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strawberry\genome\v1.0\scaffolds\homology\redo_excel\xlsx\"/>
    </mc:Choice>
  </mc:AlternateContent>
  <bookViews>
    <workbookView xWindow="0" yWindow="0" windowWidth="24000" windowHeight="8910" xr2:uid="{00000000-000D-0000-FFFF-FFFF00000000}"/>
  </bookViews>
  <sheets>
    <sheet name="Sheet1" sheetId="1" r:id="rId1"/>
  </sheets>
  <calcPr calcId="171027"/>
</workbook>
</file>

<file path=xl/calcChain.xml><?xml version="1.0" encoding="utf-8"?>
<calcChain xmlns="http://schemas.openxmlformats.org/spreadsheetml/2006/main">
  <c r="C25580" i="1" l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<sst xmlns="http://schemas.openxmlformats.org/spreadsheetml/2006/main" count="25594" uniqueCount="25594">
  <si>
    <t>Query (Q)</t>
  </si>
  <si>
    <t>Q length</t>
  </si>
  <si>
    <t>Match (M)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</si>
  <si>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</si>
  <si>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</si>
  <si>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</si>
  <si>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</si>
  <si>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</si>
  <si>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</si>
  <si>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</si>
  <si>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</si>
  <si>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</si>
  <si>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</si>
  <si>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</si>
  <si>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</si>
  <si>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gene00001-v1.0-hybrid</t>
  </si>
  <si>
    <t>gene00337-v1.0-hybrid</t>
  </si>
  <si>
    <t>gene00641-v1.0-hybrid</t>
  </si>
  <si>
    <t>gene01241-v1.0-hybrid</t>
  </si>
  <si>
    <t>gene01542-v1.0-hybrid</t>
  </si>
  <si>
    <t>gene01842-v1.0-hybrid</t>
  </si>
  <si>
    <t>gene02142-v1.0-hybrid</t>
  </si>
  <si>
    <t>gene02442-v1.0-hybrid</t>
  </si>
  <si>
    <t>gene03130-v1.0-hybrid</t>
  </si>
  <si>
    <t>gene03730-v1.0-hybrid</t>
  </si>
  <si>
    <t>gene04030-v1.0-hybrid</t>
  </si>
  <si>
    <t>gene04330-v1.0-hybrid</t>
  </si>
  <si>
    <t>gene04630-v1.0-hybrid</t>
  </si>
  <si>
    <t>gene04930-v1.0-hybrid</t>
  </si>
  <si>
    <t>gene05531-v1.0-hybrid</t>
  </si>
  <si>
    <t>gene06431-v1.0-hybrid</t>
  </si>
  <si>
    <t>gene06731-v1.0-hybrid</t>
  </si>
  <si>
    <t>gene07031-v1.0-hybrid</t>
  </si>
  <si>
    <t>gene07331-v1.0-hybrid</t>
  </si>
  <si>
    <t>gene07631-v1.0-hybrid</t>
  </si>
  <si>
    <t>gene08532-v1.0-hybrid</t>
  </si>
  <si>
    <t>gene08832-v1.0-hybrid</t>
  </si>
  <si>
    <t>gene09132-v1.0-hybrid</t>
  </si>
  <si>
    <t>gene09432-v1.0-hybrid</t>
  </si>
  <si>
    <t>gene09732-v1.0-hybrid</t>
  </si>
  <si>
    <t>gene10333-v1.0-hybrid</t>
  </si>
  <si>
    <t>gene10634-v1.0-hybrid</t>
  </si>
  <si>
    <t>gene10934-v1.0-hybrid</t>
  </si>
  <si>
    <t>gene11235-v1.0-hybrid</t>
  </si>
  <si>
    <t>gene12435-v1.0-hybrid</t>
  </si>
  <si>
    <t>gene12735-v1.0-hybrid</t>
  </si>
  <si>
    <t>gene13036-v1.0-hybrid</t>
  </si>
  <si>
    <t>gene13937-v1.0-hybrid</t>
  </si>
  <si>
    <t>gene14238-v1.0-hybrid</t>
  </si>
  <si>
    <t>gene14540-v1.0-hybrid</t>
  </si>
  <si>
    <t>gene14841-v1.0-hybrid</t>
  </si>
  <si>
    <t>gene15142-v1.0-hybrid</t>
  </si>
  <si>
    <t>gene15744-v1.0-hybrid</t>
  </si>
  <si>
    <t>gene16045-v1.0-hybrid</t>
  </si>
  <si>
    <t>gene16645-v1.0-hybrid</t>
  </si>
  <si>
    <t>gene16946-v1.0-hybrid</t>
  </si>
  <si>
    <t>gene17247-v1.0-hybrid</t>
  </si>
  <si>
    <t>gene17847-v1.0-hybrid</t>
  </si>
  <si>
    <t>gene18147-v1.0-hybrid</t>
  </si>
  <si>
    <t>gene18447-v1.0-hybrid</t>
  </si>
  <si>
    <t>gene18747-v1.0-hybrid</t>
  </si>
  <si>
    <t>gene19047-v1.0-hybrid</t>
  </si>
  <si>
    <t>gene19347-v1.0-hybrid</t>
  </si>
  <si>
    <t>gene19647-v1.0-hybrid</t>
  </si>
  <si>
    <t>gene19947-v1.0-hybrid</t>
  </si>
  <si>
    <t>gene20248-v1.0-hybrid</t>
  </si>
  <si>
    <t>gene20548-v1.0-hybrid</t>
  </si>
  <si>
    <t>gene21148-v1.0-hybrid</t>
  </si>
  <si>
    <t>gene21749-v1.0-hybrid</t>
  </si>
  <si>
    <t>gene22951-v1.0-hybrid</t>
  </si>
  <si>
    <t>gene23253-v1.0-hybrid</t>
  </si>
  <si>
    <t>gene23553-v1.0-hybrid</t>
  </si>
  <si>
    <t>gene23853-v1.0-hybrid</t>
  </si>
  <si>
    <t>gene24154-v1.0-hybrid</t>
  </si>
  <si>
    <t>gene24756-v1.0-hybrid</t>
  </si>
  <si>
    <t>gene25058-v1.0-hybrid</t>
  </si>
  <si>
    <t>gene25358-v1.0-hybrid</t>
  </si>
  <si>
    <t>gene26558-v1.0-hybrid</t>
  </si>
  <si>
    <t>gene26859-v1.0-hybrid</t>
  </si>
  <si>
    <t>gene27759-v1.0-hybrid</t>
  </si>
  <si>
    <t>gene28059-v1.0-hybrid</t>
  </si>
  <si>
    <t>gene28359-v1.0-hybrid</t>
  </si>
  <si>
    <t>gene28659-v1.0-hybrid</t>
  </si>
  <si>
    <t>gene28959-v1.0-hybrid</t>
  </si>
  <si>
    <t>gene29559-v1.0-hybrid</t>
  </si>
  <si>
    <t>gene29861-v1.0-hybrid</t>
  </si>
  <si>
    <t>gene30161-v1.0-hybrid</t>
  </si>
  <si>
    <t>gene30461-v1.0-hybrid</t>
  </si>
  <si>
    <t>gene31061-v1.0-hybrid</t>
  </si>
  <si>
    <t>gene31361-v1.0-hybrid</t>
  </si>
  <si>
    <t>gene31661-v1.0-hybrid</t>
  </si>
  <si>
    <t>gene31961-v1.0-hybrid</t>
  </si>
  <si>
    <t>gene32261-v1.0-hybrid</t>
  </si>
  <si>
    <t>gene32561-v1.0-hybrid</t>
  </si>
  <si>
    <t>gene32902-v1.0-hybrid</t>
  </si>
  <si>
    <t>gene34626-v1.0-hybrid</t>
  </si>
  <si>
    <t>gene34926-v1.0-hybrid</t>
  </si>
  <si>
    <t>gene00002-v1.0-hybrid</t>
  </si>
  <si>
    <t>gene00338-v1.0-hybrid</t>
  </si>
  <si>
    <t>gene00642-v1.0-hybrid</t>
  </si>
  <si>
    <t>gene00942-v1.0-hybrid</t>
  </si>
  <si>
    <t>gene01543-v1.0-hybrid</t>
  </si>
  <si>
    <t>gene01843-v1.0-hybrid</t>
  </si>
  <si>
    <t>gene02443-v1.0-hybrid</t>
  </si>
  <si>
    <t>gene03131-v1.0-hybrid</t>
  </si>
  <si>
    <t>gene03731-v1.0-hybrid</t>
  </si>
  <si>
    <t>gene04031-v1.0-hybrid</t>
  </si>
  <si>
    <t>gene04331-v1.0-hybrid</t>
  </si>
  <si>
    <t>gene04631-v1.0-hybrid</t>
  </si>
  <si>
    <t>gene04931-v1.0-hybrid</t>
  </si>
  <si>
    <t>gene05832-v1.0-hybrid</t>
  </si>
  <si>
    <t>gene06132-v1.0-hybrid</t>
  </si>
  <si>
    <t>gene07032-v1.0-hybrid</t>
  </si>
  <si>
    <t>gene08833-v1.0-hybrid</t>
  </si>
  <si>
    <t>gene09433-v1.0-hybrid</t>
  </si>
  <si>
    <t>gene09733-v1.0-hybrid</t>
  </si>
  <si>
    <t>gene10034-v1.0-hybrid</t>
  </si>
  <si>
    <t>gene10334-v1.0-hybrid</t>
  </si>
  <si>
    <t>gene10635-v1.0-hybrid</t>
  </si>
  <si>
    <t>gene10935-v1.0-hybrid</t>
  </si>
  <si>
    <t>gene11236-v1.0-hybrid</t>
  </si>
  <si>
    <t>gene12436-v1.0-hybrid</t>
  </si>
  <si>
    <t>gene12736-v1.0-hybrid</t>
  </si>
  <si>
    <t>gene13037-v1.0-hybrid</t>
  </si>
  <si>
    <t>gene13337-v1.0-hybrid</t>
  </si>
  <si>
    <t>gene13637-v1.0-hybrid</t>
  </si>
  <si>
    <t>gene14541-v1.0-hybrid</t>
  </si>
  <si>
    <t>gene14842-v1.0-hybrid</t>
  </si>
  <si>
    <t>gene15143-v1.0-hybrid</t>
  </si>
  <si>
    <t>gene15745-v1.0-hybrid</t>
  </si>
  <si>
    <t>gene16046-v1.0-hybrid</t>
  </si>
  <si>
    <t>gene16646-v1.0-hybrid</t>
  </si>
  <si>
    <t>gene16947-v1.0-hybrid</t>
  </si>
  <si>
    <t>gene17548-v1.0-hybrid</t>
  </si>
  <si>
    <t>gene17848-v1.0-hybrid</t>
  </si>
  <si>
    <t>gene18448-v1.0-hybrid</t>
  </si>
  <si>
    <t>gene19048-v1.0-hybrid</t>
  </si>
  <si>
    <t>gene19348-v1.0-hybrid</t>
  </si>
  <si>
    <t>gene19648-v1.0-hybrid</t>
  </si>
  <si>
    <t>gene19948-v1.0-hybrid</t>
  </si>
  <si>
    <t>gene20849-v1.0-hybrid</t>
  </si>
  <si>
    <t>gene21149-v1.0-hybrid</t>
  </si>
  <si>
    <t>gene22050-v1.0-hybrid</t>
  </si>
  <si>
    <t>gene22351-v1.0-hybrid</t>
  </si>
  <si>
    <t>gene22651-v1.0-hybrid</t>
  </si>
  <si>
    <t>gene23254-v1.0-hybrid</t>
  </si>
  <si>
    <t>gene23554-v1.0-hybrid</t>
  </si>
  <si>
    <t>gene23854-v1.0-hybrid</t>
  </si>
  <si>
    <t>gene24155-v1.0-hybrid</t>
  </si>
  <si>
    <t>gene24757-v1.0-hybrid</t>
  </si>
  <si>
    <t>gene25059-v1.0-hybrid</t>
  </si>
  <si>
    <t>gene25659-v1.0-hybrid</t>
  </si>
  <si>
    <t>gene25959-v1.0-hybrid</t>
  </si>
  <si>
    <t>gene26559-v1.0-hybrid</t>
  </si>
  <si>
    <t>gene26860-v1.0-hybrid</t>
  </si>
  <si>
    <t>gene27760-v1.0-hybrid</t>
  </si>
  <si>
    <t>gene28060-v1.0-hybrid</t>
  </si>
  <si>
    <t>gene28360-v1.0-hybrid</t>
  </si>
  <si>
    <t>gene28660-v1.0-hybrid</t>
  </si>
  <si>
    <t>gene28960-v1.0-hybrid</t>
  </si>
  <si>
    <t>gene29260-v1.0-hybrid</t>
  </si>
  <si>
    <t>gene29560-v1.0-hybrid</t>
  </si>
  <si>
    <t>gene29862-v1.0-hybrid</t>
  </si>
  <si>
    <t>gene30162-v1.0-hybrid</t>
  </si>
  <si>
    <t>gene30462-v1.0-hybrid</t>
  </si>
  <si>
    <t>gene31062-v1.0-hybrid</t>
  </si>
  <si>
    <t>gene31362-v1.0-hybrid</t>
  </si>
  <si>
    <t>gene31662-v1.0-hybrid</t>
  </si>
  <si>
    <t>gene32262-v1.0-hybrid</t>
  </si>
  <si>
    <t>gene32562-v1.0-hybrid</t>
  </si>
  <si>
    <t>gene32903-v1.0-hybrid</t>
  </si>
  <si>
    <t>gene33308-v1.0-hybrid</t>
  </si>
  <si>
    <t>gene34027-v1.0-hybrid</t>
  </si>
  <si>
    <t>gene34627-v1.0-hybrid</t>
  </si>
  <si>
    <t>gene00339-v1.0-hybrid</t>
  </si>
  <si>
    <t>gene00643-v1.0-hybrid</t>
  </si>
  <si>
    <t>gene01544-v1.0-hybrid</t>
  </si>
  <si>
    <t>gene01844-v1.0-hybrid</t>
  </si>
  <si>
    <t>gene02444-v1.0-hybrid</t>
  </si>
  <si>
    <t>gene03132-v1.0-hybrid</t>
  </si>
  <si>
    <t>gene03732-v1.0-hybrid</t>
  </si>
  <si>
    <t>gene04032-v1.0-hybrid</t>
  </si>
  <si>
    <t>gene04332-v1.0-hybrid</t>
  </si>
  <si>
    <t>gene04632-v1.0-hybrid</t>
  </si>
  <si>
    <t>gene05232-v1.0-hybrid</t>
  </si>
  <si>
    <t>gene05533-v1.0-hybrid</t>
  </si>
  <si>
    <t>gene05833-v1.0-hybrid</t>
  </si>
  <si>
    <t>gene06133-v1.0-hybrid</t>
  </si>
  <si>
    <t>gene06733-v1.0-hybrid</t>
  </si>
  <si>
    <t>gene07033-v1.0-hybrid</t>
  </si>
  <si>
    <t>gene07333-v1.0-hybrid</t>
  </si>
  <si>
    <t>gene07633-v1.0-hybrid</t>
  </si>
  <si>
    <t>gene07934-v1.0-hybrid</t>
  </si>
  <si>
    <t>gene08534-v1.0-hybrid</t>
  </si>
  <si>
    <t>gene08834-v1.0-hybrid</t>
  </si>
  <si>
    <t>gene09134-v1.0-hybrid</t>
  </si>
  <si>
    <t>gene09434-v1.0-hybrid</t>
  </si>
  <si>
    <t>gene09734-v1.0-hybrid</t>
  </si>
  <si>
    <t>gene10035-v1.0-hybrid</t>
  </si>
  <si>
    <t>gene10335-v1.0-hybrid</t>
  </si>
  <si>
    <t>gene10636-v1.0-hybrid</t>
  </si>
  <si>
    <t>gene11237-v1.0-hybrid</t>
  </si>
  <si>
    <t>gene11537-v1.0-hybrid</t>
  </si>
  <si>
    <t>gene11837-v1.0-hybrid</t>
  </si>
  <si>
    <t>gene12437-v1.0-hybrid</t>
  </si>
  <si>
    <t>gene13038-v1.0-hybrid</t>
  </si>
  <si>
    <t>gene13338-v1.0-hybrid</t>
  </si>
  <si>
    <t>gene14542-v1.0-hybrid</t>
  </si>
  <si>
    <t>gene14843-v1.0-hybrid</t>
  </si>
  <si>
    <t>gene15144-v1.0-hybrid</t>
  </si>
  <si>
    <t>gene15445-v1.0-hybrid</t>
  </si>
  <si>
    <t>gene15746-v1.0-hybrid</t>
  </si>
  <si>
    <t>gene16047-v1.0-hybrid</t>
  </si>
  <si>
    <t>gene16347-v1.0-hybrid</t>
  </si>
  <si>
    <t>gene16647-v1.0-hybrid</t>
  </si>
  <si>
    <t>gene17249-v1.0-hybrid</t>
  </si>
  <si>
    <t>gene17849-v1.0-hybrid</t>
  </si>
  <si>
    <t>gene18149-v1.0-hybrid</t>
  </si>
  <si>
    <t>gene18449-v1.0-hybrid</t>
  </si>
  <si>
    <t>gene18749-v1.0-hybrid</t>
  </si>
  <si>
    <t>gene19049-v1.0-hybrid</t>
  </si>
  <si>
    <t>gene19949-v1.0-hybrid</t>
  </si>
  <si>
    <t>gene20550-v1.0-hybrid</t>
  </si>
  <si>
    <t>gene20850-v1.0-hybrid</t>
  </si>
  <si>
    <t>gene21451-v1.0-hybrid</t>
  </si>
  <si>
    <t>gene22051-v1.0-hybrid</t>
  </si>
  <si>
    <t>gene22352-v1.0-hybrid</t>
  </si>
  <si>
    <t>gene22652-v1.0-hybrid</t>
  </si>
  <si>
    <t>gene23255-v1.0-hybrid</t>
  </si>
  <si>
    <t>gene23555-v1.0-hybrid</t>
  </si>
  <si>
    <t>gene23855-v1.0-hybrid</t>
  </si>
  <si>
    <t>gene24156-v1.0-hybrid</t>
  </si>
  <si>
    <t>gene24458-v1.0-hybrid</t>
  </si>
  <si>
    <t>gene24758-v1.0-hybrid</t>
  </si>
  <si>
    <t>gene25060-v1.0-hybrid</t>
  </si>
  <si>
    <t>gene25660-v1.0-hybrid</t>
  </si>
  <si>
    <t>gene25960-v1.0-hybrid</t>
  </si>
  <si>
    <t>gene26260-v1.0-hybrid</t>
  </si>
  <si>
    <t>gene26560-v1.0-hybrid</t>
  </si>
  <si>
    <t>gene26861-v1.0-hybrid</t>
  </si>
  <si>
    <t>gene27761-v1.0-hybrid</t>
  </si>
  <si>
    <t>gene28361-v1.0-hybrid</t>
  </si>
  <si>
    <t>gene28661-v1.0-hybrid</t>
  </si>
  <si>
    <t>gene28961-v1.0-hybrid</t>
  </si>
  <si>
    <t>gene29261-v1.0-hybrid</t>
  </si>
  <si>
    <t>gene30163-v1.0-hybrid</t>
  </si>
  <si>
    <t>gene30763-v1.0-hybrid</t>
  </si>
  <si>
    <t>gene31063-v1.0-hybrid</t>
  </si>
  <si>
    <t>gene31363-v1.0-hybrid</t>
  </si>
  <si>
    <t>gene31663-v1.0-hybrid</t>
  </si>
  <si>
    <t>gene31963-v1.0-hybrid</t>
  </si>
  <si>
    <t>gene32263-v1.0-hybrid</t>
  </si>
  <si>
    <t>gene32563-v1.0-hybrid</t>
  </si>
  <si>
    <t>gene33309-v1.0-hybrid</t>
  </si>
  <si>
    <t>gene34328-v1.0-hybrid</t>
  </si>
  <si>
    <t>gene00340-v1.0-hybrid</t>
  </si>
  <si>
    <t>gene00644-v1.0-hybrid</t>
  </si>
  <si>
    <t>gene00944-v1.0-hybrid</t>
  </si>
  <si>
    <t>gene01244-v1.0-hybrid</t>
  </si>
  <si>
    <t>gene01545-v1.0-hybrid</t>
  </si>
  <si>
    <t>gene01845-v1.0-hybrid</t>
  </si>
  <si>
    <t>gene02145-v1.0-hybrid</t>
  </si>
  <si>
    <t>gene02445-v1.0-hybrid</t>
  </si>
  <si>
    <t>gene03133-v1.0-hybrid</t>
  </si>
  <si>
    <t>gene03433-v1.0-hybrid</t>
  </si>
  <si>
    <t>gene03733-v1.0-hybrid</t>
  </si>
  <si>
    <t>gene04333-v1.0-hybrid</t>
  </si>
  <si>
    <t>gene04633-v1.0-hybrid</t>
  </si>
  <si>
    <t>gene04933-v1.0-hybrid</t>
  </si>
  <si>
    <t>gene05233-v1.0-hybrid</t>
  </si>
  <si>
    <t>gene06134-v1.0-hybrid</t>
  </si>
  <si>
    <t>gene06434-v1.0-hybrid</t>
  </si>
  <si>
    <t>gene07034-v1.0-hybrid</t>
  </si>
  <si>
    <t>gene07634-v1.0-hybrid</t>
  </si>
  <si>
    <t>gene07935-v1.0-hybrid</t>
  </si>
  <si>
    <t>gene08535-v1.0-hybrid</t>
  </si>
  <si>
    <t>gene08835-v1.0-hybrid</t>
  </si>
  <si>
    <t>gene09435-v1.0-hybrid</t>
  </si>
  <si>
    <t>gene10036-v1.0-hybrid</t>
  </si>
  <si>
    <t>gene10336-v1.0-hybrid</t>
  </si>
  <si>
    <t>gene10637-v1.0-hybrid</t>
  </si>
  <si>
    <t>gene11238-v1.0-hybrid</t>
  </si>
  <si>
    <t>gene11538-v1.0-hybrid</t>
  </si>
  <si>
    <t>gene11838-v1.0-hybrid</t>
  </si>
  <si>
    <t>gene12138-v1.0-hybrid</t>
  </si>
  <si>
    <t>gene12438-v1.0-hybrid</t>
  </si>
  <si>
    <t>gene12738-v1.0-hybrid</t>
  </si>
  <si>
    <t>gene13039-v1.0-hybrid</t>
  </si>
  <si>
    <t>gene13339-v1.0-hybrid</t>
  </si>
  <si>
    <t>gene13639-v1.0-hybrid</t>
  </si>
  <si>
    <t>gene13940-v1.0-hybrid</t>
  </si>
  <si>
    <t>gene14241-v1.0-hybrid</t>
  </si>
  <si>
    <t>gene14543-v1.0-hybrid</t>
  </si>
  <si>
    <t>gene15145-v1.0-hybrid</t>
  </si>
  <si>
    <t>gene15747-v1.0-hybrid</t>
  </si>
  <si>
    <t>gene16048-v1.0-hybrid</t>
  </si>
  <si>
    <t>gene16949-v1.0-hybrid</t>
  </si>
  <si>
    <t>gene17250-v1.0-hybrid</t>
  </si>
  <si>
    <t>gene17850-v1.0-hybrid</t>
  </si>
  <si>
    <t>gene18150-v1.0-hybrid</t>
  </si>
  <si>
    <t>gene18450-v1.0-hybrid</t>
  </si>
  <si>
    <t>gene18750-v1.0-hybrid</t>
  </si>
  <si>
    <t>gene19050-v1.0-hybrid</t>
  </si>
  <si>
    <t>gene19350-v1.0-hybrid</t>
  </si>
  <si>
    <t>gene19650-v1.0-hybrid</t>
  </si>
  <si>
    <t>gene20251-v1.0-hybrid</t>
  </si>
  <si>
    <t>gene20551-v1.0-hybrid</t>
  </si>
  <si>
    <t>gene20851-v1.0-hybrid</t>
  </si>
  <si>
    <t>gene21151-v1.0-hybrid</t>
  </si>
  <si>
    <t>gene22353-v1.0-hybrid</t>
  </si>
  <si>
    <t>gene22653-v1.0-hybrid</t>
  </si>
  <si>
    <t>gene23256-v1.0-hybrid</t>
  </si>
  <si>
    <t>gene24157-v1.0-hybrid</t>
  </si>
  <si>
    <t>gene25061-v1.0-hybrid</t>
  </si>
  <si>
    <t>gene25361-v1.0-hybrid</t>
  </si>
  <si>
    <t>gene25661-v1.0-hybrid</t>
  </si>
  <si>
    <t>gene25961-v1.0-hybrid</t>
  </si>
  <si>
    <t>gene26261-v1.0-hybrid</t>
  </si>
  <si>
    <t>gene26561-v1.0-hybrid</t>
  </si>
  <si>
    <t>gene27162-v1.0-hybrid</t>
  </si>
  <si>
    <t>gene27462-v1.0-hybrid</t>
  </si>
  <si>
    <t>gene27762-v1.0-hybrid</t>
  </si>
  <si>
    <t>gene28062-v1.0-hybrid</t>
  </si>
  <si>
    <t>gene28362-v1.0-hybrid</t>
  </si>
  <si>
    <t>gene28662-v1.0-hybrid</t>
  </si>
  <si>
    <t>gene28962-v1.0-hybrid</t>
  </si>
  <si>
    <t>gene29262-v1.0-hybrid</t>
  </si>
  <si>
    <t>gene29562-v1.0-hybrid</t>
  </si>
  <si>
    <t>gene30164-v1.0-hybrid</t>
  </si>
  <si>
    <t>gene30464-v1.0-hybrid</t>
  </si>
  <si>
    <t>gene30764-v1.0-hybrid</t>
  </si>
  <si>
    <t>gene31064-v1.0-hybrid</t>
  </si>
  <si>
    <t>gene31364-v1.0-hybrid</t>
  </si>
  <si>
    <t>gene31964-v1.0-hybrid</t>
  </si>
  <si>
    <t>gene32264-v1.0-hybrid</t>
  </si>
  <si>
    <t>gene32564-v1.0-hybrid</t>
  </si>
  <si>
    <t>gene34029-v1.0-hybrid</t>
  </si>
  <si>
    <t>gene35229-v1.0-hybrid</t>
  </si>
  <si>
    <t>gene00341-v1.0-hybrid</t>
  </si>
  <si>
    <t>gene00645-v1.0-hybrid</t>
  </si>
  <si>
    <t>gene00945-v1.0-hybrid</t>
  </si>
  <si>
    <t>gene01546-v1.0-hybrid</t>
  </si>
  <si>
    <t>gene01846-v1.0-hybrid</t>
  </si>
  <si>
    <t>gene02146-v1.0-hybrid</t>
  </si>
  <si>
    <t>gene02446-v1.0-hybrid</t>
  </si>
  <si>
    <t>gene03134-v1.0-hybrid</t>
  </si>
  <si>
    <t>gene03434-v1.0-hybrid</t>
  </si>
  <si>
    <t>gene03734-v1.0-hybrid</t>
  </si>
  <si>
    <t>gene04034-v1.0-hybrid</t>
  </si>
  <si>
    <t>gene04334-v1.0-hybrid</t>
  </si>
  <si>
    <t>gene04634-v1.0-hybrid</t>
  </si>
  <si>
    <t>gene05535-v1.0-hybrid</t>
  </si>
  <si>
    <t>gene05835-v1.0-hybrid</t>
  </si>
  <si>
    <t>gene06435-v1.0-hybrid</t>
  </si>
  <si>
    <t>gene06735-v1.0-hybrid</t>
  </si>
  <si>
    <t>gene07035-v1.0-hybrid</t>
  </si>
  <si>
    <t>gene07635-v1.0-hybrid</t>
  </si>
  <si>
    <t>gene07936-v1.0-hybrid</t>
  </si>
  <si>
    <t>gene09136-v1.0-hybrid</t>
  </si>
  <si>
    <t>gene09436-v1.0-hybrid</t>
  </si>
  <si>
    <t>gene10037-v1.0-hybrid</t>
  </si>
  <si>
    <t>gene10337-v1.0-hybrid</t>
  </si>
  <si>
    <t>gene10938-v1.0-hybrid</t>
  </si>
  <si>
    <t>gene11239-v1.0-hybrid</t>
  </si>
  <si>
    <t>gene12139-v1.0-hybrid</t>
  </si>
  <si>
    <t>gene12439-v1.0-hybrid</t>
  </si>
  <si>
    <t>gene12739-v1.0-hybrid</t>
  </si>
  <si>
    <t>gene13040-v1.0-hybrid</t>
  </si>
  <si>
    <t>gene13340-v1.0-hybrid</t>
  </si>
  <si>
    <t>gene13640-v1.0-hybrid</t>
  </si>
  <si>
    <t>gene13941-v1.0-hybrid</t>
  </si>
  <si>
    <t>gene14242-v1.0-hybrid</t>
  </si>
  <si>
    <t>gene14544-v1.0-hybrid</t>
  </si>
  <si>
    <t>gene14845-v1.0-hybrid</t>
  </si>
  <si>
    <t>gene15146-v1.0-hybrid</t>
  </si>
  <si>
    <t>gene15447-v1.0-hybrid</t>
  </si>
  <si>
    <t>gene15748-v1.0-hybrid</t>
  </si>
  <si>
    <t>gene16049-v1.0-hybrid</t>
  </si>
  <si>
    <t>gene17251-v1.0-hybrid</t>
  </si>
  <si>
    <t>gene17551-v1.0-hybrid</t>
  </si>
  <si>
    <t>gene17851-v1.0-hybrid</t>
  </si>
  <si>
    <t>gene18151-v1.0-hybrid</t>
  </si>
  <si>
    <t>gene18751-v1.0-hybrid</t>
  </si>
  <si>
    <t>gene19651-v1.0-hybrid</t>
  </si>
  <si>
    <t>gene19951-v1.0-hybrid</t>
  </si>
  <si>
    <t>gene20552-v1.0-hybrid</t>
  </si>
  <si>
    <t>gene20852-v1.0-hybrid</t>
  </si>
  <si>
    <t>gene21152-v1.0-hybrid</t>
  </si>
  <si>
    <t>gene21453-v1.0-hybrid</t>
  </si>
  <si>
    <t>gene21753-v1.0-hybrid</t>
  </si>
  <si>
    <t>gene22354-v1.0-hybrid</t>
  </si>
  <si>
    <t>gene22654-v1.0-hybrid</t>
  </si>
  <si>
    <t>gene22955-v1.0-hybrid</t>
  </si>
  <si>
    <t>gene23257-v1.0-hybrid</t>
  </si>
  <si>
    <t>gene23557-v1.0-hybrid</t>
  </si>
  <si>
    <t>gene23857-v1.0-hybrid</t>
  </si>
  <si>
    <t>gene24158-v1.0-hybrid</t>
  </si>
  <si>
    <t>gene24460-v1.0-hybrid</t>
  </si>
  <si>
    <t>gene24760-v1.0-hybrid</t>
  </si>
  <si>
    <t>gene25362-v1.0-hybrid</t>
  </si>
  <si>
    <t>gene25662-v1.0-hybrid</t>
  </si>
  <si>
    <t>gene25962-v1.0-hybrid</t>
  </si>
  <si>
    <t>gene26262-v1.0-hybrid</t>
  </si>
  <si>
    <t>gene26562-v1.0-hybrid</t>
  </si>
  <si>
    <t>gene27163-v1.0-hybrid</t>
  </si>
  <si>
    <t>gene27463-v1.0-hybrid</t>
  </si>
  <si>
    <t>gene27763-v1.0-hybrid</t>
  </si>
  <si>
    <t>gene28063-v1.0-hybrid</t>
  </si>
  <si>
    <t>gene28363-v1.0-hybrid</t>
  </si>
  <si>
    <t>gene28663-v1.0-hybrid</t>
  </si>
  <si>
    <t>gene28963-v1.0-hybrid</t>
  </si>
  <si>
    <t>gene29263-v1.0-hybrid</t>
  </si>
  <si>
    <t>gene29865-v1.0-hybrid</t>
  </si>
  <si>
    <t>gene30165-v1.0-hybrid</t>
  </si>
  <si>
    <t>gene30465-v1.0-hybrid</t>
  </si>
  <si>
    <t>gene30765-v1.0-hybrid</t>
  </si>
  <si>
    <t>gene31065-v1.0-hybrid</t>
  </si>
  <si>
    <t>gene31365-v1.0-hybrid</t>
  </si>
  <si>
    <t>gene31665-v1.0-hybrid</t>
  </si>
  <si>
    <t>gene31965-v1.0-hybrid</t>
  </si>
  <si>
    <t>gene32265-v1.0-hybrid</t>
  </si>
  <si>
    <t>gene32911-v1.0-hybrid</t>
  </si>
  <si>
    <t>gene33311-v1.0-hybrid</t>
  </si>
  <si>
    <t>gene34030-v1.0-hybrid</t>
  </si>
  <si>
    <t>gene34630-v1.0-hybrid</t>
  </si>
  <si>
    <t>gene34930-v1.0-hybrid</t>
  </si>
  <si>
    <t>gene35230-v1.0-hybrid</t>
  </si>
  <si>
    <t>gene00646-v1.0-hybrid</t>
  </si>
  <si>
    <t>gene00946-v1.0-hybrid</t>
  </si>
  <si>
    <t>gene01547-v1.0-hybrid</t>
  </si>
  <si>
    <t>gene01847-v1.0-hybrid</t>
  </si>
  <si>
    <t>gene02147-v1.0-hybrid</t>
  </si>
  <si>
    <t>gene02447-v1.0-hybrid</t>
  </si>
  <si>
    <t>gene02751-v1.0-hybrid</t>
  </si>
  <si>
    <t>gene03135-v1.0-hybrid</t>
  </si>
  <si>
    <t>gene03735-v1.0-hybrid</t>
  </si>
  <si>
    <t>gene04035-v1.0-hybrid</t>
  </si>
  <si>
    <t>gene04335-v1.0-hybrid</t>
  </si>
  <si>
    <t>gene04635-v1.0-hybrid</t>
  </si>
  <si>
    <t>gene04935-v1.0-hybrid</t>
  </si>
  <si>
    <t>gene05235-v1.0-hybrid</t>
  </si>
  <si>
    <t>gene05836-v1.0-hybrid</t>
  </si>
  <si>
    <t>gene06436-v1.0-hybrid</t>
  </si>
  <si>
    <t>gene07036-v1.0-hybrid</t>
  </si>
  <si>
    <t>gene07336-v1.0-hybrid</t>
  </si>
  <si>
    <t>gene07636-v1.0-hybrid</t>
  </si>
  <si>
    <t>gene07937-v1.0-hybrid</t>
  </si>
  <si>
    <t>gene08237-v1.0-hybrid</t>
  </si>
  <si>
    <t>gene08537-v1.0-hybrid</t>
  </si>
  <si>
    <t>gene08837-v1.0-hybrid</t>
  </si>
  <si>
    <t>gene09137-v1.0-hybrid</t>
  </si>
  <si>
    <t>gene09437-v1.0-hybrid</t>
  </si>
  <si>
    <t>gene09737-v1.0-hybrid</t>
  </si>
  <si>
    <t>gene10038-v1.0-hybrid</t>
  </si>
  <si>
    <t>gene10338-v1.0-hybrid</t>
  </si>
  <si>
    <t>gene10639-v1.0-hybrid</t>
  </si>
  <si>
    <t>gene10939-v1.0-hybrid</t>
  </si>
  <si>
    <t>gene11540-v1.0-hybrid</t>
  </si>
  <si>
    <t>gene11840-v1.0-hybrid</t>
  </si>
  <si>
    <t>gene12140-v1.0-hybrid</t>
  </si>
  <si>
    <t>gene12440-v1.0-hybrid</t>
  </si>
  <si>
    <t>gene12740-v1.0-hybrid</t>
  </si>
  <si>
    <t>gene13041-v1.0-hybrid</t>
  </si>
  <si>
    <t>gene13341-v1.0-hybrid</t>
  </si>
  <si>
    <t>gene13942-v1.0-hybrid</t>
  </si>
  <si>
    <t>gene14243-v1.0-hybrid</t>
  </si>
  <si>
    <t>gene14545-v1.0-hybrid</t>
  </si>
  <si>
    <t>gene14846-v1.0-hybrid</t>
  </si>
  <si>
    <t>gene15147-v1.0-hybrid</t>
  </si>
  <si>
    <t>gene15448-v1.0-hybrid</t>
  </si>
  <si>
    <t>gene15749-v1.0-hybrid</t>
  </si>
  <si>
    <t>gene16050-v1.0-hybrid</t>
  </si>
  <si>
    <t>gene16350-v1.0-hybrid</t>
  </si>
  <si>
    <t>gene16650-v1.0-hybrid</t>
  </si>
  <si>
    <t>gene17552-v1.0-hybrid</t>
  </si>
  <si>
    <t>gene17852-v1.0-hybrid</t>
  </si>
  <si>
    <t>gene18152-v1.0-hybrid</t>
  </si>
  <si>
    <t>gene18452-v1.0-hybrid</t>
  </si>
  <si>
    <t>gene18752-v1.0-hybrid</t>
  </si>
  <si>
    <t>gene19052-v1.0-hybrid</t>
  </si>
  <si>
    <t>gene19352-v1.0-hybrid</t>
  </si>
  <si>
    <t>gene19952-v1.0-hybrid</t>
  </si>
  <si>
    <t>gene20253-v1.0-hybrid</t>
  </si>
  <si>
    <t>gene20553-v1.0-hybrid</t>
  </si>
  <si>
    <t>gene20853-v1.0-hybrid</t>
  </si>
  <si>
    <t>gene21153-v1.0-hybrid</t>
  </si>
  <si>
    <t>gene21454-v1.0-hybrid</t>
  </si>
  <si>
    <t>gene21754-v1.0-hybrid</t>
  </si>
  <si>
    <t>gene22054-v1.0-hybrid</t>
  </si>
  <si>
    <t>gene22355-v1.0-hybrid</t>
  </si>
  <si>
    <t>gene22655-v1.0-hybrid</t>
  </si>
  <si>
    <t>gene22956-v1.0-hybrid</t>
  </si>
  <si>
    <t>gene23258-v1.0-hybrid</t>
  </si>
  <si>
    <t>gene23558-v1.0-hybrid</t>
  </si>
  <si>
    <t>gene24159-v1.0-hybrid</t>
  </si>
  <si>
    <t>gene24461-v1.0-hybrid</t>
  </si>
  <si>
    <t>gene24761-v1.0-hybrid</t>
  </si>
  <si>
    <t>gene25063-v1.0-hybrid</t>
  </si>
  <si>
    <t>gene25363-v1.0-hybrid</t>
  </si>
  <si>
    <t>gene25663-v1.0-hybrid</t>
  </si>
  <si>
    <t>gene26864-v1.0-hybrid</t>
  </si>
  <si>
    <t>gene27164-v1.0-hybrid</t>
  </si>
  <si>
    <t>gene27464-v1.0-hybrid</t>
  </si>
  <si>
    <t>gene27764-v1.0-hybrid</t>
  </si>
  <si>
    <t>gene28064-v1.0-hybrid</t>
  </si>
  <si>
    <t>gene28364-v1.0-hybrid</t>
  </si>
  <si>
    <t>gene28664-v1.0-hybrid</t>
  </si>
  <si>
    <t>gene29264-v1.0-hybrid</t>
  </si>
  <si>
    <t>gene29564-v1.0-hybrid</t>
  </si>
  <si>
    <t>gene30466-v1.0-hybrid</t>
  </si>
  <si>
    <t>gene31066-v1.0-hybrid</t>
  </si>
  <si>
    <t>gene31366-v1.0-hybrid</t>
  </si>
  <si>
    <t>gene31666-v1.0-hybrid</t>
  </si>
  <si>
    <t>gene32266-v1.0-hybrid</t>
  </si>
  <si>
    <t>gene32566-v1.0-hybrid</t>
  </si>
  <si>
    <t>gene34031-v1.0-hybrid</t>
  </si>
  <si>
    <t>gene34331-v1.0-hybrid</t>
  </si>
  <si>
    <t>gene34631-v1.0-hybrid</t>
  </si>
  <si>
    <t>gene34931-v1.0-hybrid</t>
  </si>
  <si>
    <t>gene35231-v1.0-hybrid</t>
  </si>
  <si>
    <t>gene00343-v1.0-hybrid</t>
  </si>
  <si>
    <t>gene00947-v1.0-hybrid</t>
  </si>
  <si>
    <t>gene01247-v1.0-hybrid</t>
  </si>
  <si>
    <t>gene01548-v1.0-hybrid</t>
  </si>
  <si>
    <t>gene02148-v1.0-hybrid</t>
  </si>
  <si>
    <t>gene03136-v1.0-hybrid</t>
  </si>
  <si>
    <t>gene03436-v1.0-hybrid</t>
  </si>
  <si>
    <t>gene03736-v1.0-hybrid</t>
  </si>
  <si>
    <t>gene04036-v1.0-hybrid</t>
  </si>
  <si>
    <t>gene04336-v1.0-hybrid</t>
  </si>
  <si>
    <t>gene04636-v1.0-hybrid</t>
  </si>
  <si>
    <t>gene04936-v1.0-hybrid</t>
  </si>
  <si>
    <t>gene05537-v1.0-hybrid</t>
  </si>
  <si>
    <t>gene05837-v1.0-hybrid</t>
  </si>
  <si>
    <t>gene06137-v1.0-hybrid</t>
  </si>
  <si>
    <t>gene06437-v1.0-hybrid</t>
  </si>
  <si>
    <t>gene06737-v1.0-hybrid</t>
  </si>
  <si>
    <t>gene07037-v1.0-hybrid</t>
  </si>
  <si>
    <t>gene07337-v1.0-hybrid</t>
  </si>
  <si>
    <t>gene07637-v1.0-hybrid</t>
  </si>
  <si>
    <t>gene07938-v1.0-hybrid</t>
  </si>
  <si>
    <t>gene08238-v1.0-hybrid</t>
  </si>
  <si>
    <t>gene08538-v1.0-hybrid</t>
  </si>
  <si>
    <t>gene08838-v1.0-hybrid</t>
  </si>
  <si>
    <t>gene09438-v1.0-hybrid</t>
  </si>
  <si>
    <t>gene09738-v1.0-hybrid</t>
  </si>
  <si>
    <t>gene10039-v1.0-hybrid</t>
  </si>
  <si>
    <t>gene10339-v1.0-hybrid</t>
  </si>
  <si>
    <t>gene10640-v1.0-hybrid</t>
  </si>
  <si>
    <t>gene11841-v1.0-hybrid</t>
  </si>
  <si>
    <t>gene12441-v1.0-hybrid</t>
  </si>
  <si>
    <t>gene12741-v1.0-hybrid</t>
  </si>
  <si>
    <t>gene13042-v1.0-hybrid</t>
  </si>
  <si>
    <t>gene13642-v1.0-hybrid</t>
  </si>
  <si>
    <t>gene14244-v1.0-hybrid</t>
  </si>
  <si>
    <t>gene14546-v1.0-hybrid</t>
  </si>
  <si>
    <t>gene14847-v1.0-hybrid</t>
  </si>
  <si>
    <t>gene15148-v1.0-hybrid</t>
  </si>
  <si>
    <t>gene16051-v1.0-hybrid</t>
  </si>
  <si>
    <t>gene16651-v1.0-hybrid</t>
  </si>
  <si>
    <t>gene17553-v1.0-hybrid</t>
  </si>
  <si>
    <t>gene18153-v1.0-hybrid</t>
  </si>
  <si>
    <t>gene18453-v1.0-hybrid</t>
  </si>
  <si>
    <t>gene18753-v1.0-hybrid</t>
  </si>
  <si>
    <t>gene19053-v1.0-hybrid</t>
  </si>
  <si>
    <t>gene19353-v1.0-hybrid</t>
  </si>
  <si>
    <t>gene19653-v1.0-hybrid</t>
  </si>
  <si>
    <t>gene19953-v1.0-hybrid</t>
  </si>
  <si>
    <t>gene20254-v1.0-hybrid</t>
  </si>
  <si>
    <t>gene20554-v1.0-hybrid</t>
  </si>
  <si>
    <t>gene20854-v1.0-hybrid</t>
  </si>
  <si>
    <t>gene21154-v1.0-hybrid</t>
  </si>
  <si>
    <t>gene21755-v1.0-hybrid</t>
  </si>
  <si>
    <t>gene22055-v1.0-hybrid</t>
  </si>
  <si>
    <t>gene22356-v1.0-hybrid</t>
  </si>
  <si>
    <t>gene22957-v1.0-hybrid</t>
  </si>
  <si>
    <t>gene23259-v1.0-hybrid</t>
  </si>
  <si>
    <t>gene23559-v1.0-hybrid</t>
  </si>
  <si>
    <t>gene24160-v1.0-hybrid</t>
  </si>
  <si>
    <t>gene25064-v1.0-hybrid</t>
  </si>
  <si>
    <t>gene25364-v1.0-hybrid</t>
  </si>
  <si>
    <t>gene25664-v1.0-hybrid</t>
  </si>
  <si>
    <t>gene26865-v1.0-hybrid</t>
  </si>
  <si>
    <t>gene27165-v1.0-hybrid</t>
  </si>
  <si>
    <t>gene27465-v1.0-hybrid</t>
  </si>
  <si>
    <t>gene27765-v1.0-hybrid</t>
  </si>
  <si>
    <t>gene28065-v1.0-hybrid</t>
  </si>
  <si>
    <t>gene28365-v1.0-hybrid</t>
  </si>
  <si>
    <t>gene28965-v1.0-hybrid</t>
  </si>
  <si>
    <t>gene29265-v1.0-hybrid</t>
  </si>
  <si>
    <t>gene29565-v1.0-hybrid</t>
  </si>
  <si>
    <t>gene30167-v1.0-hybrid</t>
  </si>
  <si>
    <t>gene30467-v1.0-hybrid</t>
  </si>
  <si>
    <t>gene31067-v1.0-hybrid</t>
  </si>
  <si>
    <t>gene31367-v1.0-hybrid</t>
  </si>
  <si>
    <t>gene31667-v1.0-hybrid</t>
  </si>
  <si>
    <t>gene31967-v1.0-hybrid</t>
  </si>
  <si>
    <t>gene32567-v1.0-hybrid</t>
  </si>
  <si>
    <t>gene33317-v1.0-hybrid</t>
  </si>
  <si>
    <t>gene34032-v1.0-hybrid</t>
  </si>
  <si>
    <t>gene35232-v1.0-hybrid</t>
  </si>
  <si>
    <t>gene00344-v1.0-hybrid</t>
  </si>
  <si>
    <t>gene00648-v1.0-hybrid</t>
  </si>
  <si>
    <t>gene00948-v1.0-hybrid</t>
  </si>
  <si>
    <t>gene01549-v1.0-hybrid</t>
  </si>
  <si>
    <t>gene01849-v1.0-hybrid</t>
  </si>
  <si>
    <t>gene02149-v1.0-hybrid</t>
  </si>
  <si>
    <t>gene02449-v1.0-hybrid</t>
  </si>
  <si>
    <t>gene03437-v1.0-hybrid</t>
  </si>
  <si>
    <t>gene03737-v1.0-hybrid</t>
  </si>
  <si>
    <t>gene04037-v1.0-hybrid</t>
  </si>
  <si>
    <t>gene04337-v1.0-hybrid</t>
  </si>
  <si>
    <t>gene04637-v1.0-hybrid</t>
  </si>
  <si>
    <t>gene04937-v1.0-hybrid</t>
  </si>
  <si>
    <t>gene05538-v1.0-hybrid</t>
  </si>
  <si>
    <t>gene05838-v1.0-hybrid</t>
  </si>
  <si>
    <t>gene06738-v1.0-hybrid</t>
  </si>
  <si>
    <t>gene07038-v1.0-hybrid</t>
  </si>
  <si>
    <t>gene07338-v1.0-hybrid</t>
  </si>
  <si>
    <t>gene07638-v1.0-hybrid</t>
  </si>
  <si>
    <t>gene07939-v1.0-hybrid</t>
  </si>
  <si>
    <t>gene08239-v1.0-hybrid</t>
  </si>
  <si>
    <t>gene08539-v1.0-hybrid</t>
  </si>
  <si>
    <t>gene08839-v1.0-hybrid</t>
  </si>
  <si>
    <t>gene09139-v1.0-hybrid</t>
  </si>
  <si>
    <t>gene09439-v1.0-hybrid</t>
  </si>
  <si>
    <t>gene09739-v1.0-hybrid</t>
  </si>
  <si>
    <t>gene10040-v1.0-hybrid</t>
  </si>
  <si>
    <t>gene10340-v1.0-hybrid</t>
  </si>
  <si>
    <t>gene10641-v1.0-hybrid</t>
  </si>
  <si>
    <t>gene11242-v1.0-hybrid</t>
  </si>
  <si>
    <t>gene11542-v1.0-hybrid</t>
  </si>
  <si>
    <t>gene11842-v1.0-hybrid</t>
  </si>
  <si>
    <t>gene12142-v1.0-hybrid</t>
  </si>
  <si>
    <t>gene12442-v1.0-hybrid</t>
  </si>
  <si>
    <t>gene13043-v1.0-hybrid</t>
  </si>
  <si>
    <t>gene13343-v1.0-hybrid</t>
  </si>
  <si>
    <t>gene13944-v1.0-hybrid</t>
  </si>
  <si>
    <t>gene14547-v1.0-hybrid</t>
  </si>
  <si>
    <t>gene14848-v1.0-hybrid</t>
  </si>
  <si>
    <t>gene15149-v1.0-hybrid</t>
  </si>
  <si>
    <t>gene15751-v1.0-hybrid</t>
  </si>
  <si>
    <t>gene16652-v1.0-hybrid</t>
  </si>
  <si>
    <t>gene16954-v1.0-hybrid</t>
  </si>
  <si>
    <t>gene17254-v1.0-hybrid</t>
  </si>
  <si>
    <t>gene17854-v1.0-hybrid</t>
  </si>
  <si>
    <t>gene18454-v1.0-hybrid</t>
  </si>
  <si>
    <t>gene18754-v1.0-hybrid</t>
  </si>
  <si>
    <t>gene19054-v1.0-hybrid</t>
  </si>
  <si>
    <t>gene19354-v1.0-hybrid</t>
  </si>
  <si>
    <t>gene19654-v1.0-hybrid</t>
  </si>
  <si>
    <t>gene19954-v1.0-hybrid</t>
  </si>
  <si>
    <t>gene20555-v1.0-hybrid</t>
  </si>
  <si>
    <t>gene20855-v1.0-hybrid</t>
  </si>
  <si>
    <t>gene21155-v1.0-hybrid</t>
  </si>
  <si>
    <t>gene21456-v1.0-hybrid</t>
  </si>
  <si>
    <t>gene21756-v1.0-hybrid</t>
  </si>
  <si>
    <t>gene22056-v1.0-hybrid</t>
  </si>
  <si>
    <t>gene22357-v1.0-hybrid</t>
  </si>
  <si>
    <t>gene23260-v1.0-hybrid</t>
  </si>
  <si>
    <t>gene23560-v1.0-hybrid</t>
  </si>
  <si>
    <t>gene23860-v1.0-hybrid</t>
  </si>
  <si>
    <t>gene24161-v1.0-hybrid</t>
  </si>
  <si>
    <t>gene24463-v1.0-hybrid</t>
  </si>
  <si>
    <t>gene25065-v1.0-hybrid</t>
  </si>
  <si>
    <t>gene25365-v1.0-hybrid</t>
  </si>
  <si>
    <t>gene26265-v1.0-hybrid</t>
  </si>
  <si>
    <t>gene26565-v1.0-hybrid</t>
  </si>
  <si>
    <t>gene26866-v1.0-hybrid</t>
  </si>
  <si>
    <t>gene27166-v1.0-hybrid</t>
  </si>
  <si>
    <t>gene27466-v1.0-hybrid</t>
  </si>
  <si>
    <t>gene27766-v1.0-hybrid</t>
  </si>
  <si>
    <t>gene28066-v1.0-hybrid</t>
  </si>
  <si>
    <t>gene28366-v1.0-hybrid</t>
  </si>
  <si>
    <t>gene29266-v1.0-hybrid</t>
  </si>
  <si>
    <t>gene29566-v1.0-hybrid</t>
  </si>
  <si>
    <t>gene29868-v1.0-hybrid</t>
  </si>
  <si>
    <t>gene30168-v1.0-hybrid</t>
  </si>
  <si>
    <t>gene31068-v1.0-hybrid</t>
  </si>
  <si>
    <t>gene31368-v1.0-hybrid</t>
  </si>
  <si>
    <t>gene31668-v1.0-hybrid</t>
  </si>
  <si>
    <t>gene32268-v1.0-hybrid</t>
  </si>
  <si>
    <t>gene32568-v1.0-hybrid</t>
  </si>
  <si>
    <t>gene34033-v1.0-hybrid</t>
  </si>
  <si>
    <t>gene34333-v1.0-hybrid</t>
  </si>
  <si>
    <t>gene34933-v1.0-hybrid</t>
  </si>
  <si>
    <t>gene00345-v1.0-hybrid</t>
  </si>
  <si>
    <t>gene00649-v1.0-hybrid</t>
  </si>
  <si>
    <t>gene01550-v1.0-hybrid</t>
  </si>
  <si>
    <t>gene01850-v1.0-hybrid</t>
  </si>
  <si>
    <t>gene02450-v1.0-hybrid</t>
  </si>
  <si>
    <t>gene03438-v1.0-hybrid</t>
  </si>
  <si>
    <t>gene03738-v1.0-hybrid</t>
  </si>
  <si>
    <t>gene04038-v1.0-hybrid</t>
  </si>
  <si>
    <t>gene04338-v1.0-hybrid</t>
  </si>
  <si>
    <t>gene04638-v1.0-hybrid</t>
  </si>
  <si>
    <t>gene04938-v1.0-hybrid</t>
  </si>
  <si>
    <t>gene05539-v1.0-hybrid</t>
  </si>
  <si>
    <t>gene06139-v1.0-hybrid</t>
  </si>
  <si>
    <t>gene06739-v1.0-hybrid</t>
  </si>
  <si>
    <t>gene07039-v1.0-hybrid</t>
  </si>
  <si>
    <t>gene07339-v1.0-hybrid</t>
  </si>
  <si>
    <t>gene07940-v1.0-hybrid</t>
  </si>
  <si>
    <t>gene08240-v1.0-hybrid</t>
  </si>
  <si>
    <t>gene08540-v1.0-hybrid</t>
  </si>
  <si>
    <t>gene09140-v1.0-hybrid</t>
  </si>
  <si>
    <t>gene09440-v1.0-hybrid</t>
  </si>
  <si>
    <t>gene10041-v1.0-hybrid</t>
  </si>
  <si>
    <t>gene10341-v1.0-hybrid</t>
  </si>
  <si>
    <t>gene10942-v1.0-hybrid</t>
  </si>
  <si>
    <t>gene11243-v1.0-hybrid</t>
  </si>
  <si>
    <t>gene11543-v1.0-hybrid</t>
  </si>
  <si>
    <t>gene11843-v1.0-hybrid</t>
  </si>
  <si>
    <t>gene12143-v1.0-hybrid</t>
  </si>
  <si>
    <t>gene12443-v1.0-hybrid</t>
  </si>
  <si>
    <t>gene12743-v1.0-hybrid</t>
  </si>
  <si>
    <t>gene13044-v1.0-hybrid</t>
  </si>
  <si>
    <t>gene13344-v1.0-hybrid</t>
  </si>
  <si>
    <t>gene13644-v1.0-hybrid</t>
  </si>
  <si>
    <t>gene13945-v1.0-hybrid</t>
  </si>
  <si>
    <t>gene14246-v1.0-hybrid</t>
  </si>
  <si>
    <t>gene14548-v1.0-hybrid</t>
  </si>
  <si>
    <t>gene14849-v1.0-hybrid</t>
  </si>
  <si>
    <t>gene15150-v1.0-hybrid</t>
  </si>
  <si>
    <t>gene15451-v1.0-hybrid</t>
  </si>
  <si>
    <t>gene15752-v1.0-hybrid</t>
  </si>
  <si>
    <t>gene16053-v1.0-hybrid</t>
  </si>
  <si>
    <t>gene16955-v1.0-hybrid</t>
  </si>
  <si>
    <t>gene17255-v1.0-hybrid</t>
  </si>
  <si>
    <t>gene17555-v1.0-hybrid</t>
  </si>
  <si>
    <t>gene17855-v1.0-hybrid</t>
  </si>
  <si>
    <t>gene18455-v1.0-hybrid</t>
  </si>
  <si>
    <t>gene18755-v1.0-hybrid</t>
  </si>
  <si>
    <t>gene19055-v1.0-hybrid</t>
  </si>
  <si>
    <t>gene19355-v1.0-hybrid</t>
  </si>
  <si>
    <t>gene19655-v1.0-hybrid</t>
  </si>
  <si>
    <t>gene19955-v1.0-hybrid</t>
  </si>
  <si>
    <t>gene20556-v1.0-hybrid</t>
  </si>
  <si>
    <t>gene20856-v1.0-hybrid</t>
  </si>
  <si>
    <t>gene21156-v1.0-hybrid</t>
  </si>
  <si>
    <t>gene21457-v1.0-hybrid</t>
  </si>
  <si>
    <t>gene21757-v1.0-hybrid</t>
  </si>
  <si>
    <t>gene22358-v1.0-hybrid</t>
  </si>
  <si>
    <t>gene23261-v1.0-hybrid</t>
  </si>
  <si>
    <t>gene23561-v1.0-hybrid</t>
  </si>
  <si>
    <t>gene24162-v1.0-hybrid</t>
  </si>
  <si>
    <t>gene24764-v1.0-hybrid</t>
  </si>
  <si>
    <t>gene25066-v1.0-hybrid</t>
  </si>
  <si>
    <t>gene25366-v1.0-hybrid</t>
  </si>
  <si>
    <t>gene25666-v1.0-hybrid</t>
  </si>
  <si>
    <t>gene25966-v1.0-hybrid</t>
  </si>
  <si>
    <t>gene26266-v1.0-hybrid</t>
  </si>
  <si>
    <t>gene26566-v1.0-hybrid</t>
  </si>
  <si>
    <t>gene27167-v1.0-hybrid</t>
  </si>
  <si>
    <t>gene27467-v1.0-hybrid</t>
  </si>
  <si>
    <t>gene28067-v1.0-hybrid</t>
  </si>
  <si>
    <t>gene28367-v1.0-hybrid</t>
  </si>
  <si>
    <t>gene28667-v1.0-hybrid</t>
  </si>
  <si>
    <t>gene29267-v1.0-hybrid</t>
  </si>
  <si>
    <t>gene29567-v1.0-hybrid</t>
  </si>
  <si>
    <t>gene29869-v1.0-hybrid</t>
  </si>
  <si>
    <t>gene30169-v1.0-hybrid</t>
  </si>
  <si>
    <t>gene30769-v1.0-hybrid</t>
  </si>
  <si>
    <t>gene31369-v1.0-hybrid</t>
  </si>
  <si>
    <t>gene31669-v1.0-hybrid</t>
  </si>
  <si>
    <t>gene31969-v1.0-hybrid</t>
  </si>
  <si>
    <t>gene32569-v1.0-hybrid</t>
  </si>
  <si>
    <t>gene33319-v1.0-hybrid</t>
  </si>
  <si>
    <t>gene33721-v1.0-hybrid</t>
  </si>
  <si>
    <t>gene34034-v1.0-hybrid</t>
  </si>
  <si>
    <t>gene34634-v1.0-hybrid</t>
  </si>
  <si>
    <t>gene34934-v1.0-hybrid</t>
  </si>
  <si>
    <t>gene00346-v1.0-hybrid</t>
  </si>
  <si>
    <t>gene00650-v1.0-hybrid</t>
  </si>
  <si>
    <t>gene00950-v1.0-hybrid</t>
  </si>
  <si>
    <t>gene01851-v1.0-hybrid</t>
  </si>
  <si>
    <t>gene02151-v1.0-hybrid</t>
  </si>
  <si>
    <t>gene03439-v1.0-hybrid</t>
  </si>
  <si>
    <t>gene03739-v1.0-hybrid</t>
  </si>
  <si>
    <t>gene04039-v1.0-hybrid</t>
  </si>
  <si>
    <t>gene04339-v1.0-hybrid</t>
  </si>
  <si>
    <t>gene04639-v1.0-hybrid</t>
  </si>
  <si>
    <t>gene04939-v1.0-hybrid</t>
  </si>
  <si>
    <t>gene05540-v1.0-hybrid</t>
  </si>
  <si>
    <t>gene05840-v1.0-hybrid</t>
  </si>
  <si>
    <t>gene06440-v1.0-hybrid</t>
  </si>
  <si>
    <t>gene06740-v1.0-hybrid</t>
  </si>
  <si>
    <t>gene07040-v1.0-hybrid</t>
  </si>
  <si>
    <t>gene07340-v1.0-hybrid</t>
  </si>
  <si>
    <t>gene07640-v1.0-hybrid</t>
  </si>
  <si>
    <t>gene07941-v1.0-hybrid</t>
  </si>
  <si>
    <t>gene08241-v1.0-hybrid</t>
  </si>
  <si>
    <t>gene08541-v1.0-hybrid</t>
  </si>
  <si>
    <t>gene08841-v1.0-hybrid</t>
  </si>
  <si>
    <t>gene09141-v1.0-hybrid</t>
  </si>
  <si>
    <t>gene09741-v1.0-hybrid</t>
  </si>
  <si>
    <t>gene10042-v1.0-hybrid</t>
  </si>
  <si>
    <t>gene10342-v1.0-hybrid</t>
  </si>
  <si>
    <t>gene10643-v1.0-hybrid</t>
  </si>
  <si>
    <t>gene10943-v1.0-hybrid</t>
  </si>
  <si>
    <t>gene11244-v1.0-hybrid</t>
  </si>
  <si>
    <t>gene11844-v1.0-hybrid</t>
  </si>
  <si>
    <t>gene12444-v1.0-hybrid</t>
  </si>
  <si>
    <t>gene13045-v1.0-hybrid</t>
  </si>
  <si>
    <t>gene13345-v1.0-hybrid</t>
  </si>
  <si>
    <t>gene13645-v1.0-hybrid</t>
  </si>
  <si>
    <t>gene13946-v1.0-hybrid</t>
  </si>
  <si>
    <t>gene14549-v1.0-hybrid</t>
  </si>
  <si>
    <t>gene15151-v1.0-hybrid</t>
  </si>
  <si>
    <t>gene15452-v1.0-hybrid</t>
  </si>
  <si>
    <t>gene15753-v1.0-hybrid</t>
  </si>
  <si>
    <t>gene16354-v1.0-hybrid</t>
  </si>
  <si>
    <t>gene16654-v1.0-hybrid</t>
  </si>
  <si>
    <t>gene17556-v1.0-hybrid</t>
  </si>
  <si>
    <t>gene17856-v1.0-hybrid</t>
  </si>
  <si>
    <t>gene18156-v1.0-hybrid</t>
  </si>
  <si>
    <t>gene18456-v1.0-hybrid</t>
  </si>
  <si>
    <t>gene18756-v1.0-hybrid</t>
  </si>
  <si>
    <t>gene19056-v1.0-hybrid</t>
  </si>
  <si>
    <t>gene19356-v1.0-hybrid</t>
  </si>
  <si>
    <t>gene19956-v1.0-hybrid</t>
  </si>
  <si>
    <t>gene20857-v1.0-hybrid</t>
  </si>
  <si>
    <t>gene21157-v1.0-hybrid</t>
  </si>
  <si>
    <t>gene21758-v1.0-hybrid</t>
  </si>
  <si>
    <t>gene22058-v1.0-hybrid</t>
  </si>
  <si>
    <t>gene22960-v1.0-hybrid</t>
  </si>
  <si>
    <t>gene23562-v1.0-hybrid</t>
  </si>
  <si>
    <t>gene23862-v1.0-hybrid</t>
  </si>
  <si>
    <t>gene24163-v1.0-hybrid</t>
  </si>
  <si>
    <t>gene24465-v1.0-hybrid</t>
  </si>
  <si>
    <t>gene25367-v1.0-hybrid</t>
  </si>
  <si>
    <t>gene25967-v1.0-hybrid</t>
  </si>
  <si>
    <t>gene26267-v1.0-hybrid</t>
  </si>
  <si>
    <t>gene26567-v1.0-hybrid</t>
  </si>
  <si>
    <t>gene27168-v1.0-hybrid</t>
  </si>
  <si>
    <t>gene27768-v1.0-hybrid</t>
  </si>
  <si>
    <t>gene28368-v1.0-hybrid</t>
  </si>
  <si>
    <t>gene28668-v1.0-hybrid</t>
  </si>
  <si>
    <t>gene29268-v1.0-hybrid</t>
  </si>
  <si>
    <t>gene29568-v1.0-hybrid</t>
  </si>
  <si>
    <t>gene29870-v1.0-hybrid</t>
  </si>
  <si>
    <t>gene30170-v1.0-hybrid</t>
  </si>
  <si>
    <t>gene30470-v1.0-hybrid</t>
  </si>
  <si>
    <t>gene30770-v1.0-hybrid</t>
  </si>
  <si>
    <t>gene31070-v1.0-hybrid</t>
  </si>
  <si>
    <t>gene31370-v1.0-hybrid</t>
  </si>
  <si>
    <t>gene32270-v1.0-hybrid</t>
  </si>
  <si>
    <t>gene32570-v1.0-hybrid</t>
  </si>
  <si>
    <t>gene32916-v1.0-hybrid</t>
  </si>
  <si>
    <t>gene33320-v1.0-hybrid</t>
  </si>
  <si>
    <t>gene33722-v1.0-hybrid</t>
  </si>
  <si>
    <t>gene34935-v1.0-hybrid</t>
  </si>
  <si>
    <t>gene00651-v1.0-hybrid</t>
  </si>
  <si>
    <t>gene00951-v1.0-hybrid</t>
  </si>
  <si>
    <t>gene01251-v1.0-hybrid</t>
  </si>
  <si>
    <t>gene01852-v1.0-hybrid</t>
  </si>
  <si>
    <t>gene02152-v1.0-hybrid</t>
  </si>
  <si>
    <t>gene02452-v1.0-hybrid</t>
  </si>
  <si>
    <t>gene03140-v1.0-hybrid</t>
  </si>
  <si>
    <t>gene03440-v1.0-hybrid</t>
  </si>
  <si>
    <t>gene03740-v1.0-hybrid</t>
  </si>
  <si>
    <t>gene04040-v1.0-hybrid</t>
  </si>
  <si>
    <t>gene04340-v1.0-hybrid</t>
  </si>
  <si>
    <t>gene04640-v1.0-hybrid</t>
  </si>
  <si>
    <t>gene04940-v1.0-hybrid</t>
  </si>
  <si>
    <t>gene05240-v1.0-hybrid</t>
  </si>
  <si>
    <t>gene05541-v1.0-hybrid</t>
  </si>
  <si>
    <t>gene06141-v1.0-hybrid</t>
  </si>
  <si>
    <t>gene06441-v1.0-hybrid</t>
  </si>
  <si>
    <t>gene06741-v1.0-hybrid</t>
  </si>
  <si>
    <t>gene07041-v1.0-hybrid</t>
  </si>
  <si>
    <t>gene07341-v1.0-hybrid</t>
  </si>
  <si>
    <t>gene07641-v1.0-hybrid</t>
  </si>
  <si>
    <t>gene07942-v1.0-hybrid</t>
  </si>
  <si>
    <t>gene08242-v1.0-hybrid</t>
  </si>
  <si>
    <t>gene08542-v1.0-hybrid</t>
  </si>
  <si>
    <t>gene08842-v1.0-hybrid</t>
  </si>
  <si>
    <t>gene09142-v1.0-hybrid</t>
  </si>
  <si>
    <t>gene09442-v1.0-hybrid</t>
  </si>
  <si>
    <t>gene09742-v1.0-hybrid</t>
  </si>
  <si>
    <t>gene10043-v1.0-hybrid</t>
  </si>
  <si>
    <t>gene10343-v1.0-hybrid</t>
  </si>
  <si>
    <t>gene10644-v1.0-hybrid</t>
  </si>
  <si>
    <t>gene11245-v1.0-hybrid</t>
  </si>
  <si>
    <t>gene11545-v1.0-hybrid</t>
  </si>
  <si>
    <t>gene11845-v1.0-hybrid</t>
  </si>
  <si>
    <t>gene12145-v1.0-hybrid</t>
  </si>
  <si>
    <t>gene12445-v1.0-hybrid</t>
  </si>
  <si>
    <t>gene12745-v1.0-hybrid</t>
  </si>
  <si>
    <t>gene13046-v1.0-hybrid</t>
  </si>
  <si>
    <t>gene13346-v1.0-hybrid</t>
  </si>
  <si>
    <t>gene13646-v1.0-hybrid</t>
  </si>
  <si>
    <t>gene13947-v1.0-hybrid</t>
  </si>
  <si>
    <t>gene14248-v1.0-hybrid</t>
  </si>
  <si>
    <t>gene14550-v1.0-hybrid</t>
  </si>
  <si>
    <t>gene14851-v1.0-hybrid</t>
  </si>
  <si>
    <t>gene15152-v1.0-hybrid</t>
  </si>
  <si>
    <t>gene15453-v1.0-hybrid</t>
  </si>
  <si>
    <t>gene16355-v1.0-hybrid</t>
  </si>
  <si>
    <t>gene16655-v1.0-hybrid</t>
  </si>
  <si>
    <t>gene16957-v1.0-hybrid</t>
  </si>
  <si>
    <t>gene17557-v1.0-hybrid</t>
  </si>
  <si>
    <t>gene17857-v1.0-hybrid</t>
  </si>
  <si>
    <t>gene18457-v1.0-hybrid</t>
  </si>
  <si>
    <t>gene18757-v1.0-hybrid</t>
  </si>
  <si>
    <t>gene19057-v1.0-hybrid</t>
  </si>
  <si>
    <t>gene19357-v1.0-hybrid</t>
  </si>
  <si>
    <t>gene19657-v1.0-hybrid</t>
  </si>
  <si>
    <t>gene19957-v1.0-hybrid</t>
  </si>
  <si>
    <t>gene20258-v1.0-hybrid</t>
  </si>
  <si>
    <t>gene20558-v1.0-hybrid</t>
  </si>
  <si>
    <t>gene20858-v1.0-hybrid</t>
  </si>
  <si>
    <t>gene21158-v1.0-hybrid</t>
  </si>
  <si>
    <t>gene21759-v1.0-hybrid</t>
  </si>
  <si>
    <t>gene22360-v1.0-hybrid</t>
  </si>
  <si>
    <t>gene22660-v1.0-hybrid</t>
  </si>
  <si>
    <t>gene22961-v1.0-hybrid</t>
  </si>
  <si>
    <t>gene23263-v1.0-hybrid</t>
  </si>
  <si>
    <t>gene23563-v1.0-hybrid</t>
  </si>
  <si>
    <t>gene23863-v1.0-hybrid</t>
  </si>
  <si>
    <t>gene24466-v1.0-hybrid</t>
  </si>
  <si>
    <t>gene25368-v1.0-hybrid</t>
  </si>
  <si>
    <t>gene25668-v1.0-hybrid</t>
  </si>
  <si>
    <t>gene25968-v1.0-hybrid</t>
  </si>
  <si>
    <t>gene26568-v1.0-hybrid</t>
  </si>
  <si>
    <t>gene26869-v1.0-hybrid</t>
  </si>
  <si>
    <t>gene27469-v1.0-hybrid</t>
  </si>
  <si>
    <t>gene28369-v1.0-hybrid</t>
  </si>
  <si>
    <t>gene28669-v1.0-hybrid</t>
  </si>
  <si>
    <t>gene28969-v1.0-hybrid</t>
  </si>
  <si>
    <t>gene29269-v1.0-hybrid</t>
  </si>
  <si>
    <t>gene29569-v1.0-hybrid</t>
  </si>
  <si>
    <t>gene29871-v1.0-hybrid</t>
  </si>
  <si>
    <t>gene30471-v1.0-hybrid</t>
  </si>
  <si>
    <t>gene30771-v1.0-hybrid</t>
  </si>
  <si>
    <t>gene31071-v1.0-hybrid</t>
  </si>
  <si>
    <t>gene31371-v1.0-hybrid</t>
  </si>
  <si>
    <t>gene31671-v1.0-hybrid</t>
  </si>
  <si>
    <t>gene32271-v1.0-hybrid</t>
  </si>
  <si>
    <t>gene34036-v1.0-hybrid</t>
  </si>
  <si>
    <t>gene34336-v1.0-hybrid</t>
  </si>
  <si>
    <t>gene00348-v1.0-hybrid</t>
  </si>
  <si>
    <t>gene00652-v1.0-hybrid</t>
  </si>
  <si>
    <t>gene00952-v1.0-hybrid</t>
  </si>
  <si>
    <t>gene01252-v1.0-hybrid</t>
  </si>
  <si>
    <t>gene01553-v1.0-hybrid</t>
  </si>
  <si>
    <t>gene01853-v1.0-hybrid</t>
  </si>
  <si>
    <t>gene02453-v1.0-hybrid</t>
  </si>
  <si>
    <t>gene03141-v1.0-hybrid</t>
  </si>
  <si>
    <t>gene03441-v1.0-hybrid</t>
  </si>
  <si>
    <t>gene03741-v1.0-hybrid</t>
  </si>
  <si>
    <t>gene04041-v1.0-hybrid</t>
  </si>
  <si>
    <t>gene04341-v1.0-hybrid</t>
  </si>
  <si>
    <t>gene04641-v1.0-hybrid</t>
  </si>
  <si>
    <t>gene04941-v1.0-hybrid</t>
  </si>
  <si>
    <t>gene05542-v1.0-hybrid</t>
  </si>
  <si>
    <t>gene05842-v1.0-hybrid</t>
  </si>
  <si>
    <t>gene06142-v1.0-hybrid</t>
  </si>
  <si>
    <t>gene06442-v1.0-hybrid</t>
  </si>
  <si>
    <t>gene06742-v1.0-hybrid</t>
  </si>
  <si>
    <t>gene07042-v1.0-hybrid</t>
  </si>
  <si>
    <t>gene07342-v1.0-hybrid</t>
  </si>
  <si>
    <t>gene07642-v1.0-hybrid</t>
  </si>
  <si>
    <t>gene07943-v1.0-hybrid</t>
  </si>
  <si>
    <t>gene08243-v1.0-hybrid</t>
  </si>
  <si>
    <t>gene08543-v1.0-hybrid</t>
  </si>
  <si>
    <t>gene09143-v1.0-hybrid</t>
  </si>
  <si>
    <t>gene09743-v1.0-hybrid</t>
  </si>
  <si>
    <t>gene10344-v1.0-hybrid</t>
  </si>
  <si>
    <t>gene11246-v1.0-hybrid</t>
  </si>
  <si>
    <t>gene11546-v1.0-hybrid</t>
  </si>
  <si>
    <t>gene11846-v1.0-hybrid</t>
  </si>
  <si>
    <t>gene12146-v1.0-hybrid</t>
  </si>
  <si>
    <t>gene12446-v1.0-hybrid</t>
  </si>
  <si>
    <t>gene13047-v1.0-hybrid</t>
  </si>
  <si>
    <t>gene13647-v1.0-hybrid</t>
  </si>
  <si>
    <t>gene13948-v1.0-hybrid</t>
  </si>
  <si>
    <t>gene14249-v1.0-hybrid</t>
  </si>
  <si>
    <t>gene14551-v1.0-hybrid</t>
  </si>
  <si>
    <t>gene14852-v1.0-hybrid</t>
  </si>
  <si>
    <t>gene15153-v1.0-hybrid</t>
  </si>
  <si>
    <t>gene15454-v1.0-hybrid</t>
  </si>
  <si>
    <t>gene15755-v1.0-hybrid</t>
  </si>
  <si>
    <t>gene16056-v1.0-hybrid</t>
  </si>
  <si>
    <t>gene16656-v1.0-hybrid</t>
  </si>
  <si>
    <t>gene17258-v1.0-hybrid</t>
  </si>
  <si>
    <t>gene17558-v1.0-hybrid</t>
  </si>
  <si>
    <t>gene18158-v1.0-hybrid</t>
  </si>
  <si>
    <t>gene18458-v1.0-hybrid</t>
  </si>
  <si>
    <t>gene18758-v1.0-hybrid</t>
  </si>
  <si>
    <t>gene19058-v1.0-hybrid</t>
  </si>
  <si>
    <t>gene19958-v1.0-hybrid</t>
  </si>
  <si>
    <t>gene20259-v1.0-hybrid</t>
  </si>
  <si>
    <t>gene20559-v1.0-hybrid</t>
  </si>
  <si>
    <t>gene20859-v1.0-hybrid</t>
  </si>
  <si>
    <t>gene21159-v1.0-hybrid</t>
  </si>
  <si>
    <t>gene21760-v1.0-hybrid</t>
  </si>
  <si>
    <t>gene22060-v1.0-hybrid</t>
  </si>
  <si>
    <t>gene22361-v1.0-hybrid</t>
  </si>
  <si>
    <t>gene22962-v1.0-hybrid</t>
  </si>
  <si>
    <t>gene23264-v1.0-hybrid</t>
  </si>
  <si>
    <t>gene23564-v1.0-hybrid</t>
  </si>
  <si>
    <t>gene23864-v1.0-hybrid</t>
  </si>
  <si>
    <t>gene24165-v1.0-hybrid</t>
  </si>
  <si>
    <t>gene24467-v1.0-hybrid</t>
  </si>
  <si>
    <t>gene25069-v1.0-hybrid</t>
  </si>
  <si>
    <t>gene25369-v1.0-hybrid</t>
  </si>
  <si>
    <t>gene25669-v1.0-hybrid</t>
  </si>
  <si>
    <t>gene25969-v1.0-hybrid</t>
  </si>
  <si>
    <t>gene26269-v1.0-hybrid</t>
  </si>
  <si>
    <t>gene26870-v1.0-hybrid</t>
  </si>
  <si>
    <t>gene27470-v1.0-hybrid</t>
  </si>
  <si>
    <t>gene27770-v1.0-hybrid</t>
  </si>
  <si>
    <t>gene28070-v1.0-hybrid</t>
  </si>
  <si>
    <t>gene28370-v1.0-hybrid</t>
  </si>
  <si>
    <t>gene28970-v1.0-hybrid</t>
  </si>
  <si>
    <t>gene29270-v1.0-hybrid</t>
  </si>
  <si>
    <t>gene29570-v1.0-hybrid</t>
  </si>
  <si>
    <t>gene30172-v1.0-hybrid</t>
  </si>
  <si>
    <t>gene30472-v1.0-hybrid</t>
  </si>
  <si>
    <t>gene30772-v1.0-hybrid</t>
  </si>
  <si>
    <t>gene31072-v1.0-hybrid</t>
  </si>
  <si>
    <t>gene31372-v1.0-hybrid</t>
  </si>
  <si>
    <t>gene31672-v1.0-hybrid</t>
  </si>
  <si>
    <t>gene31972-v1.0-hybrid</t>
  </si>
  <si>
    <t>gene32272-v1.0-hybrid</t>
  </si>
  <si>
    <t>gene33724-v1.0-hybrid</t>
  </si>
  <si>
    <t>gene34037-v1.0-hybrid</t>
  </si>
  <si>
    <t>gene34637-v1.0-hybrid</t>
  </si>
  <si>
    <t>gene34937-v1.0-hybrid</t>
  </si>
  <si>
    <t>gene00349-v1.0-hybrid</t>
  </si>
  <si>
    <t>gene00653-v1.0-hybrid</t>
  </si>
  <si>
    <t>gene00953-v1.0-hybrid</t>
  </si>
  <si>
    <t>gene01253-v1.0-hybrid</t>
  </si>
  <si>
    <t>gene01554-v1.0-hybrid</t>
  </si>
  <si>
    <t>gene01854-v1.0-hybrid</t>
  </si>
  <si>
    <t>gene02154-v1.0-hybrid</t>
  </si>
  <si>
    <t>gene03142-v1.0-hybrid</t>
  </si>
  <si>
    <t>gene03442-v1.0-hybrid</t>
  </si>
  <si>
    <t>gene03742-v1.0-hybrid</t>
  </si>
  <si>
    <t>gene04042-v1.0-hybrid</t>
  </si>
  <si>
    <t>gene04342-v1.0-hybrid</t>
  </si>
  <si>
    <t>gene04642-v1.0-hybrid</t>
  </si>
  <si>
    <t>gene04942-v1.0-hybrid</t>
  </si>
  <si>
    <t>gene05843-v1.0-hybrid</t>
  </si>
  <si>
    <t>gene06143-v1.0-hybrid</t>
  </si>
  <si>
    <t>gene06443-v1.0-hybrid</t>
  </si>
  <si>
    <t>gene06743-v1.0-hybrid</t>
  </si>
  <si>
    <t>gene07043-v1.0-hybrid</t>
  </si>
  <si>
    <t>gene07343-v1.0-hybrid</t>
  </si>
  <si>
    <t>gene07643-v1.0-hybrid</t>
  </si>
  <si>
    <t>gene08544-v1.0-hybrid</t>
  </si>
  <si>
    <t>gene08844-v1.0-hybrid</t>
  </si>
  <si>
    <t>gene09144-v1.0-hybrid</t>
  </si>
  <si>
    <t>gene09744-v1.0-hybrid</t>
  </si>
  <si>
    <t>gene10045-v1.0-hybrid</t>
  </si>
  <si>
    <t>gene10646-v1.0-hybrid</t>
  </si>
  <si>
    <t>gene10946-v1.0-hybrid</t>
  </si>
  <si>
    <t>gene11247-v1.0-hybrid</t>
  </si>
  <si>
    <t>gene11547-v1.0-hybrid</t>
  </si>
  <si>
    <t>gene11847-v1.0-hybrid</t>
  </si>
  <si>
    <t>gene12147-v1.0-hybrid</t>
  </si>
  <si>
    <t>gene12447-v1.0-hybrid</t>
  </si>
  <si>
    <t>gene12747-v1.0-hybrid</t>
  </si>
  <si>
    <t>gene13048-v1.0-hybrid</t>
  </si>
  <si>
    <t>gene13348-v1.0-hybrid</t>
  </si>
  <si>
    <t>gene13648-v1.0-hybrid</t>
  </si>
  <si>
    <t>gene13949-v1.0-hybrid</t>
  </si>
  <si>
    <t>gene14250-v1.0-hybrid</t>
  </si>
  <si>
    <t>gene14552-v1.0-hybrid</t>
  </si>
  <si>
    <t>gene15154-v1.0-hybrid</t>
  </si>
  <si>
    <t>gene15756-v1.0-hybrid</t>
  </si>
  <si>
    <t>gene16057-v1.0-hybrid</t>
  </si>
  <si>
    <t>gene16357-v1.0-hybrid</t>
  </si>
  <si>
    <t>gene16657-v1.0-hybrid</t>
  </si>
  <si>
    <t>gene16959-v1.0-hybrid</t>
  </si>
  <si>
    <t>gene17259-v1.0-hybrid</t>
  </si>
  <si>
    <t>gene17859-v1.0-hybrid</t>
  </si>
  <si>
    <t>gene18459-v1.0-hybrid</t>
  </si>
  <si>
    <t>gene19059-v1.0-hybrid</t>
  </si>
  <si>
    <t>gene19959-v1.0-hybrid</t>
  </si>
  <si>
    <t>gene20260-v1.0-hybrid</t>
  </si>
  <si>
    <t>gene20560-v1.0-hybrid</t>
  </si>
  <si>
    <t>gene20860-v1.0-hybrid</t>
  </si>
  <si>
    <t>gene21461-v1.0-hybrid</t>
  </si>
  <si>
    <t>gene21761-v1.0-hybrid</t>
  </si>
  <si>
    <t>gene22061-v1.0-hybrid</t>
  </si>
  <si>
    <t>gene22362-v1.0-hybrid</t>
  </si>
  <si>
    <t>gene22662-v1.0-hybrid</t>
  </si>
  <si>
    <t>gene22963-v1.0-hybrid</t>
  </si>
  <si>
    <t>gene23265-v1.0-hybrid</t>
  </si>
  <si>
    <t>gene23565-v1.0-hybrid</t>
  </si>
  <si>
    <t>gene24166-v1.0-hybrid</t>
  </si>
  <si>
    <t>gene24468-v1.0-hybrid</t>
  </si>
  <si>
    <t>gene24768-v1.0-hybrid</t>
  </si>
  <si>
    <t>gene25070-v1.0-hybrid</t>
  </si>
  <si>
    <t>gene25670-v1.0-hybrid</t>
  </si>
  <si>
    <t>gene25970-v1.0-hybrid</t>
  </si>
  <si>
    <t>gene26570-v1.0-hybrid</t>
  </si>
  <si>
    <t>gene27171-v1.0-hybrid</t>
  </si>
  <si>
    <t>gene27771-v1.0-hybrid</t>
  </si>
  <si>
    <t>gene28071-v1.0-hybrid</t>
  </si>
  <si>
    <t>gene28371-v1.0-hybrid</t>
  </si>
  <si>
    <t>gene28671-v1.0-hybrid</t>
  </si>
  <si>
    <t>gene28971-v1.0-hybrid</t>
  </si>
  <si>
    <t>gene29271-v1.0-hybrid</t>
  </si>
  <si>
    <t>gene29873-v1.0-hybrid</t>
  </si>
  <si>
    <t>gene30173-v1.0-hybrid</t>
  </si>
  <si>
    <t>gene30473-v1.0-hybrid</t>
  </si>
  <si>
    <t>gene30773-v1.0-hybrid</t>
  </si>
  <si>
    <t>gene31073-v1.0-hybrid</t>
  </si>
  <si>
    <t>gene31373-v1.0-hybrid</t>
  </si>
  <si>
    <t>gene31673-v1.0-hybrid</t>
  </si>
  <si>
    <t>gene31973-v1.0-hybrid</t>
  </si>
  <si>
    <t>gene32273-v1.0-hybrid</t>
  </si>
  <si>
    <t>gene32573-v1.0-hybrid</t>
  </si>
  <si>
    <t>gene34038-v1.0-hybrid</t>
  </si>
  <si>
    <t>gene34638-v1.0-hybrid</t>
  </si>
  <si>
    <t>gene34938-v1.0-hybrid</t>
  </si>
  <si>
    <t>gene00350-v1.0-hybrid</t>
  </si>
  <si>
    <t>gene00654-v1.0-hybrid</t>
  </si>
  <si>
    <t>gene00954-v1.0-hybrid</t>
  </si>
  <si>
    <t>gene01254-v1.0-hybrid</t>
  </si>
  <si>
    <t>gene01555-v1.0-hybrid</t>
  </si>
  <si>
    <t>gene01855-v1.0-hybrid</t>
  </si>
  <si>
    <t>gene02155-v1.0-hybrid</t>
  </si>
  <si>
    <t>gene02455-v1.0-hybrid</t>
  </si>
  <si>
    <t>gene03143-v1.0-hybrid</t>
  </si>
  <si>
    <t>gene03443-v1.0-hybrid</t>
  </si>
  <si>
    <t>gene03743-v1.0-hybrid</t>
  </si>
  <si>
    <t>gene04043-v1.0-hybrid</t>
  </si>
  <si>
    <t>gene04343-v1.0-hybrid</t>
  </si>
  <si>
    <t>gene04643-v1.0-hybrid</t>
  </si>
  <si>
    <t>gene04943-v1.0-hybrid</t>
  </si>
  <si>
    <t>gene05844-v1.0-hybrid</t>
  </si>
  <si>
    <t>gene06144-v1.0-hybrid</t>
  </si>
  <si>
    <t>gene07344-v1.0-hybrid</t>
  </si>
  <si>
    <t>gene07644-v1.0-hybrid</t>
  </si>
  <si>
    <t>gene07945-v1.0-hybrid</t>
  </si>
  <si>
    <t>gene08245-v1.0-hybrid</t>
  </si>
  <si>
    <t>gene08545-v1.0-hybrid</t>
  </si>
  <si>
    <t>gene09145-v1.0-hybrid</t>
  </si>
  <si>
    <t>gene09445-v1.0-hybrid</t>
  </si>
  <si>
    <t>gene10046-v1.0-hybrid</t>
  </si>
  <si>
    <t>gene10346-v1.0-hybrid</t>
  </si>
  <si>
    <t>gene10647-v1.0-hybrid</t>
  </si>
  <si>
    <t>gene10947-v1.0-hybrid</t>
  </si>
  <si>
    <t>gene11248-v1.0-hybrid</t>
  </si>
  <si>
    <t>gene11848-v1.0-hybrid</t>
  </si>
  <si>
    <t>gene12148-v1.0-hybrid</t>
  </si>
  <si>
    <t>gene12448-v1.0-hybrid</t>
  </si>
  <si>
    <t>gene12748-v1.0-hybrid</t>
  </si>
  <si>
    <t>gene13049-v1.0-hybrid</t>
  </si>
  <si>
    <t>gene13349-v1.0-hybrid</t>
  </si>
  <si>
    <t>gene13649-v1.0-hybrid</t>
  </si>
  <si>
    <t>gene13950-v1.0-hybrid</t>
  </si>
  <si>
    <t>gene14553-v1.0-hybrid</t>
  </si>
  <si>
    <t>gene14854-v1.0-hybrid</t>
  </si>
  <si>
    <t>gene15155-v1.0-hybrid</t>
  </si>
  <si>
    <t>gene15456-v1.0-hybrid</t>
  </si>
  <si>
    <t>gene16658-v1.0-hybrid</t>
  </si>
  <si>
    <t>gene16960-v1.0-hybrid</t>
  </si>
  <si>
    <t>gene18460-v1.0-hybrid</t>
  </si>
  <si>
    <t>gene18760-v1.0-hybrid</t>
  </si>
  <si>
    <t>gene19060-v1.0-hybrid</t>
  </si>
  <si>
    <t>gene19360-v1.0-hybrid</t>
  </si>
  <si>
    <t>gene19660-v1.0-hybrid</t>
  </si>
  <si>
    <t>gene19960-v1.0-hybrid</t>
  </si>
  <si>
    <t>gene20261-v1.0-hybrid</t>
  </si>
  <si>
    <t>gene20561-v1.0-hybrid</t>
  </si>
  <si>
    <t>gene20861-v1.0-hybrid</t>
  </si>
  <si>
    <t>gene21161-v1.0-hybrid</t>
  </si>
  <si>
    <t>gene21462-v1.0-hybrid</t>
  </si>
  <si>
    <t>gene21762-v1.0-hybrid</t>
  </si>
  <si>
    <t>gene22363-v1.0-hybrid</t>
  </si>
  <si>
    <t>gene22663-v1.0-hybrid</t>
  </si>
  <si>
    <t>gene23266-v1.0-hybrid</t>
  </si>
  <si>
    <t>gene23566-v1.0-hybrid</t>
  </si>
  <si>
    <t>gene23866-v1.0-hybrid</t>
  </si>
  <si>
    <t>gene24167-v1.0-hybrid</t>
  </si>
  <si>
    <t>gene24469-v1.0-hybrid</t>
  </si>
  <si>
    <t>gene24769-v1.0-hybrid</t>
  </si>
  <si>
    <t>gene25371-v1.0-hybrid</t>
  </si>
  <si>
    <t>gene25971-v1.0-hybrid</t>
  </si>
  <si>
    <t>gene26271-v1.0-hybrid</t>
  </si>
  <si>
    <t>gene26571-v1.0-hybrid</t>
  </si>
  <si>
    <t>gene26872-v1.0-hybrid</t>
  </si>
  <si>
    <t>gene27472-v1.0-hybrid</t>
  </si>
  <si>
    <t>gene27772-v1.0-hybrid</t>
  </si>
  <si>
    <t>gene28072-v1.0-hybrid</t>
  </si>
  <si>
    <t>gene28372-v1.0-hybrid</t>
  </si>
  <si>
    <t>gene28972-v1.0-hybrid</t>
  </si>
  <si>
    <t>gene29272-v1.0-hybrid</t>
  </si>
  <si>
    <t>gene29572-v1.0-hybrid</t>
  </si>
  <si>
    <t>gene29874-v1.0-hybrid</t>
  </si>
  <si>
    <t>gene30174-v1.0-hybrid</t>
  </si>
  <si>
    <t>gene30474-v1.0-hybrid</t>
  </si>
  <si>
    <t>gene30774-v1.0-hybrid</t>
  </si>
  <si>
    <t>gene31074-v1.0-hybrid</t>
  </si>
  <si>
    <t>gene31374-v1.0-hybrid</t>
  </si>
  <si>
    <t>gene31674-v1.0-hybrid</t>
  </si>
  <si>
    <t>gene31974-v1.0-hybrid</t>
  </si>
  <si>
    <t>gene32274-v1.0-hybrid</t>
  </si>
  <si>
    <t>gene32574-v1.0-hybrid</t>
  </si>
  <si>
    <t>gene32921-v1.0-hybrid</t>
  </si>
  <si>
    <t>gene33726-v1.0-hybrid</t>
  </si>
  <si>
    <t>gene34039-v1.0-hybrid</t>
  </si>
  <si>
    <t>gene34339-v1.0-hybrid</t>
  </si>
  <si>
    <t>gene34639-v1.0-hybrid</t>
  </si>
  <si>
    <t>gene00351-v1.0-hybrid</t>
  </si>
  <si>
    <t>gene00655-v1.0-hybrid</t>
  </si>
  <si>
    <t>gene00955-v1.0-hybrid</t>
  </si>
  <si>
    <t>gene01255-v1.0-hybrid</t>
  </si>
  <si>
    <t>gene01556-v1.0-hybrid</t>
  </si>
  <si>
    <t>gene01856-v1.0-hybrid</t>
  </si>
  <si>
    <t>gene02456-v1.0-hybrid</t>
  </si>
  <si>
    <t>gene03144-v1.0-hybrid</t>
  </si>
  <si>
    <t>gene03744-v1.0-hybrid</t>
  </si>
  <si>
    <t>gene04044-v1.0-hybrid</t>
  </si>
  <si>
    <t>gene04344-v1.0-hybrid</t>
  </si>
  <si>
    <t>gene04644-v1.0-hybrid</t>
  </si>
  <si>
    <t>gene04944-v1.0-hybrid</t>
  </si>
  <si>
    <t>gene05244-v1.0-hybrid</t>
  </si>
  <si>
    <t>gene05545-v1.0-hybrid</t>
  </si>
  <si>
    <t>gene06145-v1.0-hybrid</t>
  </si>
  <si>
    <t>gene07045-v1.0-hybrid</t>
  </si>
  <si>
    <t>gene07345-v1.0-hybrid</t>
  </si>
  <si>
    <t>gene07645-v1.0-hybrid</t>
  </si>
  <si>
    <t>gene07946-v1.0-hybrid</t>
  </si>
  <si>
    <t>gene08546-v1.0-hybrid</t>
  </si>
  <si>
    <t>gene09146-v1.0-hybrid</t>
  </si>
  <si>
    <t>gene09446-v1.0-hybrid</t>
  </si>
  <si>
    <t>gene09746-v1.0-hybrid</t>
  </si>
  <si>
    <t>gene10047-v1.0-hybrid</t>
  </si>
  <si>
    <t>gene10347-v1.0-hybrid</t>
  </si>
  <si>
    <t>gene10648-v1.0-hybrid</t>
  </si>
  <si>
    <t>gene11249-v1.0-hybrid</t>
  </si>
  <si>
    <t>gene11549-v1.0-hybrid</t>
  </si>
  <si>
    <t>gene11849-v1.0-hybrid</t>
  </si>
  <si>
    <t>gene12149-v1.0-hybrid</t>
  </si>
  <si>
    <t>gene12749-v1.0-hybrid</t>
  </si>
  <si>
    <t>gene13050-v1.0-hybrid</t>
  </si>
  <si>
    <t>gene13350-v1.0-hybrid</t>
  </si>
  <si>
    <t>gene13650-v1.0-hybrid</t>
  </si>
  <si>
    <t>gene14252-v1.0-hybrid</t>
  </si>
  <si>
    <t>gene14554-v1.0-hybrid</t>
  </si>
  <si>
    <t>gene15156-v1.0-hybrid</t>
  </si>
  <si>
    <t>gene15457-v1.0-hybrid</t>
  </si>
  <si>
    <t>gene15758-v1.0-hybrid</t>
  </si>
  <si>
    <t>gene16059-v1.0-hybrid</t>
  </si>
  <si>
    <t>gene16659-v1.0-hybrid</t>
  </si>
  <si>
    <t>gene17261-v1.0-hybrid</t>
  </si>
  <si>
    <t>gene17561-v1.0-hybrid</t>
  </si>
  <si>
    <t>gene17861-v1.0-hybrid</t>
  </si>
  <si>
    <t>gene18161-v1.0-hybrid</t>
  </si>
  <si>
    <t>gene18461-v1.0-hybrid</t>
  </si>
  <si>
    <t>gene18761-v1.0-hybrid</t>
  </si>
  <si>
    <t>gene19061-v1.0-hybrid</t>
  </si>
  <si>
    <t>gene19361-v1.0-hybrid</t>
  </si>
  <si>
    <t>gene19961-v1.0-hybrid</t>
  </si>
  <si>
    <t>gene20562-v1.0-hybrid</t>
  </si>
  <si>
    <t>gene21162-v1.0-hybrid</t>
  </si>
  <si>
    <t>gene21463-v1.0-hybrid</t>
  </si>
  <si>
    <t>gene21763-v1.0-hybrid</t>
  </si>
  <si>
    <t>gene22063-v1.0-hybrid</t>
  </si>
  <si>
    <t>gene22664-v1.0-hybrid</t>
  </si>
  <si>
    <t>gene22965-v1.0-hybrid</t>
  </si>
  <si>
    <t>gene23267-v1.0-hybrid</t>
  </si>
  <si>
    <t>gene23867-v1.0-hybrid</t>
  </si>
  <si>
    <t>gene24168-v1.0-hybrid</t>
  </si>
  <si>
    <t>gene24770-v1.0-hybrid</t>
  </si>
  <si>
    <t>gene25072-v1.0-hybrid</t>
  </si>
  <si>
    <t>gene25372-v1.0-hybrid</t>
  </si>
  <si>
    <t>gene25672-v1.0-hybrid</t>
  </si>
  <si>
    <t>gene25972-v1.0-hybrid</t>
  </si>
  <si>
    <t>gene26272-v1.0-hybrid</t>
  </si>
  <si>
    <t>gene26572-v1.0-hybrid</t>
  </si>
  <si>
    <t>gene27473-v1.0-hybrid</t>
  </si>
  <si>
    <t>gene27773-v1.0-hybrid</t>
  </si>
  <si>
    <t>gene28373-v1.0-hybrid</t>
  </si>
  <si>
    <t>gene28973-v1.0-hybrid</t>
  </si>
  <si>
    <t>gene30475-v1.0-hybrid</t>
  </si>
  <si>
    <t>gene30775-v1.0-hybrid</t>
  </si>
  <si>
    <t>gene31375-v1.0-hybrid</t>
  </si>
  <si>
    <t>gene31675-v1.0-hybrid</t>
  </si>
  <si>
    <t>gene31975-v1.0-hybrid</t>
  </si>
  <si>
    <t>gene32275-v1.0-hybrid</t>
  </si>
  <si>
    <t>gene33329-v1.0-hybrid</t>
  </si>
  <si>
    <t>gene34040-v1.0-hybrid</t>
  </si>
  <si>
    <t>gene34340-v1.0-hybrid</t>
  </si>
  <si>
    <t>gene34940-v1.0-hybrid</t>
  </si>
  <si>
    <t>gene00352-v1.0-hybrid</t>
  </si>
  <si>
    <t>gene00656-v1.0-hybrid</t>
  </si>
  <si>
    <t>gene00956-v1.0-hybrid</t>
  </si>
  <si>
    <t>gene01256-v1.0-hybrid</t>
  </si>
  <si>
    <t>gene01557-v1.0-hybrid</t>
  </si>
  <si>
    <t>gene01857-v1.0-hybrid</t>
  </si>
  <si>
    <t>gene02157-v1.0-hybrid</t>
  </si>
  <si>
    <t>gene02457-v1.0-hybrid</t>
  </si>
  <si>
    <t>gene02763-v1.0-hybrid</t>
  </si>
  <si>
    <t>gene03745-v1.0-hybrid</t>
  </si>
  <si>
    <t>gene04045-v1.0-hybrid</t>
  </si>
  <si>
    <t>gene04345-v1.0-hybrid</t>
  </si>
  <si>
    <t>gene04645-v1.0-hybrid</t>
  </si>
  <si>
    <t>gene04945-v1.0-hybrid</t>
  </si>
  <si>
    <t>gene05245-v1.0-hybrid</t>
  </si>
  <si>
    <t>gene05546-v1.0-hybrid</t>
  </si>
  <si>
    <t>gene05846-v1.0-hybrid</t>
  </si>
  <si>
    <t>gene06146-v1.0-hybrid</t>
  </si>
  <si>
    <t>gene06446-v1.0-hybrid</t>
  </si>
  <si>
    <t>gene07046-v1.0-hybrid</t>
  </si>
  <si>
    <t>gene07346-v1.0-hybrid</t>
  </si>
  <si>
    <t>gene07646-v1.0-hybrid</t>
  </si>
  <si>
    <t>gene07947-v1.0-hybrid</t>
  </si>
  <si>
    <t>gene08247-v1.0-hybrid</t>
  </si>
  <si>
    <t>gene08547-v1.0-hybrid</t>
  </si>
  <si>
    <t>gene08847-v1.0-hybrid</t>
  </si>
  <si>
    <t>gene09147-v1.0-hybrid</t>
  </si>
  <si>
    <t>gene09447-v1.0-hybrid</t>
  </si>
  <si>
    <t>gene09747-v1.0-hybrid</t>
  </si>
  <si>
    <t>gene10048-v1.0-hybrid</t>
  </si>
  <si>
    <t>gene10649-v1.0-hybrid</t>
  </si>
  <si>
    <t>gene11550-v1.0-hybrid</t>
  </si>
  <si>
    <t>gene11850-v1.0-hybrid</t>
  </si>
  <si>
    <t>gene12150-v1.0-hybrid</t>
  </si>
  <si>
    <t>gene12450-v1.0-hybrid</t>
  </si>
  <si>
    <t>gene12750-v1.0-hybrid</t>
  </si>
  <si>
    <t>gene13051-v1.0-hybrid</t>
  </si>
  <si>
    <t>gene13351-v1.0-hybrid</t>
  </si>
  <si>
    <t>gene13651-v1.0-hybrid</t>
  </si>
  <si>
    <t>gene13952-v1.0-hybrid</t>
  </si>
  <si>
    <t>gene14555-v1.0-hybrid</t>
  </si>
  <si>
    <t>gene14856-v1.0-hybrid</t>
  </si>
  <si>
    <t>gene15157-v1.0-hybrid</t>
  </si>
  <si>
    <t>gene15458-v1.0-hybrid</t>
  </si>
  <si>
    <t>gene15759-v1.0-hybrid</t>
  </si>
  <si>
    <t>gene16660-v1.0-hybrid</t>
  </si>
  <si>
    <t>gene17262-v1.0-hybrid</t>
  </si>
  <si>
    <t>gene17562-v1.0-hybrid</t>
  </si>
  <si>
    <t>gene18162-v1.0-hybrid</t>
  </si>
  <si>
    <t>gene18462-v1.0-hybrid</t>
  </si>
  <si>
    <t>gene18762-v1.0-hybrid</t>
  </si>
  <si>
    <t>gene19062-v1.0-hybrid</t>
  </si>
  <si>
    <t>gene19362-v1.0-hybrid</t>
  </si>
  <si>
    <t>gene19662-v1.0-hybrid</t>
  </si>
  <si>
    <t>gene19962-v1.0-hybrid</t>
  </si>
  <si>
    <t>gene20263-v1.0-hybrid</t>
  </si>
  <si>
    <t>gene20863-v1.0-hybrid</t>
  </si>
  <si>
    <t>gene21163-v1.0-hybrid</t>
  </si>
  <si>
    <t>gene21464-v1.0-hybrid</t>
  </si>
  <si>
    <t>gene21764-v1.0-hybrid</t>
  </si>
  <si>
    <t>gene22064-v1.0-hybrid</t>
  </si>
  <si>
    <t>gene22365-v1.0-hybrid</t>
  </si>
  <si>
    <t>gene22966-v1.0-hybrid</t>
  </si>
  <si>
    <t>gene23568-v1.0-hybrid</t>
  </si>
  <si>
    <t>gene23868-v1.0-hybrid</t>
  </si>
  <si>
    <t>gene24169-v1.0-hybrid</t>
  </si>
  <si>
    <t>gene24471-v1.0-hybrid</t>
  </si>
  <si>
    <t>gene24771-v1.0-hybrid</t>
  </si>
  <si>
    <t>gene25073-v1.0-hybrid</t>
  </si>
  <si>
    <t>gene25373-v1.0-hybrid</t>
  </si>
  <si>
    <t>gene25673-v1.0-hybrid</t>
  </si>
  <si>
    <t>gene25973-v1.0-hybrid</t>
  </si>
  <si>
    <t>gene26273-v1.0-hybrid</t>
  </si>
  <si>
    <t>gene26573-v1.0-hybrid</t>
  </si>
  <si>
    <t>gene26874-v1.0-hybrid</t>
  </si>
  <si>
    <t>gene27174-v1.0-hybrid</t>
  </si>
  <si>
    <t>gene27774-v1.0-hybrid</t>
  </si>
  <si>
    <t>gene28074-v1.0-hybrid</t>
  </si>
  <si>
    <t>gene28374-v1.0-hybrid</t>
  </si>
  <si>
    <t>gene28974-v1.0-hybrid</t>
  </si>
  <si>
    <t>gene29274-v1.0-hybrid</t>
  </si>
  <si>
    <t>gene29574-v1.0-hybrid</t>
  </si>
  <si>
    <t>gene30176-v1.0-hybrid</t>
  </si>
  <si>
    <t>gene30476-v1.0-hybrid</t>
  </si>
  <si>
    <t>gene30776-v1.0-hybrid</t>
  </si>
  <si>
    <t>gene31076-v1.0-hybrid</t>
  </si>
  <si>
    <t>gene31376-v1.0-hybrid</t>
  </si>
  <si>
    <t>gene31676-v1.0-hybrid</t>
  </si>
  <si>
    <t>gene31976-v1.0-hybrid</t>
  </si>
  <si>
    <t>gene32276-v1.0-hybrid</t>
  </si>
  <si>
    <t>gene34041-v1.0-hybrid</t>
  </si>
  <si>
    <t>gene34341-v1.0-hybrid</t>
  </si>
  <si>
    <t>gene34941-v1.0-hybrid</t>
  </si>
  <si>
    <t>gene00353-v1.0-hybrid</t>
  </si>
  <si>
    <t>gene00657-v1.0-hybrid</t>
  </si>
  <si>
    <t>gene00957-v1.0-hybrid</t>
  </si>
  <si>
    <t>gene01257-v1.0-hybrid</t>
  </si>
  <si>
    <t>gene01558-v1.0-hybrid</t>
  </si>
  <si>
    <t>gene01858-v1.0-hybrid</t>
  </si>
  <si>
    <t>gene02458-v1.0-hybrid</t>
  </si>
  <si>
    <t>gene02765-v1.0-hybrid</t>
  </si>
  <si>
    <t>gene03446-v1.0-hybrid</t>
  </si>
  <si>
    <t>gene03746-v1.0-hybrid</t>
  </si>
  <si>
    <t>gene04046-v1.0-hybrid</t>
  </si>
  <si>
    <t>gene04346-v1.0-hybrid</t>
  </si>
  <si>
    <t>gene04646-v1.0-hybrid</t>
  </si>
  <si>
    <t>gene04946-v1.0-hybrid</t>
  </si>
  <si>
    <t>gene05246-v1.0-hybrid</t>
  </si>
  <si>
    <t>gene05547-v1.0-hybrid</t>
  </si>
  <si>
    <t>gene05847-v1.0-hybrid</t>
  </si>
  <si>
    <t>gene06147-v1.0-hybrid</t>
  </si>
  <si>
    <t>gene06447-v1.0-hybrid</t>
  </si>
  <si>
    <t>gene06747-v1.0-hybrid</t>
  </si>
  <si>
    <t>gene07347-v1.0-hybrid</t>
  </si>
  <si>
    <t>gene07647-v1.0-hybrid</t>
  </si>
  <si>
    <t>gene07948-v1.0-hybrid</t>
  </si>
  <si>
    <t>gene08548-v1.0-hybrid</t>
  </si>
  <si>
    <t>gene08848-v1.0-hybrid</t>
  </si>
  <si>
    <t>gene09148-v1.0-hybrid</t>
  </si>
  <si>
    <t>gene09448-v1.0-hybrid</t>
  </si>
  <si>
    <t>gene09748-v1.0-hybrid</t>
  </si>
  <si>
    <t>gene10049-v1.0-hybrid</t>
  </si>
  <si>
    <t>gene10650-v1.0-hybrid</t>
  </si>
  <si>
    <t>gene10950-v1.0-hybrid</t>
  </si>
  <si>
    <t>gene11251-v1.0-hybrid</t>
  </si>
  <si>
    <t>gene11551-v1.0-hybrid</t>
  </si>
  <si>
    <t>gene11851-v1.0-hybrid</t>
  </si>
  <si>
    <t>gene12151-v1.0-hybrid</t>
  </si>
  <si>
    <t>gene12451-v1.0-hybrid</t>
  </si>
  <si>
    <t>gene13052-v1.0-hybrid</t>
  </si>
  <si>
    <t>gene13352-v1.0-hybrid</t>
  </si>
  <si>
    <t>gene13652-v1.0-hybrid</t>
  </si>
  <si>
    <t>gene13953-v1.0-hybrid</t>
  </si>
  <si>
    <t>gene14556-v1.0-hybrid</t>
  </si>
  <si>
    <t>gene14857-v1.0-hybrid</t>
  </si>
  <si>
    <t>gene15459-v1.0-hybrid</t>
  </si>
  <si>
    <t>gene16361-v1.0-hybrid</t>
  </si>
  <si>
    <t>gene18163-v1.0-hybrid</t>
  </si>
  <si>
    <t>gene19063-v1.0-hybrid</t>
  </si>
  <si>
    <t>gene20264-v1.0-hybrid</t>
  </si>
  <si>
    <t>gene20864-v1.0-hybrid</t>
  </si>
  <si>
    <t>gene21765-v1.0-hybrid</t>
  </si>
  <si>
    <t>gene22366-v1.0-hybrid</t>
  </si>
  <si>
    <t>gene22666-v1.0-hybrid</t>
  </si>
  <si>
    <t>gene22967-v1.0-hybrid</t>
  </si>
  <si>
    <t>gene23269-v1.0-hybrid</t>
  </si>
  <si>
    <t>gene23569-v1.0-hybrid</t>
  </si>
  <si>
    <t>gene23869-v1.0-hybrid</t>
  </si>
  <si>
    <t>gene24170-v1.0-hybrid</t>
  </si>
  <si>
    <t>gene24772-v1.0-hybrid</t>
  </si>
  <si>
    <t>gene25374-v1.0-hybrid</t>
  </si>
  <si>
    <t>gene25674-v1.0-hybrid</t>
  </si>
  <si>
    <t>gene26274-v1.0-hybrid</t>
  </si>
  <si>
    <t>gene26875-v1.0-hybrid</t>
  </si>
  <si>
    <t>gene27175-v1.0-hybrid</t>
  </si>
  <si>
    <t>gene27775-v1.0-hybrid</t>
  </si>
  <si>
    <t>gene28075-v1.0-hybrid</t>
  </si>
  <si>
    <t>gene28375-v1.0-hybrid</t>
  </si>
  <si>
    <t>gene28675-v1.0-hybrid</t>
  </si>
  <si>
    <t>gene29275-v1.0-hybrid</t>
  </si>
  <si>
    <t>gene29575-v1.0-hybrid</t>
  </si>
  <si>
    <t>gene29877-v1.0-hybrid</t>
  </si>
  <si>
    <t>gene30177-v1.0-hybrid</t>
  </si>
  <si>
    <t>gene30477-v1.0-hybrid</t>
  </si>
  <si>
    <t>gene30777-v1.0-hybrid</t>
  </si>
  <si>
    <t>gene31077-v1.0-hybrid</t>
  </si>
  <si>
    <t>gene31377-v1.0-hybrid</t>
  </si>
  <si>
    <t>gene31977-v1.0-hybrid</t>
  </si>
  <si>
    <t>gene32277-v1.0-hybrid</t>
  </si>
  <si>
    <t>gene34042-v1.0-hybrid</t>
  </si>
  <si>
    <t>gene34942-v1.0-hybrid</t>
  </si>
  <si>
    <t>gene00658-v1.0-hybrid</t>
  </si>
  <si>
    <t>gene00958-v1.0-hybrid</t>
  </si>
  <si>
    <t>gene01559-v1.0-hybrid</t>
  </si>
  <si>
    <t>gene01859-v1.0-hybrid</t>
  </si>
  <si>
    <t>gene02159-v1.0-hybrid</t>
  </si>
  <si>
    <t>gene02766-v1.0-hybrid</t>
  </si>
  <si>
    <t>gene03747-v1.0-hybrid</t>
  </si>
  <si>
    <t>gene04047-v1.0-hybrid</t>
  </si>
  <si>
    <t>gene04347-v1.0-hybrid</t>
  </si>
  <si>
    <t>gene04647-v1.0-hybrid</t>
  </si>
  <si>
    <t>gene04947-v1.0-hybrid</t>
  </si>
  <si>
    <t>gene05247-v1.0-hybrid</t>
  </si>
  <si>
    <t>gene05548-v1.0-hybrid</t>
  </si>
  <si>
    <t>gene05848-v1.0-hybrid</t>
  </si>
  <si>
    <t>gene06148-v1.0-hybrid</t>
  </si>
  <si>
    <t>gene06448-v1.0-hybrid</t>
  </si>
  <si>
    <t>gene06748-v1.0-hybrid</t>
  </si>
  <si>
    <t>gene07048-v1.0-hybrid</t>
  </si>
  <si>
    <t>gene07348-v1.0-hybrid</t>
  </si>
  <si>
    <t>gene07648-v1.0-hybrid</t>
  </si>
  <si>
    <t>gene08249-v1.0-hybrid</t>
  </si>
  <si>
    <t>gene08549-v1.0-hybrid</t>
  </si>
  <si>
    <t>gene08849-v1.0-hybrid</t>
  </si>
  <si>
    <t>gene09449-v1.0-hybrid</t>
  </si>
  <si>
    <t>gene09749-v1.0-hybrid</t>
  </si>
  <si>
    <t>gene10050-v1.0-hybrid</t>
  </si>
  <si>
    <t>gene10350-v1.0-hybrid</t>
  </si>
  <si>
    <t>gene11252-v1.0-hybrid</t>
  </si>
  <si>
    <t>gene11852-v1.0-hybrid</t>
  </si>
  <si>
    <t>gene12452-v1.0-hybrid</t>
  </si>
  <si>
    <t>gene12752-v1.0-hybrid</t>
  </si>
  <si>
    <t>gene13053-v1.0-hybrid</t>
  </si>
  <si>
    <t>gene13353-v1.0-hybrid</t>
  </si>
  <si>
    <t>gene14255-v1.0-hybrid</t>
  </si>
  <si>
    <t>gene14557-v1.0-hybrid</t>
  </si>
  <si>
    <t>gene14858-v1.0-hybrid</t>
  </si>
  <si>
    <t>gene15159-v1.0-hybrid</t>
  </si>
  <si>
    <t>gene15460-v1.0-hybrid</t>
  </si>
  <si>
    <t>gene15761-v1.0-hybrid</t>
  </si>
  <si>
    <t>gene16662-v1.0-hybrid</t>
  </si>
  <si>
    <t>gene16964-v1.0-hybrid</t>
  </si>
  <si>
    <t>gene17264-v1.0-hybrid</t>
  </si>
  <si>
    <t>gene17864-v1.0-hybrid</t>
  </si>
  <si>
    <t>gene18164-v1.0-hybrid</t>
  </si>
  <si>
    <t>gene18464-v1.0-hybrid</t>
  </si>
  <si>
    <t>gene18764-v1.0-hybrid</t>
  </si>
  <si>
    <t>gene19064-v1.0-hybrid</t>
  </si>
  <si>
    <t>gene19364-v1.0-hybrid</t>
  </si>
  <si>
    <t>gene19664-v1.0-hybrid</t>
  </si>
  <si>
    <t>gene19964-v1.0-hybrid</t>
  </si>
  <si>
    <t>gene20265-v1.0-hybrid</t>
  </si>
  <si>
    <t>gene20565-v1.0-hybrid</t>
  </si>
  <si>
    <t>gene20865-v1.0-hybrid</t>
  </si>
  <si>
    <t>gene21165-v1.0-hybrid</t>
  </si>
  <si>
    <t>gene21466-v1.0-hybrid</t>
  </si>
  <si>
    <t>gene21766-v1.0-hybrid</t>
  </si>
  <si>
    <t>gene22667-v1.0-hybrid</t>
  </si>
  <si>
    <t>gene23270-v1.0-hybrid</t>
  </si>
  <si>
    <t>gene23570-v1.0-hybrid</t>
  </si>
  <si>
    <t>gene23870-v1.0-hybrid</t>
  </si>
  <si>
    <t>gene24171-v1.0-hybrid</t>
  </si>
  <si>
    <t>gene25075-v1.0-hybrid</t>
  </si>
  <si>
    <t>gene25375-v1.0-hybrid</t>
  </si>
  <si>
    <t>gene25675-v1.0-hybrid</t>
  </si>
  <si>
    <t>gene26275-v1.0-hybrid</t>
  </si>
  <si>
    <t>gene26575-v1.0-hybrid</t>
  </si>
  <si>
    <t>gene26876-v1.0-hybrid</t>
  </si>
  <si>
    <t>gene27476-v1.0-hybrid</t>
  </si>
  <si>
    <t>gene27776-v1.0-hybrid</t>
  </si>
  <si>
    <t>gene28076-v1.0-hybrid</t>
  </si>
  <si>
    <t>gene28376-v1.0-hybrid</t>
  </si>
  <si>
    <t>gene28676-v1.0-hybrid</t>
  </si>
  <si>
    <t>gene29276-v1.0-hybrid</t>
  </si>
  <si>
    <t>gene29576-v1.0-hybrid</t>
  </si>
  <si>
    <t>gene29878-v1.0-hybrid</t>
  </si>
  <si>
    <t>gene30178-v1.0-hybrid</t>
  </si>
  <si>
    <t>gene30478-v1.0-hybrid</t>
  </si>
  <si>
    <t>gene30778-v1.0-hybrid</t>
  </si>
  <si>
    <t>gene31078-v1.0-hybrid</t>
  </si>
  <si>
    <t>gene31378-v1.0-hybrid</t>
  </si>
  <si>
    <t>gene31678-v1.0-hybrid</t>
  </si>
  <si>
    <t>gene31978-v1.0-hybrid</t>
  </si>
  <si>
    <t>gene32278-v1.0-hybrid</t>
  </si>
  <si>
    <t>gene32578-v1.0-hybrid</t>
  </si>
  <si>
    <t>gene33336-v1.0-hybrid</t>
  </si>
  <si>
    <t>gene34043-v1.0-hybrid</t>
  </si>
  <si>
    <t>gene00355-v1.0-hybrid</t>
  </si>
  <si>
    <t>gene00659-v1.0-hybrid</t>
  </si>
  <si>
    <t>gene00959-v1.0-hybrid</t>
  </si>
  <si>
    <t>gene01259-v1.0-hybrid</t>
  </si>
  <si>
    <t>gene01860-v1.0-hybrid</t>
  </si>
  <si>
    <t>gene02460-v1.0-hybrid</t>
  </si>
  <si>
    <t>gene02768-v1.0-hybrid</t>
  </si>
  <si>
    <t>gene03148-v1.0-hybrid</t>
  </si>
  <si>
    <t>gene03448-v1.0-hybrid</t>
  </si>
  <si>
    <t>gene03748-v1.0-hybrid</t>
  </si>
  <si>
    <t>gene04048-v1.0-hybrid</t>
  </si>
  <si>
    <t>gene04348-v1.0-hybrid</t>
  </si>
  <si>
    <t>gene04648-v1.0-hybrid</t>
  </si>
  <si>
    <t>gene06149-v1.0-hybrid</t>
  </si>
  <si>
    <t>gene07049-v1.0-hybrid</t>
  </si>
  <si>
    <t>gene07349-v1.0-hybrid</t>
  </si>
  <si>
    <t>gene07649-v1.0-hybrid</t>
  </si>
  <si>
    <t>gene07950-v1.0-hybrid</t>
  </si>
  <si>
    <t>gene08250-v1.0-hybrid</t>
  </si>
  <si>
    <t>gene08550-v1.0-hybrid</t>
  </si>
  <si>
    <t>gene09150-v1.0-hybrid</t>
  </si>
  <si>
    <t>gene09450-v1.0-hybrid</t>
  </si>
  <si>
    <t>gene09750-v1.0-hybrid</t>
  </si>
  <si>
    <t>gene10652-v1.0-hybrid</t>
  </si>
  <si>
    <t>gene11253-v1.0-hybrid</t>
  </si>
  <si>
    <t>gene11853-v1.0-hybrid</t>
  </si>
  <si>
    <t>gene12453-v1.0-hybrid</t>
  </si>
  <si>
    <t>gene12753-v1.0-hybrid</t>
  </si>
  <si>
    <t>gene13054-v1.0-hybrid</t>
  </si>
  <si>
    <t>gene13354-v1.0-hybrid</t>
  </si>
  <si>
    <t>gene13654-v1.0-hybrid</t>
  </si>
  <si>
    <t>gene13955-v1.0-hybrid</t>
  </si>
  <si>
    <t>gene14256-v1.0-hybrid</t>
  </si>
  <si>
    <t>gene14558-v1.0-hybrid</t>
  </si>
  <si>
    <t>gene14859-v1.0-hybrid</t>
  </si>
  <si>
    <t>gene15160-v1.0-hybrid</t>
  </si>
  <si>
    <t>gene16063-v1.0-hybrid</t>
  </si>
  <si>
    <t>gene16363-v1.0-hybrid</t>
  </si>
  <si>
    <t>gene16663-v1.0-hybrid</t>
  </si>
  <si>
    <t>gene17265-v1.0-hybrid</t>
  </si>
  <si>
    <t>gene17565-v1.0-hybrid</t>
  </si>
  <si>
    <t>gene17865-v1.0-hybrid</t>
  </si>
  <si>
    <t>gene18165-v1.0-hybrid</t>
  </si>
  <si>
    <t>gene18765-v1.0-hybrid</t>
  </si>
  <si>
    <t>gene19065-v1.0-hybrid</t>
  </si>
  <si>
    <t>gene19365-v1.0-hybrid</t>
  </si>
  <si>
    <t>gene19665-v1.0-hybrid</t>
  </si>
  <si>
    <t>gene19965-v1.0-hybrid</t>
  </si>
  <si>
    <t>gene20266-v1.0-hybrid</t>
  </si>
  <si>
    <t>gene20566-v1.0-hybrid</t>
  </si>
  <si>
    <t>gene20866-v1.0-hybrid</t>
  </si>
  <si>
    <t>gene21166-v1.0-hybrid</t>
  </si>
  <si>
    <t>gene21767-v1.0-hybrid</t>
  </si>
  <si>
    <t>gene22067-v1.0-hybrid</t>
  </si>
  <si>
    <t>gene22668-v1.0-hybrid</t>
  </si>
  <si>
    <t>gene22969-v1.0-hybrid</t>
  </si>
  <si>
    <t>gene23571-v1.0-hybrid</t>
  </si>
  <si>
    <t>gene23871-v1.0-hybrid</t>
  </si>
  <si>
    <t>gene24172-v1.0-hybrid</t>
  </si>
  <si>
    <t>gene24474-v1.0-hybrid</t>
  </si>
  <si>
    <t>gene24774-v1.0-hybrid</t>
  </si>
  <si>
    <t>gene25376-v1.0-hybrid</t>
  </si>
  <si>
    <t>gene26576-v1.0-hybrid</t>
  </si>
  <si>
    <t>gene26877-v1.0-hybrid</t>
  </si>
  <si>
    <t>gene27477-v1.0-hybrid</t>
  </si>
  <si>
    <t>gene27777-v1.0-hybrid</t>
  </si>
  <si>
    <t>gene28077-v1.0-hybrid</t>
  </si>
  <si>
    <t>gene28377-v1.0-hybrid</t>
  </si>
  <si>
    <t>gene28977-v1.0-hybrid</t>
  </si>
  <si>
    <t>gene29277-v1.0-hybrid</t>
  </si>
  <si>
    <t>gene29879-v1.0-hybrid</t>
  </si>
  <si>
    <t>gene30179-v1.0-hybrid</t>
  </si>
  <si>
    <t>gene30779-v1.0-hybrid</t>
  </si>
  <si>
    <t>gene31079-v1.0-hybrid</t>
  </si>
  <si>
    <t>gene31379-v1.0-hybrid</t>
  </si>
  <si>
    <t>gene31679-v1.0-hybrid</t>
  </si>
  <si>
    <t>gene31979-v1.0-hybrid</t>
  </si>
  <si>
    <t>gene32279-v1.0-hybrid</t>
  </si>
  <si>
    <t>gene32579-v1.0-hybrid</t>
  </si>
  <si>
    <t>gene34044-v1.0-hybrid</t>
  </si>
  <si>
    <t>gene00356-v1.0-hybrid</t>
  </si>
  <si>
    <t>gene00660-v1.0-hybrid</t>
  </si>
  <si>
    <t>gene00960-v1.0-hybrid</t>
  </si>
  <si>
    <t>gene01260-v1.0-hybrid</t>
  </si>
  <si>
    <t>gene01561-v1.0-hybrid</t>
  </si>
  <si>
    <t>gene01861-v1.0-hybrid</t>
  </si>
  <si>
    <t>gene02769-v1.0-hybrid</t>
  </si>
  <si>
    <t>gene03149-v1.0-hybrid</t>
  </si>
  <si>
    <t>gene03449-v1.0-hybrid</t>
  </si>
  <si>
    <t>gene03749-v1.0-hybrid</t>
  </si>
  <si>
    <t>gene04049-v1.0-hybrid</t>
  </si>
  <si>
    <t>gene04349-v1.0-hybrid</t>
  </si>
  <si>
    <t>gene04649-v1.0-hybrid</t>
  </si>
  <si>
    <t>gene04949-v1.0-hybrid</t>
  </si>
  <si>
    <t>gene05249-v1.0-hybrid</t>
  </si>
  <si>
    <t>gene05550-v1.0-hybrid</t>
  </si>
  <si>
    <t>gene06150-v1.0-hybrid</t>
  </si>
  <si>
    <t>gene06450-v1.0-hybrid</t>
  </si>
  <si>
    <t>gene07050-v1.0-hybrid</t>
  </si>
  <si>
    <t>gene07650-v1.0-hybrid</t>
  </si>
  <si>
    <t>gene08551-v1.0-hybrid</t>
  </si>
  <si>
    <t>gene08851-v1.0-hybrid</t>
  </si>
  <si>
    <t>gene09151-v1.0-hybrid</t>
  </si>
  <si>
    <t>gene09451-v1.0-hybrid</t>
  </si>
  <si>
    <t>gene09751-v1.0-hybrid</t>
  </si>
  <si>
    <t>gene10352-v1.0-hybrid</t>
  </si>
  <si>
    <t>gene10653-v1.0-hybrid</t>
  </si>
  <si>
    <t>gene11254-v1.0-hybrid</t>
  </si>
  <si>
    <t>gene11554-v1.0-hybrid</t>
  </si>
  <si>
    <t>gene11854-v1.0-hybrid</t>
  </si>
  <si>
    <t>gene12154-v1.0-hybrid</t>
  </si>
  <si>
    <t>gene12454-v1.0-hybrid</t>
  </si>
  <si>
    <t>gene13055-v1.0-hybrid</t>
  </si>
  <si>
    <t>gene13355-v1.0-hybrid</t>
  </si>
  <si>
    <t>gene13655-v1.0-hybrid</t>
  </si>
  <si>
    <t>gene13956-v1.0-hybrid</t>
  </si>
  <si>
    <t>gene14559-v1.0-hybrid</t>
  </si>
  <si>
    <t>gene14860-v1.0-hybrid</t>
  </si>
  <si>
    <t>gene15161-v1.0-hybrid</t>
  </si>
  <si>
    <t>gene15462-v1.0-hybrid</t>
  </si>
  <si>
    <t>gene16064-v1.0-hybrid</t>
  </si>
  <si>
    <t>gene16364-v1.0-hybrid</t>
  </si>
  <si>
    <t>gene16664-v1.0-hybrid</t>
  </si>
  <si>
    <t>gene17266-v1.0-hybrid</t>
  </si>
  <si>
    <t>gene18166-v1.0-hybrid</t>
  </si>
  <si>
    <t>gene18466-v1.0-hybrid</t>
  </si>
  <si>
    <t>gene18766-v1.0-hybrid</t>
  </si>
  <si>
    <t>gene19666-v1.0-hybrid</t>
  </si>
  <si>
    <t>gene20267-v1.0-hybrid</t>
  </si>
  <si>
    <t>gene20567-v1.0-hybrid</t>
  </si>
  <si>
    <t>gene20867-v1.0-hybrid</t>
  </si>
  <si>
    <t>gene21167-v1.0-hybrid</t>
  </si>
  <si>
    <t>gene21468-v1.0-hybrid</t>
  </si>
  <si>
    <t>gene21768-v1.0-hybrid</t>
  </si>
  <si>
    <t>gene22068-v1.0-hybrid</t>
  </si>
  <si>
    <t>gene22970-v1.0-hybrid</t>
  </si>
  <si>
    <t>gene23272-v1.0-hybrid</t>
  </si>
  <si>
    <t>gene23572-v1.0-hybrid</t>
  </si>
  <si>
    <t>gene24173-v1.0-hybrid</t>
  </si>
  <si>
    <t>gene24475-v1.0-hybrid</t>
  </si>
  <si>
    <t>gene25077-v1.0-hybrid</t>
  </si>
  <si>
    <t>gene25977-v1.0-hybrid</t>
  </si>
  <si>
    <t>gene26277-v1.0-hybrid</t>
  </si>
  <si>
    <t>gene26577-v1.0-hybrid</t>
  </si>
  <si>
    <t>gene27178-v1.0-hybrid</t>
  </si>
  <si>
    <t>gene27778-v1.0-hybrid</t>
  </si>
  <si>
    <t>gene28078-v1.0-hybrid</t>
  </si>
  <si>
    <t>gene28378-v1.0-hybrid</t>
  </si>
  <si>
    <t>gene28678-v1.0-hybrid</t>
  </si>
  <si>
    <t>gene28978-v1.0-hybrid</t>
  </si>
  <si>
    <t>gene29278-v1.0-hybrid</t>
  </si>
  <si>
    <t>gene29880-v1.0-hybrid</t>
  </si>
  <si>
    <t>gene30180-v1.0-hybrid</t>
  </si>
  <si>
    <t>gene30780-v1.0-hybrid</t>
  </si>
  <si>
    <t>gene31380-v1.0-hybrid</t>
  </si>
  <si>
    <t>gene31680-v1.0-hybrid</t>
  </si>
  <si>
    <t>gene31980-v1.0-hybrid</t>
  </si>
  <si>
    <t>gene32280-v1.0-hybrid</t>
  </si>
  <si>
    <t>gene32580-v1.0-hybrid</t>
  </si>
  <si>
    <t>gene34045-v1.0-hybrid</t>
  </si>
  <si>
    <t>gene34645-v1.0-hybrid</t>
  </si>
  <si>
    <t>gene34945-v1.0-hybrid</t>
  </si>
  <si>
    <t>gene00357-v1.0-hybrid</t>
  </si>
  <si>
    <t>gene00661-v1.0-hybrid</t>
  </si>
  <si>
    <t>gene00961-v1.0-hybrid</t>
  </si>
  <si>
    <t>gene01261-v1.0-hybrid</t>
  </si>
  <si>
    <t>gene01862-v1.0-hybrid</t>
  </si>
  <si>
    <t>gene02162-v1.0-hybrid</t>
  </si>
  <si>
    <t>gene02770-v1.0-hybrid</t>
  </si>
  <si>
    <t>gene03450-v1.0-hybrid</t>
  </si>
  <si>
    <t>gene03750-v1.0-hybrid</t>
  </si>
  <si>
    <t>gene04050-v1.0-hybrid</t>
  </si>
  <si>
    <t>gene04350-v1.0-hybrid</t>
  </si>
  <si>
    <t>gene04650-v1.0-hybrid</t>
  </si>
  <si>
    <t>gene04950-v1.0-hybrid</t>
  </si>
  <si>
    <t>gene05551-v1.0-hybrid</t>
  </si>
  <si>
    <t>gene05851-v1.0-hybrid</t>
  </si>
  <si>
    <t>gene06151-v1.0-hybrid</t>
  </si>
  <si>
    <t>gene06451-v1.0-hybrid</t>
  </si>
  <si>
    <t>gene06751-v1.0-hybrid</t>
  </si>
  <si>
    <t>gene07051-v1.0-hybrid</t>
  </si>
  <si>
    <t>gene07351-v1.0-hybrid</t>
  </si>
  <si>
    <t>gene07651-v1.0-hybrid</t>
  </si>
  <si>
    <t>gene07952-v1.0-hybrid</t>
  </si>
  <si>
    <t>gene08252-v1.0-hybrid</t>
  </si>
  <si>
    <t>gene08552-v1.0-hybrid</t>
  </si>
  <si>
    <t>gene09452-v1.0-hybrid</t>
  </si>
  <si>
    <t>gene10053-v1.0-hybrid</t>
  </si>
  <si>
    <t>gene10353-v1.0-hybrid</t>
  </si>
  <si>
    <t>gene10654-v1.0-hybrid</t>
  </si>
  <si>
    <t>gene10954-v1.0-hybrid</t>
  </si>
  <si>
    <t>gene11255-v1.0-hybrid</t>
  </si>
  <si>
    <t>gene11555-v1.0-hybrid</t>
  </si>
  <si>
    <t>gene11855-v1.0-hybrid</t>
  </si>
  <si>
    <t>gene12155-v1.0-hybrid</t>
  </si>
  <si>
    <t>gene12455-v1.0-hybrid</t>
  </si>
  <si>
    <t>gene12755-v1.0-hybrid</t>
  </si>
  <si>
    <t>gene13056-v1.0-hybrid</t>
  </si>
  <si>
    <t>gene13356-v1.0-hybrid</t>
  </si>
  <si>
    <t>gene14258-v1.0-hybrid</t>
  </si>
  <si>
    <t>gene14560-v1.0-hybrid</t>
  </si>
  <si>
    <t>gene15162-v1.0-hybrid</t>
  </si>
  <si>
    <t>gene15463-v1.0-hybrid</t>
  </si>
  <si>
    <t>gene15764-v1.0-hybrid</t>
  </si>
  <si>
    <t>gene16365-v1.0-hybrid</t>
  </si>
  <si>
    <t>gene16665-v1.0-hybrid</t>
  </si>
  <si>
    <t>gene16967-v1.0-hybrid</t>
  </si>
  <si>
    <t>gene17267-v1.0-hybrid</t>
  </si>
  <si>
    <t>gene17567-v1.0-hybrid</t>
  </si>
  <si>
    <t>gene17867-v1.0-hybrid</t>
  </si>
  <si>
    <t>gene18167-v1.0-hybrid</t>
  </si>
  <si>
    <t>gene18467-v1.0-hybrid</t>
  </si>
  <si>
    <t>gene18767-v1.0-hybrid</t>
  </si>
  <si>
    <t>gene19067-v1.0-hybrid</t>
  </si>
  <si>
    <t>gene19367-v1.0-hybrid</t>
  </si>
  <si>
    <t>gene19667-v1.0-hybrid</t>
  </si>
  <si>
    <t>gene19967-v1.0-hybrid</t>
  </si>
  <si>
    <t>gene20268-v1.0-hybrid</t>
  </si>
  <si>
    <t>gene21168-v1.0-hybrid</t>
  </si>
  <si>
    <t>gene21769-v1.0-hybrid</t>
  </si>
  <si>
    <t>gene22069-v1.0-hybrid</t>
  </si>
  <si>
    <t>gene22370-v1.0-hybrid</t>
  </si>
  <si>
    <t>gene22971-v1.0-hybrid</t>
  </si>
  <si>
    <t>gene23273-v1.0-hybrid</t>
  </si>
  <si>
    <t>gene23573-v1.0-hybrid</t>
  </si>
  <si>
    <t>gene23873-v1.0-hybrid</t>
  </si>
  <si>
    <t>gene24174-v1.0-hybrid</t>
  </si>
  <si>
    <t>gene24476-v1.0-hybrid</t>
  </si>
  <si>
    <t>gene25078-v1.0-hybrid</t>
  </si>
  <si>
    <t>gene25378-v1.0-hybrid</t>
  </si>
  <si>
    <t>gene25678-v1.0-hybrid</t>
  </si>
  <si>
    <t>gene25978-v1.0-hybrid</t>
  </si>
  <si>
    <t>gene27179-v1.0-hybrid</t>
  </si>
  <si>
    <t>gene27479-v1.0-hybrid</t>
  </si>
  <si>
    <t>gene27779-v1.0-hybrid</t>
  </si>
  <si>
    <t>gene28379-v1.0-hybrid</t>
  </si>
  <si>
    <t>gene29279-v1.0-hybrid</t>
  </si>
  <si>
    <t>gene29579-v1.0-hybrid</t>
  </si>
  <si>
    <t>gene29881-v1.0-hybrid</t>
  </si>
  <si>
    <t>gene30181-v1.0-hybrid</t>
  </si>
  <si>
    <t>gene30781-v1.0-hybrid</t>
  </si>
  <si>
    <t>gene31681-v1.0-hybrid</t>
  </si>
  <si>
    <t>gene31981-v1.0-hybrid</t>
  </si>
  <si>
    <t>gene32281-v1.0-hybrid</t>
  </si>
  <si>
    <t>gene34046-v1.0-hybrid</t>
  </si>
  <si>
    <t>gene34346-v1.0-hybrid</t>
  </si>
  <si>
    <t>gene34646-v1.0-hybrid</t>
  </si>
  <si>
    <t>gene34946-v1.0-hybrid</t>
  </si>
  <si>
    <t>gene00662-v1.0-hybrid</t>
  </si>
  <si>
    <t>gene00962-v1.0-hybrid</t>
  </si>
  <si>
    <t>gene01262-v1.0-hybrid</t>
  </si>
  <si>
    <t>gene01563-v1.0-hybrid</t>
  </si>
  <si>
    <t>gene01863-v1.0-hybrid</t>
  </si>
  <si>
    <t>gene02771-v1.0-hybrid</t>
  </si>
  <si>
    <t>gene03451-v1.0-hybrid</t>
  </si>
  <si>
    <t>gene03751-v1.0-hybrid</t>
  </si>
  <si>
    <t>gene04051-v1.0-hybrid</t>
  </si>
  <si>
    <t>gene04651-v1.0-hybrid</t>
  </si>
  <si>
    <t>gene04951-v1.0-hybrid</t>
  </si>
  <si>
    <t>gene05852-v1.0-hybrid</t>
  </si>
  <si>
    <t>gene06452-v1.0-hybrid</t>
  </si>
  <si>
    <t>gene06752-v1.0-hybrid</t>
  </si>
  <si>
    <t>gene07352-v1.0-hybrid</t>
  </si>
  <si>
    <t>gene07652-v1.0-hybrid</t>
  </si>
  <si>
    <t>gene07953-v1.0-hybrid</t>
  </si>
  <si>
    <t>gene08253-v1.0-hybrid</t>
  </si>
  <si>
    <t>gene08553-v1.0-hybrid</t>
  </si>
  <si>
    <t>gene08853-v1.0-hybrid</t>
  </si>
  <si>
    <t>gene09153-v1.0-hybrid</t>
  </si>
  <si>
    <t>gene09453-v1.0-hybrid</t>
  </si>
  <si>
    <t>gene09753-v1.0-hybrid</t>
  </si>
  <si>
    <t>gene10054-v1.0-hybrid</t>
  </si>
  <si>
    <t>gene10354-v1.0-hybrid</t>
  </si>
  <si>
    <t>gene10955-v1.0-hybrid</t>
  </si>
  <si>
    <t>gene11256-v1.0-hybrid</t>
  </si>
  <si>
    <t>gene11556-v1.0-hybrid</t>
  </si>
  <si>
    <t>gene11856-v1.0-hybrid</t>
  </si>
  <si>
    <t>gene12156-v1.0-hybrid</t>
  </si>
  <si>
    <t>gene12456-v1.0-hybrid</t>
  </si>
  <si>
    <t>gene12756-v1.0-hybrid</t>
  </si>
  <si>
    <t>gene13057-v1.0-hybrid</t>
  </si>
  <si>
    <t>gene13357-v1.0-hybrid</t>
  </si>
  <si>
    <t>gene13958-v1.0-hybrid</t>
  </si>
  <si>
    <t>gene14259-v1.0-hybrid</t>
  </si>
  <si>
    <t>gene14561-v1.0-hybrid</t>
  </si>
  <si>
    <t>gene14862-v1.0-hybrid</t>
  </si>
  <si>
    <t>gene15163-v1.0-hybrid</t>
  </si>
  <si>
    <t>gene15464-v1.0-hybrid</t>
  </si>
  <si>
    <t>gene16066-v1.0-hybrid</t>
  </si>
  <si>
    <t>gene16666-v1.0-hybrid</t>
  </si>
  <si>
    <t>gene17268-v1.0-hybrid</t>
  </si>
  <si>
    <t>gene18168-v1.0-hybrid</t>
  </si>
  <si>
    <t>gene18468-v1.0-hybrid</t>
  </si>
  <si>
    <t>gene19068-v1.0-hybrid</t>
  </si>
  <si>
    <t>gene19668-v1.0-hybrid</t>
  </si>
  <si>
    <t>gene19968-v1.0-hybrid</t>
  </si>
  <si>
    <t>gene20269-v1.0-hybrid</t>
  </si>
  <si>
    <t>gene20569-v1.0-hybrid</t>
  </si>
  <si>
    <t>gene20869-v1.0-hybrid</t>
  </si>
  <si>
    <t>gene21169-v1.0-hybrid</t>
  </si>
  <si>
    <t>gene22671-v1.0-hybrid</t>
  </si>
  <si>
    <t>gene22972-v1.0-hybrid</t>
  </si>
  <si>
    <t>gene23274-v1.0-hybrid</t>
  </si>
  <si>
    <t>gene23574-v1.0-hybrid</t>
  </si>
  <si>
    <t>gene23874-v1.0-hybrid</t>
  </si>
  <si>
    <t>gene24175-v1.0-hybrid</t>
  </si>
  <si>
    <t>gene24477-v1.0-hybrid</t>
  </si>
  <si>
    <t>gene24777-v1.0-hybrid</t>
  </si>
  <si>
    <t>gene25079-v1.0-hybrid</t>
  </si>
  <si>
    <t>gene25679-v1.0-hybrid</t>
  </si>
  <si>
    <t>gene25979-v1.0-hybrid</t>
  </si>
  <si>
    <t>gene26279-v1.0-hybrid</t>
  </si>
  <si>
    <t>gene26579-v1.0-hybrid</t>
  </si>
  <si>
    <t>gene26880-v1.0-hybrid</t>
  </si>
  <si>
    <t>gene27180-v1.0-hybrid</t>
  </si>
  <si>
    <t>gene27480-v1.0-hybrid</t>
  </si>
  <si>
    <t>gene27780-v1.0-hybrid</t>
  </si>
  <si>
    <t>gene28080-v1.0-hybrid</t>
  </si>
  <si>
    <t>gene28380-v1.0-hybrid</t>
  </si>
  <si>
    <t>gene28680-v1.0-hybrid</t>
  </si>
  <si>
    <t>gene29280-v1.0-hybrid</t>
  </si>
  <si>
    <t>gene29580-v1.0-hybrid</t>
  </si>
  <si>
    <t>gene30182-v1.0-hybrid</t>
  </si>
  <si>
    <t>gene30482-v1.0-hybrid</t>
  </si>
  <si>
    <t>gene30782-v1.0-hybrid</t>
  </si>
  <si>
    <t>gene31082-v1.0-hybrid</t>
  </si>
  <si>
    <t>gene31682-v1.0-hybrid</t>
  </si>
  <si>
    <t>gene31982-v1.0-hybrid</t>
  </si>
  <si>
    <t>gene32282-v1.0-hybrid</t>
  </si>
  <si>
    <t>gene32582-v1.0-hybrid</t>
  </si>
  <si>
    <t>gene33734-v1.0-hybrid</t>
  </si>
  <si>
    <t>gene34647-v1.0-hybrid</t>
  </si>
  <si>
    <t>gene00359-v1.0-hybrid</t>
  </si>
  <si>
    <t>gene00663-v1.0-hybrid</t>
  </si>
  <si>
    <t>gene01263-v1.0-hybrid</t>
  </si>
  <si>
    <t>gene01564-v1.0-hybrid</t>
  </si>
  <si>
    <t>gene01864-v1.0-hybrid</t>
  </si>
  <si>
    <t>gene02464-v1.0-hybrid</t>
  </si>
  <si>
    <t>gene02772-v1.0-hybrid</t>
  </si>
  <si>
    <t>gene03152-v1.0-hybrid</t>
  </si>
  <si>
    <t>gene04052-v1.0-hybrid</t>
  </si>
  <si>
    <t>gene04352-v1.0-hybrid</t>
  </si>
  <si>
    <t>gene04652-v1.0-hybrid</t>
  </si>
  <si>
    <t>gene04952-v1.0-hybrid</t>
  </si>
  <si>
    <t>gene05252-v1.0-hybrid</t>
  </si>
  <si>
    <t>gene05853-v1.0-hybrid</t>
  </si>
  <si>
    <t>gene06153-v1.0-hybrid</t>
  </si>
  <si>
    <t>gene06453-v1.0-hybrid</t>
  </si>
  <si>
    <t>gene06753-v1.0-hybrid</t>
  </si>
  <si>
    <t>gene07353-v1.0-hybrid</t>
  </si>
  <si>
    <t>gene07653-v1.0-hybrid</t>
  </si>
  <si>
    <t>gene07954-v1.0-hybrid</t>
  </si>
  <si>
    <t>gene08254-v1.0-hybrid</t>
  </si>
  <si>
    <t>gene08554-v1.0-hybrid</t>
  </si>
  <si>
    <t>gene09154-v1.0-hybrid</t>
  </si>
  <si>
    <t>gene09454-v1.0-hybrid</t>
  </si>
  <si>
    <t>gene09754-v1.0-hybrid</t>
  </si>
  <si>
    <t>gene10055-v1.0-hybrid</t>
  </si>
  <si>
    <t>gene10956-v1.0-hybrid</t>
  </si>
  <si>
    <t>gene11257-v1.0-hybrid</t>
  </si>
  <si>
    <t>gene11557-v1.0-hybrid</t>
  </si>
  <si>
    <t>gene11857-v1.0-hybrid</t>
  </si>
  <si>
    <t>gene12157-v1.0-hybrid</t>
  </si>
  <si>
    <t>gene12457-v1.0-hybrid</t>
  </si>
  <si>
    <t>gene13058-v1.0-hybrid</t>
  </si>
  <si>
    <t>gene13358-v1.0-hybrid</t>
  </si>
  <si>
    <t>gene13658-v1.0-hybrid</t>
  </si>
  <si>
    <t>gene13959-v1.0-hybrid</t>
  </si>
  <si>
    <t>gene14260-v1.0-hybrid</t>
  </si>
  <si>
    <t>gene14562-v1.0-hybrid</t>
  </si>
  <si>
    <t>gene14863-v1.0-hybrid</t>
  </si>
  <si>
    <t>gene15164-v1.0-hybrid</t>
  </si>
  <si>
    <t>gene15465-v1.0-hybrid</t>
  </si>
  <si>
    <t>gene16067-v1.0-hybrid</t>
  </si>
  <si>
    <t>gene16367-v1.0-hybrid</t>
  </si>
  <si>
    <t>gene16667-v1.0-hybrid</t>
  </si>
  <si>
    <t>gene16969-v1.0-hybrid</t>
  </si>
  <si>
    <t>gene17269-v1.0-hybrid</t>
  </si>
  <si>
    <t>gene17569-v1.0-hybrid</t>
  </si>
  <si>
    <t>gene17869-v1.0-hybrid</t>
  </si>
  <si>
    <t>gene18469-v1.0-hybrid</t>
  </si>
  <si>
    <t>gene18769-v1.0-hybrid</t>
  </si>
  <si>
    <t>gene19069-v1.0-hybrid</t>
  </si>
  <si>
    <t>gene19669-v1.0-hybrid</t>
  </si>
  <si>
    <t>gene19969-v1.0-hybrid</t>
  </si>
  <si>
    <t>gene20270-v1.0-hybrid</t>
  </si>
  <si>
    <t>gene20570-v1.0-hybrid</t>
  </si>
  <si>
    <t>gene21170-v1.0-hybrid</t>
  </si>
  <si>
    <t>gene22071-v1.0-hybrid</t>
  </si>
  <si>
    <t>gene22973-v1.0-hybrid</t>
  </si>
  <si>
    <t>gene23275-v1.0-hybrid</t>
  </si>
  <si>
    <t>gene24176-v1.0-hybrid</t>
  </si>
  <si>
    <t>gene24478-v1.0-hybrid</t>
  </si>
  <si>
    <t>gene25080-v1.0-hybrid</t>
  </si>
  <si>
    <t>gene25680-v1.0-hybrid</t>
  </si>
  <si>
    <t>gene25980-v1.0-hybrid</t>
  </si>
  <si>
    <t>gene26280-v1.0-hybrid</t>
  </si>
  <si>
    <t>gene26580-v1.0-hybrid</t>
  </si>
  <si>
    <t>gene26881-v1.0-hybrid</t>
  </si>
  <si>
    <t>gene27181-v1.0-hybrid</t>
  </si>
  <si>
    <t>gene27481-v1.0-hybrid</t>
  </si>
  <si>
    <t>gene27781-v1.0-hybrid</t>
  </si>
  <si>
    <t>gene28081-v1.0-hybrid</t>
  </si>
  <si>
    <t>gene28381-v1.0-hybrid</t>
  </si>
  <si>
    <t>gene28681-v1.0-hybrid</t>
  </si>
  <si>
    <t>gene29581-v1.0-hybrid</t>
  </si>
  <si>
    <t>gene29883-v1.0-hybrid</t>
  </si>
  <si>
    <t>gene30183-v1.0-hybrid</t>
  </si>
  <si>
    <t>gene30783-v1.0-hybrid</t>
  </si>
  <si>
    <t>gene31383-v1.0-hybrid</t>
  </si>
  <si>
    <t>gene31983-v1.0-hybrid</t>
  </si>
  <si>
    <t>gene32283-v1.0-hybrid</t>
  </si>
  <si>
    <t>gene32933-v1.0-hybrid</t>
  </si>
  <si>
    <t>gene33342-v1.0-hybrid</t>
  </si>
  <si>
    <t>gene34048-v1.0-hybrid</t>
  </si>
  <si>
    <t>gene34348-v1.0-hybrid</t>
  </si>
  <si>
    <t>gene34648-v1.0-hybrid</t>
  </si>
  <si>
    <t>gene00034-v1.0-hybrid</t>
  </si>
  <si>
    <t>gene00360-v1.0-hybrid</t>
  </si>
  <si>
    <t>gene00664-v1.0-hybrid</t>
  </si>
  <si>
    <t>gene00964-v1.0-hybrid</t>
  </si>
  <si>
    <t>gene01264-v1.0-hybrid</t>
  </si>
  <si>
    <t>gene01565-v1.0-hybrid</t>
  </si>
  <si>
    <t>gene01865-v1.0-hybrid</t>
  </si>
  <si>
    <t>gene02165-v1.0-hybrid</t>
  </si>
  <si>
    <t>gene02465-v1.0-hybrid</t>
  </si>
  <si>
    <t>gene03153-v1.0-hybrid</t>
  </si>
  <si>
    <t>gene04053-v1.0-hybrid</t>
  </si>
  <si>
    <t>gene04353-v1.0-hybrid</t>
  </si>
  <si>
    <t>gene04653-v1.0-hybrid</t>
  </si>
  <si>
    <t>gene04953-v1.0-hybrid</t>
  </si>
  <si>
    <t>gene05854-v1.0-hybrid</t>
  </si>
  <si>
    <t>gene06454-v1.0-hybrid</t>
  </si>
  <si>
    <t>gene06754-v1.0-hybrid</t>
  </si>
  <si>
    <t>gene07354-v1.0-hybrid</t>
  </si>
  <si>
    <t>gene07654-v1.0-hybrid</t>
  </si>
  <si>
    <t>gene07955-v1.0-hybrid</t>
  </si>
  <si>
    <t>gene08255-v1.0-hybrid</t>
  </si>
  <si>
    <t>gene08555-v1.0-hybrid</t>
  </si>
  <si>
    <t>gene09155-v1.0-hybrid</t>
  </si>
  <si>
    <t>gene09755-v1.0-hybrid</t>
  </si>
  <si>
    <t>gene10056-v1.0-hybrid</t>
  </si>
  <si>
    <t>gene10356-v1.0-hybrid</t>
  </si>
  <si>
    <t>gene10957-v1.0-hybrid</t>
  </si>
  <si>
    <t>gene11258-v1.0-hybrid</t>
  </si>
  <si>
    <t>gene11558-v1.0-hybrid</t>
  </si>
  <si>
    <t>gene11858-v1.0-hybrid</t>
  </si>
  <si>
    <t>gene12458-v1.0-hybrid</t>
  </si>
  <si>
    <t>gene12758-v1.0-hybrid</t>
  </si>
  <si>
    <t>gene13059-v1.0-hybrid</t>
  </si>
  <si>
    <t>gene13359-v1.0-hybrid</t>
  </si>
  <si>
    <t>gene13659-v1.0-hybrid</t>
  </si>
  <si>
    <t>gene13960-v1.0-hybrid</t>
  </si>
  <si>
    <t>gene14563-v1.0-hybrid</t>
  </si>
  <si>
    <t>gene14864-v1.0-hybrid</t>
  </si>
  <si>
    <t>gene15165-v1.0-hybrid</t>
  </si>
  <si>
    <t>gene15466-v1.0-hybrid</t>
  </si>
  <si>
    <t>gene15767-v1.0-hybrid</t>
  </si>
  <si>
    <t>gene16368-v1.0-hybrid</t>
  </si>
  <si>
    <t>gene16668-v1.0-hybrid</t>
  </si>
  <si>
    <t>gene17270-v1.0-hybrid</t>
  </si>
  <si>
    <t>gene17570-v1.0-hybrid</t>
  </si>
  <si>
    <t>gene18170-v1.0-hybrid</t>
  </si>
  <si>
    <t>gene18470-v1.0-hybrid</t>
  </si>
  <si>
    <t>gene18770-v1.0-hybrid</t>
  </si>
  <si>
    <t>gene19070-v1.0-hybrid</t>
  </si>
  <si>
    <t>gene19370-v1.0-hybrid</t>
  </si>
  <si>
    <t>gene19970-v1.0-hybrid</t>
  </si>
  <si>
    <t>gene20271-v1.0-hybrid</t>
  </si>
  <si>
    <t>gene20571-v1.0-hybrid</t>
  </si>
  <si>
    <t>gene20871-v1.0-hybrid</t>
  </si>
  <si>
    <t>gene21171-v1.0-hybrid</t>
  </si>
  <si>
    <t>gene21772-v1.0-hybrid</t>
  </si>
  <si>
    <t>gene22072-v1.0-hybrid</t>
  </si>
  <si>
    <t>gene22373-v1.0-hybrid</t>
  </si>
  <si>
    <t>gene22673-v1.0-hybrid</t>
  </si>
  <si>
    <t>gene22974-v1.0-hybrid</t>
  </si>
  <si>
    <t>gene23276-v1.0-hybrid</t>
  </si>
  <si>
    <t>gene23576-v1.0-hybrid</t>
  </si>
  <si>
    <t>gene23876-v1.0-hybrid</t>
  </si>
  <si>
    <t>gene24177-v1.0-hybrid</t>
  </si>
  <si>
    <t>gene24479-v1.0-hybrid</t>
  </si>
  <si>
    <t>gene24779-v1.0-hybrid</t>
  </si>
  <si>
    <t>gene25081-v1.0-hybrid</t>
  </si>
  <si>
    <t>gene25381-v1.0-hybrid</t>
  </si>
  <si>
    <t>gene25981-v1.0-hybrid</t>
  </si>
  <si>
    <t>gene26281-v1.0-hybrid</t>
  </si>
  <si>
    <t>gene26581-v1.0-hybrid</t>
  </si>
  <si>
    <t>gene26882-v1.0-hybrid</t>
  </si>
  <si>
    <t>gene27182-v1.0-hybrid</t>
  </si>
  <si>
    <t>gene27482-v1.0-hybrid</t>
  </si>
  <si>
    <t>gene27782-v1.0-hybrid</t>
  </si>
  <si>
    <t>gene28682-v1.0-hybrid</t>
  </si>
  <si>
    <t>gene29282-v1.0-hybrid</t>
  </si>
  <si>
    <t>gene29582-v1.0-hybrid</t>
  </si>
  <si>
    <t>gene29884-v1.0-hybrid</t>
  </si>
  <si>
    <t>gene30184-v1.0-hybrid</t>
  </si>
  <si>
    <t>gene30484-v1.0-hybrid</t>
  </si>
  <si>
    <t>gene30784-v1.0-hybrid</t>
  </si>
  <si>
    <t>gene31084-v1.0-hybrid</t>
  </si>
  <si>
    <t>gene31384-v1.0-hybrid</t>
  </si>
  <si>
    <t>gene31684-v1.0-hybrid</t>
  </si>
  <si>
    <t>gene31984-v1.0-hybrid</t>
  </si>
  <si>
    <t>gene32284-v1.0-hybrid</t>
  </si>
  <si>
    <t>gene32584-v1.0-hybrid</t>
  </si>
  <si>
    <t>gene33344-v1.0-hybrid</t>
  </si>
  <si>
    <t>gene34049-v1.0-hybrid</t>
  </si>
  <si>
    <t>gene34649-v1.0-hybrid</t>
  </si>
  <si>
    <t>gene00361-v1.0-hybrid</t>
  </si>
  <si>
    <t>gene00665-v1.0-hybrid</t>
  </si>
  <si>
    <t>gene01265-v1.0-hybrid</t>
  </si>
  <si>
    <t>gene02466-v1.0-hybrid</t>
  </si>
  <si>
    <t>gene02774-v1.0-hybrid</t>
  </si>
  <si>
    <t>gene03754-v1.0-hybrid</t>
  </si>
  <si>
    <t>gene04054-v1.0-hybrid</t>
  </si>
  <si>
    <t>gene04354-v1.0-hybrid</t>
  </si>
  <si>
    <t>gene04654-v1.0-hybrid</t>
  </si>
  <si>
    <t>gene05555-v1.0-hybrid</t>
  </si>
  <si>
    <t>gene06155-v1.0-hybrid</t>
  </si>
  <si>
    <t>gene06455-v1.0-hybrid</t>
  </si>
  <si>
    <t>gene07055-v1.0-hybrid</t>
  </si>
  <si>
    <t>gene07355-v1.0-hybrid</t>
  </si>
  <si>
    <t>gene07956-v1.0-hybrid</t>
  </si>
  <si>
    <t>gene08256-v1.0-hybrid</t>
  </si>
  <si>
    <t>gene08556-v1.0-hybrid</t>
  </si>
  <si>
    <t>gene08856-v1.0-hybrid</t>
  </si>
  <si>
    <t>gene09156-v1.0-hybrid</t>
  </si>
  <si>
    <t>gene09456-v1.0-hybrid</t>
  </si>
  <si>
    <t>gene09756-v1.0-hybrid</t>
  </si>
  <si>
    <t>gene10057-v1.0-hybrid</t>
  </si>
  <si>
    <t>gene10357-v1.0-hybrid</t>
  </si>
  <si>
    <t>gene10658-v1.0-hybrid</t>
  </si>
  <si>
    <t>gene10958-v1.0-hybrid</t>
  </si>
  <si>
    <t>gene11259-v1.0-hybrid</t>
  </si>
  <si>
    <t>gene11559-v1.0-hybrid</t>
  </si>
  <si>
    <t>gene12159-v1.0-hybrid</t>
  </si>
  <si>
    <t>gene12459-v1.0-hybrid</t>
  </si>
  <si>
    <t>gene13060-v1.0-hybrid</t>
  </si>
  <si>
    <t>gene13360-v1.0-hybrid</t>
  </si>
  <si>
    <t>gene14262-v1.0-hybrid</t>
  </si>
  <si>
    <t>gene14564-v1.0-hybrid</t>
  </si>
  <si>
    <t>gene14865-v1.0-hybrid</t>
  </si>
  <si>
    <t>gene15166-v1.0-hybrid</t>
  </si>
  <si>
    <t>gene15768-v1.0-hybrid</t>
  </si>
  <si>
    <t>gene16369-v1.0-hybrid</t>
  </si>
  <si>
    <t>gene16669-v1.0-hybrid</t>
  </si>
  <si>
    <t>gene16971-v1.0-hybrid</t>
  </si>
  <si>
    <t>gene17271-v1.0-hybrid</t>
  </si>
  <si>
    <t>gene17571-v1.0-hybrid</t>
  </si>
  <si>
    <t>gene17871-v1.0-hybrid</t>
  </si>
  <si>
    <t>gene18171-v1.0-hybrid</t>
  </si>
  <si>
    <t>gene18471-v1.0-hybrid</t>
  </si>
  <si>
    <t>gene18771-v1.0-hybrid</t>
  </si>
  <si>
    <t>gene19371-v1.0-hybrid</t>
  </si>
  <si>
    <t>gene19671-v1.0-hybrid</t>
  </si>
  <si>
    <t>gene19971-v1.0-hybrid</t>
  </si>
  <si>
    <t>gene20272-v1.0-hybrid</t>
  </si>
  <si>
    <t>gene20572-v1.0-hybrid</t>
  </si>
  <si>
    <t>gene21172-v1.0-hybrid</t>
  </si>
  <si>
    <t>gene21473-v1.0-hybrid</t>
  </si>
  <si>
    <t>gene22073-v1.0-hybrid</t>
  </si>
  <si>
    <t>gene22374-v1.0-hybrid</t>
  </si>
  <si>
    <t>gene22975-v1.0-hybrid</t>
  </si>
  <si>
    <t>gene23277-v1.0-hybrid</t>
  </si>
  <si>
    <t>gene23577-v1.0-hybrid</t>
  </si>
  <si>
    <t>gene23877-v1.0-hybrid</t>
  </si>
  <si>
    <t>gene24480-v1.0-hybrid</t>
  </si>
  <si>
    <t>gene25082-v1.0-hybrid</t>
  </si>
  <si>
    <t>gene25382-v1.0-hybrid</t>
  </si>
  <si>
    <t>gene25982-v1.0-hybrid</t>
  </si>
  <si>
    <t>gene26282-v1.0-hybrid</t>
  </si>
  <si>
    <t>gene26582-v1.0-hybrid</t>
  </si>
  <si>
    <t>gene27183-v1.0-hybrid</t>
  </si>
  <si>
    <t>gene28083-v1.0-hybrid</t>
  </si>
  <si>
    <t>gene28383-v1.0-hybrid</t>
  </si>
  <si>
    <t>gene28983-v1.0-hybrid</t>
  </si>
  <si>
    <t>gene29283-v1.0-hybrid</t>
  </si>
  <si>
    <t>gene29583-v1.0-hybrid</t>
  </si>
  <si>
    <t>gene30185-v1.0-hybrid</t>
  </si>
  <si>
    <t>gene30485-v1.0-hybrid</t>
  </si>
  <si>
    <t>gene31085-v1.0-hybrid</t>
  </si>
  <si>
    <t>gene31385-v1.0-hybrid</t>
  </si>
  <si>
    <t>gene31685-v1.0-hybrid</t>
  </si>
  <si>
    <t>gene32285-v1.0-hybrid</t>
  </si>
  <si>
    <t>gene32585-v1.0-hybrid</t>
  </si>
  <si>
    <t>gene33738-v1.0-hybrid</t>
  </si>
  <si>
    <t>gene34050-v1.0-hybrid</t>
  </si>
  <si>
    <t>gene34650-v1.0-hybrid</t>
  </si>
  <si>
    <t>gene00362-v1.0-hybrid</t>
  </si>
  <si>
    <t>gene00666-v1.0-hybrid</t>
  </si>
  <si>
    <t>gene00966-v1.0-hybrid</t>
  </si>
  <si>
    <t>gene01266-v1.0-hybrid</t>
  </si>
  <si>
    <t>gene01567-v1.0-hybrid</t>
  </si>
  <si>
    <t>gene02467-v1.0-hybrid</t>
  </si>
  <si>
    <t>gene03155-v1.0-hybrid</t>
  </si>
  <si>
    <t>gene04055-v1.0-hybrid</t>
  </si>
  <si>
    <t>gene04355-v1.0-hybrid</t>
  </si>
  <si>
    <t>gene04655-v1.0-hybrid</t>
  </si>
  <si>
    <t>gene04955-v1.0-hybrid</t>
  </si>
  <si>
    <t>gene05255-v1.0-hybrid</t>
  </si>
  <si>
    <t>gene06156-v1.0-hybrid</t>
  </si>
  <si>
    <t>gene06456-v1.0-hybrid</t>
  </si>
  <si>
    <t>gene07056-v1.0-hybrid</t>
  </si>
  <si>
    <t>gene07356-v1.0-hybrid</t>
  </si>
  <si>
    <t>gene07957-v1.0-hybrid</t>
  </si>
  <si>
    <t>gene08257-v1.0-hybrid</t>
  </si>
  <si>
    <t>gene08557-v1.0-hybrid</t>
  </si>
  <si>
    <t>gene08857-v1.0-hybrid</t>
  </si>
  <si>
    <t>gene09457-v1.0-hybrid</t>
  </si>
  <si>
    <t>gene10058-v1.0-hybrid</t>
  </si>
  <si>
    <t>gene10358-v1.0-hybrid</t>
  </si>
  <si>
    <t>gene10659-v1.0-hybrid</t>
  </si>
  <si>
    <t>gene10959-v1.0-hybrid</t>
  </si>
  <si>
    <t>gene11260-v1.0-hybrid</t>
  </si>
  <si>
    <t>gene12760-v1.0-hybrid</t>
  </si>
  <si>
    <t>gene13061-v1.0-hybrid</t>
  </si>
  <si>
    <t>gene13361-v1.0-hybrid</t>
  </si>
  <si>
    <t>gene13661-v1.0-hybrid</t>
  </si>
  <si>
    <t>gene13962-v1.0-hybrid</t>
  </si>
  <si>
    <t>gene14263-v1.0-hybrid</t>
  </si>
  <si>
    <t>gene14565-v1.0-hybrid</t>
  </si>
  <si>
    <t>gene14866-v1.0-hybrid</t>
  </si>
  <si>
    <t>gene15167-v1.0-hybrid</t>
  </si>
  <si>
    <t>gene15468-v1.0-hybrid</t>
  </si>
  <si>
    <t>gene16070-v1.0-hybrid</t>
  </si>
  <si>
    <t>gene16370-v1.0-hybrid</t>
  </si>
  <si>
    <t>gene16972-v1.0-hybrid</t>
  </si>
  <si>
    <t>gene17272-v1.0-hybrid</t>
  </si>
  <si>
    <t>gene17572-v1.0-hybrid</t>
  </si>
  <si>
    <t>gene17872-v1.0-hybrid</t>
  </si>
  <si>
    <t>gene18172-v1.0-hybrid</t>
  </si>
  <si>
    <t>gene18772-v1.0-hybrid</t>
  </si>
  <si>
    <t>gene19072-v1.0-hybrid</t>
  </si>
  <si>
    <t>gene19372-v1.0-hybrid</t>
  </si>
  <si>
    <t>gene19672-v1.0-hybrid</t>
  </si>
  <si>
    <t>gene19972-v1.0-hybrid</t>
  </si>
  <si>
    <t>gene20273-v1.0-hybrid</t>
  </si>
  <si>
    <t>gene20573-v1.0-hybrid</t>
  </si>
  <si>
    <t>gene20873-v1.0-hybrid</t>
  </si>
  <si>
    <t>gene21173-v1.0-hybrid</t>
  </si>
  <si>
    <t>gene21474-v1.0-hybrid</t>
  </si>
  <si>
    <t>gene21774-v1.0-hybrid</t>
  </si>
  <si>
    <t>gene22074-v1.0-hybrid</t>
  </si>
  <si>
    <t>gene22375-v1.0-hybrid</t>
  </si>
  <si>
    <t>gene22675-v1.0-hybrid</t>
  </si>
  <si>
    <t>gene22976-v1.0-hybrid</t>
  </si>
  <si>
    <t>gene23278-v1.0-hybrid</t>
  </si>
  <si>
    <t>gene23578-v1.0-hybrid</t>
  </si>
  <si>
    <t>gene23878-v1.0-hybrid</t>
  </si>
  <si>
    <t>gene24179-v1.0-hybrid</t>
  </si>
  <si>
    <t>gene24481-v1.0-hybrid</t>
  </si>
  <si>
    <t>gene24781-v1.0-hybrid</t>
  </si>
  <si>
    <t>gene25083-v1.0-hybrid</t>
  </si>
  <si>
    <t>gene25383-v1.0-hybrid</t>
  </si>
  <si>
    <t>gene25683-v1.0-hybrid</t>
  </si>
  <si>
    <t>gene25983-v1.0-hybrid</t>
  </si>
  <si>
    <t>gene26884-v1.0-hybrid</t>
  </si>
  <si>
    <t>gene27184-v1.0-hybrid</t>
  </si>
  <si>
    <t>gene27484-v1.0-hybrid</t>
  </si>
  <si>
    <t>gene27784-v1.0-hybrid</t>
  </si>
  <si>
    <t>gene28084-v1.0-hybrid</t>
  </si>
  <si>
    <t>gene28384-v1.0-hybrid</t>
  </si>
  <si>
    <t>gene28984-v1.0-hybrid</t>
  </si>
  <si>
    <t>gene29284-v1.0-hybrid</t>
  </si>
  <si>
    <t>gene29584-v1.0-hybrid</t>
  </si>
  <si>
    <t>gene29886-v1.0-hybrid</t>
  </si>
  <si>
    <t>gene30186-v1.0-hybrid</t>
  </si>
  <si>
    <t>gene30486-v1.0-hybrid</t>
  </si>
  <si>
    <t>gene30786-v1.0-hybrid</t>
  </si>
  <si>
    <t>gene31086-v1.0-hybrid</t>
  </si>
  <si>
    <t>gene31386-v1.0-hybrid</t>
  </si>
  <si>
    <t>gene31686-v1.0-hybrid</t>
  </si>
  <si>
    <t>gene31986-v1.0-hybrid</t>
  </si>
  <si>
    <t>gene32286-v1.0-hybrid</t>
  </si>
  <si>
    <t>gene32586-v1.0-hybrid</t>
  </si>
  <si>
    <t>gene33740-v1.0-hybrid</t>
  </si>
  <si>
    <t>gene34051-v1.0-hybrid</t>
  </si>
  <si>
    <t>gene34651-v1.0-hybrid</t>
  </si>
  <si>
    <t>gene34951-v1.0-hybrid</t>
  </si>
  <si>
    <t>gene00363-v1.0-hybrid</t>
  </si>
  <si>
    <t>gene00667-v1.0-hybrid</t>
  </si>
  <si>
    <t>gene00967-v1.0-hybrid</t>
  </si>
  <si>
    <t>gene01267-v1.0-hybrid</t>
  </si>
  <si>
    <t>gene01568-v1.0-hybrid</t>
  </si>
  <si>
    <t>gene01868-v1.0-hybrid</t>
  </si>
  <si>
    <t>gene02168-v1.0-hybrid</t>
  </si>
  <si>
    <t>gene02468-v1.0-hybrid</t>
  </si>
  <si>
    <t>gene03156-v1.0-hybrid</t>
  </si>
  <si>
    <t>gene03456-v1.0-hybrid</t>
  </si>
  <si>
    <t>gene03756-v1.0-hybrid</t>
  </si>
  <si>
    <t>gene04056-v1.0-hybrid</t>
  </si>
  <si>
    <t>gene04356-v1.0-hybrid</t>
  </si>
  <si>
    <t>gene04656-v1.0-hybrid</t>
  </si>
  <si>
    <t>gene04956-v1.0-hybrid</t>
  </si>
  <si>
    <t>gene05256-v1.0-hybrid</t>
  </si>
  <si>
    <t>gene05557-v1.0-hybrid</t>
  </si>
  <si>
    <t>gene05857-v1.0-hybrid</t>
  </si>
  <si>
    <t>gene06157-v1.0-hybrid</t>
  </si>
  <si>
    <t>gene06457-v1.0-hybrid</t>
  </si>
  <si>
    <t>gene07057-v1.0-hybrid</t>
  </si>
  <si>
    <t>gene07357-v1.0-hybrid</t>
  </si>
  <si>
    <t>gene07657-v1.0-hybrid</t>
  </si>
  <si>
    <t>gene07958-v1.0-hybrid</t>
  </si>
  <si>
    <t>gene08258-v1.0-hybrid</t>
  </si>
  <si>
    <t>gene08558-v1.0-hybrid</t>
  </si>
  <si>
    <t>gene09458-v1.0-hybrid</t>
  </si>
  <si>
    <t>gene10059-v1.0-hybrid</t>
  </si>
  <si>
    <t>gene10359-v1.0-hybrid</t>
  </si>
  <si>
    <t>gene10660-v1.0-hybrid</t>
  </si>
  <si>
    <t>gene10960-v1.0-hybrid</t>
  </si>
  <si>
    <t>gene11261-v1.0-hybrid</t>
  </si>
  <si>
    <t>gene11561-v1.0-hybrid</t>
  </si>
  <si>
    <t>gene11861-v1.0-hybrid</t>
  </si>
  <si>
    <t>gene12161-v1.0-hybrid</t>
  </si>
  <si>
    <t>gene12461-v1.0-hybrid</t>
  </si>
  <si>
    <t>gene13062-v1.0-hybrid</t>
  </si>
  <si>
    <t>gene13362-v1.0-hybrid</t>
  </si>
  <si>
    <t>gene13662-v1.0-hybrid</t>
  </si>
  <si>
    <t>gene13963-v1.0-hybrid</t>
  </si>
  <si>
    <t>gene14264-v1.0-hybrid</t>
  </si>
  <si>
    <t>gene14566-v1.0-hybrid</t>
  </si>
  <si>
    <t>gene14867-v1.0-hybrid</t>
  </si>
  <si>
    <t>gene15168-v1.0-hybrid</t>
  </si>
  <si>
    <t>gene15469-v1.0-hybrid</t>
  </si>
  <si>
    <t>gene15770-v1.0-hybrid</t>
  </si>
  <si>
    <t>gene16071-v1.0-hybrid</t>
  </si>
  <si>
    <t>gene16371-v1.0-hybrid</t>
  </si>
  <si>
    <t>gene16671-v1.0-hybrid</t>
  </si>
  <si>
    <t>gene16973-v1.0-hybrid</t>
  </si>
  <si>
    <t>gene17273-v1.0-hybrid</t>
  </si>
  <si>
    <t>gene17573-v1.0-hybrid</t>
  </si>
  <si>
    <t>gene17873-v1.0-hybrid</t>
  </si>
  <si>
    <t>gene18173-v1.0-hybrid</t>
  </si>
  <si>
    <t>gene18473-v1.0-hybrid</t>
  </si>
  <si>
    <t>gene19373-v1.0-hybrid</t>
  </si>
  <si>
    <t>gene19673-v1.0-hybrid</t>
  </si>
  <si>
    <t>gene19973-v1.0-hybrid</t>
  </si>
  <si>
    <t>gene20274-v1.0-hybrid</t>
  </si>
  <si>
    <t>gene20574-v1.0-hybrid</t>
  </si>
  <si>
    <t>gene20874-v1.0-hybrid</t>
  </si>
  <si>
    <t>gene21174-v1.0-hybrid</t>
  </si>
  <si>
    <t>gene21475-v1.0-hybrid</t>
  </si>
  <si>
    <t>gene22075-v1.0-hybrid</t>
  </si>
  <si>
    <t>gene22376-v1.0-hybrid</t>
  </si>
  <si>
    <t>gene22676-v1.0-hybrid</t>
  </si>
  <si>
    <t>gene22977-v1.0-hybrid</t>
  </si>
  <si>
    <t>gene23279-v1.0-hybrid</t>
  </si>
  <si>
    <t>gene23579-v1.0-hybrid</t>
  </si>
  <si>
    <t>gene23879-v1.0-hybrid</t>
  </si>
  <si>
    <t>gene24180-v1.0-hybrid</t>
  </si>
  <si>
    <t>gene24482-v1.0-hybrid</t>
  </si>
  <si>
    <t>gene25384-v1.0-hybrid</t>
  </si>
  <si>
    <t>gene25984-v1.0-hybrid</t>
  </si>
  <si>
    <t>gene26284-v1.0-hybrid</t>
  </si>
  <si>
    <t>gene26584-v1.0-hybrid</t>
  </si>
  <si>
    <t>gene26885-v1.0-hybrid</t>
  </si>
  <si>
    <t>gene27185-v1.0-hybrid</t>
  </si>
  <si>
    <t>gene27485-v1.0-hybrid</t>
  </si>
  <si>
    <t>gene27785-v1.0-hybrid</t>
  </si>
  <si>
    <t>gene28085-v1.0-hybrid</t>
  </si>
  <si>
    <t>gene28385-v1.0-hybrid</t>
  </si>
  <si>
    <t>gene28685-v1.0-hybrid</t>
  </si>
  <si>
    <t>gene28985-v1.0-hybrid</t>
  </si>
  <si>
    <t>gene29285-v1.0-hybrid</t>
  </si>
  <si>
    <t>gene29585-v1.0-hybrid</t>
  </si>
  <si>
    <t>gene29887-v1.0-hybrid</t>
  </si>
  <si>
    <t>gene30187-v1.0-hybrid</t>
  </si>
  <si>
    <t>gene30487-v1.0-hybrid</t>
  </si>
  <si>
    <t>gene31087-v1.0-hybrid</t>
  </si>
  <si>
    <t>gene31387-v1.0-hybrid</t>
  </si>
  <si>
    <t>gene31687-v1.0-hybrid</t>
  </si>
  <si>
    <t>gene31987-v1.0-hybrid</t>
  </si>
  <si>
    <t>gene32287-v1.0-hybrid</t>
  </si>
  <si>
    <t>gene34052-v1.0-hybrid</t>
  </si>
  <si>
    <t>gene34652-v1.0-hybrid</t>
  </si>
  <si>
    <t>gene00040-v1.0-hybrid</t>
  </si>
  <si>
    <t>gene00364-v1.0-hybrid</t>
  </si>
  <si>
    <t>gene00668-v1.0-hybrid</t>
  </si>
  <si>
    <t>gene00968-v1.0-hybrid</t>
  </si>
  <si>
    <t>gene01268-v1.0-hybrid</t>
  </si>
  <si>
    <t>gene01569-v1.0-hybrid</t>
  </si>
  <si>
    <t>gene01869-v1.0-hybrid</t>
  </si>
  <si>
    <t>gene02169-v1.0-hybrid</t>
  </si>
  <si>
    <t>gene02469-v1.0-hybrid</t>
  </si>
  <si>
    <t>gene02777-v1.0-hybrid</t>
  </si>
  <si>
    <t>gene03157-v1.0-hybrid</t>
  </si>
  <si>
    <t>gene03457-v1.0-hybrid</t>
  </si>
  <si>
    <t>gene03757-v1.0-hybrid</t>
  </si>
  <si>
    <t>gene04057-v1.0-hybrid</t>
  </si>
  <si>
    <t>gene04357-v1.0-hybrid</t>
  </si>
  <si>
    <t>gene04657-v1.0-hybrid</t>
  </si>
  <si>
    <t>gene05558-v1.0-hybrid</t>
  </si>
  <si>
    <t>gene05858-v1.0-hybrid</t>
  </si>
  <si>
    <t>gene06158-v1.0-hybrid</t>
  </si>
  <si>
    <t>gene06458-v1.0-hybrid</t>
  </si>
  <si>
    <t>gene06758-v1.0-hybrid</t>
  </si>
  <si>
    <t>gene07058-v1.0-hybrid</t>
  </si>
  <si>
    <t>gene07658-v1.0-hybrid</t>
  </si>
  <si>
    <t>gene07959-v1.0-hybrid</t>
  </si>
  <si>
    <t>gene08259-v1.0-hybrid</t>
  </si>
  <si>
    <t>gene08559-v1.0-hybrid</t>
  </si>
  <si>
    <t>gene09159-v1.0-hybrid</t>
  </si>
  <si>
    <t>gene09459-v1.0-hybrid</t>
  </si>
  <si>
    <t>gene10060-v1.0-hybrid</t>
  </si>
  <si>
    <t>gene10360-v1.0-hybrid</t>
  </si>
  <si>
    <t>gene10661-v1.0-hybrid</t>
  </si>
  <si>
    <t>gene10961-v1.0-hybrid</t>
  </si>
  <si>
    <t>gene11262-v1.0-hybrid</t>
  </si>
  <si>
    <t>gene11562-v1.0-hybrid</t>
  </si>
  <si>
    <t>gene11862-v1.0-hybrid</t>
  </si>
  <si>
    <t>gene12162-v1.0-hybrid</t>
  </si>
  <si>
    <t>gene12462-v1.0-hybrid</t>
  </si>
  <si>
    <t>gene12762-v1.0-hybrid</t>
  </si>
  <si>
    <t>gene13063-v1.0-hybrid</t>
  </si>
  <si>
    <t>gene13363-v1.0-hybrid</t>
  </si>
  <si>
    <t>gene13663-v1.0-hybrid</t>
  </si>
  <si>
    <t>gene13964-v1.0-hybrid</t>
  </si>
  <si>
    <t>gene14567-v1.0-hybrid</t>
  </si>
  <si>
    <t>gene14868-v1.0-hybrid</t>
  </si>
  <si>
    <t>gene15169-v1.0-hybrid</t>
  </si>
  <si>
    <t>gene15470-v1.0-hybrid</t>
  </si>
  <si>
    <t>gene15771-v1.0-hybrid</t>
  </si>
  <si>
    <t>gene16672-v1.0-hybrid</t>
  </si>
  <si>
    <t>gene16974-v1.0-hybrid</t>
  </si>
  <si>
    <t>gene17574-v1.0-hybrid</t>
  </si>
  <si>
    <t>gene17874-v1.0-hybrid</t>
  </si>
  <si>
    <t>gene18474-v1.0-hybrid</t>
  </si>
  <si>
    <t>gene18774-v1.0-hybrid</t>
  </si>
  <si>
    <t>gene19674-v1.0-hybrid</t>
  </si>
  <si>
    <t>gene19974-v1.0-hybrid</t>
  </si>
  <si>
    <t>gene20575-v1.0-hybrid</t>
  </si>
  <si>
    <t>gene20875-v1.0-hybrid</t>
  </si>
  <si>
    <t>gene21476-v1.0-hybrid</t>
  </si>
  <si>
    <t>gene21776-v1.0-hybrid</t>
  </si>
  <si>
    <t>gene22076-v1.0-hybrid</t>
  </si>
  <si>
    <t>gene22377-v1.0-hybrid</t>
  </si>
  <si>
    <t>gene22677-v1.0-hybrid</t>
  </si>
  <si>
    <t>gene23280-v1.0-hybrid</t>
  </si>
  <si>
    <t>gene23580-v1.0-hybrid</t>
  </si>
  <si>
    <t>gene23880-v1.0-hybrid</t>
  </si>
  <si>
    <t>gene24483-v1.0-hybrid</t>
  </si>
  <si>
    <t>gene25085-v1.0-hybrid</t>
  </si>
  <si>
    <t>gene25385-v1.0-hybrid</t>
  </si>
  <si>
    <t>gene25685-v1.0-hybrid</t>
  </si>
  <si>
    <t>gene25985-v1.0-hybrid</t>
  </si>
  <si>
    <t>gene26285-v1.0-hybrid</t>
  </si>
  <si>
    <t>gene26585-v1.0-hybrid</t>
  </si>
  <si>
    <t>gene26886-v1.0-hybrid</t>
  </si>
  <si>
    <t>gene27186-v1.0-hybrid</t>
  </si>
  <si>
    <t>gene27486-v1.0-hybrid</t>
  </si>
  <si>
    <t>gene27786-v1.0-hybrid</t>
  </si>
  <si>
    <t>gene28086-v1.0-hybrid</t>
  </si>
  <si>
    <t>gene28386-v1.0-hybrid</t>
  </si>
  <si>
    <t>gene28686-v1.0-hybrid</t>
  </si>
  <si>
    <t>gene28986-v1.0-hybrid</t>
  </si>
  <si>
    <t>gene29286-v1.0-hybrid</t>
  </si>
  <si>
    <t>gene29586-v1.0-hybrid</t>
  </si>
  <si>
    <t>gene29888-v1.0-hybrid</t>
  </si>
  <si>
    <t>gene30188-v1.0-hybrid</t>
  </si>
  <si>
    <t>gene30488-v1.0-hybrid</t>
  </si>
  <si>
    <t>gene30788-v1.0-hybrid</t>
  </si>
  <si>
    <t>gene31088-v1.0-hybrid</t>
  </si>
  <si>
    <t>gene31388-v1.0-hybrid</t>
  </si>
  <si>
    <t>gene31988-v1.0-hybrid</t>
  </si>
  <si>
    <t>gene32288-v1.0-hybrid</t>
  </si>
  <si>
    <t>gene32588-v1.0-hybrid</t>
  </si>
  <si>
    <t>gene33743-v1.0-hybrid</t>
  </si>
  <si>
    <t>gene00041-v1.0-hybrid</t>
  </si>
  <si>
    <t>gene00365-v1.0-hybrid</t>
  </si>
  <si>
    <t>gene01269-v1.0-hybrid</t>
  </si>
  <si>
    <t>gene01570-v1.0-hybrid</t>
  </si>
  <si>
    <t>gene01870-v1.0-hybrid</t>
  </si>
  <si>
    <t>gene02170-v1.0-hybrid</t>
  </si>
  <si>
    <t>gene02470-v1.0-hybrid</t>
  </si>
  <si>
    <t>gene02778-v1.0-hybrid</t>
  </si>
  <si>
    <t>gene03158-v1.0-hybrid</t>
  </si>
  <si>
    <t>gene03458-v1.0-hybrid</t>
  </si>
  <si>
    <t>gene03758-v1.0-hybrid</t>
  </si>
  <si>
    <t>gene04058-v1.0-hybrid</t>
  </si>
  <si>
    <t>gene04358-v1.0-hybrid</t>
  </si>
  <si>
    <t>gene04658-v1.0-hybrid</t>
  </si>
  <si>
    <t>gene05559-v1.0-hybrid</t>
  </si>
  <si>
    <t>gene05859-v1.0-hybrid</t>
  </si>
  <si>
    <t>gene06159-v1.0-hybrid</t>
  </si>
  <si>
    <t>gene06459-v1.0-hybrid</t>
  </si>
  <si>
    <t>gene06759-v1.0-hybrid</t>
  </si>
  <si>
    <t>gene07059-v1.0-hybrid</t>
  </si>
  <si>
    <t>gene07359-v1.0-hybrid</t>
  </si>
  <si>
    <t>gene07659-v1.0-hybrid</t>
  </si>
  <si>
    <t>gene07960-v1.0-hybrid</t>
  </si>
  <si>
    <t>gene08260-v1.0-hybrid</t>
  </si>
  <si>
    <t>gene08560-v1.0-hybrid</t>
  </si>
  <si>
    <t>gene09760-v1.0-hybrid</t>
  </si>
  <si>
    <t>gene10061-v1.0-hybrid</t>
  </si>
  <si>
    <t>gene10361-v1.0-hybrid</t>
  </si>
  <si>
    <t>gene10662-v1.0-hybrid</t>
  </si>
  <si>
    <t>gene10962-v1.0-hybrid</t>
  </si>
  <si>
    <t>gene11263-v1.0-hybrid</t>
  </si>
  <si>
    <t>gene11863-v1.0-hybrid</t>
  </si>
  <si>
    <t>gene12163-v1.0-hybrid</t>
  </si>
  <si>
    <t>gene12763-v1.0-hybrid</t>
  </si>
  <si>
    <t>gene13064-v1.0-hybrid</t>
  </si>
  <si>
    <t>gene13364-v1.0-hybrid</t>
  </si>
  <si>
    <t>gene13664-v1.0-hybrid</t>
  </si>
  <si>
    <t>gene13965-v1.0-hybrid</t>
  </si>
  <si>
    <t>gene14266-v1.0-hybrid</t>
  </si>
  <si>
    <t>gene14568-v1.0-hybrid</t>
  </si>
  <si>
    <t>gene14869-v1.0-hybrid</t>
  </si>
  <si>
    <t>gene15170-v1.0-hybrid</t>
  </si>
  <si>
    <t>gene15471-v1.0-hybrid</t>
  </si>
  <si>
    <t>gene16073-v1.0-hybrid</t>
  </si>
  <si>
    <t>gene16373-v1.0-hybrid</t>
  </si>
  <si>
    <t>gene16673-v1.0-hybrid</t>
  </si>
  <si>
    <t>gene16975-v1.0-hybrid</t>
  </si>
  <si>
    <t>gene17575-v1.0-hybrid</t>
  </si>
  <si>
    <t>gene17875-v1.0-hybrid</t>
  </si>
  <si>
    <t>gene18475-v1.0-hybrid</t>
  </si>
  <si>
    <t>gene18775-v1.0-hybrid</t>
  </si>
  <si>
    <t>gene19375-v1.0-hybrid</t>
  </si>
  <si>
    <t>gene19675-v1.0-hybrid</t>
  </si>
  <si>
    <t>gene19975-v1.0-hybrid</t>
  </si>
  <si>
    <t>gene20276-v1.0-hybrid</t>
  </si>
  <si>
    <t>gene20576-v1.0-hybrid</t>
  </si>
  <si>
    <t>gene21477-v1.0-hybrid</t>
  </si>
  <si>
    <t>gene21777-v1.0-hybrid</t>
  </si>
  <si>
    <t>gene22077-v1.0-hybrid</t>
  </si>
  <si>
    <t>gene22378-v1.0-hybrid</t>
  </si>
  <si>
    <t>gene22678-v1.0-hybrid</t>
  </si>
  <si>
    <t>gene23581-v1.0-hybrid</t>
  </si>
  <si>
    <t>gene23881-v1.0-hybrid</t>
  </si>
  <si>
    <t>gene25086-v1.0-hybrid</t>
  </si>
  <si>
    <t>gene25386-v1.0-hybrid</t>
  </si>
  <si>
    <t>gene25686-v1.0-hybrid</t>
  </si>
  <si>
    <t>gene25986-v1.0-hybrid</t>
  </si>
  <si>
    <t>gene26286-v1.0-hybrid</t>
  </si>
  <si>
    <t>gene26586-v1.0-hybrid</t>
  </si>
  <si>
    <t>gene27187-v1.0-hybrid</t>
  </si>
  <si>
    <t>gene27787-v1.0-hybrid</t>
  </si>
  <si>
    <t>gene28087-v1.0-hybrid</t>
  </si>
  <si>
    <t>gene28387-v1.0-hybrid</t>
  </si>
  <si>
    <t>gene28687-v1.0-hybrid</t>
  </si>
  <si>
    <t>gene29587-v1.0-hybrid</t>
  </si>
  <si>
    <t>gene29889-v1.0-hybrid</t>
  </si>
  <si>
    <t>gene30189-v1.0-hybrid</t>
  </si>
  <si>
    <t>gene30489-v1.0-hybrid</t>
  </si>
  <si>
    <t>gene30789-v1.0-hybrid</t>
  </si>
  <si>
    <t>gene31989-v1.0-hybrid</t>
  </si>
  <si>
    <t>gene32289-v1.0-hybrid</t>
  </si>
  <si>
    <t>gene33744-v1.0-hybrid</t>
  </si>
  <si>
    <t>gene34054-v1.0-hybrid</t>
  </si>
  <si>
    <t>gene34954-v1.0-hybrid</t>
  </si>
  <si>
    <t>gene00670-v1.0-hybrid</t>
  </si>
  <si>
    <t>gene01270-v1.0-hybrid</t>
  </si>
  <si>
    <t>gene01571-v1.0-hybrid</t>
  </si>
  <si>
    <t>gene01871-v1.0-hybrid</t>
  </si>
  <si>
    <t>gene02171-v1.0-hybrid</t>
  </si>
  <si>
    <t>gene02471-v1.0-hybrid</t>
  </si>
  <si>
    <t>gene03159-v1.0-hybrid</t>
  </si>
  <si>
    <t>gene03459-v1.0-hybrid</t>
  </si>
  <si>
    <t>gene03759-v1.0-hybrid</t>
  </si>
  <si>
    <t>gene04059-v1.0-hybrid</t>
  </si>
  <si>
    <t>gene04359-v1.0-hybrid</t>
  </si>
  <si>
    <t>gene04659-v1.0-hybrid</t>
  </si>
  <si>
    <t>gene05259-v1.0-hybrid</t>
  </si>
  <si>
    <t>gene05560-v1.0-hybrid</t>
  </si>
  <si>
    <t>gene05860-v1.0-hybrid</t>
  </si>
  <si>
    <t>gene06460-v1.0-hybrid</t>
  </si>
  <si>
    <t>gene07060-v1.0-hybrid</t>
  </si>
  <si>
    <t>gene07360-v1.0-hybrid</t>
  </si>
  <si>
    <t>gene08261-v1.0-hybrid</t>
  </si>
  <si>
    <t>gene08561-v1.0-hybrid</t>
  </si>
  <si>
    <t>gene08861-v1.0-hybrid</t>
  </si>
  <si>
    <t>gene09161-v1.0-hybrid</t>
  </si>
  <si>
    <t>gene10062-v1.0-hybrid</t>
  </si>
  <si>
    <t>gene10362-v1.0-hybrid</t>
  </si>
  <si>
    <t>gene10663-v1.0-hybrid</t>
  </si>
  <si>
    <t>gene10963-v1.0-hybrid</t>
  </si>
  <si>
    <t>gene11264-v1.0-hybrid</t>
  </si>
  <si>
    <t>gene11564-v1.0-hybrid</t>
  </si>
  <si>
    <t>gene11864-v1.0-hybrid</t>
  </si>
  <si>
    <t>gene12164-v1.0-hybrid</t>
  </si>
  <si>
    <t>gene12464-v1.0-hybrid</t>
  </si>
  <si>
    <t>gene12764-v1.0-hybrid</t>
  </si>
  <si>
    <t>gene13065-v1.0-hybrid</t>
  </si>
  <si>
    <t>gene13365-v1.0-hybrid</t>
  </si>
  <si>
    <t>gene14267-v1.0-hybrid</t>
  </si>
  <si>
    <t>gene14569-v1.0-hybrid</t>
  </si>
  <si>
    <t>gene14870-v1.0-hybrid</t>
  </si>
  <si>
    <t>gene15171-v1.0-hybrid</t>
  </si>
  <si>
    <t>gene15472-v1.0-hybrid</t>
  </si>
  <si>
    <t>gene15773-v1.0-hybrid</t>
  </si>
  <si>
    <t>gene16374-v1.0-hybrid</t>
  </si>
  <si>
    <t>gene16674-v1.0-hybrid</t>
  </si>
  <si>
    <t>gene17276-v1.0-hybrid</t>
  </si>
  <si>
    <t>gene17576-v1.0-hybrid</t>
  </si>
  <si>
    <t>gene18176-v1.0-hybrid</t>
  </si>
  <si>
    <t>gene18476-v1.0-hybrid</t>
  </si>
  <si>
    <t>gene18776-v1.0-hybrid</t>
  </si>
  <si>
    <t>gene19376-v1.0-hybrid</t>
  </si>
  <si>
    <t>gene19676-v1.0-hybrid</t>
  </si>
  <si>
    <t>gene19976-v1.0-hybrid</t>
  </si>
  <si>
    <t>gene20277-v1.0-hybrid</t>
  </si>
  <si>
    <t>gene20577-v1.0-hybrid</t>
  </si>
  <si>
    <t>gene20877-v1.0-hybrid</t>
  </si>
  <si>
    <t>gene21177-v1.0-hybrid</t>
  </si>
  <si>
    <t>gene21478-v1.0-hybrid</t>
  </si>
  <si>
    <t>gene21778-v1.0-hybrid</t>
  </si>
  <si>
    <t>gene22078-v1.0-hybrid</t>
  </si>
  <si>
    <t>gene22379-v1.0-hybrid</t>
  </si>
  <si>
    <t>gene22679-v1.0-hybrid</t>
  </si>
  <si>
    <t>gene22980-v1.0-hybrid</t>
  </si>
  <si>
    <t>gene23582-v1.0-hybrid</t>
  </si>
  <si>
    <t>gene23882-v1.0-hybrid</t>
  </si>
  <si>
    <t>gene24183-v1.0-hybrid</t>
  </si>
  <si>
    <t>gene24485-v1.0-hybrid</t>
  </si>
  <si>
    <t>gene24785-v1.0-hybrid</t>
  </si>
  <si>
    <t>gene25087-v1.0-hybrid</t>
  </si>
  <si>
    <t>gene25387-v1.0-hybrid</t>
  </si>
  <si>
    <t>gene25687-v1.0-hybrid</t>
  </si>
  <si>
    <t>gene25987-v1.0-hybrid</t>
  </si>
  <si>
    <t>gene26587-v1.0-hybrid</t>
  </si>
  <si>
    <t>gene26888-v1.0-hybrid</t>
  </si>
  <si>
    <t>gene27188-v1.0-hybrid</t>
  </si>
  <si>
    <t>gene27788-v1.0-hybrid</t>
  </si>
  <si>
    <t>gene28388-v1.0-hybrid</t>
  </si>
  <si>
    <t>gene28688-v1.0-hybrid</t>
  </si>
  <si>
    <t>gene28988-v1.0-hybrid</t>
  </si>
  <si>
    <t>gene29588-v1.0-hybrid</t>
  </si>
  <si>
    <t>gene30190-v1.0-hybrid</t>
  </si>
  <si>
    <t>gene30490-v1.0-hybrid</t>
  </si>
  <si>
    <t>gene30790-v1.0-hybrid</t>
  </si>
  <si>
    <t>gene31090-v1.0-hybrid</t>
  </si>
  <si>
    <t>gene31390-v1.0-hybrid</t>
  </si>
  <si>
    <t>gene32290-v1.0-hybrid</t>
  </si>
  <si>
    <t>gene34055-v1.0-hybrid</t>
  </si>
  <si>
    <t>gene34955-v1.0-hybrid</t>
  </si>
  <si>
    <t>gene00971-v1.0-hybrid</t>
  </si>
  <si>
    <t>gene01572-v1.0-hybrid</t>
  </si>
  <si>
    <t>gene01872-v1.0-hybrid</t>
  </si>
  <si>
    <t>gene03460-v1.0-hybrid</t>
  </si>
  <si>
    <t>gene03760-v1.0-hybrid</t>
  </si>
  <si>
    <t>gene04060-v1.0-hybrid</t>
  </si>
  <si>
    <t>gene04360-v1.0-hybrid</t>
  </si>
  <si>
    <t>gene04660-v1.0-hybrid</t>
  </si>
  <si>
    <t>gene04960-v1.0-hybrid</t>
  </si>
  <si>
    <t>gene06161-v1.0-hybrid</t>
  </si>
  <si>
    <t>gene06461-v1.0-hybrid</t>
  </si>
  <si>
    <t>gene06761-v1.0-hybrid</t>
  </si>
  <si>
    <t>gene07061-v1.0-hybrid</t>
  </si>
  <si>
    <t>gene07361-v1.0-hybrid</t>
  </si>
  <si>
    <t>gene08262-v1.0-hybrid</t>
  </si>
  <si>
    <t>gene08562-v1.0-hybrid</t>
  </si>
  <si>
    <t>gene08862-v1.0-hybrid</t>
  </si>
  <si>
    <t>gene10363-v1.0-hybrid</t>
  </si>
  <si>
    <t>gene10964-v1.0-hybrid</t>
  </si>
  <si>
    <t>gene11265-v1.0-hybrid</t>
  </si>
  <si>
    <t>gene11865-v1.0-hybrid</t>
  </si>
  <si>
    <t>gene12165-v1.0-hybrid</t>
  </si>
  <si>
    <t>gene12465-v1.0-hybrid</t>
  </si>
  <si>
    <t>gene12765-v1.0-hybrid</t>
  </si>
  <si>
    <t>gene13066-v1.0-hybrid</t>
  </si>
  <si>
    <t>gene13366-v1.0-hybrid</t>
  </si>
  <si>
    <t>gene13666-v1.0-hybrid</t>
  </si>
  <si>
    <t>gene13967-v1.0-hybrid</t>
  </si>
  <si>
    <t>gene14268-v1.0-hybrid</t>
  </si>
  <si>
    <t>gene14570-v1.0-hybrid</t>
  </si>
  <si>
    <t>gene14871-v1.0-hybrid</t>
  </si>
  <si>
    <t>gene15172-v1.0-hybrid</t>
  </si>
  <si>
    <t>gene15473-v1.0-hybrid</t>
  </si>
  <si>
    <t>gene15774-v1.0-hybrid</t>
  </si>
  <si>
    <t>gene16375-v1.0-hybrid</t>
  </si>
  <si>
    <t>gene16675-v1.0-hybrid</t>
  </si>
  <si>
    <t>gene16977-v1.0-hybrid</t>
  </si>
  <si>
    <t>gene17277-v1.0-hybrid</t>
  </si>
  <si>
    <t>gene17577-v1.0-hybrid</t>
  </si>
  <si>
    <t>gene17877-v1.0-hybrid</t>
  </si>
  <si>
    <t>gene18177-v1.0-hybrid</t>
  </si>
  <si>
    <t>gene18477-v1.0-hybrid</t>
  </si>
  <si>
    <t>gene18777-v1.0-hybrid</t>
  </si>
  <si>
    <t>gene19077-v1.0-hybrid</t>
  </si>
  <si>
    <t>gene19377-v1.0-hybrid</t>
  </si>
  <si>
    <t>gene19677-v1.0-hybrid</t>
  </si>
  <si>
    <t>gene19977-v1.0-hybrid</t>
  </si>
  <si>
    <t>gene20278-v1.0-hybrid</t>
  </si>
  <si>
    <t>gene20578-v1.0-hybrid</t>
  </si>
  <si>
    <t>gene20878-v1.0-hybrid</t>
  </si>
  <si>
    <t>gene21178-v1.0-hybrid</t>
  </si>
  <si>
    <t>gene21779-v1.0-hybrid</t>
  </si>
  <si>
    <t>gene22380-v1.0-hybrid</t>
  </si>
  <si>
    <t>gene22680-v1.0-hybrid</t>
  </si>
  <si>
    <t>gene22981-v1.0-hybrid</t>
  </si>
  <si>
    <t>gene23883-v1.0-hybrid</t>
  </si>
  <si>
    <t>gene24184-v1.0-hybrid</t>
  </si>
  <si>
    <t>gene24486-v1.0-hybrid</t>
  </si>
  <si>
    <t>gene24786-v1.0-hybrid</t>
  </si>
  <si>
    <t>gene25088-v1.0-hybrid</t>
  </si>
  <si>
    <t>gene25688-v1.0-hybrid</t>
  </si>
  <si>
    <t>gene25988-v1.0-hybrid</t>
  </si>
  <si>
    <t>gene26588-v1.0-hybrid</t>
  </si>
  <si>
    <t>gene26889-v1.0-hybrid</t>
  </si>
  <si>
    <t>gene27489-v1.0-hybrid</t>
  </si>
  <si>
    <t>gene27789-v1.0-hybrid</t>
  </si>
  <si>
    <t>gene28089-v1.0-hybrid</t>
  </si>
  <si>
    <t>gene28389-v1.0-hybrid</t>
  </si>
  <si>
    <t>gene28689-v1.0-hybrid</t>
  </si>
  <si>
    <t>gene28989-v1.0-hybrid</t>
  </si>
  <si>
    <t>gene29289-v1.0-hybrid</t>
  </si>
  <si>
    <t>gene29891-v1.0-hybrid</t>
  </si>
  <si>
    <t>gene30191-v1.0-hybrid</t>
  </si>
  <si>
    <t>gene30791-v1.0-hybrid</t>
  </si>
  <si>
    <t>gene31091-v1.0-hybrid</t>
  </si>
  <si>
    <t>gene31391-v1.0-hybrid</t>
  </si>
  <si>
    <t>gene31991-v1.0-hybrid</t>
  </si>
  <si>
    <t>gene32291-v1.0-hybrid</t>
  </si>
  <si>
    <t>gene33747-v1.0-hybrid</t>
  </si>
  <si>
    <t>gene34056-v1.0-hybrid</t>
  </si>
  <si>
    <t>gene34656-v1.0-hybrid</t>
  </si>
  <si>
    <t>gene00368-v1.0-hybrid</t>
  </si>
  <si>
    <t>gene00672-v1.0-hybrid</t>
  </si>
  <si>
    <t>gene00972-v1.0-hybrid</t>
  </si>
  <si>
    <t>gene01573-v1.0-hybrid</t>
  </si>
  <si>
    <t>gene01873-v1.0-hybrid</t>
  </si>
  <si>
    <t>gene02173-v1.0-hybrid</t>
  </si>
  <si>
    <t>gene03461-v1.0-hybrid</t>
  </si>
  <si>
    <t>gene03761-v1.0-hybrid</t>
  </si>
  <si>
    <t>gene04061-v1.0-hybrid</t>
  </si>
  <si>
    <t>gene04361-v1.0-hybrid</t>
  </si>
  <si>
    <t>gene04661-v1.0-hybrid</t>
  </si>
  <si>
    <t>gene05562-v1.0-hybrid</t>
  </si>
  <si>
    <t>gene06462-v1.0-hybrid</t>
  </si>
  <si>
    <t>gene06762-v1.0-hybrid</t>
  </si>
  <si>
    <t>gene07062-v1.0-hybrid</t>
  </si>
  <si>
    <t>gene07362-v1.0-hybrid</t>
  </si>
  <si>
    <t>gene07963-v1.0-hybrid</t>
  </si>
  <si>
    <t>gene08263-v1.0-hybrid</t>
  </si>
  <si>
    <t>gene08563-v1.0-hybrid</t>
  </si>
  <si>
    <t>gene08863-v1.0-hybrid</t>
  </si>
  <si>
    <t>gene09163-v1.0-hybrid</t>
  </si>
  <si>
    <t>gene10064-v1.0-hybrid</t>
  </si>
  <si>
    <t>gene10364-v1.0-hybrid</t>
  </si>
  <si>
    <t>gene10665-v1.0-hybrid</t>
  </si>
  <si>
    <t>gene10965-v1.0-hybrid</t>
  </si>
  <si>
    <t>gene11266-v1.0-hybrid</t>
  </si>
  <si>
    <t>gene11566-v1.0-hybrid</t>
  </si>
  <si>
    <t>gene11866-v1.0-hybrid</t>
  </si>
  <si>
    <t>gene12466-v1.0-hybrid</t>
  </si>
  <si>
    <t>gene12766-v1.0-hybrid</t>
  </si>
  <si>
    <t>gene13067-v1.0-hybrid</t>
  </si>
  <si>
    <t>gene13367-v1.0-hybrid</t>
  </si>
  <si>
    <t>gene13968-v1.0-hybrid</t>
  </si>
  <si>
    <t>gene14269-v1.0-hybrid</t>
  </si>
  <si>
    <t>gene14571-v1.0-hybrid</t>
  </si>
  <si>
    <t>gene14872-v1.0-hybrid</t>
  </si>
  <si>
    <t>gene15173-v1.0-hybrid</t>
  </si>
  <si>
    <t>gene15474-v1.0-hybrid</t>
  </si>
  <si>
    <t>gene15775-v1.0-hybrid</t>
  </si>
  <si>
    <t>gene16076-v1.0-hybrid</t>
  </si>
  <si>
    <t>gene16676-v1.0-hybrid</t>
  </si>
  <si>
    <t>gene16978-v1.0-hybrid</t>
  </si>
  <si>
    <t>gene17278-v1.0-hybrid</t>
  </si>
  <si>
    <t>gene17878-v1.0-hybrid</t>
  </si>
  <si>
    <t>gene18178-v1.0-hybrid</t>
  </si>
  <si>
    <t>gene18478-v1.0-hybrid</t>
  </si>
  <si>
    <t>gene18778-v1.0-hybrid</t>
  </si>
  <si>
    <t>gene19378-v1.0-hybrid</t>
  </si>
  <si>
    <t>gene19678-v1.0-hybrid</t>
  </si>
  <si>
    <t>gene19978-v1.0-hybrid</t>
  </si>
  <si>
    <t>gene20579-v1.0-hybrid</t>
  </si>
  <si>
    <t>gene20879-v1.0-hybrid</t>
  </si>
  <si>
    <t>gene21179-v1.0-hybrid</t>
  </si>
  <si>
    <t>gene22080-v1.0-hybrid</t>
  </si>
  <si>
    <t>gene22381-v1.0-hybrid</t>
  </si>
  <si>
    <t>gene22681-v1.0-hybrid</t>
  </si>
  <si>
    <t>gene22982-v1.0-hybrid</t>
  </si>
  <si>
    <t>gene23284-v1.0-hybrid</t>
  </si>
  <si>
    <t>gene23584-v1.0-hybrid</t>
  </si>
  <si>
    <t>gene23884-v1.0-hybrid</t>
  </si>
  <si>
    <t>gene24185-v1.0-hybrid</t>
  </si>
  <si>
    <t>gene24787-v1.0-hybrid</t>
  </si>
  <si>
    <t>gene25089-v1.0-hybrid</t>
  </si>
  <si>
    <t>gene25389-v1.0-hybrid</t>
  </si>
  <si>
    <t>gene25689-v1.0-hybrid</t>
  </si>
  <si>
    <t>gene25989-v1.0-hybrid</t>
  </si>
  <si>
    <t>gene26289-v1.0-hybrid</t>
  </si>
  <si>
    <t>gene26890-v1.0-hybrid</t>
  </si>
  <si>
    <t>gene27490-v1.0-hybrid</t>
  </si>
  <si>
    <t>gene27790-v1.0-hybrid</t>
  </si>
  <si>
    <t>gene28090-v1.0-hybrid</t>
  </si>
  <si>
    <t>gene28390-v1.0-hybrid</t>
  </si>
  <si>
    <t>gene28690-v1.0-hybrid</t>
  </si>
  <si>
    <t>gene29590-v1.0-hybrid</t>
  </si>
  <si>
    <t>gene29892-v1.0-hybrid</t>
  </si>
  <si>
    <t>gene30492-v1.0-hybrid</t>
  </si>
  <si>
    <t>gene30792-v1.0-hybrid</t>
  </si>
  <si>
    <t>gene31092-v1.0-hybrid</t>
  </si>
  <si>
    <t>gene31692-v1.0-hybrid</t>
  </si>
  <si>
    <t>gene31992-v1.0-hybrid</t>
  </si>
  <si>
    <t>gene32292-v1.0-hybrid</t>
  </si>
  <si>
    <t>gene34057-v1.0-hybrid</t>
  </si>
  <si>
    <t>gene34657-v1.0-hybrid</t>
  </si>
  <si>
    <t>gene34957-v1.0-hybrid</t>
  </si>
  <si>
    <t>gene00369-v1.0-hybrid</t>
  </si>
  <si>
    <t>gene00673-v1.0-hybrid</t>
  </si>
  <si>
    <t>gene00973-v1.0-hybrid</t>
  </si>
  <si>
    <t>gene01574-v1.0-hybrid</t>
  </si>
  <si>
    <t>gene01874-v1.0-hybrid</t>
  </si>
  <si>
    <t>gene02174-v1.0-hybrid</t>
  </si>
  <si>
    <t>gene02474-v1.0-hybrid</t>
  </si>
  <si>
    <t>gene02782-v1.0-hybrid</t>
  </si>
  <si>
    <t>gene03162-v1.0-hybrid</t>
  </si>
  <si>
    <t>gene03462-v1.0-hybrid</t>
  </si>
  <si>
    <t>gene03762-v1.0-hybrid</t>
  </si>
  <si>
    <t>gene04062-v1.0-hybrid</t>
  </si>
  <si>
    <t>gene04362-v1.0-hybrid</t>
  </si>
  <si>
    <t>gene04662-v1.0-hybrid</t>
  </si>
  <si>
    <t>gene04962-v1.0-hybrid</t>
  </si>
  <si>
    <t>gene05263-v1.0-hybrid</t>
  </si>
  <si>
    <t>gene05863-v1.0-hybrid</t>
  </si>
  <si>
    <t>gene06163-v1.0-hybrid</t>
  </si>
  <si>
    <t>gene06463-v1.0-hybrid</t>
  </si>
  <si>
    <t>gene06763-v1.0-hybrid</t>
  </si>
  <si>
    <t>gene07063-v1.0-hybrid</t>
  </si>
  <si>
    <t>gene07363-v1.0-hybrid</t>
  </si>
  <si>
    <t>gene07663-v1.0-hybrid</t>
  </si>
  <si>
    <t>gene07964-v1.0-hybrid</t>
  </si>
  <si>
    <t>gene08264-v1.0-hybrid</t>
  </si>
  <si>
    <t>gene08564-v1.0-hybrid</t>
  </si>
  <si>
    <t>gene08864-v1.0-hybrid</t>
  </si>
  <si>
    <t>gene10065-v1.0-hybrid</t>
  </si>
  <si>
    <t>gene10666-v1.0-hybrid</t>
  </si>
  <si>
    <t>gene10966-v1.0-hybrid</t>
  </si>
  <si>
    <t>gene11267-v1.0-hybrid</t>
  </si>
  <si>
    <t>gene11867-v1.0-hybrid</t>
  </si>
  <si>
    <t>gene12167-v1.0-hybrid</t>
  </si>
  <si>
    <t>gene12467-v1.0-hybrid</t>
  </si>
  <si>
    <t>gene12767-v1.0-hybrid</t>
  </si>
  <si>
    <t>gene13068-v1.0-hybrid</t>
  </si>
  <si>
    <t>gene13368-v1.0-hybrid</t>
  </si>
  <si>
    <t>gene13668-v1.0-hybrid</t>
  </si>
  <si>
    <t>gene13969-v1.0-hybrid</t>
  </si>
  <si>
    <t>gene14873-v1.0-hybrid</t>
  </si>
  <si>
    <t>gene15174-v1.0-hybrid</t>
  </si>
  <si>
    <t>gene15475-v1.0-hybrid</t>
  </si>
  <si>
    <t>gene16077-v1.0-hybrid</t>
  </si>
  <si>
    <t>gene16377-v1.0-hybrid</t>
  </si>
  <si>
    <t>gene16677-v1.0-hybrid</t>
  </si>
  <si>
    <t>gene16979-v1.0-hybrid</t>
  </si>
  <si>
    <t>gene17279-v1.0-hybrid</t>
  </si>
  <si>
    <t>gene17879-v1.0-hybrid</t>
  </si>
  <si>
    <t>gene18179-v1.0-hybrid</t>
  </si>
  <si>
    <t>gene18779-v1.0-hybrid</t>
  </si>
  <si>
    <t>gene19079-v1.0-hybrid</t>
  </si>
  <si>
    <t>gene19379-v1.0-hybrid</t>
  </si>
  <si>
    <t>gene19679-v1.0-hybrid</t>
  </si>
  <si>
    <t>gene19979-v1.0-hybrid</t>
  </si>
  <si>
    <t>gene20580-v1.0-hybrid</t>
  </si>
  <si>
    <t>gene20880-v1.0-hybrid</t>
  </si>
  <si>
    <t>gene21180-v1.0-hybrid</t>
  </si>
  <si>
    <t>gene21481-v1.0-hybrid</t>
  </si>
  <si>
    <t>gene21781-v1.0-hybrid</t>
  </si>
  <si>
    <t>gene22382-v1.0-hybrid</t>
  </si>
  <si>
    <t>gene22682-v1.0-hybrid</t>
  </si>
  <si>
    <t>gene22983-v1.0-hybrid</t>
  </si>
  <si>
    <t>gene23885-v1.0-hybrid</t>
  </si>
  <si>
    <t>gene24788-v1.0-hybrid</t>
  </si>
  <si>
    <t>gene25390-v1.0-hybrid</t>
  </si>
  <si>
    <t>gene25690-v1.0-hybrid</t>
  </si>
  <si>
    <t>gene25990-v1.0-hybrid</t>
  </si>
  <si>
    <t>gene26290-v1.0-hybrid</t>
  </si>
  <si>
    <t>gene26891-v1.0-hybrid</t>
  </si>
  <si>
    <t>gene27191-v1.0-hybrid</t>
  </si>
  <si>
    <t>gene27791-v1.0-hybrid</t>
  </si>
  <si>
    <t>gene28391-v1.0-hybrid</t>
  </si>
  <si>
    <t>gene29291-v1.0-hybrid</t>
  </si>
  <si>
    <t>gene29591-v1.0-hybrid</t>
  </si>
  <si>
    <t>gene29893-v1.0-hybrid</t>
  </si>
  <si>
    <t>gene30193-v1.0-hybrid</t>
  </si>
  <si>
    <t>gene30493-v1.0-hybrid</t>
  </si>
  <si>
    <t>gene31093-v1.0-hybrid</t>
  </si>
  <si>
    <t>gene31393-v1.0-hybrid</t>
  </si>
  <si>
    <t>gene31693-v1.0-hybrid</t>
  </si>
  <si>
    <t>gene31993-v1.0-hybrid</t>
  </si>
  <si>
    <t>gene32293-v1.0-hybrid</t>
  </si>
  <si>
    <t>gene32593-v1.0-hybrid</t>
  </si>
  <si>
    <t>gene32947-v1.0-hybrid</t>
  </si>
  <si>
    <t>gene33750-v1.0-hybrid</t>
  </si>
  <si>
    <t>gene34058-v1.0-hybrid</t>
  </si>
  <si>
    <t>gene34958-v1.0-hybrid</t>
  </si>
  <si>
    <t>gene00370-v1.0-hybrid</t>
  </si>
  <si>
    <t>gene00674-v1.0-hybrid</t>
  </si>
  <si>
    <t>gene00974-v1.0-hybrid</t>
  </si>
  <si>
    <t>gene01274-v1.0-hybrid</t>
  </si>
  <si>
    <t>gene01875-v1.0-hybrid</t>
  </si>
  <si>
    <t>gene02175-v1.0-hybrid</t>
  </si>
  <si>
    <t>gene02475-v1.0-hybrid</t>
  </si>
  <si>
    <t>gene02783-v1.0-hybrid</t>
  </si>
  <si>
    <t>gene03163-v1.0-hybrid</t>
  </si>
  <si>
    <t>gene03463-v1.0-hybrid</t>
  </si>
  <si>
    <t>gene03763-v1.0-hybrid</t>
  </si>
  <si>
    <t>gene04663-v1.0-hybrid</t>
  </si>
  <si>
    <t>gene05564-v1.0-hybrid</t>
  </si>
  <si>
    <t>gene05864-v1.0-hybrid</t>
  </si>
  <si>
    <t>gene06464-v1.0-hybrid</t>
  </si>
  <si>
    <t>gene06764-v1.0-hybrid</t>
  </si>
  <si>
    <t>gene07064-v1.0-hybrid</t>
  </si>
  <si>
    <t>gene07364-v1.0-hybrid</t>
  </si>
  <si>
    <t>gene07965-v1.0-hybrid</t>
  </si>
  <si>
    <t>gene08265-v1.0-hybrid</t>
  </si>
  <si>
    <t>gene08865-v1.0-hybrid</t>
  </si>
  <si>
    <t>gene09165-v1.0-hybrid</t>
  </si>
  <si>
    <t>gene09465-v1.0-hybrid</t>
  </si>
  <si>
    <t>gene09765-v1.0-hybrid</t>
  </si>
  <si>
    <t>gene10066-v1.0-hybrid</t>
  </si>
  <si>
    <t>gene10366-v1.0-hybrid</t>
  </si>
  <si>
    <t>gene10667-v1.0-hybrid</t>
  </si>
  <si>
    <t>gene10967-v1.0-hybrid</t>
  </si>
  <si>
    <t>gene11268-v1.0-hybrid</t>
  </si>
  <si>
    <t>gene11568-v1.0-hybrid</t>
  </si>
  <si>
    <t>gene11868-v1.0-hybrid</t>
  </si>
  <si>
    <t>gene12168-v1.0-hybrid</t>
  </si>
  <si>
    <t>gene12468-v1.0-hybrid</t>
  </si>
  <si>
    <t>gene12768-v1.0-hybrid</t>
  </si>
  <si>
    <t>gene13069-v1.0-hybrid</t>
  </si>
  <si>
    <t>gene13369-v1.0-hybrid</t>
  </si>
  <si>
    <t>gene13669-v1.0-hybrid</t>
  </si>
  <si>
    <t>gene13970-v1.0-hybrid</t>
  </si>
  <si>
    <t>gene14271-v1.0-hybrid</t>
  </si>
  <si>
    <t>gene14573-v1.0-hybrid</t>
  </si>
  <si>
    <t>gene15476-v1.0-hybrid</t>
  </si>
  <si>
    <t>gene16078-v1.0-hybrid</t>
  </si>
  <si>
    <t>gene16378-v1.0-hybrid</t>
  </si>
  <si>
    <t>gene16678-v1.0-hybrid</t>
  </si>
  <si>
    <t>gene16980-v1.0-hybrid</t>
  </si>
  <si>
    <t>gene17280-v1.0-hybrid</t>
  </si>
  <si>
    <t>gene17880-v1.0-hybrid</t>
  </si>
  <si>
    <t>gene18180-v1.0-hybrid</t>
  </si>
  <si>
    <t>gene18480-v1.0-hybrid</t>
  </si>
  <si>
    <t>gene18780-v1.0-hybrid</t>
  </si>
  <si>
    <t>gene19080-v1.0-hybrid</t>
  </si>
  <si>
    <t>gene19380-v1.0-hybrid</t>
  </si>
  <si>
    <t>gene19980-v1.0-hybrid</t>
  </si>
  <si>
    <t>gene20281-v1.0-hybrid</t>
  </si>
  <si>
    <t>gene20881-v1.0-hybrid</t>
  </si>
  <si>
    <t>gene21181-v1.0-hybrid</t>
  </si>
  <si>
    <t>gene21782-v1.0-hybrid</t>
  </si>
  <si>
    <t>gene22082-v1.0-hybrid</t>
  </si>
  <si>
    <t>gene22683-v1.0-hybrid</t>
  </si>
  <si>
    <t>gene22984-v1.0-hybrid</t>
  </si>
  <si>
    <t>gene23886-v1.0-hybrid</t>
  </si>
  <si>
    <t>gene24187-v1.0-hybrid</t>
  </si>
  <si>
    <t>gene24489-v1.0-hybrid</t>
  </si>
  <si>
    <t>gene24789-v1.0-hybrid</t>
  </si>
  <si>
    <t>gene25391-v1.0-hybrid</t>
  </si>
  <si>
    <t>gene25991-v1.0-hybrid</t>
  </si>
  <si>
    <t>gene26892-v1.0-hybrid</t>
  </si>
  <si>
    <t>gene27192-v1.0-hybrid</t>
  </si>
  <si>
    <t>gene27492-v1.0-hybrid</t>
  </si>
  <si>
    <t>gene27792-v1.0-hybrid</t>
  </si>
  <si>
    <t>gene28692-v1.0-hybrid</t>
  </si>
  <si>
    <t>gene28992-v1.0-hybrid</t>
  </si>
  <si>
    <t>gene29592-v1.0-hybrid</t>
  </si>
  <si>
    <t>gene30494-v1.0-hybrid</t>
  </si>
  <si>
    <t>gene30794-v1.0-hybrid</t>
  </si>
  <si>
    <t>gene31094-v1.0-hybrid</t>
  </si>
  <si>
    <t>gene31394-v1.0-hybrid</t>
  </si>
  <si>
    <t>gene31694-v1.0-hybrid</t>
  </si>
  <si>
    <t>gene31994-v1.0-hybrid</t>
  </si>
  <si>
    <t>gene32294-v1.0-hybrid</t>
  </si>
  <si>
    <t>gene34059-v1.0-hybrid</t>
  </si>
  <si>
    <t>gene34659-v1.0-hybrid</t>
  </si>
  <si>
    <t>gene00371-v1.0-hybrid</t>
  </si>
  <si>
    <t>gene00675-v1.0-hybrid</t>
  </si>
  <si>
    <t>gene00975-v1.0-hybrid</t>
  </si>
  <si>
    <t>gene01275-v1.0-hybrid</t>
  </si>
  <si>
    <t>gene01576-v1.0-hybrid</t>
  </si>
  <si>
    <t>gene01876-v1.0-hybrid</t>
  </si>
  <si>
    <t>gene02176-v1.0-hybrid</t>
  </si>
  <si>
    <t>gene02476-v1.0-hybrid</t>
  </si>
  <si>
    <t>gene03764-v1.0-hybrid</t>
  </si>
  <si>
    <t>gene04064-v1.0-hybrid</t>
  </si>
  <si>
    <t>gene04364-v1.0-hybrid</t>
  </si>
  <si>
    <t>gene04664-v1.0-hybrid</t>
  </si>
  <si>
    <t>gene05265-v1.0-hybrid</t>
  </si>
  <si>
    <t>gene05565-v1.0-hybrid</t>
  </si>
  <si>
    <t>gene06465-v1.0-hybrid</t>
  </si>
  <si>
    <t>gene07065-v1.0-hybrid</t>
  </si>
  <si>
    <t>gene07365-v1.0-hybrid</t>
  </si>
  <si>
    <t>gene07966-v1.0-hybrid</t>
  </si>
  <si>
    <t>gene08266-v1.0-hybrid</t>
  </si>
  <si>
    <t>gene08566-v1.0-hybrid</t>
  </si>
  <si>
    <t>gene08866-v1.0-hybrid</t>
  </si>
  <si>
    <t>gene09466-v1.0-hybrid</t>
  </si>
  <si>
    <t>gene09766-v1.0-hybrid</t>
  </si>
  <si>
    <t>gene10067-v1.0-hybrid</t>
  </si>
  <si>
    <t>gene10367-v1.0-hybrid</t>
  </si>
  <si>
    <t>gene10668-v1.0-hybrid</t>
  </si>
  <si>
    <t>gene10968-v1.0-hybrid</t>
  </si>
  <si>
    <t>gene11269-v1.0-hybrid</t>
  </si>
  <si>
    <t>gene11569-v1.0-hybrid</t>
  </si>
  <si>
    <t>gene11869-v1.0-hybrid</t>
  </si>
  <si>
    <t>gene12169-v1.0-hybrid</t>
  </si>
  <si>
    <t>gene12769-v1.0-hybrid</t>
  </si>
  <si>
    <t>gene13070-v1.0-hybrid</t>
  </si>
  <si>
    <t>gene13370-v1.0-hybrid</t>
  </si>
  <si>
    <t>gene13670-v1.0-hybrid</t>
  </si>
  <si>
    <t>gene14875-v1.0-hybrid</t>
  </si>
  <si>
    <t>gene15176-v1.0-hybrid</t>
  </si>
  <si>
    <t>gene15477-v1.0-hybrid</t>
  </si>
  <si>
    <t>gene15778-v1.0-hybrid</t>
  </si>
  <si>
    <t>gene16079-v1.0-hybrid</t>
  </si>
  <si>
    <t>gene16679-v1.0-hybrid</t>
  </si>
  <si>
    <t>gene16981-v1.0-hybrid</t>
  </si>
  <si>
    <t>gene17581-v1.0-hybrid</t>
  </si>
  <si>
    <t>gene17881-v1.0-hybrid</t>
  </si>
  <si>
    <t>gene18181-v1.0-hybrid</t>
  </si>
  <si>
    <t>gene18481-v1.0-hybrid</t>
  </si>
  <si>
    <t>gene18781-v1.0-hybrid</t>
  </si>
  <si>
    <t>gene19081-v1.0-hybrid</t>
  </si>
  <si>
    <t>gene19381-v1.0-hybrid</t>
  </si>
  <si>
    <t>gene19681-v1.0-hybrid</t>
  </si>
  <si>
    <t>gene20282-v1.0-hybrid</t>
  </si>
  <si>
    <t>gene20582-v1.0-hybrid</t>
  </si>
  <si>
    <t>gene20882-v1.0-hybrid</t>
  </si>
  <si>
    <t>gene21182-v1.0-hybrid</t>
  </si>
  <si>
    <t>gene21483-v1.0-hybrid</t>
  </si>
  <si>
    <t>gene21783-v1.0-hybrid</t>
  </si>
  <si>
    <t>gene22985-v1.0-hybrid</t>
  </si>
  <si>
    <t>gene23287-v1.0-hybrid</t>
  </si>
  <si>
    <t>gene23887-v1.0-hybrid</t>
  </si>
  <si>
    <t>gene24790-v1.0-hybrid</t>
  </si>
  <si>
    <t>gene25092-v1.0-hybrid</t>
  </si>
  <si>
    <t>gene25392-v1.0-hybrid</t>
  </si>
  <si>
    <t>gene25692-v1.0-hybrid</t>
  </si>
  <si>
    <t>gene25992-v1.0-hybrid</t>
  </si>
  <si>
    <t>gene27193-v1.0-hybrid</t>
  </si>
  <si>
    <t>gene27493-v1.0-hybrid</t>
  </si>
  <si>
    <t>gene27793-v1.0-hybrid</t>
  </si>
  <si>
    <t>gene28093-v1.0-hybrid</t>
  </si>
  <si>
    <t>gene28393-v1.0-hybrid</t>
  </si>
  <si>
    <t>gene28993-v1.0-hybrid</t>
  </si>
  <si>
    <t>gene29593-v1.0-hybrid</t>
  </si>
  <si>
    <t>gene29895-v1.0-hybrid</t>
  </si>
  <si>
    <t>gene30195-v1.0-hybrid</t>
  </si>
  <si>
    <t>gene30495-v1.0-hybrid</t>
  </si>
  <si>
    <t>gene30795-v1.0-hybrid</t>
  </si>
  <si>
    <t>gene31095-v1.0-hybrid</t>
  </si>
  <si>
    <t>gene31395-v1.0-hybrid</t>
  </si>
  <si>
    <t>gene31695-v1.0-hybrid</t>
  </si>
  <si>
    <t>gene31995-v1.0-hybrid</t>
  </si>
  <si>
    <t>gene32595-v1.0-hybrid</t>
  </si>
  <si>
    <t>gene34060-v1.0-hybrid</t>
  </si>
  <si>
    <t>gene34660-v1.0-hybrid</t>
  </si>
  <si>
    <t>gene00372-v1.0-hybrid</t>
  </si>
  <si>
    <t>gene00676-v1.0-hybrid</t>
  </si>
  <si>
    <t>gene01577-v1.0-hybrid</t>
  </si>
  <si>
    <t>gene01877-v1.0-hybrid</t>
  </si>
  <si>
    <t>gene02177-v1.0-hybrid</t>
  </si>
  <si>
    <t>gene02477-v1.0-hybrid</t>
  </si>
  <si>
    <t>gene02785-v1.0-hybrid</t>
  </si>
  <si>
    <t>gene03165-v1.0-hybrid</t>
  </si>
  <si>
    <t>gene03765-v1.0-hybrid</t>
  </si>
  <si>
    <t>gene04065-v1.0-hybrid</t>
  </si>
  <si>
    <t>gene04665-v1.0-hybrid</t>
  </si>
  <si>
    <t>gene04965-v1.0-hybrid</t>
  </si>
  <si>
    <t>gene05266-v1.0-hybrid</t>
  </si>
  <si>
    <t>gene05566-v1.0-hybrid</t>
  </si>
  <si>
    <t>gene05866-v1.0-hybrid</t>
  </si>
  <si>
    <t>gene06466-v1.0-hybrid</t>
  </si>
  <si>
    <t>gene06766-v1.0-hybrid</t>
  </si>
  <si>
    <t>gene07066-v1.0-hybrid</t>
  </si>
  <si>
    <t>gene08267-v1.0-hybrid</t>
  </si>
  <si>
    <t>gene08567-v1.0-hybrid</t>
  </si>
  <si>
    <t>gene09167-v1.0-hybrid</t>
  </si>
  <si>
    <t>gene09467-v1.0-hybrid</t>
  </si>
  <si>
    <t>gene10068-v1.0-hybrid</t>
  </si>
  <si>
    <t>gene10669-v1.0-hybrid</t>
  </si>
  <si>
    <t>gene10969-v1.0-hybrid</t>
  </si>
  <si>
    <t>gene11270-v1.0-hybrid</t>
  </si>
  <si>
    <t>gene11870-v1.0-hybrid</t>
  </si>
  <si>
    <t>gene12170-v1.0-hybrid</t>
  </si>
  <si>
    <t>gene12470-v1.0-hybrid</t>
  </si>
  <si>
    <t>gene12770-v1.0-hybrid</t>
  </si>
  <si>
    <t>gene13071-v1.0-hybrid</t>
  </si>
  <si>
    <t>gene13371-v1.0-hybrid</t>
  </si>
  <si>
    <t>gene13972-v1.0-hybrid</t>
  </si>
  <si>
    <t>gene14273-v1.0-hybrid</t>
  </si>
  <si>
    <t>gene14575-v1.0-hybrid</t>
  </si>
  <si>
    <t>gene14876-v1.0-hybrid</t>
  </si>
  <si>
    <t>gene15177-v1.0-hybrid</t>
  </si>
  <si>
    <t>gene15779-v1.0-hybrid</t>
  </si>
  <si>
    <t>gene16680-v1.0-hybrid</t>
  </si>
  <si>
    <t>gene17582-v1.0-hybrid</t>
  </si>
  <si>
    <t>gene18482-v1.0-hybrid</t>
  </si>
  <si>
    <t>gene18782-v1.0-hybrid</t>
  </si>
  <si>
    <t>gene19382-v1.0-hybrid</t>
  </si>
  <si>
    <t>gene19982-v1.0-hybrid</t>
  </si>
  <si>
    <t>gene20583-v1.0-hybrid</t>
  </si>
  <si>
    <t>gene20883-v1.0-hybrid</t>
  </si>
  <si>
    <t>gene21183-v1.0-hybrid</t>
  </si>
  <si>
    <t>gene21484-v1.0-hybrid</t>
  </si>
  <si>
    <t>gene21784-v1.0-hybrid</t>
  </si>
  <si>
    <t>gene22385-v1.0-hybrid</t>
  </si>
  <si>
    <t>gene22685-v1.0-hybrid</t>
  </si>
  <si>
    <t>gene22986-v1.0-hybrid</t>
  </si>
  <si>
    <t>gene23588-v1.0-hybrid</t>
  </si>
  <si>
    <t>gene25093-v1.0-hybrid</t>
  </si>
  <si>
    <t>gene25393-v1.0-hybrid</t>
  </si>
  <si>
    <t>gene25993-v1.0-hybrid</t>
  </si>
  <si>
    <t>gene26593-v1.0-hybrid</t>
  </si>
  <si>
    <t>gene26894-v1.0-hybrid</t>
  </si>
  <si>
    <t>gene27194-v1.0-hybrid</t>
  </si>
  <si>
    <t>gene27494-v1.0-hybrid</t>
  </si>
  <si>
    <t>gene28094-v1.0-hybrid</t>
  </si>
  <si>
    <t>gene28394-v1.0-hybrid</t>
  </si>
  <si>
    <t>gene28694-v1.0-hybrid</t>
  </si>
  <si>
    <t>gene28994-v1.0-hybrid</t>
  </si>
  <si>
    <t>gene29294-v1.0-hybrid</t>
  </si>
  <si>
    <t>gene29896-v1.0-hybrid</t>
  </si>
  <si>
    <t>gene30496-v1.0-hybrid</t>
  </si>
  <si>
    <t>gene30796-v1.0-hybrid</t>
  </si>
  <si>
    <t>gene31696-v1.0-hybrid</t>
  </si>
  <si>
    <t>gene31996-v1.0-hybrid</t>
  </si>
  <si>
    <t>gene32296-v1.0-hybrid</t>
  </si>
  <si>
    <t>gene32596-v1.0-hybrid</t>
  </si>
  <si>
    <t>gene32950-v1.0-hybrid</t>
  </si>
  <si>
    <t>gene33358-v1.0-hybrid</t>
  </si>
  <si>
    <t>gene34061-v1.0-hybrid</t>
  </si>
  <si>
    <t>gene34661-v1.0-hybrid</t>
  </si>
  <si>
    <t>gene34961-v1.0-hybrid</t>
  </si>
  <si>
    <t>gene00373-v1.0-hybrid</t>
  </si>
  <si>
    <t>gene00677-v1.0-hybrid</t>
  </si>
  <si>
    <t>gene01277-v1.0-hybrid</t>
  </si>
  <si>
    <t>gene02178-v1.0-hybrid</t>
  </si>
  <si>
    <t>gene02787-v1.0-hybrid</t>
  </si>
  <si>
    <t>gene03166-v1.0-hybrid</t>
  </si>
  <si>
    <t>gene03766-v1.0-hybrid</t>
  </si>
  <si>
    <t>gene04066-v1.0-hybrid</t>
  </si>
  <si>
    <t>gene04666-v1.0-hybrid</t>
  </si>
  <si>
    <t>gene05267-v1.0-hybrid</t>
  </si>
  <si>
    <t>gene05867-v1.0-hybrid</t>
  </si>
  <si>
    <t>gene06467-v1.0-hybrid</t>
  </si>
  <si>
    <t>gene07367-v1.0-hybrid</t>
  </si>
  <si>
    <t>gene07667-v1.0-hybrid</t>
  </si>
  <si>
    <t>gene07968-v1.0-hybrid</t>
  </si>
  <si>
    <t>gene08268-v1.0-hybrid</t>
  </si>
  <si>
    <t>gene08568-v1.0-hybrid</t>
  </si>
  <si>
    <t>gene08868-v1.0-hybrid</t>
  </si>
  <si>
    <t>gene09168-v1.0-hybrid</t>
  </si>
  <si>
    <t>gene09468-v1.0-hybrid</t>
  </si>
  <si>
    <t>gene10069-v1.0-hybrid</t>
  </si>
  <si>
    <t>gene10369-v1.0-hybrid</t>
  </si>
  <si>
    <t>gene11271-v1.0-hybrid</t>
  </si>
  <si>
    <t>gene11871-v1.0-hybrid</t>
  </si>
  <si>
    <t>gene12171-v1.0-hybrid</t>
  </si>
  <si>
    <t>gene12471-v1.0-hybrid</t>
  </si>
  <si>
    <t>gene12771-v1.0-hybrid</t>
  </si>
  <si>
    <t>gene13072-v1.0-hybrid</t>
  </si>
  <si>
    <t>gene13372-v1.0-hybrid</t>
  </si>
  <si>
    <t>gene13672-v1.0-hybrid</t>
  </si>
  <si>
    <t>gene13973-v1.0-hybrid</t>
  </si>
  <si>
    <t>gene14576-v1.0-hybrid</t>
  </si>
  <si>
    <t>gene14877-v1.0-hybrid</t>
  </si>
  <si>
    <t>gene15178-v1.0-hybrid</t>
  </si>
  <si>
    <t>gene15479-v1.0-hybrid</t>
  </si>
  <si>
    <t>gene16081-v1.0-hybrid</t>
  </si>
  <si>
    <t>gene16681-v1.0-hybrid</t>
  </si>
  <si>
    <t>gene16983-v1.0-hybrid</t>
  </si>
  <si>
    <t>gene17583-v1.0-hybrid</t>
  </si>
  <si>
    <t>gene17883-v1.0-hybrid</t>
  </si>
  <si>
    <t>gene18183-v1.0-hybrid</t>
  </si>
  <si>
    <t>gene18483-v1.0-hybrid</t>
  </si>
  <si>
    <t>gene18783-v1.0-hybrid</t>
  </si>
  <si>
    <t>gene19383-v1.0-hybrid</t>
  </si>
  <si>
    <t>gene19683-v1.0-hybrid</t>
  </si>
  <si>
    <t>gene19983-v1.0-hybrid</t>
  </si>
  <si>
    <t>gene20584-v1.0-hybrid</t>
  </si>
  <si>
    <t>gene21184-v1.0-hybrid</t>
  </si>
  <si>
    <t>gene21485-v1.0-hybrid</t>
  </si>
  <si>
    <t>gene22085-v1.0-hybrid</t>
  </si>
  <si>
    <t>gene22386-v1.0-hybrid</t>
  </si>
  <si>
    <t>gene22987-v1.0-hybrid</t>
  </si>
  <si>
    <t>gene23289-v1.0-hybrid</t>
  </si>
  <si>
    <t>gene23589-v1.0-hybrid</t>
  </si>
  <si>
    <t>gene23889-v1.0-hybrid</t>
  </si>
  <si>
    <t>gene24190-v1.0-hybrid</t>
  </si>
  <si>
    <t>gene24492-v1.0-hybrid</t>
  </si>
  <si>
    <t>gene24792-v1.0-hybrid</t>
  </si>
  <si>
    <t>gene25394-v1.0-hybrid</t>
  </si>
  <si>
    <t>gene25694-v1.0-hybrid</t>
  </si>
  <si>
    <t>gene26294-v1.0-hybrid</t>
  </si>
  <si>
    <t>gene26895-v1.0-hybrid</t>
  </si>
  <si>
    <t>gene27195-v1.0-hybrid</t>
  </si>
  <si>
    <t>gene27495-v1.0-hybrid</t>
  </si>
  <si>
    <t>gene27795-v1.0-hybrid</t>
  </si>
  <si>
    <t>gene28095-v1.0-hybrid</t>
  </si>
  <si>
    <t>gene28395-v1.0-hybrid</t>
  </si>
  <si>
    <t>gene28695-v1.0-hybrid</t>
  </si>
  <si>
    <t>gene28995-v1.0-hybrid</t>
  </si>
  <si>
    <t>gene29295-v1.0-hybrid</t>
  </si>
  <si>
    <t>gene29595-v1.0-hybrid</t>
  </si>
  <si>
    <t>gene30197-v1.0-hybrid</t>
  </si>
  <si>
    <t>gene30797-v1.0-hybrid</t>
  </si>
  <si>
    <t>gene31097-v1.0-hybrid</t>
  </si>
  <si>
    <t>gene31397-v1.0-hybrid</t>
  </si>
  <si>
    <t>gene31697-v1.0-hybrid</t>
  </si>
  <si>
    <t>gene31997-v1.0-hybrid</t>
  </si>
  <si>
    <t>gene32297-v1.0-hybrid</t>
  </si>
  <si>
    <t>gene32597-v1.0-hybrid</t>
  </si>
  <si>
    <t>gene33359-v1.0-hybrid</t>
  </si>
  <si>
    <t>gene33755-v1.0-hybrid</t>
  </si>
  <si>
    <t>gene34662-v1.0-hybrid</t>
  </si>
  <si>
    <t>gene00678-v1.0-hybrid</t>
  </si>
  <si>
    <t>gene01278-v1.0-hybrid</t>
  </si>
  <si>
    <t>gene01579-v1.0-hybrid</t>
  </si>
  <si>
    <t>gene01879-v1.0-hybrid</t>
  </si>
  <si>
    <t>gene02788-v1.0-hybrid</t>
  </si>
  <si>
    <t>gene03167-v1.0-hybrid</t>
  </si>
  <si>
    <t>gene03767-v1.0-hybrid</t>
  </si>
  <si>
    <t>gene04367-v1.0-hybrid</t>
  </si>
  <si>
    <t>gene04667-v1.0-hybrid</t>
  </si>
  <si>
    <t>gene04967-v1.0-hybrid</t>
  </si>
  <si>
    <t>gene07068-v1.0-hybrid</t>
  </si>
  <si>
    <t>gene07368-v1.0-hybrid</t>
  </si>
  <si>
    <t>gene07969-v1.0-hybrid</t>
  </si>
  <si>
    <t>gene08269-v1.0-hybrid</t>
  </si>
  <si>
    <t>gene08569-v1.0-hybrid</t>
  </si>
  <si>
    <t>gene08869-v1.0-hybrid</t>
  </si>
  <si>
    <t>gene09169-v1.0-hybrid</t>
  </si>
  <si>
    <t>gene09469-v1.0-hybrid</t>
  </si>
  <si>
    <t>gene09769-v1.0-hybrid</t>
  </si>
  <si>
    <t>gene10070-v1.0-hybrid</t>
  </si>
  <si>
    <t>gene11572-v1.0-hybrid</t>
  </si>
  <si>
    <t>gene12172-v1.0-hybrid</t>
  </si>
  <si>
    <t>gene12472-v1.0-hybrid</t>
  </si>
  <si>
    <t>gene12772-v1.0-hybrid</t>
  </si>
  <si>
    <t>gene13073-v1.0-hybrid</t>
  </si>
  <si>
    <t>gene13373-v1.0-hybrid</t>
  </si>
  <si>
    <t>gene13673-v1.0-hybrid</t>
  </si>
  <si>
    <t>gene14275-v1.0-hybrid</t>
  </si>
  <si>
    <t>gene14577-v1.0-hybrid</t>
  </si>
  <si>
    <t>gene14878-v1.0-hybrid</t>
  </si>
  <si>
    <t>gene15480-v1.0-hybrid</t>
  </si>
  <si>
    <t>gene16382-v1.0-hybrid</t>
  </si>
  <si>
    <t>gene16984-v1.0-hybrid</t>
  </si>
  <si>
    <t>gene17284-v1.0-hybrid</t>
  </si>
  <si>
    <t>gene18184-v1.0-hybrid</t>
  </si>
  <si>
    <t>gene18484-v1.0-hybrid</t>
  </si>
  <si>
    <t>gene18784-v1.0-hybrid</t>
  </si>
  <si>
    <t>gene19084-v1.0-hybrid</t>
  </si>
  <si>
    <t>gene19384-v1.0-hybrid</t>
  </si>
  <si>
    <t>gene19684-v1.0-hybrid</t>
  </si>
  <si>
    <t>gene19984-v1.0-hybrid</t>
  </si>
  <si>
    <t>gene20285-v1.0-hybrid</t>
  </si>
  <si>
    <t>gene20585-v1.0-hybrid</t>
  </si>
  <si>
    <t>gene20885-v1.0-hybrid</t>
  </si>
  <si>
    <t>gene21185-v1.0-hybrid</t>
  </si>
  <si>
    <t>gene21486-v1.0-hybrid</t>
  </si>
  <si>
    <t>gene21786-v1.0-hybrid</t>
  </si>
  <si>
    <t>gene22387-v1.0-hybrid</t>
  </si>
  <si>
    <t>gene22687-v1.0-hybrid</t>
  </si>
  <si>
    <t>gene22988-v1.0-hybrid</t>
  </si>
  <si>
    <t>gene23290-v1.0-hybrid</t>
  </si>
  <si>
    <t>gene23590-v1.0-hybrid</t>
  </si>
  <si>
    <t>gene23890-v1.0-hybrid</t>
  </si>
  <si>
    <t>gene24191-v1.0-hybrid</t>
  </si>
  <si>
    <t>gene24493-v1.0-hybrid</t>
  </si>
  <si>
    <t>gene25095-v1.0-hybrid</t>
  </si>
  <si>
    <t>gene25695-v1.0-hybrid</t>
  </si>
  <si>
    <t>gene25995-v1.0-hybrid</t>
  </si>
  <si>
    <t>gene26595-v1.0-hybrid</t>
  </si>
  <si>
    <t>gene26896-v1.0-hybrid</t>
  </si>
  <si>
    <t>gene27196-v1.0-hybrid</t>
  </si>
  <si>
    <t>gene27496-v1.0-hybrid</t>
  </si>
  <si>
    <t>gene27796-v1.0-hybrid</t>
  </si>
  <si>
    <t>gene28096-v1.0-hybrid</t>
  </si>
  <si>
    <t>gene28396-v1.0-hybrid</t>
  </si>
  <si>
    <t>gene28696-v1.0-hybrid</t>
  </si>
  <si>
    <t>gene29296-v1.0-hybrid</t>
  </si>
  <si>
    <t>gene29898-v1.0-hybrid</t>
  </si>
  <si>
    <t>gene30498-v1.0-hybrid</t>
  </si>
  <si>
    <t>gene30798-v1.0-hybrid</t>
  </si>
  <si>
    <t>gene31098-v1.0-hybrid</t>
  </si>
  <si>
    <t>gene31398-v1.0-hybrid</t>
  </si>
  <si>
    <t>gene31698-v1.0-hybrid</t>
  </si>
  <si>
    <t>gene31998-v1.0-hybrid</t>
  </si>
  <si>
    <t>gene32298-v1.0-hybrid</t>
  </si>
  <si>
    <t>gene32598-v1.0-hybrid</t>
  </si>
  <si>
    <t>gene34963-v1.0-hybrid</t>
  </si>
  <si>
    <t>gene00375-v1.0-hybrid</t>
  </si>
  <si>
    <t>gene00679-v1.0-hybrid</t>
  </si>
  <si>
    <t>gene00979-v1.0-hybrid</t>
  </si>
  <si>
    <t>gene01279-v1.0-hybrid</t>
  </si>
  <si>
    <t>gene01580-v1.0-hybrid</t>
  </si>
  <si>
    <t>gene01880-v1.0-hybrid</t>
  </si>
  <si>
    <t>gene02180-v1.0-hybrid</t>
  </si>
  <si>
    <t>gene03168-v1.0-hybrid</t>
  </si>
  <si>
    <t>gene03768-v1.0-hybrid</t>
  </si>
  <si>
    <t>gene04368-v1.0-hybrid</t>
  </si>
  <si>
    <t>gene04668-v1.0-hybrid</t>
  </si>
  <si>
    <t>gene04968-v1.0-hybrid</t>
  </si>
  <si>
    <t>gene05269-v1.0-hybrid</t>
  </si>
  <si>
    <t>gene05569-v1.0-hybrid</t>
  </si>
  <si>
    <t>gene05869-v1.0-hybrid</t>
  </si>
  <si>
    <t>gene06169-v1.0-hybrid</t>
  </si>
  <si>
    <t>gene06469-v1.0-hybrid</t>
  </si>
  <si>
    <t>gene06769-v1.0-hybrid</t>
  </si>
  <si>
    <t>gene07069-v1.0-hybrid</t>
  </si>
  <si>
    <t>gene07369-v1.0-hybrid</t>
  </si>
  <si>
    <t>gene07669-v1.0-hybrid</t>
  </si>
  <si>
    <t>gene07970-v1.0-hybrid</t>
  </si>
  <si>
    <t>gene08270-v1.0-hybrid</t>
  </si>
  <si>
    <t>gene08570-v1.0-hybrid</t>
  </si>
  <si>
    <t>gene08870-v1.0-hybrid</t>
  </si>
  <si>
    <t>gene09170-v1.0-hybrid</t>
  </si>
  <si>
    <t>gene09770-v1.0-hybrid</t>
  </si>
  <si>
    <t>gene10071-v1.0-hybrid</t>
  </si>
  <si>
    <t>gene10371-v1.0-hybrid</t>
  </si>
  <si>
    <t>gene10672-v1.0-hybrid</t>
  </si>
  <si>
    <t>gene10972-v1.0-hybrid</t>
  </si>
  <si>
    <t>gene11873-v1.0-hybrid</t>
  </si>
  <si>
    <t>gene12173-v1.0-hybrid</t>
  </si>
  <si>
    <t>gene12473-v1.0-hybrid</t>
  </si>
  <si>
    <t>gene12773-v1.0-hybrid</t>
  </si>
  <si>
    <t>gene13074-v1.0-hybrid</t>
  </si>
  <si>
    <t>gene13374-v1.0-hybrid</t>
  </si>
  <si>
    <t>gene13975-v1.0-hybrid</t>
  </si>
  <si>
    <t>gene14276-v1.0-hybrid</t>
  </si>
  <si>
    <t>gene15180-v1.0-hybrid</t>
  </si>
  <si>
    <t>gene15481-v1.0-hybrid</t>
  </si>
  <si>
    <t>gene15782-v1.0-hybrid</t>
  </si>
  <si>
    <t>gene16083-v1.0-hybrid</t>
  </si>
  <si>
    <t>gene16383-v1.0-hybrid</t>
  </si>
  <si>
    <t>gene16683-v1.0-hybrid</t>
  </si>
  <si>
    <t>gene16985-v1.0-hybrid</t>
  </si>
  <si>
    <t>gene17585-v1.0-hybrid</t>
  </si>
  <si>
    <t>gene17885-v1.0-hybrid</t>
  </si>
  <si>
    <t>gene18185-v1.0-hybrid</t>
  </si>
  <si>
    <t>gene18485-v1.0-hybrid</t>
  </si>
  <si>
    <t>gene18785-v1.0-hybrid</t>
  </si>
  <si>
    <t>gene19085-v1.0-hybrid</t>
  </si>
  <si>
    <t>gene19685-v1.0-hybrid</t>
  </si>
  <si>
    <t>gene19985-v1.0-hybrid</t>
  </si>
  <si>
    <t>gene20286-v1.0-hybrid</t>
  </si>
  <si>
    <t>gene20586-v1.0-hybrid</t>
  </si>
  <si>
    <t>gene20886-v1.0-hybrid</t>
  </si>
  <si>
    <t>gene21186-v1.0-hybrid</t>
  </si>
  <si>
    <t>gene21487-v1.0-hybrid</t>
  </si>
  <si>
    <t>gene21787-v1.0-hybrid</t>
  </si>
  <si>
    <t>gene22087-v1.0-hybrid</t>
  </si>
  <si>
    <t>gene23291-v1.0-hybrid</t>
  </si>
  <si>
    <t>gene23591-v1.0-hybrid</t>
  </si>
  <si>
    <t>gene23891-v1.0-hybrid</t>
  </si>
  <si>
    <t>gene24494-v1.0-hybrid</t>
  </si>
  <si>
    <t>gene24794-v1.0-hybrid</t>
  </si>
  <si>
    <t>gene25096-v1.0-hybrid</t>
  </si>
  <si>
    <t>gene25696-v1.0-hybrid</t>
  </si>
  <si>
    <t>gene25996-v1.0-hybrid</t>
  </si>
  <si>
    <t>gene26596-v1.0-hybrid</t>
  </si>
  <si>
    <t>gene26897-v1.0-hybrid</t>
  </si>
  <si>
    <t>gene28097-v1.0-hybrid</t>
  </si>
  <si>
    <t>gene28397-v1.0-hybrid</t>
  </si>
  <si>
    <t>gene28697-v1.0-hybrid</t>
  </si>
  <si>
    <t>gene28997-v1.0-hybrid</t>
  </si>
  <si>
    <t>gene29297-v1.0-hybrid</t>
  </si>
  <si>
    <t>gene29899-v1.0-hybrid</t>
  </si>
  <si>
    <t>gene30199-v1.0-hybrid</t>
  </si>
  <si>
    <t>gene30499-v1.0-hybrid</t>
  </si>
  <si>
    <t>gene30799-v1.0-hybrid</t>
  </si>
  <si>
    <t>gene31099-v1.0-hybrid</t>
  </si>
  <si>
    <t>gene31399-v1.0-hybrid</t>
  </si>
  <si>
    <t>gene31699-v1.0-hybrid</t>
  </si>
  <si>
    <t>gene31999-v1.0-hybrid</t>
  </si>
  <si>
    <t>gene32299-v1.0-hybrid</t>
  </si>
  <si>
    <t>gene32599-v1.0-hybrid</t>
  </si>
  <si>
    <t>gene34064-v1.0-hybrid</t>
  </si>
  <si>
    <t>gene00061-v1.0-hybrid</t>
  </si>
  <si>
    <t>gene00376-v1.0-hybrid</t>
  </si>
  <si>
    <t>gene00680-v1.0-hybrid</t>
  </si>
  <si>
    <t>gene00980-v1.0-hybrid</t>
  </si>
  <si>
    <t>gene01280-v1.0-hybrid</t>
  </si>
  <si>
    <t>gene01581-v1.0-hybrid</t>
  </si>
  <si>
    <t>gene01881-v1.0-hybrid</t>
  </si>
  <si>
    <t>gene02181-v1.0-hybrid</t>
  </si>
  <si>
    <t>gene02481-v1.0-hybrid</t>
  </si>
  <si>
    <t>gene03169-v1.0-hybrid</t>
  </si>
  <si>
    <t>gene03769-v1.0-hybrid</t>
  </si>
  <si>
    <t>gene04069-v1.0-hybrid</t>
  </si>
  <si>
    <t>gene04669-v1.0-hybrid</t>
  </si>
  <si>
    <t>gene04969-v1.0-hybrid</t>
  </si>
  <si>
    <t>gene05270-v1.0-hybrid</t>
  </si>
  <si>
    <t>gene05570-v1.0-hybrid</t>
  </si>
  <si>
    <t>gene05870-v1.0-hybrid</t>
  </si>
  <si>
    <t>gene06170-v1.0-hybrid</t>
  </si>
  <si>
    <t>gene06770-v1.0-hybrid</t>
  </si>
  <si>
    <t>gene07070-v1.0-hybrid</t>
  </si>
  <si>
    <t>gene07971-v1.0-hybrid</t>
  </si>
  <si>
    <t>gene08271-v1.0-hybrid</t>
  </si>
  <si>
    <t>gene08571-v1.0-hybrid</t>
  </si>
  <si>
    <t>gene08871-v1.0-hybrid</t>
  </si>
  <si>
    <t>gene09171-v1.0-hybrid</t>
  </si>
  <si>
    <t>gene09771-v1.0-hybrid</t>
  </si>
  <si>
    <t>gene10072-v1.0-hybrid</t>
  </si>
  <si>
    <t>gene10673-v1.0-hybrid</t>
  </si>
  <si>
    <t>gene10973-v1.0-hybrid</t>
  </si>
  <si>
    <t>gene11274-v1.0-hybrid</t>
  </si>
  <si>
    <t>gene11574-v1.0-hybrid</t>
  </si>
  <si>
    <t>gene11874-v1.0-hybrid</t>
  </si>
  <si>
    <t>gene12174-v1.0-hybrid</t>
  </si>
  <si>
    <t>gene12474-v1.0-hybrid</t>
  </si>
  <si>
    <t>gene13075-v1.0-hybrid</t>
  </si>
  <si>
    <t>gene13375-v1.0-hybrid</t>
  </si>
  <si>
    <t>gene13675-v1.0-hybrid</t>
  </si>
  <si>
    <t>gene13976-v1.0-hybrid</t>
  </si>
  <si>
    <t>gene14277-v1.0-hybrid</t>
  </si>
  <si>
    <t>gene14579-v1.0-hybrid</t>
  </si>
  <si>
    <t>gene14880-v1.0-hybrid</t>
  </si>
  <si>
    <t>gene15181-v1.0-hybrid</t>
  </si>
  <si>
    <t>gene15482-v1.0-hybrid</t>
  </si>
  <si>
    <t>gene16084-v1.0-hybrid</t>
  </si>
  <si>
    <t>gene16384-v1.0-hybrid</t>
  </si>
  <si>
    <t>gene16684-v1.0-hybrid</t>
  </si>
  <si>
    <t>gene17586-v1.0-hybrid</t>
  </si>
  <si>
    <t>gene18186-v1.0-hybrid</t>
  </si>
  <si>
    <t>gene18486-v1.0-hybrid</t>
  </si>
  <si>
    <t>gene18786-v1.0-hybrid</t>
  </si>
  <si>
    <t>gene19086-v1.0-hybrid</t>
  </si>
  <si>
    <t>gene19686-v1.0-hybrid</t>
  </si>
  <si>
    <t>gene20287-v1.0-hybrid</t>
  </si>
  <si>
    <t>gene20587-v1.0-hybrid</t>
  </si>
  <si>
    <t>gene20887-v1.0-hybrid</t>
  </si>
  <si>
    <t>gene21187-v1.0-hybrid</t>
  </si>
  <si>
    <t>gene21488-v1.0-hybrid</t>
  </si>
  <si>
    <t>gene21788-v1.0-hybrid</t>
  </si>
  <si>
    <t>gene22389-v1.0-hybrid</t>
  </si>
  <si>
    <t>gene22990-v1.0-hybrid</t>
  </si>
  <si>
    <t>gene23292-v1.0-hybrid</t>
  </si>
  <si>
    <t>gene23592-v1.0-hybrid</t>
  </si>
  <si>
    <t>gene24193-v1.0-hybrid</t>
  </si>
  <si>
    <t>gene24495-v1.0-hybrid</t>
  </si>
  <si>
    <t>gene24795-v1.0-hybrid</t>
  </si>
  <si>
    <t>gene25097-v1.0-hybrid</t>
  </si>
  <si>
    <t>gene25997-v1.0-hybrid</t>
  </si>
  <si>
    <t>gene26297-v1.0-hybrid</t>
  </si>
  <si>
    <t>gene26597-v1.0-hybrid</t>
  </si>
  <si>
    <t>gene27198-v1.0-hybrid</t>
  </si>
  <si>
    <t>gene27498-v1.0-hybrid</t>
  </si>
  <si>
    <t>gene28098-v1.0-hybrid</t>
  </si>
  <si>
    <t>gene28398-v1.0-hybrid</t>
  </si>
  <si>
    <t>gene28698-v1.0-hybrid</t>
  </si>
  <si>
    <t>gene28998-v1.0-hybrid</t>
  </si>
  <si>
    <t>gene29298-v1.0-hybrid</t>
  </si>
  <si>
    <t>gene29598-v1.0-hybrid</t>
  </si>
  <si>
    <t>gene29900-v1.0-hybrid</t>
  </si>
  <si>
    <t>gene30200-v1.0-hybrid</t>
  </si>
  <si>
    <t>gene30800-v1.0-hybrid</t>
  </si>
  <si>
    <t>gene31700-v1.0-hybrid</t>
  </si>
  <si>
    <t>gene32000-v1.0-hybrid</t>
  </si>
  <si>
    <t>gene32300-v1.0-hybrid</t>
  </si>
  <si>
    <t>gene32600-v1.0-hybrid</t>
  </si>
  <si>
    <t>gene32958-v1.0-hybrid</t>
  </si>
  <si>
    <t>gene34065-v1.0-hybrid</t>
  </si>
  <si>
    <t>gene34965-v1.0-hybrid</t>
  </si>
  <si>
    <t>gene00377-v1.0-hybrid</t>
  </si>
  <si>
    <t>gene00681-v1.0-hybrid</t>
  </si>
  <si>
    <t>gene01281-v1.0-hybrid</t>
  </si>
  <si>
    <t>gene01882-v1.0-hybrid</t>
  </si>
  <si>
    <t>gene02182-v1.0-hybrid</t>
  </si>
  <si>
    <t>gene02482-v1.0-hybrid</t>
  </si>
  <si>
    <t>gene03170-v1.0-hybrid</t>
  </si>
  <si>
    <t>gene03470-v1.0-hybrid</t>
  </si>
  <si>
    <t>gene03770-v1.0-hybrid</t>
  </si>
  <si>
    <t>gene04070-v1.0-hybrid</t>
  </si>
  <si>
    <t>gene04370-v1.0-hybrid</t>
  </si>
  <si>
    <t>gene04670-v1.0-hybrid</t>
  </si>
  <si>
    <t>gene05271-v1.0-hybrid</t>
  </si>
  <si>
    <t>gene05571-v1.0-hybrid</t>
  </si>
  <si>
    <t>gene05871-v1.0-hybrid</t>
  </si>
  <si>
    <t>gene06171-v1.0-hybrid</t>
  </si>
  <si>
    <t>gene06471-v1.0-hybrid</t>
  </si>
  <si>
    <t>gene06771-v1.0-hybrid</t>
  </si>
  <si>
    <t>gene07071-v1.0-hybrid</t>
  </si>
  <si>
    <t>gene07371-v1.0-hybrid</t>
  </si>
  <si>
    <t>gene07671-v1.0-hybrid</t>
  </si>
  <si>
    <t>gene07972-v1.0-hybrid</t>
  </si>
  <si>
    <t>gene08272-v1.0-hybrid</t>
  </si>
  <si>
    <t>gene08572-v1.0-hybrid</t>
  </si>
  <si>
    <t>gene09172-v1.0-hybrid</t>
  </si>
  <si>
    <t>gene10073-v1.0-hybrid</t>
  </si>
  <si>
    <t>gene10373-v1.0-hybrid</t>
  </si>
  <si>
    <t>gene10674-v1.0-hybrid</t>
  </si>
  <si>
    <t>gene11275-v1.0-hybrid</t>
  </si>
  <si>
    <t>gene11575-v1.0-hybrid</t>
  </si>
  <si>
    <t>gene11875-v1.0-hybrid</t>
  </si>
  <si>
    <t>gene12175-v1.0-hybrid</t>
  </si>
  <si>
    <t>gene12475-v1.0-hybrid</t>
  </si>
  <si>
    <t>gene12775-v1.0-hybrid</t>
  </si>
  <si>
    <t>gene13076-v1.0-hybrid</t>
  </si>
  <si>
    <t>gene13376-v1.0-hybrid</t>
  </si>
  <si>
    <t>gene13676-v1.0-hybrid</t>
  </si>
  <si>
    <t>gene13977-v1.0-hybrid</t>
  </si>
  <si>
    <t>gene14580-v1.0-hybrid</t>
  </si>
  <si>
    <t>gene14881-v1.0-hybrid</t>
  </si>
  <si>
    <t>gene15182-v1.0-hybrid</t>
  </si>
  <si>
    <t>gene15483-v1.0-hybrid</t>
  </si>
  <si>
    <t>gene15784-v1.0-hybrid</t>
  </si>
  <si>
    <t>gene16085-v1.0-hybrid</t>
  </si>
  <si>
    <t>gene16685-v1.0-hybrid</t>
  </si>
  <si>
    <t>gene17887-v1.0-hybrid</t>
  </si>
  <si>
    <t>gene18187-v1.0-hybrid</t>
  </si>
  <si>
    <t>gene18487-v1.0-hybrid</t>
  </si>
  <si>
    <t>gene18787-v1.0-hybrid</t>
  </si>
  <si>
    <t>gene19087-v1.0-hybrid</t>
  </si>
  <si>
    <t>gene19387-v1.0-hybrid</t>
  </si>
  <si>
    <t>gene19687-v1.0-hybrid</t>
  </si>
  <si>
    <t>gene19987-v1.0-hybrid</t>
  </si>
  <si>
    <t>gene20288-v1.0-hybrid</t>
  </si>
  <si>
    <t>gene20588-v1.0-hybrid</t>
  </si>
  <si>
    <t>gene20888-v1.0-hybrid</t>
  </si>
  <si>
    <t>gene21489-v1.0-hybrid</t>
  </si>
  <si>
    <t>gene21789-v1.0-hybrid</t>
  </si>
  <si>
    <t>gene22089-v1.0-hybrid</t>
  </si>
  <si>
    <t>gene22390-v1.0-hybrid</t>
  </si>
  <si>
    <t>gene22690-v1.0-hybrid</t>
  </si>
  <si>
    <t>gene23293-v1.0-hybrid</t>
  </si>
  <si>
    <t>gene23593-v1.0-hybrid</t>
  </si>
  <si>
    <t>gene23893-v1.0-hybrid</t>
  </si>
  <si>
    <t>gene24194-v1.0-hybrid</t>
  </si>
  <si>
    <t>gene24496-v1.0-hybrid</t>
  </si>
  <si>
    <t>gene24796-v1.0-hybrid</t>
  </si>
  <si>
    <t>gene25098-v1.0-hybrid</t>
  </si>
  <si>
    <t>gene25698-v1.0-hybrid</t>
  </si>
  <si>
    <t>gene25998-v1.0-hybrid</t>
  </si>
  <si>
    <t>gene26598-v1.0-hybrid</t>
  </si>
  <si>
    <t>gene26899-v1.0-hybrid</t>
  </si>
  <si>
    <t>gene27199-v1.0-hybrid</t>
  </si>
  <si>
    <t>gene27499-v1.0-hybrid</t>
  </si>
  <si>
    <t>gene27799-v1.0-hybrid</t>
  </si>
  <si>
    <t>gene28099-v1.0-hybrid</t>
  </si>
  <si>
    <t>gene28399-v1.0-hybrid</t>
  </si>
  <si>
    <t>gene28699-v1.0-hybrid</t>
  </si>
  <si>
    <t>gene28999-v1.0-hybrid</t>
  </si>
  <si>
    <t>gene29299-v1.0-hybrid</t>
  </si>
  <si>
    <t>gene29599-v1.0-hybrid</t>
  </si>
  <si>
    <t>gene29901-v1.0-hybrid</t>
  </si>
  <si>
    <t>gene30201-v1.0-hybrid</t>
  </si>
  <si>
    <t>gene30501-v1.0-hybrid</t>
  </si>
  <si>
    <t>gene30801-v1.0-hybrid</t>
  </si>
  <si>
    <t>gene31401-v1.0-hybrid</t>
  </si>
  <si>
    <t>gene32001-v1.0-hybrid</t>
  </si>
  <si>
    <t>gene32301-v1.0-hybrid</t>
  </si>
  <si>
    <t>gene32601-v1.0-hybrid</t>
  </si>
  <si>
    <t>gene33363-v1.0-hybrid</t>
  </si>
  <si>
    <t>gene34066-v1.0-hybrid</t>
  </si>
  <si>
    <t>gene34666-v1.0-hybrid</t>
  </si>
  <si>
    <t>gene34966-v1.0-hybrid</t>
  </si>
  <si>
    <t>gene00378-v1.0-hybrid</t>
  </si>
  <si>
    <t>gene00982-v1.0-hybrid</t>
  </si>
  <si>
    <t>gene01282-v1.0-hybrid</t>
  </si>
  <si>
    <t>gene01583-v1.0-hybrid</t>
  </si>
  <si>
    <t>gene01883-v1.0-hybrid</t>
  </si>
  <si>
    <t>gene02183-v1.0-hybrid</t>
  </si>
  <si>
    <t>gene02483-v1.0-hybrid</t>
  </si>
  <si>
    <t>gene03171-v1.0-hybrid</t>
  </si>
  <si>
    <t>gene03471-v1.0-hybrid</t>
  </si>
  <si>
    <t>gene04071-v1.0-hybrid</t>
  </si>
  <si>
    <t>gene04371-v1.0-hybrid</t>
  </si>
  <si>
    <t>gene04671-v1.0-hybrid</t>
  </si>
  <si>
    <t>gene05272-v1.0-hybrid</t>
  </si>
  <si>
    <t>gene05572-v1.0-hybrid</t>
  </si>
  <si>
    <t>gene05872-v1.0-hybrid</t>
  </si>
  <si>
    <t>gene06772-v1.0-hybrid</t>
  </si>
  <si>
    <t>gene07072-v1.0-hybrid</t>
  </si>
  <si>
    <t>gene07372-v1.0-hybrid</t>
  </si>
  <si>
    <t>gene07672-v1.0-hybrid</t>
  </si>
  <si>
    <t>gene08273-v1.0-hybrid</t>
  </si>
  <si>
    <t>gene08573-v1.0-hybrid</t>
  </si>
  <si>
    <t>gene08873-v1.0-hybrid</t>
  </si>
  <si>
    <t>gene09173-v1.0-hybrid</t>
  </si>
  <si>
    <t>gene09773-v1.0-hybrid</t>
  </si>
  <si>
    <t>gene10074-v1.0-hybrid</t>
  </si>
  <si>
    <t>gene10374-v1.0-hybrid</t>
  </si>
  <si>
    <t>gene10675-v1.0-hybrid</t>
  </si>
  <si>
    <t>gene11276-v1.0-hybrid</t>
  </si>
  <si>
    <t>gene11876-v1.0-hybrid</t>
  </si>
  <si>
    <t>gene12176-v1.0-hybrid</t>
  </si>
  <si>
    <t>gene12476-v1.0-hybrid</t>
  </si>
  <si>
    <t>gene13077-v1.0-hybrid</t>
  </si>
  <si>
    <t>gene13377-v1.0-hybrid</t>
  </si>
  <si>
    <t>gene13677-v1.0-hybrid</t>
  </si>
  <si>
    <t>gene13978-v1.0-hybrid</t>
  </si>
  <si>
    <t>gene14279-v1.0-hybrid</t>
  </si>
  <si>
    <t>gene14581-v1.0-hybrid</t>
  </si>
  <si>
    <t>gene14882-v1.0-hybrid</t>
  </si>
  <si>
    <t>gene15183-v1.0-hybrid</t>
  </si>
  <si>
    <t>gene15484-v1.0-hybrid</t>
  </si>
  <si>
    <t>gene16686-v1.0-hybrid</t>
  </si>
  <si>
    <t>gene17588-v1.0-hybrid</t>
  </si>
  <si>
    <t>gene17888-v1.0-hybrid</t>
  </si>
  <si>
    <t>gene18188-v1.0-hybrid</t>
  </si>
  <si>
    <t>gene18488-v1.0-hybrid</t>
  </si>
  <si>
    <t>gene18788-v1.0-hybrid</t>
  </si>
  <si>
    <t>gene19088-v1.0-hybrid</t>
  </si>
  <si>
    <t>gene19388-v1.0-hybrid</t>
  </si>
  <si>
    <t>gene19688-v1.0-hybrid</t>
  </si>
  <si>
    <t>gene19988-v1.0-hybrid</t>
  </si>
  <si>
    <t>gene20589-v1.0-hybrid</t>
  </si>
  <si>
    <t>gene20889-v1.0-hybrid</t>
  </si>
  <si>
    <t>gene21189-v1.0-hybrid</t>
  </si>
  <si>
    <t>gene21490-v1.0-hybrid</t>
  </si>
  <si>
    <t>gene21790-v1.0-hybrid</t>
  </si>
  <si>
    <t>gene22090-v1.0-hybrid</t>
  </si>
  <si>
    <t>gene22391-v1.0-hybrid</t>
  </si>
  <si>
    <t>gene22691-v1.0-hybrid</t>
  </si>
  <si>
    <t>gene22992-v1.0-hybrid</t>
  </si>
  <si>
    <t>gene23294-v1.0-hybrid</t>
  </si>
  <si>
    <t>gene23894-v1.0-hybrid</t>
  </si>
  <si>
    <t>gene24195-v1.0-hybrid</t>
  </si>
  <si>
    <t>gene24497-v1.0-hybrid</t>
  </si>
  <si>
    <t>gene24797-v1.0-hybrid</t>
  </si>
  <si>
    <t>gene25099-v1.0-hybrid</t>
  </si>
  <si>
    <t>gene25699-v1.0-hybrid</t>
  </si>
  <si>
    <t>gene25999-v1.0-hybrid</t>
  </si>
  <si>
    <t>gene26599-v1.0-hybrid</t>
  </si>
  <si>
    <t>gene26900-v1.0-hybrid</t>
  </si>
  <si>
    <t>gene27200-v1.0-hybrid</t>
  </si>
  <si>
    <t>gene28100-v1.0-hybrid</t>
  </si>
  <si>
    <t>gene28400-v1.0-hybrid</t>
  </si>
  <si>
    <t>gene28700-v1.0-hybrid</t>
  </si>
  <si>
    <t>gene29300-v1.0-hybrid</t>
  </si>
  <si>
    <t>gene29902-v1.0-hybrid</t>
  </si>
  <si>
    <t>gene30202-v1.0-hybrid</t>
  </si>
  <si>
    <t>gene30802-v1.0-hybrid</t>
  </si>
  <si>
    <t>gene31102-v1.0-hybrid</t>
  </si>
  <si>
    <t>gene31402-v1.0-hybrid</t>
  </si>
  <si>
    <t>gene31702-v1.0-hybrid</t>
  </si>
  <si>
    <t>gene32002-v1.0-hybrid</t>
  </si>
  <si>
    <t>gene32302-v1.0-hybrid</t>
  </si>
  <si>
    <t>gene34367-v1.0-hybrid</t>
  </si>
  <si>
    <t>gene34667-v1.0-hybrid</t>
  </si>
  <si>
    <t>gene34967-v1.0-hybrid</t>
  </si>
  <si>
    <t>gene00379-v1.0-hybrid</t>
  </si>
  <si>
    <t>gene01283-v1.0-hybrid</t>
  </si>
  <si>
    <t>gene01584-v1.0-hybrid</t>
  </si>
  <si>
    <t>gene01884-v1.0-hybrid</t>
  </si>
  <si>
    <t>gene02484-v1.0-hybrid</t>
  </si>
  <si>
    <t>gene03172-v1.0-hybrid</t>
  </si>
  <si>
    <t>gene03472-v1.0-hybrid</t>
  </si>
  <si>
    <t>gene03772-v1.0-hybrid</t>
  </si>
  <si>
    <t>gene04372-v1.0-hybrid</t>
  </si>
  <si>
    <t>gene04972-v1.0-hybrid</t>
  </si>
  <si>
    <t>gene05573-v1.0-hybrid</t>
  </si>
  <si>
    <t>gene06473-v1.0-hybrid</t>
  </si>
  <si>
    <t>gene07673-v1.0-hybrid</t>
  </si>
  <si>
    <t>gene07974-v1.0-hybrid</t>
  </si>
  <si>
    <t>gene08274-v1.0-hybrid</t>
  </si>
  <si>
    <t>gene08574-v1.0-hybrid</t>
  </si>
  <si>
    <t>gene09174-v1.0-hybrid</t>
  </si>
  <si>
    <t>gene09774-v1.0-hybrid</t>
  </si>
  <si>
    <t>gene10075-v1.0-hybrid</t>
  </si>
  <si>
    <t>gene10375-v1.0-hybrid</t>
  </si>
  <si>
    <t>gene10976-v1.0-hybrid</t>
  </si>
  <si>
    <t>gene11577-v1.0-hybrid</t>
  </si>
  <si>
    <t>gene11877-v1.0-hybrid</t>
  </si>
  <si>
    <t>gene12177-v1.0-hybrid</t>
  </si>
  <si>
    <t>gene12477-v1.0-hybrid</t>
  </si>
  <si>
    <t>gene13078-v1.0-hybrid</t>
  </si>
  <si>
    <t>gene13378-v1.0-hybrid</t>
  </si>
  <si>
    <t>gene14582-v1.0-hybrid</t>
  </si>
  <si>
    <t>gene14883-v1.0-hybrid</t>
  </si>
  <si>
    <t>gene15184-v1.0-hybrid</t>
  </si>
  <si>
    <t>gene15485-v1.0-hybrid</t>
  </si>
  <si>
    <t>gene15786-v1.0-hybrid</t>
  </si>
  <si>
    <t>gene16687-v1.0-hybrid</t>
  </si>
  <si>
    <t>gene17589-v1.0-hybrid</t>
  </si>
  <si>
    <t>gene17889-v1.0-hybrid</t>
  </si>
  <si>
    <t>gene18189-v1.0-hybrid</t>
  </si>
  <si>
    <t>gene18489-v1.0-hybrid</t>
  </si>
  <si>
    <t>gene18789-v1.0-hybrid</t>
  </si>
  <si>
    <t>gene19089-v1.0-hybrid</t>
  </si>
  <si>
    <t>gene19389-v1.0-hybrid</t>
  </si>
  <si>
    <t>gene19689-v1.0-hybrid</t>
  </si>
  <si>
    <t>gene19989-v1.0-hybrid</t>
  </si>
  <si>
    <t>gene20290-v1.0-hybrid</t>
  </si>
  <si>
    <t>gene20590-v1.0-hybrid</t>
  </si>
  <si>
    <t>gene21190-v1.0-hybrid</t>
  </si>
  <si>
    <t>gene21491-v1.0-hybrid</t>
  </si>
  <si>
    <t>gene21791-v1.0-hybrid</t>
  </si>
  <si>
    <t>gene22091-v1.0-hybrid</t>
  </si>
  <si>
    <t>gene22392-v1.0-hybrid</t>
  </si>
  <si>
    <t>gene22692-v1.0-hybrid</t>
  </si>
  <si>
    <t>gene22993-v1.0-hybrid</t>
  </si>
  <si>
    <t>gene23895-v1.0-hybrid</t>
  </si>
  <si>
    <t>gene24498-v1.0-hybrid</t>
  </si>
  <si>
    <t>gene24798-v1.0-hybrid</t>
  </si>
  <si>
    <t>gene25100-v1.0-hybrid</t>
  </si>
  <si>
    <t>gene25400-v1.0-hybrid</t>
  </si>
  <si>
    <t>gene25700-v1.0-hybrid</t>
  </si>
  <si>
    <t>gene26000-v1.0-hybrid</t>
  </si>
  <si>
    <t>gene26901-v1.0-hybrid</t>
  </si>
  <si>
    <t>gene27201-v1.0-hybrid</t>
  </si>
  <si>
    <t>gene27501-v1.0-hybrid</t>
  </si>
  <si>
    <t>gene27801-v1.0-hybrid</t>
  </si>
  <si>
    <t>gene28101-v1.0-hybrid</t>
  </si>
  <si>
    <t>gene28401-v1.0-hybrid</t>
  </si>
  <si>
    <t>gene28701-v1.0-hybrid</t>
  </si>
  <si>
    <t>gene29001-v1.0-hybrid</t>
  </si>
  <si>
    <t>gene29301-v1.0-hybrid</t>
  </si>
  <si>
    <t>gene29903-v1.0-hybrid</t>
  </si>
  <si>
    <t>gene30503-v1.0-hybrid</t>
  </si>
  <si>
    <t>gene30803-v1.0-hybrid</t>
  </si>
  <si>
    <t>gene31103-v1.0-hybrid</t>
  </si>
  <si>
    <t>gene31403-v1.0-hybrid</t>
  </si>
  <si>
    <t>gene32003-v1.0-hybrid</t>
  </si>
  <si>
    <t>gene32303-v1.0-hybrid</t>
  </si>
  <si>
    <t>gene32603-v1.0-hybrid</t>
  </si>
  <si>
    <t>gene34068-v1.0-hybrid</t>
  </si>
  <si>
    <t>gene34668-v1.0-hybrid</t>
  </si>
  <si>
    <t>gene34968-v1.0-hybrid</t>
  </si>
  <si>
    <t>gene00380-v1.0-hybrid</t>
  </si>
  <si>
    <t>gene00684-v1.0-hybrid</t>
  </si>
  <si>
    <t>gene00984-v1.0-hybrid</t>
  </si>
  <si>
    <t>gene01284-v1.0-hybrid</t>
  </si>
  <si>
    <t>gene01585-v1.0-hybrid</t>
  </si>
  <si>
    <t>gene01885-v1.0-hybrid</t>
  </si>
  <si>
    <t>gene02485-v1.0-hybrid</t>
  </si>
  <si>
    <t>gene02794-v1.0-hybrid</t>
  </si>
  <si>
    <t>gene03173-v1.0-hybrid</t>
  </si>
  <si>
    <t>gene03473-v1.0-hybrid</t>
  </si>
  <si>
    <t>gene03773-v1.0-hybrid</t>
  </si>
  <si>
    <t>gene04073-v1.0-hybrid</t>
  </si>
  <si>
    <t>gene04373-v1.0-hybrid</t>
  </si>
  <si>
    <t>gene05274-v1.0-hybrid</t>
  </si>
  <si>
    <t>gene05574-v1.0-hybrid</t>
  </si>
  <si>
    <t>gene05874-v1.0-hybrid</t>
  </si>
  <si>
    <t>gene06174-v1.0-hybrid</t>
  </si>
  <si>
    <t>gene06774-v1.0-hybrid</t>
  </si>
  <si>
    <t>gene07074-v1.0-hybrid</t>
  </si>
  <si>
    <t>gene07374-v1.0-hybrid</t>
  </si>
  <si>
    <t>gene07674-v1.0-hybrid</t>
  </si>
  <si>
    <t>gene07975-v1.0-hybrid</t>
  </si>
  <si>
    <t>gene08275-v1.0-hybrid</t>
  </si>
  <si>
    <t>gene08575-v1.0-hybrid</t>
  </si>
  <si>
    <t>gene08875-v1.0-hybrid</t>
  </si>
  <si>
    <t>gene09175-v1.0-hybrid</t>
  </si>
  <si>
    <t>gene09775-v1.0-hybrid</t>
  </si>
  <si>
    <t>gene10076-v1.0-hybrid</t>
  </si>
  <si>
    <t>gene10677-v1.0-hybrid</t>
  </si>
  <si>
    <t>gene11578-v1.0-hybrid</t>
  </si>
  <si>
    <t>gene11878-v1.0-hybrid</t>
  </si>
  <si>
    <t>gene12178-v1.0-hybrid</t>
  </si>
  <si>
    <t>gene12478-v1.0-hybrid</t>
  </si>
  <si>
    <t>gene12778-v1.0-hybrid</t>
  </si>
  <si>
    <t>gene13079-v1.0-hybrid</t>
  </si>
  <si>
    <t>gene14583-v1.0-hybrid</t>
  </si>
  <si>
    <t>gene14884-v1.0-hybrid</t>
  </si>
  <si>
    <t>gene15185-v1.0-hybrid</t>
  </si>
  <si>
    <t>gene15486-v1.0-hybrid</t>
  </si>
  <si>
    <t>gene16688-v1.0-hybrid</t>
  </si>
  <si>
    <t>gene16990-v1.0-hybrid</t>
  </si>
  <si>
    <t>gene17290-v1.0-hybrid</t>
  </si>
  <si>
    <t>gene17590-v1.0-hybrid</t>
  </si>
  <si>
    <t>gene18190-v1.0-hybrid</t>
  </si>
  <si>
    <t>gene18490-v1.0-hybrid</t>
  </si>
  <si>
    <t>gene19090-v1.0-hybrid</t>
  </si>
  <si>
    <t>gene19390-v1.0-hybrid</t>
  </si>
  <si>
    <t>gene19690-v1.0-hybrid</t>
  </si>
  <si>
    <t>gene19990-v1.0-hybrid</t>
  </si>
  <si>
    <t>gene20591-v1.0-hybrid</t>
  </si>
  <si>
    <t>gene20891-v1.0-hybrid</t>
  </si>
  <si>
    <t>gene21191-v1.0-hybrid</t>
  </si>
  <si>
    <t>gene21492-v1.0-hybrid</t>
  </si>
  <si>
    <t>gene21792-v1.0-hybrid</t>
  </si>
  <si>
    <t>gene22092-v1.0-hybrid</t>
  </si>
  <si>
    <t>gene22393-v1.0-hybrid</t>
  </si>
  <si>
    <t>gene22693-v1.0-hybrid</t>
  </si>
  <si>
    <t>gene22994-v1.0-hybrid</t>
  </si>
  <si>
    <t>gene23596-v1.0-hybrid</t>
  </si>
  <si>
    <t>gene23896-v1.0-hybrid</t>
  </si>
  <si>
    <t>gene24499-v1.0-hybrid</t>
  </si>
  <si>
    <t>gene24799-v1.0-hybrid</t>
  </si>
  <si>
    <t>gene25101-v1.0-hybrid</t>
  </si>
  <si>
    <t>gene25401-v1.0-hybrid</t>
  </si>
  <si>
    <t>gene25701-v1.0-hybrid</t>
  </si>
  <si>
    <t>gene26001-v1.0-hybrid</t>
  </si>
  <si>
    <t>gene26301-v1.0-hybrid</t>
  </si>
  <si>
    <t>gene27202-v1.0-hybrid</t>
  </si>
  <si>
    <t>gene28102-v1.0-hybrid</t>
  </si>
  <si>
    <t>gene28702-v1.0-hybrid</t>
  </si>
  <si>
    <t>gene29002-v1.0-hybrid</t>
  </si>
  <si>
    <t>gene29302-v1.0-hybrid</t>
  </si>
  <si>
    <t>gene29904-v1.0-hybrid</t>
  </si>
  <si>
    <t>gene30204-v1.0-hybrid</t>
  </si>
  <si>
    <t>gene30504-v1.0-hybrid</t>
  </si>
  <si>
    <t>gene30804-v1.0-hybrid</t>
  </si>
  <si>
    <t>gene31104-v1.0-hybrid</t>
  </si>
  <si>
    <t>gene31404-v1.0-hybrid</t>
  </si>
  <si>
    <t>gene31704-v1.0-hybrid</t>
  </si>
  <si>
    <t>gene32004-v1.0-hybrid</t>
  </si>
  <si>
    <t>gene32304-v1.0-hybrid</t>
  </si>
  <si>
    <t>gene34069-v1.0-hybrid</t>
  </si>
  <si>
    <t>gene34669-v1.0-hybrid</t>
  </si>
  <si>
    <t>gene34969-v1.0-hybrid</t>
  </si>
  <si>
    <t>gene00070-v1.0-hybrid</t>
  </si>
  <si>
    <t>gene00685-v1.0-hybrid</t>
  </si>
  <si>
    <t>gene00985-v1.0-hybrid</t>
  </si>
  <si>
    <t>gene01285-v1.0-hybrid</t>
  </si>
  <si>
    <t>gene01586-v1.0-hybrid</t>
  </si>
  <si>
    <t>gene01886-v1.0-hybrid</t>
  </si>
  <si>
    <t>gene02186-v1.0-hybrid</t>
  </si>
  <si>
    <t>gene02486-v1.0-hybrid</t>
  </si>
  <si>
    <t>gene03474-v1.0-hybrid</t>
  </si>
  <si>
    <t>gene03774-v1.0-hybrid</t>
  </si>
  <si>
    <t>gene04074-v1.0-hybrid</t>
  </si>
  <si>
    <t>gene04674-v1.0-hybrid</t>
  </si>
  <si>
    <t>gene04974-v1.0-hybrid</t>
  </si>
  <si>
    <t>gene05275-v1.0-hybrid</t>
  </si>
  <si>
    <t>gene05875-v1.0-hybrid</t>
  </si>
  <si>
    <t>gene06175-v1.0-hybrid</t>
  </si>
  <si>
    <t>gene06775-v1.0-hybrid</t>
  </si>
  <si>
    <t>gene07075-v1.0-hybrid</t>
  </si>
  <si>
    <t>gene07375-v1.0-hybrid</t>
  </si>
  <si>
    <t>gene07675-v1.0-hybrid</t>
  </si>
  <si>
    <t>gene07976-v1.0-hybrid</t>
  </si>
  <si>
    <t>gene08276-v1.0-hybrid</t>
  </si>
  <si>
    <t>gene08576-v1.0-hybrid</t>
  </si>
  <si>
    <t>gene08876-v1.0-hybrid</t>
  </si>
  <si>
    <t>gene09176-v1.0-hybrid</t>
  </si>
  <si>
    <t>gene09476-v1.0-hybrid</t>
  </si>
  <si>
    <t>gene09776-v1.0-hybrid</t>
  </si>
  <si>
    <t>gene10077-v1.0-hybrid</t>
  </si>
  <si>
    <t>gene11279-v1.0-hybrid</t>
  </si>
  <si>
    <t>gene11879-v1.0-hybrid</t>
  </si>
  <si>
    <t>gene12179-v1.0-hybrid</t>
  </si>
  <si>
    <t>gene12479-v1.0-hybrid</t>
  </si>
  <si>
    <t>gene12779-v1.0-hybrid</t>
  </si>
  <si>
    <t>gene13080-v1.0-hybrid</t>
  </si>
  <si>
    <t>gene13380-v1.0-hybrid</t>
  </si>
  <si>
    <t>gene13680-v1.0-hybrid</t>
  </si>
  <si>
    <t>gene13981-v1.0-hybrid</t>
  </si>
  <si>
    <t>gene14282-v1.0-hybrid</t>
  </si>
  <si>
    <t>gene14584-v1.0-hybrid</t>
  </si>
  <si>
    <t>gene14885-v1.0-hybrid</t>
  </si>
  <si>
    <t>gene15186-v1.0-hybrid</t>
  </si>
  <si>
    <t>gene15487-v1.0-hybrid</t>
  </si>
  <si>
    <t>gene16089-v1.0-hybrid</t>
  </si>
  <si>
    <t>gene16389-v1.0-hybrid</t>
  </si>
  <si>
    <t>gene17591-v1.0-hybrid</t>
  </si>
  <si>
    <t>gene17891-v1.0-hybrid</t>
  </si>
  <si>
    <t>gene18191-v1.0-hybrid</t>
  </si>
  <si>
    <t>gene18791-v1.0-hybrid</t>
  </si>
  <si>
    <t>gene19691-v1.0-hybrid</t>
  </si>
  <si>
    <t>gene19991-v1.0-hybrid</t>
  </si>
  <si>
    <t>gene20592-v1.0-hybrid</t>
  </si>
  <si>
    <t>gene20892-v1.0-hybrid</t>
  </si>
  <si>
    <t>gene21192-v1.0-hybrid</t>
  </si>
  <si>
    <t>gene21493-v1.0-hybrid</t>
  </si>
  <si>
    <t>gene21793-v1.0-hybrid</t>
  </si>
  <si>
    <t>gene22093-v1.0-hybrid</t>
  </si>
  <si>
    <t>gene22394-v1.0-hybrid</t>
  </si>
  <si>
    <t>gene23297-v1.0-hybrid</t>
  </si>
  <si>
    <t>gene23597-v1.0-hybrid</t>
  </si>
  <si>
    <t>gene23897-v1.0-hybrid</t>
  </si>
  <si>
    <t>gene24800-v1.0-hybrid</t>
  </si>
  <si>
    <t>gene25402-v1.0-hybrid</t>
  </si>
  <si>
    <t>gene25702-v1.0-hybrid</t>
  </si>
  <si>
    <t>gene26302-v1.0-hybrid</t>
  </si>
  <si>
    <t>gene26903-v1.0-hybrid</t>
  </si>
  <si>
    <t>gene27203-v1.0-hybrid</t>
  </si>
  <si>
    <t>gene27503-v1.0-hybrid</t>
  </si>
  <si>
    <t>gene27803-v1.0-hybrid</t>
  </si>
  <si>
    <t>gene28103-v1.0-hybrid</t>
  </si>
  <si>
    <t>gene28403-v1.0-hybrid</t>
  </si>
  <si>
    <t>gene28703-v1.0-hybrid</t>
  </si>
  <si>
    <t>gene29303-v1.0-hybrid</t>
  </si>
  <si>
    <t>gene29905-v1.0-hybrid</t>
  </si>
  <si>
    <t>gene30205-v1.0-hybrid</t>
  </si>
  <si>
    <t>gene30505-v1.0-hybrid</t>
  </si>
  <si>
    <t>gene30805-v1.0-hybrid</t>
  </si>
  <si>
    <t>gene31105-v1.0-hybrid</t>
  </si>
  <si>
    <t>gene31405-v1.0-hybrid</t>
  </si>
  <si>
    <t>gene32005-v1.0-hybrid</t>
  </si>
  <si>
    <t>gene32305-v1.0-hybrid</t>
  </si>
  <si>
    <t>gene34070-v1.0-hybrid</t>
  </si>
  <si>
    <t>gene34370-v1.0-hybrid</t>
  </si>
  <si>
    <t>gene34670-v1.0-hybrid</t>
  </si>
  <si>
    <t>gene00382-v1.0-hybrid</t>
  </si>
  <si>
    <t>gene00686-v1.0-hybrid</t>
  </si>
  <si>
    <t>gene00986-v1.0-hybrid</t>
  </si>
  <si>
    <t>gene01286-v1.0-hybrid</t>
  </si>
  <si>
    <t>gene02487-v1.0-hybrid</t>
  </si>
  <si>
    <t>gene03175-v1.0-hybrid</t>
  </si>
  <si>
    <t>gene03475-v1.0-hybrid</t>
  </si>
  <si>
    <t>gene04675-v1.0-hybrid</t>
  </si>
  <si>
    <t>gene04975-v1.0-hybrid</t>
  </si>
  <si>
    <t>gene05276-v1.0-hybrid</t>
  </si>
  <si>
    <t>gene05576-v1.0-hybrid</t>
  </si>
  <si>
    <t>gene05876-v1.0-hybrid</t>
  </si>
  <si>
    <t>gene06176-v1.0-hybrid</t>
  </si>
  <si>
    <t>gene06776-v1.0-hybrid</t>
  </si>
  <si>
    <t>gene07076-v1.0-hybrid</t>
  </si>
  <si>
    <t>gene07676-v1.0-hybrid</t>
  </si>
  <si>
    <t>gene08577-v1.0-hybrid</t>
  </si>
  <si>
    <t>gene09177-v1.0-hybrid</t>
  </si>
  <si>
    <t>gene09477-v1.0-hybrid</t>
  </si>
  <si>
    <t>gene09777-v1.0-hybrid</t>
  </si>
  <si>
    <t>gene10078-v1.0-hybrid</t>
  </si>
  <si>
    <t>gene10378-v1.0-hybrid</t>
  </si>
  <si>
    <t>gene10679-v1.0-hybrid</t>
  </si>
  <si>
    <t>gene11280-v1.0-hybrid</t>
  </si>
  <si>
    <t>gene11880-v1.0-hybrid</t>
  </si>
  <si>
    <t>gene12180-v1.0-hybrid</t>
  </si>
  <si>
    <t>gene12480-v1.0-hybrid</t>
  </si>
  <si>
    <t>gene12780-v1.0-hybrid</t>
  </si>
  <si>
    <t>gene13081-v1.0-hybrid</t>
  </si>
  <si>
    <t>gene13381-v1.0-hybrid</t>
  </si>
  <si>
    <t>gene13982-v1.0-hybrid</t>
  </si>
  <si>
    <t>gene14585-v1.0-hybrid</t>
  </si>
  <si>
    <t>gene14886-v1.0-hybrid</t>
  </si>
  <si>
    <t>gene15187-v1.0-hybrid</t>
  </si>
  <si>
    <t>gene15488-v1.0-hybrid</t>
  </si>
  <si>
    <t>gene15789-v1.0-hybrid</t>
  </si>
  <si>
    <t>gene16690-v1.0-hybrid</t>
  </si>
  <si>
    <t>gene16992-v1.0-hybrid</t>
  </si>
  <si>
    <t>gene17292-v1.0-hybrid</t>
  </si>
  <si>
    <t>gene17892-v1.0-hybrid</t>
  </si>
  <si>
    <t>gene18192-v1.0-hybrid</t>
  </si>
  <si>
    <t>gene18492-v1.0-hybrid</t>
  </si>
  <si>
    <t>gene18792-v1.0-hybrid</t>
  </si>
  <si>
    <t>gene19392-v1.0-hybrid</t>
  </si>
  <si>
    <t>gene19692-v1.0-hybrid</t>
  </si>
  <si>
    <t>gene19992-v1.0-hybrid</t>
  </si>
  <si>
    <t>gene20293-v1.0-hybrid</t>
  </si>
  <si>
    <t>gene20593-v1.0-hybrid</t>
  </si>
  <si>
    <t>gene20893-v1.0-hybrid</t>
  </si>
  <si>
    <t>gene21193-v1.0-hybrid</t>
  </si>
  <si>
    <t>gene21494-v1.0-hybrid</t>
  </si>
  <si>
    <t>gene22395-v1.0-hybrid</t>
  </si>
  <si>
    <t>gene22695-v1.0-hybrid</t>
  </si>
  <si>
    <t>gene23298-v1.0-hybrid</t>
  </si>
  <si>
    <t>gene23598-v1.0-hybrid</t>
  </si>
  <si>
    <t>gene24199-v1.0-hybrid</t>
  </si>
  <si>
    <t>gene24801-v1.0-hybrid</t>
  </si>
  <si>
    <t>gene25103-v1.0-hybrid</t>
  </si>
  <si>
    <t>gene25703-v1.0-hybrid</t>
  </si>
  <si>
    <t>gene26003-v1.0-hybrid</t>
  </si>
  <si>
    <t>gene26303-v1.0-hybrid</t>
  </si>
  <si>
    <t>gene26603-v1.0-hybrid</t>
  </si>
  <si>
    <t>gene26904-v1.0-hybrid</t>
  </si>
  <si>
    <t>gene27204-v1.0-hybrid</t>
  </si>
  <si>
    <t>gene27504-v1.0-hybrid</t>
  </si>
  <si>
    <t>gene27804-v1.0-hybrid</t>
  </si>
  <si>
    <t>gene28104-v1.0-hybrid</t>
  </si>
  <si>
    <t>gene28404-v1.0-hybrid</t>
  </si>
  <si>
    <t>gene28704-v1.0-hybrid</t>
  </si>
  <si>
    <t>gene29004-v1.0-hybrid</t>
  </si>
  <si>
    <t>gene29304-v1.0-hybrid</t>
  </si>
  <si>
    <t>gene29906-v1.0-hybrid</t>
  </si>
  <si>
    <t>gene30206-v1.0-hybrid</t>
  </si>
  <si>
    <t>gene31106-v1.0-hybrid</t>
  </si>
  <si>
    <t>gene32006-v1.0-hybrid</t>
  </si>
  <si>
    <t>gene32306-v1.0-hybrid</t>
  </si>
  <si>
    <t>gene32606-v1.0-hybrid</t>
  </si>
  <si>
    <t>gene34671-v1.0-hybrid</t>
  </si>
  <si>
    <t>gene00383-v1.0-hybrid</t>
  </si>
  <si>
    <t>gene00687-v1.0-hybrid</t>
  </si>
  <si>
    <t>gene01287-v1.0-hybrid</t>
  </si>
  <si>
    <t>gene01588-v1.0-hybrid</t>
  </si>
  <si>
    <t>gene01888-v1.0-hybrid</t>
  </si>
  <si>
    <t>gene02188-v1.0-hybrid</t>
  </si>
  <si>
    <t>gene03176-v1.0-hybrid</t>
  </si>
  <si>
    <t>gene03476-v1.0-hybrid</t>
  </si>
  <si>
    <t>gene04076-v1.0-hybrid</t>
  </si>
  <si>
    <t>gene04676-v1.0-hybrid</t>
  </si>
  <si>
    <t>gene04976-v1.0-hybrid</t>
  </si>
  <si>
    <t>gene05277-v1.0-hybrid</t>
  </si>
  <si>
    <t>gene05577-v1.0-hybrid</t>
  </si>
  <si>
    <t>gene05877-v1.0-hybrid</t>
  </si>
  <si>
    <t>gene06777-v1.0-hybrid</t>
  </si>
  <si>
    <t>gene07077-v1.0-hybrid</t>
  </si>
  <si>
    <t>gene07677-v1.0-hybrid</t>
  </si>
  <si>
    <t>gene07978-v1.0-hybrid</t>
  </si>
  <si>
    <t>gene08278-v1.0-hybrid</t>
  </si>
  <si>
    <t>gene08578-v1.0-hybrid</t>
  </si>
  <si>
    <t>gene09178-v1.0-hybrid</t>
  </si>
  <si>
    <t>gene09478-v1.0-hybrid</t>
  </si>
  <si>
    <t>gene10079-v1.0-hybrid</t>
  </si>
  <si>
    <t>gene10680-v1.0-hybrid</t>
  </si>
  <si>
    <t>gene11281-v1.0-hybrid</t>
  </si>
  <si>
    <t>gene11581-v1.0-hybrid</t>
  </si>
  <si>
    <t>gene11881-v1.0-hybrid</t>
  </si>
  <si>
    <t>gene12181-v1.0-hybrid</t>
  </si>
  <si>
    <t>gene12481-v1.0-hybrid</t>
  </si>
  <si>
    <t>gene13082-v1.0-hybrid</t>
  </si>
  <si>
    <t>gene13382-v1.0-hybrid</t>
  </si>
  <si>
    <t>gene13682-v1.0-hybrid</t>
  </si>
  <si>
    <t>gene13983-v1.0-hybrid</t>
  </si>
  <si>
    <t>gene14586-v1.0-hybrid</t>
  </si>
  <si>
    <t>gene14887-v1.0-hybrid</t>
  </si>
  <si>
    <t>gene15188-v1.0-hybrid</t>
  </si>
  <si>
    <t>gene15489-v1.0-hybrid</t>
  </si>
  <si>
    <t>gene16391-v1.0-hybrid</t>
  </si>
  <si>
    <t>gene16691-v1.0-hybrid</t>
  </si>
  <si>
    <t>gene16993-v1.0-hybrid</t>
  </si>
  <si>
    <t>gene17293-v1.0-hybrid</t>
  </si>
  <si>
    <t>gene17593-v1.0-hybrid</t>
  </si>
  <si>
    <t>gene17893-v1.0-hybrid</t>
  </si>
  <si>
    <t>gene18193-v1.0-hybrid</t>
  </si>
  <si>
    <t>gene19093-v1.0-hybrid</t>
  </si>
  <si>
    <t>gene19393-v1.0-hybrid</t>
  </si>
  <si>
    <t>gene19693-v1.0-hybrid</t>
  </si>
  <si>
    <t>gene19993-v1.0-hybrid</t>
  </si>
  <si>
    <t>gene20294-v1.0-hybrid</t>
  </si>
  <si>
    <t>gene20894-v1.0-hybrid</t>
  </si>
  <si>
    <t>gene21194-v1.0-hybrid</t>
  </si>
  <si>
    <t>gene22095-v1.0-hybrid</t>
  </si>
  <si>
    <t>gene22396-v1.0-hybrid</t>
  </si>
  <si>
    <t>gene22696-v1.0-hybrid</t>
  </si>
  <si>
    <t>gene23299-v1.0-hybrid</t>
  </si>
  <si>
    <t>gene23599-v1.0-hybrid</t>
  </si>
  <si>
    <t>gene23899-v1.0-hybrid</t>
  </si>
  <si>
    <t>gene24200-v1.0-hybrid</t>
  </si>
  <si>
    <t>gene24502-v1.0-hybrid</t>
  </si>
  <si>
    <t>gene24802-v1.0-hybrid</t>
  </si>
  <si>
    <t>gene25104-v1.0-hybrid</t>
  </si>
  <si>
    <t>gene25404-v1.0-hybrid</t>
  </si>
  <si>
    <t>gene25704-v1.0-hybrid</t>
  </si>
  <si>
    <t>gene26004-v1.0-hybrid</t>
  </si>
  <si>
    <t>gene26304-v1.0-hybrid</t>
  </si>
  <si>
    <t>gene26604-v1.0-hybrid</t>
  </si>
  <si>
    <t>gene26905-v1.0-hybrid</t>
  </si>
  <si>
    <t>gene27205-v1.0-hybrid</t>
  </si>
  <si>
    <t>gene27505-v1.0-hybrid</t>
  </si>
  <si>
    <t>gene27805-v1.0-hybrid</t>
  </si>
  <si>
    <t>gene28105-v1.0-hybrid</t>
  </si>
  <si>
    <t>gene28405-v1.0-hybrid</t>
  </si>
  <si>
    <t>gene29005-v1.0-hybrid</t>
  </si>
  <si>
    <t>gene30207-v1.0-hybrid</t>
  </si>
  <si>
    <t>gene30507-v1.0-hybrid</t>
  </si>
  <si>
    <t>gene30807-v1.0-hybrid</t>
  </si>
  <si>
    <t>gene31107-v1.0-hybrid</t>
  </si>
  <si>
    <t>gene31407-v1.0-hybrid</t>
  </si>
  <si>
    <t>gene32007-v1.0-hybrid</t>
  </si>
  <si>
    <t>gene32307-v1.0-hybrid</t>
  </si>
  <si>
    <t>gene32607-v1.0-hybrid</t>
  </si>
  <si>
    <t>gene34672-v1.0-hybrid</t>
  </si>
  <si>
    <t>gene34972-v1.0-hybrid</t>
  </si>
  <si>
    <t>gene00688-v1.0-hybrid</t>
  </si>
  <si>
    <t>gene01288-v1.0-hybrid</t>
  </si>
  <si>
    <t>gene01889-v1.0-hybrid</t>
  </si>
  <si>
    <t>gene02189-v1.0-hybrid</t>
  </si>
  <si>
    <t>gene03177-v1.0-hybrid</t>
  </si>
  <si>
    <t>gene03477-v1.0-hybrid</t>
  </si>
  <si>
    <t>gene04077-v1.0-hybrid</t>
  </si>
  <si>
    <t>gene04377-v1.0-hybrid</t>
  </si>
  <si>
    <t>gene04677-v1.0-hybrid</t>
  </si>
  <si>
    <t>gene04977-v1.0-hybrid</t>
  </si>
  <si>
    <t>gene05278-v1.0-hybrid</t>
  </si>
  <si>
    <t>gene05578-v1.0-hybrid</t>
  </si>
  <si>
    <t>gene05878-v1.0-hybrid</t>
  </si>
  <si>
    <t>gene06178-v1.0-hybrid</t>
  </si>
  <si>
    <t>gene06478-v1.0-hybrid</t>
  </si>
  <si>
    <t>gene06778-v1.0-hybrid</t>
  </si>
  <si>
    <t>gene07078-v1.0-hybrid</t>
  </si>
  <si>
    <t>gene07378-v1.0-hybrid</t>
  </si>
  <si>
    <t>gene07979-v1.0-hybrid</t>
  </si>
  <si>
    <t>gene08279-v1.0-hybrid</t>
  </si>
  <si>
    <t>gene08579-v1.0-hybrid</t>
  </si>
  <si>
    <t>gene08879-v1.0-hybrid</t>
  </si>
  <si>
    <t>gene09179-v1.0-hybrid</t>
  </si>
  <si>
    <t>gene09479-v1.0-hybrid</t>
  </si>
  <si>
    <t>gene09779-v1.0-hybrid</t>
  </si>
  <si>
    <t>gene10080-v1.0-hybrid</t>
  </si>
  <si>
    <t>gene10380-v1.0-hybrid</t>
  </si>
  <si>
    <t>gene10681-v1.0-hybrid</t>
  </si>
  <si>
    <t>gene11282-v1.0-hybrid</t>
  </si>
  <si>
    <t>gene11582-v1.0-hybrid</t>
  </si>
  <si>
    <t>gene11882-v1.0-hybrid</t>
  </si>
  <si>
    <t>gene12182-v1.0-hybrid</t>
  </si>
  <si>
    <t>gene12482-v1.0-hybrid</t>
  </si>
  <si>
    <t>gene13083-v1.0-hybrid</t>
  </si>
  <si>
    <t>gene13383-v1.0-hybrid</t>
  </si>
  <si>
    <t>gene13683-v1.0-hybrid</t>
  </si>
  <si>
    <t>gene14285-v1.0-hybrid</t>
  </si>
  <si>
    <t>gene14587-v1.0-hybrid</t>
  </si>
  <si>
    <t>gene14888-v1.0-hybrid</t>
  </si>
  <si>
    <t>gene15490-v1.0-hybrid</t>
  </si>
  <si>
    <t>gene15791-v1.0-hybrid</t>
  </si>
  <si>
    <t>gene16092-v1.0-hybrid</t>
  </si>
  <si>
    <t>gene16692-v1.0-hybrid</t>
  </si>
  <si>
    <t>gene17594-v1.0-hybrid</t>
  </si>
  <si>
    <t>gene18194-v1.0-hybrid</t>
  </si>
  <si>
    <t>gene18794-v1.0-hybrid</t>
  </si>
  <si>
    <t>gene19094-v1.0-hybrid</t>
  </si>
  <si>
    <t>gene19994-v1.0-hybrid</t>
  </si>
  <si>
    <t>gene20295-v1.0-hybrid</t>
  </si>
  <si>
    <t>gene20895-v1.0-hybrid</t>
  </si>
  <si>
    <t>gene21195-v1.0-hybrid</t>
  </si>
  <si>
    <t>gene21496-v1.0-hybrid</t>
  </si>
  <si>
    <t>gene21796-v1.0-hybrid</t>
  </si>
  <si>
    <t>gene22096-v1.0-hybrid</t>
  </si>
  <si>
    <t>gene22397-v1.0-hybrid</t>
  </si>
  <si>
    <t>gene22998-v1.0-hybrid</t>
  </si>
  <si>
    <t>gene23300-v1.0-hybrid</t>
  </si>
  <si>
    <t>gene23600-v1.0-hybrid</t>
  </si>
  <si>
    <t>gene23900-v1.0-hybrid</t>
  </si>
  <si>
    <t>gene24201-v1.0-hybrid</t>
  </si>
  <si>
    <t>gene24503-v1.0-hybrid</t>
  </si>
  <si>
    <t>gene24803-v1.0-hybrid</t>
  </si>
  <si>
    <t>gene25105-v1.0-hybrid</t>
  </si>
  <si>
    <t>gene25405-v1.0-hybrid</t>
  </si>
  <si>
    <t>gene25705-v1.0-hybrid</t>
  </si>
  <si>
    <t>gene26005-v1.0-hybrid</t>
  </si>
  <si>
    <t>gene26305-v1.0-hybrid</t>
  </si>
  <si>
    <t>gene26605-v1.0-hybrid</t>
  </si>
  <si>
    <t>gene27206-v1.0-hybrid</t>
  </si>
  <si>
    <t>gene27806-v1.0-hybrid</t>
  </si>
  <si>
    <t>gene28406-v1.0-hybrid</t>
  </si>
  <si>
    <t>gene28706-v1.0-hybrid</t>
  </si>
  <si>
    <t>gene29306-v1.0-hybrid</t>
  </si>
  <si>
    <t>gene29606-v1.0-hybrid</t>
  </si>
  <si>
    <t>gene29908-v1.0-hybrid</t>
  </si>
  <si>
    <t>gene30208-v1.0-hybrid</t>
  </si>
  <si>
    <t>gene31108-v1.0-hybrid</t>
  </si>
  <si>
    <t>gene31408-v1.0-hybrid</t>
  </si>
  <si>
    <t>gene32008-v1.0-hybrid</t>
  </si>
  <si>
    <t>gene34073-v1.0-hybrid</t>
  </si>
  <si>
    <t>gene34373-v1.0-hybrid</t>
  </si>
  <si>
    <t>gene34673-v1.0-hybrid</t>
  </si>
  <si>
    <t>gene00689-v1.0-hybrid</t>
  </si>
  <si>
    <t>gene00989-v1.0-hybrid</t>
  </si>
  <si>
    <t>gene01289-v1.0-hybrid</t>
  </si>
  <si>
    <t>gene01590-v1.0-hybrid</t>
  </si>
  <si>
    <t>gene01890-v1.0-hybrid</t>
  </si>
  <si>
    <t>gene02190-v1.0-hybrid</t>
  </si>
  <si>
    <t>gene02490-v1.0-hybrid</t>
  </si>
  <si>
    <t>gene02800-v1.0-hybrid</t>
  </si>
  <si>
    <t>gene03178-v1.0-hybrid</t>
  </si>
  <si>
    <t>gene03478-v1.0-hybrid</t>
  </si>
  <si>
    <t>gene03778-v1.0-hybrid</t>
  </si>
  <si>
    <t>gene04078-v1.0-hybrid</t>
  </si>
  <si>
    <t>gene04378-v1.0-hybrid</t>
  </si>
  <si>
    <t>gene04678-v1.0-hybrid</t>
  </si>
  <si>
    <t>gene04978-v1.0-hybrid</t>
  </si>
  <si>
    <t>gene05279-v1.0-hybrid</t>
  </si>
  <si>
    <t>gene05579-v1.0-hybrid</t>
  </si>
  <si>
    <t>gene05879-v1.0-hybrid</t>
  </si>
  <si>
    <t>gene06179-v1.0-hybrid</t>
  </si>
  <si>
    <t>gene06479-v1.0-hybrid</t>
  </si>
  <si>
    <t>gene07079-v1.0-hybrid</t>
  </si>
  <si>
    <t>gene07379-v1.0-hybrid</t>
  </si>
  <si>
    <t>gene07980-v1.0-hybrid</t>
  </si>
  <si>
    <t>gene08580-v1.0-hybrid</t>
  </si>
  <si>
    <t>gene08880-v1.0-hybrid</t>
  </si>
  <si>
    <t>gene09180-v1.0-hybrid</t>
  </si>
  <si>
    <t>gene09480-v1.0-hybrid</t>
  </si>
  <si>
    <t>gene09780-v1.0-hybrid</t>
  </si>
  <si>
    <t>gene10081-v1.0-hybrid</t>
  </si>
  <si>
    <t>gene10381-v1.0-hybrid</t>
  </si>
  <si>
    <t>gene10682-v1.0-hybrid</t>
  </si>
  <si>
    <t>gene11283-v1.0-hybrid</t>
  </si>
  <si>
    <t>gene11583-v1.0-hybrid</t>
  </si>
  <si>
    <t>gene12483-v1.0-hybrid</t>
  </si>
  <si>
    <t>gene12783-v1.0-hybrid</t>
  </si>
  <si>
    <t>gene13084-v1.0-hybrid</t>
  </si>
  <si>
    <t>gene13384-v1.0-hybrid</t>
  </si>
  <si>
    <t>gene13684-v1.0-hybrid</t>
  </si>
  <si>
    <t>gene13985-v1.0-hybrid</t>
  </si>
  <si>
    <t>gene14286-v1.0-hybrid</t>
  </si>
  <si>
    <t>gene14588-v1.0-hybrid</t>
  </si>
  <si>
    <t>gene14889-v1.0-hybrid</t>
  </si>
  <si>
    <t>gene15190-v1.0-hybrid</t>
  </si>
  <si>
    <t>gene15491-v1.0-hybrid</t>
  </si>
  <si>
    <t>gene15792-v1.0-hybrid</t>
  </si>
  <si>
    <t>gene16693-v1.0-hybrid</t>
  </si>
  <si>
    <t>gene17595-v1.0-hybrid</t>
  </si>
  <si>
    <t>gene17895-v1.0-hybrid</t>
  </si>
  <si>
    <t>gene18195-v1.0-hybrid</t>
  </si>
  <si>
    <t>gene18795-v1.0-hybrid</t>
  </si>
  <si>
    <t>gene19095-v1.0-hybrid</t>
  </si>
  <si>
    <t>gene19395-v1.0-hybrid</t>
  </si>
  <si>
    <t>gene19995-v1.0-hybrid</t>
  </si>
  <si>
    <t>gene20296-v1.0-hybrid</t>
  </si>
  <si>
    <t>gene21196-v1.0-hybrid</t>
  </si>
  <si>
    <t>gene21497-v1.0-hybrid</t>
  </si>
  <si>
    <t>gene21797-v1.0-hybrid</t>
  </si>
  <si>
    <t>gene22097-v1.0-hybrid</t>
  </si>
  <si>
    <t>gene22398-v1.0-hybrid</t>
  </si>
  <si>
    <t>gene22698-v1.0-hybrid</t>
  </si>
  <si>
    <t>gene22999-v1.0-hybrid</t>
  </si>
  <si>
    <t>gene23301-v1.0-hybrid</t>
  </si>
  <si>
    <t>gene23601-v1.0-hybrid</t>
  </si>
  <si>
    <t>gene24504-v1.0-hybrid</t>
  </si>
  <si>
    <t>gene24804-v1.0-hybrid</t>
  </si>
  <si>
    <t>gene25406-v1.0-hybrid</t>
  </si>
  <si>
    <t>gene25706-v1.0-hybrid</t>
  </si>
  <si>
    <t>gene26006-v1.0-hybrid</t>
  </si>
  <si>
    <t>gene26306-v1.0-hybrid</t>
  </si>
  <si>
    <t>gene26907-v1.0-hybrid</t>
  </si>
  <si>
    <t>gene27207-v1.0-hybrid</t>
  </si>
  <si>
    <t>gene27507-v1.0-hybrid</t>
  </si>
  <si>
    <t>gene27807-v1.0-hybrid</t>
  </si>
  <si>
    <t>gene28107-v1.0-hybrid</t>
  </si>
  <si>
    <t>gene28407-v1.0-hybrid</t>
  </si>
  <si>
    <t>gene29007-v1.0-hybrid</t>
  </si>
  <si>
    <t>gene29307-v1.0-hybrid</t>
  </si>
  <si>
    <t>gene29607-v1.0-hybrid</t>
  </si>
  <si>
    <t>gene29909-v1.0-hybrid</t>
  </si>
  <si>
    <t>gene30209-v1.0-hybrid</t>
  </si>
  <si>
    <t>gene31409-v1.0-hybrid</t>
  </si>
  <si>
    <t>gene31709-v1.0-hybrid</t>
  </si>
  <si>
    <t>gene32009-v1.0-hybrid</t>
  </si>
  <si>
    <t>gene32309-v1.0-hybrid</t>
  </si>
  <si>
    <t>gene32609-v1.0-hybrid</t>
  </si>
  <si>
    <t>gene34674-v1.0-hybrid</t>
  </si>
  <si>
    <t>gene00082-v1.0-hybrid</t>
  </si>
  <si>
    <t>gene00386-v1.0-hybrid</t>
  </si>
  <si>
    <t>gene00690-v1.0-hybrid</t>
  </si>
  <si>
    <t>gene00990-v1.0-hybrid</t>
  </si>
  <si>
    <t>gene01290-v1.0-hybrid</t>
  </si>
  <si>
    <t>gene01591-v1.0-hybrid</t>
  </si>
  <si>
    <t>gene01891-v1.0-hybrid</t>
  </si>
  <si>
    <t>gene02191-v1.0-hybrid</t>
  </si>
  <si>
    <t>gene02491-v1.0-hybrid</t>
  </si>
  <si>
    <t>gene03179-v1.0-hybrid</t>
  </si>
  <si>
    <t>gene03779-v1.0-hybrid</t>
  </si>
  <si>
    <t>gene04079-v1.0-hybrid</t>
  </si>
  <si>
    <t>gene04679-v1.0-hybrid</t>
  </si>
  <si>
    <t>gene04979-v1.0-hybrid</t>
  </si>
  <si>
    <t>gene05280-v1.0-hybrid</t>
  </si>
  <si>
    <t>gene05580-v1.0-hybrid</t>
  </si>
  <si>
    <t>gene05880-v1.0-hybrid</t>
  </si>
  <si>
    <t>gene06180-v1.0-hybrid</t>
  </si>
  <si>
    <t>gene06480-v1.0-hybrid</t>
  </si>
  <si>
    <t>gene06780-v1.0-hybrid</t>
  </si>
  <si>
    <t>gene07080-v1.0-hybrid</t>
  </si>
  <si>
    <t>gene07680-v1.0-hybrid</t>
  </si>
  <si>
    <t>gene08281-v1.0-hybrid</t>
  </si>
  <si>
    <t>gene08581-v1.0-hybrid</t>
  </si>
  <si>
    <t>gene08881-v1.0-hybrid</t>
  </si>
  <si>
    <t>gene09481-v1.0-hybrid</t>
  </si>
  <si>
    <t>gene09781-v1.0-hybrid</t>
  </si>
  <si>
    <t>gene10082-v1.0-hybrid</t>
  </si>
  <si>
    <t>gene10382-v1.0-hybrid</t>
  </si>
  <si>
    <t>gene11284-v1.0-hybrid</t>
  </si>
  <si>
    <t>gene11584-v1.0-hybrid</t>
  </si>
  <si>
    <t>gene11884-v1.0-hybrid</t>
  </si>
  <si>
    <t>gene12484-v1.0-hybrid</t>
  </si>
  <si>
    <t>gene12784-v1.0-hybrid</t>
  </si>
  <si>
    <t>gene13085-v1.0-hybrid</t>
  </si>
  <si>
    <t>gene13385-v1.0-hybrid</t>
  </si>
  <si>
    <t>gene13685-v1.0-hybrid</t>
  </si>
  <si>
    <t>gene13986-v1.0-hybrid</t>
  </si>
  <si>
    <t>gene14287-v1.0-hybrid</t>
  </si>
  <si>
    <t>gene14589-v1.0-hybrid</t>
  </si>
  <si>
    <t>gene15191-v1.0-hybrid</t>
  </si>
  <si>
    <t>gene15492-v1.0-hybrid</t>
  </si>
  <si>
    <t>gene15793-v1.0-hybrid</t>
  </si>
  <si>
    <t>gene16094-v1.0-hybrid</t>
  </si>
  <si>
    <t>gene16394-v1.0-hybrid</t>
  </si>
  <si>
    <t>gene16694-v1.0-hybrid</t>
  </si>
  <si>
    <t>gene16996-v1.0-hybrid</t>
  </si>
  <si>
    <t>gene17296-v1.0-hybrid</t>
  </si>
  <si>
    <t>gene17596-v1.0-hybrid</t>
  </si>
  <si>
    <t>gene17896-v1.0-hybrid</t>
  </si>
  <si>
    <t>gene18196-v1.0-hybrid</t>
  </si>
  <si>
    <t>gene18496-v1.0-hybrid</t>
  </si>
  <si>
    <t>gene19096-v1.0-hybrid</t>
  </si>
  <si>
    <t>gene19396-v1.0-hybrid</t>
  </si>
  <si>
    <t>gene19996-v1.0-hybrid</t>
  </si>
  <si>
    <t>gene20297-v1.0-hybrid</t>
  </si>
  <si>
    <t>gene20597-v1.0-hybrid</t>
  </si>
  <si>
    <t>gene20897-v1.0-hybrid</t>
  </si>
  <si>
    <t>gene21197-v1.0-hybrid</t>
  </si>
  <si>
    <t>gene21498-v1.0-hybrid</t>
  </si>
  <si>
    <t>gene21798-v1.0-hybrid</t>
  </si>
  <si>
    <t>gene22098-v1.0-hybrid</t>
  </si>
  <si>
    <t>gene22399-v1.0-hybrid</t>
  </si>
  <si>
    <t>gene22699-v1.0-hybrid</t>
  </si>
  <si>
    <t>gene23000-v1.0-hybrid</t>
  </si>
  <si>
    <t>gene23302-v1.0-hybrid</t>
  </si>
  <si>
    <t>gene23602-v1.0-hybrid</t>
  </si>
  <si>
    <t>gene23902-v1.0-hybrid</t>
  </si>
  <si>
    <t>gene24505-v1.0-hybrid</t>
  </si>
  <si>
    <t>gene24805-v1.0-hybrid</t>
  </si>
  <si>
    <t>gene25107-v1.0-hybrid</t>
  </si>
  <si>
    <t>gene25407-v1.0-hybrid</t>
  </si>
  <si>
    <t>gene25707-v1.0-hybrid</t>
  </si>
  <si>
    <t>gene26007-v1.0-hybrid</t>
  </si>
  <si>
    <t>gene26307-v1.0-hybrid</t>
  </si>
  <si>
    <t>gene26607-v1.0-hybrid</t>
  </si>
  <si>
    <t>gene26908-v1.0-hybrid</t>
  </si>
  <si>
    <t>gene27508-v1.0-hybrid</t>
  </si>
  <si>
    <t>gene27808-v1.0-hybrid</t>
  </si>
  <si>
    <t>gene28408-v1.0-hybrid</t>
  </si>
  <si>
    <t>gene28708-v1.0-hybrid</t>
  </si>
  <si>
    <t>gene29008-v1.0-hybrid</t>
  </si>
  <si>
    <t>gene29608-v1.0-hybrid</t>
  </si>
  <si>
    <t>gene29910-v1.0-hybrid</t>
  </si>
  <si>
    <t>gene30210-v1.0-hybrid</t>
  </si>
  <si>
    <t>gene30810-v1.0-hybrid</t>
  </si>
  <si>
    <t>gene31110-v1.0-hybrid</t>
  </si>
  <si>
    <t>gene31710-v1.0-hybrid</t>
  </si>
  <si>
    <t>gene32010-v1.0-hybrid</t>
  </si>
  <si>
    <t>gene32310-v1.0-hybrid</t>
  </si>
  <si>
    <t>gene32610-v1.0-hybrid</t>
  </si>
  <si>
    <t>gene33375-v1.0-hybrid</t>
  </si>
  <si>
    <t>gene34075-v1.0-hybrid</t>
  </si>
  <si>
    <t>gene34675-v1.0-hybrid</t>
  </si>
  <si>
    <t>gene34975-v1.0-hybrid</t>
  </si>
  <si>
    <t>gene00387-v1.0-hybrid</t>
  </si>
  <si>
    <t>gene00691-v1.0-hybrid</t>
  </si>
  <si>
    <t>gene00991-v1.0-hybrid</t>
  </si>
  <si>
    <t>gene01291-v1.0-hybrid</t>
  </si>
  <si>
    <t>gene01592-v1.0-hybrid</t>
  </si>
  <si>
    <t>gene01892-v1.0-hybrid</t>
  </si>
  <si>
    <t>gene02192-v1.0-hybrid</t>
  </si>
  <si>
    <t>gene03480-v1.0-hybrid</t>
  </si>
  <si>
    <t>gene04080-v1.0-hybrid</t>
  </si>
  <si>
    <t>gene04680-v1.0-hybrid</t>
  </si>
  <si>
    <t>gene04980-v1.0-hybrid</t>
  </si>
  <si>
    <t>gene05281-v1.0-hybrid</t>
  </si>
  <si>
    <t>gene05581-v1.0-hybrid</t>
  </si>
  <si>
    <t>gene05881-v1.0-hybrid</t>
  </si>
  <si>
    <t>gene06181-v1.0-hybrid</t>
  </si>
  <si>
    <t>gene06481-v1.0-hybrid</t>
  </si>
  <si>
    <t>gene06781-v1.0-hybrid</t>
  </si>
  <si>
    <t>gene07081-v1.0-hybrid</t>
  </si>
  <si>
    <t>gene07681-v1.0-hybrid</t>
  </si>
  <si>
    <t>gene07982-v1.0-hybrid</t>
  </si>
  <si>
    <t>gene08282-v1.0-hybrid</t>
  </si>
  <si>
    <t>gene08582-v1.0-hybrid</t>
  </si>
  <si>
    <t>gene09182-v1.0-hybrid</t>
  </si>
  <si>
    <t>gene09482-v1.0-hybrid</t>
  </si>
  <si>
    <t>gene09782-v1.0-hybrid</t>
  </si>
  <si>
    <t>gene10383-v1.0-hybrid</t>
  </si>
  <si>
    <t>gene10684-v1.0-hybrid</t>
  </si>
  <si>
    <t>gene11285-v1.0-hybrid</t>
  </si>
  <si>
    <t>gene11585-v1.0-hybrid</t>
  </si>
  <si>
    <t>gene11885-v1.0-hybrid</t>
  </si>
  <si>
    <t>gene12485-v1.0-hybrid</t>
  </si>
  <si>
    <t>gene12785-v1.0-hybrid</t>
  </si>
  <si>
    <t>gene13086-v1.0-hybrid</t>
  </si>
  <si>
    <t>gene13386-v1.0-hybrid</t>
  </si>
  <si>
    <t>gene13686-v1.0-hybrid</t>
  </si>
  <si>
    <t>gene13987-v1.0-hybrid</t>
  </si>
  <si>
    <t>gene14288-v1.0-hybrid</t>
  </si>
  <si>
    <t>gene14891-v1.0-hybrid</t>
  </si>
  <si>
    <t>gene15192-v1.0-hybrid</t>
  </si>
  <si>
    <t>gene15493-v1.0-hybrid</t>
  </si>
  <si>
    <t>gene16095-v1.0-hybrid</t>
  </si>
  <si>
    <t>gene16395-v1.0-hybrid</t>
  </si>
  <si>
    <t>gene16695-v1.0-hybrid</t>
  </si>
  <si>
    <t>gene16997-v1.0-hybrid</t>
  </si>
  <si>
    <t>gene17297-v1.0-hybrid</t>
  </si>
  <si>
    <t>gene17597-v1.0-hybrid</t>
  </si>
  <si>
    <t>gene17897-v1.0-hybrid</t>
  </si>
  <si>
    <t>gene18497-v1.0-hybrid</t>
  </si>
  <si>
    <t>gene19097-v1.0-hybrid</t>
  </si>
  <si>
    <t>gene19397-v1.0-hybrid</t>
  </si>
  <si>
    <t>gene19697-v1.0-hybrid</t>
  </si>
  <si>
    <t>gene19997-v1.0-hybrid</t>
  </si>
  <si>
    <t>gene20298-v1.0-hybrid</t>
  </si>
  <si>
    <t>gene20598-v1.0-hybrid</t>
  </si>
  <si>
    <t>gene20898-v1.0-hybrid</t>
  </si>
  <si>
    <t>gene21198-v1.0-hybrid</t>
  </si>
  <si>
    <t>gene21799-v1.0-hybrid</t>
  </si>
  <si>
    <t>gene22400-v1.0-hybrid</t>
  </si>
  <si>
    <t>gene22700-v1.0-hybrid</t>
  </si>
  <si>
    <t>gene23001-v1.0-hybrid</t>
  </si>
  <si>
    <t>gene23303-v1.0-hybrid</t>
  </si>
  <si>
    <t>gene23603-v1.0-hybrid</t>
  </si>
  <si>
    <t>gene23903-v1.0-hybrid</t>
  </si>
  <si>
    <t>gene24506-v1.0-hybrid</t>
  </si>
  <si>
    <t>gene24806-v1.0-hybrid</t>
  </si>
  <si>
    <t>gene25108-v1.0-hybrid</t>
  </si>
  <si>
    <t>gene25408-v1.0-hybrid</t>
  </si>
  <si>
    <t>gene25708-v1.0-hybrid</t>
  </si>
  <si>
    <t>gene26308-v1.0-hybrid</t>
  </si>
  <si>
    <t>gene26608-v1.0-hybrid</t>
  </si>
  <si>
    <t>gene26909-v1.0-hybrid</t>
  </si>
  <si>
    <t>gene27509-v1.0-hybrid</t>
  </si>
  <si>
    <t>gene27809-v1.0-hybrid</t>
  </si>
  <si>
    <t>gene28409-v1.0-hybrid</t>
  </si>
  <si>
    <t>gene28709-v1.0-hybrid</t>
  </si>
  <si>
    <t>gene29009-v1.0-hybrid</t>
  </si>
  <si>
    <t>gene29309-v1.0-hybrid</t>
  </si>
  <si>
    <t>gene29609-v1.0-hybrid</t>
  </si>
  <si>
    <t>gene30211-v1.0-hybrid</t>
  </si>
  <si>
    <t>gene30511-v1.0-hybrid</t>
  </si>
  <si>
    <t>gene30811-v1.0-hybrid</t>
  </si>
  <si>
    <t>gene31111-v1.0-hybrid</t>
  </si>
  <si>
    <t>gene31711-v1.0-hybrid</t>
  </si>
  <si>
    <t>gene32011-v1.0-hybrid</t>
  </si>
  <si>
    <t>gene32311-v1.0-hybrid</t>
  </si>
  <si>
    <t>gene32611-v1.0-hybrid</t>
  </si>
  <si>
    <t>gene32971-v1.0-hybrid</t>
  </si>
  <si>
    <t>gene34076-v1.0-hybrid</t>
  </si>
  <si>
    <t>gene34976-v1.0-hybrid</t>
  </si>
  <si>
    <t>gene00388-v1.0-hybrid</t>
  </si>
  <si>
    <t>gene00692-v1.0-hybrid</t>
  </si>
  <si>
    <t>gene01292-v1.0-hybrid</t>
  </si>
  <si>
    <t>gene01593-v1.0-hybrid</t>
  </si>
  <si>
    <t>gene01893-v1.0-hybrid</t>
  </si>
  <si>
    <t>gene02193-v1.0-hybrid</t>
  </si>
  <si>
    <t>gene02493-v1.0-hybrid</t>
  </si>
  <si>
    <t>gene02804-v1.0-hybrid</t>
  </si>
  <si>
    <t>gene03781-v1.0-hybrid</t>
  </si>
  <si>
    <t>gene04081-v1.0-hybrid</t>
  </si>
  <si>
    <t>gene04381-v1.0-hybrid</t>
  </si>
  <si>
    <t>gene05282-v1.0-hybrid</t>
  </si>
  <si>
    <t>gene05582-v1.0-hybrid</t>
  </si>
  <si>
    <t>gene05882-v1.0-hybrid</t>
  </si>
  <si>
    <t>gene06182-v1.0-hybrid</t>
  </si>
  <si>
    <t>gene06482-v1.0-hybrid</t>
  </si>
  <si>
    <t>gene06782-v1.0-hybrid</t>
  </si>
  <si>
    <t>gene07082-v1.0-hybrid</t>
  </si>
  <si>
    <t>gene07682-v1.0-hybrid</t>
  </si>
  <si>
    <t>gene07983-v1.0-hybrid</t>
  </si>
  <si>
    <t>gene08583-v1.0-hybrid</t>
  </si>
  <si>
    <t>gene08883-v1.0-hybrid</t>
  </si>
  <si>
    <t>gene09183-v1.0-hybrid</t>
  </si>
  <si>
    <t>gene09483-v1.0-hybrid</t>
  </si>
  <si>
    <t>gene09783-v1.0-hybrid</t>
  </si>
  <si>
    <t>gene10384-v1.0-hybrid</t>
  </si>
  <si>
    <t>gene10685-v1.0-hybrid</t>
  </si>
  <si>
    <t>gene10985-v1.0-hybrid</t>
  </si>
  <si>
    <t>gene11286-v1.0-hybrid</t>
  </si>
  <si>
    <t>gene11586-v1.0-hybrid</t>
  </si>
  <si>
    <t>gene11886-v1.0-hybrid</t>
  </si>
  <si>
    <t>gene12186-v1.0-hybrid</t>
  </si>
  <si>
    <t>gene12486-v1.0-hybrid</t>
  </si>
  <si>
    <t>gene12786-v1.0-hybrid</t>
  </si>
  <si>
    <t>gene13087-v1.0-hybrid</t>
  </si>
  <si>
    <t>gene13687-v1.0-hybrid</t>
  </si>
  <si>
    <t>gene14289-v1.0-hybrid</t>
  </si>
  <si>
    <t>gene15193-v1.0-hybrid</t>
  </si>
  <si>
    <t>gene15494-v1.0-hybrid</t>
  </si>
  <si>
    <t>gene16696-v1.0-hybrid</t>
  </si>
  <si>
    <t>gene16998-v1.0-hybrid</t>
  </si>
  <si>
    <t>gene17298-v1.0-hybrid</t>
  </si>
  <si>
    <t>gene17598-v1.0-hybrid</t>
  </si>
  <si>
    <t>gene18498-v1.0-hybrid</t>
  </si>
  <si>
    <t>gene18798-v1.0-hybrid</t>
  </si>
  <si>
    <t>gene19098-v1.0-hybrid</t>
  </si>
  <si>
    <t>gene20299-v1.0-hybrid</t>
  </si>
  <si>
    <t>gene20599-v1.0-hybrid</t>
  </si>
  <si>
    <t>gene20899-v1.0-hybrid</t>
  </si>
  <si>
    <t>gene21199-v1.0-hybrid</t>
  </si>
  <si>
    <t>gene21800-v1.0-hybrid</t>
  </si>
  <si>
    <t>gene22701-v1.0-hybrid</t>
  </si>
  <si>
    <t>gene23002-v1.0-hybrid</t>
  </si>
  <si>
    <t>gene23304-v1.0-hybrid</t>
  </si>
  <si>
    <t>gene23604-v1.0-hybrid</t>
  </si>
  <si>
    <t>gene24807-v1.0-hybrid</t>
  </si>
  <si>
    <t>gene25109-v1.0-hybrid</t>
  </si>
  <si>
    <t>gene26009-v1.0-hybrid</t>
  </si>
  <si>
    <t>gene26609-v1.0-hybrid</t>
  </si>
  <si>
    <t>gene26910-v1.0-hybrid</t>
  </si>
  <si>
    <t>gene27210-v1.0-hybrid</t>
  </si>
  <si>
    <t>gene27510-v1.0-hybrid</t>
  </si>
  <si>
    <t>gene27810-v1.0-hybrid</t>
  </si>
  <si>
    <t>gene28110-v1.0-hybrid</t>
  </si>
  <si>
    <t>gene28710-v1.0-hybrid</t>
  </si>
  <si>
    <t>gene29310-v1.0-hybrid</t>
  </si>
  <si>
    <t>gene29912-v1.0-hybrid</t>
  </si>
  <si>
    <t>gene30512-v1.0-hybrid</t>
  </si>
  <si>
    <t>gene30812-v1.0-hybrid</t>
  </si>
  <si>
    <t>gene31112-v1.0-hybrid</t>
  </si>
  <si>
    <t>gene31712-v1.0-hybrid</t>
  </si>
  <si>
    <t>gene32012-v1.0-hybrid</t>
  </si>
  <si>
    <t>gene32972-v1.0-hybrid</t>
  </si>
  <si>
    <t>gene33774-v1.0-hybrid</t>
  </si>
  <si>
    <t>gene34077-v1.0-hybrid</t>
  </si>
  <si>
    <t>gene34377-v1.0-hybrid</t>
  </si>
  <si>
    <t>gene34977-v1.0-hybrid</t>
  </si>
  <si>
    <t>gene00693-v1.0-hybrid</t>
  </si>
  <si>
    <t>gene01293-v1.0-hybrid</t>
  </si>
  <si>
    <t>gene01594-v1.0-hybrid</t>
  </si>
  <si>
    <t>gene01894-v1.0-hybrid</t>
  </si>
  <si>
    <t>gene02494-v1.0-hybrid</t>
  </si>
  <si>
    <t>gene03182-v1.0-hybrid</t>
  </si>
  <si>
    <t>gene03782-v1.0-hybrid</t>
  </si>
  <si>
    <t>gene04082-v1.0-hybrid</t>
  </si>
  <si>
    <t>gene04382-v1.0-hybrid</t>
  </si>
  <si>
    <t>gene04982-v1.0-hybrid</t>
  </si>
  <si>
    <t>gene05283-v1.0-hybrid</t>
  </si>
  <si>
    <t>gene06183-v1.0-hybrid</t>
  </si>
  <si>
    <t>gene06483-v1.0-hybrid</t>
  </si>
  <si>
    <t>gene06783-v1.0-hybrid</t>
  </si>
  <si>
    <t>gene07083-v1.0-hybrid</t>
  </si>
  <si>
    <t>gene07383-v1.0-hybrid</t>
  </si>
  <si>
    <t>gene07683-v1.0-hybrid</t>
  </si>
  <si>
    <t>gene07984-v1.0-hybrid</t>
  </si>
  <si>
    <t>gene08884-v1.0-hybrid</t>
  </si>
  <si>
    <t>gene09184-v1.0-hybrid</t>
  </si>
  <si>
    <t>gene09484-v1.0-hybrid</t>
  </si>
  <si>
    <t>gene10085-v1.0-hybrid</t>
  </si>
  <si>
    <t>gene10686-v1.0-hybrid</t>
  </si>
  <si>
    <t>gene11287-v1.0-hybrid</t>
  </si>
  <si>
    <t>gene11587-v1.0-hybrid</t>
  </si>
  <si>
    <t>gene11887-v1.0-hybrid</t>
  </si>
  <si>
    <t>gene12787-v1.0-hybrid</t>
  </si>
  <si>
    <t>gene13088-v1.0-hybrid</t>
  </si>
  <si>
    <t>gene13388-v1.0-hybrid</t>
  </si>
  <si>
    <t>gene13989-v1.0-hybrid</t>
  </si>
  <si>
    <t>gene14290-v1.0-hybrid</t>
  </si>
  <si>
    <t>gene14592-v1.0-hybrid</t>
  </si>
  <si>
    <t>gene14893-v1.0-hybrid</t>
  </si>
  <si>
    <t>gene15194-v1.0-hybrid</t>
  </si>
  <si>
    <t>gene15495-v1.0-hybrid</t>
  </si>
  <si>
    <t>gene16097-v1.0-hybrid</t>
  </si>
  <si>
    <t>gene16397-v1.0-hybrid</t>
  </si>
  <si>
    <t>gene16697-v1.0-hybrid</t>
  </si>
  <si>
    <t>gene16999-v1.0-hybrid</t>
  </si>
  <si>
    <t>gene17299-v1.0-hybrid</t>
  </si>
  <si>
    <t>gene17599-v1.0-hybrid</t>
  </si>
  <si>
    <t>gene17899-v1.0-hybrid</t>
  </si>
  <si>
    <t>gene18199-v1.0-hybrid</t>
  </si>
  <si>
    <t>gene18499-v1.0-hybrid</t>
  </si>
  <si>
    <t>gene18799-v1.0-hybrid</t>
  </si>
  <si>
    <t>gene19099-v1.0-hybrid</t>
  </si>
  <si>
    <t>gene19399-v1.0-hybrid</t>
  </si>
  <si>
    <t>gene19699-v1.0-hybrid</t>
  </si>
  <si>
    <t>gene19999-v1.0-hybrid</t>
  </si>
  <si>
    <t>gene20300-v1.0-hybrid</t>
  </si>
  <si>
    <t>gene20600-v1.0-hybrid</t>
  </si>
  <si>
    <t>gene20900-v1.0-hybrid</t>
  </si>
  <si>
    <t>gene21200-v1.0-hybrid</t>
  </si>
  <si>
    <t>gene22101-v1.0-hybrid</t>
  </si>
  <si>
    <t>gene22402-v1.0-hybrid</t>
  </si>
  <si>
    <t>gene22702-v1.0-hybrid</t>
  </si>
  <si>
    <t>gene23003-v1.0-hybrid</t>
  </si>
  <si>
    <t>gene23305-v1.0-hybrid</t>
  </si>
  <si>
    <t>gene23905-v1.0-hybrid</t>
  </si>
  <si>
    <t>gene24508-v1.0-hybrid</t>
  </si>
  <si>
    <t>gene24808-v1.0-hybrid</t>
  </si>
  <si>
    <t>gene25110-v1.0-hybrid</t>
  </si>
  <si>
    <t>gene25410-v1.0-hybrid</t>
  </si>
  <si>
    <t>gene25710-v1.0-hybrid</t>
  </si>
  <si>
    <t>gene26010-v1.0-hybrid</t>
  </si>
  <si>
    <t>gene26310-v1.0-hybrid</t>
  </si>
  <si>
    <t>gene26610-v1.0-hybrid</t>
  </si>
  <si>
    <t>gene26911-v1.0-hybrid</t>
  </si>
  <si>
    <t>gene27211-v1.0-hybrid</t>
  </si>
  <si>
    <t>gene27511-v1.0-hybrid</t>
  </si>
  <si>
    <t>gene27811-v1.0-hybrid</t>
  </si>
  <si>
    <t>gene28111-v1.0-hybrid</t>
  </si>
  <si>
    <t>gene28411-v1.0-hybrid</t>
  </si>
  <si>
    <t>gene28711-v1.0-hybrid</t>
  </si>
  <si>
    <t>gene29311-v1.0-hybrid</t>
  </si>
  <si>
    <t>gene29913-v1.0-hybrid</t>
  </si>
  <si>
    <t>gene30213-v1.0-hybrid</t>
  </si>
  <si>
    <t>gene30513-v1.0-hybrid</t>
  </si>
  <si>
    <t>gene30813-v1.0-hybrid</t>
  </si>
  <si>
    <t>gene31413-v1.0-hybrid</t>
  </si>
  <si>
    <t>gene31713-v1.0-hybrid</t>
  </si>
  <si>
    <t>gene32313-v1.0-hybrid</t>
  </si>
  <si>
    <t>gene32613-v1.0-hybrid</t>
  </si>
  <si>
    <t>gene32973-v1.0-hybrid</t>
  </si>
  <si>
    <t>gene34078-v1.0-hybrid</t>
  </si>
  <si>
    <t>gene34678-v1.0-hybrid</t>
  </si>
  <si>
    <t>gene34978-v1.0-hybrid</t>
  </si>
  <si>
    <t>gene00390-v1.0-hybrid</t>
  </si>
  <si>
    <t>gene00694-v1.0-hybrid</t>
  </si>
  <si>
    <t>gene00994-v1.0-hybrid</t>
  </si>
  <si>
    <t>gene01294-v1.0-hybrid</t>
  </si>
  <si>
    <t>gene01595-v1.0-hybrid</t>
  </si>
  <si>
    <t>gene01895-v1.0-hybrid</t>
  </si>
  <si>
    <t>gene02195-v1.0-hybrid</t>
  </si>
  <si>
    <t>gene03183-v1.0-hybrid</t>
  </si>
  <si>
    <t>gene03483-v1.0-hybrid</t>
  </si>
  <si>
    <t>gene04083-v1.0-hybrid</t>
  </si>
  <si>
    <t>gene04383-v1.0-hybrid</t>
  </si>
  <si>
    <t>gene04683-v1.0-hybrid</t>
  </si>
  <si>
    <t>gene05284-v1.0-hybrid</t>
  </si>
  <si>
    <t>gene05584-v1.0-hybrid</t>
  </si>
  <si>
    <t>gene06184-v1.0-hybrid</t>
  </si>
  <si>
    <t>gene06484-v1.0-hybrid</t>
  </si>
  <si>
    <t>gene07084-v1.0-hybrid</t>
  </si>
  <si>
    <t>gene07384-v1.0-hybrid</t>
  </si>
  <si>
    <t>gene07684-v1.0-hybrid</t>
  </si>
  <si>
    <t>gene07985-v1.0-hybrid</t>
  </si>
  <si>
    <t>gene08285-v1.0-hybrid</t>
  </si>
  <si>
    <t>gene09785-v1.0-hybrid</t>
  </si>
  <si>
    <t>gene10086-v1.0-hybrid</t>
  </si>
  <si>
    <t>gene10386-v1.0-hybrid</t>
  </si>
  <si>
    <t>gene10687-v1.0-hybrid</t>
  </si>
  <si>
    <t>gene10987-v1.0-hybrid</t>
  </si>
  <si>
    <t>gene11288-v1.0-hybrid</t>
  </si>
  <si>
    <t>gene11588-v1.0-hybrid</t>
  </si>
  <si>
    <t>gene11888-v1.0-hybrid</t>
  </si>
  <si>
    <t>gene12788-v1.0-hybrid</t>
  </si>
  <si>
    <t>gene13089-v1.0-hybrid</t>
  </si>
  <si>
    <t>gene13389-v1.0-hybrid</t>
  </si>
  <si>
    <t>gene13689-v1.0-hybrid</t>
  </si>
  <si>
    <t>gene13990-v1.0-hybrid</t>
  </si>
  <si>
    <t>gene14291-v1.0-hybrid</t>
  </si>
  <si>
    <t>gene14593-v1.0-hybrid</t>
  </si>
  <si>
    <t>gene14894-v1.0-hybrid</t>
  </si>
  <si>
    <t>gene15496-v1.0-hybrid</t>
  </si>
  <si>
    <t>gene16098-v1.0-hybrid</t>
  </si>
  <si>
    <t>gene16698-v1.0-hybrid</t>
  </si>
  <si>
    <t>gene17000-v1.0-hybrid</t>
  </si>
  <si>
    <t>gene17300-v1.0-hybrid</t>
  </si>
  <si>
    <t>gene17600-v1.0-hybrid</t>
  </si>
  <si>
    <t>gene17900-v1.0-hybrid</t>
  </si>
  <si>
    <t>gene18200-v1.0-hybrid</t>
  </si>
  <si>
    <t>gene18500-v1.0-hybrid</t>
  </si>
  <si>
    <t>gene19100-v1.0-hybrid</t>
  </si>
  <si>
    <t>gene19400-v1.0-hybrid</t>
  </si>
  <si>
    <t>gene20301-v1.0-hybrid</t>
  </si>
  <si>
    <t>gene20901-v1.0-hybrid</t>
  </si>
  <si>
    <t>gene21201-v1.0-hybrid</t>
  </si>
  <si>
    <t>gene21802-v1.0-hybrid</t>
  </si>
  <si>
    <t>gene22102-v1.0-hybrid</t>
  </si>
  <si>
    <t>gene22703-v1.0-hybrid</t>
  </si>
  <si>
    <t>gene23906-v1.0-hybrid</t>
  </si>
  <si>
    <t>gene24208-v1.0-hybrid</t>
  </si>
  <si>
    <t>gene24809-v1.0-hybrid</t>
  </si>
  <si>
    <t>gene25411-v1.0-hybrid</t>
  </si>
  <si>
    <t>gene25711-v1.0-hybrid</t>
  </si>
  <si>
    <t>gene26011-v1.0-hybrid</t>
  </si>
  <si>
    <t>gene26311-v1.0-hybrid</t>
  </si>
  <si>
    <t>gene26611-v1.0-hybrid</t>
  </si>
  <si>
    <t>gene27212-v1.0-hybrid</t>
  </si>
  <si>
    <t>gene27512-v1.0-hybrid</t>
  </si>
  <si>
    <t>gene27812-v1.0-hybrid</t>
  </si>
  <si>
    <t>gene28112-v1.0-hybrid</t>
  </si>
  <si>
    <t>gene28412-v1.0-hybrid</t>
  </si>
  <si>
    <t>gene28712-v1.0-hybrid</t>
  </si>
  <si>
    <t>gene29012-v1.0-hybrid</t>
  </si>
  <si>
    <t>gene29312-v1.0-hybrid</t>
  </si>
  <si>
    <t>gene30214-v1.0-hybrid</t>
  </si>
  <si>
    <t>gene30514-v1.0-hybrid</t>
  </si>
  <si>
    <t>gene30814-v1.0-hybrid</t>
  </si>
  <si>
    <t>gene32014-v1.0-hybrid</t>
  </si>
  <si>
    <t>gene32314-v1.0-hybrid</t>
  </si>
  <si>
    <t>gene32614-v1.0-hybrid</t>
  </si>
  <si>
    <t>gene34079-v1.0-hybrid</t>
  </si>
  <si>
    <t>gene34379-v1.0-hybrid</t>
  </si>
  <si>
    <t>gene34679-v1.0-hybrid</t>
  </si>
  <si>
    <t>gene34979-v1.0-hybrid</t>
  </si>
  <si>
    <t>gene00091-v1.0-hybrid</t>
  </si>
  <si>
    <t>gene00391-v1.0-hybrid</t>
  </si>
  <si>
    <t>gene00995-v1.0-hybrid</t>
  </si>
  <si>
    <t>gene01295-v1.0-hybrid</t>
  </si>
  <si>
    <t>gene01596-v1.0-hybrid</t>
  </si>
  <si>
    <t>gene01896-v1.0-hybrid</t>
  </si>
  <si>
    <t>gene02196-v1.0-hybrid</t>
  </si>
  <si>
    <t>gene03184-v1.0-hybrid</t>
  </si>
  <si>
    <t>gene03484-v1.0-hybrid</t>
  </si>
  <si>
    <t>gene03784-v1.0-hybrid</t>
  </si>
  <si>
    <t>gene04084-v1.0-hybrid</t>
  </si>
  <si>
    <t>gene04384-v1.0-hybrid</t>
  </si>
  <si>
    <t>gene04684-v1.0-hybrid</t>
  </si>
  <si>
    <t>gene05285-v1.0-hybrid</t>
  </si>
  <si>
    <t>gene05885-v1.0-hybrid</t>
  </si>
  <si>
    <t>gene06185-v1.0-hybrid</t>
  </si>
  <si>
    <t>gene06785-v1.0-hybrid</t>
  </si>
  <si>
    <t>gene07085-v1.0-hybrid</t>
  </si>
  <si>
    <t>gene07385-v1.0-hybrid</t>
  </si>
  <si>
    <t>gene07685-v1.0-hybrid</t>
  </si>
  <si>
    <t>gene07986-v1.0-hybrid</t>
  </si>
  <si>
    <t>gene08286-v1.0-hybrid</t>
  </si>
  <si>
    <t>gene08586-v1.0-hybrid</t>
  </si>
  <si>
    <t>gene08886-v1.0-hybrid</t>
  </si>
  <si>
    <t>gene09486-v1.0-hybrid</t>
  </si>
  <si>
    <t>gene09786-v1.0-hybrid</t>
  </si>
  <si>
    <t>gene10087-v1.0-hybrid</t>
  </si>
  <si>
    <t>gene10387-v1.0-hybrid</t>
  </si>
  <si>
    <t>gene10688-v1.0-hybrid</t>
  </si>
  <si>
    <t>gene10988-v1.0-hybrid</t>
  </si>
  <si>
    <t>gene11589-v1.0-hybrid</t>
  </si>
  <si>
    <t>gene11889-v1.0-hybrid</t>
  </si>
  <si>
    <t>gene12189-v1.0-hybrid</t>
  </si>
  <si>
    <t>gene12489-v1.0-hybrid</t>
  </si>
  <si>
    <t>gene12789-v1.0-hybrid</t>
  </si>
  <si>
    <t>gene13090-v1.0-hybrid</t>
  </si>
  <si>
    <t>gene13390-v1.0-hybrid</t>
  </si>
  <si>
    <t>gene13690-v1.0-hybrid</t>
  </si>
  <si>
    <t>gene13991-v1.0-hybrid</t>
  </si>
  <si>
    <t>gene14292-v1.0-hybrid</t>
  </si>
  <si>
    <t>gene14895-v1.0-hybrid</t>
  </si>
  <si>
    <t>gene15196-v1.0-hybrid</t>
  </si>
  <si>
    <t>gene15497-v1.0-hybrid</t>
  </si>
  <si>
    <t>gene15798-v1.0-hybrid</t>
  </si>
  <si>
    <t>gene16399-v1.0-hybrid</t>
  </si>
  <si>
    <t>gene16699-v1.0-hybrid</t>
  </si>
  <si>
    <t>gene17301-v1.0-hybrid</t>
  </si>
  <si>
    <t>gene17601-v1.0-hybrid</t>
  </si>
  <si>
    <t>gene17901-v1.0-hybrid</t>
  </si>
  <si>
    <t>gene18501-v1.0-hybrid</t>
  </si>
  <si>
    <t>gene18801-v1.0-hybrid</t>
  </si>
  <si>
    <t>gene19101-v1.0-hybrid</t>
  </si>
  <si>
    <t>gene19401-v1.0-hybrid</t>
  </si>
  <si>
    <t>gene19701-v1.0-hybrid</t>
  </si>
  <si>
    <t>gene20001-v1.0-hybrid</t>
  </si>
  <si>
    <t>gene20302-v1.0-hybrid</t>
  </si>
  <si>
    <t>gene20902-v1.0-hybrid</t>
  </si>
  <si>
    <t>gene21202-v1.0-hybrid</t>
  </si>
  <si>
    <t>gene21503-v1.0-hybrid</t>
  </si>
  <si>
    <t>gene22404-v1.0-hybrid</t>
  </si>
  <si>
    <t>gene22704-v1.0-hybrid</t>
  </si>
  <si>
    <t>gene23005-v1.0-hybrid</t>
  </si>
  <si>
    <t>gene23307-v1.0-hybrid</t>
  </si>
  <si>
    <t>gene23907-v1.0-hybrid</t>
  </si>
  <si>
    <t>gene24209-v1.0-hybrid</t>
  </si>
  <si>
    <t>gene24510-v1.0-hybrid</t>
  </si>
  <si>
    <t>gene24810-v1.0-hybrid</t>
  </si>
  <si>
    <t>gene25112-v1.0-hybrid</t>
  </si>
  <si>
    <t>gene26312-v1.0-hybrid</t>
  </si>
  <si>
    <t>gene26612-v1.0-hybrid</t>
  </si>
  <si>
    <t>gene26913-v1.0-hybrid</t>
  </si>
  <si>
    <t>gene27213-v1.0-hybrid</t>
  </si>
  <si>
    <t>gene27513-v1.0-hybrid</t>
  </si>
  <si>
    <t>gene27813-v1.0-hybrid</t>
  </si>
  <si>
    <t>gene28113-v1.0-hybrid</t>
  </si>
  <si>
    <t>gene28413-v1.0-hybrid</t>
  </si>
  <si>
    <t>gene28713-v1.0-hybrid</t>
  </si>
  <si>
    <t>gene29013-v1.0-hybrid</t>
  </si>
  <si>
    <t>gene30215-v1.0-hybrid</t>
  </si>
  <si>
    <t>gene30515-v1.0-hybrid</t>
  </si>
  <si>
    <t>gene30815-v1.0-hybrid</t>
  </si>
  <si>
    <t>gene31115-v1.0-hybrid</t>
  </si>
  <si>
    <t>gene32015-v1.0-hybrid</t>
  </si>
  <si>
    <t>gene32315-v1.0-hybrid</t>
  </si>
  <si>
    <t>gene32615-v1.0-hybrid</t>
  </si>
  <si>
    <t>gene32975-v1.0-hybrid</t>
  </si>
  <si>
    <t>gene34080-v1.0-hybrid</t>
  </si>
  <si>
    <t>gene34380-v1.0-hybrid</t>
  </si>
  <si>
    <t>gene34680-v1.0-hybrid</t>
  </si>
  <si>
    <t>gene34980-v1.0-hybrid</t>
  </si>
  <si>
    <t>gene00092-v1.0-hybrid</t>
  </si>
  <si>
    <t>gene00392-v1.0-hybrid</t>
  </si>
  <si>
    <t>gene00696-v1.0-hybrid</t>
  </si>
  <si>
    <t>gene00996-v1.0-hybrid</t>
  </si>
  <si>
    <t>gene01296-v1.0-hybrid</t>
  </si>
  <si>
    <t>gene01597-v1.0-hybrid</t>
  </si>
  <si>
    <t>gene01897-v1.0-hybrid</t>
  </si>
  <si>
    <t>gene02197-v1.0-hybrid</t>
  </si>
  <si>
    <t>gene02497-v1.0-hybrid</t>
  </si>
  <si>
    <t>gene02811-v1.0-hybrid</t>
  </si>
  <si>
    <t>gene03185-v1.0-hybrid</t>
  </si>
  <si>
    <t>gene03485-v1.0-hybrid</t>
  </si>
  <si>
    <t>gene03785-v1.0-hybrid</t>
  </si>
  <si>
    <t>gene04385-v1.0-hybrid</t>
  </si>
  <si>
    <t>gene04685-v1.0-hybrid</t>
  </si>
  <si>
    <t>gene05286-v1.0-hybrid</t>
  </si>
  <si>
    <t>gene05586-v1.0-hybrid</t>
  </si>
  <si>
    <t>gene05886-v1.0-hybrid</t>
  </si>
  <si>
    <t>gene06186-v1.0-hybrid</t>
  </si>
  <si>
    <t>gene06486-v1.0-hybrid</t>
  </si>
  <si>
    <t>gene06786-v1.0-hybrid</t>
  </si>
  <si>
    <t>gene07086-v1.0-hybrid</t>
  </si>
  <si>
    <t>gene07386-v1.0-hybrid</t>
  </si>
  <si>
    <t>gene07686-v1.0-hybrid</t>
  </si>
  <si>
    <t>gene07987-v1.0-hybrid</t>
  </si>
  <si>
    <t>gene08287-v1.0-hybrid</t>
  </si>
  <si>
    <t>gene08587-v1.0-hybrid</t>
  </si>
  <si>
    <t>gene08887-v1.0-hybrid</t>
  </si>
  <si>
    <t>gene09187-v1.0-hybrid</t>
  </si>
  <si>
    <t>gene09787-v1.0-hybrid</t>
  </si>
  <si>
    <t>gene10088-v1.0-hybrid</t>
  </si>
  <si>
    <t>gene10388-v1.0-hybrid</t>
  </si>
  <si>
    <t>gene10989-v1.0-hybrid</t>
  </si>
  <si>
    <t>gene11290-v1.0-hybrid</t>
  </si>
  <si>
    <t>gene11590-v1.0-hybrid</t>
  </si>
  <si>
    <t>gene11890-v1.0-hybrid</t>
  </si>
  <si>
    <t>gene12490-v1.0-hybrid</t>
  </si>
  <si>
    <t>gene12790-v1.0-hybrid</t>
  </si>
  <si>
    <t>gene13091-v1.0-hybrid</t>
  </si>
  <si>
    <t>gene13391-v1.0-hybrid</t>
  </si>
  <si>
    <t>gene13691-v1.0-hybrid</t>
  </si>
  <si>
    <t>gene13992-v1.0-hybrid</t>
  </si>
  <si>
    <t>gene14293-v1.0-hybrid</t>
  </si>
  <si>
    <t>gene14896-v1.0-hybrid</t>
  </si>
  <si>
    <t>gene15197-v1.0-hybrid</t>
  </si>
  <si>
    <t>gene15799-v1.0-hybrid</t>
  </si>
  <si>
    <t>gene16100-v1.0-hybrid</t>
  </si>
  <si>
    <t>gene16400-v1.0-hybrid</t>
  </si>
  <si>
    <t>gene16700-v1.0-hybrid</t>
  </si>
  <si>
    <t>gene17002-v1.0-hybrid</t>
  </si>
  <si>
    <t>gene17302-v1.0-hybrid</t>
  </si>
  <si>
    <t>gene17602-v1.0-hybrid</t>
  </si>
  <si>
    <t>gene18502-v1.0-hybrid</t>
  </si>
  <si>
    <t>gene18802-v1.0-hybrid</t>
  </si>
  <si>
    <t>gene19102-v1.0-hybrid</t>
  </si>
  <si>
    <t>gene19402-v1.0-hybrid</t>
  </si>
  <si>
    <t>gene20303-v1.0-hybrid</t>
  </si>
  <si>
    <t>gene20903-v1.0-hybrid</t>
  </si>
  <si>
    <t>gene21203-v1.0-hybrid</t>
  </si>
  <si>
    <t>gene21804-v1.0-hybrid</t>
  </si>
  <si>
    <t>gene22104-v1.0-hybrid</t>
  </si>
  <si>
    <t>gene22405-v1.0-hybrid</t>
  </si>
  <si>
    <t>gene22705-v1.0-hybrid</t>
  </si>
  <si>
    <t>gene23006-v1.0-hybrid</t>
  </si>
  <si>
    <t>gene23308-v1.0-hybrid</t>
  </si>
  <si>
    <t>gene23908-v1.0-hybrid</t>
  </si>
  <si>
    <t>gene24210-v1.0-hybrid</t>
  </si>
  <si>
    <t>gene24511-v1.0-hybrid</t>
  </si>
  <si>
    <t>gene25113-v1.0-hybrid</t>
  </si>
  <si>
    <t>gene25413-v1.0-hybrid</t>
  </si>
  <si>
    <t>gene25713-v1.0-hybrid</t>
  </si>
  <si>
    <t>gene26013-v1.0-hybrid</t>
  </si>
  <si>
    <t>gene26313-v1.0-hybrid</t>
  </si>
  <si>
    <t>gene26613-v1.0-hybrid</t>
  </si>
  <si>
    <t>gene26914-v1.0-hybrid</t>
  </si>
  <si>
    <t>gene27214-v1.0-hybrid</t>
  </si>
  <si>
    <t>gene27814-v1.0-hybrid</t>
  </si>
  <si>
    <t>gene28114-v1.0-hybrid</t>
  </si>
  <si>
    <t>gene28414-v1.0-hybrid</t>
  </si>
  <si>
    <t>gene28714-v1.0-hybrid</t>
  </si>
  <si>
    <t>gene29014-v1.0-hybrid</t>
  </si>
  <si>
    <t>gene29614-v1.0-hybrid</t>
  </si>
  <si>
    <t>gene29916-v1.0-hybrid</t>
  </si>
  <si>
    <t>gene30516-v1.0-hybrid</t>
  </si>
  <si>
    <t>gene30816-v1.0-hybrid</t>
  </si>
  <si>
    <t>gene31116-v1.0-hybrid</t>
  </si>
  <si>
    <t>gene31416-v1.0-hybrid</t>
  </si>
  <si>
    <t>gene31716-v1.0-hybrid</t>
  </si>
  <si>
    <t>gene32016-v1.0-hybrid</t>
  </si>
  <si>
    <t>gene32616-v1.0-hybrid</t>
  </si>
  <si>
    <t>gene32976-v1.0-hybrid</t>
  </si>
  <si>
    <t>gene34081-v1.0-hybrid</t>
  </si>
  <si>
    <t>gene34381-v1.0-hybrid</t>
  </si>
  <si>
    <t>gene34681-v1.0-hybrid</t>
  </si>
  <si>
    <t>gene34981-v1.0-hybrid</t>
  </si>
  <si>
    <t>gene00093-v1.0-hybrid</t>
  </si>
  <si>
    <t>gene00393-v1.0-hybrid</t>
  </si>
  <si>
    <t>gene00697-v1.0-hybrid</t>
  </si>
  <si>
    <t>gene00997-v1.0-hybrid</t>
  </si>
  <si>
    <t>gene01598-v1.0-hybrid</t>
  </si>
  <si>
    <t>gene01898-v1.0-hybrid</t>
  </si>
  <si>
    <t>gene02198-v1.0-hybrid</t>
  </si>
  <si>
    <t>gene02498-v1.0-hybrid</t>
  </si>
  <si>
    <t>gene02812-v1.0-hybrid</t>
  </si>
  <si>
    <t>gene03186-v1.0-hybrid</t>
  </si>
  <si>
    <t>gene04086-v1.0-hybrid</t>
  </si>
  <si>
    <t>gene04386-v1.0-hybrid</t>
  </si>
  <si>
    <t>gene04686-v1.0-hybrid</t>
  </si>
  <si>
    <t>gene04986-v1.0-hybrid</t>
  </si>
  <si>
    <t>gene05887-v1.0-hybrid</t>
  </si>
  <si>
    <t>gene06187-v1.0-hybrid</t>
  </si>
  <si>
    <t>gene06487-v1.0-hybrid</t>
  </si>
  <si>
    <t>gene06787-v1.0-hybrid</t>
  </si>
  <si>
    <t>gene07087-v1.0-hybrid</t>
  </si>
  <si>
    <t>gene07687-v1.0-hybrid</t>
  </si>
  <si>
    <t>gene08288-v1.0-hybrid</t>
  </si>
  <si>
    <t>gene08888-v1.0-hybrid</t>
  </si>
  <si>
    <t>gene09188-v1.0-hybrid</t>
  </si>
  <si>
    <t>gene09788-v1.0-hybrid</t>
  </si>
  <si>
    <t>gene10089-v1.0-hybrid</t>
  </si>
  <si>
    <t>gene10990-v1.0-hybrid</t>
  </si>
  <si>
    <t>gene11291-v1.0-hybrid</t>
  </si>
  <si>
    <t>gene11591-v1.0-hybrid</t>
  </si>
  <si>
    <t>gene11891-v1.0-hybrid</t>
  </si>
  <si>
    <t>gene12191-v1.0-hybrid</t>
  </si>
  <si>
    <t>gene12491-v1.0-hybrid</t>
  </si>
  <si>
    <t>gene13092-v1.0-hybrid</t>
  </si>
  <si>
    <t>gene13392-v1.0-hybrid</t>
  </si>
  <si>
    <t>gene13692-v1.0-hybrid</t>
  </si>
  <si>
    <t>gene13993-v1.0-hybrid</t>
  </si>
  <si>
    <t>gene14897-v1.0-hybrid</t>
  </si>
  <si>
    <t>gene15198-v1.0-hybrid</t>
  </si>
  <si>
    <t>gene15499-v1.0-hybrid</t>
  </si>
  <si>
    <t>gene16101-v1.0-hybrid</t>
  </si>
  <si>
    <t>gene16401-v1.0-hybrid</t>
  </si>
  <si>
    <t>gene16701-v1.0-hybrid</t>
  </si>
  <si>
    <t>gene17303-v1.0-hybrid</t>
  </si>
  <si>
    <t>gene17603-v1.0-hybrid</t>
  </si>
  <si>
    <t>gene18203-v1.0-hybrid</t>
  </si>
  <si>
    <t>gene18503-v1.0-hybrid</t>
  </si>
  <si>
    <t>gene19103-v1.0-hybrid</t>
  </si>
  <si>
    <t>gene19403-v1.0-hybrid</t>
  </si>
  <si>
    <t>gene19703-v1.0-hybrid</t>
  </si>
  <si>
    <t>gene20003-v1.0-hybrid</t>
  </si>
  <si>
    <t>gene20304-v1.0-hybrid</t>
  </si>
  <si>
    <t>gene20604-v1.0-hybrid</t>
  </si>
  <si>
    <t>gene20904-v1.0-hybrid</t>
  </si>
  <si>
    <t>gene21204-v1.0-hybrid</t>
  </si>
  <si>
    <t>gene22105-v1.0-hybrid</t>
  </si>
  <si>
    <t>gene22406-v1.0-hybrid</t>
  </si>
  <si>
    <t>gene22706-v1.0-hybrid</t>
  </si>
  <si>
    <t>gene23609-v1.0-hybrid</t>
  </si>
  <si>
    <t>gene23909-v1.0-hybrid</t>
  </si>
  <si>
    <t>gene24211-v1.0-hybrid</t>
  </si>
  <si>
    <t>gene24512-v1.0-hybrid</t>
  </si>
  <si>
    <t>gene24812-v1.0-hybrid</t>
  </si>
  <si>
    <t>gene25114-v1.0-hybrid</t>
  </si>
  <si>
    <t>gene25414-v1.0-hybrid</t>
  </si>
  <si>
    <t>gene25714-v1.0-hybrid</t>
  </si>
  <si>
    <t>gene26014-v1.0-hybrid</t>
  </si>
  <si>
    <t>gene26314-v1.0-hybrid</t>
  </si>
  <si>
    <t>gene26614-v1.0-hybrid</t>
  </si>
  <si>
    <t>gene26915-v1.0-hybrid</t>
  </si>
  <si>
    <t>gene27215-v1.0-hybrid</t>
  </si>
  <si>
    <t>gene27815-v1.0-hybrid</t>
  </si>
  <si>
    <t>gene28415-v1.0-hybrid</t>
  </si>
  <si>
    <t>gene28715-v1.0-hybrid</t>
  </si>
  <si>
    <t>gene29917-v1.0-hybrid</t>
  </si>
  <si>
    <t>gene30217-v1.0-hybrid</t>
  </si>
  <si>
    <t>gene30517-v1.0-hybrid</t>
  </si>
  <si>
    <t>gene31117-v1.0-hybrid</t>
  </si>
  <si>
    <t>gene31417-v1.0-hybrid</t>
  </si>
  <si>
    <t>gene31717-v1.0-hybrid</t>
  </si>
  <si>
    <t>gene32317-v1.0-hybrid</t>
  </si>
  <si>
    <t>gene32617-v1.0-hybrid</t>
  </si>
  <si>
    <t>gene32978-v1.0-hybrid</t>
  </si>
  <si>
    <t>gene34082-v1.0-hybrid</t>
  </si>
  <si>
    <t>gene34982-v1.0-hybrid</t>
  </si>
  <si>
    <t>gene00094-v1.0-hybrid</t>
  </si>
  <si>
    <t>gene00394-v1.0-hybrid</t>
  </si>
  <si>
    <t>gene00698-v1.0-hybrid</t>
  </si>
  <si>
    <t>gene00998-v1.0-hybrid</t>
  </si>
  <si>
    <t>gene01599-v1.0-hybrid</t>
  </si>
  <si>
    <t>gene01899-v1.0-hybrid</t>
  </si>
  <si>
    <t>gene02199-v1.0-hybrid</t>
  </si>
  <si>
    <t>gene02499-v1.0-hybrid</t>
  </si>
  <si>
    <t>gene03187-v1.0-hybrid</t>
  </si>
  <si>
    <t>gene03487-v1.0-hybrid</t>
  </si>
  <si>
    <t>gene03787-v1.0-hybrid</t>
  </si>
  <si>
    <t>gene04087-v1.0-hybrid</t>
  </si>
  <si>
    <t>gene04387-v1.0-hybrid</t>
  </si>
  <si>
    <t>gene04687-v1.0-hybrid</t>
  </si>
  <si>
    <t>gene05888-v1.0-hybrid</t>
  </si>
  <si>
    <t>gene06188-v1.0-hybrid</t>
  </si>
  <si>
    <t>gene06488-v1.0-hybrid</t>
  </si>
  <si>
    <t>gene06788-v1.0-hybrid</t>
  </si>
  <si>
    <t>gene07088-v1.0-hybrid</t>
  </si>
  <si>
    <t>gene07388-v1.0-hybrid</t>
  </si>
  <si>
    <t>gene08289-v1.0-hybrid</t>
  </si>
  <si>
    <t>gene08589-v1.0-hybrid</t>
  </si>
  <si>
    <t>gene08889-v1.0-hybrid</t>
  </si>
  <si>
    <t>gene09489-v1.0-hybrid</t>
  </si>
  <si>
    <t>gene09789-v1.0-hybrid</t>
  </si>
  <si>
    <t>gene10090-v1.0-hybrid</t>
  </si>
  <si>
    <t>gene10390-v1.0-hybrid</t>
  </si>
  <si>
    <t>gene10691-v1.0-hybrid</t>
  </si>
  <si>
    <t>gene10991-v1.0-hybrid</t>
  </si>
  <si>
    <t>gene11292-v1.0-hybrid</t>
  </si>
  <si>
    <t>gene11592-v1.0-hybrid</t>
  </si>
  <si>
    <t>gene11892-v1.0-hybrid</t>
  </si>
  <si>
    <t>gene12192-v1.0-hybrid</t>
  </si>
  <si>
    <t>gene12492-v1.0-hybrid</t>
  </si>
  <si>
    <t>gene12792-v1.0-hybrid</t>
  </si>
  <si>
    <t>gene13093-v1.0-hybrid</t>
  </si>
  <si>
    <t>gene13393-v1.0-hybrid</t>
  </si>
  <si>
    <t>gene13693-v1.0-hybrid</t>
  </si>
  <si>
    <t>gene13994-v1.0-hybrid</t>
  </si>
  <si>
    <t>gene14295-v1.0-hybrid</t>
  </si>
  <si>
    <t>gene14597-v1.0-hybrid</t>
  </si>
  <si>
    <t>gene14898-v1.0-hybrid</t>
  </si>
  <si>
    <t>gene15199-v1.0-hybrid</t>
  </si>
  <si>
    <t>gene15500-v1.0-hybrid</t>
  </si>
  <si>
    <t>gene16102-v1.0-hybrid</t>
  </si>
  <si>
    <t>gene16402-v1.0-hybrid</t>
  </si>
  <si>
    <t>gene16702-v1.0-hybrid</t>
  </si>
  <si>
    <t>gene17004-v1.0-hybrid</t>
  </si>
  <si>
    <t>gene17304-v1.0-hybrid</t>
  </si>
  <si>
    <t>gene17604-v1.0-hybrid</t>
  </si>
  <si>
    <t>gene17904-v1.0-hybrid</t>
  </si>
  <si>
    <t>gene18204-v1.0-hybrid</t>
  </si>
  <si>
    <t>gene19104-v1.0-hybrid</t>
  </si>
  <si>
    <t>gene19404-v1.0-hybrid</t>
  </si>
  <si>
    <t>gene19704-v1.0-hybrid</t>
  </si>
  <si>
    <t>gene20004-v1.0-hybrid</t>
  </si>
  <si>
    <t>gene20605-v1.0-hybrid</t>
  </si>
  <si>
    <t>gene20905-v1.0-hybrid</t>
  </si>
  <si>
    <t>gene21205-v1.0-hybrid</t>
  </si>
  <si>
    <t>gene21506-v1.0-hybrid</t>
  </si>
  <si>
    <t>gene22106-v1.0-hybrid</t>
  </si>
  <si>
    <t>gene22707-v1.0-hybrid</t>
  </si>
  <si>
    <t>gene23008-v1.0-hybrid</t>
  </si>
  <si>
    <t>gene23310-v1.0-hybrid</t>
  </si>
  <si>
    <t>gene23610-v1.0-hybrid</t>
  </si>
  <si>
    <t>gene23910-v1.0-hybrid</t>
  </si>
  <si>
    <t>gene24212-v1.0-hybrid</t>
  </si>
  <si>
    <t>gene24513-v1.0-hybrid</t>
  </si>
  <si>
    <t>gene24813-v1.0-hybrid</t>
  </si>
  <si>
    <t>gene25115-v1.0-hybrid</t>
  </si>
  <si>
    <t>gene25715-v1.0-hybrid</t>
  </si>
  <si>
    <t>gene26015-v1.0-hybrid</t>
  </si>
  <si>
    <t>gene26315-v1.0-hybrid</t>
  </si>
  <si>
    <t>gene26615-v1.0-hybrid</t>
  </si>
  <si>
    <t>gene26916-v1.0-hybrid</t>
  </si>
  <si>
    <t>gene27816-v1.0-hybrid</t>
  </si>
  <si>
    <t>gene28116-v1.0-hybrid</t>
  </si>
  <si>
    <t>gene28416-v1.0-hybrid</t>
  </si>
  <si>
    <t>gene28716-v1.0-hybrid</t>
  </si>
  <si>
    <t>gene29016-v1.0-hybrid</t>
  </si>
  <si>
    <t>gene29316-v1.0-hybrid</t>
  </si>
  <si>
    <t>gene29616-v1.0-hybrid</t>
  </si>
  <si>
    <t>gene29918-v1.0-hybrid</t>
  </si>
  <si>
    <t>gene30218-v1.0-hybrid</t>
  </si>
  <si>
    <t>gene30818-v1.0-hybrid</t>
  </si>
  <si>
    <t>gene31118-v1.0-hybrid</t>
  </si>
  <si>
    <t>gene31418-v1.0-hybrid</t>
  </si>
  <si>
    <t>gene31718-v1.0-hybrid</t>
  </si>
  <si>
    <t>gene32018-v1.0-hybrid</t>
  </si>
  <si>
    <t>gene32318-v1.0-hybrid</t>
  </si>
  <si>
    <t>gene32618-v1.0-hybrid</t>
  </si>
  <si>
    <t>gene32979-v1.0-hybrid</t>
  </si>
  <si>
    <t>gene33782-v1.0-hybrid</t>
  </si>
  <si>
    <t>gene34083-v1.0-hybrid</t>
  </si>
  <si>
    <t>gene34983-v1.0-hybrid</t>
  </si>
  <si>
    <t>gene00095-v1.0-hybrid</t>
  </si>
  <si>
    <t>gene00395-v1.0-hybrid</t>
  </si>
  <si>
    <t>gene00699-v1.0-hybrid</t>
  </si>
  <si>
    <t>gene00999-v1.0-hybrid</t>
  </si>
  <si>
    <t>gene01299-v1.0-hybrid</t>
  </si>
  <si>
    <t>gene01600-v1.0-hybrid</t>
  </si>
  <si>
    <t>gene01900-v1.0-hybrid</t>
  </si>
  <si>
    <t>gene02200-v1.0-hybrid</t>
  </si>
  <si>
    <t>gene02500-v1.0-hybrid</t>
  </si>
  <si>
    <t>gene03188-v1.0-hybrid</t>
  </si>
  <si>
    <t>gene03788-v1.0-hybrid</t>
  </si>
  <si>
    <t>gene04088-v1.0-hybrid</t>
  </si>
  <si>
    <t>gene04388-v1.0-hybrid</t>
  </si>
  <si>
    <t>gene04688-v1.0-hybrid</t>
  </si>
  <si>
    <t>gene05889-v1.0-hybrid</t>
  </si>
  <si>
    <t>gene06189-v1.0-hybrid</t>
  </si>
  <si>
    <t>gene06489-v1.0-hybrid</t>
  </si>
  <si>
    <t>gene06789-v1.0-hybrid</t>
  </si>
  <si>
    <t>gene07389-v1.0-hybrid</t>
  </si>
  <si>
    <t>gene07689-v1.0-hybrid</t>
  </si>
  <si>
    <t>gene07990-v1.0-hybrid</t>
  </si>
  <si>
    <t>gene08290-v1.0-hybrid</t>
  </si>
  <si>
    <t>gene08590-v1.0-hybrid</t>
  </si>
  <si>
    <t>gene08890-v1.0-hybrid</t>
  </si>
  <si>
    <t>gene09190-v1.0-hybrid</t>
  </si>
  <si>
    <t>gene09490-v1.0-hybrid</t>
  </si>
  <si>
    <t>gene10091-v1.0-hybrid</t>
  </si>
  <si>
    <t>gene11293-v1.0-hybrid</t>
  </si>
  <si>
    <t>gene11893-v1.0-hybrid</t>
  </si>
  <si>
    <t>gene12493-v1.0-hybrid</t>
  </si>
  <si>
    <t>gene13094-v1.0-hybrid</t>
  </si>
  <si>
    <t>gene13394-v1.0-hybrid</t>
  </si>
  <si>
    <t>gene13694-v1.0-hybrid</t>
  </si>
  <si>
    <t>gene14296-v1.0-hybrid</t>
  </si>
  <si>
    <t>gene14598-v1.0-hybrid</t>
  </si>
  <si>
    <t>gene14899-v1.0-hybrid</t>
  </si>
  <si>
    <t>gene15200-v1.0-hybrid</t>
  </si>
  <si>
    <t>gene15802-v1.0-hybrid</t>
  </si>
  <si>
    <t>gene16103-v1.0-hybrid</t>
  </si>
  <si>
    <t>gene16403-v1.0-hybrid</t>
  </si>
  <si>
    <t>gene16703-v1.0-hybrid</t>
  </si>
  <si>
    <t>gene17005-v1.0-hybrid</t>
  </si>
  <si>
    <t>gene17605-v1.0-hybrid</t>
  </si>
  <si>
    <t>gene18205-v1.0-hybrid</t>
  </si>
  <si>
    <t>gene18505-v1.0-hybrid</t>
  </si>
  <si>
    <t>gene19105-v1.0-hybrid</t>
  </si>
  <si>
    <t>gene19405-v1.0-hybrid</t>
  </si>
  <si>
    <t>gene19705-v1.0-hybrid</t>
  </si>
  <si>
    <t>gene20005-v1.0-hybrid</t>
  </si>
  <si>
    <t>gene20306-v1.0-hybrid</t>
  </si>
  <si>
    <t>gene21507-v1.0-hybrid</t>
  </si>
  <si>
    <t>gene22107-v1.0-hybrid</t>
  </si>
  <si>
    <t>gene22408-v1.0-hybrid</t>
  </si>
  <si>
    <t>gene22708-v1.0-hybrid</t>
  </si>
  <si>
    <t>gene23009-v1.0-hybrid</t>
  </si>
  <si>
    <t>gene23311-v1.0-hybrid</t>
  </si>
  <si>
    <t>gene23611-v1.0-hybrid</t>
  </si>
  <si>
    <t>gene24213-v1.0-hybrid</t>
  </si>
  <si>
    <t>gene24514-v1.0-hybrid</t>
  </si>
  <si>
    <t>gene24814-v1.0-hybrid</t>
  </si>
  <si>
    <t>gene25116-v1.0-hybrid</t>
  </si>
  <si>
    <t>gene25416-v1.0-hybrid</t>
  </si>
  <si>
    <t>gene26016-v1.0-hybrid</t>
  </si>
  <si>
    <t>gene26316-v1.0-hybrid</t>
  </si>
  <si>
    <t>gene26616-v1.0-hybrid</t>
  </si>
  <si>
    <t>gene26917-v1.0-hybrid</t>
  </si>
  <si>
    <t>gene27817-v1.0-hybrid</t>
  </si>
  <si>
    <t>gene28117-v1.0-hybrid</t>
  </si>
  <si>
    <t>gene28717-v1.0-hybrid</t>
  </si>
  <si>
    <t>gene29017-v1.0-hybrid</t>
  </si>
  <si>
    <t>gene29317-v1.0-hybrid</t>
  </si>
  <si>
    <t>gene29919-v1.0-hybrid</t>
  </si>
  <si>
    <t>gene30219-v1.0-hybrid</t>
  </si>
  <si>
    <t>gene30519-v1.0-hybrid</t>
  </si>
  <si>
    <t>gene30819-v1.0-hybrid</t>
  </si>
  <si>
    <t>gene31119-v1.0-hybrid</t>
  </si>
  <si>
    <t>gene31719-v1.0-hybrid</t>
  </si>
  <si>
    <t>gene32019-v1.0-hybrid</t>
  </si>
  <si>
    <t>gene32319-v1.0-hybrid</t>
  </si>
  <si>
    <t>gene32619-v1.0-hybrid</t>
  </si>
  <si>
    <t>gene34084-v1.0-hybrid</t>
  </si>
  <si>
    <t>gene34984-v1.0-hybrid</t>
  </si>
  <si>
    <t>gene00096-v1.0-hybrid</t>
  </si>
  <si>
    <t>gene00396-v1.0-hybrid</t>
  </si>
  <si>
    <t>gene00700-v1.0-hybrid</t>
  </si>
  <si>
    <t>gene01000-v1.0-hybrid</t>
  </si>
  <si>
    <t>gene01601-v1.0-hybrid</t>
  </si>
  <si>
    <t>gene01901-v1.0-hybrid</t>
  </si>
  <si>
    <t>gene02201-v1.0-hybrid</t>
  </si>
  <si>
    <t>gene02501-v1.0-hybrid</t>
  </si>
  <si>
    <t>gene02816-v1.0-hybrid</t>
  </si>
  <si>
    <t>gene03189-v1.0-hybrid</t>
  </si>
  <si>
    <t>gene03489-v1.0-hybrid</t>
  </si>
  <si>
    <t>gene03789-v1.0-hybrid</t>
  </si>
  <si>
    <t>gene04089-v1.0-hybrid</t>
  </si>
  <si>
    <t>gene04689-v1.0-hybrid</t>
  </si>
  <si>
    <t>gene05590-v1.0-hybrid</t>
  </si>
  <si>
    <t>gene06190-v1.0-hybrid</t>
  </si>
  <si>
    <t>gene06490-v1.0-hybrid</t>
  </si>
  <si>
    <t>gene06790-v1.0-hybrid</t>
  </si>
  <si>
    <t>gene07090-v1.0-hybrid</t>
  </si>
  <si>
    <t>gene07390-v1.0-hybrid</t>
  </si>
  <si>
    <t>gene07690-v1.0-hybrid</t>
  </si>
  <si>
    <t>gene07991-v1.0-hybrid</t>
  </si>
  <si>
    <t>gene08591-v1.0-hybrid</t>
  </si>
  <si>
    <t>gene08891-v1.0-hybrid</t>
  </si>
  <si>
    <t>gene09191-v1.0-hybrid</t>
  </si>
  <si>
    <t>gene09491-v1.0-hybrid</t>
  </si>
  <si>
    <t>gene10092-v1.0-hybrid</t>
  </si>
  <si>
    <t>gene10392-v1.0-hybrid</t>
  </si>
  <si>
    <t>gene10693-v1.0-hybrid</t>
  </si>
  <si>
    <t>gene10993-v1.0-hybrid</t>
  </si>
  <si>
    <t>gene11294-v1.0-hybrid</t>
  </si>
  <si>
    <t>gene11594-v1.0-hybrid</t>
  </si>
  <si>
    <t>gene11894-v1.0-hybrid</t>
  </si>
  <si>
    <t>gene12194-v1.0-hybrid</t>
  </si>
  <si>
    <t>gene12494-v1.0-hybrid</t>
  </si>
  <si>
    <t>gene12794-v1.0-hybrid</t>
  </si>
  <si>
    <t>gene13095-v1.0-hybrid</t>
  </si>
  <si>
    <t>gene13395-v1.0-hybrid</t>
  </si>
  <si>
    <t>gene13695-v1.0-hybrid</t>
  </si>
  <si>
    <t>gene14297-v1.0-hybrid</t>
  </si>
  <si>
    <t>gene14599-v1.0-hybrid</t>
  </si>
  <si>
    <t>gene15201-v1.0-hybrid</t>
  </si>
  <si>
    <t>gene16104-v1.0-hybrid</t>
  </si>
  <si>
    <t>gene16704-v1.0-hybrid</t>
  </si>
  <si>
    <t>gene17306-v1.0-hybrid</t>
  </si>
  <si>
    <t>gene17906-v1.0-hybrid</t>
  </si>
  <si>
    <t>gene18206-v1.0-hybrid</t>
  </si>
  <si>
    <t>gene18506-v1.0-hybrid</t>
  </si>
  <si>
    <t>gene18806-v1.0-hybrid</t>
  </si>
  <si>
    <t>gene19106-v1.0-hybrid</t>
  </si>
  <si>
    <t>gene19406-v1.0-hybrid</t>
  </si>
  <si>
    <t>gene19706-v1.0-hybrid</t>
  </si>
  <si>
    <t>gene20006-v1.0-hybrid</t>
  </si>
  <si>
    <t>gene20307-v1.0-hybrid</t>
  </si>
  <si>
    <t>gene20607-v1.0-hybrid</t>
  </si>
  <si>
    <t>gene20907-v1.0-hybrid</t>
  </si>
  <si>
    <t>gene21207-v1.0-hybrid</t>
  </si>
  <si>
    <t>gene21508-v1.0-hybrid</t>
  </si>
  <si>
    <t>gene22409-v1.0-hybrid</t>
  </si>
  <si>
    <t>gene22709-v1.0-hybrid</t>
  </si>
  <si>
    <t>gene23312-v1.0-hybrid</t>
  </si>
  <si>
    <t>gene23612-v1.0-hybrid</t>
  </si>
  <si>
    <t>gene23912-v1.0-hybrid</t>
  </si>
  <si>
    <t>gene24214-v1.0-hybrid</t>
  </si>
  <si>
    <t>gene24815-v1.0-hybrid</t>
  </si>
  <si>
    <t>gene25117-v1.0-hybrid</t>
  </si>
  <si>
    <t>gene25417-v1.0-hybrid</t>
  </si>
  <si>
    <t>gene25717-v1.0-hybrid</t>
  </si>
  <si>
    <t>gene26017-v1.0-hybrid</t>
  </si>
  <si>
    <t>gene26317-v1.0-hybrid</t>
  </si>
  <si>
    <t>gene26617-v1.0-hybrid</t>
  </si>
  <si>
    <t>gene27218-v1.0-hybrid</t>
  </si>
  <si>
    <t>gene27518-v1.0-hybrid</t>
  </si>
  <si>
    <t>gene27818-v1.0-hybrid</t>
  </si>
  <si>
    <t>gene28118-v1.0-hybrid</t>
  </si>
  <si>
    <t>gene28718-v1.0-hybrid</t>
  </si>
  <si>
    <t>gene29018-v1.0-hybrid</t>
  </si>
  <si>
    <t>gene30220-v1.0-hybrid</t>
  </si>
  <si>
    <t>gene30520-v1.0-hybrid</t>
  </si>
  <si>
    <t>gene31120-v1.0-hybrid</t>
  </si>
  <si>
    <t>gene31420-v1.0-hybrid</t>
  </si>
  <si>
    <t>gene32020-v1.0-hybrid</t>
  </si>
  <si>
    <t>gene32320-v1.0-hybrid</t>
  </si>
  <si>
    <t>gene33389-v1.0-hybrid</t>
  </si>
  <si>
    <t>gene33785-v1.0-hybrid</t>
  </si>
  <si>
    <t>gene34085-v1.0-hybrid</t>
  </si>
  <si>
    <t>gene34385-v1.0-hybrid</t>
  </si>
  <si>
    <t>gene34685-v1.0-hybrid</t>
  </si>
  <si>
    <t>gene34985-v1.0-hybrid</t>
  </si>
  <si>
    <t>gene00397-v1.0-hybrid</t>
  </si>
  <si>
    <t>gene00701-v1.0-hybrid</t>
  </si>
  <si>
    <t>gene01602-v1.0-hybrid</t>
  </si>
  <si>
    <t>gene01902-v1.0-hybrid</t>
  </si>
  <si>
    <t>gene02202-v1.0-hybrid</t>
  </si>
  <si>
    <t>gene02502-v1.0-hybrid</t>
  </si>
  <si>
    <t>gene03790-v1.0-hybrid</t>
  </si>
  <si>
    <t>gene04090-v1.0-hybrid</t>
  </si>
  <si>
    <t>gene04390-v1.0-hybrid</t>
  </si>
  <si>
    <t>gene04990-v1.0-hybrid</t>
  </si>
  <si>
    <t>gene05291-v1.0-hybrid</t>
  </si>
  <si>
    <t>gene05591-v1.0-hybrid</t>
  </si>
  <si>
    <t>gene05891-v1.0-hybrid</t>
  </si>
  <si>
    <t>gene06191-v1.0-hybrid</t>
  </si>
  <si>
    <t>gene06491-v1.0-hybrid</t>
  </si>
  <si>
    <t>gene06791-v1.0-hybrid</t>
  </si>
  <si>
    <t>gene07091-v1.0-hybrid</t>
  </si>
  <si>
    <t>gene07391-v1.0-hybrid</t>
  </si>
  <si>
    <t>gene07691-v1.0-hybrid</t>
  </si>
  <si>
    <t>gene07992-v1.0-hybrid</t>
  </si>
  <si>
    <t>gene08292-v1.0-hybrid</t>
  </si>
  <si>
    <t>gene08592-v1.0-hybrid</t>
  </si>
  <si>
    <t>gene08892-v1.0-hybrid</t>
  </si>
  <si>
    <t>gene09492-v1.0-hybrid</t>
  </si>
  <si>
    <t>gene09792-v1.0-hybrid</t>
  </si>
  <si>
    <t>gene10093-v1.0-hybrid</t>
  </si>
  <si>
    <t>gene10393-v1.0-hybrid</t>
  </si>
  <si>
    <t>gene10994-v1.0-hybrid</t>
  </si>
  <si>
    <t>gene11295-v1.0-hybrid</t>
  </si>
  <si>
    <t>gene11595-v1.0-hybrid</t>
  </si>
  <si>
    <t>gene11895-v1.0-hybrid</t>
  </si>
  <si>
    <t>gene12195-v1.0-hybrid</t>
  </si>
  <si>
    <t>gene12495-v1.0-hybrid</t>
  </si>
  <si>
    <t>gene12795-v1.0-hybrid</t>
  </si>
  <si>
    <t>gene13096-v1.0-hybrid</t>
  </si>
  <si>
    <t>gene14600-v1.0-hybrid</t>
  </si>
  <si>
    <t>gene14901-v1.0-hybrid</t>
  </si>
  <si>
    <t>gene15202-v1.0-hybrid</t>
  </si>
  <si>
    <t>gene15503-v1.0-hybrid</t>
  </si>
  <si>
    <t>gene16105-v1.0-hybrid</t>
  </si>
  <si>
    <t>gene16405-v1.0-hybrid</t>
  </si>
  <si>
    <t>gene16705-v1.0-hybrid</t>
  </si>
  <si>
    <t>gene17007-v1.0-hybrid</t>
  </si>
  <si>
    <t>gene17607-v1.0-hybrid</t>
  </si>
  <si>
    <t>gene17907-v1.0-hybrid</t>
  </si>
  <si>
    <t>gene18207-v1.0-hybrid</t>
  </si>
  <si>
    <t>gene18507-v1.0-hybrid</t>
  </si>
  <si>
    <t>gene18807-v1.0-hybrid</t>
  </si>
  <si>
    <t>gene19107-v1.0-hybrid</t>
  </si>
  <si>
    <t>gene19407-v1.0-hybrid</t>
  </si>
  <si>
    <t>gene19707-v1.0-hybrid</t>
  </si>
  <si>
    <t>gene20007-v1.0-hybrid</t>
  </si>
  <si>
    <t>gene20908-v1.0-hybrid</t>
  </si>
  <si>
    <t>gene21208-v1.0-hybrid</t>
  </si>
  <si>
    <t>gene21509-v1.0-hybrid</t>
  </si>
  <si>
    <t>gene21809-v1.0-hybrid</t>
  </si>
  <si>
    <t>gene22109-v1.0-hybrid</t>
  </si>
  <si>
    <t>gene22410-v1.0-hybrid</t>
  </si>
  <si>
    <t>gene22710-v1.0-hybrid</t>
  </si>
  <si>
    <t>gene23313-v1.0-hybrid</t>
  </si>
  <si>
    <t>gene23613-v1.0-hybrid</t>
  </si>
  <si>
    <t>gene23913-v1.0-hybrid</t>
  </si>
  <si>
    <t>gene24215-v1.0-hybrid</t>
  </si>
  <si>
    <t>gene24516-v1.0-hybrid</t>
  </si>
  <si>
    <t>gene24816-v1.0-hybrid</t>
  </si>
  <si>
    <t>gene25118-v1.0-hybrid</t>
  </si>
  <si>
    <t>gene25418-v1.0-hybrid</t>
  </si>
  <si>
    <t>gene25718-v1.0-hybrid</t>
  </si>
  <si>
    <t>gene26018-v1.0-hybrid</t>
  </si>
  <si>
    <t>gene26318-v1.0-hybrid</t>
  </si>
  <si>
    <t>gene26618-v1.0-hybrid</t>
  </si>
  <si>
    <t>gene27519-v1.0-hybrid</t>
  </si>
  <si>
    <t>gene27819-v1.0-hybrid</t>
  </si>
  <si>
    <t>gene28119-v1.0-hybrid</t>
  </si>
  <si>
    <t>gene28419-v1.0-hybrid</t>
  </si>
  <si>
    <t>gene28719-v1.0-hybrid</t>
  </si>
  <si>
    <t>gene29019-v1.0-hybrid</t>
  </si>
  <si>
    <t>gene29319-v1.0-hybrid</t>
  </si>
  <si>
    <t>gene29619-v1.0-hybrid</t>
  </si>
  <si>
    <t>gene29921-v1.0-hybrid</t>
  </si>
  <si>
    <t>gene30521-v1.0-hybrid</t>
  </si>
  <si>
    <t>gene31121-v1.0-hybrid</t>
  </si>
  <si>
    <t>gene31721-v1.0-hybrid</t>
  </si>
  <si>
    <t>gene32021-v1.0-hybrid</t>
  </si>
  <si>
    <t>gene32321-v1.0-hybrid</t>
  </si>
  <si>
    <t>gene32621-v1.0-hybrid</t>
  </si>
  <si>
    <t>gene33786-v1.0-hybrid</t>
  </si>
  <si>
    <t>gene34086-v1.0-hybrid</t>
  </si>
  <si>
    <t>gene34386-v1.0-hybrid</t>
  </si>
  <si>
    <t>gene34986-v1.0-hybrid</t>
  </si>
  <si>
    <t>gene00398-v1.0-hybrid</t>
  </si>
  <si>
    <t>gene01302-v1.0-hybrid</t>
  </si>
  <si>
    <t>gene01603-v1.0-hybrid</t>
  </si>
  <si>
    <t>gene01903-v1.0-hybrid</t>
  </si>
  <si>
    <t>gene02203-v1.0-hybrid</t>
  </si>
  <si>
    <t>gene02503-v1.0-hybrid</t>
  </si>
  <si>
    <t>gene03191-v1.0-hybrid</t>
  </si>
  <si>
    <t>gene03491-v1.0-hybrid</t>
  </si>
  <si>
    <t>gene04091-v1.0-hybrid</t>
  </si>
  <si>
    <t>gene04391-v1.0-hybrid</t>
  </si>
  <si>
    <t>gene04691-v1.0-hybrid</t>
  </si>
  <si>
    <t>gene05292-v1.0-hybrid</t>
  </si>
  <si>
    <t>gene05592-v1.0-hybrid</t>
  </si>
  <si>
    <t>gene05892-v1.0-hybrid</t>
  </si>
  <si>
    <t>gene06192-v1.0-hybrid</t>
  </si>
  <si>
    <t>gene07092-v1.0-hybrid</t>
  </si>
  <si>
    <t>gene07392-v1.0-hybrid</t>
  </si>
  <si>
    <t>gene07692-v1.0-hybrid</t>
  </si>
  <si>
    <t>gene07993-v1.0-hybrid</t>
  </si>
  <si>
    <t>gene08293-v1.0-hybrid</t>
  </si>
  <si>
    <t>gene08593-v1.0-hybrid</t>
  </si>
  <si>
    <t>gene08893-v1.0-hybrid</t>
  </si>
  <si>
    <t>gene09493-v1.0-hybrid</t>
  </si>
  <si>
    <t>gene10094-v1.0-hybrid</t>
  </si>
  <si>
    <t>gene10695-v1.0-hybrid</t>
  </si>
  <si>
    <t>gene10995-v1.0-hybrid</t>
  </si>
  <si>
    <t>gene11296-v1.0-hybrid</t>
  </si>
  <si>
    <t>gene12196-v1.0-hybrid</t>
  </si>
  <si>
    <t>gene13397-v1.0-hybrid</t>
  </si>
  <si>
    <t>gene13998-v1.0-hybrid</t>
  </si>
  <si>
    <t>gene14601-v1.0-hybrid</t>
  </si>
  <si>
    <t>gene14902-v1.0-hybrid</t>
  </si>
  <si>
    <t>gene15203-v1.0-hybrid</t>
  </si>
  <si>
    <t>gene16406-v1.0-hybrid</t>
  </si>
  <si>
    <t>gene16706-v1.0-hybrid</t>
  </si>
  <si>
    <t>gene17008-v1.0-hybrid</t>
  </si>
  <si>
    <t>gene17308-v1.0-hybrid</t>
  </si>
  <si>
    <t>gene17608-v1.0-hybrid</t>
  </si>
  <si>
    <t>gene17908-v1.0-hybrid</t>
  </si>
  <si>
    <t>gene18208-v1.0-hybrid</t>
  </si>
  <si>
    <t>gene18508-v1.0-hybrid</t>
  </si>
  <si>
    <t>gene18808-v1.0-hybrid</t>
  </si>
  <si>
    <t>gene19108-v1.0-hybrid</t>
  </si>
  <si>
    <t>gene19408-v1.0-hybrid</t>
  </si>
  <si>
    <t>gene19708-v1.0-hybrid</t>
  </si>
  <si>
    <t>gene20008-v1.0-hybrid</t>
  </si>
  <si>
    <t>gene20309-v1.0-hybrid</t>
  </si>
  <si>
    <t>gene20909-v1.0-hybrid</t>
  </si>
  <si>
    <t>gene21510-v1.0-hybrid</t>
  </si>
  <si>
    <t>gene22110-v1.0-hybrid</t>
  </si>
  <si>
    <t>gene22411-v1.0-hybrid</t>
  </si>
  <si>
    <t>gene23012-v1.0-hybrid</t>
  </si>
  <si>
    <t>gene23314-v1.0-hybrid</t>
  </si>
  <si>
    <t>gene23614-v1.0-hybrid</t>
  </si>
  <si>
    <t>gene24216-v1.0-hybrid</t>
  </si>
  <si>
    <t>gene25119-v1.0-hybrid</t>
  </si>
  <si>
    <t>gene25419-v1.0-hybrid</t>
  </si>
  <si>
    <t>gene25719-v1.0-hybrid</t>
  </si>
  <si>
    <t>gene26019-v1.0-hybrid</t>
  </si>
  <si>
    <t>gene26319-v1.0-hybrid</t>
  </si>
  <si>
    <t>gene26920-v1.0-hybrid</t>
  </si>
  <si>
    <t>gene27520-v1.0-hybrid</t>
  </si>
  <si>
    <t>gene27820-v1.0-hybrid</t>
  </si>
  <si>
    <t>gene28120-v1.0-hybrid</t>
  </si>
  <si>
    <t>gene28720-v1.0-hybrid</t>
  </si>
  <si>
    <t>gene29020-v1.0-hybrid</t>
  </si>
  <si>
    <t>gene29320-v1.0-hybrid</t>
  </si>
  <si>
    <t>gene29620-v1.0-hybrid</t>
  </si>
  <si>
    <t>gene30222-v1.0-hybrid</t>
  </si>
  <si>
    <t>gene30522-v1.0-hybrid</t>
  </si>
  <si>
    <t>gene30822-v1.0-hybrid</t>
  </si>
  <si>
    <t>gene31122-v1.0-hybrid</t>
  </si>
  <si>
    <t>gene31422-v1.0-hybrid</t>
  </si>
  <si>
    <t>gene31722-v1.0-hybrid</t>
  </si>
  <si>
    <t>gene32022-v1.0-hybrid</t>
  </si>
  <si>
    <t>gene32322-v1.0-hybrid</t>
  </si>
  <si>
    <t>gene32622-v1.0-hybrid</t>
  </si>
  <si>
    <t>gene32985-v1.0-hybrid</t>
  </si>
  <si>
    <t>gene33392-v1.0-hybrid</t>
  </si>
  <si>
    <t>gene33787-v1.0-hybrid</t>
  </si>
  <si>
    <t>gene34387-v1.0-hybrid</t>
  </si>
  <si>
    <t>gene34687-v1.0-hybrid</t>
  </si>
  <si>
    <t>gene34987-v1.0-hybrid</t>
  </si>
  <si>
    <t>gene00099-v1.0-hybrid</t>
  </si>
  <si>
    <t>gene00399-v1.0-hybrid</t>
  </si>
  <si>
    <t>gene00703-v1.0-hybrid</t>
  </si>
  <si>
    <t>gene01303-v1.0-hybrid</t>
  </si>
  <si>
    <t>gene01604-v1.0-hybrid</t>
  </si>
  <si>
    <t>gene01904-v1.0-hybrid</t>
  </si>
  <si>
    <t>gene02204-v1.0-hybrid</t>
  </si>
  <si>
    <t>gene02504-v1.0-hybrid</t>
  </si>
  <si>
    <t>gene03192-v1.0-hybrid</t>
  </si>
  <si>
    <t>gene03492-v1.0-hybrid</t>
  </si>
  <si>
    <t>gene03792-v1.0-hybrid</t>
  </si>
  <si>
    <t>gene04092-v1.0-hybrid</t>
  </si>
  <si>
    <t>gene04392-v1.0-hybrid</t>
  </si>
  <si>
    <t>gene04692-v1.0-hybrid</t>
  </si>
  <si>
    <t>gene04992-v1.0-hybrid</t>
  </si>
  <si>
    <t>gene05293-v1.0-hybrid</t>
  </si>
  <si>
    <t>gene05893-v1.0-hybrid</t>
  </si>
  <si>
    <t>gene06193-v1.0-hybrid</t>
  </si>
  <si>
    <t>gene06493-v1.0-hybrid</t>
  </si>
  <si>
    <t>gene06793-v1.0-hybrid</t>
  </si>
  <si>
    <t>gene07093-v1.0-hybrid</t>
  </si>
  <si>
    <t>gene07393-v1.0-hybrid</t>
  </si>
  <si>
    <t>gene07693-v1.0-hybrid</t>
  </si>
  <si>
    <t>gene08294-v1.0-hybrid</t>
  </si>
  <si>
    <t>gene08594-v1.0-hybrid</t>
  </si>
  <si>
    <t>gene08894-v1.0-hybrid</t>
  </si>
  <si>
    <t>gene09494-v1.0-hybrid</t>
  </si>
  <si>
    <t>gene10095-v1.0-hybrid</t>
  </si>
  <si>
    <t>gene10696-v1.0-hybrid</t>
  </si>
  <si>
    <t>gene10996-v1.0-hybrid</t>
  </si>
  <si>
    <t>gene11297-v1.0-hybrid</t>
  </si>
  <si>
    <t>gene11597-v1.0-hybrid</t>
  </si>
  <si>
    <t>gene11897-v1.0-hybrid</t>
  </si>
  <si>
    <t>gene12197-v1.0-hybrid</t>
  </si>
  <si>
    <t>gene12497-v1.0-hybrid</t>
  </si>
  <si>
    <t>gene12797-v1.0-hybrid</t>
  </si>
  <si>
    <t>gene13098-v1.0-hybrid</t>
  </si>
  <si>
    <t>gene13398-v1.0-hybrid</t>
  </si>
  <si>
    <t>gene13698-v1.0-hybrid</t>
  </si>
  <si>
    <t>gene13999-v1.0-hybrid</t>
  </si>
  <si>
    <t>gene14602-v1.0-hybrid</t>
  </si>
  <si>
    <t>gene15204-v1.0-hybrid</t>
  </si>
  <si>
    <t>gene15505-v1.0-hybrid</t>
  </si>
  <si>
    <t>gene15806-v1.0-hybrid</t>
  </si>
  <si>
    <t>gene16407-v1.0-hybrid</t>
  </si>
  <si>
    <t>gene16707-v1.0-hybrid</t>
  </si>
  <si>
    <t>gene17009-v1.0-hybrid</t>
  </si>
  <si>
    <t>gene17309-v1.0-hybrid</t>
  </si>
  <si>
    <t>gene17609-v1.0-hybrid</t>
  </si>
  <si>
    <t>gene17909-v1.0-hybrid</t>
  </si>
  <si>
    <t>gene18209-v1.0-hybrid</t>
  </si>
  <si>
    <t>gene18509-v1.0-hybrid</t>
  </si>
  <si>
    <t>gene18809-v1.0-hybrid</t>
  </si>
  <si>
    <t>gene19409-v1.0-hybrid</t>
  </si>
  <si>
    <t>gene19709-v1.0-hybrid</t>
  </si>
  <si>
    <t>gene20009-v1.0-hybrid</t>
  </si>
  <si>
    <t>gene20310-v1.0-hybrid</t>
  </si>
  <si>
    <t>gene20610-v1.0-hybrid</t>
  </si>
  <si>
    <t>gene20910-v1.0-hybrid</t>
  </si>
  <si>
    <t>gene21210-v1.0-hybrid</t>
  </si>
  <si>
    <t>gene21511-v1.0-hybrid</t>
  </si>
  <si>
    <t>gene21811-v1.0-hybrid</t>
  </si>
  <si>
    <t>gene22412-v1.0-hybrid</t>
  </si>
  <si>
    <t>gene23013-v1.0-hybrid</t>
  </si>
  <si>
    <t>gene23915-v1.0-hybrid</t>
  </si>
  <si>
    <t>gene24217-v1.0-hybrid</t>
  </si>
  <si>
    <t>gene24518-v1.0-hybrid</t>
  </si>
  <si>
    <t>gene24818-v1.0-hybrid</t>
  </si>
  <si>
    <t>gene25120-v1.0-hybrid</t>
  </si>
  <si>
    <t>gene25420-v1.0-hybrid</t>
  </si>
  <si>
    <t>gene25720-v1.0-hybrid</t>
  </si>
  <si>
    <t>gene26020-v1.0-hybrid</t>
  </si>
  <si>
    <t>gene26320-v1.0-hybrid</t>
  </si>
  <si>
    <t>gene26620-v1.0-hybrid</t>
  </si>
  <si>
    <t>gene26921-v1.0-hybrid</t>
  </si>
  <si>
    <t>gene27221-v1.0-hybrid</t>
  </si>
  <si>
    <t>gene28121-v1.0-hybrid</t>
  </si>
  <si>
    <t>gene28421-v1.0-hybrid</t>
  </si>
  <si>
    <t>gene28721-v1.0-hybrid</t>
  </si>
  <si>
    <t>gene29021-v1.0-hybrid</t>
  </si>
  <si>
    <t>gene29923-v1.0-hybrid</t>
  </si>
  <si>
    <t>gene30823-v1.0-hybrid</t>
  </si>
  <si>
    <t>gene31123-v1.0-hybrid</t>
  </si>
  <si>
    <t>gene31723-v1.0-hybrid</t>
  </si>
  <si>
    <t>gene32023-v1.0-hybrid</t>
  </si>
  <si>
    <t>gene32323-v1.0-hybrid</t>
  </si>
  <si>
    <t>gene32623-v1.0-hybrid</t>
  </si>
  <si>
    <t>gene33788-v1.0-hybrid</t>
  </si>
  <si>
    <t>gene34088-v1.0-hybrid</t>
  </si>
  <si>
    <t>gene34388-v1.0-hybrid</t>
  </si>
  <si>
    <t>gene34688-v1.0-hybrid</t>
  </si>
  <si>
    <t>gene00400-v1.0-hybrid</t>
  </si>
  <si>
    <t>gene01004-v1.0-hybrid</t>
  </si>
  <si>
    <t>gene01304-v1.0-hybrid</t>
  </si>
  <si>
    <t>gene01605-v1.0-hybrid</t>
  </si>
  <si>
    <t>gene01905-v1.0-hybrid</t>
  </si>
  <si>
    <t>gene03193-v1.0-hybrid</t>
  </si>
  <si>
    <t>gene03793-v1.0-hybrid</t>
  </si>
  <si>
    <t>gene04093-v1.0-hybrid</t>
  </si>
  <si>
    <t>gene04393-v1.0-hybrid</t>
  </si>
  <si>
    <t>gene04693-v1.0-hybrid</t>
  </si>
  <si>
    <t>gene05594-v1.0-hybrid</t>
  </si>
  <si>
    <t>gene05894-v1.0-hybrid</t>
  </si>
  <si>
    <t>gene06194-v1.0-hybrid</t>
  </si>
  <si>
    <t>gene06494-v1.0-hybrid</t>
  </si>
  <si>
    <t>gene07094-v1.0-hybrid</t>
  </si>
  <si>
    <t>gene07394-v1.0-hybrid</t>
  </si>
  <si>
    <t>gene07694-v1.0-hybrid</t>
  </si>
  <si>
    <t>gene07995-v1.0-hybrid</t>
  </si>
  <si>
    <t>gene08295-v1.0-hybrid</t>
  </si>
  <si>
    <t>gene08595-v1.0-hybrid</t>
  </si>
  <si>
    <t>gene09195-v1.0-hybrid</t>
  </si>
  <si>
    <t>gene09495-v1.0-hybrid</t>
  </si>
  <si>
    <t>gene10396-v1.0-hybrid</t>
  </si>
  <si>
    <t>gene10997-v1.0-hybrid</t>
  </si>
  <si>
    <t>gene11298-v1.0-hybrid</t>
  </si>
  <si>
    <t>gene11598-v1.0-hybrid</t>
  </si>
  <si>
    <t>gene12198-v1.0-hybrid</t>
  </si>
  <si>
    <t>gene12498-v1.0-hybrid</t>
  </si>
  <si>
    <t>gene12798-v1.0-hybrid</t>
  </si>
  <si>
    <t>gene13099-v1.0-hybrid</t>
  </si>
  <si>
    <t>gene13399-v1.0-hybrid</t>
  </si>
  <si>
    <t>gene13699-v1.0-hybrid</t>
  </si>
  <si>
    <t>gene14000-v1.0-hybrid</t>
  </si>
  <si>
    <t>gene14301-v1.0-hybrid</t>
  </si>
  <si>
    <t>gene14603-v1.0-hybrid</t>
  </si>
  <si>
    <t>gene14904-v1.0-hybrid</t>
  </si>
  <si>
    <t>gene15807-v1.0-hybrid</t>
  </si>
  <si>
    <t>gene16408-v1.0-hybrid</t>
  </si>
  <si>
    <t>gene17610-v1.0-hybrid</t>
  </si>
  <si>
    <t>gene17910-v1.0-hybrid</t>
  </si>
  <si>
    <t>gene18510-v1.0-hybrid</t>
  </si>
  <si>
    <t>gene18810-v1.0-hybrid</t>
  </si>
  <si>
    <t>gene19110-v1.0-hybrid</t>
  </si>
  <si>
    <t>gene19710-v1.0-hybrid</t>
  </si>
  <si>
    <t>gene20311-v1.0-hybrid</t>
  </si>
  <si>
    <t>gene20611-v1.0-hybrid</t>
  </si>
  <si>
    <t>gene20911-v1.0-hybrid</t>
  </si>
  <si>
    <t>gene21211-v1.0-hybrid</t>
  </si>
  <si>
    <t>gene21812-v1.0-hybrid</t>
  </si>
  <si>
    <t>gene22112-v1.0-hybrid</t>
  </si>
  <si>
    <t>gene22413-v1.0-hybrid</t>
  </si>
  <si>
    <t>gene22713-v1.0-hybrid</t>
  </si>
  <si>
    <t>gene23014-v1.0-hybrid</t>
  </si>
  <si>
    <t>gene23316-v1.0-hybrid</t>
  </si>
  <si>
    <t>gene23616-v1.0-hybrid</t>
  </si>
  <si>
    <t>gene23916-v1.0-hybrid</t>
  </si>
  <si>
    <t>gene24218-v1.0-hybrid</t>
  </si>
  <si>
    <t>gene24519-v1.0-hybrid</t>
  </si>
  <si>
    <t>gene24819-v1.0-hybrid</t>
  </si>
  <si>
    <t>gene25121-v1.0-hybrid</t>
  </si>
  <si>
    <t>gene25421-v1.0-hybrid</t>
  </si>
  <si>
    <t>gene25721-v1.0-hybrid</t>
  </si>
  <si>
    <t>gene26021-v1.0-hybrid</t>
  </si>
  <si>
    <t>gene26321-v1.0-hybrid</t>
  </si>
  <si>
    <t>gene26621-v1.0-hybrid</t>
  </si>
  <si>
    <t>gene26922-v1.0-hybrid</t>
  </si>
  <si>
    <t>gene27222-v1.0-hybrid</t>
  </si>
  <si>
    <t>gene27522-v1.0-hybrid</t>
  </si>
  <si>
    <t>gene28122-v1.0-hybrid</t>
  </si>
  <si>
    <t>gene28422-v1.0-hybrid</t>
  </si>
  <si>
    <t>gene28722-v1.0-hybrid</t>
  </si>
  <si>
    <t>gene29022-v1.0-hybrid</t>
  </si>
  <si>
    <t>gene29322-v1.0-hybrid</t>
  </si>
  <si>
    <t>gene29622-v1.0-hybrid</t>
  </si>
  <si>
    <t>gene29924-v1.0-hybrid</t>
  </si>
  <si>
    <t>gene30224-v1.0-hybrid</t>
  </si>
  <si>
    <t>gene30524-v1.0-hybrid</t>
  </si>
  <si>
    <t>gene30824-v1.0-hybrid</t>
  </si>
  <si>
    <t>gene31124-v1.0-hybrid</t>
  </si>
  <si>
    <t>gene31424-v1.0-hybrid</t>
  </si>
  <si>
    <t>gene31724-v1.0-hybrid</t>
  </si>
  <si>
    <t>gene32024-v1.0-hybrid</t>
  </si>
  <si>
    <t>gene32324-v1.0-hybrid</t>
  </si>
  <si>
    <t>gene32624-v1.0-hybrid</t>
  </si>
  <si>
    <t>gene33789-v1.0-hybrid</t>
  </si>
  <si>
    <t>gene34389-v1.0-hybrid</t>
  </si>
  <si>
    <t>gene34689-v1.0-hybrid</t>
  </si>
  <si>
    <t>gene00101-v1.0-hybrid</t>
  </si>
  <si>
    <t>gene00401-v1.0-hybrid</t>
  </si>
  <si>
    <t>gene01005-v1.0-hybrid</t>
  </si>
  <si>
    <t>gene01906-v1.0-hybrid</t>
  </si>
  <si>
    <t>gene02206-v1.0-hybrid</t>
  </si>
  <si>
    <t>gene02506-v1.0-hybrid</t>
  </si>
  <si>
    <t>gene03194-v1.0-hybrid</t>
  </si>
  <si>
    <t>gene03494-v1.0-hybrid</t>
  </si>
  <si>
    <t>gene03794-v1.0-hybrid</t>
  </si>
  <si>
    <t>gene04094-v1.0-hybrid</t>
  </si>
  <si>
    <t>gene04394-v1.0-hybrid</t>
  </si>
  <si>
    <t>gene04994-v1.0-hybrid</t>
  </si>
  <si>
    <t>gene05295-v1.0-hybrid</t>
  </si>
  <si>
    <t>gene05595-v1.0-hybrid</t>
  </si>
  <si>
    <t>gene05895-v1.0-hybrid</t>
  </si>
  <si>
    <t>gene06195-v1.0-hybrid</t>
  </si>
  <si>
    <t>gene06495-v1.0-hybrid</t>
  </si>
  <si>
    <t>gene07095-v1.0-hybrid</t>
  </si>
  <si>
    <t>gene07395-v1.0-hybrid</t>
  </si>
  <si>
    <t>gene07695-v1.0-hybrid</t>
  </si>
  <si>
    <t>gene08596-v1.0-hybrid</t>
  </si>
  <si>
    <t>gene08896-v1.0-hybrid</t>
  </si>
  <si>
    <t>gene09196-v1.0-hybrid</t>
  </si>
  <si>
    <t>gene09496-v1.0-hybrid</t>
  </si>
  <si>
    <t>gene10097-v1.0-hybrid</t>
  </si>
  <si>
    <t>gene10397-v1.0-hybrid</t>
  </si>
  <si>
    <t>gene11299-v1.0-hybrid</t>
  </si>
  <si>
    <t>gene11599-v1.0-hybrid</t>
  </si>
  <si>
    <t>gene11899-v1.0-hybrid</t>
  </si>
  <si>
    <t>gene12199-v1.0-hybrid</t>
  </si>
  <si>
    <t>gene12499-v1.0-hybrid</t>
  </si>
  <si>
    <t>gene13100-v1.0-hybrid</t>
  </si>
  <si>
    <t>gene13400-v1.0-hybrid</t>
  </si>
  <si>
    <t>gene14302-v1.0-hybrid</t>
  </si>
  <si>
    <t>gene14604-v1.0-hybrid</t>
  </si>
  <si>
    <t>gene14905-v1.0-hybrid</t>
  </si>
  <si>
    <t>gene15206-v1.0-hybrid</t>
  </si>
  <si>
    <t>gene15507-v1.0-hybrid</t>
  </si>
  <si>
    <t>gene16109-v1.0-hybrid</t>
  </si>
  <si>
    <t>gene17011-v1.0-hybrid</t>
  </si>
  <si>
    <t>gene17311-v1.0-hybrid</t>
  </si>
  <si>
    <t>gene17611-v1.0-hybrid</t>
  </si>
  <si>
    <t>gene17911-v1.0-hybrid</t>
  </si>
  <si>
    <t>gene18511-v1.0-hybrid</t>
  </si>
  <si>
    <t>gene18811-v1.0-hybrid</t>
  </si>
  <si>
    <t>gene19111-v1.0-hybrid</t>
  </si>
  <si>
    <t>gene19411-v1.0-hybrid</t>
  </si>
  <si>
    <t>gene19711-v1.0-hybrid</t>
  </si>
  <si>
    <t>gene20011-v1.0-hybrid</t>
  </si>
  <si>
    <t>gene20312-v1.0-hybrid</t>
  </si>
  <si>
    <t>gene20612-v1.0-hybrid</t>
  </si>
  <si>
    <t>gene20912-v1.0-hybrid</t>
  </si>
  <si>
    <t>gene21212-v1.0-hybrid</t>
  </si>
  <si>
    <t>gene21513-v1.0-hybrid</t>
  </si>
  <si>
    <t>gene21813-v1.0-hybrid</t>
  </si>
  <si>
    <t>gene22414-v1.0-hybrid</t>
  </si>
  <si>
    <t>gene22714-v1.0-hybrid</t>
  </si>
  <si>
    <t>gene23015-v1.0-hybrid</t>
  </si>
  <si>
    <t>gene23317-v1.0-hybrid</t>
  </si>
  <si>
    <t>gene23617-v1.0-hybrid</t>
  </si>
  <si>
    <t>gene23917-v1.0-hybrid</t>
  </si>
  <si>
    <t>gene24219-v1.0-hybrid</t>
  </si>
  <si>
    <t>gene25122-v1.0-hybrid</t>
  </si>
  <si>
    <t>gene25422-v1.0-hybrid</t>
  </si>
  <si>
    <t>gene25722-v1.0-hybrid</t>
  </si>
  <si>
    <t>gene26022-v1.0-hybrid</t>
  </si>
  <si>
    <t>gene26322-v1.0-hybrid</t>
  </si>
  <si>
    <t>gene26622-v1.0-hybrid</t>
  </si>
  <si>
    <t>gene26923-v1.0-hybrid</t>
  </si>
  <si>
    <t>gene27223-v1.0-hybrid</t>
  </si>
  <si>
    <t>gene27523-v1.0-hybrid</t>
  </si>
  <si>
    <t>gene27823-v1.0-hybrid</t>
  </si>
  <si>
    <t>gene28723-v1.0-hybrid</t>
  </si>
  <si>
    <t>gene29023-v1.0-hybrid</t>
  </si>
  <si>
    <t>gene29323-v1.0-hybrid</t>
  </si>
  <si>
    <t>gene29623-v1.0-hybrid</t>
  </si>
  <si>
    <t>gene30225-v1.0-hybrid</t>
  </si>
  <si>
    <t>gene30525-v1.0-hybrid</t>
  </si>
  <si>
    <t>gene30825-v1.0-hybrid</t>
  </si>
  <si>
    <t>gene31125-v1.0-hybrid</t>
  </si>
  <si>
    <t>gene31425-v1.0-hybrid</t>
  </si>
  <si>
    <t>gene31725-v1.0-hybrid</t>
  </si>
  <si>
    <t>gene32025-v1.0-hybrid</t>
  </si>
  <si>
    <t>gene32325-v1.0-hybrid</t>
  </si>
  <si>
    <t>gene32625-v1.0-hybrid</t>
  </si>
  <si>
    <t>gene32988-v1.0-hybrid</t>
  </si>
  <si>
    <t>gene33790-v1.0-hybrid</t>
  </si>
  <si>
    <t>gene34090-v1.0-hybrid</t>
  </si>
  <si>
    <t>gene34390-v1.0-hybrid</t>
  </si>
  <si>
    <t>gene34690-v1.0-hybrid</t>
  </si>
  <si>
    <t>gene00402-v1.0-hybrid</t>
  </si>
  <si>
    <t>gene01306-v1.0-hybrid</t>
  </si>
  <si>
    <t>gene01607-v1.0-hybrid</t>
  </si>
  <si>
    <t>gene01907-v1.0-hybrid</t>
  </si>
  <si>
    <t>gene02207-v1.0-hybrid</t>
  </si>
  <si>
    <t>gene02507-v1.0-hybrid</t>
  </si>
  <si>
    <t>gene03195-v1.0-hybrid</t>
  </si>
  <si>
    <t>gene03495-v1.0-hybrid</t>
  </si>
  <si>
    <t>gene03795-v1.0-hybrid</t>
  </si>
  <si>
    <t>gene04095-v1.0-hybrid</t>
  </si>
  <si>
    <t>gene04695-v1.0-hybrid</t>
  </si>
  <si>
    <t>gene04995-v1.0-hybrid</t>
  </si>
  <si>
    <t>gene05296-v1.0-hybrid</t>
  </si>
  <si>
    <t>gene05596-v1.0-hybrid</t>
  </si>
  <si>
    <t>gene06196-v1.0-hybrid</t>
  </si>
  <si>
    <t>gene06496-v1.0-hybrid</t>
  </si>
  <si>
    <t>gene06796-v1.0-hybrid</t>
  </si>
  <si>
    <t>gene07096-v1.0-hybrid</t>
  </si>
  <si>
    <t>gene07396-v1.0-hybrid</t>
  </si>
  <si>
    <t>gene07696-v1.0-hybrid</t>
  </si>
  <si>
    <t>gene07997-v1.0-hybrid</t>
  </si>
  <si>
    <t>gene08297-v1.0-hybrid</t>
  </si>
  <si>
    <t>gene08597-v1.0-hybrid</t>
  </si>
  <si>
    <t>gene09197-v1.0-hybrid</t>
  </si>
  <si>
    <t>gene09497-v1.0-hybrid</t>
  </si>
  <si>
    <t>gene10098-v1.0-hybrid</t>
  </si>
  <si>
    <t>gene10398-v1.0-hybrid</t>
  </si>
  <si>
    <t>gene10699-v1.0-hybrid</t>
  </si>
  <si>
    <t>gene10999-v1.0-hybrid</t>
  </si>
  <si>
    <t>gene11300-v1.0-hybrid</t>
  </si>
  <si>
    <t>gene11600-v1.0-hybrid</t>
  </si>
  <si>
    <t>gene11900-v1.0-hybrid</t>
  </si>
  <si>
    <t>gene12200-v1.0-hybrid</t>
  </si>
  <si>
    <t>gene12500-v1.0-hybrid</t>
  </si>
  <si>
    <t>gene12800-v1.0-hybrid</t>
  </si>
  <si>
    <t>gene13101-v1.0-hybrid</t>
  </si>
  <si>
    <t>gene13401-v1.0-hybrid</t>
  </si>
  <si>
    <t>gene14002-v1.0-hybrid</t>
  </si>
  <si>
    <t>gene14605-v1.0-hybrid</t>
  </si>
  <si>
    <t>gene15207-v1.0-hybrid</t>
  </si>
  <si>
    <t>gene15508-v1.0-hybrid</t>
  </si>
  <si>
    <t>gene16110-v1.0-hybrid</t>
  </si>
  <si>
    <t>gene16410-v1.0-hybrid</t>
  </si>
  <si>
    <t>gene16710-v1.0-hybrid</t>
  </si>
  <si>
    <t>gene17312-v1.0-hybrid</t>
  </si>
  <si>
    <t>gene17912-v1.0-hybrid</t>
  </si>
  <si>
    <t>gene18212-v1.0-hybrid</t>
  </si>
  <si>
    <t>gene18512-v1.0-hybrid</t>
  </si>
  <si>
    <t>gene18812-v1.0-hybrid</t>
  </si>
  <si>
    <t>gene19112-v1.0-hybrid</t>
  </si>
  <si>
    <t>gene19412-v1.0-hybrid</t>
  </si>
  <si>
    <t>gene19712-v1.0-hybrid</t>
  </si>
  <si>
    <t>gene20012-v1.0-hybrid</t>
  </si>
  <si>
    <t>gene20613-v1.0-hybrid</t>
  </si>
  <si>
    <t>gene20913-v1.0-hybrid</t>
  </si>
  <si>
    <t>gene21213-v1.0-hybrid</t>
  </si>
  <si>
    <t>gene21814-v1.0-hybrid</t>
  </si>
  <si>
    <t>gene22114-v1.0-hybrid</t>
  </si>
  <si>
    <t>gene22415-v1.0-hybrid</t>
  </si>
  <si>
    <t>gene22715-v1.0-hybrid</t>
  </si>
  <si>
    <t>gene23016-v1.0-hybrid</t>
  </si>
  <si>
    <t>gene23318-v1.0-hybrid</t>
  </si>
  <si>
    <t>gene23618-v1.0-hybrid</t>
  </si>
  <si>
    <t>gene23918-v1.0-hybrid</t>
  </si>
  <si>
    <t>gene24220-v1.0-hybrid</t>
  </si>
  <si>
    <t>gene24821-v1.0-hybrid</t>
  </si>
  <si>
    <t>gene25123-v1.0-hybrid</t>
  </si>
  <si>
    <t>gene25423-v1.0-hybrid</t>
  </si>
  <si>
    <t>gene25723-v1.0-hybrid</t>
  </si>
  <si>
    <t>gene26023-v1.0-hybrid</t>
  </si>
  <si>
    <t>gene26623-v1.0-hybrid</t>
  </si>
  <si>
    <t>gene26924-v1.0-hybrid</t>
  </si>
  <si>
    <t>gene27224-v1.0-hybrid</t>
  </si>
  <si>
    <t>gene27824-v1.0-hybrid</t>
  </si>
  <si>
    <t>gene28124-v1.0-hybrid</t>
  </si>
  <si>
    <t>gene28424-v1.0-hybrid</t>
  </si>
  <si>
    <t>gene28724-v1.0-hybrid</t>
  </si>
  <si>
    <t>gene29024-v1.0-hybrid</t>
  </si>
  <si>
    <t>gene29324-v1.0-hybrid</t>
  </si>
  <si>
    <t>gene29624-v1.0-hybrid</t>
  </si>
  <si>
    <t>gene29926-v1.0-hybrid</t>
  </si>
  <si>
    <t>gene30226-v1.0-hybrid</t>
  </si>
  <si>
    <t>gene30526-v1.0-hybrid</t>
  </si>
  <si>
    <t>gene31126-v1.0-hybrid</t>
  </si>
  <si>
    <t>gene31426-v1.0-hybrid</t>
  </si>
  <si>
    <t>gene31726-v1.0-hybrid</t>
  </si>
  <si>
    <t>gene32026-v1.0-hybrid</t>
  </si>
  <si>
    <t>gene32326-v1.0-hybrid</t>
  </si>
  <si>
    <t>gene33791-v1.0-hybrid</t>
  </si>
  <si>
    <t>gene34391-v1.0-hybrid</t>
  </si>
  <si>
    <t>gene34691-v1.0-hybrid</t>
  </si>
  <si>
    <t>gene00103-v1.0-hybrid</t>
  </si>
  <si>
    <t>gene00707-v1.0-hybrid</t>
  </si>
  <si>
    <t>gene01307-v1.0-hybrid</t>
  </si>
  <si>
    <t>gene01608-v1.0-hybrid</t>
  </si>
  <si>
    <t>gene01908-v1.0-hybrid</t>
  </si>
  <si>
    <t>gene02208-v1.0-hybrid</t>
  </si>
  <si>
    <t>gene02508-v1.0-hybrid</t>
  </si>
  <si>
    <t>gene03196-v1.0-hybrid</t>
  </si>
  <si>
    <t>gene03496-v1.0-hybrid</t>
  </si>
  <si>
    <t>gene03796-v1.0-hybrid</t>
  </si>
  <si>
    <t>gene04096-v1.0-hybrid</t>
  </si>
  <si>
    <t>gene04396-v1.0-hybrid</t>
  </si>
  <si>
    <t>gene04996-v1.0-hybrid</t>
  </si>
  <si>
    <t>gene05597-v1.0-hybrid</t>
  </si>
  <si>
    <t>gene06197-v1.0-hybrid</t>
  </si>
  <si>
    <t>gene06497-v1.0-hybrid</t>
  </si>
  <si>
    <t>gene07097-v1.0-hybrid</t>
  </si>
  <si>
    <t>gene07697-v1.0-hybrid</t>
  </si>
  <si>
    <t>gene07998-v1.0-hybrid</t>
  </si>
  <si>
    <t>gene08598-v1.0-hybrid</t>
  </si>
  <si>
    <t>gene09198-v1.0-hybrid</t>
  </si>
  <si>
    <t>gene09498-v1.0-hybrid</t>
  </si>
  <si>
    <t>gene09798-v1.0-hybrid</t>
  </si>
  <si>
    <t>gene10399-v1.0-hybrid</t>
  </si>
  <si>
    <t>gene11000-v1.0-hybrid</t>
  </si>
  <si>
    <t>gene11301-v1.0-hybrid</t>
  </si>
  <si>
    <t>gene11601-v1.0-hybrid</t>
  </si>
  <si>
    <t>gene11901-v1.0-hybrid</t>
  </si>
  <si>
    <t>gene12201-v1.0-hybrid</t>
  </si>
  <si>
    <t>gene12501-v1.0-hybrid</t>
  </si>
  <si>
    <t>gene13402-v1.0-hybrid</t>
  </si>
  <si>
    <t>gene14003-v1.0-hybrid</t>
  </si>
  <si>
    <t>gene14606-v1.0-hybrid</t>
  </si>
  <si>
    <t>gene14907-v1.0-hybrid</t>
  </si>
  <si>
    <t>gene15208-v1.0-hybrid</t>
  </si>
  <si>
    <t>gene15509-v1.0-hybrid</t>
  </si>
  <si>
    <t>gene16711-v1.0-hybrid</t>
  </si>
  <si>
    <t>gene17313-v1.0-hybrid</t>
  </si>
  <si>
    <t>gene17613-v1.0-hybrid</t>
  </si>
  <si>
    <t>gene17913-v1.0-hybrid</t>
  </si>
  <si>
    <t>gene18213-v1.0-hybrid</t>
  </si>
  <si>
    <t>gene18513-v1.0-hybrid</t>
  </si>
  <si>
    <t>gene19113-v1.0-hybrid</t>
  </si>
  <si>
    <t>gene19413-v1.0-hybrid</t>
  </si>
  <si>
    <t>gene19713-v1.0-hybrid</t>
  </si>
  <si>
    <t>gene20013-v1.0-hybrid</t>
  </si>
  <si>
    <t>gene20314-v1.0-hybrid</t>
  </si>
  <si>
    <t>gene22115-v1.0-hybrid</t>
  </si>
  <si>
    <t>gene22416-v1.0-hybrid</t>
  </si>
  <si>
    <t>gene22716-v1.0-hybrid</t>
  </si>
  <si>
    <t>gene23017-v1.0-hybrid</t>
  </si>
  <si>
    <t>gene23919-v1.0-hybrid</t>
  </si>
  <si>
    <t>gene24221-v1.0-hybrid</t>
  </si>
  <si>
    <t>gene24522-v1.0-hybrid</t>
  </si>
  <si>
    <t>gene24822-v1.0-hybrid</t>
  </si>
  <si>
    <t>gene25124-v1.0-hybrid</t>
  </si>
  <si>
    <t>gene25424-v1.0-hybrid</t>
  </si>
  <si>
    <t>gene26024-v1.0-hybrid</t>
  </si>
  <si>
    <t>gene26324-v1.0-hybrid</t>
  </si>
  <si>
    <t>gene26624-v1.0-hybrid</t>
  </si>
  <si>
    <t>gene27225-v1.0-hybrid</t>
  </si>
  <si>
    <t>gene28125-v1.0-hybrid</t>
  </si>
  <si>
    <t>gene28725-v1.0-hybrid</t>
  </si>
  <si>
    <t>gene29025-v1.0-hybrid</t>
  </si>
  <si>
    <t>gene29325-v1.0-hybrid</t>
  </si>
  <si>
    <t>gene29625-v1.0-hybrid</t>
  </si>
  <si>
    <t>gene29927-v1.0-hybrid</t>
  </si>
  <si>
    <t>gene30227-v1.0-hybrid</t>
  </si>
  <si>
    <t>gene30527-v1.0-hybrid</t>
  </si>
  <si>
    <t>gene31427-v1.0-hybrid</t>
  </si>
  <si>
    <t>gene31727-v1.0-hybrid</t>
  </si>
  <si>
    <t>gene32027-v1.0-hybrid</t>
  </si>
  <si>
    <t>gene32327-v1.0-hybrid</t>
  </si>
  <si>
    <t>gene32627-v1.0-hybrid</t>
  </si>
  <si>
    <t>gene34392-v1.0-hybrid</t>
  </si>
  <si>
    <t>gene34692-v1.0-hybrid</t>
  </si>
  <si>
    <t>gene34992-v1.0-hybrid</t>
  </si>
  <si>
    <t>gene00104-v1.0-hybrid</t>
  </si>
  <si>
    <t>gene00404-v1.0-hybrid</t>
  </si>
  <si>
    <t>gene00708-v1.0-hybrid</t>
  </si>
  <si>
    <t>gene01008-v1.0-hybrid</t>
  </si>
  <si>
    <t>gene01308-v1.0-hybrid</t>
  </si>
  <si>
    <t>gene01909-v1.0-hybrid</t>
  </si>
  <si>
    <t>gene02209-v1.0-hybrid</t>
  </si>
  <si>
    <t>gene02509-v1.0-hybrid</t>
  </si>
  <si>
    <t>gene02834-v1.0-hybrid</t>
  </si>
  <si>
    <t>gene03197-v1.0-hybrid</t>
  </si>
  <si>
    <t>gene03497-v1.0-hybrid</t>
  </si>
  <si>
    <t>gene03797-v1.0-hybrid</t>
  </si>
  <si>
    <t>gene04097-v1.0-hybrid</t>
  </si>
  <si>
    <t>gene04397-v1.0-hybrid</t>
  </si>
  <si>
    <t>gene04697-v1.0-hybrid</t>
  </si>
  <si>
    <t>gene04997-v1.0-hybrid</t>
  </si>
  <si>
    <t>gene05298-v1.0-hybrid</t>
  </si>
  <si>
    <t>gene05598-v1.0-hybrid</t>
  </si>
  <si>
    <t>gene05898-v1.0-hybrid</t>
  </si>
  <si>
    <t>gene06198-v1.0-hybrid</t>
  </si>
  <si>
    <t>gene06498-v1.0-hybrid</t>
  </si>
  <si>
    <t>gene06798-v1.0-hybrid</t>
  </si>
  <si>
    <t>gene07398-v1.0-hybrid</t>
  </si>
  <si>
    <t>gene07698-v1.0-hybrid</t>
  </si>
  <si>
    <t>gene07999-v1.0-hybrid</t>
  </si>
  <si>
    <t>gene08299-v1.0-hybrid</t>
  </si>
  <si>
    <t>gene08599-v1.0-hybrid</t>
  </si>
  <si>
    <t>gene08899-v1.0-hybrid</t>
  </si>
  <si>
    <t>gene09199-v1.0-hybrid</t>
  </si>
  <si>
    <t>gene09799-v1.0-hybrid</t>
  </si>
  <si>
    <t>gene10701-v1.0-hybrid</t>
  </si>
  <si>
    <t>gene11001-v1.0-hybrid</t>
  </si>
  <si>
    <t>gene11302-v1.0-hybrid</t>
  </si>
  <si>
    <t>gene11602-v1.0-hybrid</t>
  </si>
  <si>
    <t>gene12502-v1.0-hybrid</t>
  </si>
  <si>
    <t>gene13103-v1.0-hybrid</t>
  </si>
  <si>
    <t>gene13403-v1.0-hybrid</t>
  </si>
  <si>
    <t>gene14004-v1.0-hybrid</t>
  </si>
  <si>
    <t>gene14305-v1.0-hybrid</t>
  </si>
  <si>
    <t>gene14908-v1.0-hybrid</t>
  </si>
  <si>
    <t>gene15510-v1.0-hybrid</t>
  </si>
  <si>
    <t>gene15811-v1.0-hybrid</t>
  </si>
  <si>
    <t>gene16412-v1.0-hybrid</t>
  </si>
  <si>
    <t>gene16712-v1.0-hybrid</t>
  </si>
  <si>
    <t>gene17014-v1.0-hybrid</t>
  </si>
  <si>
    <t>gene17314-v1.0-hybrid</t>
  </si>
  <si>
    <t>gene17614-v1.0-hybrid</t>
  </si>
  <si>
    <t>gene18214-v1.0-hybrid</t>
  </si>
  <si>
    <t>gene18514-v1.0-hybrid</t>
  </si>
  <si>
    <t>gene19414-v1.0-hybrid</t>
  </si>
  <si>
    <t>gene19714-v1.0-hybrid</t>
  </si>
  <si>
    <t>gene20014-v1.0-hybrid</t>
  </si>
  <si>
    <t>gene20615-v1.0-hybrid</t>
  </si>
  <si>
    <t>gene21215-v1.0-hybrid</t>
  </si>
  <si>
    <t>gene21516-v1.0-hybrid</t>
  </si>
  <si>
    <t>gene21816-v1.0-hybrid</t>
  </si>
  <si>
    <t>gene22116-v1.0-hybrid</t>
  </si>
  <si>
    <t>gene22717-v1.0-hybrid</t>
  </si>
  <si>
    <t>gene23018-v1.0-hybrid</t>
  </si>
  <si>
    <t>gene23320-v1.0-hybrid</t>
  </si>
  <si>
    <t>gene23620-v1.0-hybrid</t>
  </si>
  <si>
    <t>gene23920-v1.0-hybrid</t>
  </si>
  <si>
    <t>gene24222-v1.0-hybrid</t>
  </si>
  <si>
    <t>gene24523-v1.0-hybrid</t>
  </si>
  <si>
    <t>gene24823-v1.0-hybrid</t>
  </si>
  <si>
    <t>gene25125-v1.0-hybrid</t>
  </si>
  <si>
    <t>gene25425-v1.0-hybrid</t>
  </si>
  <si>
    <t>gene25725-v1.0-hybrid</t>
  </si>
  <si>
    <t>gene26025-v1.0-hybrid</t>
  </si>
  <si>
    <t>gene26325-v1.0-hybrid</t>
  </si>
  <si>
    <t>gene26625-v1.0-hybrid</t>
  </si>
  <si>
    <t>gene26926-v1.0-hybrid</t>
  </si>
  <si>
    <t>gene27526-v1.0-hybrid</t>
  </si>
  <si>
    <t>gene27826-v1.0-hybrid</t>
  </si>
  <si>
    <t>gene28126-v1.0-hybrid</t>
  </si>
  <si>
    <t>gene28426-v1.0-hybrid</t>
  </si>
  <si>
    <t>gene29326-v1.0-hybrid</t>
  </si>
  <si>
    <t>gene29626-v1.0-hybrid</t>
  </si>
  <si>
    <t>gene29928-v1.0-hybrid</t>
  </si>
  <si>
    <t>gene30528-v1.0-hybrid</t>
  </si>
  <si>
    <t>gene30828-v1.0-hybrid</t>
  </si>
  <si>
    <t>gene31128-v1.0-hybrid</t>
  </si>
  <si>
    <t>gene32028-v1.0-hybrid</t>
  </si>
  <si>
    <t>gene32992-v1.0-hybrid</t>
  </si>
  <si>
    <t>gene33793-v1.0-hybrid</t>
  </si>
  <si>
    <t>gene34093-v1.0-hybrid</t>
  </si>
  <si>
    <t>gene34393-v1.0-hybrid</t>
  </si>
  <si>
    <t>gene34693-v1.0-hybrid</t>
  </si>
  <si>
    <t>gene00405-v1.0-hybrid</t>
  </si>
  <si>
    <t>gene00709-v1.0-hybrid</t>
  </si>
  <si>
    <t>gene01309-v1.0-hybrid</t>
  </si>
  <si>
    <t>gene01610-v1.0-hybrid</t>
  </si>
  <si>
    <t>gene01910-v1.0-hybrid</t>
  </si>
  <si>
    <t>gene03198-v1.0-hybrid</t>
  </si>
  <si>
    <t>gene03498-v1.0-hybrid</t>
  </si>
  <si>
    <t>gene03798-v1.0-hybrid</t>
  </si>
  <si>
    <t>gene04098-v1.0-hybrid</t>
  </si>
  <si>
    <t>gene04398-v1.0-hybrid</t>
  </si>
  <si>
    <t>gene04698-v1.0-hybrid</t>
  </si>
  <si>
    <t>gene05299-v1.0-hybrid</t>
  </si>
  <si>
    <t>gene05599-v1.0-hybrid</t>
  </si>
  <si>
    <t>gene05899-v1.0-hybrid</t>
  </si>
  <si>
    <t>gene06199-v1.0-hybrid</t>
  </si>
  <si>
    <t>gene06499-v1.0-hybrid</t>
  </si>
  <si>
    <t>gene06799-v1.0-hybrid</t>
  </si>
  <si>
    <t>gene07099-v1.0-hybrid</t>
  </si>
  <si>
    <t>gene07399-v1.0-hybrid</t>
  </si>
  <si>
    <t>gene08000-v1.0-hybrid</t>
  </si>
  <si>
    <t>gene08300-v1.0-hybrid</t>
  </si>
  <si>
    <t>gene08900-v1.0-hybrid</t>
  </si>
  <si>
    <t>gene09200-v1.0-hybrid</t>
  </si>
  <si>
    <t>gene09800-v1.0-hybrid</t>
  </si>
  <si>
    <t>gene10101-v1.0-hybrid</t>
  </si>
  <si>
    <t>gene10401-v1.0-hybrid</t>
  </si>
  <si>
    <t>gene10702-v1.0-hybrid</t>
  </si>
  <si>
    <t>gene11303-v1.0-hybrid</t>
  </si>
  <si>
    <t>gene11603-v1.0-hybrid</t>
  </si>
  <si>
    <t>gene11903-v1.0-hybrid</t>
  </si>
  <si>
    <t>gene13104-v1.0-hybrid</t>
  </si>
  <si>
    <t>gene13404-v1.0-hybrid</t>
  </si>
  <si>
    <t>gene14005-v1.0-hybrid</t>
  </si>
  <si>
    <t>gene14306-v1.0-hybrid</t>
  </si>
  <si>
    <t>gene14608-v1.0-hybrid</t>
  </si>
  <si>
    <t>gene15210-v1.0-hybrid</t>
  </si>
  <si>
    <t>gene15511-v1.0-hybrid</t>
  </si>
  <si>
    <t>gene15812-v1.0-hybrid</t>
  </si>
  <si>
    <t>gene16113-v1.0-hybrid</t>
  </si>
  <si>
    <t>gene16413-v1.0-hybrid</t>
  </si>
  <si>
    <t>gene16713-v1.0-hybrid</t>
  </si>
  <si>
    <t>gene17015-v1.0-hybrid</t>
  </si>
  <si>
    <t>gene17315-v1.0-hybrid</t>
  </si>
  <si>
    <t>gene17615-v1.0-hybrid</t>
  </si>
  <si>
    <t>gene18215-v1.0-hybrid</t>
  </si>
  <si>
    <t>gene18515-v1.0-hybrid</t>
  </si>
  <si>
    <t>gene18815-v1.0-hybrid</t>
  </si>
  <si>
    <t>gene19115-v1.0-hybrid</t>
  </si>
  <si>
    <t>gene19415-v1.0-hybrid</t>
  </si>
  <si>
    <t>gene19715-v1.0-hybrid</t>
  </si>
  <si>
    <t>gene20015-v1.0-hybrid</t>
  </si>
  <si>
    <t>gene20316-v1.0-hybrid</t>
  </si>
  <si>
    <t>gene20616-v1.0-hybrid</t>
  </si>
  <si>
    <t>gene20916-v1.0-hybrid</t>
  </si>
  <si>
    <t>gene21216-v1.0-hybrid</t>
  </si>
  <si>
    <t>gene21517-v1.0-hybrid</t>
  </si>
  <si>
    <t>gene21817-v1.0-hybrid</t>
  </si>
  <si>
    <t>gene22117-v1.0-hybrid</t>
  </si>
  <si>
    <t>gene22418-v1.0-hybrid</t>
  </si>
  <si>
    <t>gene22718-v1.0-hybrid</t>
  </si>
  <si>
    <t>gene23019-v1.0-hybrid</t>
  </si>
  <si>
    <t>gene23321-v1.0-hybrid</t>
  </si>
  <si>
    <t>gene23621-v1.0-hybrid</t>
  </si>
  <si>
    <t>gene23921-v1.0-hybrid</t>
  </si>
  <si>
    <t>gene24223-v1.0-hybrid</t>
  </si>
  <si>
    <t>gene24524-v1.0-hybrid</t>
  </si>
  <si>
    <t>gene24824-v1.0-hybrid</t>
  </si>
  <si>
    <t>gene25126-v1.0-hybrid</t>
  </si>
  <si>
    <t>gene25426-v1.0-hybrid</t>
  </si>
  <si>
    <t>gene25726-v1.0-hybrid</t>
  </si>
  <si>
    <t>gene26026-v1.0-hybrid</t>
  </si>
  <si>
    <t>gene26626-v1.0-hybrid</t>
  </si>
  <si>
    <t>gene26927-v1.0-hybrid</t>
  </si>
  <si>
    <t>gene27227-v1.0-hybrid</t>
  </si>
  <si>
    <t>gene27527-v1.0-hybrid</t>
  </si>
  <si>
    <t>gene27827-v1.0-hybrid</t>
  </si>
  <si>
    <t>gene28127-v1.0-hybrid</t>
  </si>
  <si>
    <t>gene28427-v1.0-hybrid</t>
  </si>
  <si>
    <t>gene28727-v1.0-hybrid</t>
  </si>
  <si>
    <t>gene29627-v1.0-hybrid</t>
  </si>
  <si>
    <t>gene30229-v1.0-hybrid</t>
  </si>
  <si>
    <t>gene30829-v1.0-hybrid</t>
  </si>
  <si>
    <t>gene31129-v1.0-hybrid</t>
  </si>
  <si>
    <t>gene31429-v1.0-hybrid</t>
  </si>
  <si>
    <t>gene31729-v1.0-hybrid</t>
  </si>
  <si>
    <t>gene32629-v1.0-hybrid</t>
  </si>
  <si>
    <t>gene34694-v1.0-hybrid</t>
  </si>
  <si>
    <t>gene00106-v1.0-hybrid</t>
  </si>
  <si>
    <t>gene00406-v1.0-hybrid</t>
  </si>
  <si>
    <t>gene00710-v1.0-hybrid</t>
  </si>
  <si>
    <t>gene01010-v1.0-hybrid</t>
  </si>
  <si>
    <t>gene01310-v1.0-hybrid</t>
  </si>
  <si>
    <t>gene01611-v1.0-hybrid</t>
  </si>
  <si>
    <t>gene01911-v1.0-hybrid</t>
  </si>
  <si>
    <t>gene03199-v1.0-hybrid</t>
  </si>
  <si>
    <t>gene03499-v1.0-hybrid</t>
  </si>
  <si>
    <t>gene03799-v1.0-hybrid</t>
  </si>
  <si>
    <t>gene04099-v1.0-hybrid</t>
  </si>
  <si>
    <t>gene04399-v1.0-hybrid</t>
  </si>
  <si>
    <t>gene04699-v1.0-hybrid</t>
  </si>
  <si>
    <t>gene05300-v1.0-hybrid</t>
  </si>
  <si>
    <t>gene05600-v1.0-hybrid</t>
  </si>
  <si>
    <t>gene05900-v1.0-hybrid</t>
  </si>
  <si>
    <t>gene06200-v1.0-hybrid</t>
  </si>
  <si>
    <t>gene06500-v1.0-hybrid</t>
  </si>
  <si>
    <t>gene07400-v1.0-hybrid</t>
  </si>
  <si>
    <t>gene07700-v1.0-hybrid</t>
  </si>
  <si>
    <t>gene08001-v1.0-hybrid</t>
  </si>
  <si>
    <t>gene08601-v1.0-hybrid</t>
  </si>
  <si>
    <t>gene08901-v1.0-hybrid</t>
  </si>
  <si>
    <t>gene09201-v1.0-hybrid</t>
  </si>
  <si>
    <t>gene09501-v1.0-hybrid</t>
  </si>
  <si>
    <t>gene09801-v1.0-hybrid</t>
  </si>
  <si>
    <t>gene10102-v1.0-hybrid</t>
  </si>
  <si>
    <t>gene10703-v1.0-hybrid</t>
  </si>
  <si>
    <t>gene11003-v1.0-hybrid</t>
  </si>
  <si>
    <t>gene11604-v1.0-hybrid</t>
  </si>
  <si>
    <t>gene11904-v1.0-hybrid</t>
  </si>
  <si>
    <t>gene12204-v1.0-hybrid</t>
  </si>
  <si>
    <t>gene12504-v1.0-hybrid</t>
  </si>
  <si>
    <t>gene13105-v1.0-hybrid</t>
  </si>
  <si>
    <t>gene13405-v1.0-hybrid</t>
  </si>
  <si>
    <t>gene13705-v1.0-hybrid</t>
  </si>
  <si>
    <t>gene14609-v1.0-hybrid</t>
  </si>
  <si>
    <t>gene14910-v1.0-hybrid</t>
  </si>
  <si>
    <t>gene15211-v1.0-hybrid</t>
  </si>
  <si>
    <t>gene15512-v1.0-hybrid</t>
  </si>
  <si>
    <t>gene15813-v1.0-hybrid</t>
  </si>
  <si>
    <t>gene16114-v1.0-hybrid</t>
  </si>
  <si>
    <t>gene16414-v1.0-hybrid</t>
  </si>
  <si>
    <t>gene16714-v1.0-hybrid</t>
  </si>
  <si>
    <t>gene17016-v1.0-hybrid</t>
  </si>
  <si>
    <t>gene17916-v1.0-hybrid</t>
  </si>
  <si>
    <t>gene18216-v1.0-hybrid</t>
  </si>
  <si>
    <t>gene18516-v1.0-hybrid</t>
  </si>
  <si>
    <t>gene18816-v1.0-hybrid</t>
  </si>
  <si>
    <t>gene19116-v1.0-hybrid</t>
  </si>
  <si>
    <t>gene19416-v1.0-hybrid</t>
  </si>
  <si>
    <t>gene19716-v1.0-hybrid</t>
  </si>
  <si>
    <t>gene20016-v1.0-hybrid</t>
  </si>
  <si>
    <t>gene20317-v1.0-hybrid</t>
  </si>
  <si>
    <t>gene20917-v1.0-hybrid</t>
  </si>
  <si>
    <t>gene21217-v1.0-hybrid</t>
  </si>
  <si>
    <t>gene21518-v1.0-hybrid</t>
  </si>
  <si>
    <t>gene22118-v1.0-hybrid</t>
  </si>
  <si>
    <t>gene22419-v1.0-hybrid</t>
  </si>
  <si>
    <t>gene22719-v1.0-hybrid</t>
  </si>
  <si>
    <t>gene23322-v1.0-hybrid</t>
  </si>
  <si>
    <t>gene23622-v1.0-hybrid</t>
  </si>
  <si>
    <t>gene23922-v1.0-hybrid</t>
  </si>
  <si>
    <t>gene24224-v1.0-hybrid</t>
  </si>
  <si>
    <t>gene24525-v1.0-hybrid</t>
  </si>
  <si>
    <t>gene24825-v1.0-hybrid</t>
  </si>
  <si>
    <t>gene25127-v1.0-hybrid</t>
  </si>
  <si>
    <t>gene25427-v1.0-hybrid</t>
  </si>
  <si>
    <t>gene25727-v1.0-hybrid</t>
  </si>
  <si>
    <t>gene26027-v1.0-hybrid</t>
  </si>
  <si>
    <t>gene26327-v1.0-hybrid</t>
  </si>
  <si>
    <t>gene26627-v1.0-hybrid</t>
  </si>
  <si>
    <t>gene27228-v1.0-hybrid</t>
  </si>
  <si>
    <t>gene27528-v1.0-hybrid</t>
  </si>
  <si>
    <t>gene28428-v1.0-hybrid</t>
  </si>
  <si>
    <t>gene28728-v1.0-hybrid</t>
  </si>
  <si>
    <t>gene29328-v1.0-hybrid</t>
  </si>
  <si>
    <t>gene29628-v1.0-hybrid</t>
  </si>
  <si>
    <t>gene29930-v1.0-hybrid</t>
  </si>
  <si>
    <t>gene30530-v1.0-hybrid</t>
  </si>
  <si>
    <t>gene30830-v1.0-hybrid</t>
  </si>
  <si>
    <t>gene31130-v1.0-hybrid</t>
  </si>
  <si>
    <t>gene31430-v1.0-hybrid</t>
  </si>
  <si>
    <t>gene31730-v1.0-hybrid</t>
  </si>
  <si>
    <t>gene32030-v1.0-hybrid</t>
  </si>
  <si>
    <t>gene32330-v1.0-hybrid</t>
  </si>
  <si>
    <t>gene32630-v1.0-hybrid</t>
  </si>
  <si>
    <t>gene32995-v1.0-hybrid</t>
  </si>
  <si>
    <t>gene33404-v1.0-hybrid</t>
  </si>
  <si>
    <t>gene34095-v1.0-hybrid</t>
  </si>
  <si>
    <t>gene34695-v1.0-hybrid</t>
  </si>
  <si>
    <t>gene00107-v1.0-hybrid</t>
  </si>
  <si>
    <t>gene00407-v1.0-hybrid</t>
  </si>
  <si>
    <t>gene00711-v1.0-hybrid</t>
  </si>
  <si>
    <t>gene01011-v1.0-hybrid</t>
  </si>
  <si>
    <t>gene01311-v1.0-hybrid</t>
  </si>
  <si>
    <t>gene01612-v1.0-hybrid</t>
  </si>
  <si>
    <t>gene01912-v1.0-hybrid</t>
  </si>
  <si>
    <t>gene02512-v1.0-hybrid</t>
  </si>
  <si>
    <t>gene03200-v1.0-hybrid</t>
  </si>
  <si>
    <t>gene03800-v1.0-hybrid</t>
  </si>
  <si>
    <t>gene04100-v1.0-hybrid</t>
  </si>
  <si>
    <t>gene04400-v1.0-hybrid</t>
  </si>
  <si>
    <t>gene04700-v1.0-hybrid</t>
  </si>
  <si>
    <t>gene05000-v1.0-hybrid</t>
  </si>
  <si>
    <t>gene05301-v1.0-hybrid</t>
  </si>
  <si>
    <t>gene05601-v1.0-hybrid</t>
  </si>
  <si>
    <t>gene06201-v1.0-hybrid</t>
  </si>
  <si>
    <t>gene06501-v1.0-hybrid</t>
  </si>
  <si>
    <t>gene06801-v1.0-hybrid</t>
  </si>
  <si>
    <t>gene07101-v1.0-hybrid</t>
  </si>
  <si>
    <t>gene07401-v1.0-hybrid</t>
  </si>
  <si>
    <t>gene08002-v1.0-hybrid</t>
  </si>
  <si>
    <t>gene08302-v1.0-hybrid</t>
  </si>
  <si>
    <t>gene08602-v1.0-hybrid</t>
  </si>
  <si>
    <t>gene08902-v1.0-hybrid</t>
  </si>
  <si>
    <t>gene09202-v1.0-hybrid</t>
  </si>
  <si>
    <t>gene09502-v1.0-hybrid</t>
  </si>
  <si>
    <t>gene09802-v1.0-hybrid</t>
  </si>
  <si>
    <t>gene10103-v1.0-hybrid</t>
  </si>
  <si>
    <t>gene10403-v1.0-hybrid</t>
  </si>
  <si>
    <t>gene11004-v1.0-hybrid</t>
  </si>
  <si>
    <t>gene11305-v1.0-hybrid</t>
  </si>
  <si>
    <t>gene11605-v1.0-hybrid</t>
  </si>
  <si>
    <t>gene11905-v1.0-hybrid</t>
  </si>
  <si>
    <t>gene12205-v1.0-hybrid</t>
  </si>
  <si>
    <t>gene12505-v1.0-hybrid</t>
  </si>
  <si>
    <t>gene12805-v1.0-hybrid</t>
  </si>
  <si>
    <t>gene13106-v1.0-hybrid</t>
  </si>
  <si>
    <t>gene13406-v1.0-hybrid</t>
  </si>
  <si>
    <t>gene13706-v1.0-hybrid</t>
  </si>
  <si>
    <t>gene14007-v1.0-hybrid</t>
  </si>
  <si>
    <t>gene14308-v1.0-hybrid</t>
  </si>
  <si>
    <t>gene14610-v1.0-hybrid</t>
  </si>
  <si>
    <t>gene14911-v1.0-hybrid</t>
  </si>
  <si>
    <t>gene15212-v1.0-hybrid</t>
  </si>
  <si>
    <t>gene15513-v1.0-hybrid</t>
  </si>
  <si>
    <t>gene15814-v1.0-hybrid</t>
  </si>
  <si>
    <t>gene16115-v1.0-hybrid</t>
  </si>
  <si>
    <t>gene16715-v1.0-hybrid</t>
  </si>
  <si>
    <t>gene17317-v1.0-hybrid</t>
  </si>
  <si>
    <t>gene17617-v1.0-hybrid</t>
  </si>
  <si>
    <t>gene18517-v1.0-hybrid</t>
  </si>
  <si>
    <t>gene18817-v1.0-hybrid</t>
  </si>
  <si>
    <t>gene19117-v1.0-hybrid</t>
  </si>
  <si>
    <t>gene19417-v1.0-hybrid</t>
  </si>
  <si>
    <t>gene19717-v1.0-hybrid</t>
  </si>
  <si>
    <t>gene20017-v1.0-hybrid</t>
  </si>
  <si>
    <t>gene20318-v1.0-hybrid</t>
  </si>
  <si>
    <t>gene20618-v1.0-hybrid</t>
  </si>
  <si>
    <t>gene20918-v1.0-hybrid</t>
  </si>
  <si>
    <t>gene21218-v1.0-hybrid</t>
  </si>
  <si>
    <t>gene21519-v1.0-hybrid</t>
  </si>
  <si>
    <t>gene21819-v1.0-hybrid</t>
  </si>
  <si>
    <t>gene22119-v1.0-hybrid</t>
  </si>
  <si>
    <t>gene22720-v1.0-hybrid</t>
  </si>
  <si>
    <t>gene23323-v1.0-hybrid</t>
  </si>
  <si>
    <t>gene23923-v1.0-hybrid</t>
  </si>
  <si>
    <t>gene24225-v1.0-hybrid</t>
  </si>
  <si>
    <t>gene24826-v1.0-hybrid</t>
  </si>
  <si>
    <t>gene25128-v1.0-hybrid</t>
  </si>
  <si>
    <t>gene25428-v1.0-hybrid</t>
  </si>
  <si>
    <t>gene25728-v1.0-hybrid</t>
  </si>
  <si>
    <t>gene26028-v1.0-hybrid</t>
  </si>
  <si>
    <t>gene26628-v1.0-hybrid</t>
  </si>
  <si>
    <t>gene26929-v1.0-hybrid</t>
  </si>
  <si>
    <t>gene27229-v1.0-hybrid</t>
  </si>
  <si>
    <t>gene27829-v1.0-hybrid</t>
  </si>
  <si>
    <t>gene28129-v1.0-hybrid</t>
  </si>
  <si>
    <t>gene28429-v1.0-hybrid</t>
  </si>
  <si>
    <t>gene29029-v1.0-hybrid</t>
  </si>
  <si>
    <t>gene29329-v1.0-hybrid</t>
  </si>
  <si>
    <t>gene29629-v1.0-hybrid</t>
  </si>
  <si>
    <t>gene29931-v1.0-hybrid</t>
  </si>
  <si>
    <t>gene31131-v1.0-hybrid</t>
  </si>
  <si>
    <t>gene31731-v1.0-hybrid</t>
  </si>
  <si>
    <t>gene32331-v1.0-hybrid</t>
  </si>
  <si>
    <t>gene32631-v1.0-hybrid</t>
  </si>
  <si>
    <t>gene33405-v1.0-hybrid</t>
  </si>
  <si>
    <t>gene33796-v1.0-hybrid</t>
  </si>
  <si>
    <t>gene00108-v1.0-hybrid</t>
  </si>
  <si>
    <t>gene00408-v1.0-hybrid</t>
  </si>
  <si>
    <t>gene01312-v1.0-hybrid</t>
  </si>
  <si>
    <t>gene01613-v1.0-hybrid</t>
  </si>
  <si>
    <t>gene02213-v1.0-hybrid</t>
  </si>
  <si>
    <t>gene02513-v1.0-hybrid</t>
  </si>
  <si>
    <t>gene03801-v1.0-hybrid</t>
  </si>
  <si>
    <t>gene04101-v1.0-hybrid</t>
  </si>
  <si>
    <t>gene04401-v1.0-hybrid</t>
  </si>
  <si>
    <t>gene04701-v1.0-hybrid</t>
  </si>
  <si>
    <t>gene05001-v1.0-hybrid</t>
  </si>
  <si>
    <t>gene05302-v1.0-hybrid</t>
  </si>
  <si>
    <t>gene05902-v1.0-hybrid</t>
  </si>
  <si>
    <t>gene06202-v1.0-hybrid</t>
  </si>
  <si>
    <t>gene06502-v1.0-hybrid</t>
  </si>
  <si>
    <t>gene07102-v1.0-hybrid</t>
  </si>
  <si>
    <t>gene08303-v1.0-hybrid</t>
  </si>
  <si>
    <t>gene08603-v1.0-hybrid</t>
  </si>
  <si>
    <t>gene08903-v1.0-hybrid</t>
  </si>
  <si>
    <t>gene09503-v1.0-hybrid</t>
  </si>
  <si>
    <t>gene10104-v1.0-hybrid</t>
  </si>
  <si>
    <t>gene10404-v1.0-hybrid</t>
  </si>
  <si>
    <t>gene11005-v1.0-hybrid</t>
  </si>
  <si>
    <t>gene11306-v1.0-hybrid</t>
  </si>
  <si>
    <t>gene11606-v1.0-hybrid</t>
  </si>
  <si>
    <t>gene11906-v1.0-hybrid</t>
  </si>
  <si>
    <t>gene12206-v1.0-hybrid</t>
  </si>
  <si>
    <t>gene12506-v1.0-hybrid</t>
  </si>
  <si>
    <t>gene12806-v1.0-hybrid</t>
  </si>
  <si>
    <t>gene13107-v1.0-hybrid</t>
  </si>
  <si>
    <t>gene13407-v1.0-hybrid</t>
  </si>
  <si>
    <t>gene13707-v1.0-hybrid</t>
  </si>
  <si>
    <t>gene14008-v1.0-hybrid</t>
  </si>
  <si>
    <t>gene14309-v1.0-hybrid</t>
  </si>
  <si>
    <t>gene14611-v1.0-hybrid</t>
  </si>
  <si>
    <t>gene14912-v1.0-hybrid</t>
  </si>
  <si>
    <t>gene15213-v1.0-hybrid</t>
  </si>
  <si>
    <t>gene15514-v1.0-hybrid</t>
  </si>
  <si>
    <t>gene16116-v1.0-hybrid</t>
  </si>
  <si>
    <t>gene16416-v1.0-hybrid</t>
  </si>
  <si>
    <t>gene16716-v1.0-hybrid</t>
  </si>
  <si>
    <t>gene17318-v1.0-hybrid</t>
  </si>
  <si>
    <t>gene17918-v1.0-hybrid</t>
  </si>
  <si>
    <t>gene18218-v1.0-hybrid</t>
  </si>
  <si>
    <t>gene18518-v1.0-hybrid</t>
  </si>
  <si>
    <t>gene18818-v1.0-hybrid</t>
  </si>
  <si>
    <t>gene19118-v1.0-hybrid</t>
  </si>
  <si>
    <t>gene19418-v1.0-hybrid</t>
  </si>
  <si>
    <t>gene20018-v1.0-hybrid</t>
  </si>
  <si>
    <t>gene20319-v1.0-hybrid</t>
  </si>
  <si>
    <t>gene20619-v1.0-hybrid</t>
  </si>
  <si>
    <t>gene20919-v1.0-hybrid</t>
  </si>
  <si>
    <t>gene21219-v1.0-hybrid</t>
  </si>
  <si>
    <t>gene21520-v1.0-hybrid</t>
  </si>
  <si>
    <t>gene22421-v1.0-hybrid</t>
  </si>
  <si>
    <t>gene22721-v1.0-hybrid</t>
  </si>
  <si>
    <t>gene23924-v1.0-hybrid</t>
  </si>
  <si>
    <t>gene24226-v1.0-hybrid</t>
  </si>
  <si>
    <t>gene24827-v1.0-hybrid</t>
  </si>
  <si>
    <t>gene25129-v1.0-hybrid</t>
  </si>
  <si>
    <t>gene25429-v1.0-hybrid</t>
  </si>
  <si>
    <t>gene25729-v1.0-hybrid</t>
  </si>
  <si>
    <t>gene26029-v1.0-hybrid</t>
  </si>
  <si>
    <t>gene26629-v1.0-hybrid</t>
  </si>
  <si>
    <t>gene27530-v1.0-hybrid</t>
  </si>
  <si>
    <t>gene27830-v1.0-hybrid</t>
  </si>
  <si>
    <t>gene28430-v1.0-hybrid</t>
  </si>
  <si>
    <t>gene28730-v1.0-hybrid</t>
  </si>
  <si>
    <t>gene29030-v1.0-hybrid</t>
  </si>
  <si>
    <t>gene29630-v1.0-hybrid</t>
  </si>
  <si>
    <t>gene29932-v1.0-hybrid</t>
  </si>
  <si>
    <t>gene30232-v1.0-hybrid</t>
  </si>
  <si>
    <t>gene30532-v1.0-hybrid</t>
  </si>
  <si>
    <t>gene31132-v1.0-hybrid</t>
  </si>
  <si>
    <t>gene31432-v1.0-hybrid</t>
  </si>
  <si>
    <t>gene31732-v1.0-hybrid</t>
  </si>
  <si>
    <t>gene32332-v1.0-hybrid</t>
  </si>
  <si>
    <t>gene32632-v1.0-hybrid</t>
  </si>
  <si>
    <t>gene33406-v1.0-hybrid</t>
  </si>
  <si>
    <t>gene34697-v1.0-hybrid</t>
  </si>
  <si>
    <t>gene00109-v1.0-hybrid</t>
  </si>
  <si>
    <t>gene00409-v1.0-hybrid</t>
  </si>
  <si>
    <t>gene00713-v1.0-hybrid</t>
  </si>
  <si>
    <t>gene01013-v1.0-hybrid</t>
  </si>
  <si>
    <t>gene01313-v1.0-hybrid</t>
  </si>
  <si>
    <t>gene01614-v1.0-hybrid</t>
  </si>
  <si>
    <t>gene01914-v1.0-hybrid</t>
  </si>
  <si>
    <t>gene02214-v1.0-hybrid</t>
  </si>
  <si>
    <t>gene02514-v1.0-hybrid</t>
  </si>
  <si>
    <t>gene03202-v1.0-hybrid</t>
  </si>
  <si>
    <t>gene03802-v1.0-hybrid</t>
  </si>
  <si>
    <t>gene04102-v1.0-hybrid</t>
  </si>
  <si>
    <t>gene04402-v1.0-hybrid</t>
  </si>
  <si>
    <t>gene04702-v1.0-hybrid</t>
  </si>
  <si>
    <t>gene05303-v1.0-hybrid</t>
  </si>
  <si>
    <t>gene05603-v1.0-hybrid</t>
  </si>
  <si>
    <t>gene06203-v1.0-hybrid</t>
  </si>
  <si>
    <t>gene06503-v1.0-hybrid</t>
  </si>
  <si>
    <t>gene07103-v1.0-hybrid</t>
  </si>
  <si>
    <t>gene08304-v1.0-hybrid</t>
  </si>
  <si>
    <t>gene08604-v1.0-hybrid</t>
  </si>
  <si>
    <t>gene08904-v1.0-hybrid</t>
  </si>
  <si>
    <t>gene09204-v1.0-hybrid</t>
  </si>
  <si>
    <t>gene09504-v1.0-hybrid</t>
  </si>
  <si>
    <t>gene10105-v1.0-hybrid</t>
  </si>
  <si>
    <t>gene11607-v1.0-hybrid</t>
  </si>
  <si>
    <t>gene11907-v1.0-hybrid</t>
  </si>
  <si>
    <t>gene12207-v1.0-hybrid</t>
  </si>
  <si>
    <t>gene12507-v1.0-hybrid</t>
  </si>
  <si>
    <t>gene12807-v1.0-hybrid</t>
  </si>
  <si>
    <t>gene13108-v1.0-hybrid</t>
  </si>
  <si>
    <t>gene13408-v1.0-hybrid</t>
  </si>
  <si>
    <t>gene13708-v1.0-hybrid</t>
  </si>
  <si>
    <t>gene14009-v1.0-hybrid</t>
  </si>
  <si>
    <t>gene14310-v1.0-hybrid</t>
  </si>
  <si>
    <t>gene14612-v1.0-hybrid</t>
  </si>
  <si>
    <t>gene14913-v1.0-hybrid</t>
  </si>
  <si>
    <t>gene15214-v1.0-hybrid</t>
  </si>
  <si>
    <t>gene15515-v1.0-hybrid</t>
  </si>
  <si>
    <t>gene15816-v1.0-hybrid</t>
  </si>
  <si>
    <t>gene16117-v1.0-hybrid</t>
  </si>
  <si>
    <t>gene16417-v1.0-hybrid</t>
  </si>
  <si>
    <t>gene16717-v1.0-hybrid</t>
  </si>
  <si>
    <t>gene17019-v1.0-hybrid</t>
  </si>
  <si>
    <t>gene17319-v1.0-hybrid</t>
  </si>
  <si>
    <t>gene17619-v1.0-hybrid</t>
  </si>
  <si>
    <t>gene18219-v1.0-hybrid</t>
  </si>
  <si>
    <t>gene18519-v1.0-hybrid</t>
  </si>
  <si>
    <t>gene18819-v1.0-hybrid</t>
  </si>
  <si>
    <t>gene19419-v1.0-hybrid</t>
  </si>
  <si>
    <t>gene19719-v1.0-hybrid</t>
  </si>
  <si>
    <t>gene20019-v1.0-hybrid</t>
  </si>
  <si>
    <t>gene20320-v1.0-hybrid</t>
  </si>
  <si>
    <t>gene20620-v1.0-hybrid</t>
  </si>
  <si>
    <t>gene20920-v1.0-hybrid</t>
  </si>
  <si>
    <t>gene21220-v1.0-hybrid</t>
  </si>
  <si>
    <t>gene21521-v1.0-hybrid</t>
  </si>
  <si>
    <t>gene22422-v1.0-hybrid</t>
  </si>
  <si>
    <t>gene22722-v1.0-hybrid</t>
  </si>
  <si>
    <t>gene23023-v1.0-hybrid</t>
  </si>
  <si>
    <t>gene24227-v1.0-hybrid</t>
  </si>
  <si>
    <t>gene24528-v1.0-hybrid</t>
  </si>
  <si>
    <t>gene24828-v1.0-hybrid</t>
  </si>
  <si>
    <t>gene25130-v1.0-hybrid</t>
  </si>
  <si>
    <t>gene25430-v1.0-hybrid</t>
  </si>
  <si>
    <t>gene25730-v1.0-hybrid</t>
  </si>
  <si>
    <t>gene26030-v1.0-hybrid</t>
  </si>
  <si>
    <t>gene26330-v1.0-hybrid</t>
  </si>
  <si>
    <t>gene26630-v1.0-hybrid</t>
  </si>
  <si>
    <t>gene27231-v1.0-hybrid</t>
  </si>
  <si>
    <t>gene27531-v1.0-hybrid</t>
  </si>
  <si>
    <t>gene27831-v1.0-hybrid</t>
  </si>
  <si>
    <t>gene28431-v1.0-hybrid</t>
  </si>
  <si>
    <t>gene28731-v1.0-hybrid</t>
  </si>
  <si>
    <t>gene29031-v1.0-hybrid</t>
  </si>
  <si>
    <t>gene29331-v1.0-hybrid</t>
  </si>
  <si>
    <t>gene30233-v1.0-hybrid</t>
  </si>
  <si>
    <t>gene30533-v1.0-hybrid</t>
  </si>
  <si>
    <t>gene30833-v1.0-hybrid</t>
  </si>
  <si>
    <t>gene31133-v1.0-hybrid</t>
  </si>
  <si>
    <t>gene32033-v1.0-hybrid</t>
  </si>
  <si>
    <t>gene32333-v1.0-hybrid</t>
  </si>
  <si>
    <t>gene32633-v1.0-hybrid</t>
  </si>
  <si>
    <t>gene34098-v1.0-hybrid</t>
  </si>
  <si>
    <t>gene00110-v1.0-hybrid</t>
  </si>
  <si>
    <t>gene00410-v1.0-hybrid</t>
  </si>
  <si>
    <t>gene00714-v1.0-hybrid</t>
  </si>
  <si>
    <t>gene01014-v1.0-hybrid</t>
  </si>
  <si>
    <t>gene01314-v1.0-hybrid</t>
  </si>
  <si>
    <t>gene01615-v1.0-hybrid</t>
  </si>
  <si>
    <t>gene02215-v1.0-hybrid</t>
  </si>
  <si>
    <t>gene02515-v1.0-hybrid</t>
  </si>
  <si>
    <t>gene02845-v1.0-hybrid</t>
  </si>
  <si>
    <t>gene03803-v1.0-hybrid</t>
  </si>
  <si>
    <t>gene04403-v1.0-hybrid</t>
  </si>
  <si>
    <t>gene04703-v1.0-hybrid</t>
  </si>
  <si>
    <t>gene05003-v1.0-hybrid</t>
  </si>
  <si>
    <t>gene05304-v1.0-hybrid</t>
  </si>
  <si>
    <t>gene05604-v1.0-hybrid</t>
  </si>
  <si>
    <t>gene05904-v1.0-hybrid</t>
  </si>
  <si>
    <t>gene06504-v1.0-hybrid</t>
  </si>
  <si>
    <t>gene07104-v1.0-hybrid</t>
  </si>
  <si>
    <t>gene07404-v1.0-hybrid</t>
  </si>
  <si>
    <t>gene07704-v1.0-hybrid</t>
  </si>
  <si>
    <t>gene08305-v1.0-hybrid</t>
  </si>
  <si>
    <t>gene08605-v1.0-hybrid</t>
  </si>
  <si>
    <t>gene09205-v1.0-hybrid</t>
  </si>
  <si>
    <t>gene09505-v1.0-hybrid</t>
  </si>
  <si>
    <t>gene09805-v1.0-hybrid</t>
  </si>
  <si>
    <t>gene10106-v1.0-hybrid</t>
  </si>
  <si>
    <t>gene10406-v1.0-hybrid</t>
  </si>
  <si>
    <t>gene10707-v1.0-hybrid</t>
  </si>
  <si>
    <t>gene11007-v1.0-hybrid</t>
  </si>
  <si>
    <t>gene11308-v1.0-hybrid</t>
  </si>
  <si>
    <t>gene11608-v1.0-hybrid</t>
  </si>
  <si>
    <t>gene11908-v1.0-hybrid</t>
  </si>
  <si>
    <t>gene12208-v1.0-hybrid</t>
  </si>
  <si>
    <t>gene12808-v1.0-hybrid</t>
  </si>
  <si>
    <t>gene13109-v1.0-hybrid</t>
  </si>
  <si>
    <t>gene13709-v1.0-hybrid</t>
  </si>
  <si>
    <t>gene14010-v1.0-hybrid</t>
  </si>
  <si>
    <t>gene14613-v1.0-hybrid</t>
  </si>
  <si>
    <t>gene14914-v1.0-hybrid</t>
  </si>
  <si>
    <t>gene15215-v1.0-hybrid</t>
  </si>
  <si>
    <t>gene15516-v1.0-hybrid</t>
  </si>
  <si>
    <t>gene15817-v1.0-hybrid</t>
  </si>
  <si>
    <t>gene16118-v1.0-hybrid</t>
  </si>
  <si>
    <t>gene16418-v1.0-hybrid</t>
  </si>
  <si>
    <t>gene16718-v1.0-hybrid</t>
  </si>
  <si>
    <t>gene17020-v1.0-hybrid</t>
  </si>
  <si>
    <t>gene18520-v1.0-hybrid</t>
  </si>
  <si>
    <t>gene19120-v1.0-hybrid</t>
  </si>
  <si>
    <t>gene19420-v1.0-hybrid</t>
  </si>
  <si>
    <t>gene19720-v1.0-hybrid</t>
  </si>
  <si>
    <t>gene20020-v1.0-hybrid</t>
  </si>
  <si>
    <t>gene20321-v1.0-hybrid</t>
  </si>
  <si>
    <t>gene20621-v1.0-hybrid</t>
  </si>
  <si>
    <t>gene20921-v1.0-hybrid</t>
  </si>
  <si>
    <t>gene21221-v1.0-hybrid</t>
  </si>
  <si>
    <t>gene21522-v1.0-hybrid</t>
  </si>
  <si>
    <t>gene22122-v1.0-hybrid</t>
  </si>
  <si>
    <t>gene22423-v1.0-hybrid</t>
  </si>
  <si>
    <t>gene22723-v1.0-hybrid</t>
  </si>
  <si>
    <t>gene23024-v1.0-hybrid</t>
  </si>
  <si>
    <t>gene23626-v1.0-hybrid</t>
  </si>
  <si>
    <t>gene23926-v1.0-hybrid</t>
  </si>
  <si>
    <t>gene24228-v1.0-hybrid</t>
  </si>
  <si>
    <t>gene24829-v1.0-hybrid</t>
  </si>
  <si>
    <t>gene25131-v1.0-hybrid</t>
  </si>
  <si>
    <t>gene25431-v1.0-hybrid</t>
  </si>
  <si>
    <t>gene25731-v1.0-hybrid</t>
  </si>
  <si>
    <t>gene26031-v1.0-hybrid</t>
  </si>
  <si>
    <t>gene26631-v1.0-hybrid</t>
  </si>
  <si>
    <t>gene26932-v1.0-hybrid</t>
  </si>
  <si>
    <t>gene27232-v1.0-hybrid</t>
  </si>
  <si>
    <t>gene27532-v1.0-hybrid</t>
  </si>
  <si>
    <t>gene27832-v1.0-hybrid</t>
  </si>
  <si>
    <t>gene28132-v1.0-hybrid</t>
  </si>
  <si>
    <t>gene28732-v1.0-hybrid</t>
  </si>
  <si>
    <t>gene29332-v1.0-hybrid</t>
  </si>
  <si>
    <t>gene30234-v1.0-hybrid</t>
  </si>
  <si>
    <t>gene30534-v1.0-hybrid</t>
  </si>
  <si>
    <t>gene30834-v1.0-hybrid</t>
  </si>
  <si>
    <t>gene31134-v1.0-hybrid</t>
  </si>
  <si>
    <t>gene31434-v1.0-hybrid</t>
  </si>
  <si>
    <t>gene32034-v1.0-hybrid</t>
  </si>
  <si>
    <t>gene32334-v1.0-hybrid</t>
  </si>
  <si>
    <t>gene32634-v1.0-hybrid</t>
  </si>
  <si>
    <t>gene33408-v1.0-hybrid</t>
  </si>
  <si>
    <t>gene34699-v1.0-hybrid</t>
  </si>
  <si>
    <t>gene00111-v1.0-hybrid</t>
  </si>
  <si>
    <t>gene00715-v1.0-hybrid</t>
  </si>
  <si>
    <t>gene01015-v1.0-hybrid</t>
  </si>
  <si>
    <t>gene01916-v1.0-hybrid</t>
  </si>
  <si>
    <t>gene02216-v1.0-hybrid</t>
  </si>
  <si>
    <t>gene02516-v1.0-hybrid</t>
  </si>
  <si>
    <t>gene03204-v1.0-hybrid</t>
  </si>
  <si>
    <t>gene03504-v1.0-hybrid</t>
  </si>
  <si>
    <t>gene03804-v1.0-hybrid</t>
  </si>
  <si>
    <t>gene04104-v1.0-hybrid</t>
  </si>
  <si>
    <t>gene04404-v1.0-hybrid</t>
  </si>
  <si>
    <t>gene04704-v1.0-hybrid</t>
  </si>
  <si>
    <t>gene05004-v1.0-hybrid</t>
  </si>
  <si>
    <t>gene05305-v1.0-hybrid</t>
  </si>
  <si>
    <t>gene05605-v1.0-hybrid</t>
  </si>
  <si>
    <t>gene05905-v1.0-hybrid</t>
  </si>
  <si>
    <t>gene06205-v1.0-hybrid</t>
  </si>
  <si>
    <t>gene06505-v1.0-hybrid</t>
  </si>
  <si>
    <t>gene06805-v1.0-hybrid</t>
  </si>
  <si>
    <t>gene07405-v1.0-hybrid</t>
  </si>
  <si>
    <t>gene07705-v1.0-hybrid</t>
  </si>
  <si>
    <t>gene08006-v1.0-hybrid</t>
  </si>
  <si>
    <t>gene08306-v1.0-hybrid</t>
  </si>
  <si>
    <t>gene08606-v1.0-hybrid</t>
  </si>
  <si>
    <t>gene08906-v1.0-hybrid</t>
  </si>
  <si>
    <t>gene09206-v1.0-hybrid</t>
  </si>
  <si>
    <t>gene09506-v1.0-hybrid</t>
  </si>
  <si>
    <t>gene09806-v1.0-hybrid</t>
  </si>
  <si>
    <t>gene10107-v1.0-hybrid</t>
  </si>
  <si>
    <t>gene10708-v1.0-hybrid</t>
  </si>
  <si>
    <t>gene11609-v1.0-hybrid</t>
  </si>
  <si>
    <t>gene12209-v1.0-hybrid</t>
  </si>
  <si>
    <t>gene12509-v1.0-hybrid</t>
  </si>
  <si>
    <t>gene12809-v1.0-hybrid</t>
  </si>
  <si>
    <t>gene13410-v1.0-hybrid</t>
  </si>
  <si>
    <t>gene13710-v1.0-hybrid</t>
  </si>
  <si>
    <t>gene14011-v1.0-hybrid</t>
  </si>
  <si>
    <t>gene14312-v1.0-hybrid</t>
  </si>
  <si>
    <t>gene14614-v1.0-hybrid</t>
  </si>
  <si>
    <t>gene14915-v1.0-hybrid</t>
  </si>
  <si>
    <t>gene15517-v1.0-hybrid</t>
  </si>
  <si>
    <t>gene16119-v1.0-hybrid</t>
  </si>
  <si>
    <t>gene16419-v1.0-hybrid</t>
  </si>
  <si>
    <t>gene16719-v1.0-hybrid</t>
  </si>
  <si>
    <t>gene17021-v1.0-hybrid</t>
  </si>
  <si>
    <t>gene17321-v1.0-hybrid</t>
  </si>
  <si>
    <t>gene17621-v1.0-hybrid</t>
  </si>
  <si>
    <t>gene18221-v1.0-hybrid</t>
  </si>
  <si>
    <t>gene18521-v1.0-hybrid</t>
  </si>
  <si>
    <t>gene18821-v1.0-hybrid</t>
  </si>
  <si>
    <t>gene19421-v1.0-hybrid</t>
  </si>
  <si>
    <t>gene19721-v1.0-hybrid</t>
  </si>
  <si>
    <t>gene20021-v1.0-hybrid</t>
  </si>
  <si>
    <t>gene20322-v1.0-hybrid</t>
  </si>
  <si>
    <t>gene20622-v1.0-hybrid</t>
  </si>
  <si>
    <t>gene20922-v1.0-hybrid</t>
  </si>
  <si>
    <t>gene21222-v1.0-hybrid</t>
  </si>
  <si>
    <t>gene21523-v1.0-hybrid</t>
  </si>
  <si>
    <t>gene22123-v1.0-hybrid</t>
  </si>
  <si>
    <t>gene22424-v1.0-hybrid</t>
  </si>
  <si>
    <t>gene22724-v1.0-hybrid</t>
  </si>
  <si>
    <t>gene23327-v1.0-hybrid</t>
  </si>
  <si>
    <t>gene23627-v1.0-hybrid</t>
  </si>
  <si>
    <t>gene23927-v1.0-hybrid</t>
  </si>
  <si>
    <t>gene24830-v1.0-hybrid</t>
  </si>
  <si>
    <t>gene25132-v1.0-hybrid</t>
  </si>
  <si>
    <t>gene25432-v1.0-hybrid</t>
  </si>
  <si>
    <t>gene25732-v1.0-hybrid</t>
  </si>
  <si>
    <t>gene26032-v1.0-hybrid</t>
  </si>
  <si>
    <t>gene26632-v1.0-hybrid</t>
  </si>
  <si>
    <t>gene26933-v1.0-hybrid</t>
  </si>
  <si>
    <t>gene27233-v1.0-hybrid</t>
  </si>
  <si>
    <t>gene27533-v1.0-hybrid</t>
  </si>
  <si>
    <t>gene27833-v1.0-hybrid</t>
  </si>
  <si>
    <t>gene28133-v1.0-hybrid</t>
  </si>
  <si>
    <t>gene28433-v1.0-hybrid</t>
  </si>
  <si>
    <t>gene29033-v1.0-hybrid</t>
  </si>
  <si>
    <t>gene30535-v1.0-hybrid</t>
  </si>
  <si>
    <t>gene31135-v1.0-hybrid</t>
  </si>
  <si>
    <t>gene31435-v1.0-hybrid</t>
  </si>
  <si>
    <t>gene32035-v1.0-hybrid</t>
  </si>
  <si>
    <t>gene32335-v1.0-hybrid</t>
  </si>
  <si>
    <t>gene33409-v1.0-hybrid</t>
  </si>
  <si>
    <t>gene00112-v1.0-hybrid</t>
  </si>
  <si>
    <t>gene00412-v1.0-hybrid</t>
  </si>
  <si>
    <t>gene00716-v1.0-hybrid</t>
  </si>
  <si>
    <t>gene01016-v1.0-hybrid</t>
  </si>
  <si>
    <t>gene01316-v1.0-hybrid</t>
  </si>
  <si>
    <t>gene01617-v1.0-hybrid</t>
  </si>
  <si>
    <t>gene03205-v1.0-hybrid</t>
  </si>
  <si>
    <t>gene04105-v1.0-hybrid</t>
  </si>
  <si>
    <t>gene04405-v1.0-hybrid</t>
  </si>
  <si>
    <t>gene04705-v1.0-hybrid</t>
  </si>
  <si>
    <t>gene05005-v1.0-hybrid</t>
  </si>
  <si>
    <t>gene05306-v1.0-hybrid</t>
  </si>
  <si>
    <t>gene05606-v1.0-hybrid</t>
  </si>
  <si>
    <t>gene05906-v1.0-hybrid</t>
  </si>
  <si>
    <t>gene06206-v1.0-hybrid</t>
  </si>
  <si>
    <t>gene06806-v1.0-hybrid</t>
  </si>
  <si>
    <t>gene07106-v1.0-hybrid</t>
  </si>
  <si>
    <t>gene07706-v1.0-hybrid</t>
  </si>
  <si>
    <t>gene08307-v1.0-hybrid</t>
  </si>
  <si>
    <t>gene08607-v1.0-hybrid</t>
  </si>
  <si>
    <t>gene09207-v1.0-hybrid</t>
  </si>
  <si>
    <t>gene09507-v1.0-hybrid</t>
  </si>
  <si>
    <t>gene09807-v1.0-hybrid</t>
  </si>
  <si>
    <t>gene10108-v1.0-hybrid</t>
  </si>
  <si>
    <t>gene10408-v1.0-hybrid</t>
  </si>
  <si>
    <t>gene10709-v1.0-hybrid</t>
  </si>
  <si>
    <t>gene11009-v1.0-hybrid</t>
  </si>
  <si>
    <t>gene11310-v1.0-hybrid</t>
  </si>
  <si>
    <t>gene11610-v1.0-hybrid</t>
  </si>
  <si>
    <t>gene11910-v1.0-hybrid</t>
  </si>
  <si>
    <t>gene12210-v1.0-hybrid</t>
  </si>
  <si>
    <t>gene12510-v1.0-hybrid</t>
  </si>
  <si>
    <t>gene12810-v1.0-hybrid</t>
  </si>
  <si>
    <t>gene13111-v1.0-hybrid</t>
  </si>
  <si>
    <t>gene13411-v1.0-hybrid</t>
  </si>
  <si>
    <t>gene13711-v1.0-hybrid</t>
  </si>
  <si>
    <t>gene14012-v1.0-hybrid</t>
  </si>
  <si>
    <t>gene14313-v1.0-hybrid</t>
  </si>
  <si>
    <t>gene14916-v1.0-hybrid</t>
  </si>
  <si>
    <t>gene15217-v1.0-hybrid</t>
  </si>
  <si>
    <t>gene15518-v1.0-hybrid</t>
  </si>
  <si>
    <t>gene15819-v1.0-hybrid</t>
  </si>
  <si>
    <t>gene16420-v1.0-hybrid</t>
  </si>
  <si>
    <t>gene16720-v1.0-hybrid</t>
  </si>
  <si>
    <t>gene17322-v1.0-hybrid</t>
  </si>
  <si>
    <t>gene17622-v1.0-hybrid</t>
  </si>
  <si>
    <t>gene17922-v1.0-hybrid</t>
  </si>
  <si>
    <t>gene18222-v1.0-hybrid</t>
  </si>
  <si>
    <t>gene18522-v1.0-hybrid</t>
  </si>
  <si>
    <t>gene19422-v1.0-hybrid</t>
  </si>
  <si>
    <t>gene19722-v1.0-hybrid</t>
  </si>
  <si>
    <t>gene20022-v1.0-hybrid</t>
  </si>
  <si>
    <t>gene20323-v1.0-hybrid</t>
  </si>
  <si>
    <t>gene20623-v1.0-hybrid</t>
  </si>
  <si>
    <t>gene20923-v1.0-hybrid</t>
  </si>
  <si>
    <t>gene21223-v1.0-hybrid</t>
  </si>
  <si>
    <t>gene21524-v1.0-hybrid</t>
  </si>
  <si>
    <t>gene22725-v1.0-hybrid</t>
  </si>
  <si>
    <t>gene23026-v1.0-hybrid</t>
  </si>
  <si>
    <t>gene23328-v1.0-hybrid</t>
  </si>
  <si>
    <t>gene23628-v1.0-hybrid</t>
  </si>
  <si>
    <t>gene23928-v1.0-hybrid</t>
  </si>
  <si>
    <t>gene24831-v1.0-hybrid</t>
  </si>
  <si>
    <t>gene25133-v1.0-hybrid</t>
  </si>
  <si>
    <t>gene25433-v1.0-hybrid</t>
  </si>
  <si>
    <t>gene25733-v1.0-hybrid</t>
  </si>
  <si>
    <t>gene26333-v1.0-hybrid</t>
  </si>
  <si>
    <t>gene26633-v1.0-hybrid</t>
  </si>
  <si>
    <t>gene26934-v1.0-hybrid</t>
  </si>
  <si>
    <t>gene27234-v1.0-hybrid</t>
  </si>
  <si>
    <t>gene27534-v1.0-hybrid</t>
  </si>
  <si>
    <t>gene27834-v1.0-hybrid</t>
  </si>
  <si>
    <t>gene28434-v1.0-hybrid</t>
  </si>
  <si>
    <t>gene28734-v1.0-hybrid</t>
  </si>
  <si>
    <t>gene29034-v1.0-hybrid</t>
  </si>
  <si>
    <t>gene29334-v1.0-hybrid</t>
  </si>
  <si>
    <t>gene29635-v1.0-hybrid</t>
  </si>
  <si>
    <t>gene29936-v1.0-hybrid</t>
  </si>
  <si>
    <t>gene30236-v1.0-hybrid</t>
  </si>
  <si>
    <t>gene30536-v1.0-hybrid</t>
  </si>
  <si>
    <t>gene30836-v1.0-hybrid</t>
  </si>
  <si>
    <t>gene31136-v1.0-hybrid</t>
  </si>
  <si>
    <t>gene32636-v1.0-hybrid</t>
  </si>
  <si>
    <t>gene34101-v1.0-hybrid</t>
  </si>
  <si>
    <t>gene00113-v1.0-hybrid</t>
  </si>
  <si>
    <t>gene00717-v1.0-hybrid</t>
  </si>
  <si>
    <t>gene01017-v1.0-hybrid</t>
  </si>
  <si>
    <t>gene01317-v1.0-hybrid</t>
  </si>
  <si>
    <t>gene01618-v1.0-hybrid</t>
  </si>
  <si>
    <t>gene02518-v1.0-hybrid</t>
  </si>
  <si>
    <t>gene02852-v1.0-hybrid</t>
  </si>
  <si>
    <t>gene03206-v1.0-hybrid</t>
  </si>
  <si>
    <t>gene03806-v1.0-hybrid</t>
  </si>
  <si>
    <t>gene04106-v1.0-hybrid</t>
  </si>
  <si>
    <t>gene04406-v1.0-hybrid</t>
  </si>
  <si>
    <t>gene04706-v1.0-hybrid</t>
  </si>
  <si>
    <t>gene05006-v1.0-hybrid</t>
  </si>
  <si>
    <t>gene05307-v1.0-hybrid</t>
  </si>
  <si>
    <t>gene05907-v1.0-hybrid</t>
  </si>
  <si>
    <t>gene06207-v1.0-hybrid</t>
  </si>
  <si>
    <t>gene06507-v1.0-hybrid</t>
  </si>
  <si>
    <t>gene06807-v1.0-hybrid</t>
  </si>
  <si>
    <t>gene07107-v1.0-hybrid</t>
  </si>
  <si>
    <t>gene07407-v1.0-hybrid</t>
  </si>
  <si>
    <t>gene08308-v1.0-hybrid</t>
  </si>
  <si>
    <t>gene08608-v1.0-hybrid</t>
  </si>
  <si>
    <t>gene08908-v1.0-hybrid</t>
  </si>
  <si>
    <t>gene09508-v1.0-hybrid</t>
  </si>
  <si>
    <t>gene09808-v1.0-hybrid</t>
  </si>
  <si>
    <t>gene10109-v1.0-hybrid</t>
  </si>
  <si>
    <t>gene11311-v1.0-hybrid</t>
  </si>
  <si>
    <t>gene11611-v1.0-hybrid</t>
  </si>
  <si>
    <t>gene11911-v1.0-hybrid</t>
  </si>
  <si>
    <t>gene12211-v1.0-hybrid</t>
  </si>
  <si>
    <t>gene12511-v1.0-hybrid</t>
  </si>
  <si>
    <t>gene12811-v1.0-hybrid</t>
  </si>
  <si>
    <t>gene13112-v1.0-hybrid</t>
  </si>
  <si>
    <t>gene13412-v1.0-hybrid</t>
  </si>
  <si>
    <t>gene14013-v1.0-hybrid</t>
  </si>
  <si>
    <t>gene14314-v1.0-hybrid</t>
  </si>
  <si>
    <t>gene14616-v1.0-hybrid</t>
  </si>
  <si>
    <t>gene14917-v1.0-hybrid</t>
  </si>
  <si>
    <t>gene15218-v1.0-hybrid</t>
  </si>
  <si>
    <t>gene15519-v1.0-hybrid</t>
  </si>
  <si>
    <t>gene16421-v1.0-hybrid</t>
  </si>
  <si>
    <t>gene16721-v1.0-hybrid</t>
  </si>
  <si>
    <t>gene17023-v1.0-hybrid</t>
  </si>
  <si>
    <t>gene17623-v1.0-hybrid</t>
  </si>
  <si>
    <t>gene17923-v1.0-hybrid</t>
  </si>
  <si>
    <t>gene18223-v1.0-hybrid</t>
  </si>
  <si>
    <t>gene18523-v1.0-hybrid</t>
  </si>
  <si>
    <t>gene19123-v1.0-hybrid</t>
  </si>
  <si>
    <t>gene19423-v1.0-hybrid</t>
  </si>
  <si>
    <t>gene19723-v1.0-hybrid</t>
  </si>
  <si>
    <t>gene20023-v1.0-hybrid</t>
  </si>
  <si>
    <t>gene20624-v1.0-hybrid</t>
  </si>
  <si>
    <t>gene20924-v1.0-hybrid</t>
  </si>
  <si>
    <t>gene21224-v1.0-hybrid</t>
  </si>
  <si>
    <t>gene21825-v1.0-hybrid</t>
  </si>
  <si>
    <t>gene23027-v1.0-hybrid</t>
  </si>
  <si>
    <t>gene23329-v1.0-hybrid</t>
  </si>
  <si>
    <t>gene24532-v1.0-hybrid</t>
  </si>
  <si>
    <t>gene24832-v1.0-hybrid</t>
  </si>
  <si>
    <t>gene25134-v1.0-hybrid</t>
  </si>
  <si>
    <t>gene25434-v1.0-hybrid</t>
  </si>
  <si>
    <t>gene25734-v1.0-hybrid</t>
  </si>
  <si>
    <t>gene26334-v1.0-hybrid</t>
  </si>
  <si>
    <t>gene26634-v1.0-hybrid</t>
  </si>
  <si>
    <t>gene26935-v1.0-hybrid</t>
  </si>
  <si>
    <t>gene27235-v1.0-hybrid</t>
  </si>
  <si>
    <t>gene27535-v1.0-hybrid</t>
  </si>
  <si>
    <t>gene27835-v1.0-hybrid</t>
  </si>
  <si>
    <t>gene28135-v1.0-hybrid</t>
  </si>
  <si>
    <t>gene28435-v1.0-hybrid</t>
  </si>
  <si>
    <t>gene28735-v1.0-hybrid</t>
  </si>
  <si>
    <t>gene29035-v1.0-hybrid</t>
  </si>
  <si>
    <t>gene29335-v1.0-hybrid</t>
  </si>
  <si>
    <t>gene29636-v1.0-hybrid</t>
  </si>
  <si>
    <t>gene29937-v1.0-hybrid</t>
  </si>
  <si>
    <t>gene30537-v1.0-hybrid</t>
  </si>
  <si>
    <t>gene30837-v1.0-hybrid</t>
  </si>
  <si>
    <t>gene31137-v1.0-hybrid</t>
  </si>
  <si>
    <t>gene31437-v1.0-hybrid</t>
  </si>
  <si>
    <t>gene31737-v1.0-hybrid</t>
  </si>
  <si>
    <t>gene32337-v1.0-hybrid</t>
  </si>
  <si>
    <t>gene33411-v1.0-hybrid</t>
  </si>
  <si>
    <t>gene34102-v1.0-hybrid</t>
  </si>
  <si>
    <t>gene34702-v1.0-hybrid</t>
  </si>
  <si>
    <t>gene35002-v1.0-hybrid</t>
  </si>
  <si>
    <t>gene00114-v1.0-hybrid</t>
  </si>
  <si>
    <t>gene00414-v1.0-hybrid</t>
  </si>
  <si>
    <t>gene00718-v1.0-hybrid</t>
  </si>
  <si>
    <t>gene01018-v1.0-hybrid</t>
  </si>
  <si>
    <t>gene01619-v1.0-hybrid</t>
  </si>
  <si>
    <t>gene02519-v1.0-hybrid</t>
  </si>
  <si>
    <t>gene03207-v1.0-hybrid</t>
  </si>
  <si>
    <t>gene03807-v1.0-hybrid</t>
  </si>
  <si>
    <t>gene04407-v1.0-hybrid</t>
  </si>
  <si>
    <t>gene04707-v1.0-hybrid</t>
  </si>
  <si>
    <t>gene05007-v1.0-hybrid</t>
  </si>
  <si>
    <t>gene05308-v1.0-hybrid</t>
  </si>
  <si>
    <t>gene05608-v1.0-hybrid</t>
  </si>
  <si>
    <t>gene06208-v1.0-hybrid</t>
  </si>
  <si>
    <t>gene06508-v1.0-hybrid</t>
  </si>
  <si>
    <t>gene06808-v1.0-hybrid</t>
  </si>
  <si>
    <t>gene07108-v1.0-hybrid</t>
  </si>
  <si>
    <t>gene07408-v1.0-hybrid</t>
  </si>
  <si>
    <t>gene08309-v1.0-hybrid</t>
  </si>
  <si>
    <t>gene08609-v1.0-hybrid</t>
  </si>
  <si>
    <t>gene08909-v1.0-hybrid</t>
  </si>
  <si>
    <t>gene09209-v1.0-hybrid</t>
  </si>
  <si>
    <t>gene09509-v1.0-hybrid</t>
  </si>
  <si>
    <t>gene09809-v1.0-hybrid</t>
  </si>
  <si>
    <t>gene10110-v1.0-hybrid</t>
  </si>
  <si>
    <t>gene10410-v1.0-hybrid</t>
  </si>
  <si>
    <t>gene10711-v1.0-hybrid</t>
  </si>
  <si>
    <t>gene11011-v1.0-hybrid</t>
  </si>
  <si>
    <t>gene11612-v1.0-hybrid</t>
  </si>
  <si>
    <t>gene11912-v1.0-hybrid</t>
  </si>
  <si>
    <t>gene12212-v1.0-hybrid</t>
  </si>
  <si>
    <t>gene12512-v1.0-hybrid</t>
  </si>
  <si>
    <t>gene12812-v1.0-hybrid</t>
  </si>
  <si>
    <t>gene13113-v1.0-hybrid</t>
  </si>
  <si>
    <t>gene13413-v1.0-hybrid</t>
  </si>
  <si>
    <t>gene13713-v1.0-hybrid</t>
  </si>
  <si>
    <t>gene14014-v1.0-hybrid</t>
  </si>
  <si>
    <t>gene14315-v1.0-hybrid</t>
  </si>
  <si>
    <t>gene14617-v1.0-hybrid</t>
  </si>
  <si>
    <t>gene15219-v1.0-hybrid</t>
  </si>
  <si>
    <t>gene15520-v1.0-hybrid</t>
  </si>
  <si>
    <t>gene16422-v1.0-hybrid</t>
  </si>
  <si>
    <t>gene17024-v1.0-hybrid</t>
  </si>
  <si>
    <t>gene17624-v1.0-hybrid</t>
  </si>
  <si>
    <t>gene18224-v1.0-hybrid</t>
  </si>
  <si>
    <t>gene18524-v1.0-hybrid</t>
  </si>
  <si>
    <t>gene18824-v1.0-hybrid</t>
  </si>
  <si>
    <t>gene19124-v1.0-hybrid</t>
  </si>
  <si>
    <t>gene19724-v1.0-hybrid</t>
  </si>
  <si>
    <t>gene20024-v1.0-hybrid</t>
  </si>
  <si>
    <t>gene20625-v1.0-hybrid</t>
  </si>
  <si>
    <t>gene20925-v1.0-hybrid</t>
  </si>
  <si>
    <t>gene21225-v1.0-hybrid</t>
  </si>
  <si>
    <t>gene21826-v1.0-hybrid</t>
  </si>
  <si>
    <t>gene22427-v1.0-hybrid</t>
  </si>
  <si>
    <t>gene22727-v1.0-hybrid</t>
  </si>
  <si>
    <t>gene23028-v1.0-hybrid</t>
  </si>
  <si>
    <t>gene23330-v1.0-hybrid</t>
  </si>
  <si>
    <t>gene23930-v1.0-hybrid</t>
  </si>
  <si>
    <t>gene24833-v1.0-hybrid</t>
  </si>
  <si>
    <t>gene25135-v1.0-hybrid</t>
  </si>
  <si>
    <t>gene25435-v1.0-hybrid</t>
  </si>
  <si>
    <t>gene25735-v1.0-hybrid</t>
  </si>
  <si>
    <t>gene26335-v1.0-hybrid</t>
  </si>
  <si>
    <t>gene26635-v1.0-hybrid</t>
  </si>
  <si>
    <t>gene26936-v1.0-hybrid</t>
  </si>
  <si>
    <t>gene27536-v1.0-hybrid</t>
  </si>
  <si>
    <t>gene28136-v1.0-hybrid</t>
  </si>
  <si>
    <t>gene28436-v1.0-hybrid</t>
  </si>
  <si>
    <t>gene28736-v1.0-hybrid</t>
  </si>
  <si>
    <t>gene29036-v1.0-hybrid</t>
  </si>
  <si>
    <t>gene29336-v1.0-hybrid</t>
  </si>
  <si>
    <t>gene29938-v1.0-hybrid</t>
  </si>
  <si>
    <t>gene30538-v1.0-hybrid</t>
  </si>
  <si>
    <t>gene30838-v1.0-hybrid</t>
  </si>
  <si>
    <t>gene31138-v1.0-hybrid</t>
  </si>
  <si>
    <t>gene31438-v1.0-hybrid</t>
  </si>
  <si>
    <t>gene31738-v1.0-hybrid</t>
  </si>
  <si>
    <t>gene32338-v1.0-hybrid</t>
  </si>
  <si>
    <t>gene33412-v1.0-hybrid</t>
  </si>
  <si>
    <t>gene34103-v1.0-hybrid</t>
  </si>
  <si>
    <t>gene34703-v1.0-hybrid</t>
  </si>
  <si>
    <t>gene00415-v1.0-hybrid</t>
  </si>
  <si>
    <t>gene00719-v1.0-hybrid</t>
  </si>
  <si>
    <t>gene01019-v1.0-hybrid</t>
  </si>
  <si>
    <t>gene01319-v1.0-hybrid</t>
  </si>
  <si>
    <t>gene01620-v1.0-hybrid</t>
  </si>
  <si>
    <t>gene01920-v1.0-hybrid</t>
  </si>
  <si>
    <t>gene02220-v1.0-hybrid</t>
  </si>
  <si>
    <t>gene02520-v1.0-hybrid</t>
  </si>
  <si>
    <t>gene03208-v1.0-hybrid</t>
  </si>
  <si>
    <t>gene03508-v1.0-hybrid</t>
  </si>
  <si>
    <t>gene03808-v1.0-hybrid</t>
  </si>
  <si>
    <t>gene04108-v1.0-hybrid</t>
  </si>
  <si>
    <t>gene04408-v1.0-hybrid</t>
  </si>
  <si>
    <t>gene05008-v1.0-hybrid</t>
  </si>
  <si>
    <t>gene05309-v1.0-hybrid</t>
  </si>
  <si>
    <t>gene05609-v1.0-hybrid</t>
  </si>
  <si>
    <t>gene06209-v1.0-hybrid</t>
  </si>
  <si>
    <t>gene06809-v1.0-hybrid</t>
  </si>
  <si>
    <t>gene07109-v1.0-hybrid</t>
  </si>
  <si>
    <t>gene07409-v1.0-hybrid</t>
  </si>
  <si>
    <t>gene07709-v1.0-hybrid</t>
  </si>
  <si>
    <t>gene08310-v1.0-hybrid</t>
  </si>
  <si>
    <t>gene08610-v1.0-hybrid</t>
  </si>
  <si>
    <t>gene08910-v1.0-hybrid</t>
  </si>
  <si>
    <t>gene09210-v1.0-hybrid</t>
  </si>
  <si>
    <t>gene09510-v1.0-hybrid</t>
  </si>
  <si>
    <t>gene09810-v1.0-hybrid</t>
  </si>
  <si>
    <t>gene10111-v1.0-hybrid</t>
  </si>
  <si>
    <t>gene10411-v1.0-hybrid</t>
  </si>
  <si>
    <t>gene10712-v1.0-hybrid</t>
  </si>
  <si>
    <t>gene11313-v1.0-hybrid</t>
  </si>
  <si>
    <t>gene12213-v1.0-hybrid</t>
  </si>
  <si>
    <t>gene12513-v1.0-hybrid</t>
  </si>
  <si>
    <t>gene12813-v1.0-hybrid</t>
  </si>
  <si>
    <t>gene13114-v1.0-hybrid</t>
  </si>
  <si>
    <t>gene13414-v1.0-hybrid</t>
  </si>
  <si>
    <t>gene13714-v1.0-hybrid</t>
  </si>
  <si>
    <t>gene14015-v1.0-hybrid</t>
  </si>
  <si>
    <t>gene14316-v1.0-hybrid</t>
  </si>
  <si>
    <t>gene14618-v1.0-hybrid</t>
  </si>
  <si>
    <t>gene15220-v1.0-hybrid</t>
  </si>
  <si>
    <t>gene15521-v1.0-hybrid</t>
  </si>
  <si>
    <t>gene15822-v1.0-hybrid</t>
  </si>
  <si>
    <t>gene16123-v1.0-hybrid</t>
  </si>
  <si>
    <t>gene16423-v1.0-hybrid</t>
  </si>
  <si>
    <t>gene17325-v1.0-hybrid</t>
  </si>
  <si>
    <t>gene17625-v1.0-hybrid</t>
  </si>
  <si>
    <t>gene18225-v1.0-hybrid</t>
  </si>
  <si>
    <t>gene18525-v1.0-hybrid</t>
  </si>
  <si>
    <t>gene18825-v1.0-hybrid</t>
  </si>
  <si>
    <t>gene19125-v1.0-hybrid</t>
  </si>
  <si>
    <t>gene19425-v1.0-hybrid</t>
  </si>
  <si>
    <t>gene19725-v1.0-hybrid</t>
  </si>
  <si>
    <t>gene20025-v1.0-hybrid</t>
  </si>
  <si>
    <t>gene20326-v1.0-hybrid</t>
  </si>
  <si>
    <t>gene20626-v1.0-hybrid</t>
  </si>
  <si>
    <t>gene20926-v1.0-hybrid</t>
  </si>
  <si>
    <t>gene21226-v1.0-hybrid</t>
  </si>
  <si>
    <t>gene21527-v1.0-hybrid</t>
  </si>
  <si>
    <t>gene21827-v1.0-hybrid</t>
  </si>
  <si>
    <t>gene22728-v1.0-hybrid</t>
  </si>
  <si>
    <t>gene23029-v1.0-hybrid</t>
  </si>
  <si>
    <t>gene23331-v1.0-hybrid</t>
  </si>
  <si>
    <t>gene23631-v1.0-hybrid</t>
  </si>
  <si>
    <t>gene23931-v1.0-hybrid</t>
  </si>
  <si>
    <t>gene24834-v1.0-hybrid</t>
  </si>
  <si>
    <t>gene25136-v1.0-hybrid</t>
  </si>
  <si>
    <t>gene25436-v1.0-hybrid</t>
  </si>
  <si>
    <t>gene26336-v1.0-hybrid</t>
  </si>
  <si>
    <t>gene26636-v1.0-hybrid</t>
  </si>
  <si>
    <t>gene26937-v1.0-hybrid</t>
  </si>
  <si>
    <t>gene27537-v1.0-hybrid</t>
  </si>
  <si>
    <t>gene27837-v1.0-hybrid</t>
  </si>
  <si>
    <t>gene28137-v1.0-hybrid</t>
  </si>
  <si>
    <t>gene28437-v1.0-hybrid</t>
  </si>
  <si>
    <t>gene29037-v1.0-hybrid</t>
  </si>
  <si>
    <t>gene29337-v1.0-hybrid</t>
  </si>
  <si>
    <t>gene30839-v1.0-hybrid</t>
  </si>
  <si>
    <t>gene31739-v1.0-hybrid</t>
  </si>
  <si>
    <t>gene32339-v1.0-hybrid</t>
  </si>
  <si>
    <t>gene32639-v1.0-hybrid</t>
  </si>
  <si>
    <t>gene33413-v1.0-hybrid</t>
  </si>
  <si>
    <t>gene33804-v1.0-hybrid</t>
  </si>
  <si>
    <t>gene34104-v1.0-hybrid</t>
  </si>
  <si>
    <t>gene34404-v1.0-hybrid</t>
  </si>
  <si>
    <t>gene34704-v1.0-hybrid</t>
  </si>
  <si>
    <t>gene00116-v1.0-hybrid</t>
  </si>
  <si>
    <t>gene00416-v1.0-hybrid</t>
  </si>
  <si>
    <t>gene00720-v1.0-hybrid</t>
  </si>
  <si>
    <t>gene01020-v1.0-hybrid</t>
  </si>
  <si>
    <t>gene01621-v1.0-hybrid</t>
  </si>
  <si>
    <t>gene01921-v1.0-hybrid</t>
  </si>
  <si>
    <t>gene02221-v1.0-hybrid</t>
  </si>
  <si>
    <t>gene02521-v1.0-hybrid</t>
  </si>
  <si>
    <t>gene03509-v1.0-hybrid</t>
  </si>
  <si>
    <t>gene03809-v1.0-hybrid</t>
  </si>
  <si>
    <t>gene04109-v1.0-hybrid</t>
  </si>
  <si>
    <t>gene04409-v1.0-hybrid</t>
  </si>
  <si>
    <t>gene05009-v1.0-hybrid</t>
  </si>
  <si>
    <t>gene05610-v1.0-hybrid</t>
  </si>
  <si>
    <t>gene05910-v1.0-hybrid</t>
  </si>
  <si>
    <t>gene06210-v1.0-hybrid</t>
  </si>
  <si>
    <t>gene06510-v1.0-hybrid</t>
  </si>
  <si>
    <t>gene06810-v1.0-hybrid</t>
  </si>
  <si>
    <t>gene07110-v1.0-hybrid</t>
  </si>
  <si>
    <t>gene07710-v1.0-hybrid</t>
  </si>
  <si>
    <t>gene08611-v1.0-hybrid</t>
  </si>
  <si>
    <t>gene08911-v1.0-hybrid</t>
  </si>
  <si>
    <t>gene09211-v1.0-hybrid</t>
  </si>
  <si>
    <t>gene09511-v1.0-hybrid</t>
  </si>
  <si>
    <t>gene09811-v1.0-hybrid</t>
  </si>
  <si>
    <t>gene10112-v1.0-hybrid</t>
  </si>
  <si>
    <t>gene10412-v1.0-hybrid</t>
  </si>
  <si>
    <t>gene10713-v1.0-hybrid</t>
  </si>
  <si>
    <t>gene11013-v1.0-hybrid</t>
  </si>
  <si>
    <t>gene11314-v1.0-hybrid</t>
  </si>
  <si>
    <t>gene11614-v1.0-hybrid</t>
  </si>
  <si>
    <t>gene11914-v1.0-hybrid</t>
  </si>
  <si>
    <t>gene12214-v1.0-hybrid</t>
  </si>
  <si>
    <t>gene12514-v1.0-hybrid</t>
  </si>
  <si>
    <t>gene12814-v1.0-hybrid</t>
  </si>
  <si>
    <t>gene13115-v1.0-hybrid</t>
  </si>
  <si>
    <t>gene13415-v1.0-hybrid</t>
  </si>
  <si>
    <t>gene13715-v1.0-hybrid</t>
  </si>
  <si>
    <t>gene14016-v1.0-hybrid</t>
  </si>
  <si>
    <t>gene14619-v1.0-hybrid</t>
  </si>
  <si>
    <t>gene15221-v1.0-hybrid</t>
  </si>
  <si>
    <t>gene15823-v1.0-hybrid</t>
  </si>
  <si>
    <t>gene16424-v1.0-hybrid</t>
  </si>
  <si>
    <t>gene16724-v1.0-hybrid</t>
  </si>
  <si>
    <t>gene17026-v1.0-hybrid</t>
  </si>
  <si>
    <t>gene17326-v1.0-hybrid</t>
  </si>
  <si>
    <t>gene17626-v1.0-hybrid</t>
  </si>
  <si>
    <t>gene18226-v1.0-hybrid</t>
  </si>
  <si>
    <t>gene18526-v1.0-hybrid</t>
  </si>
  <si>
    <t>gene18826-v1.0-hybrid</t>
  </si>
  <si>
    <t>gene19126-v1.0-hybrid</t>
  </si>
  <si>
    <t>gene19426-v1.0-hybrid</t>
  </si>
  <si>
    <t>gene20327-v1.0-hybrid</t>
  </si>
  <si>
    <t>gene20927-v1.0-hybrid</t>
  </si>
  <si>
    <t>gene21227-v1.0-hybrid</t>
  </si>
  <si>
    <t>gene21528-v1.0-hybrid</t>
  </si>
  <si>
    <t>gene23332-v1.0-hybrid</t>
  </si>
  <si>
    <t>gene23632-v1.0-hybrid</t>
  </si>
  <si>
    <t>gene23932-v1.0-hybrid</t>
  </si>
  <si>
    <t>gene24535-v1.0-hybrid</t>
  </si>
  <si>
    <t>gene24835-v1.0-hybrid</t>
  </si>
  <si>
    <t>gene25137-v1.0-hybrid</t>
  </si>
  <si>
    <t>gene25737-v1.0-hybrid</t>
  </si>
  <si>
    <t>gene26037-v1.0-hybrid</t>
  </si>
  <si>
    <t>gene26337-v1.0-hybrid</t>
  </si>
  <si>
    <t>gene26637-v1.0-hybrid</t>
  </si>
  <si>
    <t>gene26938-v1.0-hybrid</t>
  </si>
  <si>
    <t>gene27238-v1.0-hybrid</t>
  </si>
  <si>
    <t>gene27538-v1.0-hybrid</t>
  </si>
  <si>
    <t>gene27838-v1.0-hybrid</t>
  </si>
  <si>
    <t>gene28438-v1.0-hybrid</t>
  </si>
  <si>
    <t>gene29038-v1.0-hybrid</t>
  </si>
  <si>
    <t>gene29940-v1.0-hybrid</t>
  </si>
  <si>
    <t>gene30240-v1.0-hybrid</t>
  </si>
  <si>
    <t>gene30540-v1.0-hybrid</t>
  </si>
  <si>
    <t>gene30840-v1.0-hybrid</t>
  </si>
  <si>
    <t>gene31140-v1.0-hybrid</t>
  </si>
  <si>
    <t>gene31440-v1.0-hybrid</t>
  </si>
  <si>
    <t>gene31740-v1.0-hybrid</t>
  </si>
  <si>
    <t>gene32340-v1.0-hybrid</t>
  </si>
  <si>
    <t>gene32640-v1.0-hybrid</t>
  </si>
  <si>
    <t>gene33414-v1.0-hybrid</t>
  </si>
  <si>
    <t>gene33805-v1.0-hybrid</t>
  </si>
  <si>
    <t>gene34105-v1.0-hybrid</t>
  </si>
  <si>
    <t>gene34705-v1.0-hybrid</t>
  </si>
  <si>
    <t>gene00117-v1.0-hybrid</t>
  </si>
  <si>
    <t>gene00417-v1.0-hybrid</t>
  </si>
  <si>
    <t>gene00721-v1.0-hybrid</t>
  </si>
  <si>
    <t>gene01021-v1.0-hybrid</t>
  </si>
  <si>
    <t>gene01321-v1.0-hybrid</t>
  </si>
  <si>
    <t>gene01622-v1.0-hybrid</t>
  </si>
  <si>
    <t>gene03210-v1.0-hybrid</t>
  </si>
  <si>
    <t>gene03810-v1.0-hybrid</t>
  </si>
  <si>
    <t>gene04110-v1.0-hybrid</t>
  </si>
  <si>
    <t>gene04710-v1.0-hybrid</t>
  </si>
  <si>
    <t>gene05311-v1.0-hybrid</t>
  </si>
  <si>
    <t>gene05911-v1.0-hybrid</t>
  </si>
  <si>
    <t>gene06811-v1.0-hybrid</t>
  </si>
  <si>
    <t>gene07111-v1.0-hybrid</t>
  </si>
  <si>
    <t>gene07711-v1.0-hybrid</t>
  </si>
  <si>
    <t>gene08012-v1.0-hybrid</t>
  </si>
  <si>
    <t>gene08312-v1.0-hybrid</t>
  </si>
  <si>
    <t>gene08612-v1.0-hybrid</t>
  </si>
  <si>
    <t>gene08912-v1.0-hybrid</t>
  </si>
  <si>
    <t>gene09512-v1.0-hybrid</t>
  </si>
  <si>
    <t>gene09812-v1.0-hybrid</t>
  </si>
  <si>
    <t>gene10113-v1.0-hybrid</t>
  </si>
  <si>
    <t>gene10413-v1.0-hybrid</t>
  </si>
  <si>
    <t>gene10714-v1.0-hybrid</t>
  </si>
  <si>
    <t>gene11315-v1.0-hybrid</t>
  </si>
  <si>
    <t>gene11615-v1.0-hybrid</t>
  </si>
  <si>
    <t>gene11915-v1.0-hybrid</t>
  </si>
  <si>
    <t>gene12515-v1.0-hybrid</t>
  </si>
  <si>
    <t>gene12815-v1.0-hybrid</t>
  </si>
  <si>
    <t>gene13116-v1.0-hybrid</t>
  </si>
  <si>
    <t>gene13416-v1.0-hybrid</t>
  </si>
  <si>
    <t>gene13716-v1.0-hybrid</t>
  </si>
  <si>
    <t>gene14017-v1.0-hybrid</t>
  </si>
  <si>
    <t>gene14318-v1.0-hybrid</t>
  </si>
  <si>
    <t>gene14620-v1.0-hybrid</t>
  </si>
  <si>
    <t>gene14921-v1.0-hybrid</t>
  </si>
  <si>
    <t>gene15222-v1.0-hybrid</t>
  </si>
  <si>
    <t>gene15824-v1.0-hybrid</t>
  </si>
  <si>
    <t>gene16425-v1.0-hybrid</t>
  </si>
  <si>
    <t>gene16725-v1.0-hybrid</t>
  </si>
  <si>
    <t>gene17027-v1.0-hybrid</t>
  </si>
  <si>
    <t>gene17327-v1.0-hybrid</t>
  </si>
  <si>
    <t>gene18527-v1.0-hybrid</t>
  </si>
  <si>
    <t>gene18827-v1.0-hybrid</t>
  </si>
  <si>
    <t>gene19127-v1.0-hybrid</t>
  </si>
  <si>
    <t>gene19427-v1.0-hybrid</t>
  </si>
  <si>
    <t>gene19727-v1.0-hybrid</t>
  </si>
  <si>
    <t>gene20027-v1.0-hybrid</t>
  </si>
  <si>
    <t>gene20328-v1.0-hybrid</t>
  </si>
  <si>
    <t>gene20928-v1.0-hybrid</t>
  </si>
  <si>
    <t>gene21228-v1.0-hybrid</t>
  </si>
  <si>
    <t>gene21529-v1.0-hybrid</t>
  </si>
  <si>
    <t>gene21829-v1.0-hybrid</t>
  </si>
  <si>
    <t>gene22129-v1.0-hybrid</t>
  </si>
  <si>
    <t>gene22430-v1.0-hybrid</t>
  </si>
  <si>
    <t>gene22731-v1.0-hybrid</t>
  </si>
  <si>
    <t>gene23031-v1.0-hybrid</t>
  </si>
  <si>
    <t>gene23333-v1.0-hybrid</t>
  </si>
  <si>
    <t>gene23633-v1.0-hybrid</t>
  </si>
  <si>
    <t>gene23933-v1.0-hybrid</t>
  </si>
  <si>
    <t>gene24235-v1.0-hybrid</t>
  </si>
  <si>
    <t>gene24536-v1.0-hybrid</t>
  </si>
  <si>
    <t>gene24838-v1.0-hybrid</t>
  </si>
  <si>
    <t>gene25138-v1.0-hybrid</t>
  </si>
  <si>
    <t>gene25438-v1.0-hybrid</t>
  </si>
  <si>
    <t>gene25738-v1.0-hybrid</t>
  </si>
  <si>
    <t>gene26038-v1.0-hybrid</t>
  </si>
  <si>
    <t>gene26338-v1.0-hybrid</t>
  </si>
  <si>
    <t>gene26638-v1.0-hybrid</t>
  </si>
  <si>
    <t>gene26939-v1.0-hybrid</t>
  </si>
  <si>
    <t>gene27239-v1.0-hybrid</t>
  </si>
  <si>
    <t>gene27539-v1.0-hybrid</t>
  </si>
  <si>
    <t>gene27839-v1.0-hybrid</t>
  </si>
  <si>
    <t>gene28439-v1.0-hybrid</t>
  </si>
  <si>
    <t>gene28739-v1.0-hybrid</t>
  </si>
  <si>
    <t>gene29039-v1.0-hybrid</t>
  </si>
  <si>
    <t>gene29941-v1.0-hybrid</t>
  </si>
  <si>
    <t>gene30241-v1.0-hybrid</t>
  </si>
  <si>
    <t>gene30541-v1.0-hybrid</t>
  </si>
  <si>
    <t>gene30841-v1.0-hybrid</t>
  </si>
  <si>
    <t>gene31141-v1.0-hybrid</t>
  </si>
  <si>
    <t>gene31441-v1.0-hybrid</t>
  </si>
  <si>
    <t>gene31741-v1.0-hybrid</t>
  </si>
  <si>
    <t>gene32041-v1.0-hybrid</t>
  </si>
  <si>
    <t>gene32341-v1.0-hybrid</t>
  </si>
  <si>
    <t>gene32641-v1.0-hybrid</t>
  </si>
  <si>
    <t>gene33415-v1.0-hybrid</t>
  </si>
  <si>
    <t>gene33806-v1.0-hybrid</t>
  </si>
  <si>
    <t>gene34406-v1.0-hybrid</t>
  </si>
  <si>
    <t>gene00118-v1.0-hybrid</t>
  </si>
  <si>
    <t>gene00418-v1.0-hybrid</t>
  </si>
  <si>
    <t>gene00722-v1.0-hybrid</t>
  </si>
  <si>
    <t>gene01022-v1.0-hybrid</t>
  </si>
  <si>
    <t>gene01322-v1.0-hybrid</t>
  </si>
  <si>
    <t>gene01623-v1.0-hybrid</t>
  </si>
  <si>
    <t>gene02223-v1.0-hybrid</t>
  </si>
  <si>
    <t>gene02523-v1.0-hybrid</t>
  </si>
  <si>
    <t>gene03511-v1.0-hybrid</t>
  </si>
  <si>
    <t>gene03811-v1.0-hybrid</t>
  </si>
  <si>
    <t>gene04111-v1.0-hybrid</t>
  </si>
  <si>
    <t>gene04411-v1.0-hybrid</t>
  </si>
  <si>
    <t>gene04711-v1.0-hybrid</t>
  </si>
  <si>
    <t>gene05312-v1.0-hybrid</t>
  </si>
  <si>
    <t>gene05612-v1.0-hybrid</t>
  </si>
  <si>
    <t>gene05912-v1.0-hybrid</t>
  </si>
  <si>
    <t>gene06212-v1.0-hybrid</t>
  </si>
  <si>
    <t>gene06512-v1.0-hybrid</t>
  </si>
  <si>
    <t>gene06812-v1.0-hybrid</t>
  </si>
  <si>
    <t>gene07112-v1.0-hybrid</t>
  </si>
  <si>
    <t>gene07412-v1.0-hybrid</t>
  </si>
  <si>
    <t>gene07712-v1.0-hybrid</t>
  </si>
  <si>
    <t>gene08013-v1.0-hybrid</t>
  </si>
  <si>
    <t>gene08313-v1.0-hybrid</t>
  </si>
  <si>
    <t>gene08613-v1.0-hybrid</t>
  </si>
  <si>
    <t>gene08913-v1.0-hybrid</t>
  </si>
  <si>
    <t>gene09213-v1.0-hybrid</t>
  </si>
  <si>
    <t>gene09513-v1.0-hybrid</t>
  </si>
  <si>
    <t>gene09813-v1.0-hybrid</t>
  </si>
  <si>
    <t>gene10114-v1.0-hybrid</t>
  </si>
  <si>
    <t>gene10715-v1.0-hybrid</t>
  </si>
  <si>
    <t>gene11015-v1.0-hybrid</t>
  </si>
  <si>
    <t>gene11316-v1.0-hybrid</t>
  </si>
  <si>
    <t>gene12216-v1.0-hybrid</t>
  </si>
  <si>
    <t>gene12816-v1.0-hybrid</t>
  </si>
  <si>
    <t>gene13117-v1.0-hybrid</t>
  </si>
  <si>
    <t>gene13417-v1.0-hybrid</t>
  </si>
  <si>
    <t>gene14018-v1.0-hybrid</t>
  </si>
  <si>
    <t>gene14621-v1.0-hybrid</t>
  </si>
  <si>
    <t>gene15223-v1.0-hybrid</t>
  </si>
  <si>
    <t>gene15524-v1.0-hybrid</t>
  </si>
  <si>
    <t>gene15825-v1.0-hybrid</t>
  </si>
  <si>
    <t>gene16426-v1.0-hybrid</t>
  </si>
  <si>
    <t>gene16726-v1.0-hybrid</t>
  </si>
  <si>
    <t>gene17328-v1.0-hybrid</t>
  </si>
  <si>
    <t>gene17628-v1.0-hybrid</t>
  </si>
  <si>
    <t>gene17928-v1.0-hybrid</t>
  </si>
  <si>
    <t>gene18528-v1.0-hybrid</t>
  </si>
  <si>
    <t>gene19128-v1.0-hybrid</t>
  </si>
  <si>
    <t>gene19428-v1.0-hybrid</t>
  </si>
  <si>
    <t>gene20028-v1.0-hybrid</t>
  </si>
  <si>
    <t>gene20329-v1.0-hybrid</t>
  </si>
  <si>
    <t>gene20629-v1.0-hybrid</t>
  </si>
  <si>
    <t>gene20929-v1.0-hybrid</t>
  </si>
  <si>
    <t>gene21229-v1.0-hybrid</t>
  </si>
  <si>
    <t>gene21530-v1.0-hybrid</t>
  </si>
  <si>
    <t>gene21830-v1.0-hybrid</t>
  </si>
  <si>
    <t>gene22130-v1.0-hybrid</t>
  </si>
  <si>
    <t>gene22431-v1.0-hybrid</t>
  </si>
  <si>
    <t>gene23032-v1.0-hybrid</t>
  </si>
  <si>
    <t>gene23634-v1.0-hybrid</t>
  </si>
  <si>
    <t>gene23934-v1.0-hybrid</t>
  </si>
  <si>
    <t>gene24236-v1.0-hybrid</t>
  </si>
  <si>
    <t>gene24537-v1.0-hybrid</t>
  </si>
  <si>
    <t>gene24839-v1.0-hybrid</t>
  </si>
  <si>
    <t>gene25439-v1.0-hybrid</t>
  </si>
  <si>
    <t>gene25739-v1.0-hybrid</t>
  </si>
  <si>
    <t>gene26339-v1.0-hybrid</t>
  </si>
  <si>
    <t>gene26639-v1.0-hybrid</t>
  </si>
  <si>
    <t>gene26940-v1.0-hybrid</t>
  </si>
  <si>
    <t>gene27240-v1.0-hybrid</t>
  </si>
  <si>
    <t>gene27540-v1.0-hybrid</t>
  </si>
  <si>
    <t>gene27840-v1.0-hybrid</t>
  </si>
  <si>
    <t>gene28140-v1.0-hybrid</t>
  </si>
  <si>
    <t>gene28740-v1.0-hybrid</t>
  </si>
  <si>
    <t>gene29340-v1.0-hybrid</t>
  </si>
  <si>
    <t>gene29641-v1.0-hybrid</t>
  </si>
  <si>
    <t>gene29942-v1.0-hybrid</t>
  </si>
  <si>
    <t>gene30242-v1.0-hybrid</t>
  </si>
  <si>
    <t>gene30542-v1.0-hybrid</t>
  </si>
  <si>
    <t>gene31142-v1.0-hybrid</t>
  </si>
  <si>
    <t>gene31442-v1.0-hybrid</t>
  </si>
  <si>
    <t>gene31742-v1.0-hybrid</t>
  </si>
  <si>
    <t>gene32342-v1.0-hybrid</t>
  </si>
  <si>
    <t>gene33416-v1.0-hybrid</t>
  </si>
  <si>
    <t>gene33807-v1.0-hybrid</t>
  </si>
  <si>
    <t>gene34707-v1.0-hybrid</t>
  </si>
  <si>
    <t>gene35007-v1.0-hybrid</t>
  </si>
  <si>
    <t>gene00119-v1.0-hybrid</t>
  </si>
  <si>
    <t>gene00419-v1.0-hybrid</t>
  </si>
  <si>
    <t>gene00723-v1.0-hybrid</t>
  </si>
  <si>
    <t>gene01023-v1.0-hybrid</t>
  </si>
  <si>
    <t>gene01323-v1.0-hybrid</t>
  </si>
  <si>
    <t>gene01624-v1.0-hybrid</t>
  </si>
  <si>
    <t>gene02224-v1.0-hybrid</t>
  </si>
  <si>
    <t>gene02524-v1.0-hybrid</t>
  </si>
  <si>
    <t>gene03512-v1.0-hybrid</t>
  </si>
  <si>
    <t>gene03812-v1.0-hybrid</t>
  </si>
  <si>
    <t>gene04112-v1.0-hybrid</t>
  </si>
  <si>
    <t>gene04412-v1.0-hybrid</t>
  </si>
  <si>
    <t>gene04712-v1.0-hybrid</t>
  </si>
  <si>
    <t>gene05313-v1.0-hybrid</t>
  </si>
  <si>
    <t>gene05613-v1.0-hybrid</t>
  </si>
  <si>
    <t>gene05913-v1.0-hybrid</t>
  </si>
  <si>
    <t>gene06213-v1.0-hybrid</t>
  </si>
  <si>
    <t>gene06813-v1.0-hybrid</t>
  </si>
  <si>
    <t>gene07113-v1.0-hybrid</t>
  </si>
  <si>
    <t>gene07413-v1.0-hybrid</t>
  </si>
  <si>
    <t>gene07713-v1.0-hybrid</t>
  </si>
  <si>
    <t>gene08614-v1.0-hybrid</t>
  </si>
  <si>
    <t>gene08914-v1.0-hybrid</t>
  </si>
  <si>
    <t>gene09214-v1.0-hybrid</t>
  </si>
  <si>
    <t>gene09514-v1.0-hybrid</t>
  </si>
  <si>
    <t>gene09814-v1.0-hybrid</t>
  </si>
  <si>
    <t>gene10716-v1.0-hybrid</t>
  </si>
  <si>
    <t>gene11016-v1.0-hybrid</t>
  </si>
  <si>
    <t>gene11617-v1.0-hybrid</t>
  </si>
  <si>
    <t>gene11917-v1.0-hybrid</t>
  </si>
  <si>
    <t>gene12517-v1.0-hybrid</t>
  </si>
  <si>
    <t>gene12817-v1.0-hybrid</t>
  </si>
  <si>
    <t>gene13118-v1.0-hybrid</t>
  </si>
  <si>
    <t>gene13418-v1.0-hybrid</t>
  </si>
  <si>
    <t>gene13718-v1.0-hybrid</t>
  </si>
  <si>
    <t>gene14019-v1.0-hybrid</t>
  </si>
  <si>
    <t>gene14320-v1.0-hybrid</t>
  </si>
  <si>
    <t>gene14622-v1.0-hybrid</t>
  </si>
  <si>
    <t>gene14923-v1.0-hybrid</t>
  </si>
  <si>
    <t>gene15525-v1.0-hybrid</t>
  </si>
  <si>
    <t>gene15826-v1.0-hybrid</t>
  </si>
  <si>
    <t>gene16727-v1.0-hybrid</t>
  </si>
  <si>
    <t>gene17029-v1.0-hybrid</t>
  </si>
  <si>
    <t>gene17329-v1.0-hybrid</t>
  </si>
  <si>
    <t>gene17629-v1.0-hybrid</t>
  </si>
  <si>
    <t>gene17929-v1.0-hybrid</t>
  </si>
  <si>
    <t>gene18229-v1.0-hybrid</t>
  </si>
  <si>
    <t>gene18529-v1.0-hybrid</t>
  </si>
  <si>
    <t>gene18829-v1.0-hybrid</t>
  </si>
  <si>
    <t>gene19129-v1.0-hybrid</t>
  </si>
  <si>
    <t>gene19429-v1.0-hybrid</t>
  </si>
  <si>
    <t>gene19729-v1.0-hybrid</t>
  </si>
  <si>
    <t>gene20029-v1.0-hybrid</t>
  </si>
  <si>
    <t>gene20330-v1.0-hybrid</t>
  </si>
  <si>
    <t>gene20630-v1.0-hybrid</t>
  </si>
  <si>
    <t>gene20930-v1.0-hybrid</t>
  </si>
  <si>
    <t>gene21531-v1.0-hybrid</t>
  </si>
  <si>
    <t>gene22432-v1.0-hybrid</t>
  </si>
  <si>
    <t>gene22733-v1.0-hybrid</t>
  </si>
  <si>
    <t>gene23335-v1.0-hybrid</t>
  </si>
  <si>
    <t>gene23635-v1.0-hybrid</t>
  </si>
  <si>
    <t>gene23935-v1.0-hybrid</t>
  </si>
  <si>
    <t>gene24840-v1.0-hybrid</t>
  </si>
  <si>
    <t>gene25140-v1.0-hybrid</t>
  </si>
  <si>
    <t>gene25740-v1.0-hybrid</t>
  </si>
  <si>
    <t>gene26040-v1.0-hybrid</t>
  </si>
  <si>
    <t>gene26340-v1.0-hybrid</t>
  </si>
  <si>
    <t>gene26640-v1.0-hybrid</t>
  </si>
  <si>
    <t>gene26941-v1.0-hybrid</t>
  </si>
  <si>
    <t>gene27541-v1.0-hybrid</t>
  </si>
  <si>
    <t>gene27841-v1.0-hybrid</t>
  </si>
  <si>
    <t>gene28141-v1.0-hybrid</t>
  </si>
  <si>
    <t>gene28741-v1.0-hybrid</t>
  </si>
  <si>
    <t>gene29041-v1.0-hybrid</t>
  </si>
  <si>
    <t>gene29341-v1.0-hybrid</t>
  </si>
  <si>
    <t>gene29943-v1.0-hybrid</t>
  </si>
  <si>
    <t>gene30243-v1.0-hybrid</t>
  </si>
  <si>
    <t>gene30543-v1.0-hybrid</t>
  </si>
  <si>
    <t>gene30843-v1.0-hybrid</t>
  </si>
  <si>
    <t>gene31143-v1.0-hybrid</t>
  </si>
  <si>
    <t>gene31443-v1.0-hybrid</t>
  </si>
  <si>
    <t>gene31743-v1.0-hybrid</t>
  </si>
  <si>
    <t>gene32043-v1.0-hybrid</t>
  </si>
  <si>
    <t>gene32343-v1.0-hybrid</t>
  </si>
  <si>
    <t>gene32643-v1.0-hybrid</t>
  </si>
  <si>
    <t>gene34408-v1.0-hybrid</t>
  </si>
  <si>
    <t>gene35008-v1.0-hybrid</t>
  </si>
  <si>
    <t>gene00120-v1.0-hybrid</t>
  </si>
  <si>
    <t>gene00420-v1.0-hybrid</t>
  </si>
  <si>
    <t>gene00724-v1.0-hybrid</t>
  </si>
  <si>
    <t>gene01024-v1.0-hybrid</t>
  </si>
  <si>
    <t>gene01324-v1.0-hybrid</t>
  </si>
  <si>
    <t>gene01925-v1.0-hybrid</t>
  </si>
  <si>
    <t>gene02225-v1.0-hybrid</t>
  </si>
  <si>
    <t>gene02525-v1.0-hybrid</t>
  </si>
  <si>
    <t>gene03513-v1.0-hybrid</t>
  </si>
  <si>
    <t>gene03813-v1.0-hybrid</t>
  </si>
  <si>
    <t>gene04113-v1.0-hybrid</t>
  </si>
  <si>
    <t>gene04413-v1.0-hybrid</t>
  </si>
  <si>
    <t>gene05013-v1.0-hybrid</t>
  </si>
  <si>
    <t>gene05314-v1.0-hybrid</t>
  </si>
  <si>
    <t>gene05614-v1.0-hybrid</t>
  </si>
  <si>
    <t>gene05914-v1.0-hybrid</t>
  </si>
  <si>
    <t>gene06214-v1.0-hybrid</t>
  </si>
  <si>
    <t>gene06514-v1.0-hybrid</t>
  </si>
  <si>
    <t>gene06814-v1.0-hybrid</t>
  </si>
  <si>
    <t>gene07114-v1.0-hybrid</t>
  </si>
  <si>
    <t>gene07414-v1.0-hybrid</t>
  </si>
  <si>
    <t>gene07714-v1.0-hybrid</t>
  </si>
  <si>
    <t>gene08315-v1.0-hybrid</t>
  </si>
  <si>
    <t>gene08615-v1.0-hybrid</t>
  </si>
  <si>
    <t>gene08915-v1.0-hybrid</t>
  </si>
  <si>
    <t>gene09215-v1.0-hybrid</t>
  </si>
  <si>
    <t>gene09515-v1.0-hybrid</t>
  </si>
  <si>
    <t>gene11017-v1.0-hybrid</t>
  </si>
  <si>
    <t>gene11318-v1.0-hybrid</t>
  </si>
  <si>
    <t>gene11618-v1.0-hybrid</t>
  </si>
  <si>
    <t>gene12218-v1.0-hybrid</t>
  </si>
  <si>
    <t>gene12518-v1.0-hybrid</t>
  </si>
  <si>
    <t>gene12818-v1.0-hybrid</t>
  </si>
  <si>
    <t>gene13119-v1.0-hybrid</t>
  </si>
  <si>
    <t>gene13419-v1.0-hybrid</t>
  </si>
  <si>
    <t>gene14321-v1.0-hybrid</t>
  </si>
  <si>
    <t>gene14623-v1.0-hybrid</t>
  </si>
  <si>
    <t>gene14924-v1.0-hybrid</t>
  </si>
  <si>
    <t>gene15225-v1.0-hybrid</t>
  </si>
  <si>
    <t>gene15526-v1.0-hybrid</t>
  </si>
  <si>
    <t>gene16128-v1.0-hybrid</t>
  </si>
  <si>
    <t>gene16428-v1.0-hybrid</t>
  </si>
  <si>
    <t>gene16728-v1.0-hybrid</t>
  </si>
  <si>
    <t>gene17030-v1.0-hybrid</t>
  </si>
  <si>
    <t>gene17330-v1.0-hybrid</t>
  </si>
  <si>
    <t>gene17630-v1.0-hybrid</t>
  </si>
  <si>
    <t>gene17930-v1.0-hybrid</t>
  </si>
  <si>
    <t>gene18530-v1.0-hybrid</t>
  </si>
  <si>
    <t>gene19130-v1.0-hybrid</t>
  </si>
  <si>
    <t>gene19730-v1.0-hybrid</t>
  </si>
  <si>
    <t>gene20030-v1.0-hybrid</t>
  </si>
  <si>
    <t>gene20331-v1.0-hybrid</t>
  </si>
  <si>
    <t>gene20631-v1.0-hybrid</t>
  </si>
  <si>
    <t>gene20931-v1.0-hybrid</t>
  </si>
  <si>
    <t>gene21231-v1.0-hybrid</t>
  </si>
  <si>
    <t>gene21532-v1.0-hybrid</t>
  </si>
  <si>
    <t>gene21832-v1.0-hybrid</t>
  </si>
  <si>
    <t>gene22132-v1.0-hybrid</t>
  </si>
  <si>
    <t>gene23034-v1.0-hybrid</t>
  </si>
  <si>
    <t>gene23336-v1.0-hybrid</t>
  </si>
  <si>
    <t>gene23936-v1.0-hybrid</t>
  </si>
  <si>
    <t>gene24238-v1.0-hybrid</t>
  </si>
  <si>
    <t>gene24539-v1.0-hybrid</t>
  </si>
  <si>
    <t>gene24841-v1.0-hybrid</t>
  </si>
  <si>
    <t>gene25741-v1.0-hybrid</t>
  </si>
  <si>
    <t>gene26041-v1.0-hybrid</t>
  </si>
  <si>
    <t>gene26341-v1.0-hybrid</t>
  </si>
  <si>
    <t>gene26942-v1.0-hybrid</t>
  </si>
  <si>
    <t>gene27242-v1.0-hybrid</t>
  </si>
  <si>
    <t>gene27542-v1.0-hybrid</t>
  </si>
  <si>
    <t>gene27842-v1.0-hybrid</t>
  </si>
  <si>
    <t>gene28142-v1.0-hybrid</t>
  </si>
  <si>
    <t>gene28442-v1.0-hybrid</t>
  </si>
  <si>
    <t>gene28742-v1.0-hybrid</t>
  </si>
  <si>
    <t>gene29042-v1.0-hybrid</t>
  </si>
  <si>
    <t>gene29342-v1.0-hybrid</t>
  </si>
  <si>
    <t>gene29643-v1.0-hybrid</t>
  </si>
  <si>
    <t>gene29944-v1.0-hybrid</t>
  </si>
  <si>
    <t>gene30244-v1.0-hybrid</t>
  </si>
  <si>
    <t>gene30544-v1.0-hybrid</t>
  </si>
  <si>
    <t>gene31144-v1.0-hybrid</t>
  </si>
  <si>
    <t>gene32044-v1.0-hybrid</t>
  </si>
  <si>
    <t>gene32344-v1.0-hybrid</t>
  </si>
  <si>
    <t>gene32644-v1.0-hybrid</t>
  </si>
  <si>
    <t>gene33017-v1.0-hybrid</t>
  </si>
  <si>
    <t>gene33809-v1.0-hybrid</t>
  </si>
  <si>
    <t>gene34409-v1.0-hybrid</t>
  </si>
  <si>
    <t>gene35009-v1.0-hybrid</t>
  </si>
  <si>
    <t>gene00121-v1.0-hybrid</t>
  </si>
  <si>
    <t>gene00421-v1.0-hybrid</t>
  </si>
  <si>
    <t>gene00725-v1.0-hybrid</t>
  </si>
  <si>
    <t>gene01025-v1.0-hybrid</t>
  </si>
  <si>
    <t>gene01325-v1.0-hybrid</t>
  </si>
  <si>
    <t>gene01626-v1.0-hybrid</t>
  </si>
  <si>
    <t>gene02226-v1.0-hybrid</t>
  </si>
  <si>
    <t>gene02526-v1.0-hybrid</t>
  </si>
  <si>
    <t>gene03214-v1.0-hybrid</t>
  </si>
  <si>
    <t>gene03814-v1.0-hybrid</t>
  </si>
  <si>
    <t>gene04114-v1.0-hybrid</t>
  </si>
  <si>
    <t>gene04414-v1.0-hybrid</t>
  </si>
  <si>
    <t>gene04714-v1.0-hybrid</t>
  </si>
  <si>
    <t>gene05014-v1.0-hybrid</t>
  </si>
  <si>
    <t>gene05615-v1.0-hybrid</t>
  </si>
  <si>
    <t>gene05915-v1.0-hybrid</t>
  </si>
  <si>
    <t>gene06215-v1.0-hybrid</t>
  </si>
  <si>
    <t>gene06515-v1.0-hybrid</t>
  </si>
  <si>
    <t>gene07115-v1.0-hybrid</t>
  </si>
  <si>
    <t>gene07715-v1.0-hybrid</t>
  </si>
  <si>
    <t>gene08016-v1.0-hybrid</t>
  </si>
  <si>
    <t>gene08316-v1.0-hybrid</t>
  </si>
  <si>
    <t>gene08616-v1.0-hybrid</t>
  </si>
  <si>
    <t>gene08916-v1.0-hybrid</t>
  </si>
  <si>
    <t>gene09216-v1.0-hybrid</t>
  </si>
  <si>
    <t>gene10117-v1.0-hybrid</t>
  </si>
  <si>
    <t>gene10417-v1.0-hybrid</t>
  </si>
  <si>
    <t>gene10718-v1.0-hybrid</t>
  </si>
  <si>
    <t>gene11018-v1.0-hybrid</t>
  </si>
  <si>
    <t>gene11319-v1.0-hybrid</t>
  </si>
  <si>
    <t>gene11619-v1.0-hybrid</t>
  </si>
  <si>
    <t>gene11919-v1.0-hybrid</t>
  </si>
  <si>
    <t>gene12219-v1.0-hybrid</t>
  </si>
  <si>
    <t>gene12519-v1.0-hybrid</t>
  </si>
  <si>
    <t>gene12819-v1.0-hybrid</t>
  </si>
  <si>
    <t>gene13120-v1.0-hybrid</t>
  </si>
  <si>
    <t>gene13420-v1.0-hybrid</t>
  </si>
  <si>
    <t>gene13720-v1.0-hybrid</t>
  </si>
  <si>
    <t>gene14021-v1.0-hybrid</t>
  </si>
  <si>
    <t>gene14322-v1.0-hybrid</t>
  </si>
  <si>
    <t>gene14624-v1.0-hybrid</t>
  </si>
  <si>
    <t>gene15226-v1.0-hybrid</t>
  </si>
  <si>
    <t>gene15527-v1.0-hybrid</t>
  </si>
  <si>
    <t>gene15828-v1.0-hybrid</t>
  </si>
  <si>
    <t>gene16129-v1.0-hybrid</t>
  </si>
  <si>
    <t>gene16429-v1.0-hybrid</t>
  </si>
  <si>
    <t>gene16729-v1.0-hybrid</t>
  </si>
  <si>
    <t>gene17031-v1.0-hybrid</t>
  </si>
  <si>
    <t>gene17331-v1.0-hybrid</t>
  </si>
  <si>
    <t>gene17631-v1.0-hybrid</t>
  </si>
  <si>
    <t>gene18231-v1.0-hybrid</t>
  </si>
  <si>
    <t>gene18531-v1.0-hybrid</t>
  </si>
  <si>
    <t>gene19131-v1.0-hybrid</t>
  </si>
  <si>
    <t>gene19731-v1.0-hybrid</t>
  </si>
  <si>
    <t>gene20031-v1.0-hybrid</t>
  </si>
  <si>
    <t>gene20332-v1.0-hybrid</t>
  </si>
  <si>
    <t>gene20632-v1.0-hybrid</t>
  </si>
  <si>
    <t>gene20932-v1.0-hybrid</t>
  </si>
  <si>
    <t>gene21232-v1.0-hybrid</t>
  </si>
  <si>
    <t>gene21533-v1.0-hybrid</t>
  </si>
  <si>
    <t>gene22133-v1.0-hybrid</t>
  </si>
  <si>
    <t>gene22434-v1.0-hybrid</t>
  </si>
  <si>
    <t>gene23337-v1.0-hybrid</t>
  </si>
  <si>
    <t>gene23637-v1.0-hybrid</t>
  </si>
  <si>
    <t>gene23937-v1.0-hybrid</t>
  </si>
  <si>
    <t>gene24239-v1.0-hybrid</t>
  </si>
  <si>
    <t>gene24842-v1.0-hybrid</t>
  </si>
  <si>
    <t>gene25142-v1.0-hybrid</t>
  </si>
  <si>
    <t>gene25442-v1.0-hybrid</t>
  </si>
  <si>
    <t>gene25742-v1.0-hybrid</t>
  </si>
  <si>
    <t>gene26342-v1.0-hybrid</t>
  </si>
  <si>
    <t>gene26642-v1.0-hybrid</t>
  </si>
  <si>
    <t>gene26943-v1.0-hybrid</t>
  </si>
  <si>
    <t>gene27543-v1.0-hybrid</t>
  </si>
  <si>
    <t>gene27843-v1.0-hybrid</t>
  </si>
  <si>
    <t>gene28143-v1.0-hybrid</t>
  </si>
  <si>
    <t>gene28443-v1.0-hybrid</t>
  </si>
  <si>
    <t>gene28743-v1.0-hybrid</t>
  </si>
  <si>
    <t>gene29043-v1.0-hybrid</t>
  </si>
  <si>
    <t>gene29343-v1.0-hybrid</t>
  </si>
  <si>
    <t>gene29644-v1.0-hybrid</t>
  </si>
  <si>
    <t>gene29945-v1.0-hybrid</t>
  </si>
  <si>
    <t>gene30245-v1.0-hybrid</t>
  </si>
  <si>
    <t>gene30545-v1.0-hybrid</t>
  </si>
  <si>
    <t>gene30845-v1.0-hybrid</t>
  </si>
  <si>
    <t>gene31145-v1.0-hybrid</t>
  </si>
  <si>
    <t>gene31445-v1.0-hybrid</t>
  </si>
  <si>
    <t>gene32045-v1.0-hybrid</t>
  </si>
  <si>
    <t>gene32645-v1.0-hybrid</t>
  </si>
  <si>
    <t>gene33019-v1.0-hybrid</t>
  </si>
  <si>
    <t>gene33810-v1.0-hybrid</t>
  </si>
  <si>
    <t>gene35010-v1.0-hybrid</t>
  </si>
  <si>
    <t>gene00122-v1.0-hybrid</t>
  </si>
  <si>
    <t>gene00422-v1.0-hybrid</t>
  </si>
  <si>
    <t>gene00726-v1.0-hybrid</t>
  </si>
  <si>
    <t>gene01026-v1.0-hybrid</t>
  </si>
  <si>
    <t>gene01326-v1.0-hybrid</t>
  </si>
  <si>
    <t>gene01627-v1.0-hybrid</t>
  </si>
  <si>
    <t>gene01927-v1.0-hybrid</t>
  </si>
  <si>
    <t>gene02227-v1.0-hybrid</t>
  </si>
  <si>
    <t>gene03215-v1.0-hybrid</t>
  </si>
  <si>
    <t>gene03515-v1.0-hybrid</t>
  </si>
  <si>
    <t>gene03815-v1.0-hybrid</t>
  </si>
  <si>
    <t>gene04115-v1.0-hybrid</t>
  </si>
  <si>
    <t>gene04415-v1.0-hybrid</t>
  </si>
  <si>
    <t>gene04715-v1.0-hybrid</t>
  </si>
  <si>
    <t>gene05015-v1.0-hybrid</t>
  </si>
  <si>
    <t>gene05316-v1.0-hybrid</t>
  </si>
  <si>
    <t>gene05616-v1.0-hybrid</t>
  </si>
  <si>
    <t>gene06816-v1.0-hybrid</t>
  </si>
  <si>
    <t>gene07116-v1.0-hybrid</t>
  </si>
  <si>
    <t>gene07416-v1.0-hybrid</t>
  </si>
  <si>
    <t>gene08317-v1.0-hybrid</t>
  </si>
  <si>
    <t>gene08917-v1.0-hybrid</t>
  </si>
  <si>
    <t>gene09817-v1.0-hybrid</t>
  </si>
  <si>
    <t>gene10118-v1.0-hybrid</t>
  </si>
  <si>
    <t>gene10418-v1.0-hybrid</t>
  </si>
  <si>
    <t>gene10719-v1.0-hybrid</t>
  </si>
  <si>
    <t>gene11019-v1.0-hybrid</t>
  </si>
  <si>
    <t>gene11620-v1.0-hybrid</t>
  </si>
  <si>
    <t>gene11920-v1.0-hybrid</t>
  </si>
  <si>
    <t>gene12220-v1.0-hybrid</t>
  </si>
  <si>
    <t>gene12520-v1.0-hybrid</t>
  </si>
  <si>
    <t>gene12820-v1.0-hybrid</t>
  </si>
  <si>
    <t>gene13121-v1.0-hybrid</t>
  </si>
  <si>
    <t>gene13421-v1.0-hybrid</t>
  </si>
  <si>
    <t>gene13721-v1.0-hybrid</t>
  </si>
  <si>
    <t>gene14022-v1.0-hybrid</t>
  </si>
  <si>
    <t>gene14625-v1.0-hybrid</t>
  </si>
  <si>
    <t>gene14926-v1.0-hybrid</t>
  </si>
  <si>
    <t>gene15528-v1.0-hybrid</t>
  </si>
  <si>
    <t>gene15829-v1.0-hybrid</t>
  </si>
  <si>
    <t>gene16730-v1.0-hybrid</t>
  </si>
  <si>
    <t>gene17332-v1.0-hybrid</t>
  </si>
  <si>
    <t>gene17932-v1.0-hybrid</t>
  </si>
  <si>
    <t>gene18232-v1.0-hybrid</t>
  </si>
  <si>
    <t>gene18832-v1.0-hybrid</t>
  </si>
  <si>
    <t>gene19132-v1.0-hybrid</t>
  </si>
  <si>
    <t>gene19732-v1.0-hybrid</t>
  </si>
  <si>
    <t>gene20032-v1.0-hybrid</t>
  </si>
  <si>
    <t>gene20333-v1.0-hybrid</t>
  </si>
  <si>
    <t>gene20633-v1.0-hybrid</t>
  </si>
  <si>
    <t>gene20933-v1.0-hybrid</t>
  </si>
  <si>
    <t>gene21233-v1.0-hybrid</t>
  </si>
  <si>
    <t>gene21534-v1.0-hybrid</t>
  </si>
  <si>
    <t>gene21834-v1.0-hybrid</t>
  </si>
  <si>
    <t>gene22435-v1.0-hybrid</t>
  </si>
  <si>
    <t>gene22736-v1.0-hybrid</t>
  </si>
  <si>
    <t>gene23036-v1.0-hybrid</t>
  </si>
  <si>
    <t>gene23638-v1.0-hybrid</t>
  </si>
  <si>
    <t>gene23938-v1.0-hybrid</t>
  </si>
  <si>
    <t>gene24541-v1.0-hybrid</t>
  </si>
  <si>
    <t>gene25143-v1.0-hybrid</t>
  </si>
  <si>
    <t>gene25443-v1.0-hybrid</t>
  </si>
  <si>
    <t>gene25743-v1.0-hybrid</t>
  </si>
  <si>
    <t>gene26043-v1.0-hybrid</t>
  </si>
  <si>
    <t>gene26643-v1.0-hybrid</t>
  </si>
  <si>
    <t>gene26944-v1.0-hybrid</t>
  </si>
  <si>
    <t>gene27244-v1.0-hybrid</t>
  </si>
  <si>
    <t>gene27544-v1.0-hybrid</t>
  </si>
  <si>
    <t>gene27844-v1.0-hybrid</t>
  </si>
  <si>
    <t>gene28444-v1.0-hybrid</t>
  </si>
  <si>
    <t>gene28744-v1.0-hybrid</t>
  </si>
  <si>
    <t>gene29044-v1.0-hybrid</t>
  </si>
  <si>
    <t>gene29344-v1.0-hybrid</t>
  </si>
  <si>
    <t>gene29645-v1.0-hybrid</t>
  </si>
  <si>
    <t>gene30246-v1.0-hybrid</t>
  </si>
  <si>
    <t>gene30546-v1.0-hybrid</t>
  </si>
  <si>
    <t>gene30846-v1.0-hybrid</t>
  </si>
  <si>
    <t>gene31446-v1.0-hybrid</t>
  </si>
  <si>
    <t>gene32346-v1.0-hybrid</t>
  </si>
  <si>
    <t>gene32646-v1.0-hybrid</t>
  </si>
  <si>
    <t>gene33020-v1.0-hybrid</t>
  </si>
  <si>
    <t>gene33420-v1.0-hybrid</t>
  </si>
  <si>
    <t>gene33811-v1.0-hybrid</t>
  </si>
  <si>
    <t>gene34411-v1.0-hybrid</t>
  </si>
  <si>
    <t>gene34711-v1.0-hybrid</t>
  </si>
  <si>
    <t>gene35011-v1.0-hybrid</t>
  </si>
  <si>
    <t>gene00123-v1.0-hybrid</t>
  </si>
  <si>
    <t>gene00423-v1.0-hybrid</t>
  </si>
  <si>
    <t>gene00727-v1.0-hybrid</t>
  </si>
  <si>
    <t>gene01027-v1.0-hybrid</t>
  </si>
  <si>
    <t>gene01327-v1.0-hybrid</t>
  </si>
  <si>
    <t>gene01628-v1.0-hybrid</t>
  </si>
  <si>
    <t>gene01928-v1.0-hybrid</t>
  </si>
  <si>
    <t>gene02228-v1.0-hybrid</t>
  </si>
  <si>
    <t>gene02528-v1.0-hybrid</t>
  </si>
  <si>
    <t>gene03216-v1.0-hybrid</t>
  </si>
  <si>
    <t>gene03516-v1.0-hybrid</t>
  </si>
  <si>
    <t>gene03816-v1.0-hybrid</t>
  </si>
  <si>
    <t>gene04116-v1.0-hybrid</t>
  </si>
  <si>
    <t>gene04416-v1.0-hybrid</t>
  </si>
  <si>
    <t>gene04716-v1.0-hybrid</t>
  </si>
  <si>
    <t>gene05016-v1.0-hybrid</t>
  </si>
  <si>
    <t>gene05317-v1.0-hybrid</t>
  </si>
  <si>
    <t>gene05617-v1.0-hybrid</t>
  </si>
  <si>
    <t>gene05917-v1.0-hybrid</t>
  </si>
  <si>
    <t>gene06517-v1.0-hybrid</t>
  </si>
  <si>
    <t>gene07417-v1.0-hybrid</t>
  </si>
  <si>
    <t>gene08318-v1.0-hybrid</t>
  </si>
  <si>
    <t>gene08618-v1.0-hybrid</t>
  </si>
  <si>
    <t>gene08918-v1.0-hybrid</t>
  </si>
  <si>
    <t>gene09218-v1.0-hybrid</t>
  </si>
  <si>
    <t>gene09518-v1.0-hybrid</t>
  </si>
  <si>
    <t>gene09818-v1.0-hybrid</t>
  </si>
  <si>
    <t>gene10119-v1.0-hybrid</t>
  </si>
  <si>
    <t>gene10720-v1.0-hybrid</t>
  </si>
  <si>
    <t>gene11020-v1.0-hybrid</t>
  </si>
  <si>
    <t>gene11621-v1.0-hybrid</t>
  </si>
  <si>
    <t>gene11921-v1.0-hybrid</t>
  </si>
  <si>
    <t>gene12521-v1.0-hybrid</t>
  </si>
  <si>
    <t>gene12821-v1.0-hybrid</t>
  </si>
  <si>
    <t>gene13122-v1.0-hybrid</t>
  </si>
  <si>
    <t>gene13422-v1.0-hybrid</t>
  </si>
  <si>
    <t>gene13722-v1.0-hybrid</t>
  </si>
  <si>
    <t>gene14324-v1.0-hybrid</t>
  </si>
  <si>
    <t>gene14626-v1.0-hybrid</t>
  </si>
  <si>
    <t>gene14927-v1.0-hybrid</t>
  </si>
  <si>
    <t>gene15228-v1.0-hybrid</t>
  </si>
  <si>
    <t>gene16131-v1.0-hybrid</t>
  </si>
  <si>
    <t>gene16731-v1.0-hybrid</t>
  </si>
  <si>
    <t>gene17333-v1.0-hybrid</t>
  </si>
  <si>
    <t>gene17933-v1.0-hybrid</t>
  </si>
  <si>
    <t>gene18233-v1.0-hybrid</t>
  </si>
  <si>
    <t>gene18533-v1.0-hybrid</t>
  </si>
  <si>
    <t>gene18833-v1.0-hybrid</t>
  </si>
  <si>
    <t>gene19133-v1.0-hybrid</t>
  </si>
  <si>
    <t>gene19733-v1.0-hybrid</t>
  </si>
  <si>
    <t>gene20033-v1.0-hybrid</t>
  </si>
  <si>
    <t>gene20334-v1.0-hybrid</t>
  </si>
  <si>
    <t>gene20634-v1.0-hybrid</t>
  </si>
  <si>
    <t>gene20934-v1.0-hybrid</t>
  </si>
  <si>
    <t>gene21535-v1.0-hybrid</t>
  </si>
  <si>
    <t>gene21835-v1.0-hybrid</t>
  </si>
  <si>
    <t>gene22737-v1.0-hybrid</t>
  </si>
  <si>
    <t>gene23037-v1.0-hybrid</t>
  </si>
  <si>
    <t>gene23339-v1.0-hybrid</t>
  </si>
  <si>
    <t>gene23939-v1.0-hybrid</t>
  </si>
  <si>
    <t>gene24844-v1.0-hybrid</t>
  </si>
  <si>
    <t>gene25144-v1.0-hybrid</t>
  </si>
  <si>
    <t>gene25744-v1.0-hybrid</t>
  </si>
  <si>
    <t>gene26044-v1.0-hybrid</t>
  </si>
  <si>
    <t>gene26344-v1.0-hybrid</t>
  </si>
  <si>
    <t>gene27245-v1.0-hybrid</t>
  </si>
  <si>
    <t>gene27545-v1.0-hybrid</t>
  </si>
  <si>
    <t>gene27845-v1.0-hybrid</t>
  </si>
  <si>
    <t>gene28145-v1.0-hybrid</t>
  </si>
  <si>
    <t>gene28445-v1.0-hybrid</t>
  </si>
  <si>
    <t>gene28745-v1.0-hybrid</t>
  </si>
  <si>
    <t>gene29045-v1.0-hybrid</t>
  </si>
  <si>
    <t>gene29345-v1.0-hybrid</t>
  </si>
  <si>
    <t>gene30547-v1.0-hybrid</t>
  </si>
  <si>
    <t>gene31747-v1.0-hybrid</t>
  </si>
  <si>
    <t>gene32347-v1.0-hybrid</t>
  </si>
  <si>
    <t>gene33022-v1.0-hybrid</t>
  </si>
  <si>
    <t>gene33421-v1.0-hybrid</t>
  </si>
  <si>
    <t>gene35012-v1.0-hybrid</t>
  </si>
  <si>
    <t>gene00124-v1.0-hybrid</t>
  </si>
  <si>
    <t>gene00424-v1.0-hybrid</t>
  </si>
  <si>
    <t>gene00728-v1.0-hybrid</t>
  </si>
  <si>
    <t>gene01328-v1.0-hybrid</t>
  </si>
  <si>
    <t>gene01629-v1.0-hybrid</t>
  </si>
  <si>
    <t>gene02529-v1.0-hybrid</t>
  </si>
  <si>
    <t>gene03217-v1.0-hybrid</t>
  </si>
  <si>
    <t>gene03817-v1.0-hybrid</t>
  </si>
  <si>
    <t>gene04117-v1.0-hybrid</t>
  </si>
  <si>
    <t>gene04417-v1.0-hybrid</t>
  </si>
  <si>
    <t>gene04717-v1.0-hybrid</t>
  </si>
  <si>
    <t>gene05017-v1.0-hybrid</t>
  </si>
  <si>
    <t>gene05318-v1.0-hybrid</t>
  </si>
  <si>
    <t>gene05618-v1.0-hybrid</t>
  </si>
  <si>
    <t>gene05918-v1.0-hybrid</t>
  </si>
  <si>
    <t>gene06218-v1.0-hybrid</t>
  </si>
  <si>
    <t>gene06818-v1.0-hybrid</t>
  </si>
  <si>
    <t>gene07118-v1.0-hybrid</t>
  </si>
  <si>
    <t>gene07418-v1.0-hybrid</t>
  </si>
  <si>
    <t>gene08319-v1.0-hybrid</t>
  </si>
  <si>
    <t>gene08619-v1.0-hybrid</t>
  </si>
  <si>
    <t>gene08919-v1.0-hybrid</t>
  </si>
  <si>
    <t>gene09519-v1.0-hybrid</t>
  </si>
  <si>
    <t>gene10120-v1.0-hybrid</t>
  </si>
  <si>
    <t>gene10420-v1.0-hybrid</t>
  </si>
  <si>
    <t>gene10721-v1.0-hybrid</t>
  </si>
  <si>
    <t>gene11021-v1.0-hybrid</t>
  </si>
  <si>
    <t>gene11322-v1.0-hybrid</t>
  </si>
  <si>
    <t>gene11622-v1.0-hybrid</t>
  </si>
  <si>
    <t>gene11922-v1.0-hybrid</t>
  </si>
  <si>
    <t>gene12222-v1.0-hybrid</t>
  </si>
  <si>
    <t>gene12522-v1.0-hybrid</t>
  </si>
  <si>
    <t>gene12822-v1.0-hybrid</t>
  </si>
  <si>
    <t>gene13123-v1.0-hybrid</t>
  </si>
  <si>
    <t>gene13423-v1.0-hybrid</t>
  </si>
  <si>
    <t>gene13723-v1.0-hybrid</t>
  </si>
  <si>
    <t>gene14024-v1.0-hybrid</t>
  </si>
  <si>
    <t>gene14928-v1.0-hybrid</t>
  </si>
  <si>
    <t>gene15229-v1.0-hybrid</t>
  </si>
  <si>
    <t>gene15530-v1.0-hybrid</t>
  </si>
  <si>
    <t>gene15831-v1.0-hybrid</t>
  </si>
  <si>
    <t>gene16432-v1.0-hybrid</t>
  </si>
  <si>
    <t>gene16732-v1.0-hybrid</t>
  </si>
  <si>
    <t>gene17934-v1.0-hybrid</t>
  </si>
  <si>
    <t>gene18234-v1.0-hybrid</t>
  </si>
  <si>
    <t>gene18834-v1.0-hybrid</t>
  </si>
  <si>
    <t>gene19734-v1.0-hybrid</t>
  </si>
  <si>
    <t>gene20335-v1.0-hybrid</t>
  </si>
  <si>
    <t>gene20635-v1.0-hybrid</t>
  </si>
  <si>
    <t>gene20935-v1.0-hybrid</t>
  </si>
  <si>
    <t>gene21235-v1.0-hybrid</t>
  </si>
  <si>
    <t>gene21536-v1.0-hybrid</t>
  </si>
  <si>
    <t>gene21836-v1.0-hybrid</t>
  </si>
  <si>
    <t>gene22136-v1.0-hybrid</t>
  </si>
  <si>
    <t>gene22738-v1.0-hybrid</t>
  </si>
  <si>
    <t>gene23038-v1.0-hybrid</t>
  </si>
  <si>
    <t>gene23340-v1.0-hybrid</t>
  </si>
  <si>
    <t>gene23640-v1.0-hybrid</t>
  </si>
  <si>
    <t>gene23940-v1.0-hybrid</t>
  </si>
  <si>
    <t>gene24242-v1.0-hybrid</t>
  </si>
  <si>
    <t>gene24845-v1.0-hybrid</t>
  </si>
  <si>
    <t>gene25145-v1.0-hybrid</t>
  </si>
  <si>
    <t>gene25445-v1.0-hybrid</t>
  </si>
  <si>
    <t>gene25745-v1.0-hybrid</t>
  </si>
  <si>
    <t>gene26045-v1.0-hybrid</t>
  </si>
  <si>
    <t>gene26345-v1.0-hybrid</t>
  </si>
  <si>
    <t>gene26645-v1.0-hybrid</t>
  </si>
  <si>
    <t>gene27246-v1.0-hybrid</t>
  </si>
  <si>
    <t>gene27546-v1.0-hybrid</t>
  </si>
  <si>
    <t>gene27846-v1.0-hybrid</t>
  </si>
  <si>
    <t>gene28146-v1.0-hybrid</t>
  </si>
  <si>
    <t>gene28446-v1.0-hybrid</t>
  </si>
  <si>
    <t>gene28746-v1.0-hybrid</t>
  </si>
  <si>
    <t>gene29948-v1.0-hybrid</t>
  </si>
  <si>
    <t>gene30248-v1.0-hybrid</t>
  </si>
  <si>
    <t>gene31148-v1.0-hybrid</t>
  </si>
  <si>
    <t>gene31748-v1.0-hybrid</t>
  </si>
  <si>
    <t>gene32048-v1.0-hybrid</t>
  </si>
  <si>
    <t>gene32348-v1.0-hybrid</t>
  </si>
  <si>
    <t>gene32648-v1.0-hybrid</t>
  </si>
  <si>
    <t>gene33422-v1.0-hybrid</t>
  </si>
  <si>
    <t>gene35013-v1.0-hybrid</t>
  </si>
  <si>
    <t>gene00125-v1.0-hybrid</t>
  </si>
  <si>
    <t>gene00425-v1.0-hybrid</t>
  </si>
  <si>
    <t>gene00729-v1.0-hybrid</t>
  </si>
  <si>
    <t>gene01029-v1.0-hybrid</t>
  </si>
  <si>
    <t>gene01329-v1.0-hybrid</t>
  </si>
  <si>
    <t>gene01630-v1.0-hybrid</t>
  </si>
  <si>
    <t>gene01930-v1.0-hybrid</t>
  </si>
  <si>
    <t>gene02230-v1.0-hybrid</t>
  </si>
  <si>
    <t>gene02530-v1.0-hybrid</t>
  </si>
  <si>
    <t>gene02871-v1.0-hybrid</t>
  </si>
  <si>
    <t>gene04118-v1.0-hybrid</t>
  </si>
  <si>
    <t>gene04418-v1.0-hybrid</t>
  </si>
  <si>
    <t>gene04718-v1.0-hybrid</t>
  </si>
  <si>
    <t>gene05018-v1.0-hybrid</t>
  </si>
  <si>
    <t>gene05319-v1.0-hybrid</t>
  </si>
  <si>
    <t>gene05619-v1.0-hybrid</t>
  </si>
  <si>
    <t>gene05919-v1.0-hybrid</t>
  </si>
  <si>
    <t>gene06519-v1.0-hybrid</t>
  </si>
  <si>
    <t>gene07119-v1.0-hybrid</t>
  </si>
  <si>
    <t>gene07419-v1.0-hybrid</t>
  </si>
  <si>
    <t>gene07719-v1.0-hybrid</t>
  </si>
  <si>
    <t>gene08020-v1.0-hybrid</t>
  </si>
  <si>
    <t>gene08320-v1.0-hybrid</t>
  </si>
  <si>
    <t>gene08620-v1.0-hybrid</t>
  </si>
  <si>
    <t>gene08920-v1.0-hybrid</t>
  </si>
  <si>
    <t>gene09220-v1.0-hybrid</t>
  </si>
  <si>
    <t>gene09520-v1.0-hybrid</t>
  </si>
  <si>
    <t>gene09820-v1.0-hybrid</t>
  </si>
  <si>
    <t>gene10121-v1.0-hybrid</t>
  </si>
  <si>
    <t>gene10722-v1.0-hybrid</t>
  </si>
  <si>
    <t>gene11323-v1.0-hybrid</t>
  </si>
  <si>
    <t>gene11623-v1.0-hybrid</t>
  </si>
  <si>
    <t>gene12223-v1.0-hybrid</t>
  </si>
  <si>
    <t>gene12523-v1.0-hybrid</t>
  </si>
  <si>
    <t>gene12823-v1.0-hybrid</t>
  </si>
  <si>
    <t>gene13124-v1.0-hybrid</t>
  </si>
  <si>
    <t>gene14025-v1.0-hybrid</t>
  </si>
  <si>
    <t>gene14326-v1.0-hybrid</t>
  </si>
  <si>
    <t>gene14929-v1.0-hybrid</t>
  </si>
  <si>
    <t>gene15230-v1.0-hybrid</t>
  </si>
  <si>
    <t>gene15531-v1.0-hybrid</t>
  </si>
  <si>
    <t>gene16133-v1.0-hybrid</t>
  </si>
  <si>
    <t>gene16433-v1.0-hybrid</t>
  </si>
  <si>
    <t>gene16733-v1.0-hybrid</t>
  </si>
  <si>
    <t>gene17335-v1.0-hybrid</t>
  </si>
  <si>
    <t>gene18235-v1.0-hybrid</t>
  </si>
  <si>
    <t>gene18535-v1.0-hybrid</t>
  </si>
  <si>
    <t>gene18835-v1.0-hybrid</t>
  </si>
  <si>
    <t>gene19135-v1.0-hybrid</t>
  </si>
  <si>
    <t>gene19435-v1.0-hybrid</t>
  </si>
  <si>
    <t>gene19735-v1.0-hybrid</t>
  </si>
  <si>
    <t>gene20035-v1.0-hybrid</t>
  </si>
  <si>
    <t>gene20336-v1.0-hybrid</t>
  </si>
  <si>
    <t>gene20636-v1.0-hybrid</t>
  </si>
  <si>
    <t>gene21537-v1.0-hybrid</t>
  </si>
  <si>
    <t>gene21837-v1.0-hybrid</t>
  </si>
  <si>
    <t>gene22137-v1.0-hybrid</t>
  </si>
  <si>
    <t>gene22438-v1.0-hybrid</t>
  </si>
  <si>
    <t>gene22739-v1.0-hybrid</t>
  </si>
  <si>
    <t>gene23039-v1.0-hybrid</t>
  </si>
  <si>
    <t>gene23341-v1.0-hybrid</t>
  </si>
  <si>
    <t>gene23641-v1.0-hybrid</t>
  </si>
  <si>
    <t>gene23941-v1.0-hybrid</t>
  </si>
  <si>
    <t>gene24544-v1.0-hybrid</t>
  </si>
  <si>
    <t>gene24846-v1.0-hybrid</t>
  </si>
  <si>
    <t>gene25146-v1.0-hybrid</t>
  </si>
  <si>
    <t>gene25446-v1.0-hybrid</t>
  </si>
  <si>
    <t>gene25746-v1.0-hybrid</t>
  </si>
  <si>
    <t>gene26046-v1.0-hybrid</t>
  </si>
  <si>
    <t>gene26346-v1.0-hybrid</t>
  </si>
  <si>
    <t>gene26646-v1.0-hybrid</t>
  </si>
  <si>
    <t>gene26947-v1.0-hybrid</t>
  </si>
  <si>
    <t>gene27247-v1.0-hybrid</t>
  </si>
  <si>
    <t>gene27547-v1.0-hybrid</t>
  </si>
  <si>
    <t>gene28147-v1.0-hybrid</t>
  </si>
  <si>
    <t>gene28447-v1.0-hybrid</t>
  </si>
  <si>
    <t>gene28747-v1.0-hybrid</t>
  </si>
  <si>
    <t>gene29347-v1.0-hybrid</t>
  </si>
  <si>
    <t>gene29949-v1.0-hybrid</t>
  </si>
  <si>
    <t>gene30249-v1.0-hybrid</t>
  </si>
  <si>
    <t>gene30849-v1.0-hybrid</t>
  </si>
  <si>
    <t>gene31149-v1.0-hybrid</t>
  </si>
  <si>
    <t>gene31749-v1.0-hybrid</t>
  </si>
  <si>
    <t>gene32049-v1.0-hybrid</t>
  </si>
  <si>
    <t>gene32649-v1.0-hybrid</t>
  </si>
  <si>
    <t>gene33814-v1.0-hybrid</t>
  </si>
  <si>
    <t>gene34114-v1.0-hybrid</t>
  </si>
  <si>
    <t>gene34714-v1.0-hybrid</t>
  </si>
  <si>
    <t>gene35014-v1.0-hybrid</t>
  </si>
  <si>
    <t>gene00126-v1.0-hybrid</t>
  </si>
  <si>
    <t>gene00426-v1.0-hybrid</t>
  </si>
  <si>
    <t>gene00730-v1.0-hybrid</t>
  </si>
  <si>
    <t>gene01330-v1.0-hybrid</t>
  </si>
  <si>
    <t>gene01631-v1.0-hybrid</t>
  </si>
  <si>
    <t>gene01931-v1.0-hybrid</t>
  </si>
  <si>
    <t>gene02231-v1.0-hybrid</t>
  </si>
  <si>
    <t>gene02531-v1.0-hybrid</t>
  </si>
  <si>
    <t>gene03219-v1.0-hybrid</t>
  </si>
  <si>
    <t>gene03519-v1.0-hybrid</t>
  </si>
  <si>
    <t>gene03819-v1.0-hybrid</t>
  </si>
  <si>
    <t>gene04119-v1.0-hybrid</t>
  </si>
  <si>
    <t>gene04419-v1.0-hybrid</t>
  </si>
  <si>
    <t>gene04719-v1.0-hybrid</t>
  </si>
  <si>
    <t>gene05019-v1.0-hybrid</t>
  </si>
  <si>
    <t>gene05320-v1.0-hybrid</t>
  </si>
  <si>
    <t>gene05620-v1.0-hybrid</t>
  </si>
  <si>
    <t>gene05920-v1.0-hybrid</t>
  </si>
  <si>
    <t>gene06220-v1.0-hybrid</t>
  </si>
  <si>
    <t>gene06820-v1.0-hybrid</t>
  </si>
  <si>
    <t>gene07120-v1.0-hybrid</t>
  </si>
  <si>
    <t>gene07420-v1.0-hybrid</t>
  </si>
  <si>
    <t>gene07720-v1.0-hybrid</t>
  </si>
  <si>
    <t>gene08021-v1.0-hybrid</t>
  </si>
  <si>
    <t>gene08321-v1.0-hybrid</t>
  </si>
  <si>
    <t>gene08621-v1.0-hybrid</t>
  </si>
  <si>
    <t>gene08921-v1.0-hybrid</t>
  </si>
  <si>
    <t>gene09821-v1.0-hybrid</t>
  </si>
  <si>
    <t>gene10122-v1.0-hybrid</t>
  </si>
  <si>
    <t>gene10422-v1.0-hybrid</t>
  </si>
  <si>
    <t>gene10723-v1.0-hybrid</t>
  </si>
  <si>
    <t>gene11023-v1.0-hybrid</t>
  </si>
  <si>
    <t>gene11324-v1.0-hybrid</t>
  </si>
  <si>
    <t>gene11624-v1.0-hybrid</t>
  </si>
  <si>
    <t>gene12224-v1.0-hybrid</t>
  </si>
  <si>
    <t>gene12824-v1.0-hybrid</t>
  </si>
  <si>
    <t>gene13125-v1.0-hybrid</t>
  </si>
  <si>
    <t>gene13425-v1.0-hybrid</t>
  </si>
  <si>
    <t>gene13725-v1.0-hybrid</t>
  </si>
  <si>
    <t>gene14026-v1.0-hybrid</t>
  </si>
  <si>
    <t>gene14327-v1.0-hybrid</t>
  </si>
  <si>
    <t>gene14930-v1.0-hybrid</t>
  </si>
  <si>
    <t>gene15532-v1.0-hybrid</t>
  </si>
  <si>
    <t>gene16734-v1.0-hybrid</t>
  </si>
  <si>
    <t>gene17036-v1.0-hybrid</t>
  </si>
  <si>
    <t>gene17336-v1.0-hybrid</t>
  </si>
  <si>
    <t>gene17636-v1.0-hybrid</t>
  </si>
  <si>
    <t>gene18236-v1.0-hybrid</t>
  </si>
  <si>
    <t>gene19136-v1.0-hybrid</t>
  </si>
  <si>
    <t>gene19436-v1.0-hybrid</t>
  </si>
  <si>
    <t>gene19736-v1.0-hybrid</t>
  </si>
  <si>
    <t>gene20036-v1.0-hybrid</t>
  </si>
  <si>
    <t>gene20637-v1.0-hybrid</t>
  </si>
  <si>
    <t>gene20937-v1.0-hybrid</t>
  </si>
  <si>
    <t>gene21237-v1.0-hybrid</t>
  </si>
  <si>
    <t>gene21538-v1.0-hybrid</t>
  </si>
  <si>
    <t>gene21838-v1.0-hybrid</t>
  </si>
  <si>
    <t>gene22138-v1.0-hybrid</t>
  </si>
  <si>
    <t>gene22740-v1.0-hybrid</t>
  </si>
  <si>
    <t>gene23040-v1.0-hybrid</t>
  </si>
  <si>
    <t>gene23342-v1.0-hybrid</t>
  </si>
  <si>
    <t>gene23642-v1.0-hybrid</t>
  </si>
  <si>
    <t>gene23942-v1.0-hybrid</t>
  </si>
  <si>
    <t>gene24244-v1.0-hybrid</t>
  </si>
  <si>
    <t>gene24847-v1.0-hybrid</t>
  </si>
  <si>
    <t>gene25147-v1.0-hybrid</t>
  </si>
  <si>
    <t>gene25447-v1.0-hybrid</t>
  </si>
  <si>
    <t>gene26047-v1.0-hybrid</t>
  </si>
  <si>
    <t>gene26347-v1.0-hybrid</t>
  </si>
  <si>
    <t>gene26647-v1.0-hybrid</t>
  </si>
  <si>
    <t>gene27548-v1.0-hybrid</t>
  </si>
  <si>
    <t>gene28148-v1.0-hybrid</t>
  </si>
  <si>
    <t>gene28448-v1.0-hybrid</t>
  </si>
  <si>
    <t>gene28748-v1.0-hybrid</t>
  </si>
  <si>
    <t>gene29048-v1.0-hybrid</t>
  </si>
  <si>
    <t>gene29348-v1.0-hybrid</t>
  </si>
  <si>
    <t>gene29649-v1.0-hybrid</t>
  </si>
  <si>
    <t>gene29950-v1.0-hybrid</t>
  </si>
  <si>
    <t>gene30550-v1.0-hybrid</t>
  </si>
  <si>
    <t>gene30850-v1.0-hybrid</t>
  </si>
  <si>
    <t>gene31150-v1.0-hybrid</t>
  </si>
  <si>
    <t>gene32050-v1.0-hybrid</t>
  </si>
  <si>
    <t>gene32350-v1.0-hybrid</t>
  </si>
  <si>
    <t>gene32650-v1.0-hybrid</t>
  </si>
  <si>
    <t>gene33424-v1.0-hybrid</t>
  </si>
  <si>
    <t>gene33815-v1.0-hybrid</t>
  </si>
  <si>
    <t>gene34115-v1.0-hybrid</t>
  </si>
  <si>
    <t>gene34715-v1.0-hybrid</t>
  </si>
  <si>
    <t>gene00427-v1.0-hybrid</t>
  </si>
  <si>
    <t>gene00731-v1.0-hybrid</t>
  </si>
  <si>
    <t>gene01331-v1.0-hybrid</t>
  </si>
  <si>
    <t>gene01632-v1.0-hybrid</t>
  </si>
  <si>
    <t>gene01932-v1.0-hybrid</t>
  </si>
  <si>
    <t>gene02232-v1.0-hybrid</t>
  </si>
  <si>
    <t>gene02532-v1.0-hybrid</t>
  </si>
  <si>
    <t>gene03220-v1.0-hybrid</t>
  </si>
  <si>
    <t>gene03520-v1.0-hybrid</t>
  </si>
  <si>
    <t>gene03820-v1.0-hybrid</t>
  </si>
  <si>
    <t>gene04120-v1.0-hybrid</t>
  </si>
  <si>
    <t>gene04420-v1.0-hybrid</t>
  </si>
  <si>
    <t>gene04720-v1.0-hybrid</t>
  </si>
  <si>
    <t>gene05020-v1.0-hybrid</t>
  </si>
  <si>
    <t>gene05321-v1.0-hybrid</t>
  </si>
  <si>
    <t>gene05621-v1.0-hybrid</t>
  </si>
  <si>
    <t>gene05921-v1.0-hybrid</t>
  </si>
  <si>
    <t>gene06221-v1.0-hybrid</t>
  </si>
  <si>
    <t>gene06521-v1.0-hybrid</t>
  </si>
  <si>
    <t>gene06821-v1.0-hybrid</t>
  </si>
  <si>
    <t>gene07721-v1.0-hybrid</t>
  </si>
  <si>
    <t>gene08022-v1.0-hybrid</t>
  </si>
  <si>
    <t>gene08322-v1.0-hybrid</t>
  </si>
  <si>
    <t>gene08622-v1.0-hybrid</t>
  </si>
  <si>
    <t>gene08922-v1.0-hybrid</t>
  </si>
  <si>
    <t>gene09222-v1.0-hybrid</t>
  </si>
  <si>
    <t>gene09822-v1.0-hybrid</t>
  </si>
  <si>
    <t>gene10123-v1.0-hybrid</t>
  </si>
  <si>
    <t>gene10423-v1.0-hybrid</t>
  </si>
  <si>
    <t>gene10724-v1.0-hybrid</t>
  </si>
  <si>
    <t>gene11024-v1.0-hybrid</t>
  </si>
  <si>
    <t>gene11625-v1.0-hybrid</t>
  </si>
  <si>
    <t>gene11925-v1.0-hybrid</t>
  </si>
  <si>
    <t>gene12225-v1.0-hybrid</t>
  </si>
  <si>
    <t>gene12525-v1.0-hybrid</t>
  </si>
  <si>
    <t>gene12825-v1.0-hybrid</t>
  </si>
  <si>
    <t>gene13126-v1.0-hybrid</t>
  </si>
  <si>
    <t>gene13726-v1.0-hybrid</t>
  </si>
  <si>
    <t>gene14027-v1.0-hybrid</t>
  </si>
  <si>
    <t>gene14630-v1.0-hybrid</t>
  </si>
  <si>
    <t>gene14931-v1.0-hybrid</t>
  </si>
  <si>
    <t>gene15232-v1.0-hybrid</t>
  </si>
  <si>
    <t>gene15533-v1.0-hybrid</t>
  </si>
  <si>
    <t>gene15834-v1.0-hybrid</t>
  </si>
  <si>
    <t>gene16435-v1.0-hybrid</t>
  </si>
  <si>
    <t>gene16735-v1.0-hybrid</t>
  </si>
  <si>
    <t>gene17037-v1.0-hybrid</t>
  </si>
  <si>
    <t>gene17337-v1.0-hybrid</t>
  </si>
  <si>
    <t>gene17637-v1.0-hybrid</t>
  </si>
  <si>
    <t>gene17937-v1.0-hybrid</t>
  </si>
  <si>
    <t>gene18237-v1.0-hybrid</t>
  </si>
  <si>
    <t>gene18537-v1.0-hybrid</t>
  </si>
  <si>
    <t>gene18837-v1.0-hybrid</t>
  </si>
  <si>
    <t>gene19437-v1.0-hybrid</t>
  </si>
  <si>
    <t>gene19737-v1.0-hybrid</t>
  </si>
  <si>
    <t>gene20037-v1.0-hybrid</t>
  </si>
  <si>
    <t>gene20338-v1.0-hybrid</t>
  </si>
  <si>
    <t>gene20638-v1.0-hybrid</t>
  </si>
  <si>
    <t>gene20938-v1.0-hybrid</t>
  </si>
  <si>
    <t>gene21238-v1.0-hybrid</t>
  </si>
  <si>
    <t>gene21539-v1.0-hybrid</t>
  </si>
  <si>
    <t>gene21839-v1.0-hybrid</t>
  </si>
  <si>
    <t>gene22139-v1.0-hybrid</t>
  </si>
  <si>
    <t>gene23041-v1.0-hybrid</t>
  </si>
  <si>
    <t>gene23343-v1.0-hybrid</t>
  </si>
  <si>
    <t>gene23643-v1.0-hybrid</t>
  </si>
  <si>
    <t>gene23943-v1.0-hybrid</t>
  </si>
  <si>
    <t>gene24848-v1.0-hybrid</t>
  </si>
  <si>
    <t>gene25148-v1.0-hybrid</t>
  </si>
  <si>
    <t>gene25448-v1.0-hybrid</t>
  </si>
  <si>
    <t>gene26048-v1.0-hybrid</t>
  </si>
  <si>
    <t>gene26348-v1.0-hybrid</t>
  </si>
  <si>
    <t>gene26949-v1.0-hybrid</t>
  </si>
  <si>
    <t>gene27249-v1.0-hybrid</t>
  </si>
  <si>
    <t>gene27549-v1.0-hybrid</t>
  </si>
  <si>
    <t>gene27849-v1.0-hybrid</t>
  </si>
  <si>
    <t>gene28149-v1.0-hybrid</t>
  </si>
  <si>
    <t>gene28449-v1.0-hybrid</t>
  </si>
  <si>
    <t>gene28749-v1.0-hybrid</t>
  </si>
  <si>
    <t>gene29049-v1.0-hybrid</t>
  </si>
  <si>
    <t>gene29349-v1.0-hybrid</t>
  </si>
  <si>
    <t>gene29650-v1.0-hybrid</t>
  </si>
  <si>
    <t>gene29951-v1.0-hybrid</t>
  </si>
  <si>
    <t>gene30851-v1.0-hybrid</t>
  </si>
  <si>
    <t>gene31151-v1.0-hybrid</t>
  </si>
  <si>
    <t>gene31451-v1.0-hybrid</t>
  </si>
  <si>
    <t>gene32051-v1.0-hybrid</t>
  </si>
  <si>
    <t>gene32351-v1.0-hybrid</t>
  </si>
  <si>
    <t>gene32651-v1.0-hybrid</t>
  </si>
  <si>
    <t>gene33816-v1.0-hybrid</t>
  </si>
  <si>
    <t>gene34116-v1.0-hybrid</t>
  </si>
  <si>
    <t>gene00128-v1.0-hybrid</t>
  </si>
  <si>
    <t>gene00732-v1.0-hybrid</t>
  </si>
  <si>
    <t>gene01332-v1.0-hybrid</t>
  </si>
  <si>
    <t>gene02233-v1.0-hybrid</t>
  </si>
  <si>
    <t>gene02533-v1.0-hybrid</t>
  </si>
  <si>
    <t>gene03221-v1.0-hybrid</t>
  </si>
  <si>
    <t>gene03521-v1.0-hybrid</t>
  </si>
  <si>
    <t>gene04121-v1.0-hybrid</t>
  </si>
  <si>
    <t>gene04721-v1.0-hybrid</t>
  </si>
  <si>
    <t>gene05322-v1.0-hybrid</t>
  </si>
  <si>
    <t>gene05622-v1.0-hybrid</t>
  </si>
  <si>
    <t>gene05922-v1.0-hybrid</t>
  </si>
  <si>
    <t>gene06522-v1.0-hybrid</t>
  </si>
  <si>
    <t>gene07122-v1.0-hybrid</t>
  </si>
  <si>
    <t>gene07722-v1.0-hybrid</t>
  </si>
  <si>
    <t>gene08023-v1.0-hybrid</t>
  </si>
  <si>
    <t>gene08323-v1.0-hybrid</t>
  </si>
  <si>
    <t>gene08623-v1.0-hybrid</t>
  </si>
  <si>
    <t>gene09223-v1.0-hybrid</t>
  </si>
  <si>
    <t>gene09523-v1.0-hybrid</t>
  </si>
  <si>
    <t>gene09823-v1.0-hybrid</t>
  </si>
  <si>
    <t>gene10124-v1.0-hybrid</t>
  </si>
  <si>
    <t>gene10725-v1.0-hybrid</t>
  </si>
  <si>
    <t>gene11025-v1.0-hybrid</t>
  </si>
  <si>
    <t>gene11326-v1.0-hybrid</t>
  </si>
  <si>
    <t>gene11626-v1.0-hybrid</t>
  </si>
  <si>
    <t>gene11926-v1.0-hybrid</t>
  </si>
  <si>
    <t>gene12526-v1.0-hybrid</t>
  </si>
  <si>
    <t>gene12826-v1.0-hybrid</t>
  </si>
  <si>
    <t>gene14329-v1.0-hybrid</t>
  </si>
  <si>
    <t>gene14932-v1.0-hybrid</t>
  </si>
  <si>
    <t>gene15233-v1.0-hybrid</t>
  </si>
  <si>
    <t>gene15534-v1.0-hybrid</t>
  </si>
  <si>
    <t>gene15835-v1.0-hybrid</t>
  </si>
  <si>
    <t>gene16136-v1.0-hybrid</t>
  </si>
  <si>
    <t>gene16436-v1.0-hybrid</t>
  </si>
  <si>
    <t>gene16736-v1.0-hybrid</t>
  </si>
  <si>
    <t>gene17338-v1.0-hybrid</t>
  </si>
  <si>
    <t>gene17638-v1.0-hybrid</t>
  </si>
  <si>
    <t>gene18238-v1.0-hybrid</t>
  </si>
  <si>
    <t>gene18538-v1.0-hybrid</t>
  </si>
  <si>
    <t>gene19138-v1.0-hybrid</t>
  </si>
  <si>
    <t>gene19438-v1.0-hybrid</t>
  </si>
  <si>
    <t>gene19738-v1.0-hybrid</t>
  </si>
  <si>
    <t>gene20038-v1.0-hybrid</t>
  </si>
  <si>
    <t>gene20339-v1.0-hybrid</t>
  </si>
  <si>
    <t>gene20639-v1.0-hybrid</t>
  </si>
  <si>
    <t>gene20939-v1.0-hybrid</t>
  </si>
  <si>
    <t>gene21540-v1.0-hybrid</t>
  </si>
  <si>
    <t>gene21840-v1.0-hybrid</t>
  </si>
  <si>
    <t>gene22140-v1.0-hybrid</t>
  </si>
  <si>
    <t>gene22441-v1.0-hybrid</t>
  </si>
  <si>
    <t>gene22742-v1.0-hybrid</t>
  </si>
  <si>
    <t>gene23042-v1.0-hybrid</t>
  </si>
  <si>
    <t>gene23344-v1.0-hybrid</t>
  </si>
  <si>
    <t>gene23644-v1.0-hybrid</t>
  </si>
  <si>
    <t>gene23944-v1.0-hybrid</t>
  </si>
  <si>
    <t>gene24547-v1.0-hybrid</t>
  </si>
  <si>
    <t>gene25149-v1.0-hybrid</t>
  </si>
  <si>
    <t>gene25449-v1.0-hybrid</t>
  </si>
  <si>
    <t>gene25749-v1.0-hybrid</t>
  </si>
  <si>
    <t>gene26049-v1.0-hybrid</t>
  </si>
  <si>
    <t>gene26349-v1.0-hybrid</t>
  </si>
  <si>
    <t>gene26649-v1.0-hybrid</t>
  </si>
  <si>
    <t>gene27250-v1.0-hybrid</t>
  </si>
  <si>
    <t>gene27850-v1.0-hybrid</t>
  </si>
  <si>
    <t>gene28150-v1.0-hybrid</t>
  </si>
  <si>
    <t>gene28450-v1.0-hybrid</t>
  </si>
  <si>
    <t>gene28750-v1.0-hybrid</t>
  </si>
  <si>
    <t>gene29952-v1.0-hybrid</t>
  </si>
  <si>
    <t>gene30252-v1.0-hybrid</t>
  </si>
  <si>
    <t>gene31152-v1.0-hybrid</t>
  </si>
  <si>
    <t>gene31452-v1.0-hybrid</t>
  </si>
  <si>
    <t>gene32052-v1.0-hybrid</t>
  </si>
  <si>
    <t>gene32352-v1.0-hybrid</t>
  </si>
  <si>
    <t>gene33817-v1.0-hybrid</t>
  </si>
  <si>
    <t>gene34117-v1.0-hybrid</t>
  </si>
  <si>
    <t>gene00129-v1.0-hybrid</t>
  </si>
  <si>
    <t>gene00733-v1.0-hybrid</t>
  </si>
  <si>
    <t>gene01033-v1.0-hybrid</t>
  </si>
  <si>
    <t>gene01333-v1.0-hybrid</t>
  </si>
  <si>
    <t>gene01934-v1.0-hybrid</t>
  </si>
  <si>
    <t>gene02234-v1.0-hybrid</t>
  </si>
  <si>
    <t>gene02534-v1.0-hybrid</t>
  </si>
  <si>
    <t>gene03222-v1.0-hybrid</t>
  </si>
  <si>
    <t>gene03522-v1.0-hybrid</t>
  </si>
  <si>
    <t>gene03822-v1.0-hybrid</t>
  </si>
  <si>
    <t>gene04122-v1.0-hybrid</t>
  </si>
  <si>
    <t>gene04722-v1.0-hybrid</t>
  </si>
  <si>
    <t>gene05323-v1.0-hybrid</t>
  </si>
  <si>
    <t>gene05623-v1.0-hybrid</t>
  </si>
  <si>
    <t>gene06523-v1.0-hybrid</t>
  </si>
  <si>
    <t>gene06823-v1.0-hybrid</t>
  </si>
  <si>
    <t>gene07723-v1.0-hybrid</t>
  </si>
  <si>
    <t>gene08324-v1.0-hybrid</t>
  </si>
  <si>
    <t>gene08624-v1.0-hybrid</t>
  </si>
  <si>
    <t>gene09524-v1.0-hybrid</t>
  </si>
  <si>
    <t>gene09824-v1.0-hybrid</t>
  </si>
  <si>
    <t>gene10125-v1.0-hybrid</t>
  </si>
  <si>
    <t>gene10425-v1.0-hybrid</t>
  </si>
  <si>
    <t>gene10726-v1.0-hybrid</t>
  </si>
  <si>
    <t>gene11026-v1.0-hybrid</t>
  </si>
  <si>
    <t>gene11327-v1.0-hybrid</t>
  </si>
  <si>
    <t>gene11627-v1.0-hybrid</t>
  </si>
  <si>
    <t>gene11927-v1.0-hybrid</t>
  </si>
  <si>
    <t>gene12527-v1.0-hybrid</t>
  </si>
  <si>
    <t>gene13428-v1.0-hybrid</t>
  </si>
  <si>
    <t>gene13728-v1.0-hybrid</t>
  </si>
  <si>
    <t>gene14029-v1.0-hybrid</t>
  </si>
  <si>
    <t>gene14330-v1.0-hybrid</t>
  </si>
  <si>
    <t>gene14632-v1.0-hybrid</t>
  </si>
  <si>
    <t>gene14933-v1.0-hybrid</t>
  </si>
  <si>
    <t>gene15234-v1.0-hybrid</t>
  </si>
  <si>
    <t>gene15535-v1.0-hybrid</t>
  </si>
  <si>
    <t>gene16137-v1.0-hybrid</t>
  </si>
  <si>
    <t>gene16437-v1.0-hybrid</t>
  </si>
  <si>
    <t>gene16737-v1.0-hybrid</t>
  </si>
  <si>
    <t>gene17039-v1.0-hybrid</t>
  </si>
  <si>
    <t>gene17339-v1.0-hybrid</t>
  </si>
  <si>
    <t>gene17939-v1.0-hybrid</t>
  </si>
  <si>
    <t>gene18539-v1.0-hybrid</t>
  </si>
  <si>
    <t>gene18839-v1.0-hybrid</t>
  </si>
  <si>
    <t>gene19139-v1.0-hybrid</t>
  </si>
  <si>
    <t>gene19439-v1.0-hybrid</t>
  </si>
  <si>
    <t>gene20039-v1.0-hybrid</t>
  </si>
  <si>
    <t>gene20640-v1.0-hybrid</t>
  </si>
  <si>
    <t>gene20940-v1.0-hybrid</t>
  </si>
  <si>
    <t>gene21541-v1.0-hybrid</t>
  </si>
  <si>
    <t>gene21841-v1.0-hybrid</t>
  </si>
  <si>
    <t>gene22141-v1.0-hybrid</t>
  </si>
  <si>
    <t>gene22442-v1.0-hybrid</t>
  </si>
  <si>
    <t>gene22743-v1.0-hybrid</t>
  </si>
  <si>
    <t>gene23043-v1.0-hybrid</t>
  </si>
  <si>
    <t>gene23345-v1.0-hybrid</t>
  </si>
  <si>
    <t>gene23945-v1.0-hybrid</t>
  </si>
  <si>
    <t>gene24850-v1.0-hybrid</t>
  </si>
  <si>
    <t>gene25150-v1.0-hybrid</t>
  </si>
  <si>
    <t>gene25750-v1.0-hybrid</t>
  </si>
  <si>
    <t>gene26350-v1.0-hybrid</t>
  </si>
  <si>
    <t>gene26650-v1.0-hybrid</t>
  </si>
  <si>
    <t>gene26951-v1.0-hybrid</t>
  </si>
  <si>
    <t>gene27251-v1.0-hybrid</t>
  </si>
  <si>
    <t>gene27551-v1.0-hybrid</t>
  </si>
  <si>
    <t>gene27851-v1.0-hybrid</t>
  </si>
  <si>
    <t>gene28151-v1.0-hybrid</t>
  </si>
  <si>
    <t>gene28451-v1.0-hybrid</t>
  </si>
  <si>
    <t>gene28751-v1.0-hybrid</t>
  </si>
  <si>
    <t>gene29051-v1.0-hybrid</t>
  </si>
  <si>
    <t>gene29652-v1.0-hybrid</t>
  </si>
  <si>
    <t>gene29953-v1.0-hybrid</t>
  </si>
  <si>
    <t>gene30253-v1.0-hybrid</t>
  </si>
  <si>
    <t>gene30553-v1.0-hybrid</t>
  </si>
  <si>
    <t>gene30853-v1.0-hybrid</t>
  </si>
  <si>
    <t>gene31153-v1.0-hybrid</t>
  </si>
  <si>
    <t>gene31453-v1.0-hybrid</t>
  </si>
  <si>
    <t>gene32053-v1.0-hybrid</t>
  </si>
  <si>
    <t>gene32353-v1.0-hybrid</t>
  </si>
  <si>
    <t>gene32653-v1.0-hybrid</t>
  </si>
  <si>
    <t>gene33030-v1.0-hybrid</t>
  </si>
  <si>
    <t>gene33427-v1.0-hybrid</t>
  </si>
  <si>
    <t>gene33818-v1.0-hybrid</t>
  </si>
  <si>
    <t>gene35018-v1.0-hybrid</t>
  </si>
  <si>
    <t>gene00430-v1.0-hybrid</t>
  </si>
  <si>
    <t>gene00734-v1.0-hybrid</t>
  </si>
  <si>
    <t>gene01334-v1.0-hybrid</t>
  </si>
  <si>
    <t>gene01635-v1.0-hybrid</t>
  </si>
  <si>
    <t>gene02235-v1.0-hybrid</t>
  </si>
  <si>
    <t>gene02535-v1.0-hybrid</t>
  </si>
  <si>
    <t>gene02877-v1.0-hybrid</t>
  </si>
  <si>
    <t>gene03223-v1.0-hybrid</t>
  </si>
  <si>
    <t>gene03523-v1.0-hybrid</t>
  </si>
  <si>
    <t>gene04123-v1.0-hybrid</t>
  </si>
  <si>
    <t>gene04423-v1.0-hybrid</t>
  </si>
  <si>
    <t>gene04723-v1.0-hybrid</t>
  </si>
  <si>
    <t>gene05624-v1.0-hybrid</t>
  </si>
  <si>
    <t>gene05924-v1.0-hybrid</t>
  </si>
  <si>
    <t>gene06824-v1.0-hybrid</t>
  </si>
  <si>
    <t>gene07124-v1.0-hybrid</t>
  </si>
  <si>
    <t>gene07424-v1.0-hybrid</t>
  </si>
  <si>
    <t>gene07724-v1.0-hybrid</t>
  </si>
  <si>
    <t>gene08025-v1.0-hybrid</t>
  </si>
  <si>
    <t>gene08325-v1.0-hybrid</t>
  </si>
  <si>
    <t>gene08625-v1.0-hybrid</t>
  </si>
  <si>
    <t>gene08925-v1.0-hybrid</t>
  </si>
  <si>
    <t>gene09225-v1.0-hybrid</t>
  </si>
  <si>
    <t>gene09525-v1.0-hybrid</t>
  </si>
  <si>
    <t>gene09825-v1.0-hybrid</t>
  </si>
  <si>
    <t>gene10126-v1.0-hybrid</t>
  </si>
  <si>
    <t>gene10727-v1.0-hybrid</t>
  </si>
  <si>
    <t>gene11027-v1.0-hybrid</t>
  </si>
  <si>
    <t>gene11328-v1.0-hybrid</t>
  </si>
  <si>
    <t>gene11628-v1.0-hybrid</t>
  </si>
  <si>
    <t>gene11928-v1.0-hybrid</t>
  </si>
  <si>
    <t>gene12228-v1.0-hybrid</t>
  </si>
  <si>
    <t>gene13729-v1.0-hybrid</t>
  </si>
  <si>
    <t>gene14633-v1.0-hybrid</t>
  </si>
  <si>
    <t>gene15235-v1.0-hybrid</t>
  </si>
  <si>
    <t>gene15536-v1.0-hybrid</t>
  </si>
  <si>
    <t>gene16438-v1.0-hybrid</t>
  </si>
  <si>
    <t>gene16738-v1.0-hybrid</t>
  </si>
  <si>
    <t>gene17040-v1.0-hybrid</t>
  </si>
  <si>
    <t>gene17340-v1.0-hybrid</t>
  </si>
  <si>
    <t>gene18240-v1.0-hybrid</t>
  </si>
  <si>
    <t>gene18540-v1.0-hybrid</t>
  </si>
  <si>
    <t>gene18840-v1.0-hybrid</t>
  </si>
  <si>
    <t>gene19440-v1.0-hybrid</t>
  </si>
  <si>
    <t>gene19740-v1.0-hybrid</t>
  </si>
  <si>
    <t>gene20040-v1.0-hybrid</t>
  </si>
  <si>
    <t>gene20341-v1.0-hybrid</t>
  </si>
  <si>
    <t>gene20641-v1.0-hybrid</t>
  </si>
  <si>
    <t>gene20941-v1.0-hybrid</t>
  </si>
  <si>
    <t>gene21241-v1.0-hybrid</t>
  </si>
  <si>
    <t>gene21542-v1.0-hybrid</t>
  </si>
  <si>
    <t>gene21842-v1.0-hybrid</t>
  </si>
  <si>
    <t>gene22142-v1.0-hybrid</t>
  </si>
  <si>
    <t>gene22443-v1.0-hybrid</t>
  </si>
  <si>
    <t>gene22744-v1.0-hybrid</t>
  </si>
  <si>
    <t>gene23044-v1.0-hybrid</t>
  </si>
  <si>
    <t>gene23946-v1.0-hybrid</t>
  </si>
  <si>
    <t>gene24248-v1.0-hybrid</t>
  </si>
  <si>
    <t>gene24549-v1.0-hybrid</t>
  </si>
  <si>
    <t>gene24851-v1.0-hybrid</t>
  </si>
  <si>
    <t>gene25151-v1.0-hybrid</t>
  </si>
  <si>
    <t>gene25451-v1.0-hybrid</t>
  </si>
  <si>
    <t>gene26051-v1.0-hybrid</t>
  </si>
  <si>
    <t>gene26351-v1.0-hybrid</t>
  </si>
  <si>
    <t>gene27852-v1.0-hybrid</t>
  </si>
  <si>
    <t>gene28152-v1.0-hybrid</t>
  </si>
  <si>
    <t>gene28452-v1.0-hybrid</t>
  </si>
  <si>
    <t>gene28752-v1.0-hybrid</t>
  </si>
  <si>
    <t>gene29052-v1.0-hybrid</t>
  </si>
  <si>
    <t>gene29352-v1.0-hybrid</t>
  </si>
  <si>
    <t>gene29653-v1.0-hybrid</t>
  </si>
  <si>
    <t>gene29954-v1.0-hybrid</t>
  </si>
  <si>
    <t>gene30254-v1.0-hybrid</t>
  </si>
  <si>
    <t>gene30554-v1.0-hybrid</t>
  </si>
  <si>
    <t>gene30854-v1.0-hybrid</t>
  </si>
  <si>
    <t>gene31454-v1.0-hybrid</t>
  </si>
  <si>
    <t>gene32054-v1.0-hybrid</t>
  </si>
  <si>
    <t>gene32354-v1.0-hybrid</t>
  </si>
  <si>
    <t>gene34119-v1.0-hybrid</t>
  </si>
  <si>
    <t>gene34719-v1.0-hybrid</t>
  </si>
  <si>
    <t>gene35019-v1.0-hybrid</t>
  </si>
  <si>
    <t>gene00131-v1.0-hybrid</t>
  </si>
  <si>
    <t>gene00431-v1.0-hybrid</t>
  </si>
  <si>
    <t>gene00735-v1.0-hybrid</t>
  </si>
  <si>
    <t>gene01035-v1.0-hybrid</t>
  </si>
  <si>
    <t>gene01335-v1.0-hybrid</t>
  </si>
  <si>
    <t>gene01636-v1.0-hybrid</t>
  </si>
  <si>
    <t>gene02236-v1.0-hybrid</t>
  </si>
  <si>
    <t>gene02536-v1.0-hybrid</t>
  </si>
  <si>
    <t>gene02878-v1.0-hybrid</t>
  </si>
  <si>
    <t>gene03224-v1.0-hybrid</t>
  </si>
  <si>
    <t>gene03524-v1.0-hybrid</t>
  </si>
  <si>
    <t>gene04124-v1.0-hybrid</t>
  </si>
  <si>
    <t>gene04424-v1.0-hybrid</t>
  </si>
  <si>
    <t>gene04724-v1.0-hybrid</t>
  </si>
  <si>
    <t>gene05024-v1.0-hybrid</t>
  </si>
  <si>
    <t>gene05925-v1.0-hybrid</t>
  </si>
  <si>
    <t>gene06225-v1.0-hybrid</t>
  </si>
  <si>
    <t>gene06525-v1.0-hybrid</t>
  </si>
  <si>
    <t>gene06825-v1.0-hybrid</t>
  </si>
  <si>
    <t>gene07125-v1.0-hybrid</t>
  </si>
  <si>
    <t>gene08026-v1.0-hybrid</t>
  </si>
  <si>
    <t>gene08326-v1.0-hybrid</t>
  </si>
  <si>
    <t>gene08626-v1.0-hybrid</t>
  </si>
  <si>
    <t>gene08926-v1.0-hybrid</t>
  </si>
  <si>
    <t>gene09526-v1.0-hybrid</t>
  </si>
  <si>
    <t>gene09827-v1.0-hybrid</t>
  </si>
  <si>
    <t>gene10127-v1.0-hybrid</t>
  </si>
  <si>
    <t>gene10427-v1.0-hybrid</t>
  </si>
  <si>
    <t>gene10728-v1.0-hybrid</t>
  </si>
  <si>
    <t>gene11028-v1.0-hybrid</t>
  </si>
  <si>
    <t>gene11329-v1.0-hybrid</t>
  </si>
  <si>
    <t>gene11629-v1.0-hybrid</t>
  </si>
  <si>
    <t>gene11929-v1.0-hybrid</t>
  </si>
  <si>
    <t>gene12229-v1.0-hybrid</t>
  </si>
  <si>
    <t>gene12529-v1.0-hybrid</t>
  </si>
  <si>
    <t>gene12829-v1.0-hybrid</t>
  </si>
  <si>
    <t>gene13430-v1.0-hybrid</t>
  </si>
  <si>
    <t>gene13730-v1.0-hybrid</t>
  </si>
  <si>
    <t>gene14031-v1.0-hybrid</t>
  </si>
  <si>
    <t>gene14332-v1.0-hybrid</t>
  </si>
  <si>
    <t>gene15236-v1.0-hybrid</t>
  </si>
  <si>
    <t>gene16139-v1.0-hybrid</t>
  </si>
  <si>
    <t>gene16439-v1.0-hybrid</t>
  </si>
  <si>
    <t>gene16739-v1.0-hybrid</t>
  </si>
  <si>
    <t>gene17041-v1.0-hybrid</t>
  </si>
  <si>
    <t>gene17341-v1.0-hybrid</t>
  </si>
  <si>
    <t>gene17641-v1.0-hybrid</t>
  </si>
  <si>
    <t>gene18241-v1.0-hybrid</t>
  </si>
  <si>
    <t>gene18541-v1.0-hybrid</t>
  </si>
  <si>
    <t>gene18841-v1.0-hybrid</t>
  </si>
  <si>
    <t>gene19141-v1.0-hybrid</t>
  </si>
  <si>
    <t>gene19441-v1.0-hybrid</t>
  </si>
  <si>
    <t>gene19741-v1.0-hybrid</t>
  </si>
  <si>
    <t>gene20342-v1.0-hybrid</t>
  </si>
  <si>
    <t>gene20642-v1.0-hybrid</t>
  </si>
  <si>
    <t>gene20942-v1.0-hybrid</t>
  </si>
  <si>
    <t>gene21242-v1.0-hybrid</t>
  </si>
  <si>
    <t>gene21543-v1.0-hybrid</t>
  </si>
  <si>
    <t>gene22143-v1.0-hybrid</t>
  </si>
  <si>
    <t>gene22444-v1.0-hybrid</t>
  </si>
  <si>
    <t>gene22745-v1.0-hybrid</t>
  </si>
  <si>
    <t>gene23045-v1.0-hybrid</t>
  </si>
  <si>
    <t>gene23647-v1.0-hybrid</t>
  </si>
  <si>
    <t>gene24550-v1.0-hybrid</t>
  </si>
  <si>
    <t>gene24852-v1.0-hybrid</t>
  </si>
  <si>
    <t>gene25152-v1.0-hybrid</t>
  </si>
  <si>
    <t>gene25452-v1.0-hybrid</t>
  </si>
  <si>
    <t>gene25752-v1.0-hybrid</t>
  </si>
  <si>
    <t>gene26052-v1.0-hybrid</t>
  </si>
  <si>
    <t>gene26352-v1.0-hybrid</t>
  </si>
  <si>
    <t>gene26652-v1.0-hybrid</t>
  </si>
  <si>
    <t>gene26953-v1.0-hybrid</t>
  </si>
  <si>
    <t>gene27253-v1.0-hybrid</t>
  </si>
  <si>
    <t>gene27553-v1.0-hybrid</t>
  </si>
  <si>
    <t>gene27853-v1.0-hybrid</t>
  </si>
  <si>
    <t>gene28153-v1.0-hybrid</t>
  </si>
  <si>
    <t>gene28453-v1.0-hybrid</t>
  </si>
  <si>
    <t>gene28753-v1.0-hybrid</t>
  </si>
  <si>
    <t>gene29053-v1.0-hybrid</t>
  </si>
  <si>
    <t>gene29353-v1.0-hybrid</t>
  </si>
  <si>
    <t>gene29654-v1.0-hybrid</t>
  </si>
  <si>
    <t>gene30555-v1.0-hybrid</t>
  </si>
  <si>
    <t>gene30855-v1.0-hybrid</t>
  </si>
  <si>
    <t>gene31155-v1.0-hybrid</t>
  </si>
  <si>
    <t>gene31455-v1.0-hybrid</t>
  </si>
  <si>
    <t>gene32055-v1.0-hybrid</t>
  </si>
  <si>
    <t>gene32355-v1.0-hybrid</t>
  </si>
  <si>
    <t>gene32655-v1.0-hybrid</t>
  </si>
  <si>
    <t>gene34120-v1.0-hybrid</t>
  </si>
  <si>
    <t>gene35020-v1.0-hybrid</t>
  </si>
  <si>
    <t>gene00736-v1.0-hybrid</t>
  </si>
  <si>
    <t>gene01036-v1.0-hybrid</t>
  </si>
  <si>
    <t>gene01336-v1.0-hybrid</t>
  </si>
  <si>
    <t>gene01637-v1.0-hybrid</t>
  </si>
  <si>
    <t>gene01937-v1.0-hybrid</t>
  </si>
  <si>
    <t>gene02237-v1.0-hybrid</t>
  </si>
  <si>
    <t>gene02537-v1.0-hybrid</t>
  </si>
  <si>
    <t>gene03525-v1.0-hybrid</t>
  </si>
  <si>
    <t>gene03825-v1.0-hybrid</t>
  </si>
  <si>
    <t>gene04125-v1.0-hybrid</t>
  </si>
  <si>
    <t>gene04425-v1.0-hybrid</t>
  </si>
  <si>
    <t>gene05025-v1.0-hybrid</t>
  </si>
  <si>
    <t>gene05326-v1.0-hybrid</t>
  </si>
  <si>
    <t>gene05926-v1.0-hybrid</t>
  </si>
  <si>
    <t>gene06226-v1.0-hybrid</t>
  </si>
  <si>
    <t>gene06526-v1.0-hybrid</t>
  </si>
  <si>
    <t>gene06826-v1.0-hybrid</t>
  </si>
  <si>
    <t>gene07126-v1.0-hybrid</t>
  </si>
  <si>
    <t>gene07726-v1.0-hybrid</t>
  </si>
  <si>
    <t>gene08027-v1.0-hybrid</t>
  </si>
  <si>
    <t>gene08327-v1.0-hybrid</t>
  </si>
  <si>
    <t>gene08627-v1.0-hybrid</t>
  </si>
  <si>
    <t>gene09227-v1.0-hybrid</t>
  </si>
  <si>
    <t>gene09527-v1.0-hybrid</t>
  </si>
  <si>
    <t>gene10128-v1.0-hybrid</t>
  </si>
  <si>
    <t>gene10428-v1.0-hybrid</t>
  </si>
  <si>
    <t>gene10729-v1.0-hybrid</t>
  </si>
  <si>
    <t>gene11029-v1.0-hybrid</t>
  </si>
  <si>
    <t>gene11330-v1.0-hybrid</t>
  </si>
  <si>
    <t>gene11630-v1.0-hybrid</t>
  </si>
  <si>
    <t>gene11930-v1.0-hybrid</t>
  </si>
  <si>
    <t>gene12230-v1.0-hybrid</t>
  </si>
  <si>
    <t>gene12530-v1.0-hybrid</t>
  </si>
  <si>
    <t>gene12830-v1.0-hybrid</t>
  </si>
  <si>
    <t>gene13431-v1.0-hybrid</t>
  </si>
  <si>
    <t>gene14635-v1.0-hybrid</t>
  </si>
  <si>
    <t>gene15237-v1.0-hybrid</t>
  </si>
  <si>
    <t>gene15538-v1.0-hybrid</t>
  </si>
  <si>
    <t>gene15839-v1.0-hybrid</t>
  </si>
  <si>
    <t>gene16440-v1.0-hybrid</t>
  </si>
  <si>
    <t>gene16740-v1.0-hybrid</t>
  </si>
  <si>
    <t>gene17342-v1.0-hybrid</t>
  </si>
  <si>
    <t>gene17642-v1.0-hybrid</t>
  </si>
  <si>
    <t>gene17942-v1.0-hybrid</t>
  </si>
  <si>
    <t>gene18242-v1.0-hybrid</t>
  </si>
  <si>
    <t>gene18542-v1.0-hybrid</t>
  </si>
  <si>
    <t>gene19142-v1.0-hybrid</t>
  </si>
  <si>
    <t>gene19442-v1.0-hybrid</t>
  </si>
  <si>
    <t>gene19742-v1.0-hybrid</t>
  </si>
  <si>
    <t>gene20042-v1.0-hybrid</t>
  </si>
  <si>
    <t>gene20643-v1.0-hybrid</t>
  </si>
  <si>
    <t>gene20943-v1.0-hybrid</t>
  </si>
  <si>
    <t>gene21243-v1.0-hybrid</t>
  </si>
  <si>
    <t>gene21544-v1.0-hybrid</t>
  </si>
  <si>
    <t>gene21844-v1.0-hybrid</t>
  </si>
  <si>
    <t>gene22445-v1.0-hybrid</t>
  </si>
  <si>
    <t>gene22746-v1.0-hybrid</t>
  </si>
  <si>
    <t>gene23348-v1.0-hybrid</t>
  </si>
  <si>
    <t>gene23648-v1.0-hybrid</t>
  </si>
  <si>
    <t>gene23948-v1.0-hybrid</t>
  </si>
  <si>
    <t>gene24250-v1.0-hybrid</t>
  </si>
  <si>
    <t>gene24551-v1.0-hybrid</t>
  </si>
  <si>
    <t>gene24853-v1.0-hybrid</t>
  </si>
  <si>
    <t>gene25153-v1.0-hybrid</t>
  </si>
  <si>
    <t>gene25453-v1.0-hybrid</t>
  </si>
  <si>
    <t>gene25753-v1.0-hybrid</t>
  </si>
  <si>
    <t>gene26053-v1.0-hybrid</t>
  </si>
  <si>
    <t>gene26353-v1.0-hybrid</t>
  </si>
  <si>
    <t>gene26653-v1.0-hybrid</t>
  </si>
  <si>
    <t>gene26954-v1.0-hybrid</t>
  </si>
  <si>
    <t>gene27254-v1.0-hybrid</t>
  </si>
  <si>
    <t>gene27554-v1.0-hybrid</t>
  </si>
  <si>
    <t>gene27854-v1.0-hybrid</t>
  </si>
  <si>
    <t>gene28154-v1.0-hybrid</t>
  </si>
  <si>
    <t>gene28454-v1.0-hybrid</t>
  </si>
  <si>
    <t>gene28754-v1.0-hybrid</t>
  </si>
  <si>
    <t>gene29054-v1.0-hybrid</t>
  </si>
  <si>
    <t>gene29354-v1.0-hybrid</t>
  </si>
  <si>
    <t>gene29655-v1.0-hybrid</t>
  </si>
  <si>
    <t>gene29956-v1.0-hybrid</t>
  </si>
  <si>
    <t>gene30256-v1.0-hybrid</t>
  </si>
  <si>
    <t>gene30856-v1.0-hybrid</t>
  </si>
  <si>
    <t>gene31156-v1.0-hybrid</t>
  </si>
  <si>
    <t>gene31756-v1.0-hybrid</t>
  </si>
  <si>
    <t>gene32056-v1.0-hybrid</t>
  </si>
  <si>
    <t>gene32356-v1.0-hybrid</t>
  </si>
  <si>
    <t>gene32656-v1.0-hybrid</t>
  </si>
  <si>
    <t>gene33033-v1.0-hybrid</t>
  </si>
  <si>
    <t>gene34121-v1.0-hybrid</t>
  </si>
  <si>
    <t>gene34721-v1.0-hybrid</t>
  </si>
  <si>
    <t>gene35021-v1.0-hybrid</t>
  </si>
  <si>
    <t>gene00433-v1.0-hybrid</t>
  </si>
  <si>
    <t>gene00737-v1.0-hybrid</t>
  </si>
  <si>
    <t>gene01037-v1.0-hybrid</t>
  </si>
  <si>
    <t>gene01337-v1.0-hybrid</t>
  </si>
  <si>
    <t>gene01638-v1.0-hybrid</t>
  </si>
  <si>
    <t>gene01938-v1.0-hybrid</t>
  </si>
  <si>
    <t>gene02238-v1.0-hybrid</t>
  </si>
  <si>
    <t>gene02538-v1.0-hybrid</t>
  </si>
  <si>
    <t>gene03826-v1.0-hybrid</t>
  </si>
  <si>
    <t>gene04126-v1.0-hybrid</t>
  </si>
  <si>
    <t>gene04426-v1.0-hybrid</t>
  </si>
  <si>
    <t>gene04726-v1.0-hybrid</t>
  </si>
  <si>
    <t>gene05026-v1.0-hybrid</t>
  </si>
  <si>
    <t>gene05327-v1.0-hybrid</t>
  </si>
  <si>
    <t>gene05627-v1.0-hybrid</t>
  </si>
  <si>
    <t>gene05927-v1.0-hybrid</t>
  </si>
  <si>
    <t>gene06227-v1.0-hybrid</t>
  </si>
  <si>
    <t>gene06527-v1.0-hybrid</t>
  </si>
  <si>
    <t>gene06827-v1.0-hybrid</t>
  </si>
  <si>
    <t>gene07127-v1.0-hybrid</t>
  </si>
  <si>
    <t>gene07727-v1.0-hybrid</t>
  </si>
  <si>
    <t>gene08328-v1.0-hybrid</t>
  </si>
  <si>
    <t>gene08628-v1.0-hybrid</t>
  </si>
  <si>
    <t>gene08928-v1.0-hybrid</t>
  </si>
  <si>
    <t>gene09228-v1.0-hybrid</t>
  </si>
  <si>
    <t>gene09528-v1.0-hybrid</t>
  </si>
  <si>
    <t>gene10129-v1.0-hybrid</t>
  </si>
  <si>
    <t>gene10429-v1.0-hybrid</t>
  </si>
  <si>
    <t>gene10730-v1.0-hybrid</t>
  </si>
  <si>
    <t>gene11030-v1.0-hybrid</t>
  </si>
  <si>
    <t>gene11331-v1.0-hybrid</t>
  </si>
  <si>
    <t>gene11931-v1.0-hybrid</t>
  </si>
  <si>
    <t>gene12231-v1.0-hybrid</t>
  </si>
  <si>
    <t>gene12531-v1.0-hybrid</t>
  </si>
  <si>
    <t>gene12831-v1.0-hybrid</t>
  </si>
  <si>
    <t>gene13432-v1.0-hybrid</t>
  </si>
  <si>
    <t>gene14033-v1.0-hybrid</t>
  </si>
  <si>
    <t>gene14334-v1.0-hybrid</t>
  </si>
  <si>
    <t>gene14636-v1.0-hybrid</t>
  </si>
  <si>
    <t>gene14937-v1.0-hybrid</t>
  </si>
  <si>
    <t>gene15539-v1.0-hybrid</t>
  </si>
  <si>
    <t>gene15840-v1.0-hybrid</t>
  </si>
  <si>
    <t>gene16141-v1.0-hybrid</t>
  </si>
  <si>
    <t>gene16441-v1.0-hybrid</t>
  </si>
  <si>
    <t>gene16741-v1.0-hybrid</t>
  </si>
  <si>
    <t>gene17343-v1.0-hybrid</t>
  </si>
  <si>
    <t>gene17643-v1.0-hybrid</t>
  </si>
  <si>
    <t>gene17943-v1.0-hybrid</t>
  </si>
  <si>
    <t>gene18243-v1.0-hybrid</t>
  </si>
  <si>
    <t>gene18543-v1.0-hybrid</t>
  </si>
  <si>
    <t>gene18843-v1.0-hybrid</t>
  </si>
  <si>
    <t>gene19143-v1.0-hybrid</t>
  </si>
  <si>
    <t>gene19443-v1.0-hybrid</t>
  </si>
  <si>
    <t>gene20344-v1.0-hybrid</t>
  </si>
  <si>
    <t>gene20644-v1.0-hybrid</t>
  </si>
  <si>
    <t>gene20944-v1.0-hybrid</t>
  </si>
  <si>
    <t>gene21845-v1.0-hybrid</t>
  </si>
  <si>
    <t>gene22145-v1.0-hybrid</t>
  </si>
  <si>
    <t>gene22446-v1.0-hybrid</t>
  </si>
  <si>
    <t>gene22747-v1.0-hybrid</t>
  </si>
  <si>
    <t>gene23047-v1.0-hybrid</t>
  </si>
  <si>
    <t>gene23649-v1.0-hybrid</t>
  </si>
  <si>
    <t>gene24251-v1.0-hybrid</t>
  </si>
  <si>
    <t>gene24552-v1.0-hybrid</t>
  </si>
  <si>
    <t>gene24854-v1.0-hybrid</t>
  </si>
  <si>
    <t>gene25154-v1.0-hybrid</t>
  </si>
  <si>
    <t>gene26354-v1.0-hybrid</t>
  </si>
  <si>
    <t>gene26654-v1.0-hybrid</t>
  </si>
  <si>
    <t>gene26955-v1.0-hybrid</t>
  </si>
  <si>
    <t>gene27255-v1.0-hybrid</t>
  </si>
  <si>
    <t>gene27555-v1.0-hybrid</t>
  </si>
  <si>
    <t>gene27855-v1.0-hybrid</t>
  </si>
  <si>
    <t>gene28155-v1.0-hybrid</t>
  </si>
  <si>
    <t>gene28455-v1.0-hybrid</t>
  </si>
  <si>
    <t>gene28755-v1.0-hybrid</t>
  </si>
  <si>
    <t>gene29055-v1.0-hybrid</t>
  </si>
  <si>
    <t>gene29355-v1.0-hybrid</t>
  </si>
  <si>
    <t>gene29656-v1.0-hybrid</t>
  </si>
  <si>
    <t>gene29957-v1.0-hybrid</t>
  </si>
  <si>
    <t>gene30257-v1.0-hybrid</t>
  </si>
  <si>
    <t>gene30557-v1.0-hybrid</t>
  </si>
  <si>
    <t>gene30857-v1.0-hybrid</t>
  </si>
  <si>
    <t>gene31457-v1.0-hybrid</t>
  </si>
  <si>
    <t>gene31757-v1.0-hybrid</t>
  </si>
  <si>
    <t>gene34122-v1.0-hybrid</t>
  </si>
  <si>
    <t>gene34422-v1.0-hybrid</t>
  </si>
  <si>
    <t>gene35022-v1.0-hybrid</t>
  </si>
  <si>
    <t>gene00434-v1.0-hybrid</t>
  </si>
  <si>
    <t>gene00738-v1.0-hybrid</t>
  </si>
  <si>
    <t>gene01038-v1.0-hybrid</t>
  </si>
  <si>
    <t>gene01338-v1.0-hybrid</t>
  </si>
  <si>
    <t>gene01639-v1.0-hybrid</t>
  </si>
  <si>
    <t>gene01939-v1.0-hybrid</t>
  </si>
  <si>
    <t>gene02239-v1.0-hybrid</t>
  </si>
  <si>
    <t>gene02539-v1.0-hybrid</t>
  </si>
  <si>
    <t>gene03227-v1.0-hybrid</t>
  </si>
  <si>
    <t>gene03527-v1.0-hybrid</t>
  </si>
  <si>
    <t>gene03827-v1.0-hybrid</t>
  </si>
  <si>
    <t>gene04127-v1.0-hybrid</t>
  </si>
  <si>
    <t>gene04427-v1.0-hybrid</t>
  </si>
  <si>
    <t>gene04727-v1.0-hybrid</t>
  </si>
  <si>
    <t>gene05027-v1.0-hybrid</t>
  </si>
  <si>
    <t>gene05628-v1.0-hybrid</t>
  </si>
  <si>
    <t>gene05928-v1.0-hybrid</t>
  </si>
  <si>
    <t>gene06228-v1.0-hybrid</t>
  </si>
  <si>
    <t>gene06528-v1.0-hybrid</t>
  </si>
  <si>
    <t>gene06828-v1.0-hybrid</t>
  </si>
  <si>
    <t>gene07128-v1.0-hybrid</t>
  </si>
  <si>
    <t>gene07428-v1.0-hybrid</t>
  </si>
  <si>
    <t>gene07728-v1.0-hybrid</t>
  </si>
  <si>
    <t>gene08029-v1.0-hybrid</t>
  </si>
  <si>
    <t>gene08629-v1.0-hybrid</t>
  </si>
  <si>
    <t>gene08929-v1.0-hybrid</t>
  </si>
  <si>
    <t>gene09229-v1.0-hybrid</t>
  </si>
  <si>
    <t>gene09529-v1.0-hybrid</t>
  </si>
  <si>
    <t>gene09830-v1.0-hybrid</t>
  </si>
  <si>
    <t>gene10130-v1.0-hybrid</t>
  </si>
  <si>
    <t>gene10731-v1.0-hybrid</t>
  </si>
  <si>
    <t>gene11031-v1.0-hybrid</t>
  </si>
  <si>
    <t>gene11332-v1.0-hybrid</t>
  </si>
  <si>
    <t>gene11632-v1.0-hybrid</t>
  </si>
  <si>
    <t>gene11932-v1.0-hybrid</t>
  </si>
  <si>
    <t>gene12232-v1.0-hybrid</t>
  </si>
  <si>
    <t>gene12532-v1.0-hybrid</t>
  </si>
  <si>
    <t>gene12832-v1.0-hybrid</t>
  </si>
  <si>
    <t>gene13133-v1.0-hybrid</t>
  </si>
  <si>
    <t>gene13733-v1.0-hybrid</t>
  </si>
  <si>
    <t>gene14034-v1.0-hybrid</t>
  </si>
  <si>
    <t>gene14335-v1.0-hybrid</t>
  </si>
  <si>
    <t>gene14938-v1.0-hybrid</t>
  </si>
  <si>
    <t>gene15239-v1.0-hybrid</t>
  </si>
  <si>
    <t>gene15540-v1.0-hybrid</t>
  </si>
  <si>
    <t>gene15841-v1.0-hybrid</t>
  </si>
  <si>
    <t>gene16142-v1.0-hybrid</t>
  </si>
  <si>
    <t>gene16442-v1.0-hybrid</t>
  </si>
  <si>
    <t>gene16742-v1.0-hybrid</t>
  </si>
  <si>
    <t>gene17644-v1.0-hybrid</t>
  </si>
  <si>
    <t>gene17944-v1.0-hybrid</t>
  </si>
  <si>
    <t>gene18844-v1.0-hybrid</t>
  </si>
  <si>
    <t>gene19144-v1.0-hybrid</t>
  </si>
  <si>
    <t>gene19444-v1.0-hybrid</t>
  </si>
  <si>
    <t>gene19744-v1.0-hybrid</t>
  </si>
  <si>
    <t>gene20044-v1.0-hybrid</t>
  </si>
  <si>
    <t>gene20345-v1.0-hybrid</t>
  </si>
  <si>
    <t>gene20645-v1.0-hybrid</t>
  </si>
  <si>
    <t>gene20945-v1.0-hybrid</t>
  </si>
  <si>
    <t>gene21245-v1.0-hybrid</t>
  </si>
  <si>
    <t>gene21546-v1.0-hybrid</t>
  </si>
  <si>
    <t>gene22146-v1.0-hybrid</t>
  </si>
  <si>
    <t>gene22447-v1.0-hybrid</t>
  </si>
  <si>
    <t>gene23350-v1.0-hybrid</t>
  </si>
  <si>
    <t>gene23650-v1.0-hybrid</t>
  </si>
  <si>
    <t>gene23950-v1.0-hybrid</t>
  </si>
  <si>
    <t>gene24252-v1.0-hybrid</t>
  </si>
  <si>
    <t>gene24553-v1.0-hybrid</t>
  </si>
  <si>
    <t>gene24855-v1.0-hybrid</t>
  </si>
  <si>
    <t>gene25155-v1.0-hybrid</t>
  </si>
  <si>
    <t>gene25455-v1.0-hybrid</t>
  </si>
  <si>
    <t>gene26055-v1.0-hybrid</t>
  </si>
  <si>
    <t>gene26355-v1.0-hybrid</t>
  </si>
  <si>
    <t>gene26655-v1.0-hybrid</t>
  </si>
  <si>
    <t>gene27256-v1.0-hybrid</t>
  </si>
  <si>
    <t>gene27556-v1.0-hybrid</t>
  </si>
  <si>
    <t>gene27856-v1.0-hybrid</t>
  </si>
  <si>
    <t>gene28156-v1.0-hybrid</t>
  </si>
  <si>
    <t>gene29056-v1.0-hybrid</t>
  </si>
  <si>
    <t>gene29356-v1.0-hybrid</t>
  </si>
  <si>
    <t>gene29657-v1.0-hybrid</t>
  </si>
  <si>
    <t>gene29958-v1.0-hybrid</t>
  </si>
  <si>
    <t>gene30258-v1.0-hybrid</t>
  </si>
  <si>
    <t>gene30558-v1.0-hybrid</t>
  </si>
  <si>
    <t>gene30858-v1.0-hybrid</t>
  </si>
  <si>
    <t>gene31758-v1.0-hybrid</t>
  </si>
  <si>
    <t>gene32058-v1.0-hybrid</t>
  </si>
  <si>
    <t>gene32358-v1.0-hybrid</t>
  </si>
  <si>
    <t>gene32658-v1.0-hybrid</t>
  </si>
  <si>
    <t>gene33035-v1.0-hybrid</t>
  </si>
  <si>
    <t>gene33433-v1.0-hybrid</t>
  </si>
  <si>
    <t>gene34123-v1.0-hybrid</t>
  </si>
  <si>
    <t>gene34423-v1.0-hybrid</t>
  </si>
  <si>
    <t>gene35023-v1.0-hybrid</t>
  </si>
  <si>
    <t>gene00435-v1.0-hybrid</t>
  </si>
  <si>
    <t>gene01039-v1.0-hybrid</t>
  </si>
  <si>
    <t>gene01640-v1.0-hybrid</t>
  </si>
  <si>
    <t>gene01940-v1.0-hybrid</t>
  </si>
  <si>
    <t>gene02240-v1.0-hybrid</t>
  </si>
  <si>
    <t>gene02540-v1.0-hybrid</t>
  </si>
  <si>
    <t>gene03228-v1.0-hybrid</t>
  </si>
  <si>
    <t>gene03528-v1.0-hybrid</t>
  </si>
  <si>
    <t>gene03828-v1.0-hybrid</t>
  </si>
  <si>
    <t>gene04128-v1.0-hybrid</t>
  </si>
  <si>
    <t>gene04428-v1.0-hybrid</t>
  </si>
  <si>
    <t>gene04728-v1.0-hybrid</t>
  </si>
  <si>
    <t>gene05329-v1.0-hybrid</t>
  </si>
  <si>
    <t>gene05629-v1.0-hybrid</t>
  </si>
  <si>
    <t>gene05929-v1.0-hybrid</t>
  </si>
  <si>
    <t>gene06229-v1.0-hybrid</t>
  </si>
  <si>
    <t>gene06529-v1.0-hybrid</t>
  </si>
  <si>
    <t>gene06829-v1.0-hybrid</t>
  </si>
  <si>
    <t>gene07129-v1.0-hybrid</t>
  </si>
  <si>
    <t>gene07429-v1.0-hybrid</t>
  </si>
  <si>
    <t>gene07729-v1.0-hybrid</t>
  </si>
  <si>
    <t>gene08030-v1.0-hybrid</t>
  </si>
  <si>
    <t>gene08630-v1.0-hybrid</t>
  </si>
  <si>
    <t>gene08930-v1.0-hybrid</t>
  </si>
  <si>
    <t>gene09230-v1.0-hybrid</t>
  </si>
  <si>
    <t>gene09530-v1.0-hybrid</t>
  </si>
  <si>
    <t>gene09831-v1.0-hybrid</t>
  </si>
  <si>
    <t>gene10131-v1.0-hybrid</t>
  </si>
  <si>
    <t>gene10431-v1.0-hybrid</t>
  </si>
  <si>
    <t>gene10732-v1.0-hybrid</t>
  </si>
  <si>
    <t>gene11032-v1.0-hybrid</t>
  </si>
  <si>
    <t>gene11333-v1.0-hybrid</t>
  </si>
  <si>
    <t>gene11633-v1.0-hybrid</t>
  </si>
  <si>
    <t>gene12233-v1.0-hybrid</t>
  </si>
  <si>
    <t>gene12533-v1.0-hybrid</t>
  </si>
  <si>
    <t>gene12833-v1.0-hybrid</t>
  </si>
  <si>
    <t>gene13134-v1.0-hybrid</t>
  </si>
  <si>
    <t>gene13434-v1.0-hybrid</t>
  </si>
  <si>
    <t>gene13734-v1.0-hybrid</t>
  </si>
  <si>
    <t>gene14035-v1.0-hybrid</t>
  </si>
  <si>
    <t>gene14336-v1.0-hybrid</t>
  </si>
  <si>
    <t>gene14638-v1.0-hybrid</t>
  </si>
  <si>
    <t>gene14939-v1.0-hybrid</t>
  </si>
  <si>
    <t>gene15240-v1.0-hybrid</t>
  </si>
  <si>
    <t>gene15541-v1.0-hybrid</t>
  </si>
  <si>
    <t>gene16143-v1.0-hybrid</t>
  </si>
  <si>
    <t>gene16443-v1.0-hybrid</t>
  </si>
  <si>
    <t>gene17045-v1.0-hybrid</t>
  </si>
  <si>
    <t>gene17345-v1.0-hybrid</t>
  </si>
  <si>
    <t>gene17645-v1.0-hybrid</t>
  </si>
  <si>
    <t>gene17945-v1.0-hybrid</t>
  </si>
  <si>
    <t>gene18245-v1.0-hybrid</t>
  </si>
  <si>
    <t>gene18545-v1.0-hybrid</t>
  </si>
  <si>
    <t>gene18845-v1.0-hybrid</t>
  </si>
  <si>
    <t>gene19145-v1.0-hybrid</t>
  </si>
  <si>
    <t>gene19445-v1.0-hybrid</t>
  </si>
  <si>
    <t>gene19745-v1.0-hybrid</t>
  </si>
  <si>
    <t>gene20045-v1.0-hybrid</t>
  </si>
  <si>
    <t>gene20346-v1.0-hybrid</t>
  </si>
  <si>
    <t>gene20646-v1.0-hybrid</t>
  </si>
  <si>
    <t>gene20946-v1.0-hybrid</t>
  </si>
  <si>
    <t>gene21246-v1.0-hybrid</t>
  </si>
  <si>
    <t>gene21547-v1.0-hybrid</t>
  </si>
  <si>
    <t>gene21847-v1.0-hybrid</t>
  </si>
  <si>
    <t>gene22147-v1.0-hybrid</t>
  </si>
  <si>
    <t>gene22448-v1.0-hybrid</t>
  </si>
  <si>
    <t>gene22749-v1.0-hybrid</t>
  </si>
  <si>
    <t>gene23049-v1.0-hybrid</t>
  </si>
  <si>
    <t>gene23351-v1.0-hybrid</t>
  </si>
  <si>
    <t>gene23651-v1.0-hybrid</t>
  </si>
  <si>
    <t>gene23951-v1.0-hybrid</t>
  </si>
  <si>
    <t>gene24554-v1.0-hybrid</t>
  </si>
  <si>
    <t>gene24856-v1.0-hybrid</t>
  </si>
  <si>
    <t>gene25156-v1.0-hybrid</t>
  </si>
  <si>
    <t>gene25456-v1.0-hybrid</t>
  </si>
  <si>
    <t>gene25756-v1.0-hybrid</t>
  </si>
  <si>
    <t>gene26056-v1.0-hybrid</t>
  </si>
  <si>
    <t>gene26356-v1.0-hybrid</t>
  </si>
  <si>
    <t>gene26656-v1.0-hybrid</t>
  </si>
  <si>
    <t>gene26957-v1.0-hybrid</t>
  </si>
  <si>
    <t>gene27257-v1.0-hybrid</t>
  </si>
  <si>
    <t>gene27557-v1.0-hybrid</t>
  </si>
  <si>
    <t>gene27857-v1.0-hybrid</t>
  </si>
  <si>
    <t>gene28157-v1.0-hybrid</t>
  </si>
  <si>
    <t>gene28457-v1.0-hybrid</t>
  </si>
  <si>
    <t>gene28757-v1.0-hybrid</t>
  </si>
  <si>
    <t>gene29057-v1.0-hybrid</t>
  </si>
  <si>
    <t>gene29357-v1.0-hybrid</t>
  </si>
  <si>
    <t>gene29658-v1.0-hybrid</t>
  </si>
  <si>
    <t>gene29959-v1.0-hybrid</t>
  </si>
  <si>
    <t>gene30259-v1.0-hybrid</t>
  </si>
  <si>
    <t>gene30559-v1.0-hybrid</t>
  </si>
  <si>
    <t>gene30859-v1.0-hybrid</t>
  </si>
  <si>
    <t>gene31159-v1.0-hybrid</t>
  </si>
  <si>
    <t>gene31759-v1.0-hybrid</t>
  </si>
  <si>
    <t>gene32059-v1.0-hybrid</t>
  </si>
  <si>
    <t>gene32359-v1.0-hybrid</t>
  </si>
  <si>
    <t>gene32659-v1.0-hybrid</t>
  </si>
  <si>
    <t>gene34124-v1.0-hybrid</t>
  </si>
  <si>
    <t>gene34424-v1.0-hybrid</t>
  </si>
  <si>
    <t>gene34724-v1.0-hybrid</t>
  </si>
  <si>
    <t>gene35024-v1.0-hybrid</t>
  </si>
  <si>
    <t>gene00136-v1.0-hybrid</t>
  </si>
  <si>
    <t>gene00436-v1.0-hybrid</t>
  </si>
  <si>
    <t>gene00740-v1.0-hybrid</t>
  </si>
  <si>
    <t>gene01040-v1.0-hybrid</t>
  </si>
  <si>
    <t>gene01340-v1.0-hybrid</t>
  </si>
  <si>
    <t>gene01641-v1.0-hybrid</t>
  </si>
  <si>
    <t>gene02241-v1.0-hybrid</t>
  </si>
  <si>
    <t>gene02541-v1.0-hybrid</t>
  </si>
  <si>
    <t>gene02884-v1.0-hybrid</t>
  </si>
  <si>
    <t>gene03529-v1.0-hybrid</t>
  </si>
  <si>
    <t>gene03829-v1.0-hybrid</t>
  </si>
  <si>
    <t>gene04129-v1.0-hybrid</t>
  </si>
  <si>
    <t>gene04429-v1.0-hybrid</t>
  </si>
  <si>
    <t>gene04729-v1.0-hybrid</t>
  </si>
  <si>
    <t>gene05029-v1.0-hybrid</t>
  </si>
  <si>
    <t>gene06230-v1.0-hybrid</t>
  </si>
  <si>
    <t>gene06530-v1.0-hybrid</t>
  </si>
  <si>
    <t>gene07130-v1.0-hybrid</t>
  </si>
  <si>
    <t>gene08031-v1.0-hybrid</t>
  </si>
  <si>
    <t>gene08331-v1.0-hybrid</t>
  </si>
  <si>
    <t>gene08631-v1.0-hybrid</t>
  </si>
  <si>
    <t>gene09231-v1.0-hybrid</t>
  </si>
  <si>
    <t>gene09531-v1.0-hybrid</t>
  </si>
  <si>
    <t>gene09832-v1.0-hybrid</t>
  </si>
  <si>
    <t>gene10132-v1.0-hybrid</t>
  </si>
  <si>
    <t>gene10432-v1.0-hybrid</t>
  </si>
  <si>
    <t>gene11334-v1.0-hybrid</t>
  </si>
  <si>
    <t>gene11634-v1.0-hybrid</t>
  </si>
  <si>
    <t>gene11934-v1.0-hybrid</t>
  </si>
  <si>
    <t>gene12234-v1.0-hybrid</t>
  </si>
  <si>
    <t>gene12534-v1.0-hybrid</t>
  </si>
  <si>
    <t>gene12834-v1.0-hybrid</t>
  </si>
  <si>
    <t>gene13135-v1.0-hybrid</t>
  </si>
  <si>
    <t>gene13435-v1.0-hybrid</t>
  </si>
  <si>
    <t>gene13735-v1.0-hybrid</t>
  </si>
  <si>
    <t>gene14036-v1.0-hybrid</t>
  </si>
  <si>
    <t>gene14639-v1.0-hybrid</t>
  </si>
  <si>
    <t>gene14940-v1.0-hybrid</t>
  </si>
  <si>
    <t>gene15542-v1.0-hybrid</t>
  </si>
  <si>
    <t>gene16444-v1.0-hybrid</t>
  </si>
  <si>
    <t>gene16744-v1.0-hybrid</t>
  </si>
  <si>
    <t>gene17946-v1.0-hybrid</t>
  </si>
  <si>
    <t>gene18246-v1.0-hybrid</t>
  </si>
  <si>
    <t>gene18546-v1.0-hybrid</t>
  </si>
  <si>
    <t>gene18846-v1.0-hybrid</t>
  </si>
  <si>
    <t>gene19146-v1.0-hybrid</t>
  </si>
  <si>
    <t>gene20046-v1.0-hybrid</t>
  </si>
  <si>
    <t>gene20347-v1.0-hybrid</t>
  </si>
  <si>
    <t>gene20647-v1.0-hybrid</t>
  </si>
  <si>
    <t>gene20947-v1.0-hybrid</t>
  </si>
  <si>
    <t>gene21247-v1.0-hybrid</t>
  </si>
  <si>
    <t>gene21548-v1.0-hybrid</t>
  </si>
  <si>
    <t>gene21848-v1.0-hybrid</t>
  </si>
  <si>
    <t>gene22750-v1.0-hybrid</t>
  </si>
  <si>
    <t>gene23352-v1.0-hybrid</t>
  </si>
  <si>
    <t>gene23652-v1.0-hybrid</t>
  </si>
  <si>
    <t>gene23952-v1.0-hybrid</t>
  </si>
  <si>
    <t>gene24555-v1.0-hybrid</t>
  </si>
  <si>
    <t>gene24857-v1.0-hybrid</t>
  </si>
  <si>
    <t>gene25157-v1.0-hybrid</t>
  </si>
  <si>
    <t>gene25457-v1.0-hybrid</t>
  </si>
  <si>
    <t>gene26357-v1.0-hybrid</t>
  </si>
  <si>
    <t>gene26657-v1.0-hybrid</t>
  </si>
  <si>
    <t>gene26958-v1.0-hybrid</t>
  </si>
  <si>
    <t>gene27558-v1.0-hybrid</t>
  </si>
  <si>
    <t>gene27858-v1.0-hybrid</t>
  </si>
  <si>
    <t>gene28158-v1.0-hybrid</t>
  </si>
  <si>
    <t>gene28458-v1.0-hybrid</t>
  </si>
  <si>
    <t>gene28758-v1.0-hybrid</t>
  </si>
  <si>
    <t>gene29058-v1.0-hybrid</t>
  </si>
  <si>
    <t>gene29358-v1.0-hybrid</t>
  </si>
  <si>
    <t>gene29659-v1.0-hybrid</t>
  </si>
  <si>
    <t>gene29960-v1.0-hybrid</t>
  </si>
  <si>
    <t>gene30260-v1.0-hybrid</t>
  </si>
  <si>
    <t>gene30560-v1.0-hybrid</t>
  </si>
  <si>
    <t>gene30860-v1.0-hybrid</t>
  </si>
  <si>
    <t>gene31460-v1.0-hybrid</t>
  </si>
  <si>
    <t>gene31760-v1.0-hybrid</t>
  </si>
  <si>
    <t>gene32660-v1.0-hybrid</t>
  </si>
  <si>
    <t>gene33825-v1.0-hybrid</t>
  </si>
  <si>
    <t>gene34125-v1.0-hybrid</t>
  </si>
  <si>
    <t>gene34425-v1.0-hybrid</t>
  </si>
  <si>
    <t>gene00137-v1.0-hybrid</t>
  </si>
  <si>
    <t>gene00437-v1.0-hybrid</t>
  </si>
  <si>
    <t>gene01041-v1.0-hybrid</t>
  </si>
  <si>
    <t>gene01341-v1.0-hybrid</t>
  </si>
  <si>
    <t>gene01642-v1.0-hybrid</t>
  </si>
  <si>
    <t>gene01942-v1.0-hybrid</t>
  </si>
  <si>
    <t>gene02242-v1.0-hybrid</t>
  </si>
  <si>
    <t>gene02542-v1.0-hybrid</t>
  </si>
  <si>
    <t>gene03830-v1.0-hybrid</t>
  </si>
  <si>
    <t>gene04430-v1.0-hybrid</t>
  </si>
  <si>
    <t>gene04730-v1.0-hybrid</t>
  </si>
  <si>
    <t>gene05030-v1.0-hybrid</t>
  </si>
  <si>
    <t>gene05331-v1.0-hybrid</t>
  </si>
  <si>
    <t>gene05631-v1.0-hybrid</t>
  </si>
  <si>
    <t>gene05931-v1.0-hybrid</t>
  </si>
  <si>
    <t>gene06231-v1.0-hybrid</t>
  </si>
  <si>
    <t>gene06531-v1.0-hybrid</t>
  </si>
  <si>
    <t>gene06831-v1.0-hybrid</t>
  </si>
  <si>
    <t>gene07131-v1.0-hybrid</t>
  </si>
  <si>
    <t>gene07431-v1.0-hybrid</t>
  </si>
  <si>
    <t>gene08032-v1.0-hybrid</t>
  </si>
  <si>
    <t>gene08332-v1.0-hybrid</t>
  </si>
  <si>
    <t>gene08632-v1.0-hybrid</t>
  </si>
  <si>
    <t>gene08932-v1.0-hybrid</t>
  </si>
  <si>
    <t>gene09232-v1.0-hybrid</t>
  </si>
  <si>
    <t>gene09532-v1.0-hybrid</t>
  </si>
  <si>
    <t>gene09833-v1.0-hybrid</t>
  </si>
  <si>
    <t>gene10133-v1.0-hybrid</t>
  </si>
  <si>
    <t>gene10433-v1.0-hybrid</t>
  </si>
  <si>
    <t>gene10734-v1.0-hybrid</t>
  </si>
  <si>
    <t>gene11034-v1.0-hybrid</t>
  </si>
  <si>
    <t>gene11335-v1.0-hybrid</t>
  </si>
  <si>
    <t>gene11635-v1.0-hybrid</t>
  </si>
  <si>
    <t>gene11935-v1.0-hybrid</t>
  </si>
  <si>
    <t>gene12235-v1.0-hybrid</t>
  </si>
  <si>
    <t>gene12535-v1.0-hybrid</t>
  </si>
  <si>
    <t>gene12835-v1.0-hybrid</t>
  </si>
  <si>
    <t>gene13136-v1.0-hybrid</t>
  </si>
  <si>
    <t>gene13436-v1.0-hybrid</t>
  </si>
  <si>
    <t>gene13736-v1.0-hybrid</t>
  </si>
  <si>
    <t>gene14037-v1.0-hybrid</t>
  </si>
  <si>
    <t>gene14338-v1.0-hybrid</t>
  </si>
  <si>
    <t>gene14640-v1.0-hybrid</t>
  </si>
  <si>
    <t>gene14941-v1.0-hybrid</t>
  </si>
  <si>
    <t>gene15543-v1.0-hybrid</t>
  </si>
  <si>
    <t>gene15844-v1.0-hybrid</t>
  </si>
  <si>
    <t>gene16445-v1.0-hybrid</t>
  </si>
  <si>
    <t>gene16745-v1.0-hybrid</t>
  </si>
  <si>
    <t>gene17947-v1.0-hybrid</t>
  </si>
  <si>
    <t>gene18847-v1.0-hybrid</t>
  </si>
  <si>
    <t>gene19147-v1.0-hybrid</t>
  </si>
  <si>
    <t>gene19447-v1.0-hybrid</t>
  </si>
  <si>
    <t>gene19747-v1.0-hybrid</t>
  </si>
  <si>
    <t>gene20047-v1.0-hybrid</t>
  </si>
  <si>
    <t>gene20648-v1.0-hybrid</t>
  </si>
  <si>
    <t>gene21248-v1.0-hybrid</t>
  </si>
  <si>
    <t>gene21549-v1.0-hybrid</t>
  </si>
  <si>
    <t>gene21849-v1.0-hybrid</t>
  </si>
  <si>
    <t>gene22751-v1.0-hybrid</t>
  </si>
  <si>
    <t>gene23353-v1.0-hybrid</t>
  </si>
  <si>
    <t>gene23653-v1.0-hybrid</t>
  </si>
  <si>
    <t>gene23953-v1.0-hybrid</t>
  </si>
  <si>
    <t>gene24556-v1.0-hybrid</t>
  </si>
  <si>
    <t>gene24858-v1.0-hybrid</t>
  </si>
  <si>
    <t>gene25758-v1.0-hybrid</t>
  </si>
  <si>
    <t>gene26058-v1.0-hybrid</t>
  </si>
  <si>
    <t>gene26358-v1.0-hybrid</t>
  </si>
  <si>
    <t>gene26959-v1.0-hybrid</t>
  </si>
  <si>
    <t>gene27259-v1.0-hybrid</t>
  </si>
  <si>
    <t>gene27559-v1.0-hybrid</t>
  </si>
  <si>
    <t>gene27859-v1.0-hybrid</t>
  </si>
  <si>
    <t>gene28159-v1.0-hybrid</t>
  </si>
  <si>
    <t>gene28459-v1.0-hybrid</t>
  </si>
  <si>
    <t>gene28759-v1.0-hybrid</t>
  </si>
  <si>
    <t>gene29359-v1.0-hybrid</t>
  </si>
  <si>
    <t>gene29660-v1.0-hybrid</t>
  </si>
  <si>
    <t>gene29961-v1.0-hybrid</t>
  </si>
  <si>
    <t>gene30261-v1.0-hybrid</t>
  </si>
  <si>
    <t>gene30561-v1.0-hybrid</t>
  </si>
  <si>
    <t>gene30861-v1.0-hybrid</t>
  </si>
  <si>
    <t>gene31461-v1.0-hybrid</t>
  </si>
  <si>
    <t>gene31761-v1.0-hybrid</t>
  </si>
  <si>
    <t>gene32061-v1.0-hybrid</t>
  </si>
  <si>
    <t>gene32361-v1.0-hybrid</t>
  </si>
  <si>
    <t>gene32661-v1.0-hybrid</t>
  </si>
  <si>
    <t>gene33038-v1.0-hybrid</t>
  </si>
  <si>
    <t>gene35026-v1.0-hybrid</t>
  </si>
  <si>
    <t>gene00138-v1.0-hybrid</t>
  </si>
  <si>
    <t>gene00438-v1.0-hybrid</t>
  </si>
  <si>
    <t>gene01042-v1.0-hybrid</t>
  </si>
  <si>
    <t>gene01342-v1.0-hybrid</t>
  </si>
  <si>
    <t>gene01943-v1.0-hybrid</t>
  </si>
  <si>
    <t>gene02243-v1.0-hybrid</t>
  </si>
  <si>
    <t>gene02543-v1.0-hybrid</t>
  </si>
  <si>
    <t>gene03231-v1.0-hybrid</t>
  </si>
  <si>
    <t>gene03531-v1.0-hybrid</t>
  </si>
  <si>
    <t>gene03831-v1.0-hybrid</t>
  </si>
  <si>
    <t>gene04131-v1.0-hybrid</t>
  </si>
  <si>
    <t>gene04431-v1.0-hybrid</t>
  </si>
  <si>
    <t>gene05031-v1.0-hybrid</t>
  </si>
  <si>
    <t>gene05332-v1.0-hybrid</t>
  </si>
  <si>
    <t>gene05632-v1.0-hybrid</t>
  </si>
  <si>
    <t>gene05932-v1.0-hybrid</t>
  </si>
  <si>
    <t>gene06532-v1.0-hybrid</t>
  </si>
  <si>
    <t>gene07132-v1.0-hybrid</t>
  </si>
  <si>
    <t>gene07432-v1.0-hybrid</t>
  </si>
  <si>
    <t>gene08033-v1.0-hybrid</t>
  </si>
  <si>
    <t>gene08333-v1.0-hybrid</t>
  </si>
  <si>
    <t>gene08633-v1.0-hybrid</t>
  </si>
  <si>
    <t>gene08933-v1.0-hybrid</t>
  </si>
  <si>
    <t>gene09533-v1.0-hybrid</t>
  </si>
  <si>
    <t>gene09834-v1.0-hybrid</t>
  </si>
  <si>
    <t>gene10134-v1.0-hybrid</t>
  </si>
  <si>
    <t>gene10434-v1.0-hybrid</t>
  </si>
  <si>
    <t>gene10735-v1.0-hybrid</t>
  </si>
  <si>
    <t>gene11035-v1.0-hybrid</t>
  </si>
  <si>
    <t>gene11336-v1.0-hybrid</t>
  </si>
  <si>
    <t>gene11636-v1.0-hybrid</t>
  </si>
  <si>
    <t>gene12236-v1.0-hybrid</t>
  </si>
  <si>
    <t>gene12536-v1.0-hybrid</t>
  </si>
  <si>
    <t>gene13437-v1.0-hybrid</t>
  </si>
  <si>
    <t>gene13737-v1.0-hybrid</t>
  </si>
  <si>
    <t>gene14038-v1.0-hybrid</t>
  </si>
  <si>
    <t>gene14641-v1.0-hybrid</t>
  </si>
  <si>
    <t>gene14942-v1.0-hybrid</t>
  </si>
  <si>
    <t>gene15544-v1.0-hybrid</t>
  </si>
  <si>
    <t>gene15845-v1.0-hybrid</t>
  </si>
  <si>
    <t>gene16146-v1.0-hybrid</t>
  </si>
  <si>
    <t>gene16446-v1.0-hybrid</t>
  </si>
  <si>
    <t>gene17048-v1.0-hybrid</t>
  </si>
  <si>
    <t>gene17348-v1.0-hybrid</t>
  </si>
  <si>
    <t>gene17648-v1.0-hybrid</t>
  </si>
  <si>
    <t>gene18248-v1.0-hybrid</t>
  </si>
  <si>
    <t>gene18548-v1.0-hybrid</t>
  </si>
  <si>
    <t>gene19148-v1.0-hybrid</t>
  </si>
  <si>
    <t>gene19448-v1.0-hybrid</t>
  </si>
  <si>
    <t>gene19748-v1.0-hybrid</t>
  </si>
  <si>
    <t>gene20048-v1.0-hybrid</t>
  </si>
  <si>
    <t>gene20649-v1.0-hybrid</t>
  </si>
  <si>
    <t>gene20949-v1.0-hybrid</t>
  </si>
  <si>
    <t>gene21249-v1.0-hybrid</t>
  </si>
  <si>
    <t>gene21550-v1.0-hybrid</t>
  </si>
  <si>
    <t>gene21850-v1.0-hybrid</t>
  </si>
  <si>
    <t>gene22451-v1.0-hybrid</t>
  </si>
  <si>
    <t>gene22752-v1.0-hybrid</t>
  </si>
  <si>
    <t>gene23052-v1.0-hybrid</t>
  </si>
  <si>
    <t>gene23354-v1.0-hybrid</t>
  </si>
  <si>
    <t>gene23654-v1.0-hybrid</t>
  </si>
  <si>
    <t>gene23954-v1.0-hybrid</t>
  </si>
  <si>
    <t>gene24557-v1.0-hybrid</t>
  </si>
  <si>
    <t>gene25159-v1.0-hybrid</t>
  </si>
  <si>
    <t>gene25459-v1.0-hybrid</t>
  </si>
  <si>
    <t>gene26059-v1.0-hybrid</t>
  </si>
  <si>
    <t>gene26359-v1.0-hybrid</t>
  </si>
  <si>
    <t>gene26659-v1.0-hybrid</t>
  </si>
  <si>
    <t>gene26960-v1.0-hybrid</t>
  </si>
  <si>
    <t>gene27260-v1.0-hybrid</t>
  </si>
  <si>
    <t>gene27560-v1.0-hybrid</t>
  </si>
  <si>
    <t>gene28160-v1.0-hybrid</t>
  </si>
  <si>
    <t>gene28460-v1.0-hybrid</t>
  </si>
  <si>
    <t>gene28760-v1.0-hybrid</t>
  </si>
  <si>
    <t>gene29060-v1.0-hybrid</t>
  </si>
  <si>
    <t>gene29661-v1.0-hybrid</t>
  </si>
  <si>
    <t>gene30262-v1.0-hybrid</t>
  </si>
  <si>
    <t>gene30562-v1.0-hybrid</t>
  </si>
  <si>
    <t>gene30862-v1.0-hybrid</t>
  </si>
  <si>
    <t>gene31462-v1.0-hybrid</t>
  </si>
  <si>
    <t>gene31762-v1.0-hybrid</t>
  </si>
  <si>
    <t>gene32062-v1.0-hybrid</t>
  </si>
  <si>
    <t>gene32362-v1.0-hybrid</t>
  </si>
  <si>
    <t>gene32662-v1.0-hybrid</t>
  </si>
  <si>
    <t>gene33039-v1.0-hybrid</t>
  </si>
  <si>
    <t>gene35027-v1.0-hybrid</t>
  </si>
  <si>
    <t>gene00139-v1.0-hybrid</t>
  </si>
  <si>
    <t>gene00439-v1.0-hybrid</t>
  </si>
  <si>
    <t>gene00743-v1.0-hybrid</t>
  </si>
  <si>
    <t>gene01343-v1.0-hybrid</t>
  </si>
  <si>
    <t>gene01644-v1.0-hybrid</t>
  </si>
  <si>
    <t>gene02244-v1.0-hybrid</t>
  </si>
  <si>
    <t>gene02544-v1.0-hybrid</t>
  </si>
  <si>
    <t>gene02888-v1.0-hybrid</t>
  </si>
  <si>
    <t>gene03232-v1.0-hybrid</t>
  </si>
  <si>
    <t>gene03532-v1.0-hybrid</t>
  </si>
  <si>
    <t>gene04132-v1.0-hybrid</t>
  </si>
  <si>
    <t>gene04432-v1.0-hybrid</t>
  </si>
  <si>
    <t>gene05333-v1.0-hybrid</t>
  </si>
  <si>
    <t>gene05933-v1.0-hybrid</t>
  </si>
  <si>
    <t>gene06233-v1.0-hybrid</t>
  </si>
  <si>
    <t>gene06533-v1.0-hybrid</t>
  </si>
  <si>
    <t>gene08334-v1.0-hybrid</t>
  </si>
  <si>
    <t>gene08634-v1.0-hybrid</t>
  </si>
  <si>
    <t>gene09534-v1.0-hybrid</t>
  </si>
  <si>
    <t>gene10135-v1.0-hybrid</t>
  </si>
  <si>
    <t>gene10736-v1.0-hybrid</t>
  </si>
  <si>
    <t>gene11036-v1.0-hybrid</t>
  </si>
  <si>
    <t>gene11337-v1.0-hybrid</t>
  </si>
  <si>
    <t>gene11637-v1.0-hybrid</t>
  </si>
  <si>
    <t>gene11937-v1.0-hybrid</t>
  </si>
  <si>
    <t>gene12537-v1.0-hybrid</t>
  </si>
  <si>
    <t>gene12837-v1.0-hybrid</t>
  </si>
  <si>
    <t>gene13138-v1.0-hybrid</t>
  </si>
  <si>
    <t>gene13438-v1.0-hybrid</t>
  </si>
  <si>
    <t>gene13738-v1.0-hybrid</t>
  </si>
  <si>
    <t>gene14642-v1.0-hybrid</t>
  </si>
  <si>
    <t>gene14943-v1.0-hybrid</t>
  </si>
  <si>
    <t>gene15545-v1.0-hybrid</t>
  </si>
  <si>
    <t>gene16447-v1.0-hybrid</t>
  </si>
  <si>
    <t>gene16747-v1.0-hybrid</t>
  </si>
  <si>
    <t>gene17049-v1.0-hybrid</t>
  </si>
  <si>
    <t>gene17349-v1.0-hybrid</t>
  </si>
  <si>
    <t>gene17649-v1.0-hybrid</t>
  </si>
  <si>
    <t>gene17949-v1.0-hybrid</t>
  </si>
  <si>
    <t>gene18249-v1.0-hybrid</t>
  </si>
  <si>
    <t>gene18549-v1.0-hybrid</t>
  </si>
  <si>
    <t>gene18849-v1.0-hybrid</t>
  </si>
  <si>
    <t>gene19149-v1.0-hybrid</t>
  </si>
  <si>
    <t>gene19449-v1.0-hybrid</t>
  </si>
  <si>
    <t>gene19749-v1.0-hybrid</t>
  </si>
  <si>
    <t>gene20049-v1.0-hybrid</t>
  </si>
  <si>
    <t>gene20650-v1.0-hybrid</t>
  </si>
  <si>
    <t>gene20950-v1.0-hybrid</t>
  </si>
  <si>
    <t>gene21250-v1.0-hybrid</t>
  </si>
  <si>
    <t>gene21551-v1.0-hybrid</t>
  </si>
  <si>
    <t>gene21851-v1.0-hybrid</t>
  </si>
  <si>
    <t>gene22452-v1.0-hybrid</t>
  </si>
  <si>
    <t>gene22753-v1.0-hybrid</t>
  </si>
  <si>
    <t>gene23053-v1.0-hybrid</t>
  </si>
  <si>
    <t>gene23355-v1.0-hybrid</t>
  </si>
  <si>
    <t>gene23955-v1.0-hybrid</t>
  </si>
  <si>
    <t>gene24257-v1.0-hybrid</t>
  </si>
  <si>
    <t>gene24558-v1.0-hybrid</t>
  </si>
  <si>
    <t>gene24860-v1.0-hybrid</t>
  </si>
  <si>
    <t>gene25160-v1.0-hybrid</t>
  </si>
  <si>
    <t>gene25760-v1.0-hybrid</t>
  </si>
  <si>
    <t>gene26060-v1.0-hybrid</t>
  </si>
  <si>
    <t>gene26360-v1.0-hybrid</t>
  </si>
  <si>
    <t>gene26961-v1.0-hybrid</t>
  </si>
  <si>
    <t>gene27261-v1.0-hybrid</t>
  </si>
  <si>
    <t>gene27561-v1.0-hybrid</t>
  </si>
  <si>
    <t>gene27861-v1.0-hybrid</t>
  </si>
  <si>
    <t>gene28461-v1.0-hybrid</t>
  </si>
  <si>
    <t>gene29061-v1.0-hybrid</t>
  </si>
  <si>
    <t>gene29361-v1.0-hybrid</t>
  </si>
  <si>
    <t>gene29662-v1.0-hybrid</t>
  </si>
  <si>
    <t>gene29963-v1.0-hybrid</t>
  </si>
  <si>
    <t>gene30263-v1.0-hybrid</t>
  </si>
  <si>
    <t>gene30563-v1.0-hybrid</t>
  </si>
  <si>
    <t>gene31463-v1.0-hybrid</t>
  </si>
  <si>
    <t>gene32063-v1.0-hybrid</t>
  </si>
  <si>
    <t>gene32663-v1.0-hybrid</t>
  </si>
  <si>
    <t>gene34728-v1.0-hybrid</t>
  </si>
  <si>
    <t>gene35028-v1.0-hybrid</t>
  </si>
  <si>
    <t>gene00140-v1.0-hybrid</t>
  </si>
  <si>
    <t>gene00440-v1.0-hybrid</t>
  </si>
  <si>
    <t>gene00744-v1.0-hybrid</t>
  </si>
  <si>
    <t>gene01044-v1.0-hybrid</t>
  </si>
  <si>
    <t>gene01344-v1.0-hybrid</t>
  </si>
  <si>
    <t>gene01645-v1.0-hybrid</t>
  </si>
  <si>
    <t>gene02245-v1.0-hybrid</t>
  </si>
  <si>
    <t>gene02545-v1.0-hybrid</t>
  </si>
  <si>
    <t>gene03233-v1.0-hybrid</t>
  </si>
  <si>
    <t>gene03833-v1.0-hybrid</t>
  </si>
  <si>
    <t>gene04133-v1.0-hybrid</t>
  </si>
  <si>
    <t>gene04433-v1.0-hybrid</t>
  </si>
  <si>
    <t>gene04733-v1.0-hybrid</t>
  </si>
  <si>
    <t>gene05033-v1.0-hybrid</t>
  </si>
  <si>
    <t>gene05334-v1.0-hybrid</t>
  </si>
  <si>
    <t>gene05934-v1.0-hybrid</t>
  </si>
  <si>
    <t>gene06234-v1.0-hybrid</t>
  </si>
  <si>
    <t>gene06534-v1.0-hybrid</t>
  </si>
  <si>
    <t>gene06834-v1.0-hybrid</t>
  </si>
  <si>
    <t>gene07134-v1.0-hybrid</t>
  </si>
  <si>
    <t>gene07434-v1.0-hybrid</t>
  </si>
  <si>
    <t>gene07734-v1.0-hybrid</t>
  </si>
  <si>
    <t>gene08635-v1.0-hybrid</t>
  </si>
  <si>
    <t>gene08935-v1.0-hybrid</t>
  </si>
  <si>
    <t>gene09235-v1.0-hybrid</t>
  </si>
  <si>
    <t>gene10136-v1.0-hybrid</t>
  </si>
  <si>
    <t>gene10436-v1.0-hybrid</t>
  </si>
  <si>
    <t>gene11037-v1.0-hybrid</t>
  </si>
  <si>
    <t>gene11338-v1.0-hybrid</t>
  </si>
  <si>
    <t>gene11638-v1.0-hybrid</t>
  </si>
  <si>
    <t>gene11938-v1.0-hybrid</t>
  </si>
  <si>
    <t>gene12238-v1.0-hybrid</t>
  </si>
  <si>
    <t>gene12538-v1.0-hybrid</t>
  </si>
  <si>
    <t>gene12838-v1.0-hybrid</t>
  </si>
  <si>
    <t>gene13439-v1.0-hybrid</t>
  </si>
  <si>
    <t>gene13739-v1.0-hybrid</t>
  </si>
  <si>
    <t>gene14040-v1.0-hybrid</t>
  </si>
  <si>
    <t>gene14944-v1.0-hybrid</t>
  </si>
  <si>
    <t>gene15546-v1.0-hybrid</t>
  </si>
  <si>
    <t>gene15847-v1.0-hybrid</t>
  </si>
  <si>
    <t>gene16148-v1.0-hybrid</t>
  </si>
  <si>
    <t>gene16448-v1.0-hybrid</t>
  </si>
  <si>
    <t>gene16748-v1.0-hybrid</t>
  </si>
  <si>
    <t>gene17050-v1.0-hybrid</t>
  </si>
  <si>
    <t>gene17350-v1.0-hybrid</t>
  </si>
  <si>
    <t>gene17650-v1.0-hybrid</t>
  </si>
  <si>
    <t>gene18250-v1.0-hybrid</t>
  </si>
  <si>
    <t>gene18550-v1.0-hybrid</t>
  </si>
  <si>
    <t>gene18850-v1.0-hybrid</t>
  </si>
  <si>
    <t>gene19150-v1.0-hybrid</t>
  </si>
  <si>
    <t>gene19450-v1.0-hybrid</t>
  </si>
  <si>
    <t>gene19750-v1.0-hybrid</t>
  </si>
  <si>
    <t>gene20050-v1.0-hybrid</t>
  </si>
  <si>
    <t>gene20651-v1.0-hybrid</t>
  </si>
  <si>
    <t>gene20951-v1.0-hybrid</t>
  </si>
  <si>
    <t>gene21852-v1.0-hybrid</t>
  </si>
  <si>
    <t>gene23054-v1.0-hybrid</t>
  </si>
  <si>
    <t>gene23356-v1.0-hybrid</t>
  </si>
  <si>
    <t>gene23956-v1.0-hybrid</t>
  </si>
  <si>
    <t>gene24559-v1.0-hybrid</t>
  </si>
  <si>
    <t>gene24861-v1.0-hybrid</t>
  </si>
  <si>
    <t>gene25161-v1.0-hybrid</t>
  </si>
  <si>
    <t>gene25761-v1.0-hybrid</t>
  </si>
  <si>
    <t>gene26061-v1.0-hybrid</t>
  </si>
  <si>
    <t>gene26361-v1.0-hybrid</t>
  </si>
  <si>
    <t>gene26661-v1.0-hybrid</t>
  </si>
  <si>
    <t>gene26962-v1.0-hybrid</t>
  </si>
  <si>
    <t>gene27262-v1.0-hybrid</t>
  </si>
  <si>
    <t>gene27562-v1.0-hybrid</t>
  </si>
  <si>
    <t>gene28162-v1.0-hybrid</t>
  </si>
  <si>
    <t>gene28462-v1.0-hybrid</t>
  </si>
  <si>
    <t>gene28762-v1.0-hybrid</t>
  </si>
  <si>
    <t>gene29062-v1.0-hybrid</t>
  </si>
  <si>
    <t>gene29663-v1.0-hybrid</t>
  </si>
  <si>
    <t>gene30864-v1.0-hybrid</t>
  </si>
  <si>
    <t>gene31164-v1.0-hybrid</t>
  </si>
  <si>
    <t>gene31464-v1.0-hybrid</t>
  </si>
  <si>
    <t>gene32064-v1.0-hybrid</t>
  </si>
  <si>
    <t>gene32364-v1.0-hybrid</t>
  </si>
  <si>
    <t>gene32664-v1.0-hybrid</t>
  </si>
  <si>
    <t>gene33042-v1.0-hybrid</t>
  </si>
  <si>
    <t>gene33829-v1.0-hybrid</t>
  </si>
  <si>
    <t>gene34129-v1.0-hybrid</t>
  </si>
  <si>
    <t>gene34429-v1.0-hybrid</t>
  </si>
  <si>
    <t>gene34729-v1.0-hybrid</t>
  </si>
  <si>
    <t>gene00141-v1.0-hybrid</t>
  </si>
  <si>
    <t>gene01045-v1.0-hybrid</t>
  </si>
  <si>
    <t>gene01345-v1.0-hybrid</t>
  </si>
  <si>
    <t>gene01946-v1.0-hybrid</t>
  </si>
  <si>
    <t>gene02246-v1.0-hybrid</t>
  </si>
  <si>
    <t>gene02546-v1.0-hybrid</t>
  </si>
  <si>
    <t>gene03234-v1.0-hybrid</t>
  </si>
  <si>
    <t>gene03534-v1.0-hybrid</t>
  </si>
  <si>
    <t>gene03834-v1.0-hybrid</t>
  </si>
  <si>
    <t>gene04134-v1.0-hybrid</t>
  </si>
  <si>
    <t>gene04434-v1.0-hybrid</t>
  </si>
  <si>
    <t>gene04734-v1.0-hybrid</t>
  </si>
  <si>
    <t>gene05034-v1.0-hybrid</t>
  </si>
  <si>
    <t>gene05335-v1.0-hybrid</t>
  </si>
  <si>
    <t>gene05635-v1.0-hybrid</t>
  </si>
  <si>
    <t>gene05935-v1.0-hybrid</t>
  </si>
  <si>
    <t>gene06235-v1.0-hybrid</t>
  </si>
  <si>
    <t>gene06535-v1.0-hybrid</t>
  </si>
  <si>
    <t>gene07135-v1.0-hybrid</t>
  </si>
  <si>
    <t>gene07735-v1.0-hybrid</t>
  </si>
  <si>
    <t>gene08036-v1.0-hybrid</t>
  </si>
  <si>
    <t>gene08336-v1.0-hybrid</t>
  </si>
  <si>
    <t>gene08636-v1.0-hybrid</t>
  </si>
  <si>
    <t>gene09236-v1.0-hybrid</t>
  </si>
  <si>
    <t>gene09837-v1.0-hybrid</t>
  </si>
  <si>
    <t>gene10137-v1.0-hybrid</t>
  </si>
  <si>
    <t>gene10437-v1.0-hybrid</t>
  </si>
  <si>
    <t>gene10738-v1.0-hybrid</t>
  </si>
  <si>
    <t>gene11038-v1.0-hybrid</t>
  </si>
  <si>
    <t>gene11339-v1.0-hybrid</t>
  </si>
  <si>
    <t>gene11639-v1.0-hybrid</t>
  </si>
  <si>
    <t>gene11939-v1.0-hybrid</t>
  </si>
  <si>
    <t>gene12239-v1.0-hybrid</t>
  </si>
  <si>
    <t>gene12839-v1.0-hybrid</t>
  </si>
  <si>
    <t>gene13140-v1.0-hybrid</t>
  </si>
  <si>
    <t>gene13440-v1.0-hybrid</t>
  </si>
  <si>
    <t>gene13740-v1.0-hybrid</t>
  </si>
  <si>
    <t>gene14041-v1.0-hybrid</t>
  </si>
  <si>
    <t>gene14342-v1.0-hybrid</t>
  </si>
  <si>
    <t>gene14644-v1.0-hybrid</t>
  </si>
  <si>
    <t>gene14945-v1.0-hybrid</t>
  </si>
  <si>
    <t>gene15246-v1.0-hybrid</t>
  </si>
  <si>
    <t>gene15547-v1.0-hybrid</t>
  </si>
  <si>
    <t>gene16149-v1.0-hybrid</t>
  </si>
  <si>
    <t>gene16749-v1.0-hybrid</t>
  </si>
  <si>
    <t>gene17051-v1.0-hybrid</t>
  </si>
  <si>
    <t>gene17351-v1.0-hybrid</t>
  </si>
  <si>
    <t>gene17951-v1.0-hybrid</t>
  </si>
  <si>
    <t>gene18551-v1.0-hybrid</t>
  </si>
  <si>
    <t>gene18851-v1.0-hybrid</t>
  </si>
  <si>
    <t>gene19151-v1.0-hybrid</t>
  </si>
  <si>
    <t>gene19751-v1.0-hybrid</t>
  </si>
  <si>
    <t>gene20051-v1.0-hybrid</t>
  </si>
  <si>
    <t>gene20652-v1.0-hybrid</t>
  </si>
  <si>
    <t>gene20952-v1.0-hybrid</t>
  </si>
  <si>
    <t>gene21252-v1.0-hybrid</t>
  </si>
  <si>
    <t>gene21853-v1.0-hybrid</t>
  </si>
  <si>
    <t>gene22454-v1.0-hybrid</t>
  </si>
  <si>
    <t>gene22755-v1.0-hybrid</t>
  </si>
  <si>
    <t>gene23055-v1.0-hybrid</t>
  </si>
  <si>
    <t>gene23357-v1.0-hybrid</t>
  </si>
  <si>
    <t>gene23657-v1.0-hybrid</t>
  </si>
  <si>
    <t>gene23957-v1.0-hybrid</t>
  </si>
  <si>
    <t>gene24259-v1.0-hybrid</t>
  </si>
  <si>
    <t>gene24862-v1.0-hybrid</t>
  </si>
  <si>
    <t>gene25162-v1.0-hybrid</t>
  </si>
  <si>
    <t>gene25762-v1.0-hybrid</t>
  </si>
  <si>
    <t>gene26062-v1.0-hybrid</t>
  </si>
  <si>
    <t>gene26963-v1.0-hybrid</t>
  </si>
  <si>
    <t>gene27263-v1.0-hybrid</t>
  </si>
  <si>
    <t>gene27563-v1.0-hybrid</t>
  </si>
  <si>
    <t>gene28163-v1.0-hybrid</t>
  </si>
  <si>
    <t>gene28763-v1.0-hybrid</t>
  </si>
  <si>
    <t>gene29063-v1.0-hybrid</t>
  </si>
  <si>
    <t>gene29965-v1.0-hybrid</t>
  </si>
  <si>
    <t>gene30265-v1.0-hybrid</t>
  </si>
  <si>
    <t>gene30565-v1.0-hybrid</t>
  </si>
  <si>
    <t>gene30865-v1.0-hybrid</t>
  </si>
  <si>
    <t>gene31165-v1.0-hybrid</t>
  </si>
  <si>
    <t>gene31465-v1.0-hybrid</t>
  </si>
  <si>
    <t>gene31765-v1.0-hybrid</t>
  </si>
  <si>
    <t>gene32665-v1.0-hybrid</t>
  </si>
  <si>
    <t>gene33830-v1.0-hybrid</t>
  </si>
  <si>
    <t>gene34130-v1.0-hybrid</t>
  </si>
  <si>
    <t>gene34430-v1.0-hybrid</t>
  </si>
  <si>
    <t>gene34730-v1.0-hybrid</t>
  </si>
  <si>
    <t>gene35030-v1.0-hybrid</t>
  </si>
  <si>
    <t>gene00142-v1.0-hybrid</t>
  </si>
  <si>
    <t>gene00746-v1.0-hybrid</t>
  </si>
  <si>
    <t>gene01046-v1.0-hybrid</t>
  </si>
  <si>
    <t>gene01346-v1.0-hybrid</t>
  </si>
  <si>
    <t>gene01647-v1.0-hybrid</t>
  </si>
  <si>
    <t>gene01947-v1.0-hybrid</t>
  </si>
  <si>
    <t>gene02247-v1.0-hybrid</t>
  </si>
  <si>
    <t>gene02547-v1.0-hybrid</t>
  </si>
  <si>
    <t>gene03235-v1.0-hybrid</t>
  </si>
  <si>
    <t>gene03535-v1.0-hybrid</t>
  </si>
  <si>
    <t>gene03835-v1.0-hybrid</t>
  </si>
  <si>
    <t>gene04135-v1.0-hybrid</t>
  </si>
  <si>
    <t>gene04435-v1.0-hybrid</t>
  </si>
  <si>
    <t>gene04735-v1.0-hybrid</t>
  </si>
  <si>
    <t>gene05035-v1.0-hybrid</t>
  </si>
  <si>
    <t>gene05336-v1.0-hybrid</t>
  </si>
  <si>
    <t>gene05636-v1.0-hybrid</t>
  </si>
  <si>
    <t>gene05936-v1.0-hybrid</t>
  </si>
  <si>
    <t>gene06236-v1.0-hybrid</t>
  </si>
  <si>
    <t>gene06536-v1.0-hybrid</t>
  </si>
  <si>
    <t>gene07136-v1.0-hybrid</t>
  </si>
  <si>
    <t>gene07436-v1.0-hybrid</t>
  </si>
  <si>
    <t>gene07736-v1.0-hybrid</t>
  </si>
  <si>
    <t>gene08037-v1.0-hybrid</t>
  </si>
  <si>
    <t>gene08337-v1.0-hybrid</t>
  </si>
  <si>
    <t>gene08637-v1.0-hybrid</t>
  </si>
  <si>
    <t>gene08937-v1.0-hybrid</t>
  </si>
  <si>
    <t>gene09237-v1.0-hybrid</t>
  </si>
  <si>
    <t>gene09537-v1.0-hybrid</t>
  </si>
  <si>
    <t>gene10138-v1.0-hybrid</t>
  </si>
  <si>
    <t>gene10438-v1.0-hybrid</t>
  </si>
  <si>
    <t>gene10739-v1.0-hybrid</t>
  </si>
  <si>
    <t>gene11039-v1.0-hybrid</t>
  </si>
  <si>
    <t>gene11340-v1.0-hybrid</t>
  </si>
  <si>
    <t>gene11640-v1.0-hybrid</t>
  </si>
  <si>
    <t>gene11940-v1.0-hybrid</t>
  </si>
  <si>
    <t>gene12240-v1.0-hybrid</t>
  </si>
  <si>
    <t>gene12840-v1.0-hybrid</t>
  </si>
  <si>
    <t>gene13141-v1.0-hybrid</t>
  </si>
  <si>
    <t>gene13441-v1.0-hybrid</t>
  </si>
  <si>
    <t>gene13741-v1.0-hybrid</t>
  </si>
  <si>
    <t>gene14343-v1.0-hybrid</t>
  </si>
  <si>
    <t>gene15247-v1.0-hybrid</t>
  </si>
  <si>
    <t>gene15548-v1.0-hybrid</t>
  </si>
  <si>
    <t>gene16150-v1.0-hybrid</t>
  </si>
  <si>
    <t>gene17652-v1.0-hybrid</t>
  </si>
  <si>
    <t>gene17952-v1.0-hybrid</t>
  </si>
  <si>
    <t>gene18252-v1.0-hybrid</t>
  </si>
  <si>
    <t>gene18552-v1.0-hybrid</t>
  </si>
  <si>
    <t>gene18852-v1.0-hybrid</t>
  </si>
  <si>
    <t>gene19452-v1.0-hybrid</t>
  </si>
  <si>
    <t>gene19752-v1.0-hybrid</t>
  </si>
  <si>
    <t>gene20052-v1.0-hybrid</t>
  </si>
  <si>
    <t>gene20653-v1.0-hybrid</t>
  </si>
  <si>
    <t>gene20953-v1.0-hybrid</t>
  </si>
  <si>
    <t>gene21253-v1.0-hybrid</t>
  </si>
  <si>
    <t>gene21554-v1.0-hybrid</t>
  </si>
  <si>
    <t>gene22155-v1.0-hybrid</t>
  </si>
  <si>
    <t>gene22756-v1.0-hybrid</t>
  </si>
  <si>
    <t>gene23056-v1.0-hybrid</t>
  </si>
  <si>
    <t>gene23358-v1.0-hybrid</t>
  </si>
  <si>
    <t>gene23658-v1.0-hybrid</t>
  </si>
  <si>
    <t>gene23958-v1.0-hybrid</t>
  </si>
  <si>
    <t>gene24260-v1.0-hybrid</t>
  </si>
  <si>
    <t>gene24561-v1.0-hybrid</t>
  </si>
  <si>
    <t>gene24863-v1.0-hybrid</t>
  </si>
  <si>
    <t>gene25163-v1.0-hybrid</t>
  </si>
  <si>
    <t>gene25463-v1.0-hybrid</t>
  </si>
  <si>
    <t>gene25763-v1.0-hybrid</t>
  </si>
  <si>
    <t>gene26063-v1.0-hybrid</t>
  </si>
  <si>
    <t>gene26663-v1.0-hybrid</t>
  </si>
  <si>
    <t>gene26964-v1.0-hybrid</t>
  </si>
  <si>
    <t>gene27264-v1.0-hybrid</t>
  </si>
  <si>
    <t>gene27564-v1.0-hybrid</t>
  </si>
  <si>
    <t>gene28164-v1.0-hybrid</t>
  </si>
  <si>
    <t>gene28764-v1.0-hybrid</t>
  </si>
  <si>
    <t>gene29064-v1.0-hybrid</t>
  </si>
  <si>
    <t>gene29665-v1.0-hybrid</t>
  </si>
  <si>
    <t>gene29966-v1.0-hybrid</t>
  </si>
  <si>
    <t>gene30866-v1.0-hybrid</t>
  </si>
  <si>
    <t>gene31166-v1.0-hybrid</t>
  </si>
  <si>
    <t>gene31466-v1.0-hybrid</t>
  </si>
  <si>
    <t>gene32066-v1.0-hybrid</t>
  </si>
  <si>
    <t>gene32366-v1.0-hybrid</t>
  </si>
  <si>
    <t>gene32666-v1.0-hybrid</t>
  </si>
  <si>
    <t>gene33831-v1.0-hybrid</t>
  </si>
  <si>
    <t>gene34431-v1.0-hybrid</t>
  </si>
  <si>
    <t>gene34731-v1.0-hybrid</t>
  </si>
  <si>
    <t>gene35031-v1.0-hybrid</t>
  </si>
  <si>
    <t>gene00143-v1.0-hybrid</t>
  </si>
  <si>
    <t>gene00747-v1.0-hybrid</t>
  </si>
  <si>
    <t>gene01047-v1.0-hybrid</t>
  </si>
  <si>
    <t>gene01347-v1.0-hybrid</t>
  </si>
  <si>
    <t>gene02548-v1.0-hybrid</t>
  </si>
  <si>
    <t>gene03536-v1.0-hybrid</t>
  </si>
  <si>
    <t>gene04136-v1.0-hybrid</t>
  </si>
  <si>
    <t>gene04436-v1.0-hybrid</t>
  </si>
  <si>
    <t>gene04736-v1.0-hybrid</t>
  </si>
  <si>
    <t>gene05036-v1.0-hybrid</t>
  </si>
  <si>
    <t>gene05337-v1.0-hybrid</t>
  </si>
  <si>
    <t>gene05637-v1.0-hybrid</t>
  </si>
  <si>
    <t>gene05937-v1.0-hybrid</t>
  </si>
  <si>
    <t>gene06237-v1.0-hybrid</t>
  </si>
  <si>
    <t>gene06537-v1.0-hybrid</t>
  </si>
  <si>
    <t>gene06837-v1.0-hybrid</t>
  </si>
  <si>
    <t>gene07137-v1.0-hybrid</t>
  </si>
  <si>
    <t>gene07437-v1.0-hybrid</t>
  </si>
  <si>
    <t>gene07737-v1.0-hybrid</t>
  </si>
  <si>
    <t>gene08038-v1.0-hybrid</t>
  </si>
  <si>
    <t>gene08338-v1.0-hybrid</t>
  </si>
  <si>
    <t>gene08638-v1.0-hybrid</t>
  </si>
  <si>
    <t>gene08938-v1.0-hybrid</t>
  </si>
  <si>
    <t>gene09238-v1.0-hybrid</t>
  </si>
  <si>
    <t>gene09538-v1.0-hybrid</t>
  </si>
  <si>
    <t>gene10139-v1.0-hybrid</t>
  </si>
  <si>
    <t>gene10439-v1.0-hybrid</t>
  </si>
  <si>
    <t>gene11341-v1.0-hybrid</t>
  </si>
  <si>
    <t>gene11641-v1.0-hybrid</t>
  </si>
  <si>
    <t>gene11941-v1.0-hybrid</t>
  </si>
  <si>
    <t>gene12241-v1.0-hybrid</t>
  </si>
  <si>
    <t>gene12541-v1.0-hybrid</t>
  </si>
  <si>
    <t>gene12841-v1.0-hybrid</t>
  </si>
  <si>
    <t>gene13142-v1.0-hybrid</t>
  </si>
  <si>
    <t>gene13442-v1.0-hybrid</t>
  </si>
  <si>
    <t>gene14043-v1.0-hybrid</t>
  </si>
  <si>
    <t>gene14344-v1.0-hybrid</t>
  </si>
  <si>
    <t>gene14947-v1.0-hybrid</t>
  </si>
  <si>
    <t>gene15248-v1.0-hybrid</t>
  </si>
  <si>
    <t>gene15549-v1.0-hybrid</t>
  </si>
  <si>
    <t>gene15850-v1.0-hybrid</t>
  </si>
  <si>
    <t>gene17053-v1.0-hybrid</t>
  </si>
  <si>
    <t>gene17353-v1.0-hybrid</t>
  </si>
  <si>
    <t>gene18253-v1.0-hybrid</t>
  </si>
  <si>
    <t>gene18553-v1.0-hybrid</t>
  </si>
  <si>
    <t>gene18853-v1.0-hybrid</t>
  </si>
  <si>
    <t>gene19153-v1.0-hybrid</t>
  </si>
  <si>
    <t>gene19453-v1.0-hybrid</t>
  </si>
  <si>
    <t>gene19753-v1.0-hybrid</t>
  </si>
  <si>
    <t>gene20053-v1.0-hybrid</t>
  </si>
  <si>
    <t>gene20654-v1.0-hybrid</t>
  </si>
  <si>
    <t>gene20954-v1.0-hybrid</t>
  </si>
  <si>
    <t>gene21254-v1.0-hybrid</t>
  </si>
  <si>
    <t>gene21555-v1.0-hybrid</t>
  </si>
  <si>
    <t>gene21855-v1.0-hybrid</t>
  </si>
  <si>
    <t>gene22156-v1.0-hybrid</t>
  </si>
  <si>
    <t>gene22757-v1.0-hybrid</t>
  </si>
  <si>
    <t>gene23057-v1.0-hybrid</t>
  </si>
  <si>
    <t>gene23359-v1.0-hybrid</t>
  </si>
  <si>
    <t>gene23659-v1.0-hybrid</t>
  </si>
  <si>
    <t>gene24261-v1.0-hybrid</t>
  </si>
  <si>
    <t>gene24562-v1.0-hybrid</t>
  </si>
  <si>
    <t>gene24864-v1.0-hybrid</t>
  </si>
  <si>
    <t>gene25164-v1.0-hybrid</t>
  </si>
  <si>
    <t>gene25464-v1.0-hybrid</t>
  </si>
  <si>
    <t>gene26064-v1.0-hybrid</t>
  </si>
  <si>
    <t>gene26364-v1.0-hybrid</t>
  </si>
  <si>
    <t>gene26664-v1.0-hybrid</t>
  </si>
  <si>
    <t>gene26965-v1.0-hybrid</t>
  </si>
  <si>
    <t>gene27265-v1.0-hybrid</t>
  </si>
  <si>
    <t>gene27865-v1.0-hybrid</t>
  </si>
  <si>
    <t>gene28165-v1.0-hybrid</t>
  </si>
  <si>
    <t>gene28465-v1.0-hybrid</t>
  </si>
  <si>
    <t>gene28765-v1.0-hybrid</t>
  </si>
  <si>
    <t>gene29065-v1.0-hybrid</t>
  </si>
  <si>
    <t>gene29666-v1.0-hybrid</t>
  </si>
  <si>
    <t>gene29967-v1.0-hybrid</t>
  </si>
  <si>
    <t>gene30267-v1.0-hybrid</t>
  </si>
  <si>
    <t>gene30567-v1.0-hybrid</t>
  </si>
  <si>
    <t>gene31167-v1.0-hybrid</t>
  </si>
  <si>
    <t>gene31467-v1.0-hybrid</t>
  </si>
  <si>
    <t>gene31767-v1.0-hybrid</t>
  </si>
  <si>
    <t>gene32067-v1.0-hybrid</t>
  </si>
  <si>
    <t>gene32367-v1.0-hybrid</t>
  </si>
  <si>
    <t>gene33445-v1.0-hybrid</t>
  </si>
  <si>
    <t>gene33832-v1.0-hybrid</t>
  </si>
  <si>
    <t>gene34432-v1.0-hybrid</t>
  </si>
  <si>
    <t>gene34732-v1.0-hybrid</t>
  </si>
  <si>
    <t>gene35032-v1.0-hybrid</t>
  </si>
  <si>
    <t>gene00144-v1.0-hybrid</t>
  </si>
  <si>
    <t>gene00445-v1.0-hybrid</t>
  </si>
  <si>
    <t>gene00748-v1.0-hybrid</t>
  </si>
  <si>
    <t>gene01048-v1.0-hybrid</t>
  </si>
  <si>
    <t>gene01348-v1.0-hybrid</t>
  </si>
  <si>
    <t>gene01649-v1.0-hybrid</t>
  </si>
  <si>
    <t>gene02249-v1.0-hybrid</t>
  </si>
  <si>
    <t>gene02549-v1.0-hybrid</t>
  </si>
  <si>
    <t>gene03237-v1.0-hybrid</t>
  </si>
  <si>
    <t>gene03537-v1.0-hybrid</t>
  </si>
  <si>
    <t>gene04137-v1.0-hybrid</t>
  </si>
  <si>
    <t>gene04437-v1.0-hybrid</t>
  </si>
  <si>
    <t>gene04737-v1.0-hybrid</t>
  </si>
  <si>
    <t>gene05037-v1.0-hybrid</t>
  </si>
  <si>
    <t>gene05338-v1.0-hybrid</t>
  </si>
  <si>
    <t>gene05638-v1.0-hybrid</t>
  </si>
  <si>
    <t>gene05938-v1.0-hybrid</t>
  </si>
  <si>
    <t>gene06238-v1.0-hybrid</t>
  </si>
  <si>
    <t>gene06538-v1.0-hybrid</t>
  </si>
  <si>
    <t>gene06838-v1.0-hybrid</t>
  </si>
  <si>
    <t>gene07138-v1.0-hybrid</t>
  </si>
  <si>
    <t>gene08339-v1.0-hybrid</t>
  </si>
  <si>
    <t>gene08639-v1.0-hybrid</t>
  </si>
  <si>
    <t>gene08939-v1.0-hybrid</t>
  </si>
  <si>
    <t>gene09239-v1.0-hybrid</t>
  </si>
  <si>
    <t>gene09539-v1.0-hybrid</t>
  </si>
  <si>
    <t>gene10140-v1.0-hybrid</t>
  </si>
  <si>
    <t>gene10440-v1.0-hybrid</t>
  </si>
  <si>
    <t>gene10741-v1.0-hybrid</t>
  </si>
  <si>
    <t>gene11041-v1.0-hybrid</t>
  </si>
  <si>
    <t>gene11642-v1.0-hybrid</t>
  </si>
  <si>
    <t>gene11942-v1.0-hybrid</t>
  </si>
  <si>
    <t>gene12242-v1.0-hybrid</t>
  </si>
  <si>
    <t>gene12542-v1.0-hybrid</t>
  </si>
  <si>
    <t>gene12842-v1.0-hybrid</t>
  </si>
  <si>
    <t>gene13143-v1.0-hybrid</t>
  </si>
  <si>
    <t>gene13443-v1.0-hybrid</t>
  </si>
  <si>
    <t>gene13743-v1.0-hybrid</t>
  </si>
  <si>
    <t>gene14044-v1.0-hybrid</t>
  </si>
  <si>
    <t>gene14345-v1.0-hybrid</t>
  </si>
  <si>
    <t>gene15550-v1.0-hybrid</t>
  </si>
  <si>
    <t>gene16152-v1.0-hybrid</t>
  </si>
  <si>
    <t>gene16452-v1.0-hybrid</t>
  </si>
  <si>
    <t>gene16752-v1.0-hybrid</t>
  </si>
  <si>
    <t>gene17054-v1.0-hybrid</t>
  </si>
  <si>
    <t>gene17354-v1.0-hybrid</t>
  </si>
  <si>
    <t>gene17654-v1.0-hybrid</t>
  </si>
  <si>
    <t>gene18254-v1.0-hybrid</t>
  </si>
  <si>
    <t>gene18554-v1.0-hybrid</t>
  </si>
  <si>
    <t>gene18854-v1.0-hybrid</t>
  </si>
  <si>
    <t>gene19154-v1.0-hybrid</t>
  </si>
  <si>
    <t>gene19454-v1.0-hybrid</t>
  </si>
  <si>
    <t>gene19754-v1.0-hybrid</t>
  </si>
  <si>
    <t>gene20054-v1.0-hybrid</t>
  </si>
  <si>
    <t>gene20355-v1.0-hybrid</t>
  </si>
  <si>
    <t>gene20655-v1.0-hybrid</t>
  </si>
  <si>
    <t>gene20955-v1.0-hybrid</t>
  </si>
  <si>
    <t>gene21255-v1.0-hybrid</t>
  </si>
  <si>
    <t>gene21856-v1.0-hybrid</t>
  </si>
  <si>
    <t>gene22157-v1.0-hybrid</t>
  </si>
  <si>
    <t>gene22457-v1.0-hybrid</t>
  </si>
  <si>
    <t>gene22758-v1.0-hybrid</t>
  </si>
  <si>
    <t>gene23058-v1.0-hybrid</t>
  </si>
  <si>
    <t>gene23360-v1.0-hybrid</t>
  </si>
  <si>
    <t>gene23660-v1.0-hybrid</t>
  </si>
  <si>
    <t>gene23960-v1.0-hybrid</t>
  </si>
  <si>
    <t>gene24262-v1.0-hybrid</t>
  </si>
  <si>
    <t>gene25765-v1.0-hybrid</t>
  </si>
  <si>
    <t>gene26065-v1.0-hybrid</t>
  </si>
  <si>
    <t>gene26365-v1.0-hybrid</t>
  </si>
  <si>
    <t>gene26966-v1.0-hybrid</t>
  </si>
  <si>
    <t>gene27266-v1.0-hybrid</t>
  </si>
  <si>
    <t>gene27866-v1.0-hybrid</t>
  </si>
  <si>
    <t>gene28166-v1.0-hybrid</t>
  </si>
  <si>
    <t>gene28766-v1.0-hybrid</t>
  </si>
  <si>
    <t>gene29066-v1.0-hybrid</t>
  </si>
  <si>
    <t>gene29968-v1.0-hybrid</t>
  </si>
  <si>
    <t>gene30268-v1.0-hybrid</t>
  </si>
  <si>
    <t>gene30568-v1.0-hybrid</t>
  </si>
  <si>
    <t>gene30868-v1.0-hybrid</t>
  </si>
  <si>
    <t>gene31168-v1.0-hybrid</t>
  </si>
  <si>
    <t>gene31468-v1.0-hybrid</t>
  </si>
  <si>
    <t>gene32068-v1.0-hybrid</t>
  </si>
  <si>
    <t>gene32368-v1.0-hybrid</t>
  </si>
  <si>
    <t>gene35033-v1.0-hybrid</t>
  </si>
  <si>
    <t>gene00145-v1.0-hybrid</t>
  </si>
  <si>
    <t>gene00446-v1.0-hybrid</t>
  </si>
  <si>
    <t>gene00749-v1.0-hybrid</t>
  </si>
  <si>
    <t>gene01049-v1.0-hybrid</t>
  </si>
  <si>
    <t>gene01349-v1.0-hybrid</t>
  </si>
  <si>
    <t>gene01650-v1.0-hybrid</t>
  </si>
  <si>
    <t>gene01950-v1.0-hybrid</t>
  </si>
  <si>
    <t>gene02550-v1.0-hybrid</t>
  </si>
  <si>
    <t>gene03238-v1.0-hybrid</t>
  </si>
  <si>
    <t>gene03538-v1.0-hybrid</t>
  </si>
  <si>
    <t>gene03838-v1.0-hybrid</t>
  </si>
  <si>
    <t>gene04138-v1.0-hybrid</t>
  </si>
  <si>
    <t>gene04438-v1.0-hybrid</t>
  </si>
  <si>
    <t>gene05339-v1.0-hybrid</t>
  </si>
  <si>
    <t>gene05639-v1.0-hybrid</t>
  </si>
  <si>
    <t>gene05939-v1.0-hybrid</t>
  </si>
  <si>
    <t>gene06239-v1.0-hybrid</t>
  </si>
  <si>
    <t>gene06539-v1.0-hybrid</t>
  </si>
  <si>
    <t>gene06839-v1.0-hybrid</t>
  </si>
  <si>
    <t>gene07139-v1.0-hybrid</t>
  </si>
  <si>
    <t>gene07439-v1.0-hybrid</t>
  </si>
  <si>
    <t>gene08340-v1.0-hybrid</t>
  </si>
  <si>
    <t>gene08640-v1.0-hybrid</t>
  </si>
  <si>
    <t>gene08940-v1.0-hybrid</t>
  </si>
  <si>
    <t>gene09540-v1.0-hybrid</t>
  </si>
  <si>
    <t>gene10141-v1.0-hybrid</t>
  </si>
  <si>
    <t>gene10441-v1.0-hybrid</t>
  </si>
  <si>
    <t>gene10742-v1.0-hybrid</t>
  </si>
  <si>
    <t>gene11042-v1.0-hybrid</t>
  </si>
  <si>
    <t>gene11343-v1.0-hybrid</t>
  </si>
  <si>
    <t>gene11643-v1.0-hybrid</t>
  </si>
  <si>
    <t>gene11943-v1.0-hybrid</t>
  </si>
  <si>
    <t>gene12243-v1.0-hybrid</t>
  </si>
  <si>
    <t>gene13444-v1.0-hybrid</t>
  </si>
  <si>
    <t>gene14045-v1.0-hybrid</t>
  </si>
  <si>
    <t>gene14346-v1.0-hybrid</t>
  </si>
  <si>
    <t>gene14648-v1.0-hybrid</t>
  </si>
  <si>
    <t>gene14949-v1.0-hybrid</t>
  </si>
  <si>
    <t>gene15250-v1.0-hybrid</t>
  </si>
  <si>
    <t>gene15551-v1.0-hybrid</t>
  </si>
  <si>
    <t>gene15852-v1.0-hybrid</t>
  </si>
  <si>
    <t>gene16153-v1.0-hybrid</t>
  </si>
  <si>
    <t>gene16753-v1.0-hybrid</t>
  </si>
  <si>
    <t>gene17355-v1.0-hybrid</t>
  </si>
  <si>
    <t>gene17655-v1.0-hybrid</t>
  </si>
  <si>
    <t>gene18255-v1.0-hybrid</t>
  </si>
  <si>
    <t>gene18555-v1.0-hybrid</t>
  </si>
  <si>
    <t>gene19755-v1.0-hybrid</t>
  </si>
  <si>
    <t>gene20055-v1.0-hybrid</t>
  </si>
  <si>
    <t>gene20356-v1.0-hybrid</t>
  </si>
  <si>
    <t>gene20656-v1.0-hybrid</t>
  </si>
  <si>
    <t>gene20956-v1.0-hybrid</t>
  </si>
  <si>
    <t>gene21256-v1.0-hybrid</t>
  </si>
  <si>
    <t>gene21557-v1.0-hybrid</t>
  </si>
  <si>
    <t>gene21857-v1.0-hybrid</t>
  </si>
  <si>
    <t>gene22158-v1.0-hybrid</t>
  </si>
  <si>
    <t>gene22759-v1.0-hybrid</t>
  </si>
  <si>
    <t>gene23059-v1.0-hybrid</t>
  </si>
  <si>
    <t>gene23661-v1.0-hybrid</t>
  </si>
  <si>
    <t>gene23961-v1.0-hybrid</t>
  </si>
  <si>
    <t>gene24263-v1.0-hybrid</t>
  </si>
  <si>
    <t>gene24866-v1.0-hybrid</t>
  </si>
  <si>
    <t>gene25166-v1.0-hybrid</t>
  </si>
  <si>
    <t>gene25766-v1.0-hybrid</t>
  </si>
  <si>
    <t>gene26066-v1.0-hybrid</t>
  </si>
  <si>
    <t>gene26366-v1.0-hybrid</t>
  </si>
  <si>
    <t>gene26666-v1.0-hybrid</t>
  </si>
  <si>
    <t>gene26967-v1.0-hybrid</t>
  </si>
  <si>
    <t>gene27267-v1.0-hybrid</t>
  </si>
  <si>
    <t>gene27867-v1.0-hybrid</t>
  </si>
  <si>
    <t>gene28467-v1.0-hybrid</t>
  </si>
  <si>
    <t>gene28767-v1.0-hybrid</t>
  </si>
  <si>
    <t>gene29367-v1.0-hybrid</t>
  </si>
  <si>
    <t>gene29668-v1.0-hybrid</t>
  </si>
  <si>
    <t>gene29969-v1.0-hybrid</t>
  </si>
  <si>
    <t>gene30269-v1.0-hybrid</t>
  </si>
  <si>
    <t>gene30869-v1.0-hybrid</t>
  </si>
  <si>
    <t>gene31169-v1.0-hybrid</t>
  </si>
  <si>
    <t>gene32069-v1.0-hybrid</t>
  </si>
  <si>
    <t>gene32369-v1.0-hybrid</t>
  </si>
  <si>
    <t>gene35034-v1.0-hybrid</t>
  </si>
  <si>
    <t>gene00447-v1.0-hybrid</t>
  </si>
  <si>
    <t>gene00750-v1.0-hybrid</t>
  </si>
  <si>
    <t>gene01050-v1.0-hybrid</t>
  </si>
  <si>
    <t>gene01350-v1.0-hybrid</t>
  </si>
  <si>
    <t>gene01651-v1.0-hybrid</t>
  </si>
  <si>
    <t>gene01951-v1.0-hybrid</t>
  </si>
  <si>
    <t>gene02251-v1.0-hybrid</t>
  </si>
  <si>
    <t>gene02551-v1.0-hybrid</t>
  </si>
  <si>
    <t>gene03239-v1.0-hybrid</t>
  </si>
  <si>
    <t>gene03539-v1.0-hybrid</t>
  </si>
  <si>
    <t>gene03839-v1.0-hybrid</t>
  </si>
  <si>
    <t>gene04139-v1.0-hybrid</t>
  </si>
  <si>
    <t>gene04439-v1.0-hybrid</t>
  </si>
  <si>
    <t>gene04739-v1.0-hybrid</t>
  </si>
  <si>
    <t>gene05039-v1.0-hybrid</t>
  </si>
  <si>
    <t>gene05340-v1.0-hybrid</t>
  </si>
  <si>
    <t>gene05640-v1.0-hybrid</t>
  </si>
  <si>
    <t>gene06240-v1.0-hybrid</t>
  </si>
  <si>
    <t>gene07140-v1.0-hybrid</t>
  </si>
  <si>
    <t>gene08041-v1.0-hybrid</t>
  </si>
  <si>
    <t>gene08341-v1.0-hybrid</t>
  </si>
  <si>
    <t>gene08641-v1.0-hybrid</t>
  </si>
  <si>
    <t>gene08941-v1.0-hybrid</t>
  </si>
  <si>
    <t>gene09241-v1.0-hybrid</t>
  </si>
  <si>
    <t>gene10142-v1.0-hybrid</t>
  </si>
  <si>
    <t>gene10442-v1.0-hybrid</t>
  </si>
  <si>
    <t>gene10743-v1.0-hybrid</t>
  </si>
  <si>
    <t>gene11043-v1.0-hybrid</t>
  </si>
  <si>
    <t>gene11344-v1.0-hybrid</t>
  </si>
  <si>
    <t>gene11644-v1.0-hybrid</t>
  </si>
  <si>
    <t>gene11944-v1.0-hybrid</t>
  </si>
  <si>
    <t>gene12244-v1.0-hybrid</t>
  </si>
  <si>
    <t>gene12844-v1.0-hybrid</t>
  </si>
  <si>
    <t>gene13145-v1.0-hybrid</t>
  </si>
  <si>
    <t>gene13445-v1.0-hybrid</t>
  </si>
  <si>
    <t>gene13745-v1.0-hybrid</t>
  </si>
  <si>
    <t>gene14347-v1.0-hybrid</t>
  </si>
  <si>
    <t>gene14950-v1.0-hybrid</t>
  </si>
  <si>
    <t>gene15251-v1.0-hybrid</t>
  </si>
  <si>
    <t>gene15552-v1.0-hybrid</t>
  </si>
  <si>
    <t>gene16154-v1.0-hybrid</t>
  </si>
  <si>
    <t>gene16454-v1.0-hybrid</t>
  </si>
  <si>
    <t>gene16754-v1.0-hybrid</t>
  </si>
  <si>
    <t>gene17056-v1.0-hybrid</t>
  </si>
  <si>
    <t>gene17656-v1.0-hybrid</t>
  </si>
  <si>
    <t>gene18256-v1.0-hybrid</t>
  </si>
  <si>
    <t>gene18856-v1.0-hybrid</t>
  </si>
  <si>
    <t>gene19156-v1.0-hybrid</t>
  </si>
  <si>
    <t>gene19756-v1.0-hybrid</t>
  </si>
  <si>
    <t>gene20357-v1.0-hybrid</t>
  </si>
  <si>
    <t>gene20657-v1.0-hybrid</t>
  </si>
  <si>
    <t>gene21257-v1.0-hybrid</t>
  </si>
  <si>
    <t>gene21558-v1.0-hybrid</t>
  </si>
  <si>
    <t>gene22159-v1.0-hybrid</t>
  </si>
  <si>
    <t>gene22459-v1.0-hybrid</t>
  </si>
  <si>
    <t>gene23060-v1.0-hybrid</t>
  </si>
  <si>
    <t>gene23362-v1.0-hybrid</t>
  </si>
  <si>
    <t>gene23662-v1.0-hybrid</t>
  </si>
  <si>
    <t>gene23962-v1.0-hybrid</t>
  </si>
  <si>
    <t>gene24264-v1.0-hybrid</t>
  </si>
  <si>
    <t>gene24867-v1.0-hybrid</t>
  </si>
  <si>
    <t>gene25467-v1.0-hybrid</t>
  </si>
  <si>
    <t>gene25767-v1.0-hybrid</t>
  </si>
  <si>
    <t>gene26067-v1.0-hybrid</t>
  </si>
  <si>
    <t>gene26367-v1.0-hybrid</t>
  </si>
  <si>
    <t>gene26968-v1.0-hybrid</t>
  </si>
  <si>
    <t>gene27268-v1.0-hybrid</t>
  </si>
  <si>
    <t>gene27568-v1.0-hybrid</t>
  </si>
  <si>
    <t>gene28168-v1.0-hybrid</t>
  </si>
  <si>
    <t>gene28468-v1.0-hybrid</t>
  </si>
  <si>
    <t>gene28768-v1.0-hybrid</t>
  </si>
  <si>
    <t>gene29068-v1.0-hybrid</t>
  </si>
  <si>
    <t>gene29368-v1.0-hybrid</t>
  </si>
  <si>
    <t>gene29669-v1.0-hybrid</t>
  </si>
  <si>
    <t>gene29970-v1.0-hybrid</t>
  </si>
  <si>
    <t>gene30570-v1.0-hybrid</t>
  </si>
  <si>
    <t>gene30870-v1.0-hybrid</t>
  </si>
  <si>
    <t>gene31170-v1.0-hybrid</t>
  </si>
  <si>
    <t>gene32070-v1.0-hybrid</t>
  </si>
  <si>
    <t>gene32370-v1.0-hybrid</t>
  </si>
  <si>
    <t>gene33835-v1.0-hybrid</t>
  </si>
  <si>
    <t>gene34135-v1.0-hybrid</t>
  </si>
  <si>
    <t>gene34435-v1.0-hybrid</t>
  </si>
  <si>
    <t>gene34735-v1.0-hybrid</t>
  </si>
  <si>
    <t>gene00147-v1.0-hybrid</t>
  </si>
  <si>
    <t>gene00448-v1.0-hybrid</t>
  </si>
  <si>
    <t>gene00751-v1.0-hybrid</t>
  </si>
  <si>
    <t>gene01051-v1.0-hybrid</t>
  </si>
  <si>
    <t>gene01351-v1.0-hybrid</t>
  </si>
  <si>
    <t>gene01652-v1.0-hybrid</t>
  </si>
  <si>
    <t>gene02252-v1.0-hybrid</t>
  </si>
  <si>
    <t>gene02552-v1.0-hybrid</t>
  </si>
  <si>
    <t>gene03240-v1.0-hybrid</t>
  </si>
  <si>
    <t>gene03540-v1.0-hybrid</t>
  </si>
  <si>
    <t>gene04140-v1.0-hybrid</t>
  </si>
  <si>
    <t>gene04440-v1.0-hybrid</t>
  </si>
  <si>
    <t>gene04740-v1.0-hybrid</t>
  </si>
  <si>
    <t>gene05040-v1.0-hybrid</t>
  </si>
  <si>
    <t>gene05341-v1.0-hybrid</t>
  </si>
  <si>
    <t>gene05941-v1.0-hybrid</t>
  </si>
  <si>
    <t>gene06241-v1.0-hybrid</t>
  </si>
  <si>
    <t>gene06541-v1.0-hybrid</t>
  </si>
  <si>
    <t>gene06841-v1.0-hybrid</t>
  </si>
  <si>
    <t>gene07441-v1.0-hybrid</t>
  </si>
  <si>
    <t>gene07741-v1.0-hybrid</t>
  </si>
  <si>
    <t>gene08042-v1.0-hybrid</t>
  </si>
  <si>
    <t>gene08642-v1.0-hybrid</t>
  </si>
  <si>
    <t>gene08942-v1.0-hybrid</t>
  </si>
  <si>
    <t>gene09242-v1.0-hybrid</t>
  </si>
  <si>
    <t>gene09843-v1.0-hybrid</t>
  </si>
  <si>
    <t>gene10143-v1.0-hybrid</t>
  </si>
  <si>
    <t>gene10443-v1.0-hybrid</t>
  </si>
  <si>
    <t>gene10744-v1.0-hybrid</t>
  </si>
  <si>
    <t>gene11044-v1.0-hybrid</t>
  </si>
  <si>
    <t>gene11345-v1.0-hybrid</t>
  </si>
  <si>
    <t>gene11645-v1.0-hybrid</t>
  </si>
  <si>
    <t>gene11945-v1.0-hybrid</t>
  </si>
  <si>
    <t>gene12245-v1.0-hybrid</t>
  </si>
  <si>
    <t>gene12845-v1.0-hybrid</t>
  </si>
  <si>
    <t>gene13146-v1.0-hybrid</t>
  </si>
  <si>
    <t>gene13446-v1.0-hybrid</t>
  </si>
  <si>
    <t>gene14348-v1.0-hybrid</t>
  </si>
  <si>
    <t>gene14650-v1.0-hybrid</t>
  </si>
  <si>
    <t>gene14951-v1.0-hybrid</t>
  </si>
  <si>
    <t>gene15553-v1.0-hybrid</t>
  </si>
  <si>
    <t>gene15854-v1.0-hybrid</t>
  </si>
  <si>
    <t>gene16455-v1.0-hybrid</t>
  </si>
  <si>
    <t>gene16755-v1.0-hybrid</t>
  </si>
  <si>
    <t>gene17657-v1.0-hybrid</t>
  </si>
  <si>
    <t>gene18257-v1.0-hybrid</t>
  </si>
  <si>
    <t>gene18557-v1.0-hybrid</t>
  </si>
  <si>
    <t>gene18857-v1.0-hybrid</t>
  </si>
  <si>
    <t>gene19757-v1.0-hybrid</t>
  </si>
  <si>
    <t>gene20057-v1.0-hybrid</t>
  </si>
  <si>
    <t>gene20358-v1.0-hybrid</t>
  </si>
  <si>
    <t>gene20658-v1.0-hybrid</t>
  </si>
  <si>
    <t>gene20958-v1.0-hybrid</t>
  </si>
  <si>
    <t>gene22460-v1.0-hybrid</t>
  </si>
  <si>
    <t>gene22761-v1.0-hybrid</t>
  </si>
  <si>
    <t>gene23061-v1.0-hybrid</t>
  </si>
  <si>
    <t>gene23363-v1.0-hybrid</t>
  </si>
  <si>
    <t>gene23963-v1.0-hybrid</t>
  </si>
  <si>
    <t>gene24265-v1.0-hybrid</t>
  </si>
  <si>
    <t>gene24868-v1.0-hybrid</t>
  </si>
  <si>
    <t>gene25168-v1.0-hybrid</t>
  </si>
  <si>
    <t>gene25468-v1.0-hybrid</t>
  </si>
  <si>
    <t>gene25768-v1.0-hybrid</t>
  </si>
  <si>
    <t>gene26068-v1.0-hybrid</t>
  </si>
  <si>
    <t>gene26368-v1.0-hybrid</t>
  </si>
  <si>
    <t>gene26668-v1.0-hybrid</t>
  </si>
  <si>
    <t>gene26969-v1.0-hybrid</t>
  </si>
  <si>
    <t>gene27269-v1.0-hybrid</t>
  </si>
  <si>
    <t>gene27869-v1.0-hybrid</t>
  </si>
  <si>
    <t>gene28169-v1.0-hybrid</t>
  </si>
  <si>
    <t>gene29369-v1.0-hybrid</t>
  </si>
  <si>
    <t>gene29971-v1.0-hybrid</t>
  </si>
  <si>
    <t>gene30571-v1.0-hybrid</t>
  </si>
  <si>
    <t>gene30871-v1.0-hybrid</t>
  </si>
  <si>
    <t>gene31771-v1.0-hybrid</t>
  </si>
  <si>
    <t>gene32071-v1.0-hybrid</t>
  </si>
  <si>
    <t>gene32371-v1.0-hybrid</t>
  </si>
  <si>
    <t>gene32672-v1.0-hybrid</t>
  </si>
  <si>
    <t>gene33049-v1.0-hybrid</t>
  </si>
  <si>
    <t>gene33450-v1.0-hybrid</t>
  </si>
  <si>
    <t>gene34736-v1.0-hybrid</t>
  </si>
  <si>
    <t>gene00148-v1.0-hybrid</t>
  </si>
  <si>
    <t>gene00752-v1.0-hybrid</t>
  </si>
  <si>
    <t>gene01052-v1.0-hybrid</t>
  </si>
  <si>
    <t>gene01352-v1.0-hybrid</t>
  </si>
  <si>
    <t>gene01653-v1.0-hybrid</t>
  </si>
  <si>
    <t>gene01953-v1.0-hybrid</t>
  </si>
  <si>
    <t>gene02553-v1.0-hybrid</t>
  </si>
  <si>
    <t>gene03241-v1.0-hybrid</t>
  </si>
  <si>
    <t>gene03541-v1.0-hybrid</t>
  </si>
  <si>
    <t>gene03841-v1.0-hybrid</t>
  </si>
  <si>
    <t>gene04141-v1.0-hybrid</t>
  </si>
  <si>
    <t>gene04441-v1.0-hybrid</t>
  </si>
  <si>
    <t>gene04741-v1.0-hybrid</t>
  </si>
  <si>
    <t>gene05041-v1.0-hybrid</t>
  </si>
  <si>
    <t>gene05342-v1.0-hybrid</t>
  </si>
  <si>
    <t>gene05642-v1.0-hybrid</t>
  </si>
  <si>
    <t>gene05942-v1.0-hybrid</t>
  </si>
  <si>
    <t>gene06542-v1.0-hybrid</t>
  </si>
  <si>
    <t>gene06842-v1.0-hybrid</t>
  </si>
  <si>
    <t>gene07142-v1.0-hybrid</t>
  </si>
  <si>
    <t>gene07742-v1.0-hybrid</t>
  </si>
  <si>
    <t>gene08043-v1.0-hybrid</t>
  </si>
  <si>
    <t>gene08643-v1.0-hybrid</t>
  </si>
  <si>
    <t>gene09243-v1.0-hybrid</t>
  </si>
  <si>
    <t>gene09543-v1.0-hybrid</t>
  </si>
  <si>
    <t>gene09844-v1.0-hybrid</t>
  </si>
  <si>
    <t>gene10144-v1.0-hybrid</t>
  </si>
  <si>
    <t>gene10444-v1.0-hybrid</t>
  </si>
  <si>
    <t>gene10745-v1.0-hybrid</t>
  </si>
  <si>
    <t>gene11045-v1.0-hybrid</t>
  </si>
  <si>
    <t>gene11346-v1.0-hybrid</t>
  </si>
  <si>
    <t>gene11646-v1.0-hybrid</t>
  </si>
  <si>
    <t>gene12246-v1.0-hybrid</t>
  </si>
  <si>
    <t>gene12546-v1.0-hybrid</t>
  </si>
  <si>
    <t>gene12846-v1.0-hybrid</t>
  </si>
  <si>
    <t>gene13147-v1.0-hybrid</t>
  </si>
  <si>
    <t>gene13447-v1.0-hybrid</t>
  </si>
  <si>
    <t>gene13747-v1.0-hybrid</t>
  </si>
  <si>
    <t>gene14048-v1.0-hybrid</t>
  </si>
  <si>
    <t>gene14349-v1.0-hybrid</t>
  </si>
  <si>
    <t>gene14952-v1.0-hybrid</t>
  </si>
  <si>
    <t>gene15554-v1.0-hybrid</t>
  </si>
  <si>
    <t>gene15855-v1.0-hybrid</t>
  </si>
  <si>
    <t>gene16456-v1.0-hybrid</t>
  </si>
  <si>
    <t>gene16756-v1.0-hybrid</t>
  </si>
  <si>
    <t>gene17058-v1.0-hybrid</t>
  </si>
  <si>
    <t>gene17658-v1.0-hybrid</t>
  </si>
  <si>
    <t>gene18258-v1.0-hybrid</t>
  </si>
  <si>
    <t>gene18858-v1.0-hybrid</t>
  </si>
  <si>
    <t>gene19158-v1.0-hybrid</t>
  </si>
  <si>
    <t>gene19458-v1.0-hybrid</t>
  </si>
  <si>
    <t>gene19758-v1.0-hybrid</t>
  </si>
  <si>
    <t>gene20058-v1.0-hybrid</t>
  </si>
  <si>
    <t>gene20659-v1.0-hybrid</t>
  </si>
  <si>
    <t>gene20959-v1.0-hybrid</t>
  </si>
  <si>
    <t>gene21259-v1.0-hybrid</t>
  </si>
  <si>
    <t>gene21560-v1.0-hybrid</t>
  </si>
  <si>
    <t>gene22461-v1.0-hybrid</t>
  </si>
  <si>
    <t>gene22762-v1.0-hybrid</t>
  </si>
  <si>
    <t>gene23062-v1.0-hybrid</t>
  </si>
  <si>
    <t>gene23364-v1.0-hybrid</t>
  </si>
  <si>
    <t>gene23664-v1.0-hybrid</t>
  </si>
  <si>
    <t>gene23964-v1.0-hybrid</t>
  </si>
  <si>
    <t>gene24266-v1.0-hybrid</t>
  </si>
  <si>
    <t>gene24869-v1.0-hybrid</t>
  </si>
  <si>
    <t>gene25169-v1.0-hybrid</t>
  </si>
  <si>
    <t>gene25469-v1.0-hybrid</t>
  </si>
  <si>
    <t>gene25769-v1.0-hybrid</t>
  </si>
  <si>
    <t>gene26069-v1.0-hybrid</t>
  </si>
  <si>
    <t>gene26369-v1.0-hybrid</t>
  </si>
  <si>
    <t>gene26669-v1.0-hybrid</t>
  </si>
  <si>
    <t>gene27270-v1.0-hybrid</t>
  </si>
  <si>
    <t>gene27570-v1.0-hybrid</t>
  </si>
  <si>
    <t>gene27870-v1.0-hybrid</t>
  </si>
  <si>
    <t>gene28770-v1.0-hybrid</t>
  </si>
  <si>
    <t>gene29070-v1.0-hybrid</t>
  </si>
  <si>
    <t>gene29370-v1.0-hybrid</t>
  </si>
  <si>
    <t>gene29671-v1.0-hybrid</t>
  </si>
  <si>
    <t>gene29972-v1.0-hybrid</t>
  </si>
  <si>
    <t>gene30572-v1.0-hybrid</t>
  </si>
  <si>
    <t>gene31172-v1.0-hybrid</t>
  </si>
  <si>
    <t>gene31472-v1.0-hybrid</t>
  </si>
  <si>
    <t>gene31772-v1.0-hybrid</t>
  </si>
  <si>
    <t>gene32072-v1.0-hybrid</t>
  </si>
  <si>
    <t>gene32372-v1.0-hybrid</t>
  </si>
  <si>
    <t>gene32673-v1.0-hybrid</t>
  </si>
  <si>
    <t>gene33452-v1.0-hybrid</t>
  </si>
  <si>
    <t>gene34737-v1.0-hybrid</t>
  </si>
  <si>
    <t>gene35037-v1.0-hybrid</t>
  </si>
  <si>
    <t>gene00149-v1.0-hybrid</t>
  </si>
  <si>
    <t>gene00450-v1.0-hybrid</t>
  </si>
  <si>
    <t>gene00753-v1.0-hybrid</t>
  </si>
  <si>
    <t>gene01053-v1.0-hybrid</t>
  </si>
  <si>
    <t>gene01654-v1.0-hybrid</t>
  </si>
  <si>
    <t>gene01954-v1.0-hybrid</t>
  </si>
  <si>
    <t>gene02554-v1.0-hybrid</t>
  </si>
  <si>
    <t>gene03242-v1.0-hybrid</t>
  </si>
  <si>
    <t>gene03842-v1.0-hybrid</t>
  </si>
  <si>
    <t>gene04442-v1.0-hybrid</t>
  </si>
  <si>
    <t>gene04742-v1.0-hybrid</t>
  </si>
  <si>
    <t>gene05042-v1.0-hybrid</t>
  </si>
  <si>
    <t>gene05343-v1.0-hybrid</t>
  </si>
  <si>
    <t>gene05643-v1.0-hybrid</t>
  </si>
  <si>
    <t>gene05943-v1.0-hybrid</t>
  </si>
  <si>
    <t>gene06243-v1.0-hybrid</t>
  </si>
  <si>
    <t>gene06843-v1.0-hybrid</t>
  </si>
  <si>
    <t>gene07443-v1.0-hybrid</t>
  </si>
  <si>
    <t>gene08344-v1.0-hybrid</t>
  </si>
  <si>
    <t>gene08644-v1.0-hybrid</t>
  </si>
  <si>
    <t>gene08944-v1.0-hybrid</t>
  </si>
  <si>
    <t>gene09244-v1.0-hybrid</t>
  </si>
  <si>
    <t>gene09544-v1.0-hybrid</t>
  </si>
  <si>
    <t>gene09845-v1.0-hybrid</t>
  </si>
  <si>
    <t>gene10145-v1.0-hybrid</t>
  </si>
  <si>
    <t>gene10445-v1.0-hybrid</t>
  </si>
  <si>
    <t>gene10746-v1.0-hybrid</t>
  </si>
  <si>
    <t>gene11046-v1.0-hybrid</t>
  </si>
  <si>
    <t>gene11347-v1.0-hybrid</t>
  </si>
  <si>
    <t>gene11647-v1.0-hybrid</t>
  </si>
  <si>
    <t>gene11947-v1.0-hybrid</t>
  </si>
  <si>
    <t>gene12247-v1.0-hybrid</t>
  </si>
  <si>
    <t>gene12547-v1.0-hybrid</t>
  </si>
  <si>
    <t>gene13148-v1.0-hybrid</t>
  </si>
  <si>
    <t>gene13448-v1.0-hybrid</t>
  </si>
  <si>
    <t>gene13748-v1.0-hybrid</t>
  </si>
  <si>
    <t>gene14350-v1.0-hybrid</t>
  </si>
  <si>
    <t>gene14652-v1.0-hybrid</t>
  </si>
  <si>
    <t>gene14953-v1.0-hybrid</t>
  </si>
  <si>
    <t>gene15254-v1.0-hybrid</t>
  </si>
  <si>
    <t>gene15555-v1.0-hybrid</t>
  </si>
  <si>
    <t>gene15856-v1.0-hybrid</t>
  </si>
  <si>
    <t>gene16157-v1.0-hybrid</t>
  </si>
  <si>
    <t>gene16457-v1.0-hybrid</t>
  </si>
  <si>
    <t>gene16757-v1.0-hybrid</t>
  </si>
  <si>
    <t>gene17359-v1.0-hybrid</t>
  </si>
  <si>
    <t>gene17959-v1.0-hybrid</t>
  </si>
  <si>
    <t>gene18259-v1.0-hybrid</t>
  </si>
  <si>
    <t>gene18559-v1.0-hybrid</t>
  </si>
  <si>
    <t>gene18859-v1.0-hybrid</t>
  </si>
  <si>
    <t>gene19159-v1.0-hybrid</t>
  </si>
  <si>
    <t>gene19459-v1.0-hybrid</t>
  </si>
  <si>
    <t>gene19759-v1.0-hybrid</t>
  </si>
  <si>
    <t>gene20059-v1.0-hybrid</t>
  </si>
  <si>
    <t>gene20360-v1.0-hybrid</t>
  </si>
  <si>
    <t>gene20660-v1.0-hybrid</t>
  </si>
  <si>
    <t>gene20960-v1.0-hybrid</t>
  </si>
  <si>
    <t>gene21260-v1.0-hybrid</t>
  </si>
  <si>
    <t>gene21561-v1.0-hybrid</t>
  </si>
  <si>
    <t>gene21861-v1.0-hybrid</t>
  </si>
  <si>
    <t>gene22462-v1.0-hybrid</t>
  </si>
  <si>
    <t>gene22763-v1.0-hybrid</t>
  </si>
  <si>
    <t>gene23365-v1.0-hybrid</t>
  </si>
  <si>
    <t>gene23665-v1.0-hybrid</t>
  </si>
  <si>
    <t>gene23965-v1.0-hybrid</t>
  </si>
  <si>
    <t>gene24267-v1.0-hybrid</t>
  </si>
  <si>
    <t>gene24568-v1.0-hybrid</t>
  </si>
  <si>
    <t>gene24870-v1.0-hybrid</t>
  </si>
  <si>
    <t>gene25170-v1.0-hybrid</t>
  </si>
  <si>
    <t>gene25470-v1.0-hybrid</t>
  </si>
  <si>
    <t>gene25770-v1.0-hybrid</t>
  </si>
  <si>
    <t>gene26070-v1.0-hybrid</t>
  </si>
  <si>
    <t>gene26670-v1.0-hybrid</t>
  </si>
  <si>
    <t>gene27271-v1.0-hybrid</t>
  </si>
  <si>
    <t>gene27571-v1.0-hybrid</t>
  </si>
  <si>
    <t>gene27871-v1.0-hybrid</t>
  </si>
  <si>
    <t>gene28471-v1.0-hybrid</t>
  </si>
  <si>
    <t>gene28771-v1.0-hybrid</t>
  </si>
  <si>
    <t>gene29071-v1.0-hybrid</t>
  </si>
  <si>
    <t>gene29371-v1.0-hybrid</t>
  </si>
  <si>
    <t>gene29672-v1.0-hybrid</t>
  </si>
  <si>
    <t>gene29973-v1.0-hybrid</t>
  </si>
  <si>
    <t>gene30273-v1.0-hybrid</t>
  </si>
  <si>
    <t>gene30573-v1.0-hybrid</t>
  </si>
  <si>
    <t>gene30873-v1.0-hybrid</t>
  </si>
  <si>
    <t>gene32073-v1.0-hybrid</t>
  </si>
  <si>
    <t>gene32373-v1.0-hybrid</t>
  </si>
  <si>
    <t>gene32674-v1.0-hybrid</t>
  </si>
  <si>
    <t>gene33453-v1.0-hybrid</t>
  </si>
  <si>
    <t>gene33838-v1.0-hybrid</t>
  </si>
  <si>
    <t>gene34138-v1.0-hybrid</t>
  </si>
  <si>
    <t>gene34438-v1.0-hybrid</t>
  </si>
  <si>
    <t>gene35038-v1.0-hybrid</t>
  </si>
  <si>
    <t>gene00150-v1.0-hybrid</t>
  </si>
  <si>
    <t>gene00754-v1.0-hybrid</t>
  </si>
  <si>
    <t>gene01054-v1.0-hybrid</t>
  </si>
  <si>
    <t>gene01354-v1.0-hybrid</t>
  </si>
  <si>
    <t>gene01655-v1.0-hybrid</t>
  </si>
  <si>
    <t>gene01955-v1.0-hybrid</t>
  </si>
  <si>
    <t>gene02555-v1.0-hybrid</t>
  </si>
  <si>
    <t>gene03243-v1.0-hybrid</t>
  </si>
  <si>
    <t>gene03543-v1.0-hybrid</t>
  </si>
  <si>
    <t>gene04143-v1.0-hybrid</t>
  </si>
  <si>
    <t>gene04443-v1.0-hybrid</t>
  </si>
  <si>
    <t>gene04743-v1.0-hybrid</t>
  </si>
  <si>
    <t>gene05043-v1.0-hybrid</t>
  </si>
  <si>
    <t>gene05344-v1.0-hybrid</t>
  </si>
  <si>
    <t>gene05644-v1.0-hybrid</t>
  </si>
  <si>
    <t>gene05944-v1.0-hybrid</t>
  </si>
  <si>
    <t>gene06244-v1.0-hybrid</t>
  </si>
  <si>
    <t>gene07144-v1.0-hybrid</t>
  </si>
  <si>
    <t>gene07444-v1.0-hybrid</t>
  </si>
  <si>
    <t>gene07744-v1.0-hybrid</t>
  </si>
  <si>
    <t>gene08045-v1.0-hybrid</t>
  </si>
  <si>
    <t>gene08345-v1.0-hybrid</t>
  </si>
  <si>
    <t>gene08645-v1.0-hybrid</t>
  </si>
  <si>
    <t>gene08945-v1.0-hybrid</t>
  </si>
  <si>
    <t>gene09545-v1.0-hybrid</t>
  </si>
  <si>
    <t>gene09846-v1.0-hybrid</t>
  </si>
  <si>
    <t>gene10146-v1.0-hybrid</t>
  </si>
  <si>
    <t>gene10446-v1.0-hybrid</t>
  </si>
  <si>
    <t>gene10747-v1.0-hybrid</t>
  </si>
  <si>
    <t>gene11348-v1.0-hybrid</t>
  </si>
  <si>
    <t>gene11648-v1.0-hybrid</t>
  </si>
  <si>
    <t>gene11948-v1.0-hybrid</t>
  </si>
  <si>
    <t>gene12248-v1.0-hybrid</t>
  </si>
  <si>
    <t>gene12548-v1.0-hybrid</t>
  </si>
  <si>
    <t>gene12848-v1.0-hybrid</t>
  </si>
  <si>
    <t>gene13149-v1.0-hybrid</t>
  </si>
  <si>
    <t>gene13449-v1.0-hybrid</t>
  </si>
  <si>
    <t>gene13749-v1.0-hybrid</t>
  </si>
  <si>
    <t>gene14351-v1.0-hybrid</t>
  </si>
  <si>
    <t>gene14653-v1.0-hybrid</t>
  </si>
  <si>
    <t>gene14954-v1.0-hybrid</t>
  </si>
  <si>
    <t>gene15255-v1.0-hybrid</t>
  </si>
  <si>
    <t>gene15556-v1.0-hybrid</t>
  </si>
  <si>
    <t>gene15857-v1.0-hybrid</t>
  </si>
  <si>
    <t>gene16158-v1.0-hybrid</t>
  </si>
  <si>
    <t>gene16758-v1.0-hybrid</t>
  </si>
  <si>
    <t>gene17660-v1.0-hybrid</t>
  </si>
  <si>
    <t>gene18260-v1.0-hybrid</t>
  </si>
  <si>
    <t>gene18560-v1.0-hybrid</t>
  </si>
  <si>
    <t>gene18860-v1.0-hybrid</t>
  </si>
  <si>
    <t>gene19160-v1.0-hybrid</t>
  </si>
  <si>
    <t>gene19460-v1.0-hybrid</t>
  </si>
  <si>
    <t>gene19760-v1.0-hybrid</t>
  </si>
  <si>
    <t>gene20060-v1.0-hybrid</t>
  </si>
  <si>
    <t>gene20361-v1.0-hybrid</t>
  </si>
  <si>
    <t>gene20661-v1.0-hybrid</t>
  </si>
  <si>
    <t>gene20961-v1.0-hybrid</t>
  </si>
  <si>
    <t>gene21261-v1.0-hybrid</t>
  </si>
  <si>
    <t>gene22163-v1.0-hybrid</t>
  </si>
  <si>
    <t>gene22463-v1.0-hybrid</t>
  </si>
  <si>
    <t>gene22764-v1.0-hybrid</t>
  </si>
  <si>
    <t>gene23064-v1.0-hybrid</t>
  </si>
  <si>
    <t>gene23366-v1.0-hybrid</t>
  </si>
  <si>
    <t>gene23966-v1.0-hybrid</t>
  </si>
  <si>
    <t>gene24268-v1.0-hybrid</t>
  </si>
  <si>
    <t>gene24871-v1.0-hybrid</t>
  </si>
  <si>
    <t>gene25171-v1.0-hybrid</t>
  </si>
  <si>
    <t>gene26071-v1.0-hybrid</t>
  </si>
  <si>
    <t>gene26371-v1.0-hybrid</t>
  </si>
  <si>
    <t>gene26972-v1.0-hybrid</t>
  </si>
  <si>
    <t>gene27272-v1.0-hybrid</t>
  </si>
  <si>
    <t>gene27572-v1.0-hybrid</t>
  </si>
  <si>
    <t>gene27872-v1.0-hybrid</t>
  </si>
  <si>
    <t>gene28772-v1.0-hybrid</t>
  </si>
  <si>
    <t>gene29072-v1.0-hybrid</t>
  </si>
  <si>
    <t>gene29372-v1.0-hybrid</t>
  </si>
  <si>
    <t>gene29673-v1.0-hybrid</t>
  </si>
  <si>
    <t>gene30574-v1.0-hybrid</t>
  </si>
  <si>
    <t>gene30874-v1.0-hybrid</t>
  </si>
  <si>
    <t>gene31174-v1.0-hybrid</t>
  </si>
  <si>
    <t>gene31474-v1.0-hybrid</t>
  </si>
  <si>
    <t>gene32074-v1.0-hybrid</t>
  </si>
  <si>
    <t>gene32374-v1.0-hybrid</t>
  </si>
  <si>
    <t>gene34139-v1.0-hybrid</t>
  </si>
  <si>
    <t>gene34439-v1.0-hybrid</t>
  </si>
  <si>
    <t>gene34739-v1.0-hybrid</t>
  </si>
  <si>
    <t>gene00151-v1.0-hybrid</t>
  </si>
  <si>
    <t>gene00452-v1.0-hybrid</t>
  </si>
  <si>
    <t>gene00755-v1.0-hybrid</t>
  </si>
  <si>
    <t>gene01355-v1.0-hybrid</t>
  </si>
  <si>
    <t>gene01956-v1.0-hybrid</t>
  </si>
  <si>
    <t>gene02256-v1.0-hybrid</t>
  </si>
  <si>
    <t>gene02556-v1.0-hybrid</t>
  </si>
  <si>
    <t>gene02905-v1.0-hybrid</t>
  </si>
  <si>
    <t>gene03544-v1.0-hybrid</t>
  </si>
  <si>
    <t>gene03844-v1.0-hybrid</t>
  </si>
  <si>
    <t>gene04144-v1.0-hybrid</t>
  </si>
  <si>
    <t>gene04444-v1.0-hybrid</t>
  </si>
  <si>
    <t>gene05044-v1.0-hybrid</t>
  </si>
  <si>
    <t>gene05345-v1.0-hybrid</t>
  </si>
  <si>
    <t>gene05645-v1.0-hybrid</t>
  </si>
  <si>
    <t>gene05945-v1.0-hybrid</t>
  </si>
  <si>
    <t>gene06245-v1.0-hybrid</t>
  </si>
  <si>
    <t>gene06545-v1.0-hybrid</t>
  </si>
  <si>
    <t>gene07145-v1.0-hybrid</t>
  </si>
  <si>
    <t>gene08046-v1.0-hybrid</t>
  </si>
  <si>
    <t>gene08346-v1.0-hybrid</t>
  </si>
  <si>
    <t>gene08646-v1.0-hybrid</t>
  </si>
  <si>
    <t>gene09246-v1.0-hybrid</t>
  </si>
  <si>
    <t>gene09546-v1.0-hybrid</t>
  </si>
  <si>
    <t>gene09847-v1.0-hybrid</t>
  </si>
  <si>
    <t>gene10147-v1.0-hybrid</t>
  </si>
  <si>
    <t>gene10447-v1.0-hybrid</t>
  </si>
  <si>
    <t>gene11048-v1.0-hybrid</t>
  </si>
  <si>
    <t>gene11349-v1.0-hybrid</t>
  </si>
  <si>
    <t>gene11649-v1.0-hybrid</t>
  </si>
  <si>
    <t>gene12249-v1.0-hybrid</t>
  </si>
  <si>
    <t>gene12549-v1.0-hybrid</t>
  </si>
  <si>
    <t>gene12849-v1.0-hybrid</t>
  </si>
  <si>
    <t>gene13150-v1.0-hybrid</t>
  </si>
  <si>
    <t>gene13450-v1.0-hybrid</t>
  </si>
  <si>
    <t>gene13750-v1.0-hybrid</t>
  </si>
  <si>
    <t>gene14352-v1.0-hybrid</t>
  </si>
  <si>
    <t>gene14654-v1.0-hybrid</t>
  </si>
  <si>
    <t>gene15557-v1.0-hybrid</t>
  </si>
  <si>
    <t>gene16759-v1.0-hybrid</t>
  </si>
  <si>
    <t>gene17361-v1.0-hybrid</t>
  </si>
  <si>
    <t>gene17961-v1.0-hybrid</t>
  </si>
  <si>
    <t>gene18861-v1.0-hybrid</t>
  </si>
  <si>
    <t>gene19161-v1.0-hybrid</t>
  </si>
  <si>
    <t>gene20061-v1.0-hybrid</t>
  </si>
  <si>
    <t>gene20662-v1.0-hybrid</t>
  </si>
  <si>
    <t>gene20962-v1.0-hybrid</t>
  </si>
  <si>
    <t>gene21262-v1.0-hybrid</t>
  </si>
  <si>
    <t>gene22164-v1.0-hybrid</t>
  </si>
  <si>
    <t>gene22765-v1.0-hybrid</t>
  </si>
  <si>
    <t>gene23065-v1.0-hybrid</t>
  </si>
  <si>
    <t>gene23367-v1.0-hybrid</t>
  </si>
  <si>
    <t>gene23667-v1.0-hybrid</t>
  </si>
  <si>
    <t>gene23967-v1.0-hybrid</t>
  </si>
  <si>
    <t>gene24269-v1.0-hybrid</t>
  </si>
  <si>
    <t>gene24570-v1.0-hybrid</t>
  </si>
  <si>
    <t>gene24872-v1.0-hybrid</t>
  </si>
  <si>
    <t>gene25172-v1.0-hybrid</t>
  </si>
  <si>
    <t>gene25472-v1.0-hybrid</t>
  </si>
  <si>
    <t>gene25772-v1.0-hybrid</t>
  </si>
  <si>
    <t>gene26072-v1.0-hybrid</t>
  </si>
  <si>
    <t>gene26372-v1.0-hybrid</t>
  </si>
  <si>
    <t>gene26973-v1.0-hybrid</t>
  </si>
  <si>
    <t>gene27273-v1.0-hybrid</t>
  </si>
  <si>
    <t>gene27873-v1.0-hybrid</t>
  </si>
  <si>
    <t>gene28173-v1.0-hybrid</t>
  </si>
  <si>
    <t>gene28473-v1.0-hybrid</t>
  </si>
  <si>
    <t>gene28773-v1.0-hybrid</t>
  </si>
  <si>
    <t>gene29373-v1.0-hybrid</t>
  </si>
  <si>
    <t>gene29674-v1.0-hybrid</t>
  </si>
  <si>
    <t>gene29975-v1.0-hybrid</t>
  </si>
  <si>
    <t>gene30275-v1.0-hybrid</t>
  </si>
  <si>
    <t>gene30575-v1.0-hybrid</t>
  </si>
  <si>
    <t>gene30875-v1.0-hybrid</t>
  </si>
  <si>
    <t>gene31175-v1.0-hybrid</t>
  </si>
  <si>
    <t>gene31475-v1.0-hybrid</t>
  </si>
  <si>
    <t>gene31775-v1.0-hybrid</t>
  </si>
  <si>
    <t>gene32075-v1.0-hybrid</t>
  </si>
  <si>
    <t>gene32375-v1.0-hybrid</t>
  </si>
  <si>
    <t>gene33840-v1.0-hybrid</t>
  </si>
  <si>
    <t>gene34440-v1.0-hybrid</t>
  </si>
  <si>
    <t>gene34740-v1.0-hybrid</t>
  </si>
  <si>
    <t>gene00152-v1.0-hybrid</t>
  </si>
  <si>
    <t>gene00453-v1.0-hybrid</t>
  </si>
  <si>
    <t>gene00756-v1.0-hybrid</t>
  </si>
  <si>
    <t>gene01056-v1.0-hybrid</t>
  </si>
  <si>
    <t>gene01356-v1.0-hybrid</t>
  </si>
  <si>
    <t>gene01657-v1.0-hybrid</t>
  </si>
  <si>
    <t>gene01957-v1.0-hybrid</t>
  </si>
  <si>
    <t>gene02257-v1.0-hybrid</t>
  </si>
  <si>
    <t>gene02557-v1.0-hybrid</t>
  </si>
  <si>
    <t>gene03545-v1.0-hybrid</t>
  </si>
  <si>
    <t>gene03845-v1.0-hybrid</t>
  </si>
  <si>
    <t>gene04145-v1.0-hybrid</t>
  </si>
  <si>
    <t>gene04445-v1.0-hybrid</t>
  </si>
  <si>
    <t>gene04745-v1.0-hybrid</t>
  </si>
  <si>
    <t>gene05045-v1.0-hybrid</t>
  </si>
  <si>
    <t>gene05346-v1.0-hybrid</t>
  </si>
  <si>
    <t>gene05946-v1.0-hybrid</t>
  </si>
  <si>
    <t>gene06246-v1.0-hybrid</t>
  </si>
  <si>
    <t>gene06846-v1.0-hybrid</t>
  </si>
  <si>
    <t>gene07146-v1.0-hybrid</t>
  </si>
  <si>
    <t>gene07746-v1.0-hybrid</t>
  </si>
  <si>
    <t>gene08047-v1.0-hybrid</t>
  </si>
  <si>
    <t>gene08347-v1.0-hybrid</t>
  </si>
  <si>
    <t>gene08947-v1.0-hybrid</t>
  </si>
  <si>
    <t>gene09247-v1.0-hybrid</t>
  </si>
  <si>
    <t>gene09848-v1.0-hybrid</t>
  </si>
  <si>
    <t>gene10148-v1.0-hybrid</t>
  </si>
  <si>
    <t>gene10448-v1.0-hybrid</t>
  </si>
  <si>
    <t>gene10749-v1.0-hybrid</t>
  </si>
  <si>
    <t>gene11049-v1.0-hybrid</t>
  </si>
  <si>
    <t>gene11650-v1.0-hybrid</t>
  </si>
  <si>
    <t>gene12250-v1.0-hybrid</t>
  </si>
  <si>
    <t>gene12850-v1.0-hybrid</t>
  </si>
  <si>
    <t>gene13151-v1.0-hybrid</t>
  </si>
  <si>
    <t>gene13451-v1.0-hybrid</t>
  </si>
  <si>
    <t>gene13751-v1.0-hybrid</t>
  </si>
  <si>
    <t>gene14353-v1.0-hybrid</t>
  </si>
  <si>
    <t>gene15257-v1.0-hybrid</t>
  </si>
  <si>
    <t>gene15558-v1.0-hybrid</t>
  </si>
  <si>
    <t>gene15859-v1.0-hybrid</t>
  </si>
  <si>
    <t>gene16160-v1.0-hybrid</t>
  </si>
  <si>
    <t>gene16760-v1.0-hybrid</t>
  </si>
  <si>
    <t>gene17662-v1.0-hybrid</t>
  </si>
  <si>
    <t>gene18262-v1.0-hybrid</t>
  </si>
  <si>
    <t>gene18562-v1.0-hybrid</t>
  </si>
  <si>
    <t>gene18862-v1.0-hybrid</t>
  </si>
  <si>
    <t>gene19162-v1.0-hybrid</t>
  </si>
  <si>
    <t>gene19462-v1.0-hybrid</t>
  </si>
  <si>
    <t>gene19762-v1.0-hybrid</t>
  </si>
  <si>
    <t>gene20062-v1.0-hybrid</t>
  </si>
  <si>
    <t>gene20363-v1.0-hybrid</t>
  </si>
  <si>
    <t>gene20663-v1.0-hybrid</t>
  </si>
  <si>
    <t>gene20963-v1.0-hybrid</t>
  </si>
  <si>
    <t>gene21263-v1.0-hybrid</t>
  </si>
  <si>
    <t>gene22165-v1.0-hybrid</t>
  </si>
  <si>
    <t>gene22465-v1.0-hybrid</t>
  </si>
  <si>
    <t>gene22766-v1.0-hybrid</t>
  </si>
  <si>
    <t>gene23066-v1.0-hybrid</t>
  </si>
  <si>
    <t>gene23368-v1.0-hybrid</t>
  </si>
  <si>
    <t>gene23668-v1.0-hybrid</t>
  </si>
  <si>
    <t>gene23968-v1.0-hybrid</t>
  </si>
  <si>
    <t>gene24270-v1.0-hybrid</t>
  </si>
  <si>
    <t>gene24571-v1.0-hybrid</t>
  </si>
  <si>
    <t>gene25173-v1.0-hybrid</t>
  </si>
  <si>
    <t>gene25473-v1.0-hybrid</t>
  </si>
  <si>
    <t>gene25773-v1.0-hybrid</t>
  </si>
  <si>
    <t>gene26073-v1.0-hybrid</t>
  </si>
  <si>
    <t>gene26673-v1.0-hybrid</t>
  </si>
  <si>
    <t>gene28174-v1.0-hybrid</t>
  </si>
  <si>
    <t>gene28474-v1.0-hybrid</t>
  </si>
  <si>
    <t>gene28774-v1.0-hybrid</t>
  </si>
  <si>
    <t>gene29074-v1.0-hybrid</t>
  </si>
  <si>
    <t>gene29374-v1.0-hybrid</t>
  </si>
  <si>
    <t>gene29675-v1.0-hybrid</t>
  </si>
  <si>
    <t>gene30276-v1.0-hybrid</t>
  </si>
  <si>
    <t>gene30576-v1.0-hybrid</t>
  </si>
  <si>
    <t>gene31176-v1.0-hybrid</t>
  </si>
  <si>
    <t>gene31776-v1.0-hybrid</t>
  </si>
  <si>
    <t>gene32076-v1.0-hybrid</t>
  </si>
  <si>
    <t>gene32376-v1.0-hybrid</t>
  </si>
  <si>
    <t>gene32677-v1.0-hybrid</t>
  </si>
  <si>
    <t>gene33457-v1.0-hybrid</t>
  </si>
  <si>
    <t>gene34441-v1.0-hybrid</t>
  </si>
  <si>
    <t>gene34741-v1.0-hybrid</t>
  </si>
  <si>
    <t>gene00153-v1.0-hybrid</t>
  </si>
  <si>
    <t>gene00454-v1.0-hybrid</t>
  </si>
  <si>
    <t>gene00757-v1.0-hybrid</t>
  </si>
  <si>
    <t>gene01357-v1.0-hybrid</t>
  </si>
  <si>
    <t>gene01958-v1.0-hybrid</t>
  </si>
  <si>
    <t>gene02258-v1.0-hybrid</t>
  </si>
  <si>
    <t>gene02558-v1.0-hybrid</t>
  </si>
  <si>
    <t>gene02910-v1.0-hybrid</t>
  </si>
  <si>
    <t>gene03246-v1.0-hybrid</t>
  </si>
  <si>
    <t>gene03546-v1.0-hybrid</t>
  </si>
  <si>
    <t>gene03846-v1.0-hybrid</t>
  </si>
  <si>
    <t>gene04146-v1.0-hybrid</t>
  </si>
  <si>
    <t>gene04746-v1.0-hybrid</t>
  </si>
  <si>
    <t>gene05347-v1.0-hybrid</t>
  </si>
  <si>
    <t>gene05647-v1.0-hybrid</t>
  </si>
  <si>
    <t>gene05947-v1.0-hybrid</t>
  </si>
  <si>
    <t>gene06247-v1.0-hybrid</t>
  </si>
  <si>
    <t>gene06547-v1.0-hybrid</t>
  </si>
  <si>
    <t>gene07447-v1.0-hybrid</t>
  </si>
  <si>
    <t>gene07747-v1.0-hybrid</t>
  </si>
  <si>
    <t>gene08048-v1.0-hybrid</t>
  </si>
  <si>
    <t>gene08348-v1.0-hybrid</t>
  </si>
  <si>
    <t>gene08648-v1.0-hybrid</t>
  </si>
  <si>
    <t>gene08948-v1.0-hybrid</t>
  </si>
  <si>
    <t>gene09548-v1.0-hybrid</t>
  </si>
  <si>
    <t>gene10149-v1.0-hybrid</t>
  </si>
  <si>
    <t>gene10449-v1.0-hybrid</t>
  </si>
  <si>
    <t>gene10750-v1.0-hybrid</t>
  </si>
  <si>
    <t>gene11050-v1.0-hybrid</t>
  </si>
  <si>
    <t>gene11651-v1.0-hybrid</t>
  </si>
  <si>
    <t>gene11951-v1.0-hybrid</t>
  </si>
  <si>
    <t>gene12251-v1.0-hybrid</t>
  </si>
  <si>
    <t>gene12551-v1.0-hybrid</t>
  </si>
  <si>
    <t>gene12851-v1.0-hybrid</t>
  </si>
  <si>
    <t>gene13152-v1.0-hybrid</t>
  </si>
  <si>
    <t>gene13452-v1.0-hybrid</t>
  </si>
  <si>
    <t>gene14053-v1.0-hybrid</t>
  </si>
  <si>
    <t>gene14656-v1.0-hybrid</t>
  </si>
  <si>
    <t>gene14957-v1.0-hybrid</t>
  </si>
  <si>
    <t>gene15258-v1.0-hybrid</t>
  </si>
  <si>
    <t>gene15559-v1.0-hybrid</t>
  </si>
  <si>
    <t>gene15860-v1.0-hybrid</t>
  </si>
  <si>
    <t>gene16161-v1.0-hybrid</t>
  </si>
  <si>
    <t>gene16761-v1.0-hybrid</t>
  </si>
  <si>
    <t>gene17363-v1.0-hybrid</t>
  </si>
  <si>
    <t>gene17663-v1.0-hybrid</t>
  </si>
  <si>
    <t>gene18563-v1.0-hybrid</t>
  </si>
  <si>
    <t>gene18863-v1.0-hybrid</t>
  </si>
  <si>
    <t>gene19163-v1.0-hybrid</t>
  </si>
  <si>
    <t>gene19463-v1.0-hybrid</t>
  </si>
  <si>
    <t>gene19763-v1.0-hybrid</t>
  </si>
  <si>
    <t>gene20664-v1.0-hybrid</t>
  </si>
  <si>
    <t>gene20964-v1.0-hybrid</t>
  </si>
  <si>
    <t>gene21264-v1.0-hybrid</t>
  </si>
  <si>
    <t>gene21565-v1.0-hybrid</t>
  </si>
  <si>
    <t>gene21865-v1.0-hybrid</t>
  </si>
  <si>
    <t>gene22466-v1.0-hybrid</t>
  </si>
  <si>
    <t>gene22767-v1.0-hybrid</t>
  </si>
  <si>
    <t>gene23067-v1.0-hybrid</t>
  </si>
  <si>
    <t>gene23369-v1.0-hybrid</t>
  </si>
  <si>
    <t>gene23969-v1.0-hybrid</t>
  </si>
  <si>
    <t>gene24271-v1.0-hybrid</t>
  </si>
  <si>
    <t>gene24572-v1.0-hybrid</t>
  </si>
  <si>
    <t>gene24874-v1.0-hybrid</t>
  </si>
  <si>
    <t>gene25174-v1.0-hybrid</t>
  </si>
  <si>
    <t>gene25474-v1.0-hybrid</t>
  </si>
  <si>
    <t>gene25774-v1.0-hybrid</t>
  </si>
  <si>
    <t>gene26074-v1.0-hybrid</t>
  </si>
  <si>
    <t>gene26674-v1.0-hybrid</t>
  </si>
  <si>
    <t>gene26975-v1.0-hybrid</t>
  </si>
  <si>
    <t>gene27575-v1.0-hybrid</t>
  </si>
  <si>
    <t>gene27875-v1.0-hybrid</t>
  </si>
  <si>
    <t>gene28175-v1.0-hybrid</t>
  </si>
  <si>
    <t>gene28475-v1.0-hybrid</t>
  </si>
  <si>
    <t>gene28775-v1.0-hybrid</t>
  </si>
  <si>
    <t>gene29075-v1.0-hybrid</t>
  </si>
  <si>
    <t>gene29676-v1.0-hybrid</t>
  </si>
  <si>
    <t>gene29977-v1.0-hybrid</t>
  </si>
  <si>
    <t>gene30877-v1.0-hybrid</t>
  </si>
  <si>
    <t>gene31177-v1.0-hybrid</t>
  </si>
  <si>
    <t>gene31477-v1.0-hybrid</t>
  </si>
  <si>
    <t>gene31777-v1.0-hybrid</t>
  </si>
  <si>
    <t>gene32377-v1.0-hybrid</t>
  </si>
  <si>
    <t>gene32678-v1.0-hybrid</t>
  </si>
  <si>
    <t>gene33842-v1.0-hybrid</t>
  </si>
  <si>
    <t>gene34442-v1.0-hybrid</t>
  </si>
  <si>
    <t>gene34742-v1.0-hybrid</t>
  </si>
  <si>
    <t>gene00154-v1.0-hybrid</t>
  </si>
  <si>
    <t>gene00758-v1.0-hybrid</t>
  </si>
  <si>
    <t>gene01058-v1.0-hybrid</t>
  </si>
  <si>
    <t>gene01358-v1.0-hybrid</t>
  </si>
  <si>
    <t>gene01659-v1.0-hybrid</t>
  </si>
  <si>
    <t>gene01959-v1.0-hybrid</t>
  </si>
  <si>
    <t>gene02259-v1.0-hybrid</t>
  </si>
  <si>
    <t>gene02559-v1.0-hybrid</t>
  </si>
  <si>
    <t>gene03547-v1.0-hybrid</t>
  </si>
  <si>
    <t>gene03847-v1.0-hybrid</t>
  </si>
  <si>
    <t>gene04147-v1.0-hybrid</t>
  </si>
  <si>
    <t>gene04447-v1.0-hybrid</t>
  </si>
  <si>
    <t>gene04747-v1.0-hybrid</t>
  </si>
  <si>
    <t>gene05047-v1.0-hybrid</t>
  </si>
  <si>
    <t>gene05348-v1.0-hybrid</t>
  </si>
  <si>
    <t>gene05648-v1.0-hybrid</t>
  </si>
  <si>
    <t>gene06248-v1.0-hybrid</t>
  </si>
  <si>
    <t>gene07148-v1.0-hybrid</t>
  </si>
  <si>
    <t>gene07448-v1.0-hybrid</t>
  </si>
  <si>
    <t>gene07748-v1.0-hybrid</t>
  </si>
  <si>
    <t>gene08349-v1.0-hybrid</t>
  </si>
  <si>
    <t>gene08649-v1.0-hybrid</t>
  </si>
  <si>
    <t>gene08949-v1.0-hybrid</t>
  </si>
  <si>
    <t>gene09249-v1.0-hybrid</t>
  </si>
  <si>
    <t>gene09549-v1.0-hybrid</t>
  </si>
  <si>
    <t>gene10150-v1.0-hybrid</t>
  </si>
  <si>
    <t>gene10450-v1.0-hybrid</t>
  </si>
  <si>
    <t>gene11051-v1.0-hybrid</t>
  </si>
  <si>
    <t>gene11352-v1.0-hybrid</t>
  </si>
  <si>
    <t>gene11952-v1.0-hybrid</t>
  </si>
  <si>
    <t>gene12252-v1.0-hybrid</t>
  </si>
  <si>
    <t>gene12552-v1.0-hybrid</t>
  </si>
  <si>
    <t>gene12852-v1.0-hybrid</t>
  </si>
  <si>
    <t>gene13453-v1.0-hybrid</t>
  </si>
  <si>
    <t>gene14054-v1.0-hybrid</t>
  </si>
  <si>
    <t>gene14355-v1.0-hybrid</t>
  </si>
  <si>
    <t>gene14958-v1.0-hybrid</t>
  </si>
  <si>
    <t>gene15560-v1.0-hybrid</t>
  </si>
  <si>
    <t>gene16162-v1.0-hybrid</t>
  </si>
  <si>
    <t>gene16762-v1.0-hybrid</t>
  </si>
  <si>
    <t>gene17064-v1.0-hybrid</t>
  </si>
  <si>
    <t>gene17664-v1.0-hybrid</t>
  </si>
  <si>
    <t>gene18264-v1.0-hybrid</t>
  </si>
  <si>
    <t>gene18564-v1.0-hybrid</t>
  </si>
  <si>
    <t>gene18864-v1.0-hybrid</t>
  </si>
  <si>
    <t>gene19164-v1.0-hybrid</t>
  </si>
  <si>
    <t>gene19464-v1.0-hybrid</t>
  </si>
  <si>
    <t>gene20064-v1.0-hybrid</t>
  </si>
  <si>
    <t>gene20365-v1.0-hybrid</t>
  </si>
  <si>
    <t>gene20665-v1.0-hybrid</t>
  </si>
  <si>
    <t>gene20965-v1.0-hybrid</t>
  </si>
  <si>
    <t>gene21265-v1.0-hybrid</t>
  </si>
  <si>
    <t>gene21866-v1.0-hybrid</t>
  </si>
  <si>
    <t>gene22167-v1.0-hybrid</t>
  </si>
  <si>
    <t>gene22467-v1.0-hybrid</t>
  </si>
  <si>
    <t>gene22768-v1.0-hybrid</t>
  </si>
  <si>
    <t>gene23068-v1.0-hybrid</t>
  </si>
  <si>
    <t>gene23370-v1.0-hybrid</t>
  </si>
  <si>
    <t>gene23670-v1.0-hybrid</t>
  </si>
  <si>
    <t>gene24272-v1.0-hybrid</t>
  </si>
  <si>
    <t>gene24875-v1.0-hybrid</t>
  </si>
  <si>
    <t>gene25175-v1.0-hybrid</t>
  </si>
  <si>
    <t>gene25775-v1.0-hybrid</t>
  </si>
  <si>
    <t>gene26075-v1.0-hybrid</t>
  </si>
  <si>
    <t>gene26375-v1.0-hybrid</t>
  </si>
  <si>
    <t>gene26976-v1.0-hybrid</t>
  </si>
  <si>
    <t>gene27576-v1.0-hybrid</t>
  </si>
  <si>
    <t>gene28176-v1.0-hybrid</t>
  </si>
  <si>
    <t>gene28476-v1.0-hybrid</t>
  </si>
  <si>
    <t>gene29076-v1.0-hybrid</t>
  </si>
  <si>
    <t>gene29677-v1.0-hybrid</t>
  </si>
  <si>
    <t>gene29978-v1.0-hybrid</t>
  </si>
  <si>
    <t>gene30278-v1.0-hybrid</t>
  </si>
  <si>
    <t>gene30578-v1.0-hybrid</t>
  </si>
  <si>
    <t>gene30878-v1.0-hybrid</t>
  </si>
  <si>
    <t>gene31178-v1.0-hybrid</t>
  </si>
  <si>
    <t>gene31478-v1.0-hybrid</t>
  </si>
  <si>
    <t>gene31778-v1.0-hybrid</t>
  </si>
  <si>
    <t>gene32078-v1.0-hybrid</t>
  </si>
  <si>
    <t>gene32378-v1.0-hybrid</t>
  </si>
  <si>
    <t>gene32679-v1.0-hybrid</t>
  </si>
  <si>
    <t>gene33843-v1.0-hybrid</t>
  </si>
  <si>
    <t>gene34143-v1.0-hybrid</t>
  </si>
  <si>
    <t>gene34443-v1.0-hybrid</t>
  </si>
  <si>
    <t>gene34743-v1.0-hybrid</t>
  </si>
  <si>
    <t>gene00155-v1.0-hybrid</t>
  </si>
  <si>
    <t>gene00456-v1.0-hybrid</t>
  </si>
  <si>
    <t>gene00759-v1.0-hybrid</t>
  </si>
  <si>
    <t>gene01059-v1.0-hybrid</t>
  </si>
  <si>
    <t>gene01359-v1.0-hybrid</t>
  </si>
  <si>
    <t>gene01660-v1.0-hybrid</t>
  </si>
  <si>
    <t>gene01960-v1.0-hybrid</t>
  </si>
  <si>
    <t>gene02260-v1.0-hybrid</t>
  </si>
  <si>
    <t>gene02560-v1.0-hybrid</t>
  </si>
  <si>
    <t>gene03548-v1.0-hybrid</t>
  </si>
  <si>
    <t>gene03848-v1.0-hybrid</t>
  </si>
  <si>
    <t>gene04148-v1.0-hybrid</t>
  </si>
  <si>
    <t>gene04748-v1.0-hybrid</t>
  </si>
  <si>
    <t>gene05048-v1.0-hybrid</t>
  </si>
  <si>
    <t>gene05349-v1.0-hybrid</t>
  </si>
  <si>
    <t>gene05649-v1.0-hybrid</t>
  </si>
  <si>
    <t>gene05949-v1.0-hybrid</t>
  </si>
  <si>
    <t>gene06249-v1.0-hybrid</t>
  </si>
  <si>
    <t>gene06549-v1.0-hybrid</t>
  </si>
  <si>
    <t>gene06849-v1.0-hybrid</t>
  </si>
  <si>
    <t>gene07149-v1.0-hybrid</t>
  </si>
  <si>
    <t>gene07449-v1.0-hybrid</t>
  </si>
  <si>
    <t>gene07749-v1.0-hybrid</t>
  </si>
  <si>
    <t>gene08350-v1.0-hybrid</t>
  </si>
  <si>
    <t>gene08650-v1.0-hybrid</t>
  </si>
  <si>
    <t>gene08950-v1.0-hybrid</t>
  </si>
  <si>
    <t>gene09250-v1.0-hybrid</t>
  </si>
  <si>
    <t>gene09550-v1.0-hybrid</t>
  </si>
  <si>
    <t>gene09851-v1.0-hybrid</t>
  </si>
  <si>
    <t>gene10151-v1.0-hybrid</t>
  </si>
  <si>
    <t>gene10451-v1.0-hybrid</t>
  </si>
  <si>
    <t>gene10752-v1.0-hybrid</t>
  </si>
  <si>
    <t>gene11353-v1.0-hybrid</t>
  </si>
  <si>
    <t>gene11953-v1.0-hybrid</t>
  </si>
  <si>
    <t>gene12253-v1.0-hybrid</t>
  </si>
  <si>
    <t>gene12553-v1.0-hybrid</t>
  </si>
  <si>
    <t>gene12853-v1.0-hybrid</t>
  </si>
  <si>
    <t>gene13454-v1.0-hybrid</t>
  </si>
  <si>
    <t>gene13754-v1.0-hybrid</t>
  </si>
  <si>
    <t>gene14356-v1.0-hybrid</t>
  </si>
  <si>
    <t>gene14658-v1.0-hybrid</t>
  </si>
  <si>
    <t>gene14959-v1.0-hybrid</t>
  </si>
  <si>
    <t>gene15561-v1.0-hybrid</t>
  </si>
  <si>
    <t>gene15862-v1.0-hybrid</t>
  </si>
  <si>
    <t>gene16463-v1.0-hybrid</t>
  </si>
  <si>
    <t>gene16763-v1.0-hybrid</t>
  </si>
  <si>
    <t>gene17365-v1.0-hybrid</t>
  </si>
  <si>
    <t>gene17665-v1.0-hybrid</t>
  </si>
  <si>
    <t>gene18265-v1.0-hybrid</t>
  </si>
  <si>
    <t>gene18565-v1.0-hybrid</t>
  </si>
  <si>
    <t>gene18865-v1.0-hybrid</t>
  </si>
  <si>
    <t>gene19165-v1.0-hybrid</t>
  </si>
  <si>
    <t>gene19465-v1.0-hybrid</t>
  </si>
  <si>
    <t>gene19765-v1.0-hybrid</t>
  </si>
  <si>
    <t>gene20065-v1.0-hybrid</t>
  </si>
  <si>
    <t>gene20366-v1.0-hybrid</t>
  </si>
  <si>
    <t>gene20666-v1.0-hybrid</t>
  </si>
  <si>
    <t>gene20966-v1.0-hybrid</t>
  </si>
  <si>
    <t>gene21266-v1.0-hybrid</t>
  </si>
  <si>
    <t>gene21567-v1.0-hybrid</t>
  </si>
  <si>
    <t>gene21867-v1.0-hybrid</t>
  </si>
  <si>
    <t>gene22168-v1.0-hybrid</t>
  </si>
  <si>
    <t>gene22468-v1.0-hybrid</t>
  </si>
  <si>
    <t>gene22769-v1.0-hybrid</t>
  </si>
  <si>
    <t>gene23069-v1.0-hybrid</t>
  </si>
  <si>
    <t>gene23371-v1.0-hybrid</t>
  </si>
  <si>
    <t>gene23671-v1.0-hybrid</t>
  </si>
  <si>
    <t>gene23971-v1.0-hybrid</t>
  </si>
  <si>
    <t>gene24574-v1.0-hybrid</t>
  </si>
  <si>
    <t>gene24876-v1.0-hybrid</t>
  </si>
  <si>
    <t>gene25176-v1.0-hybrid</t>
  </si>
  <si>
    <t>gene25776-v1.0-hybrid</t>
  </si>
  <si>
    <t>gene26076-v1.0-hybrid</t>
  </si>
  <si>
    <t>gene26376-v1.0-hybrid</t>
  </si>
  <si>
    <t>gene26977-v1.0-hybrid</t>
  </si>
  <si>
    <t>gene27277-v1.0-hybrid</t>
  </si>
  <si>
    <t>gene27577-v1.0-hybrid</t>
  </si>
  <si>
    <t>gene28177-v1.0-hybrid</t>
  </si>
  <si>
    <t>gene28477-v1.0-hybrid</t>
  </si>
  <si>
    <t>gene28777-v1.0-hybrid</t>
  </si>
  <si>
    <t>gene29077-v1.0-hybrid</t>
  </si>
  <si>
    <t>gene29678-v1.0-hybrid</t>
  </si>
  <si>
    <t>gene29979-v1.0-hybrid</t>
  </si>
  <si>
    <t>gene30279-v1.0-hybrid</t>
  </si>
  <si>
    <t>gene30579-v1.0-hybrid</t>
  </si>
  <si>
    <t>gene30879-v1.0-hybrid</t>
  </si>
  <si>
    <t>gene31179-v1.0-hybrid</t>
  </si>
  <si>
    <t>gene31479-v1.0-hybrid</t>
  </si>
  <si>
    <t>gene31779-v1.0-hybrid</t>
  </si>
  <si>
    <t>gene32079-v1.0-hybrid</t>
  </si>
  <si>
    <t>gene32680-v1.0-hybrid</t>
  </si>
  <si>
    <t>gene33461-v1.0-hybrid</t>
  </si>
  <si>
    <t>gene34444-v1.0-hybrid</t>
  </si>
  <si>
    <t>gene00156-v1.0-hybrid</t>
  </si>
  <si>
    <t>gene00457-v1.0-hybrid</t>
  </si>
  <si>
    <t>gene00760-v1.0-hybrid</t>
  </si>
  <si>
    <t>gene01060-v1.0-hybrid</t>
  </si>
  <si>
    <t>gene01360-v1.0-hybrid</t>
  </si>
  <si>
    <t>gene01661-v1.0-hybrid</t>
  </si>
  <si>
    <t>gene01961-v1.0-hybrid</t>
  </si>
  <si>
    <t>gene02261-v1.0-hybrid</t>
  </si>
  <si>
    <t>gene02561-v1.0-hybrid</t>
  </si>
  <si>
    <t>gene02914-v1.0-hybrid</t>
  </si>
  <si>
    <t>gene03249-v1.0-hybrid</t>
  </si>
  <si>
    <t>gene03549-v1.0-hybrid</t>
  </si>
  <si>
    <t>gene03849-v1.0-hybrid</t>
  </si>
  <si>
    <t>gene04149-v1.0-hybrid</t>
  </si>
  <si>
    <t>gene04449-v1.0-hybrid</t>
  </si>
  <si>
    <t>gene04749-v1.0-hybrid</t>
  </si>
  <si>
    <t>gene05350-v1.0-hybrid</t>
  </si>
  <si>
    <t>gene05650-v1.0-hybrid</t>
  </si>
  <si>
    <t>gene05950-v1.0-hybrid</t>
  </si>
  <si>
    <t>gene06250-v1.0-hybrid</t>
  </si>
  <si>
    <t>gene06850-v1.0-hybrid</t>
  </si>
  <si>
    <t>gene07150-v1.0-hybrid</t>
  </si>
  <si>
    <t>gene08051-v1.0-hybrid</t>
  </si>
  <si>
    <t>gene08351-v1.0-hybrid</t>
  </si>
  <si>
    <t>gene08651-v1.0-hybrid</t>
  </si>
  <si>
    <t>gene09551-v1.0-hybrid</t>
  </si>
  <si>
    <t>gene09852-v1.0-hybrid</t>
  </si>
  <si>
    <t>gene10152-v1.0-hybrid</t>
  </si>
  <si>
    <t>gene10452-v1.0-hybrid</t>
  </si>
  <si>
    <t>gene11053-v1.0-hybrid</t>
  </si>
  <si>
    <t>gene11354-v1.0-hybrid</t>
  </si>
  <si>
    <t>gene11654-v1.0-hybrid</t>
  </si>
  <si>
    <t>gene11954-v1.0-hybrid</t>
  </si>
  <si>
    <t>gene12254-v1.0-hybrid</t>
  </si>
  <si>
    <t>gene12854-v1.0-hybrid</t>
  </si>
  <si>
    <t>gene13155-v1.0-hybrid</t>
  </si>
  <si>
    <t>gene13455-v1.0-hybrid</t>
  </si>
  <si>
    <t>gene14357-v1.0-hybrid</t>
  </si>
  <si>
    <t>gene14659-v1.0-hybrid</t>
  </si>
  <si>
    <t>gene14960-v1.0-hybrid</t>
  </si>
  <si>
    <t>gene15261-v1.0-hybrid</t>
  </si>
  <si>
    <t>gene15562-v1.0-hybrid</t>
  </si>
  <si>
    <t>gene15863-v1.0-hybrid</t>
  </si>
  <si>
    <t>gene16164-v1.0-hybrid</t>
  </si>
  <si>
    <t>gene16464-v1.0-hybrid</t>
  </si>
  <si>
    <t>gene17066-v1.0-hybrid</t>
  </si>
  <si>
    <t>gene17366-v1.0-hybrid</t>
  </si>
  <si>
    <t>gene17966-v1.0-hybrid</t>
  </si>
  <si>
    <t>gene18266-v1.0-hybrid</t>
  </si>
  <si>
    <t>gene18566-v1.0-hybrid</t>
  </si>
  <si>
    <t>gene18866-v1.0-hybrid</t>
  </si>
  <si>
    <t>gene19166-v1.0-hybrid</t>
  </si>
  <si>
    <t>gene19466-v1.0-hybrid</t>
  </si>
  <si>
    <t>gene19766-v1.0-hybrid</t>
  </si>
  <si>
    <t>gene20066-v1.0-hybrid</t>
  </si>
  <si>
    <t>gene20367-v1.0-hybrid</t>
  </si>
  <si>
    <t>gene21267-v1.0-hybrid</t>
  </si>
  <si>
    <t>gene21568-v1.0-hybrid</t>
  </si>
  <si>
    <t>gene21868-v1.0-hybrid</t>
  </si>
  <si>
    <t>gene22169-v1.0-hybrid</t>
  </si>
  <si>
    <t>gene22770-v1.0-hybrid</t>
  </si>
  <si>
    <t>gene23070-v1.0-hybrid</t>
  </si>
  <si>
    <t>gene23372-v1.0-hybrid</t>
  </si>
  <si>
    <t>gene23672-v1.0-hybrid</t>
  </si>
  <si>
    <t>gene24274-v1.0-hybrid</t>
  </si>
  <si>
    <t>gene24877-v1.0-hybrid</t>
  </si>
  <si>
    <t>gene25177-v1.0-hybrid</t>
  </si>
  <si>
    <t>gene25477-v1.0-hybrid</t>
  </si>
  <si>
    <t>gene25777-v1.0-hybrid</t>
  </si>
  <si>
    <t>gene26077-v1.0-hybrid</t>
  </si>
  <si>
    <t>gene26377-v1.0-hybrid</t>
  </si>
  <si>
    <t>gene26978-v1.0-hybrid</t>
  </si>
  <si>
    <t>gene27578-v1.0-hybrid</t>
  </si>
  <si>
    <t>gene27878-v1.0-hybrid</t>
  </si>
  <si>
    <t>gene28178-v1.0-hybrid</t>
  </si>
  <si>
    <t>gene28478-v1.0-hybrid</t>
  </si>
  <si>
    <t>gene28778-v1.0-hybrid</t>
  </si>
  <si>
    <t>gene29679-v1.0-hybrid</t>
  </si>
  <si>
    <t>gene29980-v1.0-hybrid</t>
  </si>
  <si>
    <t>gene30280-v1.0-hybrid</t>
  </si>
  <si>
    <t>gene30580-v1.0-hybrid</t>
  </si>
  <si>
    <t>gene30880-v1.0-hybrid</t>
  </si>
  <si>
    <t>gene31180-v1.0-hybrid</t>
  </si>
  <si>
    <t>gene31780-v1.0-hybrid</t>
  </si>
  <si>
    <t>gene32080-v1.0-hybrid</t>
  </si>
  <si>
    <t>gene32380-v1.0-hybrid</t>
  </si>
  <si>
    <t>gene33462-v1.0-hybrid</t>
  </si>
  <si>
    <t>gene34145-v1.0-hybrid</t>
  </si>
  <si>
    <t>gene34445-v1.0-hybrid</t>
  </si>
  <si>
    <t>gene00157-v1.0-hybrid</t>
  </si>
  <si>
    <t>gene00761-v1.0-hybrid</t>
  </si>
  <si>
    <t>gene01061-v1.0-hybrid</t>
  </si>
  <si>
    <t>gene01361-v1.0-hybrid</t>
  </si>
  <si>
    <t>gene01662-v1.0-hybrid</t>
  </si>
  <si>
    <t>gene02262-v1.0-hybrid</t>
  </si>
  <si>
    <t>gene02562-v1.0-hybrid</t>
  </si>
  <si>
    <t>gene02917-v1.0-hybrid</t>
  </si>
  <si>
    <t>gene03550-v1.0-hybrid</t>
  </si>
  <si>
    <t>gene03850-v1.0-hybrid</t>
  </si>
  <si>
    <t>gene04150-v1.0-hybrid</t>
  </si>
  <si>
    <t>gene04450-v1.0-hybrid</t>
  </si>
  <si>
    <t>gene04750-v1.0-hybrid</t>
  </si>
  <si>
    <t>gene05050-v1.0-hybrid</t>
  </si>
  <si>
    <t>gene05351-v1.0-hybrid</t>
  </si>
  <si>
    <t>gene05651-v1.0-hybrid</t>
  </si>
  <si>
    <t>gene05951-v1.0-hybrid</t>
  </si>
  <si>
    <t>gene06251-v1.0-hybrid</t>
  </si>
  <si>
    <t>gene06551-v1.0-hybrid</t>
  </si>
  <si>
    <t>gene06851-v1.0-hybrid</t>
  </si>
  <si>
    <t>gene07151-v1.0-hybrid</t>
  </si>
  <si>
    <t>gene08052-v1.0-hybrid</t>
  </si>
  <si>
    <t>gene08352-v1.0-hybrid</t>
  </si>
  <si>
    <t>gene08652-v1.0-hybrid</t>
  </si>
  <si>
    <t>gene08952-v1.0-hybrid</t>
  </si>
  <si>
    <t>gene09252-v1.0-hybrid</t>
  </si>
  <si>
    <t>gene10153-v1.0-hybrid</t>
  </si>
  <si>
    <t>gene10453-v1.0-hybrid</t>
  </si>
  <si>
    <t>gene10754-v1.0-hybrid</t>
  </si>
  <si>
    <t>gene11054-v1.0-hybrid</t>
  </si>
  <si>
    <t>gene11355-v1.0-hybrid</t>
  </si>
  <si>
    <t>gene11655-v1.0-hybrid</t>
  </si>
  <si>
    <t>gene12555-v1.0-hybrid</t>
  </si>
  <si>
    <t>gene12855-v1.0-hybrid</t>
  </si>
  <si>
    <t>gene13156-v1.0-hybrid</t>
  </si>
  <si>
    <t>gene13456-v1.0-hybrid</t>
  </si>
  <si>
    <t>gene14660-v1.0-hybrid</t>
  </si>
  <si>
    <t>gene14961-v1.0-hybrid</t>
  </si>
  <si>
    <t>gene15563-v1.0-hybrid</t>
  </si>
  <si>
    <t>gene15864-v1.0-hybrid</t>
  </si>
  <si>
    <t>gene16465-v1.0-hybrid</t>
  </si>
  <si>
    <t>gene16765-v1.0-hybrid</t>
  </si>
  <si>
    <t>gene17367-v1.0-hybrid</t>
  </si>
  <si>
    <t>gene17967-v1.0-hybrid</t>
  </si>
  <si>
    <t>gene18567-v1.0-hybrid</t>
  </si>
  <si>
    <t>gene18867-v1.0-hybrid</t>
  </si>
  <si>
    <t>gene19767-v1.0-hybrid</t>
  </si>
  <si>
    <t>gene20067-v1.0-hybrid</t>
  </si>
  <si>
    <t>gene20668-v1.0-hybrid</t>
  </si>
  <si>
    <t>gene20968-v1.0-hybrid</t>
  </si>
  <si>
    <t>gene21268-v1.0-hybrid</t>
  </si>
  <si>
    <t>gene21869-v1.0-hybrid</t>
  </si>
  <si>
    <t>gene22170-v1.0-hybrid</t>
  </si>
  <si>
    <t>gene22470-v1.0-hybrid</t>
  </si>
  <si>
    <t>gene23071-v1.0-hybrid</t>
  </si>
  <si>
    <t>gene23373-v1.0-hybrid</t>
  </si>
  <si>
    <t>gene23973-v1.0-hybrid</t>
  </si>
  <si>
    <t>gene24275-v1.0-hybrid</t>
  </si>
  <si>
    <t>gene25178-v1.0-hybrid</t>
  </si>
  <si>
    <t>gene25478-v1.0-hybrid</t>
  </si>
  <si>
    <t>gene25778-v1.0-hybrid</t>
  </si>
  <si>
    <t>gene26378-v1.0-hybrid</t>
  </si>
  <si>
    <t>gene26678-v1.0-hybrid</t>
  </si>
  <si>
    <t>gene26979-v1.0-hybrid</t>
  </si>
  <si>
    <t>gene27279-v1.0-hybrid</t>
  </si>
  <si>
    <t>gene27579-v1.0-hybrid</t>
  </si>
  <si>
    <t>gene27879-v1.0-hybrid</t>
  </si>
  <si>
    <t>gene28179-v1.0-hybrid</t>
  </si>
  <si>
    <t>gene28479-v1.0-hybrid</t>
  </si>
  <si>
    <t>gene28779-v1.0-hybrid</t>
  </si>
  <si>
    <t>gene29079-v1.0-hybrid</t>
  </si>
  <si>
    <t>gene29379-v1.0-hybrid</t>
  </si>
  <si>
    <t>gene29680-v1.0-hybrid</t>
  </si>
  <si>
    <t>gene29981-v1.0-hybrid</t>
  </si>
  <si>
    <t>gene30581-v1.0-hybrid</t>
  </si>
  <si>
    <t>gene30881-v1.0-hybrid</t>
  </si>
  <si>
    <t>gene31181-v1.0-hybrid</t>
  </si>
  <si>
    <t>gene31481-v1.0-hybrid</t>
  </si>
  <si>
    <t>gene32081-v1.0-hybrid</t>
  </si>
  <si>
    <t>gene32381-v1.0-hybrid</t>
  </si>
  <si>
    <t>gene32682-v1.0-hybrid</t>
  </si>
  <si>
    <t>gene33463-v1.0-hybrid</t>
  </si>
  <si>
    <t>gene34446-v1.0-hybrid</t>
  </si>
  <si>
    <t>gene35046-v1.0-hybrid</t>
  </si>
  <si>
    <t>gene00459-v1.0-hybrid</t>
  </si>
  <si>
    <t>gene01062-v1.0-hybrid</t>
  </si>
  <si>
    <t>gene01362-v1.0-hybrid</t>
  </si>
  <si>
    <t>gene01663-v1.0-hybrid</t>
  </si>
  <si>
    <t>gene01963-v1.0-hybrid</t>
  </si>
  <si>
    <t>gene02263-v1.0-hybrid</t>
  </si>
  <si>
    <t>gene02563-v1.0-hybrid</t>
  </si>
  <si>
    <t>gene02918-v1.0-hybrid</t>
  </si>
  <si>
    <t>gene03251-v1.0-hybrid</t>
  </si>
  <si>
    <t>gene03551-v1.0-hybrid</t>
  </si>
  <si>
    <t>gene03851-v1.0-hybrid</t>
  </si>
  <si>
    <t>gene04151-v1.0-hybrid</t>
  </si>
  <si>
    <t>gene04451-v1.0-hybrid</t>
  </si>
  <si>
    <t>gene04751-v1.0-hybrid</t>
  </si>
  <si>
    <t>gene05352-v1.0-hybrid</t>
  </si>
  <si>
    <t>gene05652-v1.0-hybrid</t>
  </si>
  <si>
    <t>gene06252-v1.0-hybrid</t>
  </si>
  <si>
    <t>gene07152-v1.0-hybrid</t>
  </si>
  <si>
    <t>gene07452-v1.0-hybrid</t>
  </si>
  <si>
    <t>gene07753-v1.0-hybrid</t>
  </si>
  <si>
    <t>gene08053-v1.0-hybrid</t>
  </si>
  <si>
    <t>gene08353-v1.0-hybrid</t>
  </si>
  <si>
    <t>gene08653-v1.0-hybrid</t>
  </si>
  <si>
    <t>gene08953-v1.0-hybrid</t>
  </si>
  <si>
    <t>gene09553-v1.0-hybrid</t>
  </si>
  <si>
    <t>gene09854-v1.0-hybrid</t>
  </si>
  <si>
    <t>gene10755-v1.0-hybrid</t>
  </si>
  <si>
    <t>gene11055-v1.0-hybrid</t>
  </si>
  <si>
    <t>gene11356-v1.0-hybrid</t>
  </si>
  <si>
    <t>gene11656-v1.0-hybrid</t>
  </si>
  <si>
    <t>gene11956-v1.0-hybrid</t>
  </si>
  <si>
    <t>gene12556-v1.0-hybrid</t>
  </si>
  <si>
    <t>gene12856-v1.0-hybrid</t>
  </si>
  <si>
    <t>gene13157-v1.0-hybrid</t>
  </si>
  <si>
    <t>gene13457-v1.0-hybrid</t>
  </si>
  <si>
    <t>gene14058-v1.0-hybrid</t>
  </si>
  <si>
    <t>gene14661-v1.0-hybrid</t>
  </si>
  <si>
    <t>gene14962-v1.0-hybrid</t>
  </si>
  <si>
    <t>gene15263-v1.0-hybrid</t>
  </si>
  <si>
    <t>gene15564-v1.0-hybrid</t>
  </si>
  <si>
    <t>gene16166-v1.0-hybrid</t>
  </si>
  <si>
    <t>gene17068-v1.0-hybrid</t>
  </si>
  <si>
    <t>gene17368-v1.0-hybrid</t>
  </si>
  <si>
    <t>gene17968-v1.0-hybrid</t>
  </si>
  <si>
    <t>gene18568-v1.0-hybrid</t>
  </si>
  <si>
    <t>gene18868-v1.0-hybrid</t>
  </si>
  <si>
    <t>gene19168-v1.0-hybrid</t>
  </si>
  <si>
    <t>gene19468-v1.0-hybrid</t>
  </si>
  <si>
    <t>gene19768-v1.0-hybrid</t>
  </si>
  <si>
    <t>gene20068-v1.0-hybrid</t>
  </si>
  <si>
    <t>gene20369-v1.0-hybrid</t>
  </si>
  <si>
    <t>gene20669-v1.0-hybrid</t>
  </si>
  <si>
    <t>gene20969-v1.0-hybrid</t>
  </si>
  <si>
    <t>gene21269-v1.0-hybrid</t>
  </si>
  <si>
    <t>gene21570-v1.0-hybrid</t>
  </si>
  <si>
    <t>gene21870-v1.0-hybrid</t>
  </si>
  <si>
    <t>gene22471-v1.0-hybrid</t>
  </si>
  <si>
    <t>gene22772-v1.0-hybrid</t>
  </si>
  <si>
    <t>gene23072-v1.0-hybrid</t>
  </si>
  <si>
    <t>gene23374-v1.0-hybrid</t>
  </si>
  <si>
    <t>gene23974-v1.0-hybrid</t>
  </si>
  <si>
    <t>gene24276-v1.0-hybrid</t>
  </si>
  <si>
    <t>gene24577-v1.0-hybrid</t>
  </si>
  <si>
    <t>gene24879-v1.0-hybrid</t>
  </si>
  <si>
    <t>gene25179-v1.0-hybrid</t>
  </si>
  <si>
    <t>gene25779-v1.0-hybrid</t>
  </si>
  <si>
    <t>gene26079-v1.0-hybrid</t>
  </si>
  <si>
    <t>gene26379-v1.0-hybrid</t>
  </si>
  <si>
    <t>gene26980-v1.0-hybrid</t>
  </si>
  <si>
    <t>gene27280-v1.0-hybrid</t>
  </si>
  <si>
    <t>gene27880-v1.0-hybrid</t>
  </si>
  <si>
    <t>gene28480-v1.0-hybrid</t>
  </si>
  <si>
    <t>gene28780-v1.0-hybrid</t>
  </si>
  <si>
    <t>gene29080-v1.0-hybrid</t>
  </si>
  <si>
    <t>gene29380-v1.0-hybrid</t>
  </si>
  <si>
    <t>gene29681-v1.0-hybrid</t>
  </si>
  <si>
    <t>gene30282-v1.0-hybrid</t>
  </si>
  <si>
    <t>gene30582-v1.0-hybrid</t>
  </si>
  <si>
    <t>gene30882-v1.0-hybrid</t>
  </si>
  <si>
    <t>gene31182-v1.0-hybrid</t>
  </si>
  <si>
    <t>gene31482-v1.0-hybrid</t>
  </si>
  <si>
    <t>gene31782-v1.0-hybrid</t>
  </si>
  <si>
    <t>gene32082-v1.0-hybrid</t>
  </si>
  <si>
    <t>gene32382-v1.0-hybrid</t>
  </si>
  <si>
    <t>gene32683-v1.0-hybrid</t>
  </si>
  <si>
    <t>gene34147-v1.0-hybrid</t>
  </si>
  <si>
    <t>gene34447-v1.0-hybrid</t>
  </si>
  <si>
    <t>gene35047-v1.0-hybrid</t>
  </si>
  <si>
    <t>gene00460-v1.0-hybrid</t>
  </si>
  <si>
    <t>gene00763-v1.0-hybrid</t>
  </si>
  <si>
    <t>gene01063-v1.0-hybrid</t>
  </si>
  <si>
    <t>gene01363-v1.0-hybrid</t>
  </si>
  <si>
    <t>gene01964-v1.0-hybrid</t>
  </si>
  <si>
    <t>gene02264-v1.0-hybrid</t>
  </si>
  <si>
    <t>gene02564-v1.0-hybrid</t>
  </si>
  <si>
    <t>gene03552-v1.0-hybrid</t>
  </si>
  <si>
    <t>gene04152-v1.0-hybrid</t>
  </si>
  <si>
    <t>gene04452-v1.0-hybrid</t>
  </si>
  <si>
    <t>gene04752-v1.0-hybrid</t>
  </si>
  <si>
    <t>gene05052-v1.0-hybrid</t>
  </si>
  <si>
    <t>gene05353-v1.0-hybrid</t>
  </si>
  <si>
    <t>gene05653-v1.0-hybrid</t>
  </si>
  <si>
    <t>gene05953-v1.0-hybrid</t>
  </si>
  <si>
    <t>gene06253-v1.0-hybrid</t>
  </si>
  <si>
    <t>gene06853-v1.0-hybrid</t>
  </si>
  <si>
    <t>gene07153-v1.0-hybrid</t>
  </si>
  <si>
    <t>gene07453-v1.0-hybrid</t>
  </si>
  <si>
    <t>gene08054-v1.0-hybrid</t>
  </si>
  <si>
    <t>gene08354-v1.0-hybrid</t>
  </si>
  <si>
    <t>gene08654-v1.0-hybrid</t>
  </si>
  <si>
    <t>gene08954-v1.0-hybrid</t>
  </si>
  <si>
    <t>gene09254-v1.0-hybrid</t>
  </si>
  <si>
    <t>gene09554-v1.0-hybrid</t>
  </si>
  <si>
    <t>gene10155-v1.0-hybrid</t>
  </si>
  <si>
    <t>gene10756-v1.0-hybrid</t>
  </si>
  <si>
    <t>gene11056-v1.0-hybrid</t>
  </si>
  <si>
    <t>gene11357-v1.0-hybrid</t>
  </si>
  <si>
    <t>gene11657-v1.0-hybrid</t>
  </si>
  <si>
    <t>gene11957-v1.0-hybrid</t>
  </si>
  <si>
    <t>gene12557-v1.0-hybrid</t>
  </si>
  <si>
    <t>gene12857-v1.0-hybrid</t>
  </si>
  <si>
    <t>gene13458-v1.0-hybrid</t>
  </si>
  <si>
    <t>gene13758-v1.0-hybrid</t>
  </si>
  <si>
    <t>gene14963-v1.0-hybrid</t>
  </si>
  <si>
    <t>gene15264-v1.0-hybrid</t>
  </si>
  <si>
    <t>gene15565-v1.0-hybrid</t>
  </si>
  <si>
    <t>gene15866-v1.0-hybrid</t>
  </si>
  <si>
    <t>gene16167-v1.0-hybrid</t>
  </si>
  <si>
    <t>gene16467-v1.0-hybrid</t>
  </si>
  <si>
    <t>gene16767-v1.0-hybrid</t>
  </si>
  <si>
    <t>gene17069-v1.0-hybrid</t>
  </si>
  <si>
    <t>gene17369-v1.0-hybrid</t>
  </si>
  <si>
    <t>gene17969-v1.0-hybrid</t>
  </si>
  <si>
    <t>gene18269-v1.0-hybrid</t>
  </si>
  <si>
    <t>gene18569-v1.0-hybrid</t>
  </si>
  <si>
    <t>gene18869-v1.0-hybrid</t>
  </si>
  <si>
    <t>gene19169-v1.0-hybrid</t>
  </si>
  <si>
    <t>gene19469-v1.0-hybrid</t>
  </si>
  <si>
    <t>gene19769-v1.0-hybrid</t>
  </si>
  <si>
    <t>gene20069-v1.0-hybrid</t>
  </si>
  <si>
    <t>gene20370-v1.0-hybrid</t>
  </si>
  <si>
    <t>gene20670-v1.0-hybrid</t>
  </si>
  <si>
    <t>gene20970-v1.0-hybrid</t>
  </si>
  <si>
    <t>gene21270-v1.0-hybrid</t>
  </si>
  <si>
    <t>gene22172-v1.0-hybrid</t>
  </si>
  <si>
    <t>gene22472-v1.0-hybrid</t>
  </si>
  <si>
    <t>gene22773-v1.0-hybrid</t>
  </si>
  <si>
    <t>gene23073-v1.0-hybrid</t>
  </si>
  <si>
    <t>gene23375-v1.0-hybrid</t>
  </si>
  <si>
    <t>gene23975-v1.0-hybrid</t>
  </si>
  <si>
    <t>gene24277-v1.0-hybrid</t>
  </si>
  <si>
    <t>gene24578-v1.0-hybrid</t>
  </si>
  <si>
    <t>gene24880-v1.0-hybrid</t>
  </si>
  <si>
    <t>gene25180-v1.0-hybrid</t>
  </si>
  <si>
    <t>gene25480-v1.0-hybrid</t>
  </si>
  <si>
    <t>gene26080-v1.0-hybrid</t>
  </si>
  <si>
    <t>gene26380-v1.0-hybrid</t>
  </si>
  <si>
    <t>gene27281-v1.0-hybrid</t>
  </si>
  <si>
    <t>gene27581-v1.0-hybrid</t>
  </si>
  <si>
    <t>gene28181-v1.0-hybrid</t>
  </si>
  <si>
    <t>gene28781-v1.0-hybrid</t>
  </si>
  <si>
    <t>gene29081-v1.0-hybrid</t>
  </si>
  <si>
    <t>gene29381-v1.0-hybrid</t>
  </si>
  <si>
    <t>gene29682-v1.0-hybrid</t>
  </si>
  <si>
    <t>gene30283-v1.0-hybrid</t>
  </si>
  <si>
    <t>gene30883-v1.0-hybrid</t>
  </si>
  <si>
    <t>gene31183-v1.0-hybrid</t>
  </si>
  <si>
    <t>gene31783-v1.0-hybrid</t>
  </si>
  <si>
    <t>gene32083-v1.0-hybrid</t>
  </si>
  <si>
    <t>gene32383-v1.0-hybrid</t>
  </si>
  <si>
    <t>gene32684-v1.0-hybrid</t>
  </si>
  <si>
    <t>gene33848-v1.0-hybrid</t>
  </si>
  <si>
    <t>gene34448-v1.0-hybrid</t>
  </si>
  <si>
    <t>gene35048-v1.0-hybrid</t>
  </si>
  <si>
    <t>gene00160-v1.0-hybrid</t>
  </si>
  <si>
    <t>gene00461-v1.0-hybrid</t>
  </si>
  <si>
    <t>gene00764-v1.0-hybrid</t>
  </si>
  <si>
    <t>gene01064-v1.0-hybrid</t>
  </si>
  <si>
    <t>gene01364-v1.0-hybrid</t>
  </si>
  <si>
    <t>gene01665-v1.0-hybrid</t>
  </si>
  <si>
    <t>gene01965-v1.0-hybrid</t>
  </si>
  <si>
    <t>gene02265-v1.0-hybrid</t>
  </si>
  <si>
    <t>gene02565-v1.0-hybrid</t>
  </si>
  <si>
    <t>gene03553-v1.0-hybrid</t>
  </si>
  <si>
    <t>gene03853-v1.0-hybrid</t>
  </si>
  <si>
    <t>gene04153-v1.0-hybrid</t>
  </si>
  <si>
    <t>gene04453-v1.0-hybrid</t>
  </si>
  <si>
    <t>gene04753-v1.0-hybrid</t>
  </si>
  <si>
    <t>gene05053-v1.0-hybrid</t>
  </si>
  <si>
    <t>gene05354-v1.0-hybrid</t>
  </si>
  <si>
    <t>gene05654-v1.0-hybrid</t>
  </si>
  <si>
    <t>gene05954-v1.0-hybrid</t>
  </si>
  <si>
    <t>gene06554-v1.0-hybrid</t>
  </si>
  <si>
    <t>gene07154-v1.0-hybrid</t>
  </si>
  <si>
    <t>gene07454-v1.0-hybrid</t>
  </si>
  <si>
    <t>gene07755-v1.0-hybrid</t>
  </si>
  <si>
    <t>gene08055-v1.0-hybrid</t>
  </si>
  <si>
    <t>gene08655-v1.0-hybrid</t>
  </si>
  <si>
    <t>gene08955-v1.0-hybrid</t>
  </si>
  <si>
    <t>gene09555-v1.0-hybrid</t>
  </si>
  <si>
    <t>gene09856-v1.0-hybrid</t>
  </si>
  <si>
    <t>gene10757-v1.0-hybrid</t>
  </si>
  <si>
    <t>gene11057-v1.0-hybrid</t>
  </si>
  <si>
    <t>gene11358-v1.0-hybrid</t>
  </si>
  <si>
    <t>gene11658-v1.0-hybrid</t>
  </si>
  <si>
    <t>gene11958-v1.0-hybrid</t>
  </si>
  <si>
    <t>gene12558-v1.0-hybrid</t>
  </si>
  <si>
    <t>gene12858-v1.0-hybrid</t>
  </si>
  <si>
    <t>gene13159-v1.0-hybrid</t>
  </si>
  <si>
    <t>gene13459-v1.0-hybrid</t>
  </si>
  <si>
    <t>gene13759-v1.0-hybrid</t>
  </si>
  <si>
    <t>gene14361-v1.0-hybrid</t>
  </si>
  <si>
    <t>gene14663-v1.0-hybrid</t>
  </si>
  <si>
    <t>gene14964-v1.0-hybrid</t>
  </si>
  <si>
    <t>gene15265-v1.0-hybrid</t>
  </si>
  <si>
    <t>gene15867-v1.0-hybrid</t>
  </si>
  <si>
    <t>gene16468-v1.0-hybrid</t>
  </si>
  <si>
    <t>gene16768-v1.0-hybrid</t>
  </si>
  <si>
    <t>gene17370-v1.0-hybrid</t>
  </si>
  <si>
    <t>gene17670-v1.0-hybrid</t>
  </si>
  <si>
    <t>gene18270-v1.0-hybrid</t>
  </si>
  <si>
    <t>gene18570-v1.0-hybrid</t>
  </si>
  <si>
    <t>gene18870-v1.0-hybrid</t>
  </si>
  <si>
    <t>gene19170-v1.0-hybrid</t>
  </si>
  <si>
    <t>gene19470-v1.0-hybrid</t>
  </si>
  <si>
    <t>gene19770-v1.0-hybrid</t>
  </si>
  <si>
    <t>gene20070-v1.0-hybrid</t>
  </si>
  <si>
    <t>gene20671-v1.0-hybrid</t>
  </si>
  <si>
    <t>gene20971-v1.0-hybrid</t>
  </si>
  <si>
    <t>gene21271-v1.0-hybrid</t>
  </si>
  <si>
    <t>gene21572-v1.0-hybrid</t>
  </si>
  <si>
    <t>gene21872-v1.0-hybrid</t>
  </si>
  <si>
    <t>gene22173-v1.0-hybrid</t>
  </si>
  <si>
    <t>gene22774-v1.0-hybrid</t>
  </si>
  <si>
    <t>gene23074-v1.0-hybrid</t>
  </si>
  <si>
    <t>gene23376-v1.0-hybrid</t>
  </si>
  <si>
    <t>gene23976-v1.0-hybrid</t>
  </si>
  <si>
    <t>gene24278-v1.0-hybrid</t>
  </si>
  <si>
    <t>gene24881-v1.0-hybrid</t>
  </si>
  <si>
    <t>gene25181-v1.0-hybrid</t>
  </si>
  <si>
    <t>gene25481-v1.0-hybrid</t>
  </si>
  <si>
    <t>gene25781-v1.0-hybrid</t>
  </si>
  <si>
    <t>gene26081-v1.0-hybrid</t>
  </si>
  <si>
    <t>gene26381-v1.0-hybrid</t>
  </si>
  <si>
    <t>gene26982-v1.0-hybrid</t>
  </si>
  <si>
    <t>gene27282-v1.0-hybrid</t>
  </si>
  <si>
    <t>gene27582-v1.0-hybrid</t>
  </si>
  <si>
    <t>gene27882-v1.0-hybrid</t>
  </si>
  <si>
    <t>gene28182-v1.0-hybrid</t>
  </si>
  <si>
    <t>gene28482-v1.0-hybrid</t>
  </si>
  <si>
    <t>gene29082-v1.0-hybrid</t>
  </si>
  <si>
    <t>gene29382-v1.0-hybrid</t>
  </si>
  <si>
    <t>gene29683-v1.0-hybrid</t>
  </si>
  <si>
    <t>gene30584-v1.0-hybrid</t>
  </si>
  <si>
    <t>gene31184-v1.0-hybrid</t>
  </si>
  <si>
    <t>gene31484-v1.0-hybrid</t>
  </si>
  <si>
    <t>gene31784-v1.0-hybrid</t>
  </si>
  <si>
    <t>gene32084-v1.0-hybrid</t>
  </si>
  <si>
    <t>gene34749-v1.0-hybrid</t>
  </si>
  <si>
    <t>gene35049-v1.0-hybrid</t>
  </si>
  <si>
    <t>gene00161-v1.0-hybrid</t>
  </si>
  <si>
    <t>gene00462-v1.0-hybrid</t>
  </si>
  <si>
    <t>gene00765-v1.0-hybrid</t>
  </si>
  <si>
    <t>gene02266-v1.0-hybrid</t>
  </si>
  <si>
    <t>gene03254-v1.0-hybrid</t>
  </si>
  <si>
    <t>gene03554-v1.0-hybrid</t>
  </si>
  <si>
    <t>gene03854-v1.0-hybrid</t>
  </si>
  <si>
    <t>gene04154-v1.0-hybrid</t>
  </si>
  <si>
    <t>gene04454-v1.0-hybrid</t>
  </si>
  <si>
    <t>gene04754-v1.0-hybrid</t>
  </si>
  <si>
    <t>gene05054-v1.0-hybrid</t>
  </si>
  <si>
    <t>gene05355-v1.0-hybrid</t>
  </si>
  <si>
    <t>gene05655-v1.0-hybrid</t>
  </si>
  <si>
    <t>gene06255-v1.0-hybrid</t>
  </si>
  <si>
    <t>gene06855-v1.0-hybrid</t>
  </si>
  <si>
    <t>gene07155-v1.0-hybrid</t>
  </si>
  <si>
    <t>gene07455-v1.0-hybrid</t>
  </si>
  <si>
    <t>gene07756-v1.0-hybrid</t>
  </si>
  <si>
    <t>gene08356-v1.0-hybrid</t>
  </si>
  <si>
    <t>gene08656-v1.0-hybrid</t>
  </si>
  <si>
    <t>gene08956-v1.0-hybrid</t>
  </si>
  <si>
    <t>gene09256-v1.0-hybrid</t>
  </si>
  <si>
    <t>gene09857-v1.0-hybrid</t>
  </si>
  <si>
    <t>gene10157-v1.0-hybrid</t>
  </si>
  <si>
    <t>gene10457-v1.0-hybrid</t>
  </si>
  <si>
    <t>gene10758-v1.0-hybrid</t>
  </si>
  <si>
    <t>gene11058-v1.0-hybrid</t>
  </si>
  <si>
    <t>gene11359-v1.0-hybrid</t>
  </si>
  <si>
    <t>gene11659-v1.0-hybrid</t>
  </si>
  <si>
    <t>gene11959-v1.0-hybrid</t>
  </si>
  <si>
    <t>gene12259-v1.0-hybrid</t>
  </si>
  <si>
    <t>gene12559-v1.0-hybrid</t>
  </si>
  <si>
    <t>gene12859-v1.0-hybrid</t>
  </si>
  <si>
    <t>gene13160-v1.0-hybrid</t>
  </si>
  <si>
    <t>gene13760-v1.0-hybrid</t>
  </si>
  <si>
    <t>gene14664-v1.0-hybrid</t>
  </si>
  <si>
    <t>gene14965-v1.0-hybrid</t>
  </si>
  <si>
    <t>gene15266-v1.0-hybrid</t>
  </si>
  <si>
    <t>gene15567-v1.0-hybrid</t>
  </si>
  <si>
    <t>gene15868-v1.0-hybrid</t>
  </si>
  <si>
    <t>gene16169-v1.0-hybrid</t>
  </si>
  <si>
    <t>gene16469-v1.0-hybrid</t>
  </si>
  <si>
    <t>gene16769-v1.0-hybrid</t>
  </si>
  <si>
    <t>gene17071-v1.0-hybrid</t>
  </si>
  <si>
    <t>gene17371-v1.0-hybrid</t>
  </si>
  <si>
    <t>gene17671-v1.0-hybrid</t>
  </si>
  <si>
    <t>gene17971-v1.0-hybrid</t>
  </si>
  <si>
    <t>gene18271-v1.0-hybrid</t>
  </si>
  <si>
    <t>gene18571-v1.0-hybrid</t>
  </si>
  <si>
    <t>gene18871-v1.0-hybrid</t>
  </si>
  <si>
    <t>gene19171-v1.0-hybrid</t>
  </si>
  <si>
    <t>gene19771-v1.0-hybrid</t>
  </si>
  <si>
    <t>gene20071-v1.0-hybrid</t>
  </si>
  <si>
    <t>gene20372-v1.0-hybrid</t>
  </si>
  <si>
    <t>gene20972-v1.0-hybrid</t>
  </si>
  <si>
    <t>gene21272-v1.0-hybrid</t>
  </si>
  <si>
    <t>gene21573-v1.0-hybrid</t>
  </si>
  <si>
    <t>gene21873-v1.0-hybrid</t>
  </si>
  <si>
    <t>gene22174-v1.0-hybrid</t>
  </si>
  <si>
    <t>gene22474-v1.0-hybrid</t>
  </si>
  <si>
    <t>gene22775-v1.0-hybrid</t>
  </si>
  <si>
    <t>gene23075-v1.0-hybrid</t>
  </si>
  <si>
    <t>gene23377-v1.0-hybrid</t>
  </si>
  <si>
    <t>gene23677-v1.0-hybrid</t>
  </si>
  <si>
    <t>gene23977-v1.0-hybrid</t>
  </si>
  <si>
    <t>gene24279-v1.0-hybrid</t>
  </si>
  <si>
    <t>gene24882-v1.0-hybrid</t>
  </si>
  <si>
    <t>gene25182-v1.0-hybrid</t>
  </si>
  <si>
    <t>gene25482-v1.0-hybrid</t>
  </si>
  <si>
    <t>gene26082-v1.0-hybrid</t>
  </si>
  <si>
    <t>gene26382-v1.0-hybrid</t>
  </si>
  <si>
    <t>gene26983-v1.0-hybrid</t>
  </si>
  <si>
    <t>gene27283-v1.0-hybrid</t>
  </si>
  <si>
    <t>gene27883-v1.0-hybrid</t>
  </si>
  <si>
    <t>gene28183-v1.0-hybrid</t>
  </si>
  <si>
    <t>gene28783-v1.0-hybrid</t>
  </si>
  <si>
    <t>gene29083-v1.0-hybrid</t>
  </si>
  <si>
    <t>gene29684-v1.0-hybrid</t>
  </si>
  <si>
    <t>gene29985-v1.0-hybrid</t>
  </si>
  <si>
    <t>gene30285-v1.0-hybrid</t>
  </si>
  <si>
    <t>gene30585-v1.0-hybrid</t>
  </si>
  <si>
    <t>gene30885-v1.0-hybrid</t>
  </si>
  <si>
    <t>gene31485-v1.0-hybrid</t>
  </si>
  <si>
    <t>gene31785-v1.0-hybrid</t>
  </si>
  <si>
    <t>gene32385-v1.0-hybrid</t>
  </si>
  <si>
    <t>gene32686-v1.0-hybrid</t>
  </si>
  <si>
    <t>gene33850-v1.0-hybrid</t>
  </si>
  <si>
    <t>gene34150-v1.0-hybrid</t>
  </si>
  <si>
    <t>gene34450-v1.0-hybrid</t>
  </si>
  <si>
    <t>gene34750-v1.0-hybrid</t>
  </si>
  <si>
    <t>gene35050-v1.0-hybrid</t>
  </si>
  <si>
    <t>gene00463-v1.0-hybrid</t>
  </si>
  <si>
    <t>gene00766-v1.0-hybrid</t>
  </si>
  <si>
    <t>gene01366-v1.0-hybrid</t>
  </si>
  <si>
    <t>gene01667-v1.0-hybrid</t>
  </si>
  <si>
    <t>gene01967-v1.0-hybrid</t>
  </si>
  <si>
    <t>gene02267-v1.0-hybrid</t>
  </si>
  <si>
    <t>gene02567-v1.0-hybrid</t>
  </si>
  <si>
    <t>gene03255-v1.0-hybrid</t>
  </si>
  <si>
    <t>gene03555-v1.0-hybrid</t>
  </si>
  <si>
    <t>gene03855-v1.0-hybrid</t>
  </si>
  <si>
    <t>gene04155-v1.0-hybrid</t>
  </si>
  <si>
    <t>gene04455-v1.0-hybrid</t>
  </si>
  <si>
    <t>gene04755-v1.0-hybrid</t>
  </si>
  <si>
    <t>gene05055-v1.0-hybrid</t>
  </si>
  <si>
    <t>gene05356-v1.0-hybrid</t>
  </si>
  <si>
    <t>gene05956-v1.0-hybrid</t>
  </si>
  <si>
    <t>gene06256-v1.0-hybrid</t>
  </si>
  <si>
    <t>gene07156-v1.0-hybrid</t>
  </si>
  <si>
    <t>gene07757-v1.0-hybrid</t>
  </si>
  <si>
    <t>gene08357-v1.0-hybrid</t>
  </si>
  <si>
    <t>gene08657-v1.0-hybrid</t>
  </si>
  <si>
    <t>gene10158-v1.0-hybrid</t>
  </si>
  <si>
    <t>gene10458-v1.0-hybrid</t>
  </si>
  <si>
    <t>gene11059-v1.0-hybrid</t>
  </si>
  <si>
    <t>gene11660-v1.0-hybrid</t>
  </si>
  <si>
    <t>gene11960-v1.0-hybrid</t>
  </si>
  <si>
    <t>gene12560-v1.0-hybrid</t>
  </si>
  <si>
    <t>gene12860-v1.0-hybrid</t>
  </si>
  <si>
    <t>gene13161-v1.0-hybrid</t>
  </si>
  <si>
    <t>gene13461-v1.0-hybrid</t>
  </si>
  <si>
    <t>gene13761-v1.0-hybrid</t>
  </si>
  <si>
    <t>gene14665-v1.0-hybrid</t>
  </si>
  <si>
    <t>gene14966-v1.0-hybrid</t>
  </si>
  <si>
    <t>gene15568-v1.0-hybrid</t>
  </si>
  <si>
    <t>gene15869-v1.0-hybrid</t>
  </si>
  <si>
    <t>gene16170-v1.0-hybrid</t>
  </si>
  <si>
    <t>gene16470-v1.0-hybrid</t>
  </si>
  <si>
    <t>gene17372-v1.0-hybrid</t>
  </si>
  <si>
    <t>gene18572-v1.0-hybrid</t>
  </si>
  <si>
    <t>gene18872-v1.0-hybrid</t>
  </si>
  <si>
    <t>gene19172-v1.0-hybrid</t>
  </si>
  <si>
    <t>gene19772-v1.0-hybrid</t>
  </si>
  <si>
    <t>gene20072-v1.0-hybrid</t>
  </si>
  <si>
    <t>gene21273-v1.0-hybrid</t>
  </si>
  <si>
    <t>gene21874-v1.0-hybrid</t>
  </si>
  <si>
    <t>gene22175-v1.0-hybrid</t>
  </si>
  <si>
    <t>gene22475-v1.0-hybrid</t>
  </si>
  <si>
    <t>gene22776-v1.0-hybrid</t>
  </si>
  <si>
    <t>gene23076-v1.0-hybrid</t>
  </si>
  <si>
    <t>gene23378-v1.0-hybrid</t>
  </si>
  <si>
    <t>gene23678-v1.0-hybrid</t>
  </si>
  <si>
    <t>gene23978-v1.0-hybrid</t>
  </si>
  <si>
    <t>gene24280-v1.0-hybrid</t>
  </si>
  <si>
    <t>gene24883-v1.0-hybrid</t>
  </si>
  <si>
    <t>gene25183-v1.0-hybrid</t>
  </si>
  <si>
    <t>gene25483-v1.0-hybrid</t>
  </si>
  <si>
    <t>gene25783-v1.0-hybrid</t>
  </si>
  <si>
    <t>gene26083-v1.0-hybrid</t>
  </si>
  <si>
    <t>gene26383-v1.0-hybrid</t>
  </si>
  <si>
    <t>gene26683-v1.0-hybrid</t>
  </si>
  <si>
    <t>gene26984-v1.0-hybrid</t>
  </si>
  <si>
    <t>gene27284-v1.0-hybrid</t>
  </si>
  <si>
    <t>gene27584-v1.0-hybrid</t>
  </si>
  <si>
    <t>gene28184-v1.0-hybrid</t>
  </si>
  <si>
    <t>gene29084-v1.0-hybrid</t>
  </si>
  <si>
    <t>gene29384-v1.0-hybrid</t>
  </si>
  <si>
    <t>gene29685-v1.0-hybrid</t>
  </si>
  <si>
    <t>gene30286-v1.0-hybrid</t>
  </si>
  <si>
    <t>gene30586-v1.0-hybrid</t>
  </si>
  <si>
    <t>gene30886-v1.0-hybrid</t>
  </si>
  <si>
    <t>gene31186-v1.0-hybrid</t>
  </si>
  <si>
    <t>gene31486-v1.0-hybrid</t>
  </si>
  <si>
    <t>gene31786-v1.0-hybrid</t>
  </si>
  <si>
    <t>gene32086-v1.0-hybrid</t>
  </si>
  <si>
    <t>gene32386-v1.0-hybrid</t>
  </si>
  <si>
    <t>gene32687-v1.0-hybrid</t>
  </si>
  <si>
    <t>gene34451-v1.0-hybrid</t>
  </si>
  <si>
    <t>gene34751-v1.0-hybrid</t>
  </si>
  <si>
    <t>gene00163-v1.0-hybrid</t>
  </si>
  <si>
    <t>gene00767-v1.0-hybrid</t>
  </si>
  <si>
    <t>gene01367-v1.0-hybrid</t>
  </si>
  <si>
    <t>gene01668-v1.0-hybrid</t>
  </si>
  <si>
    <t>gene01968-v1.0-hybrid</t>
  </si>
  <si>
    <t>gene02268-v1.0-hybrid</t>
  </si>
  <si>
    <t>gene02568-v1.0-hybrid</t>
  </si>
  <si>
    <t>gene03256-v1.0-hybrid</t>
  </si>
  <si>
    <t>gene03556-v1.0-hybrid</t>
  </si>
  <si>
    <t>gene03856-v1.0-hybrid</t>
  </si>
  <si>
    <t>gene04156-v1.0-hybrid</t>
  </si>
  <si>
    <t>gene04456-v1.0-hybrid</t>
  </si>
  <si>
    <t>gene04756-v1.0-hybrid</t>
  </si>
  <si>
    <t>gene05357-v1.0-hybrid</t>
  </si>
  <si>
    <t>gene05657-v1.0-hybrid</t>
  </si>
  <si>
    <t>gene06257-v1.0-hybrid</t>
  </si>
  <si>
    <t>gene06557-v1.0-hybrid</t>
  </si>
  <si>
    <t>gene06857-v1.0-hybrid</t>
  </si>
  <si>
    <t>gene07157-v1.0-hybrid</t>
  </si>
  <si>
    <t>gene07457-v1.0-hybrid</t>
  </si>
  <si>
    <t>gene08058-v1.0-hybrid</t>
  </si>
  <si>
    <t>gene08358-v1.0-hybrid</t>
  </si>
  <si>
    <t>gene09258-v1.0-hybrid</t>
  </si>
  <si>
    <t>gene09859-v1.0-hybrid</t>
  </si>
  <si>
    <t>gene10159-v1.0-hybrid</t>
  </si>
  <si>
    <t>gene10459-v1.0-hybrid</t>
  </si>
  <si>
    <t>gene10760-v1.0-hybrid</t>
  </si>
  <si>
    <t>gene11060-v1.0-hybrid</t>
  </si>
  <si>
    <t>gene11361-v1.0-hybrid</t>
  </si>
  <si>
    <t>gene11661-v1.0-hybrid</t>
  </si>
  <si>
    <t>gene11961-v1.0-hybrid</t>
  </si>
  <si>
    <t>gene12261-v1.0-hybrid</t>
  </si>
  <si>
    <t>gene12561-v1.0-hybrid</t>
  </si>
  <si>
    <t>gene12861-v1.0-hybrid</t>
  </si>
  <si>
    <t>gene13162-v1.0-hybrid</t>
  </si>
  <si>
    <t>gene13462-v1.0-hybrid</t>
  </si>
  <si>
    <t>gene13762-v1.0-hybrid</t>
  </si>
  <si>
    <t>gene14063-v1.0-hybrid</t>
  </si>
  <si>
    <t>gene14666-v1.0-hybrid</t>
  </si>
  <si>
    <t>gene14967-v1.0-hybrid</t>
  </si>
  <si>
    <t>gene15268-v1.0-hybrid</t>
  </si>
  <si>
    <t>gene15870-v1.0-hybrid</t>
  </si>
  <si>
    <t>gene16471-v1.0-hybrid</t>
  </si>
  <si>
    <t>gene16771-v1.0-hybrid</t>
  </si>
  <si>
    <t>gene17373-v1.0-hybrid</t>
  </si>
  <si>
    <t>gene17673-v1.0-hybrid</t>
  </si>
  <si>
    <t>gene18573-v1.0-hybrid</t>
  </si>
  <si>
    <t>gene18873-v1.0-hybrid</t>
  </si>
  <si>
    <t>gene19173-v1.0-hybrid</t>
  </si>
  <si>
    <t>gene19773-v1.0-hybrid</t>
  </si>
  <si>
    <t>gene20073-v1.0-hybrid</t>
  </si>
  <si>
    <t>gene20974-v1.0-hybrid</t>
  </si>
  <si>
    <t>gene21274-v1.0-hybrid</t>
  </si>
  <si>
    <t>gene21875-v1.0-hybrid</t>
  </si>
  <si>
    <t>gene22176-v1.0-hybrid</t>
  </si>
  <si>
    <t>gene22476-v1.0-hybrid</t>
  </si>
  <si>
    <t>gene23077-v1.0-hybrid</t>
  </si>
  <si>
    <t>gene23379-v1.0-hybrid</t>
  </si>
  <si>
    <t>gene23679-v1.0-hybrid</t>
  </si>
  <si>
    <t>gene23979-v1.0-hybrid</t>
  </si>
  <si>
    <t>gene24281-v1.0-hybrid</t>
  </si>
  <si>
    <t>gene24582-v1.0-hybrid</t>
  </si>
  <si>
    <t>gene24884-v1.0-hybrid</t>
  </si>
  <si>
    <t>gene25184-v1.0-hybrid</t>
  </si>
  <si>
    <t>gene25484-v1.0-hybrid</t>
  </si>
  <si>
    <t>gene25784-v1.0-hybrid</t>
  </si>
  <si>
    <t>gene26084-v1.0-hybrid</t>
  </si>
  <si>
    <t>gene26384-v1.0-hybrid</t>
  </si>
  <si>
    <t>gene26684-v1.0-hybrid</t>
  </si>
  <si>
    <t>gene26985-v1.0-hybrid</t>
  </si>
  <si>
    <t>gene27285-v1.0-hybrid</t>
  </si>
  <si>
    <t>gene27885-v1.0-hybrid</t>
  </si>
  <si>
    <t>gene28185-v1.0-hybrid</t>
  </si>
  <si>
    <t>gene28785-v1.0-hybrid</t>
  </si>
  <si>
    <t>gene29085-v1.0-hybrid</t>
  </si>
  <si>
    <t>gene29385-v1.0-hybrid</t>
  </si>
  <si>
    <t>gene29686-v1.0-hybrid</t>
  </si>
  <si>
    <t>gene30287-v1.0-hybrid</t>
  </si>
  <si>
    <t>gene30887-v1.0-hybrid</t>
  </si>
  <si>
    <t>gene31487-v1.0-hybrid</t>
  </si>
  <si>
    <t>gene31787-v1.0-hybrid</t>
  </si>
  <si>
    <t>gene32087-v1.0-hybrid</t>
  </si>
  <si>
    <t>gene32387-v1.0-hybrid</t>
  </si>
  <si>
    <t>gene32688-v1.0-hybrid</t>
  </si>
  <si>
    <t>gene34152-v1.0-hybrid</t>
  </si>
  <si>
    <t>gene34452-v1.0-hybrid</t>
  </si>
  <si>
    <t>gene35052-v1.0-hybrid</t>
  </si>
  <si>
    <t>gene00164-v1.0-hybrid</t>
  </si>
  <si>
    <t>gene00768-v1.0-hybrid</t>
  </si>
  <si>
    <t>gene01068-v1.0-hybrid</t>
  </si>
  <si>
    <t>gene01368-v1.0-hybrid</t>
  </si>
  <si>
    <t>gene01969-v1.0-hybrid</t>
  </si>
  <si>
    <t>gene02269-v1.0-hybrid</t>
  </si>
  <si>
    <t>gene02569-v1.0-hybrid</t>
  </si>
  <si>
    <t>gene03257-v1.0-hybrid</t>
  </si>
  <si>
    <t>gene03557-v1.0-hybrid</t>
  </si>
  <si>
    <t>gene03857-v1.0-hybrid</t>
  </si>
  <si>
    <t>gene04157-v1.0-hybrid</t>
  </si>
  <si>
    <t>gene04757-v1.0-hybrid</t>
  </si>
  <si>
    <t>gene05358-v1.0-hybrid</t>
  </si>
  <si>
    <t>gene05658-v1.0-hybrid</t>
  </si>
  <si>
    <t>gene06258-v1.0-hybrid</t>
  </si>
  <si>
    <t>gene06858-v1.0-hybrid</t>
  </si>
  <si>
    <t>gene07158-v1.0-hybrid</t>
  </si>
  <si>
    <t>gene07458-v1.0-hybrid</t>
  </si>
  <si>
    <t>gene07759-v1.0-hybrid</t>
  </si>
  <si>
    <t>gene08359-v1.0-hybrid</t>
  </si>
  <si>
    <t>gene08659-v1.0-hybrid</t>
  </si>
  <si>
    <t>gene08959-v1.0-hybrid</t>
  </si>
  <si>
    <t>gene09259-v1.0-hybrid</t>
  </si>
  <si>
    <t>gene09559-v1.0-hybrid</t>
  </si>
  <si>
    <t>gene09860-v1.0-hybrid</t>
  </si>
  <si>
    <t>gene10160-v1.0-hybrid</t>
  </si>
  <si>
    <t>gene10460-v1.0-hybrid</t>
  </si>
  <si>
    <t>gene10761-v1.0-hybrid</t>
  </si>
  <si>
    <t>gene11362-v1.0-hybrid</t>
  </si>
  <si>
    <t>gene11662-v1.0-hybrid</t>
  </si>
  <si>
    <t>gene12262-v1.0-hybrid</t>
  </si>
  <si>
    <t>gene12562-v1.0-hybrid</t>
  </si>
  <si>
    <t>gene12862-v1.0-hybrid</t>
  </si>
  <si>
    <t>gene13163-v1.0-hybrid</t>
  </si>
  <si>
    <t>gene13463-v1.0-hybrid</t>
  </si>
  <si>
    <t>gene13763-v1.0-hybrid</t>
  </si>
  <si>
    <t>gene14365-v1.0-hybrid</t>
  </si>
  <si>
    <t>gene14968-v1.0-hybrid</t>
  </si>
  <si>
    <t>gene15269-v1.0-hybrid</t>
  </si>
  <si>
    <t>gene15570-v1.0-hybrid</t>
  </si>
  <si>
    <t>gene15871-v1.0-hybrid</t>
  </si>
  <si>
    <t>gene16172-v1.0-hybrid</t>
  </si>
  <si>
    <t>gene16772-v1.0-hybrid</t>
  </si>
  <si>
    <t>gene17074-v1.0-hybrid</t>
  </si>
  <si>
    <t>gene17674-v1.0-hybrid</t>
  </si>
  <si>
    <t>gene18274-v1.0-hybrid</t>
  </si>
  <si>
    <t>gene18574-v1.0-hybrid</t>
  </si>
  <si>
    <t>gene19174-v1.0-hybrid</t>
  </si>
  <si>
    <t>gene19474-v1.0-hybrid</t>
  </si>
  <si>
    <t>gene20074-v1.0-hybrid</t>
  </si>
  <si>
    <t>gene20375-v1.0-hybrid</t>
  </si>
  <si>
    <t>gene20975-v1.0-hybrid</t>
  </si>
  <si>
    <t>gene21275-v1.0-hybrid</t>
  </si>
  <si>
    <t>gene22177-v1.0-hybrid</t>
  </si>
  <si>
    <t>gene22477-v1.0-hybrid</t>
  </si>
  <si>
    <t>gene22778-v1.0-hybrid</t>
  </si>
  <si>
    <t>gene23680-v1.0-hybrid</t>
  </si>
  <si>
    <t>gene23980-v1.0-hybrid</t>
  </si>
  <si>
    <t>gene24885-v1.0-hybrid</t>
  </si>
  <si>
    <t>gene25185-v1.0-hybrid</t>
  </si>
  <si>
    <t>gene26085-v1.0-hybrid</t>
  </si>
  <si>
    <t>gene26385-v1.0-hybrid</t>
  </si>
  <si>
    <t>gene26986-v1.0-hybrid</t>
  </si>
  <si>
    <t>gene27286-v1.0-hybrid</t>
  </si>
  <si>
    <t>gene27586-v1.0-hybrid</t>
  </si>
  <si>
    <t>gene27886-v1.0-hybrid</t>
  </si>
  <si>
    <t>gene28186-v1.0-hybrid</t>
  </si>
  <si>
    <t>gene28486-v1.0-hybrid</t>
  </si>
  <si>
    <t>gene29687-v1.0-hybrid</t>
  </si>
  <si>
    <t>gene30288-v1.0-hybrid</t>
  </si>
  <si>
    <t>gene30588-v1.0-hybrid</t>
  </si>
  <si>
    <t>gene30888-v1.0-hybrid</t>
  </si>
  <si>
    <t>gene31188-v1.0-hybrid</t>
  </si>
  <si>
    <t>gene31488-v1.0-hybrid</t>
  </si>
  <si>
    <t>gene31788-v1.0-hybrid</t>
  </si>
  <si>
    <t>gene32088-v1.0-hybrid</t>
  </si>
  <si>
    <t>gene32388-v1.0-hybrid</t>
  </si>
  <si>
    <t>gene32689-v1.0-hybrid</t>
  </si>
  <si>
    <t>gene34153-v1.0-hybrid</t>
  </si>
  <si>
    <t>gene34453-v1.0-hybrid</t>
  </si>
  <si>
    <t>gene35053-v1.0-hybrid</t>
  </si>
  <si>
    <t>gene00165-v1.0-hybrid</t>
  </si>
  <si>
    <t>gene00769-v1.0-hybrid</t>
  </si>
  <si>
    <t>gene01069-v1.0-hybrid</t>
  </si>
  <si>
    <t>gene01970-v1.0-hybrid</t>
  </si>
  <si>
    <t>gene02270-v1.0-hybrid</t>
  </si>
  <si>
    <t>gene02570-v1.0-hybrid</t>
  </si>
  <si>
    <t>gene03258-v1.0-hybrid</t>
  </si>
  <si>
    <t>gene03558-v1.0-hybrid</t>
  </si>
  <si>
    <t>gene03858-v1.0-hybrid</t>
  </si>
  <si>
    <t>gene04158-v1.0-hybrid</t>
  </si>
  <si>
    <t>gene04458-v1.0-hybrid</t>
  </si>
  <si>
    <t>gene04758-v1.0-hybrid</t>
  </si>
  <si>
    <t>gene05058-v1.0-hybrid</t>
  </si>
  <si>
    <t>gene05359-v1.0-hybrid</t>
  </si>
  <si>
    <t>gene05659-v1.0-hybrid</t>
  </si>
  <si>
    <t>gene05959-v1.0-hybrid</t>
  </si>
  <si>
    <t>gene06259-v1.0-hybrid</t>
  </si>
  <si>
    <t>gene06559-v1.0-hybrid</t>
  </si>
  <si>
    <t>gene06859-v1.0-hybrid</t>
  </si>
  <si>
    <t>gene07159-v1.0-hybrid</t>
  </si>
  <si>
    <t>gene07459-v1.0-hybrid</t>
  </si>
  <si>
    <t>gene07760-v1.0-hybrid</t>
  </si>
  <si>
    <t>gene08060-v1.0-hybrid</t>
  </si>
  <si>
    <t>gene08360-v1.0-hybrid</t>
  </si>
  <si>
    <t>gene08660-v1.0-hybrid</t>
  </si>
  <si>
    <t>gene08960-v1.0-hybrid</t>
  </si>
  <si>
    <t>gene09260-v1.0-hybrid</t>
  </si>
  <si>
    <t>gene09560-v1.0-hybrid</t>
  </si>
  <si>
    <t>gene09861-v1.0-hybrid</t>
  </si>
  <si>
    <t>gene10161-v1.0-hybrid</t>
  </si>
  <si>
    <t>gene10461-v1.0-hybrid</t>
  </si>
  <si>
    <t>gene10762-v1.0-hybrid</t>
  </si>
  <si>
    <t>gene11363-v1.0-hybrid</t>
  </si>
  <si>
    <t>gene11663-v1.0-hybrid</t>
  </si>
  <si>
    <t>gene11963-v1.0-hybrid</t>
  </si>
  <si>
    <t>gene12563-v1.0-hybrid</t>
  </si>
  <si>
    <t>gene12863-v1.0-hybrid</t>
  </si>
  <si>
    <t>gene13164-v1.0-hybrid</t>
  </si>
  <si>
    <t>gene13464-v1.0-hybrid</t>
  </si>
  <si>
    <t>gene13764-v1.0-hybrid</t>
  </si>
  <si>
    <t>gene14366-v1.0-hybrid</t>
  </si>
  <si>
    <t>gene15270-v1.0-hybrid</t>
  </si>
  <si>
    <t>gene15571-v1.0-hybrid</t>
  </si>
  <si>
    <t>gene15872-v1.0-hybrid</t>
  </si>
  <si>
    <t>gene16473-v1.0-hybrid</t>
  </si>
  <si>
    <t>gene17075-v1.0-hybrid</t>
  </si>
  <si>
    <t>gene17975-v1.0-hybrid</t>
  </si>
  <si>
    <t>gene18275-v1.0-hybrid</t>
  </si>
  <si>
    <t>gene18875-v1.0-hybrid</t>
  </si>
  <si>
    <t>gene19475-v1.0-hybrid</t>
  </si>
  <si>
    <t>gene19775-v1.0-hybrid</t>
  </si>
  <si>
    <t>gene20075-v1.0-hybrid</t>
  </si>
  <si>
    <t>gene20976-v1.0-hybrid</t>
  </si>
  <si>
    <t>gene21276-v1.0-hybrid</t>
  </si>
  <si>
    <t>gene22178-v1.0-hybrid</t>
  </si>
  <si>
    <t>gene22779-v1.0-hybrid</t>
  </si>
  <si>
    <t>gene23079-v1.0-hybrid</t>
  </si>
  <si>
    <t>gene23381-v1.0-hybrid</t>
  </si>
  <si>
    <t>gene23981-v1.0-hybrid</t>
  </si>
  <si>
    <t>gene24283-v1.0-hybrid</t>
  </si>
  <si>
    <t>gene25786-v1.0-hybrid</t>
  </si>
  <si>
    <t>gene26086-v1.0-hybrid</t>
  </si>
  <si>
    <t>gene26386-v1.0-hybrid</t>
  </si>
  <si>
    <t>gene26686-v1.0-hybrid</t>
  </si>
  <si>
    <t>gene26987-v1.0-hybrid</t>
  </si>
  <si>
    <t>gene27287-v1.0-hybrid</t>
  </si>
  <si>
    <t>gene27587-v1.0-hybrid</t>
  </si>
  <si>
    <t>gene28487-v1.0-hybrid</t>
  </si>
  <si>
    <t>gene28787-v1.0-hybrid</t>
  </si>
  <si>
    <t>gene29688-v1.0-hybrid</t>
  </si>
  <si>
    <t>gene30289-v1.0-hybrid</t>
  </si>
  <si>
    <t>gene31189-v1.0-hybrid</t>
  </si>
  <si>
    <t>gene31489-v1.0-hybrid</t>
  </si>
  <si>
    <t>gene31789-v1.0-hybrid</t>
  </si>
  <si>
    <t>gene32089-v1.0-hybrid</t>
  </si>
  <si>
    <t>gene32389-v1.0-hybrid</t>
  </si>
  <si>
    <t>gene34154-v1.0-hybrid</t>
  </si>
  <si>
    <t>gene34454-v1.0-hybrid</t>
  </si>
  <si>
    <t>gene00166-v1.0-hybrid</t>
  </si>
  <si>
    <t>gene00770-v1.0-hybrid</t>
  </si>
  <si>
    <t>gene01070-v1.0-hybrid</t>
  </si>
  <si>
    <t>gene01370-v1.0-hybrid</t>
  </si>
  <si>
    <t>gene01671-v1.0-hybrid</t>
  </si>
  <si>
    <t>gene01971-v1.0-hybrid</t>
  </si>
  <si>
    <t>gene02271-v1.0-hybrid</t>
  </si>
  <si>
    <t>gene02571-v1.0-hybrid</t>
  </si>
  <si>
    <t>gene03259-v1.0-hybrid</t>
  </si>
  <si>
    <t>gene03559-v1.0-hybrid</t>
  </si>
  <si>
    <t>gene03859-v1.0-hybrid</t>
  </si>
  <si>
    <t>gene04159-v1.0-hybrid</t>
  </si>
  <si>
    <t>gene04459-v1.0-hybrid</t>
  </si>
  <si>
    <t>gene04759-v1.0-hybrid</t>
  </si>
  <si>
    <t>gene05059-v1.0-hybrid</t>
  </si>
  <si>
    <t>gene05360-v1.0-hybrid</t>
  </si>
  <si>
    <t>gene05660-v1.0-hybrid</t>
  </si>
  <si>
    <t>gene05960-v1.0-hybrid</t>
  </si>
  <si>
    <t>gene06260-v1.0-hybrid</t>
  </si>
  <si>
    <t>gene06560-v1.0-hybrid</t>
  </si>
  <si>
    <t>gene06860-v1.0-hybrid</t>
  </si>
  <si>
    <t>gene07160-v1.0-hybrid</t>
  </si>
  <si>
    <t>gene07761-v1.0-hybrid</t>
  </si>
  <si>
    <t>gene08361-v1.0-hybrid</t>
  </si>
  <si>
    <t>gene08661-v1.0-hybrid</t>
  </si>
  <si>
    <t>gene08961-v1.0-hybrid</t>
  </si>
  <si>
    <t>gene09261-v1.0-hybrid</t>
  </si>
  <si>
    <t>gene09561-v1.0-hybrid</t>
  </si>
  <si>
    <t>gene09862-v1.0-hybrid</t>
  </si>
  <si>
    <t>gene10162-v1.0-hybrid</t>
  </si>
  <si>
    <t>gene10463-v1.0-hybrid</t>
  </si>
  <si>
    <t>gene10763-v1.0-hybrid</t>
  </si>
  <si>
    <t>gene11063-v1.0-hybrid</t>
  </si>
  <si>
    <t>gene11364-v1.0-hybrid</t>
  </si>
  <si>
    <t>gene11664-v1.0-hybrid</t>
  </si>
  <si>
    <t>gene11964-v1.0-hybrid</t>
  </si>
  <si>
    <t>gene12264-v1.0-hybrid</t>
  </si>
  <si>
    <t>gene12564-v1.0-hybrid</t>
  </si>
  <si>
    <t>gene13465-v1.0-hybrid</t>
  </si>
  <si>
    <t>gene13765-v1.0-hybrid</t>
  </si>
  <si>
    <t>gene14066-v1.0-hybrid</t>
  </si>
  <si>
    <t>gene14669-v1.0-hybrid</t>
  </si>
  <si>
    <t>gene14970-v1.0-hybrid</t>
  </si>
  <si>
    <t>gene15271-v1.0-hybrid</t>
  </si>
  <si>
    <t>gene15572-v1.0-hybrid</t>
  </si>
  <si>
    <t>gene15873-v1.0-hybrid</t>
  </si>
  <si>
    <t>gene16174-v1.0-hybrid</t>
  </si>
  <si>
    <t>gene16474-v1.0-hybrid</t>
  </si>
  <si>
    <t>gene17076-v1.0-hybrid</t>
  </si>
  <si>
    <t>gene17376-v1.0-hybrid</t>
  </si>
  <si>
    <t>gene17676-v1.0-hybrid</t>
  </si>
  <si>
    <t>gene17976-v1.0-hybrid</t>
  </si>
  <si>
    <t>gene18276-v1.0-hybrid</t>
  </si>
  <si>
    <t>gene18576-v1.0-hybrid</t>
  </si>
  <si>
    <t>gene19176-v1.0-hybrid</t>
  </si>
  <si>
    <t>gene19476-v1.0-hybrid</t>
  </si>
  <si>
    <t>gene19776-v1.0-hybrid</t>
  </si>
  <si>
    <t>gene20076-v1.0-hybrid</t>
  </si>
  <si>
    <t>gene20377-v1.0-hybrid</t>
  </si>
  <si>
    <t>gene21277-v1.0-hybrid</t>
  </si>
  <si>
    <t>gene21578-v1.0-hybrid</t>
  </si>
  <si>
    <t>gene21878-v1.0-hybrid</t>
  </si>
  <si>
    <t>gene22479-v1.0-hybrid</t>
  </si>
  <si>
    <t>gene22780-v1.0-hybrid</t>
  </si>
  <si>
    <t>gene23080-v1.0-hybrid</t>
  </si>
  <si>
    <t>gene23382-v1.0-hybrid</t>
  </si>
  <si>
    <t>gene23682-v1.0-hybrid</t>
  </si>
  <si>
    <t>gene23982-v1.0-hybrid</t>
  </si>
  <si>
    <t>gene24284-v1.0-hybrid</t>
  </si>
  <si>
    <t>gene24887-v1.0-hybrid</t>
  </si>
  <si>
    <t>gene25487-v1.0-hybrid</t>
  </si>
  <si>
    <t>gene25787-v1.0-hybrid</t>
  </si>
  <si>
    <t>gene26087-v1.0-hybrid</t>
  </si>
  <si>
    <t>gene26387-v1.0-hybrid</t>
  </si>
  <si>
    <t>gene27588-v1.0-hybrid</t>
  </si>
  <si>
    <t>gene27888-v1.0-hybrid</t>
  </si>
  <si>
    <t>gene28188-v1.0-hybrid</t>
  </si>
  <si>
    <t>gene28488-v1.0-hybrid</t>
  </si>
  <si>
    <t>gene28788-v1.0-hybrid</t>
  </si>
  <si>
    <t>gene29088-v1.0-hybrid</t>
  </si>
  <si>
    <t>gene29388-v1.0-hybrid</t>
  </si>
  <si>
    <t>gene29689-v1.0-hybrid</t>
  </si>
  <si>
    <t>gene29990-v1.0-hybrid</t>
  </si>
  <si>
    <t>gene30590-v1.0-hybrid</t>
  </si>
  <si>
    <t>gene31190-v1.0-hybrid</t>
  </si>
  <si>
    <t>gene31490-v1.0-hybrid</t>
  </si>
  <si>
    <t>gene31790-v1.0-hybrid</t>
  </si>
  <si>
    <t>gene32090-v1.0-hybrid</t>
  </si>
  <si>
    <t>gene32691-v1.0-hybrid</t>
  </si>
  <si>
    <t>gene33074-v1.0-hybrid</t>
  </si>
  <si>
    <t>gene34155-v1.0-hybrid</t>
  </si>
  <si>
    <t>gene34455-v1.0-hybrid</t>
  </si>
  <si>
    <t>gene34755-v1.0-hybrid</t>
  </si>
  <si>
    <t>gene35055-v1.0-hybrid</t>
  </si>
  <si>
    <t>gene00167-v1.0-hybrid</t>
  </si>
  <si>
    <t>gene00771-v1.0-hybrid</t>
  </si>
  <si>
    <t>gene01371-v1.0-hybrid</t>
  </si>
  <si>
    <t>gene01972-v1.0-hybrid</t>
  </si>
  <si>
    <t>gene02272-v1.0-hybrid</t>
  </si>
  <si>
    <t>gene02572-v1.0-hybrid</t>
  </si>
  <si>
    <t>gene03860-v1.0-hybrid</t>
  </si>
  <si>
    <t>gene04460-v1.0-hybrid</t>
  </si>
  <si>
    <t>gene05361-v1.0-hybrid</t>
  </si>
  <si>
    <t>gene05961-v1.0-hybrid</t>
  </si>
  <si>
    <t>gene06261-v1.0-hybrid</t>
  </si>
  <si>
    <t>gene06561-v1.0-hybrid</t>
  </si>
  <si>
    <t>gene06861-v1.0-hybrid</t>
  </si>
  <si>
    <t>gene07161-v1.0-hybrid</t>
  </si>
  <si>
    <t>gene07762-v1.0-hybrid</t>
  </si>
  <si>
    <t>gene08062-v1.0-hybrid</t>
  </si>
  <si>
    <t>gene08362-v1.0-hybrid</t>
  </si>
  <si>
    <t>gene08662-v1.0-hybrid</t>
  </si>
  <si>
    <t>gene08962-v1.0-hybrid</t>
  </si>
  <si>
    <t>gene09262-v1.0-hybrid</t>
  </si>
  <si>
    <t>gene09562-v1.0-hybrid</t>
  </si>
  <si>
    <t>gene10163-v1.0-hybrid</t>
  </si>
  <si>
    <t>gene10764-v1.0-hybrid</t>
  </si>
  <si>
    <t>gene11064-v1.0-hybrid</t>
  </si>
  <si>
    <t>gene11365-v1.0-hybrid</t>
  </si>
  <si>
    <t>gene11665-v1.0-hybrid</t>
  </si>
  <si>
    <t>gene11965-v1.0-hybrid</t>
  </si>
  <si>
    <t>gene12265-v1.0-hybrid</t>
  </si>
  <si>
    <t>gene12865-v1.0-hybrid</t>
  </si>
  <si>
    <t>gene13166-v1.0-hybrid</t>
  </si>
  <si>
    <t>gene13466-v1.0-hybrid</t>
  </si>
  <si>
    <t>gene13766-v1.0-hybrid</t>
  </si>
  <si>
    <t>gene14971-v1.0-hybrid</t>
  </si>
  <si>
    <t>gene15272-v1.0-hybrid</t>
  </si>
  <si>
    <t>gene15573-v1.0-hybrid</t>
  </si>
  <si>
    <t>gene15874-v1.0-hybrid</t>
  </si>
  <si>
    <t>gene16175-v1.0-hybrid</t>
  </si>
  <si>
    <t>gene16775-v1.0-hybrid</t>
  </si>
  <si>
    <t>gene17677-v1.0-hybrid</t>
  </si>
  <si>
    <t>gene17977-v1.0-hybrid</t>
  </si>
  <si>
    <t>gene18877-v1.0-hybrid</t>
  </si>
  <si>
    <t>gene19177-v1.0-hybrid</t>
  </si>
  <si>
    <t>gene19477-v1.0-hybrid</t>
  </si>
  <si>
    <t>gene19777-v1.0-hybrid</t>
  </si>
  <si>
    <t>gene20378-v1.0-hybrid</t>
  </si>
  <si>
    <t>gene21278-v1.0-hybrid</t>
  </si>
  <si>
    <t>gene21579-v1.0-hybrid</t>
  </si>
  <si>
    <t>gene22781-v1.0-hybrid</t>
  </si>
  <si>
    <t>gene23383-v1.0-hybrid</t>
  </si>
  <si>
    <t>gene23683-v1.0-hybrid</t>
  </si>
  <si>
    <t>gene23983-v1.0-hybrid</t>
  </si>
  <si>
    <t>gene24586-v1.0-hybrid</t>
  </si>
  <si>
    <t>gene24888-v1.0-hybrid</t>
  </si>
  <si>
    <t>gene25188-v1.0-hybrid</t>
  </si>
  <si>
    <t>gene25488-v1.0-hybrid</t>
  </si>
  <si>
    <t>gene26388-v1.0-hybrid</t>
  </si>
  <si>
    <t>gene26688-v1.0-hybrid</t>
  </si>
  <si>
    <t>gene26989-v1.0-hybrid</t>
  </si>
  <si>
    <t>gene27289-v1.0-hybrid</t>
  </si>
  <si>
    <t>gene27589-v1.0-hybrid</t>
  </si>
  <si>
    <t>gene27889-v1.0-hybrid</t>
  </si>
  <si>
    <t>gene28189-v1.0-hybrid</t>
  </si>
  <si>
    <t>gene28489-v1.0-hybrid</t>
  </si>
  <si>
    <t>gene28789-v1.0-hybrid</t>
  </si>
  <si>
    <t>gene29089-v1.0-hybrid</t>
  </si>
  <si>
    <t>gene29389-v1.0-hybrid</t>
  </si>
  <si>
    <t>gene29991-v1.0-hybrid</t>
  </si>
  <si>
    <t>gene30291-v1.0-hybrid</t>
  </si>
  <si>
    <t>gene30591-v1.0-hybrid</t>
  </si>
  <si>
    <t>gene30891-v1.0-hybrid</t>
  </si>
  <si>
    <t>gene31491-v1.0-hybrid</t>
  </si>
  <si>
    <t>gene31791-v1.0-hybrid</t>
  </si>
  <si>
    <t>gene32091-v1.0-hybrid</t>
  </si>
  <si>
    <t>gene32391-v1.0-hybrid</t>
  </si>
  <si>
    <t>gene32692-v1.0-hybrid</t>
  </si>
  <si>
    <t>gene33075-v1.0-hybrid</t>
  </si>
  <si>
    <t>gene33474-v1.0-hybrid</t>
  </si>
  <si>
    <t>gene34156-v1.0-hybrid</t>
  </si>
  <si>
    <t>gene34456-v1.0-hybrid</t>
  </si>
  <si>
    <t>gene35056-v1.0-hybrid</t>
  </si>
  <si>
    <t>gene00469-v1.0-hybrid</t>
  </si>
  <si>
    <t>gene00772-v1.0-hybrid</t>
  </si>
  <si>
    <t>gene01372-v1.0-hybrid</t>
  </si>
  <si>
    <t>gene01673-v1.0-hybrid</t>
  </si>
  <si>
    <t>gene01973-v1.0-hybrid</t>
  </si>
  <si>
    <t>gene02273-v1.0-hybrid</t>
  </si>
  <si>
    <t>gene02573-v1.0-hybrid</t>
  </si>
  <si>
    <t>gene03561-v1.0-hybrid</t>
  </si>
  <si>
    <t>gene04161-v1.0-hybrid</t>
  </si>
  <si>
    <t>gene04461-v1.0-hybrid</t>
  </si>
  <si>
    <t>gene04761-v1.0-hybrid</t>
  </si>
  <si>
    <t>gene05061-v1.0-hybrid</t>
  </si>
  <si>
    <t>gene05962-v1.0-hybrid</t>
  </si>
  <si>
    <t>gene06262-v1.0-hybrid</t>
  </si>
  <si>
    <t>gene06562-v1.0-hybrid</t>
  </si>
  <si>
    <t>gene06862-v1.0-hybrid</t>
  </si>
  <si>
    <t>gene07162-v1.0-hybrid</t>
  </si>
  <si>
    <t>gene07763-v1.0-hybrid</t>
  </si>
  <si>
    <t>gene08063-v1.0-hybrid</t>
  </si>
  <si>
    <t>gene08363-v1.0-hybrid</t>
  </si>
  <si>
    <t>gene08663-v1.0-hybrid</t>
  </si>
  <si>
    <t>gene08963-v1.0-hybrid</t>
  </si>
  <si>
    <t>gene09263-v1.0-hybrid</t>
  </si>
  <si>
    <t>gene09563-v1.0-hybrid</t>
  </si>
  <si>
    <t>gene10164-v1.0-hybrid</t>
  </si>
  <si>
    <t>gene10465-v1.0-hybrid</t>
  </si>
  <si>
    <t>gene10765-v1.0-hybrid</t>
  </si>
  <si>
    <t>gene11065-v1.0-hybrid</t>
  </si>
  <si>
    <t>gene11366-v1.0-hybrid</t>
  </si>
  <si>
    <t>gene11666-v1.0-hybrid</t>
  </si>
  <si>
    <t>gene11966-v1.0-hybrid</t>
  </si>
  <si>
    <t>gene12266-v1.0-hybrid</t>
  </si>
  <si>
    <t>gene12866-v1.0-hybrid</t>
  </si>
  <si>
    <t>gene13167-v1.0-hybrid</t>
  </si>
  <si>
    <t>gene13467-v1.0-hybrid</t>
  </si>
  <si>
    <t>gene13767-v1.0-hybrid</t>
  </si>
  <si>
    <t>gene14068-v1.0-hybrid</t>
  </si>
  <si>
    <t>gene14671-v1.0-hybrid</t>
  </si>
  <si>
    <t>gene14972-v1.0-hybrid</t>
  </si>
  <si>
    <t>gene15273-v1.0-hybrid</t>
  </si>
  <si>
    <t>gene15574-v1.0-hybrid</t>
  </si>
  <si>
    <t>gene15875-v1.0-hybrid</t>
  </si>
  <si>
    <t>gene16476-v1.0-hybrid</t>
  </si>
  <si>
    <t>gene16776-v1.0-hybrid</t>
  </si>
  <si>
    <t>gene17378-v1.0-hybrid</t>
  </si>
  <si>
    <t>gene17678-v1.0-hybrid</t>
  </si>
  <si>
    <t>gene18278-v1.0-hybrid</t>
  </si>
  <si>
    <t>gene18578-v1.0-hybrid</t>
  </si>
  <si>
    <t>gene18878-v1.0-hybrid</t>
  </si>
  <si>
    <t>gene19178-v1.0-hybrid</t>
  </si>
  <si>
    <t>gene19478-v1.0-hybrid</t>
  </si>
  <si>
    <t>gene19778-v1.0-hybrid</t>
  </si>
  <si>
    <t>gene20078-v1.0-hybrid</t>
  </si>
  <si>
    <t>gene20379-v1.0-hybrid</t>
  </si>
  <si>
    <t>gene20979-v1.0-hybrid</t>
  </si>
  <si>
    <t>gene21279-v1.0-hybrid</t>
  </si>
  <si>
    <t>gene21580-v1.0-hybrid</t>
  </si>
  <si>
    <t>gene21880-v1.0-hybrid</t>
  </si>
  <si>
    <t>gene22181-v1.0-hybrid</t>
  </si>
  <si>
    <t>gene22481-v1.0-hybrid</t>
  </si>
  <si>
    <t>gene22782-v1.0-hybrid</t>
  </si>
  <si>
    <t>gene23082-v1.0-hybrid</t>
  </si>
  <si>
    <t>gene23384-v1.0-hybrid</t>
  </si>
  <si>
    <t>gene23984-v1.0-hybrid</t>
  </si>
  <si>
    <t>gene24286-v1.0-hybrid</t>
  </si>
  <si>
    <t>gene24889-v1.0-hybrid</t>
  </si>
  <si>
    <t>gene25489-v1.0-hybrid</t>
  </si>
  <si>
    <t>gene26089-v1.0-hybrid</t>
  </si>
  <si>
    <t>gene26389-v1.0-hybrid</t>
  </si>
  <si>
    <t>gene26990-v1.0-hybrid</t>
  </si>
  <si>
    <t>gene27890-v1.0-hybrid</t>
  </si>
  <si>
    <t>gene28190-v1.0-hybrid</t>
  </si>
  <si>
    <t>gene28490-v1.0-hybrid</t>
  </si>
  <si>
    <t>gene28790-v1.0-hybrid</t>
  </si>
  <si>
    <t>gene29090-v1.0-hybrid</t>
  </si>
  <si>
    <t>gene29390-v1.0-hybrid</t>
  </si>
  <si>
    <t>gene29691-v1.0-hybrid</t>
  </si>
  <si>
    <t>gene29992-v1.0-hybrid</t>
  </si>
  <si>
    <t>gene30292-v1.0-hybrid</t>
  </si>
  <si>
    <t>gene30592-v1.0-hybrid</t>
  </si>
  <si>
    <t>gene30892-v1.0-hybrid</t>
  </si>
  <si>
    <t>gene31492-v1.0-hybrid</t>
  </si>
  <si>
    <t>gene31792-v1.0-hybrid</t>
  </si>
  <si>
    <t>gene32092-v1.0-hybrid</t>
  </si>
  <si>
    <t>gene32392-v1.0-hybrid</t>
  </si>
  <si>
    <t>gene32693-v1.0-hybrid</t>
  </si>
  <si>
    <t>gene33857-v1.0-hybrid</t>
  </si>
  <si>
    <t>gene34157-v1.0-hybrid</t>
  </si>
  <si>
    <t>gene34457-v1.0-hybrid</t>
  </si>
  <si>
    <t>gene35057-v1.0-hybrid</t>
  </si>
  <si>
    <t>gene00773-v1.0-hybrid</t>
  </si>
  <si>
    <t>gene01373-v1.0-hybrid</t>
  </si>
  <si>
    <t>gene01674-v1.0-hybrid</t>
  </si>
  <si>
    <t>gene01974-v1.0-hybrid</t>
  </si>
  <si>
    <t>gene02574-v1.0-hybrid</t>
  </si>
  <si>
    <t>gene03262-v1.0-hybrid</t>
  </si>
  <si>
    <t>gene03562-v1.0-hybrid</t>
  </si>
  <si>
    <t>gene03862-v1.0-hybrid</t>
  </si>
  <si>
    <t>gene04162-v1.0-hybrid</t>
  </si>
  <si>
    <t>gene04762-v1.0-hybrid</t>
  </si>
  <si>
    <t>gene05363-v1.0-hybrid</t>
  </si>
  <si>
    <t>gene05663-v1.0-hybrid</t>
  </si>
  <si>
    <t>gene05963-v1.0-hybrid</t>
  </si>
  <si>
    <t>gene06263-v1.0-hybrid</t>
  </si>
  <si>
    <t>gene06563-v1.0-hybrid</t>
  </si>
  <si>
    <t>gene06863-v1.0-hybrid</t>
  </si>
  <si>
    <t>gene07163-v1.0-hybrid</t>
  </si>
  <si>
    <t>gene07764-v1.0-hybrid</t>
  </si>
  <si>
    <t>gene08064-v1.0-hybrid</t>
  </si>
  <si>
    <t>gene08364-v1.0-hybrid</t>
  </si>
  <si>
    <t>gene08664-v1.0-hybrid</t>
  </si>
  <si>
    <t>gene09264-v1.0-hybrid</t>
  </si>
  <si>
    <t>gene09564-v1.0-hybrid</t>
  </si>
  <si>
    <t>gene09865-v1.0-hybrid</t>
  </si>
  <si>
    <t>gene10165-v1.0-hybrid</t>
  </si>
  <si>
    <t>gene10766-v1.0-hybrid</t>
  </si>
  <si>
    <t>gene11066-v1.0-hybrid</t>
  </si>
  <si>
    <t>gene11667-v1.0-hybrid</t>
  </si>
  <si>
    <t>gene11967-v1.0-hybrid</t>
  </si>
  <si>
    <t>gene12567-v1.0-hybrid</t>
  </si>
  <si>
    <t>gene12867-v1.0-hybrid</t>
  </si>
  <si>
    <t>gene13168-v1.0-hybrid</t>
  </si>
  <si>
    <t>gene13468-v1.0-hybrid</t>
  </si>
  <si>
    <t>gene13768-v1.0-hybrid</t>
  </si>
  <si>
    <t>gene14069-v1.0-hybrid</t>
  </si>
  <si>
    <t>gene14973-v1.0-hybrid</t>
  </si>
  <si>
    <t>gene15274-v1.0-hybrid</t>
  </si>
  <si>
    <t>gene15575-v1.0-hybrid</t>
  </si>
  <si>
    <t>gene15876-v1.0-hybrid</t>
  </si>
  <si>
    <t>gene16777-v1.0-hybrid</t>
  </si>
  <si>
    <t>gene17679-v1.0-hybrid</t>
  </si>
  <si>
    <t>gene18579-v1.0-hybrid</t>
  </si>
  <si>
    <t>gene19179-v1.0-hybrid</t>
  </si>
  <si>
    <t>gene19479-v1.0-hybrid</t>
  </si>
  <si>
    <t>gene19779-v1.0-hybrid</t>
  </si>
  <si>
    <t>gene20079-v1.0-hybrid</t>
  </si>
  <si>
    <t>gene20980-v1.0-hybrid</t>
  </si>
  <si>
    <t>gene21280-v1.0-hybrid</t>
  </si>
  <si>
    <t>gene21881-v1.0-hybrid</t>
  </si>
  <si>
    <t>gene23385-v1.0-hybrid</t>
  </si>
  <si>
    <t>gene23685-v1.0-hybrid</t>
  </si>
  <si>
    <t>gene23985-v1.0-hybrid</t>
  </si>
  <si>
    <t>gene24287-v1.0-hybrid</t>
  </si>
  <si>
    <t>gene24588-v1.0-hybrid</t>
  </si>
  <si>
    <t>gene24890-v1.0-hybrid</t>
  </si>
  <si>
    <t>gene25490-v1.0-hybrid</t>
  </si>
  <si>
    <t>gene25790-v1.0-hybrid</t>
  </si>
  <si>
    <t>gene26090-v1.0-hybrid</t>
  </si>
  <si>
    <t>gene26390-v1.0-hybrid</t>
  </si>
  <si>
    <t>gene26690-v1.0-hybrid</t>
  </si>
  <si>
    <t>gene26991-v1.0-hybrid</t>
  </si>
  <si>
    <t>gene27291-v1.0-hybrid</t>
  </si>
  <si>
    <t>gene27591-v1.0-hybrid</t>
  </si>
  <si>
    <t>gene27891-v1.0-hybrid</t>
  </si>
  <si>
    <t>gene28191-v1.0-hybrid</t>
  </si>
  <si>
    <t>gene28491-v1.0-hybrid</t>
  </si>
  <si>
    <t>gene28791-v1.0-hybrid</t>
  </si>
  <si>
    <t>gene29391-v1.0-hybrid</t>
  </si>
  <si>
    <t>gene29692-v1.0-hybrid</t>
  </si>
  <si>
    <t>gene29993-v1.0-hybrid</t>
  </si>
  <si>
    <t>gene30293-v1.0-hybrid</t>
  </si>
  <si>
    <t>gene30593-v1.0-hybrid</t>
  </si>
  <si>
    <t>gene30893-v1.0-hybrid</t>
  </si>
  <si>
    <t>gene31193-v1.0-hybrid</t>
  </si>
  <si>
    <t>gene31493-v1.0-hybrid</t>
  </si>
  <si>
    <t>gene31793-v1.0-hybrid</t>
  </si>
  <si>
    <t>gene32093-v1.0-hybrid</t>
  </si>
  <si>
    <t>gene32393-v1.0-hybrid</t>
  </si>
  <si>
    <t>gene32694-v1.0-hybrid</t>
  </si>
  <si>
    <t>gene33078-v1.0-hybrid</t>
  </si>
  <si>
    <t>gene33858-v1.0-hybrid</t>
  </si>
  <si>
    <t>gene34458-v1.0-hybrid</t>
  </si>
  <si>
    <t>gene34758-v1.0-hybrid</t>
  </si>
  <si>
    <t>gene35058-v1.0-hybrid</t>
  </si>
  <si>
    <t>gene00170-v1.0-hybrid</t>
  </si>
  <si>
    <t>gene00774-v1.0-hybrid</t>
  </si>
  <si>
    <t>gene01074-v1.0-hybrid</t>
  </si>
  <si>
    <t>gene01374-v1.0-hybrid</t>
  </si>
  <si>
    <t>gene01975-v1.0-hybrid</t>
  </si>
  <si>
    <t>gene02275-v1.0-hybrid</t>
  </si>
  <si>
    <t>gene02575-v1.0-hybrid</t>
  </si>
  <si>
    <t>gene02937-v1.0-hybrid</t>
  </si>
  <si>
    <t>gene03263-v1.0-hybrid</t>
  </si>
  <si>
    <t>gene04163-v1.0-hybrid</t>
  </si>
  <si>
    <t>gene04463-v1.0-hybrid</t>
  </si>
  <si>
    <t>gene04763-v1.0-hybrid</t>
  </si>
  <si>
    <t>gene05063-v1.0-hybrid</t>
  </si>
  <si>
    <t>gene05364-v1.0-hybrid</t>
  </si>
  <si>
    <t>gene05664-v1.0-hybrid</t>
  </si>
  <si>
    <t>gene05964-v1.0-hybrid</t>
  </si>
  <si>
    <t>gene06264-v1.0-hybrid</t>
  </si>
  <si>
    <t>gene06564-v1.0-hybrid</t>
  </si>
  <si>
    <t>gene06864-v1.0-hybrid</t>
  </si>
  <si>
    <t>gene07164-v1.0-hybrid</t>
  </si>
  <si>
    <t>gene07464-v1.0-hybrid</t>
  </si>
  <si>
    <t>gene08065-v1.0-hybrid</t>
  </si>
  <si>
    <t>gene08965-v1.0-hybrid</t>
  </si>
  <si>
    <t>gene09265-v1.0-hybrid</t>
  </si>
  <si>
    <t>gene09866-v1.0-hybrid</t>
  </si>
  <si>
    <t>gene10166-v1.0-hybrid</t>
  </si>
  <si>
    <t>gene10467-v1.0-hybrid</t>
  </si>
  <si>
    <t>gene10767-v1.0-hybrid</t>
  </si>
  <si>
    <t>gene11067-v1.0-hybrid</t>
  </si>
  <si>
    <t>gene11368-v1.0-hybrid</t>
  </si>
  <si>
    <t>gene11668-v1.0-hybrid</t>
  </si>
  <si>
    <t>gene11968-v1.0-hybrid</t>
  </si>
  <si>
    <t>gene12268-v1.0-hybrid</t>
  </si>
  <si>
    <t>gene12568-v1.0-hybrid</t>
  </si>
  <si>
    <t>gene13169-v1.0-hybrid</t>
  </si>
  <si>
    <t>gene13469-v1.0-hybrid</t>
  </si>
  <si>
    <t>gene13769-v1.0-hybrid</t>
  </si>
  <si>
    <t>gene14070-v1.0-hybrid</t>
  </si>
  <si>
    <t>gene14673-v1.0-hybrid</t>
  </si>
  <si>
    <t>gene15877-v1.0-hybrid</t>
  </si>
  <si>
    <t>gene16178-v1.0-hybrid</t>
  </si>
  <si>
    <t>gene16478-v1.0-hybrid</t>
  </si>
  <si>
    <t>gene16778-v1.0-hybrid</t>
  </si>
  <si>
    <t>gene17380-v1.0-hybrid</t>
  </si>
  <si>
    <t>gene17680-v1.0-hybrid</t>
  </si>
  <si>
    <t>gene18280-v1.0-hybrid</t>
  </si>
  <si>
    <t>gene18580-v1.0-hybrid</t>
  </si>
  <si>
    <t>gene18880-v1.0-hybrid</t>
  </si>
  <si>
    <t>gene19480-v1.0-hybrid</t>
  </si>
  <si>
    <t>gene20080-v1.0-hybrid</t>
  </si>
  <si>
    <t>gene21281-v1.0-hybrid</t>
  </si>
  <si>
    <t>gene21882-v1.0-hybrid</t>
  </si>
  <si>
    <t>gene22183-v1.0-hybrid</t>
  </si>
  <si>
    <t>gene22483-v1.0-hybrid</t>
  </si>
  <si>
    <t>gene22784-v1.0-hybrid</t>
  </si>
  <si>
    <t>gene23084-v1.0-hybrid</t>
  </si>
  <si>
    <t>gene23386-v1.0-hybrid</t>
  </si>
  <si>
    <t>gene23686-v1.0-hybrid</t>
  </si>
  <si>
    <t>gene23986-v1.0-hybrid</t>
  </si>
  <si>
    <t>gene24288-v1.0-hybrid</t>
  </si>
  <si>
    <t>gene25191-v1.0-hybrid</t>
  </si>
  <si>
    <t>gene26091-v1.0-hybrid</t>
  </si>
  <si>
    <t>gene26691-v1.0-hybrid</t>
  </si>
  <si>
    <t>gene27292-v1.0-hybrid</t>
  </si>
  <si>
    <t>gene27592-v1.0-hybrid</t>
  </si>
  <si>
    <t>gene27892-v1.0-hybrid</t>
  </si>
  <si>
    <t>gene28192-v1.0-hybrid</t>
  </si>
  <si>
    <t>gene28492-v1.0-hybrid</t>
  </si>
  <si>
    <t>gene28792-v1.0-hybrid</t>
  </si>
  <si>
    <t>gene29092-v1.0-hybrid</t>
  </si>
  <si>
    <t>gene29693-v1.0-hybrid</t>
  </si>
  <si>
    <t>gene29994-v1.0-hybrid</t>
  </si>
  <si>
    <t>gene30294-v1.0-hybrid</t>
  </si>
  <si>
    <t>gene30594-v1.0-hybrid</t>
  </si>
  <si>
    <t>gene30894-v1.0-hybrid</t>
  </si>
  <si>
    <t>gene31194-v1.0-hybrid</t>
  </si>
  <si>
    <t>gene31494-v1.0-hybrid</t>
  </si>
  <si>
    <t>gene31794-v1.0-hybrid</t>
  </si>
  <si>
    <t>gene32094-v1.0-hybrid</t>
  </si>
  <si>
    <t>gene32394-v1.0-hybrid</t>
  </si>
  <si>
    <t>gene32695-v1.0-hybrid</t>
  </si>
  <si>
    <t>gene33079-v1.0-hybrid</t>
  </si>
  <si>
    <t>gene33479-v1.0-hybrid</t>
  </si>
  <si>
    <t>gene33859-v1.0-hybrid</t>
  </si>
  <si>
    <t>gene34159-v1.0-hybrid</t>
  </si>
  <si>
    <t>gene34459-v1.0-hybrid</t>
  </si>
  <si>
    <t>gene35059-v1.0-hybrid</t>
  </si>
  <si>
    <t>gene00775-v1.0-hybrid</t>
  </si>
  <si>
    <t>gene01676-v1.0-hybrid</t>
  </si>
  <si>
    <t>gene01976-v1.0-hybrid</t>
  </si>
  <si>
    <t>gene02276-v1.0-hybrid</t>
  </si>
  <si>
    <t>gene03564-v1.0-hybrid</t>
  </si>
  <si>
    <t>gene03864-v1.0-hybrid</t>
  </si>
  <si>
    <t>gene04464-v1.0-hybrid</t>
  </si>
  <si>
    <t>gene04764-v1.0-hybrid</t>
  </si>
  <si>
    <t>gene05064-v1.0-hybrid</t>
  </si>
  <si>
    <t>gene05365-v1.0-hybrid</t>
  </si>
  <si>
    <t>gene05665-v1.0-hybrid</t>
  </si>
  <si>
    <t>gene05965-v1.0-hybrid</t>
  </si>
  <si>
    <t>gene06265-v1.0-hybrid</t>
  </si>
  <si>
    <t>gene06565-v1.0-hybrid</t>
  </si>
  <si>
    <t>gene07165-v1.0-hybrid</t>
  </si>
  <si>
    <t>gene07465-v1.0-hybrid</t>
  </si>
  <si>
    <t>gene07766-v1.0-hybrid</t>
  </si>
  <si>
    <t>gene08066-v1.0-hybrid</t>
  </si>
  <si>
    <t>gene08366-v1.0-hybrid</t>
  </si>
  <si>
    <t>gene08666-v1.0-hybrid</t>
  </si>
  <si>
    <t>gene08966-v1.0-hybrid</t>
  </si>
  <si>
    <t>gene09867-v1.0-hybrid</t>
  </si>
  <si>
    <t>gene10768-v1.0-hybrid</t>
  </si>
  <si>
    <t>gene11068-v1.0-hybrid</t>
  </si>
  <si>
    <t>gene11369-v1.0-hybrid</t>
  </si>
  <si>
    <t>gene11669-v1.0-hybrid</t>
  </si>
  <si>
    <t>gene11969-v1.0-hybrid</t>
  </si>
  <si>
    <t>gene12269-v1.0-hybrid</t>
  </si>
  <si>
    <t>gene12569-v1.0-hybrid</t>
  </si>
  <si>
    <t>gene12869-v1.0-hybrid</t>
  </si>
  <si>
    <t>gene13170-v1.0-hybrid</t>
  </si>
  <si>
    <t>gene13470-v1.0-hybrid</t>
  </si>
  <si>
    <t>gene13770-v1.0-hybrid</t>
  </si>
  <si>
    <t>gene14071-v1.0-hybrid</t>
  </si>
  <si>
    <t>gene14674-v1.0-hybrid</t>
  </si>
  <si>
    <t>gene14975-v1.0-hybrid</t>
  </si>
  <si>
    <t>gene15878-v1.0-hybrid</t>
  </si>
  <si>
    <t>gene16179-v1.0-hybrid</t>
  </si>
  <si>
    <t>gene16479-v1.0-hybrid</t>
  </si>
  <si>
    <t>gene16779-v1.0-hybrid</t>
  </si>
  <si>
    <t>gene17081-v1.0-hybrid</t>
  </si>
  <si>
    <t>gene17381-v1.0-hybrid</t>
  </si>
  <si>
    <t>gene17681-v1.0-hybrid</t>
  </si>
  <si>
    <t>gene18281-v1.0-hybrid</t>
  </si>
  <si>
    <t>gene18581-v1.0-hybrid</t>
  </si>
  <si>
    <t>gene18881-v1.0-hybrid</t>
  </si>
  <si>
    <t>gene19481-v1.0-hybrid</t>
  </si>
  <si>
    <t>gene19781-v1.0-hybrid</t>
  </si>
  <si>
    <t>gene20081-v1.0-hybrid</t>
  </si>
  <si>
    <t>gene20382-v1.0-hybrid</t>
  </si>
  <si>
    <t>gene20682-v1.0-hybrid</t>
  </si>
  <si>
    <t>gene20982-v1.0-hybrid</t>
  </si>
  <si>
    <t>gene21282-v1.0-hybrid</t>
  </si>
  <si>
    <t>gene21583-v1.0-hybrid</t>
  </si>
  <si>
    <t>gene21883-v1.0-hybrid</t>
  </si>
  <si>
    <t>gene22184-v1.0-hybrid</t>
  </si>
  <si>
    <t>gene22484-v1.0-hybrid</t>
  </si>
  <si>
    <t>gene22785-v1.0-hybrid</t>
  </si>
  <si>
    <t>gene23085-v1.0-hybrid</t>
  </si>
  <si>
    <t>gene23387-v1.0-hybrid</t>
  </si>
  <si>
    <t>gene23687-v1.0-hybrid</t>
  </si>
  <si>
    <t>gene23987-v1.0-hybrid</t>
  </si>
  <si>
    <t>gene24289-v1.0-hybrid</t>
  </si>
  <si>
    <t>gene25492-v1.0-hybrid</t>
  </si>
  <si>
    <t>gene26092-v1.0-hybrid</t>
  </si>
  <si>
    <t>gene26692-v1.0-hybrid</t>
  </si>
  <si>
    <t>gene27593-v1.0-hybrid</t>
  </si>
  <si>
    <t>gene27893-v1.0-hybrid</t>
  </si>
  <si>
    <t>gene28193-v1.0-hybrid</t>
  </si>
  <si>
    <t>gene28793-v1.0-hybrid</t>
  </si>
  <si>
    <t>gene29093-v1.0-hybrid</t>
  </si>
  <si>
    <t>gene29393-v1.0-hybrid</t>
  </si>
  <si>
    <t>gene29694-v1.0-hybrid</t>
  </si>
  <si>
    <t>gene30295-v1.0-hybrid</t>
  </si>
  <si>
    <t>gene30595-v1.0-hybrid</t>
  </si>
  <si>
    <t>gene30895-v1.0-hybrid</t>
  </si>
  <si>
    <t>gene31795-v1.0-hybrid</t>
  </si>
  <si>
    <t>gene32095-v1.0-hybrid</t>
  </si>
  <si>
    <t>gene32395-v1.0-hybrid</t>
  </si>
  <si>
    <t>gene34160-v1.0-hybrid</t>
  </si>
  <si>
    <t>gene34460-v1.0-hybrid</t>
  </si>
  <si>
    <t>gene35060-v1.0-hybrid</t>
  </si>
  <si>
    <t>gene00172-v1.0-hybrid</t>
  </si>
  <si>
    <t>gene00473-v1.0-hybrid</t>
  </si>
  <si>
    <t>gene00776-v1.0-hybrid</t>
  </si>
  <si>
    <t>gene01076-v1.0-hybrid</t>
  </si>
  <si>
    <t>gene01376-v1.0-hybrid</t>
  </si>
  <si>
    <t>gene01677-v1.0-hybrid</t>
  </si>
  <si>
    <t>gene01977-v1.0-hybrid</t>
  </si>
  <si>
    <t>gene02277-v1.0-hybrid</t>
  </si>
  <si>
    <t>gene02577-v1.0-hybrid</t>
  </si>
  <si>
    <t>gene03265-v1.0-hybrid</t>
  </si>
  <si>
    <t>gene03865-v1.0-hybrid</t>
  </si>
  <si>
    <t>gene04765-v1.0-hybrid</t>
  </si>
  <si>
    <t>gene05065-v1.0-hybrid</t>
  </si>
  <si>
    <t>gene06266-v1.0-hybrid</t>
  </si>
  <si>
    <t>gene06566-v1.0-hybrid</t>
  </si>
  <si>
    <t>gene06866-v1.0-hybrid</t>
  </si>
  <si>
    <t>gene07166-v1.0-hybrid</t>
  </si>
  <si>
    <t>gene07466-v1.0-hybrid</t>
  </si>
  <si>
    <t>gene07767-v1.0-hybrid</t>
  </si>
  <si>
    <t>gene08067-v1.0-hybrid</t>
  </si>
  <si>
    <t>gene08667-v1.0-hybrid</t>
  </si>
  <si>
    <t>gene08967-v1.0-hybrid</t>
  </si>
  <si>
    <t>gene09267-v1.0-hybrid</t>
  </si>
  <si>
    <t>gene09567-v1.0-hybrid</t>
  </si>
  <si>
    <t>gene09868-v1.0-hybrid</t>
  </si>
  <si>
    <t>gene10168-v1.0-hybrid</t>
  </si>
  <si>
    <t>gene10469-v1.0-hybrid</t>
  </si>
  <si>
    <t>gene10769-v1.0-hybrid</t>
  </si>
  <si>
    <t>gene11069-v1.0-hybrid</t>
  </si>
  <si>
    <t>gene11370-v1.0-hybrid</t>
  </si>
  <si>
    <t>gene11670-v1.0-hybrid</t>
  </si>
  <si>
    <t>gene11970-v1.0-hybrid</t>
  </si>
  <si>
    <t>gene12570-v1.0-hybrid</t>
  </si>
  <si>
    <t>gene12870-v1.0-hybrid</t>
  </si>
  <si>
    <t>gene13471-v1.0-hybrid</t>
  </si>
  <si>
    <t>gene13771-v1.0-hybrid</t>
  </si>
  <si>
    <t>gene14072-v1.0-hybrid</t>
  </si>
  <si>
    <t>gene14373-v1.0-hybrid</t>
  </si>
  <si>
    <t>gene14675-v1.0-hybrid</t>
  </si>
  <si>
    <t>gene14976-v1.0-hybrid</t>
  </si>
  <si>
    <t>gene15277-v1.0-hybrid</t>
  </si>
  <si>
    <t>gene15578-v1.0-hybrid</t>
  </si>
  <si>
    <t>gene15879-v1.0-hybrid</t>
  </si>
  <si>
    <t>gene16180-v1.0-hybrid</t>
  </si>
  <si>
    <t>gene16480-v1.0-hybrid</t>
  </si>
  <si>
    <t>gene16780-v1.0-hybrid</t>
  </si>
  <si>
    <t>gene17082-v1.0-hybrid</t>
  </si>
  <si>
    <t>gene17682-v1.0-hybrid</t>
  </si>
  <si>
    <t>gene17982-v1.0-hybrid</t>
  </si>
  <si>
    <t>gene18282-v1.0-hybrid</t>
  </si>
  <si>
    <t>gene18582-v1.0-hybrid</t>
  </si>
  <si>
    <t>gene19782-v1.0-hybrid</t>
  </si>
  <si>
    <t>gene20082-v1.0-hybrid</t>
  </si>
  <si>
    <t>gene20383-v1.0-hybrid</t>
  </si>
  <si>
    <t>gene20983-v1.0-hybrid</t>
  </si>
  <si>
    <t>gene21283-v1.0-hybrid</t>
  </si>
  <si>
    <t>gene21884-v1.0-hybrid</t>
  </si>
  <si>
    <t>gene22185-v1.0-hybrid</t>
  </si>
  <si>
    <t>gene22786-v1.0-hybrid</t>
  </si>
  <si>
    <t>gene23086-v1.0-hybrid</t>
  </si>
  <si>
    <t>gene23388-v1.0-hybrid</t>
  </si>
  <si>
    <t>gene24290-v1.0-hybrid</t>
  </si>
  <si>
    <t>gene24893-v1.0-hybrid</t>
  </si>
  <si>
    <t>gene25193-v1.0-hybrid</t>
  </si>
  <si>
    <t>gene25793-v1.0-hybrid</t>
  </si>
  <si>
    <t>gene26393-v1.0-hybrid</t>
  </si>
  <si>
    <t>gene26693-v1.0-hybrid</t>
  </si>
  <si>
    <t>gene26994-v1.0-hybrid</t>
  </si>
  <si>
    <t>gene27294-v1.0-hybrid</t>
  </si>
  <si>
    <t>gene27594-v1.0-hybrid</t>
  </si>
  <si>
    <t>gene27894-v1.0-hybrid</t>
  </si>
  <si>
    <t>gene28194-v1.0-hybrid</t>
  </si>
  <si>
    <t>gene28494-v1.0-hybrid</t>
  </si>
  <si>
    <t>gene28794-v1.0-hybrid</t>
  </si>
  <si>
    <t>gene29394-v1.0-hybrid</t>
  </si>
  <si>
    <t>gene29695-v1.0-hybrid</t>
  </si>
  <si>
    <t>gene29996-v1.0-hybrid</t>
  </si>
  <si>
    <t>gene30296-v1.0-hybrid</t>
  </si>
  <si>
    <t>gene30596-v1.0-hybrid</t>
  </si>
  <si>
    <t>gene30896-v1.0-hybrid</t>
  </si>
  <si>
    <t>gene31796-v1.0-hybrid</t>
  </si>
  <si>
    <t>gene32096-v1.0-hybrid</t>
  </si>
  <si>
    <t>gene32697-v1.0-hybrid</t>
  </si>
  <si>
    <t>gene33484-v1.0-hybrid</t>
  </si>
  <si>
    <t>gene33861-v1.0-hybrid</t>
  </si>
  <si>
    <t>gene34461-v1.0-hybrid</t>
  </si>
  <si>
    <t>gene34761-v1.0-hybrid</t>
  </si>
  <si>
    <t>gene00173-v1.0-hybrid</t>
  </si>
  <si>
    <t>gene00474-v1.0-hybrid</t>
  </si>
  <si>
    <t>gene00777-v1.0-hybrid</t>
  </si>
  <si>
    <t>gene01077-v1.0-hybrid</t>
  </si>
  <si>
    <t>gene01377-v1.0-hybrid</t>
  </si>
  <si>
    <t>gene01678-v1.0-hybrid</t>
  </si>
  <si>
    <t>gene01978-v1.0-hybrid</t>
  </si>
  <si>
    <t>gene02278-v1.0-hybrid</t>
  </si>
  <si>
    <t>gene02578-v1.0-hybrid</t>
  </si>
  <si>
    <t>gene03266-v1.0-hybrid</t>
  </si>
  <si>
    <t>gene03566-v1.0-hybrid</t>
  </si>
  <si>
    <t>gene04166-v1.0-hybrid</t>
  </si>
  <si>
    <t>gene04466-v1.0-hybrid</t>
  </si>
  <si>
    <t>gene04766-v1.0-hybrid</t>
  </si>
  <si>
    <t>gene05066-v1.0-hybrid</t>
  </si>
  <si>
    <t>gene05367-v1.0-hybrid</t>
  </si>
  <si>
    <t>gene05667-v1.0-hybrid</t>
  </si>
  <si>
    <t>gene05967-v1.0-hybrid</t>
  </si>
  <si>
    <t>gene06267-v1.0-hybrid</t>
  </si>
  <si>
    <t>gene06567-v1.0-hybrid</t>
  </si>
  <si>
    <t>gene06867-v1.0-hybrid</t>
  </si>
  <si>
    <t>gene07167-v1.0-hybrid</t>
  </si>
  <si>
    <t>gene07467-v1.0-hybrid</t>
  </si>
  <si>
    <t>gene08068-v1.0-hybrid</t>
  </si>
  <si>
    <t>gene08368-v1.0-hybrid</t>
  </si>
  <si>
    <t>gene08968-v1.0-hybrid</t>
  </si>
  <si>
    <t>gene09268-v1.0-hybrid</t>
  </si>
  <si>
    <t>gene09568-v1.0-hybrid</t>
  </si>
  <si>
    <t>gene10169-v1.0-hybrid</t>
  </si>
  <si>
    <t>gene10470-v1.0-hybrid</t>
  </si>
  <si>
    <t>gene10770-v1.0-hybrid</t>
  </si>
  <si>
    <t>gene11070-v1.0-hybrid</t>
  </si>
  <si>
    <t>gene11371-v1.0-hybrid</t>
  </si>
  <si>
    <t>gene11671-v1.0-hybrid</t>
  </si>
  <si>
    <t>gene11971-v1.0-hybrid</t>
  </si>
  <si>
    <t>gene12571-v1.0-hybrid</t>
  </si>
  <si>
    <t>gene12871-v1.0-hybrid</t>
  </si>
  <si>
    <t>gene13472-v1.0-hybrid</t>
  </si>
  <si>
    <t>gene14073-v1.0-hybrid</t>
  </si>
  <si>
    <t>gene14977-v1.0-hybrid</t>
  </si>
  <si>
    <t>gene15278-v1.0-hybrid</t>
  </si>
  <si>
    <t>gene15579-v1.0-hybrid</t>
  </si>
  <si>
    <t>gene15880-v1.0-hybrid</t>
  </si>
  <si>
    <t>gene16181-v1.0-hybrid</t>
  </si>
  <si>
    <t>gene16481-v1.0-hybrid</t>
  </si>
  <si>
    <t>gene16781-v1.0-hybrid</t>
  </si>
  <si>
    <t>gene17083-v1.0-hybrid</t>
  </si>
  <si>
    <t>gene18283-v1.0-hybrid</t>
  </si>
  <si>
    <t>gene18583-v1.0-hybrid</t>
  </si>
  <si>
    <t>gene19183-v1.0-hybrid</t>
  </si>
  <si>
    <t>gene19483-v1.0-hybrid</t>
  </si>
  <si>
    <t>gene19783-v1.0-hybrid</t>
  </si>
  <si>
    <t>gene20083-v1.0-hybrid</t>
  </si>
  <si>
    <t>gene20384-v1.0-hybrid</t>
  </si>
  <si>
    <t>gene21284-v1.0-hybrid</t>
  </si>
  <si>
    <t>gene21585-v1.0-hybrid</t>
  </si>
  <si>
    <t>gene21885-v1.0-hybrid</t>
  </si>
  <si>
    <t>gene22186-v1.0-hybrid</t>
  </si>
  <si>
    <t>gene22486-v1.0-hybrid</t>
  </si>
  <si>
    <t>gene22787-v1.0-hybrid</t>
  </si>
  <si>
    <t>gene23087-v1.0-hybrid</t>
  </si>
  <si>
    <t>gene23389-v1.0-hybrid</t>
  </si>
  <si>
    <t>gene23689-v1.0-hybrid</t>
  </si>
  <si>
    <t>gene23989-v1.0-hybrid</t>
  </si>
  <si>
    <t>gene24592-v1.0-hybrid</t>
  </si>
  <si>
    <t>gene24894-v1.0-hybrid</t>
  </si>
  <si>
    <t>gene25494-v1.0-hybrid</t>
  </si>
  <si>
    <t>gene25794-v1.0-hybrid</t>
  </si>
  <si>
    <t>gene26094-v1.0-hybrid</t>
  </si>
  <si>
    <t>gene26694-v1.0-hybrid</t>
  </si>
  <si>
    <t>gene27295-v1.0-hybrid</t>
  </si>
  <si>
    <t>gene27595-v1.0-hybrid</t>
  </si>
  <si>
    <t>gene27895-v1.0-hybrid</t>
  </si>
  <si>
    <t>gene28195-v1.0-hybrid</t>
  </si>
  <si>
    <t>gene28495-v1.0-hybrid</t>
  </si>
  <si>
    <t>gene28795-v1.0-hybrid</t>
  </si>
  <si>
    <t>gene29395-v1.0-hybrid</t>
  </si>
  <si>
    <t>gene29696-v1.0-hybrid</t>
  </si>
  <si>
    <t>gene30297-v1.0-hybrid</t>
  </si>
  <si>
    <t>gene31497-v1.0-hybrid</t>
  </si>
  <si>
    <t>gene31797-v1.0-hybrid</t>
  </si>
  <si>
    <t>gene32097-v1.0-hybrid</t>
  </si>
  <si>
    <t>gene32698-v1.0-hybrid</t>
  </si>
  <si>
    <t>gene00174-v1.0-hybrid</t>
  </si>
  <si>
    <t>gene00475-v1.0-hybrid</t>
  </si>
  <si>
    <t>gene00778-v1.0-hybrid</t>
  </si>
  <si>
    <t>gene01378-v1.0-hybrid</t>
  </si>
  <si>
    <t>gene01679-v1.0-hybrid</t>
  </si>
  <si>
    <t>gene01979-v1.0-hybrid</t>
  </si>
  <si>
    <t>gene02279-v1.0-hybrid</t>
  </si>
  <si>
    <t>gene02579-v1.0-hybrid</t>
  </si>
  <si>
    <t>gene03267-v1.0-hybrid</t>
  </si>
  <si>
    <t>gene03567-v1.0-hybrid</t>
  </si>
  <si>
    <t>gene03867-v1.0-hybrid</t>
  </si>
  <si>
    <t>gene04167-v1.0-hybrid</t>
  </si>
  <si>
    <t>gene04467-v1.0-hybrid</t>
  </si>
  <si>
    <t>gene05067-v1.0-hybrid</t>
  </si>
  <si>
    <t>gene05368-v1.0-hybrid</t>
  </si>
  <si>
    <t>gene05668-v1.0-hybrid</t>
  </si>
  <si>
    <t>gene06868-v1.0-hybrid</t>
  </si>
  <si>
    <t>gene07168-v1.0-hybrid</t>
  </si>
  <si>
    <t>gene07468-v1.0-hybrid</t>
  </si>
  <si>
    <t>gene07769-v1.0-hybrid</t>
  </si>
  <si>
    <t>gene08069-v1.0-hybrid</t>
  </si>
  <si>
    <t>gene08369-v1.0-hybrid</t>
  </si>
  <si>
    <t>gene08669-v1.0-hybrid</t>
  </si>
  <si>
    <t>gene08969-v1.0-hybrid</t>
  </si>
  <si>
    <t>gene09870-v1.0-hybrid</t>
  </si>
  <si>
    <t>gene10170-v1.0-hybrid</t>
  </si>
  <si>
    <t>gene10471-v1.0-hybrid</t>
  </si>
  <si>
    <t>gene10771-v1.0-hybrid</t>
  </si>
  <si>
    <t>gene11372-v1.0-hybrid</t>
  </si>
  <si>
    <t>gene11672-v1.0-hybrid</t>
  </si>
  <si>
    <t>gene11972-v1.0-hybrid</t>
  </si>
  <si>
    <t>gene12572-v1.0-hybrid</t>
  </si>
  <si>
    <t>gene12872-v1.0-hybrid</t>
  </si>
  <si>
    <t>gene13173-v1.0-hybrid</t>
  </si>
  <si>
    <t>gene13473-v1.0-hybrid</t>
  </si>
  <si>
    <t>gene14375-v1.0-hybrid</t>
  </si>
  <si>
    <t>gene14677-v1.0-hybrid</t>
  </si>
  <si>
    <t>gene14978-v1.0-hybrid</t>
  </si>
  <si>
    <t>gene15580-v1.0-hybrid</t>
  </si>
  <si>
    <t>gene16182-v1.0-hybrid</t>
  </si>
  <si>
    <t>gene16482-v1.0-hybrid</t>
  </si>
  <si>
    <t>gene17084-v1.0-hybrid</t>
  </si>
  <si>
    <t>gene17384-v1.0-hybrid</t>
  </si>
  <si>
    <t>gene18284-v1.0-hybrid</t>
  </si>
  <si>
    <t>gene18884-v1.0-hybrid</t>
  </si>
  <si>
    <t>gene19184-v1.0-hybrid</t>
  </si>
  <si>
    <t>gene19484-v1.0-hybrid</t>
  </si>
  <si>
    <t>gene19784-v1.0-hybrid</t>
  </si>
  <si>
    <t>gene20084-v1.0-hybrid</t>
  </si>
  <si>
    <t>gene20385-v1.0-hybrid</t>
  </si>
  <si>
    <t>gene20685-v1.0-hybrid</t>
  </si>
  <si>
    <t>gene20985-v1.0-hybrid</t>
  </si>
  <si>
    <t>gene21285-v1.0-hybrid</t>
  </si>
  <si>
    <t>gene21886-v1.0-hybrid</t>
  </si>
  <si>
    <t>gene22788-v1.0-hybrid</t>
  </si>
  <si>
    <t>gene23390-v1.0-hybrid</t>
  </si>
  <si>
    <t>gene23690-v1.0-hybrid</t>
  </si>
  <si>
    <t>gene24292-v1.0-hybrid</t>
  </si>
  <si>
    <t>gene24593-v1.0-hybrid</t>
  </si>
  <si>
    <t>gene24895-v1.0-hybrid</t>
  </si>
  <si>
    <t>gene25195-v1.0-hybrid</t>
  </si>
  <si>
    <t>gene25495-v1.0-hybrid</t>
  </si>
  <si>
    <t>gene25795-v1.0-hybrid</t>
  </si>
  <si>
    <t>gene26095-v1.0-hybrid</t>
  </si>
  <si>
    <t>gene26395-v1.0-hybrid</t>
  </si>
  <si>
    <t>gene26695-v1.0-hybrid</t>
  </si>
  <si>
    <t>gene26996-v1.0-hybrid</t>
  </si>
  <si>
    <t>gene27596-v1.0-hybrid</t>
  </si>
  <si>
    <t>gene28196-v1.0-hybrid</t>
  </si>
  <si>
    <t>gene29396-v1.0-hybrid</t>
  </si>
  <si>
    <t>gene29697-v1.0-hybrid</t>
  </si>
  <si>
    <t>gene29998-v1.0-hybrid</t>
  </si>
  <si>
    <t>gene30298-v1.0-hybrid</t>
  </si>
  <si>
    <t>gene30598-v1.0-hybrid</t>
  </si>
  <si>
    <t>gene30898-v1.0-hybrid</t>
  </si>
  <si>
    <t>gene31198-v1.0-hybrid</t>
  </si>
  <si>
    <t>gene31498-v1.0-hybrid</t>
  </si>
  <si>
    <t>gene31798-v1.0-hybrid</t>
  </si>
  <si>
    <t>gene32098-v1.0-hybrid</t>
  </si>
  <si>
    <t>gene32398-v1.0-hybrid</t>
  </si>
  <si>
    <t>gene32699-v1.0-hybrid</t>
  </si>
  <si>
    <t>gene33083-v1.0-hybrid</t>
  </si>
  <si>
    <t>gene34163-v1.0-hybrid</t>
  </si>
  <si>
    <t>gene35063-v1.0-hybrid</t>
  </si>
  <si>
    <t>gene01379-v1.0-hybrid</t>
  </si>
  <si>
    <t>gene01680-v1.0-hybrid</t>
  </si>
  <si>
    <t>gene01980-v1.0-hybrid</t>
  </si>
  <si>
    <t>gene02280-v1.0-hybrid</t>
  </si>
  <si>
    <t>gene02945-v1.0-hybrid</t>
  </si>
  <si>
    <t>gene03568-v1.0-hybrid</t>
  </si>
  <si>
    <t>gene04468-v1.0-hybrid</t>
  </si>
  <si>
    <t>gene05068-v1.0-hybrid</t>
  </si>
  <si>
    <t>gene05369-v1.0-hybrid</t>
  </si>
  <si>
    <t>gene05669-v1.0-hybrid</t>
  </si>
  <si>
    <t>gene05969-v1.0-hybrid</t>
  </si>
  <si>
    <t>gene06569-v1.0-hybrid</t>
  </si>
  <si>
    <t>gene06869-v1.0-hybrid</t>
  </si>
  <si>
    <t>gene07469-v1.0-hybrid</t>
  </si>
  <si>
    <t>gene07770-v1.0-hybrid</t>
  </si>
  <si>
    <t>gene08070-v1.0-hybrid</t>
  </si>
  <si>
    <t>gene08370-v1.0-hybrid</t>
  </si>
  <si>
    <t>gene08670-v1.0-hybrid</t>
  </si>
  <si>
    <t>gene08970-v1.0-hybrid</t>
  </si>
  <si>
    <t>gene09270-v1.0-hybrid</t>
  </si>
  <si>
    <t>gene09570-v1.0-hybrid</t>
  </si>
  <si>
    <t>gene10171-v1.0-hybrid</t>
  </si>
  <si>
    <t>gene10472-v1.0-hybrid</t>
  </si>
  <si>
    <t>gene10772-v1.0-hybrid</t>
  </si>
  <si>
    <t>gene11072-v1.0-hybrid</t>
  </si>
  <si>
    <t>gene11373-v1.0-hybrid</t>
  </si>
  <si>
    <t>gene11673-v1.0-hybrid</t>
  </si>
  <si>
    <t>gene11973-v1.0-hybrid</t>
  </si>
  <si>
    <t>gene12273-v1.0-hybrid</t>
  </si>
  <si>
    <t>gene12573-v1.0-hybrid</t>
  </si>
  <si>
    <t>gene12873-v1.0-hybrid</t>
  </si>
  <si>
    <t>gene13174-v1.0-hybrid</t>
  </si>
  <si>
    <t>gene13474-v1.0-hybrid</t>
  </si>
  <si>
    <t>gene13774-v1.0-hybrid</t>
  </si>
  <si>
    <t>gene14075-v1.0-hybrid</t>
  </si>
  <si>
    <t>gene14678-v1.0-hybrid</t>
  </si>
  <si>
    <t>gene15581-v1.0-hybrid</t>
  </si>
  <si>
    <t>gene15882-v1.0-hybrid</t>
  </si>
  <si>
    <t>gene16483-v1.0-hybrid</t>
  </si>
  <si>
    <t>gene16783-v1.0-hybrid</t>
  </si>
  <si>
    <t>gene17085-v1.0-hybrid</t>
  </si>
  <si>
    <t>gene17385-v1.0-hybrid</t>
  </si>
  <si>
    <t>gene18285-v1.0-hybrid</t>
  </si>
  <si>
    <t>gene18585-v1.0-hybrid</t>
  </si>
  <si>
    <t>gene18885-v1.0-hybrid</t>
  </si>
  <si>
    <t>gene19185-v1.0-hybrid</t>
  </si>
  <si>
    <t>gene19485-v1.0-hybrid</t>
  </si>
  <si>
    <t>gene19785-v1.0-hybrid</t>
  </si>
  <si>
    <t>gene20085-v1.0-hybrid</t>
  </si>
  <si>
    <t>gene20386-v1.0-hybrid</t>
  </si>
  <si>
    <t>gene20686-v1.0-hybrid</t>
  </si>
  <si>
    <t>gene20986-v1.0-hybrid</t>
  </si>
  <si>
    <t>gene21286-v1.0-hybrid</t>
  </si>
  <si>
    <t>gene21587-v1.0-hybrid</t>
  </si>
  <si>
    <t>gene22188-v1.0-hybrid</t>
  </si>
  <si>
    <t>gene22488-v1.0-hybrid</t>
  </si>
  <si>
    <t>gene22789-v1.0-hybrid</t>
  </si>
  <si>
    <t>gene23089-v1.0-hybrid</t>
  </si>
  <si>
    <t>gene23691-v1.0-hybrid</t>
  </si>
  <si>
    <t>gene23991-v1.0-hybrid</t>
  </si>
  <si>
    <t>gene24594-v1.0-hybrid</t>
  </si>
  <si>
    <t>gene24896-v1.0-hybrid</t>
  </si>
  <si>
    <t>gene25496-v1.0-hybrid</t>
  </si>
  <si>
    <t>gene26096-v1.0-hybrid</t>
  </si>
  <si>
    <t>gene26396-v1.0-hybrid</t>
  </si>
  <si>
    <t>gene26696-v1.0-hybrid</t>
  </si>
  <si>
    <t>gene26997-v1.0-hybrid</t>
  </si>
  <si>
    <t>gene27297-v1.0-hybrid</t>
  </si>
  <si>
    <t>gene27597-v1.0-hybrid</t>
  </si>
  <si>
    <t>gene28197-v1.0-hybrid</t>
  </si>
  <si>
    <t>gene28497-v1.0-hybrid</t>
  </si>
  <si>
    <t>gene29097-v1.0-hybrid</t>
  </si>
  <si>
    <t>gene29397-v1.0-hybrid</t>
  </si>
  <si>
    <t>gene29698-v1.0-hybrid</t>
  </si>
  <si>
    <t>gene29999-v1.0-hybrid</t>
  </si>
  <si>
    <t>gene30299-v1.0-hybrid</t>
  </si>
  <si>
    <t>gene30599-v1.0-hybrid</t>
  </si>
  <si>
    <t>gene30899-v1.0-hybrid</t>
  </si>
  <si>
    <t>gene31499-v1.0-hybrid</t>
  </si>
  <si>
    <t>gene31799-v1.0-hybrid</t>
  </si>
  <si>
    <t>gene32700-v1.0-hybrid</t>
  </si>
  <si>
    <t>gene34164-v1.0-hybrid</t>
  </si>
  <si>
    <t>gene34464-v1.0-hybrid</t>
  </si>
  <si>
    <t>gene34764-v1.0-hybrid</t>
  </si>
  <si>
    <t>gene00477-v1.0-hybrid</t>
  </si>
  <si>
    <t>gene00780-v1.0-hybrid</t>
  </si>
  <si>
    <t>gene01380-v1.0-hybrid</t>
  </si>
  <si>
    <t>gene01681-v1.0-hybrid</t>
  </si>
  <si>
    <t>gene01981-v1.0-hybrid</t>
  </si>
  <si>
    <t>gene02281-v1.0-hybrid</t>
  </si>
  <si>
    <t>gene03269-v1.0-hybrid</t>
  </si>
  <si>
    <t>gene03569-v1.0-hybrid</t>
  </si>
  <si>
    <t>gene03869-v1.0-hybrid</t>
  </si>
  <si>
    <t>gene04769-v1.0-hybrid</t>
  </si>
  <si>
    <t>gene05370-v1.0-hybrid</t>
  </si>
  <si>
    <t>gene05970-v1.0-hybrid</t>
  </si>
  <si>
    <t>gene06270-v1.0-hybrid</t>
  </si>
  <si>
    <t>gene06570-v1.0-hybrid</t>
  </si>
  <si>
    <t>gene06870-v1.0-hybrid</t>
  </si>
  <si>
    <t>gene07170-v1.0-hybrid</t>
  </si>
  <si>
    <t>gene07470-v1.0-hybrid</t>
  </si>
  <si>
    <t>gene07771-v1.0-hybrid</t>
  </si>
  <si>
    <t>gene08071-v1.0-hybrid</t>
  </si>
  <si>
    <t>gene08371-v1.0-hybrid</t>
  </si>
  <si>
    <t>gene08671-v1.0-hybrid</t>
  </si>
  <si>
    <t>gene08971-v1.0-hybrid</t>
  </si>
  <si>
    <t>gene09271-v1.0-hybrid</t>
  </si>
  <si>
    <t>gene09571-v1.0-hybrid</t>
  </si>
  <si>
    <t>gene09872-v1.0-hybrid</t>
  </si>
  <si>
    <t>gene10172-v1.0-hybrid</t>
  </si>
  <si>
    <t>gene10473-v1.0-hybrid</t>
  </si>
  <si>
    <t>gene10773-v1.0-hybrid</t>
  </si>
  <si>
    <t>gene11073-v1.0-hybrid</t>
  </si>
  <si>
    <t>gene11374-v1.0-hybrid</t>
  </si>
  <si>
    <t>gene11674-v1.0-hybrid</t>
  </si>
  <si>
    <t>gene11974-v1.0-hybrid</t>
  </si>
  <si>
    <t>gene12274-v1.0-hybrid</t>
  </si>
  <si>
    <t>gene12574-v1.0-hybrid</t>
  </si>
  <si>
    <t>gene12874-v1.0-hybrid</t>
  </si>
  <si>
    <t>gene13175-v1.0-hybrid</t>
  </si>
  <si>
    <t>gene13475-v1.0-hybrid</t>
  </si>
  <si>
    <t>gene13775-v1.0-hybrid</t>
  </si>
  <si>
    <t>gene14076-v1.0-hybrid</t>
  </si>
  <si>
    <t>gene14679-v1.0-hybrid</t>
  </si>
  <si>
    <t>gene14980-v1.0-hybrid</t>
  </si>
  <si>
    <t>gene15582-v1.0-hybrid</t>
  </si>
  <si>
    <t>gene15883-v1.0-hybrid</t>
  </si>
  <si>
    <t>gene16184-v1.0-hybrid</t>
  </si>
  <si>
    <t>gene16484-v1.0-hybrid</t>
  </si>
  <si>
    <t>gene16784-v1.0-hybrid</t>
  </si>
  <si>
    <t>gene17086-v1.0-hybrid</t>
  </si>
  <si>
    <t>gene17386-v1.0-hybrid</t>
  </si>
  <si>
    <t>gene17686-v1.0-hybrid</t>
  </si>
  <si>
    <t>gene18586-v1.0-hybrid</t>
  </si>
  <si>
    <t>gene18886-v1.0-hybrid</t>
  </si>
  <si>
    <t>gene19186-v1.0-hybrid</t>
  </si>
  <si>
    <t>gene19486-v1.0-hybrid</t>
  </si>
  <si>
    <t>gene19786-v1.0-hybrid</t>
  </si>
  <si>
    <t>gene20086-v1.0-hybrid</t>
  </si>
  <si>
    <t>gene20987-v1.0-hybrid</t>
  </si>
  <si>
    <t>gene21287-v1.0-hybrid</t>
  </si>
  <si>
    <t>gene21888-v1.0-hybrid</t>
  </si>
  <si>
    <t>gene22489-v1.0-hybrid</t>
  </si>
  <si>
    <t>gene23392-v1.0-hybrid</t>
  </si>
  <si>
    <t>gene23692-v1.0-hybrid</t>
  </si>
  <si>
    <t>gene23992-v1.0-hybrid</t>
  </si>
  <si>
    <t>gene24595-v1.0-hybrid</t>
  </si>
  <si>
    <t>gene24897-v1.0-hybrid</t>
  </si>
  <si>
    <t>gene25197-v1.0-hybrid</t>
  </si>
  <si>
    <t>gene25497-v1.0-hybrid</t>
  </si>
  <si>
    <t>gene25797-v1.0-hybrid</t>
  </si>
  <si>
    <t>gene26097-v1.0-hybrid</t>
  </si>
  <si>
    <t>gene26397-v1.0-hybrid</t>
  </si>
  <si>
    <t>gene26697-v1.0-hybrid</t>
  </si>
  <si>
    <t>gene26998-v1.0-hybrid</t>
  </si>
  <si>
    <t>gene28198-v1.0-hybrid</t>
  </si>
  <si>
    <t>gene28498-v1.0-hybrid</t>
  </si>
  <si>
    <t>gene29098-v1.0-hybrid</t>
  </si>
  <si>
    <t>gene29398-v1.0-hybrid</t>
  </si>
  <si>
    <t>gene29699-v1.0-hybrid</t>
  </si>
  <si>
    <t>gene30300-v1.0-hybrid</t>
  </si>
  <si>
    <t>gene30600-v1.0-hybrid</t>
  </si>
  <si>
    <t>gene30900-v1.0-hybrid</t>
  </si>
  <si>
    <t>gene31200-v1.0-hybrid</t>
  </si>
  <si>
    <t>gene31500-v1.0-hybrid</t>
  </si>
  <si>
    <t>gene31800-v1.0-hybrid</t>
  </si>
  <si>
    <t>gene32100-v1.0-hybrid</t>
  </si>
  <si>
    <t>gene32400-v1.0-hybrid</t>
  </si>
  <si>
    <t>gene32701-v1.0-hybrid</t>
  </si>
  <si>
    <t>gene34165-v1.0-hybrid</t>
  </si>
  <si>
    <t>gene00177-v1.0-hybrid</t>
  </si>
  <si>
    <t>gene00478-v1.0-hybrid</t>
  </si>
  <si>
    <t>gene00781-v1.0-hybrid</t>
  </si>
  <si>
    <t>gene01081-v1.0-hybrid</t>
  </si>
  <si>
    <t>gene01682-v1.0-hybrid</t>
  </si>
  <si>
    <t>gene01982-v1.0-hybrid</t>
  </si>
  <si>
    <t>gene02282-v1.0-hybrid</t>
  </si>
  <si>
    <t>gene02582-v1.0-hybrid</t>
  </si>
  <si>
    <t>gene03270-v1.0-hybrid</t>
  </si>
  <si>
    <t>gene03570-v1.0-hybrid</t>
  </si>
  <si>
    <t>gene03870-v1.0-hybrid</t>
  </si>
  <si>
    <t>gene04170-v1.0-hybrid</t>
  </si>
  <si>
    <t>gene04770-v1.0-hybrid</t>
  </si>
  <si>
    <t>gene05070-v1.0-hybrid</t>
  </si>
  <si>
    <t>gene05371-v1.0-hybrid</t>
  </si>
  <si>
    <t>gene05671-v1.0-hybrid</t>
  </si>
  <si>
    <t>gene05971-v1.0-hybrid</t>
  </si>
  <si>
    <t>gene06271-v1.0-hybrid</t>
  </si>
  <si>
    <t>gene06571-v1.0-hybrid</t>
  </si>
  <si>
    <t>gene06871-v1.0-hybrid</t>
  </si>
  <si>
    <t>gene07171-v1.0-hybrid</t>
  </si>
  <si>
    <t>gene07471-v1.0-hybrid</t>
  </si>
  <si>
    <t>gene08072-v1.0-hybrid</t>
  </si>
  <si>
    <t>gene08972-v1.0-hybrid</t>
  </si>
  <si>
    <t>gene09272-v1.0-hybrid</t>
  </si>
  <si>
    <t>gene09572-v1.0-hybrid</t>
  </si>
  <si>
    <t>gene10173-v1.0-hybrid</t>
  </si>
  <si>
    <t>gene10474-v1.0-hybrid</t>
  </si>
  <si>
    <t>gene11074-v1.0-hybrid</t>
  </si>
  <si>
    <t>gene11375-v1.0-hybrid</t>
  </si>
  <si>
    <t>gene11675-v1.0-hybrid</t>
  </si>
  <si>
    <t>gene12575-v1.0-hybrid</t>
  </si>
  <si>
    <t>gene12875-v1.0-hybrid</t>
  </si>
  <si>
    <t>gene13176-v1.0-hybrid</t>
  </si>
  <si>
    <t>gene13476-v1.0-hybrid</t>
  </si>
  <si>
    <t>gene13776-v1.0-hybrid</t>
  </si>
  <si>
    <t>gene14077-v1.0-hybrid</t>
  </si>
  <si>
    <t>gene14378-v1.0-hybrid</t>
  </si>
  <si>
    <t>gene14981-v1.0-hybrid</t>
  </si>
  <si>
    <t>gene15583-v1.0-hybrid</t>
  </si>
  <si>
    <t>gene16185-v1.0-hybrid</t>
  </si>
  <si>
    <t>gene16485-v1.0-hybrid</t>
  </si>
  <si>
    <t>gene16785-v1.0-hybrid</t>
  </si>
  <si>
    <t>gene17087-v1.0-hybrid</t>
  </si>
  <si>
    <t>gene17387-v1.0-hybrid</t>
  </si>
  <si>
    <t>gene17987-v1.0-hybrid</t>
  </si>
  <si>
    <t>gene18587-v1.0-hybrid</t>
  </si>
  <si>
    <t>gene18887-v1.0-hybrid</t>
  </si>
  <si>
    <t>gene19187-v1.0-hybrid</t>
  </si>
  <si>
    <t>gene19487-v1.0-hybrid</t>
  </si>
  <si>
    <t>gene20087-v1.0-hybrid</t>
  </si>
  <si>
    <t>gene20388-v1.0-hybrid</t>
  </si>
  <si>
    <t>gene20688-v1.0-hybrid</t>
  </si>
  <si>
    <t>gene20988-v1.0-hybrid</t>
  </si>
  <si>
    <t>gene21288-v1.0-hybrid</t>
  </si>
  <si>
    <t>gene21589-v1.0-hybrid</t>
  </si>
  <si>
    <t>gene21889-v1.0-hybrid</t>
  </si>
  <si>
    <t>gene22190-v1.0-hybrid</t>
  </si>
  <si>
    <t>gene22490-v1.0-hybrid</t>
  </si>
  <si>
    <t>gene22791-v1.0-hybrid</t>
  </si>
  <si>
    <t>gene23091-v1.0-hybrid</t>
  </si>
  <si>
    <t>gene23393-v1.0-hybrid</t>
  </si>
  <si>
    <t>gene23693-v1.0-hybrid</t>
  </si>
  <si>
    <t>gene23993-v1.0-hybrid</t>
  </si>
  <si>
    <t>gene24295-v1.0-hybrid</t>
  </si>
  <si>
    <t>gene24898-v1.0-hybrid</t>
  </si>
  <si>
    <t>gene25498-v1.0-hybrid</t>
  </si>
  <si>
    <t>gene25798-v1.0-hybrid</t>
  </si>
  <si>
    <t>gene26098-v1.0-hybrid</t>
  </si>
  <si>
    <t>gene26398-v1.0-hybrid</t>
  </si>
  <si>
    <t>gene26698-v1.0-hybrid</t>
  </si>
  <si>
    <t>gene27299-v1.0-hybrid</t>
  </si>
  <si>
    <t>gene27599-v1.0-hybrid</t>
  </si>
  <si>
    <t>gene28199-v1.0-hybrid</t>
  </si>
  <si>
    <t>gene28499-v1.0-hybrid</t>
  </si>
  <si>
    <t>gene28799-v1.0-hybrid</t>
  </si>
  <si>
    <t>gene29099-v1.0-hybrid</t>
  </si>
  <si>
    <t>gene29399-v1.0-hybrid</t>
  </si>
  <si>
    <t>gene29700-v1.0-hybrid</t>
  </si>
  <si>
    <t>gene30001-v1.0-hybrid</t>
  </si>
  <si>
    <t>gene30301-v1.0-hybrid</t>
  </si>
  <si>
    <t>gene30601-v1.0-hybrid</t>
  </si>
  <si>
    <t>gene30901-v1.0-hybrid</t>
  </si>
  <si>
    <t>gene32101-v1.0-hybrid</t>
  </si>
  <si>
    <t>gene32401-v1.0-hybrid</t>
  </si>
  <si>
    <t>gene33866-v1.0-hybrid</t>
  </si>
  <si>
    <t>gene34166-v1.0-hybrid</t>
  </si>
  <si>
    <t>gene34466-v1.0-hybrid</t>
  </si>
  <si>
    <t>gene34766-v1.0-hybrid</t>
  </si>
  <si>
    <t>gene35066-v1.0-hybrid</t>
  </si>
  <si>
    <t>gene00178-v1.0-hybrid</t>
  </si>
  <si>
    <t>gene00479-v1.0-hybrid</t>
  </si>
  <si>
    <t>gene00782-v1.0-hybrid</t>
  </si>
  <si>
    <t>gene01082-v1.0-hybrid</t>
  </si>
  <si>
    <t>gene01383-v1.0-hybrid</t>
  </si>
  <si>
    <t>gene01683-v1.0-hybrid</t>
  </si>
  <si>
    <t>gene02283-v1.0-hybrid</t>
  </si>
  <si>
    <t>gene03271-v1.0-hybrid</t>
  </si>
  <si>
    <t>gene03571-v1.0-hybrid</t>
  </si>
  <si>
    <t>gene03871-v1.0-hybrid</t>
  </si>
  <si>
    <t>gene04171-v1.0-hybrid</t>
  </si>
  <si>
    <t>gene04471-v1.0-hybrid</t>
  </si>
  <si>
    <t>gene04771-v1.0-hybrid</t>
  </si>
  <si>
    <t>gene05071-v1.0-hybrid</t>
  </si>
  <si>
    <t>gene05672-v1.0-hybrid</t>
  </si>
  <si>
    <t>gene06272-v1.0-hybrid</t>
  </si>
  <si>
    <t>gene06572-v1.0-hybrid</t>
  </si>
  <si>
    <t>gene06872-v1.0-hybrid</t>
  </si>
  <si>
    <t>gene07172-v1.0-hybrid</t>
  </si>
  <si>
    <t>gene07472-v1.0-hybrid</t>
  </si>
  <si>
    <t>gene07773-v1.0-hybrid</t>
  </si>
  <si>
    <t>gene08073-v1.0-hybrid</t>
  </si>
  <si>
    <t>gene08373-v1.0-hybrid</t>
  </si>
  <si>
    <t>gene08673-v1.0-hybrid</t>
  </si>
  <si>
    <t>gene08973-v1.0-hybrid</t>
  </si>
  <si>
    <t>gene09273-v1.0-hybrid</t>
  </si>
  <si>
    <t>gene09573-v1.0-hybrid</t>
  </si>
  <si>
    <t>gene09874-v1.0-hybrid</t>
  </si>
  <si>
    <t>gene10475-v1.0-hybrid</t>
  </si>
  <si>
    <t>gene11075-v1.0-hybrid</t>
  </si>
  <si>
    <t>gene11676-v1.0-hybrid</t>
  </si>
  <si>
    <t>gene12576-v1.0-hybrid</t>
  </si>
  <si>
    <t>gene13177-v1.0-hybrid</t>
  </si>
  <si>
    <t>gene13477-v1.0-hybrid</t>
  </si>
  <si>
    <t>gene13777-v1.0-hybrid</t>
  </si>
  <si>
    <t>gene14078-v1.0-hybrid</t>
  </si>
  <si>
    <t>gene14379-v1.0-hybrid</t>
  </si>
  <si>
    <t>gene14681-v1.0-hybrid</t>
  </si>
  <si>
    <t>gene15283-v1.0-hybrid</t>
  </si>
  <si>
    <t>gene15584-v1.0-hybrid</t>
  </si>
  <si>
    <t>gene16186-v1.0-hybrid</t>
  </si>
  <si>
    <t>gene16486-v1.0-hybrid</t>
  </si>
  <si>
    <t>gene17088-v1.0-hybrid</t>
  </si>
  <si>
    <t>gene17388-v1.0-hybrid</t>
  </si>
  <si>
    <t>gene17688-v1.0-hybrid</t>
  </si>
  <si>
    <t>gene17988-v1.0-hybrid</t>
  </si>
  <si>
    <t>gene18288-v1.0-hybrid</t>
  </si>
  <si>
    <t>gene18888-v1.0-hybrid</t>
  </si>
  <si>
    <t>gene19188-v1.0-hybrid</t>
  </si>
  <si>
    <t>gene19488-v1.0-hybrid</t>
  </si>
  <si>
    <t>gene19788-v1.0-hybrid</t>
  </si>
  <si>
    <t>gene20088-v1.0-hybrid</t>
  </si>
  <si>
    <t>gene20689-v1.0-hybrid</t>
  </si>
  <si>
    <t>gene21289-v1.0-hybrid</t>
  </si>
  <si>
    <t>gene21590-v1.0-hybrid</t>
  </si>
  <si>
    <t>gene21890-v1.0-hybrid</t>
  </si>
  <si>
    <t>gene22191-v1.0-hybrid</t>
  </si>
  <si>
    <t>gene22792-v1.0-hybrid</t>
  </si>
  <si>
    <t>gene23394-v1.0-hybrid</t>
  </si>
  <si>
    <t>gene23694-v1.0-hybrid</t>
  </si>
  <si>
    <t>gene23994-v1.0-hybrid</t>
  </si>
  <si>
    <t>gene24296-v1.0-hybrid</t>
  </si>
  <si>
    <t>gene24597-v1.0-hybrid</t>
  </si>
  <si>
    <t>gene24899-v1.0-hybrid</t>
  </si>
  <si>
    <t>gene25199-v1.0-hybrid</t>
  </si>
  <si>
    <t>gene25499-v1.0-hybrid</t>
  </si>
  <si>
    <t>gene25799-v1.0-hybrid</t>
  </si>
  <si>
    <t>gene26099-v1.0-hybrid</t>
  </si>
  <si>
    <t>gene26399-v1.0-hybrid</t>
  </si>
  <si>
    <t>gene26699-v1.0-hybrid</t>
  </si>
  <si>
    <t>gene27000-v1.0-hybrid</t>
  </si>
  <si>
    <t>gene27300-v1.0-hybrid</t>
  </si>
  <si>
    <t>gene28200-v1.0-hybrid</t>
  </si>
  <si>
    <t>gene28500-v1.0-hybrid</t>
  </si>
  <si>
    <t>gene28800-v1.0-hybrid</t>
  </si>
  <si>
    <t>gene29100-v1.0-hybrid</t>
  </si>
  <si>
    <t>gene30002-v1.0-hybrid</t>
  </si>
  <si>
    <t>gene30302-v1.0-hybrid</t>
  </si>
  <si>
    <t>gene30602-v1.0-hybrid</t>
  </si>
  <si>
    <t>gene31202-v1.0-hybrid</t>
  </si>
  <si>
    <t>gene31502-v1.0-hybrid</t>
  </si>
  <si>
    <t>gene31802-v1.0-hybrid</t>
  </si>
  <si>
    <t>gene32102-v1.0-hybrid</t>
  </si>
  <si>
    <t>gene32402-v1.0-hybrid</t>
  </si>
  <si>
    <t>gene32703-v1.0-hybrid</t>
  </si>
  <si>
    <t>gene33867-v1.0-hybrid</t>
  </si>
  <si>
    <t>gene34467-v1.0-hybrid</t>
  </si>
  <si>
    <t>gene34767-v1.0-hybrid</t>
  </si>
  <si>
    <t>gene00179-v1.0-hybrid</t>
  </si>
  <si>
    <t>gene00480-v1.0-hybrid</t>
  </si>
  <si>
    <t>gene00783-v1.0-hybrid</t>
  </si>
  <si>
    <t>gene01083-v1.0-hybrid</t>
  </si>
  <si>
    <t>gene01384-v1.0-hybrid</t>
  </si>
  <si>
    <t>gene01984-v1.0-hybrid</t>
  </si>
  <si>
    <t>gene02284-v1.0-hybrid</t>
  </si>
  <si>
    <t>gene02584-v1.0-hybrid</t>
  </si>
  <si>
    <t>gene03272-v1.0-hybrid</t>
  </si>
  <si>
    <t>gene03872-v1.0-hybrid</t>
  </si>
  <si>
    <t>gene04172-v1.0-hybrid</t>
  </si>
  <si>
    <t>gene05072-v1.0-hybrid</t>
  </si>
  <si>
    <t>gene05373-v1.0-hybrid</t>
  </si>
  <si>
    <t>gene05673-v1.0-hybrid</t>
  </si>
  <si>
    <t>gene06273-v1.0-hybrid</t>
  </si>
  <si>
    <t>gene06573-v1.0-hybrid</t>
  </si>
  <si>
    <t>gene06873-v1.0-hybrid</t>
  </si>
  <si>
    <t>gene07173-v1.0-hybrid</t>
  </si>
  <si>
    <t>gene07473-v1.0-hybrid</t>
  </si>
  <si>
    <t>gene07774-v1.0-hybrid</t>
  </si>
  <si>
    <t>gene08074-v1.0-hybrid</t>
  </si>
  <si>
    <t>gene08374-v1.0-hybrid</t>
  </si>
  <si>
    <t>gene08674-v1.0-hybrid</t>
  </si>
  <si>
    <t>gene08974-v1.0-hybrid</t>
  </si>
  <si>
    <t>gene09274-v1.0-hybrid</t>
  </si>
  <si>
    <t>gene10476-v1.0-hybrid</t>
  </si>
  <si>
    <t>gene10776-v1.0-hybrid</t>
  </si>
  <si>
    <t>gene11076-v1.0-hybrid</t>
  </si>
  <si>
    <t>gene11677-v1.0-hybrid</t>
  </si>
  <si>
    <t>gene12577-v1.0-hybrid</t>
  </si>
  <si>
    <t>gene12877-v1.0-hybrid</t>
  </si>
  <si>
    <t>gene13478-v1.0-hybrid</t>
  </si>
  <si>
    <t>gene13778-v1.0-hybrid</t>
  </si>
  <si>
    <t>gene14079-v1.0-hybrid</t>
  </si>
  <si>
    <t>gene14682-v1.0-hybrid</t>
  </si>
  <si>
    <t>gene14983-v1.0-hybrid</t>
  </si>
  <si>
    <t>gene15284-v1.0-hybrid</t>
  </si>
  <si>
    <t>gene15585-v1.0-hybrid</t>
  </si>
  <si>
    <t>gene15886-v1.0-hybrid</t>
  </si>
  <si>
    <t>gene16187-v1.0-hybrid</t>
  </si>
  <si>
    <t>gene16487-v1.0-hybrid</t>
  </si>
  <si>
    <t>gene16787-v1.0-hybrid</t>
  </si>
  <si>
    <t>gene17089-v1.0-hybrid</t>
  </si>
  <si>
    <t>gene17389-v1.0-hybrid</t>
  </si>
  <si>
    <t>gene17989-v1.0-hybrid</t>
  </si>
  <si>
    <t>gene18289-v1.0-hybrid</t>
  </si>
  <si>
    <t>gene18589-v1.0-hybrid</t>
  </si>
  <si>
    <t>gene18889-v1.0-hybrid</t>
  </si>
  <si>
    <t>gene19189-v1.0-hybrid</t>
  </si>
  <si>
    <t>gene19489-v1.0-hybrid</t>
  </si>
  <si>
    <t>gene19789-v1.0-hybrid</t>
  </si>
  <si>
    <t>gene20089-v1.0-hybrid</t>
  </si>
  <si>
    <t>gene20990-v1.0-hybrid</t>
  </si>
  <si>
    <t>gene21290-v1.0-hybrid</t>
  </si>
  <si>
    <t>gene21591-v1.0-hybrid</t>
  </si>
  <si>
    <t>gene21891-v1.0-hybrid</t>
  </si>
  <si>
    <t>gene22192-v1.0-hybrid</t>
  </si>
  <si>
    <t>gene22492-v1.0-hybrid</t>
  </si>
  <si>
    <t>gene22793-v1.0-hybrid</t>
  </si>
  <si>
    <t>gene23093-v1.0-hybrid</t>
  </si>
  <si>
    <t>gene23395-v1.0-hybrid</t>
  </si>
  <si>
    <t>gene24297-v1.0-hybrid</t>
  </si>
  <si>
    <t>gene24598-v1.0-hybrid</t>
  </si>
  <si>
    <t>gene24900-v1.0-hybrid</t>
  </si>
  <si>
    <t>gene25500-v1.0-hybrid</t>
  </si>
  <si>
    <t>gene25800-v1.0-hybrid</t>
  </si>
  <si>
    <t>gene26100-v1.0-hybrid</t>
  </si>
  <si>
    <t>gene26400-v1.0-hybrid</t>
  </si>
  <si>
    <t>gene26700-v1.0-hybrid</t>
  </si>
  <si>
    <t>gene27001-v1.0-hybrid</t>
  </si>
  <si>
    <t>gene27601-v1.0-hybrid</t>
  </si>
  <si>
    <t>gene28201-v1.0-hybrid</t>
  </si>
  <si>
    <t>gene28501-v1.0-hybrid</t>
  </si>
  <si>
    <t>gene29101-v1.0-hybrid</t>
  </si>
  <si>
    <t>gene30003-v1.0-hybrid</t>
  </si>
  <si>
    <t>gene30303-v1.0-hybrid</t>
  </si>
  <si>
    <t>gene30603-v1.0-hybrid</t>
  </si>
  <si>
    <t>gene30903-v1.0-hybrid</t>
  </si>
  <si>
    <t>gene31503-v1.0-hybrid</t>
  </si>
  <si>
    <t>gene31803-v1.0-hybrid</t>
  </si>
  <si>
    <t>gene32103-v1.0-hybrid</t>
  </si>
  <si>
    <t>gene32403-v1.0-hybrid</t>
  </si>
  <si>
    <t>gene33868-v1.0-hybrid</t>
  </si>
  <si>
    <t>gene34168-v1.0-hybrid</t>
  </si>
  <si>
    <t>gene34768-v1.0-hybrid</t>
  </si>
  <si>
    <t>gene00180-v1.0-hybrid</t>
  </si>
  <si>
    <t>gene00784-v1.0-hybrid</t>
  </si>
  <si>
    <t>gene01084-v1.0-hybrid</t>
  </si>
  <si>
    <t>gene01385-v1.0-hybrid</t>
  </si>
  <si>
    <t>gene01685-v1.0-hybrid</t>
  </si>
  <si>
    <t>gene01985-v1.0-hybrid</t>
  </si>
  <si>
    <t>gene02285-v1.0-hybrid</t>
  </si>
  <si>
    <t>gene03573-v1.0-hybrid</t>
  </si>
  <si>
    <t>gene03873-v1.0-hybrid</t>
  </si>
  <si>
    <t>gene04173-v1.0-hybrid</t>
  </si>
  <si>
    <t>gene04473-v1.0-hybrid</t>
  </si>
  <si>
    <t>gene04773-v1.0-hybrid</t>
  </si>
  <si>
    <t>gene05374-v1.0-hybrid</t>
  </si>
  <si>
    <t>gene05674-v1.0-hybrid</t>
  </si>
  <si>
    <t>gene06274-v1.0-hybrid</t>
  </si>
  <si>
    <t>gene06574-v1.0-hybrid</t>
  </si>
  <si>
    <t>gene06874-v1.0-hybrid</t>
  </si>
  <si>
    <t>gene07174-v1.0-hybrid</t>
  </si>
  <si>
    <t>gene07474-v1.0-hybrid</t>
  </si>
  <si>
    <t>gene07775-v1.0-hybrid</t>
  </si>
  <si>
    <t>gene08075-v1.0-hybrid</t>
  </si>
  <si>
    <t>gene08375-v1.0-hybrid</t>
  </si>
  <si>
    <t>gene08675-v1.0-hybrid</t>
  </si>
  <si>
    <t>gene08975-v1.0-hybrid</t>
  </si>
  <si>
    <t>gene09275-v1.0-hybrid</t>
  </si>
  <si>
    <t>gene09575-v1.0-hybrid</t>
  </si>
  <si>
    <t>gene09876-v1.0-hybrid</t>
  </si>
  <si>
    <t>gene10176-v1.0-hybrid</t>
  </si>
  <si>
    <t>gene10477-v1.0-hybrid</t>
  </si>
  <si>
    <t>gene10777-v1.0-hybrid</t>
  </si>
  <si>
    <t>gene11077-v1.0-hybrid</t>
  </si>
  <si>
    <t>gene11378-v1.0-hybrid</t>
  </si>
  <si>
    <t>gene11678-v1.0-hybrid</t>
  </si>
  <si>
    <t>gene12278-v1.0-hybrid</t>
  </si>
  <si>
    <t>gene12578-v1.0-hybrid</t>
  </si>
  <si>
    <t>gene13479-v1.0-hybrid</t>
  </si>
  <si>
    <t>gene13779-v1.0-hybrid</t>
  </si>
  <si>
    <t>gene14080-v1.0-hybrid</t>
  </si>
  <si>
    <t>gene14683-v1.0-hybrid</t>
  </si>
  <si>
    <t>gene14984-v1.0-hybrid</t>
  </si>
  <si>
    <t>gene15586-v1.0-hybrid</t>
  </si>
  <si>
    <t>gene16188-v1.0-hybrid</t>
  </si>
  <si>
    <t>gene16488-v1.0-hybrid</t>
  </si>
  <si>
    <t>gene16788-v1.0-hybrid</t>
  </si>
  <si>
    <t>gene17090-v1.0-hybrid</t>
  </si>
  <si>
    <t>gene17390-v1.0-hybrid</t>
  </si>
  <si>
    <t>gene17690-v1.0-hybrid</t>
  </si>
  <si>
    <t>gene17990-v1.0-hybrid</t>
  </si>
  <si>
    <t>gene18590-v1.0-hybrid</t>
  </si>
  <si>
    <t>gene18890-v1.0-hybrid</t>
  </si>
  <si>
    <t>gene19190-v1.0-hybrid</t>
  </si>
  <si>
    <t>gene19490-v1.0-hybrid</t>
  </si>
  <si>
    <t>gene19790-v1.0-hybrid</t>
  </si>
  <si>
    <t>gene20090-v1.0-hybrid</t>
  </si>
  <si>
    <t>gene20391-v1.0-hybrid</t>
  </si>
  <si>
    <t>gene20991-v1.0-hybrid</t>
  </si>
  <si>
    <t>gene21291-v1.0-hybrid</t>
  </si>
  <si>
    <t>gene21592-v1.0-hybrid</t>
  </si>
  <si>
    <t>gene21892-v1.0-hybrid</t>
  </si>
  <si>
    <t>gene22493-v1.0-hybrid</t>
  </si>
  <si>
    <t>gene22794-v1.0-hybrid</t>
  </si>
  <si>
    <t>gene23094-v1.0-hybrid</t>
  </si>
  <si>
    <t>gene23396-v1.0-hybrid</t>
  </si>
  <si>
    <t>gene23696-v1.0-hybrid</t>
  </si>
  <si>
    <t>gene24298-v1.0-hybrid</t>
  </si>
  <si>
    <t>gene24901-v1.0-hybrid</t>
  </si>
  <si>
    <t>gene25201-v1.0-hybrid</t>
  </si>
  <si>
    <t>gene25801-v1.0-hybrid</t>
  </si>
  <si>
    <t>gene26101-v1.0-hybrid</t>
  </si>
  <si>
    <t>gene26401-v1.0-hybrid</t>
  </si>
  <si>
    <t>gene27302-v1.0-hybrid</t>
  </si>
  <si>
    <t>gene27602-v1.0-hybrid</t>
  </si>
  <si>
    <t>gene28202-v1.0-hybrid</t>
  </si>
  <si>
    <t>gene28502-v1.0-hybrid</t>
  </si>
  <si>
    <t>gene29102-v1.0-hybrid</t>
  </si>
  <si>
    <t>gene29402-v1.0-hybrid</t>
  </si>
  <si>
    <t>gene29703-v1.0-hybrid</t>
  </si>
  <si>
    <t>gene30004-v1.0-hybrid</t>
  </si>
  <si>
    <t>gene31204-v1.0-hybrid</t>
  </si>
  <si>
    <t>gene31504-v1.0-hybrid</t>
  </si>
  <si>
    <t>gene33495-v1.0-hybrid</t>
  </si>
  <si>
    <t>gene33869-v1.0-hybrid</t>
  </si>
  <si>
    <t>gene34169-v1.0-hybrid</t>
  </si>
  <si>
    <t>gene34469-v1.0-hybrid</t>
  </si>
  <si>
    <t>gene34769-v1.0-hybrid</t>
  </si>
  <si>
    <t>gene00785-v1.0-hybrid</t>
  </si>
  <si>
    <t>gene01986-v1.0-hybrid</t>
  </si>
  <si>
    <t>gene02286-v1.0-hybrid</t>
  </si>
  <si>
    <t>gene02586-v1.0-hybrid</t>
  </si>
  <si>
    <t>gene03274-v1.0-hybrid</t>
  </si>
  <si>
    <t>gene03874-v1.0-hybrid</t>
  </si>
  <si>
    <t>gene04474-v1.0-hybrid</t>
  </si>
  <si>
    <t>gene04774-v1.0-hybrid</t>
  </si>
  <si>
    <t>gene05675-v1.0-hybrid</t>
  </si>
  <si>
    <t>gene05975-v1.0-hybrid</t>
  </si>
  <si>
    <t>gene06275-v1.0-hybrid</t>
  </si>
  <si>
    <t>gene06875-v1.0-hybrid</t>
  </si>
  <si>
    <t>gene07175-v1.0-hybrid</t>
  </si>
  <si>
    <t>gene07475-v1.0-hybrid</t>
  </si>
  <si>
    <t>gene08676-v1.0-hybrid</t>
  </si>
  <si>
    <t>gene08976-v1.0-hybrid</t>
  </si>
  <si>
    <t>gene09576-v1.0-hybrid</t>
  </si>
  <si>
    <t>gene09877-v1.0-hybrid</t>
  </si>
  <si>
    <t>gene10778-v1.0-hybrid</t>
  </si>
  <si>
    <t>gene11078-v1.0-hybrid</t>
  </si>
  <si>
    <t>gene11679-v1.0-hybrid</t>
  </si>
  <si>
    <t>gene11979-v1.0-hybrid</t>
  </si>
  <si>
    <t>gene12279-v1.0-hybrid</t>
  </si>
  <si>
    <t>gene12579-v1.0-hybrid</t>
  </si>
  <si>
    <t>gene13180-v1.0-hybrid</t>
  </si>
  <si>
    <t>gene13480-v1.0-hybrid</t>
  </si>
  <si>
    <t>gene13780-v1.0-hybrid</t>
  </si>
  <si>
    <t>gene14081-v1.0-hybrid</t>
  </si>
  <si>
    <t>gene14684-v1.0-hybrid</t>
  </si>
  <si>
    <t>gene14985-v1.0-hybrid</t>
  </si>
  <si>
    <t>gene15286-v1.0-hybrid</t>
  </si>
  <si>
    <t>gene15587-v1.0-hybrid</t>
  </si>
  <si>
    <t>gene15888-v1.0-hybrid</t>
  </si>
  <si>
    <t>gene16189-v1.0-hybrid</t>
  </si>
  <si>
    <t>gene16489-v1.0-hybrid</t>
  </si>
  <si>
    <t>gene16789-v1.0-hybrid</t>
  </si>
  <si>
    <t>gene17991-v1.0-hybrid</t>
  </si>
  <si>
    <t>gene18291-v1.0-hybrid</t>
  </si>
  <si>
    <t>gene18891-v1.0-hybrid</t>
  </si>
  <si>
    <t>gene19191-v1.0-hybrid</t>
  </si>
  <si>
    <t>gene19491-v1.0-hybrid</t>
  </si>
  <si>
    <t>gene19791-v1.0-hybrid</t>
  </si>
  <si>
    <t>gene20392-v1.0-hybrid</t>
  </si>
  <si>
    <t>gene20692-v1.0-hybrid</t>
  </si>
  <si>
    <t>gene20992-v1.0-hybrid</t>
  </si>
  <si>
    <t>gene21292-v1.0-hybrid</t>
  </si>
  <si>
    <t>gene21593-v1.0-hybrid</t>
  </si>
  <si>
    <t>gene21893-v1.0-hybrid</t>
  </si>
  <si>
    <t>gene22194-v1.0-hybrid</t>
  </si>
  <si>
    <t>gene22494-v1.0-hybrid</t>
  </si>
  <si>
    <t>gene22795-v1.0-hybrid</t>
  </si>
  <si>
    <t>gene23095-v1.0-hybrid</t>
  </si>
  <si>
    <t>gene23397-v1.0-hybrid</t>
  </si>
  <si>
    <t>gene23697-v1.0-hybrid</t>
  </si>
  <si>
    <t>gene23997-v1.0-hybrid</t>
  </si>
  <si>
    <t>gene24600-v1.0-hybrid</t>
  </si>
  <si>
    <t>gene24902-v1.0-hybrid</t>
  </si>
  <si>
    <t>gene25502-v1.0-hybrid</t>
  </si>
  <si>
    <t>gene25802-v1.0-hybrid</t>
  </si>
  <si>
    <t>gene26102-v1.0-hybrid</t>
  </si>
  <si>
    <t>gene26402-v1.0-hybrid</t>
  </si>
  <si>
    <t>gene27003-v1.0-hybrid</t>
  </si>
  <si>
    <t>gene27903-v1.0-hybrid</t>
  </si>
  <si>
    <t>gene28203-v1.0-hybrid</t>
  </si>
  <si>
    <t>gene28503-v1.0-hybrid</t>
  </si>
  <si>
    <t>gene29103-v1.0-hybrid</t>
  </si>
  <si>
    <t>gene29403-v1.0-hybrid</t>
  </si>
  <si>
    <t>gene29704-v1.0-hybrid</t>
  </si>
  <si>
    <t>gene30005-v1.0-hybrid</t>
  </si>
  <si>
    <t>gene30305-v1.0-hybrid</t>
  </si>
  <si>
    <t>gene30605-v1.0-hybrid</t>
  </si>
  <si>
    <t>gene30905-v1.0-hybrid</t>
  </si>
  <si>
    <t>gene31205-v1.0-hybrid</t>
  </si>
  <si>
    <t>gene31505-v1.0-hybrid</t>
  </si>
  <si>
    <t>gene31805-v1.0-hybrid</t>
  </si>
  <si>
    <t>gene32105-v1.0-hybrid</t>
  </si>
  <si>
    <t>gene32405-v1.0-hybrid</t>
  </si>
  <si>
    <t>gene33496-v1.0-hybrid</t>
  </si>
  <si>
    <t>gene33870-v1.0-hybrid</t>
  </si>
  <si>
    <t>gene34170-v1.0-hybrid</t>
  </si>
  <si>
    <t>gene34470-v1.0-hybrid</t>
  </si>
  <si>
    <t>gene00182-v1.0-hybrid</t>
  </si>
  <si>
    <t>gene00786-v1.0-hybrid</t>
  </si>
  <si>
    <t>gene01987-v1.0-hybrid</t>
  </si>
  <si>
    <t>gene02287-v1.0-hybrid</t>
  </si>
  <si>
    <t>gene02958-v1.0-hybrid</t>
  </si>
  <si>
    <t>gene03275-v1.0-hybrid</t>
  </si>
  <si>
    <t>gene03575-v1.0-hybrid</t>
  </si>
  <si>
    <t>gene03875-v1.0-hybrid</t>
  </si>
  <si>
    <t>gene04775-v1.0-hybrid</t>
  </si>
  <si>
    <t>gene05376-v1.0-hybrid</t>
  </si>
  <si>
    <t>gene05676-v1.0-hybrid</t>
  </si>
  <si>
    <t>gene06276-v1.0-hybrid</t>
  </si>
  <si>
    <t>gene06576-v1.0-hybrid</t>
  </si>
  <si>
    <t>gene07476-v1.0-hybrid</t>
  </si>
  <si>
    <t>gene07777-v1.0-hybrid</t>
  </si>
  <si>
    <t>gene08077-v1.0-hybrid</t>
  </si>
  <si>
    <t>gene08377-v1.0-hybrid</t>
  </si>
  <si>
    <t>gene08677-v1.0-hybrid</t>
  </si>
  <si>
    <t>gene08977-v1.0-hybrid</t>
  </si>
  <si>
    <t>gene09277-v1.0-hybrid</t>
  </si>
  <si>
    <t>gene09577-v1.0-hybrid</t>
  </si>
  <si>
    <t>gene09878-v1.0-hybrid</t>
  </si>
  <si>
    <t>gene10178-v1.0-hybrid</t>
  </si>
  <si>
    <t>gene10479-v1.0-hybrid</t>
  </si>
  <si>
    <t>gene10779-v1.0-hybrid</t>
  </si>
  <si>
    <t>gene11079-v1.0-hybrid</t>
  </si>
  <si>
    <t>gene11380-v1.0-hybrid</t>
  </si>
  <si>
    <t>gene11680-v1.0-hybrid</t>
  </si>
  <si>
    <t>gene11980-v1.0-hybrid</t>
  </si>
  <si>
    <t>gene12280-v1.0-hybrid</t>
  </si>
  <si>
    <t>gene12580-v1.0-hybrid</t>
  </si>
  <si>
    <t>gene13481-v1.0-hybrid</t>
  </si>
  <si>
    <t>gene14082-v1.0-hybrid</t>
  </si>
  <si>
    <t>gene14383-v1.0-hybrid</t>
  </si>
  <si>
    <t>gene14685-v1.0-hybrid</t>
  </si>
  <si>
    <t>gene14986-v1.0-hybrid</t>
  </si>
  <si>
    <t>gene15588-v1.0-hybrid</t>
  </si>
  <si>
    <t>gene15889-v1.0-hybrid</t>
  </si>
  <si>
    <t>gene16490-v1.0-hybrid</t>
  </si>
  <si>
    <t>gene16790-v1.0-hybrid</t>
  </si>
  <si>
    <t>gene17092-v1.0-hybrid</t>
  </si>
  <si>
    <t>gene18592-v1.0-hybrid</t>
  </si>
  <si>
    <t>gene18892-v1.0-hybrid</t>
  </si>
  <si>
    <t>gene19192-v1.0-hybrid</t>
  </si>
  <si>
    <t>gene19492-v1.0-hybrid</t>
  </si>
  <si>
    <t>gene19792-v1.0-hybrid</t>
  </si>
  <si>
    <t>gene20092-v1.0-hybrid</t>
  </si>
  <si>
    <t>gene20393-v1.0-hybrid</t>
  </si>
  <si>
    <t>gene20993-v1.0-hybrid</t>
  </si>
  <si>
    <t>gene21293-v1.0-hybrid</t>
  </si>
  <si>
    <t>gene22195-v1.0-hybrid</t>
  </si>
  <si>
    <t>gene22796-v1.0-hybrid</t>
  </si>
  <si>
    <t>gene23096-v1.0-hybrid</t>
  </si>
  <si>
    <t>gene23398-v1.0-hybrid</t>
  </si>
  <si>
    <t>gene23698-v1.0-hybrid</t>
  </si>
  <si>
    <t>gene23998-v1.0-hybrid</t>
  </si>
  <si>
    <t>gene24300-v1.0-hybrid</t>
  </si>
  <si>
    <t>gene24903-v1.0-hybrid</t>
  </si>
  <si>
    <t>gene25503-v1.0-hybrid</t>
  </si>
  <si>
    <t>gene26103-v1.0-hybrid</t>
  </si>
  <si>
    <t>gene26403-v1.0-hybrid</t>
  </si>
  <si>
    <t>gene26703-v1.0-hybrid</t>
  </si>
  <si>
    <t>gene27604-v1.0-hybrid</t>
  </si>
  <si>
    <t>gene27904-v1.0-hybrid</t>
  </si>
  <si>
    <t>gene28204-v1.0-hybrid</t>
  </si>
  <si>
    <t>gene28804-v1.0-hybrid</t>
  </si>
  <si>
    <t>gene29104-v1.0-hybrid</t>
  </si>
  <si>
    <t>gene29404-v1.0-hybrid</t>
  </si>
  <si>
    <t>gene29705-v1.0-hybrid</t>
  </si>
  <si>
    <t>gene30006-v1.0-hybrid</t>
  </si>
  <si>
    <t>gene30306-v1.0-hybrid</t>
  </si>
  <si>
    <t>gene31206-v1.0-hybrid</t>
  </si>
  <si>
    <t>gene31506-v1.0-hybrid</t>
  </si>
  <si>
    <t>gene31806-v1.0-hybrid</t>
  </si>
  <si>
    <t>gene32106-v1.0-hybrid</t>
  </si>
  <si>
    <t>gene32406-v1.0-hybrid</t>
  </si>
  <si>
    <t>gene33871-v1.0-hybrid</t>
  </si>
  <si>
    <t>gene34171-v1.0-hybrid</t>
  </si>
  <si>
    <t>gene34471-v1.0-hybrid</t>
  </si>
  <si>
    <t>gene34771-v1.0-hybrid</t>
  </si>
  <si>
    <t>gene00183-v1.0-hybrid</t>
  </si>
  <si>
    <t>gene00787-v1.0-hybrid</t>
  </si>
  <si>
    <t>gene01087-v1.0-hybrid</t>
  </si>
  <si>
    <t>gene01688-v1.0-hybrid</t>
  </si>
  <si>
    <t>gene02288-v1.0-hybrid</t>
  </si>
  <si>
    <t>gene02588-v1.0-hybrid</t>
  </si>
  <si>
    <t>gene03276-v1.0-hybrid</t>
  </si>
  <si>
    <t>gene03876-v1.0-hybrid</t>
  </si>
  <si>
    <t>gene04176-v1.0-hybrid</t>
  </si>
  <si>
    <t>gene04476-v1.0-hybrid</t>
  </si>
  <si>
    <t>gene04776-v1.0-hybrid</t>
  </si>
  <si>
    <t>gene05076-v1.0-hybrid</t>
  </si>
  <si>
    <t>gene05377-v1.0-hybrid</t>
  </si>
  <si>
    <t>gene05677-v1.0-hybrid</t>
  </si>
  <si>
    <t>gene06277-v1.0-hybrid</t>
  </si>
  <si>
    <t>gene07177-v1.0-hybrid</t>
  </si>
  <si>
    <t>gene07477-v1.0-hybrid</t>
  </si>
  <si>
    <t>gene07778-v1.0-hybrid</t>
  </si>
  <si>
    <t>gene08078-v1.0-hybrid</t>
  </si>
  <si>
    <t>gene08378-v1.0-hybrid</t>
  </si>
  <si>
    <t>gene08678-v1.0-hybrid</t>
  </si>
  <si>
    <t>gene08978-v1.0-hybrid</t>
  </si>
  <si>
    <t>gene09278-v1.0-hybrid</t>
  </si>
  <si>
    <t>gene09578-v1.0-hybrid</t>
  </si>
  <si>
    <t>gene09879-v1.0-hybrid</t>
  </si>
  <si>
    <t>gene10480-v1.0-hybrid</t>
  </si>
  <si>
    <t>gene10780-v1.0-hybrid</t>
  </si>
  <si>
    <t>gene11381-v1.0-hybrid</t>
  </si>
  <si>
    <t>gene11681-v1.0-hybrid</t>
  </si>
  <si>
    <t>gene11981-v1.0-hybrid</t>
  </si>
  <si>
    <t>gene12581-v1.0-hybrid</t>
  </si>
  <si>
    <t>gene13182-v1.0-hybrid</t>
  </si>
  <si>
    <t>gene13782-v1.0-hybrid</t>
  </si>
  <si>
    <t>gene14083-v1.0-hybrid</t>
  </si>
  <si>
    <t>gene14384-v1.0-hybrid</t>
  </si>
  <si>
    <t>gene14987-v1.0-hybrid</t>
  </si>
  <si>
    <t>gene15288-v1.0-hybrid</t>
  </si>
  <si>
    <t>gene15890-v1.0-hybrid</t>
  </si>
  <si>
    <t>gene16491-v1.0-hybrid</t>
  </si>
  <si>
    <t>gene16791-v1.0-hybrid</t>
  </si>
  <si>
    <t>gene18593-v1.0-hybrid</t>
  </si>
  <si>
    <t>gene18893-v1.0-hybrid</t>
  </si>
  <si>
    <t>gene19493-v1.0-hybrid</t>
  </si>
  <si>
    <t>gene19793-v1.0-hybrid</t>
  </si>
  <si>
    <t>gene20093-v1.0-hybrid</t>
  </si>
  <si>
    <t>gene20394-v1.0-hybrid</t>
  </si>
  <si>
    <t>gene20994-v1.0-hybrid</t>
  </si>
  <si>
    <t>gene21595-v1.0-hybrid</t>
  </si>
  <si>
    <t>gene21895-v1.0-hybrid</t>
  </si>
  <si>
    <t>gene22196-v1.0-hybrid</t>
  </si>
  <si>
    <t>gene23399-v1.0-hybrid</t>
  </si>
  <si>
    <t>gene23999-v1.0-hybrid</t>
  </si>
  <si>
    <t>gene24301-v1.0-hybrid</t>
  </si>
  <si>
    <t>gene24904-v1.0-hybrid</t>
  </si>
  <si>
    <t>gene26104-v1.0-hybrid</t>
  </si>
  <si>
    <t>gene26404-v1.0-hybrid</t>
  </si>
  <si>
    <t>gene26704-v1.0-hybrid</t>
  </si>
  <si>
    <t>gene27005-v1.0-hybrid</t>
  </si>
  <si>
    <t>gene27305-v1.0-hybrid</t>
  </si>
  <si>
    <t>gene27905-v1.0-hybrid</t>
  </si>
  <si>
    <t>gene28205-v1.0-hybrid</t>
  </si>
  <si>
    <t>gene28505-v1.0-hybrid</t>
  </si>
  <si>
    <t>gene29405-v1.0-hybrid</t>
  </si>
  <si>
    <t>gene30007-v1.0-hybrid</t>
  </si>
  <si>
    <t>gene30307-v1.0-hybrid</t>
  </si>
  <si>
    <t>gene30607-v1.0-hybrid</t>
  </si>
  <si>
    <t>gene30907-v1.0-hybrid</t>
  </si>
  <si>
    <t>gene31207-v1.0-hybrid</t>
  </si>
  <si>
    <t>gene32107-v1.0-hybrid</t>
  </si>
  <si>
    <t>gene32407-v1.0-hybrid</t>
  </si>
  <si>
    <t>gene33872-v1.0-hybrid</t>
  </si>
  <si>
    <t>gene34472-v1.0-hybrid</t>
  </si>
  <si>
    <t>gene34772-v1.0-hybrid</t>
  </si>
  <si>
    <t>gene35072-v1.0-hybrid</t>
  </si>
  <si>
    <t>gene00184-v1.0-hybrid</t>
  </si>
  <si>
    <t>gene00788-v1.0-hybrid</t>
  </si>
  <si>
    <t>gene01088-v1.0-hybrid</t>
  </si>
  <si>
    <t>gene01389-v1.0-hybrid</t>
  </si>
  <si>
    <t>gene01689-v1.0-hybrid</t>
  </si>
  <si>
    <t>gene01989-v1.0-hybrid</t>
  </si>
  <si>
    <t>gene02589-v1.0-hybrid</t>
  </si>
  <si>
    <t>gene03277-v1.0-hybrid</t>
  </si>
  <si>
    <t>gene03577-v1.0-hybrid</t>
  </si>
  <si>
    <t>gene03877-v1.0-hybrid</t>
  </si>
  <si>
    <t>gene04177-v1.0-hybrid</t>
  </si>
  <si>
    <t>gene04477-v1.0-hybrid</t>
  </si>
  <si>
    <t>gene04777-v1.0-hybrid</t>
  </si>
  <si>
    <t>gene05378-v1.0-hybrid</t>
  </si>
  <si>
    <t>gene05678-v1.0-hybrid</t>
  </si>
  <si>
    <t>gene05978-v1.0-hybrid</t>
  </si>
  <si>
    <t>gene06278-v1.0-hybrid</t>
  </si>
  <si>
    <t>gene06578-v1.0-hybrid</t>
  </si>
  <si>
    <t>gene06878-v1.0-hybrid</t>
  </si>
  <si>
    <t>gene07178-v1.0-hybrid</t>
  </si>
  <si>
    <t>gene07779-v1.0-hybrid</t>
  </si>
  <si>
    <t>gene08379-v1.0-hybrid</t>
  </si>
  <si>
    <t>gene08679-v1.0-hybrid</t>
  </si>
  <si>
    <t>gene08979-v1.0-hybrid</t>
  </si>
  <si>
    <t>gene09279-v1.0-hybrid</t>
  </si>
  <si>
    <t>gene09579-v1.0-hybrid</t>
  </si>
  <si>
    <t>gene09880-v1.0-hybrid</t>
  </si>
  <si>
    <t>gene10481-v1.0-hybrid</t>
  </si>
  <si>
    <t>gene11081-v1.0-hybrid</t>
  </si>
  <si>
    <t>gene11382-v1.0-hybrid</t>
  </si>
  <si>
    <t>gene11682-v1.0-hybrid</t>
  </si>
  <si>
    <t>gene12282-v1.0-hybrid</t>
  </si>
  <si>
    <t>gene12582-v1.0-hybrid</t>
  </si>
  <si>
    <t>gene13183-v1.0-hybrid</t>
  </si>
  <si>
    <t>gene13483-v1.0-hybrid</t>
  </si>
  <si>
    <t>gene13783-v1.0-hybrid</t>
  </si>
  <si>
    <t>gene14084-v1.0-hybrid</t>
  </si>
  <si>
    <t>gene14385-v1.0-hybrid</t>
  </si>
  <si>
    <t>gene14687-v1.0-hybrid</t>
  </si>
  <si>
    <t>gene14988-v1.0-hybrid</t>
  </si>
  <si>
    <t>gene15289-v1.0-hybrid</t>
  </si>
  <si>
    <t>gene15590-v1.0-hybrid</t>
  </si>
  <si>
    <t>gene15891-v1.0-hybrid</t>
  </si>
  <si>
    <t>gene16192-v1.0-hybrid</t>
  </si>
  <si>
    <t>gene16492-v1.0-hybrid</t>
  </si>
  <si>
    <t>gene16792-v1.0-hybrid</t>
  </si>
  <si>
    <t>gene17094-v1.0-hybrid</t>
  </si>
  <si>
    <t>gene17994-v1.0-hybrid</t>
  </si>
  <si>
    <t>gene18594-v1.0-hybrid</t>
  </si>
  <si>
    <t>gene18894-v1.0-hybrid</t>
  </si>
  <si>
    <t>gene19494-v1.0-hybrid</t>
  </si>
  <si>
    <t>gene19794-v1.0-hybrid</t>
  </si>
  <si>
    <t>gene20094-v1.0-hybrid</t>
  </si>
  <si>
    <t>gene20395-v1.0-hybrid</t>
  </si>
  <si>
    <t>gene20995-v1.0-hybrid</t>
  </si>
  <si>
    <t>gene21295-v1.0-hybrid</t>
  </si>
  <si>
    <t>gene21596-v1.0-hybrid</t>
  </si>
  <si>
    <t>gene21896-v1.0-hybrid</t>
  </si>
  <si>
    <t>gene22197-v1.0-hybrid</t>
  </si>
  <si>
    <t>gene22798-v1.0-hybrid</t>
  </si>
  <si>
    <t>gene23400-v1.0-hybrid</t>
  </si>
  <si>
    <t>gene23700-v1.0-hybrid</t>
  </si>
  <si>
    <t>gene24000-v1.0-hybrid</t>
  </si>
  <si>
    <t>gene24302-v1.0-hybrid</t>
  </si>
  <si>
    <t>gene24603-v1.0-hybrid</t>
  </si>
  <si>
    <t>gene24905-v1.0-hybrid</t>
  </si>
  <si>
    <t>gene25505-v1.0-hybrid</t>
  </si>
  <si>
    <t>gene25805-v1.0-hybrid</t>
  </si>
  <si>
    <t>gene26105-v1.0-hybrid</t>
  </si>
  <si>
    <t>gene26405-v1.0-hybrid</t>
  </si>
  <si>
    <t>gene26705-v1.0-hybrid</t>
  </si>
  <si>
    <t>gene27006-v1.0-hybrid</t>
  </si>
  <si>
    <t>gene27606-v1.0-hybrid</t>
  </si>
  <si>
    <t>gene27906-v1.0-hybrid</t>
  </si>
  <si>
    <t>gene28206-v1.0-hybrid</t>
  </si>
  <si>
    <t>gene28506-v1.0-hybrid</t>
  </si>
  <si>
    <t>gene29106-v1.0-hybrid</t>
  </si>
  <si>
    <t>gene29707-v1.0-hybrid</t>
  </si>
  <si>
    <t>gene30008-v1.0-hybrid</t>
  </si>
  <si>
    <t>gene30308-v1.0-hybrid</t>
  </si>
  <si>
    <t>gene30608-v1.0-hybrid</t>
  </si>
  <si>
    <t>gene30908-v1.0-hybrid</t>
  </si>
  <si>
    <t>gene31208-v1.0-hybrid</t>
  </si>
  <si>
    <t>gene31508-v1.0-hybrid</t>
  </si>
  <si>
    <t>gene31808-v1.0-hybrid</t>
  </si>
  <si>
    <t>gene32108-v1.0-hybrid</t>
  </si>
  <si>
    <t>gene32408-v1.0-hybrid</t>
  </si>
  <si>
    <t>gene33499-v1.0-hybrid</t>
  </si>
  <si>
    <t>gene33873-v1.0-hybrid</t>
  </si>
  <si>
    <t>gene34173-v1.0-hybrid</t>
  </si>
  <si>
    <t>gene34773-v1.0-hybrid</t>
  </si>
  <si>
    <t>gene00185-v1.0-hybrid</t>
  </si>
  <si>
    <t>gene01089-v1.0-hybrid</t>
  </si>
  <si>
    <t>gene01690-v1.0-hybrid</t>
  </si>
  <si>
    <t>gene01990-v1.0-hybrid</t>
  </si>
  <si>
    <t>gene02290-v1.0-hybrid</t>
  </si>
  <si>
    <t>gene02590-v1.0-hybrid</t>
  </si>
  <si>
    <t>gene03278-v1.0-hybrid</t>
  </si>
  <si>
    <t>gene03578-v1.0-hybrid</t>
  </si>
  <si>
    <t>gene03878-v1.0-hybrid</t>
  </si>
  <si>
    <t>gene04178-v1.0-hybrid</t>
  </si>
  <si>
    <t>gene04478-v1.0-hybrid</t>
  </si>
  <si>
    <t>gene05379-v1.0-hybrid</t>
  </si>
  <si>
    <t>gene05679-v1.0-hybrid</t>
  </si>
  <si>
    <t>gene05979-v1.0-hybrid</t>
  </si>
  <si>
    <t>gene06579-v1.0-hybrid</t>
  </si>
  <si>
    <t>gene06879-v1.0-hybrid</t>
  </si>
  <si>
    <t>gene07179-v1.0-hybrid</t>
  </si>
  <si>
    <t>gene07479-v1.0-hybrid</t>
  </si>
  <si>
    <t>gene07780-v1.0-hybrid</t>
  </si>
  <si>
    <t>gene08080-v1.0-hybrid</t>
  </si>
  <si>
    <t>gene08380-v1.0-hybrid</t>
  </si>
  <si>
    <t>gene08680-v1.0-hybrid</t>
  </si>
  <si>
    <t>gene08980-v1.0-hybrid</t>
  </si>
  <si>
    <t>gene09280-v1.0-hybrid</t>
  </si>
  <si>
    <t>gene09580-v1.0-hybrid</t>
  </si>
  <si>
    <t>gene10181-v1.0-hybrid</t>
  </si>
  <si>
    <t>gene10782-v1.0-hybrid</t>
  </si>
  <si>
    <t>gene11082-v1.0-hybrid</t>
  </si>
  <si>
    <t>gene11383-v1.0-hybrid</t>
  </si>
  <si>
    <t>gene11683-v1.0-hybrid</t>
  </si>
  <si>
    <t>gene11983-v1.0-hybrid</t>
  </si>
  <si>
    <t>gene12283-v1.0-hybrid</t>
  </si>
  <si>
    <t>gene12883-v1.0-hybrid</t>
  </si>
  <si>
    <t>gene13484-v1.0-hybrid</t>
  </si>
  <si>
    <t>gene13784-v1.0-hybrid</t>
  </si>
  <si>
    <t>gene14386-v1.0-hybrid</t>
  </si>
  <si>
    <t>gene14989-v1.0-hybrid</t>
  </si>
  <si>
    <t>gene15591-v1.0-hybrid</t>
  </si>
  <si>
    <t>gene16493-v1.0-hybrid</t>
  </si>
  <si>
    <t>gene16793-v1.0-hybrid</t>
  </si>
  <si>
    <t>gene17095-v1.0-hybrid</t>
  </si>
  <si>
    <t>gene17695-v1.0-hybrid</t>
  </si>
  <si>
    <t>gene17995-v1.0-hybrid</t>
  </si>
  <si>
    <t>gene18295-v1.0-hybrid</t>
  </si>
  <si>
    <t>gene18895-v1.0-hybrid</t>
  </si>
  <si>
    <t>gene19795-v1.0-hybrid</t>
  </si>
  <si>
    <t>gene20095-v1.0-hybrid</t>
  </si>
  <si>
    <t>gene20396-v1.0-hybrid</t>
  </si>
  <si>
    <t>gene20696-v1.0-hybrid</t>
  </si>
  <si>
    <t>gene20996-v1.0-hybrid</t>
  </si>
  <si>
    <t>gene21296-v1.0-hybrid</t>
  </si>
  <si>
    <t>gene21597-v1.0-hybrid</t>
  </si>
  <si>
    <t>gene21897-v1.0-hybrid</t>
  </si>
  <si>
    <t>gene22198-v1.0-hybrid</t>
  </si>
  <si>
    <t>gene22799-v1.0-hybrid</t>
  </si>
  <si>
    <t>gene23099-v1.0-hybrid</t>
  </si>
  <si>
    <t>gene23401-v1.0-hybrid</t>
  </si>
  <si>
    <t>gene23701-v1.0-hybrid</t>
  </si>
  <si>
    <t>gene24001-v1.0-hybrid</t>
  </si>
  <si>
    <t>gene24303-v1.0-hybrid</t>
  </si>
  <si>
    <t>gene24906-v1.0-hybrid</t>
  </si>
  <si>
    <t>gene25506-v1.0-hybrid</t>
  </si>
  <si>
    <t>gene25806-v1.0-hybrid</t>
  </si>
  <si>
    <t>gene26106-v1.0-hybrid</t>
  </si>
  <si>
    <t>gene26706-v1.0-hybrid</t>
  </si>
  <si>
    <t>gene27007-v1.0-hybrid</t>
  </si>
  <si>
    <t>gene27607-v1.0-hybrid</t>
  </si>
  <si>
    <t>gene27907-v1.0-hybrid</t>
  </si>
  <si>
    <t>gene28207-v1.0-hybrid</t>
  </si>
  <si>
    <t>gene29107-v1.0-hybrid</t>
  </si>
  <si>
    <t>gene29407-v1.0-hybrid</t>
  </si>
  <si>
    <t>gene30309-v1.0-hybrid</t>
  </si>
  <si>
    <t>gene30609-v1.0-hybrid</t>
  </si>
  <si>
    <t>gene30909-v1.0-hybrid</t>
  </si>
  <si>
    <t>gene31209-v1.0-hybrid</t>
  </si>
  <si>
    <t>gene31809-v1.0-hybrid</t>
  </si>
  <si>
    <t>gene32109-v1.0-hybrid</t>
  </si>
  <si>
    <t>gene32409-v1.0-hybrid</t>
  </si>
  <si>
    <t>gene33098-v1.0-hybrid</t>
  </si>
  <si>
    <t>gene33874-v1.0-hybrid</t>
  </si>
  <si>
    <t>gene34474-v1.0-hybrid</t>
  </si>
  <si>
    <t>gene34774-v1.0-hybrid</t>
  </si>
  <si>
    <t>gene35074-v1.0-hybrid</t>
  </si>
  <si>
    <t>gene00186-v1.0-hybrid</t>
  </si>
  <si>
    <t>gene00487-v1.0-hybrid</t>
  </si>
  <si>
    <t>gene00790-v1.0-hybrid</t>
  </si>
  <si>
    <t>gene01090-v1.0-hybrid</t>
  </si>
  <si>
    <t>gene01691-v1.0-hybrid</t>
  </si>
  <si>
    <t>gene01991-v1.0-hybrid</t>
  </si>
  <si>
    <t>gene02591-v1.0-hybrid</t>
  </si>
  <si>
    <t>gene02965-v1.0-hybrid</t>
  </si>
  <si>
    <t>gene03279-v1.0-hybrid</t>
  </si>
  <si>
    <t>gene03579-v1.0-hybrid</t>
  </si>
  <si>
    <t>gene03879-v1.0-hybrid</t>
  </si>
  <si>
    <t>gene04179-v1.0-hybrid</t>
  </si>
  <si>
    <t>gene04479-v1.0-hybrid</t>
  </si>
  <si>
    <t>gene05079-v1.0-hybrid</t>
  </si>
  <si>
    <t>gene05380-v1.0-hybrid</t>
  </si>
  <si>
    <t>gene05680-v1.0-hybrid</t>
  </si>
  <si>
    <t>gene05980-v1.0-hybrid</t>
  </si>
  <si>
    <t>gene06580-v1.0-hybrid</t>
  </si>
  <si>
    <t>gene06880-v1.0-hybrid</t>
  </si>
  <si>
    <t>gene07180-v1.0-hybrid</t>
  </si>
  <si>
    <t>gene07480-v1.0-hybrid</t>
  </si>
  <si>
    <t>gene07781-v1.0-hybrid</t>
  </si>
  <si>
    <t>gene08081-v1.0-hybrid</t>
  </si>
  <si>
    <t>gene08381-v1.0-hybrid</t>
  </si>
  <si>
    <t>gene08681-v1.0-hybrid</t>
  </si>
  <si>
    <t>gene08981-v1.0-hybrid</t>
  </si>
  <si>
    <t>gene09281-v1.0-hybrid</t>
  </si>
  <si>
    <t>gene09581-v1.0-hybrid</t>
  </si>
  <si>
    <t>gene10783-v1.0-hybrid</t>
  </si>
  <si>
    <t>gene11083-v1.0-hybrid</t>
  </si>
  <si>
    <t>gene11384-v1.0-hybrid</t>
  </si>
  <si>
    <t>gene11684-v1.0-hybrid</t>
  </si>
  <si>
    <t>gene12284-v1.0-hybrid</t>
  </si>
  <si>
    <t>gene12584-v1.0-hybrid</t>
  </si>
  <si>
    <t>gene12884-v1.0-hybrid</t>
  </si>
  <si>
    <t>gene13185-v1.0-hybrid</t>
  </si>
  <si>
    <t>gene13485-v1.0-hybrid</t>
  </si>
  <si>
    <t>gene13785-v1.0-hybrid</t>
  </si>
  <si>
    <t>gene14086-v1.0-hybrid</t>
  </si>
  <si>
    <t>gene14689-v1.0-hybrid</t>
  </si>
  <si>
    <t>gene14990-v1.0-hybrid</t>
  </si>
  <si>
    <t>gene15291-v1.0-hybrid</t>
  </si>
  <si>
    <t>gene15592-v1.0-hybrid</t>
  </si>
  <si>
    <t>gene15893-v1.0-hybrid</t>
  </si>
  <si>
    <t>gene16194-v1.0-hybrid</t>
  </si>
  <si>
    <t>gene16494-v1.0-hybrid</t>
  </si>
  <si>
    <t>gene16794-v1.0-hybrid</t>
  </si>
  <si>
    <t>gene17096-v1.0-hybrid</t>
  </si>
  <si>
    <t>gene18296-v1.0-hybrid</t>
  </si>
  <si>
    <t>gene18596-v1.0-hybrid</t>
  </si>
  <si>
    <t>gene18896-v1.0-hybrid</t>
  </si>
  <si>
    <t>gene19196-v1.0-hybrid</t>
  </si>
  <si>
    <t>gene19496-v1.0-hybrid</t>
  </si>
  <si>
    <t>gene20096-v1.0-hybrid</t>
  </si>
  <si>
    <t>gene20697-v1.0-hybrid</t>
  </si>
  <si>
    <t>gene20997-v1.0-hybrid</t>
  </si>
  <si>
    <t>gene21297-v1.0-hybrid</t>
  </si>
  <si>
    <t>gene21598-v1.0-hybrid</t>
  </si>
  <si>
    <t>gene21898-v1.0-hybrid</t>
  </si>
  <si>
    <t>gene22199-v1.0-hybrid</t>
  </si>
  <si>
    <t>gene22499-v1.0-hybrid</t>
  </si>
  <si>
    <t>gene22800-v1.0-hybrid</t>
  </si>
  <si>
    <t>gene23402-v1.0-hybrid</t>
  </si>
  <si>
    <t>gene23702-v1.0-hybrid</t>
  </si>
  <si>
    <t>gene24002-v1.0-hybrid</t>
  </si>
  <si>
    <t>gene24304-v1.0-hybrid</t>
  </si>
  <si>
    <t>gene24605-v1.0-hybrid</t>
  </si>
  <si>
    <t>gene24907-v1.0-hybrid</t>
  </si>
  <si>
    <t>gene25207-v1.0-hybrid</t>
  </si>
  <si>
    <t>gene25807-v1.0-hybrid</t>
  </si>
  <si>
    <t>gene26107-v1.0-hybrid</t>
  </si>
  <si>
    <t>gene26707-v1.0-hybrid</t>
  </si>
  <si>
    <t>gene27008-v1.0-hybrid</t>
  </si>
  <si>
    <t>gene28208-v1.0-hybrid</t>
  </si>
  <si>
    <t>gene28508-v1.0-hybrid</t>
  </si>
  <si>
    <t>gene28808-v1.0-hybrid</t>
  </si>
  <si>
    <t>gene29108-v1.0-hybrid</t>
  </si>
  <si>
    <t>gene29408-v1.0-hybrid</t>
  </si>
  <si>
    <t>gene30610-v1.0-hybrid</t>
  </si>
  <si>
    <t>gene30910-v1.0-hybrid</t>
  </si>
  <si>
    <t>gene31210-v1.0-hybrid</t>
  </si>
  <si>
    <t>gene32110-v1.0-hybrid</t>
  </si>
  <si>
    <t>gene32410-v1.0-hybrid</t>
  </si>
  <si>
    <t>gene33875-v1.0-hybrid</t>
  </si>
  <si>
    <t>gene34475-v1.0-hybrid</t>
  </si>
  <si>
    <t>gene34775-v1.0-hybrid</t>
  </si>
  <si>
    <t>gene35075-v1.0-hybrid</t>
  </si>
  <si>
    <t>gene00187-v1.0-hybrid</t>
  </si>
  <si>
    <t>gene00791-v1.0-hybrid</t>
  </si>
  <si>
    <t>gene01992-v1.0-hybrid</t>
  </si>
  <si>
    <t>gene02292-v1.0-hybrid</t>
  </si>
  <si>
    <t>gene02592-v1.0-hybrid</t>
  </si>
  <si>
    <t>gene03580-v1.0-hybrid</t>
  </si>
  <si>
    <t>gene03880-v1.0-hybrid</t>
  </si>
  <si>
    <t>gene04480-v1.0-hybrid</t>
  </si>
  <si>
    <t>gene05381-v1.0-hybrid</t>
  </si>
  <si>
    <t>gene05681-v1.0-hybrid</t>
  </si>
  <si>
    <t>gene05981-v1.0-hybrid</t>
  </si>
  <si>
    <t>gene06281-v1.0-hybrid</t>
  </si>
  <si>
    <t>gene06581-v1.0-hybrid</t>
  </si>
  <si>
    <t>gene06881-v1.0-hybrid</t>
  </si>
  <si>
    <t>gene07181-v1.0-hybrid</t>
  </si>
  <si>
    <t>gene07481-v1.0-hybrid</t>
  </si>
  <si>
    <t>gene07782-v1.0-hybrid</t>
  </si>
  <si>
    <t>gene08082-v1.0-hybrid</t>
  </si>
  <si>
    <t>gene08382-v1.0-hybrid</t>
  </si>
  <si>
    <t>gene08682-v1.0-hybrid</t>
  </si>
  <si>
    <t>gene08982-v1.0-hybrid</t>
  </si>
  <si>
    <t>gene09282-v1.0-hybrid</t>
  </si>
  <si>
    <t>gene09582-v1.0-hybrid</t>
  </si>
  <si>
    <t>gene09883-v1.0-hybrid</t>
  </si>
  <si>
    <t>gene10484-v1.0-hybrid</t>
  </si>
  <si>
    <t>gene10784-v1.0-hybrid</t>
  </si>
  <si>
    <t>gene11084-v1.0-hybrid</t>
  </si>
  <si>
    <t>gene11385-v1.0-hybrid</t>
  </si>
  <si>
    <t>gene11685-v1.0-hybrid</t>
  </si>
  <si>
    <t>gene11985-v1.0-hybrid</t>
  </si>
  <si>
    <t>gene12585-v1.0-hybrid</t>
  </si>
  <si>
    <t>gene12885-v1.0-hybrid</t>
  </si>
  <si>
    <t>gene13186-v1.0-hybrid</t>
  </si>
  <si>
    <t>gene13486-v1.0-hybrid</t>
  </si>
  <si>
    <t>gene13786-v1.0-hybrid</t>
  </si>
  <si>
    <t>gene14087-v1.0-hybrid</t>
  </si>
  <si>
    <t>gene14388-v1.0-hybrid</t>
  </si>
  <si>
    <t>gene14991-v1.0-hybrid</t>
  </si>
  <si>
    <t>gene15894-v1.0-hybrid</t>
  </si>
  <si>
    <t>gene16195-v1.0-hybrid</t>
  </si>
  <si>
    <t>gene16795-v1.0-hybrid</t>
  </si>
  <si>
    <t>gene17397-v1.0-hybrid</t>
  </si>
  <si>
    <t>gene17997-v1.0-hybrid</t>
  </si>
  <si>
    <t>gene18297-v1.0-hybrid</t>
  </si>
  <si>
    <t>gene18597-v1.0-hybrid</t>
  </si>
  <si>
    <t>gene18897-v1.0-hybrid</t>
  </si>
  <si>
    <t>gene19197-v1.0-hybrid</t>
  </si>
  <si>
    <t>gene19497-v1.0-hybrid</t>
  </si>
  <si>
    <t>gene19797-v1.0-hybrid</t>
  </si>
  <si>
    <t>gene20097-v1.0-hybrid</t>
  </si>
  <si>
    <t>gene20698-v1.0-hybrid</t>
  </si>
  <si>
    <t>gene20998-v1.0-hybrid</t>
  </si>
  <si>
    <t>gene21298-v1.0-hybrid</t>
  </si>
  <si>
    <t>gene21599-v1.0-hybrid</t>
  </si>
  <si>
    <t>gene21899-v1.0-hybrid</t>
  </si>
  <si>
    <t>gene22200-v1.0-hybrid</t>
  </si>
  <si>
    <t>gene22500-v1.0-hybrid</t>
  </si>
  <si>
    <t>gene22801-v1.0-hybrid</t>
  </si>
  <si>
    <t>gene23101-v1.0-hybrid</t>
  </si>
  <si>
    <t>gene23403-v1.0-hybrid</t>
  </si>
  <si>
    <t>gene23703-v1.0-hybrid</t>
  </si>
  <si>
    <t>gene24003-v1.0-hybrid</t>
  </si>
  <si>
    <t>gene24305-v1.0-hybrid</t>
  </si>
  <si>
    <t>gene24908-v1.0-hybrid</t>
  </si>
  <si>
    <t>gene25208-v1.0-hybrid</t>
  </si>
  <si>
    <t>gene25508-v1.0-hybrid</t>
  </si>
  <si>
    <t>gene25808-v1.0-hybrid</t>
  </si>
  <si>
    <t>gene26108-v1.0-hybrid</t>
  </si>
  <si>
    <t>gene26408-v1.0-hybrid</t>
  </si>
  <si>
    <t>gene26708-v1.0-hybrid</t>
  </si>
  <si>
    <t>gene27309-v1.0-hybrid</t>
  </si>
  <si>
    <t>gene27609-v1.0-hybrid</t>
  </si>
  <si>
    <t>gene28209-v1.0-hybrid</t>
  </si>
  <si>
    <t>gene28809-v1.0-hybrid</t>
  </si>
  <si>
    <t>gene29109-v1.0-hybrid</t>
  </si>
  <si>
    <t>gene29409-v1.0-hybrid</t>
  </si>
  <si>
    <t>gene29710-v1.0-hybrid</t>
  </si>
  <si>
    <t>gene30611-v1.0-hybrid</t>
  </si>
  <si>
    <t>gene30911-v1.0-hybrid</t>
  </si>
  <si>
    <t>gene31211-v1.0-hybrid</t>
  </si>
  <si>
    <t>gene31511-v1.0-hybrid</t>
  </si>
  <si>
    <t>gene31811-v1.0-hybrid</t>
  </si>
  <si>
    <t>gene32111-v1.0-hybrid</t>
  </si>
  <si>
    <t>gene32411-v1.0-hybrid</t>
  </si>
  <si>
    <t>gene34476-v1.0-hybrid</t>
  </si>
  <si>
    <t>gene34776-v1.0-hybrid</t>
  </si>
  <si>
    <t>gene00188-v1.0-hybrid</t>
  </si>
  <si>
    <t>gene00792-v1.0-hybrid</t>
  </si>
  <si>
    <t>gene01092-v1.0-hybrid</t>
  </si>
  <si>
    <t>gene01393-v1.0-hybrid</t>
  </si>
  <si>
    <t>gene01693-v1.0-hybrid</t>
  </si>
  <si>
    <t>gene01993-v1.0-hybrid</t>
  </si>
  <si>
    <t>gene02293-v1.0-hybrid</t>
  </si>
  <si>
    <t>gene02593-v1.0-hybrid</t>
  </si>
  <si>
    <t>gene03281-v1.0-hybrid</t>
  </si>
  <si>
    <t>gene03581-v1.0-hybrid</t>
  </si>
  <si>
    <t>gene03881-v1.0-hybrid</t>
  </si>
  <si>
    <t>gene04481-v1.0-hybrid</t>
  </si>
  <si>
    <t>gene05382-v1.0-hybrid</t>
  </si>
  <si>
    <t>gene05682-v1.0-hybrid</t>
  </si>
  <si>
    <t>gene05982-v1.0-hybrid</t>
  </si>
  <si>
    <t>gene06282-v1.0-hybrid</t>
  </si>
  <si>
    <t>gene06582-v1.0-hybrid</t>
  </si>
  <si>
    <t>gene07182-v1.0-hybrid</t>
  </si>
  <si>
    <t>gene07482-v1.0-hybrid</t>
  </si>
  <si>
    <t>gene07783-v1.0-hybrid</t>
  </si>
  <si>
    <t>gene08083-v1.0-hybrid</t>
  </si>
  <si>
    <t>gene08383-v1.0-hybrid</t>
  </si>
  <si>
    <t>gene08683-v1.0-hybrid</t>
  </si>
  <si>
    <t>gene08983-v1.0-hybrid</t>
  </si>
  <si>
    <t>gene09283-v1.0-hybrid</t>
  </si>
  <si>
    <t>gene09583-v1.0-hybrid</t>
  </si>
  <si>
    <t>gene10184-v1.0-hybrid</t>
  </si>
  <si>
    <t>gene10785-v1.0-hybrid</t>
  </si>
  <si>
    <t>gene11085-v1.0-hybrid</t>
  </si>
  <si>
    <t>gene11386-v1.0-hybrid</t>
  </si>
  <si>
    <t>gene11686-v1.0-hybrid</t>
  </si>
  <si>
    <t>gene11986-v1.0-hybrid</t>
  </si>
  <si>
    <t>gene12586-v1.0-hybrid</t>
  </si>
  <si>
    <t>gene12886-v1.0-hybrid</t>
  </si>
  <si>
    <t>gene13187-v1.0-hybrid</t>
  </si>
  <si>
    <t>gene13487-v1.0-hybrid</t>
  </si>
  <si>
    <t>gene14389-v1.0-hybrid</t>
  </si>
  <si>
    <t>gene14691-v1.0-hybrid</t>
  </si>
  <si>
    <t>gene15293-v1.0-hybrid</t>
  </si>
  <si>
    <t>gene15594-v1.0-hybrid</t>
  </si>
  <si>
    <t>gene15895-v1.0-hybrid</t>
  </si>
  <si>
    <t>gene16196-v1.0-hybrid</t>
  </si>
  <si>
    <t>gene16496-v1.0-hybrid</t>
  </si>
  <si>
    <t>gene16796-v1.0-hybrid</t>
  </si>
  <si>
    <t>gene17098-v1.0-hybrid</t>
  </si>
  <si>
    <t>gene17398-v1.0-hybrid</t>
  </si>
  <si>
    <t>gene17698-v1.0-hybrid</t>
  </si>
  <si>
    <t>gene17998-v1.0-hybrid</t>
  </si>
  <si>
    <t>gene18298-v1.0-hybrid</t>
  </si>
  <si>
    <t>gene18598-v1.0-hybrid</t>
  </si>
  <si>
    <t>gene18898-v1.0-hybrid</t>
  </si>
  <si>
    <t>gene19198-v1.0-hybrid</t>
  </si>
  <si>
    <t>gene19498-v1.0-hybrid</t>
  </si>
  <si>
    <t>gene19798-v1.0-hybrid</t>
  </si>
  <si>
    <t>gene20098-v1.0-hybrid</t>
  </si>
  <si>
    <t>gene20699-v1.0-hybrid</t>
  </si>
  <si>
    <t>gene20999-v1.0-hybrid</t>
  </si>
  <si>
    <t>gene21299-v1.0-hybrid</t>
  </si>
  <si>
    <t>gene21600-v1.0-hybrid</t>
  </si>
  <si>
    <t>gene22201-v1.0-hybrid</t>
  </si>
  <si>
    <t>gene22501-v1.0-hybrid</t>
  </si>
  <si>
    <t>gene22802-v1.0-hybrid</t>
  </si>
  <si>
    <t>gene23404-v1.0-hybrid</t>
  </si>
  <si>
    <t>gene23704-v1.0-hybrid</t>
  </si>
  <si>
    <t>gene24004-v1.0-hybrid</t>
  </si>
  <si>
    <t>gene24607-v1.0-hybrid</t>
  </si>
  <si>
    <t>gene24909-v1.0-hybrid</t>
  </si>
  <si>
    <t>gene25209-v1.0-hybrid</t>
  </si>
  <si>
    <t>gene25509-v1.0-hybrid</t>
  </si>
  <si>
    <t>gene25809-v1.0-hybrid</t>
  </si>
  <si>
    <t>gene26109-v1.0-hybrid</t>
  </si>
  <si>
    <t>gene26409-v1.0-hybrid</t>
  </si>
  <si>
    <t>gene26709-v1.0-hybrid</t>
  </si>
  <si>
    <t>gene27310-v1.0-hybrid</t>
  </si>
  <si>
    <t>gene27610-v1.0-hybrid</t>
  </si>
  <si>
    <t>gene28210-v1.0-hybrid</t>
  </si>
  <si>
    <t>gene28510-v1.0-hybrid</t>
  </si>
  <si>
    <t>gene29110-v1.0-hybrid</t>
  </si>
  <si>
    <t>gene29410-v1.0-hybrid</t>
  </si>
  <si>
    <t>gene29711-v1.0-hybrid</t>
  </si>
  <si>
    <t>gene30312-v1.0-hybrid</t>
  </si>
  <si>
    <t>gene30612-v1.0-hybrid</t>
  </si>
  <si>
    <t>gene31212-v1.0-hybrid</t>
  </si>
  <si>
    <t>gene31512-v1.0-hybrid</t>
  </si>
  <si>
    <t>gene31812-v1.0-hybrid</t>
  </si>
  <si>
    <t>gene32412-v1.0-hybrid</t>
  </si>
  <si>
    <t>gene33101-v1.0-hybrid</t>
  </si>
  <si>
    <t>gene33877-v1.0-hybrid</t>
  </si>
  <si>
    <t>gene34777-v1.0-hybrid</t>
  </si>
  <si>
    <t>gene35077-v1.0-hybrid</t>
  </si>
  <si>
    <t>gene00189-v1.0-hybrid</t>
  </si>
  <si>
    <t>gene00793-v1.0-hybrid</t>
  </si>
  <si>
    <t>gene01394-v1.0-hybrid</t>
  </si>
  <si>
    <t>gene01994-v1.0-hybrid</t>
  </si>
  <si>
    <t>gene03282-v1.0-hybrid</t>
  </si>
  <si>
    <t>gene03582-v1.0-hybrid</t>
  </si>
  <si>
    <t>gene03882-v1.0-hybrid</t>
  </si>
  <si>
    <t>gene04182-v1.0-hybrid</t>
  </si>
  <si>
    <t>gene04482-v1.0-hybrid</t>
  </si>
  <si>
    <t>gene04782-v1.0-hybrid</t>
  </si>
  <si>
    <t>gene05082-v1.0-hybrid</t>
  </si>
  <si>
    <t>gene05383-v1.0-hybrid</t>
  </si>
  <si>
    <t>gene05983-v1.0-hybrid</t>
  </si>
  <si>
    <t>gene06283-v1.0-hybrid</t>
  </si>
  <si>
    <t>gene06883-v1.0-hybrid</t>
  </si>
  <si>
    <t>gene07183-v1.0-hybrid</t>
  </si>
  <si>
    <t>gene07483-v1.0-hybrid</t>
  </si>
  <si>
    <t>gene07784-v1.0-hybrid</t>
  </si>
  <si>
    <t>gene08084-v1.0-hybrid</t>
  </si>
  <si>
    <t>gene08384-v1.0-hybrid</t>
  </si>
  <si>
    <t>gene08984-v1.0-hybrid</t>
  </si>
  <si>
    <t>gene09284-v1.0-hybrid</t>
  </si>
  <si>
    <t>gene09584-v1.0-hybrid</t>
  </si>
  <si>
    <t>gene09885-v1.0-hybrid</t>
  </si>
  <si>
    <t>gene10185-v1.0-hybrid</t>
  </si>
  <si>
    <t>gene10786-v1.0-hybrid</t>
  </si>
  <si>
    <t>gene11086-v1.0-hybrid</t>
  </si>
  <si>
    <t>gene12587-v1.0-hybrid</t>
  </si>
  <si>
    <t>gene12887-v1.0-hybrid</t>
  </si>
  <si>
    <t>gene13188-v1.0-hybrid</t>
  </si>
  <si>
    <t>gene13488-v1.0-hybrid</t>
  </si>
  <si>
    <t>gene13788-v1.0-hybrid</t>
  </si>
  <si>
    <t>gene14089-v1.0-hybrid</t>
  </si>
  <si>
    <t>gene14390-v1.0-hybrid</t>
  </si>
  <si>
    <t>gene14692-v1.0-hybrid</t>
  </si>
  <si>
    <t>gene14993-v1.0-hybrid</t>
  </si>
  <si>
    <t>gene16197-v1.0-hybrid</t>
  </si>
  <si>
    <t>gene16497-v1.0-hybrid</t>
  </si>
  <si>
    <t>gene16797-v1.0-hybrid</t>
  </si>
  <si>
    <t>gene17099-v1.0-hybrid</t>
  </si>
  <si>
    <t>gene17399-v1.0-hybrid</t>
  </si>
  <si>
    <t>gene18299-v1.0-hybrid</t>
  </si>
  <si>
    <t>gene18599-v1.0-hybrid</t>
  </si>
  <si>
    <t>gene18899-v1.0-hybrid</t>
  </si>
  <si>
    <t>gene19199-v1.0-hybrid</t>
  </si>
  <si>
    <t>gene19499-v1.0-hybrid</t>
  </si>
  <si>
    <t>gene19799-v1.0-hybrid</t>
  </si>
  <si>
    <t>gene20099-v1.0-hybrid</t>
  </si>
  <si>
    <t>gene20400-v1.0-hybrid</t>
  </si>
  <si>
    <t>gene20700-v1.0-hybrid</t>
  </si>
  <si>
    <t>gene21000-v1.0-hybrid</t>
  </si>
  <si>
    <t>gene21601-v1.0-hybrid</t>
  </si>
  <si>
    <t>gene21901-v1.0-hybrid</t>
  </si>
  <si>
    <t>gene22202-v1.0-hybrid</t>
  </si>
  <si>
    <t>gene22502-v1.0-hybrid</t>
  </si>
  <si>
    <t>gene22803-v1.0-hybrid</t>
  </si>
  <si>
    <t>gene23103-v1.0-hybrid</t>
  </si>
  <si>
    <t>gene23405-v1.0-hybrid</t>
  </si>
  <si>
    <t>gene23705-v1.0-hybrid</t>
  </si>
  <si>
    <t>gene24005-v1.0-hybrid</t>
  </si>
  <si>
    <t>gene24307-v1.0-hybrid</t>
  </si>
  <si>
    <t>gene24608-v1.0-hybrid</t>
  </si>
  <si>
    <t>gene24910-v1.0-hybrid</t>
  </si>
  <si>
    <t>gene25810-v1.0-hybrid</t>
  </si>
  <si>
    <t>gene26110-v1.0-hybrid</t>
  </si>
  <si>
    <t>gene26710-v1.0-hybrid</t>
  </si>
  <si>
    <t>gene27311-v1.0-hybrid</t>
  </si>
  <si>
    <t>gene27611-v1.0-hybrid</t>
  </si>
  <si>
    <t>gene27911-v1.0-hybrid</t>
  </si>
  <si>
    <t>gene28211-v1.0-hybrid</t>
  </si>
  <si>
    <t>gene29111-v1.0-hybrid</t>
  </si>
  <si>
    <t>gene29411-v1.0-hybrid</t>
  </si>
  <si>
    <t>gene29712-v1.0-hybrid</t>
  </si>
  <si>
    <t>gene30013-v1.0-hybrid</t>
  </si>
  <si>
    <t>gene30613-v1.0-hybrid</t>
  </si>
  <si>
    <t>gene30913-v1.0-hybrid</t>
  </si>
  <si>
    <t>gene31213-v1.0-hybrid</t>
  </si>
  <si>
    <t>gene31813-v1.0-hybrid</t>
  </si>
  <si>
    <t>gene32113-v1.0-hybrid</t>
  </si>
  <si>
    <t>gene32413-v1.0-hybrid</t>
  </si>
  <si>
    <t>gene32717-v1.0-hybrid</t>
  </si>
  <si>
    <t>gene33878-v1.0-hybrid</t>
  </si>
  <si>
    <t>gene34778-v1.0-hybrid</t>
  </si>
  <si>
    <t>gene00190-v1.0-hybrid</t>
  </si>
  <si>
    <t>gene00491-v1.0-hybrid</t>
  </si>
  <si>
    <t>gene00794-v1.0-hybrid</t>
  </si>
  <si>
    <t>gene01395-v1.0-hybrid</t>
  </si>
  <si>
    <t>gene01695-v1.0-hybrid</t>
  </si>
  <si>
    <t>gene01995-v1.0-hybrid</t>
  </si>
  <si>
    <t>gene03283-v1.0-hybrid</t>
  </si>
  <si>
    <t>gene03583-v1.0-hybrid</t>
  </si>
  <si>
    <t>gene03883-v1.0-hybrid</t>
  </si>
  <si>
    <t>gene04183-v1.0-hybrid</t>
  </si>
  <si>
    <t>gene04483-v1.0-hybrid</t>
  </si>
  <si>
    <t>gene05083-v1.0-hybrid</t>
  </si>
  <si>
    <t>gene05684-v1.0-hybrid</t>
  </si>
  <si>
    <t>gene05984-v1.0-hybrid</t>
  </si>
  <si>
    <t>gene06284-v1.0-hybrid</t>
  </si>
  <si>
    <t>gene06584-v1.0-hybrid</t>
  </si>
  <si>
    <t>gene06884-v1.0-hybrid</t>
  </si>
  <si>
    <t>gene07184-v1.0-hybrid</t>
  </si>
  <si>
    <t>gene07484-v1.0-hybrid</t>
  </si>
  <si>
    <t>gene07785-v1.0-hybrid</t>
  </si>
  <si>
    <t>gene08685-v1.0-hybrid</t>
  </si>
  <si>
    <t>gene09285-v1.0-hybrid</t>
  </si>
  <si>
    <t>gene09585-v1.0-hybrid</t>
  </si>
  <si>
    <t>gene10186-v1.0-hybrid</t>
  </si>
  <si>
    <t>gene10487-v1.0-hybrid</t>
  </si>
  <si>
    <t>gene10787-v1.0-hybrid</t>
  </si>
  <si>
    <t>gene11087-v1.0-hybrid</t>
  </si>
  <si>
    <t>gene11688-v1.0-hybrid</t>
  </si>
  <si>
    <t>gene12288-v1.0-hybrid</t>
  </si>
  <si>
    <t>gene12588-v1.0-hybrid</t>
  </si>
  <si>
    <t>gene12888-v1.0-hybrid</t>
  </si>
  <si>
    <t>gene13189-v1.0-hybrid</t>
  </si>
  <si>
    <t>gene13489-v1.0-hybrid</t>
  </si>
  <si>
    <t>gene13789-v1.0-hybrid</t>
  </si>
  <si>
    <t>gene14090-v1.0-hybrid</t>
  </si>
  <si>
    <t>gene14391-v1.0-hybrid</t>
  </si>
  <si>
    <t>gene14994-v1.0-hybrid</t>
  </si>
  <si>
    <t>gene15897-v1.0-hybrid</t>
  </si>
  <si>
    <t>gene16198-v1.0-hybrid</t>
  </si>
  <si>
    <t>gene16498-v1.0-hybrid</t>
  </si>
  <si>
    <t>gene16798-v1.0-hybrid</t>
  </si>
  <si>
    <t>gene17100-v1.0-hybrid</t>
  </si>
  <si>
    <t>gene17400-v1.0-hybrid</t>
  </si>
  <si>
    <t>gene17700-v1.0-hybrid</t>
  </si>
  <si>
    <t>gene18000-v1.0-hybrid</t>
  </si>
  <si>
    <t>gene18300-v1.0-hybrid</t>
  </si>
  <si>
    <t>gene18600-v1.0-hybrid</t>
  </si>
  <si>
    <t>gene18900-v1.0-hybrid</t>
  </si>
  <si>
    <t>gene19200-v1.0-hybrid</t>
  </si>
  <si>
    <t>gene19800-v1.0-hybrid</t>
  </si>
  <si>
    <t>gene20100-v1.0-hybrid</t>
  </si>
  <si>
    <t>gene20401-v1.0-hybrid</t>
  </si>
  <si>
    <t>gene20701-v1.0-hybrid</t>
  </si>
  <si>
    <t>gene21001-v1.0-hybrid</t>
  </si>
  <si>
    <t>gene21602-v1.0-hybrid</t>
  </si>
  <si>
    <t>gene21902-v1.0-hybrid</t>
  </si>
  <si>
    <t>gene22203-v1.0-hybrid</t>
  </si>
  <si>
    <t>gene22503-v1.0-hybrid</t>
  </si>
  <si>
    <t>gene22804-v1.0-hybrid</t>
  </si>
  <si>
    <t>gene23104-v1.0-hybrid</t>
  </si>
  <si>
    <t>gene23406-v1.0-hybrid</t>
  </si>
  <si>
    <t>gene23706-v1.0-hybrid</t>
  </si>
  <si>
    <t>gene24308-v1.0-hybrid</t>
  </si>
  <si>
    <t>gene24911-v1.0-hybrid</t>
  </si>
  <si>
    <t>gene25211-v1.0-hybrid</t>
  </si>
  <si>
    <t>gene25811-v1.0-hybrid</t>
  </si>
  <si>
    <t>gene26111-v1.0-hybrid</t>
  </si>
  <si>
    <t>gene27312-v1.0-hybrid</t>
  </si>
  <si>
    <t>gene28212-v1.0-hybrid</t>
  </si>
  <si>
    <t>gene28512-v1.0-hybrid</t>
  </si>
  <si>
    <t>gene28812-v1.0-hybrid</t>
  </si>
  <si>
    <t>gene29112-v1.0-hybrid</t>
  </si>
  <si>
    <t>gene29713-v1.0-hybrid</t>
  </si>
  <si>
    <t>gene30014-v1.0-hybrid</t>
  </si>
  <si>
    <t>gene30314-v1.0-hybrid</t>
  </si>
  <si>
    <t>gene30614-v1.0-hybrid</t>
  </si>
  <si>
    <t>gene30914-v1.0-hybrid</t>
  </si>
  <si>
    <t>gene31214-v1.0-hybrid</t>
  </si>
  <si>
    <t>gene31814-v1.0-hybrid</t>
  </si>
  <si>
    <t>gene32114-v1.0-hybrid</t>
  </si>
  <si>
    <t>gene32414-v1.0-hybrid</t>
  </si>
  <si>
    <t>gene00191-v1.0-hybrid</t>
  </si>
  <si>
    <t>gene00795-v1.0-hybrid</t>
  </si>
  <si>
    <t>gene01396-v1.0-hybrid</t>
  </si>
  <si>
    <t>gene01696-v1.0-hybrid</t>
  </si>
  <si>
    <t>gene01996-v1.0-hybrid</t>
  </si>
  <si>
    <t>gene02296-v1.0-hybrid</t>
  </si>
  <si>
    <t>gene02596-v1.0-hybrid</t>
  </si>
  <si>
    <t>gene03884-v1.0-hybrid</t>
  </si>
  <si>
    <t>gene04184-v1.0-hybrid</t>
  </si>
  <si>
    <t>gene04484-v1.0-hybrid</t>
  </si>
  <si>
    <t>gene04784-v1.0-hybrid</t>
  </si>
  <si>
    <t>gene05084-v1.0-hybrid</t>
  </si>
  <si>
    <t>gene05685-v1.0-hybrid</t>
  </si>
  <si>
    <t>gene05985-v1.0-hybrid</t>
  </si>
  <si>
    <t>gene06285-v1.0-hybrid</t>
  </si>
  <si>
    <t>gene06585-v1.0-hybrid</t>
  </si>
  <si>
    <t>gene06885-v1.0-hybrid</t>
  </si>
  <si>
    <t>gene07185-v1.0-hybrid</t>
  </si>
  <si>
    <t>gene07485-v1.0-hybrid</t>
  </si>
  <si>
    <t>gene07786-v1.0-hybrid</t>
  </si>
  <si>
    <t>gene08386-v1.0-hybrid</t>
  </si>
  <si>
    <t>gene08986-v1.0-hybrid</t>
  </si>
  <si>
    <t>gene09286-v1.0-hybrid</t>
  </si>
  <si>
    <t>gene09586-v1.0-hybrid</t>
  </si>
  <si>
    <t>gene09887-v1.0-hybrid</t>
  </si>
  <si>
    <t>gene10187-v1.0-hybrid</t>
  </si>
  <si>
    <t>gene10788-v1.0-hybrid</t>
  </si>
  <si>
    <t>gene11088-v1.0-hybrid</t>
  </si>
  <si>
    <t>gene11389-v1.0-hybrid</t>
  </si>
  <si>
    <t>gene11689-v1.0-hybrid</t>
  </si>
  <si>
    <t>gene11989-v1.0-hybrid</t>
  </si>
  <si>
    <t>gene12589-v1.0-hybrid</t>
  </si>
  <si>
    <t>gene12889-v1.0-hybrid</t>
  </si>
  <si>
    <t>gene13190-v1.0-hybrid</t>
  </si>
  <si>
    <t>gene13490-v1.0-hybrid</t>
  </si>
  <si>
    <t>gene13790-v1.0-hybrid</t>
  </si>
  <si>
    <t>gene14091-v1.0-hybrid</t>
  </si>
  <si>
    <t>gene14995-v1.0-hybrid</t>
  </si>
  <si>
    <t>gene15597-v1.0-hybrid</t>
  </si>
  <si>
    <t>gene15898-v1.0-hybrid</t>
  </si>
  <si>
    <t>gene16499-v1.0-hybrid</t>
  </si>
  <si>
    <t>gene16799-v1.0-hybrid</t>
  </si>
  <si>
    <t>gene17101-v1.0-hybrid</t>
  </si>
  <si>
    <t>gene17401-v1.0-hybrid</t>
  </si>
  <si>
    <t>gene17701-v1.0-hybrid</t>
  </si>
  <si>
    <t>gene18301-v1.0-hybrid</t>
  </si>
  <si>
    <t>gene18601-v1.0-hybrid</t>
  </si>
  <si>
    <t>gene18901-v1.0-hybrid</t>
  </si>
  <si>
    <t>gene19201-v1.0-hybrid</t>
  </si>
  <si>
    <t>gene19501-v1.0-hybrid</t>
  </si>
  <si>
    <t>gene19801-v1.0-hybrid</t>
  </si>
  <si>
    <t>gene20101-v1.0-hybrid</t>
  </si>
  <si>
    <t>gene20402-v1.0-hybrid</t>
  </si>
  <si>
    <t>gene20702-v1.0-hybrid</t>
  </si>
  <si>
    <t>gene21002-v1.0-hybrid</t>
  </si>
  <si>
    <t>gene21302-v1.0-hybrid</t>
  </si>
  <si>
    <t>gene21603-v1.0-hybrid</t>
  </si>
  <si>
    <t>gene21903-v1.0-hybrid</t>
  </si>
  <si>
    <t>gene22204-v1.0-hybrid</t>
  </si>
  <si>
    <t>gene22504-v1.0-hybrid</t>
  </si>
  <si>
    <t>gene22805-v1.0-hybrid</t>
  </si>
  <si>
    <t>gene23105-v1.0-hybrid</t>
  </si>
  <si>
    <t>gene24007-v1.0-hybrid</t>
  </si>
  <si>
    <t>gene24309-v1.0-hybrid</t>
  </si>
  <si>
    <t>gene24610-v1.0-hybrid</t>
  </si>
  <si>
    <t>gene25812-v1.0-hybrid</t>
  </si>
  <si>
    <t>gene26112-v1.0-hybrid</t>
  </si>
  <si>
    <t>gene26412-v1.0-hybrid</t>
  </si>
  <si>
    <t>gene26712-v1.0-hybrid</t>
  </si>
  <si>
    <t>gene27013-v1.0-hybrid</t>
  </si>
  <si>
    <t>gene27313-v1.0-hybrid</t>
  </si>
  <si>
    <t>gene27613-v1.0-hybrid</t>
  </si>
  <si>
    <t>gene28213-v1.0-hybrid</t>
  </si>
  <si>
    <t>gene28813-v1.0-hybrid</t>
  </si>
  <si>
    <t>gene29413-v1.0-hybrid</t>
  </si>
  <si>
    <t>gene29714-v1.0-hybrid</t>
  </si>
  <si>
    <t>gene30015-v1.0-hybrid</t>
  </si>
  <si>
    <t>gene30315-v1.0-hybrid</t>
  </si>
  <si>
    <t>gene30915-v1.0-hybrid</t>
  </si>
  <si>
    <t>gene31515-v1.0-hybrid</t>
  </si>
  <si>
    <t>gene31815-v1.0-hybrid</t>
  </si>
  <si>
    <t>gene32115-v1.0-hybrid</t>
  </si>
  <si>
    <t>gene32415-v1.0-hybrid</t>
  </si>
  <si>
    <t>gene33104-v1.0-hybrid</t>
  </si>
  <si>
    <t>gene34180-v1.0-hybrid</t>
  </si>
  <si>
    <t>gene35080-v1.0-hybrid</t>
  </si>
  <si>
    <t>gene00192-v1.0-hybrid</t>
  </si>
  <si>
    <t>gene00796-v1.0-hybrid</t>
  </si>
  <si>
    <t>gene01397-v1.0-hybrid</t>
  </si>
  <si>
    <t>gene01697-v1.0-hybrid</t>
  </si>
  <si>
    <t>gene01997-v1.0-hybrid</t>
  </si>
  <si>
    <t>gene02297-v1.0-hybrid</t>
  </si>
  <si>
    <t>gene02597-v1.0-hybrid</t>
  </si>
  <si>
    <t>gene03285-v1.0-hybrid</t>
  </si>
  <si>
    <t>gene03585-v1.0-hybrid</t>
  </si>
  <si>
    <t>gene03885-v1.0-hybrid</t>
  </si>
  <si>
    <t>gene04185-v1.0-hybrid</t>
  </si>
  <si>
    <t>gene04485-v1.0-hybrid</t>
  </si>
  <si>
    <t>gene04785-v1.0-hybrid</t>
  </si>
  <si>
    <t>gene05386-v1.0-hybrid</t>
  </si>
  <si>
    <t>gene06286-v1.0-hybrid</t>
  </si>
  <si>
    <t>gene06886-v1.0-hybrid</t>
  </si>
  <si>
    <t>gene07186-v1.0-hybrid</t>
  </si>
  <si>
    <t>gene07486-v1.0-hybrid</t>
  </si>
  <si>
    <t>gene08087-v1.0-hybrid</t>
  </si>
  <si>
    <t>gene08987-v1.0-hybrid</t>
  </si>
  <si>
    <t>gene09587-v1.0-hybrid</t>
  </si>
  <si>
    <t>gene09888-v1.0-hybrid</t>
  </si>
  <si>
    <t>gene10188-v1.0-hybrid</t>
  </si>
  <si>
    <t>gene10789-v1.0-hybrid</t>
  </si>
  <si>
    <t>gene11089-v1.0-hybrid</t>
  </si>
  <si>
    <t>gene11390-v1.0-hybrid</t>
  </si>
  <si>
    <t>gene11690-v1.0-hybrid</t>
  </si>
  <si>
    <t>gene11990-v1.0-hybrid</t>
  </si>
  <si>
    <t>gene12290-v1.0-hybrid</t>
  </si>
  <si>
    <t>gene12590-v1.0-hybrid</t>
  </si>
  <si>
    <t>gene13191-v1.0-hybrid</t>
  </si>
  <si>
    <t>gene13491-v1.0-hybrid</t>
  </si>
  <si>
    <t>gene13791-v1.0-hybrid</t>
  </si>
  <si>
    <t>gene14092-v1.0-hybrid</t>
  </si>
  <si>
    <t>gene14393-v1.0-hybrid</t>
  </si>
  <si>
    <t>gene14996-v1.0-hybrid</t>
  </si>
  <si>
    <t>gene15598-v1.0-hybrid</t>
  </si>
  <si>
    <t>gene15899-v1.0-hybrid</t>
  </si>
  <si>
    <t>gene16200-v1.0-hybrid</t>
  </si>
  <si>
    <t>gene16500-v1.0-hybrid</t>
  </si>
  <si>
    <t>gene17102-v1.0-hybrid</t>
  </si>
  <si>
    <t>gene17402-v1.0-hybrid</t>
  </si>
  <si>
    <t>gene17702-v1.0-hybrid</t>
  </si>
  <si>
    <t>gene18002-v1.0-hybrid</t>
  </si>
  <si>
    <t>gene18302-v1.0-hybrid</t>
  </si>
  <si>
    <t>gene18602-v1.0-hybrid</t>
  </si>
  <si>
    <t>gene19202-v1.0-hybrid</t>
  </si>
  <si>
    <t>gene19502-v1.0-hybrid</t>
  </si>
  <si>
    <t>gene19802-v1.0-hybrid</t>
  </si>
  <si>
    <t>gene20102-v1.0-hybrid</t>
  </si>
  <si>
    <t>gene20703-v1.0-hybrid</t>
  </si>
  <si>
    <t>gene21003-v1.0-hybrid</t>
  </si>
  <si>
    <t>gene21303-v1.0-hybrid</t>
  </si>
  <si>
    <t>gene21604-v1.0-hybrid</t>
  </si>
  <si>
    <t>gene22205-v1.0-hybrid</t>
  </si>
  <si>
    <t>gene22505-v1.0-hybrid</t>
  </si>
  <si>
    <t>gene22806-v1.0-hybrid</t>
  </si>
  <si>
    <t>gene23106-v1.0-hybrid</t>
  </si>
  <si>
    <t>gene23408-v1.0-hybrid</t>
  </si>
  <si>
    <t>gene23708-v1.0-hybrid</t>
  </si>
  <si>
    <t>gene24008-v1.0-hybrid</t>
  </si>
  <si>
    <t>gene24611-v1.0-hybrid</t>
  </si>
  <si>
    <t>gene25213-v1.0-hybrid</t>
  </si>
  <si>
    <t>gene25813-v1.0-hybrid</t>
  </si>
  <si>
    <t>gene26113-v1.0-hybrid</t>
  </si>
  <si>
    <t>gene26413-v1.0-hybrid</t>
  </si>
  <si>
    <t>gene26713-v1.0-hybrid</t>
  </si>
  <si>
    <t>gene27014-v1.0-hybrid</t>
  </si>
  <si>
    <t>gene27314-v1.0-hybrid</t>
  </si>
  <si>
    <t>gene27614-v1.0-hybrid</t>
  </si>
  <si>
    <t>gene27914-v1.0-hybrid</t>
  </si>
  <si>
    <t>gene28214-v1.0-hybrid</t>
  </si>
  <si>
    <t>gene28514-v1.0-hybrid</t>
  </si>
  <si>
    <t>gene29114-v1.0-hybrid</t>
  </si>
  <si>
    <t>gene29414-v1.0-hybrid</t>
  </si>
  <si>
    <t>gene29715-v1.0-hybrid</t>
  </si>
  <si>
    <t>gene30016-v1.0-hybrid</t>
  </si>
  <si>
    <t>gene30616-v1.0-hybrid</t>
  </si>
  <si>
    <t>gene31216-v1.0-hybrid</t>
  </si>
  <si>
    <t>gene31516-v1.0-hybrid</t>
  </si>
  <si>
    <t>gene31816-v1.0-hybrid</t>
  </si>
  <si>
    <t>gene32416-v1.0-hybrid</t>
  </si>
  <si>
    <t>gene34481-v1.0-hybrid</t>
  </si>
  <si>
    <t>gene34781-v1.0-hybrid</t>
  </si>
  <si>
    <t>gene00193-v1.0-hybrid</t>
  </si>
  <si>
    <t>gene00494-v1.0-hybrid</t>
  </si>
  <si>
    <t>gene00797-v1.0-hybrid</t>
  </si>
  <si>
    <t>gene01398-v1.0-hybrid</t>
  </si>
  <si>
    <t>gene01698-v1.0-hybrid</t>
  </si>
  <si>
    <t>gene01998-v1.0-hybrid</t>
  </si>
  <si>
    <t>gene02298-v1.0-hybrid</t>
  </si>
  <si>
    <t>gene02598-v1.0-hybrid</t>
  </si>
  <si>
    <t>gene03286-v1.0-hybrid</t>
  </si>
  <si>
    <t>gene03586-v1.0-hybrid</t>
  </si>
  <si>
    <t>gene03886-v1.0-hybrid</t>
  </si>
  <si>
    <t>gene04186-v1.0-hybrid</t>
  </si>
  <si>
    <t>gene04486-v1.0-hybrid</t>
  </si>
  <si>
    <t>gene04786-v1.0-hybrid</t>
  </si>
  <si>
    <t>gene05086-v1.0-hybrid</t>
  </si>
  <si>
    <t>gene05387-v1.0-hybrid</t>
  </si>
  <si>
    <t>gene05987-v1.0-hybrid</t>
  </si>
  <si>
    <t>gene06287-v1.0-hybrid</t>
  </si>
  <si>
    <t>gene06587-v1.0-hybrid</t>
  </si>
  <si>
    <t>gene06887-v1.0-hybrid</t>
  </si>
  <si>
    <t>gene07187-v1.0-hybrid</t>
  </si>
  <si>
    <t>gene07487-v1.0-hybrid</t>
  </si>
  <si>
    <t>gene07788-v1.0-hybrid</t>
  </si>
  <si>
    <t>gene08088-v1.0-hybrid</t>
  </si>
  <si>
    <t>gene08388-v1.0-hybrid</t>
  </si>
  <si>
    <t>gene08988-v1.0-hybrid</t>
  </si>
  <si>
    <t>gene09588-v1.0-hybrid</t>
  </si>
  <si>
    <t>gene09889-v1.0-hybrid</t>
  </si>
  <si>
    <t>gene10189-v1.0-hybrid</t>
  </si>
  <si>
    <t>gene10490-v1.0-hybrid</t>
  </si>
  <si>
    <t>gene10790-v1.0-hybrid</t>
  </si>
  <si>
    <t>gene11090-v1.0-hybrid</t>
  </si>
  <si>
    <t>gene11391-v1.0-hybrid</t>
  </si>
  <si>
    <t>gene11691-v1.0-hybrid</t>
  </si>
  <si>
    <t>gene12291-v1.0-hybrid</t>
  </si>
  <si>
    <t>gene12591-v1.0-hybrid</t>
  </si>
  <si>
    <t>gene12891-v1.0-hybrid</t>
  </si>
  <si>
    <t>gene13192-v1.0-hybrid</t>
  </si>
  <si>
    <t>gene13792-v1.0-hybrid</t>
  </si>
  <si>
    <t>gene14093-v1.0-hybrid</t>
  </si>
  <si>
    <t>gene14394-v1.0-hybrid</t>
  </si>
  <si>
    <t>gene14696-v1.0-hybrid</t>
  </si>
  <si>
    <t>gene14997-v1.0-hybrid</t>
  </si>
  <si>
    <t>gene15298-v1.0-hybrid</t>
  </si>
  <si>
    <t>gene15599-v1.0-hybrid</t>
  </si>
  <si>
    <t>gene16501-v1.0-hybrid</t>
  </si>
  <si>
    <t>gene16801-v1.0-hybrid</t>
  </si>
  <si>
    <t>gene17103-v1.0-hybrid</t>
  </si>
  <si>
    <t>gene17403-v1.0-hybrid</t>
  </si>
  <si>
    <t>gene18303-v1.0-hybrid</t>
  </si>
  <si>
    <t>gene18603-v1.0-hybrid</t>
  </si>
  <si>
    <t>gene18903-v1.0-hybrid</t>
  </si>
  <si>
    <t>gene19203-v1.0-hybrid</t>
  </si>
  <si>
    <t>gene19503-v1.0-hybrid</t>
  </si>
  <si>
    <t>gene19803-v1.0-hybrid</t>
  </si>
  <si>
    <t>gene20103-v1.0-hybrid</t>
  </si>
  <si>
    <t>gene20404-v1.0-hybrid</t>
  </si>
  <si>
    <t>gene20704-v1.0-hybrid</t>
  </si>
  <si>
    <t>gene21304-v1.0-hybrid</t>
  </si>
  <si>
    <t>gene21605-v1.0-hybrid</t>
  </si>
  <si>
    <t>gene21905-v1.0-hybrid</t>
  </si>
  <si>
    <t>gene22206-v1.0-hybrid</t>
  </si>
  <si>
    <t>gene22506-v1.0-hybrid</t>
  </si>
  <si>
    <t>gene22807-v1.0-hybrid</t>
  </si>
  <si>
    <t>gene23409-v1.0-hybrid</t>
  </si>
  <si>
    <t>gene23709-v1.0-hybrid</t>
  </si>
  <si>
    <t>gene24009-v1.0-hybrid</t>
  </si>
  <si>
    <t>gene24311-v1.0-hybrid</t>
  </si>
  <si>
    <t>gene24914-v1.0-hybrid</t>
  </si>
  <si>
    <t>gene25514-v1.0-hybrid</t>
  </si>
  <si>
    <t>gene25814-v1.0-hybrid</t>
  </si>
  <si>
    <t>gene26114-v1.0-hybrid</t>
  </si>
  <si>
    <t>gene26414-v1.0-hybrid</t>
  </si>
  <si>
    <t>gene26714-v1.0-hybrid</t>
  </si>
  <si>
    <t>gene27315-v1.0-hybrid</t>
  </si>
  <si>
    <t>gene27615-v1.0-hybrid</t>
  </si>
  <si>
    <t>gene27915-v1.0-hybrid</t>
  </si>
  <si>
    <t>gene28215-v1.0-hybrid</t>
  </si>
  <si>
    <t>gene28515-v1.0-hybrid</t>
  </si>
  <si>
    <t>gene28815-v1.0-hybrid</t>
  </si>
  <si>
    <t>gene30317-v1.0-hybrid</t>
  </si>
  <si>
    <t>gene31217-v1.0-hybrid</t>
  </si>
  <si>
    <t>gene31517-v1.0-hybrid</t>
  </si>
  <si>
    <t>gene31817-v1.0-hybrid</t>
  </si>
  <si>
    <t>gene32117-v1.0-hybrid</t>
  </si>
  <si>
    <t>gene32417-v1.0-hybrid</t>
  </si>
  <si>
    <t>gene34482-v1.0-hybrid</t>
  </si>
  <si>
    <t>gene34782-v1.0-hybrid</t>
  </si>
  <si>
    <t>gene35082-v1.0-hybrid</t>
  </si>
  <si>
    <t>gene00798-v1.0-hybrid</t>
  </si>
  <si>
    <t>gene01098-v1.0-hybrid</t>
  </si>
  <si>
    <t>gene01399-v1.0-hybrid</t>
  </si>
  <si>
    <t>gene01699-v1.0-hybrid</t>
  </si>
  <si>
    <t>gene01999-v1.0-hybrid</t>
  </si>
  <si>
    <t>gene02299-v1.0-hybrid</t>
  </si>
  <si>
    <t>gene02599-v1.0-hybrid</t>
  </si>
  <si>
    <t>gene03287-v1.0-hybrid</t>
  </si>
  <si>
    <t>gene03587-v1.0-hybrid</t>
  </si>
  <si>
    <t>gene03887-v1.0-hybrid</t>
  </si>
  <si>
    <t>gene04187-v1.0-hybrid</t>
  </si>
  <si>
    <t>gene05087-v1.0-hybrid</t>
  </si>
  <si>
    <t>gene05688-v1.0-hybrid</t>
  </si>
  <si>
    <t>gene05988-v1.0-hybrid</t>
  </si>
  <si>
    <t>gene06288-v1.0-hybrid</t>
  </si>
  <si>
    <t>gene06588-v1.0-hybrid</t>
  </si>
  <si>
    <t>gene07188-v1.0-hybrid</t>
  </si>
  <si>
    <t>gene07488-v1.0-hybrid</t>
  </si>
  <si>
    <t>gene07789-v1.0-hybrid</t>
  </si>
  <si>
    <t>gene08389-v1.0-hybrid</t>
  </si>
  <si>
    <t>gene08689-v1.0-hybrid</t>
  </si>
  <si>
    <t>gene08989-v1.0-hybrid</t>
  </si>
  <si>
    <t>gene09589-v1.0-hybrid</t>
  </si>
  <si>
    <t>gene09890-v1.0-hybrid</t>
  </si>
  <si>
    <t>gene10190-v1.0-hybrid</t>
  </si>
  <si>
    <t>gene10791-v1.0-hybrid</t>
  </si>
  <si>
    <t>gene11091-v1.0-hybrid</t>
  </si>
  <si>
    <t>gene11392-v1.0-hybrid</t>
  </si>
  <si>
    <t>gene11692-v1.0-hybrid</t>
  </si>
  <si>
    <t>gene11992-v1.0-hybrid</t>
  </si>
  <si>
    <t>gene12592-v1.0-hybrid</t>
  </si>
  <si>
    <t>gene13193-v1.0-hybrid</t>
  </si>
  <si>
    <t>gene13793-v1.0-hybrid</t>
  </si>
  <si>
    <t>gene14697-v1.0-hybrid</t>
  </si>
  <si>
    <t>gene14998-v1.0-hybrid</t>
  </si>
  <si>
    <t>gene15600-v1.0-hybrid</t>
  </si>
  <si>
    <t>gene15901-v1.0-hybrid</t>
  </si>
  <si>
    <t>gene16502-v1.0-hybrid</t>
  </si>
  <si>
    <t>gene16802-v1.0-hybrid</t>
  </si>
  <si>
    <t>gene17104-v1.0-hybrid</t>
  </si>
  <si>
    <t>gene17704-v1.0-hybrid</t>
  </si>
  <si>
    <t>gene18004-v1.0-hybrid</t>
  </si>
  <si>
    <t>gene18304-v1.0-hybrid</t>
  </si>
  <si>
    <t>gene18604-v1.0-hybrid</t>
  </si>
  <si>
    <t>gene18904-v1.0-hybrid</t>
  </si>
  <si>
    <t>gene19204-v1.0-hybrid</t>
  </si>
  <si>
    <t>gene19504-v1.0-hybrid</t>
  </si>
  <si>
    <t>gene19804-v1.0-hybrid</t>
  </si>
  <si>
    <t>gene20104-v1.0-hybrid</t>
  </si>
  <si>
    <t>gene20405-v1.0-hybrid</t>
  </si>
  <si>
    <t>gene21005-v1.0-hybrid</t>
  </si>
  <si>
    <t>gene21305-v1.0-hybrid</t>
  </si>
  <si>
    <t>gene21606-v1.0-hybrid</t>
  </si>
  <si>
    <t>gene22207-v1.0-hybrid</t>
  </si>
  <si>
    <t>gene22507-v1.0-hybrid</t>
  </si>
  <si>
    <t>gene22808-v1.0-hybrid</t>
  </si>
  <si>
    <t>gene23108-v1.0-hybrid</t>
  </si>
  <si>
    <t>gene23410-v1.0-hybrid</t>
  </si>
  <si>
    <t>gene24010-v1.0-hybrid</t>
  </si>
  <si>
    <t>gene24312-v1.0-hybrid</t>
  </si>
  <si>
    <t>gene24915-v1.0-hybrid</t>
  </si>
  <si>
    <t>gene25515-v1.0-hybrid</t>
  </si>
  <si>
    <t>gene26115-v1.0-hybrid</t>
  </si>
  <si>
    <t>gene26415-v1.0-hybrid</t>
  </si>
  <si>
    <t>gene26715-v1.0-hybrid</t>
  </si>
  <si>
    <t>gene27016-v1.0-hybrid</t>
  </si>
  <si>
    <t>gene27316-v1.0-hybrid</t>
  </si>
  <si>
    <t>gene27616-v1.0-hybrid</t>
  </si>
  <si>
    <t>gene27916-v1.0-hybrid</t>
  </si>
  <si>
    <t>gene28516-v1.0-hybrid</t>
  </si>
  <si>
    <t>gene29116-v1.0-hybrid</t>
  </si>
  <si>
    <t>gene29416-v1.0-hybrid</t>
  </si>
  <si>
    <t>gene29717-v1.0-hybrid</t>
  </si>
  <si>
    <t>gene30018-v1.0-hybrid</t>
  </si>
  <si>
    <t>gene30618-v1.0-hybrid</t>
  </si>
  <si>
    <t>gene31518-v1.0-hybrid</t>
  </si>
  <si>
    <t>gene31818-v1.0-hybrid</t>
  </si>
  <si>
    <t>gene32118-v1.0-hybrid</t>
  </si>
  <si>
    <t>gene32418-v1.0-hybrid</t>
  </si>
  <si>
    <t>gene33883-v1.0-hybrid</t>
  </si>
  <si>
    <t>gene34183-v1.0-hybrid</t>
  </si>
  <si>
    <t>gene00195-v1.0-hybrid</t>
  </si>
  <si>
    <t>gene00496-v1.0-hybrid</t>
  </si>
  <si>
    <t>gene00799-v1.0-hybrid</t>
  </si>
  <si>
    <t>gene01099-v1.0-hybrid</t>
  </si>
  <si>
    <t>gene01400-v1.0-hybrid</t>
  </si>
  <si>
    <t>gene01700-v1.0-hybrid</t>
  </si>
  <si>
    <t>gene02000-v1.0-hybrid</t>
  </si>
  <si>
    <t>gene02600-v1.0-hybrid</t>
  </si>
  <si>
    <t>gene02979-v1.0-hybrid</t>
  </si>
  <si>
    <t>gene03288-v1.0-hybrid</t>
  </si>
  <si>
    <t>gene03588-v1.0-hybrid</t>
  </si>
  <si>
    <t>gene03888-v1.0-hybrid</t>
  </si>
  <si>
    <t>gene04188-v1.0-hybrid</t>
  </si>
  <si>
    <t>gene05088-v1.0-hybrid</t>
  </si>
  <si>
    <t>gene05689-v1.0-hybrid</t>
  </si>
  <si>
    <t>gene06289-v1.0-hybrid</t>
  </si>
  <si>
    <t>gene06589-v1.0-hybrid</t>
  </si>
  <si>
    <t>gene07189-v1.0-hybrid</t>
  </si>
  <si>
    <t>gene07489-v1.0-hybrid</t>
  </si>
  <si>
    <t>gene08090-v1.0-hybrid</t>
  </si>
  <si>
    <t>gene08390-v1.0-hybrid</t>
  </si>
  <si>
    <t>gene08690-v1.0-hybrid</t>
  </si>
  <si>
    <t>gene08990-v1.0-hybrid</t>
  </si>
  <si>
    <t>gene09290-v1.0-hybrid</t>
  </si>
  <si>
    <t>gene09891-v1.0-hybrid</t>
  </si>
  <si>
    <t>gene10191-v1.0-hybrid</t>
  </si>
  <si>
    <t>gene10492-v1.0-hybrid</t>
  </si>
  <si>
    <t>gene10792-v1.0-hybrid</t>
  </si>
  <si>
    <t>gene11092-v1.0-hybrid</t>
  </si>
  <si>
    <t>gene11393-v1.0-hybrid</t>
  </si>
  <si>
    <t>gene11693-v1.0-hybrid</t>
  </si>
  <si>
    <t>gene11993-v1.0-hybrid</t>
  </si>
  <si>
    <t>gene12293-v1.0-hybrid</t>
  </si>
  <si>
    <t>gene12593-v1.0-hybrid</t>
  </si>
  <si>
    <t>gene12893-v1.0-hybrid</t>
  </si>
  <si>
    <t>gene13194-v1.0-hybrid</t>
  </si>
  <si>
    <t>gene13794-v1.0-hybrid</t>
  </si>
  <si>
    <t>gene14095-v1.0-hybrid</t>
  </si>
  <si>
    <t>gene14999-v1.0-hybrid</t>
  </si>
  <si>
    <t>gene15601-v1.0-hybrid</t>
  </si>
  <si>
    <t>gene15902-v1.0-hybrid</t>
  </si>
  <si>
    <t>gene16203-v1.0-hybrid</t>
  </si>
  <si>
    <t>gene16503-v1.0-hybrid</t>
  </si>
  <si>
    <t>gene16803-v1.0-hybrid</t>
  </si>
  <si>
    <t>gene17105-v1.0-hybrid</t>
  </si>
  <si>
    <t>gene17405-v1.0-hybrid</t>
  </si>
  <si>
    <t>gene17705-v1.0-hybrid</t>
  </si>
  <si>
    <t>gene18005-v1.0-hybrid</t>
  </si>
  <si>
    <t>gene18305-v1.0-hybrid</t>
  </si>
  <si>
    <t>gene18605-v1.0-hybrid</t>
  </si>
  <si>
    <t>gene18905-v1.0-hybrid</t>
  </si>
  <si>
    <t>gene19205-v1.0-hybrid</t>
  </si>
  <si>
    <t>gene19505-v1.0-hybrid</t>
  </si>
  <si>
    <t>gene19805-v1.0-hybrid</t>
  </si>
  <si>
    <t>gene20105-v1.0-hybrid</t>
  </si>
  <si>
    <t>gene20406-v1.0-hybrid</t>
  </si>
  <si>
    <t>gene21006-v1.0-hybrid</t>
  </si>
  <si>
    <t>gene21306-v1.0-hybrid</t>
  </si>
  <si>
    <t>gene22208-v1.0-hybrid</t>
  </si>
  <si>
    <t>gene22809-v1.0-hybrid</t>
  </si>
  <si>
    <t>gene23109-v1.0-hybrid</t>
  </si>
  <si>
    <t>gene23411-v1.0-hybrid</t>
  </si>
  <si>
    <t>gene24011-v1.0-hybrid</t>
  </si>
  <si>
    <t>gene24313-v1.0-hybrid</t>
  </si>
  <si>
    <t>gene24614-v1.0-hybrid</t>
  </si>
  <si>
    <t>gene25516-v1.0-hybrid</t>
  </si>
  <si>
    <t>gene25816-v1.0-hybrid</t>
  </si>
  <si>
    <t>gene26116-v1.0-hybrid</t>
  </si>
  <si>
    <t>gene26416-v1.0-hybrid</t>
  </si>
  <si>
    <t>gene26716-v1.0-hybrid</t>
  </si>
  <si>
    <t>gene27017-v1.0-hybrid</t>
  </si>
  <si>
    <t>gene27617-v1.0-hybrid</t>
  </si>
  <si>
    <t>gene28217-v1.0-hybrid</t>
  </si>
  <si>
    <t>gene28517-v1.0-hybrid</t>
  </si>
  <si>
    <t>gene29117-v1.0-hybrid</t>
  </si>
  <si>
    <t>gene29417-v1.0-hybrid</t>
  </si>
  <si>
    <t>gene29718-v1.0-hybrid</t>
  </si>
  <si>
    <t>gene30019-v1.0-hybrid</t>
  </si>
  <si>
    <t>gene30319-v1.0-hybrid</t>
  </si>
  <si>
    <t>gene30619-v1.0-hybrid</t>
  </si>
  <si>
    <t>gene30919-v1.0-hybrid</t>
  </si>
  <si>
    <t>gene31219-v1.0-hybrid</t>
  </si>
  <si>
    <t>gene31519-v1.0-hybrid</t>
  </si>
  <si>
    <t>gene31819-v1.0-hybrid</t>
  </si>
  <si>
    <t>gene32119-v1.0-hybrid</t>
  </si>
  <si>
    <t>gene32419-v1.0-hybrid</t>
  </si>
  <si>
    <t>gene33108-v1.0-hybrid</t>
  </si>
  <si>
    <t>gene34784-v1.0-hybrid</t>
  </si>
  <si>
    <t>gene35084-v1.0-hybrid</t>
  </si>
  <si>
    <t>gene00196-v1.0-hybrid</t>
  </si>
  <si>
    <t>gene00497-v1.0-hybrid</t>
  </si>
  <si>
    <t>gene00800-v1.0-hybrid</t>
  </si>
  <si>
    <t>gene01100-v1.0-hybrid</t>
  </si>
  <si>
    <t>gene01401-v1.0-hybrid</t>
  </si>
  <si>
    <t>gene01701-v1.0-hybrid</t>
  </si>
  <si>
    <t>gene02301-v1.0-hybrid</t>
  </si>
  <si>
    <t>gene02601-v1.0-hybrid</t>
  </si>
  <si>
    <t>gene02980-v1.0-hybrid</t>
  </si>
  <si>
    <t>gene03289-v1.0-hybrid</t>
  </si>
  <si>
    <t>gene03589-v1.0-hybrid</t>
  </si>
  <si>
    <t>gene03889-v1.0-hybrid</t>
  </si>
  <si>
    <t>gene04189-v1.0-hybrid</t>
  </si>
  <si>
    <t>gene04489-v1.0-hybrid</t>
  </si>
  <si>
    <t>gene04789-v1.0-hybrid</t>
  </si>
  <si>
    <t>gene05089-v1.0-hybrid</t>
  </si>
  <si>
    <t>gene05390-v1.0-hybrid</t>
  </si>
  <si>
    <t>gene05690-v1.0-hybrid</t>
  </si>
  <si>
    <t>gene05990-v1.0-hybrid</t>
  </si>
  <si>
    <t>gene06290-v1.0-hybrid</t>
  </si>
  <si>
    <t>gene06590-v1.0-hybrid</t>
  </si>
  <si>
    <t>gene06890-v1.0-hybrid</t>
  </si>
  <si>
    <t>gene07190-v1.0-hybrid</t>
  </si>
  <si>
    <t>gene07490-v1.0-hybrid</t>
  </si>
  <si>
    <t>gene08091-v1.0-hybrid</t>
  </si>
  <si>
    <t>gene08391-v1.0-hybrid</t>
  </si>
  <si>
    <t>gene08691-v1.0-hybrid</t>
  </si>
  <si>
    <t>gene08991-v1.0-hybrid</t>
  </si>
  <si>
    <t>gene09291-v1.0-hybrid</t>
  </si>
  <si>
    <t>gene09591-v1.0-hybrid</t>
  </si>
  <si>
    <t>gene09892-v1.0-hybrid</t>
  </si>
  <si>
    <t>gene10192-v1.0-hybrid</t>
  </si>
  <si>
    <t>gene10493-v1.0-hybrid</t>
  </si>
  <si>
    <t>gene10793-v1.0-hybrid</t>
  </si>
  <si>
    <t>gene11093-v1.0-hybrid</t>
  </si>
  <si>
    <t>gene11394-v1.0-hybrid</t>
  </si>
  <si>
    <t>gene11694-v1.0-hybrid</t>
  </si>
  <si>
    <t>gene12294-v1.0-hybrid</t>
  </si>
  <si>
    <t>gene12594-v1.0-hybrid</t>
  </si>
  <si>
    <t>gene12894-v1.0-hybrid</t>
  </si>
  <si>
    <t>gene13195-v1.0-hybrid</t>
  </si>
  <si>
    <t>gene13795-v1.0-hybrid</t>
  </si>
  <si>
    <t>gene14397-v1.0-hybrid</t>
  </si>
  <si>
    <t>gene14699-v1.0-hybrid</t>
  </si>
  <si>
    <t>gene15000-v1.0-hybrid</t>
  </si>
  <si>
    <t>gene15301-v1.0-hybrid</t>
  </si>
  <si>
    <t>gene15602-v1.0-hybrid</t>
  </si>
  <si>
    <t>gene15903-v1.0-hybrid</t>
  </si>
  <si>
    <t>gene16204-v1.0-hybrid</t>
  </si>
  <si>
    <t>gene16504-v1.0-hybrid</t>
  </si>
  <si>
    <t>gene16804-v1.0-hybrid</t>
  </si>
  <si>
    <t>gene17106-v1.0-hybrid</t>
  </si>
  <si>
    <t>gene17406-v1.0-hybrid</t>
  </si>
  <si>
    <t>gene18006-v1.0-hybrid</t>
  </si>
  <si>
    <t>gene18306-v1.0-hybrid</t>
  </si>
  <si>
    <t>gene18606-v1.0-hybrid</t>
  </si>
  <si>
    <t>gene19206-v1.0-hybrid</t>
  </si>
  <si>
    <t>gene19506-v1.0-hybrid</t>
  </si>
  <si>
    <t>gene19806-v1.0-hybrid</t>
  </si>
  <si>
    <t>gene20106-v1.0-hybrid</t>
  </si>
  <si>
    <t>gene20407-v1.0-hybrid</t>
  </si>
  <si>
    <t>gene20707-v1.0-hybrid</t>
  </si>
  <si>
    <t>gene21007-v1.0-hybrid</t>
  </si>
  <si>
    <t>gene21608-v1.0-hybrid</t>
  </si>
  <si>
    <t>gene22509-v1.0-hybrid</t>
  </si>
  <si>
    <t>gene22810-v1.0-hybrid</t>
  </si>
  <si>
    <t>gene23110-v1.0-hybrid</t>
  </si>
  <si>
    <t>gene23412-v1.0-hybrid</t>
  </si>
  <si>
    <t>gene23712-v1.0-hybrid</t>
  </si>
  <si>
    <t>gene24917-v1.0-hybrid</t>
  </si>
  <si>
    <t>gene25217-v1.0-hybrid</t>
  </si>
  <si>
    <t>gene25817-v1.0-hybrid</t>
  </si>
  <si>
    <t>gene26117-v1.0-hybrid</t>
  </si>
  <si>
    <t>gene26417-v1.0-hybrid</t>
  </si>
  <si>
    <t>gene26717-v1.0-hybrid</t>
  </si>
  <si>
    <t>gene27318-v1.0-hybrid</t>
  </si>
  <si>
    <t>gene27618-v1.0-hybrid</t>
  </si>
  <si>
    <t>gene27918-v1.0-hybrid</t>
  </si>
  <si>
    <t>gene28218-v1.0-hybrid</t>
  </si>
  <si>
    <t>gene29118-v1.0-hybrid</t>
  </si>
  <si>
    <t>gene29719-v1.0-hybrid</t>
  </si>
  <si>
    <t>gene30020-v1.0-hybrid</t>
  </si>
  <si>
    <t>gene30320-v1.0-hybrid</t>
  </si>
  <si>
    <t>gene30620-v1.0-hybrid</t>
  </si>
  <si>
    <t>gene30920-v1.0-hybrid</t>
  </si>
  <si>
    <t>gene31520-v1.0-hybrid</t>
  </si>
  <si>
    <t>gene32120-v1.0-hybrid</t>
  </si>
  <si>
    <t>gene32420-v1.0-hybrid</t>
  </si>
  <si>
    <t>gene33516-v1.0-hybrid</t>
  </si>
  <si>
    <t>gene34185-v1.0-hybrid</t>
  </si>
  <si>
    <t>gene34485-v1.0-hybrid</t>
  </si>
  <si>
    <t>gene35085-v1.0-hybrid</t>
  </si>
  <si>
    <t>gene01402-v1.0-hybrid</t>
  </si>
  <si>
    <t>gene01702-v1.0-hybrid</t>
  </si>
  <si>
    <t>gene02002-v1.0-hybrid</t>
  </si>
  <si>
    <t>gene02302-v1.0-hybrid</t>
  </si>
  <si>
    <t>gene02602-v1.0-hybrid</t>
  </si>
  <si>
    <t>gene03290-v1.0-hybrid</t>
  </si>
  <si>
    <t>gene03590-v1.0-hybrid</t>
  </si>
  <si>
    <t>gene03890-v1.0-hybrid</t>
  </si>
  <si>
    <t>gene04490-v1.0-hybrid</t>
  </si>
  <si>
    <t>gene04790-v1.0-hybrid</t>
  </si>
  <si>
    <t>gene05090-v1.0-hybrid</t>
  </si>
  <si>
    <t>gene05391-v1.0-hybrid</t>
  </si>
  <si>
    <t>gene06291-v1.0-hybrid</t>
  </si>
  <si>
    <t>gene06591-v1.0-hybrid</t>
  </si>
  <si>
    <t>gene06891-v1.0-hybrid</t>
  </si>
  <si>
    <t>gene07191-v1.0-hybrid</t>
  </si>
  <si>
    <t>gene07491-v1.0-hybrid</t>
  </si>
  <si>
    <t>gene07792-v1.0-hybrid</t>
  </si>
  <si>
    <t>gene08092-v1.0-hybrid</t>
  </si>
  <si>
    <t>gene08392-v1.0-hybrid</t>
  </si>
  <si>
    <t>gene08692-v1.0-hybrid</t>
  </si>
  <si>
    <t>gene08992-v1.0-hybrid</t>
  </si>
  <si>
    <t>gene09292-v1.0-hybrid</t>
  </si>
  <si>
    <t>gene09893-v1.0-hybrid</t>
  </si>
  <si>
    <t>gene10794-v1.0-hybrid</t>
  </si>
  <si>
    <t>gene11094-v1.0-hybrid</t>
  </si>
  <si>
    <t>gene11395-v1.0-hybrid</t>
  </si>
  <si>
    <t>gene11695-v1.0-hybrid</t>
  </si>
  <si>
    <t>gene11995-v1.0-hybrid</t>
  </si>
  <si>
    <t>gene12895-v1.0-hybrid</t>
  </si>
  <si>
    <t>gene13196-v1.0-hybrid</t>
  </si>
  <si>
    <t>gene13796-v1.0-hybrid</t>
  </si>
  <si>
    <t>gene14097-v1.0-hybrid</t>
  </si>
  <si>
    <t>gene14700-v1.0-hybrid</t>
  </si>
  <si>
    <t>gene15001-v1.0-hybrid</t>
  </si>
  <si>
    <t>gene15603-v1.0-hybrid</t>
  </si>
  <si>
    <t>gene16205-v1.0-hybrid</t>
  </si>
  <si>
    <t>gene16805-v1.0-hybrid</t>
  </si>
  <si>
    <t>gene17107-v1.0-hybrid</t>
  </si>
  <si>
    <t>gene17407-v1.0-hybrid</t>
  </si>
  <si>
    <t>gene17707-v1.0-hybrid</t>
  </si>
  <si>
    <t>gene18007-v1.0-hybrid</t>
  </si>
  <si>
    <t>gene18307-v1.0-hybrid</t>
  </si>
  <si>
    <t>gene18607-v1.0-hybrid</t>
  </si>
  <si>
    <t>gene18907-v1.0-hybrid</t>
  </si>
  <si>
    <t>gene19207-v1.0-hybrid</t>
  </si>
  <si>
    <t>gene19507-v1.0-hybrid</t>
  </si>
  <si>
    <t>gene20107-v1.0-hybrid</t>
  </si>
  <si>
    <t>gene20408-v1.0-hybrid</t>
  </si>
  <si>
    <t>gene20708-v1.0-hybrid</t>
  </si>
  <si>
    <t>gene21008-v1.0-hybrid</t>
  </si>
  <si>
    <t>gene21308-v1.0-hybrid</t>
  </si>
  <si>
    <t>gene21609-v1.0-hybrid</t>
  </si>
  <si>
    <t>gene22210-v1.0-hybrid</t>
  </si>
  <si>
    <t>gene22510-v1.0-hybrid</t>
  </si>
  <si>
    <t>gene22811-v1.0-hybrid</t>
  </si>
  <si>
    <t>gene23111-v1.0-hybrid</t>
  </si>
  <si>
    <t>gene23413-v1.0-hybrid</t>
  </si>
  <si>
    <t>gene23713-v1.0-hybrid</t>
  </si>
  <si>
    <t>gene24013-v1.0-hybrid</t>
  </si>
  <si>
    <t>gene24315-v1.0-hybrid</t>
  </si>
  <si>
    <t>gene24918-v1.0-hybrid</t>
  </si>
  <si>
    <t>gene25218-v1.0-hybrid</t>
  </si>
  <si>
    <t>gene25518-v1.0-hybrid</t>
  </si>
  <si>
    <t>gene26118-v1.0-hybrid</t>
  </si>
  <si>
    <t>gene26418-v1.0-hybrid</t>
  </si>
  <si>
    <t>gene26718-v1.0-hybrid</t>
  </si>
  <si>
    <t>gene27019-v1.0-hybrid</t>
  </si>
  <si>
    <t>gene27319-v1.0-hybrid</t>
  </si>
  <si>
    <t>gene27619-v1.0-hybrid</t>
  </si>
  <si>
    <t>gene28519-v1.0-hybrid</t>
  </si>
  <si>
    <t>gene29119-v1.0-hybrid</t>
  </si>
  <si>
    <t>gene29720-v1.0-hybrid</t>
  </si>
  <si>
    <t>gene30021-v1.0-hybrid</t>
  </si>
  <si>
    <t>gene30321-v1.0-hybrid</t>
  </si>
  <si>
    <t>gene30621-v1.0-hybrid</t>
  </si>
  <si>
    <t>gene30921-v1.0-hybrid</t>
  </si>
  <si>
    <t>gene31821-v1.0-hybrid</t>
  </si>
  <si>
    <t>gene32121-v1.0-hybrid</t>
  </si>
  <si>
    <t>gene32421-v1.0-hybrid</t>
  </si>
  <si>
    <t>gene33110-v1.0-hybrid</t>
  </si>
  <si>
    <t>gene35086-v1.0-hybrid</t>
  </si>
  <si>
    <t>gene01102-v1.0-hybrid</t>
  </si>
  <si>
    <t>gene01403-v1.0-hybrid</t>
  </si>
  <si>
    <t>gene02003-v1.0-hybrid</t>
  </si>
  <si>
    <t>gene02603-v1.0-hybrid</t>
  </si>
  <si>
    <t>gene03591-v1.0-hybrid</t>
  </si>
  <si>
    <t>gene04191-v1.0-hybrid</t>
  </si>
  <si>
    <t>gene04491-v1.0-hybrid</t>
  </si>
  <si>
    <t>gene05392-v1.0-hybrid</t>
  </si>
  <si>
    <t>gene05692-v1.0-hybrid</t>
  </si>
  <si>
    <t>gene06292-v1.0-hybrid</t>
  </si>
  <si>
    <t>gene06592-v1.0-hybrid</t>
  </si>
  <si>
    <t>gene07192-v1.0-hybrid</t>
  </si>
  <si>
    <t>gene07492-v1.0-hybrid</t>
  </si>
  <si>
    <t>gene08093-v1.0-hybrid</t>
  </si>
  <si>
    <t>gene08393-v1.0-hybrid</t>
  </si>
  <si>
    <t>gene08693-v1.0-hybrid</t>
  </si>
  <si>
    <t>gene08993-v1.0-hybrid</t>
  </si>
  <si>
    <t>gene09293-v1.0-hybrid</t>
  </si>
  <si>
    <t>gene09593-v1.0-hybrid</t>
  </si>
  <si>
    <t>gene09894-v1.0-hybrid</t>
  </si>
  <si>
    <t>gene10194-v1.0-hybrid</t>
  </si>
  <si>
    <t>gene10795-v1.0-hybrid</t>
  </si>
  <si>
    <t>gene11095-v1.0-hybrid</t>
  </si>
  <si>
    <t>gene11396-v1.0-hybrid</t>
  </si>
  <si>
    <t>gene11696-v1.0-hybrid</t>
  </si>
  <si>
    <t>gene11996-v1.0-hybrid</t>
  </si>
  <si>
    <t>gene12596-v1.0-hybrid</t>
  </si>
  <si>
    <t>gene12896-v1.0-hybrid</t>
  </si>
  <si>
    <t>gene13197-v1.0-hybrid</t>
  </si>
  <si>
    <t>gene14098-v1.0-hybrid</t>
  </si>
  <si>
    <t>gene14701-v1.0-hybrid</t>
  </si>
  <si>
    <t>gene15002-v1.0-hybrid</t>
  </si>
  <si>
    <t>gene15604-v1.0-hybrid</t>
  </si>
  <si>
    <t>gene15905-v1.0-hybrid</t>
  </si>
  <si>
    <t>gene16206-v1.0-hybrid</t>
  </si>
  <si>
    <t>gene16506-v1.0-hybrid</t>
  </si>
  <si>
    <t>gene16806-v1.0-hybrid</t>
  </si>
  <si>
    <t>gene17408-v1.0-hybrid</t>
  </si>
  <si>
    <t>gene18008-v1.0-hybrid</t>
  </si>
  <si>
    <t>gene18308-v1.0-hybrid</t>
  </si>
  <si>
    <t>gene18608-v1.0-hybrid</t>
  </si>
  <si>
    <t>gene18908-v1.0-hybrid</t>
  </si>
  <si>
    <t>gene19208-v1.0-hybrid</t>
  </si>
  <si>
    <t>gene19508-v1.0-hybrid</t>
  </si>
  <si>
    <t>gene19808-v1.0-hybrid</t>
  </si>
  <si>
    <t>gene20108-v1.0-hybrid</t>
  </si>
  <si>
    <t>gene20409-v1.0-hybrid</t>
  </si>
  <si>
    <t>gene20709-v1.0-hybrid</t>
  </si>
  <si>
    <t>gene21009-v1.0-hybrid</t>
  </si>
  <si>
    <t>gene21309-v1.0-hybrid</t>
  </si>
  <si>
    <t>gene22211-v1.0-hybrid</t>
  </si>
  <si>
    <t>gene22511-v1.0-hybrid</t>
  </si>
  <si>
    <t>gene22812-v1.0-hybrid</t>
  </si>
  <si>
    <t>gene23112-v1.0-hybrid</t>
  </si>
  <si>
    <t>gene23414-v1.0-hybrid</t>
  </si>
  <si>
    <t>gene23714-v1.0-hybrid</t>
  </si>
  <si>
    <t>gene24014-v1.0-hybrid</t>
  </si>
  <si>
    <t>gene24919-v1.0-hybrid</t>
  </si>
  <si>
    <t>gene25519-v1.0-hybrid</t>
  </si>
  <si>
    <t>gene25819-v1.0-hybrid</t>
  </si>
  <si>
    <t>gene26119-v1.0-hybrid</t>
  </si>
  <si>
    <t>gene26419-v1.0-hybrid</t>
  </si>
  <si>
    <t>gene26719-v1.0-hybrid</t>
  </si>
  <si>
    <t>gene27320-v1.0-hybrid</t>
  </si>
  <si>
    <t>gene27920-v1.0-hybrid</t>
  </si>
  <si>
    <t>gene28520-v1.0-hybrid</t>
  </si>
  <si>
    <t>gene28820-v1.0-hybrid</t>
  </si>
  <si>
    <t>gene29120-v1.0-hybrid</t>
  </si>
  <si>
    <t>gene29420-v1.0-hybrid</t>
  </si>
  <si>
    <t>gene29721-v1.0-hybrid</t>
  </si>
  <si>
    <t>gene30022-v1.0-hybrid</t>
  </si>
  <si>
    <t>gene30322-v1.0-hybrid</t>
  </si>
  <si>
    <t>gene30622-v1.0-hybrid</t>
  </si>
  <si>
    <t>gene30922-v1.0-hybrid</t>
  </si>
  <si>
    <t>gene31222-v1.0-hybrid</t>
  </si>
  <si>
    <t>gene32422-v1.0-hybrid</t>
  </si>
  <si>
    <t>gene33111-v1.0-hybrid</t>
  </si>
  <si>
    <t>gene33887-v1.0-hybrid</t>
  </si>
  <si>
    <t>gene34487-v1.0-hybrid</t>
  </si>
  <si>
    <t>gene35087-v1.0-hybrid</t>
  </si>
  <si>
    <t>gene00199-v1.0-hybrid</t>
  </si>
  <si>
    <t>gene00502-v1.0-hybrid</t>
  </si>
  <si>
    <t>gene01404-v1.0-hybrid</t>
  </si>
  <si>
    <t>gene01704-v1.0-hybrid</t>
  </si>
  <si>
    <t>gene02004-v1.0-hybrid</t>
  </si>
  <si>
    <t>gene02304-v1.0-hybrid</t>
  </si>
  <si>
    <t>gene02604-v1.0-hybrid</t>
  </si>
  <si>
    <t>gene02985-v1.0-hybrid</t>
  </si>
  <si>
    <t>gene03292-v1.0-hybrid</t>
  </si>
  <si>
    <t>gene03592-v1.0-hybrid</t>
  </si>
  <si>
    <t>gene03892-v1.0-hybrid</t>
  </si>
  <si>
    <t>gene04192-v1.0-hybrid</t>
  </si>
  <si>
    <t>gene04492-v1.0-hybrid</t>
  </si>
  <si>
    <t>gene04792-v1.0-hybrid</t>
  </si>
  <si>
    <t>gene05092-v1.0-hybrid</t>
  </si>
  <si>
    <t>gene05393-v1.0-hybrid</t>
  </si>
  <si>
    <t>gene05693-v1.0-hybrid</t>
  </si>
  <si>
    <t>gene05993-v1.0-hybrid</t>
  </si>
  <si>
    <t>gene06293-v1.0-hybrid</t>
  </si>
  <si>
    <t>gene07794-v1.0-hybrid</t>
  </si>
  <si>
    <t>gene08094-v1.0-hybrid</t>
  </si>
  <si>
    <t>gene08394-v1.0-hybrid</t>
  </si>
  <si>
    <t>gene08694-v1.0-hybrid</t>
  </si>
  <si>
    <t>gene08994-v1.0-hybrid</t>
  </si>
  <si>
    <t>gene09294-v1.0-hybrid</t>
  </si>
  <si>
    <t>gene09594-v1.0-hybrid</t>
  </si>
  <si>
    <t>gene09895-v1.0-hybrid</t>
  </si>
  <si>
    <t>gene10195-v1.0-hybrid</t>
  </si>
  <si>
    <t>gene10796-v1.0-hybrid</t>
  </si>
  <si>
    <t>gene11397-v1.0-hybrid</t>
  </si>
  <si>
    <t>gene11697-v1.0-hybrid</t>
  </si>
  <si>
    <t>gene11997-v1.0-hybrid</t>
  </si>
  <si>
    <t>gene12297-v1.0-hybrid</t>
  </si>
  <si>
    <t>gene12897-v1.0-hybrid</t>
  </si>
  <si>
    <t>gene13198-v1.0-hybrid</t>
  </si>
  <si>
    <t>gene13498-v1.0-hybrid</t>
  </si>
  <si>
    <t>gene13798-v1.0-hybrid</t>
  </si>
  <si>
    <t>gene14400-v1.0-hybrid</t>
  </si>
  <si>
    <t>gene14702-v1.0-hybrid</t>
  </si>
  <si>
    <t>gene15003-v1.0-hybrid</t>
  </si>
  <si>
    <t>gene15605-v1.0-hybrid</t>
  </si>
  <si>
    <t>gene15906-v1.0-hybrid</t>
  </si>
  <si>
    <t>gene16507-v1.0-hybrid</t>
  </si>
  <si>
    <t>gene16807-v1.0-hybrid</t>
  </si>
  <si>
    <t>gene17109-v1.0-hybrid</t>
  </si>
  <si>
    <t>gene17409-v1.0-hybrid</t>
  </si>
  <si>
    <t>gene17709-v1.0-hybrid</t>
  </si>
  <si>
    <t>gene18609-v1.0-hybrid</t>
  </si>
  <si>
    <t>gene18909-v1.0-hybrid</t>
  </si>
  <si>
    <t>gene19509-v1.0-hybrid</t>
  </si>
  <si>
    <t>gene19809-v1.0-hybrid</t>
  </si>
  <si>
    <t>gene20410-v1.0-hybrid</t>
  </si>
  <si>
    <t>gene20710-v1.0-hybrid</t>
  </si>
  <si>
    <t>gene21010-v1.0-hybrid</t>
  </si>
  <si>
    <t>gene21310-v1.0-hybrid</t>
  </si>
  <si>
    <t>gene21611-v1.0-hybrid</t>
  </si>
  <si>
    <t>gene21911-v1.0-hybrid</t>
  </si>
  <si>
    <t>gene22212-v1.0-hybrid</t>
  </si>
  <si>
    <t>gene22512-v1.0-hybrid</t>
  </si>
  <si>
    <t>gene22813-v1.0-hybrid</t>
  </si>
  <si>
    <t>gene23113-v1.0-hybrid</t>
  </si>
  <si>
    <t>gene23715-v1.0-hybrid</t>
  </si>
  <si>
    <t>gene24015-v1.0-hybrid</t>
  </si>
  <si>
    <t>gene24317-v1.0-hybrid</t>
  </si>
  <si>
    <t>gene24618-v1.0-hybrid</t>
  </si>
  <si>
    <t>gene24920-v1.0-hybrid</t>
  </si>
  <si>
    <t>gene25220-v1.0-hybrid</t>
  </si>
  <si>
    <t>gene25520-v1.0-hybrid</t>
  </si>
  <si>
    <t>gene25820-v1.0-hybrid</t>
  </si>
  <si>
    <t>gene26120-v1.0-hybrid</t>
  </si>
  <si>
    <t>gene26420-v1.0-hybrid</t>
  </si>
  <si>
    <t>gene26720-v1.0-hybrid</t>
  </si>
  <si>
    <t>gene27021-v1.0-hybrid</t>
  </si>
  <si>
    <t>gene27321-v1.0-hybrid</t>
  </si>
  <si>
    <t>gene28221-v1.0-hybrid</t>
  </si>
  <si>
    <t>gene28521-v1.0-hybrid</t>
  </si>
  <si>
    <t>gene29121-v1.0-hybrid</t>
  </si>
  <si>
    <t>gene29421-v1.0-hybrid</t>
  </si>
  <si>
    <t>gene30023-v1.0-hybrid</t>
  </si>
  <si>
    <t>gene30323-v1.0-hybrid</t>
  </si>
  <si>
    <t>gene30623-v1.0-hybrid</t>
  </si>
  <si>
    <t>gene30923-v1.0-hybrid</t>
  </si>
  <si>
    <t>gene31223-v1.0-hybrid</t>
  </si>
  <si>
    <t>gene31523-v1.0-hybrid</t>
  </si>
  <si>
    <t>gene31823-v1.0-hybrid</t>
  </si>
  <si>
    <t>gene32423-v1.0-hybrid</t>
  </si>
  <si>
    <t>gene33519-v1.0-hybrid</t>
  </si>
  <si>
    <t>gene33888-v1.0-hybrid</t>
  </si>
  <si>
    <t>gene34488-v1.0-hybrid</t>
  </si>
  <si>
    <t>gene34788-v1.0-hybrid</t>
  </si>
  <si>
    <t>gene00503-v1.0-hybrid</t>
  </si>
  <si>
    <t>gene00804-v1.0-hybrid</t>
  </si>
  <si>
    <t>gene01104-v1.0-hybrid</t>
  </si>
  <si>
    <t>gene01405-v1.0-hybrid</t>
  </si>
  <si>
    <t>gene01705-v1.0-hybrid</t>
  </si>
  <si>
    <t>gene02005-v1.0-hybrid</t>
  </si>
  <si>
    <t>gene02305-v1.0-hybrid</t>
  </si>
  <si>
    <t>gene02605-v1.0-hybrid</t>
  </si>
  <si>
    <t>gene03593-v1.0-hybrid</t>
  </si>
  <si>
    <t>gene03893-v1.0-hybrid</t>
  </si>
  <si>
    <t>gene04193-v1.0-hybrid</t>
  </si>
  <si>
    <t>gene04493-v1.0-hybrid</t>
  </si>
  <si>
    <t>gene04793-v1.0-hybrid</t>
  </si>
  <si>
    <t>gene05093-v1.0-hybrid</t>
  </si>
  <si>
    <t>gene05394-v1.0-hybrid</t>
  </si>
  <si>
    <t>gene05694-v1.0-hybrid</t>
  </si>
  <si>
    <t>gene05994-v1.0-hybrid</t>
  </si>
  <si>
    <t>gene06294-v1.0-hybrid</t>
  </si>
  <si>
    <t>gene06594-v1.0-hybrid</t>
  </si>
  <si>
    <t>gene06894-v1.0-hybrid</t>
  </si>
  <si>
    <t>gene07194-v1.0-hybrid</t>
  </si>
  <si>
    <t>gene07494-v1.0-hybrid</t>
  </si>
  <si>
    <t>gene08095-v1.0-hybrid</t>
  </si>
  <si>
    <t>gene08395-v1.0-hybrid</t>
  </si>
  <si>
    <t>gene08695-v1.0-hybrid</t>
  </si>
  <si>
    <t>gene08995-v1.0-hybrid</t>
  </si>
  <si>
    <t>gene09295-v1.0-hybrid</t>
  </si>
  <si>
    <t>gene09595-v1.0-hybrid</t>
  </si>
  <si>
    <t>gene09896-v1.0-hybrid</t>
  </si>
  <si>
    <t>gene10196-v1.0-hybrid</t>
  </si>
  <si>
    <t>gene10497-v1.0-hybrid</t>
  </si>
  <si>
    <t>gene10797-v1.0-hybrid</t>
  </si>
  <si>
    <t>gene11097-v1.0-hybrid</t>
  </si>
  <si>
    <t>gene11398-v1.0-hybrid</t>
  </si>
  <si>
    <t>gene11698-v1.0-hybrid</t>
  </si>
  <si>
    <t>gene11998-v1.0-hybrid</t>
  </si>
  <si>
    <t>gene12298-v1.0-hybrid</t>
  </si>
  <si>
    <t>gene12598-v1.0-hybrid</t>
  </si>
  <si>
    <t>gene12898-v1.0-hybrid</t>
  </si>
  <si>
    <t>gene13199-v1.0-hybrid</t>
  </si>
  <si>
    <t>gene13499-v1.0-hybrid</t>
  </si>
  <si>
    <t>gene13799-v1.0-hybrid</t>
  </si>
  <si>
    <t>gene14401-v1.0-hybrid</t>
  </si>
  <si>
    <t>gene14703-v1.0-hybrid</t>
  </si>
  <si>
    <t>gene15004-v1.0-hybrid</t>
  </si>
  <si>
    <t>gene15606-v1.0-hybrid</t>
  </si>
  <si>
    <t>gene16208-v1.0-hybrid</t>
  </si>
  <si>
    <t>gene16808-v1.0-hybrid</t>
  </si>
  <si>
    <t>gene17710-v1.0-hybrid</t>
  </si>
  <si>
    <t>gene18010-v1.0-hybrid</t>
  </si>
  <si>
    <t>gene18610-v1.0-hybrid</t>
  </si>
  <si>
    <t>gene18910-v1.0-hybrid</t>
  </si>
  <si>
    <t>gene19210-v1.0-hybrid</t>
  </si>
  <si>
    <t>gene19510-v1.0-hybrid</t>
  </si>
  <si>
    <t>gene19810-v1.0-hybrid</t>
  </si>
  <si>
    <t>gene20411-v1.0-hybrid</t>
  </si>
  <si>
    <t>gene21011-v1.0-hybrid</t>
  </si>
  <si>
    <t>gene21311-v1.0-hybrid</t>
  </si>
  <si>
    <t>gene21912-v1.0-hybrid</t>
  </si>
  <si>
    <t>gene22213-v1.0-hybrid</t>
  </si>
  <si>
    <t>gene22513-v1.0-hybrid</t>
  </si>
  <si>
    <t>gene22814-v1.0-hybrid</t>
  </si>
  <si>
    <t>gene23114-v1.0-hybrid</t>
  </si>
  <si>
    <t>gene23416-v1.0-hybrid</t>
  </si>
  <si>
    <t>gene23716-v1.0-hybrid</t>
  </si>
  <si>
    <t>gene24016-v1.0-hybrid</t>
  </si>
  <si>
    <t>gene24318-v1.0-hybrid</t>
  </si>
  <si>
    <t>gene24619-v1.0-hybrid</t>
  </si>
  <si>
    <t>gene24921-v1.0-hybrid</t>
  </si>
  <si>
    <t>gene25221-v1.0-hybrid</t>
  </si>
  <si>
    <t>gene25521-v1.0-hybrid</t>
  </si>
  <si>
    <t>gene25821-v1.0-hybrid</t>
  </si>
  <si>
    <t>gene26121-v1.0-hybrid</t>
  </si>
  <si>
    <t>gene26421-v1.0-hybrid</t>
  </si>
  <si>
    <t>gene26721-v1.0-hybrid</t>
  </si>
  <si>
    <t>gene27022-v1.0-hybrid</t>
  </si>
  <si>
    <t>gene27922-v1.0-hybrid</t>
  </si>
  <si>
    <t>gene28222-v1.0-hybrid</t>
  </si>
  <si>
    <t>gene28822-v1.0-hybrid</t>
  </si>
  <si>
    <t>gene29122-v1.0-hybrid</t>
  </si>
  <si>
    <t>gene29422-v1.0-hybrid</t>
  </si>
  <si>
    <t>gene29723-v1.0-hybrid</t>
  </si>
  <si>
    <t>gene30024-v1.0-hybrid</t>
  </si>
  <si>
    <t>gene30324-v1.0-hybrid</t>
  </si>
  <si>
    <t>gene30624-v1.0-hybrid</t>
  </si>
  <si>
    <t>gene30924-v1.0-hybrid</t>
  </si>
  <si>
    <t>gene31524-v1.0-hybrid</t>
  </si>
  <si>
    <t>gene31824-v1.0-hybrid</t>
  </si>
  <si>
    <t>gene32424-v1.0-hybrid</t>
  </si>
  <si>
    <t>gene32734-v1.0-hybrid</t>
  </si>
  <si>
    <t>gene34189-v1.0-hybrid</t>
  </si>
  <si>
    <t>gene34489-v1.0-hybrid</t>
  </si>
  <si>
    <t>gene34789-v1.0-hybrid</t>
  </si>
  <si>
    <t>gene00201-v1.0-hybrid</t>
  </si>
  <si>
    <t>gene00805-v1.0-hybrid</t>
  </si>
  <si>
    <t>gene01105-v1.0-hybrid</t>
  </si>
  <si>
    <t>gene01406-v1.0-hybrid</t>
  </si>
  <si>
    <t>gene01706-v1.0-hybrid</t>
  </si>
  <si>
    <t>gene02006-v1.0-hybrid</t>
  </si>
  <si>
    <t>gene02306-v1.0-hybrid</t>
  </si>
  <si>
    <t>gene02606-v1.0-hybrid</t>
  </si>
  <si>
    <t>gene03294-v1.0-hybrid</t>
  </si>
  <si>
    <t>gene03594-v1.0-hybrid</t>
  </si>
  <si>
    <t>gene03894-v1.0-hybrid</t>
  </si>
  <si>
    <t>gene04194-v1.0-hybrid</t>
  </si>
  <si>
    <t>gene04494-v1.0-hybrid</t>
  </si>
  <si>
    <t>gene04794-v1.0-hybrid</t>
  </si>
  <si>
    <t>gene05094-v1.0-hybrid</t>
  </si>
  <si>
    <t>gene05395-v1.0-hybrid</t>
  </si>
  <si>
    <t>gene05695-v1.0-hybrid</t>
  </si>
  <si>
    <t>gene05995-v1.0-hybrid</t>
  </si>
  <si>
    <t>gene06295-v1.0-hybrid</t>
  </si>
  <si>
    <t>gene06595-v1.0-hybrid</t>
  </si>
  <si>
    <t>gene06895-v1.0-hybrid</t>
  </si>
  <si>
    <t>gene07195-v1.0-hybrid</t>
  </si>
  <si>
    <t>gene07495-v1.0-hybrid</t>
  </si>
  <si>
    <t>gene08096-v1.0-hybrid</t>
  </si>
  <si>
    <t>gene08396-v1.0-hybrid</t>
  </si>
  <si>
    <t>gene08696-v1.0-hybrid</t>
  </si>
  <si>
    <t>gene08996-v1.0-hybrid</t>
  </si>
  <si>
    <t>gene09296-v1.0-hybrid</t>
  </si>
  <si>
    <t>gene09596-v1.0-hybrid</t>
  </si>
  <si>
    <t>gene09897-v1.0-hybrid</t>
  </si>
  <si>
    <t>gene10197-v1.0-hybrid</t>
  </si>
  <si>
    <t>gene10498-v1.0-hybrid</t>
  </si>
  <si>
    <t>gene10798-v1.0-hybrid</t>
  </si>
  <si>
    <t>gene11098-v1.0-hybrid</t>
  </si>
  <si>
    <t>gene11699-v1.0-hybrid</t>
  </si>
  <si>
    <t>gene11999-v1.0-hybrid</t>
  </si>
  <si>
    <t>gene12599-v1.0-hybrid</t>
  </si>
  <si>
    <t>gene12899-v1.0-hybrid</t>
  </si>
  <si>
    <t>gene13200-v1.0-hybrid</t>
  </si>
  <si>
    <t>gene13500-v1.0-hybrid</t>
  </si>
  <si>
    <t>gene13800-v1.0-hybrid</t>
  </si>
  <si>
    <t>gene14402-v1.0-hybrid</t>
  </si>
  <si>
    <t>gene15005-v1.0-hybrid</t>
  </si>
  <si>
    <t>gene15306-v1.0-hybrid</t>
  </si>
  <si>
    <t>gene15607-v1.0-hybrid</t>
  </si>
  <si>
    <t>gene16209-v1.0-hybrid</t>
  </si>
  <si>
    <t>gene16509-v1.0-hybrid</t>
  </si>
  <si>
    <t>gene16809-v1.0-hybrid</t>
  </si>
  <si>
    <t>gene17411-v1.0-hybrid</t>
  </si>
  <si>
    <t>gene17711-v1.0-hybrid</t>
  </si>
  <si>
    <t>gene18011-v1.0-hybrid</t>
  </si>
  <si>
    <t>gene18611-v1.0-hybrid</t>
  </si>
  <si>
    <t>gene18911-v1.0-hybrid</t>
  </si>
  <si>
    <t>gene19211-v1.0-hybrid</t>
  </si>
  <si>
    <t>gene19511-v1.0-hybrid</t>
  </si>
  <si>
    <t>gene19811-v1.0-hybrid</t>
  </si>
  <si>
    <t>gene20111-v1.0-hybrid</t>
  </si>
  <si>
    <t>gene20412-v1.0-hybrid</t>
  </si>
  <si>
    <t>gene20712-v1.0-hybrid</t>
  </si>
  <si>
    <t>gene21312-v1.0-hybrid</t>
  </si>
  <si>
    <t>gene21913-v1.0-hybrid</t>
  </si>
  <si>
    <t>gene22214-v1.0-hybrid</t>
  </si>
  <si>
    <t>gene22514-v1.0-hybrid</t>
  </si>
  <si>
    <t>gene22815-v1.0-hybrid</t>
  </si>
  <si>
    <t>gene23417-v1.0-hybrid</t>
  </si>
  <si>
    <t>gene23717-v1.0-hybrid</t>
  </si>
  <si>
    <t>gene24017-v1.0-hybrid</t>
  </si>
  <si>
    <t>gene24319-v1.0-hybrid</t>
  </si>
  <si>
    <t>gene24620-v1.0-hybrid</t>
  </si>
  <si>
    <t>gene24922-v1.0-hybrid</t>
  </si>
  <si>
    <t>gene25222-v1.0-hybrid</t>
  </si>
  <si>
    <t>gene25522-v1.0-hybrid</t>
  </si>
  <si>
    <t>gene25822-v1.0-hybrid</t>
  </si>
  <si>
    <t>gene26122-v1.0-hybrid</t>
  </si>
  <si>
    <t>gene26422-v1.0-hybrid</t>
  </si>
  <si>
    <t>gene26722-v1.0-hybrid</t>
  </si>
  <si>
    <t>gene27023-v1.0-hybrid</t>
  </si>
  <si>
    <t>gene27923-v1.0-hybrid</t>
  </si>
  <si>
    <t>gene28223-v1.0-hybrid</t>
  </si>
  <si>
    <t>gene28823-v1.0-hybrid</t>
  </si>
  <si>
    <t>gene29123-v1.0-hybrid</t>
  </si>
  <si>
    <t>gene29423-v1.0-hybrid</t>
  </si>
  <si>
    <t>gene29724-v1.0-hybrid</t>
  </si>
  <si>
    <t>gene30025-v1.0-hybrid</t>
  </si>
  <si>
    <t>gene30625-v1.0-hybrid</t>
  </si>
  <si>
    <t>gene31225-v1.0-hybrid</t>
  </si>
  <si>
    <t>gene31525-v1.0-hybrid</t>
  </si>
  <si>
    <t>gene31825-v1.0-hybrid</t>
  </si>
  <si>
    <t>gene32125-v1.0-hybrid</t>
  </si>
  <si>
    <t>gene32425-v1.0-hybrid</t>
  </si>
  <si>
    <t>gene35090-v1.0-hybrid</t>
  </si>
  <si>
    <t>gene00202-v1.0-hybrid</t>
  </si>
  <si>
    <t>gene00806-v1.0-hybrid</t>
  </si>
  <si>
    <t>gene01106-v1.0-hybrid</t>
  </si>
  <si>
    <t>gene01407-v1.0-hybrid</t>
  </si>
  <si>
    <t>gene02007-v1.0-hybrid</t>
  </si>
  <si>
    <t>gene02307-v1.0-hybrid</t>
  </si>
  <si>
    <t>gene02607-v1.0-hybrid</t>
  </si>
  <si>
    <t>gene03295-v1.0-hybrid</t>
  </si>
  <si>
    <t>gene03595-v1.0-hybrid</t>
  </si>
  <si>
    <t>gene03895-v1.0-hybrid</t>
  </si>
  <si>
    <t>gene04195-v1.0-hybrid</t>
  </si>
  <si>
    <t>gene04495-v1.0-hybrid</t>
  </si>
  <si>
    <t>gene04795-v1.0-hybrid</t>
  </si>
  <si>
    <t>gene05095-v1.0-hybrid</t>
  </si>
  <si>
    <t>gene05396-v1.0-hybrid</t>
  </si>
  <si>
    <t>gene05696-v1.0-hybrid</t>
  </si>
  <si>
    <t>gene06896-v1.0-hybrid</t>
  </si>
  <si>
    <t>gene07196-v1.0-hybrid</t>
  </si>
  <si>
    <t>gene07496-v1.0-hybrid</t>
  </si>
  <si>
    <t>gene08097-v1.0-hybrid</t>
  </si>
  <si>
    <t>gene08697-v1.0-hybrid</t>
  </si>
  <si>
    <t>gene08997-v1.0-hybrid</t>
  </si>
  <si>
    <t>gene09297-v1.0-hybrid</t>
  </si>
  <si>
    <t>gene09597-v1.0-hybrid</t>
  </si>
  <si>
    <t>gene09898-v1.0-hybrid</t>
  </si>
  <si>
    <t>gene10499-v1.0-hybrid</t>
  </si>
  <si>
    <t>gene11099-v1.0-hybrid</t>
  </si>
  <si>
    <t>gene11400-v1.0-hybrid</t>
  </si>
  <si>
    <t>gene12000-v1.0-hybrid</t>
  </si>
  <si>
    <t>gene12300-v1.0-hybrid</t>
  </si>
  <si>
    <t>gene12900-v1.0-hybrid</t>
  </si>
  <si>
    <t>gene13501-v1.0-hybrid</t>
  </si>
  <si>
    <t>gene14102-v1.0-hybrid</t>
  </si>
  <si>
    <t>gene14403-v1.0-hybrid</t>
  </si>
  <si>
    <t>gene14705-v1.0-hybrid</t>
  </si>
  <si>
    <t>gene15006-v1.0-hybrid</t>
  </si>
  <si>
    <t>gene15307-v1.0-hybrid</t>
  </si>
  <si>
    <t>gene15608-v1.0-hybrid</t>
  </si>
  <si>
    <t>gene15909-v1.0-hybrid</t>
  </si>
  <si>
    <t>gene16510-v1.0-hybrid</t>
  </si>
  <si>
    <t>gene16810-v1.0-hybrid</t>
  </si>
  <si>
    <t>gene17112-v1.0-hybrid</t>
  </si>
  <si>
    <t>gene17412-v1.0-hybrid</t>
  </si>
  <si>
    <t>gene17712-v1.0-hybrid</t>
  </si>
  <si>
    <t>gene18012-v1.0-hybrid</t>
  </si>
  <si>
    <t>gene18912-v1.0-hybrid</t>
  </si>
  <si>
    <t>gene19212-v1.0-hybrid</t>
  </si>
  <si>
    <t>gene19512-v1.0-hybrid</t>
  </si>
  <si>
    <t>gene19812-v1.0-hybrid</t>
  </si>
  <si>
    <t>gene20112-v1.0-hybrid</t>
  </si>
  <si>
    <t>gene20413-v1.0-hybrid</t>
  </si>
  <si>
    <t>gene20713-v1.0-hybrid</t>
  </si>
  <si>
    <t>gene21313-v1.0-hybrid</t>
  </si>
  <si>
    <t>gene21914-v1.0-hybrid</t>
  </si>
  <si>
    <t>gene22215-v1.0-hybrid</t>
  </si>
  <si>
    <t>gene22515-v1.0-hybrid</t>
  </si>
  <si>
    <t>gene22816-v1.0-hybrid</t>
  </si>
  <si>
    <t>gene23418-v1.0-hybrid</t>
  </si>
  <si>
    <t>gene23718-v1.0-hybrid</t>
  </si>
  <si>
    <t>gene24018-v1.0-hybrid</t>
  </si>
  <si>
    <t>gene24320-v1.0-hybrid</t>
  </si>
  <si>
    <t>gene24621-v1.0-hybrid</t>
  </si>
  <si>
    <t>gene24923-v1.0-hybrid</t>
  </si>
  <si>
    <t>gene25223-v1.0-hybrid</t>
  </si>
  <si>
    <t>gene25523-v1.0-hybrid</t>
  </si>
  <si>
    <t>gene25823-v1.0-hybrid</t>
  </si>
  <si>
    <t>gene26123-v1.0-hybrid</t>
  </si>
  <si>
    <t>gene27024-v1.0-hybrid</t>
  </si>
  <si>
    <t>gene27324-v1.0-hybrid</t>
  </si>
  <si>
    <t>gene27624-v1.0-hybrid</t>
  </si>
  <si>
    <t>gene27924-v1.0-hybrid</t>
  </si>
  <si>
    <t>gene28224-v1.0-hybrid</t>
  </si>
  <si>
    <t>gene28524-v1.0-hybrid</t>
  </si>
  <si>
    <t>gene28824-v1.0-hybrid</t>
  </si>
  <si>
    <t>gene29124-v1.0-hybrid</t>
  </si>
  <si>
    <t>gene29424-v1.0-hybrid</t>
  </si>
  <si>
    <t>gene29725-v1.0-hybrid</t>
  </si>
  <si>
    <t>gene30326-v1.0-hybrid</t>
  </si>
  <si>
    <t>gene30626-v1.0-hybrid</t>
  </si>
  <si>
    <t>gene30926-v1.0-hybrid</t>
  </si>
  <si>
    <t>gene31226-v1.0-hybrid</t>
  </si>
  <si>
    <t>gene31526-v1.0-hybrid</t>
  </si>
  <si>
    <t>gene31826-v1.0-hybrid</t>
  </si>
  <si>
    <t>gene32126-v1.0-hybrid</t>
  </si>
  <si>
    <t>gene32426-v1.0-hybrid</t>
  </si>
  <si>
    <t>gene32736-v1.0-hybrid</t>
  </si>
  <si>
    <t>gene34491-v1.0-hybrid</t>
  </si>
  <si>
    <t>gene34791-v1.0-hybrid</t>
  </si>
  <si>
    <t>gene35091-v1.0-hybrid</t>
  </si>
  <si>
    <t>gene00203-v1.0-hybrid</t>
  </si>
  <si>
    <t>gene00807-v1.0-hybrid</t>
  </si>
  <si>
    <t>gene01107-v1.0-hybrid</t>
  </si>
  <si>
    <t>gene01408-v1.0-hybrid</t>
  </si>
  <si>
    <t>gene01708-v1.0-hybrid</t>
  </si>
  <si>
    <t>gene02008-v1.0-hybrid</t>
  </si>
  <si>
    <t>gene02308-v1.0-hybrid</t>
  </si>
  <si>
    <t>gene03296-v1.0-hybrid</t>
  </si>
  <si>
    <t>gene03596-v1.0-hybrid</t>
  </si>
  <si>
    <t>gene04196-v1.0-hybrid</t>
  </si>
  <si>
    <t>gene04496-v1.0-hybrid</t>
  </si>
  <si>
    <t>gene04796-v1.0-hybrid</t>
  </si>
  <si>
    <t>gene05096-v1.0-hybrid</t>
  </si>
  <si>
    <t>gene05397-v1.0-hybrid</t>
  </si>
  <si>
    <t>gene05697-v1.0-hybrid</t>
  </si>
  <si>
    <t>gene06297-v1.0-hybrid</t>
  </si>
  <si>
    <t>gene06597-v1.0-hybrid</t>
  </si>
  <si>
    <t>gene06897-v1.0-hybrid</t>
  </si>
  <si>
    <t>gene07197-v1.0-hybrid</t>
  </si>
  <si>
    <t>gene07497-v1.0-hybrid</t>
  </si>
  <si>
    <t>gene07798-v1.0-hybrid</t>
  </si>
  <si>
    <t>gene08098-v1.0-hybrid</t>
  </si>
  <si>
    <t>gene08398-v1.0-hybrid</t>
  </si>
  <si>
    <t>gene08698-v1.0-hybrid</t>
  </si>
  <si>
    <t>gene08998-v1.0-hybrid</t>
  </si>
  <si>
    <t>gene09298-v1.0-hybrid</t>
  </si>
  <si>
    <t>gene09899-v1.0-hybrid</t>
  </si>
  <si>
    <t>gene10199-v1.0-hybrid</t>
  </si>
  <si>
    <t>gene10800-v1.0-hybrid</t>
  </si>
  <si>
    <t>gene11100-v1.0-hybrid</t>
  </si>
  <si>
    <t>gene11401-v1.0-hybrid</t>
  </si>
  <si>
    <t>gene12001-v1.0-hybrid</t>
  </si>
  <si>
    <t>gene12301-v1.0-hybrid</t>
  </si>
  <si>
    <t>gene12601-v1.0-hybrid</t>
  </si>
  <si>
    <t>gene12901-v1.0-hybrid</t>
  </si>
  <si>
    <t>gene13202-v1.0-hybrid</t>
  </si>
  <si>
    <t>gene13502-v1.0-hybrid</t>
  </si>
  <si>
    <t>gene13802-v1.0-hybrid</t>
  </si>
  <si>
    <t>gene14404-v1.0-hybrid</t>
  </si>
  <si>
    <t>gene14706-v1.0-hybrid</t>
  </si>
  <si>
    <t>gene15007-v1.0-hybrid</t>
  </si>
  <si>
    <t>gene15308-v1.0-hybrid</t>
  </si>
  <si>
    <t>gene15609-v1.0-hybrid</t>
  </si>
  <si>
    <t>gene15910-v1.0-hybrid</t>
  </si>
  <si>
    <t>gene16211-v1.0-hybrid</t>
  </si>
  <si>
    <t>gene16511-v1.0-hybrid</t>
  </si>
  <si>
    <t>gene16811-v1.0-hybrid</t>
  </si>
  <si>
    <t>gene17113-v1.0-hybrid</t>
  </si>
  <si>
    <t>gene17413-v1.0-hybrid</t>
  </si>
  <si>
    <t>gene17713-v1.0-hybrid</t>
  </si>
  <si>
    <t>gene18013-v1.0-hybrid</t>
  </si>
  <si>
    <t>gene18313-v1.0-hybrid</t>
  </si>
  <si>
    <t>gene19213-v1.0-hybrid</t>
  </si>
  <si>
    <t>gene19513-v1.0-hybrid</t>
  </si>
  <si>
    <t>gene19813-v1.0-hybrid</t>
  </si>
  <si>
    <t>gene20113-v1.0-hybrid</t>
  </si>
  <si>
    <t>gene21014-v1.0-hybrid</t>
  </si>
  <si>
    <t>gene21314-v1.0-hybrid</t>
  </si>
  <si>
    <t>gene22216-v1.0-hybrid</t>
  </si>
  <si>
    <t>gene22516-v1.0-hybrid</t>
  </si>
  <si>
    <t>gene22817-v1.0-hybrid</t>
  </si>
  <si>
    <t>gene23719-v1.0-hybrid</t>
  </si>
  <si>
    <t>gene24019-v1.0-hybrid</t>
  </si>
  <si>
    <t>gene24321-v1.0-hybrid</t>
  </si>
  <si>
    <t>gene24622-v1.0-hybrid</t>
  </si>
  <si>
    <t>gene24924-v1.0-hybrid</t>
  </si>
  <si>
    <t>gene25224-v1.0-hybrid</t>
  </si>
  <si>
    <t>gene25524-v1.0-hybrid</t>
  </si>
  <si>
    <t>gene25824-v1.0-hybrid</t>
  </si>
  <si>
    <t>gene26124-v1.0-hybrid</t>
  </si>
  <si>
    <t>gene26724-v1.0-hybrid</t>
  </si>
  <si>
    <t>gene27625-v1.0-hybrid</t>
  </si>
  <si>
    <t>gene27925-v1.0-hybrid</t>
  </si>
  <si>
    <t>gene28225-v1.0-hybrid</t>
  </si>
  <si>
    <t>gene28525-v1.0-hybrid</t>
  </si>
  <si>
    <t>gene28825-v1.0-hybrid</t>
  </si>
  <si>
    <t>gene29125-v1.0-hybrid</t>
  </si>
  <si>
    <t>gene29425-v1.0-hybrid</t>
  </si>
  <si>
    <t>gene29726-v1.0-hybrid</t>
  </si>
  <si>
    <t>gene30027-v1.0-hybrid</t>
  </si>
  <si>
    <t>gene30927-v1.0-hybrid</t>
  </si>
  <si>
    <t>gene31227-v1.0-hybrid</t>
  </si>
  <si>
    <t>gene31527-v1.0-hybrid</t>
  </si>
  <si>
    <t>gene31827-v1.0-hybrid</t>
  </si>
  <si>
    <t>gene32427-v1.0-hybrid</t>
  </si>
  <si>
    <t>gene33527-v1.0-hybrid</t>
  </si>
  <si>
    <t>gene34192-v1.0-hybrid</t>
  </si>
  <si>
    <t>gene34492-v1.0-hybrid</t>
  </si>
  <si>
    <t>gene34792-v1.0-hybrid</t>
  </si>
  <si>
    <t>gene35092-v1.0-hybrid</t>
  </si>
  <si>
    <t>gene00204-v1.0-hybrid</t>
  </si>
  <si>
    <t>gene00508-v1.0-hybrid</t>
  </si>
  <si>
    <t>gene00808-v1.0-hybrid</t>
  </si>
  <si>
    <t>gene01108-v1.0-hybrid</t>
  </si>
  <si>
    <t>gene01409-v1.0-hybrid</t>
  </si>
  <si>
    <t>gene01709-v1.0-hybrid</t>
  </si>
  <si>
    <t>gene02009-v1.0-hybrid</t>
  </si>
  <si>
    <t>gene02309-v1.0-hybrid</t>
  </si>
  <si>
    <t>gene02609-v1.0-hybrid</t>
  </si>
  <si>
    <t>gene03297-v1.0-hybrid</t>
  </si>
  <si>
    <t>gene03597-v1.0-hybrid</t>
  </si>
  <si>
    <t>gene03897-v1.0-hybrid</t>
  </si>
  <si>
    <t>gene04197-v1.0-hybrid</t>
  </si>
  <si>
    <t>gene04497-v1.0-hybrid</t>
  </si>
  <si>
    <t>gene04797-v1.0-hybrid</t>
  </si>
  <si>
    <t>gene05097-v1.0-hybrid</t>
  </si>
  <si>
    <t>gene05398-v1.0-hybrid</t>
  </si>
  <si>
    <t>gene05698-v1.0-hybrid</t>
  </si>
  <si>
    <t>gene06298-v1.0-hybrid</t>
  </si>
  <si>
    <t>gene06598-v1.0-hybrid</t>
  </si>
  <si>
    <t>gene06898-v1.0-hybrid</t>
  </si>
  <si>
    <t>gene07198-v1.0-hybrid</t>
  </si>
  <si>
    <t>gene07498-v1.0-hybrid</t>
  </si>
  <si>
    <t>gene07799-v1.0-hybrid</t>
  </si>
  <si>
    <t>gene08099-v1.0-hybrid</t>
  </si>
  <si>
    <t>gene08399-v1.0-hybrid</t>
  </si>
  <si>
    <t>gene08699-v1.0-hybrid</t>
  </si>
  <si>
    <t>gene08999-v1.0-hybrid</t>
  </si>
  <si>
    <t>gene09299-v1.0-hybrid</t>
  </si>
  <si>
    <t>gene09900-v1.0-hybrid</t>
  </si>
  <si>
    <t>gene10200-v1.0-hybrid</t>
  </si>
  <si>
    <t>gene10501-v1.0-hybrid</t>
  </si>
  <si>
    <t>gene11101-v1.0-hybrid</t>
  </si>
  <si>
    <t>gene11402-v1.0-hybrid</t>
  </si>
  <si>
    <t>gene12002-v1.0-hybrid</t>
  </si>
  <si>
    <t>gene12302-v1.0-hybrid</t>
  </si>
  <si>
    <t>gene12902-v1.0-hybrid</t>
  </si>
  <si>
    <t>gene13203-v1.0-hybrid</t>
  </si>
  <si>
    <t>gene13503-v1.0-hybrid</t>
  </si>
  <si>
    <t>gene13803-v1.0-hybrid</t>
  </si>
  <si>
    <t>gene14405-v1.0-hybrid</t>
  </si>
  <si>
    <t>gene15008-v1.0-hybrid</t>
  </si>
  <si>
    <t>gene15911-v1.0-hybrid</t>
  </si>
  <si>
    <t>gene16212-v1.0-hybrid</t>
  </si>
  <si>
    <t>gene16512-v1.0-hybrid</t>
  </si>
  <si>
    <t>gene16812-v1.0-hybrid</t>
  </si>
  <si>
    <t>gene17114-v1.0-hybrid</t>
  </si>
  <si>
    <t>gene17414-v1.0-hybrid</t>
  </si>
  <si>
    <t>gene17714-v1.0-hybrid</t>
  </si>
  <si>
    <t>gene18014-v1.0-hybrid</t>
  </si>
  <si>
    <t>gene18314-v1.0-hybrid</t>
  </si>
  <si>
    <t>gene18614-v1.0-hybrid</t>
  </si>
  <si>
    <t>gene19214-v1.0-hybrid</t>
  </si>
  <si>
    <t>gene19514-v1.0-hybrid</t>
  </si>
  <si>
    <t>gene19814-v1.0-hybrid</t>
  </si>
  <si>
    <t>gene20114-v1.0-hybrid</t>
  </si>
  <si>
    <t>gene20415-v1.0-hybrid</t>
  </si>
  <si>
    <t>gene21015-v1.0-hybrid</t>
  </si>
  <si>
    <t>gene21315-v1.0-hybrid</t>
  </si>
  <si>
    <t>gene21916-v1.0-hybrid</t>
  </si>
  <si>
    <t>gene22217-v1.0-hybrid</t>
  </si>
  <si>
    <t>gene22517-v1.0-hybrid</t>
  </si>
  <si>
    <t>gene23118-v1.0-hybrid</t>
  </si>
  <si>
    <t>gene23720-v1.0-hybrid</t>
  </si>
  <si>
    <t>gene24020-v1.0-hybrid</t>
  </si>
  <si>
    <t>gene24322-v1.0-hybrid</t>
  </si>
  <si>
    <t>gene24623-v1.0-hybrid</t>
  </si>
  <si>
    <t>gene24925-v1.0-hybrid</t>
  </si>
  <si>
    <t>gene25225-v1.0-hybrid</t>
  </si>
  <si>
    <t>gene26425-v1.0-hybrid</t>
  </si>
  <si>
    <t>gene26725-v1.0-hybrid</t>
  </si>
  <si>
    <t>gene27326-v1.0-hybrid</t>
  </si>
  <si>
    <t>gene27626-v1.0-hybrid</t>
  </si>
  <si>
    <t>gene27926-v1.0-hybrid</t>
  </si>
  <si>
    <t>gene28226-v1.0-hybrid</t>
  </si>
  <si>
    <t>gene28526-v1.0-hybrid</t>
  </si>
  <si>
    <t>gene28826-v1.0-hybrid</t>
  </si>
  <si>
    <t>gene29426-v1.0-hybrid</t>
  </si>
  <si>
    <t>gene29727-v1.0-hybrid</t>
  </si>
  <si>
    <t>gene30028-v1.0-hybrid</t>
  </si>
  <si>
    <t>gene30928-v1.0-hybrid</t>
  </si>
  <si>
    <t>gene31228-v1.0-hybrid</t>
  </si>
  <si>
    <t>gene31528-v1.0-hybrid</t>
  </si>
  <si>
    <t>gene31828-v1.0-hybrid</t>
  </si>
  <si>
    <t>gene32128-v1.0-hybrid</t>
  </si>
  <si>
    <t>gene32428-v1.0-hybrid</t>
  </si>
  <si>
    <t>gene33528-v1.0-hybrid</t>
  </si>
  <si>
    <t>gene34493-v1.0-hybrid</t>
  </si>
  <si>
    <t>gene34793-v1.0-hybrid</t>
  </si>
  <si>
    <t>gene00205-v1.0-hybrid</t>
  </si>
  <si>
    <t>gene00509-v1.0-hybrid</t>
  </si>
  <si>
    <t>gene00809-v1.0-hybrid</t>
  </si>
  <si>
    <t>gene01410-v1.0-hybrid</t>
  </si>
  <si>
    <t>gene02010-v1.0-hybrid</t>
  </si>
  <si>
    <t>gene02310-v1.0-hybrid</t>
  </si>
  <si>
    <t>gene02610-v1.0-hybrid</t>
  </si>
  <si>
    <t>gene03298-v1.0-hybrid</t>
  </si>
  <si>
    <t>gene03598-v1.0-hybrid</t>
  </si>
  <si>
    <t>gene03898-v1.0-hybrid</t>
  </si>
  <si>
    <t>gene04198-v1.0-hybrid</t>
  </si>
  <si>
    <t>gene04498-v1.0-hybrid</t>
  </si>
  <si>
    <t>gene05399-v1.0-hybrid</t>
  </si>
  <si>
    <t>gene06299-v1.0-hybrid</t>
  </si>
  <si>
    <t>gene06599-v1.0-hybrid</t>
  </si>
  <si>
    <t>gene07199-v1.0-hybrid</t>
  </si>
  <si>
    <t>gene07499-v1.0-hybrid</t>
  </si>
  <si>
    <t>gene07800-v1.0-hybrid</t>
  </si>
  <si>
    <t>gene08700-v1.0-hybrid</t>
  </si>
  <si>
    <t>gene09300-v1.0-hybrid</t>
  </si>
  <si>
    <t>gene09901-v1.0-hybrid</t>
  </si>
  <si>
    <t>gene10201-v1.0-hybrid</t>
  </si>
  <si>
    <t>gene11102-v1.0-hybrid</t>
  </si>
  <si>
    <t>gene11703-v1.0-hybrid</t>
  </si>
  <si>
    <t>gene12003-v1.0-hybrid</t>
  </si>
  <si>
    <t>gene13204-v1.0-hybrid</t>
  </si>
  <si>
    <t>gene13504-v1.0-hybrid</t>
  </si>
  <si>
    <t>gene13804-v1.0-hybrid</t>
  </si>
  <si>
    <t>gene14105-v1.0-hybrid</t>
  </si>
  <si>
    <t>gene14406-v1.0-hybrid</t>
  </si>
  <si>
    <t>gene14708-v1.0-hybrid</t>
  </si>
  <si>
    <t>gene15009-v1.0-hybrid</t>
  </si>
  <si>
    <t>gene15310-v1.0-hybrid</t>
  </si>
  <si>
    <t>gene15611-v1.0-hybrid</t>
  </si>
  <si>
    <t>gene15912-v1.0-hybrid</t>
  </si>
  <si>
    <t>gene16213-v1.0-hybrid</t>
  </si>
  <si>
    <t>gene16513-v1.0-hybrid</t>
  </si>
  <si>
    <t>gene16813-v1.0-hybrid</t>
  </si>
  <si>
    <t>gene17115-v1.0-hybrid</t>
  </si>
  <si>
    <t>gene18015-v1.0-hybrid</t>
  </si>
  <si>
    <t>gene18615-v1.0-hybrid</t>
  </si>
  <si>
    <t>gene18915-v1.0-hybrid</t>
  </si>
  <si>
    <t>gene19215-v1.0-hybrid</t>
  </si>
  <si>
    <t>gene19515-v1.0-hybrid</t>
  </si>
  <si>
    <t>gene19815-v1.0-hybrid</t>
  </si>
  <si>
    <t>gene20416-v1.0-hybrid</t>
  </si>
  <si>
    <t>gene20716-v1.0-hybrid</t>
  </si>
  <si>
    <t>gene21016-v1.0-hybrid</t>
  </si>
  <si>
    <t>gene21917-v1.0-hybrid</t>
  </si>
  <si>
    <t>gene22218-v1.0-hybrid</t>
  </si>
  <si>
    <t>gene22518-v1.0-hybrid</t>
  </si>
  <si>
    <t>gene22819-v1.0-hybrid</t>
  </si>
  <si>
    <t>gene23119-v1.0-hybrid</t>
  </si>
  <si>
    <t>gene23721-v1.0-hybrid</t>
  </si>
  <si>
    <t>gene24323-v1.0-hybrid</t>
  </si>
  <si>
    <t>gene24926-v1.0-hybrid</t>
  </si>
  <si>
    <t>gene25526-v1.0-hybrid</t>
  </si>
  <si>
    <t>gene25826-v1.0-hybrid</t>
  </si>
  <si>
    <t>gene26126-v1.0-hybrid</t>
  </si>
  <si>
    <t>gene26426-v1.0-hybrid</t>
  </si>
  <si>
    <t>gene26726-v1.0-hybrid</t>
  </si>
  <si>
    <t>gene27027-v1.0-hybrid</t>
  </si>
  <si>
    <t>gene27327-v1.0-hybrid</t>
  </si>
  <si>
    <t>gene27627-v1.0-hybrid</t>
  </si>
  <si>
    <t>gene27927-v1.0-hybrid</t>
  </si>
  <si>
    <t>gene28227-v1.0-hybrid</t>
  </si>
  <si>
    <t>gene29127-v1.0-hybrid</t>
  </si>
  <si>
    <t>gene29427-v1.0-hybrid</t>
  </si>
  <si>
    <t>gene29728-v1.0-hybrid</t>
  </si>
  <si>
    <t>gene30029-v1.0-hybrid</t>
  </si>
  <si>
    <t>gene30329-v1.0-hybrid</t>
  </si>
  <si>
    <t>gene30629-v1.0-hybrid</t>
  </si>
  <si>
    <t>gene30929-v1.0-hybrid</t>
  </si>
  <si>
    <t>gene31229-v1.0-hybrid</t>
  </si>
  <si>
    <t>gene31529-v1.0-hybrid</t>
  </si>
  <si>
    <t>gene31829-v1.0-hybrid</t>
  </si>
  <si>
    <t>gene32129-v1.0-hybrid</t>
  </si>
  <si>
    <t>gene32429-v1.0-hybrid</t>
  </si>
  <si>
    <t>gene33894-v1.0-hybrid</t>
  </si>
  <si>
    <t>gene34494-v1.0-hybrid</t>
  </si>
  <si>
    <t>gene00206-v1.0-hybrid</t>
  </si>
  <si>
    <t>gene01110-v1.0-hybrid</t>
  </si>
  <si>
    <t>gene01411-v1.0-hybrid</t>
  </si>
  <si>
    <t>gene02011-v1.0-hybrid</t>
  </si>
  <si>
    <t>gene02311-v1.0-hybrid</t>
  </si>
  <si>
    <t>gene02611-v1.0-hybrid</t>
  </si>
  <si>
    <t>gene02997-v1.0-hybrid</t>
  </si>
  <si>
    <t>gene03299-v1.0-hybrid</t>
  </si>
  <si>
    <t>gene03599-v1.0-hybrid</t>
  </si>
  <si>
    <t>gene03899-v1.0-hybrid</t>
  </si>
  <si>
    <t>gene04199-v1.0-hybrid</t>
  </si>
  <si>
    <t>gene04799-v1.0-hybrid</t>
  </si>
  <si>
    <t>gene05400-v1.0-hybrid</t>
  </si>
  <si>
    <t>gene05700-v1.0-hybrid</t>
  </si>
  <si>
    <t>gene06000-v1.0-hybrid</t>
  </si>
  <si>
    <t>gene06300-v1.0-hybrid</t>
  </si>
  <si>
    <t>gene06600-v1.0-hybrid</t>
  </si>
  <si>
    <t>gene06900-v1.0-hybrid</t>
  </si>
  <si>
    <t>gene07500-v1.0-hybrid</t>
  </si>
  <si>
    <t>gene07801-v1.0-hybrid</t>
  </si>
  <si>
    <t>gene08101-v1.0-hybrid</t>
  </si>
  <si>
    <t>gene08401-v1.0-hybrid</t>
  </si>
  <si>
    <t>gene08701-v1.0-hybrid</t>
  </si>
  <si>
    <t>gene09001-v1.0-hybrid</t>
  </si>
  <si>
    <t>gene09301-v1.0-hybrid</t>
  </si>
  <si>
    <t>gene09601-v1.0-hybrid</t>
  </si>
  <si>
    <t>gene10503-v1.0-hybrid</t>
  </si>
  <si>
    <t>gene11103-v1.0-hybrid</t>
  </si>
  <si>
    <t>gene11704-v1.0-hybrid</t>
  </si>
  <si>
    <t>gene12604-v1.0-hybrid</t>
  </si>
  <si>
    <t>gene12904-v1.0-hybrid</t>
  </si>
  <si>
    <t>gene13205-v1.0-hybrid</t>
  </si>
  <si>
    <t>gene13505-v1.0-hybrid</t>
  </si>
  <si>
    <t>gene13805-v1.0-hybrid</t>
  </si>
  <si>
    <t>gene14407-v1.0-hybrid</t>
  </si>
  <si>
    <t>gene14709-v1.0-hybrid</t>
  </si>
  <si>
    <t>gene15010-v1.0-hybrid</t>
  </si>
  <si>
    <t>gene15311-v1.0-hybrid</t>
  </si>
  <si>
    <t>gene15612-v1.0-hybrid</t>
  </si>
  <si>
    <t>gene15913-v1.0-hybrid</t>
  </si>
  <si>
    <t>gene16514-v1.0-hybrid</t>
  </si>
  <si>
    <t>gene16814-v1.0-hybrid</t>
  </si>
  <si>
    <t>gene17116-v1.0-hybrid</t>
  </si>
  <si>
    <t>gene17416-v1.0-hybrid</t>
  </si>
  <si>
    <t>gene18016-v1.0-hybrid</t>
  </si>
  <si>
    <t>gene18616-v1.0-hybrid</t>
  </si>
  <si>
    <t>gene18916-v1.0-hybrid</t>
  </si>
  <si>
    <t>gene19216-v1.0-hybrid</t>
  </si>
  <si>
    <t>gene19516-v1.0-hybrid</t>
  </si>
  <si>
    <t>gene19816-v1.0-hybrid</t>
  </si>
  <si>
    <t>gene20116-v1.0-hybrid</t>
  </si>
  <si>
    <t>gene21017-v1.0-hybrid</t>
  </si>
  <si>
    <t>gene21918-v1.0-hybrid</t>
  </si>
  <si>
    <t>gene22219-v1.0-hybrid</t>
  </si>
  <si>
    <t>gene22519-v1.0-hybrid</t>
  </si>
  <si>
    <t>gene22820-v1.0-hybrid</t>
  </si>
  <si>
    <t>gene23120-v1.0-hybrid</t>
  </si>
  <si>
    <t>gene23722-v1.0-hybrid</t>
  </si>
  <si>
    <t>gene24022-v1.0-hybrid</t>
  </si>
  <si>
    <t>gene24324-v1.0-hybrid</t>
  </si>
  <si>
    <t>gene24927-v1.0-hybrid</t>
  </si>
  <si>
    <t>gene25527-v1.0-hybrid</t>
  </si>
  <si>
    <t>gene25827-v1.0-hybrid</t>
  </si>
  <si>
    <t>gene26127-v1.0-hybrid</t>
  </si>
  <si>
    <t>gene26727-v1.0-hybrid</t>
  </si>
  <si>
    <t>gene27328-v1.0-hybrid</t>
  </si>
  <si>
    <t>gene28228-v1.0-hybrid</t>
  </si>
  <si>
    <t>gene28528-v1.0-hybrid</t>
  </si>
  <si>
    <t>gene28828-v1.0-hybrid</t>
  </si>
  <si>
    <t>gene29128-v1.0-hybrid</t>
  </si>
  <si>
    <t>gene29428-v1.0-hybrid</t>
  </si>
  <si>
    <t>gene29729-v1.0-hybrid</t>
  </si>
  <si>
    <t>gene30030-v1.0-hybrid</t>
  </si>
  <si>
    <t>gene30330-v1.0-hybrid</t>
  </si>
  <si>
    <t>gene30630-v1.0-hybrid</t>
  </si>
  <si>
    <t>gene31230-v1.0-hybrid</t>
  </si>
  <si>
    <t>gene31830-v1.0-hybrid</t>
  </si>
  <si>
    <t>gene32130-v1.0-hybrid</t>
  </si>
  <si>
    <t>gene33122-v1.0-hybrid</t>
  </si>
  <si>
    <t>gene33532-v1.0-hybrid</t>
  </si>
  <si>
    <t>gene34195-v1.0-hybrid</t>
  </si>
  <si>
    <t>gene34795-v1.0-hybrid</t>
  </si>
  <si>
    <t>gene00207-v1.0-hybrid</t>
  </si>
  <si>
    <t>gene00811-v1.0-hybrid</t>
  </si>
  <si>
    <t>gene01111-v1.0-hybrid</t>
  </si>
  <si>
    <t>gene01712-v1.0-hybrid</t>
  </si>
  <si>
    <t>gene02312-v1.0-hybrid</t>
  </si>
  <si>
    <t>gene02612-v1.0-hybrid</t>
  </si>
  <si>
    <t>gene03000-v1.0-hybrid</t>
  </si>
  <si>
    <t>gene03300-v1.0-hybrid</t>
  </si>
  <si>
    <t>gene03600-v1.0-hybrid</t>
  </si>
  <si>
    <t>gene03900-v1.0-hybrid</t>
  </si>
  <si>
    <t>gene04200-v1.0-hybrid</t>
  </si>
  <si>
    <t>gene04500-v1.0-hybrid</t>
  </si>
  <si>
    <t>gene04800-v1.0-hybrid</t>
  </si>
  <si>
    <t>gene05100-v1.0-hybrid</t>
  </si>
  <si>
    <t>gene05701-v1.0-hybrid</t>
  </si>
  <si>
    <t>gene06301-v1.0-hybrid</t>
  </si>
  <si>
    <t>gene06601-v1.0-hybrid</t>
  </si>
  <si>
    <t>gene06901-v1.0-hybrid</t>
  </si>
  <si>
    <t>gene07201-v1.0-hybrid</t>
  </si>
  <si>
    <t>gene07501-v1.0-hybrid</t>
  </si>
  <si>
    <t>gene08102-v1.0-hybrid</t>
  </si>
  <si>
    <t>gene08402-v1.0-hybrid</t>
  </si>
  <si>
    <t>gene08702-v1.0-hybrid</t>
  </si>
  <si>
    <t>gene09002-v1.0-hybrid</t>
  </si>
  <si>
    <t>gene09302-v1.0-hybrid</t>
  </si>
  <si>
    <t>gene09903-v1.0-hybrid</t>
  </si>
  <si>
    <t>gene10203-v1.0-hybrid</t>
  </si>
  <si>
    <t>gene10804-v1.0-hybrid</t>
  </si>
  <si>
    <t>gene11104-v1.0-hybrid</t>
  </si>
  <si>
    <t>gene11405-v1.0-hybrid</t>
  </si>
  <si>
    <t>gene12305-v1.0-hybrid</t>
  </si>
  <si>
    <t>gene12905-v1.0-hybrid</t>
  </si>
  <si>
    <t>gene13206-v1.0-hybrid</t>
  </si>
  <si>
    <t>gene13506-v1.0-hybrid</t>
  </si>
  <si>
    <t>gene13806-v1.0-hybrid</t>
  </si>
  <si>
    <t>gene14408-v1.0-hybrid</t>
  </si>
  <si>
    <t>gene14710-v1.0-hybrid</t>
  </si>
  <si>
    <t>gene15011-v1.0-hybrid</t>
  </si>
  <si>
    <t>gene15312-v1.0-hybrid</t>
  </si>
  <si>
    <t>gene15613-v1.0-hybrid</t>
  </si>
  <si>
    <t>gene15914-v1.0-hybrid</t>
  </si>
  <si>
    <t>gene16215-v1.0-hybrid</t>
  </si>
  <si>
    <t>gene16515-v1.0-hybrid</t>
  </si>
  <si>
    <t>gene16815-v1.0-hybrid</t>
  </si>
  <si>
    <t>gene17117-v1.0-hybrid</t>
  </si>
  <si>
    <t>gene17417-v1.0-hybrid</t>
  </si>
  <si>
    <t>gene18017-v1.0-hybrid</t>
  </si>
  <si>
    <t>gene18617-v1.0-hybrid</t>
  </si>
  <si>
    <t>gene18917-v1.0-hybrid</t>
  </si>
  <si>
    <t>gene19217-v1.0-hybrid</t>
  </si>
  <si>
    <t>gene19517-v1.0-hybrid</t>
  </si>
  <si>
    <t>gene19817-v1.0-hybrid</t>
  </si>
  <si>
    <t>gene20117-v1.0-hybrid</t>
  </si>
  <si>
    <t>gene21018-v1.0-hybrid</t>
  </si>
  <si>
    <t>gene21318-v1.0-hybrid</t>
  </si>
  <si>
    <t>gene21619-v1.0-hybrid</t>
  </si>
  <si>
    <t>gene23121-v1.0-hybrid</t>
  </si>
  <si>
    <t>gene23423-v1.0-hybrid</t>
  </si>
  <si>
    <t>gene23723-v1.0-hybrid</t>
  </si>
  <si>
    <t>gene24023-v1.0-hybrid</t>
  </si>
  <si>
    <t>gene24325-v1.0-hybrid</t>
  </si>
  <si>
    <t>gene24626-v1.0-hybrid</t>
  </si>
  <si>
    <t>gene24928-v1.0-hybrid</t>
  </si>
  <si>
    <t>gene25228-v1.0-hybrid</t>
  </si>
  <si>
    <t>gene25528-v1.0-hybrid</t>
  </si>
  <si>
    <t>gene25828-v1.0-hybrid</t>
  </si>
  <si>
    <t>gene26428-v1.0-hybrid</t>
  </si>
  <si>
    <t>gene26728-v1.0-hybrid</t>
  </si>
  <si>
    <t>gene27329-v1.0-hybrid</t>
  </si>
  <si>
    <t>gene27629-v1.0-hybrid</t>
  </si>
  <si>
    <t>gene28229-v1.0-hybrid</t>
  </si>
  <si>
    <t>gene28529-v1.0-hybrid</t>
  </si>
  <si>
    <t>gene29129-v1.0-hybrid</t>
  </si>
  <si>
    <t>gene29429-v1.0-hybrid</t>
  </si>
  <si>
    <t>gene29730-v1.0-hybrid</t>
  </si>
  <si>
    <t>gene30031-v1.0-hybrid</t>
  </si>
  <si>
    <t>gene30331-v1.0-hybrid</t>
  </si>
  <si>
    <t>gene30631-v1.0-hybrid</t>
  </si>
  <si>
    <t>gene30931-v1.0-hybrid</t>
  </si>
  <si>
    <t>gene31231-v1.0-hybrid</t>
  </si>
  <si>
    <t>gene31531-v1.0-hybrid</t>
  </si>
  <si>
    <t>gene32131-v1.0-hybrid</t>
  </si>
  <si>
    <t>gene32431-v1.0-hybrid</t>
  </si>
  <si>
    <t>gene33123-v1.0-hybrid</t>
  </si>
  <si>
    <t>gene34196-v1.0-hybrid</t>
  </si>
  <si>
    <t>gene34496-v1.0-hybrid</t>
  </si>
  <si>
    <t>gene00208-v1.0-hybrid</t>
  </si>
  <si>
    <t>gene00812-v1.0-hybrid</t>
  </si>
  <si>
    <t>gene01413-v1.0-hybrid</t>
  </si>
  <si>
    <t>gene01713-v1.0-hybrid</t>
  </si>
  <si>
    <t>gene02013-v1.0-hybrid</t>
  </si>
  <si>
    <t>gene02313-v1.0-hybrid</t>
  </si>
  <si>
    <t>gene02613-v1.0-hybrid</t>
  </si>
  <si>
    <t>gene03001-v1.0-hybrid</t>
  </si>
  <si>
    <t>gene03301-v1.0-hybrid</t>
  </si>
  <si>
    <t>gene03901-v1.0-hybrid</t>
  </si>
  <si>
    <t>gene04201-v1.0-hybrid</t>
  </si>
  <si>
    <t>gene04501-v1.0-hybrid</t>
  </si>
  <si>
    <t>gene04801-v1.0-hybrid</t>
  </si>
  <si>
    <t>gene05101-v1.0-hybrid</t>
  </si>
  <si>
    <t>gene05402-v1.0-hybrid</t>
  </si>
  <si>
    <t>gene05702-v1.0-hybrid</t>
  </si>
  <si>
    <t>gene06302-v1.0-hybrid</t>
  </si>
  <si>
    <t>gene06602-v1.0-hybrid</t>
  </si>
  <si>
    <t>gene06902-v1.0-hybrid</t>
  </si>
  <si>
    <t>gene07502-v1.0-hybrid</t>
  </si>
  <si>
    <t>gene07803-v1.0-hybrid</t>
  </si>
  <si>
    <t>gene08403-v1.0-hybrid</t>
  </si>
  <si>
    <t>gene08703-v1.0-hybrid</t>
  </si>
  <si>
    <t>gene09003-v1.0-hybrid</t>
  </si>
  <si>
    <t>gene09303-v1.0-hybrid</t>
  </si>
  <si>
    <t>gene09603-v1.0-hybrid</t>
  </si>
  <si>
    <t>gene09904-v1.0-hybrid</t>
  </si>
  <si>
    <t>gene10505-v1.0-hybrid</t>
  </si>
  <si>
    <t>gene11406-v1.0-hybrid</t>
  </si>
  <si>
    <t>gene11706-v1.0-hybrid</t>
  </si>
  <si>
    <t>gene12006-v1.0-hybrid</t>
  </si>
  <si>
    <t>gene12306-v1.0-hybrid</t>
  </si>
  <si>
    <t>gene12906-v1.0-hybrid</t>
  </si>
  <si>
    <t>gene13207-v1.0-hybrid</t>
  </si>
  <si>
    <t>gene13507-v1.0-hybrid</t>
  </si>
  <si>
    <t>gene14108-v1.0-hybrid</t>
  </si>
  <si>
    <t>gene14409-v1.0-hybrid</t>
  </si>
  <si>
    <t>gene14711-v1.0-hybrid</t>
  </si>
  <si>
    <t>gene15012-v1.0-hybrid</t>
  </si>
  <si>
    <t>gene15614-v1.0-hybrid</t>
  </si>
  <si>
    <t>gene15915-v1.0-hybrid</t>
  </si>
  <si>
    <t>gene16216-v1.0-hybrid</t>
  </si>
  <si>
    <t>gene16516-v1.0-hybrid</t>
  </si>
  <si>
    <t>gene16816-v1.0-hybrid</t>
  </si>
  <si>
    <t>gene17118-v1.0-hybrid</t>
  </si>
  <si>
    <t>gene17418-v1.0-hybrid</t>
  </si>
  <si>
    <t>gene17718-v1.0-hybrid</t>
  </si>
  <si>
    <t>gene18018-v1.0-hybrid</t>
  </si>
  <si>
    <t>gene18918-v1.0-hybrid</t>
  </si>
  <si>
    <t>gene19218-v1.0-hybrid</t>
  </si>
  <si>
    <t>gene19518-v1.0-hybrid</t>
  </si>
  <si>
    <t>gene19818-v1.0-hybrid</t>
  </si>
  <si>
    <t>gene20118-v1.0-hybrid</t>
  </si>
  <si>
    <t>gene20419-v1.0-hybrid</t>
  </si>
  <si>
    <t>gene21019-v1.0-hybrid</t>
  </si>
  <si>
    <t>gene21319-v1.0-hybrid</t>
  </si>
  <si>
    <t>gene21620-v1.0-hybrid</t>
  </si>
  <si>
    <t>gene21920-v1.0-hybrid</t>
  </si>
  <si>
    <t>gene22221-v1.0-hybrid</t>
  </si>
  <si>
    <t>gene22822-v1.0-hybrid</t>
  </si>
  <si>
    <t>gene23122-v1.0-hybrid</t>
  </si>
  <si>
    <t>gene23724-v1.0-hybrid</t>
  </si>
  <si>
    <t>gene24024-v1.0-hybrid</t>
  </si>
  <si>
    <t>gene24326-v1.0-hybrid</t>
  </si>
  <si>
    <t>gene25229-v1.0-hybrid</t>
  </si>
  <si>
    <t>gene25529-v1.0-hybrid</t>
  </si>
  <si>
    <t>gene25829-v1.0-hybrid</t>
  </si>
  <si>
    <t>gene26129-v1.0-hybrid</t>
  </si>
  <si>
    <t>gene26429-v1.0-hybrid</t>
  </si>
  <si>
    <t>gene26729-v1.0-hybrid</t>
  </si>
  <si>
    <t>gene27030-v1.0-hybrid</t>
  </si>
  <si>
    <t>gene27330-v1.0-hybrid</t>
  </si>
  <si>
    <t>gene28230-v1.0-hybrid</t>
  </si>
  <si>
    <t>gene28530-v1.0-hybrid</t>
  </si>
  <si>
    <t>gene29130-v1.0-hybrid</t>
  </si>
  <si>
    <t>gene29430-v1.0-hybrid</t>
  </si>
  <si>
    <t>gene30332-v1.0-hybrid</t>
  </si>
  <si>
    <t>gene30632-v1.0-hybrid</t>
  </si>
  <si>
    <t>gene30932-v1.0-hybrid</t>
  </si>
  <si>
    <t>gene31232-v1.0-hybrid</t>
  </si>
  <si>
    <t>gene31532-v1.0-hybrid</t>
  </si>
  <si>
    <t>gene32132-v1.0-hybrid</t>
  </si>
  <si>
    <t>gene32432-v1.0-hybrid</t>
  </si>
  <si>
    <t>gene33897-v1.0-hybrid</t>
  </si>
  <si>
    <t>gene34197-v1.0-hybrid</t>
  </si>
  <si>
    <t>gene34497-v1.0-hybrid</t>
  </si>
  <si>
    <t>gene00209-v1.0-hybrid</t>
  </si>
  <si>
    <t>gene00513-v1.0-hybrid</t>
  </si>
  <si>
    <t>gene00813-v1.0-hybrid</t>
  </si>
  <si>
    <t>gene01113-v1.0-hybrid</t>
  </si>
  <si>
    <t>gene01714-v1.0-hybrid</t>
  </si>
  <si>
    <t>gene02014-v1.0-hybrid</t>
  </si>
  <si>
    <t>gene02314-v1.0-hybrid</t>
  </si>
  <si>
    <t>gene02614-v1.0-hybrid</t>
  </si>
  <si>
    <t>gene03002-v1.0-hybrid</t>
  </si>
  <si>
    <t>gene03602-v1.0-hybrid</t>
  </si>
  <si>
    <t>gene03902-v1.0-hybrid</t>
  </si>
  <si>
    <t>gene04202-v1.0-hybrid</t>
  </si>
  <si>
    <t>gene04502-v1.0-hybrid</t>
  </si>
  <si>
    <t>gene04802-v1.0-hybrid</t>
  </si>
  <si>
    <t>gene05102-v1.0-hybrid</t>
  </si>
  <si>
    <t>gene05403-v1.0-hybrid</t>
  </si>
  <si>
    <t>gene06303-v1.0-hybrid</t>
  </si>
  <si>
    <t>gene06603-v1.0-hybrid</t>
  </si>
  <si>
    <t>gene06903-v1.0-hybrid</t>
  </si>
  <si>
    <t>gene07503-v1.0-hybrid</t>
  </si>
  <si>
    <t>gene07804-v1.0-hybrid</t>
  </si>
  <si>
    <t>gene08104-v1.0-hybrid</t>
  </si>
  <si>
    <t>gene08704-v1.0-hybrid</t>
  </si>
  <si>
    <t>gene09004-v1.0-hybrid</t>
  </si>
  <si>
    <t>gene09304-v1.0-hybrid</t>
  </si>
  <si>
    <t>gene09905-v1.0-hybrid</t>
  </si>
  <si>
    <t>gene10205-v1.0-hybrid</t>
  </si>
  <si>
    <t>gene10806-v1.0-hybrid</t>
  </si>
  <si>
    <t>gene11106-v1.0-hybrid</t>
  </si>
  <si>
    <t>gene11407-v1.0-hybrid</t>
  </si>
  <si>
    <t>gene11707-v1.0-hybrid</t>
  </si>
  <si>
    <t>gene12307-v1.0-hybrid</t>
  </si>
  <si>
    <t>gene12607-v1.0-hybrid</t>
  </si>
  <si>
    <t>gene12907-v1.0-hybrid</t>
  </si>
  <si>
    <t>gene13208-v1.0-hybrid</t>
  </si>
  <si>
    <t>gene13508-v1.0-hybrid</t>
  </si>
  <si>
    <t>gene14109-v1.0-hybrid</t>
  </si>
  <si>
    <t>gene14410-v1.0-hybrid</t>
  </si>
  <si>
    <t>gene14712-v1.0-hybrid</t>
  </si>
  <si>
    <t>gene15013-v1.0-hybrid</t>
  </si>
  <si>
    <t>gene15314-v1.0-hybrid</t>
  </si>
  <si>
    <t>gene15615-v1.0-hybrid</t>
  </si>
  <si>
    <t>gene15916-v1.0-hybrid</t>
  </si>
  <si>
    <t>gene16217-v1.0-hybrid</t>
  </si>
  <si>
    <t>gene16517-v1.0-hybrid</t>
  </si>
  <si>
    <t>gene16817-v1.0-hybrid</t>
  </si>
  <si>
    <t>gene17119-v1.0-hybrid</t>
  </si>
  <si>
    <t>gene17419-v1.0-hybrid</t>
  </si>
  <si>
    <t>gene17719-v1.0-hybrid</t>
  </si>
  <si>
    <t>gene18319-v1.0-hybrid</t>
  </si>
  <si>
    <t>gene18919-v1.0-hybrid</t>
  </si>
  <si>
    <t>gene19219-v1.0-hybrid</t>
  </si>
  <si>
    <t>gene19519-v1.0-hybrid</t>
  </si>
  <si>
    <t>gene19819-v1.0-hybrid</t>
  </si>
  <si>
    <t>gene21020-v1.0-hybrid</t>
  </si>
  <si>
    <t>gene21320-v1.0-hybrid</t>
  </si>
  <si>
    <t>gene21621-v1.0-hybrid</t>
  </si>
  <si>
    <t>gene21921-v1.0-hybrid</t>
  </si>
  <si>
    <t>gene22222-v1.0-hybrid</t>
  </si>
  <si>
    <t>gene22522-v1.0-hybrid</t>
  </si>
  <si>
    <t>gene23425-v1.0-hybrid</t>
  </si>
  <si>
    <t>gene23725-v1.0-hybrid</t>
  </si>
  <si>
    <t>gene24025-v1.0-hybrid</t>
  </si>
  <si>
    <t>gene24327-v1.0-hybrid</t>
  </si>
  <si>
    <t>gene25230-v1.0-hybrid</t>
  </si>
  <si>
    <t>gene25530-v1.0-hybrid</t>
  </si>
  <si>
    <t>gene26130-v1.0-hybrid</t>
  </si>
  <si>
    <t>gene26730-v1.0-hybrid</t>
  </si>
  <si>
    <t>gene27331-v1.0-hybrid</t>
  </si>
  <si>
    <t>gene28231-v1.0-hybrid</t>
  </si>
  <si>
    <t>gene28531-v1.0-hybrid</t>
  </si>
  <si>
    <t>gene29131-v1.0-hybrid</t>
  </si>
  <si>
    <t>gene29431-v1.0-hybrid</t>
  </si>
  <si>
    <t>gene29732-v1.0-hybrid</t>
  </si>
  <si>
    <t>gene30033-v1.0-hybrid</t>
  </si>
  <si>
    <t>gene30333-v1.0-hybrid</t>
  </si>
  <si>
    <t>gene30633-v1.0-hybrid</t>
  </si>
  <si>
    <t>gene31233-v1.0-hybrid</t>
  </si>
  <si>
    <t>gene31533-v1.0-hybrid</t>
  </si>
  <si>
    <t>gene31833-v1.0-hybrid</t>
  </si>
  <si>
    <t>gene32433-v1.0-hybrid</t>
  </si>
  <si>
    <t>gene33898-v1.0-hybrid</t>
  </si>
  <si>
    <t>gene34198-v1.0-hybrid</t>
  </si>
  <si>
    <t>gene34798-v1.0-hybrid</t>
  </si>
  <si>
    <t>gene35098-v1.0-hybrid</t>
  </si>
  <si>
    <t>gene00210-v1.0-hybrid</t>
  </si>
  <si>
    <t>gene00514-v1.0-hybrid</t>
  </si>
  <si>
    <t>gene01114-v1.0-hybrid</t>
  </si>
  <si>
    <t>gene01415-v1.0-hybrid</t>
  </si>
  <si>
    <t>gene01715-v1.0-hybrid</t>
  </si>
  <si>
    <t>gene02015-v1.0-hybrid</t>
  </si>
  <si>
    <t>gene02315-v1.0-hybrid</t>
  </si>
  <si>
    <t>gene02615-v1.0-hybrid</t>
  </si>
  <si>
    <t>gene03003-v1.0-hybrid</t>
  </si>
  <si>
    <t>gene03303-v1.0-hybrid</t>
  </si>
  <si>
    <t>gene03603-v1.0-hybrid</t>
  </si>
  <si>
    <t>gene03903-v1.0-hybrid</t>
  </si>
  <si>
    <t>gene04203-v1.0-hybrid</t>
  </si>
  <si>
    <t>gene04503-v1.0-hybrid</t>
  </si>
  <si>
    <t>gene05103-v1.0-hybrid</t>
  </si>
  <si>
    <t>gene05404-v1.0-hybrid</t>
  </si>
  <si>
    <t>gene06004-v1.0-hybrid</t>
  </si>
  <si>
    <t>gene06304-v1.0-hybrid</t>
  </si>
  <si>
    <t>gene06604-v1.0-hybrid</t>
  </si>
  <si>
    <t>gene06904-v1.0-hybrid</t>
  </si>
  <si>
    <t>gene07204-v1.0-hybrid</t>
  </si>
  <si>
    <t>gene07504-v1.0-hybrid</t>
  </si>
  <si>
    <t>gene07805-v1.0-hybrid</t>
  </si>
  <si>
    <t>gene08105-v1.0-hybrid</t>
  </si>
  <si>
    <t>gene08405-v1.0-hybrid</t>
  </si>
  <si>
    <t>gene09005-v1.0-hybrid</t>
  </si>
  <si>
    <t>gene09305-v1.0-hybrid</t>
  </si>
  <si>
    <t>gene09906-v1.0-hybrid</t>
  </si>
  <si>
    <t>gene11107-v1.0-hybrid</t>
  </si>
  <si>
    <t>gene11408-v1.0-hybrid</t>
  </si>
  <si>
    <t>gene11708-v1.0-hybrid</t>
  </si>
  <si>
    <t>gene12008-v1.0-hybrid</t>
  </si>
  <si>
    <t>gene12308-v1.0-hybrid</t>
  </si>
  <si>
    <t>gene12908-v1.0-hybrid</t>
  </si>
  <si>
    <t>gene13509-v1.0-hybrid</t>
  </si>
  <si>
    <t>gene13809-v1.0-hybrid</t>
  </si>
  <si>
    <t>gene14411-v1.0-hybrid</t>
  </si>
  <si>
    <t>gene15014-v1.0-hybrid</t>
  </si>
  <si>
    <t>gene15315-v1.0-hybrid</t>
  </si>
  <si>
    <t>gene15616-v1.0-hybrid</t>
  </si>
  <si>
    <t>gene16218-v1.0-hybrid</t>
  </si>
  <si>
    <t>gene16518-v1.0-hybrid</t>
  </si>
  <si>
    <t>gene16818-v1.0-hybrid</t>
  </si>
  <si>
    <t>gene17120-v1.0-hybrid</t>
  </si>
  <si>
    <t>gene17420-v1.0-hybrid</t>
  </si>
  <si>
    <t>gene17720-v1.0-hybrid</t>
  </si>
  <si>
    <t>gene18020-v1.0-hybrid</t>
  </si>
  <si>
    <t>gene18320-v1.0-hybrid</t>
  </si>
  <si>
    <t>gene18620-v1.0-hybrid</t>
  </si>
  <si>
    <t>gene18920-v1.0-hybrid</t>
  </si>
  <si>
    <t>gene19220-v1.0-hybrid</t>
  </si>
  <si>
    <t>gene19820-v1.0-hybrid</t>
  </si>
  <si>
    <t>gene20120-v1.0-hybrid</t>
  </si>
  <si>
    <t>gene20421-v1.0-hybrid</t>
  </si>
  <si>
    <t>gene20721-v1.0-hybrid</t>
  </si>
  <si>
    <t>gene21021-v1.0-hybrid</t>
  </si>
  <si>
    <t>gene21321-v1.0-hybrid</t>
  </si>
  <si>
    <t>gene21622-v1.0-hybrid</t>
  </si>
  <si>
    <t>gene21922-v1.0-hybrid</t>
  </si>
  <si>
    <t>gene22223-v1.0-hybrid</t>
  </si>
  <si>
    <t>gene23124-v1.0-hybrid</t>
  </si>
  <si>
    <t>gene23426-v1.0-hybrid</t>
  </si>
  <si>
    <t>gene23726-v1.0-hybrid</t>
  </si>
  <si>
    <t>gene24026-v1.0-hybrid</t>
  </si>
  <si>
    <t>gene24328-v1.0-hybrid</t>
  </si>
  <si>
    <t>gene24931-v1.0-hybrid</t>
  </si>
  <si>
    <t>gene25231-v1.0-hybrid</t>
  </si>
  <si>
    <t>gene25531-v1.0-hybrid</t>
  </si>
  <si>
    <t>gene25831-v1.0-hybrid</t>
  </si>
  <si>
    <t>gene26731-v1.0-hybrid</t>
  </si>
  <si>
    <t>gene27032-v1.0-hybrid</t>
  </si>
  <si>
    <t>gene27332-v1.0-hybrid</t>
  </si>
  <si>
    <t>gene27632-v1.0-hybrid</t>
  </si>
  <si>
    <t>gene28532-v1.0-hybrid</t>
  </si>
  <si>
    <t>gene28832-v1.0-hybrid</t>
  </si>
  <si>
    <t>gene29132-v1.0-hybrid</t>
  </si>
  <si>
    <t>gene29432-v1.0-hybrid</t>
  </si>
  <si>
    <t>gene29733-v1.0-hybrid</t>
  </si>
  <si>
    <t>gene30634-v1.0-hybrid</t>
  </si>
  <si>
    <t>gene30934-v1.0-hybrid</t>
  </si>
  <si>
    <t>gene31234-v1.0-hybrid</t>
  </si>
  <si>
    <t>gene32434-v1.0-hybrid</t>
  </si>
  <si>
    <t>gene33126-v1.0-hybrid</t>
  </si>
  <si>
    <t>gene33899-v1.0-hybrid</t>
  </si>
  <si>
    <t>gene34199-v1.0-hybrid</t>
  </si>
  <si>
    <t>gene34799-v1.0-hybrid</t>
  </si>
  <si>
    <t>gene35099-v1.0-hybrid</t>
  </si>
  <si>
    <t>gene00211-v1.0-hybrid</t>
  </si>
  <si>
    <t>gene00515-v1.0-hybrid</t>
  </si>
  <si>
    <t>gene00815-v1.0-hybrid</t>
  </si>
  <si>
    <t>gene01115-v1.0-hybrid</t>
  </si>
  <si>
    <t>gene01416-v1.0-hybrid</t>
  </si>
  <si>
    <t>gene01716-v1.0-hybrid</t>
  </si>
  <si>
    <t>gene02016-v1.0-hybrid</t>
  </si>
  <si>
    <t>gene02316-v1.0-hybrid</t>
  </si>
  <si>
    <t>gene03004-v1.0-hybrid</t>
  </si>
  <si>
    <t>gene03304-v1.0-hybrid</t>
  </si>
  <si>
    <t>gene03604-v1.0-hybrid</t>
  </si>
  <si>
    <t>gene03904-v1.0-hybrid</t>
  </si>
  <si>
    <t>gene04204-v1.0-hybrid</t>
  </si>
  <si>
    <t>gene04504-v1.0-hybrid</t>
  </si>
  <si>
    <t>gene05104-v1.0-hybrid</t>
  </si>
  <si>
    <t>gene05405-v1.0-hybrid</t>
  </si>
  <si>
    <t>gene05705-v1.0-hybrid</t>
  </si>
  <si>
    <t>gene06005-v1.0-hybrid</t>
  </si>
  <si>
    <t>gene06305-v1.0-hybrid</t>
  </si>
  <si>
    <t>gene06605-v1.0-hybrid</t>
  </si>
  <si>
    <t>gene06905-v1.0-hybrid</t>
  </si>
  <si>
    <t>gene07205-v1.0-hybrid</t>
  </si>
  <si>
    <t>gene07505-v1.0-hybrid</t>
  </si>
  <si>
    <t>gene07806-v1.0-hybrid</t>
  </si>
  <si>
    <t>gene08106-v1.0-hybrid</t>
  </si>
  <si>
    <t>gene08706-v1.0-hybrid</t>
  </si>
  <si>
    <t>gene09006-v1.0-hybrid</t>
  </si>
  <si>
    <t>gene09606-v1.0-hybrid</t>
  </si>
  <si>
    <t>gene09907-v1.0-hybrid</t>
  </si>
  <si>
    <t>gene10207-v1.0-hybrid</t>
  </si>
  <si>
    <t>gene10508-v1.0-hybrid</t>
  </si>
  <si>
    <t>gene10808-v1.0-hybrid</t>
  </si>
  <si>
    <t>gene11108-v1.0-hybrid</t>
  </si>
  <si>
    <t>gene11409-v1.0-hybrid</t>
  </si>
  <si>
    <t>gene11709-v1.0-hybrid</t>
  </si>
  <si>
    <t>gene12609-v1.0-hybrid</t>
  </si>
  <si>
    <t>gene12909-v1.0-hybrid</t>
  </si>
  <si>
    <t>gene13210-v1.0-hybrid</t>
  </si>
  <si>
    <t>gene13510-v1.0-hybrid</t>
  </si>
  <si>
    <t>gene13810-v1.0-hybrid</t>
  </si>
  <si>
    <t>gene14412-v1.0-hybrid</t>
  </si>
  <si>
    <t>gene15015-v1.0-hybrid</t>
  </si>
  <si>
    <t>gene15316-v1.0-hybrid</t>
  </si>
  <si>
    <t>gene15617-v1.0-hybrid</t>
  </si>
  <si>
    <t>gene15918-v1.0-hybrid</t>
  </si>
  <si>
    <t>gene16219-v1.0-hybrid</t>
  </si>
  <si>
    <t>gene16519-v1.0-hybrid</t>
  </si>
  <si>
    <t>gene16819-v1.0-hybrid</t>
  </si>
  <si>
    <t>gene17121-v1.0-hybrid</t>
  </si>
  <si>
    <t>gene17421-v1.0-hybrid</t>
  </si>
  <si>
    <t>gene17721-v1.0-hybrid</t>
  </si>
  <si>
    <t>gene18021-v1.0-hybrid</t>
  </si>
  <si>
    <t>gene18921-v1.0-hybrid</t>
  </si>
  <si>
    <t>gene19221-v1.0-hybrid</t>
  </si>
  <si>
    <t>gene19521-v1.0-hybrid</t>
  </si>
  <si>
    <t>gene19821-v1.0-hybrid</t>
  </si>
  <si>
    <t>gene20121-v1.0-hybrid</t>
  </si>
  <si>
    <t>gene20422-v1.0-hybrid</t>
  </si>
  <si>
    <t>gene21022-v1.0-hybrid</t>
  </si>
  <si>
    <t>gene21322-v1.0-hybrid</t>
  </si>
  <si>
    <t>gene21623-v1.0-hybrid</t>
  </si>
  <si>
    <t>gene21923-v1.0-hybrid</t>
  </si>
  <si>
    <t>gene22825-v1.0-hybrid</t>
  </si>
  <si>
    <t>gene23125-v1.0-hybrid</t>
  </si>
  <si>
    <t>gene23427-v1.0-hybrid</t>
  </si>
  <si>
    <t>gene23727-v1.0-hybrid</t>
  </si>
  <si>
    <t>gene24027-v1.0-hybrid</t>
  </si>
  <si>
    <t>gene24329-v1.0-hybrid</t>
  </si>
  <si>
    <t>gene24630-v1.0-hybrid</t>
  </si>
  <si>
    <t>gene24932-v1.0-hybrid</t>
  </si>
  <si>
    <t>gene25832-v1.0-hybrid</t>
  </si>
  <si>
    <t>gene26132-v1.0-hybrid</t>
  </si>
  <si>
    <t>gene26432-v1.0-hybrid</t>
  </si>
  <si>
    <t>gene26732-v1.0-hybrid</t>
  </si>
  <si>
    <t>gene27033-v1.0-hybrid</t>
  </si>
  <si>
    <t>gene27333-v1.0-hybrid</t>
  </si>
  <si>
    <t>gene27633-v1.0-hybrid</t>
  </si>
  <si>
    <t>gene27933-v1.0-hybrid</t>
  </si>
  <si>
    <t>gene28233-v1.0-hybrid</t>
  </si>
  <si>
    <t>gene28833-v1.0-hybrid</t>
  </si>
  <si>
    <t>gene29433-v1.0-hybrid</t>
  </si>
  <si>
    <t>gene29734-v1.0-hybrid</t>
  </si>
  <si>
    <t>gene30035-v1.0-hybrid</t>
  </si>
  <si>
    <t>gene30335-v1.0-hybrid</t>
  </si>
  <si>
    <t>gene30635-v1.0-hybrid</t>
  </si>
  <si>
    <t>gene31235-v1.0-hybrid</t>
  </si>
  <si>
    <t>gene31535-v1.0-hybrid</t>
  </si>
  <si>
    <t>gene31835-v1.0-hybrid</t>
  </si>
  <si>
    <t>gene32135-v1.0-hybrid</t>
  </si>
  <si>
    <t>gene32435-v1.0-hybrid</t>
  </si>
  <si>
    <t>gene33900-v1.0-hybrid</t>
  </si>
  <si>
    <t>gene34800-v1.0-hybrid</t>
  </si>
  <si>
    <t>gene00212-v1.0-hybrid</t>
  </si>
  <si>
    <t>gene00816-v1.0-hybrid</t>
  </si>
  <si>
    <t>gene01116-v1.0-hybrid</t>
  </si>
  <si>
    <t>gene01717-v1.0-hybrid</t>
  </si>
  <si>
    <t>gene02317-v1.0-hybrid</t>
  </si>
  <si>
    <t>gene02617-v1.0-hybrid</t>
  </si>
  <si>
    <t>gene03005-v1.0-hybrid</t>
  </si>
  <si>
    <t>gene03305-v1.0-hybrid</t>
  </si>
  <si>
    <t>gene03605-v1.0-hybrid</t>
  </si>
  <si>
    <t>gene03905-v1.0-hybrid</t>
  </si>
  <si>
    <t>gene04205-v1.0-hybrid</t>
  </si>
  <si>
    <t>gene04505-v1.0-hybrid</t>
  </si>
  <si>
    <t>gene05105-v1.0-hybrid</t>
  </si>
  <si>
    <t>gene05406-v1.0-hybrid</t>
  </si>
  <si>
    <t>gene06306-v1.0-hybrid</t>
  </si>
  <si>
    <t>gene06906-v1.0-hybrid</t>
  </si>
  <si>
    <t>gene07807-v1.0-hybrid</t>
  </si>
  <si>
    <t>gene08107-v1.0-hybrid</t>
  </si>
  <si>
    <t>gene08407-v1.0-hybrid</t>
  </si>
  <si>
    <t>gene08707-v1.0-hybrid</t>
  </si>
  <si>
    <t>gene09007-v1.0-hybrid</t>
  </si>
  <si>
    <t>gene09307-v1.0-hybrid</t>
  </si>
  <si>
    <t>gene09607-v1.0-hybrid</t>
  </si>
  <si>
    <t>gene09908-v1.0-hybrid</t>
  </si>
  <si>
    <t>gene10208-v1.0-hybrid</t>
  </si>
  <si>
    <t>gene10509-v1.0-hybrid</t>
  </si>
  <si>
    <t>gene10809-v1.0-hybrid</t>
  </si>
  <si>
    <t>gene11109-v1.0-hybrid</t>
  </si>
  <si>
    <t>gene11410-v1.0-hybrid</t>
  </si>
  <si>
    <t>gene11710-v1.0-hybrid</t>
  </si>
  <si>
    <t>gene12010-v1.0-hybrid</t>
  </si>
  <si>
    <t>gene12910-v1.0-hybrid</t>
  </si>
  <si>
    <t>gene13211-v1.0-hybrid</t>
  </si>
  <si>
    <t>gene13511-v1.0-hybrid</t>
  </si>
  <si>
    <t>gene13811-v1.0-hybrid</t>
  </si>
  <si>
    <t>gene14112-v1.0-hybrid</t>
  </si>
  <si>
    <t>gene14413-v1.0-hybrid</t>
  </si>
  <si>
    <t>gene14715-v1.0-hybrid</t>
  </si>
  <si>
    <t>gene15016-v1.0-hybrid</t>
  </si>
  <si>
    <t>gene15618-v1.0-hybrid</t>
  </si>
  <si>
    <t>gene16220-v1.0-hybrid</t>
  </si>
  <si>
    <t>gene16520-v1.0-hybrid</t>
  </si>
  <si>
    <t>gene16820-v1.0-hybrid</t>
  </si>
  <si>
    <t>gene17122-v1.0-hybrid</t>
  </si>
  <si>
    <t>gene17422-v1.0-hybrid</t>
  </si>
  <si>
    <t>gene17722-v1.0-hybrid</t>
  </si>
  <si>
    <t>gene18022-v1.0-hybrid</t>
  </si>
  <si>
    <t>gene18622-v1.0-hybrid</t>
  </si>
  <si>
    <t>gene18922-v1.0-hybrid</t>
  </si>
  <si>
    <t>gene19222-v1.0-hybrid</t>
  </si>
  <si>
    <t>gene19522-v1.0-hybrid</t>
  </si>
  <si>
    <t>gene19822-v1.0-hybrid</t>
  </si>
  <si>
    <t>gene20122-v1.0-hybrid</t>
  </si>
  <si>
    <t>gene20723-v1.0-hybrid</t>
  </si>
  <si>
    <t>gene21323-v1.0-hybrid</t>
  </si>
  <si>
    <t>gene21924-v1.0-hybrid</t>
  </si>
  <si>
    <t>gene22225-v1.0-hybrid</t>
  </si>
  <si>
    <t>gene23126-v1.0-hybrid</t>
  </si>
  <si>
    <t>gene23728-v1.0-hybrid</t>
  </si>
  <si>
    <t>gene24330-v1.0-hybrid</t>
  </si>
  <si>
    <t>gene24933-v1.0-hybrid</t>
  </si>
  <si>
    <t>gene25233-v1.0-hybrid</t>
  </si>
  <si>
    <t>gene25833-v1.0-hybrid</t>
  </si>
  <si>
    <t>gene26133-v1.0-hybrid</t>
  </si>
  <si>
    <t>gene26433-v1.0-hybrid</t>
  </si>
  <si>
    <t>gene26733-v1.0-hybrid</t>
  </si>
  <si>
    <t>gene27334-v1.0-hybrid</t>
  </si>
  <si>
    <t>gene28234-v1.0-hybrid</t>
  </si>
  <si>
    <t>gene28534-v1.0-hybrid</t>
  </si>
  <si>
    <t>gene28834-v1.0-hybrid</t>
  </si>
  <si>
    <t>gene29434-v1.0-hybrid</t>
  </si>
  <si>
    <t>gene29735-v1.0-hybrid</t>
  </si>
  <si>
    <t>gene30036-v1.0-hybrid</t>
  </si>
  <si>
    <t>gene30336-v1.0-hybrid</t>
  </si>
  <si>
    <t>gene30636-v1.0-hybrid</t>
  </si>
  <si>
    <t>gene30936-v1.0-hybrid</t>
  </si>
  <si>
    <t>gene31236-v1.0-hybrid</t>
  </si>
  <si>
    <t>gene31536-v1.0-hybrid</t>
  </si>
  <si>
    <t>gene31836-v1.0-hybrid</t>
  </si>
  <si>
    <t>gene32136-v1.0-hybrid</t>
  </si>
  <si>
    <t>gene32436-v1.0-hybrid</t>
  </si>
  <si>
    <t>gene33130-v1.0-hybrid</t>
  </si>
  <si>
    <t>gene33538-v1.0-hybrid</t>
  </si>
  <si>
    <t>gene33901-v1.0-hybrid</t>
  </si>
  <si>
    <t>gene34801-v1.0-hybrid</t>
  </si>
  <si>
    <t>gene00213-v1.0-hybrid</t>
  </si>
  <si>
    <t>gene00517-v1.0-hybrid</t>
  </si>
  <si>
    <t>gene00817-v1.0-hybrid</t>
  </si>
  <si>
    <t>gene01418-v1.0-hybrid</t>
  </si>
  <si>
    <t>gene01718-v1.0-hybrid</t>
  </si>
  <si>
    <t>gene02018-v1.0-hybrid</t>
  </si>
  <si>
    <t>gene02318-v1.0-hybrid</t>
  </si>
  <si>
    <t>gene02618-v1.0-hybrid</t>
  </si>
  <si>
    <t>gene03006-v1.0-hybrid</t>
  </si>
  <si>
    <t>gene03306-v1.0-hybrid</t>
  </si>
  <si>
    <t>gene03606-v1.0-hybrid</t>
  </si>
  <si>
    <t>gene04506-v1.0-hybrid</t>
  </si>
  <si>
    <t>gene04806-v1.0-hybrid</t>
  </si>
  <si>
    <t>gene05106-v1.0-hybrid</t>
  </si>
  <si>
    <t>gene06007-v1.0-hybrid</t>
  </si>
  <si>
    <t>gene06307-v1.0-hybrid</t>
  </si>
  <si>
    <t>gene06907-v1.0-hybrid</t>
  </si>
  <si>
    <t>gene07808-v1.0-hybrid</t>
  </si>
  <si>
    <t>gene08108-v1.0-hybrid</t>
  </si>
  <si>
    <t>gene08408-v1.0-hybrid</t>
  </si>
  <si>
    <t>gene08708-v1.0-hybrid</t>
  </si>
  <si>
    <t>gene09008-v1.0-hybrid</t>
  </si>
  <si>
    <t>gene09308-v1.0-hybrid</t>
  </si>
  <si>
    <t>gene09608-v1.0-hybrid</t>
  </si>
  <si>
    <t>gene09909-v1.0-hybrid</t>
  </si>
  <si>
    <t>gene10209-v1.0-hybrid</t>
  </si>
  <si>
    <t>gene11110-v1.0-hybrid</t>
  </si>
  <si>
    <t>gene11411-v1.0-hybrid</t>
  </si>
  <si>
    <t>gene12011-v1.0-hybrid</t>
  </si>
  <si>
    <t>gene12611-v1.0-hybrid</t>
  </si>
  <si>
    <t>gene13212-v1.0-hybrid</t>
  </si>
  <si>
    <t>gene13812-v1.0-hybrid</t>
  </si>
  <si>
    <t>gene14414-v1.0-hybrid</t>
  </si>
  <si>
    <t>gene14716-v1.0-hybrid</t>
  </si>
  <si>
    <t>gene15017-v1.0-hybrid</t>
  </si>
  <si>
    <t>gene15318-v1.0-hybrid</t>
  </si>
  <si>
    <t>gene15619-v1.0-hybrid</t>
  </si>
  <si>
    <t>gene16221-v1.0-hybrid</t>
  </si>
  <si>
    <t>gene16521-v1.0-hybrid</t>
  </si>
  <si>
    <t>gene17123-v1.0-hybrid</t>
  </si>
  <si>
    <t>gene17423-v1.0-hybrid</t>
  </si>
  <si>
    <t>gene17723-v1.0-hybrid</t>
  </si>
  <si>
    <t>gene18323-v1.0-hybrid</t>
  </si>
  <si>
    <t>gene18623-v1.0-hybrid</t>
  </si>
  <si>
    <t>gene18923-v1.0-hybrid</t>
  </si>
  <si>
    <t>gene19223-v1.0-hybrid</t>
  </si>
  <si>
    <t>gene19523-v1.0-hybrid</t>
  </si>
  <si>
    <t>gene20123-v1.0-hybrid</t>
  </si>
  <si>
    <t>gene20424-v1.0-hybrid</t>
  </si>
  <si>
    <t>gene21024-v1.0-hybrid</t>
  </si>
  <si>
    <t>gene21324-v1.0-hybrid</t>
  </si>
  <si>
    <t>gene22226-v1.0-hybrid</t>
  </si>
  <si>
    <t>gene22827-v1.0-hybrid</t>
  </si>
  <si>
    <t>gene23127-v1.0-hybrid</t>
  </si>
  <si>
    <t>gene23429-v1.0-hybrid</t>
  </si>
  <si>
    <t>gene23729-v1.0-hybrid</t>
  </si>
  <si>
    <t>gene24029-v1.0-hybrid</t>
  </si>
  <si>
    <t>gene24632-v1.0-hybrid</t>
  </si>
  <si>
    <t>gene24934-v1.0-hybrid</t>
  </si>
  <si>
    <t>gene25534-v1.0-hybrid</t>
  </si>
  <si>
    <t>gene25834-v1.0-hybrid</t>
  </si>
  <si>
    <t>gene26434-v1.0-hybrid</t>
  </si>
  <si>
    <t>gene26734-v1.0-hybrid</t>
  </si>
  <si>
    <t>gene27335-v1.0-hybrid</t>
  </si>
  <si>
    <t>gene27935-v1.0-hybrid</t>
  </si>
  <si>
    <t>gene28235-v1.0-hybrid</t>
  </si>
  <si>
    <t>gene28535-v1.0-hybrid</t>
  </si>
  <si>
    <t>gene29135-v1.0-hybrid</t>
  </si>
  <si>
    <t>gene29435-v1.0-hybrid</t>
  </si>
  <si>
    <t>gene29736-v1.0-hybrid</t>
  </si>
  <si>
    <t>gene30037-v1.0-hybrid</t>
  </si>
  <si>
    <t>gene30337-v1.0-hybrid</t>
  </si>
  <si>
    <t>gene30637-v1.0-hybrid</t>
  </si>
  <si>
    <t>gene31237-v1.0-hybrid</t>
  </si>
  <si>
    <t>gene31537-v1.0-hybrid</t>
  </si>
  <si>
    <t>gene31837-v1.0-hybrid</t>
  </si>
  <si>
    <t>gene32137-v1.0-hybrid</t>
  </si>
  <si>
    <t>gene32437-v1.0-hybrid</t>
  </si>
  <si>
    <t>gene33131-v1.0-hybrid</t>
  </si>
  <si>
    <t>gene33902-v1.0-hybrid</t>
  </si>
  <si>
    <t>gene34802-v1.0-hybrid</t>
  </si>
  <si>
    <t>gene35102-v1.0-hybrid</t>
  </si>
  <si>
    <t>gene00518-v1.0-hybrid</t>
  </si>
  <si>
    <t>gene01118-v1.0-hybrid</t>
  </si>
  <si>
    <t>gene01419-v1.0-hybrid</t>
  </si>
  <si>
    <t>gene02019-v1.0-hybrid</t>
  </si>
  <si>
    <t>gene02619-v1.0-hybrid</t>
  </si>
  <si>
    <t>gene03007-v1.0-hybrid</t>
  </si>
  <si>
    <t>gene03607-v1.0-hybrid</t>
  </si>
  <si>
    <t>gene03907-v1.0-hybrid</t>
  </si>
  <si>
    <t>gene04207-v1.0-hybrid</t>
  </si>
  <si>
    <t>gene04507-v1.0-hybrid</t>
  </si>
  <si>
    <t>gene04807-v1.0-hybrid</t>
  </si>
  <si>
    <t>gene05408-v1.0-hybrid</t>
  </si>
  <si>
    <t>gene05708-v1.0-hybrid</t>
  </si>
  <si>
    <t>gene06008-v1.0-hybrid</t>
  </si>
  <si>
    <t>gene06308-v1.0-hybrid</t>
  </si>
  <si>
    <t>gene06608-v1.0-hybrid</t>
  </si>
  <si>
    <t>gene06908-v1.0-hybrid</t>
  </si>
  <si>
    <t>gene07208-v1.0-hybrid</t>
  </si>
  <si>
    <t>gene07508-v1.0-hybrid</t>
  </si>
  <si>
    <t>gene08409-v1.0-hybrid</t>
  </si>
  <si>
    <t>gene08709-v1.0-hybrid</t>
  </si>
  <si>
    <t>gene09009-v1.0-hybrid</t>
  </si>
  <si>
    <t>gene09309-v1.0-hybrid</t>
  </si>
  <si>
    <t>gene09609-v1.0-hybrid</t>
  </si>
  <si>
    <t>gene09910-v1.0-hybrid</t>
  </si>
  <si>
    <t>gene10811-v1.0-hybrid</t>
  </si>
  <si>
    <t>gene11111-v1.0-hybrid</t>
  </si>
  <si>
    <t>gene11412-v1.0-hybrid</t>
  </si>
  <si>
    <t>gene12012-v1.0-hybrid</t>
  </si>
  <si>
    <t>gene12312-v1.0-hybrid</t>
  </si>
  <si>
    <t>gene12612-v1.0-hybrid</t>
  </si>
  <si>
    <t>gene13513-v1.0-hybrid</t>
  </si>
  <si>
    <t>gene13813-v1.0-hybrid</t>
  </si>
  <si>
    <t>gene14114-v1.0-hybrid</t>
  </si>
  <si>
    <t>gene14415-v1.0-hybrid</t>
  </si>
  <si>
    <t>gene15319-v1.0-hybrid</t>
  </si>
  <si>
    <t>gene15921-v1.0-hybrid</t>
  </si>
  <si>
    <t>gene16222-v1.0-hybrid</t>
  </si>
  <si>
    <t>gene16522-v1.0-hybrid</t>
  </si>
  <si>
    <t>gene16822-v1.0-hybrid</t>
  </si>
  <si>
    <t>gene17124-v1.0-hybrid</t>
  </si>
  <si>
    <t>gene17424-v1.0-hybrid</t>
  </si>
  <si>
    <t>gene18024-v1.0-hybrid</t>
  </si>
  <si>
    <t>gene18324-v1.0-hybrid</t>
  </si>
  <si>
    <t>gene18624-v1.0-hybrid</t>
  </si>
  <si>
    <t>gene18924-v1.0-hybrid</t>
  </si>
  <si>
    <t>gene19224-v1.0-hybrid</t>
  </si>
  <si>
    <t>gene19524-v1.0-hybrid</t>
  </si>
  <si>
    <t>gene19824-v1.0-hybrid</t>
  </si>
  <si>
    <t>gene20124-v1.0-hybrid</t>
  </si>
  <si>
    <t>gene20425-v1.0-hybrid</t>
  </si>
  <si>
    <t>gene20725-v1.0-hybrid</t>
  </si>
  <si>
    <t>gene21325-v1.0-hybrid</t>
  </si>
  <si>
    <t>gene21626-v1.0-hybrid</t>
  </si>
  <si>
    <t>gene22527-v1.0-hybrid</t>
  </si>
  <si>
    <t>gene22828-v1.0-hybrid</t>
  </si>
  <si>
    <t>gene23128-v1.0-hybrid</t>
  </si>
  <si>
    <t>gene23430-v1.0-hybrid</t>
  </si>
  <si>
    <t>gene23730-v1.0-hybrid</t>
  </si>
  <si>
    <t>gene24030-v1.0-hybrid</t>
  </si>
  <si>
    <t>gene24332-v1.0-hybrid</t>
  </si>
  <si>
    <t>gene24633-v1.0-hybrid</t>
  </si>
  <si>
    <t>gene24935-v1.0-hybrid</t>
  </si>
  <si>
    <t>gene25835-v1.0-hybrid</t>
  </si>
  <si>
    <t>gene26135-v1.0-hybrid</t>
  </si>
  <si>
    <t>gene26435-v1.0-hybrid</t>
  </si>
  <si>
    <t>gene26735-v1.0-hybrid</t>
  </si>
  <si>
    <t>gene27036-v1.0-hybrid</t>
  </si>
  <si>
    <t>gene27336-v1.0-hybrid</t>
  </si>
  <si>
    <t>gene27636-v1.0-hybrid</t>
  </si>
  <si>
    <t>gene28236-v1.0-hybrid</t>
  </si>
  <si>
    <t>gene28536-v1.0-hybrid</t>
  </si>
  <si>
    <t>gene28836-v1.0-hybrid</t>
  </si>
  <si>
    <t>gene29136-v1.0-hybrid</t>
  </si>
  <si>
    <t>gene29436-v1.0-hybrid</t>
  </si>
  <si>
    <t>gene29737-v1.0-hybrid</t>
  </si>
  <si>
    <t>gene30638-v1.0-hybrid</t>
  </si>
  <si>
    <t>gene30938-v1.0-hybrid</t>
  </si>
  <si>
    <t>gene31238-v1.0-hybrid</t>
  </si>
  <si>
    <t>gene31538-v1.0-hybrid</t>
  </si>
  <si>
    <t>gene31838-v1.0-hybrid</t>
  </si>
  <si>
    <t>gene32138-v1.0-hybrid</t>
  </si>
  <si>
    <t>gene32438-v1.0-hybrid</t>
  </si>
  <si>
    <t>gene33132-v1.0-hybrid</t>
  </si>
  <si>
    <t>gene33903-v1.0-hybrid</t>
  </si>
  <si>
    <t>gene34203-v1.0-hybrid</t>
  </si>
  <si>
    <t>gene34503-v1.0-hybrid</t>
  </si>
  <si>
    <t>gene00215-v1.0-hybrid</t>
  </si>
  <si>
    <t>gene00519-v1.0-hybrid</t>
  </si>
  <si>
    <t>gene00819-v1.0-hybrid</t>
  </si>
  <si>
    <t>gene01119-v1.0-hybrid</t>
  </si>
  <si>
    <t>gene01720-v1.0-hybrid</t>
  </si>
  <si>
    <t>gene02020-v1.0-hybrid</t>
  </si>
  <si>
    <t>gene02320-v1.0-hybrid</t>
  </si>
  <si>
    <t>gene02620-v1.0-hybrid</t>
  </si>
  <si>
    <t>gene03608-v1.0-hybrid</t>
  </si>
  <si>
    <t>gene04808-v1.0-hybrid</t>
  </si>
  <si>
    <t>gene05108-v1.0-hybrid</t>
  </si>
  <si>
    <t>gene05409-v1.0-hybrid</t>
  </si>
  <si>
    <t>gene05709-v1.0-hybrid</t>
  </si>
  <si>
    <t>gene06309-v1.0-hybrid</t>
  </si>
  <si>
    <t>gene06909-v1.0-hybrid</t>
  </si>
  <si>
    <t>gene07209-v1.0-hybrid</t>
  </si>
  <si>
    <t>gene07509-v1.0-hybrid</t>
  </si>
  <si>
    <t>gene07810-v1.0-hybrid</t>
  </si>
  <si>
    <t>gene08410-v1.0-hybrid</t>
  </si>
  <si>
    <t>gene08710-v1.0-hybrid</t>
  </si>
  <si>
    <t>gene09010-v1.0-hybrid</t>
  </si>
  <si>
    <t>gene09610-v1.0-hybrid</t>
  </si>
  <si>
    <t>gene10211-v1.0-hybrid</t>
  </si>
  <si>
    <t>gene10512-v1.0-hybrid</t>
  </si>
  <si>
    <t>gene11112-v1.0-hybrid</t>
  </si>
  <si>
    <t>gene11413-v1.0-hybrid</t>
  </si>
  <si>
    <t>gene12613-v1.0-hybrid</t>
  </si>
  <si>
    <t>gene12913-v1.0-hybrid</t>
  </si>
  <si>
    <t>gene13214-v1.0-hybrid</t>
  </si>
  <si>
    <t>gene13514-v1.0-hybrid</t>
  </si>
  <si>
    <t>gene14115-v1.0-hybrid</t>
  </si>
  <si>
    <t>gene14718-v1.0-hybrid</t>
  </si>
  <si>
    <t>gene15019-v1.0-hybrid</t>
  </si>
  <si>
    <t>gene16223-v1.0-hybrid</t>
  </si>
  <si>
    <t>gene16523-v1.0-hybrid</t>
  </si>
  <si>
    <t>gene16823-v1.0-hybrid</t>
  </si>
  <si>
    <t>gene17125-v1.0-hybrid</t>
  </si>
  <si>
    <t>gene17425-v1.0-hybrid</t>
  </si>
  <si>
    <t>gene18025-v1.0-hybrid</t>
  </si>
  <si>
    <t>gene18325-v1.0-hybrid</t>
  </si>
  <si>
    <t>gene18625-v1.0-hybrid</t>
  </si>
  <si>
    <t>gene19225-v1.0-hybrid</t>
  </si>
  <si>
    <t>gene19525-v1.0-hybrid</t>
  </si>
  <si>
    <t>gene19825-v1.0-hybrid</t>
  </si>
  <si>
    <t>gene20125-v1.0-hybrid</t>
  </si>
  <si>
    <t>gene20426-v1.0-hybrid</t>
  </si>
  <si>
    <t>gene20726-v1.0-hybrid</t>
  </si>
  <si>
    <t>gene21026-v1.0-hybrid</t>
  </si>
  <si>
    <t>gene21326-v1.0-hybrid</t>
  </si>
  <si>
    <t>gene21627-v1.0-hybrid</t>
  </si>
  <si>
    <t>gene21927-v1.0-hybrid</t>
  </si>
  <si>
    <t>gene22528-v1.0-hybrid</t>
  </si>
  <si>
    <t>gene22829-v1.0-hybrid</t>
  </si>
  <si>
    <t>gene23129-v1.0-hybrid</t>
  </si>
  <si>
    <t>gene23431-v1.0-hybrid</t>
  </si>
  <si>
    <t>gene23731-v1.0-hybrid</t>
  </si>
  <si>
    <t>gene24333-v1.0-hybrid</t>
  </si>
  <si>
    <t>gene24936-v1.0-hybrid</t>
  </si>
  <si>
    <t>gene25836-v1.0-hybrid</t>
  </si>
  <si>
    <t>gene26436-v1.0-hybrid</t>
  </si>
  <si>
    <t>gene26736-v1.0-hybrid</t>
  </si>
  <si>
    <t>gene27337-v1.0-hybrid</t>
  </si>
  <si>
    <t>gene27937-v1.0-hybrid</t>
  </si>
  <si>
    <t>gene28537-v1.0-hybrid</t>
  </si>
  <si>
    <t>gene29137-v1.0-hybrid</t>
  </si>
  <si>
    <t>gene29437-v1.0-hybrid</t>
  </si>
  <si>
    <t>gene29738-v1.0-hybrid</t>
  </si>
  <si>
    <t>gene30039-v1.0-hybrid</t>
  </si>
  <si>
    <t>gene30639-v1.0-hybrid</t>
  </si>
  <si>
    <t>gene30939-v1.0-hybrid</t>
  </si>
  <si>
    <t>gene31239-v1.0-hybrid</t>
  </si>
  <si>
    <t>gene31539-v1.0-hybrid</t>
  </si>
  <si>
    <t>gene31839-v1.0-hybrid</t>
  </si>
  <si>
    <t>gene32139-v1.0-hybrid</t>
  </si>
  <si>
    <t>gene32439-v1.0-hybrid</t>
  </si>
  <si>
    <t>gene34204-v1.0-hybrid</t>
  </si>
  <si>
    <t>gene34804-v1.0-hybrid</t>
  </si>
  <si>
    <t>gene00216-v1.0-hybrid</t>
  </si>
  <si>
    <t>gene00520-v1.0-hybrid</t>
  </si>
  <si>
    <t>gene00820-v1.0-hybrid</t>
  </si>
  <si>
    <t>gene01421-v1.0-hybrid</t>
  </si>
  <si>
    <t>gene01721-v1.0-hybrid</t>
  </si>
  <si>
    <t>gene02021-v1.0-hybrid</t>
  </si>
  <si>
    <t>gene02321-v1.0-hybrid</t>
  </si>
  <si>
    <t>gene02621-v1.0-hybrid</t>
  </si>
  <si>
    <t>gene03309-v1.0-hybrid</t>
  </si>
  <si>
    <t>gene03609-v1.0-hybrid</t>
  </si>
  <si>
    <t>gene05109-v1.0-hybrid</t>
  </si>
  <si>
    <t>gene05710-v1.0-hybrid</t>
  </si>
  <si>
    <t>gene06010-v1.0-hybrid</t>
  </si>
  <si>
    <t>gene06310-v1.0-hybrid</t>
  </si>
  <si>
    <t>gene06610-v1.0-hybrid</t>
  </si>
  <si>
    <t>gene07210-v1.0-hybrid</t>
  </si>
  <si>
    <t>gene07811-v1.0-hybrid</t>
  </si>
  <si>
    <t>gene08411-v1.0-hybrid</t>
  </si>
  <si>
    <t>gene08711-v1.0-hybrid</t>
  </si>
  <si>
    <t>gene09011-v1.0-hybrid</t>
  </si>
  <si>
    <t>gene09311-v1.0-hybrid</t>
  </si>
  <si>
    <t>gene09611-v1.0-hybrid</t>
  </si>
  <si>
    <t>gene09912-v1.0-hybrid</t>
  </si>
  <si>
    <t>gene10813-v1.0-hybrid</t>
  </si>
  <si>
    <t>gene11414-v1.0-hybrid</t>
  </si>
  <si>
    <t>gene12014-v1.0-hybrid</t>
  </si>
  <si>
    <t>gene12314-v1.0-hybrid</t>
  </si>
  <si>
    <t>gene12614-v1.0-hybrid</t>
  </si>
  <si>
    <t>gene12914-v1.0-hybrid</t>
  </si>
  <si>
    <t>gene13515-v1.0-hybrid</t>
  </si>
  <si>
    <t>gene13815-v1.0-hybrid</t>
  </si>
  <si>
    <t>gene14116-v1.0-hybrid</t>
  </si>
  <si>
    <t>gene14719-v1.0-hybrid</t>
  </si>
  <si>
    <t>gene15020-v1.0-hybrid</t>
  </si>
  <si>
    <t>gene15321-v1.0-hybrid</t>
  </si>
  <si>
    <t>gene15923-v1.0-hybrid</t>
  </si>
  <si>
    <t>gene16224-v1.0-hybrid</t>
  </si>
  <si>
    <t>gene16524-v1.0-hybrid</t>
  </si>
  <si>
    <t>gene16824-v1.0-hybrid</t>
  </si>
  <si>
    <t>gene17126-v1.0-hybrid</t>
  </si>
  <si>
    <t>gene17426-v1.0-hybrid</t>
  </si>
  <si>
    <t>gene17726-v1.0-hybrid</t>
  </si>
  <si>
    <t>gene18026-v1.0-hybrid</t>
  </si>
  <si>
    <t>gene18326-v1.0-hybrid</t>
  </si>
  <si>
    <t>gene18626-v1.0-hybrid</t>
  </si>
  <si>
    <t>gene18926-v1.0-hybrid</t>
  </si>
  <si>
    <t>gene19226-v1.0-hybrid</t>
  </si>
  <si>
    <t>gene19526-v1.0-hybrid</t>
  </si>
  <si>
    <t>gene19826-v1.0-hybrid</t>
  </si>
  <si>
    <t>gene20126-v1.0-hybrid</t>
  </si>
  <si>
    <t>gene20427-v1.0-hybrid</t>
  </si>
  <si>
    <t>gene20727-v1.0-hybrid</t>
  </si>
  <si>
    <t>gene21027-v1.0-hybrid</t>
  </si>
  <si>
    <t>gene21327-v1.0-hybrid</t>
  </si>
  <si>
    <t>gene21628-v1.0-hybrid</t>
  </si>
  <si>
    <t>gene21928-v1.0-hybrid</t>
  </si>
  <si>
    <t>gene22229-v1.0-hybrid</t>
  </si>
  <si>
    <t>gene22529-v1.0-hybrid</t>
  </si>
  <si>
    <t>gene22830-v1.0-hybrid</t>
  </si>
  <si>
    <t>gene23130-v1.0-hybrid</t>
  </si>
  <si>
    <t>gene23432-v1.0-hybrid</t>
  </si>
  <si>
    <t>gene23732-v1.0-hybrid</t>
  </si>
  <si>
    <t>gene24032-v1.0-hybrid</t>
  </si>
  <si>
    <t>gene24635-v1.0-hybrid</t>
  </si>
  <si>
    <t>gene24937-v1.0-hybrid</t>
  </si>
  <si>
    <t>gene25237-v1.0-hybrid</t>
  </si>
  <si>
    <t>gene25537-v1.0-hybrid</t>
  </si>
  <si>
    <t>gene25837-v1.0-hybrid</t>
  </si>
  <si>
    <t>gene26137-v1.0-hybrid</t>
  </si>
  <si>
    <t>gene26737-v1.0-hybrid</t>
  </si>
  <si>
    <t>gene27638-v1.0-hybrid</t>
  </si>
  <si>
    <t>gene27938-v1.0-hybrid</t>
  </si>
  <si>
    <t>gene28538-v1.0-hybrid</t>
  </si>
  <si>
    <t>gene29438-v1.0-hybrid</t>
  </si>
  <si>
    <t>gene30040-v1.0-hybrid</t>
  </si>
  <si>
    <t>gene30340-v1.0-hybrid</t>
  </si>
  <si>
    <t>gene30640-v1.0-hybrid</t>
  </si>
  <si>
    <t>gene30940-v1.0-hybrid</t>
  </si>
  <si>
    <t>gene31840-v1.0-hybrid</t>
  </si>
  <si>
    <t>gene32140-v1.0-hybrid</t>
  </si>
  <si>
    <t>gene34205-v1.0-hybrid</t>
  </si>
  <si>
    <t>gene34505-v1.0-hybrid</t>
  </si>
  <si>
    <t>gene34805-v1.0-hybrid</t>
  </si>
  <si>
    <t>gene35105-v1.0-hybrid</t>
  </si>
  <si>
    <t>gene00217-v1.0-hybrid</t>
  </si>
  <si>
    <t>gene00821-v1.0-hybrid</t>
  </si>
  <si>
    <t>gene01121-v1.0-hybrid</t>
  </si>
  <si>
    <t>gene01722-v1.0-hybrid</t>
  </si>
  <si>
    <t>gene02322-v1.0-hybrid</t>
  </si>
  <si>
    <t>gene02622-v1.0-hybrid</t>
  </si>
  <si>
    <t>gene03310-v1.0-hybrid</t>
  </si>
  <si>
    <t>gene03910-v1.0-hybrid</t>
  </si>
  <si>
    <t>gene04210-v1.0-hybrid</t>
  </si>
  <si>
    <t>gene04510-v1.0-hybrid</t>
  </si>
  <si>
    <t>gene04810-v1.0-hybrid</t>
  </si>
  <si>
    <t>gene05110-v1.0-hybrid</t>
  </si>
  <si>
    <t>gene05411-v1.0-hybrid</t>
  </si>
  <si>
    <t>gene05711-v1.0-hybrid</t>
  </si>
  <si>
    <t>gene06311-v1.0-hybrid</t>
  </si>
  <si>
    <t>gene06611-v1.0-hybrid</t>
  </si>
  <si>
    <t>gene06911-v1.0-hybrid</t>
  </si>
  <si>
    <t>gene07211-v1.0-hybrid</t>
  </si>
  <si>
    <t>gene07511-v1.0-hybrid</t>
  </si>
  <si>
    <t>gene07812-v1.0-hybrid</t>
  </si>
  <si>
    <t>gene08112-v1.0-hybrid</t>
  </si>
  <si>
    <t>gene08412-v1.0-hybrid</t>
  </si>
  <si>
    <t>gene08712-v1.0-hybrid</t>
  </si>
  <si>
    <t>gene09012-v1.0-hybrid</t>
  </si>
  <si>
    <t>gene09312-v1.0-hybrid</t>
  </si>
  <si>
    <t>gene09612-v1.0-hybrid</t>
  </si>
  <si>
    <t>gene09913-v1.0-hybrid</t>
  </si>
  <si>
    <t>gene10213-v1.0-hybrid</t>
  </si>
  <si>
    <t>gene11114-v1.0-hybrid</t>
  </si>
  <si>
    <t>gene11415-v1.0-hybrid</t>
  </si>
  <si>
    <t>gene11715-v1.0-hybrid</t>
  </si>
  <si>
    <t>gene12015-v1.0-hybrid</t>
  </si>
  <si>
    <t>gene12915-v1.0-hybrid</t>
  </si>
  <si>
    <t>gene13216-v1.0-hybrid</t>
  </si>
  <si>
    <t>gene13516-v1.0-hybrid</t>
  </si>
  <si>
    <t>gene13816-v1.0-hybrid</t>
  </si>
  <si>
    <t>gene14117-v1.0-hybrid</t>
  </si>
  <si>
    <t>gene14720-v1.0-hybrid</t>
  </si>
  <si>
    <t>gene15021-v1.0-hybrid</t>
  </si>
  <si>
    <t>gene15924-v1.0-hybrid</t>
  </si>
  <si>
    <t>gene16525-v1.0-hybrid</t>
  </si>
  <si>
    <t>gene16825-v1.0-hybrid</t>
  </si>
  <si>
    <t>gene17127-v1.0-hybrid</t>
  </si>
  <si>
    <t>gene17427-v1.0-hybrid</t>
  </si>
  <si>
    <t>gene17727-v1.0-hybrid</t>
  </si>
  <si>
    <t>gene18027-v1.0-hybrid</t>
  </si>
  <si>
    <t>gene18327-v1.0-hybrid</t>
  </si>
  <si>
    <t>gene18627-v1.0-hybrid</t>
  </si>
  <si>
    <t>gene18927-v1.0-hybrid</t>
  </si>
  <si>
    <t>gene19227-v1.0-hybrid</t>
  </si>
  <si>
    <t>gene19527-v1.0-hybrid</t>
  </si>
  <si>
    <t>gene19827-v1.0-hybrid</t>
  </si>
  <si>
    <t>gene20127-v1.0-hybrid</t>
  </si>
  <si>
    <t>gene20428-v1.0-hybrid</t>
  </si>
  <si>
    <t>gene20728-v1.0-hybrid</t>
  </si>
  <si>
    <t>gene21028-v1.0-hybrid</t>
  </si>
  <si>
    <t>gene21328-v1.0-hybrid</t>
  </si>
  <si>
    <t>gene21629-v1.0-hybrid</t>
  </si>
  <si>
    <t>gene21929-v1.0-hybrid</t>
  </si>
  <si>
    <t>gene22230-v1.0-hybrid</t>
  </si>
  <si>
    <t>gene22530-v1.0-hybrid</t>
  </si>
  <si>
    <t>gene22831-v1.0-hybrid</t>
  </si>
  <si>
    <t>gene23433-v1.0-hybrid</t>
  </si>
  <si>
    <t>gene23733-v1.0-hybrid</t>
  </si>
  <si>
    <t>gene24033-v1.0-hybrid</t>
  </si>
  <si>
    <t>gene24335-v1.0-hybrid</t>
  </si>
  <si>
    <t>gene24636-v1.0-hybrid</t>
  </si>
  <si>
    <t>gene24938-v1.0-hybrid</t>
  </si>
  <si>
    <t>gene25238-v1.0-hybrid</t>
  </si>
  <si>
    <t>gene25538-v1.0-hybrid</t>
  </si>
  <si>
    <t>gene25838-v1.0-hybrid</t>
  </si>
  <si>
    <t>gene26138-v1.0-hybrid</t>
  </si>
  <si>
    <t>gene26438-v1.0-hybrid</t>
  </si>
  <si>
    <t>gene26738-v1.0-hybrid</t>
  </si>
  <si>
    <t>gene27039-v1.0-hybrid</t>
  </si>
  <si>
    <t>gene27339-v1.0-hybrid</t>
  </si>
  <si>
    <t>gene27939-v1.0-hybrid</t>
  </si>
  <si>
    <t>gene28539-v1.0-hybrid</t>
  </si>
  <si>
    <t>gene29139-v1.0-hybrid</t>
  </si>
  <si>
    <t>gene29439-v1.0-hybrid</t>
  </si>
  <si>
    <t>gene29740-v1.0-hybrid</t>
  </si>
  <si>
    <t>gene30041-v1.0-hybrid</t>
  </si>
  <si>
    <t>gene30641-v1.0-hybrid</t>
  </si>
  <si>
    <t>gene30941-v1.0-hybrid</t>
  </si>
  <si>
    <t>gene31241-v1.0-hybrid</t>
  </si>
  <si>
    <t>gene31541-v1.0-hybrid</t>
  </si>
  <si>
    <t>gene31841-v1.0-hybrid</t>
  </si>
  <si>
    <t>gene32141-v1.0-hybrid</t>
  </si>
  <si>
    <t>gene32441-v1.0-hybrid</t>
  </si>
  <si>
    <t>gene33906-v1.0-hybrid</t>
  </si>
  <si>
    <t>gene34506-v1.0-hybrid</t>
  </si>
  <si>
    <t>gene34806-v1.0-hybrid</t>
  </si>
  <si>
    <t>gene35106-v1.0-hybrid</t>
  </si>
  <si>
    <t>gene00218-v1.0-hybrid</t>
  </si>
  <si>
    <t>gene00522-v1.0-hybrid</t>
  </si>
  <si>
    <t>gene00822-v1.0-hybrid</t>
  </si>
  <si>
    <t>gene01723-v1.0-hybrid</t>
  </si>
  <si>
    <t>gene02323-v1.0-hybrid</t>
  </si>
  <si>
    <t>gene02623-v1.0-hybrid</t>
  </si>
  <si>
    <t>gene03011-v1.0-hybrid</t>
  </si>
  <si>
    <t>gene03311-v1.0-hybrid</t>
  </si>
  <si>
    <t>gene03611-v1.0-hybrid</t>
  </si>
  <si>
    <t>gene04211-v1.0-hybrid</t>
  </si>
  <si>
    <t>gene04511-v1.0-hybrid</t>
  </si>
  <si>
    <t>gene05412-v1.0-hybrid</t>
  </si>
  <si>
    <t>gene05712-v1.0-hybrid</t>
  </si>
  <si>
    <t>gene06312-v1.0-hybrid</t>
  </si>
  <si>
    <t>gene06612-v1.0-hybrid</t>
  </si>
  <si>
    <t>gene06912-v1.0-hybrid</t>
  </si>
  <si>
    <t>gene07212-v1.0-hybrid</t>
  </si>
  <si>
    <t>gene08113-v1.0-hybrid</t>
  </si>
  <si>
    <t>gene08713-v1.0-hybrid</t>
  </si>
  <si>
    <t>gene09313-v1.0-hybrid</t>
  </si>
  <si>
    <t>gene09613-v1.0-hybrid</t>
  </si>
  <si>
    <t>gene09914-v1.0-hybrid</t>
  </si>
  <si>
    <t>gene10214-v1.0-hybrid</t>
  </si>
  <si>
    <t>gene10815-v1.0-hybrid</t>
  </si>
  <si>
    <t>gene11115-v1.0-hybrid</t>
  </si>
  <si>
    <t>gene11416-v1.0-hybrid</t>
  </si>
  <si>
    <t>gene11716-v1.0-hybrid</t>
  </si>
  <si>
    <t>gene12016-v1.0-hybrid</t>
  </si>
  <si>
    <t>gene12316-v1.0-hybrid</t>
  </si>
  <si>
    <t>gene12616-v1.0-hybrid</t>
  </si>
  <si>
    <t>gene12916-v1.0-hybrid</t>
  </si>
  <si>
    <t>gene13217-v1.0-hybrid</t>
  </si>
  <si>
    <t>gene13517-v1.0-hybrid</t>
  </si>
  <si>
    <t>gene13817-v1.0-hybrid</t>
  </si>
  <si>
    <t>gene14118-v1.0-hybrid</t>
  </si>
  <si>
    <t>gene14721-v1.0-hybrid</t>
  </si>
  <si>
    <t>gene15022-v1.0-hybrid</t>
  </si>
  <si>
    <t>gene15323-v1.0-hybrid</t>
  </si>
  <si>
    <t>gene15624-v1.0-hybrid</t>
  </si>
  <si>
    <t>gene15925-v1.0-hybrid</t>
  </si>
  <si>
    <t>gene16226-v1.0-hybrid</t>
  </si>
  <si>
    <t>gene16526-v1.0-hybrid</t>
  </si>
  <si>
    <t>gene17128-v1.0-hybrid</t>
  </si>
  <si>
    <t>gene17728-v1.0-hybrid</t>
  </si>
  <si>
    <t>gene18028-v1.0-hybrid</t>
  </si>
  <si>
    <t>gene18328-v1.0-hybrid</t>
  </si>
  <si>
    <t>gene18628-v1.0-hybrid</t>
  </si>
  <si>
    <t>gene18928-v1.0-hybrid</t>
  </si>
  <si>
    <t>gene19228-v1.0-hybrid</t>
  </si>
  <si>
    <t>gene19528-v1.0-hybrid</t>
  </si>
  <si>
    <t>gene19828-v1.0-hybrid</t>
  </si>
  <si>
    <t>gene20128-v1.0-hybrid</t>
  </si>
  <si>
    <t>gene20429-v1.0-hybrid</t>
  </si>
  <si>
    <t>gene20729-v1.0-hybrid</t>
  </si>
  <si>
    <t>gene21029-v1.0-hybrid</t>
  </si>
  <si>
    <t>gene21329-v1.0-hybrid</t>
  </si>
  <si>
    <t>gene21630-v1.0-hybrid</t>
  </si>
  <si>
    <t>gene21930-v1.0-hybrid</t>
  </si>
  <si>
    <t>gene22231-v1.0-hybrid</t>
  </si>
  <si>
    <t>gene22531-v1.0-hybrid</t>
  </si>
  <si>
    <t>gene22832-v1.0-hybrid</t>
  </si>
  <si>
    <t>gene23734-v1.0-hybrid</t>
  </si>
  <si>
    <t>gene24034-v1.0-hybrid</t>
  </si>
  <si>
    <t>gene24336-v1.0-hybrid</t>
  </si>
  <si>
    <t>gene24637-v1.0-hybrid</t>
  </si>
  <si>
    <t>gene24939-v1.0-hybrid</t>
  </si>
  <si>
    <t>gene25239-v1.0-hybrid</t>
  </si>
  <si>
    <t>gene25539-v1.0-hybrid</t>
  </si>
  <si>
    <t>gene25839-v1.0-hybrid</t>
  </si>
  <si>
    <t>gene26139-v1.0-hybrid</t>
  </si>
  <si>
    <t>gene26439-v1.0-hybrid</t>
  </si>
  <si>
    <t>gene26740-v1.0-hybrid</t>
  </si>
  <si>
    <t>gene27340-v1.0-hybrid</t>
  </si>
  <si>
    <t>gene27940-v1.0-hybrid</t>
  </si>
  <si>
    <t>gene29440-v1.0-hybrid</t>
  </si>
  <si>
    <t>gene29741-v1.0-hybrid</t>
  </si>
  <si>
    <t>gene30042-v1.0-hybrid</t>
  </si>
  <si>
    <t>gene30642-v1.0-hybrid</t>
  </si>
  <si>
    <t>gene30942-v1.0-hybrid</t>
  </si>
  <si>
    <t>gene31242-v1.0-hybrid</t>
  </si>
  <si>
    <t>gene31542-v1.0-hybrid</t>
  </si>
  <si>
    <t>gene31842-v1.0-hybrid</t>
  </si>
  <si>
    <t>gene32142-v1.0-hybrid</t>
  </si>
  <si>
    <t>gene32442-v1.0-hybrid</t>
  </si>
  <si>
    <t>gene32754-v1.0-hybrid</t>
  </si>
  <si>
    <t>gene34207-v1.0-hybrid</t>
  </si>
  <si>
    <t>gene00219-v1.0-hybrid</t>
  </si>
  <si>
    <t>gene00523-v1.0-hybrid</t>
  </si>
  <si>
    <t>gene00823-v1.0-hybrid</t>
  </si>
  <si>
    <t>gene01123-v1.0-hybrid</t>
  </si>
  <si>
    <t>gene01424-v1.0-hybrid</t>
  </si>
  <si>
    <t>gene01724-v1.0-hybrid</t>
  </si>
  <si>
    <t>gene02024-v1.0-hybrid</t>
  </si>
  <si>
    <t>gene02324-v1.0-hybrid</t>
  </si>
  <si>
    <t>gene02624-v1.0-hybrid</t>
  </si>
  <si>
    <t>gene03012-v1.0-hybrid</t>
  </si>
  <si>
    <t>gene03312-v1.0-hybrid</t>
  </si>
  <si>
    <t>gene03612-v1.0-hybrid</t>
  </si>
  <si>
    <t>gene03912-v1.0-hybrid</t>
  </si>
  <si>
    <t>gene04212-v1.0-hybrid</t>
  </si>
  <si>
    <t>gene04812-v1.0-hybrid</t>
  </si>
  <si>
    <t>gene05112-v1.0-hybrid</t>
  </si>
  <si>
    <t>gene05413-v1.0-hybrid</t>
  </si>
  <si>
    <t>gene06313-v1.0-hybrid</t>
  </si>
  <si>
    <t>gene06613-v1.0-hybrid</t>
  </si>
  <si>
    <t>gene06913-v1.0-hybrid</t>
  </si>
  <si>
    <t>gene07213-v1.0-hybrid</t>
  </si>
  <si>
    <t>gene07513-v1.0-hybrid</t>
  </si>
  <si>
    <t>gene08114-v1.0-hybrid</t>
  </si>
  <si>
    <t>gene08714-v1.0-hybrid</t>
  </si>
  <si>
    <t>gene09014-v1.0-hybrid</t>
  </si>
  <si>
    <t>gene09614-v1.0-hybrid</t>
  </si>
  <si>
    <t>gene09915-v1.0-hybrid</t>
  </si>
  <si>
    <t>gene10215-v1.0-hybrid</t>
  </si>
  <si>
    <t>gene10816-v1.0-hybrid</t>
  </si>
  <si>
    <t>gene11116-v1.0-hybrid</t>
  </si>
  <si>
    <t>gene11417-v1.0-hybrid</t>
  </si>
  <si>
    <t>gene11717-v1.0-hybrid</t>
  </si>
  <si>
    <t>gene12017-v1.0-hybrid</t>
  </si>
  <si>
    <t>gene12317-v1.0-hybrid</t>
  </si>
  <si>
    <t>gene12617-v1.0-hybrid</t>
  </si>
  <si>
    <t>gene12917-v1.0-hybrid</t>
  </si>
  <si>
    <t>gene13218-v1.0-hybrid</t>
  </si>
  <si>
    <t>gene13818-v1.0-hybrid</t>
  </si>
  <si>
    <t>gene14119-v1.0-hybrid</t>
  </si>
  <si>
    <t>gene14420-v1.0-hybrid</t>
  </si>
  <si>
    <t>gene15023-v1.0-hybrid</t>
  </si>
  <si>
    <t>gene15625-v1.0-hybrid</t>
  </si>
  <si>
    <t>gene16527-v1.0-hybrid</t>
  </si>
  <si>
    <t>gene16828-v1.0-hybrid</t>
  </si>
  <si>
    <t>gene17129-v1.0-hybrid</t>
  </si>
  <si>
    <t>gene17729-v1.0-hybrid</t>
  </si>
  <si>
    <t>gene18029-v1.0-hybrid</t>
  </si>
  <si>
    <t>gene18329-v1.0-hybrid</t>
  </si>
  <si>
    <t>gene18629-v1.0-hybrid</t>
  </si>
  <si>
    <t>gene18929-v1.0-hybrid</t>
  </si>
  <si>
    <t>gene19229-v1.0-hybrid</t>
  </si>
  <si>
    <t>gene19829-v1.0-hybrid</t>
  </si>
  <si>
    <t>gene20430-v1.0-hybrid</t>
  </si>
  <si>
    <t>gene20730-v1.0-hybrid</t>
  </si>
  <si>
    <t>gene21631-v1.0-hybrid</t>
  </si>
  <si>
    <t>gene21931-v1.0-hybrid</t>
  </si>
  <si>
    <t>gene22232-v1.0-hybrid</t>
  </si>
  <si>
    <t>gene22532-v1.0-hybrid</t>
  </si>
  <si>
    <t>gene23435-v1.0-hybrid</t>
  </si>
  <si>
    <t>gene23735-v1.0-hybrid</t>
  </si>
  <si>
    <t>gene24337-v1.0-hybrid</t>
  </si>
  <si>
    <t>gene24638-v1.0-hybrid</t>
  </si>
  <si>
    <t>gene24940-v1.0-hybrid</t>
  </si>
  <si>
    <t>gene25540-v1.0-hybrid</t>
  </si>
  <si>
    <t>gene25840-v1.0-hybrid</t>
  </si>
  <si>
    <t>gene26140-v1.0-hybrid</t>
  </si>
  <si>
    <t>gene26440-v1.0-hybrid</t>
  </si>
  <si>
    <t>gene26741-v1.0-hybrid</t>
  </si>
  <si>
    <t>gene27341-v1.0-hybrid</t>
  </si>
  <si>
    <t>gene27641-v1.0-hybrid</t>
  </si>
  <si>
    <t>gene27941-v1.0-hybrid</t>
  </si>
  <si>
    <t>gene28241-v1.0-hybrid</t>
  </si>
  <si>
    <t>gene28541-v1.0-hybrid</t>
  </si>
  <si>
    <t>gene29441-v1.0-hybrid</t>
  </si>
  <si>
    <t>gene29742-v1.0-hybrid</t>
  </si>
  <si>
    <t>gene30043-v1.0-hybrid</t>
  </si>
  <si>
    <t>gene30343-v1.0-hybrid</t>
  </si>
  <si>
    <t>gene30643-v1.0-hybrid</t>
  </si>
  <si>
    <t>gene30943-v1.0-hybrid</t>
  </si>
  <si>
    <t>gene31243-v1.0-hybrid</t>
  </si>
  <si>
    <t>gene31543-v1.0-hybrid</t>
  </si>
  <si>
    <t>gene31843-v1.0-hybrid</t>
  </si>
  <si>
    <t>gene32143-v1.0-hybrid</t>
  </si>
  <si>
    <t>gene32443-v1.0-hybrid</t>
  </si>
  <si>
    <t>gene33908-v1.0-hybrid</t>
  </si>
  <si>
    <t>gene34508-v1.0-hybrid</t>
  </si>
  <si>
    <t>gene34808-v1.0-hybrid</t>
  </si>
  <si>
    <t>gene00220-v1.0-hybrid</t>
  </si>
  <si>
    <t>gene00824-v1.0-hybrid</t>
  </si>
  <si>
    <t>gene01124-v1.0-hybrid</t>
  </si>
  <si>
    <t>gene01425-v1.0-hybrid</t>
  </si>
  <si>
    <t>gene01725-v1.0-hybrid</t>
  </si>
  <si>
    <t>gene02025-v1.0-hybrid</t>
  </si>
  <si>
    <t>gene02625-v1.0-hybrid</t>
  </si>
  <si>
    <t>gene03013-v1.0-hybrid</t>
  </si>
  <si>
    <t>gene03613-v1.0-hybrid</t>
  </si>
  <si>
    <t>gene03913-v1.0-hybrid</t>
  </si>
  <si>
    <t>gene04213-v1.0-hybrid</t>
  </si>
  <si>
    <t>gene04513-v1.0-hybrid</t>
  </si>
  <si>
    <t>gene05113-v1.0-hybrid</t>
  </si>
  <si>
    <t>gene05414-v1.0-hybrid</t>
  </si>
  <si>
    <t>gene05714-v1.0-hybrid</t>
  </si>
  <si>
    <t>gene06314-v1.0-hybrid</t>
  </si>
  <si>
    <t>gene07214-v1.0-hybrid</t>
  </si>
  <si>
    <t>gene07514-v1.0-hybrid</t>
  </si>
  <si>
    <t>gene07815-v1.0-hybrid</t>
  </si>
  <si>
    <t>gene08115-v1.0-hybrid</t>
  </si>
  <si>
    <t>gene08715-v1.0-hybrid</t>
  </si>
  <si>
    <t>gene09015-v1.0-hybrid</t>
  </si>
  <si>
    <t>gene09315-v1.0-hybrid</t>
  </si>
  <si>
    <t>gene09615-v1.0-hybrid</t>
  </si>
  <si>
    <t>gene09916-v1.0-hybrid</t>
  </si>
  <si>
    <t>gene10517-v1.0-hybrid</t>
  </si>
  <si>
    <t>gene10817-v1.0-hybrid</t>
  </si>
  <si>
    <t>gene11117-v1.0-hybrid</t>
  </si>
  <si>
    <t>gene11718-v1.0-hybrid</t>
  </si>
  <si>
    <t>gene12018-v1.0-hybrid</t>
  </si>
  <si>
    <t>gene12618-v1.0-hybrid</t>
  </si>
  <si>
    <t>gene12918-v1.0-hybrid</t>
  </si>
  <si>
    <t>gene13219-v1.0-hybrid</t>
  </si>
  <si>
    <t>gene13519-v1.0-hybrid</t>
  </si>
  <si>
    <t>gene13819-v1.0-hybrid</t>
  </si>
  <si>
    <t>gene14120-v1.0-hybrid</t>
  </si>
  <si>
    <t>gene14421-v1.0-hybrid</t>
  </si>
  <si>
    <t>gene14723-v1.0-hybrid</t>
  </si>
  <si>
    <t>gene15024-v1.0-hybrid</t>
  </si>
  <si>
    <t>gene16228-v1.0-hybrid</t>
  </si>
  <si>
    <t>gene16528-v1.0-hybrid</t>
  </si>
  <si>
    <t>gene16829-v1.0-hybrid</t>
  </si>
  <si>
    <t>gene17130-v1.0-hybrid</t>
  </si>
  <si>
    <t>gene17430-v1.0-hybrid</t>
  </si>
  <si>
    <t>gene17730-v1.0-hybrid</t>
  </si>
  <si>
    <t>gene18030-v1.0-hybrid</t>
  </si>
  <si>
    <t>gene18630-v1.0-hybrid</t>
  </si>
  <si>
    <t>gene18930-v1.0-hybrid</t>
  </si>
  <si>
    <t>gene19230-v1.0-hybrid</t>
  </si>
  <si>
    <t>gene19530-v1.0-hybrid</t>
  </si>
  <si>
    <t>gene20130-v1.0-hybrid</t>
  </si>
  <si>
    <t>gene20731-v1.0-hybrid</t>
  </si>
  <si>
    <t>gene21331-v1.0-hybrid</t>
  </si>
  <si>
    <t>gene21632-v1.0-hybrid</t>
  </si>
  <si>
    <t>gene22233-v1.0-hybrid</t>
  </si>
  <si>
    <t>gene23436-v1.0-hybrid</t>
  </si>
  <si>
    <t>gene23736-v1.0-hybrid</t>
  </si>
  <si>
    <t>gene24036-v1.0-hybrid</t>
  </si>
  <si>
    <t>gene24338-v1.0-hybrid</t>
  </si>
  <si>
    <t>gene24941-v1.0-hybrid</t>
  </si>
  <si>
    <t>gene25541-v1.0-hybrid</t>
  </si>
  <si>
    <t>gene25841-v1.0-hybrid</t>
  </si>
  <si>
    <t>gene26141-v1.0-hybrid</t>
  </si>
  <si>
    <t>gene26441-v1.0-hybrid</t>
  </si>
  <si>
    <t>gene26742-v1.0-hybrid</t>
  </si>
  <si>
    <t>gene27042-v1.0-hybrid</t>
  </si>
  <si>
    <t>gene27342-v1.0-hybrid</t>
  </si>
  <si>
    <t>gene27642-v1.0-hybrid</t>
  </si>
  <si>
    <t>gene27942-v1.0-hybrid</t>
  </si>
  <si>
    <t>gene28542-v1.0-hybrid</t>
  </si>
  <si>
    <t>gene29142-v1.0-hybrid</t>
  </si>
  <si>
    <t>gene29442-v1.0-hybrid</t>
  </si>
  <si>
    <t>gene29743-v1.0-hybrid</t>
  </si>
  <si>
    <t>gene30044-v1.0-hybrid</t>
  </si>
  <si>
    <t>gene30344-v1.0-hybrid</t>
  </si>
  <si>
    <t>gene30644-v1.0-hybrid</t>
  </si>
  <si>
    <t>gene31244-v1.0-hybrid</t>
  </si>
  <si>
    <t>gene31544-v1.0-hybrid</t>
  </si>
  <si>
    <t>gene31844-v1.0-hybrid</t>
  </si>
  <si>
    <t>gene32144-v1.0-hybrid</t>
  </si>
  <si>
    <t>gene32444-v1.0-hybrid</t>
  </si>
  <si>
    <t>gene32756-v1.0-hybrid</t>
  </si>
  <si>
    <t>gene33548-v1.0-hybrid</t>
  </si>
  <si>
    <t>gene33909-v1.0-hybrid</t>
  </si>
  <si>
    <t>gene34209-v1.0-hybrid</t>
  </si>
  <si>
    <t>gene34809-v1.0-hybrid</t>
  </si>
  <si>
    <t>gene00525-v1.0-hybrid</t>
  </si>
  <si>
    <t>gene00825-v1.0-hybrid</t>
  </si>
  <si>
    <t>gene01125-v1.0-hybrid</t>
  </si>
  <si>
    <t>gene02026-v1.0-hybrid</t>
  </si>
  <si>
    <t>gene02326-v1.0-hybrid</t>
  </si>
  <si>
    <t>gene02626-v1.0-hybrid</t>
  </si>
  <si>
    <t>gene03314-v1.0-hybrid</t>
  </si>
  <si>
    <t>gene03614-v1.0-hybrid</t>
  </si>
  <si>
    <t>gene03914-v1.0-hybrid</t>
  </si>
  <si>
    <t>gene04214-v1.0-hybrid</t>
  </si>
  <si>
    <t>gene04514-v1.0-hybrid</t>
  </si>
  <si>
    <t>gene04814-v1.0-hybrid</t>
  </si>
  <si>
    <t>gene05715-v1.0-hybrid</t>
  </si>
  <si>
    <t>gene06015-v1.0-hybrid</t>
  </si>
  <si>
    <t>gene06315-v1.0-hybrid</t>
  </si>
  <si>
    <t>gene06615-v1.0-hybrid</t>
  </si>
  <si>
    <t>gene06915-v1.0-hybrid</t>
  </si>
  <si>
    <t>gene07515-v1.0-hybrid</t>
  </si>
  <si>
    <t>gene08716-v1.0-hybrid</t>
  </si>
  <si>
    <t>gene09016-v1.0-hybrid</t>
  </si>
  <si>
    <t>gene09316-v1.0-hybrid</t>
  </si>
  <si>
    <t>gene09616-v1.0-hybrid</t>
  </si>
  <si>
    <t>gene09917-v1.0-hybrid</t>
  </si>
  <si>
    <t>gene10217-v1.0-hybrid</t>
  </si>
  <si>
    <t>gene10518-v1.0-hybrid</t>
  </si>
  <si>
    <t>gene10818-v1.0-hybrid</t>
  </si>
  <si>
    <t>gene11118-v1.0-hybrid</t>
  </si>
  <si>
    <t>gene11419-v1.0-hybrid</t>
  </si>
  <si>
    <t>gene12319-v1.0-hybrid</t>
  </si>
  <si>
    <t>gene12619-v1.0-hybrid</t>
  </si>
  <si>
    <t>gene12919-v1.0-hybrid</t>
  </si>
  <si>
    <t>gene13220-v1.0-hybrid</t>
  </si>
  <si>
    <t>gene13520-v1.0-hybrid</t>
  </si>
  <si>
    <t>gene13820-v1.0-hybrid</t>
  </si>
  <si>
    <t>gene14422-v1.0-hybrid</t>
  </si>
  <si>
    <t>gene14724-v1.0-hybrid</t>
  </si>
  <si>
    <t>gene15025-v1.0-hybrid</t>
  </si>
  <si>
    <t>gene15326-v1.0-hybrid</t>
  </si>
  <si>
    <t>gene15627-v1.0-hybrid</t>
  </si>
  <si>
    <t>gene15928-v1.0-hybrid</t>
  </si>
  <si>
    <t>gene16529-v1.0-hybrid</t>
  </si>
  <si>
    <t>gene16830-v1.0-hybrid</t>
  </si>
  <si>
    <t>gene17131-v1.0-hybrid</t>
  </si>
  <si>
    <t>gene17431-v1.0-hybrid</t>
  </si>
  <si>
    <t>gene17731-v1.0-hybrid</t>
  </si>
  <si>
    <t>gene18031-v1.0-hybrid</t>
  </si>
  <si>
    <t>gene18331-v1.0-hybrid</t>
  </si>
  <si>
    <t>gene18931-v1.0-hybrid</t>
  </si>
  <si>
    <t>gene19231-v1.0-hybrid</t>
  </si>
  <si>
    <t>gene19531-v1.0-hybrid</t>
  </si>
  <si>
    <t>gene19831-v1.0-hybrid</t>
  </si>
  <si>
    <t>gene20131-v1.0-hybrid</t>
  </si>
  <si>
    <t>gene20732-v1.0-hybrid</t>
  </si>
  <si>
    <t>gene21032-v1.0-hybrid</t>
  </si>
  <si>
    <t>gene21332-v1.0-hybrid</t>
  </si>
  <si>
    <t>gene21633-v1.0-hybrid</t>
  </si>
  <si>
    <t>gene22234-v1.0-hybrid</t>
  </si>
  <si>
    <t>gene22835-v1.0-hybrid</t>
  </si>
  <si>
    <t>gene23137-v1.0-hybrid</t>
  </si>
  <si>
    <t>gene23737-v1.0-hybrid</t>
  </si>
  <si>
    <t>gene24037-v1.0-hybrid</t>
  </si>
  <si>
    <t>gene24339-v1.0-hybrid</t>
  </si>
  <si>
    <t>gene24640-v1.0-hybrid</t>
  </si>
  <si>
    <t>gene25842-v1.0-hybrid</t>
  </si>
  <si>
    <t>gene26142-v1.0-hybrid</t>
  </si>
  <si>
    <t>gene26442-v1.0-hybrid</t>
  </si>
  <si>
    <t>gene27343-v1.0-hybrid</t>
  </si>
  <si>
    <t>gene27643-v1.0-hybrid</t>
  </si>
  <si>
    <t>gene27943-v1.0-hybrid</t>
  </si>
  <si>
    <t>gene28243-v1.0-hybrid</t>
  </si>
  <si>
    <t>gene29744-v1.0-hybrid</t>
  </si>
  <si>
    <t>gene30045-v1.0-hybrid</t>
  </si>
  <si>
    <t>gene30945-v1.0-hybrid</t>
  </si>
  <si>
    <t>gene31245-v1.0-hybrid</t>
  </si>
  <si>
    <t>gene31545-v1.0-hybrid</t>
  </si>
  <si>
    <t>gene32145-v1.0-hybrid</t>
  </si>
  <si>
    <t>gene32445-v1.0-hybrid</t>
  </si>
  <si>
    <t>gene32758-v1.0-hybrid</t>
  </si>
  <si>
    <t>gene33910-v1.0-hybrid</t>
  </si>
  <si>
    <t>gene34210-v1.0-hybrid</t>
  </si>
  <si>
    <t>gene34510-v1.0-hybrid</t>
  </si>
  <si>
    <t>gene34810-v1.0-hybrid</t>
  </si>
  <si>
    <t>gene35110-v1.0-hybrid</t>
  </si>
  <si>
    <t>gene00826-v1.0-hybrid</t>
  </si>
  <si>
    <t>gene01126-v1.0-hybrid</t>
  </si>
  <si>
    <t>gene01427-v1.0-hybrid</t>
  </si>
  <si>
    <t>gene01727-v1.0-hybrid</t>
  </si>
  <si>
    <t>gene02327-v1.0-hybrid</t>
  </si>
  <si>
    <t>gene03015-v1.0-hybrid</t>
  </si>
  <si>
    <t>gene03615-v1.0-hybrid</t>
  </si>
  <si>
    <t>gene04215-v1.0-hybrid</t>
  </si>
  <si>
    <t>gene04515-v1.0-hybrid</t>
  </si>
  <si>
    <t>gene04815-v1.0-hybrid</t>
  </si>
  <si>
    <t>gene05115-v1.0-hybrid</t>
  </si>
  <si>
    <t>gene05716-v1.0-hybrid</t>
  </si>
  <si>
    <t>gene06016-v1.0-hybrid</t>
  </si>
  <si>
    <t>gene06316-v1.0-hybrid</t>
  </si>
  <si>
    <t>gene06616-v1.0-hybrid</t>
  </si>
  <si>
    <t>gene06916-v1.0-hybrid</t>
  </si>
  <si>
    <t>gene07216-v1.0-hybrid</t>
  </si>
  <si>
    <t>gene07516-v1.0-hybrid</t>
  </si>
  <si>
    <t>gene08117-v1.0-hybrid</t>
  </si>
  <si>
    <t>gene08717-v1.0-hybrid</t>
  </si>
  <si>
    <t>gene09017-v1.0-hybrid</t>
  </si>
  <si>
    <t>gene09317-v1.0-hybrid</t>
  </si>
  <si>
    <t>gene09918-v1.0-hybrid</t>
  </si>
  <si>
    <t>gene10218-v1.0-hybrid</t>
  </si>
  <si>
    <t>gene10519-v1.0-hybrid</t>
  </si>
  <si>
    <t>gene10819-v1.0-hybrid</t>
  </si>
  <si>
    <t>gene11119-v1.0-hybrid</t>
  </si>
  <si>
    <t>gene11420-v1.0-hybrid</t>
  </si>
  <si>
    <t>gene11720-v1.0-hybrid</t>
  </si>
  <si>
    <t>gene12320-v1.0-hybrid</t>
  </si>
  <si>
    <t>gene12620-v1.0-hybrid</t>
  </si>
  <si>
    <t>gene12920-v1.0-hybrid</t>
  </si>
  <si>
    <t>gene13221-v1.0-hybrid</t>
  </si>
  <si>
    <t>gene13821-v1.0-hybrid</t>
  </si>
  <si>
    <t>gene14122-v1.0-hybrid</t>
  </si>
  <si>
    <t>gene14423-v1.0-hybrid</t>
  </si>
  <si>
    <t>gene14725-v1.0-hybrid</t>
  </si>
  <si>
    <t>gene15026-v1.0-hybrid</t>
  </si>
  <si>
    <t>gene15628-v1.0-hybrid</t>
  </si>
  <si>
    <t>gene16230-v1.0-hybrid</t>
  </si>
  <si>
    <t>gene16530-v1.0-hybrid</t>
  </si>
  <si>
    <t>gene16831-v1.0-hybrid</t>
  </si>
  <si>
    <t>gene17132-v1.0-hybrid</t>
  </si>
  <si>
    <t>gene17432-v1.0-hybrid</t>
  </si>
  <si>
    <t>gene17732-v1.0-hybrid</t>
  </si>
  <si>
    <t>gene18032-v1.0-hybrid</t>
  </si>
  <si>
    <t>gene18332-v1.0-hybrid</t>
  </si>
  <si>
    <t>gene18632-v1.0-hybrid</t>
  </si>
  <si>
    <t>gene18932-v1.0-hybrid</t>
  </si>
  <si>
    <t>gene19232-v1.0-hybrid</t>
  </si>
  <si>
    <t>gene19532-v1.0-hybrid</t>
  </si>
  <si>
    <t>gene19832-v1.0-hybrid</t>
  </si>
  <si>
    <t>gene20132-v1.0-hybrid</t>
  </si>
  <si>
    <t>gene20433-v1.0-hybrid</t>
  </si>
  <si>
    <t>gene20733-v1.0-hybrid</t>
  </si>
  <si>
    <t>gene21333-v1.0-hybrid</t>
  </si>
  <si>
    <t>gene21634-v1.0-hybrid</t>
  </si>
  <si>
    <t>gene21934-v1.0-hybrid</t>
  </si>
  <si>
    <t>gene22235-v1.0-hybrid</t>
  </si>
  <si>
    <t>gene23138-v1.0-hybrid</t>
  </si>
  <si>
    <t>gene23438-v1.0-hybrid</t>
  </si>
  <si>
    <t>gene23738-v1.0-hybrid</t>
  </si>
  <si>
    <t>gene25243-v1.0-hybrid</t>
  </si>
  <si>
    <t>gene25543-v1.0-hybrid</t>
  </si>
  <si>
    <t>gene25843-v1.0-hybrid</t>
  </si>
  <si>
    <t>gene26143-v1.0-hybrid</t>
  </si>
  <si>
    <t>gene26443-v1.0-hybrid</t>
  </si>
  <si>
    <t>gene27044-v1.0-hybrid</t>
  </si>
  <si>
    <t>gene28244-v1.0-hybrid</t>
  </si>
  <si>
    <t>gene28844-v1.0-hybrid</t>
  </si>
  <si>
    <t>gene29444-v1.0-hybrid</t>
  </si>
  <si>
    <t>gene29745-v1.0-hybrid</t>
  </si>
  <si>
    <t>gene30046-v1.0-hybrid</t>
  </si>
  <si>
    <t>gene30946-v1.0-hybrid</t>
  </si>
  <si>
    <t>gene31246-v1.0-hybrid</t>
  </si>
  <si>
    <t>gene31546-v1.0-hybrid</t>
  </si>
  <si>
    <t>gene31846-v1.0-hybrid</t>
  </si>
  <si>
    <t>gene32146-v1.0-hybrid</t>
  </si>
  <si>
    <t>gene32446-v1.0-hybrid</t>
  </si>
  <si>
    <t>gene32759-v1.0-hybrid</t>
  </si>
  <si>
    <t>gene33911-v1.0-hybrid</t>
  </si>
  <si>
    <t>gene34511-v1.0-hybrid</t>
  </si>
  <si>
    <t>gene34811-v1.0-hybrid</t>
  </si>
  <si>
    <t>gene35111-v1.0-hybrid</t>
  </si>
  <si>
    <t>gene00223-v1.0-hybrid</t>
  </si>
  <si>
    <t>gene00827-v1.0-hybrid</t>
  </si>
  <si>
    <t>gene01127-v1.0-hybrid</t>
  </si>
  <si>
    <t>gene01428-v1.0-hybrid</t>
  </si>
  <si>
    <t>gene01728-v1.0-hybrid</t>
  </si>
  <si>
    <t>gene02028-v1.0-hybrid</t>
  </si>
  <si>
    <t>gene02328-v1.0-hybrid</t>
  </si>
  <si>
    <t>gene02628-v1.0-hybrid</t>
  </si>
  <si>
    <t>gene03016-v1.0-hybrid</t>
  </si>
  <si>
    <t>gene03316-v1.0-hybrid</t>
  </si>
  <si>
    <t>gene03616-v1.0-hybrid</t>
  </si>
  <si>
    <t>gene04216-v1.0-hybrid</t>
  </si>
  <si>
    <t>gene04516-v1.0-hybrid</t>
  </si>
  <si>
    <t>gene04816-v1.0-hybrid</t>
  </si>
  <si>
    <t>gene05116-v1.0-hybrid</t>
  </si>
  <si>
    <t>gene05417-v1.0-hybrid</t>
  </si>
  <si>
    <t>gene05717-v1.0-hybrid</t>
  </si>
  <si>
    <t>gene06017-v1.0-hybrid</t>
  </si>
  <si>
    <t>gene06317-v1.0-hybrid</t>
  </si>
  <si>
    <t>gene07217-v1.0-hybrid</t>
  </si>
  <si>
    <t>gene07517-v1.0-hybrid</t>
  </si>
  <si>
    <t>gene08418-v1.0-hybrid</t>
  </si>
  <si>
    <t>gene08718-v1.0-hybrid</t>
  </si>
  <si>
    <t>gene09018-v1.0-hybrid</t>
  </si>
  <si>
    <t>gene09318-v1.0-hybrid</t>
  </si>
  <si>
    <t>gene09618-v1.0-hybrid</t>
  </si>
  <si>
    <t>gene09919-v1.0-hybrid</t>
  </si>
  <si>
    <t>gene10219-v1.0-hybrid</t>
  </si>
  <si>
    <t>gene10520-v1.0-hybrid</t>
  </si>
  <si>
    <t>gene10820-v1.0-hybrid</t>
  </si>
  <si>
    <t>gene11421-v1.0-hybrid</t>
  </si>
  <si>
    <t>gene11721-v1.0-hybrid</t>
  </si>
  <si>
    <t>gene12021-v1.0-hybrid</t>
  </si>
  <si>
    <t>gene12621-v1.0-hybrid</t>
  </si>
  <si>
    <t>gene12921-v1.0-hybrid</t>
  </si>
  <si>
    <t>gene13222-v1.0-hybrid</t>
  </si>
  <si>
    <t>gene13822-v1.0-hybrid</t>
  </si>
  <si>
    <t>gene14123-v1.0-hybrid</t>
  </si>
  <si>
    <t>gene14424-v1.0-hybrid</t>
  </si>
  <si>
    <t>gene14726-v1.0-hybrid</t>
  </si>
  <si>
    <t>gene15027-v1.0-hybrid</t>
  </si>
  <si>
    <t>gene15328-v1.0-hybrid</t>
  </si>
  <si>
    <t>gene15629-v1.0-hybrid</t>
  </si>
  <si>
    <t>gene15930-v1.0-hybrid</t>
  </si>
  <si>
    <t>gene16231-v1.0-hybrid</t>
  </si>
  <si>
    <t>gene16531-v1.0-hybrid</t>
  </si>
  <si>
    <t>gene16832-v1.0-hybrid</t>
  </si>
  <si>
    <t>gene18033-v1.0-hybrid</t>
  </si>
  <si>
    <t>gene18333-v1.0-hybrid</t>
  </si>
  <si>
    <t>gene18633-v1.0-hybrid</t>
  </si>
  <si>
    <t>gene18933-v1.0-hybrid</t>
  </si>
  <si>
    <t>gene19233-v1.0-hybrid</t>
  </si>
  <si>
    <t>gene19533-v1.0-hybrid</t>
  </si>
  <si>
    <t>gene19833-v1.0-hybrid</t>
  </si>
  <si>
    <t>gene20434-v1.0-hybrid</t>
  </si>
  <si>
    <t>gene20734-v1.0-hybrid</t>
  </si>
  <si>
    <t>gene21034-v1.0-hybrid</t>
  </si>
  <si>
    <t>gene21935-v1.0-hybrid</t>
  </si>
  <si>
    <t>gene22236-v1.0-hybrid</t>
  </si>
  <si>
    <t>gene22536-v1.0-hybrid</t>
  </si>
  <si>
    <t>gene22837-v1.0-hybrid</t>
  </si>
  <si>
    <t>gene23139-v1.0-hybrid</t>
  </si>
  <si>
    <t>gene23439-v1.0-hybrid</t>
  </si>
  <si>
    <t>gene23739-v1.0-hybrid</t>
  </si>
  <si>
    <t>gene24039-v1.0-hybrid</t>
  </si>
  <si>
    <t>gene24341-v1.0-hybrid</t>
  </si>
  <si>
    <t>gene24642-v1.0-hybrid</t>
  </si>
  <si>
    <t>gene24944-v1.0-hybrid</t>
  </si>
  <si>
    <t>gene25244-v1.0-hybrid</t>
  </si>
  <si>
    <t>gene25544-v1.0-hybrid</t>
  </si>
  <si>
    <t>gene25844-v1.0-hybrid</t>
  </si>
  <si>
    <t>gene26144-v1.0-hybrid</t>
  </si>
  <si>
    <t>gene26444-v1.0-hybrid</t>
  </si>
  <si>
    <t>gene26745-v1.0-hybrid</t>
  </si>
  <si>
    <t>gene27045-v1.0-hybrid</t>
  </si>
  <si>
    <t>gene27945-v1.0-hybrid</t>
  </si>
  <si>
    <t>gene28245-v1.0-hybrid</t>
  </si>
  <si>
    <t>gene28545-v1.0-hybrid</t>
  </si>
  <si>
    <t>gene28845-v1.0-hybrid</t>
  </si>
  <si>
    <t>gene29145-v1.0-hybrid</t>
  </si>
  <si>
    <t>gene29445-v1.0-hybrid</t>
  </si>
  <si>
    <t>gene29746-v1.0-hybrid</t>
  </si>
  <si>
    <t>gene30047-v1.0-hybrid</t>
  </si>
  <si>
    <t>gene30647-v1.0-hybrid</t>
  </si>
  <si>
    <t>gene30947-v1.0-hybrid</t>
  </si>
  <si>
    <t>gene31247-v1.0-hybrid</t>
  </si>
  <si>
    <t>gene31547-v1.0-hybrid</t>
  </si>
  <si>
    <t>gene31847-v1.0-hybrid</t>
  </si>
  <si>
    <t>gene32147-v1.0-hybrid</t>
  </si>
  <si>
    <t>gene32447-v1.0-hybrid</t>
  </si>
  <si>
    <t>gene33912-v1.0-hybrid</t>
  </si>
  <si>
    <t>gene34212-v1.0-hybrid</t>
  </si>
  <si>
    <t>gene34512-v1.0-hybrid</t>
  </si>
  <si>
    <t>gene35112-v1.0-hybrid</t>
  </si>
  <si>
    <t>gene00224-v1.0-hybrid</t>
  </si>
  <si>
    <t>gene00528-v1.0-hybrid</t>
  </si>
  <si>
    <t>gene01128-v1.0-hybrid</t>
  </si>
  <si>
    <t>gene01729-v1.0-hybrid</t>
  </si>
  <si>
    <t>gene02029-v1.0-hybrid</t>
  </si>
  <si>
    <t>gene02329-v1.0-hybrid</t>
  </si>
  <si>
    <t>gene02629-v1.0-hybrid</t>
  </si>
  <si>
    <t>gene03017-v1.0-hybrid</t>
  </si>
  <si>
    <t>gene03617-v1.0-hybrid</t>
  </si>
  <si>
    <t>gene03917-v1.0-hybrid</t>
  </si>
  <si>
    <t>gene04217-v1.0-hybrid</t>
  </si>
  <si>
    <t>gene04517-v1.0-hybrid</t>
  </si>
  <si>
    <t>gene04817-v1.0-hybrid</t>
  </si>
  <si>
    <t>gene05117-v1.0-hybrid</t>
  </si>
  <si>
    <t>gene05418-v1.0-hybrid</t>
  </si>
  <si>
    <t>gene05718-v1.0-hybrid</t>
  </si>
  <si>
    <t>gene06318-v1.0-hybrid</t>
  </si>
  <si>
    <t>gene06918-v1.0-hybrid</t>
  </si>
  <si>
    <t>gene07518-v1.0-hybrid</t>
  </si>
  <si>
    <t>gene08119-v1.0-hybrid</t>
  </si>
  <si>
    <t>gene08419-v1.0-hybrid</t>
  </si>
  <si>
    <t>gene08719-v1.0-hybrid</t>
  </si>
  <si>
    <t>gene09019-v1.0-hybrid</t>
  </si>
  <si>
    <t>gene09319-v1.0-hybrid</t>
  </si>
  <si>
    <t>gene09619-v1.0-hybrid</t>
  </si>
  <si>
    <t>gene09920-v1.0-hybrid</t>
  </si>
  <si>
    <t>gene10220-v1.0-hybrid</t>
  </si>
  <si>
    <t>gene11121-v1.0-hybrid</t>
  </si>
  <si>
    <t>gene11422-v1.0-hybrid</t>
  </si>
  <si>
    <t>gene11722-v1.0-hybrid</t>
  </si>
  <si>
    <t>gene12022-v1.0-hybrid</t>
  </si>
  <si>
    <t>gene12622-v1.0-hybrid</t>
  </si>
  <si>
    <t>gene12922-v1.0-hybrid</t>
  </si>
  <si>
    <t>gene13223-v1.0-hybrid</t>
  </si>
  <si>
    <t>gene13523-v1.0-hybrid</t>
  </si>
  <si>
    <t>gene14124-v1.0-hybrid</t>
  </si>
  <si>
    <t>gene14425-v1.0-hybrid</t>
  </si>
  <si>
    <t>gene14727-v1.0-hybrid</t>
  </si>
  <si>
    <t>gene15028-v1.0-hybrid</t>
  </si>
  <si>
    <t>gene15931-v1.0-hybrid</t>
  </si>
  <si>
    <t>gene16232-v1.0-hybrid</t>
  </si>
  <si>
    <t>gene16532-v1.0-hybrid</t>
  </si>
  <si>
    <t>gene17134-v1.0-hybrid</t>
  </si>
  <si>
    <t>gene17434-v1.0-hybrid</t>
  </si>
  <si>
    <t>gene17734-v1.0-hybrid</t>
  </si>
  <si>
    <t>gene18034-v1.0-hybrid</t>
  </si>
  <si>
    <t>gene18334-v1.0-hybrid</t>
  </si>
  <si>
    <t>gene18634-v1.0-hybrid</t>
  </si>
  <si>
    <t>gene18934-v1.0-hybrid</t>
  </si>
  <si>
    <t>gene19234-v1.0-hybrid</t>
  </si>
  <si>
    <t>gene19534-v1.0-hybrid</t>
  </si>
  <si>
    <t>gene19834-v1.0-hybrid</t>
  </si>
  <si>
    <t>gene20134-v1.0-hybrid</t>
  </si>
  <si>
    <t>gene20735-v1.0-hybrid</t>
  </si>
  <si>
    <t>gene21035-v1.0-hybrid</t>
  </si>
  <si>
    <t>gene21335-v1.0-hybrid</t>
  </si>
  <si>
    <t>gene21636-v1.0-hybrid</t>
  </si>
  <si>
    <t>gene21936-v1.0-hybrid</t>
  </si>
  <si>
    <t>gene22237-v1.0-hybrid</t>
  </si>
  <si>
    <t>gene22838-v1.0-hybrid</t>
  </si>
  <si>
    <t>gene23440-v1.0-hybrid</t>
  </si>
  <si>
    <t>gene23740-v1.0-hybrid</t>
  </si>
  <si>
    <t>gene24040-v1.0-hybrid</t>
  </si>
  <si>
    <t>gene24342-v1.0-hybrid</t>
  </si>
  <si>
    <t>gene24643-v1.0-hybrid</t>
  </si>
  <si>
    <t>gene24945-v1.0-hybrid</t>
  </si>
  <si>
    <t>gene25245-v1.0-hybrid</t>
  </si>
  <si>
    <t>gene26445-v1.0-hybrid</t>
  </si>
  <si>
    <t>gene26746-v1.0-hybrid</t>
  </si>
  <si>
    <t>gene27346-v1.0-hybrid</t>
  </si>
  <si>
    <t>gene27946-v1.0-hybrid</t>
  </si>
  <si>
    <t>gene28246-v1.0-hybrid</t>
  </si>
  <si>
    <t>gene28546-v1.0-hybrid</t>
  </si>
  <si>
    <t>gene28846-v1.0-hybrid</t>
  </si>
  <si>
    <t>gene29146-v1.0-hybrid</t>
  </si>
  <si>
    <t>gene29446-v1.0-hybrid</t>
  </si>
  <si>
    <t>gene30048-v1.0-hybrid</t>
  </si>
  <si>
    <t>gene30348-v1.0-hybrid</t>
  </si>
  <si>
    <t>gene30648-v1.0-hybrid</t>
  </si>
  <si>
    <t>gene31248-v1.0-hybrid</t>
  </si>
  <si>
    <t>gene31548-v1.0-hybrid</t>
  </si>
  <si>
    <t>gene31848-v1.0-hybrid</t>
  </si>
  <si>
    <t>gene32148-v1.0-hybrid</t>
  </si>
  <si>
    <t>gene32448-v1.0-hybrid</t>
  </si>
  <si>
    <t>gene34213-v1.0-hybrid</t>
  </si>
  <si>
    <t>gene34813-v1.0-hybrid</t>
  </si>
  <si>
    <t>gene35113-v1.0-hybrid</t>
  </si>
  <si>
    <t>gene00225-v1.0-hybrid</t>
  </si>
  <si>
    <t>gene00829-v1.0-hybrid</t>
  </si>
  <si>
    <t>gene01129-v1.0-hybrid</t>
  </si>
  <si>
    <t>gene01430-v1.0-hybrid</t>
  </si>
  <si>
    <t>gene01730-v1.0-hybrid</t>
  </si>
  <si>
    <t>gene02030-v1.0-hybrid</t>
  </si>
  <si>
    <t>gene02330-v1.0-hybrid</t>
  </si>
  <si>
    <t>gene02630-v1.0-hybrid</t>
  </si>
  <si>
    <t>gene03018-v1.0-hybrid</t>
  </si>
  <si>
    <t>gene03318-v1.0-hybrid</t>
  </si>
  <si>
    <t>gene03918-v1.0-hybrid</t>
  </si>
  <si>
    <t>gene04518-v1.0-hybrid</t>
  </si>
  <si>
    <t>gene04818-v1.0-hybrid</t>
  </si>
  <si>
    <t>gene05118-v1.0-hybrid</t>
  </si>
  <si>
    <t>gene05419-v1.0-hybrid</t>
  </si>
  <si>
    <t>gene06319-v1.0-hybrid</t>
  </si>
  <si>
    <t>gene06619-v1.0-hybrid</t>
  </si>
  <si>
    <t>gene07820-v1.0-hybrid</t>
  </si>
  <si>
    <t>gene08120-v1.0-hybrid</t>
  </si>
  <si>
    <t>gene08420-v1.0-hybrid</t>
  </si>
  <si>
    <t>gene08720-v1.0-hybrid</t>
  </si>
  <si>
    <t>gene09020-v1.0-hybrid</t>
  </si>
  <si>
    <t>gene09320-v1.0-hybrid</t>
  </si>
  <si>
    <t>gene09620-v1.0-hybrid</t>
  </si>
  <si>
    <t>gene09921-v1.0-hybrid</t>
  </si>
  <si>
    <t>gene10221-v1.0-hybrid</t>
  </si>
  <si>
    <t>gene10522-v1.0-hybrid</t>
  </si>
  <si>
    <t>gene10822-v1.0-hybrid</t>
  </si>
  <si>
    <t>gene11122-v1.0-hybrid</t>
  </si>
  <si>
    <t>gene11423-v1.0-hybrid</t>
  </si>
  <si>
    <t>gene11723-v1.0-hybrid</t>
  </si>
  <si>
    <t>gene12023-v1.0-hybrid</t>
  </si>
  <si>
    <t>gene12323-v1.0-hybrid</t>
  </si>
  <si>
    <t>gene12623-v1.0-hybrid</t>
  </si>
  <si>
    <t>gene12923-v1.0-hybrid</t>
  </si>
  <si>
    <t>gene13224-v1.0-hybrid</t>
  </si>
  <si>
    <t>gene13524-v1.0-hybrid</t>
  </si>
  <si>
    <t>gene13824-v1.0-hybrid</t>
  </si>
  <si>
    <t>gene14125-v1.0-hybrid</t>
  </si>
  <si>
    <t>gene14426-v1.0-hybrid</t>
  </si>
  <si>
    <t>gene15029-v1.0-hybrid</t>
  </si>
  <si>
    <t>gene15330-v1.0-hybrid</t>
  </si>
  <si>
    <t>gene15631-v1.0-hybrid</t>
  </si>
  <si>
    <t>gene15932-v1.0-hybrid</t>
  </si>
  <si>
    <t>gene16233-v1.0-hybrid</t>
  </si>
  <si>
    <t>gene16533-v1.0-hybrid</t>
  </si>
  <si>
    <t>gene16834-v1.0-hybrid</t>
  </si>
  <si>
    <t>gene17135-v1.0-hybrid</t>
  </si>
  <si>
    <t>gene17435-v1.0-hybrid</t>
  </si>
  <si>
    <t>gene17735-v1.0-hybrid</t>
  </si>
  <si>
    <t>gene18635-v1.0-hybrid</t>
  </si>
  <si>
    <t>gene18935-v1.0-hybrid</t>
  </si>
  <si>
    <t>gene19235-v1.0-hybrid</t>
  </si>
  <si>
    <t>gene19535-v1.0-hybrid</t>
  </si>
  <si>
    <t>gene19835-v1.0-hybrid</t>
  </si>
  <si>
    <t>gene20436-v1.0-hybrid</t>
  </si>
  <si>
    <t>gene20736-v1.0-hybrid</t>
  </si>
  <si>
    <t>gene21036-v1.0-hybrid</t>
  </si>
  <si>
    <t>gene22238-v1.0-hybrid</t>
  </si>
  <si>
    <t>gene22538-v1.0-hybrid</t>
  </si>
  <si>
    <t>gene22839-v1.0-hybrid</t>
  </si>
  <si>
    <t>gene23141-v1.0-hybrid</t>
  </si>
  <si>
    <t>gene23441-v1.0-hybrid</t>
  </si>
  <si>
    <t>gene23741-v1.0-hybrid</t>
  </si>
  <si>
    <t>gene24041-v1.0-hybrid</t>
  </si>
  <si>
    <t>gene24343-v1.0-hybrid</t>
  </si>
  <si>
    <t>gene24946-v1.0-hybrid</t>
  </si>
  <si>
    <t>gene25246-v1.0-hybrid</t>
  </si>
  <si>
    <t>gene25546-v1.0-hybrid</t>
  </si>
  <si>
    <t>gene25846-v1.0-hybrid</t>
  </si>
  <si>
    <t>gene26146-v1.0-hybrid</t>
  </si>
  <si>
    <t>gene26446-v1.0-hybrid</t>
  </si>
  <si>
    <t>gene26747-v1.0-hybrid</t>
  </si>
  <si>
    <t>gene27047-v1.0-hybrid</t>
  </si>
  <si>
    <t>gene27347-v1.0-hybrid</t>
  </si>
  <si>
    <t>gene27647-v1.0-hybrid</t>
  </si>
  <si>
    <t>gene28247-v1.0-hybrid</t>
  </si>
  <si>
    <t>gene29447-v1.0-hybrid</t>
  </si>
  <si>
    <t>gene29748-v1.0-hybrid</t>
  </si>
  <si>
    <t>gene30049-v1.0-hybrid</t>
  </si>
  <si>
    <t>gene30349-v1.0-hybrid</t>
  </si>
  <si>
    <t>gene30649-v1.0-hybrid</t>
  </si>
  <si>
    <t>gene30949-v1.0-hybrid</t>
  </si>
  <si>
    <t>gene31249-v1.0-hybrid</t>
  </si>
  <si>
    <t>gene31849-v1.0-hybrid</t>
  </si>
  <si>
    <t>gene32149-v1.0-hybrid</t>
  </si>
  <si>
    <t>gene32449-v1.0-hybrid</t>
  </si>
  <si>
    <t>gene33147-v1.0-hybrid</t>
  </si>
  <si>
    <t>gene34214-v1.0-hybrid</t>
  </si>
  <si>
    <t>gene34814-v1.0-hybrid</t>
  </si>
  <si>
    <t>gene35114-v1.0-hybrid</t>
  </si>
  <si>
    <t>gene00226-v1.0-hybrid</t>
  </si>
  <si>
    <t>gene00530-v1.0-hybrid</t>
  </si>
  <si>
    <t>gene00830-v1.0-hybrid</t>
  </si>
  <si>
    <t>gene01130-v1.0-hybrid</t>
  </si>
  <si>
    <t>gene01731-v1.0-hybrid</t>
  </si>
  <si>
    <t>gene02031-v1.0-hybrid</t>
  </si>
  <si>
    <t>gene02331-v1.0-hybrid</t>
  </si>
  <si>
    <t>gene02631-v1.0-hybrid</t>
  </si>
  <si>
    <t>gene03019-v1.0-hybrid</t>
  </si>
  <si>
    <t>gene03619-v1.0-hybrid</t>
  </si>
  <si>
    <t>gene04519-v1.0-hybrid</t>
  </si>
  <si>
    <t>gene04819-v1.0-hybrid</t>
  </si>
  <si>
    <t>gene05119-v1.0-hybrid</t>
  </si>
  <si>
    <t>gene05420-v1.0-hybrid</t>
  </si>
  <si>
    <t>gene05720-v1.0-hybrid</t>
  </si>
  <si>
    <t>gene06020-v1.0-hybrid</t>
  </si>
  <si>
    <t>gene06320-v1.0-hybrid</t>
  </si>
  <si>
    <t>gene06620-v1.0-hybrid</t>
  </si>
  <si>
    <t>gene06920-v1.0-hybrid</t>
  </si>
  <si>
    <t>gene07220-v1.0-hybrid</t>
  </si>
  <si>
    <t>gene07520-v1.0-hybrid</t>
  </si>
  <si>
    <t>gene07821-v1.0-hybrid</t>
  </si>
  <si>
    <t>gene08721-v1.0-hybrid</t>
  </si>
  <si>
    <t>gene09021-v1.0-hybrid</t>
  </si>
  <si>
    <t>gene09621-v1.0-hybrid</t>
  </si>
  <si>
    <t>gene09922-v1.0-hybrid</t>
  </si>
  <si>
    <t>gene10222-v1.0-hybrid</t>
  </si>
  <si>
    <t>gene10523-v1.0-hybrid</t>
  </si>
  <si>
    <t>gene10823-v1.0-hybrid</t>
  </si>
  <si>
    <t>gene11123-v1.0-hybrid</t>
  </si>
  <si>
    <t>gene11424-v1.0-hybrid</t>
  </si>
  <si>
    <t>gene11724-v1.0-hybrid</t>
  </si>
  <si>
    <t>gene12024-v1.0-hybrid</t>
  </si>
  <si>
    <t>gene12324-v1.0-hybrid</t>
  </si>
  <si>
    <t>gene12624-v1.0-hybrid</t>
  </si>
  <si>
    <t>gene12924-v1.0-hybrid</t>
  </si>
  <si>
    <t>gene13225-v1.0-hybrid</t>
  </si>
  <si>
    <t>gene13525-v1.0-hybrid</t>
  </si>
  <si>
    <t>gene13825-v1.0-hybrid</t>
  </si>
  <si>
    <t>gene14427-v1.0-hybrid</t>
  </si>
  <si>
    <t>gene14729-v1.0-hybrid</t>
  </si>
  <si>
    <t>gene15030-v1.0-hybrid</t>
  </si>
  <si>
    <t>gene15632-v1.0-hybrid</t>
  </si>
  <si>
    <t>gene16534-v1.0-hybrid</t>
  </si>
  <si>
    <t>gene17136-v1.0-hybrid</t>
  </si>
  <si>
    <t>gene17436-v1.0-hybrid</t>
  </si>
  <si>
    <t>gene17736-v1.0-hybrid</t>
  </si>
  <si>
    <t>gene18036-v1.0-hybrid</t>
  </si>
  <si>
    <t>gene18336-v1.0-hybrid</t>
  </si>
  <si>
    <t>gene18636-v1.0-hybrid</t>
  </si>
  <si>
    <t>gene18936-v1.0-hybrid</t>
  </si>
  <si>
    <t>gene19236-v1.0-hybrid</t>
  </si>
  <si>
    <t>gene19536-v1.0-hybrid</t>
  </si>
  <si>
    <t>gene19836-v1.0-hybrid</t>
  </si>
  <si>
    <t>gene20136-v1.0-hybrid</t>
  </si>
  <si>
    <t>gene20437-v1.0-hybrid</t>
  </si>
  <si>
    <t>gene21037-v1.0-hybrid</t>
  </si>
  <si>
    <t>gene21337-v1.0-hybrid</t>
  </si>
  <si>
    <t>gene21638-v1.0-hybrid</t>
  </si>
  <si>
    <t>gene21938-v1.0-hybrid</t>
  </si>
  <si>
    <t>gene22239-v1.0-hybrid</t>
  </si>
  <si>
    <t>gene22539-v1.0-hybrid</t>
  </si>
  <si>
    <t>gene22840-v1.0-hybrid</t>
  </si>
  <si>
    <t>gene23142-v1.0-hybrid</t>
  </si>
  <si>
    <t>gene23442-v1.0-hybrid</t>
  </si>
  <si>
    <t>gene24042-v1.0-hybrid</t>
  </si>
  <si>
    <t>gene24344-v1.0-hybrid</t>
  </si>
  <si>
    <t>gene24645-v1.0-hybrid</t>
  </si>
  <si>
    <t>gene24947-v1.0-hybrid</t>
  </si>
  <si>
    <t>gene25247-v1.0-hybrid</t>
  </si>
  <si>
    <t>gene25547-v1.0-hybrid</t>
  </si>
  <si>
    <t>gene25847-v1.0-hybrid</t>
  </si>
  <si>
    <t>gene26147-v1.0-hybrid</t>
  </si>
  <si>
    <t>gene26447-v1.0-hybrid</t>
  </si>
  <si>
    <t>gene26748-v1.0-hybrid</t>
  </si>
  <si>
    <t>gene27048-v1.0-hybrid</t>
  </si>
  <si>
    <t>gene27348-v1.0-hybrid</t>
  </si>
  <si>
    <t>gene27948-v1.0-hybrid</t>
  </si>
  <si>
    <t>gene28248-v1.0-hybrid</t>
  </si>
  <si>
    <t>gene28548-v1.0-hybrid</t>
  </si>
  <si>
    <t>gene29148-v1.0-hybrid</t>
  </si>
  <si>
    <t>gene29448-v1.0-hybrid</t>
  </si>
  <si>
    <t>gene29749-v1.0-hybrid</t>
  </si>
  <si>
    <t>gene30050-v1.0-hybrid</t>
  </si>
  <si>
    <t>gene30350-v1.0-hybrid</t>
  </si>
  <si>
    <t>gene30650-v1.0-hybrid</t>
  </si>
  <si>
    <t>gene30950-v1.0-hybrid</t>
  </si>
  <si>
    <t>gene31250-v1.0-hybrid</t>
  </si>
  <si>
    <t>gene31550-v1.0-hybrid</t>
  </si>
  <si>
    <t>gene31850-v1.0-hybrid</t>
  </si>
  <si>
    <t>gene32150-v1.0-hybrid</t>
  </si>
  <si>
    <t>gene32450-v1.0-hybrid</t>
  </si>
  <si>
    <t>gene34515-v1.0-hybrid</t>
  </si>
  <si>
    <t>gene34815-v1.0-hybrid</t>
  </si>
  <si>
    <t>gene00227-v1.0-hybrid</t>
  </si>
  <si>
    <t>gene00531-v1.0-hybrid</t>
  </si>
  <si>
    <t>gene00831-v1.0-hybrid</t>
  </si>
  <si>
    <t>gene01131-v1.0-hybrid</t>
  </si>
  <si>
    <t>gene01732-v1.0-hybrid</t>
  </si>
  <si>
    <t>gene02332-v1.0-hybrid</t>
  </si>
  <si>
    <t>gene02632-v1.0-hybrid</t>
  </si>
  <si>
    <t>gene03020-v1.0-hybrid</t>
  </si>
  <si>
    <t>gene03620-v1.0-hybrid</t>
  </si>
  <si>
    <t>gene03920-v1.0-hybrid</t>
  </si>
  <si>
    <t>gene04220-v1.0-hybrid</t>
  </si>
  <si>
    <t>gene04520-v1.0-hybrid</t>
  </si>
  <si>
    <t>gene05120-v1.0-hybrid</t>
  </si>
  <si>
    <t>gene06021-v1.0-hybrid</t>
  </si>
  <si>
    <t>gene06321-v1.0-hybrid</t>
  </si>
  <si>
    <t>gene06921-v1.0-hybrid</t>
  </si>
  <si>
    <t>gene07221-v1.0-hybrid</t>
  </si>
  <si>
    <t>gene07822-v1.0-hybrid</t>
  </si>
  <si>
    <t>gene08122-v1.0-hybrid</t>
  </si>
  <si>
    <t>gene08722-v1.0-hybrid</t>
  </si>
  <si>
    <t>gene09022-v1.0-hybrid</t>
  </si>
  <si>
    <t>gene09322-v1.0-hybrid</t>
  </si>
  <si>
    <t>gene09622-v1.0-hybrid</t>
  </si>
  <si>
    <t>gene10223-v1.0-hybrid</t>
  </si>
  <si>
    <t>gene10524-v1.0-hybrid</t>
  </si>
  <si>
    <t>gene10824-v1.0-hybrid</t>
  </si>
  <si>
    <t>gene11124-v1.0-hybrid</t>
  </si>
  <si>
    <t>gene11425-v1.0-hybrid</t>
  </si>
  <si>
    <t>gene11725-v1.0-hybrid</t>
  </si>
  <si>
    <t>gene12025-v1.0-hybrid</t>
  </si>
  <si>
    <t>gene12325-v1.0-hybrid</t>
  </si>
  <si>
    <t>gene12625-v1.0-hybrid</t>
  </si>
  <si>
    <t>gene12925-v1.0-hybrid</t>
  </si>
  <si>
    <t>gene13226-v1.0-hybrid</t>
  </si>
  <si>
    <t>gene13526-v1.0-hybrid</t>
  </si>
  <si>
    <t>gene14127-v1.0-hybrid</t>
  </si>
  <si>
    <t>gene14428-v1.0-hybrid</t>
  </si>
  <si>
    <t>gene15031-v1.0-hybrid</t>
  </si>
  <si>
    <t>gene15633-v1.0-hybrid</t>
  </si>
  <si>
    <t>gene15934-v1.0-hybrid</t>
  </si>
  <si>
    <t>gene16235-v1.0-hybrid</t>
  </si>
  <si>
    <t>gene16535-v1.0-hybrid</t>
  </si>
  <si>
    <t>gene16836-v1.0-hybrid</t>
  </si>
  <si>
    <t>gene17137-v1.0-hybrid</t>
  </si>
  <si>
    <t>gene17437-v1.0-hybrid</t>
  </si>
  <si>
    <t>gene17737-v1.0-hybrid</t>
  </si>
  <si>
    <t>gene18037-v1.0-hybrid</t>
  </si>
  <si>
    <t>gene18337-v1.0-hybrid</t>
  </si>
  <si>
    <t>gene18637-v1.0-hybrid</t>
  </si>
  <si>
    <t>gene19237-v1.0-hybrid</t>
  </si>
  <si>
    <t>gene19537-v1.0-hybrid</t>
  </si>
  <si>
    <t>gene19837-v1.0-hybrid</t>
  </si>
  <si>
    <t>gene20137-v1.0-hybrid</t>
  </si>
  <si>
    <t>gene20738-v1.0-hybrid</t>
  </si>
  <si>
    <t>gene21338-v1.0-hybrid</t>
  </si>
  <si>
    <t>gene21639-v1.0-hybrid</t>
  </si>
  <si>
    <t>gene22540-v1.0-hybrid</t>
  </si>
  <si>
    <t>gene22841-v1.0-hybrid</t>
  </si>
  <si>
    <t>gene23143-v1.0-hybrid</t>
  </si>
  <si>
    <t>gene23743-v1.0-hybrid</t>
  </si>
  <si>
    <t>gene24043-v1.0-hybrid</t>
  </si>
  <si>
    <t>gene24345-v1.0-hybrid</t>
  </si>
  <si>
    <t>gene24646-v1.0-hybrid</t>
  </si>
  <si>
    <t>gene25248-v1.0-hybrid</t>
  </si>
  <si>
    <t>gene25548-v1.0-hybrid</t>
  </si>
  <si>
    <t>gene25848-v1.0-hybrid</t>
  </si>
  <si>
    <t>gene26148-v1.0-hybrid</t>
  </si>
  <si>
    <t>gene26749-v1.0-hybrid</t>
  </si>
  <si>
    <t>gene27049-v1.0-hybrid</t>
  </si>
  <si>
    <t>gene27349-v1.0-hybrid</t>
  </si>
  <si>
    <t>gene27949-v1.0-hybrid</t>
  </si>
  <si>
    <t>gene28249-v1.0-hybrid</t>
  </si>
  <si>
    <t>gene28549-v1.0-hybrid</t>
  </si>
  <si>
    <t>gene28849-v1.0-hybrid</t>
  </si>
  <si>
    <t>gene29149-v1.0-hybrid</t>
  </si>
  <si>
    <t>gene29449-v1.0-hybrid</t>
  </si>
  <si>
    <t>gene30051-v1.0-hybrid</t>
  </si>
  <si>
    <t>gene30351-v1.0-hybrid</t>
  </si>
  <si>
    <t>gene30651-v1.0-hybrid</t>
  </si>
  <si>
    <t>gene30951-v1.0-hybrid</t>
  </si>
  <si>
    <t>gene31251-v1.0-hybrid</t>
  </si>
  <si>
    <t>gene31551-v1.0-hybrid</t>
  </si>
  <si>
    <t>gene32151-v1.0-hybrid</t>
  </si>
  <si>
    <t>gene32451-v1.0-hybrid</t>
  </si>
  <si>
    <t>gene00228-v1.0-hybrid</t>
  </si>
  <si>
    <t>gene00832-v1.0-hybrid</t>
  </si>
  <si>
    <t>gene01132-v1.0-hybrid</t>
  </si>
  <si>
    <t>gene01733-v1.0-hybrid</t>
  </si>
  <si>
    <t>gene02033-v1.0-hybrid</t>
  </si>
  <si>
    <t>gene02333-v1.0-hybrid</t>
  </si>
  <si>
    <t>gene02633-v1.0-hybrid</t>
  </si>
  <si>
    <t>gene03021-v1.0-hybrid</t>
  </si>
  <si>
    <t>gene03321-v1.0-hybrid</t>
  </si>
  <si>
    <t>gene03621-v1.0-hybrid</t>
  </si>
  <si>
    <t>gene03921-v1.0-hybrid</t>
  </si>
  <si>
    <t>gene04221-v1.0-hybrid</t>
  </si>
  <si>
    <t>gene04521-v1.0-hybrid</t>
  </si>
  <si>
    <t>gene04821-v1.0-hybrid</t>
  </si>
  <si>
    <t>gene05121-v1.0-hybrid</t>
  </si>
  <si>
    <t>gene05422-v1.0-hybrid</t>
  </si>
  <si>
    <t>gene05722-v1.0-hybrid</t>
  </si>
  <si>
    <t>gene06322-v1.0-hybrid</t>
  </si>
  <si>
    <t>gene06622-v1.0-hybrid</t>
  </si>
  <si>
    <t>gene06922-v1.0-hybrid</t>
  </si>
  <si>
    <t>gene07222-v1.0-hybrid</t>
  </si>
  <si>
    <t>gene07522-v1.0-hybrid</t>
  </si>
  <si>
    <t>gene08423-v1.0-hybrid</t>
  </si>
  <si>
    <t>gene08723-v1.0-hybrid</t>
  </si>
  <si>
    <t>gene09623-v1.0-hybrid</t>
  </si>
  <si>
    <t>gene09924-v1.0-hybrid</t>
  </si>
  <si>
    <t>gene10224-v1.0-hybrid</t>
  </si>
  <si>
    <t>gene10525-v1.0-hybrid</t>
  </si>
  <si>
    <t>gene10825-v1.0-hybrid</t>
  </si>
  <si>
    <t>gene11125-v1.0-hybrid</t>
  </si>
  <si>
    <t>gene11426-v1.0-hybrid</t>
  </si>
  <si>
    <t>gene12026-v1.0-hybrid</t>
  </si>
  <si>
    <t>gene12626-v1.0-hybrid</t>
  </si>
  <si>
    <t>gene12926-v1.0-hybrid</t>
  </si>
  <si>
    <t>gene13527-v1.0-hybrid</t>
  </si>
  <si>
    <t>gene14128-v1.0-hybrid</t>
  </si>
  <si>
    <t>gene14429-v1.0-hybrid</t>
  </si>
  <si>
    <t>gene14731-v1.0-hybrid</t>
  </si>
  <si>
    <t>gene15032-v1.0-hybrid</t>
  </si>
  <si>
    <t>gene15333-v1.0-hybrid</t>
  </si>
  <si>
    <t>gene15634-v1.0-hybrid</t>
  </si>
  <si>
    <t>gene15935-v1.0-hybrid</t>
  </si>
  <si>
    <t>gene16837-v1.0-hybrid</t>
  </si>
  <si>
    <t>gene17138-v1.0-hybrid</t>
  </si>
  <si>
    <t>gene17738-v1.0-hybrid</t>
  </si>
  <si>
    <t>gene18038-v1.0-hybrid</t>
  </si>
  <si>
    <t>gene18338-v1.0-hybrid</t>
  </si>
  <si>
    <t>gene18638-v1.0-hybrid</t>
  </si>
  <si>
    <t>gene18938-v1.0-hybrid</t>
  </si>
  <si>
    <t>gene19238-v1.0-hybrid</t>
  </si>
  <si>
    <t>gene19838-v1.0-hybrid</t>
  </si>
  <si>
    <t>gene20138-v1.0-hybrid</t>
  </si>
  <si>
    <t>gene20439-v1.0-hybrid</t>
  </si>
  <si>
    <t>gene20739-v1.0-hybrid</t>
  </si>
  <si>
    <t>gene21039-v1.0-hybrid</t>
  </si>
  <si>
    <t>gene21640-v1.0-hybrid</t>
  </si>
  <si>
    <t>gene21940-v1.0-hybrid</t>
  </si>
  <si>
    <t>gene22241-v1.0-hybrid</t>
  </si>
  <si>
    <t>gene22541-v1.0-hybrid</t>
  </si>
  <si>
    <t>gene23444-v1.0-hybrid</t>
  </si>
  <si>
    <t>gene23744-v1.0-hybrid</t>
  </si>
  <si>
    <t>gene24044-v1.0-hybrid</t>
  </si>
  <si>
    <t>gene24647-v1.0-hybrid</t>
  </si>
  <si>
    <t>gene24949-v1.0-hybrid</t>
  </si>
  <si>
    <t>gene25249-v1.0-hybrid</t>
  </si>
  <si>
    <t>gene25549-v1.0-hybrid</t>
  </si>
  <si>
    <t>gene25849-v1.0-hybrid</t>
  </si>
  <si>
    <t>gene26149-v1.0-hybrid</t>
  </si>
  <si>
    <t>gene27350-v1.0-hybrid</t>
  </si>
  <si>
    <t>gene27650-v1.0-hybrid</t>
  </si>
  <si>
    <t>gene27950-v1.0-hybrid</t>
  </si>
  <si>
    <t>gene28250-v1.0-hybrid</t>
  </si>
  <si>
    <t>gene28550-v1.0-hybrid</t>
  </si>
  <si>
    <t>gene29150-v1.0-hybrid</t>
  </si>
  <si>
    <t>gene29450-v1.0-hybrid</t>
  </si>
  <si>
    <t>gene29751-v1.0-hybrid</t>
  </si>
  <si>
    <t>gene30052-v1.0-hybrid</t>
  </si>
  <si>
    <t>gene30652-v1.0-hybrid</t>
  </si>
  <si>
    <t>gene30952-v1.0-hybrid</t>
  </si>
  <si>
    <t>gene31252-v1.0-hybrid</t>
  </si>
  <si>
    <t>gene32152-v1.0-hybrid</t>
  </si>
  <si>
    <t>gene32452-v1.0-hybrid</t>
  </si>
  <si>
    <t>gene32768-v1.0-hybrid</t>
  </si>
  <si>
    <t>gene34517-v1.0-hybrid</t>
  </si>
  <si>
    <t>gene00229-v1.0-hybrid</t>
  </si>
  <si>
    <t>gene00533-v1.0-hybrid</t>
  </si>
  <si>
    <t>gene00833-v1.0-hybrid</t>
  </si>
  <si>
    <t>gene01133-v1.0-hybrid</t>
  </si>
  <si>
    <t>gene01434-v1.0-hybrid</t>
  </si>
  <si>
    <t>gene01734-v1.0-hybrid</t>
  </si>
  <si>
    <t>gene02034-v1.0-hybrid</t>
  </si>
  <si>
    <t>gene02334-v1.0-hybrid</t>
  </si>
  <si>
    <t>gene02634-v1.0-hybrid</t>
  </si>
  <si>
    <t>gene03022-v1.0-hybrid</t>
  </si>
  <si>
    <t>gene03922-v1.0-hybrid</t>
  </si>
  <si>
    <t>gene04222-v1.0-hybrid</t>
  </si>
  <si>
    <t>gene04522-v1.0-hybrid</t>
  </si>
  <si>
    <t>gene04822-v1.0-hybrid</t>
  </si>
  <si>
    <t>gene05122-v1.0-hybrid</t>
  </si>
  <si>
    <t>gene05723-v1.0-hybrid</t>
  </si>
  <si>
    <t>gene06023-v1.0-hybrid</t>
  </si>
  <si>
    <t>gene06323-v1.0-hybrid</t>
  </si>
  <si>
    <t>gene06923-v1.0-hybrid</t>
  </si>
  <si>
    <t>gene07223-v1.0-hybrid</t>
  </si>
  <si>
    <t>gene07523-v1.0-hybrid</t>
  </si>
  <si>
    <t>gene07824-v1.0-hybrid</t>
  </si>
  <si>
    <t>gene08424-v1.0-hybrid</t>
  </si>
  <si>
    <t>gene08724-v1.0-hybrid</t>
  </si>
  <si>
    <t>gene09024-v1.0-hybrid</t>
  </si>
  <si>
    <t>gene09624-v1.0-hybrid</t>
  </si>
  <si>
    <t>gene09925-v1.0-hybrid</t>
  </si>
  <si>
    <t>gene10225-v1.0-hybrid</t>
  </si>
  <si>
    <t>gene10526-v1.0-hybrid</t>
  </si>
  <si>
    <t>gene10826-v1.0-hybrid</t>
  </si>
  <si>
    <t>gene11126-v1.0-hybrid</t>
  </si>
  <si>
    <t>gene11427-v1.0-hybrid</t>
  </si>
  <si>
    <t>gene12027-v1.0-hybrid</t>
  </si>
  <si>
    <t>gene12627-v1.0-hybrid</t>
  </si>
  <si>
    <t>gene12927-v1.0-hybrid</t>
  </si>
  <si>
    <t>gene13228-v1.0-hybrid</t>
  </si>
  <si>
    <t>gene13528-v1.0-hybrid</t>
  </si>
  <si>
    <t>gene13828-v1.0-hybrid</t>
  </si>
  <si>
    <t>gene14129-v1.0-hybrid</t>
  </si>
  <si>
    <t>gene14430-v1.0-hybrid</t>
  </si>
  <si>
    <t>gene14732-v1.0-hybrid</t>
  </si>
  <si>
    <t>gene15033-v1.0-hybrid</t>
  </si>
  <si>
    <t>gene15334-v1.0-hybrid</t>
  </si>
  <si>
    <t>gene15635-v1.0-hybrid</t>
  </si>
  <si>
    <t>gene15936-v1.0-hybrid</t>
  </si>
  <si>
    <t>gene16537-v1.0-hybrid</t>
  </si>
  <si>
    <t>gene16838-v1.0-hybrid</t>
  </si>
  <si>
    <t>gene17739-v1.0-hybrid</t>
  </si>
  <si>
    <t>gene18039-v1.0-hybrid</t>
  </si>
  <si>
    <t>gene18339-v1.0-hybrid</t>
  </si>
  <si>
    <t>gene18639-v1.0-hybrid</t>
  </si>
  <si>
    <t>gene18939-v1.0-hybrid</t>
  </si>
  <si>
    <t>gene19539-v1.0-hybrid</t>
  </si>
  <si>
    <t>gene20139-v1.0-hybrid</t>
  </si>
  <si>
    <t>gene20440-v1.0-hybrid</t>
  </si>
  <si>
    <t>gene21040-v1.0-hybrid</t>
  </si>
  <si>
    <t>gene21340-v1.0-hybrid</t>
  </si>
  <si>
    <t>gene21641-v1.0-hybrid</t>
  </si>
  <si>
    <t>gene21941-v1.0-hybrid</t>
  </si>
  <si>
    <t>gene22542-v1.0-hybrid</t>
  </si>
  <si>
    <t>gene22843-v1.0-hybrid</t>
  </si>
  <si>
    <t>gene23445-v1.0-hybrid</t>
  </si>
  <si>
    <t>gene23745-v1.0-hybrid</t>
  </si>
  <si>
    <t>gene24045-v1.0-hybrid</t>
  </si>
  <si>
    <t>gene25250-v1.0-hybrid</t>
  </si>
  <si>
    <t>gene25550-v1.0-hybrid</t>
  </si>
  <si>
    <t>gene25850-v1.0-hybrid</t>
  </si>
  <si>
    <t>gene26150-v1.0-hybrid</t>
  </si>
  <si>
    <t>gene26751-v1.0-hybrid</t>
  </si>
  <si>
    <t>gene27051-v1.0-hybrid</t>
  </si>
  <si>
    <t>gene27351-v1.0-hybrid</t>
  </si>
  <si>
    <t>gene27651-v1.0-hybrid</t>
  </si>
  <si>
    <t>gene27951-v1.0-hybrid</t>
  </si>
  <si>
    <t>gene28551-v1.0-hybrid</t>
  </si>
  <si>
    <t>gene29752-v1.0-hybrid</t>
  </si>
  <si>
    <t>gene30053-v1.0-hybrid</t>
  </si>
  <si>
    <t>gene30353-v1.0-hybrid</t>
  </si>
  <si>
    <t>gene30653-v1.0-hybrid</t>
  </si>
  <si>
    <t>gene30953-v1.0-hybrid</t>
  </si>
  <si>
    <t>gene31553-v1.0-hybrid</t>
  </si>
  <si>
    <t>gene32153-v1.0-hybrid</t>
  </si>
  <si>
    <t>gene32453-v1.0-hybrid</t>
  </si>
  <si>
    <t>gene34218-v1.0-hybrid</t>
  </si>
  <si>
    <t>gene34518-v1.0-hybrid</t>
  </si>
  <si>
    <t>gene35118-v1.0-hybrid</t>
  </si>
  <si>
    <t>gene00230-v1.0-hybrid</t>
  </si>
  <si>
    <t>gene00534-v1.0-hybrid</t>
  </si>
  <si>
    <t>gene00834-v1.0-hybrid</t>
  </si>
  <si>
    <t>gene01134-v1.0-hybrid</t>
  </si>
  <si>
    <t>gene01435-v1.0-hybrid</t>
  </si>
  <si>
    <t>gene01735-v1.0-hybrid</t>
  </si>
  <si>
    <t>gene02335-v1.0-hybrid</t>
  </si>
  <si>
    <t>gene02635-v1.0-hybrid</t>
  </si>
  <si>
    <t>gene03023-v1.0-hybrid</t>
  </si>
  <si>
    <t>gene03323-v1.0-hybrid</t>
  </si>
  <si>
    <t>gene03623-v1.0-hybrid</t>
  </si>
  <si>
    <t>gene03923-v1.0-hybrid</t>
  </si>
  <si>
    <t>gene04223-v1.0-hybrid</t>
  </si>
  <si>
    <t>gene04523-v1.0-hybrid</t>
  </si>
  <si>
    <t>gene04823-v1.0-hybrid</t>
  </si>
  <si>
    <t>gene05123-v1.0-hybrid</t>
  </si>
  <si>
    <t>gene05424-v1.0-hybrid</t>
  </si>
  <si>
    <t>gene05724-v1.0-hybrid</t>
  </si>
  <si>
    <t>gene06024-v1.0-hybrid</t>
  </si>
  <si>
    <t>gene06324-v1.0-hybrid</t>
  </si>
  <si>
    <t>gene06624-v1.0-hybrid</t>
  </si>
  <si>
    <t>gene06924-v1.0-hybrid</t>
  </si>
  <si>
    <t>gene07224-v1.0-hybrid</t>
  </si>
  <si>
    <t>gene07524-v1.0-hybrid</t>
  </si>
  <si>
    <t>gene08425-v1.0-hybrid</t>
  </si>
  <si>
    <t>gene08725-v1.0-hybrid</t>
  </si>
  <si>
    <t>gene09025-v1.0-hybrid</t>
  </si>
  <si>
    <t>gene09325-v1.0-hybrid</t>
  </si>
  <si>
    <t>gene09625-v1.0-hybrid</t>
  </si>
  <si>
    <t>gene09926-v1.0-hybrid</t>
  </si>
  <si>
    <t>gene10226-v1.0-hybrid</t>
  </si>
  <si>
    <t>gene10527-v1.0-hybrid</t>
  </si>
  <si>
    <t>gene10827-v1.0-hybrid</t>
  </si>
  <si>
    <t>gene11428-v1.0-hybrid</t>
  </si>
  <si>
    <t>gene11728-v1.0-hybrid</t>
  </si>
  <si>
    <t>gene12328-v1.0-hybrid</t>
  </si>
  <si>
    <t>gene12628-v1.0-hybrid</t>
  </si>
  <si>
    <t>gene12928-v1.0-hybrid</t>
  </si>
  <si>
    <t>gene13229-v1.0-hybrid</t>
  </si>
  <si>
    <t>gene13529-v1.0-hybrid</t>
  </si>
  <si>
    <t>gene13829-v1.0-hybrid</t>
  </si>
  <si>
    <t>gene14130-v1.0-hybrid</t>
  </si>
  <si>
    <t>gene14431-v1.0-hybrid</t>
  </si>
  <si>
    <t>gene14733-v1.0-hybrid</t>
  </si>
  <si>
    <t>gene15034-v1.0-hybrid</t>
  </si>
  <si>
    <t>gene15335-v1.0-hybrid</t>
  </si>
  <si>
    <t>gene15636-v1.0-hybrid</t>
  </si>
  <si>
    <t>gene15937-v1.0-hybrid</t>
  </si>
  <si>
    <t>gene16238-v1.0-hybrid</t>
  </si>
  <si>
    <t>gene16538-v1.0-hybrid</t>
  </si>
  <si>
    <t>gene16839-v1.0-hybrid</t>
  </si>
  <si>
    <t>gene17740-v1.0-hybrid</t>
  </si>
  <si>
    <t>gene18340-v1.0-hybrid</t>
  </si>
  <si>
    <t>gene18940-v1.0-hybrid</t>
  </si>
  <si>
    <t>gene19540-v1.0-hybrid</t>
  </si>
  <si>
    <t>gene19840-v1.0-hybrid</t>
  </si>
  <si>
    <t>gene20140-v1.0-hybrid</t>
  </si>
  <si>
    <t>gene21041-v1.0-hybrid</t>
  </si>
  <si>
    <t>gene21341-v1.0-hybrid</t>
  </si>
  <si>
    <t>gene21642-v1.0-hybrid</t>
  </si>
  <si>
    <t>gene23446-v1.0-hybrid</t>
  </si>
  <si>
    <t>gene23746-v1.0-hybrid</t>
  </si>
  <si>
    <t>gene24348-v1.0-hybrid</t>
  </si>
  <si>
    <t>gene24649-v1.0-hybrid</t>
  </si>
  <si>
    <t>gene25551-v1.0-hybrid</t>
  </si>
  <si>
    <t>gene26151-v1.0-hybrid</t>
  </si>
  <si>
    <t>gene26451-v1.0-hybrid</t>
  </si>
  <si>
    <t>gene27352-v1.0-hybrid</t>
  </si>
  <si>
    <t>gene28252-v1.0-hybrid</t>
  </si>
  <si>
    <t>gene28552-v1.0-hybrid</t>
  </si>
  <si>
    <t>gene29152-v1.0-hybrid</t>
  </si>
  <si>
    <t>gene29452-v1.0-hybrid</t>
  </si>
  <si>
    <t>gene30354-v1.0-hybrid</t>
  </si>
  <si>
    <t>gene30654-v1.0-hybrid</t>
  </si>
  <si>
    <t>gene30954-v1.0-hybrid</t>
  </si>
  <si>
    <t>gene31554-v1.0-hybrid</t>
  </si>
  <si>
    <t>gene31854-v1.0-hybrid</t>
  </si>
  <si>
    <t>gene32154-v1.0-hybrid</t>
  </si>
  <si>
    <t>gene32454-v1.0-hybrid</t>
  </si>
  <si>
    <t>gene34219-v1.0-hybrid</t>
  </si>
  <si>
    <t>gene35119-v1.0-hybrid</t>
  </si>
  <si>
    <t>gene00231-v1.0-hybrid</t>
  </si>
  <si>
    <t>gene00535-v1.0-hybrid</t>
  </si>
  <si>
    <t>gene00835-v1.0-hybrid</t>
  </si>
  <si>
    <t>gene01135-v1.0-hybrid</t>
  </si>
  <si>
    <t>gene01436-v1.0-hybrid</t>
  </si>
  <si>
    <t>gene02036-v1.0-hybrid</t>
  </si>
  <si>
    <t>gene02336-v1.0-hybrid</t>
  </si>
  <si>
    <t>gene02636-v1.0-hybrid</t>
  </si>
  <si>
    <t>gene03024-v1.0-hybrid</t>
  </si>
  <si>
    <t>gene03324-v1.0-hybrid</t>
  </si>
  <si>
    <t>gene03624-v1.0-hybrid</t>
  </si>
  <si>
    <t>gene03924-v1.0-hybrid</t>
  </si>
  <si>
    <t>gene04224-v1.0-hybrid</t>
  </si>
  <si>
    <t>gene04524-v1.0-hybrid</t>
  </si>
  <si>
    <t>gene04824-v1.0-hybrid</t>
  </si>
  <si>
    <t>gene05124-v1.0-hybrid</t>
  </si>
  <si>
    <t>gene05725-v1.0-hybrid</t>
  </si>
  <si>
    <t>gene06325-v1.0-hybrid</t>
  </si>
  <si>
    <t>gene06625-v1.0-hybrid</t>
  </si>
  <si>
    <t>gene06925-v1.0-hybrid</t>
  </si>
  <si>
    <t>gene07225-v1.0-hybrid</t>
  </si>
  <si>
    <t>gene07826-v1.0-hybrid</t>
  </si>
  <si>
    <t>gene08126-v1.0-hybrid</t>
  </si>
  <si>
    <t>gene08726-v1.0-hybrid</t>
  </si>
  <si>
    <t>gene09026-v1.0-hybrid</t>
  </si>
  <si>
    <t>gene09326-v1.0-hybrid</t>
  </si>
  <si>
    <t>gene09626-v1.0-hybrid</t>
  </si>
  <si>
    <t>gene09927-v1.0-hybrid</t>
  </si>
  <si>
    <t>gene10828-v1.0-hybrid</t>
  </si>
  <si>
    <t>gene11128-v1.0-hybrid</t>
  </si>
  <si>
    <t>gene11429-v1.0-hybrid</t>
  </si>
  <si>
    <t>gene11729-v1.0-hybrid</t>
  </si>
  <si>
    <t>gene12329-v1.0-hybrid</t>
  </si>
  <si>
    <t>gene12629-v1.0-hybrid</t>
  </si>
  <si>
    <t>gene12929-v1.0-hybrid</t>
  </si>
  <si>
    <t>gene13230-v1.0-hybrid</t>
  </si>
  <si>
    <t>gene13530-v1.0-hybrid</t>
  </si>
  <si>
    <t>gene13830-v1.0-hybrid</t>
  </si>
  <si>
    <t>gene14131-v1.0-hybrid</t>
  </si>
  <si>
    <t>gene14432-v1.0-hybrid</t>
  </si>
  <si>
    <t>gene14734-v1.0-hybrid</t>
  </si>
  <si>
    <t>gene15035-v1.0-hybrid</t>
  </si>
  <si>
    <t>gene15336-v1.0-hybrid</t>
  </si>
  <si>
    <t>gene15637-v1.0-hybrid</t>
  </si>
  <si>
    <t>gene16239-v1.0-hybrid</t>
  </si>
  <si>
    <t>gene16840-v1.0-hybrid</t>
  </si>
  <si>
    <t>gene17741-v1.0-hybrid</t>
  </si>
  <si>
    <t>gene18041-v1.0-hybrid</t>
  </si>
  <si>
    <t>gene18341-v1.0-hybrid</t>
  </si>
  <si>
    <t>gene18641-v1.0-hybrid</t>
  </si>
  <si>
    <t>gene18941-v1.0-hybrid</t>
  </si>
  <si>
    <t>gene19241-v1.0-hybrid</t>
  </si>
  <si>
    <t>gene19541-v1.0-hybrid</t>
  </si>
  <si>
    <t>gene19841-v1.0-hybrid</t>
  </si>
  <si>
    <t>gene20141-v1.0-hybrid</t>
  </si>
  <si>
    <t>gene20442-v1.0-hybrid</t>
  </si>
  <si>
    <t>gene20742-v1.0-hybrid</t>
  </si>
  <si>
    <t>gene21042-v1.0-hybrid</t>
  </si>
  <si>
    <t>gene21342-v1.0-hybrid</t>
  </si>
  <si>
    <t>gene21943-v1.0-hybrid</t>
  </si>
  <si>
    <t>gene22244-v1.0-hybrid</t>
  </si>
  <si>
    <t>gene22544-v1.0-hybrid</t>
  </si>
  <si>
    <t>gene22845-v1.0-hybrid</t>
  </si>
  <si>
    <t>gene23147-v1.0-hybrid</t>
  </si>
  <si>
    <t>gene23447-v1.0-hybrid</t>
  </si>
  <si>
    <t>gene23747-v1.0-hybrid</t>
  </si>
  <si>
    <t>gene24047-v1.0-hybrid</t>
  </si>
  <si>
    <t>gene24349-v1.0-hybrid</t>
  </si>
  <si>
    <t>gene24952-v1.0-hybrid</t>
  </si>
  <si>
    <t>gene25252-v1.0-hybrid</t>
  </si>
  <si>
    <t>gene25552-v1.0-hybrid</t>
  </si>
  <si>
    <t>gene25852-v1.0-hybrid</t>
  </si>
  <si>
    <t>gene26753-v1.0-hybrid</t>
  </si>
  <si>
    <t>gene27053-v1.0-hybrid</t>
  </si>
  <si>
    <t>gene27353-v1.0-hybrid</t>
  </si>
  <si>
    <t>gene27953-v1.0-hybrid</t>
  </si>
  <si>
    <t>gene28253-v1.0-hybrid</t>
  </si>
  <si>
    <t>gene28553-v1.0-hybrid</t>
  </si>
  <si>
    <t>gene29453-v1.0-hybrid</t>
  </si>
  <si>
    <t>gene29754-v1.0-hybrid</t>
  </si>
  <si>
    <t>gene30955-v1.0-hybrid</t>
  </si>
  <si>
    <t>gene31855-v1.0-hybrid</t>
  </si>
  <si>
    <t>gene32155-v1.0-hybrid</t>
  </si>
  <si>
    <t>gene32455-v1.0-hybrid</t>
  </si>
  <si>
    <t>gene33562-v1.0-hybrid</t>
  </si>
  <si>
    <t>gene34220-v1.0-hybrid</t>
  </si>
  <si>
    <t>gene34520-v1.0-hybrid</t>
  </si>
  <si>
    <t>gene00232-v1.0-hybrid</t>
  </si>
  <si>
    <t>gene00536-v1.0-hybrid</t>
  </si>
  <si>
    <t>gene00836-v1.0-hybrid</t>
  </si>
  <si>
    <t>gene01136-v1.0-hybrid</t>
  </si>
  <si>
    <t>gene01437-v1.0-hybrid</t>
  </si>
  <si>
    <t>gene02037-v1.0-hybrid</t>
  </si>
  <si>
    <t>gene02337-v1.0-hybrid</t>
  </si>
  <si>
    <t>gene02637-v1.0-hybrid</t>
  </si>
  <si>
    <t>gene03025-v1.0-hybrid</t>
  </si>
  <si>
    <t>gene03325-v1.0-hybrid</t>
  </si>
  <si>
    <t>gene03625-v1.0-hybrid</t>
  </si>
  <si>
    <t>gene03925-v1.0-hybrid</t>
  </si>
  <si>
    <t>gene04225-v1.0-hybrid</t>
  </si>
  <si>
    <t>gene04525-v1.0-hybrid</t>
  </si>
  <si>
    <t>gene04825-v1.0-hybrid</t>
  </si>
  <si>
    <t>gene05125-v1.0-hybrid</t>
  </si>
  <si>
    <t>gene05426-v1.0-hybrid</t>
  </si>
  <si>
    <t>gene05726-v1.0-hybrid</t>
  </si>
  <si>
    <t>gene06026-v1.0-hybrid</t>
  </si>
  <si>
    <t>gene06326-v1.0-hybrid</t>
  </si>
  <si>
    <t>gene06626-v1.0-hybrid</t>
  </si>
  <si>
    <t>gene06926-v1.0-hybrid</t>
  </si>
  <si>
    <t>gene07827-v1.0-hybrid</t>
  </si>
  <si>
    <t>gene08127-v1.0-hybrid</t>
  </si>
  <si>
    <t>gene08427-v1.0-hybrid</t>
  </si>
  <si>
    <t>gene08727-v1.0-hybrid</t>
  </si>
  <si>
    <t>gene09027-v1.0-hybrid</t>
  </si>
  <si>
    <t>gene09327-v1.0-hybrid</t>
  </si>
  <si>
    <t>gene09627-v1.0-hybrid</t>
  </si>
  <si>
    <t>gene09928-v1.0-hybrid</t>
  </si>
  <si>
    <t>gene10529-v1.0-hybrid</t>
  </si>
  <si>
    <t>gene10829-v1.0-hybrid</t>
  </si>
  <si>
    <t>gene11129-v1.0-hybrid</t>
  </si>
  <si>
    <t>gene11430-v1.0-hybrid</t>
  </si>
  <si>
    <t>gene11730-v1.0-hybrid</t>
  </si>
  <si>
    <t>gene12030-v1.0-hybrid</t>
  </si>
  <si>
    <t>gene12330-v1.0-hybrid</t>
  </si>
  <si>
    <t>gene12930-v1.0-hybrid</t>
  </si>
  <si>
    <t>gene13231-v1.0-hybrid</t>
  </si>
  <si>
    <t>gene13831-v1.0-hybrid</t>
  </si>
  <si>
    <t>gene14433-v1.0-hybrid</t>
  </si>
  <si>
    <t>gene14735-v1.0-hybrid</t>
  </si>
  <si>
    <t>gene15036-v1.0-hybrid</t>
  </si>
  <si>
    <t>gene16240-v1.0-hybrid</t>
  </si>
  <si>
    <t>gene16540-v1.0-hybrid</t>
  </si>
  <si>
    <t>gene16841-v1.0-hybrid</t>
  </si>
  <si>
    <t>gene17142-v1.0-hybrid</t>
  </si>
  <si>
    <t>gene17742-v1.0-hybrid</t>
  </si>
  <si>
    <t>gene18342-v1.0-hybrid</t>
  </si>
  <si>
    <t>gene18642-v1.0-hybrid</t>
  </si>
  <si>
    <t>gene18942-v1.0-hybrid</t>
  </si>
  <si>
    <t>gene19242-v1.0-hybrid</t>
  </si>
  <si>
    <t>gene19542-v1.0-hybrid</t>
  </si>
  <si>
    <t>gene19842-v1.0-hybrid</t>
  </si>
  <si>
    <t>gene20142-v1.0-hybrid</t>
  </si>
  <si>
    <t>gene21043-v1.0-hybrid</t>
  </si>
  <si>
    <t>gene21343-v1.0-hybrid</t>
  </si>
  <si>
    <t>gene21644-v1.0-hybrid</t>
  </si>
  <si>
    <t>gene22245-v1.0-hybrid</t>
  </si>
  <si>
    <t>gene22545-v1.0-hybrid</t>
  </si>
  <si>
    <t>gene23148-v1.0-hybrid</t>
  </si>
  <si>
    <t>gene23748-v1.0-hybrid</t>
  </si>
  <si>
    <t>gene24048-v1.0-hybrid</t>
  </si>
  <si>
    <t>gene24350-v1.0-hybrid</t>
  </si>
  <si>
    <t>gene24953-v1.0-hybrid</t>
  </si>
  <si>
    <t>gene25553-v1.0-hybrid</t>
  </si>
  <si>
    <t>gene26153-v1.0-hybrid</t>
  </si>
  <si>
    <t>gene26754-v1.0-hybrid</t>
  </si>
  <si>
    <t>gene27054-v1.0-hybrid</t>
  </si>
  <si>
    <t>gene27354-v1.0-hybrid</t>
  </si>
  <si>
    <t>gene27654-v1.0-hybrid</t>
  </si>
  <si>
    <t>gene28254-v1.0-hybrid</t>
  </si>
  <si>
    <t>gene29154-v1.0-hybrid</t>
  </si>
  <si>
    <t>gene29454-v1.0-hybrid</t>
  </si>
  <si>
    <t>gene29755-v1.0-hybrid</t>
  </si>
  <si>
    <t>gene30056-v1.0-hybrid</t>
  </si>
  <si>
    <t>gene30356-v1.0-hybrid</t>
  </si>
  <si>
    <t>gene30656-v1.0-hybrid</t>
  </si>
  <si>
    <t>gene30956-v1.0-hybrid</t>
  </si>
  <si>
    <t>gene31256-v1.0-hybrid</t>
  </si>
  <si>
    <t>gene31556-v1.0-hybrid</t>
  </si>
  <si>
    <t>gene32156-v1.0-hybrid</t>
  </si>
  <si>
    <t>gene32456-v1.0-hybrid</t>
  </si>
  <si>
    <t>gene34221-v1.0-hybrid</t>
  </si>
  <si>
    <t>gene34521-v1.0-hybrid</t>
  </si>
  <si>
    <t>gene35121-v1.0-hybrid</t>
  </si>
  <si>
    <t>gene00233-v1.0-hybrid</t>
  </si>
  <si>
    <t>gene00537-v1.0-hybrid</t>
  </si>
  <si>
    <t>gene00837-v1.0-hybrid</t>
  </si>
  <si>
    <t>gene01438-v1.0-hybrid</t>
  </si>
  <si>
    <t>gene02038-v1.0-hybrid</t>
  </si>
  <si>
    <t>gene02638-v1.0-hybrid</t>
  </si>
  <si>
    <t>gene03026-v1.0-hybrid</t>
  </si>
  <si>
    <t>gene03326-v1.0-hybrid</t>
  </si>
  <si>
    <t>gene03626-v1.0-hybrid</t>
  </si>
  <si>
    <t>gene03926-v1.0-hybrid</t>
  </si>
  <si>
    <t>gene04226-v1.0-hybrid</t>
  </si>
  <si>
    <t>gene04526-v1.0-hybrid</t>
  </si>
  <si>
    <t>gene04826-v1.0-hybrid</t>
  </si>
  <si>
    <t>gene05126-v1.0-hybrid</t>
  </si>
  <si>
    <t>gene05427-v1.0-hybrid</t>
  </si>
  <si>
    <t>gene05727-v1.0-hybrid</t>
  </si>
  <si>
    <t>gene06327-v1.0-hybrid</t>
  </si>
  <si>
    <t>gene06927-v1.0-hybrid</t>
  </si>
  <si>
    <t>gene07227-v1.0-hybrid</t>
  </si>
  <si>
    <t>gene07527-v1.0-hybrid</t>
  </si>
  <si>
    <t>gene07828-v1.0-hybrid</t>
  </si>
  <si>
    <t>gene08128-v1.0-hybrid</t>
  </si>
  <si>
    <t>gene08428-v1.0-hybrid</t>
  </si>
  <si>
    <t>gene08728-v1.0-hybrid</t>
  </si>
  <si>
    <t>gene09028-v1.0-hybrid</t>
  </si>
  <si>
    <t>gene09328-v1.0-hybrid</t>
  </si>
  <si>
    <t>gene09929-v1.0-hybrid</t>
  </si>
  <si>
    <t>gene10229-v1.0-hybrid</t>
  </si>
  <si>
    <t>gene10530-v1.0-hybrid</t>
  </si>
  <si>
    <t>gene10830-v1.0-hybrid</t>
  </si>
  <si>
    <t>gene11130-v1.0-hybrid</t>
  </si>
  <si>
    <t>gene11431-v1.0-hybrid</t>
  </si>
  <si>
    <t>gene11731-v1.0-hybrid</t>
  </si>
  <si>
    <t>gene12331-v1.0-hybrid</t>
  </si>
  <si>
    <t>gene12631-v1.0-hybrid</t>
  </si>
  <si>
    <t>gene12931-v1.0-hybrid</t>
  </si>
  <si>
    <t>gene13232-v1.0-hybrid</t>
  </si>
  <si>
    <t>gene13532-v1.0-hybrid</t>
  </si>
  <si>
    <t>gene13832-v1.0-hybrid</t>
  </si>
  <si>
    <t>gene14133-v1.0-hybrid</t>
  </si>
  <si>
    <t>gene14434-v1.0-hybrid</t>
  </si>
  <si>
    <t>gene14736-v1.0-hybrid</t>
  </si>
  <si>
    <t>gene15338-v1.0-hybrid</t>
  </si>
  <si>
    <t>gene15940-v1.0-hybrid</t>
  </si>
  <si>
    <t>gene16241-v1.0-hybrid</t>
  </si>
  <si>
    <t>gene16541-v1.0-hybrid</t>
  </si>
  <si>
    <t>gene16842-v1.0-hybrid</t>
  </si>
  <si>
    <t>gene17143-v1.0-hybrid</t>
  </si>
  <si>
    <t>gene17443-v1.0-hybrid</t>
  </si>
  <si>
    <t>gene17743-v1.0-hybrid</t>
  </si>
  <si>
    <t>gene18043-v1.0-hybrid</t>
  </si>
  <si>
    <t>gene18343-v1.0-hybrid</t>
  </si>
  <si>
    <t>gene18643-v1.0-hybrid</t>
  </si>
  <si>
    <t>gene19243-v1.0-hybrid</t>
  </si>
  <si>
    <t>gene19543-v1.0-hybrid</t>
  </si>
  <si>
    <t>gene19843-v1.0-hybrid</t>
  </si>
  <si>
    <t>gene20143-v1.0-hybrid</t>
  </si>
  <si>
    <t>gene20444-v1.0-hybrid</t>
  </si>
  <si>
    <t>gene20744-v1.0-hybrid</t>
  </si>
  <si>
    <t>gene21044-v1.0-hybrid</t>
  </si>
  <si>
    <t>gene21344-v1.0-hybrid</t>
  </si>
  <si>
    <t>gene21645-v1.0-hybrid</t>
  </si>
  <si>
    <t>gene21945-v1.0-hybrid</t>
  </si>
  <si>
    <t>gene22246-v1.0-hybrid</t>
  </si>
  <si>
    <t>gene22546-v1.0-hybrid</t>
  </si>
  <si>
    <t>gene22847-v1.0-hybrid</t>
  </si>
  <si>
    <t>gene23449-v1.0-hybrid</t>
  </si>
  <si>
    <t>gene23749-v1.0-hybrid</t>
  </si>
  <si>
    <t>gene24049-v1.0-hybrid</t>
  </si>
  <si>
    <t>gene24351-v1.0-hybrid</t>
  </si>
  <si>
    <t>gene24652-v1.0-hybrid</t>
  </si>
  <si>
    <t>gene24954-v1.0-hybrid</t>
  </si>
  <si>
    <t>gene25554-v1.0-hybrid</t>
  </si>
  <si>
    <t>gene25854-v1.0-hybrid</t>
  </si>
  <si>
    <t>gene26154-v1.0-hybrid</t>
  </si>
  <si>
    <t>gene26454-v1.0-hybrid</t>
  </si>
  <si>
    <t>gene27355-v1.0-hybrid</t>
  </si>
  <si>
    <t>gene27955-v1.0-hybrid</t>
  </si>
  <si>
    <t>gene28255-v1.0-hybrid</t>
  </si>
  <si>
    <t>gene28555-v1.0-hybrid</t>
  </si>
  <si>
    <t>gene28855-v1.0-hybrid</t>
  </si>
  <si>
    <t>gene29155-v1.0-hybrid</t>
  </si>
  <si>
    <t>gene29455-v1.0-hybrid</t>
  </si>
  <si>
    <t>gene29756-v1.0-hybrid</t>
  </si>
  <si>
    <t>gene30057-v1.0-hybrid</t>
  </si>
  <si>
    <t>gene30357-v1.0-hybrid</t>
  </si>
  <si>
    <t>gene30657-v1.0-hybrid</t>
  </si>
  <si>
    <t>gene30957-v1.0-hybrid</t>
  </si>
  <si>
    <t>gene31557-v1.0-hybrid</t>
  </si>
  <si>
    <t>gene31857-v1.0-hybrid</t>
  </si>
  <si>
    <t>gene32157-v1.0-hybrid</t>
  </si>
  <si>
    <t>gene32457-v1.0-hybrid</t>
  </si>
  <si>
    <t>gene32776-v1.0-hybrid</t>
  </si>
  <si>
    <t>gene33564-v1.0-hybrid</t>
  </si>
  <si>
    <t>gene34222-v1.0-hybrid</t>
  </si>
  <si>
    <t>gene34522-v1.0-hybrid</t>
  </si>
  <si>
    <t>gene35122-v1.0-hybrid</t>
  </si>
  <si>
    <t>gene00234-v1.0-hybrid</t>
  </si>
  <si>
    <t>gene00838-v1.0-hybrid</t>
  </si>
  <si>
    <t>gene01138-v1.0-hybrid</t>
  </si>
  <si>
    <t>gene01439-v1.0-hybrid</t>
  </si>
  <si>
    <t>gene02339-v1.0-hybrid</t>
  </si>
  <si>
    <t>gene02639-v1.0-hybrid</t>
  </si>
  <si>
    <t>gene03027-v1.0-hybrid</t>
  </si>
  <si>
    <t>gene03327-v1.0-hybrid</t>
  </si>
  <si>
    <t>gene03627-v1.0-hybrid</t>
  </si>
  <si>
    <t>gene03927-v1.0-hybrid</t>
  </si>
  <si>
    <t>gene04227-v1.0-hybrid</t>
  </si>
  <si>
    <t>gene04527-v1.0-hybrid</t>
  </si>
  <si>
    <t>gene04827-v1.0-hybrid</t>
  </si>
  <si>
    <t>gene05127-v1.0-hybrid</t>
  </si>
  <si>
    <t>gene05428-v1.0-hybrid</t>
  </si>
  <si>
    <t>gene05728-v1.0-hybrid</t>
  </si>
  <si>
    <t>gene06028-v1.0-hybrid</t>
  </si>
  <si>
    <t>gene06328-v1.0-hybrid</t>
  </si>
  <si>
    <t>gene06628-v1.0-hybrid</t>
  </si>
  <si>
    <t>gene06928-v1.0-hybrid</t>
  </si>
  <si>
    <t>gene07528-v1.0-hybrid</t>
  </si>
  <si>
    <t>gene07829-v1.0-hybrid</t>
  </si>
  <si>
    <t>gene08129-v1.0-hybrid</t>
  </si>
  <si>
    <t>gene08429-v1.0-hybrid</t>
  </si>
  <si>
    <t>gene08729-v1.0-hybrid</t>
  </si>
  <si>
    <t>gene09029-v1.0-hybrid</t>
  </si>
  <si>
    <t>gene09329-v1.0-hybrid</t>
  </si>
  <si>
    <t>gene09629-v1.0-hybrid</t>
  </si>
  <si>
    <t>gene09930-v1.0-hybrid</t>
  </si>
  <si>
    <t>gene10531-v1.0-hybrid</t>
  </si>
  <si>
    <t>gene10831-v1.0-hybrid</t>
  </si>
  <si>
    <t>gene11131-v1.0-hybrid</t>
  </si>
  <si>
    <t>gene11432-v1.0-hybrid</t>
  </si>
  <si>
    <t>gene11732-v1.0-hybrid</t>
  </si>
  <si>
    <t>gene12032-v1.0-hybrid</t>
  </si>
  <si>
    <t>gene12332-v1.0-hybrid</t>
  </si>
  <si>
    <t>gene12632-v1.0-hybrid</t>
  </si>
  <si>
    <t>gene12932-v1.0-hybrid</t>
  </si>
  <si>
    <t>gene13233-v1.0-hybrid</t>
  </si>
  <si>
    <t>gene13533-v1.0-hybrid</t>
  </si>
  <si>
    <t>gene13833-v1.0-hybrid</t>
  </si>
  <si>
    <t>gene14134-v1.0-hybrid</t>
  </si>
  <si>
    <t>gene14435-v1.0-hybrid</t>
  </si>
  <si>
    <t>gene14737-v1.0-hybrid</t>
  </si>
  <si>
    <t>gene15038-v1.0-hybrid</t>
  </si>
  <si>
    <t>gene15640-v1.0-hybrid</t>
  </si>
  <si>
    <t>gene16242-v1.0-hybrid</t>
  </si>
  <si>
    <t>gene16542-v1.0-hybrid</t>
  </si>
  <si>
    <t>gene17144-v1.0-hybrid</t>
  </si>
  <si>
    <t>gene17444-v1.0-hybrid</t>
  </si>
  <si>
    <t>gene17744-v1.0-hybrid</t>
  </si>
  <si>
    <t>gene18044-v1.0-hybrid</t>
  </si>
  <si>
    <t>gene18944-v1.0-hybrid</t>
  </si>
  <si>
    <t>gene19244-v1.0-hybrid</t>
  </si>
  <si>
    <t>gene19544-v1.0-hybrid</t>
  </si>
  <si>
    <t>gene19844-v1.0-hybrid</t>
  </si>
  <si>
    <t>gene21345-v1.0-hybrid</t>
  </si>
  <si>
    <t>gene21646-v1.0-hybrid</t>
  </si>
  <si>
    <t>gene21946-v1.0-hybrid</t>
  </si>
  <si>
    <t>gene22247-v1.0-hybrid</t>
  </si>
  <si>
    <t>gene22547-v1.0-hybrid</t>
  </si>
  <si>
    <t>gene22848-v1.0-hybrid</t>
  </si>
  <si>
    <t>gene23150-v1.0-hybrid</t>
  </si>
  <si>
    <t>gene23450-v1.0-hybrid</t>
  </si>
  <si>
    <t>gene23750-v1.0-hybrid</t>
  </si>
  <si>
    <t>gene24050-v1.0-hybrid</t>
  </si>
  <si>
    <t>gene24352-v1.0-hybrid</t>
  </si>
  <si>
    <t>gene24653-v1.0-hybrid</t>
  </si>
  <si>
    <t>gene25255-v1.0-hybrid</t>
  </si>
  <si>
    <t>gene25555-v1.0-hybrid</t>
  </si>
  <si>
    <t>gene25855-v1.0-hybrid</t>
  </si>
  <si>
    <t>gene26756-v1.0-hybrid</t>
  </si>
  <si>
    <t>gene27056-v1.0-hybrid</t>
  </si>
  <si>
    <t>gene27356-v1.0-hybrid</t>
  </si>
  <si>
    <t>gene27956-v1.0-hybrid</t>
  </si>
  <si>
    <t>gene28256-v1.0-hybrid</t>
  </si>
  <si>
    <t>gene28556-v1.0-hybrid</t>
  </si>
  <si>
    <t>gene28856-v1.0-hybrid</t>
  </si>
  <si>
    <t>gene29156-v1.0-hybrid</t>
  </si>
  <si>
    <t>gene29456-v1.0-hybrid</t>
  </si>
  <si>
    <t>gene29757-v1.0-hybrid</t>
  </si>
  <si>
    <t>gene30058-v1.0-hybrid</t>
  </si>
  <si>
    <t>gene30658-v1.0-hybrid</t>
  </si>
  <si>
    <t>gene30958-v1.0-hybrid</t>
  </si>
  <si>
    <t>gene31558-v1.0-hybrid</t>
  </si>
  <si>
    <t>gene31858-v1.0-hybrid</t>
  </si>
  <si>
    <t>gene32158-v1.0-hybrid</t>
  </si>
  <si>
    <t>gene32458-v1.0-hybrid</t>
  </si>
  <si>
    <t>gene32777-v1.0-hybrid</t>
  </si>
  <si>
    <t>gene34223-v1.0-hybrid</t>
  </si>
  <si>
    <t>gene00235-v1.0-hybrid</t>
  </si>
  <si>
    <t>gene00539-v1.0-hybrid</t>
  </si>
  <si>
    <t>gene00839-v1.0-hybrid</t>
  </si>
  <si>
    <t>gene01139-v1.0-hybrid</t>
  </si>
  <si>
    <t>gene01440-v1.0-hybrid</t>
  </si>
  <si>
    <t>gene01740-v1.0-hybrid</t>
  </si>
  <si>
    <t>gene02040-v1.0-hybrid</t>
  </si>
  <si>
    <t>gene02340-v1.0-hybrid</t>
  </si>
  <si>
    <t>gene02640-v1.0-hybrid</t>
  </si>
  <si>
    <t>gene03028-v1.0-hybrid</t>
  </si>
  <si>
    <t>gene03328-v1.0-hybrid</t>
  </si>
  <si>
    <t>gene03628-v1.0-hybrid</t>
  </si>
  <si>
    <t>gene03928-v1.0-hybrid</t>
  </si>
  <si>
    <t>gene04228-v1.0-hybrid</t>
  </si>
  <si>
    <t>gene04528-v1.0-hybrid</t>
  </si>
  <si>
    <t>gene04828-v1.0-hybrid</t>
  </si>
  <si>
    <t>gene05128-v1.0-hybrid</t>
  </si>
  <si>
    <t>gene05429-v1.0-hybrid</t>
  </si>
  <si>
    <t>gene05729-v1.0-hybrid</t>
  </si>
  <si>
    <t>gene06329-v1.0-hybrid</t>
  </si>
  <si>
    <t>gene06629-v1.0-hybrid</t>
  </si>
  <si>
    <t>gene06929-v1.0-hybrid</t>
  </si>
  <si>
    <t>gene07229-v1.0-hybrid</t>
  </si>
  <si>
    <t>gene08130-v1.0-hybrid</t>
  </si>
  <si>
    <t>gene08430-v1.0-hybrid</t>
  </si>
  <si>
    <t>gene08730-v1.0-hybrid</t>
  </si>
  <si>
    <t>gene09030-v1.0-hybrid</t>
  </si>
  <si>
    <t>gene09330-v1.0-hybrid</t>
  </si>
  <si>
    <t>gene09630-v1.0-hybrid</t>
  </si>
  <si>
    <t>gene09931-v1.0-hybrid</t>
  </si>
  <si>
    <t>gene10231-v1.0-hybrid</t>
  </si>
  <si>
    <t>gene10532-v1.0-hybrid</t>
  </si>
  <si>
    <t>gene11132-v1.0-hybrid</t>
  </si>
  <si>
    <t>gene11433-v1.0-hybrid</t>
  </si>
  <si>
    <t>gene11733-v1.0-hybrid</t>
  </si>
  <si>
    <t>gene12033-v1.0-hybrid</t>
  </si>
  <si>
    <t>gene12633-v1.0-hybrid</t>
  </si>
  <si>
    <t>gene12933-v1.0-hybrid</t>
  </si>
  <si>
    <t>gene13234-v1.0-hybrid</t>
  </si>
  <si>
    <t>gene13534-v1.0-hybrid</t>
  </si>
  <si>
    <t>gene13834-v1.0-hybrid</t>
  </si>
  <si>
    <t>gene14135-v1.0-hybrid</t>
  </si>
  <si>
    <t>gene14436-v1.0-hybrid</t>
  </si>
  <si>
    <t>gene14738-v1.0-hybrid</t>
  </si>
  <si>
    <t>gene15039-v1.0-hybrid</t>
  </si>
  <si>
    <t>gene15641-v1.0-hybrid</t>
  </si>
  <si>
    <t>gene16243-v1.0-hybrid</t>
  </si>
  <si>
    <t>gene16543-v1.0-hybrid</t>
  </si>
  <si>
    <t>gene16844-v1.0-hybrid</t>
  </si>
  <si>
    <t>gene17145-v1.0-hybrid</t>
  </si>
  <si>
    <t>gene17445-v1.0-hybrid</t>
  </si>
  <si>
    <t>gene17745-v1.0-hybrid</t>
  </si>
  <si>
    <t>gene18645-v1.0-hybrid</t>
  </si>
  <si>
    <t>gene18945-v1.0-hybrid</t>
  </si>
  <si>
    <t>gene19245-v1.0-hybrid</t>
  </si>
  <si>
    <t>gene19545-v1.0-hybrid</t>
  </si>
  <si>
    <t>gene19845-v1.0-hybrid</t>
  </si>
  <si>
    <t>gene20145-v1.0-hybrid</t>
  </si>
  <si>
    <t>gene20746-v1.0-hybrid</t>
  </si>
  <si>
    <t>gene21346-v1.0-hybrid</t>
  </si>
  <si>
    <t>gene22248-v1.0-hybrid</t>
  </si>
  <si>
    <t>gene22548-v1.0-hybrid</t>
  </si>
  <si>
    <t>gene22849-v1.0-hybrid</t>
  </si>
  <si>
    <t>gene23451-v1.0-hybrid</t>
  </si>
  <si>
    <t>gene23751-v1.0-hybrid</t>
  </si>
  <si>
    <t>gene24353-v1.0-hybrid</t>
  </si>
  <si>
    <t>gene24654-v1.0-hybrid</t>
  </si>
  <si>
    <t>gene25256-v1.0-hybrid</t>
  </si>
  <si>
    <t>gene25556-v1.0-hybrid</t>
  </si>
  <si>
    <t>gene25856-v1.0-hybrid</t>
  </si>
  <si>
    <t>gene26156-v1.0-hybrid</t>
  </si>
  <si>
    <t>gene26757-v1.0-hybrid</t>
  </si>
  <si>
    <t>gene27357-v1.0-hybrid</t>
  </si>
  <si>
    <t>gene27657-v1.0-hybrid</t>
  </si>
  <si>
    <t>gene28257-v1.0-hybrid</t>
  </si>
  <si>
    <t>gene28857-v1.0-hybrid</t>
  </si>
  <si>
    <t>gene29457-v1.0-hybrid</t>
  </si>
  <si>
    <t>gene29758-v1.0-hybrid</t>
  </si>
  <si>
    <t>gene30059-v1.0-hybrid</t>
  </si>
  <si>
    <t>gene30359-v1.0-hybrid</t>
  </si>
  <si>
    <t>gene30659-v1.0-hybrid</t>
  </si>
  <si>
    <t>gene30959-v1.0-hybrid</t>
  </si>
  <si>
    <t>gene31559-v1.0-hybrid</t>
  </si>
  <si>
    <t>gene31859-v1.0-hybrid</t>
  </si>
  <si>
    <t>gene32159-v1.0-hybrid</t>
  </si>
  <si>
    <t>gene32459-v1.0-hybrid</t>
  </si>
  <si>
    <t>gene32778-v1.0-hybrid</t>
  </si>
  <si>
    <t>gene33924-v1.0-hybrid</t>
  </si>
  <si>
    <t>gene34224-v1.0-hybrid</t>
  </si>
  <si>
    <t>gene34524-v1.0-hybrid</t>
  </si>
  <si>
    <t>gene35124-v1.0-hybrid</t>
  </si>
  <si>
    <t>gene00236-v1.0-hybrid</t>
  </si>
  <si>
    <t>gene00540-v1.0-hybrid</t>
  </si>
  <si>
    <t>gene00840-v1.0-hybrid</t>
  </si>
  <si>
    <t>gene01140-v1.0-hybrid</t>
  </si>
  <si>
    <t>gene01441-v1.0-hybrid</t>
  </si>
  <si>
    <t>gene01741-v1.0-hybrid</t>
  </si>
  <si>
    <t>gene02041-v1.0-hybrid</t>
  </si>
  <si>
    <t>gene02341-v1.0-hybrid</t>
  </si>
  <si>
    <t>gene03029-v1.0-hybrid</t>
  </si>
  <si>
    <t>gene03629-v1.0-hybrid</t>
  </si>
  <si>
    <t>gene03929-v1.0-hybrid</t>
  </si>
  <si>
    <t>gene04229-v1.0-hybrid</t>
  </si>
  <si>
    <t>gene04529-v1.0-hybrid</t>
  </si>
  <si>
    <t>gene04829-v1.0-hybrid</t>
  </si>
  <si>
    <t>gene05129-v1.0-hybrid</t>
  </si>
  <si>
    <t>gene05430-v1.0-hybrid</t>
  </si>
  <si>
    <t>gene05730-v1.0-hybrid</t>
  </si>
  <si>
    <t>gene06030-v1.0-hybrid</t>
  </si>
  <si>
    <t>gene06330-v1.0-hybrid</t>
  </si>
  <si>
    <t>gene06630-v1.0-hybrid</t>
  </si>
  <si>
    <t>gene06930-v1.0-hybrid</t>
  </si>
  <si>
    <t>gene07230-v1.0-hybrid</t>
  </si>
  <si>
    <t>gene07530-v1.0-hybrid</t>
  </si>
  <si>
    <t>gene08131-v1.0-hybrid</t>
  </si>
  <si>
    <t>gene08431-v1.0-hybrid</t>
  </si>
  <si>
    <t>gene08731-v1.0-hybrid</t>
  </si>
  <si>
    <t>gene09031-v1.0-hybrid</t>
  </si>
  <si>
    <t>gene09331-v1.0-hybrid</t>
  </si>
  <si>
    <t>gene09631-v1.0-hybrid</t>
  </si>
  <si>
    <t>gene09932-v1.0-hybrid</t>
  </si>
  <si>
    <t>gene10533-v1.0-hybrid</t>
  </si>
  <si>
    <t>gene10833-v1.0-hybrid</t>
  </si>
  <si>
    <t>gene11133-v1.0-hybrid</t>
  </si>
  <si>
    <t>gene11434-v1.0-hybrid</t>
  </si>
  <si>
    <t>gene11734-v1.0-hybrid</t>
  </si>
  <si>
    <t>gene12034-v1.0-hybrid</t>
  </si>
  <si>
    <t>gene12334-v1.0-hybrid</t>
  </si>
  <si>
    <t>gene12634-v1.0-hybrid</t>
  </si>
  <si>
    <t>gene12934-v1.0-hybrid</t>
  </si>
  <si>
    <t>gene13235-v1.0-hybrid</t>
  </si>
  <si>
    <t>gene14136-v1.0-hybrid</t>
  </si>
  <si>
    <t>gene14437-v1.0-hybrid</t>
  </si>
  <si>
    <t>gene14739-v1.0-hybrid</t>
  </si>
  <si>
    <t>gene15040-v1.0-hybrid</t>
  </si>
  <si>
    <t>gene15341-v1.0-hybrid</t>
  </si>
  <si>
    <t>gene15642-v1.0-hybrid</t>
  </si>
  <si>
    <t>gene15943-v1.0-hybrid</t>
  </si>
  <si>
    <t>gene16244-v1.0-hybrid</t>
  </si>
  <si>
    <t>gene16544-v1.0-hybrid</t>
  </si>
  <si>
    <t>gene16845-v1.0-hybrid</t>
  </si>
  <si>
    <t>gene17146-v1.0-hybrid</t>
  </si>
  <si>
    <t>gene17446-v1.0-hybrid</t>
  </si>
  <si>
    <t>gene17746-v1.0-hybrid</t>
  </si>
  <si>
    <t>gene18046-v1.0-hybrid</t>
  </si>
  <si>
    <t>gene18346-v1.0-hybrid</t>
  </si>
  <si>
    <t>gene18646-v1.0-hybrid</t>
  </si>
  <si>
    <t>gene18946-v1.0-hybrid</t>
  </si>
  <si>
    <t>gene19246-v1.0-hybrid</t>
  </si>
  <si>
    <t>gene19546-v1.0-hybrid</t>
  </si>
  <si>
    <t>gene19846-v1.0-hybrid</t>
  </si>
  <si>
    <t>gene20146-v1.0-hybrid</t>
  </si>
  <si>
    <t>gene20447-v1.0-hybrid</t>
  </si>
  <si>
    <t>gene20747-v1.0-hybrid</t>
  </si>
  <si>
    <t>gene21047-v1.0-hybrid</t>
  </si>
  <si>
    <t>gene21347-v1.0-hybrid</t>
  </si>
  <si>
    <t>gene22549-v1.0-hybrid</t>
  </si>
  <si>
    <t>gene23752-v1.0-hybrid</t>
  </si>
  <si>
    <t>gene24052-v1.0-hybrid</t>
  </si>
  <si>
    <t>gene24354-v1.0-hybrid</t>
  </si>
  <si>
    <t>gene24655-v1.0-hybrid</t>
  </si>
  <si>
    <t>gene25257-v1.0-hybrid</t>
  </si>
  <si>
    <t>gene25557-v1.0-hybrid</t>
  </si>
  <si>
    <t>gene25857-v1.0-hybrid</t>
  </si>
  <si>
    <t>gene26457-v1.0-hybrid</t>
  </si>
  <si>
    <t>gene26758-v1.0-hybrid</t>
  </si>
  <si>
    <t>gene27058-v1.0-hybrid</t>
  </si>
  <si>
    <t>gene27958-v1.0-hybrid</t>
  </si>
  <si>
    <t>gene28258-v1.0-hybrid</t>
  </si>
  <si>
    <t>gene28558-v1.0-hybrid</t>
  </si>
  <si>
    <t>gene28858-v1.0-hybrid</t>
  </si>
  <si>
    <t>gene29458-v1.0-hybrid</t>
  </si>
  <si>
    <t>gene29759-v1.0-hybrid</t>
  </si>
  <si>
    <t>gene30060-v1.0-hybrid</t>
  </si>
  <si>
    <t>gene30360-v1.0-hybrid</t>
  </si>
  <si>
    <t>gene30660-v1.0-hybrid</t>
  </si>
  <si>
    <t>gene31260-v1.0-hybrid</t>
  </si>
  <si>
    <t>gene31560-v1.0-hybrid</t>
  </si>
  <si>
    <t>gene31860-v1.0-hybrid</t>
  </si>
  <si>
    <t>gene32160-v1.0-hybrid</t>
  </si>
  <si>
    <t>gene32460-v1.0-hybrid</t>
  </si>
  <si>
    <t>gene32779-v1.0-hybrid</t>
  </si>
  <si>
    <t>gene34225-v1.0-hybrid</t>
  </si>
  <si>
    <t>gene34525-v1.0-hybrid</t>
  </si>
  <si>
    <t>gene00237-v1.0-hybrid</t>
  </si>
  <si>
    <t>gene00541-v1.0-hybrid</t>
  </si>
  <si>
    <t>gene00841-v1.0-hybrid</t>
  </si>
  <si>
    <t>gene01141-v1.0-hybrid</t>
  </si>
  <si>
    <t>gene01442-v1.0-hybrid</t>
  </si>
  <si>
    <t>gene01742-v1.0-hybrid</t>
  </si>
  <si>
    <t>gene02042-v1.0-hybrid</t>
  </si>
  <si>
    <t>gene02342-v1.0-hybrid</t>
  </si>
  <si>
    <t>gene02642-v1.0-hybrid</t>
  </si>
  <si>
    <t>gene03030-v1.0-hybrid</t>
  </si>
  <si>
    <t>gene03630-v1.0-hybrid</t>
  </si>
  <si>
    <t>gene03930-v1.0-hybrid</t>
  </si>
  <si>
    <t>gene04530-v1.0-hybrid</t>
  </si>
  <si>
    <t>gene05431-v1.0-hybrid</t>
  </si>
  <si>
    <t>gene05731-v1.0-hybrid</t>
  </si>
  <si>
    <t>gene06331-v1.0-hybrid</t>
  </si>
  <si>
    <t>gene06631-v1.0-hybrid</t>
  </si>
  <si>
    <t>gene06931-v1.0-hybrid</t>
  </si>
  <si>
    <t>gene07231-v1.0-hybrid</t>
  </si>
  <si>
    <t>gene08432-v1.0-hybrid</t>
  </si>
  <si>
    <t>gene08732-v1.0-hybrid</t>
  </si>
  <si>
    <t>gene09032-v1.0-hybrid</t>
  </si>
  <si>
    <t>gene09632-v1.0-hybrid</t>
  </si>
  <si>
    <t>gene09933-v1.0-hybrid</t>
  </si>
  <si>
    <t>gene10534-v1.0-hybrid</t>
  </si>
  <si>
    <t>gene10834-v1.0-hybrid</t>
  </si>
  <si>
    <t>gene11134-v1.0-hybrid</t>
  </si>
  <si>
    <t>gene12035-v1.0-hybrid</t>
  </si>
  <si>
    <t>gene12335-v1.0-hybrid</t>
  </si>
  <si>
    <t>gene12635-v1.0-hybrid</t>
  </si>
  <si>
    <t>gene12935-v1.0-hybrid</t>
  </si>
  <si>
    <t>gene13236-v1.0-hybrid</t>
  </si>
  <si>
    <t>gene14137-v1.0-hybrid</t>
  </si>
  <si>
    <t>gene14438-v1.0-hybrid</t>
  </si>
  <si>
    <t>gene15041-v1.0-hybrid</t>
  </si>
  <si>
    <t>gene15643-v1.0-hybrid</t>
  </si>
  <si>
    <t>gene15944-v1.0-hybrid</t>
  </si>
  <si>
    <t>gene16245-v1.0-hybrid</t>
  </si>
  <si>
    <t>gene16545-v1.0-hybrid</t>
  </si>
  <si>
    <t>gene17447-v1.0-hybrid</t>
  </si>
  <si>
    <t>gene17747-v1.0-hybrid</t>
  </si>
  <si>
    <t>gene18047-v1.0-hybrid</t>
  </si>
  <si>
    <t>gene18347-v1.0-hybrid</t>
  </si>
  <si>
    <t>gene19247-v1.0-hybrid</t>
  </si>
  <si>
    <t>gene19847-v1.0-hybrid</t>
  </si>
  <si>
    <t>gene20147-v1.0-hybrid</t>
  </si>
  <si>
    <t>gene20448-v1.0-hybrid</t>
  </si>
  <si>
    <t>gene20748-v1.0-hybrid</t>
  </si>
  <si>
    <t>gene21348-v1.0-hybrid</t>
  </si>
  <si>
    <t>gene21949-v1.0-hybrid</t>
  </si>
  <si>
    <t>gene22851-v1.0-hybrid</t>
  </si>
  <si>
    <t>gene23153-v1.0-hybrid</t>
  </si>
  <si>
    <t>gene23453-v1.0-hybrid</t>
  </si>
  <si>
    <t>gene23753-v1.0-hybrid</t>
  </si>
  <si>
    <t>gene24053-v1.0-hybrid</t>
  </si>
  <si>
    <t>gene24656-v1.0-hybrid</t>
  </si>
  <si>
    <t>gene25258-v1.0-hybrid</t>
  </si>
  <si>
    <t>gene26458-v1.0-hybrid</t>
  </si>
  <si>
    <t>gene26759-v1.0-hybrid</t>
  </si>
  <si>
    <t>gene27059-v1.0-hybrid</t>
  </si>
  <si>
    <t>gene27359-v1.0-hybrid</t>
  </si>
  <si>
    <t>gene27659-v1.0-hybrid</t>
  </si>
  <si>
    <t>gene27959-v1.0-hybrid</t>
  </si>
  <si>
    <t>gene28559-v1.0-hybrid</t>
  </si>
  <si>
    <t>gene28859-v1.0-hybrid</t>
  </si>
  <si>
    <t>gene29159-v1.0-hybrid</t>
  </si>
  <si>
    <t>gene29459-v1.0-hybrid</t>
  </si>
  <si>
    <t>gene29760-v1.0-hybrid</t>
  </si>
  <si>
    <t>gene30361-v1.0-hybrid</t>
  </si>
  <si>
    <t>gene30661-v1.0-hybrid</t>
  </si>
  <si>
    <t>gene30961-v1.0-hybrid</t>
  </si>
  <si>
    <t>gene31561-v1.0-hybrid</t>
  </si>
  <si>
    <t>gene31861-v1.0-hybrid</t>
  </si>
  <si>
    <t>gene32161-v1.0-hybrid</t>
  </si>
  <si>
    <t>gene32461-v1.0-hybrid</t>
  </si>
  <si>
    <t>gene34226-v1.0-hybrid</t>
  </si>
  <si>
    <t>gene34526-v1.0-hybrid</t>
  </si>
  <si>
    <t>gene00238-v1.0-hybrid</t>
  </si>
  <si>
    <t>gene00542-v1.0-hybrid</t>
  </si>
  <si>
    <t>gene00842-v1.0-hybrid</t>
  </si>
  <si>
    <t>gene01142-v1.0-hybrid</t>
  </si>
  <si>
    <t>gene01443-v1.0-hybrid</t>
  </si>
  <si>
    <t>gene02043-v1.0-hybrid</t>
  </si>
  <si>
    <t>gene02343-v1.0-hybrid</t>
  </si>
  <si>
    <t>gene02643-v1.0-hybrid</t>
  </si>
  <si>
    <t>gene03031-v1.0-hybrid</t>
  </si>
  <si>
    <t>gene03331-v1.0-hybrid</t>
  </si>
  <si>
    <t>gene03631-v1.0-hybrid</t>
  </si>
  <si>
    <t>gene04231-v1.0-hybrid</t>
  </si>
  <si>
    <t>gene04531-v1.0-hybrid</t>
  </si>
  <si>
    <t>gene04831-v1.0-hybrid</t>
  </si>
  <si>
    <t>gene05131-v1.0-hybrid</t>
  </si>
  <si>
    <t>gene05432-v1.0-hybrid</t>
  </si>
  <si>
    <t>gene05732-v1.0-hybrid</t>
  </si>
  <si>
    <t>gene06032-v1.0-hybrid</t>
  </si>
  <si>
    <t>gene06332-v1.0-hybrid</t>
  </si>
  <si>
    <t>gene06632-v1.0-hybrid</t>
  </si>
  <si>
    <t>gene06932-v1.0-hybrid</t>
  </si>
  <si>
    <t>gene07232-v1.0-hybrid</t>
  </si>
  <si>
    <t>gene07532-v1.0-hybrid</t>
  </si>
  <si>
    <t>gene07833-v1.0-hybrid</t>
  </si>
  <si>
    <t>gene08133-v1.0-hybrid</t>
  </si>
  <si>
    <t>gene08433-v1.0-hybrid</t>
  </si>
  <si>
    <t>gene08733-v1.0-hybrid</t>
  </si>
  <si>
    <t>gene09333-v1.0-hybrid</t>
  </si>
  <si>
    <t>gene09633-v1.0-hybrid</t>
  </si>
  <si>
    <t>gene09934-v1.0-hybrid</t>
  </si>
  <si>
    <t>gene10234-v1.0-hybrid</t>
  </si>
  <si>
    <t>gene10535-v1.0-hybrid</t>
  </si>
  <si>
    <t>gene10835-v1.0-hybrid</t>
  </si>
  <si>
    <t>gene11436-v1.0-hybrid</t>
  </si>
  <si>
    <t>gene11736-v1.0-hybrid</t>
  </si>
  <si>
    <t>gene12336-v1.0-hybrid</t>
  </si>
  <si>
    <t>gene12636-v1.0-hybrid</t>
  </si>
  <si>
    <t>gene13237-v1.0-hybrid</t>
  </si>
  <si>
    <t>gene13537-v1.0-hybrid</t>
  </si>
  <si>
    <t>gene13837-v1.0-hybrid</t>
  </si>
  <si>
    <t>gene14138-v1.0-hybrid</t>
  </si>
  <si>
    <t>gene14439-v1.0-hybrid</t>
  </si>
  <si>
    <t>gene14741-v1.0-hybrid</t>
  </si>
  <si>
    <t>gene15042-v1.0-hybrid</t>
  </si>
  <si>
    <t>gene15644-v1.0-hybrid</t>
  </si>
  <si>
    <t>gene15945-v1.0-hybrid</t>
  </si>
  <si>
    <t>gene16546-v1.0-hybrid</t>
  </si>
  <si>
    <t>gene16847-v1.0-hybrid</t>
  </si>
  <si>
    <t>gene17148-v1.0-hybrid</t>
  </si>
  <si>
    <t>gene17448-v1.0-hybrid</t>
  </si>
  <si>
    <t>gene17748-v1.0-hybrid</t>
  </si>
  <si>
    <t>gene18048-v1.0-hybrid</t>
  </si>
  <si>
    <t>gene18348-v1.0-hybrid</t>
  </si>
  <si>
    <t>gene18648-v1.0-hybrid</t>
  </si>
  <si>
    <t>gene19248-v1.0-hybrid</t>
  </si>
  <si>
    <t>gene19548-v1.0-hybrid</t>
  </si>
  <si>
    <t>gene19848-v1.0-hybrid</t>
  </si>
  <si>
    <t>gene20148-v1.0-hybrid</t>
  </si>
  <si>
    <t>gene20449-v1.0-hybrid</t>
  </si>
  <si>
    <t>gene21049-v1.0-hybrid</t>
  </si>
  <si>
    <t>gene21349-v1.0-hybrid</t>
  </si>
  <si>
    <t>gene21950-v1.0-hybrid</t>
  </si>
  <si>
    <t>gene22251-v1.0-hybrid</t>
  </si>
  <si>
    <t>gene22852-v1.0-hybrid</t>
  </si>
  <si>
    <t>gene23154-v1.0-hybrid</t>
  </si>
  <si>
    <t>gene23454-v1.0-hybrid</t>
  </si>
  <si>
    <t>gene24054-v1.0-hybrid</t>
  </si>
  <si>
    <t>gene24356-v1.0-hybrid</t>
  </si>
  <si>
    <t>gene24657-v1.0-hybrid</t>
  </si>
  <si>
    <t>gene25559-v1.0-hybrid</t>
  </si>
  <si>
    <t>gene25859-v1.0-hybrid</t>
  </si>
  <si>
    <t>gene26459-v1.0-hybrid</t>
  </si>
  <si>
    <t>gene26760-v1.0-hybrid</t>
  </si>
  <si>
    <t>gene27060-v1.0-hybrid</t>
  </si>
  <si>
    <t>gene27360-v1.0-hybrid</t>
  </si>
  <si>
    <t>gene27960-v1.0-hybrid</t>
  </si>
  <si>
    <t>gene28260-v1.0-hybrid</t>
  </si>
  <si>
    <t>gene28560-v1.0-hybrid</t>
  </si>
  <si>
    <t>gene28860-v1.0-hybrid</t>
  </si>
  <si>
    <t>gene29160-v1.0-hybrid</t>
  </si>
  <si>
    <t>gene29761-v1.0-hybrid</t>
  </si>
  <si>
    <t>gene30362-v1.0-hybrid</t>
  </si>
  <si>
    <t>gene30662-v1.0-hybrid</t>
  </si>
  <si>
    <t>gene30962-v1.0-hybrid</t>
  </si>
  <si>
    <t>gene31562-v1.0-hybrid</t>
  </si>
  <si>
    <t>gene31862-v1.0-hybrid</t>
  </si>
  <si>
    <t>gene32162-v1.0-hybrid</t>
  </si>
  <si>
    <t>gene32462-v1.0-hybrid</t>
  </si>
  <si>
    <t>gene32781-v1.0-hybrid</t>
  </si>
  <si>
    <t>gene33927-v1.0-hybrid</t>
  </si>
  <si>
    <t>gene34227-v1.0-hybrid</t>
  </si>
  <si>
    <t>gene34527-v1.0-hybrid</t>
  </si>
  <si>
    <t>gene00239-v1.0-hybrid</t>
  </si>
  <si>
    <t>gene00843-v1.0-hybrid</t>
  </si>
  <si>
    <t>gene01143-v1.0-hybrid</t>
  </si>
  <si>
    <t>gene01444-v1.0-hybrid</t>
  </si>
  <si>
    <t>gene02044-v1.0-hybrid</t>
  </si>
  <si>
    <t>gene02344-v1.0-hybrid</t>
  </si>
  <si>
    <t>gene02644-v1.0-hybrid</t>
  </si>
  <si>
    <t>gene03332-v1.0-hybrid</t>
  </si>
  <si>
    <t>gene03632-v1.0-hybrid</t>
  </si>
  <si>
    <t>gene04232-v1.0-hybrid</t>
  </si>
  <si>
    <t>gene04832-v1.0-hybrid</t>
  </si>
  <si>
    <t>gene05132-v1.0-hybrid</t>
  </si>
  <si>
    <t>gene05433-v1.0-hybrid</t>
  </si>
  <si>
    <t>gene05733-v1.0-hybrid</t>
  </si>
  <si>
    <t>gene06033-v1.0-hybrid</t>
  </si>
  <si>
    <t>gene06333-v1.0-hybrid</t>
  </si>
  <si>
    <t>gene06633-v1.0-hybrid</t>
  </si>
  <si>
    <t>gene06933-v1.0-hybrid</t>
  </si>
  <si>
    <t>gene07233-v1.0-hybrid</t>
  </si>
  <si>
    <t>gene07533-v1.0-hybrid</t>
  </si>
  <si>
    <t>gene07834-v1.0-hybrid</t>
  </si>
  <si>
    <t>gene08134-v1.0-hybrid</t>
  </si>
  <si>
    <t>gene08434-v1.0-hybrid</t>
  </si>
  <si>
    <t>gene08734-v1.0-hybrid</t>
  </si>
  <si>
    <t>gene09034-v1.0-hybrid</t>
  </si>
  <si>
    <t>gene09334-v1.0-hybrid</t>
  </si>
  <si>
    <t>gene09634-v1.0-hybrid</t>
  </si>
  <si>
    <t>gene10235-v1.0-hybrid</t>
  </si>
  <si>
    <t>gene10536-v1.0-hybrid</t>
  </si>
  <si>
    <t>gene10836-v1.0-hybrid</t>
  </si>
  <si>
    <t>gene11136-v1.0-hybrid</t>
  </si>
  <si>
    <t>gene11437-v1.0-hybrid</t>
  </si>
  <si>
    <t>gene11737-v1.0-hybrid</t>
  </si>
  <si>
    <t>gene12037-v1.0-hybrid</t>
  </si>
  <si>
    <t>gene12337-v1.0-hybrid</t>
  </si>
  <si>
    <t>gene12637-v1.0-hybrid</t>
  </si>
  <si>
    <t>gene12937-v1.0-hybrid</t>
  </si>
  <si>
    <t>gene13238-v1.0-hybrid</t>
  </si>
  <si>
    <t>gene13838-v1.0-hybrid</t>
  </si>
  <si>
    <t>gene14139-v1.0-hybrid</t>
  </si>
  <si>
    <t>gene14742-v1.0-hybrid</t>
  </si>
  <si>
    <t>gene15043-v1.0-hybrid</t>
  </si>
  <si>
    <t>gene15344-v1.0-hybrid</t>
  </si>
  <si>
    <t>gene16247-v1.0-hybrid</t>
  </si>
  <si>
    <t>gene16547-v1.0-hybrid</t>
  </si>
  <si>
    <t>gene17149-v1.0-hybrid</t>
  </si>
  <si>
    <t>gene17749-v1.0-hybrid</t>
  </si>
  <si>
    <t>gene18049-v1.0-hybrid</t>
  </si>
  <si>
    <t>gene18349-v1.0-hybrid</t>
  </si>
  <si>
    <t>gene18649-v1.0-hybrid</t>
  </si>
  <si>
    <t>gene18949-v1.0-hybrid</t>
  </si>
  <si>
    <t>gene19549-v1.0-hybrid</t>
  </si>
  <si>
    <t>gene19849-v1.0-hybrid</t>
  </si>
  <si>
    <t>gene20149-v1.0-hybrid</t>
  </si>
  <si>
    <t>gene20450-v1.0-hybrid</t>
  </si>
  <si>
    <t>gene20750-v1.0-hybrid</t>
  </si>
  <si>
    <t>gene21350-v1.0-hybrid</t>
  </si>
  <si>
    <t>gene21651-v1.0-hybrid</t>
  </si>
  <si>
    <t>gene21951-v1.0-hybrid</t>
  </si>
  <si>
    <t>gene22252-v1.0-hybrid</t>
  </si>
  <si>
    <t>gene22552-v1.0-hybrid</t>
  </si>
  <si>
    <t>gene23155-v1.0-hybrid</t>
  </si>
  <si>
    <t>gene23455-v1.0-hybrid</t>
  </si>
  <si>
    <t>gene24055-v1.0-hybrid</t>
  </si>
  <si>
    <t>gene24658-v1.0-hybrid</t>
  </si>
  <si>
    <t>gene24960-v1.0-hybrid</t>
  </si>
  <si>
    <t>gene25260-v1.0-hybrid</t>
  </si>
  <si>
    <t>gene25560-v1.0-hybrid</t>
  </si>
  <si>
    <t>gene26460-v1.0-hybrid</t>
  </si>
  <si>
    <t>gene26761-v1.0-hybrid</t>
  </si>
  <si>
    <t>gene27061-v1.0-hybrid</t>
  </si>
  <si>
    <t>gene27661-v1.0-hybrid</t>
  </si>
  <si>
    <t>gene28561-v1.0-hybrid</t>
  </si>
  <si>
    <t>gene28861-v1.0-hybrid</t>
  </si>
  <si>
    <t>gene29161-v1.0-hybrid</t>
  </si>
  <si>
    <t>gene29461-v1.0-hybrid</t>
  </si>
  <si>
    <t>gene30363-v1.0-hybrid</t>
  </si>
  <si>
    <t>gene30663-v1.0-hybrid</t>
  </si>
  <si>
    <t>gene30963-v1.0-hybrid</t>
  </si>
  <si>
    <t>gene31563-v1.0-hybrid</t>
  </si>
  <si>
    <t>gene31863-v1.0-hybrid</t>
  </si>
  <si>
    <t>gene32163-v1.0-hybrid</t>
  </si>
  <si>
    <t>gene32463-v1.0-hybrid</t>
  </si>
  <si>
    <t>gene34228-v1.0-hybrid</t>
  </si>
  <si>
    <t>gene34528-v1.0-hybrid</t>
  </si>
  <si>
    <t>gene35128-v1.0-hybrid</t>
  </si>
  <si>
    <t>gene00240-v1.0-hybrid</t>
  </si>
  <si>
    <t>gene00844-v1.0-hybrid</t>
  </si>
  <si>
    <t>gene01144-v1.0-hybrid</t>
  </si>
  <si>
    <t>gene01445-v1.0-hybrid</t>
  </si>
  <si>
    <t>gene01745-v1.0-hybrid</t>
  </si>
  <si>
    <t>gene02045-v1.0-hybrid</t>
  </si>
  <si>
    <t>gene02345-v1.0-hybrid</t>
  </si>
  <si>
    <t>gene02645-v1.0-hybrid</t>
  </si>
  <si>
    <t>gene03633-v1.0-hybrid</t>
  </si>
  <si>
    <t>gene03933-v1.0-hybrid</t>
  </si>
  <si>
    <t>gene04233-v1.0-hybrid</t>
  </si>
  <si>
    <t>gene04833-v1.0-hybrid</t>
  </si>
  <si>
    <t>gene05133-v1.0-hybrid</t>
  </si>
  <si>
    <t>gene05434-v1.0-hybrid</t>
  </si>
  <si>
    <t>gene05734-v1.0-hybrid</t>
  </si>
  <si>
    <t>gene06034-v1.0-hybrid</t>
  </si>
  <si>
    <t>gene06334-v1.0-hybrid</t>
  </si>
  <si>
    <t>gene06634-v1.0-hybrid</t>
  </si>
  <si>
    <t>gene06934-v1.0-hybrid</t>
  </si>
  <si>
    <t>gene07234-v1.0-hybrid</t>
  </si>
  <si>
    <t>gene07835-v1.0-hybrid</t>
  </si>
  <si>
    <t>gene08135-v1.0-hybrid</t>
  </si>
  <si>
    <t>gene08435-v1.0-hybrid</t>
  </si>
  <si>
    <t>gene08735-v1.0-hybrid</t>
  </si>
  <si>
    <t>gene09035-v1.0-hybrid</t>
  </si>
  <si>
    <t>gene09335-v1.0-hybrid</t>
  </si>
  <si>
    <t>gene09635-v1.0-hybrid</t>
  </si>
  <si>
    <t>gene09936-v1.0-hybrid</t>
  </si>
  <si>
    <t>gene10537-v1.0-hybrid</t>
  </si>
  <si>
    <t>gene11137-v1.0-hybrid</t>
  </si>
  <si>
    <t>gene11438-v1.0-hybrid</t>
  </si>
  <si>
    <t>gene11738-v1.0-hybrid</t>
  </si>
  <si>
    <t>gene12638-v1.0-hybrid</t>
  </si>
  <si>
    <t>gene12938-v1.0-hybrid</t>
  </si>
  <si>
    <t>gene13539-v1.0-hybrid</t>
  </si>
  <si>
    <t>gene13839-v1.0-hybrid</t>
  </si>
  <si>
    <t>gene15044-v1.0-hybrid</t>
  </si>
  <si>
    <t>gene15345-v1.0-hybrid</t>
  </si>
  <si>
    <t>gene15646-v1.0-hybrid</t>
  </si>
  <si>
    <t>gene16248-v1.0-hybrid</t>
  </si>
  <si>
    <t>gene16548-v1.0-hybrid</t>
  </si>
  <si>
    <t>gene17150-v1.0-hybrid</t>
  </si>
  <si>
    <t>gene17450-v1.0-hybrid</t>
  </si>
  <si>
    <t>gene17750-v1.0-hybrid</t>
  </si>
  <si>
    <t>gene18050-v1.0-hybrid</t>
  </si>
  <si>
    <t>gene18350-v1.0-hybrid</t>
  </si>
  <si>
    <t>gene18650-v1.0-hybrid</t>
  </si>
  <si>
    <t>gene18950-v1.0-hybrid</t>
  </si>
  <si>
    <t>gene19250-v1.0-hybrid</t>
  </si>
  <si>
    <t>gene19550-v1.0-hybrid</t>
  </si>
  <si>
    <t>gene19850-v1.0-hybrid</t>
  </si>
  <si>
    <t>gene20150-v1.0-hybrid</t>
  </si>
  <si>
    <t>gene20451-v1.0-hybrid</t>
  </si>
  <si>
    <t>gene20751-v1.0-hybrid</t>
  </si>
  <si>
    <t>gene21652-v1.0-hybrid</t>
  </si>
  <si>
    <t>gene21952-v1.0-hybrid</t>
  </si>
  <si>
    <t>gene22253-v1.0-hybrid</t>
  </si>
  <si>
    <t>gene22553-v1.0-hybrid</t>
  </si>
  <si>
    <t>gene22854-v1.0-hybrid</t>
  </si>
  <si>
    <t>gene23156-v1.0-hybrid</t>
  </si>
  <si>
    <t>gene23456-v1.0-hybrid</t>
  </si>
  <si>
    <t>gene23756-v1.0-hybrid</t>
  </si>
  <si>
    <t>gene24056-v1.0-hybrid</t>
  </si>
  <si>
    <t>gene24358-v1.0-hybrid</t>
  </si>
  <si>
    <t>gene24659-v1.0-hybrid</t>
  </si>
  <si>
    <t>gene24961-v1.0-hybrid</t>
  </si>
  <si>
    <t>gene25261-v1.0-hybrid</t>
  </si>
  <si>
    <t>gene25561-v1.0-hybrid</t>
  </si>
  <si>
    <t>gene25861-v1.0-hybrid</t>
  </si>
  <si>
    <t>gene26762-v1.0-hybrid</t>
  </si>
  <si>
    <t>gene27062-v1.0-hybrid</t>
  </si>
  <si>
    <t>gene27362-v1.0-hybrid</t>
  </si>
  <si>
    <t>gene28262-v1.0-hybrid</t>
  </si>
  <si>
    <t>gene28862-v1.0-hybrid</t>
  </si>
  <si>
    <t>gene29162-v1.0-hybrid</t>
  </si>
  <si>
    <t>gene29462-v1.0-hybrid</t>
  </si>
  <si>
    <t>gene30064-v1.0-hybrid</t>
  </si>
  <si>
    <t>gene30664-v1.0-hybrid</t>
  </si>
  <si>
    <t>gene30964-v1.0-hybrid</t>
  </si>
  <si>
    <t>gene31264-v1.0-hybrid</t>
  </si>
  <si>
    <t>gene31864-v1.0-hybrid</t>
  </si>
  <si>
    <t>gene32164-v1.0-hybrid</t>
  </si>
  <si>
    <t>gene32464-v1.0-hybrid</t>
  </si>
  <si>
    <t>gene34529-v1.0-hybrid</t>
  </si>
  <si>
    <t>gene35129-v1.0-hybrid</t>
  </si>
  <si>
    <t>gene00241-v1.0-hybrid</t>
  </si>
  <si>
    <t>gene00545-v1.0-hybrid</t>
  </si>
  <si>
    <t>gene01446-v1.0-hybrid</t>
  </si>
  <si>
    <t>gene02046-v1.0-hybrid</t>
  </si>
  <si>
    <t>gene02346-v1.0-hybrid</t>
  </si>
  <si>
    <t>gene02646-v1.0-hybrid</t>
  </si>
  <si>
    <t>gene03034-v1.0-hybrid</t>
  </si>
  <si>
    <t>gene03634-v1.0-hybrid</t>
  </si>
  <si>
    <t>gene03934-v1.0-hybrid</t>
  </si>
  <si>
    <t>gene04234-v1.0-hybrid</t>
  </si>
  <si>
    <t>gene04534-v1.0-hybrid</t>
  </si>
  <si>
    <t>gene05134-v1.0-hybrid</t>
  </si>
  <si>
    <t>gene05435-v1.0-hybrid</t>
  </si>
  <si>
    <t>gene05735-v1.0-hybrid</t>
  </si>
  <si>
    <t>gene06035-v1.0-hybrid</t>
  </si>
  <si>
    <t>gene06335-v1.0-hybrid</t>
  </si>
  <si>
    <t>gene06635-v1.0-hybrid</t>
  </si>
  <si>
    <t>gene06935-v1.0-hybrid</t>
  </si>
  <si>
    <t>gene07235-v1.0-hybrid</t>
  </si>
  <si>
    <t>gene07535-v1.0-hybrid</t>
  </si>
  <si>
    <t>gene07836-v1.0-hybrid</t>
  </si>
  <si>
    <t>gene08136-v1.0-hybrid</t>
  </si>
  <si>
    <t>gene08436-v1.0-hybrid</t>
  </si>
  <si>
    <t>gene08736-v1.0-hybrid</t>
  </si>
  <si>
    <t>gene09336-v1.0-hybrid</t>
  </si>
  <si>
    <t>gene09636-v1.0-hybrid</t>
  </si>
  <si>
    <t>gene10237-v1.0-hybrid</t>
  </si>
  <si>
    <t>gene10538-v1.0-hybrid</t>
  </si>
  <si>
    <t>gene10838-v1.0-hybrid</t>
  </si>
  <si>
    <t>gene11138-v1.0-hybrid</t>
  </si>
  <si>
    <t>gene11739-v1.0-hybrid</t>
  </si>
  <si>
    <t>gene12339-v1.0-hybrid</t>
  </si>
  <si>
    <t>gene12639-v1.0-hybrid</t>
  </si>
  <si>
    <t>gene13240-v1.0-hybrid</t>
  </si>
  <si>
    <t>gene13540-v1.0-hybrid</t>
  </si>
  <si>
    <t>gene14141-v1.0-hybrid</t>
  </si>
  <si>
    <t>gene14442-v1.0-hybrid</t>
  </si>
  <si>
    <t>gene15045-v1.0-hybrid</t>
  </si>
  <si>
    <t>gene15346-v1.0-hybrid</t>
  </si>
  <si>
    <t>gene15647-v1.0-hybrid</t>
  </si>
  <si>
    <t>gene15948-v1.0-hybrid</t>
  </si>
  <si>
    <t>gene16249-v1.0-hybrid</t>
  </si>
  <si>
    <t>gene16549-v1.0-hybrid</t>
  </si>
  <si>
    <t>gene18351-v1.0-hybrid</t>
  </si>
  <si>
    <t>gene18651-v1.0-hybrid</t>
  </si>
  <si>
    <t>gene18951-v1.0-hybrid</t>
  </si>
  <si>
    <t>gene19551-v1.0-hybrid</t>
  </si>
  <si>
    <t>gene19851-v1.0-hybrid</t>
  </si>
  <si>
    <t>gene20752-v1.0-hybrid</t>
  </si>
  <si>
    <t>gene21052-v1.0-hybrid</t>
  </si>
  <si>
    <t>gene21653-v1.0-hybrid</t>
  </si>
  <si>
    <t>gene21953-v1.0-hybrid</t>
  </si>
  <si>
    <t>gene22554-v1.0-hybrid</t>
  </si>
  <si>
    <t>gene23457-v1.0-hybrid</t>
  </si>
  <si>
    <t>gene23757-v1.0-hybrid</t>
  </si>
  <si>
    <t>gene24057-v1.0-hybrid</t>
  </si>
  <si>
    <t>gene24660-v1.0-hybrid</t>
  </si>
  <si>
    <t>gene24962-v1.0-hybrid</t>
  </si>
  <si>
    <t>gene25862-v1.0-hybrid</t>
  </si>
  <si>
    <t>gene26162-v1.0-hybrid</t>
  </si>
  <si>
    <t>gene26462-v1.0-hybrid</t>
  </si>
  <si>
    <t>gene26763-v1.0-hybrid</t>
  </si>
  <si>
    <t>gene27063-v1.0-hybrid</t>
  </si>
  <si>
    <t>gene27963-v1.0-hybrid</t>
  </si>
  <si>
    <t>gene28563-v1.0-hybrid</t>
  </si>
  <si>
    <t>gene28863-v1.0-hybrid</t>
  </si>
  <si>
    <t>gene29163-v1.0-hybrid</t>
  </si>
  <si>
    <t>gene29463-v1.0-hybrid</t>
  </si>
  <si>
    <t>gene29764-v1.0-hybrid</t>
  </si>
  <si>
    <t>gene30065-v1.0-hybrid</t>
  </si>
  <si>
    <t>gene30365-v1.0-hybrid</t>
  </si>
  <si>
    <t>gene30665-v1.0-hybrid</t>
  </si>
  <si>
    <t>gene30965-v1.0-hybrid</t>
  </si>
  <si>
    <t>gene31265-v1.0-hybrid</t>
  </si>
  <si>
    <t>gene31565-v1.0-hybrid</t>
  </si>
  <si>
    <t>gene31865-v1.0-hybrid</t>
  </si>
  <si>
    <t>gene32465-v1.0-hybrid</t>
  </si>
  <si>
    <t>gene33574-v1.0-hybrid</t>
  </si>
  <si>
    <t>gene35130-v1.0-hybrid</t>
  </si>
  <si>
    <t>gene00242-v1.0-hybrid</t>
  </si>
  <si>
    <t>gene00546-v1.0-hybrid</t>
  </si>
  <si>
    <t>gene00846-v1.0-hybrid</t>
  </si>
  <si>
    <t>gene01146-v1.0-hybrid</t>
  </si>
  <si>
    <t>gene01447-v1.0-hybrid</t>
  </si>
  <si>
    <t>gene01747-v1.0-hybrid</t>
  </si>
  <si>
    <t>gene02047-v1.0-hybrid</t>
  </si>
  <si>
    <t>gene02347-v1.0-hybrid</t>
  </si>
  <si>
    <t>gene02647-v1.0-hybrid</t>
  </si>
  <si>
    <t>gene03035-v1.0-hybrid</t>
  </si>
  <si>
    <t>gene03335-v1.0-hybrid</t>
  </si>
  <si>
    <t>gene03635-v1.0-hybrid</t>
  </si>
  <si>
    <t>gene03935-v1.0-hybrid</t>
  </si>
  <si>
    <t>gene04235-v1.0-hybrid</t>
  </si>
  <si>
    <t>gene04535-v1.0-hybrid</t>
  </si>
  <si>
    <t>gene05135-v1.0-hybrid</t>
  </si>
  <si>
    <t>gene05436-v1.0-hybrid</t>
  </si>
  <si>
    <t>gene05736-v1.0-hybrid</t>
  </si>
  <si>
    <t>gene06036-v1.0-hybrid</t>
  </si>
  <si>
    <t>gene06336-v1.0-hybrid</t>
  </si>
  <si>
    <t>gene07236-v1.0-hybrid</t>
  </si>
  <si>
    <t>gene08137-v1.0-hybrid</t>
  </si>
  <si>
    <t>gene08437-v1.0-hybrid</t>
  </si>
  <si>
    <t>gene08737-v1.0-hybrid</t>
  </si>
  <si>
    <t>gene09037-v1.0-hybrid</t>
  </si>
  <si>
    <t>gene09337-v1.0-hybrid</t>
  </si>
  <si>
    <t>gene09637-v1.0-hybrid</t>
  </si>
  <si>
    <t>gene09938-v1.0-hybrid</t>
  </si>
  <si>
    <t>gene10238-v1.0-hybrid</t>
  </si>
  <si>
    <t>gene10539-v1.0-hybrid</t>
  </si>
  <si>
    <t>gene11139-v1.0-hybrid</t>
  </si>
  <si>
    <t>gene11440-v1.0-hybrid</t>
  </si>
  <si>
    <t>gene11740-v1.0-hybrid</t>
  </si>
  <si>
    <t>gene12340-v1.0-hybrid</t>
  </si>
  <si>
    <t>gene12640-v1.0-hybrid</t>
  </si>
  <si>
    <t>gene12940-v1.0-hybrid</t>
  </si>
  <si>
    <t>gene13541-v1.0-hybrid</t>
  </si>
  <si>
    <t>gene13841-v1.0-hybrid</t>
  </si>
  <si>
    <t>gene14142-v1.0-hybrid</t>
  </si>
  <si>
    <t>gene14443-v1.0-hybrid</t>
  </si>
  <si>
    <t>gene14745-v1.0-hybrid</t>
  </si>
  <si>
    <t>gene15046-v1.0-hybrid</t>
  </si>
  <si>
    <t>gene15949-v1.0-hybrid</t>
  </si>
  <si>
    <t>gene16250-v1.0-hybrid</t>
  </si>
  <si>
    <t>gene16550-v1.0-hybrid</t>
  </si>
  <si>
    <t>gene17152-v1.0-hybrid</t>
  </si>
  <si>
    <t>gene17452-v1.0-hybrid</t>
  </si>
  <si>
    <t>gene17752-v1.0-hybrid</t>
  </si>
  <si>
    <t>gene18352-v1.0-hybrid</t>
  </si>
  <si>
    <t>gene19252-v1.0-hybrid</t>
  </si>
  <si>
    <t>gene19552-v1.0-hybrid</t>
  </si>
  <si>
    <t>gene19852-v1.0-hybrid</t>
  </si>
  <si>
    <t>gene20152-v1.0-hybrid</t>
  </si>
  <si>
    <t>gene21053-v1.0-hybrid</t>
  </si>
  <si>
    <t>gene21353-v1.0-hybrid</t>
  </si>
  <si>
    <t>gene21654-v1.0-hybrid</t>
  </si>
  <si>
    <t>gene21954-v1.0-hybrid</t>
  </si>
  <si>
    <t>gene22255-v1.0-hybrid</t>
  </si>
  <si>
    <t>gene22555-v1.0-hybrid</t>
  </si>
  <si>
    <t>gene23158-v1.0-hybrid</t>
  </si>
  <si>
    <t>gene23458-v1.0-hybrid</t>
  </si>
  <si>
    <t>gene24058-v1.0-hybrid</t>
  </si>
  <si>
    <t>gene24661-v1.0-hybrid</t>
  </si>
  <si>
    <t>gene24963-v1.0-hybrid</t>
  </si>
  <si>
    <t>gene25263-v1.0-hybrid</t>
  </si>
  <si>
    <t>gene25563-v1.0-hybrid</t>
  </si>
  <si>
    <t>gene25863-v1.0-hybrid</t>
  </si>
  <si>
    <t>gene26163-v1.0-hybrid</t>
  </si>
  <si>
    <t>gene26463-v1.0-hybrid</t>
  </si>
  <si>
    <t>gene26764-v1.0-hybrid</t>
  </si>
  <si>
    <t>gene27364-v1.0-hybrid</t>
  </si>
  <si>
    <t>gene27664-v1.0-hybrid</t>
  </si>
  <si>
    <t>gene27964-v1.0-hybrid</t>
  </si>
  <si>
    <t>gene28564-v1.0-hybrid</t>
  </si>
  <si>
    <t>gene28864-v1.0-hybrid</t>
  </si>
  <si>
    <t>gene29464-v1.0-hybrid</t>
  </si>
  <si>
    <t>gene29765-v1.0-hybrid</t>
  </si>
  <si>
    <t>gene30366-v1.0-hybrid</t>
  </si>
  <si>
    <t>gene30666-v1.0-hybrid</t>
  </si>
  <si>
    <t>gene30966-v1.0-hybrid</t>
  </si>
  <si>
    <t>gene31566-v1.0-hybrid</t>
  </si>
  <si>
    <t>gene31866-v1.0-hybrid</t>
  </si>
  <si>
    <t>gene32166-v1.0-hybrid</t>
  </si>
  <si>
    <t>gene34831-v1.0-hybrid</t>
  </si>
  <si>
    <t>gene35131-v1.0-hybrid</t>
  </si>
  <si>
    <t>gene00243-v1.0-hybrid</t>
  </si>
  <si>
    <t>gene00547-v1.0-hybrid</t>
  </si>
  <si>
    <t>gene01448-v1.0-hybrid</t>
  </si>
  <si>
    <t>gene02348-v1.0-hybrid</t>
  </si>
  <si>
    <t>gene03036-v1.0-hybrid</t>
  </si>
  <si>
    <t>gene03336-v1.0-hybrid</t>
  </si>
  <si>
    <t>gene03636-v1.0-hybrid</t>
  </si>
  <si>
    <t>gene03936-v1.0-hybrid</t>
  </si>
  <si>
    <t>gene04236-v1.0-hybrid</t>
  </si>
  <si>
    <t>gene04536-v1.0-hybrid</t>
  </si>
  <si>
    <t>gene04836-v1.0-hybrid</t>
  </si>
  <si>
    <t>gene05136-v1.0-hybrid</t>
  </si>
  <si>
    <t>gene05737-v1.0-hybrid</t>
  </si>
  <si>
    <t>gene06037-v1.0-hybrid</t>
  </si>
  <si>
    <t>gene06337-v1.0-hybrid</t>
  </si>
  <si>
    <t>gene07237-v1.0-hybrid</t>
  </si>
  <si>
    <t>gene07537-v1.0-hybrid</t>
  </si>
  <si>
    <t>gene07838-v1.0-hybrid</t>
  </si>
  <si>
    <t>gene08138-v1.0-hybrid</t>
  </si>
  <si>
    <t>gene08438-v1.0-hybrid</t>
  </si>
  <si>
    <t>gene08738-v1.0-hybrid</t>
  </si>
  <si>
    <t>gene09038-v1.0-hybrid</t>
  </si>
  <si>
    <t>gene09338-v1.0-hybrid</t>
  </si>
  <si>
    <t>gene09638-v1.0-hybrid</t>
  </si>
  <si>
    <t>gene09939-v1.0-hybrid</t>
  </si>
  <si>
    <t>gene10239-v1.0-hybrid</t>
  </si>
  <si>
    <t>gene11140-v1.0-hybrid</t>
  </si>
  <si>
    <t>gene11441-v1.0-hybrid</t>
  </si>
  <si>
    <t>gene11741-v1.0-hybrid</t>
  </si>
  <si>
    <t>gene12641-v1.0-hybrid</t>
  </si>
  <si>
    <t>gene12941-v1.0-hybrid</t>
  </si>
  <si>
    <t>gene13242-v1.0-hybrid</t>
  </si>
  <si>
    <t>gene13542-v1.0-hybrid</t>
  </si>
  <si>
    <t>gene13842-v1.0-hybrid</t>
  </si>
  <si>
    <t>gene14143-v1.0-hybrid</t>
  </si>
  <si>
    <t>gene14444-v1.0-hybrid</t>
  </si>
  <si>
    <t>gene14746-v1.0-hybrid</t>
  </si>
  <si>
    <t>gene15047-v1.0-hybrid</t>
  </si>
  <si>
    <t>gene16251-v1.0-hybrid</t>
  </si>
  <si>
    <t>gene16551-v1.0-hybrid</t>
  </si>
  <si>
    <t>gene17153-v1.0-hybrid</t>
  </si>
  <si>
    <t>gene18353-v1.0-hybrid</t>
  </si>
  <si>
    <t>gene18653-v1.0-hybrid</t>
  </si>
  <si>
    <t>gene19253-v1.0-hybrid</t>
  </si>
  <si>
    <t>gene19553-v1.0-hybrid</t>
  </si>
  <si>
    <t>gene19853-v1.0-hybrid</t>
  </si>
  <si>
    <t>gene20153-v1.0-hybrid</t>
  </si>
  <si>
    <t>gene20754-v1.0-hybrid</t>
  </si>
  <si>
    <t>gene21354-v1.0-hybrid</t>
  </si>
  <si>
    <t>gene21955-v1.0-hybrid</t>
  </si>
  <si>
    <t>gene22556-v1.0-hybrid</t>
  </si>
  <si>
    <t>gene22857-v1.0-hybrid</t>
  </si>
  <si>
    <t>gene23159-v1.0-hybrid</t>
  </si>
  <si>
    <t>gene23459-v1.0-hybrid</t>
  </si>
  <si>
    <t>gene23759-v1.0-hybrid</t>
  </si>
  <si>
    <t>gene24059-v1.0-hybrid</t>
  </si>
  <si>
    <t>gene24361-v1.0-hybrid</t>
  </si>
  <si>
    <t>gene24662-v1.0-hybrid</t>
  </si>
  <si>
    <t>gene24964-v1.0-hybrid</t>
  </si>
  <si>
    <t>gene25264-v1.0-hybrid</t>
  </si>
  <si>
    <t>gene25564-v1.0-hybrid</t>
  </si>
  <si>
    <t>gene26164-v1.0-hybrid</t>
  </si>
  <si>
    <t>gene26464-v1.0-hybrid</t>
  </si>
  <si>
    <t>gene26765-v1.0-hybrid</t>
  </si>
  <si>
    <t>gene27065-v1.0-hybrid</t>
  </si>
  <si>
    <t>gene27365-v1.0-hybrid</t>
  </si>
  <si>
    <t>gene27965-v1.0-hybrid</t>
  </si>
  <si>
    <t>gene28565-v1.0-hybrid</t>
  </si>
  <si>
    <t>gene28865-v1.0-hybrid</t>
  </si>
  <si>
    <t>gene29165-v1.0-hybrid</t>
  </si>
  <si>
    <t>gene29465-v1.0-hybrid</t>
  </si>
  <si>
    <t>gene29766-v1.0-hybrid</t>
  </si>
  <si>
    <t>gene30067-v1.0-hybrid</t>
  </si>
  <si>
    <t>gene30367-v1.0-hybrid</t>
  </si>
  <si>
    <t>gene30667-v1.0-hybrid</t>
  </si>
  <si>
    <t>gene30967-v1.0-hybrid</t>
  </si>
  <si>
    <t>gene31267-v1.0-hybrid</t>
  </si>
  <si>
    <t>gene31567-v1.0-hybrid</t>
  </si>
  <si>
    <t>gene31867-v1.0-hybrid</t>
  </si>
  <si>
    <t>gene32167-v1.0-hybrid</t>
  </si>
  <si>
    <t>gene34532-v1.0-hybrid</t>
  </si>
  <si>
    <t>gene35132-v1.0-hybrid</t>
  </si>
  <si>
    <t>gene00244-v1.0-hybrid</t>
  </si>
  <si>
    <t>gene01449-v1.0-hybrid</t>
  </si>
  <si>
    <t>gene02049-v1.0-hybrid</t>
  </si>
  <si>
    <t>gene02649-v1.0-hybrid</t>
  </si>
  <si>
    <t>gene03637-v1.0-hybrid</t>
  </si>
  <si>
    <t>gene03937-v1.0-hybrid</t>
  </si>
  <si>
    <t>gene04237-v1.0-hybrid</t>
  </si>
  <si>
    <t>gene04537-v1.0-hybrid</t>
  </si>
  <si>
    <t>gene04837-v1.0-hybrid</t>
  </si>
  <si>
    <t>gene05137-v1.0-hybrid</t>
  </si>
  <si>
    <t>gene05438-v1.0-hybrid</t>
  </si>
  <si>
    <t>gene06338-v1.0-hybrid</t>
  </si>
  <si>
    <t>gene06638-v1.0-hybrid</t>
  </si>
  <si>
    <t>gene06938-v1.0-hybrid</t>
  </si>
  <si>
    <t>gene07538-v1.0-hybrid</t>
  </si>
  <si>
    <t>gene07839-v1.0-hybrid</t>
  </si>
  <si>
    <t>gene08139-v1.0-hybrid</t>
  </si>
  <si>
    <t>gene08439-v1.0-hybrid</t>
  </si>
  <si>
    <t>gene08739-v1.0-hybrid</t>
  </si>
  <si>
    <t>gene09039-v1.0-hybrid</t>
  </si>
  <si>
    <t>gene09339-v1.0-hybrid</t>
  </si>
  <si>
    <t>gene10541-v1.0-hybrid</t>
  </si>
  <si>
    <t>gene10841-v1.0-hybrid</t>
  </si>
  <si>
    <t>gene11141-v1.0-hybrid</t>
  </si>
  <si>
    <t>gene11442-v1.0-hybrid</t>
  </si>
  <si>
    <t>gene11742-v1.0-hybrid</t>
  </si>
  <si>
    <t>gene12042-v1.0-hybrid</t>
  </si>
  <si>
    <t>gene12642-v1.0-hybrid</t>
  </si>
  <si>
    <t>gene13243-v1.0-hybrid</t>
  </si>
  <si>
    <t>gene13843-v1.0-hybrid</t>
  </si>
  <si>
    <t>gene14445-v1.0-hybrid</t>
  </si>
  <si>
    <t>gene14747-v1.0-hybrid</t>
  </si>
  <si>
    <t>gene15048-v1.0-hybrid</t>
  </si>
  <si>
    <t>gene15349-v1.0-hybrid</t>
  </si>
  <si>
    <t>gene15650-v1.0-hybrid</t>
  </si>
  <si>
    <t>gene16252-v1.0-hybrid</t>
  </si>
  <si>
    <t>gene16552-v1.0-hybrid</t>
  </si>
  <si>
    <t>gene16853-v1.0-hybrid</t>
  </si>
  <si>
    <t>gene17154-v1.0-hybrid</t>
  </si>
  <si>
    <t>gene17454-v1.0-hybrid</t>
  </si>
  <si>
    <t>gene18354-v1.0-hybrid</t>
  </si>
  <si>
    <t>gene18654-v1.0-hybrid</t>
  </si>
  <si>
    <t>gene19854-v1.0-hybrid</t>
  </si>
  <si>
    <t>gene20154-v1.0-hybrid</t>
  </si>
  <si>
    <t>gene21355-v1.0-hybrid</t>
  </si>
  <si>
    <t>gene21956-v1.0-hybrid</t>
  </si>
  <si>
    <t>gene22257-v1.0-hybrid</t>
  </si>
  <si>
    <t>gene22557-v1.0-hybrid</t>
  </si>
  <si>
    <t>gene22858-v1.0-hybrid</t>
  </si>
  <si>
    <t>gene23460-v1.0-hybrid</t>
  </si>
  <si>
    <t>gene23760-v1.0-hybrid</t>
  </si>
  <si>
    <t>gene24362-v1.0-hybrid</t>
  </si>
  <si>
    <t>gene24663-v1.0-hybrid</t>
  </si>
  <si>
    <t>gene25265-v1.0-hybrid</t>
  </si>
  <si>
    <t>gene25565-v1.0-hybrid</t>
  </si>
  <si>
    <t>gene25865-v1.0-hybrid</t>
  </si>
  <si>
    <t>gene26165-v1.0-hybrid</t>
  </si>
  <si>
    <t>gene26766-v1.0-hybrid</t>
  </si>
  <si>
    <t>gene27066-v1.0-hybrid</t>
  </si>
  <si>
    <t>gene27366-v1.0-hybrid</t>
  </si>
  <si>
    <t>gene27966-v1.0-hybrid</t>
  </si>
  <si>
    <t>gene28266-v1.0-hybrid</t>
  </si>
  <si>
    <t>gene29166-v1.0-hybrid</t>
  </si>
  <si>
    <t>gene29466-v1.0-hybrid</t>
  </si>
  <si>
    <t>gene29767-v1.0-hybrid</t>
  </si>
  <si>
    <t>gene30068-v1.0-hybrid</t>
  </si>
  <si>
    <t>gene30368-v1.0-hybrid</t>
  </si>
  <si>
    <t>gene30668-v1.0-hybrid</t>
  </si>
  <si>
    <t>gene30968-v1.0-hybrid</t>
  </si>
  <si>
    <t>gene31568-v1.0-hybrid</t>
  </si>
  <si>
    <t>gene31868-v1.0-hybrid</t>
  </si>
  <si>
    <t>gene32168-v1.0-hybrid</t>
  </si>
  <si>
    <t>gene33580-v1.0-hybrid</t>
  </si>
  <si>
    <t>gene34533-v1.0-hybrid</t>
  </si>
  <si>
    <t>gene35133-v1.0-hybrid</t>
  </si>
  <si>
    <t>gene00245-v1.0-hybrid</t>
  </si>
  <si>
    <t>gene00549-v1.0-hybrid</t>
  </si>
  <si>
    <t>gene00849-v1.0-hybrid</t>
  </si>
  <si>
    <t>gene01149-v1.0-hybrid</t>
  </si>
  <si>
    <t>gene01450-v1.0-hybrid</t>
  </si>
  <si>
    <t>gene01750-v1.0-hybrid</t>
  </si>
  <si>
    <t>gene02050-v1.0-hybrid</t>
  </si>
  <si>
    <t>gene02350-v1.0-hybrid</t>
  </si>
  <si>
    <t>gene02650-v1.0-hybrid</t>
  </si>
  <si>
    <t>gene03038-v1.0-hybrid</t>
  </si>
  <si>
    <t>gene03338-v1.0-hybrid</t>
  </si>
  <si>
    <t>gene03638-v1.0-hybrid</t>
  </si>
  <si>
    <t>gene03938-v1.0-hybrid</t>
  </si>
  <si>
    <t>gene04238-v1.0-hybrid</t>
  </si>
  <si>
    <t>gene04538-v1.0-hybrid</t>
  </si>
  <si>
    <t>gene04838-v1.0-hybrid</t>
  </si>
  <si>
    <t>gene05439-v1.0-hybrid</t>
  </si>
  <si>
    <t>gene05739-v1.0-hybrid</t>
  </si>
  <si>
    <t>gene06339-v1.0-hybrid</t>
  </si>
  <si>
    <t>gene06639-v1.0-hybrid</t>
  </si>
  <si>
    <t>gene06939-v1.0-hybrid</t>
  </si>
  <si>
    <t>gene07239-v1.0-hybrid</t>
  </si>
  <si>
    <t>gene07840-v1.0-hybrid</t>
  </si>
  <si>
    <t>gene08440-v1.0-hybrid</t>
  </si>
  <si>
    <t>gene08740-v1.0-hybrid</t>
  </si>
  <si>
    <t>gene09040-v1.0-hybrid</t>
  </si>
  <si>
    <t>gene09340-v1.0-hybrid</t>
  </si>
  <si>
    <t>gene09640-v1.0-hybrid</t>
  </si>
  <si>
    <t>gene09941-v1.0-hybrid</t>
  </si>
  <si>
    <t>gene11142-v1.0-hybrid</t>
  </si>
  <si>
    <t>gene11743-v1.0-hybrid</t>
  </si>
  <si>
    <t>gene12643-v1.0-hybrid</t>
  </si>
  <si>
    <t>gene12943-v1.0-hybrid</t>
  </si>
  <si>
    <t>gene13244-v1.0-hybrid</t>
  </si>
  <si>
    <t>gene13544-v1.0-hybrid</t>
  </si>
  <si>
    <t>gene13844-v1.0-hybrid</t>
  </si>
  <si>
    <t>gene14145-v1.0-hybrid</t>
  </si>
  <si>
    <t>gene14748-v1.0-hybrid</t>
  </si>
  <si>
    <t>gene15651-v1.0-hybrid</t>
  </si>
  <si>
    <t>gene15952-v1.0-hybrid</t>
  </si>
  <si>
    <t>gene16553-v1.0-hybrid</t>
  </si>
  <si>
    <t>gene16854-v1.0-hybrid</t>
  </si>
  <si>
    <t>gene17155-v1.0-hybrid</t>
  </si>
  <si>
    <t>gene17455-v1.0-hybrid</t>
  </si>
  <si>
    <t>gene17755-v1.0-hybrid</t>
  </si>
  <si>
    <t>gene18055-v1.0-hybrid</t>
  </si>
  <si>
    <t>gene18355-v1.0-hybrid</t>
  </si>
  <si>
    <t>gene18655-v1.0-hybrid</t>
  </si>
  <si>
    <t>gene18955-v1.0-hybrid</t>
  </si>
  <si>
    <t>gene19555-v1.0-hybrid</t>
  </si>
  <si>
    <t>gene19855-v1.0-hybrid</t>
  </si>
  <si>
    <t>gene20155-v1.0-hybrid</t>
  </si>
  <si>
    <t>gene20456-v1.0-hybrid</t>
  </si>
  <si>
    <t>gene20756-v1.0-hybrid</t>
  </si>
  <si>
    <t>gene22558-v1.0-hybrid</t>
  </si>
  <si>
    <t>gene22859-v1.0-hybrid</t>
  </si>
  <si>
    <t>gene23161-v1.0-hybrid</t>
  </si>
  <si>
    <t>gene23461-v1.0-hybrid</t>
  </si>
  <si>
    <t>gene23761-v1.0-hybrid</t>
  </si>
  <si>
    <t>gene24061-v1.0-hybrid</t>
  </si>
  <si>
    <t>gene24966-v1.0-hybrid</t>
  </si>
  <si>
    <t>gene25266-v1.0-hybrid</t>
  </si>
  <si>
    <t>gene25566-v1.0-hybrid</t>
  </si>
  <si>
    <t>gene25866-v1.0-hybrid</t>
  </si>
  <si>
    <t>gene27067-v1.0-hybrid</t>
  </si>
  <si>
    <t>gene27367-v1.0-hybrid</t>
  </si>
  <si>
    <t>gene27667-v1.0-hybrid</t>
  </si>
  <si>
    <t>gene27967-v1.0-hybrid</t>
  </si>
  <si>
    <t>gene28567-v1.0-hybrid</t>
  </si>
  <si>
    <t>gene29167-v1.0-hybrid</t>
  </si>
  <si>
    <t>gene29467-v1.0-hybrid</t>
  </si>
  <si>
    <t>gene29768-v1.0-hybrid</t>
  </si>
  <si>
    <t>gene30069-v1.0-hybrid</t>
  </si>
  <si>
    <t>gene30369-v1.0-hybrid</t>
  </si>
  <si>
    <t>gene30669-v1.0-hybrid</t>
  </si>
  <si>
    <t>gene30969-v1.0-hybrid</t>
  </si>
  <si>
    <t>gene31269-v1.0-hybrid</t>
  </si>
  <si>
    <t>gene31569-v1.0-hybrid</t>
  </si>
  <si>
    <t>gene32169-v1.0-hybrid</t>
  </si>
  <si>
    <t>gene32469-v1.0-hybrid</t>
  </si>
  <si>
    <t>gene33175-v1.0-hybrid</t>
  </si>
  <si>
    <t>gene34534-v1.0-hybrid</t>
  </si>
  <si>
    <t>gene35134-v1.0-hybrid</t>
  </si>
  <si>
    <t>gene00550-v1.0-hybrid</t>
  </si>
  <si>
    <t>gene00850-v1.0-hybrid</t>
  </si>
  <si>
    <t>gene01150-v1.0-hybrid</t>
  </si>
  <si>
    <t>gene02051-v1.0-hybrid</t>
  </si>
  <si>
    <t>gene03339-v1.0-hybrid</t>
  </si>
  <si>
    <t>gene03639-v1.0-hybrid</t>
  </si>
  <si>
    <t>gene04239-v1.0-hybrid</t>
  </si>
  <si>
    <t>gene04539-v1.0-hybrid</t>
  </si>
  <si>
    <t>gene05139-v1.0-hybrid</t>
  </si>
  <si>
    <t>gene05440-v1.0-hybrid</t>
  </si>
  <si>
    <t>gene05740-v1.0-hybrid</t>
  </si>
  <si>
    <t>gene06340-v1.0-hybrid</t>
  </si>
  <si>
    <t>gene06640-v1.0-hybrid</t>
  </si>
  <si>
    <t>gene06940-v1.0-hybrid</t>
  </si>
  <si>
    <t>gene07240-v1.0-hybrid</t>
  </si>
  <si>
    <t>gene08441-v1.0-hybrid</t>
  </si>
  <si>
    <t>gene08741-v1.0-hybrid</t>
  </si>
  <si>
    <t>gene09041-v1.0-hybrid</t>
  </si>
  <si>
    <t>gene09341-v1.0-hybrid</t>
  </si>
  <si>
    <t>gene09641-v1.0-hybrid</t>
  </si>
  <si>
    <t>gene10242-v1.0-hybrid</t>
  </si>
  <si>
    <t>gene10543-v1.0-hybrid</t>
  </si>
  <si>
    <t>gene11143-v1.0-hybrid</t>
  </si>
  <si>
    <t>gene11744-v1.0-hybrid</t>
  </si>
  <si>
    <t>gene12344-v1.0-hybrid</t>
  </si>
  <si>
    <t>gene12944-v1.0-hybrid</t>
  </si>
  <si>
    <t>gene13245-v1.0-hybrid</t>
  </si>
  <si>
    <t>gene13545-v1.0-hybrid</t>
  </si>
  <si>
    <t>gene14146-v1.0-hybrid</t>
  </si>
  <si>
    <t>gene14447-v1.0-hybrid</t>
  </si>
  <si>
    <t>gene14749-v1.0-hybrid</t>
  </si>
  <si>
    <t>gene15351-v1.0-hybrid</t>
  </si>
  <si>
    <t>gene15953-v1.0-hybrid</t>
  </si>
  <si>
    <t>gene16254-v1.0-hybrid</t>
  </si>
  <si>
    <t>gene17156-v1.0-hybrid</t>
  </si>
  <si>
    <t>gene17456-v1.0-hybrid</t>
  </si>
  <si>
    <t>gene17756-v1.0-hybrid</t>
  </si>
  <si>
    <t>gene18356-v1.0-hybrid</t>
  </si>
  <si>
    <t>gene18656-v1.0-hybrid</t>
  </si>
  <si>
    <t>gene19256-v1.0-hybrid</t>
  </si>
  <si>
    <t>gene19556-v1.0-hybrid</t>
  </si>
  <si>
    <t>gene19856-v1.0-hybrid</t>
  </si>
  <si>
    <t>gene20156-v1.0-hybrid</t>
  </si>
  <si>
    <t>gene20457-v1.0-hybrid</t>
  </si>
  <si>
    <t>gene20757-v1.0-hybrid</t>
  </si>
  <si>
    <t>gene21357-v1.0-hybrid</t>
  </si>
  <si>
    <t>gene21658-v1.0-hybrid</t>
  </si>
  <si>
    <t>gene22559-v1.0-hybrid</t>
  </si>
  <si>
    <t>gene22860-v1.0-hybrid</t>
  </si>
  <si>
    <t>gene23462-v1.0-hybrid</t>
  </si>
  <si>
    <t>gene23762-v1.0-hybrid</t>
  </si>
  <si>
    <t>gene24665-v1.0-hybrid</t>
  </si>
  <si>
    <t>gene24967-v1.0-hybrid</t>
  </si>
  <si>
    <t>gene25567-v1.0-hybrid</t>
  </si>
  <si>
    <t>gene25867-v1.0-hybrid</t>
  </si>
  <si>
    <t>gene26768-v1.0-hybrid</t>
  </si>
  <si>
    <t>gene27068-v1.0-hybrid</t>
  </si>
  <si>
    <t>gene27368-v1.0-hybrid</t>
  </si>
  <si>
    <t>gene27968-v1.0-hybrid</t>
  </si>
  <si>
    <t>gene28268-v1.0-hybrid</t>
  </si>
  <si>
    <t>gene28868-v1.0-hybrid</t>
  </si>
  <si>
    <t>gene29168-v1.0-hybrid</t>
  </si>
  <si>
    <t>gene29468-v1.0-hybrid</t>
  </si>
  <si>
    <t>gene29769-v1.0-hybrid</t>
  </si>
  <si>
    <t>gene30070-v1.0-hybrid</t>
  </si>
  <si>
    <t>gene30370-v1.0-hybrid</t>
  </si>
  <si>
    <t>gene30670-v1.0-hybrid</t>
  </si>
  <si>
    <t>gene30970-v1.0-hybrid</t>
  </si>
  <si>
    <t>gene31270-v1.0-hybrid</t>
  </si>
  <si>
    <t>gene31570-v1.0-hybrid</t>
  </si>
  <si>
    <t>gene31870-v1.0-hybrid</t>
  </si>
  <si>
    <t>gene32170-v1.0-hybrid</t>
  </si>
  <si>
    <t>gene32470-v1.0-hybrid</t>
  </si>
  <si>
    <t>gene33935-v1.0-hybrid</t>
  </si>
  <si>
    <t>gene34535-v1.0-hybrid</t>
  </si>
  <si>
    <t>gene35135-v1.0-hybrid</t>
  </si>
  <si>
    <t>gene00551-v1.0-hybrid</t>
  </si>
  <si>
    <t>gene00851-v1.0-hybrid</t>
  </si>
  <si>
    <t>gene01151-v1.0-hybrid</t>
  </si>
  <si>
    <t>gene01452-v1.0-hybrid</t>
  </si>
  <si>
    <t>gene02352-v1.0-hybrid</t>
  </si>
  <si>
    <t>gene02652-v1.0-hybrid</t>
  </si>
  <si>
    <t>gene03040-v1.0-hybrid</t>
  </si>
  <si>
    <t>gene03340-v1.0-hybrid</t>
  </si>
  <si>
    <t>gene03640-v1.0-hybrid</t>
  </si>
  <si>
    <t>gene04240-v1.0-hybrid</t>
  </si>
  <si>
    <t>gene04840-v1.0-hybrid</t>
  </si>
  <si>
    <t>gene05140-v1.0-hybrid</t>
  </si>
  <si>
    <t>gene05441-v1.0-hybrid</t>
  </si>
  <si>
    <t>gene05741-v1.0-hybrid</t>
  </si>
  <si>
    <t>gene06041-v1.0-hybrid</t>
  </si>
  <si>
    <t>gene06341-v1.0-hybrid</t>
  </si>
  <si>
    <t>gene06641-v1.0-hybrid</t>
  </si>
  <si>
    <t>gene06941-v1.0-hybrid</t>
  </si>
  <si>
    <t>gene07241-v1.0-hybrid</t>
  </si>
  <si>
    <t>gene07541-v1.0-hybrid</t>
  </si>
  <si>
    <t>gene07842-v1.0-hybrid</t>
  </si>
  <si>
    <t>gene08442-v1.0-hybrid</t>
  </si>
  <si>
    <t>gene08742-v1.0-hybrid</t>
  </si>
  <si>
    <t>gene09042-v1.0-hybrid</t>
  </si>
  <si>
    <t>gene09342-v1.0-hybrid</t>
  </si>
  <si>
    <t>gene09642-v1.0-hybrid</t>
  </si>
  <si>
    <t>gene09943-v1.0-hybrid</t>
  </si>
  <si>
    <t>gene10243-v1.0-hybrid</t>
  </si>
  <si>
    <t>gene10544-v1.0-hybrid</t>
  </si>
  <si>
    <t>gene10844-v1.0-hybrid</t>
  </si>
  <si>
    <t>gene11144-v1.0-hybrid</t>
  </si>
  <si>
    <t>gene11745-v1.0-hybrid</t>
  </si>
  <si>
    <t>gene12345-v1.0-hybrid</t>
  </si>
  <si>
    <t>gene12645-v1.0-hybrid</t>
  </si>
  <si>
    <t>gene12945-v1.0-hybrid</t>
  </si>
  <si>
    <t>gene13246-v1.0-hybrid</t>
  </si>
  <si>
    <t>gene13546-v1.0-hybrid</t>
  </si>
  <si>
    <t>gene13846-v1.0-hybrid</t>
  </si>
  <si>
    <t>gene14147-v1.0-hybrid</t>
  </si>
  <si>
    <t>gene14750-v1.0-hybrid</t>
  </si>
  <si>
    <t>gene15353-v1.0-hybrid</t>
  </si>
  <si>
    <t>gene15653-v1.0-hybrid</t>
  </si>
  <si>
    <t>gene15954-v1.0-hybrid</t>
  </si>
  <si>
    <t>gene16555-v1.0-hybrid</t>
  </si>
  <si>
    <t>gene16856-v1.0-hybrid</t>
  </si>
  <si>
    <t>gene17157-v1.0-hybrid</t>
  </si>
  <si>
    <t>gene18657-v1.0-hybrid</t>
  </si>
  <si>
    <t>gene18957-v1.0-hybrid</t>
  </si>
  <si>
    <t>gene19257-v1.0-hybrid</t>
  </si>
  <si>
    <t>gene19557-v1.0-hybrid</t>
  </si>
  <si>
    <t>gene19857-v1.0-hybrid</t>
  </si>
  <si>
    <t>gene20157-v1.0-hybrid</t>
  </si>
  <si>
    <t>gene20458-v1.0-hybrid</t>
  </si>
  <si>
    <t>gene21358-v1.0-hybrid</t>
  </si>
  <si>
    <t>gene21659-v1.0-hybrid</t>
  </si>
  <si>
    <t>gene21959-v1.0-hybrid</t>
  </si>
  <si>
    <t>gene22260-v1.0-hybrid</t>
  </si>
  <si>
    <t>gene22560-v1.0-hybrid</t>
  </si>
  <si>
    <t>gene22861-v1.0-hybrid</t>
  </si>
  <si>
    <t>gene23163-v1.0-hybrid</t>
  </si>
  <si>
    <t>gene23463-v1.0-hybrid</t>
  </si>
  <si>
    <t>gene23763-v1.0-hybrid</t>
  </si>
  <si>
    <t>gene24063-v1.0-hybrid</t>
  </si>
  <si>
    <t>gene24365-v1.0-hybrid</t>
  </si>
  <si>
    <t>gene24666-v1.0-hybrid</t>
  </si>
  <si>
    <t>gene24968-v1.0-hybrid</t>
  </si>
  <si>
    <t>gene25268-v1.0-hybrid</t>
  </si>
  <si>
    <t>gene25568-v1.0-hybrid</t>
  </si>
  <si>
    <t>gene25868-v1.0-hybrid</t>
  </si>
  <si>
    <t>gene26168-v1.0-hybrid</t>
  </si>
  <si>
    <t>gene26468-v1.0-hybrid</t>
  </si>
  <si>
    <t>gene27069-v1.0-hybrid</t>
  </si>
  <si>
    <t>gene27669-v1.0-hybrid</t>
  </si>
  <si>
    <t>gene27969-v1.0-hybrid</t>
  </si>
  <si>
    <t>gene28269-v1.0-hybrid</t>
  </si>
  <si>
    <t>gene28569-v1.0-hybrid</t>
  </si>
  <si>
    <t>gene28869-v1.0-hybrid</t>
  </si>
  <si>
    <t>gene29169-v1.0-hybrid</t>
  </si>
  <si>
    <t>gene29469-v1.0-hybrid</t>
  </si>
  <si>
    <t>gene29770-v1.0-hybrid</t>
  </si>
  <si>
    <t>gene30371-v1.0-hybrid</t>
  </si>
  <si>
    <t>gene30671-v1.0-hybrid</t>
  </si>
  <si>
    <t>gene30971-v1.0-hybrid</t>
  </si>
  <si>
    <t>gene31571-v1.0-hybrid</t>
  </si>
  <si>
    <t>gene31871-v1.0-hybrid</t>
  </si>
  <si>
    <t>gene32171-v1.0-hybrid</t>
  </si>
  <si>
    <t>gene32471-v1.0-hybrid</t>
  </si>
  <si>
    <t>gene33936-v1.0-hybrid</t>
  </si>
  <si>
    <t>gene34236-v1.0-hybrid</t>
  </si>
  <si>
    <t>gene34536-v1.0-hybrid</t>
  </si>
  <si>
    <t>gene35136-v1.0-hybrid</t>
  </si>
  <si>
    <t>gene00852-v1.0-hybrid</t>
  </si>
  <si>
    <t>gene01152-v1.0-hybrid</t>
  </si>
  <si>
    <t>gene01453-v1.0-hybrid</t>
  </si>
  <si>
    <t>gene01753-v1.0-hybrid</t>
  </si>
  <si>
    <t>gene02353-v1.0-hybrid</t>
  </si>
  <si>
    <t>gene02653-v1.0-hybrid</t>
  </si>
  <si>
    <t>gene03041-v1.0-hybrid</t>
  </si>
  <si>
    <t>gene03341-v1.0-hybrid</t>
  </si>
  <si>
    <t>gene03641-v1.0-hybrid</t>
  </si>
  <si>
    <t>gene03941-v1.0-hybrid</t>
  </si>
  <si>
    <t>gene04241-v1.0-hybrid</t>
  </si>
  <si>
    <t>gene04541-v1.0-hybrid</t>
  </si>
  <si>
    <t>gene04841-v1.0-hybrid</t>
  </si>
  <si>
    <t>gene05442-v1.0-hybrid</t>
  </si>
  <si>
    <t>gene05742-v1.0-hybrid</t>
  </si>
  <si>
    <t>gene06342-v1.0-hybrid</t>
  </si>
  <si>
    <t>gene06642-v1.0-hybrid</t>
  </si>
  <si>
    <t>gene06942-v1.0-hybrid</t>
  </si>
  <si>
    <t>gene07843-v1.0-hybrid</t>
  </si>
  <si>
    <t>gene08143-v1.0-hybrid</t>
  </si>
  <si>
    <t>gene08443-v1.0-hybrid</t>
  </si>
  <si>
    <t>gene08743-v1.0-hybrid</t>
  </si>
  <si>
    <t>gene09043-v1.0-hybrid</t>
  </si>
  <si>
    <t>gene09343-v1.0-hybrid</t>
  </si>
  <si>
    <t>gene09944-v1.0-hybrid</t>
  </si>
  <si>
    <t>gene10545-v1.0-hybrid</t>
  </si>
  <si>
    <t>gene10845-v1.0-hybrid</t>
  </si>
  <si>
    <t>gene11145-v1.0-hybrid</t>
  </si>
  <si>
    <t>gene11746-v1.0-hybrid</t>
  </si>
  <si>
    <t>gene12346-v1.0-hybrid</t>
  </si>
  <si>
    <t>gene12646-v1.0-hybrid</t>
  </si>
  <si>
    <t>gene13247-v1.0-hybrid</t>
  </si>
  <si>
    <t>gene13547-v1.0-hybrid</t>
  </si>
  <si>
    <t>gene14148-v1.0-hybrid</t>
  </si>
  <si>
    <t>gene14449-v1.0-hybrid</t>
  </si>
  <si>
    <t>gene14751-v1.0-hybrid</t>
  </si>
  <si>
    <t>gene15052-v1.0-hybrid</t>
  </si>
  <si>
    <t>gene15354-v1.0-hybrid</t>
  </si>
  <si>
    <t>gene15654-v1.0-hybrid</t>
  </si>
  <si>
    <t>gene16256-v1.0-hybrid</t>
  </si>
  <si>
    <t>gene16556-v1.0-hybrid</t>
  </si>
  <si>
    <t>gene17158-v1.0-hybrid</t>
  </si>
  <si>
    <t>gene17758-v1.0-hybrid</t>
  </si>
  <si>
    <t>gene18358-v1.0-hybrid</t>
  </si>
  <si>
    <t>gene18958-v1.0-hybrid</t>
  </si>
  <si>
    <t>gene19258-v1.0-hybrid</t>
  </si>
  <si>
    <t>gene19858-v1.0-hybrid</t>
  </si>
  <si>
    <t>gene20158-v1.0-hybrid</t>
  </si>
  <si>
    <t>gene20459-v1.0-hybrid</t>
  </si>
  <si>
    <t>gene20759-v1.0-hybrid</t>
  </si>
  <si>
    <t>gene21660-v1.0-hybrid</t>
  </si>
  <si>
    <t>gene21960-v1.0-hybrid</t>
  </si>
  <si>
    <t>gene22261-v1.0-hybrid</t>
  </si>
  <si>
    <t>gene22561-v1.0-hybrid</t>
  </si>
  <si>
    <t>gene22862-v1.0-hybrid</t>
  </si>
  <si>
    <t>gene23464-v1.0-hybrid</t>
  </si>
  <si>
    <t>gene23764-v1.0-hybrid</t>
  </si>
  <si>
    <t>gene24064-v1.0-hybrid</t>
  </si>
  <si>
    <t>gene24366-v1.0-hybrid</t>
  </si>
  <si>
    <t>gene24667-v1.0-hybrid</t>
  </si>
  <si>
    <t>gene25569-v1.0-hybrid</t>
  </si>
  <si>
    <t>gene25869-v1.0-hybrid</t>
  </si>
  <si>
    <t>gene26169-v1.0-hybrid</t>
  </si>
  <si>
    <t>gene26770-v1.0-hybrid</t>
  </si>
  <si>
    <t>gene27370-v1.0-hybrid</t>
  </si>
  <si>
    <t>gene27970-v1.0-hybrid</t>
  </si>
  <si>
    <t>gene28570-v1.0-hybrid</t>
  </si>
  <si>
    <t>gene28870-v1.0-hybrid</t>
  </si>
  <si>
    <t>gene29170-v1.0-hybrid</t>
  </si>
  <si>
    <t>gene29771-v1.0-hybrid</t>
  </si>
  <si>
    <t>gene30072-v1.0-hybrid</t>
  </si>
  <si>
    <t>gene30672-v1.0-hybrid</t>
  </si>
  <si>
    <t>gene30972-v1.0-hybrid</t>
  </si>
  <si>
    <t>gene31272-v1.0-hybrid</t>
  </si>
  <si>
    <t>gene31572-v1.0-hybrid</t>
  </si>
  <si>
    <t>gene31872-v1.0-hybrid</t>
  </si>
  <si>
    <t>gene32472-v1.0-hybrid</t>
  </si>
  <si>
    <t>gene33585-v1.0-hybrid</t>
  </si>
  <si>
    <t>gene33937-v1.0-hybrid</t>
  </si>
  <si>
    <t>gene34237-v1.0-hybrid</t>
  </si>
  <si>
    <t>gene34537-v1.0-hybrid</t>
  </si>
  <si>
    <t>gene34837-v1.0-hybrid</t>
  </si>
  <si>
    <t>gene35137-v1.0-hybrid</t>
  </si>
  <si>
    <t>gene00249-v1.0-hybrid</t>
  </si>
  <si>
    <t>gene00553-v1.0-hybrid</t>
  </si>
  <si>
    <t>gene00853-v1.0-hybrid</t>
  </si>
  <si>
    <t>gene01153-v1.0-hybrid</t>
  </si>
  <si>
    <t>gene02054-v1.0-hybrid</t>
  </si>
  <si>
    <t>gene02354-v1.0-hybrid</t>
  </si>
  <si>
    <t>gene02654-v1.0-hybrid</t>
  </si>
  <si>
    <t>gene03042-v1.0-hybrid</t>
  </si>
  <si>
    <t>gene03342-v1.0-hybrid</t>
  </si>
  <si>
    <t>gene03642-v1.0-hybrid</t>
  </si>
  <si>
    <t>gene03942-v1.0-hybrid</t>
  </si>
  <si>
    <t>gene04242-v1.0-hybrid</t>
  </si>
  <si>
    <t>gene04542-v1.0-hybrid</t>
  </si>
  <si>
    <t>gene04842-v1.0-hybrid</t>
  </si>
  <si>
    <t>gene05142-v1.0-hybrid</t>
  </si>
  <si>
    <t>gene05443-v1.0-hybrid</t>
  </si>
  <si>
    <t>gene05743-v1.0-hybrid</t>
  </si>
  <si>
    <t>gene06043-v1.0-hybrid</t>
  </si>
  <si>
    <t>gene06343-v1.0-hybrid</t>
  </si>
  <si>
    <t>gene06643-v1.0-hybrid</t>
  </si>
  <si>
    <t>gene06943-v1.0-hybrid</t>
  </si>
  <si>
    <t>gene07543-v1.0-hybrid</t>
  </si>
  <si>
    <t>gene07844-v1.0-hybrid</t>
  </si>
  <si>
    <t>gene08144-v1.0-hybrid</t>
  </si>
  <si>
    <t>gene08444-v1.0-hybrid</t>
  </si>
  <si>
    <t>gene08744-v1.0-hybrid</t>
  </si>
  <si>
    <t>gene09044-v1.0-hybrid</t>
  </si>
  <si>
    <t>gene09344-v1.0-hybrid</t>
  </si>
  <si>
    <t>gene09945-v1.0-hybrid</t>
  </si>
  <si>
    <t>gene10245-v1.0-hybrid</t>
  </si>
  <si>
    <t>gene10546-v1.0-hybrid</t>
  </si>
  <si>
    <t>gene10846-v1.0-hybrid</t>
  </si>
  <si>
    <t>gene11146-v1.0-hybrid</t>
  </si>
  <si>
    <t>gene12347-v1.0-hybrid</t>
  </si>
  <si>
    <t>gene12647-v1.0-hybrid</t>
  </si>
  <si>
    <t>gene12947-v1.0-hybrid</t>
  </si>
  <si>
    <t>gene13248-v1.0-hybrid</t>
  </si>
  <si>
    <t>gene13848-v1.0-hybrid</t>
  </si>
  <si>
    <t>gene14149-v1.0-hybrid</t>
  </si>
  <si>
    <t>gene15053-v1.0-hybrid</t>
  </si>
  <si>
    <t>gene15355-v1.0-hybrid</t>
  </si>
  <si>
    <t>gene15655-v1.0-hybrid</t>
  </si>
  <si>
    <t>gene15956-v1.0-hybrid</t>
  </si>
  <si>
    <t>gene16257-v1.0-hybrid</t>
  </si>
  <si>
    <t>gene16557-v1.0-hybrid</t>
  </si>
  <si>
    <t>gene17159-v1.0-hybrid</t>
  </si>
  <si>
    <t>gene17459-v1.0-hybrid</t>
  </si>
  <si>
    <t>gene18359-v1.0-hybrid</t>
  </si>
  <si>
    <t>gene18659-v1.0-hybrid</t>
  </si>
  <si>
    <t>gene18959-v1.0-hybrid</t>
  </si>
  <si>
    <t>gene19259-v1.0-hybrid</t>
  </si>
  <si>
    <t>gene19559-v1.0-hybrid</t>
  </si>
  <si>
    <t>gene19859-v1.0-hybrid</t>
  </si>
  <si>
    <t>gene20159-v1.0-hybrid</t>
  </si>
  <si>
    <t>gene20460-v1.0-hybrid</t>
  </si>
  <si>
    <t>gene20760-v1.0-hybrid</t>
  </si>
  <si>
    <t>gene21060-v1.0-hybrid</t>
  </si>
  <si>
    <t>gene21360-v1.0-hybrid</t>
  </si>
  <si>
    <t>gene21961-v1.0-hybrid</t>
  </si>
  <si>
    <t>gene22562-v1.0-hybrid</t>
  </si>
  <si>
    <t>gene22863-v1.0-hybrid</t>
  </si>
  <si>
    <t>gene24065-v1.0-hybrid</t>
  </si>
  <si>
    <t>gene24668-v1.0-hybrid</t>
  </si>
  <si>
    <t>gene24970-v1.0-hybrid</t>
  </si>
  <si>
    <t>gene25270-v1.0-hybrid</t>
  </si>
  <si>
    <t>gene25870-v1.0-hybrid</t>
  </si>
  <si>
    <t>gene26170-v1.0-hybrid</t>
  </si>
  <si>
    <t>gene26470-v1.0-hybrid</t>
  </si>
  <si>
    <t>gene27071-v1.0-hybrid</t>
  </si>
  <si>
    <t>gene27971-v1.0-hybrid</t>
  </si>
  <si>
    <t>gene28571-v1.0-hybrid</t>
  </si>
  <si>
    <t>gene29171-v1.0-hybrid</t>
  </si>
  <si>
    <t>gene29471-v1.0-hybrid</t>
  </si>
  <si>
    <t>gene29772-v1.0-hybrid</t>
  </si>
  <si>
    <t>gene30073-v1.0-hybrid</t>
  </si>
  <si>
    <t>gene30373-v1.0-hybrid</t>
  </si>
  <si>
    <t>gene30673-v1.0-hybrid</t>
  </si>
  <si>
    <t>gene30973-v1.0-hybrid</t>
  </si>
  <si>
    <t>gene31273-v1.0-hybrid</t>
  </si>
  <si>
    <t>gene31573-v1.0-hybrid</t>
  </si>
  <si>
    <t>gene31873-v1.0-hybrid</t>
  </si>
  <si>
    <t>gene32173-v1.0-hybrid</t>
  </si>
  <si>
    <t>gene32473-v1.0-hybrid</t>
  </si>
  <si>
    <t>gene33938-v1.0-hybrid</t>
  </si>
  <si>
    <t>gene34238-v1.0-hybrid</t>
  </si>
  <si>
    <t>gene34538-v1.0-hybrid</t>
  </si>
  <si>
    <t>gene34838-v1.0-hybrid</t>
  </si>
  <si>
    <t>gene35138-v1.0-hybrid</t>
  </si>
  <si>
    <t>gene00250-v1.0-hybrid</t>
  </si>
  <si>
    <t>gene00554-v1.0-hybrid</t>
  </si>
  <si>
    <t>gene00854-v1.0-hybrid</t>
  </si>
  <si>
    <t>gene01455-v1.0-hybrid</t>
  </si>
  <si>
    <t>gene02355-v1.0-hybrid</t>
  </si>
  <si>
    <t>gene02655-v1.0-hybrid</t>
  </si>
  <si>
    <t>gene03043-v1.0-hybrid</t>
  </si>
  <si>
    <t>gene03343-v1.0-hybrid</t>
  </si>
  <si>
    <t>gene03643-v1.0-hybrid</t>
  </si>
  <si>
    <t>gene03943-v1.0-hybrid</t>
  </si>
  <si>
    <t>gene04543-v1.0-hybrid</t>
  </si>
  <si>
    <t>gene04843-v1.0-hybrid</t>
  </si>
  <si>
    <t>gene05444-v1.0-hybrid</t>
  </si>
  <si>
    <t>gene05744-v1.0-hybrid</t>
  </si>
  <si>
    <t>gene06044-v1.0-hybrid</t>
  </si>
  <si>
    <t>gene06644-v1.0-hybrid</t>
  </si>
  <si>
    <t>gene06944-v1.0-hybrid</t>
  </si>
  <si>
    <t>gene07244-v1.0-hybrid</t>
  </si>
  <si>
    <t>gene08145-v1.0-hybrid</t>
  </si>
  <si>
    <t>gene08445-v1.0-hybrid</t>
  </si>
  <si>
    <t>gene08745-v1.0-hybrid</t>
  </si>
  <si>
    <t>gene09045-v1.0-hybrid</t>
  </si>
  <si>
    <t>gene09645-v1.0-hybrid</t>
  </si>
  <si>
    <t>gene09946-v1.0-hybrid</t>
  </si>
  <si>
    <t>gene10246-v1.0-hybrid</t>
  </si>
  <si>
    <t>gene10847-v1.0-hybrid</t>
  </si>
  <si>
    <t>gene11147-v1.0-hybrid</t>
  </si>
  <si>
    <t>gene11748-v1.0-hybrid</t>
  </si>
  <si>
    <t>gene12048-v1.0-hybrid</t>
  </si>
  <si>
    <t>gene12648-v1.0-hybrid</t>
  </si>
  <si>
    <t>gene12948-v1.0-hybrid</t>
  </si>
  <si>
    <t>gene13549-v1.0-hybrid</t>
  </si>
  <si>
    <t>gene13849-v1.0-hybrid</t>
  </si>
  <si>
    <t>gene14150-v1.0-hybrid</t>
  </si>
  <si>
    <t>gene15054-v1.0-hybrid</t>
  </si>
  <si>
    <t>gene15356-v1.0-hybrid</t>
  </si>
  <si>
    <t>gene15656-v1.0-hybrid</t>
  </si>
  <si>
    <t>gene15957-v1.0-hybrid</t>
  </si>
  <si>
    <t>gene16258-v1.0-hybrid</t>
  </si>
  <si>
    <t>gene16558-v1.0-hybrid</t>
  </si>
  <si>
    <t>gene16859-v1.0-hybrid</t>
  </si>
  <si>
    <t>gene17460-v1.0-hybrid</t>
  </si>
  <si>
    <t>gene18360-v1.0-hybrid</t>
  </si>
  <si>
    <t>gene18660-v1.0-hybrid</t>
  </si>
  <si>
    <t>gene18960-v1.0-hybrid</t>
  </si>
  <si>
    <t>gene19260-v1.0-hybrid</t>
  </si>
  <si>
    <t>gene19860-v1.0-hybrid</t>
  </si>
  <si>
    <t>gene20160-v1.0-hybrid</t>
  </si>
  <si>
    <t>gene20461-v1.0-hybrid</t>
  </si>
  <si>
    <t>gene20761-v1.0-hybrid</t>
  </si>
  <si>
    <t>gene21361-v1.0-hybrid</t>
  </si>
  <si>
    <t>gene21962-v1.0-hybrid</t>
  </si>
  <si>
    <t>gene22263-v1.0-hybrid</t>
  </si>
  <si>
    <t>gene22563-v1.0-hybrid</t>
  </si>
  <si>
    <t>gene22864-v1.0-hybrid</t>
  </si>
  <si>
    <t>gene23466-v1.0-hybrid</t>
  </si>
  <si>
    <t>gene23766-v1.0-hybrid</t>
  </si>
  <si>
    <t>gene24368-v1.0-hybrid</t>
  </si>
  <si>
    <t>gene24669-v1.0-hybrid</t>
  </si>
  <si>
    <t>gene25871-v1.0-hybrid</t>
  </si>
  <si>
    <t>gene26171-v1.0-hybrid</t>
  </si>
  <si>
    <t>gene26772-v1.0-hybrid</t>
  </si>
  <si>
    <t>gene27072-v1.0-hybrid</t>
  </si>
  <si>
    <t>gene27972-v1.0-hybrid</t>
  </si>
  <si>
    <t>gene28872-v1.0-hybrid</t>
  </si>
  <si>
    <t>gene29773-v1.0-hybrid</t>
  </si>
  <si>
    <t>gene30074-v1.0-hybrid</t>
  </si>
  <si>
    <t>gene30974-v1.0-hybrid</t>
  </si>
  <si>
    <t>gene31274-v1.0-hybrid</t>
  </si>
  <si>
    <t>gene31874-v1.0-hybrid</t>
  </si>
  <si>
    <t>gene32174-v1.0-hybrid</t>
  </si>
  <si>
    <t>gene32474-v1.0-hybrid</t>
  </si>
  <si>
    <t>gene33587-v1.0-hybrid</t>
  </si>
  <si>
    <t>gene33939-v1.0-hybrid</t>
  </si>
  <si>
    <t>gene34539-v1.0-hybrid</t>
  </si>
  <si>
    <t>gene35139-v1.0-hybrid</t>
  </si>
  <si>
    <t>gene00251-v1.0-hybrid</t>
  </si>
  <si>
    <t>gene00555-v1.0-hybrid</t>
  </si>
  <si>
    <t>gene00855-v1.0-hybrid</t>
  </si>
  <si>
    <t>gene01155-v1.0-hybrid</t>
  </si>
  <si>
    <t>gene01456-v1.0-hybrid</t>
  </si>
  <si>
    <t>gene02356-v1.0-hybrid</t>
  </si>
  <si>
    <t>gene02656-v1.0-hybrid</t>
  </si>
  <si>
    <t>gene03044-v1.0-hybrid</t>
  </si>
  <si>
    <t>gene03344-v1.0-hybrid</t>
  </si>
  <si>
    <t>gene03644-v1.0-hybrid</t>
  </si>
  <si>
    <t>gene03944-v1.0-hybrid</t>
  </si>
  <si>
    <t>gene04244-v1.0-hybrid</t>
  </si>
  <si>
    <t>gene04544-v1.0-hybrid</t>
  </si>
  <si>
    <t>gene04844-v1.0-hybrid</t>
  </si>
  <si>
    <t>gene05745-v1.0-hybrid</t>
  </si>
  <si>
    <t>gene06045-v1.0-hybrid</t>
  </si>
  <si>
    <t>gene06345-v1.0-hybrid</t>
  </si>
  <si>
    <t>gene07245-v1.0-hybrid</t>
  </si>
  <si>
    <t>gene07846-v1.0-hybrid</t>
  </si>
  <si>
    <t>gene08146-v1.0-hybrid</t>
  </si>
  <si>
    <t>gene08746-v1.0-hybrid</t>
  </si>
  <si>
    <t>gene09046-v1.0-hybrid</t>
  </si>
  <si>
    <t>gene09346-v1.0-hybrid</t>
  </si>
  <si>
    <t>gene09646-v1.0-hybrid</t>
  </si>
  <si>
    <t>gene09947-v1.0-hybrid</t>
  </si>
  <si>
    <t>gene10247-v1.0-hybrid</t>
  </si>
  <si>
    <t>gene10848-v1.0-hybrid</t>
  </si>
  <si>
    <t>gene11749-v1.0-hybrid</t>
  </si>
  <si>
    <t>gene12349-v1.0-hybrid</t>
  </si>
  <si>
    <t>gene12649-v1.0-hybrid</t>
  </si>
  <si>
    <t>gene12949-v1.0-hybrid</t>
  </si>
  <si>
    <t>gene13250-v1.0-hybrid</t>
  </si>
  <si>
    <t>gene13850-v1.0-hybrid</t>
  </si>
  <si>
    <t>gene14151-v1.0-hybrid</t>
  </si>
  <si>
    <t>gene14452-v1.0-hybrid</t>
  </si>
  <si>
    <t>gene14754-v1.0-hybrid</t>
  </si>
  <si>
    <t>gene15055-v1.0-hybrid</t>
  </si>
  <si>
    <t>gene15357-v1.0-hybrid</t>
  </si>
  <si>
    <t>gene15657-v1.0-hybrid</t>
  </si>
  <si>
    <t>gene15958-v1.0-hybrid</t>
  </si>
  <si>
    <t>gene16259-v1.0-hybrid</t>
  </si>
  <si>
    <t>gene16559-v1.0-hybrid</t>
  </si>
  <si>
    <t>gene17161-v1.0-hybrid</t>
  </si>
  <si>
    <t>gene17461-v1.0-hybrid</t>
  </si>
  <si>
    <t>gene17761-v1.0-hybrid</t>
  </si>
  <si>
    <t>gene18361-v1.0-hybrid</t>
  </si>
  <si>
    <t>gene18661-v1.0-hybrid</t>
  </si>
  <si>
    <t>gene18961-v1.0-hybrid</t>
  </si>
  <si>
    <t>gene19261-v1.0-hybrid</t>
  </si>
  <si>
    <t>gene19561-v1.0-hybrid</t>
  </si>
  <si>
    <t>gene19861-v1.0-hybrid</t>
  </si>
  <si>
    <t>gene20161-v1.0-hybrid</t>
  </si>
  <si>
    <t>gene21062-v1.0-hybrid</t>
  </si>
  <si>
    <t>gene21362-v1.0-hybrid</t>
  </si>
  <si>
    <t>gene21663-v1.0-hybrid</t>
  </si>
  <si>
    <t>gene21963-v1.0-hybrid</t>
  </si>
  <si>
    <t>gene22564-v1.0-hybrid</t>
  </si>
  <si>
    <t>gene23167-v1.0-hybrid</t>
  </si>
  <si>
    <t>gene23467-v1.0-hybrid</t>
  </si>
  <si>
    <t>gene24067-v1.0-hybrid</t>
  </si>
  <si>
    <t>gene24369-v1.0-hybrid</t>
  </si>
  <si>
    <t>gene24670-v1.0-hybrid</t>
  </si>
  <si>
    <t>gene25272-v1.0-hybrid</t>
  </si>
  <si>
    <t>gene25572-v1.0-hybrid</t>
  </si>
  <si>
    <t>gene25872-v1.0-hybrid</t>
  </si>
  <si>
    <t>gene26172-v1.0-hybrid</t>
  </si>
  <si>
    <t>gene27073-v1.0-hybrid</t>
  </si>
  <si>
    <t>gene27673-v1.0-hybrid</t>
  </si>
  <si>
    <t>gene27973-v1.0-hybrid</t>
  </si>
  <si>
    <t>gene28873-v1.0-hybrid</t>
  </si>
  <si>
    <t>gene29774-v1.0-hybrid</t>
  </si>
  <si>
    <t>gene30375-v1.0-hybrid</t>
  </si>
  <si>
    <t>gene30675-v1.0-hybrid</t>
  </si>
  <si>
    <t>gene30975-v1.0-hybrid</t>
  </si>
  <si>
    <t>gene31275-v1.0-hybrid</t>
  </si>
  <si>
    <t>gene31575-v1.0-hybrid</t>
  </si>
  <si>
    <t>gene31875-v1.0-hybrid</t>
  </si>
  <si>
    <t>gene32175-v1.0-hybrid</t>
  </si>
  <si>
    <t>gene32475-v1.0-hybrid</t>
  </si>
  <si>
    <t>gene33185-v1.0-hybrid</t>
  </si>
  <si>
    <t>gene33940-v1.0-hybrid</t>
  </si>
  <si>
    <t>gene34240-v1.0-hybrid</t>
  </si>
  <si>
    <t>gene34540-v1.0-hybrid</t>
  </si>
  <si>
    <t>gene35140-v1.0-hybrid</t>
  </si>
  <si>
    <t>gene00252-v1.0-hybrid</t>
  </si>
  <si>
    <t>gene00856-v1.0-hybrid</t>
  </si>
  <si>
    <t>gene01156-v1.0-hybrid</t>
  </si>
  <si>
    <t>gene01457-v1.0-hybrid</t>
  </si>
  <si>
    <t>gene01757-v1.0-hybrid</t>
  </si>
  <si>
    <t>gene02057-v1.0-hybrid</t>
  </si>
  <si>
    <t>gene02657-v1.0-hybrid</t>
  </si>
  <si>
    <t>gene03045-v1.0-hybrid</t>
  </si>
  <si>
    <t>gene03345-v1.0-hybrid</t>
  </si>
  <si>
    <t>gene03945-v1.0-hybrid</t>
  </si>
  <si>
    <t>gene04245-v1.0-hybrid</t>
  </si>
  <si>
    <t>gene04545-v1.0-hybrid</t>
  </si>
  <si>
    <t>gene04845-v1.0-hybrid</t>
  </si>
  <si>
    <t>gene05145-v1.0-hybrid</t>
  </si>
  <si>
    <t>gene05446-v1.0-hybrid</t>
  </si>
  <si>
    <t>gene05746-v1.0-hybrid</t>
  </si>
  <si>
    <t>gene06346-v1.0-hybrid</t>
  </si>
  <si>
    <t>gene06646-v1.0-hybrid</t>
  </si>
  <si>
    <t>gene06946-v1.0-hybrid</t>
  </si>
  <si>
    <t>gene07246-v1.0-hybrid</t>
  </si>
  <si>
    <t>gene08147-v1.0-hybrid</t>
  </si>
  <si>
    <t>gene08747-v1.0-hybrid</t>
  </si>
  <si>
    <t>gene09047-v1.0-hybrid</t>
  </si>
  <si>
    <t>gene09347-v1.0-hybrid</t>
  </si>
  <si>
    <t>gene09948-v1.0-hybrid</t>
  </si>
  <si>
    <t>gene10248-v1.0-hybrid</t>
  </si>
  <si>
    <t>gene10549-v1.0-hybrid</t>
  </si>
  <si>
    <t>gene10849-v1.0-hybrid</t>
  </si>
  <si>
    <t>gene11149-v1.0-hybrid</t>
  </si>
  <si>
    <t>gene11750-v1.0-hybrid</t>
  </si>
  <si>
    <t>gene12050-v1.0-hybrid</t>
  </si>
  <si>
    <t>gene12950-v1.0-hybrid</t>
  </si>
  <si>
    <t>gene13251-v1.0-hybrid</t>
  </si>
  <si>
    <t>gene13851-v1.0-hybrid</t>
  </si>
  <si>
    <t>gene14152-v1.0-hybrid</t>
  </si>
  <si>
    <t>gene14755-v1.0-hybrid</t>
  </si>
  <si>
    <t>gene15056-v1.0-hybrid</t>
  </si>
  <si>
    <t>gene15358-v1.0-hybrid</t>
  </si>
  <si>
    <t>gene15658-v1.0-hybrid</t>
  </si>
  <si>
    <t>gene15959-v1.0-hybrid</t>
  </si>
  <si>
    <t>gene16260-v1.0-hybrid</t>
  </si>
  <si>
    <t>gene16560-v1.0-hybrid</t>
  </si>
  <si>
    <t>gene16861-v1.0-hybrid</t>
  </si>
  <si>
    <t>gene17162-v1.0-hybrid</t>
  </si>
  <si>
    <t>gene17462-v1.0-hybrid</t>
  </si>
  <si>
    <t>gene17762-v1.0-hybrid</t>
  </si>
  <si>
    <t>gene18062-v1.0-hybrid</t>
  </si>
  <si>
    <t>gene18962-v1.0-hybrid</t>
  </si>
  <si>
    <t>gene19262-v1.0-hybrid</t>
  </si>
  <si>
    <t>gene19562-v1.0-hybrid</t>
  </si>
  <si>
    <t>gene19862-v1.0-hybrid</t>
  </si>
  <si>
    <t>gene20162-v1.0-hybrid</t>
  </si>
  <si>
    <t>gene21063-v1.0-hybrid</t>
  </si>
  <si>
    <t>gene21363-v1.0-hybrid</t>
  </si>
  <si>
    <t>gene21964-v1.0-hybrid</t>
  </si>
  <si>
    <t>gene22565-v1.0-hybrid</t>
  </si>
  <si>
    <t>gene23468-v1.0-hybrid</t>
  </si>
  <si>
    <t>gene23768-v1.0-hybrid</t>
  </si>
  <si>
    <t>gene24068-v1.0-hybrid</t>
  </si>
  <si>
    <t>gene24370-v1.0-hybrid</t>
  </si>
  <si>
    <t>gene24671-v1.0-hybrid</t>
  </si>
  <si>
    <t>gene25273-v1.0-hybrid</t>
  </si>
  <si>
    <t>gene25573-v1.0-hybrid</t>
  </si>
  <si>
    <t>gene25873-v1.0-hybrid</t>
  </si>
  <si>
    <t>gene26173-v1.0-hybrid</t>
  </si>
  <si>
    <t>gene26473-v1.0-hybrid</t>
  </si>
  <si>
    <t>gene26774-v1.0-hybrid</t>
  </si>
  <si>
    <t>gene27674-v1.0-hybrid</t>
  </si>
  <si>
    <t>gene28274-v1.0-hybrid</t>
  </si>
  <si>
    <t>gene28574-v1.0-hybrid</t>
  </si>
  <si>
    <t>gene28874-v1.0-hybrid</t>
  </si>
  <si>
    <t>gene29174-v1.0-hybrid</t>
  </si>
  <si>
    <t>gene29474-v1.0-hybrid</t>
  </si>
  <si>
    <t>gene29775-v1.0-hybrid</t>
  </si>
  <si>
    <t>gene30076-v1.0-hybrid</t>
  </si>
  <si>
    <t>gene30376-v1.0-hybrid</t>
  </si>
  <si>
    <t>gene30976-v1.0-hybrid</t>
  </si>
  <si>
    <t>gene31876-v1.0-hybrid</t>
  </si>
  <si>
    <t>gene32476-v1.0-hybrid</t>
  </si>
  <si>
    <t>gene34841-v1.0-hybrid</t>
  </si>
  <si>
    <t>gene35141-v1.0-hybrid</t>
  </si>
  <si>
    <t>gene00557-v1.0-hybrid</t>
  </si>
  <si>
    <t>gene00857-v1.0-hybrid</t>
  </si>
  <si>
    <t>gene01157-v1.0-hybrid</t>
  </si>
  <si>
    <t>gene01458-v1.0-hybrid</t>
  </si>
  <si>
    <t>gene01758-v1.0-hybrid</t>
  </si>
  <si>
    <t>gene02658-v1.0-hybrid</t>
  </si>
  <si>
    <t>gene03046-v1.0-hybrid</t>
  </si>
  <si>
    <t>gene03346-v1.0-hybrid</t>
  </si>
  <si>
    <t>gene03646-v1.0-hybrid</t>
  </si>
  <si>
    <t>gene04246-v1.0-hybrid</t>
  </si>
  <si>
    <t>gene04546-v1.0-hybrid</t>
  </si>
  <si>
    <t>gene05747-v1.0-hybrid</t>
  </si>
  <si>
    <t>gene06047-v1.0-hybrid</t>
  </si>
  <si>
    <t>gene06347-v1.0-hybrid</t>
  </si>
  <si>
    <t>gene06647-v1.0-hybrid</t>
  </si>
  <si>
    <t>gene06947-v1.0-hybrid</t>
  </si>
  <si>
    <t>gene07247-v1.0-hybrid</t>
  </si>
  <si>
    <t>gene07547-v1.0-hybrid</t>
  </si>
  <si>
    <t>gene07848-v1.0-hybrid</t>
  </si>
  <si>
    <t>gene08148-v1.0-hybrid</t>
  </si>
  <si>
    <t>gene08448-v1.0-hybrid</t>
  </si>
  <si>
    <t>gene08748-v1.0-hybrid</t>
  </si>
  <si>
    <t>gene09048-v1.0-hybrid</t>
  </si>
  <si>
    <t>gene09348-v1.0-hybrid</t>
  </si>
  <si>
    <t>gene09648-v1.0-hybrid</t>
  </si>
  <si>
    <t>gene09949-v1.0-hybrid</t>
  </si>
  <si>
    <t>gene10249-v1.0-hybrid</t>
  </si>
  <si>
    <t>gene10550-v1.0-hybrid</t>
  </si>
  <si>
    <t>gene10850-v1.0-hybrid</t>
  </si>
  <si>
    <t>gene11150-v1.0-hybrid</t>
  </si>
  <si>
    <t>gene12051-v1.0-hybrid</t>
  </si>
  <si>
    <t>gene12351-v1.0-hybrid</t>
  </si>
  <si>
    <t>gene12651-v1.0-hybrid</t>
  </si>
  <si>
    <t>gene12951-v1.0-hybrid</t>
  </si>
  <si>
    <t>gene13252-v1.0-hybrid</t>
  </si>
  <si>
    <t>gene13552-v1.0-hybrid</t>
  </si>
  <si>
    <t>gene14153-v1.0-hybrid</t>
  </si>
  <si>
    <t>gene15057-v1.0-hybrid</t>
  </si>
  <si>
    <t>gene15359-v1.0-hybrid</t>
  </si>
  <si>
    <t>gene15659-v1.0-hybrid</t>
  </si>
  <si>
    <t>gene15960-v1.0-hybrid</t>
  </si>
  <si>
    <t>gene16261-v1.0-hybrid</t>
  </si>
  <si>
    <t>gene16561-v1.0-hybrid</t>
  </si>
  <si>
    <t>gene17463-v1.0-hybrid</t>
  </si>
  <si>
    <t>gene17763-v1.0-hybrid</t>
  </si>
  <si>
    <t>gene18063-v1.0-hybrid</t>
  </si>
  <si>
    <t>gene18663-v1.0-hybrid</t>
  </si>
  <si>
    <t>gene18963-v1.0-hybrid</t>
  </si>
  <si>
    <t>gene19263-v1.0-hybrid</t>
  </si>
  <si>
    <t>gene19863-v1.0-hybrid</t>
  </si>
  <si>
    <t>gene20163-v1.0-hybrid</t>
  </si>
  <si>
    <t>gene20464-v1.0-hybrid</t>
  </si>
  <si>
    <t>gene20764-v1.0-hybrid</t>
  </si>
  <si>
    <t>gene21064-v1.0-hybrid</t>
  </si>
  <si>
    <t>gene21364-v1.0-hybrid</t>
  </si>
  <si>
    <t>gene21665-v1.0-hybrid</t>
  </si>
  <si>
    <t>gene22566-v1.0-hybrid</t>
  </si>
  <si>
    <t>gene23169-v1.0-hybrid</t>
  </si>
  <si>
    <t>gene23469-v1.0-hybrid</t>
  </si>
  <si>
    <t>gene23769-v1.0-hybrid</t>
  </si>
  <si>
    <t>gene24069-v1.0-hybrid</t>
  </si>
  <si>
    <t>gene24672-v1.0-hybrid</t>
  </si>
  <si>
    <t>gene25274-v1.0-hybrid</t>
  </si>
  <si>
    <t>gene25874-v1.0-hybrid</t>
  </si>
  <si>
    <t>gene26174-v1.0-hybrid</t>
  </si>
  <si>
    <t>gene26474-v1.0-hybrid</t>
  </si>
  <si>
    <t>gene27075-v1.0-hybrid</t>
  </si>
  <si>
    <t>gene27375-v1.0-hybrid</t>
  </si>
  <si>
    <t>gene27675-v1.0-hybrid</t>
  </si>
  <si>
    <t>gene27975-v1.0-hybrid</t>
  </si>
  <si>
    <t>gene28275-v1.0-hybrid</t>
  </si>
  <si>
    <t>gene28575-v1.0-hybrid</t>
  </si>
  <si>
    <t>gene28875-v1.0-hybrid</t>
  </si>
  <si>
    <t>gene29175-v1.0-hybrid</t>
  </si>
  <si>
    <t>gene29475-v1.0-hybrid</t>
  </si>
  <si>
    <t>gene29776-v1.0-hybrid</t>
  </si>
  <si>
    <t>gene30077-v1.0-hybrid</t>
  </si>
  <si>
    <t>gene30377-v1.0-hybrid</t>
  </si>
  <si>
    <t>gene30977-v1.0-hybrid</t>
  </si>
  <si>
    <t>gene31277-v1.0-hybrid</t>
  </si>
  <si>
    <t>gene31577-v1.0-hybrid</t>
  </si>
  <si>
    <t>gene32177-v1.0-hybrid</t>
  </si>
  <si>
    <t>gene32477-v1.0-hybrid</t>
  </si>
  <si>
    <t>gene34242-v1.0-hybrid</t>
  </si>
  <si>
    <t>gene34542-v1.0-hybrid</t>
  </si>
  <si>
    <t>gene34842-v1.0-hybrid</t>
  </si>
  <si>
    <t>gene35142-v1.0-hybrid</t>
  </si>
  <si>
    <t>gene00254-v1.0-hybrid</t>
  </si>
  <si>
    <t>gene00558-v1.0-hybrid</t>
  </si>
  <si>
    <t>gene00858-v1.0-hybrid</t>
  </si>
  <si>
    <t>gene01158-v1.0-hybrid</t>
  </si>
  <si>
    <t>gene01459-v1.0-hybrid</t>
  </si>
  <si>
    <t>gene02359-v1.0-hybrid</t>
  </si>
  <si>
    <t>gene02659-v1.0-hybrid</t>
  </si>
  <si>
    <t>gene03047-v1.0-hybrid</t>
  </si>
  <si>
    <t>gene03347-v1.0-hybrid</t>
  </si>
  <si>
    <t>gene03647-v1.0-hybrid</t>
  </si>
  <si>
    <t>gene03947-v1.0-hybrid</t>
  </si>
  <si>
    <t>gene04247-v1.0-hybrid</t>
  </si>
  <si>
    <t>gene04547-v1.0-hybrid</t>
  </si>
  <si>
    <t>gene04847-v1.0-hybrid</t>
  </si>
  <si>
    <t>gene05147-v1.0-hybrid</t>
  </si>
  <si>
    <t>gene05448-v1.0-hybrid</t>
  </si>
  <si>
    <t>gene05748-v1.0-hybrid</t>
  </si>
  <si>
    <t>gene06048-v1.0-hybrid</t>
  </si>
  <si>
    <t>gene06348-v1.0-hybrid</t>
  </si>
  <si>
    <t>gene06948-v1.0-hybrid</t>
  </si>
  <si>
    <t>gene07248-v1.0-hybrid</t>
  </si>
  <si>
    <t>gene07548-v1.0-hybrid</t>
  </si>
  <si>
    <t>gene08449-v1.0-hybrid</t>
  </si>
  <si>
    <t>gene08749-v1.0-hybrid</t>
  </si>
  <si>
    <t>gene09049-v1.0-hybrid</t>
  </si>
  <si>
    <t>gene09349-v1.0-hybrid</t>
  </si>
  <si>
    <t>gene09649-v1.0-hybrid</t>
  </si>
  <si>
    <t>gene09950-v1.0-hybrid</t>
  </si>
  <si>
    <t>gene10250-v1.0-hybrid</t>
  </si>
  <si>
    <t>gene10551-v1.0-hybrid</t>
  </si>
  <si>
    <t>gene10851-v1.0-hybrid</t>
  </si>
  <si>
    <t>gene11151-v1.0-hybrid</t>
  </si>
  <si>
    <t>gene12352-v1.0-hybrid</t>
  </si>
  <si>
    <t>gene12652-v1.0-hybrid</t>
  </si>
  <si>
    <t>gene12952-v1.0-hybrid</t>
  </si>
  <si>
    <t>gene13253-v1.0-hybrid</t>
  </si>
  <si>
    <t>gene13853-v1.0-hybrid</t>
  </si>
  <si>
    <t>gene14154-v1.0-hybrid</t>
  </si>
  <si>
    <t>gene14455-v1.0-hybrid</t>
  </si>
  <si>
    <t>gene14757-v1.0-hybrid</t>
  </si>
  <si>
    <t>gene15058-v1.0-hybrid</t>
  </si>
  <si>
    <t>gene15360-v1.0-hybrid</t>
  </si>
  <si>
    <t>gene15660-v1.0-hybrid</t>
  </si>
  <si>
    <t>gene15961-v1.0-hybrid</t>
  </si>
  <si>
    <t>gene16262-v1.0-hybrid</t>
  </si>
  <si>
    <t>gene16562-v1.0-hybrid</t>
  </si>
  <si>
    <t>gene17164-v1.0-hybrid</t>
  </si>
  <si>
    <t>gene17464-v1.0-hybrid</t>
  </si>
  <si>
    <t>gene17764-v1.0-hybrid</t>
  </si>
  <si>
    <t>gene18064-v1.0-hybrid</t>
  </si>
  <si>
    <t>gene18664-v1.0-hybrid</t>
  </si>
  <si>
    <t>gene18964-v1.0-hybrid</t>
  </si>
  <si>
    <t>gene19264-v1.0-hybrid</t>
  </si>
  <si>
    <t>gene19864-v1.0-hybrid</t>
  </si>
  <si>
    <t>gene20465-v1.0-hybrid</t>
  </si>
  <si>
    <t>gene20765-v1.0-hybrid</t>
  </si>
  <si>
    <t>gene21065-v1.0-hybrid</t>
  </si>
  <si>
    <t>gene21365-v1.0-hybrid</t>
  </si>
  <si>
    <t>gene21666-v1.0-hybrid</t>
  </si>
  <si>
    <t>gene21966-v1.0-hybrid</t>
  </si>
  <si>
    <t>gene22267-v1.0-hybrid</t>
  </si>
  <si>
    <t>gene22567-v1.0-hybrid</t>
  </si>
  <si>
    <t>gene22868-v1.0-hybrid</t>
  </si>
  <si>
    <t>gene23170-v1.0-hybrid</t>
  </si>
  <si>
    <t>gene23470-v1.0-hybrid</t>
  </si>
  <si>
    <t>gene23770-v1.0-hybrid</t>
  </si>
  <si>
    <t>gene24070-v1.0-hybrid</t>
  </si>
  <si>
    <t>gene24673-v1.0-hybrid</t>
  </si>
  <si>
    <t>gene24975-v1.0-hybrid</t>
  </si>
  <si>
    <t>gene25575-v1.0-hybrid</t>
  </si>
  <si>
    <t>gene25875-v1.0-hybrid</t>
  </si>
  <si>
    <t>gene26175-v1.0-hybrid</t>
  </si>
  <si>
    <t>gene26475-v1.0-hybrid</t>
  </si>
  <si>
    <t>gene26776-v1.0-hybrid</t>
  </si>
  <si>
    <t>gene27076-v1.0-hybrid</t>
  </si>
  <si>
    <t>gene27376-v1.0-hybrid</t>
  </si>
  <si>
    <t>gene27976-v1.0-hybrid</t>
  </si>
  <si>
    <t>gene28276-v1.0-hybrid</t>
  </si>
  <si>
    <t>gene28576-v1.0-hybrid</t>
  </si>
  <si>
    <t>gene28876-v1.0-hybrid</t>
  </si>
  <si>
    <t>gene29176-v1.0-hybrid</t>
  </si>
  <si>
    <t>gene29476-v1.0-hybrid</t>
  </si>
  <si>
    <t>gene30078-v1.0-hybrid</t>
  </si>
  <si>
    <t>gene30378-v1.0-hybrid</t>
  </si>
  <si>
    <t>gene30678-v1.0-hybrid</t>
  </si>
  <si>
    <t>gene30978-v1.0-hybrid</t>
  </si>
  <si>
    <t>gene31278-v1.0-hybrid</t>
  </si>
  <si>
    <t>gene31878-v1.0-hybrid</t>
  </si>
  <si>
    <t>gene32478-v1.0-hybrid</t>
  </si>
  <si>
    <t>gene33591-v1.0-hybrid</t>
  </si>
  <si>
    <t>gene34543-v1.0-hybrid</t>
  </si>
  <si>
    <t>gene34843-v1.0-hybrid</t>
  </si>
  <si>
    <t>gene35143-v1.0-hybrid</t>
  </si>
  <si>
    <t>gene00559-v1.0-hybrid</t>
  </si>
  <si>
    <t>gene01159-v1.0-hybrid</t>
  </si>
  <si>
    <t>gene01460-v1.0-hybrid</t>
  </si>
  <si>
    <t>gene01760-v1.0-hybrid</t>
  </si>
  <si>
    <t>gene02060-v1.0-hybrid</t>
  </si>
  <si>
    <t>gene02360-v1.0-hybrid</t>
  </si>
  <si>
    <t>gene02660-v1.0-hybrid</t>
  </si>
  <si>
    <t>gene03348-v1.0-hybrid</t>
  </si>
  <si>
    <t>gene03648-v1.0-hybrid</t>
  </si>
  <si>
    <t>gene03948-v1.0-hybrid</t>
  </si>
  <si>
    <t>gene04848-v1.0-hybrid</t>
  </si>
  <si>
    <t>gene05148-v1.0-hybrid</t>
  </si>
  <si>
    <t>gene06049-v1.0-hybrid</t>
  </si>
  <si>
    <t>gene06349-v1.0-hybrid</t>
  </si>
  <si>
    <t>gene06649-v1.0-hybrid</t>
  </si>
  <si>
    <t>gene07249-v1.0-hybrid</t>
  </si>
  <si>
    <t>gene07549-v1.0-hybrid</t>
  </si>
  <si>
    <t>gene07850-v1.0-hybrid</t>
  </si>
  <si>
    <t>gene08150-v1.0-hybrid</t>
  </si>
  <si>
    <t>gene08450-v1.0-hybrid</t>
  </si>
  <si>
    <t>gene08750-v1.0-hybrid</t>
  </si>
  <si>
    <t>gene09050-v1.0-hybrid</t>
  </si>
  <si>
    <t>gene09350-v1.0-hybrid</t>
  </si>
  <si>
    <t>gene09650-v1.0-hybrid</t>
  </si>
  <si>
    <t>gene09951-v1.0-hybrid</t>
  </si>
  <si>
    <t>gene10251-v1.0-hybrid</t>
  </si>
  <si>
    <t>gene10552-v1.0-hybrid</t>
  </si>
  <si>
    <t>gene11152-v1.0-hybrid</t>
  </si>
  <si>
    <t>gene11753-v1.0-hybrid</t>
  </si>
  <si>
    <t>gene12353-v1.0-hybrid</t>
  </si>
  <si>
    <t>gene12953-v1.0-hybrid</t>
  </si>
  <si>
    <t>gene13554-v1.0-hybrid</t>
  </si>
  <si>
    <t>gene13854-v1.0-hybrid</t>
  </si>
  <si>
    <t>gene14155-v1.0-hybrid</t>
  </si>
  <si>
    <t>gene14456-v1.0-hybrid</t>
  </si>
  <si>
    <t>gene14758-v1.0-hybrid</t>
  </si>
  <si>
    <t>gene15059-v1.0-hybrid</t>
  </si>
  <si>
    <t>gene15361-v1.0-hybrid</t>
  </si>
  <si>
    <t>gene15661-v1.0-hybrid</t>
  </si>
  <si>
    <t>gene15962-v1.0-hybrid</t>
  </si>
  <si>
    <t>gene16563-v1.0-hybrid</t>
  </si>
  <si>
    <t>gene17165-v1.0-hybrid</t>
  </si>
  <si>
    <t>gene17765-v1.0-hybrid</t>
  </si>
  <si>
    <t>gene18065-v1.0-hybrid</t>
  </si>
  <si>
    <t>gene18365-v1.0-hybrid</t>
  </si>
  <si>
    <t>gene18665-v1.0-hybrid</t>
  </si>
  <si>
    <t>gene18965-v1.0-hybrid</t>
  </si>
  <si>
    <t>gene19565-v1.0-hybrid</t>
  </si>
  <si>
    <t>gene19865-v1.0-hybrid</t>
  </si>
  <si>
    <t>gene20466-v1.0-hybrid</t>
  </si>
  <si>
    <t>gene20766-v1.0-hybrid</t>
  </si>
  <si>
    <t>gene21066-v1.0-hybrid</t>
  </si>
  <si>
    <t>gene21366-v1.0-hybrid</t>
  </si>
  <si>
    <t>gene21667-v1.0-hybrid</t>
  </si>
  <si>
    <t>gene21967-v1.0-hybrid</t>
  </si>
  <si>
    <t>gene22568-v1.0-hybrid</t>
  </si>
  <si>
    <t>gene23471-v1.0-hybrid</t>
  </si>
  <si>
    <t>gene24071-v1.0-hybrid</t>
  </si>
  <si>
    <t>gene24373-v1.0-hybrid</t>
  </si>
  <si>
    <t>gene24674-v1.0-hybrid</t>
  </si>
  <si>
    <t>gene24976-v1.0-hybrid</t>
  </si>
  <si>
    <t>gene25576-v1.0-hybrid</t>
  </si>
  <si>
    <t>gene25876-v1.0-hybrid</t>
  </si>
  <si>
    <t>gene26476-v1.0-hybrid</t>
  </si>
  <si>
    <t>gene26777-v1.0-hybrid</t>
  </si>
  <si>
    <t>gene27077-v1.0-hybrid</t>
  </si>
  <si>
    <t>gene27677-v1.0-hybrid</t>
  </si>
  <si>
    <t>gene27977-v1.0-hybrid</t>
  </si>
  <si>
    <t>gene28577-v1.0-hybrid</t>
  </si>
  <si>
    <t>gene28877-v1.0-hybrid</t>
  </si>
  <si>
    <t>gene29477-v1.0-hybrid</t>
  </si>
  <si>
    <t>gene29778-v1.0-hybrid</t>
  </si>
  <si>
    <t>gene30079-v1.0-hybrid</t>
  </si>
  <si>
    <t>gene30379-v1.0-hybrid</t>
  </si>
  <si>
    <t>gene30679-v1.0-hybrid</t>
  </si>
  <si>
    <t>gene30979-v1.0-hybrid</t>
  </si>
  <si>
    <t>gene31279-v1.0-hybrid</t>
  </si>
  <si>
    <t>gene31579-v1.0-hybrid</t>
  </si>
  <si>
    <t>gene31879-v1.0-hybrid</t>
  </si>
  <si>
    <t>gene32179-v1.0-hybrid</t>
  </si>
  <si>
    <t>gene32479-v1.0-hybrid</t>
  </si>
  <si>
    <t>gene33193-v1.0-hybrid</t>
  </si>
  <si>
    <t>gene34244-v1.0-hybrid</t>
  </si>
  <si>
    <t>gene34844-v1.0-hybrid</t>
  </si>
  <si>
    <t>gene35144-v1.0-hybrid</t>
  </si>
  <si>
    <t>gene00256-v1.0-hybrid</t>
  </si>
  <si>
    <t>gene00860-v1.0-hybrid</t>
  </si>
  <si>
    <t>gene01160-v1.0-hybrid</t>
  </si>
  <si>
    <t>gene01461-v1.0-hybrid</t>
  </si>
  <si>
    <t>gene01761-v1.0-hybrid</t>
  </si>
  <si>
    <t>gene02361-v1.0-hybrid</t>
  </si>
  <si>
    <t>gene02661-v1.0-hybrid</t>
  </si>
  <si>
    <t>gene03349-v1.0-hybrid</t>
  </si>
  <si>
    <t>gene03649-v1.0-hybrid</t>
  </si>
  <si>
    <t>gene03949-v1.0-hybrid</t>
  </si>
  <si>
    <t>gene04249-v1.0-hybrid</t>
  </si>
  <si>
    <t>gene04549-v1.0-hybrid</t>
  </si>
  <si>
    <t>gene05450-v1.0-hybrid</t>
  </si>
  <si>
    <t>gene05750-v1.0-hybrid</t>
  </si>
  <si>
    <t>gene06350-v1.0-hybrid</t>
  </si>
  <si>
    <t>gene06650-v1.0-hybrid</t>
  </si>
  <si>
    <t>gene06950-v1.0-hybrid</t>
  </si>
  <si>
    <t>gene07851-v1.0-hybrid</t>
  </si>
  <si>
    <t>gene08451-v1.0-hybrid</t>
  </si>
  <si>
    <t>gene08751-v1.0-hybrid</t>
  </si>
  <si>
    <t>gene09051-v1.0-hybrid</t>
  </si>
  <si>
    <t>gene09651-v1.0-hybrid</t>
  </si>
  <si>
    <t>gene09952-v1.0-hybrid</t>
  </si>
  <si>
    <t>gene10252-v1.0-hybrid</t>
  </si>
  <si>
    <t>gene10853-v1.0-hybrid</t>
  </si>
  <si>
    <t>gene11153-v1.0-hybrid</t>
  </si>
  <si>
    <t>gene11454-v1.0-hybrid</t>
  </si>
  <si>
    <t>gene11754-v1.0-hybrid</t>
  </si>
  <si>
    <t>gene12054-v1.0-hybrid</t>
  </si>
  <si>
    <t>gene12654-v1.0-hybrid</t>
  </si>
  <si>
    <t>gene12954-v1.0-hybrid</t>
  </si>
  <si>
    <t>gene13255-v1.0-hybrid</t>
  </si>
  <si>
    <t>gene13555-v1.0-hybrid</t>
  </si>
  <si>
    <t>gene14156-v1.0-hybrid</t>
  </si>
  <si>
    <t>gene15362-v1.0-hybrid</t>
  </si>
  <si>
    <t>gene15662-v1.0-hybrid</t>
  </si>
  <si>
    <t>gene15963-v1.0-hybrid</t>
  </si>
  <si>
    <t>gene16264-v1.0-hybrid</t>
  </si>
  <si>
    <t>gene16564-v1.0-hybrid</t>
  </si>
  <si>
    <t>gene17166-v1.0-hybrid</t>
  </si>
  <si>
    <t>gene17766-v1.0-hybrid</t>
  </si>
  <si>
    <t>gene18066-v1.0-hybrid</t>
  </si>
  <si>
    <t>gene18366-v1.0-hybrid</t>
  </si>
  <si>
    <t>gene18966-v1.0-hybrid</t>
  </si>
  <si>
    <t>gene19266-v1.0-hybrid</t>
  </si>
  <si>
    <t>gene19566-v1.0-hybrid</t>
  </si>
  <si>
    <t>gene19866-v1.0-hybrid</t>
  </si>
  <si>
    <t>gene20166-v1.0-hybrid</t>
  </si>
  <si>
    <t>gene20467-v1.0-hybrid</t>
  </si>
  <si>
    <t>gene20767-v1.0-hybrid</t>
  </si>
  <si>
    <t>gene21367-v1.0-hybrid</t>
  </si>
  <si>
    <t>gene21668-v1.0-hybrid</t>
  </si>
  <si>
    <t>gene21968-v1.0-hybrid</t>
  </si>
  <si>
    <t>gene22569-v1.0-hybrid</t>
  </si>
  <si>
    <t>gene22870-v1.0-hybrid</t>
  </si>
  <si>
    <t>gene23172-v1.0-hybrid</t>
  </si>
  <si>
    <t>gene23472-v1.0-hybrid</t>
  </si>
  <si>
    <t>gene23772-v1.0-hybrid</t>
  </si>
  <si>
    <t>gene24072-v1.0-hybrid</t>
  </si>
  <si>
    <t>gene24374-v1.0-hybrid</t>
  </si>
  <si>
    <t>gene24675-v1.0-hybrid</t>
  </si>
  <si>
    <t>gene24977-v1.0-hybrid</t>
  </si>
  <si>
    <t>gene25277-v1.0-hybrid</t>
  </si>
  <si>
    <t>gene25877-v1.0-hybrid</t>
  </si>
  <si>
    <t>gene26177-v1.0-hybrid</t>
  </si>
  <si>
    <t>gene26778-v1.0-hybrid</t>
  </si>
  <si>
    <t>gene27078-v1.0-hybrid</t>
  </si>
  <si>
    <t>gene27678-v1.0-hybrid</t>
  </si>
  <si>
    <t>gene27978-v1.0-hybrid</t>
  </si>
  <si>
    <t>gene28278-v1.0-hybrid</t>
  </si>
  <si>
    <t>gene28578-v1.0-hybrid</t>
  </si>
  <si>
    <t>gene28878-v1.0-hybrid</t>
  </si>
  <si>
    <t>gene29178-v1.0-hybrid</t>
  </si>
  <si>
    <t>gene29478-v1.0-hybrid</t>
  </si>
  <si>
    <t>gene29779-v1.0-hybrid</t>
  </si>
  <si>
    <t>gene30080-v1.0-hybrid</t>
  </si>
  <si>
    <t>gene30380-v1.0-hybrid</t>
  </si>
  <si>
    <t>gene30680-v1.0-hybrid</t>
  </si>
  <si>
    <t>gene31580-v1.0-hybrid</t>
  </si>
  <si>
    <t>gene31880-v1.0-hybrid</t>
  </si>
  <si>
    <t>gene32180-v1.0-hybrid</t>
  </si>
  <si>
    <t>gene32480-v1.0-hybrid</t>
  </si>
  <si>
    <t>gene34245-v1.0-hybrid</t>
  </si>
  <si>
    <t>gene34545-v1.0-hybrid</t>
  </si>
  <si>
    <t>gene00257-v1.0-hybrid</t>
  </si>
  <si>
    <t>gene00561-v1.0-hybrid</t>
  </si>
  <si>
    <t>gene00861-v1.0-hybrid</t>
  </si>
  <si>
    <t>gene02062-v1.0-hybrid</t>
  </si>
  <si>
    <t>gene02362-v1.0-hybrid</t>
  </si>
  <si>
    <t>gene03650-v1.0-hybrid</t>
  </si>
  <si>
    <t>gene04250-v1.0-hybrid</t>
  </si>
  <si>
    <t>gene04550-v1.0-hybrid</t>
  </si>
  <si>
    <t>gene04850-v1.0-hybrid</t>
  </si>
  <si>
    <t>gene05150-v1.0-hybrid</t>
  </si>
  <si>
    <t>gene05451-v1.0-hybrid</t>
  </si>
  <si>
    <t>gene05751-v1.0-hybrid</t>
  </si>
  <si>
    <t>gene06051-v1.0-hybrid</t>
  </si>
  <si>
    <t>gene06351-v1.0-hybrid</t>
  </si>
  <si>
    <t>gene06651-v1.0-hybrid</t>
  </si>
  <si>
    <t>gene07251-v1.0-hybrid</t>
  </si>
  <si>
    <t>gene07852-v1.0-hybrid</t>
  </si>
  <si>
    <t>gene08152-v1.0-hybrid</t>
  </si>
  <si>
    <t>gene08452-v1.0-hybrid</t>
  </si>
  <si>
    <t>gene08752-v1.0-hybrid</t>
  </si>
  <si>
    <t>gene09052-v1.0-hybrid</t>
  </si>
  <si>
    <t>gene09953-v1.0-hybrid</t>
  </si>
  <si>
    <t>gene10253-v1.0-hybrid</t>
  </si>
  <si>
    <t>gene10554-v1.0-hybrid</t>
  </si>
  <si>
    <t>gene10854-v1.0-hybrid</t>
  </si>
  <si>
    <t>gene11154-v1.0-hybrid</t>
  </si>
  <si>
    <t>gene11755-v1.0-hybrid</t>
  </si>
  <si>
    <t>gene12055-v1.0-hybrid</t>
  </si>
  <si>
    <t>gene12355-v1.0-hybrid</t>
  </si>
  <si>
    <t>gene12655-v1.0-hybrid</t>
  </si>
  <si>
    <t>gene12955-v1.0-hybrid</t>
  </si>
  <si>
    <t>gene13256-v1.0-hybrid</t>
  </si>
  <si>
    <t>gene13856-v1.0-hybrid</t>
  </si>
  <si>
    <t>gene14157-v1.0-hybrid</t>
  </si>
  <si>
    <t>gene14760-v1.0-hybrid</t>
  </si>
  <si>
    <t>gene15061-v1.0-hybrid</t>
  </si>
  <si>
    <t>gene15363-v1.0-hybrid</t>
  </si>
  <si>
    <t>gene15663-v1.0-hybrid</t>
  </si>
  <si>
    <t>gene15964-v1.0-hybrid</t>
  </si>
  <si>
    <t>gene16265-v1.0-hybrid</t>
  </si>
  <si>
    <t>gene16565-v1.0-hybrid</t>
  </si>
  <si>
    <t>gene16866-v1.0-hybrid</t>
  </si>
  <si>
    <t>gene17167-v1.0-hybrid</t>
  </si>
  <si>
    <t>gene18067-v1.0-hybrid</t>
  </si>
  <si>
    <t>gene18367-v1.0-hybrid</t>
  </si>
  <si>
    <t>gene18667-v1.0-hybrid</t>
  </si>
  <si>
    <t>gene18967-v1.0-hybrid</t>
  </si>
  <si>
    <t>gene19567-v1.0-hybrid</t>
  </si>
  <si>
    <t>gene19867-v1.0-hybrid</t>
  </si>
  <si>
    <t>gene20167-v1.0-hybrid</t>
  </si>
  <si>
    <t>gene20468-v1.0-hybrid</t>
  </si>
  <si>
    <t>gene20768-v1.0-hybrid</t>
  </si>
  <si>
    <t>gene21368-v1.0-hybrid</t>
  </si>
  <si>
    <t>gene21669-v1.0-hybrid</t>
  </si>
  <si>
    <t>gene21969-v1.0-hybrid</t>
  </si>
  <si>
    <t>gene22270-v1.0-hybrid</t>
  </si>
  <si>
    <t>gene22570-v1.0-hybrid</t>
  </si>
  <si>
    <t>gene22871-v1.0-hybrid</t>
  </si>
  <si>
    <t>gene23173-v1.0-hybrid</t>
  </si>
  <si>
    <t>gene23473-v1.0-hybrid</t>
  </si>
  <si>
    <t>gene23773-v1.0-hybrid</t>
  </si>
  <si>
    <t>gene24073-v1.0-hybrid</t>
  </si>
  <si>
    <t>gene24375-v1.0-hybrid</t>
  </si>
  <si>
    <t>gene24676-v1.0-hybrid</t>
  </si>
  <si>
    <t>gene24978-v1.0-hybrid</t>
  </si>
  <si>
    <t>gene25278-v1.0-hybrid</t>
  </si>
  <si>
    <t>gene25578-v1.0-hybrid</t>
  </si>
  <si>
    <t>gene26178-v1.0-hybrid</t>
  </si>
  <si>
    <t>gene26478-v1.0-hybrid</t>
  </si>
  <si>
    <t>gene26779-v1.0-hybrid</t>
  </si>
  <si>
    <t>gene27079-v1.0-hybrid</t>
  </si>
  <si>
    <t>gene27379-v1.0-hybrid</t>
  </si>
  <si>
    <t>gene27979-v1.0-hybrid</t>
  </si>
  <si>
    <t>gene28579-v1.0-hybrid</t>
  </si>
  <si>
    <t>gene28879-v1.0-hybrid</t>
  </si>
  <si>
    <t>gene29479-v1.0-hybrid</t>
  </si>
  <si>
    <t>gene29780-v1.0-hybrid</t>
  </si>
  <si>
    <t>gene30081-v1.0-hybrid</t>
  </si>
  <si>
    <t>gene30381-v1.0-hybrid</t>
  </si>
  <si>
    <t>gene30681-v1.0-hybrid</t>
  </si>
  <si>
    <t>gene30981-v1.0-hybrid</t>
  </si>
  <si>
    <t>gene31281-v1.0-hybrid</t>
  </si>
  <si>
    <t>gene31581-v1.0-hybrid</t>
  </si>
  <si>
    <t>gene31881-v1.0-hybrid</t>
  </si>
  <si>
    <t>gene32181-v1.0-hybrid</t>
  </si>
  <si>
    <t>gene32481-v1.0-hybrid</t>
  </si>
  <si>
    <t>gene33946-v1.0-hybrid</t>
  </si>
  <si>
    <t>gene34246-v1.0-hybrid</t>
  </si>
  <si>
    <t>gene34846-v1.0-hybrid</t>
  </si>
  <si>
    <t>gene35146-v1.0-hybrid</t>
  </si>
  <si>
    <t>gene00258-v1.0-hybrid</t>
  </si>
  <si>
    <t>gene01162-v1.0-hybrid</t>
  </si>
  <si>
    <t>gene01463-v1.0-hybrid</t>
  </si>
  <si>
    <t>gene01763-v1.0-hybrid</t>
  </si>
  <si>
    <t>gene02063-v1.0-hybrid</t>
  </si>
  <si>
    <t>gene02363-v1.0-hybrid</t>
  </si>
  <si>
    <t>gene03051-v1.0-hybrid</t>
  </si>
  <si>
    <t>gene03651-v1.0-hybrid</t>
  </si>
  <si>
    <t>gene03951-v1.0-hybrid</t>
  </si>
  <si>
    <t>gene04251-v1.0-hybrid</t>
  </si>
  <si>
    <t>gene05452-v1.0-hybrid</t>
  </si>
  <si>
    <t>gene05752-v1.0-hybrid</t>
  </si>
  <si>
    <t>gene06052-v1.0-hybrid</t>
  </si>
  <si>
    <t>gene06652-v1.0-hybrid</t>
  </si>
  <si>
    <t>gene06952-v1.0-hybrid</t>
  </si>
  <si>
    <t>gene07252-v1.0-hybrid</t>
  </si>
  <si>
    <t>gene07853-v1.0-hybrid</t>
  </si>
  <si>
    <t>gene08453-v1.0-hybrid</t>
  </si>
  <si>
    <t>gene08753-v1.0-hybrid</t>
  </si>
  <si>
    <t>gene09353-v1.0-hybrid</t>
  </si>
  <si>
    <t>gene09653-v1.0-hybrid</t>
  </si>
  <si>
    <t>gene09954-v1.0-hybrid</t>
  </si>
  <si>
    <t>gene10555-v1.0-hybrid</t>
  </si>
  <si>
    <t>gene10855-v1.0-hybrid</t>
  </si>
  <si>
    <t>gene11155-v1.0-hybrid</t>
  </si>
  <si>
    <t>gene11456-v1.0-hybrid</t>
  </si>
  <si>
    <t>gene11756-v1.0-hybrid</t>
  </si>
  <si>
    <t>gene12056-v1.0-hybrid</t>
  </si>
  <si>
    <t>gene12656-v1.0-hybrid</t>
  </si>
  <si>
    <t>gene12956-v1.0-hybrid</t>
  </si>
  <si>
    <t>gene13257-v1.0-hybrid</t>
  </si>
  <si>
    <t>gene13557-v1.0-hybrid</t>
  </si>
  <si>
    <t>gene13857-v1.0-hybrid</t>
  </si>
  <si>
    <t>gene14158-v1.0-hybrid</t>
  </si>
  <si>
    <t>gene14761-v1.0-hybrid</t>
  </si>
  <si>
    <t>gene15062-v1.0-hybrid</t>
  </si>
  <si>
    <t>gene15364-v1.0-hybrid</t>
  </si>
  <si>
    <t>gene15664-v1.0-hybrid</t>
  </si>
  <si>
    <t>gene15965-v1.0-hybrid</t>
  </si>
  <si>
    <t>gene16266-v1.0-hybrid</t>
  </si>
  <si>
    <t>gene16566-v1.0-hybrid</t>
  </si>
  <si>
    <t>gene16867-v1.0-hybrid</t>
  </si>
  <si>
    <t>gene17168-v1.0-hybrid</t>
  </si>
  <si>
    <t>gene17468-v1.0-hybrid</t>
  </si>
  <si>
    <t>gene17768-v1.0-hybrid</t>
  </si>
  <si>
    <t>gene18068-v1.0-hybrid</t>
  </si>
  <si>
    <t>gene18668-v1.0-hybrid</t>
  </si>
  <si>
    <t>gene18968-v1.0-hybrid</t>
  </si>
  <si>
    <t>gene19268-v1.0-hybrid</t>
  </si>
  <si>
    <t>gene19568-v1.0-hybrid</t>
  </si>
  <si>
    <t>gene19868-v1.0-hybrid</t>
  </si>
  <si>
    <t>gene20469-v1.0-hybrid</t>
  </si>
  <si>
    <t>gene20769-v1.0-hybrid</t>
  </si>
  <si>
    <t>gene21369-v1.0-hybrid</t>
  </si>
  <si>
    <t>gene21670-v1.0-hybrid</t>
  </si>
  <si>
    <t>gene21970-v1.0-hybrid</t>
  </si>
  <si>
    <t>gene22271-v1.0-hybrid</t>
  </si>
  <si>
    <t>gene22571-v1.0-hybrid</t>
  </si>
  <si>
    <t>gene22872-v1.0-hybrid</t>
  </si>
  <si>
    <t>gene23174-v1.0-hybrid</t>
  </si>
  <si>
    <t>gene23474-v1.0-hybrid</t>
  </si>
  <si>
    <t>gene23774-v1.0-hybrid</t>
  </si>
  <si>
    <t>gene24677-v1.0-hybrid</t>
  </si>
  <si>
    <t>gene25579-v1.0-hybrid</t>
  </si>
  <si>
    <t>gene26179-v1.0-hybrid</t>
  </si>
  <si>
    <t>gene26479-v1.0-hybrid</t>
  </si>
  <si>
    <t>gene27080-v1.0-hybrid</t>
  </si>
  <si>
    <t>gene27980-v1.0-hybrid</t>
  </si>
  <si>
    <t>gene28580-v1.0-hybrid</t>
  </si>
  <si>
    <t>gene28880-v1.0-hybrid</t>
  </si>
  <si>
    <t>gene29180-v1.0-hybrid</t>
  </si>
  <si>
    <t>gene29781-v1.0-hybrid</t>
  </si>
  <si>
    <t>gene30382-v1.0-hybrid</t>
  </si>
  <si>
    <t>gene30682-v1.0-hybrid</t>
  </si>
  <si>
    <t>gene31282-v1.0-hybrid</t>
  </si>
  <si>
    <t>gene31582-v1.0-hybrid</t>
  </si>
  <si>
    <t>gene31882-v1.0-hybrid</t>
  </si>
  <si>
    <t>gene32182-v1.0-hybrid</t>
  </si>
  <si>
    <t>gene32482-v1.0-hybrid</t>
  </si>
  <si>
    <t>gene33596-v1.0-hybrid</t>
  </si>
  <si>
    <t>gene34247-v1.0-hybrid</t>
  </si>
  <si>
    <t>gene00259-v1.0-hybrid</t>
  </si>
  <si>
    <t>gene00863-v1.0-hybrid</t>
  </si>
  <si>
    <t>gene01163-v1.0-hybrid</t>
  </si>
  <si>
    <t>gene01464-v1.0-hybrid</t>
  </si>
  <si>
    <t>gene01764-v1.0-hybrid</t>
  </si>
  <si>
    <t>gene02064-v1.0-hybrid</t>
  </si>
  <si>
    <t>gene02364-v1.0-hybrid</t>
  </si>
  <si>
    <t>gene02664-v1.0-hybrid</t>
  </si>
  <si>
    <t>gene03052-v1.0-hybrid</t>
  </si>
  <si>
    <t>gene03352-v1.0-hybrid</t>
  </si>
  <si>
    <t>gene03652-v1.0-hybrid</t>
  </si>
  <si>
    <t>gene03952-v1.0-hybrid</t>
  </si>
  <si>
    <t>gene04252-v1.0-hybrid</t>
  </si>
  <si>
    <t>gene04552-v1.0-hybrid</t>
  </si>
  <si>
    <t>gene04852-v1.0-hybrid</t>
  </si>
  <si>
    <t>gene05152-v1.0-hybrid</t>
  </si>
  <si>
    <t>gene05453-v1.0-hybrid</t>
  </si>
  <si>
    <t>gene06053-v1.0-hybrid</t>
  </si>
  <si>
    <t>gene06653-v1.0-hybrid</t>
  </si>
  <si>
    <t>gene06953-v1.0-hybrid</t>
  </si>
  <si>
    <t>gene07253-v1.0-hybrid</t>
  </si>
  <si>
    <t>gene08154-v1.0-hybrid</t>
  </si>
  <si>
    <t>gene08754-v1.0-hybrid</t>
  </si>
  <si>
    <t>gene09054-v1.0-hybrid</t>
  </si>
  <si>
    <t>gene09354-v1.0-hybrid</t>
  </si>
  <si>
    <t>gene09654-v1.0-hybrid</t>
  </si>
  <si>
    <t>gene10255-v1.0-hybrid</t>
  </si>
  <si>
    <t>gene10556-v1.0-hybrid</t>
  </si>
  <si>
    <t>gene10856-v1.0-hybrid</t>
  </si>
  <si>
    <t>gene11156-v1.0-hybrid</t>
  </si>
  <si>
    <t>gene11457-v1.0-hybrid</t>
  </si>
  <si>
    <t>gene11757-v1.0-hybrid</t>
  </si>
  <si>
    <t>gene12057-v1.0-hybrid</t>
  </si>
  <si>
    <t>gene12957-v1.0-hybrid</t>
  </si>
  <si>
    <t>gene13258-v1.0-hybrid</t>
  </si>
  <si>
    <t>gene13558-v1.0-hybrid</t>
  </si>
  <si>
    <t>gene13858-v1.0-hybrid</t>
  </si>
  <si>
    <t>gene14159-v1.0-hybrid</t>
  </si>
  <si>
    <t>gene15063-v1.0-hybrid</t>
  </si>
  <si>
    <t>gene15365-v1.0-hybrid</t>
  </si>
  <si>
    <t>gene15966-v1.0-hybrid</t>
  </si>
  <si>
    <t>gene16267-v1.0-hybrid</t>
  </si>
  <si>
    <t>gene16567-v1.0-hybrid</t>
  </si>
  <si>
    <t>gene16868-v1.0-hybrid</t>
  </si>
  <si>
    <t>gene17169-v1.0-hybrid</t>
  </si>
  <si>
    <t>gene17469-v1.0-hybrid</t>
  </si>
  <si>
    <t>gene17769-v1.0-hybrid</t>
  </si>
  <si>
    <t>gene18069-v1.0-hybrid</t>
  </si>
  <si>
    <t>gene18669-v1.0-hybrid</t>
  </si>
  <si>
    <t>gene18969-v1.0-hybrid</t>
  </si>
  <si>
    <t>gene19269-v1.0-hybrid</t>
  </si>
  <si>
    <t>gene19869-v1.0-hybrid</t>
  </si>
  <si>
    <t>gene20169-v1.0-hybrid</t>
  </si>
  <si>
    <t>gene20470-v1.0-hybrid</t>
  </si>
  <si>
    <t>gene20770-v1.0-hybrid</t>
  </si>
  <si>
    <t>gene21070-v1.0-hybrid</t>
  </si>
  <si>
    <t>gene21370-v1.0-hybrid</t>
  </si>
  <si>
    <t>gene22272-v1.0-hybrid</t>
  </si>
  <si>
    <t>gene22572-v1.0-hybrid</t>
  </si>
  <si>
    <t>gene22873-v1.0-hybrid</t>
  </si>
  <si>
    <t>gene23175-v1.0-hybrid</t>
  </si>
  <si>
    <t>gene23475-v1.0-hybrid</t>
  </si>
  <si>
    <t>gene23775-v1.0-hybrid</t>
  </si>
  <si>
    <t>gene24075-v1.0-hybrid</t>
  </si>
  <si>
    <t>gene24678-v1.0-hybrid</t>
  </si>
  <si>
    <t>gene25280-v1.0-hybrid</t>
  </si>
  <si>
    <t>gene25580-v1.0-hybrid</t>
  </si>
  <si>
    <t>gene25880-v1.0-hybrid</t>
  </si>
  <si>
    <t>gene26180-v1.0-hybrid</t>
  </si>
  <si>
    <t>gene26480-v1.0-hybrid</t>
  </si>
  <si>
    <t>gene26781-v1.0-hybrid</t>
  </si>
  <si>
    <t>gene27981-v1.0-hybrid</t>
  </si>
  <si>
    <t>gene28281-v1.0-hybrid</t>
  </si>
  <si>
    <t>gene28581-v1.0-hybrid</t>
  </si>
  <si>
    <t>gene28881-v1.0-hybrid</t>
  </si>
  <si>
    <t>gene29181-v1.0-hybrid</t>
  </si>
  <si>
    <t>gene29481-v1.0-hybrid</t>
  </si>
  <si>
    <t>gene30083-v1.0-hybrid</t>
  </si>
  <si>
    <t>gene30383-v1.0-hybrid</t>
  </si>
  <si>
    <t>gene30683-v1.0-hybrid</t>
  </si>
  <si>
    <t>gene31283-v1.0-hybrid</t>
  </si>
  <si>
    <t>gene31883-v1.0-hybrid</t>
  </si>
  <si>
    <t>gene32483-v1.0-hybrid</t>
  </si>
  <si>
    <t>gene33598-v1.0-hybrid</t>
  </si>
  <si>
    <t>gene33948-v1.0-hybrid</t>
  </si>
  <si>
    <t>gene34848-v1.0-hybrid</t>
  </si>
  <si>
    <t>gene35148-v1.0-hybrid</t>
  </si>
  <si>
    <t>gene00260-v1.0-hybrid</t>
  </si>
  <si>
    <t>gene00564-v1.0-hybrid</t>
  </si>
  <si>
    <t>gene00864-v1.0-hybrid</t>
  </si>
  <si>
    <t>gene01465-v1.0-hybrid</t>
  </si>
  <si>
    <t>gene01765-v1.0-hybrid</t>
  </si>
  <si>
    <t>gene02065-v1.0-hybrid</t>
  </si>
  <si>
    <t>gene02365-v1.0-hybrid</t>
  </si>
  <si>
    <t>gene02665-v1.0-hybrid</t>
  </si>
  <si>
    <t>gene03053-v1.0-hybrid</t>
  </si>
  <si>
    <t>gene03353-v1.0-hybrid</t>
  </si>
  <si>
    <t>gene03653-v1.0-hybrid</t>
  </si>
  <si>
    <t>gene03953-v1.0-hybrid</t>
  </si>
  <si>
    <t>gene04253-v1.0-hybrid</t>
  </si>
  <si>
    <t>gene04553-v1.0-hybrid</t>
  </si>
  <si>
    <t>gene04853-v1.0-hybrid</t>
  </si>
  <si>
    <t>gene05153-v1.0-hybrid</t>
  </si>
  <si>
    <t>gene05754-v1.0-hybrid</t>
  </si>
  <si>
    <t>gene06054-v1.0-hybrid</t>
  </si>
  <si>
    <t>gene06654-v1.0-hybrid</t>
  </si>
  <si>
    <t>gene06954-v1.0-hybrid</t>
  </si>
  <si>
    <t>gene07254-v1.0-hybrid</t>
  </si>
  <si>
    <t>gene07554-v1.0-hybrid</t>
  </si>
  <si>
    <t>gene08155-v1.0-hybrid</t>
  </si>
  <si>
    <t>gene08455-v1.0-hybrid</t>
  </si>
  <si>
    <t>gene08755-v1.0-hybrid</t>
  </si>
  <si>
    <t>gene09055-v1.0-hybrid</t>
  </si>
  <si>
    <t>gene09355-v1.0-hybrid</t>
  </si>
  <si>
    <t>gene09956-v1.0-hybrid</t>
  </si>
  <si>
    <t>gene10256-v1.0-hybrid</t>
  </si>
  <si>
    <t>gene10557-v1.0-hybrid</t>
  </si>
  <si>
    <t>gene10857-v1.0-hybrid</t>
  </si>
  <si>
    <t>gene11157-v1.0-hybrid</t>
  </si>
  <si>
    <t>gene11458-v1.0-hybrid</t>
  </si>
  <si>
    <t>gene11758-v1.0-hybrid</t>
  </si>
  <si>
    <t>gene12058-v1.0-hybrid</t>
  </si>
  <si>
    <t>gene12358-v1.0-hybrid</t>
  </si>
  <si>
    <t>gene12658-v1.0-hybrid</t>
  </si>
  <si>
    <t>gene12958-v1.0-hybrid</t>
  </si>
  <si>
    <t>gene13259-v1.0-hybrid</t>
  </si>
  <si>
    <t>gene13559-v1.0-hybrid</t>
  </si>
  <si>
    <t>gene14160-v1.0-hybrid</t>
  </si>
  <si>
    <t>gene14461-v1.0-hybrid</t>
  </si>
  <si>
    <t>gene14763-v1.0-hybrid</t>
  </si>
  <si>
    <t>gene15064-v1.0-hybrid</t>
  </si>
  <si>
    <t>gene15366-v1.0-hybrid</t>
  </si>
  <si>
    <t>gene15967-v1.0-hybrid</t>
  </si>
  <si>
    <t>gene16568-v1.0-hybrid</t>
  </si>
  <si>
    <t>gene16869-v1.0-hybrid</t>
  </si>
  <si>
    <t>gene17170-v1.0-hybrid</t>
  </si>
  <si>
    <t>gene17470-v1.0-hybrid</t>
  </si>
  <si>
    <t>gene17770-v1.0-hybrid</t>
  </si>
  <si>
    <t>gene18070-v1.0-hybrid</t>
  </si>
  <si>
    <t>gene18370-v1.0-hybrid</t>
  </si>
  <si>
    <t>gene18670-v1.0-hybrid</t>
  </si>
  <si>
    <t>gene18970-v1.0-hybrid</t>
  </si>
  <si>
    <t>gene19270-v1.0-hybrid</t>
  </si>
  <si>
    <t>gene19570-v1.0-hybrid</t>
  </si>
  <si>
    <t>gene20170-v1.0-hybrid</t>
  </si>
  <si>
    <t>gene20771-v1.0-hybrid</t>
  </si>
  <si>
    <t>gene21071-v1.0-hybrid</t>
  </si>
  <si>
    <t>gene21672-v1.0-hybrid</t>
  </si>
  <si>
    <t>gene21972-v1.0-hybrid</t>
  </si>
  <si>
    <t>gene22273-v1.0-hybrid</t>
  </si>
  <si>
    <t>gene22573-v1.0-hybrid</t>
  </si>
  <si>
    <t>gene22874-v1.0-hybrid</t>
  </si>
  <si>
    <t>gene23176-v1.0-hybrid</t>
  </si>
  <si>
    <t>gene23476-v1.0-hybrid</t>
  </si>
  <si>
    <t>gene24076-v1.0-hybrid</t>
  </si>
  <si>
    <t>gene24378-v1.0-hybrid</t>
  </si>
  <si>
    <t>gene24679-v1.0-hybrid</t>
  </si>
  <si>
    <t>gene24981-v1.0-hybrid</t>
  </si>
  <si>
    <t>gene25281-v1.0-hybrid</t>
  </si>
  <si>
    <t>gene25581-v1.0-hybrid</t>
  </si>
  <si>
    <t>gene25881-v1.0-hybrid</t>
  </si>
  <si>
    <t>gene26181-v1.0-hybrid</t>
  </si>
  <si>
    <t>gene26481-v1.0-hybrid</t>
  </si>
  <si>
    <t>gene26782-v1.0-hybrid</t>
  </si>
  <si>
    <t>gene28282-v1.0-hybrid</t>
  </si>
  <si>
    <t>gene28582-v1.0-hybrid</t>
  </si>
  <si>
    <t>gene29482-v1.0-hybrid</t>
  </si>
  <si>
    <t>gene29783-v1.0-hybrid</t>
  </si>
  <si>
    <t>gene30084-v1.0-hybrid</t>
  </si>
  <si>
    <t>gene30384-v1.0-hybrid</t>
  </si>
  <si>
    <t>gene30984-v1.0-hybrid</t>
  </si>
  <si>
    <t>gene31884-v1.0-hybrid</t>
  </si>
  <si>
    <t>gene32484-v1.0-hybrid</t>
  </si>
  <si>
    <t>gene34249-v1.0-hybrid</t>
  </si>
  <si>
    <t>gene34549-v1.0-hybrid</t>
  </si>
  <si>
    <t>gene35149-v1.0-hybrid</t>
  </si>
  <si>
    <t>gene00565-v1.0-hybrid</t>
  </si>
  <si>
    <t>gene00865-v1.0-hybrid</t>
  </si>
  <si>
    <t>gene01165-v1.0-hybrid</t>
  </si>
  <si>
    <t>gene01766-v1.0-hybrid</t>
  </si>
  <si>
    <t>gene02066-v1.0-hybrid</t>
  </si>
  <si>
    <t>gene02666-v1.0-hybrid</t>
  </si>
  <si>
    <t>gene03054-v1.0-hybrid</t>
  </si>
  <si>
    <t>gene03354-v1.0-hybrid</t>
  </si>
  <si>
    <t>gene03654-v1.0-hybrid</t>
  </si>
  <si>
    <t>gene04254-v1.0-hybrid</t>
  </si>
  <si>
    <t>gene05154-v1.0-hybrid</t>
  </si>
  <si>
    <t>gene05455-v1.0-hybrid</t>
  </si>
  <si>
    <t>gene06055-v1.0-hybrid</t>
  </si>
  <si>
    <t>gene06655-v1.0-hybrid</t>
  </si>
  <si>
    <t>gene06955-v1.0-hybrid</t>
  </si>
  <si>
    <t>gene07255-v1.0-hybrid</t>
  </si>
  <si>
    <t>gene07555-v1.0-hybrid</t>
  </si>
  <si>
    <t>gene07856-v1.0-hybrid</t>
  </si>
  <si>
    <t>gene08456-v1.0-hybrid</t>
  </si>
  <si>
    <t>gene08756-v1.0-hybrid</t>
  </si>
  <si>
    <t>gene09056-v1.0-hybrid</t>
  </si>
  <si>
    <t>gene09356-v1.0-hybrid</t>
  </si>
  <si>
    <t>gene09656-v1.0-hybrid</t>
  </si>
  <si>
    <t>gene09957-v1.0-hybrid</t>
  </si>
  <si>
    <t>gene10558-v1.0-hybrid</t>
  </si>
  <si>
    <t>gene10858-v1.0-hybrid</t>
  </si>
  <si>
    <t>gene11158-v1.0-hybrid</t>
  </si>
  <si>
    <t>gene11459-v1.0-hybrid</t>
  </si>
  <si>
    <t>gene11759-v1.0-hybrid</t>
  </si>
  <si>
    <t>gene12059-v1.0-hybrid</t>
  </si>
  <si>
    <t>gene12359-v1.0-hybrid</t>
  </si>
  <si>
    <t>gene12659-v1.0-hybrid</t>
  </si>
  <si>
    <t>gene12959-v1.0-hybrid</t>
  </si>
  <si>
    <t>gene13260-v1.0-hybrid</t>
  </si>
  <si>
    <t>gene13560-v1.0-hybrid</t>
  </si>
  <si>
    <t>gene14161-v1.0-hybrid</t>
  </si>
  <si>
    <t>gene14462-v1.0-hybrid</t>
  </si>
  <si>
    <t>gene14764-v1.0-hybrid</t>
  </si>
  <si>
    <t>gene15367-v1.0-hybrid</t>
  </si>
  <si>
    <t>gene16569-v1.0-hybrid</t>
  </si>
  <si>
    <t>gene17171-v1.0-hybrid</t>
  </si>
  <si>
    <t>gene17471-v1.0-hybrid</t>
  </si>
  <si>
    <t>gene17771-v1.0-hybrid</t>
  </si>
  <si>
    <t>gene18071-v1.0-hybrid</t>
  </si>
  <si>
    <t>gene18371-v1.0-hybrid</t>
  </si>
  <si>
    <t>gene19271-v1.0-hybrid</t>
  </si>
  <si>
    <t>gene19871-v1.0-hybrid</t>
  </si>
  <si>
    <t>gene20171-v1.0-hybrid</t>
  </si>
  <si>
    <t>gene20472-v1.0-hybrid</t>
  </si>
  <si>
    <t>gene20772-v1.0-hybrid</t>
  </si>
  <si>
    <t>gene21072-v1.0-hybrid</t>
  </si>
  <si>
    <t>gene21372-v1.0-hybrid</t>
  </si>
  <si>
    <t>gene21673-v1.0-hybrid</t>
  </si>
  <si>
    <t>gene21973-v1.0-hybrid</t>
  </si>
  <si>
    <t>gene22574-v1.0-hybrid</t>
  </si>
  <si>
    <t>gene23477-v1.0-hybrid</t>
  </si>
  <si>
    <t>gene24077-v1.0-hybrid</t>
  </si>
  <si>
    <t>gene24379-v1.0-hybrid</t>
  </si>
  <si>
    <t>gene24680-v1.0-hybrid</t>
  </si>
  <si>
    <t>gene24982-v1.0-hybrid</t>
  </si>
  <si>
    <t>gene25582-v1.0-hybrid</t>
  </si>
  <si>
    <t>gene25882-v1.0-hybrid</t>
  </si>
  <si>
    <t>gene26182-v1.0-hybrid</t>
  </si>
  <si>
    <t>gene26783-v1.0-hybrid</t>
  </si>
  <si>
    <t>gene27383-v1.0-hybrid</t>
  </si>
  <si>
    <t>gene27983-v1.0-hybrid</t>
  </si>
  <si>
    <t>gene28283-v1.0-hybrid</t>
  </si>
  <si>
    <t>gene28883-v1.0-hybrid</t>
  </si>
  <si>
    <t>gene29183-v1.0-hybrid</t>
  </si>
  <si>
    <t>gene29483-v1.0-hybrid</t>
  </si>
  <si>
    <t>gene29784-v1.0-hybrid</t>
  </si>
  <si>
    <t>gene30085-v1.0-hybrid</t>
  </si>
  <si>
    <t>gene30385-v1.0-hybrid</t>
  </si>
  <si>
    <t>gene30685-v1.0-hybrid</t>
  </si>
  <si>
    <t>gene30985-v1.0-hybrid</t>
  </si>
  <si>
    <t>gene31585-v1.0-hybrid</t>
  </si>
  <si>
    <t>gene31885-v1.0-hybrid</t>
  </si>
  <si>
    <t>gene32185-v1.0-hybrid</t>
  </si>
  <si>
    <t>gene34250-v1.0-hybrid</t>
  </si>
  <si>
    <t>gene34850-v1.0-hybrid</t>
  </si>
  <si>
    <t>gene00866-v1.0-hybrid</t>
  </si>
  <si>
    <t>gene01166-v1.0-hybrid</t>
  </si>
  <si>
    <t>gene01467-v1.0-hybrid</t>
  </si>
  <si>
    <t>gene02367-v1.0-hybrid</t>
  </si>
  <si>
    <t>gene02667-v1.0-hybrid</t>
  </si>
  <si>
    <t>gene03055-v1.0-hybrid</t>
  </si>
  <si>
    <t>gene03355-v1.0-hybrid</t>
  </si>
  <si>
    <t>gene03655-v1.0-hybrid</t>
  </si>
  <si>
    <t>gene03955-v1.0-hybrid</t>
  </si>
  <si>
    <t>gene04255-v1.0-hybrid</t>
  </si>
  <si>
    <t>gene04855-v1.0-hybrid</t>
  </si>
  <si>
    <t>gene05155-v1.0-hybrid</t>
  </si>
  <si>
    <t>gene05456-v1.0-hybrid</t>
  </si>
  <si>
    <t>gene05756-v1.0-hybrid</t>
  </si>
  <si>
    <t>gene06056-v1.0-hybrid</t>
  </si>
  <si>
    <t>gene06956-v1.0-hybrid</t>
  </si>
  <si>
    <t>gene07256-v1.0-hybrid</t>
  </si>
  <si>
    <t>gene07556-v1.0-hybrid</t>
  </si>
  <si>
    <t>gene07857-v1.0-hybrid</t>
  </si>
  <si>
    <t>gene08157-v1.0-hybrid</t>
  </si>
  <si>
    <t>gene08457-v1.0-hybrid</t>
  </si>
  <si>
    <t>gene08757-v1.0-hybrid</t>
  </si>
  <si>
    <t>gene09357-v1.0-hybrid</t>
  </si>
  <si>
    <t>gene09657-v1.0-hybrid</t>
  </si>
  <si>
    <t>gene09958-v1.0-hybrid</t>
  </si>
  <si>
    <t>gene10559-v1.0-hybrid</t>
  </si>
  <si>
    <t>gene10859-v1.0-hybrid</t>
  </si>
  <si>
    <t>gene11159-v1.0-hybrid</t>
  </si>
  <si>
    <t>gene11460-v1.0-hybrid</t>
  </si>
  <si>
    <t>gene11760-v1.0-hybrid</t>
  </si>
  <si>
    <t>gene12060-v1.0-hybrid</t>
  </si>
  <si>
    <t>gene12360-v1.0-hybrid</t>
  </si>
  <si>
    <t>gene12660-v1.0-hybrid</t>
  </si>
  <si>
    <t>gene12960-v1.0-hybrid</t>
  </si>
  <si>
    <t>gene13261-v1.0-hybrid</t>
  </si>
  <si>
    <t>gene13561-v1.0-hybrid</t>
  </si>
  <si>
    <t>gene13861-v1.0-hybrid</t>
  </si>
  <si>
    <t>gene14162-v1.0-hybrid</t>
  </si>
  <si>
    <t>gene14463-v1.0-hybrid</t>
  </si>
  <si>
    <t>gene14765-v1.0-hybrid</t>
  </si>
  <si>
    <t>gene15368-v1.0-hybrid</t>
  </si>
  <si>
    <t>gene16270-v1.0-hybrid</t>
  </si>
  <si>
    <t>gene16871-v1.0-hybrid</t>
  </si>
  <si>
    <t>gene17172-v1.0-hybrid</t>
  </si>
  <si>
    <t>gene17472-v1.0-hybrid</t>
  </si>
  <si>
    <t>gene18372-v1.0-hybrid</t>
  </si>
  <si>
    <t>gene18972-v1.0-hybrid</t>
  </si>
  <si>
    <t>gene19272-v1.0-hybrid</t>
  </si>
  <si>
    <t>gene19572-v1.0-hybrid</t>
  </si>
  <si>
    <t>gene19872-v1.0-hybrid</t>
  </si>
  <si>
    <t>gene20172-v1.0-hybrid</t>
  </si>
  <si>
    <t>gene20473-v1.0-hybrid</t>
  </si>
  <si>
    <t>gene20773-v1.0-hybrid</t>
  </si>
  <si>
    <t>gene21073-v1.0-hybrid</t>
  </si>
  <si>
    <t>gene21373-v1.0-hybrid</t>
  </si>
  <si>
    <t>gene21674-v1.0-hybrid</t>
  </si>
  <si>
    <t>gene21974-v1.0-hybrid</t>
  </si>
  <si>
    <t>gene22275-v1.0-hybrid</t>
  </si>
  <si>
    <t>gene22575-v1.0-hybrid</t>
  </si>
  <si>
    <t>gene23178-v1.0-hybrid</t>
  </si>
  <si>
    <t>gene23478-v1.0-hybrid</t>
  </si>
  <si>
    <t>gene23778-v1.0-hybrid</t>
  </si>
  <si>
    <t>gene24983-v1.0-hybrid</t>
  </si>
  <si>
    <t>gene25583-v1.0-hybrid</t>
  </si>
  <si>
    <t>gene25883-v1.0-hybrid</t>
  </si>
  <si>
    <t>gene26183-v1.0-hybrid</t>
  </si>
  <si>
    <t>gene27384-v1.0-hybrid</t>
  </si>
  <si>
    <t>gene27984-v1.0-hybrid</t>
  </si>
  <si>
    <t>gene28584-v1.0-hybrid</t>
  </si>
  <si>
    <t>gene29184-v1.0-hybrid</t>
  </si>
  <si>
    <t>gene29484-v1.0-hybrid</t>
  </si>
  <si>
    <t>gene29785-v1.0-hybrid</t>
  </si>
  <si>
    <t>gene30086-v1.0-hybrid</t>
  </si>
  <si>
    <t>gene30386-v1.0-hybrid</t>
  </si>
  <si>
    <t>gene30686-v1.0-hybrid</t>
  </si>
  <si>
    <t>gene30986-v1.0-hybrid</t>
  </si>
  <si>
    <t>gene31586-v1.0-hybrid</t>
  </si>
  <si>
    <t>gene31886-v1.0-hybrid</t>
  </si>
  <si>
    <t>gene32186-v1.0-hybrid</t>
  </si>
  <si>
    <t>gene34251-v1.0-hybrid</t>
  </si>
  <si>
    <t>gene00263-v1.0-hybrid</t>
  </si>
  <si>
    <t>gene00567-v1.0-hybrid</t>
  </si>
  <si>
    <t>gene00867-v1.0-hybrid</t>
  </si>
  <si>
    <t>gene01167-v1.0-hybrid</t>
  </si>
  <si>
    <t>gene01468-v1.0-hybrid</t>
  </si>
  <si>
    <t>gene02068-v1.0-hybrid</t>
  </si>
  <si>
    <t>gene02368-v1.0-hybrid</t>
  </si>
  <si>
    <t>gene02668-v1.0-hybrid</t>
  </si>
  <si>
    <t>gene03056-v1.0-hybrid</t>
  </si>
  <si>
    <t>gene03356-v1.0-hybrid</t>
  </si>
  <si>
    <t>gene03956-v1.0-hybrid</t>
  </si>
  <si>
    <t>gene04856-v1.0-hybrid</t>
  </si>
  <si>
    <t>gene05156-v1.0-hybrid</t>
  </si>
  <si>
    <t>gene05457-v1.0-hybrid</t>
  </si>
  <si>
    <t>gene05757-v1.0-hybrid</t>
  </si>
  <si>
    <t>gene06057-v1.0-hybrid</t>
  </si>
  <si>
    <t>gene06657-v1.0-hybrid</t>
  </si>
  <si>
    <t>gene06957-v1.0-hybrid</t>
  </si>
  <si>
    <t>gene07257-v1.0-hybrid</t>
  </si>
  <si>
    <t>gene07557-v1.0-hybrid</t>
  </si>
  <si>
    <t>gene08458-v1.0-hybrid</t>
  </si>
  <si>
    <t>gene09058-v1.0-hybrid</t>
  </si>
  <si>
    <t>gene09358-v1.0-hybrid</t>
  </si>
  <si>
    <t>gene09658-v1.0-hybrid</t>
  </si>
  <si>
    <t>gene09959-v1.0-hybrid</t>
  </si>
  <si>
    <t>gene10560-v1.0-hybrid</t>
  </si>
  <si>
    <t>gene10860-v1.0-hybrid</t>
  </si>
  <si>
    <t>gene11461-v1.0-hybrid</t>
  </si>
  <si>
    <t>gene11761-v1.0-hybrid</t>
  </si>
  <si>
    <t>gene12061-v1.0-hybrid</t>
  </si>
  <si>
    <t>gene12361-v1.0-hybrid</t>
  </si>
  <si>
    <t>gene12661-v1.0-hybrid</t>
  </si>
  <si>
    <t>gene12961-v1.0-hybrid</t>
  </si>
  <si>
    <t>gene13862-v1.0-hybrid</t>
  </si>
  <si>
    <t>gene14163-v1.0-hybrid</t>
  </si>
  <si>
    <t>gene14766-v1.0-hybrid</t>
  </si>
  <si>
    <t>gene15067-v1.0-hybrid</t>
  </si>
  <si>
    <t>gene16571-v1.0-hybrid</t>
  </si>
  <si>
    <t>gene17173-v1.0-hybrid</t>
  </si>
  <si>
    <t>gene17473-v1.0-hybrid</t>
  </si>
  <si>
    <t>gene17773-v1.0-hybrid</t>
  </si>
  <si>
    <t>gene18373-v1.0-hybrid</t>
  </si>
  <si>
    <t>gene18673-v1.0-hybrid</t>
  </si>
  <si>
    <t>gene18973-v1.0-hybrid</t>
  </si>
  <si>
    <t>gene19273-v1.0-hybrid</t>
  </si>
  <si>
    <t>gene19573-v1.0-hybrid</t>
  </si>
  <si>
    <t>gene19873-v1.0-hybrid</t>
  </si>
  <si>
    <t>gene20173-v1.0-hybrid</t>
  </si>
  <si>
    <t>gene20774-v1.0-hybrid</t>
  </si>
  <si>
    <t>gene21675-v1.0-hybrid</t>
  </si>
  <si>
    <t>gene22576-v1.0-hybrid</t>
  </si>
  <si>
    <t>gene22877-v1.0-hybrid</t>
  </si>
  <si>
    <t>gene23179-v1.0-hybrid</t>
  </si>
  <si>
    <t>gene23779-v1.0-hybrid</t>
  </si>
  <si>
    <t>gene24079-v1.0-hybrid</t>
  </si>
  <si>
    <t>gene24381-v1.0-hybrid</t>
  </si>
  <si>
    <t>gene24682-v1.0-hybrid</t>
  </si>
  <si>
    <t>gene25284-v1.0-hybrid</t>
  </si>
  <si>
    <t>gene25584-v1.0-hybrid</t>
  </si>
  <si>
    <t>gene25884-v1.0-hybrid</t>
  </si>
  <si>
    <t>gene26184-v1.0-hybrid</t>
  </si>
  <si>
    <t>gene26484-v1.0-hybrid</t>
  </si>
  <si>
    <t>gene26785-v1.0-hybrid</t>
  </si>
  <si>
    <t>gene27385-v1.0-hybrid</t>
  </si>
  <si>
    <t>gene27685-v1.0-hybrid</t>
  </si>
  <si>
    <t>gene28585-v1.0-hybrid</t>
  </si>
  <si>
    <t>gene29786-v1.0-hybrid</t>
  </si>
  <si>
    <t>gene30087-v1.0-hybrid</t>
  </si>
  <si>
    <t>gene30687-v1.0-hybrid</t>
  </si>
  <si>
    <t>gene31287-v1.0-hybrid</t>
  </si>
  <si>
    <t>gene31587-v1.0-hybrid</t>
  </si>
  <si>
    <t>gene31887-v1.0-hybrid</t>
  </si>
  <si>
    <t>gene32187-v1.0-hybrid</t>
  </si>
  <si>
    <t>gene32487-v1.0-hybrid</t>
  </si>
  <si>
    <t>gene34252-v1.0-hybrid</t>
  </si>
  <si>
    <t>gene34552-v1.0-hybrid</t>
  </si>
  <si>
    <t>gene34852-v1.0-hybrid</t>
  </si>
  <si>
    <t>gene00264-v1.0-hybrid</t>
  </si>
  <si>
    <t>gene00568-v1.0-hybrid</t>
  </si>
  <si>
    <t>gene01168-v1.0-hybrid</t>
  </si>
  <si>
    <t>gene01469-v1.0-hybrid</t>
  </si>
  <si>
    <t>gene01769-v1.0-hybrid</t>
  </si>
  <si>
    <t>gene02069-v1.0-hybrid</t>
  </si>
  <si>
    <t>gene02369-v1.0-hybrid</t>
  </si>
  <si>
    <t>gene02669-v1.0-hybrid</t>
  </si>
  <si>
    <t>gene03057-v1.0-hybrid</t>
  </si>
  <si>
    <t>gene03357-v1.0-hybrid</t>
  </si>
  <si>
    <t>gene03657-v1.0-hybrid</t>
  </si>
  <si>
    <t>gene04257-v1.0-hybrid</t>
  </si>
  <si>
    <t>gene04857-v1.0-hybrid</t>
  </si>
  <si>
    <t>gene05157-v1.0-hybrid</t>
  </si>
  <si>
    <t>gene05458-v1.0-hybrid</t>
  </si>
  <si>
    <t>gene05758-v1.0-hybrid</t>
  </si>
  <si>
    <t>gene06058-v1.0-hybrid</t>
  </si>
  <si>
    <t>gene06358-v1.0-hybrid</t>
  </si>
  <si>
    <t>gene07258-v1.0-hybrid</t>
  </si>
  <si>
    <t>gene07558-v1.0-hybrid</t>
  </si>
  <si>
    <t>gene09059-v1.0-hybrid</t>
  </si>
  <si>
    <t>gene09659-v1.0-hybrid</t>
  </si>
  <si>
    <t>gene09960-v1.0-hybrid</t>
  </si>
  <si>
    <t>gene10260-v1.0-hybrid</t>
  </si>
  <si>
    <t>gene10561-v1.0-hybrid</t>
  </si>
  <si>
    <t>gene10861-v1.0-hybrid</t>
  </si>
  <si>
    <t>gene11161-v1.0-hybrid</t>
  </si>
  <si>
    <t>gene11462-v1.0-hybrid</t>
  </si>
  <si>
    <t>gene11762-v1.0-hybrid</t>
  </si>
  <si>
    <t>gene12362-v1.0-hybrid</t>
  </si>
  <si>
    <t>gene12662-v1.0-hybrid</t>
  </si>
  <si>
    <t>gene12962-v1.0-hybrid</t>
  </si>
  <si>
    <t>gene13863-v1.0-hybrid</t>
  </si>
  <si>
    <t>gene14164-v1.0-hybrid</t>
  </si>
  <si>
    <t>gene14465-v1.0-hybrid</t>
  </si>
  <si>
    <t>gene14767-v1.0-hybrid</t>
  </si>
  <si>
    <t>gene15068-v1.0-hybrid</t>
  </si>
  <si>
    <t>gene15370-v1.0-hybrid</t>
  </si>
  <si>
    <t>gene17174-v1.0-hybrid</t>
  </si>
  <si>
    <t>gene17774-v1.0-hybrid</t>
  </si>
  <si>
    <t>gene18074-v1.0-hybrid</t>
  </si>
  <si>
    <t>gene18674-v1.0-hybrid</t>
  </si>
  <si>
    <t>gene19274-v1.0-hybrid</t>
  </si>
  <si>
    <t>gene20174-v1.0-hybrid</t>
  </si>
  <si>
    <t>gene20475-v1.0-hybrid</t>
  </si>
  <si>
    <t>gene21375-v1.0-hybrid</t>
  </si>
  <si>
    <t>gene21676-v1.0-hybrid</t>
  </si>
  <si>
    <t>gene21976-v1.0-hybrid</t>
  </si>
  <si>
    <t>gene22577-v1.0-hybrid</t>
  </si>
  <si>
    <t>gene22878-v1.0-hybrid</t>
  </si>
  <si>
    <t>gene23780-v1.0-hybrid</t>
  </si>
  <si>
    <t>gene24080-v1.0-hybrid</t>
  </si>
  <si>
    <t>gene24985-v1.0-hybrid</t>
  </si>
  <si>
    <t>gene25585-v1.0-hybrid</t>
  </si>
  <si>
    <t>gene25885-v1.0-hybrid</t>
  </si>
  <si>
    <t>gene26185-v1.0-hybrid</t>
  </si>
  <si>
    <t>gene26485-v1.0-hybrid</t>
  </si>
  <si>
    <t>gene26786-v1.0-hybrid</t>
  </si>
  <si>
    <t>gene27086-v1.0-hybrid</t>
  </si>
  <si>
    <t>gene27986-v1.0-hybrid</t>
  </si>
  <si>
    <t>gene28586-v1.0-hybrid</t>
  </si>
  <si>
    <t>gene29486-v1.0-hybrid</t>
  </si>
  <si>
    <t>gene29787-v1.0-hybrid</t>
  </si>
  <si>
    <t>gene30088-v1.0-hybrid</t>
  </si>
  <si>
    <t>gene30388-v1.0-hybrid</t>
  </si>
  <si>
    <t>gene30688-v1.0-hybrid</t>
  </si>
  <si>
    <t>gene30988-v1.0-hybrid</t>
  </si>
  <si>
    <t>gene31288-v1.0-hybrid</t>
  </si>
  <si>
    <t>gene31888-v1.0-hybrid</t>
  </si>
  <si>
    <t>gene32188-v1.0-hybrid</t>
  </si>
  <si>
    <t>gene32488-v1.0-hybrid</t>
  </si>
  <si>
    <t>gene34553-v1.0-hybrid</t>
  </si>
  <si>
    <t>gene00265-v1.0-hybrid</t>
  </si>
  <si>
    <t>gene00869-v1.0-hybrid</t>
  </si>
  <si>
    <t>gene01169-v1.0-hybrid</t>
  </si>
  <si>
    <t>gene01470-v1.0-hybrid</t>
  </si>
  <si>
    <t>gene01770-v1.0-hybrid</t>
  </si>
  <si>
    <t>gene02070-v1.0-hybrid</t>
  </si>
  <si>
    <t>gene02370-v1.0-hybrid</t>
  </si>
  <si>
    <t>gene02670-v1.0-hybrid</t>
  </si>
  <si>
    <t>gene03058-v1.0-hybrid</t>
  </si>
  <si>
    <t>gene03358-v1.0-hybrid</t>
  </si>
  <si>
    <t>gene03658-v1.0-hybrid</t>
  </si>
  <si>
    <t>gene03958-v1.0-hybrid</t>
  </si>
  <si>
    <t>gene04258-v1.0-hybrid</t>
  </si>
  <si>
    <t>gene04858-v1.0-hybrid</t>
  </si>
  <si>
    <t>gene05158-v1.0-hybrid</t>
  </si>
  <si>
    <t>gene05459-v1.0-hybrid</t>
  </si>
  <si>
    <t>gene05759-v1.0-hybrid</t>
  </si>
  <si>
    <t>gene07259-v1.0-hybrid</t>
  </si>
  <si>
    <t>gene07559-v1.0-hybrid</t>
  </si>
  <si>
    <t>gene07860-v1.0-hybrid</t>
  </si>
  <si>
    <t>gene08160-v1.0-hybrid</t>
  </si>
  <si>
    <t>gene08460-v1.0-hybrid</t>
  </si>
  <si>
    <t>gene08760-v1.0-hybrid</t>
  </si>
  <si>
    <t>gene09060-v1.0-hybrid</t>
  </si>
  <si>
    <t>gene09360-v1.0-hybrid</t>
  </si>
  <si>
    <t>gene09660-v1.0-hybrid</t>
  </si>
  <si>
    <t>gene10562-v1.0-hybrid</t>
  </si>
  <si>
    <t>gene10862-v1.0-hybrid</t>
  </si>
  <si>
    <t>gene11162-v1.0-hybrid</t>
  </si>
  <si>
    <t>gene11463-v1.0-hybrid</t>
  </si>
  <si>
    <t>gene11763-v1.0-hybrid</t>
  </si>
  <si>
    <t>gene12063-v1.0-hybrid</t>
  </si>
  <si>
    <t>gene12663-v1.0-hybrid</t>
  </si>
  <si>
    <t>gene13264-v1.0-hybrid</t>
  </si>
  <si>
    <t>gene13564-v1.0-hybrid</t>
  </si>
  <si>
    <t>gene13864-v1.0-hybrid</t>
  </si>
  <si>
    <t>gene14466-v1.0-hybrid</t>
  </si>
  <si>
    <t>gene15069-v1.0-hybrid</t>
  </si>
  <si>
    <t>gene15672-v1.0-hybrid</t>
  </si>
  <si>
    <t>gene16573-v1.0-hybrid</t>
  </si>
  <si>
    <t>gene17175-v1.0-hybrid</t>
  </si>
  <si>
    <t>gene17475-v1.0-hybrid</t>
  </si>
  <si>
    <t>gene18075-v1.0-hybrid</t>
  </si>
  <si>
    <t>gene18375-v1.0-hybrid</t>
  </si>
  <si>
    <t>gene18675-v1.0-hybrid</t>
  </si>
  <si>
    <t>gene18975-v1.0-hybrid</t>
  </si>
  <si>
    <t>gene19275-v1.0-hybrid</t>
  </si>
  <si>
    <t>gene19575-v1.0-hybrid</t>
  </si>
  <si>
    <t>gene19875-v1.0-hybrid</t>
  </si>
  <si>
    <t>gene20776-v1.0-hybrid</t>
  </si>
  <si>
    <t>gene21076-v1.0-hybrid</t>
  </si>
  <si>
    <t>gene21376-v1.0-hybrid</t>
  </si>
  <si>
    <t>gene21677-v1.0-hybrid</t>
  </si>
  <si>
    <t>gene21977-v1.0-hybrid</t>
  </si>
  <si>
    <t>gene22278-v1.0-hybrid</t>
  </si>
  <si>
    <t>gene22578-v1.0-hybrid</t>
  </si>
  <si>
    <t>gene23181-v1.0-hybrid</t>
  </si>
  <si>
    <t>gene23781-v1.0-hybrid</t>
  </si>
  <si>
    <t>gene24081-v1.0-hybrid</t>
  </si>
  <si>
    <t>gene24383-v1.0-hybrid</t>
  </si>
  <si>
    <t>gene24684-v1.0-hybrid</t>
  </si>
  <si>
    <t>gene24986-v1.0-hybrid</t>
  </si>
  <si>
    <t>gene25286-v1.0-hybrid</t>
  </si>
  <si>
    <t>gene26486-v1.0-hybrid</t>
  </si>
  <si>
    <t>gene26787-v1.0-hybrid</t>
  </si>
  <si>
    <t>gene27087-v1.0-hybrid</t>
  </si>
  <si>
    <t>gene27687-v1.0-hybrid</t>
  </si>
  <si>
    <t>gene27987-v1.0-hybrid</t>
  </si>
  <si>
    <t>gene29187-v1.0-hybrid</t>
  </si>
  <si>
    <t>gene29487-v1.0-hybrid</t>
  </si>
  <si>
    <t>gene29788-v1.0-hybrid</t>
  </si>
  <si>
    <t>gene30089-v1.0-hybrid</t>
  </si>
  <si>
    <t>gene30389-v1.0-hybrid</t>
  </si>
  <si>
    <t>gene30689-v1.0-hybrid</t>
  </si>
  <si>
    <t>gene30989-v1.0-hybrid</t>
  </si>
  <si>
    <t>gene31289-v1.0-hybrid</t>
  </si>
  <si>
    <t>gene31589-v1.0-hybrid</t>
  </si>
  <si>
    <t>gene32189-v1.0-hybrid</t>
  </si>
  <si>
    <t>gene32489-v1.0-hybrid</t>
  </si>
  <si>
    <t>gene33954-v1.0-hybrid</t>
  </si>
  <si>
    <t>gene34854-v1.0-hybrid</t>
  </si>
  <si>
    <t>gene35154-v1.0-hybrid</t>
  </si>
  <si>
    <t>gene00266-v1.0-hybrid</t>
  </si>
  <si>
    <t>gene00570-v1.0-hybrid</t>
  </si>
  <si>
    <t>gene00870-v1.0-hybrid</t>
  </si>
  <si>
    <t>gene01170-v1.0-hybrid</t>
  </si>
  <si>
    <t>gene01471-v1.0-hybrid</t>
  </si>
  <si>
    <t>gene01771-v1.0-hybrid</t>
  </si>
  <si>
    <t>gene02071-v1.0-hybrid</t>
  </si>
  <si>
    <t>gene02671-v1.0-hybrid</t>
  </si>
  <si>
    <t>gene03359-v1.0-hybrid</t>
  </si>
  <si>
    <t>gene03659-v1.0-hybrid</t>
  </si>
  <si>
    <t>gene03959-v1.0-hybrid</t>
  </si>
  <si>
    <t>gene04259-v1.0-hybrid</t>
  </si>
  <si>
    <t>gene04559-v1.0-hybrid</t>
  </si>
  <si>
    <t>gene04859-v1.0-hybrid</t>
  </si>
  <si>
    <t>gene05159-v1.0-hybrid</t>
  </si>
  <si>
    <t>gene05460-v1.0-hybrid</t>
  </si>
  <si>
    <t>gene05760-v1.0-hybrid</t>
  </si>
  <si>
    <t>gene06060-v1.0-hybrid</t>
  </si>
  <si>
    <t>gene06360-v1.0-hybrid</t>
  </si>
  <si>
    <t>gene07560-v1.0-hybrid</t>
  </si>
  <si>
    <t>gene07861-v1.0-hybrid</t>
  </si>
  <si>
    <t>gene08161-v1.0-hybrid</t>
  </si>
  <si>
    <t>gene08761-v1.0-hybrid</t>
  </si>
  <si>
    <t>gene09361-v1.0-hybrid</t>
  </si>
  <si>
    <t>gene09661-v1.0-hybrid</t>
  </si>
  <si>
    <t>gene09962-v1.0-hybrid</t>
  </si>
  <si>
    <t>gene10563-v1.0-hybrid</t>
  </si>
  <si>
    <t>gene10863-v1.0-hybrid</t>
  </si>
  <si>
    <t>gene11163-v1.0-hybrid</t>
  </si>
  <si>
    <t>gene11464-v1.0-hybrid</t>
  </si>
  <si>
    <t>gene11764-v1.0-hybrid</t>
  </si>
  <si>
    <t>gene12064-v1.0-hybrid</t>
  </si>
  <si>
    <t>gene12664-v1.0-hybrid</t>
  </si>
  <si>
    <t>gene12964-v1.0-hybrid</t>
  </si>
  <si>
    <t>gene13265-v1.0-hybrid</t>
  </si>
  <si>
    <t>gene13565-v1.0-hybrid</t>
  </si>
  <si>
    <t>gene13865-v1.0-hybrid</t>
  </si>
  <si>
    <t>gene14166-v1.0-hybrid</t>
  </si>
  <si>
    <t>gene14467-v1.0-hybrid</t>
  </si>
  <si>
    <t>gene14769-v1.0-hybrid</t>
  </si>
  <si>
    <t>gene15070-v1.0-hybrid</t>
  </si>
  <si>
    <t>gene15372-v1.0-hybrid</t>
  </si>
  <si>
    <t>gene15673-v1.0-hybrid</t>
  </si>
  <si>
    <t>gene16574-v1.0-hybrid</t>
  </si>
  <si>
    <t>gene16875-v1.0-hybrid</t>
  </si>
  <si>
    <t>gene17476-v1.0-hybrid</t>
  </si>
  <si>
    <t>gene18076-v1.0-hybrid</t>
  </si>
  <si>
    <t>gene18376-v1.0-hybrid</t>
  </si>
  <si>
    <t>gene19276-v1.0-hybrid</t>
  </si>
  <si>
    <t>gene19576-v1.0-hybrid</t>
  </si>
  <si>
    <t>gene19876-v1.0-hybrid</t>
  </si>
  <si>
    <t>gene20176-v1.0-hybrid</t>
  </si>
  <si>
    <t>gene20777-v1.0-hybrid</t>
  </si>
  <si>
    <t>gene21077-v1.0-hybrid</t>
  </si>
  <si>
    <t>gene21678-v1.0-hybrid</t>
  </si>
  <si>
    <t>gene22279-v1.0-hybrid</t>
  </si>
  <si>
    <t>gene22579-v1.0-hybrid</t>
  </si>
  <si>
    <t>gene23182-v1.0-hybrid</t>
  </si>
  <si>
    <t>gene23482-v1.0-hybrid</t>
  </si>
  <si>
    <t>gene23782-v1.0-hybrid</t>
  </si>
  <si>
    <t>gene24384-v1.0-hybrid</t>
  </si>
  <si>
    <t>gene25287-v1.0-hybrid</t>
  </si>
  <si>
    <t>gene25587-v1.0-hybrid</t>
  </si>
  <si>
    <t>gene25887-v1.0-hybrid</t>
  </si>
  <si>
    <t>gene26187-v1.0-hybrid</t>
  </si>
  <si>
    <t>gene26788-v1.0-hybrid</t>
  </si>
  <si>
    <t>gene27088-v1.0-hybrid</t>
  </si>
  <si>
    <t>gene27388-v1.0-hybrid</t>
  </si>
  <si>
    <t>gene27688-v1.0-hybrid</t>
  </si>
  <si>
    <t>gene27988-v1.0-hybrid</t>
  </si>
  <si>
    <t>gene28288-v1.0-hybrid</t>
  </si>
  <si>
    <t>gene28588-v1.0-hybrid</t>
  </si>
  <si>
    <t>gene28888-v1.0-hybrid</t>
  </si>
  <si>
    <t>gene29488-v1.0-hybrid</t>
  </si>
  <si>
    <t>gene29789-v1.0-hybrid</t>
  </si>
  <si>
    <t>gene30090-v1.0-hybrid</t>
  </si>
  <si>
    <t>gene30390-v1.0-hybrid</t>
  </si>
  <si>
    <t>gene30690-v1.0-hybrid</t>
  </si>
  <si>
    <t>gene30990-v1.0-hybrid</t>
  </si>
  <si>
    <t>gene31290-v1.0-hybrid</t>
  </si>
  <si>
    <t>gene31590-v1.0-hybrid</t>
  </si>
  <si>
    <t>gene31890-v1.0-hybrid</t>
  </si>
  <si>
    <t>gene32190-v1.0-hybrid</t>
  </si>
  <si>
    <t>gene32490-v1.0-hybrid</t>
  </si>
  <si>
    <t>gene33210-v1.0-hybrid</t>
  </si>
  <si>
    <t>gene33955-v1.0-hybrid</t>
  </si>
  <si>
    <t>gene34855-v1.0-hybrid</t>
  </si>
  <si>
    <t>gene00267-v1.0-hybrid</t>
  </si>
  <si>
    <t>gene00571-v1.0-hybrid</t>
  </si>
  <si>
    <t>gene01472-v1.0-hybrid</t>
  </si>
  <si>
    <t>gene01772-v1.0-hybrid</t>
  </si>
  <si>
    <t>gene02072-v1.0-hybrid</t>
  </si>
  <si>
    <t>gene02372-v1.0-hybrid</t>
  </si>
  <si>
    <t>gene02672-v1.0-hybrid</t>
  </si>
  <si>
    <t>gene03060-v1.0-hybrid</t>
  </si>
  <si>
    <t>gene03360-v1.0-hybrid</t>
  </si>
  <si>
    <t>gene03960-v1.0-hybrid</t>
  </si>
  <si>
    <t>gene04560-v1.0-hybrid</t>
  </si>
  <si>
    <t>gene05160-v1.0-hybrid</t>
  </si>
  <si>
    <t>gene05461-v1.0-hybrid</t>
  </si>
  <si>
    <t>gene05761-v1.0-hybrid</t>
  </si>
  <si>
    <t>gene06061-v1.0-hybrid</t>
  </si>
  <si>
    <t>gene06361-v1.0-hybrid</t>
  </si>
  <si>
    <t>gene06661-v1.0-hybrid</t>
  </si>
  <si>
    <t>gene06961-v1.0-hybrid</t>
  </si>
  <si>
    <t>gene07261-v1.0-hybrid</t>
  </si>
  <si>
    <t>gene07561-v1.0-hybrid</t>
  </si>
  <si>
    <t>gene07862-v1.0-hybrid</t>
  </si>
  <si>
    <t>gene08162-v1.0-hybrid</t>
  </si>
  <si>
    <t>gene08762-v1.0-hybrid</t>
  </si>
  <si>
    <t>gene09062-v1.0-hybrid</t>
  </si>
  <si>
    <t>gene09362-v1.0-hybrid</t>
  </si>
  <si>
    <t>gene09662-v1.0-hybrid</t>
  </si>
  <si>
    <t>gene09963-v1.0-hybrid</t>
  </si>
  <si>
    <t>gene10263-v1.0-hybrid</t>
  </si>
  <si>
    <t>gene10564-v1.0-hybrid</t>
  </si>
  <si>
    <t>gene10864-v1.0-hybrid</t>
  </si>
  <si>
    <t>gene11164-v1.0-hybrid</t>
  </si>
  <si>
    <t>gene11465-v1.0-hybrid</t>
  </si>
  <si>
    <t>gene12365-v1.0-hybrid</t>
  </si>
  <si>
    <t>gene12665-v1.0-hybrid</t>
  </si>
  <si>
    <t>gene12965-v1.0-hybrid</t>
  </si>
  <si>
    <t>gene13266-v1.0-hybrid</t>
  </si>
  <si>
    <t>gene13566-v1.0-hybrid</t>
  </si>
  <si>
    <t>gene13866-v1.0-hybrid</t>
  </si>
  <si>
    <t>gene14167-v1.0-hybrid</t>
  </si>
  <si>
    <t>gene14468-v1.0-hybrid</t>
  </si>
  <si>
    <t>gene14770-v1.0-hybrid</t>
  </si>
  <si>
    <t>gene15071-v1.0-hybrid</t>
  </si>
  <si>
    <t>gene15674-v1.0-hybrid</t>
  </si>
  <si>
    <t>gene15974-v1.0-hybrid</t>
  </si>
  <si>
    <t>gene16275-v1.0-hybrid</t>
  </si>
  <si>
    <t>gene16575-v1.0-hybrid</t>
  </si>
  <si>
    <t>gene16876-v1.0-hybrid</t>
  </si>
  <si>
    <t>gene17477-v1.0-hybrid</t>
  </si>
  <si>
    <t>gene17777-v1.0-hybrid</t>
  </si>
  <si>
    <t>gene18377-v1.0-hybrid</t>
  </si>
  <si>
    <t>gene18677-v1.0-hybrid</t>
  </si>
  <si>
    <t>gene18977-v1.0-hybrid</t>
  </si>
  <si>
    <t>gene19577-v1.0-hybrid</t>
  </si>
  <si>
    <t>gene20177-v1.0-hybrid</t>
  </si>
  <si>
    <t>gene21078-v1.0-hybrid</t>
  </si>
  <si>
    <t>gene21378-v1.0-hybrid</t>
  </si>
  <si>
    <t>gene21679-v1.0-hybrid</t>
  </si>
  <si>
    <t>gene22280-v1.0-hybrid</t>
  </si>
  <si>
    <t>gene22580-v1.0-hybrid</t>
  </si>
  <si>
    <t>gene23183-v1.0-hybrid</t>
  </si>
  <si>
    <t>gene24083-v1.0-hybrid</t>
  </si>
  <si>
    <t>gene24385-v1.0-hybrid</t>
  </si>
  <si>
    <t>gene24686-v1.0-hybrid</t>
  </si>
  <si>
    <t>gene24988-v1.0-hybrid</t>
  </si>
  <si>
    <t>gene25588-v1.0-hybrid</t>
  </si>
  <si>
    <t>gene25888-v1.0-hybrid</t>
  </si>
  <si>
    <t>gene26188-v1.0-hybrid</t>
  </si>
  <si>
    <t>gene26488-v1.0-hybrid</t>
  </si>
  <si>
    <t>gene26789-v1.0-hybrid</t>
  </si>
  <si>
    <t>gene27089-v1.0-hybrid</t>
  </si>
  <si>
    <t>gene27389-v1.0-hybrid</t>
  </si>
  <si>
    <t>gene27689-v1.0-hybrid</t>
  </si>
  <si>
    <t>gene27989-v1.0-hybrid</t>
  </si>
  <si>
    <t>gene28289-v1.0-hybrid</t>
  </si>
  <si>
    <t>gene28589-v1.0-hybrid</t>
  </si>
  <si>
    <t>gene29489-v1.0-hybrid</t>
  </si>
  <si>
    <t>gene30391-v1.0-hybrid</t>
  </si>
  <si>
    <t>gene30691-v1.0-hybrid</t>
  </si>
  <si>
    <t>gene31291-v1.0-hybrid</t>
  </si>
  <si>
    <t>gene31891-v1.0-hybrid</t>
  </si>
  <si>
    <t>gene32491-v1.0-hybrid</t>
  </si>
  <si>
    <t>gene34856-v1.0-hybrid</t>
  </si>
  <si>
    <t>gene00268-v1.0-hybrid</t>
  </si>
  <si>
    <t>gene00572-v1.0-hybrid</t>
  </si>
  <si>
    <t>gene01473-v1.0-hybrid</t>
  </si>
  <si>
    <t>gene02073-v1.0-hybrid</t>
  </si>
  <si>
    <t>gene02373-v1.0-hybrid</t>
  </si>
  <si>
    <t>gene02673-v1.0-hybrid</t>
  </si>
  <si>
    <t>gene03061-v1.0-hybrid</t>
  </si>
  <si>
    <t>gene03361-v1.0-hybrid</t>
  </si>
  <si>
    <t>gene03961-v1.0-hybrid</t>
  </si>
  <si>
    <t>gene04261-v1.0-hybrid</t>
  </si>
  <si>
    <t>gene04861-v1.0-hybrid</t>
  </si>
  <si>
    <t>gene05161-v1.0-hybrid</t>
  </si>
  <si>
    <t>gene05462-v1.0-hybrid</t>
  </si>
  <si>
    <t>gene05762-v1.0-hybrid</t>
  </si>
  <si>
    <t>gene06362-v1.0-hybrid</t>
  </si>
  <si>
    <t>gene06962-v1.0-hybrid</t>
  </si>
  <si>
    <t>gene08463-v1.0-hybrid</t>
  </si>
  <si>
    <t>gene08763-v1.0-hybrid</t>
  </si>
  <si>
    <t>gene09063-v1.0-hybrid</t>
  </si>
  <si>
    <t>gene09363-v1.0-hybrid</t>
  </si>
  <si>
    <t>gene09663-v1.0-hybrid</t>
  </si>
  <si>
    <t>gene09964-v1.0-hybrid</t>
  </si>
  <si>
    <t>gene10264-v1.0-hybrid</t>
  </si>
  <si>
    <t>gene10565-v1.0-hybrid</t>
  </si>
  <si>
    <t>gene10865-v1.0-hybrid</t>
  </si>
  <si>
    <t>gene11165-v1.0-hybrid</t>
  </si>
  <si>
    <t>gene11466-v1.0-hybrid</t>
  </si>
  <si>
    <t>gene11766-v1.0-hybrid</t>
  </si>
  <si>
    <t>gene12066-v1.0-hybrid</t>
  </si>
  <si>
    <t>gene12366-v1.0-hybrid</t>
  </si>
  <si>
    <t>gene12666-v1.0-hybrid</t>
  </si>
  <si>
    <t>gene12966-v1.0-hybrid</t>
  </si>
  <si>
    <t>gene13267-v1.0-hybrid</t>
  </si>
  <si>
    <t>gene13567-v1.0-hybrid</t>
  </si>
  <si>
    <t>gene13867-v1.0-hybrid</t>
  </si>
  <si>
    <t>gene14168-v1.0-hybrid</t>
  </si>
  <si>
    <t>gene14469-v1.0-hybrid</t>
  </si>
  <si>
    <t>gene14771-v1.0-hybrid</t>
  </si>
  <si>
    <t>gene15072-v1.0-hybrid</t>
  </si>
  <si>
    <t>gene15374-v1.0-hybrid</t>
  </si>
  <si>
    <t>gene15975-v1.0-hybrid</t>
  </si>
  <si>
    <t>gene16276-v1.0-hybrid</t>
  </si>
  <si>
    <t>gene16877-v1.0-hybrid</t>
  </si>
  <si>
    <t>gene17178-v1.0-hybrid</t>
  </si>
  <si>
    <t>gene17478-v1.0-hybrid</t>
  </si>
  <si>
    <t>gene18078-v1.0-hybrid</t>
  </si>
  <si>
    <t>gene18378-v1.0-hybrid</t>
  </si>
  <si>
    <t>gene18678-v1.0-hybrid</t>
  </si>
  <si>
    <t>gene19278-v1.0-hybrid</t>
  </si>
  <si>
    <t>gene19578-v1.0-hybrid</t>
  </si>
  <si>
    <t>gene20178-v1.0-hybrid</t>
  </si>
  <si>
    <t>gene20479-v1.0-hybrid</t>
  </si>
  <si>
    <t>gene20779-v1.0-hybrid</t>
  </si>
  <si>
    <t>gene21379-v1.0-hybrid</t>
  </si>
  <si>
    <t>gene21680-v1.0-hybrid</t>
  </si>
  <si>
    <t>gene22281-v1.0-hybrid</t>
  </si>
  <si>
    <t>gene22581-v1.0-hybrid</t>
  </si>
  <si>
    <t>gene22882-v1.0-hybrid</t>
  </si>
  <si>
    <t>gene23184-v1.0-hybrid</t>
  </si>
  <si>
    <t>gene23484-v1.0-hybrid</t>
  </si>
  <si>
    <t>gene23784-v1.0-hybrid</t>
  </si>
  <si>
    <t>gene24386-v1.0-hybrid</t>
  </si>
  <si>
    <t>gene24687-v1.0-hybrid</t>
  </si>
  <si>
    <t>gene24989-v1.0-hybrid</t>
  </si>
  <si>
    <t>gene25589-v1.0-hybrid</t>
  </si>
  <si>
    <t>gene25889-v1.0-hybrid</t>
  </si>
  <si>
    <t>gene26189-v1.0-hybrid</t>
  </si>
  <si>
    <t>gene26489-v1.0-hybrid</t>
  </si>
  <si>
    <t>gene26790-v1.0-hybrid</t>
  </si>
  <si>
    <t>gene27390-v1.0-hybrid</t>
  </si>
  <si>
    <t>gene28290-v1.0-hybrid</t>
  </si>
  <si>
    <t>gene28590-v1.0-hybrid</t>
  </si>
  <si>
    <t>gene29490-v1.0-hybrid</t>
  </si>
  <si>
    <t>gene29791-v1.0-hybrid</t>
  </si>
  <si>
    <t>gene30092-v1.0-hybrid</t>
  </si>
  <si>
    <t>gene30392-v1.0-hybrid</t>
  </si>
  <si>
    <t>gene30692-v1.0-hybrid</t>
  </si>
  <si>
    <t>gene31292-v1.0-hybrid</t>
  </si>
  <si>
    <t>gene31592-v1.0-hybrid</t>
  </si>
  <si>
    <t>gene32492-v1.0-hybrid</t>
  </si>
  <si>
    <t>gene33212-v1.0-hybrid</t>
  </si>
  <si>
    <t>gene33610-v1.0-hybrid</t>
  </si>
  <si>
    <t>gene33957-v1.0-hybrid</t>
  </si>
  <si>
    <t>gene34257-v1.0-hybrid</t>
  </si>
  <si>
    <t>gene34857-v1.0-hybrid</t>
  </si>
  <si>
    <t>gene00269-v1.0-hybrid</t>
  </si>
  <si>
    <t>gene00573-v1.0-hybrid</t>
  </si>
  <si>
    <t>gene01173-v1.0-hybrid</t>
  </si>
  <si>
    <t>gene01774-v1.0-hybrid</t>
  </si>
  <si>
    <t>gene02074-v1.0-hybrid</t>
  </si>
  <si>
    <t>gene02374-v1.0-hybrid</t>
  </si>
  <si>
    <t>gene02674-v1.0-hybrid</t>
  </si>
  <si>
    <t>gene03362-v1.0-hybrid</t>
  </si>
  <si>
    <t>gene03662-v1.0-hybrid</t>
  </si>
  <si>
    <t>gene04262-v1.0-hybrid</t>
  </si>
  <si>
    <t>gene04562-v1.0-hybrid</t>
  </si>
  <si>
    <t>gene05162-v1.0-hybrid</t>
  </si>
  <si>
    <t>gene05463-v1.0-hybrid</t>
  </si>
  <si>
    <t>gene05763-v1.0-hybrid</t>
  </si>
  <si>
    <t>gene06063-v1.0-hybrid</t>
  </si>
  <si>
    <t>gene06363-v1.0-hybrid</t>
  </si>
  <si>
    <t>gene06663-v1.0-hybrid</t>
  </si>
  <si>
    <t>gene06963-v1.0-hybrid</t>
  </si>
  <si>
    <t>gene07864-v1.0-hybrid</t>
  </si>
  <si>
    <t>gene08164-v1.0-hybrid</t>
  </si>
  <si>
    <t>gene08464-v1.0-hybrid</t>
  </si>
  <si>
    <t>gene08764-v1.0-hybrid</t>
  </si>
  <si>
    <t>gene09064-v1.0-hybrid</t>
  </si>
  <si>
    <t>gene09364-v1.0-hybrid</t>
  </si>
  <si>
    <t>gene09965-v1.0-hybrid</t>
  </si>
  <si>
    <t>gene10265-v1.0-hybrid</t>
  </si>
  <si>
    <t>gene10566-v1.0-hybrid</t>
  </si>
  <si>
    <t>gene10866-v1.0-hybrid</t>
  </si>
  <si>
    <t>gene11166-v1.0-hybrid</t>
  </si>
  <si>
    <t>gene11467-v1.0-hybrid</t>
  </si>
  <si>
    <t>gene12067-v1.0-hybrid</t>
  </si>
  <si>
    <t>gene12367-v1.0-hybrid</t>
  </si>
  <si>
    <t>gene12667-v1.0-hybrid</t>
  </si>
  <si>
    <t>gene13268-v1.0-hybrid</t>
  </si>
  <si>
    <t>gene13568-v1.0-hybrid</t>
  </si>
  <si>
    <t>gene13868-v1.0-hybrid</t>
  </si>
  <si>
    <t>gene14169-v1.0-hybrid</t>
  </si>
  <si>
    <t>gene14470-v1.0-hybrid</t>
  </si>
  <si>
    <t>gene14772-v1.0-hybrid</t>
  </si>
  <si>
    <t>gene15073-v1.0-hybrid</t>
  </si>
  <si>
    <t>gene15676-v1.0-hybrid</t>
  </si>
  <si>
    <t>gene16577-v1.0-hybrid</t>
  </si>
  <si>
    <t>gene17479-v1.0-hybrid</t>
  </si>
  <si>
    <t>gene17779-v1.0-hybrid</t>
  </si>
  <si>
    <t>gene18079-v1.0-hybrid</t>
  </si>
  <si>
    <t>gene18379-v1.0-hybrid</t>
  </si>
  <si>
    <t>gene18979-v1.0-hybrid</t>
  </si>
  <si>
    <t>gene19279-v1.0-hybrid</t>
  </si>
  <si>
    <t>gene19579-v1.0-hybrid</t>
  </si>
  <si>
    <t>gene20179-v1.0-hybrid</t>
  </si>
  <si>
    <t>gene20480-v1.0-hybrid</t>
  </si>
  <si>
    <t>gene20780-v1.0-hybrid</t>
  </si>
  <si>
    <t>gene21380-v1.0-hybrid</t>
  </si>
  <si>
    <t>gene21981-v1.0-hybrid</t>
  </si>
  <si>
    <t>gene22282-v1.0-hybrid</t>
  </si>
  <si>
    <t>gene23185-v1.0-hybrid</t>
  </si>
  <si>
    <t>gene23485-v1.0-hybrid</t>
  </si>
  <si>
    <t>gene23785-v1.0-hybrid</t>
  </si>
  <si>
    <t>gene24085-v1.0-hybrid</t>
  </si>
  <si>
    <t>gene24688-v1.0-hybrid</t>
  </si>
  <si>
    <t>gene24990-v1.0-hybrid</t>
  </si>
  <si>
    <t>gene25290-v1.0-hybrid</t>
  </si>
  <si>
    <t>gene25590-v1.0-hybrid</t>
  </si>
  <si>
    <t>gene26190-v1.0-hybrid</t>
  </si>
  <si>
    <t>gene26490-v1.0-hybrid</t>
  </si>
  <si>
    <t>gene26791-v1.0-hybrid</t>
  </si>
  <si>
    <t>gene27391-v1.0-hybrid</t>
  </si>
  <si>
    <t>gene28291-v1.0-hybrid</t>
  </si>
  <si>
    <t>gene28591-v1.0-hybrid</t>
  </si>
  <si>
    <t>gene28891-v1.0-hybrid</t>
  </si>
  <si>
    <t>gene29191-v1.0-hybrid</t>
  </si>
  <si>
    <t>gene29491-v1.0-hybrid</t>
  </si>
  <si>
    <t>gene29792-v1.0-hybrid</t>
  </si>
  <si>
    <t>gene30093-v1.0-hybrid</t>
  </si>
  <si>
    <t>gene30693-v1.0-hybrid</t>
  </si>
  <si>
    <t>gene30993-v1.0-hybrid</t>
  </si>
  <si>
    <t>gene31293-v1.0-hybrid</t>
  </si>
  <si>
    <t>gene31593-v1.0-hybrid</t>
  </si>
  <si>
    <t>gene32493-v1.0-hybrid</t>
  </si>
  <si>
    <t>gene32819-v1.0-hybrid</t>
  </si>
  <si>
    <t>gene34558-v1.0-hybrid</t>
  </si>
  <si>
    <t>gene00270-v1.0-hybrid</t>
  </si>
  <si>
    <t>gene00874-v1.0-hybrid</t>
  </si>
  <si>
    <t>gene01174-v1.0-hybrid</t>
  </si>
  <si>
    <t>gene01475-v1.0-hybrid</t>
  </si>
  <si>
    <t>gene01775-v1.0-hybrid</t>
  </si>
  <si>
    <t>gene02075-v1.0-hybrid</t>
  </si>
  <si>
    <t>gene02375-v1.0-hybrid</t>
  </si>
  <si>
    <t>gene02675-v1.0-hybrid</t>
  </si>
  <si>
    <t>gene03063-v1.0-hybrid</t>
  </si>
  <si>
    <t>gene03363-v1.0-hybrid</t>
  </si>
  <si>
    <t>gene03663-v1.0-hybrid</t>
  </si>
  <si>
    <t>gene03963-v1.0-hybrid</t>
  </si>
  <si>
    <t>gene04563-v1.0-hybrid</t>
  </si>
  <si>
    <t>gene04863-v1.0-hybrid</t>
  </si>
  <si>
    <t>gene05163-v1.0-hybrid</t>
  </si>
  <si>
    <t>gene05764-v1.0-hybrid</t>
  </si>
  <si>
    <t>gene06064-v1.0-hybrid</t>
  </si>
  <si>
    <t>gene06364-v1.0-hybrid</t>
  </si>
  <si>
    <t>gene06664-v1.0-hybrid</t>
  </si>
  <si>
    <t>gene06964-v1.0-hybrid</t>
  </si>
  <si>
    <t>gene07264-v1.0-hybrid</t>
  </si>
  <si>
    <t>gene07564-v1.0-hybrid</t>
  </si>
  <si>
    <t>gene07865-v1.0-hybrid</t>
  </si>
  <si>
    <t>gene08765-v1.0-hybrid</t>
  </si>
  <si>
    <t>gene09065-v1.0-hybrid</t>
  </si>
  <si>
    <t>gene09365-v1.0-hybrid</t>
  </si>
  <si>
    <t>gene09966-v1.0-hybrid</t>
  </si>
  <si>
    <t>gene10266-v1.0-hybrid</t>
  </si>
  <si>
    <t>gene10567-v1.0-hybrid</t>
  </si>
  <si>
    <t>gene10867-v1.0-hybrid</t>
  </si>
  <si>
    <t>gene11167-v1.0-hybrid</t>
  </si>
  <si>
    <t>gene11468-v1.0-hybrid</t>
  </si>
  <si>
    <t>gene12368-v1.0-hybrid</t>
  </si>
  <si>
    <t>gene12668-v1.0-hybrid</t>
  </si>
  <si>
    <t>gene12968-v1.0-hybrid</t>
  </si>
  <si>
    <t>gene13269-v1.0-hybrid</t>
  </si>
  <si>
    <t>gene13569-v1.0-hybrid</t>
  </si>
  <si>
    <t>gene14170-v1.0-hybrid</t>
  </si>
  <si>
    <t>gene14471-v1.0-hybrid</t>
  </si>
  <si>
    <t>gene14773-v1.0-hybrid</t>
  </si>
  <si>
    <t>gene15074-v1.0-hybrid</t>
  </si>
  <si>
    <t>gene15677-v1.0-hybrid</t>
  </si>
  <si>
    <t>gene15977-v1.0-hybrid</t>
  </si>
  <si>
    <t>gene16278-v1.0-hybrid</t>
  </si>
  <si>
    <t>gene16578-v1.0-hybrid</t>
  </si>
  <si>
    <t>gene16879-v1.0-hybrid</t>
  </si>
  <si>
    <t>gene17180-v1.0-hybrid</t>
  </si>
  <si>
    <t>gene17480-v1.0-hybrid</t>
  </si>
  <si>
    <t>gene18080-v1.0-hybrid</t>
  </si>
  <si>
    <t>gene18380-v1.0-hybrid</t>
  </si>
  <si>
    <t>gene18680-v1.0-hybrid</t>
  </si>
  <si>
    <t>gene18980-v1.0-hybrid</t>
  </si>
  <si>
    <t>gene19580-v1.0-hybrid</t>
  </si>
  <si>
    <t>gene19880-v1.0-hybrid</t>
  </si>
  <si>
    <t>gene20180-v1.0-hybrid</t>
  </si>
  <si>
    <t>gene20481-v1.0-hybrid</t>
  </si>
  <si>
    <t>gene20781-v1.0-hybrid</t>
  </si>
  <si>
    <t>gene21081-v1.0-hybrid</t>
  </si>
  <si>
    <t>gene21381-v1.0-hybrid</t>
  </si>
  <si>
    <t>gene21682-v1.0-hybrid</t>
  </si>
  <si>
    <t>gene21982-v1.0-hybrid</t>
  </si>
  <si>
    <t>gene22283-v1.0-hybrid</t>
  </si>
  <si>
    <t>gene23186-v1.0-hybrid</t>
  </si>
  <si>
    <t>gene23786-v1.0-hybrid</t>
  </si>
  <si>
    <t>gene24086-v1.0-hybrid</t>
  </si>
  <si>
    <t>gene24689-v1.0-hybrid</t>
  </si>
  <si>
    <t>gene24991-v1.0-hybrid</t>
  </si>
  <si>
    <t>gene25291-v1.0-hybrid</t>
  </si>
  <si>
    <t>gene25891-v1.0-hybrid</t>
  </si>
  <si>
    <t>gene26191-v1.0-hybrid</t>
  </si>
  <si>
    <t>gene26491-v1.0-hybrid</t>
  </si>
  <si>
    <t>gene27092-v1.0-hybrid</t>
  </si>
  <si>
    <t>gene27692-v1.0-hybrid</t>
  </si>
  <si>
    <t>gene28592-v1.0-hybrid</t>
  </si>
  <si>
    <t>gene28892-v1.0-hybrid</t>
  </si>
  <si>
    <t>gene29492-v1.0-hybrid</t>
  </si>
  <si>
    <t>gene29793-v1.0-hybrid</t>
  </si>
  <si>
    <t>gene30094-v1.0-hybrid</t>
  </si>
  <si>
    <t>gene30394-v1.0-hybrid</t>
  </si>
  <si>
    <t>gene30694-v1.0-hybrid</t>
  </si>
  <si>
    <t>gene31294-v1.0-hybrid</t>
  </si>
  <si>
    <t>gene31594-v1.0-hybrid</t>
  </si>
  <si>
    <t>gene31894-v1.0-hybrid</t>
  </si>
  <si>
    <t>gene32194-v1.0-hybrid</t>
  </si>
  <si>
    <t>gene32494-v1.0-hybrid</t>
  </si>
  <si>
    <t>gene33959-v1.0-hybrid</t>
  </si>
  <si>
    <t>gene34859-v1.0-hybrid</t>
  </si>
  <si>
    <t>gene00271-v1.0-hybrid</t>
  </si>
  <si>
    <t>gene00575-v1.0-hybrid</t>
  </si>
  <si>
    <t>gene01175-v1.0-hybrid</t>
  </si>
  <si>
    <t>gene01476-v1.0-hybrid</t>
  </si>
  <si>
    <t>gene01776-v1.0-hybrid</t>
  </si>
  <si>
    <t>gene02376-v1.0-hybrid</t>
  </si>
  <si>
    <t>gene02676-v1.0-hybrid</t>
  </si>
  <si>
    <t>gene03064-v1.0-hybrid</t>
  </si>
  <si>
    <t>gene03364-v1.0-hybrid</t>
  </si>
  <si>
    <t>gene03664-v1.0-hybrid</t>
  </si>
  <si>
    <t>gene03964-v1.0-hybrid</t>
  </si>
  <si>
    <t>gene04264-v1.0-hybrid</t>
  </si>
  <si>
    <t>gene04564-v1.0-hybrid</t>
  </si>
  <si>
    <t>gene04864-v1.0-hybrid</t>
  </si>
  <si>
    <t>gene05164-v1.0-hybrid</t>
  </si>
  <si>
    <t>gene05465-v1.0-hybrid</t>
  </si>
  <si>
    <t>gene05765-v1.0-hybrid</t>
  </si>
  <si>
    <t>gene06065-v1.0-hybrid</t>
  </si>
  <si>
    <t>gene06665-v1.0-hybrid</t>
  </si>
  <si>
    <t>gene06965-v1.0-hybrid</t>
  </si>
  <si>
    <t>gene07265-v1.0-hybrid</t>
  </si>
  <si>
    <t>gene07565-v1.0-hybrid</t>
  </si>
  <si>
    <t>gene07866-v1.0-hybrid</t>
  </si>
  <si>
    <t>gene08166-v1.0-hybrid</t>
  </si>
  <si>
    <t>gene08766-v1.0-hybrid</t>
  </si>
  <si>
    <t>gene09066-v1.0-hybrid</t>
  </si>
  <si>
    <t>gene09366-v1.0-hybrid</t>
  </si>
  <si>
    <t>gene09666-v1.0-hybrid</t>
  </si>
  <si>
    <t>gene10267-v1.0-hybrid</t>
  </si>
  <si>
    <t>gene10568-v1.0-hybrid</t>
  </si>
  <si>
    <t>gene11169-v1.0-hybrid</t>
  </si>
  <si>
    <t>gene11469-v1.0-hybrid</t>
  </si>
  <si>
    <t>gene11769-v1.0-hybrid</t>
  </si>
  <si>
    <t>gene12069-v1.0-hybrid</t>
  </si>
  <si>
    <t>gene12369-v1.0-hybrid</t>
  </si>
  <si>
    <t>gene12669-v1.0-hybrid</t>
  </si>
  <si>
    <t>gene12969-v1.0-hybrid</t>
  </si>
  <si>
    <t>gene13270-v1.0-hybrid</t>
  </si>
  <si>
    <t>gene13870-v1.0-hybrid</t>
  </si>
  <si>
    <t>gene14171-v1.0-hybrid</t>
  </si>
  <si>
    <t>gene14472-v1.0-hybrid</t>
  </si>
  <si>
    <t>gene14774-v1.0-hybrid</t>
  </si>
  <si>
    <t>gene15075-v1.0-hybrid</t>
  </si>
  <si>
    <t>gene15377-v1.0-hybrid</t>
  </si>
  <si>
    <t>gene15978-v1.0-hybrid</t>
  </si>
  <si>
    <t>gene16279-v1.0-hybrid</t>
  </si>
  <si>
    <t>gene17181-v1.0-hybrid</t>
  </si>
  <si>
    <t>gene17481-v1.0-hybrid</t>
  </si>
  <si>
    <t>gene17781-v1.0-hybrid</t>
  </si>
  <si>
    <t>gene18381-v1.0-hybrid</t>
  </si>
  <si>
    <t>gene18681-v1.0-hybrid</t>
  </si>
  <si>
    <t>gene18981-v1.0-hybrid</t>
  </si>
  <si>
    <t>gene19281-v1.0-hybrid</t>
  </si>
  <si>
    <t>gene19581-v1.0-hybrid</t>
  </si>
  <si>
    <t>gene19881-v1.0-hybrid</t>
  </si>
  <si>
    <t>gene20181-v1.0-hybrid</t>
  </si>
  <si>
    <t>gene20482-v1.0-hybrid</t>
  </si>
  <si>
    <t>gene20782-v1.0-hybrid</t>
  </si>
  <si>
    <t>gene21382-v1.0-hybrid</t>
  </si>
  <si>
    <t>gene21983-v1.0-hybrid</t>
  </si>
  <si>
    <t>gene22284-v1.0-hybrid</t>
  </si>
  <si>
    <t>gene22584-v1.0-hybrid</t>
  </si>
  <si>
    <t>gene23187-v1.0-hybrid</t>
  </si>
  <si>
    <t>gene23487-v1.0-hybrid</t>
  </si>
  <si>
    <t>gene23787-v1.0-hybrid</t>
  </si>
  <si>
    <t>gene24690-v1.0-hybrid</t>
  </si>
  <si>
    <t>gene24992-v1.0-hybrid</t>
  </si>
  <si>
    <t>gene25292-v1.0-hybrid</t>
  </si>
  <si>
    <t>gene25892-v1.0-hybrid</t>
  </si>
  <si>
    <t>gene26192-v1.0-hybrid</t>
  </si>
  <si>
    <t>gene26492-v1.0-hybrid</t>
  </si>
  <si>
    <t>gene26793-v1.0-hybrid</t>
  </si>
  <si>
    <t>gene27093-v1.0-hybrid</t>
  </si>
  <si>
    <t>gene27693-v1.0-hybrid</t>
  </si>
  <si>
    <t>gene27993-v1.0-hybrid</t>
  </si>
  <si>
    <t>gene28293-v1.0-hybrid</t>
  </si>
  <si>
    <t>gene28593-v1.0-hybrid</t>
  </si>
  <si>
    <t>gene28893-v1.0-hybrid</t>
  </si>
  <si>
    <t>gene29193-v1.0-hybrid</t>
  </si>
  <si>
    <t>gene29493-v1.0-hybrid</t>
  </si>
  <si>
    <t>gene29794-v1.0-hybrid</t>
  </si>
  <si>
    <t>gene30095-v1.0-hybrid</t>
  </si>
  <si>
    <t>gene30695-v1.0-hybrid</t>
  </si>
  <si>
    <t>gene31295-v1.0-hybrid</t>
  </si>
  <si>
    <t>gene31595-v1.0-hybrid</t>
  </si>
  <si>
    <t>gene31895-v1.0-hybrid</t>
  </si>
  <si>
    <t>gene32821-v1.0-hybrid</t>
  </si>
  <si>
    <t>gene33960-v1.0-hybrid</t>
  </si>
  <si>
    <t>gene35160-v1.0-hybrid</t>
  </si>
  <si>
    <t>gene00272-v1.0-hybrid</t>
  </si>
  <si>
    <t>gene00576-v1.0-hybrid</t>
  </si>
  <si>
    <t>gene00876-v1.0-hybrid</t>
  </si>
  <si>
    <t>gene01176-v1.0-hybrid</t>
  </si>
  <si>
    <t>gene01477-v1.0-hybrid</t>
  </si>
  <si>
    <t>gene01777-v1.0-hybrid</t>
  </si>
  <si>
    <t>gene02077-v1.0-hybrid</t>
  </si>
  <si>
    <t>gene02377-v1.0-hybrid</t>
  </si>
  <si>
    <t>gene02677-v1.0-hybrid</t>
  </si>
  <si>
    <t>gene03065-v1.0-hybrid</t>
  </si>
  <si>
    <t>gene03365-v1.0-hybrid</t>
  </si>
  <si>
    <t>gene03965-v1.0-hybrid</t>
  </si>
  <si>
    <t>gene04265-v1.0-hybrid</t>
  </si>
  <si>
    <t>gene04565-v1.0-hybrid</t>
  </si>
  <si>
    <t>gene05165-v1.0-hybrid</t>
  </si>
  <si>
    <t>gene05466-v1.0-hybrid</t>
  </si>
  <si>
    <t>gene05766-v1.0-hybrid</t>
  </si>
  <si>
    <t>gene06066-v1.0-hybrid</t>
  </si>
  <si>
    <t>gene06366-v1.0-hybrid</t>
  </si>
  <si>
    <t>gene07266-v1.0-hybrid</t>
  </si>
  <si>
    <t>gene07867-v1.0-hybrid</t>
  </si>
  <si>
    <t>gene08467-v1.0-hybrid</t>
  </si>
  <si>
    <t>gene08767-v1.0-hybrid</t>
  </si>
  <si>
    <t>gene09067-v1.0-hybrid</t>
  </si>
  <si>
    <t>gene09367-v1.0-hybrid</t>
  </si>
  <si>
    <t>gene09667-v1.0-hybrid</t>
  </si>
  <si>
    <t>gene09968-v1.0-hybrid</t>
  </si>
  <si>
    <t>gene10268-v1.0-hybrid</t>
  </si>
  <si>
    <t>gene10569-v1.0-hybrid</t>
  </si>
  <si>
    <t>gene10869-v1.0-hybrid</t>
  </si>
  <si>
    <t>gene11170-v1.0-hybrid</t>
  </si>
  <si>
    <t>gene11470-v1.0-hybrid</t>
  </si>
  <si>
    <t>gene11770-v1.0-hybrid</t>
  </si>
  <si>
    <t>gene12370-v1.0-hybrid</t>
  </si>
  <si>
    <t>gene12970-v1.0-hybrid</t>
  </si>
  <si>
    <t>gene13271-v1.0-hybrid</t>
  </si>
  <si>
    <t>gene13871-v1.0-hybrid</t>
  </si>
  <si>
    <t>gene14172-v1.0-hybrid</t>
  </si>
  <si>
    <t>gene15076-v1.0-hybrid</t>
  </si>
  <si>
    <t>gene15378-v1.0-hybrid</t>
  </si>
  <si>
    <t>gene15979-v1.0-hybrid</t>
  </si>
  <si>
    <t>gene16280-v1.0-hybrid</t>
  </si>
  <si>
    <t>gene16580-v1.0-hybrid</t>
  </si>
  <si>
    <t>gene17182-v1.0-hybrid</t>
  </si>
  <si>
    <t>gene17482-v1.0-hybrid</t>
  </si>
  <si>
    <t>gene18082-v1.0-hybrid</t>
  </si>
  <si>
    <t>gene18382-v1.0-hybrid</t>
  </si>
  <si>
    <t>gene18682-v1.0-hybrid</t>
  </si>
  <si>
    <t>gene18982-v1.0-hybrid</t>
  </si>
  <si>
    <t>gene19282-v1.0-hybrid</t>
  </si>
  <si>
    <t>gene19582-v1.0-hybrid</t>
  </si>
  <si>
    <t>gene20182-v1.0-hybrid</t>
  </si>
  <si>
    <t>gene20483-v1.0-hybrid</t>
  </si>
  <si>
    <t>gene20783-v1.0-hybrid</t>
  </si>
  <si>
    <t>gene21083-v1.0-hybrid</t>
  </si>
  <si>
    <t>gene21684-v1.0-hybrid</t>
  </si>
  <si>
    <t>gene21984-v1.0-hybrid</t>
  </si>
  <si>
    <t>gene22585-v1.0-hybrid</t>
  </si>
  <si>
    <t>gene23188-v1.0-hybrid</t>
  </si>
  <si>
    <t>gene24088-v1.0-hybrid</t>
  </si>
  <si>
    <t>gene24691-v1.0-hybrid</t>
  </si>
  <si>
    <t>gene24993-v1.0-hybrid</t>
  </si>
  <si>
    <t>gene25293-v1.0-hybrid</t>
  </si>
  <si>
    <t>gene25593-v1.0-hybrid</t>
  </si>
  <si>
    <t>gene25893-v1.0-hybrid</t>
  </si>
  <si>
    <t>gene26193-v1.0-hybrid</t>
  </si>
  <si>
    <t>gene26493-v1.0-hybrid</t>
  </si>
  <si>
    <t>gene26794-v1.0-hybrid</t>
  </si>
  <si>
    <t>gene27394-v1.0-hybrid</t>
  </si>
  <si>
    <t>gene27994-v1.0-hybrid</t>
  </si>
  <si>
    <t>gene28294-v1.0-hybrid</t>
  </si>
  <si>
    <t>gene28594-v1.0-hybrid</t>
  </si>
  <si>
    <t>gene28894-v1.0-hybrid</t>
  </si>
  <si>
    <t>gene29194-v1.0-hybrid</t>
  </si>
  <si>
    <t>gene29494-v1.0-hybrid</t>
  </si>
  <si>
    <t>gene29795-v1.0-hybrid</t>
  </si>
  <si>
    <t>gene30096-v1.0-hybrid</t>
  </si>
  <si>
    <t>gene30396-v1.0-hybrid</t>
  </si>
  <si>
    <t>gene30696-v1.0-hybrid</t>
  </si>
  <si>
    <t>gene31296-v1.0-hybrid</t>
  </si>
  <si>
    <t>gene31596-v1.0-hybrid</t>
  </si>
  <si>
    <t>gene31896-v1.0-hybrid</t>
  </si>
  <si>
    <t>gene32196-v1.0-hybrid</t>
  </si>
  <si>
    <t>gene32496-v1.0-hybrid</t>
  </si>
  <si>
    <t>gene33961-v1.0-hybrid</t>
  </si>
  <si>
    <t>gene34261-v1.0-hybrid</t>
  </si>
  <si>
    <t>gene00273-v1.0-hybrid</t>
  </si>
  <si>
    <t>gene00577-v1.0-hybrid</t>
  </si>
  <si>
    <t>gene01478-v1.0-hybrid</t>
  </si>
  <si>
    <t>gene02078-v1.0-hybrid</t>
  </si>
  <si>
    <t>gene02378-v1.0-hybrid</t>
  </si>
  <si>
    <t>gene02678-v1.0-hybrid</t>
  </si>
  <si>
    <t>gene03066-v1.0-hybrid</t>
  </si>
  <si>
    <t>gene03366-v1.0-hybrid</t>
  </si>
  <si>
    <t>gene03666-v1.0-hybrid</t>
  </si>
  <si>
    <t>gene03966-v1.0-hybrid</t>
  </si>
  <si>
    <t>gene04266-v1.0-hybrid</t>
  </si>
  <si>
    <t>gene04566-v1.0-hybrid</t>
  </si>
  <si>
    <t>gene05166-v1.0-hybrid</t>
  </si>
  <si>
    <t>gene05467-v1.0-hybrid</t>
  </si>
  <si>
    <t>gene05767-v1.0-hybrid</t>
  </si>
  <si>
    <t>gene06067-v1.0-hybrid</t>
  </si>
  <si>
    <t>gene06367-v1.0-hybrid</t>
  </si>
  <si>
    <t>gene06667-v1.0-hybrid</t>
  </si>
  <si>
    <t>gene06967-v1.0-hybrid</t>
  </si>
  <si>
    <t>gene07267-v1.0-hybrid</t>
  </si>
  <si>
    <t>gene07567-v1.0-hybrid</t>
  </si>
  <si>
    <t>gene07868-v1.0-hybrid</t>
  </si>
  <si>
    <t>gene08168-v1.0-hybrid</t>
  </si>
  <si>
    <t>gene08468-v1.0-hybrid</t>
  </si>
  <si>
    <t>gene08768-v1.0-hybrid</t>
  </si>
  <si>
    <t>gene09068-v1.0-hybrid</t>
  </si>
  <si>
    <t>gene09368-v1.0-hybrid</t>
  </si>
  <si>
    <t>gene09668-v1.0-hybrid</t>
  </si>
  <si>
    <t>gene10269-v1.0-hybrid</t>
  </si>
  <si>
    <t>gene10870-v1.0-hybrid</t>
  </si>
  <si>
    <t>gene11171-v1.0-hybrid</t>
  </si>
  <si>
    <t>gene11471-v1.0-hybrid</t>
  </si>
  <si>
    <t>gene11771-v1.0-hybrid</t>
  </si>
  <si>
    <t>gene12371-v1.0-hybrid</t>
  </si>
  <si>
    <t>gene12671-v1.0-hybrid</t>
  </si>
  <si>
    <t>gene12971-v1.0-hybrid</t>
  </si>
  <si>
    <t>gene13272-v1.0-hybrid</t>
  </si>
  <si>
    <t>gene13572-v1.0-hybrid</t>
  </si>
  <si>
    <t>gene14173-v1.0-hybrid</t>
  </si>
  <si>
    <t>gene14474-v1.0-hybrid</t>
  </si>
  <si>
    <t>gene15077-v1.0-hybrid</t>
  </si>
  <si>
    <t>gene15379-v1.0-hybrid</t>
  </si>
  <si>
    <t>gene15980-v1.0-hybrid</t>
  </si>
  <si>
    <t>gene16281-v1.0-hybrid</t>
  </si>
  <si>
    <t>gene16581-v1.0-hybrid</t>
  </si>
  <si>
    <t>gene16882-v1.0-hybrid</t>
  </si>
  <si>
    <t>gene17183-v1.0-hybrid</t>
  </si>
  <si>
    <t>gene17483-v1.0-hybrid</t>
  </si>
  <si>
    <t>gene18083-v1.0-hybrid</t>
  </si>
  <si>
    <t>gene18383-v1.0-hybrid</t>
  </si>
  <si>
    <t>gene18683-v1.0-hybrid</t>
  </si>
  <si>
    <t>gene18983-v1.0-hybrid</t>
  </si>
  <si>
    <t>gene19283-v1.0-hybrid</t>
  </si>
  <si>
    <t>gene19583-v1.0-hybrid</t>
  </si>
  <si>
    <t>gene19883-v1.0-hybrid</t>
  </si>
  <si>
    <t>gene20183-v1.0-hybrid</t>
  </si>
  <si>
    <t>gene20484-v1.0-hybrid</t>
  </si>
  <si>
    <t>gene20784-v1.0-hybrid</t>
  </si>
  <si>
    <t>gene21084-v1.0-hybrid</t>
  </si>
  <si>
    <t>gene21685-v1.0-hybrid</t>
  </si>
  <si>
    <t>gene22286-v1.0-hybrid</t>
  </si>
  <si>
    <t>gene22887-v1.0-hybrid</t>
  </si>
  <si>
    <t>gene23189-v1.0-hybrid</t>
  </si>
  <si>
    <t>gene23489-v1.0-hybrid</t>
  </si>
  <si>
    <t>gene23789-v1.0-hybrid</t>
  </si>
  <si>
    <t>gene24089-v1.0-hybrid</t>
  </si>
  <si>
    <t>gene24391-v1.0-hybrid</t>
  </si>
  <si>
    <t>gene24692-v1.0-hybrid</t>
  </si>
  <si>
    <t>gene24994-v1.0-hybrid</t>
  </si>
  <si>
    <t>gene25294-v1.0-hybrid</t>
  </si>
  <si>
    <t>gene25594-v1.0-hybrid</t>
  </si>
  <si>
    <t>gene25894-v1.0-hybrid</t>
  </si>
  <si>
    <t>gene26194-v1.0-hybrid</t>
  </si>
  <si>
    <t>gene26494-v1.0-hybrid</t>
  </si>
  <si>
    <t>gene26795-v1.0-hybrid</t>
  </si>
  <si>
    <t>gene27395-v1.0-hybrid</t>
  </si>
  <si>
    <t>gene27995-v1.0-hybrid</t>
  </si>
  <si>
    <t>gene28295-v1.0-hybrid</t>
  </si>
  <si>
    <t>gene28595-v1.0-hybrid</t>
  </si>
  <si>
    <t>gene29195-v1.0-hybrid</t>
  </si>
  <si>
    <t>gene29495-v1.0-hybrid</t>
  </si>
  <si>
    <t>gene29796-v1.0-hybrid</t>
  </si>
  <si>
    <t>gene30097-v1.0-hybrid</t>
  </si>
  <si>
    <t>gene30397-v1.0-hybrid</t>
  </si>
  <si>
    <t>gene30997-v1.0-hybrid</t>
  </si>
  <si>
    <t>gene31297-v1.0-hybrid</t>
  </si>
  <si>
    <t>gene31597-v1.0-hybrid</t>
  </si>
  <si>
    <t>gene31897-v1.0-hybrid</t>
  </si>
  <si>
    <t>gene32197-v1.0-hybrid</t>
  </si>
  <si>
    <t>gene32823-v1.0-hybrid</t>
  </si>
  <si>
    <t>gene33220-v1.0-hybrid</t>
  </si>
  <si>
    <t>gene33962-v1.0-hybrid</t>
  </si>
  <si>
    <t>gene00274-v1.0-hybrid</t>
  </si>
  <si>
    <t>gene00578-v1.0-hybrid</t>
  </si>
  <si>
    <t>gene00878-v1.0-hybrid</t>
  </si>
  <si>
    <t>gene01178-v1.0-hybrid</t>
  </si>
  <si>
    <t>gene01479-v1.0-hybrid</t>
  </si>
  <si>
    <t>gene01779-v1.0-hybrid</t>
  </si>
  <si>
    <t>gene02079-v1.0-hybrid</t>
  </si>
  <si>
    <t>gene02679-v1.0-hybrid</t>
  </si>
  <si>
    <t>gene03067-v1.0-hybrid</t>
  </si>
  <si>
    <t>gene03367-v1.0-hybrid</t>
  </si>
  <si>
    <t>gene03967-v1.0-hybrid</t>
  </si>
  <si>
    <t>gene04567-v1.0-hybrid</t>
  </si>
  <si>
    <t>gene05167-v1.0-hybrid</t>
  </si>
  <si>
    <t>gene05768-v1.0-hybrid</t>
  </si>
  <si>
    <t>gene06068-v1.0-hybrid</t>
  </si>
  <si>
    <t>gene06368-v1.0-hybrid</t>
  </si>
  <si>
    <t>gene06668-v1.0-hybrid</t>
  </si>
  <si>
    <t>gene06968-v1.0-hybrid</t>
  </si>
  <si>
    <t>gene07268-v1.0-hybrid</t>
  </si>
  <si>
    <t>gene07568-v1.0-hybrid</t>
  </si>
  <si>
    <t>gene08169-v1.0-hybrid</t>
  </si>
  <si>
    <t>gene08469-v1.0-hybrid</t>
  </si>
  <si>
    <t>gene08769-v1.0-hybrid</t>
  </si>
  <si>
    <t>gene09069-v1.0-hybrid</t>
  </si>
  <si>
    <t>gene09369-v1.0-hybrid</t>
  </si>
  <si>
    <t>gene09669-v1.0-hybrid</t>
  </si>
  <si>
    <t>gene09970-v1.0-hybrid</t>
  </si>
  <si>
    <t>gene10270-v1.0-hybrid</t>
  </si>
  <si>
    <t>gene10571-v1.0-hybrid</t>
  </si>
  <si>
    <t>gene11172-v1.0-hybrid</t>
  </si>
  <si>
    <t>gene11472-v1.0-hybrid</t>
  </si>
  <si>
    <t>gene12072-v1.0-hybrid</t>
  </si>
  <si>
    <t>gene12672-v1.0-hybrid</t>
  </si>
  <si>
    <t>gene12972-v1.0-hybrid</t>
  </si>
  <si>
    <t>gene13273-v1.0-hybrid</t>
  </si>
  <si>
    <t>gene13573-v1.0-hybrid</t>
  </si>
  <si>
    <t>gene13873-v1.0-hybrid</t>
  </si>
  <si>
    <t>gene14174-v1.0-hybrid</t>
  </si>
  <si>
    <t>gene15981-v1.0-hybrid</t>
  </si>
  <si>
    <t>gene16582-v1.0-hybrid</t>
  </si>
  <si>
    <t>gene16883-v1.0-hybrid</t>
  </si>
  <si>
    <t>gene17484-v1.0-hybrid</t>
  </si>
  <si>
    <t>gene17784-v1.0-hybrid</t>
  </si>
  <si>
    <t>gene18084-v1.0-hybrid</t>
  </si>
  <si>
    <t>gene18384-v1.0-hybrid</t>
  </si>
  <si>
    <t>gene18684-v1.0-hybrid</t>
  </si>
  <si>
    <t>gene19284-v1.0-hybrid</t>
  </si>
  <si>
    <t>gene19884-v1.0-hybrid</t>
  </si>
  <si>
    <t>gene20485-v1.0-hybrid</t>
  </si>
  <si>
    <t>gene20785-v1.0-hybrid</t>
  </si>
  <si>
    <t>gene21085-v1.0-hybrid</t>
  </si>
  <si>
    <t>gene21686-v1.0-hybrid</t>
  </si>
  <si>
    <t>gene22287-v1.0-hybrid</t>
  </si>
  <si>
    <t>gene22587-v1.0-hybrid</t>
  </si>
  <si>
    <t>gene22888-v1.0-hybrid</t>
  </si>
  <si>
    <t>gene23190-v1.0-hybrid</t>
  </si>
  <si>
    <t>gene23790-v1.0-hybrid</t>
  </si>
  <si>
    <t>gene24090-v1.0-hybrid</t>
  </si>
  <si>
    <t>gene24392-v1.0-hybrid</t>
  </si>
  <si>
    <t>gene24693-v1.0-hybrid</t>
  </si>
  <si>
    <t>gene25295-v1.0-hybrid</t>
  </si>
  <si>
    <t>gene26495-v1.0-hybrid</t>
  </si>
  <si>
    <t>gene27096-v1.0-hybrid</t>
  </si>
  <si>
    <t>gene27696-v1.0-hybrid</t>
  </si>
  <si>
    <t>gene28596-v1.0-hybrid</t>
  </si>
  <si>
    <t>gene28896-v1.0-hybrid</t>
  </si>
  <si>
    <t>gene29496-v1.0-hybrid</t>
  </si>
  <si>
    <t>gene29797-v1.0-hybrid</t>
  </si>
  <si>
    <t>gene30098-v1.0-hybrid</t>
  </si>
  <si>
    <t>gene30398-v1.0-hybrid</t>
  </si>
  <si>
    <t>gene30698-v1.0-hybrid</t>
  </si>
  <si>
    <t>gene30998-v1.0-hybrid</t>
  </si>
  <si>
    <t>gene31598-v1.0-hybrid</t>
  </si>
  <si>
    <t>gene31898-v1.0-hybrid</t>
  </si>
  <si>
    <t>gene32198-v1.0-hybrid</t>
  </si>
  <si>
    <t>gene32498-v1.0-hybrid</t>
  </si>
  <si>
    <t>gene34563-v1.0-hybrid</t>
  </si>
  <si>
    <t>gene00275-v1.0-hybrid</t>
  </si>
  <si>
    <t>gene00579-v1.0-hybrid</t>
  </si>
  <si>
    <t>gene00879-v1.0-hybrid</t>
  </si>
  <si>
    <t>gene01780-v1.0-hybrid</t>
  </si>
  <si>
    <t>gene02080-v1.0-hybrid</t>
  </si>
  <si>
    <t>gene02380-v1.0-hybrid</t>
  </si>
  <si>
    <t>gene02680-v1.0-hybrid</t>
  </si>
  <si>
    <t>gene03068-v1.0-hybrid</t>
  </si>
  <si>
    <t>gene03668-v1.0-hybrid</t>
  </si>
  <si>
    <t>gene04268-v1.0-hybrid</t>
  </si>
  <si>
    <t>gene04568-v1.0-hybrid</t>
  </si>
  <si>
    <t>gene04868-v1.0-hybrid</t>
  </si>
  <si>
    <t>gene05168-v1.0-hybrid</t>
  </si>
  <si>
    <t>gene06069-v1.0-hybrid</t>
  </si>
  <si>
    <t>gene06369-v1.0-hybrid</t>
  </si>
  <si>
    <t>gene06669-v1.0-hybrid</t>
  </si>
  <si>
    <t>gene06969-v1.0-hybrid</t>
  </si>
  <si>
    <t>gene07269-v1.0-hybrid</t>
  </si>
  <si>
    <t>gene07870-v1.0-hybrid</t>
  </si>
  <si>
    <t>gene08470-v1.0-hybrid</t>
  </si>
  <si>
    <t>gene08770-v1.0-hybrid</t>
  </si>
  <si>
    <t>gene09070-v1.0-hybrid</t>
  </si>
  <si>
    <t>gene09370-v1.0-hybrid</t>
  </si>
  <si>
    <t>gene09670-v1.0-hybrid</t>
  </si>
  <si>
    <t>gene09971-v1.0-hybrid</t>
  </si>
  <si>
    <t>gene10271-v1.0-hybrid</t>
  </si>
  <si>
    <t>gene10572-v1.0-hybrid</t>
  </si>
  <si>
    <t>gene10872-v1.0-hybrid</t>
  </si>
  <si>
    <t>gene11173-v1.0-hybrid</t>
  </si>
  <si>
    <t>gene11473-v1.0-hybrid</t>
  </si>
  <si>
    <t>gene12073-v1.0-hybrid</t>
  </si>
  <si>
    <t>gene12373-v1.0-hybrid</t>
  </si>
  <si>
    <t>gene12673-v1.0-hybrid</t>
  </si>
  <si>
    <t>gene12973-v1.0-hybrid</t>
  </si>
  <si>
    <t>gene13274-v1.0-hybrid</t>
  </si>
  <si>
    <t>gene13574-v1.0-hybrid</t>
  </si>
  <si>
    <t>gene13874-v1.0-hybrid</t>
  </si>
  <si>
    <t>gene14778-v1.0-hybrid</t>
  </si>
  <si>
    <t>gene15079-v1.0-hybrid</t>
  </si>
  <si>
    <t>gene15381-v1.0-hybrid</t>
  </si>
  <si>
    <t>gene15682-v1.0-hybrid</t>
  </si>
  <si>
    <t>gene16283-v1.0-hybrid</t>
  </si>
  <si>
    <t>gene16583-v1.0-hybrid</t>
  </si>
  <si>
    <t>gene17185-v1.0-hybrid</t>
  </si>
  <si>
    <t>gene17485-v1.0-hybrid</t>
  </si>
  <si>
    <t>gene17785-v1.0-hybrid</t>
  </si>
  <si>
    <t>gene18385-v1.0-hybrid</t>
  </si>
  <si>
    <t>gene18685-v1.0-hybrid</t>
  </si>
  <si>
    <t>gene18985-v1.0-hybrid</t>
  </si>
  <si>
    <t>gene19585-v1.0-hybrid</t>
  </si>
  <si>
    <t>gene19885-v1.0-hybrid</t>
  </si>
  <si>
    <t>gene20486-v1.0-hybrid</t>
  </si>
  <si>
    <t>gene20786-v1.0-hybrid</t>
  </si>
  <si>
    <t>gene21386-v1.0-hybrid</t>
  </si>
  <si>
    <t>gene21687-v1.0-hybrid</t>
  </si>
  <si>
    <t>gene21987-v1.0-hybrid</t>
  </si>
  <si>
    <t>gene22889-v1.0-hybrid</t>
  </si>
  <si>
    <t>gene23191-v1.0-hybrid</t>
  </si>
  <si>
    <t>gene23491-v1.0-hybrid</t>
  </si>
  <si>
    <t>gene24091-v1.0-hybrid</t>
  </si>
  <si>
    <t>gene24393-v1.0-hybrid</t>
  </si>
  <si>
    <t>gene24996-v1.0-hybrid</t>
  </si>
  <si>
    <t>gene25596-v1.0-hybrid</t>
  </si>
  <si>
    <t>gene25896-v1.0-hybrid</t>
  </si>
  <si>
    <t>gene26496-v1.0-hybrid</t>
  </si>
  <si>
    <t>gene27097-v1.0-hybrid</t>
  </si>
  <si>
    <t>gene27697-v1.0-hybrid</t>
  </si>
  <si>
    <t>gene28597-v1.0-hybrid</t>
  </si>
  <si>
    <t>gene28897-v1.0-hybrid</t>
  </si>
  <si>
    <t>gene29497-v1.0-hybrid</t>
  </si>
  <si>
    <t>gene29798-v1.0-hybrid</t>
  </si>
  <si>
    <t>gene30099-v1.0-hybrid</t>
  </si>
  <si>
    <t>gene30399-v1.0-hybrid</t>
  </si>
  <si>
    <t>gene30699-v1.0-hybrid</t>
  </si>
  <si>
    <t>gene30999-v1.0-hybrid</t>
  </si>
  <si>
    <t>gene31299-v1.0-hybrid</t>
  </si>
  <si>
    <t>gene31599-v1.0-hybrid</t>
  </si>
  <si>
    <t>gene31899-v1.0-hybrid</t>
  </si>
  <si>
    <t>gene32199-v1.0-hybrid</t>
  </si>
  <si>
    <t>gene32499-v1.0-hybrid</t>
  </si>
  <si>
    <t>gene33619-v1.0-hybrid</t>
  </si>
  <si>
    <t>gene34864-v1.0-hybrid</t>
  </si>
  <si>
    <t>gene00580-v1.0-hybrid</t>
  </si>
  <si>
    <t>gene01180-v1.0-hybrid</t>
  </si>
  <si>
    <t>gene01481-v1.0-hybrid</t>
  </si>
  <si>
    <t>gene01781-v1.0-hybrid</t>
  </si>
  <si>
    <t>gene02381-v1.0-hybrid</t>
  </si>
  <si>
    <t>gene02681-v1.0-hybrid</t>
  </si>
  <si>
    <t>gene03069-v1.0-hybrid</t>
  </si>
  <si>
    <t>gene03369-v1.0-hybrid</t>
  </si>
  <si>
    <t>gene03669-v1.0-hybrid</t>
  </si>
  <si>
    <t>gene03969-v1.0-hybrid</t>
  </si>
  <si>
    <t>gene04269-v1.0-hybrid</t>
  </si>
  <si>
    <t>gene04869-v1.0-hybrid</t>
  </si>
  <si>
    <t>gene05169-v1.0-hybrid</t>
  </si>
  <si>
    <t>gene05770-v1.0-hybrid</t>
  </si>
  <si>
    <t>gene06370-v1.0-hybrid</t>
  </si>
  <si>
    <t>gene06970-v1.0-hybrid</t>
  </si>
  <si>
    <t>gene07270-v1.0-hybrid</t>
  </si>
  <si>
    <t>gene07871-v1.0-hybrid</t>
  </si>
  <si>
    <t>gene08171-v1.0-hybrid</t>
  </si>
  <si>
    <t>gene08471-v1.0-hybrid</t>
  </si>
  <si>
    <t>gene08771-v1.0-hybrid</t>
  </si>
  <si>
    <t>gene09071-v1.0-hybrid</t>
  </si>
  <si>
    <t>gene09371-v1.0-hybrid</t>
  </si>
  <si>
    <t>gene09671-v1.0-hybrid</t>
  </si>
  <si>
    <t>gene09972-v1.0-hybrid</t>
  </si>
  <si>
    <t>gene10272-v1.0-hybrid</t>
  </si>
  <si>
    <t>gene10573-v1.0-hybrid</t>
  </si>
  <si>
    <t>gene11174-v1.0-hybrid</t>
  </si>
  <si>
    <t>gene11474-v1.0-hybrid</t>
  </si>
  <si>
    <t>gene11774-v1.0-hybrid</t>
  </si>
  <si>
    <t>gene12074-v1.0-hybrid</t>
  </si>
  <si>
    <t>gene12674-v1.0-hybrid</t>
  </si>
  <si>
    <t>gene12974-v1.0-hybrid</t>
  </si>
  <si>
    <t>gene13275-v1.0-hybrid</t>
  </si>
  <si>
    <t>gene13875-v1.0-hybrid</t>
  </si>
  <si>
    <t>gene14477-v1.0-hybrid</t>
  </si>
  <si>
    <t>gene14779-v1.0-hybrid</t>
  </si>
  <si>
    <t>gene15080-v1.0-hybrid</t>
  </si>
  <si>
    <t>gene15382-v1.0-hybrid</t>
  </si>
  <si>
    <t>gene15683-v1.0-hybrid</t>
  </si>
  <si>
    <t>gene16584-v1.0-hybrid</t>
  </si>
  <si>
    <t>gene17486-v1.0-hybrid</t>
  </si>
  <si>
    <t>gene17786-v1.0-hybrid</t>
  </si>
  <si>
    <t>gene18386-v1.0-hybrid</t>
  </si>
  <si>
    <t>gene18686-v1.0-hybrid</t>
  </si>
  <si>
    <t>gene18986-v1.0-hybrid</t>
  </si>
  <si>
    <t>gene19286-v1.0-hybrid</t>
  </si>
  <si>
    <t>gene19886-v1.0-hybrid</t>
  </si>
  <si>
    <t>gene20487-v1.0-hybrid</t>
  </si>
  <si>
    <t>gene20787-v1.0-hybrid</t>
  </si>
  <si>
    <t>gene21387-v1.0-hybrid</t>
  </si>
  <si>
    <t>gene21688-v1.0-hybrid</t>
  </si>
  <si>
    <t>gene21988-v1.0-hybrid</t>
  </si>
  <si>
    <t>gene22289-v1.0-hybrid</t>
  </si>
  <si>
    <t>gene22589-v1.0-hybrid</t>
  </si>
  <si>
    <t>gene22890-v1.0-hybrid</t>
  </si>
  <si>
    <t>gene23792-v1.0-hybrid</t>
  </si>
  <si>
    <t>gene24092-v1.0-hybrid</t>
  </si>
  <si>
    <t>gene24695-v1.0-hybrid</t>
  </si>
  <si>
    <t>gene24997-v1.0-hybrid</t>
  </si>
  <si>
    <t>gene25297-v1.0-hybrid</t>
  </si>
  <si>
    <t>gene25597-v1.0-hybrid</t>
  </si>
  <si>
    <t>gene25897-v1.0-hybrid</t>
  </si>
  <si>
    <t>gene26197-v1.0-hybrid</t>
  </si>
  <si>
    <t>gene26497-v1.0-hybrid</t>
  </si>
  <si>
    <t>gene26798-v1.0-hybrid</t>
  </si>
  <si>
    <t>gene27098-v1.0-hybrid</t>
  </si>
  <si>
    <t>gene27998-v1.0-hybrid</t>
  </si>
  <si>
    <t>gene28598-v1.0-hybrid</t>
  </si>
  <si>
    <t>gene28898-v1.0-hybrid</t>
  </si>
  <si>
    <t>gene29198-v1.0-hybrid</t>
  </si>
  <si>
    <t>gene29498-v1.0-hybrid</t>
  </si>
  <si>
    <t>gene29799-v1.0-hybrid</t>
  </si>
  <si>
    <t>gene30100-v1.0-hybrid</t>
  </si>
  <si>
    <t>gene30400-v1.0-hybrid</t>
  </si>
  <si>
    <t>gene30700-v1.0-hybrid</t>
  </si>
  <si>
    <t>gene31000-v1.0-hybrid</t>
  </si>
  <si>
    <t>gene31600-v1.0-hybrid</t>
  </si>
  <si>
    <t>gene31900-v1.0-hybrid</t>
  </si>
  <si>
    <t>gene32200-v1.0-hybrid</t>
  </si>
  <si>
    <t>gene32500-v1.0-hybrid</t>
  </si>
  <si>
    <t>gene34265-v1.0-hybrid</t>
  </si>
  <si>
    <t>gene34565-v1.0-hybrid</t>
  </si>
  <si>
    <t>gene34865-v1.0-hybrid</t>
  </si>
  <si>
    <t>gene00277-v1.0-hybrid</t>
  </si>
  <si>
    <t>gene00581-v1.0-hybrid</t>
  </si>
  <si>
    <t>gene00881-v1.0-hybrid</t>
  </si>
  <si>
    <t>gene01181-v1.0-hybrid</t>
  </si>
  <si>
    <t>gene01482-v1.0-hybrid</t>
  </si>
  <si>
    <t>gene01782-v1.0-hybrid</t>
  </si>
  <si>
    <t>gene02082-v1.0-hybrid</t>
  </si>
  <si>
    <t>gene02382-v1.0-hybrid</t>
  </si>
  <si>
    <t>gene02682-v1.0-hybrid</t>
  </si>
  <si>
    <t>gene03070-v1.0-hybrid</t>
  </si>
  <si>
    <t>gene03970-v1.0-hybrid</t>
  </si>
  <si>
    <t>gene04570-v1.0-hybrid</t>
  </si>
  <si>
    <t>gene04870-v1.0-hybrid</t>
  </si>
  <si>
    <t>gene05771-v1.0-hybrid</t>
  </si>
  <si>
    <t>gene06371-v1.0-hybrid</t>
  </si>
  <si>
    <t>gene06671-v1.0-hybrid</t>
  </si>
  <si>
    <t>gene07271-v1.0-hybrid</t>
  </si>
  <si>
    <t>gene07571-v1.0-hybrid</t>
  </si>
  <si>
    <t>gene07872-v1.0-hybrid</t>
  </si>
  <si>
    <t>gene08172-v1.0-hybrid</t>
  </si>
  <si>
    <t>gene08472-v1.0-hybrid</t>
  </si>
  <si>
    <t>gene08772-v1.0-hybrid</t>
  </si>
  <si>
    <t>gene09072-v1.0-hybrid</t>
  </si>
  <si>
    <t>gene09372-v1.0-hybrid</t>
  </si>
  <si>
    <t>gene09672-v1.0-hybrid</t>
  </si>
  <si>
    <t>gene10273-v1.0-hybrid</t>
  </si>
  <si>
    <t>gene10574-v1.0-hybrid</t>
  </si>
  <si>
    <t>gene11475-v1.0-hybrid</t>
  </si>
  <si>
    <t>gene12075-v1.0-hybrid</t>
  </si>
  <si>
    <t>gene12375-v1.0-hybrid</t>
  </si>
  <si>
    <t>gene12975-v1.0-hybrid</t>
  </si>
  <si>
    <t>gene13276-v1.0-hybrid</t>
  </si>
  <si>
    <t>gene13576-v1.0-hybrid</t>
  </si>
  <si>
    <t>gene13876-v1.0-hybrid</t>
  </si>
  <si>
    <t>gene14178-v1.0-hybrid</t>
  </si>
  <si>
    <t>gene14780-v1.0-hybrid</t>
  </si>
  <si>
    <t>gene15081-v1.0-hybrid</t>
  </si>
  <si>
    <t>gene15383-v1.0-hybrid</t>
  </si>
  <si>
    <t>gene16285-v1.0-hybrid</t>
  </si>
  <si>
    <t>gene16585-v1.0-hybrid</t>
  </si>
  <si>
    <t>gene16886-v1.0-hybrid</t>
  </si>
  <si>
    <t>gene17187-v1.0-hybrid</t>
  </si>
  <si>
    <t>gene17487-v1.0-hybrid</t>
  </si>
  <si>
    <t>gene17787-v1.0-hybrid</t>
  </si>
  <si>
    <t>gene18087-v1.0-hybrid</t>
  </si>
  <si>
    <t>gene18387-v1.0-hybrid</t>
  </si>
  <si>
    <t>gene18687-v1.0-hybrid</t>
  </si>
  <si>
    <t>gene18987-v1.0-hybrid</t>
  </si>
  <si>
    <t>gene19287-v1.0-hybrid</t>
  </si>
  <si>
    <t>gene19587-v1.0-hybrid</t>
  </si>
  <si>
    <t>gene19887-v1.0-hybrid</t>
  </si>
  <si>
    <t>gene20187-v1.0-hybrid</t>
  </si>
  <si>
    <t>gene20788-v1.0-hybrid</t>
  </si>
  <si>
    <t>gene21088-v1.0-hybrid</t>
  </si>
  <si>
    <t>gene21388-v1.0-hybrid</t>
  </si>
  <si>
    <t>gene21689-v1.0-hybrid</t>
  </si>
  <si>
    <t>gene21989-v1.0-hybrid</t>
  </si>
  <si>
    <t>gene22590-v1.0-hybrid</t>
  </si>
  <si>
    <t>gene22891-v1.0-hybrid</t>
  </si>
  <si>
    <t>gene23193-v1.0-hybrid</t>
  </si>
  <si>
    <t>gene23493-v1.0-hybrid</t>
  </si>
  <si>
    <t>gene23793-v1.0-hybrid</t>
  </si>
  <si>
    <t>gene24093-v1.0-hybrid</t>
  </si>
  <si>
    <t>gene24696-v1.0-hybrid</t>
  </si>
  <si>
    <t>gene25598-v1.0-hybrid</t>
  </si>
  <si>
    <t>gene25898-v1.0-hybrid</t>
  </si>
  <si>
    <t>gene26198-v1.0-hybrid</t>
  </si>
  <si>
    <t>gene26498-v1.0-hybrid</t>
  </si>
  <si>
    <t>gene27099-v1.0-hybrid</t>
  </si>
  <si>
    <t>gene27699-v1.0-hybrid</t>
  </si>
  <si>
    <t>gene27999-v1.0-hybrid</t>
  </si>
  <si>
    <t>gene28299-v1.0-hybrid</t>
  </si>
  <si>
    <t>gene28599-v1.0-hybrid</t>
  </si>
  <si>
    <t>gene28899-v1.0-hybrid</t>
  </si>
  <si>
    <t>gene29199-v1.0-hybrid</t>
  </si>
  <si>
    <t>gene29499-v1.0-hybrid</t>
  </si>
  <si>
    <t>gene29800-v1.0-hybrid</t>
  </si>
  <si>
    <t>gene30101-v1.0-hybrid</t>
  </si>
  <si>
    <t>gene30401-v1.0-hybrid</t>
  </si>
  <si>
    <t>gene30701-v1.0-hybrid</t>
  </si>
  <si>
    <t>gene31001-v1.0-hybrid</t>
  </si>
  <si>
    <t>gene31301-v1.0-hybrid</t>
  </si>
  <si>
    <t>gene31901-v1.0-hybrid</t>
  </si>
  <si>
    <t>gene32201-v1.0-hybrid</t>
  </si>
  <si>
    <t>gene32501-v1.0-hybrid</t>
  </si>
  <si>
    <t>gene32828-v1.0-hybrid</t>
  </si>
  <si>
    <t>gene33966-v1.0-hybrid</t>
  </si>
  <si>
    <t>gene34566-v1.0-hybrid</t>
  </si>
  <si>
    <t>gene34866-v1.0-hybrid</t>
  </si>
  <si>
    <t>gene00278-v1.0-hybrid</t>
  </si>
  <si>
    <t>gene00582-v1.0-hybrid</t>
  </si>
  <si>
    <t>gene00882-v1.0-hybrid</t>
  </si>
  <si>
    <t>gene01182-v1.0-hybrid</t>
  </si>
  <si>
    <t>gene01483-v1.0-hybrid</t>
  </si>
  <si>
    <t>gene01783-v1.0-hybrid</t>
  </si>
  <si>
    <t>gene02083-v1.0-hybrid</t>
  </si>
  <si>
    <t>gene02383-v1.0-hybrid</t>
  </si>
  <si>
    <t>gene02683-v1.0-hybrid</t>
  </si>
  <si>
    <t>gene03071-v1.0-hybrid</t>
  </si>
  <si>
    <t>gene04271-v1.0-hybrid</t>
  </si>
  <si>
    <t>gene04871-v1.0-hybrid</t>
  </si>
  <si>
    <t>gene06072-v1.0-hybrid</t>
  </si>
  <si>
    <t>gene06372-v1.0-hybrid</t>
  </si>
  <si>
    <t>gene06972-v1.0-hybrid</t>
  </si>
  <si>
    <t>gene07272-v1.0-hybrid</t>
  </si>
  <si>
    <t>gene07572-v1.0-hybrid</t>
  </si>
  <si>
    <t>gene07873-v1.0-hybrid</t>
  </si>
  <si>
    <t>gene08173-v1.0-hybrid</t>
  </si>
  <si>
    <t>gene08473-v1.0-hybrid</t>
  </si>
  <si>
    <t>gene08773-v1.0-hybrid</t>
  </si>
  <si>
    <t>gene09073-v1.0-hybrid</t>
  </si>
  <si>
    <t>gene09373-v1.0-hybrid</t>
  </si>
  <si>
    <t>gene09673-v1.0-hybrid</t>
  </si>
  <si>
    <t>gene10274-v1.0-hybrid</t>
  </si>
  <si>
    <t>gene10575-v1.0-hybrid</t>
  </si>
  <si>
    <t>gene10875-v1.0-hybrid</t>
  </si>
  <si>
    <t>gene11176-v1.0-hybrid</t>
  </si>
  <si>
    <t>gene11476-v1.0-hybrid</t>
  </si>
  <si>
    <t>gene11776-v1.0-hybrid</t>
  </si>
  <si>
    <t>gene12076-v1.0-hybrid</t>
  </si>
  <si>
    <t>gene12376-v1.0-hybrid</t>
  </si>
  <si>
    <t>gene12676-v1.0-hybrid</t>
  </si>
  <si>
    <t>gene12976-v1.0-hybrid</t>
  </si>
  <si>
    <t>gene13277-v1.0-hybrid</t>
  </si>
  <si>
    <t>gene13577-v1.0-hybrid</t>
  </si>
  <si>
    <t>gene13877-v1.0-hybrid</t>
  </si>
  <si>
    <t>gene14179-v1.0-hybrid</t>
  </si>
  <si>
    <t>gene14479-v1.0-hybrid</t>
  </si>
  <si>
    <t>gene15082-v1.0-hybrid</t>
  </si>
  <si>
    <t>gene15384-v1.0-hybrid</t>
  </si>
  <si>
    <t>gene15685-v1.0-hybrid</t>
  </si>
  <si>
    <t>gene15985-v1.0-hybrid</t>
  </si>
  <si>
    <t>gene17188-v1.0-hybrid</t>
  </si>
  <si>
    <t>gene17488-v1.0-hybrid</t>
  </si>
  <si>
    <t>gene17788-v1.0-hybrid</t>
  </si>
  <si>
    <t>gene18088-v1.0-hybrid</t>
  </si>
  <si>
    <t>gene18388-v1.0-hybrid</t>
  </si>
  <si>
    <t>gene18988-v1.0-hybrid</t>
  </si>
  <si>
    <t>gene19288-v1.0-hybrid</t>
  </si>
  <si>
    <t>gene19588-v1.0-hybrid</t>
  </si>
  <si>
    <t>gene19888-v1.0-hybrid</t>
  </si>
  <si>
    <t>gene20188-v1.0-hybrid</t>
  </si>
  <si>
    <t>gene20489-v1.0-hybrid</t>
  </si>
  <si>
    <t>gene20789-v1.0-hybrid</t>
  </si>
  <si>
    <t>gene21089-v1.0-hybrid</t>
  </si>
  <si>
    <t>gene21389-v1.0-hybrid</t>
  </si>
  <si>
    <t>gene21690-v1.0-hybrid</t>
  </si>
  <si>
    <t>gene21990-v1.0-hybrid</t>
  </si>
  <si>
    <t>gene22591-v1.0-hybrid</t>
  </si>
  <si>
    <t>gene22892-v1.0-hybrid</t>
  </si>
  <si>
    <t>gene23194-v1.0-hybrid</t>
  </si>
  <si>
    <t>gene23794-v1.0-hybrid</t>
  </si>
  <si>
    <t>gene24094-v1.0-hybrid</t>
  </si>
  <si>
    <t>gene24999-v1.0-hybrid</t>
  </si>
  <si>
    <t>gene25599-v1.0-hybrid</t>
  </si>
  <si>
    <t>gene25899-v1.0-hybrid</t>
  </si>
  <si>
    <t>gene26199-v1.0-hybrid</t>
  </si>
  <si>
    <t>gene26499-v1.0-hybrid</t>
  </si>
  <si>
    <t>gene27100-v1.0-hybrid</t>
  </si>
  <si>
    <t>gene27700-v1.0-hybrid</t>
  </si>
  <si>
    <t>gene28000-v1.0-hybrid</t>
  </si>
  <si>
    <t>gene28300-v1.0-hybrid</t>
  </si>
  <si>
    <t>gene29200-v1.0-hybrid</t>
  </si>
  <si>
    <t>gene29500-v1.0-hybrid</t>
  </si>
  <si>
    <t>gene30102-v1.0-hybrid</t>
  </si>
  <si>
    <t>gene30402-v1.0-hybrid</t>
  </si>
  <si>
    <t>gene30702-v1.0-hybrid</t>
  </si>
  <si>
    <t>gene31002-v1.0-hybrid</t>
  </si>
  <si>
    <t>gene31902-v1.0-hybrid</t>
  </si>
  <si>
    <t>gene32202-v1.0-hybrid</t>
  </si>
  <si>
    <t>gene32502-v1.0-hybrid</t>
  </si>
  <si>
    <t>gene33622-v1.0-hybrid</t>
  </si>
  <si>
    <t>gene34267-v1.0-hybrid</t>
  </si>
  <si>
    <t>gene35167-v1.0-hybrid</t>
  </si>
  <si>
    <t>gene00279-v1.0-hybrid</t>
  </si>
  <si>
    <t>gene00583-v1.0-hybrid</t>
  </si>
  <si>
    <t>gene00883-v1.0-hybrid</t>
  </si>
  <si>
    <t>gene01183-v1.0-hybrid</t>
  </si>
  <si>
    <t>gene01484-v1.0-hybrid</t>
  </si>
  <si>
    <t>gene02084-v1.0-hybrid</t>
  </si>
  <si>
    <t>gene02384-v1.0-hybrid</t>
  </si>
  <si>
    <t>gene02684-v1.0-hybrid</t>
  </si>
  <si>
    <t>gene03372-v1.0-hybrid</t>
  </si>
  <si>
    <t>gene04272-v1.0-hybrid</t>
  </si>
  <si>
    <t>gene04872-v1.0-hybrid</t>
  </si>
  <si>
    <t>gene05172-v1.0-hybrid</t>
  </si>
  <si>
    <t>gene05473-v1.0-hybrid</t>
  </si>
  <si>
    <t>gene06073-v1.0-hybrid</t>
  </si>
  <si>
    <t>gene06373-v1.0-hybrid</t>
  </si>
  <si>
    <t>gene06973-v1.0-hybrid</t>
  </si>
  <si>
    <t>gene07273-v1.0-hybrid</t>
  </si>
  <si>
    <t>gene07573-v1.0-hybrid</t>
  </si>
  <si>
    <t>gene07874-v1.0-hybrid</t>
  </si>
  <si>
    <t>gene08474-v1.0-hybrid</t>
  </si>
  <si>
    <t>gene08774-v1.0-hybrid</t>
  </si>
  <si>
    <t>gene09074-v1.0-hybrid</t>
  </si>
  <si>
    <t>gene09674-v1.0-hybrid</t>
  </si>
  <si>
    <t>gene09975-v1.0-hybrid</t>
  </si>
  <si>
    <t>gene10275-v1.0-hybrid</t>
  </si>
  <si>
    <t>gene10576-v1.0-hybrid</t>
  </si>
  <si>
    <t>gene11177-v1.0-hybrid</t>
  </si>
  <si>
    <t>gene11477-v1.0-hybrid</t>
  </si>
  <si>
    <t>gene12077-v1.0-hybrid</t>
  </si>
  <si>
    <t>gene12377-v1.0-hybrid</t>
  </si>
  <si>
    <t>gene12977-v1.0-hybrid</t>
  </si>
  <si>
    <t>gene13278-v1.0-hybrid</t>
  </si>
  <si>
    <t>gene13578-v1.0-hybrid</t>
  </si>
  <si>
    <t>gene13878-v1.0-hybrid</t>
  </si>
  <si>
    <t>gene14480-v1.0-hybrid</t>
  </si>
  <si>
    <t>gene14782-v1.0-hybrid</t>
  </si>
  <si>
    <t>gene15385-v1.0-hybrid</t>
  </si>
  <si>
    <t>gene15686-v1.0-hybrid</t>
  </si>
  <si>
    <t>gene15986-v1.0-hybrid</t>
  </si>
  <si>
    <t>gene16287-v1.0-hybrid</t>
  </si>
  <si>
    <t>gene16888-v1.0-hybrid</t>
  </si>
  <si>
    <t>gene17189-v1.0-hybrid</t>
  </si>
  <si>
    <t>gene17489-v1.0-hybrid</t>
  </si>
  <si>
    <t>gene17789-v1.0-hybrid</t>
  </si>
  <si>
    <t>gene18089-v1.0-hybrid</t>
  </si>
  <si>
    <t>gene18389-v1.0-hybrid</t>
  </si>
  <si>
    <t>gene18689-v1.0-hybrid</t>
  </si>
  <si>
    <t>gene19289-v1.0-hybrid</t>
  </si>
  <si>
    <t>gene19589-v1.0-hybrid</t>
  </si>
  <si>
    <t>gene19889-v1.0-hybrid</t>
  </si>
  <si>
    <t>gene20189-v1.0-hybrid</t>
  </si>
  <si>
    <t>gene20490-v1.0-hybrid</t>
  </si>
  <si>
    <t>gene20790-v1.0-hybrid</t>
  </si>
  <si>
    <t>gene21090-v1.0-hybrid</t>
  </si>
  <si>
    <t>gene21390-v1.0-hybrid</t>
  </si>
  <si>
    <t>gene22292-v1.0-hybrid</t>
  </si>
  <si>
    <t>gene22592-v1.0-hybrid</t>
  </si>
  <si>
    <t>gene22893-v1.0-hybrid</t>
  </si>
  <si>
    <t>gene23195-v1.0-hybrid</t>
  </si>
  <si>
    <t>gene23495-v1.0-hybrid</t>
  </si>
  <si>
    <t>gene23795-v1.0-hybrid</t>
  </si>
  <si>
    <t>gene24698-v1.0-hybrid</t>
  </si>
  <si>
    <t>gene25300-v1.0-hybrid</t>
  </si>
  <si>
    <t>gene25600-v1.0-hybrid</t>
  </si>
  <si>
    <t>gene25900-v1.0-hybrid</t>
  </si>
  <si>
    <t>gene26200-v1.0-hybrid</t>
  </si>
  <si>
    <t>gene26500-v1.0-hybrid</t>
  </si>
  <si>
    <t>gene26801-v1.0-hybrid</t>
  </si>
  <si>
    <t>gene27101-v1.0-hybrid</t>
  </si>
  <si>
    <t>gene27701-v1.0-hybrid</t>
  </si>
  <si>
    <t>gene28001-v1.0-hybrid</t>
  </si>
  <si>
    <t>gene28301-v1.0-hybrid</t>
  </si>
  <si>
    <t>gene28601-v1.0-hybrid</t>
  </si>
  <si>
    <t>gene29201-v1.0-hybrid</t>
  </si>
  <si>
    <t>gene29501-v1.0-hybrid</t>
  </si>
  <si>
    <t>gene29802-v1.0-hybrid</t>
  </si>
  <si>
    <t>gene30103-v1.0-hybrid</t>
  </si>
  <si>
    <t>gene30403-v1.0-hybrid</t>
  </si>
  <si>
    <t>gene30703-v1.0-hybrid</t>
  </si>
  <si>
    <t>gene31003-v1.0-hybrid</t>
  </si>
  <si>
    <t>gene31603-v1.0-hybrid</t>
  </si>
  <si>
    <t>gene31903-v1.0-hybrid</t>
  </si>
  <si>
    <t>gene32203-v1.0-hybrid</t>
  </si>
  <si>
    <t>gene32503-v1.0-hybrid</t>
  </si>
  <si>
    <t>gene32830-v1.0-hybrid</t>
  </si>
  <si>
    <t>gene33626-v1.0-hybrid</t>
  </si>
  <si>
    <t>gene34568-v1.0-hybrid</t>
  </si>
  <si>
    <t>gene35168-v1.0-hybrid</t>
  </si>
  <si>
    <t>gene00280-v1.0-hybrid</t>
  </si>
  <si>
    <t>gene00584-v1.0-hybrid</t>
  </si>
  <si>
    <t>gene00884-v1.0-hybrid</t>
  </si>
  <si>
    <t>gene01184-v1.0-hybrid</t>
  </si>
  <si>
    <t>gene01485-v1.0-hybrid</t>
  </si>
  <si>
    <t>gene02085-v1.0-hybrid</t>
  </si>
  <si>
    <t>gene02685-v1.0-hybrid</t>
  </si>
  <si>
    <t>gene03973-v1.0-hybrid</t>
  </si>
  <si>
    <t>gene04273-v1.0-hybrid</t>
  </si>
  <si>
    <t>gene04573-v1.0-hybrid</t>
  </si>
  <si>
    <t>gene04873-v1.0-hybrid</t>
  </si>
  <si>
    <t>gene05774-v1.0-hybrid</t>
  </si>
  <si>
    <t>gene06374-v1.0-hybrid</t>
  </si>
  <si>
    <t>gene06974-v1.0-hybrid</t>
  </si>
  <si>
    <t>gene07574-v1.0-hybrid</t>
  </si>
  <si>
    <t>gene07875-v1.0-hybrid</t>
  </si>
  <si>
    <t>gene08175-v1.0-hybrid</t>
  </si>
  <si>
    <t>gene08475-v1.0-hybrid</t>
  </si>
  <si>
    <t>gene08775-v1.0-hybrid</t>
  </si>
  <si>
    <t>gene09075-v1.0-hybrid</t>
  </si>
  <si>
    <t>gene09675-v1.0-hybrid</t>
  </si>
  <si>
    <t>gene09976-v1.0-hybrid</t>
  </si>
  <si>
    <t>gene10276-v1.0-hybrid</t>
  </si>
  <si>
    <t>gene10577-v1.0-hybrid</t>
  </si>
  <si>
    <t>gene11178-v1.0-hybrid</t>
  </si>
  <si>
    <t>gene11478-v1.0-hybrid</t>
  </si>
  <si>
    <t>gene12378-v1.0-hybrid</t>
  </si>
  <si>
    <t>gene12678-v1.0-hybrid</t>
  </si>
  <si>
    <t>gene13279-v1.0-hybrid</t>
  </si>
  <si>
    <t>gene13879-v1.0-hybrid</t>
  </si>
  <si>
    <t>gene14783-v1.0-hybrid</t>
  </si>
  <si>
    <t>gene15386-v1.0-hybrid</t>
  </si>
  <si>
    <t>gene15687-v1.0-hybrid</t>
  </si>
  <si>
    <t>gene15987-v1.0-hybrid</t>
  </si>
  <si>
    <t>gene16288-v1.0-hybrid</t>
  </si>
  <si>
    <t>gene16588-v1.0-hybrid</t>
  </si>
  <si>
    <t>gene16889-v1.0-hybrid</t>
  </si>
  <si>
    <t>gene17190-v1.0-hybrid</t>
  </si>
  <si>
    <t>gene17490-v1.0-hybrid</t>
  </si>
  <si>
    <t>gene18090-v1.0-hybrid</t>
  </si>
  <si>
    <t>gene18390-v1.0-hybrid</t>
  </si>
  <si>
    <t>gene19590-v1.0-hybrid</t>
  </si>
  <si>
    <t>gene19890-v1.0-hybrid</t>
  </si>
  <si>
    <t>gene20190-v1.0-hybrid</t>
  </si>
  <si>
    <t>gene20491-v1.0-hybrid</t>
  </si>
  <si>
    <t>gene20791-v1.0-hybrid</t>
  </si>
  <si>
    <t>gene21091-v1.0-hybrid</t>
  </si>
  <si>
    <t>gene21391-v1.0-hybrid</t>
  </si>
  <si>
    <t>gene21692-v1.0-hybrid</t>
  </si>
  <si>
    <t>gene21992-v1.0-hybrid</t>
  </si>
  <si>
    <t>gene22293-v1.0-hybrid</t>
  </si>
  <si>
    <t>gene22593-v1.0-hybrid</t>
  </si>
  <si>
    <t>gene22894-v1.0-hybrid</t>
  </si>
  <si>
    <t>gene23196-v1.0-hybrid</t>
  </si>
  <si>
    <t>gene23496-v1.0-hybrid</t>
  </si>
  <si>
    <t>gene23796-v1.0-hybrid</t>
  </si>
  <si>
    <t>gene24096-v1.0-hybrid</t>
  </si>
  <si>
    <t>gene25001-v1.0-hybrid</t>
  </si>
  <si>
    <t>gene25301-v1.0-hybrid</t>
  </si>
  <si>
    <t>gene25601-v1.0-hybrid</t>
  </si>
  <si>
    <t>gene25901-v1.0-hybrid</t>
  </si>
  <si>
    <t>gene26501-v1.0-hybrid</t>
  </si>
  <si>
    <t>gene27102-v1.0-hybrid</t>
  </si>
  <si>
    <t>gene27402-v1.0-hybrid</t>
  </si>
  <si>
    <t>gene27702-v1.0-hybrid</t>
  </si>
  <si>
    <t>gene28002-v1.0-hybrid</t>
  </si>
  <si>
    <t>gene28302-v1.0-hybrid</t>
  </si>
  <si>
    <t>gene28602-v1.0-hybrid</t>
  </si>
  <si>
    <t>gene28902-v1.0-hybrid</t>
  </si>
  <si>
    <t>gene29202-v1.0-hybrid</t>
  </si>
  <si>
    <t>gene29502-v1.0-hybrid</t>
  </si>
  <si>
    <t>gene29803-v1.0-hybrid</t>
  </si>
  <si>
    <t>gene30104-v1.0-hybrid</t>
  </si>
  <si>
    <t>gene30404-v1.0-hybrid</t>
  </si>
  <si>
    <t>gene30704-v1.0-hybrid</t>
  </si>
  <si>
    <t>gene31004-v1.0-hybrid</t>
  </si>
  <si>
    <t>gene31604-v1.0-hybrid</t>
  </si>
  <si>
    <t>gene31904-v1.0-hybrid</t>
  </si>
  <si>
    <t>gene32204-v1.0-hybrid</t>
  </si>
  <si>
    <t>gene32504-v1.0-hybrid</t>
  </si>
  <si>
    <t>gene32831-v1.0-hybrid</t>
  </si>
  <si>
    <t>gene33627-v1.0-hybrid</t>
  </si>
  <si>
    <t>gene34869-v1.0-hybrid</t>
  </si>
  <si>
    <t>gene00281-v1.0-hybrid</t>
  </si>
  <si>
    <t>gene00885-v1.0-hybrid</t>
  </si>
  <si>
    <t>gene01486-v1.0-hybrid</t>
  </si>
  <si>
    <t>gene02386-v1.0-hybrid</t>
  </si>
  <si>
    <t>gene02686-v1.0-hybrid</t>
  </si>
  <si>
    <t>gene03074-v1.0-hybrid</t>
  </si>
  <si>
    <t>gene03374-v1.0-hybrid</t>
  </si>
  <si>
    <t>gene03974-v1.0-hybrid</t>
  </si>
  <si>
    <t>gene04274-v1.0-hybrid</t>
  </si>
  <si>
    <t>gene04874-v1.0-hybrid</t>
  </si>
  <si>
    <t>gene05174-v1.0-hybrid</t>
  </si>
  <si>
    <t>gene05775-v1.0-hybrid</t>
  </si>
  <si>
    <t>gene06075-v1.0-hybrid</t>
  </si>
  <si>
    <t>gene06375-v1.0-hybrid</t>
  </si>
  <si>
    <t>gene06675-v1.0-hybrid</t>
  </si>
  <si>
    <t>gene06975-v1.0-hybrid</t>
  </si>
  <si>
    <t>gene07575-v1.0-hybrid</t>
  </si>
  <si>
    <t>gene07876-v1.0-hybrid</t>
  </si>
  <si>
    <t>gene08176-v1.0-hybrid</t>
  </si>
  <si>
    <t>gene08476-v1.0-hybrid</t>
  </si>
  <si>
    <t>gene08776-v1.0-hybrid</t>
  </si>
  <si>
    <t>gene09076-v1.0-hybrid</t>
  </si>
  <si>
    <t>gene09676-v1.0-hybrid</t>
  </si>
  <si>
    <t>gene09977-v1.0-hybrid</t>
  </si>
  <si>
    <t>gene10277-v1.0-hybrid</t>
  </si>
  <si>
    <t>gene10878-v1.0-hybrid</t>
  </si>
  <si>
    <t>gene11779-v1.0-hybrid</t>
  </si>
  <si>
    <t>gene12079-v1.0-hybrid</t>
  </si>
  <si>
    <t>gene12379-v1.0-hybrid</t>
  </si>
  <si>
    <t>gene12679-v1.0-hybrid</t>
  </si>
  <si>
    <t>gene13280-v1.0-hybrid</t>
  </si>
  <si>
    <t>gene13580-v1.0-hybrid</t>
  </si>
  <si>
    <t>gene13880-v1.0-hybrid</t>
  </si>
  <si>
    <t>gene14482-v1.0-hybrid</t>
  </si>
  <si>
    <t>gene15387-v1.0-hybrid</t>
  </si>
  <si>
    <t>gene15688-v1.0-hybrid</t>
  </si>
  <si>
    <t>gene16289-v1.0-hybrid</t>
  </si>
  <si>
    <t>gene16589-v1.0-hybrid</t>
  </si>
  <si>
    <t>gene16890-v1.0-hybrid</t>
  </si>
  <si>
    <t>gene17191-v1.0-hybrid</t>
  </si>
  <si>
    <t>gene17491-v1.0-hybrid</t>
  </si>
  <si>
    <t>gene17791-v1.0-hybrid</t>
  </si>
  <si>
    <t>gene18091-v1.0-hybrid</t>
  </si>
  <si>
    <t>gene18391-v1.0-hybrid</t>
  </si>
  <si>
    <t>gene18691-v1.0-hybrid</t>
  </si>
  <si>
    <t>gene18991-v1.0-hybrid</t>
  </si>
  <si>
    <t>gene19291-v1.0-hybrid</t>
  </si>
  <si>
    <t>gene19591-v1.0-hybrid</t>
  </si>
  <si>
    <t>gene19891-v1.0-hybrid</t>
  </si>
  <si>
    <t>gene20191-v1.0-hybrid</t>
  </si>
  <si>
    <t>gene20492-v1.0-hybrid</t>
  </si>
  <si>
    <t>gene21092-v1.0-hybrid</t>
  </si>
  <si>
    <t>gene21392-v1.0-hybrid</t>
  </si>
  <si>
    <t>gene21693-v1.0-hybrid</t>
  </si>
  <si>
    <t>gene21993-v1.0-hybrid</t>
  </si>
  <si>
    <t>gene22294-v1.0-hybrid</t>
  </si>
  <si>
    <t>gene22594-v1.0-hybrid</t>
  </si>
  <si>
    <t>gene22895-v1.0-hybrid</t>
  </si>
  <si>
    <t>gene23197-v1.0-hybrid</t>
  </si>
  <si>
    <t>gene23497-v1.0-hybrid</t>
  </si>
  <si>
    <t>gene23797-v1.0-hybrid</t>
  </si>
  <si>
    <t>gene24097-v1.0-hybrid</t>
  </si>
  <si>
    <t>gene24399-v1.0-hybrid</t>
  </si>
  <si>
    <t>gene24700-v1.0-hybrid</t>
  </si>
  <si>
    <t>gene25002-v1.0-hybrid</t>
  </si>
  <si>
    <t>gene25302-v1.0-hybrid</t>
  </si>
  <si>
    <t>gene25602-v1.0-hybrid</t>
  </si>
  <si>
    <t>gene25902-v1.0-hybrid</t>
  </si>
  <si>
    <t>gene26202-v1.0-hybrid</t>
  </si>
  <si>
    <t>gene26502-v1.0-hybrid</t>
  </si>
  <si>
    <t>gene26803-v1.0-hybrid</t>
  </si>
  <si>
    <t>gene27403-v1.0-hybrid</t>
  </si>
  <si>
    <t>gene28003-v1.0-hybrid</t>
  </si>
  <si>
    <t>gene28303-v1.0-hybrid</t>
  </si>
  <si>
    <t>gene28603-v1.0-hybrid</t>
  </si>
  <si>
    <t>gene29203-v1.0-hybrid</t>
  </si>
  <si>
    <t>gene29503-v1.0-hybrid</t>
  </si>
  <si>
    <t>gene29804-v1.0-hybrid</t>
  </si>
  <si>
    <t>gene30405-v1.0-hybrid</t>
  </si>
  <si>
    <t>gene30705-v1.0-hybrid</t>
  </si>
  <si>
    <t>gene31305-v1.0-hybrid</t>
  </si>
  <si>
    <t>gene31605-v1.0-hybrid</t>
  </si>
  <si>
    <t>gene31905-v1.0-hybrid</t>
  </si>
  <si>
    <t>gene32205-v1.0-hybrid</t>
  </si>
  <si>
    <t>gene32505-v1.0-hybrid</t>
  </si>
  <si>
    <t>gene33230-v1.0-hybrid</t>
  </si>
  <si>
    <t>gene33625-v1.0-hybrid</t>
  </si>
  <si>
    <t>gene33970-v1.0-hybrid</t>
  </si>
  <si>
    <t>gene34870-v1.0-hybrid</t>
  </si>
  <si>
    <t>gene35170-v1.0-hybrid</t>
  </si>
  <si>
    <t>gene00282-v1.0-hybrid</t>
  </si>
  <si>
    <t>gene01186-v1.0-hybrid</t>
  </si>
  <si>
    <t>gene01487-v1.0-hybrid</t>
  </si>
  <si>
    <t>gene01787-v1.0-hybrid</t>
  </si>
  <si>
    <t>gene02087-v1.0-hybrid</t>
  </si>
  <si>
    <t>gene02387-v1.0-hybrid</t>
  </si>
  <si>
    <t>gene03075-v1.0-hybrid</t>
  </si>
  <si>
    <t>gene03375-v1.0-hybrid</t>
  </si>
  <si>
    <t>gene03675-v1.0-hybrid</t>
  </si>
  <si>
    <t>gene04275-v1.0-hybrid</t>
  </si>
  <si>
    <t>gene04575-v1.0-hybrid</t>
  </si>
  <si>
    <t>gene05175-v1.0-hybrid</t>
  </si>
  <si>
    <t>gene05776-v1.0-hybrid</t>
  </si>
  <si>
    <t>gene06076-v1.0-hybrid</t>
  </si>
  <si>
    <t>gene06376-v1.0-hybrid</t>
  </si>
  <si>
    <t>gene06976-v1.0-hybrid</t>
  </si>
  <si>
    <t>gene07276-v1.0-hybrid</t>
  </si>
  <si>
    <t>gene07576-v1.0-hybrid</t>
  </si>
  <si>
    <t>gene08777-v1.0-hybrid</t>
  </si>
  <si>
    <t>gene09077-v1.0-hybrid</t>
  </si>
  <si>
    <t>gene09677-v1.0-hybrid</t>
  </si>
  <si>
    <t>gene10278-v1.0-hybrid</t>
  </si>
  <si>
    <t>gene10579-v1.0-hybrid</t>
  </si>
  <si>
    <t>gene11180-v1.0-hybrid</t>
  </si>
  <si>
    <t>gene11780-v1.0-hybrid</t>
  </si>
  <si>
    <t>gene12380-v1.0-hybrid</t>
  </si>
  <si>
    <t>gene12680-v1.0-hybrid</t>
  </si>
  <si>
    <t>gene13281-v1.0-hybrid</t>
  </si>
  <si>
    <t>gene13581-v1.0-hybrid</t>
  </si>
  <si>
    <t>gene13881-v1.0-hybrid</t>
  </si>
  <si>
    <t>gene14183-v1.0-hybrid</t>
  </si>
  <si>
    <t>gene15086-v1.0-hybrid</t>
  </si>
  <si>
    <t>gene15989-v1.0-hybrid</t>
  </si>
  <si>
    <t>gene16290-v1.0-hybrid</t>
  </si>
  <si>
    <t>gene16590-v1.0-hybrid</t>
  </si>
  <si>
    <t>gene17492-v1.0-hybrid</t>
  </si>
  <si>
    <t>gene17792-v1.0-hybrid</t>
  </si>
  <si>
    <t>gene18392-v1.0-hybrid</t>
  </si>
  <si>
    <t>gene18692-v1.0-hybrid</t>
  </si>
  <si>
    <t>gene18992-v1.0-hybrid</t>
  </si>
  <si>
    <t>gene19292-v1.0-hybrid</t>
  </si>
  <si>
    <t>gene19592-v1.0-hybrid</t>
  </si>
  <si>
    <t>gene20192-v1.0-hybrid</t>
  </si>
  <si>
    <t>gene20793-v1.0-hybrid</t>
  </si>
  <si>
    <t>gene21093-v1.0-hybrid</t>
  </si>
  <si>
    <t>gene21393-v1.0-hybrid</t>
  </si>
  <si>
    <t>gene21694-v1.0-hybrid</t>
  </si>
  <si>
    <t>gene21994-v1.0-hybrid</t>
  </si>
  <si>
    <t>gene22295-v1.0-hybrid</t>
  </si>
  <si>
    <t>gene22595-v1.0-hybrid</t>
  </si>
  <si>
    <t>gene23198-v1.0-hybrid</t>
  </si>
  <si>
    <t>gene23498-v1.0-hybrid</t>
  </si>
  <si>
    <t>gene23798-v1.0-hybrid</t>
  </si>
  <si>
    <t>gene24400-v1.0-hybrid</t>
  </si>
  <si>
    <t>gene24701-v1.0-hybrid</t>
  </si>
  <si>
    <t>gene25903-v1.0-hybrid</t>
  </si>
  <si>
    <t>gene26203-v1.0-hybrid</t>
  </si>
  <si>
    <t>gene26503-v1.0-hybrid</t>
  </si>
  <si>
    <t>gene26804-v1.0-hybrid</t>
  </si>
  <si>
    <t>gene27104-v1.0-hybrid</t>
  </si>
  <si>
    <t>gene27404-v1.0-hybrid</t>
  </si>
  <si>
    <t>gene27704-v1.0-hybrid</t>
  </si>
  <si>
    <t>gene28004-v1.0-hybrid</t>
  </si>
  <si>
    <t>gene28904-v1.0-hybrid</t>
  </si>
  <si>
    <t>gene29504-v1.0-hybrid</t>
  </si>
  <si>
    <t>gene30106-v1.0-hybrid</t>
  </si>
  <si>
    <t>gene30406-v1.0-hybrid</t>
  </si>
  <si>
    <t>gene30706-v1.0-hybrid</t>
  </si>
  <si>
    <t>gene31006-v1.0-hybrid</t>
  </si>
  <si>
    <t>gene31306-v1.0-hybrid</t>
  </si>
  <si>
    <t>gene31906-v1.0-hybrid</t>
  </si>
  <si>
    <t>gene32206-v1.0-hybrid</t>
  </si>
  <si>
    <t>gene32506-v1.0-hybrid</t>
  </si>
  <si>
    <t>gene33971-v1.0-hybrid</t>
  </si>
  <si>
    <t>gene35171-v1.0-hybrid</t>
  </si>
  <si>
    <t>gene00283-v1.0-hybrid</t>
  </si>
  <si>
    <t>gene00587-v1.0-hybrid</t>
  </si>
  <si>
    <t>gene00887-v1.0-hybrid</t>
  </si>
  <si>
    <t>gene01187-v1.0-hybrid</t>
  </si>
  <si>
    <t>gene01788-v1.0-hybrid</t>
  </si>
  <si>
    <t>gene02388-v1.0-hybrid</t>
  </si>
  <si>
    <t>gene03076-v1.0-hybrid</t>
  </si>
  <si>
    <t>gene03376-v1.0-hybrid</t>
  </si>
  <si>
    <t>gene03676-v1.0-hybrid</t>
  </si>
  <si>
    <t>gene03976-v1.0-hybrid</t>
  </si>
  <si>
    <t>gene04576-v1.0-hybrid</t>
  </si>
  <si>
    <t>gene04876-v1.0-hybrid</t>
  </si>
  <si>
    <t>gene05777-v1.0-hybrid</t>
  </si>
  <si>
    <t>gene06077-v1.0-hybrid</t>
  </si>
  <si>
    <t>gene06677-v1.0-hybrid</t>
  </si>
  <si>
    <t>gene06977-v1.0-hybrid</t>
  </si>
  <si>
    <t>gene07277-v1.0-hybrid</t>
  </si>
  <si>
    <t>gene07577-v1.0-hybrid</t>
  </si>
  <si>
    <t>gene07878-v1.0-hybrid</t>
  </si>
  <si>
    <t>gene08478-v1.0-hybrid</t>
  </si>
  <si>
    <t>gene09078-v1.0-hybrid</t>
  </si>
  <si>
    <t>gene09678-v1.0-hybrid</t>
  </si>
  <si>
    <t>gene09979-v1.0-hybrid</t>
  </si>
  <si>
    <t>gene10279-v1.0-hybrid</t>
  </si>
  <si>
    <t>gene10880-v1.0-hybrid</t>
  </si>
  <si>
    <t>gene11181-v1.0-hybrid</t>
  </si>
  <si>
    <t>gene11481-v1.0-hybrid</t>
  </si>
  <si>
    <t>gene12081-v1.0-hybrid</t>
  </si>
  <si>
    <t>gene12381-v1.0-hybrid</t>
  </si>
  <si>
    <t>gene12681-v1.0-hybrid</t>
  </si>
  <si>
    <t>gene12982-v1.0-hybrid</t>
  </si>
  <si>
    <t>gene13582-v1.0-hybrid</t>
  </si>
  <si>
    <t>gene13882-v1.0-hybrid</t>
  </si>
  <si>
    <t>gene14184-v1.0-hybrid</t>
  </si>
  <si>
    <t>gene14484-v1.0-hybrid</t>
  </si>
  <si>
    <t>gene14786-v1.0-hybrid</t>
  </si>
  <si>
    <t>gene15389-v1.0-hybrid</t>
  </si>
  <si>
    <t>gene15690-v1.0-hybrid</t>
  </si>
  <si>
    <t>gene15990-v1.0-hybrid</t>
  </si>
  <si>
    <t>gene16591-v1.0-hybrid</t>
  </si>
  <si>
    <t>gene16892-v1.0-hybrid</t>
  </si>
  <si>
    <t>gene17193-v1.0-hybrid</t>
  </si>
  <si>
    <t>gene17493-v1.0-hybrid</t>
  </si>
  <si>
    <t>gene17793-v1.0-hybrid</t>
  </si>
  <si>
    <t>gene18093-v1.0-hybrid</t>
  </si>
  <si>
    <t>gene19293-v1.0-hybrid</t>
  </si>
  <si>
    <t>gene19593-v1.0-hybrid</t>
  </si>
  <si>
    <t>gene19893-v1.0-hybrid</t>
  </si>
  <si>
    <t>gene20193-v1.0-hybrid</t>
  </si>
  <si>
    <t>gene20494-v1.0-hybrid</t>
  </si>
  <si>
    <t>gene20794-v1.0-hybrid</t>
  </si>
  <si>
    <t>gene21094-v1.0-hybrid</t>
  </si>
  <si>
    <t>gene21394-v1.0-hybrid</t>
  </si>
  <si>
    <t>gene21695-v1.0-hybrid</t>
  </si>
  <si>
    <t>gene21995-v1.0-hybrid</t>
  </si>
  <si>
    <t>gene22296-v1.0-hybrid</t>
  </si>
  <si>
    <t>gene22897-v1.0-hybrid</t>
  </si>
  <si>
    <t>gene23199-v1.0-hybrid</t>
  </si>
  <si>
    <t>gene23499-v1.0-hybrid</t>
  </si>
  <si>
    <t>gene23799-v1.0-hybrid</t>
  </si>
  <si>
    <t>gene24099-v1.0-hybrid</t>
  </si>
  <si>
    <t>gene24401-v1.0-hybrid</t>
  </si>
  <si>
    <t>gene25004-v1.0-hybrid</t>
  </si>
  <si>
    <t>gene25604-v1.0-hybrid</t>
  </si>
  <si>
    <t>gene25904-v1.0-hybrid</t>
  </si>
  <si>
    <t>gene26504-v1.0-hybrid</t>
  </si>
  <si>
    <t>gene26805-v1.0-hybrid</t>
  </si>
  <si>
    <t>gene27105-v1.0-hybrid</t>
  </si>
  <si>
    <t>gene27405-v1.0-hybrid</t>
  </si>
  <si>
    <t>gene27705-v1.0-hybrid</t>
  </si>
  <si>
    <t>gene28005-v1.0-hybrid</t>
  </si>
  <si>
    <t>gene28605-v1.0-hybrid</t>
  </si>
  <si>
    <t>gene29205-v1.0-hybrid</t>
  </si>
  <si>
    <t>gene30107-v1.0-hybrid</t>
  </si>
  <si>
    <t>gene30407-v1.0-hybrid</t>
  </si>
  <si>
    <t>gene30707-v1.0-hybrid</t>
  </si>
  <si>
    <t>gene31007-v1.0-hybrid</t>
  </si>
  <si>
    <t>gene31307-v1.0-hybrid</t>
  </si>
  <si>
    <t>gene31607-v1.0-hybrid</t>
  </si>
  <si>
    <t>gene31907-v1.0-hybrid</t>
  </si>
  <si>
    <t>gene32207-v1.0-hybrid</t>
  </si>
  <si>
    <t>gene32507-v1.0-hybrid</t>
  </si>
  <si>
    <t>gene33628-v1.0-hybrid</t>
  </si>
  <si>
    <t>gene34572-v1.0-hybrid</t>
  </si>
  <si>
    <t>gene00284-v1.0-hybrid</t>
  </si>
  <si>
    <t>gene01188-v1.0-hybrid</t>
  </si>
  <si>
    <t>gene01489-v1.0-hybrid</t>
  </si>
  <si>
    <t>gene01789-v1.0-hybrid</t>
  </si>
  <si>
    <t>gene02089-v1.0-hybrid</t>
  </si>
  <si>
    <t>gene02689-v1.0-hybrid</t>
  </si>
  <si>
    <t>gene03077-v1.0-hybrid</t>
  </si>
  <si>
    <t>gene03677-v1.0-hybrid</t>
  </si>
  <si>
    <t>gene03977-v1.0-hybrid</t>
  </si>
  <si>
    <t>gene04577-v1.0-hybrid</t>
  </si>
  <si>
    <t>gene05177-v1.0-hybrid</t>
  </si>
  <si>
    <t>gene05478-v1.0-hybrid</t>
  </si>
  <si>
    <t>gene05778-v1.0-hybrid</t>
  </si>
  <si>
    <t>gene06378-v1.0-hybrid</t>
  </si>
  <si>
    <t>gene06678-v1.0-hybrid</t>
  </si>
  <si>
    <t>gene06978-v1.0-hybrid</t>
  </si>
  <si>
    <t>gene07278-v1.0-hybrid</t>
  </si>
  <si>
    <t>gene07578-v1.0-hybrid</t>
  </si>
  <si>
    <t>gene08479-v1.0-hybrid</t>
  </si>
  <si>
    <t>gene08779-v1.0-hybrid</t>
  </si>
  <si>
    <t>gene09079-v1.0-hybrid</t>
  </si>
  <si>
    <t>gene09379-v1.0-hybrid</t>
  </si>
  <si>
    <t>gene09980-v1.0-hybrid</t>
  </si>
  <si>
    <t>gene10280-v1.0-hybrid</t>
  </si>
  <si>
    <t>gene10581-v1.0-hybrid</t>
  </si>
  <si>
    <t>gene10881-v1.0-hybrid</t>
  </si>
  <si>
    <t>gene11182-v1.0-hybrid</t>
  </si>
  <si>
    <t>gene11482-v1.0-hybrid</t>
  </si>
  <si>
    <t>gene11782-v1.0-hybrid</t>
  </si>
  <si>
    <t>gene12682-v1.0-hybrid</t>
  </si>
  <si>
    <t>gene12983-v1.0-hybrid</t>
  </si>
  <si>
    <t>gene13283-v1.0-hybrid</t>
  </si>
  <si>
    <t>gene13583-v1.0-hybrid</t>
  </si>
  <si>
    <t>gene13883-v1.0-hybrid</t>
  </si>
  <si>
    <t>gene14787-v1.0-hybrid</t>
  </si>
  <si>
    <t>gene15390-v1.0-hybrid</t>
  </si>
  <si>
    <t>gene15991-v1.0-hybrid</t>
  </si>
  <si>
    <t>gene16292-v1.0-hybrid</t>
  </si>
  <si>
    <t>gene16592-v1.0-hybrid</t>
  </si>
  <si>
    <t>gene16893-v1.0-hybrid</t>
  </si>
  <si>
    <t>gene17794-v1.0-hybrid</t>
  </si>
  <si>
    <t>gene18094-v1.0-hybrid</t>
  </si>
  <si>
    <t>gene18394-v1.0-hybrid</t>
  </si>
  <si>
    <t>gene18694-v1.0-hybrid</t>
  </si>
  <si>
    <t>gene18994-v1.0-hybrid</t>
  </si>
  <si>
    <t>gene19294-v1.0-hybrid</t>
  </si>
  <si>
    <t>gene19594-v1.0-hybrid</t>
  </si>
  <si>
    <t>gene19894-v1.0-hybrid</t>
  </si>
  <si>
    <t>gene20194-v1.0-hybrid</t>
  </si>
  <si>
    <t>gene21095-v1.0-hybrid</t>
  </si>
  <si>
    <t>gene21395-v1.0-hybrid</t>
  </si>
  <si>
    <t>gene21696-v1.0-hybrid</t>
  </si>
  <si>
    <t>gene21996-v1.0-hybrid</t>
  </si>
  <si>
    <t>gene22297-v1.0-hybrid</t>
  </si>
  <si>
    <t>gene22597-v1.0-hybrid</t>
  </si>
  <si>
    <t>gene23200-v1.0-hybrid</t>
  </si>
  <si>
    <t>gene24100-v1.0-hybrid</t>
  </si>
  <si>
    <t>gene24703-v1.0-hybrid</t>
  </si>
  <si>
    <t>gene25005-v1.0-hybrid</t>
  </si>
  <si>
    <t>gene25605-v1.0-hybrid</t>
  </si>
  <si>
    <t>gene25905-v1.0-hybrid</t>
  </si>
  <si>
    <t>gene26205-v1.0-hybrid</t>
  </si>
  <si>
    <t>gene26505-v1.0-hybrid</t>
  </si>
  <si>
    <t>gene26806-v1.0-hybrid</t>
  </si>
  <si>
    <t>gene27106-v1.0-hybrid</t>
  </si>
  <si>
    <t>gene27406-v1.0-hybrid</t>
  </si>
  <si>
    <t>gene28006-v1.0-hybrid</t>
  </si>
  <si>
    <t>gene28306-v1.0-hybrid</t>
  </si>
  <si>
    <t>gene28606-v1.0-hybrid</t>
  </si>
  <si>
    <t>gene28906-v1.0-hybrid</t>
  </si>
  <si>
    <t>gene29206-v1.0-hybrid</t>
  </si>
  <si>
    <t>gene29506-v1.0-hybrid</t>
  </si>
  <si>
    <t>gene29807-v1.0-hybrid</t>
  </si>
  <si>
    <t>gene30108-v1.0-hybrid</t>
  </si>
  <si>
    <t>gene30408-v1.0-hybrid</t>
  </si>
  <si>
    <t>gene30708-v1.0-hybrid</t>
  </si>
  <si>
    <t>gene31308-v1.0-hybrid</t>
  </si>
  <si>
    <t>gene31908-v1.0-hybrid</t>
  </si>
  <si>
    <t>gene32508-v1.0-hybrid</t>
  </si>
  <si>
    <t>gene34573-v1.0-hybrid</t>
  </si>
  <si>
    <t>gene34873-v1.0-hybrid</t>
  </si>
  <si>
    <t>gene00285-v1.0-hybrid</t>
  </si>
  <si>
    <t>gene00889-v1.0-hybrid</t>
  </si>
  <si>
    <t>gene01189-v1.0-hybrid</t>
  </si>
  <si>
    <t>gene01490-v1.0-hybrid</t>
  </si>
  <si>
    <t>gene01790-v1.0-hybrid</t>
  </si>
  <si>
    <t>gene02090-v1.0-hybrid</t>
  </si>
  <si>
    <t>gene02390-v1.0-hybrid</t>
  </si>
  <si>
    <t>gene02690-v1.0-hybrid</t>
  </si>
  <si>
    <t>gene03078-v1.0-hybrid</t>
  </si>
  <si>
    <t>gene03378-v1.0-hybrid</t>
  </si>
  <si>
    <t>gene04278-v1.0-hybrid</t>
  </si>
  <si>
    <t>gene04578-v1.0-hybrid</t>
  </si>
  <si>
    <t>gene04878-v1.0-hybrid</t>
  </si>
  <si>
    <t>gene05178-v1.0-hybrid</t>
  </si>
  <si>
    <t>gene05479-v1.0-hybrid</t>
  </si>
  <si>
    <t>gene06379-v1.0-hybrid</t>
  </si>
  <si>
    <t>gene06679-v1.0-hybrid</t>
  </si>
  <si>
    <t>gene06979-v1.0-hybrid</t>
  </si>
  <si>
    <t>gene07279-v1.0-hybrid</t>
  </si>
  <si>
    <t>gene07579-v1.0-hybrid</t>
  </si>
  <si>
    <t>gene07880-v1.0-hybrid</t>
  </si>
  <si>
    <t>gene08180-v1.0-hybrid</t>
  </si>
  <si>
    <t>gene08480-v1.0-hybrid</t>
  </si>
  <si>
    <t>gene08780-v1.0-hybrid</t>
  </si>
  <si>
    <t>gene09080-v1.0-hybrid</t>
  </si>
  <si>
    <t>gene09981-v1.0-hybrid</t>
  </si>
  <si>
    <t>gene10281-v1.0-hybrid</t>
  </si>
  <si>
    <t>gene10582-v1.0-hybrid</t>
  </si>
  <si>
    <t>gene10882-v1.0-hybrid</t>
  </si>
  <si>
    <t>gene11183-v1.0-hybrid</t>
  </si>
  <si>
    <t>gene11483-v1.0-hybrid</t>
  </si>
  <si>
    <t>gene11783-v1.0-hybrid</t>
  </si>
  <si>
    <t>gene12083-v1.0-hybrid</t>
  </si>
  <si>
    <t>gene12383-v1.0-hybrid</t>
  </si>
  <si>
    <t>gene12683-v1.0-hybrid</t>
  </si>
  <si>
    <t>gene12984-v1.0-hybrid</t>
  </si>
  <si>
    <t>gene13284-v1.0-hybrid</t>
  </si>
  <si>
    <t>gene13584-v1.0-hybrid</t>
  </si>
  <si>
    <t>gene13884-v1.0-hybrid</t>
  </si>
  <si>
    <t>gene14186-v1.0-hybrid</t>
  </si>
  <si>
    <t>gene14788-v1.0-hybrid</t>
  </si>
  <si>
    <t>gene15090-v1.0-hybrid</t>
  </si>
  <si>
    <t>gene15391-v1.0-hybrid</t>
  </si>
  <si>
    <t>gene15992-v1.0-hybrid</t>
  </si>
  <si>
    <t>gene16293-v1.0-hybrid</t>
  </si>
  <si>
    <t>gene16894-v1.0-hybrid</t>
  </si>
  <si>
    <t>gene17195-v1.0-hybrid</t>
  </si>
  <si>
    <t>gene17495-v1.0-hybrid</t>
  </si>
  <si>
    <t>gene17795-v1.0-hybrid</t>
  </si>
  <si>
    <t>gene18395-v1.0-hybrid</t>
  </si>
  <si>
    <t>gene18695-v1.0-hybrid</t>
  </si>
  <si>
    <t>gene18995-v1.0-hybrid</t>
  </si>
  <si>
    <t>gene19295-v1.0-hybrid</t>
  </si>
  <si>
    <t>gene19595-v1.0-hybrid</t>
  </si>
  <si>
    <t>gene19895-v1.0-hybrid</t>
  </si>
  <si>
    <t>gene20195-v1.0-hybrid</t>
  </si>
  <si>
    <t>gene21096-v1.0-hybrid</t>
  </si>
  <si>
    <t>gene21396-v1.0-hybrid</t>
  </si>
  <si>
    <t>gene21697-v1.0-hybrid</t>
  </si>
  <si>
    <t>gene21997-v1.0-hybrid</t>
  </si>
  <si>
    <t>gene22298-v1.0-hybrid</t>
  </si>
  <si>
    <t>gene23201-v1.0-hybrid</t>
  </si>
  <si>
    <t>gene24101-v1.0-hybrid</t>
  </si>
  <si>
    <t>gene24403-v1.0-hybrid</t>
  </si>
  <si>
    <t>gene24704-v1.0-hybrid</t>
  </si>
  <si>
    <t>gene25006-v1.0-hybrid</t>
  </si>
  <si>
    <t>gene25306-v1.0-hybrid</t>
  </si>
  <si>
    <t>gene25906-v1.0-hybrid</t>
  </si>
  <si>
    <t>gene26506-v1.0-hybrid</t>
  </si>
  <si>
    <t>gene26807-v1.0-hybrid</t>
  </si>
  <si>
    <t>gene27107-v1.0-hybrid</t>
  </si>
  <si>
    <t>gene27407-v1.0-hybrid</t>
  </si>
  <si>
    <t>gene27707-v1.0-hybrid</t>
  </si>
  <si>
    <t>gene28007-v1.0-hybrid</t>
  </si>
  <si>
    <t>gene28607-v1.0-hybrid</t>
  </si>
  <si>
    <t>gene29207-v1.0-hybrid</t>
  </si>
  <si>
    <t>gene29507-v1.0-hybrid</t>
  </si>
  <si>
    <t>gene29808-v1.0-hybrid</t>
  </si>
  <si>
    <t>gene30409-v1.0-hybrid</t>
  </si>
  <si>
    <t>gene30709-v1.0-hybrid</t>
  </si>
  <si>
    <t>gene31009-v1.0-hybrid</t>
  </si>
  <si>
    <t>gene31309-v1.0-hybrid</t>
  </si>
  <si>
    <t>gene31609-v1.0-hybrid</t>
  </si>
  <si>
    <t>gene31909-v1.0-hybrid</t>
  </si>
  <si>
    <t>gene32209-v1.0-hybrid</t>
  </si>
  <si>
    <t>gene33974-v1.0-hybrid</t>
  </si>
  <si>
    <t>gene34574-v1.0-hybrid</t>
  </si>
  <si>
    <t>gene34874-v1.0-hybrid</t>
  </si>
  <si>
    <t>gene35174-v1.0-hybrid</t>
  </si>
  <si>
    <t>gene00286-v1.0-hybrid</t>
  </si>
  <si>
    <t>gene00590-v1.0-hybrid</t>
  </si>
  <si>
    <t>gene01190-v1.0-hybrid</t>
  </si>
  <si>
    <t>gene01491-v1.0-hybrid</t>
  </si>
  <si>
    <t>gene02091-v1.0-hybrid</t>
  </si>
  <si>
    <t>gene02391-v1.0-hybrid</t>
  </si>
  <si>
    <t>gene02691-v1.0-hybrid</t>
  </si>
  <si>
    <t>gene03079-v1.0-hybrid</t>
  </si>
  <si>
    <t>gene03679-v1.0-hybrid</t>
  </si>
  <si>
    <t>gene04579-v1.0-hybrid</t>
  </si>
  <si>
    <t>gene04879-v1.0-hybrid</t>
  </si>
  <si>
    <t>gene05179-v1.0-hybrid</t>
  </si>
  <si>
    <t>gene05780-v1.0-hybrid</t>
  </si>
  <si>
    <t>gene06080-v1.0-hybrid</t>
  </si>
  <si>
    <t>gene06380-v1.0-hybrid</t>
  </si>
  <si>
    <t>gene06680-v1.0-hybrid</t>
  </si>
  <si>
    <t>gene06980-v1.0-hybrid</t>
  </si>
  <si>
    <t>gene07280-v1.0-hybrid</t>
  </si>
  <si>
    <t>gene07881-v1.0-hybrid</t>
  </si>
  <si>
    <t>gene08481-v1.0-hybrid</t>
  </si>
  <si>
    <t>gene08781-v1.0-hybrid</t>
  </si>
  <si>
    <t>gene09081-v1.0-hybrid</t>
  </si>
  <si>
    <t>gene09681-v1.0-hybrid</t>
  </si>
  <si>
    <t>gene09982-v1.0-hybrid</t>
  </si>
  <si>
    <t>gene10282-v1.0-hybrid</t>
  </si>
  <si>
    <t>gene10583-v1.0-hybrid</t>
  </si>
  <si>
    <t>gene10883-v1.0-hybrid</t>
  </si>
  <si>
    <t>gene11184-v1.0-hybrid</t>
  </si>
  <si>
    <t>gene11484-v1.0-hybrid</t>
  </si>
  <si>
    <t>gene11784-v1.0-hybrid</t>
  </si>
  <si>
    <t>gene12084-v1.0-hybrid</t>
  </si>
  <si>
    <t>gene12684-v1.0-hybrid</t>
  </si>
  <si>
    <t>gene12985-v1.0-hybrid</t>
  </si>
  <si>
    <t>gene13285-v1.0-hybrid</t>
  </si>
  <si>
    <t>gene13585-v1.0-hybrid</t>
  </si>
  <si>
    <t>gene13885-v1.0-hybrid</t>
  </si>
  <si>
    <t>gene14789-v1.0-hybrid</t>
  </si>
  <si>
    <t>gene15091-v1.0-hybrid</t>
  </si>
  <si>
    <t>gene15392-v1.0-hybrid</t>
  </si>
  <si>
    <t>gene16294-v1.0-hybrid</t>
  </si>
  <si>
    <t>gene16594-v1.0-hybrid</t>
  </si>
  <si>
    <t>gene16895-v1.0-hybrid</t>
  </si>
  <si>
    <t>gene17496-v1.0-hybrid</t>
  </si>
  <si>
    <t>gene17796-v1.0-hybrid</t>
  </si>
  <si>
    <t>gene18696-v1.0-hybrid</t>
  </si>
  <si>
    <t>gene19296-v1.0-hybrid</t>
  </si>
  <si>
    <t>gene19596-v1.0-hybrid</t>
  </si>
  <si>
    <t>gene19896-v1.0-hybrid</t>
  </si>
  <si>
    <t>gene20196-v1.0-hybrid</t>
  </si>
  <si>
    <t>gene20497-v1.0-hybrid</t>
  </si>
  <si>
    <t>gene20797-v1.0-hybrid</t>
  </si>
  <si>
    <t>gene21698-v1.0-hybrid</t>
  </si>
  <si>
    <t>gene21998-v1.0-hybrid</t>
  </si>
  <si>
    <t>gene22299-v1.0-hybrid</t>
  </si>
  <si>
    <t>gene22900-v1.0-hybrid</t>
  </si>
  <si>
    <t>gene23202-v1.0-hybrid</t>
  </si>
  <si>
    <t>gene23502-v1.0-hybrid</t>
  </si>
  <si>
    <t>gene23802-v1.0-hybrid</t>
  </si>
  <si>
    <t>gene24102-v1.0-hybrid</t>
  </si>
  <si>
    <t>gene24404-v1.0-hybrid</t>
  </si>
  <si>
    <t>gene25307-v1.0-hybrid</t>
  </si>
  <si>
    <t>gene25907-v1.0-hybrid</t>
  </si>
  <si>
    <t>gene26507-v1.0-hybrid</t>
  </si>
  <si>
    <t>gene26808-v1.0-hybrid</t>
  </si>
  <si>
    <t>gene27108-v1.0-hybrid</t>
  </si>
  <si>
    <t>gene27408-v1.0-hybrid</t>
  </si>
  <si>
    <t>gene27708-v1.0-hybrid</t>
  </si>
  <si>
    <t>gene28008-v1.0-hybrid</t>
  </si>
  <si>
    <t>gene28308-v1.0-hybrid</t>
  </si>
  <si>
    <t>gene29208-v1.0-hybrid</t>
  </si>
  <si>
    <t>gene29508-v1.0-hybrid</t>
  </si>
  <si>
    <t>gene29809-v1.0-hybrid</t>
  </si>
  <si>
    <t>gene30710-v1.0-hybrid</t>
  </si>
  <si>
    <t>gene31010-v1.0-hybrid</t>
  </si>
  <si>
    <t>gene31610-v1.0-hybrid</t>
  </si>
  <si>
    <t>gene31910-v1.0-hybrid</t>
  </si>
  <si>
    <t>gene32210-v1.0-hybrid</t>
  </si>
  <si>
    <t>gene32510-v1.0-hybrid</t>
  </si>
  <si>
    <t>gene33975-v1.0-hybrid</t>
  </si>
  <si>
    <t>gene00287-v1.0-hybrid</t>
  </si>
  <si>
    <t>gene00591-v1.0-hybrid</t>
  </si>
  <si>
    <t>gene01191-v1.0-hybrid</t>
  </si>
  <si>
    <t>gene01492-v1.0-hybrid</t>
  </si>
  <si>
    <t>gene02092-v1.0-hybrid</t>
  </si>
  <si>
    <t>gene02692-v1.0-hybrid</t>
  </si>
  <si>
    <t>gene03380-v1.0-hybrid</t>
  </si>
  <si>
    <t>gene03680-v1.0-hybrid</t>
  </si>
  <si>
    <t>gene03980-v1.0-hybrid</t>
  </si>
  <si>
    <t>gene04280-v1.0-hybrid</t>
  </si>
  <si>
    <t>gene04580-v1.0-hybrid</t>
  </si>
  <si>
    <t>gene05180-v1.0-hybrid</t>
  </si>
  <si>
    <t>gene05481-v1.0-hybrid</t>
  </si>
  <si>
    <t>gene05781-v1.0-hybrid</t>
  </si>
  <si>
    <t>gene06381-v1.0-hybrid</t>
  </si>
  <si>
    <t>gene06681-v1.0-hybrid</t>
  </si>
  <si>
    <t>gene06981-v1.0-hybrid</t>
  </si>
  <si>
    <t>gene07581-v1.0-hybrid</t>
  </si>
  <si>
    <t>gene07882-v1.0-hybrid</t>
  </si>
  <si>
    <t>gene08482-v1.0-hybrid</t>
  </si>
  <si>
    <t>gene08782-v1.0-hybrid</t>
  </si>
  <si>
    <t>gene09082-v1.0-hybrid</t>
  </si>
  <si>
    <t>gene09382-v1.0-hybrid</t>
  </si>
  <si>
    <t>gene09682-v1.0-hybrid</t>
  </si>
  <si>
    <t>gene09983-v1.0-hybrid</t>
  </si>
  <si>
    <t>gene10283-v1.0-hybrid</t>
  </si>
  <si>
    <t>gene10584-v1.0-hybrid</t>
  </si>
  <si>
    <t>gene10884-v1.0-hybrid</t>
  </si>
  <si>
    <t>gene11185-v1.0-hybrid</t>
  </si>
  <si>
    <t>gene11485-v1.0-hybrid</t>
  </si>
  <si>
    <t>gene11785-v1.0-hybrid</t>
  </si>
  <si>
    <t>gene12085-v1.0-hybrid</t>
  </si>
  <si>
    <t>gene12385-v1.0-hybrid</t>
  </si>
  <si>
    <t>gene12685-v1.0-hybrid</t>
  </si>
  <si>
    <t>gene12986-v1.0-hybrid</t>
  </si>
  <si>
    <t>gene13886-v1.0-hybrid</t>
  </si>
  <si>
    <t>gene14188-v1.0-hybrid</t>
  </si>
  <si>
    <t>gene14488-v1.0-hybrid</t>
  </si>
  <si>
    <t>gene14790-v1.0-hybrid</t>
  </si>
  <si>
    <t>gene15092-v1.0-hybrid</t>
  </si>
  <si>
    <t>gene15694-v1.0-hybrid</t>
  </si>
  <si>
    <t>gene15994-v1.0-hybrid</t>
  </si>
  <si>
    <t>gene16295-v1.0-hybrid</t>
  </si>
  <si>
    <t>gene16896-v1.0-hybrid</t>
  </si>
  <si>
    <t>gene17497-v1.0-hybrid</t>
  </si>
  <si>
    <t>gene17797-v1.0-hybrid</t>
  </si>
  <si>
    <t>gene18097-v1.0-hybrid</t>
  </si>
  <si>
    <t>gene18397-v1.0-hybrid</t>
  </si>
  <si>
    <t>gene18697-v1.0-hybrid</t>
  </si>
  <si>
    <t>gene18997-v1.0-hybrid</t>
  </si>
  <si>
    <t>gene19297-v1.0-hybrid</t>
  </si>
  <si>
    <t>gene19597-v1.0-hybrid</t>
  </si>
  <si>
    <t>gene19897-v1.0-hybrid</t>
  </si>
  <si>
    <t>gene20197-v1.0-hybrid</t>
  </si>
  <si>
    <t>gene20798-v1.0-hybrid</t>
  </si>
  <si>
    <t>gene21398-v1.0-hybrid</t>
  </si>
  <si>
    <t>gene21699-v1.0-hybrid</t>
  </si>
  <si>
    <t>gene21999-v1.0-hybrid</t>
  </si>
  <si>
    <t>gene22300-v1.0-hybrid</t>
  </si>
  <si>
    <t>gene22901-v1.0-hybrid</t>
  </si>
  <si>
    <t>gene23203-v1.0-hybrid</t>
  </si>
  <si>
    <t>gene23503-v1.0-hybrid</t>
  </si>
  <si>
    <t>gene23803-v1.0-hybrid</t>
  </si>
  <si>
    <t>gene24405-v1.0-hybrid</t>
  </si>
  <si>
    <t>gene24706-v1.0-hybrid</t>
  </si>
  <si>
    <t>gene25008-v1.0-hybrid</t>
  </si>
  <si>
    <t>gene25308-v1.0-hybrid</t>
  </si>
  <si>
    <t>gene25608-v1.0-hybrid</t>
  </si>
  <si>
    <t>gene25908-v1.0-hybrid</t>
  </si>
  <si>
    <t>gene26208-v1.0-hybrid</t>
  </si>
  <si>
    <t>gene26508-v1.0-hybrid</t>
  </si>
  <si>
    <t>gene26809-v1.0-hybrid</t>
  </si>
  <si>
    <t>gene27409-v1.0-hybrid</t>
  </si>
  <si>
    <t>gene27709-v1.0-hybrid</t>
  </si>
  <si>
    <t>gene28009-v1.0-hybrid</t>
  </si>
  <si>
    <t>gene28309-v1.0-hybrid</t>
  </si>
  <si>
    <t>gene28909-v1.0-hybrid</t>
  </si>
  <si>
    <t>gene29209-v1.0-hybrid</t>
  </si>
  <si>
    <t>gene30111-v1.0-hybrid</t>
  </si>
  <si>
    <t>gene30411-v1.0-hybrid</t>
  </si>
  <si>
    <t>gene31011-v1.0-hybrid</t>
  </si>
  <si>
    <t>gene31311-v1.0-hybrid</t>
  </si>
  <si>
    <t>gene32211-v1.0-hybrid</t>
  </si>
  <si>
    <t>gene32511-v1.0-hybrid</t>
  </si>
  <si>
    <t>gene33632-v1.0-hybrid</t>
  </si>
  <si>
    <t>gene33976-v1.0-hybrid</t>
  </si>
  <si>
    <t>gene34576-v1.0-hybrid</t>
  </si>
  <si>
    <t>gene00592-v1.0-hybrid</t>
  </si>
  <si>
    <t>gene01192-v1.0-hybrid</t>
  </si>
  <si>
    <t>gene01793-v1.0-hybrid</t>
  </si>
  <si>
    <t>gene02093-v1.0-hybrid</t>
  </si>
  <si>
    <t>gene02393-v1.0-hybrid</t>
  </si>
  <si>
    <t>gene02693-v1.0-hybrid</t>
  </si>
  <si>
    <t>gene03381-v1.0-hybrid</t>
  </si>
  <si>
    <t>gene03981-v1.0-hybrid</t>
  </si>
  <si>
    <t>gene04281-v1.0-hybrid</t>
  </si>
  <si>
    <t>gene04581-v1.0-hybrid</t>
  </si>
  <si>
    <t>gene05181-v1.0-hybrid</t>
  </si>
  <si>
    <t>gene05482-v1.0-hybrid</t>
  </si>
  <si>
    <t>gene05782-v1.0-hybrid</t>
  </si>
  <si>
    <t>gene06082-v1.0-hybrid</t>
  </si>
  <si>
    <t>gene06382-v1.0-hybrid</t>
  </si>
  <si>
    <t>gene06682-v1.0-hybrid</t>
  </si>
  <si>
    <t>gene06982-v1.0-hybrid</t>
  </si>
  <si>
    <t>gene07582-v1.0-hybrid</t>
  </si>
  <si>
    <t>gene07883-v1.0-hybrid</t>
  </si>
  <si>
    <t>gene08483-v1.0-hybrid</t>
  </si>
  <si>
    <t>gene09083-v1.0-hybrid</t>
  </si>
  <si>
    <t>gene09383-v1.0-hybrid</t>
  </si>
  <si>
    <t>gene09683-v1.0-hybrid</t>
  </si>
  <si>
    <t>gene09984-v1.0-hybrid</t>
  </si>
  <si>
    <t>gene10284-v1.0-hybrid</t>
  </si>
  <si>
    <t>gene10585-v1.0-hybrid</t>
  </si>
  <si>
    <t>gene10885-v1.0-hybrid</t>
  </si>
  <si>
    <t>gene11186-v1.0-hybrid</t>
  </si>
  <si>
    <t>gene11486-v1.0-hybrid</t>
  </si>
  <si>
    <t>gene11786-v1.0-hybrid</t>
  </si>
  <si>
    <t>gene12086-v1.0-hybrid</t>
  </si>
  <si>
    <t>gene12386-v1.0-hybrid</t>
  </si>
  <si>
    <t>gene12686-v1.0-hybrid</t>
  </si>
  <si>
    <t>gene13287-v1.0-hybrid</t>
  </si>
  <si>
    <t>gene13587-v1.0-hybrid</t>
  </si>
  <si>
    <t>gene13887-v1.0-hybrid</t>
  </si>
  <si>
    <t>gene14189-v1.0-hybrid</t>
  </si>
  <si>
    <t>gene14489-v1.0-hybrid</t>
  </si>
  <si>
    <t>gene15093-v1.0-hybrid</t>
  </si>
  <si>
    <t>gene15695-v1.0-hybrid</t>
  </si>
  <si>
    <t>gene15995-v1.0-hybrid</t>
  </si>
  <si>
    <t>gene16296-v1.0-hybrid</t>
  </si>
  <si>
    <t>gene16596-v1.0-hybrid</t>
  </si>
  <si>
    <t>gene17798-v1.0-hybrid</t>
  </si>
  <si>
    <t>gene18098-v1.0-hybrid</t>
  </si>
  <si>
    <t>gene18698-v1.0-hybrid</t>
  </si>
  <si>
    <t>gene18998-v1.0-hybrid</t>
  </si>
  <si>
    <t>gene19298-v1.0-hybrid</t>
  </si>
  <si>
    <t>gene19598-v1.0-hybrid</t>
  </si>
  <si>
    <t>gene19898-v1.0-hybrid</t>
  </si>
  <si>
    <t>gene20198-v1.0-hybrid</t>
  </si>
  <si>
    <t>gene21399-v1.0-hybrid</t>
  </si>
  <si>
    <t>gene21700-v1.0-hybrid</t>
  </si>
  <si>
    <t>gene22000-v1.0-hybrid</t>
  </si>
  <si>
    <t>gene22301-v1.0-hybrid</t>
  </si>
  <si>
    <t>gene22601-v1.0-hybrid</t>
  </si>
  <si>
    <t>gene22902-v1.0-hybrid</t>
  </si>
  <si>
    <t>gene23204-v1.0-hybrid</t>
  </si>
  <si>
    <t>gene23504-v1.0-hybrid</t>
  </si>
  <si>
    <t>gene23804-v1.0-hybrid</t>
  </si>
  <si>
    <t>gene24406-v1.0-hybrid</t>
  </si>
  <si>
    <t>gene24707-v1.0-hybrid</t>
  </si>
  <si>
    <t>gene25009-v1.0-hybrid</t>
  </si>
  <si>
    <t>gene25909-v1.0-hybrid</t>
  </si>
  <si>
    <t>gene26209-v1.0-hybrid</t>
  </si>
  <si>
    <t>gene26509-v1.0-hybrid</t>
  </si>
  <si>
    <t>gene27110-v1.0-hybrid</t>
  </si>
  <si>
    <t>gene28010-v1.0-hybrid</t>
  </si>
  <si>
    <t>gene28610-v1.0-hybrid</t>
  </si>
  <si>
    <t>gene29210-v1.0-hybrid</t>
  </si>
  <si>
    <t>gene29510-v1.0-hybrid</t>
  </si>
  <si>
    <t>gene29811-v1.0-hybrid</t>
  </si>
  <si>
    <t>gene30112-v1.0-hybrid</t>
  </si>
  <si>
    <t>gene30412-v1.0-hybrid</t>
  </si>
  <si>
    <t>gene30712-v1.0-hybrid</t>
  </si>
  <si>
    <t>gene31012-v1.0-hybrid</t>
  </si>
  <si>
    <t>gene31312-v1.0-hybrid</t>
  </si>
  <si>
    <t>gene34277-v1.0-hybrid</t>
  </si>
  <si>
    <t>gene34577-v1.0-hybrid</t>
  </si>
  <si>
    <t>gene00893-v1.0-hybrid</t>
  </si>
  <si>
    <t>gene01193-v1.0-hybrid</t>
  </si>
  <si>
    <t>gene01494-v1.0-hybrid</t>
  </si>
  <si>
    <t>gene01794-v1.0-hybrid</t>
  </si>
  <si>
    <t>gene02094-v1.0-hybrid</t>
  </si>
  <si>
    <t>gene02694-v1.0-hybrid</t>
  </si>
  <si>
    <t>gene03082-v1.0-hybrid</t>
  </si>
  <si>
    <t>gene03982-v1.0-hybrid</t>
  </si>
  <si>
    <t>gene04282-v1.0-hybrid</t>
  </si>
  <si>
    <t>gene04582-v1.0-hybrid</t>
  </si>
  <si>
    <t>gene04882-v1.0-hybrid</t>
  </si>
  <si>
    <t>gene05182-v1.0-hybrid</t>
  </si>
  <si>
    <t>gene05783-v1.0-hybrid</t>
  </si>
  <si>
    <t>gene06083-v1.0-hybrid</t>
  </si>
  <si>
    <t>gene06683-v1.0-hybrid</t>
  </si>
  <si>
    <t>gene07283-v1.0-hybrid</t>
  </si>
  <si>
    <t>gene07583-v1.0-hybrid</t>
  </si>
  <si>
    <t>gene07884-v1.0-hybrid</t>
  </si>
  <si>
    <t>gene08484-v1.0-hybrid</t>
  </si>
  <si>
    <t>gene08784-v1.0-hybrid</t>
  </si>
  <si>
    <t>gene09084-v1.0-hybrid</t>
  </si>
  <si>
    <t>gene09384-v1.0-hybrid</t>
  </si>
  <si>
    <t>gene09684-v1.0-hybrid</t>
  </si>
  <si>
    <t>gene09985-v1.0-hybrid</t>
  </si>
  <si>
    <t>gene10586-v1.0-hybrid</t>
  </si>
  <si>
    <t>gene10886-v1.0-hybrid</t>
  </si>
  <si>
    <t>gene11187-v1.0-hybrid</t>
  </si>
  <si>
    <t>gene11487-v1.0-hybrid</t>
  </si>
  <si>
    <t>gene11787-v1.0-hybrid</t>
  </si>
  <si>
    <t>gene12087-v1.0-hybrid</t>
  </si>
  <si>
    <t>gene12387-v1.0-hybrid</t>
  </si>
  <si>
    <t>gene12687-v1.0-hybrid</t>
  </si>
  <si>
    <t>gene12988-v1.0-hybrid</t>
  </si>
  <si>
    <t>gene13288-v1.0-hybrid</t>
  </si>
  <si>
    <t>gene13588-v1.0-hybrid</t>
  </si>
  <si>
    <t>gene13888-v1.0-hybrid</t>
  </si>
  <si>
    <t>gene14490-v1.0-hybrid</t>
  </si>
  <si>
    <t>gene14792-v1.0-hybrid</t>
  </si>
  <si>
    <t>gene15395-v1.0-hybrid</t>
  </si>
  <si>
    <t>gene15696-v1.0-hybrid</t>
  </si>
  <si>
    <t>gene15996-v1.0-hybrid</t>
  </si>
  <si>
    <t>gene16597-v1.0-hybrid</t>
  </si>
  <si>
    <t>gene16898-v1.0-hybrid</t>
  </si>
  <si>
    <t>gene17199-v1.0-hybrid</t>
  </si>
  <si>
    <t>gene17499-v1.0-hybrid</t>
  </si>
  <si>
    <t>gene18099-v1.0-hybrid</t>
  </si>
  <si>
    <t>gene18399-v1.0-hybrid</t>
  </si>
  <si>
    <t>gene18699-v1.0-hybrid</t>
  </si>
  <si>
    <t>gene18999-v1.0-hybrid</t>
  </si>
  <si>
    <t>gene19299-v1.0-hybrid</t>
  </si>
  <si>
    <t>gene19599-v1.0-hybrid</t>
  </si>
  <si>
    <t>gene19899-v1.0-hybrid</t>
  </si>
  <si>
    <t>gene20199-v1.0-hybrid</t>
  </si>
  <si>
    <t>gene20500-v1.0-hybrid</t>
  </si>
  <si>
    <t>gene20800-v1.0-hybrid</t>
  </si>
  <si>
    <t>gene21100-v1.0-hybrid</t>
  </si>
  <si>
    <t>gene21400-v1.0-hybrid</t>
  </si>
  <si>
    <t>gene21701-v1.0-hybrid</t>
  </si>
  <si>
    <t>gene22302-v1.0-hybrid</t>
  </si>
  <si>
    <t>gene22602-v1.0-hybrid</t>
  </si>
  <si>
    <t>gene22903-v1.0-hybrid</t>
  </si>
  <si>
    <t>gene23505-v1.0-hybrid</t>
  </si>
  <si>
    <t>gene23805-v1.0-hybrid</t>
  </si>
  <si>
    <t>gene24105-v1.0-hybrid</t>
  </si>
  <si>
    <t>gene24407-v1.0-hybrid</t>
  </si>
  <si>
    <t>gene24708-v1.0-hybrid</t>
  </si>
  <si>
    <t>gene25010-v1.0-hybrid</t>
  </si>
  <si>
    <t>gene25310-v1.0-hybrid</t>
  </si>
  <si>
    <t>gene25610-v1.0-hybrid</t>
  </si>
  <si>
    <t>gene25910-v1.0-hybrid</t>
  </si>
  <si>
    <t>gene26210-v1.0-hybrid</t>
  </si>
  <si>
    <t>gene26510-v1.0-hybrid</t>
  </si>
  <si>
    <t>gene26811-v1.0-hybrid</t>
  </si>
  <si>
    <t>gene27111-v1.0-hybrid</t>
  </si>
  <si>
    <t>gene27411-v1.0-hybrid</t>
  </si>
  <si>
    <t>gene27711-v1.0-hybrid</t>
  </si>
  <si>
    <t>gene28011-v1.0-hybrid</t>
  </si>
  <si>
    <t>gene28611-v1.0-hybrid</t>
  </si>
  <si>
    <t>gene28911-v1.0-hybrid</t>
  </si>
  <si>
    <t>gene29211-v1.0-hybrid</t>
  </si>
  <si>
    <t>gene30713-v1.0-hybrid</t>
  </si>
  <si>
    <t>gene31013-v1.0-hybrid</t>
  </si>
  <si>
    <t>gene31613-v1.0-hybrid</t>
  </si>
  <si>
    <t>gene31913-v1.0-hybrid</t>
  </si>
  <si>
    <t>gene32213-v1.0-hybrid</t>
  </si>
  <si>
    <t>gene33238-v1.0-hybrid</t>
  </si>
  <si>
    <t>gene34878-v1.0-hybrid</t>
  </si>
  <si>
    <t>gene35178-v1.0-hybrid</t>
  </si>
  <si>
    <t>gene00594-v1.0-hybrid</t>
  </si>
  <si>
    <t>gene00894-v1.0-hybrid</t>
  </si>
  <si>
    <t>gene01495-v1.0-hybrid</t>
  </si>
  <si>
    <t>gene01795-v1.0-hybrid</t>
  </si>
  <si>
    <t>gene02095-v1.0-hybrid</t>
  </si>
  <si>
    <t>gene02395-v1.0-hybrid</t>
  </si>
  <si>
    <t>gene02695-v1.0-hybrid</t>
  </si>
  <si>
    <t>gene03083-v1.0-hybrid</t>
  </si>
  <si>
    <t>gene03383-v1.0-hybrid</t>
  </si>
  <si>
    <t>gene03683-v1.0-hybrid</t>
  </si>
  <si>
    <t>gene04283-v1.0-hybrid</t>
  </si>
  <si>
    <t>gene04583-v1.0-hybrid</t>
  </si>
  <si>
    <t>gene04883-v1.0-hybrid</t>
  </si>
  <si>
    <t>gene05484-v1.0-hybrid</t>
  </si>
  <si>
    <t>gene05784-v1.0-hybrid</t>
  </si>
  <si>
    <t>gene06384-v1.0-hybrid</t>
  </si>
  <si>
    <t>gene06684-v1.0-hybrid</t>
  </si>
  <si>
    <t>gene06984-v1.0-hybrid</t>
  </si>
  <si>
    <t>gene07284-v1.0-hybrid</t>
  </si>
  <si>
    <t>gene07584-v1.0-hybrid</t>
  </si>
  <si>
    <t>gene07885-v1.0-hybrid</t>
  </si>
  <si>
    <t>gene08185-v1.0-hybrid</t>
  </si>
  <si>
    <t>gene08485-v1.0-hybrid</t>
  </si>
  <si>
    <t>gene08785-v1.0-hybrid</t>
  </si>
  <si>
    <t>gene09085-v1.0-hybrid</t>
  </si>
  <si>
    <t>gene09685-v1.0-hybrid</t>
  </si>
  <si>
    <t>gene09986-v1.0-hybrid</t>
  </si>
  <si>
    <t>gene10286-v1.0-hybrid</t>
  </si>
  <si>
    <t>gene11188-v1.0-hybrid</t>
  </si>
  <si>
    <t>gene11488-v1.0-hybrid</t>
  </si>
  <si>
    <t>gene11788-v1.0-hybrid</t>
  </si>
  <si>
    <t>gene12088-v1.0-hybrid</t>
  </si>
  <si>
    <t>gene12388-v1.0-hybrid</t>
  </si>
  <si>
    <t>gene12688-v1.0-hybrid</t>
  </si>
  <si>
    <t>gene12989-v1.0-hybrid</t>
  </si>
  <si>
    <t>gene13289-v1.0-hybrid</t>
  </si>
  <si>
    <t>gene13589-v1.0-hybrid</t>
  </si>
  <si>
    <t>gene13889-v1.0-hybrid</t>
  </si>
  <si>
    <t>gene14793-v1.0-hybrid</t>
  </si>
  <si>
    <t>gene15095-v1.0-hybrid</t>
  </si>
  <si>
    <t>gene15396-v1.0-hybrid</t>
  </si>
  <si>
    <t>gene16298-v1.0-hybrid</t>
  </si>
  <si>
    <t>gene16598-v1.0-hybrid</t>
  </si>
  <si>
    <t>gene17500-v1.0-hybrid</t>
  </si>
  <si>
    <t>gene17800-v1.0-hybrid</t>
  </si>
  <si>
    <t>gene18100-v1.0-hybrid</t>
  </si>
  <si>
    <t>gene18700-v1.0-hybrid</t>
  </si>
  <si>
    <t>gene19300-v1.0-hybrid</t>
  </si>
  <si>
    <t>gene19600-v1.0-hybrid</t>
  </si>
  <si>
    <t>gene20200-v1.0-hybrid</t>
  </si>
  <si>
    <t>gene20501-v1.0-hybrid</t>
  </si>
  <si>
    <t>gene21101-v1.0-hybrid</t>
  </si>
  <si>
    <t>gene21401-v1.0-hybrid</t>
  </si>
  <si>
    <t>gene21702-v1.0-hybrid</t>
  </si>
  <si>
    <t>gene22002-v1.0-hybrid</t>
  </si>
  <si>
    <t>gene22303-v1.0-hybrid</t>
  </si>
  <si>
    <t>gene22603-v1.0-hybrid</t>
  </si>
  <si>
    <t>gene22904-v1.0-hybrid</t>
  </si>
  <si>
    <t>gene23206-v1.0-hybrid</t>
  </si>
  <si>
    <t>gene23506-v1.0-hybrid</t>
  </si>
  <si>
    <t>gene23806-v1.0-hybrid</t>
  </si>
  <si>
    <t>gene24408-v1.0-hybrid</t>
  </si>
  <si>
    <t>gene24709-v1.0-hybrid</t>
  </si>
  <si>
    <t>gene25011-v1.0-hybrid</t>
  </si>
  <si>
    <t>gene25311-v1.0-hybrid</t>
  </si>
  <si>
    <t>gene25911-v1.0-hybrid</t>
  </si>
  <si>
    <t>gene26211-v1.0-hybrid</t>
  </si>
  <si>
    <t>gene26511-v1.0-hybrid</t>
  </si>
  <si>
    <t>gene26812-v1.0-hybrid</t>
  </si>
  <si>
    <t>gene27412-v1.0-hybrid</t>
  </si>
  <si>
    <t>gene27712-v1.0-hybrid</t>
  </si>
  <si>
    <t>gene28012-v1.0-hybrid</t>
  </si>
  <si>
    <t>gene28312-v1.0-hybrid</t>
  </si>
  <si>
    <t>gene28612-v1.0-hybrid</t>
  </si>
  <si>
    <t>gene29512-v1.0-hybrid</t>
  </si>
  <si>
    <t>gene29813-v1.0-hybrid</t>
  </si>
  <si>
    <t>gene30114-v1.0-hybrid</t>
  </si>
  <si>
    <t>gene30414-v1.0-hybrid</t>
  </si>
  <si>
    <t>gene30714-v1.0-hybrid</t>
  </si>
  <si>
    <t>gene31014-v1.0-hybrid</t>
  </si>
  <si>
    <t>gene31614-v1.0-hybrid</t>
  </si>
  <si>
    <t>gene31914-v1.0-hybrid</t>
  </si>
  <si>
    <t>gene32514-v1.0-hybrid</t>
  </si>
  <si>
    <t>gene33636-v1.0-hybrid</t>
  </si>
  <si>
    <t>gene33979-v1.0-hybrid</t>
  </si>
  <si>
    <t>gene35179-v1.0-hybrid</t>
  </si>
  <si>
    <t>gene00291-v1.0-hybrid</t>
  </si>
  <si>
    <t>gene01195-v1.0-hybrid</t>
  </si>
  <si>
    <t>gene01496-v1.0-hybrid</t>
  </si>
  <si>
    <t>gene01796-v1.0-hybrid</t>
  </si>
  <si>
    <t>gene02096-v1.0-hybrid</t>
  </si>
  <si>
    <t>gene02396-v1.0-hybrid</t>
  </si>
  <si>
    <t>gene02696-v1.0-hybrid</t>
  </si>
  <si>
    <t>gene03084-v1.0-hybrid</t>
  </si>
  <si>
    <t>gene03384-v1.0-hybrid</t>
  </si>
  <si>
    <t>gene03684-v1.0-hybrid</t>
  </si>
  <si>
    <t>gene03984-v1.0-hybrid</t>
  </si>
  <si>
    <t>gene04284-v1.0-hybrid</t>
  </si>
  <si>
    <t>gene04584-v1.0-hybrid</t>
  </si>
  <si>
    <t>gene04884-v1.0-hybrid</t>
  </si>
  <si>
    <t>gene05485-v1.0-hybrid</t>
  </si>
  <si>
    <t>gene05785-v1.0-hybrid</t>
  </si>
  <si>
    <t>gene06085-v1.0-hybrid</t>
  </si>
  <si>
    <t>gene06385-v1.0-hybrid</t>
  </si>
  <si>
    <t>gene06685-v1.0-hybrid</t>
  </si>
  <si>
    <t>gene07285-v1.0-hybrid</t>
  </si>
  <si>
    <t>gene07585-v1.0-hybrid</t>
  </si>
  <si>
    <t>gene07886-v1.0-hybrid</t>
  </si>
  <si>
    <t>gene08186-v1.0-hybrid</t>
  </si>
  <si>
    <t>gene08486-v1.0-hybrid</t>
  </si>
  <si>
    <t>gene08786-v1.0-hybrid</t>
  </si>
  <si>
    <t>gene09086-v1.0-hybrid</t>
  </si>
  <si>
    <t>gene09386-v1.0-hybrid</t>
  </si>
  <si>
    <t>gene09686-v1.0-hybrid</t>
  </si>
  <si>
    <t>gene09987-v1.0-hybrid</t>
  </si>
  <si>
    <t>gene10287-v1.0-hybrid</t>
  </si>
  <si>
    <t>gene10588-v1.0-hybrid</t>
  </si>
  <si>
    <t>gene10888-v1.0-hybrid</t>
  </si>
  <si>
    <t>gene11189-v1.0-hybrid</t>
  </si>
  <si>
    <t>gene11489-v1.0-hybrid</t>
  </si>
  <si>
    <t>gene11789-v1.0-hybrid</t>
  </si>
  <si>
    <t>gene12089-v1.0-hybrid</t>
  </si>
  <si>
    <t>gene12389-v1.0-hybrid</t>
  </si>
  <si>
    <t>gene12990-v1.0-hybrid</t>
  </si>
  <si>
    <t>gene13290-v1.0-hybrid</t>
  </si>
  <si>
    <t>gene13590-v1.0-hybrid</t>
  </si>
  <si>
    <t>gene13890-v1.0-hybrid</t>
  </si>
  <si>
    <t>gene14192-v1.0-hybrid</t>
  </si>
  <si>
    <t>gene14492-v1.0-hybrid</t>
  </si>
  <si>
    <t>gene14794-v1.0-hybrid</t>
  </si>
  <si>
    <t>gene15096-v1.0-hybrid</t>
  </si>
  <si>
    <t>gene15397-v1.0-hybrid</t>
  </si>
  <si>
    <t>gene15698-v1.0-hybrid</t>
  </si>
  <si>
    <t>gene15998-v1.0-hybrid</t>
  </si>
  <si>
    <t>gene16599-v1.0-hybrid</t>
  </si>
  <si>
    <t>gene16900-v1.0-hybrid</t>
  </si>
  <si>
    <t>gene17201-v1.0-hybrid</t>
  </si>
  <si>
    <t>gene17501-v1.0-hybrid</t>
  </si>
  <si>
    <t>gene17801-v1.0-hybrid</t>
  </si>
  <si>
    <t>gene19001-v1.0-hybrid</t>
  </si>
  <si>
    <t>gene19301-v1.0-hybrid</t>
  </si>
  <si>
    <t>gene19601-v1.0-hybrid</t>
  </si>
  <si>
    <t>gene19901-v1.0-hybrid</t>
  </si>
  <si>
    <t>gene20201-v1.0-hybrid</t>
  </si>
  <si>
    <t>gene20802-v1.0-hybrid</t>
  </si>
  <si>
    <t>gene21102-v1.0-hybrid</t>
  </si>
  <si>
    <t>gene22003-v1.0-hybrid</t>
  </si>
  <si>
    <t>gene22304-v1.0-hybrid</t>
  </si>
  <si>
    <t>gene22905-v1.0-hybrid</t>
  </si>
  <si>
    <t>gene23807-v1.0-hybrid</t>
  </si>
  <si>
    <t>gene24107-v1.0-hybrid</t>
  </si>
  <si>
    <t>gene24409-v1.0-hybrid</t>
  </si>
  <si>
    <t>gene24710-v1.0-hybrid</t>
  </si>
  <si>
    <t>gene25012-v1.0-hybrid</t>
  </si>
  <si>
    <t>gene25312-v1.0-hybrid</t>
  </si>
  <si>
    <t>gene26212-v1.0-hybrid</t>
  </si>
  <si>
    <t>gene26512-v1.0-hybrid</t>
  </si>
  <si>
    <t>gene26813-v1.0-hybrid</t>
  </si>
  <si>
    <t>gene27113-v1.0-hybrid</t>
  </si>
  <si>
    <t>gene27413-v1.0-hybrid</t>
  </si>
  <si>
    <t>gene27713-v1.0-hybrid</t>
  </si>
  <si>
    <t>gene28013-v1.0-hybrid</t>
  </si>
  <si>
    <t>gene28313-v1.0-hybrid</t>
  </si>
  <si>
    <t>gene28913-v1.0-hybrid</t>
  </si>
  <si>
    <t>gene29213-v1.0-hybrid</t>
  </si>
  <si>
    <t>gene29513-v1.0-hybrid</t>
  </si>
  <si>
    <t>gene30415-v1.0-hybrid</t>
  </si>
  <si>
    <t>gene30715-v1.0-hybrid</t>
  </si>
  <si>
    <t>gene31015-v1.0-hybrid</t>
  </si>
  <si>
    <t>gene31315-v1.0-hybrid</t>
  </si>
  <si>
    <t>gene31615-v1.0-hybrid</t>
  </si>
  <si>
    <t>gene31915-v1.0-hybrid</t>
  </si>
  <si>
    <t>gene32215-v1.0-hybrid</t>
  </si>
  <si>
    <t>gene32515-v1.0-hybrid</t>
  </si>
  <si>
    <t>gene34880-v1.0-hybrid</t>
  </si>
  <si>
    <t>gene35180-v1.0-hybrid</t>
  </si>
  <si>
    <t>gene00896-v1.0-hybrid</t>
  </si>
  <si>
    <t>gene01497-v1.0-hybrid</t>
  </si>
  <si>
    <t>gene01797-v1.0-hybrid</t>
  </si>
  <si>
    <t>gene02097-v1.0-hybrid</t>
  </si>
  <si>
    <t>gene02397-v1.0-hybrid</t>
  </si>
  <si>
    <t>gene02697-v1.0-hybrid</t>
  </si>
  <si>
    <t>gene03085-v1.0-hybrid</t>
  </si>
  <si>
    <t>gene03385-v1.0-hybrid</t>
  </si>
  <si>
    <t>gene03685-v1.0-hybrid</t>
  </si>
  <si>
    <t>gene03985-v1.0-hybrid</t>
  </si>
  <si>
    <t>gene04285-v1.0-hybrid</t>
  </si>
  <si>
    <t>gene04585-v1.0-hybrid</t>
  </si>
  <si>
    <t>gene05185-v1.0-hybrid</t>
  </si>
  <si>
    <t>gene05486-v1.0-hybrid</t>
  </si>
  <si>
    <t>gene06386-v1.0-hybrid</t>
  </si>
  <si>
    <t>gene06686-v1.0-hybrid</t>
  </si>
  <si>
    <t>gene06986-v1.0-hybrid</t>
  </si>
  <si>
    <t>gene07286-v1.0-hybrid</t>
  </si>
  <si>
    <t>gene08187-v1.0-hybrid</t>
  </si>
  <si>
    <t>gene08487-v1.0-hybrid</t>
  </si>
  <si>
    <t>gene08787-v1.0-hybrid</t>
  </si>
  <si>
    <t>gene09087-v1.0-hybrid</t>
  </si>
  <si>
    <t>gene09387-v1.0-hybrid</t>
  </si>
  <si>
    <t>gene09687-v1.0-hybrid</t>
  </si>
  <si>
    <t>gene09988-v1.0-hybrid</t>
  </si>
  <si>
    <t>gene10288-v1.0-hybrid</t>
  </si>
  <si>
    <t>gene10889-v1.0-hybrid</t>
  </si>
  <si>
    <t>gene11190-v1.0-hybrid</t>
  </si>
  <si>
    <t>gene11490-v1.0-hybrid</t>
  </si>
  <si>
    <t>gene12090-v1.0-hybrid</t>
  </si>
  <si>
    <t>gene12390-v1.0-hybrid</t>
  </si>
  <si>
    <t>gene12690-v1.0-hybrid</t>
  </si>
  <si>
    <t>gene12991-v1.0-hybrid</t>
  </si>
  <si>
    <t>gene14193-v1.0-hybrid</t>
  </si>
  <si>
    <t>gene15398-v1.0-hybrid</t>
  </si>
  <si>
    <t>gene15699-v1.0-hybrid</t>
  </si>
  <si>
    <t>gene15999-v1.0-hybrid</t>
  </si>
  <si>
    <t>gene16600-v1.0-hybrid</t>
  </si>
  <si>
    <t>gene16901-v1.0-hybrid</t>
  </si>
  <si>
    <t>gene17502-v1.0-hybrid</t>
  </si>
  <si>
    <t>gene17802-v1.0-hybrid</t>
  </si>
  <si>
    <t>gene18102-v1.0-hybrid</t>
  </si>
  <si>
    <t>gene18702-v1.0-hybrid</t>
  </si>
  <si>
    <t>gene19002-v1.0-hybrid</t>
  </si>
  <si>
    <t>gene19302-v1.0-hybrid</t>
  </si>
  <si>
    <t>gene19602-v1.0-hybrid</t>
  </si>
  <si>
    <t>gene19902-v1.0-hybrid</t>
  </si>
  <si>
    <t>gene20202-v1.0-hybrid</t>
  </si>
  <si>
    <t>gene20803-v1.0-hybrid</t>
  </si>
  <si>
    <t>gene21103-v1.0-hybrid</t>
  </si>
  <si>
    <t>gene21403-v1.0-hybrid</t>
  </si>
  <si>
    <t>gene21704-v1.0-hybrid</t>
  </si>
  <si>
    <t>gene22004-v1.0-hybrid</t>
  </si>
  <si>
    <t>gene22305-v1.0-hybrid</t>
  </si>
  <si>
    <t>gene22906-v1.0-hybrid</t>
  </si>
  <si>
    <t>gene23208-v1.0-hybrid</t>
  </si>
  <si>
    <t>gene23808-v1.0-hybrid</t>
  </si>
  <si>
    <t>gene24108-v1.0-hybrid</t>
  </si>
  <si>
    <t>gene24410-v1.0-hybrid</t>
  </si>
  <si>
    <t>gene24711-v1.0-hybrid</t>
  </si>
  <si>
    <t>gene25313-v1.0-hybrid</t>
  </si>
  <si>
    <t>gene25613-v1.0-hybrid</t>
  </si>
  <si>
    <t>gene25913-v1.0-hybrid</t>
  </si>
  <si>
    <t>gene26213-v1.0-hybrid</t>
  </si>
  <si>
    <t>gene26513-v1.0-hybrid</t>
  </si>
  <si>
    <t>gene26814-v1.0-hybrid</t>
  </si>
  <si>
    <t>gene27114-v1.0-hybrid</t>
  </si>
  <si>
    <t>gene27414-v1.0-hybrid</t>
  </si>
  <si>
    <t>gene27714-v1.0-hybrid</t>
  </si>
  <si>
    <t>gene28014-v1.0-hybrid</t>
  </si>
  <si>
    <t>gene28914-v1.0-hybrid</t>
  </si>
  <si>
    <t>gene29214-v1.0-hybrid</t>
  </si>
  <si>
    <t>gene29514-v1.0-hybrid</t>
  </si>
  <si>
    <t>gene29815-v1.0-hybrid</t>
  </si>
  <si>
    <t>gene30416-v1.0-hybrid</t>
  </si>
  <si>
    <t>gene30716-v1.0-hybrid</t>
  </si>
  <si>
    <t>gene31016-v1.0-hybrid</t>
  </si>
  <si>
    <t>gene31316-v1.0-hybrid</t>
  </si>
  <si>
    <t>gene31916-v1.0-hybrid</t>
  </si>
  <si>
    <t>gene32516-v1.0-hybrid</t>
  </si>
  <si>
    <t>gene33981-v1.0-hybrid</t>
  </si>
  <si>
    <t>gene34881-v1.0-hybrid</t>
  </si>
  <si>
    <t>gene35181-v1.0-hybrid</t>
  </si>
  <si>
    <t>gene00293-v1.0-hybrid</t>
  </si>
  <si>
    <t>gene00897-v1.0-hybrid</t>
  </si>
  <si>
    <t>gene01197-v1.0-hybrid</t>
  </si>
  <si>
    <t>gene01498-v1.0-hybrid</t>
  </si>
  <si>
    <t>gene01798-v1.0-hybrid</t>
  </si>
  <si>
    <t>gene02098-v1.0-hybrid</t>
  </si>
  <si>
    <t>gene02398-v1.0-hybrid</t>
  </si>
  <si>
    <t>gene02698-v1.0-hybrid</t>
  </si>
  <si>
    <t>gene03386-v1.0-hybrid</t>
  </si>
  <si>
    <t>gene03686-v1.0-hybrid</t>
  </si>
  <si>
    <t>gene03986-v1.0-hybrid</t>
  </si>
  <si>
    <t>gene04286-v1.0-hybrid</t>
  </si>
  <si>
    <t>gene04586-v1.0-hybrid</t>
  </si>
  <si>
    <t>gene05487-v1.0-hybrid</t>
  </si>
  <si>
    <t>gene05787-v1.0-hybrid</t>
  </si>
  <si>
    <t>gene06087-v1.0-hybrid</t>
  </si>
  <si>
    <t>gene06387-v1.0-hybrid</t>
  </si>
  <si>
    <t>gene06687-v1.0-hybrid</t>
  </si>
  <si>
    <t>gene06987-v1.0-hybrid</t>
  </si>
  <si>
    <t>gene07287-v1.0-hybrid</t>
  </si>
  <si>
    <t>gene07587-v1.0-hybrid</t>
  </si>
  <si>
    <t>gene07888-v1.0-hybrid</t>
  </si>
  <si>
    <t>gene08188-v1.0-hybrid</t>
  </si>
  <si>
    <t>gene08488-v1.0-hybrid</t>
  </si>
  <si>
    <t>gene08788-v1.0-hybrid</t>
  </si>
  <si>
    <t>gene09388-v1.0-hybrid</t>
  </si>
  <si>
    <t>gene09688-v1.0-hybrid</t>
  </si>
  <si>
    <t>gene09989-v1.0-hybrid</t>
  </si>
  <si>
    <t>gene10289-v1.0-hybrid</t>
  </si>
  <si>
    <t>gene10590-v1.0-hybrid</t>
  </si>
  <si>
    <t>gene10890-v1.0-hybrid</t>
  </si>
  <si>
    <t>gene11191-v1.0-hybrid</t>
  </si>
  <si>
    <t>gene11491-v1.0-hybrid</t>
  </si>
  <si>
    <t>gene11791-v1.0-hybrid</t>
  </si>
  <si>
    <t>gene12091-v1.0-hybrid</t>
  </si>
  <si>
    <t>gene12391-v1.0-hybrid</t>
  </si>
  <si>
    <t>gene12691-v1.0-hybrid</t>
  </si>
  <si>
    <t>gene12992-v1.0-hybrid</t>
  </si>
  <si>
    <t>gene13292-v1.0-hybrid</t>
  </si>
  <si>
    <t>gene13592-v1.0-hybrid</t>
  </si>
  <si>
    <t>gene14194-v1.0-hybrid</t>
  </si>
  <si>
    <t>gene14494-v1.0-hybrid</t>
  </si>
  <si>
    <t>gene15399-v1.0-hybrid</t>
  </si>
  <si>
    <t>gene15700-v1.0-hybrid</t>
  </si>
  <si>
    <t>gene16000-v1.0-hybrid</t>
  </si>
  <si>
    <t>gene16601-v1.0-hybrid</t>
  </si>
  <si>
    <t>gene16902-v1.0-hybrid</t>
  </si>
  <si>
    <t>gene17203-v1.0-hybrid</t>
  </si>
  <si>
    <t>gene17503-v1.0-hybrid</t>
  </si>
  <si>
    <t>gene18103-v1.0-hybrid</t>
  </si>
  <si>
    <t>gene19303-v1.0-hybrid</t>
  </si>
  <si>
    <t>gene19903-v1.0-hybrid</t>
  </si>
  <si>
    <t>gene20203-v1.0-hybrid</t>
  </si>
  <si>
    <t>gene20804-v1.0-hybrid</t>
  </si>
  <si>
    <t>gene21404-v1.0-hybrid</t>
  </si>
  <si>
    <t>gene21705-v1.0-hybrid</t>
  </si>
  <si>
    <t>gene22907-v1.0-hybrid</t>
  </si>
  <si>
    <t>gene23209-v1.0-hybrid</t>
  </si>
  <si>
    <t>gene23509-v1.0-hybrid</t>
  </si>
  <si>
    <t>gene23809-v1.0-hybrid</t>
  </si>
  <si>
    <t>gene24109-v1.0-hybrid</t>
  </si>
  <si>
    <t>gene24411-v1.0-hybrid</t>
  </si>
  <si>
    <t>gene24712-v1.0-hybrid</t>
  </si>
  <si>
    <t>gene25314-v1.0-hybrid</t>
  </si>
  <si>
    <t>gene25614-v1.0-hybrid</t>
  </si>
  <si>
    <t>gene25914-v1.0-hybrid</t>
  </si>
  <si>
    <t>gene26214-v1.0-hybrid</t>
  </si>
  <si>
    <t>gene26514-v1.0-hybrid</t>
  </si>
  <si>
    <t>gene26815-v1.0-hybrid</t>
  </si>
  <si>
    <t>gene27115-v1.0-hybrid</t>
  </si>
  <si>
    <t>gene27415-v1.0-hybrid</t>
  </si>
  <si>
    <t>gene28015-v1.0-hybrid</t>
  </si>
  <si>
    <t>gene28615-v1.0-hybrid</t>
  </si>
  <si>
    <t>gene28915-v1.0-hybrid</t>
  </si>
  <si>
    <t>gene29215-v1.0-hybrid</t>
  </si>
  <si>
    <t>gene29816-v1.0-hybrid</t>
  </si>
  <si>
    <t>gene30417-v1.0-hybrid</t>
  </si>
  <si>
    <t>gene30717-v1.0-hybrid</t>
  </si>
  <si>
    <t>gene31017-v1.0-hybrid</t>
  </si>
  <si>
    <t>gene31617-v1.0-hybrid</t>
  </si>
  <si>
    <t>gene31917-v1.0-hybrid</t>
  </si>
  <si>
    <t>gene32217-v1.0-hybrid</t>
  </si>
  <si>
    <t>gene32517-v1.0-hybrid</t>
  </si>
  <si>
    <t>gene33982-v1.0-hybrid</t>
  </si>
  <si>
    <t>gene00294-v1.0-hybrid</t>
  </si>
  <si>
    <t>gene00598-v1.0-hybrid</t>
  </si>
  <si>
    <t>gene00898-v1.0-hybrid</t>
  </si>
  <si>
    <t>gene01198-v1.0-hybrid</t>
  </si>
  <si>
    <t>gene01799-v1.0-hybrid</t>
  </si>
  <si>
    <t>gene02099-v1.0-hybrid</t>
  </si>
  <si>
    <t>gene02399-v1.0-hybrid</t>
  </si>
  <si>
    <t>gene02699-v1.0-hybrid</t>
  </si>
  <si>
    <t>gene03387-v1.0-hybrid</t>
  </si>
  <si>
    <t>gene03687-v1.0-hybrid</t>
  </si>
  <si>
    <t>gene03987-v1.0-hybrid</t>
  </si>
  <si>
    <t>gene04287-v1.0-hybrid</t>
  </si>
  <si>
    <t>gene04587-v1.0-hybrid</t>
  </si>
  <si>
    <t>gene04887-v1.0-hybrid</t>
  </si>
  <si>
    <t>gene05187-v1.0-hybrid</t>
  </si>
  <si>
    <t>gene05488-v1.0-hybrid</t>
  </si>
  <si>
    <t>gene06088-v1.0-hybrid</t>
  </si>
  <si>
    <t>gene06388-v1.0-hybrid</t>
  </si>
  <si>
    <t>gene06688-v1.0-hybrid</t>
  </si>
  <si>
    <t>gene07588-v1.0-hybrid</t>
  </si>
  <si>
    <t>gene07889-v1.0-hybrid</t>
  </si>
  <si>
    <t>gene08189-v1.0-hybrid</t>
  </si>
  <si>
    <t>gene08489-v1.0-hybrid</t>
  </si>
  <si>
    <t>gene08789-v1.0-hybrid</t>
  </si>
  <si>
    <t>gene09089-v1.0-hybrid</t>
  </si>
  <si>
    <t>gene09389-v1.0-hybrid</t>
  </si>
  <si>
    <t>gene09689-v1.0-hybrid</t>
  </si>
  <si>
    <t>gene09990-v1.0-hybrid</t>
  </si>
  <si>
    <t>gene10591-v1.0-hybrid</t>
  </si>
  <si>
    <t>gene10891-v1.0-hybrid</t>
  </si>
  <si>
    <t>gene11192-v1.0-hybrid</t>
  </si>
  <si>
    <t>gene11492-v1.0-hybrid</t>
  </si>
  <si>
    <t>gene11792-v1.0-hybrid</t>
  </si>
  <si>
    <t>gene12092-v1.0-hybrid</t>
  </si>
  <si>
    <t>gene12392-v1.0-hybrid</t>
  </si>
  <si>
    <t>gene12692-v1.0-hybrid</t>
  </si>
  <si>
    <t>gene13293-v1.0-hybrid</t>
  </si>
  <si>
    <t>gene13593-v1.0-hybrid</t>
  </si>
  <si>
    <t>gene14195-v1.0-hybrid</t>
  </si>
  <si>
    <t>gene15099-v1.0-hybrid</t>
  </si>
  <si>
    <t>gene15400-v1.0-hybrid</t>
  </si>
  <si>
    <t>gene16001-v1.0-hybrid</t>
  </si>
  <si>
    <t>gene16602-v1.0-hybrid</t>
  </si>
  <si>
    <t>gene17204-v1.0-hybrid</t>
  </si>
  <si>
    <t>gene17804-v1.0-hybrid</t>
  </si>
  <si>
    <t>gene18104-v1.0-hybrid</t>
  </si>
  <si>
    <t>gene18404-v1.0-hybrid</t>
  </si>
  <si>
    <t>gene18704-v1.0-hybrid</t>
  </si>
  <si>
    <t>gene19004-v1.0-hybrid</t>
  </si>
  <si>
    <t>gene19304-v1.0-hybrid</t>
  </si>
  <si>
    <t>gene19604-v1.0-hybrid</t>
  </si>
  <si>
    <t>gene19904-v1.0-hybrid</t>
  </si>
  <si>
    <t>gene20505-v1.0-hybrid</t>
  </si>
  <si>
    <t>gene20805-v1.0-hybrid</t>
  </si>
  <si>
    <t>gene21405-v1.0-hybrid</t>
  </si>
  <si>
    <t>gene22006-v1.0-hybrid</t>
  </si>
  <si>
    <t>gene22307-v1.0-hybrid</t>
  </si>
  <si>
    <t>gene22908-v1.0-hybrid</t>
  </si>
  <si>
    <t>gene23510-v1.0-hybrid</t>
  </si>
  <si>
    <t>gene23810-v1.0-hybrid</t>
  </si>
  <si>
    <t>gene24412-v1.0-hybrid</t>
  </si>
  <si>
    <t>gene24713-v1.0-hybrid</t>
  </si>
  <si>
    <t>gene25015-v1.0-hybrid</t>
  </si>
  <si>
    <t>gene25315-v1.0-hybrid</t>
  </si>
  <si>
    <t>gene25615-v1.0-hybrid</t>
  </si>
  <si>
    <t>gene25915-v1.0-hybrid</t>
  </si>
  <si>
    <t>gene26215-v1.0-hybrid</t>
  </si>
  <si>
    <t>gene27116-v1.0-hybrid</t>
  </si>
  <si>
    <t>gene27416-v1.0-hybrid</t>
  </si>
  <si>
    <t>gene28016-v1.0-hybrid</t>
  </si>
  <si>
    <t>gene28316-v1.0-hybrid</t>
  </si>
  <si>
    <t>gene29516-v1.0-hybrid</t>
  </si>
  <si>
    <t>gene29817-v1.0-hybrid</t>
  </si>
  <si>
    <t>gene30118-v1.0-hybrid</t>
  </si>
  <si>
    <t>gene30418-v1.0-hybrid</t>
  </si>
  <si>
    <t>gene30718-v1.0-hybrid</t>
  </si>
  <si>
    <t>gene31018-v1.0-hybrid</t>
  </si>
  <si>
    <t>gene31618-v1.0-hybrid</t>
  </si>
  <si>
    <t>gene31918-v1.0-hybrid</t>
  </si>
  <si>
    <t>gene32218-v1.0-hybrid</t>
  </si>
  <si>
    <t>gene32518-v1.0-hybrid</t>
  </si>
  <si>
    <t>gene00295-v1.0-hybrid</t>
  </si>
  <si>
    <t>gene00599-v1.0-hybrid</t>
  </si>
  <si>
    <t>gene00899-v1.0-hybrid</t>
  </si>
  <si>
    <t>gene01500-v1.0-hybrid</t>
  </si>
  <si>
    <t>gene01800-v1.0-hybrid</t>
  </si>
  <si>
    <t>gene02100-v1.0-hybrid</t>
  </si>
  <si>
    <t>gene02400-v1.0-hybrid</t>
  </si>
  <si>
    <t>gene02700-v1.0-hybrid</t>
  </si>
  <si>
    <t>gene03088-v1.0-hybrid</t>
  </si>
  <si>
    <t>gene03388-v1.0-hybrid</t>
  </si>
  <si>
    <t>gene03688-v1.0-hybrid</t>
  </si>
  <si>
    <t>gene04288-v1.0-hybrid</t>
  </si>
  <si>
    <t>gene04588-v1.0-hybrid</t>
  </si>
  <si>
    <t>gene05188-v1.0-hybrid</t>
  </si>
  <si>
    <t>gene05489-v1.0-hybrid</t>
  </si>
  <si>
    <t>gene05789-v1.0-hybrid</t>
  </si>
  <si>
    <t>gene06389-v1.0-hybrid</t>
  </si>
  <si>
    <t>gene06989-v1.0-hybrid</t>
  </si>
  <si>
    <t>gene07289-v1.0-hybrid</t>
  </si>
  <si>
    <t>gene07589-v1.0-hybrid</t>
  </si>
  <si>
    <t>gene08190-v1.0-hybrid</t>
  </si>
  <si>
    <t>gene08790-v1.0-hybrid</t>
  </si>
  <si>
    <t>gene09090-v1.0-hybrid</t>
  </si>
  <si>
    <t>gene09390-v1.0-hybrid</t>
  </si>
  <si>
    <t>gene09690-v1.0-hybrid</t>
  </si>
  <si>
    <t>gene09991-v1.0-hybrid</t>
  </si>
  <si>
    <t>gene10291-v1.0-hybrid</t>
  </si>
  <si>
    <t>gene10592-v1.0-hybrid</t>
  </si>
  <si>
    <t>gene11193-v1.0-hybrid</t>
  </si>
  <si>
    <t>gene11793-v1.0-hybrid</t>
  </si>
  <si>
    <t>gene12393-v1.0-hybrid</t>
  </si>
  <si>
    <t>gene12693-v1.0-hybrid</t>
  </si>
  <si>
    <t>gene13294-v1.0-hybrid</t>
  </si>
  <si>
    <t>gene13594-v1.0-hybrid</t>
  </si>
  <si>
    <t>gene13895-v1.0-hybrid</t>
  </si>
  <si>
    <t>gene14196-v1.0-hybrid</t>
  </si>
  <si>
    <t>gene14496-v1.0-hybrid</t>
  </si>
  <si>
    <t>gene14798-v1.0-hybrid</t>
  </si>
  <si>
    <t>gene15401-v1.0-hybrid</t>
  </si>
  <si>
    <t>gene15702-v1.0-hybrid</t>
  </si>
  <si>
    <t>gene16603-v1.0-hybrid</t>
  </si>
  <si>
    <t>gene16904-v1.0-hybrid</t>
  </si>
  <si>
    <t>gene17205-v1.0-hybrid</t>
  </si>
  <si>
    <t>gene17805-v1.0-hybrid</t>
  </si>
  <si>
    <t>gene18405-v1.0-hybrid</t>
  </si>
  <si>
    <t>gene18705-v1.0-hybrid</t>
  </si>
  <si>
    <t>gene19005-v1.0-hybrid</t>
  </si>
  <si>
    <t>gene19305-v1.0-hybrid</t>
  </si>
  <si>
    <t>gene19605-v1.0-hybrid</t>
  </si>
  <si>
    <t>gene19905-v1.0-hybrid</t>
  </si>
  <si>
    <t>gene20205-v1.0-hybrid</t>
  </si>
  <si>
    <t>gene20806-v1.0-hybrid</t>
  </si>
  <si>
    <t>gene21106-v1.0-hybrid</t>
  </si>
  <si>
    <t>gene21406-v1.0-hybrid</t>
  </si>
  <si>
    <t>gene21707-v1.0-hybrid</t>
  </si>
  <si>
    <t>gene22007-v1.0-hybrid</t>
  </si>
  <si>
    <t>gene22308-v1.0-hybrid</t>
  </si>
  <si>
    <t>gene22909-v1.0-hybrid</t>
  </si>
  <si>
    <t>gene23211-v1.0-hybrid</t>
  </si>
  <si>
    <t>gene23511-v1.0-hybrid</t>
  </si>
  <si>
    <t>gene24111-v1.0-hybrid</t>
  </si>
  <si>
    <t>gene24714-v1.0-hybrid</t>
  </si>
  <si>
    <t>gene25016-v1.0-hybrid</t>
  </si>
  <si>
    <t>gene25316-v1.0-hybrid</t>
  </si>
  <si>
    <t>gene25916-v1.0-hybrid</t>
  </si>
  <si>
    <t>gene26216-v1.0-hybrid</t>
  </si>
  <si>
    <t>gene26817-v1.0-hybrid</t>
  </si>
  <si>
    <t>gene27117-v1.0-hybrid</t>
  </si>
  <si>
    <t>gene27417-v1.0-hybrid</t>
  </si>
  <si>
    <t>gene28017-v1.0-hybrid</t>
  </si>
  <si>
    <t>gene28317-v1.0-hybrid</t>
  </si>
  <si>
    <t>gene28917-v1.0-hybrid</t>
  </si>
  <si>
    <t>gene29517-v1.0-hybrid</t>
  </si>
  <si>
    <t>gene29818-v1.0-hybrid</t>
  </si>
  <si>
    <t>gene30119-v1.0-hybrid</t>
  </si>
  <si>
    <t>gene30419-v1.0-hybrid</t>
  </si>
  <si>
    <t>gene30719-v1.0-hybrid</t>
  </si>
  <si>
    <t>gene31019-v1.0-hybrid</t>
  </si>
  <si>
    <t>gene31319-v1.0-hybrid</t>
  </si>
  <si>
    <t>gene31619-v1.0-hybrid</t>
  </si>
  <si>
    <t>gene31919-v1.0-hybrid</t>
  </si>
  <si>
    <t>gene32219-v1.0-hybrid</t>
  </si>
  <si>
    <t>gene32519-v1.0-hybrid</t>
  </si>
  <si>
    <t>gene32850-v1.0-hybrid</t>
  </si>
  <si>
    <t>gene33249-v1.0-hybrid</t>
  </si>
  <si>
    <t>gene33984-v1.0-hybrid</t>
  </si>
  <si>
    <t>gene34284-v1.0-hybrid</t>
  </si>
  <si>
    <t>gene34584-v1.0-hybrid</t>
  </si>
  <si>
    <t>gene00296-v1.0-hybrid</t>
  </si>
  <si>
    <t>gene00600-v1.0-hybrid</t>
  </si>
  <si>
    <t>gene00900-v1.0-hybrid</t>
  </si>
  <si>
    <t>gene01501-v1.0-hybrid</t>
  </si>
  <si>
    <t>gene01801-v1.0-hybrid</t>
  </si>
  <si>
    <t>gene02101-v1.0-hybrid</t>
  </si>
  <si>
    <t>gene02401-v1.0-hybrid</t>
  </si>
  <si>
    <t>gene02701-v1.0-hybrid</t>
  </si>
  <si>
    <t>gene03089-v1.0-hybrid</t>
  </si>
  <si>
    <t>gene03389-v1.0-hybrid</t>
  </si>
  <si>
    <t>gene03689-v1.0-hybrid</t>
  </si>
  <si>
    <t>gene03989-v1.0-hybrid</t>
  </si>
  <si>
    <t>gene04289-v1.0-hybrid</t>
  </si>
  <si>
    <t>gene04589-v1.0-hybrid</t>
  </si>
  <si>
    <t>gene04889-v1.0-hybrid</t>
  </si>
  <si>
    <t>gene05790-v1.0-hybrid</t>
  </si>
  <si>
    <t>gene06090-v1.0-hybrid</t>
  </si>
  <si>
    <t>gene06390-v1.0-hybrid</t>
  </si>
  <si>
    <t>gene06690-v1.0-hybrid</t>
  </si>
  <si>
    <t>gene06990-v1.0-hybrid</t>
  </si>
  <si>
    <t>gene07290-v1.0-hybrid</t>
  </si>
  <si>
    <t>gene07590-v1.0-hybrid</t>
  </si>
  <si>
    <t>gene07891-v1.0-hybrid</t>
  </si>
  <si>
    <t>gene08191-v1.0-hybrid</t>
  </si>
  <si>
    <t>gene08491-v1.0-hybrid</t>
  </si>
  <si>
    <t>gene08791-v1.0-hybrid</t>
  </si>
  <si>
    <t>gene09091-v1.0-hybrid</t>
  </si>
  <si>
    <t>gene09391-v1.0-hybrid</t>
  </si>
  <si>
    <t>gene09691-v1.0-hybrid</t>
  </si>
  <si>
    <t>gene09992-v1.0-hybrid</t>
  </si>
  <si>
    <t>gene10292-v1.0-hybrid</t>
  </si>
  <si>
    <t>gene10593-v1.0-hybrid</t>
  </si>
  <si>
    <t>gene10893-v1.0-hybrid</t>
  </si>
  <si>
    <t>gene11194-v1.0-hybrid</t>
  </si>
  <si>
    <t>gene11794-v1.0-hybrid</t>
  </si>
  <si>
    <t>gene12094-v1.0-hybrid</t>
  </si>
  <si>
    <t>gene12694-v1.0-hybrid</t>
  </si>
  <si>
    <t>gene13295-v1.0-hybrid</t>
  </si>
  <si>
    <t>gene13595-v1.0-hybrid</t>
  </si>
  <si>
    <t>gene13896-v1.0-hybrid</t>
  </si>
  <si>
    <t>gene14197-v1.0-hybrid</t>
  </si>
  <si>
    <t>gene14799-v1.0-hybrid</t>
  </si>
  <si>
    <t>gene15402-v1.0-hybrid</t>
  </si>
  <si>
    <t>gene15703-v1.0-hybrid</t>
  </si>
  <si>
    <t>gene16004-v1.0-hybrid</t>
  </si>
  <si>
    <t>gene16604-v1.0-hybrid</t>
  </si>
  <si>
    <t>gene16905-v1.0-hybrid</t>
  </si>
  <si>
    <t>gene17206-v1.0-hybrid</t>
  </si>
  <si>
    <t>gene17506-v1.0-hybrid</t>
  </si>
  <si>
    <t>gene18106-v1.0-hybrid</t>
  </si>
  <si>
    <t>gene18406-v1.0-hybrid</t>
  </si>
  <si>
    <t>gene18706-v1.0-hybrid</t>
  </si>
  <si>
    <t>gene19006-v1.0-hybrid</t>
  </si>
  <si>
    <t>gene19306-v1.0-hybrid</t>
  </si>
  <si>
    <t>gene19606-v1.0-hybrid</t>
  </si>
  <si>
    <t>gene19906-v1.0-hybrid</t>
  </si>
  <si>
    <t>gene20206-v1.0-hybrid</t>
  </si>
  <si>
    <t>gene21107-v1.0-hybrid</t>
  </si>
  <si>
    <t>gene21407-v1.0-hybrid</t>
  </si>
  <si>
    <t>gene21708-v1.0-hybrid</t>
  </si>
  <si>
    <t>gene22309-v1.0-hybrid</t>
  </si>
  <si>
    <t>gene22609-v1.0-hybrid</t>
  </si>
  <si>
    <t>gene22910-v1.0-hybrid</t>
  </si>
  <si>
    <t>gene23212-v1.0-hybrid</t>
  </si>
  <si>
    <t>gene23512-v1.0-hybrid</t>
  </si>
  <si>
    <t>gene24414-v1.0-hybrid</t>
  </si>
  <si>
    <t>gene25017-v1.0-hybrid</t>
  </si>
  <si>
    <t>gene25317-v1.0-hybrid</t>
  </si>
  <si>
    <t>gene25617-v1.0-hybrid</t>
  </si>
  <si>
    <t>gene25917-v1.0-hybrid</t>
  </si>
  <si>
    <t>gene26217-v1.0-hybrid</t>
  </si>
  <si>
    <t>gene27418-v1.0-hybrid</t>
  </si>
  <si>
    <t>gene27718-v1.0-hybrid</t>
  </si>
  <si>
    <t>gene28318-v1.0-hybrid</t>
  </si>
  <si>
    <t>gene28618-v1.0-hybrid</t>
  </si>
  <si>
    <t>gene28918-v1.0-hybrid</t>
  </si>
  <si>
    <t>gene29218-v1.0-hybrid</t>
  </si>
  <si>
    <t>gene29518-v1.0-hybrid</t>
  </si>
  <si>
    <t>gene29819-v1.0-hybrid</t>
  </si>
  <si>
    <t>gene30120-v1.0-hybrid</t>
  </si>
  <si>
    <t>gene30420-v1.0-hybrid</t>
  </si>
  <si>
    <t>gene30720-v1.0-hybrid</t>
  </si>
  <si>
    <t>gene31320-v1.0-hybrid</t>
  </si>
  <si>
    <t>gene31620-v1.0-hybrid</t>
  </si>
  <si>
    <t>gene31920-v1.0-hybrid</t>
  </si>
  <si>
    <t>gene32220-v1.0-hybrid</t>
  </si>
  <si>
    <t>gene32520-v1.0-hybrid</t>
  </si>
  <si>
    <t>gene33643-v1.0-hybrid</t>
  </si>
  <si>
    <t>gene33985-v1.0-hybrid</t>
  </si>
  <si>
    <t>gene34285-v1.0-hybrid</t>
  </si>
  <si>
    <t>gene34885-v1.0-hybrid</t>
  </si>
  <si>
    <t>gene00297-v1.0-hybrid</t>
  </si>
  <si>
    <t>gene00601-v1.0-hybrid</t>
  </si>
  <si>
    <t>gene00901-v1.0-hybrid</t>
  </si>
  <si>
    <t>gene01201-v1.0-hybrid</t>
  </si>
  <si>
    <t>gene01502-v1.0-hybrid</t>
  </si>
  <si>
    <t>gene01802-v1.0-hybrid</t>
  </si>
  <si>
    <t>gene02102-v1.0-hybrid</t>
  </si>
  <si>
    <t>gene02402-v1.0-hybrid</t>
  </si>
  <si>
    <t>gene02702-v1.0-hybrid</t>
  </si>
  <si>
    <t>gene03090-v1.0-hybrid</t>
  </si>
  <si>
    <t>gene03390-v1.0-hybrid</t>
  </si>
  <si>
    <t>gene04290-v1.0-hybrid</t>
  </si>
  <si>
    <t>gene04590-v1.0-hybrid</t>
  </si>
  <si>
    <t>gene05491-v1.0-hybrid</t>
  </si>
  <si>
    <t>gene05791-v1.0-hybrid</t>
  </si>
  <si>
    <t>gene06091-v1.0-hybrid</t>
  </si>
  <si>
    <t>gene06391-v1.0-hybrid</t>
  </si>
  <si>
    <t>gene06691-v1.0-hybrid</t>
  </si>
  <si>
    <t>gene06991-v1.0-hybrid</t>
  </si>
  <si>
    <t>gene07291-v1.0-hybrid</t>
  </si>
  <si>
    <t>gene07892-v1.0-hybrid</t>
  </si>
  <si>
    <t>gene08492-v1.0-hybrid</t>
  </si>
  <si>
    <t>gene08792-v1.0-hybrid</t>
  </si>
  <si>
    <t>gene09092-v1.0-hybrid</t>
  </si>
  <si>
    <t>gene09392-v1.0-hybrid</t>
  </si>
  <si>
    <t>gene10293-v1.0-hybrid</t>
  </si>
  <si>
    <t>gene10594-v1.0-hybrid</t>
  </si>
  <si>
    <t>gene11195-v1.0-hybrid</t>
  </si>
  <si>
    <t>gene11795-v1.0-hybrid</t>
  </si>
  <si>
    <t>gene12095-v1.0-hybrid</t>
  </si>
  <si>
    <t>gene12395-v1.0-hybrid</t>
  </si>
  <si>
    <t>gene12695-v1.0-hybrid</t>
  </si>
  <si>
    <t>gene12996-v1.0-hybrid</t>
  </si>
  <si>
    <t>gene13296-v1.0-hybrid</t>
  </si>
  <si>
    <t>gene13596-v1.0-hybrid</t>
  </si>
  <si>
    <t>gene14198-v1.0-hybrid</t>
  </si>
  <si>
    <t>gene14800-v1.0-hybrid</t>
  </si>
  <si>
    <t>gene15102-v1.0-hybrid</t>
  </si>
  <si>
    <t>gene15403-v1.0-hybrid</t>
  </si>
  <si>
    <t>gene15704-v1.0-hybrid</t>
  </si>
  <si>
    <t>gene16305-v1.0-hybrid</t>
  </si>
  <si>
    <t>gene16605-v1.0-hybrid</t>
  </si>
  <si>
    <t>gene16906-v1.0-hybrid</t>
  </si>
  <si>
    <t>gene17207-v1.0-hybrid</t>
  </si>
  <si>
    <t>gene17507-v1.0-hybrid</t>
  </si>
  <si>
    <t>gene18707-v1.0-hybrid</t>
  </si>
  <si>
    <t>gene19007-v1.0-hybrid</t>
  </si>
  <si>
    <t>gene19307-v1.0-hybrid</t>
  </si>
  <si>
    <t>gene19907-v1.0-hybrid</t>
  </si>
  <si>
    <t>gene20207-v1.0-hybrid</t>
  </si>
  <si>
    <t>gene20508-v1.0-hybrid</t>
  </si>
  <si>
    <t>gene20808-v1.0-hybrid</t>
  </si>
  <si>
    <t>gene21408-v1.0-hybrid</t>
  </si>
  <si>
    <t>gene21709-v1.0-hybrid</t>
  </si>
  <si>
    <t>gene22310-v1.0-hybrid</t>
  </si>
  <si>
    <t>gene22911-v1.0-hybrid</t>
  </si>
  <si>
    <t>gene23213-v1.0-hybrid</t>
  </si>
  <si>
    <t>gene23513-v1.0-hybrid</t>
  </si>
  <si>
    <t>gene23813-v1.0-hybrid</t>
  </si>
  <si>
    <t>gene24113-v1.0-hybrid</t>
  </si>
  <si>
    <t>gene24415-v1.0-hybrid</t>
  </si>
  <si>
    <t>gene24716-v1.0-hybrid</t>
  </si>
  <si>
    <t>gene25018-v1.0-hybrid</t>
  </si>
  <si>
    <t>gene25618-v1.0-hybrid</t>
  </si>
  <si>
    <t>gene25918-v1.0-hybrid</t>
  </si>
  <si>
    <t>gene26819-v1.0-hybrid</t>
  </si>
  <si>
    <t>gene27419-v1.0-hybrid</t>
  </si>
  <si>
    <t>gene27719-v1.0-hybrid</t>
  </si>
  <si>
    <t>gene28019-v1.0-hybrid</t>
  </si>
  <si>
    <t>gene28919-v1.0-hybrid</t>
  </si>
  <si>
    <t>gene29219-v1.0-hybrid</t>
  </si>
  <si>
    <t>gene29820-v1.0-hybrid</t>
  </si>
  <si>
    <t>gene30121-v1.0-hybrid</t>
  </si>
  <si>
    <t>gene30421-v1.0-hybrid</t>
  </si>
  <si>
    <t>gene30721-v1.0-hybrid</t>
  </si>
  <si>
    <t>gene31321-v1.0-hybrid</t>
  </si>
  <si>
    <t>gene31621-v1.0-hybrid</t>
  </si>
  <si>
    <t>gene31921-v1.0-hybrid</t>
  </si>
  <si>
    <t>gene34286-v1.0-hybrid</t>
  </si>
  <si>
    <t>gene34586-v1.0-hybrid</t>
  </si>
  <si>
    <t>gene34886-v1.0-hybrid</t>
  </si>
  <si>
    <t>gene00298-v1.0-hybrid</t>
  </si>
  <si>
    <t>gene00602-v1.0-hybrid</t>
  </si>
  <si>
    <t>gene01202-v1.0-hybrid</t>
  </si>
  <si>
    <t>gene01503-v1.0-hybrid</t>
  </si>
  <si>
    <t>gene01803-v1.0-hybrid</t>
  </si>
  <si>
    <t>gene02403-v1.0-hybrid</t>
  </si>
  <si>
    <t>gene02703-v1.0-hybrid</t>
  </si>
  <si>
    <t>gene03091-v1.0-hybrid</t>
  </si>
  <si>
    <t>gene03391-v1.0-hybrid</t>
  </si>
  <si>
    <t>gene03691-v1.0-hybrid</t>
  </si>
  <si>
    <t>gene03991-v1.0-hybrid</t>
  </si>
  <si>
    <t>gene04291-v1.0-hybrid</t>
  </si>
  <si>
    <t>gene04591-v1.0-hybrid</t>
  </si>
  <si>
    <t>gene05191-v1.0-hybrid</t>
  </si>
  <si>
    <t>gene05792-v1.0-hybrid</t>
  </si>
  <si>
    <t>gene06092-v1.0-hybrid</t>
  </si>
  <si>
    <t>gene06392-v1.0-hybrid</t>
  </si>
  <si>
    <t>gene06692-v1.0-hybrid</t>
  </si>
  <si>
    <t>gene06992-v1.0-hybrid</t>
  </si>
  <si>
    <t>gene07292-v1.0-hybrid</t>
  </si>
  <si>
    <t>gene07893-v1.0-hybrid</t>
  </si>
  <si>
    <t>gene08493-v1.0-hybrid</t>
  </si>
  <si>
    <t>gene08793-v1.0-hybrid</t>
  </si>
  <si>
    <t>gene09093-v1.0-hybrid</t>
  </si>
  <si>
    <t>gene09393-v1.0-hybrid</t>
  </si>
  <si>
    <t>gene10294-v1.0-hybrid</t>
  </si>
  <si>
    <t>gene10595-v1.0-hybrid</t>
  </si>
  <si>
    <t>gene10895-v1.0-hybrid</t>
  </si>
  <si>
    <t>gene11196-v1.0-hybrid</t>
  </si>
  <si>
    <t>gene11496-v1.0-hybrid</t>
  </si>
  <si>
    <t>gene11796-v1.0-hybrid</t>
  </si>
  <si>
    <t>gene12096-v1.0-hybrid</t>
  </si>
  <si>
    <t>gene12396-v1.0-hybrid</t>
  </si>
  <si>
    <t>gene12696-v1.0-hybrid</t>
  </si>
  <si>
    <t>gene12997-v1.0-hybrid</t>
  </si>
  <si>
    <t>gene13297-v1.0-hybrid</t>
  </si>
  <si>
    <t>gene13597-v1.0-hybrid</t>
  </si>
  <si>
    <t>gene13898-v1.0-hybrid</t>
  </si>
  <si>
    <t>gene14199-v1.0-hybrid</t>
  </si>
  <si>
    <t>gene14801-v1.0-hybrid</t>
  </si>
  <si>
    <t>gene15404-v1.0-hybrid</t>
  </si>
  <si>
    <t>gene16006-v1.0-hybrid</t>
  </si>
  <si>
    <t>gene16606-v1.0-hybrid</t>
  </si>
  <si>
    <t>gene16907-v1.0-hybrid</t>
  </si>
  <si>
    <t>gene17208-v1.0-hybrid</t>
  </si>
  <si>
    <t>gene18108-v1.0-hybrid</t>
  </si>
  <si>
    <t>gene18408-v1.0-hybrid</t>
  </si>
  <si>
    <t>gene18708-v1.0-hybrid</t>
  </si>
  <si>
    <t>gene19008-v1.0-hybrid</t>
  </si>
  <si>
    <t>gene19308-v1.0-hybrid</t>
  </si>
  <si>
    <t>gene19608-v1.0-hybrid</t>
  </si>
  <si>
    <t>gene20208-v1.0-hybrid</t>
  </si>
  <si>
    <t>gene20809-v1.0-hybrid</t>
  </si>
  <si>
    <t>gene21109-v1.0-hybrid</t>
  </si>
  <si>
    <t>gene21409-v1.0-hybrid</t>
  </si>
  <si>
    <t>gene22311-v1.0-hybrid</t>
  </si>
  <si>
    <t>gene22611-v1.0-hybrid</t>
  </si>
  <si>
    <t>gene22912-v1.0-hybrid</t>
  </si>
  <si>
    <t>gene23214-v1.0-hybrid</t>
  </si>
  <si>
    <t>gene23514-v1.0-hybrid</t>
  </si>
  <si>
    <t>gene23814-v1.0-hybrid</t>
  </si>
  <si>
    <t>gene24114-v1.0-hybrid</t>
  </si>
  <si>
    <t>gene24416-v1.0-hybrid</t>
  </si>
  <si>
    <t>gene24717-v1.0-hybrid</t>
  </si>
  <si>
    <t>gene25019-v1.0-hybrid</t>
  </si>
  <si>
    <t>gene26219-v1.0-hybrid</t>
  </si>
  <si>
    <t>gene26519-v1.0-hybrid</t>
  </si>
  <si>
    <t>gene26820-v1.0-hybrid</t>
  </si>
  <si>
    <t>gene27420-v1.0-hybrid</t>
  </si>
  <si>
    <t>gene27720-v1.0-hybrid</t>
  </si>
  <si>
    <t>gene28020-v1.0-hybrid</t>
  </si>
  <si>
    <t>gene28320-v1.0-hybrid</t>
  </si>
  <si>
    <t>gene28620-v1.0-hybrid</t>
  </si>
  <si>
    <t>gene28920-v1.0-hybrid</t>
  </si>
  <si>
    <t>gene29220-v1.0-hybrid</t>
  </si>
  <si>
    <t>gene29520-v1.0-hybrid</t>
  </si>
  <si>
    <t>gene29821-v1.0-hybrid</t>
  </si>
  <si>
    <t>gene30122-v1.0-hybrid</t>
  </si>
  <si>
    <t>gene30422-v1.0-hybrid</t>
  </si>
  <si>
    <t>gene31022-v1.0-hybrid</t>
  </si>
  <si>
    <t>gene31322-v1.0-hybrid</t>
  </si>
  <si>
    <t>gene31922-v1.0-hybrid</t>
  </si>
  <si>
    <t>gene32222-v1.0-hybrid</t>
  </si>
  <si>
    <t>gene33646-v1.0-hybrid</t>
  </si>
  <si>
    <t>gene33987-v1.0-hybrid</t>
  </si>
  <si>
    <t>gene34587-v1.0-hybrid</t>
  </si>
  <si>
    <t>gene34887-v1.0-hybrid</t>
  </si>
  <si>
    <t>gene00299-v1.0-hybrid</t>
  </si>
  <si>
    <t>gene00603-v1.0-hybrid</t>
  </si>
  <si>
    <t>gene00903-v1.0-hybrid</t>
  </si>
  <si>
    <t>gene01203-v1.0-hybrid</t>
  </si>
  <si>
    <t>gene01504-v1.0-hybrid</t>
  </si>
  <si>
    <t>gene01804-v1.0-hybrid</t>
  </si>
  <si>
    <t>gene02104-v1.0-hybrid</t>
  </si>
  <si>
    <t>gene02704-v1.0-hybrid</t>
  </si>
  <si>
    <t>gene03392-v1.0-hybrid</t>
  </si>
  <si>
    <t>gene03692-v1.0-hybrid</t>
  </si>
  <si>
    <t>gene03992-v1.0-hybrid</t>
  </si>
  <si>
    <t>gene04292-v1.0-hybrid</t>
  </si>
  <si>
    <t>gene04592-v1.0-hybrid</t>
  </si>
  <si>
    <t>gene04892-v1.0-hybrid</t>
  </si>
  <si>
    <t>gene05493-v1.0-hybrid</t>
  </si>
  <si>
    <t>gene05793-v1.0-hybrid</t>
  </si>
  <si>
    <t>gene06093-v1.0-hybrid</t>
  </si>
  <si>
    <t>gene06393-v1.0-hybrid</t>
  </si>
  <si>
    <t>gene06693-v1.0-hybrid</t>
  </si>
  <si>
    <t>gene06993-v1.0-hybrid</t>
  </si>
  <si>
    <t>gene07293-v1.0-hybrid</t>
  </si>
  <si>
    <t>gene07894-v1.0-hybrid</t>
  </si>
  <si>
    <t>gene08194-v1.0-hybrid</t>
  </si>
  <si>
    <t>gene08794-v1.0-hybrid</t>
  </si>
  <si>
    <t>gene09094-v1.0-hybrid</t>
  </si>
  <si>
    <t>gene09394-v1.0-hybrid</t>
  </si>
  <si>
    <t>gene09694-v1.0-hybrid</t>
  </si>
  <si>
    <t>gene10295-v1.0-hybrid</t>
  </si>
  <si>
    <t>gene11197-v1.0-hybrid</t>
  </si>
  <si>
    <t>gene11497-v1.0-hybrid</t>
  </si>
  <si>
    <t>gene12097-v1.0-hybrid</t>
  </si>
  <si>
    <t>gene12397-v1.0-hybrid</t>
  </si>
  <si>
    <t>gene12998-v1.0-hybrid</t>
  </si>
  <si>
    <t>gene13298-v1.0-hybrid</t>
  </si>
  <si>
    <t>gene13598-v1.0-hybrid</t>
  </si>
  <si>
    <t>gene14200-v1.0-hybrid</t>
  </si>
  <si>
    <t>gene14802-v1.0-hybrid</t>
  </si>
  <si>
    <t>gene15104-v1.0-hybrid</t>
  </si>
  <si>
    <t>gene15405-v1.0-hybrid</t>
  </si>
  <si>
    <t>gene15706-v1.0-hybrid</t>
  </si>
  <si>
    <t>gene16607-v1.0-hybrid</t>
  </si>
  <si>
    <t>gene16908-v1.0-hybrid</t>
  </si>
  <si>
    <t>gene17209-v1.0-hybrid</t>
  </si>
  <si>
    <t>gene18409-v1.0-hybrid</t>
  </si>
  <si>
    <t>gene18709-v1.0-hybrid</t>
  </si>
  <si>
    <t>gene19009-v1.0-hybrid</t>
  </si>
  <si>
    <t>gene19609-v1.0-hybrid</t>
  </si>
  <si>
    <t>gene19909-v1.0-hybrid</t>
  </si>
  <si>
    <t>gene20810-v1.0-hybrid</t>
  </si>
  <si>
    <t>gene21410-v1.0-hybrid</t>
  </si>
  <si>
    <t>gene22011-v1.0-hybrid</t>
  </si>
  <si>
    <t>gene22312-v1.0-hybrid</t>
  </si>
  <si>
    <t>gene22612-v1.0-hybrid</t>
  </si>
  <si>
    <t>gene22913-v1.0-hybrid</t>
  </si>
  <si>
    <t>gene23515-v1.0-hybrid</t>
  </si>
  <si>
    <t>gene23815-v1.0-hybrid</t>
  </si>
  <si>
    <t>gene24115-v1.0-hybrid</t>
  </si>
  <si>
    <t>gene24718-v1.0-hybrid</t>
  </si>
  <si>
    <t>gene25920-v1.0-hybrid</t>
  </si>
  <si>
    <t>gene27421-v1.0-hybrid</t>
  </si>
  <si>
    <t>gene28021-v1.0-hybrid</t>
  </si>
  <si>
    <t>gene28321-v1.0-hybrid</t>
  </si>
  <si>
    <t>gene28621-v1.0-hybrid</t>
  </si>
  <si>
    <t>gene28921-v1.0-hybrid</t>
  </si>
  <si>
    <t>gene29221-v1.0-hybrid</t>
  </si>
  <si>
    <t>gene29521-v1.0-hybrid</t>
  </si>
  <si>
    <t>gene29822-v1.0-hybrid</t>
  </si>
  <si>
    <t>gene30123-v1.0-hybrid</t>
  </si>
  <si>
    <t>gene31023-v1.0-hybrid</t>
  </si>
  <si>
    <t>gene31323-v1.0-hybrid</t>
  </si>
  <si>
    <t>gene31923-v1.0-hybrid</t>
  </si>
  <si>
    <t>gene32223-v1.0-hybrid</t>
  </si>
  <si>
    <t>gene33256-v1.0-hybrid</t>
  </si>
  <si>
    <t>gene34288-v1.0-hybrid</t>
  </si>
  <si>
    <t>gene34888-v1.0-hybrid</t>
  </si>
  <si>
    <t>gene00604-v1.0-hybrid</t>
  </si>
  <si>
    <t>gene00904-v1.0-hybrid</t>
  </si>
  <si>
    <t>gene01204-v1.0-hybrid</t>
  </si>
  <si>
    <t>gene01505-v1.0-hybrid</t>
  </si>
  <si>
    <t>gene01805-v1.0-hybrid</t>
  </si>
  <si>
    <t>gene02705-v1.0-hybrid</t>
  </si>
  <si>
    <t>gene03093-v1.0-hybrid</t>
  </si>
  <si>
    <t>gene03393-v1.0-hybrid</t>
  </si>
  <si>
    <t>gene03693-v1.0-hybrid</t>
  </si>
  <si>
    <t>gene03993-v1.0-hybrid</t>
  </si>
  <si>
    <t>gene04293-v1.0-hybrid</t>
  </si>
  <si>
    <t>gene04593-v1.0-hybrid</t>
  </si>
  <si>
    <t>gene04893-v1.0-hybrid</t>
  </si>
  <si>
    <t>gene05494-v1.0-hybrid</t>
  </si>
  <si>
    <t>gene05794-v1.0-hybrid</t>
  </si>
  <si>
    <t>gene06394-v1.0-hybrid</t>
  </si>
  <si>
    <t>gene06694-v1.0-hybrid</t>
  </si>
  <si>
    <t>gene07594-v1.0-hybrid</t>
  </si>
  <si>
    <t>gene08195-v1.0-hybrid</t>
  </si>
  <si>
    <t>gene08495-v1.0-hybrid</t>
  </si>
  <si>
    <t>gene08795-v1.0-hybrid</t>
  </si>
  <si>
    <t>gene09095-v1.0-hybrid</t>
  </si>
  <si>
    <t>gene09695-v1.0-hybrid</t>
  </si>
  <si>
    <t>gene09996-v1.0-hybrid</t>
  </si>
  <si>
    <t>gene10296-v1.0-hybrid</t>
  </si>
  <si>
    <t>gene10897-v1.0-hybrid</t>
  </si>
  <si>
    <t>gene11198-v1.0-hybrid</t>
  </si>
  <si>
    <t>gene11498-v1.0-hybrid</t>
  </si>
  <si>
    <t>gene11798-v1.0-hybrid</t>
  </si>
  <si>
    <t>gene12098-v1.0-hybrid</t>
  </si>
  <si>
    <t>gene12398-v1.0-hybrid</t>
  </si>
  <si>
    <t>gene12698-v1.0-hybrid</t>
  </si>
  <si>
    <t>gene12999-v1.0-hybrid</t>
  </si>
  <si>
    <t>gene13299-v1.0-hybrid</t>
  </si>
  <si>
    <t>gene13599-v1.0-hybrid</t>
  </si>
  <si>
    <t>gene13900-v1.0-hybrid</t>
  </si>
  <si>
    <t>gene14201-v1.0-hybrid</t>
  </si>
  <si>
    <t>gene14501-v1.0-hybrid</t>
  </si>
  <si>
    <t>gene15105-v1.0-hybrid</t>
  </si>
  <si>
    <t>gene15406-v1.0-hybrid</t>
  </si>
  <si>
    <t>gene15707-v1.0-hybrid</t>
  </si>
  <si>
    <t>gene16008-v1.0-hybrid</t>
  </si>
  <si>
    <t>gene16608-v1.0-hybrid</t>
  </si>
  <si>
    <t>gene17210-v1.0-hybrid</t>
  </si>
  <si>
    <t>gene17810-v1.0-hybrid</t>
  </si>
  <si>
    <t>gene18110-v1.0-hybrid</t>
  </si>
  <si>
    <t>gene18410-v1.0-hybrid</t>
  </si>
  <si>
    <t>gene18710-v1.0-hybrid</t>
  </si>
  <si>
    <t>gene19010-v1.0-hybrid</t>
  </si>
  <si>
    <t>gene19310-v1.0-hybrid</t>
  </si>
  <si>
    <t>gene19910-v1.0-hybrid</t>
  </si>
  <si>
    <t>gene20511-v1.0-hybrid</t>
  </si>
  <si>
    <t>gene20811-v1.0-hybrid</t>
  </si>
  <si>
    <t>gene22313-v1.0-hybrid</t>
  </si>
  <si>
    <t>gene22613-v1.0-hybrid</t>
  </si>
  <si>
    <t>gene23216-v1.0-hybrid</t>
  </si>
  <si>
    <t>gene23516-v1.0-hybrid</t>
  </si>
  <si>
    <t>gene23816-v1.0-hybrid</t>
  </si>
  <si>
    <t>gene24116-v1.0-hybrid</t>
  </si>
  <si>
    <t>gene25321-v1.0-hybrid</t>
  </si>
  <si>
    <t>gene25621-v1.0-hybrid</t>
  </si>
  <si>
    <t>gene25921-v1.0-hybrid</t>
  </si>
  <si>
    <t>gene26521-v1.0-hybrid</t>
  </si>
  <si>
    <t>gene27422-v1.0-hybrid</t>
  </si>
  <si>
    <t>gene27722-v1.0-hybrid</t>
  </si>
  <si>
    <t>gene28022-v1.0-hybrid</t>
  </si>
  <si>
    <t>gene28322-v1.0-hybrid</t>
  </si>
  <si>
    <t>gene28622-v1.0-hybrid</t>
  </si>
  <si>
    <t>gene28922-v1.0-hybrid</t>
  </si>
  <si>
    <t>gene29222-v1.0-hybrid</t>
  </si>
  <si>
    <t>gene29522-v1.0-hybrid</t>
  </si>
  <si>
    <t>gene29823-v1.0-hybrid</t>
  </si>
  <si>
    <t>gene30424-v1.0-hybrid</t>
  </si>
  <si>
    <t>gene30724-v1.0-hybrid</t>
  </si>
  <si>
    <t>gene31024-v1.0-hybrid</t>
  </si>
  <si>
    <t>gene31324-v1.0-hybrid</t>
  </si>
  <si>
    <t>gene31624-v1.0-hybrid</t>
  </si>
  <si>
    <t>gene31924-v1.0-hybrid</t>
  </si>
  <si>
    <t>gene32224-v1.0-hybrid</t>
  </si>
  <si>
    <t>gene32524-v1.0-hybrid</t>
  </si>
  <si>
    <t>gene33648-v1.0-hybrid</t>
  </si>
  <si>
    <t>gene34289-v1.0-hybrid</t>
  </si>
  <si>
    <t>gene34589-v1.0-hybrid</t>
  </si>
  <si>
    <t>gene34889-v1.0-hybrid</t>
  </si>
  <si>
    <t>gene00301-v1.0-hybrid</t>
  </si>
  <si>
    <t>gene00605-v1.0-hybrid</t>
  </si>
  <si>
    <t>gene01205-v1.0-hybrid</t>
  </si>
  <si>
    <t>gene01506-v1.0-hybrid</t>
  </si>
  <si>
    <t>gene01806-v1.0-hybrid</t>
  </si>
  <si>
    <t>gene02106-v1.0-hybrid</t>
  </si>
  <si>
    <t>gene02406-v1.0-hybrid</t>
  </si>
  <si>
    <t>gene02706-v1.0-hybrid</t>
  </si>
  <si>
    <t>gene03094-v1.0-hybrid</t>
  </si>
  <si>
    <t>gene03394-v1.0-hybrid</t>
  </si>
  <si>
    <t>gene03694-v1.0-hybrid</t>
  </si>
  <si>
    <t>gene03994-v1.0-hybrid</t>
  </si>
  <si>
    <t>gene04294-v1.0-hybrid</t>
  </si>
  <si>
    <t>gene04594-v1.0-hybrid</t>
  </si>
  <si>
    <t>gene04894-v1.0-hybrid</t>
  </si>
  <si>
    <t>gene05495-v1.0-hybrid</t>
  </si>
  <si>
    <t>gene05795-v1.0-hybrid</t>
  </si>
  <si>
    <t>gene06395-v1.0-hybrid</t>
  </si>
  <si>
    <t>gene06995-v1.0-hybrid</t>
  </si>
  <si>
    <t>gene07896-v1.0-hybrid</t>
  </si>
  <si>
    <t>gene08196-v1.0-hybrid</t>
  </si>
  <si>
    <t>gene08496-v1.0-hybrid</t>
  </si>
  <si>
    <t>gene08796-v1.0-hybrid</t>
  </si>
  <si>
    <t>gene09096-v1.0-hybrid</t>
  </si>
  <si>
    <t>gene09396-v1.0-hybrid</t>
  </si>
  <si>
    <t>gene09696-v1.0-hybrid</t>
  </si>
  <si>
    <t>gene09997-v1.0-hybrid</t>
  </si>
  <si>
    <t>gene10297-v1.0-hybrid</t>
  </si>
  <si>
    <t>gene11499-v1.0-hybrid</t>
  </si>
  <si>
    <t>gene12099-v1.0-hybrid</t>
  </si>
  <si>
    <t>gene12399-v1.0-hybrid</t>
  </si>
  <si>
    <t>gene12699-v1.0-hybrid</t>
  </si>
  <si>
    <t>gene13000-v1.0-hybrid</t>
  </si>
  <si>
    <t>gene13300-v1.0-hybrid</t>
  </si>
  <si>
    <t>gene14502-v1.0-hybrid</t>
  </si>
  <si>
    <t>gene15106-v1.0-hybrid</t>
  </si>
  <si>
    <t>gene15407-v1.0-hybrid</t>
  </si>
  <si>
    <t>gene15708-v1.0-hybrid</t>
  </si>
  <si>
    <t>gene16009-v1.0-hybrid</t>
  </si>
  <si>
    <t>gene16309-v1.0-hybrid</t>
  </si>
  <si>
    <t>gene16609-v1.0-hybrid</t>
  </si>
  <si>
    <t>gene16910-v1.0-hybrid</t>
  </si>
  <si>
    <t>gene17211-v1.0-hybrid</t>
  </si>
  <si>
    <t>gene17811-v1.0-hybrid</t>
  </si>
  <si>
    <t>gene18111-v1.0-hybrid</t>
  </si>
  <si>
    <t>gene18411-v1.0-hybrid</t>
  </si>
  <si>
    <t>gene18711-v1.0-hybrid</t>
  </si>
  <si>
    <t>gene19011-v1.0-hybrid</t>
  </si>
  <si>
    <t>gene20812-v1.0-hybrid</t>
  </si>
  <si>
    <t>gene21112-v1.0-hybrid</t>
  </si>
  <si>
    <t>gene21412-v1.0-hybrid</t>
  </si>
  <si>
    <t>gene22013-v1.0-hybrid</t>
  </si>
  <si>
    <t>gene22314-v1.0-hybrid</t>
  </si>
  <si>
    <t>gene22614-v1.0-hybrid</t>
  </si>
  <si>
    <t>gene23217-v1.0-hybrid</t>
  </si>
  <si>
    <t>gene23517-v1.0-hybrid</t>
  </si>
  <si>
    <t>gene24117-v1.0-hybrid</t>
  </si>
  <si>
    <t>gene24419-v1.0-hybrid</t>
  </si>
  <si>
    <t>gene24720-v1.0-hybrid</t>
  </si>
  <si>
    <t>gene25622-v1.0-hybrid</t>
  </si>
  <si>
    <t>gene25922-v1.0-hybrid</t>
  </si>
  <si>
    <t>gene26222-v1.0-hybrid</t>
  </si>
  <si>
    <t>gene26522-v1.0-hybrid</t>
  </si>
  <si>
    <t>gene26823-v1.0-hybrid</t>
  </si>
  <si>
    <t>gene27123-v1.0-hybrid</t>
  </si>
  <si>
    <t>gene27423-v1.0-hybrid</t>
  </si>
  <si>
    <t>gene27723-v1.0-hybrid</t>
  </si>
  <si>
    <t>gene28023-v1.0-hybrid</t>
  </si>
  <si>
    <t>gene28923-v1.0-hybrid</t>
  </si>
  <si>
    <t>gene29223-v1.0-hybrid</t>
  </si>
  <si>
    <t>gene29523-v1.0-hybrid</t>
  </si>
  <si>
    <t>gene29824-v1.0-hybrid</t>
  </si>
  <si>
    <t>gene30125-v1.0-hybrid</t>
  </si>
  <si>
    <t>gene30425-v1.0-hybrid</t>
  </si>
  <si>
    <t>gene30725-v1.0-hybrid</t>
  </si>
  <si>
    <t>gene31025-v1.0-hybrid</t>
  </si>
  <si>
    <t>gene31925-v1.0-hybrid</t>
  </si>
  <si>
    <t>gene32856-v1.0-hybrid</t>
  </si>
  <si>
    <t>gene00302-v1.0-hybrid</t>
  </si>
  <si>
    <t>gene00606-v1.0-hybrid</t>
  </si>
  <si>
    <t>gene01206-v1.0-hybrid</t>
  </si>
  <si>
    <t>gene01507-v1.0-hybrid</t>
  </si>
  <si>
    <t>gene01807-v1.0-hybrid</t>
  </si>
  <si>
    <t>gene02107-v1.0-hybrid</t>
  </si>
  <si>
    <t>gene02707-v1.0-hybrid</t>
  </si>
  <si>
    <t>gene03395-v1.0-hybrid</t>
  </si>
  <si>
    <t>gene03695-v1.0-hybrid</t>
  </si>
  <si>
    <t>gene04295-v1.0-hybrid</t>
  </si>
  <si>
    <t>gene04595-v1.0-hybrid</t>
  </si>
  <si>
    <t>gene05496-v1.0-hybrid</t>
  </si>
  <si>
    <t>gene05796-v1.0-hybrid</t>
  </si>
  <si>
    <t>gene06696-v1.0-hybrid</t>
  </si>
  <si>
    <t>gene06996-v1.0-hybrid</t>
  </si>
  <si>
    <t>gene07296-v1.0-hybrid</t>
  </si>
  <si>
    <t>gene07596-v1.0-hybrid</t>
  </si>
  <si>
    <t>gene07897-v1.0-hybrid</t>
  </si>
  <si>
    <t>gene08197-v1.0-hybrid</t>
  </si>
  <si>
    <t>gene08497-v1.0-hybrid</t>
  </si>
  <si>
    <t>gene08797-v1.0-hybrid</t>
  </si>
  <si>
    <t>gene09097-v1.0-hybrid</t>
  </si>
  <si>
    <t>gene09397-v1.0-hybrid</t>
  </si>
  <si>
    <t>gene09697-v1.0-hybrid</t>
  </si>
  <si>
    <t>gene09998-v1.0-hybrid</t>
  </si>
  <si>
    <t>gene10298-v1.0-hybrid</t>
  </si>
  <si>
    <t>gene10599-v1.0-hybrid</t>
  </si>
  <si>
    <t>gene10899-v1.0-hybrid</t>
  </si>
  <si>
    <t>gene12100-v1.0-hybrid</t>
  </si>
  <si>
    <t>gene12400-v1.0-hybrid</t>
  </si>
  <si>
    <t>gene12700-v1.0-hybrid</t>
  </si>
  <si>
    <t>gene13001-v1.0-hybrid</t>
  </si>
  <si>
    <t>gene13301-v1.0-hybrid</t>
  </si>
  <si>
    <t>gene13601-v1.0-hybrid</t>
  </si>
  <si>
    <t>gene13902-v1.0-hybrid</t>
  </si>
  <si>
    <t>gene14805-v1.0-hybrid</t>
  </si>
  <si>
    <t>gene15107-v1.0-hybrid</t>
  </si>
  <si>
    <t>gene15408-v1.0-hybrid</t>
  </si>
  <si>
    <t>gene15709-v1.0-hybrid</t>
  </si>
  <si>
    <t>gene16010-v1.0-hybrid</t>
  </si>
  <si>
    <t>gene16310-v1.0-hybrid</t>
  </si>
  <si>
    <t>gene16610-v1.0-hybrid</t>
  </si>
  <si>
    <t>gene17212-v1.0-hybrid</t>
  </si>
  <si>
    <t>gene18112-v1.0-hybrid</t>
  </si>
  <si>
    <t>gene18412-v1.0-hybrid</t>
  </si>
  <si>
    <t>gene18712-v1.0-hybrid</t>
  </si>
  <si>
    <t>gene19012-v1.0-hybrid</t>
  </si>
  <si>
    <t>gene19912-v1.0-hybrid</t>
  </si>
  <si>
    <t>gene20213-v1.0-hybrid</t>
  </si>
  <si>
    <t>gene21413-v1.0-hybrid</t>
  </si>
  <si>
    <t>gene22014-v1.0-hybrid</t>
  </si>
  <si>
    <t>gene22315-v1.0-hybrid</t>
  </si>
  <si>
    <t>gene22916-v1.0-hybrid</t>
  </si>
  <si>
    <t>gene23218-v1.0-hybrid</t>
  </si>
  <si>
    <t>gene23518-v1.0-hybrid</t>
  </si>
  <si>
    <t>gene24118-v1.0-hybrid</t>
  </si>
  <si>
    <t>gene24420-v1.0-hybrid</t>
  </si>
  <si>
    <t>gene24721-v1.0-hybrid</t>
  </si>
  <si>
    <t>gene25023-v1.0-hybrid</t>
  </si>
  <si>
    <t>gene25623-v1.0-hybrid</t>
  </si>
  <si>
    <t>gene26824-v1.0-hybrid</t>
  </si>
  <si>
    <t>gene27124-v1.0-hybrid</t>
  </si>
  <si>
    <t>gene27424-v1.0-hybrid</t>
  </si>
  <si>
    <t>gene27724-v1.0-hybrid</t>
  </si>
  <si>
    <t>gene28024-v1.0-hybrid</t>
  </si>
  <si>
    <t>gene28924-v1.0-hybrid</t>
  </si>
  <si>
    <t>gene29524-v1.0-hybrid</t>
  </si>
  <si>
    <t>gene29825-v1.0-hybrid</t>
  </si>
  <si>
    <t>gene30426-v1.0-hybrid</t>
  </si>
  <si>
    <t>gene30726-v1.0-hybrid</t>
  </si>
  <si>
    <t>gene31026-v1.0-hybrid</t>
  </si>
  <si>
    <t>gene31926-v1.0-hybrid</t>
  </si>
  <si>
    <t>gene32226-v1.0-hybrid</t>
  </si>
  <si>
    <t>gene32526-v1.0-hybrid</t>
  </si>
  <si>
    <t>gene33654-v1.0-hybrid</t>
  </si>
  <si>
    <t>gene33991-v1.0-hybrid</t>
  </si>
  <si>
    <t>gene34291-v1.0-hybrid</t>
  </si>
  <si>
    <t>gene34891-v1.0-hybrid</t>
  </si>
  <si>
    <t>gene35191-v1.0-hybrid</t>
  </si>
  <si>
    <t>gene00303-v1.0-hybrid</t>
  </si>
  <si>
    <t>gene00607-v1.0-hybrid</t>
  </si>
  <si>
    <t>gene00907-v1.0-hybrid</t>
  </si>
  <si>
    <t>gene01207-v1.0-hybrid</t>
  </si>
  <si>
    <t>gene01508-v1.0-hybrid</t>
  </si>
  <si>
    <t>gene01808-v1.0-hybrid</t>
  </si>
  <si>
    <t>gene02108-v1.0-hybrid</t>
  </si>
  <si>
    <t>gene02408-v1.0-hybrid</t>
  </si>
  <si>
    <t>gene02708-v1.0-hybrid</t>
  </si>
  <si>
    <t>gene03096-v1.0-hybrid</t>
  </si>
  <si>
    <t>gene03696-v1.0-hybrid</t>
  </si>
  <si>
    <t>gene03996-v1.0-hybrid</t>
  </si>
  <si>
    <t>gene04296-v1.0-hybrid</t>
  </si>
  <si>
    <t>gene04596-v1.0-hybrid</t>
  </si>
  <si>
    <t>gene05196-v1.0-hybrid</t>
  </si>
  <si>
    <t>gene05497-v1.0-hybrid</t>
  </si>
  <si>
    <t>gene06697-v1.0-hybrid</t>
  </si>
  <si>
    <t>gene06997-v1.0-hybrid</t>
  </si>
  <si>
    <t>gene07597-v1.0-hybrid</t>
  </si>
  <si>
    <t>gene07898-v1.0-hybrid</t>
  </si>
  <si>
    <t>gene08498-v1.0-hybrid</t>
  </si>
  <si>
    <t>gene08798-v1.0-hybrid</t>
  </si>
  <si>
    <t>gene09098-v1.0-hybrid</t>
  </si>
  <si>
    <t>gene09398-v1.0-hybrid</t>
  </si>
  <si>
    <t>gene09698-v1.0-hybrid</t>
  </si>
  <si>
    <t>gene09999-v1.0-hybrid</t>
  </si>
  <si>
    <t>gene10299-v1.0-hybrid</t>
  </si>
  <si>
    <t>gene10600-v1.0-hybrid</t>
  </si>
  <si>
    <t>gene10900-v1.0-hybrid</t>
  </si>
  <si>
    <t>gene11501-v1.0-hybrid</t>
  </si>
  <si>
    <t>gene12101-v1.0-hybrid</t>
  </si>
  <si>
    <t>gene12401-v1.0-hybrid</t>
  </si>
  <si>
    <t>gene12701-v1.0-hybrid</t>
  </si>
  <si>
    <t>gene13002-v1.0-hybrid</t>
  </si>
  <si>
    <t>gene13302-v1.0-hybrid</t>
  </si>
  <si>
    <t>gene13602-v1.0-hybrid</t>
  </si>
  <si>
    <t>gene13903-v1.0-hybrid</t>
  </si>
  <si>
    <t>gene14204-v1.0-hybrid</t>
  </si>
  <si>
    <t>gene14506-v1.0-hybrid</t>
  </si>
  <si>
    <t>gene14806-v1.0-hybrid</t>
  </si>
  <si>
    <t>gene15108-v1.0-hybrid</t>
  </si>
  <si>
    <t>gene15409-v1.0-hybrid</t>
  </si>
  <si>
    <t>gene15710-v1.0-hybrid</t>
  </si>
  <si>
    <t>gene16011-v1.0-hybrid</t>
  </si>
  <si>
    <t>gene16311-v1.0-hybrid</t>
  </si>
  <si>
    <t>gene16611-v1.0-hybrid</t>
  </si>
  <si>
    <t>gene16912-v1.0-hybrid</t>
  </si>
  <si>
    <t>gene17213-v1.0-hybrid</t>
  </si>
  <si>
    <t>gene17813-v1.0-hybrid</t>
  </si>
  <si>
    <t>gene18113-v1.0-hybrid</t>
  </si>
  <si>
    <t>gene18713-v1.0-hybrid</t>
  </si>
  <si>
    <t>gene19013-v1.0-hybrid</t>
  </si>
  <si>
    <t>gene19313-v1.0-hybrid</t>
  </si>
  <si>
    <t>gene19613-v1.0-hybrid</t>
  </si>
  <si>
    <t>gene19913-v1.0-hybrid</t>
  </si>
  <si>
    <t>gene20214-v1.0-hybrid</t>
  </si>
  <si>
    <t>gene20514-v1.0-hybrid</t>
  </si>
  <si>
    <t>gene20814-v1.0-hybrid</t>
  </si>
  <si>
    <t>gene21114-v1.0-hybrid</t>
  </si>
  <si>
    <t>gene21414-v1.0-hybrid</t>
  </si>
  <si>
    <t>gene21715-v1.0-hybrid</t>
  </si>
  <si>
    <t>gene22015-v1.0-hybrid</t>
  </si>
  <si>
    <t>gene22616-v1.0-hybrid</t>
  </si>
  <si>
    <t>gene22917-v1.0-hybrid</t>
  </si>
  <si>
    <t>gene23219-v1.0-hybrid</t>
  </si>
  <si>
    <t>gene23519-v1.0-hybrid</t>
  </si>
  <si>
    <t>gene23819-v1.0-hybrid</t>
  </si>
  <si>
    <t>gene24119-v1.0-hybrid</t>
  </si>
  <si>
    <t>gene24421-v1.0-hybrid</t>
  </si>
  <si>
    <t>gene24722-v1.0-hybrid</t>
  </si>
  <si>
    <t>gene25324-v1.0-hybrid</t>
  </si>
  <si>
    <t>gene25624-v1.0-hybrid</t>
  </si>
  <si>
    <t>gene25924-v1.0-hybrid</t>
  </si>
  <si>
    <t>gene26224-v1.0-hybrid</t>
  </si>
  <si>
    <t>gene26524-v1.0-hybrid</t>
  </si>
  <si>
    <t>gene26825-v1.0-hybrid</t>
  </si>
  <si>
    <t>gene27425-v1.0-hybrid</t>
  </si>
  <si>
    <t>gene28025-v1.0-hybrid</t>
  </si>
  <si>
    <t>gene28625-v1.0-hybrid</t>
  </si>
  <si>
    <t>gene28925-v1.0-hybrid</t>
  </si>
  <si>
    <t>gene29225-v1.0-hybrid</t>
  </si>
  <si>
    <t>gene29525-v1.0-hybrid</t>
  </si>
  <si>
    <t>gene29826-v1.0-hybrid</t>
  </si>
  <si>
    <t>gene30727-v1.0-hybrid</t>
  </si>
  <si>
    <t>gene31027-v1.0-hybrid</t>
  </si>
  <si>
    <t>gene31327-v1.0-hybrid</t>
  </si>
  <si>
    <t>gene31627-v1.0-hybrid</t>
  </si>
  <si>
    <t>gene31927-v1.0-hybrid</t>
  </si>
  <si>
    <t>gene32527-v1.0-hybrid</t>
  </si>
  <si>
    <t>gene32860-v1.0-hybrid</t>
  </si>
  <si>
    <t>gene34892-v1.0-hybrid</t>
  </si>
  <si>
    <t>gene35192-v1.0-hybrid</t>
  </si>
  <si>
    <t>gene00608-v1.0-hybrid</t>
  </si>
  <si>
    <t>gene01208-v1.0-hybrid</t>
  </si>
  <si>
    <t>gene01809-v1.0-hybrid</t>
  </si>
  <si>
    <t>gene02109-v1.0-hybrid</t>
  </si>
  <si>
    <t>gene02409-v1.0-hybrid</t>
  </si>
  <si>
    <t>gene02709-v1.0-hybrid</t>
  </si>
  <si>
    <t>gene03097-v1.0-hybrid</t>
  </si>
  <si>
    <t>gene03997-v1.0-hybrid</t>
  </si>
  <si>
    <t>gene04297-v1.0-hybrid</t>
  </si>
  <si>
    <t>gene04597-v1.0-hybrid</t>
  </si>
  <si>
    <t>gene05197-v1.0-hybrid</t>
  </si>
  <si>
    <t>gene05498-v1.0-hybrid</t>
  </si>
  <si>
    <t>gene05798-v1.0-hybrid</t>
  </si>
  <si>
    <t>gene06098-v1.0-hybrid</t>
  </si>
  <si>
    <t>gene06398-v1.0-hybrid</t>
  </si>
  <si>
    <t>gene06698-v1.0-hybrid</t>
  </si>
  <si>
    <t>gene06998-v1.0-hybrid</t>
  </si>
  <si>
    <t>gene07298-v1.0-hybrid</t>
  </si>
  <si>
    <t>gene07598-v1.0-hybrid</t>
  </si>
  <si>
    <t>gene07899-v1.0-hybrid</t>
  </si>
  <si>
    <t>gene08199-v1.0-hybrid</t>
  </si>
  <si>
    <t>gene08499-v1.0-hybrid</t>
  </si>
  <si>
    <t>gene08799-v1.0-hybrid</t>
  </si>
  <si>
    <t>gene09099-v1.0-hybrid</t>
  </si>
  <si>
    <t>gene09399-v1.0-hybrid</t>
  </si>
  <si>
    <t>gene09699-v1.0-hybrid</t>
  </si>
  <si>
    <t>gene10000-v1.0-hybrid</t>
  </si>
  <si>
    <t>gene10300-v1.0-hybrid</t>
  </si>
  <si>
    <t>gene10601-v1.0-hybrid</t>
  </si>
  <si>
    <t>gene10901-v1.0-hybrid</t>
  </si>
  <si>
    <t>gene11502-v1.0-hybrid</t>
  </si>
  <si>
    <t>gene11802-v1.0-hybrid</t>
  </si>
  <si>
    <t>gene12102-v1.0-hybrid</t>
  </si>
  <si>
    <t>gene12702-v1.0-hybrid</t>
  </si>
  <si>
    <t>gene13003-v1.0-hybrid</t>
  </si>
  <si>
    <t>gene13603-v1.0-hybrid</t>
  </si>
  <si>
    <t>gene13904-v1.0-hybrid</t>
  </si>
  <si>
    <t>gene14205-v1.0-hybrid</t>
  </si>
  <si>
    <t>gene14807-v1.0-hybrid</t>
  </si>
  <si>
    <t>gene15109-v1.0-hybrid</t>
  </si>
  <si>
    <t>gene15410-v1.0-hybrid</t>
  </si>
  <si>
    <t>gene15711-v1.0-hybrid</t>
  </si>
  <si>
    <t>gene16012-v1.0-hybrid</t>
  </si>
  <si>
    <t>gene16312-v1.0-hybrid</t>
  </si>
  <si>
    <t>gene16612-v1.0-hybrid</t>
  </si>
  <si>
    <t>gene16913-v1.0-hybrid</t>
  </si>
  <si>
    <t>gene17514-v1.0-hybrid</t>
  </si>
  <si>
    <t>gene18114-v1.0-hybrid</t>
  </si>
  <si>
    <t>gene18414-v1.0-hybrid</t>
  </si>
  <si>
    <t>gene18714-v1.0-hybrid</t>
  </si>
  <si>
    <t>gene19014-v1.0-hybrid</t>
  </si>
  <si>
    <t>gene19314-v1.0-hybrid</t>
  </si>
  <si>
    <t>gene19914-v1.0-hybrid</t>
  </si>
  <si>
    <t>gene20515-v1.0-hybrid</t>
  </si>
  <si>
    <t>gene20815-v1.0-hybrid</t>
  </si>
  <si>
    <t>gene21115-v1.0-hybrid</t>
  </si>
  <si>
    <t>gene21415-v1.0-hybrid</t>
  </si>
  <si>
    <t>gene22016-v1.0-hybrid</t>
  </si>
  <si>
    <t>gene22317-v1.0-hybrid</t>
  </si>
  <si>
    <t>gene22617-v1.0-hybrid</t>
  </si>
  <si>
    <t>gene22918-v1.0-hybrid</t>
  </si>
  <si>
    <t>gene23220-v1.0-hybrid</t>
  </si>
  <si>
    <t>gene23520-v1.0-hybrid</t>
  </si>
  <si>
    <t>gene23820-v1.0-hybrid</t>
  </si>
  <si>
    <t>gene24120-v1.0-hybrid</t>
  </si>
  <si>
    <t>gene24422-v1.0-hybrid</t>
  </si>
  <si>
    <t>gene24723-v1.0-hybrid</t>
  </si>
  <si>
    <t>gene25025-v1.0-hybrid</t>
  </si>
  <si>
    <t>gene25325-v1.0-hybrid</t>
  </si>
  <si>
    <t>gene25625-v1.0-hybrid</t>
  </si>
  <si>
    <t>gene25925-v1.0-hybrid</t>
  </si>
  <si>
    <t>gene26826-v1.0-hybrid</t>
  </si>
  <si>
    <t>gene27126-v1.0-hybrid</t>
  </si>
  <si>
    <t>gene27426-v1.0-hybrid</t>
  </si>
  <si>
    <t>gene27726-v1.0-hybrid</t>
  </si>
  <si>
    <t>gene28326-v1.0-hybrid</t>
  </si>
  <si>
    <t>gene28626-v1.0-hybrid</t>
  </si>
  <si>
    <t>gene28926-v1.0-hybrid</t>
  </si>
  <si>
    <t>gene29226-v1.0-hybrid</t>
  </si>
  <si>
    <t>gene29526-v1.0-hybrid</t>
  </si>
  <si>
    <t>gene30428-v1.0-hybrid</t>
  </si>
  <si>
    <t>gene30728-v1.0-hybrid</t>
  </si>
  <si>
    <t>gene31028-v1.0-hybrid</t>
  </si>
  <si>
    <t>gene31628-v1.0-hybrid</t>
  </si>
  <si>
    <t>gene31928-v1.0-hybrid</t>
  </si>
  <si>
    <t>gene32228-v1.0-hybrid</t>
  </si>
  <si>
    <t>gene32528-v1.0-hybrid</t>
  </si>
  <si>
    <t>gene33657-v1.0-hybrid</t>
  </si>
  <si>
    <t>gene33993-v1.0-hybrid</t>
  </si>
  <si>
    <t>gene34593-v1.0-hybrid</t>
  </si>
  <si>
    <t>gene01209-v1.0-hybrid</t>
  </si>
  <si>
    <t>gene01510-v1.0-hybrid</t>
  </si>
  <si>
    <t>gene01810-v1.0-hybrid</t>
  </si>
  <si>
    <t>gene02110-v1.0-hybrid</t>
  </si>
  <si>
    <t>gene02410-v1.0-hybrid</t>
  </si>
  <si>
    <t>gene02710-v1.0-hybrid</t>
  </si>
  <si>
    <t>gene03098-v1.0-hybrid</t>
  </si>
  <si>
    <t>gene03698-v1.0-hybrid</t>
  </si>
  <si>
    <t>gene03998-v1.0-hybrid</t>
  </si>
  <si>
    <t>gene04298-v1.0-hybrid</t>
  </si>
  <si>
    <t>gene04598-v1.0-hybrid</t>
  </si>
  <si>
    <t>gene05499-v1.0-hybrid</t>
  </si>
  <si>
    <t>gene05799-v1.0-hybrid</t>
  </si>
  <si>
    <t>gene06699-v1.0-hybrid</t>
  </si>
  <si>
    <t>gene06999-v1.0-hybrid</t>
  </si>
  <si>
    <t>gene07299-v1.0-hybrid</t>
  </si>
  <si>
    <t>gene07599-v1.0-hybrid</t>
  </si>
  <si>
    <t>gene07900-v1.0-hybrid</t>
  </si>
  <si>
    <t>gene08500-v1.0-hybrid</t>
  </si>
  <si>
    <t>gene08800-v1.0-hybrid</t>
  </si>
  <si>
    <t>gene09100-v1.0-hybrid</t>
  </si>
  <si>
    <t>gene09400-v1.0-hybrid</t>
  </si>
  <si>
    <t>gene10001-v1.0-hybrid</t>
  </si>
  <si>
    <t>gene10602-v1.0-hybrid</t>
  </si>
  <si>
    <t>gene10902-v1.0-hybrid</t>
  </si>
  <si>
    <t>gene11503-v1.0-hybrid</t>
  </si>
  <si>
    <t>gene11803-v1.0-hybrid</t>
  </si>
  <si>
    <t>gene12403-v1.0-hybrid</t>
  </si>
  <si>
    <t>gene12703-v1.0-hybrid</t>
  </si>
  <si>
    <t>gene13004-v1.0-hybrid</t>
  </si>
  <si>
    <t>gene13304-v1.0-hybrid</t>
  </si>
  <si>
    <t>gene13604-v1.0-hybrid</t>
  </si>
  <si>
    <t>gene13905-v1.0-hybrid</t>
  </si>
  <si>
    <t>gene14508-v1.0-hybrid</t>
  </si>
  <si>
    <t>gene14808-v1.0-hybrid</t>
  </si>
  <si>
    <t>gene15110-v1.0-hybrid</t>
  </si>
  <si>
    <t>gene15411-v1.0-hybrid</t>
  </si>
  <si>
    <t>gene15712-v1.0-hybrid</t>
  </si>
  <si>
    <t>gene16013-v1.0-hybrid</t>
  </si>
  <si>
    <t>gene16313-v1.0-hybrid</t>
  </si>
  <si>
    <t>gene16613-v1.0-hybrid</t>
  </si>
  <si>
    <t>gene17515-v1.0-hybrid</t>
  </si>
  <si>
    <t>gene18115-v1.0-hybrid</t>
  </si>
  <si>
    <t>gene18415-v1.0-hybrid</t>
  </si>
  <si>
    <t>gene18715-v1.0-hybrid</t>
  </si>
  <si>
    <t>gene19015-v1.0-hybrid</t>
  </si>
  <si>
    <t>gene19315-v1.0-hybrid</t>
  </si>
  <si>
    <t>gene19615-v1.0-hybrid</t>
  </si>
  <si>
    <t>gene19915-v1.0-hybrid</t>
  </si>
  <si>
    <t>gene20216-v1.0-hybrid</t>
  </si>
  <si>
    <t>gene20516-v1.0-hybrid</t>
  </si>
  <si>
    <t>gene21116-v1.0-hybrid</t>
  </si>
  <si>
    <t>gene21416-v1.0-hybrid</t>
  </si>
  <si>
    <t>gene22017-v1.0-hybrid</t>
  </si>
  <si>
    <t>gene22318-v1.0-hybrid</t>
  </si>
  <si>
    <t>gene22919-v1.0-hybrid</t>
  </si>
  <si>
    <t>gene23221-v1.0-hybrid</t>
  </si>
  <si>
    <t>gene23521-v1.0-hybrid</t>
  </si>
  <si>
    <t>gene23821-v1.0-hybrid</t>
  </si>
  <si>
    <t>gene24121-v1.0-hybrid</t>
  </si>
  <si>
    <t>gene24724-v1.0-hybrid</t>
  </si>
  <si>
    <t>gene25026-v1.0-hybrid</t>
  </si>
  <si>
    <t>gene25326-v1.0-hybrid</t>
  </si>
  <si>
    <t>gene25626-v1.0-hybrid</t>
  </si>
  <si>
    <t>gene25926-v1.0-hybrid</t>
  </si>
  <si>
    <t>gene26226-v1.0-hybrid</t>
  </si>
  <si>
    <t>gene26827-v1.0-hybrid</t>
  </si>
  <si>
    <t>gene27127-v1.0-hybrid</t>
  </si>
  <si>
    <t>gene27427-v1.0-hybrid</t>
  </si>
  <si>
    <t>gene28627-v1.0-hybrid</t>
  </si>
  <si>
    <t>gene29227-v1.0-hybrid</t>
  </si>
  <si>
    <t>gene29527-v1.0-hybrid</t>
  </si>
  <si>
    <t>gene29828-v1.0-hybrid</t>
  </si>
  <si>
    <t>gene30129-v1.0-hybrid</t>
  </si>
  <si>
    <t>gene30429-v1.0-hybrid</t>
  </si>
  <si>
    <t>gene30729-v1.0-hybrid</t>
  </si>
  <si>
    <t>gene31029-v1.0-hybrid</t>
  </si>
  <si>
    <t>gene31329-v1.0-hybrid</t>
  </si>
  <si>
    <t>gene31629-v1.0-hybrid</t>
  </si>
  <si>
    <t>gene31929-v1.0-hybrid</t>
  </si>
  <si>
    <t>gene32229-v1.0-hybrid</t>
  </si>
  <si>
    <t>gene32529-v1.0-hybrid</t>
  </si>
  <si>
    <t>gene33994-v1.0-hybrid</t>
  </si>
  <si>
    <t>gene34294-v1.0-hybrid</t>
  </si>
  <si>
    <t>gene34594-v1.0-hybrid</t>
  </si>
  <si>
    <t>gene34894-v1.0-hybrid</t>
  </si>
  <si>
    <t>gene35194-v1.0-hybrid</t>
  </si>
  <si>
    <t>gene00306-v1.0-hybrid</t>
  </si>
  <si>
    <t>gene00910-v1.0-hybrid</t>
  </si>
  <si>
    <t>gene01210-v1.0-hybrid</t>
  </si>
  <si>
    <t>gene01511-v1.0-hybrid</t>
  </si>
  <si>
    <t>gene01811-v1.0-hybrid</t>
  </si>
  <si>
    <t>gene02111-v1.0-hybrid</t>
  </si>
  <si>
    <t>gene02411-v1.0-hybrid</t>
  </si>
  <si>
    <t>gene02711-v1.0-hybrid</t>
  </si>
  <si>
    <t>gene03099-v1.0-hybrid</t>
  </si>
  <si>
    <t>gene03399-v1.0-hybrid</t>
  </si>
  <si>
    <t>gene03699-v1.0-hybrid</t>
  </si>
  <si>
    <t>gene03999-v1.0-hybrid</t>
  </si>
  <si>
    <t>gene04299-v1.0-hybrid</t>
  </si>
  <si>
    <t>gene04599-v1.0-hybrid</t>
  </si>
  <si>
    <t>gene04899-v1.0-hybrid</t>
  </si>
  <si>
    <t>gene05500-v1.0-hybrid</t>
  </si>
  <si>
    <t>gene05800-v1.0-hybrid</t>
  </si>
  <si>
    <t>gene06400-v1.0-hybrid</t>
  </si>
  <si>
    <t>gene06700-v1.0-hybrid</t>
  </si>
  <si>
    <t>gene07000-v1.0-hybrid</t>
  </si>
  <si>
    <t>gene07600-v1.0-hybrid</t>
  </si>
  <si>
    <t>gene07901-v1.0-hybrid</t>
  </si>
  <si>
    <t>gene08201-v1.0-hybrid</t>
  </si>
  <si>
    <t>gene08501-v1.0-hybrid</t>
  </si>
  <si>
    <t>gene08801-v1.0-hybrid</t>
  </si>
  <si>
    <t>gene09101-v1.0-hybrid</t>
  </si>
  <si>
    <t>gene09401-v1.0-hybrid</t>
  </si>
  <si>
    <t>gene09701-v1.0-hybrid</t>
  </si>
  <si>
    <t>gene10002-v1.0-hybrid</t>
  </si>
  <si>
    <t>gene10302-v1.0-hybrid</t>
  </si>
  <si>
    <t>gene10603-v1.0-hybrid</t>
  </si>
  <si>
    <t>gene10903-v1.0-hybrid</t>
  </si>
  <si>
    <t>gene11204-v1.0-hybrid</t>
  </si>
  <si>
    <t>gene11504-v1.0-hybrid</t>
  </si>
  <si>
    <t>gene12104-v1.0-hybrid</t>
  </si>
  <si>
    <t>gene12404-v1.0-hybrid</t>
  </si>
  <si>
    <t>gene12704-v1.0-hybrid</t>
  </si>
  <si>
    <t>gene13005-v1.0-hybrid</t>
  </si>
  <si>
    <t>gene13305-v1.0-hybrid</t>
  </si>
  <si>
    <t>gene13605-v1.0-hybrid</t>
  </si>
  <si>
    <t>gene13906-v1.0-hybrid</t>
  </si>
  <si>
    <t>gene14509-v1.0-hybrid</t>
  </si>
  <si>
    <t>gene14809-v1.0-hybrid</t>
  </si>
  <si>
    <t>gene15111-v1.0-hybrid</t>
  </si>
  <si>
    <t>gene15412-v1.0-hybrid</t>
  </si>
  <si>
    <t>gene16314-v1.0-hybrid</t>
  </si>
  <si>
    <t>gene16614-v1.0-hybrid</t>
  </si>
  <si>
    <t>gene16915-v1.0-hybrid</t>
  </si>
  <si>
    <t>gene17216-v1.0-hybrid</t>
  </si>
  <si>
    <t>gene17816-v1.0-hybrid</t>
  </si>
  <si>
    <t>gene18116-v1.0-hybrid</t>
  </si>
  <si>
    <t>gene18416-v1.0-hybrid</t>
  </si>
  <si>
    <t>gene18716-v1.0-hybrid</t>
  </si>
  <si>
    <t>gene19016-v1.0-hybrid</t>
  </si>
  <si>
    <t>gene19316-v1.0-hybrid</t>
  </si>
  <si>
    <t>gene19616-v1.0-hybrid</t>
  </si>
  <si>
    <t>gene19916-v1.0-hybrid</t>
  </si>
  <si>
    <t>gene20217-v1.0-hybrid</t>
  </si>
  <si>
    <t>gene20817-v1.0-hybrid</t>
  </si>
  <si>
    <t>gene21417-v1.0-hybrid</t>
  </si>
  <si>
    <t>gene22319-v1.0-hybrid</t>
  </si>
  <si>
    <t>gene22619-v1.0-hybrid</t>
  </si>
  <si>
    <t>gene22920-v1.0-hybrid</t>
  </si>
  <si>
    <t>gene23222-v1.0-hybrid</t>
  </si>
  <si>
    <t>gene23522-v1.0-hybrid</t>
  </si>
  <si>
    <t>gene23822-v1.0-hybrid</t>
  </si>
  <si>
    <t>gene24122-v1.0-hybrid</t>
  </si>
  <si>
    <t>gene24424-v1.0-hybrid</t>
  </si>
  <si>
    <t>gene24725-v1.0-hybrid</t>
  </si>
  <si>
    <t>gene25327-v1.0-hybrid</t>
  </si>
  <si>
    <t>gene25627-v1.0-hybrid</t>
  </si>
  <si>
    <t>gene26828-v1.0-hybrid</t>
  </si>
  <si>
    <t>gene27128-v1.0-hybrid</t>
  </si>
  <si>
    <t>gene27428-v1.0-hybrid</t>
  </si>
  <si>
    <t>gene27728-v1.0-hybrid</t>
  </si>
  <si>
    <t>gene28028-v1.0-hybrid</t>
  </si>
  <si>
    <t>gene28928-v1.0-hybrid</t>
  </si>
  <si>
    <t>gene29228-v1.0-hybrid</t>
  </si>
  <si>
    <t>gene29528-v1.0-hybrid</t>
  </si>
  <si>
    <t>gene29829-v1.0-hybrid</t>
  </si>
  <si>
    <t>gene30730-v1.0-hybrid</t>
  </si>
  <si>
    <t>gene31030-v1.0-hybrid</t>
  </si>
  <si>
    <t>gene32530-v1.0-hybrid</t>
  </si>
  <si>
    <t>gene33264-v1.0-hybrid</t>
  </si>
  <si>
    <t>gene33995-v1.0-hybrid</t>
  </si>
  <si>
    <t>gene34895-v1.0-hybrid</t>
  </si>
  <si>
    <t>gene00911-v1.0-hybrid</t>
  </si>
  <si>
    <t>gene01211-v1.0-hybrid</t>
  </si>
  <si>
    <t>gene01512-v1.0-hybrid</t>
  </si>
  <si>
    <t>gene01812-v1.0-hybrid</t>
  </si>
  <si>
    <t>gene02112-v1.0-hybrid</t>
  </si>
  <si>
    <t>gene02712-v1.0-hybrid</t>
  </si>
  <si>
    <t>gene03400-v1.0-hybrid</t>
  </si>
  <si>
    <t>gene03700-v1.0-hybrid</t>
  </si>
  <si>
    <t>gene04000-v1.0-hybrid</t>
  </si>
  <si>
    <t>gene04600-v1.0-hybrid</t>
  </si>
  <si>
    <t>gene04900-v1.0-hybrid</t>
  </si>
  <si>
    <t>gene05501-v1.0-hybrid</t>
  </si>
  <si>
    <t>gene06101-v1.0-hybrid</t>
  </si>
  <si>
    <t>gene06401-v1.0-hybrid</t>
  </si>
  <si>
    <t>gene06701-v1.0-hybrid</t>
  </si>
  <si>
    <t>gene07001-v1.0-hybrid</t>
  </si>
  <si>
    <t>gene07301-v1.0-hybrid</t>
  </si>
  <si>
    <t>gene07601-v1.0-hybrid</t>
  </si>
  <si>
    <t>gene07902-v1.0-hybrid</t>
  </si>
  <si>
    <t>gene08502-v1.0-hybrid</t>
  </si>
  <si>
    <t>gene09402-v1.0-hybrid</t>
  </si>
  <si>
    <t>gene09702-v1.0-hybrid</t>
  </si>
  <si>
    <t>gene10003-v1.0-hybrid</t>
  </si>
  <si>
    <t>gene10303-v1.0-hybrid</t>
  </si>
  <si>
    <t>gene10604-v1.0-hybrid</t>
  </si>
  <si>
    <t>gene10904-v1.0-hybrid</t>
  </si>
  <si>
    <t>gene11505-v1.0-hybrid</t>
  </si>
  <si>
    <t>gene11805-v1.0-hybrid</t>
  </si>
  <si>
    <t>gene12105-v1.0-hybrid</t>
  </si>
  <si>
    <t>gene12405-v1.0-hybrid</t>
  </si>
  <si>
    <t>gene13006-v1.0-hybrid</t>
  </si>
  <si>
    <t>gene13306-v1.0-hybrid</t>
  </si>
  <si>
    <t>gene13606-v1.0-hybrid</t>
  </si>
  <si>
    <t>gene13907-v1.0-hybrid</t>
  </si>
  <si>
    <t>gene14208-v1.0-hybrid</t>
  </si>
  <si>
    <t>gene14510-v1.0-hybrid</t>
  </si>
  <si>
    <t>gene14810-v1.0-hybrid</t>
  </si>
  <si>
    <t>gene15112-v1.0-hybrid</t>
  </si>
  <si>
    <t>gene15413-v1.0-hybrid</t>
  </si>
  <si>
    <t>gene15714-v1.0-hybrid</t>
  </si>
  <si>
    <t>gene16315-v1.0-hybrid</t>
  </si>
  <si>
    <t>gene16615-v1.0-hybrid</t>
  </si>
  <si>
    <t>gene16916-v1.0-hybrid</t>
  </si>
  <si>
    <t>gene17217-v1.0-hybrid</t>
  </si>
  <si>
    <t>gene17517-v1.0-hybrid</t>
  </si>
  <si>
    <t>gene17817-v1.0-hybrid</t>
  </si>
  <si>
    <t>gene18117-v1.0-hybrid</t>
  </si>
  <si>
    <t>gene18417-v1.0-hybrid</t>
  </si>
  <si>
    <t>gene18717-v1.0-hybrid</t>
  </si>
  <si>
    <t>gene19017-v1.0-hybrid</t>
  </si>
  <si>
    <t>gene19317-v1.0-hybrid</t>
  </si>
  <si>
    <t>gene19617-v1.0-hybrid</t>
  </si>
  <si>
    <t>gene19917-v1.0-hybrid</t>
  </si>
  <si>
    <t>gene20818-v1.0-hybrid</t>
  </si>
  <si>
    <t>gene21118-v1.0-hybrid</t>
  </si>
  <si>
    <t>gene21418-v1.0-hybrid</t>
  </si>
  <si>
    <t>gene22320-v1.0-hybrid</t>
  </si>
  <si>
    <t>gene22921-v1.0-hybrid</t>
  </si>
  <si>
    <t>gene23223-v1.0-hybrid</t>
  </si>
  <si>
    <t>gene23523-v1.0-hybrid</t>
  </si>
  <si>
    <t>gene23823-v1.0-hybrid</t>
  </si>
  <si>
    <t>gene24123-v1.0-hybrid</t>
  </si>
  <si>
    <t>gene24425-v1.0-hybrid</t>
  </si>
  <si>
    <t>gene24726-v1.0-hybrid</t>
  </si>
  <si>
    <t>gene25028-v1.0-hybrid</t>
  </si>
  <si>
    <t>gene25328-v1.0-hybrid</t>
  </si>
  <si>
    <t>gene25628-v1.0-hybrid</t>
  </si>
  <si>
    <t>gene25928-v1.0-hybrid</t>
  </si>
  <si>
    <t>gene26228-v1.0-hybrid</t>
  </si>
  <si>
    <t>gene26528-v1.0-hybrid</t>
  </si>
  <si>
    <t>gene27429-v1.0-hybrid</t>
  </si>
  <si>
    <t>gene27729-v1.0-hybrid</t>
  </si>
  <si>
    <t>gene28029-v1.0-hybrid</t>
  </si>
  <si>
    <t>gene28329-v1.0-hybrid</t>
  </si>
  <si>
    <t>gene28629-v1.0-hybrid</t>
  </si>
  <si>
    <t>gene28929-v1.0-hybrid</t>
  </si>
  <si>
    <t>gene29229-v1.0-hybrid</t>
  </si>
  <si>
    <t>gene29529-v1.0-hybrid</t>
  </si>
  <si>
    <t>gene29830-v1.0-hybrid</t>
  </si>
  <si>
    <t>gene30131-v1.0-hybrid</t>
  </si>
  <si>
    <t>gene30431-v1.0-hybrid</t>
  </si>
  <si>
    <t>gene30731-v1.0-hybrid</t>
  </si>
  <si>
    <t>gene31031-v1.0-hybrid</t>
  </si>
  <si>
    <t>gene31331-v1.0-hybrid</t>
  </si>
  <si>
    <t>gene31631-v1.0-hybrid</t>
  </si>
  <si>
    <t>gene31931-v1.0-hybrid</t>
  </si>
  <si>
    <t>gene32231-v1.0-hybrid</t>
  </si>
  <si>
    <t>gene32864-v1.0-hybrid</t>
  </si>
  <si>
    <t>gene33660-v1.0-hybrid</t>
  </si>
  <si>
    <t>gene33996-v1.0-hybrid</t>
  </si>
  <si>
    <t>gene34296-v1.0-hybrid</t>
  </si>
  <si>
    <t>gene34596-v1.0-hybrid</t>
  </si>
  <si>
    <t>gene34896-v1.0-hybrid</t>
  </si>
  <si>
    <t>gene00612-v1.0-hybrid</t>
  </si>
  <si>
    <t>gene00912-v1.0-hybrid</t>
  </si>
  <si>
    <t>gene01212-v1.0-hybrid</t>
  </si>
  <si>
    <t>gene01513-v1.0-hybrid</t>
  </si>
  <si>
    <t>gene01813-v1.0-hybrid</t>
  </si>
  <si>
    <t>gene02413-v1.0-hybrid</t>
  </si>
  <si>
    <t>gene02713-v1.0-hybrid</t>
  </si>
  <si>
    <t>gene03101-v1.0-hybrid</t>
  </si>
  <si>
    <t>gene03401-v1.0-hybrid</t>
  </si>
  <si>
    <t>gene03701-v1.0-hybrid</t>
  </si>
  <si>
    <t>gene04001-v1.0-hybrid</t>
  </si>
  <si>
    <t>gene04301-v1.0-hybrid</t>
  </si>
  <si>
    <t>gene04601-v1.0-hybrid</t>
  </si>
  <si>
    <t>gene04901-v1.0-hybrid</t>
  </si>
  <si>
    <t>gene05802-v1.0-hybrid</t>
  </si>
  <si>
    <t>gene06102-v1.0-hybrid</t>
  </si>
  <si>
    <t>gene06402-v1.0-hybrid</t>
  </si>
  <si>
    <t>gene06702-v1.0-hybrid</t>
  </si>
  <si>
    <t>gene07002-v1.0-hybrid</t>
  </si>
  <si>
    <t>gene07302-v1.0-hybrid</t>
  </si>
  <si>
    <t>gene07602-v1.0-hybrid</t>
  </si>
  <si>
    <t>gene07903-v1.0-hybrid</t>
  </si>
  <si>
    <t>gene08203-v1.0-hybrid</t>
  </si>
  <si>
    <t>gene08503-v1.0-hybrid</t>
  </si>
  <si>
    <t>gene08803-v1.0-hybrid</t>
  </si>
  <si>
    <t>gene09103-v1.0-hybrid</t>
  </si>
  <si>
    <t>gene09703-v1.0-hybrid</t>
  </si>
  <si>
    <t>gene10004-v1.0-hybrid</t>
  </si>
  <si>
    <t>gene10304-v1.0-hybrid</t>
  </si>
  <si>
    <t>gene10905-v1.0-hybrid</t>
  </si>
  <si>
    <t>gene11206-v1.0-hybrid</t>
  </si>
  <si>
    <t>gene11506-v1.0-hybrid</t>
  </si>
  <si>
    <t>gene12106-v1.0-hybrid</t>
  </si>
  <si>
    <t>gene12406-v1.0-hybrid</t>
  </si>
  <si>
    <t>gene13007-v1.0-hybrid</t>
  </si>
  <si>
    <t>gene13307-v1.0-hybrid</t>
  </si>
  <si>
    <t>gene13607-v1.0-hybrid</t>
  </si>
  <si>
    <t>gene13908-v1.0-hybrid</t>
  </si>
  <si>
    <t>gene14209-v1.0-hybrid</t>
  </si>
  <si>
    <t>gene14511-v1.0-hybrid</t>
  </si>
  <si>
    <t>gene15113-v1.0-hybrid</t>
  </si>
  <si>
    <t>gene15414-v1.0-hybrid</t>
  </si>
  <si>
    <t>gene15715-v1.0-hybrid</t>
  </si>
  <si>
    <t>gene16016-v1.0-hybrid</t>
  </si>
  <si>
    <t>gene16316-v1.0-hybrid</t>
  </si>
  <si>
    <t>gene16616-v1.0-hybrid</t>
  </si>
  <si>
    <t>gene17218-v1.0-hybrid</t>
  </si>
  <si>
    <t>gene17518-v1.0-hybrid</t>
  </si>
  <si>
    <t>gene17818-v1.0-hybrid</t>
  </si>
  <si>
    <t>gene18118-v1.0-hybrid</t>
  </si>
  <si>
    <t>gene18718-v1.0-hybrid</t>
  </si>
  <si>
    <t>gene19018-v1.0-hybrid</t>
  </si>
  <si>
    <t>gene19318-v1.0-hybrid</t>
  </si>
  <si>
    <t>gene19618-v1.0-hybrid</t>
  </si>
  <si>
    <t>gene19918-v1.0-hybrid</t>
  </si>
  <si>
    <t>gene20819-v1.0-hybrid</t>
  </si>
  <si>
    <t>gene21119-v1.0-hybrid</t>
  </si>
  <si>
    <t>gene21419-v1.0-hybrid</t>
  </si>
  <si>
    <t>gene22321-v1.0-hybrid</t>
  </si>
  <si>
    <t>gene22621-v1.0-hybrid</t>
  </si>
  <si>
    <t>gene23824-v1.0-hybrid</t>
  </si>
  <si>
    <t>gene24124-v1.0-hybrid</t>
  </si>
  <si>
    <t>gene24426-v1.0-hybrid</t>
  </si>
  <si>
    <t>gene24727-v1.0-hybrid</t>
  </si>
  <si>
    <t>gene25029-v1.0-hybrid</t>
  </si>
  <si>
    <t>gene25329-v1.0-hybrid</t>
  </si>
  <si>
    <t>gene25629-v1.0-hybrid</t>
  </si>
  <si>
    <t>gene25929-v1.0-hybrid</t>
  </si>
  <si>
    <t>gene26229-v1.0-hybrid</t>
  </si>
  <si>
    <t>gene26830-v1.0-hybrid</t>
  </si>
  <si>
    <t>gene27130-v1.0-hybrid</t>
  </si>
  <si>
    <t>gene27730-v1.0-hybrid</t>
  </si>
  <si>
    <t>gene28030-v1.0-hybrid</t>
  </si>
  <si>
    <t>gene28330-v1.0-hybrid</t>
  </si>
  <si>
    <t>gene28630-v1.0-hybrid</t>
  </si>
  <si>
    <t>gene28930-v1.0-hybrid</t>
  </si>
  <si>
    <t>gene29230-v1.0-hybrid</t>
  </si>
  <si>
    <t>gene29530-v1.0-hybrid</t>
  </si>
  <si>
    <t>gene29831-v1.0-hybrid</t>
  </si>
  <si>
    <t>gene30132-v1.0-hybrid</t>
  </si>
  <si>
    <t>gene30432-v1.0-hybrid</t>
  </si>
  <si>
    <t>gene30732-v1.0-hybrid</t>
  </si>
  <si>
    <t>gene31032-v1.0-hybrid</t>
  </si>
  <si>
    <t>gene31332-v1.0-hybrid</t>
  </si>
  <si>
    <t>gene31632-v1.0-hybrid</t>
  </si>
  <si>
    <t>gene32532-v1.0-hybrid</t>
  </si>
  <si>
    <t>gene33661-v1.0-hybrid</t>
  </si>
  <si>
    <t>gene33997-v1.0-hybrid</t>
  </si>
  <si>
    <t>gene34297-v1.0-hybrid</t>
  </si>
  <si>
    <t>gene34597-v1.0-hybrid</t>
  </si>
  <si>
    <t>gene34897-v1.0-hybrid</t>
  </si>
  <si>
    <t>gene00309-v1.0-hybrid</t>
  </si>
  <si>
    <t>gene00613-v1.0-hybrid</t>
  </si>
  <si>
    <t>gene00913-v1.0-hybrid</t>
  </si>
  <si>
    <t>gene01213-v1.0-hybrid</t>
  </si>
  <si>
    <t>gene01514-v1.0-hybrid</t>
  </si>
  <si>
    <t>gene01814-v1.0-hybrid</t>
  </si>
  <si>
    <t>gene02114-v1.0-hybrid</t>
  </si>
  <si>
    <t>gene02414-v1.0-hybrid</t>
  </si>
  <si>
    <t>gene02714-v1.0-hybrid</t>
  </si>
  <si>
    <t>gene03702-v1.0-hybrid</t>
  </si>
  <si>
    <t>gene04002-v1.0-hybrid</t>
  </si>
  <si>
    <t>gene04302-v1.0-hybrid</t>
  </si>
  <si>
    <t>gene04602-v1.0-hybrid</t>
  </si>
  <si>
    <t>gene04902-v1.0-hybrid</t>
  </si>
  <si>
    <t>gene05202-v1.0-hybrid</t>
  </si>
  <si>
    <t>gene05503-v1.0-hybrid</t>
  </si>
  <si>
    <t>gene05803-v1.0-hybrid</t>
  </si>
  <si>
    <t>gene06103-v1.0-hybrid</t>
  </si>
  <si>
    <t>gene06403-v1.0-hybrid</t>
  </si>
  <si>
    <t>gene06703-v1.0-hybrid</t>
  </si>
  <si>
    <t>gene07003-v1.0-hybrid</t>
  </si>
  <si>
    <t>gene07303-v1.0-hybrid</t>
  </si>
  <si>
    <t>gene07603-v1.0-hybrid</t>
  </si>
  <si>
    <t>gene07904-v1.0-hybrid</t>
  </si>
  <si>
    <t>gene08504-v1.0-hybrid</t>
  </si>
  <si>
    <t>gene08804-v1.0-hybrid</t>
  </si>
  <si>
    <t>gene09104-v1.0-hybrid</t>
  </si>
  <si>
    <t>gene09404-v1.0-hybrid</t>
  </si>
  <si>
    <t>gene09704-v1.0-hybrid</t>
  </si>
  <si>
    <t>gene10005-v1.0-hybrid</t>
  </si>
  <si>
    <t>gene10305-v1.0-hybrid</t>
  </si>
  <si>
    <t>gene10606-v1.0-hybrid</t>
  </si>
  <si>
    <t>gene11807-v1.0-hybrid</t>
  </si>
  <si>
    <t>gene12107-v1.0-hybrid</t>
  </si>
  <si>
    <t>gene12407-v1.0-hybrid</t>
  </si>
  <si>
    <t>gene12707-v1.0-hybrid</t>
  </si>
  <si>
    <t>gene13008-v1.0-hybrid</t>
  </si>
  <si>
    <t>gene13308-v1.0-hybrid</t>
  </si>
  <si>
    <t>gene13608-v1.0-hybrid</t>
  </si>
  <si>
    <t>gene14210-v1.0-hybrid</t>
  </si>
  <si>
    <t>gene14812-v1.0-hybrid</t>
  </si>
  <si>
    <t>gene15114-v1.0-hybrid</t>
  </si>
  <si>
    <t>gene15415-v1.0-hybrid</t>
  </si>
  <si>
    <t>gene15716-v1.0-hybrid</t>
  </si>
  <si>
    <t>gene16017-v1.0-hybrid</t>
  </si>
  <si>
    <t>gene16317-v1.0-hybrid</t>
  </si>
  <si>
    <t>gene16617-v1.0-hybrid</t>
  </si>
  <si>
    <t>gene16918-v1.0-hybrid</t>
  </si>
  <si>
    <t>gene17219-v1.0-hybrid</t>
  </si>
  <si>
    <t>gene17519-v1.0-hybrid</t>
  </si>
  <si>
    <t>gene18119-v1.0-hybrid</t>
  </si>
  <si>
    <t>gene18419-v1.0-hybrid</t>
  </si>
  <si>
    <t>gene19019-v1.0-hybrid</t>
  </si>
  <si>
    <t>gene19319-v1.0-hybrid</t>
  </si>
  <si>
    <t>gene19619-v1.0-hybrid</t>
  </si>
  <si>
    <t>gene20820-v1.0-hybrid</t>
  </si>
  <si>
    <t>gene21420-v1.0-hybrid</t>
  </si>
  <si>
    <t>gene21721-v1.0-hybrid</t>
  </si>
  <si>
    <t>gene22322-v1.0-hybrid</t>
  </si>
  <si>
    <t>gene22622-v1.0-hybrid</t>
  </si>
  <si>
    <t>gene22923-v1.0-hybrid</t>
  </si>
  <si>
    <t>gene23525-v1.0-hybrid</t>
  </si>
  <si>
    <t>gene23825-v1.0-hybrid</t>
  </si>
  <si>
    <t>gene24125-v1.0-hybrid</t>
  </si>
  <si>
    <t>gene24427-v1.0-hybrid</t>
  </si>
  <si>
    <t>gene25330-v1.0-hybrid</t>
  </si>
  <si>
    <t>gene25630-v1.0-hybrid</t>
  </si>
  <si>
    <t>gene25930-v1.0-hybrid</t>
  </si>
  <si>
    <t>gene26230-v1.0-hybrid</t>
  </si>
  <si>
    <t>gene26530-v1.0-hybrid</t>
  </si>
  <si>
    <t>gene27431-v1.0-hybrid</t>
  </si>
  <si>
    <t>gene27731-v1.0-hybrid</t>
  </si>
  <si>
    <t>gene28031-v1.0-hybrid</t>
  </si>
  <si>
    <t>gene28331-v1.0-hybrid</t>
  </si>
  <si>
    <t>gene28631-v1.0-hybrid</t>
  </si>
  <si>
    <t>gene29231-v1.0-hybrid</t>
  </si>
  <si>
    <t>gene29531-v1.0-hybrid</t>
  </si>
  <si>
    <t>gene29832-v1.0-hybrid</t>
  </si>
  <si>
    <t>gene30433-v1.0-hybrid</t>
  </si>
  <si>
    <t>gene31033-v1.0-hybrid</t>
  </si>
  <si>
    <t>gene31333-v1.0-hybrid</t>
  </si>
  <si>
    <t>gene31633-v1.0-hybrid</t>
  </si>
  <si>
    <t>gene31933-v1.0-hybrid</t>
  </si>
  <si>
    <t>gene32233-v1.0-hybrid</t>
  </si>
  <si>
    <t>gene33998-v1.0-hybrid</t>
  </si>
  <si>
    <t>gene34298-v1.0-hybrid</t>
  </si>
  <si>
    <t>gene34898-v1.0-hybrid</t>
  </si>
  <si>
    <t>gene00614-v1.0-hybrid</t>
  </si>
  <si>
    <t>gene00914-v1.0-hybrid</t>
  </si>
  <si>
    <t>gene01214-v1.0-hybrid</t>
  </si>
  <si>
    <t>gene01515-v1.0-hybrid</t>
  </si>
  <si>
    <t>gene01815-v1.0-hybrid</t>
  </si>
  <si>
    <t>gene02115-v1.0-hybrid</t>
  </si>
  <si>
    <t>gene02415-v1.0-hybrid</t>
  </si>
  <si>
    <t>gene02715-v1.0-hybrid</t>
  </si>
  <si>
    <t>gene03103-v1.0-hybrid</t>
  </si>
  <si>
    <t>gene03703-v1.0-hybrid</t>
  </si>
  <si>
    <t>gene04003-v1.0-hybrid</t>
  </si>
  <si>
    <t>gene04303-v1.0-hybrid</t>
  </si>
  <si>
    <t>gene04603-v1.0-hybrid</t>
  </si>
  <si>
    <t>gene04903-v1.0-hybrid</t>
  </si>
  <si>
    <t>gene05504-v1.0-hybrid</t>
  </si>
  <si>
    <t>gene05804-v1.0-hybrid</t>
  </si>
  <si>
    <t>gene07004-v1.0-hybrid</t>
  </si>
  <si>
    <t>gene07304-v1.0-hybrid</t>
  </si>
  <si>
    <t>gene07604-v1.0-hybrid</t>
  </si>
  <si>
    <t>gene07905-v1.0-hybrid</t>
  </si>
  <si>
    <t>gene08205-v1.0-hybrid</t>
  </si>
  <si>
    <t>gene08505-v1.0-hybrid</t>
  </si>
  <si>
    <t>gene09105-v1.0-hybrid</t>
  </si>
  <si>
    <t>gene09405-v1.0-hybrid</t>
  </si>
  <si>
    <t>gene09705-v1.0-hybrid</t>
  </si>
  <si>
    <t>gene10006-v1.0-hybrid</t>
  </si>
  <si>
    <t>gene10306-v1.0-hybrid</t>
  </si>
  <si>
    <t>gene10607-v1.0-hybrid</t>
  </si>
  <si>
    <t>gene11208-v1.0-hybrid</t>
  </si>
  <si>
    <t>gene11808-v1.0-hybrid</t>
  </si>
  <si>
    <t>gene12108-v1.0-hybrid</t>
  </si>
  <si>
    <t>gene12408-v1.0-hybrid</t>
  </si>
  <si>
    <t>gene12708-v1.0-hybrid</t>
  </si>
  <si>
    <t>gene13009-v1.0-hybrid</t>
  </si>
  <si>
    <t>gene13309-v1.0-hybrid</t>
  </si>
  <si>
    <t>gene13609-v1.0-hybrid</t>
  </si>
  <si>
    <t>gene13910-v1.0-hybrid</t>
  </si>
  <si>
    <t>gene14513-v1.0-hybrid</t>
  </si>
  <si>
    <t>gene15115-v1.0-hybrid</t>
  </si>
  <si>
    <t>gene15416-v1.0-hybrid</t>
  </si>
  <si>
    <t>gene15717-v1.0-hybrid</t>
  </si>
  <si>
    <t>gene16318-v1.0-hybrid</t>
  </si>
  <si>
    <t>gene16618-v1.0-hybrid</t>
  </si>
  <si>
    <t>gene16919-v1.0-hybrid</t>
  </si>
  <si>
    <t>gene17220-v1.0-hybrid</t>
  </si>
  <si>
    <t>gene17520-v1.0-hybrid</t>
  </si>
  <si>
    <t>gene17820-v1.0-hybrid</t>
  </si>
  <si>
    <t>gene18120-v1.0-hybrid</t>
  </si>
  <si>
    <t>gene18720-v1.0-hybrid</t>
  </si>
  <si>
    <t>gene19320-v1.0-hybrid</t>
  </si>
  <si>
    <t>gene19620-v1.0-hybrid</t>
  </si>
  <si>
    <t>gene21121-v1.0-hybrid</t>
  </si>
  <si>
    <t>gene21421-v1.0-hybrid</t>
  </si>
  <si>
    <t>gene22022-v1.0-hybrid</t>
  </si>
  <si>
    <t>gene22924-v1.0-hybrid</t>
  </si>
  <si>
    <t>gene23226-v1.0-hybrid</t>
  </si>
  <si>
    <t>gene23526-v1.0-hybrid</t>
  </si>
  <si>
    <t>gene23826-v1.0-hybrid</t>
  </si>
  <si>
    <t>gene24126-v1.0-hybrid</t>
  </si>
  <si>
    <t>gene24428-v1.0-hybrid</t>
  </si>
  <si>
    <t>gene24729-v1.0-hybrid</t>
  </si>
  <si>
    <t>gene25031-v1.0-hybrid</t>
  </si>
  <si>
    <t>gene25931-v1.0-hybrid</t>
  </si>
  <si>
    <t>gene26231-v1.0-hybrid</t>
  </si>
  <si>
    <t>gene26531-v1.0-hybrid</t>
  </si>
  <si>
    <t>gene27132-v1.0-hybrid</t>
  </si>
  <si>
    <t>gene27432-v1.0-hybrid</t>
  </si>
  <si>
    <t>gene27732-v1.0-hybrid</t>
  </si>
  <si>
    <t>gene28032-v1.0-hybrid</t>
  </si>
  <si>
    <t>gene28332-v1.0-hybrid</t>
  </si>
  <si>
    <t>gene28632-v1.0-hybrid</t>
  </si>
  <si>
    <t>gene28932-v1.0-hybrid</t>
  </si>
  <si>
    <t>gene29833-v1.0-hybrid</t>
  </si>
  <si>
    <t>gene30134-v1.0-hybrid</t>
  </si>
  <si>
    <t>gene30434-v1.0-hybrid</t>
  </si>
  <si>
    <t>gene30734-v1.0-hybrid</t>
  </si>
  <si>
    <t>gene31034-v1.0-hybrid</t>
  </si>
  <si>
    <t>gene31634-v1.0-hybrid</t>
  </si>
  <si>
    <t>gene31934-v1.0-hybrid</t>
  </si>
  <si>
    <t>gene32234-v1.0-hybrid</t>
  </si>
  <si>
    <t>gene32534-v1.0-hybrid</t>
  </si>
  <si>
    <t>gene33273-v1.0-hybrid</t>
  </si>
  <si>
    <t>gene33663-v1.0-hybrid</t>
  </si>
  <si>
    <t>gene33999-v1.0-hybrid</t>
  </si>
  <si>
    <t>gene00615-v1.0-hybrid</t>
  </si>
  <si>
    <t>gene00915-v1.0-hybrid</t>
  </si>
  <si>
    <t>gene01516-v1.0-hybrid</t>
  </si>
  <si>
    <t>gene02416-v1.0-hybrid</t>
  </si>
  <si>
    <t>gene02716-v1.0-hybrid</t>
  </si>
  <si>
    <t>gene03104-v1.0-hybrid</t>
  </si>
  <si>
    <t>gene03404-v1.0-hybrid</t>
  </si>
  <si>
    <t>gene03704-v1.0-hybrid</t>
  </si>
  <si>
    <t>gene04004-v1.0-hybrid</t>
  </si>
  <si>
    <t>gene04304-v1.0-hybrid</t>
  </si>
  <si>
    <t>gene04604-v1.0-hybrid</t>
  </si>
  <si>
    <t>gene04904-v1.0-hybrid</t>
  </si>
  <si>
    <t>gene05204-v1.0-hybrid</t>
  </si>
  <si>
    <t>gene05505-v1.0-hybrid</t>
  </si>
  <si>
    <t>gene05805-v1.0-hybrid</t>
  </si>
  <si>
    <t>gene06105-v1.0-hybrid</t>
  </si>
  <si>
    <t>gene06405-v1.0-hybrid</t>
  </si>
  <si>
    <t>gene06705-v1.0-hybrid</t>
  </si>
  <si>
    <t>gene07005-v1.0-hybrid</t>
  </si>
  <si>
    <t>gene07305-v1.0-hybrid</t>
  </si>
  <si>
    <t>gene08206-v1.0-hybrid</t>
  </si>
  <si>
    <t>gene08506-v1.0-hybrid</t>
  </si>
  <si>
    <t>gene08806-v1.0-hybrid</t>
  </si>
  <si>
    <t>gene09106-v1.0-hybrid</t>
  </si>
  <si>
    <t>gene09406-v1.0-hybrid</t>
  </si>
  <si>
    <t>gene10007-v1.0-hybrid</t>
  </si>
  <si>
    <t>gene10307-v1.0-hybrid</t>
  </si>
  <si>
    <t>gene10608-v1.0-hybrid</t>
  </si>
  <si>
    <t>gene10908-v1.0-hybrid</t>
  </si>
  <si>
    <t>gene11809-v1.0-hybrid</t>
  </si>
  <si>
    <t>gene12109-v1.0-hybrid</t>
  </si>
  <si>
    <t>gene12409-v1.0-hybrid</t>
  </si>
  <si>
    <t>gene12709-v1.0-hybrid</t>
  </si>
  <si>
    <t>gene13010-v1.0-hybrid</t>
  </si>
  <si>
    <t>gene13310-v1.0-hybrid</t>
  </si>
  <si>
    <t>gene13610-v1.0-hybrid</t>
  </si>
  <si>
    <t>gene13911-v1.0-hybrid</t>
  </si>
  <si>
    <t>gene14212-v1.0-hybrid</t>
  </si>
  <si>
    <t>gene14514-v1.0-hybrid</t>
  </si>
  <si>
    <t>gene14814-v1.0-hybrid</t>
  </si>
  <si>
    <t>gene15417-v1.0-hybrid</t>
  </si>
  <si>
    <t>gene15718-v1.0-hybrid</t>
  </si>
  <si>
    <t>gene16019-v1.0-hybrid</t>
  </si>
  <si>
    <t>gene16319-v1.0-hybrid</t>
  </si>
  <si>
    <t>gene16619-v1.0-hybrid</t>
  </si>
  <si>
    <t>gene16920-v1.0-hybrid</t>
  </si>
  <si>
    <t>gene17221-v1.0-hybrid</t>
  </si>
  <si>
    <t>gene18121-v1.0-hybrid</t>
  </si>
  <si>
    <t>gene18421-v1.0-hybrid</t>
  </si>
  <si>
    <t>gene18721-v1.0-hybrid</t>
  </si>
  <si>
    <t>gene19021-v1.0-hybrid</t>
  </si>
  <si>
    <t>gene19321-v1.0-hybrid</t>
  </si>
  <si>
    <t>gene19621-v1.0-hybrid</t>
  </si>
  <si>
    <t>gene19921-v1.0-hybrid</t>
  </si>
  <si>
    <t>gene20522-v1.0-hybrid</t>
  </si>
  <si>
    <t>gene20822-v1.0-hybrid</t>
  </si>
  <si>
    <t>gene21122-v1.0-hybrid</t>
  </si>
  <si>
    <t>gene22023-v1.0-hybrid</t>
  </si>
  <si>
    <t>gene22925-v1.0-hybrid</t>
  </si>
  <si>
    <t>gene23227-v1.0-hybrid</t>
  </si>
  <si>
    <t>gene23527-v1.0-hybrid</t>
  </si>
  <si>
    <t>gene23827-v1.0-hybrid</t>
  </si>
  <si>
    <t>gene24127-v1.0-hybrid</t>
  </si>
  <si>
    <t>gene24429-v1.0-hybrid</t>
  </si>
  <si>
    <t>gene24730-v1.0-hybrid</t>
  </si>
  <si>
    <t>gene25632-v1.0-hybrid</t>
  </si>
  <si>
    <t>gene25932-v1.0-hybrid</t>
  </si>
  <si>
    <t>gene26232-v1.0-hybrid</t>
  </si>
  <si>
    <t>gene27733-v1.0-hybrid</t>
  </si>
  <si>
    <t>gene28033-v1.0-hybrid</t>
  </si>
  <si>
    <t>gene28333-v1.0-hybrid</t>
  </si>
  <si>
    <t>gene28933-v1.0-hybrid</t>
  </si>
  <si>
    <t>gene29233-v1.0-hybrid</t>
  </si>
  <si>
    <t>gene29533-v1.0-hybrid</t>
  </si>
  <si>
    <t>gene29834-v1.0-hybrid</t>
  </si>
  <si>
    <t>gene30135-v1.0-hybrid</t>
  </si>
  <si>
    <t>gene30435-v1.0-hybrid</t>
  </si>
  <si>
    <t>gene30735-v1.0-hybrid</t>
  </si>
  <si>
    <t>gene31035-v1.0-hybrid</t>
  </si>
  <si>
    <t>gene31335-v1.0-hybrid</t>
  </si>
  <si>
    <t>gene31935-v1.0-hybrid</t>
  </si>
  <si>
    <t>gene32235-v1.0-hybrid</t>
  </si>
  <si>
    <t>gene33274-v1.0-hybrid</t>
  </si>
  <si>
    <t>gene33664-v1.0-hybrid</t>
  </si>
  <si>
    <t>gene34000-v1.0-hybrid</t>
  </si>
  <si>
    <t>gene34300-v1.0-hybrid</t>
  </si>
  <si>
    <t>gene00312-v1.0-hybrid</t>
  </si>
  <si>
    <t>gene00616-v1.0-hybrid</t>
  </si>
  <si>
    <t>gene01216-v1.0-hybrid</t>
  </si>
  <si>
    <t>gene01517-v1.0-hybrid</t>
  </si>
  <si>
    <t>gene01817-v1.0-hybrid</t>
  </si>
  <si>
    <t>gene02417-v1.0-hybrid</t>
  </si>
  <si>
    <t>gene02717-v1.0-hybrid</t>
  </si>
  <si>
    <t>gene03105-v1.0-hybrid</t>
  </si>
  <si>
    <t>gene03405-v1.0-hybrid</t>
  </si>
  <si>
    <t>gene03705-v1.0-hybrid</t>
  </si>
  <si>
    <t>gene04005-v1.0-hybrid</t>
  </si>
  <si>
    <t>gene04305-v1.0-hybrid</t>
  </si>
  <si>
    <t>gene04905-v1.0-hybrid</t>
  </si>
  <si>
    <t>gene05205-v1.0-hybrid</t>
  </si>
  <si>
    <t>gene05506-v1.0-hybrid</t>
  </si>
  <si>
    <t>gene06106-v1.0-hybrid</t>
  </si>
  <si>
    <t>gene06406-v1.0-hybrid</t>
  </si>
  <si>
    <t>gene06706-v1.0-hybrid</t>
  </si>
  <si>
    <t>gene07006-v1.0-hybrid</t>
  </si>
  <si>
    <t>gene07306-v1.0-hybrid</t>
  </si>
  <si>
    <t>gene07606-v1.0-hybrid</t>
  </si>
  <si>
    <t>gene07907-v1.0-hybrid</t>
  </si>
  <si>
    <t>gene08207-v1.0-hybrid</t>
  </si>
  <si>
    <t>gene08507-v1.0-hybrid</t>
  </si>
  <si>
    <t>gene08807-v1.0-hybrid</t>
  </si>
  <si>
    <t>gene09107-v1.0-hybrid</t>
  </si>
  <si>
    <t>gene09407-v1.0-hybrid</t>
  </si>
  <si>
    <t>gene09707-v1.0-hybrid</t>
  </si>
  <si>
    <t>gene10008-v1.0-hybrid</t>
  </si>
  <si>
    <t>gene10308-v1.0-hybrid</t>
  </si>
  <si>
    <t>gene10609-v1.0-hybrid</t>
  </si>
  <si>
    <t>gene10909-v1.0-hybrid</t>
  </si>
  <si>
    <t>gene11810-v1.0-hybrid</t>
  </si>
  <si>
    <t>gene12110-v1.0-hybrid</t>
  </si>
  <si>
    <t>gene12410-v1.0-hybrid</t>
  </si>
  <si>
    <t>gene13611-v1.0-hybrid</t>
  </si>
  <si>
    <t>gene13912-v1.0-hybrid</t>
  </si>
  <si>
    <t>gene14515-v1.0-hybrid</t>
  </si>
  <si>
    <t>gene14815-v1.0-hybrid</t>
  </si>
  <si>
    <t>gene15117-v1.0-hybrid</t>
  </si>
  <si>
    <t>gene15418-v1.0-hybrid</t>
  </si>
  <si>
    <t>gene15719-v1.0-hybrid</t>
  </si>
  <si>
    <t>gene16020-v1.0-hybrid</t>
  </si>
  <si>
    <t>gene16320-v1.0-hybrid</t>
  </si>
  <si>
    <t>gene17222-v1.0-hybrid</t>
  </si>
  <si>
    <t>gene17522-v1.0-hybrid</t>
  </si>
  <si>
    <t>gene17822-v1.0-hybrid</t>
  </si>
  <si>
    <t>gene18122-v1.0-hybrid</t>
  </si>
  <si>
    <t>gene18422-v1.0-hybrid</t>
  </si>
  <si>
    <t>gene19022-v1.0-hybrid</t>
  </si>
  <si>
    <t>gene19322-v1.0-hybrid</t>
  </si>
  <si>
    <t>gene19622-v1.0-hybrid</t>
  </si>
  <si>
    <t>gene20523-v1.0-hybrid</t>
  </si>
  <si>
    <t>gene20823-v1.0-hybrid</t>
  </si>
  <si>
    <t>gene21123-v1.0-hybrid</t>
  </si>
  <si>
    <t>gene21423-v1.0-hybrid</t>
  </si>
  <si>
    <t>gene21724-v1.0-hybrid</t>
  </si>
  <si>
    <t>gene22024-v1.0-hybrid</t>
  </si>
  <si>
    <t>gene22325-v1.0-hybrid</t>
  </si>
  <si>
    <t>gene22926-v1.0-hybrid</t>
  </si>
  <si>
    <t>gene23228-v1.0-hybrid</t>
  </si>
  <si>
    <t>gene23528-v1.0-hybrid</t>
  </si>
  <si>
    <t>gene24128-v1.0-hybrid</t>
  </si>
  <si>
    <t>gene24430-v1.0-hybrid</t>
  </si>
  <si>
    <t>gene24731-v1.0-hybrid</t>
  </si>
  <si>
    <t>gene25033-v1.0-hybrid</t>
  </si>
  <si>
    <t>gene25333-v1.0-hybrid</t>
  </si>
  <si>
    <t>gene25633-v1.0-hybrid</t>
  </si>
  <si>
    <t>gene25933-v1.0-hybrid</t>
  </si>
  <si>
    <t>gene26233-v1.0-hybrid</t>
  </si>
  <si>
    <t>gene26533-v1.0-hybrid</t>
  </si>
  <si>
    <t>gene27134-v1.0-hybrid</t>
  </si>
  <si>
    <t>gene27734-v1.0-hybrid</t>
  </si>
  <si>
    <t>gene28334-v1.0-hybrid</t>
  </si>
  <si>
    <t>gene28634-v1.0-hybrid</t>
  </si>
  <si>
    <t>gene28934-v1.0-hybrid</t>
  </si>
  <si>
    <t>gene29234-v1.0-hybrid</t>
  </si>
  <si>
    <t>gene29534-v1.0-hybrid</t>
  </si>
  <si>
    <t>gene30136-v1.0-hybrid</t>
  </si>
  <si>
    <t>gene30436-v1.0-hybrid</t>
  </si>
  <si>
    <t>gene30736-v1.0-hybrid</t>
  </si>
  <si>
    <t>gene31036-v1.0-hybrid</t>
  </si>
  <si>
    <t>gene31636-v1.0-hybrid</t>
  </si>
  <si>
    <t>gene31936-v1.0-hybrid</t>
  </si>
  <si>
    <t>gene32236-v1.0-hybrid</t>
  </si>
  <si>
    <t>gene32536-v1.0-hybrid</t>
  </si>
  <si>
    <t>gene33276-v1.0-hybrid</t>
  </si>
  <si>
    <t>gene34301-v1.0-hybrid</t>
  </si>
  <si>
    <t>gene34901-v1.0-hybrid</t>
  </si>
  <si>
    <t>gene00313-v1.0-hybrid</t>
  </si>
  <si>
    <t>gene00617-v1.0-hybrid</t>
  </si>
  <si>
    <t>gene01217-v1.0-hybrid</t>
  </si>
  <si>
    <t>gene01518-v1.0-hybrid</t>
  </si>
  <si>
    <t>gene01818-v1.0-hybrid</t>
  </si>
  <si>
    <t>gene03406-v1.0-hybrid</t>
  </si>
  <si>
    <t>gene03706-v1.0-hybrid</t>
  </si>
  <si>
    <t>gene04006-v1.0-hybrid</t>
  </si>
  <si>
    <t>gene04306-v1.0-hybrid</t>
  </si>
  <si>
    <t>gene04606-v1.0-hybrid</t>
  </si>
  <si>
    <t>gene04906-v1.0-hybrid</t>
  </si>
  <si>
    <t>gene05507-v1.0-hybrid</t>
  </si>
  <si>
    <t>gene05807-v1.0-hybrid</t>
  </si>
  <si>
    <t>gene06407-v1.0-hybrid</t>
  </si>
  <si>
    <t>gene06707-v1.0-hybrid</t>
  </si>
  <si>
    <t>gene07007-v1.0-hybrid</t>
  </si>
  <si>
    <t>gene07607-v1.0-hybrid</t>
  </si>
  <si>
    <t>gene07908-v1.0-hybrid</t>
  </si>
  <si>
    <t>gene08208-v1.0-hybrid</t>
  </si>
  <si>
    <t>gene08508-v1.0-hybrid</t>
  </si>
  <si>
    <t>gene09108-v1.0-hybrid</t>
  </si>
  <si>
    <t>gene09408-v1.0-hybrid</t>
  </si>
  <si>
    <t>gene09708-v1.0-hybrid</t>
  </si>
  <si>
    <t>gene10009-v1.0-hybrid</t>
  </si>
  <si>
    <t>gene10309-v1.0-hybrid</t>
  </si>
  <si>
    <t>gene10610-v1.0-hybrid</t>
  </si>
  <si>
    <t>gene10910-v1.0-hybrid</t>
  </si>
  <si>
    <t>gene11211-v1.0-hybrid</t>
  </si>
  <si>
    <t>gene11511-v1.0-hybrid</t>
  </si>
  <si>
    <t>gene11811-v1.0-hybrid</t>
  </si>
  <si>
    <t>gene12411-v1.0-hybrid</t>
  </si>
  <si>
    <t>gene12711-v1.0-hybrid</t>
  </si>
  <si>
    <t>gene13312-v1.0-hybrid</t>
  </si>
  <si>
    <t>gene13612-v1.0-hybrid</t>
  </si>
  <si>
    <t>gene13913-v1.0-hybrid</t>
  </si>
  <si>
    <t>gene14516-v1.0-hybrid</t>
  </si>
  <si>
    <t>gene14816-v1.0-hybrid</t>
  </si>
  <si>
    <t>gene15118-v1.0-hybrid</t>
  </si>
  <si>
    <t>gene15419-v1.0-hybrid</t>
  </si>
  <si>
    <t>gene16021-v1.0-hybrid</t>
  </si>
  <si>
    <t>gene17523-v1.0-hybrid</t>
  </si>
  <si>
    <t>gene17823-v1.0-hybrid</t>
  </si>
  <si>
    <t>gene18423-v1.0-hybrid</t>
  </si>
  <si>
    <t>gene18723-v1.0-hybrid</t>
  </si>
  <si>
    <t>gene19023-v1.0-hybrid</t>
  </si>
  <si>
    <t>gene19623-v1.0-hybrid</t>
  </si>
  <si>
    <t>gene19923-v1.0-hybrid</t>
  </si>
  <si>
    <t>gene20824-v1.0-hybrid</t>
  </si>
  <si>
    <t>gene21124-v1.0-hybrid</t>
  </si>
  <si>
    <t>gene21424-v1.0-hybrid</t>
  </si>
  <si>
    <t>gene21725-v1.0-hybrid</t>
  </si>
  <si>
    <t>gene22025-v1.0-hybrid</t>
  </si>
  <si>
    <t>gene22626-v1.0-hybrid</t>
  </si>
  <si>
    <t>gene22927-v1.0-hybrid</t>
  </si>
  <si>
    <t>gene23229-v1.0-hybrid</t>
  </si>
  <si>
    <t>gene23529-v1.0-hybrid</t>
  </si>
  <si>
    <t>gene24431-v1.0-hybrid</t>
  </si>
  <si>
    <t>gene24732-v1.0-hybrid</t>
  </si>
  <si>
    <t>gene25334-v1.0-hybrid</t>
  </si>
  <si>
    <t>gene25934-v1.0-hybrid</t>
  </si>
  <si>
    <t>gene26234-v1.0-hybrid</t>
  </si>
  <si>
    <t>gene26534-v1.0-hybrid</t>
  </si>
  <si>
    <t>gene26835-v1.0-hybrid</t>
  </si>
  <si>
    <t>gene27135-v1.0-hybrid</t>
  </si>
  <si>
    <t>gene27435-v1.0-hybrid</t>
  </si>
  <si>
    <t>gene27735-v1.0-hybrid</t>
  </si>
  <si>
    <t>gene28035-v1.0-hybrid</t>
  </si>
  <si>
    <t>gene28335-v1.0-hybrid</t>
  </si>
  <si>
    <t>gene28635-v1.0-hybrid</t>
  </si>
  <si>
    <t>gene28935-v1.0-hybrid</t>
  </si>
  <si>
    <t>gene29235-v1.0-hybrid</t>
  </si>
  <si>
    <t>gene29535-v1.0-hybrid</t>
  </si>
  <si>
    <t>gene30137-v1.0-hybrid</t>
  </si>
  <si>
    <t>gene30737-v1.0-hybrid</t>
  </si>
  <si>
    <t>gene31037-v1.0-hybrid</t>
  </si>
  <si>
    <t>gene31337-v1.0-hybrid</t>
  </si>
  <si>
    <t>gene31637-v1.0-hybrid</t>
  </si>
  <si>
    <t>gene31937-v1.0-hybrid</t>
  </si>
  <si>
    <t>gene32237-v1.0-hybrid</t>
  </si>
  <si>
    <t>gene32537-v1.0-hybrid</t>
  </si>
  <si>
    <t>gene34602-v1.0-hybrid</t>
  </si>
  <si>
    <t>gene00314-v1.0-hybrid</t>
  </si>
  <si>
    <t>gene00618-v1.0-hybrid</t>
  </si>
  <si>
    <t>gene00918-v1.0-hybrid</t>
  </si>
  <si>
    <t>gene01519-v1.0-hybrid</t>
  </si>
  <si>
    <t>gene01819-v1.0-hybrid</t>
  </si>
  <si>
    <t>gene02119-v1.0-hybrid</t>
  </si>
  <si>
    <t>gene02719-v1.0-hybrid</t>
  </si>
  <si>
    <t>gene03707-v1.0-hybrid</t>
  </si>
  <si>
    <t>gene04307-v1.0-hybrid</t>
  </si>
  <si>
    <t>gene04607-v1.0-hybrid</t>
  </si>
  <si>
    <t>gene05508-v1.0-hybrid</t>
  </si>
  <si>
    <t>gene05808-v1.0-hybrid</t>
  </si>
  <si>
    <t>gene06108-v1.0-hybrid</t>
  </si>
  <si>
    <t>gene06708-v1.0-hybrid</t>
  </si>
  <si>
    <t>gene07008-v1.0-hybrid</t>
  </si>
  <si>
    <t>gene07308-v1.0-hybrid</t>
  </si>
  <si>
    <t>gene07608-v1.0-hybrid</t>
  </si>
  <si>
    <t>gene07909-v1.0-hybrid</t>
  </si>
  <si>
    <t>gene08209-v1.0-hybrid</t>
  </si>
  <si>
    <t>gene08509-v1.0-hybrid</t>
  </si>
  <si>
    <t>gene08809-v1.0-hybrid</t>
  </si>
  <si>
    <t>gene09109-v1.0-hybrid</t>
  </si>
  <si>
    <t>gene09409-v1.0-hybrid</t>
  </si>
  <si>
    <t>gene09709-v1.0-hybrid</t>
  </si>
  <si>
    <t>gene10310-v1.0-hybrid</t>
  </si>
  <si>
    <t>gene10611-v1.0-hybrid</t>
  </si>
  <si>
    <t>gene10911-v1.0-hybrid</t>
  </si>
  <si>
    <t>gene11212-v1.0-hybrid</t>
  </si>
  <si>
    <t>gene12112-v1.0-hybrid</t>
  </si>
  <si>
    <t>gene12412-v1.0-hybrid</t>
  </si>
  <si>
    <t>gene12712-v1.0-hybrid</t>
  </si>
  <si>
    <t>gene13013-v1.0-hybrid</t>
  </si>
  <si>
    <t>gene13313-v1.0-hybrid</t>
  </si>
  <si>
    <t>gene13613-v1.0-hybrid</t>
  </si>
  <si>
    <t>gene13914-v1.0-hybrid</t>
  </si>
  <si>
    <t>gene14215-v1.0-hybrid</t>
  </si>
  <si>
    <t>gene14517-v1.0-hybrid</t>
  </si>
  <si>
    <t>gene14817-v1.0-hybrid</t>
  </si>
  <si>
    <t>gene15119-v1.0-hybrid</t>
  </si>
  <si>
    <t>gene15420-v1.0-hybrid</t>
  </si>
  <si>
    <t>gene15721-v1.0-hybrid</t>
  </si>
  <si>
    <t>gene16322-v1.0-hybrid</t>
  </si>
  <si>
    <t>gene16923-v1.0-hybrid</t>
  </si>
  <si>
    <t>gene17224-v1.0-hybrid</t>
  </si>
  <si>
    <t>gene17524-v1.0-hybrid</t>
  </si>
  <si>
    <t>gene17824-v1.0-hybrid</t>
  </si>
  <si>
    <t>gene18124-v1.0-hybrid</t>
  </si>
  <si>
    <t>gene19024-v1.0-hybrid</t>
  </si>
  <si>
    <t>gene19324-v1.0-hybrid</t>
  </si>
  <si>
    <t>gene19924-v1.0-hybrid</t>
  </si>
  <si>
    <t>gene20225-v1.0-hybrid</t>
  </si>
  <si>
    <t>gene20825-v1.0-hybrid</t>
  </si>
  <si>
    <t>gene21425-v1.0-hybrid</t>
  </si>
  <si>
    <t>gene21726-v1.0-hybrid</t>
  </si>
  <si>
    <t>gene22327-v1.0-hybrid</t>
  </si>
  <si>
    <t>gene22627-v1.0-hybrid</t>
  </si>
  <si>
    <t>gene22928-v1.0-hybrid</t>
  </si>
  <si>
    <t>gene23230-v1.0-hybrid</t>
  </si>
  <si>
    <t>gene23530-v1.0-hybrid</t>
  </si>
  <si>
    <t>gene23830-v1.0-hybrid</t>
  </si>
  <si>
    <t>gene24432-v1.0-hybrid</t>
  </si>
  <si>
    <t>gene25335-v1.0-hybrid</t>
  </si>
  <si>
    <t>gene25935-v1.0-hybrid</t>
  </si>
  <si>
    <t>gene26235-v1.0-hybrid</t>
  </si>
  <si>
    <t>gene26535-v1.0-hybrid</t>
  </si>
  <si>
    <t>gene27136-v1.0-hybrid</t>
  </si>
  <si>
    <t>gene27736-v1.0-hybrid</t>
  </si>
  <si>
    <t>gene28036-v1.0-hybrid</t>
  </si>
  <si>
    <t>gene29236-v1.0-hybrid</t>
  </si>
  <si>
    <t>gene29536-v1.0-hybrid</t>
  </si>
  <si>
    <t>gene29837-v1.0-hybrid</t>
  </si>
  <si>
    <t>gene30138-v1.0-hybrid</t>
  </si>
  <si>
    <t>gene30438-v1.0-hybrid</t>
  </si>
  <si>
    <t>gene30738-v1.0-hybrid</t>
  </si>
  <si>
    <t>gene31638-v1.0-hybrid</t>
  </si>
  <si>
    <t>gene32238-v1.0-hybrid</t>
  </si>
  <si>
    <t>gene34903-v1.0-hybrid</t>
  </si>
  <si>
    <t>gene00619-v1.0-hybrid</t>
  </si>
  <si>
    <t>gene01520-v1.0-hybrid</t>
  </si>
  <si>
    <t>gene01820-v1.0-hybrid</t>
  </si>
  <si>
    <t>gene02120-v1.0-hybrid</t>
  </si>
  <si>
    <t>gene02720-v1.0-hybrid</t>
  </si>
  <si>
    <t>gene03708-v1.0-hybrid</t>
  </si>
  <si>
    <t>gene04008-v1.0-hybrid</t>
  </si>
  <si>
    <t>gene04308-v1.0-hybrid</t>
  </si>
  <si>
    <t>gene04608-v1.0-hybrid</t>
  </si>
  <si>
    <t>gene04908-v1.0-hybrid</t>
  </si>
  <si>
    <t>gene05208-v1.0-hybrid</t>
  </si>
  <si>
    <t>gene05509-v1.0-hybrid</t>
  </si>
  <si>
    <t>gene05809-v1.0-hybrid</t>
  </si>
  <si>
    <t>gene06409-v1.0-hybrid</t>
  </si>
  <si>
    <t>gene06709-v1.0-hybrid</t>
  </si>
  <si>
    <t>gene07009-v1.0-hybrid</t>
  </si>
  <si>
    <t>gene07309-v1.0-hybrid</t>
  </si>
  <si>
    <t>gene07609-v1.0-hybrid</t>
  </si>
  <si>
    <t>gene08510-v1.0-hybrid</t>
  </si>
  <si>
    <t>gene08810-v1.0-hybrid</t>
  </si>
  <si>
    <t>gene09110-v1.0-hybrid</t>
  </si>
  <si>
    <t>gene09410-v1.0-hybrid</t>
  </si>
  <si>
    <t>gene09710-v1.0-hybrid</t>
  </si>
  <si>
    <t>gene10011-v1.0-hybrid</t>
  </si>
  <si>
    <t>gene10311-v1.0-hybrid</t>
  </si>
  <si>
    <t>gene10612-v1.0-hybrid</t>
  </si>
  <si>
    <t>gene11213-v1.0-hybrid</t>
  </si>
  <si>
    <t>gene11513-v1.0-hybrid</t>
  </si>
  <si>
    <t>gene12113-v1.0-hybrid</t>
  </si>
  <si>
    <t>gene12713-v1.0-hybrid</t>
  </si>
  <si>
    <t>gene13314-v1.0-hybrid</t>
  </si>
  <si>
    <t>gene13614-v1.0-hybrid</t>
  </si>
  <si>
    <t>gene13915-v1.0-hybrid</t>
  </si>
  <si>
    <t>gene14216-v1.0-hybrid</t>
  </si>
  <si>
    <t>gene14518-v1.0-hybrid</t>
  </si>
  <si>
    <t>gene14818-v1.0-hybrid</t>
  </si>
  <si>
    <t>gene15120-v1.0-hybrid</t>
  </si>
  <si>
    <t>gene15421-v1.0-hybrid</t>
  </si>
  <si>
    <t>gene15722-v1.0-hybrid</t>
  </si>
  <si>
    <t>gene16023-v1.0-hybrid</t>
  </si>
  <si>
    <t>gene16323-v1.0-hybrid</t>
  </si>
  <si>
    <t>gene18125-v1.0-hybrid</t>
  </si>
  <si>
    <t>gene18425-v1.0-hybrid</t>
  </si>
  <si>
    <t>gene18725-v1.0-hybrid</t>
  </si>
  <si>
    <t>gene19325-v1.0-hybrid</t>
  </si>
  <si>
    <t>gene19625-v1.0-hybrid</t>
  </si>
  <si>
    <t>gene19925-v1.0-hybrid</t>
  </si>
  <si>
    <t>gene20526-v1.0-hybrid</t>
  </si>
  <si>
    <t>gene20826-v1.0-hybrid</t>
  </si>
  <si>
    <t>gene21126-v1.0-hybrid</t>
  </si>
  <si>
    <t>gene21426-v1.0-hybrid</t>
  </si>
  <si>
    <t>gene22328-v1.0-hybrid</t>
  </si>
  <si>
    <t>gene22628-v1.0-hybrid</t>
  </si>
  <si>
    <t>gene22929-v1.0-hybrid</t>
  </si>
  <si>
    <t>gene23231-v1.0-hybrid</t>
  </si>
  <si>
    <t>gene23531-v1.0-hybrid</t>
  </si>
  <si>
    <t>gene23831-v1.0-hybrid</t>
  </si>
  <si>
    <t>gene24433-v1.0-hybrid</t>
  </si>
  <si>
    <t>gene24734-v1.0-hybrid</t>
  </si>
  <si>
    <t>gene25036-v1.0-hybrid</t>
  </si>
  <si>
    <t>gene25336-v1.0-hybrid</t>
  </si>
  <si>
    <t>gene25936-v1.0-hybrid</t>
  </si>
  <si>
    <t>gene26536-v1.0-hybrid</t>
  </si>
  <si>
    <t>gene27137-v1.0-hybrid</t>
  </si>
  <si>
    <t>gene27737-v1.0-hybrid</t>
  </si>
  <si>
    <t>gene28037-v1.0-hybrid</t>
  </si>
  <si>
    <t>gene28337-v1.0-hybrid</t>
  </si>
  <si>
    <t>gene28637-v1.0-hybrid</t>
  </si>
  <si>
    <t>gene29537-v1.0-hybrid</t>
  </si>
  <si>
    <t>gene29838-v1.0-hybrid</t>
  </si>
  <si>
    <t>gene30439-v1.0-hybrid</t>
  </si>
  <si>
    <t>gene30739-v1.0-hybrid</t>
  </si>
  <si>
    <t>gene31039-v1.0-hybrid</t>
  </si>
  <si>
    <t>gene31339-v1.0-hybrid</t>
  </si>
  <si>
    <t>gene31939-v1.0-hybrid</t>
  </si>
  <si>
    <t>gene32239-v1.0-hybrid</t>
  </si>
  <si>
    <t>gene32539-v1.0-hybrid</t>
  </si>
  <si>
    <t>gene34004-v1.0-hybrid</t>
  </si>
  <si>
    <t>gene34904-v1.0-hybrid</t>
  </si>
  <si>
    <t>gene00620-v1.0-hybrid</t>
  </si>
  <si>
    <t>gene00920-v1.0-hybrid</t>
  </si>
  <si>
    <t>gene01521-v1.0-hybrid</t>
  </si>
  <si>
    <t>gene02121-v1.0-hybrid</t>
  </si>
  <si>
    <t>gene02421-v1.0-hybrid</t>
  </si>
  <si>
    <t>gene03109-v1.0-hybrid</t>
  </si>
  <si>
    <t>gene03409-v1.0-hybrid</t>
  </si>
  <si>
    <t>gene03709-v1.0-hybrid</t>
  </si>
  <si>
    <t>gene04309-v1.0-hybrid</t>
  </si>
  <si>
    <t>gene04609-v1.0-hybrid</t>
  </si>
  <si>
    <t>gene05810-v1.0-hybrid</t>
  </si>
  <si>
    <t>gene06410-v1.0-hybrid</t>
  </si>
  <si>
    <t>gene07010-v1.0-hybrid</t>
  </si>
  <si>
    <t>gene07310-v1.0-hybrid</t>
  </si>
  <si>
    <t>gene08511-v1.0-hybrid</t>
  </si>
  <si>
    <t>gene08811-v1.0-hybrid</t>
  </si>
  <si>
    <t>gene09111-v1.0-hybrid</t>
  </si>
  <si>
    <t>gene09411-v1.0-hybrid</t>
  </si>
  <si>
    <t>gene10012-v1.0-hybrid</t>
  </si>
  <si>
    <t>gene10312-v1.0-hybrid</t>
  </si>
  <si>
    <t>gene10613-v1.0-hybrid</t>
  </si>
  <si>
    <t>gene10913-v1.0-hybrid</t>
  </si>
  <si>
    <t>gene11214-v1.0-hybrid</t>
  </si>
  <si>
    <t>gene11514-v1.0-hybrid</t>
  </si>
  <si>
    <t>gene12714-v1.0-hybrid</t>
  </si>
  <si>
    <t>gene13015-v1.0-hybrid</t>
  </si>
  <si>
    <t>gene13315-v1.0-hybrid</t>
  </si>
  <si>
    <t>gene13615-v1.0-hybrid</t>
  </si>
  <si>
    <t>gene14519-v1.0-hybrid</t>
  </si>
  <si>
    <t>gene15121-v1.0-hybrid</t>
  </si>
  <si>
    <t>gene15422-v1.0-hybrid</t>
  </si>
  <si>
    <t>gene15723-v1.0-hybrid</t>
  </si>
  <si>
    <t>gene16024-v1.0-hybrid</t>
  </si>
  <si>
    <t>gene17226-v1.0-hybrid</t>
  </si>
  <si>
    <t>gene18126-v1.0-hybrid</t>
  </si>
  <si>
    <t>gene18426-v1.0-hybrid</t>
  </si>
  <si>
    <t>gene18726-v1.0-hybrid</t>
  </si>
  <si>
    <t>gene19326-v1.0-hybrid</t>
  </si>
  <si>
    <t>gene19626-v1.0-hybrid</t>
  </si>
  <si>
    <t>gene19926-v1.0-hybrid</t>
  </si>
  <si>
    <t>gene20527-v1.0-hybrid</t>
  </si>
  <si>
    <t>gene20827-v1.0-hybrid</t>
  </si>
  <si>
    <t>gene21427-v1.0-hybrid</t>
  </si>
  <si>
    <t>gene22028-v1.0-hybrid</t>
  </si>
  <si>
    <t>gene22329-v1.0-hybrid</t>
  </si>
  <si>
    <t>gene22629-v1.0-hybrid</t>
  </si>
  <si>
    <t>gene22930-v1.0-hybrid</t>
  </si>
  <si>
    <t>gene23232-v1.0-hybrid</t>
  </si>
  <si>
    <t>gene23532-v1.0-hybrid</t>
  </si>
  <si>
    <t>gene23832-v1.0-hybrid</t>
  </si>
  <si>
    <t>gene24133-v1.0-hybrid</t>
  </si>
  <si>
    <t>gene24434-v1.0-hybrid</t>
  </si>
  <si>
    <t>gene24735-v1.0-hybrid</t>
  </si>
  <si>
    <t>gene25337-v1.0-hybrid</t>
  </si>
  <si>
    <t>gene25637-v1.0-hybrid</t>
  </si>
  <si>
    <t>gene25937-v1.0-hybrid</t>
  </si>
  <si>
    <t>gene26537-v1.0-hybrid</t>
  </si>
  <si>
    <t>gene26838-v1.0-hybrid</t>
  </si>
  <si>
    <t>gene27138-v1.0-hybrid</t>
  </si>
  <si>
    <t>gene27438-v1.0-hybrid</t>
  </si>
  <si>
    <t>gene28338-v1.0-hybrid</t>
  </si>
  <si>
    <t>gene28638-v1.0-hybrid</t>
  </si>
  <si>
    <t>gene28938-v1.0-hybrid</t>
  </si>
  <si>
    <t>gene29238-v1.0-hybrid</t>
  </si>
  <si>
    <t>gene29538-v1.0-hybrid</t>
  </si>
  <si>
    <t>gene29839-v1.0-hybrid</t>
  </si>
  <si>
    <t>gene30140-v1.0-hybrid</t>
  </si>
  <si>
    <t>gene30440-v1.0-hybrid</t>
  </si>
  <si>
    <t>gene30740-v1.0-hybrid</t>
  </si>
  <si>
    <t>gene31040-v1.0-hybrid</t>
  </si>
  <si>
    <t>gene32240-v1.0-hybrid</t>
  </si>
  <si>
    <t>gene33280-v1.0-hybrid</t>
  </si>
  <si>
    <t>gene33674-v1.0-hybrid</t>
  </si>
  <si>
    <t>gene34005-v1.0-hybrid</t>
  </si>
  <si>
    <t>gene34305-v1.0-hybrid</t>
  </si>
  <si>
    <t>gene34905-v1.0-hybrid</t>
  </si>
  <si>
    <t>gene00317-v1.0-hybrid</t>
  </si>
  <si>
    <t>gene00921-v1.0-hybrid</t>
  </si>
  <si>
    <t>gene01522-v1.0-hybrid</t>
  </si>
  <si>
    <t>gene01822-v1.0-hybrid</t>
  </si>
  <si>
    <t>gene02422-v1.0-hybrid</t>
  </si>
  <si>
    <t>gene02722-v1.0-hybrid</t>
  </si>
  <si>
    <t>gene03110-v1.0-hybrid</t>
  </si>
  <si>
    <t>gene03710-v1.0-hybrid</t>
  </si>
  <si>
    <t>gene04310-v1.0-hybrid</t>
  </si>
  <si>
    <t>gene04610-v1.0-hybrid</t>
  </si>
  <si>
    <t>gene04910-v1.0-hybrid</t>
  </si>
  <si>
    <t>gene05210-v1.0-hybrid</t>
  </si>
  <si>
    <t>gene05511-v1.0-hybrid</t>
  </si>
  <si>
    <t>gene05811-v1.0-hybrid</t>
  </si>
  <si>
    <t>gene06411-v1.0-hybrid</t>
  </si>
  <si>
    <t>gene06711-v1.0-hybrid</t>
  </si>
  <si>
    <t>gene07011-v1.0-hybrid</t>
  </si>
  <si>
    <t>gene07311-v1.0-hybrid</t>
  </si>
  <si>
    <t>gene07912-v1.0-hybrid</t>
  </si>
  <si>
    <t>gene08212-v1.0-hybrid</t>
  </si>
  <si>
    <t>gene08512-v1.0-hybrid</t>
  </si>
  <si>
    <t>gene08812-v1.0-hybrid</t>
  </si>
  <si>
    <t>gene09112-v1.0-hybrid</t>
  </si>
  <si>
    <t>gene09412-v1.0-hybrid</t>
  </si>
  <si>
    <t>gene09712-v1.0-hybrid</t>
  </si>
  <si>
    <t>gene10013-v1.0-hybrid</t>
  </si>
  <si>
    <t>gene10313-v1.0-hybrid</t>
  </si>
  <si>
    <t>gene10614-v1.0-hybrid</t>
  </si>
  <si>
    <t>gene10914-v1.0-hybrid</t>
  </si>
  <si>
    <t>gene11215-v1.0-hybrid</t>
  </si>
  <si>
    <t>gene11815-v1.0-hybrid</t>
  </si>
  <si>
    <t>gene12115-v1.0-hybrid</t>
  </si>
  <si>
    <t>gene12415-v1.0-hybrid</t>
  </si>
  <si>
    <t>gene13016-v1.0-hybrid</t>
  </si>
  <si>
    <t>gene13316-v1.0-hybrid</t>
  </si>
  <si>
    <t>gene13616-v1.0-hybrid</t>
  </si>
  <si>
    <t>gene13917-v1.0-hybrid</t>
  </si>
  <si>
    <t>gene14520-v1.0-hybrid</t>
  </si>
  <si>
    <t>gene14820-v1.0-hybrid</t>
  </si>
  <si>
    <t>gene15122-v1.0-hybrid</t>
  </si>
  <si>
    <t>gene15423-v1.0-hybrid</t>
  </si>
  <si>
    <t>gene15724-v1.0-hybrid</t>
  </si>
  <si>
    <t>gene16025-v1.0-hybrid</t>
  </si>
  <si>
    <t>gene16325-v1.0-hybrid</t>
  </si>
  <si>
    <t>gene16625-v1.0-hybrid</t>
  </si>
  <si>
    <t>gene16926-v1.0-hybrid</t>
  </si>
  <si>
    <t>gene17227-v1.0-hybrid</t>
  </si>
  <si>
    <t>gene17527-v1.0-hybrid</t>
  </si>
  <si>
    <t>gene17827-v1.0-hybrid</t>
  </si>
  <si>
    <t>gene18127-v1.0-hybrid</t>
  </si>
  <si>
    <t>gene19327-v1.0-hybrid</t>
  </si>
  <si>
    <t>gene19927-v1.0-hybrid</t>
  </si>
  <si>
    <t>gene20228-v1.0-hybrid</t>
  </si>
  <si>
    <t>gene20528-v1.0-hybrid</t>
  </si>
  <si>
    <t>gene20828-v1.0-hybrid</t>
  </si>
  <si>
    <t>gene21428-v1.0-hybrid</t>
  </si>
  <si>
    <t>gene21729-v1.0-hybrid</t>
  </si>
  <si>
    <t>gene22330-v1.0-hybrid</t>
  </si>
  <si>
    <t>gene22630-v1.0-hybrid</t>
  </si>
  <si>
    <t>gene23533-v1.0-hybrid</t>
  </si>
  <si>
    <t>gene23833-v1.0-hybrid</t>
  </si>
  <si>
    <t>gene24736-v1.0-hybrid</t>
  </si>
  <si>
    <t>gene25038-v1.0-hybrid</t>
  </si>
  <si>
    <t>gene25638-v1.0-hybrid</t>
  </si>
  <si>
    <t>gene25938-v1.0-hybrid</t>
  </si>
  <si>
    <t>gene26238-v1.0-hybrid</t>
  </si>
  <si>
    <t>gene26538-v1.0-hybrid</t>
  </si>
  <si>
    <t>gene26839-v1.0-hybrid</t>
  </si>
  <si>
    <t>gene27439-v1.0-hybrid</t>
  </si>
  <si>
    <t>gene28039-v1.0-hybrid</t>
  </si>
  <si>
    <t>gene28339-v1.0-hybrid</t>
  </si>
  <si>
    <t>gene28639-v1.0-hybrid</t>
  </si>
  <si>
    <t>gene28939-v1.0-hybrid</t>
  </si>
  <si>
    <t>gene29239-v1.0-hybrid</t>
  </si>
  <si>
    <t>gene29539-v1.0-hybrid</t>
  </si>
  <si>
    <t>gene30741-v1.0-hybrid</t>
  </si>
  <si>
    <t>gene31041-v1.0-hybrid</t>
  </si>
  <si>
    <t>gene31641-v1.0-hybrid</t>
  </si>
  <si>
    <t>gene31941-v1.0-hybrid</t>
  </si>
  <si>
    <t>gene32241-v1.0-hybrid</t>
  </si>
  <si>
    <t>gene32541-v1.0-hybrid</t>
  </si>
  <si>
    <t>gene34006-v1.0-hybrid</t>
  </si>
  <si>
    <t>gene00318-v1.0-hybrid</t>
  </si>
  <si>
    <t>gene00622-v1.0-hybrid</t>
  </si>
  <si>
    <t>gene01523-v1.0-hybrid</t>
  </si>
  <si>
    <t>gene02123-v1.0-hybrid</t>
  </si>
  <si>
    <t>gene02423-v1.0-hybrid</t>
  </si>
  <si>
    <t>gene02723-v1.0-hybrid</t>
  </si>
  <si>
    <t>gene03411-v1.0-hybrid</t>
  </si>
  <si>
    <t>gene04011-v1.0-hybrid</t>
  </si>
  <si>
    <t>gene04311-v1.0-hybrid</t>
  </si>
  <si>
    <t>gene04611-v1.0-hybrid</t>
  </si>
  <si>
    <t>gene04911-v1.0-hybrid</t>
  </si>
  <si>
    <t>gene05211-v1.0-hybrid</t>
  </si>
  <si>
    <t>gene05512-v1.0-hybrid</t>
  </si>
  <si>
    <t>gene06712-v1.0-hybrid</t>
  </si>
  <si>
    <t>gene07312-v1.0-hybrid</t>
  </si>
  <si>
    <t>gene07612-v1.0-hybrid</t>
  </si>
  <si>
    <t>gene08813-v1.0-hybrid</t>
  </si>
  <si>
    <t>gene09113-v1.0-hybrid</t>
  </si>
  <si>
    <t>gene09413-v1.0-hybrid</t>
  </si>
  <si>
    <t>gene09713-v1.0-hybrid</t>
  </si>
  <si>
    <t>gene10314-v1.0-hybrid</t>
  </si>
  <si>
    <t>gene10615-v1.0-hybrid</t>
  </si>
  <si>
    <t>gene11216-v1.0-hybrid</t>
  </si>
  <si>
    <t>gene11516-v1.0-hybrid</t>
  </si>
  <si>
    <t>gene11816-v1.0-hybrid</t>
  </si>
  <si>
    <t>gene12116-v1.0-hybrid</t>
  </si>
  <si>
    <t>gene13017-v1.0-hybrid</t>
  </si>
  <si>
    <t>gene13317-v1.0-hybrid</t>
  </si>
  <si>
    <t>gene13617-v1.0-hybrid</t>
  </si>
  <si>
    <t>gene13918-v1.0-hybrid</t>
  </si>
  <si>
    <t>gene14521-v1.0-hybrid</t>
  </si>
  <si>
    <t>gene14821-v1.0-hybrid</t>
  </si>
  <si>
    <t>gene15123-v1.0-hybrid</t>
  </si>
  <si>
    <t>gene15424-v1.0-hybrid</t>
  </si>
  <si>
    <t>gene15725-v1.0-hybrid</t>
  </si>
  <si>
    <t>gene16326-v1.0-hybrid</t>
  </si>
  <si>
    <t>gene16626-v1.0-hybrid</t>
  </si>
  <si>
    <t>gene17528-v1.0-hybrid</t>
  </si>
  <si>
    <t>gene17828-v1.0-hybrid</t>
  </si>
  <si>
    <t>gene18128-v1.0-hybrid</t>
  </si>
  <si>
    <t>gene18428-v1.0-hybrid</t>
  </si>
  <si>
    <t>gene18728-v1.0-hybrid</t>
  </si>
  <si>
    <t>gene19328-v1.0-hybrid</t>
  </si>
  <si>
    <t>gene19628-v1.0-hybrid</t>
  </si>
  <si>
    <t>gene19928-v1.0-hybrid</t>
  </si>
  <si>
    <t>gene20229-v1.0-hybrid</t>
  </si>
  <si>
    <t>gene20529-v1.0-hybrid</t>
  </si>
  <si>
    <t>gene20829-v1.0-hybrid</t>
  </si>
  <si>
    <t>gene21129-v1.0-hybrid</t>
  </si>
  <si>
    <t>gene21429-v1.0-hybrid</t>
  </si>
  <si>
    <t>gene21730-v1.0-hybrid</t>
  </si>
  <si>
    <t>gene22030-v1.0-hybrid</t>
  </si>
  <si>
    <t>gene22331-v1.0-hybrid</t>
  </si>
  <si>
    <t>gene22631-v1.0-hybrid</t>
  </si>
  <si>
    <t>gene22932-v1.0-hybrid</t>
  </si>
  <si>
    <t>gene23234-v1.0-hybrid</t>
  </si>
  <si>
    <t>gene23534-v1.0-hybrid</t>
  </si>
  <si>
    <t>gene23834-v1.0-hybrid</t>
  </si>
  <si>
    <t>gene25039-v1.0-hybrid</t>
  </si>
  <si>
    <t>gene25339-v1.0-hybrid</t>
  </si>
  <si>
    <t>gene25639-v1.0-hybrid</t>
  </si>
  <si>
    <t>gene25939-v1.0-hybrid</t>
  </si>
  <si>
    <t>gene26840-v1.0-hybrid</t>
  </si>
  <si>
    <t>gene27140-v1.0-hybrid</t>
  </si>
  <si>
    <t>gene27440-v1.0-hybrid</t>
  </si>
  <si>
    <t>gene27740-v1.0-hybrid</t>
  </si>
  <si>
    <t>gene28040-v1.0-hybrid</t>
  </si>
  <si>
    <t>gene28640-v1.0-hybrid</t>
  </si>
  <si>
    <t>gene28940-v1.0-hybrid</t>
  </si>
  <si>
    <t>gene29540-v1.0-hybrid</t>
  </si>
  <si>
    <t>gene29842-v1.0-hybrid</t>
  </si>
  <si>
    <t>gene30442-v1.0-hybrid</t>
  </si>
  <si>
    <t>gene30742-v1.0-hybrid</t>
  </si>
  <si>
    <t>gene31042-v1.0-hybrid</t>
  </si>
  <si>
    <t>gene31942-v1.0-hybrid</t>
  </si>
  <si>
    <t>gene32242-v1.0-hybrid</t>
  </si>
  <si>
    <t>gene32542-v1.0-hybrid</t>
  </si>
  <si>
    <t>gene33676-v1.0-hybrid</t>
  </si>
  <si>
    <t>gene34007-v1.0-hybrid</t>
  </si>
  <si>
    <t>gene34307-v1.0-hybrid</t>
  </si>
  <si>
    <t>gene35207-v1.0-hybrid</t>
  </si>
  <si>
    <t>gene00319-v1.0-hybrid</t>
  </si>
  <si>
    <t>gene00623-v1.0-hybrid</t>
  </si>
  <si>
    <t>gene00923-v1.0-hybrid</t>
  </si>
  <si>
    <t>gene01223-v1.0-hybrid</t>
  </si>
  <si>
    <t>gene01524-v1.0-hybrid</t>
  </si>
  <si>
    <t>gene02124-v1.0-hybrid</t>
  </si>
  <si>
    <t>gene02424-v1.0-hybrid</t>
  </si>
  <si>
    <t>gene03112-v1.0-hybrid</t>
  </si>
  <si>
    <t>gene03412-v1.0-hybrid</t>
  </si>
  <si>
    <t>gene03712-v1.0-hybrid</t>
  </si>
  <si>
    <t>gene04012-v1.0-hybrid</t>
  </si>
  <si>
    <t>gene04312-v1.0-hybrid</t>
  </si>
  <si>
    <t>gene04612-v1.0-hybrid</t>
  </si>
  <si>
    <t>gene05212-v1.0-hybrid</t>
  </si>
  <si>
    <t>gene05813-v1.0-hybrid</t>
  </si>
  <si>
    <t>gene06113-v1.0-hybrid</t>
  </si>
  <si>
    <t>gene06413-v1.0-hybrid</t>
  </si>
  <si>
    <t>gene06713-v1.0-hybrid</t>
  </si>
  <si>
    <t>gene07013-v1.0-hybrid</t>
  </si>
  <si>
    <t>gene07613-v1.0-hybrid</t>
  </si>
  <si>
    <t>gene07914-v1.0-hybrid</t>
  </si>
  <si>
    <t>gene08214-v1.0-hybrid</t>
  </si>
  <si>
    <t>gene08514-v1.0-hybrid</t>
  </si>
  <si>
    <t>gene09114-v1.0-hybrid</t>
  </si>
  <si>
    <t>gene09414-v1.0-hybrid</t>
  </si>
  <si>
    <t>gene10015-v1.0-hybrid</t>
  </si>
  <si>
    <t>gene10315-v1.0-hybrid</t>
  </si>
  <si>
    <t>gene10916-v1.0-hybrid</t>
  </si>
  <si>
    <t>gene11217-v1.0-hybrid</t>
  </si>
  <si>
    <t>gene11817-v1.0-hybrid</t>
  </si>
  <si>
    <t>gene12117-v1.0-hybrid</t>
  </si>
  <si>
    <t>gene12417-v1.0-hybrid</t>
  </si>
  <si>
    <t>gene13618-v1.0-hybrid</t>
  </si>
  <si>
    <t>gene13919-v1.0-hybrid</t>
  </si>
  <si>
    <t>gene14220-v1.0-hybrid</t>
  </si>
  <si>
    <t>gene14522-v1.0-hybrid</t>
  </si>
  <si>
    <t>gene14822-v1.0-hybrid</t>
  </si>
  <si>
    <t>gene15124-v1.0-hybrid</t>
  </si>
  <si>
    <t>gene15425-v1.0-hybrid</t>
  </si>
  <si>
    <t>gene16027-v1.0-hybrid</t>
  </si>
  <si>
    <t>gene16627-v1.0-hybrid</t>
  </si>
  <si>
    <t>gene16928-v1.0-hybrid</t>
  </si>
  <si>
    <t>gene17229-v1.0-hybrid</t>
  </si>
  <si>
    <t>gene17829-v1.0-hybrid</t>
  </si>
  <si>
    <t>gene18729-v1.0-hybrid</t>
  </si>
  <si>
    <t>gene19329-v1.0-hybrid</t>
  </si>
  <si>
    <t>gene19629-v1.0-hybrid</t>
  </si>
  <si>
    <t>gene19929-v1.0-hybrid</t>
  </si>
  <si>
    <t>gene20230-v1.0-hybrid</t>
  </si>
  <si>
    <t>gene20530-v1.0-hybrid</t>
  </si>
  <si>
    <t>gene21130-v1.0-hybrid</t>
  </si>
  <si>
    <t>gene21430-v1.0-hybrid</t>
  </si>
  <si>
    <t>gene22031-v1.0-hybrid</t>
  </si>
  <si>
    <t>gene22933-v1.0-hybrid</t>
  </si>
  <si>
    <t>gene23235-v1.0-hybrid</t>
  </si>
  <si>
    <t>gene23535-v1.0-hybrid</t>
  </si>
  <si>
    <t>gene24437-v1.0-hybrid</t>
  </si>
  <si>
    <t>gene24738-v1.0-hybrid</t>
  </si>
  <si>
    <t>gene25040-v1.0-hybrid</t>
  </si>
  <si>
    <t>gene25340-v1.0-hybrid</t>
  </si>
  <si>
    <t>gene25640-v1.0-hybrid</t>
  </si>
  <si>
    <t>gene25940-v1.0-hybrid</t>
  </si>
  <si>
    <t>gene26240-v1.0-hybrid</t>
  </si>
  <si>
    <t>gene26540-v1.0-hybrid</t>
  </si>
  <si>
    <t>gene26841-v1.0-hybrid</t>
  </si>
  <si>
    <t>gene27441-v1.0-hybrid</t>
  </si>
  <si>
    <t>gene28041-v1.0-hybrid</t>
  </si>
  <si>
    <t>gene28341-v1.0-hybrid</t>
  </si>
  <si>
    <t>gene28641-v1.0-hybrid</t>
  </si>
  <si>
    <t>gene28941-v1.0-hybrid</t>
  </si>
  <si>
    <t>gene29241-v1.0-hybrid</t>
  </si>
  <si>
    <t>gene29541-v1.0-hybrid</t>
  </si>
  <si>
    <t>gene30143-v1.0-hybrid</t>
  </si>
  <si>
    <t>gene30443-v1.0-hybrid</t>
  </si>
  <si>
    <t>gene30743-v1.0-hybrid</t>
  </si>
  <si>
    <t>gene31043-v1.0-hybrid</t>
  </si>
  <si>
    <t>gene31343-v1.0-hybrid</t>
  </si>
  <si>
    <t>gene31643-v1.0-hybrid</t>
  </si>
  <si>
    <t>gene31943-v1.0-hybrid</t>
  </si>
  <si>
    <t>gene32543-v1.0-hybrid</t>
  </si>
  <si>
    <t>gene33677-v1.0-hybrid</t>
  </si>
  <si>
    <t>gene34008-v1.0-hybrid</t>
  </si>
  <si>
    <t>gene34308-v1.0-hybrid</t>
  </si>
  <si>
    <t>gene35208-v1.0-hybrid</t>
  </si>
  <si>
    <t>gene00320-v1.0-hybrid</t>
  </si>
  <si>
    <t>gene00924-v1.0-hybrid</t>
  </si>
  <si>
    <t>gene01224-v1.0-hybrid</t>
  </si>
  <si>
    <t>gene01525-v1.0-hybrid</t>
  </si>
  <si>
    <t>gene01825-v1.0-hybrid</t>
  </si>
  <si>
    <t>gene02425-v1.0-hybrid</t>
  </si>
  <si>
    <t>gene02725-v1.0-hybrid</t>
  </si>
  <si>
    <t>gene03113-v1.0-hybrid</t>
  </si>
  <si>
    <t>gene03413-v1.0-hybrid</t>
  </si>
  <si>
    <t>gene03713-v1.0-hybrid</t>
  </si>
  <si>
    <t>gene04913-v1.0-hybrid</t>
  </si>
  <si>
    <t>gene05514-v1.0-hybrid</t>
  </si>
  <si>
    <t>gene05814-v1.0-hybrid</t>
  </si>
  <si>
    <t>gene06414-v1.0-hybrid</t>
  </si>
  <si>
    <t>gene06714-v1.0-hybrid</t>
  </si>
  <si>
    <t>gene07014-v1.0-hybrid</t>
  </si>
  <si>
    <t>gene07314-v1.0-hybrid</t>
  </si>
  <si>
    <t>gene07614-v1.0-hybrid</t>
  </si>
  <si>
    <t>gene07915-v1.0-hybrid</t>
  </si>
  <si>
    <t>gene08215-v1.0-hybrid</t>
  </si>
  <si>
    <t>gene08515-v1.0-hybrid</t>
  </si>
  <si>
    <t>gene09115-v1.0-hybrid</t>
  </si>
  <si>
    <t>gene09415-v1.0-hybrid</t>
  </si>
  <si>
    <t>gene10316-v1.0-hybrid</t>
  </si>
  <si>
    <t>gene10617-v1.0-hybrid</t>
  </si>
  <si>
    <t>gene10917-v1.0-hybrid</t>
  </si>
  <si>
    <t>gene11218-v1.0-hybrid</t>
  </si>
  <si>
    <t>gene11518-v1.0-hybrid</t>
  </si>
  <si>
    <t>gene12118-v1.0-hybrid</t>
  </si>
  <si>
    <t>gene12418-v1.0-hybrid</t>
  </si>
  <si>
    <t>gene13319-v1.0-hybrid</t>
  </si>
  <si>
    <t>gene13619-v1.0-hybrid</t>
  </si>
  <si>
    <t>gene13920-v1.0-hybrid</t>
  </si>
  <si>
    <t>gene14221-v1.0-hybrid</t>
  </si>
  <si>
    <t>gene14823-v1.0-hybrid</t>
  </si>
  <si>
    <t>gene15125-v1.0-hybrid</t>
  </si>
  <si>
    <t>gene15426-v1.0-hybrid</t>
  </si>
  <si>
    <t>gene15727-v1.0-hybrid</t>
  </si>
  <si>
    <t>gene16028-v1.0-hybrid</t>
  </si>
  <si>
    <t>gene16328-v1.0-hybrid</t>
  </si>
  <si>
    <t>gene16628-v1.0-hybrid</t>
  </si>
  <si>
    <t>gene17530-v1.0-hybrid</t>
  </si>
  <si>
    <t>gene17830-v1.0-hybrid</t>
  </si>
  <si>
    <t>gene18430-v1.0-hybrid</t>
  </si>
  <si>
    <t>gene18730-v1.0-hybrid</t>
  </si>
  <si>
    <t>gene19330-v1.0-hybrid</t>
  </si>
  <si>
    <t>gene19630-v1.0-hybrid</t>
  </si>
  <si>
    <t>gene19930-v1.0-hybrid</t>
  </si>
  <si>
    <t>gene20231-v1.0-hybrid</t>
  </si>
  <si>
    <t>gene20531-v1.0-hybrid</t>
  </si>
  <si>
    <t>gene20831-v1.0-hybrid</t>
  </si>
  <si>
    <t>gene21131-v1.0-hybrid</t>
  </si>
  <si>
    <t>gene21431-v1.0-hybrid</t>
  </si>
  <si>
    <t>gene21732-v1.0-hybrid</t>
  </si>
  <si>
    <t>gene22032-v1.0-hybrid</t>
  </si>
  <si>
    <t>gene22333-v1.0-hybrid</t>
  </si>
  <si>
    <t>gene22934-v1.0-hybrid</t>
  </si>
  <si>
    <t>gene23536-v1.0-hybrid</t>
  </si>
  <si>
    <t>gene23836-v1.0-hybrid</t>
  </si>
  <si>
    <t>gene24438-v1.0-hybrid</t>
  </si>
  <si>
    <t>gene24739-v1.0-hybrid</t>
  </si>
  <si>
    <t>gene25041-v1.0-hybrid</t>
  </si>
  <si>
    <t>gene25341-v1.0-hybrid</t>
  </si>
  <si>
    <t>gene26241-v1.0-hybrid</t>
  </si>
  <si>
    <t>gene26541-v1.0-hybrid</t>
  </si>
  <si>
    <t>gene26842-v1.0-hybrid</t>
  </si>
  <si>
    <t>gene27142-v1.0-hybrid</t>
  </si>
  <si>
    <t>gene27442-v1.0-hybrid</t>
  </si>
  <si>
    <t>gene27742-v1.0-hybrid</t>
  </si>
  <si>
    <t>gene28042-v1.0-hybrid</t>
  </si>
  <si>
    <t>gene28342-v1.0-hybrid</t>
  </si>
  <si>
    <t>gene28642-v1.0-hybrid</t>
  </si>
  <si>
    <t>gene28942-v1.0-hybrid</t>
  </si>
  <si>
    <t>gene29242-v1.0-hybrid</t>
  </si>
  <si>
    <t>gene29542-v1.0-hybrid</t>
  </si>
  <si>
    <t>gene29844-v1.0-hybrid</t>
  </si>
  <si>
    <t>gene30144-v1.0-hybrid</t>
  </si>
  <si>
    <t>gene30444-v1.0-hybrid</t>
  </si>
  <si>
    <t>gene30744-v1.0-hybrid</t>
  </si>
  <si>
    <t>gene31044-v1.0-hybrid</t>
  </si>
  <si>
    <t>gene31344-v1.0-hybrid</t>
  </si>
  <si>
    <t>gene31644-v1.0-hybrid</t>
  </si>
  <si>
    <t>gene31944-v1.0-hybrid</t>
  </si>
  <si>
    <t>gene32544-v1.0-hybrid</t>
  </si>
  <si>
    <t>gene34009-v1.0-hybrid</t>
  </si>
  <si>
    <t>gene34309-v1.0-hybrid</t>
  </si>
  <si>
    <t>gene00925-v1.0-hybrid</t>
  </si>
  <si>
    <t>gene01225-v1.0-hybrid</t>
  </si>
  <si>
    <t>gene01526-v1.0-hybrid</t>
  </si>
  <si>
    <t>gene01826-v1.0-hybrid</t>
  </si>
  <si>
    <t>gene02426-v1.0-hybrid</t>
  </si>
  <si>
    <t>gene03414-v1.0-hybrid</t>
  </si>
  <si>
    <t>gene03714-v1.0-hybrid</t>
  </si>
  <si>
    <t>gene04014-v1.0-hybrid</t>
  </si>
  <si>
    <t>gene04314-v1.0-hybrid</t>
  </si>
  <si>
    <t>gene04614-v1.0-hybrid</t>
  </si>
  <si>
    <t>gene05214-v1.0-hybrid</t>
  </si>
  <si>
    <t>gene05515-v1.0-hybrid</t>
  </si>
  <si>
    <t>gene05815-v1.0-hybrid</t>
  </si>
  <si>
    <t>gene06115-v1.0-hybrid</t>
  </si>
  <si>
    <t>gene06415-v1.0-hybrid</t>
  </si>
  <si>
    <t>gene06715-v1.0-hybrid</t>
  </si>
  <si>
    <t>gene07315-v1.0-hybrid</t>
  </si>
  <si>
    <t>gene07615-v1.0-hybrid</t>
  </si>
  <si>
    <t>gene07916-v1.0-hybrid</t>
  </si>
  <si>
    <t>gene08516-v1.0-hybrid</t>
  </si>
  <si>
    <t>gene09116-v1.0-hybrid</t>
  </si>
  <si>
    <t>gene09416-v1.0-hybrid</t>
  </si>
  <si>
    <t>gene09716-v1.0-hybrid</t>
  </si>
  <si>
    <t>gene10017-v1.0-hybrid</t>
  </si>
  <si>
    <t>gene10618-v1.0-hybrid</t>
  </si>
  <si>
    <t>gene10918-v1.0-hybrid</t>
  </si>
  <si>
    <t>gene11219-v1.0-hybrid</t>
  </si>
  <si>
    <t>gene11519-v1.0-hybrid</t>
  </si>
  <si>
    <t>gene11819-v1.0-hybrid</t>
  </si>
  <si>
    <t>gene12119-v1.0-hybrid</t>
  </si>
  <si>
    <t>gene12419-v1.0-hybrid</t>
  </si>
  <si>
    <t>gene13020-v1.0-hybrid</t>
  </si>
  <si>
    <t>gene13320-v1.0-hybrid</t>
  </si>
  <si>
    <t>gene13620-v1.0-hybrid</t>
  </si>
  <si>
    <t>gene13921-v1.0-hybrid</t>
  </si>
  <si>
    <t>gene14222-v1.0-hybrid</t>
  </si>
  <si>
    <t>gene15126-v1.0-hybrid</t>
  </si>
  <si>
    <t>gene15427-v1.0-hybrid</t>
  </si>
  <si>
    <t>gene15728-v1.0-hybrid</t>
  </si>
  <si>
    <t>gene16029-v1.0-hybrid</t>
  </si>
  <si>
    <t>gene16329-v1.0-hybrid</t>
  </si>
  <si>
    <t>gene16629-v1.0-hybrid</t>
  </si>
  <si>
    <t>gene17231-v1.0-hybrid</t>
  </si>
  <si>
    <t>gene17531-v1.0-hybrid</t>
  </si>
  <si>
    <t>gene17831-v1.0-hybrid</t>
  </si>
  <si>
    <t>gene18131-v1.0-hybrid</t>
  </si>
  <si>
    <t>gene18431-v1.0-hybrid</t>
  </si>
  <si>
    <t>gene18731-v1.0-hybrid</t>
  </si>
  <si>
    <t>gene19631-v1.0-hybrid</t>
  </si>
  <si>
    <t>gene19931-v1.0-hybrid</t>
  </si>
  <si>
    <t>gene20232-v1.0-hybrid</t>
  </si>
  <si>
    <t>gene20532-v1.0-hybrid</t>
  </si>
  <si>
    <t>gene20832-v1.0-hybrid</t>
  </si>
  <si>
    <t>gene21132-v1.0-hybrid</t>
  </si>
  <si>
    <t>gene21432-v1.0-hybrid</t>
  </si>
  <si>
    <t>gene21733-v1.0-hybrid</t>
  </si>
  <si>
    <t>gene22033-v1.0-hybrid</t>
  </si>
  <si>
    <t>gene22935-v1.0-hybrid</t>
  </si>
  <si>
    <t>gene23237-v1.0-hybrid</t>
  </si>
  <si>
    <t>gene23537-v1.0-hybrid</t>
  </si>
  <si>
    <t>gene24138-v1.0-hybrid</t>
  </si>
  <si>
    <t>gene24439-v1.0-hybrid</t>
  </si>
  <si>
    <t>gene24740-v1.0-hybrid</t>
  </si>
  <si>
    <t>gene25642-v1.0-hybrid</t>
  </si>
  <si>
    <t>gene25942-v1.0-hybrid</t>
  </si>
  <si>
    <t>gene26542-v1.0-hybrid</t>
  </si>
  <si>
    <t>gene27443-v1.0-hybrid</t>
  </si>
  <si>
    <t>gene27743-v1.0-hybrid</t>
  </si>
  <si>
    <t>gene28043-v1.0-hybrid</t>
  </si>
  <si>
    <t>gene28343-v1.0-hybrid</t>
  </si>
  <si>
    <t>gene29243-v1.0-hybrid</t>
  </si>
  <si>
    <t>gene29543-v1.0-hybrid</t>
  </si>
  <si>
    <t>gene30145-v1.0-hybrid</t>
  </si>
  <si>
    <t>gene30745-v1.0-hybrid</t>
  </si>
  <si>
    <t>gene31045-v1.0-hybrid</t>
  </si>
  <si>
    <t>gene31345-v1.0-hybrid</t>
  </si>
  <si>
    <t>gene31645-v1.0-hybrid</t>
  </si>
  <si>
    <t>gene31945-v1.0-hybrid</t>
  </si>
  <si>
    <t>gene32245-v1.0-hybrid</t>
  </si>
  <si>
    <t>gene34010-v1.0-hybrid</t>
  </si>
  <si>
    <t>gene34310-v1.0-hybrid</t>
  </si>
  <si>
    <t>gene34910-v1.0-hybrid</t>
  </si>
  <si>
    <t>gene00322-v1.0-hybrid</t>
  </si>
  <si>
    <t>gene01226-v1.0-hybrid</t>
  </si>
  <si>
    <t>gene01527-v1.0-hybrid</t>
  </si>
  <si>
    <t>gene01827-v1.0-hybrid</t>
  </si>
  <si>
    <t>gene02127-v1.0-hybrid</t>
  </si>
  <si>
    <t>gene02427-v1.0-hybrid</t>
  </si>
  <si>
    <t>gene03115-v1.0-hybrid</t>
  </si>
  <si>
    <t>gene04015-v1.0-hybrid</t>
  </si>
  <si>
    <t>gene04315-v1.0-hybrid</t>
  </si>
  <si>
    <t>gene04615-v1.0-hybrid</t>
  </si>
  <si>
    <t>gene04915-v1.0-hybrid</t>
  </si>
  <si>
    <t>gene05816-v1.0-hybrid</t>
  </si>
  <si>
    <t>gene06116-v1.0-hybrid</t>
  </si>
  <si>
    <t>gene06416-v1.0-hybrid</t>
  </si>
  <si>
    <t>gene06716-v1.0-hybrid</t>
  </si>
  <si>
    <t>gene07016-v1.0-hybrid</t>
  </si>
  <si>
    <t>gene07316-v1.0-hybrid</t>
  </si>
  <si>
    <t>gene07616-v1.0-hybrid</t>
  </si>
  <si>
    <t>gene08217-v1.0-hybrid</t>
  </si>
  <si>
    <t>gene08517-v1.0-hybrid</t>
  </si>
  <si>
    <t>gene08817-v1.0-hybrid</t>
  </si>
  <si>
    <t>gene09117-v1.0-hybrid</t>
  </si>
  <si>
    <t>gene09417-v1.0-hybrid</t>
  </si>
  <si>
    <t>gene09717-v1.0-hybrid</t>
  </si>
  <si>
    <t>gene10318-v1.0-hybrid</t>
  </si>
  <si>
    <t>gene11820-v1.0-hybrid</t>
  </si>
  <si>
    <t>gene12120-v1.0-hybrid</t>
  </si>
  <si>
    <t>gene12420-v1.0-hybrid</t>
  </si>
  <si>
    <t>gene13021-v1.0-hybrid</t>
  </si>
  <si>
    <t>gene13321-v1.0-hybrid</t>
  </si>
  <si>
    <t>gene13621-v1.0-hybrid</t>
  </si>
  <si>
    <t>gene14825-v1.0-hybrid</t>
  </si>
  <si>
    <t>gene15127-v1.0-hybrid</t>
  </si>
  <si>
    <t>gene15428-v1.0-hybrid</t>
  </si>
  <si>
    <t>gene15729-v1.0-hybrid</t>
  </si>
  <si>
    <t>gene17532-v1.0-hybrid</t>
  </si>
  <si>
    <t>gene18132-v1.0-hybrid</t>
  </si>
  <si>
    <t>gene18432-v1.0-hybrid</t>
  </si>
  <si>
    <t>gene18732-v1.0-hybrid</t>
  </si>
  <si>
    <t>gene19032-v1.0-hybrid</t>
  </si>
  <si>
    <t>gene19332-v1.0-hybrid</t>
  </si>
  <si>
    <t>gene19632-v1.0-hybrid</t>
  </si>
  <si>
    <t>gene19932-v1.0-hybrid</t>
  </si>
  <si>
    <t>gene20533-v1.0-hybrid</t>
  </si>
  <si>
    <t>gene20833-v1.0-hybrid</t>
  </si>
  <si>
    <t>gene21133-v1.0-hybrid</t>
  </si>
  <si>
    <t>gene21433-v1.0-hybrid</t>
  </si>
  <si>
    <t>gene21734-v1.0-hybrid</t>
  </si>
  <si>
    <t>gene22034-v1.0-hybrid</t>
  </si>
  <si>
    <t>gene22936-v1.0-hybrid</t>
  </si>
  <si>
    <t>gene23238-v1.0-hybrid</t>
  </si>
  <si>
    <t>gene23538-v1.0-hybrid</t>
  </si>
  <si>
    <t>gene23838-v1.0-hybrid</t>
  </si>
  <si>
    <t>gene24139-v1.0-hybrid</t>
  </si>
  <si>
    <t>gene24440-v1.0-hybrid</t>
  </si>
  <si>
    <t>gene24741-v1.0-hybrid</t>
  </si>
  <si>
    <t>gene25043-v1.0-hybrid</t>
  </si>
  <si>
    <t>gene25943-v1.0-hybrid</t>
  </si>
  <si>
    <t>gene26243-v1.0-hybrid</t>
  </si>
  <si>
    <t>gene26543-v1.0-hybrid</t>
  </si>
  <si>
    <t>gene26844-v1.0-hybrid</t>
  </si>
  <si>
    <t>gene27144-v1.0-hybrid</t>
  </si>
  <si>
    <t>gene27744-v1.0-hybrid</t>
  </si>
  <si>
    <t>gene28344-v1.0-hybrid</t>
  </si>
  <si>
    <t>gene28644-v1.0-hybrid</t>
  </si>
  <si>
    <t>gene28944-v1.0-hybrid</t>
  </si>
  <si>
    <t>gene29244-v1.0-hybrid</t>
  </si>
  <si>
    <t>gene29544-v1.0-hybrid</t>
  </si>
  <si>
    <t>gene30146-v1.0-hybrid</t>
  </si>
  <si>
    <t>gene30446-v1.0-hybrid</t>
  </si>
  <si>
    <t>gene30746-v1.0-hybrid</t>
  </si>
  <si>
    <t>gene31346-v1.0-hybrid</t>
  </si>
  <si>
    <t>gene31646-v1.0-hybrid</t>
  </si>
  <si>
    <t>gene31946-v1.0-hybrid</t>
  </si>
  <si>
    <t>gene32246-v1.0-hybrid</t>
  </si>
  <si>
    <t>gene34011-v1.0-hybrid</t>
  </si>
  <si>
    <t>gene34311-v1.0-hybrid</t>
  </si>
  <si>
    <t>gene34611-v1.0-hybrid</t>
  </si>
  <si>
    <t>gene34911-v1.0-hybrid</t>
  </si>
  <si>
    <t>gene00323-v1.0-hybrid</t>
  </si>
  <si>
    <t>gene01227-v1.0-hybrid</t>
  </si>
  <si>
    <t>gene01528-v1.0-hybrid</t>
  </si>
  <si>
    <t>gene01828-v1.0-hybrid</t>
  </si>
  <si>
    <t>gene02128-v1.0-hybrid</t>
  </si>
  <si>
    <t>gene02428-v1.0-hybrid</t>
  </si>
  <si>
    <t>gene02728-v1.0-hybrid</t>
  </si>
  <si>
    <t>gene03416-v1.0-hybrid</t>
  </si>
  <si>
    <t>gene03716-v1.0-hybrid</t>
  </si>
  <si>
    <t>gene04016-v1.0-hybrid</t>
  </si>
  <si>
    <t>gene04316-v1.0-hybrid</t>
  </si>
  <si>
    <t>gene04616-v1.0-hybrid</t>
  </si>
  <si>
    <t>gene04916-v1.0-hybrid</t>
  </si>
  <si>
    <t>gene05216-v1.0-hybrid</t>
  </si>
  <si>
    <t>gene05517-v1.0-hybrid</t>
  </si>
  <si>
    <t>gene05817-v1.0-hybrid</t>
  </si>
  <si>
    <t>gene06117-v1.0-hybrid</t>
  </si>
  <si>
    <t>gene06417-v1.0-hybrid</t>
  </si>
  <si>
    <t>gene06717-v1.0-hybrid</t>
  </si>
  <si>
    <t>gene07017-v1.0-hybrid</t>
  </si>
  <si>
    <t>gene07317-v1.0-hybrid</t>
  </si>
  <si>
    <t>gene08218-v1.0-hybrid</t>
  </si>
  <si>
    <t>gene08518-v1.0-hybrid</t>
  </si>
  <si>
    <t>gene09118-v1.0-hybrid</t>
  </si>
  <si>
    <t>gene09418-v1.0-hybrid</t>
  </si>
  <si>
    <t>gene10019-v1.0-hybrid</t>
  </si>
  <si>
    <t>gene10319-v1.0-hybrid</t>
  </si>
  <si>
    <t>gene10620-v1.0-hybrid</t>
  </si>
  <si>
    <t>gene11221-v1.0-hybrid</t>
  </si>
  <si>
    <t>gene11521-v1.0-hybrid</t>
  </si>
  <si>
    <t>gene11821-v1.0-hybrid</t>
  </si>
  <si>
    <t>gene12121-v1.0-hybrid</t>
  </si>
  <si>
    <t>gene12421-v1.0-hybrid</t>
  </si>
  <si>
    <t>gene12721-v1.0-hybrid</t>
  </si>
  <si>
    <t>gene13022-v1.0-hybrid</t>
  </si>
  <si>
    <t>gene13322-v1.0-hybrid</t>
  </si>
  <si>
    <t>gene13622-v1.0-hybrid</t>
  </si>
  <si>
    <t>gene14224-v1.0-hybrid</t>
  </si>
  <si>
    <t>gene14526-v1.0-hybrid</t>
  </si>
  <si>
    <t>gene14826-v1.0-hybrid</t>
  </si>
  <si>
    <t>gene15128-v1.0-hybrid</t>
  </si>
  <si>
    <t>gene15429-v1.0-hybrid</t>
  </si>
  <si>
    <t>gene15730-v1.0-hybrid</t>
  </si>
  <si>
    <t>gene16031-v1.0-hybrid</t>
  </si>
  <si>
    <t>gene16331-v1.0-hybrid</t>
  </si>
  <si>
    <t>gene16932-v1.0-hybrid</t>
  </si>
  <si>
    <t>gene17533-v1.0-hybrid</t>
  </si>
  <si>
    <t>gene18133-v1.0-hybrid</t>
  </si>
  <si>
    <t>gene18433-v1.0-hybrid</t>
  </si>
  <si>
    <t>gene18733-v1.0-hybrid</t>
  </si>
  <si>
    <t>gene19033-v1.0-hybrid</t>
  </si>
  <si>
    <t>gene19633-v1.0-hybrid</t>
  </si>
  <si>
    <t>gene19933-v1.0-hybrid</t>
  </si>
  <si>
    <t>gene20234-v1.0-hybrid</t>
  </si>
  <si>
    <t>gene20534-v1.0-hybrid</t>
  </si>
  <si>
    <t>gene20834-v1.0-hybrid</t>
  </si>
  <si>
    <t>gene21134-v1.0-hybrid</t>
  </si>
  <si>
    <t>gene21434-v1.0-hybrid</t>
  </si>
  <si>
    <t>gene21735-v1.0-hybrid</t>
  </si>
  <si>
    <t>gene22035-v1.0-hybrid</t>
  </si>
  <si>
    <t>gene22336-v1.0-hybrid</t>
  </si>
  <si>
    <t>gene22636-v1.0-hybrid</t>
  </si>
  <si>
    <t>gene23539-v1.0-hybrid</t>
  </si>
  <si>
    <t>gene23839-v1.0-hybrid</t>
  </si>
  <si>
    <t>gene24441-v1.0-hybrid</t>
  </si>
  <si>
    <t>gene25044-v1.0-hybrid</t>
  </si>
  <si>
    <t>gene25644-v1.0-hybrid</t>
  </si>
  <si>
    <t>gene25944-v1.0-hybrid</t>
  </si>
  <si>
    <t>gene26244-v1.0-hybrid</t>
  </si>
  <si>
    <t>gene26544-v1.0-hybrid</t>
  </si>
  <si>
    <t>gene26845-v1.0-hybrid</t>
  </si>
  <si>
    <t>gene27145-v1.0-hybrid</t>
  </si>
  <si>
    <t>gene27745-v1.0-hybrid</t>
  </si>
  <si>
    <t>gene28045-v1.0-hybrid</t>
  </si>
  <si>
    <t>gene28345-v1.0-hybrid</t>
  </si>
  <si>
    <t>gene28645-v1.0-hybrid</t>
  </si>
  <si>
    <t>gene28945-v1.0-hybrid</t>
  </si>
  <si>
    <t>gene29545-v1.0-hybrid</t>
  </si>
  <si>
    <t>gene30147-v1.0-hybrid</t>
  </si>
  <si>
    <t>gene30447-v1.0-hybrid</t>
  </si>
  <si>
    <t>gene30747-v1.0-hybrid</t>
  </si>
  <si>
    <t>gene31047-v1.0-hybrid</t>
  </si>
  <si>
    <t>gene31347-v1.0-hybrid</t>
  </si>
  <si>
    <t>gene31647-v1.0-hybrid</t>
  </si>
  <si>
    <t>gene32247-v1.0-hybrid</t>
  </si>
  <si>
    <t>gene32547-v1.0-hybrid</t>
  </si>
  <si>
    <t>gene34012-v1.0-hybrid</t>
  </si>
  <si>
    <t>gene34312-v1.0-hybrid</t>
  </si>
  <si>
    <t>gene34612-v1.0-hybrid</t>
  </si>
  <si>
    <t>gene34912-v1.0-hybrid</t>
  </si>
  <si>
    <t>gene00324-v1.0-hybrid</t>
  </si>
  <si>
    <t>gene01228-v1.0-hybrid</t>
  </si>
  <si>
    <t>gene01829-v1.0-hybrid</t>
  </si>
  <si>
    <t>gene02429-v1.0-hybrid</t>
  </si>
  <si>
    <t>gene02729-v1.0-hybrid</t>
  </si>
  <si>
    <t>gene03117-v1.0-hybrid</t>
  </si>
  <si>
    <t>gene03417-v1.0-hybrid</t>
  </si>
  <si>
    <t>gene03717-v1.0-hybrid</t>
  </si>
  <si>
    <t>gene04017-v1.0-hybrid</t>
  </si>
  <si>
    <t>gene04317-v1.0-hybrid</t>
  </si>
  <si>
    <t>gene04617-v1.0-hybrid</t>
  </si>
  <si>
    <t>gene04917-v1.0-hybrid</t>
  </si>
  <si>
    <t>gene05518-v1.0-hybrid</t>
  </si>
  <si>
    <t>gene05818-v1.0-hybrid</t>
  </si>
  <si>
    <t>gene06418-v1.0-hybrid</t>
  </si>
  <si>
    <t>gene07018-v1.0-hybrid</t>
  </si>
  <si>
    <t>gene07318-v1.0-hybrid</t>
  </si>
  <si>
    <t>gene07618-v1.0-hybrid</t>
  </si>
  <si>
    <t>gene08519-v1.0-hybrid</t>
  </si>
  <si>
    <t>gene08819-v1.0-hybrid</t>
  </si>
  <si>
    <t>gene09119-v1.0-hybrid</t>
  </si>
  <si>
    <t>gene10020-v1.0-hybrid</t>
  </si>
  <si>
    <t>gene10320-v1.0-hybrid</t>
  </si>
  <si>
    <t>gene10621-v1.0-hybrid</t>
  </si>
  <si>
    <t>gene10921-v1.0-hybrid</t>
  </si>
  <si>
    <t>gene11222-v1.0-hybrid</t>
  </si>
  <si>
    <t>gene11822-v1.0-hybrid</t>
  </si>
  <si>
    <t>gene12422-v1.0-hybrid</t>
  </si>
  <si>
    <t>gene12722-v1.0-hybrid</t>
  </si>
  <si>
    <t>gene13023-v1.0-hybrid</t>
  </si>
  <si>
    <t>gene13323-v1.0-hybrid</t>
  </si>
  <si>
    <t>gene13623-v1.0-hybrid</t>
  </si>
  <si>
    <t>gene13924-v1.0-hybrid</t>
  </si>
  <si>
    <t>gene14225-v1.0-hybrid</t>
  </si>
  <si>
    <t>gene14827-v1.0-hybrid</t>
  </si>
  <si>
    <t>gene15430-v1.0-hybrid</t>
  </si>
  <si>
    <t>gene15731-v1.0-hybrid</t>
  </si>
  <si>
    <t>gene16032-v1.0-hybrid</t>
  </si>
  <si>
    <t>gene16332-v1.0-hybrid</t>
  </si>
  <si>
    <t>gene16632-v1.0-hybrid</t>
  </si>
  <si>
    <t>gene16933-v1.0-hybrid</t>
  </si>
  <si>
    <t>gene17234-v1.0-hybrid</t>
  </si>
  <si>
    <t>gene17534-v1.0-hybrid</t>
  </si>
  <si>
    <t>gene17834-v1.0-hybrid</t>
  </si>
  <si>
    <t>gene18434-v1.0-hybrid</t>
  </si>
  <si>
    <t>gene18734-v1.0-hybrid</t>
  </si>
  <si>
    <t>gene19334-v1.0-hybrid</t>
  </si>
  <si>
    <t>gene19634-v1.0-hybrid</t>
  </si>
  <si>
    <t>gene19934-v1.0-hybrid</t>
  </si>
  <si>
    <t>gene20535-v1.0-hybrid</t>
  </si>
  <si>
    <t>gene21135-v1.0-hybrid</t>
  </si>
  <si>
    <t>gene22036-v1.0-hybrid</t>
  </si>
  <si>
    <t>gene22337-v1.0-hybrid</t>
  </si>
  <si>
    <t>gene22938-v1.0-hybrid</t>
  </si>
  <si>
    <t>gene23240-v1.0-hybrid</t>
  </si>
  <si>
    <t>gene23540-v1.0-hybrid</t>
  </si>
  <si>
    <t>gene23840-v1.0-hybrid</t>
  </si>
  <si>
    <t>gene24141-v1.0-hybrid</t>
  </si>
  <si>
    <t>gene24442-v1.0-hybrid</t>
  </si>
  <si>
    <t>gene24743-v1.0-hybrid</t>
  </si>
  <si>
    <t>gene25045-v1.0-hybrid</t>
  </si>
  <si>
    <t>gene25645-v1.0-hybrid</t>
  </si>
  <si>
    <t>gene25945-v1.0-hybrid</t>
  </si>
  <si>
    <t>gene26245-v1.0-hybrid</t>
  </si>
  <si>
    <t>gene26846-v1.0-hybrid</t>
  </si>
  <si>
    <t>gene27146-v1.0-hybrid</t>
  </si>
  <si>
    <t>gene27446-v1.0-hybrid</t>
  </si>
  <si>
    <t>gene27746-v1.0-hybrid</t>
  </si>
  <si>
    <t>gene28046-v1.0-hybrid</t>
  </si>
  <si>
    <t>gene28346-v1.0-hybrid</t>
  </si>
  <si>
    <t>gene29546-v1.0-hybrid</t>
  </si>
  <si>
    <t>gene30148-v1.0-hybrid</t>
  </si>
  <si>
    <t>gene30448-v1.0-hybrid</t>
  </si>
  <si>
    <t>gene30748-v1.0-hybrid</t>
  </si>
  <si>
    <t>gene31048-v1.0-hybrid</t>
  </si>
  <si>
    <t>gene31348-v1.0-hybrid</t>
  </si>
  <si>
    <t>gene31648-v1.0-hybrid</t>
  </si>
  <si>
    <t>gene31948-v1.0-hybrid</t>
  </si>
  <si>
    <t>gene32248-v1.0-hybrid</t>
  </si>
  <si>
    <t>gene32548-v1.0-hybrid</t>
  </si>
  <si>
    <t>gene32885-v1.0-hybrid</t>
  </si>
  <si>
    <t>gene34013-v1.0-hybrid</t>
  </si>
  <si>
    <t>gene34613-v1.0-hybrid</t>
  </si>
  <si>
    <t>gene34913-v1.0-hybrid</t>
  </si>
  <si>
    <t>gene00325-v1.0-hybrid</t>
  </si>
  <si>
    <t>gene00629-v1.0-hybrid</t>
  </si>
  <si>
    <t>gene00929-v1.0-hybrid</t>
  </si>
  <si>
    <t>gene01229-v1.0-hybrid</t>
  </si>
  <si>
    <t>gene01530-v1.0-hybrid</t>
  </si>
  <si>
    <t>gene01830-v1.0-hybrid</t>
  </si>
  <si>
    <t>gene02730-v1.0-hybrid</t>
  </si>
  <si>
    <t>gene03118-v1.0-hybrid</t>
  </si>
  <si>
    <t>gene03418-v1.0-hybrid</t>
  </si>
  <si>
    <t>gene03718-v1.0-hybrid</t>
  </si>
  <si>
    <t>gene04018-v1.0-hybrid</t>
  </si>
  <si>
    <t>gene04318-v1.0-hybrid</t>
  </si>
  <si>
    <t>gene04618-v1.0-hybrid</t>
  </si>
  <si>
    <t>gene04918-v1.0-hybrid</t>
  </si>
  <si>
    <t>gene05218-v1.0-hybrid</t>
  </si>
  <si>
    <t>gene06119-v1.0-hybrid</t>
  </si>
  <si>
    <t>gene06419-v1.0-hybrid</t>
  </si>
  <si>
    <t>gene06719-v1.0-hybrid</t>
  </si>
  <si>
    <t>gene07019-v1.0-hybrid</t>
  </si>
  <si>
    <t>gene07319-v1.0-hybrid</t>
  </si>
  <si>
    <t>gene07619-v1.0-hybrid</t>
  </si>
  <si>
    <t>gene07920-v1.0-hybrid</t>
  </si>
  <si>
    <t>gene08220-v1.0-hybrid</t>
  </si>
  <si>
    <t>gene08520-v1.0-hybrid</t>
  </si>
  <si>
    <t>gene08820-v1.0-hybrid</t>
  </si>
  <si>
    <t>gene09120-v1.0-hybrid</t>
  </si>
  <si>
    <t>gene09420-v1.0-hybrid</t>
  </si>
  <si>
    <t>gene09720-v1.0-hybrid</t>
  </si>
  <si>
    <t>gene10021-v1.0-hybrid</t>
  </si>
  <si>
    <t>gene10321-v1.0-hybrid</t>
  </si>
  <si>
    <t>gene10622-v1.0-hybrid</t>
  </si>
  <si>
    <t>gene11223-v1.0-hybrid</t>
  </si>
  <si>
    <t>gene11823-v1.0-hybrid</t>
  </si>
  <si>
    <t>gene12123-v1.0-hybrid</t>
  </si>
  <si>
    <t>gene12423-v1.0-hybrid</t>
  </si>
  <si>
    <t>gene12723-v1.0-hybrid</t>
  </si>
  <si>
    <t>gene13024-v1.0-hybrid</t>
  </si>
  <si>
    <t>gene13324-v1.0-hybrid</t>
  </si>
  <si>
    <t>gene13624-v1.0-hybrid</t>
  </si>
  <si>
    <t>gene13925-v1.0-hybrid</t>
  </si>
  <si>
    <t>gene14226-v1.0-hybrid</t>
  </si>
  <si>
    <t>gene15130-v1.0-hybrid</t>
  </si>
  <si>
    <t>gene15431-v1.0-hybrid</t>
  </si>
  <si>
    <t>gene15732-v1.0-hybrid</t>
  </si>
  <si>
    <t>gene16033-v1.0-hybrid</t>
  </si>
  <si>
    <t>gene16333-v1.0-hybrid</t>
  </si>
  <si>
    <t>gene16934-v1.0-hybrid</t>
  </si>
  <si>
    <t>gene17235-v1.0-hybrid</t>
  </si>
  <si>
    <t>gene17535-v1.0-hybrid</t>
  </si>
  <si>
    <t>gene17835-v1.0-hybrid</t>
  </si>
  <si>
    <t>gene18135-v1.0-hybrid</t>
  </si>
  <si>
    <t>gene18435-v1.0-hybrid</t>
  </si>
  <si>
    <t>gene18735-v1.0-hybrid</t>
  </si>
  <si>
    <t>gene19335-v1.0-hybrid</t>
  </si>
  <si>
    <t>gene19635-v1.0-hybrid</t>
  </si>
  <si>
    <t>gene20236-v1.0-hybrid</t>
  </si>
  <si>
    <t>gene20536-v1.0-hybrid</t>
  </si>
  <si>
    <t>gene21136-v1.0-hybrid</t>
  </si>
  <si>
    <t>gene21436-v1.0-hybrid</t>
  </si>
  <si>
    <t>gene22338-v1.0-hybrid</t>
  </si>
  <si>
    <t>gene22638-v1.0-hybrid</t>
  </si>
  <si>
    <t>gene23541-v1.0-hybrid</t>
  </si>
  <si>
    <t>gene24142-v1.0-hybrid</t>
  </si>
  <si>
    <t>gene24443-v1.0-hybrid</t>
  </si>
  <si>
    <t>gene24744-v1.0-hybrid</t>
  </si>
  <si>
    <t>gene25046-v1.0-hybrid</t>
  </si>
  <si>
    <t>gene25346-v1.0-hybrid</t>
  </si>
  <si>
    <t>gene25646-v1.0-hybrid</t>
  </si>
  <si>
    <t>gene25946-v1.0-hybrid</t>
  </si>
  <si>
    <t>gene26546-v1.0-hybrid</t>
  </si>
  <si>
    <t>gene26847-v1.0-hybrid</t>
  </si>
  <si>
    <t>gene27147-v1.0-hybrid</t>
  </si>
  <si>
    <t>gene27747-v1.0-hybrid</t>
  </si>
  <si>
    <t>gene28047-v1.0-hybrid</t>
  </si>
  <si>
    <t>gene28347-v1.0-hybrid</t>
  </si>
  <si>
    <t>gene28647-v1.0-hybrid</t>
  </si>
  <si>
    <t>gene28947-v1.0-hybrid</t>
  </si>
  <si>
    <t>gene29247-v1.0-hybrid</t>
  </si>
  <si>
    <t>gene29547-v1.0-hybrid</t>
  </si>
  <si>
    <t>gene30149-v1.0-hybrid</t>
  </si>
  <si>
    <t>gene30749-v1.0-hybrid</t>
  </si>
  <si>
    <t>gene31049-v1.0-hybrid</t>
  </si>
  <si>
    <t>gene31349-v1.0-hybrid</t>
  </si>
  <si>
    <t>gene31649-v1.0-hybrid</t>
  </si>
  <si>
    <t>gene32249-v1.0-hybrid</t>
  </si>
  <si>
    <t>gene32549-v1.0-hybrid</t>
  </si>
  <si>
    <t>gene33292-v1.0-hybrid</t>
  </si>
  <si>
    <t>gene33686-v1.0-hybrid</t>
  </si>
  <si>
    <t>gene34614-v1.0-hybrid</t>
  </si>
  <si>
    <t>gene34914-v1.0-hybrid</t>
  </si>
  <si>
    <t>gene00326-v1.0-hybrid</t>
  </si>
  <si>
    <t>gene00630-v1.0-hybrid</t>
  </si>
  <si>
    <t>gene00930-v1.0-hybrid</t>
  </si>
  <si>
    <t>gene01831-v1.0-hybrid</t>
  </si>
  <si>
    <t>gene02131-v1.0-hybrid</t>
  </si>
  <si>
    <t>gene02431-v1.0-hybrid</t>
  </si>
  <si>
    <t>gene02731-v1.0-hybrid</t>
  </si>
  <si>
    <t>gene03119-v1.0-hybrid</t>
  </si>
  <si>
    <t>gene03419-v1.0-hybrid</t>
  </si>
  <si>
    <t>gene04019-v1.0-hybrid</t>
  </si>
  <si>
    <t>gene04319-v1.0-hybrid</t>
  </si>
  <si>
    <t>gene04619-v1.0-hybrid</t>
  </si>
  <si>
    <t>gene04919-v1.0-hybrid</t>
  </si>
  <si>
    <t>gene05520-v1.0-hybrid</t>
  </si>
  <si>
    <t>gene05820-v1.0-hybrid</t>
  </si>
  <si>
    <t>gene06120-v1.0-hybrid</t>
  </si>
  <si>
    <t>gene06420-v1.0-hybrid</t>
  </si>
  <si>
    <t>gene06720-v1.0-hybrid</t>
  </si>
  <si>
    <t>gene07020-v1.0-hybrid</t>
  </si>
  <si>
    <t>gene07320-v1.0-hybrid</t>
  </si>
  <si>
    <t>gene08221-v1.0-hybrid</t>
  </si>
  <si>
    <t>gene08821-v1.0-hybrid</t>
  </si>
  <si>
    <t>gene09121-v1.0-hybrid</t>
  </si>
  <si>
    <t>gene09421-v1.0-hybrid</t>
  </si>
  <si>
    <t>gene09721-v1.0-hybrid</t>
  </si>
  <si>
    <t>gene10022-v1.0-hybrid</t>
  </si>
  <si>
    <t>gene10322-v1.0-hybrid</t>
  </si>
  <si>
    <t>gene10923-v1.0-hybrid</t>
  </si>
  <si>
    <t>gene11224-v1.0-hybrid</t>
  </si>
  <si>
    <t>gene11524-v1.0-hybrid</t>
  </si>
  <si>
    <t>gene12124-v1.0-hybrid</t>
  </si>
  <si>
    <t>gene12424-v1.0-hybrid</t>
  </si>
  <si>
    <t>gene12724-v1.0-hybrid</t>
  </si>
  <si>
    <t>gene13025-v1.0-hybrid</t>
  </si>
  <si>
    <t>gene13325-v1.0-hybrid</t>
  </si>
  <si>
    <t>gene13625-v1.0-hybrid</t>
  </si>
  <si>
    <t>gene13926-v1.0-hybrid</t>
  </si>
  <si>
    <t>gene14227-v1.0-hybrid</t>
  </si>
  <si>
    <t>gene14529-v1.0-hybrid</t>
  </si>
  <si>
    <t>gene15131-v1.0-hybrid</t>
  </si>
  <si>
    <t>gene15432-v1.0-hybrid</t>
  </si>
  <si>
    <t>gene15733-v1.0-hybrid</t>
  </si>
  <si>
    <t>gene16034-v1.0-hybrid</t>
  </si>
  <si>
    <t>gene16334-v1.0-hybrid</t>
  </si>
  <si>
    <t>gene16634-v1.0-hybrid</t>
  </si>
  <si>
    <t>gene17236-v1.0-hybrid</t>
  </si>
  <si>
    <t>gene17536-v1.0-hybrid</t>
  </si>
  <si>
    <t>gene17836-v1.0-hybrid</t>
  </si>
  <si>
    <t>gene18136-v1.0-hybrid</t>
  </si>
  <si>
    <t>gene18436-v1.0-hybrid</t>
  </si>
  <si>
    <t>gene18736-v1.0-hybrid</t>
  </si>
  <si>
    <t>gene19036-v1.0-hybrid</t>
  </si>
  <si>
    <t>gene19336-v1.0-hybrid</t>
  </si>
  <si>
    <t>gene19636-v1.0-hybrid</t>
  </si>
  <si>
    <t>gene19936-v1.0-hybrid</t>
  </si>
  <si>
    <t>gene20237-v1.0-hybrid</t>
  </si>
  <si>
    <t>gene20537-v1.0-hybrid</t>
  </si>
  <si>
    <t>gene20837-v1.0-hybrid</t>
  </si>
  <si>
    <t>gene21137-v1.0-hybrid</t>
  </si>
  <si>
    <t>gene21437-v1.0-hybrid</t>
  </si>
  <si>
    <t>gene21738-v1.0-hybrid</t>
  </si>
  <si>
    <t>gene22339-v1.0-hybrid</t>
  </si>
  <si>
    <t>gene22639-v1.0-hybrid</t>
  </si>
  <si>
    <t>gene22940-v1.0-hybrid</t>
  </si>
  <si>
    <t>gene23842-v1.0-hybrid</t>
  </si>
  <si>
    <t>gene24143-v1.0-hybrid</t>
  </si>
  <si>
    <t>gene24745-v1.0-hybrid</t>
  </si>
  <si>
    <t>gene25947-v1.0-hybrid</t>
  </si>
  <si>
    <t>gene26247-v1.0-hybrid</t>
  </si>
  <si>
    <t>gene26547-v1.0-hybrid</t>
  </si>
  <si>
    <t>gene26848-v1.0-hybrid</t>
  </si>
  <si>
    <t>gene27148-v1.0-hybrid</t>
  </si>
  <si>
    <t>gene27448-v1.0-hybrid</t>
  </si>
  <si>
    <t>gene27748-v1.0-hybrid</t>
  </si>
  <si>
    <t>gene28048-v1.0-hybrid</t>
  </si>
  <si>
    <t>gene28348-v1.0-hybrid</t>
  </si>
  <si>
    <t>gene28948-v1.0-hybrid</t>
  </si>
  <si>
    <t>gene29248-v1.0-hybrid</t>
  </si>
  <si>
    <t>gene29548-v1.0-hybrid</t>
  </si>
  <si>
    <t>gene29850-v1.0-hybrid</t>
  </si>
  <si>
    <t>gene30150-v1.0-hybrid</t>
  </si>
  <si>
    <t>gene30450-v1.0-hybrid</t>
  </si>
  <si>
    <t>gene30750-v1.0-hybrid</t>
  </si>
  <si>
    <t>gene31350-v1.0-hybrid</t>
  </si>
  <si>
    <t>gene31650-v1.0-hybrid</t>
  </si>
  <si>
    <t>gene32550-v1.0-hybrid</t>
  </si>
  <si>
    <t>gene32887-v1.0-hybrid</t>
  </si>
  <si>
    <t>gene34015-v1.0-hybrid</t>
  </si>
  <si>
    <t>gene34915-v1.0-hybrid</t>
  </si>
  <si>
    <t>gene35215-v1.0-hybrid</t>
  </si>
  <si>
    <t>gene00327-v1.0-hybrid</t>
  </si>
  <si>
    <t>gene00631-v1.0-hybrid</t>
  </si>
  <si>
    <t>gene01231-v1.0-hybrid</t>
  </si>
  <si>
    <t>gene01832-v1.0-hybrid</t>
  </si>
  <si>
    <t>gene02132-v1.0-hybrid</t>
  </si>
  <si>
    <t>gene02432-v1.0-hybrid</t>
  </si>
  <si>
    <t>gene02732-v1.0-hybrid</t>
  </si>
  <si>
    <t>gene03420-v1.0-hybrid</t>
  </si>
  <si>
    <t>gene03720-v1.0-hybrid</t>
  </si>
  <si>
    <t>gene04020-v1.0-hybrid</t>
  </si>
  <si>
    <t>gene04320-v1.0-hybrid</t>
  </si>
  <si>
    <t>gene04620-v1.0-hybrid</t>
  </si>
  <si>
    <t>gene05220-v1.0-hybrid</t>
  </si>
  <si>
    <t>gene05521-v1.0-hybrid</t>
  </si>
  <si>
    <t>gene05821-v1.0-hybrid</t>
  </si>
  <si>
    <t>gene06121-v1.0-hybrid</t>
  </si>
  <si>
    <t>gene06421-v1.0-hybrid</t>
  </si>
  <si>
    <t>gene06721-v1.0-hybrid</t>
  </si>
  <si>
    <t>gene07021-v1.0-hybrid</t>
  </si>
  <si>
    <t>gene07321-v1.0-hybrid</t>
  </si>
  <si>
    <t>gene07621-v1.0-hybrid</t>
  </si>
  <si>
    <t>gene07922-v1.0-hybrid</t>
  </si>
  <si>
    <t>gene08222-v1.0-hybrid</t>
  </si>
  <si>
    <t>gene08822-v1.0-hybrid</t>
  </si>
  <si>
    <t>gene09422-v1.0-hybrid</t>
  </si>
  <si>
    <t>gene09722-v1.0-hybrid</t>
  </si>
  <si>
    <t>gene10023-v1.0-hybrid</t>
  </si>
  <si>
    <t>gene10323-v1.0-hybrid</t>
  </si>
  <si>
    <t>gene10624-v1.0-hybrid</t>
  </si>
  <si>
    <t>gene11225-v1.0-hybrid</t>
  </si>
  <si>
    <t>gene11525-v1.0-hybrid</t>
  </si>
  <si>
    <t>gene12725-v1.0-hybrid</t>
  </si>
  <si>
    <t>gene13026-v1.0-hybrid</t>
  </si>
  <si>
    <t>gene13326-v1.0-hybrid</t>
  </si>
  <si>
    <t>gene13927-v1.0-hybrid</t>
  </si>
  <si>
    <t>gene14830-v1.0-hybrid</t>
  </si>
  <si>
    <t>gene15132-v1.0-hybrid</t>
  </si>
  <si>
    <t>gene15433-v1.0-hybrid</t>
  </si>
  <si>
    <t>gene15734-v1.0-hybrid</t>
  </si>
  <si>
    <t>gene16035-v1.0-hybrid</t>
  </si>
  <si>
    <t>gene17237-v1.0-hybrid</t>
  </si>
  <si>
    <t>gene17537-v1.0-hybrid</t>
  </si>
  <si>
    <t>gene17837-v1.0-hybrid</t>
  </si>
  <si>
    <t>gene18437-v1.0-hybrid</t>
  </si>
  <si>
    <t>gene18737-v1.0-hybrid</t>
  </si>
  <si>
    <t>gene19037-v1.0-hybrid</t>
  </si>
  <si>
    <t>gene19337-v1.0-hybrid</t>
  </si>
  <si>
    <t>gene19637-v1.0-hybrid</t>
  </si>
  <si>
    <t>gene19937-v1.0-hybrid</t>
  </si>
  <si>
    <t>gene20238-v1.0-hybrid</t>
  </si>
  <si>
    <t>gene21138-v1.0-hybrid</t>
  </si>
  <si>
    <t>gene21739-v1.0-hybrid</t>
  </si>
  <si>
    <t>gene22039-v1.0-hybrid</t>
  </si>
  <si>
    <t>gene22640-v1.0-hybrid</t>
  </si>
  <si>
    <t>gene22941-v1.0-hybrid</t>
  </si>
  <si>
    <t>gene23243-v1.0-hybrid</t>
  </si>
  <si>
    <t>gene23843-v1.0-hybrid</t>
  </si>
  <si>
    <t>gene24144-v1.0-hybrid</t>
  </si>
  <si>
    <t>gene24746-v1.0-hybrid</t>
  </si>
  <si>
    <t>gene25048-v1.0-hybrid</t>
  </si>
  <si>
    <t>gene25948-v1.0-hybrid</t>
  </si>
  <si>
    <t>gene26248-v1.0-hybrid</t>
  </si>
  <si>
    <t>gene26548-v1.0-hybrid</t>
  </si>
  <si>
    <t>gene27449-v1.0-hybrid</t>
  </si>
  <si>
    <t>gene27749-v1.0-hybrid</t>
  </si>
  <si>
    <t>gene28349-v1.0-hybrid</t>
  </si>
  <si>
    <t>gene29249-v1.0-hybrid</t>
  </si>
  <si>
    <t>gene29549-v1.0-hybrid</t>
  </si>
  <si>
    <t>gene29851-v1.0-hybrid</t>
  </si>
  <si>
    <t>gene30751-v1.0-hybrid</t>
  </si>
  <si>
    <t>gene31351-v1.0-hybrid</t>
  </si>
  <si>
    <t>gene31951-v1.0-hybrid</t>
  </si>
  <si>
    <t>gene32251-v1.0-hybrid</t>
  </si>
  <si>
    <t>gene34016-v1.0-hybrid</t>
  </si>
  <si>
    <t>gene34916-v1.0-hybrid</t>
  </si>
  <si>
    <t>gene35216-v1.0-hybrid</t>
  </si>
  <si>
    <t>gene00328-v1.0-hybrid</t>
  </si>
  <si>
    <t>gene00632-v1.0-hybrid</t>
  </si>
  <si>
    <t>gene00932-v1.0-hybrid</t>
  </si>
  <si>
    <t>gene01232-v1.0-hybrid</t>
  </si>
  <si>
    <t>gene01833-v1.0-hybrid</t>
  </si>
  <si>
    <t>gene02133-v1.0-hybrid</t>
  </si>
  <si>
    <t>gene02733-v1.0-hybrid</t>
  </si>
  <si>
    <t>gene03721-v1.0-hybrid</t>
  </si>
  <si>
    <t>gene04021-v1.0-hybrid</t>
  </si>
  <si>
    <t>gene04321-v1.0-hybrid</t>
  </si>
  <si>
    <t>gene04621-v1.0-hybrid</t>
  </si>
  <si>
    <t>gene04921-v1.0-hybrid</t>
  </si>
  <si>
    <t>gene05221-v1.0-hybrid</t>
  </si>
  <si>
    <t>gene05522-v1.0-hybrid</t>
  </si>
  <si>
    <t>gene06722-v1.0-hybrid</t>
  </si>
  <si>
    <t>gene07022-v1.0-hybrid</t>
  </si>
  <si>
    <t>gene07322-v1.0-hybrid</t>
  </si>
  <si>
    <t>gene07622-v1.0-hybrid</t>
  </si>
  <si>
    <t>gene07923-v1.0-hybrid</t>
  </si>
  <si>
    <t>gene08223-v1.0-hybrid</t>
  </si>
  <si>
    <t>gene08523-v1.0-hybrid</t>
  </si>
  <si>
    <t>gene08823-v1.0-hybrid</t>
  </si>
  <si>
    <t>gene09123-v1.0-hybrid</t>
  </si>
  <si>
    <t>gene09423-v1.0-hybrid</t>
  </si>
  <si>
    <t>gene10024-v1.0-hybrid</t>
  </si>
  <si>
    <t>gene10324-v1.0-hybrid</t>
  </si>
  <si>
    <t>gene10625-v1.0-hybrid</t>
  </si>
  <si>
    <t>gene10925-v1.0-hybrid</t>
  </si>
  <si>
    <t>gene11226-v1.0-hybrid</t>
  </si>
  <si>
    <t>gene11526-v1.0-hybrid</t>
  </si>
  <si>
    <t>gene11826-v1.0-hybrid</t>
  </si>
  <si>
    <t>gene12126-v1.0-hybrid</t>
  </si>
  <si>
    <t>gene12426-v1.0-hybrid</t>
  </si>
  <si>
    <t>gene12726-v1.0-hybrid</t>
  </si>
  <si>
    <t>gene13027-v1.0-hybrid</t>
  </si>
  <si>
    <t>gene13327-v1.0-hybrid</t>
  </si>
  <si>
    <t>gene13928-v1.0-hybrid</t>
  </si>
  <si>
    <t>gene14229-v1.0-hybrid</t>
  </si>
  <si>
    <t>gene14831-v1.0-hybrid</t>
  </si>
  <si>
    <t>gene15133-v1.0-hybrid</t>
  </si>
  <si>
    <t>gene15434-v1.0-hybrid</t>
  </si>
  <si>
    <t>gene16036-v1.0-hybrid</t>
  </si>
  <si>
    <t>gene16336-v1.0-hybrid</t>
  </si>
  <si>
    <t>gene16636-v1.0-hybrid</t>
  </si>
  <si>
    <t>gene17838-v1.0-hybrid</t>
  </si>
  <si>
    <t>gene18138-v1.0-hybrid</t>
  </si>
  <si>
    <t>gene18438-v1.0-hybrid</t>
  </si>
  <si>
    <t>gene18738-v1.0-hybrid</t>
  </si>
  <si>
    <t>gene19038-v1.0-hybrid</t>
  </si>
  <si>
    <t>gene19338-v1.0-hybrid</t>
  </si>
  <si>
    <t>gene19938-v1.0-hybrid</t>
  </si>
  <si>
    <t>gene20239-v1.0-hybrid</t>
  </si>
  <si>
    <t>gene20839-v1.0-hybrid</t>
  </si>
  <si>
    <t>gene21439-v1.0-hybrid</t>
  </si>
  <si>
    <t>gene22341-v1.0-hybrid</t>
  </si>
  <si>
    <t>gene23244-v1.0-hybrid</t>
  </si>
  <si>
    <t>gene23544-v1.0-hybrid</t>
  </si>
  <si>
    <t>gene23844-v1.0-hybrid</t>
  </si>
  <si>
    <t>gene24446-v1.0-hybrid</t>
  </si>
  <si>
    <t>gene24747-v1.0-hybrid</t>
  </si>
  <si>
    <t>gene25949-v1.0-hybrid</t>
  </si>
  <si>
    <t>gene26249-v1.0-hybrid</t>
  </si>
  <si>
    <t>gene26549-v1.0-hybrid</t>
  </si>
  <si>
    <t>gene26850-v1.0-hybrid</t>
  </si>
  <si>
    <t>gene27450-v1.0-hybrid</t>
  </si>
  <si>
    <t>gene27750-v1.0-hybrid</t>
  </si>
  <si>
    <t>gene28050-v1.0-hybrid</t>
  </si>
  <si>
    <t>gene28350-v1.0-hybrid</t>
  </si>
  <si>
    <t>gene29550-v1.0-hybrid</t>
  </si>
  <si>
    <t>gene29852-v1.0-hybrid</t>
  </si>
  <si>
    <t>gene30452-v1.0-hybrid</t>
  </si>
  <si>
    <t>gene30752-v1.0-hybrid</t>
  </si>
  <si>
    <t>gene31052-v1.0-hybrid</t>
  </si>
  <si>
    <t>gene31652-v1.0-hybrid</t>
  </si>
  <si>
    <t>gene31952-v1.0-hybrid</t>
  </si>
  <si>
    <t>gene32252-v1.0-hybrid</t>
  </si>
  <si>
    <t>gene34017-v1.0-hybrid</t>
  </si>
  <si>
    <t>gene34317-v1.0-hybrid</t>
  </si>
  <si>
    <t>gene35217-v1.0-hybrid</t>
  </si>
  <si>
    <t>gene00329-v1.0-hybrid</t>
  </si>
  <si>
    <t>gene00633-v1.0-hybrid</t>
  </si>
  <si>
    <t>gene00933-v1.0-hybrid</t>
  </si>
  <si>
    <t>gene01534-v1.0-hybrid</t>
  </si>
  <si>
    <t>gene02134-v1.0-hybrid</t>
  </si>
  <si>
    <t>gene02734-v1.0-hybrid</t>
  </si>
  <si>
    <t>gene03122-v1.0-hybrid</t>
  </si>
  <si>
    <t>gene03722-v1.0-hybrid</t>
  </si>
  <si>
    <t>gene04022-v1.0-hybrid</t>
  </si>
  <si>
    <t>gene04322-v1.0-hybrid</t>
  </si>
  <si>
    <t>gene04622-v1.0-hybrid</t>
  </si>
  <si>
    <t>gene04922-v1.0-hybrid</t>
  </si>
  <si>
    <t>gene05523-v1.0-hybrid</t>
  </si>
  <si>
    <t>gene05823-v1.0-hybrid</t>
  </si>
  <si>
    <t>gene06423-v1.0-hybrid</t>
  </si>
  <si>
    <t>gene07023-v1.0-hybrid</t>
  </si>
  <si>
    <t>gene07623-v1.0-hybrid</t>
  </si>
  <si>
    <t>gene08224-v1.0-hybrid</t>
  </si>
  <si>
    <t>gene08524-v1.0-hybrid</t>
  </si>
  <si>
    <t>gene08824-v1.0-hybrid</t>
  </si>
  <si>
    <t>gene09124-v1.0-hybrid</t>
  </si>
  <si>
    <t>gene09424-v1.0-hybrid</t>
  </si>
  <si>
    <t>gene09724-v1.0-hybrid</t>
  </si>
  <si>
    <t>gene10325-v1.0-hybrid</t>
  </si>
  <si>
    <t>gene10626-v1.0-hybrid</t>
  </si>
  <si>
    <t>gene10926-v1.0-hybrid</t>
  </si>
  <si>
    <t>gene11227-v1.0-hybrid</t>
  </si>
  <si>
    <t>gene11527-v1.0-hybrid</t>
  </si>
  <si>
    <t>gene11827-v1.0-hybrid</t>
  </si>
  <si>
    <t>gene12127-v1.0-hybrid</t>
  </si>
  <si>
    <t>gene12427-v1.0-hybrid</t>
  </si>
  <si>
    <t>gene12727-v1.0-hybrid</t>
  </si>
  <si>
    <t>gene13028-v1.0-hybrid</t>
  </si>
  <si>
    <t>gene13628-v1.0-hybrid</t>
  </si>
  <si>
    <t>gene14230-v1.0-hybrid</t>
  </si>
  <si>
    <t>gene14832-v1.0-hybrid</t>
  </si>
  <si>
    <t>gene15134-v1.0-hybrid</t>
  </si>
  <si>
    <t>gene15435-v1.0-hybrid</t>
  </si>
  <si>
    <t>gene15736-v1.0-hybrid</t>
  </si>
  <si>
    <t>gene16037-v1.0-hybrid</t>
  </si>
  <si>
    <t>gene16337-v1.0-hybrid</t>
  </si>
  <si>
    <t>gene17539-v1.0-hybrid</t>
  </si>
  <si>
    <t>gene17839-v1.0-hybrid</t>
  </si>
  <si>
    <t>gene18139-v1.0-hybrid</t>
  </si>
  <si>
    <t>gene18739-v1.0-hybrid</t>
  </si>
  <si>
    <t>gene19039-v1.0-hybrid</t>
  </si>
  <si>
    <t>gene19339-v1.0-hybrid</t>
  </si>
  <si>
    <t>gene19639-v1.0-hybrid</t>
  </si>
  <si>
    <t>gene19939-v1.0-hybrid</t>
  </si>
  <si>
    <t>gene20540-v1.0-hybrid</t>
  </si>
  <si>
    <t>gene20840-v1.0-hybrid</t>
  </si>
  <si>
    <t>gene21140-v1.0-hybrid</t>
  </si>
  <si>
    <t>gene21440-v1.0-hybrid</t>
  </si>
  <si>
    <t>gene22342-v1.0-hybrid</t>
  </si>
  <si>
    <t>gene22642-v1.0-hybrid</t>
  </si>
  <si>
    <t>gene22943-v1.0-hybrid</t>
  </si>
  <si>
    <t>gene23245-v1.0-hybrid</t>
  </si>
  <si>
    <t>gene23545-v1.0-hybrid</t>
  </si>
  <si>
    <t>gene24447-v1.0-hybrid</t>
  </si>
  <si>
    <t>gene24748-v1.0-hybrid</t>
  </si>
  <si>
    <t>gene25050-v1.0-hybrid</t>
  </si>
  <si>
    <t>gene25650-v1.0-hybrid</t>
  </si>
  <si>
    <t>gene25950-v1.0-hybrid</t>
  </si>
  <si>
    <t>gene26250-v1.0-hybrid</t>
  </si>
  <si>
    <t>gene26851-v1.0-hybrid</t>
  </si>
  <si>
    <t>gene27451-v1.0-hybrid</t>
  </si>
  <si>
    <t>gene27751-v1.0-hybrid</t>
  </si>
  <si>
    <t>gene28051-v1.0-hybrid</t>
  </si>
  <si>
    <t>gene28351-v1.0-hybrid</t>
  </si>
  <si>
    <t>gene28651-v1.0-hybrid</t>
  </si>
  <si>
    <t>gene28951-v1.0-hybrid</t>
  </si>
  <si>
    <t>gene29251-v1.0-hybrid</t>
  </si>
  <si>
    <t>gene29551-v1.0-hybrid</t>
  </si>
  <si>
    <t>gene29853-v1.0-hybrid</t>
  </si>
  <si>
    <t>gene30153-v1.0-hybrid</t>
  </si>
  <si>
    <t>gene30453-v1.0-hybrid</t>
  </si>
  <si>
    <t>gene30753-v1.0-hybrid</t>
  </si>
  <si>
    <t>gene31053-v1.0-hybrid</t>
  </si>
  <si>
    <t>gene31653-v1.0-hybrid</t>
  </si>
  <si>
    <t>gene31953-v1.0-hybrid</t>
  </si>
  <si>
    <t>gene32253-v1.0-hybrid</t>
  </si>
  <si>
    <t>gene32553-v1.0-hybrid</t>
  </si>
  <si>
    <t>gene32893-v1.0-hybrid</t>
  </si>
  <si>
    <t>gene34918-v1.0-hybrid</t>
  </si>
  <si>
    <t>gene00330-v1.0-hybrid</t>
  </si>
  <si>
    <t>gene00634-v1.0-hybrid</t>
  </si>
  <si>
    <t>gene01234-v1.0-hybrid</t>
  </si>
  <si>
    <t>gene01535-v1.0-hybrid</t>
  </si>
  <si>
    <t>gene01835-v1.0-hybrid</t>
  </si>
  <si>
    <t>gene02135-v1.0-hybrid</t>
  </si>
  <si>
    <t>gene02435-v1.0-hybrid</t>
  </si>
  <si>
    <t>gene02735-v1.0-hybrid</t>
  </si>
  <si>
    <t>gene03123-v1.0-hybrid</t>
  </si>
  <si>
    <t>gene03423-v1.0-hybrid</t>
  </si>
  <si>
    <t>gene03723-v1.0-hybrid</t>
  </si>
  <si>
    <t>gene04023-v1.0-hybrid</t>
  </si>
  <si>
    <t>gene04323-v1.0-hybrid</t>
  </si>
  <si>
    <t>gene05223-v1.0-hybrid</t>
  </si>
  <si>
    <t>gene05524-v1.0-hybrid</t>
  </si>
  <si>
    <t>gene05824-v1.0-hybrid</t>
  </si>
  <si>
    <t>gene06724-v1.0-hybrid</t>
  </si>
  <si>
    <t>gene07024-v1.0-hybrid</t>
  </si>
  <si>
    <t>gene07324-v1.0-hybrid</t>
  </si>
  <si>
    <t>gene08225-v1.0-hybrid</t>
  </si>
  <si>
    <t>gene08525-v1.0-hybrid</t>
  </si>
  <si>
    <t>gene08825-v1.0-hybrid</t>
  </si>
  <si>
    <t>gene09125-v1.0-hybrid</t>
  </si>
  <si>
    <t>gene09425-v1.0-hybrid</t>
  </si>
  <si>
    <t>gene10326-v1.0-hybrid</t>
  </si>
  <si>
    <t>gene10627-v1.0-hybrid</t>
  </si>
  <si>
    <t>gene11228-v1.0-hybrid</t>
  </si>
  <si>
    <t>gene11528-v1.0-hybrid</t>
  </si>
  <si>
    <t>gene11828-v1.0-hybrid</t>
  </si>
  <si>
    <t>gene12128-v1.0-hybrid</t>
  </si>
  <si>
    <t>gene12428-v1.0-hybrid</t>
  </si>
  <si>
    <t>gene12728-v1.0-hybrid</t>
  </si>
  <si>
    <t>gene13029-v1.0-hybrid</t>
  </si>
  <si>
    <t>gene13329-v1.0-hybrid</t>
  </si>
  <si>
    <t>gene13629-v1.0-hybrid</t>
  </si>
  <si>
    <t>gene13930-v1.0-hybrid</t>
  </si>
  <si>
    <t>gene14533-v1.0-hybrid</t>
  </si>
  <si>
    <t>gene14834-v1.0-hybrid</t>
  </si>
  <si>
    <t>gene15135-v1.0-hybrid</t>
  </si>
  <si>
    <t>gene15737-v1.0-hybrid</t>
  </si>
  <si>
    <t>gene16338-v1.0-hybrid</t>
  </si>
  <si>
    <t>gene16638-v1.0-hybrid</t>
  </si>
  <si>
    <t>gene16939-v1.0-hybrid</t>
  </si>
  <si>
    <t>gene17840-v1.0-hybrid</t>
  </si>
  <si>
    <t>gene18140-v1.0-hybrid</t>
  </si>
  <si>
    <t>gene18440-v1.0-hybrid</t>
  </si>
  <si>
    <t>gene19040-v1.0-hybrid</t>
  </si>
  <si>
    <t>gene19340-v1.0-hybrid</t>
  </si>
  <si>
    <t>gene19640-v1.0-hybrid</t>
  </si>
  <si>
    <t>gene19940-v1.0-hybrid</t>
  </si>
  <si>
    <t>gene20241-v1.0-hybrid</t>
  </si>
  <si>
    <t>gene20541-v1.0-hybrid</t>
  </si>
  <si>
    <t>gene21141-v1.0-hybrid</t>
  </si>
  <si>
    <t>gene21441-v1.0-hybrid</t>
  </si>
  <si>
    <t>gene21742-v1.0-hybrid</t>
  </si>
  <si>
    <t>gene22042-v1.0-hybrid</t>
  </si>
  <si>
    <t>gene22944-v1.0-hybrid</t>
  </si>
  <si>
    <t>gene23846-v1.0-hybrid</t>
  </si>
  <si>
    <t>gene24448-v1.0-hybrid</t>
  </si>
  <si>
    <t>gene25051-v1.0-hybrid</t>
  </si>
  <si>
    <t>gene25651-v1.0-hybrid</t>
  </si>
  <si>
    <t>gene25951-v1.0-hybrid</t>
  </si>
  <si>
    <t>gene26251-v1.0-hybrid</t>
  </si>
  <si>
    <t>gene26551-v1.0-hybrid</t>
  </si>
  <si>
    <t>gene26852-v1.0-hybrid</t>
  </si>
  <si>
    <t>gene27152-v1.0-hybrid</t>
  </si>
  <si>
    <t>gene27452-v1.0-hybrid</t>
  </si>
  <si>
    <t>gene27752-v1.0-hybrid</t>
  </si>
  <si>
    <t>gene28052-v1.0-hybrid</t>
  </si>
  <si>
    <t>gene28352-v1.0-hybrid</t>
  </si>
  <si>
    <t>gene28952-v1.0-hybrid</t>
  </si>
  <si>
    <t>gene29252-v1.0-hybrid</t>
  </si>
  <si>
    <t>gene29552-v1.0-hybrid</t>
  </si>
  <si>
    <t>gene29854-v1.0-hybrid</t>
  </si>
  <si>
    <t>gene30154-v1.0-hybrid</t>
  </si>
  <si>
    <t>gene30454-v1.0-hybrid</t>
  </si>
  <si>
    <t>gene30754-v1.0-hybrid</t>
  </si>
  <si>
    <t>gene31054-v1.0-hybrid</t>
  </si>
  <si>
    <t>gene32254-v1.0-hybrid</t>
  </si>
  <si>
    <t>gene32554-v1.0-hybrid</t>
  </si>
  <si>
    <t>gene33697-v1.0-hybrid</t>
  </si>
  <si>
    <t>gene34019-v1.0-hybrid</t>
  </si>
  <si>
    <t>gene34319-v1.0-hybrid</t>
  </si>
  <si>
    <t>gene35219-v1.0-hybrid</t>
  </si>
  <si>
    <t>gene00331-v1.0-hybrid</t>
  </si>
  <si>
    <t>gene00635-v1.0-hybrid</t>
  </si>
  <si>
    <t>gene00935-v1.0-hybrid</t>
  </si>
  <si>
    <t>gene01235-v1.0-hybrid</t>
  </si>
  <si>
    <t>gene01536-v1.0-hybrid</t>
  </si>
  <si>
    <t>gene01836-v1.0-hybrid</t>
  </si>
  <si>
    <t>gene02136-v1.0-hybrid</t>
  </si>
  <si>
    <t>gene02736-v1.0-hybrid</t>
  </si>
  <si>
    <t>gene03424-v1.0-hybrid</t>
  </si>
  <si>
    <t>gene03724-v1.0-hybrid</t>
  </si>
  <si>
    <t>gene04024-v1.0-hybrid</t>
  </si>
  <si>
    <t>gene04324-v1.0-hybrid</t>
  </si>
  <si>
    <t>gene04924-v1.0-hybrid</t>
  </si>
  <si>
    <t>gene05525-v1.0-hybrid</t>
  </si>
  <si>
    <t>gene06725-v1.0-hybrid</t>
  </si>
  <si>
    <t>gene07025-v1.0-hybrid</t>
  </si>
  <si>
    <t>gene07325-v1.0-hybrid</t>
  </si>
  <si>
    <t>gene07625-v1.0-hybrid</t>
  </si>
  <si>
    <t>gene07926-v1.0-hybrid</t>
  </si>
  <si>
    <t>gene08226-v1.0-hybrid</t>
  </si>
  <si>
    <t>gene08526-v1.0-hybrid</t>
  </si>
  <si>
    <t>gene08826-v1.0-hybrid</t>
  </si>
  <si>
    <t>gene09126-v1.0-hybrid</t>
  </si>
  <si>
    <t>gene09426-v1.0-hybrid</t>
  </si>
  <si>
    <t>gene09726-v1.0-hybrid</t>
  </si>
  <si>
    <t>gene10327-v1.0-hybrid</t>
  </si>
  <si>
    <t>gene10628-v1.0-hybrid</t>
  </si>
  <si>
    <t>gene10928-v1.0-hybrid</t>
  </si>
  <si>
    <t>gene11229-v1.0-hybrid</t>
  </si>
  <si>
    <t>gene11529-v1.0-hybrid</t>
  </si>
  <si>
    <t>gene12729-v1.0-hybrid</t>
  </si>
  <si>
    <t>gene13030-v1.0-hybrid</t>
  </si>
  <si>
    <t>gene13630-v1.0-hybrid</t>
  </si>
  <si>
    <t>gene14534-v1.0-hybrid</t>
  </si>
  <si>
    <t>gene14835-v1.0-hybrid</t>
  </si>
  <si>
    <t>gene15136-v1.0-hybrid</t>
  </si>
  <si>
    <t>gene16039-v1.0-hybrid</t>
  </si>
  <si>
    <t>gene16639-v1.0-hybrid</t>
  </si>
  <si>
    <t>gene16940-v1.0-hybrid</t>
  </si>
  <si>
    <t>gene17241-v1.0-hybrid</t>
  </si>
  <si>
    <t>gene17541-v1.0-hybrid</t>
  </si>
  <si>
    <t>gene17841-v1.0-hybrid</t>
  </si>
  <si>
    <t>gene18441-v1.0-hybrid</t>
  </si>
  <si>
    <t>gene18741-v1.0-hybrid</t>
  </si>
  <si>
    <t>gene19041-v1.0-hybrid</t>
  </si>
  <si>
    <t>gene19341-v1.0-hybrid</t>
  </si>
  <si>
    <t>gene19641-v1.0-hybrid</t>
  </si>
  <si>
    <t>gene20542-v1.0-hybrid</t>
  </si>
  <si>
    <t>gene21142-v1.0-hybrid</t>
  </si>
  <si>
    <t>gene21442-v1.0-hybrid</t>
  </si>
  <si>
    <t>gene22043-v1.0-hybrid</t>
  </si>
  <si>
    <t>gene22344-v1.0-hybrid</t>
  </si>
  <si>
    <t>gene23247-v1.0-hybrid</t>
  </si>
  <si>
    <t>gene23847-v1.0-hybrid</t>
  </si>
  <si>
    <t>gene24449-v1.0-hybrid</t>
  </si>
  <si>
    <t>gene24750-v1.0-hybrid</t>
  </si>
  <si>
    <t>gene25352-v1.0-hybrid</t>
  </si>
  <si>
    <t>gene25652-v1.0-hybrid</t>
  </si>
  <si>
    <t>gene25952-v1.0-hybrid</t>
  </si>
  <si>
    <t>gene26252-v1.0-hybrid</t>
  </si>
  <si>
    <t>gene26853-v1.0-hybrid</t>
  </si>
  <si>
    <t>gene27153-v1.0-hybrid</t>
  </si>
  <si>
    <t>gene27753-v1.0-hybrid</t>
  </si>
  <si>
    <t>gene28053-v1.0-hybrid</t>
  </si>
  <si>
    <t>gene28353-v1.0-hybrid</t>
  </si>
  <si>
    <t>gene28953-v1.0-hybrid</t>
  </si>
  <si>
    <t>gene29553-v1.0-hybrid</t>
  </si>
  <si>
    <t>gene30155-v1.0-hybrid</t>
  </si>
  <si>
    <t>gene30455-v1.0-hybrid</t>
  </si>
  <si>
    <t>gene31055-v1.0-hybrid</t>
  </si>
  <si>
    <t>gene31355-v1.0-hybrid</t>
  </si>
  <si>
    <t>gene31655-v1.0-hybrid</t>
  </si>
  <si>
    <t>gene31955-v1.0-hybrid</t>
  </si>
  <si>
    <t>gene32255-v1.0-hybrid</t>
  </si>
  <si>
    <t>gene32555-v1.0-hybrid</t>
  </si>
  <si>
    <t>gene33299-v1.0-hybrid</t>
  </si>
  <si>
    <t>gene33699-v1.0-hybrid</t>
  </si>
  <si>
    <t>gene34020-v1.0-hybrid</t>
  </si>
  <si>
    <t>gene34320-v1.0-hybrid</t>
  </si>
  <si>
    <t>gene34920-v1.0-hybrid</t>
  </si>
  <si>
    <t>gene00936-v1.0-hybrid</t>
  </si>
  <si>
    <t>gene01236-v1.0-hybrid</t>
  </si>
  <si>
    <t>gene02137-v1.0-hybrid</t>
  </si>
  <si>
    <t>gene03125-v1.0-hybrid</t>
  </si>
  <si>
    <t>gene03425-v1.0-hybrid</t>
  </si>
  <si>
    <t>gene03725-v1.0-hybrid</t>
  </si>
  <si>
    <t>gene04025-v1.0-hybrid</t>
  </si>
  <si>
    <t>gene04325-v1.0-hybrid</t>
  </si>
  <si>
    <t>gene04925-v1.0-hybrid</t>
  </si>
  <si>
    <t>gene05225-v1.0-hybrid</t>
  </si>
  <si>
    <t>gene05526-v1.0-hybrid</t>
  </si>
  <si>
    <t>gene05826-v1.0-hybrid</t>
  </si>
  <si>
    <t>gene06126-v1.0-hybrid</t>
  </si>
  <si>
    <t>gene07026-v1.0-hybrid</t>
  </si>
  <si>
    <t>gene07626-v1.0-hybrid</t>
  </si>
  <si>
    <t>gene07927-v1.0-hybrid</t>
  </si>
  <si>
    <t>gene08227-v1.0-hybrid</t>
  </si>
  <si>
    <t>gene08527-v1.0-hybrid</t>
  </si>
  <si>
    <t>gene08827-v1.0-hybrid</t>
  </si>
  <si>
    <t>gene09127-v1.0-hybrid</t>
  </si>
  <si>
    <t>gene09427-v1.0-hybrid</t>
  </si>
  <si>
    <t>gene10328-v1.0-hybrid</t>
  </si>
  <si>
    <t>gene10629-v1.0-hybrid</t>
  </si>
  <si>
    <t>gene11230-v1.0-hybrid</t>
  </si>
  <si>
    <t>gene11530-v1.0-hybrid</t>
  </si>
  <si>
    <t>gene12130-v1.0-hybrid</t>
  </si>
  <si>
    <t>gene12430-v1.0-hybrid</t>
  </si>
  <si>
    <t>gene12730-v1.0-hybrid</t>
  </si>
  <si>
    <t>gene13031-v1.0-hybrid</t>
  </si>
  <si>
    <t>gene13331-v1.0-hybrid</t>
  </si>
  <si>
    <t>gene13631-v1.0-hybrid</t>
  </si>
  <si>
    <t>gene14233-v1.0-hybrid</t>
  </si>
  <si>
    <t>gene14535-v1.0-hybrid</t>
  </si>
  <si>
    <t>gene15137-v1.0-hybrid</t>
  </si>
  <si>
    <t>gene15438-v1.0-hybrid</t>
  </si>
  <si>
    <t>gene15739-v1.0-hybrid</t>
  </si>
  <si>
    <t>gene16040-v1.0-hybrid</t>
  </si>
  <si>
    <t>gene16340-v1.0-hybrid</t>
  </si>
  <si>
    <t>gene16640-v1.0-hybrid</t>
  </si>
  <si>
    <t>gene17242-v1.0-hybrid</t>
  </si>
  <si>
    <t>gene17542-v1.0-hybrid</t>
  </si>
  <si>
    <t>gene18142-v1.0-hybrid</t>
  </si>
  <si>
    <t>gene18442-v1.0-hybrid</t>
  </si>
  <si>
    <t>gene19342-v1.0-hybrid</t>
  </si>
  <si>
    <t>gene20243-v1.0-hybrid</t>
  </si>
  <si>
    <t>gene20543-v1.0-hybrid</t>
  </si>
  <si>
    <t>gene20843-v1.0-hybrid</t>
  </si>
  <si>
    <t>gene21443-v1.0-hybrid</t>
  </si>
  <si>
    <t>gene22044-v1.0-hybrid</t>
  </si>
  <si>
    <t>gene22345-v1.0-hybrid</t>
  </si>
  <si>
    <t>gene22645-v1.0-hybrid</t>
  </si>
  <si>
    <t>gene22946-v1.0-hybrid</t>
  </si>
  <si>
    <t>gene23248-v1.0-hybrid</t>
  </si>
  <si>
    <t>gene23548-v1.0-hybrid</t>
  </si>
  <si>
    <t>gene24149-v1.0-hybrid</t>
  </si>
  <si>
    <t>gene24451-v1.0-hybrid</t>
  </si>
  <si>
    <t>gene24751-v1.0-hybrid</t>
  </si>
  <si>
    <t>gene25653-v1.0-hybrid</t>
  </si>
  <si>
    <t>gene25953-v1.0-hybrid</t>
  </si>
  <si>
    <t>gene26253-v1.0-hybrid</t>
  </si>
  <si>
    <t>gene26553-v1.0-hybrid</t>
  </si>
  <si>
    <t>gene26854-v1.0-hybrid</t>
  </si>
  <si>
    <t>gene27454-v1.0-hybrid</t>
  </si>
  <si>
    <t>gene27754-v1.0-hybrid</t>
  </si>
  <si>
    <t>gene28054-v1.0-hybrid</t>
  </si>
  <si>
    <t>gene28354-v1.0-hybrid</t>
  </si>
  <si>
    <t>gene28654-v1.0-hybrid</t>
  </si>
  <si>
    <t>gene28954-v1.0-hybrid</t>
  </si>
  <si>
    <t>gene29254-v1.0-hybrid</t>
  </si>
  <si>
    <t>gene29554-v1.0-hybrid</t>
  </si>
  <si>
    <t>gene29856-v1.0-hybrid</t>
  </si>
  <si>
    <t>gene30156-v1.0-hybrid</t>
  </si>
  <si>
    <t>gene30456-v1.0-hybrid</t>
  </si>
  <si>
    <t>gene31056-v1.0-hybrid</t>
  </si>
  <si>
    <t>gene31356-v1.0-hybrid</t>
  </si>
  <si>
    <t>gene31956-v1.0-hybrid</t>
  </si>
  <si>
    <t>gene32256-v1.0-hybrid</t>
  </si>
  <si>
    <t>gene32556-v1.0-hybrid</t>
  </si>
  <si>
    <t>gene33700-v1.0-hybrid</t>
  </si>
  <si>
    <t>gene34321-v1.0-hybrid</t>
  </si>
  <si>
    <t>gene34621-v1.0-hybrid</t>
  </si>
  <si>
    <t>gene35221-v1.0-hybrid</t>
  </si>
  <si>
    <t>gene00637-v1.0-hybrid</t>
  </si>
  <si>
    <t>gene00937-v1.0-hybrid</t>
  </si>
  <si>
    <t>gene01237-v1.0-hybrid</t>
  </si>
  <si>
    <t>gene01838-v1.0-hybrid</t>
  </si>
  <si>
    <t>gene02138-v1.0-hybrid</t>
  </si>
  <si>
    <t>gene02438-v1.0-hybrid</t>
  </si>
  <si>
    <t>gene03426-v1.0-hybrid</t>
  </si>
  <si>
    <t>gene03726-v1.0-hybrid</t>
  </si>
  <si>
    <t>gene04026-v1.0-hybrid</t>
  </si>
  <si>
    <t>gene04326-v1.0-hybrid</t>
  </si>
  <si>
    <t>gene04626-v1.0-hybrid</t>
  </si>
  <si>
    <t>gene04926-v1.0-hybrid</t>
  </si>
  <si>
    <t>gene05527-v1.0-hybrid</t>
  </si>
  <si>
    <t>gene06127-v1.0-hybrid</t>
  </si>
  <si>
    <t>gene06427-v1.0-hybrid</t>
  </si>
  <si>
    <t>gene06727-v1.0-hybrid</t>
  </si>
  <si>
    <t>gene07027-v1.0-hybrid</t>
  </si>
  <si>
    <t>gene07327-v1.0-hybrid</t>
  </si>
  <si>
    <t>gene07627-v1.0-hybrid</t>
  </si>
  <si>
    <t>gene07928-v1.0-hybrid</t>
  </si>
  <si>
    <t>gene08228-v1.0-hybrid</t>
  </si>
  <si>
    <t>gene08828-v1.0-hybrid</t>
  </si>
  <si>
    <t>gene09128-v1.0-hybrid</t>
  </si>
  <si>
    <t>gene09428-v1.0-hybrid</t>
  </si>
  <si>
    <t>gene09728-v1.0-hybrid</t>
  </si>
  <si>
    <t>gene10029-v1.0-hybrid</t>
  </si>
  <si>
    <t>gene10329-v1.0-hybrid</t>
  </si>
  <si>
    <t>gene10630-v1.0-hybrid</t>
  </si>
  <si>
    <t>gene11231-v1.0-hybrid</t>
  </si>
  <si>
    <t>gene11531-v1.0-hybrid</t>
  </si>
  <si>
    <t>gene11831-v1.0-hybrid</t>
  </si>
  <si>
    <t>gene12431-v1.0-hybrid</t>
  </si>
  <si>
    <t>gene12731-v1.0-hybrid</t>
  </si>
  <si>
    <t>gene13032-v1.0-hybrid</t>
  </si>
  <si>
    <t>gene13332-v1.0-hybrid</t>
  </si>
  <si>
    <t>gene13632-v1.0-hybrid</t>
  </si>
  <si>
    <t>gene13933-v1.0-hybrid</t>
  </si>
  <si>
    <t>gene14234-v1.0-hybrid</t>
  </si>
  <si>
    <t>gene14536-v1.0-hybrid</t>
  </si>
  <si>
    <t>gene14837-v1.0-hybrid</t>
  </si>
  <si>
    <t>gene15138-v1.0-hybrid</t>
  </si>
  <si>
    <t>gene15740-v1.0-hybrid</t>
  </si>
  <si>
    <t>gene16041-v1.0-hybrid</t>
  </si>
  <si>
    <t>gene16341-v1.0-hybrid</t>
  </si>
  <si>
    <t>gene16641-v1.0-hybrid</t>
  </si>
  <si>
    <t>gene16942-v1.0-hybrid</t>
  </si>
  <si>
    <t>gene17243-v1.0-hybrid</t>
  </si>
  <si>
    <t>gene17543-v1.0-hybrid</t>
  </si>
  <si>
    <t>gene18143-v1.0-hybrid</t>
  </si>
  <si>
    <t>gene18443-v1.0-hybrid</t>
  </si>
  <si>
    <t>gene18743-v1.0-hybrid</t>
  </si>
  <si>
    <t>gene19043-v1.0-hybrid</t>
  </si>
  <si>
    <t>gene19343-v1.0-hybrid</t>
  </si>
  <si>
    <t>gene19643-v1.0-hybrid</t>
  </si>
  <si>
    <t>gene19943-v1.0-hybrid</t>
  </si>
  <si>
    <t>gene20244-v1.0-hybrid</t>
  </si>
  <si>
    <t>gene21444-v1.0-hybrid</t>
  </si>
  <si>
    <t>gene21745-v1.0-hybrid</t>
  </si>
  <si>
    <t>gene22045-v1.0-hybrid</t>
  </si>
  <si>
    <t>gene22346-v1.0-hybrid</t>
  </si>
  <si>
    <t>gene22646-v1.0-hybrid</t>
  </si>
  <si>
    <t>gene22947-v1.0-hybrid</t>
  </si>
  <si>
    <t>gene23249-v1.0-hybrid</t>
  </si>
  <si>
    <t>gene23549-v1.0-hybrid</t>
  </si>
  <si>
    <t>gene23849-v1.0-hybrid</t>
  </si>
  <si>
    <t>gene24150-v1.0-hybrid</t>
  </si>
  <si>
    <t>gene24452-v1.0-hybrid</t>
  </si>
  <si>
    <t>gene24752-v1.0-hybrid</t>
  </si>
  <si>
    <t>gene25054-v1.0-hybrid</t>
  </si>
  <si>
    <t>gene25654-v1.0-hybrid</t>
  </si>
  <si>
    <t>gene25954-v1.0-hybrid</t>
  </si>
  <si>
    <t>gene26254-v1.0-hybrid</t>
  </si>
  <si>
    <t>gene26554-v1.0-hybrid</t>
  </si>
  <si>
    <t>gene27155-v1.0-hybrid</t>
  </si>
  <si>
    <t>gene27755-v1.0-hybrid</t>
  </si>
  <si>
    <t>gene28055-v1.0-hybrid</t>
  </si>
  <si>
    <t>gene28655-v1.0-hybrid</t>
  </si>
  <si>
    <t>gene29255-v1.0-hybrid</t>
  </si>
  <si>
    <t>gene29555-v1.0-hybrid</t>
  </si>
  <si>
    <t>gene29857-v1.0-hybrid</t>
  </si>
  <si>
    <t>gene30457-v1.0-hybrid</t>
  </si>
  <si>
    <t>gene31657-v1.0-hybrid</t>
  </si>
  <si>
    <t>gene31957-v1.0-hybrid</t>
  </si>
  <si>
    <t>gene32257-v1.0-hybrid</t>
  </si>
  <si>
    <t>gene32898-v1.0-hybrid</t>
  </si>
  <si>
    <t>gene33302-v1.0-hybrid</t>
  </si>
  <si>
    <t>gene33701-v1.0-hybrid</t>
  </si>
  <si>
    <t>gene34322-v1.0-hybrid</t>
  </si>
  <si>
    <t>gene35222-v1.0-hybrid</t>
  </si>
  <si>
    <t>gene00638-v1.0-hybrid</t>
  </si>
  <si>
    <t>gene00938-v1.0-hybrid</t>
  </si>
  <si>
    <t>gene01238-v1.0-hybrid</t>
  </si>
  <si>
    <t>gene01539-v1.0-hybrid</t>
  </si>
  <si>
    <t>gene01839-v1.0-hybrid</t>
  </si>
  <si>
    <t>gene02139-v1.0-hybrid</t>
  </si>
  <si>
    <t>gene02439-v1.0-hybrid</t>
  </si>
  <si>
    <t>gene03427-v1.0-hybrid</t>
  </si>
  <si>
    <t>gene03727-v1.0-hybrid</t>
  </si>
  <si>
    <t>gene04327-v1.0-hybrid</t>
  </si>
  <si>
    <t>gene04627-v1.0-hybrid</t>
  </si>
  <si>
    <t>gene04927-v1.0-hybrid</t>
  </si>
  <si>
    <t>gene05227-v1.0-hybrid</t>
  </si>
  <si>
    <t>gene05828-v1.0-hybrid</t>
  </si>
  <si>
    <t>gene07028-v1.0-hybrid</t>
  </si>
  <si>
    <t>gene07328-v1.0-hybrid</t>
  </si>
  <si>
    <t>gene07628-v1.0-hybrid</t>
  </si>
  <si>
    <t>gene08229-v1.0-hybrid</t>
  </si>
  <si>
    <t>gene08829-v1.0-hybrid</t>
  </si>
  <si>
    <t>gene09129-v1.0-hybrid</t>
  </si>
  <si>
    <t>gene09429-v1.0-hybrid</t>
  </si>
  <si>
    <t>gene09729-v1.0-hybrid</t>
  </si>
  <si>
    <t>gene10330-v1.0-hybrid</t>
  </si>
  <si>
    <t>gene10631-v1.0-hybrid</t>
  </si>
  <si>
    <t>gene10931-v1.0-hybrid</t>
  </si>
  <si>
    <t>gene11232-v1.0-hybrid</t>
  </si>
  <si>
    <t>gene11532-v1.0-hybrid</t>
  </si>
  <si>
    <t>gene11832-v1.0-hybrid</t>
  </si>
  <si>
    <t>gene12132-v1.0-hybrid</t>
  </si>
  <si>
    <t>gene12432-v1.0-hybrid</t>
  </si>
  <si>
    <t>gene12732-v1.0-hybrid</t>
  </si>
  <si>
    <t>gene13033-v1.0-hybrid</t>
  </si>
  <si>
    <t>gene13333-v1.0-hybrid</t>
  </si>
  <si>
    <t>gene13934-v1.0-hybrid</t>
  </si>
  <si>
    <t>gene14235-v1.0-hybrid</t>
  </si>
  <si>
    <t>gene14537-v1.0-hybrid</t>
  </si>
  <si>
    <t>gene15139-v1.0-hybrid</t>
  </si>
  <si>
    <t>gene15440-v1.0-hybrid</t>
  </si>
  <si>
    <t>gene15741-v1.0-hybrid</t>
  </si>
  <si>
    <t>gene16042-v1.0-hybrid</t>
  </si>
  <si>
    <t>gene16342-v1.0-hybrid</t>
  </si>
  <si>
    <t>gene17244-v1.0-hybrid</t>
  </si>
  <si>
    <t>gene17544-v1.0-hybrid</t>
  </si>
  <si>
    <t>gene18144-v1.0-hybrid</t>
  </si>
  <si>
    <t>gene18444-v1.0-hybrid</t>
  </si>
  <si>
    <t>gene18744-v1.0-hybrid</t>
  </si>
  <si>
    <t>gene19044-v1.0-hybrid</t>
  </si>
  <si>
    <t>gene19344-v1.0-hybrid</t>
  </si>
  <si>
    <t>gene19644-v1.0-hybrid</t>
  </si>
  <si>
    <t>gene19944-v1.0-hybrid</t>
  </si>
  <si>
    <t>gene20545-v1.0-hybrid</t>
  </si>
  <si>
    <t>gene20845-v1.0-hybrid</t>
  </si>
  <si>
    <t>gene21145-v1.0-hybrid</t>
  </si>
  <si>
    <t>gene21445-v1.0-hybrid</t>
  </si>
  <si>
    <t>gene21746-v1.0-hybrid</t>
  </si>
  <si>
    <t>gene22347-v1.0-hybrid</t>
  </si>
  <si>
    <t>gene22647-v1.0-hybrid</t>
  </si>
  <si>
    <t>gene22948-v1.0-hybrid</t>
  </si>
  <si>
    <t>gene23850-v1.0-hybrid</t>
  </si>
  <si>
    <t>gene24151-v1.0-hybrid</t>
  </si>
  <si>
    <t>gene24453-v1.0-hybrid</t>
  </si>
  <si>
    <t>gene24753-v1.0-hybrid</t>
  </si>
  <si>
    <t>gene25055-v1.0-hybrid</t>
  </si>
  <si>
    <t>gene25355-v1.0-hybrid</t>
  </si>
  <si>
    <t>gene25955-v1.0-hybrid</t>
  </si>
  <si>
    <t>gene26255-v1.0-hybrid</t>
  </si>
  <si>
    <t>gene27156-v1.0-hybrid</t>
  </si>
  <si>
    <t>gene27456-v1.0-hybrid</t>
  </si>
  <si>
    <t>gene27756-v1.0-hybrid</t>
  </si>
  <si>
    <t>gene29256-v1.0-hybrid</t>
  </si>
  <si>
    <t>gene29556-v1.0-hybrid</t>
  </si>
  <si>
    <t>gene29858-v1.0-hybrid</t>
  </si>
  <si>
    <t>gene30458-v1.0-hybrid</t>
  </si>
  <si>
    <t>gene31058-v1.0-hybrid</t>
  </si>
  <si>
    <t>gene31358-v1.0-hybrid</t>
  </si>
  <si>
    <t>gene31658-v1.0-hybrid</t>
  </si>
  <si>
    <t>gene31958-v1.0-hybrid</t>
  </si>
  <si>
    <t>gene32258-v1.0-hybrid</t>
  </si>
  <si>
    <t>gene32558-v1.0-hybrid</t>
  </si>
  <si>
    <t>gene34023-v1.0-hybrid</t>
  </si>
  <si>
    <t>gene34323-v1.0-hybrid</t>
  </si>
  <si>
    <t>gene34623-v1.0-hybrid</t>
  </si>
  <si>
    <t>gene34923-v1.0-hybrid</t>
  </si>
  <si>
    <t>gene00335-v1.0-hybrid</t>
  </si>
  <si>
    <t>gene00639-v1.0-hybrid</t>
  </si>
  <si>
    <t>gene00939-v1.0-hybrid</t>
  </si>
  <si>
    <t>gene01540-v1.0-hybrid</t>
  </si>
  <si>
    <t>gene01840-v1.0-hybrid</t>
  </si>
  <si>
    <t>gene02140-v1.0-hybrid</t>
  </si>
  <si>
    <t>gene02440-v1.0-hybrid</t>
  </si>
  <si>
    <t>gene03428-v1.0-hybrid</t>
  </si>
  <si>
    <t>gene03728-v1.0-hybrid</t>
  </si>
  <si>
    <t>gene04028-v1.0-hybrid</t>
  </si>
  <si>
    <t>gene04328-v1.0-hybrid</t>
  </si>
  <si>
    <t>gene04628-v1.0-hybrid</t>
  </si>
  <si>
    <t>gene04928-v1.0-hybrid</t>
  </si>
  <si>
    <t>gene05228-v1.0-hybrid</t>
  </si>
  <si>
    <t>gene05529-v1.0-hybrid</t>
  </si>
  <si>
    <t>gene05829-v1.0-hybrid</t>
  </si>
  <si>
    <t>gene06129-v1.0-hybrid</t>
  </si>
  <si>
    <t>gene06729-v1.0-hybrid</t>
  </si>
  <si>
    <t>gene07029-v1.0-hybrid</t>
  </si>
  <si>
    <t>gene07329-v1.0-hybrid</t>
  </si>
  <si>
    <t>gene07629-v1.0-hybrid</t>
  </si>
  <si>
    <t>gene08530-v1.0-hybrid</t>
  </si>
  <si>
    <t>gene08830-v1.0-hybrid</t>
  </si>
  <si>
    <t>gene09430-v1.0-hybrid</t>
  </si>
  <si>
    <t>gene09730-v1.0-hybrid</t>
  </si>
  <si>
    <t>gene10031-v1.0-hybrid</t>
  </si>
  <si>
    <t>gene10331-v1.0-hybrid</t>
  </si>
  <si>
    <t>gene11233-v1.0-hybrid</t>
  </si>
  <si>
    <t>gene11533-v1.0-hybrid</t>
  </si>
  <si>
    <t>gene11833-v1.0-hybrid</t>
  </si>
  <si>
    <t>gene12133-v1.0-hybrid</t>
  </si>
  <si>
    <t>gene12433-v1.0-hybrid</t>
  </si>
  <si>
    <t>gene12733-v1.0-hybrid</t>
  </si>
  <si>
    <t>gene13034-v1.0-hybrid</t>
  </si>
  <si>
    <t>gene13334-v1.0-hybrid</t>
  </si>
  <si>
    <t>gene13935-v1.0-hybrid</t>
  </si>
  <si>
    <t>gene14236-v1.0-hybrid</t>
  </si>
  <si>
    <t>gene14839-v1.0-hybrid</t>
  </si>
  <si>
    <t>gene15140-v1.0-hybrid</t>
  </si>
  <si>
    <t>gene15742-v1.0-hybrid</t>
  </si>
  <si>
    <t>gene16043-v1.0-hybrid</t>
  </si>
  <si>
    <t>gene16643-v1.0-hybrid</t>
  </si>
  <si>
    <t>gene17545-v1.0-hybrid</t>
  </si>
  <si>
    <t>gene17845-v1.0-hybrid</t>
  </si>
  <si>
    <t>gene18145-v1.0-hybrid</t>
  </si>
  <si>
    <t>gene18445-v1.0-hybrid</t>
  </si>
  <si>
    <t>gene18745-v1.0-hybrid</t>
  </si>
  <si>
    <t>gene19045-v1.0-hybrid</t>
  </si>
  <si>
    <t>gene19345-v1.0-hybrid</t>
  </si>
  <si>
    <t>gene19645-v1.0-hybrid</t>
  </si>
  <si>
    <t>gene19945-v1.0-hybrid</t>
  </si>
  <si>
    <t>gene20246-v1.0-hybrid</t>
  </si>
  <si>
    <t>gene20546-v1.0-hybrid</t>
  </si>
  <si>
    <t>gene20846-v1.0-hybrid</t>
  </si>
  <si>
    <t>gene21146-v1.0-hybrid</t>
  </si>
  <si>
    <t>gene21747-v1.0-hybrid</t>
  </si>
  <si>
    <t>gene22348-v1.0-hybrid</t>
  </si>
  <si>
    <t>gene22648-v1.0-hybrid</t>
  </si>
  <si>
    <t>gene22949-v1.0-hybrid</t>
  </si>
  <si>
    <t>gene23251-v1.0-hybrid</t>
  </si>
  <si>
    <t>gene23551-v1.0-hybrid</t>
  </si>
  <si>
    <t>gene23851-v1.0-hybrid</t>
  </si>
  <si>
    <t>gene24152-v1.0-hybrid</t>
  </si>
  <si>
    <t>gene24454-v1.0-hybrid</t>
  </si>
  <si>
    <t>gene24754-v1.0-hybrid</t>
  </si>
  <si>
    <t>gene25356-v1.0-hybrid</t>
  </si>
  <si>
    <t>gene25656-v1.0-hybrid</t>
  </si>
  <si>
    <t>gene25956-v1.0-hybrid</t>
  </si>
  <si>
    <t>gene26256-v1.0-hybrid</t>
  </si>
  <si>
    <t>gene26857-v1.0-hybrid</t>
  </si>
  <si>
    <t>gene27157-v1.0-hybrid</t>
  </si>
  <si>
    <t>gene27457-v1.0-hybrid</t>
  </si>
  <si>
    <t>gene27757-v1.0-hybrid</t>
  </si>
  <si>
    <t>gene28057-v1.0-hybrid</t>
  </si>
  <si>
    <t>gene28957-v1.0-hybrid</t>
  </si>
  <si>
    <t>gene29257-v1.0-hybrid</t>
  </si>
  <si>
    <t>gene29557-v1.0-hybrid</t>
  </si>
  <si>
    <t>gene30159-v1.0-hybrid</t>
  </si>
  <si>
    <t>gene30459-v1.0-hybrid</t>
  </si>
  <si>
    <t>gene30759-v1.0-hybrid</t>
  </si>
  <si>
    <t>gene31359-v1.0-hybrid</t>
  </si>
  <si>
    <t>gene31659-v1.0-hybrid</t>
  </si>
  <si>
    <t>gene32259-v1.0-hybrid</t>
  </si>
  <si>
    <t>gene32900-v1.0-hybrid</t>
  </si>
  <si>
    <t>gene34024-v1.0-hybrid</t>
  </si>
  <si>
    <t>gene34324-v1.0-hybrid</t>
  </si>
  <si>
    <t>gene34624-v1.0-hybrid</t>
  </si>
  <si>
    <t>gene35224-v1.0-hybrid</t>
  </si>
  <si>
    <t>gene00336-v1.0-hybrid</t>
  </si>
  <si>
    <t>gene00640-v1.0-hybrid</t>
  </si>
  <si>
    <t>gene01240-v1.0-hybrid</t>
  </si>
  <si>
    <t>gene01841-v1.0-hybrid</t>
  </si>
  <si>
    <t>gene02741-v1.0-hybrid</t>
  </si>
  <si>
    <t>gene03129-v1.0-hybrid</t>
  </si>
  <si>
    <t>gene03429-v1.0-hybrid</t>
  </si>
  <si>
    <t>gene03729-v1.0-hybrid</t>
  </si>
  <si>
    <t>gene04029-v1.0-hybrid</t>
  </si>
  <si>
    <t>gene04329-v1.0-hybrid</t>
  </si>
  <si>
    <t>gene04629-v1.0-hybrid</t>
  </si>
  <si>
    <t>gene06130-v1.0-hybrid</t>
  </si>
  <si>
    <t>gene06430-v1.0-hybrid</t>
  </si>
  <si>
    <t>gene07030-v1.0-hybrid</t>
  </si>
  <si>
    <t>gene07330-v1.0-hybrid</t>
  </si>
  <si>
    <t>gene07931-v1.0-hybrid</t>
  </si>
  <si>
    <t>gene08231-v1.0-hybrid</t>
  </si>
  <si>
    <t>gene08531-v1.0-hybrid</t>
  </si>
  <si>
    <t>gene08831-v1.0-hybrid</t>
  </si>
  <si>
    <t>gene09431-v1.0-hybrid</t>
  </si>
  <si>
    <t>gene09731-v1.0-hybrid</t>
  </si>
  <si>
    <t>gene10332-v1.0-hybrid</t>
  </si>
  <si>
    <t>gene10633-v1.0-hybrid</t>
  </si>
  <si>
    <t>gene10933-v1.0-hybrid</t>
  </si>
  <si>
    <t>gene11234-v1.0-hybrid</t>
  </si>
  <si>
    <t>gene11534-v1.0-hybrid</t>
  </si>
  <si>
    <t>gene11834-v1.0-hybrid</t>
  </si>
  <si>
    <t>gene12134-v1.0-hybrid</t>
  </si>
  <si>
    <t>gene12434-v1.0-hybrid</t>
  </si>
  <si>
    <t>gene12734-v1.0-hybrid</t>
  </si>
  <si>
    <t>gene13035-v1.0-hybrid</t>
  </si>
  <si>
    <t>gene13335-v1.0-hybrid</t>
  </si>
  <si>
    <t>gene13635-v1.0-hybrid</t>
  </si>
  <si>
    <t>gene14237-v1.0-hybrid</t>
  </si>
  <si>
    <t>gene14539-v1.0-hybrid</t>
  </si>
  <si>
    <t>gene14840-v1.0-hybrid</t>
  </si>
  <si>
    <t>gene15743-v1.0-hybrid</t>
  </si>
  <si>
    <t>gene16344-v1.0-hybrid</t>
  </si>
  <si>
    <t>gene17246-v1.0-hybrid</t>
  </si>
  <si>
    <t>gene17546-v1.0-hybrid</t>
  </si>
  <si>
    <t>gene17846-v1.0-hybrid</t>
  </si>
  <si>
    <t>gene18146-v1.0-hybrid</t>
  </si>
  <si>
    <t>gene18446-v1.0-hybrid</t>
  </si>
  <si>
    <t>gene19046-v1.0-hybrid</t>
  </si>
  <si>
    <t>gene19346-v1.0-hybrid</t>
  </si>
  <si>
    <t>gene19646-v1.0-hybrid</t>
  </si>
  <si>
    <t>gene19946-v1.0-hybrid</t>
  </si>
  <si>
    <t>gene20247-v1.0-hybrid</t>
  </si>
  <si>
    <t>gene20547-v1.0-hybrid</t>
  </si>
  <si>
    <t>gene20847-v1.0-hybrid</t>
  </si>
  <si>
    <t>gene21748-v1.0-hybrid</t>
  </si>
  <si>
    <t>gene22048-v1.0-hybrid</t>
  </si>
  <si>
    <t>gene22349-v1.0-hybrid</t>
  </si>
  <si>
    <t>gene22649-v1.0-hybrid</t>
  </si>
  <si>
    <t>gene22950-v1.0-hybrid</t>
  </si>
  <si>
    <t>gene23252-v1.0-hybrid</t>
  </si>
  <si>
    <t>gene23552-v1.0-hybrid</t>
  </si>
  <si>
    <t>gene23852-v1.0-hybrid</t>
  </si>
  <si>
    <t>gene24755-v1.0-hybrid</t>
  </si>
  <si>
    <t>gene25057-v1.0-hybrid</t>
  </si>
  <si>
    <t>gene25357-v1.0-hybrid</t>
  </si>
  <si>
    <t>gene25957-v1.0-hybrid</t>
  </si>
  <si>
    <t>gene26557-v1.0-hybrid</t>
  </si>
  <si>
    <t>gene26858-v1.0-hybrid</t>
  </si>
  <si>
    <t>gene27158-v1.0-hybrid</t>
  </si>
  <si>
    <t>gene27458-v1.0-hybrid</t>
  </si>
  <si>
    <t>gene27758-v1.0-hybrid</t>
  </si>
  <si>
    <t>gene28058-v1.0-hybrid</t>
  </si>
  <si>
    <t>gene28358-v1.0-hybrid</t>
  </si>
  <si>
    <t>gene28658-v1.0-hybrid</t>
  </si>
  <si>
    <t>gene28958-v1.0-hybrid</t>
  </si>
  <si>
    <t>gene29258-v1.0-hybrid</t>
  </si>
  <si>
    <t>gene29558-v1.0-hybrid</t>
  </si>
  <si>
    <t>gene30460-v1.0-hybrid</t>
  </si>
  <si>
    <t>gene30760-v1.0-hybrid</t>
  </si>
  <si>
    <t>gene31360-v1.0-hybrid</t>
  </si>
  <si>
    <t>gene31660-v1.0-hybrid</t>
  </si>
  <si>
    <t>gene32260-v1.0-hybrid</t>
  </si>
  <si>
    <t>gene33705-v1.0-hybrid</t>
  </si>
  <si>
    <t>gene34625-v1.0-hybrid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</si>
</sst>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5580"/>
  <sheetViews>
    <sheetView tabSelected="1" workbookViewId="0"/>
  </sheetViews>
  <sheetFormatPr defaultRowHeight="15" x14ac:dyDescent="0.25"/>
  <cols>
    <col min="1" max="1" width="21.5703125" bestFit="1" customWidth="1"/>
    <col min="2" max="2" width="8.5703125" bestFit="1" customWidth="1"/>
    <col min="3" max="3" width="15.28515625" bestFit="1" customWidth="1"/>
    <col min="4" max="4" width="9.5703125" bestFit="1" customWidth="1"/>
    <col min="5" max="5" width="11.7109375" bestFit="1" customWidth="1"/>
    <col min="6" max="6" width="9.5703125" bestFit="1" customWidth="1"/>
  </cols>
  <sheetData>
    <row r="1" spans="1:1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x14ac:dyDescent="0.25">
      <c r="A2" t="s">
        <v>15</v>
      </c>
      <c r="B2">
        <v>52</v>
      </c>
      <c r="C2" s="1" t="str">
        <f>HYPERLINK("http://www.rosaceae.org/gb/gbrowse/malus_x_domestica/?name=MDP0000436956","MDP0000436956")</f>
        <v>MDP0000436956</v>
      </c>
      <c r="D2">
        <v>90.32</v>
      </c>
      <c r="E2">
        <v>31</v>
      </c>
      <c r="F2">
        <v>3</v>
      </c>
      <c r="G2">
        <v>0</v>
      </c>
      <c r="H2">
        <v>16</v>
      </c>
      <c r="I2">
        <v>46</v>
      </c>
      <c r="J2">
        <v>1</v>
      </c>
      <c r="K2">
        <v>399</v>
      </c>
      <c r="L2">
        <v>429</v>
      </c>
      <c r="M2">
        <v>1</v>
      </c>
      <c r="N2">
        <v>5.93817E-10</v>
      </c>
      <c r="O2">
        <v>143</v>
      </c>
    </row>
    <row r="3" spans="1:15" x14ac:dyDescent="0.25">
      <c r="A3" t="s">
        <v>16</v>
      </c>
      <c r="B3">
        <v>686</v>
      </c>
      <c r="C3" s="1" t="str">
        <f>HYPERLINK("http://www.rosaceae.org/gb/gbrowse/malus_x_domestica/?name=MDP0000854432","MDP0000854432")</f>
        <v>MDP0000854432</v>
      </c>
      <c r="D3">
        <v>45.86</v>
      </c>
      <c r="E3">
        <v>242</v>
      </c>
      <c r="F3">
        <v>131</v>
      </c>
      <c r="G3">
        <v>13</v>
      </c>
      <c r="H3">
        <v>454</v>
      </c>
      <c r="I3">
        <v>686</v>
      </c>
      <c r="J3">
        <v>1</v>
      </c>
      <c r="K3">
        <v>675</v>
      </c>
      <c r="L3">
        <v>912</v>
      </c>
      <c r="M3">
        <v>1</v>
      </c>
      <c r="N3">
        <v>7.6138500000000002E-49</v>
      </c>
      <c r="O3">
        <v>489</v>
      </c>
    </row>
    <row r="4" spans="1:15" x14ac:dyDescent="0.25">
      <c r="A4" t="s">
        <v>17</v>
      </c>
      <c r="B4">
        <v>589</v>
      </c>
      <c r="C4" s="1" t="str">
        <f>HYPERLINK("http://www.rosaceae.org/gb/gbrowse/malus_x_domestica/?name=MDP0000260819","MDP0000260819")</f>
        <v>MDP0000260819</v>
      </c>
      <c r="D4">
        <v>66.88</v>
      </c>
      <c r="E4">
        <v>610</v>
      </c>
      <c r="F4">
        <v>202</v>
      </c>
      <c r="G4">
        <v>33</v>
      </c>
      <c r="H4">
        <v>1</v>
      </c>
      <c r="I4">
        <v>589</v>
      </c>
      <c r="J4">
        <v>1</v>
      </c>
      <c r="K4">
        <v>1</v>
      </c>
      <c r="L4">
        <v>598</v>
      </c>
      <c r="M4">
        <v>1</v>
      </c>
      <c r="N4">
        <v>0</v>
      </c>
      <c r="O4">
        <v>1947</v>
      </c>
    </row>
    <row r="5" spans="1:15" x14ac:dyDescent="0.25">
      <c r="A5" t="s">
        <v>18</v>
      </c>
      <c r="B5">
        <v>759</v>
      </c>
      <c r="C5" s="1" t="str">
        <f>HYPERLINK("http://www.rosaceae.org/gb/gbrowse/malus_x_domestica/?name=MDP0000136497","MDP0000136497")</f>
        <v>MDP0000136497</v>
      </c>
      <c r="D5">
        <v>50.87</v>
      </c>
      <c r="E5">
        <v>171</v>
      </c>
      <c r="F5">
        <v>84</v>
      </c>
      <c r="G5">
        <v>3</v>
      </c>
      <c r="H5">
        <v>592</v>
      </c>
      <c r="I5">
        <v>759</v>
      </c>
      <c r="J5">
        <v>1</v>
      </c>
      <c r="K5">
        <v>13</v>
      </c>
      <c r="L5">
        <v>183</v>
      </c>
      <c r="M5">
        <v>1</v>
      </c>
      <c r="N5">
        <v>2.30443E-46</v>
      </c>
      <c r="O5">
        <v>468</v>
      </c>
    </row>
    <row r="6" spans="1:15" x14ac:dyDescent="0.25">
      <c r="A6" t="s">
        <v>19</v>
      </c>
      <c r="B6">
        <v>524</v>
      </c>
      <c r="C6" s="1" t="str">
        <f>HYPERLINK("http://www.rosaceae.org/gb/gbrowse/malus_x_domestica/?name=MDP0000290675","MDP0000290675")</f>
        <v>MDP0000290675</v>
      </c>
      <c r="D6">
        <v>72.69</v>
      </c>
      <c r="E6">
        <v>498</v>
      </c>
      <c r="F6">
        <v>136</v>
      </c>
      <c r="G6">
        <v>34</v>
      </c>
      <c r="H6">
        <v>44</v>
      </c>
      <c r="I6">
        <v>523</v>
      </c>
      <c r="J6">
        <v>1</v>
      </c>
      <c r="K6">
        <v>42</v>
      </c>
      <c r="L6">
        <v>523</v>
      </c>
      <c r="M6">
        <v>1</v>
      </c>
      <c r="N6">
        <v>0</v>
      </c>
      <c r="O6">
        <v>1887</v>
      </c>
    </row>
    <row r="7" spans="1:15" x14ac:dyDescent="0.25">
      <c r="A7" t="s">
        <v>20</v>
      </c>
      <c r="B7">
        <v>195</v>
      </c>
      <c r="C7" s="1" t="str">
        <f>HYPERLINK("http://www.rosaceae.org/gb/gbrowse/malus_x_domestica/?name=MDP0000263658","MDP0000263658")</f>
        <v>MDP0000263658</v>
      </c>
      <c r="D7">
        <v>87.56</v>
      </c>
      <c r="E7">
        <v>185</v>
      </c>
      <c r="F7">
        <v>23</v>
      </c>
      <c r="G7">
        <v>0</v>
      </c>
      <c r="H7">
        <v>1</v>
      </c>
      <c r="I7">
        <v>185</v>
      </c>
      <c r="J7">
        <v>1</v>
      </c>
      <c r="K7">
        <v>1</v>
      </c>
      <c r="L7">
        <v>185</v>
      </c>
      <c r="M7">
        <v>1</v>
      </c>
      <c r="N7">
        <v>6.7346800000000004E-94</v>
      </c>
      <c r="O7">
        <v>871</v>
      </c>
    </row>
    <row r="8" spans="1:15" x14ac:dyDescent="0.25">
      <c r="A8" t="s">
        <v>21</v>
      </c>
      <c r="B8">
        <v>148</v>
      </c>
      <c r="C8" s="1" t="str">
        <f>HYPERLINK("http://www.rosaceae.org/gb/gbrowse/malus_x_domestica/?name=MDP0000207901","MDP0000207901")</f>
        <v>MDP0000207901</v>
      </c>
      <c r="D8">
        <v>95.27</v>
      </c>
      <c r="E8">
        <v>148</v>
      </c>
      <c r="F8">
        <v>7</v>
      </c>
      <c r="G8">
        <v>3</v>
      </c>
      <c r="H8">
        <v>1</v>
      </c>
      <c r="I8">
        <v>148</v>
      </c>
      <c r="J8">
        <v>1</v>
      </c>
      <c r="K8">
        <v>60</v>
      </c>
      <c r="L8">
        <v>204</v>
      </c>
      <c r="M8">
        <v>1</v>
      </c>
      <c r="N8">
        <v>5.8992100000000002E-77</v>
      </c>
      <c r="O8">
        <v>723</v>
      </c>
    </row>
    <row r="9" spans="1:15" x14ac:dyDescent="0.25">
      <c r="A9" t="s">
        <v>22</v>
      </c>
      <c r="B9">
        <v>893</v>
      </c>
      <c r="C9" s="1" t="str">
        <f>HYPERLINK("http://www.rosaceae.org/gb/gbrowse/malus_x_domestica/?name=MDP0000845788","MDP0000845788")</f>
        <v>MDP0000845788</v>
      </c>
      <c r="D9">
        <v>81.459999999999994</v>
      </c>
      <c r="E9">
        <v>464</v>
      </c>
      <c r="F9">
        <v>86</v>
      </c>
      <c r="G9">
        <v>40</v>
      </c>
      <c r="H9">
        <v>431</v>
      </c>
      <c r="I9">
        <v>883</v>
      </c>
      <c r="J9">
        <v>1</v>
      </c>
      <c r="K9">
        <v>75</v>
      </c>
      <c r="L9">
        <v>509</v>
      </c>
      <c r="M9">
        <v>1</v>
      </c>
      <c r="N9">
        <v>0</v>
      </c>
      <c r="O9">
        <v>1965</v>
      </c>
    </row>
    <row r="10" spans="1:15" x14ac:dyDescent="0.25">
      <c r="A10" t="s">
        <v>23</v>
      </c>
      <c r="B10">
        <v>295</v>
      </c>
      <c r="C10" s="1" t="str">
        <f>HYPERLINK("http://www.rosaceae.org/gb/gbrowse/malus_x_domestica/?name=MDP0000379910","MDP0000379910")</f>
        <v>MDP0000379910</v>
      </c>
      <c r="D10">
        <v>80.13</v>
      </c>
      <c r="E10">
        <v>292</v>
      </c>
      <c r="F10">
        <v>58</v>
      </c>
      <c r="G10">
        <v>2</v>
      </c>
      <c r="H10">
        <v>6</v>
      </c>
      <c r="I10">
        <v>295</v>
      </c>
      <c r="J10">
        <v>1</v>
      </c>
      <c r="K10">
        <v>52</v>
      </c>
      <c r="L10">
        <v>343</v>
      </c>
      <c r="M10">
        <v>1</v>
      </c>
      <c r="N10">
        <v>2.53707E-141</v>
      </c>
      <c r="O10">
        <v>1283</v>
      </c>
    </row>
    <row r="11" spans="1:15" x14ac:dyDescent="0.25">
      <c r="A11" t="s">
        <v>24</v>
      </c>
      <c r="B11">
        <v>374</v>
      </c>
      <c r="C11" s="1" t="str">
        <f>HYPERLINK("http://www.rosaceae.org/gb/gbrowse/malus_x_domestica/?name=MDP0000285017","MDP0000285017")</f>
        <v>MDP0000285017</v>
      </c>
      <c r="D11">
        <v>72.86</v>
      </c>
      <c r="E11">
        <v>269</v>
      </c>
      <c r="F11">
        <v>73</v>
      </c>
      <c r="G11">
        <v>27</v>
      </c>
      <c r="H11">
        <v>1</v>
      </c>
      <c r="I11">
        <v>245</v>
      </c>
      <c r="J11">
        <v>1</v>
      </c>
      <c r="K11">
        <v>633</v>
      </c>
      <c r="L11">
        <v>898</v>
      </c>
      <c r="M11">
        <v>1</v>
      </c>
      <c r="N11">
        <v>1.2574800000000001E-102</v>
      </c>
      <c r="O11">
        <v>950</v>
      </c>
    </row>
    <row r="12" spans="1:15" x14ac:dyDescent="0.25">
      <c r="A12" t="s">
        <v>25</v>
      </c>
      <c r="B12">
        <v>780</v>
      </c>
      <c r="C12" s="1" t="str">
        <f>HYPERLINK("http://www.rosaceae.org/gb/gbrowse/malus_x_domestica/?name=MDP0000301606","MDP0000301606")</f>
        <v>MDP0000301606</v>
      </c>
      <c r="D12">
        <v>70.27</v>
      </c>
      <c r="E12">
        <v>582</v>
      </c>
      <c r="F12">
        <v>173</v>
      </c>
      <c r="G12">
        <v>29</v>
      </c>
      <c r="H12">
        <v>206</v>
      </c>
      <c r="I12">
        <v>780</v>
      </c>
      <c r="J12">
        <v>1</v>
      </c>
      <c r="K12">
        <v>32</v>
      </c>
      <c r="L12">
        <v>591</v>
      </c>
      <c r="M12">
        <v>1</v>
      </c>
      <c r="N12">
        <v>0</v>
      </c>
      <c r="O12">
        <v>2068</v>
      </c>
    </row>
    <row r="13" spans="1:15" x14ac:dyDescent="0.25">
      <c r="A13" t="s">
        <v>26</v>
      </c>
      <c r="B13">
        <v>437</v>
      </c>
      <c r="C13" s="1" t="str">
        <f>HYPERLINK("http://www.rosaceae.org/gb/gbrowse/malus_x_domestica/?name=MDP0000295261","MDP0000295261")</f>
        <v>MDP0000295261</v>
      </c>
      <c r="D13">
        <v>68.98</v>
      </c>
      <c r="E13">
        <v>432</v>
      </c>
      <c r="F13">
        <v>134</v>
      </c>
      <c r="G13">
        <v>9</v>
      </c>
      <c r="H13">
        <v>1</v>
      </c>
      <c r="I13">
        <v>432</v>
      </c>
      <c r="J13">
        <v>1</v>
      </c>
      <c r="K13">
        <v>1</v>
      </c>
      <c r="L13">
        <v>423</v>
      </c>
      <c r="M13">
        <v>1</v>
      </c>
      <c r="N13">
        <v>1.6696400000000001E-172</v>
      </c>
      <c r="O13">
        <v>1554</v>
      </c>
    </row>
    <row r="14" spans="1:15" x14ac:dyDescent="0.25">
      <c r="A14" t="s">
        <v>27</v>
      </c>
      <c r="B14">
        <v>859</v>
      </c>
      <c r="C14" s="1" t="str">
        <f>HYPERLINK("http://www.rosaceae.org/gb/gbrowse/malus_x_domestica/?name=MDP0000291377","MDP0000291377")</f>
        <v>MDP0000291377</v>
      </c>
      <c r="D14">
        <v>78.040000000000006</v>
      </c>
      <c r="E14">
        <v>296</v>
      </c>
      <c r="F14">
        <v>65</v>
      </c>
      <c r="G14">
        <v>0</v>
      </c>
      <c r="H14">
        <v>1</v>
      </c>
      <c r="I14">
        <v>296</v>
      </c>
      <c r="J14">
        <v>1</v>
      </c>
      <c r="K14">
        <v>259</v>
      </c>
      <c r="L14">
        <v>554</v>
      </c>
      <c r="M14">
        <v>1</v>
      </c>
      <c r="N14">
        <v>1.1196300000000001E-135</v>
      </c>
      <c r="O14">
        <v>1239</v>
      </c>
    </row>
    <row r="15" spans="1:15" x14ac:dyDescent="0.25">
      <c r="A15" t="s">
        <v>28</v>
      </c>
      <c r="B15">
        <v>331</v>
      </c>
      <c r="C15" s="1" t="str">
        <f>HYPERLINK("http://www.rosaceae.org/gb/gbrowse/malus_x_domestica/?name=MDP0000184385","MDP0000184385")</f>
        <v>MDP0000184385</v>
      </c>
      <c r="D15">
        <v>80.319999999999993</v>
      </c>
      <c r="E15">
        <v>305</v>
      </c>
      <c r="F15">
        <v>60</v>
      </c>
      <c r="G15">
        <v>1</v>
      </c>
      <c r="H15">
        <v>28</v>
      </c>
      <c r="I15">
        <v>331</v>
      </c>
      <c r="J15">
        <v>1</v>
      </c>
      <c r="K15">
        <v>10</v>
      </c>
      <c r="L15">
        <v>314</v>
      </c>
      <c r="M15">
        <v>1</v>
      </c>
      <c r="N15">
        <v>1.7799100000000001E-144</v>
      </c>
      <c r="O15">
        <v>1310</v>
      </c>
    </row>
    <row r="16" spans="1:15" x14ac:dyDescent="0.25">
      <c r="A16" t="s">
        <v>29</v>
      </c>
      <c r="B16">
        <v>478</v>
      </c>
      <c r="C16" s="1" t="str">
        <f>HYPERLINK("http://www.rosaceae.org/gb/gbrowse/malus_x_domestica/?name=MDP0000227289","MDP0000227289")</f>
        <v>MDP0000227289</v>
      </c>
      <c r="D16">
        <v>73.64</v>
      </c>
      <c r="E16">
        <v>478</v>
      </c>
      <c r="F16">
        <v>126</v>
      </c>
      <c r="G16">
        <v>12</v>
      </c>
      <c r="H16">
        <v>9</v>
      </c>
      <c r="I16">
        <v>478</v>
      </c>
      <c r="J16">
        <v>1</v>
      </c>
      <c r="K16">
        <v>9</v>
      </c>
      <c r="L16">
        <v>482</v>
      </c>
      <c r="M16">
        <v>1</v>
      </c>
      <c r="N16">
        <v>0</v>
      </c>
      <c r="O16">
        <v>1792</v>
      </c>
    </row>
    <row r="17" spans="1:15" x14ac:dyDescent="0.25">
      <c r="A17" t="s">
        <v>30</v>
      </c>
      <c r="B17">
        <v>96</v>
      </c>
      <c r="C17" s="1" t="str">
        <f>HYPERLINK("http://www.rosaceae.org/gb/gbrowse/malus_x_domestica/?name=MDP0000297985","MDP0000297985")</f>
        <v>MDP0000297985</v>
      </c>
      <c r="D17">
        <v>87.77</v>
      </c>
      <c r="E17">
        <v>90</v>
      </c>
      <c r="F17">
        <v>11</v>
      </c>
      <c r="G17">
        <v>0</v>
      </c>
      <c r="H17">
        <v>7</v>
      </c>
      <c r="I17">
        <v>96</v>
      </c>
      <c r="J17">
        <v>1</v>
      </c>
      <c r="K17">
        <v>86</v>
      </c>
      <c r="L17">
        <v>175</v>
      </c>
      <c r="M17">
        <v>1</v>
      </c>
      <c r="N17">
        <v>2.1367599999999999E-41</v>
      </c>
      <c r="O17">
        <v>414</v>
      </c>
    </row>
    <row r="18" spans="1:15" x14ac:dyDescent="0.25">
      <c r="A18" t="s">
        <v>31</v>
      </c>
      <c r="B18">
        <v>60</v>
      </c>
      <c r="C18" s="1" t="str">
        <f>HYPERLINK("http://www.rosaceae.org/gb/gbrowse/malus_x_domestica/?name=MDP0000557282","MDP0000557282")</f>
        <v>MDP0000557282</v>
      </c>
      <c r="D18">
        <v>61.36</v>
      </c>
      <c r="E18">
        <v>44</v>
      </c>
      <c r="F18">
        <v>17</v>
      </c>
      <c r="G18">
        <v>7</v>
      </c>
      <c r="H18">
        <v>3</v>
      </c>
      <c r="I18">
        <v>39</v>
      </c>
      <c r="J18">
        <v>1</v>
      </c>
      <c r="K18">
        <v>269</v>
      </c>
      <c r="L18">
        <v>312</v>
      </c>
      <c r="M18">
        <v>1</v>
      </c>
      <c r="N18">
        <v>2.2429400000000001E-7</v>
      </c>
      <c r="O18">
        <v>121</v>
      </c>
    </row>
    <row r="19" spans="1:15" x14ac:dyDescent="0.25">
      <c r="A19" t="s">
        <v>32</v>
      </c>
      <c r="B19">
        <v>614</v>
      </c>
      <c r="C19" s="1" t="str">
        <f>HYPERLINK("http://www.rosaceae.org/gb/gbrowse/malus_x_domestica/?name=MDP0000219448","MDP0000219448")</f>
        <v>MDP0000219448</v>
      </c>
      <c r="D19">
        <v>29.16</v>
      </c>
      <c r="E19">
        <v>168</v>
      </c>
      <c r="F19">
        <v>119</v>
      </c>
      <c r="G19">
        <v>15</v>
      </c>
      <c r="H19">
        <v>30</v>
      </c>
      <c r="I19">
        <v>183</v>
      </c>
      <c r="J19">
        <v>1</v>
      </c>
      <c r="K19">
        <v>386</v>
      </c>
      <c r="L19">
        <v>552</v>
      </c>
      <c r="M19">
        <v>1</v>
      </c>
      <c r="N19">
        <v>4.0760999999999997E-8</v>
      </c>
      <c r="O19">
        <v>137</v>
      </c>
    </row>
    <row r="20" spans="1:15" x14ac:dyDescent="0.25">
      <c r="A20" t="s">
        <v>33</v>
      </c>
      <c r="B20">
        <v>430</v>
      </c>
      <c r="C20" s="1" t="str">
        <f>HYPERLINK("http://www.rosaceae.org/gb/gbrowse/malus_x_domestica/?name=MDP0000158246","MDP0000158246")</f>
        <v>MDP0000158246</v>
      </c>
      <c r="D20">
        <v>69.12</v>
      </c>
      <c r="E20">
        <v>217</v>
      </c>
      <c r="F20">
        <v>67</v>
      </c>
      <c r="G20">
        <v>36</v>
      </c>
      <c r="H20">
        <v>73</v>
      </c>
      <c r="I20">
        <v>288</v>
      </c>
      <c r="J20">
        <v>1</v>
      </c>
      <c r="K20">
        <v>65</v>
      </c>
      <c r="L20">
        <v>246</v>
      </c>
      <c r="M20">
        <v>1</v>
      </c>
      <c r="N20">
        <v>3.9642200000000001E-80</v>
      </c>
      <c r="O20">
        <v>757</v>
      </c>
    </row>
    <row r="21" spans="1:15" x14ac:dyDescent="0.25">
      <c r="A21" t="s">
        <v>34</v>
      </c>
      <c r="B21">
        <v>566</v>
      </c>
      <c r="C21" s="1" t="str">
        <f>HYPERLINK("http://www.rosaceae.org/gb/gbrowse/malus_x_domestica/?name=MDP0000241704","MDP0000241704")</f>
        <v>MDP0000241704</v>
      </c>
      <c r="D21">
        <v>33.33</v>
      </c>
      <c r="E21">
        <v>132</v>
      </c>
      <c r="F21">
        <v>88</v>
      </c>
      <c r="G21">
        <v>18</v>
      </c>
      <c r="H21">
        <v>54</v>
      </c>
      <c r="I21">
        <v>167</v>
      </c>
      <c r="J21">
        <v>1</v>
      </c>
      <c r="K21">
        <v>381</v>
      </c>
      <c r="L21">
        <v>512</v>
      </c>
      <c r="M21">
        <v>1</v>
      </c>
      <c r="N21">
        <v>2.4060700000000001E-14</v>
      </c>
      <c r="O21">
        <v>191</v>
      </c>
    </row>
    <row r="22" spans="1:15" x14ac:dyDescent="0.25">
      <c r="A22" t="s">
        <v>35</v>
      </c>
      <c r="B22">
        <v>1468</v>
      </c>
      <c r="C22" s="1" t="str">
        <f>HYPERLINK("http://www.rosaceae.org/gb/gbrowse/malus_x_domestica/?name=MDP0000745911","MDP0000745911")</f>
        <v>MDP0000745911</v>
      </c>
      <c r="D22">
        <v>72.94</v>
      </c>
      <c r="E22">
        <v>1194</v>
      </c>
      <c r="F22">
        <v>323</v>
      </c>
      <c r="G22">
        <v>78</v>
      </c>
      <c r="H22">
        <v>306</v>
      </c>
      <c r="I22">
        <v>1464</v>
      </c>
      <c r="J22">
        <v>1</v>
      </c>
      <c r="K22">
        <v>1</v>
      </c>
      <c r="L22">
        <v>1151</v>
      </c>
      <c r="M22">
        <v>1</v>
      </c>
      <c r="N22">
        <v>0</v>
      </c>
      <c r="O22">
        <v>4538</v>
      </c>
    </row>
    <row r="23" spans="1:15" x14ac:dyDescent="0.25">
      <c r="A23" t="s">
        <v>36</v>
      </c>
      <c r="B23">
        <v>605</v>
      </c>
      <c r="C23" s="1" t="str">
        <f>HYPERLINK("http://www.rosaceae.org/gb/gbrowse/malus_x_domestica/?name=MDP0000271304","MDP0000271304")</f>
        <v>MDP0000271304</v>
      </c>
      <c r="D23">
        <v>68.150000000000006</v>
      </c>
      <c r="E23">
        <v>336</v>
      </c>
      <c r="F23">
        <v>107</v>
      </c>
      <c r="G23">
        <v>14</v>
      </c>
      <c r="H23">
        <v>267</v>
      </c>
      <c r="I23">
        <v>588</v>
      </c>
      <c r="J23">
        <v>1</v>
      </c>
      <c r="K23">
        <v>2</v>
      </c>
      <c r="L23">
        <v>337</v>
      </c>
      <c r="M23">
        <v>1</v>
      </c>
      <c r="N23">
        <v>1.6932100000000001E-127</v>
      </c>
      <c r="O23">
        <v>1167</v>
      </c>
    </row>
    <row r="24" spans="1:15" x14ac:dyDescent="0.25">
      <c r="A24" t="s">
        <v>37</v>
      </c>
      <c r="B24">
        <v>453</v>
      </c>
      <c r="C24" s="1" t="str">
        <f>HYPERLINK("http://www.rosaceae.org/gb/gbrowse/malus_x_domestica/?name=MDP0000143130","MDP0000143130")</f>
        <v>MDP0000143130</v>
      </c>
      <c r="D24">
        <v>69.760000000000005</v>
      </c>
      <c r="E24">
        <v>463</v>
      </c>
      <c r="F24">
        <v>140</v>
      </c>
      <c r="G24">
        <v>12</v>
      </c>
      <c r="H24">
        <v>1</v>
      </c>
      <c r="I24">
        <v>451</v>
      </c>
      <c r="J24">
        <v>1</v>
      </c>
      <c r="K24">
        <v>1</v>
      </c>
      <c r="L24">
        <v>463</v>
      </c>
      <c r="M24">
        <v>1</v>
      </c>
      <c r="N24">
        <v>0</v>
      </c>
      <c r="O24">
        <v>1722</v>
      </c>
    </row>
    <row r="25" spans="1:15" x14ac:dyDescent="0.25">
      <c r="A25" t="s">
        <v>38</v>
      </c>
      <c r="B25">
        <v>180</v>
      </c>
      <c r="C25" s="1" t="str">
        <f>HYPERLINK("http://www.rosaceae.org/gb/gbrowse/malus_x_domestica/?name=MDP0000707429","MDP0000707429")</f>
        <v>MDP0000707429</v>
      </c>
      <c r="D25">
        <v>54.76</v>
      </c>
      <c r="E25">
        <v>210</v>
      </c>
      <c r="F25">
        <v>95</v>
      </c>
      <c r="G25">
        <v>45</v>
      </c>
      <c r="H25">
        <v>3</v>
      </c>
      <c r="I25">
        <v>168</v>
      </c>
      <c r="J25">
        <v>1</v>
      </c>
      <c r="K25">
        <v>297</v>
      </c>
      <c r="L25">
        <v>505</v>
      </c>
      <c r="M25">
        <v>1</v>
      </c>
      <c r="N25">
        <v>1.3349900000000001E-57</v>
      </c>
      <c r="O25">
        <v>558</v>
      </c>
    </row>
    <row r="26" spans="1:15" x14ac:dyDescent="0.25">
      <c r="A26" t="s">
        <v>39</v>
      </c>
      <c r="B26">
        <v>151</v>
      </c>
      <c r="C26" s="1" t="str">
        <f>HYPERLINK("http://www.rosaceae.org/gb/gbrowse/malus_x_domestica/?name=MDP0000242033","MDP0000242033")</f>
        <v>MDP0000242033</v>
      </c>
      <c r="D26">
        <v>78.430000000000007</v>
      </c>
      <c r="E26">
        <v>102</v>
      </c>
      <c r="F26">
        <v>22</v>
      </c>
      <c r="G26">
        <v>9</v>
      </c>
      <c r="H26">
        <v>50</v>
      </c>
      <c r="I26">
        <v>151</v>
      </c>
      <c r="J26">
        <v>1</v>
      </c>
      <c r="K26">
        <v>22</v>
      </c>
      <c r="L26">
        <v>114</v>
      </c>
      <c r="M26">
        <v>1</v>
      </c>
      <c r="N26">
        <v>3.3683100000000002E-38</v>
      </c>
      <c r="O26">
        <v>389</v>
      </c>
    </row>
    <row r="27" spans="1:15" x14ac:dyDescent="0.25">
      <c r="A27" t="s">
        <v>40</v>
      </c>
      <c r="B27">
        <v>487</v>
      </c>
      <c r="C27" s="1" t="str">
        <f>HYPERLINK("http://www.rosaceae.org/gb/gbrowse/malus_x_domestica/?name=MDP0000180351","MDP0000180351")</f>
        <v>MDP0000180351</v>
      </c>
      <c r="D27">
        <v>70.92</v>
      </c>
      <c r="E27">
        <v>141</v>
      </c>
      <c r="F27">
        <v>41</v>
      </c>
      <c r="G27">
        <v>7</v>
      </c>
      <c r="H27">
        <v>352</v>
      </c>
      <c r="I27">
        <v>485</v>
      </c>
      <c r="J27">
        <v>1</v>
      </c>
      <c r="K27">
        <v>4</v>
      </c>
      <c r="L27">
        <v>144</v>
      </c>
      <c r="M27">
        <v>1</v>
      </c>
      <c r="N27">
        <v>8.51018E-54</v>
      </c>
      <c r="O27">
        <v>530</v>
      </c>
    </row>
    <row r="28" spans="1:15" x14ac:dyDescent="0.25">
      <c r="A28" t="s">
        <v>41</v>
      </c>
      <c r="B28">
        <v>569</v>
      </c>
      <c r="C28" s="1" t="str">
        <f>HYPERLINK("http://www.rosaceae.org/gb/gbrowse/malus_x_domestica/?name=MDP0000208218","MDP0000208218")</f>
        <v>MDP0000208218</v>
      </c>
      <c r="D28">
        <v>31.97</v>
      </c>
      <c r="E28">
        <v>147</v>
      </c>
      <c r="F28">
        <v>100</v>
      </c>
      <c r="G28">
        <v>37</v>
      </c>
      <c r="H28">
        <v>89</v>
      </c>
      <c r="I28">
        <v>200</v>
      </c>
      <c r="J28">
        <v>1</v>
      </c>
      <c r="K28">
        <v>310</v>
      </c>
      <c r="L28">
        <v>454</v>
      </c>
      <c r="M28">
        <v>1</v>
      </c>
      <c r="N28">
        <v>3.2723000000000001E-12</v>
      </c>
      <c r="O28">
        <v>172</v>
      </c>
    </row>
    <row r="29" spans="1:15" x14ac:dyDescent="0.25">
      <c r="A29" t="s">
        <v>42</v>
      </c>
      <c r="B29">
        <v>678</v>
      </c>
      <c r="C29" s="1" t="str">
        <f>HYPERLINK("http://www.rosaceae.org/gb/gbrowse/malus_x_domestica/?name=MDP0000020509","MDP0000020509")</f>
        <v>MDP0000020509</v>
      </c>
      <c r="D29">
        <v>63.37</v>
      </c>
      <c r="E29">
        <v>699</v>
      </c>
      <c r="F29">
        <v>256</v>
      </c>
      <c r="G29">
        <v>42</v>
      </c>
      <c r="H29">
        <v>1</v>
      </c>
      <c r="I29">
        <v>672</v>
      </c>
      <c r="J29">
        <v>1</v>
      </c>
      <c r="K29">
        <v>1</v>
      </c>
      <c r="L29">
        <v>684</v>
      </c>
      <c r="M29">
        <v>1</v>
      </c>
      <c r="N29">
        <v>0</v>
      </c>
      <c r="O29">
        <v>2092</v>
      </c>
    </row>
    <row r="30" spans="1:15" x14ac:dyDescent="0.25">
      <c r="A30" t="s">
        <v>43</v>
      </c>
      <c r="B30">
        <v>444</v>
      </c>
      <c r="C30" s="1" t="str">
        <f>HYPERLINK("http://www.rosaceae.org/gb/gbrowse/malus_x_domestica/?name=MDP0000125233","MDP0000125233")</f>
        <v>MDP0000125233</v>
      </c>
      <c r="D30">
        <v>78.599999999999994</v>
      </c>
      <c r="E30">
        <v>444</v>
      </c>
      <c r="F30">
        <v>95</v>
      </c>
      <c r="G30">
        <v>13</v>
      </c>
      <c r="H30">
        <v>14</v>
      </c>
      <c r="I30">
        <v>444</v>
      </c>
      <c r="J30">
        <v>1</v>
      </c>
      <c r="K30">
        <v>9</v>
      </c>
      <c r="L30">
        <v>452</v>
      </c>
      <c r="M30">
        <v>1</v>
      </c>
      <c r="N30">
        <v>0</v>
      </c>
      <c r="O30">
        <v>1915</v>
      </c>
    </row>
    <row r="31" spans="1:15" x14ac:dyDescent="0.25">
      <c r="A31" t="s">
        <v>44</v>
      </c>
      <c r="B31">
        <v>195</v>
      </c>
      <c r="C31" s="1" t="str">
        <f>HYPERLINK("http://www.rosaceae.org/gb/gbrowse/malus_x_domestica/?name=MDP0000136726","MDP0000136726")</f>
        <v>MDP0000136726</v>
      </c>
      <c r="D31">
        <v>39.42</v>
      </c>
      <c r="E31">
        <v>175</v>
      </c>
      <c r="F31">
        <v>106</v>
      </c>
      <c r="G31">
        <v>16</v>
      </c>
      <c r="H31">
        <v>5</v>
      </c>
      <c r="I31">
        <v>163</v>
      </c>
      <c r="J31">
        <v>1</v>
      </c>
      <c r="K31">
        <v>945</v>
      </c>
      <c r="L31">
        <v>1119</v>
      </c>
      <c r="M31">
        <v>1</v>
      </c>
      <c r="N31">
        <v>1.88676E-22</v>
      </c>
      <c r="O31">
        <v>255</v>
      </c>
    </row>
    <row r="32" spans="1:15" x14ac:dyDescent="0.25">
      <c r="A32" t="s">
        <v>45</v>
      </c>
      <c r="B32">
        <v>223</v>
      </c>
      <c r="C32" s="1" t="str">
        <f>HYPERLINK("http://www.rosaceae.org/gb/gbrowse/malus_x_domestica/?name=MDP0000180709","MDP0000180709")</f>
        <v>MDP0000180709</v>
      </c>
      <c r="D32">
        <v>64.73</v>
      </c>
      <c r="E32">
        <v>224</v>
      </c>
      <c r="F32">
        <v>79</v>
      </c>
      <c r="G32">
        <v>2</v>
      </c>
      <c r="H32">
        <v>2</v>
      </c>
      <c r="I32">
        <v>223</v>
      </c>
      <c r="J32">
        <v>1</v>
      </c>
      <c r="K32">
        <v>97</v>
      </c>
      <c r="L32">
        <v>320</v>
      </c>
      <c r="M32">
        <v>1</v>
      </c>
      <c r="N32">
        <v>4.0193900000000001E-78</v>
      </c>
      <c r="O32">
        <v>736</v>
      </c>
    </row>
    <row r="33" spans="1:15" x14ac:dyDescent="0.25">
      <c r="A33" t="s">
        <v>46</v>
      </c>
      <c r="B33">
        <v>1024</v>
      </c>
      <c r="C33" s="1" t="str">
        <f>HYPERLINK("http://www.rosaceae.org/gb/gbrowse/malus_x_domestica/?name=MDP0000153584","MDP0000153584")</f>
        <v>MDP0000153584</v>
      </c>
      <c r="D33">
        <v>64.62</v>
      </c>
      <c r="E33">
        <v>899</v>
      </c>
      <c r="F33">
        <v>318</v>
      </c>
      <c r="G33">
        <v>43</v>
      </c>
      <c r="H33">
        <v>131</v>
      </c>
      <c r="I33">
        <v>1024</v>
      </c>
      <c r="J33">
        <v>1</v>
      </c>
      <c r="K33">
        <v>1</v>
      </c>
      <c r="L33">
        <v>861</v>
      </c>
      <c r="M33">
        <v>1</v>
      </c>
      <c r="N33">
        <v>0</v>
      </c>
      <c r="O33">
        <v>2874</v>
      </c>
    </row>
    <row r="34" spans="1:15" x14ac:dyDescent="0.25">
      <c r="A34" t="s">
        <v>47</v>
      </c>
      <c r="B34">
        <v>197</v>
      </c>
      <c r="C34" s="1" t="str">
        <f>HYPERLINK("http://www.rosaceae.org/gb/gbrowse/malus_x_domestica/?name=MDP0000336462","MDP0000336462")</f>
        <v>MDP0000336462</v>
      </c>
      <c r="D34">
        <v>98.78</v>
      </c>
      <c r="E34">
        <v>82</v>
      </c>
      <c r="F34">
        <v>1</v>
      </c>
      <c r="G34">
        <v>0</v>
      </c>
      <c r="H34">
        <v>22</v>
      </c>
      <c r="I34">
        <v>103</v>
      </c>
      <c r="J34">
        <v>1</v>
      </c>
      <c r="K34">
        <v>44</v>
      </c>
      <c r="L34">
        <v>125</v>
      </c>
      <c r="M34">
        <v>1</v>
      </c>
      <c r="N34">
        <v>7.3997800000000003E-41</v>
      </c>
      <c r="O34">
        <v>414</v>
      </c>
    </row>
    <row r="35" spans="1:15" x14ac:dyDescent="0.25">
      <c r="A35" t="s">
        <v>48</v>
      </c>
      <c r="B35">
        <v>643</v>
      </c>
      <c r="C35" s="1" t="str">
        <f>HYPERLINK("http://www.rosaceae.org/gb/gbrowse/malus_x_domestica/?name=MDP0000416522","MDP0000416522")</f>
        <v>MDP0000416522</v>
      </c>
      <c r="D35">
        <v>71.02</v>
      </c>
      <c r="E35">
        <v>642</v>
      </c>
      <c r="F35">
        <v>186</v>
      </c>
      <c r="G35">
        <v>32</v>
      </c>
      <c r="H35">
        <v>32</v>
      </c>
      <c r="I35">
        <v>642</v>
      </c>
      <c r="J35">
        <v>1</v>
      </c>
      <c r="K35">
        <v>47</v>
      </c>
      <c r="L35">
        <v>687</v>
      </c>
      <c r="M35">
        <v>1</v>
      </c>
      <c r="N35">
        <v>0</v>
      </c>
      <c r="O35">
        <v>2359</v>
      </c>
    </row>
    <row r="36" spans="1:15" x14ac:dyDescent="0.25">
      <c r="A36" t="s">
        <v>49</v>
      </c>
      <c r="B36">
        <v>314</v>
      </c>
      <c r="C36" s="1" t="str">
        <f>HYPERLINK("http://www.rosaceae.org/gb/gbrowse/malus_x_domestica/?name=MDP0000185525","MDP0000185525")</f>
        <v>MDP0000185525</v>
      </c>
      <c r="D36">
        <v>78.88</v>
      </c>
      <c r="E36">
        <v>270</v>
      </c>
      <c r="F36">
        <v>57</v>
      </c>
      <c r="G36">
        <v>4</v>
      </c>
      <c r="H36">
        <v>1</v>
      </c>
      <c r="I36">
        <v>267</v>
      </c>
      <c r="J36">
        <v>1</v>
      </c>
      <c r="K36">
        <v>1</v>
      </c>
      <c r="L36">
        <v>269</v>
      </c>
      <c r="M36">
        <v>1</v>
      </c>
      <c r="N36">
        <v>3.8241599999999998E-116</v>
      </c>
      <c r="O36">
        <v>1066</v>
      </c>
    </row>
    <row r="37" spans="1:15" x14ac:dyDescent="0.25">
      <c r="A37" t="s">
        <v>50</v>
      </c>
      <c r="B37">
        <v>371</v>
      </c>
      <c r="C37" s="1" t="str">
        <f>HYPERLINK("http://www.rosaceae.org/gb/gbrowse/malus_x_domestica/?name=MDP0000436890","MDP0000436890")</f>
        <v>MDP0000436890</v>
      </c>
      <c r="D37">
        <v>72.44</v>
      </c>
      <c r="E37">
        <v>323</v>
      </c>
      <c r="F37">
        <v>89</v>
      </c>
      <c r="G37">
        <v>3</v>
      </c>
      <c r="H37">
        <v>1</v>
      </c>
      <c r="I37">
        <v>322</v>
      </c>
      <c r="J37">
        <v>1</v>
      </c>
      <c r="K37">
        <v>77</v>
      </c>
      <c r="L37">
        <v>397</v>
      </c>
      <c r="M37">
        <v>1</v>
      </c>
      <c r="N37">
        <v>1.83615E-139</v>
      </c>
      <c r="O37">
        <v>1268</v>
      </c>
    </row>
    <row r="38" spans="1:15" x14ac:dyDescent="0.25">
      <c r="A38" t="s">
        <v>51</v>
      </c>
      <c r="B38">
        <v>623</v>
      </c>
      <c r="C38" s="1" t="str">
        <f>HYPERLINK("http://www.rosaceae.org/gb/gbrowse/malus_x_domestica/?name=MDP0000275415","MDP0000275415")</f>
        <v>MDP0000275415</v>
      </c>
      <c r="D38">
        <v>76.66</v>
      </c>
      <c r="E38">
        <v>600</v>
      </c>
      <c r="F38">
        <v>140</v>
      </c>
      <c r="G38">
        <v>24</v>
      </c>
      <c r="H38">
        <v>48</v>
      </c>
      <c r="I38">
        <v>623</v>
      </c>
      <c r="J38">
        <v>1</v>
      </c>
      <c r="K38">
        <v>46</v>
      </c>
      <c r="L38">
        <v>645</v>
      </c>
      <c r="M38">
        <v>1</v>
      </c>
      <c r="N38">
        <v>0</v>
      </c>
      <c r="O38">
        <v>2405</v>
      </c>
    </row>
    <row r="39" spans="1:15" x14ac:dyDescent="0.25">
      <c r="A39" t="s">
        <v>52</v>
      </c>
      <c r="B39">
        <v>443</v>
      </c>
      <c r="C39" s="1" t="str">
        <f>HYPERLINK("http://www.rosaceae.org/gb/gbrowse/malus_x_domestica/?name=MDP0000240315","MDP0000240315")</f>
        <v>MDP0000240315</v>
      </c>
      <c r="D39">
        <v>80.540000000000006</v>
      </c>
      <c r="E39">
        <v>365</v>
      </c>
      <c r="F39">
        <v>71</v>
      </c>
      <c r="G39">
        <v>1</v>
      </c>
      <c r="H39">
        <v>1</v>
      </c>
      <c r="I39">
        <v>364</v>
      </c>
      <c r="J39">
        <v>1</v>
      </c>
      <c r="K39">
        <v>1</v>
      </c>
      <c r="L39">
        <v>365</v>
      </c>
      <c r="M39">
        <v>1</v>
      </c>
      <c r="N39">
        <v>0</v>
      </c>
      <c r="O39">
        <v>1636</v>
      </c>
    </row>
    <row r="40" spans="1:15" x14ac:dyDescent="0.25">
      <c r="A40" t="s">
        <v>53</v>
      </c>
      <c r="B40">
        <v>835</v>
      </c>
      <c r="C40" s="1" t="str">
        <f>HYPERLINK("http://www.rosaceae.org/gb/gbrowse/malus_x_domestica/?name=MDP0000131151","MDP0000131151")</f>
        <v>MDP0000131151</v>
      </c>
      <c r="D40">
        <v>33.619999999999997</v>
      </c>
      <c r="E40">
        <v>455</v>
      </c>
      <c r="F40">
        <v>302</v>
      </c>
      <c r="G40">
        <v>38</v>
      </c>
      <c r="H40">
        <v>1</v>
      </c>
      <c r="I40">
        <v>430</v>
      </c>
      <c r="J40">
        <v>1</v>
      </c>
      <c r="K40">
        <v>1</v>
      </c>
      <c r="L40">
        <v>442</v>
      </c>
      <c r="M40">
        <v>1</v>
      </c>
      <c r="N40">
        <v>3.5381699999999998E-54</v>
      </c>
      <c r="O40">
        <v>536</v>
      </c>
    </row>
    <row r="41" spans="1:15" x14ac:dyDescent="0.25">
      <c r="A41" t="s">
        <v>54</v>
      </c>
      <c r="B41">
        <v>324</v>
      </c>
      <c r="C41" s="1" t="str">
        <f>HYPERLINK("http://www.rosaceae.org/gb/gbrowse/malus_x_domestica/?name=MDP0000229273","MDP0000229273")</f>
        <v>MDP0000229273</v>
      </c>
      <c r="D41">
        <v>35.630000000000003</v>
      </c>
      <c r="E41">
        <v>174</v>
      </c>
      <c r="F41">
        <v>112</v>
      </c>
      <c r="G41">
        <v>30</v>
      </c>
      <c r="H41">
        <v>7</v>
      </c>
      <c r="I41">
        <v>165</v>
      </c>
      <c r="J41">
        <v>1</v>
      </c>
      <c r="K41">
        <v>230</v>
      </c>
      <c r="L41">
        <v>388</v>
      </c>
      <c r="M41">
        <v>1</v>
      </c>
      <c r="N41">
        <v>7.90533E-16</v>
      </c>
      <c r="O41">
        <v>201</v>
      </c>
    </row>
    <row r="42" spans="1:15" x14ac:dyDescent="0.25">
      <c r="A42" t="s">
        <v>55</v>
      </c>
      <c r="B42">
        <v>695</v>
      </c>
      <c r="C42" s="1" t="str">
        <f>HYPERLINK("http://www.rosaceae.org/gb/gbrowse/malus_x_domestica/?name=MDP0000144617","MDP0000144617")</f>
        <v>MDP0000144617</v>
      </c>
      <c r="D42">
        <v>64.19</v>
      </c>
      <c r="E42">
        <v>310</v>
      </c>
      <c r="F42">
        <v>111</v>
      </c>
      <c r="G42">
        <v>32</v>
      </c>
      <c r="H42">
        <v>72</v>
      </c>
      <c r="I42">
        <v>380</v>
      </c>
      <c r="J42">
        <v>1</v>
      </c>
      <c r="K42">
        <v>25</v>
      </c>
      <c r="L42">
        <v>303</v>
      </c>
      <c r="M42">
        <v>1</v>
      </c>
      <c r="N42">
        <v>2.7483799999999999E-106</v>
      </c>
      <c r="O42">
        <v>985</v>
      </c>
    </row>
    <row r="43" spans="1:15" x14ac:dyDescent="0.25">
      <c r="A43" t="s">
        <v>56</v>
      </c>
      <c r="B43">
        <v>260</v>
      </c>
      <c r="C43" s="1" t="str">
        <f>HYPERLINK("http://www.rosaceae.org/gb/gbrowse/malus_x_domestica/?name=MDP0000334210","MDP0000334210")</f>
        <v>MDP0000334210</v>
      </c>
      <c r="D43">
        <v>73.400000000000006</v>
      </c>
      <c r="E43">
        <v>94</v>
      </c>
      <c r="F43">
        <v>25</v>
      </c>
      <c r="G43">
        <v>0</v>
      </c>
      <c r="H43">
        <v>165</v>
      </c>
      <c r="I43">
        <v>258</v>
      </c>
      <c r="J43">
        <v>1</v>
      </c>
      <c r="K43">
        <v>16</v>
      </c>
      <c r="L43">
        <v>109</v>
      </c>
      <c r="M43">
        <v>1</v>
      </c>
      <c r="N43">
        <v>2.82368E-39</v>
      </c>
      <c r="O43">
        <v>402</v>
      </c>
    </row>
    <row r="44" spans="1:15" x14ac:dyDescent="0.25">
      <c r="A44" t="s">
        <v>57</v>
      </c>
      <c r="B44">
        <v>407</v>
      </c>
      <c r="C44" s="1" t="str">
        <f>HYPERLINK("http://www.rosaceae.org/gb/gbrowse/malus_x_domestica/?name=MDP0000236430","MDP0000236430")</f>
        <v>MDP0000236430</v>
      </c>
      <c r="D44">
        <v>81.42</v>
      </c>
      <c r="E44">
        <v>210</v>
      </c>
      <c r="F44">
        <v>39</v>
      </c>
      <c r="G44">
        <v>4</v>
      </c>
      <c r="H44">
        <v>7</v>
      </c>
      <c r="I44">
        <v>216</v>
      </c>
      <c r="J44">
        <v>1</v>
      </c>
      <c r="K44">
        <v>343</v>
      </c>
      <c r="L44">
        <v>548</v>
      </c>
      <c r="M44">
        <v>1</v>
      </c>
      <c r="N44">
        <v>2.6467699999999999E-97</v>
      </c>
      <c r="O44">
        <v>905</v>
      </c>
    </row>
    <row r="45" spans="1:15" x14ac:dyDescent="0.25">
      <c r="A45" t="s">
        <v>58</v>
      </c>
      <c r="B45">
        <v>677</v>
      </c>
      <c r="C45" s="1" t="str">
        <f>HYPERLINK("http://www.rosaceae.org/gb/gbrowse/malus_x_domestica/?name=MDP0000287433","MDP0000287433")</f>
        <v>MDP0000287433</v>
      </c>
      <c r="D45">
        <v>61.4</v>
      </c>
      <c r="E45">
        <v>412</v>
      </c>
      <c r="F45">
        <v>159</v>
      </c>
      <c r="G45">
        <v>3</v>
      </c>
      <c r="H45">
        <v>1</v>
      </c>
      <c r="I45">
        <v>411</v>
      </c>
      <c r="J45">
        <v>1</v>
      </c>
      <c r="K45">
        <v>1</v>
      </c>
      <c r="L45">
        <v>410</v>
      </c>
      <c r="M45">
        <v>1</v>
      </c>
      <c r="N45">
        <v>9.2154799999999998E-142</v>
      </c>
      <c r="O45">
        <v>1290</v>
      </c>
    </row>
    <row r="46" spans="1:15" x14ac:dyDescent="0.25">
      <c r="A46" t="s">
        <v>59</v>
      </c>
      <c r="B46">
        <v>130</v>
      </c>
      <c r="C46" s="1" t="str">
        <f>HYPERLINK("http://www.rosaceae.org/gb/gbrowse/malus_x_domestica/?name=MDP0000254883","MDP0000254883")</f>
        <v>MDP0000254883</v>
      </c>
      <c r="D46">
        <v>57.36</v>
      </c>
      <c r="E46">
        <v>129</v>
      </c>
      <c r="F46">
        <v>55</v>
      </c>
      <c r="G46">
        <v>4</v>
      </c>
      <c r="H46">
        <v>1</v>
      </c>
      <c r="I46">
        <v>129</v>
      </c>
      <c r="J46">
        <v>1</v>
      </c>
      <c r="K46">
        <v>1</v>
      </c>
      <c r="L46">
        <v>125</v>
      </c>
      <c r="M46">
        <v>1</v>
      </c>
      <c r="N46">
        <v>5.0685599999999998E-33</v>
      </c>
      <c r="O46">
        <v>343</v>
      </c>
    </row>
    <row r="47" spans="1:15" x14ac:dyDescent="0.25">
      <c r="A47" t="s">
        <v>60</v>
      </c>
      <c r="B47">
        <v>489</v>
      </c>
      <c r="C47" s="1" t="str">
        <f>HYPERLINK("http://www.rosaceae.org/gb/gbrowse/malus_x_domestica/?name=MDP0000673553","MDP0000673553")</f>
        <v>MDP0000673553</v>
      </c>
      <c r="D47">
        <v>68.540000000000006</v>
      </c>
      <c r="E47">
        <v>480</v>
      </c>
      <c r="F47">
        <v>151</v>
      </c>
      <c r="G47">
        <v>10</v>
      </c>
      <c r="H47">
        <v>10</v>
      </c>
      <c r="I47">
        <v>488</v>
      </c>
      <c r="J47">
        <v>1</v>
      </c>
      <c r="K47">
        <v>13</v>
      </c>
      <c r="L47">
        <v>483</v>
      </c>
      <c r="M47">
        <v>1</v>
      </c>
      <c r="N47">
        <v>0</v>
      </c>
      <c r="O47">
        <v>1716</v>
      </c>
    </row>
    <row r="48" spans="1:15" x14ac:dyDescent="0.25">
      <c r="A48" t="s">
        <v>61</v>
      </c>
      <c r="B48">
        <v>189</v>
      </c>
      <c r="C48" s="1" t="str">
        <f>HYPERLINK("http://www.rosaceae.org/gb/gbrowse/malus_x_domestica/?name=MDP0000127653","MDP0000127653")</f>
        <v>MDP0000127653</v>
      </c>
      <c r="D48">
        <v>74.72</v>
      </c>
      <c r="E48">
        <v>182</v>
      </c>
      <c r="F48">
        <v>46</v>
      </c>
      <c r="G48">
        <v>2</v>
      </c>
      <c r="H48">
        <v>10</v>
      </c>
      <c r="I48">
        <v>189</v>
      </c>
      <c r="J48">
        <v>1</v>
      </c>
      <c r="K48">
        <v>9</v>
      </c>
      <c r="L48">
        <v>190</v>
      </c>
      <c r="M48">
        <v>1</v>
      </c>
      <c r="N48">
        <v>6.9556099999999997E-79</v>
      </c>
      <c r="O48">
        <v>741</v>
      </c>
    </row>
    <row r="49" spans="1:15" x14ac:dyDescent="0.25">
      <c r="A49" t="s">
        <v>62</v>
      </c>
      <c r="B49">
        <v>509</v>
      </c>
      <c r="C49" s="1" t="str">
        <f>HYPERLINK("http://www.rosaceae.org/gb/gbrowse/malus_x_domestica/?name=MDP0000304784","MDP0000304784")</f>
        <v>MDP0000304784</v>
      </c>
      <c r="D49">
        <v>76.599999999999994</v>
      </c>
      <c r="E49">
        <v>483</v>
      </c>
      <c r="F49">
        <v>113</v>
      </c>
      <c r="G49">
        <v>1</v>
      </c>
      <c r="H49">
        <v>28</v>
      </c>
      <c r="I49">
        <v>509</v>
      </c>
      <c r="J49">
        <v>1</v>
      </c>
      <c r="K49">
        <v>86</v>
      </c>
      <c r="L49">
        <v>568</v>
      </c>
      <c r="M49">
        <v>1</v>
      </c>
      <c r="N49">
        <v>0</v>
      </c>
      <c r="O49">
        <v>2012</v>
      </c>
    </row>
    <row r="50" spans="1:15" x14ac:dyDescent="0.25">
      <c r="A50" t="s">
        <v>63</v>
      </c>
      <c r="B50">
        <v>340</v>
      </c>
      <c r="C50" s="1" t="str">
        <f>HYPERLINK("http://www.rosaceae.org/gb/gbrowse/malus_x_domestica/?name=MDP0000886138","MDP0000886138")</f>
        <v>MDP0000886138</v>
      </c>
      <c r="D50">
        <v>65.31</v>
      </c>
      <c r="E50">
        <v>297</v>
      </c>
      <c r="F50">
        <v>103</v>
      </c>
      <c r="G50">
        <v>36</v>
      </c>
      <c r="H50">
        <v>42</v>
      </c>
      <c r="I50">
        <v>338</v>
      </c>
      <c r="J50">
        <v>1</v>
      </c>
      <c r="K50">
        <v>1</v>
      </c>
      <c r="L50">
        <v>261</v>
      </c>
      <c r="M50">
        <v>1</v>
      </c>
      <c r="N50">
        <v>5.3458799999999998E-111</v>
      </c>
      <c r="O50">
        <v>1022</v>
      </c>
    </row>
    <row r="51" spans="1:15" x14ac:dyDescent="0.25">
      <c r="A51" t="s">
        <v>64</v>
      </c>
      <c r="B51">
        <v>622</v>
      </c>
      <c r="C51" s="1" t="str">
        <f>HYPERLINK("http://www.rosaceae.org/gb/gbrowse/malus_x_domestica/?name=MDP0000286385","MDP0000286385")</f>
        <v>MDP0000286385</v>
      </c>
      <c r="D51">
        <v>79.02</v>
      </c>
      <c r="E51">
        <v>491</v>
      </c>
      <c r="F51">
        <v>103</v>
      </c>
      <c r="G51">
        <v>29</v>
      </c>
      <c r="H51">
        <v>19</v>
      </c>
      <c r="I51">
        <v>509</v>
      </c>
      <c r="J51">
        <v>1</v>
      </c>
      <c r="K51">
        <v>570</v>
      </c>
      <c r="L51">
        <v>1031</v>
      </c>
      <c r="M51">
        <v>1</v>
      </c>
      <c r="N51">
        <v>0</v>
      </c>
      <c r="O51">
        <v>2075</v>
      </c>
    </row>
    <row r="52" spans="1:15" x14ac:dyDescent="0.25">
      <c r="A52" t="s">
        <v>65</v>
      </c>
      <c r="B52">
        <v>1590</v>
      </c>
      <c r="C52" s="1" t="str">
        <f>HYPERLINK("http://www.rosaceae.org/gb/gbrowse/malus_x_domestica/?name=MDP0000211874","MDP0000211874")</f>
        <v>MDP0000211874</v>
      </c>
      <c r="D52">
        <v>54.88</v>
      </c>
      <c r="E52">
        <v>133</v>
      </c>
      <c r="F52">
        <v>60</v>
      </c>
      <c r="G52">
        <v>0</v>
      </c>
      <c r="H52">
        <v>938</v>
      </c>
      <c r="I52">
        <v>1070</v>
      </c>
      <c r="J52">
        <v>1</v>
      </c>
      <c r="K52">
        <v>534</v>
      </c>
      <c r="L52">
        <v>666</v>
      </c>
      <c r="M52">
        <v>1</v>
      </c>
      <c r="N52">
        <v>6.2224700000000002E-34</v>
      </c>
      <c r="O52">
        <v>364</v>
      </c>
    </row>
    <row r="53" spans="1:15" x14ac:dyDescent="0.25">
      <c r="A53" t="s">
        <v>66</v>
      </c>
      <c r="B53">
        <v>636</v>
      </c>
      <c r="C53" s="1" t="str">
        <f>HYPERLINK("http://www.rosaceae.org/gb/gbrowse/malus_x_domestica/?name=MDP0000190369","MDP0000190369")</f>
        <v>MDP0000190369</v>
      </c>
      <c r="D53">
        <v>66.78</v>
      </c>
      <c r="E53">
        <v>280</v>
      </c>
      <c r="F53">
        <v>93</v>
      </c>
      <c r="G53">
        <v>48</v>
      </c>
      <c r="H53">
        <v>1</v>
      </c>
      <c r="I53">
        <v>233</v>
      </c>
      <c r="J53">
        <v>1</v>
      </c>
      <c r="K53">
        <v>95</v>
      </c>
      <c r="L53">
        <v>373</v>
      </c>
      <c r="M53">
        <v>1</v>
      </c>
      <c r="N53">
        <v>8.8045599999999994E-98</v>
      </c>
      <c r="O53">
        <v>911</v>
      </c>
    </row>
    <row r="54" spans="1:15" x14ac:dyDescent="0.25">
      <c r="A54" t="s">
        <v>67</v>
      </c>
      <c r="B54">
        <v>178</v>
      </c>
      <c r="C54" s="1" t="str">
        <f>HYPERLINK("http://www.rosaceae.org/gb/gbrowse/malus_x_domestica/?name=MDP0000316656","MDP0000316656")</f>
        <v>MDP0000316656</v>
      </c>
      <c r="D54">
        <v>92.4</v>
      </c>
      <c r="E54">
        <v>158</v>
      </c>
      <c r="F54">
        <v>12</v>
      </c>
      <c r="G54">
        <v>0</v>
      </c>
      <c r="H54">
        <v>21</v>
      </c>
      <c r="I54">
        <v>178</v>
      </c>
      <c r="J54">
        <v>1</v>
      </c>
      <c r="K54">
        <v>20</v>
      </c>
      <c r="L54">
        <v>177</v>
      </c>
      <c r="M54">
        <v>1</v>
      </c>
      <c r="N54">
        <v>5.2481300000000002E-86</v>
      </c>
      <c r="O54">
        <v>802</v>
      </c>
    </row>
    <row r="55" spans="1:15" x14ac:dyDescent="0.25">
      <c r="A55" t="s">
        <v>68</v>
      </c>
      <c r="B55">
        <v>244</v>
      </c>
      <c r="C55" s="1" t="str">
        <f>HYPERLINK("http://www.rosaceae.org/gb/gbrowse/malus_x_domestica/?name=MDP0000660229","MDP0000660229")</f>
        <v>MDP0000660229</v>
      </c>
      <c r="D55">
        <v>30.7</v>
      </c>
      <c r="E55">
        <v>241</v>
      </c>
      <c r="F55">
        <v>167</v>
      </c>
      <c r="G55">
        <v>63</v>
      </c>
      <c r="H55">
        <v>17</v>
      </c>
      <c r="I55">
        <v>244</v>
      </c>
      <c r="J55">
        <v>1</v>
      </c>
      <c r="K55">
        <v>14</v>
      </c>
      <c r="L55">
        <v>204</v>
      </c>
      <c r="M55">
        <v>1</v>
      </c>
      <c r="N55">
        <v>5.83294E-20</v>
      </c>
      <c r="O55">
        <v>235</v>
      </c>
    </row>
    <row r="56" spans="1:15" x14ac:dyDescent="0.25">
      <c r="A56" t="s">
        <v>69</v>
      </c>
      <c r="B56">
        <v>217</v>
      </c>
      <c r="C56" s="1" t="str">
        <f>HYPERLINK("http://www.rosaceae.org/gb/gbrowse/malus_x_domestica/?name=MDP0000530457","MDP0000530457")</f>
        <v>MDP0000530457</v>
      </c>
      <c r="D56">
        <v>82.79</v>
      </c>
      <c r="E56">
        <v>215</v>
      </c>
      <c r="F56">
        <v>37</v>
      </c>
      <c r="G56">
        <v>0</v>
      </c>
      <c r="H56">
        <v>3</v>
      </c>
      <c r="I56">
        <v>217</v>
      </c>
      <c r="J56">
        <v>1</v>
      </c>
      <c r="K56">
        <v>2</v>
      </c>
      <c r="L56">
        <v>216</v>
      </c>
      <c r="M56">
        <v>1</v>
      </c>
      <c r="N56">
        <v>4.7744299999999999E-102</v>
      </c>
      <c r="O56">
        <v>942</v>
      </c>
    </row>
    <row r="57" spans="1:15" x14ac:dyDescent="0.25">
      <c r="A57" t="s">
        <v>70</v>
      </c>
      <c r="B57">
        <v>1120</v>
      </c>
      <c r="C57" s="1" t="str">
        <f>HYPERLINK("http://www.rosaceae.org/gb/gbrowse/malus_x_domestica/?name=MDP0000313727","MDP0000313727")</f>
        <v>MDP0000313727</v>
      </c>
      <c r="D57">
        <v>66.66</v>
      </c>
      <c r="E57">
        <v>99</v>
      </c>
      <c r="F57">
        <v>33</v>
      </c>
      <c r="G57">
        <v>7</v>
      </c>
      <c r="H57">
        <v>20</v>
      </c>
      <c r="I57">
        <v>111</v>
      </c>
      <c r="J57">
        <v>1</v>
      </c>
      <c r="K57">
        <v>25</v>
      </c>
      <c r="L57">
        <v>123</v>
      </c>
      <c r="M57">
        <v>1</v>
      </c>
      <c r="N57">
        <v>2.7219800000000002E-28</v>
      </c>
      <c r="O57">
        <v>314</v>
      </c>
    </row>
    <row r="58" spans="1:15" x14ac:dyDescent="0.25">
      <c r="A58" t="s">
        <v>71</v>
      </c>
      <c r="B58">
        <v>562</v>
      </c>
      <c r="C58" s="1" t="str">
        <f>HYPERLINK("http://www.rosaceae.org/gb/gbrowse/malus_x_domestica/?name=MDP0000206055","MDP0000206055")</f>
        <v>MDP0000206055</v>
      </c>
      <c r="D58">
        <v>80.7</v>
      </c>
      <c r="E58">
        <v>570</v>
      </c>
      <c r="F58">
        <v>110</v>
      </c>
      <c r="G58">
        <v>9</v>
      </c>
      <c r="H58">
        <v>1</v>
      </c>
      <c r="I58">
        <v>562</v>
      </c>
      <c r="J58">
        <v>1</v>
      </c>
      <c r="K58">
        <v>1</v>
      </c>
      <c r="L58">
        <v>569</v>
      </c>
      <c r="M58">
        <v>1</v>
      </c>
      <c r="N58">
        <v>0</v>
      </c>
      <c r="O58">
        <v>2465</v>
      </c>
    </row>
    <row r="59" spans="1:15" x14ac:dyDescent="0.25">
      <c r="A59" t="s">
        <v>72</v>
      </c>
      <c r="B59">
        <v>395</v>
      </c>
      <c r="C59" s="1" t="str">
        <f>HYPERLINK("http://www.rosaceae.org/gb/gbrowse/malus_x_domestica/?name=MDP0000298353","MDP0000298353")</f>
        <v>MDP0000298353</v>
      </c>
      <c r="D59">
        <v>67.56</v>
      </c>
      <c r="E59">
        <v>259</v>
      </c>
      <c r="F59">
        <v>84</v>
      </c>
      <c r="G59">
        <v>40</v>
      </c>
      <c r="H59">
        <v>1</v>
      </c>
      <c r="I59">
        <v>219</v>
      </c>
      <c r="J59">
        <v>1</v>
      </c>
      <c r="K59">
        <v>1</v>
      </c>
      <c r="L59">
        <v>259</v>
      </c>
      <c r="M59">
        <v>1</v>
      </c>
      <c r="N59">
        <v>1.11316E-95</v>
      </c>
      <c r="O59">
        <v>890</v>
      </c>
    </row>
    <row r="60" spans="1:15" x14ac:dyDescent="0.25">
      <c r="A60" t="s">
        <v>73</v>
      </c>
      <c r="B60">
        <v>147</v>
      </c>
      <c r="C60" s="1" t="str">
        <f>HYPERLINK("http://www.rosaceae.org/gb/gbrowse/malus_x_domestica/?name=MDP0000232977","MDP0000232977")</f>
        <v>MDP0000232977</v>
      </c>
      <c r="D60">
        <v>54.47</v>
      </c>
      <c r="E60">
        <v>123</v>
      </c>
      <c r="F60">
        <v>56</v>
      </c>
      <c r="G60">
        <v>10</v>
      </c>
      <c r="H60">
        <v>16</v>
      </c>
      <c r="I60">
        <v>128</v>
      </c>
      <c r="J60">
        <v>1</v>
      </c>
      <c r="K60">
        <v>13</v>
      </c>
      <c r="L60">
        <v>135</v>
      </c>
      <c r="M60">
        <v>1</v>
      </c>
      <c r="N60">
        <v>2.63542E-29</v>
      </c>
      <c r="O60">
        <v>312</v>
      </c>
    </row>
    <row r="61" spans="1:15" x14ac:dyDescent="0.25">
      <c r="A61" t="s">
        <v>74</v>
      </c>
      <c r="B61">
        <v>371</v>
      </c>
      <c r="C61" s="1" t="str">
        <f>HYPERLINK("http://www.rosaceae.org/gb/gbrowse/malus_x_domestica/?name=MDP0000165902","MDP0000165902")</f>
        <v>MDP0000165902</v>
      </c>
      <c r="D61">
        <v>73.58</v>
      </c>
      <c r="E61">
        <v>371</v>
      </c>
      <c r="F61">
        <v>98</v>
      </c>
      <c r="G61">
        <v>12</v>
      </c>
      <c r="H61">
        <v>2</v>
      </c>
      <c r="I61">
        <v>368</v>
      </c>
      <c r="J61">
        <v>1</v>
      </c>
      <c r="K61">
        <v>1</v>
      </c>
      <c r="L61">
        <v>363</v>
      </c>
      <c r="M61">
        <v>1</v>
      </c>
      <c r="N61">
        <v>5.7273700000000003E-158</v>
      </c>
      <c r="O61">
        <v>1427</v>
      </c>
    </row>
    <row r="62" spans="1:15" x14ac:dyDescent="0.25">
      <c r="A62" t="s">
        <v>75</v>
      </c>
      <c r="B62">
        <v>252</v>
      </c>
      <c r="C62" s="1" t="str">
        <f>HYPERLINK("http://www.rosaceae.org/gb/gbrowse/malus_x_domestica/?name=MDP0000128794","MDP0000128794")</f>
        <v>MDP0000128794</v>
      </c>
      <c r="D62">
        <v>39.409999999999997</v>
      </c>
      <c r="E62">
        <v>241</v>
      </c>
      <c r="F62">
        <v>146</v>
      </c>
      <c r="G62">
        <v>18</v>
      </c>
      <c r="H62">
        <v>1</v>
      </c>
      <c r="I62">
        <v>231</v>
      </c>
      <c r="J62">
        <v>1</v>
      </c>
      <c r="K62">
        <v>1</v>
      </c>
      <c r="L62">
        <v>233</v>
      </c>
      <c r="M62">
        <v>1</v>
      </c>
      <c r="N62">
        <v>1.16827E-27</v>
      </c>
      <c r="O62">
        <v>302</v>
      </c>
    </row>
    <row r="63" spans="1:15" x14ac:dyDescent="0.25">
      <c r="A63" t="s">
        <v>76</v>
      </c>
      <c r="B63">
        <v>135</v>
      </c>
      <c r="C63" s="1" t="str">
        <f>HYPERLINK("http://www.rosaceae.org/gb/gbrowse/malus_x_domestica/?name=MDP0000264823","MDP0000264823")</f>
        <v>MDP0000264823</v>
      </c>
      <c r="D63">
        <v>44.64</v>
      </c>
      <c r="E63">
        <v>56</v>
      </c>
      <c r="F63">
        <v>31</v>
      </c>
      <c r="G63">
        <v>2</v>
      </c>
      <c r="H63">
        <v>67</v>
      </c>
      <c r="I63">
        <v>122</v>
      </c>
      <c r="J63">
        <v>1</v>
      </c>
      <c r="K63">
        <v>914</v>
      </c>
      <c r="L63">
        <v>967</v>
      </c>
      <c r="M63">
        <v>1</v>
      </c>
      <c r="N63">
        <v>9.8894399999999997E-9</v>
      </c>
      <c r="O63">
        <v>134</v>
      </c>
    </row>
    <row r="64" spans="1:15" x14ac:dyDescent="0.25">
      <c r="A64" t="s">
        <v>77</v>
      </c>
      <c r="B64">
        <v>95</v>
      </c>
      <c r="C64" s="1" t="str">
        <f>HYPERLINK("http://www.rosaceae.org/gb/gbrowse/malus_x_domestica/?name=MDP0000653934","MDP0000653934")</f>
        <v>MDP0000653934</v>
      </c>
      <c r="D64">
        <v>46.15</v>
      </c>
      <c r="E64">
        <v>91</v>
      </c>
      <c r="F64">
        <v>49</v>
      </c>
      <c r="G64">
        <v>3</v>
      </c>
      <c r="H64">
        <v>7</v>
      </c>
      <c r="I64">
        <v>94</v>
      </c>
      <c r="J64">
        <v>1</v>
      </c>
      <c r="K64">
        <v>4</v>
      </c>
      <c r="L64">
        <v>94</v>
      </c>
      <c r="M64">
        <v>1</v>
      </c>
      <c r="N64">
        <v>1.3412800000000001E-18</v>
      </c>
      <c r="O64">
        <v>218</v>
      </c>
    </row>
    <row r="65" spans="1:15" x14ac:dyDescent="0.25">
      <c r="A65" t="s">
        <v>78</v>
      </c>
      <c r="B65">
        <v>488</v>
      </c>
      <c r="C65" s="1" t="str">
        <f>HYPERLINK("http://www.rosaceae.org/gb/gbrowse/malus_x_domestica/?name=MDP0000403223","MDP0000403223")</f>
        <v>MDP0000403223</v>
      </c>
      <c r="D65">
        <v>58.88</v>
      </c>
      <c r="E65">
        <v>450</v>
      </c>
      <c r="F65">
        <v>185</v>
      </c>
      <c r="G65">
        <v>21</v>
      </c>
      <c r="H65">
        <v>41</v>
      </c>
      <c r="I65">
        <v>473</v>
      </c>
      <c r="J65">
        <v>1</v>
      </c>
      <c r="K65">
        <v>1</v>
      </c>
      <c r="L65">
        <v>446</v>
      </c>
      <c r="M65">
        <v>1</v>
      </c>
      <c r="N65">
        <v>8.5899599999999993E-146</v>
      </c>
      <c r="O65">
        <v>1324</v>
      </c>
    </row>
    <row r="66" spans="1:15" x14ac:dyDescent="0.25">
      <c r="A66" t="s">
        <v>79</v>
      </c>
      <c r="B66">
        <v>341</v>
      </c>
      <c r="C66" s="1" t="str">
        <f>HYPERLINK("http://www.rosaceae.org/gb/gbrowse/malus_x_domestica/?name=MDP0000497680","MDP0000497680")</f>
        <v>MDP0000497680</v>
      </c>
      <c r="D66">
        <v>40.43</v>
      </c>
      <c r="E66">
        <v>324</v>
      </c>
      <c r="F66">
        <v>193</v>
      </c>
      <c r="G66">
        <v>28</v>
      </c>
      <c r="H66">
        <v>6</v>
      </c>
      <c r="I66">
        <v>319</v>
      </c>
      <c r="J66">
        <v>1</v>
      </c>
      <c r="K66">
        <v>7</v>
      </c>
      <c r="L66">
        <v>312</v>
      </c>
      <c r="M66">
        <v>1</v>
      </c>
      <c r="N66">
        <v>1.68354E-53</v>
      </c>
      <c r="O66">
        <v>526</v>
      </c>
    </row>
    <row r="67" spans="1:15" x14ac:dyDescent="0.25">
      <c r="A67" t="s">
        <v>80</v>
      </c>
      <c r="B67">
        <v>418</v>
      </c>
      <c r="C67" s="1" t="str">
        <f>HYPERLINK("http://www.rosaceae.org/gb/gbrowse/malus_x_domestica/?name=MDP0000268320","MDP0000268320")</f>
        <v>MDP0000268320</v>
      </c>
      <c r="D67">
        <v>50.62</v>
      </c>
      <c r="E67">
        <v>403</v>
      </c>
      <c r="F67">
        <v>199</v>
      </c>
      <c r="G67">
        <v>105</v>
      </c>
      <c r="H67">
        <v>11</v>
      </c>
      <c r="I67">
        <v>350</v>
      </c>
      <c r="J67">
        <v>1</v>
      </c>
      <c r="K67">
        <v>6</v>
      </c>
      <c r="L67">
        <v>366</v>
      </c>
      <c r="M67">
        <v>1</v>
      </c>
      <c r="N67">
        <v>1.2205600000000001E-99</v>
      </c>
      <c r="O67">
        <v>925</v>
      </c>
    </row>
    <row r="68" spans="1:15" x14ac:dyDescent="0.25">
      <c r="A68" t="s">
        <v>81</v>
      </c>
      <c r="B68">
        <v>1169</v>
      </c>
      <c r="C68" s="1" t="str">
        <f>HYPERLINK("http://www.rosaceae.org/gb/gbrowse/malus_x_domestica/?name=MDP0000183140","MDP0000183140")</f>
        <v>MDP0000183140</v>
      </c>
      <c r="D68">
        <v>75.03</v>
      </c>
      <c r="E68">
        <v>661</v>
      </c>
      <c r="F68">
        <v>165</v>
      </c>
      <c r="G68">
        <v>17</v>
      </c>
      <c r="H68">
        <v>1</v>
      </c>
      <c r="I68">
        <v>646</v>
      </c>
      <c r="J68">
        <v>1</v>
      </c>
      <c r="K68">
        <v>1</v>
      </c>
      <c r="L68">
        <v>659</v>
      </c>
      <c r="M68">
        <v>1</v>
      </c>
      <c r="N68">
        <v>0</v>
      </c>
      <c r="O68">
        <v>2623</v>
      </c>
    </row>
    <row r="69" spans="1:15" x14ac:dyDescent="0.25">
      <c r="A69" t="s">
        <v>82</v>
      </c>
      <c r="B69">
        <v>153</v>
      </c>
      <c r="C69" s="1" t="str">
        <f>HYPERLINK("http://www.rosaceae.org/gb/gbrowse/malus_x_domestica/?name=MDP0000270640","MDP0000270640")</f>
        <v>MDP0000270640</v>
      </c>
      <c r="D69">
        <v>85</v>
      </c>
      <c r="E69">
        <v>120</v>
      </c>
      <c r="F69">
        <v>18</v>
      </c>
      <c r="G69">
        <v>0</v>
      </c>
      <c r="H69">
        <v>28</v>
      </c>
      <c r="I69">
        <v>147</v>
      </c>
      <c r="J69">
        <v>1</v>
      </c>
      <c r="K69">
        <v>5</v>
      </c>
      <c r="L69">
        <v>124</v>
      </c>
      <c r="M69">
        <v>1</v>
      </c>
      <c r="N69">
        <v>1.8243199999999999E-56</v>
      </c>
      <c r="O69">
        <v>547</v>
      </c>
    </row>
    <row r="70" spans="1:15" x14ac:dyDescent="0.25">
      <c r="A70" t="s">
        <v>83</v>
      </c>
      <c r="B70">
        <v>596</v>
      </c>
      <c r="C70" s="1" t="str">
        <f>HYPERLINK("http://www.rosaceae.org/gb/gbrowse/malus_x_domestica/?name=MDP0000294963","MDP0000294963")</f>
        <v>MDP0000294963</v>
      </c>
      <c r="D70">
        <v>50.95</v>
      </c>
      <c r="E70">
        <v>314</v>
      </c>
      <c r="F70">
        <v>154</v>
      </c>
      <c r="G70">
        <v>10</v>
      </c>
      <c r="H70">
        <v>33</v>
      </c>
      <c r="I70">
        <v>340</v>
      </c>
      <c r="J70">
        <v>1</v>
      </c>
      <c r="K70">
        <v>37</v>
      </c>
      <c r="L70">
        <v>346</v>
      </c>
      <c r="M70">
        <v>1</v>
      </c>
      <c r="N70">
        <v>5.1064300000000002E-84</v>
      </c>
      <c r="O70">
        <v>792</v>
      </c>
    </row>
    <row r="71" spans="1:15" x14ac:dyDescent="0.25">
      <c r="A71" t="s">
        <v>84</v>
      </c>
      <c r="B71">
        <v>654</v>
      </c>
      <c r="C71" s="1" t="str">
        <f>HYPERLINK("http://www.rosaceae.org/gb/gbrowse/malus_x_domestica/?name=MDP0000233474","MDP0000233474")</f>
        <v>MDP0000233474</v>
      </c>
      <c r="D71">
        <v>70.61</v>
      </c>
      <c r="E71">
        <v>388</v>
      </c>
      <c r="F71">
        <v>114</v>
      </c>
      <c r="G71">
        <v>14</v>
      </c>
      <c r="H71">
        <v>48</v>
      </c>
      <c r="I71">
        <v>431</v>
      </c>
      <c r="J71">
        <v>1</v>
      </c>
      <c r="K71">
        <v>47</v>
      </c>
      <c r="L71">
        <v>424</v>
      </c>
      <c r="M71">
        <v>1</v>
      </c>
      <c r="N71">
        <v>1.3667599999999999E-164</v>
      </c>
      <c r="O71">
        <v>1487</v>
      </c>
    </row>
    <row r="72" spans="1:15" x14ac:dyDescent="0.25">
      <c r="A72" t="s">
        <v>85</v>
      </c>
      <c r="B72">
        <v>379</v>
      </c>
      <c r="C72" s="1" t="str">
        <f>HYPERLINK("http://www.rosaceae.org/gb/gbrowse/malus_x_domestica/?name=MDP0000245102","MDP0000245102")</f>
        <v>MDP0000245102</v>
      </c>
      <c r="D72">
        <v>53.16</v>
      </c>
      <c r="E72">
        <v>158</v>
      </c>
      <c r="F72">
        <v>74</v>
      </c>
      <c r="G72">
        <v>1</v>
      </c>
      <c r="H72">
        <v>75</v>
      </c>
      <c r="I72">
        <v>231</v>
      </c>
      <c r="J72">
        <v>1</v>
      </c>
      <c r="K72">
        <v>949</v>
      </c>
      <c r="L72">
        <v>1106</v>
      </c>
      <c r="M72">
        <v>1</v>
      </c>
      <c r="N72">
        <v>8.0424299999999997E-39</v>
      </c>
      <c r="O72">
        <v>400</v>
      </c>
    </row>
    <row r="73" spans="1:15" x14ac:dyDescent="0.25">
      <c r="A73" t="s">
        <v>86</v>
      </c>
      <c r="B73">
        <v>229</v>
      </c>
      <c r="C73" s="1" t="str">
        <f>HYPERLINK("http://www.rosaceae.org/gb/gbrowse/malus_x_domestica/?name=MDP0000174894","MDP0000174894")</f>
        <v>MDP0000174894</v>
      </c>
      <c r="D73">
        <v>51.42</v>
      </c>
      <c r="E73">
        <v>70</v>
      </c>
      <c r="F73">
        <v>34</v>
      </c>
      <c r="G73">
        <v>2</v>
      </c>
      <c r="H73">
        <v>71</v>
      </c>
      <c r="I73">
        <v>140</v>
      </c>
      <c r="J73">
        <v>1</v>
      </c>
      <c r="K73">
        <v>165</v>
      </c>
      <c r="L73">
        <v>232</v>
      </c>
      <c r="M73">
        <v>1</v>
      </c>
      <c r="N73">
        <v>3.26268E-12</v>
      </c>
      <c r="O73">
        <v>168</v>
      </c>
    </row>
    <row r="74" spans="1:15" x14ac:dyDescent="0.25">
      <c r="A74" t="s">
        <v>87</v>
      </c>
      <c r="B74">
        <v>172</v>
      </c>
      <c r="C74" s="1" t="str">
        <f>HYPERLINK("http://www.rosaceae.org/gb/gbrowse/malus_x_domestica/?name=MDP0000177488","MDP0000177488")</f>
        <v>MDP0000177488</v>
      </c>
      <c r="D74">
        <v>53.37</v>
      </c>
      <c r="E74">
        <v>178</v>
      </c>
      <c r="F74">
        <v>83</v>
      </c>
      <c r="G74">
        <v>17</v>
      </c>
      <c r="H74">
        <v>1</v>
      </c>
      <c r="I74">
        <v>164</v>
      </c>
      <c r="J74">
        <v>1</v>
      </c>
      <c r="K74">
        <v>199</v>
      </c>
      <c r="L74">
        <v>373</v>
      </c>
      <c r="M74">
        <v>1</v>
      </c>
      <c r="N74">
        <v>1.4187300000000001E-45</v>
      </c>
      <c r="O74">
        <v>454</v>
      </c>
    </row>
    <row r="75" spans="1:15" x14ac:dyDescent="0.25">
      <c r="A75" t="s">
        <v>88</v>
      </c>
      <c r="B75">
        <v>229</v>
      </c>
      <c r="C75" s="1" t="str">
        <f>HYPERLINK("http://www.rosaceae.org/gb/gbrowse/malus_x_domestica/?name=MDP0000375867","MDP0000375867")</f>
        <v>MDP0000375867</v>
      </c>
      <c r="D75">
        <v>68.78</v>
      </c>
      <c r="E75">
        <v>205</v>
      </c>
      <c r="F75">
        <v>64</v>
      </c>
      <c r="G75">
        <v>9</v>
      </c>
      <c r="H75">
        <v>28</v>
      </c>
      <c r="I75">
        <v>229</v>
      </c>
      <c r="J75">
        <v>1</v>
      </c>
      <c r="K75">
        <v>31</v>
      </c>
      <c r="L75">
        <v>229</v>
      </c>
      <c r="M75">
        <v>1</v>
      </c>
      <c r="N75">
        <v>5.2928600000000001E-70</v>
      </c>
      <c r="O75">
        <v>666</v>
      </c>
    </row>
    <row r="76" spans="1:15" x14ac:dyDescent="0.25">
      <c r="A76" t="s">
        <v>89</v>
      </c>
      <c r="B76">
        <v>399</v>
      </c>
      <c r="C76" s="1" t="str">
        <f>HYPERLINK("http://www.rosaceae.org/gb/gbrowse/malus_x_domestica/?name=MDP0000230620","MDP0000230620")</f>
        <v>MDP0000230620</v>
      </c>
      <c r="D76">
        <v>70.75</v>
      </c>
      <c r="E76">
        <v>400</v>
      </c>
      <c r="F76">
        <v>117</v>
      </c>
      <c r="G76">
        <v>8</v>
      </c>
      <c r="H76">
        <v>1</v>
      </c>
      <c r="I76">
        <v>395</v>
      </c>
      <c r="J76">
        <v>1</v>
      </c>
      <c r="K76">
        <v>1</v>
      </c>
      <c r="L76">
        <v>397</v>
      </c>
      <c r="M76">
        <v>1</v>
      </c>
      <c r="N76">
        <v>1.10494E-168</v>
      </c>
      <c r="O76">
        <v>1520</v>
      </c>
    </row>
    <row r="77" spans="1:15" x14ac:dyDescent="0.25">
      <c r="A77" t="s">
        <v>90</v>
      </c>
      <c r="B77">
        <v>476</v>
      </c>
      <c r="C77" s="1" t="str">
        <f>HYPERLINK("http://www.rosaceae.org/gb/gbrowse/malus_x_domestica/?name=MDP0000233598","MDP0000233598")</f>
        <v>MDP0000233598</v>
      </c>
      <c r="D77">
        <v>42.7</v>
      </c>
      <c r="E77">
        <v>96</v>
      </c>
      <c r="F77">
        <v>55</v>
      </c>
      <c r="G77">
        <v>0</v>
      </c>
      <c r="H77">
        <v>83</v>
      </c>
      <c r="I77">
        <v>178</v>
      </c>
      <c r="J77">
        <v>1</v>
      </c>
      <c r="K77">
        <v>363</v>
      </c>
      <c r="L77">
        <v>458</v>
      </c>
      <c r="M77">
        <v>1</v>
      </c>
      <c r="N77">
        <v>1.33202E-18</v>
      </c>
      <c r="O77">
        <v>227</v>
      </c>
    </row>
    <row r="78" spans="1:15" x14ac:dyDescent="0.25">
      <c r="A78" t="s">
        <v>91</v>
      </c>
      <c r="B78">
        <v>3843</v>
      </c>
      <c r="C78" s="1" t="str">
        <f>HYPERLINK("http://www.rosaceae.org/gb/gbrowse/malus_x_domestica/?name=MDP0000279409","MDP0000279409")</f>
        <v>MDP0000279409</v>
      </c>
      <c r="D78">
        <v>77.14</v>
      </c>
      <c r="E78">
        <v>3876</v>
      </c>
      <c r="F78">
        <v>886</v>
      </c>
      <c r="G78">
        <v>87</v>
      </c>
      <c r="H78">
        <v>37</v>
      </c>
      <c r="I78">
        <v>3843</v>
      </c>
      <c r="J78">
        <v>1</v>
      </c>
      <c r="K78">
        <v>41</v>
      </c>
      <c r="L78">
        <v>3898</v>
      </c>
      <c r="M78">
        <v>1</v>
      </c>
      <c r="N78">
        <v>0</v>
      </c>
      <c r="O78">
        <v>15547</v>
      </c>
    </row>
    <row r="79" spans="1:15" x14ac:dyDescent="0.25">
      <c r="A79" t="s">
        <v>92</v>
      </c>
      <c r="B79">
        <v>197</v>
      </c>
      <c r="C79" s="1" t="str">
        <f>HYPERLINK("http://www.rosaceae.org/gb/gbrowse/malus_x_domestica/?name=MDP0000503341","MDP0000503341")</f>
        <v>MDP0000503341</v>
      </c>
      <c r="D79">
        <v>57.73</v>
      </c>
      <c r="E79">
        <v>168</v>
      </c>
      <c r="F79">
        <v>71</v>
      </c>
      <c r="G79">
        <v>2</v>
      </c>
      <c r="H79">
        <v>29</v>
      </c>
      <c r="I79">
        <v>196</v>
      </c>
      <c r="J79">
        <v>1</v>
      </c>
      <c r="K79">
        <v>98</v>
      </c>
      <c r="L79">
        <v>263</v>
      </c>
      <c r="M79">
        <v>1</v>
      </c>
      <c r="N79">
        <v>4.3268599999999995E-50</v>
      </c>
      <c r="O79">
        <v>493</v>
      </c>
    </row>
    <row r="80" spans="1:15" x14ac:dyDescent="0.25">
      <c r="A80" t="s">
        <v>93</v>
      </c>
      <c r="B80">
        <v>104</v>
      </c>
      <c r="C80" s="1" t="str">
        <f>HYPERLINK("http://www.rosaceae.org/gb/gbrowse/malus_x_domestica/?name=MDP0000846849","MDP0000846849")</f>
        <v>MDP0000846849</v>
      </c>
      <c r="D80">
        <v>69.84</v>
      </c>
      <c r="E80">
        <v>63</v>
      </c>
      <c r="F80">
        <v>19</v>
      </c>
      <c r="G80">
        <v>2</v>
      </c>
      <c r="H80">
        <v>1</v>
      </c>
      <c r="I80">
        <v>63</v>
      </c>
      <c r="J80">
        <v>1</v>
      </c>
      <c r="K80">
        <v>1</v>
      </c>
      <c r="L80">
        <v>61</v>
      </c>
      <c r="M80">
        <v>1</v>
      </c>
      <c r="N80">
        <v>4.0950000000000002E-18</v>
      </c>
      <c r="O80">
        <v>214</v>
      </c>
    </row>
    <row r="81" spans="1:15" x14ac:dyDescent="0.25">
      <c r="A81" t="s">
        <v>94</v>
      </c>
      <c r="B81">
        <v>107</v>
      </c>
      <c r="C81" s="1" t="str">
        <f>HYPERLINK("http://www.rosaceae.org/gb/gbrowse/malus_x_domestica/?name=MDP0000785092","MDP0000785092")</f>
        <v>MDP0000785092</v>
      </c>
      <c r="D81">
        <v>92.75</v>
      </c>
      <c r="E81">
        <v>69</v>
      </c>
      <c r="F81">
        <v>5</v>
      </c>
      <c r="G81">
        <v>0</v>
      </c>
      <c r="H81">
        <v>1</v>
      </c>
      <c r="I81">
        <v>69</v>
      </c>
      <c r="J81">
        <v>1</v>
      </c>
      <c r="K81">
        <v>23</v>
      </c>
      <c r="L81">
        <v>91</v>
      </c>
      <c r="M81">
        <v>1</v>
      </c>
      <c r="N81">
        <v>4.4988200000000002E-33</v>
      </c>
      <c r="O81">
        <v>343</v>
      </c>
    </row>
    <row r="82" spans="1:15" x14ac:dyDescent="0.25">
      <c r="A82" t="s">
        <v>95</v>
      </c>
      <c r="B82">
        <v>462</v>
      </c>
      <c r="C82" s="1" t="str">
        <f>HYPERLINK("http://www.rosaceae.org/gb/gbrowse/malus_x_domestica/?name=MDP0000150000","MDP0000150000")</f>
        <v>MDP0000150000</v>
      </c>
      <c r="D82">
        <v>29.56</v>
      </c>
      <c r="E82">
        <v>372</v>
      </c>
      <c r="F82">
        <v>262</v>
      </c>
      <c r="G82">
        <v>52</v>
      </c>
      <c r="H82">
        <v>1</v>
      </c>
      <c r="I82">
        <v>351</v>
      </c>
      <c r="J82">
        <v>1</v>
      </c>
      <c r="K82">
        <v>1</v>
      </c>
      <c r="L82">
        <v>341</v>
      </c>
      <c r="M82">
        <v>1</v>
      </c>
      <c r="N82">
        <v>1.53346E-32</v>
      </c>
      <c r="O82">
        <v>347</v>
      </c>
    </row>
    <row r="83" spans="1:15" x14ac:dyDescent="0.25">
      <c r="A83" t="s">
        <v>96</v>
      </c>
      <c r="B83">
        <v>127</v>
      </c>
      <c r="C83" s="1" t="str">
        <f>HYPERLINK("http://www.rosaceae.org/gb/gbrowse/malus_x_domestica/?name=MDP0000184929","MDP0000184929")</f>
        <v>MDP0000184929</v>
      </c>
      <c r="D83">
        <v>51.38</v>
      </c>
      <c r="E83">
        <v>72</v>
      </c>
      <c r="F83">
        <v>35</v>
      </c>
      <c r="G83">
        <v>2</v>
      </c>
      <c r="H83">
        <v>1</v>
      </c>
      <c r="I83">
        <v>72</v>
      </c>
      <c r="J83">
        <v>1</v>
      </c>
      <c r="K83">
        <v>1</v>
      </c>
      <c r="L83">
        <v>70</v>
      </c>
      <c r="M83">
        <v>1</v>
      </c>
      <c r="N83">
        <v>1.60441E-12</v>
      </c>
      <c r="O83">
        <v>166</v>
      </c>
    </row>
    <row r="84" spans="1:15" x14ac:dyDescent="0.25">
      <c r="A84" t="s">
        <v>97</v>
      </c>
      <c r="B84">
        <v>118</v>
      </c>
      <c r="C84" s="1" t="str">
        <f>HYPERLINK("http://www.rosaceae.org/gb/gbrowse/malus_x_domestica/?name=MDP0000582139","MDP0000582139")</f>
        <v>MDP0000582139</v>
      </c>
      <c r="D84">
        <v>57.54</v>
      </c>
      <c r="E84">
        <v>106</v>
      </c>
      <c r="F84">
        <v>45</v>
      </c>
      <c r="G84">
        <v>0</v>
      </c>
      <c r="H84">
        <v>5</v>
      </c>
      <c r="I84">
        <v>110</v>
      </c>
      <c r="J84">
        <v>1</v>
      </c>
      <c r="K84">
        <v>211</v>
      </c>
      <c r="L84">
        <v>316</v>
      </c>
      <c r="M84">
        <v>1</v>
      </c>
      <c r="N84">
        <v>1.5827300000000001E-30</v>
      </c>
      <c r="O84">
        <v>321</v>
      </c>
    </row>
    <row r="85" spans="1:15" x14ac:dyDescent="0.25">
      <c r="A85" t="s">
        <v>98</v>
      </c>
      <c r="B85">
        <v>439</v>
      </c>
      <c r="C85" s="1" t="str">
        <f>HYPERLINK("http://www.rosaceae.org/gb/gbrowse/malus_x_domestica/?name=MDP0000631883","MDP0000631883")</f>
        <v>MDP0000631883</v>
      </c>
      <c r="D85">
        <v>55.95</v>
      </c>
      <c r="E85">
        <v>336</v>
      </c>
      <c r="F85">
        <v>148</v>
      </c>
      <c r="G85">
        <v>20</v>
      </c>
      <c r="H85">
        <v>9</v>
      </c>
      <c r="I85">
        <v>326</v>
      </c>
      <c r="J85">
        <v>1</v>
      </c>
      <c r="K85">
        <v>16</v>
      </c>
      <c r="L85">
        <v>349</v>
      </c>
      <c r="M85">
        <v>1</v>
      </c>
      <c r="N85">
        <v>1.18572E-107</v>
      </c>
      <c r="O85">
        <v>994</v>
      </c>
    </row>
    <row r="86" spans="1:15" x14ac:dyDescent="0.25">
      <c r="A86" t="s">
        <v>99</v>
      </c>
      <c r="B86">
        <v>111</v>
      </c>
      <c r="C86" s="1" t="str">
        <f>HYPERLINK("http://www.rosaceae.org/gb/gbrowse/malus_x_domestica/?name=MDP0000146990","MDP0000146990")</f>
        <v>MDP0000146990</v>
      </c>
      <c r="D86">
        <v>84.78</v>
      </c>
      <c r="E86">
        <v>92</v>
      </c>
      <c r="F86">
        <v>14</v>
      </c>
      <c r="G86">
        <v>0</v>
      </c>
      <c r="H86">
        <v>5</v>
      </c>
      <c r="I86">
        <v>96</v>
      </c>
      <c r="J86">
        <v>1</v>
      </c>
      <c r="K86">
        <v>11</v>
      </c>
      <c r="L86">
        <v>102</v>
      </c>
      <c r="M86">
        <v>1</v>
      </c>
      <c r="N86">
        <v>2.0759499999999999E-41</v>
      </c>
      <c r="O86">
        <v>415</v>
      </c>
    </row>
    <row r="87" spans="1:15" x14ac:dyDescent="0.25">
      <c r="A87" t="s">
        <v>100</v>
      </c>
      <c r="B87">
        <v>944</v>
      </c>
      <c r="C87" s="1" t="str">
        <f>HYPERLINK("http://www.rosaceae.org/gb/gbrowse/malus_x_domestica/?name=MDP0000283465","MDP0000283465")</f>
        <v>MDP0000283465</v>
      </c>
      <c r="D87">
        <v>79.599999999999994</v>
      </c>
      <c r="E87">
        <v>402</v>
      </c>
      <c r="F87">
        <v>82</v>
      </c>
      <c r="G87">
        <v>5</v>
      </c>
      <c r="H87">
        <v>326</v>
      </c>
      <c r="I87">
        <v>726</v>
      </c>
      <c r="J87">
        <v>1</v>
      </c>
      <c r="K87">
        <v>263</v>
      </c>
      <c r="L87">
        <v>660</v>
      </c>
      <c r="M87">
        <v>1</v>
      </c>
      <c r="N87">
        <v>0</v>
      </c>
      <c r="O87">
        <v>1689</v>
      </c>
    </row>
    <row r="88" spans="1:15" x14ac:dyDescent="0.25">
      <c r="A88" t="s">
        <v>101</v>
      </c>
      <c r="B88">
        <v>228</v>
      </c>
      <c r="C88" s="1" t="str">
        <f>HYPERLINK("http://www.rosaceae.org/gb/gbrowse/malus_x_domestica/?name=MDP0000290674","MDP0000290674")</f>
        <v>MDP0000290674</v>
      </c>
      <c r="D88">
        <v>72.72</v>
      </c>
      <c r="E88">
        <v>165</v>
      </c>
      <c r="F88">
        <v>45</v>
      </c>
      <c r="G88">
        <v>6</v>
      </c>
      <c r="H88">
        <v>68</v>
      </c>
      <c r="I88">
        <v>226</v>
      </c>
      <c r="J88">
        <v>1</v>
      </c>
      <c r="K88">
        <v>148</v>
      </c>
      <c r="L88">
        <v>312</v>
      </c>
      <c r="M88">
        <v>1</v>
      </c>
      <c r="N88">
        <v>2.34192E-64</v>
      </c>
      <c r="O88">
        <v>617</v>
      </c>
    </row>
    <row r="89" spans="1:15" x14ac:dyDescent="0.25">
      <c r="A89" t="s">
        <v>102</v>
      </c>
      <c r="B89">
        <v>1220</v>
      </c>
      <c r="C89" s="1" t="str">
        <f>HYPERLINK("http://www.rosaceae.org/gb/gbrowse/malus_x_domestica/?name=MDP0000149391","MDP0000149391")</f>
        <v>MDP0000149391</v>
      </c>
      <c r="D89">
        <v>66.290000000000006</v>
      </c>
      <c r="E89">
        <v>448</v>
      </c>
      <c r="F89">
        <v>151</v>
      </c>
      <c r="G89">
        <v>46</v>
      </c>
      <c r="H89">
        <v>797</v>
      </c>
      <c r="I89">
        <v>1206</v>
      </c>
      <c r="J89">
        <v>1</v>
      </c>
      <c r="K89">
        <v>753</v>
      </c>
      <c r="L89">
        <v>1192</v>
      </c>
      <c r="M89">
        <v>1</v>
      </c>
      <c r="N89">
        <v>9.0422199999999994E-169</v>
      </c>
      <c r="O89">
        <v>1526</v>
      </c>
    </row>
    <row r="90" spans="1:15" x14ac:dyDescent="0.25">
      <c r="A90" t="s">
        <v>103</v>
      </c>
      <c r="B90">
        <v>645</v>
      </c>
      <c r="C90" s="1" t="str">
        <f>HYPERLINK("http://www.rosaceae.org/gb/gbrowse/malus_x_domestica/?name=MDP0000189891","MDP0000189891")</f>
        <v>MDP0000189891</v>
      </c>
      <c r="D90">
        <v>73.31</v>
      </c>
      <c r="E90">
        <v>622</v>
      </c>
      <c r="F90">
        <v>166</v>
      </c>
      <c r="G90">
        <v>24</v>
      </c>
      <c r="H90">
        <v>3</v>
      </c>
      <c r="I90">
        <v>600</v>
      </c>
      <c r="J90">
        <v>1</v>
      </c>
      <c r="K90">
        <v>21</v>
      </c>
      <c r="L90">
        <v>642</v>
      </c>
      <c r="M90">
        <v>1</v>
      </c>
      <c r="N90">
        <v>0</v>
      </c>
      <c r="O90">
        <v>2332</v>
      </c>
    </row>
    <row r="91" spans="1:15" x14ac:dyDescent="0.25">
      <c r="A91" t="s">
        <v>104</v>
      </c>
      <c r="B91">
        <v>144</v>
      </c>
      <c r="C91" s="1" t="str">
        <f>HYPERLINK("http://www.rosaceae.org/gb/gbrowse/malus_x_domestica/?name=MDP0000145846","MDP0000145846")</f>
        <v>MDP0000145846</v>
      </c>
      <c r="D91">
        <v>33.33</v>
      </c>
      <c r="E91">
        <v>111</v>
      </c>
      <c r="F91">
        <v>74</v>
      </c>
      <c r="G91">
        <v>29</v>
      </c>
      <c r="H91">
        <v>63</v>
      </c>
      <c r="I91">
        <v>144</v>
      </c>
      <c r="J91">
        <v>1</v>
      </c>
      <c r="K91">
        <v>68</v>
      </c>
      <c r="L91">
        <v>178</v>
      </c>
      <c r="M91">
        <v>1</v>
      </c>
      <c r="N91">
        <v>1.645E-9</v>
      </c>
      <c r="O91">
        <v>141</v>
      </c>
    </row>
    <row r="92" spans="1:15" x14ac:dyDescent="0.25">
      <c r="A92" t="s">
        <v>105</v>
      </c>
      <c r="B92">
        <v>355</v>
      </c>
      <c r="C92" s="1" t="str">
        <f>HYPERLINK("http://www.rosaceae.org/gb/gbrowse/malus_x_domestica/?name=MDP0000318093","MDP0000318093")</f>
        <v>MDP0000318093</v>
      </c>
      <c r="D92">
        <v>44.48</v>
      </c>
      <c r="E92">
        <v>281</v>
      </c>
      <c r="F92">
        <v>156</v>
      </c>
      <c r="G92">
        <v>60</v>
      </c>
      <c r="H92">
        <v>84</v>
      </c>
      <c r="I92">
        <v>355</v>
      </c>
      <c r="J92">
        <v>1</v>
      </c>
      <c r="K92">
        <v>59</v>
      </c>
      <c r="L92">
        <v>288</v>
      </c>
      <c r="M92">
        <v>1</v>
      </c>
      <c r="N92">
        <v>4.7508299999999999E-42</v>
      </c>
      <c r="O92">
        <v>427</v>
      </c>
    </row>
    <row r="93" spans="1:15" x14ac:dyDescent="0.25">
      <c r="A93" t="s">
        <v>106</v>
      </c>
      <c r="B93">
        <v>327</v>
      </c>
      <c r="C93" s="1" t="str">
        <f>HYPERLINK("http://www.rosaceae.org/gb/gbrowse/malus_x_domestica/?name=MDP0000206752","MDP0000206752")</f>
        <v>MDP0000206752</v>
      </c>
      <c r="D93">
        <v>61.26</v>
      </c>
      <c r="E93">
        <v>333</v>
      </c>
      <c r="F93">
        <v>129</v>
      </c>
      <c r="G93">
        <v>12</v>
      </c>
      <c r="H93">
        <v>1</v>
      </c>
      <c r="I93">
        <v>327</v>
      </c>
      <c r="J93">
        <v>1</v>
      </c>
      <c r="K93">
        <v>1</v>
      </c>
      <c r="L93">
        <v>327</v>
      </c>
      <c r="M93">
        <v>1</v>
      </c>
      <c r="N93">
        <v>5.8921500000000001E-98</v>
      </c>
      <c r="O93">
        <v>909</v>
      </c>
    </row>
    <row r="94" spans="1:15" x14ac:dyDescent="0.25">
      <c r="A94" t="s">
        <v>107</v>
      </c>
      <c r="B94">
        <v>376</v>
      </c>
      <c r="C94" s="1" t="str">
        <f>HYPERLINK("http://www.rosaceae.org/gb/gbrowse/malus_x_domestica/?name=MDP0000628052","MDP0000628052")</f>
        <v>MDP0000628052</v>
      </c>
      <c r="D94">
        <v>44.68</v>
      </c>
      <c r="E94">
        <v>235</v>
      </c>
      <c r="F94">
        <v>130</v>
      </c>
      <c r="G94">
        <v>39</v>
      </c>
      <c r="H94">
        <v>141</v>
      </c>
      <c r="I94">
        <v>343</v>
      </c>
      <c r="J94">
        <v>1</v>
      </c>
      <c r="K94">
        <v>74</v>
      </c>
      <c r="L94">
        <v>301</v>
      </c>
      <c r="M94">
        <v>1</v>
      </c>
      <c r="N94">
        <v>2.3880600000000001E-45</v>
      </c>
      <c r="O94">
        <v>456</v>
      </c>
    </row>
    <row r="95" spans="1:15" x14ac:dyDescent="0.25">
      <c r="A95" t="s">
        <v>108</v>
      </c>
      <c r="B95">
        <v>302</v>
      </c>
      <c r="C95" s="1" t="str">
        <f>HYPERLINK("http://www.rosaceae.org/gb/gbrowse/malus_x_domestica/?name=MDP0000120308","MDP0000120308")</f>
        <v>MDP0000120308</v>
      </c>
      <c r="D95">
        <v>83.77</v>
      </c>
      <c r="E95">
        <v>302</v>
      </c>
      <c r="F95">
        <v>49</v>
      </c>
      <c r="G95">
        <v>0</v>
      </c>
      <c r="H95">
        <v>1</v>
      </c>
      <c r="I95">
        <v>302</v>
      </c>
      <c r="J95">
        <v>1</v>
      </c>
      <c r="K95">
        <v>1</v>
      </c>
      <c r="L95">
        <v>302</v>
      </c>
      <c r="M95">
        <v>1</v>
      </c>
      <c r="N95">
        <v>3.5723299999999999E-149</v>
      </c>
      <c r="O95">
        <v>1350</v>
      </c>
    </row>
    <row r="96" spans="1:15" x14ac:dyDescent="0.25">
      <c r="A96" t="s">
        <v>109</v>
      </c>
      <c r="B96">
        <v>232</v>
      </c>
      <c r="C96" s="1" t="str">
        <f>HYPERLINK("http://www.rosaceae.org/gb/gbrowse/malus_x_domestica/?name=MDP0000315873","MDP0000315873")</f>
        <v>MDP0000315873</v>
      </c>
      <c r="D96">
        <v>75.209999999999994</v>
      </c>
      <c r="E96">
        <v>117</v>
      </c>
      <c r="F96">
        <v>29</v>
      </c>
      <c r="G96">
        <v>0</v>
      </c>
      <c r="H96">
        <v>1</v>
      </c>
      <c r="I96">
        <v>117</v>
      </c>
      <c r="J96">
        <v>1</v>
      </c>
      <c r="K96">
        <v>1</v>
      </c>
      <c r="L96">
        <v>117</v>
      </c>
      <c r="M96">
        <v>1</v>
      </c>
      <c r="N96">
        <v>1.8280999999999999E-46</v>
      </c>
      <c r="O96">
        <v>463</v>
      </c>
    </row>
    <row r="97" spans="1:15" x14ac:dyDescent="0.25">
      <c r="A97" t="s">
        <v>110</v>
      </c>
      <c r="B97">
        <v>512</v>
      </c>
      <c r="C97" s="1" t="str">
        <f>HYPERLINK("http://www.rosaceae.org/gb/gbrowse/malus_x_domestica/?name=MDP0000282726","MDP0000282726")</f>
        <v>MDP0000282726</v>
      </c>
      <c r="D97">
        <v>72.44</v>
      </c>
      <c r="E97">
        <v>490</v>
      </c>
      <c r="F97">
        <v>135</v>
      </c>
      <c r="G97">
        <v>4</v>
      </c>
      <c r="H97">
        <v>18</v>
      </c>
      <c r="I97">
        <v>504</v>
      </c>
      <c r="J97">
        <v>1</v>
      </c>
      <c r="K97">
        <v>16</v>
      </c>
      <c r="L97">
        <v>504</v>
      </c>
      <c r="M97">
        <v>1</v>
      </c>
      <c r="N97">
        <v>0</v>
      </c>
      <c r="O97">
        <v>1884</v>
      </c>
    </row>
    <row r="98" spans="1:15" x14ac:dyDescent="0.25">
      <c r="A98" t="s">
        <v>111</v>
      </c>
      <c r="B98">
        <v>382</v>
      </c>
      <c r="C98" s="1" t="str">
        <f>HYPERLINK("http://www.rosaceae.org/gb/gbrowse/malus_x_domestica/?name=MDP0000229641","MDP0000229641")</f>
        <v>MDP0000229641</v>
      </c>
      <c r="D98">
        <v>48.6</v>
      </c>
      <c r="E98">
        <v>393</v>
      </c>
      <c r="F98">
        <v>202</v>
      </c>
      <c r="G98">
        <v>63</v>
      </c>
      <c r="H98">
        <v>1</v>
      </c>
      <c r="I98">
        <v>380</v>
      </c>
      <c r="J98">
        <v>1</v>
      </c>
      <c r="K98">
        <v>1</v>
      </c>
      <c r="L98">
        <v>343</v>
      </c>
      <c r="M98">
        <v>1</v>
      </c>
      <c r="N98">
        <v>3.6480899999999997E-98</v>
      </c>
      <c r="O98">
        <v>912</v>
      </c>
    </row>
    <row r="99" spans="1:15" x14ac:dyDescent="0.25">
      <c r="A99" t="s">
        <v>112</v>
      </c>
      <c r="B99">
        <v>111</v>
      </c>
      <c r="C99" s="1" t="str">
        <f>HYPERLINK("http://www.rosaceae.org/gb/gbrowse/malus_x_domestica/?name=MDP0000613175","MDP0000613175")</f>
        <v>MDP0000613175</v>
      </c>
      <c r="D99">
        <v>85.91</v>
      </c>
      <c r="E99">
        <v>71</v>
      </c>
      <c r="F99">
        <v>10</v>
      </c>
      <c r="G99">
        <v>0</v>
      </c>
      <c r="H99">
        <v>41</v>
      </c>
      <c r="I99">
        <v>111</v>
      </c>
      <c r="J99">
        <v>1</v>
      </c>
      <c r="K99">
        <v>150</v>
      </c>
      <c r="L99">
        <v>220</v>
      </c>
      <c r="M99">
        <v>1</v>
      </c>
      <c r="N99">
        <v>5.7106299999999999E-33</v>
      </c>
      <c r="O99">
        <v>342</v>
      </c>
    </row>
    <row r="100" spans="1:15" x14ac:dyDescent="0.25">
      <c r="A100" t="s">
        <v>113</v>
      </c>
      <c r="B100">
        <v>631</v>
      </c>
      <c r="C100" s="1" t="str">
        <f>HYPERLINK("http://www.rosaceae.org/gb/gbrowse/malus_x_domestica/?name=MDP0000278707","MDP0000278707")</f>
        <v>MDP0000278707</v>
      </c>
      <c r="D100">
        <v>69.81</v>
      </c>
      <c r="E100">
        <v>381</v>
      </c>
      <c r="F100">
        <v>115</v>
      </c>
      <c r="G100">
        <v>25</v>
      </c>
      <c r="H100">
        <v>143</v>
      </c>
      <c r="I100">
        <v>503</v>
      </c>
      <c r="J100">
        <v>1</v>
      </c>
      <c r="K100">
        <v>185</v>
      </c>
      <c r="L100">
        <v>560</v>
      </c>
      <c r="M100">
        <v>1</v>
      </c>
      <c r="N100">
        <v>2.6443800000000001E-156</v>
      </c>
      <c r="O100">
        <v>1415</v>
      </c>
    </row>
    <row r="101" spans="1:15" x14ac:dyDescent="0.25">
      <c r="A101" t="s">
        <v>114</v>
      </c>
      <c r="B101">
        <v>1216</v>
      </c>
      <c r="C101" s="1" t="str">
        <f>HYPERLINK("http://www.rosaceae.org/gb/gbrowse/malus_x_domestica/?name=MDP0000686778","MDP0000686778")</f>
        <v>MDP0000686778</v>
      </c>
      <c r="D101">
        <v>46.29</v>
      </c>
      <c r="E101">
        <v>378</v>
      </c>
      <c r="F101">
        <v>203</v>
      </c>
      <c r="G101">
        <v>7</v>
      </c>
      <c r="H101">
        <v>708</v>
      </c>
      <c r="I101">
        <v>1078</v>
      </c>
      <c r="J101">
        <v>1</v>
      </c>
      <c r="K101">
        <v>132</v>
      </c>
      <c r="L101">
        <v>509</v>
      </c>
      <c r="M101">
        <v>1</v>
      </c>
      <c r="N101">
        <v>1.6075800000000001E-99</v>
      </c>
      <c r="O101">
        <v>928</v>
      </c>
    </row>
    <row r="102" spans="1:15" x14ac:dyDescent="0.25">
      <c r="A102" t="s">
        <v>115</v>
      </c>
      <c r="B102">
        <v>866</v>
      </c>
      <c r="C102" s="1" t="str">
        <f>HYPERLINK("http://www.rosaceae.org/gb/gbrowse/malus_x_domestica/?name=MDP0000750392","MDP0000750392")</f>
        <v>MDP0000750392</v>
      </c>
      <c r="D102">
        <v>83.38</v>
      </c>
      <c r="E102">
        <v>674</v>
      </c>
      <c r="F102">
        <v>112</v>
      </c>
      <c r="G102">
        <v>2</v>
      </c>
      <c r="H102">
        <v>170</v>
      </c>
      <c r="I102">
        <v>843</v>
      </c>
      <c r="J102">
        <v>1</v>
      </c>
      <c r="K102">
        <v>142</v>
      </c>
      <c r="L102">
        <v>813</v>
      </c>
      <c r="M102">
        <v>1</v>
      </c>
      <c r="N102">
        <v>0</v>
      </c>
      <c r="O102">
        <v>3023</v>
      </c>
    </row>
    <row r="103" spans="1:15" x14ac:dyDescent="0.25">
      <c r="A103" t="s">
        <v>116</v>
      </c>
      <c r="B103">
        <v>541</v>
      </c>
      <c r="C103" s="1" t="str">
        <f>HYPERLINK("http://www.rosaceae.org/gb/gbrowse/malus_x_domestica/?name=MDP0000602047","MDP0000602047")</f>
        <v>MDP0000602047</v>
      </c>
      <c r="D103">
        <v>35.409999999999997</v>
      </c>
      <c r="E103">
        <v>96</v>
      </c>
      <c r="F103">
        <v>62</v>
      </c>
      <c r="G103">
        <v>3</v>
      </c>
      <c r="H103">
        <v>278</v>
      </c>
      <c r="I103">
        <v>370</v>
      </c>
      <c r="J103">
        <v>1</v>
      </c>
      <c r="K103">
        <v>281</v>
      </c>
      <c r="L103">
        <v>376</v>
      </c>
      <c r="M103">
        <v>1</v>
      </c>
      <c r="N103">
        <v>4.5818799999999997E-8</v>
      </c>
      <c r="O103">
        <v>136</v>
      </c>
    </row>
    <row r="104" spans="1:15" x14ac:dyDescent="0.25">
      <c r="A104" t="s">
        <v>117</v>
      </c>
      <c r="B104">
        <v>633</v>
      </c>
      <c r="C104" s="1" t="str">
        <f>HYPERLINK("http://www.rosaceae.org/gb/gbrowse/malus_x_domestica/?name=MDP0000789055","MDP0000789055")</f>
        <v>MDP0000789055</v>
      </c>
      <c r="D104">
        <v>62.68</v>
      </c>
      <c r="E104">
        <v>670</v>
      </c>
      <c r="F104">
        <v>250</v>
      </c>
      <c r="G104">
        <v>40</v>
      </c>
      <c r="H104">
        <v>1</v>
      </c>
      <c r="I104">
        <v>633</v>
      </c>
      <c r="J104">
        <v>1</v>
      </c>
      <c r="K104">
        <v>1</v>
      </c>
      <c r="L104">
        <v>667</v>
      </c>
      <c r="M104">
        <v>1</v>
      </c>
      <c r="N104">
        <v>0</v>
      </c>
      <c r="O104">
        <v>2007</v>
      </c>
    </row>
    <row r="105" spans="1:15" x14ac:dyDescent="0.25">
      <c r="A105" t="s">
        <v>118</v>
      </c>
      <c r="B105">
        <v>399</v>
      </c>
      <c r="C105" s="1" t="str">
        <f>HYPERLINK("http://www.rosaceae.org/gb/gbrowse/malus_x_domestica/?name=MDP0000731738","MDP0000731738")</f>
        <v>MDP0000731738</v>
      </c>
      <c r="D105">
        <v>72.72</v>
      </c>
      <c r="E105">
        <v>198</v>
      </c>
      <c r="F105">
        <v>54</v>
      </c>
      <c r="G105">
        <v>26</v>
      </c>
      <c r="H105">
        <v>21</v>
      </c>
      <c r="I105">
        <v>193</v>
      </c>
      <c r="J105">
        <v>1</v>
      </c>
      <c r="K105">
        <v>22</v>
      </c>
      <c r="L105">
        <v>218</v>
      </c>
      <c r="M105">
        <v>1</v>
      </c>
      <c r="N105">
        <v>2.4869600000000002E-75</v>
      </c>
      <c r="O105">
        <v>715</v>
      </c>
    </row>
    <row r="106" spans="1:15" x14ac:dyDescent="0.25">
      <c r="A106" t="s">
        <v>119</v>
      </c>
      <c r="B106">
        <v>968</v>
      </c>
      <c r="C106" s="1" t="str">
        <f>HYPERLINK("http://www.rosaceae.org/gb/gbrowse/malus_x_domestica/?name=MDP0000309194","MDP0000309194")</f>
        <v>MDP0000309194</v>
      </c>
      <c r="D106">
        <v>79.510000000000005</v>
      </c>
      <c r="E106">
        <v>1035</v>
      </c>
      <c r="F106">
        <v>212</v>
      </c>
      <c r="G106">
        <v>79</v>
      </c>
      <c r="H106">
        <v>3</v>
      </c>
      <c r="I106">
        <v>968</v>
      </c>
      <c r="J106">
        <v>1</v>
      </c>
      <c r="K106">
        <v>473</v>
      </c>
      <c r="L106">
        <v>1497</v>
      </c>
      <c r="M106">
        <v>1</v>
      </c>
      <c r="N106">
        <v>0</v>
      </c>
      <c r="O106">
        <v>4228</v>
      </c>
    </row>
    <row r="107" spans="1:15" x14ac:dyDescent="0.25">
      <c r="A107" t="s">
        <v>120</v>
      </c>
      <c r="B107">
        <v>236</v>
      </c>
      <c r="C107" s="1" t="str">
        <f>HYPERLINK("http://www.rosaceae.org/gb/gbrowse/malus_x_domestica/?name=MDP0000207754","MDP0000207754")</f>
        <v>MDP0000207754</v>
      </c>
      <c r="D107">
        <v>60.52</v>
      </c>
      <c r="E107">
        <v>114</v>
      </c>
      <c r="F107">
        <v>45</v>
      </c>
      <c r="G107">
        <v>6</v>
      </c>
      <c r="H107">
        <v>52</v>
      </c>
      <c r="I107">
        <v>161</v>
      </c>
      <c r="J107">
        <v>1</v>
      </c>
      <c r="K107">
        <v>51</v>
      </c>
      <c r="L107">
        <v>162</v>
      </c>
      <c r="M107">
        <v>1</v>
      </c>
      <c r="N107">
        <v>4.7433300000000002E-26</v>
      </c>
      <c r="O107">
        <v>287</v>
      </c>
    </row>
    <row r="108" spans="1:15" x14ac:dyDescent="0.25">
      <c r="A108" t="s">
        <v>121</v>
      </c>
      <c r="B108">
        <v>594</v>
      </c>
      <c r="C108" s="1" t="str">
        <f>HYPERLINK("http://www.rosaceae.org/gb/gbrowse/malus_x_domestica/?name=MDP0000547450","MDP0000547450")</f>
        <v>MDP0000547450</v>
      </c>
      <c r="D108">
        <v>82</v>
      </c>
      <c r="E108">
        <v>289</v>
      </c>
      <c r="F108">
        <v>52</v>
      </c>
      <c r="G108">
        <v>4</v>
      </c>
      <c r="H108">
        <v>1</v>
      </c>
      <c r="I108">
        <v>285</v>
      </c>
      <c r="J108">
        <v>1</v>
      </c>
      <c r="K108">
        <v>160</v>
      </c>
      <c r="L108">
        <v>448</v>
      </c>
      <c r="M108">
        <v>1</v>
      </c>
      <c r="N108">
        <v>3.0399599999999999E-132</v>
      </c>
      <c r="O108">
        <v>1208</v>
      </c>
    </row>
    <row r="109" spans="1:15" x14ac:dyDescent="0.25">
      <c r="A109" t="s">
        <v>122</v>
      </c>
      <c r="B109">
        <v>272</v>
      </c>
      <c r="C109" s="1" t="str">
        <f>HYPERLINK("http://www.rosaceae.org/gb/gbrowse/malus_x_domestica/?name=MDP0000317209","MDP0000317209")</f>
        <v>MDP0000317209</v>
      </c>
      <c r="D109">
        <v>46.39</v>
      </c>
      <c r="E109">
        <v>222</v>
      </c>
      <c r="F109">
        <v>119</v>
      </c>
      <c r="G109">
        <v>30</v>
      </c>
      <c r="H109">
        <v>1</v>
      </c>
      <c r="I109">
        <v>216</v>
      </c>
      <c r="J109">
        <v>1</v>
      </c>
      <c r="K109">
        <v>1</v>
      </c>
      <c r="L109">
        <v>198</v>
      </c>
      <c r="M109">
        <v>1</v>
      </c>
      <c r="N109">
        <v>1.4413000000000001E-44</v>
      </c>
      <c r="O109">
        <v>448</v>
      </c>
    </row>
    <row r="110" spans="1:15" x14ac:dyDescent="0.25">
      <c r="A110" t="s">
        <v>123</v>
      </c>
      <c r="B110">
        <v>1569</v>
      </c>
      <c r="C110" s="1" t="str">
        <f>HYPERLINK("http://www.rosaceae.org/gb/gbrowse/malus_x_domestica/?name=MDP0000259734","MDP0000259734")</f>
        <v>MDP0000259734</v>
      </c>
      <c r="D110">
        <v>73.819999999999993</v>
      </c>
      <c r="E110">
        <v>1555</v>
      </c>
      <c r="F110">
        <v>407</v>
      </c>
      <c r="G110">
        <v>31</v>
      </c>
      <c r="H110">
        <v>27</v>
      </c>
      <c r="I110">
        <v>1564</v>
      </c>
      <c r="J110">
        <v>1</v>
      </c>
      <c r="K110">
        <v>27</v>
      </c>
      <c r="L110">
        <v>1567</v>
      </c>
      <c r="M110">
        <v>1</v>
      </c>
      <c r="N110">
        <v>0</v>
      </c>
      <c r="O110">
        <v>5911</v>
      </c>
    </row>
    <row r="111" spans="1:15" x14ac:dyDescent="0.25">
      <c r="A111" t="s">
        <v>124</v>
      </c>
      <c r="B111">
        <v>436</v>
      </c>
      <c r="C111" s="1" t="str">
        <f>HYPERLINK("http://www.rosaceae.org/gb/gbrowse/malus_x_domestica/?name=MDP0000167080","MDP0000167080")</f>
        <v>MDP0000167080</v>
      </c>
      <c r="D111">
        <v>46.53</v>
      </c>
      <c r="E111">
        <v>202</v>
      </c>
      <c r="F111">
        <v>108</v>
      </c>
      <c r="G111">
        <v>21</v>
      </c>
      <c r="H111">
        <v>116</v>
      </c>
      <c r="I111">
        <v>299</v>
      </c>
      <c r="J111">
        <v>1</v>
      </c>
      <c r="K111">
        <v>141</v>
      </c>
      <c r="L111">
        <v>339</v>
      </c>
      <c r="M111">
        <v>1</v>
      </c>
      <c r="N111">
        <v>3.63544E-39</v>
      </c>
      <c r="O111">
        <v>404</v>
      </c>
    </row>
    <row r="112" spans="1:15" x14ac:dyDescent="0.25">
      <c r="A112" t="s">
        <v>125</v>
      </c>
      <c r="B112">
        <v>126</v>
      </c>
      <c r="C112" s="1" t="str">
        <f>HYPERLINK("http://www.rosaceae.org/gb/gbrowse/malus_x_domestica/?name=MDP0000331623","MDP0000331623")</f>
        <v>MDP0000331623</v>
      </c>
      <c r="D112">
        <v>57.93</v>
      </c>
      <c r="E112">
        <v>126</v>
      </c>
      <c r="F112">
        <v>53</v>
      </c>
      <c r="G112">
        <v>0</v>
      </c>
      <c r="H112">
        <v>1</v>
      </c>
      <c r="I112">
        <v>126</v>
      </c>
      <c r="J112">
        <v>1</v>
      </c>
      <c r="K112">
        <v>339</v>
      </c>
      <c r="L112">
        <v>464</v>
      </c>
      <c r="M112">
        <v>1</v>
      </c>
      <c r="N112">
        <v>6.27987E-43</v>
      </c>
      <c r="O112">
        <v>428</v>
      </c>
    </row>
    <row r="113" spans="1:15" x14ac:dyDescent="0.25">
      <c r="A113" t="s">
        <v>126</v>
      </c>
      <c r="B113">
        <v>921</v>
      </c>
      <c r="C113" s="1" t="str">
        <f>HYPERLINK("http://www.rosaceae.org/gb/gbrowse/malus_x_domestica/?name=MDP0000150587","MDP0000150587")</f>
        <v>MDP0000150587</v>
      </c>
      <c r="D113">
        <v>87.6</v>
      </c>
      <c r="E113">
        <v>944</v>
      </c>
      <c r="F113">
        <v>117</v>
      </c>
      <c r="G113">
        <v>46</v>
      </c>
      <c r="H113">
        <v>24</v>
      </c>
      <c r="I113">
        <v>921</v>
      </c>
      <c r="J113">
        <v>1</v>
      </c>
      <c r="K113">
        <v>1</v>
      </c>
      <c r="L113">
        <v>944</v>
      </c>
      <c r="M113">
        <v>1</v>
      </c>
      <c r="N113">
        <v>0</v>
      </c>
      <c r="O113">
        <v>4422</v>
      </c>
    </row>
    <row r="114" spans="1:15" x14ac:dyDescent="0.25">
      <c r="A114" t="s">
        <v>127</v>
      </c>
      <c r="B114">
        <v>616</v>
      </c>
      <c r="C114" s="1" t="str">
        <f>HYPERLINK("http://www.rosaceae.org/gb/gbrowse/malus_x_domestica/?name=MDP0000945111","MDP0000945111")</f>
        <v>MDP0000945111</v>
      </c>
      <c r="D114">
        <v>82.42</v>
      </c>
      <c r="E114">
        <v>256</v>
      </c>
      <c r="F114">
        <v>45</v>
      </c>
      <c r="G114">
        <v>17</v>
      </c>
      <c r="H114">
        <v>237</v>
      </c>
      <c r="I114">
        <v>480</v>
      </c>
      <c r="J114">
        <v>1</v>
      </c>
      <c r="K114">
        <v>2</v>
      </c>
      <c r="L114">
        <v>252</v>
      </c>
      <c r="M114">
        <v>1</v>
      </c>
      <c r="N114">
        <v>1.2318299999999999E-120</v>
      </c>
      <c r="O114">
        <v>1108</v>
      </c>
    </row>
    <row r="115" spans="1:15" x14ac:dyDescent="0.25">
      <c r="A115" t="s">
        <v>128</v>
      </c>
      <c r="B115">
        <v>702</v>
      </c>
      <c r="C115" s="1" t="str">
        <f>HYPERLINK("http://www.rosaceae.org/gb/gbrowse/malus_x_domestica/?name=MDP0000155206","MDP0000155206")</f>
        <v>MDP0000155206</v>
      </c>
      <c r="D115">
        <v>85.77</v>
      </c>
      <c r="E115">
        <v>506</v>
      </c>
      <c r="F115">
        <v>72</v>
      </c>
      <c r="G115">
        <v>2</v>
      </c>
      <c r="H115">
        <v>185</v>
      </c>
      <c r="I115">
        <v>690</v>
      </c>
      <c r="J115">
        <v>1</v>
      </c>
      <c r="K115">
        <v>203</v>
      </c>
      <c r="L115">
        <v>706</v>
      </c>
      <c r="M115">
        <v>1</v>
      </c>
      <c r="N115">
        <v>0</v>
      </c>
      <c r="O115">
        <v>2408</v>
      </c>
    </row>
    <row r="116" spans="1:15" x14ac:dyDescent="0.25">
      <c r="A116" t="s">
        <v>129</v>
      </c>
      <c r="B116">
        <v>326</v>
      </c>
      <c r="C116" s="1" t="str">
        <f>HYPERLINK("http://www.rosaceae.org/gb/gbrowse/malus_x_domestica/?name=MDP0000247921","MDP0000247921")</f>
        <v>MDP0000247921</v>
      </c>
      <c r="D116">
        <v>47.5</v>
      </c>
      <c r="E116">
        <v>160</v>
      </c>
      <c r="F116">
        <v>84</v>
      </c>
      <c r="G116">
        <v>0</v>
      </c>
      <c r="H116">
        <v>23</v>
      </c>
      <c r="I116">
        <v>182</v>
      </c>
      <c r="J116">
        <v>1</v>
      </c>
      <c r="K116">
        <v>600</v>
      </c>
      <c r="L116">
        <v>759</v>
      </c>
      <c r="M116">
        <v>1</v>
      </c>
      <c r="N116">
        <v>3.4971299999999998E-40</v>
      </c>
      <c r="O116">
        <v>411</v>
      </c>
    </row>
    <row r="117" spans="1:15" x14ac:dyDescent="0.25">
      <c r="A117" t="s">
        <v>130</v>
      </c>
      <c r="B117">
        <v>153</v>
      </c>
      <c r="C117" s="1" t="str">
        <f>HYPERLINK("http://www.rosaceae.org/gb/gbrowse/malus_x_domestica/?name=MDP0000131151","MDP0000131151")</f>
        <v>MDP0000131151</v>
      </c>
      <c r="D117">
        <v>41.97</v>
      </c>
      <c r="E117">
        <v>81</v>
      </c>
      <c r="F117">
        <v>47</v>
      </c>
      <c r="G117">
        <v>4</v>
      </c>
      <c r="H117">
        <v>63</v>
      </c>
      <c r="I117">
        <v>139</v>
      </c>
      <c r="J117">
        <v>1</v>
      </c>
      <c r="K117">
        <v>683</v>
      </c>
      <c r="L117">
        <v>763</v>
      </c>
      <c r="M117">
        <v>1</v>
      </c>
      <c r="N117">
        <v>1.34725E-8</v>
      </c>
      <c r="O117">
        <v>134</v>
      </c>
    </row>
    <row r="118" spans="1:15" x14ac:dyDescent="0.25">
      <c r="A118" t="s">
        <v>131</v>
      </c>
      <c r="B118">
        <v>410</v>
      </c>
      <c r="C118" s="1" t="str">
        <f>HYPERLINK("http://www.rosaceae.org/gb/gbrowse/malus_x_domestica/?name=MDP0000260483","MDP0000260483")</f>
        <v>MDP0000260483</v>
      </c>
      <c r="D118">
        <v>32.39</v>
      </c>
      <c r="E118">
        <v>213</v>
      </c>
      <c r="F118">
        <v>144</v>
      </c>
      <c r="G118">
        <v>10</v>
      </c>
      <c r="H118">
        <v>172</v>
      </c>
      <c r="I118">
        <v>383</v>
      </c>
      <c r="J118">
        <v>1</v>
      </c>
      <c r="K118">
        <v>107</v>
      </c>
      <c r="L118">
        <v>310</v>
      </c>
      <c r="M118">
        <v>1</v>
      </c>
      <c r="N118">
        <v>2.8458200000000002E-25</v>
      </c>
      <c r="O118">
        <v>283</v>
      </c>
    </row>
    <row r="119" spans="1:15" x14ac:dyDescent="0.25">
      <c r="A119" t="s">
        <v>132</v>
      </c>
      <c r="B119">
        <v>357</v>
      </c>
      <c r="C119" s="1" t="str">
        <f>HYPERLINK("http://www.rosaceae.org/gb/gbrowse/malus_x_domestica/?name=MDP0000144618","MDP0000144618")</f>
        <v>MDP0000144618</v>
      </c>
      <c r="D119">
        <v>68.260000000000005</v>
      </c>
      <c r="E119">
        <v>334</v>
      </c>
      <c r="F119">
        <v>106</v>
      </c>
      <c r="G119">
        <v>10</v>
      </c>
      <c r="H119">
        <v>1</v>
      </c>
      <c r="I119">
        <v>333</v>
      </c>
      <c r="J119">
        <v>1</v>
      </c>
      <c r="K119">
        <v>1</v>
      </c>
      <c r="L119">
        <v>325</v>
      </c>
      <c r="M119">
        <v>1</v>
      </c>
      <c r="N119">
        <v>4.5607399999999997E-124</v>
      </c>
      <c r="O119">
        <v>1135</v>
      </c>
    </row>
    <row r="120" spans="1:15" x14ac:dyDescent="0.25">
      <c r="A120" t="s">
        <v>133</v>
      </c>
      <c r="B120">
        <v>398</v>
      </c>
      <c r="C120" s="1" t="str">
        <f>HYPERLINK("http://www.rosaceae.org/gb/gbrowse/malus_x_domestica/?name=MDP0000177779","MDP0000177779")</f>
        <v>MDP0000177779</v>
      </c>
      <c r="D120">
        <v>25</v>
      </c>
      <c r="E120">
        <v>376</v>
      </c>
      <c r="F120">
        <v>282</v>
      </c>
      <c r="G120">
        <v>61</v>
      </c>
      <c r="H120">
        <v>9</v>
      </c>
      <c r="I120">
        <v>373</v>
      </c>
      <c r="J120">
        <v>1</v>
      </c>
      <c r="K120">
        <v>5</v>
      </c>
      <c r="L120">
        <v>330</v>
      </c>
      <c r="M120">
        <v>1</v>
      </c>
      <c r="N120">
        <v>2.45392E-23</v>
      </c>
      <c r="O120">
        <v>267</v>
      </c>
    </row>
    <row r="121" spans="1:15" x14ac:dyDescent="0.25">
      <c r="A121" t="s">
        <v>134</v>
      </c>
      <c r="B121">
        <v>136</v>
      </c>
      <c r="C121" s="1" t="str">
        <f>HYPERLINK("http://www.rosaceae.org/gb/gbrowse/malus_x_domestica/?name=MDP0000179778","MDP0000179778")</f>
        <v>MDP0000179778</v>
      </c>
      <c r="D121">
        <v>51.21</v>
      </c>
      <c r="E121">
        <v>123</v>
      </c>
      <c r="F121">
        <v>60</v>
      </c>
      <c r="G121">
        <v>15</v>
      </c>
      <c r="H121">
        <v>1</v>
      </c>
      <c r="I121">
        <v>111</v>
      </c>
      <c r="J121">
        <v>1</v>
      </c>
      <c r="K121">
        <v>1</v>
      </c>
      <c r="L121">
        <v>120</v>
      </c>
      <c r="M121">
        <v>1</v>
      </c>
      <c r="N121">
        <v>4.5921399999999999E-29</v>
      </c>
      <c r="O121">
        <v>309</v>
      </c>
    </row>
    <row r="122" spans="1:15" x14ac:dyDescent="0.25">
      <c r="A122" t="s">
        <v>135</v>
      </c>
      <c r="B122">
        <v>373</v>
      </c>
      <c r="C122" s="1" t="str">
        <f>HYPERLINK("http://www.rosaceae.org/gb/gbrowse/malus_x_domestica/?name=MDP0000768255","MDP0000768255")</f>
        <v>MDP0000768255</v>
      </c>
      <c r="D122">
        <v>72.430000000000007</v>
      </c>
      <c r="E122">
        <v>312</v>
      </c>
      <c r="F122">
        <v>86</v>
      </c>
      <c r="G122">
        <v>12</v>
      </c>
      <c r="H122">
        <v>6</v>
      </c>
      <c r="I122">
        <v>313</v>
      </c>
      <c r="J122">
        <v>1</v>
      </c>
      <c r="K122">
        <v>4</v>
      </c>
      <c r="L122">
        <v>307</v>
      </c>
      <c r="M122">
        <v>1</v>
      </c>
      <c r="N122">
        <v>4.1072199999999997E-122</v>
      </c>
      <c r="O122">
        <v>1118</v>
      </c>
    </row>
    <row r="123" spans="1:15" x14ac:dyDescent="0.25">
      <c r="A123" t="s">
        <v>136</v>
      </c>
      <c r="B123">
        <v>521</v>
      </c>
      <c r="C123" s="1" t="str">
        <f>HYPERLINK("http://www.rosaceae.org/gb/gbrowse/malus_x_domestica/?name=MDP0000296620","MDP0000296620")</f>
        <v>MDP0000296620</v>
      </c>
      <c r="D123">
        <v>56.52</v>
      </c>
      <c r="E123">
        <v>184</v>
      </c>
      <c r="F123">
        <v>80</v>
      </c>
      <c r="G123">
        <v>4</v>
      </c>
      <c r="H123">
        <v>38</v>
      </c>
      <c r="I123">
        <v>217</v>
      </c>
      <c r="J123">
        <v>1</v>
      </c>
      <c r="K123">
        <v>406</v>
      </c>
      <c r="L123">
        <v>589</v>
      </c>
      <c r="M123">
        <v>1</v>
      </c>
      <c r="N123">
        <v>2.21283E-53</v>
      </c>
      <c r="O123">
        <v>527</v>
      </c>
    </row>
    <row r="124" spans="1:15" x14ac:dyDescent="0.25">
      <c r="A124" t="s">
        <v>137</v>
      </c>
      <c r="B124">
        <v>509</v>
      </c>
      <c r="C124" s="1" t="str">
        <f>HYPERLINK("http://www.rosaceae.org/gb/gbrowse/malus_x_domestica/?name=MDP0000475886","MDP0000475886")</f>
        <v>MDP0000475886</v>
      </c>
      <c r="D124">
        <v>76.400000000000006</v>
      </c>
      <c r="E124">
        <v>479</v>
      </c>
      <c r="F124">
        <v>113</v>
      </c>
      <c r="G124">
        <v>3</v>
      </c>
      <c r="H124">
        <v>33</v>
      </c>
      <c r="I124">
        <v>508</v>
      </c>
      <c r="J124">
        <v>1</v>
      </c>
      <c r="K124">
        <v>45</v>
      </c>
      <c r="L124">
        <v>523</v>
      </c>
      <c r="M124">
        <v>1</v>
      </c>
      <c r="N124">
        <v>0</v>
      </c>
      <c r="O124">
        <v>2013</v>
      </c>
    </row>
    <row r="125" spans="1:15" x14ac:dyDescent="0.25">
      <c r="A125" t="s">
        <v>138</v>
      </c>
      <c r="B125">
        <v>184</v>
      </c>
      <c r="C125" s="1" t="str">
        <f>HYPERLINK("http://www.rosaceae.org/gb/gbrowse/malus_x_domestica/?name=MDP0000294303","MDP0000294303")</f>
        <v>MDP0000294303</v>
      </c>
      <c r="D125">
        <v>41.25</v>
      </c>
      <c r="E125">
        <v>80</v>
      </c>
      <c r="F125">
        <v>47</v>
      </c>
      <c r="G125">
        <v>1</v>
      </c>
      <c r="H125">
        <v>77</v>
      </c>
      <c r="I125">
        <v>155</v>
      </c>
      <c r="J125">
        <v>1</v>
      </c>
      <c r="K125">
        <v>72</v>
      </c>
      <c r="L125">
        <v>151</v>
      </c>
      <c r="M125">
        <v>1</v>
      </c>
      <c r="N125">
        <v>2.4203300000000001E-9</v>
      </c>
      <c r="O125">
        <v>142</v>
      </c>
    </row>
    <row r="126" spans="1:15" x14ac:dyDescent="0.25">
      <c r="A126" t="s">
        <v>139</v>
      </c>
      <c r="B126">
        <v>333</v>
      </c>
      <c r="C126" s="1" t="str">
        <f>HYPERLINK("http://www.rosaceae.org/gb/gbrowse/malus_x_domestica/?name=MDP0000930889","MDP0000930889")</f>
        <v>MDP0000930889</v>
      </c>
      <c r="D126">
        <v>58.18</v>
      </c>
      <c r="E126">
        <v>220</v>
      </c>
      <c r="F126">
        <v>92</v>
      </c>
      <c r="G126">
        <v>17</v>
      </c>
      <c r="H126">
        <v>117</v>
      </c>
      <c r="I126">
        <v>325</v>
      </c>
      <c r="J126">
        <v>1</v>
      </c>
      <c r="K126">
        <v>50</v>
      </c>
      <c r="L126">
        <v>263</v>
      </c>
      <c r="M126">
        <v>1</v>
      </c>
      <c r="N126">
        <v>1.26649E-53</v>
      </c>
      <c r="O126">
        <v>527</v>
      </c>
    </row>
    <row r="127" spans="1:15" x14ac:dyDescent="0.25">
      <c r="A127" t="s">
        <v>140</v>
      </c>
      <c r="B127">
        <v>438</v>
      </c>
      <c r="C127" s="1" t="str">
        <f>HYPERLINK("http://www.rosaceae.org/gb/gbrowse/malus_x_domestica/?name=MDP0000270481","MDP0000270481")</f>
        <v>MDP0000270481</v>
      </c>
      <c r="D127">
        <v>88.28</v>
      </c>
      <c r="E127">
        <v>111</v>
      </c>
      <c r="F127">
        <v>13</v>
      </c>
      <c r="G127">
        <v>0</v>
      </c>
      <c r="H127">
        <v>54</v>
      </c>
      <c r="I127">
        <v>164</v>
      </c>
      <c r="J127">
        <v>1</v>
      </c>
      <c r="K127">
        <v>194</v>
      </c>
      <c r="L127">
        <v>304</v>
      </c>
      <c r="M127">
        <v>1</v>
      </c>
      <c r="N127">
        <v>3.5495199999999998E-56</v>
      </c>
      <c r="O127">
        <v>550</v>
      </c>
    </row>
    <row r="128" spans="1:15" x14ac:dyDescent="0.25">
      <c r="A128" t="s">
        <v>141</v>
      </c>
      <c r="B128">
        <v>492</v>
      </c>
      <c r="C128" s="1" t="str">
        <f>HYPERLINK("http://www.rosaceae.org/gb/gbrowse/malus_x_domestica/?name=MDP0000249675","MDP0000249675")</f>
        <v>MDP0000249675</v>
      </c>
      <c r="D128">
        <v>65.010000000000005</v>
      </c>
      <c r="E128">
        <v>483</v>
      </c>
      <c r="F128">
        <v>169</v>
      </c>
      <c r="G128">
        <v>21</v>
      </c>
      <c r="H128">
        <v>1</v>
      </c>
      <c r="I128">
        <v>464</v>
      </c>
      <c r="J128">
        <v>1</v>
      </c>
      <c r="K128">
        <v>1</v>
      </c>
      <c r="L128">
        <v>481</v>
      </c>
      <c r="M128">
        <v>1</v>
      </c>
      <c r="N128">
        <v>1.58629E-173</v>
      </c>
      <c r="O128">
        <v>1563</v>
      </c>
    </row>
    <row r="129" spans="1:15" x14ac:dyDescent="0.25">
      <c r="A129" t="s">
        <v>142</v>
      </c>
      <c r="B129">
        <v>318</v>
      </c>
      <c r="C129" s="1" t="str">
        <f>HYPERLINK("http://www.rosaceae.org/gb/gbrowse/malus_x_domestica/?name=MDP0000125238","MDP0000125238")</f>
        <v>MDP0000125238</v>
      </c>
      <c r="D129">
        <v>68.989999999999995</v>
      </c>
      <c r="E129">
        <v>358</v>
      </c>
      <c r="F129">
        <v>111</v>
      </c>
      <c r="G129">
        <v>48</v>
      </c>
      <c r="H129">
        <v>9</v>
      </c>
      <c r="I129">
        <v>318</v>
      </c>
      <c r="J129">
        <v>1</v>
      </c>
      <c r="K129">
        <v>80</v>
      </c>
      <c r="L129">
        <v>437</v>
      </c>
      <c r="M129">
        <v>1</v>
      </c>
      <c r="N129">
        <v>8.4804500000000002E-139</v>
      </c>
      <c r="O129">
        <v>1261</v>
      </c>
    </row>
    <row r="130" spans="1:15" x14ac:dyDescent="0.25">
      <c r="A130" t="s">
        <v>143</v>
      </c>
      <c r="B130">
        <v>149</v>
      </c>
      <c r="C130" s="1" t="str">
        <f>HYPERLINK("http://www.rosaceae.org/gb/gbrowse/malus_x_domestica/?name=MDP0000170922","MDP0000170922")</f>
        <v>MDP0000170922</v>
      </c>
      <c r="D130">
        <v>60.13</v>
      </c>
      <c r="E130">
        <v>148</v>
      </c>
      <c r="F130">
        <v>59</v>
      </c>
      <c r="G130">
        <v>0</v>
      </c>
      <c r="H130">
        <v>1</v>
      </c>
      <c r="I130">
        <v>148</v>
      </c>
      <c r="J130">
        <v>1</v>
      </c>
      <c r="K130">
        <v>1</v>
      </c>
      <c r="L130">
        <v>148</v>
      </c>
      <c r="M130">
        <v>1</v>
      </c>
      <c r="N130">
        <v>5.6695799999999999E-47</v>
      </c>
      <c r="O130">
        <v>464</v>
      </c>
    </row>
    <row r="131" spans="1:15" x14ac:dyDescent="0.25">
      <c r="A131" t="s">
        <v>144</v>
      </c>
      <c r="B131">
        <v>412</v>
      </c>
      <c r="C131" s="1" t="str">
        <f>HYPERLINK("http://www.rosaceae.org/gb/gbrowse/malus_x_domestica/?name=MDP0000308757","MDP0000308757")</f>
        <v>MDP0000308757</v>
      </c>
      <c r="D131">
        <v>59.85</v>
      </c>
      <c r="E131">
        <v>406</v>
      </c>
      <c r="F131">
        <v>163</v>
      </c>
      <c r="G131">
        <v>7</v>
      </c>
      <c r="H131">
        <v>11</v>
      </c>
      <c r="I131">
        <v>410</v>
      </c>
      <c r="J131">
        <v>1</v>
      </c>
      <c r="K131">
        <v>294</v>
      </c>
      <c r="L131">
        <v>698</v>
      </c>
      <c r="M131">
        <v>1</v>
      </c>
      <c r="N131">
        <v>4.0739800000000002E-134</v>
      </c>
      <c r="O131">
        <v>1222</v>
      </c>
    </row>
    <row r="132" spans="1:15" x14ac:dyDescent="0.25">
      <c r="A132" t="s">
        <v>145</v>
      </c>
      <c r="B132">
        <v>464</v>
      </c>
      <c r="C132" s="1" t="str">
        <f>HYPERLINK("http://www.rosaceae.org/gb/gbrowse/malus_x_domestica/?name=MDP0000317978","MDP0000317978")</f>
        <v>MDP0000317978</v>
      </c>
      <c r="D132">
        <v>33.61</v>
      </c>
      <c r="E132">
        <v>235</v>
      </c>
      <c r="F132">
        <v>156</v>
      </c>
      <c r="G132">
        <v>40</v>
      </c>
      <c r="H132">
        <v>240</v>
      </c>
      <c r="I132">
        <v>434</v>
      </c>
      <c r="J132">
        <v>1</v>
      </c>
      <c r="K132">
        <v>316</v>
      </c>
      <c r="L132">
        <v>550</v>
      </c>
      <c r="M132">
        <v>1</v>
      </c>
      <c r="N132">
        <v>1.51966E-25</v>
      </c>
      <c r="O132">
        <v>286</v>
      </c>
    </row>
    <row r="133" spans="1:15" x14ac:dyDescent="0.25">
      <c r="A133" t="s">
        <v>146</v>
      </c>
      <c r="B133">
        <v>112</v>
      </c>
      <c r="C133" s="1" t="str">
        <f>HYPERLINK("http://www.rosaceae.org/gb/gbrowse/malus_x_domestica/?name=MDP0000552050","MDP0000552050")</f>
        <v>MDP0000552050</v>
      </c>
      <c r="D133">
        <v>63.55</v>
      </c>
      <c r="E133">
        <v>118</v>
      </c>
      <c r="F133">
        <v>43</v>
      </c>
      <c r="G133">
        <v>7</v>
      </c>
      <c r="H133">
        <v>1</v>
      </c>
      <c r="I133">
        <v>111</v>
      </c>
      <c r="J133">
        <v>1</v>
      </c>
      <c r="K133">
        <v>909</v>
      </c>
      <c r="L133">
        <v>1026</v>
      </c>
      <c r="M133">
        <v>1</v>
      </c>
      <c r="N133">
        <v>1.6978500000000001E-32</v>
      </c>
      <c r="O133">
        <v>338</v>
      </c>
    </row>
    <row r="134" spans="1:15" x14ac:dyDescent="0.25">
      <c r="A134" t="s">
        <v>147</v>
      </c>
      <c r="B134">
        <v>252</v>
      </c>
      <c r="C134" s="1" t="str">
        <f>HYPERLINK("http://www.rosaceae.org/gb/gbrowse/malus_x_domestica/?name=MDP0000298354","MDP0000298354")</f>
        <v>MDP0000298354</v>
      </c>
      <c r="D134">
        <v>72.34</v>
      </c>
      <c r="E134">
        <v>188</v>
      </c>
      <c r="F134">
        <v>52</v>
      </c>
      <c r="G134">
        <v>4</v>
      </c>
      <c r="H134">
        <v>69</v>
      </c>
      <c r="I134">
        <v>252</v>
      </c>
      <c r="J134">
        <v>1</v>
      </c>
      <c r="K134">
        <v>26</v>
      </c>
      <c r="L134">
        <v>213</v>
      </c>
      <c r="M134">
        <v>1</v>
      </c>
      <c r="N134">
        <v>2.4427499999999999E-73</v>
      </c>
      <c r="O134">
        <v>695</v>
      </c>
    </row>
    <row r="135" spans="1:15" x14ac:dyDescent="0.25">
      <c r="A135" t="s">
        <v>148</v>
      </c>
      <c r="B135">
        <v>203</v>
      </c>
      <c r="C135" s="1" t="str">
        <f>HYPERLINK("http://www.rosaceae.org/gb/gbrowse/malus_x_domestica/?name=MDP0000155539","MDP0000155539")</f>
        <v>MDP0000155539</v>
      </c>
      <c r="D135">
        <v>54.41</v>
      </c>
      <c r="E135">
        <v>68</v>
      </c>
      <c r="F135">
        <v>31</v>
      </c>
      <c r="G135">
        <v>0</v>
      </c>
      <c r="H135">
        <v>10</v>
      </c>
      <c r="I135">
        <v>77</v>
      </c>
      <c r="J135">
        <v>1</v>
      </c>
      <c r="K135">
        <v>18</v>
      </c>
      <c r="L135">
        <v>85</v>
      </c>
      <c r="M135">
        <v>1</v>
      </c>
      <c r="N135">
        <v>1.86651E-16</v>
      </c>
      <c r="O135">
        <v>204</v>
      </c>
    </row>
    <row r="136" spans="1:15" x14ac:dyDescent="0.25">
      <c r="A136" t="s">
        <v>149</v>
      </c>
      <c r="B136">
        <v>260</v>
      </c>
      <c r="C136" s="1" t="str">
        <f>HYPERLINK("http://www.rosaceae.org/gb/gbrowse/malus_x_domestica/?name=MDP0000781178","MDP0000781178")</f>
        <v>MDP0000781178</v>
      </c>
      <c r="D136">
        <v>53.76</v>
      </c>
      <c r="E136">
        <v>199</v>
      </c>
      <c r="F136">
        <v>92</v>
      </c>
      <c r="G136">
        <v>10</v>
      </c>
      <c r="H136">
        <v>64</v>
      </c>
      <c r="I136">
        <v>260</v>
      </c>
      <c r="J136">
        <v>1</v>
      </c>
      <c r="K136">
        <v>1</v>
      </c>
      <c r="L136">
        <v>191</v>
      </c>
      <c r="M136">
        <v>1</v>
      </c>
      <c r="N136">
        <v>1.5184700000000001E-49</v>
      </c>
      <c r="O136">
        <v>490</v>
      </c>
    </row>
    <row r="137" spans="1:15" x14ac:dyDescent="0.25">
      <c r="A137" t="s">
        <v>150</v>
      </c>
      <c r="B137">
        <v>167</v>
      </c>
      <c r="C137" s="1" t="str">
        <f>HYPERLINK("http://www.rosaceae.org/gb/gbrowse/malus_x_domestica/?name=MDP0000260844","MDP0000260844")</f>
        <v>MDP0000260844</v>
      </c>
      <c r="D137">
        <v>67.59</v>
      </c>
      <c r="E137">
        <v>179</v>
      </c>
      <c r="F137">
        <v>58</v>
      </c>
      <c r="G137">
        <v>12</v>
      </c>
      <c r="H137">
        <v>1</v>
      </c>
      <c r="I137">
        <v>167</v>
      </c>
      <c r="J137">
        <v>1</v>
      </c>
      <c r="K137">
        <v>64</v>
      </c>
      <c r="L137">
        <v>242</v>
      </c>
      <c r="M137">
        <v>1</v>
      </c>
      <c r="N137">
        <v>3.1112500000000002E-66</v>
      </c>
      <c r="O137">
        <v>631</v>
      </c>
    </row>
    <row r="138" spans="1:15" x14ac:dyDescent="0.25">
      <c r="A138" t="s">
        <v>151</v>
      </c>
      <c r="B138">
        <v>340</v>
      </c>
      <c r="C138" s="1" t="str">
        <f>HYPERLINK("http://www.rosaceae.org/gb/gbrowse/malus_x_domestica/?name=MDP0000446336","MDP0000446336")</f>
        <v>MDP0000446336</v>
      </c>
      <c r="D138">
        <v>52.14</v>
      </c>
      <c r="E138">
        <v>163</v>
      </c>
      <c r="F138">
        <v>78</v>
      </c>
      <c r="G138">
        <v>4</v>
      </c>
      <c r="H138">
        <v>173</v>
      </c>
      <c r="I138">
        <v>334</v>
      </c>
      <c r="J138">
        <v>1</v>
      </c>
      <c r="K138">
        <v>169</v>
      </c>
      <c r="L138">
        <v>328</v>
      </c>
      <c r="M138">
        <v>1</v>
      </c>
      <c r="N138">
        <v>7.8754000000000005E-41</v>
      </c>
      <c r="O138">
        <v>417</v>
      </c>
    </row>
    <row r="139" spans="1:15" x14ac:dyDescent="0.25">
      <c r="A139" t="s">
        <v>152</v>
      </c>
      <c r="B139">
        <v>672</v>
      </c>
      <c r="C139" s="1" t="str">
        <f>HYPERLINK("http://www.rosaceae.org/gb/gbrowse/malus_x_domestica/?name=MDP0000308261","MDP0000308261")</f>
        <v>MDP0000308261</v>
      </c>
      <c r="D139">
        <v>54.5</v>
      </c>
      <c r="E139">
        <v>644</v>
      </c>
      <c r="F139">
        <v>293</v>
      </c>
      <c r="G139">
        <v>55</v>
      </c>
      <c r="H139">
        <v>1</v>
      </c>
      <c r="I139">
        <v>616</v>
      </c>
      <c r="J139">
        <v>1</v>
      </c>
      <c r="K139">
        <v>1</v>
      </c>
      <c r="L139">
        <v>617</v>
      </c>
      <c r="M139">
        <v>1</v>
      </c>
      <c r="N139">
        <v>1.4378200000000001E-159</v>
      </c>
      <c r="O139">
        <v>1444</v>
      </c>
    </row>
    <row r="140" spans="1:15" x14ac:dyDescent="0.25">
      <c r="A140" t="s">
        <v>153</v>
      </c>
      <c r="B140">
        <v>416</v>
      </c>
      <c r="C140" s="1" t="str">
        <f>HYPERLINK("http://www.rosaceae.org/gb/gbrowse/malus_x_domestica/?name=MDP0000594632","MDP0000594632")</f>
        <v>MDP0000594632</v>
      </c>
      <c r="D140">
        <v>38.840000000000003</v>
      </c>
      <c r="E140">
        <v>121</v>
      </c>
      <c r="F140">
        <v>74</v>
      </c>
      <c r="G140">
        <v>0</v>
      </c>
      <c r="H140">
        <v>20</v>
      </c>
      <c r="I140">
        <v>140</v>
      </c>
      <c r="J140">
        <v>1</v>
      </c>
      <c r="K140">
        <v>55</v>
      </c>
      <c r="L140">
        <v>175</v>
      </c>
      <c r="M140">
        <v>1</v>
      </c>
      <c r="N140">
        <v>9.1204300000000004E-18</v>
      </c>
      <c r="O140">
        <v>219</v>
      </c>
    </row>
    <row r="141" spans="1:15" x14ac:dyDescent="0.25">
      <c r="A141" t="s">
        <v>154</v>
      </c>
      <c r="B141">
        <v>252</v>
      </c>
      <c r="C141" s="1" t="str">
        <f>HYPERLINK("http://www.rosaceae.org/gb/gbrowse/malus_x_domestica/?name=MDP0000222340","MDP0000222340")</f>
        <v>MDP0000222340</v>
      </c>
      <c r="D141">
        <v>45.08</v>
      </c>
      <c r="E141">
        <v>224</v>
      </c>
      <c r="F141">
        <v>123</v>
      </c>
      <c r="G141">
        <v>40</v>
      </c>
      <c r="H141">
        <v>19</v>
      </c>
      <c r="I141">
        <v>204</v>
      </c>
      <c r="J141">
        <v>1</v>
      </c>
      <c r="K141">
        <v>153</v>
      </c>
      <c r="L141">
        <v>374</v>
      </c>
      <c r="M141">
        <v>1</v>
      </c>
      <c r="N141">
        <v>1.0184199999999999E-40</v>
      </c>
      <c r="O141">
        <v>414</v>
      </c>
    </row>
    <row r="142" spans="1:15" x14ac:dyDescent="0.25">
      <c r="A142" t="s">
        <v>155</v>
      </c>
      <c r="B142">
        <v>534</v>
      </c>
      <c r="C142" s="1" t="str">
        <f>HYPERLINK("http://www.rosaceae.org/gb/gbrowse/malus_x_domestica/?name=MDP0000832931","MDP0000832931")</f>
        <v>MDP0000832931</v>
      </c>
      <c r="D142">
        <v>69.33</v>
      </c>
      <c r="E142">
        <v>463</v>
      </c>
      <c r="F142">
        <v>142</v>
      </c>
      <c r="G142">
        <v>5</v>
      </c>
      <c r="H142">
        <v>1</v>
      </c>
      <c r="I142">
        <v>459</v>
      </c>
      <c r="J142">
        <v>1</v>
      </c>
      <c r="K142">
        <v>1</v>
      </c>
      <c r="L142">
        <v>462</v>
      </c>
      <c r="M142">
        <v>1</v>
      </c>
      <c r="N142">
        <v>3.7840300000000001E-180</v>
      </c>
      <c r="O142">
        <v>1620</v>
      </c>
    </row>
    <row r="143" spans="1:15" x14ac:dyDescent="0.25">
      <c r="A143" t="s">
        <v>156</v>
      </c>
      <c r="B143">
        <v>585</v>
      </c>
      <c r="C143" s="1" t="str">
        <f>HYPERLINK("http://www.rosaceae.org/gb/gbrowse/malus_x_domestica/?name=MDP0000294768","MDP0000294768")</f>
        <v>MDP0000294768</v>
      </c>
      <c r="D143">
        <v>80.459999999999994</v>
      </c>
      <c r="E143">
        <v>558</v>
      </c>
      <c r="F143">
        <v>109</v>
      </c>
      <c r="G143">
        <v>5</v>
      </c>
      <c r="H143">
        <v>27</v>
      </c>
      <c r="I143">
        <v>583</v>
      </c>
      <c r="J143">
        <v>1</v>
      </c>
      <c r="K143">
        <v>22</v>
      </c>
      <c r="L143">
        <v>575</v>
      </c>
      <c r="M143">
        <v>1</v>
      </c>
      <c r="N143">
        <v>0</v>
      </c>
      <c r="O143">
        <v>2395</v>
      </c>
    </row>
    <row r="144" spans="1:15" x14ac:dyDescent="0.25">
      <c r="A144" t="s">
        <v>157</v>
      </c>
      <c r="B144">
        <v>181</v>
      </c>
      <c r="C144" s="1" t="str">
        <f>HYPERLINK("http://www.rosaceae.org/gb/gbrowse/malus_x_domestica/?name=MDP0000373966","MDP0000373966")</f>
        <v>MDP0000373966</v>
      </c>
      <c r="D144">
        <v>86.06</v>
      </c>
      <c r="E144">
        <v>165</v>
      </c>
      <c r="F144">
        <v>23</v>
      </c>
      <c r="G144">
        <v>2</v>
      </c>
      <c r="H144">
        <v>1</v>
      </c>
      <c r="I144">
        <v>165</v>
      </c>
      <c r="J144">
        <v>1</v>
      </c>
      <c r="K144">
        <v>1</v>
      </c>
      <c r="L144">
        <v>163</v>
      </c>
      <c r="M144">
        <v>1</v>
      </c>
      <c r="N144">
        <v>5.3617499999999998E-80</v>
      </c>
      <c r="O144">
        <v>751</v>
      </c>
    </row>
    <row r="145" spans="1:15" x14ac:dyDescent="0.25">
      <c r="A145" t="s">
        <v>158</v>
      </c>
      <c r="B145">
        <v>612</v>
      </c>
      <c r="C145" s="1" t="str">
        <f>HYPERLINK("http://www.rosaceae.org/gb/gbrowse/malus_x_domestica/?name=MDP0000165748","MDP0000165748")</f>
        <v>MDP0000165748</v>
      </c>
      <c r="D145">
        <v>74.33</v>
      </c>
      <c r="E145">
        <v>226</v>
      </c>
      <c r="F145">
        <v>58</v>
      </c>
      <c r="G145">
        <v>3</v>
      </c>
      <c r="H145">
        <v>377</v>
      </c>
      <c r="I145">
        <v>600</v>
      </c>
      <c r="J145">
        <v>1</v>
      </c>
      <c r="K145">
        <v>1</v>
      </c>
      <c r="L145">
        <v>225</v>
      </c>
      <c r="M145">
        <v>1</v>
      </c>
      <c r="N145">
        <v>2.15299E-95</v>
      </c>
      <c r="O145">
        <v>890</v>
      </c>
    </row>
    <row r="146" spans="1:15" x14ac:dyDescent="0.25">
      <c r="A146" t="s">
        <v>159</v>
      </c>
      <c r="B146">
        <v>116</v>
      </c>
      <c r="C146" s="1" t="str">
        <f>HYPERLINK("http://www.rosaceae.org/gb/gbrowse/malus_x_domestica/?name=MDP0000258744","MDP0000258744")</f>
        <v>MDP0000258744</v>
      </c>
      <c r="D146">
        <v>40.17</v>
      </c>
      <c r="E146">
        <v>117</v>
      </c>
      <c r="F146">
        <v>70</v>
      </c>
      <c r="G146">
        <v>7</v>
      </c>
      <c r="H146">
        <v>1</v>
      </c>
      <c r="I146">
        <v>114</v>
      </c>
      <c r="J146">
        <v>1</v>
      </c>
      <c r="K146">
        <v>1</v>
      </c>
      <c r="L146">
        <v>113</v>
      </c>
      <c r="M146">
        <v>1</v>
      </c>
      <c r="N146">
        <v>3.25143E-17</v>
      </c>
      <c r="O146">
        <v>206</v>
      </c>
    </row>
    <row r="147" spans="1:15" x14ac:dyDescent="0.25">
      <c r="A147" t="s">
        <v>160</v>
      </c>
      <c r="B147">
        <v>462</v>
      </c>
      <c r="C147" s="1" t="str">
        <f>HYPERLINK("http://www.rosaceae.org/gb/gbrowse/malus_x_domestica/?name=MDP0000679946","MDP0000679946")</f>
        <v>MDP0000679946</v>
      </c>
      <c r="D147">
        <v>99.25</v>
      </c>
      <c r="E147">
        <v>135</v>
      </c>
      <c r="F147">
        <v>1</v>
      </c>
      <c r="G147">
        <v>0</v>
      </c>
      <c r="H147">
        <v>29</v>
      </c>
      <c r="I147">
        <v>163</v>
      </c>
      <c r="J147">
        <v>1</v>
      </c>
      <c r="K147">
        <v>184</v>
      </c>
      <c r="L147">
        <v>318</v>
      </c>
      <c r="M147">
        <v>1</v>
      </c>
      <c r="N147">
        <v>3.0735299999999998E-80</v>
      </c>
      <c r="O147">
        <v>758</v>
      </c>
    </row>
    <row r="148" spans="1:15" x14ac:dyDescent="0.25">
      <c r="A148" t="s">
        <v>161</v>
      </c>
      <c r="B148">
        <v>366</v>
      </c>
      <c r="C148" s="1" t="str">
        <f>HYPERLINK("http://www.rosaceae.org/gb/gbrowse/malus_x_domestica/?name=MDP0000233475","MDP0000233475")</f>
        <v>MDP0000233475</v>
      </c>
      <c r="D148">
        <v>75.28</v>
      </c>
      <c r="E148">
        <v>352</v>
      </c>
      <c r="F148">
        <v>87</v>
      </c>
      <c r="G148">
        <v>5</v>
      </c>
      <c r="H148">
        <v>1</v>
      </c>
      <c r="I148">
        <v>352</v>
      </c>
      <c r="J148">
        <v>1</v>
      </c>
      <c r="K148">
        <v>74</v>
      </c>
      <c r="L148">
        <v>420</v>
      </c>
      <c r="M148">
        <v>1</v>
      </c>
      <c r="N148">
        <v>2.1915199999999999E-154</v>
      </c>
      <c r="O148">
        <v>1396</v>
      </c>
    </row>
    <row r="149" spans="1:15" x14ac:dyDescent="0.25">
      <c r="A149" t="s">
        <v>162</v>
      </c>
      <c r="B149">
        <v>843</v>
      </c>
      <c r="C149" s="1" t="str">
        <f>HYPERLINK("http://www.rosaceae.org/gb/gbrowse/malus_x_domestica/?name=MDP0000319194","MDP0000319194")</f>
        <v>MDP0000319194</v>
      </c>
      <c r="D149">
        <v>34.119999999999997</v>
      </c>
      <c r="E149">
        <v>126</v>
      </c>
      <c r="F149">
        <v>83</v>
      </c>
      <c r="G149">
        <v>2</v>
      </c>
      <c r="H149">
        <v>540</v>
      </c>
      <c r="I149">
        <v>665</v>
      </c>
      <c r="J149">
        <v>1</v>
      </c>
      <c r="K149">
        <v>374</v>
      </c>
      <c r="L149">
        <v>497</v>
      </c>
      <c r="M149">
        <v>1</v>
      </c>
      <c r="N149">
        <v>4.52954E-17</v>
      </c>
      <c r="O149">
        <v>216</v>
      </c>
    </row>
    <row r="150" spans="1:15" x14ac:dyDescent="0.25">
      <c r="A150" t="s">
        <v>163</v>
      </c>
      <c r="B150">
        <v>725</v>
      </c>
      <c r="C150" s="1" t="str">
        <f>HYPERLINK("http://www.rosaceae.org/gb/gbrowse/malus_x_domestica/?name=MDP0000228175","MDP0000228175")</f>
        <v>MDP0000228175</v>
      </c>
      <c r="D150">
        <v>66.12</v>
      </c>
      <c r="E150">
        <v>735</v>
      </c>
      <c r="F150">
        <v>249</v>
      </c>
      <c r="G150">
        <v>23</v>
      </c>
      <c r="H150">
        <v>1</v>
      </c>
      <c r="I150">
        <v>725</v>
      </c>
      <c r="J150">
        <v>1</v>
      </c>
      <c r="K150">
        <v>15</v>
      </c>
      <c r="L150">
        <v>736</v>
      </c>
      <c r="M150">
        <v>1</v>
      </c>
      <c r="N150">
        <v>0</v>
      </c>
      <c r="O150">
        <v>2481</v>
      </c>
    </row>
    <row r="151" spans="1:15" x14ac:dyDescent="0.25">
      <c r="A151" t="s">
        <v>164</v>
      </c>
      <c r="B151">
        <v>1646</v>
      </c>
      <c r="C151" s="1" t="str">
        <f>HYPERLINK("http://www.rosaceae.org/gb/gbrowse/malus_x_domestica/?name=MDP0000319132","MDP0000319132")</f>
        <v>MDP0000319132</v>
      </c>
      <c r="D151">
        <v>55.55</v>
      </c>
      <c r="E151">
        <v>1656</v>
      </c>
      <c r="F151">
        <v>736</v>
      </c>
      <c r="G151">
        <v>147</v>
      </c>
      <c r="H151">
        <v>97</v>
      </c>
      <c r="I151">
        <v>1635</v>
      </c>
      <c r="J151">
        <v>1</v>
      </c>
      <c r="K151">
        <v>154</v>
      </c>
      <c r="L151">
        <v>1779</v>
      </c>
      <c r="M151">
        <v>1</v>
      </c>
      <c r="N151">
        <v>0</v>
      </c>
      <c r="O151">
        <v>4126</v>
      </c>
    </row>
    <row r="152" spans="1:15" x14ac:dyDescent="0.25">
      <c r="A152" t="s">
        <v>165</v>
      </c>
      <c r="B152">
        <v>635</v>
      </c>
      <c r="C152" s="1" t="str">
        <f>HYPERLINK("http://www.rosaceae.org/gb/gbrowse/malus_x_domestica/?name=MDP0000500222","MDP0000500222")</f>
        <v>MDP0000500222</v>
      </c>
      <c r="D152">
        <v>39.130000000000003</v>
      </c>
      <c r="E152">
        <v>391</v>
      </c>
      <c r="F152">
        <v>238</v>
      </c>
      <c r="G152">
        <v>50</v>
      </c>
      <c r="H152">
        <v>8</v>
      </c>
      <c r="I152">
        <v>364</v>
      </c>
      <c r="J152">
        <v>1</v>
      </c>
      <c r="K152">
        <v>51</v>
      </c>
      <c r="L152">
        <v>425</v>
      </c>
      <c r="M152">
        <v>1</v>
      </c>
      <c r="N152">
        <v>8.0386299999999996E-60</v>
      </c>
      <c r="O152">
        <v>583</v>
      </c>
    </row>
    <row r="153" spans="1:15" x14ac:dyDescent="0.25">
      <c r="A153" t="s">
        <v>166</v>
      </c>
      <c r="B153">
        <v>657</v>
      </c>
      <c r="C153" s="1" t="str">
        <f>HYPERLINK("http://www.rosaceae.org/gb/gbrowse/malus_x_domestica/?name=MDP0000263472","MDP0000263472")</f>
        <v>MDP0000263472</v>
      </c>
      <c r="D153">
        <v>61.23</v>
      </c>
      <c r="E153">
        <v>712</v>
      </c>
      <c r="F153">
        <v>276</v>
      </c>
      <c r="G153">
        <v>92</v>
      </c>
      <c r="H153">
        <v>31</v>
      </c>
      <c r="I153">
        <v>652</v>
      </c>
      <c r="J153">
        <v>1</v>
      </c>
      <c r="K153">
        <v>273</v>
      </c>
      <c r="L153">
        <v>982</v>
      </c>
      <c r="M153">
        <v>1</v>
      </c>
      <c r="N153">
        <v>0</v>
      </c>
      <c r="O153">
        <v>2124</v>
      </c>
    </row>
    <row r="154" spans="1:15" x14ac:dyDescent="0.25">
      <c r="A154" t="s">
        <v>167</v>
      </c>
      <c r="B154">
        <v>359</v>
      </c>
      <c r="C154" s="1" t="str">
        <f>HYPERLINK("http://www.rosaceae.org/gb/gbrowse/malus_x_domestica/?name=MDP0000921679","MDP0000921679")</f>
        <v>MDP0000921679</v>
      </c>
      <c r="D154">
        <v>63.55</v>
      </c>
      <c r="E154">
        <v>354</v>
      </c>
      <c r="F154">
        <v>129</v>
      </c>
      <c r="G154">
        <v>16</v>
      </c>
      <c r="H154">
        <v>19</v>
      </c>
      <c r="I154">
        <v>359</v>
      </c>
      <c r="J154">
        <v>1</v>
      </c>
      <c r="K154">
        <v>19</v>
      </c>
      <c r="L154">
        <v>369</v>
      </c>
      <c r="M154">
        <v>1</v>
      </c>
      <c r="N154">
        <v>7.9137600000000007E-121</v>
      </c>
      <c r="O154">
        <v>1107</v>
      </c>
    </row>
    <row r="155" spans="1:15" x14ac:dyDescent="0.25">
      <c r="A155" t="s">
        <v>168</v>
      </c>
      <c r="B155">
        <v>207</v>
      </c>
      <c r="C155" s="1" t="str">
        <f>HYPERLINK("http://www.rosaceae.org/gb/gbrowse/malus_x_domestica/?name=MDP0000490200","MDP0000490200")</f>
        <v>MDP0000490200</v>
      </c>
      <c r="D155">
        <v>79.39</v>
      </c>
      <c r="E155">
        <v>199</v>
      </c>
      <c r="F155">
        <v>41</v>
      </c>
      <c r="G155">
        <v>5</v>
      </c>
      <c r="H155">
        <v>1</v>
      </c>
      <c r="I155">
        <v>194</v>
      </c>
      <c r="J155">
        <v>1</v>
      </c>
      <c r="K155">
        <v>1</v>
      </c>
      <c r="L155">
        <v>199</v>
      </c>
      <c r="M155">
        <v>1</v>
      </c>
      <c r="N155">
        <v>9.4564299999999995E-87</v>
      </c>
      <c r="O155">
        <v>810</v>
      </c>
    </row>
    <row r="156" spans="1:15" x14ac:dyDescent="0.25">
      <c r="A156" t="s">
        <v>169</v>
      </c>
      <c r="B156">
        <v>109</v>
      </c>
      <c r="C156" s="1" t="str">
        <f>HYPERLINK("http://www.rosaceae.org/gb/gbrowse/malus_x_domestica/?name=MDP0000846849","MDP0000846849")</f>
        <v>MDP0000846849</v>
      </c>
      <c r="D156">
        <v>65.709999999999994</v>
      </c>
      <c r="E156">
        <v>70</v>
      </c>
      <c r="F156">
        <v>24</v>
      </c>
      <c r="G156">
        <v>0</v>
      </c>
      <c r="H156">
        <v>1</v>
      </c>
      <c r="I156">
        <v>70</v>
      </c>
      <c r="J156">
        <v>1</v>
      </c>
      <c r="K156">
        <v>1</v>
      </c>
      <c r="L156">
        <v>70</v>
      </c>
      <c r="M156">
        <v>1</v>
      </c>
      <c r="N156">
        <v>1.1705499999999999E-20</v>
      </c>
      <c r="O156">
        <v>236</v>
      </c>
    </row>
    <row r="157" spans="1:15" x14ac:dyDescent="0.25">
      <c r="A157" t="s">
        <v>170</v>
      </c>
      <c r="B157">
        <v>128</v>
      </c>
      <c r="C157" s="1" t="str">
        <f>HYPERLINK("http://www.rosaceae.org/gb/gbrowse/malus_x_domestica/?name=MDP0000731637","MDP0000731637")</f>
        <v>MDP0000731637</v>
      </c>
      <c r="D157">
        <v>46.47</v>
      </c>
      <c r="E157">
        <v>71</v>
      </c>
      <c r="F157">
        <v>38</v>
      </c>
      <c r="G157">
        <v>5</v>
      </c>
      <c r="H157">
        <v>12</v>
      </c>
      <c r="I157">
        <v>80</v>
      </c>
      <c r="J157">
        <v>1</v>
      </c>
      <c r="K157">
        <v>21</v>
      </c>
      <c r="L157">
        <v>88</v>
      </c>
      <c r="M157">
        <v>1</v>
      </c>
      <c r="N157">
        <v>7.2273300000000001E-9</v>
      </c>
      <c r="O157">
        <v>134</v>
      </c>
    </row>
    <row r="158" spans="1:15" x14ac:dyDescent="0.25">
      <c r="A158" t="s">
        <v>171</v>
      </c>
      <c r="B158">
        <v>102</v>
      </c>
      <c r="C158" s="1" t="str">
        <f>HYPERLINK("http://www.rosaceae.org/gb/gbrowse/malus_x_domestica/?name=MDP0000128695","MDP0000128695")</f>
        <v>MDP0000128695</v>
      </c>
      <c r="D158">
        <v>66.66</v>
      </c>
      <c r="E158">
        <v>108</v>
      </c>
      <c r="F158">
        <v>36</v>
      </c>
      <c r="G158">
        <v>7</v>
      </c>
      <c r="H158">
        <v>1</v>
      </c>
      <c r="I158">
        <v>101</v>
      </c>
      <c r="J158">
        <v>1</v>
      </c>
      <c r="K158">
        <v>1</v>
      </c>
      <c r="L158">
        <v>108</v>
      </c>
      <c r="M158">
        <v>1</v>
      </c>
      <c r="N158">
        <v>7.0536699999999994E-36</v>
      </c>
      <c r="O158">
        <v>367</v>
      </c>
    </row>
    <row r="159" spans="1:15" x14ac:dyDescent="0.25">
      <c r="A159" t="s">
        <v>172</v>
      </c>
      <c r="B159">
        <v>258</v>
      </c>
      <c r="C159" s="1" t="str">
        <f>HYPERLINK("http://www.rosaceae.org/gb/gbrowse/malus_x_domestica/?name=MDP0000236009","MDP0000236009")</f>
        <v>MDP0000236009</v>
      </c>
      <c r="D159">
        <v>35.659999999999997</v>
      </c>
      <c r="E159">
        <v>143</v>
      </c>
      <c r="F159">
        <v>92</v>
      </c>
      <c r="G159">
        <v>13</v>
      </c>
      <c r="H159">
        <v>93</v>
      </c>
      <c r="I159">
        <v>235</v>
      </c>
      <c r="J159">
        <v>1</v>
      </c>
      <c r="K159">
        <v>68</v>
      </c>
      <c r="L159">
        <v>197</v>
      </c>
      <c r="M159">
        <v>1</v>
      </c>
      <c r="N159">
        <v>5.2073399999999999E-14</v>
      </c>
      <c r="O159">
        <v>184</v>
      </c>
    </row>
    <row r="160" spans="1:15" x14ac:dyDescent="0.25">
      <c r="A160" t="s">
        <v>173</v>
      </c>
      <c r="B160">
        <v>203</v>
      </c>
      <c r="C160" s="1" t="str">
        <f>HYPERLINK("http://www.rosaceae.org/gb/gbrowse/malus_x_domestica/?name=MDP0000234152","MDP0000234152")</f>
        <v>MDP0000234152</v>
      </c>
      <c r="D160">
        <v>33.799999999999997</v>
      </c>
      <c r="E160">
        <v>142</v>
      </c>
      <c r="F160">
        <v>94</v>
      </c>
      <c r="G160">
        <v>3</v>
      </c>
      <c r="H160">
        <v>1</v>
      </c>
      <c r="I160">
        <v>141</v>
      </c>
      <c r="J160">
        <v>1</v>
      </c>
      <c r="K160">
        <v>1</v>
      </c>
      <c r="L160">
        <v>140</v>
      </c>
      <c r="M160">
        <v>1</v>
      </c>
      <c r="N160">
        <v>4.15694E-17</v>
      </c>
      <c r="O160">
        <v>209</v>
      </c>
    </row>
    <row r="161" spans="1:15" x14ac:dyDescent="0.25">
      <c r="A161" t="s">
        <v>174</v>
      </c>
      <c r="B161">
        <v>172</v>
      </c>
      <c r="C161" s="1" t="str">
        <f>HYPERLINK("http://www.rosaceae.org/gb/gbrowse/malus_x_domestica/?name=MDP0000470590","MDP0000470590")</f>
        <v>MDP0000470590</v>
      </c>
      <c r="D161">
        <v>61.8</v>
      </c>
      <c r="E161">
        <v>144</v>
      </c>
      <c r="F161">
        <v>55</v>
      </c>
      <c r="G161">
        <v>0</v>
      </c>
      <c r="H161">
        <v>22</v>
      </c>
      <c r="I161">
        <v>165</v>
      </c>
      <c r="J161">
        <v>1</v>
      </c>
      <c r="K161">
        <v>25</v>
      </c>
      <c r="L161">
        <v>168</v>
      </c>
      <c r="M161">
        <v>1</v>
      </c>
      <c r="N161">
        <v>3.3738700000000001E-50</v>
      </c>
      <c r="O161">
        <v>493</v>
      </c>
    </row>
    <row r="162" spans="1:15" x14ac:dyDescent="0.25">
      <c r="A162" t="s">
        <v>175</v>
      </c>
      <c r="B162">
        <v>310</v>
      </c>
      <c r="C162" s="1" t="str">
        <f>HYPERLINK("http://www.rosaceae.org/gb/gbrowse/malus_x_domestica/?name=MDP0000241581","MDP0000241581")</f>
        <v>MDP0000241581</v>
      </c>
      <c r="D162">
        <v>50.64</v>
      </c>
      <c r="E162">
        <v>233</v>
      </c>
      <c r="F162">
        <v>115</v>
      </c>
      <c r="G162">
        <v>23</v>
      </c>
      <c r="H162">
        <v>1</v>
      </c>
      <c r="I162">
        <v>221</v>
      </c>
      <c r="J162">
        <v>1</v>
      </c>
      <c r="K162">
        <v>4</v>
      </c>
      <c r="L162">
        <v>225</v>
      </c>
      <c r="M162">
        <v>1</v>
      </c>
      <c r="N162">
        <v>1.8350699999999999E-50</v>
      </c>
      <c r="O162">
        <v>499</v>
      </c>
    </row>
    <row r="163" spans="1:15" x14ac:dyDescent="0.25">
      <c r="A163" t="s">
        <v>176</v>
      </c>
      <c r="B163">
        <v>164</v>
      </c>
      <c r="C163" s="1" t="str">
        <f>HYPERLINK("http://www.rosaceae.org/gb/gbrowse/malus_x_domestica/?name=MDP0000290674","MDP0000290674")</f>
        <v>MDP0000290674</v>
      </c>
      <c r="D163">
        <v>64.959999999999994</v>
      </c>
      <c r="E163">
        <v>137</v>
      </c>
      <c r="F163">
        <v>48</v>
      </c>
      <c r="G163">
        <v>1</v>
      </c>
      <c r="H163">
        <v>1</v>
      </c>
      <c r="I163">
        <v>137</v>
      </c>
      <c r="J163">
        <v>1</v>
      </c>
      <c r="K163">
        <v>1</v>
      </c>
      <c r="L163">
        <v>136</v>
      </c>
      <c r="M163">
        <v>1</v>
      </c>
      <c r="N163">
        <v>2.0260200000000001E-44</v>
      </c>
      <c r="O163">
        <v>443</v>
      </c>
    </row>
    <row r="164" spans="1:15" x14ac:dyDescent="0.25">
      <c r="A164" t="s">
        <v>177</v>
      </c>
      <c r="B164">
        <v>323</v>
      </c>
      <c r="C164" s="1" t="str">
        <f>HYPERLINK("http://www.rosaceae.org/gb/gbrowse/malus_x_domestica/?name=MDP0000316843","MDP0000316843")</f>
        <v>MDP0000316843</v>
      </c>
      <c r="D164">
        <v>57</v>
      </c>
      <c r="E164">
        <v>107</v>
      </c>
      <c r="F164">
        <v>46</v>
      </c>
      <c r="G164">
        <v>2</v>
      </c>
      <c r="H164">
        <v>6</v>
      </c>
      <c r="I164">
        <v>112</v>
      </c>
      <c r="J164">
        <v>1</v>
      </c>
      <c r="K164">
        <v>4</v>
      </c>
      <c r="L164">
        <v>108</v>
      </c>
      <c r="M164">
        <v>1</v>
      </c>
      <c r="N164">
        <v>9.0424100000000003E-26</v>
      </c>
      <c r="O164">
        <v>287</v>
      </c>
    </row>
    <row r="165" spans="1:15" x14ac:dyDescent="0.25">
      <c r="A165" t="s">
        <v>178</v>
      </c>
      <c r="B165">
        <v>401</v>
      </c>
      <c r="C165" s="1" t="str">
        <f>HYPERLINK("http://www.rosaceae.org/gb/gbrowse/malus_x_domestica/?name=MDP0000223149","MDP0000223149")</f>
        <v>MDP0000223149</v>
      </c>
      <c r="D165">
        <v>29.68</v>
      </c>
      <c r="E165">
        <v>128</v>
      </c>
      <c r="F165">
        <v>90</v>
      </c>
      <c r="G165">
        <v>0</v>
      </c>
      <c r="H165">
        <v>45</v>
      </c>
      <c r="I165">
        <v>172</v>
      </c>
      <c r="J165">
        <v>1</v>
      </c>
      <c r="K165">
        <v>319</v>
      </c>
      <c r="L165">
        <v>446</v>
      </c>
      <c r="M165">
        <v>1</v>
      </c>
      <c r="N165">
        <v>3.44056E-15</v>
      </c>
      <c r="O165">
        <v>196</v>
      </c>
    </row>
    <row r="166" spans="1:15" x14ac:dyDescent="0.25">
      <c r="A166" t="s">
        <v>179</v>
      </c>
      <c r="B166">
        <v>263</v>
      </c>
      <c r="C166" s="1" t="str">
        <f>HYPERLINK("http://www.rosaceae.org/gb/gbrowse/malus_x_domestica/?name=MDP0000261968","MDP0000261968")</f>
        <v>MDP0000261968</v>
      </c>
      <c r="D166">
        <v>64.45</v>
      </c>
      <c r="E166">
        <v>287</v>
      </c>
      <c r="F166">
        <v>102</v>
      </c>
      <c r="G166">
        <v>33</v>
      </c>
      <c r="H166">
        <v>1</v>
      </c>
      <c r="I166">
        <v>254</v>
      </c>
      <c r="J166">
        <v>1</v>
      </c>
      <c r="K166">
        <v>581</v>
      </c>
      <c r="L166">
        <v>867</v>
      </c>
      <c r="M166">
        <v>1</v>
      </c>
      <c r="N166">
        <v>2.68384E-106</v>
      </c>
      <c r="O166">
        <v>980</v>
      </c>
    </row>
    <row r="167" spans="1:15" x14ac:dyDescent="0.25">
      <c r="A167" t="s">
        <v>180</v>
      </c>
      <c r="B167">
        <v>260</v>
      </c>
      <c r="C167" s="1" t="str">
        <f>HYPERLINK("http://www.rosaceae.org/gb/gbrowse/malus_x_domestica/?name=MDP0000514755","MDP0000514755")</f>
        <v>MDP0000514755</v>
      </c>
      <c r="D167">
        <v>77.400000000000006</v>
      </c>
      <c r="E167">
        <v>208</v>
      </c>
      <c r="F167">
        <v>47</v>
      </c>
      <c r="G167">
        <v>0</v>
      </c>
      <c r="H167">
        <v>41</v>
      </c>
      <c r="I167">
        <v>248</v>
      </c>
      <c r="J167">
        <v>1</v>
      </c>
      <c r="K167">
        <v>76</v>
      </c>
      <c r="L167">
        <v>283</v>
      </c>
      <c r="M167">
        <v>1</v>
      </c>
      <c r="N167">
        <v>1.4285000000000001E-87</v>
      </c>
      <c r="O167">
        <v>818</v>
      </c>
    </row>
    <row r="168" spans="1:15" x14ac:dyDescent="0.25">
      <c r="A168" t="s">
        <v>181</v>
      </c>
      <c r="B168">
        <v>314</v>
      </c>
      <c r="C168" s="1" t="str">
        <f>HYPERLINK("http://www.rosaceae.org/gb/gbrowse/malus_x_domestica/?name=MDP0000281697","MDP0000281697")</f>
        <v>MDP0000281697</v>
      </c>
      <c r="D168">
        <v>63.19</v>
      </c>
      <c r="E168">
        <v>326</v>
      </c>
      <c r="F168">
        <v>120</v>
      </c>
      <c r="G168">
        <v>14</v>
      </c>
      <c r="H168">
        <v>1</v>
      </c>
      <c r="I168">
        <v>314</v>
      </c>
      <c r="J168">
        <v>1</v>
      </c>
      <c r="K168">
        <v>1</v>
      </c>
      <c r="L168">
        <v>324</v>
      </c>
      <c r="M168">
        <v>1</v>
      </c>
      <c r="N168">
        <v>5.8325600000000002E-99</v>
      </c>
      <c r="O168">
        <v>918</v>
      </c>
    </row>
    <row r="169" spans="1:15" x14ac:dyDescent="0.25">
      <c r="A169" t="s">
        <v>182</v>
      </c>
      <c r="B169">
        <v>106</v>
      </c>
      <c r="C169" s="1" t="str">
        <f>HYPERLINK("http://www.rosaceae.org/gb/gbrowse/malus_x_domestica/?name=MDP0000651107","MDP0000651107")</f>
        <v>MDP0000651107</v>
      </c>
      <c r="D169">
        <v>70.959999999999994</v>
      </c>
      <c r="E169">
        <v>31</v>
      </c>
      <c r="F169">
        <v>9</v>
      </c>
      <c r="G169">
        <v>0</v>
      </c>
      <c r="H169">
        <v>35</v>
      </c>
      <c r="I169">
        <v>65</v>
      </c>
      <c r="J169">
        <v>1</v>
      </c>
      <c r="K169">
        <v>27</v>
      </c>
      <c r="L169">
        <v>57</v>
      </c>
      <c r="M169">
        <v>1</v>
      </c>
      <c r="N169">
        <v>2.0072100000000001E-8</v>
      </c>
      <c r="O169">
        <v>130</v>
      </c>
    </row>
    <row r="170" spans="1:15" x14ac:dyDescent="0.25">
      <c r="A170" t="s">
        <v>183</v>
      </c>
      <c r="B170">
        <v>332</v>
      </c>
      <c r="C170" s="1" t="str">
        <f>HYPERLINK("http://www.rosaceae.org/gb/gbrowse/malus_x_domestica/?name=MDP0000124256","MDP0000124256")</f>
        <v>MDP0000124256</v>
      </c>
      <c r="D170">
        <v>35.83</v>
      </c>
      <c r="E170">
        <v>120</v>
      </c>
      <c r="F170">
        <v>77</v>
      </c>
      <c r="G170">
        <v>0</v>
      </c>
      <c r="H170">
        <v>210</v>
      </c>
      <c r="I170">
        <v>329</v>
      </c>
      <c r="J170">
        <v>1</v>
      </c>
      <c r="K170">
        <v>75</v>
      </c>
      <c r="L170">
        <v>194</v>
      </c>
      <c r="M170">
        <v>1</v>
      </c>
      <c r="N170">
        <v>1.4329000000000001E-15</v>
      </c>
      <c r="O170">
        <v>199</v>
      </c>
    </row>
    <row r="171" spans="1:15" x14ac:dyDescent="0.25">
      <c r="A171" t="s">
        <v>184</v>
      </c>
      <c r="B171">
        <v>877</v>
      </c>
      <c r="C171" s="1" t="str">
        <f>HYPERLINK("http://www.rosaceae.org/gb/gbrowse/malus_x_domestica/?name=MDP0000423544","MDP0000423544")</f>
        <v>MDP0000423544</v>
      </c>
      <c r="D171">
        <v>71.02</v>
      </c>
      <c r="E171">
        <v>880</v>
      </c>
      <c r="F171">
        <v>255</v>
      </c>
      <c r="G171">
        <v>23</v>
      </c>
      <c r="H171">
        <v>1</v>
      </c>
      <c r="I171">
        <v>876</v>
      </c>
      <c r="J171">
        <v>1</v>
      </c>
      <c r="K171">
        <v>84</v>
      </c>
      <c r="L171">
        <v>944</v>
      </c>
      <c r="M171">
        <v>1</v>
      </c>
      <c r="N171">
        <v>0</v>
      </c>
      <c r="O171">
        <v>3363</v>
      </c>
    </row>
    <row r="172" spans="1:15" x14ac:dyDescent="0.25">
      <c r="A172" t="s">
        <v>185</v>
      </c>
      <c r="B172">
        <v>664</v>
      </c>
      <c r="C172" s="1" t="str">
        <f>HYPERLINK("http://www.rosaceae.org/gb/gbrowse/malus_x_domestica/?name=MDP0000151393","MDP0000151393")</f>
        <v>MDP0000151393</v>
      </c>
      <c r="D172">
        <v>62.22</v>
      </c>
      <c r="E172">
        <v>675</v>
      </c>
      <c r="F172">
        <v>255</v>
      </c>
      <c r="G172">
        <v>17</v>
      </c>
      <c r="H172">
        <v>1</v>
      </c>
      <c r="I172">
        <v>664</v>
      </c>
      <c r="J172">
        <v>1</v>
      </c>
      <c r="K172">
        <v>1</v>
      </c>
      <c r="L172">
        <v>669</v>
      </c>
      <c r="M172">
        <v>1</v>
      </c>
      <c r="N172">
        <v>0</v>
      </c>
      <c r="O172">
        <v>2020</v>
      </c>
    </row>
    <row r="173" spans="1:15" x14ac:dyDescent="0.25">
      <c r="A173" t="s">
        <v>186</v>
      </c>
      <c r="B173">
        <v>507</v>
      </c>
      <c r="C173" s="1" t="str">
        <f>HYPERLINK("http://www.rosaceae.org/gb/gbrowse/malus_x_domestica/?name=MDP0000831221","MDP0000831221")</f>
        <v>MDP0000831221</v>
      </c>
      <c r="D173">
        <v>74.48</v>
      </c>
      <c r="E173">
        <v>490</v>
      </c>
      <c r="F173">
        <v>125</v>
      </c>
      <c r="G173">
        <v>0</v>
      </c>
      <c r="H173">
        <v>15</v>
      </c>
      <c r="I173">
        <v>504</v>
      </c>
      <c r="J173">
        <v>1</v>
      </c>
      <c r="K173">
        <v>14</v>
      </c>
      <c r="L173">
        <v>503</v>
      </c>
      <c r="M173">
        <v>1</v>
      </c>
      <c r="N173">
        <v>0</v>
      </c>
      <c r="O173">
        <v>1949</v>
      </c>
    </row>
    <row r="174" spans="1:15" x14ac:dyDescent="0.25">
      <c r="A174" t="s">
        <v>187</v>
      </c>
      <c r="B174">
        <v>804</v>
      </c>
      <c r="C174" s="1" t="str">
        <f>HYPERLINK("http://www.rosaceae.org/gb/gbrowse/malus_x_domestica/?name=MDP0000295749","MDP0000295749")</f>
        <v>MDP0000295749</v>
      </c>
      <c r="D174">
        <v>70.319999999999993</v>
      </c>
      <c r="E174">
        <v>802</v>
      </c>
      <c r="F174">
        <v>238</v>
      </c>
      <c r="G174">
        <v>57</v>
      </c>
      <c r="H174">
        <v>2</v>
      </c>
      <c r="I174">
        <v>799</v>
      </c>
      <c r="J174">
        <v>1</v>
      </c>
      <c r="K174">
        <v>127</v>
      </c>
      <c r="L174">
        <v>875</v>
      </c>
      <c r="M174">
        <v>1</v>
      </c>
      <c r="N174">
        <v>0</v>
      </c>
      <c r="O174">
        <v>2866</v>
      </c>
    </row>
    <row r="175" spans="1:15" x14ac:dyDescent="0.25">
      <c r="A175" t="s">
        <v>188</v>
      </c>
      <c r="B175">
        <v>420</v>
      </c>
      <c r="C175" s="1" t="str">
        <f>HYPERLINK("http://www.rosaceae.org/gb/gbrowse/malus_x_domestica/?name=MDP0000321660","MDP0000321660")</f>
        <v>MDP0000321660</v>
      </c>
      <c r="D175">
        <v>81.94</v>
      </c>
      <c r="E175">
        <v>421</v>
      </c>
      <c r="F175">
        <v>76</v>
      </c>
      <c r="G175">
        <v>1</v>
      </c>
      <c r="H175">
        <v>1</v>
      </c>
      <c r="I175">
        <v>420</v>
      </c>
      <c r="J175">
        <v>1</v>
      </c>
      <c r="K175">
        <v>421</v>
      </c>
      <c r="L175">
        <v>841</v>
      </c>
      <c r="M175">
        <v>1</v>
      </c>
      <c r="N175">
        <v>0</v>
      </c>
      <c r="O175">
        <v>1743</v>
      </c>
    </row>
    <row r="176" spans="1:15" x14ac:dyDescent="0.25">
      <c r="A176" t="s">
        <v>189</v>
      </c>
      <c r="B176">
        <v>1712</v>
      </c>
      <c r="C176" s="1" t="str">
        <f>HYPERLINK("http://www.rosaceae.org/gb/gbrowse/malus_x_domestica/?name=MDP0000321003","MDP0000321003")</f>
        <v>MDP0000321003</v>
      </c>
      <c r="D176">
        <v>70.33</v>
      </c>
      <c r="E176">
        <v>1119</v>
      </c>
      <c r="F176">
        <v>332</v>
      </c>
      <c r="G176">
        <v>45</v>
      </c>
      <c r="H176">
        <v>595</v>
      </c>
      <c r="I176">
        <v>1709</v>
      </c>
      <c r="J176">
        <v>1</v>
      </c>
      <c r="K176">
        <v>26</v>
      </c>
      <c r="L176">
        <v>1103</v>
      </c>
      <c r="M176">
        <v>1</v>
      </c>
      <c r="N176">
        <v>0</v>
      </c>
      <c r="O176">
        <v>4168</v>
      </c>
    </row>
    <row r="177" spans="1:15" x14ac:dyDescent="0.25">
      <c r="A177" t="s">
        <v>190</v>
      </c>
      <c r="B177">
        <v>308</v>
      </c>
      <c r="C177" s="1" t="str">
        <f>HYPERLINK("http://www.rosaceae.org/gb/gbrowse/malus_x_domestica/?name=MDP0000264955","MDP0000264955")</f>
        <v>MDP0000264955</v>
      </c>
      <c r="D177">
        <v>58.62</v>
      </c>
      <c r="E177">
        <v>145</v>
      </c>
      <c r="F177">
        <v>60</v>
      </c>
      <c r="G177">
        <v>3</v>
      </c>
      <c r="H177">
        <v>1</v>
      </c>
      <c r="I177">
        <v>145</v>
      </c>
      <c r="J177">
        <v>1</v>
      </c>
      <c r="K177">
        <v>3</v>
      </c>
      <c r="L177">
        <v>144</v>
      </c>
      <c r="M177">
        <v>1</v>
      </c>
      <c r="N177">
        <v>2.5653100000000001E-41</v>
      </c>
      <c r="O177">
        <v>420</v>
      </c>
    </row>
    <row r="178" spans="1:15" x14ac:dyDescent="0.25">
      <c r="A178" t="s">
        <v>191</v>
      </c>
      <c r="B178">
        <v>226</v>
      </c>
      <c r="C178" s="1" t="str">
        <f>HYPERLINK("http://www.rosaceae.org/gb/gbrowse/malus_x_domestica/?name=MDP0000183239","MDP0000183239")</f>
        <v>MDP0000183239</v>
      </c>
      <c r="D178">
        <v>72.39</v>
      </c>
      <c r="E178">
        <v>221</v>
      </c>
      <c r="F178">
        <v>61</v>
      </c>
      <c r="G178">
        <v>0</v>
      </c>
      <c r="H178">
        <v>5</v>
      </c>
      <c r="I178">
        <v>225</v>
      </c>
      <c r="J178">
        <v>1</v>
      </c>
      <c r="K178">
        <v>19</v>
      </c>
      <c r="L178">
        <v>239</v>
      </c>
      <c r="M178">
        <v>1</v>
      </c>
      <c r="N178">
        <v>1.5605399999999999E-86</v>
      </c>
      <c r="O178">
        <v>809</v>
      </c>
    </row>
    <row r="179" spans="1:15" x14ac:dyDescent="0.25">
      <c r="A179" t="s">
        <v>192</v>
      </c>
      <c r="B179">
        <v>303</v>
      </c>
      <c r="C179" s="1" t="str">
        <f>HYPERLINK("http://www.rosaceae.org/gb/gbrowse/malus_x_domestica/?name=MDP0000267318","MDP0000267318")</f>
        <v>MDP0000267318</v>
      </c>
      <c r="D179">
        <v>97.77</v>
      </c>
      <c r="E179">
        <v>90</v>
      </c>
      <c r="F179">
        <v>2</v>
      </c>
      <c r="G179">
        <v>0</v>
      </c>
      <c r="H179">
        <v>1</v>
      </c>
      <c r="I179">
        <v>90</v>
      </c>
      <c r="J179">
        <v>1</v>
      </c>
      <c r="K179">
        <v>806</v>
      </c>
      <c r="L179">
        <v>895</v>
      </c>
      <c r="M179">
        <v>1</v>
      </c>
      <c r="N179">
        <v>5.2379000000000001E-55</v>
      </c>
      <c r="O179">
        <v>538</v>
      </c>
    </row>
    <row r="180" spans="1:15" x14ac:dyDescent="0.25">
      <c r="A180" t="s">
        <v>193</v>
      </c>
      <c r="B180">
        <v>765</v>
      </c>
      <c r="C180" s="1" t="str">
        <f>HYPERLINK("http://www.rosaceae.org/gb/gbrowse/malus_x_domestica/?name=MDP0000880247","MDP0000880247")</f>
        <v>MDP0000880247</v>
      </c>
      <c r="D180">
        <v>72.45</v>
      </c>
      <c r="E180">
        <v>628</v>
      </c>
      <c r="F180">
        <v>173</v>
      </c>
      <c r="G180">
        <v>23</v>
      </c>
      <c r="H180">
        <v>1</v>
      </c>
      <c r="I180">
        <v>612</v>
      </c>
      <c r="J180">
        <v>1</v>
      </c>
      <c r="K180">
        <v>1</v>
      </c>
      <c r="L180">
        <v>621</v>
      </c>
      <c r="M180">
        <v>1</v>
      </c>
      <c r="N180">
        <v>0</v>
      </c>
      <c r="O180">
        <v>2330</v>
      </c>
    </row>
    <row r="181" spans="1:15" x14ac:dyDescent="0.25">
      <c r="A181" t="s">
        <v>194</v>
      </c>
      <c r="B181">
        <v>227</v>
      </c>
      <c r="C181" s="1" t="str">
        <f>HYPERLINK("http://www.rosaceae.org/gb/gbrowse/malus_x_domestica/?name=MDP0000205490","MDP0000205490")</f>
        <v>MDP0000205490</v>
      </c>
      <c r="D181">
        <v>72.81</v>
      </c>
      <c r="E181">
        <v>217</v>
      </c>
      <c r="F181">
        <v>59</v>
      </c>
      <c r="G181">
        <v>28</v>
      </c>
      <c r="H181">
        <v>2</v>
      </c>
      <c r="I181">
        <v>193</v>
      </c>
      <c r="J181">
        <v>1</v>
      </c>
      <c r="K181">
        <v>8</v>
      </c>
      <c r="L181">
        <v>221</v>
      </c>
      <c r="M181">
        <v>1</v>
      </c>
      <c r="N181">
        <v>8.1554500000000002E-79</v>
      </c>
      <c r="O181">
        <v>742</v>
      </c>
    </row>
    <row r="182" spans="1:15" x14ac:dyDescent="0.25">
      <c r="A182" t="s">
        <v>195</v>
      </c>
      <c r="B182">
        <v>631</v>
      </c>
      <c r="C182" s="1" t="str">
        <f>HYPERLINK("http://www.rosaceae.org/gb/gbrowse/malus_x_domestica/?name=MDP0000152771","MDP0000152771")</f>
        <v>MDP0000152771</v>
      </c>
      <c r="D182">
        <v>69.97</v>
      </c>
      <c r="E182">
        <v>676</v>
      </c>
      <c r="F182">
        <v>203</v>
      </c>
      <c r="G182">
        <v>49</v>
      </c>
      <c r="H182">
        <v>1</v>
      </c>
      <c r="I182">
        <v>627</v>
      </c>
      <c r="J182">
        <v>1</v>
      </c>
      <c r="K182">
        <v>1</v>
      </c>
      <c r="L182">
        <v>676</v>
      </c>
      <c r="M182">
        <v>1</v>
      </c>
      <c r="N182">
        <v>0</v>
      </c>
      <c r="O182">
        <v>2338</v>
      </c>
    </row>
    <row r="183" spans="1:15" x14ac:dyDescent="0.25">
      <c r="A183" t="s">
        <v>196</v>
      </c>
      <c r="B183">
        <v>273</v>
      </c>
      <c r="C183" s="1" t="str">
        <f>HYPERLINK("http://www.rosaceae.org/gb/gbrowse/malus_x_domestica/?name=MDP0000302532","MDP0000302532")</f>
        <v>MDP0000302532</v>
      </c>
      <c r="D183">
        <v>34.729999999999997</v>
      </c>
      <c r="E183">
        <v>285</v>
      </c>
      <c r="F183">
        <v>186</v>
      </c>
      <c r="G183">
        <v>37</v>
      </c>
      <c r="H183">
        <v>8</v>
      </c>
      <c r="I183">
        <v>263</v>
      </c>
      <c r="J183">
        <v>1</v>
      </c>
      <c r="K183">
        <v>1</v>
      </c>
      <c r="L183">
        <v>277</v>
      </c>
      <c r="M183">
        <v>1</v>
      </c>
      <c r="N183">
        <v>1.04921E-37</v>
      </c>
      <c r="O183">
        <v>389</v>
      </c>
    </row>
    <row r="184" spans="1:15" x14ac:dyDescent="0.25">
      <c r="A184" t="s">
        <v>197</v>
      </c>
      <c r="B184">
        <v>301</v>
      </c>
      <c r="C184" s="1" t="str">
        <f>HYPERLINK("http://www.rosaceae.org/gb/gbrowse/malus_x_domestica/?name=MDP0000311558","MDP0000311558")</f>
        <v>MDP0000311558</v>
      </c>
      <c r="D184">
        <v>28.75</v>
      </c>
      <c r="E184">
        <v>313</v>
      </c>
      <c r="F184">
        <v>223</v>
      </c>
      <c r="G184">
        <v>37</v>
      </c>
      <c r="H184">
        <v>15</v>
      </c>
      <c r="I184">
        <v>301</v>
      </c>
      <c r="J184">
        <v>1</v>
      </c>
      <c r="K184">
        <v>9</v>
      </c>
      <c r="L184">
        <v>310</v>
      </c>
      <c r="M184">
        <v>1</v>
      </c>
      <c r="N184">
        <v>5.3281E-19</v>
      </c>
      <c r="O184">
        <v>228</v>
      </c>
    </row>
    <row r="185" spans="1:15" x14ac:dyDescent="0.25">
      <c r="A185" t="s">
        <v>198</v>
      </c>
      <c r="B185">
        <v>371</v>
      </c>
      <c r="C185" s="1" t="str">
        <f>HYPERLINK("http://www.rosaceae.org/gb/gbrowse/malus_x_domestica/?name=MDP0000598998","MDP0000598998")</f>
        <v>MDP0000598998</v>
      </c>
      <c r="D185">
        <v>49.01</v>
      </c>
      <c r="E185">
        <v>357</v>
      </c>
      <c r="F185">
        <v>182</v>
      </c>
      <c r="G185">
        <v>16</v>
      </c>
      <c r="H185">
        <v>27</v>
      </c>
      <c r="I185">
        <v>370</v>
      </c>
      <c r="J185">
        <v>1</v>
      </c>
      <c r="K185">
        <v>22</v>
      </c>
      <c r="L185">
        <v>375</v>
      </c>
      <c r="M185">
        <v>1</v>
      </c>
      <c r="N185">
        <v>8.1580899999999996E-89</v>
      </c>
      <c r="O185">
        <v>831</v>
      </c>
    </row>
    <row r="186" spans="1:15" x14ac:dyDescent="0.25">
      <c r="A186" t="s">
        <v>199</v>
      </c>
      <c r="B186">
        <v>1047</v>
      </c>
      <c r="C186" s="1" t="str">
        <f>HYPERLINK("http://www.rosaceae.org/gb/gbrowse/malus_x_domestica/?name=MDP0000312256","MDP0000312256")</f>
        <v>MDP0000312256</v>
      </c>
      <c r="D186">
        <v>73.84</v>
      </c>
      <c r="E186">
        <v>260</v>
      </c>
      <c r="F186">
        <v>68</v>
      </c>
      <c r="G186">
        <v>2</v>
      </c>
      <c r="H186">
        <v>760</v>
      </c>
      <c r="I186">
        <v>1017</v>
      </c>
      <c r="J186">
        <v>1</v>
      </c>
      <c r="K186">
        <v>74</v>
      </c>
      <c r="L186">
        <v>333</v>
      </c>
      <c r="M186">
        <v>1</v>
      </c>
      <c r="N186">
        <v>2.1751499999999999E-110</v>
      </c>
      <c r="O186">
        <v>1022</v>
      </c>
    </row>
    <row r="187" spans="1:15" x14ac:dyDescent="0.25">
      <c r="A187" t="s">
        <v>200</v>
      </c>
      <c r="B187">
        <v>227</v>
      </c>
      <c r="C187" s="1" t="str">
        <f>HYPERLINK("http://www.rosaceae.org/gb/gbrowse/malus_x_domestica/?name=MDP0000233072","MDP0000233072")</f>
        <v>MDP0000233072</v>
      </c>
      <c r="D187">
        <v>57.29</v>
      </c>
      <c r="E187">
        <v>96</v>
      </c>
      <c r="F187">
        <v>41</v>
      </c>
      <c r="G187">
        <v>2</v>
      </c>
      <c r="H187">
        <v>1</v>
      </c>
      <c r="I187">
        <v>94</v>
      </c>
      <c r="J187">
        <v>1</v>
      </c>
      <c r="K187">
        <v>1076</v>
      </c>
      <c r="L187">
        <v>1171</v>
      </c>
      <c r="M187">
        <v>1</v>
      </c>
      <c r="N187">
        <v>2.33661E-16</v>
      </c>
      <c r="O187">
        <v>203</v>
      </c>
    </row>
    <row r="188" spans="1:15" x14ac:dyDescent="0.25">
      <c r="A188" t="s">
        <v>201</v>
      </c>
      <c r="B188">
        <v>339</v>
      </c>
      <c r="C188" s="1" t="str">
        <f>HYPERLINK("http://www.rosaceae.org/gb/gbrowse/malus_x_domestica/?name=MDP0000213746","MDP0000213746")</f>
        <v>MDP0000213746</v>
      </c>
      <c r="D188">
        <v>73.150000000000006</v>
      </c>
      <c r="E188">
        <v>365</v>
      </c>
      <c r="F188">
        <v>98</v>
      </c>
      <c r="G188">
        <v>53</v>
      </c>
      <c r="H188">
        <v>1</v>
      </c>
      <c r="I188">
        <v>339</v>
      </c>
      <c r="J188">
        <v>1</v>
      </c>
      <c r="K188">
        <v>1</v>
      </c>
      <c r="L188">
        <v>338</v>
      </c>
      <c r="M188">
        <v>1</v>
      </c>
      <c r="N188">
        <v>3.1412500000000001E-146</v>
      </c>
      <c r="O188">
        <v>1326</v>
      </c>
    </row>
    <row r="189" spans="1:15" x14ac:dyDescent="0.25">
      <c r="A189" t="s">
        <v>202</v>
      </c>
      <c r="B189">
        <v>556</v>
      </c>
      <c r="C189" s="1" t="str">
        <f>HYPERLINK("http://www.rosaceae.org/gb/gbrowse/malus_x_domestica/?name=MDP0000127625","MDP0000127625")</f>
        <v>MDP0000127625</v>
      </c>
      <c r="D189">
        <v>34.299999999999997</v>
      </c>
      <c r="E189">
        <v>551</v>
      </c>
      <c r="F189">
        <v>362</v>
      </c>
      <c r="G189">
        <v>19</v>
      </c>
      <c r="H189">
        <v>1</v>
      </c>
      <c r="I189">
        <v>538</v>
      </c>
      <c r="J189">
        <v>1</v>
      </c>
      <c r="K189">
        <v>36</v>
      </c>
      <c r="L189">
        <v>580</v>
      </c>
      <c r="M189">
        <v>1</v>
      </c>
      <c r="N189">
        <v>8.3305900000000005E-86</v>
      </c>
      <c r="O189">
        <v>807</v>
      </c>
    </row>
    <row r="190" spans="1:15" x14ac:dyDescent="0.25">
      <c r="A190" t="s">
        <v>203</v>
      </c>
      <c r="B190">
        <v>277</v>
      </c>
      <c r="C190" s="1" t="str">
        <f>HYPERLINK("http://www.rosaceae.org/gb/gbrowse/malus_x_domestica/?name=MDP0000706379","MDP0000706379")</f>
        <v>MDP0000706379</v>
      </c>
      <c r="D190">
        <v>46.3</v>
      </c>
      <c r="E190">
        <v>298</v>
      </c>
      <c r="F190">
        <v>160</v>
      </c>
      <c r="G190">
        <v>25</v>
      </c>
      <c r="H190">
        <v>3</v>
      </c>
      <c r="I190">
        <v>277</v>
      </c>
      <c r="J190">
        <v>1</v>
      </c>
      <c r="K190">
        <v>4</v>
      </c>
      <c r="L190">
        <v>299</v>
      </c>
      <c r="M190">
        <v>1</v>
      </c>
      <c r="N190">
        <v>1.57111E-48</v>
      </c>
      <c r="O190">
        <v>482</v>
      </c>
    </row>
    <row r="191" spans="1:15" x14ac:dyDescent="0.25">
      <c r="A191" t="s">
        <v>204</v>
      </c>
      <c r="B191">
        <v>196</v>
      </c>
      <c r="C191" s="1" t="str">
        <f>HYPERLINK("http://www.rosaceae.org/gb/gbrowse/malus_x_domestica/?name=MDP0000680657","MDP0000680657")</f>
        <v>MDP0000680657</v>
      </c>
      <c r="D191">
        <v>37.049999999999997</v>
      </c>
      <c r="E191">
        <v>170</v>
      </c>
      <c r="F191">
        <v>107</v>
      </c>
      <c r="G191">
        <v>25</v>
      </c>
      <c r="H191">
        <v>5</v>
      </c>
      <c r="I191">
        <v>150</v>
      </c>
      <c r="J191">
        <v>1</v>
      </c>
      <c r="K191">
        <v>895</v>
      </c>
      <c r="L191">
        <v>1063</v>
      </c>
      <c r="M191">
        <v>1</v>
      </c>
      <c r="N191">
        <v>6.8346300000000003E-21</v>
      </c>
      <c r="O191">
        <v>242</v>
      </c>
    </row>
    <row r="192" spans="1:15" x14ac:dyDescent="0.25">
      <c r="A192" t="s">
        <v>205</v>
      </c>
      <c r="B192">
        <v>1040</v>
      </c>
      <c r="C192" s="1" t="str">
        <f>HYPERLINK("http://www.rosaceae.org/gb/gbrowse/malus_x_domestica/?name=MDP0000171517","MDP0000171517")</f>
        <v>MDP0000171517</v>
      </c>
      <c r="D192">
        <v>71.599999999999994</v>
      </c>
      <c r="E192">
        <v>1060</v>
      </c>
      <c r="F192">
        <v>301</v>
      </c>
      <c r="G192">
        <v>50</v>
      </c>
      <c r="H192">
        <v>14</v>
      </c>
      <c r="I192">
        <v>1040</v>
      </c>
      <c r="J192">
        <v>1</v>
      </c>
      <c r="K192">
        <v>102</v>
      </c>
      <c r="L192">
        <v>1144</v>
      </c>
      <c r="M192">
        <v>1</v>
      </c>
      <c r="N192">
        <v>0</v>
      </c>
      <c r="O192">
        <v>3836</v>
      </c>
    </row>
    <row r="193" spans="1:15" x14ac:dyDescent="0.25">
      <c r="A193" t="s">
        <v>206</v>
      </c>
      <c r="B193">
        <v>277</v>
      </c>
      <c r="C193" s="1" t="str">
        <f>HYPERLINK("http://www.rosaceae.org/gb/gbrowse/malus_x_domestica/?name=MDP0000150438","MDP0000150438")</f>
        <v>MDP0000150438</v>
      </c>
      <c r="D193">
        <v>39.93</v>
      </c>
      <c r="E193">
        <v>288</v>
      </c>
      <c r="F193">
        <v>173</v>
      </c>
      <c r="G193">
        <v>17</v>
      </c>
      <c r="H193">
        <v>1</v>
      </c>
      <c r="I193">
        <v>277</v>
      </c>
      <c r="J193">
        <v>1</v>
      </c>
      <c r="K193">
        <v>103</v>
      </c>
      <c r="L193">
        <v>384</v>
      </c>
      <c r="M193">
        <v>1</v>
      </c>
      <c r="N193">
        <v>2.5263900000000001E-50</v>
      </c>
      <c r="O193">
        <v>498</v>
      </c>
    </row>
    <row r="194" spans="1:15" x14ac:dyDescent="0.25">
      <c r="A194" t="s">
        <v>207</v>
      </c>
      <c r="B194">
        <v>235</v>
      </c>
      <c r="C194" s="1" t="str">
        <f>HYPERLINK("http://www.rosaceae.org/gb/gbrowse/malus_x_domestica/?name=MDP0000150589","MDP0000150589")</f>
        <v>MDP0000150589</v>
      </c>
      <c r="D194">
        <v>89.36</v>
      </c>
      <c r="E194">
        <v>235</v>
      </c>
      <c r="F194">
        <v>25</v>
      </c>
      <c r="G194">
        <v>0</v>
      </c>
      <c r="H194">
        <v>1</v>
      </c>
      <c r="I194">
        <v>235</v>
      </c>
      <c r="J194">
        <v>1</v>
      </c>
      <c r="K194">
        <v>3</v>
      </c>
      <c r="L194">
        <v>237</v>
      </c>
      <c r="M194">
        <v>1</v>
      </c>
      <c r="N194">
        <v>1.5230800000000001E-120</v>
      </c>
      <c r="O194">
        <v>1102</v>
      </c>
    </row>
    <row r="195" spans="1:15" x14ac:dyDescent="0.25">
      <c r="A195" t="s">
        <v>208</v>
      </c>
      <c r="B195">
        <v>84</v>
      </c>
      <c r="C195" s="1" t="str">
        <f>HYPERLINK("http://www.rosaceae.org/gb/gbrowse/malus_x_domestica/?name=MDP0000888078","MDP0000888078")</f>
        <v>MDP0000888078</v>
      </c>
      <c r="D195">
        <v>65.38</v>
      </c>
      <c r="E195">
        <v>104</v>
      </c>
      <c r="F195">
        <v>36</v>
      </c>
      <c r="G195">
        <v>20</v>
      </c>
      <c r="H195">
        <v>1</v>
      </c>
      <c r="I195">
        <v>84</v>
      </c>
      <c r="J195">
        <v>1</v>
      </c>
      <c r="K195">
        <v>7</v>
      </c>
      <c r="L195">
        <v>110</v>
      </c>
      <c r="M195">
        <v>1</v>
      </c>
      <c r="N195">
        <v>2.0934600000000002E-30</v>
      </c>
      <c r="O195">
        <v>320</v>
      </c>
    </row>
    <row r="196" spans="1:15" x14ac:dyDescent="0.25">
      <c r="A196" t="s">
        <v>209</v>
      </c>
      <c r="B196">
        <v>125</v>
      </c>
      <c r="C196" s="1" t="str">
        <f>HYPERLINK("http://www.rosaceae.org/gb/gbrowse/malus_x_domestica/?name=MDP0000193275","MDP0000193275")</f>
        <v>MDP0000193275</v>
      </c>
      <c r="D196">
        <v>84.21</v>
      </c>
      <c r="E196">
        <v>114</v>
      </c>
      <c r="F196">
        <v>18</v>
      </c>
      <c r="G196">
        <v>6</v>
      </c>
      <c r="H196">
        <v>1</v>
      </c>
      <c r="I196">
        <v>108</v>
      </c>
      <c r="J196">
        <v>1</v>
      </c>
      <c r="K196">
        <v>230</v>
      </c>
      <c r="L196">
        <v>343</v>
      </c>
      <c r="M196">
        <v>1</v>
      </c>
      <c r="N196">
        <v>1.15778E-48</v>
      </c>
      <c r="O196">
        <v>477</v>
      </c>
    </row>
    <row r="197" spans="1:15" x14ac:dyDescent="0.25">
      <c r="A197" t="s">
        <v>210</v>
      </c>
      <c r="B197">
        <v>743</v>
      </c>
      <c r="C197" s="1" t="str">
        <f>HYPERLINK("http://www.rosaceae.org/gb/gbrowse/malus_x_domestica/?name=MDP0000700517","MDP0000700517")</f>
        <v>MDP0000700517</v>
      </c>
      <c r="D197">
        <v>29.41</v>
      </c>
      <c r="E197">
        <v>119</v>
      </c>
      <c r="F197">
        <v>84</v>
      </c>
      <c r="G197">
        <v>18</v>
      </c>
      <c r="H197">
        <v>4</v>
      </c>
      <c r="I197">
        <v>116</v>
      </c>
      <c r="J197">
        <v>1</v>
      </c>
      <c r="K197">
        <v>186</v>
      </c>
      <c r="L197">
        <v>292</v>
      </c>
      <c r="M197">
        <v>1</v>
      </c>
      <c r="N197">
        <v>6.5511300000000003E-11</v>
      </c>
      <c r="O197">
        <v>162</v>
      </c>
    </row>
    <row r="198" spans="1:15" x14ac:dyDescent="0.25">
      <c r="A198" t="s">
        <v>211</v>
      </c>
      <c r="B198">
        <v>297</v>
      </c>
      <c r="C198" s="1" t="str">
        <f>HYPERLINK("http://www.rosaceae.org/gb/gbrowse/malus_x_domestica/?name=MDP0000233598","MDP0000233598")</f>
        <v>MDP0000233598</v>
      </c>
      <c r="D198">
        <v>24.62</v>
      </c>
      <c r="E198">
        <v>199</v>
      </c>
      <c r="F198">
        <v>150</v>
      </c>
      <c r="G198">
        <v>49</v>
      </c>
      <c r="H198">
        <v>33</v>
      </c>
      <c r="I198">
        <v>198</v>
      </c>
      <c r="J198">
        <v>1</v>
      </c>
      <c r="K198">
        <v>276</v>
      </c>
      <c r="L198">
        <v>458</v>
      </c>
      <c r="M198">
        <v>1</v>
      </c>
      <c r="N198">
        <v>1.6818E-12</v>
      </c>
      <c r="O198">
        <v>172</v>
      </c>
    </row>
    <row r="199" spans="1:15" x14ac:dyDescent="0.25">
      <c r="A199" t="s">
        <v>212</v>
      </c>
      <c r="B199">
        <v>495</v>
      </c>
      <c r="C199" s="1" t="str">
        <f>HYPERLINK("http://www.rosaceae.org/gb/gbrowse/malus_x_domestica/?name=MDP0000305192","MDP0000305192")</f>
        <v>MDP0000305192</v>
      </c>
      <c r="D199">
        <v>33.53</v>
      </c>
      <c r="E199">
        <v>325</v>
      </c>
      <c r="F199">
        <v>216</v>
      </c>
      <c r="G199">
        <v>17</v>
      </c>
      <c r="H199">
        <v>1</v>
      </c>
      <c r="I199">
        <v>311</v>
      </c>
      <c r="J199">
        <v>1</v>
      </c>
      <c r="K199">
        <v>1</v>
      </c>
      <c r="L199">
        <v>322</v>
      </c>
      <c r="M199">
        <v>1</v>
      </c>
      <c r="N199">
        <v>1.8518899999999998E-40</v>
      </c>
      <c r="O199">
        <v>415</v>
      </c>
    </row>
    <row r="200" spans="1:15" x14ac:dyDescent="0.25">
      <c r="A200" t="s">
        <v>213</v>
      </c>
      <c r="B200">
        <v>527</v>
      </c>
      <c r="C200" s="1" t="str">
        <f>HYPERLINK("http://www.rosaceae.org/gb/gbrowse/malus_x_domestica/?name=MDP0000229001","MDP0000229001")</f>
        <v>MDP0000229001</v>
      </c>
      <c r="D200">
        <v>81.96</v>
      </c>
      <c r="E200">
        <v>377</v>
      </c>
      <c r="F200">
        <v>68</v>
      </c>
      <c r="G200">
        <v>3</v>
      </c>
      <c r="H200">
        <v>151</v>
      </c>
      <c r="I200">
        <v>527</v>
      </c>
      <c r="J200">
        <v>1</v>
      </c>
      <c r="K200">
        <v>42</v>
      </c>
      <c r="L200">
        <v>415</v>
      </c>
      <c r="M200">
        <v>1</v>
      </c>
      <c r="N200">
        <v>0</v>
      </c>
      <c r="O200">
        <v>1667</v>
      </c>
    </row>
    <row r="201" spans="1:15" x14ac:dyDescent="0.25">
      <c r="A201" t="s">
        <v>214</v>
      </c>
      <c r="B201">
        <v>133</v>
      </c>
      <c r="C201" s="1" t="str">
        <f>HYPERLINK("http://www.rosaceae.org/gb/gbrowse/malus_x_domestica/?name=MDP0000144150","MDP0000144150")</f>
        <v>MDP0000144150</v>
      </c>
      <c r="D201">
        <v>60.64</v>
      </c>
      <c r="E201">
        <v>155</v>
      </c>
      <c r="F201">
        <v>61</v>
      </c>
      <c r="G201">
        <v>30</v>
      </c>
      <c r="H201">
        <v>1</v>
      </c>
      <c r="I201">
        <v>125</v>
      </c>
      <c r="J201">
        <v>1</v>
      </c>
      <c r="K201">
        <v>422</v>
      </c>
      <c r="L201">
        <v>576</v>
      </c>
      <c r="M201">
        <v>1</v>
      </c>
      <c r="N201">
        <v>5.6530700000000001E-47</v>
      </c>
      <c r="O201">
        <v>463</v>
      </c>
    </row>
    <row r="202" spans="1:15" x14ac:dyDescent="0.25">
      <c r="A202" t="s">
        <v>215</v>
      </c>
      <c r="B202">
        <v>704</v>
      </c>
      <c r="C202" s="1" t="str">
        <f>HYPERLINK("http://www.rosaceae.org/gb/gbrowse/malus_x_domestica/?name=MDP0000135135","MDP0000135135")</f>
        <v>MDP0000135135</v>
      </c>
      <c r="D202">
        <v>62.48</v>
      </c>
      <c r="E202">
        <v>717</v>
      </c>
      <c r="F202">
        <v>269</v>
      </c>
      <c r="G202">
        <v>28</v>
      </c>
      <c r="H202">
        <v>1</v>
      </c>
      <c r="I202">
        <v>703</v>
      </c>
      <c r="J202">
        <v>1</v>
      </c>
      <c r="K202">
        <v>8</v>
      </c>
      <c r="L202">
        <v>710</v>
      </c>
      <c r="M202">
        <v>1</v>
      </c>
      <c r="N202">
        <v>0</v>
      </c>
      <c r="O202">
        <v>2136</v>
      </c>
    </row>
    <row r="203" spans="1:15" x14ac:dyDescent="0.25">
      <c r="A203" t="s">
        <v>216</v>
      </c>
      <c r="B203">
        <v>252</v>
      </c>
      <c r="C203" s="1" t="str">
        <f>HYPERLINK("http://www.rosaceae.org/gb/gbrowse/malus_x_domestica/?name=MDP0000258203","MDP0000258203")</f>
        <v>MDP0000258203</v>
      </c>
      <c r="D203">
        <v>69.23</v>
      </c>
      <c r="E203">
        <v>247</v>
      </c>
      <c r="F203">
        <v>76</v>
      </c>
      <c r="G203">
        <v>32</v>
      </c>
      <c r="H203">
        <v>5</v>
      </c>
      <c r="I203">
        <v>251</v>
      </c>
      <c r="J203">
        <v>1</v>
      </c>
      <c r="K203">
        <v>4</v>
      </c>
      <c r="L203">
        <v>218</v>
      </c>
      <c r="M203">
        <v>1</v>
      </c>
      <c r="N203">
        <v>1.40023E-93</v>
      </c>
      <c r="O203">
        <v>870</v>
      </c>
    </row>
    <row r="204" spans="1:15" x14ac:dyDescent="0.25">
      <c r="A204" t="s">
        <v>217</v>
      </c>
      <c r="B204">
        <v>318</v>
      </c>
      <c r="C204" s="1" t="str">
        <f>HYPERLINK("http://www.rosaceae.org/gb/gbrowse/malus_x_domestica/?name=MDP0000172814","MDP0000172814")</f>
        <v>MDP0000172814</v>
      </c>
      <c r="D204">
        <v>69.73</v>
      </c>
      <c r="E204">
        <v>261</v>
      </c>
      <c r="F204">
        <v>79</v>
      </c>
      <c r="G204">
        <v>41</v>
      </c>
      <c r="H204">
        <v>1</v>
      </c>
      <c r="I204">
        <v>223</v>
      </c>
      <c r="J204">
        <v>1</v>
      </c>
      <c r="K204">
        <v>1</v>
      </c>
      <c r="L204">
        <v>258</v>
      </c>
      <c r="M204">
        <v>1</v>
      </c>
      <c r="N204">
        <v>2.7622899999999998E-94</v>
      </c>
      <c r="O204">
        <v>877</v>
      </c>
    </row>
    <row r="205" spans="1:15" x14ac:dyDescent="0.25">
      <c r="A205" t="s">
        <v>218</v>
      </c>
      <c r="B205">
        <v>80</v>
      </c>
      <c r="C205" s="1" t="str">
        <f>HYPERLINK("http://www.rosaceae.org/gb/gbrowse/malus_x_domestica/?name=MDP0000208493","MDP0000208493")</f>
        <v>MDP0000208493</v>
      </c>
      <c r="D205">
        <v>50</v>
      </c>
      <c r="E205">
        <v>66</v>
      </c>
      <c r="F205">
        <v>33</v>
      </c>
      <c r="G205">
        <v>6</v>
      </c>
      <c r="H205">
        <v>2</v>
      </c>
      <c r="I205">
        <v>67</v>
      </c>
      <c r="J205">
        <v>1</v>
      </c>
      <c r="K205">
        <v>21</v>
      </c>
      <c r="L205">
        <v>80</v>
      </c>
      <c r="M205">
        <v>1</v>
      </c>
      <c r="N205">
        <v>1.2079100000000001E-13</v>
      </c>
      <c r="O205">
        <v>175</v>
      </c>
    </row>
    <row r="206" spans="1:15" x14ac:dyDescent="0.25">
      <c r="A206" t="s">
        <v>219</v>
      </c>
      <c r="B206">
        <v>895</v>
      </c>
      <c r="C206" s="1" t="str">
        <f>HYPERLINK("http://www.rosaceae.org/gb/gbrowse/malus_x_domestica/?name=MDP0000596253","MDP0000596253")</f>
        <v>MDP0000596253</v>
      </c>
      <c r="D206">
        <v>67.64</v>
      </c>
      <c r="E206">
        <v>479</v>
      </c>
      <c r="F206">
        <v>155</v>
      </c>
      <c r="G206">
        <v>14</v>
      </c>
      <c r="H206">
        <v>427</v>
      </c>
      <c r="I206">
        <v>895</v>
      </c>
      <c r="J206">
        <v>1</v>
      </c>
      <c r="K206">
        <v>505</v>
      </c>
      <c r="L206">
        <v>979</v>
      </c>
      <c r="M206">
        <v>1</v>
      </c>
      <c r="N206">
        <v>0</v>
      </c>
      <c r="O206">
        <v>1650</v>
      </c>
    </row>
    <row r="207" spans="1:15" x14ac:dyDescent="0.25">
      <c r="A207" t="s">
        <v>220</v>
      </c>
      <c r="B207">
        <v>186</v>
      </c>
      <c r="C207" s="1" t="str">
        <f>HYPERLINK("http://www.rosaceae.org/gb/gbrowse/malus_x_domestica/?name=MDP0000906732","MDP0000906732")</f>
        <v>MDP0000906732</v>
      </c>
      <c r="D207">
        <v>71.8</v>
      </c>
      <c r="E207">
        <v>188</v>
      </c>
      <c r="F207">
        <v>53</v>
      </c>
      <c r="G207">
        <v>2</v>
      </c>
      <c r="H207">
        <v>1</v>
      </c>
      <c r="I207">
        <v>186</v>
      </c>
      <c r="J207">
        <v>1</v>
      </c>
      <c r="K207">
        <v>1</v>
      </c>
      <c r="L207">
        <v>188</v>
      </c>
      <c r="M207">
        <v>1</v>
      </c>
      <c r="N207">
        <v>1.9694299999999999E-79</v>
      </c>
      <c r="O207">
        <v>746</v>
      </c>
    </row>
    <row r="208" spans="1:15" x14ac:dyDescent="0.25">
      <c r="A208" t="s">
        <v>221</v>
      </c>
      <c r="B208">
        <v>513</v>
      </c>
      <c r="C208" s="1" t="str">
        <f>HYPERLINK("http://www.rosaceae.org/gb/gbrowse/malus_x_domestica/?name=MDP0000211897","MDP0000211897")</f>
        <v>MDP0000211897</v>
      </c>
      <c r="D208">
        <v>44.77</v>
      </c>
      <c r="E208">
        <v>67</v>
      </c>
      <c r="F208">
        <v>37</v>
      </c>
      <c r="G208">
        <v>3</v>
      </c>
      <c r="H208">
        <v>146</v>
      </c>
      <c r="I208">
        <v>209</v>
      </c>
      <c r="J208">
        <v>1</v>
      </c>
      <c r="K208">
        <v>100</v>
      </c>
      <c r="L208">
        <v>166</v>
      </c>
      <c r="M208">
        <v>1</v>
      </c>
      <c r="N208">
        <v>3.97556E-8</v>
      </c>
      <c r="O208">
        <v>137</v>
      </c>
    </row>
    <row r="209" spans="1:15" x14ac:dyDescent="0.25">
      <c r="A209" t="s">
        <v>222</v>
      </c>
      <c r="B209">
        <v>1310</v>
      </c>
      <c r="C209" s="1" t="str">
        <f>HYPERLINK("http://www.rosaceae.org/gb/gbrowse/malus_x_domestica/?name=MDP0000214069","MDP0000214069")</f>
        <v>MDP0000214069</v>
      </c>
      <c r="D209">
        <v>76.69</v>
      </c>
      <c r="E209">
        <v>369</v>
      </c>
      <c r="F209">
        <v>86</v>
      </c>
      <c r="G209">
        <v>5</v>
      </c>
      <c r="H209">
        <v>89</v>
      </c>
      <c r="I209">
        <v>457</v>
      </c>
      <c r="J209">
        <v>1</v>
      </c>
      <c r="K209">
        <v>36</v>
      </c>
      <c r="L209">
        <v>399</v>
      </c>
      <c r="M209">
        <v>1</v>
      </c>
      <c r="N209">
        <v>1.79755E-169</v>
      </c>
      <c r="O209">
        <v>1532</v>
      </c>
    </row>
    <row r="210" spans="1:15" x14ac:dyDescent="0.25">
      <c r="A210" t="s">
        <v>223</v>
      </c>
      <c r="B210">
        <v>746</v>
      </c>
      <c r="C210" s="1" t="str">
        <f>HYPERLINK("http://www.rosaceae.org/gb/gbrowse/malus_x_domestica/?name=MDP0000165209","MDP0000165209")</f>
        <v>MDP0000165209</v>
      </c>
      <c r="D210">
        <v>58.7</v>
      </c>
      <c r="E210">
        <v>477</v>
      </c>
      <c r="F210">
        <v>197</v>
      </c>
      <c r="G210">
        <v>119</v>
      </c>
      <c r="H210">
        <v>23</v>
      </c>
      <c r="I210">
        <v>382</v>
      </c>
      <c r="J210">
        <v>1</v>
      </c>
      <c r="K210">
        <v>27</v>
      </c>
      <c r="L210">
        <v>501</v>
      </c>
      <c r="M210">
        <v>1</v>
      </c>
      <c r="N210">
        <v>2.3894099999999999E-139</v>
      </c>
      <c r="O210">
        <v>1270</v>
      </c>
    </row>
    <row r="211" spans="1:15" x14ac:dyDescent="0.25">
      <c r="A211" t="s">
        <v>224</v>
      </c>
      <c r="B211">
        <v>190</v>
      </c>
      <c r="C211" s="1" t="str">
        <f>HYPERLINK("http://www.rosaceae.org/gb/gbrowse/malus_x_domestica/?name=MDP0000139808","MDP0000139808")</f>
        <v>MDP0000139808</v>
      </c>
      <c r="D211">
        <v>39.26</v>
      </c>
      <c r="E211">
        <v>191</v>
      </c>
      <c r="F211">
        <v>116</v>
      </c>
      <c r="G211">
        <v>13</v>
      </c>
      <c r="H211">
        <v>1</v>
      </c>
      <c r="I211">
        <v>189</v>
      </c>
      <c r="J211">
        <v>1</v>
      </c>
      <c r="K211">
        <v>1</v>
      </c>
      <c r="L211">
        <v>180</v>
      </c>
      <c r="M211">
        <v>1</v>
      </c>
      <c r="N211">
        <v>2.87593E-26</v>
      </c>
      <c r="O211">
        <v>288</v>
      </c>
    </row>
    <row r="212" spans="1:15" x14ac:dyDescent="0.25">
      <c r="A212" t="s">
        <v>225</v>
      </c>
      <c r="B212">
        <v>1052</v>
      </c>
      <c r="C212" s="1" t="str">
        <f>HYPERLINK("http://www.rosaceae.org/gb/gbrowse/malus_x_domestica/?name=MDP0000247921","MDP0000247921")</f>
        <v>MDP0000247921</v>
      </c>
      <c r="D212">
        <v>26.72</v>
      </c>
      <c r="E212">
        <v>232</v>
      </c>
      <c r="F212">
        <v>170</v>
      </c>
      <c r="G212">
        <v>26</v>
      </c>
      <c r="H212">
        <v>562</v>
      </c>
      <c r="I212">
        <v>774</v>
      </c>
      <c r="J212">
        <v>1</v>
      </c>
      <c r="K212">
        <v>702</v>
      </c>
      <c r="L212">
        <v>926</v>
      </c>
      <c r="M212">
        <v>1</v>
      </c>
      <c r="N212">
        <v>2.4610900000000002E-19</v>
      </c>
      <c r="O212">
        <v>236</v>
      </c>
    </row>
    <row r="213" spans="1:15" x14ac:dyDescent="0.25">
      <c r="A213" t="s">
        <v>226</v>
      </c>
      <c r="B213">
        <v>619</v>
      </c>
      <c r="C213" s="1" t="str">
        <f>HYPERLINK("http://www.rosaceae.org/gb/gbrowse/malus_x_domestica/?name=MDP0000581116","MDP0000581116")</f>
        <v>MDP0000581116</v>
      </c>
      <c r="D213">
        <v>46.46</v>
      </c>
      <c r="E213">
        <v>609</v>
      </c>
      <c r="F213">
        <v>326</v>
      </c>
      <c r="G213">
        <v>15</v>
      </c>
      <c r="H213">
        <v>1</v>
      </c>
      <c r="I213">
        <v>600</v>
      </c>
      <c r="J213">
        <v>1</v>
      </c>
      <c r="K213">
        <v>1</v>
      </c>
      <c r="L213">
        <v>603</v>
      </c>
      <c r="M213">
        <v>1</v>
      </c>
      <c r="N213">
        <v>3.2833900000000003E-126</v>
      </c>
      <c r="O213">
        <v>1156</v>
      </c>
    </row>
    <row r="214" spans="1:15" x14ac:dyDescent="0.25">
      <c r="A214" t="s">
        <v>227</v>
      </c>
      <c r="B214">
        <v>589</v>
      </c>
      <c r="C214" s="1" t="str">
        <f>HYPERLINK("http://www.rosaceae.org/gb/gbrowse/malus_x_domestica/?name=MDP0000308757","MDP0000308757")</f>
        <v>MDP0000308757</v>
      </c>
      <c r="D214">
        <v>66.66</v>
      </c>
      <c r="E214">
        <v>558</v>
      </c>
      <c r="F214">
        <v>186</v>
      </c>
      <c r="G214">
        <v>15</v>
      </c>
      <c r="H214">
        <v>11</v>
      </c>
      <c r="I214">
        <v>565</v>
      </c>
      <c r="J214">
        <v>1</v>
      </c>
      <c r="K214">
        <v>294</v>
      </c>
      <c r="L214">
        <v>839</v>
      </c>
      <c r="M214">
        <v>1</v>
      </c>
      <c r="N214">
        <v>0</v>
      </c>
      <c r="O214">
        <v>1929</v>
      </c>
    </row>
    <row r="215" spans="1:15" x14ac:dyDescent="0.25">
      <c r="A215" t="s">
        <v>228</v>
      </c>
      <c r="B215">
        <v>1608</v>
      </c>
      <c r="C215" s="1" t="str">
        <f>HYPERLINK("http://www.rosaceae.org/gb/gbrowse/malus_x_domestica/?name=MDP0000315519","MDP0000315519")</f>
        <v>MDP0000315519</v>
      </c>
      <c r="D215">
        <v>59.07</v>
      </c>
      <c r="E215">
        <v>1652</v>
      </c>
      <c r="F215">
        <v>676</v>
      </c>
      <c r="G215">
        <v>95</v>
      </c>
      <c r="H215">
        <v>1</v>
      </c>
      <c r="I215">
        <v>1608</v>
      </c>
      <c r="J215">
        <v>1</v>
      </c>
      <c r="K215">
        <v>1</v>
      </c>
      <c r="L215">
        <v>1601</v>
      </c>
      <c r="M215">
        <v>1</v>
      </c>
      <c r="N215">
        <v>0</v>
      </c>
      <c r="O215">
        <v>4654</v>
      </c>
    </row>
    <row r="216" spans="1:15" x14ac:dyDescent="0.25">
      <c r="A216" t="s">
        <v>229</v>
      </c>
      <c r="B216">
        <v>248</v>
      </c>
      <c r="C216" s="1" t="str">
        <f>HYPERLINK("http://www.rosaceae.org/gb/gbrowse/malus_x_domestica/?name=MDP0000311504","MDP0000311504")</f>
        <v>MDP0000311504</v>
      </c>
      <c r="D216">
        <v>87.5</v>
      </c>
      <c r="E216">
        <v>104</v>
      </c>
      <c r="F216">
        <v>13</v>
      </c>
      <c r="G216">
        <v>0</v>
      </c>
      <c r="H216">
        <v>1</v>
      </c>
      <c r="I216">
        <v>104</v>
      </c>
      <c r="J216">
        <v>1</v>
      </c>
      <c r="K216">
        <v>1</v>
      </c>
      <c r="L216">
        <v>104</v>
      </c>
      <c r="M216">
        <v>1</v>
      </c>
      <c r="N216">
        <v>3.6943999999999998E-50</v>
      </c>
      <c r="O216">
        <v>495</v>
      </c>
    </row>
    <row r="217" spans="1:15" x14ac:dyDescent="0.25">
      <c r="A217" t="s">
        <v>230</v>
      </c>
      <c r="B217">
        <v>525</v>
      </c>
      <c r="C217" s="1" t="str">
        <f>HYPERLINK("http://www.rosaceae.org/gb/gbrowse/malus_x_domestica/?name=MDP0000291221","MDP0000291221")</f>
        <v>MDP0000291221</v>
      </c>
      <c r="D217">
        <v>82.7</v>
      </c>
      <c r="E217">
        <v>532</v>
      </c>
      <c r="F217">
        <v>92</v>
      </c>
      <c r="G217">
        <v>7</v>
      </c>
      <c r="H217">
        <v>1</v>
      </c>
      <c r="I217">
        <v>525</v>
      </c>
      <c r="J217">
        <v>1</v>
      </c>
      <c r="K217">
        <v>1</v>
      </c>
      <c r="L217">
        <v>532</v>
      </c>
      <c r="M217">
        <v>1</v>
      </c>
      <c r="N217">
        <v>0</v>
      </c>
      <c r="O217">
        <v>2359</v>
      </c>
    </row>
    <row r="218" spans="1:15" x14ac:dyDescent="0.25">
      <c r="A218" t="s">
        <v>231</v>
      </c>
      <c r="B218">
        <v>267</v>
      </c>
      <c r="C218" s="1" t="str">
        <f>HYPERLINK("http://www.rosaceae.org/gb/gbrowse/malus_x_domestica/?name=MDP0000232977","MDP0000232977")</f>
        <v>MDP0000232977</v>
      </c>
      <c r="D218">
        <v>55.95</v>
      </c>
      <c r="E218">
        <v>277</v>
      </c>
      <c r="F218">
        <v>122</v>
      </c>
      <c r="G218">
        <v>11</v>
      </c>
      <c r="H218">
        <v>1</v>
      </c>
      <c r="I218">
        <v>266</v>
      </c>
      <c r="J218">
        <v>1</v>
      </c>
      <c r="K218">
        <v>1</v>
      </c>
      <c r="L218">
        <v>277</v>
      </c>
      <c r="M218">
        <v>1</v>
      </c>
      <c r="N218">
        <v>5.3507300000000003E-79</v>
      </c>
      <c r="O218">
        <v>745</v>
      </c>
    </row>
    <row r="219" spans="1:15" x14ac:dyDescent="0.25">
      <c r="A219" t="s">
        <v>232</v>
      </c>
      <c r="B219">
        <v>754</v>
      </c>
      <c r="C219" s="1" t="str">
        <f>HYPERLINK("http://www.rosaceae.org/gb/gbrowse/malus_x_domestica/?name=MDP0000322282","MDP0000322282")</f>
        <v>MDP0000322282</v>
      </c>
      <c r="D219">
        <v>32.93</v>
      </c>
      <c r="E219">
        <v>167</v>
      </c>
      <c r="F219">
        <v>112</v>
      </c>
      <c r="G219">
        <v>22</v>
      </c>
      <c r="H219">
        <v>146</v>
      </c>
      <c r="I219">
        <v>297</v>
      </c>
      <c r="J219">
        <v>1</v>
      </c>
      <c r="K219">
        <v>59</v>
      </c>
      <c r="L219">
        <v>218</v>
      </c>
      <c r="M219">
        <v>1</v>
      </c>
      <c r="N219">
        <v>9.5417200000000004E-11</v>
      </c>
      <c r="O219">
        <v>161</v>
      </c>
    </row>
    <row r="220" spans="1:15" x14ac:dyDescent="0.25">
      <c r="A220" t="s">
        <v>233</v>
      </c>
      <c r="B220">
        <v>227</v>
      </c>
      <c r="C220" s="1" t="str">
        <f>HYPERLINK("http://www.rosaceae.org/gb/gbrowse/malus_x_domestica/?name=MDP0000622241","MDP0000622241")</f>
        <v>MDP0000622241</v>
      </c>
      <c r="D220">
        <v>75.33</v>
      </c>
      <c r="E220">
        <v>150</v>
      </c>
      <c r="F220">
        <v>37</v>
      </c>
      <c r="G220">
        <v>5</v>
      </c>
      <c r="H220">
        <v>78</v>
      </c>
      <c r="I220">
        <v>227</v>
      </c>
      <c r="J220">
        <v>1</v>
      </c>
      <c r="K220">
        <v>31</v>
      </c>
      <c r="L220">
        <v>175</v>
      </c>
      <c r="M220">
        <v>1</v>
      </c>
      <c r="N220">
        <v>9.6148299999999997E-58</v>
      </c>
      <c r="O220">
        <v>560</v>
      </c>
    </row>
    <row r="221" spans="1:15" x14ac:dyDescent="0.25">
      <c r="A221" t="s">
        <v>234</v>
      </c>
      <c r="B221">
        <v>198</v>
      </c>
      <c r="C221" s="1" t="str">
        <f>HYPERLINK("http://www.rosaceae.org/gb/gbrowse/malus_x_domestica/?name=MDP0000287232","MDP0000287232")</f>
        <v>MDP0000287232</v>
      </c>
      <c r="D221">
        <v>56.92</v>
      </c>
      <c r="E221">
        <v>130</v>
      </c>
      <c r="F221">
        <v>56</v>
      </c>
      <c r="G221">
        <v>30</v>
      </c>
      <c r="H221">
        <v>4</v>
      </c>
      <c r="I221">
        <v>133</v>
      </c>
      <c r="J221">
        <v>1</v>
      </c>
      <c r="K221">
        <v>15</v>
      </c>
      <c r="L221">
        <v>114</v>
      </c>
      <c r="M221">
        <v>1</v>
      </c>
      <c r="N221">
        <v>1.1449E-37</v>
      </c>
      <c r="O221">
        <v>386</v>
      </c>
    </row>
    <row r="222" spans="1:15" x14ac:dyDescent="0.25">
      <c r="A222" t="s">
        <v>235</v>
      </c>
      <c r="B222">
        <v>1190</v>
      </c>
      <c r="C222" s="1" t="str">
        <f>HYPERLINK("http://www.rosaceae.org/gb/gbrowse/malus_x_domestica/?name=MDP0000144077","MDP0000144077")</f>
        <v>MDP0000144077</v>
      </c>
      <c r="D222">
        <v>57.6</v>
      </c>
      <c r="E222">
        <v>250</v>
      </c>
      <c r="F222">
        <v>106</v>
      </c>
      <c r="G222">
        <v>12</v>
      </c>
      <c r="H222">
        <v>217</v>
      </c>
      <c r="I222">
        <v>466</v>
      </c>
      <c r="J222">
        <v>1</v>
      </c>
      <c r="K222">
        <v>259</v>
      </c>
      <c r="L222">
        <v>496</v>
      </c>
      <c r="M222">
        <v>1</v>
      </c>
      <c r="N222">
        <v>1.26938E-83</v>
      </c>
      <c r="O222">
        <v>791</v>
      </c>
    </row>
    <row r="223" spans="1:15" x14ac:dyDescent="0.25">
      <c r="A223" t="s">
        <v>236</v>
      </c>
      <c r="B223">
        <v>152</v>
      </c>
      <c r="C223" s="1" t="str">
        <f>HYPERLINK("http://www.rosaceae.org/gb/gbrowse/malus_x_domestica/?name=MDP0000272292","MDP0000272292")</f>
        <v>MDP0000272292</v>
      </c>
      <c r="D223">
        <v>100</v>
      </c>
      <c r="E223">
        <v>152</v>
      </c>
      <c r="F223">
        <v>0</v>
      </c>
      <c r="G223">
        <v>0</v>
      </c>
      <c r="H223">
        <v>1</v>
      </c>
      <c r="I223">
        <v>152</v>
      </c>
      <c r="J223">
        <v>1</v>
      </c>
      <c r="K223">
        <v>1</v>
      </c>
      <c r="L223">
        <v>152</v>
      </c>
      <c r="M223">
        <v>1</v>
      </c>
      <c r="N223">
        <v>3.00652E-87</v>
      </c>
      <c r="O223">
        <v>812</v>
      </c>
    </row>
    <row r="224" spans="1:15" x14ac:dyDescent="0.25">
      <c r="A224" t="s">
        <v>237</v>
      </c>
      <c r="B224">
        <v>211</v>
      </c>
      <c r="C224" s="1" t="str">
        <f>HYPERLINK("http://www.rosaceae.org/gb/gbrowse/malus_x_domestica/?name=MDP0000200363","MDP0000200363")</f>
        <v>MDP0000200363</v>
      </c>
      <c r="D224">
        <v>37.799999999999997</v>
      </c>
      <c r="E224">
        <v>283</v>
      </c>
      <c r="F224">
        <v>176</v>
      </c>
      <c r="G224">
        <v>79</v>
      </c>
      <c r="H224">
        <v>4</v>
      </c>
      <c r="I224">
        <v>208</v>
      </c>
      <c r="J224">
        <v>1</v>
      </c>
      <c r="K224">
        <v>304</v>
      </c>
      <c r="L224">
        <v>585</v>
      </c>
      <c r="M224">
        <v>1</v>
      </c>
      <c r="N224">
        <v>2.4898099999999998E-38</v>
      </c>
      <c r="O224">
        <v>392</v>
      </c>
    </row>
    <row r="225" spans="1:15" x14ac:dyDescent="0.25">
      <c r="A225" t="s">
        <v>238</v>
      </c>
      <c r="B225">
        <v>527</v>
      </c>
      <c r="C225" s="1" t="str">
        <f>HYPERLINK("http://www.rosaceae.org/gb/gbrowse/malus_x_domestica/?name=MDP0000177228","MDP0000177228")</f>
        <v>MDP0000177228</v>
      </c>
      <c r="D225">
        <v>25.96</v>
      </c>
      <c r="E225">
        <v>104</v>
      </c>
      <c r="F225">
        <v>77</v>
      </c>
      <c r="G225">
        <v>0</v>
      </c>
      <c r="H225">
        <v>87</v>
      </c>
      <c r="I225">
        <v>190</v>
      </c>
      <c r="J225">
        <v>1</v>
      </c>
      <c r="K225">
        <v>94</v>
      </c>
      <c r="L225">
        <v>197</v>
      </c>
      <c r="M225">
        <v>1</v>
      </c>
      <c r="N225">
        <v>4.0776299999999997E-9</v>
      </c>
      <c r="O225">
        <v>145</v>
      </c>
    </row>
    <row r="226" spans="1:15" x14ac:dyDescent="0.25">
      <c r="A226" t="s">
        <v>239</v>
      </c>
      <c r="B226">
        <v>603</v>
      </c>
      <c r="C226" s="1" t="str">
        <f>HYPERLINK("http://www.rosaceae.org/gb/gbrowse/malus_x_domestica/?name=MDP0000488621","MDP0000488621")</f>
        <v>MDP0000488621</v>
      </c>
      <c r="D226">
        <v>90.12</v>
      </c>
      <c r="E226">
        <v>324</v>
      </c>
      <c r="F226">
        <v>32</v>
      </c>
      <c r="G226">
        <v>4</v>
      </c>
      <c r="H226">
        <v>266</v>
      </c>
      <c r="I226">
        <v>585</v>
      </c>
      <c r="J226">
        <v>1</v>
      </c>
      <c r="K226">
        <v>274</v>
      </c>
      <c r="L226">
        <v>597</v>
      </c>
      <c r="M226">
        <v>1</v>
      </c>
      <c r="N226">
        <v>2.9339099999999999E-174</v>
      </c>
      <c r="O226">
        <v>1570</v>
      </c>
    </row>
    <row r="227" spans="1:15" x14ac:dyDescent="0.25">
      <c r="A227" t="s">
        <v>240</v>
      </c>
      <c r="B227">
        <v>138</v>
      </c>
      <c r="C227" s="1" t="str">
        <f>HYPERLINK("http://www.rosaceae.org/gb/gbrowse/malus_x_domestica/?name=MDP0000759996","MDP0000759996")</f>
        <v>MDP0000759996</v>
      </c>
      <c r="D227">
        <v>81.150000000000006</v>
      </c>
      <c r="E227">
        <v>138</v>
      </c>
      <c r="F227">
        <v>26</v>
      </c>
      <c r="G227">
        <v>0</v>
      </c>
      <c r="H227">
        <v>1</v>
      </c>
      <c r="I227">
        <v>138</v>
      </c>
      <c r="J227">
        <v>1</v>
      </c>
      <c r="K227">
        <v>1</v>
      </c>
      <c r="L227">
        <v>138</v>
      </c>
      <c r="M227">
        <v>1</v>
      </c>
      <c r="N227">
        <v>6.1097999999999996E-59</v>
      </c>
      <c r="O227">
        <v>567</v>
      </c>
    </row>
    <row r="228" spans="1:15" x14ac:dyDescent="0.25">
      <c r="A228" t="s">
        <v>241</v>
      </c>
      <c r="B228">
        <v>1443</v>
      </c>
      <c r="C228" s="1" t="str">
        <f>HYPERLINK("http://www.rosaceae.org/gb/gbrowse/malus_x_domestica/?name=MDP0000206391","MDP0000206391")</f>
        <v>MDP0000206391</v>
      </c>
      <c r="D228">
        <v>65.91</v>
      </c>
      <c r="E228">
        <v>1470</v>
      </c>
      <c r="F228">
        <v>501</v>
      </c>
      <c r="G228">
        <v>40</v>
      </c>
      <c r="H228">
        <v>1</v>
      </c>
      <c r="I228">
        <v>1443</v>
      </c>
      <c r="J228">
        <v>1</v>
      </c>
      <c r="K228">
        <v>166</v>
      </c>
      <c r="L228">
        <v>1622</v>
      </c>
      <c r="M228">
        <v>1</v>
      </c>
      <c r="N228">
        <v>0</v>
      </c>
      <c r="O228">
        <v>4578</v>
      </c>
    </row>
    <row r="229" spans="1:15" x14ac:dyDescent="0.25">
      <c r="A229" t="s">
        <v>242</v>
      </c>
      <c r="B229">
        <v>326</v>
      </c>
      <c r="C229" s="1" t="str">
        <f>HYPERLINK("http://www.rosaceae.org/gb/gbrowse/malus_x_domestica/?name=MDP0000142188","MDP0000142188")</f>
        <v>MDP0000142188</v>
      </c>
      <c r="D229">
        <v>84.26</v>
      </c>
      <c r="E229">
        <v>305</v>
      </c>
      <c r="F229">
        <v>48</v>
      </c>
      <c r="G229">
        <v>0</v>
      </c>
      <c r="H229">
        <v>15</v>
      </c>
      <c r="I229">
        <v>319</v>
      </c>
      <c r="J229">
        <v>1</v>
      </c>
      <c r="K229">
        <v>5</v>
      </c>
      <c r="L229">
        <v>309</v>
      </c>
      <c r="M229">
        <v>1</v>
      </c>
      <c r="N229">
        <v>1.42069E-154</v>
      </c>
      <c r="O229">
        <v>1397</v>
      </c>
    </row>
    <row r="230" spans="1:15" x14ac:dyDescent="0.25">
      <c r="A230" t="s">
        <v>243</v>
      </c>
      <c r="B230">
        <v>158</v>
      </c>
      <c r="C230" s="1" t="str">
        <f>HYPERLINK("http://www.rosaceae.org/gb/gbrowse/malus_x_domestica/?name=MDP0000711379","MDP0000711379")</f>
        <v>MDP0000711379</v>
      </c>
      <c r="D230">
        <v>55.55</v>
      </c>
      <c r="E230">
        <v>117</v>
      </c>
      <c r="F230">
        <v>52</v>
      </c>
      <c r="G230">
        <v>2</v>
      </c>
      <c r="H230">
        <v>24</v>
      </c>
      <c r="I230">
        <v>138</v>
      </c>
      <c r="J230">
        <v>1</v>
      </c>
      <c r="K230">
        <v>23</v>
      </c>
      <c r="L230">
        <v>139</v>
      </c>
      <c r="M230">
        <v>1</v>
      </c>
      <c r="N230">
        <v>4.7332100000000001E-32</v>
      </c>
      <c r="O230">
        <v>336</v>
      </c>
    </row>
    <row r="231" spans="1:15" x14ac:dyDescent="0.25">
      <c r="A231" t="s">
        <v>244</v>
      </c>
      <c r="B231">
        <v>122</v>
      </c>
      <c r="C231" s="1" t="str">
        <f>HYPERLINK("http://www.rosaceae.org/gb/gbrowse/malus_x_domestica/?name=MDP0000940692","MDP0000940692")</f>
        <v>MDP0000940692</v>
      </c>
      <c r="D231">
        <v>60.71</v>
      </c>
      <c r="E231">
        <v>56</v>
      </c>
      <c r="F231">
        <v>22</v>
      </c>
      <c r="G231">
        <v>2</v>
      </c>
      <c r="H231">
        <v>1</v>
      </c>
      <c r="I231">
        <v>56</v>
      </c>
      <c r="J231">
        <v>1</v>
      </c>
      <c r="K231">
        <v>1</v>
      </c>
      <c r="L231">
        <v>54</v>
      </c>
      <c r="M231">
        <v>1</v>
      </c>
      <c r="N231">
        <v>1.06086E-12</v>
      </c>
      <c r="O231">
        <v>167</v>
      </c>
    </row>
    <row r="232" spans="1:15" x14ac:dyDescent="0.25">
      <c r="A232" t="s">
        <v>245</v>
      </c>
      <c r="B232">
        <v>1066</v>
      </c>
      <c r="C232" s="1" t="str">
        <f>HYPERLINK("http://www.rosaceae.org/gb/gbrowse/malus_x_domestica/?name=MDP0000275177","MDP0000275177")</f>
        <v>MDP0000275177</v>
      </c>
      <c r="D232">
        <v>63.15</v>
      </c>
      <c r="E232">
        <v>228</v>
      </c>
      <c r="F232">
        <v>84</v>
      </c>
      <c r="G232">
        <v>4</v>
      </c>
      <c r="H232">
        <v>571</v>
      </c>
      <c r="I232">
        <v>798</v>
      </c>
      <c r="J232">
        <v>1</v>
      </c>
      <c r="K232">
        <v>23</v>
      </c>
      <c r="L232">
        <v>246</v>
      </c>
      <c r="M232">
        <v>1</v>
      </c>
      <c r="N232">
        <v>2.13136E-77</v>
      </c>
      <c r="O232">
        <v>737</v>
      </c>
    </row>
    <row r="233" spans="1:15" x14ac:dyDescent="0.25">
      <c r="A233" t="s">
        <v>246</v>
      </c>
      <c r="B233">
        <v>524</v>
      </c>
      <c r="C233" s="1" t="str">
        <f>HYPERLINK("http://www.rosaceae.org/gb/gbrowse/malus_x_domestica/?name=MDP0000152287","MDP0000152287")</f>
        <v>MDP0000152287</v>
      </c>
      <c r="D233">
        <v>69.680000000000007</v>
      </c>
      <c r="E233">
        <v>287</v>
      </c>
      <c r="F233">
        <v>87</v>
      </c>
      <c r="G233">
        <v>15</v>
      </c>
      <c r="H233">
        <v>155</v>
      </c>
      <c r="I233">
        <v>427</v>
      </c>
      <c r="J233">
        <v>1</v>
      </c>
      <c r="K233">
        <v>40</v>
      </c>
      <c r="L233">
        <v>325</v>
      </c>
      <c r="M233">
        <v>1</v>
      </c>
      <c r="N233">
        <v>1.23277E-110</v>
      </c>
      <c r="O233">
        <v>1021</v>
      </c>
    </row>
    <row r="234" spans="1:15" x14ac:dyDescent="0.25">
      <c r="A234" t="s">
        <v>247</v>
      </c>
      <c r="B234">
        <v>264</v>
      </c>
      <c r="C234" s="1" t="str">
        <f>HYPERLINK("http://www.rosaceae.org/gb/gbrowse/malus_x_domestica/?name=MDP0000187826","MDP0000187826")</f>
        <v>MDP0000187826</v>
      </c>
      <c r="D234">
        <v>40</v>
      </c>
      <c r="E234">
        <v>60</v>
      </c>
      <c r="F234">
        <v>36</v>
      </c>
      <c r="G234">
        <v>2</v>
      </c>
      <c r="H234">
        <v>23</v>
      </c>
      <c r="I234">
        <v>82</v>
      </c>
      <c r="J234">
        <v>1</v>
      </c>
      <c r="K234">
        <v>99</v>
      </c>
      <c r="L234">
        <v>156</v>
      </c>
      <c r="M234">
        <v>1</v>
      </c>
      <c r="N234">
        <v>3.0163199999999998E-7</v>
      </c>
      <c r="O234">
        <v>126</v>
      </c>
    </row>
    <row r="235" spans="1:15" x14ac:dyDescent="0.25">
      <c r="A235" t="s">
        <v>248</v>
      </c>
      <c r="B235">
        <v>290</v>
      </c>
      <c r="C235" s="1" t="str">
        <f>HYPERLINK("http://www.rosaceae.org/gb/gbrowse/malus_x_domestica/?name=MDP0000253112","MDP0000253112")</f>
        <v>MDP0000253112</v>
      </c>
      <c r="D235">
        <v>33.86</v>
      </c>
      <c r="E235">
        <v>378</v>
      </c>
      <c r="F235">
        <v>250</v>
      </c>
      <c r="G235">
        <v>94</v>
      </c>
      <c r="H235">
        <v>1</v>
      </c>
      <c r="I235">
        <v>290</v>
      </c>
      <c r="J235">
        <v>1</v>
      </c>
      <c r="K235">
        <v>115</v>
      </c>
      <c r="L235">
        <v>486</v>
      </c>
      <c r="M235">
        <v>1</v>
      </c>
      <c r="N235">
        <v>7.1601399999999997E-40</v>
      </c>
      <c r="O235">
        <v>408</v>
      </c>
    </row>
    <row r="236" spans="1:15" x14ac:dyDescent="0.25">
      <c r="A236" t="s">
        <v>249</v>
      </c>
      <c r="B236">
        <v>327</v>
      </c>
      <c r="C236" s="1" t="str">
        <f>HYPERLINK("http://www.rosaceae.org/gb/gbrowse/malus_x_domestica/?name=MDP0000866408","MDP0000866408")</f>
        <v>MDP0000866408</v>
      </c>
      <c r="D236">
        <v>43.7</v>
      </c>
      <c r="E236">
        <v>151</v>
      </c>
      <c r="F236">
        <v>85</v>
      </c>
      <c r="G236">
        <v>17</v>
      </c>
      <c r="H236">
        <v>21</v>
      </c>
      <c r="I236">
        <v>154</v>
      </c>
      <c r="J236">
        <v>1</v>
      </c>
      <c r="K236">
        <v>27</v>
      </c>
      <c r="L236">
        <v>177</v>
      </c>
      <c r="M236">
        <v>1</v>
      </c>
      <c r="N236">
        <v>1.54682E-20</v>
      </c>
      <c r="O236">
        <v>242</v>
      </c>
    </row>
    <row r="237" spans="1:15" x14ac:dyDescent="0.25">
      <c r="A237" t="s">
        <v>250</v>
      </c>
      <c r="B237">
        <v>199</v>
      </c>
      <c r="C237" s="1" t="str">
        <f>HYPERLINK("http://www.rosaceae.org/gb/gbrowse/malus_x_domestica/?name=MDP0000347896","MDP0000347896")</f>
        <v>MDP0000347896</v>
      </c>
      <c r="D237">
        <v>47.72</v>
      </c>
      <c r="E237">
        <v>88</v>
      </c>
      <c r="F237">
        <v>46</v>
      </c>
      <c r="G237">
        <v>5</v>
      </c>
      <c r="H237">
        <v>112</v>
      </c>
      <c r="I237">
        <v>199</v>
      </c>
      <c r="J237">
        <v>1</v>
      </c>
      <c r="K237">
        <v>25</v>
      </c>
      <c r="L237">
        <v>107</v>
      </c>
      <c r="M237">
        <v>1</v>
      </c>
      <c r="N237">
        <v>2.03832E-10</v>
      </c>
      <c r="O237">
        <v>151</v>
      </c>
    </row>
    <row r="238" spans="1:15" x14ac:dyDescent="0.25">
      <c r="A238" t="s">
        <v>251</v>
      </c>
      <c r="B238">
        <v>239</v>
      </c>
      <c r="C238" s="1" t="str">
        <f>HYPERLINK("http://www.rosaceae.org/gb/gbrowse/malus_x_domestica/?name=MDP0000178270","MDP0000178270")</f>
        <v>MDP0000178270</v>
      </c>
      <c r="D238">
        <v>73.33</v>
      </c>
      <c r="E238">
        <v>240</v>
      </c>
      <c r="F238">
        <v>64</v>
      </c>
      <c r="G238">
        <v>2</v>
      </c>
      <c r="H238">
        <v>1</v>
      </c>
      <c r="I238">
        <v>238</v>
      </c>
      <c r="J238">
        <v>1</v>
      </c>
      <c r="K238">
        <v>1</v>
      </c>
      <c r="L238">
        <v>240</v>
      </c>
      <c r="M238">
        <v>1</v>
      </c>
      <c r="N238">
        <v>2.5820699999999999E-98</v>
      </c>
      <c r="O238">
        <v>911</v>
      </c>
    </row>
    <row r="239" spans="1:15" x14ac:dyDescent="0.25">
      <c r="A239" t="s">
        <v>252</v>
      </c>
      <c r="B239">
        <v>70</v>
      </c>
      <c r="C239" s="1" t="str">
        <f>HYPERLINK("http://www.rosaceae.org/gb/gbrowse/malus_x_domestica/?name=MDP0000846849","MDP0000846849")</f>
        <v>MDP0000846849</v>
      </c>
      <c r="D239">
        <v>75.709999999999994</v>
      </c>
      <c r="E239">
        <v>70</v>
      </c>
      <c r="F239">
        <v>17</v>
      </c>
      <c r="G239">
        <v>0</v>
      </c>
      <c r="H239">
        <v>1</v>
      </c>
      <c r="I239">
        <v>70</v>
      </c>
      <c r="J239">
        <v>1</v>
      </c>
      <c r="K239">
        <v>1</v>
      </c>
      <c r="L239">
        <v>70</v>
      </c>
      <c r="M239">
        <v>1</v>
      </c>
      <c r="N239">
        <v>2.5113499999999998E-24</v>
      </c>
      <c r="O239">
        <v>267</v>
      </c>
    </row>
    <row r="240" spans="1:15" x14ac:dyDescent="0.25">
      <c r="A240" t="s">
        <v>253</v>
      </c>
      <c r="B240">
        <v>169</v>
      </c>
      <c r="C240" s="1" t="str">
        <f>HYPERLINK("http://www.rosaceae.org/gb/gbrowse/malus_x_domestica/?name=MDP0000801476","MDP0000801476")</f>
        <v>MDP0000801476</v>
      </c>
      <c r="D240">
        <v>61.32</v>
      </c>
      <c r="E240">
        <v>181</v>
      </c>
      <c r="F240">
        <v>70</v>
      </c>
      <c r="G240">
        <v>12</v>
      </c>
      <c r="H240">
        <v>1</v>
      </c>
      <c r="I240">
        <v>169</v>
      </c>
      <c r="J240">
        <v>1</v>
      </c>
      <c r="K240">
        <v>144</v>
      </c>
      <c r="L240">
        <v>324</v>
      </c>
      <c r="M240">
        <v>1</v>
      </c>
      <c r="N240">
        <v>1.3248099999999999E-56</v>
      </c>
      <c r="O240">
        <v>548</v>
      </c>
    </row>
    <row r="241" spans="1:15" x14ac:dyDescent="0.25">
      <c r="A241" t="s">
        <v>254</v>
      </c>
      <c r="B241">
        <v>178</v>
      </c>
      <c r="C241" s="1" t="str">
        <f>HYPERLINK("http://www.rosaceae.org/gb/gbrowse/malus_x_domestica/?name=MDP0000293207","MDP0000293207")</f>
        <v>MDP0000293207</v>
      </c>
      <c r="D241">
        <v>45.73</v>
      </c>
      <c r="E241">
        <v>129</v>
      </c>
      <c r="F241">
        <v>70</v>
      </c>
      <c r="G241">
        <v>22</v>
      </c>
      <c r="H241">
        <v>57</v>
      </c>
      <c r="I241">
        <v>163</v>
      </c>
      <c r="J241">
        <v>1</v>
      </c>
      <c r="K241">
        <v>54</v>
      </c>
      <c r="L241">
        <v>182</v>
      </c>
      <c r="M241">
        <v>1</v>
      </c>
      <c r="N241">
        <v>2.8826199999999999E-23</v>
      </c>
      <c r="O241">
        <v>261</v>
      </c>
    </row>
    <row r="242" spans="1:15" x14ac:dyDescent="0.25">
      <c r="A242" t="s">
        <v>255</v>
      </c>
      <c r="B242">
        <v>518</v>
      </c>
      <c r="C242" s="1" t="str">
        <f>HYPERLINK("http://www.rosaceae.org/gb/gbrowse/malus_x_domestica/?name=MDP0000287519","MDP0000287519")</f>
        <v>MDP0000287519</v>
      </c>
      <c r="D242">
        <v>27.48</v>
      </c>
      <c r="E242">
        <v>171</v>
      </c>
      <c r="F242">
        <v>124</v>
      </c>
      <c r="G242">
        <v>5</v>
      </c>
      <c r="H242">
        <v>100</v>
      </c>
      <c r="I242">
        <v>267</v>
      </c>
      <c r="J242">
        <v>1</v>
      </c>
      <c r="K242">
        <v>15</v>
      </c>
      <c r="L242">
        <v>183</v>
      </c>
      <c r="M242">
        <v>1</v>
      </c>
      <c r="N242">
        <v>1.6467200000000002E-11</v>
      </c>
      <c r="O242">
        <v>166</v>
      </c>
    </row>
    <row r="243" spans="1:15" x14ac:dyDescent="0.25">
      <c r="A243" t="s">
        <v>256</v>
      </c>
      <c r="B243">
        <v>261</v>
      </c>
      <c r="C243" s="1" t="str">
        <f>HYPERLINK("http://www.rosaceae.org/gb/gbrowse/malus_x_domestica/?name=MDP0000169760","MDP0000169760")</f>
        <v>MDP0000169760</v>
      </c>
      <c r="D243">
        <v>40</v>
      </c>
      <c r="E243">
        <v>270</v>
      </c>
      <c r="F243">
        <v>162</v>
      </c>
      <c r="G243">
        <v>33</v>
      </c>
      <c r="H243">
        <v>1</v>
      </c>
      <c r="I243">
        <v>252</v>
      </c>
      <c r="J243">
        <v>1</v>
      </c>
      <c r="K243">
        <v>1</v>
      </c>
      <c r="L243">
        <v>255</v>
      </c>
      <c r="M243">
        <v>1</v>
      </c>
      <c r="N243">
        <v>4.4922200000000001E-42</v>
      </c>
      <c r="O243">
        <v>426</v>
      </c>
    </row>
    <row r="244" spans="1:15" x14ac:dyDescent="0.25">
      <c r="A244" t="s">
        <v>257</v>
      </c>
      <c r="B244">
        <v>336</v>
      </c>
      <c r="C244" s="1" t="str">
        <f>HYPERLINK("http://www.rosaceae.org/gb/gbrowse/malus_x_domestica/?name=MDP0000258482","MDP0000258482")</f>
        <v>MDP0000258482</v>
      </c>
      <c r="D244">
        <v>58.78</v>
      </c>
      <c r="E244">
        <v>330</v>
      </c>
      <c r="F244">
        <v>136</v>
      </c>
      <c r="G244">
        <v>7</v>
      </c>
      <c r="H244">
        <v>2</v>
      </c>
      <c r="I244">
        <v>329</v>
      </c>
      <c r="J244">
        <v>1</v>
      </c>
      <c r="K244">
        <v>125</v>
      </c>
      <c r="L244">
        <v>449</v>
      </c>
      <c r="M244">
        <v>1</v>
      </c>
      <c r="N244">
        <v>2.3219600000000002E-108</v>
      </c>
      <c r="O244">
        <v>999</v>
      </c>
    </row>
    <row r="245" spans="1:15" x14ac:dyDescent="0.25">
      <c r="A245" t="s">
        <v>258</v>
      </c>
      <c r="B245">
        <v>828</v>
      </c>
      <c r="C245" s="1" t="str">
        <f>HYPERLINK("http://www.rosaceae.org/gb/gbrowse/malus_x_domestica/?name=MDP0000252227","MDP0000252227")</f>
        <v>MDP0000252227</v>
      </c>
      <c r="D245">
        <v>55.08</v>
      </c>
      <c r="E245">
        <v>285</v>
      </c>
      <c r="F245">
        <v>128</v>
      </c>
      <c r="G245">
        <v>32</v>
      </c>
      <c r="H245">
        <v>12</v>
      </c>
      <c r="I245">
        <v>294</v>
      </c>
      <c r="J245">
        <v>1</v>
      </c>
      <c r="K245">
        <v>337</v>
      </c>
      <c r="L245">
        <v>591</v>
      </c>
      <c r="M245">
        <v>1</v>
      </c>
      <c r="N245">
        <v>3.9164399999999998E-73</v>
      </c>
      <c r="O245">
        <v>699</v>
      </c>
    </row>
    <row r="246" spans="1:15" x14ac:dyDescent="0.25">
      <c r="A246" t="s">
        <v>259</v>
      </c>
      <c r="B246">
        <v>331</v>
      </c>
      <c r="C246" s="1" t="str">
        <f>HYPERLINK("http://www.rosaceae.org/gb/gbrowse/malus_x_domestica/?name=MDP0000192272","MDP0000192272")</f>
        <v>MDP0000192272</v>
      </c>
      <c r="D246">
        <v>73.73</v>
      </c>
      <c r="E246">
        <v>217</v>
      </c>
      <c r="F246">
        <v>57</v>
      </c>
      <c r="G246">
        <v>23</v>
      </c>
      <c r="H246">
        <v>53</v>
      </c>
      <c r="I246">
        <v>246</v>
      </c>
      <c r="J246">
        <v>1</v>
      </c>
      <c r="K246">
        <v>145</v>
      </c>
      <c r="L246">
        <v>361</v>
      </c>
      <c r="M246">
        <v>1</v>
      </c>
      <c r="N246">
        <v>5.2635100000000003E-88</v>
      </c>
      <c r="O246">
        <v>823</v>
      </c>
    </row>
    <row r="247" spans="1:15" x14ac:dyDescent="0.25">
      <c r="A247" t="s">
        <v>260</v>
      </c>
      <c r="B247">
        <v>1102</v>
      </c>
      <c r="C247" s="1" t="str">
        <f>HYPERLINK("http://www.rosaceae.org/gb/gbrowse/malus_x_domestica/?name=MDP0000528435","MDP0000528435")</f>
        <v>MDP0000528435</v>
      </c>
      <c r="D247">
        <v>55.44</v>
      </c>
      <c r="E247">
        <v>395</v>
      </c>
      <c r="F247">
        <v>176</v>
      </c>
      <c r="G247">
        <v>15</v>
      </c>
      <c r="H247">
        <v>719</v>
      </c>
      <c r="I247">
        <v>1100</v>
      </c>
      <c r="J247">
        <v>1</v>
      </c>
      <c r="K247">
        <v>53</v>
      </c>
      <c r="L247">
        <v>445</v>
      </c>
      <c r="M247">
        <v>1</v>
      </c>
      <c r="N247">
        <v>7.6389900000000004E-119</v>
      </c>
      <c r="O247">
        <v>1095</v>
      </c>
    </row>
    <row r="248" spans="1:15" x14ac:dyDescent="0.25">
      <c r="A248" t="s">
        <v>261</v>
      </c>
      <c r="B248">
        <v>350</v>
      </c>
      <c r="C248" s="1" t="str">
        <f>HYPERLINK("http://www.rosaceae.org/gb/gbrowse/malus_x_domestica/?name=MDP0000249666","MDP0000249666")</f>
        <v>MDP0000249666</v>
      </c>
      <c r="D248">
        <v>47.59</v>
      </c>
      <c r="E248">
        <v>187</v>
      </c>
      <c r="F248">
        <v>98</v>
      </c>
      <c r="G248">
        <v>44</v>
      </c>
      <c r="H248">
        <v>161</v>
      </c>
      <c r="I248">
        <v>347</v>
      </c>
      <c r="J248">
        <v>1</v>
      </c>
      <c r="K248">
        <v>434</v>
      </c>
      <c r="L248">
        <v>576</v>
      </c>
      <c r="M248">
        <v>1</v>
      </c>
      <c r="N248">
        <v>7.5585200000000001E-38</v>
      </c>
      <c r="O248">
        <v>391</v>
      </c>
    </row>
    <row r="249" spans="1:15" x14ac:dyDescent="0.25">
      <c r="A249" t="s">
        <v>262</v>
      </c>
      <c r="B249">
        <v>455</v>
      </c>
      <c r="C249" s="1" t="str">
        <f>HYPERLINK("http://www.rosaceae.org/gb/gbrowse/malus_x_domestica/?name=MDP0000299496","MDP0000299496")</f>
        <v>MDP0000299496</v>
      </c>
      <c r="D249">
        <v>44.82</v>
      </c>
      <c r="E249">
        <v>203</v>
      </c>
      <c r="F249">
        <v>112</v>
      </c>
      <c r="G249">
        <v>9</v>
      </c>
      <c r="H249">
        <v>236</v>
      </c>
      <c r="I249">
        <v>438</v>
      </c>
      <c r="J249">
        <v>1</v>
      </c>
      <c r="K249">
        <v>477</v>
      </c>
      <c r="L249">
        <v>670</v>
      </c>
      <c r="M249">
        <v>1</v>
      </c>
      <c r="N249">
        <v>5.8770600000000002E-49</v>
      </c>
      <c r="O249">
        <v>488</v>
      </c>
    </row>
    <row r="250" spans="1:15" x14ac:dyDescent="0.25">
      <c r="A250" t="s">
        <v>263</v>
      </c>
      <c r="B250">
        <v>428</v>
      </c>
      <c r="C250" s="1" t="str">
        <f>HYPERLINK("http://www.rosaceae.org/gb/gbrowse/malus_x_domestica/?name=MDP0000145846","MDP0000145846")</f>
        <v>MDP0000145846</v>
      </c>
      <c r="D250">
        <v>60.62</v>
      </c>
      <c r="E250">
        <v>419</v>
      </c>
      <c r="F250">
        <v>165</v>
      </c>
      <c r="G250">
        <v>15</v>
      </c>
      <c r="H250">
        <v>25</v>
      </c>
      <c r="I250">
        <v>428</v>
      </c>
      <c r="J250">
        <v>1</v>
      </c>
      <c r="K250">
        <v>27</v>
      </c>
      <c r="L250">
        <v>445</v>
      </c>
      <c r="M250">
        <v>1</v>
      </c>
      <c r="N250">
        <v>8.0778899999999999E-136</v>
      </c>
      <c r="O250">
        <v>1237</v>
      </c>
    </row>
    <row r="251" spans="1:15" x14ac:dyDescent="0.25">
      <c r="A251" t="s">
        <v>264</v>
      </c>
      <c r="B251">
        <v>446</v>
      </c>
      <c r="C251" s="1" t="str">
        <f>HYPERLINK("http://www.rosaceae.org/gb/gbrowse/malus_x_domestica/?name=MDP0000172222","MDP0000172222")</f>
        <v>MDP0000172222</v>
      </c>
      <c r="D251">
        <v>86.83</v>
      </c>
      <c r="E251">
        <v>448</v>
      </c>
      <c r="F251">
        <v>59</v>
      </c>
      <c r="G251">
        <v>3</v>
      </c>
      <c r="H251">
        <v>1</v>
      </c>
      <c r="I251">
        <v>446</v>
      </c>
      <c r="J251">
        <v>1</v>
      </c>
      <c r="K251">
        <v>121</v>
      </c>
      <c r="L251">
        <v>567</v>
      </c>
      <c r="M251">
        <v>1</v>
      </c>
      <c r="N251">
        <v>0</v>
      </c>
      <c r="O251">
        <v>2065</v>
      </c>
    </row>
    <row r="252" spans="1:15" x14ac:dyDescent="0.25">
      <c r="A252" t="s">
        <v>265</v>
      </c>
      <c r="B252">
        <v>171</v>
      </c>
      <c r="C252" s="1" t="str">
        <f>HYPERLINK("http://www.rosaceae.org/gb/gbrowse/malus_x_domestica/?name=MDP0000736365","MDP0000736365")</f>
        <v>MDP0000736365</v>
      </c>
      <c r="D252">
        <v>66.28</v>
      </c>
      <c r="E252">
        <v>175</v>
      </c>
      <c r="F252">
        <v>59</v>
      </c>
      <c r="G252">
        <v>6</v>
      </c>
      <c r="H252">
        <v>1</v>
      </c>
      <c r="I252">
        <v>171</v>
      </c>
      <c r="J252">
        <v>1</v>
      </c>
      <c r="K252">
        <v>1</v>
      </c>
      <c r="L252">
        <v>173</v>
      </c>
      <c r="M252">
        <v>1</v>
      </c>
      <c r="N252">
        <v>4.3734399999999997E-59</v>
      </c>
      <c r="O252">
        <v>570</v>
      </c>
    </row>
    <row r="253" spans="1:15" x14ac:dyDescent="0.25">
      <c r="A253" t="s">
        <v>266</v>
      </c>
      <c r="B253">
        <v>633</v>
      </c>
      <c r="C253" s="1" t="str">
        <f>HYPERLINK("http://www.rosaceae.org/gb/gbrowse/malus_x_domestica/?name=MDP0000168165","MDP0000168165")</f>
        <v>MDP0000168165</v>
      </c>
      <c r="D253">
        <v>82.77</v>
      </c>
      <c r="E253">
        <v>534</v>
      </c>
      <c r="F253">
        <v>92</v>
      </c>
      <c r="G253">
        <v>1</v>
      </c>
      <c r="H253">
        <v>101</v>
      </c>
      <c r="I253">
        <v>633</v>
      </c>
      <c r="J253">
        <v>1</v>
      </c>
      <c r="K253">
        <v>1</v>
      </c>
      <c r="L253">
        <v>534</v>
      </c>
      <c r="M253">
        <v>1</v>
      </c>
      <c r="N253">
        <v>0</v>
      </c>
      <c r="O253">
        <v>2376</v>
      </c>
    </row>
    <row r="254" spans="1:15" x14ac:dyDescent="0.25">
      <c r="A254" t="s">
        <v>267</v>
      </c>
      <c r="B254">
        <v>682</v>
      </c>
      <c r="C254" s="1" t="str">
        <f>HYPERLINK("http://www.rosaceae.org/gb/gbrowse/malus_x_domestica/?name=MDP0000228868","MDP0000228868")</f>
        <v>MDP0000228868</v>
      </c>
      <c r="D254">
        <v>22.74</v>
      </c>
      <c r="E254">
        <v>255</v>
      </c>
      <c r="F254">
        <v>197</v>
      </c>
      <c r="G254">
        <v>36</v>
      </c>
      <c r="H254">
        <v>185</v>
      </c>
      <c r="I254">
        <v>407</v>
      </c>
      <c r="J254">
        <v>1</v>
      </c>
      <c r="K254">
        <v>541</v>
      </c>
      <c r="L254">
        <v>791</v>
      </c>
      <c r="M254">
        <v>1</v>
      </c>
      <c r="N254">
        <v>4.9523000000000002E-12</v>
      </c>
      <c r="O254">
        <v>172</v>
      </c>
    </row>
    <row r="255" spans="1:15" x14ac:dyDescent="0.25">
      <c r="A255" t="s">
        <v>268</v>
      </c>
      <c r="B255">
        <v>256</v>
      </c>
      <c r="C255" s="1" t="str">
        <f>HYPERLINK("http://www.rosaceae.org/gb/gbrowse/malus_x_domestica/?name=MDP0000265620","MDP0000265620")</f>
        <v>MDP0000265620</v>
      </c>
      <c r="D255">
        <v>40</v>
      </c>
      <c r="E255">
        <v>150</v>
      </c>
      <c r="F255">
        <v>90</v>
      </c>
      <c r="G255">
        <v>34</v>
      </c>
      <c r="H255">
        <v>63</v>
      </c>
      <c r="I255">
        <v>178</v>
      </c>
      <c r="J255">
        <v>1</v>
      </c>
      <c r="K255">
        <v>995</v>
      </c>
      <c r="L255">
        <v>1144</v>
      </c>
      <c r="M255">
        <v>1</v>
      </c>
      <c r="N255">
        <v>3.6504999999999997E-15</v>
      </c>
      <c r="O255">
        <v>194</v>
      </c>
    </row>
    <row r="256" spans="1:15" x14ac:dyDescent="0.25">
      <c r="A256" t="s">
        <v>269</v>
      </c>
      <c r="B256">
        <v>517</v>
      </c>
      <c r="C256" s="1" t="str">
        <f>HYPERLINK("http://www.rosaceae.org/gb/gbrowse/malus_x_domestica/?name=MDP0000237182","MDP0000237182")</f>
        <v>MDP0000237182</v>
      </c>
      <c r="D256">
        <v>26.29</v>
      </c>
      <c r="E256">
        <v>232</v>
      </c>
      <c r="F256">
        <v>171</v>
      </c>
      <c r="G256">
        <v>22</v>
      </c>
      <c r="H256">
        <v>69</v>
      </c>
      <c r="I256">
        <v>285</v>
      </c>
      <c r="J256">
        <v>1</v>
      </c>
      <c r="K256">
        <v>288</v>
      </c>
      <c r="L256">
        <v>512</v>
      </c>
      <c r="M256">
        <v>1</v>
      </c>
      <c r="N256">
        <v>6.6138699999999996E-13</v>
      </c>
      <c r="O256">
        <v>178</v>
      </c>
    </row>
    <row r="257" spans="1:15" x14ac:dyDescent="0.25">
      <c r="A257" t="s">
        <v>270</v>
      </c>
      <c r="B257">
        <v>666</v>
      </c>
      <c r="C257" s="1" t="str">
        <f>HYPERLINK("http://www.rosaceae.org/gb/gbrowse/malus_x_domestica/?name=MDP0000916479","MDP0000916479")</f>
        <v>MDP0000916479</v>
      </c>
      <c r="D257">
        <v>27.67</v>
      </c>
      <c r="E257">
        <v>159</v>
      </c>
      <c r="F257">
        <v>115</v>
      </c>
      <c r="G257">
        <v>24</v>
      </c>
      <c r="H257">
        <v>506</v>
      </c>
      <c r="I257">
        <v>640</v>
      </c>
      <c r="J257">
        <v>1</v>
      </c>
      <c r="K257">
        <v>59</v>
      </c>
      <c r="L257">
        <v>217</v>
      </c>
      <c r="M257">
        <v>1</v>
      </c>
      <c r="N257">
        <v>1.73941E-12</v>
      </c>
      <c r="O257">
        <v>175</v>
      </c>
    </row>
    <row r="258" spans="1:15" x14ac:dyDescent="0.25">
      <c r="A258" t="s">
        <v>271</v>
      </c>
      <c r="B258">
        <v>822</v>
      </c>
      <c r="C258" s="1" t="str">
        <f>HYPERLINK("http://www.rosaceae.org/gb/gbrowse/malus_x_domestica/?name=MDP0000310875","MDP0000310875")</f>
        <v>MDP0000310875</v>
      </c>
      <c r="D258">
        <v>72.260000000000005</v>
      </c>
      <c r="E258">
        <v>851</v>
      </c>
      <c r="F258">
        <v>236</v>
      </c>
      <c r="G258">
        <v>42</v>
      </c>
      <c r="H258">
        <v>1</v>
      </c>
      <c r="I258">
        <v>822</v>
      </c>
      <c r="J258">
        <v>1</v>
      </c>
      <c r="K258">
        <v>1</v>
      </c>
      <c r="L258">
        <v>838</v>
      </c>
      <c r="M258">
        <v>1</v>
      </c>
      <c r="N258">
        <v>0</v>
      </c>
      <c r="O258">
        <v>3030</v>
      </c>
    </row>
    <row r="259" spans="1:15" x14ac:dyDescent="0.25">
      <c r="A259" t="s">
        <v>272</v>
      </c>
      <c r="B259">
        <v>219</v>
      </c>
      <c r="C259" s="1" t="str">
        <f>HYPERLINK("http://www.rosaceae.org/gb/gbrowse/malus_x_domestica/?name=MDP0000321003","MDP0000321003")</f>
        <v>MDP0000321003</v>
      </c>
      <c r="D259">
        <v>60.15</v>
      </c>
      <c r="E259">
        <v>256</v>
      </c>
      <c r="F259">
        <v>102</v>
      </c>
      <c r="G259">
        <v>76</v>
      </c>
      <c r="H259">
        <v>4</v>
      </c>
      <c r="I259">
        <v>183</v>
      </c>
      <c r="J259">
        <v>1</v>
      </c>
      <c r="K259">
        <v>1108</v>
      </c>
      <c r="L259">
        <v>1363</v>
      </c>
      <c r="M259">
        <v>1</v>
      </c>
      <c r="N259">
        <v>1.21365E-78</v>
      </c>
      <c r="O259">
        <v>740</v>
      </c>
    </row>
    <row r="260" spans="1:15" x14ac:dyDescent="0.25">
      <c r="A260" t="s">
        <v>273</v>
      </c>
      <c r="B260">
        <v>1064</v>
      </c>
      <c r="C260" s="1" t="str">
        <f>HYPERLINK("http://www.rosaceae.org/gb/gbrowse/malus_x_domestica/?name=MDP0000305329","MDP0000305329")</f>
        <v>MDP0000305329</v>
      </c>
      <c r="D260">
        <v>72.430000000000007</v>
      </c>
      <c r="E260">
        <v>399</v>
      </c>
      <c r="F260">
        <v>110</v>
      </c>
      <c r="G260">
        <v>3</v>
      </c>
      <c r="H260">
        <v>654</v>
      </c>
      <c r="I260">
        <v>1052</v>
      </c>
      <c r="J260">
        <v>1</v>
      </c>
      <c r="K260">
        <v>49</v>
      </c>
      <c r="L260">
        <v>444</v>
      </c>
      <c r="M260">
        <v>1</v>
      </c>
      <c r="N260">
        <v>1.3684799999999999E-159</v>
      </c>
      <c r="O260">
        <v>1446</v>
      </c>
    </row>
    <row r="261" spans="1:15" x14ac:dyDescent="0.25">
      <c r="A261" t="s">
        <v>274</v>
      </c>
      <c r="B261">
        <v>334</v>
      </c>
      <c r="C261" s="1" t="str">
        <f>HYPERLINK("http://www.rosaceae.org/gb/gbrowse/malus_x_domestica/?name=MDP0000155229","MDP0000155229")</f>
        <v>MDP0000155229</v>
      </c>
      <c r="D261">
        <v>69.13</v>
      </c>
      <c r="E261">
        <v>337</v>
      </c>
      <c r="F261">
        <v>104</v>
      </c>
      <c r="G261">
        <v>16</v>
      </c>
      <c r="H261">
        <v>1</v>
      </c>
      <c r="I261">
        <v>330</v>
      </c>
      <c r="J261">
        <v>1</v>
      </c>
      <c r="K261">
        <v>1</v>
      </c>
      <c r="L261">
        <v>328</v>
      </c>
      <c r="M261">
        <v>1</v>
      </c>
      <c r="N261">
        <v>4.6500899999999999E-129</v>
      </c>
      <c r="O261">
        <v>1178</v>
      </c>
    </row>
    <row r="262" spans="1:15" x14ac:dyDescent="0.25">
      <c r="A262" t="s">
        <v>275</v>
      </c>
      <c r="B262">
        <v>357</v>
      </c>
      <c r="C262" s="1" t="str">
        <f>HYPERLINK("http://www.rosaceae.org/gb/gbrowse/malus_x_domestica/?name=MDP0000282792","MDP0000282792")</f>
        <v>MDP0000282792</v>
      </c>
      <c r="D262">
        <v>80</v>
      </c>
      <c r="E262">
        <v>360</v>
      </c>
      <c r="F262">
        <v>72</v>
      </c>
      <c r="G262">
        <v>7</v>
      </c>
      <c r="H262">
        <v>1</v>
      </c>
      <c r="I262">
        <v>357</v>
      </c>
      <c r="J262">
        <v>1</v>
      </c>
      <c r="K262">
        <v>113</v>
      </c>
      <c r="L262">
        <v>468</v>
      </c>
      <c r="M262">
        <v>1</v>
      </c>
      <c r="N262">
        <v>3.1265299999999998E-160</v>
      </c>
      <c r="O262">
        <v>1447</v>
      </c>
    </row>
    <row r="263" spans="1:15" x14ac:dyDescent="0.25">
      <c r="A263" t="s">
        <v>276</v>
      </c>
      <c r="B263">
        <v>1183</v>
      </c>
      <c r="C263" s="1" t="str">
        <f>HYPERLINK("http://www.rosaceae.org/gb/gbrowse/malus_x_domestica/?name=MDP0000308560","MDP0000308560")</f>
        <v>MDP0000308560</v>
      </c>
      <c r="D263">
        <v>68.430000000000007</v>
      </c>
      <c r="E263">
        <v>659</v>
      </c>
      <c r="F263">
        <v>208</v>
      </c>
      <c r="G263">
        <v>19</v>
      </c>
      <c r="H263">
        <v>1</v>
      </c>
      <c r="I263">
        <v>641</v>
      </c>
      <c r="J263">
        <v>1</v>
      </c>
      <c r="K263">
        <v>1</v>
      </c>
      <c r="L263">
        <v>658</v>
      </c>
      <c r="M263">
        <v>1</v>
      </c>
      <c r="N263">
        <v>0</v>
      </c>
      <c r="O263">
        <v>2355</v>
      </c>
    </row>
    <row r="264" spans="1:15" x14ac:dyDescent="0.25">
      <c r="A264" t="s">
        <v>277</v>
      </c>
      <c r="B264">
        <v>329</v>
      </c>
      <c r="C264" s="1" t="str">
        <f>HYPERLINK("http://www.rosaceae.org/gb/gbrowse/malus_x_domestica/?name=MDP0000843980","MDP0000843980")</f>
        <v>MDP0000843980</v>
      </c>
      <c r="D264">
        <v>84.66</v>
      </c>
      <c r="E264">
        <v>313</v>
      </c>
      <c r="F264">
        <v>48</v>
      </c>
      <c r="G264">
        <v>1</v>
      </c>
      <c r="H264">
        <v>16</v>
      </c>
      <c r="I264">
        <v>327</v>
      </c>
      <c r="J264">
        <v>1</v>
      </c>
      <c r="K264">
        <v>30</v>
      </c>
      <c r="L264">
        <v>342</v>
      </c>
      <c r="M264">
        <v>1</v>
      </c>
      <c r="N264">
        <v>9.1050000000000005E-153</v>
      </c>
      <c r="O264">
        <v>1382</v>
      </c>
    </row>
    <row r="265" spans="1:15" x14ac:dyDescent="0.25">
      <c r="A265" t="s">
        <v>278</v>
      </c>
      <c r="B265">
        <v>153</v>
      </c>
      <c r="C265" s="1" t="str">
        <f>HYPERLINK("http://www.rosaceae.org/gb/gbrowse/malus_x_domestica/?name=MDP0000513880","MDP0000513880")</f>
        <v>MDP0000513880</v>
      </c>
      <c r="D265">
        <v>74.41</v>
      </c>
      <c r="E265">
        <v>86</v>
      </c>
      <c r="F265">
        <v>22</v>
      </c>
      <c r="G265">
        <v>1</v>
      </c>
      <c r="H265">
        <v>22</v>
      </c>
      <c r="I265">
        <v>107</v>
      </c>
      <c r="J265">
        <v>1</v>
      </c>
      <c r="K265">
        <v>19</v>
      </c>
      <c r="L265">
        <v>103</v>
      </c>
      <c r="M265">
        <v>1</v>
      </c>
      <c r="N265">
        <v>3.6782500000000003E-26</v>
      </c>
      <c r="O265">
        <v>285</v>
      </c>
    </row>
    <row r="266" spans="1:15" x14ac:dyDescent="0.25">
      <c r="A266" t="s">
        <v>279</v>
      </c>
      <c r="B266">
        <v>176</v>
      </c>
      <c r="C266" s="1" t="str">
        <f>HYPERLINK("http://www.rosaceae.org/gb/gbrowse/malus_x_domestica/?name=MDP0000676131","MDP0000676131")</f>
        <v>MDP0000676131</v>
      </c>
      <c r="D266">
        <v>41.93</v>
      </c>
      <c r="E266">
        <v>93</v>
      </c>
      <c r="F266">
        <v>54</v>
      </c>
      <c r="G266">
        <v>2</v>
      </c>
      <c r="H266">
        <v>80</v>
      </c>
      <c r="I266">
        <v>171</v>
      </c>
      <c r="J266">
        <v>1</v>
      </c>
      <c r="K266">
        <v>375</v>
      </c>
      <c r="L266">
        <v>466</v>
      </c>
      <c r="M266">
        <v>1</v>
      </c>
      <c r="N266">
        <v>3.5300000000000002E-15</v>
      </c>
      <c r="O266">
        <v>192</v>
      </c>
    </row>
    <row r="267" spans="1:15" x14ac:dyDescent="0.25">
      <c r="A267" t="s">
        <v>280</v>
      </c>
      <c r="B267">
        <v>1092</v>
      </c>
      <c r="C267" s="1" t="str">
        <f>HYPERLINK("http://www.rosaceae.org/gb/gbrowse/malus_x_domestica/?name=MDP0000264568","MDP0000264568")</f>
        <v>MDP0000264568</v>
      </c>
      <c r="D267">
        <v>45.86</v>
      </c>
      <c r="E267">
        <v>1075</v>
      </c>
      <c r="F267">
        <v>582</v>
      </c>
      <c r="G267">
        <v>31</v>
      </c>
      <c r="H267">
        <v>32</v>
      </c>
      <c r="I267">
        <v>1092</v>
      </c>
      <c r="J267">
        <v>1</v>
      </c>
      <c r="K267">
        <v>401</v>
      </c>
      <c r="L267">
        <v>1458</v>
      </c>
      <c r="M267">
        <v>1</v>
      </c>
      <c r="N267">
        <v>0</v>
      </c>
      <c r="O267">
        <v>2275</v>
      </c>
    </row>
    <row r="268" spans="1:15" x14ac:dyDescent="0.25">
      <c r="A268" t="s">
        <v>281</v>
      </c>
      <c r="B268">
        <v>535</v>
      </c>
      <c r="C268" s="1" t="str">
        <f>HYPERLINK("http://www.rosaceae.org/gb/gbrowse/malus_x_domestica/?name=MDP0000234147","MDP0000234147")</f>
        <v>MDP0000234147</v>
      </c>
      <c r="D268">
        <v>61.83</v>
      </c>
      <c r="E268">
        <v>566</v>
      </c>
      <c r="F268">
        <v>216</v>
      </c>
      <c r="G268">
        <v>64</v>
      </c>
      <c r="H268">
        <v>1</v>
      </c>
      <c r="I268">
        <v>535</v>
      </c>
      <c r="J268">
        <v>1</v>
      </c>
      <c r="K268">
        <v>1</v>
      </c>
      <c r="L268">
        <v>533</v>
      </c>
      <c r="M268">
        <v>1</v>
      </c>
      <c r="N268">
        <v>0</v>
      </c>
      <c r="O268">
        <v>1660</v>
      </c>
    </row>
    <row r="269" spans="1:15" x14ac:dyDescent="0.25">
      <c r="A269" t="s">
        <v>282</v>
      </c>
      <c r="B269">
        <v>314</v>
      </c>
      <c r="C269" s="1" t="str">
        <f>HYPERLINK("http://www.rosaceae.org/gb/gbrowse/malus_x_domestica/?name=MDP0000267275","MDP0000267275")</f>
        <v>MDP0000267275</v>
      </c>
      <c r="D269">
        <v>69.55</v>
      </c>
      <c r="E269">
        <v>312</v>
      </c>
      <c r="F269">
        <v>95</v>
      </c>
      <c r="G269">
        <v>2</v>
      </c>
      <c r="H269">
        <v>2</v>
      </c>
      <c r="I269">
        <v>312</v>
      </c>
      <c r="J269">
        <v>1</v>
      </c>
      <c r="K269">
        <v>294</v>
      </c>
      <c r="L269">
        <v>604</v>
      </c>
      <c r="M269">
        <v>1</v>
      </c>
      <c r="N269">
        <v>3.9345099999999999E-133</v>
      </c>
      <c r="O269">
        <v>1212</v>
      </c>
    </row>
    <row r="270" spans="1:15" x14ac:dyDescent="0.25">
      <c r="A270" t="s">
        <v>283</v>
      </c>
      <c r="B270">
        <v>394</v>
      </c>
      <c r="C270" s="1" t="str">
        <f>HYPERLINK("http://www.rosaceae.org/gb/gbrowse/malus_x_domestica/?name=MDP0000700484","MDP0000700484")</f>
        <v>MDP0000700484</v>
      </c>
      <c r="D270">
        <v>74</v>
      </c>
      <c r="E270">
        <v>400</v>
      </c>
      <c r="F270">
        <v>104</v>
      </c>
      <c r="G270">
        <v>8</v>
      </c>
      <c r="H270">
        <v>1</v>
      </c>
      <c r="I270">
        <v>394</v>
      </c>
      <c r="J270">
        <v>1</v>
      </c>
      <c r="K270">
        <v>1</v>
      </c>
      <c r="L270">
        <v>398</v>
      </c>
      <c r="M270">
        <v>1</v>
      </c>
      <c r="N270">
        <v>2.8376500000000001E-165</v>
      </c>
      <c r="O270">
        <v>1491</v>
      </c>
    </row>
    <row r="271" spans="1:15" x14ac:dyDescent="0.25">
      <c r="A271" t="s">
        <v>284</v>
      </c>
      <c r="B271">
        <v>171</v>
      </c>
      <c r="C271" s="1" t="str">
        <f>HYPERLINK("http://www.rosaceae.org/gb/gbrowse/malus_x_domestica/?name=MDP0000203092","MDP0000203092")</f>
        <v>MDP0000203092</v>
      </c>
      <c r="D271">
        <v>38.46</v>
      </c>
      <c r="E271">
        <v>156</v>
      </c>
      <c r="F271">
        <v>96</v>
      </c>
      <c r="G271">
        <v>6</v>
      </c>
      <c r="H271">
        <v>16</v>
      </c>
      <c r="I271">
        <v>171</v>
      </c>
      <c r="J271">
        <v>1</v>
      </c>
      <c r="K271">
        <v>181</v>
      </c>
      <c r="L271">
        <v>330</v>
      </c>
      <c r="M271">
        <v>1</v>
      </c>
      <c r="N271">
        <v>6.54134E-23</v>
      </c>
      <c r="O271">
        <v>258</v>
      </c>
    </row>
    <row r="272" spans="1:15" x14ac:dyDescent="0.25">
      <c r="A272" t="s">
        <v>285</v>
      </c>
      <c r="B272">
        <v>407</v>
      </c>
      <c r="C272" s="1" t="str">
        <f>HYPERLINK("http://www.rosaceae.org/gb/gbrowse/malus_x_domestica/?name=MDP0000249666","MDP0000249666")</f>
        <v>MDP0000249666</v>
      </c>
      <c r="D272">
        <v>55.65</v>
      </c>
      <c r="E272">
        <v>345</v>
      </c>
      <c r="F272">
        <v>153</v>
      </c>
      <c r="G272">
        <v>21</v>
      </c>
      <c r="H272">
        <v>74</v>
      </c>
      <c r="I272">
        <v>398</v>
      </c>
      <c r="J272">
        <v>1</v>
      </c>
      <c r="K272">
        <v>270</v>
      </c>
      <c r="L272">
        <v>613</v>
      </c>
      <c r="M272">
        <v>1</v>
      </c>
      <c r="N272">
        <v>1.92649E-99</v>
      </c>
      <c r="O272">
        <v>923</v>
      </c>
    </row>
    <row r="273" spans="1:15" x14ac:dyDescent="0.25">
      <c r="A273" t="s">
        <v>286</v>
      </c>
      <c r="B273">
        <v>296</v>
      </c>
      <c r="C273" s="1" t="str">
        <f>HYPERLINK("http://www.rosaceae.org/gb/gbrowse/malus_x_domestica/?name=MDP0000887107","MDP0000887107")</f>
        <v>MDP0000887107</v>
      </c>
      <c r="D273">
        <v>49.39</v>
      </c>
      <c r="E273">
        <v>328</v>
      </c>
      <c r="F273">
        <v>166</v>
      </c>
      <c r="G273">
        <v>33</v>
      </c>
      <c r="H273">
        <v>1</v>
      </c>
      <c r="I273">
        <v>296</v>
      </c>
      <c r="J273">
        <v>1</v>
      </c>
      <c r="K273">
        <v>1</v>
      </c>
      <c r="L273">
        <v>327</v>
      </c>
      <c r="M273">
        <v>1</v>
      </c>
      <c r="N273">
        <v>7.0751500000000004E-75</v>
      </c>
      <c r="O273">
        <v>710</v>
      </c>
    </row>
    <row r="274" spans="1:15" x14ac:dyDescent="0.25">
      <c r="A274" t="s">
        <v>287</v>
      </c>
      <c r="B274">
        <v>386</v>
      </c>
      <c r="C274" s="1" t="str">
        <f>HYPERLINK("http://www.rosaceae.org/gb/gbrowse/malus_x_domestica/?name=MDP0000208816","MDP0000208816")</f>
        <v>MDP0000208816</v>
      </c>
      <c r="D274">
        <v>24.73</v>
      </c>
      <c r="E274">
        <v>384</v>
      </c>
      <c r="F274">
        <v>289</v>
      </c>
      <c r="G274">
        <v>78</v>
      </c>
      <c r="H274">
        <v>6</v>
      </c>
      <c r="I274">
        <v>347</v>
      </c>
      <c r="J274">
        <v>1</v>
      </c>
      <c r="K274">
        <v>33</v>
      </c>
      <c r="L274">
        <v>380</v>
      </c>
      <c r="M274">
        <v>1</v>
      </c>
      <c r="N274">
        <v>1.4273299999999999E-17</v>
      </c>
      <c r="O274">
        <v>217</v>
      </c>
    </row>
    <row r="275" spans="1:15" x14ac:dyDescent="0.25">
      <c r="A275" t="s">
        <v>288</v>
      </c>
      <c r="B275">
        <v>510</v>
      </c>
      <c r="C275" s="1" t="str">
        <f>HYPERLINK("http://www.rosaceae.org/gb/gbrowse/malus_x_domestica/?name=MDP0000167085","MDP0000167085")</f>
        <v>MDP0000167085</v>
      </c>
      <c r="D275">
        <v>68.239999999999995</v>
      </c>
      <c r="E275">
        <v>466</v>
      </c>
      <c r="F275">
        <v>148</v>
      </c>
      <c r="G275">
        <v>82</v>
      </c>
      <c r="H275">
        <v>1</v>
      </c>
      <c r="I275">
        <v>390</v>
      </c>
      <c r="J275">
        <v>1</v>
      </c>
      <c r="K275">
        <v>1</v>
      </c>
      <c r="L275">
        <v>460</v>
      </c>
      <c r="M275">
        <v>1</v>
      </c>
      <c r="N275">
        <v>2.8309899999999999E-175</v>
      </c>
      <c r="O275">
        <v>1578</v>
      </c>
    </row>
    <row r="276" spans="1:15" x14ac:dyDescent="0.25">
      <c r="A276" t="s">
        <v>289</v>
      </c>
      <c r="B276">
        <v>243</v>
      </c>
      <c r="C276" s="1" t="str">
        <f>HYPERLINK("http://www.rosaceae.org/gb/gbrowse/malus_x_domestica/?name=MDP0000322487","MDP0000322487")</f>
        <v>MDP0000322487</v>
      </c>
      <c r="D276">
        <v>39.06</v>
      </c>
      <c r="E276">
        <v>64</v>
      </c>
      <c r="F276">
        <v>39</v>
      </c>
      <c r="G276">
        <v>1</v>
      </c>
      <c r="H276">
        <v>6</v>
      </c>
      <c r="I276">
        <v>69</v>
      </c>
      <c r="J276">
        <v>1</v>
      </c>
      <c r="K276">
        <v>3</v>
      </c>
      <c r="L276">
        <v>65</v>
      </c>
      <c r="M276">
        <v>1</v>
      </c>
      <c r="N276">
        <v>2.2646700000000001E-7</v>
      </c>
      <c r="O276">
        <v>126</v>
      </c>
    </row>
    <row r="277" spans="1:15" x14ac:dyDescent="0.25">
      <c r="A277" t="s">
        <v>290</v>
      </c>
      <c r="B277">
        <v>331</v>
      </c>
      <c r="C277" s="1" t="str">
        <f>HYPERLINK("http://www.rosaceae.org/gb/gbrowse/malus_x_domestica/?name=MDP0000278586","MDP0000278586")</f>
        <v>MDP0000278586</v>
      </c>
      <c r="D277">
        <v>80.489999999999995</v>
      </c>
      <c r="E277">
        <v>323</v>
      </c>
      <c r="F277">
        <v>63</v>
      </c>
      <c r="G277">
        <v>2</v>
      </c>
      <c r="H277">
        <v>1</v>
      </c>
      <c r="I277">
        <v>321</v>
      </c>
      <c r="J277">
        <v>1</v>
      </c>
      <c r="K277">
        <v>276</v>
      </c>
      <c r="L277">
        <v>598</v>
      </c>
      <c r="M277">
        <v>1</v>
      </c>
      <c r="N277">
        <v>2.41455E-157</v>
      </c>
      <c r="O277">
        <v>1421</v>
      </c>
    </row>
    <row r="278" spans="1:15" x14ac:dyDescent="0.25">
      <c r="A278" t="s">
        <v>291</v>
      </c>
      <c r="B278">
        <v>173</v>
      </c>
      <c r="C278" s="1" t="str">
        <f>HYPERLINK("http://www.rosaceae.org/gb/gbrowse/malus_x_domestica/?name=MDP0000326058","MDP0000326058")</f>
        <v>MDP0000326058</v>
      </c>
      <c r="D278">
        <v>76.819999999999993</v>
      </c>
      <c r="E278">
        <v>82</v>
      </c>
      <c r="F278">
        <v>19</v>
      </c>
      <c r="G278">
        <v>1</v>
      </c>
      <c r="H278">
        <v>65</v>
      </c>
      <c r="I278">
        <v>146</v>
      </c>
      <c r="J278">
        <v>1</v>
      </c>
      <c r="K278">
        <v>115</v>
      </c>
      <c r="L278">
        <v>195</v>
      </c>
      <c r="M278">
        <v>1</v>
      </c>
      <c r="N278">
        <v>3.21707E-29</v>
      </c>
      <c r="O278">
        <v>313</v>
      </c>
    </row>
    <row r="279" spans="1:15" x14ac:dyDescent="0.25">
      <c r="A279" t="s">
        <v>292</v>
      </c>
      <c r="B279">
        <v>439</v>
      </c>
      <c r="C279" s="1" t="str">
        <f>HYPERLINK("http://www.rosaceae.org/gb/gbrowse/malus_x_domestica/?name=MDP0000139947","MDP0000139947")</f>
        <v>MDP0000139947</v>
      </c>
      <c r="D279">
        <v>74.41</v>
      </c>
      <c r="E279">
        <v>426</v>
      </c>
      <c r="F279">
        <v>109</v>
      </c>
      <c r="G279">
        <v>36</v>
      </c>
      <c r="H279">
        <v>19</v>
      </c>
      <c r="I279">
        <v>414</v>
      </c>
      <c r="J279">
        <v>1</v>
      </c>
      <c r="K279">
        <v>24</v>
      </c>
      <c r="L279">
        <v>443</v>
      </c>
      <c r="M279">
        <v>1</v>
      </c>
      <c r="N279">
        <v>6.0571999999999998E-180</v>
      </c>
      <c r="O279">
        <v>1618</v>
      </c>
    </row>
    <row r="280" spans="1:15" x14ac:dyDescent="0.25">
      <c r="A280" t="s">
        <v>293</v>
      </c>
      <c r="B280">
        <v>139</v>
      </c>
      <c r="C280" s="1" t="str">
        <f>HYPERLINK("http://www.rosaceae.org/gb/gbrowse/malus_x_domestica/?name=MDP0000155205","MDP0000155205")</f>
        <v>MDP0000155205</v>
      </c>
      <c r="D280">
        <v>76.36</v>
      </c>
      <c r="E280">
        <v>55</v>
      </c>
      <c r="F280">
        <v>13</v>
      </c>
      <c r="G280">
        <v>2</v>
      </c>
      <c r="H280">
        <v>83</v>
      </c>
      <c r="I280">
        <v>137</v>
      </c>
      <c r="J280">
        <v>1</v>
      </c>
      <c r="K280">
        <v>101</v>
      </c>
      <c r="L280">
        <v>153</v>
      </c>
      <c r="M280">
        <v>1</v>
      </c>
      <c r="N280">
        <v>2.1910799999999999E-17</v>
      </c>
      <c r="O280">
        <v>209</v>
      </c>
    </row>
    <row r="281" spans="1:15" x14ac:dyDescent="0.25">
      <c r="A281" t="s">
        <v>294</v>
      </c>
      <c r="B281">
        <v>416</v>
      </c>
      <c r="C281" s="1" t="str">
        <f>HYPERLINK("http://www.rosaceae.org/gb/gbrowse/malus_x_domestica/?name=MDP0000240315","MDP0000240315")</f>
        <v>MDP0000240315</v>
      </c>
      <c r="D281">
        <v>81.5</v>
      </c>
      <c r="E281">
        <v>146</v>
      </c>
      <c r="F281">
        <v>27</v>
      </c>
      <c r="G281">
        <v>0</v>
      </c>
      <c r="H281">
        <v>68</v>
      </c>
      <c r="I281">
        <v>213</v>
      </c>
      <c r="J281">
        <v>1</v>
      </c>
      <c r="K281">
        <v>399</v>
      </c>
      <c r="L281">
        <v>544</v>
      </c>
      <c r="M281">
        <v>1</v>
      </c>
      <c r="N281">
        <v>1.9218700000000002E-65</v>
      </c>
      <c r="O281">
        <v>630</v>
      </c>
    </row>
    <row r="282" spans="1:15" x14ac:dyDescent="0.25">
      <c r="A282" t="s">
        <v>295</v>
      </c>
      <c r="B282">
        <v>556</v>
      </c>
      <c r="C282" s="1" t="str">
        <f>HYPERLINK("http://www.rosaceae.org/gb/gbrowse/malus_x_domestica/?name=MDP0000153077","MDP0000153077")</f>
        <v>MDP0000153077</v>
      </c>
      <c r="D282">
        <v>34.18</v>
      </c>
      <c r="E282">
        <v>392</v>
      </c>
      <c r="F282">
        <v>258</v>
      </c>
      <c r="G282">
        <v>74</v>
      </c>
      <c r="H282">
        <v>1</v>
      </c>
      <c r="I282">
        <v>331</v>
      </c>
      <c r="J282">
        <v>1</v>
      </c>
      <c r="K282">
        <v>1</v>
      </c>
      <c r="L282">
        <v>379</v>
      </c>
      <c r="M282">
        <v>1</v>
      </c>
      <c r="N282">
        <v>3.9216599999999999E-37</v>
      </c>
      <c r="O282">
        <v>387</v>
      </c>
    </row>
    <row r="283" spans="1:15" x14ac:dyDescent="0.25">
      <c r="A283" t="s">
        <v>296</v>
      </c>
      <c r="B283">
        <v>521</v>
      </c>
      <c r="C283" s="1" t="str">
        <f>HYPERLINK("http://www.rosaceae.org/gb/gbrowse/malus_x_domestica/?name=MDP0000146753","MDP0000146753")</f>
        <v>MDP0000146753</v>
      </c>
      <c r="D283">
        <v>34.54</v>
      </c>
      <c r="E283">
        <v>275</v>
      </c>
      <c r="F283">
        <v>180</v>
      </c>
      <c r="G283">
        <v>17</v>
      </c>
      <c r="H283">
        <v>252</v>
      </c>
      <c r="I283">
        <v>521</v>
      </c>
      <c r="J283">
        <v>1</v>
      </c>
      <c r="K283">
        <v>107</v>
      </c>
      <c r="L283">
        <v>369</v>
      </c>
      <c r="M283">
        <v>1</v>
      </c>
      <c r="N283">
        <v>6.3594000000000005E-38</v>
      </c>
      <c r="O283">
        <v>394</v>
      </c>
    </row>
    <row r="284" spans="1:15" x14ac:dyDescent="0.25">
      <c r="A284" t="s">
        <v>297</v>
      </c>
      <c r="B284">
        <v>650</v>
      </c>
      <c r="C284" s="1" t="str">
        <f>HYPERLINK("http://www.rosaceae.org/gb/gbrowse/malus_x_domestica/?name=MDP0000318891","MDP0000318891")</f>
        <v>MDP0000318891</v>
      </c>
      <c r="D284">
        <v>49.88</v>
      </c>
      <c r="E284">
        <v>437</v>
      </c>
      <c r="F284">
        <v>219</v>
      </c>
      <c r="G284">
        <v>30</v>
      </c>
      <c r="H284">
        <v>1</v>
      </c>
      <c r="I284">
        <v>419</v>
      </c>
      <c r="J284">
        <v>1</v>
      </c>
      <c r="K284">
        <v>1</v>
      </c>
      <c r="L284">
        <v>425</v>
      </c>
      <c r="M284">
        <v>1</v>
      </c>
      <c r="N284">
        <v>2.7199600000000001E-96</v>
      </c>
      <c r="O284">
        <v>898</v>
      </c>
    </row>
    <row r="285" spans="1:15" x14ac:dyDescent="0.25">
      <c r="A285" t="s">
        <v>298</v>
      </c>
      <c r="B285">
        <v>297</v>
      </c>
      <c r="C285" s="1" t="str">
        <f>HYPERLINK("http://www.rosaceae.org/gb/gbrowse/malus_x_domestica/?name=MDP0000196826","MDP0000196826")</f>
        <v>MDP0000196826</v>
      </c>
      <c r="D285">
        <v>86.39</v>
      </c>
      <c r="E285">
        <v>272</v>
      </c>
      <c r="F285">
        <v>37</v>
      </c>
      <c r="G285">
        <v>4</v>
      </c>
      <c r="H285">
        <v>1</v>
      </c>
      <c r="I285">
        <v>268</v>
      </c>
      <c r="J285">
        <v>1</v>
      </c>
      <c r="K285">
        <v>1</v>
      </c>
      <c r="L285">
        <v>272</v>
      </c>
      <c r="M285">
        <v>1</v>
      </c>
      <c r="N285">
        <v>6.9230700000000003E-139</v>
      </c>
      <c r="O285">
        <v>1262</v>
      </c>
    </row>
    <row r="286" spans="1:15" x14ac:dyDescent="0.25">
      <c r="A286" t="s">
        <v>299</v>
      </c>
      <c r="B286">
        <v>293</v>
      </c>
      <c r="C286" s="1" t="str">
        <f>HYPERLINK("http://www.rosaceae.org/gb/gbrowse/malus_x_domestica/?name=MDP0000783760","MDP0000783760")</f>
        <v>MDP0000783760</v>
      </c>
      <c r="D286">
        <v>85.66</v>
      </c>
      <c r="E286">
        <v>293</v>
      </c>
      <c r="F286">
        <v>42</v>
      </c>
      <c r="G286">
        <v>3</v>
      </c>
      <c r="H286">
        <v>1</v>
      </c>
      <c r="I286">
        <v>293</v>
      </c>
      <c r="J286">
        <v>1</v>
      </c>
      <c r="K286">
        <v>1</v>
      </c>
      <c r="L286">
        <v>290</v>
      </c>
      <c r="M286">
        <v>1</v>
      </c>
      <c r="N286">
        <v>3.3873400000000001E-144</v>
      </c>
      <c r="O286">
        <v>1307</v>
      </c>
    </row>
    <row r="287" spans="1:15" x14ac:dyDescent="0.25">
      <c r="A287" t="s">
        <v>300</v>
      </c>
      <c r="B287">
        <v>355</v>
      </c>
      <c r="C287" s="1" t="str">
        <f>HYPERLINK("http://www.rosaceae.org/gb/gbrowse/malus_x_domestica/?name=MDP0000570102","MDP0000570102")</f>
        <v>MDP0000570102</v>
      </c>
      <c r="D287">
        <v>37.799999999999997</v>
      </c>
      <c r="E287">
        <v>365</v>
      </c>
      <c r="F287">
        <v>227</v>
      </c>
      <c r="G287">
        <v>26</v>
      </c>
      <c r="H287">
        <v>3</v>
      </c>
      <c r="I287">
        <v>350</v>
      </c>
      <c r="J287">
        <v>1</v>
      </c>
      <c r="K287">
        <v>162</v>
      </c>
      <c r="L287">
        <v>517</v>
      </c>
      <c r="M287">
        <v>1</v>
      </c>
      <c r="N287">
        <v>6.9792299999999996E-68</v>
      </c>
      <c r="O287">
        <v>650</v>
      </c>
    </row>
    <row r="288" spans="1:15" x14ac:dyDescent="0.25">
      <c r="A288" t="s">
        <v>301</v>
      </c>
      <c r="B288">
        <v>263</v>
      </c>
      <c r="C288" s="1" t="str">
        <f>HYPERLINK("http://www.rosaceae.org/gb/gbrowse/malus_x_domestica/?name=MDP0000270944","MDP0000270944")</f>
        <v>MDP0000270944</v>
      </c>
      <c r="D288">
        <v>69.17</v>
      </c>
      <c r="E288">
        <v>266</v>
      </c>
      <c r="F288">
        <v>82</v>
      </c>
      <c r="G288">
        <v>3</v>
      </c>
      <c r="H288">
        <v>1</v>
      </c>
      <c r="I288">
        <v>263</v>
      </c>
      <c r="J288">
        <v>1</v>
      </c>
      <c r="K288">
        <v>18</v>
      </c>
      <c r="L288">
        <v>283</v>
      </c>
      <c r="M288">
        <v>1</v>
      </c>
      <c r="N288">
        <v>2.6212900000000001E-101</v>
      </c>
      <c r="O288">
        <v>937</v>
      </c>
    </row>
    <row r="289" spans="1:15" x14ac:dyDescent="0.25">
      <c r="A289" t="s">
        <v>302</v>
      </c>
      <c r="B289">
        <v>189</v>
      </c>
      <c r="C289" s="1" t="str">
        <f>HYPERLINK("http://www.rosaceae.org/gb/gbrowse/malus_x_domestica/?name=MDP0000881537","MDP0000881537")</f>
        <v>MDP0000881537</v>
      </c>
      <c r="D289">
        <v>67.28</v>
      </c>
      <c r="E289">
        <v>107</v>
      </c>
      <c r="F289">
        <v>35</v>
      </c>
      <c r="G289">
        <v>13</v>
      </c>
      <c r="H289">
        <v>87</v>
      </c>
      <c r="I289">
        <v>180</v>
      </c>
      <c r="J289">
        <v>1</v>
      </c>
      <c r="K289">
        <v>217</v>
      </c>
      <c r="L289">
        <v>323</v>
      </c>
      <c r="M289">
        <v>1</v>
      </c>
      <c r="N289">
        <v>1.13318E-35</v>
      </c>
      <c r="O289">
        <v>369</v>
      </c>
    </row>
    <row r="290" spans="1:15" x14ac:dyDescent="0.25">
      <c r="A290" t="s">
        <v>303</v>
      </c>
      <c r="B290">
        <v>370</v>
      </c>
      <c r="C290" s="1" t="str">
        <f>HYPERLINK("http://www.rosaceae.org/gb/gbrowse/malus_x_domestica/?name=MDP0000857626","MDP0000857626")</f>
        <v>MDP0000857626</v>
      </c>
      <c r="D290">
        <v>55.92</v>
      </c>
      <c r="E290">
        <v>329</v>
      </c>
      <c r="F290">
        <v>145</v>
      </c>
      <c r="G290">
        <v>16</v>
      </c>
      <c r="H290">
        <v>46</v>
      </c>
      <c r="I290">
        <v>370</v>
      </c>
      <c r="J290">
        <v>1</v>
      </c>
      <c r="K290">
        <v>1</v>
      </c>
      <c r="L290">
        <v>317</v>
      </c>
      <c r="M290">
        <v>1</v>
      </c>
      <c r="N290">
        <v>4.4367399999999999E-76</v>
      </c>
      <c r="O290">
        <v>721</v>
      </c>
    </row>
    <row r="291" spans="1:15" x14ac:dyDescent="0.25">
      <c r="A291" t="s">
        <v>304</v>
      </c>
      <c r="B291">
        <v>322</v>
      </c>
      <c r="C291" s="1" t="str">
        <f>HYPERLINK("http://www.rosaceae.org/gb/gbrowse/malus_x_domestica/?name=MDP0000292254","MDP0000292254")</f>
        <v>MDP0000292254</v>
      </c>
      <c r="D291">
        <v>50</v>
      </c>
      <c r="E291">
        <v>78</v>
      </c>
      <c r="F291">
        <v>39</v>
      </c>
      <c r="G291">
        <v>10</v>
      </c>
      <c r="H291">
        <v>237</v>
      </c>
      <c r="I291">
        <v>314</v>
      </c>
      <c r="J291">
        <v>1</v>
      </c>
      <c r="K291">
        <v>61</v>
      </c>
      <c r="L291">
        <v>128</v>
      </c>
      <c r="M291">
        <v>1</v>
      </c>
      <c r="N291">
        <v>3.6682100000000002E-14</v>
      </c>
      <c r="O291">
        <v>186</v>
      </c>
    </row>
    <row r="292" spans="1:15" x14ac:dyDescent="0.25">
      <c r="A292" t="s">
        <v>305</v>
      </c>
      <c r="B292">
        <v>366</v>
      </c>
      <c r="C292" s="1" t="str">
        <f>HYPERLINK("http://www.rosaceae.org/gb/gbrowse/malus_x_domestica/?name=MDP0000554462","MDP0000554462")</f>
        <v>MDP0000554462</v>
      </c>
      <c r="D292">
        <v>70</v>
      </c>
      <c r="E292">
        <v>200</v>
      </c>
      <c r="F292">
        <v>60</v>
      </c>
      <c r="G292">
        <v>13</v>
      </c>
      <c r="H292">
        <v>171</v>
      </c>
      <c r="I292">
        <v>366</v>
      </c>
      <c r="J292">
        <v>1</v>
      </c>
      <c r="K292">
        <v>26</v>
      </c>
      <c r="L292">
        <v>216</v>
      </c>
      <c r="M292">
        <v>1</v>
      </c>
      <c r="N292">
        <v>6.06264E-69</v>
      </c>
      <c r="O292">
        <v>660</v>
      </c>
    </row>
    <row r="293" spans="1:15" x14ac:dyDescent="0.25">
      <c r="A293" t="s">
        <v>306</v>
      </c>
      <c r="B293">
        <v>1247</v>
      </c>
      <c r="C293" s="1" t="str">
        <f>HYPERLINK("http://www.rosaceae.org/gb/gbrowse/malus_x_domestica/?name=MDP0000190369","MDP0000190369")</f>
        <v>MDP0000190369</v>
      </c>
      <c r="D293">
        <v>68.900000000000006</v>
      </c>
      <c r="E293">
        <v>476</v>
      </c>
      <c r="F293">
        <v>148</v>
      </c>
      <c r="G293">
        <v>44</v>
      </c>
      <c r="H293">
        <v>420</v>
      </c>
      <c r="I293">
        <v>872</v>
      </c>
      <c r="J293">
        <v>1</v>
      </c>
      <c r="K293">
        <v>58</v>
      </c>
      <c r="L293">
        <v>512</v>
      </c>
      <c r="M293">
        <v>1</v>
      </c>
      <c r="N293">
        <v>7.0132600000000001E-179</v>
      </c>
      <c r="O293">
        <v>1613</v>
      </c>
    </row>
    <row r="294" spans="1:15" x14ac:dyDescent="0.25">
      <c r="A294" t="s">
        <v>307</v>
      </c>
      <c r="B294">
        <v>361</v>
      </c>
      <c r="C294" s="1" t="str">
        <f>HYPERLINK("http://www.rosaceae.org/gb/gbrowse/malus_x_domestica/?name=MDP0000203812","MDP0000203812")</f>
        <v>MDP0000203812</v>
      </c>
      <c r="D294">
        <v>89.19</v>
      </c>
      <c r="E294">
        <v>361</v>
      </c>
      <c r="F294">
        <v>39</v>
      </c>
      <c r="G294">
        <v>0</v>
      </c>
      <c r="H294">
        <v>1</v>
      </c>
      <c r="I294">
        <v>361</v>
      </c>
      <c r="J294">
        <v>1</v>
      </c>
      <c r="K294">
        <v>1</v>
      </c>
      <c r="L294">
        <v>361</v>
      </c>
      <c r="M294">
        <v>1</v>
      </c>
      <c r="N294">
        <v>0</v>
      </c>
      <c r="O294">
        <v>1696</v>
      </c>
    </row>
    <row r="295" spans="1:15" x14ac:dyDescent="0.25">
      <c r="A295" t="s">
        <v>308</v>
      </c>
      <c r="B295">
        <v>236</v>
      </c>
      <c r="C295" s="1" t="str">
        <f>HYPERLINK("http://www.rosaceae.org/gb/gbrowse/malus_x_domestica/?name=MDP0000293960","MDP0000293960")</f>
        <v>MDP0000293960</v>
      </c>
      <c r="D295">
        <v>72.69</v>
      </c>
      <c r="E295">
        <v>271</v>
      </c>
      <c r="F295">
        <v>74</v>
      </c>
      <c r="G295">
        <v>38</v>
      </c>
      <c r="H295">
        <v>1</v>
      </c>
      <c r="I295">
        <v>236</v>
      </c>
      <c r="J295">
        <v>1</v>
      </c>
      <c r="K295">
        <v>233</v>
      </c>
      <c r="L295">
        <v>500</v>
      </c>
      <c r="M295">
        <v>1</v>
      </c>
      <c r="N295">
        <v>1.6862400000000001E-111</v>
      </c>
      <c r="O295">
        <v>1024</v>
      </c>
    </row>
    <row r="296" spans="1:15" x14ac:dyDescent="0.25">
      <c r="A296" t="s">
        <v>309</v>
      </c>
      <c r="B296">
        <v>361</v>
      </c>
      <c r="C296" s="1" t="str">
        <f>HYPERLINK("http://www.rosaceae.org/gb/gbrowse/malus_x_domestica/?name=MDP0000445131","MDP0000445131")</f>
        <v>MDP0000445131</v>
      </c>
      <c r="D296">
        <v>78.61</v>
      </c>
      <c r="E296">
        <v>332</v>
      </c>
      <c r="F296">
        <v>71</v>
      </c>
      <c r="G296">
        <v>1</v>
      </c>
      <c r="H296">
        <v>29</v>
      </c>
      <c r="I296">
        <v>360</v>
      </c>
      <c r="J296">
        <v>1</v>
      </c>
      <c r="K296">
        <v>56</v>
      </c>
      <c r="L296">
        <v>386</v>
      </c>
      <c r="M296">
        <v>1</v>
      </c>
      <c r="N296">
        <v>9.5575899999999993E-159</v>
      </c>
      <c r="O296">
        <v>1434</v>
      </c>
    </row>
    <row r="297" spans="1:15" x14ac:dyDescent="0.25">
      <c r="A297" t="s">
        <v>310</v>
      </c>
      <c r="B297">
        <v>540</v>
      </c>
      <c r="C297" s="1" t="str">
        <f>HYPERLINK("http://www.rosaceae.org/gb/gbrowse/malus_x_domestica/?name=MDP0000308757","MDP0000308757")</f>
        <v>MDP0000308757</v>
      </c>
      <c r="D297">
        <v>61.38</v>
      </c>
      <c r="E297">
        <v>518</v>
      </c>
      <c r="F297">
        <v>200</v>
      </c>
      <c r="G297">
        <v>14</v>
      </c>
      <c r="H297">
        <v>2</v>
      </c>
      <c r="I297">
        <v>517</v>
      </c>
      <c r="J297">
        <v>1</v>
      </c>
      <c r="K297">
        <v>336</v>
      </c>
      <c r="L297">
        <v>841</v>
      </c>
      <c r="M297">
        <v>1</v>
      </c>
      <c r="N297">
        <v>2.6612899999999998E-176</v>
      </c>
      <c r="O297">
        <v>1587</v>
      </c>
    </row>
    <row r="298" spans="1:15" x14ac:dyDescent="0.25">
      <c r="A298" t="s">
        <v>311</v>
      </c>
      <c r="B298">
        <v>92</v>
      </c>
      <c r="C298" s="1" t="str">
        <f>HYPERLINK("http://www.rosaceae.org/gb/gbrowse/malus_x_domestica/?name=MDP0000179513","MDP0000179513")</f>
        <v>MDP0000179513</v>
      </c>
      <c r="D298">
        <v>81.52</v>
      </c>
      <c r="E298">
        <v>92</v>
      </c>
      <c r="F298">
        <v>17</v>
      </c>
      <c r="G298">
        <v>0</v>
      </c>
      <c r="H298">
        <v>1</v>
      </c>
      <c r="I298">
        <v>92</v>
      </c>
      <c r="J298">
        <v>1</v>
      </c>
      <c r="K298">
        <v>54</v>
      </c>
      <c r="L298">
        <v>145</v>
      </c>
      <c r="M298">
        <v>1</v>
      </c>
      <c r="N298">
        <v>1.32579E-34</v>
      </c>
      <c r="O298">
        <v>356</v>
      </c>
    </row>
    <row r="299" spans="1:15" x14ac:dyDescent="0.25">
      <c r="A299" t="s">
        <v>312</v>
      </c>
      <c r="B299">
        <v>740</v>
      </c>
      <c r="C299" s="1" t="str">
        <f>HYPERLINK("http://www.rosaceae.org/gb/gbrowse/malus_x_domestica/?name=MDP0000909991","MDP0000909991")</f>
        <v>MDP0000909991</v>
      </c>
      <c r="D299">
        <v>46.34</v>
      </c>
      <c r="E299">
        <v>753</v>
      </c>
      <c r="F299">
        <v>404</v>
      </c>
      <c r="G299">
        <v>45</v>
      </c>
      <c r="H299">
        <v>23</v>
      </c>
      <c r="I299">
        <v>737</v>
      </c>
      <c r="J299">
        <v>1</v>
      </c>
      <c r="K299">
        <v>72</v>
      </c>
      <c r="L299">
        <v>817</v>
      </c>
      <c r="M299">
        <v>1</v>
      </c>
      <c r="N299">
        <v>4.2834699999999998E-165</v>
      </c>
      <c r="O299">
        <v>1492</v>
      </c>
    </row>
    <row r="300" spans="1:15" x14ac:dyDescent="0.25">
      <c r="A300" t="s">
        <v>313</v>
      </c>
      <c r="B300">
        <v>305</v>
      </c>
      <c r="C300" s="1" t="str">
        <f>HYPERLINK("http://www.rosaceae.org/gb/gbrowse/malus_x_domestica/?name=MDP0000703621","MDP0000703621")</f>
        <v>MDP0000703621</v>
      </c>
      <c r="D300">
        <v>73.790000000000006</v>
      </c>
      <c r="E300">
        <v>290</v>
      </c>
      <c r="F300">
        <v>76</v>
      </c>
      <c r="G300">
        <v>12</v>
      </c>
      <c r="H300">
        <v>28</v>
      </c>
      <c r="I300">
        <v>305</v>
      </c>
      <c r="J300">
        <v>1</v>
      </c>
      <c r="K300">
        <v>6</v>
      </c>
      <c r="L300">
        <v>295</v>
      </c>
      <c r="M300">
        <v>1</v>
      </c>
      <c r="N300">
        <v>4.97506E-123</v>
      </c>
      <c r="O300">
        <v>1125</v>
      </c>
    </row>
    <row r="301" spans="1:15" x14ac:dyDescent="0.25">
      <c r="A301" t="s">
        <v>314</v>
      </c>
      <c r="B301">
        <v>612</v>
      </c>
      <c r="C301" s="1" t="str">
        <f>HYPERLINK("http://www.rosaceae.org/gb/gbrowse/malus_x_domestica/?name=MDP0000250047","MDP0000250047")</f>
        <v>MDP0000250047</v>
      </c>
      <c r="D301">
        <v>71.64</v>
      </c>
      <c r="E301">
        <v>462</v>
      </c>
      <c r="F301">
        <v>131</v>
      </c>
      <c r="G301">
        <v>10</v>
      </c>
      <c r="H301">
        <v>1</v>
      </c>
      <c r="I301">
        <v>458</v>
      </c>
      <c r="J301">
        <v>1</v>
      </c>
      <c r="K301">
        <v>50</v>
      </c>
      <c r="L301">
        <v>505</v>
      </c>
      <c r="M301">
        <v>1</v>
      </c>
      <c r="N301">
        <v>0</v>
      </c>
      <c r="O301">
        <v>1786</v>
      </c>
    </row>
    <row r="302" spans="1:15" x14ac:dyDescent="0.25">
      <c r="A302" t="s">
        <v>315</v>
      </c>
      <c r="B302">
        <v>147</v>
      </c>
      <c r="C302" s="1" t="str">
        <f>HYPERLINK("http://www.rosaceae.org/gb/gbrowse/malus_x_domestica/?name=MDP0000165991","MDP0000165991")</f>
        <v>MDP0000165991</v>
      </c>
      <c r="D302">
        <v>45.69</v>
      </c>
      <c r="E302">
        <v>151</v>
      </c>
      <c r="F302">
        <v>82</v>
      </c>
      <c r="G302">
        <v>21</v>
      </c>
      <c r="H302">
        <v>1</v>
      </c>
      <c r="I302">
        <v>147</v>
      </c>
      <c r="J302">
        <v>1</v>
      </c>
      <c r="K302">
        <v>1</v>
      </c>
      <c r="L302">
        <v>134</v>
      </c>
      <c r="M302">
        <v>1</v>
      </c>
      <c r="N302">
        <v>2.04246E-16</v>
      </c>
      <c r="O302">
        <v>201</v>
      </c>
    </row>
    <row r="303" spans="1:15" x14ac:dyDescent="0.25">
      <c r="A303" t="s">
        <v>316</v>
      </c>
      <c r="B303">
        <v>617</v>
      </c>
      <c r="C303" s="1" t="str">
        <f>HYPERLINK("http://www.rosaceae.org/gb/gbrowse/malus_x_domestica/?name=MDP0000298084","MDP0000298084")</f>
        <v>MDP0000298084</v>
      </c>
      <c r="D303">
        <v>41.31</v>
      </c>
      <c r="E303">
        <v>334</v>
      </c>
      <c r="F303">
        <v>196</v>
      </c>
      <c r="G303">
        <v>58</v>
      </c>
      <c r="H303">
        <v>6</v>
      </c>
      <c r="I303">
        <v>290</v>
      </c>
      <c r="J303">
        <v>1</v>
      </c>
      <c r="K303">
        <v>15</v>
      </c>
      <c r="L303">
        <v>339</v>
      </c>
      <c r="M303">
        <v>1</v>
      </c>
      <c r="N303">
        <v>9.9540900000000002E-57</v>
      </c>
      <c r="O303">
        <v>557</v>
      </c>
    </row>
    <row r="304" spans="1:15" x14ac:dyDescent="0.25">
      <c r="A304" t="s">
        <v>317</v>
      </c>
      <c r="B304">
        <v>679</v>
      </c>
      <c r="C304" s="1" t="str">
        <f>HYPERLINK("http://www.rosaceae.org/gb/gbrowse/malus_x_domestica/?name=MDP0000171509","MDP0000171509")</f>
        <v>MDP0000171509</v>
      </c>
      <c r="D304">
        <v>70.98</v>
      </c>
      <c r="E304">
        <v>455</v>
      </c>
      <c r="F304">
        <v>132</v>
      </c>
      <c r="G304">
        <v>18</v>
      </c>
      <c r="H304">
        <v>232</v>
      </c>
      <c r="I304">
        <v>668</v>
      </c>
      <c r="J304">
        <v>1</v>
      </c>
      <c r="K304">
        <v>33</v>
      </c>
      <c r="L304">
        <v>487</v>
      </c>
      <c r="M304">
        <v>1</v>
      </c>
      <c r="N304">
        <v>0</v>
      </c>
      <c r="O304">
        <v>1669</v>
      </c>
    </row>
    <row r="305" spans="1:15" x14ac:dyDescent="0.25">
      <c r="A305" t="s">
        <v>318</v>
      </c>
      <c r="B305">
        <v>1016</v>
      </c>
      <c r="C305" s="1" t="str">
        <f>HYPERLINK("http://www.rosaceae.org/gb/gbrowse/malus_x_domestica/?name=MDP0000317970","MDP0000317970")</f>
        <v>MDP0000317970</v>
      </c>
      <c r="D305">
        <v>67.02</v>
      </c>
      <c r="E305">
        <v>1031</v>
      </c>
      <c r="F305">
        <v>340</v>
      </c>
      <c r="G305">
        <v>82</v>
      </c>
      <c r="H305">
        <v>38</v>
      </c>
      <c r="I305">
        <v>1016</v>
      </c>
      <c r="J305">
        <v>1</v>
      </c>
      <c r="K305">
        <v>28</v>
      </c>
      <c r="L305">
        <v>1028</v>
      </c>
      <c r="M305">
        <v>1</v>
      </c>
      <c r="N305">
        <v>0</v>
      </c>
      <c r="O305">
        <v>3425</v>
      </c>
    </row>
    <row r="306" spans="1:15" x14ac:dyDescent="0.25">
      <c r="A306" t="s">
        <v>319</v>
      </c>
      <c r="B306">
        <v>1518</v>
      </c>
      <c r="C306" s="1" t="str">
        <f>HYPERLINK("http://www.rosaceae.org/gb/gbrowse/malus_x_domestica/?name=MDP0000162784","MDP0000162784")</f>
        <v>MDP0000162784</v>
      </c>
      <c r="D306">
        <v>70.58</v>
      </c>
      <c r="E306">
        <v>1241</v>
      </c>
      <c r="F306">
        <v>365</v>
      </c>
      <c r="G306">
        <v>71</v>
      </c>
      <c r="H306">
        <v>24</v>
      </c>
      <c r="I306">
        <v>1249</v>
      </c>
      <c r="J306">
        <v>1</v>
      </c>
      <c r="K306">
        <v>478</v>
      </c>
      <c r="L306">
        <v>1662</v>
      </c>
      <c r="M306">
        <v>1</v>
      </c>
      <c r="N306">
        <v>0</v>
      </c>
      <c r="O306">
        <v>4405</v>
      </c>
    </row>
    <row r="307" spans="1:15" x14ac:dyDescent="0.25">
      <c r="A307" t="s">
        <v>320</v>
      </c>
      <c r="B307">
        <v>194</v>
      </c>
      <c r="C307" s="1" t="str">
        <f>HYPERLINK("http://www.rosaceae.org/gb/gbrowse/malus_x_domestica/?name=MDP0000492916","MDP0000492916")</f>
        <v>MDP0000492916</v>
      </c>
      <c r="D307">
        <v>68.61</v>
      </c>
      <c r="E307">
        <v>239</v>
      </c>
      <c r="F307">
        <v>75</v>
      </c>
      <c r="G307">
        <v>51</v>
      </c>
      <c r="H307">
        <v>2</v>
      </c>
      <c r="I307">
        <v>189</v>
      </c>
      <c r="J307">
        <v>1</v>
      </c>
      <c r="K307">
        <v>169</v>
      </c>
      <c r="L307">
        <v>407</v>
      </c>
      <c r="M307">
        <v>1</v>
      </c>
      <c r="N307">
        <v>3.5109599999999997E-89</v>
      </c>
      <c r="O307">
        <v>830</v>
      </c>
    </row>
    <row r="308" spans="1:15" x14ac:dyDescent="0.25">
      <c r="A308" t="s">
        <v>321</v>
      </c>
      <c r="B308">
        <v>379</v>
      </c>
      <c r="C308" s="1" t="str">
        <f>HYPERLINK("http://www.rosaceae.org/gb/gbrowse/malus_x_domestica/?name=MDP0000140895","MDP0000140895")</f>
        <v>MDP0000140895</v>
      </c>
      <c r="D308">
        <v>81.31</v>
      </c>
      <c r="E308">
        <v>364</v>
      </c>
      <c r="F308">
        <v>68</v>
      </c>
      <c r="G308">
        <v>17</v>
      </c>
      <c r="H308">
        <v>1</v>
      </c>
      <c r="I308">
        <v>359</v>
      </c>
      <c r="J308">
        <v>1</v>
      </c>
      <c r="K308">
        <v>1</v>
      </c>
      <c r="L308">
        <v>352</v>
      </c>
      <c r="M308">
        <v>1</v>
      </c>
      <c r="N308">
        <v>1.0022499999999999E-171</v>
      </c>
      <c r="O308">
        <v>1546</v>
      </c>
    </row>
    <row r="309" spans="1:15" x14ac:dyDescent="0.25">
      <c r="A309" t="s">
        <v>322</v>
      </c>
      <c r="B309">
        <v>415</v>
      </c>
      <c r="C309" s="1" t="str">
        <f>HYPERLINK("http://www.rosaceae.org/gb/gbrowse/malus_x_domestica/?name=MDP0000592685","MDP0000592685")</f>
        <v>MDP0000592685</v>
      </c>
      <c r="D309">
        <v>91.14</v>
      </c>
      <c r="E309">
        <v>418</v>
      </c>
      <c r="F309">
        <v>37</v>
      </c>
      <c r="G309">
        <v>4</v>
      </c>
      <c r="H309">
        <v>2</v>
      </c>
      <c r="I309">
        <v>415</v>
      </c>
      <c r="J309">
        <v>1</v>
      </c>
      <c r="K309">
        <v>3</v>
      </c>
      <c r="L309">
        <v>420</v>
      </c>
      <c r="M309">
        <v>1</v>
      </c>
      <c r="N309">
        <v>0</v>
      </c>
      <c r="O309">
        <v>2005</v>
      </c>
    </row>
    <row r="310" spans="1:15" x14ac:dyDescent="0.25">
      <c r="A310" t="s">
        <v>323</v>
      </c>
      <c r="B310">
        <v>397</v>
      </c>
      <c r="C310" s="1" t="str">
        <f>HYPERLINK("http://www.rosaceae.org/gb/gbrowse/malus_x_domestica/?name=MDP0000373966","MDP0000373966")</f>
        <v>MDP0000373966</v>
      </c>
      <c r="D310">
        <v>69.849999999999994</v>
      </c>
      <c r="E310">
        <v>355</v>
      </c>
      <c r="F310">
        <v>107</v>
      </c>
      <c r="G310">
        <v>3</v>
      </c>
      <c r="H310">
        <v>46</v>
      </c>
      <c r="I310">
        <v>397</v>
      </c>
      <c r="J310">
        <v>1</v>
      </c>
      <c r="K310">
        <v>1646</v>
      </c>
      <c r="L310">
        <v>2000</v>
      </c>
      <c r="M310">
        <v>1</v>
      </c>
      <c r="N310">
        <v>7.8667400000000006E-166</v>
      </c>
      <c r="O310">
        <v>1495</v>
      </c>
    </row>
    <row r="311" spans="1:15" x14ac:dyDescent="0.25">
      <c r="A311" t="s">
        <v>324</v>
      </c>
      <c r="B311">
        <v>1219</v>
      </c>
      <c r="C311" s="1" t="str">
        <f>HYPERLINK("http://www.rosaceae.org/gb/gbrowse/malus_x_domestica/?name=MDP0000709648","MDP0000709648")</f>
        <v>MDP0000709648</v>
      </c>
      <c r="D311">
        <v>41.4</v>
      </c>
      <c r="E311">
        <v>908</v>
      </c>
      <c r="F311">
        <v>532</v>
      </c>
      <c r="G311">
        <v>133</v>
      </c>
      <c r="H311">
        <v>6</v>
      </c>
      <c r="I311">
        <v>828</v>
      </c>
      <c r="J311">
        <v>1</v>
      </c>
      <c r="K311">
        <v>15</v>
      </c>
      <c r="L311">
        <v>874</v>
      </c>
      <c r="M311">
        <v>1</v>
      </c>
      <c r="N311">
        <v>3.1042499999999998E-141</v>
      </c>
      <c r="O311">
        <v>1288</v>
      </c>
    </row>
    <row r="312" spans="1:15" x14ac:dyDescent="0.25">
      <c r="A312" t="s">
        <v>325</v>
      </c>
      <c r="B312">
        <v>1052</v>
      </c>
      <c r="C312" s="1" t="str">
        <f>HYPERLINK("http://www.rosaceae.org/gb/gbrowse/malus_x_domestica/?name=MDP0000264108","MDP0000264108")</f>
        <v>MDP0000264108</v>
      </c>
      <c r="D312">
        <v>53.82</v>
      </c>
      <c r="E312">
        <v>641</v>
      </c>
      <c r="F312">
        <v>296</v>
      </c>
      <c r="G312">
        <v>16</v>
      </c>
      <c r="H312">
        <v>1</v>
      </c>
      <c r="I312">
        <v>633</v>
      </c>
      <c r="J312">
        <v>1</v>
      </c>
      <c r="K312">
        <v>151</v>
      </c>
      <c r="L312">
        <v>783</v>
      </c>
      <c r="M312">
        <v>1</v>
      </c>
      <c r="N312">
        <v>2.5168299999999999E-172</v>
      </c>
      <c r="O312">
        <v>1556</v>
      </c>
    </row>
    <row r="313" spans="1:15" x14ac:dyDescent="0.25">
      <c r="A313" t="s">
        <v>326</v>
      </c>
      <c r="B313">
        <v>860</v>
      </c>
      <c r="C313" s="1" t="str">
        <f>HYPERLINK("http://www.rosaceae.org/gb/gbrowse/malus_x_domestica/?name=MDP0000318115","MDP0000318115")</f>
        <v>MDP0000318115</v>
      </c>
      <c r="D313">
        <v>65.180000000000007</v>
      </c>
      <c r="E313">
        <v>833</v>
      </c>
      <c r="F313">
        <v>290</v>
      </c>
      <c r="G313">
        <v>48</v>
      </c>
      <c r="H313">
        <v>1</v>
      </c>
      <c r="I313">
        <v>823</v>
      </c>
      <c r="J313">
        <v>1</v>
      </c>
      <c r="K313">
        <v>1</v>
      </c>
      <c r="L313">
        <v>795</v>
      </c>
      <c r="M313">
        <v>1</v>
      </c>
      <c r="N313">
        <v>0</v>
      </c>
      <c r="O313">
        <v>2784</v>
      </c>
    </row>
    <row r="314" spans="1:15" x14ac:dyDescent="0.25">
      <c r="A314" t="s">
        <v>327</v>
      </c>
      <c r="B314">
        <v>519</v>
      </c>
      <c r="C314" s="1" t="str">
        <f>HYPERLINK("http://www.rosaceae.org/gb/gbrowse/malus_x_domestica/?name=MDP0000233477","MDP0000233477")</f>
        <v>MDP0000233477</v>
      </c>
      <c r="D314">
        <v>73.540000000000006</v>
      </c>
      <c r="E314">
        <v>223</v>
      </c>
      <c r="F314">
        <v>59</v>
      </c>
      <c r="G314">
        <v>7</v>
      </c>
      <c r="H314">
        <v>1</v>
      </c>
      <c r="I314">
        <v>217</v>
      </c>
      <c r="J314">
        <v>1</v>
      </c>
      <c r="K314">
        <v>66</v>
      </c>
      <c r="L314">
        <v>287</v>
      </c>
      <c r="M314">
        <v>1</v>
      </c>
      <c r="N314">
        <v>1.9373100000000001E-92</v>
      </c>
      <c r="O314">
        <v>864</v>
      </c>
    </row>
    <row r="315" spans="1:15" x14ac:dyDescent="0.25">
      <c r="A315" t="s">
        <v>328</v>
      </c>
      <c r="B315">
        <v>135</v>
      </c>
      <c r="C315" s="1" t="str">
        <f>HYPERLINK("http://www.rosaceae.org/gb/gbrowse/malus_x_domestica/?name=MDP0000270684","MDP0000270684")</f>
        <v>MDP0000270684</v>
      </c>
      <c r="D315">
        <v>43.75</v>
      </c>
      <c r="E315">
        <v>144</v>
      </c>
      <c r="F315">
        <v>81</v>
      </c>
      <c r="G315">
        <v>25</v>
      </c>
      <c r="H315">
        <v>6</v>
      </c>
      <c r="I315">
        <v>131</v>
      </c>
      <c r="J315">
        <v>1</v>
      </c>
      <c r="K315">
        <v>900</v>
      </c>
      <c r="L315">
        <v>1036</v>
      </c>
      <c r="M315">
        <v>1</v>
      </c>
      <c r="N315">
        <v>2.2330799999999999E-19</v>
      </c>
      <c r="O315">
        <v>226</v>
      </c>
    </row>
    <row r="316" spans="1:15" x14ac:dyDescent="0.25">
      <c r="A316" t="s">
        <v>329</v>
      </c>
      <c r="B316">
        <v>294</v>
      </c>
      <c r="C316" s="1" t="str">
        <f>HYPERLINK("http://www.rosaceae.org/gb/gbrowse/malus_x_domestica/?name=MDP0000394158","MDP0000394158")</f>
        <v>MDP0000394158</v>
      </c>
      <c r="D316">
        <v>43.5</v>
      </c>
      <c r="E316">
        <v>331</v>
      </c>
      <c r="F316">
        <v>187</v>
      </c>
      <c r="G316">
        <v>45</v>
      </c>
      <c r="H316">
        <v>1</v>
      </c>
      <c r="I316">
        <v>294</v>
      </c>
      <c r="J316">
        <v>1</v>
      </c>
      <c r="K316">
        <v>1</v>
      </c>
      <c r="L316">
        <v>323</v>
      </c>
      <c r="M316">
        <v>1</v>
      </c>
      <c r="N316">
        <v>6.1236399999999999E-48</v>
      </c>
      <c r="O316">
        <v>477</v>
      </c>
    </row>
    <row r="317" spans="1:15" x14ac:dyDescent="0.25">
      <c r="A317" t="s">
        <v>330</v>
      </c>
      <c r="B317">
        <v>300</v>
      </c>
      <c r="C317" s="1" t="str">
        <f>HYPERLINK("http://www.rosaceae.org/gb/gbrowse/malus_x_domestica/?name=MDP0000288370","MDP0000288370")</f>
        <v>MDP0000288370</v>
      </c>
      <c r="D317">
        <v>51.64</v>
      </c>
      <c r="E317">
        <v>182</v>
      </c>
      <c r="F317">
        <v>88</v>
      </c>
      <c r="G317">
        <v>15</v>
      </c>
      <c r="H317">
        <v>90</v>
      </c>
      <c r="I317">
        <v>257</v>
      </c>
      <c r="J317">
        <v>1</v>
      </c>
      <c r="K317">
        <v>867</v>
      </c>
      <c r="L317">
        <v>1047</v>
      </c>
      <c r="M317">
        <v>1</v>
      </c>
      <c r="N317">
        <v>3.5229999999999999E-47</v>
      </c>
      <c r="O317">
        <v>471</v>
      </c>
    </row>
    <row r="318" spans="1:15" x14ac:dyDescent="0.25">
      <c r="A318" t="s">
        <v>331</v>
      </c>
      <c r="B318">
        <v>277</v>
      </c>
      <c r="C318" s="1" t="str">
        <f>HYPERLINK("http://www.rosaceae.org/gb/gbrowse/malus_x_domestica/?name=MDP0000137324","MDP0000137324")</f>
        <v>MDP0000137324</v>
      </c>
      <c r="D318">
        <v>33.76</v>
      </c>
      <c r="E318">
        <v>154</v>
      </c>
      <c r="F318">
        <v>102</v>
      </c>
      <c r="G318">
        <v>2</v>
      </c>
      <c r="H318">
        <v>20</v>
      </c>
      <c r="I318">
        <v>172</v>
      </c>
      <c r="J318">
        <v>1</v>
      </c>
      <c r="K318">
        <v>264</v>
      </c>
      <c r="L318">
        <v>416</v>
      </c>
      <c r="M318">
        <v>1</v>
      </c>
      <c r="N318">
        <v>1.63814E-19</v>
      </c>
      <c r="O318">
        <v>232</v>
      </c>
    </row>
    <row r="319" spans="1:15" x14ac:dyDescent="0.25">
      <c r="A319" t="s">
        <v>332</v>
      </c>
      <c r="B319">
        <v>375</v>
      </c>
      <c r="C319" s="1" t="str">
        <f>HYPERLINK("http://www.rosaceae.org/gb/gbrowse/malus_x_domestica/?name=MDP0000775651","MDP0000775651")</f>
        <v>MDP0000775651</v>
      </c>
      <c r="D319">
        <v>45.56</v>
      </c>
      <c r="E319">
        <v>417</v>
      </c>
      <c r="F319">
        <v>227</v>
      </c>
      <c r="G319">
        <v>64</v>
      </c>
      <c r="H319">
        <v>10</v>
      </c>
      <c r="I319">
        <v>373</v>
      </c>
      <c r="J319">
        <v>1</v>
      </c>
      <c r="K319">
        <v>1</v>
      </c>
      <c r="L319">
        <v>406</v>
      </c>
      <c r="M319">
        <v>1</v>
      </c>
      <c r="N319">
        <v>5.9257999999999999E-92</v>
      </c>
      <c r="O319">
        <v>858</v>
      </c>
    </row>
    <row r="320" spans="1:15" x14ac:dyDescent="0.25">
      <c r="A320" t="s">
        <v>333</v>
      </c>
      <c r="B320">
        <v>1019</v>
      </c>
      <c r="C320" s="1" t="str">
        <f>HYPERLINK("http://www.rosaceae.org/gb/gbrowse/malus_x_domestica/?name=MDP0000182487","MDP0000182487")</f>
        <v>MDP0000182487</v>
      </c>
      <c r="D320">
        <v>71.94</v>
      </c>
      <c r="E320">
        <v>713</v>
      </c>
      <c r="F320">
        <v>200</v>
      </c>
      <c r="G320">
        <v>9</v>
      </c>
      <c r="H320">
        <v>312</v>
      </c>
      <c r="I320">
        <v>1016</v>
      </c>
      <c r="J320">
        <v>1</v>
      </c>
      <c r="K320">
        <v>197</v>
      </c>
      <c r="L320">
        <v>908</v>
      </c>
      <c r="M320">
        <v>1</v>
      </c>
      <c r="N320">
        <v>0</v>
      </c>
      <c r="O320">
        <v>2755</v>
      </c>
    </row>
    <row r="321" spans="1:15" x14ac:dyDescent="0.25">
      <c r="A321" t="s">
        <v>334</v>
      </c>
      <c r="B321">
        <v>671</v>
      </c>
      <c r="C321" s="1" t="str">
        <f>HYPERLINK("http://www.rosaceae.org/gb/gbrowse/malus_x_domestica/?name=MDP0000262878","MDP0000262878")</f>
        <v>MDP0000262878</v>
      </c>
      <c r="D321">
        <v>39.39</v>
      </c>
      <c r="E321">
        <v>792</v>
      </c>
      <c r="F321">
        <v>480</v>
      </c>
      <c r="G321">
        <v>169</v>
      </c>
      <c r="H321">
        <v>1</v>
      </c>
      <c r="I321">
        <v>669</v>
      </c>
      <c r="J321">
        <v>1</v>
      </c>
      <c r="K321">
        <v>1</v>
      </c>
      <c r="L321">
        <v>746</v>
      </c>
      <c r="M321">
        <v>1</v>
      </c>
      <c r="N321">
        <v>3.2618300000000002E-119</v>
      </c>
      <c r="O321">
        <v>1096</v>
      </c>
    </row>
    <row r="322" spans="1:15" x14ac:dyDescent="0.25">
      <c r="A322" t="s">
        <v>335</v>
      </c>
      <c r="B322">
        <v>192</v>
      </c>
      <c r="C322" s="1" t="str">
        <f>HYPERLINK("http://www.rosaceae.org/gb/gbrowse/malus_x_domestica/?name=MDP0000569928","MDP0000569928")</f>
        <v>MDP0000569928</v>
      </c>
      <c r="D322">
        <v>54.87</v>
      </c>
      <c r="E322">
        <v>195</v>
      </c>
      <c r="F322">
        <v>88</v>
      </c>
      <c r="G322">
        <v>6</v>
      </c>
      <c r="H322">
        <v>2</v>
      </c>
      <c r="I322">
        <v>190</v>
      </c>
      <c r="J322">
        <v>1</v>
      </c>
      <c r="K322">
        <v>3</v>
      </c>
      <c r="L322">
        <v>197</v>
      </c>
      <c r="M322">
        <v>1</v>
      </c>
      <c r="N322">
        <v>2.0178999999999999E-56</v>
      </c>
      <c r="O322">
        <v>548</v>
      </c>
    </row>
    <row r="323" spans="1:15" x14ac:dyDescent="0.25">
      <c r="A323" t="s">
        <v>336</v>
      </c>
      <c r="B323">
        <v>99</v>
      </c>
      <c r="C323" s="1" t="str">
        <f>HYPERLINK("http://www.rosaceae.org/gb/gbrowse/malus_x_domestica/?name=MDP0000699531","MDP0000699531")</f>
        <v>MDP0000699531</v>
      </c>
      <c r="D323">
        <v>64.150000000000006</v>
      </c>
      <c r="E323">
        <v>106</v>
      </c>
      <c r="F323">
        <v>38</v>
      </c>
      <c r="G323">
        <v>7</v>
      </c>
      <c r="H323">
        <v>1</v>
      </c>
      <c r="I323">
        <v>99</v>
      </c>
      <c r="J323">
        <v>1</v>
      </c>
      <c r="K323">
        <v>1</v>
      </c>
      <c r="L323">
        <v>106</v>
      </c>
      <c r="M323">
        <v>1</v>
      </c>
      <c r="N323">
        <v>1.58412E-32</v>
      </c>
      <c r="O323">
        <v>338</v>
      </c>
    </row>
    <row r="324" spans="1:15" x14ac:dyDescent="0.25">
      <c r="A324" t="s">
        <v>337</v>
      </c>
      <c r="B324">
        <v>370</v>
      </c>
      <c r="C324" s="1" t="str">
        <f>HYPERLINK("http://www.rosaceae.org/gb/gbrowse/malus_x_domestica/?name=MDP0000358859","MDP0000358859")</f>
        <v>MDP0000358859</v>
      </c>
      <c r="D324">
        <v>32.58</v>
      </c>
      <c r="E324">
        <v>89</v>
      </c>
      <c r="F324">
        <v>60</v>
      </c>
      <c r="G324">
        <v>3</v>
      </c>
      <c r="H324">
        <v>12</v>
      </c>
      <c r="I324">
        <v>99</v>
      </c>
      <c r="J324">
        <v>1</v>
      </c>
      <c r="K324">
        <v>4</v>
      </c>
      <c r="L324">
        <v>90</v>
      </c>
      <c r="M324">
        <v>1</v>
      </c>
      <c r="N324">
        <v>3.4647199999999997E-8</v>
      </c>
      <c r="O324">
        <v>136</v>
      </c>
    </row>
    <row r="325" spans="1:15" x14ac:dyDescent="0.25">
      <c r="A325" t="s">
        <v>338</v>
      </c>
      <c r="B325">
        <v>323</v>
      </c>
      <c r="C325" s="1" t="str">
        <f>HYPERLINK("http://www.rosaceae.org/gb/gbrowse/malus_x_domestica/?name=MDP0000211730","MDP0000211730")</f>
        <v>MDP0000211730</v>
      </c>
      <c r="D325">
        <v>56.84</v>
      </c>
      <c r="E325">
        <v>292</v>
      </c>
      <c r="F325">
        <v>126</v>
      </c>
      <c r="G325">
        <v>19</v>
      </c>
      <c r="H325">
        <v>32</v>
      </c>
      <c r="I325">
        <v>316</v>
      </c>
      <c r="J325">
        <v>1</v>
      </c>
      <c r="K325">
        <v>71</v>
      </c>
      <c r="L325">
        <v>350</v>
      </c>
      <c r="M325">
        <v>1</v>
      </c>
      <c r="N325">
        <v>9.5274899999999998E-76</v>
      </c>
      <c r="O325">
        <v>718</v>
      </c>
    </row>
    <row r="326" spans="1:15" x14ac:dyDescent="0.25">
      <c r="A326" t="s">
        <v>339</v>
      </c>
      <c r="B326">
        <v>108</v>
      </c>
      <c r="C326" s="1" t="str">
        <f>HYPERLINK("http://www.rosaceae.org/gb/gbrowse/malus_x_domestica/?name=MDP0000321202","MDP0000321202")</f>
        <v>MDP0000321202</v>
      </c>
      <c r="D326">
        <v>55.55</v>
      </c>
      <c r="E326">
        <v>63</v>
      </c>
      <c r="F326">
        <v>28</v>
      </c>
      <c r="G326">
        <v>0</v>
      </c>
      <c r="H326">
        <v>1</v>
      </c>
      <c r="I326">
        <v>63</v>
      </c>
      <c r="J326">
        <v>1</v>
      </c>
      <c r="K326">
        <v>1</v>
      </c>
      <c r="L326">
        <v>63</v>
      </c>
      <c r="M326">
        <v>1</v>
      </c>
      <c r="N326">
        <v>1.14881E-10</v>
      </c>
      <c r="O326">
        <v>149</v>
      </c>
    </row>
    <row r="327" spans="1:15" x14ac:dyDescent="0.25">
      <c r="A327" t="s">
        <v>340</v>
      </c>
      <c r="B327">
        <v>638</v>
      </c>
      <c r="C327" s="1" t="str">
        <f>HYPERLINK("http://www.rosaceae.org/gb/gbrowse/malus_x_domestica/?name=MDP0000319175","MDP0000319175")</f>
        <v>MDP0000319175</v>
      </c>
      <c r="D327">
        <v>68.25</v>
      </c>
      <c r="E327">
        <v>608</v>
      </c>
      <c r="F327">
        <v>193</v>
      </c>
      <c r="G327">
        <v>7</v>
      </c>
      <c r="H327">
        <v>15</v>
      </c>
      <c r="I327">
        <v>619</v>
      </c>
      <c r="J327">
        <v>1</v>
      </c>
      <c r="K327">
        <v>498</v>
      </c>
      <c r="L327">
        <v>1101</v>
      </c>
      <c r="M327">
        <v>1</v>
      </c>
      <c r="N327">
        <v>0</v>
      </c>
      <c r="O327">
        <v>2132</v>
      </c>
    </row>
    <row r="328" spans="1:15" x14ac:dyDescent="0.25">
      <c r="A328" t="s">
        <v>341</v>
      </c>
      <c r="B328">
        <v>460</v>
      </c>
      <c r="C328" s="1" t="str">
        <f>HYPERLINK("http://www.rosaceae.org/gb/gbrowse/malus_x_domestica/?name=MDP0000799945","MDP0000799945")</f>
        <v>MDP0000799945</v>
      </c>
      <c r="D328">
        <v>78.47</v>
      </c>
      <c r="E328">
        <v>460</v>
      </c>
      <c r="F328">
        <v>99</v>
      </c>
      <c r="G328">
        <v>2</v>
      </c>
      <c r="H328">
        <v>1</v>
      </c>
      <c r="I328">
        <v>460</v>
      </c>
      <c r="J328">
        <v>1</v>
      </c>
      <c r="K328">
        <v>1</v>
      </c>
      <c r="L328">
        <v>458</v>
      </c>
      <c r="M328">
        <v>1</v>
      </c>
      <c r="N328">
        <v>0</v>
      </c>
      <c r="O328">
        <v>1899</v>
      </c>
    </row>
    <row r="329" spans="1:15" x14ac:dyDescent="0.25">
      <c r="A329" t="s">
        <v>342</v>
      </c>
      <c r="B329">
        <v>526</v>
      </c>
      <c r="C329" s="1" t="str">
        <f>HYPERLINK("http://www.rosaceae.org/gb/gbrowse/malus_x_domestica/?name=MDP0000144572","MDP0000144572")</f>
        <v>MDP0000144572</v>
      </c>
      <c r="D329">
        <v>45.65</v>
      </c>
      <c r="E329">
        <v>92</v>
      </c>
      <c r="F329">
        <v>50</v>
      </c>
      <c r="G329">
        <v>4</v>
      </c>
      <c r="H329">
        <v>298</v>
      </c>
      <c r="I329">
        <v>389</v>
      </c>
      <c r="J329">
        <v>1</v>
      </c>
      <c r="K329">
        <v>46</v>
      </c>
      <c r="L329">
        <v>133</v>
      </c>
      <c r="M329">
        <v>1</v>
      </c>
      <c r="N329">
        <v>3.3536800000000002E-13</v>
      </c>
      <c r="O329">
        <v>181</v>
      </c>
    </row>
    <row r="330" spans="1:15" x14ac:dyDescent="0.25">
      <c r="A330" t="s">
        <v>343</v>
      </c>
      <c r="B330">
        <v>146</v>
      </c>
      <c r="C330" s="1" t="str">
        <f>HYPERLINK("http://www.rosaceae.org/gb/gbrowse/malus_x_domestica/?name=MDP0000281098","MDP0000281098")</f>
        <v>MDP0000281098</v>
      </c>
      <c r="D330">
        <v>35.46</v>
      </c>
      <c r="E330">
        <v>141</v>
      </c>
      <c r="F330">
        <v>91</v>
      </c>
      <c r="G330">
        <v>16</v>
      </c>
      <c r="H330">
        <v>1</v>
      </c>
      <c r="I330">
        <v>133</v>
      </c>
      <c r="J330">
        <v>1</v>
      </c>
      <c r="K330">
        <v>1</v>
      </c>
      <c r="L330">
        <v>133</v>
      </c>
      <c r="M330">
        <v>1</v>
      </c>
      <c r="N330">
        <v>3.78033E-14</v>
      </c>
      <c r="O330">
        <v>181</v>
      </c>
    </row>
    <row r="331" spans="1:15" x14ac:dyDescent="0.25">
      <c r="A331" t="s">
        <v>344</v>
      </c>
      <c r="B331">
        <v>137</v>
      </c>
      <c r="C331" s="1" t="str">
        <f>HYPERLINK("http://www.rosaceae.org/gb/gbrowse/malus_x_domestica/?name=MDP0000182101","MDP0000182101")</f>
        <v>MDP0000182101</v>
      </c>
      <c r="D331">
        <v>32.200000000000003</v>
      </c>
      <c r="E331">
        <v>118</v>
      </c>
      <c r="F331">
        <v>80</v>
      </c>
      <c r="G331">
        <v>2</v>
      </c>
      <c r="H331">
        <v>17</v>
      </c>
      <c r="I331">
        <v>133</v>
      </c>
      <c r="J331">
        <v>1</v>
      </c>
      <c r="K331">
        <v>204</v>
      </c>
      <c r="L331">
        <v>320</v>
      </c>
      <c r="M331">
        <v>1</v>
      </c>
      <c r="N331">
        <v>1.91729E-11</v>
      </c>
      <c r="O331">
        <v>157</v>
      </c>
    </row>
    <row r="332" spans="1:15" x14ac:dyDescent="0.25">
      <c r="A332" t="s">
        <v>345</v>
      </c>
      <c r="B332">
        <v>322</v>
      </c>
      <c r="C332" s="1" t="str">
        <f>HYPERLINK("http://www.rosaceae.org/gb/gbrowse/malus_x_domestica/?name=MDP0000225361","MDP0000225361")</f>
        <v>MDP0000225361</v>
      </c>
      <c r="D332">
        <v>61.23</v>
      </c>
      <c r="E332">
        <v>178</v>
      </c>
      <c r="F332">
        <v>69</v>
      </c>
      <c r="G332">
        <v>1</v>
      </c>
      <c r="H332">
        <v>1</v>
      </c>
      <c r="I332">
        <v>178</v>
      </c>
      <c r="J332">
        <v>1</v>
      </c>
      <c r="K332">
        <v>270</v>
      </c>
      <c r="L332">
        <v>446</v>
      </c>
      <c r="M332">
        <v>1</v>
      </c>
      <c r="N332">
        <v>1.4573300000000001E-61</v>
      </c>
      <c r="O332">
        <v>595</v>
      </c>
    </row>
    <row r="333" spans="1:15" x14ac:dyDescent="0.25">
      <c r="A333" t="s">
        <v>346</v>
      </c>
      <c r="B333">
        <v>250</v>
      </c>
      <c r="C333" s="1" t="str">
        <f>HYPERLINK("http://www.rosaceae.org/gb/gbrowse/malus_x_domestica/?name=MDP0000300251","MDP0000300251")</f>
        <v>MDP0000300251</v>
      </c>
      <c r="D333">
        <v>34.020000000000003</v>
      </c>
      <c r="E333">
        <v>194</v>
      </c>
      <c r="F333">
        <v>128</v>
      </c>
      <c r="G333">
        <v>21</v>
      </c>
      <c r="H333">
        <v>54</v>
      </c>
      <c r="I333">
        <v>244</v>
      </c>
      <c r="J333">
        <v>1</v>
      </c>
      <c r="K333">
        <v>30</v>
      </c>
      <c r="L333">
        <v>205</v>
      </c>
      <c r="M333">
        <v>1</v>
      </c>
      <c r="N333">
        <v>4.0743200000000002E-18</v>
      </c>
      <c r="O333">
        <v>219</v>
      </c>
    </row>
    <row r="334" spans="1:15" x14ac:dyDescent="0.25">
      <c r="A334" t="s">
        <v>347</v>
      </c>
      <c r="B334">
        <v>170</v>
      </c>
      <c r="C334" s="1" t="str">
        <f>HYPERLINK("http://www.rosaceae.org/gb/gbrowse/malus_x_domestica/?name=MDP0000154119","MDP0000154119")</f>
        <v>MDP0000154119</v>
      </c>
      <c r="D334">
        <v>61.79</v>
      </c>
      <c r="E334">
        <v>178</v>
      </c>
      <c r="F334">
        <v>68</v>
      </c>
      <c r="G334">
        <v>9</v>
      </c>
      <c r="H334">
        <v>1</v>
      </c>
      <c r="I334">
        <v>170</v>
      </c>
      <c r="J334">
        <v>1</v>
      </c>
      <c r="K334">
        <v>42</v>
      </c>
      <c r="L334">
        <v>218</v>
      </c>
      <c r="M334">
        <v>1</v>
      </c>
      <c r="N334">
        <v>5.5059799999999998E-53</v>
      </c>
      <c r="O334">
        <v>517</v>
      </c>
    </row>
    <row r="335" spans="1:15" x14ac:dyDescent="0.25">
      <c r="A335" t="s">
        <v>348</v>
      </c>
      <c r="B335">
        <v>202</v>
      </c>
      <c r="C335" s="1" t="str">
        <f>HYPERLINK("http://www.rosaceae.org/gb/gbrowse/malus_x_domestica/?name=MDP0000281696","MDP0000281696")</f>
        <v>MDP0000281696</v>
      </c>
      <c r="D335">
        <v>53.94</v>
      </c>
      <c r="E335">
        <v>152</v>
      </c>
      <c r="F335">
        <v>70</v>
      </c>
      <c r="G335">
        <v>8</v>
      </c>
      <c r="H335">
        <v>58</v>
      </c>
      <c r="I335">
        <v>202</v>
      </c>
      <c r="J335">
        <v>1</v>
      </c>
      <c r="K335">
        <v>57</v>
      </c>
      <c r="L335">
        <v>207</v>
      </c>
      <c r="M335">
        <v>1</v>
      </c>
      <c r="N335">
        <v>4.6460600000000003E-32</v>
      </c>
      <c r="O335">
        <v>338</v>
      </c>
    </row>
    <row r="336" spans="1:15" x14ac:dyDescent="0.25">
      <c r="A336" t="s">
        <v>349</v>
      </c>
      <c r="B336">
        <v>180</v>
      </c>
      <c r="C336" s="1" t="str">
        <f>HYPERLINK("http://www.rosaceae.org/gb/gbrowse/malus_x_domestica/?name=MDP0000264662","MDP0000264662")</f>
        <v>MDP0000264662</v>
      </c>
      <c r="D336">
        <v>84</v>
      </c>
      <c r="E336">
        <v>100</v>
      </c>
      <c r="F336">
        <v>16</v>
      </c>
      <c r="G336">
        <v>3</v>
      </c>
      <c r="H336">
        <v>60</v>
      </c>
      <c r="I336">
        <v>156</v>
      </c>
      <c r="J336">
        <v>1</v>
      </c>
      <c r="K336">
        <v>1</v>
      </c>
      <c r="L336">
        <v>100</v>
      </c>
      <c r="M336">
        <v>1</v>
      </c>
      <c r="N336">
        <v>2.0673599999999999E-45</v>
      </c>
      <c r="O336">
        <v>452</v>
      </c>
    </row>
    <row r="337" spans="1:15" x14ac:dyDescent="0.25">
      <c r="A337" t="s">
        <v>350</v>
      </c>
      <c r="B337">
        <v>199</v>
      </c>
      <c r="C337" s="1" t="str">
        <f>HYPERLINK("http://www.rosaceae.org/gb/gbrowse/malus_x_domestica/?name=MDP0000725483","MDP0000725483")</f>
        <v>MDP0000725483</v>
      </c>
      <c r="D337">
        <v>66.66</v>
      </c>
      <c r="E337">
        <v>135</v>
      </c>
      <c r="F337">
        <v>45</v>
      </c>
      <c r="G337">
        <v>2</v>
      </c>
      <c r="H337">
        <v>18</v>
      </c>
      <c r="I337">
        <v>150</v>
      </c>
      <c r="J337">
        <v>1</v>
      </c>
      <c r="K337">
        <v>666</v>
      </c>
      <c r="L337">
        <v>800</v>
      </c>
      <c r="M337">
        <v>1</v>
      </c>
      <c r="N337">
        <v>9.6019900000000003E-46</v>
      </c>
      <c r="O337">
        <v>456</v>
      </c>
    </row>
    <row r="338" spans="1:15" x14ac:dyDescent="0.25">
      <c r="A338" t="s">
        <v>351</v>
      </c>
      <c r="B338">
        <v>97</v>
      </c>
      <c r="C338" s="1" t="str">
        <f>HYPERLINK("http://www.rosaceae.org/gb/gbrowse/malus_x_domestica/?name=MDP0000149764","MDP0000149764")</f>
        <v>MDP0000149764</v>
      </c>
      <c r="D338">
        <v>67.92</v>
      </c>
      <c r="E338">
        <v>53</v>
      </c>
      <c r="F338">
        <v>17</v>
      </c>
      <c r="G338">
        <v>0</v>
      </c>
      <c r="H338">
        <v>44</v>
      </c>
      <c r="I338">
        <v>96</v>
      </c>
      <c r="J338">
        <v>1</v>
      </c>
      <c r="K338">
        <v>91</v>
      </c>
      <c r="L338">
        <v>143</v>
      </c>
      <c r="M338">
        <v>1</v>
      </c>
      <c r="N338">
        <v>1.4249500000000001E-17</v>
      </c>
      <c r="O338">
        <v>209</v>
      </c>
    </row>
    <row r="339" spans="1:15" x14ac:dyDescent="0.25">
      <c r="A339" t="s">
        <v>352</v>
      </c>
      <c r="B339">
        <v>150</v>
      </c>
      <c r="C339" s="1" t="str">
        <f>HYPERLINK("http://www.rosaceae.org/gb/gbrowse/malus_x_domestica/?name=MDP0000255057","MDP0000255057")</f>
        <v>MDP0000255057</v>
      </c>
      <c r="D339">
        <v>58.01</v>
      </c>
      <c r="E339">
        <v>131</v>
      </c>
      <c r="F339">
        <v>55</v>
      </c>
      <c r="G339">
        <v>7</v>
      </c>
      <c r="H339">
        <v>27</v>
      </c>
      <c r="I339">
        <v>150</v>
      </c>
      <c r="J339">
        <v>1</v>
      </c>
      <c r="K339">
        <v>682</v>
      </c>
      <c r="L339">
        <v>812</v>
      </c>
      <c r="M339">
        <v>1</v>
      </c>
      <c r="N339">
        <v>2.3135899999999999E-35</v>
      </c>
      <c r="O339">
        <v>364</v>
      </c>
    </row>
    <row r="340" spans="1:15" x14ac:dyDescent="0.25">
      <c r="A340" t="s">
        <v>353</v>
      </c>
      <c r="B340">
        <v>535</v>
      </c>
      <c r="C340" s="1" t="str">
        <f>HYPERLINK("http://www.rosaceae.org/gb/gbrowse/malus_x_domestica/?name=MDP0000219146","MDP0000219146")</f>
        <v>MDP0000219146</v>
      </c>
      <c r="D340">
        <v>66.12</v>
      </c>
      <c r="E340">
        <v>549</v>
      </c>
      <c r="F340">
        <v>186</v>
      </c>
      <c r="G340">
        <v>19</v>
      </c>
      <c r="H340">
        <v>1</v>
      </c>
      <c r="I340">
        <v>535</v>
      </c>
      <c r="J340">
        <v>1</v>
      </c>
      <c r="K340">
        <v>1</v>
      </c>
      <c r="L340">
        <v>544</v>
      </c>
      <c r="M340">
        <v>1</v>
      </c>
      <c r="N340">
        <v>0</v>
      </c>
      <c r="O340">
        <v>1775</v>
      </c>
    </row>
    <row r="341" spans="1:15" x14ac:dyDescent="0.25">
      <c r="A341" t="s">
        <v>354</v>
      </c>
      <c r="B341">
        <v>267</v>
      </c>
      <c r="C341" s="1" t="str">
        <f>HYPERLINK("http://www.rosaceae.org/gb/gbrowse/malus_x_domestica/?name=MDP0000791599","MDP0000791599")</f>
        <v>MDP0000791599</v>
      </c>
      <c r="D341">
        <v>52.14</v>
      </c>
      <c r="E341">
        <v>163</v>
      </c>
      <c r="F341">
        <v>78</v>
      </c>
      <c r="G341">
        <v>12</v>
      </c>
      <c r="H341">
        <v>1</v>
      </c>
      <c r="I341">
        <v>156</v>
      </c>
      <c r="J341">
        <v>1</v>
      </c>
      <c r="K341">
        <v>1</v>
      </c>
      <c r="L341">
        <v>158</v>
      </c>
      <c r="M341">
        <v>1</v>
      </c>
      <c r="N341">
        <v>5.4616600000000003E-37</v>
      </c>
      <c r="O341">
        <v>382</v>
      </c>
    </row>
    <row r="342" spans="1:15" x14ac:dyDescent="0.25">
      <c r="A342" t="s">
        <v>355</v>
      </c>
      <c r="B342">
        <v>669</v>
      </c>
      <c r="C342" s="1" t="str">
        <f>HYPERLINK("http://www.rosaceae.org/gb/gbrowse/malus_x_domestica/?name=MDP0000209498","MDP0000209498")</f>
        <v>MDP0000209498</v>
      </c>
      <c r="D342">
        <v>44.15</v>
      </c>
      <c r="E342">
        <v>530</v>
      </c>
      <c r="F342">
        <v>296</v>
      </c>
      <c r="G342">
        <v>37</v>
      </c>
      <c r="H342">
        <v>4</v>
      </c>
      <c r="I342">
        <v>512</v>
      </c>
      <c r="J342">
        <v>1</v>
      </c>
      <c r="K342">
        <v>40</v>
      </c>
      <c r="L342">
        <v>553</v>
      </c>
      <c r="M342">
        <v>1</v>
      </c>
      <c r="N342">
        <v>4.5812499999999998E-115</v>
      </c>
      <c r="O342">
        <v>1060</v>
      </c>
    </row>
    <row r="343" spans="1:15" x14ac:dyDescent="0.25">
      <c r="A343" t="s">
        <v>356</v>
      </c>
      <c r="B343">
        <v>143</v>
      </c>
      <c r="C343" s="1" t="str">
        <f>HYPERLINK("http://www.rosaceae.org/gb/gbrowse/malus_x_domestica/?name=MDP0000305329","MDP0000305329")</f>
        <v>MDP0000305329</v>
      </c>
      <c r="D343">
        <v>95.1</v>
      </c>
      <c r="E343">
        <v>143</v>
      </c>
      <c r="F343">
        <v>7</v>
      </c>
      <c r="G343">
        <v>0</v>
      </c>
      <c r="H343">
        <v>1</v>
      </c>
      <c r="I343">
        <v>143</v>
      </c>
      <c r="J343">
        <v>1</v>
      </c>
      <c r="K343">
        <v>508</v>
      </c>
      <c r="L343">
        <v>650</v>
      </c>
      <c r="M343">
        <v>1</v>
      </c>
      <c r="N343">
        <v>1.00711E-79</v>
      </c>
      <c r="O343">
        <v>746</v>
      </c>
    </row>
    <row r="344" spans="1:15" x14ac:dyDescent="0.25">
      <c r="A344" t="s">
        <v>357</v>
      </c>
      <c r="B344">
        <v>1526</v>
      </c>
      <c r="C344" s="1" t="str">
        <f>HYPERLINK("http://www.rosaceae.org/gb/gbrowse/malus_x_domestica/?name=MDP0000288370","MDP0000288370")</f>
        <v>MDP0000288370</v>
      </c>
      <c r="D344">
        <v>44.82</v>
      </c>
      <c r="E344">
        <v>647</v>
      </c>
      <c r="F344">
        <v>357</v>
      </c>
      <c r="G344">
        <v>54</v>
      </c>
      <c r="H344">
        <v>536</v>
      </c>
      <c r="I344">
        <v>1142</v>
      </c>
      <c r="J344">
        <v>1</v>
      </c>
      <c r="K344">
        <v>426</v>
      </c>
      <c r="L344">
        <v>1058</v>
      </c>
      <c r="M344">
        <v>1</v>
      </c>
      <c r="N344">
        <v>1.1805300000000001E-146</v>
      </c>
      <c r="O344">
        <v>1336</v>
      </c>
    </row>
    <row r="345" spans="1:15" x14ac:dyDescent="0.25">
      <c r="A345" t="s">
        <v>358</v>
      </c>
      <c r="B345">
        <v>231</v>
      </c>
      <c r="C345" s="1" t="str">
        <f>HYPERLINK("http://www.rosaceae.org/gb/gbrowse/malus_x_domestica/?name=MDP0000203666","MDP0000203666")</f>
        <v>MDP0000203666</v>
      </c>
      <c r="D345">
        <v>74.69</v>
      </c>
      <c r="E345">
        <v>245</v>
      </c>
      <c r="F345">
        <v>62</v>
      </c>
      <c r="G345">
        <v>20</v>
      </c>
      <c r="H345">
        <v>1</v>
      </c>
      <c r="I345">
        <v>231</v>
      </c>
      <c r="J345">
        <v>1</v>
      </c>
      <c r="K345">
        <v>1</v>
      </c>
      <c r="L345">
        <v>239</v>
      </c>
      <c r="M345">
        <v>1</v>
      </c>
      <c r="N345">
        <v>4.7491900000000001E-94</v>
      </c>
      <c r="O345">
        <v>874</v>
      </c>
    </row>
    <row r="346" spans="1:15" x14ac:dyDescent="0.25">
      <c r="A346" t="s">
        <v>359</v>
      </c>
      <c r="B346">
        <v>372</v>
      </c>
      <c r="C346" s="1" t="str">
        <f>HYPERLINK("http://www.rosaceae.org/gb/gbrowse/malus_x_domestica/?name=MDP0000912144","MDP0000912144")</f>
        <v>MDP0000912144</v>
      </c>
      <c r="D346">
        <v>71.260000000000005</v>
      </c>
      <c r="E346">
        <v>348</v>
      </c>
      <c r="F346">
        <v>100</v>
      </c>
      <c r="G346">
        <v>1</v>
      </c>
      <c r="H346">
        <v>19</v>
      </c>
      <c r="I346">
        <v>365</v>
      </c>
      <c r="J346">
        <v>1</v>
      </c>
      <c r="K346">
        <v>26</v>
      </c>
      <c r="L346">
        <v>373</v>
      </c>
      <c r="M346">
        <v>1</v>
      </c>
      <c r="N346">
        <v>1.5024799999999999E-153</v>
      </c>
      <c r="O346">
        <v>1389</v>
      </c>
    </row>
    <row r="347" spans="1:15" x14ac:dyDescent="0.25">
      <c r="A347" t="s">
        <v>360</v>
      </c>
      <c r="B347">
        <v>534</v>
      </c>
      <c r="C347" s="1" t="str">
        <f>HYPERLINK("http://www.rosaceae.org/gb/gbrowse/malus_x_domestica/?name=MDP0000598998","MDP0000598998")</f>
        <v>MDP0000598998</v>
      </c>
      <c r="D347">
        <v>50.27</v>
      </c>
      <c r="E347">
        <v>360</v>
      </c>
      <c r="F347">
        <v>179</v>
      </c>
      <c r="G347">
        <v>18</v>
      </c>
      <c r="H347">
        <v>21</v>
      </c>
      <c r="I347">
        <v>368</v>
      </c>
      <c r="J347">
        <v>1</v>
      </c>
      <c r="K347">
        <v>19</v>
      </c>
      <c r="L347">
        <v>372</v>
      </c>
      <c r="M347">
        <v>1</v>
      </c>
      <c r="N347">
        <v>2.39256E-92</v>
      </c>
      <c r="O347">
        <v>863</v>
      </c>
    </row>
    <row r="348" spans="1:15" x14ac:dyDescent="0.25">
      <c r="A348" t="s">
        <v>361</v>
      </c>
      <c r="B348">
        <v>1160</v>
      </c>
      <c r="C348" s="1" t="str">
        <f>HYPERLINK("http://www.rosaceae.org/gb/gbrowse/malus_x_domestica/?name=MDP0000312257","MDP0000312257")</f>
        <v>MDP0000312257</v>
      </c>
      <c r="D348">
        <v>59.49</v>
      </c>
      <c r="E348">
        <v>1217</v>
      </c>
      <c r="F348">
        <v>493</v>
      </c>
      <c r="G348">
        <v>72</v>
      </c>
      <c r="H348">
        <v>1</v>
      </c>
      <c r="I348">
        <v>1160</v>
      </c>
      <c r="J348">
        <v>1</v>
      </c>
      <c r="K348">
        <v>64</v>
      </c>
      <c r="L348">
        <v>1265</v>
      </c>
      <c r="M348">
        <v>1</v>
      </c>
      <c r="N348">
        <v>0</v>
      </c>
      <c r="O348">
        <v>3231</v>
      </c>
    </row>
    <row r="349" spans="1:15" x14ac:dyDescent="0.25">
      <c r="A349" t="s">
        <v>362</v>
      </c>
      <c r="B349">
        <v>1162</v>
      </c>
      <c r="C349" s="1" t="str">
        <f>HYPERLINK("http://www.rosaceae.org/gb/gbrowse/malus_x_domestica/?name=MDP0000282113","MDP0000282113")</f>
        <v>MDP0000282113</v>
      </c>
      <c r="D349">
        <v>63.03</v>
      </c>
      <c r="E349">
        <v>698</v>
      </c>
      <c r="F349">
        <v>258</v>
      </c>
      <c r="G349">
        <v>104</v>
      </c>
      <c r="H349">
        <v>91</v>
      </c>
      <c r="I349">
        <v>788</v>
      </c>
      <c r="J349">
        <v>1</v>
      </c>
      <c r="K349">
        <v>155</v>
      </c>
      <c r="L349">
        <v>748</v>
      </c>
      <c r="M349">
        <v>1</v>
      </c>
      <c r="N349">
        <v>0</v>
      </c>
      <c r="O349">
        <v>2160</v>
      </c>
    </row>
    <row r="350" spans="1:15" x14ac:dyDescent="0.25">
      <c r="A350" t="s">
        <v>363</v>
      </c>
      <c r="B350">
        <v>552</v>
      </c>
      <c r="C350" s="1" t="str">
        <f>HYPERLINK("http://www.rosaceae.org/gb/gbrowse/malus_x_domestica/?name=MDP0000234707","MDP0000234707")</f>
        <v>MDP0000234707</v>
      </c>
      <c r="D350">
        <v>71.12</v>
      </c>
      <c r="E350">
        <v>523</v>
      </c>
      <c r="F350">
        <v>151</v>
      </c>
      <c r="G350">
        <v>37</v>
      </c>
      <c r="H350">
        <v>55</v>
      </c>
      <c r="I350">
        <v>551</v>
      </c>
      <c r="J350">
        <v>1</v>
      </c>
      <c r="K350">
        <v>2</v>
      </c>
      <c r="L350">
        <v>513</v>
      </c>
      <c r="M350">
        <v>1</v>
      </c>
      <c r="N350">
        <v>0</v>
      </c>
      <c r="O350">
        <v>1888</v>
      </c>
    </row>
    <row r="351" spans="1:15" x14ac:dyDescent="0.25">
      <c r="A351" t="s">
        <v>364</v>
      </c>
      <c r="B351">
        <v>167</v>
      </c>
      <c r="C351" s="1" t="str">
        <f>HYPERLINK("http://www.rosaceae.org/gb/gbrowse/malus_x_domestica/?name=MDP0000139742","MDP0000139742")</f>
        <v>MDP0000139742</v>
      </c>
      <c r="D351">
        <v>53.59</v>
      </c>
      <c r="E351">
        <v>153</v>
      </c>
      <c r="F351">
        <v>71</v>
      </c>
      <c r="G351">
        <v>1</v>
      </c>
      <c r="H351">
        <v>12</v>
      </c>
      <c r="I351">
        <v>164</v>
      </c>
      <c r="J351">
        <v>1</v>
      </c>
      <c r="K351">
        <v>408</v>
      </c>
      <c r="L351">
        <v>559</v>
      </c>
      <c r="M351">
        <v>1</v>
      </c>
      <c r="N351">
        <v>9.3520299999999993E-40</v>
      </c>
      <c r="O351">
        <v>403</v>
      </c>
    </row>
    <row r="352" spans="1:15" x14ac:dyDescent="0.25">
      <c r="A352" t="s">
        <v>365</v>
      </c>
      <c r="B352">
        <v>670</v>
      </c>
      <c r="C352" s="1" t="str">
        <f>HYPERLINK("http://www.rosaceae.org/gb/gbrowse/malus_x_domestica/?name=MDP0000263659","MDP0000263659")</f>
        <v>MDP0000263659</v>
      </c>
      <c r="D352">
        <v>62.8</v>
      </c>
      <c r="E352">
        <v>656</v>
      </c>
      <c r="F352">
        <v>244</v>
      </c>
      <c r="G352">
        <v>34</v>
      </c>
      <c r="H352">
        <v>1</v>
      </c>
      <c r="I352">
        <v>633</v>
      </c>
      <c r="J352">
        <v>1</v>
      </c>
      <c r="K352">
        <v>1</v>
      </c>
      <c r="L352">
        <v>645</v>
      </c>
      <c r="M352">
        <v>1</v>
      </c>
      <c r="N352">
        <v>0</v>
      </c>
      <c r="O352">
        <v>2019</v>
      </c>
    </row>
    <row r="353" spans="1:15" x14ac:dyDescent="0.25">
      <c r="A353" t="s">
        <v>366</v>
      </c>
      <c r="B353">
        <v>227</v>
      </c>
      <c r="C353" s="1" t="str">
        <f>HYPERLINK("http://www.rosaceae.org/gb/gbrowse/malus_x_domestica/?name=MDP0000256438","MDP0000256438")</f>
        <v>MDP0000256438</v>
      </c>
      <c r="D353">
        <v>75.55</v>
      </c>
      <c r="E353">
        <v>180</v>
      </c>
      <c r="F353">
        <v>44</v>
      </c>
      <c r="G353">
        <v>5</v>
      </c>
      <c r="H353">
        <v>48</v>
      </c>
      <c r="I353">
        <v>227</v>
      </c>
      <c r="J353">
        <v>1</v>
      </c>
      <c r="K353">
        <v>49</v>
      </c>
      <c r="L353">
        <v>223</v>
      </c>
      <c r="M353">
        <v>1</v>
      </c>
      <c r="N353">
        <v>2.7582000000000001E-77</v>
      </c>
      <c r="O353">
        <v>729</v>
      </c>
    </row>
    <row r="354" spans="1:15" x14ac:dyDescent="0.25">
      <c r="A354" t="s">
        <v>367</v>
      </c>
      <c r="B354">
        <v>377</v>
      </c>
      <c r="C354" s="1" t="str">
        <f>HYPERLINK("http://www.rosaceae.org/gb/gbrowse/malus_x_domestica/?name=MDP0000213797","MDP0000213797")</f>
        <v>MDP0000213797</v>
      </c>
      <c r="D354">
        <v>25.7</v>
      </c>
      <c r="E354">
        <v>424</v>
      </c>
      <c r="F354">
        <v>315</v>
      </c>
      <c r="G354">
        <v>79</v>
      </c>
      <c r="H354">
        <v>1</v>
      </c>
      <c r="I354">
        <v>377</v>
      </c>
      <c r="J354">
        <v>1</v>
      </c>
      <c r="K354">
        <v>1</v>
      </c>
      <c r="L354">
        <v>392</v>
      </c>
      <c r="M354">
        <v>1</v>
      </c>
      <c r="N354">
        <v>1.6199E-15</v>
      </c>
      <c r="O354">
        <v>199</v>
      </c>
    </row>
    <row r="355" spans="1:15" x14ac:dyDescent="0.25">
      <c r="A355" t="s">
        <v>368</v>
      </c>
      <c r="B355">
        <v>361</v>
      </c>
      <c r="C355" s="1" t="str">
        <f>HYPERLINK("http://www.rosaceae.org/gb/gbrowse/malus_x_domestica/?name=MDP0000188052","MDP0000188052")</f>
        <v>MDP0000188052</v>
      </c>
      <c r="D355">
        <v>79.34</v>
      </c>
      <c r="E355">
        <v>368</v>
      </c>
      <c r="F355">
        <v>76</v>
      </c>
      <c r="G355">
        <v>7</v>
      </c>
      <c r="H355">
        <v>1</v>
      </c>
      <c r="I355">
        <v>361</v>
      </c>
      <c r="J355">
        <v>1</v>
      </c>
      <c r="K355">
        <v>1</v>
      </c>
      <c r="L355">
        <v>368</v>
      </c>
      <c r="M355">
        <v>1</v>
      </c>
      <c r="N355">
        <v>6.4791800000000003E-176</v>
      </c>
      <c r="O355">
        <v>1582</v>
      </c>
    </row>
    <row r="356" spans="1:15" x14ac:dyDescent="0.25">
      <c r="A356" t="s">
        <v>369</v>
      </c>
      <c r="B356">
        <v>266</v>
      </c>
      <c r="C356" s="1" t="str">
        <f>HYPERLINK("http://www.rosaceae.org/gb/gbrowse/malus_x_domestica/?name=MDP0000137324","MDP0000137324")</f>
        <v>MDP0000137324</v>
      </c>
      <c r="D356">
        <v>33.11</v>
      </c>
      <c r="E356">
        <v>151</v>
      </c>
      <c r="F356">
        <v>101</v>
      </c>
      <c r="G356">
        <v>6</v>
      </c>
      <c r="H356">
        <v>20</v>
      </c>
      <c r="I356">
        <v>165</v>
      </c>
      <c r="J356">
        <v>1</v>
      </c>
      <c r="K356">
        <v>264</v>
      </c>
      <c r="L356">
        <v>413</v>
      </c>
      <c r="M356">
        <v>1</v>
      </c>
      <c r="N356">
        <v>6.1863099999999997E-18</v>
      </c>
      <c r="O356">
        <v>218</v>
      </c>
    </row>
    <row r="357" spans="1:15" x14ac:dyDescent="0.25">
      <c r="A357" t="s">
        <v>370</v>
      </c>
      <c r="B357">
        <v>335</v>
      </c>
      <c r="C357" s="1" t="str">
        <f>HYPERLINK("http://www.rosaceae.org/gb/gbrowse/malus_x_domestica/?name=MDP0000319550","MDP0000319550")</f>
        <v>MDP0000319550</v>
      </c>
      <c r="D357">
        <v>48</v>
      </c>
      <c r="E357">
        <v>150</v>
      </c>
      <c r="F357">
        <v>78</v>
      </c>
      <c r="G357">
        <v>18</v>
      </c>
      <c r="H357">
        <v>19</v>
      </c>
      <c r="I357">
        <v>153</v>
      </c>
      <c r="J357">
        <v>1</v>
      </c>
      <c r="K357">
        <v>21</v>
      </c>
      <c r="L357">
        <v>167</v>
      </c>
      <c r="M357">
        <v>1</v>
      </c>
      <c r="N357">
        <v>2.1223600000000001E-29</v>
      </c>
      <c r="O357">
        <v>318</v>
      </c>
    </row>
    <row r="358" spans="1:15" x14ac:dyDescent="0.25">
      <c r="A358" t="s">
        <v>371</v>
      </c>
      <c r="B358">
        <v>188</v>
      </c>
      <c r="C358" s="1" t="str">
        <f>HYPERLINK("http://www.rosaceae.org/gb/gbrowse/malus_x_domestica/?name=MDP0000863789","MDP0000863789")</f>
        <v>MDP0000863789</v>
      </c>
      <c r="D358">
        <v>69.099999999999994</v>
      </c>
      <c r="E358">
        <v>191</v>
      </c>
      <c r="F358">
        <v>59</v>
      </c>
      <c r="G358">
        <v>9</v>
      </c>
      <c r="H358">
        <v>1</v>
      </c>
      <c r="I358">
        <v>188</v>
      </c>
      <c r="J358">
        <v>1</v>
      </c>
      <c r="K358">
        <v>1</v>
      </c>
      <c r="L358">
        <v>185</v>
      </c>
      <c r="M358">
        <v>1</v>
      </c>
      <c r="N358">
        <v>3.1946700000000001E-70</v>
      </c>
      <c r="O358">
        <v>667</v>
      </c>
    </row>
    <row r="359" spans="1:15" x14ac:dyDescent="0.25">
      <c r="A359" t="s">
        <v>372</v>
      </c>
      <c r="B359">
        <v>705</v>
      </c>
      <c r="C359" s="1" t="str">
        <f>HYPERLINK("http://www.rosaceae.org/gb/gbrowse/malus_x_domestica/?name=MDP0000245808","MDP0000245808")</f>
        <v>MDP0000245808</v>
      </c>
      <c r="D359">
        <v>48.42</v>
      </c>
      <c r="E359">
        <v>729</v>
      </c>
      <c r="F359">
        <v>376</v>
      </c>
      <c r="G359">
        <v>37</v>
      </c>
      <c r="H359">
        <v>2</v>
      </c>
      <c r="I359">
        <v>705</v>
      </c>
      <c r="J359">
        <v>1</v>
      </c>
      <c r="K359">
        <v>3</v>
      </c>
      <c r="L359">
        <v>719</v>
      </c>
      <c r="M359">
        <v>1</v>
      </c>
      <c r="N359">
        <v>0</v>
      </c>
      <c r="O359">
        <v>1645</v>
      </c>
    </row>
    <row r="360" spans="1:15" x14ac:dyDescent="0.25">
      <c r="A360" t="s">
        <v>373</v>
      </c>
      <c r="B360">
        <v>262</v>
      </c>
      <c r="C360" s="1" t="str">
        <f>HYPERLINK("http://www.rosaceae.org/gb/gbrowse/malus_x_domestica/?name=MDP0000229355","MDP0000229355")</f>
        <v>MDP0000229355</v>
      </c>
      <c r="D360">
        <v>59.23</v>
      </c>
      <c r="E360">
        <v>184</v>
      </c>
      <c r="F360">
        <v>75</v>
      </c>
      <c r="G360">
        <v>50</v>
      </c>
      <c r="H360">
        <v>98</v>
      </c>
      <c r="I360">
        <v>261</v>
      </c>
      <c r="J360">
        <v>1</v>
      </c>
      <c r="K360">
        <v>1</v>
      </c>
      <c r="L360">
        <v>154</v>
      </c>
      <c r="M360">
        <v>1</v>
      </c>
      <c r="N360">
        <v>1.4387100000000001E-48</v>
      </c>
      <c r="O360">
        <v>482</v>
      </c>
    </row>
    <row r="361" spans="1:15" x14ac:dyDescent="0.25">
      <c r="A361" t="s">
        <v>374</v>
      </c>
      <c r="B361">
        <v>336</v>
      </c>
      <c r="C361" s="1" t="str">
        <f>HYPERLINK("http://www.rosaceae.org/gb/gbrowse/malus_x_domestica/?name=MDP0000193274","MDP0000193274")</f>
        <v>MDP0000193274</v>
      </c>
      <c r="D361">
        <v>87.5</v>
      </c>
      <c r="E361">
        <v>336</v>
      </c>
      <c r="F361">
        <v>42</v>
      </c>
      <c r="G361">
        <v>0</v>
      </c>
      <c r="H361">
        <v>1</v>
      </c>
      <c r="I361">
        <v>336</v>
      </c>
      <c r="J361">
        <v>1</v>
      </c>
      <c r="K361">
        <v>1</v>
      </c>
      <c r="L361">
        <v>336</v>
      </c>
      <c r="M361">
        <v>1</v>
      </c>
      <c r="N361">
        <v>1.1575199999999999E-178</v>
      </c>
      <c r="O361">
        <v>1605</v>
      </c>
    </row>
    <row r="362" spans="1:15" x14ac:dyDescent="0.25">
      <c r="A362" t="s">
        <v>375</v>
      </c>
      <c r="B362">
        <v>303</v>
      </c>
      <c r="C362" s="1" t="str">
        <f>HYPERLINK("http://www.rosaceae.org/gb/gbrowse/malus_x_domestica/?name=MDP0000223970","MDP0000223970")</f>
        <v>MDP0000223970</v>
      </c>
      <c r="D362">
        <v>68.91</v>
      </c>
      <c r="E362">
        <v>74</v>
      </c>
      <c r="F362">
        <v>23</v>
      </c>
      <c r="G362">
        <v>3</v>
      </c>
      <c r="H362">
        <v>233</v>
      </c>
      <c r="I362">
        <v>303</v>
      </c>
      <c r="J362">
        <v>1</v>
      </c>
      <c r="K362">
        <v>244</v>
      </c>
      <c r="L362">
        <v>317</v>
      </c>
      <c r="M362">
        <v>1</v>
      </c>
      <c r="N362">
        <v>3.7876200000000001E-22</v>
      </c>
      <c r="O362">
        <v>255</v>
      </c>
    </row>
    <row r="363" spans="1:15" x14ac:dyDescent="0.25">
      <c r="A363" t="s">
        <v>376</v>
      </c>
      <c r="B363">
        <v>212</v>
      </c>
      <c r="C363" s="1" t="str">
        <f>HYPERLINK("http://www.rosaceae.org/gb/gbrowse/malus_x_domestica/?name=MDP0000241187","MDP0000241187")</f>
        <v>MDP0000241187</v>
      </c>
      <c r="D363">
        <v>79.89</v>
      </c>
      <c r="E363">
        <v>184</v>
      </c>
      <c r="F363">
        <v>37</v>
      </c>
      <c r="G363">
        <v>0</v>
      </c>
      <c r="H363">
        <v>5</v>
      </c>
      <c r="I363">
        <v>188</v>
      </c>
      <c r="J363">
        <v>1</v>
      </c>
      <c r="K363">
        <v>6</v>
      </c>
      <c r="L363">
        <v>189</v>
      </c>
      <c r="M363">
        <v>1</v>
      </c>
      <c r="N363">
        <v>6.7464000000000002E-84</v>
      </c>
      <c r="O363">
        <v>785</v>
      </c>
    </row>
    <row r="364" spans="1:15" x14ac:dyDescent="0.25">
      <c r="A364" t="s">
        <v>377</v>
      </c>
      <c r="B364">
        <v>338</v>
      </c>
      <c r="C364" s="1" t="str">
        <f>HYPERLINK("http://www.rosaceae.org/gb/gbrowse/malus_x_domestica/?name=MDP0000174676","MDP0000174676")</f>
        <v>MDP0000174676</v>
      </c>
      <c r="D364">
        <v>69.81</v>
      </c>
      <c r="E364">
        <v>106</v>
      </c>
      <c r="F364">
        <v>32</v>
      </c>
      <c r="G364">
        <v>0</v>
      </c>
      <c r="H364">
        <v>210</v>
      </c>
      <c r="I364">
        <v>315</v>
      </c>
      <c r="J364">
        <v>1</v>
      </c>
      <c r="K364">
        <v>862</v>
      </c>
      <c r="L364">
        <v>967</v>
      </c>
      <c r="M364">
        <v>1</v>
      </c>
      <c r="N364">
        <v>6.3384799999999997E-41</v>
      </c>
      <c r="O364">
        <v>418</v>
      </c>
    </row>
    <row r="365" spans="1:15" x14ac:dyDescent="0.25">
      <c r="A365" t="s">
        <v>378</v>
      </c>
      <c r="B365">
        <v>333</v>
      </c>
      <c r="C365" s="1" t="str">
        <f>HYPERLINK("http://www.rosaceae.org/gb/gbrowse/malus_x_domestica/?name=MDP0000840360","MDP0000840360")</f>
        <v>MDP0000840360</v>
      </c>
      <c r="D365">
        <v>78.94</v>
      </c>
      <c r="E365">
        <v>95</v>
      </c>
      <c r="F365">
        <v>20</v>
      </c>
      <c r="G365">
        <v>0</v>
      </c>
      <c r="H365">
        <v>202</v>
      </c>
      <c r="I365">
        <v>296</v>
      </c>
      <c r="J365">
        <v>1</v>
      </c>
      <c r="K365">
        <v>100</v>
      </c>
      <c r="L365">
        <v>194</v>
      </c>
      <c r="M365">
        <v>1</v>
      </c>
      <c r="N365">
        <v>2.62569E-42</v>
      </c>
      <c r="O365">
        <v>429</v>
      </c>
    </row>
    <row r="366" spans="1:15" x14ac:dyDescent="0.25">
      <c r="A366" t="s">
        <v>379</v>
      </c>
      <c r="B366">
        <v>760</v>
      </c>
      <c r="C366" s="1" t="str">
        <f>HYPERLINK("http://www.rosaceae.org/gb/gbrowse/malus_x_domestica/?name=MDP0000304346","MDP0000304346")</f>
        <v>MDP0000304346</v>
      </c>
      <c r="D366">
        <v>84.71</v>
      </c>
      <c r="E366">
        <v>517</v>
      </c>
      <c r="F366">
        <v>79</v>
      </c>
      <c r="G366">
        <v>2</v>
      </c>
      <c r="H366">
        <v>174</v>
      </c>
      <c r="I366">
        <v>688</v>
      </c>
      <c r="J366">
        <v>1</v>
      </c>
      <c r="K366">
        <v>66</v>
      </c>
      <c r="L366">
        <v>582</v>
      </c>
      <c r="M366">
        <v>1</v>
      </c>
      <c r="N366">
        <v>0</v>
      </c>
      <c r="O366">
        <v>2325</v>
      </c>
    </row>
    <row r="367" spans="1:15" x14ac:dyDescent="0.25">
      <c r="A367" t="s">
        <v>380</v>
      </c>
      <c r="B367">
        <v>263</v>
      </c>
      <c r="C367" s="1" t="str">
        <f>HYPERLINK("http://www.rosaceae.org/gb/gbrowse/malus_x_domestica/?name=MDP0000190824","MDP0000190824")</f>
        <v>MDP0000190824</v>
      </c>
      <c r="D367">
        <v>71.86</v>
      </c>
      <c r="E367">
        <v>263</v>
      </c>
      <c r="F367">
        <v>74</v>
      </c>
      <c r="G367">
        <v>2</v>
      </c>
      <c r="H367">
        <v>2</v>
      </c>
      <c r="I367">
        <v>262</v>
      </c>
      <c r="J367">
        <v>1</v>
      </c>
      <c r="K367">
        <v>5</v>
      </c>
      <c r="L367">
        <v>267</v>
      </c>
      <c r="M367">
        <v>1</v>
      </c>
      <c r="N367">
        <v>4.6055999999999997E-114</v>
      </c>
      <c r="O367">
        <v>1047</v>
      </c>
    </row>
    <row r="368" spans="1:15" x14ac:dyDescent="0.25">
      <c r="A368" t="s">
        <v>381</v>
      </c>
      <c r="B368">
        <v>765</v>
      </c>
      <c r="C368" s="1" t="str">
        <f>HYPERLINK("http://www.rosaceae.org/gb/gbrowse/malus_x_domestica/?name=MDP0000149453","MDP0000149453")</f>
        <v>MDP0000149453</v>
      </c>
      <c r="D368">
        <v>61.98</v>
      </c>
      <c r="E368">
        <v>776</v>
      </c>
      <c r="F368">
        <v>295</v>
      </c>
      <c r="G368">
        <v>19</v>
      </c>
      <c r="H368">
        <v>3</v>
      </c>
      <c r="I368">
        <v>764</v>
      </c>
      <c r="J368">
        <v>1</v>
      </c>
      <c r="K368">
        <v>6</v>
      </c>
      <c r="L368">
        <v>776</v>
      </c>
      <c r="M368">
        <v>1</v>
      </c>
      <c r="N368">
        <v>0</v>
      </c>
      <c r="O368">
        <v>2325</v>
      </c>
    </row>
    <row r="369" spans="1:15" x14ac:dyDescent="0.25">
      <c r="A369" t="s">
        <v>382</v>
      </c>
      <c r="B369">
        <v>313</v>
      </c>
      <c r="C369" s="1" t="str">
        <f>HYPERLINK("http://www.rosaceae.org/gb/gbrowse/malus_x_domestica/?name=MDP0000090454","MDP0000090454")</f>
        <v>MDP0000090454</v>
      </c>
      <c r="D369">
        <v>88.88</v>
      </c>
      <c r="E369">
        <v>315</v>
      </c>
      <c r="F369">
        <v>35</v>
      </c>
      <c r="G369">
        <v>3</v>
      </c>
      <c r="H369">
        <v>1</v>
      </c>
      <c r="I369">
        <v>313</v>
      </c>
      <c r="J369">
        <v>1</v>
      </c>
      <c r="K369">
        <v>1</v>
      </c>
      <c r="L369">
        <v>314</v>
      </c>
      <c r="M369">
        <v>1</v>
      </c>
      <c r="N369">
        <v>2.5350800000000001E-165</v>
      </c>
      <c r="O369">
        <v>1490</v>
      </c>
    </row>
    <row r="370" spans="1:15" x14ac:dyDescent="0.25">
      <c r="A370" t="s">
        <v>383</v>
      </c>
      <c r="B370">
        <v>91</v>
      </c>
      <c r="C370" s="1" t="str">
        <f>HYPERLINK("http://www.rosaceae.org/gb/gbrowse/malus_x_domestica/?name=MDP0000379697","MDP0000379697")</f>
        <v>MDP0000379697</v>
      </c>
      <c r="D370">
        <v>47.29</v>
      </c>
      <c r="E370">
        <v>74</v>
      </c>
      <c r="F370">
        <v>39</v>
      </c>
      <c r="G370">
        <v>5</v>
      </c>
      <c r="H370">
        <v>1</v>
      </c>
      <c r="I370">
        <v>74</v>
      </c>
      <c r="J370">
        <v>1</v>
      </c>
      <c r="K370">
        <v>381</v>
      </c>
      <c r="L370">
        <v>449</v>
      </c>
      <c r="M370">
        <v>1</v>
      </c>
      <c r="N370">
        <v>4.9651400000000001E-9</v>
      </c>
      <c r="O370">
        <v>135</v>
      </c>
    </row>
    <row r="371" spans="1:15" x14ac:dyDescent="0.25">
      <c r="A371" t="s">
        <v>384</v>
      </c>
      <c r="B371">
        <v>101</v>
      </c>
      <c r="C371" s="1" t="str">
        <f>HYPERLINK("http://www.rosaceae.org/gb/gbrowse/malus_x_domestica/?name=MDP0000685185","MDP0000685185")</f>
        <v>MDP0000685185</v>
      </c>
      <c r="D371">
        <v>77.77</v>
      </c>
      <c r="E371">
        <v>81</v>
      </c>
      <c r="F371">
        <v>18</v>
      </c>
      <c r="G371">
        <v>0</v>
      </c>
      <c r="H371">
        <v>1</v>
      </c>
      <c r="I371">
        <v>81</v>
      </c>
      <c r="J371">
        <v>1</v>
      </c>
      <c r="K371">
        <v>1</v>
      </c>
      <c r="L371">
        <v>81</v>
      </c>
      <c r="M371">
        <v>1</v>
      </c>
      <c r="N371">
        <v>2.7369200000000003E-32</v>
      </c>
      <c r="O371">
        <v>336</v>
      </c>
    </row>
    <row r="372" spans="1:15" x14ac:dyDescent="0.25">
      <c r="A372" t="s">
        <v>385</v>
      </c>
      <c r="B372">
        <v>233</v>
      </c>
      <c r="C372" s="1" t="str">
        <f>HYPERLINK("http://www.rosaceae.org/gb/gbrowse/malus_x_domestica/?name=MDP0000194076","MDP0000194076")</f>
        <v>MDP0000194076</v>
      </c>
      <c r="D372">
        <v>50.49</v>
      </c>
      <c r="E372">
        <v>202</v>
      </c>
      <c r="F372">
        <v>100</v>
      </c>
      <c r="G372">
        <v>20</v>
      </c>
      <c r="H372">
        <v>27</v>
      </c>
      <c r="I372">
        <v>213</v>
      </c>
      <c r="J372">
        <v>1</v>
      </c>
      <c r="K372">
        <v>24</v>
      </c>
      <c r="L372">
        <v>220</v>
      </c>
      <c r="M372">
        <v>1</v>
      </c>
      <c r="N372">
        <v>2.3046800000000002E-50</v>
      </c>
      <c r="O372">
        <v>497</v>
      </c>
    </row>
    <row r="373" spans="1:15" x14ac:dyDescent="0.25">
      <c r="A373" t="s">
        <v>386</v>
      </c>
      <c r="B373">
        <v>103</v>
      </c>
      <c r="C373" s="1" t="str">
        <f>HYPERLINK("http://www.rosaceae.org/gb/gbrowse/malus_x_domestica/?name=MDP0000845594","MDP0000845594")</f>
        <v>MDP0000845594</v>
      </c>
      <c r="D373">
        <v>82.85</v>
      </c>
      <c r="E373">
        <v>105</v>
      </c>
      <c r="F373">
        <v>18</v>
      </c>
      <c r="G373">
        <v>2</v>
      </c>
      <c r="H373">
        <v>1</v>
      </c>
      <c r="I373">
        <v>103</v>
      </c>
      <c r="J373">
        <v>1</v>
      </c>
      <c r="K373">
        <v>50</v>
      </c>
      <c r="L373">
        <v>154</v>
      </c>
      <c r="M373">
        <v>1</v>
      </c>
      <c r="N373">
        <v>3.8787E-44</v>
      </c>
      <c r="O373">
        <v>438</v>
      </c>
    </row>
    <row r="374" spans="1:15" x14ac:dyDescent="0.25">
      <c r="A374" t="s">
        <v>387</v>
      </c>
      <c r="B374">
        <v>220</v>
      </c>
      <c r="C374" s="1" t="str">
        <f>HYPERLINK("http://www.rosaceae.org/gb/gbrowse/malus_x_domestica/?name=MDP0000297162","MDP0000297162")</f>
        <v>MDP0000297162</v>
      </c>
      <c r="D374">
        <v>71.87</v>
      </c>
      <c r="E374">
        <v>224</v>
      </c>
      <c r="F374">
        <v>63</v>
      </c>
      <c r="G374">
        <v>5</v>
      </c>
      <c r="H374">
        <v>1</v>
      </c>
      <c r="I374">
        <v>220</v>
      </c>
      <c r="J374">
        <v>1</v>
      </c>
      <c r="K374">
        <v>618</v>
      </c>
      <c r="L374">
        <v>840</v>
      </c>
      <c r="M374">
        <v>1</v>
      </c>
      <c r="N374">
        <v>1.08759E-82</v>
      </c>
      <c r="O374">
        <v>775</v>
      </c>
    </row>
    <row r="375" spans="1:15" x14ac:dyDescent="0.25">
      <c r="A375" t="s">
        <v>388</v>
      </c>
      <c r="B375">
        <v>159</v>
      </c>
      <c r="C375" s="1" t="str">
        <f>HYPERLINK("http://www.rosaceae.org/gb/gbrowse/malus_x_domestica/?name=MDP0000238683","MDP0000238683")</f>
        <v>MDP0000238683</v>
      </c>
      <c r="D375">
        <v>57.77</v>
      </c>
      <c r="E375">
        <v>90</v>
      </c>
      <c r="F375">
        <v>38</v>
      </c>
      <c r="G375">
        <v>4</v>
      </c>
      <c r="H375">
        <v>11</v>
      </c>
      <c r="I375">
        <v>98</v>
      </c>
      <c r="J375">
        <v>1</v>
      </c>
      <c r="K375">
        <v>30</v>
      </c>
      <c r="L375">
        <v>117</v>
      </c>
      <c r="M375">
        <v>1</v>
      </c>
      <c r="N375">
        <v>4.8208999999999999E-23</v>
      </c>
      <c r="O375">
        <v>259</v>
      </c>
    </row>
    <row r="376" spans="1:15" x14ac:dyDescent="0.25">
      <c r="A376" t="s">
        <v>389</v>
      </c>
      <c r="B376">
        <v>207</v>
      </c>
      <c r="C376" s="1" t="str">
        <f>HYPERLINK("http://www.rosaceae.org/gb/gbrowse/malus_x_domestica/?name=MDP0000716623","MDP0000716623")</f>
        <v>MDP0000716623</v>
      </c>
      <c r="D376">
        <v>75.23</v>
      </c>
      <c r="E376">
        <v>210</v>
      </c>
      <c r="F376">
        <v>52</v>
      </c>
      <c r="G376">
        <v>3</v>
      </c>
      <c r="H376">
        <v>1</v>
      </c>
      <c r="I376">
        <v>207</v>
      </c>
      <c r="J376">
        <v>1</v>
      </c>
      <c r="K376">
        <v>131</v>
      </c>
      <c r="L376">
        <v>340</v>
      </c>
      <c r="M376">
        <v>1</v>
      </c>
      <c r="N376">
        <v>1.62654E-86</v>
      </c>
      <c r="O376">
        <v>808</v>
      </c>
    </row>
    <row r="377" spans="1:15" x14ac:dyDescent="0.25">
      <c r="A377" t="s">
        <v>390</v>
      </c>
      <c r="B377">
        <v>141</v>
      </c>
      <c r="C377" s="1" t="str">
        <f>HYPERLINK("http://www.rosaceae.org/gb/gbrowse/malus_x_domestica/?name=MDP0000286160","MDP0000286160")</f>
        <v>MDP0000286160</v>
      </c>
      <c r="D377">
        <v>82.97</v>
      </c>
      <c r="E377">
        <v>141</v>
      </c>
      <c r="F377">
        <v>24</v>
      </c>
      <c r="G377">
        <v>0</v>
      </c>
      <c r="H377">
        <v>1</v>
      </c>
      <c r="I377">
        <v>141</v>
      </c>
      <c r="J377">
        <v>1</v>
      </c>
      <c r="K377">
        <v>69</v>
      </c>
      <c r="L377">
        <v>209</v>
      </c>
      <c r="M377">
        <v>1</v>
      </c>
      <c r="N377">
        <v>1.28032E-60</v>
      </c>
      <c r="O377">
        <v>582</v>
      </c>
    </row>
    <row r="378" spans="1:15" x14ac:dyDescent="0.25">
      <c r="A378" t="s">
        <v>391</v>
      </c>
      <c r="B378">
        <v>106</v>
      </c>
      <c r="C378" s="1" t="str">
        <f>HYPERLINK("http://www.rosaceae.org/gb/gbrowse/malus_x_domestica/?name=MDP0000669437","MDP0000669437")</f>
        <v>MDP0000669437</v>
      </c>
      <c r="D378">
        <v>48.9</v>
      </c>
      <c r="E378">
        <v>137</v>
      </c>
      <c r="F378">
        <v>70</v>
      </c>
      <c r="G378">
        <v>31</v>
      </c>
      <c r="H378">
        <v>1</v>
      </c>
      <c r="I378">
        <v>106</v>
      </c>
      <c r="J378">
        <v>1</v>
      </c>
      <c r="K378">
        <v>1</v>
      </c>
      <c r="L378">
        <v>137</v>
      </c>
      <c r="M378">
        <v>1</v>
      </c>
      <c r="N378">
        <v>7.7153599999999996E-26</v>
      </c>
      <c r="O378">
        <v>280</v>
      </c>
    </row>
    <row r="379" spans="1:15" x14ac:dyDescent="0.25">
      <c r="A379" t="s">
        <v>392</v>
      </c>
      <c r="B379">
        <v>589</v>
      </c>
      <c r="C379" s="1" t="str">
        <f>HYPERLINK("http://www.rosaceae.org/gb/gbrowse/malus_x_domestica/?name=MDP0000888761","MDP0000888761")</f>
        <v>MDP0000888761</v>
      </c>
      <c r="D379">
        <v>78.11</v>
      </c>
      <c r="E379">
        <v>585</v>
      </c>
      <c r="F379">
        <v>128</v>
      </c>
      <c r="G379">
        <v>3</v>
      </c>
      <c r="H379">
        <v>8</v>
      </c>
      <c r="I379">
        <v>589</v>
      </c>
      <c r="J379">
        <v>1</v>
      </c>
      <c r="K379">
        <v>3</v>
      </c>
      <c r="L379">
        <v>587</v>
      </c>
      <c r="M379">
        <v>1</v>
      </c>
      <c r="N379">
        <v>0</v>
      </c>
      <c r="O379">
        <v>2502</v>
      </c>
    </row>
    <row r="380" spans="1:15" x14ac:dyDescent="0.25">
      <c r="A380" t="s">
        <v>393</v>
      </c>
      <c r="B380">
        <v>143</v>
      </c>
      <c r="C380" s="1" t="str">
        <f>HYPERLINK("http://www.rosaceae.org/gb/gbrowse/malus_x_domestica/?name=MDP0000315517","MDP0000315517")</f>
        <v>MDP0000315517</v>
      </c>
      <c r="D380">
        <v>57.02</v>
      </c>
      <c r="E380">
        <v>121</v>
      </c>
      <c r="F380">
        <v>52</v>
      </c>
      <c r="G380">
        <v>5</v>
      </c>
      <c r="H380">
        <v>13</v>
      </c>
      <c r="I380">
        <v>133</v>
      </c>
      <c r="J380">
        <v>1</v>
      </c>
      <c r="K380">
        <v>15</v>
      </c>
      <c r="L380">
        <v>130</v>
      </c>
      <c r="M380">
        <v>1</v>
      </c>
      <c r="N380">
        <v>6.7871299999999998E-31</v>
      </c>
      <c r="O380">
        <v>325</v>
      </c>
    </row>
    <row r="381" spans="1:15" x14ac:dyDescent="0.25">
      <c r="A381" t="s">
        <v>394</v>
      </c>
      <c r="B381">
        <v>436</v>
      </c>
      <c r="C381" s="1" t="str">
        <f>HYPERLINK("http://www.rosaceae.org/gb/gbrowse/malus_x_domestica/?name=MDP0000272403","MDP0000272403")</f>
        <v>MDP0000272403</v>
      </c>
      <c r="D381">
        <v>80.959999999999994</v>
      </c>
      <c r="E381">
        <v>478</v>
      </c>
      <c r="F381">
        <v>91</v>
      </c>
      <c r="G381">
        <v>42</v>
      </c>
      <c r="H381">
        <v>1</v>
      </c>
      <c r="I381">
        <v>436</v>
      </c>
      <c r="J381">
        <v>1</v>
      </c>
      <c r="K381">
        <v>1</v>
      </c>
      <c r="L381">
        <v>478</v>
      </c>
      <c r="M381">
        <v>1</v>
      </c>
      <c r="N381">
        <v>0</v>
      </c>
      <c r="O381">
        <v>1995</v>
      </c>
    </row>
    <row r="382" spans="1:15" x14ac:dyDescent="0.25">
      <c r="A382" t="s">
        <v>395</v>
      </c>
      <c r="B382">
        <v>354</v>
      </c>
      <c r="C382" s="1" t="str">
        <f>HYPERLINK("http://www.rosaceae.org/gb/gbrowse/malus_x_domestica/?name=MDP0000287242","MDP0000287242")</f>
        <v>MDP0000287242</v>
      </c>
      <c r="D382">
        <v>80.709999999999994</v>
      </c>
      <c r="E382">
        <v>337</v>
      </c>
      <c r="F382">
        <v>65</v>
      </c>
      <c r="G382">
        <v>9</v>
      </c>
      <c r="H382">
        <v>26</v>
      </c>
      <c r="I382">
        <v>353</v>
      </c>
      <c r="J382">
        <v>1</v>
      </c>
      <c r="K382">
        <v>29</v>
      </c>
      <c r="L382">
        <v>365</v>
      </c>
      <c r="M382">
        <v>1</v>
      </c>
      <c r="N382">
        <v>4.8812600000000001E-165</v>
      </c>
      <c r="O382">
        <v>1488</v>
      </c>
    </row>
    <row r="383" spans="1:15" x14ac:dyDescent="0.25">
      <c r="A383" t="s">
        <v>396</v>
      </c>
      <c r="B383">
        <v>410</v>
      </c>
      <c r="C383" s="1" t="str">
        <f>HYPERLINK("http://www.rosaceae.org/gb/gbrowse/malus_x_domestica/?name=MDP0000206441","MDP0000206441")</f>
        <v>MDP0000206441</v>
      </c>
      <c r="D383">
        <v>64.36</v>
      </c>
      <c r="E383">
        <v>449</v>
      </c>
      <c r="F383">
        <v>160</v>
      </c>
      <c r="G383">
        <v>101</v>
      </c>
      <c r="H383">
        <v>14</v>
      </c>
      <c r="I383">
        <v>363</v>
      </c>
      <c r="J383">
        <v>1</v>
      </c>
      <c r="K383">
        <v>37</v>
      </c>
      <c r="L383">
        <v>483</v>
      </c>
      <c r="M383">
        <v>1</v>
      </c>
      <c r="N383">
        <v>3.2178799999999997E-148</v>
      </c>
      <c r="O383">
        <v>1344</v>
      </c>
    </row>
    <row r="384" spans="1:15" x14ac:dyDescent="0.25">
      <c r="A384" t="s">
        <v>397</v>
      </c>
      <c r="B384">
        <v>691</v>
      </c>
      <c r="C384" s="1" t="str">
        <f>HYPERLINK("http://www.rosaceae.org/gb/gbrowse/malus_x_domestica/?name=MDP0000322059","MDP0000322059")</f>
        <v>MDP0000322059</v>
      </c>
      <c r="D384">
        <v>74.17</v>
      </c>
      <c r="E384">
        <v>546</v>
      </c>
      <c r="F384">
        <v>141</v>
      </c>
      <c r="G384">
        <v>0</v>
      </c>
      <c r="H384">
        <v>1</v>
      </c>
      <c r="I384">
        <v>546</v>
      </c>
      <c r="J384">
        <v>1</v>
      </c>
      <c r="K384">
        <v>94</v>
      </c>
      <c r="L384">
        <v>639</v>
      </c>
      <c r="M384">
        <v>1</v>
      </c>
      <c r="N384">
        <v>0</v>
      </c>
      <c r="O384">
        <v>2066</v>
      </c>
    </row>
    <row r="385" spans="1:15" x14ac:dyDescent="0.25">
      <c r="A385" t="s">
        <v>398</v>
      </c>
      <c r="B385">
        <v>282</v>
      </c>
      <c r="C385" s="1" t="str">
        <f>HYPERLINK("http://www.rosaceae.org/gb/gbrowse/malus_x_domestica/?name=MDP0000201859","MDP0000201859")</f>
        <v>MDP0000201859</v>
      </c>
      <c r="D385">
        <v>28.66</v>
      </c>
      <c r="E385">
        <v>150</v>
      </c>
      <c r="F385">
        <v>107</v>
      </c>
      <c r="G385">
        <v>21</v>
      </c>
      <c r="H385">
        <v>118</v>
      </c>
      <c r="I385">
        <v>247</v>
      </c>
      <c r="J385">
        <v>1</v>
      </c>
      <c r="K385">
        <v>71</v>
      </c>
      <c r="L385">
        <v>219</v>
      </c>
      <c r="M385">
        <v>1</v>
      </c>
      <c r="N385">
        <v>1.56622E-12</v>
      </c>
      <c r="O385">
        <v>172</v>
      </c>
    </row>
    <row r="386" spans="1:15" x14ac:dyDescent="0.25">
      <c r="A386" t="s">
        <v>399</v>
      </c>
      <c r="B386">
        <v>214</v>
      </c>
      <c r="C386" s="1" t="str">
        <f>HYPERLINK("http://www.rosaceae.org/gb/gbrowse/malus_x_domestica/?name=MDP0000250047","MDP0000250047")</f>
        <v>MDP0000250047</v>
      </c>
      <c r="D386">
        <v>41.17</v>
      </c>
      <c r="E386">
        <v>221</v>
      </c>
      <c r="F386">
        <v>130</v>
      </c>
      <c r="G386">
        <v>87</v>
      </c>
      <c r="H386">
        <v>1</v>
      </c>
      <c r="I386">
        <v>136</v>
      </c>
      <c r="J386">
        <v>1</v>
      </c>
      <c r="K386">
        <v>50</v>
      </c>
      <c r="L386">
        <v>268</v>
      </c>
      <c r="M386">
        <v>1</v>
      </c>
      <c r="N386">
        <v>2.6025300000000002E-34</v>
      </c>
      <c r="O386">
        <v>358</v>
      </c>
    </row>
    <row r="387" spans="1:15" x14ac:dyDescent="0.25">
      <c r="A387" t="s">
        <v>400</v>
      </c>
      <c r="B387">
        <v>235</v>
      </c>
      <c r="C387" s="1" t="str">
        <f>HYPERLINK("http://www.rosaceae.org/gb/gbrowse/malus_x_domestica/?name=MDP0000242913","MDP0000242913")</f>
        <v>MDP0000242913</v>
      </c>
      <c r="D387">
        <v>97.85</v>
      </c>
      <c r="E387">
        <v>140</v>
      </c>
      <c r="F387">
        <v>3</v>
      </c>
      <c r="G387">
        <v>0</v>
      </c>
      <c r="H387">
        <v>95</v>
      </c>
      <c r="I387">
        <v>234</v>
      </c>
      <c r="J387">
        <v>1</v>
      </c>
      <c r="K387">
        <v>33</v>
      </c>
      <c r="L387">
        <v>172</v>
      </c>
      <c r="M387">
        <v>1</v>
      </c>
      <c r="N387">
        <v>1.9802500000000001E-78</v>
      </c>
      <c r="O387">
        <v>739</v>
      </c>
    </row>
    <row r="388" spans="1:15" x14ac:dyDescent="0.25">
      <c r="A388" t="s">
        <v>401</v>
      </c>
      <c r="B388">
        <v>650</v>
      </c>
      <c r="C388" s="1" t="str">
        <f>HYPERLINK("http://www.rosaceae.org/gb/gbrowse/malus_x_domestica/?name=MDP0000127185","MDP0000127185")</f>
        <v>MDP0000127185</v>
      </c>
      <c r="D388">
        <v>49</v>
      </c>
      <c r="E388">
        <v>200</v>
      </c>
      <c r="F388">
        <v>102</v>
      </c>
      <c r="G388">
        <v>12</v>
      </c>
      <c r="H388">
        <v>327</v>
      </c>
      <c r="I388">
        <v>516</v>
      </c>
      <c r="J388">
        <v>1</v>
      </c>
      <c r="K388">
        <v>580</v>
      </c>
      <c r="L388">
        <v>777</v>
      </c>
      <c r="M388">
        <v>1</v>
      </c>
      <c r="N388">
        <v>1.3269600000000001E-39</v>
      </c>
      <c r="O388">
        <v>409</v>
      </c>
    </row>
    <row r="389" spans="1:15" x14ac:dyDescent="0.25">
      <c r="A389" t="s">
        <v>402</v>
      </c>
      <c r="B389">
        <v>572</v>
      </c>
      <c r="C389" s="1" t="str">
        <f>HYPERLINK("http://www.rosaceae.org/gb/gbrowse/malus_x_domestica/?name=MDP0000293970","MDP0000293970")</f>
        <v>MDP0000293970</v>
      </c>
      <c r="D389">
        <v>36.020000000000003</v>
      </c>
      <c r="E389">
        <v>161</v>
      </c>
      <c r="F389">
        <v>103</v>
      </c>
      <c r="G389">
        <v>17</v>
      </c>
      <c r="H389">
        <v>426</v>
      </c>
      <c r="I389">
        <v>571</v>
      </c>
      <c r="J389">
        <v>1</v>
      </c>
      <c r="K389">
        <v>30</v>
      </c>
      <c r="L389">
        <v>188</v>
      </c>
      <c r="M389">
        <v>1</v>
      </c>
      <c r="N389">
        <v>1.9431499999999999E-19</v>
      </c>
      <c r="O389">
        <v>235</v>
      </c>
    </row>
    <row r="390" spans="1:15" x14ac:dyDescent="0.25">
      <c r="A390" t="s">
        <v>403</v>
      </c>
      <c r="B390">
        <v>3641</v>
      </c>
      <c r="C390" s="1" t="str">
        <f>HYPERLINK("http://www.rosaceae.org/gb/gbrowse/malus_x_domestica/?name=MDP0000317971","MDP0000317971")</f>
        <v>MDP0000317971</v>
      </c>
      <c r="D390">
        <v>75.22</v>
      </c>
      <c r="E390">
        <v>3722</v>
      </c>
      <c r="F390">
        <v>922</v>
      </c>
      <c r="G390">
        <v>216</v>
      </c>
      <c r="H390">
        <v>1</v>
      </c>
      <c r="I390">
        <v>3641</v>
      </c>
      <c r="J390">
        <v>1</v>
      </c>
      <c r="K390">
        <v>1</v>
      </c>
      <c r="L390">
        <v>3587</v>
      </c>
      <c r="M390">
        <v>1</v>
      </c>
      <c r="N390">
        <v>0</v>
      </c>
      <c r="O390">
        <v>14307</v>
      </c>
    </row>
    <row r="391" spans="1:15" x14ac:dyDescent="0.25">
      <c r="A391" t="s">
        <v>404</v>
      </c>
      <c r="B391">
        <v>794</v>
      </c>
      <c r="C391" s="1" t="str">
        <f>HYPERLINK("http://www.rosaceae.org/gb/gbrowse/malus_x_domestica/?name=MDP0000162785","MDP0000162785")</f>
        <v>MDP0000162785</v>
      </c>
      <c r="D391">
        <v>68.37</v>
      </c>
      <c r="E391">
        <v>351</v>
      </c>
      <c r="F391">
        <v>111</v>
      </c>
      <c r="G391">
        <v>36</v>
      </c>
      <c r="H391">
        <v>1</v>
      </c>
      <c r="I391">
        <v>316</v>
      </c>
      <c r="J391">
        <v>1</v>
      </c>
      <c r="K391">
        <v>1</v>
      </c>
      <c r="L391">
        <v>350</v>
      </c>
      <c r="M391">
        <v>1</v>
      </c>
      <c r="N391">
        <v>1.6120999999999999E-136</v>
      </c>
      <c r="O391">
        <v>1246</v>
      </c>
    </row>
    <row r="392" spans="1:15" x14ac:dyDescent="0.25">
      <c r="A392" t="s">
        <v>405</v>
      </c>
      <c r="B392">
        <v>185</v>
      </c>
      <c r="C392" s="1" t="str">
        <f>HYPERLINK("http://www.rosaceae.org/gb/gbrowse/malus_x_domestica/?name=MDP0000321075","MDP0000321075")</f>
        <v>MDP0000321075</v>
      </c>
      <c r="D392">
        <v>84.51</v>
      </c>
      <c r="E392">
        <v>155</v>
      </c>
      <c r="F392">
        <v>24</v>
      </c>
      <c r="G392">
        <v>0</v>
      </c>
      <c r="H392">
        <v>30</v>
      </c>
      <c r="I392">
        <v>184</v>
      </c>
      <c r="J392">
        <v>1</v>
      </c>
      <c r="K392">
        <v>78</v>
      </c>
      <c r="L392">
        <v>232</v>
      </c>
      <c r="M392">
        <v>1</v>
      </c>
      <c r="N392">
        <v>1.08871E-70</v>
      </c>
      <c r="O392">
        <v>671</v>
      </c>
    </row>
    <row r="393" spans="1:15" x14ac:dyDescent="0.25">
      <c r="A393" t="s">
        <v>406</v>
      </c>
      <c r="B393">
        <v>847</v>
      </c>
      <c r="C393" s="1" t="str">
        <f>HYPERLINK("http://www.rosaceae.org/gb/gbrowse/malus_x_domestica/?name=MDP0000252042","MDP0000252042")</f>
        <v>MDP0000252042</v>
      </c>
      <c r="D393">
        <v>76.44</v>
      </c>
      <c r="E393">
        <v>811</v>
      </c>
      <c r="F393">
        <v>191</v>
      </c>
      <c r="G393">
        <v>71</v>
      </c>
      <c r="H393">
        <v>89</v>
      </c>
      <c r="I393">
        <v>847</v>
      </c>
      <c r="J393">
        <v>1</v>
      </c>
      <c r="K393">
        <v>48</v>
      </c>
      <c r="L393">
        <v>839</v>
      </c>
      <c r="M393">
        <v>1</v>
      </c>
      <c r="N393">
        <v>0</v>
      </c>
      <c r="O393">
        <v>3074</v>
      </c>
    </row>
    <row r="394" spans="1:15" x14ac:dyDescent="0.25">
      <c r="A394" t="s">
        <v>407</v>
      </c>
      <c r="B394">
        <v>630</v>
      </c>
      <c r="C394" s="1" t="str">
        <f>HYPERLINK("http://www.rosaceae.org/gb/gbrowse/malus_x_domestica/?name=MDP0000190501","MDP0000190501")</f>
        <v>MDP0000190501</v>
      </c>
      <c r="D394">
        <v>74.11</v>
      </c>
      <c r="E394">
        <v>622</v>
      </c>
      <c r="F394">
        <v>161</v>
      </c>
      <c r="G394">
        <v>3</v>
      </c>
      <c r="H394">
        <v>1</v>
      </c>
      <c r="I394">
        <v>619</v>
      </c>
      <c r="J394">
        <v>1</v>
      </c>
      <c r="K394">
        <v>74</v>
      </c>
      <c r="L394">
        <v>695</v>
      </c>
      <c r="M394">
        <v>1</v>
      </c>
      <c r="N394">
        <v>0</v>
      </c>
      <c r="O394">
        <v>2329</v>
      </c>
    </row>
    <row r="395" spans="1:15" x14ac:dyDescent="0.25">
      <c r="A395" t="s">
        <v>408</v>
      </c>
      <c r="B395">
        <v>361</v>
      </c>
      <c r="C395" s="1" t="str">
        <f>HYPERLINK("http://www.rosaceae.org/gb/gbrowse/malus_x_domestica/?name=MDP0000522745","MDP0000522745")</f>
        <v>MDP0000522745</v>
      </c>
      <c r="D395">
        <v>38.96</v>
      </c>
      <c r="E395">
        <v>426</v>
      </c>
      <c r="F395">
        <v>260</v>
      </c>
      <c r="G395">
        <v>84</v>
      </c>
      <c r="H395">
        <v>10</v>
      </c>
      <c r="I395">
        <v>361</v>
      </c>
      <c r="J395">
        <v>1</v>
      </c>
      <c r="K395">
        <v>17</v>
      </c>
      <c r="L395">
        <v>432</v>
      </c>
      <c r="M395">
        <v>1</v>
      </c>
      <c r="N395">
        <v>2.7385100000000001E-67</v>
      </c>
      <c r="O395">
        <v>645</v>
      </c>
    </row>
    <row r="396" spans="1:15" x14ac:dyDescent="0.25">
      <c r="A396" t="s">
        <v>409</v>
      </c>
      <c r="B396">
        <v>735</v>
      </c>
      <c r="C396" s="1" t="str">
        <f>HYPERLINK("http://www.rosaceae.org/gb/gbrowse/malus_x_domestica/?name=MDP0000943147","MDP0000943147")</f>
        <v>MDP0000943147</v>
      </c>
      <c r="D396">
        <v>63.26</v>
      </c>
      <c r="E396">
        <v>754</v>
      </c>
      <c r="F396">
        <v>277</v>
      </c>
      <c r="G396">
        <v>66</v>
      </c>
      <c r="H396">
        <v>34</v>
      </c>
      <c r="I396">
        <v>735</v>
      </c>
      <c r="J396">
        <v>1</v>
      </c>
      <c r="K396">
        <v>83</v>
      </c>
      <c r="L396">
        <v>822</v>
      </c>
      <c r="M396">
        <v>1</v>
      </c>
      <c r="N396">
        <v>0</v>
      </c>
      <c r="O396">
        <v>2160</v>
      </c>
    </row>
    <row r="397" spans="1:15" x14ac:dyDescent="0.25">
      <c r="A397" t="s">
        <v>410</v>
      </c>
      <c r="B397">
        <v>367</v>
      </c>
      <c r="C397" s="1" t="str">
        <f>HYPERLINK("http://www.rosaceae.org/gb/gbrowse/malus_x_domestica/?name=MDP0000662845","MDP0000662845")</f>
        <v>MDP0000662845</v>
      </c>
      <c r="D397">
        <v>44.61</v>
      </c>
      <c r="E397">
        <v>399</v>
      </c>
      <c r="F397">
        <v>221</v>
      </c>
      <c r="G397">
        <v>61</v>
      </c>
      <c r="H397">
        <v>19</v>
      </c>
      <c r="I397">
        <v>365</v>
      </c>
      <c r="J397">
        <v>1</v>
      </c>
      <c r="K397">
        <v>2</v>
      </c>
      <c r="L397">
        <v>391</v>
      </c>
      <c r="M397">
        <v>1</v>
      </c>
      <c r="N397">
        <v>8.1896000000000004E-81</v>
      </c>
      <c r="O397">
        <v>762</v>
      </c>
    </row>
    <row r="398" spans="1:15" x14ac:dyDescent="0.25">
      <c r="A398" t="s">
        <v>411</v>
      </c>
      <c r="B398">
        <v>430</v>
      </c>
      <c r="C398" s="1" t="str">
        <f>HYPERLINK("http://www.rosaceae.org/gb/gbrowse/malus_x_domestica/?name=MDP0000261742","MDP0000261742")</f>
        <v>MDP0000261742</v>
      </c>
      <c r="D398">
        <v>89.67</v>
      </c>
      <c r="E398">
        <v>436</v>
      </c>
      <c r="F398">
        <v>45</v>
      </c>
      <c r="G398">
        <v>24</v>
      </c>
      <c r="H398">
        <v>1</v>
      </c>
      <c r="I398">
        <v>412</v>
      </c>
      <c r="J398">
        <v>1</v>
      </c>
      <c r="K398">
        <v>1</v>
      </c>
      <c r="L398">
        <v>436</v>
      </c>
      <c r="M398">
        <v>1</v>
      </c>
      <c r="N398">
        <v>0</v>
      </c>
      <c r="O398">
        <v>2085</v>
      </c>
    </row>
    <row r="399" spans="1:15" x14ac:dyDescent="0.25">
      <c r="A399" t="s">
        <v>412</v>
      </c>
      <c r="B399">
        <v>123</v>
      </c>
      <c r="C399" s="1" t="str">
        <f>HYPERLINK("http://www.rosaceae.org/gb/gbrowse/malus_x_domestica/?name=MDP0000307601","MDP0000307601")</f>
        <v>MDP0000307601</v>
      </c>
      <c r="D399">
        <v>67.47</v>
      </c>
      <c r="E399">
        <v>123</v>
      </c>
      <c r="F399">
        <v>40</v>
      </c>
      <c r="G399">
        <v>1</v>
      </c>
      <c r="H399">
        <v>2</v>
      </c>
      <c r="I399">
        <v>123</v>
      </c>
      <c r="J399">
        <v>1</v>
      </c>
      <c r="K399">
        <v>403</v>
      </c>
      <c r="L399">
        <v>525</v>
      </c>
      <c r="M399">
        <v>1</v>
      </c>
      <c r="N399">
        <v>1.7721799999999999E-43</v>
      </c>
      <c r="O399">
        <v>432</v>
      </c>
    </row>
    <row r="400" spans="1:15" x14ac:dyDescent="0.25">
      <c r="A400" t="s">
        <v>413</v>
      </c>
      <c r="B400">
        <v>448</v>
      </c>
      <c r="C400" s="1" t="str">
        <f>HYPERLINK("http://www.rosaceae.org/gb/gbrowse/malus_x_domestica/?name=MDP0000182230","MDP0000182230")</f>
        <v>MDP0000182230</v>
      </c>
      <c r="D400">
        <v>70.489999999999995</v>
      </c>
      <c r="E400">
        <v>444</v>
      </c>
      <c r="F400">
        <v>131</v>
      </c>
      <c r="G400">
        <v>27</v>
      </c>
      <c r="H400">
        <v>1</v>
      </c>
      <c r="I400">
        <v>420</v>
      </c>
      <c r="J400">
        <v>1</v>
      </c>
      <c r="K400">
        <v>1</v>
      </c>
      <c r="L400">
        <v>441</v>
      </c>
      <c r="M400">
        <v>1</v>
      </c>
      <c r="N400">
        <v>0</v>
      </c>
      <c r="O400">
        <v>1638</v>
      </c>
    </row>
    <row r="401" spans="1:15" x14ac:dyDescent="0.25">
      <c r="A401" t="s">
        <v>414</v>
      </c>
      <c r="B401">
        <v>283</v>
      </c>
      <c r="C401" s="1" t="str">
        <f>HYPERLINK("http://www.rosaceae.org/gb/gbrowse/malus_x_domestica/?name=MDP0000235197","MDP0000235197")</f>
        <v>MDP0000235197</v>
      </c>
      <c r="D401">
        <v>44.95</v>
      </c>
      <c r="E401">
        <v>307</v>
      </c>
      <c r="F401">
        <v>169</v>
      </c>
      <c r="G401">
        <v>46</v>
      </c>
      <c r="H401">
        <v>11</v>
      </c>
      <c r="I401">
        <v>279</v>
      </c>
      <c r="J401">
        <v>1</v>
      </c>
      <c r="K401">
        <v>653</v>
      </c>
      <c r="L401">
        <v>951</v>
      </c>
      <c r="M401">
        <v>1</v>
      </c>
      <c r="N401">
        <v>6.4044400000000002E-66</v>
      </c>
      <c r="O401">
        <v>632</v>
      </c>
    </row>
    <row r="402" spans="1:15" x14ac:dyDescent="0.25">
      <c r="A402" t="s">
        <v>415</v>
      </c>
      <c r="B402">
        <v>467</v>
      </c>
      <c r="C402" s="1" t="str">
        <f>HYPERLINK("http://www.rosaceae.org/gb/gbrowse/malus_x_domestica/?name=MDP0000829982","MDP0000829982")</f>
        <v>MDP0000829982</v>
      </c>
      <c r="D402">
        <v>86.52</v>
      </c>
      <c r="E402">
        <v>475</v>
      </c>
      <c r="F402">
        <v>64</v>
      </c>
      <c r="G402">
        <v>8</v>
      </c>
      <c r="H402">
        <v>1</v>
      </c>
      <c r="I402">
        <v>467</v>
      </c>
      <c r="J402">
        <v>1</v>
      </c>
      <c r="K402">
        <v>1</v>
      </c>
      <c r="L402">
        <v>475</v>
      </c>
      <c r="M402">
        <v>1</v>
      </c>
      <c r="N402">
        <v>0</v>
      </c>
      <c r="O402">
        <v>2049</v>
      </c>
    </row>
    <row r="403" spans="1:15" x14ac:dyDescent="0.25">
      <c r="A403" t="s">
        <v>416</v>
      </c>
      <c r="B403">
        <v>372</v>
      </c>
      <c r="C403" s="1" t="str">
        <f>HYPERLINK("http://www.rosaceae.org/gb/gbrowse/malus_x_domestica/?name=MDP0000259789","MDP0000259789")</f>
        <v>MDP0000259789</v>
      </c>
      <c r="D403">
        <v>86.64</v>
      </c>
      <c r="E403">
        <v>337</v>
      </c>
      <c r="F403">
        <v>45</v>
      </c>
      <c r="G403">
        <v>0</v>
      </c>
      <c r="H403">
        <v>20</v>
      </c>
      <c r="I403">
        <v>356</v>
      </c>
      <c r="J403">
        <v>1</v>
      </c>
      <c r="K403">
        <v>21</v>
      </c>
      <c r="L403">
        <v>357</v>
      </c>
      <c r="M403">
        <v>1</v>
      </c>
      <c r="N403">
        <v>6.4332099999999999E-173</v>
      </c>
      <c r="O403">
        <v>1556</v>
      </c>
    </row>
    <row r="404" spans="1:15" x14ac:dyDescent="0.25">
      <c r="A404" t="s">
        <v>417</v>
      </c>
      <c r="B404">
        <v>423</v>
      </c>
      <c r="C404" s="1" t="str">
        <f>HYPERLINK("http://www.rosaceae.org/gb/gbrowse/malus_x_domestica/?name=MDP0000775651","MDP0000775651")</f>
        <v>MDP0000775651</v>
      </c>
      <c r="D404">
        <v>50.84</v>
      </c>
      <c r="E404">
        <v>415</v>
      </c>
      <c r="F404">
        <v>204</v>
      </c>
      <c r="G404">
        <v>14</v>
      </c>
      <c r="H404">
        <v>9</v>
      </c>
      <c r="I404">
        <v>422</v>
      </c>
      <c r="J404">
        <v>1</v>
      </c>
      <c r="K404">
        <v>38</v>
      </c>
      <c r="L404">
        <v>439</v>
      </c>
      <c r="M404">
        <v>1</v>
      </c>
      <c r="N404">
        <v>1.6712199999999999E-106</v>
      </c>
      <c r="O404">
        <v>984</v>
      </c>
    </row>
    <row r="405" spans="1:15" x14ac:dyDescent="0.25">
      <c r="A405" t="s">
        <v>418</v>
      </c>
      <c r="B405">
        <v>166</v>
      </c>
      <c r="C405" s="1" t="str">
        <f>HYPERLINK("http://www.rosaceae.org/gb/gbrowse/malus_x_domestica/?name=MDP0000287242","MDP0000287242")</f>
        <v>MDP0000287242</v>
      </c>
      <c r="D405">
        <v>45.16</v>
      </c>
      <c r="E405">
        <v>62</v>
      </c>
      <c r="F405">
        <v>34</v>
      </c>
      <c r="G405">
        <v>7</v>
      </c>
      <c r="H405">
        <v>94</v>
      </c>
      <c r="I405">
        <v>149</v>
      </c>
      <c r="J405">
        <v>1</v>
      </c>
      <c r="K405">
        <v>133</v>
      </c>
      <c r="L405">
        <v>193</v>
      </c>
      <c r="M405">
        <v>1</v>
      </c>
      <c r="N405">
        <v>3.5343199999999998E-9</v>
      </c>
      <c r="O405">
        <v>139</v>
      </c>
    </row>
    <row r="406" spans="1:15" x14ac:dyDescent="0.25">
      <c r="A406" t="s">
        <v>419</v>
      </c>
      <c r="B406">
        <v>746</v>
      </c>
      <c r="C406" s="1" t="str">
        <f>HYPERLINK("http://www.rosaceae.org/gb/gbrowse/malus_x_domestica/?name=MDP0000872769","MDP0000872769")</f>
        <v>MDP0000872769</v>
      </c>
      <c r="D406">
        <v>66.459999999999994</v>
      </c>
      <c r="E406">
        <v>501</v>
      </c>
      <c r="F406">
        <v>168</v>
      </c>
      <c r="G406">
        <v>42</v>
      </c>
      <c r="H406">
        <v>1</v>
      </c>
      <c r="I406">
        <v>497</v>
      </c>
      <c r="J406">
        <v>1</v>
      </c>
      <c r="K406">
        <v>10</v>
      </c>
      <c r="L406">
        <v>472</v>
      </c>
      <c r="M406">
        <v>1</v>
      </c>
      <c r="N406">
        <v>0</v>
      </c>
      <c r="O406">
        <v>1665</v>
      </c>
    </row>
    <row r="407" spans="1:15" x14ac:dyDescent="0.25">
      <c r="A407" t="s">
        <v>420</v>
      </c>
      <c r="B407">
        <v>151</v>
      </c>
      <c r="C407" s="1" t="str">
        <f>HYPERLINK("http://www.rosaceae.org/gb/gbrowse/malus_x_domestica/?name=MDP0000332896","MDP0000332896")</f>
        <v>MDP0000332896</v>
      </c>
      <c r="D407">
        <v>50.32</v>
      </c>
      <c r="E407">
        <v>153</v>
      </c>
      <c r="F407">
        <v>76</v>
      </c>
      <c r="G407">
        <v>5</v>
      </c>
      <c r="H407">
        <v>1</v>
      </c>
      <c r="I407">
        <v>151</v>
      </c>
      <c r="J407">
        <v>1</v>
      </c>
      <c r="K407">
        <v>15</v>
      </c>
      <c r="L407">
        <v>164</v>
      </c>
      <c r="M407">
        <v>1</v>
      </c>
      <c r="N407">
        <v>1.4788700000000001E-28</v>
      </c>
      <c r="O407">
        <v>306</v>
      </c>
    </row>
    <row r="408" spans="1:15" x14ac:dyDescent="0.25">
      <c r="A408" t="s">
        <v>421</v>
      </c>
      <c r="B408">
        <v>122</v>
      </c>
      <c r="C408" s="1" t="str">
        <f>HYPERLINK("http://www.rosaceae.org/gb/gbrowse/malus_x_domestica/?name=MDP0000339174","MDP0000339174")</f>
        <v>MDP0000339174</v>
      </c>
      <c r="D408">
        <v>89.83</v>
      </c>
      <c r="E408">
        <v>118</v>
      </c>
      <c r="F408">
        <v>12</v>
      </c>
      <c r="G408">
        <v>0</v>
      </c>
      <c r="H408">
        <v>1</v>
      </c>
      <c r="I408">
        <v>118</v>
      </c>
      <c r="J408">
        <v>1</v>
      </c>
      <c r="K408">
        <v>1</v>
      </c>
      <c r="L408">
        <v>118</v>
      </c>
      <c r="M408">
        <v>1</v>
      </c>
      <c r="N408">
        <v>3.0466199999999998E-57</v>
      </c>
      <c r="O408">
        <v>551</v>
      </c>
    </row>
    <row r="409" spans="1:15" x14ac:dyDescent="0.25">
      <c r="A409" t="s">
        <v>422</v>
      </c>
      <c r="B409">
        <v>119</v>
      </c>
      <c r="C409" s="1" t="str">
        <f>HYPERLINK("http://www.rosaceae.org/gb/gbrowse/malus_x_domestica/?name=MDP0000278380","MDP0000278380")</f>
        <v>MDP0000278380</v>
      </c>
      <c r="D409">
        <v>79.16</v>
      </c>
      <c r="E409">
        <v>72</v>
      </c>
      <c r="F409">
        <v>15</v>
      </c>
      <c r="G409">
        <v>0</v>
      </c>
      <c r="H409">
        <v>36</v>
      </c>
      <c r="I409">
        <v>107</v>
      </c>
      <c r="J409">
        <v>1</v>
      </c>
      <c r="K409">
        <v>517</v>
      </c>
      <c r="L409">
        <v>588</v>
      </c>
      <c r="M409">
        <v>1</v>
      </c>
      <c r="N409">
        <v>4.1865199999999999E-30</v>
      </c>
      <c r="O409">
        <v>317</v>
      </c>
    </row>
    <row r="410" spans="1:15" x14ac:dyDescent="0.25">
      <c r="A410" t="s">
        <v>423</v>
      </c>
      <c r="B410">
        <v>146</v>
      </c>
      <c r="C410" s="1" t="str">
        <f>HYPERLINK("http://www.rosaceae.org/gb/gbrowse/malus_x_domestica/?name=MDP0000185846","MDP0000185846")</f>
        <v>MDP0000185846</v>
      </c>
      <c r="D410">
        <v>60.71</v>
      </c>
      <c r="E410">
        <v>56</v>
      </c>
      <c r="F410">
        <v>22</v>
      </c>
      <c r="G410">
        <v>0</v>
      </c>
      <c r="H410">
        <v>87</v>
      </c>
      <c r="I410">
        <v>142</v>
      </c>
      <c r="J410">
        <v>1</v>
      </c>
      <c r="K410">
        <v>296</v>
      </c>
      <c r="L410">
        <v>351</v>
      </c>
      <c r="M410">
        <v>1</v>
      </c>
      <c r="N410">
        <v>4.8527399999999996E-16</v>
      </c>
      <c r="O410">
        <v>197</v>
      </c>
    </row>
    <row r="411" spans="1:15" x14ac:dyDescent="0.25">
      <c r="A411" t="s">
        <v>424</v>
      </c>
      <c r="B411">
        <v>134</v>
      </c>
      <c r="C411" s="1" t="str">
        <f>HYPERLINK("http://www.rosaceae.org/gb/gbrowse/malus_x_domestica/?name=MDP0000205603","MDP0000205603")</f>
        <v>MDP0000205603</v>
      </c>
      <c r="D411">
        <v>33.33</v>
      </c>
      <c r="E411">
        <v>156</v>
      </c>
      <c r="F411">
        <v>104</v>
      </c>
      <c r="G411">
        <v>27</v>
      </c>
      <c r="H411">
        <v>1</v>
      </c>
      <c r="I411">
        <v>130</v>
      </c>
      <c r="J411">
        <v>1</v>
      </c>
      <c r="K411">
        <v>283</v>
      </c>
      <c r="L411">
        <v>437</v>
      </c>
      <c r="M411">
        <v>1</v>
      </c>
      <c r="N411">
        <v>5.7946699999999998E-16</v>
      </c>
      <c r="O411">
        <v>196</v>
      </c>
    </row>
    <row r="412" spans="1:15" x14ac:dyDescent="0.25">
      <c r="A412" t="s">
        <v>425</v>
      </c>
      <c r="B412">
        <v>304</v>
      </c>
      <c r="C412" s="1" t="str">
        <f>HYPERLINK("http://www.rosaceae.org/gb/gbrowse/malus_x_domestica/?name=MDP0000700517","MDP0000700517")</f>
        <v>MDP0000700517</v>
      </c>
      <c r="D412">
        <v>27.05</v>
      </c>
      <c r="E412">
        <v>207</v>
      </c>
      <c r="F412">
        <v>151</v>
      </c>
      <c r="G412">
        <v>21</v>
      </c>
      <c r="H412">
        <v>95</v>
      </c>
      <c r="I412">
        <v>280</v>
      </c>
      <c r="J412">
        <v>1</v>
      </c>
      <c r="K412">
        <v>92</v>
      </c>
      <c r="L412">
        <v>298</v>
      </c>
      <c r="M412">
        <v>1</v>
      </c>
      <c r="N412">
        <v>5.1093700000000003E-14</v>
      </c>
      <c r="O412">
        <v>185</v>
      </c>
    </row>
    <row r="413" spans="1:15" x14ac:dyDescent="0.25">
      <c r="A413" t="s">
        <v>426</v>
      </c>
      <c r="B413">
        <v>252</v>
      </c>
      <c r="C413" s="1" t="str">
        <f>HYPERLINK("http://www.rosaceae.org/gb/gbrowse/malus_x_domestica/?name=MDP0000393478","MDP0000393478")</f>
        <v>MDP0000393478</v>
      </c>
      <c r="D413">
        <v>55.46</v>
      </c>
      <c r="E413">
        <v>238</v>
      </c>
      <c r="F413">
        <v>106</v>
      </c>
      <c r="G413">
        <v>3</v>
      </c>
      <c r="H413">
        <v>1</v>
      </c>
      <c r="I413">
        <v>235</v>
      </c>
      <c r="J413">
        <v>1</v>
      </c>
      <c r="K413">
        <v>215</v>
      </c>
      <c r="L413">
        <v>452</v>
      </c>
      <c r="M413">
        <v>1</v>
      </c>
      <c r="N413">
        <v>4.6188600000000003E-63</v>
      </c>
      <c r="O413">
        <v>607</v>
      </c>
    </row>
    <row r="414" spans="1:15" x14ac:dyDescent="0.25">
      <c r="A414" t="s">
        <v>427</v>
      </c>
      <c r="B414">
        <v>624</v>
      </c>
      <c r="C414" s="1" t="str">
        <f>HYPERLINK("http://www.rosaceae.org/gb/gbrowse/malus_x_domestica/?name=MDP0000164054","MDP0000164054")</f>
        <v>MDP0000164054</v>
      </c>
      <c r="D414">
        <v>74.680000000000007</v>
      </c>
      <c r="E414">
        <v>636</v>
      </c>
      <c r="F414">
        <v>161</v>
      </c>
      <c r="G414">
        <v>12</v>
      </c>
      <c r="H414">
        <v>1</v>
      </c>
      <c r="I414">
        <v>624</v>
      </c>
      <c r="J414">
        <v>1</v>
      </c>
      <c r="K414">
        <v>1</v>
      </c>
      <c r="L414">
        <v>636</v>
      </c>
      <c r="M414">
        <v>1</v>
      </c>
      <c r="N414">
        <v>0</v>
      </c>
      <c r="O414">
        <v>2551</v>
      </c>
    </row>
    <row r="415" spans="1:15" x14ac:dyDescent="0.25">
      <c r="A415" t="s">
        <v>428</v>
      </c>
      <c r="B415">
        <v>497</v>
      </c>
      <c r="C415" s="1" t="str">
        <f>HYPERLINK("http://www.rosaceae.org/gb/gbrowse/malus_x_domestica/?name=MDP0000121524","MDP0000121524")</f>
        <v>MDP0000121524</v>
      </c>
      <c r="D415">
        <v>76.290000000000006</v>
      </c>
      <c r="E415">
        <v>443</v>
      </c>
      <c r="F415">
        <v>105</v>
      </c>
      <c r="G415">
        <v>2</v>
      </c>
      <c r="H415">
        <v>34</v>
      </c>
      <c r="I415">
        <v>475</v>
      </c>
      <c r="J415">
        <v>1</v>
      </c>
      <c r="K415">
        <v>33</v>
      </c>
      <c r="L415">
        <v>474</v>
      </c>
      <c r="M415">
        <v>1</v>
      </c>
      <c r="N415">
        <v>0</v>
      </c>
      <c r="O415">
        <v>1771</v>
      </c>
    </row>
    <row r="416" spans="1:15" x14ac:dyDescent="0.25">
      <c r="A416" t="s">
        <v>429</v>
      </c>
      <c r="B416">
        <v>539</v>
      </c>
      <c r="C416" s="1" t="str">
        <f>HYPERLINK("http://www.rosaceae.org/gb/gbrowse/malus_x_domestica/?name=MDP0000277388","MDP0000277388")</f>
        <v>MDP0000277388</v>
      </c>
      <c r="D416">
        <v>47.86</v>
      </c>
      <c r="E416">
        <v>117</v>
      </c>
      <c r="F416">
        <v>61</v>
      </c>
      <c r="G416">
        <v>4</v>
      </c>
      <c r="H416">
        <v>363</v>
      </c>
      <c r="I416">
        <v>479</v>
      </c>
      <c r="J416">
        <v>1</v>
      </c>
      <c r="K416">
        <v>81</v>
      </c>
      <c r="L416">
        <v>193</v>
      </c>
      <c r="M416">
        <v>1</v>
      </c>
      <c r="N416">
        <v>6.29098E-21</v>
      </c>
      <c r="O416">
        <v>247</v>
      </c>
    </row>
    <row r="417" spans="1:15" x14ac:dyDescent="0.25">
      <c r="A417" t="s">
        <v>430</v>
      </c>
      <c r="B417">
        <v>374</v>
      </c>
      <c r="C417" s="1" t="str">
        <f>HYPERLINK("http://www.rosaceae.org/gb/gbrowse/malus_x_domestica/?name=MDP0000183012","MDP0000183012")</f>
        <v>MDP0000183012</v>
      </c>
      <c r="D417">
        <v>48.08</v>
      </c>
      <c r="E417">
        <v>366</v>
      </c>
      <c r="F417">
        <v>190</v>
      </c>
      <c r="G417">
        <v>34</v>
      </c>
      <c r="H417">
        <v>5</v>
      </c>
      <c r="I417">
        <v>339</v>
      </c>
      <c r="J417">
        <v>1</v>
      </c>
      <c r="K417">
        <v>1</v>
      </c>
      <c r="L417">
        <v>363</v>
      </c>
      <c r="M417">
        <v>1</v>
      </c>
      <c r="N417">
        <v>7.4532599999999999E-94</v>
      </c>
      <c r="O417">
        <v>874</v>
      </c>
    </row>
    <row r="418" spans="1:15" x14ac:dyDescent="0.25">
      <c r="A418" t="s">
        <v>431</v>
      </c>
      <c r="B418">
        <v>498</v>
      </c>
      <c r="C418" s="1" t="str">
        <f>HYPERLINK("http://www.rosaceae.org/gb/gbrowse/malus_x_domestica/?name=MDP0000299496","MDP0000299496")</f>
        <v>MDP0000299496</v>
      </c>
      <c r="D418">
        <v>37.159999999999997</v>
      </c>
      <c r="E418">
        <v>261</v>
      </c>
      <c r="F418">
        <v>164</v>
      </c>
      <c r="G418">
        <v>5</v>
      </c>
      <c r="H418">
        <v>1</v>
      </c>
      <c r="I418">
        <v>257</v>
      </c>
      <c r="J418">
        <v>1</v>
      </c>
      <c r="K418">
        <v>563</v>
      </c>
      <c r="L418">
        <v>822</v>
      </c>
      <c r="M418">
        <v>1</v>
      </c>
      <c r="N418">
        <v>1.25828E-47</v>
      </c>
      <c r="O418">
        <v>477</v>
      </c>
    </row>
    <row r="419" spans="1:15" x14ac:dyDescent="0.25">
      <c r="A419" t="s">
        <v>432</v>
      </c>
      <c r="B419">
        <v>384</v>
      </c>
      <c r="C419" s="1" t="str">
        <f>HYPERLINK("http://www.rosaceae.org/gb/gbrowse/malus_x_domestica/?name=MDP0000277523","MDP0000277523")</f>
        <v>MDP0000277523</v>
      </c>
      <c r="D419">
        <v>73.28</v>
      </c>
      <c r="E419">
        <v>307</v>
      </c>
      <c r="F419">
        <v>82</v>
      </c>
      <c r="G419">
        <v>20</v>
      </c>
      <c r="H419">
        <v>17</v>
      </c>
      <c r="I419">
        <v>305</v>
      </c>
      <c r="J419">
        <v>1</v>
      </c>
      <c r="K419">
        <v>17</v>
      </c>
      <c r="L419">
        <v>321</v>
      </c>
      <c r="M419">
        <v>1</v>
      </c>
      <c r="N419">
        <v>2.4021999999999999E-125</v>
      </c>
      <c r="O419">
        <v>1146</v>
      </c>
    </row>
    <row r="420" spans="1:15" x14ac:dyDescent="0.25">
      <c r="A420" t="s">
        <v>433</v>
      </c>
      <c r="B420">
        <v>128</v>
      </c>
      <c r="C420" s="1" t="str">
        <f>HYPERLINK("http://www.rosaceae.org/gb/gbrowse/malus_x_domestica/?name=MDP0000402401","MDP0000402401")</f>
        <v>MDP0000402401</v>
      </c>
      <c r="D420">
        <v>85.89</v>
      </c>
      <c r="E420">
        <v>78</v>
      </c>
      <c r="F420">
        <v>11</v>
      </c>
      <c r="G420">
        <v>0</v>
      </c>
      <c r="H420">
        <v>1</v>
      </c>
      <c r="I420">
        <v>78</v>
      </c>
      <c r="J420">
        <v>1</v>
      </c>
      <c r="K420">
        <v>8</v>
      </c>
      <c r="L420">
        <v>85</v>
      </c>
      <c r="M420">
        <v>1</v>
      </c>
      <c r="N420">
        <v>8.4831099999999996E-32</v>
      </c>
      <c r="O420">
        <v>332</v>
      </c>
    </row>
    <row r="421" spans="1:15" x14ac:dyDescent="0.25">
      <c r="A421" t="s">
        <v>434</v>
      </c>
      <c r="B421">
        <v>286</v>
      </c>
      <c r="C421" s="1" t="str">
        <f>HYPERLINK("http://www.rosaceae.org/gb/gbrowse/malus_x_domestica/?name=MDP0000161084","MDP0000161084")</f>
        <v>MDP0000161084</v>
      </c>
      <c r="D421">
        <v>47.33</v>
      </c>
      <c r="E421">
        <v>357</v>
      </c>
      <c r="F421">
        <v>188</v>
      </c>
      <c r="G421">
        <v>75</v>
      </c>
      <c r="H421">
        <v>1</v>
      </c>
      <c r="I421">
        <v>286</v>
      </c>
      <c r="J421">
        <v>1</v>
      </c>
      <c r="K421">
        <v>1</v>
      </c>
      <c r="L421">
        <v>353</v>
      </c>
      <c r="M421">
        <v>1</v>
      </c>
      <c r="N421">
        <v>6.4861000000000001E-79</v>
      </c>
      <c r="O421">
        <v>744</v>
      </c>
    </row>
    <row r="422" spans="1:15" x14ac:dyDescent="0.25">
      <c r="A422" t="s">
        <v>435</v>
      </c>
      <c r="B422">
        <v>143</v>
      </c>
      <c r="C422" s="1" t="str">
        <f>HYPERLINK("http://www.rosaceae.org/gb/gbrowse/malus_x_domestica/?name=MDP0000854541","MDP0000854541")</f>
        <v>MDP0000854541</v>
      </c>
      <c r="D422">
        <v>56.62</v>
      </c>
      <c r="E422">
        <v>83</v>
      </c>
      <c r="F422">
        <v>36</v>
      </c>
      <c r="G422">
        <v>2</v>
      </c>
      <c r="H422">
        <v>57</v>
      </c>
      <c r="I422">
        <v>139</v>
      </c>
      <c r="J422">
        <v>1</v>
      </c>
      <c r="K422">
        <v>49</v>
      </c>
      <c r="L422">
        <v>129</v>
      </c>
      <c r="M422">
        <v>1</v>
      </c>
      <c r="N422">
        <v>1.10502E-18</v>
      </c>
      <c r="O422">
        <v>220</v>
      </c>
    </row>
    <row r="423" spans="1:15" x14ac:dyDescent="0.25">
      <c r="A423" t="s">
        <v>436</v>
      </c>
      <c r="B423">
        <v>397</v>
      </c>
      <c r="C423" s="1" t="str">
        <f>HYPERLINK("http://www.rosaceae.org/gb/gbrowse/malus_x_domestica/?name=MDP0000244424","MDP0000244424")</f>
        <v>MDP0000244424</v>
      </c>
      <c r="D423">
        <v>65.06</v>
      </c>
      <c r="E423">
        <v>375</v>
      </c>
      <c r="F423">
        <v>131</v>
      </c>
      <c r="G423">
        <v>50</v>
      </c>
      <c r="H423">
        <v>21</v>
      </c>
      <c r="I423">
        <v>393</v>
      </c>
      <c r="J423">
        <v>1</v>
      </c>
      <c r="K423">
        <v>102</v>
      </c>
      <c r="L423">
        <v>428</v>
      </c>
      <c r="M423">
        <v>1</v>
      </c>
      <c r="N423">
        <v>1.9732299999999999E-130</v>
      </c>
      <c r="O423">
        <v>1190</v>
      </c>
    </row>
    <row r="424" spans="1:15" x14ac:dyDescent="0.25">
      <c r="A424" t="s">
        <v>437</v>
      </c>
      <c r="B424">
        <v>510</v>
      </c>
      <c r="C424" s="1" t="str">
        <f>HYPERLINK("http://www.rosaceae.org/gb/gbrowse/malus_x_domestica/?name=MDP0000291077","MDP0000291077")</f>
        <v>MDP0000291077</v>
      </c>
      <c r="D424">
        <v>73.2</v>
      </c>
      <c r="E424">
        <v>474</v>
      </c>
      <c r="F424">
        <v>127</v>
      </c>
      <c r="G424">
        <v>5</v>
      </c>
      <c r="H424">
        <v>42</v>
      </c>
      <c r="I424">
        <v>510</v>
      </c>
      <c r="J424">
        <v>1</v>
      </c>
      <c r="K424">
        <v>36</v>
      </c>
      <c r="L424">
        <v>509</v>
      </c>
      <c r="M424">
        <v>1</v>
      </c>
      <c r="N424">
        <v>0</v>
      </c>
      <c r="O424">
        <v>1898</v>
      </c>
    </row>
    <row r="425" spans="1:15" x14ac:dyDescent="0.25">
      <c r="A425" t="s">
        <v>438</v>
      </c>
      <c r="B425">
        <v>748</v>
      </c>
      <c r="C425" s="1" t="str">
        <f>HYPERLINK("http://www.rosaceae.org/gb/gbrowse/malus_x_domestica/?name=MDP0000193385","MDP0000193385")</f>
        <v>MDP0000193385</v>
      </c>
      <c r="D425">
        <v>55.79</v>
      </c>
      <c r="E425">
        <v>561</v>
      </c>
      <c r="F425">
        <v>248</v>
      </c>
      <c r="G425">
        <v>46</v>
      </c>
      <c r="H425">
        <v>1</v>
      </c>
      <c r="I425">
        <v>551</v>
      </c>
      <c r="J425">
        <v>1</v>
      </c>
      <c r="K425">
        <v>3</v>
      </c>
      <c r="L425">
        <v>527</v>
      </c>
      <c r="M425">
        <v>1</v>
      </c>
      <c r="N425">
        <v>3.9394700000000002E-152</v>
      </c>
      <c r="O425">
        <v>1380</v>
      </c>
    </row>
    <row r="426" spans="1:15" x14ac:dyDescent="0.25">
      <c r="A426" t="s">
        <v>439</v>
      </c>
      <c r="B426">
        <v>918</v>
      </c>
      <c r="C426" s="1" t="str">
        <f>HYPERLINK("http://www.rosaceae.org/gb/gbrowse/malus_x_domestica/?name=MDP0000269848","MDP0000269848")</f>
        <v>MDP0000269848</v>
      </c>
      <c r="D426">
        <v>85.8</v>
      </c>
      <c r="E426">
        <v>599</v>
      </c>
      <c r="F426">
        <v>85</v>
      </c>
      <c r="G426">
        <v>0</v>
      </c>
      <c r="H426">
        <v>19</v>
      </c>
      <c r="I426">
        <v>617</v>
      </c>
      <c r="J426">
        <v>1</v>
      </c>
      <c r="K426">
        <v>19</v>
      </c>
      <c r="L426">
        <v>617</v>
      </c>
      <c r="M426">
        <v>1</v>
      </c>
      <c r="N426">
        <v>0</v>
      </c>
      <c r="O426">
        <v>2707</v>
      </c>
    </row>
    <row r="427" spans="1:15" x14ac:dyDescent="0.25">
      <c r="A427" t="s">
        <v>440</v>
      </c>
      <c r="B427">
        <v>337</v>
      </c>
      <c r="C427" s="1" t="str">
        <f>HYPERLINK("http://www.rosaceae.org/gb/gbrowse/malus_x_domestica/?name=MDP0000188012","MDP0000188012")</f>
        <v>MDP0000188012</v>
      </c>
      <c r="D427">
        <v>34.01</v>
      </c>
      <c r="E427">
        <v>147</v>
      </c>
      <c r="F427">
        <v>97</v>
      </c>
      <c r="G427">
        <v>6</v>
      </c>
      <c r="H427">
        <v>13</v>
      </c>
      <c r="I427">
        <v>157</v>
      </c>
      <c r="J427">
        <v>1</v>
      </c>
      <c r="K427">
        <v>126</v>
      </c>
      <c r="L427">
        <v>268</v>
      </c>
      <c r="M427">
        <v>1</v>
      </c>
      <c r="N427">
        <v>2.9268499999999998E-15</v>
      </c>
      <c r="O427">
        <v>196</v>
      </c>
    </row>
    <row r="428" spans="1:15" x14ac:dyDescent="0.25">
      <c r="A428" t="s">
        <v>441</v>
      </c>
      <c r="B428">
        <v>95</v>
      </c>
      <c r="C428" s="1" t="str">
        <f>HYPERLINK("http://www.rosaceae.org/gb/gbrowse/malus_x_domestica/?name=MDP0000255057","MDP0000255057")</f>
        <v>MDP0000255057</v>
      </c>
      <c r="D428">
        <v>75.599999999999994</v>
      </c>
      <c r="E428">
        <v>41</v>
      </c>
      <c r="F428">
        <v>10</v>
      </c>
      <c r="G428">
        <v>0</v>
      </c>
      <c r="H428">
        <v>1</v>
      </c>
      <c r="I428">
        <v>41</v>
      </c>
      <c r="J428">
        <v>1</v>
      </c>
      <c r="K428">
        <v>843</v>
      </c>
      <c r="L428">
        <v>883</v>
      </c>
      <c r="M428">
        <v>1</v>
      </c>
      <c r="N428">
        <v>7.6206699999999993E-12</v>
      </c>
      <c r="O428">
        <v>160</v>
      </c>
    </row>
    <row r="429" spans="1:15" x14ac:dyDescent="0.25">
      <c r="A429" t="s">
        <v>442</v>
      </c>
      <c r="B429">
        <v>845</v>
      </c>
      <c r="C429" s="1" t="str">
        <f>HYPERLINK("http://www.rosaceae.org/gb/gbrowse/malus_x_domestica/?name=MDP0000386667","MDP0000386667")</f>
        <v>MDP0000386667</v>
      </c>
      <c r="D429">
        <v>79.8</v>
      </c>
      <c r="E429">
        <v>901</v>
      </c>
      <c r="F429">
        <v>182</v>
      </c>
      <c r="G429">
        <v>63</v>
      </c>
      <c r="H429">
        <v>1</v>
      </c>
      <c r="I429">
        <v>839</v>
      </c>
      <c r="J429">
        <v>1</v>
      </c>
      <c r="K429">
        <v>1</v>
      </c>
      <c r="L429">
        <v>900</v>
      </c>
      <c r="M429">
        <v>1</v>
      </c>
      <c r="N429">
        <v>0</v>
      </c>
      <c r="O429">
        <v>3558</v>
      </c>
    </row>
    <row r="430" spans="1:15" x14ac:dyDescent="0.25">
      <c r="A430" t="s">
        <v>443</v>
      </c>
      <c r="B430">
        <v>882</v>
      </c>
      <c r="C430" s="1" t="str">
        <f>HYPERLINK("http://www.rosaceae.org/gb/gbrowse/malus_x_domestica/?name=MDP0000279440","MDP0000279440")</f>
        <v>MDP0000279440</v>
      </c>
      <c r="D430">
        <v>57.73</v>
      </c>
      <c r="E430">
        <v>388</v>
      </c>
      <c r="F430">
        <v>164</v>
      </c>
      <c r="G430">
        <v>23</v>
      </c>
      <c r="H430">
        <v>440</v>
      </c>
      <c r="I430">
        <v>818</v>
      </c>
      <c r="J430">
        <v>1</v>
      </c>
      <c r="K430">
        <v>2</v>
      </c>
      <c r="L430">
        <v>375</v>
      </c>
      <c r="M430">
        <v>1</v>
      </c>
      <c r="N430">
        <v>4.1560199999999998E-119</v>
      </c>
      <c r="O430">
        <v>1096</v>
      </c>
    </row>
    <row r="431" spans="1:15" x14ac:dyDescent="0.25">
      <c r="A431" t="s">
        <v>444</v>
      </c>
      <c r="B431">
        <v>134</v>
      </c>
      <c r="C431" s="1" t="str">
        <f>HYPERLINK("http://www.rosaceae.org/gb/gbrowse/malus_x_domestica/?name=MDP0000628052","MDP0000628052")</f>
        <v>MDP0000628052</v>
      </c>
      <c r="D431">
        <v>59.13</v>
      </c>
      <c r="E431">
        <v>93</v>
      </c>
      <c r="F431">
        <v>38</v>
      </c>
      <c r="G431">
        <v>5</v>
      </c>
      <c r="H431">
        <v>9</v>
      </c>
      <c r="I431">
        <v>96</v>
      </c>
      <c r="J431">
        <v>1</v>
      </c>
      <c r="K431">
        <v>146</v>
      </c>
      <c r="L431">
        <v>238</v>
      </c>
      <c r="M431">
        <v>1</v>
      </c>
      <c r="N431">
        <v>2.6387600000000001E-24</v>
      </c>
      <c r="O431">
        <v>268</v>
      </c>
    </row>
    <row r="432" spans="1:15" x14ac:dyDescent="0.25">
      <c r="A432" t="s">
        <v>445</v>
      </c>
      <c r="B432">
        <v>170</v>
      </c>
      <c r="C432" s="1" t="str">
        <f>HYPERLINK("http://www.rosaceae.org/gb/gbrowse/malus_x_domestica/?name=MDP0000174011","MDP0000174011")</f>
        <v>MDP0000174011</v>
      </c>
      <c r="D432">
        <v>66.989999999999995</v>
      </c>
      <c r="E432">
        <v>103</v>
      </c>
      <c r="F432">
        <v>34</v>
      </c>
      <c r="G432">
        <v>0</v>
      </c>
      <c r="H432">
        <v>56</v>
      </c>
      <c r="I432">
        <v>158</v>
      </c>
      <c r="J432">
        <v>1</v>
      </c>
      <c r="K432">
        <v>288</v>
      </c>
      <c r="L432">
        <v>390</v>
      </c>
      <c r="M432">
        <v>1</v>
      </c>
      <c r="N432">
        <v>7.4097400000000004E-36</v>
      </c>
      <c r="O432">
        <v>370</v>
      </c>
    </row>
    <row r="433" spans="1:15" x14ac:dyDescent="0.25">
      <c r="A433" t="s">
        <v>446</v>
      </c>
      <c r="B433">
        <v>386</v>
      </c>
      <c r="C433" s="1" t="str">
        <f>HYPERLINK("http://www.rosaceae.org/gb/gbrowse/malus_x_domestica/?name=MDP0000230910","MDP0000230910")</f>
        <v>MDP0000230910</v>
      </c>
      <c r="D433">
        <v>86.64</v>
      </c>
      <c r="E433">
        <v>382</v>
      </c>
      <c r="F433">
        <v>51</v>
      </c>
      <c r="G433">
        <v>2</v>
      </c>
      <c r="H433">
        <v>6</v>
      </c>
      <c r="I433">
        <v>386</v>
      </c>
      <c r="J433">
        <v>1</v>
      </c>
      <c r="K433">
        <v>12</v>
      </c>
      <c r="L433">
        <v>392</v>
      </c>
      <c r="M433">
        <v>1</v>
      </c>
      <c r="N433">
        <v>0</v>
      </c>
      <c r="O433">
        <v>1821</v>
      </c>
    </row>
    <row r="434" spans="1:15" x14ac:dyDescent="0.25">
      <c r="A434" t="s">
        <v>447</v>
      </c>
      <c r="B434">
        <v>547</v>
      </c>
      <c r="C434" s="1" t="str">
        <f>HYPERLINK("http://www.rosaceae.org/gb/gbrowse/malus_x_domestica/?name=MDP0000192249","MDP0000192249")</f>
        <v>MDP0000192249</v>
      </c>
      <c r="D434">
        <v>59.72</v>
      </c>
      <c r="E434">
        <v>221</v>
      </c>
      <c r="F434">
        <v>89</v>
      </c>
      <c r="G434">
        <v>11</v>
      </c>
      <c r="H434">
        <v>3</v>
      </c>
      <c r="I434">
        <v>218</v>
      </c>
      <c r="J434">
        <v>1</v>
      </c>
      <c r="K434">
        <v>4</v>
      </c>
      <c r="L434">
        <v>218</v>
      </c>
      <c r="M434">
        <v>1</v>
      </c>
      <c r="N434">
        <v>4.12552E-72</v>
      </c>
      <c r="O434">
        <v>689</v>
      </c>
    </row>
    <row r="435" spans="1:15" x14ac:dyDescent="0.25">
      <c r="A435" t="s">
        <v>448</v>
      </c>
      <c r="B435">
        <v>461</v>
      </c>
      <c r="C435" s="1" t="str">
        <f>HYPERLINK("http://www.rosaceae.org/gb/gbrowse/malus_x_domestica/?name=MDP0000192825","MDP0000192825")</f>
        <v>MDP0000192825</v>
      </c>
      <c r="D435">
        <v>57.47</v>
      </c>
      <c r="E435">
        <v>301</v>
      </c>
      <c r="F435">
        <v>128</v>
      </c>
      <c r="G435">
        <v>4</v>
      </c>
      <c r="H435">
        <v>163</v>
      </c>
      <c r="I435">
        <v>461</v>
      </c>
      <c r="J435">
        <v>1</v>
      </c>
      <c r="K435">
        <v>3</v>
      </c>
      <c r="L435">
        <v>301</v>
      </c>
      <c r="M435">
        <v>1</v>
      </c>
      <c r="N435">
        <v>3.4110700000000001E-85</v>
      </c>
      <c r="O435">
        <v>801</v>
      </c>
    </row>
    <row r="436" spans="1:15" x14ac:dyDescent="0.25">
      <c r="A436" t="s">
        <v>449</v>
      </c>
      <c r="B436">
        <v>225</v>
      </c>
      <c r="C436" s="1" t="str">
        <f>HYPERLINK("http://www.rosaceae.org/gb/gbrowse/malus_x_domestica/?name=MDP0000308560","MDP0000308560")</f>
        <v>MDP0000308560</v>
      </c>
      <c r="D436">
        <v>57.01</v>
      </c>
      <c r="E436">
        <v>228</v>
      </c>
      <c r="F436">
        <v>98</v>
      </c>
      <c r="G436">
        <v>32</v>
      </c>
      <c r="H436">
        <v>1</v>
      </c>
      <c r="I436">
        <v>225</v>
      </c>
      <c r="J436">
        <v>1</v>
      </c>
      <c r="K436">
        <v>664</v>
      </c>
      <c r="L436">
        <v>862</v>
      </c>
      <c r="M436">
        <v>1</v>
      </c>
      <c r="N436">
        <v>4.0139099999999998E-52</v>
      </c>
      <c r="O436">
        <v>512</v>
      </c>
    </row>
    <row r="437" spans="1:15" x14ac:dyDescent="0.25">
      <c r="A437" t="s">
        <v>450</v>
      </c>
      <c r="B437">
        <v>159</v>
      </c>
      <c r="C437" s="1" t="str">
        <f>HYPERLINK("http://www.rosaceae.org/gb/gbrowse/malus_x_domestica/?name=MDP0000756341","MDP0000756341")</f>
        <v>MDP0000756341</v>
      </c>
      <c r="D437">
        <v>72.89</v>
      </c>
      <c r="E437">
        <v>166</v>
      </c>
      <c r="F437">
        <v>45</v>
      </c>
      <c r="G437">
        <v>13</v>
      </c>
      <c r="H437">
        <v>1</v>
      </c>
      <c r="I437">
        <v>159</v>
      </c>
      <c r="J437">
        <v>1</v>
      </c>
      <c r="K437">
        <v>1</v>
      </c>
      <c r="L437">
        <v>160</v>
      </c>
      <c r="M437">
        <v>1</v>
      </c>
      <c r="N437">
        <v>5.6812099999999998E-61</v>
      </c>
      <c r="O437">
        <v>586</v>
      </c>
    </row>
    <row r="438" spans="1:15" x14ac:dyDescent="0.25">
      <c r="A438" t="s">
        <v>451</v>
      </c>
      <c r="B438">
        <v>804</v>
      </c>
      <c r="C438" s="1" t="str">
        <f>HYPERLINK("http://www.rosaceae.org/gb/gbrowse/malus_x_domestica/?name=MDP0000262766","MDP0000262766")</f>
        <v>MDP0000262766</v>
      </c>
      <c r="D438">
        <v>64.819999999999993</v>
      </c>
      <c r="E438">
        <v>813</v>
      </c>
      <c r="F438">
        <v>286</v>
      </c>
      <c r="G438">
        <v>105</v>
      </c>
      <c r="H438">
        <v>74</v>
      </c>
      <c r="I438">
        <v>789</v>
      </c>
      <c r="J438">
        <v>1</v>
      </c>
      <c r="K438">
        <v>1</v>
      </c>
      <c r="L438">
        <v>805</v>
      </c>
      <c r="M438">
        <v>1</v>
      </c>
      <c r="N438">
        <v>0</v>
      </c>
      <c r="O438">
        <v>2562</v>
      </c>
    </row>
    <row r="439" spans="1:15" x14ac:dyDescent="0.25">
      <c r="A439" t="s">
        <v>452</v>
      </c>
      <c r="B439">
        <v>428</v>
      </c>
      <c r="C439" s="1" t="str">
        <f>HYPERLINK("http://www.rosaceae.org/gb/gbrowse/malus_x_domestica/?name=MDP0000235782","MDP0000235782")</f>
        <v>MDP0000235782</v>
      </c>
      <c r="D439">
        <v>30.66</v>
      </c>
      <c r="E439">
        <v>212</v>
      </c>
      <c r="F439">
        <v>147</v>
      </c>
      <c r="G439">
        <v>22</v>
      </c>
      <c r="H439">
        <v>223</v>
      </c>
      <c r="I439">
        <v>426</v>
      </c>
      <c r="J439">
        <v>1</v>
      </c>
      <c r="K439">
        <v>151</v>
      </c>
      <c r="L439">
        <v>348</v>
      </c>
      <c r="M439">
        <v>1</v>
      </c>
      <c r="N439">
        <v>2.09233E-18</v>
      </c>
      <c r="O439">
        <v>224</v>
      </c>
    </row>
    <row r="440" spans="1:15" x14ac:dyDescent="0.25">
      <c r="A440" t="s">
        <v>453</v>
      </c>
      <c r="B440">
        <v>1279</v>
      </c>
      <c r="C440" s="1" t="str">
        <f>HYPERLINK("http://www.rosaceae.org/gb/gbrowse/malus_x_domestica/?name=MDP0000513880","MDP0000513880")</f>
        <v>MDP0000513880</v>
      </c>
      <c r="D440">
        <v>74.05</v>
      </c>
      <c r="E440">
        <v>343</v>
      </c>
      <c r="F440">
        <v>89</v>
      </c>
      <c r="G440">
        <v>10</v>
      </c>
      <c r="H440">
        <v>88</v>
      </c>
      <c r="I440">
        <v>428</v>
      </c>
      <c r="J440">
        <v>1</v>
      </c>
      <c r="K440">
        <v>19</v>
      </c>
      <c r="L440">
        <v>353</v>
      </c>
      <c r="M440">
        <v>1</v>
      </c>
      <c r="N440">
        <v>7.7389199999999997E-137</v>
      </c>
      <c r="O440">
        <v>1251</v>
      </c>
    </row>
    <row r="441" spans="1:15" x14ac:dyDescent="0.25">
      <c r="A441" t="s">
        <v>454</v>
      </c>
      <c r="B441">
        <v>1415</v>
      </c>
      <c r="C441" s="1" t="str">
        <f>HYPERLINK("http://www.rosaceae.org/gb/gbrowse/malus_x_domestica/?name=MDP0000312258","MDP0000312258")</f>
        <v>MDP0000312258</v>
      </c>
      <c r="D441">
        <v>56.86</v>
      </c>
      <c r="E441">
        <v>1115</v>
      </c>
      <c r="F441">
        <v>481</v>
      </c>
      <c r="G441">
        <v>132</v>
      </c>
      <c r="H441">
        <v>306</v>
      </c>
      <c r="I441">
        <v>1393</v>
      </c>
      <c r="J441">
        <v>1</v>
      </c>
      <c r="K441">
        <v>1697</v>
      </c>
      <c r="L441">
        <v>2706</v>
      </c>
      <c r="M441">
        <v>1</v>
      </c>
      <c r="N441">
        <v>0</v>
      </c>
      <c r="O441">
        <v>3069</v>
      </c>
    </row>
    <row r="442" spans="1:15" x14ac:dyDescent="0.25">
      <c r="A442" t="s">
        <v>455</v>
      </c>
      <c r="B442">
        <v>452</v>
      </c>
      <c r="C442" s="1" t="str">
        <f>HYPERLINK("http://www.rosaceae.org/gb/gbrowse/malus_x_domestica/?name=MDP0000294744","MDP0000294744")</f>
        <v>MDP0000294744</v>
      </c>
      <c r="D442">
        <v>51.21</v>
      </c>
      <c r="E442">
        <v>453</v>
      </c>
      <c r="F442">
        <v>221</v>
      </c>
      <c r="G442">
        <v>58</v>
      </c>
      <c r="H442">
        <v>34</v>
      </c>
      <c r="I442">
        <v>451</v>
      </c>
      <c r="J442">
        <v>1</v>
      </c>
      <c r="K442">
        <v>40</v>
      </c>
      <c r="L442">
        <v>469</v>
      </c>
      <c r="M442">
        <v>1</v>
      </c>
      <c r="N442">
        <v>5.5315500000000001E-113</v>
      </c>
      <c r="O442">
        <v>1040</v>
      </c>
    </row>
    <row r="443" spans="1:15" x14ac:dyDescent="0.25">
      <c r="A443" t="s">
        <v>456</v>
      </c>
      <c r="B443">
        <v>183</v>
      </c>
      <c r="C443" s="1" t="str">
        <f>HYPERLINK("http://www.rosaceae.org/gb/gbrowse/malus_x_domestica/?name=MDP0000047001","MDP0000047001")</f>
        <v>MDP0000047001</v>
      </c>
      <c r="D443">
        <v>91.42</v>
      </c>
      <c r="E443">
        <v>35</v>
      </c>
      <c r="F443">
        <v>3</v>
      </c>
      <c r="G443">
        <v>0</v>
      </c>
      <c r="H443">
        <v>112</v>
      </c>
      <c r="I443">
        <v>146</v>
      </c>
      <c r="J443">
        <v>1</v>
      </c>
      <c r="K443">
        <v>1241</v>
      </c>
      <c r="L443">
        <v>1275</v>
      </c>
      <c r="M443">
        <v>1</v>
      </c>
      <c r="N443">
        <v>1.97302E-12</v>
      </c>
      <c r="O443">
        <v>168</v>
      </c>
    </row>
    <row r="444" spans="1:15" x14ac:dyDescent="0.25">
      <c r="A444" t="s">
        <v>457</v>
      </c>
      <c r="B444">
        <v>597</v>
      </c>
      <c r="C444" s="1" t="str">
        <f>HYPERLINK("http://www.rosaceae.org/gb/gbrowse/malus_x_domestica/?name=MDP0000312901","MDP0000312901")</f>
        <v>MDP0000312901</v>
      </c>
      <c r="D444">
        <v>77.040000000000006</v>
      </c>
      <c r="E444">
        <v>549</v>
      </c>
      <c r="F444">
        <v>126</v>
      </c>
      <c r="G444">
        <v>1</v>
      </c>
      <c r="H444">
        <v>49</v>
      </c>
      <c r="I444">
        <v>597</v>
      </c>
      <c r="J444">
        <v>1</v>
      </c>
      <c r="K444">
        <v>1</v>
      </c>
      <c r="L444">
        <v>548</v>
      </c>
      <c r="M444">
        <v>1</v>
      </c>
      <c r="N444">
        <v>0</v>
      </c>
      <c r="O444">
        <v>2232</v>
      </c>
    </row>
    <row r="445" spans="1:15" x14ac:dyDescent="0.25">
      <c r="A445" t="s">
        <v>458</v>
      </c>
      <c r="B445">
        <v>1308</v>
      </c>
      <c r="C445" s="1" t="str">
        <f>HYPERLINK("http://www.rosaceae.org/gb/gbrowse/malus_x_domestica/?name=MDP0000303770","MDP0000303770")</f>
        <v>MDP0000303770</v>
      </c>
      <c r="D445">
        <v>73.83</v>
      </c>
      <c r="E445">
        <v>688</v>
      </c>
      <c r="F445">
        <v>180</v>
      </c>
      <c r="G445">
        <v>26</v>
      </c>
      <c r="H445">
        <v>1</v>
      </c>
      <c r="I445">
        <v>672</v>
      </c>
      <c r="J445">
        <v>1</v>
      </c>
      <c r="K445">
        <v>848</v>
      </c>
      <c r="L445">
        <v>1525</v>
      </c>
      <c r="M445">
        <v>1</v>
      </c>
      <c r="N445">
        <v>0</v>
      </c>
      <c r="O445">
        <v>2415</v>
      </c>
    </row>
    <row r="446" spans="1:15" x14ac:dyDescent="0.25">
      <c r="A446" t="s">
        <v>459</v>
      </c>
      <c r="B446">
        <v>438</v>
      </c>
      <c r="C446" s="1" t="str">
        <f>HYPERLINK("http://www.rosaceae.org/gb/gbrowse/malus_x_domestica/?name=MDP0000206199","MDP0000206199")</f>
        <v>MDP0000206199</v>
      </c>
      <c r="D446">
        <v>34.43</v>
      </c>
      <c r="E446">
        <v>151</v>
      </c>
      <c r="F446">
        <v>99</v>
      </c>
      <c r="G446">
        <v>10</v>
      </c>
      <c r="H446">
        <v>21</v>
      </c>
      <c r="I446">
        <v>171</v>
      </c>
      <c r="J446">
        <v>1</v>
      </c>
      <c r="K446">
        <v>5</v>
      </c>
      <c r="L446">
        <v>145</v>
      </c>
      <c r="M446">
        <v>1</v>
      </c>
      <c r="N446">
        <v>2.1779100000000001E-14</v>
      </c>
      <c r="O446">
        <v>190</v>
      </c>
    </row>
    <row r="447" spans="1:15" x14ac:dyDescent="0.25">
      <c r="A447" t="s">
        <v>460</v>
      </c>
      <c r="B447">
        <v>234</v>
      </c>
      <c r="C447" s="1" t="str">
        <f>HYPERLINK("http://www.rosaceae.org/gb/gbrowse/malus_x_domestica/?name=MDP0000263658","MDP0000263658")</f>
        <v>MDP0000263658</v>
      </c>
      <c r="D447">
        <v>93.51</v>
      </c>
      <c r="E447">
        <v>185</v>
      </c>
      <c r="F447">
        <v>12</v>
      </c>
      <c r="G447">
        <v>0</v>
      </c>
      <c r="H447">
        <v>41</v>
      </c>
      <c r="I447">
        <v>225</v>
      </c>
      <c r="J447">
        <v>1</v>
      </c>
      <c r="K447">
        <v>1</v>
      </c>
      <c r="L447">
        <v>185</v>
      </c>
      <c r="M447">
        <v>1</v>
      </c>
      <c r="N447">
        <v>1.8582500000000002E-99</v>
      </c>
      <c r="O447">
        <v>920</v>
      </c>
    </row>
    <row r="448" spans="1:15" x14ac:dyDescent="0.25">
      <c r="A448" t="s">
        <v>461</v>
      </c>
      <c r="B448">
        <v>526</v>
      </c>
      <c r="C448" s="1" t="str">
        <f>HYPERLINK("http://www.rosaceae.org/gb/gbrowse/malus_x_domestica/?name=MDP0000697530","MDP0000697530")</f>
        <v>MDP0000697530</v>
      </c>
      <c r="D448">
        <v>46.91</v>
      </c>
      <c r="E448">
        <v>584</v>
      </c>
      <c r="F448">
        <v>310</v>
      </c>
      <c r="G448">
        <v>94</v>
      </c>
      <c r="H448">
        <v>1</v>
      </c>
      <c r="I448">
        <v>526</v>
      </c>
      <c r="J448">
        <v>1</v>
      </c>
      <c r="K448">
        <v>1</v>
      </c>
      <c r="L448">
        <v>548</v>
      </c>
      <c r="M448">
        <v>1</v>
      </c>
      <c r="N448">
        <v>2.41257E-113</v>
      </c>
      <c r="O448">
        <v>1044</v>
      </c>
    </row>
    <row r="449" spans="1:15" x14ac:dyDescent="0.25">
      <c r="A449" t="s">
        <v>462</v>
      </c>
      <c r="B449">
        <v>330</v>
      </c>
      <c r="C449" s="1" t="str">
        <f>HYPERLINK("http://www.rosaceae.org/gb/gbrowse/malus_x_domestica/?name=MDP0000520603","MDP0000520603")</f>
        <v>MDP0000520603</v>
      </c>
      <c r="D449">
        <v>28.99</v>
      </c>
      <c r="E449">
        <v>269</v>
      </c>
      <c r="F449">
        <v>191</v>
      </c>
      <c r="G449">
        <v>35</v>
      </c>
      <c r="H449">
        <v>3</v>
      </c>
      <c r="I449">
        <v>254</v>
      </c>
      <c r="J449">
        <v>1</v>
      </c>
      <c r="K449">
        <v>9</v>
      </c>
      <c r="L449">
        <v>259</v>
      </c>
      <c r="M449">
        <v>1</v>
      </c>
      <c r="N449">
        <v>8.5353600000000002E-17</v>
      </c>
      <c r="O449">
        <v>209</v>
      </c>
    </row>
    <row r="450" spans="1:15" x14ac:dyDescent="0.25">
      <c r="A450" t="s">
        <v>463</v>
      </c>
      <c r="B450">
        <v>490</v>
      </c>
      <c r="C450" s="1" t="str">
        <f>HYPERLINK("http://www.rosaceae.org/gb/gbrowse/malus_x_domestica/?name=MDP0000275088","MDP0000275088")</f>
        <v>MDP0000275088</v>
      </c>
      <c r="D450">
        <v>71.900000000000006</v>
      </c>
      <c r="E450">
        <v>242</v>
      </c>
      <c r="F450">
        <v>68</v>
      </c>
      <c r="G450">
        <v>2</v>
      </c>
      <c r="H450">
        <v>27</v>
      </c>
      <c r="I450">
        <v>267</v>
      </c>
      <c r="J450">
        <v>1</v>
      </c>
      <c r="K450">
        <v>32</v>
      </c>
      <c r="L450">
        <v>272</v>
      </c>
      <c r="M450">
        <v>1</v>
      </c>
      <c r="N450">
        <v>4.8812099999999998E-99</v>
      </c>
      <c r="O450">
        <v>920</v>
      </c>
    </row>
    <row r="451" spans="1:15" x14ac:dyDescent="0.25">
      <c r="A451" t="s">
        <v>464</v>
      </c>
      <c r="B451">
        <v>103</v>
      </c>
      <c r="C451" s="1" t="str">
        <f>HYPERLINK("http://www.rosaceae.org/gb/gbrowse/malus_x_domestica/?name=MDP0000336462","MDP0000336462")</f>
        <v>MDP0000336462</v>
      </c>
      <c r="D451">
        <v>100</v>
      </c>
      <c r="E451">
        <v>82</v>
      </c>
      <c r="F451">
        <v>0</v>
      </c>
      <c r="G451">
        <v>0</v>
      </c>
      <c r="H451">
        <v>22</v>
      </c>
      <c r="I451">
        <v>103</v>
      </c>
      <c r="J451">
        <v>1</v>
      </c>
      <c r="K451">
        <v>44</v>
      </c>
      <c r="L451">
        <v>125</v>
      </c>
      <c r="M451">
        <v>1</v>
      </c>
      <c r="N451">
        <v>5.1126299999999996E-41</v>
      </c>
      <c r="O451">
        <v>411</v>
      </c>
    </row>
    <row r="452" spans="1:15" x14ac:dyDescent="0.25">
      <c r="A452" t="s">
        <v>465</v>
      </c>
      <c r="B452">
        <v>136</v>
      </c>
      <c r="C452" s="1" t="str">
        <f>HYPERLINK("http://www.rosaceae.org/gb/gbrowse/malus_x_domestica/?name=MDP0000247050","MDP0000247050")</f>
        <v>MDP0000247050</v>
      </c>
      <c r="D452">
        <v>87.5</v>
      </c>
      <c r="E452">
        <v>96</v>
      </c>
      <c r="F452">
        <v>12</v>
      </c>
      <c r="G452">
        <v>1</v>
      </c>
      <c r="H452">
        <v>23</v>
      </c>
      <c r="I452">
        <v>118</v>
      </c>
      <c r="J452">
        <v>1</v>
      </c>
      <c r="K452">
        <v>552</v>
      </c>
      <c r="L452">
        <v>646</v>
      </c>
      <c r="M452">
        <v>1</v>
      </c>
      <c r="N452">
        <v>1.6799199999999999E-44</v>
      </c>
      <c r="O452">
        <v>442</v>
      </c>
    </row>
    <row r="453" spans="1:15" x14ac:dyDescent="0.25">
      <c r="A453" t="s">
        <v>466</v>
      </c>
      <c r="B453">
        <v>698</v>
      </c>
      <c r="C453" s="1" t="str">
        <f>HYPERLINK("http://www.rosaceae.org/gb/gbrowse/malus_x_domestica/?name=MDP0000047696","MDP0000047696")</f>
        <v>MDP0000047696</v>
      </c>
      <c r="D453">
        <v>84.61</v>
      </c>
      <c r="E453">
        <v>338</v>
      </c>
      <c r="F453">
        <v>52</v>
      </c>
      <c r="G453">
        <v>0</v>
      </c>
      <c r="H453">
        <v>355</v>
      </c>
      <c r="I453">
        <v>692</v>
      </c>
      <c r="J453">
        <v>1</v>
      </c>
      <c r="K453">
        <v>50</v>
      </c>
      <c r="L453">
        <v>387</v>
      </c>
      <c r="M453">
        <v>1</v>
      </c>
      <c r="N453">
        <v>6.5083500000000004E-172</v>
      </c>
      <c r="O453">
        <v>1551</v>
      </c>
    </row>
    <row r="454" spans="1:15" x14ac:dyDescent="0.25">
      <c r="A454" t="s">
        <v>467</v>
      </c>
      <c r="B454">
        <v>271</v>
      </c>
      <c r="C454" s="1" t="str">
        <f>HYPERLINK("http://www.rosaceae.org/gb/gbrowse/malus_x_domestica/?name=MDP0000119066","MDP0000119066")</f>
        <v>MDP0000119066</v>
      </c>
      <c r="D454">
        <v>79.739999999999995</v>
      </c>
      <c r="E454">
        <v>158</v>
      </c>
      <c r="F454">
        <v>32</v>
      </c>
      <c r="G454">
        <v>1</v>
      </c>
      <c r="H454">
        <v>100</v>
      </c>
      <c r="I454">
        <v>256</v>
      </c>
      <c r="J454">
        <v>1</v>
      </c>
      <c r="K454">
        <v>13</v>
      </c>
      <c r="L454">
        <v>170</v>
      </c>
      <c r="M454">
        <v>1</v>
      </c>
      <c r="N454">
        <v>1.37578E-69</v>
      </c>
      <c r="O454">
        <v>664</v>
      </c>
    </row>
    <row r="455" spans="1:15" x14ac:dyDescent="0.25">
      <c r="A455" t="s">
        <v>468</v>
      </c>
      <c r="B455">
        <v>225</v>
      </c>
      <c r="C455" s="1" t="str">
        <f>HYPERLINK("http://www.rosaceae.org/gb/gbrowse/malus_x_domestica/?name=MDP0000348818","MDP0000348818")</f>
        <v>MDP0000348818</v>
      </c>
      <c r="D455">
        <v>70.27</v>
      </c>
      <c r="E455">
        <v>222</v>
      </c>
      <c r="F455">
        <v>66</v>
      </c>
      <c r="G455">
        <v>11</v>
      </c>
      <c r="H455">
        <v>1</v>
      </c>
      <c r="I455">
        <v>211</v>
      </c>
      <c r="J455">
        <v>1</v>
      </c>
      <c r="K455">
        <v>7</v>
      </c>
      <c r="L455">
        <v>228</v>
      </c>
      <c r="M455">
        <v>1</v>
      </c>
      <c r="N455">
        <v>4.7836899999999996E-80</v>
      </c>
      <c r="O455">
        <v>753</v>
      </c>
    </row>
    <row r="456" spans="1:15" x14ac:dyDescent="0.25">
      <c r="A456" t="s">
        <v>469</v>
      </c>
      <c r="B456">
        <v>184</v>
      </c>
      <c r="C456" s="1" t="str">
        <f>HYPERLINK("http://www.rosaceae.org/gb/gbrowse/malus_x_domestica/?name=MDP0000250515","MDP0000250515")</f>
        <v>MDP0000250515</v>
      </c>
      <c r="D456">
        <v>58.16</v>
      </c>
      <c r="E456">
        <v>153</v>
      </c>
      <c r="F456">
        <v>64</v>
      </c>
      <c r="G456">
        <v>0</v>
      </c>
      <c r="H456">
        <v>1</v>
      </c>
      <c r="I456">
        <v>153</v>
      </c>
      <c r="J456">
        <v>1</v>
      </c>
      <c r="K456">
        <v>1</v>
      </c>
      <c r="L456">
        <v>153</v>
      </c>
      <c r="M456">
        <v>1</v>
      </c>
      <c r="N456">
        <v>3.0447099999999998E-52</v>
      </c>
      <c r="O456">
        <v>512</v>
      </c>
    </row>
    <row r="457" spans="1:15" x14ac:dyDescent="0.25">
      <c r="A457" t="s">
        <v>470</v>
      </c>
      <c r="B457">
        <v>220</v>
      </c>
      <c r="C457" s="1" t="str">
        <f>HYPERLINK("http://www.rosaceae.org/gb/gbrowse/malus_x_domestica/?name=MDP0000866270","MDP0000866270")</f>
        <v>MDP0000866270</v>
      </c>
      <c r="D457">
        <v>76</v>
      </c>
      <c r="E457">
        <v>125</v>
      </c>
      <c r="F457">
        <v>30</v>
      </c>
      <c r="G457">
        <v>0</v>
      </c>
      <c r="H457">
        <v>4</v>
      </c>
      <c r="I457">
        <v>128</v>
      </c>
      <c r="J457">
        <v>1</v>
      </c>
      <c r="K457">
        <v>2</v>
      </c>
      <c r="L457">
        <v>126</v>
      </c>
      <c r="M457">
        <v>1</v>
      </c>
      <c r="N457">
        <v>5.0045600000000002E-55</v>
      </c>
      <c r="O457">
        <v>537</v>
      </c>
    </row>
    <row r="458" spans="1:15" x14ac:dyDescent="0.25">
      <c r="A458" t="s">
        <v>471</v>
      </c>
      <c r="B458">
        <v>443</v>
      </c>
      <c r="C458" s="1" t="str">
        <f>HYPERLINK("http://www.rosaceae.org/gb/gbrowse/malus_x_domestica/?name=MDP0000256621","MDP0000256621")</f>
        <v>MDP0000256621</v>
      </c>
      <c r="D458">
        <v>90.47</v>
      </c>
      <c r="E458">
        <v>105</v>
      </c>
      <c r="F458">
        <v>10</v>
      </c>
      <c r="G458">
        <v>1</v>
      </c>
      <c r="H458">
        <v>217</v>
      </c>
      <c r="I458">
        <v>321</v>
      </c>
      <c r="J458">
        <v>1</v>
      </c>
      <c r="K458">
        <v>218</v>
      </c>
      <c r="L458">
        <v>321</v>
      </c>
      <c r="M458">
        <v>1</v>
      </c>
      <c r="N458">
        <v>3.7657999999999998E-53</v>
      </c>
      <c r="O458">
        <v>524</v>
      </c>
    </row>
    <row r="459" spans="1:15" x14ac:dyDescent="0.25">
      <c r="A459" t="s">
        <v>472</v>
      </c>
      <c r="B459">
        <v>356</v>
      </c>
      <c r="C459" s="1" t="str">
        <f>HYPERLINK("http://www.rosaceae.org/gb/gbrowse/malus_x_domestica/?name=MDP0000683814","MDP0000683814")</f>
        <v>MDP0000683814</v>
      </c>
      <c r="D459">
        <v>46.83</v>
      </c>
      <c r="E459">
        <v>363</v>
      </c>
      <c r="F459">
        <v>193</v>
      </c>
      <c r="G459">
        <v>47</v>
      </c>
      <c r="H459">
        <v>1</v>
      </c>
      <c r="I459">
        <v>356</v>
      </c>
      <c r="J459">
        <v>1</v>
      </c>
      <c r="K459">
        <v>1</v>
      </c>
      <c r="L459">
        <v>323</v>
      </c>
      <c r="M459">
        <v>1</v>
      </c>
      <c r="N459">
        <v>1.2536900000000001E-75</v>
      </c>
      <c r="O459">
        <v>717</v>
      </c>
    </row>
    <row r="460" spans="1:15" x14ac:dyDescent="0.25">
      <c r="A460" t="s">
        <v>473</v>
      </c>
      <c r="B460">
        <v>530</v>
      </c>
      <c r="C460" s="1" t="str">
        <f>HYPERLINK("http://www.rosaceae.org/gb/gbrowse/malus_x_domestica/?name=MDP0000231072","MDP0000231072")</f>
        <v>MDP0000231072</v>
      </c>
      <c r="D460">
        <v>40.75</v>
      </c>
      <c r="E460">
        <v>449</v>
      </c>
      <c r="F460">
        <v>266</v>
      </c>
      <c r="G460">
        <v>54</v>
      </c>
      <c r="H460">
        <v>21</v>
      </c>
      <c r="I460">
        <v>441</v>
      </c>
      <c r="J460">
        <v>1</v>
      </c>
      <c r="K460">
        <v>4</v>
      </c>
      <c r="L460">
        <v>426</v>
      </c>
      <c r="M460">
        <v>1</v>
      </c>
      <c r="N460">
        <v>1.24204E-76</v>
      </c>
      <c r="O460">
        <v>728</v>
      </c>
    </row>
    <row r="461" spans="1:15" x14ac:dyDescent="0.25">
      <c r="A461" t="s">
        <v>474</v>
      </c>
      <c r="B461">
        <v>206</v>
      </c>
      <c r="C461" s="1" t="str">
        <f>HYPERLINK("http://www.rosaceae.org/gb/gbrowse/malus_x_domestica/?name=MDP0000304346","MDP0000304346")</f>
        <v>MDP0000304346</v>
      </c>
      <c r="D461">
        <v>59.43</v>
      </c>
      <c r="E461">
        <v>212</v>
      </c>
      <c r="F461">
        <v>86</v>
      </c>
      <c r="G461">
        <v>11</v>
      </c>
      <c r="H461">
        <v>1</v>
      </c>
      <c r="I461">
        <v>206</v>
      </c>
      <c r="J461">
        <v>1</v>
      </c>
      <c r="K461">
        <v>648</v>
      </c>
      <c r="L461">
        <v>854</v>
      </c>
      <c r="M461">
        <v>1</v>
      </c>
      <c r="N461">
        <v>1.0291E-50</v>
      </c>
      <c r="O461">
        <v>499</v>
      </c>
    </row>
    <row r="462" spans="1:15" x14ac:dyDescent="0.25">
      <c r="A462" t="s">
        <v>475</v>
      </c>
      <c r="B462">
        <v>1095</v>
      </c>
      <c r="C462" s="1" t="str">
        <f>HYPERLINK("http://www.rosaceae.org/gb/gbrowse/malus_x_domestica/?name=MDP0000480237","MDP0000480237")</f>
        <v>MDP0000480237</v>
      </c>
      <c r="D462">
        <v>81.209999999999994</v>
      </c>
      <c r="E462">
        <v>1070</v>
      </c>
      <c r="F462">
        <v>201</v>
      </c>
      <c r="G462">
        <v>17</v>
      </c>
      <c r="H462">
        <v>43</v>
      </c>
      <c r="I462">
        <v>1095</v>
      </c>
      <c r="J462">
        <v>1</v>
      </c>
      <c r="K462">
        <v>28</v>
      </c>
      <c r="L462">
        <v>1097</v>
      </c>
      <c r="M462">
        <v>1</v>
      </c>
      <c r="N462">
        <v>0</v>
      </c>
      <c r="O462">
        <v>4615</v>
      </c>
    </row>
    <row r="463" spans="1:15" x14ac:dyDescent="0.25">
      <c r="A463" t="s">
        <v>476</v>
      </c>
      <c r="B463">
        <v>525</v>
      </c>
      <c r="C463" s="1" t="str">
        <f>HYPERLINK("http://www.rosaceae.org/gb/gbrowse/malus_x_domestica/?name=MDP0000169621","MDP0000169621")</f>
        <v>MDP0000169621</v>
      </c>
      <c r="D463">
        <v>74.680000000000007</v>
      </c>
      <c r="E463">
        <v>478</v>
      </c>
      <c r="F463">
        <v>121</v>
      </c>
      <c r="G463">
        <v>7</v>
      </c>
      <c r="H463">
        <v>48</v>
      </c>
      <c r="I463">
        <v>525</v>
      </c>
      <c r="J463">
        <v>1</v>
      </c>
      <c r="K463">
        <v>1</v>
      </c>
      <c r="L463">
        <v>471</v>
      </c>
      <c r="M463">
        <v>1</v>
      </c>
      <c r="N463">
        <v>0</v>
      </c>
      <c r="O463">
        <v>1859</v>
      </c>
    </row>
    <row r="464" spans="1:15" x14ac:dyDescent="0.25">
      <c r="A464" t="s">
        <v>477</v>
      </c>
      <c r="B464">
        <v>489</v>
      </c>
      <c r="C464" s="1" t="str">
        <f>HYPERLINK("http://www.rosaceae.org/gb/gbrowse/malus_x_domestica/?name=MDP0000124626","MDP0000124626")</f>
        <v>MDP0000124626</v>
      </c>
      <c r="D464">
        <v>42.38</v>
      </c>
      <c r="E464">
        <v>486</v>
      </c>
      <c r="F464">
        <v>280</v>
      </c>
      <c r="G464">
        <v>15</v>
      </c>
      <c r="H464">
        <v>1</v>
      </c>
      <c r="I464">
        <v>479</v>
      </c>
      <c r="J464">
        <v>1</v>
      </c>
      <c r="K464">
        <v>1</v>
      </c>
      <c r="L464">
        <v>478</v>
      </c>
      <c r="M464">
        <v>1</v>
      </c>
      <c r="N464">
        <v>2.75009E-112</v>
      </c>
      <c r="O464">
        <v>1035</v>
      </c>
    </row>
    <row r="465" spans="1:15" x14ac:dyDescent="0.25">
      <c r="A465" t="s">
        <v>478</v>
      </c>
      <c r="B465">
        <v>494</v>
      </c>
      <c r="C465" s="1" t="str">
        <f>HYPERLINK("http://www.rosaceae.org/gb/gbrowse/malus_x_domestica/?name=MDP0000142512","MDP0000142512")</f>
        <v>MDP0000142512</v>
      </c>
      <c r="D465">
        <v>81.78</v>
      </c>
      <c r="E465">
        <v>549</v>
      </c>
      <c r="F465">
        <v>100</v>
      </c>
      <c r="G465">
        <v>58</v>
      </c>
      <c r="H465">
        <v>1</v>
      </c>
      <c r="I465">
        <v>494</v>
      </c>
      <c r="J465">
        <v>1</v>
      </c>
      <c r="K465">
        <v>1</v>
      </c>
      <c r="L465">
        <v>546</v>
      </c>
      <c r="M465">
        <v>1</v>
      </c>
      <c r="N465">
        <v>0</v>
      </c>
      <c r="O465">
        <v>2315</v>
      </c>
    </row>
    <row r="466" spans="1:15" x14ac:dyDescent="0.25">
      <c r="A466" t="s">
        <v>479</v>
      </c>
      <c r="B466">
        <v>189</v>
      </c>
      <c r="C466" s="1" t="str">
        <f>HYPERLINK("http://www.rosaceae.org/gb/gbrowse/malus_x_domestica/?name=MDP0000219819","MDP0000219819")</f>
        <v>MDP0000219819</v>
      </c>
      <c r="D466">
        <v>71.73</v>
      </c>
      <c r="E466">
        <v>184</v>
      </c>
      <c r="F466">
        <v>52</v>
      </c>
      <c r="G466">
        <v>2</v>
      </c>
      <c r="H466">
        <v>8</v>
      </c>
      <c r="I466">
        <v>189</v>
      </c>
      <c r="J466">
        <v>1</v>
      </c>
      <c r="K466">
        <v>7</v>
      </c>
      <c r="L466">
        <v>190</v>
      </c>
      <c r="M466">
        <v>1</v>
      </c>
      <c r="N466">
        <v>1.0052600000000001E-74</v>
      </c>
      <c r="O466">
        <v>706</v>
      </c>
    </row>
    <row r="467" spans="1:15" x14ac:dyDescent="0.25">
      <c r="A467" t="s">
        <v>480</v>
      </c>
      <c r="B467">
        <v>195</v>
      </c>
      <c r="C467" s="1" t="str">
        <f>HYPERLINK("http://www.rosaceae.org/gb/gbrowse/malus_x_domestica/?name=MDP0000282782","MDP0000282782")</f>
        <v>MDP0000282782</v>
      </c>
      <c r="D467">
        <v>74.05</v>
      </c>
      <c r="E467">
        <v>158</v>
      </c>
      <c r="F467">
        <v>41</v>
      </c>
      <c r="G467">
        <v>9</v>
      </c>
      <c r="H467">
        <v>45</v>
      </c>
      <c r="I467">
        <v>194</v>
      </c>
      <c r="J467">
        <v>1</v>
      </c>
      <c r="K467">
        <v>1786</v>
      </c>
      <c r="L467">
        <v>1942</v>
      </c>
      <c r="M467">
        <v>1</v>
      </c>
      <c r="N467">
        <v>1.5411400000000001E-58</v>
      </c>
      <c r="O467">
        <v>566</v>
      </c>
    </row>
    <row r="468" spans="1:15" x14ac:dyDescent="0.25">
      <c r="A468" t="s">
        <v>481</v>
      </c>
      <c r="B468">
        <v>637</v>
      </c>
      <c r="C468" s="1" t="str">
        <f>HYPERLINK("http://www.rosaceae.org/gb/gbrowse/malus_x_domestica/?name=MDP0000685186","MDP0000685186")</f>
        <v>MDP0000685186</v>
      </c>
      <c r="D468">
        <v>70.95</v>
      </c>
      <c r="E468">
        <v>637</v>
      </c>
      <c r="F468">
        <v>185</v>
      </c>
      <c r="G468">
        <v>14</v>
      </c>
      <c r="H468">
        <v>1</v>
      </c>
      <c r="I468">
        <v>625</v>
      </c>
      <c r="J468">
        <v>1</v>
      </c>
      <c r="K468">
        <v>1</v>
      </c>
      <c r="L468">
        <v>635</v>
      </c>
      <c r="M468">
        <v>1</v>
      </c>
      <c r="N468">
        <v>0</v>
      </c>
      <c r="O468">
        <v>2419</v>
      </c>
    </row>
    <row r="469" spans="1:15" x14ac:dyDescent="0.25">
      <c r="A469" t="s">
        <v>482</v>
      </c>
      <c r="B469">
        <v>644</v>
      </c>
      <c r="C469" s="1" t="str">
        <f>HYPERLINK("http://www.rosaceae.org/gb/gbrowse/malus_x_domestica/?name=MDP0000301441","MDP0000301441")</f>
        <v>MDP0000301441</v>
      </c>
      <c r="D469">
        <v>86.44</v>
      </c>
      <c r="E469">
        <v>118</v>
      </c>
      <c r="F469">
        <v>16</v>
      </c>
      <c r="G469">
        <v>0</v>
      </c>
      <c r="H469">
        <v>59</v>
      </c>
      <c r="I469">
        <v>176</v>
      </c>
      <c r="J469">
        <v>1</v>
      </c>
      <c r="K469">
        <v>154</v>
      </c>
      <c r="L469">
        <v>271</v>
      </c>
      <c r="M469">
        <v>1</v>
      </c>
      <c r="N469">
        <v>1.2221599999999999E-54</v>
      </c>
      <c r="O469">
        <v>539</v>
      </c>
    </row>
    <row r="470" spans="1:15" x14ac:dyDescent="0.25">
      <c r="A470" t="s">
        <v>483</v>
      </c>
      <c r="B470">
        <v>158</v>
      </c>
      <c r="C470" s="1" t="str">
        <f>HYPERLINK("http://www.rosaceae.org/gb/gbrowse/malus_x_domestica/?name=MDP0000273855","MDP0000273855")</f>
        <v>MDP0000273855</v>
      </c>
      <c r="D470">
        <v>55.69</v>
      </c>
      <c r="E470">
        <v>79</v>
      </c>
      <c r="F470">
        <v>35</v>
      </c>
      <c r="G470">
        <v>2</v>
      </c>
      <c r="H470">
        <v>81</v>
      </c>
      <c r="I470">
        <v>158</v>
      </c>
      <c r="J470">
        <v>1</v>
      </c>
      <c r="K470">
        <v>592</v>
      </c>
      <c r="L470">
        <v>669</v>
      </c>
      <c r="M470">
        <v>1</v>
      </c>
      <c r="N470">
        <v>3.1313799999999999E-18</v>
      </c>
      <c r="O470">
        <v>217</v>
      </c>
    </row>
    <row r="471" spans="1:15" x14ac:dyDescent="0.25">
      <c r="A471" t="s">
        <v>484</v>
      </c>
      <c r="B471">
        <v>215</v>
      </c>
      <c r="C471" s="1" t="str">
        <f>HYPERLINK("http://www.rosaceae.org/gb/gbrowse/malus_x_domestica/?name=MDP0000235688","MDP0000235688")</f>
        <v>MDP0000235688</v>
      </c>
      <c r="D471">
        <v>72.02</v>
      </c>
      <c r="E471">
        <v>168</v>
      </c>
      <c r="F471">
        <v>47</v>
      </c>
      <c r="G471">
        <v>2</v>
      </c>
      <c r="H471">
        <v>49</v>
      </c>
      <c r="I471">
        <v>215</v>
      </c>
      <c r="J471">
        <v>1</v>
      </c>
      <c r="K471">
        <v>87</v>
      </c>
      <c r="L471">
        <v>253</v>
      </c>
      <c r="M471">
        <v>1</v>
      </c>
      <c r="N471">
        <v>1.6026200000000001E-67</v>
      </c>
      <c r="O471">
        <v>644</v>
      </c>
    </row>
    <row r="472" spans="1:15" x14ac:dyDescent="0.25">
      <c r="A472" t="s">
        <v>485</v>
      </c>
      <c r="B472">
        <v>335</v>
      </c>
      <c r="C472" s="1" t="str">
        <f>HYPERLINK("http://www.rosaceae.org/gb/gbrowse/malus_x_domestica/?name=MDP0000561267","MDP0000561267")</f>
        <v>MDP0000561267</v>
      </c>
      <c r="D472">
        <v>40.78</v>
      </c>
      <c r="E472">
        <v>380</v>
      </c>
      <c r="F472">
        <v>225</v>
      </c>
      <c r="G472">
        <v>59</v>
      </c>
      <c r="H472">
        <v>1</v>
      </c>
      <c r="I472">
        <v>324</v>
      </c>
      <c r="J472">
        <v>1</v>
      </c>
      <c r="K472">
        <v>1</v>
      </c>
      <c r="L472">
        <v>377</v>
      </c>
      <c r="M472">
        <v>1</v>
      </c>
      <c r="N472">
        <v>1.3617799999999999E-63</v>
      </c>
      <c r="O472">
        <v>613</v>
      </c>
    </row>
    <row r="473" spans="1:15" x14ac:dyDescent="0.25">
      <c r="A473" t="s">
        <v>486</v>
      </c>
      <c r="B473">
        <v>175</v>
      </c>
      <c r="C473" s="1" t="str">
        <f>HYPERLINK("http://www.rosaceae.org/gb/gbrowse/malus_x_domestica/?name=MDP0000608645","MDP0000608645")</f>
        <v>MDP0000608645</v>
      </c>
      <c r="D473">
        <v>53.33</v>
      </c>
      <c r="E473">
        <v>60</v>
      </c>
      <c r="F473">
        <v>28</v>
      </c>
      <c r="G473">
        <v>0</v>
      </c>
      <c r="H473">
        <v>22</v>
      </c>
      <c r="I473">
        <v>81</v>
      </c>
      <c r="J473">
        <v>1</v>
      </c>
      <c r="K473">
        <v>125</v>
      </c>
      <c r="L473">
        <v>184</v>
      </c>
      <c r="M473">
        <v>1</v>
      </c>
      <c r="N473">
        <v>7.0874300000000002E-12</v>
      </c>
      <c r="O473">
        <v>163</v>
      </c>
    </row>
    <row r="474" spans="1:15" x14ac:dyDescent="0.25">
      <c r="A474" t="s">
        <v>487</v>
      </c>
      <c r="B474">
        <v>180</v>
      </c>
      <c r="C474" s="1" t="str">
        <f>HYPERLINK("http://www.rosaceae.org/gb/gbrowse/malus_x_domestica/?name=MDP0000716623","MDP0000716623")</f>
        <v>MDP0000716623</v>
      </c>
      <c r="D474">
        <v>70.47</v>
      </c>
      <c r="E474">
        <v>210</v>
      </c>
      <c r="F474">
        <v>62</v>
      </c>
      <c r="G474">
        <v>30</v>
      </c>
      <c r="H474">
        <v>1</v>
      </c>
      <c r="I474">
        <v>180</v>
      </c>
      <c r="J474">
        <v>1</v>
      </c>
      <c r="K474">
        <v>131</v>
      </c>
      <c r="L474">
        <v>340</v>
      </c>
      <c r="M474">
        <v>1</v>
      </c>
      <c r="N474">
        <v>5.85924E-78</v>
      </c>
      <c r="O474">
        <v>733</v>
      </c>
    </row>
    <row r="475" spans="1:15" x14ac:dyDescent="0.25">
      <c r="A475" t="s">
        <v>488</v>
      </c>
      <c r="B475">
        <v>507</v>
      </c>
      <c r="C475" s="1" t="str">
        <f>HYPERLINK("http://www.rosaceae.org/gb/gbrowse/malus_x_domestica/?name=MDP0000771351","MDP0000771351")</f>
        <v>MDP0000771351</v>
      </c>
      <c r="D475">
        <v>90.99</v>
      </c>
      <c r="E475">
        <v>433</v>
      </c>
      <c r="F475">
        <v>39</v>
      </c>
      <c r="G475">
        <v>0</v>
      </c>
      <c r="H475">
        <v>75</v>
      </c>
      <c r="I475">
        <v>507</v>
      </c>
      <c r="J475">
        <v>1</v>
      </c>
      <c r="K475">
        <v>1</v>
      </c>
      <c r="L475">
        <v>433</v>
      </c>
      <c r="M475">
        <v>1</v>
      </c>
      <c r="N475">
        <v>0</v>
      </c>
      <c r="O475">
        <v>2094</v>
      </c>
    </row>
    <row r="476" spans="1:15" x14ac:dyDescent="0.25">
      <c r="A476" t="s">
        <v>489</v>
      </c>
      <c r="B476">
        <v>250</v>
      </c>
      <c r="C476" s="1" t="str">
        <f>HYPERLINK("http://www.rosaceae.org/gb/gbrowse/malus_x_domestica/?name=MDP0000184081","MDP0000184081")</f>
        <v>MDP0000184081</v>
      </c>
      <c r="D476">
        <v>68.72</v>
      </c>
      <c r="E476">
        <v>275</v>
      </c>
      <c r="F476">
        <v>86</v>
      </c>
      <c r="G476">
        <v>45</v>
      </c>
      <c r="H476">
        <v>1</v>
      </c>
      <c r="I476">
        <v>233</v>
      </c>
      <c r="J476">
        <v>1</v>
      </c>
      <c r="K476">
        <v>1</v>
      </c>
      <c r="L476">
        <v>272</v>
      </c>
      <c r="M476">
        <v>1</v>
      </c>
      <c r="N476">
        <v>3.2848300000000001E-99</v>
      </c>
      <c r="O476">
        <v>919</v>
      </c>
    </row>
    <row r="477" spans="1:15" x14ac:dyDescent="0.25">
      <c r="A477" t="s">
        <v>490</v>
      </c>
      <c r="B477">
        <v>261</v>
      </c>
      <c r="C477" s="1" t="str">
        <f>HYPERLINK("http://www.rosaceae.org/gb/gbrowse/malus_x_domestica/?name=MDP0000262664","MDP0000262664")</f>
        <v>MDP0000262664</v>
      </c>
      <c r="D477">
        <v>58.69</v>
      </c>
      <c r="E477">
        <v>46</v>
      </c>
      <c r="F477">
        <v>19</v>
      </c>
      <c r="G477">
        <v>0</v>
      </c>
      <c r="H477">
        <v>17</v>
      </c>
      <c r="I477">
        <v>62</v>
      </c>
      <c r="J477">
        <v>1</v>
      </c>
      <c r="K477">
        <v>637</v>
      </c>
      <c r="L477">
        <v>682</v>
      </c>
      <c r="M477">
        <v>1</v>
      </c>
      <c r="N477">
        <v>8.4798800000000003E-9</v>
      </c>
      <c r="O477">
        <v>139</v>
      </c>
    </row>
    <row r="478" spans="1:15" x14ac:dyDescent="0.25">
      <c r="A478" t="s">
        <v>491</v>
      </c>
      <c r="B478">
        <v>732</v>
      </c>
      <c r="C478" s="1" t="str">
        <f>HYPERLINK("http://www.rosaceae.org/gb/gbrowse/malus_x_domestica/?name=MDP0000787916","MDP0000787916")</f>
        <v>MDP0000787916</v>
      </c>
      <c r="D478">
        <v>82.72</v>
      </c>
      <c r="E478">
        <v>359</v>
      </c>
      <c r="F478">
        <v>62</v>
      </c>
      <c r="G478">
        <v>24</v>
      </c>
      <c r="H478">
        <v>1</v>
      </c>
      <c r="I478">
        <v>354</v>
      </c>
      <c r="J478">
        <v>1</v>
      </c>
      <c r="K478">
        <v>1</v>
      </c>
      <c r="L478">
        <v>340</v>
      </c>
      <c r="M478">
        <v>1</v>
      </c>
      <c r="N478">
        <v>3.6339800000000002E-170</v>
      </c>
      <c r="O478">
        <v>1536</v>
      </c>
    </row>
    <row r="479" spans="1:15" x14ac:dyDescent="0.25">
      <c r="A479" t="s">
        <v>492</v>
      </c>
      <c r="B479">
        <v>390</v>
      </c>
      <c r="C479" s="1" t="str">
        <f>HYPERLINK("http://www.rosaceae.org/gb/gbrowse/malus_x_domestica/?name=MDP0000301789","MDP0000301789")</f>
        <v>MDP0000301789</v>
      </c>
      <c r="D479">
        <v>91.76</v>
      </c>
      <c r="E479">
        <v>340</v>
      </c>
      <c r="F479">
        <v>28</v>
      </c>
      <c r="G479">
        <v>0</v>
      </c>
      <c r="H479">
        <v>50</v>
      </c>
      <c r="I479">
        <v>389</v>
      </c>
      <c r="J479">
        <v>1</v>
      </c>
      <c r="K479">
        <v>1</v>
      </c>
      <c r="L479">
        <v>340</v>
      </c>
      <c r="M479">
        <v>1</v>
      </c>
      <c r="N479">
        <v>0</v>
      </c>
      <c r="O479">
        <v>1702</v>
      </c>
    </row>
    <row r="480" spans="1:15" x14ac:dyDescent="0.25">
      <c r="A480" t="s">
        <v>493</v>
      </c>
      <c r="B480">
        <v>909</v>
      </c>
      <c r="C480" s="1" t="str">
        <f>HYPERLINK("http://www.rosaceae.org/gb/gbrowse/malus_x_domestica/?name=MDP0000792856","MDP0000792856")</f>
        <v>MDP0000792856</v>
      </c>
      <c r="D480">
        <v>54.06</v>
      </c>
      <c r="E480">
        <v>873</v>
      </c>
      <c r="F480">
        <v>401</v>
      </c>
      <c r="G480">
        <v>16</v>
      </c>
      <c r="H480">
        <v>42</v>
      </c>
      <c r="I480">
        <v>898</v>
      </c>
      <c r="J480">
        <v>1</v>
      </c>
      <c r="K480">
        <v>29</v>
      </c>
      <c r="L480">
        <v>901</v>
      </c>
      <c r="M480">
        <v>1</v>
      </c>
      <c r="N480">
        <v>0</v>
      </c>
      <c r="O480">
        <v>2222</v>
      </c>
    </row>
    <row r="481" spans="1:15" x14ac:dyDescent="0.25">
      <c r="A481" t="s">
        <v>494</v>
      </c>
      <c r="B481">
        <v>297</v>
      </c>
      <c r="C481" s="1" t="str">
        <f>HYPERLINK("http://www.rosaceae.org/gb/gbrowse/malus_x_domestica/?name=MDP0000128854","MDP0000128854")</f>
        <v>MDP0000128854</v>
      </c>
      <c r="D481">
        <v>50</v>
      </c>
      <c r="E481">
        <v>80</v>
      </c>
      <c r="F481">
        <v>40</v>
      </c>
      <c r="G481">
        <v>0</v>
      </c>
      <c r="H481">
        <v>216</v>
      </c>
      <c r="I481">
        <v>295</v>
      </c>
      <c r="J481">
        <v>1</v>
      </c>
      <c r="K481">
        <v>310</v>
      </c>
      <c r="L481">
        <v>389</v>
      </c>
      <c r="M481">
        <v>1</v>
      </c>
      <c r="N481">
        <v>1.7814000000000001E-15</v>
      </c>
      <c r="O481">
        <v>197</v>
      </c>
    </row>
    <row r="482" spans="1:15" x14ac:dyDescent="0.25">
      <c r="A482" t="s">
        <v>495</v>
      </c>
      <c r="B482">
        <v>362</v>
      </c>
      <c r="C482" s="1" t="str">
        <f>HYPERLINK("http://www.rosaceae.org/gb/gbrowse/malus_x_domestica/?name=MDP0000322059","MDP0000322059")</f>
        <v>MDP0000322059</v>
      </c>
      <c r="D482">
        <v>70.47</v>
      </c>
      <c r="E482">
        <v>210</v>
      </c>
      <c r="F482">
        <v>62</v>
      </c>
      <c r="G482">
        <v>14</v>
      </c>
      <c r="H482">
        <v>43</v>
      </c>
      <c r="I482">
        <v>241</v>
      </c>
      <c r="J482">
        <v>1</v>
      </c>
      <c r="K482">
        <v>922</v>
      </c>
      <c r="L482">
        <v>1128</v>
      </c>
      <c r="M482">
        <v>1</v>
      </c>
      <c r="N482">
        <v>1.1245400000000001E-71</v>
      </c>
      <c r="O482">
        <v>683</v>
      </c>
    </row>
    <row r="483" spans="1:15" x14ac:dyDescent="0.25">
      <c r="A483" t="s">
        <v>496</v>
      </c>
      <c r="B483">
        <v>455</v>
      </c>
      <c r="C483" s="1" t="str">
        <f>HYPERLINK("http://www.rosaceae.org/gb/gbrowse/malus_x_domestica/?name=MDP0000262910","MDP0000262910")</f>
        <v>MDP0000262910</v>
      </c>
      <c r="D483">
        <v>66.31</v>
      </c>
      <c r="E483">
        <v>282</v>
      </c>
      <c r="F483">
        <v>95</v>
      </c>
      <c r="G483">
        <v>24</v>
      </c>
      <c r="H483">
        <v>166</v>
      </c>
      <c r="I483">
        <v>424</v>
      </c>
      <c r="J483">
        <v>1</v>
      </c>
      <c r="K483">
        <v>263</v>
      </c>
      <c r="L483">
        <v>543</v>
      </c>
      <c r="M483">
        <v>1</v>
      </c>
      <c r="N483">
        <v>2.5133200000000001E-101</v>
      </c>
      <c r="O483">
        <v>940</v>
      </c>
    </row>
    <row r="484" spans="1:15" x14ac:dyDescent="0.25">
      <c r="A484" t="s">
        <v>497</v>
      </c>
      <c r="B484">
        <v>543</v>
      </c>
      <c r="C484" s="1" t="str">
        <f>HYPERLINK("http://www.rosaceae.org/gb/gbrowse/malus_x_domestica/?name=MDP0000122039","MDP0000122039")</f>
        <v>MDP0000122039</v>
      </c>
      <c r="D484">
        <v>75.39</v>
      </c>
      <c r="E484">
        <v>382</v>
      </c>
      <c r="F484">
        <v>94</v>
      </c>
      <c r="G484">
        <v>38</v>
      </c>
      <c r="H484">
        <v>164</v>
      </c>
      <c r="I484">
        <v>543</v>
      </c>
      <c r="J484">
        <v>1</v>
      </c>
      <c r="K484">
        <v>1</v>
      </c>
      <c r="L484">
        <v>346</v>
      </c>
      <c r="M484">
        <v>1</v>
      </c>
      <c r="N484">
        <v>5.7409399999999998E-167</v>
      </c>
      <c r="O484">
        <v>1507</v>
      </c>
    </row>
    <row r="485" spans="1:15" x14ac:dyDescent="0.25">
      <c r="A485" t="s">
        <v>498</v>
      </c>
      <c r="B485">
        <v>461</v>
      </c>
      <c r="C485" s="1" t="str">
        <f>HYPERLINK("http://www.rosaceae.org/gb/gbrowse/malus_x_domestica/?name=MDP0000250047","MDP0000250047")</f>
        <v>MDP0000250047</v>
      </c>
      <c r="D485">
        <v>72.069999999999993</v>
      </c>
      <c r="E485">
        <v>462</v>
      </c>
      <c r="F485">
        <v>129</v>
      </c>
      <c r="G485">
        <v>10</v>
      </c>
      <c r="H485">
        <v>1</v>
      </c>
      <c r="I485">
        <v>458</v>
      </c>
      <c r="J485">
        <v>1</v>
      </c>
      <c r="K485">
        <v>50</v>
      </c>
      <c r="L485">
        <v>505</v>
      </c>
      <c r="M485">
        <v>1</v>
      </c>
      <c r="N485">
        <v>0</v>
      </c>
      <c r="O485">
        <v>1780</v>
      </c>
    </row>
    <row r="486" spans="1:15" x14ac:dyDescent="0.25">
      <c r="A486" t="s">
        <v>499</v>
      </c>
      <c r="B486">
        <v>223</v>
      </c>
      <c r="C486" s="1" t="str">
        <f>HYPERLINK("http://www.rosaceae.org/gb/gbrowse/malus_x_domestica/?name=MDP0000940098","MDP0000940098")</f>
        <v>MDP0000940098</v>
      </c>
      <c r="D486">
        <v>45.74</v>
      </c>
      <c r="E486">
        <v>94</v>
      </c>
      <c r="F486">
        <v>51</v>
      </c>
      <c r="G486">
        <v>8</v>
      </c>
      <c r="H486">
        <v>1</v>
      </c>
      <c r="I486">
        <v>86</v>
      </c>
      <c r="J486">
        <v>1</v>
      </c>
      <c r="K486">
        <v>61</v>
      </c>
      <c r="L486">
        <v>154</v>
      </c>
      <c r="M486">
        <v>1</v>
      </c>
      <c r="N486">
        <v>9.3558900000000008E-13</v>
      </c>
      <c r="O486">
        <v>172</v>
      </c>
    </row>
    <row r="487" spans="1:15" x14ac:dyDescent="0.25">
      <c r="A487" t="s">
        <v>500</v>
      </c>
      <c r="B487">
        <v>507</v>
      </c>
      <c r="C487" s="1" t="str">
        <f>HYPERLINK("http://www.rosaceae.org/gb/gbrowse/malus_x_domestica/?name=MDP0000282789","MDP0000282789")</f>
        <v>MDP0000282789</v>
      </c>
      <c r="D487">
        <v>69.33</v>
      </c>
      <c r="E487">
        <v>499</v>
      </c>
      <c r="F487">
        <v>153</v>
      </c>
      <c r="G487">
        <v>2</v>
      </c>
      <c r="H487">
        <v>5</v>
      </c>
      <c r="I487">
        <v>502</v>
      </c>
      <c r="J487">
        <v>1</v>
      </c>
      <c r="K487">
        <v>11</v>
      </c>
      <c r="L487">
        <v>508</v>
      </c>
      <c r="M487">
        <v>1</v>
      </c>
      <c r="N487">
        <v>0</v>
      </c>
      <c r="O487">
        <v>1793</v>
      </c>
    </row>
    <row r="488" spans="1:15" x14ac:dyDescent="0.25">
      <c r="A488" t="s">
        <v>501</v>
      </c>
      <c r="B488">
        <v>114</v>
      </c>
      <c r="C488" s="1" t="str">
        <f>HYPERLINK("http://www.rosaceae.org/gb/gbrowse/malus_x_domestica/?name=MDP0000169367","MDP0000169367")</f>
        <v>MDP0000169367</v>
      </c>
      <c r="D488">
        <v>53.27</v>
      </c>
      <c r="E488">
        <v>107</v>
      </c>
      <c r="F488">
        <v>50</v>
      </c>
      <c r="G488">
        <v>7</v>
      </c>
      <c r="H488">
        <v>1</v>
      </c>
      <c r="I488">
        <v>107</v>
      </c>
      <c r="J488">
        <v>1</v>
      </c>
      <c r="K488">
        <v>137</v>
      </c>
      <c r="L488">
        <v>236</v>
      </c>
      <c r="M488">
        <v>1</v>
      </c>
      <c r="N488">
        <v>8.6652799999999994E-27</v>
      </c>
      <c r="O488">
        <v>288</v>
      </c>
    </row>
    <row r="489" spans="1:15" x14ac:dyDescent="0.25">
      <c r="A489" t="s">
        <v>502</v>
      </c>
      <c r="B489">
        <v>164</v>
      </c>
      <c r="C489" s="1" t="str">
        <f>HYPERLINK("http://www.rosaceae.org/gb/gbrowse/malus_x_domestica/?name=MDP0000479186","MDP0000479186")</f>
        <v>MDP0000479186</v>
      </c>
      <c r="D489">
        <v>54.71</v>
      </c>
      <c r="E489">
        <v>106</v>
      </c>
      <c r="F489">
        <v>48</v>
      </c>
      <c r="G489">
        <v>7</v>
      </c>
      <c r="H489">
        <v>14</v>
      </c>
      <c r="I489">
        <v>113</v>
      </c>
      <c r="J489">
        <v>1</v>
      </c>
      <c r="K489">
        <v>15</v>
      </c>
      <c r="L489">
        <v>119</v>
      </c>
      <c r="M489">
        <v>1</v>
      </c>
      <c r="N489">
        <v>1.22602E-21</v>
      </c>
      <c r="O489">
        <v>247</v>
      </c>
    </row>
    <row r="490" spans="1:15" x14ac:dyDescent="0.25">
      <c r="A490" t="s">
        <v>503</v>
      </c>
      <c r="B490">
        <v>137</v>
      </c>
      <c r="C490" s="1" t="str">
        <f>HYPERLINK("http://www.rosaceae.org/gb/gbrowse/malus_x_domestica/?name=MDP0000250456","MDP0000250456")</f>
        <v>MDP0000250456</v>
      </c>
      <c r="D490">
        <v>76.22</v>
      </c>
      <c r="E490">
        <v>143</v>
      </c>
      <c r="F490">
        <v>34</v>
      </c>
      <c r="G490">
        <v>6</v>
      </c>
      <c r="H490">
        <v>1</v>
      </c>
      <c r="I490">
        <v>137</v>
      </c>
      <c r="J490">
        <v>1</v>
      </c>
      <c r="K490">
        <v>342</v>
      </c>
      <c r="L490">
        <v>484</v>
      </c>
      <c r="M490">
        <v>1</v>
      </c>
      <c r="N490">
        <v>8.8438399999999995E-62</v>
      </c>
      <c r="O490">
        <v>591</v>
      </c>
    </row>
    <row r="491" spans="1:15" x14ac:dyDescent="0.25">
      <c r="A491" t="s">
        <v>504</v>
      </c>
      <c r="B491">
        <v>256</v>
      </c>
      <c r="C491" s="1" t="str">
        <f>HYPERLINK("http://www.rosaceae.org/gb/gbrowse/malus_x_domestica/?name=MDP0000889191","MDP0000889191")</f>
        <v>MDP0000889191</v>
      </c>
      <c r="D491">
        <v>49.79</v>
      </c>
      <c r="E491">
        <v>247</v>
      </c>
      <c r="F491">
        <v>124</v>
      </c>
      <c r="G491">
        <v>12</v>
      </c>
      <c r="H491">
        <v>8</v>
      </c>
      <c r="I491">
        <v>253</v>
      </c>
      <c r="J491">
        <v>1</v>
      </c>
      <c r="K491">
        <v>6</v>
      </c>
      <c r="L491">
        <v>241</v>
      </c>
      <c r="M491">
        <v>1</v>
      </c>
      <c r="N491">
        <v>5.3348700000000001E-59</v>
      </c>
      <c r="O491">
        <v>572</v>
      </c>
    </row>
    <row r="492" spans="1:15" x14ac:dyDescent="0.25">
      <c r="A492" t="s">
        <v>505</v>
      </c>
      <c r="B492">
        <v>257</v>
      </c>
      <c r="C492" s="1" t="str">
        <f>HYPERLINK("http://www.rosaceae.org/gb/gbrowse/malus_x_domestica/?name=MDP0000414786","MDP0000414786")</f>
        <v>MDP0000414786</v>
      </c>
      <c r="D492">
        <v>37.42</v>
      </c>
      <c r="E492">
        <v>326</v>
      </c>
      <c r="F492">
        <v>204</v>
      </c>
      <c r="G492">
        <v>75</v>
      </c>
      <c r="H492">
        <v>2</v>
      </c>
      <c r="I492">
        <v>253</v>
      </c>
      <c r="J492">
        <v>1</v>
      </c>
      <c r="K492">
        <v>467</v>
      </c>
      <c r="L492">
        <v>791</v>
      </c>
      <c r="M492">
        <v>1</v>
      </c>
      <c r="N492">
        <v>1.0937900000000001E-50</v>
      </c>
      <c r="O492">
        <v>500</v>
      </c>
    </row>
    <row r="493" spans="1:15" x14ac:dyDescent="0.25">
      <c r="A493" t="s">
        <v>506</v>
      </c>
      <c r="B493">
        <v>99</v>
      </c>
      <c r="C493" s="1" t="str">
        <f>HYPERLINK("http://www.rosaceae.org/gb/gbrowse/malus_x_domestica/?name=MDP0000777415","MDP0000777415")</f>
        <v>MDP0000777415</v>
      </c>
      <c r="D493">
        <v>46.76</v>
      </c>
      <c r="E493">
        <v>139</v>
      </c>
      <c r="F493">
        <v>74</v>
      </c>
      <c r="G493">
        <v>45</v>
      </c>
      <c r="H493">
        <v>1</v>
      </c>
      <c r="I493">
        <v>94</v>
      </c>
      <c r="J493">
        <v>1</v>
      </c>
      <c r="K493">
        <v>261</v>
      </c>
      <c r="L493">
        <v>399</v>
      </c>
      <c r="M493">
        <v>1</v>
      </c>
      <c r="N493">
        <v>1.12779E-24</v>
      </c>
      <c r="O493">
        <v>270</v>
      </c>
    </row>
    <row r="494" spans="1:15" x14ac:dyDescent="0.25">
      <c r="A494" t="s">
        <v>507</v>
      </c>
      <c r="B494">
        <v>168</v>
      </c>
      <c r="C494" s="1" t="str">
        <f>HYPERLINK("http://www.rosaceae.org/gb/gbrowse/malus_x_domestica/?name=MDP0000088815","MDP0000088815")</f>
        <v>MDP0000088815</v>
      </c>
      <c r="D494">
        <v>51.06</v>
      </c>
      <c r="E494">
        <v>47</v>
      </c>
      <c r="F494">
        <v>23</v>
      </c>
      <c r="G494">
        <v>0</v>
      </c>
      <c r="H494">
        <v>75</v>
      </c>
      <c r="I494">
        <v>121</v>
      </c>
      <c r="J494">
        <v>1</v>
      </c>
      <c r="K494">
        <v>62</v>
      </c>
      <c r="L494">
        <v>108</v>
      </c>
      <c r="M494">
        <v>1</v>
      </c>
      <c r="N494">
        <v>4.0193000000000001E-8</v>
      </c>
      <c r="O494">
        <v>130</v>
      </c>
    </row>
    <row r="495" spans="1:15" x14ac:dyDescent="0.25">
      <c r="A495" t="s">
        <v>508</v>
      </c>
      <c r="B495">
        <v>684</v>
      </c>
      <c r="C495" s="1" t="str">
        <f>HYPERLINK("http://www.rosaceae.org/gb/gbrowse/malus_x_domestica/?name=MDP0000292181","MDP0000292181")</f>
        <v>MDP0000292181</v>
      </c>
      <c r="D495">
        <v>52.01</v>
      </c>
      <c r="E495">
        <v>421</v>
      </c>
      <c r="F495">
        <v>202</v>
      </c>
      <c r="G495">
        <v>41</v>
      </c>
      <c r="H495">
        <v>279</v>
      </c>
      <c r="I495">
        <v>661</v>
      </c>
      <c r="J495">
        <v>1</v>
      </c>
      <c r="K495">
        <v>18</v>
      </c>
      <c r="L495">
        <v>435</v>
      </c>
      <c r="M495">
        <v>1</v>
      </c>
      <c r="N495">
        <v>1.76157E-107</v>
      </c>
      <c r="O495">
        <v>995</v>
      </c>
    </row>
    <row r="496" spans="1:15" x14ac:dyDescent="0.25">
      <c r="A496" t="s">
        <v>509</v>
      </c>
      <c r="B496">
        <v>152</v>
      </c>
      <c r="C496" s="1" t="str">
        <f>HYPERLINK("http://www.rosaceae.org/gb/gbrowse/malus_x_domestica/?name=MDP0000253105","MDP0000253105")</f>
        <v>MDP0000253105</v>
      </c>
      <c r="D496">
        <v>59.15</v>
      </c>
      <c r="E496">
        <v>71</v>
      </c>
      <c r="F496">
        <v>29</v>
      </c>
      <c r="G496">
        <v>1</v>
      </c>
      <c r="H496">
        <v>1</v>
      </c>
      <c r="I496">
        <v>70</v>
      </c>
      <c r="J496">
        <v>1</v>
      </c>
      <c r="K496">
        <v>1</v>
      </c>
      <c r="L496">
        <v>71</v>
      </c>
      <c r="M496">
        <v>1</v>
      </c>
      <c r="N496">
        <v>1.4859299999999999E-14</v>
      </c>
      <c r="O496">
        <v>185</v>
      </c>
    </row>
    <row r="497" spans="1:15" x14ac:dyDescent="0.25">
      <c r="A497" t="s">
        <v>510</v>
      </c>
      <c r="B497">
        <v>201</v>
      </c>
      <c r="C497" s="1" t="str">
        <f>HYPERLINK("http://www.rosaceae.org/gb/gbrowse/malus_x_domestica/?name=MDP0000248730","MDP0000248730")</f>
        <v>MDP0000248730</v>
      </c>
      <c r="D497">
        <v>56.06</v>
      </c>
      <c r="E497">
        <v>132</v>
      </c>
      <c r="F497">
        <v>58</v>
      </c>
      <c r="G497">
        <v>7</v>
      </c>
      <c r="H497">
        <v>1</v>
      </c>
      <c r="I497">
        <v>128</v>
      </c>
      <c r="J497">
        <v>1</v>
      </c>
      <c r="K497">
        <v>1</v>
      </c>
      <c r="L497">
        <v>129</v>
      </c>
      <c r="M497">
        <v>1</v>
      </c>
      <c r="N497">
        <v>3.9574100000000002E-34</v>
      </c>
      <c r="O497">
        <v>356</v>
      </c>
    </row>
    <row r="498" spans="1:15" x14ac:dyDescent="0.25">
      <c r="A498" t="s">
        <v>511</v>
      </c>
      <c r="B498">
        <v>315</v>
      </c>
      <c r="C498" s="1" t="str">
        <f>HYPERLINK("http://www.rosaceae.org/gb/gbrowse/malus_x_domestica/?name=MDP0000285475","MDP0000285475")</f>
        <v>MDP0000285475</v>
      </c>
      <c r="D498">
        <v>61.45</v>
      </c>
      <c r="E498">
        <v>192</v>
      </c>
      <c r="F498">
        <v>74</v>
      </c>
      <c r="G498">
        <v>1</v>
      </c>
      <c r="H498">
        <v>1</v>
      </c>
      <c r="I498">
        <v>191</v>
      </c>
      <c r="J498">
        <v>1</v>
      </c>
      <c r="K498">
        <v>507</v>
      </c>
      <c r="L498">
        <v>698</v>
      </c>
      <c r="M498">
        <v>1</v>
      </c>
      <c r="N498">
        <v>1.66784E-59</v>
      </c>
      <c r="O498">
        <v>577</v>
      </c>
    </row>
    <row r="499" spans="1:15" x14ac:dyDescent="0.25">
      <c r="A499" t="s">
        <v>512</v>
      </c>
      <c r="B499">
        <v>824</v>
      </c>
      <c r="C499" s="1" t="str">
        <f>HYPERLINK("http://www.rosaceae.org/gb/gbrowse/malus_x_domestica/?name=MDP0000138004","MDP0000138004")</f>
        <v>MDP0000138004</v>
      </c>
      <c r="D499">
        <v>84.45</v>
      </c>
      <c r="E499">
        <v>830</v>
      </c>
      <c r="F499">
        <v>129</v>
      </c>
      <c r="G499">
        <v>24</v>
      </c>
      <c r="H499">
        <v>3</v>
      </c>
      <c r="I499">
        <v>821</v>
      </c>
      <c r="J499">
        <v>1</v>
      </c>
      <c r="K499">
        <v>2</v>
      </c>
      <c r="L499">
        <v>818</v>
      </c>
      <c r="M499">
        <v>1</v>
      </c>
      <c r="N499">
        <v>0</v>
      </c>
      <c r="O499">
        <v>3778</v>
      </c>
    </row>
    <row r="500" spans="1:15" x14ac:dyDescent="0.25">
      <c r="A500" t="s">
        <v>513</v>
      </c>
      <c r="B500">
        <v>423</v>
      </c>
      <c r="C500" s="1" t="str">
        <f>HYPERLINK("http://www.rosaceae.org/gb/gbrowse/malus_x_domestica/?name=MDP0000293970","MDP0000293970")</f>
        <v>MDP0000293970</v>
      </c>
      <c r="D500">
        <v>70.37</v>
      </c>
      <c r="E500">
        <v>216</v>
      </c>
      <c r="F500">
        <v>64</v>
      </c>
      <c r="G500">
        <v>5</v>
      </c>
      <c r="H500">
        <v>27</v>
      </c>
      <c r="I500">
        <v>242</v>
      </c>
      <c r="J500">
        <v>1</v>
      </c>
      <c r="K500">
        <v>270</v>
      </c>
      <c r="L500">
        <v>480</v>
      </c>
      <c r="M500">
        <v>1</v>
      </c>
      <c r="N500">
        <v>3.0467599999999998E-78</v>
      </c>
      <c r="O500">
        <v>740</v>
      </c>
    </row>
    <row r="501" spans="1:15" x14ac:dyDescent="0.25">
      <c r="A501" t="s">
        <v>514</v>
      </c>
      <c r="B501">
        <v>230</v>
      </c>
      <c r="C501" s="1" t="str">
        <f>HYPERLINK("http://www.rosaceae.org/gb/gbrowse/malus_x_domestica/?name=MDP0000505478","MDP0000505478")</f>
        <v>MDP0000505478</v>
      </c>
      <c r="D501">
        <v>48.18</v>
      </c>
      <c r="E501">
        <v>193</v>
      </c>
      <c r="F501">
        <v>100</v>
      </c>
      <c r="G501">
        <v>0</v>
      </c>
      <c r="H501">
        <v>16</v>
      </c>
      <c r="I501">
        <v>208</v>
      </c>
      <c r="J501">
        <v>1</v>
      </c>
      <c r="K501">
        <v>52</v>
      </c>
      <c r="L501">
        <v>244</v>
      </c>
      <c r="M501">
        <v>1</v>
      </c>
      <c r="N501">
        <v>3.7239399999999998E-43</v>
      </c>
      <c r="O501">
        <v>435</v>
      </c>
    </row>
    <row r="502" spans="1:15" x14ac:dyDescent="0.25">
      <c r="A502" t="s">
        <v>515</v>
      </c>
      <c r="B502">
        <v>112</v>
      </c>
      <c r="C502" s="1" t="str">
        <f>HYPERLINK("http://www.rosaceae.org/gb/gbrowse/malus_x_domestica/?name=MDP0000316852","MDP0000316852")</f>
        <v>MDP0000316852</v>
      </c>
      <c r="D502">
        <v>44.68</v>
      </c>
      <c r="E502">
        <v>94</v>
      </c>
      <c r="F502">
        <v>52</v>
      </c>
      <c r="G502">
        <v>9</v>
      </c>
      <c r="H502">
        <v>1</v>
      </c>
      <c r="I502">
        <v>85</v>
      </c>
      <c r="J502">
        <v>1</v>
      </c>
      <c r="K502">
        <v>705</v>
      </c>
      <c r="L502">
        <v>798</v>
      </c>
      <c r="M502">
        <v>1</v>
      </c>
      <c r="N502">
        <v>8.9207699999999997E-8</v>
      </c>
      <c r="O502">
        <v>125</v>
      </c>
    </row>
    <row r="503" spans="1:15" x14ac:dyDescent="0.25">
      <c r="A503" t="s">
        <v>516</v>
      </c>
      <c r="B503">
        <v>1143</v>
      </c>
      <c r="C503" s="1" t="str">
        <f>HYPERLINK("http://www.rosaceae.org/gb/gbrowse/malus_x_domestica/?name=MDP0000734561","MDP0000734561")</f>
        <v>MDP0000734561</v>
      </c>
      <c r="D503">
        <v>49.21</v>
      </c>
      <c r="E503">
        <v>951</v>
      </c>
      <c r="F503">
        <v>483</v>
      </c>
      <c r="G503">
        <v>47</v>
      </c>
      <c r="H503">
        <v>169</v>
      </c>
      <c r="I503">
        <v>1111</v>
      </c>
      <c r="J503">
        <v>1</v>
      </c>
      <c r="K503">
        <v>202</v>
      </c>
      <c r="L503">
        <v>1113</v>
      </c>
      <c r="M503">
        <v>1</v>
      </c>
      <c r="N503">
        <v>0</v>
      </c>
      <c r="O503">
        <v>2182</v>
      </c>
    </row>
    <row r="504" spans="1:15" x14ac:dyDescent="0.25">
      <c r="A504" t="s">
        <v>517</v>
      </c>
      <c r="B504">
        <v>474</v>
      </c>
      <c r="C504" s="1" t="str">
        <f>HYPERLINK("http://www.rosaceae.org/gb/gbrowse/malus_x_domestica/?name=MDP0000318279","MDP0000318279")</f>
        <v>MDP0000318279</v>
      </c>
      <c r="D504">
        <v>35.119999999999997</v>
      </c>
      <c r="E504">
        <v>205</v>
      </c>
      <c r="F504">
        <v>133</v>
      </c>
      <c r="G504">
        <v>2</v>
      </c>
      <c r="H504">
        <v>124</v>
      </c>
      <c r="I504">
        <v>328</v>
      </c>
      <c r="J504">
        <v>1</v>
      </c>
      <c r="K504">
        <v>126</v>
      </c>
      <c r="L504">
        <v>328</v>
      </c>
      <c r="M504">
        <v>1</v>
      </c>
      <c r="N504">
        <v>3.01391E-32</v>
      </c>
      <c r="O504">
        <v>344</v>
      </c>
    </row>
    <row r="505" spans="1:15" x14ac:dyDescent="0.25">
      <c r="A505" t="s">
        <v>518</v>
      </c>
      <c r="B505">
        <v>275</v>
      </c>
      <c r="C505" s="1" t="str">
        <f>HYPERLINK("http://www.rosaceae.org/gb/gbrowse/malus_x_domestica/?name=MDP0000279955","MDP0000279955")</f>
        <v>MDP0000279955</v>
      </c>
      <c r="D505">
        <v>39.5</v>
      </c>
      <c r="E505">
        <v>162</v>
      </c>
      <c r="F505">
        <v>98</v>
      </c>
      <c r="G505">
        <v>9</v>
      </c>
      <c r="H505">
        <v>81</v>
      </c>
      <c r="I505">
        <v>234</v>
      </c>
      <c r="J505">
        <v>1</v>
      </c>
      <c r="K505">
        <v>202</v>
      </c>
      <c r="L505">
        <v>362</v>
      </c>
      <c r="M505">
        <v>1</v>
      </c>
      <c r="N505">
        <v>1.6447599999999999E-23</v>
      </c>
      <c r="O505">
        <v>266</v>
      </c>
    </row>
    <row r="506" spans="1:15" x14ac:dyDescent="0.25">
      <c r="A506" t="s">
        <v>519</v>
      </c>
      <c r="B506">
        <v>507</v>
      </c>
      <c r="C506" s="1" t="str">
        <f>HYPERLINK("http://www.rosaceae.org/gb/gbrowse/malus_x_domestica/?name=MDP0000282855","MDP0000282855")</f>
        <v>MDP0000282855</v>
      </c>
      <c r="D506">
        <v>55.81</v>
      </c>
      <c r="E506">
        <v>473</v>
      </c>
      <c r="F506">
        <v>209</v>
      </c>
      <c r="G506">
        <v>12</v>
      </c>
      <c r="H506">
        <v>43</v>
      </c>
      <c r="I506">
        <v>507</v>
      </c>
      <c r="J506">
        <v>1</v>
      </c>
      <c r="K506">
        <v>398</v>
      </c>
      <c r="L506">
        <v>866</v>
      </c>
      <c r="M506">
        <v>1</v>
      </c>
      <c r="N506">
        <v>3.6134899999999997E-142</v>
      </c>
      <c r="O506">
        <v>1293</v>
      </c>
    </row>
    <row r="507" spans="1:15" x14ac:dyDescent="0.25">
      <c r="A507" t="s">
        <v>520</v>
      </c>
      <c r="B507">
        <v>525</v>
      </c>
      <c r="C507" s="1" t="str">
        <f>HYPERLINK("http://www.rosaceae.org/gb/gbrowse/malus_x_domestica/?name=MDP0000217042","MDP0000217042")</f>
        <v>MDP0000217042</v>
      </c>
      <c r="D507">
        <v>90.57</v>
      </c>
      <c r="E507">
        <v>191</v>
      </c>
      <c r="F507">
        <v>18</v>
      </c>
      <c r="G507">
        <v>0</v>
      </c>
      <c r="H507">
        <v>38</v>
      </c>
      <c r="I507">
        <v>228</v>
      </c>
      <c r="J507">
        <v>1</v>
      </c>
      <c r="K507">
        <v>86</v>
      </c>
      <c r="L507">
        <v>276</v>
      </c>
      <c r="M507">
        <v>1</v>
      </c>
      <c r="N507">
        <v>9.8905700000000008E-102</v>
      </c>
      <c r="O507">
        <v>944</v>
      </c>
    </row>
    <row r="508" spans="1:15" x14ac:dyDescent="0.25">
      <c r="A508" t="s">
        <v>521</v>
      </c>
      <c r="B508">
        <v>442</v>
      </c>
      <c r="C508" s="1" t="str">
        <f>HYPERLINK("http://www.rosaceae.org/gb/gbrowse/malus_x_domestica/?name=MDP0000308076","MDP0000308076")</f>
        <v>MDP0000308076</v>
      </c>
      <c r="D508">
        <v>67.03</v>
      </c>
      <c r="E508">
        <v>91</v>
      </c>
      <c r="F508">
        <v>30</v>
      </c>
      <c r="G508">
        <v>0</v>
      </c>
      <c r="H508">
        <v>22</v>
      </c>
      <c r="I508">
        <v>112</v>
      </c>
      <c r="J508">
        <v>1</v>
      </c>
      <c r="K508">
        <v>98</v>
      </c>
      <c r="L508">
        <v>188</v>
      </c>
      <c r="M508">
        <v>1</v>
      </c>
      <c r="N508">
        <v>1.03021E-24</v>
      </c>
      <c r="O508">
        <v>279</v>
      </c>
    </row>
    <row r="509" spans="1:15" x14ac:dyDescent="0.25">
      <c r="A509" t="s">
        <v>522</v>
      </c>
      <c r="B509">
        <v>92</v>
      </c>
      <c r="C509" s="1" t="str">
        <f>HYPERLINK("http://www.rosaceae.org/gb/gbrowse/malus_x_domestica/?name=MDP0000226394","MDP0000226394")</f>
        <v>MDP0000226394</v>
      </c>
      <c r="D509">
        <v>30</v>
      </c>
      <c r="E509">
        <v>90</v>
      </c>
      <c r="F509">
        <v>63</v>
      </c>
      <c r="G509">
        <v>2</v>
      </c>
      <c r="H509">
        <v>3</v>
      </c>
      <c r="I509">
        <v>91</v>
      </c>
      <c r="J509">
        <v>1</v>
      </c>
      <c r="K509">
        <v>62</v>
      </c>
      <c r="L509">
        <v>150</v>
      </c>
      <c r="M509">
        <v>1</v>
      </c>
      <c r="N509">
        <v>2.62658E-7</v>
      </c>
      <c r="O509">
        <v>120</v>
      </c>
    </row>
    <row r="510" spans="1:15" x14ac:dyDescent="0.25">
      <c r="A510" t="s">
        <v>523</v>
      </c>
      <c r="B510">
        <v>129</v>
      </c>
      <c r="C510" s="1" t="str">
        <f>HYPERLINK("http://www.rosaceae.org/gb/gbrowse/malus_x_domestica/?name=MDP0000284049","MDP0000284049")</f>
        <v>MDP0000284049</v>
      </c>
      <c r="D510">
        <v>90.9</v>
      </c>
      <c r="E510">
        <v>77</v>
      </c>
      <c r="F510">
        <v>7</v>
      </c>
      <c r="G510">
        <v>0</v>
      </c>
      <c r="H510">
        <v>52</v>
      </c>
      <c r="I510">
        <v>128</v>
      </c>
      <c r="J510">
        <v>1</v>
      </c>
      <c r="K510">
        <v>130</v>
      </c>
      <c r="L510">
        <v>206</v>
      </c>
      <c r="M510">
        <v>1</v>
      </c>
      <c r="N510">
        <v>2.5738399999999999E-36</v>
      </c>
      <c r="O510">
        <v>371</v>
      </c>
    </row>
    <row r="511" spans="1:15" x14ac:dyDescent="0.25">
      <c r="A511" t="s">
        <v>524</v>
      </c>
      <c r="B511">
        <v>244</v>
      </c>
      <c r="C511" s="1" t="str">
        <f>HYPERLINK("http://www.rosaceae.org/gb/gbrowse/malus_x_domestica/?name=MDP0000226279","MDP0000226279")</f>
        <v>MDP0000226279</v>
      </c>
      <c r="D511">
        <v>94.33</v>
      </c>
      <c r="E511">
        <v>247</v>
      </c>
      <c r="F511">
        <v>14</v>
      </c>
      <c r="G511">
        <v>3</v>
      </c>
      <c r="H511">
        <v>1</v>
      </c>
      <c r="I511">
        <v>244</v>
      </c>
      <c r="J511">
        <v>1</v>
      </c>
      <c r="K511">
        <v>1</v>
      </c>
      <c r="L511">
        <v>247</v>
      </c>
      <c r="M511">
        <v>1</v>
      </c>
      <c r="N511">
        <v>1.2456699999999999E-136</v>
      </c>
      <c r="O511">
        <v>1241</v>
      </c>
    </row>
    <row r="512" spans="1:15" x14ac:dyDescent="0.25">
      <c r="A512" t="s">
        <v>525</v>
      </c>
      <c r="B512">
        <v>396</v>
      </c>
      <c r="C512" s="1" t="str">
        <f>HYPERLINK("http://www.rosaceae.org/gb/gbrowse/malus_x_domestica/?name=MDP0000850393","MDP0000850393")</f>
        <v>MDP0000850393</v>
      </c>
      <c r="D512">
        <v>78.459999999999994</v>
      </c>
      <c r="E512">
        <v>195</v>
      </c>
      <c r="F512">
        <v>42</v>
      </c>
      <c r="G512">
        <v>23</v>
      </c>
      <c r="H512">
        <v>222</v>
      </c>
      <c r="I512">
        <v>396</v>
      </c>
      <c r="J512">
        <v>1</v>
      </c>
      <c r="K512">
        <v>1</v>
      </c>
      <c r="L512">
        <v>192</v>
      </c>
      <c r="M512">
        <v>1</v>
      </c>
      <c r="N512">
        <v>2.2039999999999999E-82</v>
      </c>
      <c r="O512">
        <v>776</v>
      </c>
    </row>
    <row r="513" spans="1:15" x14ac:dyDescent="0.25">
      <c r="A513" t="s">
        <v>526</v>
      </c>
      <c r="B513">
        <v>132</v>
      </c>
      <c r="C513" s="1" t="str">
        <f>HYPERLINK("http://www.rosaceae.org/gb/gbrowse/malus_x_domestica/?name=MDP0000194336","MDP0000194336")</f>
        <v>MDP0000194336</v>
      </c>
      <c r="D513">
        <v>44.82</v>
      </c>
      <c r="E513">
        <v>87</v>
      </c>
      <c r="F513">
        <v>48</v>
      </c>
      <c r="G513">
        <v>0</v>
      </c>
      <c r="H513">
        <v>36</v>
      </c>
      <c r="I513">
        <v>122</v>
      </c>
      <c r="J513">
        <v>1</v>
      </c>
      <c r="K513">
        <v>386</v>
      </c>
      <c r="L513">
        <v>472</v>
      </c>
      <c r="M513">
        <v>1</v>
      </c>
      <c r="N513">
        <v>7.2076899999999996E-16</v>
      </c>
      <c r="O513">
        <v>195</v>
      </c>
    </row>
    <row r="514" spans="1:15" x14ac:dyDescent="0.25">
      <c r="A514" t="s">
        <v>527</v>
      </c>
      <c r="B514">
        <v>180</v>
      </c>
      <c r="C514" s="1" t="str">
        <f>HYPERLINK("http://www.rosaceae.org/gb/gbrowse/malus_x_domestica/?name=MDP0000252890","MDP0000252890")</f>
        <v>MDP0000252890</v>
      </c>
      <c r="D514">
        <v>86.58</v>
      </c>
      <c r="E514">
        <v>164</v>
      </c>
      <c r="F514">
        <v>22</v>
      </c>
      <c r="G514">
        <v>0</v>
      </c>
      <c r="H514">
        <v>17</v>
      </c>
      <c r="I514">
        <v>180</v>
      </c>
      <c r="J514">
        <v>1</v>
      </c>
      <c r="K514">
        <v>20</v>
      </c>
      <c r="L514">
        <v>183</v>
      </c>
      <c r="M514">
        <v>1</v>
      </c>
      <c r="N514">
        <v>2.0953299999999999E-85</v>
      </c>
      <c r="O514">
        <v>797</v>
      </c>
    </row>
    <row r="515" spans="1:15" x14ac:dyDescent="0.25">
      <c r="A515" t="s">
        <v>528</v>
      </c>
      <c r="B515">
        <v>518</v>
      </c>
      <c r="C515" s="1" t="str">
        <f>HYPERLINK("http://www.rosaceae.org/gb/gbrowse/malus_x_domestica/?name=MDP0000281695","MDP0000281695")</f>
        <v>MDP0000281695</v>
      </c>
      <c r="D515">
        <v>54.18</v>
      </c>
      <c r="E515">
        <v>478</v>
      </c>
      <c r="F515">
        <v>219</v>
      </c>
      <c r="G515">
        <v>46</v>
      </c>
      <c r="H515">
        <v>62</v>
      </c>
      <c r="I515">
        <v>518</v>
      </c>
      <c r="J515">
        <v>1</v>
      </c>
      <c r="K515">
        <v>84</v>
      </c>
      <c r="L515">
        <v>536</v>
      </c>
      <c r="M515">
        <v>1</v>
      </c>
      <c r="N515">
        <v>4.3361399999999999E-125</v>
      </c>
      <c r="O515">
        <v>1145</v>
      </c>
    </row>
    <row r="516" spans="1:15" x14ac:dyDescent="0.25">
      <c r="A516" t="s">
        <v>529</v>
      </c>
      <c r="B516">
        <v>388</v>
      </c>
      <c r="C516" s="1" t="str">
        <f>HYPERLINK("http://www.rosaceae.org/gb/gbrowse/malus_x_domestica/?name=MDP0000312342","MDP0000312342")</f>
        <v>MDP0000312342</v>
      </c>
      <c r="D516">
        <v>27.97</v>
      </c>
      <c r="E516">
        <v>336</v>
      </c>
      <c r="F516">
        <v>242</v>
      </c>
      <c r="G516">
        <v>57</v>
      </c>
      <c r="H516">
        <v>47</v>
      </c>
      <c r="I516">
        <v>378</v>
      </c>
      <c r="J516">
        <v>1</v>
      </c>
      <c r="K516">
        <v>16</v>
      </c>
      <c r="L516">
        <v>298</v>
      </c>
      <c r="M516">
        <v>1</v>
      </c>
      <c r="N516">
        <v>1.39992E-22</v>
      </c>
      <c r="O516">
        <v>260</v>
      </c>
    </row>
    <row r="517" spans="1:15" x14ac:dyDescent="0.25">
      <c r="A517" t="s">
        <v>530</v>
      </c>
      <c r="B517">
        <v>227</v>
      </c>
      <c r="C517" s="1" t="str">
        <f>HYPERLINK("http://www.rosaceae.org/gb/gbrowse/malus_x_domestica/?name=MDP0000918566","MDP0000918566")</f>
        <v>MDP0000918566</v>
      </c>
      <c r="D517">
        <v>52.17</v>
      </c>
      <c r="E517">
        <v>184</v>
      </c>
      <c r="F517">
        <v>88</v>
      </c>
      <c r="G517">
        <v>2</v>
      </c>
      <c r="H517">
        <v>18</v>
      </c>
      <c r="I517">
        <v>201</v>
      </c>
      <c r="J517">
        <v>1</v>
      </c>
      <c r="K517">
        <v>15</v>
      </c>
      <c r="L517">
        <v>196</v>
      </c>
      <c r="M517">
        <v>1</v>
      </c>
      <c r="N517">
        <v>1.5748500000000001E-53</v>
      </c>
      <c r="O517">
        <v>524</v>
      </c>
    </row>
    <row r="518" spans="1:15" x14ac:dyDescent="0.25">
      <c r="A518" t="s">
        <v>531</v>
      </c>
      <c r="B518">
        <v>748</v>
      </c>
      <c r="C518" s="1" t="str">
        <f>HYPERLINK("http://www.rosaceae.org/gb/gbrowse/malus_x_domestica/?name=MDP0000264870","MDP0000264870")</f>
        <v>MDP0000264870</v>
      </c>
      <c r="D518">
        <v>68.39</v>
      </c>
      <c r="E518">
        <v>598</v>
      </c>
      <c r="F518">
        <v>189</v>
      </c>
      <c r="G518">
        <v>34</v>
      </c>
      <c r="H518">
        <v>183</v>
      </c>
      <c r="I518">
        <v>746</v>
      </c>
      <c r="J518">
        <v>1</v>
      </c>
      <c r="K518">
        <v>1</v>
      </c>
      <c r="L518">
        <v>598</v>
      </c>
      <c r="M518">
        <v>1</v>
      </c>
      <c r="N518">
        <v>0</v>
      </c>
      <c r="O518">
        <v>2005</v>
      </c>
    </row>
    <row r="519" spans="1:15" x14ac:dyDescent="0.25">
      <c r="A519" t="s">
        <v>532</v>
      </c>
      <c r="B519">
        <v>1146</v>
      </c>
      <c r="C519" s="1" t="str">
        <f>HYPERLINK("http://www.rosaceae.org/gb/gbrowse/malus_x_domestica/?name=MDP0000292188","MDP0000292188")</f>
        <v>MDP0000292188</v>
      </c>
      <c r="D519">
        <v>61.65</v>
      </c>
      <c r="E519">
        <v>751</v>
      </c>
      <c r="F519">
        <v>288</v>
      </c>
      <c r="G519">
        <v>9</v>
      </c>
      <c r="H519">
        <v>24</v>
      </c>
      <c r="I519">
        <v>771</v>
      </c>
      <c r="J519">
        <v>1</v>
      </c>
      <c r="K519">
        <v>19</v>
      </c>
      <c r="L519">
        <v>763</v>
      </c>
      <c r="M519">
        <v>1</v>
      </c>
      <c r="N519">
        <v>0</v>
      </c>
      <c r="O519">
        <v>2365</v>
      </c>
    </row>
    <row r="520" spans="1:15" x14ac:dyDescent="0.25">
      <c r="A520" t="s">
        <v>533</v>
      </c>
      <c r="B520">
        <v>175</v>
      </c>
      <c r="C520" s="1" t="str">
        <f>HYPERLINK("http://www.rosaceae.org/gb/gbrowse/malus_x_domestica/?name=MDP0000252442","MDP0000252442")</f>
        <v>MDP0000252442</v>
      </c>
      <c r="D520">
        <v>76.84</v>
      </c>
      <c r="E520">
        <v>95</v>
      </c>
      <c r="F520">
        <v>22</v>
      </c>
      <c r="G520">
        <v>1</v>
      </c>
      <c r="H520">
        <v>23</v>
      </c>
      <c r="I520">
        <v>117</v>
      </c>
      <c r="J520">
        <v>1</v>
      </c>
      <c r="K520">
        <v>444</v>
      </c>
      <c r="L520">
        <v>537</v>
      </c>
      <c r="M520">
        <v>1</v>
      </c>
      <c r="N520">
        <v>6.4692299999999999E-39</v>
      </c>
      <c r="O520">
        <v>396</v>
      </c>
    </row>
    <row r="521" spans="1:15" x14ac:dyDescent="0.25">
      <c r="A521" t="s">
        <v>534</v>
      </c>
      <c r="B521">
        <v>302</v>
      </c>
      <c r="C521" s="1" t="str">
        <f>HYPERLINK("http://www.rosaceae.org/gb/gbrowse/malus_x_domestica/?name=MDP0000232309","MDP0000232309")</f>
        <v>MDP0000232309</v>
      </c>
      <c r="D521">
        <v>80.87</v>
      </c>
      <c r="E521">
        <v>251</v>
      </c>
      <c r="F521">
        <v>48</v>
      </c>
      <c r="G521">
        <v>2</v>
      </c>
      <c r="H521">
        <v>54</v>
      </c>
      <c r="I521">
        <v>302</v>
      </c>
      <c r="J521">
        <v>1</v>
      </c>
      <c r="K521">
        <v>2</v>
      </c>
      <c r="L521">
        <v>252</v>
      </c>
      <c r="M521">
        <v>1</v>
      </c>
      <c r="N521">
        <v>5.9553000000000003E-113</v>
      </c>
      <c r="O521">
        <v>1038</v>
      </c>
    </row>
    <row r="522" spans="1:15" x14ac:dyDescent="0.25">
      <c r="A522" t="s">
        <v>535</v>
      </c>
      <c r="B522">
        <v>963</v>
      </c>
      <c r="C522" s="1" t="str">
        <f>HYPERLINK("http://www.rosaceae.org/gb/gbrowse/malus_x_domestica/?name=MDP0000146062","MDP0000146062")</f>
        <v>MDP0000146062</v>
      </c>
      <c r="D522">
        <v>65.739999999999995</v>
      </c>
      <c r="E522">
        <v>254</v>
      </c>
      <c r="F522">
        <v>87</v>
      </c>
      <c r="G522">
        <v>20</v>
      </c>
      <c r="H522">
        <v>361</v>
      </c>
      <c r="I522">
        <v>594</v>
      </c>
      <c r="J522">
        <v>1</v>
      </c>
      <c r="K522">
        <v>243</v>
      </c>
      <c r="L522">
        <v>496</v>
      </c>
      <c r="M522">
        <v>1</v>
      </c>
      <c r="N522">
        <v>1.2969399999999999E-89</v>
      </c>
      <c r="O522">
        <v>842</v>
      </c>
    </row>
    <row r="523" spans="1:15" x14ac:dyDescent="0.25">
      <c r="A523" t="s">
        <v>536</v>
      </c>
      <c r="B523">
        <v>238</v>
      </c>
      <c r="C523" s="1" t="str">
        <f>HYPERLINK("http://www.rosaceae.org/gb/gbrowse/malus_x_domestica/?name=MDP0000136498","MDP0000136498")</f>
        <v>MDP0000136498</v>
      </c>
      <c r="D523">
        <v>81.69</v>
      </c>
      <c r="E523">
        <v>71</v>
      </c>
      <c r="F523">
        <v>13</v>
      </c>
      <c r="G523">
        <v>0</v>
      </c>
      <c r="H523">
        <v>167</v>
      </c>
      <c r="I523">
        <v>237</v>
      </c>
      <c r="J523">
        <v>1</v>
      </c>
      <c r="K523">
        <v>280</v>
      </c>
      <c r="L523">
        <v>350</v>
      </c>
      <c r="M523">
        <v>1</v>
      </c>
      <c r="N523">
        <v>2.4875799999999999E-29</v>
      </c>
      <c r="O523">
        <v>316</v>
      </c>
    </row>
    <row r="524" spans="1:15" x14ac:dyDescent="0.25">
      <c r="A524" t="s">
        <v>537</v>
      </c>
      <c r="B524">
        <v>198</v>
      </c>
      <c r="C524" s="1" t="str">
        <f>HYPERLINK("http://www.rosaceae.org/gb/gbrowse/malus_x_domestica/?name=MDP0000240192","MDP0000240192")</f>
        <v>MDP0000240192</v>
      </c>
      <c r="D524">
        <v>72.34</v>
      </c>
      <c r="E524">
        <v>47</v>
      </c>
      <c r="F524">
        <v>13</v>
      </c>
      <c r="G524">
        <v>1</v>
      </c>
      <c r="H524">
        <v>86</v>
      </c>
      <c r="I524">
        <v>131</v>
      </c>
      <c r="J524">
        <v>1</v>
      </c>
      <c r="K524">
        <v>30</v>
      </c>
      <c r="L524">
        <v>76</v>
      </c>
      <c r="M524">
        <v>1</v>
      </c>
      <c r="N524">
        <v>1.3517299999999999E-11</v>
      </c>
      <c r="O524">
        <v>161</v>
      </c>
    </row>
    <row r="525" spans="1:15" x14ac:dyDescent="0.25">
      <c r="A525" t="s">
        <v>538</v>
      </c>
      <c r="B525">
        <v>533</v>
      </c>
      <c r="C525" s="1" t="str">
        <f>HYPERLINK("http://www.rosaceae.org/gb/gbrowse/malus_x_domestica/?name=MDP0000628060","MDP0000628060")</f>
        <v>MDP0000628060</v>
      </c>
      <c r="D525">
        <v>70.13</v>
      </c>
      <c r="E525">
        <v>519</v>
      </c>
      <c r="F525">
        <v>155</v>
      </c>
      <c r="G525">
        <v>29</v>
      </c>
      <c r="H525">
        <v>1</v>
      </c>
      <c r="I525">
        <v>490</v>
      </c>
      <c r="J525">
        <v>1</v>
      </c>
      <c r="K525">
        <v>1</v>
      </c>
      <c r="L525">
        <v>519</v>
      </c>
      <c r="M525">
        <v>1</v>
      </c>
      <c r="N525">
        <v>0</v>
      </c>
      <c r="O525">
        <v>1938</v>
      </c>
    </row>
    <row r="526" spans="1:15" x14ac:dyDescent="0.25">
      <c r="A526" t="s">
        <v>539</v>
      </c>
      <c r="B526">
        <v>277</v>
      </c>
      <c r="C526" s="1" t="str">
        <f>HYPERLINK("http://www.rosaceae.org/gb/gbrowse/malus_x_domestica/?name=MDP0000272783","MDP0000272783")</f>
        <v>MDP0000272783</v>
      </c>
      <c r="D526">
        <v>52.89</v>
      </c>
      <c r="E526">
        <v>121</v>
      </c>
      <c r="F526">
        <v>57</v>
      </c>
      <c r="G526">
        <v>16</v>
      </c>
      <c r="H526">
        <v>1</v>
      </c>
      <c r="I526">
        <v>119</v>
      </c>
      <c r="J526">
        <v>1</v>
      </c>
      <c r="K526">
        <v>1</v>
      </c>
      <c r="L526">
        <v>107</v>
      </c>
      <c r="M526">
        <v>1</v>
      </c>
      <c r="N526">
        <v>6.9180299999999997E-29</v>
      </c>
      <c r="O526">
        <v>313</v>
      </c>
    </row>
    <row r="527" spans="1:15" x14ac:dyDescent="0.25">
      <c r="A527" t="s">
        <v>540</v>
      </c>
      <c r="B527">
        <v>586</v>
      </c>
      <c r="C527" s="1" t="str">
        <f>HYPERLINK("http://www.rosaceae.org/gb/gbrowse/malus_x_domestica/?name=MDP0000096208","MDP0000096208")</f>
        <v>MDP0000096208</v>
      </c>
      <c r="D527">
        <v>87.88</v>
      </c>
      <c r="E527">
        <v>586</v>
      </c>
      <c r="F527">
        <v>71</v>
      </c>
      <c r="G527">
        <v>0</v>
      </c>
      <c r="H527">
        <v>1</v>
      </c>
      <c r="I527">
        <v>586</v>
      </c>
      <c r="J527">
        <v>1</v>
      </c>
      <c r="K527">
        <v>1</v>
      </c>
      <c r="L527">
        <v>586</v>
      </c>
      <c r="M527">
        <v>1</v>
      </c>
      <c r="N527">
        <v>0</v>
      </c>
      <c r="O527">
        <v>2799</v>
      </c>
    </row>
    <row r="528" spans="1:15" x14ac:dyDescent="0.25">
      <c r="A528" t="s">
        <v>541</v>
      </c>
      <c r="B528">
        <v>406</v>
      </c>
      <c r="C528" s="1" t="str">
        <f>HYPERLINK("http://www.rosaceae.org/gb/gbrowse/malus_x_domestica/?name=MDP0000311974","MDP0000311974")</f>
        <v>MDP0000311974</v>
      </c>
      <c r="D528">
        <v>67.849999999999994</v>
      </c>
      <c r="E528">
        <v>112</v>
      </c>
      <c r="F528">
        <v>36</v>
      </c>
      <c r="G528">
        <v>0</v>
      </c>
      <c r="H528">
        <v>187</v>
      </c>
      <c r="I528">
        <v>298</v>
      </c>
      <c r="J528">
        <v>1</v>
      </c>
      <c r="K528">
        <v>132</v>
      </c>
      <c r="L528">
        <v>243</v>
      </c>
      <c r="M528">
        <v>1</v>
      </c>
      <c r="N528">
        <v>7.4800399999999994E-42</v>
      </c>
      <c r="O528">
        <v>426</v>
      </c>
    </row>
    <row r="529" spans="1:15" x14ac:dyDescent="0.25">
      <c r="A529" t="s">
        <v>542</v>
      </c>
      <c r="B529">
        <v>323</v>
      </c>
      <c r="C529" s="1" t="str">
        <f>HYPERLINK("http://www.rosaceae.org/gb/gbrowse/malus_x_domestica/?name=MDP0000897242","MDP0000897242")</f>
        <v>MDP0000897242</v>
      </c>
      <c r="D529">
        <v>73.62</v>
      </c>
      <c r="E529">
        <v>273</v>
      </c>
      <c r="F529">
        <v>72</v>
      </c>
      <c r="G529">
        <v>13</v>
      </c>
      <c r="H529">
        <v>20</v>
      </c>
      <c r="I529">
        <v>281</v>
      </c>
      <c r="J529">
        <v>1</v>
      </c>
      <c r="K529">
        <v>77</v>
      </c>
      <c r="L529">
        <v>347</v>
      </c>
      <c r="M529">
        <v>1</v>
      </c>
      <c r="N529">
        <v>8.0463000000000004E-112</v>
      </c>
      <c r="O529">
        <v>1029</v>
      </c>
    </row>
    <row r="530" spans="1:15" x14ac:dyDescent="0.25">
      <c r="A530" t="s">
        <v>543</v>
      </c>
      <c r="B530">
        <v>254</v>
      </c>
      <c r="C530" s="1" t="str">
        <f>HYPERLINK("http://www.rosaceae.org/gb/gbrowse/malus_x_domestica/?name=MDP0000241650","MDP0000241650")</f>
        <v>MDP0000241650</v>
      </c>
      <c r="D530">
        <v>74.17</v>
      </c>
      <c r="E530">
        <v>213</v>
      </c>
      <c r="F530">
        <v>55</v>
      </c>
      <c r="G530">
        <v>14</v>
      </c>
      <c r="H530">
        <v>45</v>
      </c>
      <c r="I530">
        <v>254</v>
      </c>
      <c r="J530">
        <v>1</v>
      </c>
      <c r="K530">
        <v>276</v>
      </c>
      <c r="L530">
        <v>477</v>
      </c>
      <c r="M530">
        <v>1</v>
      </c>
      <c r="N530">
        <v>1.1375300000000001E-78</v>
      </c>
      <c r="O530">
        <v>741</v>
      </c>
    </row>
    <row r="531" spans="1:15" x14ac:dyDescent="0.25">
      <c r="A531" t="s">
        <v>544</v>
      </c>
      <c r="B531">
        <v>510</v>
      </c>
      <c r="C531" s="1" t="str">
        <f>HYPERLINK("http://www.rosaceae.org/gb/gbrowse/malus_x_domestica/?name=MDP0000262766","MDP0000262766")</f>
        <v>MDP0000262766</v>
      </c>
      <c r="D531">
        <v>71.680000000000007</v>
      </c>
      <c r="E531">
        <v>226</v>
      </c>
      <c r="F531">
        <v>64</v>
      </c>
      <c r="G531">
        <v>1</v>
      </c>
      <c r="H531">
        <v>1</v>
      </c>
      <c r="I531">
        <v>225</v>
      </c>
      <c r="J531">
        <v>1</v>
      </c>
      <c r="K531">
        <v>854</v>
      </c>
      <c r="L531">
        <v>1079</v>
      </c>
      <c r="M531">
        <v>1</v>
      </c>
      <c r="N531">
        <v>2.9555899999999999E-84</v>
      </c>
      <c r="O531">
        <v>793</v>
      </c>
    </row>
    <row r="532" spans="1:15" x14ac:dyDescent="0.25">
      <c r="A532" t="s">
        <v>545</v>
      </c>
      <c r="B532">
        <v>237</v>
      </c>
      <c r="C532" s="1" t="str">
        <f>HYPERLINK("http://www.rosaceae.org/gb/gbrowse/malus_x_domestica/?name=MDP0000556834","MDP0000556834")</f>
        <v>MDP0000556834</v>
      </c>
      <c r="D532">
        <v>32.99</v>
      </c>
      <c r="E532">
        <v>197</v>
      </c>
      <c r="F532">
        <v>132</v>
      </c>
      <c r="G532">
        <v>17</v>
      </c>
      <c r="H532">
        <v>33</v>
      </c>
      <c r="I532">
        <v>228</v>
      </c>
      <c r="J532">
        <v>1</v>
      </c>
      <c r="K532">
        <v>31</v>
      </c>
      <c r="L532">
        <v>211</v>
      </c>
      <c r="M532">
        <v>1</v>
      </c>
      <c r="N532">
        <v>1.2731199999999999E-12</v>
      </c>
      <c r="O532">
        <v>171</v>
      </c>
    </row>
    <row r="533" spans="1:15" x14ac:dyDescent="0.25">
      <c r="A533" t="s">
        <v>546</v>
      </c>
      <c r="B533">
        <v>281</v>
      </c>
      <c r="C533" s="1" t="str">
        <f>HYPERLINK("http://www.rosaceae.org/gb/gbrowse/malus_x_domestica/?name=MDP0000285243","MDP0000285243")</f>
        <v>MDP0000285243</v>
      </c>
      <c r="D533">
        <v>77.33</v>
      </c>
      <c r="E533">
        <v>278</v>
      </c>
      <c r="F533">
        <v>63</v>
      </c>
      <c r="G533">
        <v>14</v>
      </c>
      <c r="H533">
        <v>3</v>
      </c>
      <c r="I533">
        <v>280</v>
      </c>
      <c r="J533">
        <v>1</v>
      </c>
      <c r="K533">
        <v>371</v>
      </c>
      <c r="L533">
        <v>634</v>
      </c>
      <c r="M533">
        <v>1</v>
      </c>
      <c r="N533">
        <v>3.8364500000000001E-126</v>
      </c>
      <c r="O533">
        <v>1151</v>
      </c>
    </row>
    <row r="534" spans="1:15" x14ac:dyDescent="0.25">
      <c r="A534" t="s">
        <v>547</v>
      </c>
      <c r="B534">
        <v>511</v>
      </c>
      <c r="C534" s="1" t="str">
        <f>HYPERLINK("http://www.rosaceae.org/gb/gbrowse/malus_x_domestica/?name=MDP0000205500","MDP0000205500")</f>
        <v>MDP0000205500</v>
      </c>
      <c r="D534">
        <v>51.24</v>
      </c>
      <c r="E534">
        <v>523</v>
      </c>
      <c r="F534">
        <v>255</v>
      </c>
      <c r="G534">
        <v>121</v>
      </c>
      <c r="H534">
        <v>1</v>
      </c>
      <c r="I534">
        <v>406</v>
      </c>
      <c r="J534">
        <v>1</v>
      </c>
      <c r="K534">
        <v>1</v>
      </c>
      <c r="L534">
        <v>519</v>
      </c>
      <c r="M534">
        <v>1</v>
      </c>
      <c r="N534">
        <v>4.2266899999999997E-125</v>
      </c>
      <c r="O534">
        <v>1145</v>
      </c>
    </row>
    <row r="535" spans="1:15" x14ac:dyDescent="0.25">
      <c r="A535" t="s">
        <v>548</v>
      </c>
      <c r="B535">
        <v>342</v>
      </c>
      <c r="C535" s="1" t="str">
        <f>HYPERLINK("http://www.rosaceae.org/gb/gbrowse/malus_x_domestica/?name=MDP0000471520","MDP0000471520")</f>
        <v>MDP0000471520</v>
      </c>
      <c r="D535">
        <v>63.63</v>
      </c>
      <c r="E535">
        <v>352</v>
      </c>
      <c r="F535">
        <v>128</v>
      </c>
      <c r="G535">
        <v>24</v>
      </c>
      <c r="H535">
        <v>1</v>
      </c>
      <c r="I535">
        <v>341</v>
      </c>
      <c r="J535">
        <v>1</v>
      </c>
      <c r="K535">
        <v>1</v>
      </c>
      <c r="L535">
        <v>339</v>
      </c>
      <c r="M535">
        <v>1</v>
      </c>
      <c r="N535">
        <v>3.6971300000000002E-117</v>
      </c>
      <c r="O535">
        <v>1075</v>
      </c>
    </row>
    <row r="536" spans="1:15" x14ac:dyDescent="0.25">
      <c r="A536" t="s">
        <v>549</v>
      </c>
      <c r="B536">
        <v>457</v>
      </c>
      <c r="C536" s="1" t="str">
        <f>HYPERLINK("http://www.rosaceae.org/gb/gbrowse/malus_x_domestica/?name=MDP0000303768","MDP0000303768")</f>
        <v>MDP0000303768</v>
      </c>
      <c r="D536">
        <v>75.540000000000006</v>
      </c>
      <c r="E536">
        <v>462</v>
      </c>
      <c r="F536">
        <v>113</v>
      </c>
      <c r="G536">
        <v>14</v>
      </c>
      <c r="H536">
        <v>1</v>
      </c>
      <c r="I536">
        <v>450</v>
      </c>
      <c r="J536">
        <v>1</v>
      </c>
      <c r="K536">
        <v>1</v>
      </c>
      <c r="L536">
        <v>460</v>
      </c>
      <c r="M536">
        <v>1</v>
      </c>
      <c r="N536">
        <v>0</v>
      </c>
      <c r="O536">
        <v>1807</v>
      </c>
    </row>
    <row r="537" spans="1:15" x14ac:dyDescent="0.25">
      <c r="A537" t="s">
        <v>550</v>
      </c>
      <c r="B537">
        <v>829</v>
      </c>
      <c r="C537" s="1" t="str">
        <f>HYPERLINK("http://www.rosaceae.org/gb/gbrowse/malus_x_domestica/?name=MDP0000233901","MDP0000233901")</f>
        <v>MDP0000233901</v>
      </c>
      <c r="D537">
        <v>37.07</v>
      </c>
      <c r="E537">
        <v>321</v>
      </c>
      <c r="F537">
        <v>202</v>
      </c>
      <c r="G537">
        <v>7</v>
      </c>
      <c r="H537">
        <v>16</v>
      </c>
      <c r="I537">
        <v>329</v>
      </c>
      <c r="J537">
        <v>1</v>
      </c>
      <c r="K537">
        <v>10</v>
      </c>
      <c r="L537">
        <v>330</v>
      </c>
      <c r="M537">
        <v>1</v>
      </c>
      <c r="N537">
        <v>1.4356599999999999E-57</v>
      </c>
      <c r="O537">
        <v>565</v>
      </c>
    </row>
    <row r="538" spans="1:15" x14ac:dyDescent="0.25">
      <c r="A538" t="s">
        <v>551</v>
      </c>
      <c r="B538">
        <v>543</v>
      </c>
      <c r="C538" s="1" t="str">
        <f>HYPERLINK("http://www.rosaceae.org/gb/gbrowse/malus_x_domestica/?name=MDP0000814056","MDP0000814056")</f>
        <v>MDP0000814056</v>
      </c>
      <c r="D538">
        <v>43.62</v>
      </c>
      <c r="E538">
        <v>596</v>
      </c>
      <c r="F538">
        <v>336</v>
      </c>
      <c r="G538">
        <v>99</v>
      </c>
      <c r="H538">
        <v>2</v>
      </c>
      <c r="I538">
        <v>543</v>
      </c>
      <c r="J538">
        <v>1</v>
      </c>
      <c r="K538">
        <v>1</v>
      </c>
      <c r="L538">
        <v>551</v>
      </c>
      <c r="M538">
        <v>1</v>
      </c>
      <c r="N538">
        <v>1.3666099999999999E-110</v>
      </c>
      <c r="O538">
        <v>1021</v>
      </c>
    </row>
    <row r="539" spans="1:15" x14ac:dyDescent="0.25">
      <c r="A539" t="s">
        <v>552</v>
      </c>
      <c r="B539">
        <v>191</v>
      </c>
      <c r="C539" s="1" t="str">
        <f>HYPERLINK("http://www.rosaceae.org/gb/gbrowse/malus_x_domestica/?name=MDP0000275042","MDP0000275042")</f>
        <v>MDP0000275042</v>
      </c>
      <c r="D539">
        <v>76.040000000000006</v>
      </c>
      <c r="E539">
        <v>167</v>
      </c>
      <c r="F539">
        <v>40</v>
      </c>
      <c r="G539">
        <v>6</v>
      </c>
      <c r="H539">
        <v>25</v>
      </c>
      <c r="I539">
        <v>191</v>
      </c>
      <c r="J539">
        <v>1</v>
      </c>
      <c r="K539">
        <v>159</v>
      </c>
      <c r="L539">
        <v>319</v>
      </c>
      <c r="M539">
        <v>1</v>
      </c>
      <c r="N539">
        <v>2.33398E-64</v>
      </c>
      <c r="O539">
        <v>616</v>
      </c>
    </row>
    <row r="540" spans="1:15" x14ac:dyDescent="0.25">
      <c r="A540" t="s">
        <v>553</v>
      </c>
      <c r="B540">
        <v>253</v>
      </c>
      <c r="C540" s="1" t="str">
        <f>HYPERLINK("http://www.rosaceae.org/gb/gbrowse/malus_x_domestica/?name=MDP0000444367","MDP0000444367")</f>
        <v>MDP0000444367</v>
      </c>
      <c r="D540">
        <v>67.34</v>
      </c>
      <c r="E540">
        <v>49</v>
      </c>
      <c r="F540">
        <v>16</v>
      </c>
      <c r="G540">
        <v>4</v>
      </c>
      <c r="H540">
        <v>193</v>
      </c>
      <c r="I540">
        <v>237</v>
      </c>
      <c r="J540">
        <v>1</v>
      </c>
      <c r="K540">
        <v>406</v>
      </c>
      <c r="L540">
        <v>454</v>
      </c>
      <c r="M540">
        <v>1</v>
      </c>
      <c r="N540">
        <v>2.6778900000000001E-9</v>
      </c>
      <c r="O540">
        <v>143</v>
      </c>
    </row>
    <row r="541" spans="1:15" x14ac:dyDescent="0.25">
      <c r="A541" t="s">
        <v>554</v>
      </c>
      <c r="B541">
        <v>334</v>
      </c>
      <c r="C541" s="1" t="str">
        <f>HYPERLINK("http://www.rosaceae.org/gb/gbrowse/malus_x_domestica/?name=MDP0000141709","MDP0000141709")</f>
        <v>MDP0000141709</v>
      </c>
      <c r="D541">
        <v>68.09</v>
      </c>
      <c r="E541">
        <v>326</v>
      </c>
      <c r="F541">
        <v>104</v>
      </c>
      <c r="G541">
        <v>13</v>
      </c>
      <c r="H541">
        <v>21</v>
      </c>
      <c r="I541">
        <v>334</v>
      </c>
      <c r="J541">
        <v>1</v>
      </c>
      <c r="K541">
        <v>71</v>
      </c>
      <c r="L541">
        <v>395</v>
      </c>
      <c r="M541">
        <v>1</v>
      </c>
      <c r="N541">
        <v>6.1525600000000003E-113</v>
      </c>
      <c r="O541">
        <v>1038</v>
      </c>
    </row>
    <row r="542" spans="1:15" x14ac:dyDescent="0.25">
      <c r="A542" t="s">
        <v>555</v>
      </c>
      <c r="B542">
        <v>802</v>
      </c>
      <c r="C542" s="1" t="str">
        <f>HYPERLINK("http://www.rosaceae.org/gb/gbrowse/malus_x_domestica/?name=MDP0000757727","MDP0000757727")</f>
        <v>MDP0000757727</v>
      </c>
      <c r="D542">
        <v>73.81</v>
      </c>
      <c r="E542">
        <v>783</v>
      </c>
      <c r="F542">
        <v>205</v>
      </c>
      <c r="G542">
        <v>5</v>
      </c>
      <c r="H542">
        <v>19</v>
      </c>
      <c r="I542">
        <v>801</v>
      </c>
      <c r="J542">
        <v>1</v>
      </c>
      <c r="K542">
        <v>20</v>
      </c>
      <c r="L542">
        <v>797</v>
      </c>
      <c r="M542">
        <v>1</v>
      </c>
      <c r="N542">
        <v>0</v>
      </c>
      <c r="O542">
        <v>2940</v>
      </c>
    </row>
    <row r="543" spans="1:15" x14ac:dyDescent="0.25">
      <c r="A543" t="s">
        <v>556</v>
      </c>
      <c r="B543">
        <v>325</v>
      </c>
      <c r="C543" s="1" t="str">
        <f>HYPERLINK("http://www.rosaceae.org/gb/gbrowse/malus_x_domestica/?name=MDP0000176370","MDP0000176370")</f>
        <v>MDP0000176370</v>
      </c>
      <c r="D543">
        <v>69.47</v>
      </c>
      <c r="E543">
        <v>285</v>
      </c>
      <c r="F543">
        <v>87</v>
      </c>
      <c r="G543">
        <v>51</v>
      </c>
      <c r="H543">
        <v>92</v>
      </c>
      <c r="I543">
        <v>325</v>
      </c>
      <c r="J543">
        <v>1</v>
      </c>
      <c r="K543">
        <v>127</v>
      </c>
      <c r="L543">
        <v>411</v>
      </c>
      <c r="M543">
        <v>1</v>
      </c>
      <c r="N543">
        <v>3.4698499999999999E-109</v>
      </c>
      <c r="O543">
        <v>1006</v>
      </c>
    </row>
    <row r="544" spans="1:15" x14ac:dyDescent="0.25">
      <c r="A544" t="s">
        <v>557</v>
      </c>
      <c r="B544">
        <v>432</v>
      </c>
      <c r="C544" s="1" t="str">
        <f>HYPERLINK("http://www.rosaceae.org/gb/gbrowse/malus_x_domestica/?name=MDP0000336758","MDP0000336758")</f>
        <v>MDP0000336758</v>
      </c>
      <c r="D544">
        <v>82.25</v>
      </c>
      <c r="E544">
        <v>434</v>
      </c>
      <c r="F544">
        <v>77</v>
      </c>
      <c r="G544">
        <v>2</v>
      </c>
      <c r="H544">
        <v>1</v>
      </c>
      <c r="I544">
        <v>432</v>
      </c>
      <c r="J544">
        <v>1</v>
      </c>
      <c r="K544">
        <v>11</v>
      </c>
      <c r="L544">
        <v>444</v>
      </c>
      <c r="M544">
        <v>1</v>
      </c>
      <c r="N544">
        <v>0</v>
      </c>
      <c r="O544">
        <v>1916</v>
      </c>
    </row>
    <row r="545" spans="1:15" x14ac:dyDescent="0.25">
      <c r="A545" t="s">
        <v>558</v>
      </c>
      <c r="B545">
        <v>124</v>
      </c>
      <c r="C545" s="1" t="str">
        <f>HYPERLINK("http://www.rosaceae.org/gb/gbrowse/malus_x_domestica/?name=MDP0000189779","MDP0000189779")</f>
        <v>MDP0000189779</v>
      </c>
      <c r="D545">
        <v>68.290000000000006</v>
      </c>
      <c r="E545">
        <v>41</v>
      </c>
      <c r="F545">
        <v>13</v>
      </c>
      <c r="G545">
        <v>0</v>
      </c>
      <c r="H545">
        <v>73</v>
      </c>
      <c r="I545">
        <v>113</v>
      </c>
      <c r="J545">
        <v>1</v>
      </c>
      <c r="K545">
        <v>87</v>
      </c>
      <c r="L545">
        <v>127</v>
      </c>
      <c r="M545">
        <v>1</v>
      </c>
      <c r="N545">
        <v>1.89071E-9</v>
      </c>
      <c r="O545">
        <v>139</v>
      </c>
    </row>
    <row r="546" spans="1:15" x14ac:dyDescent="0.25">
      <c r="A546" t="s">
        <v>559</v>
      </c>
      <c r="B546">
        <v>252</v>
      </c>
      <c r="C546" s="1" t="str">
        <f>HYPERLINK("http://www.rosaceae.org/gb/gbrowse/malus_x_domestica/?name=MDP0000299726","MDP0000299726")</f>
        <v>MDP0000299726</v>
      </c>
      <c r="D546">
        <v>26.27</v>
      </c>
      <c r="E546">
        <v>137</v>
      </c>
      <c r="F546">
        <v>101</v>
      </c>
      <c r="G546">
        <v>1</v>
      </c>
      <c r="H546">
        <v>1</v>
      </c>
      <c r="I546">
        <v>136</v>
      </c>
      <c r="J546">
        <v>1</v>
      </c>
      <c r="K546">
        <v>488</v>
      </c>
      <c r="L546">
        <v>624</v>
      </c>
      <c r="M546">
        <v>1</v>
      </c>
      <c r="N546">
        <v>3.4159299999999998E-10</v>
      </c>
      <c r="O546">
        <v>151</v>
      </c>
    </row>
    <row r="547" spans="1:15" x14ac:dyDescent="0.25">
      <c r="A547" t="s">
        <v>560</v>
      </c>
      <c r="B547">
        <v>314</v>
      </c>
      <c r="C547" s="1" t="str">
        <f>HYPERLINK("http://www.rosaceae.org/gb/gbrowse/malus_x_domestica/?name=MDP0000162563","MDP0000162563")</f>
        <v>MDP0000162563</v>
      </c>
      <c r="D547">
        <v>44.83</v>
      </c>
      <c r="E547">
        <v>310</v>
      </c>
      <c r="F547">
        <v>171</v>
      </c>
      <c r="G547">
        <v>66</v>
      </c>
      <c r="H547">
        <v>18</v>
      </c>
      <c r="I547">
        <v>291</v>
      </c>
      <c r="J547">
        <v>1</v>
      </c>
      <c r="K547">
        <v>13</v>
      </c>
      <c r="L547">
        <v>292</v>
      </c>
      <c r="M547">
        <v>1</v>
      </c>
      <c r="N547">
        <v>5.5674399999999997E-58</v>
      </c>
      <c r="O547">
        <v>564</v>
      </c>
    </row>
    <row r="548" spans="1:15" x14ac:dyDescent="0.25">
      <c r="A548" t="s">
        <v>561</v>
      </c>
      <c r="B548">
        <v>390</v>
      </c>
      <c r="C548" s="1" t="str">
        <f>HYPERLINK("http://www.rosaceae.org/gb/gbrowse/malus_x_domestica/?name=MDP0000119237","MDP0000119237")</f>
        <v>MDP0000119237</v>
      </c>
      <c r="D548">
        <v>86.04</v>
      </c>
      <c r="E548">
        <v>394</v>
      </c>
      <c r="F548">
        <v>55</v>
      </c>
      <c r="G548">
        <v>5</v>
      </c>
      <c r="H548">
        <v>1</v>
      </c>
      <c r="I548">
        <v>390</v>
      </c>
      <c r="J548">
        <v>1</v>
      </c>
      <c r="K548">
        <v>1</v>
      </c>
      <c r="L548">
        <v>393</v>
      </c>
      <c r="M548">
        <v>1</v>
      </c>
      <c r="N548">
        <v>0</v>
      </c>
      <c r="O548">
        <v>1796</v>
      </c>
    </row>
    <row r="549" spans="1:15" x14ac:dyDescent="0.25">
      <c r="A549" t="s">
        <v>562</v>
      </c>
      <c r="B549">
        <v>222</v>
      </c>
      <c r="C549" s="1" t="str">
        <f>HYPERLINK("http://www.rosaceae.org/gb/gbrowse/malus_x_domestica/?name=MDP0000208098","MDP0000208098")</f>
        <v>MDP0000208098</v>
      </c>
      <c r="D549">
        <v>60.55</v>
      </c>
      <c r="E549">
        <v>109</v>
      </c>
      <c r="F549">
        <v>43</v>
      </c>
      <c r="G549">
        <v>2</v>
      </c>
      <c r="H549">
        <v>113</v>
      </c>
      <c r="I549">
        <v>221</v>
      </c>
      <c r="J549">
        <v>1</v>
      </c>
      <c r="K549">
        <v>83</v>
      </c>
      <c r="L549">
        <v>189</v>
      </c>
      <c r="M549">
        <v>1</v>
      </c>
      <c r="N549">
        <v>4.2451900000000003E-34</v>
      </c>
      <c r="O549">
        <v>356</v>
      </c>
    </row>
    <row r="550" spans="1:15" x14ac:dyDescent="0.25">
      <c r="A550" t="s">
        <v>563</v>
      </c>
      <c r="B550">
        <v>957</v>
      </c>
      <c r="C550" s="1" t="str">
        <f>HYPERLINK("http://www.rosaceae.org/gb/gbrowse/malus_x_domestica/?name=MDP0000304705","MDP0000304705")</f>
        <v>MDP0000304705</v>
      </c>
      <c r="D550">
        <v>42.23</v>
      </c>
      <c r="E550">
        <v>1094</v>
      </c>
      <c r="F550">
        <v>632</v>
      </c>
      <c r="G550">
        <v>158</v>
      </c>
      <c r="H550">
        <v>5</v>
      </c>
      <c r="I550">
        <v>955</v>
      </c>
      <c r="J550">
        <v>1</v>
      </c>
      <c r="K550">
        <v>1351</v>
      </c>
      <c r="L550">
        <v>2429</v>
      </c>
      <c r="M550">
        <v>1</v>
      </c>
      <c r="N550">
        <v>0</v>
      </c>
      <c r="O550">
        <v>1856</v>
      </c>
    </row>
    <row r="551" spans="1:15" x14ac:dyDescent="0.25">
      <c r="A551" t="s">
        <v>564</v>
      </c>
      <c r="B551">
        <v>120</v>
      </c>
      <c r="C551" s="1" t="str">
        <f>HYPERLINK("http://www.rosaceae.org/gb/gbrowse/malus_x_domestica/?name=MDP0000182136","MDP0000182136")</f>
        <v>MDP0000182136</v>
      </c>
      <c r="D551">
        <v>80.83</v>
      </c>
      <c r="E551">
        <v>120</v>
      </c>
      <c r="F551">
        <v>23</v>
      </c>
      <c r="G551">
        <v>0</v>
      </c>
      <c r="H551">
        <v>1</v>
      </c>
      <c r="I551">
        <v>120</v>
      </c>
      <c r="J551">
        <v>1</v>
      </c>
      <c r="K551">
        <v>69</v>
      </c>
      <c r="L551">
        <v>188</v>
      </c>
      <c r="M551">
        <v>1</v>
      </c>
      <c r="N551">
        <v>7.0667600000000005E-54</v>
      </c>
      <c r="O551">
        <v>522</v>
      </c>
    </row>
    <row r="552" spans="1:15" x14ac:dyDescent="0.25">
      <c r="A552" t="s">
        <v>565</v>
      </c>
      <c r="B552">
        <v>1739</v>
      </c>
      <c r="C552" s="1" t="str">
        <f>HYPERLINK("http://www.rosaceae.org/gb/gbrowse/malus_x_domestica/?name=MDP0000282782","MDP0000282782")</f>
        <v>MDP0000282782</v>
      </c>
      <c r="D552">
        <v>86.13</v>
      </c>
      <c r="E552">
        <v>1760</v>
      </c>
      <c r="F552">
        <v>244</v>
      </c>
      <c r="G552">
        <v>48</v>
      </c>
      <c r="H552">
        <v>1</v>
      </c>
      <c r="I552">
        <v>1718</v>
      </c>
      <c r="J552">
        <v>1</v>
      </c>
      <c r="K552">
        <v>1</v>
      </c>
      <c r="L552">
        <v>1754</v>
      </c>
      <c r="M552">
        <v>1</v>
      </c>
      <c r="N552">
        <v>0</v>
      </c>
      <c r="O552">
        <v>8056</v>
      </c>
    </row>
    <row r="553" spans="1:15" x14ac:dyDescent="0.25">
      <c r="A553" t="s">
        <v>566</v>
      </c>
      <c r="B553">
        <v>110</v>
      </c>
      <c r="C553" s="1" t="str">
        <f>HYPERLINK("http://www.rosaceae.org/gb/gbrowse/malus_x_domestica/?name=MDP0000265817","MDP0000265817")</f>
        <v>MDP0000265817</v>
      </c>
      <c r="D553">
        <v>63.63</v>
      </c>
      <c r="E553">
        <v>66</v>
      </c>
      <c r="F553">
        <v>24</v>
      </c>
      <c r="G553">
        <v>0</v>
      </c>
      <c r="H553">
        <v>30</v>
      </c>
      <c r="I553">
        <v>95</v>
      </c>
      <c r="J553">
        <v>1</v>
      </c>
      <c r="K553">
        <v>42</v>
      </c>
      <c r="L553">
        <v>107</v>
      </c>
      <c r="M553">
        <v>1</v>
      </c>
      <c r="N553">
        <v>6.1874899999999999E-21</v>
      </c>
      <c r="O553">
        <v>238</v>
      </c>
    </row>
    <row r="554" spans="1:15" x14ac:dyDescent="0.25">
      <c r="A554" t="s">
        <v>567</v>
      </c>
      <c r="B554">
        <v>309</v>
      </c>
      <c r="C554" s="1" t="str">
        <f>HYPERLINK("http://www.rosaceae.org/gb/gbrowse/malus_x_domestica/?name=MDP0000806945","MDP0000806945")</f>
        <v>MDP0000806945</v>
      </c>
      <c r="D554">
        <v>80.760000000000005</v>
      </c>
      <c r="E554">
        <v>312</v>
      </c>
      <c r="F554">
        <v>60</v>
      </c>
      <c r="G554">
        <v>5</v>
      </c>
      <c r="H554">
        <v>1</v>
      </c>
      <c r="I554">
        <v>309</v>
      </c>
      <c r="J554">
        <v>1</v>
      </c>
      <c r="K554">
        <v>1</v>
      </c>
      <c r="L554">
        <v>310</v>
      </c>
      <c r="M554">
        <v>1</v>
      </c>
      <c r="N554">
        <v>1.29349E-146</v>
      </c>
      <c r="O554">
        <v>1329</v>
      </c>
    </row>
    <row r="555" spans="1:15" x14ac:dyDescent="0.25">
      <c r="A555" t="s">
        <v>568</v>
      </c>
      <c r="B555">
        <v>232</v>
      </c>
      <c r="C555" s="1" t="str">
        <f>HYPERLINK("http://www.rosaceae.org/gb/gbrowse/malus_x_domestica/?name=MDP0000931057","MDP0000931057")</f>
        <v>MDP0000931057</v>
      </c>
      <c r="D555">
        <v>55.71</v>
      </c>
      <c r="E555">
        <v>70</v>
      </c>
      <c r="F555">
        <v>31</v>
      </c>
      <c r="G555">
        <v>10</v>
      </c>
      <c r="H555">
        <v>133</v>
      </c>
      <c r="I555">
        <v>202</v>
      </c>
      <c r="J555">
        <v>1</v>
      </c>
      <c r="K555">
        <v>103</v>
      </c>
      <c r="L555">
        <v>162</v>
      </c>
      <c r="M555">
        <v>1</v>
      </c>
      <c r="N555">
        <v>1.12813E-13</v>
      </c>
      <c r="O555">
        <v>180</v>
      </c>
    </row>
    <row r="556" spans="1:15" x14ac:dyDescent="0.25">
      <c r="A556" t="s">
        <v>569</v>
      </c>
      <c r="B556">
        <v>154</v>
      </c>
      <c r="C556" s="1" t="str">
        <f>HYPERLINK("http://www.rosaceae.org/gb/gbrowse/malus_x_domestica/?name=MDP0000287351","MDP0000287351")</f>
        <v>MDP0000287351</v>
      </c>
      <c r="D556">
        <v>72.069999999999993</v>
      </c>
      <c r="E556">
        <v>154</v>
      </c>
      <c r="F556">
        <v>43</v>
      </c>
      <c r="G556">
        <v>4</v>
      </c>
      <c r="H556">
        <v>2</v>
      </c>
      <c r="I556">
        <v>151</v>
      </c>
      <c r="J556">
        <v>1</v>
      </c>
      <c r="K556">
        <v>9</v>
      </c>
      <c r="L556">
        <v>162</v>
      </c>
      <c r="M556">
        <v>1</v>
      </c>
      <c r="N556">
        <v>4.3603199999999998E-60</v>
      </c>
      <c r="O556">
        <v>578</v>
      </c>
    </row>
    <row r="557" spans="1:15" x14ac:dyDescent="0.25">
      <c r="A557" t="s">
        <v>570</v>
      </c>
      <c r="B557">
        <v>1022</v>
      </c>
      <c r="C557" s="1" t="str">
        <f>HYPERLINK("http://www.rosaceae.org/gb/gbrowse/malus_x_domestica/?name=MDP0000323330","MDP0000323330")</f>
        <v>MDP0000323330</v>
      </c>
      <c r="D557">
        <v>81.17</v>
      </c>
      <c r="E557">
        <v>717</v>
      </c>
      <c r="F557">
        <v>135</v>
      </c>
      <c r="G557">
        <v>17</v>
      </c>
      <c r="H557">
        <v>323</v>
      </c>
      <c r="I557">
        <v>1022</v>
      </c>
      <c r="J557">
        <v>1</v>
      </c>
      <c r="K557">
        <v>1</v>
      </c>
      <c r="L557">
        <v>717</v>
      </c>
      <c r="M557">
        <v>1</v>
      </c>
      <c r="N557">
        <v>0</v>
      </c>
      <c r="O557">
        <v>3072</v>
      </c>
    </row>
    <row r="558" spans="1:15" x14ac:dyDescent="0.25">
      <c r="A558" t="s">
        <v>571</v>
      </c>
      <c r="B558">
        <v>204</v>
      </c>
      <c r="C558" s="1" t="str">
        <f>HYPERLINK("http://www.rosaceae.org/gb/gbrowse/malus_x_domestica/?name=MDP0000130467","MDP0000130467")</f>
        <v>MDP0000130467</v>
      </c>
      <c r="D558">
        <v>77.400000000000006</v>
      </c>
      <c r="E558">
        <v>208</v>
      </c>
      <c r="F558">
        <v>47</v>
      </c>
      <c r="G558">
        <v>6</v>
      </c>
      <c r="H558">
        <v>1</v>
      </c>
      <c r="I558">
        <v>203</v>
      </c>
      <c r="J558">
        <v>1</v>
      </c>
      <c r="K558">
        <v>1</v>
      </c>
      <c r="L558">
        <v>207</v>
      </c>
      <c r="M558">
        <v>1</v>
      </c>
      <c r="N558">
        <v>1.9453199999999999E-91</v>
      </c>
      <c r="O558">
        <v>850</v>
      </c>
    </row>
    <row r="559" spans="1:15" x14ac:dyDescent="0.25">
      <c r="A559" t="s">
        <v>572</v>
      </c>
      <c r="B559">
        <v>353</v>
      </c>
      <c r="C559" s="1" t="str">
        <f>HYPERLINK("http://www.rosaceae.org/gb/gbrowse/malus_x_domestica/?name=MDP0000171771","MDP0000171771")</f>
        <v>MDP0000171771</v>
      </c>
      <c r="D559">
        <v>35.21</v>
      </c>
      <c r="E559">
        <v>213</v>
      </c>
      <c r="F559">
        <v>138</v>
      </c>
      <c r="G559">
        <v>38</v>
      </c>
      <c r="H559">
        <v>49</v>
      </c>
      <c r="I559">
        <v>239</v>
      </c>
      <c r="J559">
        <v>1</v>
      </c>
      <c r="K559">
        <v>23</v>
      </c>
      <c r="L559">
        <v>219</v>
      </c>
      <c r="M559">
        <v>1</v>
      </c>
      <c r="N559">
        <v>1.3661400000000001E-23</v>
      </c>
      <c r="O559">
        <v>268</v>
      </c>
    </row>
    <row r="560" spans="1:15" x14ac:dyDescent="0.25">
      <c r="A560" t="s">
        <v>573</v>
      </c>
      <c r="B560">
        <v>792</v>
      </c>
      <c r="C560" s="1" t="str">
        <f>HYPERLINK("http://www.rosaceae.org/gb/gbrowse/malus_x_domestica/?name=MDP0000196358","MDP0000196358")</f>
        <v>MDP0000196358</v>
      </c>
      <c r="D560">
        <v>40.21</v>
      </c>
      <c r="E560">
        <v>751</v>
      </c>
      <c r="F560">
        <v>449</v>
      </c>
      <c r="G560">
        <v>29</v>
      </c>
      <c r="H560">
        <v>42</v>
      </c>
      <c r="I560">
        <v>789</v>
      </c>
      <c r="J560">
        <v>1</v>
      </c>
      <c r="K560">
        <v>31</v>
      </c>
      <c r="L560">
        <v>755</v>
      </c>
      <c r="M560">
        <v>1</v>
      </c>
      <c r="N560">
        <v>2.5928100000000001E-156</v>
      </c>
      <c r="O560">
        <v>1417</v>
      </c>
    </row>
    <row r="561" spans="1:15" x14ac:dyDescent="0.25">
      <c r="A561" t="s">
        <v>574</v>
      </c>
      <c r="B561">
        <v>404</v>
      </c>
      <c r="C561" s="1" t="str">
        <f>HYPERLINK("http://www.rosaceae.org/gb/gbrowse/malus_x_domestica/?name=MDP0000292152","MDP0000292152")</f>
        <v>MDP0000292152</v>
      </c>
      <c r="D561">
        <v>40.299999999999997</v>
      </c>
      <c r="E561">
        <v>263</v>
      </c>
      <c r="F561">
        <v>157</v>
      </c>
      <c r="G561">
        <v>56</v>
      </c>
      <c r="H561">
        <v>169</v>
      </c>
      <c r="I561">
        <v>380</v>
      </c>
      <c r="J561">
        <v>1</v>
      </c>
      <c r="K561">
        <v>232</v>
      </c>
      <c r="L561">
        <v>489</v>
      </c>
      <c r="M561">
        <v>1</v>
      </c>
      <c r="N561">
        <v>9.0722400000000003E-44</v>
      </c>
      <c r="O561">
        <v>443</v>
      </c>
    </row>
    <row r="562" spans="1:15" x14ac:dyDescent="0.25">
      <c r="A562" t="s">
        <v>575</v>
      </c>
      <c r="B562">
        <v>600</v>
      </c>
      <c r="C562" s="1" t="str">
        <f>HYPERLINK("http://www.rosaceae.org/gb/gbrowse/malus_x_domestica/?name=MDP0000127988","MDP0000127988")</f>
        <v>MDP0000127988</v>
      </c>
      <c r="D562">
        <v>66</v>
      </c>
      <c r="E562">
        <v>600</v>
      </c>
      <c r="F562">
        <v>204</v>
      </c>
      <c r="G562">
        <v>9</v>
      </c>
      <c r="H562">
        <v>4</v>
      </c>
      <c r="I562">
        <v>600</v>
      </c>
      <c r="J562">
        <v>1</v>
      </c>
      <c r="K562">
        <v>12</v>
      </c>
      <c r="L562">
        <v>605</v>
      </c>
      <c r="M562">
        <v>1</v>
      </c>
      <c r="N562">
        <v>0</v>
      </c>
      <c r="O562">
        <v>1992</v>
      </c>
    </row>
    <row r="563" spans="1:15" x14ac:dyDescent="0.25">
      <c r="A563" t="s">
        <v>576</v>
      </c>
      <c r="B563">
        <v>400</v>
      </c>
      <c r="C563" s="1" t="str">
        <f>HYPERLINK("http://www.rosaceae.org/gb/gbrowse/malus_x_domestica/?name=MDP0000226294","MDP0000226294")</f>
        <v>MDP0000226294</v>
      </c>
      <c r="D563">
        <v>45.62</v>
      </c>
      <c r="E563">
        <v>217</v>
      </c>
      <c r="F563">
        <v>118</v>
      </c>
      <c r="G563">
        <v>5</v>
      </c>
      <c r="H563">
        <v>182</v>
      </c>
      <c r="I563">
        <v>398</v>
      </c>
      <c r="J563">
        <v>1</v>
      </c>
      <c r="K563">
        <v>594</v>
      </c>
      <c r="L563">
        <v>805</v>
      </c>
      <c r="M563">
        <v>1</v>
      </c>
      <c r="N563">
        <v>5.2835599999999999E-49</v>
      </c>
      <c r="O563">
        <v>488</v>
      </c>
    </row>
    <row r="564" spans="1:15" x14ac:dyDescent="0.25">
      <c r="A564" t="s">
        <v>577</v>
      </c>
      <c r="B564">
        <v>123</v>
      </c>
      <c r="C564" s="1" t="str">
        <f>HYPERLINK("http://www.rosaceae.org/gb/gbrowse/malus_x_domestica/?name=MDP0000415894","MDP0000415894")</f>
        <v>MDP0000415894</v>
      </c>
      <c r="D564">
        <v>63.02</v>
      </c>
      <c r="E564">
        <v>119</v>
      </c>
      <c r="F564">
        <v>44</v>
      </c>
      <c r="G564">
        <v>6</v>
      </c>
      <c r="H564">
        <v>1</v>
      </c>
      <c r="I564">
        <v>118</v>
      </c>
      <c r="J564">
        <v>1</v>
      </c>
      <c r="K564">
        <v>910</v>
      </c>
      <c r="L564">
        <v>1023</v>
      </c>
      <c r="M564">
        <v>1</v>
      </c>
      <c r="N564">
        <v>9.4269400000000004E-34</v>
      </c>
      <c r="O564">
        <v>349</v>
      </c>
    </row>
    <row r="565" spans="1:15" x14ac:dyDescent="0.25">
      <c r="A565" t="s">
        <v>578</v>
      </c>
      <c r="B565">
        <v>555</v>
      </c>
      <c r="C565" s="1" t="str">
        <f>HYPERLINK("http://www.rosaceae.org/gb/gbrowse/malus_x_domestica/?name=MDP0000131013","MDP0000131013")</f>
        <v>MDP0000131013</v>
      </c>
      <c r="D565">
        <v>72.25</v>
      </c>
      <c r="E565">
        <v>591</v>
      </c>
      <c r="F565">
        <v>164</v>
      </c>
      <c r="G565">
        <v>89</v>
      </c>
      <c r="H565">
        <v>52</v>
      </c>
      <c r="I565">
        <v>555</v>
      </c>
      <c r="J565">
        <v>1</v>
      </c>
      <c r="K565">
        <v>58</v>
      </c>
      <c r="L565">
        <v>646</v>
      </c>
      <c r="M565">
        <v>1</v>
      </c>
      <c r="N565">
        <v>0</v>
      </c>
      <c r="O565">
        <v>2199</v>
      </c>
    </row>
    <row r="566" spans="1:15" x14ac:dyDescent="0.25">
      <c r="A566" t="s">
        <v>579</v>
      </c>
      <c r="B566">
        <v>1040</v>
      </c>
      <c r="C566" s="1" t="str">
        <f>HYPERLINK("http://www.rosaceae.org/gb/gbrowse/malus_x_domestica/?name=MDP0000779202","MDP0000779202")</f>
        <v>MDP0000779202</v>
      </c>
      <c r="D566">
        <v>53.72</v>
      </c>
      <c r="E566">
        <v>791</v>
      </c>
      <c r="F566">
        <v>366</v>
      </c>
      <c r="G566">
        <v>40</v>
      </c>
      <c r="H566">
        <v>277</v>
      </c>
      <c r="I566">
        <v>1040</v>
      </c>
      <c r="J566">
        <v>1</v>
      </c>
      <c r="K566">
        <v>291</v>
      </c>
      <c r="L566">
        <v>1068</v>
      </c>
      <c r="M566">
        <v>1</v>
      </c>
      <c r="N566">
        <v>0</v>
      </c>
      <c r="O566">
        <v>2130</v>
      </c>
    </row>
    <row r="567" spans="1:15" x14ac:dyDescent="0.25">
      <c r="A567" t="s">
        <v>580</v>
      </c>
      <c r="B567">
        <v>83</v>
      </c>
      <c r="C567" s="1" t="str">
        <f>HYPERLINK("http://www.rosaceae.org/gb/gbrowse/malus_x_domestica/?name=MDP0000283389","MDP0000283389")</f>
        <v>MDP0000283389</v>
      </c>
      <c r="D567">
        <v>77.209999999999994</v>
      </c>
      <c r="E567">
        <v>79</v>
      </c>
      <c r="F567">
        <v>18</v>
      </c>
      <c r="G567">
        <v>0</v>
      </c>
      <c r="H567">
        <v>5</v>
      </c>
      <c r="I567">
        <v>83</v>
      </c>
      <c r="J567">
        <v>1</v>
      </c>
      <c r="K567">
        <v>247</v>
      </c>
      <c r="L567">
        <v>325</v>
      </c>
      <c r="M567">
        <v>1</v>
      </c>
      <c r="N567">
        <v>4.7516399999999998E-34</v>
      </c>
      <c r="O567">
        <v>351</v>
      </c>
    </row>
    <row r="568" spans="1:15" x14ac:dyDescent="0.25">
      <c r="A568" t="s">
        <v>581</v>
      </c>
      <c r="B568">
        <v>419</v>
      </c>
      <c r="C568" s="1" t="str">
        <f>HYPERLINK("http://www.rosaceae.org/gb/gbrowse/malus_x_domestica/?name=MDP0000154116","MDP0000154116")</f>
        <v>MDP0000154116</v>
      </c>
      <c r="D568">
        <v>52.02</v>
      </c>
      <c r="E568">
        <v>419</v>
      </c>
      <c r="F568">
        <v>201</v>
      </c>
      <c r="G568">
        <v>23</v>
      </c>
      <c r="H568">
        <v>1</v>
      </c>
      <c r="I568">
        <v>418</v>
      </c>
      <c r="J568">
        <v>1</v>
      </c>
      <c r="K568">
        <v>99</v>
      </c>
      <c r="L568">
        <v>495</v>
      </c>
      <c r="M568">
        <v>1</v>
      </c>
      <c r="N568">
        <v>3.6434500000000004E-108</v>
      </c>
      <c r="O568">
        <v>998</v>
      </c>
    </row>
    <row r="569" spans="1:15" x14ac:dyDescent="0.25">
      <c r="A569" t="s">
        <v>582</v>
      </c>
      <c r="B569">
        <v>578</v>
      </c>
      <c r="C569" s="1" t="str">
        <f>HYPERLINK("http://www.rosaceae.org/gb/gbrowse/malus_x_domestica/?name=MDP0000282789","MDP0000282789")</f>
        <v>MDP0000282789</v>
      </c>
      <c r="D569">
        <v>73.63</v>
      </c>
      <c r="E569">
        <v>569</v>
      </c>
      <c r="F569">
        <v>150</v>
      </c>
      <c r="G569">
        <v>26</v>
      </c>
      <c r="H569">
        <v>5</v>
      </c>
      <c r="I569">
        <v>573</v>
      </c>
      <c r="J569">
        <v>1</v>
      </c>
      <c r="K569">
        <v>11</v>
      </c>
      <c r="L569">
        <v>553</v>
      </c>
      <c r="M569">
        <v>1</v>
      </c>
      <c r="N569">
        <v>0</v>
      </c>
      <c r="O569">
        <v>2174</v>
      </c>
    </row>
    <row r="570" spans="1:15" x14ac:dyDescent="0.25">
      <c r="A570" t="s">
        <v>583</v>
      </c>
      <c r="B570">
        <v>462</v>
      </c>
      <c r="C570" s="1" t="str">
        <f>HYPERLINK("http://www.rosaceae.org/gb/gbrowse/malus_x_domestica/?name=MDP0000169320","MDP0000169320")</f>
        <v>MDP0000169320</v>
      </c>
      <c r="D570">
        <v>38.770000000000003</v>
      </c>
      <c r="E570">
        <v>294</v>
      </c>
      <c r="F570">
        <v>180</v>
      </c>
      <c r="G570">
        <v>29</v>
      </c>
      <c r="H570">
        <v>192</v>
      </c>
      <c r="I570">
        <v>462</v>
      </c>
      <c r="J570">
        <v>1</v>
      </c>
      <c r="K570">
        <v>840</v>
      </c>
      <c r="L570">
        <v>1127</v>
      </c>
      <c r="M570">
        <v>1</v>
      </c>
      <c r="N570">
        <v>1.74436E-48</v>
      </c>
      <c r="O570">
        <v>484</v>
      </c>
    </row>
    <row r="571" spans="1:15" x14ac:dyDescent="0.25">
      <c r="A571" t="s">
        <v>584</v>
      </c>
      <c r="B571">
        <v>476</v>
      </c>
      <c r="C571" s="1" t="str">
        <f>HYPERLINK("http://www.rosaceae.org/gb/gbrowse/malus_x_domestica/?name=MDP0000249675","MDP0000249675")</f>
        <v>MDP0000249675</v>
      </c>
      <c r="D571">
        <v>75</v>
      </c>
      <c r="E571">
        <v>196</v>
      </c>
      <c r="F571">
        <v>49</v>
      </c>
      <c r="G571">
        <v>21</v>
      </c>
      <c r="H571">
        <v>115</v>
      </c>
      <c r="I571">
        <v>289</v>
      </c>
      <c r="J571">
        <v>1</v>
      </c>
      <c r="K571">
        <v>291</v>
      </c>
      <c r="L571">
        <v>486</v>
      </c>
      <c r="M571">
        <v>1</v>
      </c>
      <c r="N571">
        <v>1.22453E-78</v>
      </c>
      <c r="O571">
        <v>744</v>
      </c>
    </row>
    <row r="572" spans="1:15" x14ac:dyDescent="0.25">
      <c r="A572" t="s">
        <v>585</v>
      </c>
      <c r="B572">
        <v>448</v>
      </c>
      <c r="C572" s="1" t="str">
        <f>HYPERLINK("http://www.rosaceae.org/gb/gbrowse/malus_x_domestica/?name=MDP0000561267","MDP0000561267")</f>
        <v>MDP0000561267</v>
      </c>
      <c r="D572">
        <v>39.42</v>
      </c>
      <c r="E572">
        <v>208</v>
      </c>
      <c r="F572">
        <v>126</v>
      </c>
      <c r="G572">
        <v>13</v>
      </c>
      <c r="H572">
        <v>248</v>
      </c>
      <c r="I572">
        <v>443</v>
      </c>
      <c r="J572">
        <v>1</v>
      </c>
      <c r="K572">
        <v>101</v>
      </c>
      <c r="L572">
        <v>307</v>
      </c>
      <c r="M572">
        <v>1</v>
      </c>
      <c r="N572">
        <v>3.1212300000000002E-32</v>
      </c>
      <c r="O572">
        <v>344</v>
      </c>
    </row>
    <row r="573" spans="1:15" x14ac:dyDescent="0.25">
      <c r="A573" t="s">
        <v>586</v>
      </c>
      <c r="B573">
        <v>141</v>
      </c>
      <c r="C573" s="1" t="str">
        <f>HYPERLINK("http://www.rosaceae.org/gb/gbrowse/malus_x_domestica/?name=MDP0000231779","MDP0000231779")</f>
        <v>MDP0000231779</v>
      </c>
      <c r="D573">
        <v>47.22</v>
      </c>
      <c r="E573">
        <v>144</v>
      </c>
      <c r="F573">
        <v>76</v>
      </c>
      <c r="G573">
        <v>6</v>
      </c>
      <c r="H573">
        <v>2</v>
      </c>
      <c r="I573">
        <v>140</v>
      </c>
      <c r="J573">
        <v>1</v>
      </c>
      <c r="K573">
        <v>92</v>
      </c>
      <c r="L573">
        <v>234</v>
      </c>
      <c r="M573">
        <v>1</v>
      </c>
      <c r="N573">
        <v>1.2701299999999999E-30</v>
      </c>
      <c r="O573">
        <v>323</v>
      </c>
    </row>
    <row r="574" spans="1:15" x14ac:dyDescent="0.25">
      <c r="A574" t="s">
        <v>587</v>
      </c>
      <c r="B574">
        <v>104</v>
      </c>
      <c r="C574" s="1" t="str">
        <f>HYPERLINK("http://www.rosaceae.org/gb/gbrowse/malus_x_domestica/?name=MDP0000373966","MDP0000373966")</f>
        <v>MDP0000373966</v>
      </c>
      <c r="D574">
        <v>68.180000000000007</v>
      </c>
      <c r="E574">
        <v>88</v>
      </c>
      <c r="F574">
        <v>28</v>
      </c>
      <c r="G574">
        <v>3</v>
      </c>
      <c r="H574">
        <v>20</v>
      </c>
      <c r="I574">
        <v>104</v>
      </c>
      <c r="J574">
        <v>1</v>
      </c>
      <c r="K574">
        <v>1913</v>
      </c>
      <c r="L574">
        <v>2000</v>
      </c>
      <c r="M574">
        <v>1</v>
      </c>
      <c r="N574">
        <v>2.2702799999999999E-38</v>
      </c>
      <c r="O574">
        <v>388</v>
      </c>
    </row>
    <row r="575" spans="1:15" x14ac:dyDescent="0.25">
      <c r="A575" t="s">
        <v>588</v>
      </c>
      <c r="B575">
        <v>233</v>
      </c>
      <c r="C575" s="1" t="str">
        <f>HYPERLINK("http://www.rosaceae.org/gb/gbrowse/malus_x_domestica/?name=MDP0000360515","MDP0000360515")</f>
        <v>MDP0000360515</v>
      </c>
      <c r="D575">
        <v>69.599999999999994</v>
      </c>
      <c r="E575">
        <v>102</v>
      </c>
      <c r="F575">
        <v>31</v>
      </c>
      <c r="G575">
        <v>6</v>
      </c>
      <c r="H575">
        <v>35</v>
      </c>
      <c r="I575">
        <v>130</v>
      </c>
      <c r="J575">
        <v>1</v>
      </c>
      <c r="K575">
        <v>100</v>
      </c>
      <c r="L575">
        <v>201</v>
      </c>
      <c r="M575">
        <v>1</v>
      </c>
      <c r="N575">
        <v>2.26078E-30</v>
      </c>
      <c r="O575">
        <v>324</v>
      </c>
    </row>
    <row r="576" spans="1:15" x14ac:dyDescent="0.25">
      <c r="A576" t="s">
        <v>589</v>
      </c>
      <c r="B576">
        <v>480</v>
      </c>
      <c r="C576" s="1" t="str">
        <f>HYPERLINK("http://www.rosaceae.org/gb/gbrowse/malus_x_domestica/?name=MDP0000276045","MDP0000276045")</f>
        <v>MDP0000276045</v>
      </c>
      <c r="D576">
        <v>67.36</v>
      </c>
      <c r="E576">
        <v>95</v>
      </c>
      <c r="F576">
        <v>31</v>
      </c>
      <c r="G576">
        <v>14</v>
      </c>
      <c r="H576">
        <v>396</v>
      </c>
      <c r="I576">
        <v>477</v>
      </c>
      <c r="J576">
        <v>1</v>
      </c>
      <c r="K576">
        <v>145</v>
      </c>
      <c r="L576">
        <v>238</v>
      </c>
      <c r="M576">
        <v>1</v>
      </c>
      <c r="N576">
        <v>6.6688800000000001E-25</v>
      </c>
      <c r="O576">
        <v>281</v>
      </c>
    </row>
    <row r="577" spans="1:15" x14ac:dyDescent="0.25">
      <c r="A577" t="s">
        <v>590</v>
      </c>
      <c r="B577">
        <v>223</v>
      </c>
      <c r="C577" s="1" t="str">
        <f>HYPERLINK("http://www.rosaceae.org/gb/gbrowse/malus_x_domestica/?name=MDP0000256194","MDP0000256194")</f>
        <v>MDP0000256194</v>
      </c>
      <c r="D577">
        <v>73.2</v>
      </c>
      <c r="E577">
        <v>209</v>
      </c>
      <c r="F577">
        <v>56</v>
      </c>
      <c r="G577">
        <v>15</v>
      </c>
      <c r="H577">
        <v>28</v>
      </c>
      <c r="I577">
        <v>223</v>
      </c>
      <c r="J577">
        <v>1</v>
      </c>
      <c r="K577">
        <v>190</v>
      </c>
      <c r="L577">
        <v>396</v>
      </c>
      <c r="M577">
        <v>1</v>
      </c>
      <c r="N577">
        <v>9.9628200000000005E-84</v>
      </c>
      <c r="O577">
        <v>784</v>
      </c>
    </row>
    <row r="578" spans="1:15" x14ac:dyDescent="0.25">
      <c r="A578" t="s">
        <v>591</v>
      </c>
      <c r="B578">
        <v>829</v>
      </c>
      <c r="C578" s="1" t="str">
        <f>HYPERLINK("http://www.rosaceae.org/gb/gbrowse/malus_x_domestica/?name=MDP0000276836","MDP0000276836")</f>
        <v>MDP0000276836</v>
      </c>
      <c r="D578">
        <v>70.05</v>
      </c>
      <c r="E578">
        <v>531</v>
      </c>
      <c r="F578">
        <v>159</v>
      </c>
      <c r="G578">
        <v>11</v>
      </c>
      <c r="H578">
        <v>1</v>
      </c>
      <c r="I578">
        <v>521</v>
      </c>
      <c r="J578">
        <v>1</v>
      </c>
      <c r="K578">
        <v>441</v>
      </c>
      <c r="L578">
        <v>970</v>
      </c>
      <c r="M578">
        <v>1</v>
      </c>
      <c r="N578">
        <v>0</v>
      </c>
      <c r="O578">
        <v>1941</v>
      </c>
    </row>
    <row r="579" spans="1:15" x14ac:dyDescent="0.25">
      <c r="A579" t="s">
        <v>592</v>
      </c>
      <c r="B579">
        <v>109</v>
      </c>
      <c r="C579" s="1" t="str">
        <f>HYPERLINK("http://www.rosaceae.org/gb/gbrowse/malus_x_domestica/?name=MDP0000253105","MDP0000253105")</f>
        <v>MDP0000253105</v>
      </c>
      <c r="D579">
        <v>69.09</v>
      </c>
      <c r="E579">
        <v>55</v>
      </c>
      <c r="F579">
        <v>17</v>
      </c>
      <c r="G579">
        <v>2</v>
      </c>
      <c r="H579">
        <v>55</v>
      </c>
      <c r="I579">
        <v>108</v>
      </c>
      <c r="J579">
        <v>1</v>
      </c>
      <c r="K579">
        <v>1</v>
      </c>
      <c r="L579">
        <v>54</v>
      </c>
      <c r="M579">
        <v>1</v>
      </c>
      <c r="N579">
        <v>1.3630000000000001E-13</v>
      </c>
      <c r="O579">
        <v>175</v>
      </c>
    </row>
    <row r="580" spans="1:15" x14ac:dyDescent="0.25">
      <c r="A580" t="s">
        <v>593</v>
      </c>
      <c r="B580">
        <v>154</v>
      </c>
      <c r="C580" s="1" t="str">
        <f>HYPERLINK("http://www.rosaceae.org/gb/gbrowse/malus_x_domestica/?name=MDP0000318341","MDP0000318341")</f>
        <v>MDP0000318341</v>
      </c>
      <c r="D580">
        <v>56.12</v>
      </c>
      <c r="E580">
        <v>98</v>
      </c>
      <c r="F580">
        <v>43</v>
      </c>
      <c r="G580">
        <v>0</v>
      </c>
      <c r="H580">
        <v>22</v>
      </c>
      <c r="I580">
        <v>119</v>
      </c>
      <c r="J580">
        <v>1</v>
      </c>
      <c r="K580">
        <v>32</v>
      </c>
      <c r="L580">
        <v>129</v>
      </c>
      <c r="M580">
        <v>1</v>
      </c>
      <c r="N580">
        <v>1.9914799999999999E-29</v>
      </c>
      <c r="O580">
        <v>313</v>
      </c>
    </row>
    <row r="581" spans="1:15" x14ac:dyDescent="0.25">
      <c r="A581" t="s">
        <v>594</v>
      </c>
      <c r="B581">
        <v>327</v>
      </c>
      <c r="C581" s="1" t="str">
        <f>HYPERLINK("http://www.rosaceae.org/gb/gbrowse/malus_x_domestica/?name=MDP0000174734","MDP0000174734")</f>
        <v>MDP0000174734</v>
      </c>
      <c r="D581">
        <v>43.18</v>
      </c>
      <c r="E581">
        <v>176</v>
      </c>
      <c r="F581">
        <v>100</v>
      </c>
      <c r="G581">
        <v>13</v>
      </c>
      <c r="H581">
        <v>1</v>
      </c>
      <c r="I581">
        <v>166</v>
      </c>
      <c r="J581">
        <v>1</v>
      </c>
      <c r="K581">
        <v>1</v>
      </c>
      <c r="L581">
        <v>173</v>
      </c>
      <c r="M581">
        <v>1</v>
      </c>
      <c r="N581">
        <v>3.8000299999999998E-28</v>
      </c>
      <c r="O581">
        <v>307</v>
      </c>
    </row>
    <row r="582" spans="1:15" x14ac:dyDescent="0.25">
      <c r="A582" t="s">
        <v>595</v>
      </c>
      <c r="B582">
        <v>1040</v>
      </c>
      <c r="C582" s="1" t="str">
        <f>HYPERLINK("http://www.rosaceae.org/gb/gbrowse/malus_x_domestica/?name=MDP0000321972","MDP0000321972")</f>
        <v>MDP0000321972</v>
      </c>
      <c r="D582">
        <v>80.290000000000006</v>
      </c>
      <c r="E582">
        <v>482</v>
      </c>
      <c r="F582">
        <v>95</v>
      </c>
      <c r="G582">
        <v>3</v>
      </c>
      <c r="H582">
        <v>560</v>
      </c>
      <c r="I582">
        <v>1040</v>
      </c>
      <c r="J582">
        <v>1</v>
      </c>
      <c r="K582">
        <v>14</v>
      </c>
      <c r="L582">
        <v>493</v>
      </c>
      <c r="M582">
        <v>1</v>
      </c>
      <c r="N582">
        <v>0</v>
      </c>
      <c r="O582">
        <v>2071</v>
      </c>
    </row>
    <row r="583" spans="1:15" x14ac:dyDescent="0.25">
      <c r="A583" t="s">
        <v>596</v>
      </c>
      <c r="B583">
        <v>485</v>
      </c>
      <c r="C583" s="1" t="str">
        <f>HYPERLINK("http://www.rosaceae.org/gb/gbrowse/malus_x_domestica/?name=MDP0000132456","MDP0000132456")</f>
        <v>MDP0000132456</v>
      </c>
      <c r="D583">
        <v>69.209999999999994</v>
      </c>
      <c r="E583">
        <v>471</v>
      </c>
      <c r="F583">
        <v>145</v>
      </c>
      <c r="G583">
        <v>1</v>
      </c>
      <c r="H583">
        <v>15</v>
      </c>
      <c r="I583">
        <v>484</v>
      </c>
      <c r="J583">
        <v>1</v>
      </c>
      <c r="K583">
        <v>11</v>
      </c>
      <c r="L583">
        <v>481</v>
      </c>
      <c r="M583">
        <v>1</v>
      </c>
      <c r="N583">
        <v>0</v>
      </c>
      <c r="O583">
        <v>1805</v>
      </c>
    </row>
    <row r="584" spans="1:15" x14ac:dyDescent="0.25">
      <c r="A584" t="s">
        <v>597</v>
      </c>
      <c r="B584">
        <v>148</v>
      </c>
      <c r="C584" s="1" t="str">
        <f>HYPERLINK("http://www.rosaceae.org/gb/gbrowse/malus_x_domestica/?name=MDP0000569928","MDP0000569928")</f>
        <v>MDP0000569928</v>
      </c>
      <c r="D584">
        <v>41.93</v>
      </c>
      <c r="E584">
        <v>93</v>
      </c>
      <c r="F584">
        <v>54</v>
      </c>
      <c r="G584">
        <v>1</v>
      </c>
      <c r="H584">
        <v>1</v>
      </c>
      <c r="I584">
        <v>92</v>
      </c>
      <c r="J584">
        <v>1</v>
      </c>
      <c r="K584">
        <v>89</v>
      </c>
      <c r="L584">
        <v>181</v>
      </c>
      <c r="M584">
        <v>1</v>
      </c>
      <c r="N584">
        <v>5.5302E-12</v>
      </c>
      <c r="O584">
        <v>163</v>
      </c>
    </row>
    <row r="585" spans="1:15" x14ac:dyDescent="0.25">
      <c r="A585" t="s">
        <v>598</v>
      </c>
      <c r="B585">
        <v>133</v>
      </c>
      <c r="C585" s="1" t="str">
        <f>HYPERLINK("http://www.rosaceae.org/gb/gbrowse/malus_x_domestica/?name=MDP0000225902","MDP0000225902")</f>
        <v>MDP0000225902</v>
      </c>
      <c r="D585">
        <v>45.9</v>
      </c>
      <c r="E585">
        <v>122</v>
      </c>
      <c r="F585">
        <v>66</v>
      </c>
      <c r="G585">
        <v>0</v>
      </c>
      <c r="H585">
        <v>1</v>
      </c>
      <c r="I585">
        <v>122</v>
      </c>
      <c r="J585">
        <v>1</v>
      </c>
      <c r="K585">
        <v>95</v>
      </c>
      <c r="L585">
        <v>216</v>
      </c>
      <c r="M585">
        <v>1</v>
      </c>
      <c r="N585">
        <v>6.5977899999999998E-32</v>
      </c>
      <c r="O585">
        <v>333</v>
      </c>
    </row>
    <row r="586" spans="1:15" x14ac:dyDescent="0.25">
      <c r="A586" t="s">
        <v>599</v>
      </c>
      <c r="B586">
        <v>445</v>
      </c>
      <c r="C586" s="1" t="str">
        <f>HYPERLINK("http://www.rosaceae.org/gb/gbrowse/malus_x_domestica/?name=MDP0000371737","MDP0000371737")</f>
        <v>MDP0000371737</v>
      </c>
      <c r="D586">
        <v>54.92</v>
      </c>
      <c r="E586">
        <v>457</v>
      </c>
      <c r="F586">
        <v>206</v>
      </c>
      <c r="G586">
        <v>28</v>
      </c>
      <c r="H586">
        <v>1</v>
      </c>
      <c r="I586">
        <v>445</v>
      </c>
      <c r="J586">
        <v>1</v>
      </c>
      <c r="K586">
        <v>1</v>
      </c>
      <c r="L586">
        <v>441</v>
      </c>
      <c r="M586">
        <v>1</v>
      </c>
      <c r="N586">
        <v>1.9446399999999999E-137</v>
      </c>
      <c r="O586">
        <v>1251</v>
      </c>
    </row>
    <row r="587" spans="1:15" x14ac:dyDescent="0.25">
      <c r="A587" t="s">
        <v>600</v>
      </c>
      <c r="B587">
        <v>126</v>
      </c>
      <c r="C587" s="1" t="str">
        <f>HYPERLINK("http://www.rosaceae.org/gb/gbrowse/malus_x_domestica/?name=MDP0000358859","MDP0000358859")</f>
        <v>MDP0000358859</v>
      </c>
      <c r="D587">
        <v>33.33</v>
      </c>
      <c r="E587">
        <v>105</v>
      </c>
      <c r="F587">
        <v>70</v>
      </c>
      <c r="G587">
        <v>5</v>
      </c>
      <c r="H587">
        <v>12</v>
      </c>
      <c r="I587">
        <v>114</v>
      </c>
      <c r="J587">
        <v>1</v>
      </c>
      <c r="K587">
        <v>4</v>
      </c>
      <c r="L587">
        <v>105</v>
      </c>
      <c r="M587">
        <v>1</v>
      </c>
      <c r="N587">
        <v>3.3378200000000002E-7</v>
      </c>
      <c r="O587">
        <v>120</v>
      </c>
    </row>
    <row r="588" spans="1:15" x14ac:dyDescent="0.25">
      <c r="A588" t="s">
        <v>601</v>
      </c>
      <c r="B588">
        <v>458</v>
      </c>
      <c r="C588" s="1" t="str">
        <f>HYPERLINK("http://www.rosaceae.org/gb/gbrowse/malus_x_domestica/?name=MDP0000243725","MDP0000243725")</f>
        <v>MDP0000243725</v>
      </c>
      <c r="D588">
        <v>63.51</v>
      </c>
      <c r="E588">
        <v>433</v>
      </c>
      <c r="F588">
        <v>158</v>
      </c>
      <c r="G588">
        <v>18</v>
      </c>
      <c r="H588">
        <v>41</v>
      </c>
      <c r="I588">
        <v>458</v>
      </c>
      <c r="J588">
        <v>1</v>
      </c>
      <c r="K588">
        <v>218</v>
      </c>
      <c r="L588">
        <v>647</v>
      </c>
      <c r="M588">
        <v>1</v>
      </c>
      <c r="N588">
        <v>1.8679100000000001E-147</v>
      </c>
      <c r="O588">
        <v>1338</v>
      </c>
    </row>
    <row r="589" spans="1:15" x14ac:dyDescent="0.25">
      <c r="A589" t="s">
        <v>602</v>
      </c>
      <c r="B589">
        <v>137</v>
      </c>
      <c r="C589" s="1" t="str">
        <f>HYPERLINK("http://www.rosaceae.org/gb/gbrowse/malus_x_domestica/?name=MDP0000253152","MDP0000253152")</f>
        <v>MDP0000253152</v>
      </c>
      <c r="D589">
        <v>89.05</v>
      </c>
      <c r="E589">
        <v>137</v>
      </c>
      <c r="F589">
        <v>15</v>
      </c>
      <c r="G589">
        <v>0</v>
      </c>
      <c r="H589">
        <v>1</v>
      </c>
      <c r="I589">
        <v>137</v>
      </c>
      <c r="J589">
        <v>1</v>
      </c>
      <c r="K589">
        <v>1</v>
      </c>
      <c r="L589">
        <v>137</v>
      </c>
      <c r="M589">
        <v>1</v>
      </c>
      <c r="N589">
        <v>2.13792E-67</v>
      </c>
      <c r="O589">
        <v>640</v>
      </c>
    </row>
    <row r="590" spans="1:15" x14ac:dyDescent="0.25">
      <c r="A590" t="s">
        <v>603</v>
      </c>
      <c r="B590">
        <v>341</v>
      </c>
      <c r="C590" s="1" t="str">
        <f>HYPERLINK("http://www.rosaceae.org/gb/gbrowse/malus_x_domestica/?name=MDP0000268597","MDP0000268597")</f>
        <v>MDP0000268597</v>
      </c>
      <c r="D590">
        <v>38.33</v>
      </c>
      <c r="E590">
        <v>373</v>
      </c>
      <c r="F590">
        <v>230</v>
      </c>
      <c r="G590">
        <v>75</v>
      </c>
      <c r="H590">
        <v>4</v>
      </c>
      <c r="I590">
        <v>318</v>
      </c>
      <c r="J590">
        <v>1</v>
      </c>
      <c r="K590">
        <v>770</v>
      </c>
      <c r="L590">
        <v>1125</v>
      </c>
      <c r="M590">
        <v>1</v>
      </c>
      <c r="N590">
        <v>7.4126499999999998E-63</v>
      </c>
      <c r="O590">
        <v>607</v>
      </c>
    </row>
    <row r="591" spans="1:15" x14ac:dyDescent="0.25">
      <c r="A591" t="s">
        <v>604</v>
      </c>
      <c r="B591">
        <v>388</v>
      </c>
      <c r="C591" s="1" t="str">
        <f>HYPERLINK("http://www.rosaceae.org/gb/gbrowse/malus_x_domestica/?name=MDP0000605106","MDP0000605106")</f>
        <v>MDP0000605106</v>
      </c>
      <c r="D591">
        <v>81.09</v>
      </c>
      <c r="E591">
        <v>402</v>
      </c>
      <c r="F591">
        <v>76</v>
      </c>
      <c r="G591">
        <v>24</v>
      </c>
      <c r="H591">
        <v>10</v>
      </c>
      <c r="I591">
        <v>387</v>
      </c>
      <c r="J591">
        <v>1</v>
      </c>
      <c r="K591">
        <v>73</v>
      </c>
      <c r="L591">
        <v>474</v>
      </c>
      <c r="M591">
        <v>1</v>
      </c>
      <c r="N591">
        <v>0</v>
      </c>
      <c r="O591">
        <v>1645</v>
      </c>
    </row>
    <row r="592" spans="1:15" x14ac:dyDescent="0.25">
      <c r="A592" t="s">
        <v>605</v>
      </c>
      <c r="B592">
        <v>239</v>
      </c>
      <c r="C592" s="1" t="str">
        <f>HYPERLINK("http://www.rosaceae.org/gb/gbrowse/malus_x_domestica/?name=MDP0000284475","MDP0000284475")</f>
        <v>MDP0000284475</v>
      </c>
      <c r="D592">
        <v>92.4</v>
      </c>
      <c r="E592">
        <v>237</v>
      </c>
      <c r="F592">
        <v>18</v>
      </c>
      <c r="G592">
        <v>0</v>
      </c>
      <c r="H592">
        <v>3</v>
      </c>
      <c r="I592">
        <v>239</v>
      </c>
      <c r="J592">
        <v>1</v>
      </c>
      <c r="K592">
        <v>2</v>
      </c>
      <c r="L592">
        <v>238</v>
      </c>
      <c r="M592">
        <v>1</v>
      </c>
      <c r="N592">
        <v>3.6037900000000002E-128</v>
      </c>
      <c r="O592">
        <v>1168</v>
      </c>
    </row>
    <row r="593" spans="1:15" x14ac:dyDescent="0.25">
      <c r="A593" t="s">
        <v>606</v>
      </c>
      <c r="B593">
        <v>419</v>
      </c>
      <c r="C593" s="1" t="str">
        <f>HYPERLINK("http://www.rosaceae.org/gb/gbrowse/malus_x_domestica/?name=MDP0000897366","MDP0000897366")</f>
        <v>MDP0000897366</v>
      </c>
      <c r="D593">
        <v>73.63</v>
      </c>
      <c r="E593">
        <v>330</v>
      </c>
      <c r="F593">
        <v>87</v>
      </c>
      <c r="G593">
        <v>1</v>
      </c>
      <c r="H593">
        <v>70</v>
      </c>
      <c r="I593">
        <v>399</v>
      </c>
      <c r="J593">
        <v>1</v>
      </c>
      <c r="K593">
        <v>92</v>
      </c>
      <c r="L593">
        <v>420</v>
      </c>
      <c r="M593">
        <v>1</v>
      </c>
      <c r="N593">
        <v>1.04999E-140</v>
      </c>
      <c r="O593">
        <v>1279</v>
      </c>
    </row>
    <row r="594" spans="1:15" x14ac:dyDescent="0.25">
      <c r="A594" t="s">
        <v>607</v>
      </c>
      <c r="B594">
        <v>144</v>
      </c>
      <c r="C594" s="1" t="str">
        <f>HYPERLINK("http://www.rosaceae.org/gb/gbrowse/malus_x_domestica/?name=MDP0000235018","MDP0000235018")</f>
        <v>MDP0000235018</v>
      </c>
      <c r="D594">
        <v>56.93</v>
      </c>
      <c r="E594">
        <v>137</v>
      </c>
      <c r="F594">
        <v>59</v>
      </c>
      <c r="G594">
        <v>0</v>
      </c>
      <c r="H594">
        <v>6</v>
      </c>
      <c r="I594">
        <v>142</v>
      </c>
      <c r="J594">
        <v>1</v>
      </c>
      <c r="K594">
        <v>12</v>
      </c>
      <c r="L594">
        <v>148</v>
      </c>
      <c r="M594">
        <v>1</v>
      </c>
      <c r="N594">
        <v>1.7288400000000001E-39</v>
      </c>
      <c r="O594">
        <v>400</v>
      </c>
    </row>
    <row r="595" spans="1:15" x14ac:dyDescent="0.25">
      <c r="A595" t="s">
        <v>608</v>
      </c>
      <c r="B595">
        <v>94</v>
      </c>
      <c r="C595" s="1" t="str">
        <f>HYPERLINK("http://www.rosaceae.org/gb/gbrowse/malus_x_domestica/?name=MDP0000349101","MDP0000349101")</f>
        <v>MDP0000349101</v>
      </c>
      <c r="D595">
        <v>85.07</v>
      </c>
      <c r="E595">
        <v>67</v>
      </c>
      <c r="F595">
        <v>10</v>
      </c>
      <c r="G595">
        <v>0</v>
      </c>
      <c r="H595">
        <v>1</v>
      </c>
      <c r="I595">
        <v>67</v>
      </c>
      <c r="J595">
        <v>1</v>
      </c>
      <c r="K595">
        <v>35</v>
      </c>
      <c r="L595">
        <v>101</v>
      </c>
      <c r="M595">
        <v>1</v>
      </c>
      <c r="N595">
        <v>6.4944099999999998E-28</v>
      </c>
      <c r="O595">
        <v>298</v>
      </c>
    </row>
    <row r="596" spans="1:15" x14ac:dyDescent="0.25">
      <c r="A596" t="s">
        <v>609</v>
      </c>
      <c r="B596">
        <v>299</v>
      </c>
      <c r="C596" s="1" t="str">
        <f>HYPERLINK("http://www.rosaceae.org/gb/gbrowse/malus_x_domestica/?name=MDP0000289104","MDP0000289104")</f>
        <v>MDP0000289104</v>
      </c>
      <c r="D596">
        <v>35.53</v>
      </c>
      <c r="E596">
        <v>121</v>
      </c>
      <c r="F596">
        <v>78</v>
      </c>
      <c r="G596">
        <v>2</v>
      </c>
      <c r="H596">
        <v>99</v>
      </c>
      <c r="I596">
        <v>219</v>
      </c>
      <c r="J596">
        <v>1</v>
      </c>
      <c r="K596">
        <v>63</v>
      </c>
      <c r="L596">
        <v>181</v>
      </c>
      <c r="M596">
        <v>1</v>
      </c>
      <c r="N596">
        <v>4.8159399999999997E-16</v>
      </c>
      <c r="O596">
        <v>202</v>
      </c>
    </row>
    <row r="597" spans="1:15" x14ac:dyDescent="0.25">
      <c r="A597" t="s">
        <v>610</v>
      </c>
      <c r="B597">
        <v>793</v>
      </c>
      <c r="C597" s="1" t="str">
        <f>HYPERLINK("http://www.rosaceae.org/gb/gbrowse/malus_x_domestica/?name=MDP0000408883","MDP0000408883")</f>
        <v>MDP0000408883</v>
      </c>
      <c r="D597">
        <v>63.12</v>
      </c>
      <c r="E597">
        <v>556</v>
      </c>
      <c r="F597">
        <v>205</v>
      </c>
      <c r="G597">
        <v>22</v>
      </c>
      <c r="H597">
        <v>41</v>
      </c>
      <c r="I597">
        <v>589</v>
      </c>
      <c r="J597">
        <v>1</v>
      </c>
      <c r="K597">
        <v>46</v>
      </c>
      <c r="L597">
        <v>586</v>
      </c>
      <c r="M597">
        <v>1</v>
      </c>
      <c r="N597">
        <v>0</v>
      </c>
      <c r="O597">
        <v>1698</v>
      </c>
    </row>
    <row r="598" spans="1:15" x14ac:dyDescent="0.25">
      <c r="A598" t="s">
        <v>611</v>
      </c>
      <c r="B598">
        <v>996</v>
      </c>
      <c r="C598" s="1" t="str">
        <f>HYPERLINK("http://www.rosaceae.org/gb/gbrowse/malus_x_domestica/?name=MDP0000168167","MDP0000168167")</f>
        <v>MDP0000168167</v>
      </c>
      <c r="D598">
        <v>81.459999999999994</v>
      </c>
      <c r="E598">
        <v>1025</v>
      </c>
      <c r="F598">
        <v>190</v>
      </c>
      <c r="G598">
        <v>46</v>
      </c>
      <c r="H598">
        <v>1</v>
      </c>
      <c r="I598">
        <v>995</v>
      </c>
      <c r="J598">
        <v>1</v>
      </c>
      <c r="K598">
        <v>1</v>
      </c>
      <c r="L598">
        <v>1009</v>
      </c>
      <c r="M598">
        <v>1</v>
      </c>
      <c r="N598">
        <v>0</v>
      </c>
      <c r="O598">
        <v>4344</v>
      </c>
    </row>
    <row r="599" spans="1:15" x14ac:dyDescent="0.25">
      <c r="A599" t="s">
        <v>612</v>
      </c>
      <c r="B599">
        <v>366</v>
      </c>
      <c r="C599" s="1" t="str">
        <f>HYPERLINK("http://www.rosaceae.org/gb/gbrowse/malus_x_domestica/?name=MDP0000918567","MDP0000918567")</f>
        <v>MDP0000918567</v>
      </c>
      <c r="D599">
        <v>80.53</v>
      </c>
      <c r="E599">
        <v>375</v>
      </c>
      <c r="F599">
        <v>73</v>
      </c>
      <c r="G599">
        <v>9</v>
      </c>
      <c r="H599">
        <v>1</v>
      </c>
      <c r="I599">
        <v>366</v>
      </c>
      <c r="J599">
        <v>1</v>
      </c>
      <c r="K599">
        <v>1</v>
      </c>
      <c r="L599">
        <v>375</v>
      </c>
      <c r="M599">
        <v>1</v>
      </c>
      <c r="N599">
        <v>1.2149900000000001E-174</v>
      </c>
      <c r="O599">
        <v>1571</v>
      </c>
    </row>
    <row r="600" spans="1:15" x14ac:dyDescent="0.25">
      <c r="A600" t="s">
        <v>613</v>
      </c>
      <c r="B600">
        <v>853</v>
      </c>
      <c r="C600" s="1" t="str">
        <f>HYPERLINK("http://www.rosaceae.org/gb/gbrowse/malus_x_domestica/?name=MDP0000510223","MDP0000510223")</f>
        <v>MDP0000510223</v>
      </c>
      <c r="D600">
        <v>47.18</v>
      </c>
      <c r="E600">
        <v>657</v>
      </c>
      <c r="F600">
        <v>347</v>
      </c>
      <c r="G600">
        <v>60</v>
      </c>
      <c r="H600">
        <v>1</v>
      </c>
      <c r="I600">
        <v>603</v>
      </c>
      <c r="J600">
        <v>1</v>
      </c>
      <c r="K600">
        <v>1</v>
      </c>
      <c r="L600">
        <v>651</v>
      </c>
      <c r="M600">
        <v>1</v>
      </c>
      <c r="N600">
        <v>2.1489100000000001E-132</v>
      </c>
      <c r="O600">
        <v>1211</v>
      </c>
    </row>
    <row r="601" spans="1:15" x14ac:dyDescent="0.25">
      <c r="A601" t="s">
        <v>614</v>
      </c>
      <c r="B601">
        <v>248</v>
      </c>
      <c r="C601" s="1" t="str">
        <f>HYPERLINK("http://www.rosaceae.org/gb/gbrowse/malus_x_domestica/?name=MDP0000792734","MDP0000792734")</f>
        <v>MDP0000792734</v>
      </c>
      <c r="D601">
        <v>49.75</v>
      </c>
      <c r="E601">
        <v>201</v>
      </c>
      <c r="F601">
        <v>101</v>
      </c>
      <c r="G601">
        <v>17</v>
      </c>
      <c r="H601">
        <v>64</v>
      </c>
      <c r="I601">
        <v>248</v>
      </c>
      <c r="J601">
        <v>1</v>
      </c>
      <c r="K601">
        <v>204</v>
      </c>
      <c r="L601">
        <v>403</v>
      </c>
      <c r="M601">
        <v>1</v>
      </c>
      <c r="N601">
        <v>5.4746799999999999E-46</v>
      </c>
      <c r="O601">
        <v>459</v>
      </c>
    </row>
    <row r="602" spans="1:15" x14ac:dyDescent="0.25">
      <c r="A602" t="s">
        <v>615</v>
      </c>
      <c r="B602">
        <v>507</v>
      </c>
      <c r="C602" s="1" t="str">
        <f>HYPERLINK("http://www.rosaceae.org/gb/gbrowse/malus_x_domestica/?name=MDP0000231284","MDP0000231284")</f>
        <v>MDP0000231284</v>
      </c>
      <c r="D602">
        <v>73.87</v>
      </c>
      <c r="E602">
        <v>490</v>
      </c>
      <c r="F602">
        <v>128</v>
      </c>
      <c r="G602">
        <v>0</v>
      </c>
      <c r="H602">
        <v>16</v>
      </c>
      <c r="I602">
        <v>505</v>
      </c>
      <c r="J602">
        <v>1</v>
      </c>
      <c r="K602">
        <v>15</v>
      </c>
      <c r="L602">
        <v>504</v>
      </c>
      <c r="M602">
        <v>1</v>
      </c>
      <c r="N602">
        <v>0</v>
      </c>
      <c r="O602">
        <v>1935</v>
      </c>
    </row>
    <row r="603" spans="1:15" x14ac:dyDescent="0.25">
      <c r="A603" t="s">
        <v>616</v>
      </c>
      <c r="B603">
        <v>222</v>
      </c>
      <c r="C603" s="1" t="str">
        <f>HYPERLINK("http://www.rosaceae.org/gb/gbrowse/malus_x_domestica/?name=MDP0000133507","MDP0000133507")</f>
        <v>MDP0000133507</v>
      </c>
      <c r="D603">
        <v>46.15</v>
      </c>
      <c r="E603">
        <v>52</v>
      </c>
      <c r="F603">
        <v>28</v>
      </c>
      <c r="G603">
        <v>0</v>
      </c>
      <c r="H603">
        <v>1</v>
      </c>
      <c r="I603">
        <v>52</v>
      </c>
      <c r="J603">
        <v>1</v>
      </c>
      <c r="K603">
        <v>123</v>
      </c>
      <c r="L603">
        <v>174</v>
      </c>
      <c r="M603">
        <v>1</v>
      </c>
      <c r="N603">
        <v>2.34567E-8</v>
      </c>
      <c r="O603">
        <v>134</v>
      </c>
    </row>
    <row r="604" spans="1:15" x14ac:dyDescent="0.25">
      <c r="A604" t="s">
        <v>617</v>
      </c>
      <c r="B604">
        <v>307</v>
      </c>
      <c r="C604" s="1" t="str">
        <f>HYPERLINK("http://www.rosaceae.org/gb/gbrowse/malus_x_domestica/?name=MDP0000543088","MDP0000543088")</f>
        <v>MDP0000543088</v>
      </c>
      <c r="D604">
        <v>69.069999999999993</v>
      </c>
      <c r="E604">
        <v>291</v>
      </c>
      <c r="F604">
        <v>90</v>
      </c>
      <c r="G604">
        <v>34</v>
      </c>
      <c r="H604">
        <v>2</v>
      </c>
      <c r="I604">
        <v>258</v>
      </c>
      <c r="J604">
        <v>1</v>
      </c>
      <c r="K604">
        <v>4</v>
      </c>
      <c r="L604">
        <v>294</v>
      </c>
      <c r="M604">
        <v>1</v>
      </c>
      <c r="N604">
        <v>1.07512E-117</v>
      </c>
      <c r="O604">
        <v>1079</v>
      </c>
    </row>
    <row r="605" spans="1:15" x14ac:dyDescent="0.25">
      <c r="A605" t="s">
        <v>618</v>
      </c>
      <c r="B605">
        <v>730</v>
      </c>
      <c r="C605" s="1" t="str">
        <f>HYPERLINK("http://www.rosaceae.org/gb/gbrowse/malus_x_domestica/?name=MDP0000158250","MDP0000158250")</f>
        <v>MDP0000158250</v>
      </c>
      <c r="D605">
        <v>65.260000000000005</v>
      </c>
      <c r="E605">
        <v>737</v>
      </c>
      <c r="F605">
        <v>256</v>
      </c>
      <c r="G605">
        <v>25</v>
      </c>
      <c r="H605">
        <v>1</v>
      </c>
      <c r="I605">
        <v>718</v>
      </c>
      <c r="J605">
        <v>1</v>
      </c>
      <c r="K605">
        <v>214</v>
      </c>
      <c r="L605">
        <v>944</v>
      </c>
      <c r="M605">
        <v>1</v>
      </c>
      <c r="N605">
        <v>0</v>
      </c>
      <c r="O605">
        <v>2387</v>
      </c>
    </row>
    <row r="606" spans="1:15" x14ac:dyDescent="0.25">
      <c r="A606" t="s">
        <v>619</v>
      </c>
      <c r="B606">
        <v>581</v>
      </c>
      <c r="C606" s="1" t="str">
        <f>HYPERLINK("http://www.rosaceae.org/gb/gbrowse/malus_x_domestica/?name=MDP0000249006","MDP0000249006")</f>
        <v>MDP0000249006</v>
      </c>
      <c r="D606">
        <v>79.63</v>
      </c>
      <c r="E606">
        <v>383</v>
      </c>
      <c r="F606">
        <v>78</v>
      </c>
      <c r="G606">
        <v>0</v>
      </c>
      <c r="H606">
        <v>16</v>
      </c>
      <c r="I606">
        <v>398</v>
      </c>
      <c r="J606">
        <v>1</v>
      </c>
      <c r="K606">
        <v>20</v>
      </c>
      <c r="L606">
        <v>402</v>
      </c>
      <c r="M606">
        <v>1</v>
      </c>
      <c r="N606">
        <v>0</v>
      </c>
      <c r="O606">
        <v>1658</v>
      </c>
    </row>
    <row r="607" spans="1:15" x14ac:dyDescent="0.25">
      <c r="A607" t="s">
        <v>620</v>
      </c>
      <c r="B607">
        <v>433</v>
      </c>
      <c r="C607" s="1" t="str">
        <f>HYPERLINK("http://www.rosaceae.org/gb/gbrowse/malus_x_domestica/?name=MDP0000189486","MDP0000189486")</f>
        <v>MDP0000189486</v>
      </c>
      <c r="D607">
        <v>67.47</v>
      </c>
      <c r="E607">
        <v>372</v>
      </c>
      <c r="F607">
        <v>121</v>
      </c>
      <c r="G607">
        <v>7</v>
      </c>
      <c r="H607">
        <v>1</v>
      </c>
      <c r="I607">
        <v>372</v>
      </c>
      <c r="J607">
        <v>1</v>
      </c>
      <c r="K607">
        <v>1</v>
      </c>
      <c r="L607">
        <v>365</v>
      </c>
      <c r="M607">
        <v>1</v>
      </c>
      <c r="N607">
        <v>7.4730899999999997E-141</v>
      </c>
      <c r="O607">
        <v>1281</v>
      </c>
    </row>
    <row r="608" spans="1:15" x14ac:dyDescent="0.25">
      <c r="A608" t="s">
        <v>621</v>
      </c>
      <c r="B608">
        <v>1188</v>
      </c>
      <c r="C608" s="1" t="str">
        <f>HYPERLINK("http://www.rosaceae.org/gb/gbrowse/malus_x_domestica/?name=MDP0000223775","MDP0000223775")</f>
        <v>MDP0000223775</v>
      </c>
      <c r="D608">
        <v>59.61</v>
      </c>
      <c r="E608">
        <v>1238</v>
      </c>
      <c r="F608">
        <v>500</v>
      </c>
      <c r="G608">
        <v>172</v>
      </c>
      <c r="H608">
        <v>8</v>
      </c>
      <c r="I608">
        <v>1188</v>
      </c>
      <c r="J608">
        <v>1</v>
      </c>
      <c r="K608">
        <v>36</v>
      </c>
      <c r="L608">
        <v>1158</v>
      </c>
      <c r="M608">
        <v>1</v>
      </c>
      <c r="N608">
        <v>0</v>
      </c>
      <c r="O608">
        <v>3583</v>
      </c>
    </row>
    <row r="609" spans="1:15" x14ac:dyDescent="0.25">
      <c r="A609" t="s">
        <v>622</v>
      </c>
      <c r="B609">
        <v>341</v>
      </c>
      <c r="C609" s="1" t="str">
        <f>HYPERLINK("http://www.rosaceae.org/gb/gbrowse/malus_x_domestica/?name=MDP0000264173","MDP0000264173")</f>
        <v>MDP0000264173</v>
      </c>
      <c r="D609">
        <v>66.819999999999993</v>
      </c>
      <c r="E609">
        <v>205</v>
      </c>
      <c r="F609">
        <v>68</v>
      </c>
      <c r="G609">
        <v>0</v>
      </c>
      <c r="H609">
        <v>25</v>
      </c>
      <c r="I609">
        <v>229</v>
      </c>
      <c r="J609">
        <v>1</v>
      </c>
      <c r="K609">
        <v>862</v>
      </c>
      <c r="L609">
        <v>1066</v>
      </c>
      <c r="M609">
        <v>1</v>
      </c>
      <c r="N609">
        <v>8.8521700000000006E-84</v>
      </c>
      <c r="O609">
        <v>787</v>
      </c>
    </row>
    <row r="610" spans="1:15" x14ac:dyDescent="0.25">
      <c r="A610" t="s">
        <v>623</v>
      </c>
      <c r="B610">
        <v>561</v>
      </c>
      <c r="C610" s="1" t="str">
        <f>HYPERLINK("http://www.rosaceae.org/gb/gbrowse/malus_x_domestica/?name=MDP0000227870","MDP0000227870")</f>
        <v>MDP0000227870</v>
      </c>
      <c r="D610">
        <v>81.3</v>
      </c>
      <c r="E610">
        <v>567</v>
      </c>
      <c r="F610">
        <v>106</v>
      </c>
      <c r="G610">
        <v>9</v>
      </c>
      <c r="H610">
        <v>1</v>
      </c>
      <c r="I610">
        <v>561</v>
      </c>
      <c r="J610">
        <v>1</v>
      </c>
      <c r="K610">
        <v>1</v>
      </c>
      <c r="L610">
        <v>564</v>
      </c>
      <c r="M610">
        <v>1</v>
      </c>
      <c r="N610">
        <v>0</v>
      </c>
      <c r="O610">
        <v>2463</v>
      </c>
    </row>
    <row r="611" spans="1:15" x14ac:dyDescent="0.25">
      <c r="A611" t="s">
        <v>624</v>
      </c>
      <c r="B611">
        <v>423</v>
      </c>
      <c r="C611" s="1" t="str">
        <f>HYPERLINK("http://www.rosaceae.org/gb/gbrowse/malus_x_domestica/?name=MDP0000937920","MDP0000937920")</f>
        <v>MDP0000937920</v>
      </c>
      <c r="D611">
        <v>76.17</v>
      </c>
      <c r="E611">
        <v>382</v>
      </c>
      <c r="F611">
        <v>91</v>
      </c>
      <c r="G611">
        <v>6</v>
      </c>
      <c r="H611">
        <v>6</v>
      </c>
      <c r="I611">
        <v>385</v>
      </c>
      <c r="J611">
        <v>1</v>
      </c>
      <c r="K611">
        <v>3</v>
      </c>
      <c r="L611">
        <v>380</v>
      </c>
      <c r="M611">
        <v>1</v>
      </c>
      <c r="N611">
        <v>4.7786599999999998E-166</v>
      </c>
      <c r="O611">
        <v>1498</v>
      </c>
    </row>
    <row r="612" spans="1:15" x14ac:dyDescent="0.25">
      <c r="A612" t="s">
        <v>625</v>
      </c>
      <c r="B612">
        <v>396</v>
      </c>
      <c r="C612" s="1" t="str">
        <f>HYPERLINK("http://www.rosaceae.org/gb/gbrowse/malus_x_domestica/?name=MDP0000262766","MDP0000262766")</f>
        <v>MDP0000262766</v>
      </c>
      <c r="D612">
        <v>54.46</v>
      </c>
      <c r="E612">
        <v>235</v>
      </c>
      <c r="F612">
        <v>107</v>
      </c>
      <c r="G612">
        <v>37</v>
      </c>
      <c r="H612">
        <v>2</v>
      </c>
      <c r="I612">
        <v>202</v>
      </c>
      <c r="J612">
        <v>1</v>
      </c>
      <c r="K612">
        <v>857</v>
      </c>
      <c r="L612">
        <v>1088</v>
      </c>
      <c r="M612">
        <v>1</v>
      </c>
      <c r="N612">
        <v>2.2168099999999999E-62</v>
      </c>
      <c r="O612">
        <v>603</v>
      </c>
    </row>
    <row r="613" spans="1:15" x14ac:dyDescent="0.25">
      <c r="A613" t="s">
        <v>626</v>
      </c>
      <c r="B613">
        <v>229</v>
      </c>
      <c r="C613" s="1" t="str">
        <f>HYPERLINK("http://www.rosaceae.org/gb/gbrowse/malus_x_domestica/?name=MDP0000556834","MDP0000556834")</f>
        <v>MDP0000556834</v>
      </c>
      <c r="D613">
        <v>33.700000000000003</v>
      </c>
      <c r="E613">
        <v>181</v>
      </c>
      <c r="F613">
        <v>120</v>
      </c>
      <c r="G613">
        <v>17</v>
      </c>
      <c r="H613">
        <v>47</v>
      </c>
      <c r="I613">
        <v>226</v>
      </c>
      <c r="J613">
        <v>1</v>
      </c>
      <c r="K613">
        <v>45</v>
      </c>
      <c r="L613">
        <v>209</v>
      </c>
      <c r="M613">
        <v>1</v>
      </c>
      <c r="N613">
        <v>2.5844300000000001E-10</v>
      </c>
      <c r="O613">
        <v>151</v>
      </c>
    </row>
    <row r="614" spans="1:15" x14ac:dyDescent="0.25">
      <c r="A614" t="s">
        <v>627</v>
      </c>
      <c r="B614">
        <v>583</v>
      </c>
      <c r="C614" s="1" t="str">
        <f>HYPERLINK("http://www.rosaceae.org/gb/gbrowse/malus_x_domestica/?name=MDP0000235111","MDP0000235111")</f>
        <v>MDP0000235111</v>
      </c>
      <c r="D614">
        <v>73.28</v>
      </c>
      <c r="E614">
        <v>292</v>
      </c>
      <c r="F614">
        <v>78</v>
      </c>
      <c r="G614">
        <v>16</v>
      </c>
      <c r="H614">
        <v>1</v>
      </c>
      <c r="I614">
        <v>276</v>
      </c>
      <c r="J614">
        <v>1</v>
      </c>
      <c r="K614">
        <v>1</v>
      </c>
      <c r="L614">
        <v>292</v>
      </c>
      <c r="M614">
        <v>1</v>
      </c>
      <c r="N614">
        <v>2.0628699999999999E-124</v>
      </c>
      <c r="O614">
        <v>1140</v>
      </c>
    </row>
    <row r="615" spans="1:15" x14ac:dyDescent="0.25">
      <c r="A615" t="s">
        <v>628</v>
      </c>
      <c r="B615">
        <v>638</v>
      </c>
      <c r="C615" s="1" t="str">
        <f>HYPERLINK("http://www.rosaceae.org/gb/gbrowse/malus_x_domestica/?name=MDP0000312258","MDP0000312258")</f>
        <v>MDP0000312258</v>
      </c>
      <c r="D615">
        <v>73.150000000000006</v>
      </c>
      <c r="E615">
        <v>529</v>
      </c>
      <c r="F615">
        <v>142</v>
      </c>
      <c r="G615">
        <v>25</v>
      </c>
      <c r="H615">
        <v>16</v>
      </c>
      <c r="I615">
        <v>531</v>
      </c>
      <c r="J615">
        <v>1</v>
      </c>
      <c r="K615">
        <v>39</v>
      </c>
      <c r="L615">
        <v>555</v>
      </c>
      <c r="M615">
        <v>1</v>
      </c>
      <c r="N615">
        <v>0</v>
      </c>
      <c r="O615">
        <v>1991</v>
      </c>
    </row>
    <row r="616" spans="1:15" x14ac:dyDescent="0.25">
      <c r="A616" t="s">
        <v>629</v>
      </c>
      <c r="B616">
        <v>137</v>
      </c>
      <c r="C616" s="1" t="str">
        <f>HYPERLINK("http://www.rosaceae.org/gb/gbrowse/malus_x_domestica/?name=MDP0000258215","MDP0000258215")</f>
        <v>MDP0000258215</v>
      </c>
      <c r="D616">
        <v>48.14</v>
      </c>
      <c r="E616">
        <v>81</v>
      </c>
      <c r="F616">
        <v>42</v>
      </c>
      <c r="G616">
        <v>7</v>
      </c>
      <c r="H616">
        <v>64</v>
      </c>
      <c r="I616">
        <v>137</v>
      </c>
      <c r="J616">
        <v>1</v>
      </c>
      <c r="K616">
        <v>1</v>
      </c>
      <c r="L616">
        <v>81</v>
      </c>
      <c r="M616">
        <v>1</v>
      </c>
      <c r="N616">
        <v>4.4905499999999997E-11</v>
      </c>
      <c r="O616">
        <v>154</v>
      </c>
    </row>
    <row r="617" spans="1:15" x14ac:dyDescent="0.25">
      <c r="A617" t="s">
        <v>630</v>
      </c>
      <c r="B617">
        <v>213</v>
      </c>
      <c r="C617" s="1" t="str">
        <f>HYPERLINK("http://www.rosaceae.org/gb/gbrowse/malus_x_domestica/?name=MDP0000180090","MDP0000180090")</f>
        <v>MDP0000180090</v>
      </c>
      <c r="D617">
        <v>34.5</v>
      </c>
      <c r="E617">
        <v>142</v>
      </c>
      <c r="F617">
        <v>93</v>
      </c>
      <c r="G617">
        <v>34</v>
      </c>
      <c r="H617">
        <v>2</v>
      </c>
      <c r="I617">
        <v>109</v>
      </c>
      <c r="J617">
        <v>1</v>
      </c>
      <c r="K617">
        <v>454</v>
      </c>
      <c r="L617">
        <v>595</v>
      </c>
      <c r="M617">
        <v>1</v>
      </c>
      <c r="N617">
        <v>1.39869E-16</v>
      </c>
      <c r="O617">
        <v>205</v>
      </c>
    </row>
    <row r="618" spans="1:15" x14ac:dyDescent="0.25">
      <c r="A618" t="s">
        <v>631</v>
      </c>
      <c r="B618">
        <v>595</v>
      </c>
      <c r="C618" s="1" t="str">
        <f>HYPERLINK("http://www.rosaceae.org/gb/gbrowse/malus_x_domestica/?name=MDP0000312901","MDP0000312901")</f>
        <v>MDP0000312901</v>
      </c>
      <c r="D618">
        <v>76.23</v>
      </c>
      <c r="E618">
        <v>547</v>
      </c>
      <c r="F618">
        <v>130</v>
      </c>
      <c r="G618">
        <v>0</v>
      </c>
      <c r="H618">
        <v>49</v>
      </c>
      <c r="I618">
        <v>595</v>
      </c>
      <c r="J618">
        <v>1</v>
      </c>
      <c r="K618">
        <v>1</v>
      </c>
      <c r="L618">
        <v>547</v>
      </c>
      <c r="M618">
        <v>1</v>
      </c>
      <c r="N618">
        <v>0</v>
      </c>
      <c r="O618">
        <v>2235</v>
      </c>
    </row>
    <row r="619" spans="1:15" x14ac:dyDescent="0.25">
      <c r="A619" t="s">
        <v>632</v>
      </c>
      <c r="B619">
        <v>249</v>
      </c>
      <c r="C619" s="1" t="str">
        <f>HYPERLINK("http://www.rosaceae.org/gb/gbrowse/malus_x_domestica/?name=MDP0000705111","MDP0000705111")</f>
        <v>MDP0000705111</v>
      </c>
      <c r="D619">
        <v>95.47</v>
      </c>
      <c r="E619">
        <v>199</v>
      </c>
      <c r="F619">
        <v>9</v>
      </c>
      <c r="G619">
        <v>0</v>
      </c>
      <c r="H619">
        <v>1</v>
      </c>
      <c r="I619">
        <v>199</v>
      </c>
      <c r="J619">
        <v>1</v>
      </c>
      <c r="K619">
        <v>1</v>
      </c>
      <c r="L619">
        <v>199</v>
      </c>
      <c r="M619">
        <v>1</v>
      </c>
      <c r="N619">
        <v>4.8530199999999998E-111</v>
      </c>
      <c r="O619">
        <v>1021</v>
      </c>
    </row>
    <row r="620" spans="1:15" x14ac:dyDescent="0.25">
      <c r="A620" t="s">
        <v>633</v>
      </c>
      <c r="B620">
        <v>534</v>
      </c>
      <c r="C620" s="1" t="str">
        <f>HYPERLINK("http://www.rosaceae.org/gb/gbrowse/malus_x_domestica/?name=MDP0000289009","MDP0000289009")</f>
        <v>MDP0000289009</v>
      </c>
      <c r="D620">
        <v>34.64</v>
      </c>
      <c r="E620">
        <v>560</v>
      </c>
      <c r="F620">
        <v>366</v>
      </c>
      <c r="G620">
        <v>99</v>
      </c>
      <c r="H620">
        <v>60</v>
      </c>
      <c r="I620">
        <v>529</v>
      </c>
      <c r="J620">
        <v>1</v>
      </c>
      <c r="K620">
        <v>646</v>
      </c>
      <c r="L620">
        <v>1196</v>
      </c>
      <c r="M620">
        <v>1</v>
      </c>
      <c r="N620">
        <v>3.8964699999999998E-79</v>
      </c>
      <c r="O620">
        <v>749</v>
      </c>
    </row>
    <row r="621" spans="1:15" x14ac:dyDescent="0.25">
      <c r="A621" t="s">
        <v>634</v>
      </c>
      <c r="B621">
        <v>887</v>
      </c>
      <c r="C621" s="1" t="str">
        <f>HYPERLINK("http://www.rosaceae.org/gb/gbrowse/malus_x_domestica/?name=MDP0000907489","MDP0000907489")</f>
        <v>MDP0000907489</v>
      </c>
      <c r="D621">
        <v>52.29</v>
      </c>
      <c r="E621">
        <v>589</v>
      </c>
      <c r="F621">
        <v>281</v>
      </c>
      <c r="G621">
        <v>83</v>
      </c>
      <c r="H621">
        <v>5</v>
      </c>
      <c r="I621">
        <v>559</v>
      </c>
      <c r="J621">
        <v>1</v>
      </c>
      <c r="K621">
        <v>1</v>
      </c>
      <c r="L621">
        <v>540</v>
      </c>
      <c r="M621">
        <v>1</v>
      </c>
      <c r="N621">
        <v>1.8306E-149</v>
      </c>
      <c r="O621">
        <v>1358</v>
      </c>
    </row>
    <row r="622" spans="1:15" x14ac:dyDescent="0.25">
      <c r="A622" t="s">
        <v>635</v>
      </c>
      <c r="B622">
        <v>224</v>
      </c>
      <c r="C622" s="1" t="str">
        <f>HYPERLINK("http://www.rosaceae.org/gb/gbrowse/malus_x_domestica/?name=MDP0000275042","MDP0000275042")</f>
        <v>MDP0000275042</v>
      </c>
      <c r="D622">
        <v>72.56</v>
      </c>
      <c r="E622">
        <v>113</v>
      </c>
      <c r="F622">
        <v>31</v>
      </c>
      <c r="G622">
        <v>0</v>
      </c>
      <c r="H622">
        <v>79</v>
      </c>
      <c r="I622">
        <v>191</v>
      </c>
      <c r="J622">
        <v>1</v>
      </c>
      <c r="K622">
        <v>2</v>
      </c>
      <c r="L622">
        <v>114</v>
      </c>
      <c r="M622">
        <v>1</v>
      </c>
      <c r="N622">
        <v>8.3242499999999998E-41</v>
      </c>
      <c r="O622">
        <v>414</v>
      </c>
    </row>
    <row r="623" spans="1:15" x14ac:dyDescent="0.25">
      <c r="A623" t="s">
        <v>636</v>
      </c>
      <c r="B623">
        <v>597</v>
      </c>
      <c r="C623" s="1" t="str">
        <f>HYPERLINK("http://www.rosaceae.org/gb/gbrowse/malus_x_domestica/?name=MDP0000451172","MDP0000451172")</f>
        <v>MDP0000451172</v>
      </c>
      <c r="D623">
        <v>74.569999999999993</v>
      </c>
      <c r="E623">
        <v>535</v>
      </c>
      <c r="F623">
        <v>136</v>
      </c>
      <c r="G623">
        <v>2</v>
      </c>
      <c r="H623">
        <v>30</v>
      </c>
      <c r="I623">
        <v>563</v>
      </c>
      <c r="J623">
        <v>1</v>
      </c>
      <c r="K623">
        <v>16</v>
      </c>
      <c r="L623">
        <v>549</v>
      </c>
      <c r="M623">
        <v>1</v>
      </c>
      <c r="N623">
        <v>0</v>
      </c>
      <c r="O623">
        <v>2174</v>
      </c>
    </row>
    <row r="624" spans="1:15" x14ac:dyDescent="0.25">
      <c r="A624" t="s">
        <v>637</v>
      </c>
      <c r="B624">
        <v>173</v>
      </c>
      <c r="C624" s="1" t="str">
        <f>HYPERLINK("http://www.rosaceae.org/gb/gbrowse/malus_x_domestica/?name=MDP0000336462","MDP0000336462")</f>
        <v>MDP0000336462</v>
      </c>
      <c r="D624">
        <v>100</v>
      </c>
      <c r="E624">
        <v>81</v>
      </c>
      <c r="F624">
        <v>0</v>
      </c>
      <c r="G624">
        <v>0</v>
      </c>
      <c r="H624">
        <v>22</v>
      </c>
      <c r="I624">
        <v>102</v>
      </c>
      <c r="J624">
        <v>1</v>
      </c>
      <c r="K624">
        <v>44</v>
      </c>
      <c r="L624">
        <v>124</v>
      </c>
      <c r="M624">
        <v>1</v>
      </c>
      <c r="N624">
        <v>3.4559099999999998E-41</v>
      </c>
      <c r="O624">
        <v>416</v>
      </c>
    </row>
    <row r="625" spans="1:15" x14ac:dyDescent="0.25">
      <c r="A625" t="s">
        <v>638</v>
      </c>
      <c r="B625">
        <v>539</v>
      </c>
      <c r="C625" s="1" t="str">
        <f>HYPERLINK("http://www.rosaceae.org/gb/gbrowse/malus_x_domestica/?name=MDP0000164307","MDP0000164307")</f>
        <v>MDP0000164307</v>
      </c>
      <c r="D625">
        <v>75</v>
      </c>
      <c r="E625">
        <v>132</v>
      </c>
      <c r="F625">
        <v>33</v>
      </c>
      <c r="G625">
        <v>7</v>
      </c>
      <c r="H625">
        <v>410</v>
      </c>
      <c r="I625">
        <v>539</v>
      </c>
      <c r="J625">
        <v>1</v>
      </c>
      <c r="K625">
        <v>878</v>
      </c>
      <c r="L625">
        <v>1004</v>
      </c>
      <c r="M625">
        <v>1</v>
      </c>
      <c r="N625">
        <v>1.1657E-51</v>
      </c>
      <c r="O625">
        <v>512</v>
      </c>
    </row>
    <row r="626" spans="1:15" x14ac:dyDescent="0.25">
      <c r="A626" t="s">
        <v>639</v>
      </c>
      <c r="B626">
        <v>411</v>
      </c>
      <c r="C626" s="1" t="str">
        <f>HYPERLINK("http://www.rosaceae.org/gb/gbrowse/malus_x_domestica/?name=MDP0000245846","MDP0000245846")</f>
        <v>MDP0000245846</v>
      </c>
      <c r="D626">
        <v>32.26</v>
      </c>
      <c r="E626">
        <v>313</v>
      </c>
      <c r="F626">
        <v>212</v>
      </c>
      <c r="G626">
        <v>47</v>
      </c>
      <c r="H626">
        <v>98</v>
      </c>
      <c r="I626">
        <v>391</v>
      </c>
      <c r="J626">
        <v>1</v>
      </c>
      <c r="K626">
        <v>79</v>
      </c>
      <c r="L626">
        <v>363</v>
      </c>
      <c r="M626">
        <v>1</v>
      </c>
      <c r="N626">
        <v>2.2622900000000001E-22</v>
      </c>
      <c r="O626">
        <v>258</v>
      </c>
    </row>
    <row r="627" spans="1:15" x14ac:dyDescent="0.25">
      <c r="A627" t="s">
        <v>640</v>
      </c>
      <c r="B627">
        <v>910</v>
      </c>
      <c r="C627" s="1" t="str">
        <f>HYPERLINK("http://www.rosaceae.org/gb/gbrowse/malus_x_domestica/?name=MDP0000262687","MDP0000262687")</f>
        <v>MDP0000262687</v>
      </c>
      <c r="D627">
        <v>65.31</v>
      </c>
      <c r="E627">
        <v>914</v>
      </c>
      <c r="F627">
        <v>317</v>
      </c>
      <c r="G627">
        <v>14</v>
      </c>
      <c r="H627">
        <v>2</v>
      </c>
      <c r="I627">
        <v>910</v>
      </c>
      <c r="J627">
        <v>1</v>
      </c>
      <c r="K627">
        <v>1</v>
      </c>
      <c r="L627">
        <v>905</v>
      </c>
      <c r="M627">
        <v>1</v>
      </c>
      <c r="N627">
        <v>0</v>
      </c>
      <c r="O627">
        <v>2908</v>
      </c>
    </row>
    <row r="628" spans="1:15" x14ac:dyDescent="0.25">
      <c r="A628" t="s">
        <v>641</v>
      </c>
      <c r="B628">
        <v>241</v>
      </c>
      <c r="C628" s="1" t="str">
        <f>HYPERLINK("http://www.rosaceae.org/gb/gbrowse/malus_x_domestica/?name=MDP0000866270","MDP0000866270")</f>
        <v>MDP0000866270</v>
      </c>
      <c r="D628">
        <v>56.52</v>
      </c>
      <c r="E628">
        <v>46</v>
      </c>
      <c r="F628">
        <v>20</v>
      </c>
      <c r="G628">
        <v>3</v>
      </c>
      <c r="H628">
        <v>1</v>
      </c>
      <c r="I628">
        <v>46</v>
      </c>
      <c r="J628">
        <v>1</v>
      </c>
      <c r="K628">
        <v>1</v>
      </c>
      <c r="L628">
        <v>43</v>
      </c>
      <c r="M628">
        <v>1</v>
      </c>
      <c r="N628">
        <v>1.2347100000000001E-7</v>
      </c>
      <c r="O628">
        <v>129</v>
      </c>
    </row>
    <row r="629" spans="1:15" x14ac:dyDescent="0.25">
      <c r="A629" t="s">
        <v>642</v>
      </c>
      <c r="B629">
        <v>232</v>
      </c>
      <c r="C629" s="1" t="str">
        <f>HYPERLINK("http://www.rosaceae.org/gb/gbrowse/malus_x_domestica/?name=MDP0000316852","MDP0000316852")</f>
        <v>MDP0000316852</v>
      </c>
      <c r="D629">
        <v>40.74</v>
      </c>
      <c r="E629">
        <v>81</v>
      </c>
      <c r="F629">
        <v>48</v>
      </c>
      <c r="G629">
        <v>3</v>
      </c>
      <c r="H629">
        <v>154</v>
      </c>
      <c r="I629">
        <v>231</v>
      </c>
      <c r="J629">
        <v>1</v>
      </c>
      <c r="K629">
        <v>488</v>
      </c>
      <c r="L629">
        <v>568</v>
      </c>
      <c r="M629">
        <v>1</v>
      </c>
      <c r="N629">
        <v>9.6274099999999997E-14</v>
      </c>
      <c r="O629">
        <v>181</v>
      </c>
    </row>
    <row r="630" spans="1:15" x14ac:dyDescent="0.25">
      <c r="A630" t="s">
        <v>643</v>
      </c>
      <c r="B630">
        <v>176</v>
      </c>
      <c r="C630" s="1" t="str">
        <f>HYPERLINK("http://www.rosaceae.org/gb/gbrowse/malus_x_domestica/?name=MDP0000211830","MDP0000211830")</f>
        <v>MDP0000211830</v>
      </c>
      <c r="D630">
        <v>36.090000000000003</v>
      </c>
      <c r="E630">
        <v>133</v>
      </c>
      <c r="F630">
        <v>85</v>
      </c>
      <c r="G630">
        <v>21</v>
      </c>
      <c r="H630">
        <v>49</v>
      </c>
      <c r="I630">
        <v>173</v>
      </c>
      <c r="J630">
        <v>1</v>
      </c>
      <c r="K630">
        <v>65</v>
      </c>
      <c r="L630">
        <v>184</v>
      </c>
      <c r="M630">
        <v>1</v>
      </c>
      <c r="N630">
        <v>8.8512599999999999E-10</v>
      </c>
      <c r="O630">
        <v>145</v>
      </c>
    </row>
    <row r="631" spans="1:15" x14ac:dyDescent="0.25">
      <c r="A631" t="s">
        <v>644</v>
      </c>
      <c r="B631">
        <v>797</v>
      </c>
      <c r="C631" s="1" t="str">
        <f>HYPERLINK("http://www.rosaceae.org/gb/gbrowse/malus_x_domestica/?name=MDP0000228175","MDP0000228175")</f>
        <v>MDP0000228175</v>
      </c>
      <c r="D631">
        <v>90.9</v>
      </c>
      <c r="E631">
        <v>198</v>
      </c>
      <c r="F631">
        <v>18</v>
      </c>
      <c r="G631">
        <v>0</v>
      </c>
      <c r="H631">
        <v>599</v>
      </c>
      <c r="I631">
        <v>796</v>
      </c>
      <c r="J631">
        <v>1</v>
      </c>
      <c r="K631">
        <v>373</v>
      </c>
      <c r="L631">
        <v>570</v>
      </c>
      <c r="M631">
        <v>1</v>
      </c>
      <c r="N631">
        <v>7.3014200000000004E-103</v>
      </c>
      <c r="O631">
        <v>956</v>
      </c>
    </row>
    <row r="632" spans="1:15" x14ac:dyDescent="0.25">
      <c r="A632" t="s">
        <v>645</v>
      </c>
      <c r="B632">
        <v>122</v>
      </c>
      <c r="C632" s="1" t="str">
        <f>HYPERLINK("http://www.rosaceae.org/gb/gbrowse/malus_x_domestica/?name=MDP0000411262","MDP0000411262")</f>
        <v>MDP0000411262</v>
      </c>
      <c r="D632">
        <v>47.95</v>
      </c>
      <c r="E632">
        <v>98</v>
      </c>
      <c r="F632">
        <v>51</v>
      </c>
      <c r="G632">
        <v>12</v>
      </c>
      <c r="H632">
        <v>23</v>
      </c>
      <c r="I632">
        <v>120</v>
      </c>
      <c r="J632">
        <v>1</v>
      </c>
      <c r="K632">
        <v>14</v>
      </c>
      <c r="L632">
        <v>99</v>
      </c>
      <c r="M632">
        <v>1</v>
      </c>
      <c r="N632">
        <v>3.03642E-11</v>
      </c>
      <c r="O632">
        <v>154</v>
      </c>
    </row>
    <row r="633" spans="1:15" x14ac:dyDescent="0.25">
      <c r="A633" t="s">
        <v>646</v>
      </c>
      <c r="B633">
        <v>365</v>
      </c>
      <c r="C633" s="1" t="str">
        <f>HYPERLINK("http://www.rosaceae.org/gb/gbrowse/malus_x_domestica/?name=MDP0000211165","MDP0000211165")</f>
        <v>MDP0000211165</v>
      </c>
      <c r="D633">
        <v>41.77</v>
      </c>
      <c r="E633">
        <v>383</v>
      </c>
      <c r="F633">
        <v>223</v>
      </c>
      <c r="G633">
        <v>38</v>
      </c>
      <c r="H633">
        <v>19</v>
      </c>
      <c r="I633">
        <v>365</v>
      </c>
      <c r="J633">
        <v>1</v>
      </c>
      <c r="K633">
        <v>106</v>
      </c>
      <c r="L633">
        <v>486</v>
      </c>
      <c r="M633">
        <v>1</v>
      </c>
      <c r="N633">
        <v>2.48457E-82</v>
      </c>
      <c r="O633">
        <v>775</v>
      </c>
    </row>
    <row r="634" spans="1:15" x14ac:dyDescent="0.25">
      <c r="A634" t="s">
        <v>647</v>
      </c>
      <c r="B634">
        <v>123</v>
      </c>
      <c r="C634" s="1" t="str">
        <f>HYPERLINK("http://www.rosaceae.org/gb/gbrowse/malus_x_domestica/?name=MDP0000636042","MDP0000636042")</f>
        <v>MDP0000636042</v>
      </c>
      <c r="D634">
        <v>57.4</v>
      </c>
      <c r="E634">
        <v>108</v>
      </c>
      <c r="F634">
        <v>46</v>
      </c>
      <c r="G634">
        <v>1</v>
      </c>
      <c r="H634">
        <v>3</v>
      </c>
      <c r="I634">
        <v>109</v>
      </c>
      <c r="J634">
        <v>1</v>
      </c>
      <c r="K634">
        <v>679</v>
      </c>
      <c r="L634">
        <v>786</v>
      </c>
      <c r="M634">
        <v>1</v>
      </c>
      <c r="N634">
        <v>6.1139099999999999E-31</v>
      </c>
      <c r="O634">
        <v>324</v>
      </c>
    </row>
    <row r="635" spans="1:15" x14ac:dyDescent="0.25">
      <c r="A635" t="s">
        <v>648</v>
      </c>
      <c r="B635">
        <v>191</v>
      </c>
      <c r="C635" s="1" t="str">
        <f>HYPERLINK("http://www.rosaceae.org/gb/gbrowse/malus_x_domestica/?name=MDP0000219819","MDP0000219819")</f>
        <v>MDP0000219819</v>
      </c>
      <c r="D635">
        <v>71.2</v>
      </c>
      <c r="E635">
        <v>191</v>
      </c>
      <c r="F635">
        <v>55</v>
      </c>
      <c r="G635">
        <v>1</v>
      </c>
      <c r="H635">
        <v>1</v>
      </c>
      <c r="I635">
        <v>191</v>
      </c>
      <c r="J635">
        <v>1</v>
      </c>
      <c r="K635">
        <v>1</v>
      </c>
      <c r="L635">
        <v>190</v>
      </c>
      <c r="M635">
        <v>1</v>
      </c>
      <c r="N635">
        <v>8.0632400000000004E-76</v>
      </c>
      <c r="O635">
        <v>715</v>
      </c>
    </row>
    <row r="636" spans="1:15" x14ac:dyDescent="0.25">
      <c r="A636" t="s">
        <v>649</v>
      </c>
      <c r="B636">
        <v>415</v>
      </c>
      <c r="C636" s="1" t="str">
        <f>HYPERLINK("http://www.rosaceae.org/gb/gbrowse/malus_x_domestica/?name=MDP0000252854","MDP0000252854")</f>
        <v>MDP0000252854</v>
      </c>
      <c r="D636">
        <v>71.17</v>
      </c>
      <c r="E636">
        <v>392</v>
      </c>
      <c r="F636">
        <v>113</v>
      </c>
      <c r="G636">
        <v>3</v>
      </c>
      <c r="H636">
        <v>6</v>
      </c>
      <c r="I636">
        <v>394</v>
      </c>
      <c r="J636">
        <v>1</v>
      </c>
      <c r="K636">
        <v>479</v>
      </c>
      <c r="L636">
        <v>870</v>
      </c>
      <c r="M636">
        <v>1</v>
      </c>
      <c r="N636">
        <v>8.8480600000000002E-169</v>
      </c>
      <c r="O636">
        <v>1521</v>
      </c>
    </row>
    <row r="637" spans="1:15" x14ac:dyDescent="0.25">
      <c r="A637" t="s">
        <v>650</v>
      </c>
      <c r="B637">
        <v>924</v>
      </c>
      <c r="C637" s="1" t="str">
        <f>HYPERLINK("http://www.rosaceae.org/gb/gbrowse/malus_x_domestica/?name=MDP0000263279","MDP0000263279")</f>
        <v>MDP0000263279</v>
      </c>
      <c r="D637">
        <v>79.52</v>
      </c>
      <c r="E637">
        <v>801</v>
      </c>
      <c r="F637">
        <v>164</v>
      </c>
      <c r="G637">
        <v>58</v>
      </c>
      <c r="H637">
        <v>167</v>
      </c>
      <c r="I637">
        <v>922</v>
      </c>
      <c r="J637">
        <v>1</v>
      </c>
      <c r="K637">
        <v>1</v>
      </c>
      <c r="L637">
        <v>788</v>
      </c>
      <c r="M637">
        <v>1</v>
      </c>
      <c r="N637">
        <v>0</v>
      </c>
      <c r="O637">
        <v>3389</v>
      </c>
    </row>
    <row r="638" spans="1:15" x14ac:dyDescent="0.25">
      <c r="A638" t="s">
        <v>651</v>
      </c>
      <c r="B638">
        <v>371</v>
      </c>
      <c r="C638" s="1" t="str">
        <f>HYPERLINK("http://www.rosaceae.org/gb/gbrowse/malus_x_domestica/?name=MDP0000806945","MDP0000806945")</f>
        <v>MDP0000806945</v>
      </c>
      <c r="D638">
        <v>57.33</v>
      </c>
      <c r="E638">
        <v>368</v>
      </c>
      <c r="F638">
        <v>157</v>
      </c>
      <c r="G638">
        <v>61</v>
      </c>
      <c r="H638">
        <v>1</v>
      </c>
      <c r="I638">
        <v>368</v>
      </c>
      <c r="J638">
        <v>1</v>
      </c>
      <c r="K638">
        <v>1</v>
      </c>
      <c r="L638">
        <v>307</v>
      </c>
      <c r="M638">
        <v>1</v>
      </c>
      <c r="N638">
        <v>3.9450500000000001E-120</v>
      </c>
      <c r="O638">
        <v>1101</v>
      </c>
    </row>
    <row r="639" spans="1:15" x14ac:dyDescent="0.25">
      <c r="A639" t="s">
        <v>652</v>
      </c>
      <c r="B639">
        <v>204</v>
      </c>
      <c r="C639" s="1" t="str">
        <f>HYPERLINK("http://www.rosaceae.org/gb/gbrowse/malus_x_domestica/?name=MDP0000209008","MDP0000209008")</f>
        <v>MDP0000209008</v>
      </c>
      <c r="D639">
        <v>65.650000000000006</v>
      </c>
      <c r="E639">
        <v>198</v>
      </c>
      <c r="F639">
        <v>68</v>
      </c>
      <c r="G639">
        <v>37</v>
      </c>
      <c r="H639">
        <v>39</v>
      </c>
      <c r="I639">
        <v>199</v>
      </c>
      <c r="J639">
        <v>1</v>
      </c>
      <c r="K639">
        <v>250</v>
      </c>
      <c r="L639">
        <v>447</v>
      </c>
      <c r="M639">
        <v>1</v>
      </c>
      <c r="N639">
        <v>8.8616500000000002E-70</v>
      </c>
      <c r="O639">
        <v>663</v>
      </c>
    </row>
    <row r="640" spans="1:15" x14ac:dyDescent="0.25">
      <c r="A640" t="s">
        <v>653</v>
      </c>
      <c r="B640">
        <v>264</v>
      </c>
      <c r="C640" s="1" t="str">
        <f>HYPERLINK("http://www.rosaceae.org/gb/gbrowse/malus_x_domestica/?name=MDP0000270225","MDP0000270225")</f>
        <v>MDP0000270225</v>
      </c>
      <c r="D640">
        <v>68.489999999999995</v>
      </c>
      <c r="E640">
        <v>273</v>
      </c>
      <c r="F640">
        <v>86</v>
      </c>
      <c r="G640">
        <v>30</v>
      </c>
      <c r="H640">
        <v>21</v>
      </c>
      <c r="I640">
        <v>264</v>
      </c>
      <c r="J640">
        <v>1</v>
      </c>
      <c r="K640">
        <v>1</v>
      </c>
      <c r="L640">
        <v>272</v>
      </c>
      <c r="M640">
        <v>1</v>
      </c>
      <c r="N640">
        <v>7.9178000000000005E-103</v>
      </c>
      <c r="O640">
        <v>950</v>
      </c>
    </row>
    <row r="641" spans="1:15" x14ac:dyDescent="0.25">
      <c r="A641" t="s">
        <v>654</v>
      </c>
      <c r="B641">
        <v>261</v>
      </c>
      <c r="C641" s="1" t="str">
        <f>HYPERLINK("http://www.rosaceae.org/gb/gbrowse/malus_x_domestica/?name=MDP0000175066","MDP0000175066")</f>
        <v>MDP0000175066</v>
      </c>
      <c r="D641">
        <v>76.42</v>
      </c>
      <c r="E641">
        <v>263</v>
      </c>
      <c r="F641">
        <v>62</v>
      </c>
      <c r="G641">
        <v>39</v>
      </c>
      <c r="H641">
        <v>38</v>
      </c>
      <c r="I641">
        <v>261</v>
      </c>
      <c r="J641">
        <v>1</v>
      </c>
      <c r="K641">
        <v>39</v>
      </c>
      <c r="L641">
        <v>301</v>
      </c>
      <c r="M641">
        <v>1</v>
      </c>
      <c r="N641">
        <v>9.9600499999999999E-116</v>
      </c>
      <c r="O641">
        <v>1061</v>
      </c>
    </row>
    <row r="642" spans="1:15" x14ac:dyDescent="0.25">
      <c r="A642" t="s">
        <v>655</v>
      </c>
      <c r="B642">
        <v>611</v>
      </c>
      <c r="C642" s="1" t="str">
        <f>HYPERLINK("http://www.rosaceae.org/gb/gbrowse/malus_x_domestica/?name=MDP0000253325","MDP0000253325")</f>
        <v>MDP0000253325</v>
      </c>
      <c r="D642">
        <v>50.7</v>
      </c>
      <c r="E642">
        <v>564</v>
      </c>
      <c r="F642">
        <v>278</v>
      </c>
      <c r="G642">
        <v>60</v>
      </c>
      <c r="H642">
        <v>56</v>
      </c>
      <c r="I642">
        <v>611</v>
      </c>
      <c r="J642">
        <v>1</v>
      </c>
      <c r="K642">
        <v>665</v>
      </c>
      <c r="L642">
        <v>1176</v>
      </c>
      <c r="M642">
        <v>1</v>
      </c>
      <c r="N642">
        <v>6.9955000000000001E-139</v>
      </c>
      <c r="O642">
        <v>1265</v>
      </c>
    </row>
    <row r="643" spans="1:15" x14ac:dyDescent="0.25">
      <c r="A643" t="s">
        <v>656</v>
      </c>
      <c r="B643">
        <v>350</v>
      </c>
      <c r="C643" s="1" t="str">
        <f>HYPERLINK("http://www.rosaceae.org/gb/gbrowse/malus_x_domestica/?name=MDP0000190535","MDP0000190535")</f>
        <v>MDP0000190535</v>
      </c>
      <c r="D643">
        <v>66.66</v>
      </c>
      <c r="E643">
        <v>282</v>
      </c>
      <c r="F643">
        <v>94</v>
      </c>
      <c r="G643">
        <v>6</v>
      </c>
      <c r="H643">
        <v>1</v>
      </c>
      <c r="I643">
        <v>277</v>
      </c>
      <c r="J643">
        <v>1</v>
      </c>
      <c r="K643">
        <v>1</v>
      </c>
      <c r="L643">
        <v>281</v>
      </c>
      <c r="M643">
        <v>1</v>
      </c>
      <c r="N643">
        <v>8.4694199999999999E-106</v>
      </c>
      <c r="O643">
        <v>977</v>
      </c>
    </row>
    <row r="644" spans="1:15" x14ac:dyDescent="0.25">
      <c r="A644" t="s">
        <v>657</v>
      </c>
      <c r="B644">
        <v>677</v>
      </c>
      <c r="C644" s="1" t="str">
        <f>HYPERLINK("http://www.rosaceae.org/gb/gbrowse/malus_x_domestica/?name=MDP0000193181","MDP0000193181")</f>
        <v>MDP0000193181</v>
      </c>
      <c r="D644">
        <v>80</v>
      </c>
      <c r="E644">
        <v>675</v>
      </c>
      <c r="F644">
        <v>135</v>
      </c>
      <c r="G644">
        <v>0</v>
      </c>
      <c r="H644">
        <v>3</v>
      </c>
      <c r="I644">
        <v>677</v>
      </c>
      <c r="J644">
        <v>1</v>
      </c>
      <c r="K644">
        <v>212</v>
      </c>
      <c r="L644">
        <v>886</v>
      </c>
      <c r="M644">
        <v>1</v>
      </c>
      <c r="N644">
        <v>0</v>
      </c>
      <c r="O644">
        <v>2965</v>
      </c>
    </row>
    <row r="645" spans="1:15" x14ac:dyDescent="0.25">
      <c r="A645" t="s">
        <v>658</v>
      </c>
      <c r="B645">
        <v>106</v>
      </c>
      <c r="C645" s="1" t="str">
        <f>HYPERLINK("http://www.rosaceae.org/gb/gbrowse/malus_x_domestica/?name=MDP0000238100","MDP0000238100")</f>
        <v>MDP0000238100</v>
      </c>
      <c r="D645">
        <v>50.66</v>
      </c>
      <c r="E645">
        <v>75</v>
      </c>
      <c r="F645">
        <v>37</v>
      </c>
      <c r="G645">
        <v>13</v>
      </c>
      <c r="H645">
        <v>21</v>
      </c>
      <c r="I645">
        <v>82</v>
      </c>
      <c r="J645">
        <v>1</v>
      </c>
      <c r="K645">
        <v>191</v>
      </c>
      <c r="L645">
        <v>265</v>
      </c>
      <c r="M645">
        <v>1</v>
      </c>
      <c r="N645">
        <v>3.5054699999999999E-13</v>
      </c>
      <c r="O645">
        <v>171</v>
      </c>
    </row>
    <row r="646" spans="1:15" x14ac:dyDescent="0.25">
      <c r="A646" t="s">
        <v>659</v>
      </c>
      <c r="B646">
        <v>235</v>
      </c>
      <c r="C646" s="1" t="str">
        <f>HYPERLINK("http://www.rosaceae.org/gb/gbrowse/malus_x_domestica/?name=MDP0000285475","MDP0000285475")</f>
        <v>MDP0000285475</v>
      </c>
      <c r="D646">
        <v>44.87</v>
      </c>
      <c r="E646">
        <v>205</v>
      </c>
      <c r="F646">
        <v>113</v>
      </c>
      <c r="G646">
        <v>6</v>
      </c>
      <c r="H646">
        <v>14</v>
      </c>
      <c r="I646">
        <v>213</v>
      </c>
      <c r="J646">
        <v>1</v>
      </c>
      <c r="K646">
        <v>67</v>
      </c>
      <c r="L646">
        <v>270</v>
      </c>
      <c r="M646">
        <v>1</v>
      </c>
      <c r="N646">
        <v>1.58321E-44</v>
      </c>
      <c r="O646">
        <v>447</v>
      </c>
    </row>
    <row r="647" spans="1:15" x14ac:dyDescent="0.25">
      <c r="A647" t="s">
        <v>660</v>
      </c>
      <c r="B647">
        <v>562</v>
      </c>
      <c r="C647" s="1" t="str">
        <f>HYPERLINK("http://www.rosaceae.org/gb/gbrowse/malus_x_domestica/?name=MDP0000695714","MDP0000695714")</f>
        <v>MDP0000695714</v>
      </c>
      <c r="D647">
        <v>62.74</v>
      </c>
      <c r="E647">
        <v>553</v>
      </c>
      <c r="F647">
        <v>206</v>
      </c>
      <c r="G647">
        <v>18</v>
      </c>
      <c r="H647">
        <v>22</v>
      </c>
      <c r="I647">
        <v>562</v>
      </c>
      <c r="J647">
        <v>1</v>
      </c>
      <c r="K647">
        <v>57</v>
      </c>
      <c r="L647">
        <v>603</v>
      </c>
      <c r="M647">
        <v>1</v>
      </c>
      <c r="N647">
        <v>0</v>
      </c>
      <c r="O647">
        <v>1680</v>
      </c>
    </row>
    <row r="648" spans="1:15" x14ac:dyDescent="0.25">
      <c r="A648" t="s">
        <v>661</v>
      </c>
      <c r="B648">
        <v>512</v>
      </c>
      <c r="C648" s="1" t="str">
        <f>HYPERLINK("http://www.rosaceae.org/gb/gbrowse/malus_x_domestica/?name=MDP0000308871","MDP0000308871")</f>
        <v>MDP0000308871</v>
      </c>
      <c r="D648">
        <v>75.040000000000006</v>
      </c>
      <c r="E648">
        <v>505</v>
      </c>
      <c r="F648">
        <v>126</v>
      </c>
      <c r="G648">
        <v>6</v>
      </c>
      <c r="H648">
        <v>9</v>
      </c>
      <c r="I648">
        <v>511</v>
      </c>
      <c r="J648">
        <v>1</v>
      </c>
      <c r="K648">
        <v>70</v>
      </c>
      <c r="L648">
        <v>570</v>
      </c>
      <c r="M648">
        <v>1</v>
      </c>
      <c r="N648">
        <v>0</v>
      </c>
      <c r="O648">
        <v>1988</v>
      </c>
    </row>
    <row r="649" spans="1:15" x14ac:dyDescent="0.25">
      <c r="A649" t="s">
        <v>662</v>
      </c>
      <c r="B649">
        <v>372</v>
      </c>
      <c r="C649" s="1" t="str">
        <f>HYPERLINK("http://www.rosaceae.org/gb/gbrowse/malus_x_domestica/?name=MDP0000232977","MDP0000232977")</f>
        <v>MDP0000232977</v>
      </c>
      <c r="D649">
        <v>57.87</v>
      </c>
      <c r="E649">
        <v>273</v>
      </c>
      <c r="F649">
        <v>115</v>
      </c>
      <c r="G649">
        <v>20</v>
      </c>
      <c r="H649">
        <v>114</v>
      </c>
      <c r="I649">
        <v>371</v>
      </c>
      <c r="J649">
        <v>1</v>
      </c>
      <c r="K649">
        <v>10</v>
      </c>
      <c r="L649">
        <v>277</v>
      </c>
      <c r="M649">
        <v>1</v>
      </c>
      <c r="N649">
        <v>4.6552600000000001E-80</v>
      </c>
      <c r="O649">
        <v>755</v>
      </c>
    </row>
    <row r="650" spans="1:15" x14ac:dyDescent="0.25">
      <c r="A650" t="s">
        <v>663</v>
      </c>
      <c r="B650">
        <v>549</v>
      </c>
      <c r="C650" s="1" t="str">
        <f>HYPERLINK("http://www.rosaceae.org/gb/gbrowse/malus_x_domestica/?name=MDP0000322058","MDP0000322058")</f>
        <v>MDP0000322058</v>
      </c>
      <c r="D650">
        <v>70.22</v>
      </c>
      <c r="E650">
        <v>571</v>
      </c>
      <c r="F650">
        <v>170</v>
      </c>
      <c r="G650">
        <v>51</v>
      </c>
      <c r="H650">
        <v>1</v>
      </c>
      <c r="I650">
        <v>546</v>
      </c>
      <c r="J650">
        <v>1</v>
      </c>
      <c r="K650">
        <v>1</v>
      </c>
      <c r="L650">
        <v>545</v>
      </c>
      <c r="M650">
        <v>1</v>
      </c>
      <c r="N650">
        <v>0</v>
      </c>
      <c r="O650">
        <v>1914</v>
      </c>
    </row>
    <row r="651" spans="1:15" x14ac:dyDescent="0.25">
      <c r="A651" t="s">
        <v>664</v>
      </c>
      <c r="B651">
        <v>513</v>
      </c>
      <c r="C651" s="1" t="str">
        <f>HYPERLINK("http://www.rosaceae.org/gb/gbrowse/malus_x_domestica/?name=MDP0000214968","MDP0000214968")</f>
        <v>MDP0000214968</v>
      </c>
      <c r="D651">
        <v>61.85</v>
      </c>
      <c r="E651">
        <v>582</v>
      </c>
      <c r="F651">
        <v>222</v>
      </c>
      <c r="G651">
        <v>87</v>
      </c>
      <c r="H651">
        <v>1</v>
      </c>
      <c r="I651">
        <v>502</v>
      </c>
      <c r="J651">
        <v>1</v>
      </c>
      <c r="K651">
        <v>1</v>
      </c>
      <c r="L651">
        <v>575</v>
      </c>
      <c r="M651">
        <v>1</v>
      </c>
      <c r="N651">
        <v>0</v>
      </c>
      <c r="O651">
        <v>1658</v>
      </c>
    </row>
    <row r="652" spans="1:15" x14ac:dyDescent="0.25">
      <c r="A652" t="s">
        <v>665</v>
      </c>
      <c r="B652">
        <v>415</v>
      </c>
      <c r="C652" s="1" t="str">
        <f>HYPERLINK("http://www.rosaceae.org/gb/gbrowse/malus_x_domestica/?name=MDP0000250047","MDP0000250047")</f>
        <v>MDP0000250047</v>
      </c>
      <c r="D652">
        <v>63.39</v>
      </c>
      <c r="E652">
        <v>407</v>
      </c>
      <c r="F652">
        <v>149</v>
      </c>
      <c r="G652">
        <v>41</v>
      </c>
      <c r="H652">
        <v>1</v>
      </c>
      <c r="I652">
        <v>368</v>
      </c>
      <c r="J652">
        <v>1</v>
      </c>
      <c r="K652">
        <v>50</v>
      </c>
      <c r="L652">
        <v>454</v>
      </c>
      <c r="M652">
        <v>1</v>
      </c>
      <c r="N652">
        <v>5.9112799999999997E-150</v>
      </c>
      <c r="O652">
        <v>1359</v>
      </c>
    </row>
    <row r="653" spans="1:15" x14ac:dyDescent="0.25">
      <c r="A653" t="s">
        <v>666</v>
      </c>
      <c r="B653">
        <v>555</v>
      </c>
      <c r="C653" s="1" t="str">
        <f>HYPERLINK("http://www.rosaceae.org/gb/gbrowse/malus_x_domestica/?name=MDP0000250047","MDP0000250047")</f>
        <v>MDP0000250047</v>
      </c>
      <c r="D653">
        <v>33.4</v>
      </c>
      <c r="E653">
        <v>470</v>
      </c>
      <c r="F653">
        <v>313</v>
      </c>
      <c r="G653">
        <v>30</v>
      </c>
      <c r="H653">
        <v>8</v>
      </c>
      <c r="I653">
        <v>468</v>
      </c>
      <c r="J653">
        <v>1</v>
      </c>
      <c r="K653">
        <v>61</v>
      </c>
      <c r="L653">
        <v>509</v>
      </c>
      <c r="M653">
        <v>1</v>
      </c>
      <c r="N653">
        <v>1.65139E-77</v>
      </c>
      <c r="O653">
        <v>735</v>
      </c>
    </row>
    <row r="654" spans="1:15" x14ac:dyDescent="0.25">
      <c r="A654" t="s">
        <v>667</v>
      </c>
      <c r="B654">
        <v>366</v>
      </c>
      <c r="C654" s="1" t="str">
        <f>HYPERLINK("http://www.rosaceae.org/gb/gbrowse/malus_x_domestica/?name=MDP0000836444","MDP0000836444")</f>
        <v>MDP0000836444</v>
      </c>
      <c r="D654">
        <v>43.45</v>
      </c>
      <c r="E654">
        <v>405</v>
      </c>
      <c r="F654">
        <v>229</v>
      </c>
      <c r="G654">
        <v>47</v>
      </c>
      <c r="H654">
        <v>1</v>
      </c>
      <c r="I654">
        <v>365</v>
      </c>
      <c r="J654">
        <v>1</v>
      </c>
      <c r="K654">
        <v>1</v>
      </c>
      <c r="L654">
        <v>398</v>
      </c>
      <c r="M654">
        <v>1</v>
      </c>
      <c r="N654">
        <v>8.3414500000000002E-62</v>
      </c>
      <c r="O654">
        <v>598</v>
      </c>
    </row>
    <row r="655" spans="1:15" x14ac:dyDescent="0.25">
      <c r="A655" t="s">
        <v>668</v>
      </c>
      <c r="B655">
        <v>605</v>
      </c>
      <c r="C655" s="1" t="str">
        <f>HYPERLINK("http://www.rosaceae.org/gb/gbrowse/malus_x_domestica/?name=MDP0000282789","MDP0000282789")</f>
        <v>MDP0000282789</v>
      </c>
      <c r="D655">
        <v>65.8</v>
      </c>
      <c r="E655">
        <v>544</v>
      </c>
      <c r="F655">
        <v>186</v>
      </c>
      <c r="G655">
        <v>35</v>
      </c>
      <c r="H655">
        <v>1</v>
      </c>
      <c r="I655">
        <v>510</v>
      </c>
      <c r="J655">
        <v>1</v>
      </c>
      <c r="K655">
        <v>1</v>
      </c>
      <c r="L655">
        <v>543</v>
      </c>
      <c r="M655">
        <v>1</v>
      </c>
      <c r="N655">
        <v>0</v>
      </c>
      <c r="O655">
        <v>1832</v>
      </c>
    </row>
    <row r="656" spans="1:15" x14ac:dyDescent="0.25">
      <c r="A656" t="s">
        <v>669</v>
      </c>
      <c r="B656">
        <v>907</v>
      </c>
      <c r="C656" s="1" t="str">
        <f>HYPERLINK("http://www.rosaceae.org/gb/gbrowse/malus_x_domestica/?name=MDP0000130574","MDP0000130574")</f>
        <v>MDP0000130574</v>
      </c>
      <c r="D656">
        <v>72.03</v>
      </c>
      <c r="E656">
        <v>633</v>
      </c>
      <c r="F656">
        <v>177</v>
      </c>
      <c r="G656">
        <v>9</v>
      </c>
      <c r="H656">
        <v>65</v>
      </c>
      <c r="I656">
        <v>690</v>
      </c>
      <c r="J656">
        <v>1</v>
      </c>
      <c r="K656">
        <v>55</v>
      </c>
      <c r="L656">
        <v>685</v>
      </c>
      <c r="M656">
        <v>1</v>
      </c>
      <c r="N656">
        <v>0</v>
      </c>
      <c r="O656">
        <v>2424</v>
      </c>
    </row>
    <row r="657" spans="1:15" x14ac:dyDescent="0.25">
      <c r="A657" t="s">
        <v>670</v>
      </c>
      <c r="B657">
        <v>496</v>
      </c>
      <c r="C657" s="1" t="str">
        <f>HYPERLINK("http://www.rosaceae.org/gb/gbrowse/malus_x_domestica/?name=MDP0000168307","MDP0000168307")</f>
        <v>MDP0000168307</v>
      </c>
      <c r="D657">
        <v>82.94</v>
      </c>
      <c r="E657">
        <v>217</v>
      </c>
      <c r="F657">
        <v>37</v>
      </c>
      <c r="G657">
        <v>1</v>
      </c>
      <c r="H657">
        <v>12</v>
      </c>
      <c r="I657">
        <v>228</v>
      </c>
      <c r="J657">
        <v>1</v>
      </c>
      <c r="K657">
        <v>8</v>
      </c>
      <c r="L657">
        <v>223</v>
      </c>
      <c r="M657">
        <v>1</v>
      </c>
      <c r="N657">
        <v>5.4419299999999998E-101</v>
      </c>
      <c r="O657">
        <v>937</v>
      </c>
    </row>
    <row r="658" spans="1:15" x14ac:dyDescent="0.25">
      <c r="A658" t="s">
        <v>671</v>
      </c>
      <c r="B658">
        <v>992</v>
      </c>
      <c r="C658" s="1" t="str">
        <f>HYPERLINK("http://www.rosaceae.org/gb/gbrowse/malus_x_domestica/?name=MDP0000277847","MDP0000277847")</f>
        <v>MDP0000277847</v>
      </c>
      <c r="D658">
        <v>60.17</v>
      </c>
      <c r="E658">
        <v>1057</v>
      </c>
      <c r="F658">
        <v>421</v>
      </c>
      <c r="G658">
        <v>181</v>
      </c>
      <c r="H658">
        <v>44</v>
      </c>
      <c r="I658">
        <v>988</v>
      </c>
      <c r="J658">
        <v>1</v>
      </c>
      <c r="K658">
        <v>104</v>
      </c>
      <c r="L658">
        <v>1091</v>
      </c>
      <c r="M658">
        <v>1</v>
      </c>
      <c r="N658">
        <v>0</v>
      </c>
      <c r="O658">
        <v>2977</v>
      </c>
    </row>
    <row r="659" spans="1:15" x14ac:dyDescent="0.25">
      <c r="A659" t="s">
        <v>672</v>
      </c>
      <c r="B659">
        <v>148</v>
      </c>
      <c r="C659" s="1" t="str">
        <f>HYPERLINK("http://www.rosaceae.org/gb/gbrowse/malus_x_domestica/?name=MDP0000464702","MDP0000464702")</f>
        <v>MDP0000464702</v>
      </c>
      <c r="D659">
        <v>97.97</v>
      </c>
      <c r="E659">
        <v>148</v>
      </c>
      <c r="F659">
        <v>3</v>
      </c>
      <c r="G659">
        <v>0</v>
      </c>
      <c r="H659">
        <v>1</v>
      </c>
      <c r="I659">
        <v>148</v>
      </c>
      <c r="J659">
        <v>1</v>
      </c>
      <c r="K659">
        <v>45</v>
      </c>
      <c r="L659">
        <v>192</v>
      </c>
      <c r="M659">
        <v>1</v>
      </c>
      <c r="N659">
        <v>2.3513200000000002E-84</v>
      </c>
      <c r="O659">
        <v>787</v>
      </c>
    </row>
    <row r="660" spans="1:15" x14ac:dyDescent="0.25">
      <c r="A660" t="s">
        <v>673</v>
      </c>
      <c r="B660">
        <v>375</v>
      </c>
      <c r="C660" s="1" t="str">
        <f>HYPERLINK("http://www.rosaceae.org/gb/gbrowse/malus_x_domestica/?name=MDP0000157225","MDP0000157225")</f>
        <v>MDP0000157225</v>
      </c>
      <c r="D660">
        <v>51.19</v>
      </c>
      <c r="E660">
        <v>377</v>
      </c>
      <c r="F660">
        <v>184</v>
      </c>
      <c r="G660">
        <v>11</v>
      </c>
      <c r="H660">
        <v>7</v>
      </c>
      <c r="I660">
        <v>375</v>
      </c>
      <c r="J660">
        <v>1</v>
      </c>
      <c r="K660">
        <v>66</v>
      </c>
      <c r="L660">
        <v>439</v>
      </c>
      <c r="M660">
        <v>1</v>
      </c>
      <c r="N660">
        <v>2.2673800000000002E-96</v>
      </c>
      <c r="O660">
        <v>896</v>
      </c>
    </row>
    <row r="661" spans="1:15" x14ac:dyDescent="0.25">
      <c r="A661" t="s">
        <v>674</v>
      </c>
      <c r="B661">
        <v>437</v>
      </c>
      <c r="C661" s="1" t="str">
        <f>HYPERLINK("http://www.rosaceae.org/gb/gbrowse/malus_x_domestica/?name=MDP0000218911","MDP0000218911")</f>
        <v>MDP0000218911</v>
      </c>
      <c r="D661">
        <v>58.46</v>
      </c>
      <c r="E661">
        <v>260</v>
      </c>
      <c r="F661">
        <v>108</v>
      </c>
      <c r="G661">
        <v>17</v>
      </c>
      <c r="H661">
        <v>99</v>
      </c>
      <c r="I661">
        <v>346</v>
      </c>
      <c r="J661">
        <v>1</v>
      </c>
      <c r="K661">
        <v>7</v>
      </c>
      <c r="L661">
        <v>261</v>
      </c>
      <c r="M661">
        <v>1</v>
      </c>
      <c r="N661">
        <v>3.1840799999999998E-75</v>
      </c>
      <c r="O661">
        <v>715</v>
      </c>
    </row>
    <row r="662" spans="1:15" x14ac:dyDescent="0.25">
      <c r="A662" t="s">
        <v>675</v>
      </c>
      <c r="B662">
        <v>584</v>
      </c>
      <c r="C662" s="1" t="str">
        <f>HYPERLINK("http://www.rosaceae.org/gb/gbrowse/malus_x_domestica/?name=MDP0000194332","MDP0000194332")</f>
        <v>MDP0000194332</v>
      </c>
      <c r="D662">
        <v>85.25</v>
      </c>
      <c r="E662">
        <v>407</v>
      </c>
      <c r="F662">
        <v>60</v>
      </c>
      <c r="G662">
        <v>10</v>
      </c>
      <c r="H662">
        <v>181</v>
      </c>
      <c r="I662">
        <v>581</v>
      </c>
      <c r="J662">
        <v>1</v>
      </c>
      <c r="K662">
        <v>230</v>
      </c>
      <c r="L662">
        <v>632</v>
      </c>
      <c r="M662">
        <v>1</v>
      </c>
      <c r="N662">
        <v>0</v>
      </c>
      <c r="O662">
        <v>1760</v>
      </c>
    </row>
    <row r="663" spans="1:15" x14ac:dyDescent="0.25">
      <c r="A663" t="s">
        <v>676</v>
      </c>
      <c r="B663">
        <v>181</v>
      </c>
      <c r="C663" s="1" t="str">
        <f>HYPERLINK("http://www.rosaceae.org/gb/gbrowse/malus_x_domestica/?name=MDP0000389902","MDP0000389902")</f>
        <v>MDP0000389902</v>
      </c>
      <c r="D663">
        <v>71.75</v>
      </c>
      <c r="E663">
        <v>177</v>
      </c>
      <c r="F663">
        <v>50</v>
      </c>
      <c r="G663">
        <v>15</v>
      </c>
      <c r="H663">
        <v>1</v>
      </c>
      <c r="I663">
        <v>162</v>
      </c>
      <c r="J663">
        <v>1</v>
      </c>
      <c r="K663">
        <v>1</v>
      </c>
      <c r="L663">
        <v>177</v>
      </c>
      <c r="M663">
        <v>1</v>
      </c>
      <c r="N663">
        <v>3.3172100000000003E-67</v>
      </c>
      <c r="O663">
        <v>640</v>
      </c>
    </row>
    <row r="664" spans="1:15" x14ac:dyDescent="0.25">
      <c r="A664" t="s">
        <v>677</v>
      </c>
      <c r="B664">
        <v>551</v>
      </c>
      <c r="C664" s="1" t="str">
        <f>HYPERLINK("http://www.rosaceae.org/gb/gbrowse/malus_x_domestica/?name=MDP0000276836","MDP0000276836")</f>
        <v>MDP0000276836</v>
      </c>
      <c r="D664">
        <v>79.040000000000006</v>
      </c>
      <c r="E664">
        <v>210</v>
      </c>
      <c r="F664">
        <v>44</v>
      </c>
      <c r="G664">
        <v>0</v>
      </c>
      <c r="H664">
        <v>271</v>
      </c>
      <c r="I664">
        <v>480</v>
      </c>
      <c r="J664">
        <v>1</v>
      </c>
      <c r="K664">
        <v>797</v>
      </c>
      <c r="L664">
        <v>1006</v>
      </c>
      <c r="M664">
        <v>1</v>
      </c>
      <c r="N664">
        <v>4.2013800000000002E-98</v>
      </c>
      <c r="O664">
        <v>913</v>
      </c>
    </row>
    <row r="665" spans="1:15" x14ac:dyDescent="0.25">
      <c r="A665" t="s">
        <v>678</v>
      </c>
      <c r="B665">
        <v>211</v>
      </c>
      <c r="C665" s="1" t="str">
        <f>HYPERLINK("http://www.rosaceae.org/gb/gbrowse/malus_x_domestica/?name=MDP0000135652","MDP0000135652")</f>
        <v>MDP0000135652</v>
      </c>
      <c r="D665">
        <v>47.33</v>
      </c>
      <c r="E665">
        <v>150</v>
      </c>
      <c r="F665">
        <v>79</v>
      </c>
      <c r="G665">
        <v>8</v>
      </c>
      <c r="H665">
        <v>8</v>
      </c>
      <c r="I665">
        <v>156</v>
      </c>
      <c r="J665">
        <v>1</v>
      </c>
      <c r="K665">
        <v>17</v>
      </c>
      <c r="L665">
        <v>159</v>
      </c>
      <c r="M665">
        <v>1</v>
      </c>
      <c r="N665">
        <v>3.8523699999999998E-29</v>
      </c>
      <c r="O665">
        <v>313</v>
      </c>
    </row>
    <row r="666" spans="1:15" x14ac:dyDescent="0.25">
      <c r="A666" t="s">
        <v>679</v>
      </c>
      <c r="B666">
        <v>770</v>
      </c>
      <c r="C666" s="1" t="str">
        <f>HYPERLINK("http://www.rosaceae.org/gb/gbrowse/malus_x_domestica/?name=MDP0000141028","MDP0000141028")</f>
        <v>MDP0000141028</v>
      </c>
      <c r="D666">
        <v>61.83</v>
      </c>
      <c r="E666">
        <v>786</v>
      </c>
      <c r="F666">
        <v>300</v>
      </c>
      <c r="G666">
        <v>97</v>
      </c>
      <c r="H666">
        <v>22</v>
      </c>
      <c r="I666">
        <v>769</v>
      </c>
      <c r="J666">
        <v>1</v>
      </c>
      <c r="K666">
        <v>155</v>
      </c>
      <c r="L666">
        <v>881</v>
      </c>
      <c r="M666">
        <v>1</v>
      </c>
      <c r="N666">
        <v>0</v>
      </c>
      <c r="O666">
        <v>2358</v>
      </c>
    </row>
    <row r="667" spans="1:15" x14ac:dyDescent="0.25">
      <c r="A667" t="s">
        <v>680</v>
      </c>
      <c r="B667">
        <v>571</v>
      </c>
      <c r="C667" s="1" t="str">
        <f>HYPERLINK("http://www.rosaceae.org/gb/gbrowse/malus_x_domestica/?name=MDP0000684928","MDP0000684928")</f>
        <v>MDP0000684928</v>
      </c>
      <c r="D667">
        <v>78.319999999999993</v>
      </c>
      <c r="E667">
        <v>572</v>
      </c>
      <c r="F667">
        <v>124</v>
      </c>
      <c r="G667">
        <v>4</v>
      </c>
      <c r="H667">
        <v>1</v>
      </c>
      <c r="I667">
        <v>571</v>
      </c>
      <c r="J667">
        <v>1</v>
      </c>
      <c r="K667">
        <v>6</v>
      </c>
      <c r="L667">
        <v>574</v>
      </c>
      <c r="M667">
        <v>1</v>
      </c>
      <c r="N667">
        <v>0</v>
      </c>
      <c r="O667">
        <v>2438</v>
      </c>
    </row>
    <row r="668" spans="1:15" x14ac:dyDescent="0.25">
      <c r="A668" t="s">
        <v>681</v>
      </c>
      <c r="B668">
        <v>279</v>
      </c>
      <c r="C668" s="1" t="str">
        <f>HYPERLINK("http://www.rosaceae.org/gb/gbrowse/malus_x_domestica/?name=MDP0000682032","MDP0000682032")</f>
        <v>MDP0000682032</v>
      </c>
      <c r="D668">
        <v>67.819999999999993</v>
      </c>
      <c r="E668">
        <v>289</v>
      </c>
      <c r="F668">
        <v>93</v>
      </c>
      <c r="G668">
        <v>19</v>
      </c>
      <c r="H668">
        <v>1</v>
      </c>
      <c r="I668">
        <v>271</v>
      </c>
      <c r="J668">
        <v>1</v>
      </c>
      <c r="K668">
        <v>1</v>
      </c>
      <c r="L668">
        <v>288</v>
      </c>
      <c r="M668">
        <v>1</v>
      </c>
      <c r="N668">
        <v>9.0950399999999995E-103</v>
      </c>
      <c r="O668">
        <v>950</v>
      </c>
    </row>
    <row r="669" spans="1:15" x14ac:dyDescent="0.25">
      <c r="A669" t="s">
        <v>682</v>
      </c>
      <c r="B669">
        <v>73</v>
      </c>
      <c r="C669" s="1" t="str">
        <f>HYPERLINK("http://www.rosaceae.org/gb/gbrowse/malus_x_domestica/?name=MDP0000182172","MDP0000182172")</f>
        <v>MDP0000182172</v>
      </c>
      <c r="D669">
        <v>73.13</v>
      </c>
      <c r="E669">
        <v>67</v>
      </c>
      <c r="F669">
        <v>18</v>
      </c>
      <c r="G669">
        <v>0</v>
      </c>
      <c r="H669">
        <v>7</v>
      </c>
      <c r="I669">
        <v>73</v>
      </c>
      <c r="J669">
        <v>1</v>
      </c>
      <c r="K669">
        <v>18</v>
      </c>
      <c r="L669">
        <v>84</v>
      </c>
      <c r="M669">
        <v>1</v>
      </c>
      <c r="N669">
        <v>1.0536899999999999E-24</v>
      </c>
      <c r="O669">
        <v>270</v>
      </c>
    </row>
    <row r="670" spans="1:15" x14ac:dyDescent="0.25">
      <c r="A670" t="s">
        <v>683</v>
      </c>
      <c r="B670">
        <v>1114</v>
      </c>
      <c r="C670" s="1" t="str">
        <f>HYPERLINK("http://www.rosaceae.org/gb/gbrowse/malus_x_domestica/?name=MDP0000223518","MDP0000223518")</f>
        <v>MDP0000223518</v>
      </c>
      <c r="D670">
        <v>48.22</v>
      </c>
      <c r="E670">
        <v>956</v>
      </c>
      <c r="F670">
        <v>495</v>
      </c>
      <c r="G670">
        <v>51</v>
      </c>
      <c r="H670">
        <v>141</v>
      </c>
      <c r="I670">
        <v>1077</v>
      </c>
      <c r="J670">
        <v>1</v>
      </c>
      <c r="K670">
        <v>103</v>
      </c>
      <c r="L670">
        <v>1026</v>
      </c>
      <c r="M670">
        <v>1</v>
      </c>
      <c r="N670">
        <v>0</v>
      </c>
      <c r="O670">
        <v>1983</v>
      </c>
    </row>
    <row r="671" spans="1:15" x14ac:dyDescent="0.25">
      <c r="A671" t="s">
        <v>684</v>
      </c>
      <c r="B671">
        <v>618</v>
      </c>
      <c r="C671" s="1" t="str">
        <f>HYPERLINK("http://www.rosaceae.org/gb/gbrowse/malus_x_domestica/?name=MDP0000167145","MDP0000167145")</f>
        <v>MDP0000167145</v>
      </c>
      <c r="D671">
        <v>32.619999999999997</v>
      </c>
      <c r="E671">
        <v>328</v>
      </c>
      <c r="F671">
        <v>221</v>
      </c>
      <c r="G671">
        <v>69</v>
      </c>
      <c r="H671">
        <v>345</v>
      </c>
      <c r="I671">
        <v>618</v>
      </c>
      <c r="J671">
        <v>1</v>
      </c>
      <c r="K671">
        <v>10</v>
      </c>
      <c r="L671">
        <v>322</v>
      </c>
      <c r="M671">
        <v>1</v>
      </c>
      <c r="N671">
        <v>2.4517799999999999E-33</v>
      </c>
      <c r="O671">
        <v>355</v>
      </c>
    </row>
    <row r="672" spans="1:15" x14ac:dyDescent="0.25">
      <c r="A672" t="s">
        <v>685</v>
      </c>
      <c r="B672">
        <v>141</v>
      </c>
      <c r="C672" s="1" t="str">
        <f>HYPERLINK("http://www.rosaceae.org/gb/gbrowse/malus_x_domestica/?name=MDP0000411286","MDP0000411286")</f>
        <v>MDP0000411286</v>
      </c>
      <c r="D672">
        <v>45.92</v>
      </c>
      <c r="E672">
        <v>135</v>
      </c>
      <c r="F672">
        <v>73</v>
      </c>
      <c r="G672">
        <v>0</v>
      </c>
      <c r="H672">
        <v>1</v>
      </c>
      <c r="I672">
        <v>135</v>
      </c>
      <c r="J672">
        <v>1</v>
      </c>
      <c r="K672">
        <v>553</v>
      </c>
      <c r="L672">
        <v>687</v>
      </c>
      <c r="M672">
        <v>1</v>
      </c>
      <c r="N672">
        <v>5.1953499999999998E-35</v>
      </c>
      <c r="O672">
        <v>361</v>
      </c>
    </row>
    <row r="673" spans="1:15" x14ac:dyDescent="0.25">
      <c r="A673" t="s">
        <v>686</v>
      </c>
      <c r="B673">
        <v>280</v>
      </c>
      <c r="C673" s="1" t="str">
        <f>HYPERLINK("http://www.rosaceae.org/gb/gbrowse/malus_x_domestica/?name=MDP0000239646","MDP0000239646")</f>
        <v>MDP0000239646</v>
      </c>
      <c r="D673">
        <v>75.62</v>
      </c>
      <c r="E673">
        <v>160</v>
      </c>
      <c r="F673">
        <v>39</v>
      </c>
      <c r="G673">
        <v>26</v>
      </c>
      <c r="H673">
        <v>121</v>
      </c>
      <c r="I673">
        <v>254</v>
      </c>
      <c r="J673">
        <v>1</v>
      </c>
      <c r="K673">
        <v>70</v>
      </c>
      <c r="L673">
        <v>229</v>
      </c>
      <c r="M673">
        <v>1</v>
      </c>
      <c r="N673">
        <v>8.7961799999999994E-65</v>
      </c>
      <c r="O673">
        <v>622</v>
      </c>
    </row>
    <row r="674" spans="1:15" x14ac:dyDescent="0.25">
      <c r="A674" t="s">
        <v>687</v>
      </c>
      <c r="B674">
        <v>687</v>
      </c>
      <c r="C674" s="1" t="str">
        <f>HYPERLINK("http://www.rosaceae.org/gb/gbrowse/malus_x_domestica/?name=MDP0000239956","MDP0000239956")</f>
        <v>MDP0000239956</v>
      </c>
      <c r="D674">
        <v>84.15</v>
      </c>
      <c r="E674">
        <v>303</v>
      </c>
      <c r="F674">
        <v>48</v>
      </c>
      <c r="G674">
        <v>0</v>
      </c>
      <c r="H674">
        <v>378</v>
      </c>
      <c r="I674">
        <v>680</v>
      </c>
      <c r="J674">
        <v>1</v>
      </c>
      <c r="K674">
        <v>80</v>
      </c>
      <c r="L674">
        <v>382</v>
      </c>
      <c r="M674">
        <v>1</v>
      </c>
      <c r="N674">
        <v>2.8187299999999999E-144</v>
      </c>
      <c r="O674">
        <v>1312</v>
      </c>
    </row>
    <row r="675" spans="1:15" x14ac:dyDescent="0.25">
      <c r="A675" t="s">
        <v>688</v>
      </c>
      <c r="B675">
        <v>1013</v>
      </c>
      <c r="C675" s="1" t="str">
        <f>HYPERLINK("http://www.rosaceae.org/gb/gbrowse/malus_x_domestica/?name=MDP0000130642","MDP0000130642")</f>
        <v>MDP0000130642</v>
      </c>
      <c r="D675">
        <v>76.150000000000006</v>
      </c>
      <c r="E675">
        <v>541</v>
      </c>
      <c r="F675">
        <v>129</v>
      </c>
      <c r="G675">
        <v>45</v>
      </c>
      <c r="H675">
        <v>495</v>
      </c>
      <c r="I675">
        <v>992</v>
      </c>
      <c r="J675">
        <v>1</v>
      </c>
      <c r="K675">
        <v>1</v>
      </c>
      <c r="L675">
        <v>539</v>
      </c>
      <c r="M675">
        <v>1</v>
      </c>
      <c r="N675">
        <v>0</v>
      </c>
      <c r="O675">
        <v>2127</v>
      </c>
    </row>
    <row r="676" spans="1:15" x14ac:dyDescent="0.25">
      <c r="A676" t="s">
        <v>689</v>
      </c>
      <c r="B676">
        <v>123</v>
      </c>
      <c r="C676" s="1" t="str">
        <f>HYPERLINK("http://www.rosaceae.org/gb/gbrowse/malus_x_domestica/?name=MDP0000284922","MDP0000284922")</f>
        <v>MDP0000284922</v>
      </c>
      <c r="D676">
        <v>42.3</v>
      </c>
      <c r="E676">
        <v>52</v>
      </c>
      <c r="F676">
        <v>30</v>
      </c>
      <c r="G676">
        <v>6</v>
      </c>
      <c r="H676">
        <v>77</v>
      </c>
      <c r="I676">
        <v>122</v>
      </c>
      <c r="J676">
        <v>1</v>
      </c>
      <c r="K676">
        <v>529</v>
      </c>
      <c r="L676">
        <v>580</v>
      </c>
      <c r="M676">
        <v>1</v>
      </c>
      <c r="N676">
        <v>2.35842E-7</v>
      </c>
      <c r="O676">
        <v>121</v>
      </c>
    </row>
    <row r="677" spans="1:15" x14ac:dyDescent="0.25">
      <c r="A677" t="s">
        <v>690</v>
      </c>
      <c r="B677">
        <v>557</v>
      </c>
      <c r="C677" s="1" t="str">
        <f>HYPERLINK("http://www.rosaceae.org/gb/gbrowse/malus_x_domestica/?name=MDP0000125687","MDP0000125687")</f>
        <v>MDP0000125687</v>
      </c>
      <c r="D677">
        <v>66.06</v>
      </c>
      <c r="E677">
        <v>607</v>
      </c>
      <c r="F677">
        <v>206</v>
      </c>
      <c r="G677">
        <v>103</v>
      </c>
      <c r="H677">
        <v>11</v>
      </c>
      <c r="I677">
        <v>536</v>
      </c>
      <c r="J677">
        <v>1</v>
      </c>
      <c r="K677">
        <v>8</v>
      </c>
      <c r="L677">
        <v>592</v>
      </c>
      <c r="M677">
        <v>1</v>
      </c>
      <c r="N677">
        <v>0</v>
      </c>
      <c r="O677">
        <v>1924</v>
      </c>
    </row>
    <row r="678" spans="1:15" x14ac:dyDescent="0.25">
      <c r="A678" t="s">
        <v>691</v>
      </c>
      <c r="B678">
        <v>240</v>
      </c>
      <c r="C678" s="1" t="str">
        <f>HYPERLINK("http://www.rosaceae.org/gb/gbrowse/malus_x_domestica/?name=MDP0000189737","MDP0000189737")</f>
        <v>MDP0000189737</v>
      </c>
      <c r="D678">
        <v>61.23</v>
      </c>
      <c r="E678">
        <v>227</v>
      </c>
      <c r="F678">
        <v>88</v>
      </c>
      <c r="G678">
        <v>33</v>
      </c>
      <c r="H678">
        <v>1</v>
      </c>
      <c r="I678">
        <v>215</v>
      </c>
      <c r="J678">
        <v>1</v>
      </c>
      <c r="K678">
        <v>1</v>
      </c>
      <c r="L678">
        <v>206</v>
      </c>
      <c r="M678">
        <v>1</v>
      </c>
      <c r="N678">
        <v>1.44986E-70</v>
      </c>
      <c r="O678">
        <v>671</v>
      </c>
    </row>
    <row r="679" spans="1:15" x14ac:dyDescent="0.25">
      <c r="A679" t="s">
        <v>692</v>
      </c>
      <c r="B679">
        <v>242</v>
      </c>
      <c r="C679" s="1" t="str">
        <f>HYPERLINK("http://www.rosaceae.org/gb/gbrowse/malus_x_domestica/?name=MDP0000334067","MDP0000334067")</f>
        <v>MDP0000334067</v>
      </c>
      <c r="D679">
        <v>65.64</v>
      </c>
      <c r="E679">
        <v>163</v>
      </c>
      <c r="F679">
        <v>56</v>
      </c>
      <c r="G679">
        <v>0</v>
      </c>
      <c r="H679">
        <v>80</v>
      </c>
      <c r="I679">
        <v>242</v>
      </c>
      <c r="J679">
        <v>1</v>
      </c>
      <c r="K679">
        <v>45</v>
      </c>
      <c r="L679">
        <v>207</v>
      </c>
      <c r="M679">
        <v>1</v>
      </c>
      <c r="N679">
        <v>3.5354E-58</v>
      </c>
      <c r="O679">
        <v>564</v>
      </c>
    </row>
    <row r="680" spans="1:15" x14ac:dyDescent="0.25">
      <c r="A680" t="s">
        <v>693</v>
      </c>
      <c r="B680">
        <v>504</v>
      </c>
      <c r="C680" s="1" t="str">
        <f>HYPERLINK("http://www.rosaceae.org/gb/gbrowse/malus_x_domestica/?name=MDP0000216281","MDP0000216281")</f>
        <v>MDP0000216281</v>
      </c>
      <c r="D680">
        <v>69.73</v>
      </c>
      <c r="E680">
        <v>489</v>
      </c>
      <c r="F680">
        <v>148</v>
      </c>
      <c r="G680">
        <v>53</v>
      </c>
      <c r="H680">
        <v>28</v>
      </c>
      <c r="I680">
        <v>498</v>
      </c>
      <c r="J680">
        <v>1</v>
      </c>
      <c r="K680">
        <v>33</v>
      </c>
      <c r="L680">
        <v>486</v>
      </c>
      <c r="M680">
        <v>1</v>
      </c>
      <c r="N680">
        <v>0</v>
      </c>
      <c r="O680">
        <v>1750</v>
      </c>
    </row>
    <row r="681" spans="1:15" x14ac:dyDescent="0.25">
      <c r="A681" t="s">
        <v>694</v>
      </c>
      <c r="B681">
        <v>164</v>
      </c>
      <c r="C681" s="1" t="str">
        <f>HYPERLINK("http://www.rosaceae.org/gb/gbrowse/malus_x_domestica/?name=MDP0000264662","MDP0000264662")</f>
        <v>MDP0000264662</v>
      </c>
      <c r="D681">
        <v>64.63</v>
      </c>
      <c r="E681">
        <v>164</v>
      </c>
      <c r="F681">
        <v>58</v>
      </c>
      <c r="G681">
        <v>26</v>
      </c>
      <c r="H681">
        <v>1</v>
      </c>
      <c r="I681">
        <v>164</v>
      </c>
      <c r="J681">
        <v>1</v>
      </c>
      <c r="K681">
        <v>1392</v>
      </c>
      <c r="L681">
        <v>1529</v>
      </c>
      <c r="M681">
        <v>1</v>
      </c>
      <c r="N681">
        <v>4.34893E-57</v>
      </c>
      <c r="O681">
        <v>552</v>
      </c>
    </row>
    <row r="682" spans="1:15" x14ac:dyDescent="0.25">
      <c r="A682" t="s">
        <v>695</v>
      </c>
      <c r="B682">
        <v>615</v>
      </c>
      <c r="C682" s="1" t="str">
        <f>HYPERLINK("http://www.rosaceae.org/gb/gbrowse/malus_x_domestica/?name=MDP0000291373","MDP0000291373")</f>
        <v>MDP0000291373</v>
      </c>
      <c r="D682">
        <v>73.239999999999995</v>
      </c>
      <c r="E682">
        <v>512</v>
      </c>
      <c r="F682">
        <v>137</v>
      </c>
      <c r="G682">
        <v>61</v>
      </c>
      <c r="H682">
        <v>1</v>
      </c>
      <c r="I682">
        <v>508</v>
      </c>
      <c r="J682">
        <v>1</v>
      </c>
      <c r="K682">
        <v>1</v>
      </c>
      <c r="L682">
        <v>455</v>
      </c>
      <c r="M682">
        <v>1</v>
      </c>
      <c r="N682">
        <v>0</v>
      </c>
      <c r="O682">
        <v>1904</v>
      </c>
    </row>
    <row r="683" spans="1:15" x14ac:dyDescent="0.25">
      <c r="A683" t="s">
        <v>696</v>
      </c>
      <c r="B683">
        <v>377</v>
      </c>
      <c r="C683" s="1" t="str">
        <f>HYPERLINK("http://www.rosaceae.org/gb/gbrowse/malus_x_domestica/?name=MDP0000128950","MDP0000128950")</f>
        <v>MDP0000128950</v>
      </c>
      <c r="D683">
        <v>44.24</v>
      </c>
      <c r="E683">
        <v>391</v>
      </c>
      <c r="F683">
        <v>218</v>
      </c>
      <c r="G683">
        <v>32</v>
      </c>
      <c r="H683">
        <v>1</v>
      </c>
      <c r="I683">
        <v>372</v>
      </c>
      <c r="J683">
        <v>1</v>
      </c>
      <c r="K683">
        <v>1</v>
      </c>
      <c r="L683">
        <v>378</v>
      </c>
      <c r="M683">
        <v>1</v>
      </c>
      <c r="N683">
        <v>9.6553200000000005E-74</v>
      </c>
      <c r="O683">
        <v>701</v>
      </c>
    </row>
    <row r="684" spans="1:15" x14ac:dyDescent="0.25">
      <c r="A684" t="s">
        <v>697</v>
      </c>
      <c r="B684">
        <v>657</v>
      </c>
      <c r="C684" s="1" t="str">
        <f>HYPERLINK("http://www.rosaceae.org/gb/gbrowse/malus_x_domestica/?name=MDP0000121410","MDP0000121410")</f>
        <v>MDP0000121410</v>
      </c>
      <c r="D684">
        <v>67.430000000000007</v>
      </c>
      <c r="E684">
        <v>565</v>
      </c>
      <c r="F684">
        <v>184</v>
      </c>
      <c r="G684">
        <v>38</v>
      </c>
      <c r="H684">
        <v>34</v>
      </c>
      <c r="I684">
        <v>574</v>
      </c>
      <c r="J684">
        <v>1</v>
      </c>
      <c r="K684">
        <v>39</v>
      </c>
      <c r="L684">
        <v>589</v>
      </c>
      <c r="M684">
        <v>1</v>
      </c>
      <c r="N684">
        <v>0</v>
      </c>
      <c r="O684">
        <v>1921</v>
      </c>
    </row>
    <row r="685" spans="1:15" x14ac:dyDescent="0.25">
      <c r="A685" t="s">
        <v>698</v>
      </c>
      <c r="B685">
        <v>456</v>
      </c>
      <c r="C685" s="1" t="str">
        <f>HYPERLINK("http://www.rosaceae.org/gb/gbrowse/malus_x_domestica/?name=MDP0000189617","MDP0000189617")</f>
        <v>MDP0000189617</v>
      </c>
      <c r="D685">
        <v>31.57</v>
      </c>
      <c r="E685">
        <v>171</v>
      </c>
      <c r="F685">
        <v>117</v>
      </c>
      <c r="G685">
        <v>11</v>
      </c>
      <c r="H685">
        <v>113</v>
      </c>
      <c r="I685">
        <v>282</v>
      </c>
      <c r="J685">
        <v>1</v>
      </c>
      <c r="K685">
        <v>507</v>
      </c>
      <c r="L685">
        <v>667</v>
      </c>
      <c r="M685">
        <v>1</v>
      </c>
      <c r="N685">
        <v>1.32489E-17</v>
      </c>
      <c r="O685">
        <v>218</v>
      </c>
    </row>
    <row r="686" spans="1:15" x14ac:dyDescent="0.25">
      <c r="A686" t="s">
        <v>699</v>
      </c>
      <c r="B686">
        <v>1485</v>
      </c>
      <c r="C686" s="1" t="str">
        <f>HYPERLINK("http://www.rosaceae.org/gb/gbrowse/malus_x_domestica/?name=MDP0000138466","MDP0000138466")</f>
        <v>MDP0000138466</v>
      </c>
      <c r="D686">
        <v>80.41</v>
      </c>
      <c r="E686">
        <v>1404</v>
      </c>
      <c r="F686">
        <v>275</v>
      </c>
      <c r="G686">
        <v>21</v>
      </c>
      <c r="H686">
        <v>71</v>
      </c>
      <c r="I686">
        <v>1458</v>
      </c>
      <c r="J686">
        <v>1</v>
      </c>
      <c r="K686">
        <v>77</v>
      </c>
      <c r="L686">
        <v>1475</v>
      </c>
      <c r="M686">
        <v>1</v>
      </c>
      <c r="N686">
        <v>0</v>
      </c>
      <c r="O686">
        <v>5968</v>
      </c>
    </row>
    <row r="687" spans="1:15" x14ac:dyDescent="0.25">
      <c r="A687" t="s">
        <v>700</v>
      </c>
      <c r="B687">
        <v>183</v>
      </c>
      <c r="C687" s="1" t="str">
        <f>HYPERLINK("http://www.rosaceae.org/gb/gbrowse/malus_x_domestica/?name=MDP0000768771","MDP0000768771")</f>
        <v>MDP0000768771</v>
      </c>
      <c r="D687">
        <v>78.260000000000005</v>
      </c>
      <c r="E687">
        <v>184</v>
      </c>
      <c r="F687">
        <v>40</v>
      </c>
      <c r="G687">
        <v>1</v>
      </c>
      <c r="H687">
        <v>1</v>
      </c>
      <c r="I687">
        <v>183</v>
      </c>
      <c r="J687">
        <v>1</v>
      </c>
      <c r="K687">
        <v>1</v>
      </c>
      <c r="L687">
        <v>184</v>
      </c>
      <c r="M687">
        <v>1</v>
      </c>
      <c r="N687">
        <v>1.8132699999999998E-73</v>
      </c>
      <c r="O687">
        <v>695</v>
      </c>
    </row>
    <row r="688" spans="1:15" x14ac:dyDescent="0.25">
      <c r="A688" t="s">
        <v>701</v>
      </c>
      <c r="B688">
        <v>404</v>
      </c>
      <c r="C688" s="1" t="str">
        <f>HYPERLINK("http://www.rosaceae.org/gb/gbrowse/malus_x_domestica/?name=MDP0000264959","MDP0000264959")</f>
        <v>MDP0000264959</v>
      </c>
      <c r="D688">
        <v>72.3</v>
      </c>
      <c r="E688">
        <v>408</v>
      </c>
      <c r="F688">
        <v>113</v>
      </c>
      <c r="G688">
        <v>36</v>
      </c>
      <c r="H688">
        <v>33</v>
      </c>
      <c r="I688">
        <v>404</v>
      </c>
      <c r="J688">
        <v>1</v>
      </c>
      <c r="K688">
        <v>1</v>
      </c>
      <c r="L688">
        <v>408</v>
      </c>
      <c r="M688">
        <v>1</v>
      </c>
      <c r="N688">
        <v>3.3885500000000003E-160</v>
      </c>
      <c r="O688">
        <v>1447</v>
      </c>
    </row>
    <row r="689" spans="1:15" x14ac:dyDescent="0.25">
      <c r="A689" t="s">
        <v>702</v>
      </c>
      <c r="B689">
        <v>2133</v>
      </c>
      <c r="C689" s="1" t="str">
        <f>HYPERLINK("http://www.rosaceae.org/gb/gbrowse/malus_x_domestica/?name=MDP0000217310","MDP0000217310")</f>
        <v>MDP0000217310</v>
      </c>
      <c r="D689">
        <v>63.76</v>
      </c>
      <c r="E689">
        <v>425</v>
      </c>
      <c r="F689">
        <v>154</v>
      </c>
      <c r="G689">
        <v>26</v>
      </c>
      <c r="H689">
        <v>1</v>
      </c>
      <c r="I689">
        <v>412</v>
      </c>
      <c r="J689">
        <v>1</v>
      </c>
      <c r="K689">
        <v>1</v>
      </c>
      <c r="L689">
        <v>412</v>
      </c>
      <c r="M689">
        <v>1</v>
      </c>
      <c r="N689">
        <v>1.2217899999999999E-139</v>
      </c>
      <c r="O689">
        <v>1277</v>
      </c>
    </row>
    <row r="690" spans="1:15" x14ac:dyDescent="0.25">
      <c r="A690" t="s">
        <v>703</v>
      </c>
      <c r="B690">
        <v>218</v>
      </c>
      <c r="C690" s="1" t="str">
        <f>HYPERLINK("http://www.rosaceae.org/gb/gbrowse/malus_x_domestica/?name=MDP0000608975","MDP0000608975")</f>
        <v>MDP0000608975</v>
      </c>
      <c r="D690">
        <v>65.95</v>
      </c>
      <c r="E690">
        <v>47</v>
      </c>
      <c r="F690">
        <v>16</v>
      </c>
      <c r="G690">
        <v>3</v>
      </c>
      <c r="H690">
        <v>1</v>
      </c>
      <c r="I690">
        <v>47</v>
      </c>
      <c r="J690">
        <v>1</v>
      </c>
      <c r="K690">
        <v>1</v>
      </c>
      <c r="L690">
        <v>44</v>
      </c>
      <c r="M690">
        <v>1</v>
      </c>
      <c r="N690">
        <v>6.1927300000000005E-11</v>
      </c>
      <c r="O690">
        <v>156</v>
      </c>
    </row>
    <row r="691" spans="1:15" x14ac:dyDescent="0.25">
      <c r="A691" t="s">
        <v>704</v>
      </c>
      <c r="B691">
        <v>815</v>
      </c>
      <c r="C691" s="1" t="str">
        <f>HYPERLINK("http://www.rosaceae.org/gb/gbrowse/malus_x_domestica/?name=MDP0000611170","MDP0000611170")</f>
        <v>MDP0000611170</v>
      </c>
      <c r="D691">
        <v>83.01</v>
      </c>
      <c r="E691">
        <v>777</v>
      </c>
      <c r="F691">
        <v>132</v>
      </c>
      <c r="G691">
        <v>5</v>
      </c>
      <c r="H691">
        <v>1</v>
      </c>
      <c r="I691">
        <v>773</v>
      </c>
      <c r="J691">
        <v>1</v>
      </c>
      <c r="K691">
        <v>1</v>
      </c>
      <c r="L691">
        <v>776</v>
      </c>
      <c r="M691">
        <v>1</v>
      </c>
      <c r="N691">
        <v>0</v>
      </c>
      <c r="O691">
        <v>3309</v>
      </c>
    </row>
    <row r="692" spans="1:15" x14ac:dyDescent="0.25">
      <c r="A692" t="s">
        <v>705</v>
      </c>
      <c r="B692">
        <v>475</v>
      </c>
      <c r="C692" s="1" t="str">
        <f>HYPERLINK("http://www.rosaceae.org/gb/gbrowse/malus_x_domestica/?name=MDP0000605454","MDP0000605454")</f>
        <v>MDP0000605454</v>
      </c>
      <c r="D692">
        <v>59.76</v>
      </c>
      <c r="E692">
        <v>430</v>
      </c>
      <c r="F692">
        <v>173</v>
      </c>
      <c r="G692">
        <v>22</v>
      </c>
      <c r="H692">
        <v>50</v>
      </c>
      <c r="I692">
        <v>472</v>
      </c>
      <c r="J692">
        <v>1</v>
      </c>
      <c r="K692">
        <v>56</v>
      </c>
      <c r="L692">
        <v>470</v>
      </c>
      <c r="M692">
        <v>1</v>
      </c>
      <c r="N692">
        <v>3.7685900000000001E-134</v>
      </c>
      <c r="O692">
        <v>1223</v>
      </c>
    </row>
    <row r="693" spans="1:15" x14ac:dyDescent="0.25">
      <c r="A693" t="s">
        <v>706</v>
      </c>
      <c r="B693">
        <v>235</v>
      </c>
      <c r="C693" s="1" t="str">
        <f>HYPERLINK("http://www.rosaceae.org/gb/gbrowse/malus_x_domestica/?name=MDP0000124256","MDP0000124256")</f>
        <v>MDP0000124256</v>
      </c>
      <c r="D693">
        <v>33.33</v>
      </c>
      <c r="E693">
        <v>156</v>
      </c>
      <c r="F693">
        <v>104</v>
      </c>
      <c r="G693">
        <v>19</v>
      </c>
      <c r="H693">
        <v>80</v>
      </c>
      <c r="I693">
        <v>216</v>
      </c>
      <c r="J693">
        <v>1</v>
      </c>
      <c r="K693">
        <v>42</v>
      </c>
      <c r="L693">
        <v>197</v>
      </c>
      <c r="M693">
        <v>1</v>
      </c>
      <c r="N693">
        <v>4.9616599999999998E-18</v>
      </c>
      <c r="O693">
        <v>218</v>
      </c>
    </row>
    <row r="694" spans="1:15" x14ac:dyDescent="0.25">
      <c r="A694" t="s">
        <v>707</v>
      </c>
      <c r="B694">
        <v>676</v>
      </c>
      <c r="C694" s="1" t="str">
        <f>HYPERLINK("http://www.rosaceae.org/gb/gbrowse/malus_x_domestica/?name=MDP0000285242","MDP0000285242")</f>
        <v>MDP0000285242</v>
      </c>
      <c r="D694">
        <v>44.87</v>
      </c>
      <c r="E694">
        <v>624</v>
      </c>
      <c r="F694">
        <v>344</v>
      </c>
      <c r="G694">
        <v>64</v>
      </c>
      <c r="H694">
        <v>63</v>
      </c>
      <c r="I694">
        <v>674</v>
      </c>
      <c r="J694">
        <v>1</v>
      </c>
      <c r="K694">
        <v>383</v>
      </c>
      <c r="L694">
        <v>954</v>
      </c>
      <c r="M694">
        <v>1</v>
      </c>
      <c r="N694">
        <v>1.1300799999999999E-122</v>
      </c>
      <c r="O694">
        <v>1126</v>
      </c>
    </row>
    <row r="695" spans="1:15" x14ac:dyDescent="0.25">
      <c r="A695" t="s">
        <v>708</v>
      </c>
      <c r="B695">
        <v>124</v>
      </c>
      <c r="C695" s="1" t="str">
        <f>HYPERLINK("http://www.rosaceae.org/gb/gbrowse/malus_x_domestica/?name=MDP0000404961","MDP0000404961")</f>
        <v>MDP0000404961</v>
      </c>
      <c r="D695">
        <v>61.6</v>
      </c>
      <c r="E695">
        <v>125</v>
      </c>
      <c r="F695">
        <v>48</v>
      </c>
      <c r="G695">
        <v>18</v>
      </c>
      <c r="H695">
        <v>1</v>
      </c>
      <c r="I695">
        <v>124</v>
      </c>
      <c r="J695">
        <v>1</v>
      </c>
      <c r="K695">
        <v>1</v>
      </c>
      <c r="L695">
        <v>108</v>
      </c>
      <c r="M695">
        <v>1</v>
      </c>
      <c r="N695">
        <v>2.2748199999999999E-33</v>
      </c>
      <c r="O695">
        <v>345</v>
      </c>
    </row>
    <row r="696" spans="1:15" x14ac:dyDescent="0.25">
      <c r="A696" t="s">
        <v>709</v>
      </c>
      <c r="B696">
        <v>255</v>
      </c>
      <c r="C696" s="1" t="str">
        <f>HYPERLINK("http://www.rosaceae.org/gb/gbrowse/malus_x_domestica/?name=MDP0000152953","MDP0000152953")</f>
        <v>MDP0000152953</v>
      </c>
      <c r="D696">
        <v>75.31</v>
      </c>
      <c r="E696">
        <v>158</v>
      </c>
      <c r="F696">
        <v>39</v>
      </c>
      <c r="G696">
        <v>4</v>
      </c>
      <c r="H696">
        <v>101</v>
      </c>
      <c r="I696">
        <v>255</v>
      </c>
      <c r="J696">
        <v>1</v>
      </c>
      <c r="K696">
        <v>584</v>
      </c>
      <c r="L696">
        <v>740</v>
      </c>
      <c r="M696">
        <v>1</v>
      </c>
      <c r="N696">
        <v>6.3573699999999996E-65</v>
      </c>
      <c r="O696">
        <v>623</v>
      </c>
    </row>
    <row r="697" spans="1:15" x14ac:dyDescent="0.25">
      <c r="A697" t="s">
        <v>710</v>
      </c>
      <c r="B697">
        <v>693</v>
      </c>
      <c r="C697" s="1" t="str">
        <f>HYPERLINK("http://www.rosaceae.org/gb/gbrowse/malus_x_domestica/?name=MDP0000942678","MDP0000942678")</f>
        <v>MDP0000942678</v>
      </c>
      <c r="D697">
        <v>74.63</v>
      </c>
      <c r="E697">
        <v>686</v>
      </c>
      <c r="F697">
        <v>174</v>
      </c>
      <c r="G697">
        <v>15</v>
      </c>
      <c r="H697">
        <v>1</v>
      </c>
      <c r="I697">
        <v>677</v>
      </c>
      <c r="J697">
        <v>1</v>
      </c>
      <c r="K697">
        <v>1</v>
      </c>
      <c r="L697">
        <v>680</v>
      </c>
      <c r="M697">
        <v>1</v>
      </c>
      <c r="N697">
        <v>0</v>
      </c>
      <c r="O697">
        <v>2682</v>
      </c>
    </row>
    <row r="698" spans="1:15" x14ac:dyDescent="0.25">
      <c r="A698" t="s">
        <v>711</v>
      </c>
      <c r="B698">
        <v>1025</v>
      </c>
      <c r="C698" s="1" t="str">
        <f>HYPERLINK("http://www.rosaceae.org/gb/gbrowse/malus_x_domestica/?name=MDP0000221850","MDP0000221850")</f>
        <v>MDP0000221850</v>
      </c>
      <c r="D698">
        <v>78.3</v>
      </c>
      <c r="E698">
        <v>1060</v>
      </c>
      <c r="F698">
        <v>230</v>
      </c>
      <c r="G698">
        <v>66</v>
      </c>
      <c r="H698">
        <v>3</v>
      </c>
      <c r="I698">
        <v>1025</v>
      </c>
      <c r="J698">
        <v>1</v>
      </c>
      <c r="K698">
        <v>5</v>
      </c>
      <c r="L698">
        <v>1035</v>
      </c>
      <c r="M698">
        <v>1</v>
      </c>
      <c r="N698">
        <v>0</v>
      </c>
      <c r="O698">
        <v>4377</v>
      </c>
    </row>
    <row r="699" spans="1:15" x14ac:dyDescent="0.25">
      <c r="A699" t="s">
        <v>712</v>
      </c>
      <c r="B699">
        <v>162</v>
      </c>
      <c r="C699" s="1" t="str">
        <f>HYPERLINK("http://www.rosaceae.org/gb/gbrowse/malus_x_domestica/?name=MDP0000519575","MDP0000519575")</f>
        <v>MDP0000519575</v>
      </c>
      <c r="D699">
        <v>85.8</v>
      </c>
      <c r="E699">
        <v>162</v>
      </c>
      <c r="F699">
        <v>23</v>
      </c>
      <c r="G699">
        <v>0</v>
      </c>
      <c r="H699">
        <v>1</v>
      </c>
      <c r="I699">
        <v>162</v>
      </c>
      <c r="J699">
        <v>1</v>
      </c>
      <c r="K699">
        <v>56</v>
      </c>
      <c r="L699">
        <v>217</v>
      </c>
      <c r="M699">
        <v>1</v>
      </c>
      <c r="N699">
        <v>2.72156E-81</v>
      </c>
      <c r="O699">
        <v>761</v>
      </c>
    </row>
    <row r="700" spans="1:15" x14ac:dyDescent="0.25">
      <c r="A700" t="s">
        <v>713</v>
      </c>
      <c r="B700">
        <v>498</v>
      </c>
      <c r="C700" s="1" t="str">
        <f>HYPERLINK("http://www.rosaceae.org/gb/gbrowse/malus_x_domestica/?name=MDP0000220454","MDP0000220454")</f>
        <v>MDP0000220454</v>
      </c>
      <c r="D700">
        <v>55.53</v>
      </c>
      <c r="E700">
        <v>524</v>
      </c>
      <c r="F700">
        <v>233</v>
      </c>
      <c r="G700">
        <v>44</v>
      </c>
      <c r="H700">
        <v>1</v>
      </c>
      <c r="I700">
        <v>494</v>
      </c>
      <c r="J700">
        <v>1</v>
      </c>
      <c r="K700">
        <v>1</v>
      </c>
      <c r="L700">
        <v>510</v>
      </c>
      <c r="M700">
        <v>1</v>
      </c>
      <c r="N700">
        <v>1.5601000000000001E-140</v>
      </c>
      <c r="O700">
        <v>1278</v>
      </c>
    </row>
    <row r="701" spans="1:15" x14ac:dyDescent="0.25">
      <c r="A701" t="s">
        <v>714</v>
      </c>
      <c r="B701">
        <v>303</v>
      </c>
      <c r="C701" s="1" t="str">
        <f>HYPERLINK("http://www.rosaceae.org/gb/gbrowse/malus_x_domestica/?name=MDP0000195633","MDP0000195633")</f>
        <v>MDP0000195633</v>
      </c>
      <c r="D701">
        <v>88.15</v>
      </c>
      <c r="E701">
        <v>152</v>
      </c>
      <c r="F701">
        <v>18</v>
      </c>
      <c r="G701">
        <v>0</v>
      </c>
      <c r="H701">
        <v>45</v>
      </c>
      <c r="I701">
        <v>196</v>
      </c>
      <c r="J701">
        <v>1</v>
      </c>
      <c r="K701">
        <v>43</v>
      </c>
      <c r="L701">
        <v>194</v>
      </c>
      <c r="M701">
        <v>1</v>
      </c>
      <c r="N701">
        <v>1.0067200000000001E-74</v>
      </c>
      <c r="O701">
        <v>708</v>
      </c>
    </row>
    <row r="702" spans="1:15" x14ac:dyDescent="0.25">
      <c r="A702" t="s">
        <v>715</v>
      </c>
      <c r="B702">
        <v>274</v>
      </c>
      <c r="C702" s="1" t="str">
        <f>HYPERLINK("http://www.rosaceae.org/gb/gbrowse/malus_x_domestica/?name=MDP0000136726","MDP0000136726")</f>
        <v>MDP0000136726</v>
      </c>
      <c r="D702">
        <v>43.71</v>
      </c>
      <c r="E702">
        <v>167</v>
      </c>
      <c r="F702">
        <v>94</v>
      </c>
      <c r="G702">
        <v>16</v>
      </c>
      <c r="H702">
        <v>94</v>
      </c>
      <c r="I702">
        <v>246</v>
      </c>
      <c r="J702">
        <v>1</v>
      </c>
      <c r="K702">
        <v>955</v>
      </c>
      <c r="L702">
        <v>1119</v>
      </c>
      <c r="M702">
        <v>1</v>
      </c>
      <c r="N702">
        <v>2.97927E-26</v>
      </c>
      <c r="O702">
        <v>290</v>
      </c>
    </row>
    <row r="703" spans="1:15" x14ac:dyDescent="0.25">
      <c r="A703" t="s">
        <v>716</v>
      </c>
      <c r="B703">
        <v>176</v>
      </c>
      <c r="C703" s="1" t="str">
        <f>HYPERLINK("http://www.rosaceae.org/gb/gbrowse/malus_x_domestica/?name=MDP0000134902","MDP0000134902")</f>
        <v>MDP0000134902</v>
      </c>
      <c r="D703">
        <v>48.8</v>
      </c>
      <c r="E703">
        <v>168</v>
      </c>
      <c r="F703">
        <v>86</v>
      </c>
      <c r="G703">
        <v>36</v>
      </c>
      <c r="H703">
        <v>1</v>
      </c>
      <c r="I703">
        <v>168</v>
      </c>
      <c r="J703">
        <v>1</v>
      </c>
      <c r="K703">
        <v>72</v>
      </c>
      <c r="L703">
        <v>203</v>
      </c>
      <c r="M703">
        <v>1</v>
      </c>
      <c r="N703">
        <v>3.0507700000000003E-29</v>
      </c>
      <c r="O703">
        <v>313</v>
      </c>
    </row>
    <row r="704" spans="1:15" x14ac:dyDescent="0.25">
      <c r="A704" t="s">
        <v>717</v>
      </c>
      <c r="B704">
        <v>325</v>
      </c>
      <c r="C704" s="1" t="str">
        <f>HYPERLINK("http://www.rosaceae.org/gb/gbrowse/malus_x_domestica/?name=MDP0000252378","MDP0000252378")</f>
        <v>MDP0000252378</v>
      </c>
      <c r="D704">
        <v>43.46</v>
      </c>
      <c r="E704">
        <v>329</v>
      </c>
      <c r="F704">
        <v>186</v>
      </c>
      <c r="G704">
        <v>9</v>
      </c>
      <c r="H704">
        <v>1</v>
      </c>
      <c r="I704">
        <v>325</v>
      </c>
      <c r="J704">
        <v>1</v>
      </c>
      <c r="K704">
        <v>56</v>
      </c>
      <c r="L704">
        <v>379</v>
      </c>
      <c r="M704">
        <v>1</v>
      </c>
      <c r="N704">
        <v>1.16756E-67</v>
      </c>
      <c r="O704">
        <v>648</v>
      </c>
    </row>
    <row r="705" spans="1:15" x14ac:dyDescent="0.25">
      <c r="A705" t="s">
        <v>718</v>
      </c>
      <c r="B705">
        <v>791</v>
      </c>
      <c r="C705" s="1" t="str">
        <f>HYPERLINK("http://www.rosaceae.org/gb/gbrowse/malus_x_domestica/?name=MDP0000419045","MDP0000419045")</f>
        <v>MDP0000419045</v>
      </c>
      <c r="D705">
        <v>64.13</v>
      </c>
      <c r="E705">
        <v>789</v>
      </c>
      <c r="F705">
        <v>283</v>
      </c>
      <c r="G705">
        <v>64</v>
      </c>
      <c r="H705">
        <v>52</v>
      </c>
      <c r="I705">
        <v>791</v>
      </c>
      <c r="J705">
        <v>1</v>
      </c>
      <c r="K705">
        <v>56</v>
      </c>
      <c r="L705">
        <v>829</v>
      </c>
      <c r="M705">
        <v>1</v>
      </c>
      <c r="N705">
        <v>0</v>
      </c>
      <c r="O705">
        <v>2384</v>
      </c>
    </row>
    <row r="706" spans="1:15" x14ac:dyDescent="0.25">
      <c r="A706" t="s">
        <v>719</v>
      </c>
      <c r="B706">
        <v>145</v>
      </c>
      <c r="C706" s="1" t="str">
        <f>HYPERLINK("http://www.rosaceae.org/gb/gbrowse/malus_x_domestica/?name=MDP0000823582","MDP0000823582")</f>
        <v>MDP0000823582</v>
      </c>
      <c r="D706">
        <v>100</v>
      </c>
      <c r="E706">
        <v>91</v>
      </c>
      <c r="F706">
        <v>0</v>
      </c>
      <c r="G706">
        <v>0</v>
      </c>
      <c r="H706">
        <v>55</v>
      </c>
      <c r="I706">
        <v>145</v>
      </c>
      <c r="J706">
        <v>1</v>
      </c>
      <c r="K706">
        <v>58</v>
      </c>
      <c r="L706">
        <v>148</v>
      </c>
      <c r="M706">
        <v>1</v>
      </c>
      <c r="N706">
        <v>6.7486300000000003E-49</v>
      </c>
      <c r="O706">
        <v>481</v>
      </c>
    </row>
    <row r="707" spans="1:15" x14ac:dyDescent="0.25">
      <c r="A707" t="s">
        <v>720</v>
      </c>
      <c r="B707">
        <v>321</v>
      </c>
      <c r="C707" s="1" t="str">
        <f>HYPERLINK("http://www.rosaceae.org/gb/gbrowse/malus_x_domestica/?name=MDP0000829768","MDP0000829768")</f>
        <v>MDP0000829768</v>
      </c>
      <c r="D707">
        <v>72.72</v>
      </c>
      <c r="E707">
        <v>319</v>
      </c>
      <c r="F707">
        <v>87</v>
      </c>
      <c r="G707">
        <v>0</v>
      </c>
      <c r="H707">
        <v>1</v>
      </c>
      <c r="I707">
        <v>319</v>
      </c>
      <c r="J707">
        <v>1</v>
      </c>
      <c r="K707">
        <v>1</v>
      </c>
      <c r="L707">
        <v>319</v>
      </c>
      <c r="M707">
        <v>1</v>
      </c>
      <c r="N707">
        <v>4.2899799999999998E-120</v>
      </c>
      <c r="O707">
        <v>1100</v>
      </c>
    </row>
    <row r="708" spans="1:15" x14ac:dyDescent="0.25">
      <c r="A708" t="s">
        <v>721</v>
      </c>
      <c r="B708">
        <v>997</v>
      </c>
      <c r="C708" s="1" t="str">
        <f>HYPERLINK("http://www.rosaceae.org/gb/gbrowse/malus_x_domestica/?name=MDP0000292917","MDP0000292917")</f>
        <v>MDP0000292917</v>
      </c>
      <c r="D708">
        <v>31.62</v>
      </c>
      <c r="E708">
        <v>351</v>
      </c>
      <c r="F708">
        <v>240</v>
      </c>
      <c r="G708">
        <v>40</v>
      </c>
      <c r="H708">
        <v>63</v>
      </c>
      <c r="I708">
        <v>381</v>
      </c>
      <c r="J708">
        <v>1</v>
      </c>
      <c r="K708">
        <v>39</v>
      </c>
      <c r="L708">
        <v>381</v>
      </c>
      <c r="M708">
        <v>1</v>
      </c>
      <c r="N708">
        <v>1.12243E-32</v>
      </c>
      <c r="O708">
        <v>351</v>
      </c>
    </row>
    <row r="709" spans="1:15" x14ac:dyDescent="0.25">
      <c r="A709" t="s">
        <v>722</v>
      </c>
      <c r="B709">
        <v>717</v>
      </c>
      <c r="C709" s="1" t="str">
        <f>HYPERLINK("http://www.rosaceae.org/gb/gbrowse/malus_x_domestica/?name=MDP0000123759","MDP0000123759")</f>
        <v>MDP0000123759</v>
      </c>
      <c r="D709">
        <v>86.17</v>
      </c>
      <c r="E709">
        <v>217</v>
      </c>
      <c r="F709">
        <v>30</v>
      </c>
      <c r="G709">
        <v>0</v>
      </c>
      <c r="H709">
        <v>497</v>
      </c>
      <c r="I709">
        <v>713</v>
      </c>
      <c r="J709">
        <v>1</v>
      </c>
      <c r="K709">
        <v>32</v>
      </c>
      <c r="L709">
        <v>248</v>
      </c>
      <c r="M709">
        <v>1</v>
      </c>
      <c r="N709">
        <v>9.3278900000000008E-115</v>
      </c>
      <c r="O709">
        <v>1058</v>
      </c>
    </row>
    <row r="710" spans="1:15" x14ac:dyDescent="0.25">
      <c r="A710" t="s">
        <v>723</v>
      </c>
      <c r="B710">
        <v>102</v>
      </c>
      <c r="C710" s="1" t="str">
        <f>HYPERLINK("http://www.rosaceae.org/gb/gbrowse/malus_x_domestica/?name=MDP0000276060","MDP0000276060")</f>
        <v>MDP0000276060</v>
      </c>
      <c r="D710">
        <v>68.62</v>
      </c>
      <c r="E710">
        <v>102</v>
      </c>
      <c r="F710">
        <v>32</v>
      </c>
      <c r="G710">
        <v>6</v>
      </c>
      <c r="H710">
        <v>1</v>
      </c>
      <c r="I710">
        <v>102</v>
      </c>
      <c r="J710">
        <v>1</v>
      </c>
      <c r="K710">
        <v>1</v>
      </c>
      <c r="L710">
        <v>96</v>
      </c>
      <c r="M710">
        <v>1</v>
      </c>
      <c r="N710">
        <v>3.5300299999999999E-35</v>
      </c>
      <c r="O710">
        <v>361</v>
      </c>
    </row>
    <row r="711" spans="1:15" x14ac:dyDescent="0.25">
      <c r="A711" t="s">
        <v>724</v>
      </c>
      <c r="B711">
        <v>529</v>
      </c>
      <c r="C711" s="1" t="str">
        <f>HYPERLINK("http://www.rosaceae.org/gb/gbrowse/malus_x_domestica/?name=MDP0000244285","MDP0000244285")</f>
        <v>MDP0000244285</v>
      </c>
      <c r="D711">
        <v>50.38</v>
      </c>
      <c r="E711">
        <v>393</v>
      </c>
      <c r="F711">
        <v>195</v>
      </c>
      <c r="G711">
        <v>61</v>
      </c>
      <c r="H711">
        <v>16</v>
      </c>
      <c r="I711">
        <v>350</v>
      </c>
      <c r="J711">
        <v>1</v>
      </c>
      <c r="K711">
        <v>12</v>
      </c>
      <c r="L711">
        <v>401</v>
      </c>
      <c r="M711">
        <v>1</v>
      </c>
      <c r="N711">
        <v>1.4246300000000001E-84</v>
      </c>
      <c r="O711">
        <v>796</v>
      </c>
    </row>
    <row r="712" spans="1:15" x14ac:dyDescent="0.25">
      <c r="A712" t="s">
        <v>725</v>
      </c>
      <c r="B712">
        <v>179</v>
      </c>
      <c r="C712" s="1" t="str">
        <f>HYPERLINK("http://www.rosaceae.org/gb/gbrowse/malus_x_domestica/?name=MDP0000866270","MDP0000866270")</f>
        <v>MDP0000866270</v>
      </c>
      <c r="D712">
        <v>76.42</v>
      </c>
      <c r="E712">
        <v>123</v>
      </c>
      <c r="F712">
        <v>29</v>
      </c>
      <c r="G712">
        <v>0</v>
      </c>
      <c r="H712">
        <v>4</v>
      </c>
      <c r="I712">
        <v>126</v>
      </c>
      <c r="J712">
        <v>1</v>
      </c>
      <c r="K712">
        <v>2</v>
      </c>
      <c r="L712">
        <v>124</v>
      </c>
      <c r="M712">
        <v>1</v>
      </c>
      <c r="N712">
        <v>1.6408E-52</v>
      </c>
      <c r="O712">
        <v>514</v>
      </c>
    </row>
    <row r="713" spans="1:15" x14ac:dyDescent="0.25">
      <c r="A713" t="s">
        <v>726</v>
      </c>
      <c r="B713">
        <v>250</v>
      </c>
      <c r="C713" s="1" t="str">
        <f>HYPERLINK("http://www.rosaceae.org/gb/gbrowse/malus_x_domestica/?name=MDP0000277868","MDP0000277868")</f>
        <v>MDP0000277868</v>
      </c>
      <c r="D713">
        <v>63.33</v>
      </c>
      <c r="E713">
        <v>150</v>
      </c>
      <c r="F713">
        <v>55</v>
      </c>
      <c r="G713">
        <v>5</v>
      </c>
      <c r="H713">
        <v>103</v>
      </c>
      <c r="I713">
        <v>249</v>
      </c>
      <c r="J713">
        <v>1</v>
      </c>
      <c r="K713">
        <v>14</v>
      </c>
      <c r="L713">
        <v>161</v>
      </c>
      <c r="M713">
        <v>1</v>
      </c>
      <c r="N713">
        <v>4.9715400000000002E-51</v>
      </c>
      <c r="O713">
        <v>503</v>
      </c>
    </row>
    <row r="714" spans="1:15" x14ac:dyDescent="0.25">
      <c r="A714" t="s">
        <v>727</v>
      </c>
      <c r="B714">
        <v>762</v>
      </c>
      <c r="C714" s="1" t="str">
        <f>HYPERLINK("http://www.rosaceae.org/gb/gbrowse/malus_x_domestica/?name=MDP0000138626","MDP0000138626")</f>
        <v>MDP0000138626</v>
      </c>
      <c r="D714">
        <v>69.33</v>
      </c>
      <c r="E714">
        <v>600</v>
      </c>
      <c r="F714">
        <v>184</v>
      </c>
      <c r="G714">
        <v>29</v>
      </c>
      <c r="H714">
        <v>192</v>
      </c>
      <c r="I714">
        <v>762</v>
      </c>
      <c r="J714">
        <v>1</v>
      </c>
      <c r="K714">
        <v>10</v>
      </c>
      <c r="L714">
        <v>609</v>
      </c>
      <c r="M714">
        <v>1</v>
      </c>
      <c r="N714">
        <v>0</v>
      </c>
      <c r="O714">
        <v>2166</v>
      </c>
    </row>
    <row r="715" spans="1:15" x14ac:dyDescent="0.25">
      <c r="A715" t="s">
        <v>728</v>
      </c>
      <c r="B715">
        <v>174</v>
      </c>
      <c r="C715" s="1" t="str">
        <f>HYPERLINK("http://www.rosaceae.org/gb/gbrowse/malus_x_domestica/?name=MDP0000853659","MDP0000853659")</f>
        <v>MDP0000853659</v>
      </c>
      <c r="D715">
        <v>63.41</v>
      </c>
      <c r="E715">
        <v>123</v>
      </c>
      <c r="F715">
        <v>45</v>
      </c>
      <c r="G715">
        <v>29</v>
      </c>
      <c r="H715">
        <v>1</v>
      </c>
      <c r="I715">
        <v>94</v>
      </c>
      <c r="J715">
        <v>1</v>
      </c>
      <c r="K715">
        <v>563</v>
      </c>
      <c r="L715">
        <v>685</v>
      </c>
      <c r="M715">
        <v>1</v>
      </c>
      <c r="N715">
        <v>2.4496499999999998E-35</v>
      </c>
      <c r="O715">
        <v>365</v>
      </c>
    </row>
    <row r="716" spans="1:15" x14ac:dyDescent="0.25">
      <c r="A716" t="s">
        <v>729</v>
      </c>
      <c r="B716">
        <v>447</v>
      </c>
      <c r="C716" s="1" t="str">
        <f>HYPERLINK("http://www.rosaceae.org/gb/gbrowse/malus_x_domestica/?name=MDP0000150610","MDP0000150610")</f>
        <v>MDP0000150610</v>
      </c>
      <c r="D716">
        <v>76.39</v>
      </c>
      <c r="E716">
        <v>449</v>
      </c>
      <c r="F716">
        <v>106</v>
      </c>
      <c r="G716">
        <v>34</v>
      </c>
      <c r="H716">
        <v>32</v>
      </c>
      <c r="I716">
        <v>447</v>
      </c>
      <c r="J716">
        <v>1</v>
      </c>
      <c r="K716">
        <v>29</v>
      </c>
      <c r="L716">
        <v>476</v>
      </c>
      <c r="M716">
        <v>1</v>
      </c>
      <c r="N716">
        <v>0</v>
      </c>
      <c r="O716">
        <v>1820</v>
      </c>
    </row>
    <row r="717" spans="1:15" x14ac:dyDescent="0.25">
      <c r="A717" t="s">
        <v>730</v>
      </c>
      <c r="B717">
        <v>243</v>
      </c>
      <c r="C717" s="1" t="str">
        <f>HYPERLINK("http://www.rosaceae.org/gb/gbrowse/malus_x_domestica/?name=MDP0000207712","MDP0000207712")</f>
        <v>MDP0000207712</v>
      </c>
      <c r="D717">
        <v>88.46</v>
      </c>
      <c r="E717">
        <v>104</v>
      </c>
      <c r="F717">
        <v>12</v>
      </c>
      <c r="G717">
        <v>5</v>
      </c>
      <c r="H717">
        <v>6</v>
      </c>
      <c r="I717">
        <v>109</v>
      </c>
      <c r="J717">
        <v>1</v>
      </c>
      <c r="K717">
        <v>1</v>
      </c>
      <c r="L717">
        <v>99</v>
      </c>
      <c r="M717">
        <v>1</v>
      </c>
      <c r="N717">
        <v>1.51193E-48</v>
      </c>
      <c r="O717">
        <v>481</v>
      </c>
    </row>
    <row r="718" spans="1:15" x14ac:dyDescent="0.25">
      <c r="A718" t="s">
        <v>731</v>
      </c>
      <c r="B718">
        <v>363</v>
      </c>
      <c r="C718" s="1" t="str">
        <f>HYPERLINK("http://www.rosaceae.org/gb/gbrowse/malus_x_domestica/?name=MDP0000208493","MDP0000208493")</f>
        <v>MDP0000208493</v>
      </c>
      <c r="D718">
        <v>68.75</v>
      </c>
      <c r="E718">
        <v>192</v>
      </c>
      <c r="F718">
        <v>60</v>
      </c>
      <c r="G718">
        <v>3</v>
      </c>
      <c r="H718">
        <v>171</v>
      </c>
      <c r="I718">
        <v>362</v>
      </c>
      <c r="J718">
        <v>1</v>
      </c>
      <c r="K718">
        <v>281</v>
      </c>
      <c r="L718">
        <v>469</v>
      </c>
      <c r="M718">
        <v>1</v>
      </c>
      <c r="N718">
        <v>6.71798E-78</v>
      </c>
      <c r="O718">
        <v>737</v>
      </c>
    </row>
    <row r="719" spans="1:15" x14ac:dyDescent="0.25">
      <c r="A719" t="s">
        <v>732</v>
      </c>
      <c r="B719">
        <v>509</v>
      </c>
      <c r="C719" s="1" t="str">
        <f>HYPERLINK("http://www.rosaceae.org/gb/gbrowse/malus_x_domestica/?name=MDP0000230300","MDP0000230300")</f>
        <v>MDP0000230300</v>
      </c>
      <c r="D719">
        <v>54.77</v>
      </c>
      <c r="E719">
        <v>272</v>
      </c>
      <c r="F719">
        <v>123</v>
      </c>
      <c r="G719">
        <v>62</v>
      </c>
      <c r="H719">
        <v>1</v>
      </c>
      <c r="I719">
        <v>227</v>
      </c>
      <c r="J719">
        <v>1</v>
      </c>
      <c r="K719">
        <v>1</v>
      </c>
      <c r="L719">
        <v>255</v>
      </c>
      <c r="M719">
        <v>1</v>
      </c>
      <c r="N719">
        <v>9.2926900000000004E-67</v>
      </c>
      <c r="O719">
        <v>642</v>
      </c>
    </row>
    <row r="720" spans="1:15" x14ac:dyDescent="0.25">
      <c r="A720" t="s">
        <v>733</v>
      </c>
      <c r="B720">
        <v>120</v>
      </c>
      <c r="C720" s="1" t="str">
        <f>HYPERLINK("http://www.rosaceae.org/gb/gbrowse/malus_x_domestica/?name=MDP0000182136","MDP0000182136")</f>
        <v>MDP0000182136</v>
      </c>
      <c r="D720">
        <v>82.5</v>
      </c>
      <c r="E720">
        <v>120</v>
      </c>
      <c r="F720">
        <v>21</v>
      </c>
      <c r="G720">
        <v>0</v>
      </c>
      <c r="H720">
        <v>1</v>
      </c>
      <c r="I720">
        <v>120</v>
      </c>
      <c r="J720">
        <v>1</v>
      </c>
      <c r="K720">
        <v>69</v>
      </c>
      <c r="L720">
        <v>188</v>
      </c>
      <c r="M720">
        <v>1</v>
      </c>
      <c r="N720">
        <v>2.9921599999999998E-54</v>
      </c>
      <c r="O720">
        <v>525</v>
      </c>
    </row>
    <row r="721" spans="1:15" x14ac:dyDescent="0.25">
      <c r="A721" t="s">
        <v>734</v>
      </c>
      <c r="B721">
        <v>244</v>
      </c>
      <c r="C721" s="1" t="str">
        <f>HYPERLINK("http://www.rosaceae.org/gb/gbrowse/malus_x_domestica/?name=MDP0000254224","MDP0000254224")</f>
        <v>MDP0000254224</v>
      </c>
      <c r="D721">
        <v>62.33</v>
      </c>
      <c r="E721">
        <v>223</v>
      </c>
      <c r="F721">
        <v>84</v>
      </c>
      <c r="G721">
        <v>36</v>
      </c>
      <c r="H721">
        <v>34</v>
      </c>
      <c r="I721">
        <v>223</v>
      </c>
      <c r="J721">
        <v>1</v>
      </c>
      <c r="K721">
        <v>32</v>
      </c>
      <c r="L721">
        <v>251</v>
      </c>
      <c r="M721">
        <v>1</v>
      </c>
      <c r="N721">
        <v>2.0483E-61</v>
      </c>
      <c r="O721">
        <v>592</v>
      </c>
    </row>
    <row r="722" spans="1:15" x14ac:dyDescent="0.25">
      <c r="A722" t="s">
        <v>735</v>
      </c>
      <c r="B722">
        <v>282</v>
      </c>
      <c r="C722" s="1" t="str">
        <f>HYPERLINK("http://www.rosaceae.org/gb/gbrowse/malus_x_domestica/?name=MDP0000156012","MDP0000156012")</f>
        <v>MDP0000156012</v>
      </c>
      <c r="D722">
        <v>70.959999999999994</v>
      </c>
      <c r="E722">
        <v>248</v>
      </c>
      <c r="F722">
        <v>72</v>
      </c>
      <c r="G722">
        <v>0</v>
      </c>
      <c r="H722">
        <v>35</v>
      </c>
      <c r="I722">
        <v>282</v>
      </c>
      <c r="J722">
        <v>1</v>
      </c>
      <c r="K722">
        <v>260</v>
      </c>
      <c r="L722">
        <v>507</v>
      </c>
      <c r="M722">
        <v>1</v>
      </c>
      <c r="N722">
        <v>6.7984000000000003E-100</v>
      </c>
      <c r="O722">
        <v>925</v>
      </c>
    </row>
    <row r="723" spans="1:15" x14ac:dyDescent="0.25">
      <c r="A723" t="s">
        <v>736</v>
      </c>
      <c r="B723">
        <v>647</v>
      </c>
      <c r="C723" s="1" t="str">
        <f>HYPERLINK("http://www.rosaceae.org/gb/gbrowse/malus_x_domestica/?name=MDP0000286389","MDP0000286389")</f>
        <v>MDP0000286389</v>
      </c>
      <c r="D723">
        <v>77.77</v>
      </c>
      <c r="E723">
        <v>666</v>
      </c>
      <c r="F723">
        <v>148</v>
      </c>
      <c r="G723">
        <v>19</v>
      </c>
      <c r="H723">
        <v>1</v>
      </c>
      <c r="I723">
        <v>647</v>
      </c>
      <c r="J723">
        <v>1</v>
      </c>
      <c r="K723">
        <v>173</v>
      </c>
      <c r="L723">
        <v>838</v>
      </c>
      <c r="M723">
        <v>1</v>
      </c>
      <c r="N723">
        <v>0</v>
      </c>
      <c r="O723">
        <v>2781</v>
      </c>
    </row>
    <row r="724" spans="1:15" x14ac:dyDescent="0.25">
      <c r="A724" t="s">
        <v>737</v>
      </c>
      <c r="B724">
        <v>865</v>
      </c>
      <c r="C724" s="1" t="str">
        <f>HYPERLINK("http://www.rosaceae.org/gb/gbrowse/malus_x_domestica/?name=MDP0000184935","MDP0000184935")</f>
        <v>MDP0000184935</v>
      </c>
      <c r="D724">
        <v>82.58</v>
      </c>
      <c r="E724">
        <v>867</v>
      </c>
      <c r="F724">
        <v>151</v>
      </c>
      <c r="G724">
        <v>2</v>
      </c>
      <c r="H724">
        <v>1</v>
      </c>
      <c r="I724">
        <v>865</v>
      </c>
      <c r="J724">
        <v>1</v>
      </c>
      <c r="K724">
        <v>1</v>
      </c>
      <c r="L724">
        <v>867</v>
      </c>
      <c r="M724">
        <v>1</v>
      </c>
      <c r="N724">
        <v>0</v>
      </c>
      <c r="O724">
        <v>3895</v>
      </c>
    </row>
    <row r="725" spans="1:15" x14ac:dyDescent="0.25">
      <c r="A725" t="s">
        <v>738</v>
      </c>
      <c r="B725">
        <v>349</v>
      </c>
      <c r="C725" s="1" t="str">
        <f>HYPERLINK("http://www.rosaceae.org/gb/gbrowse/malus_x_domestica/?name=MDP0000127117","MDP0000127117")</f>
        <v>MDP0000127117</v>
      </c>
      <c r="D725">
        <v>61.99</v>
      </c>
      <c r="E725">
        <v>321</v>
      </c>
      <c r="F725">
        <v>122</v>
      </c>
      <c r="G725">
        <v>1</v>
      </c>
      <c r="H725">
        <v>29</v>
      </c>
      <c r="I725">
        <v>348</v>
      </c>
      <c r="J725">
        <v>1</v>
      </c>
      <c r="K725">
        <v>27</v>
      </c>
      <c r="L725">
        <v>347</v>
      </c>
      <c r="M725">
        <v>1</v>
      </c>
      <c r="N725">
        <v>6.17483E-117</v>
      </c>
      <c r="O725">
        <v>1073</v>
      </c>
    </row>
    <row r="726" spans="1:15" x14ac:dyDescent="0.25">
      <c r="A726" t="s">
        <v>739</v>
      </c>
      <c r="B726">
        <v>180</v>
      </c>
      <c r="C726" s="1" t="str">
        <f>HYPERLINK("http://www.rosaceae.org/gb/gbrowse/malus_x_domestica/?name=MDP0000175065","MDP0000175065")</f>
        <v>MDP0000175065</v>
      </c>
      <c r="D726">
        <v>63.04</v>
      </c>
      <c r="E726">
        <v>184</v>
      </c>
      <c r="F726">
        <v>68</v>
      </c>
      <c r="G726">
        <v>8</v>
      </c>
      <c r="H726">
        <v>1</v>
      </c>
      <c r="I726">
        <v>180</v>
      </c>
      <c r="J726">
        <v>1</v>
      </c>
      <c r="K726">
        <v>1</v>
      </c>
      <c r="L726">
        <v>180</v>
      </c>
      <c r="M726">
        <v>1</v>
      </c>
      <c r="N726">
        <v>4.1535400000000004E-56</v>
      </c>
      <c r="O726">
        <v>545</v>
      </c>
    </row>
    <row r="727" spans="1:15" x14ac:dyDescent="0.25">
      <c r="A727" t="s">
        <v>740</v>
      </c>
      <c r="B727">
        <v>585</v>
      </c>
      <c r="C727" s="1" t="str">
        <f>HYPERLINK("http://www.rosaceae.org/gb/gbrowse/malus_x_domestica/?name=MDP0000631455","MDP0000631455")</f>
        <v>MDP0000631455</v>
      </c>
      <c r="D727">
        <v>86.51</v>
      </c>
      <c r="E727">
        <v>586</v>
      </c>
      <c r="F727">
        <v>79</v>
      </c>
      <c r="G727">
        <v>1</v>
      </c>
      <c r="H727">
        <v>1</v>
      </c>
      <c r="I727">
        <v>585</v>
      </c>
      <c r="J727">
        <v>1</v>
      </c>
      <c r="K727">
        <v>1</v>
      </c>
      <c r="L727">
        <v>586</v>
      </c>
      <c r="M727">
        <v>1</v>
      </c>
      <c r="N727">
        <v>0</v>
      </c>
      <c r="O727">
        <v>2575</v>
      </c>
    </row>
    <row r="728" spans="1:15" x14ac:dyDescent="0.25">
      <c r="A728" t="s">
        <v>741</v>
      </c>
      <c r="B728">
        <v>237</v>
      </c>
      <c r="C728" s="1" t="str">
        <f>HYPERLINK("http://www.rosaceae.org/gb/gbrowse/malus_x_domestica/?name=MDP0000197247","MDP0000197247")</f>
        <v>MDP0000197247</v>
      </c>
      <c r="D728">
        <v>46.96</v>
      </c>
      <c r="E728">
        <v>198</v>
      </c>
      <c r="F728">
        <v>105</v>
      </c>
      <c r="G728">
        <v>27</v>
      </c>
      <c r="H728">
        <v>18</v>
      </c>
      <c r="I728">
        <v>196</v>
      </c>
      <c r="J728">
        <v>1</v>
      </c>
      <c r="K728">
        <v>226</v>
      </c>
      <c r="L728">
        <v>415</v>
      </c>
      <c r="M728">
        <v>1</v>
      </c>
      <c r="N728">
        <v>3.1401400000000002E-35</v>
      </c>
      <c r="O728">
        <v>366</v>
      </c>
    </row>
    <row r="729" spans="1:15" x14ac:dyDescent="0.25">
      <c r="A729" t="s">
        <v>742</v>
      </c>
      <c r="B729">
        <v>119</v>
      </c>
      <c r="C729" s="1" t="str">
        <f>HYPERLINK("http://www.rosaceae.org/gb/gbrowse/malus_x_domestica/?name=MDP0000238100","MDP0000238100")</f>
        <v>MDP0000238100</v>
      </c>
      <c r="D729">
        <v>47.66</v>
      </c>
      <c r="E729">
        <v>107</v>
      </c>
      <c r="F729">
        <v>56</v>
      </c>
      <c r="G729">
        <v>34</v>
      </c>
      <c r="H729">
        <v>35</v>
      </c>
      <c r="I729">
        <v>107</v>
      </c>
      <c r="J729">
        <v>1</v>
      </c>
      <c r="K729">
        <v>159</v>
      </c>
      <c r="L729">
        <v>265</v>
      </c>
      <c r="M729">
        <v>1</v>
      </c>
      <c r="N729">
        <v>1.7071100000000001E-16</v>
      </c>
      <c r="O729">
        <v>200</v>
      </c>
    </row>
    <row r="730" spans="1:15" x14ac:dyDescent="0.25">
      <c r="A730" t="s">
        <v>743</v>
      </c>
      <c r="B730">
        <v>718</v>
      </c>
      <c r="C730" s="1" t="str">
        <f>HYPERLINK("http://www.rosaceae.org/gb/gbrowse/malus_x_domestica/?name=MDP0000668828","MDP0000668828")</f>
        <v>MDP0000668828</v>
      </c>
      <c r="D730">
        <v>85.59</v>
      </c>
      <c r="E730">
        <v>708</v>
      </c>
      <c r="F730">
        <v>102</v>
      </c>
      <c r="G730">
        <v>4</v>
      </c>
      <c r="H730">
        <v>14</v>
      </c>
      <c r="I730">
        <v>718</v>
      </c>
      <c r="J730">
        <v>1</v>
      </c>
      <c r="K730">
        <v>14</v>
      </c>
      <c r="L730">
        <v>720</v>
      </c>
      <c r="M730">
        <v>1</v>
      </c>
      <c r="N730">
        <v>0</v>
      </c>
      <c r="O730">
        <v>3273</v>
      </c>
    </row>
    <row r="731" spans="1:15" x14ac:dyDescent="0.25">
      <c r="A731" t="s">
        <v>744</v>
      </c>
      <c r="B731">
        <v>695</v>
      </c>
      <c r="C731" s="1" t="str">
        <f>HYPERLINK("http://www.rosaceae.org/gb/gbrowse/malus_x_domestica/?name=MDP0000258167","MDP0000258167")</f>
        <v>MDP0000258167</v>
      </c>
      <c r="D731">
        <v>53.13</v>
      </c>
      <c r="E731">
        <v>685</v>
      </c>
      <c r="F731">
        <v>321</v>
      </c>
      <c r="G731">
        <v>48</v>
      </c>
      <c r="H731">
        <v>27</v>
      </c>
      <c r="I731">
        <v>692</v>
      </c>
      <c r="J731">
        <v>1</v>
      </c>
      <c r="K731">
        <v>38</v>
      </c>
      <c r="L731">
        <v>693</v>
      </c>
      <c r="M731">
        <v>1</v>
      </c>
      <c r="N731">
        <v>0</v>
      </c>
      <c r="O731">
        <v>1676</v>
      </c>
    </row>
    <row r="732" spans="1:15" x14ac:dyDescent="0.25">
      <c r="A732" t="s">
        <v>745</v>
      </c>
      <c r="B732">
        <v>272</v>
      </c>
      <c r="C732" s="1" t="str">
        <f>HYPERLINK("http://www.rosaceae.org/gb/gbrowse/malus_x_domestica/?name=MDP0000158129","MDP0000158129")</f>
        <v>MDP0000158129</v>
      </c>
      <c r="D732">
        <v>37.56</v>
      </c>
      <c r="E732">
        <v>205</v>
      </c>
      <c r="F732">
        <v>128</v>
      </c>
      <c r="G732">
        <v>6</v>
      </c>
      <c r="H732">
        <v>30</v>
      </c>
      <c r="I732">
        <v>234</v>
      </c>
      <c r="J732">
        <v>1</v>
      </c>
      <c r="K732">
        <v>54</v>
      </c>
      <c r="L732">
        <v>252</v>
      </c>
      <c r="M732">
        <v>1</v>
      </c>
      <c r="N732">
        <v>5.3941100000000002E-39</v>
      </c>
      <c r="O732">
        <v>400</v>
      </c>
    </row>
    <row r="733" spans="1:15" x14ac:dyDescent="0.25">
      <c r="A733" t="s">
        <v>746</v>
      </c>
      <c r="B733">
        <v>396</v>
      </c>
      <c r="C733" s="1" t="str">
        <f>HYPERLINK("http://www.rosaceae.org/gb/gbrowse/malus_x_domestica/?name=MDP0000262910","MDP0000262910")</f>
        <v>MDP0000262910</v>
      </c>
      <c r="D733">
        <v>64.23</v>
      </c>
      <c r="E733">
        <v>260</v>
      </c>
      <c r="F733">
        <v>93</v>
      </c>
      <c r="G733">
        <v>30</v>
      </c>
      <c r="H733">
        <v>154</v>
      </c>
      <c r="I733">
        <v>386</v>
      </c>
      <c r="J733">
        <v>1</v>
      </c>
      <c r="K733">
        <v>259</v>
      </c>
      <c r="L733">
        <v>515</v>
      </c>
      <c r="M733">
        <v>1</v>
      </c>
      <c r="N733">
        <v>6.4607500000000003E-85</v>
      </c>
      <c r="O733">
        <v>798</v>
      </c>
    </row>
    <row r="734" spans="1:15" x14ac:dyDescent="0.25">
      <c r="A734" t="s">
        <v>747</v>
      </c>
      <c r="B734">
        <v>152</v>
      </c>
      <c r="C734" s="1" t="str">
        <f>HYPERLINK("http://www.rosaceae.org/gb/gbrowse/malus_x_domestica/?name=MDP0000251381","MDP0000251381")</f>
        <v>MDP0000251381</v>
      </c>
      <c r="D734">
        <v>43.04</v>
      </c>
      <c r="E734">
        <v>151</v>
      </c>
      <c r="F734">
        <v>86</v>
      </c>
      <c r="G734">
        <v>4</v>
      </c>
      <c r="H734">
        <v>2</v>
      </c>
      <c r="I734">
        <v>152</v>
      </c>
      <c r="J734">
        <v>1</v>
      </c>
      <c r="K734">
        <v>10</v>
      </c>
      <c r="L734">
        <v>156</v>
      </c>
      <c r="M734">
        <v>1</v>
      </c>
      <c r="N734">
        <v>4.8799699999999998E-28</v>
      </c>
      <c r="O734">
        <v>301</v>
      </c>
    </row>
    <row r="735" spans="1:15" x14ac:dyDescent="0.25">
      <c r="A735" t="s">
        <v>748</v>
      </c>
      <c r="B735">
        <v>472</v>
      </c>
      <c r="C735" s="1" t="str">
        <f>HYPERLINK("http://www.rosaceae.org/gb/gbrowse/malus_x_domestica/?name=MDP0000258743","MDP0000258743")</f>
        <v>MDP0000258743</v>
      </c>
      <c r="D735">
        <v>47.05</v>
      </c>
      <c r="E735">
        <v>102</v>
      </c>
      <c r="F735">
        <v>54</v>
      </c>
      <c r="G735">
        <v>1</v>
      </c>
      <c r="H735">
        <v>155</v>
      </c>
      <c r="I735">
        <v>256</v>
      </c>
      <c r="J735">
        <v>1</v>
      </c>
      <c r="K735">
        <v>103</v>
      </c>
      <c r="L735">
        <v>203</v>
      </c>
      <c r="M735">
        <v>1</v>
      </c>
      <c r="N735">
        <v>3.3208399999999999E-24</v>
      </c>
      <c r="O735">
        <v>275</v>
      </c>
    </row>
    <row r="736" spans="1:15" x14ac:dyDescent="0.25">
      <c r="A736" t="s">
        <v>749</v>
      </c>
      <c r="B736">
        <v>771</v>
      </c>
      <c r="C736" s="1" t="str">
        <f>HYPERLINK("http://www.rosaceae.org/gb/gbrowse/malus_x_domestica/?name=MDP0000164177","MDP0000164177")</f>
        <v>MDP0000164177</v>
      </c>
      <c r="D736">
        <v>64.69</v>
      </c>
      <c r="E736">
        <v>745</v>
      </c>
      <c r="F736">
        <v>263</v>
      </c>
      <c r="G736">
        <v>8</v>
      </c>
      <c r="H736">
        <v>22</v>
      </c>
      <c r="I736">
        <v>758</v>
      </c>
      <c r="J736">
        <v>1</v>
      </c>
      <c r="K736">
        <v>26</v>
      </c>
      <c r="L736">
        <v>770</v>
      </c>
      <c r="M736">
        <v>1</v>
      </c>
      <c r="N736">
        <v>0</v>
      </c>
      <c r="O736">
        <v>2550</v>
      </c>
    </row>
    <row r="737" spans="1:15" x14ac:dyDescent="0.25">
      <c r="A737" t="s">
        <v>750</v>
      </c>
      <c r="B737">
        <v>356</v>
      </c>
      <c r="C737" s="1" t="str">
        <f>HYPERLINK("http://www.rosaceae.org/gb/gbrowse/malus_x_domestica/?name=MDP0000205529","MDP0000205529")</f>
        <v>MDP0000205529</v>
      </c>
      <c r="D737">
        <v>61.66</v>
      </c>
      <c r="E737">
        <v>360</v>
      </c>
      <c r="F737">
        <v>138</v>
      </c>
      <c r="G737">
        <v>12</v>
      </c>
      <c r="H737">
        <v>1</v>
      </c>
      <c r="I737">
        <v>355</v>
      </c>
      <c r="J737">
        <v>1</v>
      </c>
      <c r="K737">
        <v>1</v>
      </c>
      <c r="L737">
        <v>353</v>
      </c>
      <c r="M737">
        <v>1</v>
      </c>
      <c r="N737">
        <v>6.6015300000000001E-101</v>
      </c>
      <c r="O737">
        <v>935</v>
      </c>
    </row>
    <row r="738" spans="1:15" x14ac:dyDescent="0.25">
      <c r="A738" t="s">
        <v>751</v>
      </c>
      <c r="B738">
        <v>436</v>
      </c>
      <c r="C738" s="1" t="str">
        <f>HYPERLINK("http://www.rosaceae.org/gb/gbrowse/malus_x_domestica/?name=MDP0000332618","MDP0000332618")</f>
        <v>MDP0000332618</v>
      </c>
      <c r="D738">
        <v>39.89</v>
      </c>
      <c r="E738">
        <v>188</v>
      </c>
      <c r="F738">
        <v>113</v>
      </c>
      <c r="G738">
        <v>15</v>
      </c>
      <c r="H738">
        <v>172</v>
      </c>
      <c r="I738">
        <v>352</v>
      </c>
      <c r="J738">
        <v>1</v>
      </c>
      <c r="K738">
        <v>160</v>
      </c>
      <c r="L738">
        <v>339</v>
      </c>
      <c r="M738">
        <v>1</v>
      </c>
      <c r="N738">
        <v>7.9810699999999996E-32</v>
      </c>
      <c r="O738">
        <v>340</v>
      </c>
    </row>
    <row r="739" spans="1:15" x14ac:dyDescent="0.25">
      <c r="A739" t="s">
        <v>752</v>
      </c>
      <c r="B739">
        <v>424</v>
      </c>
      <c r="C739" s="1" t="str">
        <f>HYPERLINK("http://www.rosaceae.org/gb/gbrowse/malus_x_domestica/?name=MDP0000802237","MDP0000802237")</f>
        <v>MDP0000802237</v>
      </c>
      <c r="D739">
        <v>68.569999999999993</v>
      </c>
      <c r="E739">
        <v>70</v>
      </c>
      <c r="F739">
        <v>22</v>
      </c>
      <c r="G739">
        <v>0</v>
      </c>
      <c r="H739">
        <v>353</v>
      </c>
      <c r="I739">
        <v>422</v>
      </c>
      <c r="J739">
        <v>1</v>
      </c>
      <c r="K739">
        <v>232</v>
      </c>
      <c r="L739">
        <v>301</v>
      </c>
      <c r="M739">
        <v>1</v>
      </c>
      <c r="N739">
        <v>1.85178E-22</v>
      </c>
      <c r="O739">
        <v>259</v>
      </c>
    </row>
    <row r="740" spans="1:15" x14ac:dyDescent="0.25">
      <c r="A740" t="s">
        <v>753</v>
      </c>
      <c r="B740">
        <v>162</v>
      </c>
      <c r="C740" s="1" t="str">
        <f>HYPERLINK("http://www.rosaceae.org/gb/gbrowse/malus_x_domestica/?name=MDP0000311132","MDP0000311132")</f>
        <v>MDP0000311132</v>
      </c>
      <c r="D740">
        <v>81.06</v>
      </c>
      <c r="E740">
        <v>132</v>
      </c>
      <c r="F740">
        <v>25</v>
      </c>
      <c r="G740">
        <v>8</v>
      </c>
      <c r="H740">
        <v>1</v>
      </c>
      <c r="I740">
        <v>132</v>
      </c>
      <c r="J740">
        <v>1</v>
      </c>
      <c r="K740">
        <v>703</v>
      </c>
      <c r="L740">
        <v>826</v>
      </c>
      <c r="M740">
        <v>1</v>
      </c>
      <c r="N740">
        <v>2.5415699999999999E-58</v>
      </c>
      <c r="O740">
        <v>563</v>
      </c>
    </row>
    <row r="741" spans="1:15" x14ac:dyDescent="0.25">
      <c r="A741" t="s">
        <v>754</v>
      </c>
      <c r="B741">
        <v>207</v>
      </c>
      <c r="C741" s="1" t="str">
        <f>HYPERLINK("http://www.rosaceae.org/gb/gbrowse/malus_x_domestica/?name=MDP0000185125","MDP0000185125")</f>
        <v>MDP0000185125</v>
      </c>
      <c r="D741">
        <v>33.9</v>
      </c>
      <c r="E741">
        <v>174</v>
      </c>
      <c r="F741">
        <v>115</v>
      </c>
      <c r="G741">
        <v>1</v>
      </c>
      <c r="H741">
        <v>2</v>
      </c>
      <c r="I741">
        <v>174</v>
      </c>
      <c r="J741">
        <v>1</v>
      </c>
      <c r="K741">
        <v>44</v>
      </c>
      <c r="L741">
        <v>217</v>
      </c>
      <c r="M741">
        <v>1</v>
      </c>
      <c r="N741">
        <v>1.17762E-20</v>
      </c>
      <c r="O741">
        <v>240</v>
      </c>
    </row>
    <row r="742" spans="1:15" x14ac:dyDescent="0.25">
      <c r="A742" t="s">
        <v>755</v>
      </c>
      <c r="B742">
        <v>265</v>
      </c>
      <c r="C742" s="1" t="str">
        <f>HYPERLINK("http://www.rosaceae.org/gb/gbrowse/malus_x_domestica/?name=MDP0000190504","MDP0000190504")</f>
        <v>MDP0000190504</v>
      </c>
      <c r="D742">
        <v>47.44</v>
      </c>
      <c r="E742">
        <v>274</v>
      </c>
      <c r="F742">
        <v>144</v>
      </c>
      <c r="G742">
        <v>27</v>
      </c>
      <c r="H742">
        <v>3</v>
      </c>
      <c r="I742">
        <v>264</v>
      </c>
      <c r="J742">
        <v>1</v>
      </c>
      <c r="K742">
        <v>15</v>
      </c>
      <c r="L742">
        <v>273</v>
      </c>
      <c r="M742">
        <v>1</v>
      </c>
      <c r="N742">
        <v>4.3618900000000003E-51</v>
      </c>
      <c r="O742">
        <v>504</v>
      </c>
    </row>
    <row r="743" spans="1:15" x14ac:dyDescent="0.25">
      <c r="A743" t="s">
        <v>756</v>
      </c>
      <c r="B743">
        <v>305</v>
      </c>
      <c r="C743" s="1" t="str">
        <f>HYPERLINK("http://www.rosaceae.org/gb/gbrowse/malus_x_domestica/?name=MDP0000170026","MDP0000170026")</f>
        <v>MDP0000170026</v>
      </c>
      <c r="D743">
        <v>52.76</v>
      </c>
      <c r="E743">
        <v>307</v>
      </c>
      <c r="F743">
        <v>145</v>
      </c>
      <c r="G743">
        <v>5</v>
      </c>
      <c r="H743">
        <v>1</v>
      </c>
      <c r="I743">
        <v>305</v>
      </c>
      <c r="J743">
        <v>1</v>
      </c>
      <c r="K743">
        <v>533</v>
      </c>
      <c r="L743">
        <v>836</v>
      </c>
      <c r="M743">
        <v>1</v>
      </c>
      <c r="N743">
        <v>1.91146E-84</v>
      </c>
      <c r="O743">
        <v>792</v>
      </c>
    </row>
    <row r="744" spans="1:15" x14ac:dyDescent="0.25">
      <c r="A744" t="s">
        <v>757</v>
      </c>
      <c r="B744">
        <v>688</v>
      </c>
      <c r="C744" s="1" t="str">
        <f>HYPERLINK("http://www.rosaceae.org/gb/gbrowse/malus_x_domestica/?name=MDP0000304954","MDP0000304954")</f>
        <v>MDP0000304954</v>
      </c>
      <c r="D744">
        <v>34.03</v>
      </c>
      <c r="E744">
        <v>332</v>
      </c>
      <c r="F744">
        <v>219</v>
      </c>
      <c r="G744">
        <v>86</v>
      </c>
      <c r="H744">
        <v>8</v>
      </c>
      <c r="I744">
        <v>301</v>
      </c>
      <c r="J744">
        <v>1</v>
      </c>
      <c r="K744">
        <v>2</v>
      </c>
      <c r="L744">
        <v>285</v>
      </c>
      <c r="M744">
        <v>1</v>
      </c>
      <c r="N744">
        <v>1.8598699999999999E-30</v>
      </c>
      <c r="O744">
        <v>331</v>
      </c>
    </row>
    <row r="745" spans="1:15" x14ac:dyDescent="0.25">
      <c r="A745" t="s">
        <v>758</v>
      </c>
      <c r="B745">
        <v>504</v>
      </c>
      <c r="C745" s="1" t="str">
        <f>HYPERLINK("http://www.rosaceae.org/gb/gbrowse/malus_x_domestica/?name=MDP0000118748","MDP0000118748")</f>
        <v>MDP0000118748</v>
      </c>
      <c r="D745">
        <v>77.290000000000006</v>
      </c>
      <c r="E745">
        <v>229</v>
      </c>
      <c r="F745">
        <v>52</v>
      </c>
      <c r="G745">
        <v>0</v>
      </c>
      <c r="H745">
        <v>34</v>
      </c>
      <c r="I745">
        <v>262</v>
      </c>
      <c r="J745">
        <v>1</v>
      </c>
      <c r="K745">
        <v>45</v>
      </c>
      <c r="L745">
        <v>273</v>
      </c>
      <c r="M745">
        <v>1</v>
      </c>
      <c r="N745">
        <v>1.29935E-104</v>
      </c>
      <c r="O745">
        <v>969</v>
      </c>
    </row>
    <row r="746" spans="1:15" x14ac:dyDescent="0.25">
      <c r="A746" t="s">
        <v>759</v>
      </c>
      <c r="B746">
        <v>572</v>
      </c>
      <c r="C746" s="1" t="str">
        <f>HYPERLINK("http://www.rosaceae.org/gb/gbrowse/malus_x_domestica/?name=MDP0000131151","MDP0000131151")</f>
        <v>MDP0000131151</v>
      </c>
      <c r="D746">
        <v>37.08</v>
      </c>
      <c r="E746">
        <v>391</v>
      </c>
      <c r="F746">
        <v>246</v>
      </c>
      <c r="G746">
        <v>28</v>
      </c>
      <c r="H746">
        <v>3</v>
      </c>
      <c r="I746">
        <v>366</v>
      </c>
      <c r="J746">
        <v>1</v>
      </c>
      <c r="K746">
        <v>1</v>
      </c>
      <c r="L746">
        <v>390</v>
      </c>
      <c r="M746">
        <v>1</v>
      </c>
      <c r="N746">
        <v>3.6558900000000001E-55</v>
      </c>
      <c r="O746">
        <v>543</v>
      </c>
    </row>
    <row r="747" spans="1:15" x14ac:dyDescent="0.25">
      <c r="A747" t="s">
        <v>760</v>
      </c>
      <c r="B747">
        <v>658</v>
      </c>
      <c r="C747" s="1" t="str">
        <f>HYPERLINK("http://www.rosaceae.org/gb/gbrowse/malus_x_domestica/?name=MDP0000262614","MDP0000262614")</f>
        <v>MDP0000262614</v>
      </c>
      <c r="D747">
        <v>48.88</v>
      </c>
      <c r="E747">
        <v>718</v>
      </c>
      <c r="F747">
        <v>367</v>
      </c>
      <c r="G747">
        <v>95</v>
      </c>
      <c r="H747">
        <v>10</v>
      </c>
      <c r="I747">
        <v>655</v>
      </c>
      <c r="J747">
        <v>1</v>
      </c>
      <c r="K747">
        <v>80</v>
      </c>
      <c r="L747">
        <v>774</v>
      </c>
      <c r="M747">
        <v>1</v>
      </c>
      <c r="N747">
        <v>1.6452399999999999E-154</v>
      </c>
      <c r="O747">
        <v>1400</v>
      </c>
    </row>
    <row r="748" spans="1:15" x14ac:dyDescent="0.25">
      <c r="A748" t="s">
        <v>761</v>
      </c>
      <c r="B748">
        <v>331</v>
      </c>
      <c r="C748" s="1" t="str">
        <f>HYPERLINK("http://www.rosaceae.org/gb/gbrowse/malus_x_domestica/?name=MDP0000581417","MDP0000581417")</f>
        <v>MDP0000581417</v>
      </c>
      <c r="D748">
        <v>45.18</v>
      </c>
      <c r="E748">
        <v>405</v>
      </c>
      <c r="F748">
        <v>222</v>
      </c>
      <c r="G748">
        <v>80</v>
      </c>
      <c r="H748">
        <v>2</v>
      </c>
      <c r="I748">
        <v>327</v>
      </c>
      <c r="J748">
        <v>1</v>
      </c>
      <c r="K748">
        <v>24</v>
      </c>
      <c r="L748">
        <v>427</v>
      </c>
      <c r="M748">
        <v>1</v>
      </c>
      <c r="N748">
        <v>7.0649700000000007E-80</v>
      </c>
      <c r="O748">
        <v>753</v>
      </c>
    </row>
    <row r="749" spans="1:15" x14ac:dyDescent="0.25">
      <c r="A749" t="s">
        <v>762</v>
      </c>
      <c r="B749">
        <v>936</v>
      </c>
      <c r="C749" s="1" t="str">
        <f>HYPERLINK("http://www.rosaceae.org/gb/gbrowse/malus_x_domestica/?name=MDP0000538003","MDP0000538003")</f>
        <v>MDP0000538003</v>
      </c>
      <c r="D749">
        <v>27.07</v>
      </c>
      <c r="E749">
        <v>495</v>
      </c>
      <c r="F749">
        <v>361</v>
      </c>
      <c r="G749">
        <v>37</v>
      </c>
      <c r="H749">
        <v>455</v>
      </c>
      <c r="I749">
        <v>932</v>
      </c>
      <c r="J749">
        <v>1</v>
      </c>
      <c r="K749">
        <v>3</v>
      </c>
      <c r="L749">
        <v>477</v>
      </c>
      <c r="M749">
        <v>1</v>
      </c>
      <c r="N749">
        <v>9.5715699999999999E-48</v>
      </c>
      <c r="O749">
        <v>481</v>
      </c>
    </row>
    <row r="750" spans="1:15" x14ac:dyDescent="0.25">
      <c r="A750" t="s">
        <v>763</v>
      </c>
      <c r="B750">
        <v>161</v>
      </c>
      <c r="C750" s="1" t="str">
        <f>HYPERLINK("http://www.rosaceae.org/gb/gbrowse/malus_x_domestica/?name=MDP0000165108","MDP0000165108")</f>
        <v>MDP0000165108</v>
      </c>
      <c r="D750">
        <v>43.26</v>
      </c>
      <c r="E750">
        <v>141</v>
      </c>
      <c r="F750">
        <v>80</v>
      </c>
      <c r="G750">
        <v>16</v>
      </c>
      <c r="H750">
        <v>4</v>
      </c>
      <c r="I750">
        <v>136</v>
      </c>
      <c r="J750">
        <v>1</v>
      </c>
      <c r="K750">
        <v>61</v>
      </c>
      <c r="L750">
        <v>193</v>
      </c>
      <c r="M750">
        <v>1</v>
      </c>
      <c r="N750">
        <v>4.1093999999999999E-18</v>
      </c>
      <c r="O750">
        <v>216</v>
      </c>
    </row>
    <row r="751" spans="1:15" x14ac:dyDescent="0.25">
      <c r="A751" t="s">
        <v>764</v>
      </c>
      <c r="B751">
        <v>582</v>
      </c>
      <c r="C751" s="1" t="str">
        <f>HYPERLINK("http://www.rosaceae.org/gb/gbrowse/malus_x_domestica/?name=MDP0000684928","MDP0000684928")</f>
        <v>MDP0000684928</v>
      </c>
      <c r="D751">
        <v>80.27</v>
      </c>
      <c r="E751">
        <v>583</v>
      </c>
      <c r="F751">
        <v>115</v>
      </c>
      <c r="G751">
        <v>10</v>
      </c>
      <c r="H751">
        <v>1</v>
      </c>
      <c r="I751">
        <v>582</v>
      </c>
      <c r="J751">
        <v>1</v>
      </c>
      <c r="K751">
        <v>1</v>
      </c>
      <c r="L751">
        <v>574</v>
      </c>
      <c r="M751">
        <v>1</v>
      </c>
      <c r="N751">
        <v>0</v>
      </c>
      <c r="O751">
        <v>2484</v>
      </c>
    </row>
    <row r="752" spans="1:15" x14ac:dyDescent="0.25">
      <c r="A752" t="s">
        <v>765</v>
      </c>
      <c r="B752">
        <v>1464</v>
      </c>
      <c r="C752" s="1" t="str">
        <f>HYPERLINK("http://www.rosaceae.org/gb/gbrowse/malus_x_domestica/?name=MDP0000132456","MDP0000132456")</f>
        <v>MDP0000132456</v>
      </c>
      <c r="D752">
        <v>72.02</v>
      </c>
      <c r="E752">
        <v>454</v>
      </c>
      <c r="F752">
        <v>127</v>
      </c>
      <c r="G752">
        <v>3</v>
      </c>
      <c r="H752">
        <v>673</v>
      </c>
      <c r="I752">
        <v>1123</v>
      </c>
      <c r="J752">
        <v>1</v>
      </c>
      <c r="K752">
        <v>15</v>
      </c>
      <c r="L752">
        <v>468</v>
      </c>
      <c r="M752">
        <v>1</v>
      </c>
      <c r="N752">
        <v>0</v>
      </c>
      <c r="O752">
        <v>1776</v>
      </c>
    </row>
    <row r="753" spans="1:15" x14ac:dyDescent="0.25">
      <c r="A753" t="s">
        <v>766</v>
      </c>
      <c r="B753">
        <v>107</v>
      </c>
      <c r="C753" s="1" t="str">
        <f>HYPERLINK("http://www.rosaceae.org/gb/gbrowse/malus_x_domestica/?name=MDP0000197224","MDP0000197224")</f>
        <v>MDP0000197224</v>
      </c>
      <c r="D753">
        <v>58.82</v>
      </c>
      <c r="E753">
        <v>85</v>
      </c>
      <c r="F753">
        <v>35</v>
      </c>
      <c r="G753">
        <v>7</v>
      </c>
      <c r="H753">
        <v>20</v>
      </c>
      <c r="I753">
        <v>104</v>
      </c>
      <c r="J753">
        <v>1</v>
      </c>
      <c r="K753">
        <v>22</v>
      </c>
      <c r="L753">
        <v>99</v>
      </c>
      <c r="M753">
        <v>1</v>
      </c>
      <c r="N753">
        <v>8.8054900000000001E-19</v>
      </c>
      <c r="O753">
        <v>219</v>
      </c>
    </row>
    <row r="754" spans="1:15" x14ac:dyDescent="0.25">
      <c r="A754" t="s">
        <v>767</v>
      </c>
      <c r="B754">
        <v>269</v>
      </c>
      <c r="C754" s="1" t="str">
        <f>HYPERLINK("http://www.rosaceae.org/gb/gbrowse/malus_x_domestica/?name=MDP0000147190","MDP0000147190")</f>
        <v>MDP0000147190</v>
      </c>
      <c r="D754">
        <v>26.59</v>
      </c>
      <c r="E754">
        <v>267</v>
      </c>
      <c r="F754">
        <v>196</v>
      </c>
      <c r="G754">
        <v>7</v>
      </c>
      <c r="H754">
        <v>1</v>
      </c>
      <c r="I754">
        <v>267</v>
      </c>
      <c r="J754">
        <v>1</v>
      </c>
      <c r="K754">
        <v>26</v>
      </c>
      <c r="L754">
        <v>285</v>
      </c>
      <c r="M754">
        <v>1</v>
      </c>
      <c r="N754">
        <v>2.16008E-26</v>
      </c>
      <c r="O754">
        <v>291</v>
      </c>
    </row>
    <row r="755" spans="1:15" x14ac:dyDescent="0.25">
      <c r="A755" t="s">
        <v>768</v>
      </c>
      <c r="B755">
        <v>169</v>
      </c>
      <c r="C755" s="1" t="str">
        <f>HYPERLINK("http://www.rosaceae.org/gb/gbrowse/malus_x_domestica/?name=MDP0000801476","MDP0000801476")</f>
        <v>MDP0000801476</v>
      </c>
      <c r="D755">
        <v>61.32</v>
      </c>
      <c r="E755">
        <v>181</v>
      </c>
      <c r="F755">
        <v>70</v>
      </c>
      <c r="G755">
        <v>12</v>
      </c>
      <c r="H755">
        <v>1</v>
      </c>
      <c r="I755">
        <v>169</v>
      </c>
      <c r="J755">
        <v>1</v>
      </c>
      <c r="K755">
        <v>144</v>
      </c>
      <c r="L755">
        <v>324</v>
      </c>
      <c r="M755">
        <v>1</v>
      </c>
      <c r="N755">
        <v>1.3248099999999999E-56</v>
      </c>
      <c r="O755">
        <v>548</v>
      </c>
    </row>
    <row r="756" spans="1:15" x14ac:dyDescent="0.25">
      <c r="A756" t="s">
        <v>769</v>
      </c>
      <c r="B756">
        <v>1032</v>
      </c>
      <c r="C756" s="1" t="str">
        <f>HYPERLINK("http://www.rosaceae.org/gb/gbrowse/malus_x_domestica/?name=MDP0000174796","MDP0000174796")</f>
        <v>MDP0000174796</v>
      </c>
      <c r="D756">
        <v>52.44</v>
      </c>
      <c r="E756">
        <v>511</v>
      </c>
      <c r="F756">
        <v>243</v>
      </c>
      <c r="G756">
        <v>7</v>
      </c>
      <c r="H756">
        <v>186</v>
      </c>
      <c r="I756">
        <v>696</v>
      </c>
      <c r="J756">
        <v>1</v>
      </c>
      <c r="K756">
        <v>170</v>
      </c>
      <c r="L756">
        <v>673</v>
      </c>
      <c r="M756">
        <v>1</v>
      </c>
      <c r="N756">
        <v>3.8978200000000001E-143</v>
      </c>
      <c r="O756">
        <v>1304</v>
      </c>
    </row>
    <row r="757" spans="1:15" x14ac:dyDescent="0.25">
      <c r="A757" t="s">
        <v>770</v>
      </c>
      <c r="B757">
        <v>635</v>
      </c>
      <c r="C757" s="1" t="str">
        <f>HYPERLINK("http://www.rosaceae.org/gb/gbrowse/malus_x_domestica/?name=MDP0000188803","MDP0000188803")</f>
        <v>MDP0000188803</v>
      </c>
      <c r="D757">
        <v>23.34</v>
      </c>
      <c r="E757">
        <v>347</v>
      </c>
      <c r="F757">
        <v>266</v>
      </c>
      <c r="G757">
        <v>64</v>
      </c>
      <c r="H757">
        <v>204</v>
      </c>
      <c r="I757">
        <v>501</v>
      </c>
      <c r="J757">
        <v>1</v>
      </c>
      <c r="K757">
        <v>187</v>
      </c>
      <c r="L757">
        <v>518</v>
      </c>
      <c r="M757">
        <v>1</v>
      </c>
      <c r="N757">
        <v>5.7282900000000002E-20</v>
      </c>
      <c r="O757">
        <v>240</v>
      </c>
    </row>
    <row r="758" spans="1:15" x14ac:dyDescent="0.25">
      <c r="A758" t="s">
        <v>771</v>
      </c>
      <c r="B758">
        <v>883</v>
      </c>
      <c r="C758" s="1" t="str">
        <f>HYPERLINK("http://www.rosaceae.org/gb/gbrowse/malus_x_domestica/?name=MDP0000213552","MDP0000213552")</f>
        <v>MDP0000213552</v>
      </c>
      <c r="D758">
        <v>49.19</v>
      </c>
      <c r="E758">
        <v>870</v>
      </c>
      <c r="F758">
        <v>442</v>
      </c>
      <c r="G758">
        <v>28</v>
      </c>
      <c r="H758">
        <v>2</v>
      </c>
      <c r="I758">
        <v>854</v>
      </c>
      <c r="J758">
        <v>1</v>
      </c>
      <c r="K758">
        <v>3</v>
      </c>
      <c r="L758">
        <v>861</v>
      </c>
      <c r="M758">
        <v>1</v>
      </c>
      <c r="N758">
        <v>0</v>
      </c>
      <c r="O758">
        <v>2020</v>
      </c>
    </row>
    <row r="759" spans="1:15" x14ac:dyDescent="0.25">
      <c r="A759" t="s">
        <v>772</v>
      </c>
      <c r="B759">
        <v>1474</v>
      </c>
      <c r="C759" s="1" t="str">
        <f>HYPERLINK("http://www.rosaceae.org/gb/gbrowse/malus_x_domestica/?name=MDP0000320442","MDP0000320442")</f>
        <v>MDP0000320442</v>
      </c>
      <c r="D759">
        <v>83.77</v>
      </c>
      <c r="E759">
        <v>419</v>
      </c>
      <c r="F759">
        <v>68</v>
      </c>
      <c r="G759">
        <v>5</v>
      </c>
      <c r="H759">
        <v>704</v>
      </c>
      <c r="I759">
        <v>1121</v>
      </c>
      <c r="J759">
        <v>1</v>
      </c>
      <c r="K759">
        <v>449</v>
      </c>
      <c r="L759">
        <v>863</v>
      </c>
      <c r="M759">
        <v>1</v>
      </c>
      <c r="N759">
        <v>0</v>
      </c>
      <c r="O759">
        <v>1801</v>
      </c>
    </row>
    <row r="760" spans="1:15" x14ac:dyDescent="0.25">
      <c r="A760" t="s">
        <v>773</v>
      </c>
      <c r="B760">
        <v>580</v>
      </c>
      <c r="C760" s="1" t="str">
        <f>HYPERLINK("http://www.rosaceae.org/gb/gbrowse/malus_x_domestica/?name=MDP0000260820","MDP0000260820")</f>
        <v>MDP0000260820</v>
      </c>
      <c r="D760">
        <v>78.47</v>
      </c>
      <c r="E760">
        <v>590</v>
      </c>
      <c r="F760">
        <v>127</v>
      </c>
      <c r="G760">
        <v>11</v>
      </c>
      <c r="H760">
        <v>1</v>
      </c>
      <c r="I760">
        <v>579</v>
      </c>
      <c r="J760">
        <v>1</v>
      </c>
      <c r="K760">
        <v>1</v>
      </c>
      <c r="L760">
        <v>590</v>
      </c>
      <c r="M760">
        <v>1</v>
      </c>
      <c r="N760">
        <v>0</v>
      </c>
      <c r="O760">
        <v>2454</v>
      </c>
    </row>
    <row r="761" spans="1:15" x14ac:dyDescent="0.25">
      <c r="A761" t="s">
        <v>774</v>
      </c>
      <c r="B761">
        <v>178</v>
      </c>
      <c r="C761" s="1" t="str">
        <f>HYPERLINK("http://www.rosaceae.org/gb/gbrowse/malus_x_domestica/?name=MDP0000423907","MDP0000423907")</f>
        <v>MDP0000423907</v>
      </c>
      <c r="D761">
        <v>68.88</v>
      </c>
      <c r="E761">
        <v>180</v>
      </c>
      <c r="F761">
        <v>56</v>
      </c>
      <c r="G761">
        <v>5</v>
      </c>
      <c r="H761">
        <v>1</v>
      </c>
      <c r="I761">
        <v>178</v>
      </c>
      <c r="J761">
        <v>1</v>
      </c>
      <c r="K761">
        <v>4</v>
      </c>
      <c r="L761">
        <v>180</v>
      </c>
      <c r="M761">
        <v>1</v>
      </c>
      <c r="N761">
        <v>6.2354800000000006E-67</v>
      </c>
      <c r="O761">
        <v>638</v>
      </c>
    </row>
    <row r="762" spans="1:15" x14ac:dyDescent="0.25">
      <c r="A762" t="s">
        <v>775</v>
      </c>
      <c r="B762">
        <v>773</v>
      </c>
      <c r="C762" s="1" t="str">
        <f>HYPERLINK("http://www.rosaceae.org/gb/gbrowse/malus_x_domestica/?name=MDP0000658409","MDP0000658409")</f>
        <v>MDP0000658409</v>
      </c>
      <c r="D762">
        <v>58.09</v>
      </c>
      <c r="E762">
        <v>661</v>
      </c>
      <c r="F762">
        <v>277</v>
      </c>
      <c r="G762">
        <v>49</v>
      </c>
      <c r="H762">
        <v>1</v>
      </c>
      <c r="I762">
        <v>622</v>
      </c>
      <c r="J762">
        <v>1</v>
      </c>
      <c r="K762">
        <v>96</v>
      </c>
      <c r="L762">
        <v>746</v>
      </c>
      <c r="M762">
        <v>1</v>
      </c>
      <c r="N762">
        <v>0</v>
      </c>
      <c r="O762">
        <v>1752</v>
      </c>
    </row>
    <row r="763" spans="1:15" x14ac:dyDescent="0.25">
      <c r="A763" t="s">
        <v>776</v>
      </c>
      <c r="B763">
        <v>660</v>
      </c>
      <c r="C763" s="1" t="str">
        <f>HYPERLINK("http://www.rosaceae.org/gb/gbrowse/malus_x_domestica/?name=MDP0000245963","MDP0000245963")</f>
        <v>MDP0000245963</v>
      </c>
      <c r="D763">
        <v>61.21</v>
      </c>
      <c r="E763">
        <v>709</v>
      </c>
      <c r="F763">
        <v>275</v>
      </c>
      <c r="G763">
        <v>66</v>
      </c>
      <c r="H763">
        <v>1</v>
      </c>
      <c r="I763">
        <v>660</v>
      </c>
      <c r="J763">
        <v>1</v>
      </c>
      <c r="K763">
        <v>1</v>
      </c>
      <c r="L763">
        <v>692</v>
      </c>
      <c r="M763">
        <v>1</v>
      </c>
      <c r="N763">
        <v>0</v>
      </c>
      <c r="O763">
        <v>1948</v>
      </c>
    </row>
    <row r="764" spans="1:15" x14ac:dyDescent="0.25">
      <c r="A764" t="s">
        <v>777</v>
      </c>
      <c r="B764">
        <v>392</v>
      </c>
      <c r="C764" s="1" t="str">
        <f>HYPERLINK("http://www.rosaceae.org/gb/gbrowse/malus_x_domestica/?name=MDP0000189736","MDP0000189736")</f>
        <v>MDP0000189736</v>
      </c>
      <c r="D764">
        <v>73.739999999999995</v>
      </c>
      <c r="E764">
        <v>259</v>
      </c>
      <c r="F764">
        <v>68</v>
      </c>
      <c r="G764">
        <v>6</v>
      </c>
      <c r="H764">
        <v>138</v>
      </c>
      <c r="I764">
        <v>392</v>
      </c>
      <c r="J764">
        <v>1</v>
      </c>
      <c r="K764">
        <v>260</v>
      </c>
      <c r="L764">
        <v>516</v>
      </c>
      <c r="M764">
        <v>1</v>
      </c>
      <c r="N764">
        <v>1.4076399999999999E-109</v>
      </c>
      <c r="O764">
        <v>1010</v>
      </c>
    </row>
    <row r="765" spans="1:15" x14ac:dyDescent="0.25">
      <c r="A765" t="s">
        <v>778</v>
      </c>
      <c r="B765">
        <v>108</v>
      </c>
      <c r="C765" s="1" t="str">
        <f>HYPERLINK("http://www.rosaceae.org/gb/gbrowse/malus_x_domestica/?name=MDP0000131979","MDP0000131979")</f>
        <v>MDP0000131979</v>
      </c>
      <c r="D765">
        <v>51.69</v>
      </c>
      <c r="E765">
        <v>118</v>
      </c>
      <c r="F765">
        <v>57</v>
      </c>
      <c r="G765">
        <v>20</v>
      </c>
      <c r="H765">
        <v>1</v>
      </c>
      <c r="I765">
        <v>108</v>
      </c>
      <c r="J765">
        <v>1</v>
      </c>
      <c r="K765">
        <v>1</v>
      </c>
      <c r="L765">
        <v>108</v>
      </c>
      <c r="M765">
        <v>1</v>
      </c>
      <c r="N765">
        <v>5.4042600000000004E-22</v>
      </c>
      <c r="O765">
        <v>247</v>
      </c>
    </row>
    <row r="766" spans="1:15" x14ac:dyDescent="0.25">
      <c r="A766" t="s">
        <v>779</v>
      </c>
      <c r="B766">
        <v>271</v>
      </c>
      <c r="C766" s="1" t="str">
        <f>HYPERLINK("http://www.rosaceae.org/gb/gbrowse/malus_x_domestica/?name=MDP0000258253","MDP0000258253")</f>
        <v>MDP0000258253</v>
      </c>
      <c r="D766">
        <v>70.73</v>
      </c>
      <c r="E766">
        <v>205</v>
      </c>
      <c r="F766">
        <v>60</v>
      </c>
      <c r="G766">
        <v>6</v>
      </c>
      <c r="H766">
        <v>1</v>
      </c>
      <c r="I766">
        <v>203</v>
      </c>
      <c r="J766">
        <v>1</v>
      </c>
      <c r="K766">
        <v>1</v>
      </c>
      <c r="L766">
        <v>201</v>
      </c>
      <c r="M766">
        <v>1</v>
      </c>
      <c r="N766">
        <v>1.3487100000000001E-80</v>
      </c>
      <c r="O766">
        <v>758</v>
      </c>
    </row>
    <row r="767" spans="1:15" x14ac:dyDescent="0.25">
      <c r="A767" t="s">
        <v>780</v>
      </c>
      <c r="B767">
        <v>177</v>
      </c>
      <c r="C767" s="1" t="str">
        <f>HYPERLINK("http://www.rosaceae.org/gb/gbrowse/malus_x_domestica/?name=MDP0000264661","MDP0000264661")</f>
        <v>MDP0000264661</v>
      </c>
      <c r="D767">
        <v>93.22</v>
      </c>
      <c r="E767">
        <v>177</v>
      </c>
      <c r="F767">
        <v>12</v>
      </c>
      <c r="G767">
        <v>0</v>
      </c>
      <c r="H767">
        <v>1</v>
      </c>
      <c r="I767">
        <v>177</v>
      </c>
      <c r="J767">
        <v>1</v>
      </c>
      <c r="K767">
        <v>187</v>
      </c>
      <c r="L767">
        <v>363</v>
      </c>
      <c r="M767">
        <v>1</v>
      </c>
      <c r="N767">
        <v>1.1408200000000001E-98</v>
      </c>
      <c r="O767">
        <v>912</v>
      </c>
    </row>
    <row r="768" spans="1:15" x14ac:dyDescent="0.25">
      <c r="A768" t="s">
        <v>781</v>
      </c>
      <c r="B768">
        <v>480</v>
      </c>
      <c r="C768" s="1" t="str">
        <f>HYPERLINK("http://www.rosaceae.org/gb/gbrowse/malus_x_domestica/?name=MDP0000146452","MDP0000146452")</f>
        <v>MDP0000146452</v>
      </c>
      <c r="D768">
        <v>94.79</v>
      </c>
      <c r="E768">
        <v>480</v>
      </c>
      <c r="F768">
        <v>25</v>
      </c>
      <c r="G768">
        <v>0</v>
      </c>
      <c r="H768">
        <v>1</v>
      </c>
      <c r="I768">
        <v>480</v>
      </c>
      <c r="J768">
        <v>1</v>
      </c>
      <c r="K768">
        <v>1</v>
      </c>
      <c r="L768">
        <v>480</v>
      </c>
      <c r="M768">
        <v>1</v>
      </c>
      <c r="N768">
        <v>0</v>
      </c>
      <c r="O768">
        <v>2449</v>
      </c>
    </row>
    <row r="769" spans="1:15" x14ac:dyDescent="0.25">
      <c r="A769" t="s">
        <v>782</v>
      </c>
      <c r="B769">
        <v>173</v>
      </c>
      <c r="C769" s="1" t="str">
        <f>HYPERLINK("http://www.rosaceae.org/gb/gbrowse/malus_x_domestica/?name=MDP0000151810","MDP0000151810")</f>
        <v>MDP0000151810</v>
      </c>
      <c r="D769">
        <v>90.76</v>
      </c>
      <c r="E769">
        <v>130</v>
      </c>
      <c r="F769">
        <v>12</v>
      </c>
      <c r="G769">
        <v>0</v>
      </c>
      <c r="H769">
        <v>3</v>
      </c>
      <c r="I769">
        <v>132</v>
      </c>
      <c r="J769">
        <v>1</v>
      </c>
      <c r="K769">
        <v>5</v>
      </c>
      <c r="L769">
        <v>134</v>
      </c>
      <c r="M769">
        <v>1</v>
      </c>
      <c r="N769">
        <v>9.6520700000000001E-67</v>
      </c>
      <c r="O769">
        <v>636</v>
      </c>
    </row>
    <row r="770" spans="1:15" x14ac:dyDescent="0.25">
      <c r="A770" t="s">
        <v>783</v>
      </c>
      <c r="B770">
        <v>996</v>
      </c>
      <c r="C770" s="1" t="str">
        <f>HYPERLINK("http://www.rosaceae.org/gb/gbrowse/malus_x_domestica/?name=MDP0000166283","MDP0000166283")</f>
        <v>MDP0000166283</v>
      </c>
      <c r="D770">
        <v>69.599999999999994</v>
      </c>
      <c r="E770">
        <v>431</v>
      </c>
      <c r="F770">
        <v>131</v>
      </c>
      <c r="G770">
        <v>10</v>
      </c>
      <c r="H770">
        <v>31</v>
      </c>
      <c r="I770">
        <v>459</v>
      </c>
      <c r="J770">
        <v>1</v>
      </c>
      <c r="K770">
        <v>39</v>
      </c>
      <c r="L770">
        <v>461</v>
      </c>
      <c r="M770">
        <v>1</v>
      </c>
      <c r="N770">
        <v>4.3670200000000002E-177</v>
      </c>
      <c r="O770">
        <v>1597</v>
      </c>
    </row>
    <row r="771" spans="1:15" x14ac:dyDescent="0.25">
      <c r="A771" t="s">
        <v>784</v>
      </c>
      <c r="B771">
        <v>507</v>
      </c>
      <c r="C771" s="1" t="str">
        <f>HYPERLINK("http://www.rosaceae.org/gb/gbrowse/malus_x_domestica/?name=MDP0000831221","MDP0000831221")</f>
        <v>MDP0000831221</v>
      </c>
      <c r="D771">
        <v>77.25</v>
      </c>
      <c r="E771">
        <v>488</v>
      </c>
      <c r="F771">
        <v>111</v>
      </c>
      <c r="G771">
        <v>0</v>
      </c>
      <c r="H771">
        <v>18</v>
      </c>
      <c r="I771">
        <v>505</v>
      </c>
      <c r="J771">
        <v>1</v>
      </c>
      <c r="K771">
        <v>19</v>
      </c>
      <c r="L771">
        <v>506</v>
      </c>
      <c r="M771">
        <v>1</v>
      </c>
      <c r="N771">
        <v>0</v>
      </c>
      <c r="O771">
        <v>2045</v>
      </c>
    </row>
    <row r="772" spans="1:15" x14ac:dyDescent="0.25">
      <c r="A772" t="s">
        <v>785</v>
      </c>
      <c r="B772">
        <v>1429</v>
      </c>
      <c r="C772" s="1" t="str">
        <f>HYPERLINK("http://www.rosaceae.org/gb/gbrowse/malus_x_domestica/?name=MDP0000219148","MDP0000219148")</f>
        <v>MDP0000219148</v>
      </c>
      <c r="D772">
        <v>64.790000000000006</v>
      </c>
      <c r="E772">
        <v>1281</v>
      </c>
      <c r="F772">
        <v>451</v>
      </c>
      <c r="G772">
        <v>177</v>
      </c>
      <c r="H772">
        <v>32</v>
      </c>
      <c r="I772">
        <v>1311</v>
      </c>
      <c r="J772">
        <v>1</v>
      </c>
      <c r="K772">
        <v>36</v>
      </c>
      <c r="L772">
        <v>1140</v>
      </c>
      <c r="M772">
        <v>1</v>
      </c>
      <c r="N772">
        <v>0</v>
      </c>
      <c r="O772">
        <v>4076</v>
      </c>
    </row>
    <row r="773" spans="1:15" x14ac:dyDescent="0.25">
      <c r="A773" t="s">
        <v>786</v>
      </c>
      <c r="B773">
        <v>439</v>
      </c>
      <c r="C773" s="1" t="str">
        <f>HYPERLINK("http://www.rosaceae.org/gb/gbrowse/malus_x_domestica/?name=MDP0000292132","MDP0000292132")</f>
        <v>MDP0000292132</v>
      </c>
      <c r="D773">
        <v>41.82</v>
      </c>
      <c r="E773">
        <v>361</v>
      </c>
      <c r="F773">
        <v>210</v>
      </c>
      <c r="G773">
        <v>29</v>
      </c>
      <c r="H773">
        <v>1</v>
      </c>
      <c r="I773">
        <v>348</v>
      </c>
      <c r="J773">
        <v>1</v>
      </c>
      <c r="K773">
        <v>1</v>
      </c>
      <c r="L773">
        <v>345</v>
      </c>
      <c r="M773">
        <v>1</v>
      </c>
      <c r="N773">
        <v>4.9949900000000004E-68</v>
      </c>
      <c r="O773">
        <v>653</v>
      </c>
    </row>
    <row r="774" spans="1:15" x14ac:dyDescent="0.25">
      <c r="A774" t="s">
        <v>787</v>
      </c>
      <c r="B774">
        <v>288</v>
      </c>
      <c r="C774" s="1" t="str">
        <f>HYPERLINK("http://www.rosaceae.org/gb/gbrowse/malus_x_domestica/?name=MDP0000768772","MDP0000768772")</f>
        <v>MDP0000768772</v>
      </c>
      <c r="D774">
        <v>57.08</v>
      </c>
      <c r="E774">
        <v>268</v>
      </c>
      <c r="F774">
        <v>115</v>
      </c>
      <c r="G774">
        <v>17</v>
      </c>
      <c r="H774">
        <v>33</v>
      </c>
      <c r="I774">
        <v>287</v>
      </c>
      <c r="J774">
        <v>1</v>
      </c>
      <c r="K774">
        <v>1</v>
      </c>
      <c r="L774">
        <v>264</v>
      </c>
      <c r="M774">
        <v>1</v>
      </c>
      <c r="N774">
        <v>6.5699200000000001E-72</v>
      </c>
      <c r="O774">
        <v>684</v>
      </c>
    </row>
    <row r="775" spans="1:15" x14ac:dyDescent="0.25">
      <c r="A775" t="s">
        <v>788</v>
      </c>
      <c r="B775">
        <v>393</v>
      </c>
      <c r="C775" s="1" t="str">
        <f>HYPERLINK("http://www.rosaceae.org/gb/gbrowse/malus_x_domestica/?name=MDP0000500222","MDP0000500222")</f>
        <v>MDP0000500222</v>
      </c>
      <c r="D775">
        <v>39.340000000000003</v>
      </c>
      <c r="E775">
        <v>394</v>
      </c>
      <c r="F775">
        <v>239</v>
      </c>
      <c r="G775">
        <v>42</v>
      </c>
      <c r="H775">
        <v>12</v>
      </c>
      <c r="I775">
        <v>387</v>
      </c>
      <c r="J775">
        <v>1</v>
      </c>
      <c r="K775">
        <v>55</v>
      </c>
      <c r="L775">
        <v>424</v>
      </c>
      <c r="M775">
        <v>1</v>
      </c>
      <c r="N775">
        <v>1.90493E-56</v>
      </c>
      <c r="O775">
        <v>552</v>
      </c>
    </row>
    <row r="776" spans="1:15" x14ac:dyDescent="0.25">
      <c r="A776" t="s">
        <v>789</v>
      </c>
      <c r="B776">
        <v>245</v>
      </c>
      <c r="C776" s="1" t="str">
        <f>HYPERLINK("http://www.rosaceae.org/gb/gbrowse/malus_x_domestica/?name=MDP0000131308","MDP0000131308")</f>
        <v>MDP0000131308</v>
      </c>
      <c r="D776">
        <v>52.49</v>
      </c>
      <c r="E776">
        <v>341</v>
      </c>
      <c r="F776">
        <v>162</v>
      </c>
      <c r="G776">
        <v>101</v>
      </c>
      <c r="H776">
        <v>1</v>
      </c>
      <c r="I776">
        <v>240</v>
      </c>
      <c r="J776">
        <v>1</v>
      </c>
      <c r="K776">
        <v>1</v>
      </c>
      <c r="L776">
        <v>341</v>
      </c>
      <c r="M776">
        <v>1</v>
      </c>
      <c r="N776">
        <v>1.32961E-79</v>
      </c>
      <c r="O776">
        <v>749</v>
      </c>
    </row>
    <row r="777" spans="1:15" x14ac:dyDescent="0.25">
      <c r="A777" t="s">
        <v>790</v>
      </c>
      <c r="B777">
        <v>218</v>
      </c>
      <c r="C777" s="1" t="str">
        <f>HYPERLINK("http://www.rosaceae.org/gb/gbrowse/malus_x_domestica/?name=MDP0000701739","MDP0000701739")</f>
        <v>MDP0000701739</v>
      </c>
      <c r="D777">
        <v>90.17</v>
      </c>
      <c r="E777">
        <v>173</v>
      </c>
      <c r="F777">
        <v>17</v>
      </c>
      <c r="G777">
        <v>1</v>
      </c>
      <c r="H777">
        <v>1</v>
      </c>
      <c r="I777">
        <v>172</v>
      </c>
      <c r="J777">
        <v>1</v>
      </c>
      <c r="K777">
        <v>62</v>
      </c>
      <c r="L777">
        <v>234</v>
      </c>
      <c r="M777">
        <v>1</v>
      </c>
      <c r="N777">
        <v>2.5008099999999999E-88</v>
      </c>
      <c r="O777">
        <v>824</v>
      </c>
    </row>
    <row r="778" spans="1:15" x14ac:dyDescent="0.25">
      <c r="A778" t="s">
        <v>791</v>
      </c>
      <c r="B778">
        <v>210</v>
      </c>
      <c r="C778" s="1" t="str">
        <f>HYPERLINK("http://www.rosaceae.org/gb/gbrowse/malus_x_domestica/?name=MDP0000303627","MDP0000303627")</f>
        <v>MDP0000303627</v>
      </c>
      <c r="D778">
        <v>51</v>
      </c>
      <c r="E778">
        <v>149</v>
      </c>
      <c r="F778">
        <v>73</v>
      </c>
      <c r="G778">
        <v>12</v>
      </c>
      <c r="H778">
        <v>25</v>
      </c>
      <c r="I778">
        <v>164</v>
      </c>
      <c r="J778">
        <v>1</v>
      </c>
      <c r="K778">
        <v>26</v>
      </c>
      <c r="L778">
        <v>171</v>
      </c>
      <c r="M778">
        <v>1</v>
      </c>
      <c r="N778">
        <v>7.6840500000000003E-34</v>
      </c>
      <c r="O778">
        <v>354</v>
      </c>
    </row>
    <row r="779" spans="1:15" x14ac:dyDescent="0.25">
      <c r="A779" t="s">
        <v>792</v>
      </c>
      <c r="B779">
        <v>110</v>
      </c>
      <c r="C779" s="1" t="str">
        <f>HYPERLINK("http://www.rosaceae.org/gb/gbrowse/malus_x_domestica/?name=MDP0000255534","MDP0000255534")</f>
        <v>MDP0000255534</v>
      </c>
      <c r="D779">
        <v>51.32</v>
      </c>
      <c r="E779">
        <v>113</v>
      </c>
      <c r="F779">
        <v>55</v>
      </c>
      <c r="G779">
        <v>5</v>
      </c>
      <c r="H779">
        <v>1</v>
      </c>
      <c r="I779">
        <v>110</v>
      </c>
      <c r="J779">
        <v>1</v>
      </c>
      <c r="K779">
        <v>1</v>
      </c>
      <c r="L779">
        <v>111</v>
      </c>
      <c r="M779">
        <v>1</v>
      </c>
      <c r="N779">
        <v>2.0397199999999999E-21</v>
      </c>
      <c r="O779">
        <v>242</v>
      </c>
    </row>
    <row r="780" spans="1:15" x14ac:dyDescent="0.25">
      <c r="A780" t="s">
        <v>793</v>
      </c>
      <c r="B780">
        <v>998</v>
      </c>
      <c r="C780" s="1" t="str">
        <f>HYPERLINK("http://www.rosaceae.org/gb/gbrowse/malus_x_domestica/?name=MDP0000129460","MDP0000129460")</f>
        <v>MDP0000129460</v>
      </c>
      <c r="D780">
        <v>83.17</v>
      </c>
      <c r="E780">
        <v>1028</v>
      </c>
      <c r="F780">
        <v>173</v>
      </c>
      <c r="G780">
        <v>33</v>
      </c>
      <c r="H780">
        <v>1</v>
      </c>
      <c r="I780">
        <v>998</v>
      </c>
      <c r="J780">
        <v>1</v>
      </c>
      <c r="K780">
        <v>1</v>
      </c>
      <c r="L780">
        <v>1025</v>
      </c>
      <c r="M780">
        <v>1</v>
      </c>
      <c r="N780">
        <v>0</v>
      </c>
      <c r="O780">
        <v>4427</v>
      </c>
    </row>
    <row r="781" spans="1:15" x14ac:dyDescent="0.25">
      <c r="A781" t="s">
        <v>794</v>
      </c>
      <c r="B781">
        <v>160</v>
      </c>
      <c r="C781" s="1" t="str">
        <f>HYPERLINK("http://www.rosaceae.org/gb/gbrowse/malus_x_domestica/?name=MDP0000216487","MDP0000216487")</f>
        <v>MDP0000216487</v>
      </c>
      <c r="D781">
        <v>84.97</v>
      </c>
      <c r="E781">
        <v>173</v>
      </c>
      <c r="F781">
        <v>26</v>
      </c>
      <c r="G781">
        <v>13</v>
      </c>
      <c r="H781">
        <v>1</v>
      </c>
      <c r="I781">
        <v>160</v>
      </c>
      <c r="J781">
        <v>1</v>
      </c>
      <c r="K781">
        <v>1</v>
      </c>
      <c r="L781">
        <v>173</v>
      </c>
      <c r="M781">
        <v>1</v>
      </c>
      <c r="N781">
        <v>8.4157300000000003E-83</v>
      </c>
      <c r="O781">
        <v>774</v>
      </c>
    </row>
    <row r="782" spans="1:15" x14ac:dyDescent="0.25">
      <c r="A782" t="s">
        <v>795</v>
      </c>
      <c r="B782">
        <v>168</v>
      </c>
      <c r="C782" s="1" t="str">
        <f>HYPERLINK("http://www.rosaceae.org/gb/gbrowse/malus_x_domestica/?name=MDP0000313341","MDP0000313341")</f>
        <v>MDP0000313341</v>
      </c>
      <c r="D782">
        <v>58.13</v>
      </c>
      <c r="E782">
        <v>43</v>
      </c>
      <c r="F782">
        <v>18</v>
      </c>
      <c r="G782">
        <v>0</v>
      </c>
      <c r="H782">
        <v>30</v>
      </c>
      <c r="I782">
        <v>72</v>
      </c>
      <c r="J782">
        <v>1</v>
      </c>
      <c r="K782">
        <v>96</v>
      </c>
      <c r="L782">
        <v>138</v>
      </c>
      <c r="M782">
        <v>1</v>
      </c>
      <c r="N782">
        <v>9.2579400000000006E-8</v>
      </c>
      <c r="O782">
        <v>127</v>
      </c>
    </row>
    <row r="783" spans="1:15" x14ac:dyDescent="0.25">
      <c r="A783" t="s">
        <v>796</v>
      </c>
      <c r="B783">
        <v>652</v>
      </c>
      <c r="C783" s="1" t="str">
        <f>HYPERLINK("http://www.rosaceae.org/gb/gbrowse/malus_x_domestica/?name=MDP0000528081","MDP0000528081")</f>
        <v>MDP0000528081</v>
      </c>
      <c r="D783">
        <v>69.7</v>
      </c>
      <c r="E783">
        <v>637</v>
      </c>
      <c r="F783">
        <v>193</v>
      </c>
      <c r="G783">
        <v>45</v>
      </c>
      <c r="H783">
        <v>47</v>
      </c>
      <c r="I783">
        <v>652</v>
      </c>
      <c r="J783">
        <v>1</v>
      </c>
      <c r="K783">
        <v>1</v>
      </c>
      <c r="L783">
        <v>623</v>
      </c>
      <c r="M783">
        <v>1</v>
      </c>
      <c r="N783">
        <v>0</v>
      </c>
      <c r="O783">
        <v>2196</v>
      </c>
    </row>
    <row r="784" spans="1:15" x14ac:dyDescent="0.25">
      <c r="A784" t="s">
        <v>797</v>
      </c>
      <c r="B784">
        <v>506</v>
      </c>
      <c r="C784" s="1" t="str">
        <f>HYPERLINK("http://www.rosaceae.org/gb/gbrowse/malus_x_domestica/?name=MDP0000150270","MDP0000150270")</f>
        <v>MDP0000150270</v>
      </c>
      <c r="D784">
        <v>55.81</v>
      </c>
      <c r="E784">
        <v>387</v>
      </c>
      <c r="F784">
        <v>171</v>
      </c>
      <c r="G784">
        <v>52</v>
      </c>
      <c r="H784">
        <v>130</v>
      </c>
      <c r="I784">
        <v>506</v>
      </c>
      <c r="J784">
        <v>1</v>
      </c>
      <c r="K784">
        <v>47</v>
      </c>
      <c r="L784">
        <v>391</v>
      </c>
      <c r="M784">
        <v>1</v>
      </c>
      <c r="N784">
        <v>2.8758999999999999E-115</v>
      </c>
      <c r="O784">
        <v>1061</v>
      </c>
    </row>
    <row r="785" spans="1:15" x14ac:dyDescent="0.25">
      <c r="A785" t="s">
        <v>798</v>
      </c>
      <c r="B785">
        <v>157</v>
      </c>
      <c r="C785" s="1" t="str">
        <f>HYPERLINK("http://www.rosaceae.org/gb/gbrowse/malus_x_domestica/?name=MDP0000203930","MDP0000203930")</f>
        <v>MDP0000203930</v>
      </c>
      <c r="D785">
        <v>74.709999999999994</v>
      </c>
      <c r="E785">
        <v>174</v>
      </c>
      <c r="F785">
        <v>44</v>
      </c>
      <c r="G785">
        <v>19</v>
      </c>
      <c r="H785">
        <v>1</v>
      </c>
      <c r="I785">
        <v>157</v>
      </c>
      <c r="J785">
        <v>1</v>
      </c>
      <c r="K785">
        <v>1</v>
      </c>
      <c r="L785">
        <v>172</v>
      </c>
      <c r="M785">
        <v>1</v>
      </c>
      <c r="N785">
        <v>5.9363099999999998E-59</v>
      </c>
      <c r="O785">
        <v>568</v>
      </c>
    </row>
    <row r="786" spans="1:15" x14ac:dyDescent="0.25">
      <c r="A786" t="s">
        <v>799</v>
      </c>
      <c r="B786">
        <v>218</v>
      </c>
      <c r="C786" s="1" t="str">
        <f>HYPERLINK("http://www.rosaceae.org/gb/gbrowse/malus_x_domestica/?name=MDP0000152953","MDP0000152953")</f>
        <v>MDP0000152953</v>
      </c>
      <c r="D786">
        <v>59.6</v>
      </c>
      <c r="E786">
        <v>255</v>
      </c>
      <c r="F786">
        <v>103</v>
      </c>
      <c r="G786">
        <v>37</v>
      </c>
      <c r="H786">
        <v>1</v>
      </c>
      <c r="I786">
        <v>218</v>
      </c>
      <c r="J786">
        <v>1</v>
      </c>
      <c r="K786">
        <v>257</v>
      </c>
      <c r="L786">
        <v>511</v>
      </c>
      <c r="M786">
        <v>1</v>
      </c>
      <c r="N786">
        <v>3.6488199999999997E-80</v>
      </c>
      <c r="O786">
        <v>753</v>
      </c>
    </row>
    <row r="787" spans="1:15" x14ac:dyDescent="0.25">
      <c r="A787" t="s">
        <v>800</v>
      </c>
      <c r="B787">
        <v>507</v>
      </c>
      <c r="C787" s="1" t="str">
        <f>HYPERLINK("http://www.rosaceae.org/gb/gbrowse/malus_x_domestica/?name=MDP0000129298","MDP0000129298")</f>
        <v>MDP0000129298</v>
      </c>
      <c r="D787">
        <v>41.42</v>
      </c>
      <c r="E787">
        <v>169</v>
      </c>
      <c r="F787">
        <v>99</v>
      </c>
      <c r="G787">
        <v>5</v>
      </c>
      <c r="H787">
        <v>2</v>
      </c>
      <c r="I787">
        <v>170</v>
      </c>
      <c r="J787">
        <v>1</v>
      </c>
      <c r="K787">
        <v>3</v>
      </c>
      <c r="L787">
        <v>166</v>
      </c>
      <c r="M787">
        <v>1</v>
      </c>
      <c r="N787">
        <v>2.31861E-32</v>
      </c>
      <c r="O787">
        <v>346</v>
      </c>
    </row>
    <row r="788" spans="1:15" x14ac:dyDescent="0.25">
      <c r="A788" t="s">
        <v>801</v>
      </c>
      <c r="B788">
        <v>297</v>
      </c>
      <c r="C788" s="1" t="str">
        <f>HYPERLINK("http://www.rosaceae.org/gb/gbrowse/malus_x_domestica/?name=MDP0000204511","MDP0000204511")</f>
        <v>MDP0000204511</v>
      </c>
      <c r="D788">
        <v>41.96</v>
      </c>
      <c r="E788">
        <v>305</v>
      </c>
      <c r="F788">
        <v>177</v>
      </c>
      <c r="G788">
        <v>51</v>
      </c>
      <c r="H788">
        <v>15</v>
      </c>
      <c r="I788">
        <v>278</v>
      </c>
      <c r="J788">
        <v>1</v>
      </c>
      <c r="K788">
        <v>24</v>
      </c>
      <c r="L788">
        <v>318</v>
      </c>
      <c r="M788">
        <v>1</v>
      </c>
      <c r="N788">
        <v>3.05058E-59</v>
      </c>
      <c r="O788">
        <v>575</v>
      </c>
    </row>
    <row r="789" spans="1:15" x14ac:dyDescent="0.25">
      <c r="A789" t="s">
        <v>802</v>
      </c>
      <c r="B789">
        <v>218</v>
      </c>
      <c r="C789" s="1" t="str">
        <f>HYPERLINK("http://www.rosaceae.org/gb/gbrowse/malus_x_domestica/?name=MDP0000485763","MDP0000485763")</f>
        <v>MDP0000485763</v>
      </c>
      <c r="D789">
        <v>62.5</v>
      </c>
      <c r="E789">
        <v>152</v>
      </c>
      <c r="F789">
        <v>57</v>
      </c>
      <c r="G789">
        <v>8</v>
      </c>
      <c r="H789">
        <v>1</v>
      </c>
      <c r="I789">
        <v>149</v>
      </c>
      <c r="J789">
        <v>1</v>
      </c>
      <c r="K789">
        <v>1</v>
      </c>
      <c r="L789">
        <v>147</v>
      </c>
      <c r="M789">
        <v>1</v>
      </c>
      <c r="N789">
        <v>1.87736E-41</v>
      </c>
      <c r="O789">
        <v>420</v>
      </c>
    </row>
    <row r="790" spans="1:15" x14ac:dyDescent="0.25">
      <c r="A790" t="s">
        <v>803</v>
      </c>
      <c r="B790">
        <v>348</v>
      </c>
      <c r="C790" s="1" t="str">
        <f>HYPERLINK("http://www.rosaceae.org/gb/gbrowse/malus_x_domestica/?name=MDP0000322487","MDP0000322487")</f>
        <v>MDP0000322487</v>
      </c>
      <c r="D790">
        <v>52.5</v>
      </c>
      <c r="E790">
        <v>80</v>
      </c>
      <c r="F790">
        <v>38</v>
      </c>
      <c r="G790">
        <v>0</v>
      </c>
      <c r="H790">
        <v>31</v>
      </c>
      <c r="I790">
        <v>110</v>
      </c>
      <c r="J790">
        <v>1</v>
      </c>
      <c r="K790">
        <v>542</v>
      </c>
      <c r="L790">
        <v>621</v>
      </c>
      <c r="M790">
        <v>1</v>
      </c>
      <c r="N790">
        <v>1.5436199999999999E-21</v>
      </c>
      <c r="O790">
        <v>250</v>
      </c>
    </row>
    <row r="791" spans="1:15" x14ac:dyDescent="0.25">
      <c r="A791" t="s">
        <v>804</v>
      </c>
      <c r="B791">
        <v>325</v>
      </c>
      <c r="C791" s="1" t="str">
        <f>HYPERLINK("http://www.rosaceae.org/gb/gbrowse/malus_x_domestica/?name=MDP0000252378","MDP0000252378")</f>
        <v>MDP0000252378</v>
      </c>
      <c r="D791">
        <v>41.56</v>
      </c>
      <c r="E791">
        <v>332</v>
      </c>
      <c r="F791">
        <v>194</v>
      </c>
      <c r="G791">
        <v>15</v>
      </c>
      <c r="H791">
        <v>1</v>
      </c>
      <c r="I791">
        <v>325</v>
      </c>
      <c r="J791">
        <v>1</v>
      </c>
      <c r="K791">
        <v>56</v>
      </c>
      <c r="L791">
        <v>379</v>
      </c>
      <c r="M791">
        <v>1</v>
      </c>
      <c r="N791">
        <v>1.00707E-59</v>
      </c>
      <c r="O791">
        <v>579</v>
      </c>
    </row>
    <row r="792" spans="1:15" x14ac:dyDescent="0.25">
      <c r="A792" t="s">
        <v>805</v>
      </c>
      <c r="B792">
        <v>592</v>
      </c>
      <c r="C792" s="1" t="str">
        <f>HYPERLINK("http://www.rosaceae.org/gb/gbrowse/malus_x_domestica/?name=MDP0000174912","MDP0000174912")</f>
        <v>MDP0000174912</v>
      </c>
      <c r="D792">
        <v>75.150000000000006</v>
      </c>
      <c r="E792">
        <v>471</v>
      </c>
      <c r="F792">
        <v>117</v>
      </c>
      <c r="G792">
        <v>10</v>
      </c>
      <c r="H792">
        <v>79</v>
      </c>
      <c r="I792">
        <v>540</v>
      </c>
      <c r="J792">
        <v>1</v>
      </c>
      <c r="K792">
        <v>219</v>
      </c>
      <c r="L792">
        <v>688</v>
      </c>
      <c r="M792">
        <v>1</v>
      </c>
      <c r="N792">
        <v>0</v>
      </c>
      <c r="O792">
        <v>1864</v>
      </c>
    </row>
    <row r="793" spans="1:15" x14ac:dyDescent="0.25">
      <c r="A793" t="s">
        <v>806</v>
      </c>
      <c r="B793">
        <v>417</v>
      </c>
      <c r="C793" s="1" t="str">
        <f>HYPERLINK("http://www.rosaceae.org/gb/gbrowse/malus_x_domestica/?name=MDP0000253112","MDP0000253112")</f>
        <v>MDP0000253112</v>
      </c>
      <c r="D793">
        <v>51.87</v>
      </c>
      <c r="E793">
        <v>453</v>
      </c>
      <c r="F793">
        <v>218</v>
      </c>
      <c r="G793">
        <v>47</v>
      </c>
      <c r="H793">
        <v>6</v>
      </c>
      <c r="I793">
        <v>417</v>
      </c>
      <c r="J793">
        <v>1</v>
      </c>
      <c r="K793">
        <v>40</v>
      </c>
      <c r="L793">
        <v>486</v>
      </c>
      <c r="M793">
        <v>1</v>
      </c>
      <c r="N793">
        <v>1.32282E-127</v>
      </c>
      <c r="O793">
        <v>1166</v>
      </c>
    </row>
    <row r="794" spans="1:15" x14ac:dyDescent="0.25">
      <c r="A794" t="s">
        <v>807</v>
      </c>
      <c r="B794">
        <v>699</v>
      </c>
      <c r="C794" s="1" t="str">
        <f>HYPERLINK("http://www.rosaceae.org/gb/gbrowse/malus_x_domestica/?name=MDP0000431203","MDP0000431203")</f>
        <v>MDP0000431203</v>
      </c>
      <c r="D794">
        <v>56.3</v>
      </c>
      <c r="E794">
        <v>547</v>
      </c>
      <c r="F794">
        <v>239</v>
      </c>
      <c r="G794">
        <v>25</v>
      </c>
      <c r="H794">
        <v>167</v>
      </c>
      <c r="I794">
        <v>696</v>
      </c>
      <c r="J794">
        <v>1</v>
      </c>
      <c r="K794">
        <v>164</v>
      </c>
      <c r="L794">
        <v>702</v>
      </c>
      <c r="M794">
        <v>1</v>
      </c>
      <c r="N794">
        <v>4.5099000000000003E-148</v>
      </c>
      <c r="O794">
        <v>1345</v>
      </c>
    </row>
    <row r="795" spans="1:15" x14ac:dyDescent="0.25">
      <c r="A795" t="s">
        <v>808</v>
      </c>
      <c r="B795">
        <v>255</v>
      </c>
      <c r="C795" s="1" t="str">
        <f>HYPERLINK("http://www.rosaceae.org/gb/gbrowse/malus_x_domestica/?name=MDP0000351717","MDP0000351717")</f>
        <v>MDP0000351717</v>
      </c>
      <c r="D795">
        <v>75</v>
      </c>
      <c r="E795">
        <v>240</v>
      </c>
      <c r="F795">
        <v>60</v>
      </c>
      <c r="G795">
        <v>31</v>
      </c>
      <c r="H795">
        <v>1</v>
      </c>
      <c r="I795">
        <v>240</v>
      </c>
      <c r="J795">
        <v>1</v>
      </c>
      <c r="K795">
        <v>1</v>
      </c>
      <c r="L795">
        <v>209</v>
      </c>
      <c r="M795">
        <v>1</v>
      </c>
      <c r="N795">
        <v>3.6325699999999999E-96</v>
      </c>
      <c r="O795">
        <v>892</v>
      </c>
    </row>
    <row r="796" spans="1:15" x14ac:dyDescent="0.25">
      <c r="A796" t="s">
        <v>809</v>
      </c>
      <c r="B796">
        <v>341</v>
      </c>
      <c r="C796" s="1" t="str">
        <f>HYPERLINK("http://www.rosaceae.org/gb/gbrowse/malus_x_domestica/?name=MDP0000210492","MDP0000210492")</f>
        <v>MDP0000210492</v>
      </c>
      <c r="D796">
        <v>84.28</v>
      </c>
      <c r="E796">
        <v>140</v>
      </c>
      <c r="F796">
        <v>22</v>
      </c>
      <c r="G796">
        <v>0</v>
      </c>
      <c r="H796">
        <v>202</v>
      </c>
      <c r="I796">
        <v>341</v>
      </c>
      <c r="J796">
        <v>1</v>
      </c>
      <c r="K796">
        <v>1</v>
      </c>
      <c r="L796">
        <v>140</v>
      </c>
      <c r="M796">
        <v>1</v>
      </c>
      <c r="N796">
        <v>3.4117300000000003E-63</v>
      </c>
      <c r="O796">
        <v>610</v>
      </c>
    </row>
    <row r="797" spans="1:15" x14ac:dyDescent="0.25">
      <c r="A797" t="s">
        <v>810</v>
      </c>
      <c r="B797">
        <v>538</v>
      </c>
      <c r="C797" s="1" t="str">
        <f>HYPERLINK("http://www.rosaceae.org/gb/gbrowse/malus_x_domestica/?name=MDP0000255567","MDP0000255567")</f>
        <v>MDP0000255567</v>
      </c>
      <c r="D797">
        <v>34.479999999999997</v>
      </c>
      <c r="E797">
        <v>116</v>
      </c>
      <c r="F797">
        <v>76</v>
      </c>
      <c r="G797">
        <v>7</v>
      </c>
      <c r="H797">
        <v>330</v>
      </c>
      <c r="I797">
        <v>440</v>
      </c>
      <c r="J797">
        <v>1</v>
      </c>
      <c r="K797">
        <v>635</v>
      </c>
      <c r="L797">
        <v>748</v>
      </c>
      <c r="M797">
        <v>1</v>
      </c>
      <c r="N797">
        <v>1.5252E-8</v>
      </c>
      <c r="O797">
        <v>140</v>
      </c>
    </row>
    <row r="798" spans="1:15" x14ac:dyDescent="0.25">
      <c r="A798" t="s">
        <v>811</v>
      </c>
      <c r="B798">
        <v>344</v>
      </c>
      <c r="C798" s="1" t="str">
        <f>HYPERLINK("http://www.rosaceae.org/gb/gbrowse/malus_x_domestica/?name=MDP0000147218","MDP0000147218")</f>
        <v>MDP0000147218</v>
      </c>
      <c r="D798">
        <v>54.06</v>
      </c>
      <c r="E798">
        <v>357</v>
      </c>
      <c r="F798">
        <v>164</v>
      </c>
      <c r="G798">
        <v>26</v>
      </c>
      <c r="H798">
        <v>1</v>
      </c>
      <c r="I798">
        <v>333</v>
      </c>
      <c r="J798">
        <v>1</v>
      </c>
      <c r="K798">
        <v>1</v>
      </c>
      <c r="L798">
        <v>355</v>
      </c>
      <c r="M798">
        <v>1</v>
      </c>
      <c r="N798">
        <v>3.6688600000000002E-86</v>
      </c>
      <c r="O798">
        <v>808</v>
      </c>
    </row>
    <row r="799" spans="1:15" x14ac:dyDescent="0.25">
      <c r="A799" t="s">
        <v>812</v>
      </c>
      <c r="B799">
        <v>535</v>
      </c>
      <c r="C799" s="1" t="str">
        <f>HYPERLINK("http://www.rosaceae.org/gb/gbrowse/malus_x_domestica/?name=MDP0000231072","MDP0000231072")</f>
        <v>MDP0000231072</v>
      </c>
      <c r="D799">
        <v>40.299999999999997</v>
      </c>
      <c r="E799">
        <v>454</v>
      </c>
      <c r="F799">
        <v>271</v>
      </c>
      <c r="G799">
        <v>59</v>
      </c>
      <c r="H799">
        <v>21</v>
      </c>
      <c r="I799">
        <v>446</v>
      </c>
      <c r="J799">
        <v>1</v>
      </c>
      <c r="K799">
        <v>4</v>
      </c>
      <c r="L799">
        <v>426</v>
      </c>
      <c r="M799">
        <v>1</v>
      </c>
      <c r="N799">
        <v>5.7412499999999999E-74</v>
      </c>
      <c r="O799">
        <v>705</v>
      </c>
    </row>
    <row r="800" spans="1:15" x14ac:dyDescent="0.25">
      <c r="A800" t="s">
        <v>813</v>
      </c>
      <c r="B800">
        <v>671</v>
      </c>
      <c r="C800" s="1" t="str">
        <f>HYPERLINK("http://www.rosaceae.org/gb/gbrowse/malus_x_domestica/?name=MDP0000302504","MDP0000302504")</f>
        <v>MDP0000302504</v>
      </c>
      <c r="D800">
        <v>80.459999999999994</v>
      </c>
      <c r="E800">
        <v>645</v>
      </c>
      <c r="F800">
        <v>126</v>
      </c>
      <c r="G800">
        <v>1</v>
      </c>
      <c r="H800">
        <v>28</v>
      </c>
      <c r="I800">
        <v>671</v>
      </c>
      <c r="J800">
        <v>1</v>
      </c>
      <c r="K800">
        <v>31</v>
      </c>
      <c r="L800">
        <v>675</v>
      </c>
      <c r="M800">
        <v>1</v>
      </c>
      <c r="N800">
        <v>0</v>
      </c>
      <c r="O800">
        <v>2719</v>
      </c>
    </row>
    <row r="801" spans="1:15" x14ac:dyDescent="0.25">
      <c r="A801" t="s">
        <v>814</v>
      </c>
      <c r="B801">
        <v>606</v>
      </c>
      <c r="C801" s="1" t="str">
        <f>HYPERLINK("http://www.rosaceae.org/gb/gbrowse/malus_x_domestica/?name=MDP0000159547","MDP0000159547")</f>
        <v>MDP0000159547</v>
      </c>
      <c r="D801">
        <v>83.28</v>
      </c>
      <c r="E801">
        <v>323</v>
      </c>
      <c r="F801">
        <v>54</v>
      </c>
      <c r="G801">
        <v>1</v>
      </c>
      <c r="H801">
        <v>284</v>
      </c>
      <c r="I801">
        <v>606</v>
      </c>
      <c r="J801">
        <v>1</v>
      </c>
      <c r="K801">
        <v>349</v>
      </c>
      <c r="L801">
        <v>670</v>
      </c>
      <c r="M801">
        <v>1</v>
      </c>
      <c r="N801">
        <v>5.1508799999999998E-153</v>
      </c>
      <c r="O801">
        <v>1387</v>
      </c>
    </row>
    <row r="802" spans="1:15" x14ac:dyDescent="0.25">
      <c r="A802" t="s">
        <v>815</v>
      </c>
      <c r="B802">
        <v>867</v>
      </c>
      <c r="C802" s="1" t="str">
        <f>HYPERLINK("http://www.rosaceae.org/gb/gbrowse/malus_x_domestica/?name=MDP0000266661","MDP0000266661")</f>
        <v>MDP0000266661</v>
      </c>
      <c r="D802">
        <v>58.79</v>
      </c>
      <c r="E802">
        <v>881</v>
      </c>
      <c r="F802">
        <v>363</v>
      </c>
      <c r="G802">
        <v>138</v>
      </c>
      <c r="H802">
        <v>1</v>
      </c>
      <c r="I802">
        <v>825</v>
      </c>
      <c r="J802">
        <v>1</v>
      </c>
      <c r="K802">
        <v>393</v>
      </c>
      <c r="L802">
        <v>1191</v>
      </c>
      <c r="M802">
        <v>1</v>
      </c>
      <c r="N802">
        <v>0</v>
      </c>
      <c r="O802">
        <v>2350</v>
      </c>
    </row>
    <row r="803" spans="1:15" x14ac:dyDescent="0.25">
      <c r="A803" t="s">
        <v>816</v>
      </c>
      <c r="B803">
        <v>364</v>
      </c>
      <c r="C803" s="1" t="str">
        <f>HYPERLINK("http://www.rosaceae.org/gb/gbrowse/malus_x_domestica/?name=MDP0000208493","MDP0000208493")</f>
        <v>MDP0000208493</v>
      </c>
      <c r="D803">
        <v>68.22</v>
      </c>
      <c r="E803">
        <v>192</v>
      </c>
      <c r="F803">
        <v>61</v>
      </c>
      <c r="G803">
        <v>3</v>
      </c>
      <c r="H803">
        <v>172</v>
      </c>
      <c r="I803">
        <v>363</v>
      </c>
      <c r="J803">
        <v>1</v>
      </c>
      <c r="K803">
        <v>281</v>
      </c>
      <c r="L803">
        <v>469</v>
      </c>
      <c r="M803">
        <v>1</v>
      </c>
      <c r="N803">
        <v>8.9535800000000001E-79</v>
      </c>
      <c r="O803">
        <v>744</v>
      </c>
    </row>
    <row r="804" spans="1:15" x14ac:dyDescent="0.25">
      <c r="A804" t="s">
        <v>817</v>
      </c>
      <c r="B804">
        <v>386</v>
      </c>
      <c r="C804" s="1" t="str">
        <f>HYPERLINK("http://www.rosaceae.org/gb/gbrowse/malus_x_domestica/?name=MDP0000203733","MDP0000203733")</f>
        <v>MDP0000203733</v>
      </c>
      <c r="D804">
        <v>68.400000000000006</v>
      </c>
      <c r="E804">
        <v>345</v>
      </c>
      <c r="F804">
        <v>109</v>
      </c>
      <c r="G804">
        <v>4</v>
      </c>
      <c r="H804">
        <v>46</v>
      </c>
      <c r="I804">
        <v>386</v>
      </c>
      <c r="J804">
        <v>1</v>
      </c>
      <c r="K804">
        <v>47</v>
      </c>
      <c r="L804">
        <v>391</v>
      </c>
      <c r="M804">
        <v>1</v>
      </c>
      <c r="N804">
        <v>5.8891900000000001E-136</v>
      </c>
      <c r="O804">
        <v>1238</v>
      </c>
    </row>
    <row r="805" spans="1:15" x14ac:dyDescent="0.25">
      <c r="A805" t="s">
        <v>818</v>
      </c>
      <c r="B805">
        <v>155</v>
      </c>
      <c r="C805" s="1" t="str">
        <f>HYPERLINK("http://www.rosaceae.org/gb/gbrowse/malus_x_domestica/?name=MDP0000219819","MDP0000219819")</f>
        <v>MDP0000219819</v>
      </c>
      <c r="D805">
        <v>54.89</v>
      </c>
      <c r="E805">
        <v>184</v>
      </c>
      <c r="F805">
        <v>83</v>
      </c>
      <c r="G805">
        <v>36</v>
      </c>
      <c r="H805">
        <v>8</v>
      </c>
      <c r="I805">
        <v>155</v>
      </c>
      <c r="J805">
        <v>1</v>
      </c>
      <c r="K805">
        <v>7</v>
      </c>
      <c r="L805">
        <v>190</v>
      </c>
      <c r="M805">
        <v>1</v>
      </c>
      <c r="N805">
        <v>1.26339E-45</v>
      </c>
      <c r="O805">
        <v>453</v>
      </c>
    </row>
    <row r="806" spans="1:15" x14ac:dyDescent="0.25">
      <c r="A806" t="s">
        <v>819</v>
      </c>
      <c r="B806">
        <v>218</v>
      </c>
      <c r="C806" s="1" t="str">
        <f>HYPERLINK("http://www.rosaceae.org/gb/gbrowse/malus_x_domestica/?name=MDP0000429067","MDP0000429067")</f>
        <v>MDP0000429067</v>
      </c>
      <c r="D806">
        <v>66.66</v>
      </c>
      <c r="E806">
        <v>213</v>
      </c>
      <c r="F806">
        <v>71</v>
      </c>
      <c r="G806">
        <v>15</v>
      </c>
      <c r="H806">
        <v>19</v>
      </c>
      <c r="I806">
        <v>218</v>
      </c>
      <c r="J806">
        <v>1</v>
      </c>
      <c r="K806">
        <v>18</v>
      </c>
      <c r="L806">
        <v>228</v>
      </c>
      <c r="M806">
        <v>1</v>
      </c>
      <c r="N806">
        <v>2.9935900000000001E-72</v>
      </c>
      <c r="O806">
        <v>685</v>
      </c>
    </row>
    <row r="807" spans="1:15" x14ac:dyDescent="0.25">
      <c r="A807" t="s">
        <v>820</v>
      </c>
      <c r="B807">
        <v>593</v>
      </c>
      <c r="C807" s="1" t="str">
        <f>HYPERLINK("http://www.rosaceae.org/gb/gbrowse/malus_x_domestica/?name=MDP0000286390","MDP0000286390")</f>
        <v>MDP0000286390</v>
      </c>
      <c r="D807">
        <v>78.41</v>
      </c>
      <c r="E807">
        <v>593</v>
      </c>
      <c r="F807">
        <v>128</v>
      </c>
      <c r="G807">
        <v>3</v>
      </c>
      <c r="H807">
        <v>1</v>
      </c>
      <c r="I807">
        <v>593</v>
      </c>
      <c r="J807">
        <v>1</v>
      </c>
      <c r="K807">
        <v>1</v>
      </c>
      <c r="L807">
        <v>590</v>
      </c>
      <c r="M807">
        <v>1</v>
      </c>
      <c r="N807">
        <v>0</v>
      </c>
      <c r="O807">
        <v>2473</v>
      </c>
    </row>
    <row r="808" spans="1:15" x14ac:dyDescent="0.25">
      <c r="A808" t="s">
        <v>821</v>
      </c>
      <c r="B808">
        <v>681</v>
      </c>
      <c r="C808" s="1" t="str">
        <f>HYPERLINK("http://www.rosaceae.org/gb/gbrowse/malus_x_domestica/?name=MDP0000276411","MDP0000276411")</f>
        <v>MDP0000276411</v>
      </c>
      <c r="D808">
        <v>75.040000000000006</v>
      </c>
      <c r="E808">
        <v>541</v>
      </c>
      <c r="F808">
        <v>135</v>
      </c>
      <c r="G808">
        <v>33</v>
      </c>
      <c r="H808">
        <v>151</v>
      </c>
      <c r="I808">
        <v>665</v>
      </c>
      <c r="J808">
        <v>1</v>
      </c>
      <c r="K808">
        <v>6</v>
      </c>
      <c r="L808">
        <v>539</v>
      </c>
      <c r="M808">
        <v>1</v>
      </c>
      <c r="N808">
        <v>0</v>
      </c>
      <c r="O808">
        <v>2058</v>
      </c>
    </row>
    <row r="809" spans="1:15" x14ac:dyDescent="0.25">
      <c r="A809" t="s">
        <v>822</v>
      </c>
      <c r="B809">
        <v>354</v>
      </c>
      <c r="C809" s="1" t="str">
        <f>HYPERLINK("http://www.rosaceae.org/gb/gbrowse/malus_x_domestica/?name=MDP0000751780","MDP0000751780")</f>
        <v>MDP0000751780</v>
      </c>
      <c r="D809">
        <v>43.22</v>
      </c>
      <c r="E809">
        <v>310</v>
      </c>
      <c r="F809">
        <v>176</v>
      </c>
      <c r="G809">
        <v>15</v>
      </c>
      <c r="H809">
        <v>45</v>
      </c>
      <c r="I809">
        <v>353</v>
      </c>
      <c r="J809">
        <v>1</v>
      </c>
      <c r="K809">
        <v>15</v>
      </c>
      <c r="L809">
        <v>310</v>
      </c>
      <c r="M809">
        <v>1</v>
      </c>
      <c r="N809">
        <v>3.1166900000000001E-72</v>
      </c>
      <c r="O809">
        <v>688</v>
      </c>
    </row>
    <row r="810" spans="1:15" x14ac:dyDescent="0.25">
      <c r="A810" t="s">
        <v>823</v>
      </c>
      <c r="B810">
        <v>184</v>
      </c>
      <c r="C810" s="1" t="str">
        <f>HYPERLINK("http://www.rosaceae.org/gb/gbrowse/malus_x_domestica/?name=MDP0000808291","MDP0000808291")</f>
        <v>MDP0000808291</v>
      </c>
      <c r="D810">
        <v>73.45</v>
      </c>
      <c r="E810">
        <v>162</v>
      </c>
      <c r="F810">
        <v>43</v>
      </c>
      <c r="G810">
        <v>0</v>
      </c>
      <c r="H810">
        <v>23</v>
      </c>
      <c r="I810">
        <v>184</v>
      </c>
      <c r="J810">
        <v>1</v>
      </c>
      <c r="K810">
        <v>22</v>
      </c>
      <c r="L810">
        <v>183</v>
      </c>
      <c r="M810">
        <v>1</v>
      </c>
      <c r="N810">
        <v>1.4302200000000001E-68</v>
      </c>
      <c r="O810">
        <v>652</v>
      </c>
    </row>
    <row r="811" spans="1:15" x14ac:dyDescent="0.25">
      <c r="A811" t="s">
        <v>824</v>
      </c>
      <c r="B811">
        <v>1114</v>
      </c>
      <c r="C811" s="1" t="str">
        <f>HYPERLINK("http://www.rosaceae.org/gb/gbrowse/malus_x_domestica/?name=MDP0000320950","MDP0000320950")</f>
        <v>MDP0000320950</v>
      </c>
      <c r="D811">
        <v>81.319999999999993</v>
      </c>
      <c r="E811">
        <v>1012</v>
      </c>
      <c r="F811">
        <v>189</v>
      </c>
      <c r="G811">
        <v>17</v>
      </c>
      <c r="H811">
        <v>1</v>
      </c>
      <c r="I811">
        <v>1010</v>
      </c>
      <c r="J811">
        <v>1</v>
      </c>
      <c r="K811">
        <v>1</v>
      </c>
      <c r="L811">
        <v>997</v>
      </c>
      <c r="M811">
        <v>1</v>
      </c>
      <c r="N811">
        <v>0</v>
      </c>
      <c r="O811">
        <v>4366</v>
      </c>
    </row>
    <row r="812" spans="1:15" x14ac:dyDescent="0.25">
      <c r="A812" t="s">
        <v>825</v>
      </c>
      <c r="B812">
        <v>1156</v>
      </c>
      <c r="C812" s="1" t="str">
        <f>HYPERLINK("http://www.rosaceae.org/gb/gbrowse/malus_x_domestica/?name=MDP0000202156","MDP0000202156")</f>
        <v>MDP0000202156</v>
      </c>
      <c r="D812">
        <v>75.959999999999994</v>
      </c>
      <c r="E812">
        <v>416</v>
      </c>
      <c r="F812">
        <v>100</v>
      </c>
      <c r="G812">
        <v>10</v>
      </c>
      <c r="H812">
        <v>1</v>
      </c>
      <c r="I812">
        <v>409</v>
      </c>
      <c r="J812">
        <v>1</v>
      </c>
      <c r="K812">
        <v>1</v>
      </c>
      <c r="L812">
        <v>413</v>
      </c>
      <c r="M812">
        <v>1</v>
      </c>
      <c r="N812">
        <v>0</v>
      </c>
      <c r="O812">
        <v>1690</v>
      </c>
    </row>
    <row r="813" spans="1:15" x14ac:dyDescent="0.25">
      <c r="A813" t="s">
        <v>826</v>
      </c>
      <c r="B813">
        <v>527</v>
      </c>
      <c r="C813" s="1" t="str">
        <f>HYPERLINK("http://www.rosaceae.org/gb/gbrowse/malus_x_domestica/?name=MDP0000029865","MDP0000029865")</f>
        <v>MDP0000029865</v>
      </c>
      <c r="D813">
        <v>89.01</v>
      </c>
      <c r="E813">
        <v>528</v>
      </c>
      <c r="F813">
        <v>58</v>
      </c>
      <c r="G813">
        <v>1</v>
      </c>
      <c r="H813">
        <v>1</v>
      </c>
      <c r="I813">
        <v>527</v>
      </c>
      <c r="J813">
        <v>1</v>
      </c>
      <c r="K813">
        <v>1</v>
      </c>
      <c r="L813">
        <v>528</v>
      </c>
      <c r="M813">
        <v>1</v>
      </c>
      <c r="N813">
        <v>0</v>
      </c>
      <c r="O813">
        <v>2521</v>
      </c>
    </row>
    <row r="814" spans="1:15" x14ac:dyDescent="0.25">
      <c r="A814" t="s">
        <v>827</v>
      </c>
      <c r="B814">
        <v>276</v>
      </c>
      <c r="C814" s="1" t="str">
        <f>HYPERLINK("http://www.rosaceae.org/gb/gbrowse/malus_x_domestica/?name=MDP0000128463","MDP0000128463")</f>
        <v>MDP0000128463</v>
      </c>
      <c r="D814">
        <v>89.47</v>
      </c>
      <c r="E814">
        <v>95</v>
      </c>
      <c r="F814">
        <v>10</v>
      </c>
      <c r="G814">
        <v>0</v>
      </c>
      <c r="H814">
        <v>182</v>
      </c>
      <c r="I814">
        <v>276</v>
      </c>
      <c r="J814">
        <v>1</v>
      </c>
      <c r="K814">
        <v>236</v>
      </c>
      <c r="L814">
        <v>330</v>
      </c>
      <c r="M814">
        <v>1</v>
      </c>
      <c r="N814">
        <v>2.6204899999999999E-48</v>
      </c>
      <c r="O814">
        <v>480</v>
      </c>
    </row>
    <row r="815" spans="1:15" x14ac:dyDescent="0.25">
      <c r="A815" t="s">
        <v>828</v>
      </c>
      <c r="B815">
        <v>284</v>
      </c>
      <c r="C815" s="1" t="str">
        <f>HYPERLINK("http://www.rosaceae.org/gb/gbrowse/malus_x_domestica/?name=MDP0000759437","MDP0000759437")</f>
        <v>MDP0000759437</v>
      </c>
      <c r="D815">
        <v>60.26</v>
      </c>
      <c r="E815">
        <v>302</v>
      </c>
      <c r="F815">
        <v>120</v>
      </c>
      <c r="G815">
        <v>19</v>
      </c>
      <c r="H815">
        <v>1</v>
      </c>
      <c r="I815">
        <v>284</v>
      </c>
      <c r="J815">
        <v>1</v>
      </c>
      <c r="K815">
        <v>33</v>
      </c>
      <c r="L815">
        <v>333</v>
      </c>
      <c r="M815">
        <v>1</v>
      </c>
      <c r="N815">
        <v>1.8452499999999999E-89</v>
      </c>
      <c r="O815">
        <v>835</v>
      </c>
    </row>
    <row r="816" spans="1:15" x14ac:dyDescent="0.25">
      <c r="A816" t="s">
        <v>829</v>
      </c>
      <c r="B816">
        <v>447</v>
      </c>
      <c r="C816" s="1" t="str">
        <f>HYPERLINK("http://www.rosaceae.org/gb/gbrowse/malus_x_domestica/?name=MDP0000138698","MDP0000138698")</f>
        <v>MDP0000138698</v>
      </c>
      <c r="D816">
        <v>31.81</v>
      </c>
      <c r="E816">
        <v>308</v>
      </c>
      <c r="F816">
        <v>210</v>
      </c>
      <c r="G816">
        <v>34</v>
      </c>
      <c r="H816">
        <v>173</v>
      </c>
      <c r="I816">
        <v>447</v>
      </c>
      <c r="J816">
        <v>1</v>
      </c>
      <c r="K816">
        <v>106</v>
      </c>
      <c r="L816">
        <v>412</v>
      </c>
      <c r="M816">
        <v>1</v>
      </c>
      <c r="N816">
        <v>9.91077E-37</v>
      </c>
      <c r="O816">
        <v>383</v>
      </c>
    </row>
    <row r="817" spans="1:15" x14ac:dyDescent="0.25">
      <c r="A817" t="s">
        <v>830</v>
      </c>
      <c r="B817">
        <v>425</v>
      </c>
      <c r="C817" s="1" t="str">
        <f>HYPERLINK("http://www.rosaceae.org/gb/gbrowse/malus_x_domestica/?name=MDP0000250047","MDP0000250047")</f>
        <v>MDP0000250047</v>
      </c>
      <c r="D817">
        <v>64.64</v>
      </c>
      <c r="E817">
        <v>461</v>
      </c>
      <c r="F817">
        <v>163</v>
      </c>
      <c r="G817">
        <v>42</v>
      </c>
      <c r="H817">
        <v>1</v>
      </c>
      <c r="I817">
        <v>420</v>
      </c>
      <c r="J817">
        <v>1</v>
      </c>
      <c r="K817">
        <v>50</v>
      </c>
      <c r="L817">
        <v>509</v>
      </c>
      <c r="M817">
        <v>1</v>
      </c>
      <c r="N817">
        <v>1.1223799999999999E-177</v>
      </c>
      <c r="O817">
        <v>1598</v>
      </c>
    </row>
    <row r="818" spans="1:15" x14ac:dyDescent="0.25">
      <c r="A818" t="s">
        <v>831</v>
      </c>
      <c r="B818">
        <v>760</v>
      </c>
      <c r="C818" s="1" t="str">
        <f>HYPERLINK("http://www.rosaceae.org/gb/gbrowse/malus_x_domestica/?name=MDP0000277016","MDP0000277016")</f>
        <v>MDP0000277016</v>
      </c>
      <c r="D818">
        <v>70.17</v>
      </c>
      <c r="E818">
        <v>627</v>
      </c>
      <c r="F818">
        <v>187</v>
      </c>
      <c r="G818">
        <v>18</v>
      </c>
      <c r="H818">
        <v>125</v>
      </c>
      <c r="I818">
        <v>749</v>
      </c>
      <c r="J818">
        <v>1</v>
      </c>
      <c r="K818">
        <v>4</v>
      </c>
      <c r="L818">
        <v>614</v>
      </c>
      <c r="M818">
        <v>1</v>
      </c>
      <c r="N818">
        <v>0</v>
      </c>
      <c r="O818">
        <v>2147</v>
      </c>
    </row>
    <row r="819" spans="1:15" x14ac:dyDescent="0.25">
      <c r="A819" t="s">
        <v>832</v>
      </c>
      <c r="B819">
        <v>145</v>
      </c>
      <c r="C819" s="1" t="str">
        <f>HYPERLINK("http://www.rosaceae.org/gb/gbrowse/malus_x_domestica/?name=MDP0000208161","MDP0000208161")</f>
        <v>MDP0000208161</v>
      </c>
      <c r="D819">
        <v>81.569999999999993</v>
      </c>
      <c r="E819">
        <v>38</v>
      </c>
      <c r="F819">
        <v>7</v>
      </c>
      <c r="G819">
        <v>0</v>
      </c>
      <c r="H819">
        <v>84</v>
      </c>
      <c r="I819">
        <v>121</v>
      </c>
      <c r="J819">
        <v>1</v>
      </c>
      <c r="K819">
        <v>260</v>
      </c>
      <c r="L819">
        <v>297</v>
      </c>
      <c r="M819">
        <v>1</v>
      </c>
      <c r="N819">
        <v>1.1726199999999999E-13</v>
      </c>
      <c r="O819">
        <v>177</v>
      </c>
    </row>
    <row r="820" spans="1:15" x14ac:dyDescent="0.25">
      <c r="A820" t="s">
        <v>833</v>
      </c>
      <c r="B820">
        <v>631</v>
      </c>
      <c r="C820" s="1" t="str">
        <f>HYPERLINK("http://www.rosaceae.org/gb/gbrowse/malus_x_domestica/?name=MDP0000300215","MDP0000300215")</f>
        <v>MDP0000300215</v>
      </c>
      <c r="D820">
        <v>36.979999999999997</v>
      </c>
      <c r="E820">
        <v>73</v>
      </c>
      <c r="F820">
        <v>46</v>
      </c>
      <c r="G820">
        <v>0</v>
      </c>
      <c r="H820">
        <v>557</v>
      </c>
      <c r="I820">
        <v>629</v>
      </c>
      <c r="J820">
        <v>1</v>
      </c>
      <c r="K820">
        <v>5</v>
      </c>
      <c r="L820">
        <v>77</v>
      </c>
      <c r="M820">
        <v>1</v>
      </c>
      <c r="N820">
        <v>8.8032700000000002E-8</v>
      </c>
      <c r="O820">
        <v>135</v>
      </c>
    </row>
    <row r="821" spans="1:15" x14ac:dyDescent="0.25">
      <c r="A821" t="s">
        <v>834</v>
      </c>
      <c r="B821">
        <v>679</v>
      </c>
      <c r="C821" s="1" t="str">
        <f>HYPERLINK("http://www.rosaceae.org/gb/gbrowse/malus_x_domestica/?name=MDP0000311133","MDP0000311133")</f>
        <v>MDP0000311133</v>
      </c>
      <c r="D821">
        <v>62.11</v>
      </c>
      <c r="E821">
        <v>388</v>
      </c>
      <c r="F821">
        <v>147</v>
      </c>
      <c r="G821">
        <v>7</v>
      </c>
      <c r="H821">
        <v>1</v>
      </c>
      <c r="I821">
        <v>382</v>
      </c>
      <c r="J821">
        <v>1</v>
      </c>
      <c r="K821">
        <v>1</v>
      </c>
      <c r="L821">
        <v>387</v>
      </c>
      <c r="M821">
        <v>1</v>
      </c>
      <c r="N821">
        <v>3.2987700000000001E-129</v>
      </c>
      <c r="O821">
        <v>1182</v>
      </c>
    </row>
    <row r="822" spans="1:15" x14ac:dyDescent="0.25">
      <c r="A822" t="s">
        <v>835</v>
      </c>
      <c r="B822">
        <v>367</v>
      </c>
      <c r="C822" s="1" t="str">
        <f>HYPERLINK("http://www.rosaceae.org/gb/gbrowse/malus_x_domestica/?name=MDP0000383515","MDP0000383515")</f>
        <v>MDP0000383515</v>
      </c>
      <c r="D822">
        <v>67.069999999999993</v>
      </c>
      <c r="E822">
        <v>82</v>
      </c>
      <c r="F822">
        <v>27</v>
      </c>
      <c r="G822">
        <v>3</v>
      </c>
      <c r="H822">
        <v>38</v>
      </c>
      <c r="I822">
        <v>117</v>
      </c>
      <c r="J822">
        <v>1</v>
      </c>
      <c r="K822">
        <v>82</v>
      </c>
      <c r="L822">
        <v>162</v>
      </c>
      <c r="M822">
        <v>1</v>
      </c>
      <c r="N822">
        <v>1.5309700000000001E-23</v>
      </c>
      <c r="O822">
        <v>268</v>
      </c>
    </row>
    <row r="823" spans="1:15" x14ac:dyDescent="0.25">
      <c r="A823" t="s">
        <v>836</v>
      </c>
      <c r="B823">
        <v>129</v>
      </c>
      <c r="C823" s="1" t="str">
        <f>HYPERLINK("http://www.rosaceae.org/gb/gbrowse/malus_x_domestica/?name=MDP0000157225","MDP0000157225")</f>
        <v>MDP0000157225</v>
      </c>
      <c r="D823">
        <v>40.619999999999997</v>
      </c>
      <c r="E823">
        <v>96</v>
      </c>
      <c r="F823">
        <v>57</v>
      </c>
      <c r="G823">
        <v>6</v>
      </c>
      <c r="H823">
        <v>3</v>
      </c>
      <c r="I823">
        <v>92</v>
      </c>
      <c r="J823">
        <v>1</v>
      </c>
      <c r="K823">
        <v>688</v>
      </c>
      <c r="L823">
        <v>783</v>
      </c>
      <c r="M823">
        <v>1</v>
      </c>
      <c r="N823">
        <v>6.7638900000000004E-13</v>
      </c>
      <c r="O823">
        <v>169</v>
      </c>
    </row>
    <row r="824" spans="1:15" x14ac:dyDescent="0.25">
      <c r="A824" t="s">
        <v>837</v>
      </c>
      <c r="B824">
        <v>256</v>
      </c>
      <c r="C824" s="1" t="str">
        <f>HYPERLINK("http://www.rosaceae.org/gb/gbrowse/malus_x_domestica/?name=MDP0000852699","MDP0000852699")</f>
        <v>MDP0000852699</v>
      </c>
      <c r="D824">
        <v>44.23</v>
      </c>
      <c r="E824">
        <v>156</v>
      </c>
      <c r="F824">
        <v>87</v>
      </c>
      <c r="G824">
        <v>21</v>
      </c>
      <c r="H824">
        <v>31</v>
      </c>
      <c r="I824">
        <v>166</v>
      </c>
      <c r="J824">
        <v>1</v>
      </c>
      <c r="K824">
        <v>106</v>
      </c>
      <c r="L824">
        <v>260</v>
      </c>
      <c r="M824">
        <v>1</v>
      </c>
      <c r="N824">
        <v>8.5178000000000008E-28</v>
      </c>
      <c r="O824">
        <v>303</v>
      </c>
    </row>
    <row r="825" spans="1:15" x14ac:dyDescent="0.25">
      <c r="A825" t="s">
        <v>838</v>
      </c>
      <c r="B825">
        <v>645</v>
      </c>
      <c r="C825" s="1" t="str">
        <f>HYPERLINK("http://www.rosaceae.org/gb/gbrowse/malus_x_domestica/?name=MDP0000262878","MDP0000262878")</f>
        <v>MDP0000262878</v>
      </c>
      <c r="D825">
        <v>39.75</v>
      </c>
      <c r="E825">
        <v>742</v>
      </c>
      <c r="F825">
        <v>447</v>
      </c>
      <c r="G825">
        <v>151</v>
      </c>
      <c r="H825">
        <v>1</v>
      </c>
      <c r="I825">
        <v>599</v>
      </c>
      <c r="J825">
        <v>1</v>
      </c>
      <c r="K825">
        <v>1</v>
      </c>
      <c r="L825">
        <v>734</v>
      </c>
      <c r="M825">
        <v>1</v>
      </c>
      <c r="N825">
        <v>1.5469400000000001E-111</v>
      </c>
      <c r="O825">
        <v>1029</v>
      </c>
    </row>
    <row r="826" spans="1:15" x14ac:dyDescent="0.25">
      <c r="A826" t="s">
        <v>839</v>
      </c>
      <c r="B826">
        <v>1040</v>
      </c>
      <c r="C826" s="1" t="str">
        <f>HYPERLINK("http://www.rosaceae.org/gb/gbrowse/malus_x_domestica/?name=MDP0000196107","MDP0000196107")</f>
        <v>MDP0000196107</v>
      </c>
      <c r="D826">
        <v>63.71</v>
      </c>
      <c r="E826">
        <v>350</v>
      </c>
      <c r="F826">
        <v>127</v>
      </c>
      <c r="G826">
        <v>5</v>
      </c>
      <c r="H826">
        <v>647</v>
      </c>
      <c r="I826">
        <v>994</v>
      </c>
      <c r="J826">
        <v>1</v>
      </c>
      <c r="K826">
        <v>32</v>
      </c>
      <c r="L826">
        <v>378</v>
      </c>
      <c r="M826">
        <v>1</v>
      </c>
      <c r="N826">
        <v>1.0707999999999999E-111</v>
      </c>
      <c r="O826">
        <v>1033</v>
      </c>
    </row>
    <row r="827" spans="1:15" x14ac:dyDescent="0.25">
      <c r="A827" t="s">
        <v>840</v>
      </c>
      <c r="B827">
        <v>346</v>
      </c>
      <c r="C827" s="1" t="str">
        <f>HYPERLINK("http://www.rosaceae.org/gb/gbrowse/malus_x_domestica/?name=MDP0000155100","MDP0000155100")</f>
        <v>MDP0000155100</v>
      </c>
      <c r="D827">
        <v>51.79</v>
      </c>
      <c r="E827">
        <v>363</v>
      </c>
      <c r="F827">
        <v>175</v>
      </c>
      <c r="G827">
        <v>44</v>
      </c>
      <c r="H827">
        <v>13</v>
      </c>
      <c r="I827">
        <v>342</v>
      </c>
      <c r="J827">
        <v>1</v>
      </c>
      <c r="K827">
        <v>15</v>
      </c>
      <c r="L827">
        <v>366</v>
      </c>
      <c r="M827">
        <v>1</v>
      </c>
      <c r="N827">
        <v>1.25945E-90</v>
      </c>
      <c r="O827">
        <v>846</v>
      </c>
    </row>
    <row r="828" spans="1:15" x14ac:dyDescent="0.25">
      <c r="A828" t="s">
        <v>841</v>
      </c>
      <c r="B828">
        <v>250</v>
      </c>
      <c r="C828" s="1" t="str">
        <f>HYPERLINK("http://www.rosaceae.org/gb/gbrowse/malus_x_domestica/?name=MDP0000581417","MDP0000581417")</f>
        <v>MDP0000581417</v>
      </c>
      <c r="D828">
        <v>75.510000000000005</v>
      </c>
      <c r="E828">
        <v>98</v>
      </c>
      <c r="F828">
        <v>24</v>
      </c>
      <c r="G828">
        <v>0</v>
      </c>
      <c r="H828">
        <v>153</v>
      </c>
      <c r="I828">
        <v>250</v>
      </c>
      <c r="J828">
        <v>1</v>
      </c>
      <c r="K828">
        <v>635</v>
      </c>
      <c r="L828">
        <v>732</v>
      </c>
      <c r="M828">
        <v>1</v>
      </c>
      <c r="N828">
        <v>9.8744100000000009E-44</v>
      </c>
      <c r="O828">
        <v>440</v>
      </c>
    </row>
    <row r="829" spans="1:15" x14ac:dyDescent="0.25">
      <c r="A829" t="s">
        <v>842</v>
      </c>
      <c r="B829">
        <v>549</v>
      </c>
      <c r="C829" s="1" t="str">
        <f>HYPERLINK("http://www.rosaceae.org/gb/gbrowse/malus_x_domestica/?name=MDP0000919183","MDP0000919183")</f>
        <v>MDP0000919183</v>
      </c>
      <c r="D829">
        <v>83.81</v>
      </c>
      <c r="E829">
        <v>550</v>
      </c>
      <c r="F829">
        <v>89</v>
      </c>
      <c r="G829">
        <v>1</v>
      </c>
      <c r="H829">
        <v>1</v>
      </c>
      <c r="I829">
        <v>549</v>
      </c>
      <c r="J829">
        <v>1</v>
      </c>
      <c r="K829">
        <v>1</v>
      </c>
      <c r="L829">
        <v>550</v>
      </c>
      <c r="M829">
        <v>1</v>
      </c>
      <c r="N829">
        <v>0</v>
      </c>
      <c r="O829">
        <v>2471</v>
      </c>
    </row>
    <row r="830" spans="1:15" x14ac:dyDescent="0.25">
      <c r="A830" t="s">
        <v>843</v>
      </c>
      <c r="B830">
        <v>242</v>
      </c>
      <c r="C830" s="1" t="str">
        <f>HYPERLINK("http://www.rosaceae.org/gb/gbrowse/malus_x_domestica/?name=MDP0000274921","MDP0000274921")</f>
        <v>MDP0000274921</v>
      </c>
      <c r="D830">
        <v>76.87</v>
      </c>
      <c r="E830">
        <v>160</v>
      </c>
      <c r="F830">
        <v>37</v>
      </c>
      <c r="G830">
        <v>0</v>
      </c>
      <c r="H830">
        <v>81</v>
      </c>
      <c r="I830">
        <v>240</v>
      </c>
      <c r="J830">
        <v>1</v>
      </c>
      <c r="K830">
        <v>120</v>
      </c>
      <c r="L830">
        <v>279</v>
      </c>
      <c r="M830">
        <v>1</v>
      </c>
      <c r="N830">
        <v>2.3027600000000001E-69</v>
      </c>
      <c r="O830">
        <v>661</v>
      </c>
    </row>
    <row r="831" spans="1:15" x14ac:dyDescent="0.25">
      <c r="A831" t="s">
        <v>844</v>
      </c>
      <c r="B831">
        <v>987</v>
      </c>
      <c r="C831" s="1" t="str">
        <f>HYPERLINK("http://www.rosaceae.org/gb/gbrowse/malus_x_domestica/?name=MDP0000307053","MDP0000307053")</f>
        <v>MDP0000307053</v>
      </c>
      <c r="D831">
        <v>40.159999999999997</v>
      </c>
      <c r="E831">
        <v>493</v>
      </c>
      <c r="F831">
        <v>295</v>
      </c>
      <c r="G831">
        <v>57</v>
      </c>
      <c r="H831">
        <v>527</v>
      </c>
      <c r="I831">
        <v>975</v>
      </c>
      <c r="J831">
        <v>1</v>
      </c>
      <c r="K831">
        <v>176</v>
      </c>
      <c r="L831">
        <v>655</v>
      </c>
      <c r="M831">
        <v>1</v>
      </c>
      <c r="N831">
        <v>5.2516500000000003E-81</v>
      </c>
      <c r="O831">
        <v>768</v>
      </c>
    </row>
    <row r="832" spans="1:15" x14ac:dyDescent="0.25">
      <c r="A832" t="s">
        <v>845</v>
      </c>
      <c r="B832">
        <v>542</v>
      </c>
      <c r="C832" s="1" t="str">
        <f>HYPERLINK("http://www.rosaceae.org/gb/gbrowse/malus_x_domestica/?name=MDP0000190407","MDP0000190407")</f>
        <v>MDP0000190407</v>
      </c>
      <c r="D832">
        <v>36.049999999999997</v>
      </c>
      <c r="E832">
        <v>441</v>
      </c>
      <c r="F832">
        <v>282</v>
      </c>
      <c r="G832">
        <v>79</v>
      </c>
      <c r="H832">
        <v>89</v>
      </c>
      <c r="I832">
        <v>490</v>
      </c>
      <c r="J832">
        <v>1</v>
      </c>
      <c r="K832">
        <v>114</v>
      </c>
      <c r="L832">
        <v>514</v>
      </c>
      <c r="M832">
        <v>1</v>
      </c>
      <c r="N832">
        <v>2.7898399999999999E-58</v>
      </c>
      <c r="O832">
        <v>569</v>
      </c>
    </row>
    <row r="833" spans="1:15" x14ac:dyDescent="0.25">
      <c r="A833" t="s">
        <v>846</v>
      </c>
      <c r="B833">
        <v>181</v>
      </c>
      <c r="C833" s="1" t="str">
        <f>HYPERLINK("http://www.rosaceae.org/gb/gbrowse/malus_x_domestica/?name=MDP0000682034","MDP0000682034")</f>
        <v>MDP0000682034</v>
      </c>
      <c r="D833">
        <v>56.9</v>
      </c>
      <c r="E833">
        <v>181</v>
      </c>
      <c r="F833">
        <v>78</v>
      </c>
      <c r="G833">
        <v>2</v>
      </c>
      <c r="H833">
        <v>1</v>
      </c>
      <c r="I833">
        <v>181</v>
      </c>
      <c r="J833">
        <v>1</v>
      </c>
      <c r="K833">
        <v>92</v>
      </c>
      <c r="L833">
        <v>270</v>
      </c>
      <c r="M833">
        <v>1</v>
      </c>
      <c r="N833">
        <v>6.1756800000000004E-53</v>
      </c>
      <c r="O833">
        <v>517</v>
      </c>
    </row>
    <row r="834" spans="1:15" x14ac:dyDescent="0.25">
      <c r="A834" t="s">
        <v>847</v>
      </c>
      <c r="B834">
        <v>1243</v>
      </c>
      <c r="C834" s="1" t="str">
        <f>HYPERLINK("http://www.rosaceae.org/gb/gbrowse/malus_x_domestica/?name=MDP0000478394","MDP0000478394")</f>
        <v>MDP0000478394</v>
      </c>
      <c r="D834">
        <v>63.59</v>
      </c>
      <c r="E834">
        <v>1019</v>
      </c>
      <c r="F834">
        <v>371</v>
      </c>
      <c r="G834">
        <v>78</v>
      </c>
      <c r="H834">
        <v>228</v>
      </c>
      <c r="I834">
        <v>1243</v>
      </c>
      <c r="J834">
        <v>1</v>
      </c>
      <c r="K834">
        <v>1</v>
      </c>
      <c r="L834">
        <v>944</v>
      </c>
      <c r="M834">
        <v>1</v>
      </c>
      <c r="N834">
        <v>0</v>
      </c>
      <c r="O834">
        <v>3114</v>
      </c>
    </row>
    <row r="835" spans="1:15" x14ac:dyDescent="0.25">
      <c r="A835" t="s">
        <v>848</v>
      </c>
      <c r="B835">
        <v>95</v>
      </c>
      <c r="C835" s="1" t="str">
        <f>HYPERLINK("http://www.rosaceae.org/gb/gbrowse/malus_x_domestica/?name=MDP0000602560","MDP0000602560")</f>
        <v>MDP0000602560</v>
      </c>
      <c r="D835">
        <v>90.69</v>
      </c>
      <c r="E835">
        <v>86</v>
      </c>
      <c r="F835">
        <v>8</v>
      </c>
      <c r="G835">
        <v>1</v>
      </c>
      <c r="H835">
        <v>1</v>
      </c>
      <c r="I835">
        <v>86</v>
      </c>
      <c r="J835">
        <v>1</v>
      </c>
      <c r="K835">
        <v>1</v>
      </c>
      <c r="L835">
        <v>85</v>
      </c>
      <c r="M835">
        <v>1</v>
      </c>
      <c r="N835">
        <v>1.71182E-40</v>
      </c>
      <c r="O835">
        <v>407</v>
      </c>
    </row>
    <row r="836" spans="1:15" x14ac:dyDescent="0.25">
      <c r="A836" t="s">
        <v>849</v>
      </c>
      <c r="B836">
        <v>480</v>
      </c>
      <c r="C836" s="1" t="str">
        <f>HYPERLINK("http://www.rosaceae.org/gb/gbrowse/malus_x_domestica/?name=MDP0000237182","MDP0000237182")</f>
        <v>MDP0000237182</v>
      </c>
      <c r="D836">
        <v>29.47</v>
      </c>
      <c r="E836">
        <v>302</v>
      </c>
      <c r="F836">
        <v>213</v>
      </c>
      <c r="G836">
        <v>9</v>
      </c>
      <c r="H836">
        <v>46</v>
      </c>
      <c r="I836">
        <v>342</v>
      </c>
      <c r="J836">
        <v>1</v>
      </c>
      <c r="K836">
        <v>221</v>
      </c>
      <c r="L836">
        <v>518</v>
      </c>
      <c r="M836">
        <v>1</v>
      </c>
      <c r="N836">
        <v>3.46856E-35</v>
      </c>
      <c r="O836">
        <v>370</v>
      </c>
    </row>
    <row r="837" spans="1:15" x14ac:dyDescent="0.25">
      <c r="A837" t="s">
        <v>850</v>
      </c>
      <c r="B837">
        <v>133</v>
      </c>
      <c r="C837" s="1" t="str">
        <f>HYPERLINK("http://www.rosaceae.org/gb/gbrowse/malus_x_domestica/?name=MDP0000124834","MDP0000124834")</f>
        <v>MDP0000124834</v>
      </c>
      <c r="D837">
        <v>78.31</v>
      </c>
      <c r="E837">
        <v>83</v>
      </c>
      <c r="F837">
        <v>18</v>
      </c>
      <c r="G837">
        <v>0</v>
      </c>
      <c r="H837">
        <v>51</v>
      </c>
      <c r="I837">
        <v>133</v>
      </c>
      <c r="J837">
        <v>1</v>
      </c>
      <c r="K837">
        <v>288</v>
      </c>
      <c r="L837">
        <v>370</v>
      </c>
      <c r="M837">
        <v>1</v>
      </c>
      <c r="N837">
        <v>4.2728399999999998E-34</v>
      </c>
      <c r="O837">
        <v>352</v>
      </c>
    </row>
    <row r="838" spans="1:15" x14ac:dyDescent="0.25">
      <c r="A838" t="s">
        <v>851</v>
      </c>
      <c r="B838">
        <v>691</v>
      </c>
      <c r="C838" s="1" t="str">
        <f>HYPERLINK("http://www.rosaceae.org/gb/gbrowse/malus_x_domestica/?name=MDP0000162123","MDP0000162123")</f>
        <v>MDP0000162123</v>
      </c>
      <c r="D838">
        <v>54.44</v>
      </c>
      <c r="E838">
        <v>360</v>
      </c>
      <c r="F838">
        <v>164</v>
      </c>
      <c r="G838">
        <v>64</v>
      </c>
      <c r="H838">
        <v>253</v>
      </c>
      <c r="I838">
        <v>568</v>
      </c>
      <c r="J838">
        <v>1</v>
      </c>
      <c r="K838">
        <v>387</v>
      </c>
      <c r="L838">
        <v>726</v>
      </c>
      <c r="M838">
        <v>1</v>
      </c>
      <c r="N838">
        <v>2.7319599999999998E-103</v>
      </c>
      <c r="O838">
        <v>959</v>
      </c>
    </row>
    <row r="839" spans="1:15" x14ac:dyDescent="0.25">
      <c r="A839" t="s">
        <v>852</v>
      </c>
      <c r="B839">
        <v>484</v>
      </c>
      <c r="C839" s="1" t="str">
        <f>HYPERLINK("http://www.rosaceae.org/gb/gbrowse/malus_x_domestica/?name=MDP0000170851","MDP0000170851")</f>
        <v>MDP0000170851</v>
      </c>
      <c r="D839">
        <v>38.44</v>
      </c>
      <c r="E839">
        <v>398</v>
      </c>
      <c r="F839">
        <v>245</v>
      </c>
      <c r="G839">
        <v>73</v>
      </c>
      <c r="H839">
        <v>38</v>
      </c>
      <c r="I839">
        <v>405</v>
      </c>
      <c r="J839">
        <v>1</v>
      </c>
      <c r="K839">
        <v>42</v>
      </c>
      <c r="L839">
        <v>396</v>
      </c>
      <c r="M839">
        <v>1</v>
      </c>
      <c r="N839">
        <v>2.4332999999999999E-57</v>
      </c>
      <c r="O839">
        <v>561</v>
      </c>
    </row>
    <row r="840" spans="1:15" x14ac:dyDescent="0.25">
      <c r="A840" t="s">
        <v>853</v>
      </c>
      <c r="B840">
        <v>477</v>
      </c>
      <c r="C840" s="1" t="str">
        <f>HYPERLINK("http://www.rosaceae.org/gb/gbrowse/malus_x_domestica/?name=MDP0000936441","MDP0000936441")</f>
        <v>MDP0000936441</v>
      </c>
      <c r="D840">
        <v>55.15</v>
      </c>
      <c r="E840">
        <v>165</v>
      </c>
      <c r="F840">
        <v>74</v>
      </c>
      <c r="G840">
        <v>5</v>
      </c>
      <c r="H840">
        <v>15</v>
      </c>
      <c r="I840">
        <v>178</v>
      </c>
      <c r="J840">
        <v>1</v>
      </c>
      <c r="K840">
        <v>11</v>
      </c>
      <c r="L840">
        <v>171</v>
      </c>
      <c r="M840">
        <v>1</v>
      </c>
      <c r="N840">
        <v>8.6618E-45</v>
      </c>
      <c r="O840">
        <v>453</v>
      </c>
    </row>
    <row r="841" spans="1:15" x14ac:dyDescent="0.25">
      <c r="A841" t="s">
        <v>854</v>
      </c>
      <c r="B841">
        <v>380</v>
      </c>
      <c r="C841" s="1" t="str">
        <f>HYPERLINK("http://www.rosaceae.org/gb/gbrowse/malus_x_domestica/?name=MDP0000186140","MDP0000186140")</f>
        <v>MDP0000186140</v>
      </c>
      <c r="D841">
        <v>68.67</v>
      </c>
      <c r="E841">
        <v>415</v>
      </c>
      <c r="F841">
        <v>130</v>
      </c>
      <c r="G841">
        <v>60</v>
      </c>
      <c r="H841">
        <v>24</v>
      </c>
      <c r="I841">
        <v>380</v>
      </c>
      <c r="J841">
        <v>1</v>
      </c>
      <c r="K841">
        <v>85</v>
      </c>
      <c r="L841">
        <v>497</v>
      </c>
      <c r="M841">
        <v>1</v>
      </c>
      <c r="N841">
        <v>4.2178999999999997E-148</v>
      </c>
      <c r="O841">
        <v>1342</v>
      </c>
    </row>
    <row r="842" spans="1:15" x14ac:dyDescent="0.25">
      <c r="A842" t="s">
        <v>855</v>
      </c>
      <c r="B842">
        <v>320</v>
      </c>
      <c r="C842" s="1" t="str">
        <f>HYPERLINK("http://www.rosaceae.org/gb/gbrowse/malus_x_domestica/?name=MDP0000774306","MDP0000774306")</f>
        <v>MDP0000774306</v>
      </c>
      <c r="D842">
        <v>44.62</v>
      </c>
      <c r="E842">
        <v>316</v>
      </c>
      <c r="F842">
        <v>175</v>
      </c>
      <c r="G842">
        <v>14</v>
      </c>
      <c r="H842">
        <v>12</v>
      </c>
      <c r="I842">
        <v>317</v>
      </c>
      <c r="J842">
        <v>1</v>
      </c>
      <c r="K842">
        <v>1</v>
      </c>
      <c r="L842">
        <v>312</v>
      </c>
      <c r="M842">
        <v>1</v>
      </c>
      <c r="N842">
        <v>3.03608E-59</v>
      </c>
      <c r="O842">
        <v>575</v>
      </c>
    </row>
    <row r="843" spans="1:15" x14ac:dyDescent="0.25">
      <c r="A843" t="s">
        <v>856</v>
      </c>
      <c r="B843">
        <v>539</v>
      </c>
      <c r="C843" s="1" t="str">
        <f>HYPERLINK("http://www.rosaceae.org/gb/gbrowse/malus_x_domestica/?name=MDP0000143780","MDP0000143780")</f>
        <v>MDP0000143780</v>
      </c>
      <c r="D843">
        <v>66.23</v>
      </c>
      <c r="E843">
        <v>545</v>
      </c>
      <c r="F843">
        <v>184</v>
      </c>
      <c r="G843">
        <v>33</v>
      </c>
      <c r="H843">
        <v>17</v>
      </c>
      <c r="I843">
        <v>538</v>
      </c>
      <c r="J843">
        <v>1</v>
      </c>
      <c r="K843">
        <v>36</v>
      </c>
      <c r="L843">
        <v>570</v>
      </c>
      <c r="M843">
        <v>1</v>
      </c>
      <c r="N843">
        <v>0</v>
      </c>
      <c r="O843">
        <v>1888</v>
      </c>
    </row>
    <row r="844" spans="1:15" x14ac:dyDescent="0.25">
      <c r="A844" t="s">
        <v>857</v>
      </c>
      <c r="B844">
        <v>285</v>
      </c>
      <c r="C844" s="1" t="str">
        <f>HYPERLINK("http://www.rosaceae.org/gb/gbrowse/malus_x_domestica/?name=MDP0000486277","MDP0000486277")</f>
        <v>MDP0000486277</v>
      </c>
      <c r="D844">
        <v>75.180000000000007</v>
      </c>
      <c r="E844">
        <v>266</v>
      </c>
      <c r="F844">
        <v>66</v>
      </c>
      <c r="G844">
        <v>22</v>
      </c>
      <c r="H844">
        <v>18</v>
      </c>
      <c r="I844">
        <v>278</v>
      </c>
      <c r="J844">
        <v>1</v>
      </c>
      <c r="K844">
        <v>24</v>
      </c>
      <c r="L844">
        <v>272</v>
      </c>
      <c r="M844">
        <v>1</v>
      </c>
      <c r="N844">
        <v>1.68533E-104</v>
      </c>
      <c r="O844">
        <v>965</v>
      </c>
    </row>
    <row r="845" spans="1:15" x14ac:dyDescent="0.25">
      <c r="A845" t="s">
        <v>858</v>
      </c>
      <c r="B845">
        <v>912</v>
      </c>
      <c r="C845" s="1" t="str">
        <f>HYPERLINK("http://www.rosaceae.org/gb/gbrowse/malus_x_domestica/?name=MDP0000852747","MDP0000852747")</f>
        <v>MDP0000852747</v>
      </c>
      <c r="D845">
        <v>75.27</v>
      </c>
      <c r="E845">
        <v>898</v>
      </c>
      <c r="F845">
        <v>222</v>
      </c>
      <c r="G845">
        <v>31</v>
      </c>
      <c r="H845">
        <v>40</v>
      </c>
      <c r="I845">
        <v>912</v>
      </c>
      <c r="J845">
        <v>1</v>
      </c>
      <c r="K845">
        <v>1</v>
      </c>
      <c r="L845">
        <v>892</v>
      </c>
      <c r="M845">
        <v>1</v>
      </c>
      <c r="N845">
        <v>0</v>
      </c>
      <c r="O845">
        <v>3489</v>
      </c>
    </row>
    <row r="846" spans="1:15" x14ac:dyDescent="0.25">
      <c r="A846" t="s">
        <v>859</v>
      </c>
      <c r="B846">
        <v>166</v>
      </c>
      <c r="C846" s="1" t="str">
        <f>HYPERLINK("http://www.rosaceae.org/gb/gbrowse/malus_x_domestica/?name=MDP0000124699","MDP0000124699")</f>
        <v>MDP0000124699</v>
      </c>
      <c r="D846">
        <v>55.38</v>
      </c>
      <c r="E846">
        <v>65</v>
      </c>
      <c r="F846">
        <v>29</v>
      </c>
      <c r="G846">
        <v>0</v>
      </c>
      <c r="H846">
        <v>79</v>
      </c>
      <c r="I846">
        <v>143</v>
      </c>
      <c r="J846">
        <v>1</v>
      </c>
      <c r="K846">
        <v>86</v>
      </c>
      <c r="L846">
        <v>150</v>
      </c>
      <c r="M846">
        <v>1</v>
      </c>
      <c r="N846">
        <v>8.6105100000000003E-17</v>
      </c>
      <c r="O846">
        <v>205</v>
      </c>
    </row>
    <row r="847" spans="1:15" x14ac:dyDescent="0.25">
      <c r="A847" t="s">
        <v>860</v>
      </c>
      <c r="B847">
        <v>687</v>
      </c>
      <c r="C847" s="1" t="str">
        <f>HYPERLINK("http://www.rosaceae.org/gb/gbrowse/malus_x_domestica/?name=MDP0000172222","MDP0000172222")</f>
        <v>MDP0000172222</v>
      </c>
      <c r="D847">
        <v>85.25</v>
      </c>
      <c r="E847">
        <v>468</v>
      </c>
      <c r="F847">
        <v>69</v>
      </c>
      <c r="G847">
        <v>5</v>
      </c>
      <c r="H847">
        <v>23</v>
      </c>
      <c r="I847">
        <v>488</v>
      </c>
      <c r="J847">
        <v>1</v>
      </c>
      <c r="K847">
        <v>51</v>
      </c>
      <c r="L847">
        <v>515</v>
      </c>
      <c r="M847">
        <v>1</v>
      </c>
      <c r="N847">
        <v>0</v>
      </c>
      <c r="O847">
        <v>2115</v>
      </c>
    </row>
    <row r="848" spans="1:15" x14ac:dyDescent="0.25">
      <c r="A848" t="s">
        <v>861</v>
      </c>
      <c r="B848">
        <v>338</v>
      </c>
      <c r="C848" s="1" t="str">
        <f>HYPERLINK("http://www.rosaceae.org/gb/gbrowse/malus_x_domestica/?name=MDP0000889625","MDP0000889625")</f>
        <v>MDP0000889625</v>
      </c>
      <c r="D848">
        <v>66.209999999999994</v>
      </c>
      <c r="E848">
        <v>293</v>
      </c>
      <c r="F848">
        <v>99</v>
      </c>
      <c r="G848">
        <v>11</v>
      </c>
      <c r="H848">
        <v>29</v>
      </c>
      <c r="I848">
        <v>314</v>
      </c>
      <c r="J848">
        <v>1</v>
      </c>
      <c r="K848">
        <v>28</v>
      </c>
      <c r="L848">
        <v>316</v>
      </c>
      <c r="M848">
        <v>1</v>
      </c>
      <c r="N848">
        <v>1.33945E-107</v>
      </c>
      <c r="O848">
        <v>993</v>
      </c>
    </row>
    <row r="849" spans="1:15" x14ac:dyDescent="0.25">
      <c r="A849" t="s">
        <v>862</v>
      </c>
      <c r="B849">
        <v>371</v>
      </c>
      <c r="C849" s="1" t="str">
        <f>HYPERLINK("http://www.rosaceae.org/gb/gbrowse/malus_x_domestica/?name=MDP0000289123","MDP0000289123")</f>
        <v>MDP0000289123</v>
      </c>
      <c r="D849">
        <v>31.42</v>
      </c>
      <c r="E849">
        <v>420</v>
      </c>
      <c r="F849">
        <v>288</v>
      </c>
      <c r="G849">
        <v>97</v>
      </c>
      <c r="H849">
        <v>4</v>
      </c>
      <c r="I849">
        <v>341</v>
      </c>
      <c r="J849">
        <v>1</v>
      </c>
      <c r="K849">
        <v>10</v>
      </c>
      <c r="L849">
        <v>414</v>
      </c>
      <c r="M849">
        <v>1</v>
      </c>
      <c r="N849">
        <v>5.6944199999999999E-34</v>
      </c>
      <c r="O849">
        <v>358</v>
      </c>
    </row>
    <row r="850" spans="1:15" x14ac:dyDescent="0.25">
      <c r="A850" t="s">
        <v>863</v>
      </c>
      <c r="B850">
        <v>511</v>
      </c>
      <c r="C850" s="1" t="str">
        <f>HYPERLINK("http://www.rosaceae.org/gb/gbrowse/malus_x_domestica/?name=MDP0000193219","MDP0000193219")</f>
        <v>MDP0000193219</v>
      </c>
      <c r="D850">
        <v>55.81</v>
      </c>
      <c r="E850">
        <v>550</v>
      </c>
      <c r="F850">
        <v>243</v>
      </c>
      <c r="G850">
        <v>66</v>
      </c>
      <c r="H850">
        <v>1</v>
      </c>
      <c r="I850">
        <v>509</v>
      </c>
      <c r="J850">
        <v>1</v>
      </c>
      <c r="K850">
        <v>1</v>
      </c>
      <c r="L850">
        <v>525</v>
      </c>
      <c r="M850">
        <v>1</v>
      </c>
      <c r="N850">
        <v>4.6769300000000003E-150</v>
      </c>
      <c r="O850">
        <v>1361</v>
      </c>
    </row>
    <row r="851" spans="1:15" x14ac:dyDescent="0.25">
      <c r="A851" t="s">
        <v>864</v>
      </c>
      <c r="B851">
        <v>301</v>
      </c>
      <c r="C851" s="1" t="str">
        <f>HYPERLINK("http://www.rosaceae.org/gb/gbrowse/malus_x_domestica/?name=MDP0000131454","MDP0000131454")</f>
        <v>MDP0000131454</v>
      </c>
      <c r="D851">
        <v>56.87</v>
      </c>
      <c r="E851">
        <v>262</v>
      </c>
      <c r="F851">
        <v>113</v>
      </c>
      <c r="G851">
        <v>10</v>
      </c>
      <c r="H851">
        <v>34</v>
      </c>
      <c r="I851">
        <v>290</v>
      </c>
      <c r="J851">
        <v>1</v>
      </c>
      <c r="K851">
        <v>44</v>
      </c>
      <c r="L851">
        <v>300</v>
      </c>
      <c r="M851">
        <v>1</v>
      </c>
      <c r="N851">
        <v>3.3999300000000002E-72</v>
      </c>
      <c r="O851">
        <v>687</v>
      </c>
    </row>
    <row r="852" spans="1:15" x14ac:dyDescent="0.25">
      <c r="A852" t="s">
        <v>865</v>
      </c>
      <c r="B852">
        <v>609</v>
      </c>
      <c r="C852" s="1" t="str">
        <f>HYPERLINK("http://www.rosaceae.org/gb/gbrowse/malus_x_domestica/?name=MDP0000241635","MDP0000241635")</f>
        <v>MDP0000241635</v>
      </c>
      <c r="D852">
        <v>27.69</v>
      </c>
      <c r="E852">
        <v>408</v>
      </c>
      <c r="F852">
        <v>295</v>
      </c>
      <c r="G852">
        <v>63</v>
      </c>
      <c r="H852">
        <v>244</v>
      </c>
      <c r="I852">
        <v>598</v>
      </c>
      <c r="J852">
        <v>1</v>
      </c>
      <c r="K852">
        <v>66</v>
      </c>
      <c r="L852">
        <v>463</v>
      </c>
      <c r="M852">
        <v>1</v>
      </c>
      <c r="N852">
        <v>2.8213500000000001E-34</v>
      </c>
      <c r="O852">
        <v>363</v>
      </c>
    </row>
    <row r="853" spans="1:15" x14ac:dyDescent="0.25">
      <c r="A853" t="s">
        <v>866</v>
      </c>
      <c r="B853">
        <v>430</v>
      </c>
      <c r="C853" s="1" t="str">
        <f>HYPERLINK("http://www.rosaceae.org/gb/gbrowse/malus_x_domestica/?name=MDP0000172014","MDP0000172014")</f>
        <v>MDP0000172014</v>
      </c>
      <c r="D853">
        <v>58.46</v>
      </c>
      <c r="E853">
        <v>431</v>
      </c>
      <c r="F853">
        <v>179</v>
      </c>
      <c r="G853">
        <v>33</v>
      </c>
      <c r="H853">
        <v>26</v>
      </c>
      <c r="I853">
        <v>428</v>
      </c>
      <c r="J853">
        <v>1</v>
      </c>
      <c r="K853">
        <v>52</v>
      </c>
      <c r="L853">
        <v>477</v>
      </c>
      <c r="M853">
        <v>1</v>
      </c>
      <c r="N853">
        <v>5.6563200000000004E-149</v>
      </c>
      <c r="O853">
        <v>1351</v>
      </c>
    </row>
    <row r="854" spans="1:15" x14ac:dyDescent="0.25">
      <c r="A854" t="s">
        <v>867</v>
      </c>
      <c r="B854">
        <v>613</v>
      </c>
      <c r="C854" s="1" t="str">
        <f>HYPERLINK("http://www.rosaceae.org/gb/gbrowse/malus_x_domestica/?name=MDP0000254215","MDP0000254215")</f>
        <v>MDP0000254215</v>
      </c>
      <c r="D854">
        <v>57.68</v>
      </c>
      <c r="E854">
        <v>397</v>
      </c>
      <c r="F854">
        <v>168</v>
      </c>
      <c r="G854">
        <v>32</v>
      </c>
      <c r="H854">
        <v>27</v>
      </c>
      <c r="I854">
        <v>391</v>
      </c>
      <c r="J854">
        <v>1</v>
      </c>
      <c r="K854">
        <v>91</v>
      </c>
      <c r="L854">
        <v>487</v>
      </c>
      <c r="M854">
        <v>1</v>
      </c>
      <c r="N854">
        <v>1.3918299999999999E-110</v>
      </c>
      <c r="O854">
        <v>1021</v>
      </c>
    </row>
    <row r="855" spans="1:15" x14ac:dyDescent="0.25">
      <c r="A855" t="s">
        <v>868</v>
      </c>
      <c r="B855">
        <v>566</v>
      </c>
      <c r="C855" s="1" t="str">
        <f>HYPERLINK("http://www.rosaceae.org/gb/gbrowse/malus_x_domestica/?name=MDP0000219163","MDP0000219163")</f>
        <v>MDP0000219163</v>
      </c>
      <c r="D855">
        <v>59.19</v>
      </c>
      <c r="E855">
        <v>593</v>
      </c>
      <c r="F855">
        <v>242</v>
      </c>
      <c r="G855">
        <v>43</v>
      </c>
      <c r="H855">
        <v>1</v>
      </c>
      <c r="I855">
        <v>565</v>
      </c>
      <c r="J855">
        <v>1</v>
      </c>
      <c r="K855">
        <v>1</v>
      </c>
      <c r="L855">
        <v>578</v>
      </c>
      <c r="M855">
        <v>1</v>
      </c>
      <c r="N855">
        <v>0</v>
      </c>
      <c r="O855">
        <v>1696</v>
      </c>
    </row>
    <row r="856" spans="1:15" x14ac:dyDescent="0.25">
      <c r="A856" t="s">
        <v>869</v>
      </c>
      <c r="B856">
        <v>431</v>
      </c>
      <c r="C856" s="1" t="str">
        <f>HYPERLINK("http://www.rosaceae.org/gb/gbrowse/malus_x_domestica/?name=MDP0000187064","MDP0000187064")</f>
        <v>MDP0000187064</v>
      </c>
      <c r="D856">
        <v>37.090000000000003</v>
      </c>
      <c r="E856">
        <v>275</v>
      </c>
      <c r="F856">
        <v>173</v>
      </c>
      <c r="G856">
        <v>43</v>
      </c>
      <c r="H856">
        <v>160</v>
      </c>
      <c r="I856">
        <v>403</v>
      </c>
      <c r="J856">
        <v>1</v>
      </c>
      <c r="K856">
        <v>15</v>
      </c>
      <c r="L856">
        <v>277</v>
      </c>
      <c r="M856">
        <v>1</v>
      </c>
      <c r="N856">
        <v>2.46244E-35</v>
      </c>
      <c r="O856">
        <v>371</v>
      </c>
    </row>
    <row r="857" spans="1:15" x14ac:dyDescent="0.25">
      <c r="A857" t="s">
        <v>870</v>
      </c>
      <c r="B857">
        <v>663</v>
      </c>
      <c r="C857" s="1" t="str">
        <f>HYPERLINK("http://www.rosaceae.org/gb/gbrowse/malus_x_domestica/?name=MDP0000196319","MDP0000196319")</f>
        <v>MDP0000196319</v>
      </c>
      <c r="D857">
        <v>68.2</v>
      </c>
      <c r="E857">
        <v>692</v>
      </c>
      <c r="F857">
        <v>220</v>
      </c>
      <c r="G857">
        <v>35</v>
      </c>
      <c r="H857">
        <v>1</v>
      </c>
      <c r="I857">
        <v>661</v>
      </c>
      <c r="J857">
        <v>1</v>
      </c>
      <c r="K857">
        <v>72</v>
      </c>
      <c r="L857">
        <v>759</v>
      </c>
      <c r="M857">
        <v>1</v>
      </c>
      <c r="N857">
        <v>0</v>
      </c>
      <c r="O857">
        <v>2258</v>
      </c>
    </row>
    <row r="858" spans="1:15" x14ac:dyDescent="0.25">
      <c r="A858" t="s">
        <v>871</v>
      </c>
      <c r="B858">
        <v>305</v>
      </c>
      <c r="C858" s="1" t="str">
        <f>HYPERLINK("http://www.rosaceae.org/gb/gbrowse/malus_x_domestica/?name=MDP0000890198","MDP0000890198")</f>
        <v>MDP0000890198</v>
      </c>
      <c r="D858">
        <v>50</v>
      </c>
      <c r="E858">
        <v>100</v>
      </c>
      <c r="F858">
        <v>50</v>
      </c>
      <c r="G858">
        <v>1</v>
      </c>
      <c r="H858">
        <v>16</v>
      </c>
      <c r="I858">
        <v>115</v>
      </c>
      <c r="J858">
        <v>1</v>
      </c>
      <c r="K858">
        <v>11</v>
      </c>
      <c r="L858">
        <v>109</v>
      </c>
      <c r="M858">
        <v>1</v>
      </c>
      <c r="N858">
        <v>1.5531300000000001E-23</v>
      </c>
      <c r="O858">
        <v>267</v>
      </c>
    </row>
    <row r="859" spans="1:15" x14ac:dyDescent="0.25">
      <c r="A859" t="s">
        <v>872</v>
      </c>
      <c r="B859">
        <v>203</v>
      </c>
      <c r="C859" s="1" t="str">
        <f>HYPERLINK("http://www.rosaceae.org/gb/gbrowse/malus_x_domestica/?name=MDP0000166405","MDP0000166405")</f>
        <v>MDP0000166405</v>
      </c>
      <c r="D859">
        <v>56.54</v>
      </c>
      <c r="E859">
        <v>191</v>
      </c>
      <c r="F859">
        <v>83</v>
      </c>
      <c r="G859">
        <v>45</v>
      </c>
      <c r="H859">
        <v>37</v>
      </c>
      <c r="I859">
        <v>182</v>
      </c>
      <c r="J859">
        <v>1</v>
      </c>
      <c r="K859">
        <v>278</v>
      </c>
      <c r="L859">
        <v>468</v>
      </c>
      <c r="M859">
        <v>1</v>
      </c>
      <c r="N859">
        <v>3.1771299999999999E-52</v>
      </c>
      <c r="O859">
        <v>512</v>
      </c>
    </row>
    <row r="860" spans="1:15" x14ac:dyDescent="0.25">
      <c r="A860" t="s">
        <v>873</v>
      </c>
      <c r="B860">
        <v>638</v>
      </c>
      <c r="C860" s="1" t="str">
        <f>HYPERLINK("http://www.rosaceae.org/gb/gbrowse/malus_x_domestica/?name=MDP0000268951","MDP0000268951")</f>
        <v>MDP0000268951</v>
      </c>
      <c r="D860">
        <v>71.959999999999994</v>
      </c>
      <c r="E860">
        <v>535</v>
      </c>
      <c r="F860">
        <v>150</v>
      </c>
      <c r="G860">
        <v>39</v>
      </c>
      <c r="H860">
        <v>6</v>
      </c>
      <c r="I860">
        <v>509</v>
      </c>
      <c r="J860">
        <v>1</v>
      </c>
      <c r="K860">
        <v>15</v>
      </c>
      <c r="L860">
        <v>541</v>
      </c>
      <c r="M860">
        <v>1</v>
      </c>
      <c r="N860">
        <v>0</v>
      </c>
      <c r="O860">
        <v>1924</v>
      </c>
    </row>
    <row r="861" spans="1:15" x14ac:dyDescent="0.25">
      <c r="A861" t="s">
        <v>874</v>
      </c>
      <c r="B861">
        <v>174</v>
      </c>
      <c r="C861" s="1" t="str">
        <f>HYPERLINK("http://www.rosaceae.org/gb/gbrowse/malus_x_domestica/?name=MDP0000303626","MDP0000303626")</f>
        <v>MDP0000303626</v>
      </c>
      <c r="D861">
        <v>90.75</v>
      </c>
      <c r="E861">
        <v>119</v>
      </c>
      <c r="F861">
        <v>11</v>
      </c>
      <c r="G861">
        <v>0</v>
      </c>
      <c r="H861">
        <v>17</v>
      </c>
      <c r="I861">
        <v>135</v>
      </c>
      <c r="J861">
        <v>1</v>
      </c>
      <c r="K861">
        <v>4</v>
      </c>
      <c r="L861">
        <v>122</v>
      </c>
      <c r="M861">
        <v>1</v>
      </c>
      <c r="N861">
        <v>2.5144999999999998E-60</v>
      </c>
      <c r="O861">
        <v>581</v>
      </c>
    </row>
    <row r="862" spans="1:15" x14ac:dyDescent="0.25">
      <c r="A862" t="s">
        <v>875</v>
      </c>
      <c r="B862">
        <v>358</v>
      </c>
      <c r="C862" s="1" t="str">
        <f>HYPERLINK("http://www.rosaceae.org/gb/gbrowse/malus_x_domestica/?name=MDP0000296334","MDP0000296334")</f>
        <v>MDP0000296334</v>
      </c>
      <c r="D862">
        <v>59.69</v>
      </c>
      <c r="E862">
        <v>330</v>
      </c>
      <c r="F862">
        <v>133</v>
      </c>
      <c r="G862">
        <v>21</v>
      </c>
      <c r="H862">
        <v>29</v>
      </c>
      <c r="I862">
        <v>338</v>
      </c>
      <c r="J862">
        <v>1</v>
      </c>
      <c r="K862">
        <v>25</v>
      </c>
      <c r="L862">
        <v>353</v>
      </c>
      <c r="M862">
        <v>1</v>
      </c>
      <c r="N862">
        <v>4.5738199999999999E-99</v>
      </c>
      <c r="O862">
        <v>919</v>
      </c>
    </row>
    <row r="863" spans="1:15" x14ac:dyDescent="0.25">
      <c r="A863" t="s">
        <v>876</v>
      </c>
      <c r="B863">
        <v>242</v>
      </c>
      <c r="C863" s="1" t="str">
        <f>HYPERLINK("http://www.rosaceae.org/gb/gbrowse/malus_x_domestica/?name=MDP0000774306","MDP0000774306")</f>
        <v>MDP0000774306</v>
      </c>
      <c r="D863">
        <v>40.08</v>
      </c>
      <c r="E863">
        <v>227</v>
      </c>
      <c r="F863">
        <v>136</v>
      </c>
      <c r="G863">
        <v>25</v>
      </c>
      <c r="H863">
        <v>19</v>
      </c>
      <c r="I863">
        <v>222</v>
      </c>
      <c r="J863">
        <v>1</v>
      </c>
      <c r="K863">
        <v>112</v>
      </c>
      <c r="L863">
        <v>336</v>
      </c>
      <c r="M863">
        <v>1</v>
      </c>
      <c r="N863">
        <v>2.28907E-32</v>
      </c>
      <c r="O863">
        <v>342</v>
      </c>
    </row>
    <row r="864" spans="1:15" x14ac:dyDescent="0.25">
      <c r="A864" t="s">
        <v>877</v>
      </c>
      <c r="B864">
        <v>617</v>
      </c>
      <c r="C864" s="1" t="str">
        <f>HYPERLINK("http://www.rosaceae.org/gb/gbrowse/malus_x_domestica/?name=MDP0000337455","MDP0000337455")</f>
        <v>MDP0000337455</v>
      </c>
      <c r="D864">
        <v>77.03</v>
      </c>
      <c r="E864">
        <v>492</v>
      </c>
      <c r="F864">
        <v>113</v>
      </c>
      <c r="G864">
        <v>12</v>
      </c>
      <c r="H864">
        <v>129</v>
      </c>
      <c r="I864">
        <v>616</v>
      </c>
      <c r="J864">
        <v>1</v>
      </c>
      <c r="K864">
        <v>2</v>
      </c>
      <c r="L864">
        <v>485</v>
      </c>
      <c r="M864">
        <v>1</v>
      </c>
      <c r="N864">
        <v>0</v>
      </c>
      <c r="O864">
        <v>2000</v>
      </c>
    </row>
    <row r="865" spans="1:15" x14ac:dyDescent="0.25">
      <c r="A865" t="s">
        <v>878</v>
      </c>
      <c r="B865">
        <v>230</v>
      </c>
      <c r="C865" s="1" t="str">
        <f>HYPERLINK("http://www.rosaceae.org/gb/gbrowse/malus_x_domestica/?name=MDP0000214537","MDP0000214537")</f>
        <v>MDP0000214537</v>
      </c>
      <c r="D865">
        <v>70.53</v>
      </c>
      <c r="E865">
        <v>112</v>
      </c>
      <c r="F865">
        <v>33</v>
      </c>
      <c r="G865">
        <v>3</v>
      </c>
      <c r="H865">
        <v>54</v>
      </c>
      <c r="I865">
        <v>165</v>
      </c>
      <c r="J865">
        <v>1</v>
      </c>
      <c r="K865">
        <v>18</v>
      </c>
      <c r="L865">
        <v>126</v>
      </c>
      <c r="M865">
        <v>1</v>
      </c>
      <c r="N865">
        <v>1.9923E-42</v>
      </c>
      <c r="O865">
        <v>428</v>
      </c>
    </row>
    <row r="866" spans="1:15" x14ac:dyDescent="0.25">
      <c r="A866" t="s">
        <v>879</v>
      </c>
      <c r="B866">
        <v>579</v>
      </c>
      <c r="C866" s="1" t="str">
        <f>HYPERLINK("http://www.rosaceae.org/gb/gbrowse/malus_x_domestica/?name=MDP0000556834","MDP0000556834")</f>
        <v>MDP0000556834</v>
      </c>
      <c r="D866">
        <v>33.51</v>
      </c>
      <c r="E866">
        <v>185</v>
      </c>
      <c r="F866">
        <v>123</v>
      </c>
      <c r="G866">
        <v>17</v>
      </c>
      <c r="H866">
        <v>387</v>
      </c>
      <c r="I866">
        <v>570</v>
      </c>
      <c r="J866">
        <v>1</v>
      </c>
      <c r="K866">
        <v>43</v>
      </c>
      <c r="L866">
        <v>211</v>
      </c>
      <c r="M866">
        <v>1</v>
      </c>
      <c r="N866">
        <v>8.3041700000000004E-11</v>
      </c>
      <c r="O866">
        <v>160</v>
      </c>
    </row>
    <row r="867" spans="1:15" x14ac:dyDescent="0.25">
      <c r="A867" t="s">
        <v>880</v>
      </c>
      <c r="B867">
        <v>173</v>
      </c>
      <c r="C867" s="1" t="str">
        <f>HYPERLINK("http://www.rosaceae.org/gb/gbrowse/malus_x_domestica/?name=MDP0000505439","MDP0000505439")</f>
        <v>MDP0000505439</v>
      </c>
      <c r="D867">
        <v>65.31</v>
      </c>
      <c r="E867">
        <v>173</v>
      </c>
      <c r="F867">
        <v>60</v>
      </c>
      <c r="G867">
        <v>9</v>
      </c>
      <c r="H867">
        <v>1</v>
      </c>
      <c r="I867">
        <v>173</v>
      </c>
      <c r="J867">
        <v>1</v>
      </c>
      <c r="K867">
        <v>1</v>
      </c>
      <c r="L867">
        <v>164</v>
      </c>
      <c r="M867">
        <v>1</v>
      </c>
      <c r="N867">
        <v>1.2231200000000001E-55</v>
      </c>
      <c r="O867">
        <v>540</v>
      </c>
    </row>
    <row r="868" spans="1:15" x14ac:dyDescent="0.25">
      <c r="A868" t="s">
        <v>881</v>
      </c>
      <c r="B868">
        <v>714</v>
      </c>
      <c r="C868" s="1" t="str">
        <f>HYPERLINK("http://www.rosaceae.org/gb/gbrowse/malus_x_domestica/?name=MDP0000220986","MDP0000220986")</f>
        <v>MDP0000220986</v>
      </c>
      <c r="D868">
        <v>62.31</v>
      </c>
      <c r="E868">
        <v>690</v>
      </c>
      <c r="F868">
        <v>260</v>
      </c>
      <c r="G868">
        <v>34</v>
      </c>
      <c r="H868">
        <v>3</v>
      </c>
      <c r="I868">
        <v>683</v>
      </c>
      <c r="J868">
        <v>1</v>
      </c>
      <c r="K868">
        <v>1</v>
      </c>
      <c r="L868">
        <v>665</v>
      </c>
      <c r="M868">
        <v>1</v>
      </c>
      <c r="N868">
        <v>0</v>
      </c>
      <c r="O868">
        <v>2134</v>
      </c>
    </row>
    <row r="869" spans="1:15" x14ac:dyDescent="0.25">
      <c r="A869" t="s">
        <v>882</v>
      </c>
      <c r="B869">
        <v>769</v>
      </c>
      <c r="C869" s="1" t="str">
        <f>HYPERLINK("http://www.rosaceae.org/gb/gbrowse/malus_x_domestica/?name=MDP0000278321","MDP0000278321")</f>
        <v>MDP0000278321</v>
      </c>
      <c r="D869">
        <v>81.03</v>
      </c>
      <c r="E869">
        <v>406</v>
      </c>
      <c r="F869">
        <v>77</v>
      </c>
      <c r="G869">
        <v>2</v>
      </c>
      <c r="H869">
        <v>365</v>
      </c>
      <c r="I869">
        <v>769</v>
      </c>
      <c r="J869">
        <v>1</v>
      </c>
      <c r="K869">
        <v>483</v>
      </c>
      <c r="L869">
        <v>887</v>
      </c>
      <c r="M869">
        <v>1</v>
      </c>
      <c r="N869">
        <v>0</v>
      </c>
      <c r="O869">
        <v>1787</v>
      </c>
    </row>
    <row r="870" spans="1:15" x14ac:dyDescent="0.25">
      <c r="A870" t="s">
        <v>883</v>
      </c>
      <c r="B870">
        <v>480</v>
      </c>
      <c r="C870" s="1" t="str">
        <f>HYPERLINK("http://www.rosaceae.org/gb/gbrowse/malus_x_domestica/?name=MDP0000218097","MDP0000218097")</f>
        <v>MDP0000218097</v>
      </c>
      <c r="D870">
        <v>81.3</v>
      </c>
      <c r="E870">
        <v>476</v>
      </c>
      <c r="F870">
        <v>89</v>
      </c>
      <c r="G870">
        <v>0</v>
      </c>
      <c r="H870">
        <v>5</v>
      </c>
      <c r="I870">
        <v>480</v>
      </c>
      <c r="J870">
        <v>1</v>
      </c>
      <c r="K870">
        <v>12</v>
      </c>
      <c r="L870">
        <v>487</v>
      </c>
      <c r="M870">
        <v>1</v>
      </c>
      <c r="N870">
        <v>0</v>
      </c>
      <c r="O870">
        <v>2080</v>
      </c>
    </row>
    <row r="871" spans="1:15" x14ac:dyDescent="0.25">
      <c r="A871" t="s">
        <v>884</v>
      </c>
      <c r="B871">
        <v>751</v>
      </c>
      <c r="C871" s="1" t="str">
        <f>HYPERLINK("http://www.rosaceae.org/gb/gbrowse/malus_x_domestica/?name=MDP0000387137","MDP0000387137")</f>
        <v>MDP0000387137</v>
      </c>
      <c r="D871">
        <v>66.31</v>
      </c>
      <c r="E871">
        <v>668</v>
      </c>
      <c r="F871">
        <v>225</v>
      </c>
      <c r="G871">
        <v>2</v>
      </c>
      <c r="H871">
        <v>2</v>
      </c>
      <c r="I871">
        <v>667</v>
      </c>
      <c r="J871">
        <v>1</v>
      </c>
      <c r="K871">
        <v>12</v>
      </c>
      <c r="L871">
        <v>679</v>
      </c>
      <c r="M871">
        <v>1</v>
      </c>
      <c r="N871">
        <v>0</v>
      </c>
      <c r="O871">
        <v>2293</v>
      </c>
    </row>
    <row r="872" spans="1:15" x14ac:dyDescent="0.25">
      <c r="A872" t="s">
        <v>885</v>
      </c>
      <c r="B872">
        <v>1492</v>
      </c>
      <c r="C872" s="1" t="str">
        <f>HYPERLINK("http://www.rosaceae.org/gb/gbrowse/malus_x_domestica/?name=MDP0000313704","MDP0000313704")</f>
        <v>MDP0000313704</v>
      </c>
      <c r="D872">
        <v>62.82</v>
      </c>
      <c r="E872">
        <v>971</v>
      </c>
      <c r="F872">
        <v>361</v>
      </c>
      <c r="G872">
        <v>108</v>
      </c>
      <c r="H872">
        <v>3</v>
      </c>
      <c r="I872">
        <v>890</v>
      </c>
      <c r="J872">
        <v>1</v>
      </c>
      <c r="K872">
        <v>438</v>
      </c>
      <c r="L872">
        <v>1383</v>
      </c>
      <c r="M872">
        <v>1</v>
      </c>
      <c r="N872">
        <v>0</v>
      </c>
      <c r="O872">
        <v>2826</v>
      </c>
    </row>
    <row r="873" spans="1:15" x14ac:dyDescent="0.25">
      <c r="A873" t="s">
        <v>886</v>
      </c>
      <c r="B873">
        <v>281</v>
      </c>
      <c r="C873" s="1" t="str">
        <f>HYPERLINK("http://www.rosaceae.org/gb/gbrowse/malus_x_domestica/?name=MDP0000768132","MDP0000768132")</f>
        <v>MDP0000768132</v>
      </c>
      <c r="D873">
        <v>45.73</v>
      </c>
      <c r="E873">
        <v>129</v>
      </c>
      <c r="F873">
        <v>70</v>
      </c>
      <c r="G873">
        <v>18</v>
      </c>
      <c r="H873">
        <v>171</v>
      </c>
      <c r="I873">
        <v>281</v>
      </c>
      <c r="J873">
        <v>1</v>
      </c>
      <c r="K873">
        <v>30</v>
      </c>
      <c r="L873">
        <v>158</v>
      </c>
      <c r="M873">
        <v>1</v>
      </c>
      <c r="N873">
        <v>6.9132500000000005E-23</v>
      </c>
      <c r="O873">
        <v>261</v>
      </c>
    </row>
    <row r="874" spans="1:15" x14ac:dyDescent="0.25">
      <c r="A874" t="s">
        <v>887</v>
      </c>
      <c r="B874">
        <v>1513</v>
      </c>
      <c r="C874" s="1" t="str">
        <f>HYPERLINK("http://www.rosaceae.org/gb/gbrowse/malus_x_domestica/?name=MDP0000907482","MDP0000907482")</f>
        <v>MDP0000907482</v>
      </c>
      <c r="D874">
        <v>48.7</v>
      </c>
      <c r="E874">
        <v>1275</v>
      </c>
      <c r="F874">
        <v>654</v>
      </c>
      <c r="G874">
        <v>160</v>
      </c>
      <c r="H874">
        <v>28</v>
      </c>
      <c r="I874">
        <v>1213</v>
      </c>
      <c r="J874">
        <v>1</v>
      </c>
      <c r="K874">
        <v>30</v>
      </c>
      <c r="L874">
        <v>1233</v>
      </c>
      <c r="M874">
        <v>1</v>
      </c>
      <c r="N874">
        <v>0</v>
      </c>
      <c r="O874">
        <v>2536</v>
      </c>
    </row>
    <row r="875" spans="1:15" x14ac:dyDescent="0.25">
      <c r="A875" t="s">
        <v>888</v>
      </c>
      <c r="B875">
        <v>185</v>
      </c>
      <c r="C875" s="1" t="str">
        <f>HYPERLINK("http://www.rosaceae.org/gb/gbrowse/malus_x_domestica/?name=MDP0000136726","MDP0000136726")</f>
        <v>MDP0000136726</v>
      </c>
      <c r="D875">
        <v>38.630000000000003</v>
      </c>
      <c r="E875">
        <v>176</v>
      </c>
      <c r="F875">
        <v>108</v>
      </c>
      <c r="G875">
        <v>20</v>
      </c>
      <c r="H875">
        <v>1</v>
      </c>
      <c r="I875">
        <v>157</v>
      </c>
      <c r="J875">
        <v>1</v>
      </c>
      <c r="K875">
        <v>945</v>
      </c>
      <c r="L875">
        <v>1119</v>
      </c>
      <c r="M875">
        <v>1</v>
      </c>
      <c r="N875">
        <v>1.11386E-20</v>
      </c>
      <c r="O875">
        <v>239</v>
      </c>
    </row>
    <row r="876" spans="1:15" x14ac:dyDescent="0.25">
      <c r="A876" t="s">
        <v>889</v>
      </c>
      <c r="B876">
        <v>598</v>
      </c>
      <c r="C876" s="1" t="str">
        <f>HYPERLINK("http://www.rosaceae.org/gb/gbrowse/malus_x_domestica/?name=MDP0000299496","MDP0000299496")</f>
        <v>MDP0000299496</v>
      </c>
      <c r="D876">
        <v>40.83</v>
      </c>
      <c r="E876">
        <v>120</v>
      </c>
      <c r="F876">
        <v>71</v>
      </c>
      <c r="G876">
        <v>7</v>
      </c>
      <c r="H876">
        <v>225</v>
      </c>
      <c r="I876">
        <v>339</v>
      </c>
      <c r="J876">
        <v>1</v>
      </c>
      <c r="K876">
        <v>414</v>
      </c>
      <c r="L876">
        <v>531</v>
      </c>
      <c r="M876">
        <v>1</v>
      </c>
      <c r="N876">
        <v>1.3857000000000001E-21</v>
      </c>
      <c r="O876">
        <v>253</v>
      </c>
    </row>
    <row r="877" spans="1:15" x14ac:dyDescent="0.25">
      <c r="A877" t="s">
        <v>890</v>
      </c>
      <c r="B877">
        <v>428</v>
      </c>
      <c r="C877" s="1" t="str">
        <f>HYPERLINK("http://www.rosaceae.org/gb/gbrowse/malus_x_domestica/?name=MDP0000123918","MDP0000123918")</f>
        <v>MDP0000123918</v>
      </c>
      <c r="D877">
        <v>58.29</v>
      </c>
      <c r="E877">
        <v>482</v>
      </c>
      <c r="F877">
        <v>201</v>
      </c>
      <c r="G877">
        <v>83</v>
      </c>
      <c r="H877">
        <v>4</v>
      </c>
      <c r="I877">
        <v>413</v>
      </c>
      <c r="J877">
        <v>1</v>
      </c>
      <c r="K877">
        <v>68</v>
      </c>
      <c r="L877">
        <v>538</v>
      </c>
      <c r="M877">
        <v>1</v>
      </c>
      <c r="N877">
        <v>1.32687E-150</v>
      </c>
      <c r="O877">
        <v>1365</v>
      </c>
    </row>
    <row r="878" spans="1:15" x14ac:dyDescent="0.25">
      <c r="A878" t="s">
        <v>891</v>
      </c>
      <c r="B878">
        <v>1416</v>
      </c>
      <c r="C878" s="1" t="str">
        <f>HYPERLINK("http://www.rosaceae.org/gb/gbrowse/malus_x_domestica/?name=MDP0000207142","MDP0000207142")</f>
        <v>MDP0000207142</v>
      </c>
      <c r="D878">
        <v>66.16</v>
      </c>
      <c r="E878">
        <v>922</v>
      </c>
      <c r="F878">
        <v>312</v>
      </c>
      <c r="G878">
        <v>57</v>
      </c>
      <c r="H878">
        <v>503</v>
      </c>
      <c r="I878">
        <v>1416</v>
      </c>
      <c r="J878">
        <v>1</v>
      </c>
      <c r="K878">
        <v>13</v>
      </c>
      <c r="L878">
        <v>885</v>
      </c>
      <c r="M878">
        <v>1</v>
      </c>
      <c r="N878">
        <v>0</v>
      </c>
      <c r="O878">
        <v>3031</v>
      </c>
    </row>
    <row r="879" spans="1:15" x14ac:dyDescent="0.25">
      <c r="A879" t="s">
        <v>892</v>
      </c>
      <c r="B879">
        <v>220</v>
      </c>
      <c r="C879" s="1" t="str">
        <f>HYPERLINK("http://www.rosaceae.org/gb/gbrowse/malus_x_domestica/?name=MDP0000205980","MDP0000205980")</f>
        <v>MDP0000205980</v>
      </c>
      <c r="D879">
        <v>72.83</v>
      </c>
      <c r="E879">
        <v>81</v>
      </c>
      <c r="F879">
        <v>22</v>
      </c>
      <c r="G879">
        <v>4</v>
      </c>
      <c r="H879">
        <v>14</v>
      </c>
      <c r="I879">
        <v>90</v>
      </c>
      <c r="J879">
        <v>1</v>
      </c>
      <c r="K879">
        <v>72</v>
      </c>
      <c r="L879">
        <v>152</v>
      </c>
      <c r="M879">
        <v>1</v>
      </c>
      <c r="N879">
        <v>2.5874600000000002E-28</v>
      </c>
      <c r="O879">
        <v>306</v>
      </c>
    </row>
    <row r="880" spans="1:15" x14ac:dyDescent="0.25">
      <c r="A880" t="s">
        <v>893</v>
      </c>
      <c r="B880">
        <v>574</v>
      </c>
      <c r="C880" s="1" t="str">
        <f>HYPERLINK("http://www.rosaceae.org/gb/gbrowse/malus_x_domestica/?name=MDP0000300215","MDP0000300215")</f>
        <v>MDP0000300215</v>
      </c>
      <c r="D880">
        <v>42.66</v>
      </c>
      <c r="E880">
        <v>75</v>
      </c>
      <c r="F880">
        <v>43</v>
      </c>
      <c r="G880">
        <v>0</v>
      </c>
      <c r="H880">
        <v>361</v>
      </c>
      <c r="I880">
        <v>435</v>
      </c>
      <c r="J880">
        <v>1</v>
      </c>
      <c r="K880">
        <v>1</v>
      </c>
      <c r="L880">
        <v>75</v>
      </c>
      <c r="M880">
        <v>1</v>
      </c>
      <c r="N880">
        <v>2.0224599999999998E-11</v>
      </c>
      <c r="O880">
        <v>166</v>
      </c>
    </row>
    <row r="881" spans="1:15" x14ac:dyDescent="0.25">
      <c r="A881" t="s">
        <v>894</v>
      </c>
      <c r="B881">
        <v>547</v>
      </c>
      <c r="C881" s="1" t="str">
        <f>HYPERLINK("http://www.rosaceae.org/gb/gbrowse/malus_x_domestica/?name=MDP0000330297","MDP0000330297")</f>
        <v>MDP0000330297</v>
      </c>
      <c r="D881">
        <v>91.96</v>
      </c>
      <c r="E881">
        <v>535</v>
      </c>
      <c r="F881">
        <v>43</v>
      </c>
      <c r="G881">
        <v>0</v>
      </c>
      <c r="H881">
        <v>13</v>
      </c>
      <c r="I881">
        <v>547</v>
      </c>
      <c r="J881">
        <v>1</v>
      </c>
      <c r="K881">
        <v>42</v>
      </c>
      <c r="L881">
        <v>576</v>
      </c>
      <c r="M881">
        <v>1</v>
      </c>
      <c r="N881">
        <v>0</v>
      </c>
      <c r="O881">
        <v>2635</v>
      </c>
    </row>
    <row r="882" spans="1:15" x14ac:dyDescent="0.25">
      <c r="A882" t="s">
        <v>895</v>
      </c>
      <c r="B882">
        <v>1500</v>
      </c>
      <c r="C882" s="1" t="str">
        <f>HYPERLINK("http://www.rosaceae.org/gb/gbrowse/malus_x_domestica/?name=MDP0000489577","MDP0000489577")</f>
        <v>MDP0000489577</v>
      </c>
      <c r="D882">
        <v>55</v>
      </c>
      <c r="E882">
        <v>80</v>
      </c>
      <c r="F882">
        <v>36</v>
      </c>
      <c r="G882">
        <v>2</v>
      </c>
      <c r="H882">
        <v>740</v>
      </c>
      <c r="I882">
        <v>819</v>
      </c>
      <c r="J882">
        <v>1</v>
      </c>
      <c r="K882">
        <v>52</v>
      </c>
      <c r="L882">
        <v>129</v>
      </c>
      <c r="M882">
        <v>1</v>
      </c>
      <c r="N882">
        <v>2.5402200000000002E-16</v>
      </c>
      <c r="O882">
        <v>212</v>
      </c>
    </row>
    <row r="883" spans="1:15" x14ac:dyDescent="0.25">
      <c r="A883" t="s">
        <v>896</v>
      </c>
      <c r="B883">
        <v>383</v>
      </c>
      <c r="C883" s="1" t="str">
        <f>HYPERLINK("http://www.rosaceae.org/gb/gbrowse/malus_x_domestica/?name=MDP0000163467","MDP0000163467")</f>
        <v>MDP0000163467</v>
      </c>
      <c r="D883">
        <v>91.64</v>
      </c>
      <c r="E883">
        <v>383</v>
      </c>
      <c r="F883">
        <v>32</v>
      </c>
      <c r="G883">
        <v>0</v>
      </c>
      <c r="H883">
        <v>1</v>
      </c>
      <c r="I883">
        <v>383</v>
      </c>
      <c r="J883">
        <v>1</v>
      </c>
      <c r="K883">
        <v>134</v>
      </c>
      <c r="L883">
        <v>516</v>
      </c>
      <c r="M883">
        <v>1</v>
      </c>
      <c r="N883">
        <v>0</v>
      </c>
      <c r="O883">
        <v>1909</v>
      </c>
    </row>
    <row r="884" spans="1:15" x14ac:dyDescent="0.25">
      <c r="A884" t="s">
        <v>897</v>
      </c>
      <c r="B884">
        <v>676</v>
      </c>
      <c r="C884" s="1" t="str">
        <f>HYPERLINK("http://www.rosaceae.org/gb/gbrowse/malus_x_domestica/?name=MDP0000157408","MDP0000157408")</f>
        <v>MDP0000157408</v>
      </c>
      <c r="D884">
        <v>74.91</v>
      </c>
      <c r="E884">
        <v>602</v>
      </c>
      <c r="F884">
        <v>151</v>
      </c>
      <c r="G884">
        <v>20</v>
      </c>
      <c r="H884">
        <v>29</v>
      </c>
      <c r="I884">
        <v>611</v>
      </c>
      <c r="J884">
        <v>1</v>
      </c>
      <c r="K884">
        <v>22</v>
      </c>
      <c r="L884">
        <v>622</v>
      </c>
      <c r="M884">
        <v>1</v>
      </c>
      <c r="N884">
        <v>0</v>
      </c>
      <c r="O884">
        <v>2414</v>
      </c>
    </row>
    <row r="885" spans="1:15" x14ac:dyDescent="0.25">
      <c r="A885" t="s">
        <v>898</v>
      </c>
      <c r="B885">
        <v>693</v>
      </c>
      <c r="C885" s="1" t="str">
        <f>HYPERLINK("http://www.rosaceae.org/gb/gbrowse/malus_x_domestica/?name=MDP0000714548","MDP0000714548")</f>
        <v>MDP0000714548</v>
      </c>
      <c r="D885">
        <v>89.24</v>
      </c>
      <c r="E885">
        <v>688</v>
      </c>
      <c r="F885">
        <v>74</v>
      </c>
      <c r="G885">
        <v>3</v>
      </c>
      <c r="H885">
        <v>5</v>
      </c>
      <c r="I885">
        <v>690</v>
      </c>
      <c r="J885">
        <v>1</v>
      </c>
      <c r="K885">
        <v>3</v>
      </c>
      <c r="L885">
        <v>689</v>
      </c>
      <c r="M885">
        <v>1</v>
      </c>
      <c r="N885">
        <v>0</v>
      </c>
      <c r="O885">
        <v>3334</v>
      </c>
    </row>
    <row r="886" spans="1:15" x14ac:dyDescent="0.25">
      <c r="A886" t="s">
        <v>899</v>
      </c>
      <c r="B886">
        <v>1751</v>
      </c>
      <c r="C886" s="1" t="str">
        <f>HYPERLINK("http://www.rosaceae.org/gb/gbrowse/malus_x_domestica/?name=MDP0000878701","MDP0000878701")</f>
        <v>MDP0000878701</v>
      </c>
      <c r="D886">
        <v>69.36</v>
      </c>
      <c r="E886">
        <v>940</v>
      </c>
      <c r="F886">
        <v>288</v>
      </c>
      <c r="G886">
        <v>55</v>
      </c>
      <c r="H886">
        <v>767</v>
      </c>
      <c r="I886">
        <v>1683</v>
      </c>
      <c r="J886">
        <v>1</v>
      </c>
      <c r="K886">
        <v>1</v>
      </c>
      <c r="L886">
        <v>908</v>
      </c>
      <c r="M886">
        <v>1</v>
      </c>
      <c r="N886">
        <v>0</v>
      </c>
      <c r="O886">
        <v>3285</v>
      </c>
    </row>
    <row r="887" spans="1:15" x14ac:dyDescent="0.25">
      <c r="A887" t="s">
        <v>900</v>
      </c>
      <c r="B887">
        <v>412</v>
      </c>
      <c r="C887" s="1" t="str">
        <f>HYPERLINK("http://www.rosaceae.org/gb/gbrowse/malus_x_domestica/?name=MDP0000234427","MDP0000234427")</f>
        <v>MDP0000234427</v>
      </c>
      <c r="D887">
        <v>61.53</v>
      </c>
      <c r="E887">
        <v>117</v>
      </c>
      <c r="F887">
        <v>45</v>
      </c>
      <c r="G887">
        <v>7</v>
      </c>
      <c r="H887">
        <v>222</v>
      </c>
      <c r="I887">
        <v>337</v>
      </c>
      <c r="J887">
        <v>1</v>
      </c>
      <c r="K887">
        <v>1677</v>
      </c>
      <c r="L887">
        <v>1787</v>
      </c>
      <c r="M887">
        <v>1</v>
      </c>
      <c r="N887">
        <v>1.1893599999999999E-35</v>
      </c>
      <c r="O887">
        <v>373</v>
      </c>
    </row>
    <row r="888" spans="1:15" x14ac:dyDescent="0.25">
      <c r="A888" t="s">
        <v>901</v>
      </c>
      <c r="B888">
        <v>300</v>
      </c>
      <c r="C888" s="1" t="str">
        <f>HYPERLINK("http://www.rosaceae.org/gb/gbrowse/malus_x_domestica/?name=MDP0000768962","MDP0000768962")</f>
        <v>MDP0000768962</v>
      </c>
      <c r="D888">
        <v>65.16</v>
      </c>
      <c r="E888">
        <v>178</v>
      </c>
      <c r="F888">
        <v>62</v>
      </c>
      <c r="G888">
        <v>2</v>
      </c>
      <c r="H888">
        <v>1</v>
      </c>
      <c r="I888">
        <v>176</v>
      </c>
      <c r="J888">
        <v>1</v>
      </c>
      <c r="K888">
        <v>28</v>
      </c>
      <c r="L888">
        <v>205</v>
      </c>
      <c r="M888">
        <v>1</v>
      </c>
      <c r="N888">
        <v>2.7082700000000002E-62</v>
      </c>
      <c r="O888">
        <v>601</v>
      </c>
    </row>
    <row r="889" spans="1:15" x14ac:dyDescent="0.25">
      <c r="A889" t="s">
        <v>902</v>
      </c>
      <c r="B889">
        <v>438</v>
      </c>
      <c r="C889" s="1" t="str">
        <f>HYPERLINK("http://www.rosaceae.org/gb/gbrowse/malus_x_domestica/?name=MDP0000918948","MDP0000918948")</f>
        <v>MDP0000918948</v>
      </c>
      <c r="D889">
        <v>49.81</v>
      </c>
      <c r="E889">
        <v>275</v>
      </c>
      <c r="F889">
        <v>138</v>
      </c>
      <c r="G889">
        <v>6</v>
      </c>
      <c r="H889">
        <v>166</v>
      </c>
      <c r="I889">
        <v>437</v>
      </c>
      <c r="J889">
        <v>1</v>
      </c>
      <c r="K889">
        <v>61</v>
      </c>
      <c r="L889">
        <v>332</v>
      </c>
      <c r="M889">
        <v>1</v>
      </c>
      <c r="N889">
        <v>1.20632E-66</v>
      </c>
      <c r="O889">
        <v>641</v>
      </c>
    </row>
    <row r="890" spans="1:15" x14ac:dyDescent="0.25">
      <c r="A890" t="s">
        <v>903</v>
      </c>
      <c r="B890">
        <v>166</v>
      </c>
      <c r="C890" s="1" t="str">
        <f>HYPERLINK("http://www.rosaceae.org/gb/gbrowse/malus_x_domestica/?name=MDP0000208098","MDP0000208098")</f>
        <v>MDP0000208098</v>
      </c>
      <c r="D890">
        <v>73.930000000000007</v>
      </c>
      <c r="E890">
        <v>165</v>
      </c>
      <c r="F890">
        <v>43</v>
      </c>
      <c r="G890">
        <v>1</v>
      </c>
      <c r="H890">
        <v>1</v>
      </c>
      <c r="I890">
        <v>165</v>
      </c>
      <c r="J890">
        <v>1</v>
      </c>
      <c r="K890">
        <v>53</v>
      </c>
      <c r="L890">
        <v>216</v>
      </c>
      <c r="M890">
        <v>1</v>
      </c>
      <c r="N890">
        <v>1.3525500000000001E-70</v>
      </c>
      <c r="O890">
        <v>669</v>
      </c>
    </row>
    <row r="891" spans="1:15" x14ac:dyDescent="0.25">
      <c r="A891" t="s">
        <v>904</v>
      </c>
      <c r="B891">
        <v>565</v>
      </c>
      <c r="C891" s="1" t="str">
        <f>HYPERLINK("http://www.rosaceae.org/gb/gbrowse/malus_x_domestica/?name=MDP0000149146","MDP0000149146")</f>
        <v>MDP0000149146</v>
      </c>
      <c r="D891">
        <v>74.19</v>
      </c>
      <c r="E891">
        <v>527</v>
      </c>
      <c r="F891">
        <v>136</v>
      </c>
      <c r="G891">
        <v>3</v>
      </c>
      <c r="H891">
        <v>24</v>
      </c>
      <c r="I891">
        <v>548</v>
      </c>
      <c r="J891">
        <v>1</v>
      </c>
      <c r="K891">
        <v>24</v>
      </c>
      <c r="L891">
        <v>549</v>
      </c>
      <c r="M891">
        <v>1</v>
      </c>
      <c r="N891">
        <v>0</v>
      </c>
      <c r="O891">
        <v>2167</v>
      </c>
    </row>
    <row r="892" spans="1:15" x14ac:dyDescent="0.25">
      <c r="A892" t="s">
        <v>905</v>
      </c>
      <c r="B892">
        <v>186</v>
      </c>
      <c r="C892" s="1" t="str">
        <f>HYPERLINK("http://www.rosaceae.org/gb/gbrowse/malus_x_domestica/?name=MDP0000182136","MDP0000182136")</f>
        <v>MDP0000182136</v>
      </c>
      <c r="D892">
        <v>78.19</v>
      </c>
      <c r="E892">
        <v>188</v>
      </c>
      <c r="F892">
        <v>41</v>
      </c>
      <c r="G892">
        <v>2</v>
      </c>
      <c r="H892">
        <v>1</v>
      </c>
      <c r="I892">
        <v>186</v>
      </c>
      <c r="J892">
        <v>1</v>
      </c>
      <c r="K892">
        <v>1</v>
      </c>
      <c r="L892">
        <v>188</v>
      </c>
      <c r="M892">
        <v>1</v>
      </c>
      <c r="N892">
        <v>5.5356600000000001E-83</v>
      </c>
      <c r="O892">
        <v>777</v>
      </c>
    </row>
    <row r="893" spans="1:15" x14ac:dyDescent="0.25">
      <c r="A893" t="s">
        <v>906</v>
      </c>
      <c r="B893">
        <v>634</v>
      </c>
      <c r="C893" s="1" t="str">
        <f>HYPERLINK("http://www.rosaceae.org/gb/gbrowse/malus_x_domestica/?name=MDP0000522790","MDP0000522790")</f>
        <v>MDP0000522790</v>
      </c>
      <c r="D893">
        <v>80.56</v>
      </c>
      <c r="E893">
        <v>566</v>
      </c>
      <c r="F893">
        <v>110</v>
      </c>
      <c r="G893">
        <v>4</v>
      </c>
      <c r="H893">
        <v>71</v>
      </c>
      <c r="I893">
        <v>634</v>
      </c>
      <c r="J893">
        <v>1</v>
      </c>
      <c r="K893">
        <v>52</v>
      </c>
      <c r="L893">
        <v>615</v>
      </c>
      <c r="M893">
        <v>1</v>
      </c>
      <c r="N893">
        <v>0</v>
      </c>
      <c r="O893">
        <v>2456</v>
      </c>
    </row>
    <row r="894" spans="1:15" x14ac:dyDescent="0.25">
      <c r="A894" t="s">
        <v>907</v>
      </c>
      <c r="B894">
        <v>242</v>
      </c>
      <c r="C894" s="1" t="str">
        <f>HYPERLINK("http://www.rosaceae.org/gb/gbrowse/malus_x_domestica/?name=MDP0000922141","MDP0000922141")</f>
        <v>MDP0000922141</v>
      </c>
      <c r="D894">
        <v>47.61</v>
      </c>
      <c r="E894">
        <v>105</v>
      </c>
      <c r="F894">
        <v>55</v>
      </c>
      <c r="G894">
        <v>8</v>
      </c>
      <c r="H894">
        <v>4</v>
      </c>
      <c r="I894">
        <v>108</v>
      </c>
      <c r="J894">
        <v>1</v>
      </c>
      <c r="K894">
        <v>25</v>
      </c>
      <c r="L894">
        <v>121</v>
      </c>
      <c r="M894">
        <v>1</v>
      </c>
      <c r="N894">
        <v>1.8506900000000001E-17</v>
      </c>
      <c r="O894">
        <v>213</v>
      </c>
    </row>
    <row r="895" spans="1:15" x14ac:dyDescent="0.25">
      <c r="A895" t="s">
        <v>908</v>
      </c>
      <c r="B895">
        <v>333</v>
      </c>
      <c r="C895" s="1" t="str">
        <f>HYPERLINK("http://www.rosaceae.org/gb/gbrowse/malus_x_domestica/?name=MDP0000243477","MDP0000243477")</f>
        <v>MDP0000243477</v>
      </c>
      <c r="D895">
        <v>65.209999999999994</v>
      </c>
      <c r="E895">
        <v>299</v>
      </c>
      <c r="F895">
        <v>104</v>
      </c>
      <c r="G895">
        <v>21</v>
      </c>
      <c r="H895">
        <v>35</v>
      </c>
      <c r="I895">
        <v>333</v>
      </c>
      <c r="J895">
        <v>1</v>
      </c>
      <c r="K895">
        <v>793</v>
      </c>
      <c r="L895">
        <v>1070</v>
      </c>
      <c r="M895">
        <v>1</v>
      </c>
      <c r="N895">
        <v>1.07201E-110</v>
      </c>
      <c r="O895">
        <v>1019</v>
      </c>
    </row>
    <row r="896" spans="1:15" x14ac:dyDescent="0.25">
      <c r="A896" t="s">
        <v>909</v>
      </c>
      <c r="B896">
        <v>200</v>
      </c>
      <c r="C896" s="1" t="str">
        <f>HYPERLINK("http://www.rosaceae.org/gb/gbrowse/malus_x_domestica/?name=MDP0000212398","MDP0000212398")</f>
        <v>MDP0000212398</v>
      </c>
      <c r="D896">
        <v>77.510000000000005</v>
      </c>
      <c r="E896">
        <v>169</v>
      </c>
      <c r="F896">
        <v>38</v>
      </c>
      <c r="G896">
        <v>7</v>
      </c>
      <c r="H896">
        <v>29</v>
      </c>
      <c r="I896">
        <v>192</v>
      </c>
      <c r="J896">
        <v>1</v>
      </c>
      <c r="K896">
        <v>31</v>
      </c>
      <c r="L896">
        <v>197</v>
      </c>
      <c r="M896">
        <v>1</v>
      </c>
      <c r="N896">
        <v>1.25806E-68</v>
      </c>
      <c r="O896">
        <v>653</v>
      </c>
    </row>
    <row r="897" spans="1:15" x14ac:dyDescent="0.25">
      <c r="A897" t="s">
        <v>910</v>
      </c>
      <c r="B897">
        <v>177</v>
      </c>
      <c r="C897" s="1" t="str">
        <f>HYPERLINK("http://www.rosaceae.org/gb/gbrowse/malus_x_domestica/?name=MDP0000306125","MDP0000306125")</f>
        <v>MDP0000306125</v>
      </c>
      <c r="D897">
        <v>34.86</v>
      </c>
      <c r="E897">
        <v>218</v>
      </c>
      <c r="F897">
        <v>142</v>
      </c>
      <c r="G897">
        <v>51</v>
      </c>
      <c r="H897">
        <v>5</v>
      </c>
      <c r="I897">
        <v>172</v>
      </c>
      <c r="J897">
        <v>1</v>
      </c>
      <c r="K897">
        <v>60</v>
      </c>
      <c r="L897">
        <v>276</v>
      </c>
      <c r="M897">
        <v>1</v>
      </c>
      <c r="N897">
        <v>3.0956700000000001E-22</v>
      </c>
      <c r="O897">
        <v>252</v>
      </c>
    </row>
    <row r="898" spans="1:15" x14ac:dyDescent="0.25">
      <c r="A898" t="s">
        <v>911</v>
      </c>
      <c r="B898">
        <v>730</v>
      </c>
      <c r="C898" s="1" t="str">
        <f>HYPERLINK("http://www.rosaceae.org/gb/gbrowse/malus_x_domestica/?name=MDP0000195139","MDP0000195139")</f>
        <v>MDP0000195139</v>
      </c>
      <c r="D898">
        <v>44.65</v>
      </c>
      <c r="E898">
        <v>374</v>
      </c>
      <c r="F898">
        <v>207</v>
      </c>
      <c r="G898">
        <v>13</v>
      </c>
      <c r="H898">
        <v>101</v>
      </c>
      <c r="I898">
        <v>465</v>
      </c>
      <c r="J898">
        <v>1</v>
      </c>
      <c r="K898">
        <v>581</v>
      </c>
      <c r="L898">
        <v>950</v>
      </c>
      <c r="M898">
        <v>1</v>
      </c>
      <c r="N898">
        <v>2.0638100000000001E-67</v>
      </c>
      <c r="O898">
        <v>649</v>
      </c>
    </row>
    <row r="899" spans="1:15" x14ac:dyDescent="0.25">
      <c r="A899" t="s">
        <v>912</v>
      </c>
      <c r="B899">
        <v>384</v>
      </c>
      <c r="C899" s="1" t="str">
        <f>HYPERLINK("http://www.rosaceae.org/gb/gbrowse/malus_x_domestica/?name=MDP0000268221","MDP0000268221")</f>
        <v>MDP0000268221</v>
      </c>
      <c r="D899">
        <v>72.44</v>
      </c>
      <c r="E899">
        <v>392</v>
      </c>
      <c r="F899">
        <v>108</v>
      </c>
      <c r="G899">
        <v>59</v>
      </c>
      <c r="H899">
        <v>1</v>
      </c>
      <c r="I899">
        <v>384</v>
      </c>
      <c r="J899">
        <v>1</v>
      </c>
      <c r="K899">
        <v>1</v>
      </c>
      <c r="L899">
        <v>341</v>
      </c>
      <c r="M899">
        <v>1</v>
      </c>
      <c r="N899">
        <v>3.2473999999999998E-150</v>
      </c>
      <c r="O899">
        <v>1361</v>
      </c>
    </row>
    <row r="900" spans="1:15" x14ac:dyDescent="0.25">
      <c r="A900" t="s">
        <v>913</v>
      </c>
      <c r="B900">
        <v>518</v>
      </c>
      <c r="C900" s="1" t="str">
        <f>HYPERLINK("http://www.rosaceae.org/gb/gbrowse/malus_x_domestica/?name=MDP0000241635","MDP0000241635")</f>
        <v>MDP0000241635</v>
      </c>
      <c r="D900">
        <v>41.25</v>
      </c>
      <c r="E900">
        <v>383</v>
      </c>
      <c r="F900">
        <v>225</v>
      </c>
      <c r="G900">
        <v>36</v>
      </c>
      <c r="H900">
        <v>18</v>
      </c>
      <c r="I900">
        <v>374</v>
      </c>
      <c r="J900">
        <v>1</v>
      </c>
      <c r="K900">
        <v>60</v>
      </c>
      <c r="L900">
        <v>432</v>
      </c>
      <c r="M900">
        <v>1</v>
      </c>
      <c r="N900">
        <v>1.3185899999999999E-58</v>
      </c>
      <c r="O900">
        <v>572</v>
      </c>
    </row>
    <row r="901" spans="1:15" x14ac:dyDescent="0.25">
      <c r="A901" t="s">
        <v>914</v>
      </c>
      <c r="B901">
        <v>498</v>
      </c>
      <c r="C901" s="1" t="str">
        <f>HYPERLINK("http://www.rosaceae.org/gb/gbrowse/malus_x_domestica/?name=MDP0000138646","MDP0000138646")</f>
        <v>MDP0000138646</v>
      </c>
      <c r="D901">
        <v>61.32</v>
      </c>
      <c r="E901">
        <v>437</v>
      </c>
      <c r="F901">
        <v>169</v>
      </c>
      <c r="G901">
        <v>3</v>
      </c>
      <c r="H901">
        <v>20</v>
      </c>
      <c r="I901">
        <v>456</v>
      </c>
      <c r="J901">
        <v>1</v>
      </c>
      <c r="K901">
        <v>34</v>
      </c>
      <c r="L901">
        <v>467</v>
      </c>
      <c r="M901">
        <v>1</v>
      </c>
      <c r="N901">
        <v>3.4130700000000003E-145</v>
      </c>
      <c r="O901">
        <v>1319</v>
      </c>
    </row>
    <row r="902" spans="1:15" x14ac:dyDescent="0.25">
      <c r="A902" t="s">
        <v>915</v>
      </c>
      <c r="B902">
        <v>380</v>
      </c>
      <c r="C902" s="1" t="str">
        <f>HYPERLINK("http://www.rosaceae.org/gb/gbrowse/malus_x_domestica/?name=MDP0000297978","MDP0000297978")</f>
        <v>MDP0000297978</v>
      </c>
      <c r="D902">
        <v>70.67</v>
      </c>
      <c r="E902">
        <v>341</v>
      </c>
      <c r="F902">
        <v>100</v>
      </c>
      <c r="G902">
        <v>10</v>
      </c>
      <c r="H902">
        <v>31</v>
      </c>
      <c r="I902">
        <v>361</v>
      </c>
      <c r="J902">
        <v>1</v>
      </c>
      <c r="K902">
        <v>26</v>
      </c>
      <c r="L902">
        <v>366</v>
      </c>
      <c r="M902">
        <v>1</v>
      </c>
      <c r="N902">
        <v>4.0948499999999998E-135</v>
      </c>
      <c r="O902">
        <v>1230</v>
      </c>
    </row>
    <row r="903" spans="1:15" x14ac:dyDescent="0.25">
      <c r="A903" t="s">
        <v>916</v>
      </c>
      <c r="B903">
        <v>441</v>
      </c>
      <c r="C903" s="1" t="str">
        <f>HYPERLINK("http://www.rosaceae.org/gb/gbrowse/malus_x_domestica/?name=MDP0000653903","MDP0000653903")</f>
        <v>MDP0000653903</v>
      </c>
      <c r="D903">
        <v>57.74</v>
      </c>
      <c r="E903">
        <v>452</v>
      </c>
      <c r="F903">
        <v>191</v>
      </c>
      <c r="G903">
        <v>49</v>
      </c>
      <c r="H903">
        <v>1</v>
      </c>
      <c r="I903">
        <v>441</v>
      </c>
      <c r="J903">
        <v>1</v>
      </c>
      <c r="K903">
        <v>1</v>
      </c>
      <c r="L903">
        <v>414</v>
      </c>
      <c r="M903">
        <v>1</v>
      </c>
      <c r="N903">
        <v>1.8231400000000002E-117</v>
      </c>
      <c r="O903">
        <v>1079</v>
      </c>
    </row>
    <row r="904" spans="1:15" x14ac:dyDescent="0.25">
      <c r="A904" t="s">
        <v>917</v>
      </c>
      <c r="B904">
        <v>556</v>
      </c>
      <c r="C904" s="1" t="str">
        <f>HYPERLINK("http://www.rosaceae.org/gb/gbrowse/malus_x_domestica/?name=MDP0000787172","MDP0000787172")</f>
        <v>MDP0000787172</v>
      </c>
      <c r="D904">
        <v>74.010000000000005</v>
      </c>
      <c r="E904">
        <v>535</v>
      </c>
      <c r="F904">
        <v>139</v>
      </c>
      <c r="G904">
        <v>12</v>
      </c>
      <c r="H904">
        <v>26</v>
      </c>
      <c r="I904">
        <v>556</v>
      </c>
      <c r="J904">
        <v>1</v>
      </c>
      <c r="K904">
        <v>26</v>
      </c>
      <c r="L904">
        <v>552</v>
      </c>
      <c r="M904">
        <v>1</v>
      </c>
      <c r="N904">
        <v>0</v>
      </c>
      <c r="O904">
        <v>2081</v>
      </c>
    </row>
    <row r="905" spans="1:15" x14ac:dyDescent="0.25">
      <c r="A905" t="s">
        <v>918</v>
      </c>
      <c r="B905">
        <v>360</v>
      </c>
      <c r="C905" s="1" t="str">
        <f>HYPERLINK("http://www.rosaceae.org/gb/gbrowse/malus_x_domestica/?name=MDP0000254208","MDP0000254208")</f>
        <v>MDP0000254208</v>
      </c>
      <c r="D905">
        <v>73.27</v>
      </c>
      <c r="E905">
        <v>232</v>
      </c>
      <c r="F905">
        <v>62</v>
      </c>
      <c r="G905">
        <v>14</v>
      </c>
      <c r="H905">
        <v>76</v>
      </c>
      <c r="I905">
        <v>305</v>
      </c>
      <c r="J905">
        <v>1</v>
      </c>
      <c r="K905">
        <v>244</v>
      </c>
      <c r="L905">
        <v>463</v>
      </c>
      <c r="M905">
        <v>1</v>
      </c>
      <c r="N905">
        <v>1.04519E-95</v>
      </c>
      <c r="O905">
        <v>890</v>
      </c>
    </row>
    <row r="906" spans="1:15" x14ac:dyDescent="0.25">
      <c r="A906" t="s">
        <v>919</v>
      </c>
      <c r="B906">
        <v>398</v>
      </c>
      <c r="C906" s="1" t="str">
        <f>HYPERLINK("http://www.rosaceae.org/gb/gbrowse/malus_x_domestica/?name=MDP0000770156","MDP0000770156")</f>
        <v>MDP0000770156</v>
      </c>
      <c r="D906">
        <v>78.959999999999994</v>
      </c>
      <c r="E906">
        <v>404</v>
      </c>
      <c r="F906">
        <v>85</v>
      </c>
      <c r="G906">
        <v>13</v>
      </c>
      <c r="H906">
        <v>1</v>
      </c>
      <c r="I906">
        <v>392</v>
      </c>
      <c r="J906">
        <v>1</v>
      </c>
      <c r="K906">
        <v>1</v>
      </c>
      <c r="L906">
        <v>403</v>
      </c>
      <c r="M906">
        <v>1</v>
      </c>
      <c r="N906">
        <v>0</v>
      </c>
      <c r="O906">
        <v>1672</v>
      </c>
    </row>
    <row r="907" spans="1:15" x14ac:dyDescent="0.25">
      <c r="A907" t="s">
        <v>920</v>
      </c>
      <c r="B907">
        <v>462</v>
      </c>
      <c r="C907" s="1" t="str">
        <f>HYPERLINK("http://www.rosaceae.org/gb/gbrowse/malus_x_domestica/?name=MDP0000415910","MDP0000415910")</f>
        <v>MDP0000415910</v>
      </c>
      <c r="D907">
        <v>71.010000000000005</v>
      </c>
      <c r="E907">
        <v>414</v>
      </c>
      <c r="F907">
        <v>120</v>
      </c>
      <c r="G907">
        <v>20</v>
      </c>
      <c r="H907">
        <v>66</v>
      </c>
      <c r="I907">
        <v>462</v>
      </c>
      <c r="J907">
        <v>1</v>
      </c>
      <c r="K907">
        <v>1</v>
      </c>
      <c r="L907">
        <v>411</v>
      </c>
      <c r="M907">
        <v>1</v>
      </c>
      <c r="N907">
        <v>2.3973299999999999E-160</v>
      </c>
      <c r="O907">
        <v>1449</v>
      </c>
    </row>
    <row r="908" spans="1:15" x14ac:dyDescent="0.25">
      <c r="A908" t="s">
        <v>921</v>
      </c>
      <c r="B908">
        <v>953</v>
      </c>
      <c r="C908" s="1" t="str">
        <f>HYPERLINK("http://www.rosaceae.org/gb/gbrowse/malus_x_domestica/?name=MDP0000250047","MDP0000250047")</f>
        <v>MDP0000250047</v>
      </c>
      <c r="D908">
        <v>71.760000000000005</v>
      </c>
      <c r="E908">
        <v>464</v>
      </c>
      <c r="F908">
        <v>131</v>
      </c>
      <c r="G908">
        <v>10</v>
      </c>
      <c r="H908">
        <v>491</v>
      </c>
      <c r="I908">
        <v>950</v>
      </c>
      <c r="J908">
        <v>1</v>
      </c>
      <c r="K908">
        <v>48</v>
      </c>
      <c r="L908">
        <v>505</v>
      </c>
      <c r="M908">
        <v>1</v>
      </c>
      <c r="N908">
        <v>0</v>
      </c>
      <c r="O908">
        <v>1795</v>
      </c>
    </row>
    <row r="909" spans="1:15" x14ac:dyDescent="0.25">
      <c r="A909" t="s">
        <v>922</v>
      </c>
      <c r="B909">
        <v>512</v>
      </c>
      <c r="C909" s="1" t="str">
        <f>HYPERLINK("http://www.rosaceae.org/gb/gbrowse/malus_x_domestica/?name=MDP0000292722","MDP0000292722")</f>
        <v>MDP0000292722</v>
      </c>
      <c r="D909">
        <v>60</v>
      </c>
      <c r="E909">
        <v>65</v>
      </c>
      <c r="F909">
        <v>26</v>
      </c>
      <c r="G909">
        <v>1</v>
      </c>
      <c r="H909">
        <v>253</v>
      </c>
      <c r="I909">
        <v>316</v>
      </c>
      <c r="J909">
        <v>1</v>
      </c>
      <c r="K909">
        <v>333</v>
      </c>
      <c r="L909">
        <v>397</v>
      </c>
      <c r="M909">
        <v>1</v>
      </c>
      <c r="N909">
        <v>5.6187000000000004E-15</v>
      </c>
      <c r="O909">
        <v>196</v>
      </c>
    </row>
    <row r="910" spans="1:15" x14ac:dyDescent="0.25">
      <c r="A910" t="s">
        <v>923</v>
      </c>
      <c r="B910">
        <v>892</v>
      </c>
      <c r="C910" s="1" t="str">
        <f>HYPERLINK("http://www.rosaceae.org/gb/gbrowse/malus_x_domestica/?name=MDP0000182792","MDP0000182792")</f>
        <v>MDP0000182792</v>
      </c>
      <c r="D910">
        <v>52.07</v>
      </c>
      <c r="E910">
        <v>964</v>
      </c>
      <c r="F910">
        <v>462</v>
      </c>
      <c r="G910">
        <v>136</v>
      </c>
      <c r="H910">
        <v>1</v>
      </c>
      <c r="I910">
        <v>887</v>
      </c>
      <c r="J910">
        <v>1</v>
      </c>
      <c r="K910">
        <v>1</v>
      </c>
      <c r="L910">
        <v>905</v>
      </c>
      <c r="M910">
        <v>1</v>
      </c>
      <c r="N910">
        <v>0</v>
      </c>
      <c r="O910">
        <v>2256</v>
      </c>
    </row>
    <row r="911" spans="1:15" x14ac:dyDescent="0.25">
      <c r="A911" t="s">
        <v>924</v>
      </c>
      <c r="B911">
        <v>714</v>
      </c>
      <c r="C911" s="1" t="str">
        <f>HYPERLINK("http://www.rosaceae.org/gb/gbrowse/malus_x_domestica/?name=MDP0000297707","MDP0000297707")</f>
        <v>MDP0000297707</v>
      </c>
      <c r="D911">
        <v>41.56</v>
      </c>
      <c r="E911">
        <v>344</v>
      </c>
      <c r="F911">
        <v>201</v>
      </c>
      <c r="G911">
        <v>32</v>
      </c>
      <c r="H911">
        <v>22</v>
      </c>
      <c r="I911">
        <v>360</v>
      </c>
      <c r="J911">
        <v>1</v>
      </c>
      <c r="K911">
        <v>565</v>
      </c>
      <c r="L911">
        <v>881</v>
      </c>
      <c r="M911">
        <v>1</v>
      </c>
      <c r="N911">
        <v>3.4630900000000001E-62</v>
      </c>
      <c r="O911">
        <v>604</v>
      </c>
    </row>
    <row r="912" spans="1:15" x14ac:dyDescent="0.25">
      <c r="A912" t="s">
        <v>925</v>
      </c>
      <c r="B912">
        <v>147</v>
      </c>
      <c r="C912" s="1" t="str">
        <f>HYPERLINK("http://www.rosaceae.org/gb/gbrowse/malus_x_domestica/?name=MDP0000250518","MDP0000250518")</f>
        <v>MDP0000250518</v>
      </c>
      <c r="D912">
        <v>76.47</v>
      </c>
      <c r="E912">
        <v>102</v>
      </c>
      <c r="F912">
        <v>24</v>
      </c>
      <c r="G912">
        <v>0</v>
      </c>
      <c r="H912">
        <v>46</v>
      </c>
      <c r="I912">
        <v>147</v>
      </c>
      <c r="J912">
        <v>1</v>
      </c>
      <c r="K912">
        <v>514</v>
      </c>
      <c r="L912">
        <v>615</v>
      </c>
      <c r="M912">
        <v>1</v>
      </c>
      <c r="N912">
        <v>6.1475E-43</v>
      </c>
      <c r="O912">
        <v>429</v>
      </c>
    </row>
    <row r="913" spans="1:15" x14ac:dyDescent="0.25">
      <c r="A913" t="s">
        <v>926</v>
      </c>
      <c r="B913">
        <v>394</v>
      </c>
      <c r="C913" s="1" t="str">
        <f>HYPERLINK("http://www.rosaceae.org/gb/gbrowse/malus_x_domestica/?name=MDP0000179121","MDP0000179121")</f>
        <v>MDP0000179121</v>
      </c>
      <c r="D913">
        <v>81.08</v>
      </c>
      <c r="E913">
        <v>111</v>
      </c>
      <c r="F913">
        <v>21</v>
      </c>
      <c r="G913">
        <v>4</v>
      </c>
      <c r="H913">
        <v>107</v>
      </c>
      <c r="I913">
        <v>217</v>
      </c>
      <c r="J913">
        <v>1</v>
      </c>
      <c r="K913">
        <v>294</v>
      </c>
      <c r="L913">
        <v>400</v>
      </c>
      <c r="M913">
        <v>1</v>
      </c>
      <c r="N913">
        <v>1.4103E-44</v>
      </c>
      <c r="O913">
        <v>450</v>
      </c>
    </row>
    <row r="914" spans="1:15" x14ac:dyDescent="0.25">
      <c r="A914" t="s">
        <v>927</v>
      </c>
      <c r="B914">
        <v>392</v>
      </c>
      <c r="C914" s="1" t="str">
        <f>HYPERLINK("http://www.rosaceae.org/gb/gbrowse/malus_x_domestica/?name=MDP0000373966","MDP0000373966")</f>
        <v>MDP0000373966</v>
      </c>
      <c r="D914">
        <v>67.75</v>
      </c>
      <c r="E914">
        <v>366</v>
      </c>
      <c r="F914">
        <v>118</v>
      </c>
      <c r="G914">
        <v>9</v>
      </c>
      <c r="H914">
        <v>30</v>
      </c>
      <c r="I914">
        <v>392</v>
      </c>
      <c r="J914">
        <v>1</v>
      </c>
      <c r="K914">
        <v>1641</v>
      </c>
      <c r="L914">
        <v>2000</v>
      </c>
      <c r="M914">
        <v>1</v>
      </c>
      <c r="N914">
        <v>3.6720199999999998E-169</v>
      </c>
      <c r="O914">
        <v>1524</v>
      </c>
    </row>
    <row r="915" spans="1:15" x14ac:dyDescent="0.25">
      <c r="A915" t="s">
        <v>928</v>
      </c>
      <c r="B915">
        <v>456</v>
      </c>
      <c r="C915" s="1" t="str">
        <f>HYPERLINK("http://www.rosaceae.org/gb/gbrowse/malus_x_domestica/?name=MDP0000304954","MDP0000304954")</f>
        <v>MDP0000304954</v>
      </c>
      <c r="D915">
        <v>48.1</v>
      </c>
      <c r="E915">
        <v>185</v>
      </c>
      <c r="F915">
        <v>96</v>
      </c>
      <c r="G915">
        <v>0</v>
      </c>
      <c r="H915">
        <v>271</v>
      </c>
      <c r="I915">
        <v>455</v>
      </c>
      <c r="J915">
        <v>1</v>
      </c>
      <c r="K915">
        <v>635</v>
      </c>
      <c r="L915">
        <v>819</v>
      </c>
      <c r="M915">
        <v>1</v>
      </c>
      <c r="N915">
        <v>2.28333E-39</v>
      </c>
      <c r="O915">
        <v>406</v>
      </c>
    </row>
    <row r="916" spans="1:15" x14ac:dyDescent="0.25">
      <c r="A916" t="s">
        <v>929</v>
      </c>
      <c r="B916">
        <v>179</v>
      </c>
      <c r="C916" s="1" t="str">
        <f>HYPERLINK("http://www.rosaceae.org/gb/gbrowse/malus_x_domestica/?name=MDP0000668689","MDP0000668689")</f>
        <v>MDP0000668689</v>
      </c>
      <c r="D916">
        <v>72.040000000000006</v>
      </c>
      <c r="E916">
        <v>93</v>
      </c>
      <c r="F916">
        <v>26</v>
      </c>
      <c r="G916">
        <v>2</v>
      </c>
      <c r="H916">
        <v>2</v>
      </c>
      <c r="I916">
        <v>93</v>
      </c>
      <c r="J916">
        <v>1</v>
      </c>
      <c r="K916">
        <v>32</v>
      </c>
      <c r="L916">
        <v>123</v>
      </c>
      <c r="M916">
        <v>1</v>
      </c>
      <c r="N916">
        <v>3.2459499999999997E-30</v>
      </c>
      <c r="O916">
        <v>321</v>
      </c>
    </row>
    <row r="917" spans="1:15" x14ac:dyDescent="0.25">
      <c r="A917" t="s">
        <v>930</v>
      </c>
      <c r="B917">
        <v>860</v>
      </c>
      <c r="C917" s="1" t="str">
        <f>HYPERLINK("http://www.rosaceae.org/gb/gbrowse/malus_x_domestica/?name=MDP0000397540","MDP0000397540")</f>
        <v>MDP0000397540</v>
      </c>
      <c r="D917">
        <v>79.150000000000006</v>
      </c>
      <c r="E917">
        <v>523</v>
      </c>
      <c r="F917">
        <v>109</v>
      </c>
      <c r="G917">
        <v>5</v>
      </c>
      <c r="H917">
        <v>341</v>
      </c>
      <c r="I917">
        <v>859</v>
      </c>
      <c r="J917">
        <v>1</v>
      </c>
      <c r="K917">
        <v>11</v>
      </c>
      <c r="L917">
        <v>532</v>
      </c>
      <c r="M917">
        <v>1</v>
      </c>
      <c r="N917">
        <v>0</v>
      </c>
      <c r="O917">
        <v>2110</v>
      </c>
    </row>
    <row r="918" spans="1:15" x14ac:dyDescent="0.25">
      <c r="A918" t="s">
        <v>931</v>
      </c>
      <c r="B918">
        <v>461</v>
      </c>
      <c r="C918" s="1" t="str">
        <f>HYPERLINK("http://www.rosaceae.org/gb/gbrowse/malus_x_domestica/?name=MDP0000699888","MDP0000699888")</f>
        <v>MDP0000699888</v>
      </c>
      <c r="D918">
        <v>75</v>
      </c>
      <c r="E918">
        <v>376</v>
      </c>
      <c r="F918">
        <v>94</v>
      </c>
      <c r="G918">
        <v>1</v>
      </c>
      <c r="H918">
        <v>31</v>
      </c>
      <c r="I918">
        <v>406</v>
      </c>
      <c r="J918">
        <v>1</v>
      </c>
      <c r="K918">
        <v>31</v>
      </c>
      <c r="L918">
        <v>405</v>
      </c>
      <c r="M918">
        <v>1</v>
      </c>
      <c r="N918">
        <v>5.5828400000000002E-170</v>
      </c>
      <c r="O918">
        <v>1532</v>
      </c>
    </row>
    <row r="919" spans="1:15" x14ac:dyDescent="0.25">
      <c r="A919" t="s">
        <v>932</v>
      </c>
      <c r="B919">
        <v>686</v>
      </c>
      <c r="C919" s="1" t="str">
        <f>HYPERLINK("http://www.rosaceae.org/gb/gbrowse/malus_x_domestica/?name=MDP0000291514","MDP0000291514")</f>
        <v>MDP0000291514</v>
      </c>
      <c r="D919">
        <v>38.08</v>
      </c>
      <c r="E919">
        <v>533</v>
      </c>
      <c r="F919">
        <v>330</v>
      </c>
      <c r="G919">
        <v>7</v>
      </c>
      <c r="H919">
        <v>155</v>
      </c>
      <c r="I919">
        <v>685</v>
      </c>
      <c r="J919">
        <v>1</v>
      </c>
      <c r="K919">
        <v>217</v>
      </c>
      <c r="L919">
        <v>744</v>
      </c>
      <c r="M919">
        <v>1</v>
      </c>
      <c r="N919">
        <v>4.1034400000000002E-109</v>
      </c>
      <c r="O919">
        <v>1009</v>
      </c>
    </row>
    <row r="920" spans="1:15" x14ac:dyDescent="0.25">
      <c r="A920" t="s">
        <v>933</v>
      </c>
      <c r="B920">
        <v>320</v>
      </c>
      <c r="C920" s="1" t="str">
        <f>HYPERLINK("http://www.rosaceae.org/gb/gbrowse/malus_x_domestica/?name=MDP0000153707","MDP0000153707")</f>
        <v>MDP0000153707</v>
      </c>
      <c r="D920">
        <v>79.06</v>
      </c>
      <c r="E920">
        <v>320</v>
      </c>
      <c r="F920">
        <v>67</v>
      </c>
      <c r="G920">
        <v>8</v>
      </c>
      <c r="H920">
        <v>1</v>
      </c>
      <c r="I920">
        <v>320</v>
      </c>
      <c r="J920">
        <v>1</v>
      </c>
      <c r="K920">
        <v>1</v>
      </c>
      <c r="L920">
        <v>312</v>
      </c>
      <c r="M920">
        <v>1</v>
      </c>
      <c r="N920">
        <v>1.8373100000000001E-151</v>
      </c>
      <c r="O920">
        <v>1370</v>
      </c>
    </row>
    <row r="921" spans="1:15" x14ac:dyDescent="0.25">
      <c r="A921" t="s">
        <v>934</v>
      </c>
      <c r="B921">
        <v>768</v>
      </c>
      <c r="C921" s="1" t="str">
        <f>HYPERLINK("http://www.rosaceae.org/gb/gbrowse/malus_x_domestica/?name=MDP0000022745","MDP0000022745")</f>
        <v>MDP0000022745</v>
      </c>
      <c r="D921">
        <v>88.7</v>
      </c>
      <c r="E921">
        <v>770</v>
      </c>
      <c r="F921">
        <v>87</v>
      </c>
      <c r="G921">
        <v>5</v>
      </c>
      <c r="H921">
        <v>1</v>
      </c>
      <c r="I921">
        <v>768</v>
      </c>
      <c r="J921">
        <v>1</v>
      </c>
      <c r="K921">
        <v>1</v>
      </c>
      <c r="L921">
        <v>767</v>
      </c>
      <c r="M921">
        <v>1</v>
      </c>
      <c r="N921">
        <v>0</v>
      </c>
      <c r="O921">
        <v>3512</v>
      </c>
    </row>
    <row r="922" spans="1:15" x14ac:dyDescent="0.25">
      <c r="A922" t="s">
        <v>935</v>
      </c>
      <c r="B922">
        <v>162</v>
      </c>
      <c r="C922" s="1" t="str">
        <f>HYPERLINK("http://www.rosaceae.org/gb/gbrowse/malus_x_domestica/?name=MDP0000803311","MDP0000803311")</f>
        <v>MDP0000803311</v>
      </c>
      <c r="D922">
        <v>48.38</v>
      </c>
      <c r="E922">
        <v>124</v>
      </c>
      <c r="F922">
        <v>64</v>
      </c>
      <c r="G922">
        <v>8</v>
      </c>
      <c r="H922">
        <v>6</v>
      </c>
      <c r="I922">
        <v>125</v>
      </c>
      <c r="J922">
        <v>1</v>
      </c>
      <c r="K922">
        <v>9</v>
      </c>
      <c r="L922">
        <v>128</v>
      </c>
      <c r="M922">
        <v>1</v>
      </c>
      <c r="N922">
        <v>1.9989399999999999E-23</v>
      </c>
      <c r="O922">
        <v>262</v>
      </c>
    </row>
    <row r="923" spans="1:15" x14ac:dyDescent="0.25">
      <c r="A923" t="s">
        <v>936</v>
      </c>
      <c r="B923">
        <v>313</v>
      </c>
      <c r="C923" s="1" t="str">
        <f>HYPERLINK("http://www.rosaceae.org/gb/gbrowse/malus_x_domestica/?name=MDP0000943426","MDP0000943426")</f>
        <v>MDP0000943426</v>
      </c>
      <c r="D923">
        <v>78.13</v>
      </c>
      <c r="E923">
        <v>279</v>
      </c>
      <c r="F923">
        <v>61</v>
      </c>
      <c r="G923">
        <v>2</v>
      </c>
      <c r="H923">
        <v>35</v>
      </c>
      <c r="I923">
        <v>313</v>
      </c>
      <c r="J923">
        <v>1</v>
      </c>
      <c r="K923">
        <v>14</v>
      </c>
      <c r="L923">
        <v>290</v>
      </c>
      <c r="M923">
        <v>1</v>
      </c>
      <c r="N923">
        <v>2.28522E-120</v>
      </c>
      <c r="O923">
        <v>1102</v>
      </c>
    </row>
    <row r="924" spans="1:15" x14ac:dyDescent="0.25">
      <c r="A924" t="s">
        <v>937</v>
      </c>
      <c r="B924">
        <v>486</v>
      </c>
      <c r="C924" s="1" t="str">
        <f>HYPERLINK("http://www.rosaceae.org/gb/gbrowse/malus_x_domestica/?name=MDP0000163774","MDP0000163774")</f>
        <v>MDP0000163774</v>
      </c>
      <c r="D924">
        <v>25.42</v>
      </c>
      <c r="E924">
        <v>295</v>
      </c>
      <c r="F924">
        <v>220</v>
      </c>
      <c r="G924">
        <v>81</v>
      </c>
      <c r="H924">
        <v>175</v>
      </c>
      <c r="I924">
        <v>394</v>
      </c>
      <c r="J924">
        <v>1</v>
      </c>
      <c r="K924">
        <v>332</v>
      </c>
      <c r="L924">
        <v>620</v>
      </c>
      <c r="M924">
        <v>1</v>
      </c>
      <c r="N924">
        <v>2.83065E-14</v>
      </c>
      <c r="O924">
        <v>189</v>
      </c>
    </row>
    <row r="925" spans="1:15" x14ac:dyDescent="0.25">
      <c r="A925" t="s">
        <v>938</v>
      </c>
      <c r="B925">
        <v>1295</v>
      </c>
      <c r="C925" s="1" t="str">
        <f>HYPERLINK("http://www.rosaceae.org/gb/gbrowse/malus_x_domestica/?name=MDP0000230416","MDP0000230416")</f>
        <v>MDP0000230416</v>
      </c>
      <c r="D925">
        <v>75.650000000000006</v>
      </c>
      <c r="E925">
        <v>653</v>
      </c>
      <c r="F925">
        <v>159</v>
      </c>
      <c r="G925">
        <v>4</v>
      </c>
      <c r="H925">
        <v>90</v>
      </c>
      <c r="I925">
        <v>742</v>
      </c>
      <c r="J925">
        <v>1</v>
      </c>
      <c r="K925">
        <v>1</v>
      </c>
      <c r="L925">
        <v>649</v>
      </c>
      <c r="M925">
        <v>1</v>
      </c>
      <c r="N925">
        <v>0</v>
      </c>
      <c r="O925">
        <v>2720</v>
      </c>
    </row>
    <row r="926" spans="1:15" x14ac:dyDescent="0.25">
      <c r="A926" t="s">
        <v>939</v>
      </c>
      <c r="B926">
        <v>338</v>
      </c>
      <c r="C926" s="1" t="str">
        <f>HYPERLINK("http://www.rosaceae.org/gb/gbrowse/malus_x_domestica/?name=MDP0000302984","MDP0000302984")</f>
        <v>MDP0000302984</v>
      </c>
      <c r="D926">
        <v>36.06</v>
      </c>
      <c r="E926">
        <v>244</v>
      </c>
      <c r="F926">
        <v>156</v>
      </c>
      <c r="G926">
        <v>5</v>
      </c>
      <c r="H926">
        <v>96</v>
      </c>
      <c r="I926">
        <v>338</v>
      </c>
      <c r="J926">
        <v>1</v>
      </c>
      <c r="K926">
        <v>509</v>
      </c>
      <c r="L926">
        <v>748</v>
      </c>
      <c r="M926">
        <v>1</v>
      </c>
      <c r="N926">
        <v>9.4688700000000009E-38</v>
      </c>
      <c r="O926">
        <v>390</v>
      </c>
    </row>
    <row r="927" spans="1:15" x14ac:dyDescent="0.25">
      <c r="A927" t="s">
        <v>940</v>
      </c>
      <c r="B927">
        <v>260</v>
      </c>
      <c r="C927" s="1" t="str">
        <f>HYPERLINK("http://www.rosaceae.org/gb/gbrowse/malus_x_domestica/?name=MDP0000318279","MDP0000318279")</f>
        <v>MDP0000318279</v>
      </c>
      <c r="D927">
        <v>35.64</v>
      </c>
      <c r="E927">
        <v>202</v>
      </c>
      <c r="F927">
        <v>130</v>
      </c>
      <c r="G927">
        <v>2</v>
      </c>
      <c r="H927">
        <v>37</v>
      </c>
      <c r="I927">
        <v>238</v>
      </c>
      <c r="J927">
        <v>1</v>
      </c>
      <c r="K927">
        <v>129</v>
      </c>
      <c r="L927">
        <v>328</v>
      </c>
      <c r="M927">
        <v>1</v>
      </c>
      <c r="N927">
        <v>3.34132E-34</v>
      </c>
      <c r="O927">
        <v>358</v>
      </c>
    </row>
    <row r="928" spans="1:15" x14ac:dyDescent="0.25">
      <c r="A928" t="s">
        <v>941</v>
      </c>
      <c r="B928">
        <v>410</v>
      </c>
      <c r="C928" s="1" t="str">
        <f>HYPERLINK("http://www.rosaceae.org/gb/gbrowse/malus_x_domestica/?name=MDP0000167253","MDP0000167253")</f>
        <v>MDP0000167253</v>
      </c>
      <c r="D928">
        <v>79.23</v>
      </c>
      <c r="E928">
        <v>419</v>
      </c>
      <c r="F928">
        <v>87</v>
      </c>
      <c r="G928">
        <v>11</v>
      </c>
      <c r="H928">
        <v>1</v>
      </c>
      <c r="I928">
        <v>410</v>
      </c>
      <c r="J928">
        <v>1</v>
      </c>
      <c r="K928">
        <v>1</v>
      </c>
      <c r="L928">
        <v>417</v>
      </c>
      <c r="M928">
        <v>1</v>
      </c>
      <c r="N928">
        <v>0</v>
      </c>
      <c r="O928">
        <v>1694</v>
      </c>
    </row>
    <row r="929" spans="1:15" x14ac:dyDescent="0.25">
      <c r="A929" t="s">
        <v>942</v>
      </c>
      <c r="B929">
        <v>449</v>
      </c>
      <c r="C929" s="1" t="str">
        <f>HYPERLINK("http://www.rosaceae.org/gb/gbrowse/malus_x_domestica/?name=MDP0000423705","MDP0000423705")</f>
        <v>MDP0000423705</v>
      </c>
      <c r="D929">
        <v>69.599999999999994</v>
      </c>
      <c r="E929">
        <v>487</v>
      </c>
      <c r="F929">
        <v>148</v>
      </c>
      <c r="G929">
        <v>60</v>
      </c>
      <c r="H929">
        <v>20</v>
      </c>
      <c r="I929">
        <v>447</v>
      </c>
      <c r="J929">
        <v>1</v>
      </c>
      <c r="K929">
        <v>13</v>
      </c>
      <c r="L929">
        <v>498</v>
      </c>
      <c r="M929">
        <v>1</v>
      </c>
      <c r="N929">
        <v>0</v>
      </c>
      <c r="O929">
        <v>1725</v>
      </c>
    </row>
    <row r="930" spans="1:15" x14ac:dyDescent="0.25">
      <c r="A930" t="s">
        <v>943</v>
      </c>
      <c r="B930">
        <v>728</v>
      </c>
      <c r="C930" s="1" t="str">
        <f>HYPERLINK("http://www.rosaceae.org/gb/gbrowse/malus_x_domestica/?name=MDP0000255764","MDP0000255764")</f>
        <v>MDP0000255764</v>
      </c>
      <c r="D930">
        <v>64.25</v>
      </c>
      <c r="E930">
        <v>235</v>
      </c>
      <c r="F930">
        <v>84</v>
      </c>
      <c r="G930">
        <v>10</v>
      </c>
      <c r="H930">
        <v>502</v>
      </c>
      <c r="I930">
        <v>728</v>
      </c>
      <c r="J930">
        <v>1</v>
      </c>
      <c r="K930">
        <v>1</v>
      </c>
      <c r="L930">
        <v>233</v>
      </c>
      <c r="M930">
        <v>1</v>
      </c>
      <c r="N930">
        <v>1.6098799999999999E-78</v>
      </c>
      <c r="O930">
        <v>745</v>
      </c>
    </row>
    <row r="931" spans="1:15" x14ac:dyDescent="0.25">
      <c r="A931" t="s">
        <v>944</v>
      </c>
      <c r="B931">
        <v>365</v>
      </c>
      <c r="C931" s="1" t="str">
        <f>HYPERLINK("http://www.rosaceae.org/gb/gbrowse/malus_x_domestica/?name=MDP0000737131","MDP0000737131")</f>
        <v>MDP0000737131</v>
      </c>
      <c r="D931">
        <v>80.989999999999995</v>
      </c>
      <c r="E931">
        <v>363</v>
      </c>
      <c r="F931">
        <v>69</v>
      </c>
      <c r="G931">
        <v>5</v>
      </c>
      <c r="H931">
        <v>1</v>
      </c>
      <c r="I931">
        <v>362</v>
      </c>
      <c r="J931">
        <v>1</v>
      </c>
      <c r="K931">
        <v>1</v>
      </c>
      <c r="L931">
        <v>359</v>
      </c>
      <c r="M931">
        <v>1</v>
      </c>
      <c r="N931">
        <v>2.9581000000000001E-171</v>
      </c>
      <c r="O931">
        <v>1542</v>
      </c>
    </row>
    <row r="932" spans="1:15" x14ac:dyDescent="0.25">
      <c r="A932" t="s">
        <v>945</v>
      </c>
      <c r="B932">
        <v>279</v>
      </c>
      <c r="C932" s="1" t="str">
        <f>HYPERLINK("http://www.rosaceae.org/gb/gbrowse/malus_x_domestica/?name=MDP0000535127","MDP0000535127")</f>
        <v>MDP0000535127</v>
      </c>
      <c r="D932">
        <v>78.489999999999995</v>
      </c>
      <c r="E932">
        <v>279</v>
      </c>
      <c r="F932">
        <v>60</v>
      </c>
      <c r="G932">
        <v>1</v>
      </c>
      <c r="H932">
        <v>1</v>
      </c>
      <c r="I932">
        <v>278</v>
      </c>
      <c r="J932">
        <v>1</v>
      </c>
      <c r="K932">
        <v>1</v>
      </c>
      <c r="L932">
        <v>279</v>
      </c>
      <c r="M932">
        <v>1</v>
      </c>
      <c r="N932">
        <v>5.2028899999999999E-130</v>
      </c>
      <c r="O932">
        <v>1185</v>
      </c>
    </row>
    <row r="933" spans="1:15" x14ac:dyDescent="0.25">
      <c r="A933" t="s">
        <v>946</v>
      </c>
      <c r="B933">
        <v>194</v>
      </c>
      <c r="C933" s="1" t="str">
        <f>HYPERLINK("http://www.rosaceae.org/gb/gbrowse/malus_x_domestica/?name=MDP0000776859","MDP0000776859")</f>
        <v>MDP0000776859</v>
      </c>
      <c r="D933">
        <v>69.38</v>
      </c>
      <c r="E933">
        <v>196</v>
      </c>
      <c r="F933">
        <v>60</v>
      </c>
      <c r="G933">
        <v>10</v>
      </c>
      <c r="H933">
        <v>1</v>
      </c>
      <c r="I933">
        <v>194</v>
      </c>
      <c r="J933">
        <v>1</v>
      </c>
      <c r="K933">
        <v>1</v>
      </c>
      <c r="L933">
        <v>188</v>
      </c>
      <c r="M933">
        <v>1</v>
      </c>
      <c r="N933">
        <v>1.9657699999999999E-75</v>
      </c>
      <c r="O933">
        <v>712</v>
      </c>
    </row>
    <row r="934" spans="1:15" x14ac:dyDescent="0.25">
      <c r="A934" t="s">
        <v>947</v>
      </c>
      <c r="B934">
        <v>176</v>
      </c>
      <c r="C934" s="1" t="str">
        <f>HYPERLINK("http://www.rosaceae.org/gb/gbrowse/malus_x_domestica/?name=MDP0000254052","MDP0000254052")</f>
        <v>MDP0000254052</v>
      </c>
      <c r="D934">
        <v>62.5</v>
      </c>
      <c r="E934">
        <v>48</v>
      </c>
      <c r="F934">
        <v>18</v>
      </c>
      <c r="G934">
        <v>4</v>
      </c>
      <c r="H934">
        <v>1</v>
      </c>
      <c r="I934">
        <v>48</v>
      </c>
      <c r="J934">
        <v>1</v>
      </c>
      <c r="K934">
        <v>1</v>
      </c>
      <c r="L934">
        <v>44</v>
      </c>
      <c r="M934">
        <v>1</v>
      </c>
      <c r="N934">
        <v>9.9508900000000006E-9</v>
      </c>
      <c r="O934">
        <v>136</v>
      </c>
    </row>
    <row r="935" spans="1:15" x14ac:dyDescent="0.25">
      <c r="A935" t="s">
        <v>948</v>
      </c>
      <c r="B935">
        <v>1260</v>
      </c>
      <c r="C935" s="1" t="str">
        <f>HYPERLINK("http://www.rosaceae.org/gb/gbrowse/malus_x_domestica/?name=MDP0000197366","MDP0000197366")</f>
        <v>MDP0000197366</v>
      </c>
      <c r="D935">
        <v>70.34</v>
      </c>
      <c r="E935">
        <v>516</v>
      </c>
      <c r="F935">
        <v>153</v>
      </c>
      <c r="G935">
        <v>84</v>
      </c>
      <c r="H935">
        <v>747</v>
      </c>
      <c r="I935">
        <v>1260</v>
      </c>
      <c r="J935">
        <v>1</v>
      </c>
      <c r="K935">
        <v>682</v>
      </c>
      <c r="L935">
        <v>1115</v>
      </c>
      <c r="M935">
        <v>1</v>
      </c>
      <c r="N935">
        <v>0</v>
      </c>
      <c r="O935">
        <v>1782</v>
      </c>
    </row>
    <row r="936" spans="1:15" x14ac:dyDescent="0.25">
      <c r="A936" t="s">
        <v>949</v>
      </c>
      <c r="B936">
        <v>169</v>
      </c>
      <c r="C936" s="1" t="str">
        <f>HYPERLINK("http://www.rosaceae.org/gb/gbrowse/malus_x_domestica/?name=MDP0000189734","MDP0000189734")</f>
        <v>MDP0000189734</v>
      </c>
      <c r="D936">
        <v>56</v>
      </c>
      <c r="E936">
        <v>75</v>
      </c>
      <c r="F936">
        <v>33</v>
      </c>
      <c r="G936">
        <v>3</v>
      </c>
      <c r="H936">
        <v>97</v>
      </c>
      <c r="I936">
        <v>168</v>
      </c>
      <c r="J936">
        <v>1</v>
      </c>
      <c r="K936">
        <v>43</v>
      </c>
      <c r="L936">
        <v>117</v>
      </c>
      <c r="M936">
        <v>1</v>
      </c>
      <c r="N936">
        <v>7.23253E-15</v>
      </c>
      <c r="O936">
        <v>189</v>
      </c>
    </row>
    <row r="937" spans="1:15" x14ac:dyDescent="0.25">
      <c r="A937" t="s">
        <v>950</v>
      </c>
      <c r="B937">
        <v>231</v>
      </c>
      <c r="C937" s="1" t="str">
        <f>HYPERLINK("http://www.rosaceae.org/gb/gbrowse/malus_x_domestica/?name=MDP0000233303","MDP0000233303")</f>
        <v>MDP0000233303</v>
      </c>
      <c r="D937">
        <v>59.04</v>
      </c>
      <c r="E937">
        <v>210</v>
      </c>
      <c r="F937">
        <v>86</v>
      </c>
      <c r="G937">
        <v>22</v>
      </c>
      <c r="H937">
        <v>1</v>
      </c>
      <c r="I937">
        <v>190</v>
      </c>
      <c r="J937">
        <v>1</v>
      </c>
      <c r="K937">
        <v>26</v>
      </c>
      <c r="L937">
        <v>233</v>
      </c>
      <c r="M937">
        <v>1</v>
      </c>
      <c r="N937">
        <v>5.2181199999999995E-57</v>
      </c>
      <c r="O937">
        <v>554</v>
      </c>
    </row>
    <row r="938" spans="1:15" x14ac:dyDescent="0.25">
      <c r="A938" t="s">
        <v>951</v>
      </c>
      <c r="B938">
        <v>563</v>
      </c>
      <c r="C938" s="1" t="str">
        <f>HYPERLINK("http://www.rosaceae.org/gb/gbrowse/malus_x_domestica/?name=MDP0000276541","MDP0000276541")</f>
        <v>MDP0000276541</v>
      </c>
      <c r="D938">
        <v>71.95</v>
      </c>
      <c r="E938">
        <v>517</v>
      </c>
      <c r="F938">
        <v>145</v>
      </c>
      <c r="G938">
        <v>24</v>
      </c>
      <c r="H938">
        <v>24</v>
      </c>
      <c r="I938">
        <v>536</v>
      </c>
      <c r="J938">
        <v>1</v>
      </c>
      <c r="K938">
        <v>70</v>
      </c>
      <c r="L938">
        <v>566</v>
      </c>
      <c r="M938">
        <v>1</v>
      </c>
      <c r="N938">
        <v>0</v>
      </c>
      <c r="O938">
        <v>1929</v>
      </c>
    </row>
    <row r="939" spans="1:15" x14ac:dyDescent="0.25">
      <c r="A939" t="s">
        <v>952</v>
      </c>
      <c r="B939">
        <v>133</v>
      </c>
      <c r="C939" s="1" t="str">
        <f>HYPERLINK("http://www.rosaceae.org/gb/gbrowse/malus_x_domestica/?name=MDP0000669437","MDP0000669437")</f>
        <v>MDP0000669437</v>
      </c>
      <c r="D939">
        <v>57.66</v>
      </c>
      <c r="E939">
        <v>137</v>
      </c>
      <c r="F939">
        <v>58</v>
      </c>
      <c r="G939">
        <v>4</v>
      </c>
      <c r="H939">
        <v>1</v>
      </c>
      <c r="I939">
        <v>133</v>
      </c>
      <c r="J939">
        <v>1</v>
      </c>
      <c r="K939">
        <v>1</v>
      </c>
      <c r="L939">
        <v>137</v>
      </c>
      <c r="M939">
        <v>1</v>
      </c>
      <c r="N939">
        <v>1.83909E-35</v>
      </c>
      <c r="O939">
        <v>364</v>
      </c>
    </row>
    <row r="940" spans="1:15" x14ac:dyDescent="0.25">
      <c r="A940" t="s">
        <v>953</v>
      </c>
      <c r="B940">
        <v>564</v>
      </c>
      <c r="C940" s="1" t="str">
        <f>HYPERLINK("http://www.rosaceae.org/gb/gbrowse/malus_x_domestica/?name=MDP0000804707","MDP0000804707")</f>
        <v>MDP0000804707</v>
      </c>
      <c r="D940">
        <v>61.16</v>
      </c>
      <c r="E940">
        <v>582</v>
      </c>
      <c r="F940">
        <v>226</v>
      </c>
      <c r="G940">
        <v>46</v>
      </c>
      <c r="H940">
        <v>2</v>
      </c>
      <c r="I940">
        <v>564</v>
      </c>
      <c r="J940">
        <v>1</v>
      </c>
      <c r="K940">
        <v>6</v>
      </c>
      <c r="L940">
        <v>560</v>
      </c>
      <c r="M940">
        <v>1</v>
      </c>
      <c r="N940">
        <v>0</v>
      </c>
      <c r="O940">
        <v>1647</v>
      </c>
    </row>
    <row r="941" spans="1:15" x14ac:dyDescent="0.25">
      <c r="A941" t="s">
        <v>954</v>
      </c>
      <c r="B941">
        <v>678</v>
      </c>
      <c r="C941" s="1" t="str">
        <f>HYPERLINK("http://www.rosaceae.org/gb/gbrowse/malus_x_domestica/?name=MDP0000218609","MDP0000218609")</f>
        <v>MDP0000218609</v>
      </c>
      <c r="D941">
        <v>77.95</v>
      </c>
      <c r="E941">
        <v>186</v>
      </c>
      <c r="F941">
        <v>41</v>
      </c>
      <c r="G941">
        <v>1</v>
      </c>
      <c r="H941">
        <v>493</v>
      </c>
      <c r="I941">
        <v>677</v>
      </c>
      <c r="J941">
        <v>1</v>
      </c>
      <c r="K941">
        <v>220</v>
      </c>
      <c r="L941">
        <v>405</v>
      </c>
      <c r="M941">
        <v>1</v>
      </c>
      <c r="N941">
        <v>2.1102399999999999E-81</v>
      </c>
      <c r="O941">
        <v>770</v>
      </c>
    </row>
    <row r="942" spans="1:15" x14ac:dyDescent="0.25">
      <c r="A942" t="s">
        <v>955</v>
      </c>
      <c r="B942">
        <v>208</v>
      </c>
      <c r="C942" s="1" t="str">
        <f>HYPERLINK("http://www.rosaceae.org/gb/gbrowse/malus_x_domestica/?name=MDP0000397306","MDP0000397306")</f>
        <v>MDP0000397306</v>
      </c>
      <c r="D942">
        <v>60.96</v>
      </c>
      <c r="E942">
        <v>187</v>
      </c>
      <c r="F942">
        <v>73</v>
      </c>
      <c r="G942">
        <v>0</v>
      </c>
      <c r="H942">
        <v>20</v>
      </c>
      <c r="I942">
        <v>206</v>
      </c>
      <c r="J942">
        <v>1</v>
      </c>
      <c r="K942">
        <v>20</v>
      </c>
      <c r="L942">
        <v>206</v>
      </c>
      <c r="M942">
        <v>1</v>
      </c>
      <c r="N942">
        <v>1.4938300000000001E-66</v>
      </c>
      <c r="O942">
        <v>636</v>
      </c>
    </row>
    <row r="943" spans="1:15" x14ac:dyDescent="0.25">
      <c r="A943" t="s">
        <v>956</v>
      </c>
      <c r="B943">
        <v>679</v>
      </c>
      <c r="C943" s="1" t="str">
        <f>HYPERLINK("http://www.rosaceae.org/gb/gbrowse/malus_x_domestica/?name=MDP0000831221","MDP0000831221")</f>
        <v>MDP0000831221</v>
      </c>
      <c r="D943">
        <v>76.510000000000005</v>
      </c>
      <c r="E943">
        <v>494</v>
      </c>
      <c r="F943">
        <v>116</v>
      </c>
      <c r="G943">
        <v>0</v>
      </c>
      <c r="H943">
        <v>17</v>
      </c>
      <c r="I943">
        <v>510</v>
      </c>
      <c r="J943">
        <v>1</v>
      </c>
      <c r="K943">
        <v>18</v>
      </c>
      <c r="L943">
        <v>511</v>
      </c>
      <c r="M943">
        <v>1</v>
      </c>
      <c r="N943">
        <v>0</v>
      </c>
      <c r="O943">
        <v>2051</v>
      </c>
    </row>
    <row r="944" spans="1:15" x14ac:dyDescent="0.25">
      <c r="A944" t="s">
        <v>957</v>
      </c>
      <c r="B944">
        <v>411</v>
      </c>
      <c r="C944" s="1" t="str">
        <f>HYPERLINK("http://www.rosaceae.org/gb/gbrowse/malus_x_domestica/?name=MDP0000143861","MDP0000143861")</f>
        <v>MDP0000143861</v>
      </c>
      <c r="D944">
        <v>73.930000000000007</v>
      </c>
      <c r="E944">
        <v>376</v>
      </c>
      <c r="F944">
        <v>98</v>
      </c>
      <c r="G944">
        <v>58</v>
      </c>
      <c r="H944">
        <v>78</v>
      </c>
      <c r="I944">
        <v>400</v>
      </c>
      <c r="J944">
        <v>1</v>
      </c>
      <c r="K944">
        <v>1</v>
      </c>
      <c r="L944">
        <v>371</v>
      </c>
      <c r="M944">
        <v>1</v>
      </c>
      <c r="N944">
        <v>1.72422E-153</v>
      </c>
      <c r="O944">
        <v>1389</v>
      </c>
    </row>
    <row r="945" spans="1:15" x14ac:dyDescent="0.25">
      <c r="A945" t="s">
        <v>958</v>
      </c>
      <c r="B945">
        <v>171</v>
      </c>
      <c r="C945" s="1" t="str">
        <f>HYPERLINK("http://www.rosaceae.org/gb/gbrowse/malus_x_domestica/?name=MDP0000258052","MDP0000258052")</f>
        <v>MDP0000258052</v>
      </c>
      <c r="D945">
        <v>69.78</v>
      </c>
      <c r="E945">
        <v>139</v>
      </c>
      <c r="F945">
        <v>42</v>
      </c>
      <c r="G945">
        <v>13</v>
      </c>
      <c r="H945">
        <v>46</v>
      </c>
      <c r="I945">
        <v>171</v>
      </c>
      <c r="J945">
        <v>1</v>
      </c>
      <c r="K945">
        <v>12</v>
      </c>
      <c r="L945">
        <v>150</v>
      </c>
      <c r="M945">
        <v>1</v>
      </c>
      <c r="N945">
        <v>2.51001E-46</v>
      </c>
      <c r="O945">
        <v>460</v>
      </c>
    </row>
    <row r="946" spans="1:15" x14ac:dyDescent="0.25">
      <c r="A946" t="s">
        <v>959</v>
      </c>
      <c r="B946">
        <v>302</v>
      </c>
      <c r="C946" s="1" t="str">
        <f>HYPERLINK("http://www.rosaceae.org/gb/gbrowse/malus_x_domestica/?name=MDP0000179039","MDP0000179039")</f>
        <v>MDP0000179039</v>
      </c>
      <c r="D946">
        <v>54.27</v>
      </c>
      <c r="E946">
        <v>234</v>
      </c>
      <c r="F946">
        <v>107</v>
      </c>
      <c r="G946">
        <v>44</v>
      </c>
      <c r="H946">
        <v>33</v>
      </c>
      <c r="I946">
        <v>266</v>
      </c>
      <c r="J946">
        <v>1</v>
      </c>
      <c r="K946">
        <v>481</v>
      </c>
      <c r="L946">
        <v>670</v>
      </c>
      <c r="M946">
        <v>1</v>
      </c>
      <c r="N946">
        <v>2.71618E-58</v>
      </c>
      <c r="O946">
        <v>567</v>
      </c>
    </row>
    <row r="947" spans="1:15" x14ac:dyDescent="0.25">
      <c r="A947" t="s">
        <v>960</v>
      </c>
      <c r="B947">
        <v>210</v>
      </c>
      <c r="C947" s="1" t="str">
        <f>HYPERLINK("http://www.rosaceae.org/gb/gbrowse/malus_x_domestica/?name=MDP0000445563","MDP0000445563")</f>
        <v>MDP0000445563</v>
      </c>
      <c r="D947">
        <v>30.97</v>
      </c>
      <c r="E947">
        <v>184</v>
      </c>
      <c r="F947">
        <v>127</v>
      </c>
      <c r="G947">
        <v>16</v>
      </c>
      <c r="H947">
        <v>21</v>
      </c>
      <c r="I947">
        <v>192</v>
      </c>
      <c r="J947">
        <v>1</v>
      </c>
      <c r="K947">
        <v>1</v>
      </c>
      <c r="L947">
        <v>180</v>
      </c>
      <c r="M947">
        <v>1</v>
      </c>
      <c r="N947">
        <v>2.9846E-15</v>
      </c>
      <c r="O947">
        <v>193</v>
      </c>
    </row>
    <row r="948" spans="1:15" x14ac:dyDescent="0.25">
      <c r="A948" t="s">
        <v>961</v>
      </c>
      <c r="B948">
        <v>216</v>
      </c>
      <c r="C948" s="1" t="str">
        <f>HYPERLINK("http://www.rosaceae.org/gb/gbrowse/malus_x_domestica/?name=MDP0000500222","MDP0000500222")</f>
        <v>MDP0000500222</v>
      </c>
      <c r="D948">
        <v>39.340000000000003</v>
      </c>
      <c r="E948">
        <v>244</v>
      </c>
      <c r="F948">
        <v>148</v>
      </c>
      <c r="G948">
        <v>46</v>
      </c>
      <c r="H948">
        <v>11</v>
      </c>
      <c r="I948">
        <v>216</v>
      </c>
      <c r="J948">
        <v>1</v>
      </c>
      <c r="K948">
        <v>64</v>
      </c>
      <c r="L948">
        <v>299</v>
      </c>
      <c r="M948">
        <v>1</v>
      </c>
      <c r="N948">
        <v>1.68883E-31</v>
      </c>
      <c r="O948">
        <v>334</v>
      </c>
    </row>
    <row r="949" spans="1:15" x14ac:dyDescent="0.25">
      <c r="A949" t="s">
        <v>962</v>
      </c>
      <c r="B949">
        <v>127</v>
      </c>
      <c r="C949" s="1" t="str">
        <f>HYPERLINK("http://www.rosaceae.org/gb/gbrowse/malus_x_domestica/?name=MDP0000133746","MDP0000133746")</f>
        <v>MDP0000133746</v>
      </c>
      <c r="D949">
        <v>45.9</v>
      </c>
      <c r="E949">
        <v>122</v>
      </c>
      <c r="F949">
        <v>66</v>
      </c>
      <c r="G949">
        <v>24</v>
      </c>
      <c r="H949">
        <v>7</v>
      </c>
      <c r="I949">
        <v>104</v>
      </c>
      <c r="J949">
        <v>1</v>
      </c>
      <c r="K949">
        <v>140</v>
      </c>
      <c r="L949">
        <v>261</v>
      </c>
      <c r="M949">
        <v>1</v>
      </c>
      <c r="N949">
        <v>1.52474E-15</v>
      </c>
      <c r="O949">
        <v>192</v>
      </c>
    </row>
    <row r="950" spans="1:15" x14ac:dyDescent="0.25">
      <c r="A950" t="s">
        <v>963</v>
      </c>
      <c r="B950">
        <v>136</v>
      </c>
      <c r="C950" s="1" t="str">
        <f>HYPERLINK("http://www.rosaceae.org/gb/gbrowse/malus_x_domestica/?name=MDP0000867772","MDP0000867772")</f>
        <v>MDP0000867772</v>
      </c>
      <c r="D950">
        <v>70.53</v>
      </c>
      <c r="E950">
        <v>112</v>
      </c>
      <c r="F950">
        <v>33</v>
      </c>
      <c r="G950">
        <v>10</v>
      </c>
      <c r="H950">
        <v>31</v>
      </c>
      <c r="I950">
        <v>132</v>
      </c>
      <c r="J950">
        <v>1</v>
      </c>
      <c r="K950">
        <v>234</v>
      </c>
      <c r="L950">
        <v>345</v>
      </c>
      <c r="M950">
        <v>1</v>
      </c>
      <c r="N950">
        <v>2.6651599999999998E-35</v>
      </c>
      <c r="O950">
        <v>363</v>
      </c>
    </row>
    <row r="951" spans="1:15" x14ac:dyDescent="0.25">
      <c r="A951" t="s">
        <v>964</v>
      </c>
      <c r="B951">
        <v>332</v>
      </c>
      <c r="C951" s="1" t="str">
        <f>HYPERLINK("http://www.rosaceae.org/gb/gbrowse/malus_x_domestica/?name=MDP0000306656","MDP0000306656")</f>
        <v>MDP0000306656</v>
      </c>
      <c r="D951">
        <v>84.51</v>
      </c>
      <c r="E951">
        <v>310</v>
      </c>
      <c r="F951">
        <v>48</v>
      </c>
      <c r="G951">
        <v>1</v>
      </c>
      <c r="H951">
        <v>1</v>
      </c>
      <c r="I951">
        <v>309</v>
      </c>
      <c r="J951">
        <v>1</v>
      </c>
      <c r="K951">
        <v>1</v>
      </c>
      <c r="L951">
        <v>310</v>
      </c>
      <c r="M951">
        <v>1</v>
      </c>
      <c r="N951">
        <v>2.99811E-145</v>
      </c>
      <c r="O951">
        <v>1317</v>
      </c>
    </row>
    <row r="952" spans="1:15" x14ac:dyDescent="0.25">
      <c r="A952" t="s">
        <v>965</v>
      </c>
      <c r="B952">
        <v>512</v>
      </c>
      <c r="C952" s="1" t="str">
        <f>HYPERLINK("http://www.rosaceae.org/gb/gbrowse/malus_x_domestica/?name=MDP0000831221","MDP0000831221")</f>
        <v>MDP0000831221</v>
      </c>
      <c r="D952">
        <v>76.099999999999994</v>
      </c>
      <c r="E952">
        <v>498</v>
      </c>
      <c r="F952">
        <v>119</v>
      </c>
      <c r="G952">
        <v>0</v>
      </c>
      <c r="H952">
        <v>12</v>
      </c>
      <c r="I952">
        <v>509</v>
      </c>
      <c r="J952">
        <v>1</v>
      </c>
      <c r="K952">
        <v>14</v>
      </c>
      <c r="L952">
        <v>511</v>
      </c>
      <c r="M952">
        <v>1</v>
      </c>
      <c r="N952">
        <v>0</v>
      </c>
      <c r="O952">
        <v>2046</v>
      </c>
    </row>
    <row r="953" spans="1:15" x14ac:dyDescent="0.25">
      <c r="A953" t="s">
        <v>966</v>
      </c>
      <c r="B953">
        <v>1034</v>
      </c>
      <c r="C953" s="1" t="str">
        <f>HYPERLINK("http://www.rosaceae.org/gb/gbrowse/malus_x_domestica/?name=MDP0000231512","MDP0000231512")</f>
        <v>MDP0000231512</v>
      </c>
      <c r="D953">
        <v>84.01</v>
      </c>
      <c r="E953">
        <v>1051</v>
      </c>
      <c r="F953">
        <v>168</v>
      </c>
      <c r="G953">
        <v>26</v>
      </c>
      <c r="H953">
        <v>3</v>
      </c>
      <c r="I953">
        <v>1030</v>
      </c>
      <c r="J953">
        <v>1</v>
      </c>
      <c r="K953">
        <v>110</v>
      </c>
      <c r="L953">
        <v>1157</v>
      </c>
      <c r="M953">
        <v>1</v>
      </c>
      <c r="N953">
        <v>0</v>
      </c>
      <c r="O953">
        <v>4604</v>
      </c>
    </row>
    <row r="954" spans="1:15" x14ac:dyDescent="0.25">
      <c r="A954" t="s">
        <v>967</v>
      </c>
      <c r="B954">
        <v>701</v>
      </c>
      <c r="C954" s="1" t="str">
        <f>HYPERLINK("http://www.rosaceae.org/gb/gbrowse/malus_x_domestica/?name=MDP0000249083","MDP0000249083")</f>
        <v>MDP0000249083</v>
      </c>
      <c r="D954">
        <v>79.930000000000007</v>
      </c>
      <c r="E954">
        <v>618</v>
      </c>
      <c r="F954">
        <v>124</v>
      </c>
      <c r="G954">
        <v>22</v>
      </c>
      <c r="H954">
        <v>35</v>
      </c>
      <c r="I954">
        <v>644</v>
      </c>
      <c r="J954">
        <v>1</v>
      </c>
      <c r="K954">
        <v>20</v>
      </c>
      <c r="L954">
        <v>623</v>
      </c>
      <c r="M954">
        <v>1</v>
      </c>
      <c r="N954">
        <v>0</v>
      </c>
      <c r="O954">
        <v>2492</v>
      </c>
    </row>
    <row r="955" spans="1:15" x14ac:dyDescent="0.25">
      <c r="A955" t="s">
        <v>968</v>
      </c>
      <c r="B955">
        <v>727</v>
      </c>
      <c r="C955" s="1" t="str">
        <f>HYPERLINK("http://www.rosaceae.org/gb/gbrowse/malus_x_domestica/?name=MDP0000258353","MDP0000258353")</f>
        <v>MDP0000258353</v>
      </c>
      <c r="D955">
        <v>66.09</v>
      </c>
      <c r="E955">
        <v>522</v>
      </c>
      <c r="F955">
        <v>177</v>
      </c>
      <c r="G955">
        <v>68</v>
      </c>
      <c r="H955">
        <v>216</v>
      </c>
      <c r="I955">
        <v>725</v>
      </c>
      <c r="J955">
        <v>1</v>
      </c>
      <c r="K955">
        <v>223</v>
      </c>
      <c r="L955">
        <v>688</v>
      </c>
      <c r="M955">
        <v>1</v>
      </c>
      <c r="N955">
        <v>0</v>
      </c>
      <c r="O955">
        <v>1658</v>
      </c>
    </row>
    <row r="956" spans="1:15" x14ac:dyDescent="0.25">
      <c r="A956" t="s">
        <v>969</v>
      </c>
      <c r="B956">
        <v>477</v>
      </c>
      <c r="C956" s="1" t="str">
        <f>HYPERLINK("http://www.rosaceae.org/gb/gbrowse/malus_x_domestica/?name=MDP0000834450","MDP0000834450")</f>
        <v>MDP0000834450</v>
      </c>
      <c r="D956">
        <v>65.489999999999995</v>
      </c>
      <c r="E956">
        <v>484</v>
      </c>
      <c r="F956">
        <v>167</v>
      </c>
      <c r="G956">
        <v>9</v>
      </c>
      <c r="H956">
        <v>1</v>
      </c>
      <c r="I956">
        <v>476</v>
      </c>
      <c r="J956">
        <v>1</v>
      </c>
      <c r="K956">
        <v>1</v>
      </c>
      <c r="L956">
        <v>483</v>
      </c>
      <c r="M956">
        <v>1</v>
      </c>
      <c r="N956">
        <v>0</v>
      </c>
      <c r="O956">
        <v>1669</v>
      </c>
    </row>
    <row r="957" spans="1:15" x14ac:dyDescent="0.25">
      <c r="A957" t="s">
        <v>970</v>
      </c>
      <c r="B957">
        <v>861</v>
      </c>
      <c r="C957" s="1" t="str">
        <f>HYPERLINK("http://www.rosaceae.org/gb/gbrowse/malus_x_domestica/?name=MDP0000276878","MDP0000276878")</f>
        <v>MDP0000276878</v>
      </c>
      <c r="D957">
        <v>78.8</v>
      </c>
      <c r="E957">
        <v>906</v>
      </c>
      <c r="F957">
        <v>192</v>
      </c>
      <c r="G957">
        <v>96</v>
      </c>
      <c r="H957">
        <v>1</v>
      </c>
      <c r="I957">
        <v>838</v>
      </c>
      <c r="J957">
        <v>1</v>
      </c>
      <c r="K957">
        <v>1</v>
      </c>
      <c r="L957">
        <v>878</v>
      </c>
      <c r="M957">
        <v>1</v>
      </c>
      <c r="N957">
        <v>0</v>
      </c>
      <c r="O957">
        <v>3738</v>
      </c>
    </row>
    <row r="958" spans="1:15" x14ac:dyDescent="0.25">
      <c r="A958" t="s">
        <v>971</v>
      </c>
      <c r="B958">
        <v>1683</v>
      </c>
      <c r="C958" s="1" t="str">
        <f>HYPERLINK("http://www.rosaceae.org/gb/gbrowse/malus_x_domestica/?name=MDP0000230799","MDP0000230799")</f>
        <v>MDP0000230799</v>
      </c>
      <c r="D958">
        <v>71.08</v>
      </c>
      <c r="E958">
        <v>1335</v>
      </c>
      <c r="F958">
        <v>386</v>
      </c>
      <c r="G958">
        <v>22</v>
      </c>
      <c r="H958">
        <v>329</v>
      </c>
      <c r="I958">
        <v>1648</v>
      </c>
      <c r="J958">
        <v>1</v>
      </c>
      <c r="K958">
        <v>9</v>
      </c>
      <c r="L958">
        <v>1336</v>
      </c>
      <c r="M958">
        <v>1</v>
      </c>
      <c r="N958">
        <v>0</v>
      </c>
      <c r="O958">
        <v>4809</v>
      </c>
    </row>
    <row r="959" spans="1:15" x14ac:dyDescent="0.25">
      <c r="A959" t="s">
        <v>972</v>
      </c>
      <c r="B959">
        <v>490</v>
      </c>
      <c r="C959" s="1" t="str">
        <f>HYPERLINK("http://www.rosaceae.org/gb/gbrowse/malus_x_domestica/?name=MDP0000570037","MDP0000570037")</f>
        <v>MDP0000570037</v>
      </c>
      <c r="D959">
        <v>57.46</v>
      </c>
      <c r="E959">
        <v>529</v>
      </c>
      <c r="F959">
        <v>225</v>
      </c>
      <c r="G959">
        <v>40</v>
      </c>
      <c r="H959">
        <v>1</v>
      </c>
      <c r="I959">
        <v>490</v>
      </c>
      <c r="J959">
        <v>1</v>
      </c>
      <c r="K959">
        <v>1</v>
      </c>
      <c r="L959">
        <v>528</v>
      </c>
      <c r="M959">
        <v>1</v>
      </c>
      <c r="N959">
        <v>1.4327600000000001E-154</v>
      </c>
      <c r="O959">
        <v>1399</v>
      </c>
    </row>
    <row r="960" spans="1:15" x14ac:dyDescent="0.25">
      <c r="A960" t="s">
        <v>973</v>
      </c>
      <c r="B960">
        <v>476</v>
      </c>
      <c r="C960" s="1" t="str">
        <f>HYPERLINK("http://www.rosaceae.org/gb/gbrowse/malus_x_domestica/?name=MDP0000312519","MDP0000312519")</f>
        <v>MDP0000312519</v>
      </c>
      <c r="D960">
        <v>45.23</v>
      </c>
      <c r="E960">
        <v>462</v>
      </c>
      <c r="F960">
        <v>253</v>
      </c>
      <c r="G960">
        <v>36</v>
      </c>
      <c r="H960">
        <v>30</v>
      </c>
      <c r="I960">
        <v>469</v>
      </c>
      <c r="J960">
        <v>1</v>
      </c>
      <c r="K960">
        <v>9</v>
      </c>
      <c r="L960">
        <v>456</v>
      </c>
      <c r="M960">
        <v>1</v>
      </c>
      <c r="N960">
        <v>7.1497800000000003E-93</v>
      </c>
      <c r="O960">
        <v>867</v>
      </c>
    </row>
    <row r="961" spans="1:15" x14ac:dyDescent="0.25">
      <c r="A961" t="s">
        <v>974</v>
      </c>
      <c r="B961">
        <v>145</v>
      </c>
      <c r="C961" s="1" t="str">
        <f>HYPERLINK("http://www.rosaceae.org/gb/gbrowse/malus_x_domestica/?name=MDP0000134902","MDP0000134902")</f>
        <v>MDP0000134902</v>
      </c>
      <c r="D961">
        <v>61.44</v>
      </c>
      <c r="E961">
        <v>83</v>
      </c>
      <c r="F961">
        <v>32</v>
      </c>
      <c r="G961">
        <v>0</v>
      </c>
      <c r="H961">
        <v>1</v>
      </c>
      <c r="I961">
        <v>83</v>
      </c>
      <c r="J961">
        <v>1</v>
      </c>
      <c r="K961">
        <v>72</v>
      </c>
      <c r="L961">
        <v>154</v>
      </c>
      <c r="M961">
        <v>1</v>
      </c>
      <c r="N961">
        <v>1.15155E-18</v>
      </c>
      <c r="O961">
        <v>220</v>
      </c>
    </row>
    <row r="962" spans="1:15" x14ac:dyDescent="0.25">
      <c r="A962" t="s">
        <v>975</v>
      </c>
      <c r="B962">
        <v>470</v>
      </c>
      <c r="C962" s="1" t="str">
        <f>HYPERLINK("http://www.rosaceae.org/gb/gbrowse/malus_x_domestica/?name=MDP0000207142","MDP0000207142")</f>
        <v>MDP0000207142</v>
      </c>
      <c r="D962">
        <v>46.47</v>
      </c>
      <c r="E962">
        <v>355</v>
      </c>
      <c r="F962">
        <v>190</v>
      </c>
      <c r="G962">
        <v>72</v>
      </c>
      <c r="H962">
        <v>4</v>
      </c>
      <c r="I962">
        <v>357</v>
      </c>
      <c r="J962">
        <v>1</v>
      </c>
      <c r="K962">
        <v>28</v>
      </c>
      <c r="L962">
        <v>311</v>
      </c>
      <c r="M962">
        <v>1</v>
      </c>
      <c r="N962">
        <v>1.7146500000000001E-69</v>
      </c>
      <c r="O962">
        <v>665</v>
      </c>
    </row>
    <row r="963" spans="1:15" x14ac:dyDescent="0.25">
      <c r="A963" t="s">
        <v>976</v>
      </c>
      <c r="B963">
        <v>145</v>
      </c>
      <c r="C963" s="1" t="str">
        <f>HYPERLINK("http://www.rosaceae.org/gb/gbrowse/malus_x_domestica/?name=MDP0000823582","MDP0000823582")</f>
        <v>MDP0000823582</v>
      </c>
      <c r="D963">
        <v>98.91</v>
      </c>
      <c r="E963">
        <v>92</v>
      </c>
      <c r="F963">
        <v>1</v>
      </c>
      <c r="G963">
        <v>0</v>
      </c>
      <c r="H963">
        <v>54</v>
      </c>
      <c r="I963">
        <v>145</v>
      </c>
      <c r="J963">
        <v>1</v>
      </c>
      <c r="K963">
        <v>57</v>
      </c>
      <c r="L963">
        <v>148</v>
      </c>
      <c r="M963">
        <v>1</v>
      </c>
      <c r="N963">
        <v>8.0410399999999996E-49</v>
      </c>
      <c r="O963">
        <v>480</v>
      </c>
    </row>
    <row r="964" spans="1:15" x14ac:dyDescent="0.25">
      <c r="A964" t="s">
        <v>977</v>
      </c>
      <c r="B964">
        <v>170</v>
      </c>
      <c r="C964" s="1" t="str">
        <f>HYPERLINK("http://www.rosaceae.org/gb/gbrowse/malus_x_domestica/?name=MDP0000130038","MDP0000130038")</f>
        <v>MDP0000130038</v>
      </c>
      <c r="D964">
        <v>37.340000000000003</v>
      </c>
      <c r="E964">
        <v>83</v>
      </c>
      <c r="F964">
        <v>52</v>
      </c>
      <c r="G964">
        <v>5</v>
      </c>
      <c r="H964">
        <v>66</v>
      </c>
      <c r="I964">
        <v>145</v>
      </c>
      <c r="J964">
        <v>1</v>
      </c>
      <c r="K964">
        <v>77</v>
      </c>
      <c r="L964">
        <v>157</v>
      </c>
      <c r="M964">
        <v>1</v>
      </c>
      <c r="N964">
        <v>7.6616899999999996E-7</v>
      </c>
      <c r="O964">
        <v>119</v>
      </c>
    </row>
    <row r="965" spans="1:15" x14ac:dyDescent="0.25">
      <c r="A965" t="s">
        <v>978</v>
      </c>
      <c r="B965">
        <v>317</v>
      </c>
      <c r="C965" s="1" t="str">
        <f>HYPERLINK("http://www.rosaceae.org/gb/gbrowse/malus_x_domestica/?name=MDP0000272643","MDP0000272643")</f>
        <v>MDP0000272643</v>
      </c>
      <c r="D965">
        <v>91.55</v>
      </c>
      <c r="E965">
        <v>296</v>
      </c>
      <c r="F965">
        <v>25</v>
      </c>
      <c r="G965">
        <v>0</v>
      </c>
      <c r="H965">
        <v>22</v>
      </c>
      <c r="I965">
        <v>317</v>
      </c>
      <c r="J965">
        <v>1</v>
      </c>
      <c r="K965">
        <v>23</v>
      </c>
      <c r="L965">
        <v>318</v>
      </c>
      <c r="M965">
        <v>1</v>
      </c>
      <c r="N965">
        <v>2.9320499999999998E-160</v>
      </c>
      <c r="O965">
        <v>1446</v>
      </c>
    </row>
    <row r="966" spans="1:15" x14ac:dyDescent="0.25">
      <c r="A966" t="s">
        <v>979</v>
      </c>
      <c r="B966">
        <v>401</v>
      </c>
      <c r="C966" s="1" t="str">
        <f>HYPERLINK("http://www.rosaceae.org/gb/gbrowse/malus_x_domestica/?name=MDP0000508187","MDP0000508187")</f>
        <v>MDP0000508187</v>
      </c>
      <c r="D966">
        <v>87.28</v>
      </c>
      <c r="E966">
        <v>401</v>
      </c>
      <c r="F966">
        <v>51</v>
      </c>
      <c r="G966">
        <v>0</v>
      </c>
      <c r="H966">
        <v>1</v>
      </c>
      <c r="I966">
        <v>401</v>
      </c>
      <c r="J966">
        <v>1</v>
      </c>
      <c r="K966">
        <v>1</v>
      </c>
      <c r="L966">
        <v>401</v>
      </c>
      <c r="M966">
        <v>1</v>
      </c>
      <c r="N966">
        <v>0</v>
      </c>
      <c r="O966">
        <v>1861</v>
      </c>
    </row>
    <row r="967" spans="1:15" x14ac:dyDescent="0.25">
      <c r="A967" t="s">
        <v>980</v>
      </c>
      <c r="B967">
        <v>579</v>
      </c>
      <c r="C967" s="1" t="str">
        <f>HYPERLINK("http://www.rosaceae.org/gb/gbrowse/malus_x_domestica/?name=MDP0000341008","MDP0000341008")</f>
        <v>MDP0000341008</v>
      </c>
      <c r="D967">
        <v>87.53</v>
      </c>
      <c r="E967">
        <v>313</v>
      </c>
      <c r="F967">
        <v>39</v>
      </c>
      <c r="G967">
        <v>1</v>
      </c>
      <c r="H967">
        <v>1</v>
      </c>
      <c r="I967">
        <v>312</v>
      </c>
      <c r="J967">
        <v>1</v>
      </c>
      <c r="K967">
        <v>1</v>
      </c>
      <c r="L967">
        <v>313</v>
      </c>
      <c r="M967">
        <v>1</v>
      </c>
      <c r="N967">
        <v>1.12036E-157</v>
      </c>
      <c r="O967">
        <v>1427</v>
      </c>
    </row>
    <row r="968" spans="1:15" x14ac:dyDescent="0.25">
      <c r="A968" t="s">
        <v>981</v>
      </c>
      <c r="B968">
        <v>292</v>
      </c>
      <c r="C968" s="1" t="str">
        <f>HYPERLINK("http://www.rosaceae.org/gb/gbrowse/malus_x_domestica/?name=MDP0000771151","MDP0000771151")</f>
        <v>MDP0000771151</v>
      </c>
      <c r="D968">
        <v>74.09</v>
      </c>
      <c r="E968">
        <v>193</v>
      </c>
      <c r="F968">
        <v>50</v>
      </c>
      <c r="G968">
        <v>33</v>
      </c>
      <c r="H968">
        <v>96</v>
      </c>
      <c r="I968">
        <v>288</v>
      </c>
      <c r="J968">
        <v>1</v>
      </c>
      <c r="K968">
        <v>35</v>
      </c>
      <c r="L968">
        <v>194</v>
      </c>
      <c r="M968">
        <v>1</v>
      </c>
      <c r="N968">
        <v>2.7213999999999998E-75</v>
      </c>
      <c r="O968">
        <v>713</v>
      </c>
    </row>
    <row r="969" spans="1:15" x14ac:dyDescent="0.25">
      <c r="A969" t="s">
        <v>982</v>
      </c>
      <c r="B969">
        <v>723</v>
      </c>
      <c r="C969" s="1" t="str">
        <f>HYPERLINK("http://www.rosaceae.org/gb/gbrowse/malus_x_domestica/?name=MDP0000137221","MDP0000137221")</f>
        <v>MDP0000137221</v>
      </c>
      <c r="D969">
        <v>75.13</v>
      </c>
      <c r="E969">
        <v>724</v>
      </c>
      <c r="F969">
        <v>180</v>
      </c>
      <c r="G969">
        <v>9</v>
      </c>
      <c r="H969">
        <v>4</v>
      </c>
      <c r="I969">
        <v>723</v>
      </c>
      <c r="J969">
        <v>1</v>
      </c>
      <c r="K969">
        <v>2</v>
      </c>
      <c r="L969">
        <v>720</v>
      </c>
      <c r="M969">
        <v>1</v>
      </c>
      <c r="N969">
        <v>0</v>
      </c>
      <c r="O969">
        <v>2814</v>
      </c>
    </row>
    <row r="970" spans="1:15" x14ac:dyDescent="0.25">
      <c r="A970" t="s">
        <v>983</v>
      </c>
      <c r="B970">
        <v>1041</v>
      </c>
      <c r="C970" s="1" t="str">
        <f>HYPERLINK("http://www.rosaceae.org/gb/gbrowse/malus_x_domestica/?name=MDP0000285776","MDP0000285776")</f>
        <v>MDP0000285776</v>
      </c>
      <c r="D970">
        <v>39.43</v>
      </c>
      <c r="E970">
        <v>1088</v>
      </c>
      <c r="F970">
        <v>659</v>
      </c>
      <c r="G970">
        <v>125</v>
      </c>
      <c r="H970">
        <v>1</v>
      </c>
      <c r="I970">
        <v>1040</v>
      </c>
      <c r="J970">
        <v>1</v>
      </c>
      <c r="K970">
        <v>560</v>
      </c>
      <c r="L970">
        <v>1570</v>
      </c>
      <c r="M970">
        <v>1</v>
      </c>
      <c r="N970">
        <v>0</v>
      </c>
      <c r="O970">
        <v>1634</v>
      </c>
    </row>
    <row r="971" spans="1:15" x14ac:dyDescent="0.25">
      <c r="A971" t="s">
        <v>984</v>
      </c>
      <c r="B971">
        <v>359</v>
      </c>
      <c r="C971" s="1" t="str">
        <f>HYPERLINK("http://www.rosaceae.org/gb/gbrowse/malus_x_domestica/?name=MDP0000282696","MDP0000282696")</f>
        <v>MDP0000282696</v>
      </c>
      <c r="D971">
        <v>83.92</v>
      </c>
      <c r="E971">
        <v>280</v>
      </c>
      <c r="F971">
        <v>45</v>
      </c>
      <c r="G971">
        <v>0</v>
      </c>
      <c r="H971">
        <v>1</v>
      </c>
      <c r="I971">
        <v>280</v>
      </c>
      <c r="J971">
        <v>1</v>
      </c>
      <c r="K971">
        <v>1</v>
      </c>
      <c r="L971">
        <v>280</v>
      </c>
      <c r="M971">
        <v>1</v>
      </c>
      <c r="N971">
        <v>8.2839200000000007E-136</v>
      </c>
      <c r="O971">
        <v>1236</v>
      </c>
    </row>
    <row r="972" spans="1:15" x14ac:dyDescent="0.25">
      <c r="A972" t="s">
        <v>985</v>
      </c>
      <c r="B972">
        <v>800</v>
      </c>
      <c r="C972" s="1" t="str">
        <f>HYPERLINK("http://www.rosaceae.org/gb/gbrowse/malus_x_domestica/?name=MDP0000135143","MDP0000135143")</f>
        <v>MDP0000135143</v>
      </c>
      <c r="D972">
        <v>64.599999999999994</v>
      </c>
      <c r="E972">
        <v>486</v>
      </c>
      <c r="F972">
        <v>172</v>
      </c>
      <c r="G972">
        <v>53</v>
      </c>
      <c r="H972">
        <v>319</v>
      </c>
      <c r="I972">
        <v>757</v>
      </c>
      <c r="J972">
        <v>1</v>
      </c>
      <c r="K972">
        <v>1</v>
      </c>
      <c r="L972">
        <v>480</v>
      </c>
      <c r="M972">
        <v>1</v>
      </c>
      <c r="N972">
        <v>3.4316099999999999E-161</v>
      </c>
      <c r="O972">
        <v>1459</v>
      </c>
    </row>
    <row r="973" spans="1:15" x14ac:dyDescent="0.25">
      <c r="A973" t="s">
        <v>986</v>
      </c>
      <c r="B973">
        <v>196</v>
      </c>
      <c r="C973" s="1" t="str">
        <f>HYPERLINK("http://www.rosaceae.org/gb/gbrowse/malus_x_domestica/?name=MDP0000276664","MDP0000276664")</f>
        <v>MDP0000276664</v>
      </c>
      <c r="D973">
        <v>53.29</v>
      </c>
      <c r="E973">
        <v>182</v>
      </c>
      <c r="F973">
        <v>85</v>
      </c>
      <c r="G973">
        <v>8</v>
      </c>
      <c r="H973">
        <v>23</v>
      </c>
      <c r="I973">
        <v>196</v>
      </c>
      <c r="J973">
        <v>1</v>
      </c>
      <c r="K973">
        <v>1</v>
      </c>
      <c r="L973">
        <v>182</v>
      </c>
      <c r="M973">
        <v>1</v>
      </c>
      <c r="N973">
        <v>1.6707900000000001E-45</v>
      </c>
      <c r="O973">
        <v>454</v>
      </c>
    </row>
    <row r="974" spans="1:15" x14ac:dyDescent="0.25">
      <c r="A974" t="s">
        <v>987</v>
      </c>
      <c r="B974">
        <v>376</v>
      </c>
      <c r="C974" s="1" t="str">
        <f>HYPERLINK("http://www.rosaceae.org/gb/gbrowse/malus_x_domestica/?name=MDP0000312342","MDP0000312342")</f>
        <v>MDP0000312342</v>
      </c>
      <c r="D974">
        <v>30</v>
      </c>
      <c r="E974">
        <v>310</v>
      </c>
      <c r="F974">
        <v>217</v>
      </c>
      <c r="G974">
        <v>41</v>
      </c>
      <c r="H974">
        <v>5</v>
      </c>
      <c r="I974">
        <v>296</v>
      </c>
      <c r="J974">
        <v>1</v>
      </c>
      <c r="K974">
        <v>4</v>
      </c>
      <c r="L974">
        <v>290</v>
      </c>
      <c r="M974">
        <v>1</v>
      </c>
      <c r="N974">
        <v>1.06065E-24</v>
      </c>
      <c r="O974">
        <v>278</v>
      </c>
    </row>
    <row r="975" spans="1:15" x14ac:dyDescent="0.25">
      <c r="A975" t="s">
        <v>988</v>
      </c>
      <c r="B975">
        <v>510</v>
      </c>
      <c r="C975" s="1" t="str">
        <f>HYPERLINK("http://www.rosaceae.org/gb/gbrowse/malus_x_domestica/?name=MDP0000143053","MDP0000143053")</f>
        <v>MDP0000143053</v>
      </c>
      <c r="D975">
        <v>65.16</v>
      </c>
      <c r="E975">
        <v>155</v>
      </c>
      <c r="F975">
        <v>54</v>
      </c>
      <c r="G975">
        <v>1</v>
      </c>
      <c r="H975">
        <v>357</v>
      </c>
      <c r="I975">
        <v>510</v>
      </c>
      <c r="J975">
        <v>1</v>
      </c>
      <c r="K975">
        <v>5</v>
      </c>
      <c r="L975">
        <v>159</v>
      </c>
      <c r="M975">
        <v>1</v>
      </c>
      <c r="N975">
        <v>1.00686E-57</v>
      </c>
      <c r="O975">
        <v>564</v>
      </c>
    </row>
    <row r="976" spans="1:15" x14ac:dyDescent="0.25">
      <c r="A976" t="s">
        <v>989</v>
      </c>
      <c r="B976">
        <v>321</v>
      </c>
      <c r="C976" s="1" t="str">
        <f>HYPERLINK("http://www.rosaceae.org/gb/gbrowse/malus_x_domestica/?name=MDP0000138729","MDP0000138729")</f>
        <v>MDP0000138729</v>
      </c>
      <c r="D976">
        <v>54.68</v>
      </c>
      <c r="E976">
        <v>128</v>
      </c>
      <c r="F976">
        <v>58</v>
      </c>
      <c r="G976">
        <v>10</v>
      </c>
      <c r="H976">
        <v>84</v>
      </c>
      <c r="I976">
        <v>209</v>
      </c>
      <c r="J976">
        <v>1</v>
      </c>
      <c r="K976">
        <v>30</v>
      </c>
      <c r="L976">
        <v>149</v>
      </c>
      <c r="M976">
        <v>1</v>
      </c>
      <c r="N976">
        <v>1.7856800000000001E-35</v>
      </c>
      <c r="O976">
        <v>370</v>
      </c>
    </row>
    <row r="977" spans="1:15" x14ac:dyDescent="0.25">
      <c r="A977" t="s">
        <v>990</v>
      </c>
      <c r="B977">
        <v>157</v>
      </c>
      <c r="C977" s="1" t="str">
        <f>HYPERLINK("http://www.rosaceae.org/gb/gbrowse/malus_x_domestica/?name=MDP0000127653","MDP0000127653")</f>
        <v>MDP0000127653</v>
      </c>
      <c r="D977">
        <v>49.7</v>
      </c>
      <c r="E977">
        <v>169</v>
      </c>
      <c r="F977">
        <v>85</v>
      </c>
      <c r="G977">
        <v>35</v>
      </c>
      <c r="H977">
        <v>24</v>
      </c>
      <c r="I977">
        <v>157</v>
      </c>
      <c r="J977">
        <v>1</v>
      </c>
      <c r="K977">
        <v>22</v>
      </c>
      <c r="L977">
        <v>190</v>
      </c>
      <c r="M977">
        <v>1</v>
      </c>
      <c r="N977">
        <v>2.05334E-37</v>
      </c>
      <c r="O977">
        <v>382</v>
      </c>
    </row>
    <row r="978" spans="1:15" x14ac:dyDescent="0.25">
      <c r="A978" t="s">
        <v>991</v>
      </c>
      <c r="B978">
        <v>770</v>
      </c>
      <c r="C978" s="1" t="str">
        <f>HYPERLINK("http://www.rosaceae.org/gb/gbrowse/malus_x_domestica/?name=MDP0000296918","MDP0000296918")</f>
        <v>MDP0000296918</v>
      </c>
      <c r="D978">
        <v>81.81</v>
      </c>
      <c r="E978">
        <v>770</v>
      </c>
      <c r="F978">
        <v>140</v>
      </c>
      <c r="G978">
        <v>10</v>
      </c>
      <c r="H978">
        <v>1</v>
      </c>
      <c r="I978">
        <v>768</v>
      </c>
      <c r="J978">
        <v>1</v>
      </c>
      <c r="K978">
        <v>1</v>
      </c>
      <c r="L978">
        <v>762</v>
      </c>
      <c r="M978">
        <v>1</v>
      </c>
      <c r="N978">
        <v>0</v>
      </c>
      <c r="O978">
        <v>3288</v>
      </c>
    </row>
    <row r="979" spans="1:15" x14ac:dyDescent="0.25">
      <c r="A979" t="s">
        <v>992</v>
      </c>
      <c r="B979">
        <v>571</v>
      </c>
      <c r="C979" s="1" t="str">
        <f>HYPERLINK("http://www.rosaceae.org/gb/gbrowse/malus_x_domestica/?name=MDP0000135968","MDP0000135968")</f>
        <v>MDP0000135968</v>
      </c>
      <c r="D979">
        <v>78.489999999999995</v>
      </c>
      <c r="E979">
        <v>293</v>
      </c>
      <c r="F979">
        <v>63</v>
      </c>
      <c r="G979">
        <v>18</v>
      </c>
      <c r="H979">
        <v>1</v>
      </c>
      <c r="I979">
        <v>275</v>
      </c>
      <c r="J979">
        <v>1</v>
      </c>
      <c r="K979">
        <v>197</v>
      </c>
      <c r="L979">
        <v>489</v>
      </c>
      <c r="M979">
        <v>1</v>
      </c>
      <c r="N979">
        <v>6.5071100000000002E-131</v>
      </c>
      <c r="O979">
        <v>1196</v>
      </c>
    </row>
    <row r="980" spans="1:15" x14ac:dyDescent="0.25">
      <c r="A980" t="s">
        <v>993</v>
      </c>
      <c r="B980">
        <v>211</v>
      </c>
      <c r="C980" s="1" t="str">
        <f>HYPERLINK("http://www.rosaceae.org/gb/gbrowse/malus_x_domestica/?name=MDP0000154615","MDP0000154615")</f>
        <v>MDP0000154615</v>
      </c>
      <c r="D980">
        <v>54.36</v>
      </c>
      <c r="E980">
        <v>149</v>
      </c>
      <c r="F980">
        <v>68</v>
      </c>
      <c r="G980">
        <v>26</v>
      </c>
      <c r="H980">
        <v>5</v>
      </c>
      <c r="I980">
        <v>147</v>
      </c>
      <c r="J980">
        <v>1</v>
      </c>
      <c r="K980">
        <v>4</v>
      </c>
      <c r="L980">
        <v>132</v>
      </c>
      <c r="M980">
        <v>1</v>
      </c>
      <c r="N980">
        <v>1.59175E-27</v>
      </c>
      <c r="O980">
        <v>299</v>
      </c>
    </row>
    <row r="981" spans="1:15" x14ac:dyDescent="0.25">
      <c r="A981" t="s">
        <v>994</v>
      </c>
      <c r="B981">
        <v>793</v>
      </c>
      <c r="C981" s="1" t="str">
        <f>HYPERLINK("http://www.rosaceae.org/gb/gbrowse/malus_x_domestica/?name=MDP0000648845","MDP0000648845")</f>
        <v>MDP0000648845</v>
      </c>
      <c r="D981">
        <v>73.23</v>
      </c>
      <c r="E981">
        <v>710</v>
      </c>
      <c r="F981">
        <v>190</v>
      </c>
      <c r="G981">
        <v>43</v>
      </c>
      <c r="H981">
        <v>4</v>
      </c>
      <c r="I981">
        <v>699</v>
      </c>
      <c r="J981">
        <v>1</v>
      </c>
      <c r="K981">
        <v>338</v>
      </c>
      <c r="L981">
        <v>1018</v>
      </c>
      <c r="M981">
        <v>1</v>
      </c>
      <c r="N981">
        <v>0</v>
      </c>
      <c r="O981">
        <v>2600</v>
      </c>
    </row>
    <row r="982" spans="1:15" x14ac:dyDescent="0.25">
      <c r="A982" t="s">
        <v>995</v>
      </c>
      <c r="B982">
        <v>359</v>
      </c>
      <c r="C982" s="1" t="str">
        <f>HYPERLINK("http://www.rosaceae.org/gb/gbrowse/malus_x_domestica/?name=MDP0000297148","MDP0000297148")</f>
        <v>MDP0000297148</v>
      </c>
      <c r="D982">
        <v>58.48</v>
      </c>
      <c r="E982">
        <v>395</v>
      </c>
      <c r="F982">
        <v>164</v>
      </c>
      <c r="G982">
        <v>50</v>
      </c>
      <c r="H982">
        <v>1</v>
      </c>
      <c r="I982">
        <v>359</v>
      </c>
      <c r="J982">
        <v>1</v>
      </c>
      <c r="K982">
        <v>1</v>
      </c>
      <c r="L982">
        <v>381</v>
      </c>
      <c r="M982">
        <v>1</v>
      </c>
      <c r="N982">
        <v>1.9843299999999999E-115</v>
      </c>
      <c r="O982">
        <v>1060</v>
      </c>
    </row>
    <row r="983" spans="1:15" x14ac:dyDescent="0.25">
      <c r="A983" t="s">
        <v>996</v>
      </c>
      <c r="B983">
        <v>164</v>
      </c>
      <c r="C983" s="1" t="str">
        <f>HYPERLINK("http://www.rosaceae.org/gb/gbrowse/malus_x_domestica/?name=MDP0000167788","MDP0000167788")</f>
        <v>MDP0000167788</v>
      </c>
      <c r="D983">
        <v>35.29</v>
      </c>
      <c r="E983">
        <v>136</v>
      </c>
      <c r="F983">
        <v>88</v>
      </c>
      <c r="G983">
        <v>20</v>
      </c>
      <c r="H983">
        <v>25</v>
      </c>
      <c r="I983">
        <v>159</v>
      </c>
      <c r="J983">
        <v>1</v>
      </c>
      <c r="K983">
        <v>70</v>
      </c>
      <c r="L983">
        <v>186</v>
      </c>
      <c r="M983">
        <v>1</v>
      </c>
      <c r="N983">
        <v>1.5143300000000001E-12</v>
      </c>
      <c r="O983">
        <v>168</v>
      </c>
    </row>
    <row r="984" spans="1:15" x14ac:dyDescent="0.25">
      <c r="A984" t="s">
        <v>997</v>
      </c>
      <c r="B984">
        <v>490</v>
      </c>
      <c r="C984" s="1" t="str">
        <f>HYPERLINK("http://www.rosaceae.org/gb/gbrowse/malus_x_domestica/?name=MDP0000192471","MDP0000192471")</f>
        <v>MDP0000192471</v>
      </c>
      <c r="D984">
        <v>51.63</v>
      </c>
      <c r="E984">
        <v>490</v>
      </c>
      <c r="F984">
        <v>237</v>
      </c>
      <c r="G984">
        <v>2</v>
      </c>
      <c r="H984">
        <v>1</v>
      </c>
      <c r="I984">
        <v>488</v>
      </c>
      <c r="J984">
        <v>1</v>
      </c>
      <c r="K984">
        <v>1</v>
      </c>
      <c r="L984">
        <v>490</v>
      </c>
      <c r="M984">
        <v>1</v>
      </c>
      <c r="N984">
        <v>4.88909E-151</v>
      </c>
      <c r="O984">
        <v>1369</v>
      </c>
    </row>
    <row r="985" spans="1:15" x14ac:dyDescent="0.25">
      <c r="A985" t="s">
        <v>998</v>
      </c>
      <c r="B985">
        <v>493</v>
      </c>
      <c r="C985" s="1" t="str">
        <f>HYPERLINK("http://www.rosaceae.org/gb/gbrowse/malus_x_domestica/?name=MDP0000774499","MDP0000774499")</f>
        <v>MDP0000774499</v>
      </c>
      <c r="D985">
        <v>79.19</v>
      </c>
      <c r="E985">
        <v>346</v>
      </c>
      <c r="F985">
        <v>72</v>
      </c>
      <c r="G985">
        <v>3</v>
      </c>
      <c r="H985">
        <v>1</v>
      </c>
      <c r="I985">
        <v>345</v>
      </c>
      <c r="J985">
        <v>1</v>
      </c>
      <c r="K985">
        <v>1</v>
      </c>
      <c r="L985">
        <v>344</v>
      </c>
      <c r="M985">
        <v>1</v>
      </c>
      <c r="N985">
        <v>7.9137999999999995E-164</v>
      </c>
      <c r="O985">
        <v>1479</v>
      </c>
    </row>
    <row r="986" spans="1:15" x14ac:dyDescent="0.25">
      <c r="A986" t="s">
        <v>999</v>
      </c>
      <c r="B986">
        <v>864</v>
      </c>
      <c r="C986" s="1" t="str">
        <f>HYPERLINK("http://www.rosaceae.org/gb/gbrowse/malus_x_domestica/?name=MDP0000191749","MDP0000191749")</f>
        <v>MDP0000191749</v>
      </c>
      <c r="D986">
        <v>37.659999999999997</v>
      </c>
      <c r="E986">
        <v>916</v>
      </c>
      <c r="F986">
        <v>571</v>
      </c>
      <c r="G986">
        <v>176</v>
      </c>
      <c r="H986">
        <v>35</v>
      </c>
      <c r="I986">
        <v>864</v>
      </c>
      <c r="J986">
        <v>1</v>
      </c>
      <c r="K986">
        <v>33</v>
      </c>
      <c r="L986">
        <v>858</v>
      </c>
      <c r="M986">
        <v>1</v>
      </c>
      <c r="N986">
        <v>1.8649999999999999E-96</v>
      </c>
      <c r="O986">
        <v>901</v>
      </c>
    </row>
    <row r="987" spans="1:15" x14ac:dyDescent="0.25">
      <c r="A987" t="s">
        <v>1000</v>
      </c>
      <c r="B987">
        <v>546</v>
      </c>
      <c r="C987" s="1" t="str">
        <f>HYPERLINK("http://www.rosaceae.org/gb/gbrowse/malus_x_domestica/?name=MDP0000231499","MDP0000231499")</f>
        <v>MDP0000231499</v>
      </c>
      <c r="D987">
        <v>71.69</v>
      </c>
      <c r="E987">
        <v>530</v>
      </c>
      <c r="F987">
        <v>150</v>
      </c>
      <c r="G987">
        <v>4</v>
      </c>
      <c r="H987">
        <v>17</v>
      </c>
      <c r="I987">
        <v>546</v>
      </c>
      <c r="J987">
        <v>1</v>
      </c>
      <c r="K987">
        <v>17</v>
      </c>
      <c r="L987">
        <v>542</v>
      </c>
      <c r="M987">
        <v>1</v>
      </c>
      <c r="N987">
        <v>0</v>
      </c>
      <c r="O987">
        <v>2027</v>
      </c>
    </row>
    <row r="988" spans="1:15" x14ac:dyDescent="0.25">
      <c r="A988" t="s">
        <v>1001</v>
      </c>
      <c r="B988">
        <v>589</v>
      </c>
      <c r="C988" s="1" t="str">
        <f>HYPERLINK("http://www.rosaceae.org/gb/gbrowse/malus_x_domestica/?name=MDP0000245253","MDP0000245253")</f>
        <v>MDP0000245253</v>
      </c>
      <c r="D988">
        <v>65.34</v>
      </c>
      <c r="E988">
        <v>606</v>
      </c>
      <c r="F988">
        <v>210</v>
      </c>
      <c r="G988">
        <v>23</v>
      </c>
      <c r="H988">
        <v>1</v>
      </c>
      <c r="I988">
        <v>589</v>
      </c>
      <c r="J988">
        <v>1</v>
      </c>
      <c r="K988">
        <v>1</v>
      </c>
      <c r="L988">
        <v>600</v>
      </c>
      <c r="M988">
        <v>1</v>
      </c>
      <c r="N988">
        <v>0</v>
      </c>
      <c r="O988">
        <v>1938</v>
      </c>
    </row>
    <row r="989" spans="1:15" x14ac:dyDescent="0.25">
      <c r="A989" t="s">
        <v>1002</v>
      </c>
      <c r="B989">
        <v>287</v>
      </c>
      <c r="C989" s="1" t="str">
        <f>HYPERLINK("http://www.rosaceae.org/gb/gbrowse/malus_x_domestica/?name=MDP0000197702","MDP0000197702")</f>
        <v>MDP0000197702</v>
      </c>
      <c r="D989">
        <v>62.02</v>
      </c>
      <c r="E989">
        <v>366</v>
      </c>
      <c r="F989">
        <v>139</v>
      </c>
      <c r="G989">
        <v>104</v>
      </c>
      <c r="H989">
        <v>1</v>
      </c>
      <c r="I989">
        <v>262</v>
      </c>
      <c r="J989">
        <v>1</v>
      </c>
      <c r="K989">
        <v>1</v>
      </c>
      <c r="L989">
        <v>366</v>
      </c>
      <c r="M989">
        <v>1</v>
      </c>
      <c r="N989">
        <v>3.2530300000000002E-118</v>
      </c>
      <c r="O989">
        <v>1083</v>
      </c>
    </row>
    <row r="990" spans="1:15" x14ac:dyDescent="0.25">
      <c r="A990" t="s">
        <v>1003</v>
      </c>
      <c r="B990">
        <v>198</v>
      </c>
      <c r="C990" s="1" t="str">
        <f>HYPERLINK("http://www.rosaceae.org/gb/gbrowse/malus_x_domestica/?name=MDP0000608268","MDP0000608268")</f>
        <v>MDP0000608268</v>
      </c>
      <c r="D990">
        <v>55.1</v>
      </c>
      <c r="E990">
        <v>98</v>
      </c>
      <c r="F990">
        <v>44</v>
      </c>
      <c r="G990">
        <v>0</v>
      </c>
      <c r="H990">
        <v>1</v>
      </c>
      <c r="I990">
        <v>98</v>
      </c>
      <c r="J990">
        <v>1</v>
      </c>
      <c r="K990">
        <v>53</v>
      </c>
      <c r="L990">
        <v>150</v>
      </c>
      <c r="M990">
        <v>1</v>
      </c>
      <c r="N990">
        <v>9.97535E-24</v>
      </c>
      <c r="O990">
        <v>266</v>
      </c>
    </row>
    <row r="991" spans="1:15" x14ac:dyDescent="0.25">
      <c r="A991" t="s">
        <v>1004</v>
      </c>
      <c r="B991">
        <v>932</v>
      </c>
      <c r="C991" s="1" t="str">
        <f>HYPERLINK("http://www.rosaceae.org/gb/gbrowse/malus_x_domestica/?name=MDP0000428199","MDP0000428199")</f>
        <v>MDP0000428199</v>
      </c>
      <c r="D991">
        <v>32.19</v>
      </c>
      <c r="E991">
        <v>410</v>
      </c>
      <c r="F991">
        <v>278</v>
      </c>
      <c r="G991">
        <v>34</v>
      </c>
      <c r="H991">
        <v>3</v>
      </c>
      <c r="I991">
        <v>395</v>
      </c>
      <c r="J991">
        <v>1</v>
      </c>
      <c r="K991">
        <v>7</v>
      </c>
      <c r="L991">
        <v>399</v>
      </c>
      <c r="M991">
        <v>1</v>
      </c>
      <c r="N991">
        <v>9.2868999999999995E-49</v>
      </c>
      <c r="O991">
        <v>490</v>
      </c>
    </row>
    <row r="992" spans="1:15" x14ac:dyDescent="0.25">
      <c r="A992" t="s">
        <v>1005</v>
      </c>
      <c r="B992">
        <v>335</v>
      </c>
      <c r="C992" s="1" t="str">
        <f>HYPERLINK("http://www.rosaceae.org/gb/gbrowse/malus_x_domestica/?name=MDP0000663084","MDP0000663084")</f>
        <v>MDP0000663084</v>
      </c>
      <c r="D992">
        <v>79.760000000000005</v>
      </c>
      <c r="E992">
        <v>336</v>
      </c>
      <c r="F992">
        <v>68</v>
      </c>
      <c r="G992">
        <v>1</v>
      </c>
      <c r="H992">
        <v>1</v>
      </c>
      <c r="I992">
        <v>335</v>
      </c>
      <c r="J992">
        <v>1</v>
      </c>
      <c r="K992">
        <v>45</v>
      </c>
      <c r="L992">
        <v>380</v>
      </c>
      <c r="M992">
        <v>1</v>
      </c>
      <c r="N992">
        <v>1.30324E-157</v>
      </c>
      <c r="O992">
        <v>1424</v>
      </c>
    </row>
    <row r="993" spans="1:15" x14ac:dyDescent="0.25">
      <c r="A993" t="s">
        <v>1006</v>
      </c>
      <c r="B993">
        <v>565</v>
      </c>
      <c r="C993" s="1" t="str">
        <f>HYPERLINK("http://www.rosaceae.org/gb/gbrowse/malus_x_domestica/?name=MDP0000226817","MDP0000226817")</f>
        <v>MDP0000226817</v>
      </c>
      <c r="D993">
        <v>73.58</v>
      </c>
      <c r="E993">
        <v>583</v>
      </c>
      <c r="F993">
        <v>154</v>
      </c>
      <c r="G993">
        <v>25</v>
      </c>
      <c r="H993">
        <v>1</v>
      </c>
      <c r="I993">
        <v>565</v>
      </c>
      <c r="J993">
        <v>1</v>
      </c>
      <c r="K993">
        <v>1</v>
      </c>
      <c r="L993">
        <v>576</v>
      </c>
      <c r="M993">
        <v>1</v>
      </c>
      <c r="N993">
        <v>0</v>
      </c>
      <c r="O993">
        <v>2147</v>
      </c>
    </row>
    <row r="994" spans="1:15" x14ac:dyDescent="0.25">
      <c r="A994" t="s">
        <v>1007</v>
      </c>
      <c r="B994">
        <v>225</v>
      </c>
      <c r="C994" s="1" t="str">
        <f>HYPERLINK("http://www.rosaceae.org/gb/gbrowse/malus_x_domestica/?name=MDP0000144516","MDP0000144516")</f>
        <v>MDP0000144516</v>
      </c>
      <c r="D994">
        <v>47.67</v>
      </c>
      <c r="E994">
        <v>172</v>
      </c>
      <c r="F994">
        <v>90</v>
      </c>
      <c r="G994">
        <v>6</v>
      </c>
      <c r="H994">
        <v>6</v>
      </c>
      <c r="I994">
        <v>173</v>
      </c>
      <c r="J994">
        <v>1</v>
      </c>
      <c r="K994">
        <v>17</v>
      </c>
      <c r="L994">
        <v>186</v>
      </c>
      <c r="M994">
        <v>1</v>
      </c>
      <c r="N994">
        <v>1.4949299999999999E-34</v>
      </c>
      <c r="O994">
        <v>360</v>
      </c>
    </row>
    <row r="995" spans="1:15" x14ac:dyDescent="0.25">
      <c r="A995" t="s">
        <v>1008</v>
      </c>
      <c r="B995">
        <v>908</v>
      </c>
      <c r="C995" s="1" t="str">
        <f>HYPERLINK("http://www.rosaceae.org/gb/gbrowse/malus_x_domestica/?name=MDP0000219774","MDP0000219774")</f>
        <v>MDP0000219774</v>
      </c>
      <c r="D995">
        <v>67.02</v>
      </c>
      <c r="E995">
        <v>564</v>
      </c>
      <c r="F995">
        <v>186</v>
      </c>
      <c r="G995">
        <v>111</v>
      </c>
      <c r="H995">
        <v>373</v>
      </c>
      <c r="I995">
        <v>907</v>
      </c>
      <c r="J995">
        <v>1</v>
      </c>
      <c r="K995">
        <v>488</v>
      </c>
      <c r="L995">
        <v>969</v>
      </c>
      <c r="M995">
        <v>1</v>
      </c>
      <c r="N995">
        <v>0</v>
      </c>
      <c r="O995">
        <v>1825</v>
      </c>
    </row>
    <row r="996" spans="1:15" x14ac:dyDescent="0.25">
      <c r="A996" t="s">
        <v>1009</v>
      </c>
      <c r="B996">
        <v>388</v>
      </c>
      <c r="C996" s="1" t="str">
        <f>HYPERLINK("http://www.rosaceae.org/gb/gbrowse/malus_x_domestica/?name=MDP0000167358","MDP0000167358")</f>
        <v>MDP0000167358</v>
      </c>
      <c r="D996">
        <v>69.62</v>
      </c>
      <c r="E996">
        <v>372</v>
      </c>
      <c r="F996">
        <v>113</v>
      </c>
      <c r="G996">
        <v>3</v>
      </c>
      <c r="H996">
        <v>17</v>
      </c>
      <c r="I996">
        <v>388</v>
      </c>
      <c r="J996">
        <v>1</v>
      </c>
      <c r="K996">
        <v>47</v>
      </c>
      <c r="L996">
        <v>415</v>
      </c>
      <c r="M996">
        <v>1</v>
      </c>
      <c r="N996">
        <v>3.58266E-148</v>
      </c>
      <c r="O996">
        <v>1343</v>
      </c>
    </row>
    <row r="997" spans="1:15" x14ac:dyDescent="0.25">
      <c r="A997" t="s">
        <v>1010</v>
      </c>
      <c r="B997">
        <v>710</v>
      </c>
      <c r="C997" s="1" t="str">
        <f>HYPERLINK("http://www.rosaceae.org/gb/gbrowse/malus_x_domestica/?name=MDP0000282789","MDP0000282789")</f>
        <v>MDP0000282789</v>
      </c>
      <c r="D997">
        <v>62.34</v>
      </c>
      <c r="E997">
        <v>571</v>
      </c>
      <c r="F997">
        <v>215</v>
      </c>
      <c r="G997">
        <v>33</v>
      </c>
      <c r="H997">
        <v>2</v>
      </c>
      <c r="I997">
        <v>557</v>
      </c>
      <c r="J997">
        <v>1</v>
      </c>
      <c r="K997">
        <v>3</v>
      </c>
      <c r="L997">
        <v>555</v>
      </c>
      <c r="M997">
        <v>1</v>
      </c>
      <c r="N997">
        <v>0</v>
      </c>
      <c r="O997">
        <v>1828</v>
      </c>
    </row>
    <row r="998" spans="1:15" x14ac:dyDescent="0.25">
      <c r="A998" t="s">
        <v>1011</v>
      </c>
      <c r="B998">
        <v>977</v>
      </c>
      <c r="C998" s="1" t="str">
        <f>HYPERLINK("http://www.rosaceae.org/gb/gbrowse/malus_x_domestica/?name=MDP0000950137","MDP0000950137")</f>
        <v>MDP0000950137</v>
      </c>
      <c r="D998">
        <v>83.95</v>
      </c>
      <c r="E998">
        <v>81</v>
      </c>
      <c r="F998">
        <v>13</v>
      </c>
      <c r="G998">
        <v>0</v>
      </c>
      <c r="H998">
        <v>371</v>
      </c>
      <c r="I998">
        <v>451</v>
      </c>
      <c r="J998">
        <v>1</v>
      </c>
      <c r="K998">
        <v>277</v>
      </c>
      <c r="L998">
        <v>357</v>
      </c>
      <c r="M998">
        <v>1</v>
      </c>
      <c r="N998">
        <v>2.8886200000000001E-31</v>
      </c>
      <c r="O998">
        <v>339</v>
      </c>
    </row>
    <row r="999" spans="1:15" x14ac:dyDescent="0.25">
      <c r="A999" t="s">
        <v>1012</v>
      </c>
      <c r="B999">
        <v>587</v>
      </c>
      <c r="C999" s="1" t="str">
        <f>HYPERLINK("http://www.rosaceae.org/gb/gbrowse/malus_x_domestica/?name=MDP0000277847","MDP0000277847")</f>
        <v>MDP0000277847</v>
      </c>
      <c r="D999">
        <v>81.42</v>
      </c>
      <c r="E999">
        <v>183</v>
      </c>
      <c r="F999">
        <v>34</v>
      </c>
      <c r="G999">
        <v>2</v>
      </c>
      <c r="H999">
        <v>1</v>
      </c>
      <c r="I999">
        <v>182</v>
      </c>
      <c r="J999">
        <v>1</v>
      </c>
      <c r="K999">
        <v>90</v>
      </c>
      <c r="L999">
        <v>271</v>
      </c>
      <c r="M999">
        <v>1</v>
      </c>
      <c r="N999">
        <v>1.2874800000000001E-81</v>
      </c>
      <c r="O999">
        <v>771</v>
      </c>
    </row>
    <row r="1000" spans="1:15" x14ac:dyDescent="0.25">
      <c r="A1000" t="s">
        <v>1013</v>
      </c>
      <c r="B1000">
        <v>271</v>
      </c>
      <c r="C1000" s="1" t="str">
        <f>HYPERLINK("http://www.rosaceae.org/gb/gbrowse/malus_x_domestica/?name=MDP0000573752","MDP0000573752")</f>
        <v>MDP0000573752</v>
      </c>
      <c r="D1000">
        <v>69.959999999999994</v>
      </c>
      <c r="E1000">
        <v>273</v>
      </c>
      <c r="F1000">
        <v>82</v>
      </c>
      <c r="G1000">
        <v>4</v>
      </c>
      <c r="H1000">
        <v>1</v>
      </c>
      <c r="I1000">
        <v>271</v>
      </c>
      <c r="J1000">
        <v>1</v>
      </c>
      <c r="K1000">
        <v>1</v>
      </c>
      <c r="L1000">
        <v>271</v>
      </c>
      <c r="M1000">
        <v>1</v>
      </c>
      <c r="N1000">
        <v>5.0487200000000002E-103</v>
      </c>
      <c r="O1000">
        <v>952</v>
      </c>
    </row>
    <row r="1001" spans="1:15" x14ac:dyDescent="0.25">
      <c r="A1001" t="s">
        <v>1014</v>
      </c>
      <c r="B1001">
        <v>694</v>
      </c>
      <c r="C1001" s="1" t="str">
        <f>HYPERLINK("http://www.rosaceae.org/gb/gbrowse/malus_x_domestica/?name=MDP0000157225","MDP0000157225")</f>
        <v>MDP0000157225</v>
      </c>
      <c r="D1001">
        <v>40.549999999999997</v>
      </c>
      <c r="E1001">
        <v>794</v>
      </c>
      <c r="F1001">
        <v>472</v>
      </c>
      <c r="G1001">
        <v>120</v>
      </c>
      <c r="H1001">
        <v>9</v>
      </c>
      <c r="I1001">
        <v>685</v>
      </c>
      <c r="J1001">
        <v>1</v>
      </c>
      <c r="K1001">
        <v>11</v>
      </c>
      <c r="L1001">
        <v>801</v>
      </c>
      <c r="M1001">
        <v>1</v>
      </c>
      <c r="N1001">
        <v>1.3654500000000001E-153</v>
      </c>
      <c r="O1001">
        <v>1392</v>
      </c>
    </row>
    <row r="1002" spans="1:15" x14ac:dyDescent="0.25">
      <c r="A1002" t="s">
        <v>1015</v>
      </c>
      <c r="B1002">
        <v>172</v>
      </c>
      <c r="C1002" s="1" t="str">
        <f>HYPERLINK("http://www.rosaceae.org/gb/gbrowse/malus_x_domestica/?name=MDP0000119678","MDP0000119678")</f>
        <v>MDP0000119678</v>
      </c>
      <c r="D1002">
        <v>61.11</v>
      </c>
      <c r="E1002">
        <v>126</v>
      </c>
      <c r="F1002">
        <v>49</v>
      </c>
      <c r="G1002">
        <v>8</v>
      </c>
      <c r="H1002">
        <v>48</v>
      </c>
      <c r="I1002">
        <v>172</v>
      </c>
      <c r="J1002">
        <v>1</v>
      </c>
      <c r="K1002">
        <v>24</v>
      </c>
      <c r="L1002">
        <v>142</v>
      </c>
      <c r="M1002">
        <v>1</v>
      </c>
      <c r="N1002">
        <v>6.4441199999999996E-34</v>
      </c>
      <c r="O1002">
        <v>353</v>
      </c>
    </row>
    <row r="1003" spans="1:15" x14ac:dyDescent="0.25">
      <c r="A1003" t="s">
        <v>1016</v>
      </c>
      <c r="B1003">
        <v>1130</v>
      </c>
      <c r="C1003" s="1" t="str">
        <f>HYPERLINK("http://www.rosaceae.org/gb/gbrowse/malus_x_domestica/?name=MDP0000242756","MDP0000242756")</f>
        <v>MDP0000242756</v>
      </c>
      <c r="D1003">
        <v>84.08</v>
      </c>
      <c r="E1003">
        <v>1112</v>
      </c>
      <c r="F1003">
        <v>177</v>
      </c>
      <c r="G1003">
        <v>3</v>
      </c>
      <c r="H1003">
        <v>20</v>
      </c>
      <c r="I1003">
        <v>1130</v>
      </c>
      <c r="J1003">
        <v>1</v>
      </c>
      <c r="K1003">
        <v>34</v>
      </c>
      <c r="L1003">
        <v>1143</v>
      </c>
      <c r="M1003">
        <v>1</v>
      </c>
      <c r="N1003">
        <v>0</v>
      </c>
      <c r="O1003">
        <v>5002</v>
      </c>
    </row>
    <row r="1004" spans="1:15" x14ac:dyDescent="0.25">
      <c r="A1004" t="s">
        <v>1017</v>
      </c>
      <c r="B1004">
        <v>368</v>
      </c>
      <c r="C1004" s="1" t="str">
        <f>HYPERLINK("http://www.rosaceae.org/gb/gbrowse/malus_x_domestica/?name=MDP0000155311","MDP0000155311")</f>
        <v>MDP0000155311</v>
      </c>
      <c r="D1004">
        <v>82.41</v>
      </c>
      <c r="E1004">
        <v>91</v>
      </c>
      <c r="F1004">
        <v>16</v>
      </c>
      <c r="G1004">
        <v>2</v>
      </c>
      <c r="H1004">
        <v>226</v>
      </c>
      <c r="I1004">
        <v>314</v>
      </c>
      <c r="J1004">
        <v>1</v>
      </c>
      <c r="K1004">
        <v>221</v>
      </c>
      <c r="L1004">
        <v>311</v>
      </c>
      <c r="M1004">
        <v>1</v>
      </c>
      <c r="N1004">
        <v>8.8959899999999996E-39</v>
      </c>
      <c r="O1004">
        <v>399</v>
      </c>
    </row>
    <row r="1005" spans="1:15" x14ac:dyDescent="0.25">
      <c r="A1005" t="s">
        <v>1018</v>
      </c>
      <c r="B1005">
        <v>566</v>
      </c>
      <c r="C1005" s="1" t="str">
        <f>HYPERLINK("http://www.rosaceae.org/gb/gbrowse/malus_x_domestica/?name=MDP0000581417","MDP0000581417")</f>
        <v>MDP0000581417</v>
      </c>
      <c r="D1005">
        <v>47.49</v>
      </c>
      <c r="E1005">
        <v>259</v>
      </c>
      <c r="F1005">
        <v>136</v>
      </c>
      <c r="G1005">
        <v>60</v>
      </c>
      <c r="H1005">
        <v>122</v>
      </c>
      <c r="I1005">
        <v>320</v>
      </c>
      <c r="J1005">
        <v>1</v>
      </c>
      <c r="K1005">
        <v>184</v>
      </c>
      <c r="L1005">
        <v>442</v>
      </c>
      <c r="M1005">
        <v>1</v>
      </c>
      <c r="N1005">
        <v>6.5253999999999993E-55</v>
      </c>
      <c r="O1005">
        <v>541</v>
      </c>
    </row>
    <row r="1006" spans="1:15" x14ac:dyDescent="0.25">
      <c r="A1006" t="s">
        <v>1019</v>
      </c>
      <c r="B1006">
        <v>349</v>
      </c>
      <c r="C1006" s="1" t="str">
        <f>HYPERLINK("http://www.rosaceae.org/gb/gbrowse/malus_x_domestica/?name=MDP0000153463","MDP0000153463")</f>
        <v>MDP0000153463</v>
      </c>
      <c r="D1006">
        <v>68.98</v>
      </c>
      <c r="E1006">
        <v>316</v>
      </c>
      <c r="F1006">
        <v>98</v>
      </c>
      <c r="G1006">
        <v>43</v>
      </c>
      <c r="H1006">
        <v>42</v>
      </c>
      <c r="I1006">
        <v>342</v>
      </c>
      <c r="J1006">
        <v>1</v>
      </c>
      <c r="K1006">
        <v>16</v>
      </c>
      <c r="L1006">
        <v>303</v>
      </c>
      <c r="M1006">
        <v>1</v>
      </c>
      <c r="N1006">
        <v>6.0151999999999997E-121</v>
      </c>
      <c r="O1006">
        <v>1108</v>
      </c>
    </row>
    <row r="1007" spans="1:15" x14ac:dyDescent="0.25">
      <c r="A1007" t="s">
        <v>1020</v>
      </c>
      <c r="B1007">
        <v>680</v>
      </c>
      <c r="C1007" s="1" t="str">
        <f>HYPERLINK("http://www.rosaceae.org/gb/gbrowse/malus_x_domestica/?name=MDP0000189794","MDP0000189794")</f>
        <v>MDP0000189794</v>
      </c>
      <c r="D1007">
        <v>69.790000000000006</v>
      </c>
      <c r="E1007">
        <v>692</v>
      </c>
      <c r="F1007">
        <v>209</v>
      </c>
      <c r="G1007">
        <v>38</v>
      </c>
      <c r="H1007">
        <v>1</v>
      </c>
      <c r="I1007">
        <v>665</v>
      </c>
      <c r="J1007">
        <v>1</v>
      </c>
      <c r="K1007">
        <v>1</v>
      </c>
      <c r="L1007">
        <v>681</v>
      </c>
      <c r="M1007">
        <v>1</v>
      </c>
      <c r="N1007">
        <v>0</v>
      </c>
      <c r="O1007">
        <v>2476</v>
      </c>
    </row>
    <row r="1008" spans="1:15" x14ac:dyDescent="0.25">
      <c r="A1008" t="s">
        <v>1021</v>
      </c>
      <c r="B1008">
        <v>164</v>
      </c>
      <c r="C1008" s="1" t="str">
        <f>HYPERLINK("http://www.rosaceae.org/gb/gbrowse/malus_x_domestica/?name=MDP0000239437","MDP0000239437")</f>
        <v>MDP0000239437</v>
      </c>
      <c r="D1008">
        <v>48.42</v>
      </c>
      <c r="E1008">
        <v>95</v>
      </c>
      <c r="F1008">
        <v>49</v>
      </c>
      <c r="G1008">
        <v>5</v>
      </c>
      <c r="H1008">
        <v>29</v>
      </c>
      <c r="I1008">
        <v>123</v>
      </c>
      <c r="J1008">
        <v>1</v>
      </c>
      <c r="K1008">
        <v>36</v>
      </c>
      <c r="L1008">
        <v>125</v>
      </c>
      <c r="M1008">
        <v>1</v>
      </c>
      <c r="N1008">
        <v>1.62959E-18</v>
      </c>
      <c r="O1008">
        <v>220</v>
      </c>
    </row>
    <row r="1009" spans="1:15" x14ac:dyDescent="0.25">
      <c r="A1009" t="s">
        <v>1022</v>
      </c>
      <c r="B1009">
        <v>291</v>
      </c>
      <c r="C1009" s="1" t="str">
        <f>HYPERLINK("http://www.rosaceae.org/gb/gbrowse/malus_x_domestica/?name=MDP0000190407","MDP0000190407")</f>
        <v>MDP0000190407</v>
      </c>
      <c r="D1009">
        <v>42.4</v>
      </c>
      <c r="E1009">
        <v>250</v>
      </c>
      <c r="F1009">
        <v>144</v>
      </c>
      <c r="G1009">
        <v>19</v>
      </c>
      <c r="H1009">
        <v>1</v>
      </c>
      <c r="I1009">
        <v>244</v>
      </c>
      <c r="J1009">
        <v>1</v>
      </c>
      <c r="K1009">
        <v>278</v>
      </c>
      <c r="L1009">
        <v>514</v>
      </c>
      <c r="M1009">
        <v>1</v>
      </c>
      <c r="N1009">
        <v>2.17985E-45</v>
      </c>
      <c r="O1009">
        <v>455</v>
      </c>
    </row>
    <row r="1010" spans="1:15" x14ac:dyDescent="0.25">
      <c r="A1010" t="s">
        <v>1023</v>
      </c>
      <c r="B1010">
        <v>252</v>
      </c>
      <c r="C1010" s="1" t="str">
        <f>HYPERLINK("http://www.rosaceae.org/gb/gbrowse/malus_x_domestica/?name=MDP0000252292","MDP0000252292")</f>
        <v>MDP0000252292</v>
      </c>
      <c r="D1010">
        <v>79.239999999999995</v>
      </c>
      <c r="E1010">
        <v>212</v>
      </c>
      <c r="F1010">
        <v>44</v>
      </c>
      <c r="G1010">
        <v>0</v>
      </c>
      <c r="H1010">
        <v>39</v>
      </c>
      <c r="I1010">
        <v>250</v>
      </c>
      <c r="J1010">
        <v>1</v>
      </c>
      <c r="K1010">
        <v>1</v>
      </c>
      <c r="L1010">
        <v>212</v>
      </c>
      <c r="M1010">
        <v>1</v>
      </c>
      <c r="N1010">
        <v>2.5694799999999998E-100</v>
      </c>
      <c r="O1010">
        <v>928</v>
      </c>
    </row>
    <row r="1011" spans="1:15" x14ac:dyDescent="0.25">
      <c r="A1011" t="s">
        <v>1024</v>
      </c>
      <c r="B1011">
        <v>176</v>
      </c>
      <c r="C1011" s="1" t="str">
        <f>HYPERLINK("http://www.rosaceae.org/gb/gbrowse/malus_x_domestica/?name=MDP0000137468","MDP0000137468")</f>
        <v>MDP0000137468</v>
      </c>
      <c r="D1011">
        <v>33.17</v>
      </c>
      <c r="E1011">
        <v>211</v>
      </c>
      <c r="F1011">
        <v>141</v>
      </c>
      <c r="G1011">
        <v>42</v>
      </c>
      <c r="H1011">
        <v>5</v>
      </c>
      <c r="I1011">
        <v>176</v>
      </c>
      <c r="J1011">
        <v>1</v>
      </c>
      <c r="K1011">
        <v>3</v>
      </c>
      <c r="L1011">
        <v>210</v>
      </c>
      <c r="M1011">
        <v>1</v>
      </c>
      <c r="N1011">
        <v>4.31263E-15</v>
      </c>
      <c r="O1011">
        <v>191</v>
      </c>
    </row>
    <row r="1012" spans="1:15" x14ac:dyDescent="0.25">
      <c r="A1012" t="s">
        <v>1025</v>
      </c>
      <c r="B1012">
        <v>519</v>
      </c>
      <c r="C1012" s="1" t="str">
        <f>HYPERLINK("http://www.rosaceae.org/gb/gbrowse/malus_x_domestica/?name=MDP0000156544","MDP0000156544")</f>
        <v>MDP0000156544</v>
      </c>
      <c r="D1012">
        <v>60.42</v>
      </c>
      <c r="E1012">
        <v>523</v>
      </c>
      <c r="F1012">
        <v>207</v>
      </c>
      <c r="G1012">
        <v>6</v>
      </c>
      <c r="H1012">
        <v>1</v>
      </c>
      <c r="I1012">
        <v>519</v>
      </c>
      <c r="J1012">
        <v>1</v>
      </c>
      <c r="K1012">
        <v>1</v>
      </c>
      <c r="L1012">
        <v>521</v>
      </c>
      <c r="M1012">
        <v>1</v>
      </c>
      <c r="N1012">
        <v>0</v>
      </c>
      <c r="O1012">
        <v>1662</v>
      </c>
    </row>
    <row r="1013" spans="1:15" x14ac:dyDescent="0.25">
      <c r="A1013" t="s">
        <v>1026</v>
      </c>
      <c r="B1013">
        <v>107</v>
      </c>
      <c r="C1013" s="1" t="str">
        <f>HYPERLINK("http://www.rosaceae.org/gb/gbrowse/malus_x_domestica/?name=MDP0000482092","MDP0000482092")</f>
        <v>MDP0000482092</v>
      </c>
      <c r="D1013">
        <v>29.03</v>
      </c>
      <c r="E1013">
        <v>124</v>
      </c>
      <c r="F1013">
        <v>88</v>
      </c>
      <c r="G1013">
        <v>22</v>
      </c>
      <c r="H1013">
        <v>1</v>
      </c>
      <c r="I1013">
        <v>106</v>
      </c>
      <c r="J1013">
        <v>1</v>
      </c>
      <c r="K1013">
        <v>504</v>
      </c>
      <c r="L1013">
        <v>623</v>
      </c>
      <c r="M1013">
        <v>1</v>
      </c>
      <c r="N1013">
        <v>8.3998299999999995E-9</v>
      </c>
      <c r="O1013">
        <v>133</v>
      </c>
    </row>
    <row r="1014" spans="1:15" x14ac:dyDescent="0.25">
      <c r="A1014" t="s">
        <v>1027</v>
      </c>
      <c r="B1014">
        <v>157</v>
      </c>
      <c r="C1014" s="1" t="str">
        <f>HYPERLINK("http://www.rosaceae.org/gb/gbrowse/malus_x_domestica/?name=MDP0000205603","MDP0000205603")</f>
        <v>MDP0000205603</v>
      </c>
      <c r="D1014">
        <v>26.75</v>
      </c>
      <c r="E1014">
        <v>157</v>
      </c>
      <c r="F1014">
        <v>115</v>
      </c>
      <c r="G1014">
        <v>2</v>
      </c>
      <c r="H1014">
        <v>1</v>
      </c>
      <c r="I1014">
        <v>157</v>
      </c>
      <c r="J1014">
        <v>1</v>
      </c>
      <c r="K1014">
        <v>283</v>
      </c>
      <c r="L1014">
        <v>437</v>
      </c>
      <c r="M1014">
        <v>1</v>
      </c>
      <c r="N1014">
        <v>2.4027399999999998E-13</v>
      </c>
      <c r="O1014">
        <v>175</v>
      </c>
    </row>
    <row r="1015" spans="1:15" x14ac:dyDescent="0.25">
      <c r="A1015" t="s">
        <v>1028</v>
      </c>
      <c r="B1015">
        <v>354</v>
      </c>
      <c r="C1015" s="1" t="str">
        <f>HYPERLINK("http://www.rosaceae.org/gb/gbrowse/malus_x_domestica/?name=MDP0000321309","MDP0000321309")</f>
        <v>MDP0000321309</v>
      </c>
      <c r="D1015">
        <v>60.78</v>
      </c>
      <c r="E1015">
        <v>51</v>
      </c>
      <c r="F1015">
        <v>20</v>
      </c>
      <c r="G1015">
        <v>4</v>
      </c>
      <c r="H1015">
        <v>1</v>
      </c>
      <c r="I1015">
        <v>51</v>
      </c>
      <c r="J1015">
        <v>1</v>
      </c>
      <c r="K1015">
        <v>1</v>
      </c>
      <c r="L1015">
        <v>47</v>
      </c>
      <c r="M1015">
        <v>1</v>
      </c>
      <c r="N1015">
        <v>8.6364799999999999E-10</v>
      </c>
      <c r="O1015">
        <v>149</v>
      </c>
    </row>
    <row r="1016" spans="1:15" x14ac:dyDescent="0.25">
      <c r="A1016" t="s">
        <v>1029</v>
      </c>
      <c r="B1016">
        <v>131</v>
      </c>
      <c r="C1016" s="1" t="str">
        <f>HYPERLINK("http://www.rosaceae.org/gb/gbrowse/malus_x_domestica/?name=MDP0000314254","MDP0000314254")</f>
        <v>MDP0000314254</v>
      </c>
      <c r="D1016">
        <v>29.13</v>
      </c>
      <c r="E1016">
        <v>151</v>
      </c>
      <c r="F1016">
        <v>107</v>
      </c>
      <c r="G1016">
        <v>24</v>
      </c>
      <c r="H1016">
        <v>1</v>
      </c>
      <c r="I1016">
        <v>127</v>
      </c>
      <c r="J1016">
        <v>1</v>
      </c>
      <c r="K1016">
        <v>361</v>
      </c>
      <c r="L1016">
        <v>511</v>
      </c>
      <c r="M1016">
        <v>1</v>
      </c>
      <c r="N1016">
        <v>1.52775E-13</v>
      </c>
      <c r="O1016">
        <v>175</v>
      </c>
    </row>
    <row r="1017" spans="1:15" x14ac:dyDescent="0.25">
      <c r="A1017" t="s">
        <v>1030</v>
      </c>
      <c r="B1017">
        <v>145</v>
      </c>
      <c r="C1017" s="1" t="str">
        <f>HYPERLINK("http://www.rosaceae.org/gb/gbrowse/malus_x_domestica/?name=MDP0000784608","MDP0000784608")</f>
        <v>MDP0000784608</v>
      </c>
      <c r="D1017">
        <v>56.43</v>
      </c>
      <c r="E1017">
        <v>101</v>
      </c>
      <c r="F1017">
        <v>44</v>
      </c>
      <c r="G1017">
        <v>0</v>
      </c>
      <c r="H1017">
        <v>42</v>
      </c>
      <c r="I1017">
        <v>142</v>
      </c>
      <c r="J1017">
        <v>1</v>
      </c>
      <c r="K1017">
        <v>66</v>
      </c>
      <c r="L1017">
        <v>166</v>
      </c>
      <c r="M1017">
        <v>1</v>
      </c>
      <c r="N1017">
        <v>1.9255899999999999E-29</v>
      </c>
      <c r="O1017">
        <v>313</v>
      </c>
    </row>
    <row r="1018" spans="1:15" x14ac:dyDescent="0.25">
      <c r="A1018" t="s">
        <v>1031</v>
      </c>
      <c r="B1018">
        <v>476</v>
      </c>
      <c r="C1018" s="1" t="str">
        <f>HYPERLINK("http://www.rosaceae.org/gb/gbrowse/malus_x_domestica/?name=MDP0000024936","MDP0000024936")</f>
        <v>MDP0000024936</v>
      </c>
      <c r="D1018">
        <v>63.16</v>
      </c>
      <c r="E1018">
        <v>467</v>
      </c>
      <c r="F1018">
        <v>172</v>
      </c>
      <c r="G1018">
        <v>16</v>
      </c>
      <c r="H1018">
        <v>9</v>
      </c>
      <c r="I1018">
        <v>475</v>
      </c>
      <c r="J1018">
        <v>1</v>
      </c>
      <c r="K1018">
        <v>20</v>
      </c>
      <c r="L1018">
        <v>470</v>
      </c>
      <c r="M1018">
        <v>1</v>
      </c>
      <c r="N1018">
        <v>1.17325E-168</v>
      </c>
      <c r="O1018">
        <v>1521</v>
      </c>
    </row>
    <row r="1019" spans="1:15" x14ac:dyDescent="0.25">
      <c r="A1019" t="s">
        <v>1032</v>
      </c>
      <c r="B1019">
        <v>285</v>
      </c>
      <c r="C1019" s="1" t="str">
        <f>HYPERLINK("http://www.rosaceae.org/gb/gbrowse/malus_x_domestica/?name=MDP0000255763","MDP0000255763")</f>
        <v>MDP0000255763</v>
      </c>
      <c r="D1019">
        <v>59.57</v>
      </c>
      <c r="E1019">
        <v>235</v>
      </c>
      <c r="F1019">
        <v>95</v>
      </c>
      <c r="G1019">
        <v>8</v>
      </c>
      <c r="H1019">
        <v>58</v>
      </c>
      <c r="I1019">
        <v>284</v>
      </c>
      <c r="J1019">
        <v>1</v>
      </c>
      <c r="K1019">
        <v>81</v>
      </c>
      <c r="L1019">
        <v>315</v>
      </c>
      <c r="M1019">
        <v>1</v>
      </c>
      <c r="N1019">
        <v>9.9782300000000005E-71</v>
      </c>
      <c r="O1019">
        <v>674</v>
      </c>
    </row>
    <row r="1020" spans="1:15" x14ac:dyDescent="0.25">
      <c r="A1020" t="s">
        <v>1033</v>
      </c>
      <c r="B1020">
        <v>533</v>
      </c>
      <c r="C1020" s="1" t="str">
        <f>HYPERLINK("http://www.rosaceae.org/gb/gbrowse/malus_x_domestica/?name=MDP0000674355","MDP0000674355")</f>
        <v>MDP0000674355</v>
      </c>
      <c r="D1020">
        <v>68.930000000000007</v>
      </c>
      <c r="E1020">
        <v>528</v>
      </c>
      <c r="F1020">
        <v>164</v>
      </c>
      <c r="G1020">
        <v>14</v>
      </c>
      <c r="H1020">
        <v>9</v>
      </c>
      <c r="I1020">
        <v>533</v>
      </c>
      <c r="J1020">
        <v>1</v>
      </c>
      <c r="K1020">
        <v>22</v>
      </c>
      <c r="L1020">
        <v>538</v>
      </c>
      <c r="M1020">
        <v>1</v>
      </c>
      <c r="N1020">
        <v>0</v>
      </c>
      <c r="O1020">
        <v>1914</v>
      </c>
    </row>
    <row r="1021" spans="1:15" x14ac:dyDescent="0.25">
      <c r="A1021" t="s">
        <v>1034</v>
      </c>
      <c r="B1021">
        <v>294</v>
      </c>
      <c r="C1021" s="1" t="str">
        <f>HYPERLINK("http://www.rosaceae.org/gb/gbrowse/malus_x_domestica/?name=MDP0000535127","MDP0000535127")</f>
        <v>MDP0000535127</v>
      </c>
      <c r="D1021">
        <v>75</v>
      </c>
      <c r="E1021">
        <v>284</v>
      </c>
      <c r="F1021">
        <v>71</v>
      </c>
      <c r="G1021">
        <v>6</v>
      </c>
      <c r="H1021">
        <v>15</v>
      </c>
      <c r="I1021">
        <v>294</v>
      </c>
      <c r="J1021">
        <v>1</v>
      </c>
      <c r="K1021">
        <v>345</v>
      </c>
      <c r="L1021">
        <v>626</v>
      </c>
      <c r="M1021">
        <v>1</v>
      </c>
      <c r="N1021">
        <v>2.8074899999999997E-119</v>
      </c>
      <c r="O1021">
        <v>1092</v>
      </c>
    </row>
    <row r="1022" spans="1:15" x14ac:dyDescent="0.25">
      <c r="A1022" t="s">
        <v>1035</v>
      </c>
      <c r="B1022">
        <v>674</v>
      </c>
      <c r="C1022" s="1" t="str">
        <f>HYPERLINK("http://www.rosaceae.org/gb/gbrowse/malus_x_domestica/?name=MDP0000140157","MDP0000140157")</f>
        <v>MDP0000140157</v>
      </c>
      <c r="D1022">
        <v>42.28</v>
      </c>
      <c r="E1022">
        <v>719</v>
      </c>
      <c r="F1022">
        <v>415</v>
      </c>
      <c r="G1022">
        <v>140</v>
      </c>
      <c r="H1022">
        <v>1</v>
      </c>
      <c r="I1022">
        <v>661</v>
      </c>
      <c r="J1022">
        <v>1</v>
      </c>
      <c r="K1022">
        <v>1</v>
      </c>
      <c r="L1022">
        <v>637</v>
      </c>
      <c r="M1022">
        <v>1</v>
      </c>
      <c r="N1022">
        <v>2.1452399999999998E-115</v>
      </c>
      <c r="O1022">
        <v>1063</v>
      </c>
    </row>
    <row r="1023" spans="1:15" x14ac:dyDescent="0.25">
      <c r="A1023" t="s">
        <v>1036</v>
      </c>
      <c r="B1023">
        <v>703</v>
      </c>
      <c r="C1023" s="1" t="str">
        <f>HYPERLINK("http://www.rosaceae.org/gb/gbrowse/malus_x_domestica/?name=MDP0000804741","MDP0000804741")</f>
        <v>MDP0000804741</v>
      </c>
      <c r="D1023">
        <v>74.27</v>
      </c>
      <c r="E1023">
        <v>447</v>
      </c>
      <c r="F1023">
        <v>115</v>
      </c>
      <c r="G1023">
        <v>5</v>
      </c>
      <c r="H1023">
        <v>28</v>
      </c>
      <c r="I1023">
        <v>469</v>
      </c>
      <c r="J1023">
        <v>1</v>
      </c>
      <c r="K1023">
        <v>31</v>
      </c>
      <c r="L1023">
        <v>477</v>
      </c>
      <c r="M1023">
        <v>1</v>
      </c>
      <c r="N1023">
        <v>0</v>
      </c>
      <c r="O1023">
        <v>1795</v>
      </c>
    </row>
    <row r="1024" spans="1:15" x14ac:dyDescent="0.25">
      <c r="A1024" t="s">
        <v>1037</v>
      </c>
      <c r="B1024">
        <v>451</v>
      </c>
      <c r="C1024" s="1" t="str">
        <f>HYPERLINK("http://www.rosaceae.org/gb/gbrowse/malus_x_domestica/?name=MDP0000152179","MDP0000152179")</f>
        <v>MDP0000152179</v>
      </c>
      <c r="D1024">
        <v>85.01</v>
      </c>
      <c r="E1024">
        <v>347</v>
      </c>
      <c r="F1024">
        <v>52</v>
      </c>
      <c r="G1024">
        <v>6</v>
      </c>
      <c r="H1024">
        <v>88</v>
      </c>
      <c r="I1024">
        <v>428</v>
      </c>
      <c r="J1024">
        <v>1</v>
      </c>
      <c r="K1024">
        <v>833</v>
      </c>
      <c r="L1024">
        <v>1179</v>
      </c>
      <c r="M1024">
        <v>1</v>
      </c>
      <c r="N1024">
        <v>1.7128400000000001E-175</v>
      </c>
      <c r="O1024">
        <v>1579</v>
      </c>
    </row>
    <row r="1025" spans="1:15" x14ac:dyDescent="0.25">
      <c r="A1025" t="s">
        <v>1038</v>
      </c>
      <c r="B1025">
        <v>796</v>
      </c>
      <c r="C1025" s="1" t="str">
        <f>HYPERLINK("http://www.rosaceae.org/gb/gbrowse/malus_x_domestica/?name=MDP0000286362","MDP0000286362")</f>
        <v>MDP0000286362</v>
      </c>
      <c r="D1025">
        <v>80.45</v>
      </c>
      <c r="E1025">
        <v>440</v>
      </c>
      <c r="F1025">
        <v>86</v>
      </c>
      <c r="G1025">
        <v>0</v>
      </c>
      <c r="H1025">
        <v>329</v>
      </c>
      <c r="I1025">
        <v>768</v>
      </c>
      <c r="J1025">
        <v>1</v>
      </c>
      <c r="K1025">
        <v>27</v>
      </c>
      <c r="L1025">
        <v>466</v>
      </c>
      <c r="M1025">
        <v>1</v>
      </c>
      <c r="N1025">
        <v>0</v>
      </c>
      <c r="O1025">
        <v>1972</v>
      </c>
    </row>
    <row r="1026" spans="1:15" x14ac:dyDescent="0.25">
      <c r="A1026" t="s">
        <v>1039</v>
      </c>
      <c r="B1026">
        <v>450</v>
      </c>
      <c r="C1026" s="1" t="str">
        <f>HYPERLINK("http://www.rosaceae.org/gb/gbrowse/malus_x_domestica/?name=MDP0000321380","MDP0000321380")</f>
        <v>MDP0000321380</v>
      </c>
      <c r="D1026">
        <v>60.34</v>
      </c>
      <c r="E1026">
        <v>469</v>
      </c>
      <c r="F1026">
        <v>186</v>
      </c>
      <c r="G1026">
        <v>61</v>
      </c>
      <c r="H1026">
        <v>18</v>
      </c>
      <c r="I1026">
        <v>450</v>
      </c>
      <c r="J1026">
        <v>1</v>
      </c>
      <c r="K1026">
        <v>140</v>
      </c>
      <c r="L1026">
        <v>583</v>
      </c>
      <c r="M1026">
        <v>1</v>
      </c>
      <c r="N1026">
        <v>5.2820899999999998E-137</v>
      </c>
      <c r="O1026">
        <v>1247</v>
      </c>
    </row>
    <row r="1027" spans="1:15" x14ac:dyDescent="0.25">
      <c r="A1027" t="s">
        <v>1040</v>
      </c>
      <c r="B1027">
        <v>317</v>
      </c>
      <c r="C1027" s="1" t="str">
        <f>HYPERLINK("http://www.rosaceae.org/gb/gbrowse/malus_x_domestica/?name=MDP0000867150","MDP0000867150")</f>
        <v>MDP0000867150</v>
      </c>
      <c r="D1027">
        <v>88.03</v>
      </c>
      <c r="E1027">
        <v>234</v>
      </c>
      <c r="F1027">
        <v>28</v>
      </c>
      <c r="G1027">
        <v>1</v>
      </c>
      <c r="H1027">
        <v>26</v>
      </c>
      <c r="I1027">
        <v>259</v>
      </c>
      <c r="J1027">
        <v>1</v>
      </c>
      <c r="K1027">
        <v>27</v>
      </c>
      <c r="L1027">
        <v>259</v>
      </c>
      <c r="M1027">
        <v>1</v>
      </c>
      <c r="N1027">
        <v>4.5434999999999998E-117</v>
      </c>
      <c r="O1027">
        <v>1074</v>
      </c>
    </row>
    <row r="1028" spans="1:15" x14ac:dyDescent="0.25">
      <c r="A1028" t="s">
        <v>1041</v>
      </c>
      <c r="B1028">
        <v>331</v>
      </c>
      <c r="C1028" s="1" t="str">
        <f>HYPERLINK("http://www.rosaceae.org/gb/gbrowse/malus_x_domestica/?name=MDP0000308757","MDP0000308757")</f>
        <v>MDP0000308757</v>
      </c>
      <c r="D1028">
        <v>56.82</v>
      </c>
      <c r="E1028">
        <v>315</v>
      </c>
      <c r="F1028">
        <v>136</v>
      </c>
      <c r="G1028">
        <v>9</v>
      </c>
      <c r="H1028">
        <v>4</v>
      </c>
      <c r="I1028">
        <v>314</v>
      </c>
      <c r="J1028">
        <v>1</v>
      </c>
      <c r="K1028">
        <v>541</v>
      </c>
      <c r="L1028">
        <v>850</v>
      </c>
      <c r="M1028">
        <v>1</v>
      </c>
      <c r="N1028">
        <v>2.2050000000000002E-96</v>
      </c>
      <c r="O1028">
        <v>896</v>
      </c>
    </row>
    <row r="1029" spans="1:15" x14ac:dyDescent="0.25">
      <c r="A1029" t="s">
        <v>1042</v>
      </c>
      <c r="B1029">
        <v>384</v>
      </c>
      <c r="C1029" s="1" t="str">
        <f>HYPERLINK("http://www.rosaceae.org/gb/gbrowse/malus_x_domestica/?name=MDP0000193216","MDP0000193216")</f>
        <v>MDP0000193216</v>
      </c>
      <c r="D1029">
        <v>49.21</v>
      </c>
      <c r="E1029">
        <v>382</v>
      </c>
      <c r="F1029">
        <v>194</v>
      </c>
      <c r="G1029">
        <v>83</v>
      </c>
      <c r="H1029">
        <v>62</v>
      </c>
      <c r="I1029">
        <v>380</v>
      </c>
      <c r="J1029">
        <v>1</v>
      </c>
      <c r="K1029">
        <v>37</v>
      </c>
      <c r="L1029">
        <v>398</v>
      </c>
      <c r="M1029">
        <v>1</v>
      </c>
      <c r="N1029">
        <v>1.8801500000000001E-78</v>
      </c>
      <c r="O1029">
        <v>742</v>
      </c>
    </row>
    <row r="1030" spans="1:15" x14ac:dyDescent="0.25">
      <c r="A1030" t="s">
        <v>1043</v>
      </c>
      <c r="B1030">
        <v>921</v>
      </c>
      <c r="C1030" s="1" t="str">
        <f>HYPERLINK("http://www.rosaceae.org/gb/gbrowse/malus_x_domestica/?name=MDP0000267674","MDP0000267674")</f>
        <v>MDP0000267674</v>
      </c>
      <c r="D1030">
        <v>47.22</v>
      </c>
      <c r="E1030">
        <v>631</v>
      </c>
      <c r="F1030">
        <v>333</v>
      </c>
      <c r="G1030">
        <v>48</v>
      </c>
      <c r="H1030">
        <v>160</v>
      </c>
      <c r="I1030">
        <v>768</v>
      </c>
      <c r="J1030">
        <v>1</v>
      </c>
      <c r="K1030">
        <v>319</v>
      </c>
      <c r="L1030">
        <v>923</v>
      </c>
      <c r="M1030">
        <v>1</v>
      </c>
      <c r="N1030">
        <v>4.57374E-143</v>
      </c>
      <c r="O1030">
        <v>1303</v>
      </c>
    </row>
    <row r="1031" spans="1:15" x14ac:dyDescent="0.25">
      <c r="A1031" t="s">
        <v>1044</v>
      </c>
      <c r="B1031">
        <v>226</v>
      </c>
      <c r="C1031" s="1" t="str">
        <f>HYPERLINK("http://www.rosaceae.org/gb/gbrowse/malus_x_domestica/?name=MDP0000553127","MDP0000553127")</f>
        <v>MDP0000553127</v>
      </c>
      <c r="D1031">
        <v>41.66</v>
      </c>
      <c r="E1031">
        <v>240</v>
      </c>
      <c r="F1031">
        <v>140</v>
      </c>
      <c r="G1031">
        <v>67</v>
      </c>
      <c r="H1031">
        <v>44</v>
      </c>
      <c r="I1031">
        <v>216</v>
      </c>
      <c r="J1031">
        <v>1</v>
      </c>
      <c r="K1031">
        <v>44</v>
      </c>
      <c r="L1031">
        <v>283</v>
      </c>
      <c r="M1031">
        <v>1</v>
      </c>
      <c r="N1031">
        <v>2.1497400000000001E-46</v>
      </c>
      <c r="O1031">
        <v>462</v>
      </c>
    </row>
    <row r="1032" spans="1:15" x14ac:dyDescent="0.25">
      <c r="A1032" t="s">
        <v>1045</v>
      </c>
      <c r="B1032">
        <v>605</v>
      </c>
      <c r="C1032" s="1" t="str">
        <f>HYPERLINK("http://www.rosaceae.org/gb/gbrowse/malus_x_domestica/?name=MDP0000143860","MDP0000143860")</f>
        <v>MDP0000143860</v>
      </c>
      <c r="D1032">
        <v>80.709999999999994</v>
      </c>
      <c r="E1032">
        <v>612</v>
      </c>
      <c r="F1032">
        <v>118</v>
      </c>
      <c r="G1032">
        <v>19</v>
      </c>
      <c r="H1032">
        <v>13</v>
      </c>
      <c r="I1032">
        <v>605</v>
      </c>
      <c r="J1032">
        <v>1</v>
      </c>
      <c r="K1032">
        <v>7</v>
      </c>
      <c r="L1032">
        <v>618</v>
      </c>
      <c r="M1032">
        <v>1</v>
      </c>
      <c r="N1032">
        <v>0</v>
      </c>
      <c r="O1032">
        <v>2549</v>
      </c>
    </row>
    <row r="1033" spans="1:15" x14ac:dyDescent="0.25">
      <c r="A1033" t="s">
        <v>1046</v>
      </c>
      <c r="B1033">
        <v>419</v>
      </c>
      <c r="C1033" s="1" t="str">
        <f>HYPERLINK("http://www.rosaceae.org/gb/gbrowse/malus_x_domestica/?name=MDP0000146063","MDP0000146063")</f>
        <v>MDP0000146063</v>
      </c>
      <c r="D1033">
        <v>74.84</v>
      </c>
      <c r="E1033">
        <v>318</v>
      </c>
      <c r="F1033">
        <v>80</v>
      </c>
      <c r="G1033">
        <v>22</v>
      </c>
      <c r="H1033">
        <v>44</v>
      </c>
      <c r="I1033">
        <v>339</v>
      </c>
      <c r="J1033">
        <v>1</v>
      </c>
      <c r="K1033">
        <v>31</v>
      </c>
      <c r="L1033">
        <v>348</v>
      </c>
      <c r="M1033">
        <v>1</v>
      </c>
      <c r="N1033">
        <v>1.27323E-137</v>
      </c>
      <c r="O1033">
        <v>1252</v>
      </c>
    </row>
    <row r="1034" spans="1:15" x14ac:dyDescent="0.25">
      <c r="A1034" t="s">
        <v>1047</v>
      </c>
      <c r="B1034">
        <v>634</v>
      </c>
      <c r="C1034" s="1" t="str">
        <f>HYPERLINK("http://www.rosaceae.org/gb/gbrowse/malus_x_domestica/?name=MDP0000185659","MDP0000185659")</f>
        <v>MDP0000185659</v>
      </c>
      <c r="D1034">
        <v>64.92</v>
      </c>
      <c r="E1034">
        <v>707</v>
      </c>
      <c r="F1034">
        <v>248</v>
      </c>
      <c r="G1034">
        <v>100</v>
      </c>
      <c r="H1034">
        <v>1</v>
      </c>
      <c r="I1034">
        <v>631</v>
      </c>
      <c r="J1034">
        <v>1</v>
      </c>
      <c r="K1034">
        <v>1</v>
      </c>
      <c r="L1034">
        <v>683</v>
      </c>
      <c r="M1034">
        <v>1</v>
      </c>
      <c r="N1034">
        <v>0</v>
      </c>
      <c r="O1034">
        <v>2251</v>
      </c>
    </row>
    <row r="1035" spans="1:15" x14ac:dyDescent="0.25">
      <c r="A1035" t="s">
        <v>1048</v>
      </c>
      <c r="B1035">
        <v>175</v>
      </c>
      <c r="C1035" s="1" t="str">
        <f>HYPERLINK("http://www.rosaceae.org/gb/gbrowse/malus_x_domestica/?name=MDP0000469508","MDP0000469508")</f>
        <v>MDP0000469508</v>
      </c>
      <c r="D1035">
        <v>46.51</v>
      </c>
      <c r="E1035">
        <v>86</v>
      </c>
      <c r="F1035">
        <v>46</v>
      </c>
      <c r="G1035">
        <v>0</v>
      </c>
      <c r="H1035">
        <v>63</v>
      </c>
      <c r="I1035">
        <v>148</v>
      </c>
      <c r="J1035">
        <v>1</v>
      </c>
      <c r="K1035">
        <v>35</v>
      </c>
      <c r="L1035">
        <v>120</v>
      </c>
      <c r="M1035">
        <v>1</v>
      </c>
      <c r="N1035">
        <v>1.3451E-17</v>
      </c>
      <c r="O1035">
        <v>212</v>
      </c>
    </row>
    <row r="1036" spans="1:15" x14ac:dyDescent="0.25">
      <c r="A1036" t="s">
        <v>1049</v>
      </c>
      <c r="B1036">
        <v>476</v>
      </c>
      <c r="C1036" s="1" t="str">
        <f>HYPERLINK("http://www.rosaceae.org/gb/gbrowse/malus_x_domestica/?name=MDP0000297246","MDP0000297246")</f>
        <v>MDP0000297246</v>
      </c>
      <c r="D1036">
        <v>52.9</v>
      </c>
      <c r="E1036">
        <v>516</v>
      </c>
      <c r="F1036">
        <v>243</v>
      </c>
      <c r="G1036">
        <v>128</v>
      </c>
      <c r="H1036">
        <v>34</v>
      </c>
      <c r="I1036">
        <v>422</v>
      </c>
      <c r="J1036">
        <v>1</v>
      </c>
      <c r="K1036">
        <v>155</v>
      </c>
      <c r="L1036">
        <v>669</v>
      </c>
      <c r="M1036">
        <v>1</v>
      </c>
      <c r="N1036">
        <v>2.6079999999999999E-118</v>
      </c>
      <c r="O1036">
        <v>1087</v>
      </c>
    </row>
    <row r="1037" spans="1:15" x14ac:dyDescent="0.25">
      <c r="A1037" t="s">
        <v>1050</v>
      </c>
      <c r="B1037">
        <v>740</v>
      </c>
      <c r="C1037" s="1" t="str">
        <f>HYPERLINK("http://www.rosaceae.org/gb/gbrowse/malus_x_domestica/?name=MDP0000863012","MDP0000863012")</f>
        <v>MDP0000863012</v>
      </c>
      <c r="D1037">
        <v>79.84</v>
      </c>
      <c r="E1037">
        <v>754</v>
      </c>
      <c r="F1037">
        <v>152</v>
      </c>
      <c r="G1037">
        <v>39</v>
      </c>
      <c r="H1037">
        <v>20</v>
      </c>
      <c r="I1037">
        <v>739</v>
      </c>
      <c r="J1037">
        <v>1</v>
      </c>
      <c r="K1037">
        <v>51</v>
      </c>
      <c r="L1037">
        <v>799</v>
      </c>
      <c r="M1037">
        <v>1</v>
      </c>
      <c r="N1037">
        <v>0</v>
      </c>
      <c r="O1037">
        <v>3271</v>
      </c>
    </row>
    <row r="1038" spans="1:15" x14ac:dyDescent="0.25">
      <c r="A1038" t="s">
        <v>1051</v>
      </c>
      <c r="B1038">
        <v>180</v>
      </c>
      <c r="C1038" s="1" t="str">
        <f>HYPERLINK("http://www.rosaceae.org/gb/gbrowse/malus_x_domestica/?name=MDP0000191077","MDP0000191077")</f>
        <v>MDP0000191077</v>
      </c>
      <c r="D1038">
        <v>66.66</v>
      </c>
      <c r="E1038">
        <v>45</v>
      </c>
      <c r="F1038">
        <v>15</v>
      </c>
      <c r="G1038">
        <v>0</v>
      </c>
      <c r="H1038">
        <v>107</v>
      </c>
      <c r="I1038">
        <v>151</v>
      </c>
      <c r="J1038">
        <v>1</v>
      </c>
      <c r="K1038">
        <v>1</v>
      </c>
      <c r="L1038">
        <v>45</v>
      </c>
      <c r="M1038">
        <v>1</v>
      </c>
      <c r="N1038">
        <v>1.3992299999999999E-10</v>
      </c>
      <c r="O1038">
        <v>152</v>
      </c>
    </row>
    <row r="1039" spans="1:15" x14ac:dyDescent="0.25">
      <c r="A1039" t="s">
        <v>1052</v>
      </c>
      <c r="B1039">
        <v>326</v>
      </c>
      <c r="C1039" s="1" t="str">
        <f>HYPERLINK("http://www.rosaceae.org/gb/gbrowse/malus_x_domestica/?name=MDP0000314075","MDP0000314075")</f>
        <v>MDP0000314075</v>
      </c>
      <c r="D1039">
        <v>31.48</v>
      </c>
      <c r="E1039">
        <v>108</v>
      </c>
      <c r="F1039">
        <v>74</v>
      </c>
      <c r="G1039">
        <v>20</v>
      </c>
      <c r="H1039">
        <v>134</v>
      </c>
      <c r="I1039">
        <v>241</v>
      </c>
      <c r="J1039">
        <v>1</v>
      </c>
      <c r="K1039">
        <v>233</v>
      </c>
      <c r="L1039">
        <v>320</v>
      </c>
      <c r="M1039">
        <v>1</v>
      </c>
      <c r="N1039">
        <v>6.1167899999999997E-11</v>
      </c>
      <c r="O1039">
        <v>159</v>
      </c>
    </row>
    <row r="1040" spans="1:15" x14ac:dyDescent="0.25">
      <c r="A1040" t="s">
        <v>1053</v>
      </c>
      <c r="B1040">
        <v>155</v>
      </c>
      <c r="C1040" s="1" t="str">
        <f>HYPERLINK("http://www.rosaceae.org/gb/gbrowse/malus_x_domestica/?name=MDP0000209621","MDP0000209621")</f>
        <v>MDP0000209621</v>
      </c>
      <c r="D1040">
        <v>80.95</v>
      </c>
      <c r="E1040">
        <v>126</v>
      </c>
      <c r="F1040">
        <v>24</v>
      </c>
      <c r="G1040">
        <v>3</v>
      </c>
      <c r="H1040">
        <v>32</v>
      </c>
      <c r="I1040">
        <v>154</v>
      </c>
      <c r="J1040">
        <v>1</v>
      </c>
      <c r="K1040">
        <v>140</v>
      </c>
      <c r="L1040">
        <v>265</v>
      </c>
      <c r="M1040">
        <v>1</v>
      </c>
      <c r="N1040">
        <v>3.4573100000000001E-55</v>
      </c>
      <c r="O1040">
        <v>536</v>
      </c>
    </row>
    <row r="1041" spans="1:15" x14ac:dyDescent="0.25">
      <c r="A1041" t="s">
        <v>1054</v>
      </c>
      <c r="B1041">
        <v>236</v>
      </c>
      <c r="C1041" s="1" t="str">
        <f>HYPERLINK("http://www.rosaceae.org/gb/gbrowse/malus_x_domestica/?name=MDP0000249084","MDP0000249084")</f>
        <v>MDP0000249084</v>
      </c>
      <c r="D1041">
        <v>82.62</v>
      </c>
      <c r="E1041">
        <v>236</v>
      </c>
      <c r="F1041">
        <v>41</v>
      </c>
      <c r="G1041">
        <v>17</v>
      </c>
      <c r="H1041">
        <v>1</v>
      </c>
      <c r="I1041">
        <v>236</v>
      </c>
      <c r="J1041">
        <v>1</v>
      </c>
      <c r="K1041">
        <v>1</v>
      </c>
      <c r="L1041">
        <v>219</v>
      </c>
      <c r="M1041">
        <v>1</v>
      </c>
      <c r="N1041">
        <v>1.14977E-108</v>
      </c>
      <c r="O1041">
        <v>1000</v>
      </c>
    </row>
    <row r="1042" spans="1:15" x14ac:dyDescent="0.25">
      <c r="A1042" t="s">
        <v>1055</v>
      </c>
      <c r="B1042">
        <v>183</v>
      </c>
      <c r="C1042" s="1" t="str">
        <f>HYPERLINK("http://www.rosaceae.org/gb/gbrowse/malus_x_domestica/?name=MDP0000326990","MDP0000326990")</f>
        <v>MDP0000326990</v>
      </c>
      <c r="D1042">
        <v>84.06</v>
      </c>
      <c r="E1042">
        <v>182</v>
      </c>
      <c r="F1042">
        <v>29</v>
      </c>
      <c r="G1042">
        <v>2</v>
      </c>
      <c r="H1042">
        <v>4</v>
      </c>
      <c r="I1042">
        <v>183</v>
      </c>
      <c r="J1042">
        <v>1</v>
      </c>
      <c r="K1042">
        <v>36</v>
      </c>
      <c r="L1042">
        <v>217</v>
      </c>
      <c r="M1042">
        <v>1</v>
      </c>
      <c r="N1042">
        <v>1.77501E-89</v>
      </c>
      <c r="O1042">
        <v>833</v>
      </c>
    </row>
    <row r="1043" spans="1:15" x14ac:dyDescent="0.25">
      <c r="A1043" t="s">
        <v>1056</v>
      </c>
      <c r="B1043">
        <v>4332</v>
      </c>
      <c r="C1043" s="1" t="str">
        <f>HYPERLINK("http://www.rosaceae.org/gb/gbrowse/malus_x_domestica/?name=MDP0000230883","MDP0000230883")</f>
        <v>MDP0000230883</v>
      </c>
      <c r="D1043">
        <v>74.760000000000005</v>
      </c>
      <c r="E1043">
        <v>2516</v>
      </c>
      <c r="F1043">
        <v>635</v>
      </c>
      <c r="G1043">
        <v>108</v>
      </c>
      <c r="H1043">
        <v>1914</v>
      </c>
      <c r="I1043">
        <v>4332</v>
      </c>
      <c r="J1043">
        <v>1</v>
      </c>
      <c r="K1043">
        <v>1</v>
      </c>
      <c r="L1043">
        <v>2505</v>
      </c>
      <c r="M1043">
        <v>1</v>
      </c>
      <c r="N1043">
        <v>0</v>
      </c>
      <c r="O1043">
        <v>9869</v>
      </c>
    </row>
    <row r="1044" spans="1:15" x14ac:dyDescent="0.25">
      <c r="A1044" t="s">
        <v>1057</v>
      </c>
      <c r="B1044">
        <v>673</v>
      </c>
      <c r="C1044" s="1" t="str">
        <f>HYPERLINK("http://www.rosaceae.org/gb/gbrowse/malus_x_domestica/?name=MDP0000572632","MDP0000572632")</f>
        <v>MDP0000572632</v>
      </c>
      <c r="D1044">
        <v>58.45</v>
      </c>
      <c r="E1044">
        <v>284</v>
      </c>
      <c r="F1044">
        <v>118</v>
      </c>
      <c r="G1044">
        <v>12</v>
      </c>
      <c r="H1044">
        <v>74</v>
      </c>
      <c r="I1044">
        <v>346</v>
      </c>
      <c r="J1044">
        <v>1</v>
      </c>
      <c r="K1044">
        <v>7</v>
      </c>
      <c r="L1044">
        <v>289</v>
      </c>
      <c r="M1044">
        <v>1</v>
      </c>
      <c r="N1044">
        <v>2.6270200000000001E-72</v>
      </c>
      <c r="O1044">
        <v>691</v>
      </c>
    </row>
    <row r="1045" spans="1:15" x14ac:dyDescent="0.25">
      <c r="A1045" t="s">
        <v>1058</v>
      </c>
      <c r="B1045">
        <v>484</v>
      </c>
      <c r="C1045" s="1" t="str">
        <f>HYPERLINK("http://www.rosaceae.org/gb/gbrowse/malus_x_domestica/?name=MDP0000790376","MDP0000790376")</f>
        <v>MDP0000790376</v>
      </c>
      <c r="D1045">
        <v>83.16</v>
      </c>
      <c r="E1045">
        <v>487</v>
      </c>
      <c r="F1045">
        <v>82</v>
      </c>
      <c r="G1045">
        <v>3</v>
      </c>
      <c r="H1045">
        <v>1</v>
      </c>
      <c r="I1045">
        <v>484</v>
      </c>
      <c r="J1045">
        <v>1</v>
      </c>
      <c r="K1045">
        <v>1</v>
      </c>
      <c r="L1045">
        <v>487</v>
      </c>
      <c r="M1045">
        <v>1</v>
      </c>
      <c r="N1045">
        <v>0</v>
      </c>
      <c r="O1045">
        <v>2189</v>
      </c>
    </row>
    <row r="1046" spans="1:15" x14ac:dyDescent="0.25">
      <c r="A1046" t="s">
        <v>1059</v>
      </c>
      <c r="B1046">
        <v>486</v>
      </c>
      <c r="C1046" s="1" t="str">
        <f>HYPERLINK("http://www.rosaceae.org/gb/gbrowse/malus_x_domestica/?name=MDP0000217366","MDP0000217366")</f>
        <v>MDP0000217366</v>
      </c>
      <c r="D1046">
        <v>77.41</v>
      </c>
      <c r="E1046">
        <v>248</v>
      </c>
      <c r="F1046">
        <v>56</v>
      </c>
      <c r="G1046">
        <v>7</v>
      </c>
      <c r="H1046">
        <v>18</v>
      </c>
      <c r="I1046">
        <v>258</v>
      </c>
      <c r="J1046">
        <v>1</v>
      </c>
      <c r="K1046">
        <v>1</v>
      </c>
      <c r="L1046">
        <v>248</v>
      </c>
      <c r="M1046">
        <v>1</v>
      </c>
      <c r="N1046">
        <v>6.13828E-107</v>
      </c>
      <c r="O1046">
        <v>989</v>
      </c>
    </row>
    <row r="1047" spans="1:15" x14ac:dyDescent="0.25">
      <c r="A1047" t="s">
        <v>1060</v>
      </c>
      <c r="B1047">
        <v>371</v>
      </c>
      <c r="C1047" s="1" t="str">
        <f>HYPERLINK("http://www.rosaceae.org/gb/gbrowse/malus_x_domestica/?name=MDP0000220675","MDP0000220675")</f>
        <v>MDP0000220675</v>
      </c>
      <c r="D1047">
        <v>60.41</v>
      </c>
      <c r="E1047">
        <v>384</v>
      </c>
      <c r="F1047">
        <v>152</v>
      </c>
      <c r="G1047">
        <v>19</v>
      </c>
      <c r="H1047">
        <v>1</v>
      </c>
      <c r="I1047">
        <v>371</v>
      </c>
      <c r="J1047">
        <v>1</v>
      </c>
      <c r="K1047">
        <v>14</v>
      </c>
      <c r="L1047">
        <v>391</v>
      </c>
      <c r="M1047">
        <v>1</v>
      </c>
      <c r="N1047">
        <v>1.37162E-109</v>
      </c>
      <c r="O1047">
        <v>1010</v>
      </c>
    </row>
    <row r="1048" spans="1:15" x14ac:dyDescent="0.25">
      <c r="A1048" t="s">
        <v>1061</v>
      </c>
      <c r="B1048">
        <v>142</v>
      </c>
      <c r="C1048" s="1" t="str">
        <f>HYPERLINK("http://www.rosaceae.org/gb/gbrowse/malus_x_domestica/?name=MDP0000304933","MDP0000304933")</f>
        <v>MDP0000304933</v>
      </c>
      <c r="D1048">
        <v>75.930000000000007</v>
      </c>
      <c r="E1048">
        <v>133</v>
      </c>
      <c r="F1048">
        <v>32</v>
      </c>
      <c r="G1048">
        <v>0</v>
      </c>
      <c r="H1048">
        <v>1</v>
      </c>
      <c r="I1048">
        <v>133</v>
      </c>
      <c r="J1048">
        <v>1</v>
      </c>
      <c r="K1048">
        <v>1070</v>
      </c>
      <c r="L1048">
        <v>1202</v>
      </c>
      <c r="M1048">
        <v>1</v>
      </c>
      <c r="N1048">
        <v>4.9723400000000003E-56</v>
      </c>
      <c r="O1048">
        <v>542</v>
      </c>
    </row>
    <row r="1049" spans="1:15" x14ac:dyDescent="0.25">
      <c r="A1049" t="s">
        <v>1062</v>
      </c>
      <c r="B1049">
        <v>365</v>
      </c>
      <c r="C1049" s="1" t="str">
        <f>HYPERLINK("http://www.rosaceae.org/gb/gbrowse/malus_x_domestica/?name=MDP0000479113","MDP0000479113")</f>
        <v>MDP0000479113</v>
      </c>
      <c r="D1049">
        <v>88.49</v>
      </c>
      <c r="E1049">
        <v>365</v>
      </c>
      <c r="F1049">
        <v>42</v>
      </c>
      <c r="G1049">
        <v>0</v>
      </c>
      <c r="H1049">
        <v>1</v>
      </c>
      <c r="I1049">
        <v>365</v>
      </c>
      <c r="J1049">
        <v>1</v>
      </c>
      <c r="K1049">
        <v>1</v>
      </c>
      <c r="L1049">
        <v>365</v>
      </c>
      <c r="M1049">
        <v>1</v>
      </c>
      <c r="N1049">
        <v>0</v>
      </c>
      <c r="O1049">
        <v>1754</v>
      </c>
    </row>
    <row r="1050" spans="1:15" x14ac:dyDescent="0.25">
      <c r="A1050" t="s">
        <v>1063</v>
      </c>
      <c r="B1050">
        <v>191</v>
      </c>
      <c r="C1050" s="1" t="str">
        <f>HYPERLINK("http://www.rosaceae.org/gb/gbrowse/malus_x_domestica/?name=MDP0000136726","MDP0000136726")</f>
        <v>MDP0000136726</v>
      </c>
      <c r="D1050">
        <v>44.64</v>
      </c>
      <c r="E1050">
        <v>168</v>
      </c>
      <c r="F1050">
        <v>93</v>
      </c>
      <c r="G1050">
        <v>17</v>
      </c>
      <c r="H1050">
        <v>10</v>
      </c>
      <c r="I1050">
        <v>163</v>
      </c>
      <c r="J1050">
        <v>1</v>
      </c>
      <c r="K1050">
        <v>955</v>
      </c>
      <c r="L1050">
        <v>1119</v>
      </c>
      <c r="M1050">
        <v>1</v>
      </c>
      <c r="N1050">
        <v>1.63519E-25</v>
      </c>
      <c r="O1050">
        <v>281</v>
      </c>
    </row>
    <row r="1051" spans="1:15" x14ac:dyDescent="0.25">
      <c r="A1051" t="s">
        <v>1064</v>
      </c>
      <c r="B1051">
        <v>1324</v>
      </c>
      <c r="C1051" s="1" t="str">
        <f>HYPERLINK("http://www.rosaceae.org/gb/gbrowse/malus_x_domestica/?name=MDP0000248977","MDP0000248977")</f>
        <v>MDP0000248977</v>
      </c>
      <c r="D1051">
        <v>48.18</v>
      </c>
      <c r="E1051">
        <v>660</v>
      </c>
      <c r="F1051">
        <v>342</v>
      </c>
      <c r="G1051">
        <v>68</v>
      </c>
      <c r="H1051">
        <v>683</v>
      </c>
      <c r="I1051">
        <v>1303</v>
      </c>
      <c r="J1051">
        <v>1</v>
      </c>
      <c r="K1051">
        <v>1</v>
      </c>
      <c r="L1051">
        <v>631</v>
      </c>
      <c r="M1051">
        <v>1</v>
      </c>
      <c r="N1051">
        <v>2.8893700000000001E-155</v>
      </c>
      <c r="O1051">
        <v>1410</v>
      </c>
    </row>
    <row r="1052" spans="1:15" x14ac:dyDescent="0.25">
      <c r="A1052" t="s">
        <v>1065</v>
      </c>
      <c r="B1052">
        <v>238</v>
      </c>
      <c r="C1052" s="1" t="str">
        <f>HYPERLINK("http://www.rosaceae.org/gb/gbrowse/malus_x_domestica/?name=MDP0000130509","MDP0000130509")</f>
        <v>MDP0000130509</v>
      </c>
      <c r="D1052">
        <v>88.31</v>
      </c>
      <c r="E1052">
        <v>77</v>
      </c>
      <c r="F1052">
        <v>9</v>
      </c>
      <c r="G1052">
        <v>4</v>
      </c>
      <c r="H1052">
        <v>1</v>
      </c>
      <c r="I1052">
        <v>77</v>
      </c>
      <c r="J1052">
        <v>1</v>
      </c>
      <c r="K1052">
        <v>1</v>
      </c>
      <c r="L1052">
        <v>73</v>
      </c>
      <c r="M1052">
        <v>1</v>
      </c>
      <c r="N1052">
        <v>2.2858000000000001E-33</v>
      </c>
      <c r="O1052">
        <v>350</v>
      </c>
    </row>
    <row r="1053" spans="1:15" x14ac:dyDescent="0.25">
      <c r="A1053" t="s">
        <v>1066</v>
      </c>
      <c r="B1053">
        <v>310</v>
      </c>
      <c r="C1053" s="1" t="str">
        <f>HYPERLINK("http://www.rosaceae.org/gb/gbrowse/malus_x_domestica/?name=MDP0000123825","MDP0000123825")</f>
        <v>MDP0000123825</v>
      </c>
      <c r="D1053">
        <v>69.16</v>
      </c>
      <c r="E1053">
        <v>240</v>
      </c>
      <c r="F1053">
        <v>74</v>
      </c>
      <c r="G1053">
        <v>3</v>
      </c>
      <c r="H1053">
        <v>72</v>
      </c>
      <c r="I1053">
        <v>310</v>
      </c>
      <c r="J1053">
        <v>1</v>
      </c>
      <c r="K1053">
        <v>94</v>
      </c>
      <c r="L1053">
        <v>331</v>
      </c>
      <c r="M1053">
        <v>1</v>
      </c>
      <c r="N1053">
        <v>1.4484500000000001E-89</v>
      </c>
      <c r="O1053">
        <v>837</v>
      </c>
    </row>
    <row r="1054" spans="1:15" x14ac:dyDescent="0.25">
      <c r="A1054" t="s">
        <v>1067</v>
      </c>
      <c r="B1054">
        <v>135</v>
      </c>
      <c r="C1054" s="1" t="str">
        <f>HYPERLINK("http://www.rosaceae.org/gb/gbrowse/malus_x_domestica/?name=MDP0000823582","MDP0000823582")</f>
        <v>MDP0000823582</v>
      </c>
      <c r="D1054">
        <v>100</v>
      </c>
      <c r="E1054">
        <v>92</v>
      </c>
      <c r="F1054">
        <v>0</v>
      </c>
      <c r="G1054">
        <v>0</v>
      </c>
      <c r="H1054">
        <v>44</v>
      </c>
      <c r="I1054">
        <v>135</v>
      </c>
      <c r="J1054">
        <v>1</v>
      </c>
      <c r="K1054">
        <v>57</v>
      </c>
      <c r="L1054">
        <v>148</v>
      </c>
      <c r="M1054">
        <v>1</v>
      </c>
      <c r="N1054">
        <v>1.8120000000000002E-49</v>
      </c>
      <c r="O1054">
        <v>485</v>
      </c>
    </row>
    <row r="1055" spans="1:15" x14ac:dyDescent="0.25">
      <c r="A1055" t="s">
        <v>1068</v>
      </c>
      <c r="B1055">
        <v>485</v>
      </c>
      <c r="C1055" s="1" t="str">
        <f>HYPERLINK("http://www.rosaceae.org/gb/gbrowse/malus_x_domestica/?name=MDP0000229126","MDP0000229126")</f>
        <v>MDP0000229126</v>
      </c>
      <c r="D1055">
        <v>78.69</v>
      </c>
      <c r="E1055">
        <v>413</v>
      </c>
      <c r="F1055">
        <v>88</v>
      </c>
      <c r="G1055">
        <v>1</v>
      </c>
      <c r="H1055">
        <v>73</v>
      </c>
      <c r="I1055">
        <v>485</v>
      </c>
      <c r="J1055">
        <v>1</v>
      </c>
      <c r="K1055">
        <v>23</v>
      </c>
      <c r="L1055">
        <v>434</v>
      </c>
      <c r="M1055">
        <v>1</v>
      </c>
      <c r="N1055">
        <v>0</v>
      </c>
      <c r="O1055">
        <v>1733</v>
      </c>
    </row>
    <row r="1056" spans="1:15" x14ac:dyDescent="0.25">
      <c r="A1056" t="s">
        <v>1069</v>
      </c>
      <c r="B1056">
        <v>225</v>
      </c>
      <c r="C1056" s="1" t="str">
        <f>HYPERLINK("http://www.rosaceae.org/gb/gbrowse/malus_x_domestica/?name=MDP0000787991","MDP0000787991")</f>
        <v>MDP0000787991</v>
      </c>
      <c r="D1056">
        <v>82.06</v>
      </c>
      <c r="E1056">
        <v>223</v>
      </c>
      <c r="F1056">
        <v>40</v>
      </c>
      <c r="G1056">
        <v>1</v>
      </c>
      <c r="H1056">
        <v>4</v>
      </c>
      <c r="I1056">
        <v>225</v>
      </c>
      <c r="J1056">
        <v>1</v>
      </c>
      <c r="K1056">
        <v>1</v>
      </c>
      <c r="L1056">
        <v>223</v>
      </c>
      <c r="M1056">
        <v>1</v>
      </c>
      <c r="N1056">
        <v>1.35774E-107</v>
      </c>
      <c r="O1056">
        <v>990</v>
      </c>
    </row>
    <row r="1057" spans="1:15" x14ac:dyDescent="0.25">
      <c r="A1057" t="s">
        <v>1070</v>
      </c>
      <c r="B1057">
        <v>386</v>
      </c>
      <c r="C1057" s="1" t="str">
        <f>HYPERLINK("http://www.rosaceae.org/gb/gbrowse/malus_x_domestica/?name=MDP0000304632","MDP0000304632")</f>
        <v>MDP0000304632</v>
      </c>
      <c r="D1057">
        <v>68.510000000000005</v>
      </c>
      <c r="E1057">
        <v>343</v>
      </c>
      <c r="F1057">
        <v>108</v>
      </c>
      <c r="G1057">
        <v>2</v>
      </c>
      <c r="H1057">
        <v>40</v>
      </c>
      <c r="I1057">
        <v>380</v>
      </c>
      <c r="J1057">
        <v>1</v>
      </c>
      <c r="K1057">
        <v>31</v>
      </c>
      <c r="L1057">
        <v>373</v>
      </c>
      <c r="M1057">
        <v>1</v>
      </c>
      <c r="N1057">
        <v>2.53846E-132</v>
      </c>
      <c r="O1057">
        <v>1206</v>
      </c>
    </row>
    <row r="1058" spans="1:15" x14ac:dyDescent="0.25">
      <c r="A1058" t="s">
        <v>1071</v>
      </c>
      <c r="B1058">
        <v>707</v>
      </c>
      <c r="C1058" s="1" t="str">
        <f>HYPERLINK("http://www.rosaceae.org/gb/gbrowse/malus_x_domestica/?name=MDP0000051653","MDP0000051653")</f>
        <v>MDP0000051653</v>
      </c>
      <c r="D1058">
        <v>65.239999999999995</v>
      </c>
      <c r="E1058">
        <v>823</v>
      </c>
      <c r="F1058">
        <v>286</v>
      </c>
      <c r="G1058">
        <v>126</v>
      </c>
      <c r="H1058">
        <v>1</v>
      </c>
      <c r="I1058">
        <v>707</v>
      </c>
      <c r="J1058">
        <v>1</v>
      </c>
      <c r="K1058">
        <v>1</v>
      </c>
      <c r="L1058">
        <v>813</v>
      </c>
      <c r="M1058">
        <v>1</v>
      </c>
      <c r="N1058">
        <v>0</v>
      </c>
      <c r="O1058">
        <v>2650</v>
      </c>
    </row>
    <row r="1059" spans="1:15" x14ac:dyDescent="0.25">
      <c r="A1059" t="s">
        <v>1072</v>
      </c>
      <c r="B1059">
        <v>174</v>
      </c>
      <c r="C1059" s="1" t="str">
        <f>HYPERLINK("http://www.rosaceae.org/gb/gbrowse/malus_x_domestica/?name=MDP0000256621","MDP0000256621")</f>
        <v>MDP0000256621</v>
      </c>
      <c r="D1059">
        <v>55.42</v>
      </c>
      <c r="E1059">
        <v>175</v>
      </c>
      <c r="F1059">
        <v>78</v>
      </c>
      <c r="G1059">
        <v>9</v>
      </c>
      <c r="H1059">
        <v>3</v>
      </c>
      <c r="I1059">
        <v>171</v>
      </c>
      <c r="J1059">
        <v>1</v>
      </c>
      <c r="K1059">
        <v>513</v>
      </c>
      <c r="L1059">
        <v>684</v>
      </c>
      <c r="M1059">
        <v>1</v>
      </c>
      <c r="N1059">
        <v>1.8250300000000002E-43</v>
      </c>
      <c r="O1059">
        <v>435</v>
      </c>
    </row>
    <row r="1060" spans="1:15" x14ac:dyDescent="0.25">
      <c r="A1060" t="s">
        <v>1073</v>
      </c>
      <c r="B1060">
        <v>708</v>
      </c>
      <c r="C1060" s="1" t="str">
        <f>HYPERLINK("http://www.rosaceae.org/gb/gbrowse/malus_x_domestica/?name=MDP0000208095","MDP0000208095")</f>
        <v>MDP0000208095</v>
      </c>
      <c r="D1060">
        <v>64.680000000000007</v>
      </c>
      <c r="E1060">
        <v>739</v>
      </c>
      <c r="F1060">
        <v>261</v>
      </c>
      <c r="G1060">
        <v>41</v>
      </c>
      <c r="H1060">
        <v>1</v>
      </c>
      <c r="I1060">
        <v>708</v>
      </c>
      <c r="J1060">
        <v>1</v>
      </c>
      <c r="K1060">
        <v>1</v>
      </c>
      <c r="L1060">
        <v>729</v>
      </c>
      <c r="M1060">
        <v>1</v>
      </c>
      <c r="N1060">
        <v>0</v>
      </c>
      <c r="O1060">
        <v>2238</v>
      </c>
    </row>
    <row r="1061" spans="1:15" x14ac:dyDescent="0.25">
      <c r="A1061" t="s">
        <v>1074</v>
      </c>
      <c r="B1061">
        <v>190</v>
      </c>
      <c r="C1061" s="1" t="str">
        <f>HYPERLINK("http://www.rosaceae.org/gb/gbrowse/malus_x_domestica/?name=MDP0000713493","MDP0000713493")</f>
        <v>MDP0000713493</v>
      </c>
      <c r="D1061">
        <v>68.78</v>
      </c>
      <c r="E1061">
        <v>173</v>
      </c>
      <c r="F1061">
        <v>54</v>
      </c>
      <c r="G1061">
        <v>14</v>
      </c>
      <c r="H1061">
        <v>1</v>
      </c>
      <c r="I1061">
        <v>159</v>
      </c>
      <c r="J1061">
        <v>1</v>
      </c>
      <c r="K1061">
        <v>1</v>
      </c>
      <c r="L1061">
        <v>173</v>
      </c>
      <c r="M1061">
        <v>1</v>
      </c>
      <c r="N1061">
        <v>2.3477399999999999E-64</v>
      </c>
      <c r="O1061">
        <v>616</v>
      </c>
    </row>
    <row r="1062" spans="1:15" x14ac:dyDescent="0.25">
      <c r="A1062" t="s">
        <v>1075</v>
      </c>
      <c r="B1062">
        <v>428</v>
      </c>
      <c r="C1062" s="1" t="str">
        <f>HYPERLINK("http://www.rosaceae.org/gb/gbrowse/malus_x_domestica/?name=MDP0000155253","MDP0000155253")</f>
        <v>MDP0000155253</v>
      </c>
      <c r="D1062">
        <v>77.849999999999994</v>
      </c>
      <c r="E1062">
        <v>429</v>
      </c>
      <c r="F1062">
        <v>95</v>
      </c>
      <c r="G1062">
        <v>44</v>
      </c>
      <c r="H1062">
        <v>1</v>
      </c>
      <c r="I1062">
        <v>428</v>
      </c>
      <c r="J1062">
        <v>1</v>
      </c>
      <c r="K1062">
        <v>1</v>
      </c>
      <c r="L1062">
        <v>386</v>
      </c>
      <c r="M1062">
        <v>1</v>
      </c>
      <c r="N1062">
        <v>0</v>
      </c>
      <c r="O1062">
        <v>1705</v>
      </c>
    </row>
    <row r="1063" spans="1:15" x14ac:dyDescent="0.25">
      <c r="A1063" t="s">
        <v>1076</v>
      </c>
      <c r="B1063">
        <v>421</v>
      </c>
      <c r="C1063" s="1" t="str">
        <f>HYPERLINK("http://www.rosaceae.org/gb/gbrowse/malus_x_domestica/?name=MDP0000765367","MDP0000765367")</f>
        <v>MDP0000765367</v>
      </c>
      <c r="D1063">
        <v>52.75</v>
      </c>
      <c r="E1063">
        <v>345</v>
      </c>
      <c r="F1063">
        <v>163</v>
      </c>
      <c r="G1063">
        <v>11</v>
      </c>
      <c r="H1063">
        <v>78</v>
      </c>
      <c r="I1063">
        <v>421</v>
      </c>
      <c r="J1063">
        <v>1</v>
      </c>
      <c r="K1063">
        <v>77</v>
      </c>
      <c r="L1063">
        <v>411</v>
      </c>
      <c r="M1063">
        <v>1</v>
      </c>
      <c r="N1063">
        <v>2.15776E-95</v>
      </c>
      <c r="O1063">
        <v>888</v>
      </c>
    </row>
    <row r="1064" spans="1:15" x14ac:dyDescent="0.25">
      <c r="A1064" t="s">
        <v>1077</v>
      </c>
      <c r="B1064">
        <v>698</v>
      </c>
      <c r="C1064" s="1" t="str">
        <f>HYPERLINK("http://www.rosaceae.org/gb/gbrowse/malus_x_domestica/?name=MDP0000314472","MDP0000314472")</f>
        <v>MDP0000314472</v>
      </c>
      <c r="D1064">
        <v>76.05</v>
      </c>
      <c r="E1064">
        <v>547</v>
      </c>
      <c r="F1064">
        <v>131</v>
      </c>
      <c r="G1064">
        <v>4</v>
      </c>
      <c r="H1064">
        <v>22</v>
      </c>
      <c r="I1064">
        <v>565</v>
      </c>
      <c r="J1064">
        <v>1</v>
      </c>
      <c r="K1064">
        <v>27</v>
      </c>
      <c r="L1064">
        <v>572</v>
      </c>
      <c r="M1064">
        <v>1</v>
      </c>
      <c r="N1064">
        <v>0</v>
      </c>
      <c r="O1064">
        <v>2188</v>
      </c>
    </row>
    <row r="1065" spans="1:15" x14ac:dyDescent="0.25">
      <c r="A1065" t="s">
        <v>1078</v>
      </c>
      <c r="B1065">
        <v>229</v>
      </c>
      <c r="C1065" s="1" t="str">
        <f>HYPERLINK("http://www.rosaceae.org/gb/gbrowse/malus_x_domestica/?name=MDP0000237300","MDP0000237300")</f>
        <v>MDP0000237300</v>
      </c>
      <c r="D1065">
        <v>91.76</v>
      </c>
      <c r="E1065">
        <v>170</v>
      </c>
      <c r="F1065">
        <v>14</v>
      </c>
      <c r="G1065">
        <v>0</v>
      </c>
      <c r="H1065">
        <v>4</v>
      </c>
      <c r="I1065">
        <v>173</v>
      </c>
      <c r="J1065">
        <v>1</v>
      </c>
      <c r="K1065">
        <v>12</v>
      </c>
      <c r="L1065">
        <v>181</v>
      </c>
      <c r="M1065">
        <v>1</v>
      </c>
      <c r="N1065">
        <v>9.5131699999999995E-91</v>
      </c>
      <c r="O1065">
        <v>845</v>
      </c>
    </row>
    <row r="1066" spans="1:15" x14ac:dyDescent="0.25">
      <c r="A1066" t="s">
        <v>1079</v>
      </c>
      <c r="B1066">
        <v>186</v>
      </c>
      <c r="C1066" s="1" t="str">
        <f>HYPERLINK("http://www.rosaceae.org/gb/gbrowse/malus_x_domestica/?name=MDP0000182136","MDP0000182136")</f>
        <v>MDP0000182136</v>
      </c>
      <c r="D1066">
        <v>81.91</v>
      </c>
      <c r="E1066">
        <v>188</v>
      </c>
      <c r="F1066">
        <v>34</v>
      </c>
      <c r="G1066">
        <v>2</v>
      </c>
      <c r="H1066">
        <v>1</v>
      </c>
      <c r="I1066">
        <v>186</v>
      </c>
      <c r="J1066">
        <v>1</v>
      </c>
      <c r="K1066">
        <v>1</v>
      </c>
      <c r="L1066">
        <v>188</v>
      </c>
      <c r="M1066">
        <v>1</v>
      </c>
      <c r="N1066">
        <v>1.4073000000000001E-87</v>
      </c>
      <c r="O1066">
        <v>816</v>
      </c>
    </row>
    <row r="1067" spans="1:15" x14ac:dyDescent="0.25">
      <c r="A1067" t="s">
        <v>1080</v>
      </c>
      <c r="B1067">
        <v>253</v>
      </c>
      <c r="C1067" s="1" t="str">
        <f>HYPERLINK("http://www.rosaceae.org/gb/gbrowse/malus_x_domestica/?name=MDP0000534460","MDP0000534460")</f>
        <v>MDP0000534460</v>
      </c>
      <c r="D1067">
        <v>88.09</v>
      </c>
      <c r="E1067">
        <v>252</v>
      </c>
      <c r="F1067">
        <v>30</v>
      </c>
      <c r="G1067">
        <v>0</v>
      </c>
      <c r="H1067">
        <v>1</v>
      </c>
      <c r="I1067">
        <v>252</v>
      </c>
      <c r="J1067">
        <v>1</v>
      </c>
      <c r="K1067">
        <v>1</v>
      </c>
      <c r="L1067">
        <v>252</v>
      </c>
      <c r="M1067">
        <v>1</v>
      </c>
      <c r="N1067">
        <v>1.9928300000000001E-136</v>
      </c>
      <c r="O1067">
        <v>1240</v>
      </c>
    </row>
    <row r="1068" spans="1:15" x14ac:dyDescent="0.25">
      <c r="A1068" t="s">
        <v>1081</v>
      </c>
      <c r="B1068">
        <v>795</v>
      </c>
      <c r="C1068" s="1" t="str">
        <f>HYPERLINK("http://www.rosaceae.org/gb/gbrowse/malus_x_domestica/?name=MDP0000208703","MDP0000208703")</f>
        <v>MDP0000208703</v>
      </c>
      <c r="D1068">
        <v>77.760000000000005</v>
      </c>
      <c r="E1068">
        <v>688</v>
      </c>
      <c r="F1068">
        <v>153</v>
      </c>
      <c r="G1068">
        <v>0</v>
      </c>
      <c r="H1068">
        <v>108</v>
      </c>
      <c r="I1068">
        <v>795</v>
      </c>
      <c r="J1068">
        <v>1</v>
      </c>
      <c r="K1068">
        <v>1</v>
      </c>
      <c r="L1068">
        <v>688</v>
      </c>
      <c r="M1068">
        <v>1</v>
      </c>
      <c r="N1068">
        <v>0</v>
      </c>
      <c r="O1068">
        <v>2906</v>
      </c>
    </row>
    <row r="1069" spans="1:15" x14ac:dyDescent="0.25">
      <c r="A1069" t="s">
        <v>1082</v>
      </c>
      <c r="B1069">
        <v>317</v>
      </c>
      <c r="C1069" s="1" t="str">
        <f>HYPERLINK("http://www.rosaceae.org/gb/gbrowse/malus_x_domestica/?name=MDP0000657441","MDP0000657441")</f>
        <v>MDP0000657441</v>
      </c>
      <c r="D1069">
        <v>49.53</v>
      </c>
      <c r="E1069">
        <v>323</v>
      </c>
      <c r="F1069">
        <v>163</v>
      </c>
      <c r="G1069">
        <v>46</v>
      </c>
      <c r="H1069">
        <v>29</v>
      </c>
      <c r="I1069">
        <v>314</v>
      </c>
      <c r="J1069">
        <v>1</v>
      </c>
      <c r="K1069">
        <v>70</v>
      </c>
      <c r="L1069">
        <v>383</v>
      </c>
      <c r="M1069">
        <v>1</v>
      </c>
      <c r="N1069">
        <v>1.79718E-64</v>
      </c>
      <c r="O1069">
        <v>620</v>
      </c>
    </row>
    <row r="1070" spans="1:15" x14ac:dyDescent="0.25">
      <c r="A1070" t="s">
        <v>1083</v>
      </c>
      <c r="B1070">
        <v>316</v>
      </c>
      <c r="C1070" s="1" t="str">
        <f>HYPERLINK("http://www.rosaceae.org/gb/gbrowse/malus_x_domestica/?name=MDP0000648845","MDP0000648845")</f>
        <v>MDP0000648845</v>
      </c>
      <c r="D1070">
        <v>97.46</v>
      </c>
      <c r="E1070">
        <v>316</v>
      </c>
      <c r="F1070">
        <v>8</v>
      </c>
      <c r="G1070">
        <v>0</v>
      </c>
      <c r="H1070">
        <v>1</v>
      </c>
      <c r="I1070">
        <v>316</v>
      </c>
      <c r="J1070">
        <v>1</v>
      </c>
      <c r="K1070">
        <v>1</v>
      </c>
      <c r="L1070">
        <v>316</v>
      </c>
      <c r="M1070">
        <v>1</v>
      </c>
      <c r="N1070">
        <v>0</v>
      </c>
      <c r="O1070">
        <v>1697</v>
      </c>
    </row>
    <row r="1071" spans="1:15" x14ac:dyDescent="0.25">
      <c r="A1071" t="s">
        <v>1084</v>
      </c>
      <c r="B1071">
        <v>337</v>
      </c>
      <c r="C1071" s="1" t="str">
        <f>HYPERLINK("http://www.rosaceae.org/gb/gbrowse/malus_x_domestica/?name=MDP0000830926","MDP0000830926")</f>
        <v>MDP0000830926</v>
      </c>
      <c r="D1071">
        <v>76.849999999999994</v>
      </c>
      <c r="E1071">
        <v>337</v>
      </c>
      <c r="F1071">
        <v>78</v>
      </c>
      <c r="G1071">
        <v>4</v>
      </c>
      <c r="H1071">
        <v>1</v>
      </c>
      <c r="I1071">
        <v>337</v>
      </c>
      <c r="J1071">
        <v>1</v>
      </c>
      <c r="K1071">
        <v>1</v>
      </c>
      <c r="L1071">
        <v>333</v>
      </c>
      <c r="M1071">
        <v>1</v>
      </c>
      <c r="N1071">
        <v>3.8291299999999998E-153</v>
      </c>
      <c r="O1071">
        <v>1385</v>
      </c>
    </row>
    <row r="1072" spans="1:15" x14ac:dyDescent="0.25">
      <c r="A1072" t="s">
        <v>1085</v>
      </c>
      <c r="B1072">
        <v>184</v>
      </c>
      <c r="C1072" s="1" t="str">
        <f>HYPERLINK("http://www.rosaceae.org/gb/gbrowse/malus_x_domestica/?name=MDP0000808291","MDP0000808291")</f>
        <v>MDP0000808291</v>
      </c>
      <c r="D1072">
        <v>72.92</v>
      </c>
      <c r="E1072">
        <v>181</v>
      </c>
      <c r="F1072">
        <v>49</v>
      </c>
      <c r="G1072">
        <v>0</v>
      </c>
      <c r="H1072">
        <v>4</v>
      </c>
      <c r="I1072">
        <v>184</v>
      </c>
      <c r="J1072">
        <v>1</v>
      </c>
      <c r="K1072">
        <v>3</v>
      </c>
      <c r="L1072">
        <v>183</v>
      </c>
      <c r="M1072">
        <v>1</v>
      </c>
      <c r="N1072">
        <v>6.0557600000000005E-69</v>
      </c>
      <c r="O1072">
        <v>656</v>
      </c>
    </row>
    <row r="1073" spans="1:15" x14ac:dyDescent="0.25">
      <c r="A1073" t="s">
        <v>1086</v>
      </c>
      <c r="B1073">
        <v>493</v>
      </c>
      <c r="C1073" s="1" t="str">
        <f>HYPERLINK("http://www.rosaceae.org/gb/gbrowse/malus_x_domestica/?name=MDP0000192471","MDP0000192471")</f>
        <v>MDP0000192471</v>
      </c>
      <c r="D1073">
        <v>69.02</v>
      </c>
      <c r="E1073">
        <v>494</v>
      </c>
      <c r="F1073">
        <v>153</v>
      </c>
      <c r="G1073">
        <v>2</v>
      </c>
      <c r="H1073">
        <v>1</v>
      </c>
      <c r="I1073">
        <v>493</v>
      </c>
      <c r="J1073">
        <v>1</v>
      </c>
      <c r="K1073">
        <v>1</v>
      </c>
      <c r="L1073">
        <v>493</v>
      </c>
      <c r="M1073">
        <v>1</v>
      </c>
      <c r="N1073">
        <v>0</v>
      </c>
      <c r="O1073">
        <v>1827</v>
      </c>
    </row>
    <row r="1074" spans="1:15" x14ac:dyDescent="0.25">
      <c r="A1074" t="s">
        <v>1087</v>
      </c>
      <c r="B1074">
        <v>588</v>
      </c>
      <c r="C1074" s="1" t="str">
        <f>HYPERLINK("http://www.rosaceae.org/gb/gbrowse/malus_x_domestica/?name=MDP0000304174","MDP0000304174")</f>
        <v>MDP0000304174</v>
      </c>
      <c r="D1074">
        <v>71.05</v>
      </c>
      <c r="E1074">
        <v>615</v>
      </c>
      <c r="F1074">
        <v>178</v>
      </c>
      <c r="G1074">
        <v>37</v>
      </c>
      <c r="H1074">
        <v>1</v>
      </c>
      <c r="I1074">
        <v>581</v>
      </c>
      <c r="J1074">
        <v>1</v>
      </c>
      <c r="K1074">
        <v>1</v>
      </c>
      <c r="L1074">
        <v>612</v>
      </c>
      <c r="M1074">
        <v>1</v>
      </c>
      <c r="N1074">
        <v>0</v>
      </c>
      <c r="O1074">
        <v>2226</v>
      </c>
    </row>
    <row r="1075" spans="1:15" x14ac:dyDescent="0.25">
      <c r="A1075" t="s">
        <v>1088</v>
      </c>
      <c r="B1075">
        <v>672</v>
      </c>
      <c r="C1075" s="1" t="str">
        <f>HYPERLINK("http://www.rosaceae.org/gb/gbrowse/malus_x_domestica/?name=MDP0000154499","MDP0000154499")</f>
        <v>MDP0000154499</v>
      </c>
      <c r="D1075">
        <v>55.78</v>
      </c>
      <c r="E1075">
        <v>726</v>
      </c>
      <c r="F1075">
        <v>321</v>
      </c>
      <c r="G1075">
        <v>114</v>
      </c>
      <c r="H1075">
        <v>2</v>
      </c>
      <c r="I1075">
        <v>666</v>
      </c>
      <c r="J1075">
        <v>1</v>
      </c>
      <c r="K1075">
        <v>3</v>
      </c>
      <c r="L1075">
        <v>675</v>
      </c>
      <c r="M1075">
        <v>1</v>
      </c>
      <c r="N1075">
        <v>0</v>
      </c>
      <c r="O1075">
        <v>1841</v>
      </c>
    </row>
    <row r="1076" spans="1:15" x14ac:dyDescent="0.25">
      <c r="A1076" t="s">
        <v>1089</v>
      </c>
      <c r="B1076">
        <v>768</v>
      </c>
      <c r="C1076" s="1" t="str">
        <f>HYPERLINK("http://www.rosaceae.org/gb/gbrowse/malus_x_domestica/?name=MDP0000290263","MDP0000290263")</f>
        <v>MDP0000290263</v>
      </c>
      <c r="D1076">
        <v>59.97</v>
      </c>
      <c r="E1076">
        <v>717</v>
      </c>
      <c r="F1076">
        <v>287</v>
      </c>
      <c r="G1076">
        <v>34</v>
      </c>
      <c r="H1076">
        <v>1</v>
      </c>
      <c r="I1076">
        <v>693</v>
      </c>
      <c r="J1076">
        <v>1</v>
      </c>
      <c r="K1076">
        <v>1</v>
      </c>
      <c r="L1076">
        <v>707</v>
      </c>
      <c r="M1076">
        <v>1</v>
      </c>
      <c r="N1076">
        <v>0</v>
      </c>
      <c r="O1076">
        <v>1975</v>
      </c>
    </row>
    <row r="1077" spans="1:15" x14ac:dyDescent="0.25">
      <c r="A1077" t="s">
        <v>1090</v>
      </c>
      <c r="B1077">
        <v>675</v>
      </c>
      <c r="C1077" s="1" t="str">
        <f>HYPERLINK("http://www.rosaceae.org/gb/gbrowse/malus_x_domestica/?name=MDP0000244084","MDP0000244084")</f>
        <v>MDP0000244084</v>
      </c>
      <c r="D1077">
        <v>78.84</v>
      </c>
      <c r="E1077">
        <v>501</v>
      </c>
      <c r="F1077">
        <v>106</v>
      </c>
      <c r="G1077">
        <v>5</v>
      </c>
      <c r="H1077">
        <v>1</v>
      </c>
      <c r="I1077">
        <v>499</v>
      </c>
      <c r="J1077">
        <v>1</v>
      </c>
      <c r="K1077">
        <v>1</v>
      </c>
      <c r="L1077">
        <v>498</v>
      </c>
      <c r="M1077">
        <v>1</v>
      </c>
      <c r="N1077">
        <v>0</v>
      </c>
      <c r="O1077">
        <v>2061</v>
      </c>
    </row>
    <row r="1078" spans="1:15" x14ac:dyDescent="0.25">
      <c r="A1078" t="s">
        <v>1091</v>
      </c>
      <c r="B1078">
        <v>441</v>
      </c>
      <c r="C1078" s="1" t="str">
        <f>HYPERLINK("http://www.rosaceae.org/gb/gbrowse/malus_x_domestica/?name=MDP0000122441","MDP0000122441")</f>
        <v>MDP0000122441</v>
      </c>
      <c r="D1078">
        <v>68.39</v>
      </c>
      <c r="E1078">
        <v>443</v>
      </c>
      <c r="F1078">
        <v>140</v>
      </c>
      <c r="G1078">
        <v>4</v>
      </c>
      <c r="H1078">
        <v>1</v>
      </c>
      <c r="I1078">
        <v>441</v>
      </c>
      <c r="J1078">
        <v>1</v>
      </c>
      <c r="K1078">
        <v>1</v>
      </c>
      <c r="L1078">
        <v>441</v>
      </c>
      <c r="M1078">
        <v>1</v>
      </c>
      <c r="N1078">
        <v>1.1510300000000001E-178</v>
      </c>
      <c r="O1078">
        <v>1607</v>
      </c>
    </row>
    <row r="1079" spans="1:15" x14ac:dyDescent="0.25">
      <c r="A1079" t="s">
        <v>1092</v>
      </c>
      <c r="B1079">
        <v>259</v>
      </c>
      <c r="C1079" s="1" t="str">
        <f>HYPERLINK("http://www.rosaceae.org/gb/gbrowse/malus_x_domestica/?name=MDP0000271142","MDP0000271142")</f>
        <v>MDP0000271142</v>
      </c>
      <c r="D1079">
        <v>57.79</v>
      </c>
      <c r="E1079">
        <v>109</v>
      </c>
      <c r="F1079">
        <v>46</v>
      </c>
      <c r="G1079">
        <v>0</v>
      </c>
      <c r="H1079">
        <v>114</v>
      </c>
      <c r="I1079">
        <v>222</v>
      </c>
      <c r="J1079">
        <v>1</v>
      </c>
      <c r="K1079">
        <v>120</v>
      </c>
      <c r="L1079">
        <v>228</v>
      </c>
      <c r="M1079">
        <v>1</v>
      </c>
      <c r="N1079">
        <v>2.70849E-17</v>
      </c>
      <c r="O1079">
        <v>212</v>
      </c>
    </row>
    <row r="1080" spans="1:15" x14ac:dyDescent="0.25">
      <c r="A1080" t="s">
        <v>1093</v>
      </c>
      <c r="B1080">
        <v>438</v>
      </c>
      <c r="C1080" s="1" t="str">
        <f>HYPERLINK("http://www.rosaceae.org/gb/gbrowse/malus_x_domestica/?name=MDP0000247921","MDP0000247921")</f>
        <v>MDP0000247921</v>
      </c>
      <c r="D1080">
        <v>26.07</v>
      </c>
      <c r="E1080">
        <v>418</v>
      </c>
      <c r="F1080">
        <v>309</v>
      </c>
      <c r="G1080">
        <v>87</v>
      </c>
      <c r="H1080">
        <v>67</v>
      </c>
      <c r="I1080">
        <v>415</v>
      </c>
      <c r="J1080">
        <v>1</v>
      </c>
      <c r="K1080">
        <v>724</v>
      </c>
      <c r="L1080">
        <v>1123</v>
      </c>
      <c r="M1080">
        <v>1</v>
      </c>
      <c r="N1080">
        <v>1.52565E-33</v>
      </c>
      <c r="O1080">
        <v>355</v>
      </c>
    </row>
    <row r="1081" spans="1:15" x14ac:dyDescent="0.25">
      <c r="A1081" t="s">
        <v>1094</v>
      </c>
      <c r="B1081">
        <v>250</v>
      </c>
      <c r="C1081" s="1" t="str">
        <f>HYPERLINK("http://www.rosaceae.org/gb/gbrowse/malus_x_domestica/?name=MDP0000599857","MDP0000599857")</f>
        <v>MDP0000599857</v>
      </c>
      <c r="D1081">
        <v>41.03</v>
      </c>
      <c r="E1081">
        <v>212</v>
      </c>
      <c r="F1081">
        <v>125</v>
      </c>
      <c r="G1081">
        <v>24</v>
      </c>
      <c r="H1081">
        <v>1</v>
      </c>
      <c r="I1081">
        <v>210</v>
      </c>
      <c r="J1081">
        <v>1</v>
      </c>
      <c r="K1081">
        <v>418</v>
      </c>
      <c r="L1081">
        <v>607</v>
      </c>
      <c r="M1081">
        <v>1</v>
      </c>
      <c r="N1081">
        <v>5.6167899999999999E-33</v>
      </c>
      <c r="O1081">
        <v>347</v>
      </c>
    </row>
    <row r="1082" spans="1:15" x14ac:dyDescent="0.25">
      <c r="A1082" t="s">
        <v>1095</v>
      </c>
      <c r="B1082">
        <v>230</v>
      </c>
      <c r="C1082" s="1" t="str">
        <f>HYPERLINK("http://www.rosaceae.org/gb/gbrowse/malus_x_domestica/?name=MDP0000324166","MDP0000324166")</f>
        <v>MDP0000324166</v>
      </c>
      <c r="D1082">
        <v>63.98</v>
      </c>
      <c r="E1082">
        <v>211</v>
      </c>
      <c r="F1082">
        <v>76</v>
      </c>
      <c r="G1082">
        <v>5</v>
      </c>
      <c r="H1082">
        <v>1</v>
      </c>
      <c r="I1082">
        <v>207</v>
      </c>
      <c r="J1082">
        <v>1</v>
      </c>
      <c r="K1082">
        <v>17</v>
      </c>
      <c r="L1082">
        <v>226</v>
      </c>
      <c r="M1082">
        <v>1</v>
      </c>
      <c r="N1082">
        <v>1.4500300000000001E-73</v>
      </c>
      <c r="O1082">
        <v>697</v>
      </c>
    </row>
    <row r="1083" spans="1:15" x14ac:dyDescent="0.25">
      <c r="A1083" t="s">
        <v>1096</v>
      </c>
      <c r="B1083">
        <v>508</v>
      </c>
      <c r="C1083" s="1" t="str">
        <f>HYPERLINK("http://www.rosaceae.org/gb/gbrowse/malus_x_domestica/?name=MDP0000154841","MDP0000154841")</f>
        <v>MDP0000154841</v>
      </c>
      <c r="D1083">
        <v>53.42</v>
      </c>
      <c r="E1083">
        <v>350</v>
      </c>
      <c r="F1083">
        <v>163</v>
      </c>
      <c r="G1083">
        <v>13</v>
      </c>
      <c r="H1083">
        <v>161</v>
      </c>
      <c r="I1083">
        <v>504</v>
      </c>
      <c r="J1083">
        <v>1</v>
      </c>
      <c r="K1083">
        <v>603</v>
      </c>
      <c r="L1083">
        <v>945</v>
      </c>
      <c r="M1083">
        <v>1</v>
      </c>
      <c r="N1083">
        <v>1.24449E-86</v>
      </c>
      <c r="O1083">
        <v>814</v>
      </c>
    </row>
    <row r="1084" spans="1:15" x14ac:dyDescent="0.25">
      <c r="A1084" t="s">
        <v>1097</v>
      </c>
      <c r="B1084">
        <v>1254</v>
      </c>
      <c r="C1084" s="1" t="str">
        <f>HYPERLINK("http://www.rosaceae.org/gb/gbrowse/malus_x_domestica/?name=MDP0000219774","MDP0000219774")</f>
        <v>MDP0000219774</v>
      </c>
      <c r="D1084">
        <v>52.62</v>
      </c>
      <c r="E1084">
        <v>992</v>
      </c>
      <c r="F1084">
        <v>470</v>
      </c>
      <c r="G1084">
        <v>107</v>
      </c>
      <c r="H1084">
        <v>1</v>
      </c>
      <c r="I1084">
        <v>919</v>
      </c>
      <c r="J1084">
        <v>1</v>
      </c>
      <c r="K1084">
        <v>1</v>
      </c>
      <c r="L1084">
        <v>958</v>
      </c>
      <c r="M1084">
        <v>1</v>
      </c>
      <c r="N1084">
        <v>0</v>
      </c>
      <c r="O1084">
        <v>2398</v>
      </c>
    </row>
    <row r="1085" spans="1:15" x14ac:dyDescent="0.25">
      <c r="A1085" t="s">
        <v>1098</v>
      </c>
      <c r="B1085">
        <v>167</v>
      </c>
      <c r="C1085" s="1" t="str">
        <f>HYPERLINK("http://www.rosaceae.org/gb/gbrowse/malus_x_domestica/?name=MDP0000150345","MDP0000150345")</f>
        <v>MDP0000150345</v>
      </c>
      <c r="D1085">
        <v>59.21</v>
      </c>
      <c r="E1085">
        <v>152</v>
      </c>
      <c r="F1085">
        <v>62</v>
      </c>
      <c r="G1085">
        <v>3</v>
      </c>
      <c r="H1085">
        <v>14</v>
      </c>
      <c r="I1085">
        <v>163</v>
      </c>
      <c r="J1085">
        <v>1</v>
      </c>
      <c r="K1085">
        <v>14</v>
      </c>
      <c r="L1085">
        <v>164</v>
      </c>
      <c r="M1085">
        <v>1</v>
      </c>
      <c r="N1085">
        <v>1.38185E-45</v>
      </c>
      <c r="O1085">
        <v>453</v>
      </c>
    </row>
    <row r="1086" spans="1:15" x14ac:dyDescent="0.25">
      <c r="A1086" t="s">
        <v>1099</v>
      </c>
      <c r="B1086">
        <v>543</v>
      </c>
      <c r="C1086" s="1" t="str">
        <f>HYPERLINK("http://www.rosaceae.org/gb/gbrowse/malus_x_domestica/?name=MDP0000243495","MDP0000243495")</f>
        <v>MDP0000243495</v>
      </c>
      <c r="D1086">
        <v>53.09</v>
      </c>
      <c r="E1086">
        <v>484</v>
      </c>
      <c r="F1086">
        <v>227</v>
      </c>
      <c r="G1086">
        <v>63</v>
      </c>
      <c r="H1086">
        <v>89</v>
      </c>
      <c r="I1086">
        <v>543</v>
      </c>
      <c r="J1086">
        <v>1</v>
      </c>
      <c r="K1086">
        <v>149</v>
      </c>
      <c r="L1086">
        <v>598</v>
      </c>
      <c r="M1086">
        <v>1</v>
      </c>
      <c r="N1086">
        <v>3.0966200000000001E-109</v>
      </c>
      <c r="O1086">
        <v>1009</v>
      </c>
    </row>
    <row r="1087" spans="1:15" x14ac:dyDescent="0.25">
      <c r="A1087" t="s">
        <v>1100</v>
      </c>
      <c r="B1087">
        <v>321</v>
      </c>
      <c r="C1087" s="1" t="str">
        <f>HYPERLINK("http://www.rosaceae.org/gb/gbrowse/malus_x_domestica/?name=MDP0000140891","MDP0000140891")</f>
        <v>MDP0000140891</v>
      </c>
      <c r="D1087">
        <v>70.67</v>
      </c>
      <c r="E1087">
        <v>266</v>
      </c>
      <c r="F1087">
        <v>78</v>
      </c>
      <c r="G1087">
        <v>10</v>
      </c>
      <c r="H1087">
        <v>46</v>
      </c>
      <c r="I1087">
        <v>302</v>
      </c>
      <c r="J1087">
        <v>1</v>
      </c>
      <c r="K1087">
        <v>15</v>
      </c>
      <c r="L1087">
        <v>279</v>
      </c>
      <c r="M1087">
        <v>1</v>
      </c>
      <c r="N1087">
        <v>4.0304600000000002E-105</v>
      </c>
      <c r="O1087">
        <v>971</v>
      </c>
    </row>
    <row r="1088" spans="1:15" x14ac:dyDescent="0.25">
      <c r="A1088" t="s">
        <v>1101</v>
      </c>
      <c r="B1088">
        <v>285</v>
      </c>
      <c r="C1088" s="1" t="str">
        <f>HYPERLINK("http://www.rosaceae.org/gb/gbrowse/malus_x_domestica/?name=MDP0000156453","MDP0000156453")</f>
        <v>MDP0000156453</v>
      </c>
      <c r="D1088">
        <v>47.91</v>
      </c>
      <c r="E1088">
        <v>192</v>
      </c>
      <c r="F1088">
        <v>100</v>
      </c>
      <c r="G1088">
        <v>55</v>
      </c>
      <c r="H1088">
        <v>144</v>
      </c>
      <c r="I1088">
        <v>285</v>
      </c>
      <c r="J1088">
        <v>1</v>
      </c>
      <c r="K1088">
        <v>190</v>
      </c>
      <c r="L1088">
        <v>376</v>
      </c>
      <c r="M1088">
        <v>1</v>
      </c>
      <c r="N1088">
        <v>3.1852599999999998E-38</v>
      </c>
      <c r="O1088">
        <v>393</v>
      </c>
    </row>
    <row r="1089" spans="1:15" x14ac:dyDescent="0.25">
      <c r="A1089" t="s">
        <v>1102</v>
      </c>
      <c r="B1089">
        <v>183</v>
      </c>
      <c r="C1089" s="1" t="str">
        <f>HYPERLINK("http://www.rosaceae.org/gb/gbrowse/malus_x_domestica/?name=MDP0000373964","MDP0000373964")</f>
        <v>MDP0000373964</v>
      </c>
      <c r="D1089">
        <v>91.8</v>
      </c>
      <c r="E1089">
        <v>183</v>
      </c>
      <c r="F1089">
        <v>15</v>
      </c>
      <c r="G1089">
        <v>0</v>
      </c>
      <c r="H1089">
        <v>1</v>
      </c>
      <c r="I1089">
        <v>183</v>
      </c>
      <c r="J1089">
        <v>1</v>
      </c>
      <c r="K1089">
        <v>1</v>
      </c>
      <c r="L1089">
        <v>183</v>
      </c>
      <c r="M1089">
        <v>1</v>
      </c>
      <c r="N1089">
        <v>7.37413E-98</v>
      </c>
      <c r="O1089">
        <v>905</v>
      </c>
    </row>
    <row r="1090" spans="1:15" x14ac:dyDescent="0.25">
      <c r="A1090" t="s">
        <v>1103</v>
      </c>
      <c r="B1090">
        <v>693</v>
      </c>
      <c r="C1090" s="1" t="str">
        <f>HYPERLINK("http://www.rosaceae.org/gb/gbrowse/malus_x_domestica/?name=MDP0000094804","MDP0000094804")</f>
        <v>MDP0000094804</v>
      </c>
      <c r="D1090">
        <v>83.16</v>
      </c>
      <c r="E1090">
        <v>695</v>
      </c>
      <c r="F1090">
        <v>117</v>
      </c>
      <c r="G1090">
        <v>3</v>
      </c>
      <c r="H1090">
        <v>1</v>
      </c>
      <c r="I1090">
        <v>692</v>
      </c>
      <c r="J1090">
        <v>1</v>
      </c>
      <c r="K1090">
        <v>1</v>
      </c>
      <c r="L1090">
        <v>695</v>
      </c>
      <c r="M1090">
        <v>1</v>
      </c>
      <c r="N1090">
        <v>0</v>
      </c>
      <c r="O1090">
        <v>3121</v>
      </c>
    </row>
    <row r="1091" spans="1:15" x14ac:dyDescent="0.25">
      <c r="A1091" t="s">
        <v>1104</v>
      </c>
      <c r="B1091">
        <v>172</v>
      </c>
      <c r="C1091" s="1" t="str">
        <f>HYPERLINK("http://www.rosaceae.org/gb/gbrowse/malus_x_domestica/?name=MDP0000177291","MDP0000177291")</f>
        <v>MDP0000177291</v>
      </c>
      <c r="D1091">
        <v>82.85</v>
      </c>
      <c r="E1091">
        <v>35</v>
      </c>
      <c r="F1091">
        <v>6</v>
      </c>
      <c r="G1091">
        <v>1</v>
      </c>
      <c r="H1091">
        <v>115</v>
      </c>
      <c r="I1091">
        <v>149</v>
      </c>
      <c r="J1091">
        <v>1</v>
      </c>
      <c r="K1091">
        <v>328</v>
      </c>
      <c r="L1091">
        <v>361</v>
      </c>
      <c r="M1091">
        <v>1</v>
      </c>
      <c r="N1091">
        <v>2.4865199999999998E-9</v>
      </c>
      <c r="O1091">
        <v>141</v>
      </c>
    </row>
    <row r="1092" spans="1:15" x14ac:dyDescent="0.25">
      <c r="A1092" t="s">
        <v>1105</v>
      </c>
      <c r="B1092">
        <v>1089</v>
      </c>
      <c r="C1092" s="1" t="str">
        <f>HYPERLINK("http://www.rosaceae.org/gb/gbrowse/malus_x_domestica/?name=MDP0000149391","MDP0000149391")</f>
        <v>MDP0000149391</v>
      </c>
      <c r="D1092">
        <v>51.28</v>
      </c>
      <c r="E1092">
        <v>156</v>
      </c>
      <c r="F1092">
        <v>76</v>
      </c>
      <c r="G1092">
        <v>12</v>
      </c>
      <c r="H1092">
        <v>95</v>
      </c>
      <c r="I1092">
        <v>241</v>
      </c>
      <c r="J1092">
        <v>1</v>
      </c>
      <c r="K1092">
        <v>1040</v>
      </c>
      <c r="L1092">
        <v>1192</v>
      </c>
      <c r="M1092">
        <v>1</v>
      </c>
      <c r="N1092">
        <v>4.7910499999999999E-42</v>
      </c>
      <c r="O1092">
        <v>432</v>
      </c>
    </row>
    <row r="1093" spans="1:15" x14ac:dyDescent="0.25">
      <c r="A1093" t="s">
        <v>1106</v>
      </c>
      <c r="B1093">
        <v>162</v>
      </c>
      <c r="C1093" s="1" t="str">
        <f>HYPERLINK("http://www.rosaceae.org/gb/gbrowse/malus_x_domestica/?name=MDP0000311815","MDP0000311815")</f>
        <v>MDP0000311815</v>
      </c>
      <c r="D1093">
        <v>88.46</v>
      </c>
      <c r="E1093">
        <v>104</v>
      </c>
      <c r="F1093">
        <v>12</v>
      </c>
      <c r="G1093">
        <v>0</v>
      </c>
      <c r="H1093">
        <v>1</v>
      </c>
      <c r="I1093">
        <v>104</v>
      </c>
      <c r="J1093">
        <v>1</v>
      </c>
      <c r="K1093">
        <v>475</v>
      </c>
      <c r="L1093">
        <v>578</v>
      </c>
      <c r="M1093">
        <v>1</v>
      </c>
      <c r="N1093">
        <v>9.2848200000000006E-50</v>
      </c>
      <c r="O1093">
        <v>489</v>
      </c>
    </row>
    <row r="1094" spans="1:15" x14ac:dyDescent="0.25">
      <c r="A1094" t="s">
        <v>1107</v>
      </c>
      <c r="B1094">
        <v>210</v>
      </c>
      <c r="C1094" s="1" t="str">
        <f>HYPERLINK("http://www.rosaceae.org/gb/gbrowse/malus_x_domestica/?name=MDP0000247940","MDP0000247940")</f>
        <v>MDP0000247940</v>
      </c>
      <c r="D1094">
        <v>46.87</v>
      </c>
      <c r="E1094">
        <v>96</v>
      </c>
      <c r="F1094">
        <v>51</v>
      </c>
      <c r="G1094">
        <v>9</v>
      </c>
      <c r="H1094">
        <v>3</v>
      </c>
      <c r="I1094">
        <v>89</v>
      </c>
      <c r="J1094">
        <v>1</v>
      </c>
      <c r="K1094">
        <v>4</v>
      </c>
      <c r="L1094">
        <v>99</v>
      </c>
      <c r="M1094">
        <v>1</v>
      </c>
      <c r="N1094">
        <v>4.8381599999999997E-18</v>
      </c>
      <c r="O1094">
        <v>217</v>
      </c>
    </row>
    <row r="1095" spans="1:15" x14ac:dyDescent="0.25">
      <c r="A1095" t="s">
        <v>1108</v>
      </c>
      <c r="B1095">
        <v>334</v>
      </c>
      <c r="C1095" s="1" t="str">
        <f>HYPERLINK("http://www.rosaceae.org/gb/gbrowse/malus_x_domestica/?name=MDP0000303908","MDP0000303908")</f>
        <v>MDP0000303908</v>
      </c>
      <c r="D1095">
        <v>80.53</v>
      </c>
      <c r="E1095">
        <v>334</v>
      </c>
      <c r="F1095">
        <v>65</v>
      </c>
      <c r="G1095">
        <v>9</v>
      </c>
      <c r="H1095">
        <v>1</v>
      </c>
      <c r="I1095">
        <v>334</v>
      </c>
      <c r="J1095">
        <v>1</v>
      </c>
      <c r="K1095">
        <v>1</v>
      </c>
      <c r="L1095">
        <v>325</v>
      </c>
      <c r="M1095">
        <v>1</v>
      </c>
      <c r="N1095">
        <v>4.5480100000000001E-148</v>
      </c>
      <c r="O1095">
        <v>1341</v>
      </c>
    </row>
    <row r="1096" spans="1:15" x14ac:dyDescent="0.25">
      <c r="A1096" t="s">
        <v>1109</v>
      </c>
      <c r="B1096">
        <v>353</v>
      </c>
      <c r="C1096" s="1" t="str">
        <f>HYPERLINK("http://www.rosaceae.org/gb/gbrowse/malus_x_domestica/?name=MDP0000891962","MDP0000891962")</f>
        <v>MDP0000891962</v>
      </c>
      <c r="D1096">
        <v>68.760000000000005</v>
      </c>
      <c r="E1096">
        <v>349</v>
      </c>
      <c r="F1096">
        <v>109</v>
      </c>
      <c r="G1096">
        <v>6</v>
      </c>
      <c r="H1096">
        <v>10</v>
      </c>
      <c r="I1096">
        <v>353</v>
      </c>
      <c r="J1096">
        <v>1</v>
      </c>
      <c r="K1096">
        <v>1</v>
      </c>
      <c r="L1096">
        <v>348</v>
      </c>
      <c r="M1096">
        <v>1</v>
      </c>
      <c r="N1096">
        <v>1.3540500000000001E-140</v>
      </c>
      <c r="O1096">
        <v>1277</v>
      </c>
    </row>
    <row r="1097" spans="1:15" x14ac:dyDescent="0.25">
      <c r="A1097" t="s">
        <v>1110</v>
      </c>
      <c r="B1097">
        <v>122</v>
      </c>
      <c r="C1097" s="1" t="str">
        <f>HYPERLINK("http://www.rosaceae.org/gb/gbrowse/malus_x_domestica/?name=MDP0000239437","MDP0000239437")</f>
        <v>MDP0000239437</v>
      </c>
      <c r="D1097">
        <v>55.76</v>
      </c>
      <c r="E1097">
        <v>104</v>
      </c>
      <c r="F1097">
        <v>46</v>
      </c>
      <c r="G1097">
        <v>2</v>
      </c>
      <c r="H1097">
        <v>18</v>
      </c>
      <c r="I1097">
        <v>121</v>
      </c>
      <c r="J1097">
        <v>1</v>
      </c>
      <c r="K1097">
        <v>23</v>
      </c>
      <c r="L1097">
        <v>124</v>
      </c>
      <c r="M1097">
        <v>1</v>
      </c>
      <c r="N1097">
        <v>3.0989800000000001E-27</v>
      </c>
      <c r="O1097">
        <v>292</v>
      </c>
    </row>
    <row r="1098" spans="1:15" x14ac:dyDescent="0.25">
      <c r="A1098" t="s">
        <v>1111</v>
      </c>
      <c r="B1098">
        <v>246</v>
      </c>
      <c r="C1098" s="1" t="str">
        <f>HYPERLINK("http://www.rosaceae.org/gb/gbrowse/malus_x_domestica/?name=MDP0000589422","MDP0000589422")</f>
        <v>MDP0000589422</v>
      </c>
      <c r="D1098">
        <v>44.48</v>
      </c>
      <c r="E1098">
        <v>290</v>
      </c>
      <c r="F1098">
        <v>161</v>
      </c>
      <c r="G1098">
        <v>47</v>
      </c>
      <c r="H1098">
        <v>1</v>
      </c>
      <c r="I1098">
        <v>246</v>
      </c>
      <c r="J1098">
        <v>1</v>
      </c>
      <c r="K1098">
        <v>1</v>
      </c>
      <c r="L1098">
        <v>287</v>
      </c>
      <c r="M1098">
        <v>1</v>
      </c>
      <c r="N1098">
        <v>2.6769799999999998E-49</v>
      </c>
      <c r="O1098">
        <v>488</v>
      </c>
    </row>
    <row r="1099" spans="1:15" x14ac:dyDescent="0.25">
      <c r="A1099" t="s">
        <v>1112</v>
      </c>
      <c r="B1099">
        <v>361</v>
      </c>
      <c r="C1099" s="1" t="str">
        <f>HYPERLINK("http://www.rosaceae.org/gb/gbrowse/malus_x_domestica/?name=MDP0000130570","MDP0000130570")</f>
        <v>MDP0000130570</v>
      </c>
      <c r="D1099">
        <v>28.06</v>
      </c>
      <c r="E1099">
        <v>367</v>
      </c>
      <c r="F1099">
        <v>264</v>
      </c>
      <c r="G1099">
        <v>84</v>
      </c>
      <c r="H1099">
        <v>19</v>
      </c>
      <c r="I1099">
        <v>361</v>
      </c>
      <c r="J1099">
        <v>1</v>
      </c>
      <c r="K1099">
        <v>47</v>
      </c>
      <c r="L1099">
        <v>353</v>
      </c>
      <c r="M1099">
        <v>1</v>
      </c>
      <c r="N1099">
        <v>4.7666500000000002E-26</v>
      </c>
      <c r="O1099">
        <v>290</v>
      </c>
    </row>
    <row r="1100" spans="1:15" x14ac:dyDescent="0.25">
      <c r="A1100" t="s">
        <v>1113</v>
      </c>
      <c r="B1100">
        <v>216</v>
      </c>
      <c r="C1100" s="1" t="str">
        <f>HYPERLINK("http://www.rosaceae.org/gb/gbrowse/malus_x_domestica/?name=MDP0000137468","MDP0000137468")</f>
        <v>MDP0000137468</v>
      </c>
      <c r="D1100">
        <v>58.52</v>
      </c>
      <c r="E1100">
        <v>217</v>
      </c>
      <c r="F1100">
        <v>90</v>
      </c>
      <c r="G1100">
        <v>8</v>
      </c>
      <c r="H1100">
        <v>1</v>
      </c>
      <c r="I1100">
        <v>216</v>
      </c>
      <c r="J1100">
        <v>1</v>
      </c>
      <c r="K1100">
        <v>1</v>
      </c>
      <c r="L1100">
        <v>210</v>
      </c>
      <c r="M1100">
        <v>1</v>
      </c>
      <c r="N1100">
        <v>1.9805400000000001E-57</v>
      </c>
      <c r="O1100">
        <v>557</v>
      </c>
    </row>
    <row r="1101" spans="1:15" x14ac:dyDescent="0.25">
      <c r="A1101" t="s">
        <v>1114</v>
      </c>
      <c r="B1101">
        <v>517</v>
      </c>
      <c r="C1101" s="1" t="str">
        <f>HYPERLINK("http://www.rosaceae.org/gb/gbrowse/malus_x_domestica/?name=MDP0000156544","MDP0000156544")</f>
        <v>MDP0000156544</v>
      </c>
      <c r="D1101">
        <v>76.900000000000006</v>
      </c>
      <c r="E1101">
        <v>459</v>
      </c>
      <c r="F1101">
        <v>106</v>
      </c>
      <c r="G1101">
        <v>4</v>
      </c>
      <c r="H1101">
        <v>63</v>
      </c>
      <c r="I1101">
        <v>517</v>
      </c>
      <c r="J1101">
        <v>1</v>
      </c>
      <c r="K1101">
        <v>63</v>
      </c>
      <c r="L1101">
        <v>521</v>
      </c>
      <c r="M1101">
        <v>1</v>
      </c>
      <c r="N1101">
        <v>0</v>
      </c>
      <c r="O1101">
        <v>1909</v>
      </c>
    </row>
    <row r="1102" spans="1:15" x14ac:dyDescent="0.25">
      <c r="A1102" t="s">
        <v>1115</v>
      </c>
      <c r="B1102">
        <v>501</v>
      </c>
      <c r="C1102" s="1" t="str">
        <f>HYPERLINK("http://www.rosaceae.org/gb/gbrowse/malus_x_domestica/?name=MDP0000184825","MDP0000184825")</f>
        <v>MDP0000184825</v>
      </c>
      <c r="D1102">
        <v>72.72</v>
      </c>
      <c r="E1102">
        <v>110</v>
      </c>
      <c r="F1102">
        <v>30</v>
      </c>
      <c r="G1102">
        <v>0</v>
      </c>
      <c r="H1102">
        <v>1</v>
      </c>
      <c r="I1102">
        <v>110</v>
      </c>
      <c r="J1102">
        <v>1</v>
      </c>
      <c r="K1102">
        <v>1</v>
      </c>
      <c r="L1102">
        <v>110</v>
      </c>
      <c r="M1102">
        <v>1</v>
      </c>
      <c r="N1102">
        <v>1.7004400000000001E-42</v>
      </c>
      <c r="O1102">
        <v>433</v>
      </c>
    </row>
    <row r="1103" spans="1:15" x14ac:dyDescent="0.25">
      <c r="A1103" t="s">
        <v>1116</v>
      </c>
      <c r="B1103">
        <v>297</v>
      </c>
      <c r="C1103" s="1" t="str">
        <f>HYPERLINK("http://www.rosaceae.org/gb/gbrowse/malus_x_domestica/?name=MDP0000194764","MDP0000194764")</f>
        <v>MDP0000194764</v>
      </c>
      <c r="D1103">
        <v>27.45</v>
      </c>
      <c r="E1103">
        <v>244</v>
      </c>
      <c r="F1103">
        <v>177</v>
      </c>
      <c r="G1103">
        <v>9</v>
      </c>
      <c r="H1103">
        <v>12</v>
      </c>
      <c r="I1103">
        <v>252</v>
      </c>
      <c r="J1103">
        <v>1</v>
      </c>
      <c r="K1103">
        <v>237</v>
      </c>
      <c r="L1103">
        <v>474</v>
      </c>
      <c r="M1103">
        <v>1</v>
      </c>
      <c r="N1103">
        <v>3.8294000000000001E-23</v>
      </c>
      <c r="O1103">
        <v>263</v>
      </c>
    </row>
    <row r="1104" spans="1:15" x14ac:dyDescent="0.25">
      <c r="A1104" t="s">
        <v>1117</v>
      </c>
      <c r="B1104">
        <v>200</v>
      </c>
      <c r="C1104" s="1" t="str">
        <f>HYPERLINK("http://www.rosaceae.org/gb/gbrowse/malus_x_domestica/?name=MDP0000219706","MDP0000219706")</f>
        <v>MDP0000219706</v>
      </c>
      <c r="D1104">
        <v>34.67</v>
      </c>
      <c r="E1104">
        <v>199</v>
      </c>
      <c r="F1104">
        <v>130</v>
      </c>
      <c r="G1104">
        <v>15</v>
      </c>
      <c r="H1104">
        <v>1</v>
      </c>
      <c r="I1104">
        <v>191</v>
      </c>
      <c r="J1104">
        <v>1</v>
      </c>
      <c r="K1104">
        <v>331</v>
      </c>
      <c r="L1104">
        <v>522</v>
      </c>
      <c r="M1104">
        <v>1</v>
      </c>
      <c r="N1104">
        <v>2.9072200000000001E-28</v>
      </c>
      <c r="O1104">
        <v>305</v>
      </c>
    </row>
    <row r="1105" spans="1:15" x14ac:dyDescent="0.25">
      <c r="A1105" t="s">
        <v>1118</v>
      </c>
      <c r="B1105">
        <v>1233</v>
      </c>
      <c r="C1105" s="1" t="str">
        <f>HYPERLINK("http://www.rosaceae.org/gb/gbrowse/malus_x_domestica/?name=MDP0000287519","MDP0000287519")</f>
        <v>MDP0000287519</v>
      </c>
      <c r="D1105">
        <v>33.65</v>
      </c>
      <c r="E1105">
        <v>205</v>
      </c>
      <c r="F1105">
        <v>136</v>
      </c>
      <c r="G1105">
        <v>24</v>
      </c>
      <c r="H1105">
        <v>1051</v>
      </c>
      <c r="I1105">
        <v>1232</v>
      </c>
      <c r="J1105">
        <v>1</v>
      </c>
      <c r="K1105">
        <v>502</v>
      </c>
      <c r="L1105">
        <v>705</v>
      </c>
      <c r="M1105">
        <v>1</v>
      </c>
      <c r="N1105">
        <v>1.9180699999999999E-32</v>
      </c>
      <c r="O1105">
        <v>350</v>
      </c>
    </row>
    <row r="1106" spans="1:15" x14ac:dyDescent="0.25">
      <c r="A1106" t="s">
        <v>1119</v>
      </c>
      <c r="B1106">
        <v>230</v>
      </c>
      <c r="C1106" s="1" t="str">
        <f>HYPERLINK("http://www.rosaceae.org/gb/gbrowse/malus_x_domestica/?name=MDP0000744832","MDP0000744832")</f>
        <v>MDP0000744832</v>
      </c>
      <c r="D1106">
        <v>59.2</v>
      </c>
      <c r="E1106">
        <v>125</v>
      </c>
      <c r="F1106">
        <v>51</v>
      </c>
      <c r="G1106">
        <v>10</v>
      </c>
      <c r="H1106">
        <v>19</v>
      </c>
      <c r="I1106">
        <v>139</v>
      </c>
      <c r="J1106">
        <v>1</v>
      </c>
      <c r="K1106">
        <v>22</v>
      </c>
      <c r="L1106">
        <v>140</v>
      </c>
      <c r="M1106">
        <v>1</v>
      </c>
      <c r="N1106">
        <v>1.25152E-34</v>
      </c>
      <c r="O1106">
        <v>361</v>
      </c>
    </row>
    <row r="1107" spans="1:15" x14ac:dyDescent="0.25">
      <c r="A1107" t="s">
        <v>1120</v>
      </c>
      <c r="B1107">
        <v>358</v>
      </c>
      <c r="C1107" s="1" t="str">
        <f>HYPERLINK("http://www.rosaceae.org/gb/gbrowse/malus_x_domestica/?name=MDP0000191774","MDP0000191774")</f>
        <v>MDP0000191774</v>
      </c>
      <c r="D1107">
        <v>62.26</v>
      </c>
      <c r="E1107">
        <v>371</v>
      </c>
      <c r="F1107">
        <v>140</v>
      </c>
      <c r="G1107">
        <v>18</v>
      </c>
      <c r="H1107">
        <v>1</v>
      </c>
      <c r="I1107">
        <v>355</v>
      </c>
      <c r="J1107">
        <v>1</v>
      </c>
      <c r="K1107">
        <v>1</v>
      </c>
      <c r="L1107">
        <v>369</v>
      </c>
      <c r="M1107">
        <v>1</v>
      </c>
      <c r="N1107">
        <v>1.19425E-126</v>
      </c>
      <c r="O1107">
        <v>1157</v>
      </c>
    </row>
    <row r="1108" spans="1:15" x14ac:dyDescent="0.25">
      <c r="A1108" t="s">
        <v>1121</v>
      </c>
      <c r="B1108">
        <v>211</v>
      </c>
      <c r="C1108" s="1" t="str">
        <f>HYPERLINK("http://www.rosaceae.org/gb/gbrowse/malus_x_domestica/?name=MDP0000225862","MDP0000225862")</f>
        <v>MDP0000225862</v>
      </c>
      <c r="D1108">
        <v>46.83</v>
      </c>
      <c r="E1108">
        <v>237</v>
      </c>
      <c r="F1108">
        <v>126</v>
      </c>
      <c r="G1108">
        <v>32</v>
      </c>
      <c r="H1108">
        <v>2</v>
      </c>
      <c r="I1108">
        <v>209</v>
      </c>
      <c r="J1108">
        <v>1</v>
      </c>
      <c r="K1108">
        <v>53</v>
      </c>
      <c r="L1108">
        <v>286</v>
      </c>
      <c r="M1108">
        <v>1</v>
      </c>
      <c r="N1108">
        <v>1.40685E-50</v>
      </c>
      <c r="O1108">
        <v>498</v>
      </c>
    </row>
    <row r="1109" spans="1:15" x14ac:dyDescent="0.25">
      <c r="A1109" t="s">
        <v>1122</v>
      </c>
      <c r="B1109">
        <v>536</v>
      </c>
      <c r="C1109" s="1" t="str">
        <f>HYPERLINK("http://www.rosaceae.org/gb/gbrowse/malus_x_domestica/?name=MDP0000674355","MDP0000674355")</f>
        <v>MDP0000674355</v>
      </c>
      <c r="D1109">
        <v>70.34</v>
      </c>
      <c r="E1109">
        <v>499</v>
      </c>
      <c r="F1109">
        <v>148</v>
      </c>
      <c r="G1109">
        <v>2</v>
      </c>
      <c r="H1109">
        <v>38</v>
      </c>
      <c r="I1109">
        <v>536</v>
      </c>
      <c r="J1109">
        <v>1</v>
      </c>
      <c r="K1109">
        <v>42</v>
      </c>
      <c r="L1109">
        <v>538</v>
      </c>
      <c r="M1109">
        <v>1</v>
      </c>
      <c r="N1109">
        <v>0</v>
      </c>
      <c r="O1109">
        <v>1839</v>
      </c>
    </row>
    <row r="1110" spans="1:15" x14ac:dyDescent="0.25">
      <c r="A1110" t="s">
        <v>1123</v>
      </c>
      <c r="B1110">
        <v>173</v>
      </c>
      <c r="C1110" s="1" t="str">
        <f>HYPERLINK("http://www.rosaceae.org/gb/gbrowse/malus_x_domestica/?name=MDP0000304689","MDP0000304689")</f>
        <v>MDP0000304689</v>
      </c>
      <c r="D1110">
        <v>77.040000000000006</v>
      </c>
      <c r="E1110">
        <v>61</v>
      </c>
      <c r="F1110">
        <v>14</v>
      </c>
      <c r="G1110">
        <v>0</v>
      </c>
      <c r="H1110">
        <v>1</v>
      </c>
      <c r="I1110">
        <v>61</v>
      </c>
      <c r="J1110">
        <v>1</v>
      </c>
      <c r="K1110">
        <v>39</v>
      </c>
      <c r="L1110">
        <v>99</v>
      </c>
      <c r="M1110">
        <v>1</v>
      </c>
      <c r="N1110">
        <v>4.6535199999999997E-22</v>
      </c>
      <c r="O1110">
        <v>251</v>
      </c>
    </row>
    <row r="1111" spans="1:15" x14ac:dyDescent="0.25">
      <c r="A1111" t="s">
        <v>1124</v>
      </c>
      <c r="B1111">
        <v>465</v>
      </c>
      <c r="C1111" s="1" t="str">
        <f>HYPERLINK("http://www.rosaceae.org/gb/gbrowse/malus_x_domestica/?name=MDP0000288808","MDP0000288808")</f>
        <v>MDP0000288808</v>
      </c>
      <c r="D1111">
        <v>92.52</v>
      </c>
      <c r="E1111">
        <v>107</v>
      </c>
      <c r="F1111">
        <v>8</v>
      </c>
      <c r="G1111">
        <v>0</v>
      </c>
      <c r="H1111">
        <v>110</v>
      </c>
      <c r="I1111">
        <v>216</v>
      </c>
      <c r="J1111">
        <v>1</v>
      </c>
      <c r="K1111">
        <v>105</v>
      </c>
      <c r="L1111">
        <v>211</v>
      </c>
      <c r="M1111">
        <v>1</v>
      </c>
      <c r="N1111">
        <v>2.2168900000000002E-56</v>
      </c>
      <c r="O1111">
        <v>552</v>
      </c>
    </row>
    <row r="1112" spans="1:15" x14ac:dyDescent="0.25">
      <c r="A1112" t="s">
        <v>1125</v>
      </c>
      <c r="B1112">
        <v>382</v>
      </c>
      <c r="C1112" s="1" t="str">
        <f>HYPERLINK("http://www.rosaceae.org/gb/gbrowse/malus_x_domestica/?name=MDP0000804741","MDP0000804741")</f>
        <v>MDP0000804741</v>
      </c>
      <c r="D1112">
        <v>61.17</v>
      </c>
      <c r="E1112">
        <v>425</v>
      </c>
      <c r="F1112">
        <v>165</v>
      </c>
      <c r="G1112">
        <v>77</v>
      </c>
      <c r="H1112">
        <v>34</v>
      </c>
      <c r="I1112">
        <v>382</v>
      </c>
      <c r="J1112">
        <v>1</v>
      </c>
      <c r="K1112">
        <v>85</v>
      </c>
      <c r="L1112">
        <v>508</v>
      </c>
      <c r="M1112">
        <v>1</v>
      </c>
      <c r="N1112">
        <v>1.7259E-147</v>
      </c>
      <c r="O1112">
        <v>1337</v>
      </c>
    </row>
    <row r="1113" spans="1:15" x14ac:dyDescent="0.25">
      <c r="A1113" t="s">
        <v>1126</v>
      </c>
      <c r="B1113">
        <v>985</v>
      </c>
      <c r="C1113" s="1" t="str">
        <f>HYPERLINK("http://www.rosaceae.org/gb/gbrowse/malus_x_domestica/?name=MDP0000147796","MDP0000147796")</f>
        <v>MDP0000147796</v>
      </c>
      <c r="D1113">
        <v>47.48</v>
      </c>
      <c r="E1113">
        <v>695</v>
      </c>
      <c r="F1113">
        <v>365</v>
      </c>
      <c r="G1113">
        <v>90</v>
      </c>
      <c r="H1113">
        <v>7</v>
      </c>
      <c r="I1113">
        <v>646</v>
      </c>
      <c r="J1113">
        <v>1</v>
      </c>
      <c r="K1113">
        <v>27</v>
      </c>
      <c r="L1113">
        <v>686</v>
      </c>
      <c r="M1113">
        <v>1</v>
      </c>
      <c r="N1113">
        <v>1.1119899999999999E-161</v>
      </c>
      <c r="O1113">
        <v>1464</v>
      </c>
    </row>
    <row r="1114" spans="1:15" x14ac:dyDescent="0.25">
      <c r="A1114" t="s">
        <v>1127</v>
      </c>
      <c r="B1114">
        <v>702</v>
      </c>
      <c r="C1114" s="1" t="str">
        <f>HYPERLINK("http://www.rosaceae.org/gb/gbrowse/malus_x_domestica/?name=MDP0000152179","MDP0000152179")</f>
        <v>MDP0000152179</v>
      </c>
      <c r="D1114">
        <v>46.68</v>
      </c>
      <c r="E1114">
        <v>769</v>
      </c>
      <c r="F1114">
        <v>410</v>
      </c>
      <c r="G1114">
        <v>132</v>
      </c>
      <c r="H1114">
        <v>13</v>
      </c>
      <c r="I1114">
        <v>702</v>
      </c>
      <c r="J1114">
        <v>1</v>
      </c>
      <c r="K1114">
        <v>20</v>
      </c>
      <c r="L1114">
        <v>735</v>
      </c>
      <c r="M1114">
        <v>1</v>
      </c>
      <c r="N1114">
        <v>1.10714E-175</v>
      </c>
      <c r="O1114">
        <v>1583</v>
      </c>
    </row>
    <row r="1115" spans="1:15" x14ac:dyDescent="0.25">
      <c r="A1115" t="s">
        <v>1128</v>
      </c>
      <c r="B1115">
        <v>329</v>
      </c>
      <c r="C1115" s="1" t="str">
        <f>HYPERLINK("http://www.rosaceae.org/gb/gbrowse/malus_x_domestica/?name=MDP0000261220","MDP0000261220")</f>
        <v>MDP0000261220</v>
      </c>
      <c r="D1115">
        <v>80</v>
      </c>
      <c r="E1115">
        <v>115</v>
      </c>
      <c r="F1115">
        <v>23</v>
      </c>
      <c r="G1115">
        <v>6</v>
      </c>
      <c r="H1115">
        <v>220</v>
      </c>
      <c r="I1115">
        <v>328</v>
      </c>
      <c r="J1115">
        <v>1</v>
      </c>
      <c r="K1115">
        <v>63</v>
      </c>
      <c r="L1115">
        <v>177</v>
      </c>
      <c r="M1115">
        <v>1</v>
      </c>
      <c r="N1115">
        <v>4.89474E-49</v>
      </c>
      <c r="O1115">
        <v>487</v>
      </c>
    </row>
    <row r="1116" spans="1:15" x14ac:dyDescent="0.25">
      <c r="A1116" t="s">
        <v>1129</v>
      </c>
      <c r="B1116">
        <v>263</v>
      </c>
      <c r="C1116" s="1" t="str">
        <f>HYPERLINK("http://www.rosaceae.org/gb/gbrowse/malus_x_domestica/?name=MDP0000245299","MDP0000245299")</f>
        <v>MDP0000245299</v>
      </c>
      <c r="D1116">
        <v>73.28</v>
      </c>
      <c r="E1116">
        <v>262</v>
      </c>
      <c r="F1116">
        <v>70</v>
      </c>
      <c r="G1116">
        <v>0</v>
      </c>
      <c r="H1116">
        <v>1</v>
      </c>
      <c r="I1116">
        <v>262</v>
      </c>
      <c r="J1116">
        <v>1</v>
      </c>
      <c r="K1116">
        <v>51</v>
      </c>
      <c r="L1116">
        <v>312</v>
      </c>
      <c r="M1116">
        <v>1</v>
      </c>
      <c r="N1116">
        <v>3.38818E-108</v>
      </c>
      <c r="O1116">
        <v>996</v>
      </c>
    </row>
    <row r="1117" spans="1:15" x14ac:dyDescent="0.25">
      <c r="A1117" t="s">
        <v>1130</v>
      </c>
      <c r="B1117">
        <v>483</v>
      </c>
      <c r="C1117" s="1" t="str">
        <f>HYPERLINK("http://www.rosaceae.org/gb/gbrowse/malus_x_domestica/?name=MDP0000166570","MDP0000166570")</f>
        <v>MDP0000166570</v>
      </c>
      <c r="D1117">
        <v>78.510000000000005</v>
      </c>
      <c r="E1117">
        <v>470</v>
      </c>
      <c r="F1117">
        <v>101</v>
      </c>
      <c r="G1117">
        <v>3</v>
      </c>
      <c r="H1117">
        <v>14</v>
      </c>
      <c r="I1117">
        <v>483</v>
      </c>
      <c r="J1117">
        <v>1</v>
      </c>
      <c r="K1117">
        <v>34</v>
      </c>
      <c r="L1117">
        <v>500</v>
      </c>
      <c r="M1117">
        <v>1</v>
      </c>
      <c r="N1117">
        <v>0</v>
      </c>
      <c r="O1117">
        <v>1915</v>
      </c>
    </row>
    <row r="1118" spans="1:15" x14ac:dyDescent="0.25">
      <c r="A1118" t="s">
        <v>1131</v>
      </c>
      <c r="B1118">
        <v>131</v>
      </c>
      <c r="C1118" s="1" t="str">
        <f>HYPERLINK("http://www.rosaceae.org/gb/gbrowse/malus_x_domestica/?name=MDP0000289123","MDP0000289123")</f>
        <v>MDP0000289123</v>
      </c>
      <c r="D1118">
        <v>30.92</v>
      </c>
      <c r="E1118">
        <v>152</v>
      </c>
      <c r="F1118">
        <v>105</v>
      </c>
      <c r="G1118">
        <v>45</v>
      </c>
      <c r="H1118">
        <v>1</v>
      </c>
      <c r="I1118">
        <v>108</v>
      </c>
      <c r="J1118">
        <v>1</v>
      </c>
      <c r="K1118">
        <v>264</v>
      </c>
      <c r="L1118">
        <v>414</v>
      </c>
      <c r="M1118">
        <v>1</v>
      </c>
      <c r="N1118">
        <v>2.9585199999999999E-7</v>
      </c>
      <c r="O1118">
        <v>121</v>
      </c>
    </row>
    <row r="1119" spans="1:15" x14ac:dyDescent="0.25">
      <c r="A1119" t="s">
        <v>1132</v>
      </c>
      <c r="B1119">
        <v>368</v>
      </c>
      <c r="C1119" s="1" t="str">
        <f>HYPERLINK("http://www.rosaceae.org/gb/gbrowse/malus_x_domestica/?name=MDP0000276291","MDP0000276291")</f>
        <v>MDP0000276291</v>
      </c>
      <c r="D1119">
        <v>35.74</v>
      </c>
      <c r="E1119">
        <v>263</v>
      </c>
      <c r="F1119">
        <v>169</v>
      </c>
      <c r="G1119">
        <v>38</v>
      </c>
      <c r="H1119">
        <v>12</v>
      </c>
      <c r="I1119">
        <v>247</v>
      </c>
      <c r="J1119">
        <v>1</v>
      </c>
      <c r="K1119">
        <v>7</v>
      </c>
      <c r="L1119">
        <v>258</v>
      </c>
      <c r="M1119">
        <v>1</v>
      </c>
      <c r="N1119">
        <v>7.9359099999999999E-30</v>
      </c>
      <c r="O1119">
        <v>322</v>
      </c>
    </row>
    <row r="1120" spans="1:15" x14ac:dyDescent="0.25">
      <c r="A1120" t="s">
        <v>1133</v>
      </c>
      <c r="B1120">
        <v>155</v>
      </c>
      <c r="C1120" s="1" t="str">
        <f>HYPERLINK("http://www.rosaceae.org/gb/gbrowse/malus_x_domestica/?name=MDP0000661138","MDP0000661138")</f>
        <v>MDP0000661138</v>
      </c>
      <c r="D1120">
        <v>70.540000000000006</v>
      </c>
      <c r="E1120">
        <v>129</v>
      </c>
      <c r="F1120">
        <v>38</v>
      </c>
      <c r="G1120">
        <v>1</v>
      </c>
      <c r="H1120">
        <v>22</v>
      </c>
      <c r="I1120">
        <v>149</v>
      </c>
      <c r="J1120">
        <v>1</v>
      </c>
      <c r="K1120">
        <v>144</v>
      </c>
      <c r="L1120">
        <v>272</v>
      </c>
      <c r="M1120">
        <v>1</v>
      </c>
      <c r="N1120">
        <v>7.9750199999999997E-50</v>
      </c>
      <c r="O1120">
        <v>489</v>
      </c>
    </row>
    <row r="1121" spans="1:15" x14ac:dyDescent="0.25">
      <c r="A1121" t="s">
        <v>1134</v>
      </c>
      <c r="B1121">
        <v>504</v>
      </c>
      <c r="C1121" s="1" t="str">
        <f>HYPERLINK("http://www.rosaceae.org/gb/gbrowse/malus_x_domestica/?name=MDP0000289098","MDP0000289098")</f>
        <v>MDP0000289098</v>
      </c>
      <c r="D1121">
        <v>74.2</v>
      </c>
      <c r="E1121">
        <v>500</v>
      </c>
      <c r="F1121">
        <v>129</v>
      </c>
      <c r="G1121">
        <v>9</v>
      </c>
      <c r="H1121">
        <v>13</v>
      </c>
      <c r="I1121">
        <v>504</v>
      </c>
      <c r="J1121">
        <v>1</v>
      </c>
      <c r="K1121">
        <v>12</v>
      </c>
      <c r="L1121">
        <v>510</v>
      </c>
      <c r="M1121">
        <v>1</v>
      </c>
      <c r="N1121">
        <v>0</v>
      </c>
      <c r="O1121">
        <v>2005</v>
      </c>
    </row>
    <row r="1122" spans="1:15" x14ac:dyDescent="0.25">
      <c r="A1122" t="s">
        <v>1135</v>
      </c>
      <c r="B1122">
        <v>570</v>
      </c>
      <c r="C1122" s="1" t="str">
        <f>HYPERLINK("http://www.rosaceae.org/gb/gbrowse/malus_x_domestica/?name=MDP0000239289","MDP0000239289")</f>
        <v>MDP0000239289</v>
      </c>
      <c r="D1122">
        <v>76.5</v>
      </c>
      <c r="E1122">
        <v>349</v>
      </c>
      <c r="F1122">
        <v>82</v>
      </c>
      <c r="G1122">
        <v>1</v>
      </c>
      <c r="H1122">
        <v>220</v>
      </c>
      <c r="I1122">
        <v>568</v>
      </c>
      <c r="J1122">
        <v>1</v>
      </c>
      <c r="K1122">
        <v>91</v>
      </c>
      <c r="L1122">
        <v>438</v>
      </c>
      <c r="M1122">
        <v>1</v>
      </c>
      <c r="N1122">
        <v>6.0733800000000005E-160</v>
      </c>
      <c r="O1122">
        <v>1446</v>
      </c>
    </row>
    <row r="1123" spans="1:15" x14ac:dyDescent="0.25">
      <c r="A1123" t="s">
        <v>1136</v>
      </c>
      <c r="B1123">
        <v>355</v>
      </c>
      <c r="C1123" s="1" t="str">
        <f>HYPERLINK("http://www.rosaceae.org/gb/gbrowse/malus_x_domestica/?name=MDP0000147719","MDP0000147719")</f>
        <v>MDP0000147719</v>
      </c>
      <c r="D1123">
        <v>54.22</v>
      </c>
      <c r="E1123">
        <v>142</v>
      </c>
      <c r="F1123">
        <v>65</v>
      </c>
      <c r="G1123">
        <v>1</v>
      </c>
      <c r="H1123">
        <v>61</v>
      </c>
      <c r="I1123">
        <v>201</v>
      </c>
      <c r="J1123">
        <v>1</v>
      </c>
      <c r="K1123">
        <v>25</v>
      </c>
      <c r="L1123">
        <v>166</v>
      </c>
      <c r="M1123">
        <v>1</v>
      </c>
      <c r="N1123">
        <v>3.3531899999999999E-35</v>
      </c>
      <c r="O1123">
        <v>368</v>
      </c>
    </row>
    <row r="1124" spans="1:15" x14ac:dyDescent="0.25">
      <c r="A1124" t="s">
        <v>1137</v>
      </c>
      <c r="B1124">
        <v>537</v>
      </c>
      <c r="C1124" s="1" t="str">
        <f>HYPERLINK("http://www.rosaceae.org/gb/gbrowse/malus_x_domestica/?name=MDP0000280623","MDP0000280623")</f>
        <v>MDP0000280623</v>
      </c>
      <c r="D1124">
        <v>69.52</v>
      </c>
      <c r="E1124">
        <v>397</v>
      </c>
      <c r="F1124">
        <v>121</v>
      </c>
      <c r="G1124">
        <v>25</v>
      </c>
      <c r="H1124">
        <v>138</v>
      </c>
      <c r="I1124">
        <v>524</v>
      </c>
      <c r="J1124">
        <v>1</v>
      </c>
      <c r="K1124">
        <v>9</v>
      </c>
      <c r="L1124">
        <v>390</v>
      </c>
      <c r="M1124">
        <v>1</v>
      </c>
      <c r="N1124">
        <v>5.5314000000000002E-161</v>
      </c>
      <c r="O1124">
        <v>1455</v>
      </c>
    </row>
    <row r="1125" spans="1:15" x14ac:dyDescent="0.25">
      <c r="A1125" t="s">
        <v>1138</v>
      </c>
      <c r="B1125">
        <v>604</v>
      </c>
      <c r="C1125" s="1" t="str">
        <f>HYPERLINK("http://www.rosaceae.org/gb/gbrowse/malus_x_domestica/?name=MDP0000163490","MDP0000163490")</f>
        <v>MDP0000163490</v>
      </c>
      <c r="D1125">
        <v>85.31</v>
      </c>
      <c r="E1125">
        <v>606</v>
      </c>
      <c r="F1125">
        <v>89</v>
      </c>
      <c r="G1125">
        <v>2</v>
      </c>
      <c r="H1125">
        <v>1</v>
      </c>
      <c r="I1125">
        <v>604</v>
      </c>
      <c r="J1125">
        <v>1</v>
      </c>
      <c r="K1125">
        <v>1</v>
      </c>
      <c r="L1125">
        <v>606</v>
      </c>
      <c r="M1125">
        <v>1</v>
      </c>
      <c r="N1125">
        <v>0</v>
      </c>
      <c r="O1125">
        <v>2805</v>
      </c>
    </row>
    <row r="1126" spans="1:15" x14ac:dyDescent="0.25">
      <c r="A1126" t="s">
        <v>1139</v>
      </c>
      <c r="B1126">
        <v>249</v>
      </c>
      <c r="C1126" s="1" t="str">
        <f>HYPERLINK("http://www.rosaceae.org/gb/gbrowse/malus_x_domestica/?name=MDP0000237435","MDP0000237435")</f>
        <v>MDP0000237435</v>
      </c>
      <c r="D1126">
        <v>43.16</v>
      </c>
      <c r="E1126">
        <v>183</v>
      </c>
      <c r="F1126">
        <v>104</v>
      </c>
      <c r="G1126">
        <v>35</v>
      </c>
      <c r="H1126">
        <v>53</v>
      </c>
      <c r="I1126">
        <v>200</v>
      </c>
      <c r="J1126">
        <v>1</v>
      </c>
      <c r="K1126">
        <v>60</v>
      </c>
      <c r="L1126">
        <v>242</v>
      </c>
      <c r="M1126">
        <v>1</v>
      </c>
      <c r="N1126">
        <v>8.9020100000000006E-33</v>
      </c>
      <c r="O1126">
        <v>346</v>
      </c>
    </row>
    <row r="1127" spans="1:15" x14ac:dyDescent="0.25">
      <c r="A1127" t="s">
        <v>1140</v>
      </c>
      <c r="B1127">
        <v>743</v>
      </c>
      <c r="C1127" s="1" t="str">
        <f>HYPERLINK("http://www.rosaceae.org/gb/gbrowse/malus_x_domestica/?name=MDP0000452936","MDP0000452936")</f>
        <v>MDP0000452936</v>
      </c>
      <c r="D1127">
        <v>55.45</v>
      </c>
      <c r="E1127">
        <v>110</v>
      </c>
      <c r="F1127">
        <v>49</v>
      </c>
      <c r="G1127">
        <v>4</v>
      </c>
      <c r="H1127">
        <v>636</v>
      </c>
      <c r="I1127">
        <v>742</v>
      </c>
      <c r="J1127">
        <v>1</v>
      </c>
      <c r="K1127">
        <v>1</v>
      </c>
      <c r="L1127">
        <v>109</v>
      </c>
      <c r="M1127">
        <v>1</v>
      </c>
      <c r="N1127">
        <v>2.8139800000000001E-19</v>
      </c>
      <c r="O1127">
        <v>234</v>
      </c>
    </row>
    <row r="1128" spans="1:15" x14ac:dyDescent="0.25">
      <c r="A1128" t="s">
        <v>1141</v>
      </c>
      <c r="B1128">
        <v>664</v>
      </c>
      <c r="C1128" s="1" t="str">
        <f>HYPERLINK("http://www.rosaceae.org/gb/gbrowse/malus_x_domestica/?name=MDP0000665469","MDP0000665469")</f>
        <v>MDP0000665469</v>
      </c>
      <c r="D1128">
        <v>64.34</v>
      </c>
      <c r="E1128">
        <v>645</v>
      </c>
      <c r="F1128">
        <v>230</v>
      </c>
      <c r="G1128">
        <v>36</v>
      </c>
      <c r="H1128">
        <v>36</v>
      </c>
      <c r="I1128">
        <v>658</v>
      </c>
      <c r="J1128">
        <v>1</v>
      </c>
      <c r="K1128">
        <v>34</v>
      </c>
      <c r="L1128">
        <v>664</v>
      </c>
      <c r="M1128">
        <v>1</v>
      </c>
      <c r="N1128">
        <v>0</v>
      </c>
      <c r="O1128">
        <v>2038</v>
      </c>
    </row>
    <row r="1129" spans="1:15" x14ac:dyDescent="0.25">
      <c r="A1129" t="s">
        <v>1142</v>
      </c>
      <c r="B1129">
        <v>542</v>
      </c>
      <c r="C1129" s="1" t="str">
        <f>HYPERLINK("http://www.rosaceae.org/gb/gbrowse/malus_x_domestica/?name=MDP0000224266","MDP0000224266")</f>
        <v>MDP0000224266</v>
      </c>
      <c r="D1129">
        <v>59.04</v>
      </c>
      <c r="E1129">
        <v>420</v>
      </c>
      <c r="F1129">
        <v>172</v>
      </c>
      <c r="G1129">
        <v>29</v>
      </c>
      <c r="H1129">
        <v>27</v>
      </c>
      <c r="I1129">
        <v>417</v>
      </c>
      <c r="J1129">
        <v>1</v>
      </c>
      <c r="K1129">
        <v>49</v>
      </c>
      <c r="L1129">
        <v>468</v>
      </c>
      <c r="M1129">
        <v>1</v>
      </c>
      <c r="N1129">
        <v>5.0527800000000003E-139</v>
      </c>
      <c r="O1129">
        <v>1266</v>
      </c>
    </row>
    <row r="1130" spans="1:15" x14ac:dyDescent="0.25">
      <c r="A1130" t="s">
        <v>1143</v>
      </c>
      <c r="B1130">
        <v>211</v>
      </c>
      <c r="C1130" s="1" t="str">
        <f>HYPERLINK("http://www.rosaceae.org/gb/gbrowse/malus_x_domestica/?name=MDP0000335119","MDP0000335119")</f>
        <v>MDP0000335119</v>
      </c>
      <c r="D1130">
        <v>83.88</v>
      </c>
      <c r="E1130">
        <v>211</v>
      </c>
      <c r="F1130">
        <v>34</v>
      </c>
      <c r="G1130">
        <v>12</v>
      </c>
      <c r="H1130">
        <v>1</v>
      </c>
      <c r="I1130">
        <v>211</v>
      </c>
      <c r="J1130">
        <v>1</v>
      </c>
      <c r="K1130">
        <v>1</v>
      </c>
      <c r="L1130">
        <v>199</v>
      </c>
      <c r="M1130">
        <v>1</v>
      </c>
      <c r="N1130">
        <v>6.9352700000000003E-102</v>
      </c>
      <c r="O1130">
        <v>941</v>
      </c>
    </row>
    <row r="1131" spans="1:15" x14ac:dyDescent="0.25">
      <c r="A1131" t="s">
        <v>1144</v>
      </c>
      <c r="B1131">
        <v>385</v>
      </c>
      <c r="C1131" s="1" t="str">
        <f>HYPERLINK("http://www.rosaceae.org/gb/gbrowse/malus_x_domestica/?name=MDP0000119433","MDP0000119433")</f>
        <v>MDP0000119433</v>
      </c>
      <c r="D1131">
        <v>74.12</v>
      </c>
      <c r="E1131">
        <v>143</v>
      </c>
      <c r="F1131">
        <v>37</v>
      </c>
      <c r="G1131">
        <v>0</v>
      </c>
      <c r="H1131">
        <v>182</v>
      </c>
      <c r="I1131">
        <v>324</v>
      </c>
      <c r="J1131">
        <v>1</v>
      </c>
      <c r="K1131">
        <v>314</v>
      </c>
      <c r="L1131">
        <v>456</v>
      </c>
      <c r="M1131">
        <v>1</v>
      </c>
      <c r="N1131">
        <v>5.99201E-64</v>
      </c>
      <c r="O1131">
        <v>617</v>
      </c>
    </row>
    <row r="1132" spans="1:15" x14ac:dyDescent="0.25">
      <c r="A1132" t="s">
        <v>1145</v>
      </c>
      <c r="B1132">
        <v>327</v>
      </c>
      <c r="C1132" s="1" t="str">
        <f>HYPERLINK("http://www.rosaceae.org/gb/gbrowse/malus_x_domestica/?name=MDP0000262871","MDP0000262871")</f>
        <v>MDP0000262871</v>
      </c>
      <c r="D1132">
        <v>38.880000000000003</v>
      </c>
      <c r="E1132">
        <v>270</v>
      </c>
      <c r="F1132">
        <v>165</v>
      </c>
      <c r="G1132">
        <v>39</v>
      </c>
      <c r="H1132">
        <v>11</v>
      </c>
      <c r="I1132">
        <v>280</v>
      </c>
      <c r="J1132">
        <v>1</v>
      </c>
      <c r="K1132">
        <v>113</v>
      </c>
      <c r="L1132">
        <v>343</v>
      </c>
      <c r="M1132">
        <v>1</v>
      </c>
      <c r="N1132">
        <v>6.3015100000000005E-39</v>
      </c>
      <c r="O1132">
        <v>400</v>
      </c>
    </row>
    <row r="1133" spans="1:15" x14ac:dyDescent="0.25">
      <c r="A1133" t="s">
        <v>1146</v>
      </c>
      <c r="B1133">
        <v>188</v>
      </c>
      <c r="C1133" s="1" t="str">
        <f>HYPERLINK("http://www.rosaceae.org/gb/gbrowse/malus_x_domestica/?name=MDP0000572633","MDP0000572633")</f>
        <v>MDP0000572633</v>
      </c>
      <c r="D1133">
        <v>57.14</v>
      </c>
      <c r="E1133">
        <v>189</v>
      </c>
      <c r="F1133">
        <v>81</v>
      </c>
      <c r="G1133">
        <v>14</v>
      </c>
      <c r="H1133">
        <v>1</v>
      </c>
      <c r="I1133">
        <v>176</v>
      </c>
      <c r="J1133">
        <v>1</v>
      </c>
      <c r="K1133">
        <v>1</v>
      </c>
      <c r="L1133">
        <v>188</v>
      </c>
      <c r="M1133">
        <v>1</v>
      </c>
      <c r="N1133">
        <v>4.2980100000000001E-54</v>
      </c>
      <c r="O1133">
        <v>528</v>
      </c>
    </row>
    <row r="1134" spans="1:15" x14ac:dyDescent="0.25">
      <c r="A1134" t="s">
        <v>1147</v>
      </c>
      <c r="B1134">
        <v>589</v>
      </c>
      <c r="C1134" s="1" t="str">
        <f>HYPERLINK("http://www.rosaceae.org/gb/gbrowse/malus_x_domestica/?name=MDP0000165690","MDP0000165690")</f>
        <v>MDP0000165690</v>
      </c>
      <c r="D1134">
        <v>47.63</v>
      </c>
      <c r="E1134">
        <v>571</v>
      </c>
      <c r="F1134">
        <v>299</v>
      </c>
      <c r="G1134">
        <v>55</v>
      </c>
      <c r="H1134">
        <v>1</v>
      </c>
      <c r="I1134">
        <v>524</v>
      </c>
      <c r="J1134">
        <v>1</v>
      </c>
      <c r="K1134">
        <v>1</v>
      </c>
      <c r="L1134">
        <v>563</v>
      </c>
      <c r="M1134">
        <v>1</v>
      </c>
      <c r="N1134">
        <v>2.5817299999999999E-113</v>
      </c>
      <c r="O1134">
        <v>1044</v>
      </c>
    </row>
    <row r="1135" spans="1:15" x14ac:dyDescent="0.25">
      <c r="A1135" t="s">
        <v>1148</v>
      </c>
      <c r="B1135">
        <v>483</v>
      </c>
      <c r="C1135" s="1" t="str">
        <f>HYPERLINK("http://www.rosaceae.org/gb/gbrowse/malus_x_domestica/?name=MDP0000253030","MDP0000253030")</f>
        <v>MDP0000253030</v>
      </c>
      <c r="D1135">
        <v>79.010000000000005</v>
      </c>
      <c r="E1135">
        <v>510</v>
      </c>
      <c r="F1135">
        <v>107</v>
      </c>
      <c r="G1135">
        <v>42</v>
      </c>
      <c r="H1135">
        <v>1</v>
      </c>
      <c r="I1135">
        <v>469</v>
      </c>
      <c r="J1135">
        <v>1</v>
      </c>
      <c r="K1135">
        <v>42</v>
      </c>
      <c r="L1135">
        <v>550</v>
      </c>
      <c r="M1135">
        <v>1</v>
      </c>
      <c r="N1135">
        <v>0</v>
      </c>
      <c r="O1135">
        <v>2095</v>
      </c>
    </row>
    <row r="1136" spans="1:15" x14ac:dyDescent="0.25">
      <c r="A1136" t="s">
        <v>1149</v>
      </c>
      <c r="B1136">
        <v>527</v>
      </c>
      <c r="C1136" s="1" t="str">
        <f>HYPERLINK("http://www.rosaceae.org/gb/gbrowse/malus_x_domestica/?name=MDP0000188598","MDP0000188598")</f>
        <v>MDP0000188598</v>
      </c>
      <c r="D1136">
        <v>62.5</v>
      </c>
      <c r="E1136">
        <v>528</v>
      </c>
      <c r="F1136">
        <v>198</v>
      </c>
      <c r="G1136">
        <v>45</v>
      </c>
      <c r="H1136">
        <v>28</v>
      </c>
      <c r="I1136">
        <v>513</v>
      </c>
      <c r="J1136">
        <v>1</v>
      </c>
      <c r="K1136">
        <v>28</v>
      </c>
      <c r="L1136">
        <v>552</v>
      </c>
      <c r="M1136">
        <v>1</v>
      </c>
      <c r="N1136">
        <v>0</v>
      </c>
      <c r="O1136">
        <v>1728</v>
      </c>
    </row>
    <row r="1137" spans="1:15" x14ac:dyDescent="0.25">
      <c r="A1137" t="s">
        <v>1150</v>
      </c>
      <c r="B1137">
        <v>422</v>
      </c>
      <c r="C1137" s="1" t="str">
        <f>HYPERLINK("http://www.rosaceae.org/gb/gbrowse/malus_x_domestica/?name=MDP0000416305","MDP0000416305")</f>
        <v>MDP0000416305</v>
      </c>
      <c r="D1137">
        <v>81.650000000000006</v>
      </c>
      <c r="E1137">
        <v>338</v>
      </c>
      <c r="F1137">
        <v>62</v>
      </c>
      <c r="G1137">
        <v>0</v>
      </c>
      <c r="H1137">
        <v>58</v>
      </c>
      <c r="I1137">
        <v>395</v>
      </c>
      <c r="J1137">
        <v>1</v>
      </c>
      <c r="K1137">
        <v>1</v>
      </c>
      <c r="L1137">
        <v>338</v>
      </c>
      <c r="M1137">
        <v>1</v>
      </c>
      <c r="N1137">
        <v>2.3613999999999999E-169</v>
      </c>
      <c r="O1137">
        <v>1526</v>
      </c>
    </row>
    <row r="1138" spans="1:15" x14ac:dyDescent="0.25">
      <c r="A1138" t="s">
        <v>1151</v>
      </c>
      <c r="B1138">
        <v>105</v>
      </c>
      <c r="C1138" s="1" t="str">
        <f>HYPERLINK("http://www.rosaceae.org/gb/gbrowse/malus_x_domestica/?name=MDP0000697535","MDP0000697535")</f>
        <v>MDP0000697535</v>
      </c>
      <c r="D1138">
        <v>70.959999999999994</v>
      </c>
      <c r="E1138">
        <v>62</v>
      </c>
      <c r="F1138">
        <v>18</v>
      </c>
      <c r="G1138">
        <v>0</v>
      </c>
      <c r="H1138">
        <v>34</v>
      </c>
      <c r="I1138">
        <v>95</v>
      </c>
      <c r="J1138">
        <v>1</v>
      </c>
      <c r="K1138">
        <v>1</v>
      </c>
      <c r="L1138">
        <v>62</v>
      </c>
      <c r="M1138">
        <v>1</v>
      </c>
      <c r="N1138">
        <v>1.25854E-18</v>
      </c>
      <c r="O1138">
        <v>218</v>
      </c>
    </row>
    <row r="1139" spans="1:15" x14ac:dyDescent="0.25">
      <c r="A1139" t="s">
        <v>1152</v>
      </c>
      <c r="B1139">
        <v>663</v>
      </c>
      <c r="C1139" s="1" t="str">
        <f>HYPERLINK("http://www.rosaceae.org/gb/gbrowse/malus_x_domestica/?name=MDP0000248977","MDP0000248977")</f>
        <v>MDP0000248977</v>
      </c>
      <c r="D1139">
        <v>44.67</v>
      </c>
      <c r="E1139">
        <v>591</v>
      </c>
      <c r="F1139">
        <v>327</v>
      </c>
      <c r="G1139">
        <v>49</v>
      </c>
      <c r="H1139">
        <v>48</v>
      </c>
      <c r="I1139">
        <v>608</v>
      </c>
      <c r="J1139">
        <v>1</v>
      </c>
      <c r="K1139">
        <v>36</v>
      </c>
      <c r="L1139">
        <v>607</v>
      </c>
      <c r="M1139">
        <v>1</v>
      </c>
      <c r="N1139">
        <v>6.3056800000000002E-127</v>
      </c>
      <c r="O1139">
        <v>1162</v>
      </c>
    </row>
    <row r="1140" spans="1:15" x14ac:dyDescent="0.25">
      <c r="A1140" t="s">
        <v>1153</v>
      </c>
      <c r="B1140">
        <v>513</v>
      </c>
      <c r="C1140" s="1" t="str">
        <f>HYPERLINK("http://www.rosaceae.org/gb/gbrowse/malus_x_domestica/?name=MDP0000150438","MDP0000150438")</f>
        <v>MDP0000150438</v>
      </c>
      <c r="D1140">
        <v>45.71</v>
      </c>
      <c r="E1140">
        <v>385</v>
      </c>
      <c r="F1140">
        <v>209</v>
      </c>
      <c r="G1140">
        <v>13</v>
      </c>
      <c r="H1140">
        <v>140</v>
      </c>
      <c r="I1140">
        <v>513</v>
      </c>
      <c r="J1140">
        <v>1</v>
      </c>
      <c r="K1140">
        <v>2</v>
      </c>
      <c r="L1140">
        <v>384</v>
      </c>
      <c r="M1140">
        <v>1</v>
      </c>
      <c r="N1140">
        <v>3.3746399999999998E-84</v>
      </c>
      <c r="O1140">
        <v>793</v>
      </c>
    </row>
    <row r="1141" spans="1:15" x14ac:dyDescent="0.25">
      <c r="A1141" t="s">
        <v>1154</v>
      </c>
      <c r="B1141">
        <v>259</v>
      </c>
      <c r="C1141" s="1" t="str">
        <f>HYPERLINK("http://www.rosaceae.org/gb/gbrowse/malus_x_domestica/?name=MDP0000123825","MDP0000123825")</f>
        <v>MDP0000123825</v>
      </c>
      <c r="D1141">
        <v>52.25</v>
      </c>
      <c r="E1141">
        <v>222</v>
      </c>
      <c r="F1141">
        <v>106</v>
      </c>
      <c r="G1141">
        <v>6</v>
      </c>
      <c r="H1141">
        <v>41</v>
      </c>
      <c r="I1141">
        <v>259</v>
      </c>
      <c r="J1141">
        <v>1</v>
      </c>
      <c r="K1141">
        <v>113</v>
      </c>
      <c r="L1141">
        <v>331</v>
      </c>
      <c r="M1141">
        <v>1</v>
      </c>
      <c r="N1141">
        <v>6.7072399999999998E-55</v>
      </c>
      <c r="O1141">
        <v>537</v>
      </c>
    </row>
    <row r="1142" spans="1:15" x14ac:dyDescent="0.25">
      <c r="A1142" t="s">
        <v>1155</v>
      </c>
      <c r="B1142">
        <v>145</v>
      </c>
      <c r="C1142" s="1" t="str">
        <f>HYPERLINK("http://www.rosaceae.org/gb/gbrowse/malus_x_domestica/?name=MDP0000823582","MDP0000823582")</f>
        <v>MDP0000823582</v>
      </c>
      <c r="D1142">
        <v>100</v>
      </c>
      <c r="E1142">
        <v>92</v>
      </c>
      <c r="F1142">
        <v>0</v>
      </c>
      <c r="G1142">
        <v>0</v>
      </c>
      <c r="H1142">
        <v>54</v>
      </c>
      <c r="I1142">
        <v>145</v>
      </c>
      <c r="J1142">
        <v>1</v>
      </c>
      <c r="K1142">
        <v>57</v>
      </c>
      <c r="L1142">
        <v>148</v>
      </c>
      <c r="M1142">
        <v>1</v>
      </c>
      <c r="N1142">
        <v>2.13379E-49</v>
      </c>
      <c r="O1142">
        <v>485</v>
      </c>
    </row>
    <row r="1143" spans="1:15" x14ac:dyDescent="0.25">
      <c r="A1143" t="s">
        <v>1156</v>
      </c>
      <c r="B1143">
        <v>228</v>
      </c>
      <c r="C1143" s="1" t="str">
        <f>HYPERLINK("http://www.rosaceae.org/gb/gbrowse/malus_x_domestica/?name=MDP0000258100","MDP0000258100")</f>
        <v>MDP0000258100</v>
      </c>
      <c r="D1143">
        <v>73.25</v>
      </c>
      <c r="E1143">
        <v>172</v>
      </c>
      <c r="F1143">
        <v>46</v>
      </c>
      <c r="G1143">
        <v>23</v>
      </c>
      <c r="H1143">
        <v>76</v>
      </c>
      <c r="I1143">
        <v>226</v>
      </c>
      <c r="J1143">
        <v>1</v>
      </c>
      <c r="K1143">
        <v>63</v>
      </c>
      <c r="L1143">
        <v>232</v>
      </c>
      <c r="M1143">
        <v>1</v>
      </c>
      <c r="N1143">
        <v>5.8133200000000001E-65</v>
      </c>
      <c r="O1143">
        <v>623</v>
      </c>
    </row>
    <row r="1144" spans="1:15" x14ac:dyDescent="0.25">
      <c r="A1144" t="s">
        <v>1157</v>
      </c>
      <c r="B1144">
        <v>166</v>
      </c>
      <c r="C1144" s="1" t="str">
        <f>HYPERLINK("http://www.rosaceae.org/gb/gbrowse/malus_x_domestica/?name=MDP0000165298","MDP0000165298")</f>
        <v>MDP0000165298</v>
      </c>
      <c r="D1144">
        <v>71.63</v>
      </c>
      <c r="E1144">
        <v>141</v>
      </c>
      <c r="F1144">
        <v>40</v>
      </c>
      <c r="G1144">
        <v>2</v>
      </c>
      <c r="H1144">
        <v>1</v>
      </c>
      <c r="I1144">
        <v>139</v>
      </c>
      <c r="J1144">
        <v>1</v>
      </c>
      <c r="K1144">
        <v>1</v>
      </c>
      <c r="L1144">
        <v>141</v>
      </c>
      <c r="M1144">
        <v>1</v>
      </c>
      <c r="N1144">
        <v>4.36491E-58</v>
      </c>
      <c r="O1144">
        <v>561</v>
      </c>
    </row>
    <row r="1145" spans="1:15" x14ac:dyDescent="0.25">
      <c r="A1145" t="s">
        <v>1158</v>
      </c>
      <c r="B1145">
        <v>654</v>
      </c>
      <c r="C1145" s="1" t="str">
        <f>HYPERLINK("http://www.rosaceae.org/gb/gbrowse/malus_x_domestica/?name=MDP0000614535","MDP0000614535")</f>
        <v>MDP0000614535</v>
      </c>
      <c r="D1145">
        <v>66.760000000000005</v>
      </c>
      <c r="E1145">
        <v>662</v>
      </c>
      <c r="F1145">
        <v>220</v>
      </c>
      <c r="G1145">
        <v>24</v>
      </c>
      <c r="H1145">
        <v>1</v>
      </c>
      <c r="I1145">
        <v>654</v>
      </c>
      <c r="J1145">
        <v>1</v>
      </c>
      <c r="K1145">
        <v>2</v>
      </c>
      <c r="L1145">
        <v>647</v>
      </c>
      <c r="M1145">
        <v>1</v>
      </c>
      <c r="N1145">
        <v>0</v>
      </c>
      <c r="O1145">
        <v>2239</v>
      </c>
    </row>
    <row r="1146" spans="1:15" x14ac:dyDescent="0.25">
      <c r="A1146" t="s">
        <v>1159</v>
      </c>
      <c r="B1146">
        <v>326</v>
      </c>
      <c r="C1146" s="1" t="str">
        <f>HYPERLINK("http://www.rosaceae.org/gb/gbrowse/malus_x_domestica/?name=MDP0000264519","MDP0000264519")</f>
        <v>MDP0000264519</v>
      </c>
      <c r="D1146">
        <v>73.63</v>
      </c>
      <c r="E1146">
        <v>292</v>
      </c>
      <c r="F1146">
        <v>77</v>
      </c>
      <c r="G1146">
        <v>0</v>
      </c>
      <c r="H1146">
        <v>34</v>
      </c>
      <c r="I1146">
        <v>325</v>
      </c>
      <c r="J1146">
        <v>1</v>
      </c>
      <c r="K1146">
        <v>37</v>
      </c>
      <c r="L1146">
        <v>328</v>
      </c>
      <c r="M1146">
        <v>1</v>
      </c>
      <c r="N1146">
        <v>1.51885E-125</v>
      </c>
      <c r="O1146">
        <v>1147</v>
      </c>
    </row>
    <row r="1147" spans="1:15" x14ac:dyDescent="0.25">
      <c r="A1147" t="s">
        <v>1160</v>
      </c>
      <c r="B1147">
        <v>540</v>
      </c>
      <c r="C1147" s="1" t="str">
        <f>HYPERLINK("http://www.rosaceae.org/gb/gbrowse/malus_x_domestica/?name=MDP0000177183","MDP0000177183")</f>
        <v>MDP0000177183</v>
      </c>
      <c r="D1147">
        <v>89.59</v>
      </c>
      <c r="E1147">
        <v>538</v>
      </c>
      <c r="F1147">
        <v>56</v>
      </c>
      <c r="G1147">
        <v>5</v>
      </c>
      <c r="H1147">
        <v>3</v>
      </c>
      <c r="I1147">
        <v>540</v>
      </c>
      <c r="J1147">
        <v>1</v>
      </c>
      <c r="K1147">
        <v>1</v>
      </c>
      <c r="L1147">
        <v>533</v>
      </c>
      <c r="M1147">
        <v>1</v>
      </c>
      <c r="N1147">
        <v>0</v>
      </c>
      <c r="O1147">
        <v>2487</v>
      </c>
    </row>
    <row r="1148" spans="1:15" x14ac:dyDescent="0.25">
      <c r="A1148" t="s">
        <v>1161</v>
      </c>
      <c r="B1148">
        <v>259</v>
      </c>
      <c r="C1148" s="1" t="str">
        <f>HYPERLINK("http://www.rosaceae.org/gb/gbrowse/malus_x_domestica/?name=MDP0000258630","MDP0000258630")</f>
        <v>MDP0000258630</v>
      </c>
      <c r="D1148">
        <v>88.46</v>
      </c>
      <c r="E1148">
        <v>52</v>
      </c>
      <c r="F1148">
        <v>6</v>
      </c>
      <c r="G1148">
        <v>0</v>
      </c>
      <c r="H1148">
        <v>1</v>
      </c>
      <c r="I1148">
        <v>52</v>
      </c>
      <c r="J1148">
        <v>1</v>
      </c>
      <c r="K1148">
        <v>54</v>
      </c>
      <c r="L1148">
        <v>105</v>
      </c>
      <c r="M1148">
        <v>1</v>
      </c>
      <c r="N1148">
        <v>4.2111699999999999E-20</v>
      </c>
      <c r="O1148">
        <v>237</v>
      </c>
    </row>
    <row r="1149" spans="1:15" x14ac:dyDescent="0.25">
      <c r="A1149" t="s">
        <v>1162</v>
      </c>
      <c r="B1149">
        <v>451</v>
      </c>
      <c r="C1149" s="1" t="str">
        <f>HYPERLINK("http://www.rosaceae.org/gb/gbrowse/malus_x_domestica/?name=MDP0000154437","MDP0000154437")</f>
        <v>MDP0000154437</v>
      </c>
      <c r="D1149">
        <v>66.92</v>
      </c>
      <c r="E1149">
        <v>384</v>
      </c>
      <c r="F1149">
        <v>127</v>
      </c>
      <c r="G1149">
        <v>28</v>
      </c>
      <c r="H1149">
        <v>37</v>
      </c>
      <c r="I1149">
        <v>409</v>
      </c>
      <c r="J1149">
        <v>1</v>
      </c>
      <c r="K1149">
        <v>95</v>
      </c>
      <c r="L1149">
        <v>461</v>
      </c>
      <c r="M1149">
        <v>1</v>
      </c>
      <c r="N1149">
        <v>1.2824799999999999E-137</v>
      </c>
      <c r="O1149">
        <v>1253</v>
      </c>
    </row>
    <row r="1150" spans="1:15" x14ac:dyDescent="0.25">
      <c r="A1150" t="s">
        <v>1163</v>
      </c>
      <c r="B1150">
        <v>565</v>
      </c>
      <c r="C1150" s="1" t="str">
        <f>HYPERLINK("http://www.rosaceae.org/gb/gbrowse/malus_x_domestica/?name=MDP0000149146","MDP0000149146")</f>
        <v>MDP0000149146</v>
      </c>
      <c r="D1150">
        <v>74.569999999999993</v>
      </c>
      <c r="E1150">
        <v>527</v>
      </c>
      <c r="F1150">
        <v>134</v>
      </c>
      <c r="G1150">
        <v>3</v>
      </c>
      <c r="H1150">
        <v>24</v>
      </c>
      <c r="I1150">
        <v>548</v>
      </c>
      <c r="J1150">
        <v>1</v>
      </c>
      <c r="K1150">
        <v>24</v>
      </c>
      <c r="L1150">
        <v>549</v>
      </c>
      <c r="M1150">
        <v>1</v>
      </c>
      <c r="N1150">
        <v>0</v>
      </c>
      <c r="O1150">
        <v>2166</v>
      </c>
    </row>
    <row r="1151" spans="1:15" x14ac:dyDescent="0.25">
      <c r="A1151" t="s">
        <v>1164</v>
      </c>
      <c r="B1151">
        <v>1012</v>
      </c>
      <c r="C1151" s="1" t="str">
        <f>HYPERLINK("http://www.rosaceae.org/gb/gbrowse/malus_x_domestica/?name=MDP0000412954","MDP0000412954")</f>
        <v>MDP0000412954</v>
      </c>
      <c r="D1151">
        <v>81.900000000000006</v>
      </c>
      <c r="E1151">
        <v>1017</v>
      </c>
      <c r="F1151">
        <v>184</v>
      </c>
      <c r="G1151">
        <v>11</v>
      </c>
      <c r="H1151">
        <v>3</v>
      </c>
      <c r="I1151">
        <v>1012</v>
      </c>
      <c r="J1151">
        <v>1</v>
      </c>
      <c r="K1151">
        <v>2</v>
      </c>
      <c r="L1151">
        <v>1014</v>
      </c>
      <c r="M1151">
        <v>1</v>
      </c>
      <c r="N1151">
        <v>0</v>
      </c>
      <c r="O1151">
        <v>4482</v>
      </c>
    </row>
    <row r="1152" spans="1:15" x14ac:dyDescent="0.25">
      <c r="A1152" t="s">
        <v>1165</v>
      </c>
      <c r="B1152">
        <v>782</v>
      </c>
      <c r="C1152" s="1" t="str">
        <f>HYPERLINK("http://www.rosaceae.org/gb/gbrowse/malus_x_domestica/?name=MDP0000303430","MDP0000303430")</f>
        <v>MDP0000303430</v>
      </c>
      <c r="D1152">
        <v>52.09</v>
      </c>
      <c r="E1152">
        <v>574</v>
      </c>
      <c r="F1152">
        <v>275</v>
      </c>
      <c r="G1152">
        <v>118</v>
      </c>
      <c r="H1152">
        <v>2</v>
      </c>
      <c r="I1152">
        <v>465</v>
      </c>
      <c r="J1152">
        <v>1</v>
      </c>
      <c r="K1152">
        <v>109</v>
      </c>
      <c r="L1152">
        <v>674</v>
      </c>
      <c r="M1152">
        <v>1</v>
      </c>
      <c r="N1152">
        <v>1.01657E-140</v>
      </c>
      <c r="O1152">
        <v>1282</v>
      </c>
    </row>
    <row r="1153" spans="1:15" x14ac:dyDescent="0.25">
      <c r="A1153" t="s">
        <v>1166</v>
      </c>
      <c r="B1153">
        <v>258</v>
      </c>
      <c r="C1153" s="1" t="str">
        <f>HYPERLINK("http://www.rosaceae.org/gb/gbrowse/malus_x_domestica/?name=MDP0000308582","MDP0000308582")</f>
        <v>MDP0000308582</v>
      </c>
      <c r="D1153">
        <v>86.77</v>
      </c>
      <c r="E1153">
        <v>257</v>
      </c>
      <c r="F1153">
        <v>34</v>
      </c>
      <c r="G1153">
        <v>0</v>
      </c>
      <c r="H1153">
        <v>1</v>
      </c>
      <c r="I1153">
        <v>257</v>
      </c>
      <c r="J1153">
        <v>1</v>
      </c>
      <c r="K1153">
        <v>634</v>
      </c>
      <c r="L1153">
        <v>890</v>
      </c>
      <c r="M1153">
        <v>1</v>
      </c>
      <c r="N1153">
        <v>5.4637600000000003E-136</v>
      </c>
      <c r="O1153">
        <v>1236</v>
      </c>
    </row>
    <row r="1154" spans="1:15" x14ac:dyDescent="0.25">
      <c r="A1154" t="s">
        <v>1167</v>
      </c>
      <c r="B1154">
        <v>249</v>
      </c>
      <c r="C1154" s="1" t="str">
        <f>HYPERLINK("http://www.rosaceae.org/gb/gbrowse/malus_x_domestica/?name=MDP0000229305","MDP0000229305")</f>
        <v>MDP0000229305</v>
      </c>
      <c r="D1154">
        <v>93.97</v>
      </c>
      <c r="E1154">
        <v>249</v>
      </c>
      <c r="F1154">
        <v>15</v>
      </c>
      <c r="G1154">
        <v>0</v>
      </c>
      <c r="H1154">
        <v>1</v>
      </c>
      <c r="I1154">
        <v>249</v>
      </c>
      <c r="J1154">
        <v>1</v>
      </c>
      <c r="K1154">
        <v>1</v>
      </c>
      <c r="L1154">
        <v>249</v>
      </c>
      <c r="M1154">
        <v>1</v>
      </c>
      <c r="N1154">
        <v>1.26789E-136</v>
      </c>
      <c r="O1154">
        <v>1241</v>
      </c>
    </row>
    <row r="1155" spans="1:15" x14ac:dyDescent="0.25">
      <c r="A1155" t="s">
        <v>1168</v>
      </c>
      <c r="B1155">
        <v>514</v>
      </c>
      <c r="C1155" s="1" t="str">
        <f>HYPERLINK("http://www.rosaceae.org/gb/gbrowse/malus_x_domestica/?name=MDP0000304068","MDP0000304068")</f>
        <v>MDP0000304068</v>
      </c>
      <c r="D1155">
        <v>60.45</v>
      </c>
      <c r="E1155">
        <v>177</v>
      </c>
      <c r="F1155">
        <v>70</v>
      </c>
      <c r="G1155">
        <v>8</v>
      </c>
      <c r="H1155">
        <v>16</v>
      </c>
      <c r="I1155">
        <v>185</v>
      </c>
      <c r="J1155">
        <v>1</v>
      </c>
      <c r="K1155">
        <v>301</v>
      </c>
      <c r="L1155">
        <v>476</v>
      </c>
      <c r="M1155">
        <v>1</v>
      </c>
      <c r="N1155">
        <v>2.8871999999999999E-55</v>
      </c>
      <c r="O1155">
        <v>543</v>
      </c>
    </row>
    <row r="1156" spans="1:15" x14ac:dyDescent="0.25">
      <c r="A1156" t="s">
        <v>1169</v>
      </c>
      <c r="B1156">
        <v>590</v>
      </c>
      <c r="C1156" s="1" t="str">
        <f>HYPERLINK("http://www.rosaceae.org/gb/gbrowse/malus_x_domestica/?name=MDP0000127975","MDP0000127975")</f>
        <v>MDP0000127975</v>
      </c>
      <c r="D1156">
        <v>48.64</v>
      </c>
      <c r="E1156">
        <v>479</v>
      </c>
      <c r="F1156">
        <v>246</v>
      </c>
      <c r="G1156">
        <v>69</v>
      </c>
      <c r="H1156">
        <v>85</v>
      </c>
      <c r="I1156">
        <v>525</v>
      </c>
      <c r="J1156">
        <v>1</v>
      </c>
      <c r="K1156">
        <v>71</v>
      </c>
      <c r="L1156">
        <v>518</v>
      </c>
      <c r="M1156">
        <v>1</v>
      </c>
      <c r="N1156">
        <v>6.3266500000000003E-108</v>
      </c>
      <c r="O1156">
        <v>998</v>
      </c>
    </row>
    <row r="1157" spans="1:15" x14ac:dyDescent="0.25">
      <c r="A1157" t="s">
        <v>1170</v>
      </c>
      <c r="B1157">
        <v>268</v>
      </c>
      <c r="C1157" s="1" t="str">
        <f>HYPERLINK("http://www.rosaceae.org/gb/gbrowse/malus_x_domestica/?name=MDP0000541757","MDP0000541757")</f>
        <v>MDP0000541757</v>
      </c>
      <c r="D1157">
        <v>38.25</v>
      </c>
      <c r="E1157">
        <v>264</v>
      </c>
      <c r="F1157">
        <v>163</v>
      </c>
      <c r="G1157">
        <v>58</v>
      </c>
      <c r="H1157">
        <v>39</v>
      </c>
      <c r="I1157">
        <v>249</v>
      </c>
      <c r="J1157">
        <v>1</v>
      </c>
      <c r="K1157">
        <v>489</v>
      </c>
      <c r="L1157">
        <v>747</v>
      </c>
      <c r="M1157">
        <v>1</v>
      </c>
      <c r="N1157">
        <v>4.8833099999999996E-41</v>
      </c>
      <c r="O1157">
        <v>417</v>
      </c>
    </row>
    <row r="1158" spans="1:15" x14ac:dyDescent="0.25">
      <c r="A1158" t="s">
        <v>1171</v>
      </c>
      <c r="B1158">
        <v>243</v>
      </c>
      <c r="C1158" s="1" t="str">
        <f>HYPERLINK("http://www.rosaceae.org/gb/gbrowse/malus_x_domestica/?name=MDP0000755474","MDP0000755474")</f>
        <v>MDP0000755474</v>
      </c>
      <c r="D1158">
        <v>48.48</v>
      </c>
      <c r="E1158">
        <v>264</v>
      </c>
      <c r="F1158">
        <v>136</v>
      </c>
      <c r="G1158">
        <v>29</v>
      </c>
      <c r="H1158">
        <v>6</v>
      </c>
      <c r="I1158">
        <v>243</v>
      </c>
      <c r="J1158">
        <v>1</v>
      </c>
      <c r="K1158">
        <v>29</v>
      </c>
      <c r="L1158">
        <v>289</v>
      </c>
      <c r="M1158">
        <v>1</v>
      </c>
      <c r="N1158">
        <v>1.12608E-57</v>
      </c>
      <c r="O1158">
        <v>560</v>
      </c>
    </row>
    <row r="1159" spans="1:15" x14ac:dyDescent="0.25">
      <c r="A1159" t="s">
        <v>1172</v>
      </c>
      <c r="B1159">
        <v>506</v>
      </c>
      <c r="C1159" s="1" t="str">
        <f>HYPERLINK("http://www.rosaceae.org/gb/gbrowse/malus_x_domestica/?name=MDP0000287354","MDP0000287354")</f>
        <v>MDP0000287354</v>
      </c>
      <c r="D1159">
        <v>41.49</v>
      </c>
      <c r="E1159">
        <v>523</v>
      </c>
      <c r="F1159">
        <v>306</v>
      </c>
      <c r="G1159">
        <v>66</v>
      </c>
      <c r="H1159">
        <v>1</v>
      </c>
      <c r="I1159">
        <v>464</v>
      </c>
      <c r="J1159">
        <v>1</v>
      </c>
      <c r="K1159">
        <v>567</v>
      </c>
      <c r="L1159">
        <v>1082</v>
      </c>
      <c r="M1159">
        <v>1</v>
      </c>
      <c r="N1159">
        <v>3.4525800000000002E-89</v>
      </c>
      <c r="O1159">
        <v>836</v>
      </c>
    </row>
    <row r="1160" spans="1:15" x14ac:dyDescent="0.25">
      <c r="A1160" t="s">
        <v>1173</v>
      </c>
      <c r="B1160">
        <v>318</v>
      </c>
      <c r="C1160" s="1" t="str">
        <f>HYPERLINK("http://www.rosaceae.org/gb/gbrowse/malus_x_domestica/?name=MDP0000202145","MDP0000202145")</f>
        <v>MDP0000202145</v>
      </c>
      <c r="D1160">
        <v>45.42</v>
      </c>
      <c r="E1160">
        <v>284</v>
      </c>
      <c r="F1160">
        <v>155</v>
      </c>
      <c r="G1160">
        <v>35</v>
      </c>
      <c r="H1160">
        <v>1</v>
      </c>
      <c r="I1160">
        <v>254</v>
      </c>
      <c r="J1160">
        <v>1</v>
      </c>
      <c r="K1160">
        <v>1</v>
      </c>
      <c r="L1160">
        <v>279</v>
      </c>
      <c r="M1160">
        <v>1</v>
      </c>
      <c r="N1160">
        <v>1.96954E-52</v>
      </c>
      <c r="O1160">
        <v>516</v>
      </c>
    </row>
    <row r="1161" spans="1:15" x14ac:dyDescent="0.25">
      <c r="A1161" t="s">
        <v>1174</v>
      </c>
      <c r="B1161">
        <v>297</v>
      </c>
      <c r="C1161" s="1" t="str">
        <f>HYPERLINK("http://www.rosaceae.org/gb/gbrowse/malus_x_domestica/?name=MDP0000292152","MDP0000292152")</f>
        <v>MDP0000292152</v>
      </c>
      <c r="D1161">
        <v>74.41</v>
      </c>
      <c r="E1161">
        <v>43</v>
      </c>
      <c r="F1161">
        <v>11</v>
      </c>
      <c r="G1161">
        <v>0</v>
      </c>
      <c r="H1161">
        <v>255</v>
      </c>
      <c r="I1161">
        <v>297</v>
      </c>
      <c r="J1161">
        <v>1</v>
      </c>
      <c r="K1161">
        <v>612</v>
      </c>
      <c r="L1161">
        <v>654</v>
      </c>
      <c r="M1161">
        <v>1</v>
      </c>
      <c r="N1161">
        <v>1.2347299999999999E-13</v>
      </c>
      <c r="O1161">
        <v>181</v>
      </c>
    </row>
    <row r="1162" spans="1:15" x14ac:dyDescent="0.25">
      <c r="A1162" t="s">
        <v>1175</v>
      </c>
      <c r="B1162">
        <v>553</v>
      </c>
      <c r="C1162" s="1" t="str">
        <f>HYPERLINK("http://www.rosaceae.org/gb/gbrowse/malus_x_domestica/?name=MDP0000201936","MDP0000201936")</f>
        <v>MDP0000201936</v>
      </c>
      <c r="D1162">
        <v>75.650000000000006</v>
      </c>
      <c r="E1162">
        <v>571</v>
      </c>
      <c r="F1162">
        <v>139</v>
      </c>
      <c r="G1162">
        <v>19</v>
      </c>
      <c r="H1162">
        <v>1</v>
      </c>
      <c r="I1162">
        <v>553</v>
      </c>
      <c r="J1162">
        <v>1</v>
      </c>
      <c r="K1162">
        <v>1</v>
      </c>
      <c r="L1162">
        <v>570</v>
      </c>
      <c r="M1162">
        <v>1</v>
      </c>
      <c r="N1162">
        <v>0</v>
      </c>
      <c r="O1162">
        <v>2198</v>
      </c>
    </row>
    <row r="1163" spans="1:15" x14ac:dyDescent="0.25">
      <c r="A1163" t="s">
        <v>1176</v>
      </c>
      <c r="B1163">
        <v>132</v>
      </c>
      <c r="C1163" s="1" t="str">
        <f>HYPERLINK("http://www.rosaceae.org/gb/gbrowse/malus_x_domestica/?name=MDP0000142541","MDP0000142541")</f>
        <v>MDP0000142541</v>
      </c>
      <c r="D1163">
        <v>86.3</v>
      </c>
      <c r="E1163">
        <v>73</v>
      </c>
      <c r="F1163">
        <v>10</v>
      </c>
      <c r="G1163">
        <v>0</v>
      </c>
      <c r="H1163">
        <v>13</v>
      </c>
      <c r="I1163">
        <v>85</v>
      </c>
      <c r="J1163">
        <v>1</v>
      </c>
      <c r="K1163">
        <v>118</v>
      </c>
      <c r="L1163">
        <v>190</v>
      </c>
      <c r="M1163">
        <v>1</v>
      </c>
      <c r="N1163">
        <v>8.5532300000000005E-30</v>
      </c>
      <c r="O1163">
        <v>315</v>
      </c>
    </row>
    <row r="1164" spans="1:15" x14ac:dyDescent="0.25">
      <c r="A1164" t="s">
        <v>1177</v>
      </c>
      <c r="B1164">
        <v>189</v>
      </c>
      <c r="C1164" s="1" t="str">
        <f>HYPERLINK("http://www.rosaceae.org/gb/gbrowse/malus_x_domestica/?name=MDP0000141815","MDP0000141815")</f>
        <v>MDP0000141815</v>
      </c>
      <c r="D1164">
        <v>35.18</v>
      </c>
      <c r="E1164">
        <v>162</v>
      </c>
      <c r="F1164">
        <v>105</v>
      </c>
      <c r="G1164">
        <v>54</v>
      </c>
      <c r="H1164">
        <v>61</v>
      </c>
      <c r="I1164">
        <v>168</v>
      </c>
      <c r="J1164">
        <v>1</v>
      </c>
      <c r="K1164">
        <v>1</v>
      </c>
      <c r="L1164">
        <v>162</v>
      </c>
      <c r="M1164">
        <v>1</v>
      </c>
      <c r="N1164">
        <v>4.01545E-17</v>
      </c>
      <c r="O1164">
        <v>209</v>
      </c>
    </row>
    <row r="1165" spans="1:15" x14ac:dyDescent="0.25">
      <c r="A1165" t="s">
        <v>1178</v>
      </c>
      <c r="B1165">
        <v>327</v>
      </c>
      <c r="C1165" s="1" t="str">
        <f>HYPERLINK("http://www.rosaceae.org/gb/gbrowse/malus_x_domestica/?name=MDP0000884055","MDP0000884055")</f>
        <v>MDP0000884055</v>
      </c>
      <c r="D1165">
        <v>78.66</v>
      </c>
      <c r="E1165">
        <v>300</v>
      </c>
      <c r="F1165">
        <v>64</v>
      </c>
      <c r="G1165">
        <v>2</v>
      </c>
      <c r="H1165">
        <v>3</v>
      </c>
      <c r="I1165">
        <v>300</v>
      </c>
      <c r="J1165">
        <v>1</v>
      </c>
      <c r="K1165">
        <v>4</v>
      </c>
      <c r="L1165">
        <v>303</v>
      </c>
      <c r="M1165">
        <v>1</v>
      </c>
      <c r="N1165">
        <v>6.5949999999999996E-141</v>
      </c>
      <c r="O1165">
        <v>1280</v>
      </c>
    </row>
    <row r="1166" spans="1:15" x14ac:dyDescent="0.25">
      <c r="A1166" t="s">
        <v>1179</v>
      </c>
      <c r="B1166">
        <v>403</v>
      </c>
      <c r="C1166" s="1" t="str">
        <f>HYPERLINK("http://www.rosaceae.org/gb/gbrowse/malus_x_domestica/?name=MDP0000120956","MDP0000120956")</f>
        <v>MDP0000120956</v>
      </c>
      <c r="D1166">
        <v>67.87</v>
      </c>
      <c r="E1166">
        <v>277</v>
      </c>
      <c r="F1166">
        <v>89</v>
      </c>
      <c r="G1166">
        <v>0</v>
      </c>
      <c r="H1166">
        <v>1</v>
      </c>
      <c r="I1166">
        <v>277</v>
      </c>
      <c r="J1166">
        <v>1</v>
      </c>
      <c r="K1166">
        <v>1</v>
      </c>
      <c r="L1166">
        <v>277</v>
      </c>
      <c r="M1166">
        <v>1</v>
      </c>
      <c r="N1166">
        <v>1.0759500000000001E-105</v>
      </c>
      <c r="O1166">
        <v>977</v>
      </c>
    </row>
    <row r="1167" spans="1:15" x14ac:dyDescent="0.25">
      <c r="A1167" t="s">
        <v>1180</v>
      </c>
      <c r="B1167">
        <v>1287</v>
      </c>
      <c r="C1167" s="1" t="str">
        <f>HYPERLINK("http://www.rosaceae.org/gb/gbrowse/malus_x_domestica/?name=MDP0000166916","MDP0000166916")</f>
        <v>MDP0000166916</v>
      </c>
      <c r="D1167">
        <v>76.66</v>
      </c>
      <c r="E1167">
        <v>1303</v>
      </c>
      <c r="F1167">
        <v>304</v>
      </c>
      <c r="G1167">
        <v>23</v>
      </c>
      <c r="H1167">
        <v>1</v>
      </c>
      <c r="I1167">
        <v>1287</v>
      </c>
      <c r="J1167">
        <v>1</v>
      </c>
      <c r="K1167">
        <v>1</v>
      </c>
      <c r="L1167">
        <v>1296</v>
      </c>
      <c r="M1167">
        <v>1</v>
      </c>
      <c r="N1167">
        <v>0</v>
      </c>
      <c r="O1167">
        <v>5045</v>
      </c>
    </row>
    <row r="1168" spans="1:15" x14ac:dyDescent="0.25">
      <c r="A1168" t="s">
        <v>1181</v>
      </c>
      <c r="B1168">
        <v>359</v>
      </c>
      <c r="C1168" s="1" t="str">
        <f>HYPERLINK("http://www.rosaceae.org/gb/gbrowse/malus_x_domestica/?name=MDP0000262910","MDP0000262910")</f>
        <v>MDP0000262910</v>
      </c>
      <c r="D1168">
        <v>52.56</v>
      </c>
      <c r="E1168">
        <v>371</v>
      </c>
      <c r="F1168">
        <v>176</v>
      </c>
      <c r="G1168">
        <v>57</v>
      </c>
      <c r="H1168">
        <v>28</v>
      </c>
      <c r="I1168">
        <v>345</v>
      </c>
      <c r="J1168">
        <v>1</v>
      </c>
      <c r="K1168">
        <v>101</v>
      </c>
      <c r="L1168">
        <v>467</v>
      </c>
      <c r="M1168">
        <v>1</v>
      </c>
      <c r="N1168">
        <v>2.7610599999999998E-98</v>
      </c>
      <c r="O1168">
        <v>912</v>
      </c>
    </row>
    <row r="1169" spans="1:15" x14ac:dyDescent="0.25">
      <c r="A1169" t="s">
        <v>1182</v>
      </c>
      <c r="B1169">
        <v>1329</v>
      </c>
      <c r="C1169" s="1" t="str">
        <f>HYPERLINK("http://www.rosaceae.org/gb/gbrowse/malus_x_domestica/?name=MDP0000145145","MDP0000145145")</f>
        <v>MDP0000145145</v>
      </c>
      <c r="D1169">
        <v>53.06</v>
      </c>
      <c r="E1169">
        <v>816</v>
      </c>
      <c r="F1169">
        <v>383</v>
      </c>
      <c r="G1169">
        <v>52</v>
      </c>
      <c r="H1169">
        <v>560</v>
      </c>
      <c r="I1169">
        <v>1329</v>
      </c>
      <c r="J1169">
        <v>1</v>
      </c>
      <c r="K1169">
        <v>7</v>
      </c>
      <c r="L1169">
        <v>816</v>
      </c>
      <c r="M1169">
        <v>1</v>
      </c>
      <c r="N1169">
        <v>0</v>
      </c>
      <c r="O1169">
        <v>1990</v>
      </c>
    </row>
    <row r="1170" spans="1:15" x14ac:dyDescent="0.25">
      <c r="A1170" t="s">
        <v>1183</v>
      </c>
      <c r="B1170">
        <v>199</v>
      </c>
      <c r="C1170" s="1" t="str">
        <f>HYPERLINK("http://www.rosaceae.org/gb/gbrowse/malus_x_domestica/?name=MDP0000311341","MDP0000311341")</f>
        <v>MDP0000311341</v>
      </c>
      <c r="D1170">
        <v>45.64</v>
      </c>
      <c r="E1170">
        <v>195</v>
      </c>
      <c r="F1170">
        <v>106</v>
      </c>
      <c r="G1170">
        <v>13</v>
      </c>
      <c r="H1170">
        <v>2</v>
      </c>
      <c r="I1170">
        <v>196</v>
      </c>
      <c r="J1170">
        <v>1</v>
      </c>
      <c r="K1170">
        <v>447</v>
      </c>
      <c r="L1170">
        <v>628</v>
      </c>
      <c r="M1170">
        <v>1</v>
      </c>
      <c r="N1170">
        <v>1.22696E-34</v>
      </c>
      <c r="O1170">
        <v>360</v>
      </c>
    </row>
    <row r="1171" spans="1:15" x14ac:dyDescent="0.25">
      <c r="A1171" t="s">
        <v>1184</v>
      </c>
      <c r="B1171">
        <v>375</v>
      </c>
      <c r="C1171" s="1" t="str">
        <f>HYPERLINK("http://www.rosaceae.org/gb/gbrowse/malus_x_domestica/?name=MDP0000236327","MDP0000236327")</f>
        <v>MDP0000236327</v>
      </c>
      <c r="D1171">
        <v>33.42</v>
      </c>
      <c r="E1171">
        <v>350</v>
      </c>
      <c r="F1171">
        <v>233</v>
      </c>
      <c r="G1171">
        <v>51</v>
      </c>
      <c r="H1171">
        <v>48</v>
      </c>
      <c r="I1171">
        <v>375</v>
      </c>
      <c r="J1171">
        <v>1</v>
      </c>
      <c r="K1171">
        <v>213</v>
      </c>
      <c r="L1171">
        <v>533</v>
      </c>
      <c r="M1171">
        <v>1</v>
      </c>
      <c r="N1171">
        <v>4.5917700000000004E-22</v>
      </c>
      <c r="O1171">
        <v>255</v>
      </c>
    </row>
    <row r="1172" spans="1:15" x14ac:dyDescent="0.25">
      <c r="A1172" t="s">
        <v>1185</v>
      </c>
      <c r="B1172">
        <v>365</v>
      </c>
      <c r="C1172" s="1" t="str">
        <f>HYPERLINK("http://www.rosaceae.org/gb/gbrowse/malus_x_domestica/?name=MDP0000754365","MDP0000754365")</f>
        <v>MDP0000754365</v>
      </c>
      <c r="D1172">
        <v>43.35</v>
      </c>
      <c r="E1172">
        <v>316</v>
      </c>
      <c r="F1172">
        <v>179</v>
      </c>
      <c r="G1172">
        <v>24</v>
      </c>
      <c r="H1172">
        <v>1</v>
      </c>
      <c r="I1172">
        <v>302</v>
      </c>
      <c r="J1172">
        <v>1</v>
      </c>
      <c r="K1172">
        <v>615</v>
      </c>
      <c r="L1172">
        <v>920</v>
      </c>
      <c r="M1172">
        <v>1</v>
      </c>
      <c r="N1172">
        <v>3.9623400000000004E-55</v>
      </c>
      <c r="O1172">
        <v>540</v>
      </c>
    </row>
    <row r="1173" spans="1:15" x14ac:dyDescent="0.25">
      <c r="A1173" t="s">
        <v>1186</v>
      </c>
      <c r="B1173">
        <v>567</v>
      </c>
      <c r="C1173" s="1" t="str">
        <f>HYPERLINK("http://www.rosaceae.org/gb/gbrowse/malus_x_domestica/?name=MDP0000282789","MDP0000282789")</f>
        <v>MDP0000282789</v>
      </c>
      <c r="D1173">
        <v>62.89</v>
      </c>
      <c r="E1173">
        <v>566</v>
      </c>
      <c r="F1173">
        <v>210</v>
      </c>
      <c r="G1173">
        <v>27</v>
      </c>
      <c r="H1173">
        <v>3</v>
      </c>
      <c r="I1173">
        <v>563</v>
      </c>
      <c r="J1173">
        <v>1</v>
      </c>
      <c r="K1173">
        <v>11</v>
      </c>
      <c r="L1173">
        <v>554</v>
      </c>
      <c r="M1173">
        <v>1</v>
      </c>
      <c r="N1173">
        <v>0</v>
      </c>
      <c r="O1173">
        <v>1845</v>
      </c>
    </row>
    <row r="1174" spans="1:15" x14ac:dyDescent="0.25">
      <c r="A1174" t="s">
        <v>1187</v>
      </c>
      <c r="B1174">
        <v>948</v>
      </c>
      <c r="C1174" s="1" t="str">
        <f>HYPERLINK("http://www.rosaceae.org/gb/gbrowse/malus_x_domestica/?name=MDP0000150878","MDP0000150878")</f>
        <v>MDP0000150878</v>
      </c>
      <c r="D1174">
        <v>60.79</v>
      </c>
      <c r="E1174">
        <v>936</v>
      </c>
      <c r="F1174">
        <v>367</v>
      </c>
      <c r="G1174">
        <v>15</v>
      </c>
      <c r="H1174">
        <v>24</v>
      </c>
      <c r="I1174">
        <v>948</v>
      </c>
      <c r="J1174">
        <v>1</v>
      </c>
      <c r="K1174">
        <v>29</v>
      </c>
      <c r="L1174">
        <v>960</v>
      </c>
      <c r="M1174">
        <v>1</v>
      </c>
      <c r="N1174">
        <v>0</v>
      </c>
      <c r="O1174">
        <v>2724</v>
      </c>
    </row>
    <row r="1175" spans="1:15" x14ac:dyDescent="0.25">
      <c r="A1175" t="s">
        <v>1188</v>
      </c>
      <c r="B1175">
        <v>182</v>
      </c>
      <c r="C1175" s="1" t="str">
        <f>HYPERLINK("http://www.rosaceae.org/gb/gbrowse/malus_x_domestica/?name=MDP0000483776","MDP0000483776")</f>
        <v>MDP0000483776</v>
      </c>
      <c r="D1175">
        <v>84.7</v>
      </c>
      <c r="E1175">
        <v>170</v>
      </c>
      <c r="F1175">
        <v>26</v>
      </c>
      <c r="G1175">
        <v>1</v>
      </c>
      <c r="H1175">
        <v>1</v>
      </c>
      <c r="I1175">
        <v>170</v>
      </c>
      <c r="J1175">
        <v>1</v>
      </c>
      <c r="K1175">
        <v>7</v>
      </c>
      <c r="L1175">
        <v>175</v>
      </c>
      <c r="M1175">
        <v>1</v>
      </c>
      <c r="N1175">
        <v>1.05672E-82</v>
      </c>
      <c r="O1175">
        <v>774</v>
      </c>
    </row>
    <row r="1176" spans="1:15" x14ac:dyDescent="0.25">
      <c r="A1176" t="s">
        <v>1189</v>
      </c>
      <c r="B1176">
        <v>228</v>
      </c>
      <c r="C1176" s="1" t="str">
        <f>HYPERLINK("http://www.rosaceae.org/gb/gbrowse/malus_x_domestica/?name=MDP0000149146","MDP0000149146")</f>
        <v>MDP0000149146</v>
      </c>
      <c r="D1176">
        <v>63.46</v>
      </c>
      <c r="E1176">
        <v>52</v>
      </c>
      <c r="F1176">
        <v>19</v>
      </c>
      <c r="G1176">
        <v>0</v>
      </c>
      <c r="H1176">
        <v>46</v>
      </c>
      <c r="I1176">
        <v>97</v>
      </c>
      <c r="J1176">
        <v>1</v>
      </c>
      <c r="K1176">
        <v>119</v>
      </c>
      <c r="L1176">
        <v>170</v>
      </c>
      <c r="M1176">
        <v>1</v>
      </c>
      <c r="N1176">
        <v>3.2336299999999999E-16</v>
      </c>
      <c r="O1176">
        <v>202</v>
      </c>
    </row>
    <row r="1177" spans="1:15" x14ac:dyDescent="0.25">
      <c r="A1177" t="s">
        <v>1190</v>
      </c>
      <c r="B1177">
        <v>560</v>
      </c>
      <c r="C1177" s="1" t="str">
        <f>HYPERLINK("http://www.rosaceae.org/gb/gbrowse/malus_x_domestica/?name=MDP0000285668","MDP0000285668")</f>
        <v>MDP0000285668</v>
      </c>
      <c r="D1177">
        <v>80.3</v>
      </c>
      <c r="E1177">
        <v>589</v>
      </c>
      <c r="F1177">
        <v>116</v>
      </c>
      <c r="G1177">
        <v>30</v>
      </c>
      <c r="H1177">
        <v>1</v>
      </c>
      <c r="I1177">
        <v>560</v>
      </c>
      <c r="J1177">
        <v>1</v>
      </c>
      <c r="K1177">
        <v>1</v>
      </c>
      <c r="L1177">
        <v>588</v>
      </c>
      <c r="M1177">
        <v>1</v>
      </c>
      <c r="N1177">
        <v>0</v>
      </c>
      <c r="O1177">
        <v>2381</v>
      </c>
    </row>
    <row r="1178" spans="1:15" x14ac:dyDescent="0.25">
      <c r="A1178" t="s">
        <v>1191</v>
      </c>
      <c r="B1178">
        <v>476</v>
      </c>
      <c r="C1178" s="1" t="str">
        <f>HYPERLINK("http://www.rosaceae.org/gb/gbrowse/malus_x_domestica/?name=MDP0000148190","MDP0000148190")</f>
        <v>MDP0000148190</v>
      </c>
      <c r="D1178">
        <v>75.099999999999994</v>
      </c>
      <c r="E1178">
        <v>482</v>
      </c>
      <c r="F1178">
        <v>120</v>
      </c>
      <c r="G1178">
        <v>15</v>
      </c>
      <c r="H1178">
        <v>8</v>
      </c>
      <c r="I1178">
        <v>474</v>
      </c>
      <c r="J1178">
        <v>1</v>
      </c>
      <c r="K1178">
        <v>14</v>
      </c>
      <c r="L1178">
        <v>495</v>
      </c>
      <c r="M1178">
        <v>1</v>
      </c>
      <c r="N1178">
        <v>0</v>
      </c>
      <c r="O1178">
        <v>1974</v>
      </c>
    </row>
    <row r="1179" spans="1:15" x14ac:dyDescent="0.25">
      <c r="A1179" t="s">
        <v>1192</v>
      </c>
      <c r="B1179">
        <v>376</v>
      </c>
      <c r="C1179" s="1" t="str">
        <f>HYPERLINK("http://www.rosaceae.org/gb/gbrowse/malus_x_domestica/?name=MDP0000143220","MDP0000143220")</f>
        <v>MDP0000143220</v>
      </c>
      <c r="D1179">
        <v>86.57</v>
      </c>
      <c r="E1179">
        <v>380</v>
      </c>
      <c r="F1179">
        <v>51</v>
      </c>
      <c r="G1179">
        <v>5</v>
      </c>
      <c r="H1179">
        <v>1</v>
      </c>
      <c r="I1179">
        <v>376</v>
      </c>
      <c r="J1179">
        <v>1</v>
      </c>
      <c r="K1179">
        <v>1</v>
      </c>
      <c r="L1179">
        <v>379</v>
      </c>
      <c r="M1179">
        <v>1</v>
      </c>
      <c r="N1179">
        <v>0</v>
      </c>
      <c r="O1179">
        <v>1684</v>
      </c>
    </row>
    <row r="1180" spans="1:15" x14ac:dyDescent="0.25">
      <c r="A1180" t="s">
        <v>1193</v>
      </c>
      <c r="B1180">
        <v>490</v>
      </c>
      <c r="C1180" s="1" t="str">
        <f>HYPERLINK("http://www.rosaceae.org/gb/gbrowse/malus_x_domestica/?name=MDP0000173593","MDP0000173593")</f>
        <v>MDP0000173593</v>
      </c>
      <c r="D1180">
        <v>73.06</v>
      </c>
      <c r="E1180">
        <v>490</v>
      </c>
      <c r="F1180">
        <v>132</v>
      </c>
      <c r="G1180">
        <v>31</v>
      </c>
      <c r="H1180">
        <v>11</v>
      </c>
      <c r="I1180">
        <v>486</v>
      </c>
      <c r="J1180">
        <v>1</v>
      </c>
      <c r="K1180">
        <v>16</v>
      </c>
      <c r="L1180">
        <v>488</v>
      </c>
      <c r="M1180">
        <v>1</v>
      </c>
      <c r="N1180">
        <v>0</v>
      </c>
      <c r="O1180">
        <v>1796</v>
      </c>
    </row>
    <row r="1181" spans="1:15" x14ac:dyDescent="0.25">
      <c r="A1181" t="s">
        <v>1194</v>
      </c>
      <c r="B1181">
        <v>315</v>
      </c>
      <c r="C1181" s="1" t="str">
        <f>HYPERLINK("http://www.rosaceae.org/gb/gbrowse/malus_x_domestica/?name=MDP0000299155","MDP0000299155")</f>
        <v>MDP0000299155</v>
      </c>
      <c r="D1181">
        <v>52.08</v>
      </c>
      <c r="E1181">
        <v>336</v>
      </c>
      <c r="F1181">
        <v>161</v>
      </c>
      <c r="G1181">
        <v>76</v>
      </c>
      <c r="H1181">
        <v>2</v>
      </c>
      <c r="I1181">
        <v>315</v>
      </c>
      <c r="J1181">
        <v>1</v>
      </c>
      <c r="K1181">
        <v>6</v>
      </c>
      <c r="L1181">
        <v>287</v>
      </c>
      <c r="M1181">
        <v>1</v>
      </c>
      <c r="N1181">
        <v>1.4265400000000001E-80</v>
      </c>
      <c r="O1181">
        <v>759</v>
      </c>
    </row>
    <row r="1182" spans="1:15" x14ac:dyDescent="0.25">
      <c r="A1182" t="s">
        <v>1195</v>
      </c>
      <c r="B1182">
        <v>193</v>
      </c>
      <c r="C1182" s="1" t="str">
        <f>HYPERLINK("http://www.rosaceae.org/gb/gbrowse/malus_x_domestica/?name=MDP0000148325","MDP0000148325")</f>
        <v>MDP0000148325</v>
      </c>
      <c r="D1182">
        <v>44</v>
      </c>
      <c r="E1182">
        <v>75</v>
      </c>
      <c r="F1182">
        <v>42</v>
      </c>
      <c r="G1182">
        <v>1</v>
      </c>
      <c r="H1182">
        <v>64</v>
      </c>
      <c r="I1182">
        <v>138</v>
      </c>
      <c r="J1182">
        <v>1</v>
      </c>
      <c r="K1182">
        <v>480</v>
      </c>
      <c r="L1182">
        <v>553</v>
      </c>
      <c r="M1182">
        <v>1</v>
      </c>
      <c r="N1182">
        <v>1.8532300000000002E-12</v>
      </c>
      <c r="O1182">
        <v>169</v>
      </c>
    </row>
    <row r="1183" spans="1:15" x14ac:dyDescent="0.25">
      <c r="A1183" t="s">
        <v>1196</v>
      </c>
      <c r="B1183">
        <v>143</v>
      </c>
      <c r="C1183" s="1" t="str">
        <f>HYPERLINK("http://www.rosaceae.org/gb/gbrowse/malus_x_domestica/?name=MDP0000157191","MDP0000157191")</f>
        <v>MDP0000157191</v>
      </c>
      <c r="D1183">
        <v>59.84</v>
      </c>
      <c r="E1183">
        <v>132</v>
      </c>
      <c r="F1183">
        <v>53</v>
      </c>
      <c r="G1183">
        <v>8</v>
      </c>
      <c r="H1183">
        <v>3</v>
      </c>
      <c r="I1183">
        <v>133</v>
      </c>
      <c r="J1183">
        <v>1</v>
      </c>
      <c r="K1183">
        <v>10</v>
      </c>
      <c r="L1183">
        <v>134</v>
      </c>
      <c r="M1183">
        <v>1</v>
      </c>
      <c r="N1183">
        <v>1.5472000000000001E-37</v>
      </c>
      <c r="O1183">
        <v>383</v>
      </c>
    </row>
    <row r="1184" spans="1:15" x14ac:dyDescent="0.25">
      <c r="A1184" t="s">
        <v>1197</v>
      </c>
      <c r="B1184">
        <v>446</v>
      </c>
      <c r="C1184" s="1" t="str">
        <f>HYPERLINK("http://www.rosaceae.org/gb/gbrowse/malus_x_domestica/?name=MDP0000891962","MDP0000891962")</f>
        <v>MDP0000891962</v>
      </c>
      <c r="D1184">
        <v>70.8</v>
      </c>
      <c r="E1184">
        <v>250</v>
      </c>
      <c r="F1184">
        <v>73</v>
      </c>
      <c r="G1184">
        <v>1</v>
      </c>
      <c r="H1184">
        <v>22</v>
      </c>
      <c r="I1184">
        <v>270</v>
      </c>
      <c r="J1184">
        <v>1</v>
      </c>
      <c r="K1184">
        <v>71</v>
      </c>
      <c r="L1184">
        <v>320</v>
      </c>
      <c r="M1184">
        <v>1</v>
      </c>
      <c r="N1184">
        <v>5.2660900000000002E-107</v>
      </c>
      <c r="O1184">
        <v>989</v>
      </c>
    </row>
    <row r="1185" spans="1:15" x14ac:dyDescent="0.25">
      <c r="A1185" t="s">
        <v>1198</v>
      </c>
      <c r="B1185">
        <v>133</v>
      </c>
      <c r="C1185" s="1" t="str">
        <f>HYPERLINK("http://www.rosaceae.org/gb/gbrowse/malus_x_domestica/?name=MDP0000933335","MDP0000933335")</f>
        <v>MDP0000933335</v>
      </c>
      <c r="D1185">
        <v>45.03</v>
      </c>
      <c r="E1185">
        <v>131</v>
      </c>
      <c r="F1185">
        <v>72</v>
      </c>
      <c r="G1185">
        <v>8</v>
      </c>
      <c r="H1185">
        <v>1</v>
      </c>
      <c r="I1185">
        <v>126</v>
      </c>
      <c r="J1185">
        <v>1</v>
      </c>
      <c r="K1185">
        <v>1</v>
      </c>
      <c r="L1185">
        <v>128</v>
      </c>
      <c r="M1185">
        <v>1</v>
      </c>
      <c r="N1185">
        <v>2.3118099999999999E-23</v>
      </c>
      <c r="O1185">
        <v>260</v>
      </c>
    </row>
    <row r="1186" spans="1:15" x14ac:dyDescent="0.25">
      <c r="A1186" t="s">
        <v>1199</v>
      </c>
      <c r="B1186">
        <v>397</v>
      </c>
      <c r="C1186" s="1" t="str">
        <f>HYPERLINK("http://www.rosaceae.org/gb/gbrowse/malus_x_domestica/?name=MDP0000240373","MDP0000240373")</f>
        <v>MDP0000240373</v>
      </c>
      <c r="D1186">
        <v>39.9</v>
      </c>
      <c r="E1186">
        <v>406</v>
      </c>
      <c r="F1186">
        <v>244</v>
      </c>
      <c r="G1186">
        <v>21</v>
      </c>
      <c r="H1186">
        <v>8</v>
      </c>
      <c r="I1186">
        <v>394</v>
      </c>
      <c r="J1186">
        <v>1</v>
      </c>
      <c r="K1186">
        <v>69</v>
      </c>
      <c r="L1186">
        <v>472</v>
      </c>
      <c r="M1186">
        <v>1</v>
      </c>
      <c r="N1186">
        <v>1.1306600000000001E-65</v>
      </c>
      <c r="O1186">
        <v>632</v>
      </c>
    </row>
    <row r="1187" spans="1:15" x14ac:dyDescent="0.25">
      <c r="A1187" t="s">
        <v>1200</v>
      </c>
      <c r="B1187">
        <v>428</v>
      </c>
      <c r="C1187" s="1" t="str">
        <f>HYPERLINK("http://www.rosaceae.org/gb/gbrowse/malus_x_domestica/?name=MDP0000237124","MDP0000237124")</f>
        <v>MDP0000237124</v>
      </c>
      <c r="D1187">
        <v>62.79</v>
      </c>
      <c r="E1187">
        <v>430</v>
      </c>
      <c r="F1187">
        <v>160</v>
      </c>
      <c r="G1187">
        <v>40</v>
      </c>
      <c r="H1187">
        <v>1</v>
      </c>
      <c r="I1187">
        <v>428</v>
      </c>
      <c r="J1187">
        <v>1</v>
      </c>
      <c r="K1187">
        <v>1</v>
      </c>
      <c r="L1187">
        <v>392</v>
      </c>
      <c r="M1187">
        <v>1</v>
      </c>
      <c r="N1187">
        <v>2.5880399999999999E-148</v>
      </c>
      <c r="O1187">
        <v>1345</v>
      </c>
    </row>
    <row r="1188" spans="1:15" x14ac:dyDescent="0.25">
      <c r="A1188" t="s">
        <v>1201</v>
      </c>
      <c r="B1188">
        <v>199</v>
      </c>
      <c r="C1188" s="1" t="str">
        <f>HYPERLINK("http://www.rosaceae.org/gb/gbrowse/malus_x_domestica/?name=MDP0000137468","MDP0000137468")</f>
        <v>MDP0000137468</v>
      </c>
      <c r="D1188">
        <v>52.87</v>
      </c>
      <c r="E1188">
        <v>191</v>
      </c>
      <c r="F1188">
        <v>90</v>
      </c>
      <c r="G1188">
        <v>1</v>
      </c>
      <c r="H1188">
        <v>9</v>
      </c>
      <c r="I1188">
        <v>199</v>
      </c>
      <c r="J1188">
        <v>1</v>
      </c>
      <c r="K1188">
        <v>21</v>
      </c>
      <c r="L1188">
        <v>210</v>
      </c>
      <c r="M1188">
        <v>1</v>
      </c>
      <c r="N1188">
        <v>3.2185799999999998E-46</v>
      </c>
      <c r="O1188">
        <v>460</v>
      </c>
    </row>
    <row r="1189" spans="1:15" x14ac:dyDescent="0.25">
      <c r="A1189" t="s">
        <v>1202</v>
      </c>
      <c r="B1189">
        <v>597</v>
      </c>
      <c r="C1189" s="1" t="str">
        <f>HYPERLINK("http://www.rosaceae.org/gb/gbrowse/malus_x_domestica/?name=MDP0000271304","MDP0000271304")</f>
        <v>MDP0000271304</v>
      </c>
      <c r="D1189">
        <v>68.75</v>
      </c>
      <c r="E1189">
        <v>336</v>
      </c>
      <c r="F1189">
        <v>105</v>
      </c>
      <c r="G1189">
        <v>20</v>
      </c>
      <c r="H1189">
        <v>265</v>
      </c>
      <c r="I1189">
        <v>580</v>
      </c>
      <c r="J1189">
        <v>1</v>
      </c>
      <c r="K1189">
        <v>2</v>
      </c>
      <c r="L1189">
        <v>337</v>
      </c>
      <c r="M1189">
        <v>1</v>
      </c>
      <c r="N1189">
        <v>3.2213900000000002E-126</v>
      </c>
      <c r="O1189">
        <v>1156</v>
      </c>
    </row>
    <row r="1190" spans="1:15" x14ac:dyDescent="0.25">
      <c r="A1190" t="s">
        <v>1203</v>
      </c>
      <c r="B1190">
        <v>1490</v>
      </c>
      <c r="C1190" s="1" t="str">
        <f>HYPERLINK("http://www.rosaceae.org/gb/gbrowse/malus_x_domestica/?name=MDP0000223480","MDP0000223480")</f>
        <v>MDP0000223480</v>
      </c>
      <c r="D1190">
        <v>63.51</v>
      </c>
      <c r="E1190">
        <v>751</v>
      </c>
      <c r="F1190">
        <v>274</v>
      </c>
      <c r="G1190">
        <v>80</v>
      </c>
      <c r="H1190">
        <v>10</v>
      </c>
      <c r="I1190">
        <v>720</v>
      </c>
      <c r="J1190">
        <v>1</v>
      </c>
      <c r="K1190">
        <v>7</v>
      </c>
      <c r="L1190">
        <v>717</v>
      </c>
      <c r="M1190">
        <v>1</v>
      </c>
      <c r="N1190">
        <v>0</v>
      </c>
      <c r="O1190">
        <v>2463</v>
      </c>
    </row>
    <row r="1191" spans="1:15" x14ac:dyDescent="0.25">
      <c r="A1191" t="s">
        <v>1204</v>
      </c>
      <c r="B1191">
        <v>104</v>
      </c>
      <c r="C1191" s="1" t="str">
        <f>HYPERLINK("http://www.rosaceae.org/gb/gbrowse/malus_x_domestica/?name=MDP0000691215","MDP0000691215")</f>
        <v>MDP0000691215</v>
      </c>
      <c r="D1191">
        <v>45.04</v>
      </c>
      <c r="E1191">
        <v>111</v>
      </c>
      <c r="F1191">
        <v>61</v>
      </c>
      <c r="G1191">
        <v>39</v>
      </c>
      <c r="H1191">
        <v>12</v>
      </c>
      <c r="I1191">
        <v>83</v>
      </c>
      <c r="J1191">
        <v>1</v>
      </c>
      <c r="K1191">
        <v>79</v>
      </c>
      <c r="L1191">
        <v>189</v>
      </c>
      <c r="M1191">
        <v>1</v>
      </c>
      <c r="N1191">
        <v>8.1849500000000005E-18</v>
      </c>
      <c r="O1191">
        <v>211</v>
      </c>
    </row>
    <row r="1192" spans="1:15" x14ac:dyDescent="0.25">
      <c r="A1192" t="s">
        <v>1205</v>
      </c>
      <c r="B1192">
        <v>144</v>
      </c>
      <c r="C1192" s="1" t="str">
        <f>HYPERLINK("http://www.rosaceae.org/gb/gbrowse/malus_x_domestica/?name=MDP0000291677","MDP0000291677")</f>
        <v>MDP0000291677</v>
      </c>
      <c r="D1192">
        <v>38.99</v>
      </c>
      <c r="E1192">
        <v>159</v>
      </c>
      <c r="F1192">
        <v>97</v>
      </c>
      <c r="G1192">
        <v>27</v>
      </c>
      <c r="H1192">
        <v>2</v>
      </c>
      <c r="I1192">
        <v>135</v>
      </c>
      <c r="J1192">
        <v>1</v>
      </c>
      <c r="K1192">
        <v>1042</v>
      </c>
      <c r="L1192">
        <v>1198</v>
      </c>
      <c r="M1192">
        <v>1</v>
      </c>
      <c r="N1192">
        <v>2.08926E-19</v>
      </c>
      <c r="O1192">
        <v>226</v>
      </c>
    </row>
    <row r="1193" spans="1:15" x14ac:dyDescent="0.25">
      <c r="A1193" t="s">
        <v>1206</v>
      </c>
      <c r="B1193">
        <v>229</v>
      </c>
      <c r="C1193" s="1" t="str">
        <f>HYPERLINK("http://www.rosaceae.org/gb/gbrowse/malus_x_domestica/?name=MDP0000125256","MDP0000125256")</f>
        <v>MDP0000125256</v>
      </c>
      <c r="D1193">
        <v>66.47</v>
      </c>
      <c r="E1193">
        <v>176</v>
      </c>
      <c r="F1193">
        <v>59</v>
      </c>
      <c r="G1193">
        <v>1</v>
      </c>
      <c r="H1193">
        <v>54</v>
      </c>
      <c r="I1193">
        <v>229</v>
      </c>
      <c r="J1193">
        <v>1</v>
      </c>
      <c r="K1193">
        <v>17</v>
      </c>
      <c r="L1193">
        <v>191</v>
      </c>
      <c r="M1193">
        <v>1</v>
      </c>
      <c r="N1193">
        <v>7.91143E-65</v>
      </c>
      <c r="O1193">
        <v>621</v>
      </c>
    </row>
    <row r="1194" spans="1:15" x14ac:dyDescent="0.25">
      <c r="A1194" t="s">
        <v>1207</v>
      </c>
      <c r="B1194">
        <v>126</v>
      </c>
      <c r="C1194" s="1" t="str">
        <f>HYPERLINK("http://www.rosaceae.org/gb/gbrowse/malus_x_domestica/?name=MDP0000811394","MDP0000811394")</f>
        <v>MDP0000811394</v>
      </c>
      <c r="D1194">
        <v>67.540000000000006</v>
      </c>
      <c r="E1194">
        <v>114</v>
      </c>
      <c r="F1194">
        <v>37</v>
      </c>
      <c r="G1194">
        <v>1</v>
      </c>
      <c r="H1194">
        <v>5</v>
      </c>
      <c r="I1194">
        <v>118</v>
      </c>
      <c r="J1194">
        <v>1</v>
      </c>
      <c r="K1194">
        <v>216</v>
      </c>
      <c r="L1194">
        <v>328</v>
      </c>
      <c r="M1194">
        <v>1</v>
      </c>
      <c r="N1194">
        <v>8.9953800000000004E-41</v>
      </c>
      <c r="O1194">
        <v>409</v>
      </c>
    </row>
    <row r="1195" spans="1:15" x14ac:dyDescent="0.25">
      <c r="A1195" t="s">
        <v>1208</v>
      </c>
      <c r="B1195">
        <v>408</v>
      </c>
      <c r="C1195" s="1" t="str">
        <f>HYPERLINK("http://www.rosaceae.org/gb/gbrowse/malus_x_domestica/?name=MDP0000311548","MDP0000311548")</f>
        <v>MDP0000311548</v>
      </c>
      <c r="D1195">
        <v>38.229999999999997</v>
      </c>
      <c r="E1195">
        <v>136</v>
      </c>
      <c r="F1195">
        <v>84</v>
      </c>
      <c r="G1195">
        <v>9</v>
      </c>
      <c r="H1195">
        <v>184</v>
      </c>
      <c r="I1195">
        <v>317</v>
      </c>
      <c r="J1195">
        <v>1</v>
      </c>
      <c r="K1195">
        <v>2</v>
      </c>
      <c r="L1195">
        <v>130</v>
      </c>
      <c r="M1195">
        <v>1</v>
      </c>
      <c r="N1195">
        <v>6.92155E-16</v>
      </c>
      <c r="O1195">
        <v>203</v>
      </c>
    </row>
    <row r="1196" spans="1:15" x14ac:dyDescent="0.25">
      <c r="A1196" t="s">
        <v>1209</v>
      </c>
      <c r="B1196">
        <v>382</v>
      </c>
      <c r="C1196" s="1" t="str">
        <f>HYPERLINK("http://www.rosaceae.org/gb/gbrowse/malus_x_domestica/?name=MDP0000610238","MDP0000610238")</f>
        <v>MDP0000610238</v>
      </c>
      <c r="D1196">
        <v>36.75</v>
      </c>
      <c r="E1196">
        <v>400</v>
      </c>
      <c r="F1196">
        <v>253</v>
      </c>
      <c r="G1196">
        <v>50</v>
      </c>
      <c r="H1196">
        <v>14</v>
      </c>
      <c r="I1196">
        <v>381</v>
      </c>
      <c r="J1196">
        <v>1</v>
      </c>
      <c r="K1196">
        <v>14</v>
      </c>
      <c r="L1196">
        <v>395</v>
      </c>
      <c r="M1196">
        <v>1</v>
      </c>
      <c r="N1196">
        <v>5.8098299999999999E-47</v>
      </c>
      <c r="O1196">
        <v>470</v>
      </c>
    </row>
    <row r="1197" spans="1:15" x14ac:dyDescent="0.25">
      <c r="A1197" t="s">
        <v>1210</v>
      </c>
      <c r="B1197">
        <v>578</v>
      </c>
      <c r="C1197" s="1" t="str">
        <f>HYPERLINK("http://www.rosaceae.org/gb/gbrowse/malus_x_domestica/?name=MDP0000834162","MDP0000834162")</f>
        <v>MDP0000834162</v>
      </c>
      <c r="D1197">
        <v>38.049999999999997</v>
      </c>
      <c r="E1197">
        <v>113</v>
      </c>
      <c r="F1197">
        <v>70</v>
      </c>
      <c r="G1197">
        <v>5</v>
      </c>
      <c r="H1197">
        <v>67</v>
      </c>
      <c r="I1197">
        <v>177</v>
      </c>
      <c r="J1197">
        <v>1</v>
      </c>
      <c r="K1197">
        <v>1</v>
      </c>
      <c r="L1197">
        <v>110</v>
      </c>
      <c r="M1197">
        <v>1</v>
      </c>
      <c r="N1197">
        <v>2.00726E-9</v>
      </c>
      <c r="O1197">
        <v>148</v>
      </c>
    </row>
    <row r="1198" spans="1:15" x14ac:dyDescent="0.25">
      <c r="A1198" t="s">
        <v>1211</v>
      </c>
      <c r="B1198">
        <v>324</v>
      </c>
      <c r="C1198" s="1" t="str">
        <f>HYPERLINK("http://www.rosaceae.org/gb/gbrowse/malus_x_domestica/?name=MDP0000318455","MDP0000318455")</f>
        <v>MDP0000318455</v>
      </c>
      <c r="D1198">
        <v>34.75</v>
      </c>
      <c r="E1198">
        <v>141</v>
      </c>
      <c r="F1198">
        <v>92</v>
      </c>
      <c r="G1198">
        <v>9</v>
      </c>
      <c r="H1198">
        <v>16</v>
      </c>
      <c r="I1198">
        <v>149</v>
      </c>
      <c r="J1198">
        <v>1</v>
      </c>
      <c r="K1198">
        <v>118</v>
      </c>
      <c r="L1198">
        <v>256</v>
      </c>
      <c r="M1198">
        <v>1</v>
      </c>
      <c r="N1198">
        <v>5.0682699999999999E-24</v>
      </c>
      <c r="O1198">
        <v>272</v>
      </c>
    </row>
    <row r="1199" spans="1:15" x14ac:dyDescent="0.25">
      <c r="A1199" t="s">
        <v>1212</v>
      </c>
      <c r="B1199">
        <v>1381</v>
      </c>
      <c r="C1199" s="1" t="str">
        <f>HYPERLINK("http://www.rosaceae.org/gb/gbrowse/malus_x_domestica/?name=MDP0000057960","MDP0000057960")</f>
        <v>MDP0000057960</v>
      </c>
      <c r="D1199">
        <v>87.2</v>
      </c>
      <c r="E1199">
        <v>625</v>
      </c>
      <c r="F1199">
        <v>80</v>
      </c>
      <c r="G1199">
        <v>5</v>
      </c>
      <c r="H1199">
        <v>762</v>
      </c>
      <c r="I1199">
        <v>1381</v>
      </c>
      <c r="J1199">
        <v>1</v>
      </c>
      <c r="K1199">
        <v>55</v>
      </c>
      <c r="L1199">
        <v>679</v>
      </c>
      <c r="M1199">
        <v>1</v>
      </c>
      <c r="N1199">
        <v>0</v>
      </c>
      <c r="O1199">
        <v>2764</v>
      </c>
    </row>
    <row r="1200" spans="1:15" x14ac:dyDescent="0.25">
      <c r="A1200" t="s">
        <v>1213</v>
      </c>
      <c r="B1200">
        <v>461</v>
      </c>
      <c r="C1200" s="1" t="str">
        <f>HYPERLINK("http://www.rosaceae.org/gb/gbrowse/malus_x_domestica/?name=MDP0000800322","MDP0000800322")</f>
        <v>MDP0000800322</v>
      </c>
      <c r="D1200">
        <v>80.17</v>
      </c>
      <c r="E1200">
        <v>464</v>
      </c>
      <c r="F1200">
        <v>92</v>
      </c>
      <c r="G1200">
        <v>3</v>
      </c>
      <c r="H1200">
        <v>1</v>
      </c>
      <c r="I1200">
        <v>461</v>
      </c>
      <c r="J1200">
        <v>1</v>
      </c>
      <c r="K1200">
        <v>56</v>
      </c>
      <c r="L1200">
        <v>519</v>
      </c>
      <c r="M1200">
        <v>1</v>
      </c>
      <c r="N1200">
        <v>0</v>
      </c>
      <c r="O1200">
        <v>2039</v>
      </c>
    </row>
    <row r="1201" spans="1:15" x14ac:dyDescent="0.25">
      <c r="A1201" t="s">
        <v>1214</v>
      </c>
      <c r="B1201">
        <v>143</v>
      </c>
      <c r="C1201" s="1" t="str">
        <f>HYPERLINK("http://www.rosaceae.org/gb/gbrowse/malus_x_domestica/?name=MDP0000523206","MDP0000523206")</f>
        <v>MDP0000523206</v>
      </c>
      <c r="D1201">
        <v>59.3</v>
      </c>
      <c r="E1201">
        <v>86</v>
      </c>
      <c r="F1201">
        <v>35</v>
      </c>
      <c r="G1201">
        <v>0</v>
      </c>
      <c r="H1201">
        <v>55</v>
      </c>
      <c r="I1201">
        <v>140</v>
      </c>
      <c r="J1201">
        <v>1</v>
      </c>
      <c r="K1201">
        <v>1</v>
      </c>
      <c r="L1201">
        <v>86</v>
      </c>
      <c r="M1201">
        <v>1</v>
      </c>
      <c r="N1201">
        <v>8.7428800000000005E-21</v>
      </c>
      <c r="O1201">
        <v>238</v>
      </c>
    </row>
    <row r="1202" spans="1:15" x14ac:dyDescent="0.25">
      <c r="A1202" t="s">
        <v>1215</v>
      </c>
      <c r="B1202">
        <v>130</v>
      </c>
      <c r="C1202" s="1" t="str">
        <f>HYPERLINK("http://www.rosaceae.org/gb/gbrowse/malus_x_domestica/?name=MDP0000653934","MDP0000653934")</f>
        <v>MDP0000653934</v>
      </c>
      <c r="D1202">
        <v>71.42</v>
      </c>
      <c r="E1202">
        <v>49</v>
      </c>
      <c r="F1202">
        <v>14</v>
      </c>
      <c r="G1202">
        <v>0</v>
      </c>
      <c r="H1202">
        <v>79</v>
      </c>
      <c r="I1202">
        <v>127</v>
      </c>
      <c r="J1202">
        <v>1</v>
      </c>
      <c r="K1202">
        <v>45</v>
      </c>
      <c r="L1202">
        <v>93</v>
      </c>
      <c r="M1202">
        <v>1</v>
      </c>
      <c r="N1202">
        <v>5.8681400000000006E-17</v>
      </c>
      <c r="O1202">
        <v>204</v>
      </c>
    </row>
    <row r="1203" spans="1:15" x14ac:dyDescent="0.25">
      <c r="A1203" t="s">
        <v>1216</v>
      </c>
      <c r="B1203">
        <v>318</v>
      </c>
      <c r="C1203" s="1" t="str">
        <f>HYPERLINK("http://www.rosaceae.org/gb/gbrowse/malus_x_domestica/?name=MDP0000185481","MDP0000185481")</f>
        <v>MDP0000185481</v>
      </c>
      <c r="D1203">
        <v>77.27</v>
      </c>
      <c r="E1203">
        <v>110</v>
      </c>
      <c r="F1203">
        <v>25</v>
      </c>
      <c r="G1203">
        <v>0</v>
      </c>
      <c r="H1203">
        <v>168</v>
      </c>
      <c r="I1203">
        <v>277</v>
      </c>
      <c r="J1203">
        <v>1</v>
      </c>
      <c r="K1203">
        <v>792</v>
      </c>
      <c r="L1203">
        <v>901</v>
      </c>
      <c r="M1203">
        <v>1</v>
      </c>
      <c r="N1203">
        <v>2.87283E-45</v>
      </c>
      <c r="O1203">
        <v>455</v>
      </c>
    </row>
    <row r="1204" spans="1:15" x14ac:dyDescent="0.25">
      <c r="A1204" t="s">
        <v>1217</v>
      </c>
      <c r="B1204">
        <v>101</v>
      </c>
      <c r="C1204" s="1" t="str">
        <f>HYPERLINK("http://www.rosaceae.org/gb/gbrowse/malus_x_domestica/?name=MDP0000306392","MDP0000306392")</f>
        <v>MDP0000306392</v>
      </c>
      <c r="D1204">
        <v>81.42</v>
      </c>
      <c r="E1204">
        <v>70</v>
      </c>
      <c r="F1204">
        <v>13</v>
      </c>
      <c r="G1204">
        <v>1</v>
      </c>
      <c r="H1204">
        <v>31</v>
      </c>
      <c r="I1204">
        <v>100</v>
      </c>
      <c r="J1204">
        <v>1</v>
      </c>
      <c r="K1204">
        <v>22</v>
      </c>
      <c r="L1204">
        <v>90</v>
      </c>
      <c r="M1204">
        <v>1</v>
      </c>
      <c r="N1204">
        <v>7.2128700000000002E-28</v>
      </c>
      <c r="O1204">
        <v>298</v>
      </c>
    </row>
    <row r="1205" spans="1:15" x14ac:dyDescent="0.25">
      <c r="A1205" t="s">
        <v>1218</v>
      </c>
      <c r="B1205">
        <v>155</v>
      </c>
      <c r="C1205" s="1" t="str">
        <f>HYPERLINK("http://www.rosaceae.org/gb/gbrowse/malus_x_domestica/?name=MDP0000651353","MDP0000651353")</f>
        <v>MDP0000651353</v>
      </c>
      <c r="D1205">
        <v>75.86</v>
      </c>
      <c r="E1205">
        <v>116</v>
      </c>
      <c r="F1205">
        <v>28</v>
      </c>
      <c r="G1205">
        <v>3</v>
      </c>
      <c r="H1205">
        <v>36</v>
      </c>
      <c r="I1205">
        <v>148</v>
      </c>
      <c r="J1205">
        <v>1</v>
      </c>
      <c r="K1205">
        <v>37</v>
      </c>
      <c r="L1205">
        <v>152</v>
      </c>
      <c r="M1205">
        <v>1</v>
      </c>
      <c r="N1205">
        <v>4.0245599999999997E-49</v>
      </c>
      <c r="O1205">
        <v>483</v>
      </c>
    </row>
    <row r="1206" spans="1:15" x14ac:dyDescent="0.25">
      <c r="A1206" t="s">
        <v>1219</v>
      </c>
      <c r="B1206">
        <v>352</v>
      </c>
      <c r="C1206" s="1" t="str">
        <f>HYPERLINK("http://www.rosaceae.org/gb/gbrowse/malus_x_domestica/?name=MDP0000289123","MDP0000289123")</f>
        <v>MDP0000289123</v>
      </c>
      <c r="D1206">
        <v>30.95</v>
      </c>
      <c r="E1206">
        <v>407</v>
      </c>
      <c r="F1206">
        <v>281</v>
      </c>
      <c r="G1206">
        <v>100</v>
      </c>
      <c r="H1206">
        <v>7</v>
      </c>
      <c r="I1206">
        <v>320</v>
      </c>
      <c r="J1206">
        <v>1</v>
      </c>
      <c r="K1206">
        <v>15</v>
      </c>
      <c r="L1206">
        <v>414</v>
      </c>
      <c r="M1206">
        <v>1</v>
      </c>
      <c r="N1206">
        <v>1.7446199999999999E-29</v>
      </c>
      <c r="O1206">
        <v>319</v>
      </c>
    </row>
    <row r="1207" spans="1:15" x14ac:dyDescent="0.25">
      <c r="A1207" t="s">
        <v>1220</v>
      </c>
      <c r="B1207">
        <v>959</v>
      </c>
      <c r="C1207" s="1" t="str">
        <f>HYPERLINK("http://www.rosaceae.org/gb/gbrowse/malus_x_domestica/?name=MDP0000145828","MDP0000145828")</f>
        <v>MDP0000145828</v>
      </c>
      <c r="D1207">
        <v>77.77</v>
      </c>
      <c r="E1207">
        <v>999</v>
      </c>
      <c r="F1207">
        <v>222</v>
      </c>
      <c r="G1207">
        <v>63</v>
      </c>
      <c r="H1207">
        <v>22</v>
      </c>
      <c r="I1207">
        <v>958</v>
      </c>
      <c r="J1207">
        <v>1</v>
      </c>
      <c r="K1207">
        <v>16</v>
      </c>
      <c r="L1207">
        <v>1013</v>
      </c>
      <c r="M1207">
        <v>1</v>
      </c>
      <c r="N1207">
        <v>0</v>
      </c>
      <c r="O1207">
        <v>4128</v>
      </c>
    </row>
    <row r="1208" spans="1:15" x14ac:dyDescent="0.25">
      <c r="A1208" t="s">
        <v>1221</v>
      </c>
      <c r="B1208">
        <v>445</v>
      </c>
      <c r="C1208" s="1" t="str">
        <f>HYPERLINK("http://www.rosaceae.org/gb/gbrowse/malus_x_domestica/?name=MDP0000267674","MDP0000267674")</f>
        <v>MDP0000267674</v>
      </c>
      <c r="D1208">
        <v>67.16</v>
      </c>
      <c r="E1208">
        <v>67</v>
      </c>
      <c r="F1208">
        <v>22</v>
      </c>
      <c r="G1208">
        <v>1</v>
      </c>
      <c r="H1208">
        <v>376</v>
      </c>
      <c r="I1208">
        <v>442</v>
      </c>
      <c r="J1208">
        <v>1</v>
      </c>
      <c r="K1208">
        <v>1050</v>
      </c>
      <c r="L1208">
        <v>1115</v>
      </c>
      <c r="M1208">
        <v>1</v>
      </c>
      <c r="N1208">
        <v>2.2242300000000001E-19</v>
      </c>
      <c r="O1208">
        <v>233</v>
      </c>
    </row>
    <row r="1209" spans="1:15" x14ac:dyDescent="0.25">
      <c r="A1209" t="s">
        <v>1222</v>
      </c>
      <c r="B1209">
        <v>255</v>
      </c>
      <c r="C1209" s="1" t="str">
        <f>HYPERLINK("http://www.rosaceae.org/gb/gbrowse/malus_x_domestica/?name=MDP0000120164","MDP0000120164")</f>
        <v>MDP0000120164</v>
      </c>
      <c r="D1209">
        <v>90.27</v>
      </c>
      <c r="E1209">
        <v>144</v>
      </c>
      <c r="F1209">
        <v>14</v>
      </c>
      <c r="G1209">
        <v>0</v>
      </c>
      <c r="H1209">
        <v>112</v>
      </c>
      <c r="I1209">
        <v>255</v>
      </c>
      <c r="J1209">
        <v>1</v>
      </c>
      <c r="K1209">
        <v>93</v>
      </c>
      <c r="L1209">
        <v>236</v>
      </c>
      <c r="M1209">
        <v>1</v>
      </c>
      <c r="N1209">
        <v>1.9887700000000001E-73</v>
      </c>
      <c r="O1209">
        <v>696</v>
      </c>
    </row>
    <row r="1210" spans="1:15" x14ac:dyDescent="0.25">
      <c r="A1210" t="s">
        <v>1223</v>
      </c>
      <c r="B1210">
        <v>337</v>
      </c>
      <c r="C1210" s="1" t="str">
        <f>HYPERLINK("http://www.rosaceae.org/gb/gbrowse/malus_x_domestica/?name=MDP0000310976","MDP0000310976")</f>
        <v>MDP0000310976</v>
      </c>
      <c r="D1210">
        <v>63.95</v>
      </c>
      <c r="E1210">
        <v>394</v>
      </c>
      <c r="F1210">
        <v>142</v>
      </c>
      <c r="G1210">
        <v>57</v>
      </c>
      <c r="H1210">
        <v>1</v>
      </c>
      <c r="I1210">
        <v>337</v>
      </c>
      <c r="J1210">
        <v>1</v>
      </c>
      <c r="K1210">
        <v>1</v>
      </c>
      <c r="L1210">
        <v>394</v>
      </c>
      <c r="M1210">
        <v>1</v>
      </c>
      <c r="N1210">
        <v>3.6654599999999998E-131</v>
      </c>
      <c r="O1210">
        <v>1196</v>
      </c>
    </row>
    <row r="1211" spans="1:15" x14ac:dyDescent="0.25">
      <c r="A1211" t="s">
        <v>1224</v>
      </c>
      <c r="B1211">
        <v>448</v>
      </c>
      <c r="C1211" s="1" t="str">
        <f>HYPERLINK("http://www.rosaceae.org/gb/gbrowse/malus_x_domestica/?name=MDP0000191389","MDP0000191389")</f>
        <v>MDP0000191389</v>
      </c>
      <c r="D1211">
        <v>61.09</v>
      </c>
      <c r="E1211">
        <v>532</v>
      </c>
      <c r="F1211">
        <v>207</v>
      </c>
      <c r="G1211">
        <v>87</v>
      </c>
      <c r="H1211">
        <v>2</v>
      </c>
      <c r="I1211">
        <v>448</v>
      </c>
      <c r="J1211">
        <v>1</v>
      </c>
      <c r="K1211">
        <v>1</v>
      </c>
      <c r="L1211">
        <v>530</v>
      </c>
      <c r="M1211">
        <v>1</v>
      </c>
      <c r="N1211">
        <v>1.10023E-175</v>
      </c>
      <c r="O1211">
        <v>1581</v>
      </c>
    </row>
    <row r="1212" spans="1:15" x14ac:dyDescent="0.25">
      <c r="A1212" t="s">
        <v>1225</v>
      </c>
      <c r="B1212">
        <v>567</v>
      </c>
      <c r="C1212" s="1" t="str">
        <f>HYPERLINK("http://www.rosaceae.org/gb/gbrowse/malus_x_domestica/?name=MDP0000193371","MDP0000193371")</f>
        <v>MDP0000193371</v>
      </c>
      <c r="D1212">
        <v>66.41</v>
      </c>
      <c r="E1212">
        <v>530</v>
      </c>
      <c r="F1212">
        <v>178</v>
      </c>
      <c r="G1212">
        <v>5</v>
      </c>
      <c r="H1212">
        <v>41</v>
      </c>
      <c r="I1212">
        <v>565</v>
      </c>
      <c r="J1212">
        <v>1</v>
      </c>
      <c r="K1212">
        <v>41</v>
      </c>
      <c r="L1212">
        <v>570</v>
      </c>
      <c r="M1212">
        <v>1</v>
      </c>
      <c r="N1212">
        <v>0</v>
      </c>
      <c r="O1212">
        <v>1961</v>
      </c>
    </row>
    <row r="1213" spans="1:15" x14ac:dyDescent="0.25">
      <c r="A1213" t="s">
        <v>1226</v>
      </c>
      <c r="B1213">
        <v>797</v>
      </c>
      <c r="C1213" s="1" t="str">
        <f>HYPERLINK("http://www.rosaceae.org/gb/gbrowse/malus_x_domestica/?name=MDP0000298218","MDP0000298218")</f>
        <v>MDP0000298218</v>
      </c>
      <c r="D1213">
        <v>29.43</v>
      </c>
      <c r="E1213">
        <v>316</v>
      </c>
      <c r="F1213">
        <v>223</v>
      </c>
      <c r="G1213">
        <v>40</v>
      </c>
      <c r="H1213">
        <v>120</v>
      </c>
      <c r="I1213">
        <v>432</v>
      </c>
      <c r="J1213">
        <v>1</v>
      </c>
      <c r="K1213">
        <v>14</v>
      </c>
      <c r="L1213">
        <v>292</v>
      </c>
      <c r="M1213">
        <v>1</v>
      </c>
      <c r="N1213">
        <v>1.2513799999999999E-28</v>
      </c>
      <c r="O1213">
        <v>315</v>
      </c>
    </row>
    <row r="1214" spans="1:15" x14ac:dyDescent="0.25">
      <c r="A1214" t="s">
        <v>1227</v>
      </c>
      <c r="B1214">
        <v>512</v>
      </c>
      <c r="C1214" s="1" t="str">
        <f>HYPERLINK("http://www.rosaceae.org/gb/gbrowse/malus_x_domestica/?name=MDP0000226181","MDP0000226181")</f>
        <v>MDP0000226181</v>
      </c>
      <c r="D1214">
        <v>88.86</v>
      </c>
      <c r="E1214">
        <v>512</v>
      </c>
      <c r="F1214">
        <v>57</v>
      </c>
      <c r="G1214">
        <v>1</v>
      </c>
      <c r="H1214">
        <v>1</v>
      </c>
      <c r="I1214">
        <v>512</v>
      </c>
      <c r="J1214">
        <v>1</v>
      </c>
      <c r="K1214">
        <v>4</v>
      </c>
      <c r="L1214">
        <v>514</v>
      </c>
      <c r="M1214">
        <v>1</v>
      </c>
      <c r="N1214">
        <v>0</v>
      </c>
      <c r="O1214">
        <v>2465</v>
      </c>
    </row>
    <row r="1215" spans="1:15" x14ac:dyDescent="0.25">
      <c r="A1215" t="s">
        <v>1228</v>
      </c>
      <c r="B1215">
        <v>1598</v>
      </c>
      <c r="C1215" s="1" t="str">
        <f>HYPERLINK("http://www.rosaceae.org/gb/gbrowse/malus_x_domestica/?name=MDP0000317977","MDP0000317977")</f>
        <v>MDP0000317977</v>
      </c>
      <c r="D1215">
        <v>81.56</v>
      </c>
      <c r="E1215">
        <v>537</v>
      </c>
      <c r="F1215">
        <v>99</v>
      </c>
      <c r="G1215">
        <v>17</v>
      </c>
      <c r="H1215">
        <v>404</v>
      </c>
      <c r="I1215">
        <v>926</v>
      </c>
      <c r="J1215">
        <v>1</v>
      </c>
      <c r="K1215">
        <v>69</v>
      </c>
      <c r="L1215">
        <v>602</v>
      </c>
      <c r="M1215">
        <v>1</v>
      </c>
      <c r="N1215">
        <v>0</v>
      </c>
      <c r="O1215">
        <v>2261</v>
      </c>
    </row>
    <row r="1216" spans="1:15" x14ac:dyDescent="0.25">
      <c r="A1216" t="s">
        <v>1229</v>
      </c>
      <c r="B1216">
        <v>1042</v>
      </c>
      <c r="C1216" s="1" t="str">
        <f>HYPERLINK("http://www.rosaceae.org/gb/gbrowse/malus_x_domestica/?name=MDP0000203505","MDP0000203505")</f>
        <v>MDP0000203505</v>
      </c>
      <c r="D1216">
        <v>57.76</v>
      </c>
      <c r="E1216">
        <v>1056</v>
      </c>
      <c r="F1216">
        <v>446</v>
      </c>
      <c r="G1216">
        <v>70</v>
      </c>
      <c r="H1216">
        <v>1</v>
      </c>
      <c r="I1216">
        <v>1035</v>
      </c>
      <c r="J1216">
        <v>1</v>
      </c>
      <c r="K1216">
        <v>1</v>
      </c>
      <c r="L1216">
        <v>1007</v>
      </c>
      <c r="M1216">
        <v>1</v>
      </c>
      <c r="N1216">
        <v>0</v>
      </c>
      <c r="O1216">
        <v>2715</v>
      </c>
    </row>
    <row r="1217" spans="1:15" x14ac:dyDescent="0.25">
      <c r="A1217" t="s">
        <v>1230</v>
      </c>
      <c r="B1217">
        <v>453</v>
      </c>
      <c r="C1217" s="1" t="str">
        <f>HYPERLINK("http://www.rosaceae.org/gb/gbrowse/malus_x_domestica/?name=MDP0000627355","MDP0000627355")</f>
        <v>MDP0000627355</v>
      </c>
      <c r="D1217">
        <v>78.069999999999993</v>
      </c>
      <c r="E1217">
        <v>342</v>
      </c>
      <c r="F1217">
        <v>75</v>
      </c>
      <c r="G1217">
        <v>0</v>
      </c>
      <c r="H1217">
        <v>74</v>
      </c>
      <c r="I1217">
        <v>415</v>
      </c>
      <c r="J1217">
        <v>1</v>
      </c>
      <c r="K1217">
        <v>107</v>
      </c>
      <c r="L1217">
        <v>448</v>
      </c>
      <c r="M1217">
        <v>1</v>
      </c>
      <c r="N1217">
        <v>1.9285500000000001E-160</v>
      </c>
      <c r="O1217">
        <v>1450</v>
      </c>
    </row>
    <row r="1218" spans="1:15" x14ac:dyDescent="0.25">
      <c r="A1218" t="s">
        <v>1231</v>
      </c>
      <c r="B1218">
        <v>332</v>
      </c>
      <c r="C1218" s="1" t="str">
        <f>HYPERLINK("http://www.rosaceae.org/gb/gbrowse/malus_x_domestica/?name=MDP0000137142","MDP0000137142")</f>
        <v>MDP0000137142</v>
      </c>
      <c r="D1218">
        <v>55.26</v>
      </c>
      <c r="E1218">
        <v>76</v>
      </c>
      <c r="F1218">
        <v>34</v>
      </c>
      <c r="G1218">
        <v>9</v>
      </c>
      <c r="H1218">
        <v>27</v>
      </c>
      <c r="I1218">
        <v>96</v>
      </c>
      <c r="J1218">
        <v>1</v>
      </c>
      <c r="K1218">
        <v>155</v>
      </c>
      <c r="L1218">
        <v>227</v>
      </c>
      <c r="M1218">
        <v>1</v>
      </c>
      <c r="N1218">
        <v>3.1684000000000001E-12</v>
      </c>
      <c r="O1218">
        <v>170</v>
      </c>
    </row>
    <row r="1219" spans="1:15" x14ac:dyDescent="0.25">
      <c r="A1219" t="s">
        <v>1232</v>
      </c>
      <c r="B1219">
        <v>320</v>
      </c>
      <c r="C1219" s="1" t="str">
        <f>HYPERLINK("http://www.rosaceae.org/gb/gbrowse/malus_x_domestica/?name=MDP0000919119","MDP0000919119")</f>
        <v>MDP0000919119</v>
      </c>
      <c r="D1219">
        <v>50.25</v>
      </c>
      <c r="E1219">
        <v>197</v>
      </c>
      <c r="F1219">
        <v>98</v>
      </c>
      <c r="G1219">
        <v>25</v>
      </c>
      <c r="H1219">
        <v>131</v>
      </c>
      <c r="I1219">
        <v>320</v>
      </c>
      <c r="J1219">
        <v>1</v>
      </c>
      <c r="K1219">
        <v>121</v>
      </c>
      <c r="L1219">
        <v>299</v>
      </c>
      <c r="M1219">
        <v>1</v>
      </c>
      <c r="N1219">
        <v>8.2231300000000003E-47</v>
      </c>
      <c r="O1219">
        <v>468</v>
      </c>
    </row>
    <row r="1220" spans="1:15" x14ac:dyDescent="0.25">
      <c r="A1220" t="s">
        <v>1233</v>
      </c>
      <c r="B1220">
        <v>766</v>
      </c>
      <c r="C1220" s="1" t="str">
        <f>HYPERLINK("http://www.rosaceae.org/gb/gbrowse/malus_x_domestica/?name=MDP0000122003","MDP0000122003")</f>
        <v>MDP0000122003</v>
      </c>
      <c r="D1220">
        <v>63.83</v>
      </c>
      <c r="E1220">
        <v>694</v>
      </c>
      <c r="F1220">
        <v>251</v>
      </c>
      <c r="G1220">
        <v>21</v>
      </c>
      <c r="H1220">
        <v>1</v>
      </c>
      <c r="I1220">
        <v>679</v>
      </c>
      <c r="J1220">
        <v>1</v>
      </c>
      <c r="K1220">
        <v>1</v>
      </c>
      <c r="L1220">
        <v>688</v>
      </c>
      <c r="M1220">
        <v>1</v>
      </c>
      <c r="N1220">
        <v>0</v>
      </c>
      <c r="O1220">
        <v>2329</v>
      </c>
    </row>
    <row r="1221" spans="1:15" x14ac:dyDescent="0.25">
      <c r="A1221" t="s">
        <v>1234</v>
      </c>
      <c r="B1221">
        <v>185</v>
      </c>
      <c r="C1221" s="1" t="str">
        <f>HYPERLINK("http://www.rosaceae.org/gb/gbrowse/malus_x_domestica/?name=MDP0000223149","MDP0000223149")</f>
        <v>MDP0000223149</v>
      </c>
      <c r="D1221">
        <v>30.3</v>
      </c>
      <c r="E1221">
        <v>165</v>
      </c>
      <c r="F1221">
        <v>115</v>
      </c>
      <c r="G1221">
        <v>7</v>
      </c>
      <c r="H1221">
        <v>6</v>
      </c>
      <c r="I1221">
        <v>169</v>
      </c>
      <c r="J1221">
        <v>1</v>
      </c>
      <c r="K1221">
        <v>329</v>
      </c>
      <c r="L1221">
        <v>487</v>
      </c>
      <c r="M1221">
        <v>1</v>
      </c>
      <c r="N1221">
        <v>3.4766199999999999E-8</v>
      </c>
      <c r="O1221">
        <v>132</v>
      </c>
    </row>
    <row r="1222" spans="1:15" x14ac:dyDescent="0.25">
      <c r="A1222" t="s">
        <v>1235</v>
      </c>
      <c r="B1222">
        <v>541</v>
      </c>
      <c r="C1222" s="1" t="str">
        <f>HYPERLINK("http://www.rosaceae.org/gb/gbrowse/malus_x_domestica/?name=MDP0000245145","MDP0000245145")</f>
        <v>MDP0000245145</v>
      </c>
      <c r="D1222">
        <v>70.95</v>
      </c>
      <c r="E1222">
        <v>451</v>
      </c>
      <c r="F1222">
        <v>131</v>
      </c>
      <c r="G1222">
        <v>36</v>
      </c>
      <c r="H1222">
        <v>125</v>
      </c>
      <c r="I1222">
        <v>541</v>
      </c>
      <c r="J1222">
        <v>1</v>
      </c>
      <c r="K1222">
        <v>47</v>
      </c>
      <c r="L1222">
        <v>495</v>
      </c>
      <c r="M1222">
        <v>1</v>
      </c>
      <c r="N1222">
        <v>5.2811899999999998E-180</v>
      </c>
      <c r="O1222">
        <v>1619</v>
      </c>
    </row>
    <row r="1223" spans="1:15" x14ac:dyDescent="0.25">
      <c r="A1223" t="s">
        <v>1236</v>
      </c>
      <c r="B1223">
        <v>630</v>
      </c>
      <c r="C1223" s="1" t="str">
        <f>HYPERLINK("http://www.rosaceae.org/gb/gbrowse/malus_x_domestica/?name=MDP0000154506","MDP0000154506")</f>
        <v>MDP0000154506</v>
      </c>
      <c r="D1223">
        <v>70.64</v>
      </c>
      <c r="E1223">
        <v>586</v>
      </c>
      <c r="F1223">
        <v>172</v>
      </c>
      <c r="G1223">
        <v>7</v>
      </c>
      <c r="H1223">
        <v>24</v>
      </c>
      <c r="I1223">
        <v>609</v>
      </c>
      <c r="J1223">
        <v>1</v>
      </c>
      <c r="K1223">
        <v>23</v>
      </c>
      <c r="L1223">
        <v>601</v>
      </c>
      <c r="M1223">
        <v>1</v>
      </c>
      <c r="N1223">
        <v>0</v>
      </c>
      <c r="O1223">
        <v>2183</v>
      </c>
    </row>
    <row r="1224" spans="1:15" x14ac:dyDescent="0.25">
      <c r="A1224" t="s">
        <v>1237</v>
      </c>
      <c r="B1224">
        <v>99</v>
      </c>
      <c r="C1224" s="1" t="str">
        <f>HYPERLINK("http://www.rosaceae.org/gb/gbrowse/malus_x_domestica/?name=MDP0000316314","MDP0000316314")</f>
        <v>MDP0000316314</v>
      </c>
      <c r="D1224">
        <v>57.44</v>
      </c>
      <c r="E1224">
        <v>94</v>
      </c>
      <c r="F1224">
        <v>40</v>
      </c>
      <c r="G1224">
        <v>3</v>
      </c>
      <c r="H1224">
        <v>7</v>
      </c>
      <c r="I1224">
        <v>98</v>
      </c>
      <c r="J1224">
        <v>1</v>
      </c>
      <c r="K1224">
        <v>28</v>
      </c>
      <c r="L1224">
        <v>120</v>
      </c>
      <c r="M1224">
        <v>1</v>
      </c>
      <c r="N1224">
        <v>1.4018199999999999E-22</v>
      </c>
      <c r="O1224">
        <v>252</v>
      </c>
    </row>
    <row r="1225" spans="1:15" x14ac:dyDescent="0.25">
      <c r="A1225" t="s">
        <v>1238</v>
      </c>
      <c r="B1225">
        <v>309</v>
      </c>
      <c r="C1225" s="1" t="str">
        <f>HYPERLINK("http://www.rosaceae.org/gb/gbrowse/malus_x_domestica/?name=MDP0000317143","MDP0000317143")</f>
        <v>MDP0000317143</v>
      </c>
      <c r="D1225">
        <v>43.35</v>
      </c>
      <c r="E1225">
        <v>143</v>
      </c>
      <c r="F1225">
        <v>81</v>
      </c>
      <c r="G1225">
        <v>21</v>
      </c>
      <c r="H1225">
        <v>144</v>
      </c>
      <c r="I1225">
        <v>277</v>
      </c>
      <c r="J1225">
        <v>1</v>
      </c>
      <c r="K1225">
        <v>424</v>
      </c>
      <c r="L1225">
        <v>554</v>
      </c>
      <c r="M1225">
        <v>1</v>
      </c>
      <c r="N1225">
        <v>1.8742400000000001E-18</v>
      </c>
      <c r="O1225">
        <v>223</v>
      </c>
    </row>
    <row r="1226" spans="1:15" x14ac:dyDescent="0.25">
      <c r="A1226" t="s">
        <v>1239</v>
      </c>
      <c r="B1226">
        <v>543</v>
      </c>
      <c r="C1226" s="1" t="str">
        <f>HYPERLINK("http://www.rosaceae.org/gb/gbrowse/malus_x_domestica/?name=MDP0000304933","MDP0000304933")</f>
        <v>MDP0000304933</v>
      </c>
      <c r="D1226">
        <v>43.87</v>
      </c>
      <c r="E1226">
        <v>408</v>
      </c>
      <c r="F1226">
        <v>229</v>
      </c>
      <c r="G1226">
        <v>84</v>
      </c>
      <c r="H1226">
        <v>176</v>
      </c>
      <c r="I1226">
        <v>535</v>
      </c>
      <c r="J1226">
        <v>1</v>
      </c>
      <c r="K1226">
        <v>69</v>
      </c>
      <c r="L1226">
        <v>440</v>
      </c>
      <c r="M1226">
        <v>1</v>
      </c>
      <c r="N1226">
        <v>1.34837E-70</v>
      </c>
      <c r="O1226">
        <v>676</v>
      </c>
    </row>
    <row r="1227" spans="1:15" x14ac:dyDescent="0.25">
      <c r="A1227" t="s">
        <v>1240</v>
      </c>
      <c r="B1227">
        <v>242</v>
      </c>
      <c r="C1227" s="1" t="str">
        <f>HYPERLINK("http://www.rosaceae.org/gb/gbrowse/malus_x_domestica/?name=MDP0000265831","MDP0000265831")</f>
        <v>MDP0000265831</v>
      </c>
      <c r="D1227">
        <v>54.07</v>
      </c>
      <c r="E1227">
        <v>135</v>
      </c>
      <c r="F1227">
        <v>62</v>
      </c>
      <c r="G1227">
        <v>12</v>
      </c>
      <c r="H1227">
        <v>29</v>
      </c>
      <c r="I1227">
        <v>162</v>
      </c>
      <c r="J1227">
        <v>1</v>
      </c>
      <c r="K1227">
        <v>455</v>
      </c>
      <c r="L1227">
        <v>578</v>
      </c>
      <c r="M1227">
        <v>1</v>
      </c>
      <c r="N1227">
        <v>2.2139300000000001E-32</v>
      </c>
      <c r="O1227">
        <v>342</v>
      </c>
    </row>
    <row r="1228" spans="1:15" x14ac:dyDescent="0.25">
      <c r="A1228" t="s">
        <v>1241</v>
      </c>
      <c r="B1228">
        <v>326</v>
      </c>
      <c r="C1228" s="1" t="str">
        <f>HYPERLINK("http://www.rosaceae.org/gb/gbrowse/malus_x_domestica/?name=MDP0000157183","MDP0000157183")</f>
        <v>MDP0000157183</v>
      </c>
      <c r="D1228">
        <v>48.27</v>
      </c>
      <c r="E1228">
        <v>290</v>
      </c>
      <c r="F1228">
        <v>150</v>
      </c>
      <c r="G1228">
        <v>27</v>
      </c>
      <c r="H1228">
        <v>3</v>
      </c>
      <c r="I1228">
        <v>273</v>
      </c>
      <c r="J1228">
        <v>1</v>
      </c>
      <c r="K1228">
        <v>236</v>
      </c>
      <c r="L1228">
        <v>517</v>
      </c>
      <c r="M1228">
        <v>1</v>
      </c>
      <c r="N1228">
        <v>5.4559500000000005E-60</v>
      </c>
      <c r="O1228">
        <v>582</v>
      </c>
    </row>
    <row r="1229" spans="1:15" x14ac:dyDescent="0.25">
      <c r="A1229" t="s">
        <v>1242</v>
      </c>
      <c r="B1229">
        <v>581</v>
      </c>
      <c r="C1229" s="1" t="str">
        <f>HYPERLINK("http://www.rosaceae.org/gb/gbrowse/malus_x_domestica/?name=MDP0000123918","MDP0000123918")</f>
        <v>MDP0000123918</v>
      </c>
      <c r="D1229">
        <v>74.61</v>
      </c>
      <c r="E1229">
        <v>579</v>
      </c>
      <c r="F1229">
        <v>147</v>
      </c>
      <c r="G1229">
        <v>0</v>
      </c>
      <c r="H1229">
        <v>1</v>
      </c>
      <c r="I1229">
        <v>579</v>
      </c>
      <c r="J1229">
        <v>1</v>
      </c>
      <c r="K1229">
        <v>1</v>
      </c>
      <c r="L1229">
        <v>579</v>
      </c>
      <c r="M1229">
        <v>1</v>
      </c>
      <c r="N1229">
        <v>0</v>
      </c>
      <c r="O1229">
        <v>2317</v>
      </c>
    </row>
    <row r="1230" spans="1:15" x14ac:dyDescent="0.25">
      <c r="A1230" t="s">
        <v>1243</v>
      </c>
      <c r="B1230">
        <v>275</v>
      </c>
      <c r="C1230" s="1" t="str">
        <f>HYPERLINK("http://www.rosaceae.org/gb/gbrowse/malus_x_domestica/?name=MDP0000661864","MDP0000661864")</f>
        <v>MDP0000661864</v>
      </c>
      <c r="D1230">
        <v>75.91</v>
      </c>
      <c r="E1230">
        <v>274</v>
      </c>
      <c r="F1230">
        <v>66</v>
      </c>
      <c r="G1230">
        <v>1</v>
      </c>
      <c r="H1230">
        <v>1</v>
      </c>
      <c r="I1230">
        <v>274</v>
      </c>
      <c r="J1230">
        <v>1</v>
      </c>
      <c r="K1230">
        <v>1</v>
      </c>
      <c r="L1230">
        <v>273</v>
      </c>
      <c r="M1230">
        <v>1</v>
      </c>
      <c r="N1230">
        <v>2.8009399999999999E-115</v>
      </c>
      <c r="O1230">
        <v>1058</v>
      </c>
    </row>
    <row r="1231" spans="1:15" x14ac:dyDescent="0.25">
      <c r="A1231" t="s">
        <v>1244</v>
      </c>
      <c r="B1231">
        <v>750</v>
      </c>
      <c r="C1231" s="1" t="str">
        <f>HYPERLINK("http://www.rosaceae.org/gb/gbrowse/malus_x_domestica/?name=MDP0000132294","MDP0000132294")</f>
        <v>MDP0000132294</v>
      </c>
      <c r="D1231">
        <v>73.87</v>
      </c>
      <c r="E1231">
        <v>754</v>
      </c>
      <c r="F1231">
        <v>197</v>
      </c>
      <c r="G1231">
        <v>5</v>
      </c>
      <c r="H1231">
        <v>1</v>
      </c>
      <c r="I1231">
        <v>749</v>
      </c>
      <c r="J1231">
        <v>1</v>
      </c>
      <c r="K1231">
        <v>1</v>
      </c>
      <c r="L1231">
        <v>754</v>
      </c>
      <c r="M1231">
        <v>1</v>
      </c>
      <c r="N1231">
        <v>0</v>
      </c>
      <c r="O1231">
        <v>2950</v>
      </c>
    </row>
    <row r="1232" spans="1:15" x14ac:dyDescent="0.25">
      <c r="A1232" t="s">
        <v>1245</v>
      </c>
      <c r="B1232">
        <v>284</v>
      </c>
      <c r="C1232" s="1" t="str">
        <f>HYPERLINK("http://www.rosaceae.org/gb/gbrowse/malus_x_domestica/?name=MDP0000479436","MDP0000479436")</f>
        <v>MDP0000479436</v>
      </c>
      <c r="D1232">
        <v>59.85</v>
      </c>
      <c r="E1232">
        <v>269</v>
      </c>
      <c r="F1232">
        <v>108</v>
      </c>
      <c r="G1232">
        <v>1</v>
      </c>
      <c r="H1232">
        <v>2</v>
      </c>
      <c r="I1232">
        <v>269</v>
      </c>
      <c r="J1232">
        <v>1</v>
      </c>
      <c r="K1232">
        <v>99</v>
      </c>
      <c r="L1232">
        <v>367</v>
      </c>
      <c r="M1232">
        <v>1</v>
      </c>
      <c r="N1232">
        <v>1.3454299999999999E-85</v>
      </c>
      <c r="O1232">
        <v>802</v>
      </c>
    </row>
    <row r="1233" spans="1:15" x14ac:dyDescent="0.25">
      <c r="A1233" t="s">
        <v>1246</v>
      </c>
      <c r="B1233">
        <v>342</v>
      </c>
      <c r="C1233" s="1" t="str">
        <f>HYPERLINK("http://www.rosaceae.org/gb/gbrowse/malus_x_domestica/?name=MDP0000163471","MDP0000163471")</f>
        <v>MDP0000163471</v>
      </c>
      <c r="D1233">
        <v>52.92</v>
      </c>
      <c r="E1233">
        <v>325</v>
      </c>
      <c r="F1233">
        <v>153</v>
      </c>
      <c r="G1233">
        <v>41</v>
      </c>
      <c r="H1233">
        <v>1</v>
      </c>
      <c r="I1233">
        <v>304</v>
      </c>
      <c r="J1233">
        <v>1</v>
      </c>
      <c r="K1233">
        <v>10</v>
      </c>
      <c r="L1233">
        <v>314</v>
      </c>
      <c r="M1233">
        <v>1</v>
      </c>
      <c r="N1233">
        <v>4.7682999999999998E-74</v>
      </c>
      <c r="O1233">
        <v>703</v>
      </c>
    </row>
    <row r="1234" spans="1:15" x14ac:dyDescent="0.25">
      <c r="A1234" t="s">
        <v>1247</v>
      </c>
      <c r="B1234">
        <v>551</v>
      </c>
      <c r="C1234" s="1" t="str">
        <f>HYPERLINK("http://www.rosaceae.org/gb/gbrowse/malus_x_domestica/?name=MDP0000129192","MDP0000129192")</f>
        <v>MDP0000129192</v>
      </c>
      <c r="D1234">
        <v>82.92</v>
      </c>
      <c r="E1234">
        <v>486</v>
      </c>
      <c r="F1234">
        <v>83</v>
      </c>
      <c r="G1234">
        <v>0</v>
      </c>
      <c r="H1234">
        <v>66</v>
      </c>
      <c r="I1234">
        <v>551</v>
      </c>
      <c r="J1234">
        <v>1</v>
      </c>
      <c r="K1234">
        <v>57</v>
      </c>
      <c r="L1234">
        <v>542</v>
      </c>
      <c r="M1234">
        <v>1</v>
      </c>
      <c r="N1234">
        <v>0</v>
      </c>
      <c r="O1234">
        <v>2195</v>
      </c>
    </row>
    <row r="1235" spans="1:15" x14ac:dyDescent="0.25">
      <c r="A1235" t="s">
        <v>1248</v>
      </c>
      <c r="B1235">
        <v>726</v>
      </c>
      <c r="C1235" s="1" t="str">
        <f>HYPERLINK("http://www.rosaceae.org/gb/gbrowse/malus_x_domestica/?name=MDP0000321332","MDP0000321332")</f>
        <v>MDP0000321332</v>
      </c>
      <c r="D1235">
        <v>56.61</v>
      </c>
      <c r="E1235">
        <v>733</v>
      </c>
      <c r="F1235">
        <v>318</v>
      </c>
      <c r="G1235">
        <v>20</v>
      </c>
      <c r="H1235">
        <v>1</v>
      </c>
      <c r="I1235">
        <v>721</v>
      </c>
      <c r="J1235">
        <v>1</v>
      </c>
      <c r="K1235">
        <v>7</v>
      </c>
      <c r="L1235">
        <v>731</v>
      </c>
      <c r="M1235">
        <v>1</v>
      </c>
      <c r="N1235">
        <v>0</v>
      </c>
      <c r="O1235">
        <v>1817</v>
      </c>
    </row>
    <row r="1236" spans="1:15" x14ac:dyDescent="0.25">
      <c r="A1236" t="s">
        <v>1249</v>
      </c>
      <c r="B1236">
        <v>778</v>
      </c>
      <c r="C1236" s="1" t="str">
        <f>HYPERLINK("http://www.rosaceae.org/gb/gbrowse/malus_x_domestica/?name=MDP0000197977","MDP0000197977")</f>
        <v>MDP0000197977</v>
      </c>
      <c r="D1236">
        <v>79.150000000000006</v>
      </c>
      <c r="E1236">
        <v>782</v>
      </c>
      <c r="F1236">
        <v>163</v>
      </c>
      <c r="G1236">
        <v>24</v>
      </c>
      <c r="H1236">
        <v>20</v>
      </c>
      <c r="I1236">
        <v>778</v>
      </c>
      <c r="J1236">
        <v>1</v>
      </c>
      <c r="K1236">
        <v>11</v>
      </c>
      <c r="L1236">
        <v>791</v>
      </c>
      <c r="M1236">
        <v>1</v>
      </c>
      <c r="N1236">
        <v>0</v>
      </c>
      <c r="O1236">
        <v>3309</v>
      </c>
    </row>
    <row r="1237" spans="1:15" x14ac:dyDescent="0.25">
      <c r="A1237" t="s">
        <v>1250</v>
      </c>
      <c r="B1237">
        <v>1025</v>
      </c>
      <c r="C1237" s="1" t="str">
        <f>HYPERLINK("http://www.rosaceae.org/gb/gbrowse/malus_x_domestica/?name=MDP0000319525","MDP0000319525")</f>
        <v>MDP0000319525</v>
      </c>
      <c r="D1237">
        <v>86.69</v>
      </c>
      <c r="E1237">
        <v>526</v>
      </c>
      <c r="F1237">
        <v>70</v>
      </c>
      <c r="G1237">
        <v>0</v>
      </c>
      <c r="H1237">
        <v>500</v>
      </c>
      <c r="I1237">
        <v>1025</v>
      </c>
      <c r="J1237">
        <v>1</v>
      </c>
      <c r="K1237">
        <v>108</v>
      </c>
      <c r="L1237">
        <v>633</v>
      </c>
      <c r="M1237">
        <v>1</v>
      </c>
      <c r="N1237">
        <v>0</v>
      </c>
      <c r="O1237">
        <v>2510</v>
      </c>
    </row>
    <row r="1238" spans="1:15" x14ac:dyDescent="0.25">
      <c r="A1238" t="s">
        <v>1251</v>
      </c>
      <c r="B1238">
        <v>431</v>
      </c>
      <c r="C1238" s="1" t="str">
        <f>HYPERLINK("http://www.rosaceae.org/gb/gbrowse/malus_x_domestica/?name=MDP0000205197","MDP0000205197")</f>
        <v>MDP0000205197</v>
      </c>
      <c r="D1238">
        <v>43.17</v>
      </c>
      <c r="E1238">
        <v>410</v>
      </c>
      <c r="F1238">
        <v>233</v>
      </c>
      <c r="G1238">
        <v>43</v>
      </c>
      <c r="H1238">
        <v>45</v>
      </c>
      <c r="I1238">
        <v>413</v>
      </c>
      <c r="J1238">
        <v>1</v>
      </c>
      <c r="K1238">
        <v>22</v>
      </c>
      <c r="L1238">
        <v>429</v>
      </c>
      <c r="M1238">
        <v>1</v>
      </c>
      <c r="N1238">
        <v>2.8227600000000003E-82</v>
      </c>
      <c r="O1238">
        <v>775</v>
      </c>
    </row>
    <row r="1239" spans="1:15" x14ac:dyDescent="0.25">
      <c r="A1239" t="s">
        <v>1252</v>
      </c>
      <c r="B1239">
        <v>1181</v>
      </c>
      <c r="C1239" s="1" t="str">
        <f>HYPERLINK("http://www.rosaceae.org/gb/gbrowse/malus_x_domestica/?name=MDP0000166578","MDP0000166578")</f>
        <v>MDP0000166578</v>
      </c>
      <c r="D1239">
        <v>74.66</v>
      </c>
      <c r="E1239">
        <v>1125</v>
      </c>
      <c r="F1239">
        <v>285</v>
      </c>
      <c r="G1239">
        <v>18</v>
      </c>
      <c r="H1239">
        <v>13</v>
      </c>
      <c r="I1239">
        <v>1122</v>
      </c>
      <c r="J1239">
        <v>1</v>
      </c>
      <c r="K1239">
        <v>14</v>
      </c>
      <c r="L1239">
        <v>1135</v>
      </c>
      <c r="M1239">
        <v>1</v>
      </c>
      <c r="N1239">
        <v>0</v>
      </c>
      <c r="O1239">
        <v>4298</v>
      </c>
    </row>
    <row r="1240" spans="1:15" x14ac:dyDescent="0.25">
      <c r="A1240" t="s">
        <v>1253</v>
      </c>
      <c r="B1240">
        <v>152</v>
      </c>
      <c r="C1240" s="1" t="str">
        <f>HYPERLINK("http://www.rosaceae.org/gb/gbrowse/malus_x_domestica/?name=MDP0000297342","MDP0000297342")</f>
        <v>MDP0000297342</v>
      </c>
      <c r="D1240">
        <v>68.45</v>
      </c>
      <c r="E1240">
        <v>149</v>
      </c>
      <c r="F1240">
        <v>47</v>
      </c>
      <c r="G1240">
        <v>0</v>
      </c>
      <c r="H1240">
        <v>1</v>
      </c>
      <c r="I1240">
        <v>149</v>
      </c>
      <c r="J1240">
        <v>1</v>
      </c>
      <c r="K1240">
        <v>131</v>
      </c>
      <c r="L1240">
        <v>279</v>
      </c>
      <c r="M1240">
        <v>1</v>
      </c>
      <c r="N1240">
        <v>4.4581900000000003E-52</v>
      </c>
      <c r="O1240">
        <v>509</v>
      </c>
    </row>
    <row r="1241" spans="1:15" x14ac:dyDescent="0.25">
      <c r="A1241" t="s">
        <v>1254</v>
      </c>
      <c r="B1241">
        <v>359</v>
      </c>
      <c r="C1241" s="1" t="str">
        <f>HYPERLINK("http://www.rosaceae.org/gb/gbrowse/malus_x_domestica/?name=MDP0000312342","MDP0000312342")</f>
        <v>MDP0000312342</v>
      </c>
      <c r="D1241">
        <v>33.33</v>
      </c>
      <c r="E1241">
        <v>297</v>
      </c>
      <c r="F1241">
        <v>198</v>
      </c>
      <c r="G1241">
        <v>28</v>
      </c>
      <c r="H1241">
        <v>5</v>
      </c>
      <c r="I1241">
        <v>283</v>
      </c>
      <c r="J1241">
        <v>1</v>
      </c>
      <c r="K1241">
        <v>4</v>
      </c>
      <c r="L1241">
        <v>290</v>
      </c>
      <c r="M1241">
        <v>1</v>
      </c>
      <c r="N1241">
        <v>1.02637E-29</v>
      </c>
      <c r="O1241">
        <v>321</v>
      </c>
    </row>
    <row r="1242" spans="1:15" x14ac:dyDescent="0.25">
      <c r="A1242" t="s">
        <v>1255</v>
      </c>
      <c r="B1242">
        <v>120</v>
      </c>
      <c r="C1242" s="1" t="str">
        <f>HYPERLINK("http://www.rosaceae.org/gb/gbrowse/malus_x_domestica/?name=MDP0000242738","MDP0000242738")</f>
        <v>MDP0000242738</v>
      </c>
      <c r="D1242">
        <v>79.239999999999995</v>
      </c>
      <c r="E1242">
        <v>106</v>
      </c>
      <c r="F1242">
        <v>22</v>
      </c>
      <c r="G1242">
        <v>8</v>
      </c>
      <c r="H1242">
        <v>15</v>
      </c>
      <c r="I1242">
        <v>120</v>
      </c>
      <c r="J1242">
        <v>1</v>
      </c>
      <c r="K1242">
        <v>14</v>
      </c>
      <c r="L1242">
        <v>111</v>
      </c>
      <c r="M1242">
        <v>1</v>
      </c>
      <c r="N1242">
        <v>3.5499400000000002E-40</v>
      </c>
      <c r="O1242">
        <v>404</v>
      </c>
    </row>
    <row r="1243" spans="1:15" x14ac:dyDescent="0.25">
      <c r="A1243" t="s">
        <v>1256</v>
      </c>
      <c r="B1243">
        <v>230</v>
      </c>
      <c r="C1243" s="1" t="str">
        <f>HYPERLINK("http://www.rosaceae.org/gb/gbrowse/malus_x_domestica/?name=MDP0000138729","MDP0000138729")</f>
        <v>MDP0000138729</v>
      </c>
      <c r="D1243">
        <v>71.05</v>
      </c>
      <c r="E1243">
        <v>114</v>
      </c>
      <c r="F1243">
        <v>33</v>
      </c>
      <c r="G1243">
        <v>0</v>
      </c>
      <c r="H1243">
        <v>19</v>
      </c>
      <c r="I1243">
        <v>132</v>
      </c>
      <c r="J1243">
        <v>1</v>
      </c>
      <c r="K1243">
        <v>17</v>
      </c>
      <c r="L1243">
        <v>130</v>
      </c>
      <c r="M1243">
        <v>1</v>
      </c>
      <c r="N1243">
        <v>1.0042400000000001E-45</v>
      </c>
      <c r="O1243">
        <v>457</v>
      </c>
    </row>
    <row r="1244" spans="1:15" x14ac:dyDescent="0.25">
      <c r="A1244" t="s">
        <v>1257</v>
      </c>
      <c r="B1244">
        <v>132</v>
      </c>
      <c r="C1244" s="1" t="str">
        <f>HYPERLINK("http://www.rosaceae.org/gb/gbrowse/malus_x_domestica/?name=MDP0000663916","MDP0000663916")</f>
        <v>MDP0000663916</v>
      </c>
      <c r="D1244">
        <v>91.66</v>
      </c>
      <c r="E1244">
        <v>132</v>
      </c>
      <c r="F1244">
        <v>11</v>
      </c>
      <c r="G1244">
        <v>0</v>
      </c>
      <c r="H1244">
        <v>1</v>
      </c>
      <c r="I1244">
        <v>132</v>
      </c>
      <c r="J1244">
        <v>1</v>
      </c>
      <c r="K1244">
        <v>172</v>
      </c>
      <c r="L1244">
        <v>303</v>
      </c>
      <c r="M1244">
        <v>1</v>
      </c>
      <c r="N1244">
        <v>9.1903200000000001E-70</v>
      </c>
      <c r="O1244">
        <v>660</v>
      </c>
    </row>
    <row r="1245" spans="1:15" x14ac:dyDescent="0.25">
      <c r="A1245" t="s">
        <v>1258</v>
      </c>
      <c r="B1245">
        <v>270</v>
      </c>
      <c r="C1245" s="1" t="str">
        <f>HYPERLINK("http://www.rosaceae.org/gb/gbrowse/malus_x_domestica/?name=MDP0000268386","MDP0000268386")</f>
        <v>MDP0000268386</v>
      </c>
      <c r="D1245">
        <v>37.159999999999997</v>
      </c>
      <c r="E1245">
        <v>148</v>
      </c>
      <c r="F1245">
        <v>93</v>
      </c>
      <c r="G1245">
        <v>8</v>
      </c>
      <c r="H1245">
        <v>29</v>
      </c>
      <c r="I1245">
        <v>176</v>
      </c>
      <c r="J1245">
        <v>1</v>
      </c>
      <c r="K1245">
        <v>1</v>
      </c>
      <c r="L1245">
        <v>140</v>
      </c>
      <c r="M1245">
        <v>1</v>
      </c>
      <c r="N1245">
        <v>3.5095199999999998E-13</v>
      </c>
      <c r="O1245">
        <v>177</v>
      </c>
    </row>
    <row r="1246" spans="1:15" x14ac:dyDescent="0.25">
      <c r="A1246" t="s">
        <v>1259</v>
      </c>
      <c r="B1246">
        <v>807</v>
      </c>
      <c r="C1246" s="1" t="str">
        <f>HYPERLINK("http://www.rosaceae.org/gb/gbrowse/malus_x_domestica/?name=MDP0000229306","MDP0000229306")</f>
        <v>MDP0000229306</v>
      </c>
      <c r="D1246">
        <v>71.900000000000006</v>
      </c>
      <c r="E1246">
        <v>776</v>
      </c>
      <c r="F1246">
        <v>218</v>
      </c>
      <c r="G1246">
        <v>64</v>
      </c>
      <c r="H1246">
        <v>86</v>
      </c>
      <c r="I1246">
        <v>807</v>
      </c>
      <c r="J1246">
        <v>1</v>
      </c>
      <c r="K1246">
        <v>77</v>
      </c>
      <c r="L1246">
        <v>842</v>
      </c>
      <c r="M1246">
        <v>1</v>
      </c>
      <c r="N1246">
        <v>0</v>
      </c>
      <c r="O1246">
        <v>2757</v>
      </c>
    </row>
    <row r="1247" spans="1:15" x14ac:dyDescent="0.25">
      <c r="A1247" t="s">
        <v>1260</v>
      </c>
      <c r="B1247">
        <v>318</v>
      </c>
      <c r="C1247" s="1" t="str">
        <f>HYPERLINK("http://www.rosaceae.org/gb/gbrowse/malus_x_domestica/?name=MDP0000257557","MDP0000257557")</f>
        <v>MDP0000257557</v>
      </c>
      <c r="D1247">
        <v>76.81</v>
      </c>
      <c r="E1247">
        <v>276</v>
      </c>
      <c r="F1247">
        <v>64</v>
      </c>
      <c r="G1247">
        <v>10</v>
      </c>
      <c r="H1247">
        <v>53</v>
      </c>
      <c r="I1247">
        <v>318</v>
      </c>
      <c r="J1247">
        <v>1</v>
      </c>
      <c r="K1247">
        <v>80</v>
      </c>
      <c r="L1247">
        <v>355</v>
      </c>
      <c r="M1247">
        <v>1</v>
      </c>
      <c r="N1247">
        <v>3.7937299999999999E-122</v>
      </c>
      <c r="O1247">
        <v>1118</v>
      </c>
    </row>
    <row r="1248" spans="1:15" x14ac:dyDescent="0.25">
      <c r="A1248" t="s">
        <v>1261</v>
      </c>
      <c r="B1248">
        <v>671</v>
      </c>
      <c r="C1248" s="1" t="str">
        <f>HYPERLINK("http://www.rosaceae.org/gb/gbrowse/malus_x_domestica/?name=MDP0000910032","MDP0000910032")</f>
        <v>MDP0000910032</v>
      </c>
      <c r="D1248">
        <v>49.92</v>
      </c>
      <c r="E1248">
        <v>685</v>
      </c>
      <c r="F1248">
        <v>343</v>
      </c>
      <c r="G1248">
        <v>99</v>
      </c>
      <c r="H1248">
        <v>81</v>
      </c>
      <c r="I1248">
        <v>671</v>
      </c>
      <c r="J1248">
        <v>1</v>
      </c>
      <c r="K1248">
        <v>33</v>
      </c>
      <c r="L1248">
        <v>712</v>
      </c>
      <c r="M1248">
        <v>1</v>
      </c>
      <c r="N1248">
        <v>1.1579700000000001E-180</v>
      </c>
      <c r="O1248">
        <v>1626</v>
      </c>
    </row>
    <row r="1249" spans="1:15" x14ac:dyDescent="0.25">
      <c r="A1249" t="s">
        <v>1262</v>
      </c>
      <c r="B1249">
        <v>339</v>
      </c>
      <c r="C1249" s="1" t="str">
        <f>HYPERLINK("http://www.rosaceae.org/gb/gbrowse/malus_x_domestica/?name=MDP0000309784","MDP0000309784")</f>
        <v>MDP0000309784</v>
      </c>
      <c r="D1249">
        <v>42.51</v>
      </c>
      <c r="E1249">
        <v>127</v>
      </c>
      <c r="F1249">
        <v>73</v>
      </c>
      <c r="G1249">
        <v>5</v>
      </c>
      <c r="H1249">
        <v>213</v>
      </c>
      <c r="I1249">
        <v>336</v>
      </c>
      <c r="J1249">
        <v>1</v>
      </c>
      <c r="K1249">
        <v>366</v>
      </c>
      <c r="L1249">
        <v>490</v>
      </c>
      <c r="M1249">
        <v>1</v>
      </c>
      <c r="N1249">
        <v>5.15396E-21</v>
      </c>
      <c r="O1249">
        <v>246</v>
      </c>
    </row>
    <row r="1250" spans="1:15" x14ac:dyDescent="0.25">
      <c r="A1250" t="s">
        <v>1263</v>
      </c>
      <c r="B1250">
        <v>301</v>
      </c>
      <c r="C1250" s="1" t="str">
        <f>HYPERLINK("http://www.rosaceae.org/gb/gbrowse/malus_x_domestica/?name=MDP0000130931","MDP0000130931")</f>
        <v>MDP0000130931</v>
      </c>
      <c r="D1250">
        <v>29.13</v>
      </c>
      <c r="E1250">
        <v>278</v>
      </c>
      <c r="F1250">
        <v>197</v>
      </c>
      <c r="G1250">
        <v>25</v>
      </c>
      <c r="H1250">
        <v>33</v>
      </c>
      <c r="I1250">
        <v>293</v>
      </c>
      <c r="J1250">
        <v>1</v>
      </c>
      <c r="K1250">
        <v>125</v>
      </c>
      <c r="L1250">
        <v>394</v>
      </c>
      <c r="M1250">
        <v>1</v>
      </c>
      <c r="N1250">
        <v>4.0795800000000001E-19</v>
      </c>
      <c r="O1250">
        <v>229</v>
      </c>
    </row>
    <row r="1251" spans="1:15" x14ac:dyDescent="0.25">
      <c r="A1251" t="s">
        <v>1264</v>
      </c>
      <c r="B1251">
        <v>435</v>
      </c>
      <c r="C1251" s="1" t="str">
        <f>HYPERLINK("http://www.rosaceae.org/gb/gbrowse/malus_x_domestica/?name=MDP0000192471","MDP0000192471")</f>
        <v>MDP0000192471</v>
      </c>
      <c r="D1251">
        <v>61.66</v>
      </c>
      <c r="E1251">
        <v>493</v>
      </c>
      <c r="F1251">
        <v>189</v>
      </c>
      <c r="G1251">
        <v>59</v>
      </c>
      <c r="H1251">
        <v>1</v>
      </c>
      <c r="I1251">
        <v>434</v>
      </c>
      <c r="J1251">
        <v>1</v>
      </c>
      <c r="K1251">
        <v>1</v>
      </c>
      <c r="L1251">
        <v>493</v>
      </c>
      <c r="M1251">
        <v>1</v>
      </c>
      <c r="N1251">
        <v>1.36035E-167</v>
      </c>
      <c r="O1251">
        <v>1511</v>
      </c>
    </row>
    <row r="1252" spans="1:15" x14ac:dyDescent="0.25">
      <c r="A1252" t="s">
        <v>1265</v>
      </c>
      <c r="B1252">
        <v>162</v>
      </c>
      <c r="C1252" s="1" t="str">
        <f>HYPERLINK("http://www.rosaceae.org/gb/gbrowse/malus_x_domestica/?name=MDP0000130462","MDP0000130462")</f>
        <v>MDP0000130462</v>
      </c>
      <c r="D1252">
        <v>81.48</v>
      </c>
      <c r="E1252">
        <v>162</v>
      </c>
      <c r="F1252">
        <v>30</v>
      </c>
      <c r="G1252">
        <v>0</v>
      </c>
      <c r="H1252">
        <v>1</v>
      </c>
      <c r="I1252">
        <v>162</v>
      </c>
      <c r="J1252">
        <v>1</v>
      </c>
      <c r="K1252">
        <v>1</v>
      </c>
      <c r="L1252">
        <v>162</v>
      </c>
      <c r="M1252">
        <v>1</v>
      </c>
      <c r="N1252">
        <v>1.0191399999999999E-73</v>
      </c>
      <c r="O1252">
        <v>696</v>
      </c>
    </row>
    <row r="1253" spans="1:15" x14ac:dyDescent="0.25">
      <c r="A1253" t="s">
        <v>1266</v>
      </c>
      <c r="B1253">
        <v>384</v>
      </c>
      <c r="C1253" s="1" t="str">
        <f>HYPERLINK("http://www.rosaceae.org/gb/gbrowse/malus_x_domestica/?name=MDP0000267275","MDP0000267275")</f>
        <v>MDP0000267275</v>
      </c>
      <c r="D1253">
        <v>58.57</v>
      </c>
      <c r="E1253">
        <v>280</v>
      </c>
      <c r="F1253">
        <v>116</v>
      </c>
      <c r="G1253">
        <v>34</v>
      </c>
      <c r="H1253">
        <v>109</v>
      </c>
      <c r="I1253">
        <v>355</v>
      </c>
      <c r="J1253">
        <v>1</v>
      </c>
      <c r="K1253">
        <v>304</v>
      </c>
      <c r="L1253">
        <v>582</v>
      </c>
      <c r="M1253">
        <v>1</v>
      </c>
      <c r="N1253">
        <v>1.47052E-91</v>
      </c>
      <c r="O1253">
        <v>855</v>
      </c>
    </row>
    <row r="1254" spans="1:15" x14ac:dyDescent="0.25">
      <c r="A1254" t="s">
        <v>1267</v>
      </c>
      <c r="B1254">
        <v>117</v>
      </c>
      <c r="C1254" s="1" t="str">
        <f>HYPERLINK("http://www.rosaceae.org/gb/gbrowse/malus_x_domestica/?name=MDP0000442718","MDP0000442718")</f>
        <v>MDP0000442718</v>
      </c>
      <c r="D1254">
        <v>77.650000000000006</v>
      </c>
      <c r="E1254">
        <v>94</v>
      </c>
      <c r="F1254">
        <v>21</v>
      </c>
      <c r="G1254">
        <v>4</v>
      </c>
      <c r="H1254">
        <v>3</v>
      </c>
      <c r="I1254">
        <v>92</v>
      </c>
      <c r="J1254">
        <v>1</v>
      </c>
      <c r="K1254">
        <v>6</v>
      </c>
      <c r="L1254">
        <v>99</v>
      </c>
      <c r="M1254">
        <v>1</v>
      </c>
      <c r="N1254">
        <v>5.1386100000000003E-38</v>
      </c>
      <c r="O1254">
        <v>385</v>
      </c>
    </row>
    <row r="1255" spans="1:15" x14ac:dyDescent="0.25">
      <c r="A1255" t="s">
        <v>1268</v>
      </c>
      <c r="B1255">
        <v>239</v>
      </c>
      <c r="C1255" s="1" t="str">
        <f>HYPERLINK("http://www.rosaceae.org/gb/gbrowse/malus_x_domestica/?name=MDP0000300189","MDP0000300189")</f>
        <v>MDP0000300189</v>
      </c>
      <c r="D1255">
        <v>48.45</v>
      </c>
      <c r="E1255">
        <v>227</v>
      </c>
      <c r="F1255">
        <v>117</v>
      </c>
      <c r="G1255">
        <v>4</v>
      </c>
      <c r="H1255">
        <v>6</v>
      </c>
      <c r="I1255">
        <v>230</v>
      </c>
      <c r="J1255">
        <v>1</v>
      </c>
      <c r="K1255">
        <v>64</v>
      </c>
      <c r="L1255">
        <v>288</v>
      </c>
      <c r="M1255">
        <v>1</v>
      </c>
      <c r="N1255">
        <v>5.6430299999999998E-49</v>
      </c>
      <c r="O1255">
        <v>485</v>
      </c>
    </row>
    <row r="1256" spans="1:15" x14ac:dyDescent="0.25">
      <c r="A1256" t="s">
        <v>1269</v>
      </c>
      <c r="B1256">
        <v>259</v>
      </c>
      <c r="C1256" s="1" t="str">
        <f>HYPERLINK("http://www.rosaceae.org/gb/gbrowse/malus_x_domestica/?name=MDP0000599685","MDP0000599685")</f>
        <v>MDP0000599685</v>
      </c>
      <c r="D1256">
        <v>55.75</v>
      </c>
      <c r="E1256">
        <v>226</v>
      </c>
      <c r="F1256">
        <v>100</v>
      </c>
      <c r="G1256">
        <v>19</v>
      </c>
      <c r="H1256">
        <v>53</v>
      </c>
      <c r="I1256">
        <v>259</v>
      </c>
      <c r="J1256">
        <v>1</v>
      </c>
      <c r="K1256">
        <v>71</v>
      </c>
      <c r="L1256">
        <v>296</v>
      </c>
      <c r="M1256">
        <v>1</v>
      </c>
      <c r="N1256">
        <v>1.93417E-56</v>
      </c>
      <c r="O1256">
        <v>550</v>
      </c>
    </row>
    <row r="1257" spans="1:15" x14ac:dyDescent="0.25">
      <c r="A1257" t="s">
        <v>1270</v>
      </c>
      <c r="B1257">
        <v>288</v>
      </c>
      <c r="C1257" s="1" t="str">
        <f>HYPERLINK("http://www.rosaceae.org/gb/gbrowse/malus_x_domestica/?name=MDP0000148377","MDP0000148377")</f>
        <v>MDP0000148377</v>
      </c>
      <c r="D1257">
        <v>52.66</v>
      </c>
      <c r="E1257">
        <v>150</v>
      </c>
      <c r="F1257">
        <v>71</v>
      </c>
      <c r="G1257">
        <v>7</v>
      </c>
      <c r="H1257">
        <v>136</v>
      </c>
      <c r="I1257">
        <v>279</v>
      </c>
      <c r="J1257">
        <v>1</v>
      </c>
      <c r="K1257">
        <v>198</v>
      </c>
      <c r="L1257">
        <v>346</v>
      </c>
      <c r="M1257">
        <v>1</v>
      </c>
      <c r="N1257">
        <v>1.59293E-38</v>
      </c>
      <c r="O1257">
        <v>396</v>
      </c>
    </row>
    <row r="1258" spans="1:15" x14ac:dyDescent="0.25">
      <c r="A1258" t="s">
        <v>1271</v>
      </c>
      <c r="B1258">
        <v>618</v>
      </c>
      <c r="C1258" s="1" t="str">
        <f>HYPERLINK("http://www.rosaceae.org/gb/gbrowse/malus_x_domestica/?name=MDP0000292294","MDP0000292294")</f>
        <v>MDP0000292294</v>
      </c>
      <c r="D1258">
        <v>53.7</v>
      </c>
      <c r="E1258">
        <v>594</v>
      </c>
      <c r="F1258">
        <v>275</v>
      </c>
      <c r="G1258">
        <v>68</v>
      </c>
      <c r="H1258">
        <v>76</v>
      </c>
      <c r="I1258">
        <v>617</v>
      </c>
      <c r="J1258">
        <v>1</v>
      </c>
      <c r="K1258">
        <v>857</v>
      </c>
      <c r="L1258">
        <v>1434</v>
      </c>
      <c r="M1258">
        <v>1</v>
      </c>
      <c r="N1258">
        <v>8.7828399999999995E-179</v>
      </c>
      <c r="O1258">
        <v>1609</v>
      </c>
    </row>
    <row r="1259" spans="1:15" x14ac:dyDescent="0.25">
      <c r="A1259" t="s">
        <v>1272</v>
      </c>
      <c r="B1259">
        <v>86</v>
      </c>
      <c r="C1259" s="1" t="str">
        <f>HYPERLINK("http://www.rosaceae.org/gb/gbrowse/malus_x_domestica/?name=MDP0000509438","MDP0000509438")</f>
        <v>MDP0000509438</v>
      </c>
      <c r="D1259">
        <v>54.21</v>
      </c>
      <c r="E1259">
        <v>83</v>
      </c>
      <c r="F1259">
        <v>38</v>
      </c>
      <c r="G1259">
        <v>4</v>
      </c>
      <c r="H1259">
        <v>6</v>
      </c>
      <c r="I1259">
        <v>86</v>
      </c>
      <c r="J1259">
        <v>1</v>
      </c>
      <c r="K1259">
        <v>5</v>
      </c>
      <c r="L1259">
        <v>85</v>
      </c>
      <c r="M1259">
        <v>1</v>
      </c>
      <c r="N1259">
        <v>5.1447099999999999E-15</v>
      </c>
      <c r="O1259">
        <v>187</v>
      </c>
    </row>
    <row r="1260" spans="1:15" x14ac:dyDescent="0.25">
      <c r="A1260" t="s">
        <v>1273</v>
      </c>
      <c r="B1260">
        <v>397</v>
      </c>
      <c r="C1260" s="1" t="str">
        <f>HYPERLINK("http://www.rosaceae.org/gb/gbrowse/malus_x_domestica/?name=MDP0000195139","MDP0000195139")</f>
        <v>MDP0000195139</v>
      </c>
      <c r="D1260">
        <v>50.34</v>
      </c>
      <c r="E1260">
        <v>290</v>
      </c>
      <c r="F1260">
        <v>144</v>
      </c>
      <c r="G1260">
        <v>14</v>
      </c>
      <c r="H1260">
        <v>117</v>
      </c>
      <c r="I1260">
        <v>396</v>
      </c>
      <c r="J1260">
        <v>1</v>
      </c>
      <c r="K1260">
        <v>666</v>
      </c>
      <c r="L1260">
        <v>951</v>
      </c>
      <c r="M1260">
        <v>1</v>
      </c>
      <c r="N1260">
        <v>1.9453300000000001E-64</v>
      </c>
      <c r="O1260">
        <v>621</v>
      </c>
    </row>
    <row r="1261" spans="1:15" x14ac:dyDescent="0.25">
      <c r="A1261" t="s">
        <v>1274</v>
      </c>
      <c r="B1261">
        <v>190</v>
      </c>
      <c r="C1261" s="1" t="str">
        <f>HYPERLINK("http://www.rosaceae.org/gb/gbrowse/malus_x_domestica/?name=MDP0000229894","MDP0000229894")</f>
        <v>MDP0000229894</v>
      </c>
      <c r="D1261">
        <v>98.42</v>
      </c>
      <c r="E1261">
        <v>191</v>
      </c>
      <c r="F1261">
        <v>3</v>
      </c>
      <c r="G1261">
        <v>1</v>
      </c>
      <c r="H1261">
        <v>1</v>
      </c>
      <c r="I1261">
        <v>190</v>
      </c>
      <c r="J1261">
        <v>1</v>
      </c>
      <c r="K1261">
        <v>1</v>
      </c>
      <c r="L1261">
        <v>191</v>
      </c>
      <c r="M1261">
        <v>1</v>
      </c>
      <c r="N1261">
        <v>6.0527799999999998E-107</v>
      </c>
      <c r="O1261">
        <v>983</v>
      </c>
    </row>
    <row r="1262" spans="1:15" x14ac:dyDescent="0.25">
      <c r="A1262" t="s">
        <v>1275</v>
      </c>
      <c r="B1262">
        <v>182</v>
      </c>
      <c r="C1262" s="1" t="str">
        <f>HYPERLINK("http://www.rosaceae.org/gb/gbrowse/malus_x_domestica/?name=MDP0000292654","MDP0000292654")</f>
        <v>MDP0000292654</v>
      </c>
      <c r="D1262">
        <v>84.79</v>
      </c>
      <c r="E1262">
        <v>171</v>
      </c>
      <c r="F1262">
        <v>26</v>
      </c>
      <c r="G1262">
        <v>0</v>
      </c>
      <c r="H1262">
        <v>11</v>
      </c>
      <c r="I1262">
        <v>181</v>
      </c>
      <c r="J1262">
        <v>1</v>
      </c>
      <c r="K1262">
        <v>135</v>
      </c>
      <c r="L1262">
        <v>305</v>
      </c>
      <c r="M1262">
        <v>1</v>
      </c>
      <c r="N1262">
        <v>1.4385000000000001E-83</v>
      </c>
      <c r="O1262">
        <v>782</v>
      </c>
    </row>
    <row r="1263" spans="1:15" x14ac:dyDescent="0.25">
      <c r="A1263" t="s">
        <v>1276</v>
      </c>
      <c r="B1263">
        <v>670</v>
      </c>
      <c r="C1263" s="1" t="str">
        <f>HYPERLINK("http://www.rosaceae.org/gb/gbrowse/malus_x_domestica/?name=MDP0000288587","MDP0000288587")</f>
        <v>MDP0000288587</v>
      </c>
      <c r="D1263">
        <v>39.549999999999997</v>
      </c>
      <c r="E1263">
        <v>493</v>
      </c>
      <c r="F1263">
        <v>298</v>
      </c>
      <c r="G1263">
        <v>114</v>
      </c>
      <c r="H1263">
        <v>181</v>
      </c>
      <c r="I1263">
        <v>584</v>
      </c>
      <c r="J1263">
        <v>1</v>
      </c>
      <c r="K1263">
        <v>527</v>
      </c>
      <c r="L1263">
        <v>994</v>
      </c>
      <c r="M1263">
        <v>1</v>
      </c>
      <c r="N1263">
        <v>3.3351E-65</v>
      </c>
      <c r="O1263">
        <v>630</v>
      </c>
    </row>
    <row r="1264" spans="1:15" x14ac:dyDescent="0.25">
      <c r="A1264" t="s">
        <v>1277</v>
      </c>
      <c r="B1264">
        <v>457</v>
      </c>
      <c r="C1264" s="1" t="str">
        <f>HYPERLINK("http://www.rosaceae.org/gb/gbrowse/malus_x_domestica/?name=MDP0000150877","MDP0000150877")</f>
        <v>MDP0000150877</v>
      </c>
      <c r="D1264">
        <v>75.099999999999994</v>
      </c>
      <c r="E1264">
        <v>474</v>
      </c>
      <c r="F1264">
        <v>118</v>
      </c>
      <c r="G1264">
        <v>21</v>
      </c>
      <c r="H1264">
        <v>3</v>
      </c>
      <c r="I1264">
        <v>457</v>
      </c>
      <c r="J1264">
        <v>1</v>
      </c>
      <c r="K1264">
        <v>1</v>
      </c>
      <c r="L1264">
        <v>472</v>
      </c>
      <c r="M1264">
        <v>1</v>
      </c>
      <c r="N1264">
        <v>0</v>
      </c>
      <c r="O1264">
        <v>1745</v>
      </c>
    </row>
    <row r="1265" spans="1:15" x14ac:dyDescent="0.25">
      <c r="A1265" t="s">
        <v>1278</v>
      </c>
      <c r="B1265">
        <v>383</v>
      </c>
      <c r="C1265" s="1" t="str">
        <f>HYPERLINK("http://www.rosaceae.org/gb/gbrowse/malus_x_domestica/?name=MDP0000321191","MDP0000321191")</f>
        <v>MDP0000321191</v>
      </c>
      <c r="D1265">
        <v>55.27</v>
      </c>
      <c r="E1265">
        <v>313</v>
      </c>
      <c r="F1265">
        <v>140</v>
      </c>
      <c r="G1265">
        <v>0</v>
      </c>
      <c r="H1265">
        <v>48</v>
      </c>
      <c r="I1265">
        <v>360</v>
      </c>
      <c r="J1265">
        <v>1</v>
      </c>
      <c r="K1265">
        <v>39</v>
      </c>
      <c r="L1265">
        <v>351</v>
      </c>
      <c r="M1265">
        <v>1</v>
      </c>
      <c r="N1265">
        <v>5.7967300000000001E-96</v>
      </c>
      <c r="O1265">
        <v>893</v>
      </c>
    </row>
    <row r="1266" spans="1:15" x14ac:dyDescent="0.25">
      <c r="A1266" t="s">
        <v>1279</v>
      </c>
      <c r="B1266">
        <v>530</v>
      </c>
      <c r="C1266" s="1" t="str">
        <f>HYPERLINK("http://www.rosaceae.org/gb/gbrowse/malus_x_domestica/?name=MDP0000301533","MDP0000301533")</f>
        <v>MDP0000301533</v>
      </c>
      <c r="D1266">
        <v>89.52</v>
      </c>
      <c r="E1266">
        <v>487</v>
      </c>
      <c r="F1266">
        <v>51</v>
      </c>
      <c r="G1266">
        <v>4</v>
      </c>
      <c r="H1266">
        <v>46</v>
      </c>
      <c r="I1266">
        <v>530</v>
      </c>
      <c r="J1266">
        <v>1</v>
      </c>
      <c r="K1266">
        <v>52</v>
      </c>
      <c r="L1266">
        <v>536</v>
      </c>
      <c r="M1266">
        <v>1</v>
      </c>
      <c r="N1266">
        <v>0</v>
      </c>
      <c r="O1266">
        <v>2283</v>
      </c>
    </row>
    <row r="1267" spans="1:15" x14ac:dyDescent="0.25">
      <c r="A1267" t="s">
        <v>1280</v>
      </c>
      <c r="B1267">
        <v>102</v>
      </c>
      <c r="C1267" s="1" t="str">
        <f>HYPERLINK("http://www.rosaceae.org/gb/gbrowse/malus_x_domestica/?name=MDP0000248109","MDP0000248109")</f>
        <v>MDP0000248109</v>
      </c>
      <c r="D1267">
        <v>80.59</v>
      </c>
      <c r="E1267">
        <v>67</v>
      </c>
      <c r="F1267">
        <v>13</v>
      </c>
      <c r="G1267">
        <v>0</v>
      </c>
      <c r="H1267">
        <v>20</v>
      </c>
      <c r="I1267">
        <v>86</v>
      </c>
      <c r="J1267">
        <v>1</v>
      </c>
      <c r="K1267">
        <v>19</v>
      </c>
      <c r="L1267">
        <v>85</v>
      </c>
      <c r="M1267">
        <v>1</v>
      </c>
      <c r="N1267">
        <v>1.69738E-28</v>
      </c>
      <c r="O1267">
        <v>303</v>
      </c>
    </row>
    <row r="1268" spans="1:15" x14ac:dyDescent="0.25">
      <c r="A1268" t="s">
        <v>1281</v>
      </c>
      <c r="B1268">
        <v>307</v>
      </c>
      <c r="C1268" s="1" t="str">
        <f>HYPERLINK("http://www.rosaceae.org/gb/gbrowse/malus_x_domestica/?name=MDP0000303908","MDP0000303908")</f>
        <v>MDP0000303908</v>
      </c>
      <c r="D1268">
        <v>75.38</v>
      </c>
      <c r="E1268">
        <v>325</v>
      </c>
      <c r="F1268">
        <v>80</v>
      </c>
      <c r="G1268">
        <v>18</v>
      </c>
      <c r="H1268">
        <v>1</v>
      </c>
      <c r="I1268">
        <v>307</v>
      </c>
      <c r="J1268">
        <v>1</v>
      </c>
      <c r="K1268">
        <v>1</v>
      </c>
      <c r="L1268">
        <v>325</v>
      </c>
      <c r="M1268">
        <v>1</v>
      </c>
      <c r="N1268">
        <v>5.3493900000000004E-137</v>
      </c>
      <c r="O1268">
        <v>1246</v>
      </c>
    </row>
    <row r="1269" spans="1:15" x14ac:dyDescent="0.25">
      <c r="A1269" t="s">
        <v>1282</v>
      </c>
      <c r="B1269">
        <v>448</v>
      </c>
      <c r="C1269" s="1" t="str">
        <f>HYPERLINK("http://www.rosaceae.org/gb/gbrowse/malus_x_domestica/?name=MDP0000891962","MDP0000891962")</f>
        <v>MDP0000891962</v>
      </c>
      <c r="D1269">
        <v>68.959999999999994</v>
      </c>
      <c r="E1269">
        <v>348</v>
      </c>
      <c r="F1269">
        <v>108</v>
      </c>
      <c r="G1269">
        <v>6</v>
      </c>
      <c r="H1269">
        <v>11</v>
      </c>
      <c r="I1269">
        <v>353</v>
      </c>
      <c r="J1269">
        <v>1</v>
      </c>
      <c r="K1269">
        <v>2</v>
      </c>
      <c r="L1269">
        <v>348</v>
      </c>
      <c r="M1269">
        <v>1</v>
      </c>
      <c r="N1269">
        <v>1.02277E-139</v>
      </c>
      <c r="O1269">
        <v>1271</v>
      </c>
    </row>
    <row r="1270" spans="1:15" x14ac:dyDescent="0.25">
      <c r="A1270" t="s">
        <v>1283</v>
      </c>
      <c r="B1270">
        <v>318</v>
      </c>
      <c r="C1270" s="1" t="str">
        <f>HYPERLINK("http://www.rosaceae.org/gb/gbrowse/malus_x_domestica/?name=MDP0000020140","MDP0000020140")</f>
        <v>MDP0000020140</v>
      </c>
      <c r="D1270">
        <v>40.5</v>
      </c>
      <c r="E1270">
        <v>279</v>
      </c>
      <c r="F1270">
        <v>166</v>
      </c>
      <c r="G1270">
        <v>20</v>
      </c>
      <c r="H1270">
        <v>3</v>
      </c>
      <c r="I1270">
        <v>274</v>
      </c>
      <c r="J1270">
        <v>1</v>
      </c>
      <c r="K1270">
        <v>5</v>
      </c>
      <c r="L1270">
        <v>270</v>
      </c>
      <c r="M1270">
        <v>1</v>
      </c>
      <c r="N1270">
        <v>1.1934900000000001E-53</v>
      </c>
      <c r="O1270">
        <v>527</v>
      </c>
    </row>
    <row r="1271" spans="1:15" x14ac:dyDescent="0.25">
      <c r="A1271" t="s">
        <v>1284</v>
      </c>
      <c r="B1271">
        <v>640</v>
      </c>
      <c r="C1271" s="1" t="str">
        <f>HYPERLINK("http://www.rosaceae.org/gb/gbrowse/malus_x_domestica/?name=MDP0000325085","MDP0000325085")</f>
        <v>MDP0000325085</v>
      </c>
      <c r="D1271">
        <v>85.4</v>
      </c>
      <c r="E1271">
        <v>411</v>
      </c>
      <c r="F1271">
        <v>60</v>
      </c>
      <c r="G1271">
        <v>2</v>
      </c>
      <c r="H1271">
        <v>1</v>
      </c>
      <c r="I1271">
        <v>409</v>
      </c>
      <c r="J1271">
        <v>1</v>
      </c>
      <c r="K1271">
        <v>1</v>
      </c>
      <c r="L1271">
        <v>411</v>
      </c>
      <c r="M1271">
        <v>1</v>
      </c>
      <c r="N1271">
        <v>0</v>
      </c>
      <c r="O1271">
        <v>1899</v>
      </c>
    </row>
    <row r="1272" spans="1:15" x14ac:dyDescent="0.25">
      <c r="A1272" t="s">
        <v>1285</v>
      </c>
      <c r="B1272">
        <v>603</v>
      </c>
      <c r="C1272" s="1" t="str">
        <f>HYPERLINK("http://www.rosaceae.org/gb/gbrowse/malus_x_domestica/?name=MDP0000168317","MDP0000168317")</f>
        <v>MDP0000168317</v>
      </c>
      <c r="D1272">
        <v>56.48</v>
      </c>
      <c r="E1272">
        <v>370</v>
      </c>
      <c r="F1272">
        <v>161</v>
      </c>
      <c r="G1272">
        <v>4</v>
      </c>
      <c r="H1272">
        <v>234</v>
      </c>
      <c r="I1272">
        <v>603</v>
      </c>
      <c r="J1272">
        <v>1</v>
      </c>
      <c r="K1272">
        <v>32</v>
      </c>
      <c r="L1272">
        <v>397</v>
      </c>
      <c r="M1272">
        <v>1</v>
      </c>
      <c r="N1272">
        <v>4.5125400000000001E-128</v>
      </c>
      <c r="O1272">
        <v>1172</v>
      </c>
    </row>
    <row r="1273" spans="1:15" x14ac:dyDescent="0.25">
      <c r="A1273" t="s">
        <v>1286</v>
      </c>
      <c r="B1273">
        <v>307</v>
      </c>
      <c r="C1273" s="1" t="str">
        <f>HYPERLINK("http://www.rosaceae.org/gb/gbrowse/malus_x_domestica/?name=MDP0000185591","MDP0000185591")</f>
        <v>MDP0000185591</v>
      </c>
      <c r="D1273">
        <v>29.03</v>
      </c>
      <c r="E1273">
        <v>217</v>
      </c>
      <c r="F1273">
        <v>154</v>
      </c>
      <c r="G1273">
        <v>86</v>
      </c>
      <c r="H1273">
        <v>1</v>
      </c>
      <c r="I1273">
        <v>142</v>
      </c>
      <c r="J1273">
        <v>1</v>
      </c>
      <c r="K1273">
        <v>1</v>
      </c>
      <c r="L1273">
        <v>206</v>
      </c>
      <c r="M1273">
        <v>1</v>
      </c>
      <c r="N1273">
        <v>1.82798E-13</v>
      </c>
      <c r="O1273">
        <v>180</v>
      </c>
    </row>
    <row r="1274" spans="1:15" x14ac:dyDescent="0.25">
      <c r="A1274" t="s">
        <v>1287</v>
      </c>
      <c r="B1274">
        <v>203</v>
      </c>
      <c r="C1274" s="1" t="str">
        <f>HYPERLINK("http://www.rosaceae.org/gb/gbrowse/malus_x_domestica/?name=MDP0000157644","MDP0000157644")</f>
        <v>MDP0000157644</v>
      </c>
      <c r="D1274">
        <v>53.54</v>
      </c>
      <c r="E1274">
        <v>127</v>
      </c>
      <c r="F1274">
        <v>59</v>
      </c>
      <c r="G1274">
        <v>2</v>
      </c>
      <c r="H1274">
        <v>74</v>
      </c>
      <c r="I1274">
        <v>200</v>
      </c>
      <c r="J1274">
        <v>1</v>
      </c>
      <c r="K1274">
        <v>357</v>
      </c>
      <c r="L1274">
        <v>481</v>
      </c>
      <c r="M1274">
        <v>1</v>
      </c>
      <c r="N1274">
        <v>4.8068400000000001E-34</v>
      </c>
      <c r="O1274">
        <v>355</v>
      </c>
    </row>
    <row r="1275" spans="1:15" x14ac:dyDescent="0.25">
      <c r="A1275" t="s">
        <v>1288</v>
      </c>
      <c r="B1275">
        <v>173</v>
      </c>
      <c r="C1275" s="1" t="str">
        <f>HYPERLINK("http://www.rosaceae.org/gb/gbrowse/malus_x_domestica/?name=MDP0000125256","MDP0000125256")</f>
        <v>MDP0000125256</v>
      </c>
      <c r="D1275">
        <v>71.09</v>
      </c>
      <c r="E1275">
        <v>173</v>
      </c>
      <c r="F1275">
        <v>50</v>
      </c>
      <c r="G1275">
        <v>1</v>
      </c>
      <c r="H1275">
        <v>1</v>
      </c>
      <c r="I1275">
        <v>173</v>
      </c>
      <c r="J1275">
        <v>1</v>
      </c>
      <c r="K1275">
        <v>20</v>
      </c>
      <c r="L1275">
        <v>191</v>
      </c>
      <c r="M1275">
        <v>1</v>
      </c>
      <c r="N1275">
        <v>1.6736100000000001E-67</v>
      </c>
      <c r="O1275">
        <v>643</v>
      </c>
    </row>
    <row r="1276" spans="1:15" x14ac:dyDescent="0.25">
      <c r="A1276" t="s">
        <v>1289</v>
      </c>
      <c r="B1276">
        <v>606</v>
      </c>
      <c r="C1276" s="1" t="str">
        <f>HYPERLINK("http://www.rosaceae.org/gb/gbrowse/malus_x_domestica/?name=MDP0000128857","MDP0000128857")</f>
        <v>MDP0000128857</v>
      </c>
      <c r="D1276">
        <v>28.96</v>
      </c>
      <c r="E1276">
        <v>145</v>
      </c>
      <c r="F1276">
        <v>103</v>
      </c>
      <c r="G1276">
        <v>9</v>
      </c>
      <c r="H1276">
        <v>3</v>
      </c>
      <c r="I1276">
        <v>147</v>
      </c>
      <c r="J1276">
        <v>1</v>
      </c>
      <c r="K1276">
        <v>507</v>
      </c>
      <c r="L1276">
        <v>642</v>
      </c>
      <c r="M1276">
        <v>1</v>
      </c>
      <c r="N1276">
        <v>3.74924E-11</v>
      </c>
      <c r="O1276">
        <v>164</v>
      </c>
    </row>
    <row r="1277" spans="1:15" x14ac:dyDescent="0.25">
      <c r="A1277" t="s">
        <v>1290</v>
      </c>
      <c r="B1277">
        <v>166</v>
      </c>
      <c r="C1277" s="1" t="str">
        <f>HYPERLINK("http://www.rosaceae.org/gb/gbrowse/malus_x_domestica/?name=MDP0000279955","MDP0000279955")</f>
        <v>MDP0000279955</v>
      </c>
      <c r="D1277">
        <v>45.78</v>
      </c>
      <c r="E1277">
        <v>83</v>
      </c>
      <c r="F1277">
        <v>45</v>
      </c>
      <c r="G1277">
        <v>4</v>
      </c>
      <c r="H1277">
        <v>9</v>
      </c>
      <c r="I1277">
        <v>88</v>
      </c>
      <c r="J1277">
        <v>1</v>
      </c>
      <c r="K1277">
        <v>281</v>
      </c>
      <c r="L1277">
        <v>362</v>
      </c>
      <c r="M1277">
        <v>1</v>
      </c>
      <c r="N1277">
        <v>8.0591899999999999E-15</v>
      </c>
      <c r="O1277">
        <v>188</v>
      </c>
    </row>
    <row r="1278" spans="1:15" x14ac:dyDescent="0.25">
      <c r="A1278" t="s">
        <v>1291</v>
      </c>
      <c r="B1278">
        <v>150</v>
      </c>
      <c r="C1278" s="1" t="str">
        <f>HYPERLINK("http://www.rosaceae.org/gb/gbrowse/malus_x_domestica/?name=MDP0000196385","MDP0000196385")</f>
        <v>MDP0000196385</v>
      </c>
      <c r="D1278">
        <v>80.400000000000006</v>
      </c>
      <c r="E1278">
        <v>148</v>
      </c>
      <c r="F1278">
        <v>29</v>
      </c>
      <c r="G1278">
        <v>6</v>
      </c>
      <c r="H1278">
        <v>1</v>
      </c>
      <c r="I1278">
        <v>144</v>
      </c>
      <c r="J1278">
        <v>1</v>
      </c>
      <c r="K1278">
        <v>1</v>
      </c>
      <c r="L1278">
        <v>146</v>
      </c>
      <c r="M1278">
        <v>1</v>
      </c>
      <c r="N1278">
        <v>6.5627800000000004E-65</v>
      </c>
      <c r="O1278">
        <v>619</v>
      </c>
    </row>
    <row r="1279" spans="1:15" x14ac:dyDescent="0.25">
      <c r="A1279" t="s">
        <v>1292</v>
      </c>
      <c r="B1279">
        <v>1230</v>
      </c>
      <c r="C1279" s="1" t="str">
        <f>HYPERLINK("http://www.rosaceae.org/gb/gbrowse/malus_x_domestica/?name=MDP0000298111","MDP0000298111")</f>
        <v>MDP0000298111</v>
      </c>
      <c r="D1279">
        <v>58.15</v>
      </c>
      <c r="E1279">
        <v>815</v>
      </c>
      <c r="F1279">
        <v>341</v>
      </c>
      <c r="G1279">
        <v>30</v>
      </c>
      <c r="H1279">
        <v>435</v>
      </c>
      <c r="I1279">
        <v>1230</v>
      </c>
      <c r="J1279">
        <v>1</v>
      </c>
      <c r="K1279">
        <v>152</v>
      </c>
      <c r="L1279">
        <v>955</v>
      </c>
      <c r="M1279">
        <v>1</v>
      </c>
      <c r="N1279">
        <v>0</v>
      </c>
      <c r="O1279">
        <v>2155</v>
      </c>
    </row>
    <row r="1280" spans="1:15" x14ac:dyDescent="0.25">
      <c r="A1280" t="s">
        <v>1293</v>
      </c>
      <c r="B1280">
        <v>506</v>
      </c>
      <c r="C1280" s="1" t="str">
        <f>HYPERLINK("http://www.rosaceae.org/gb/gbrowse/malus_x_domestica/?name=MDP0000253445","MDP0000253445")</f>
        <v>MDP0000253445</v>
      </c>
      <c r="D1280">
        <v>79.13</v>
      </c>
      <c r="E1280">
        <v>508</v>
      </c>
      <c r="F1280">
        <v>106</v>
      </c>
      <c r="G1280">
        <v>3</v>
      </c>
      <c r="H1280">
        <v>1</v>
      </c>
      <c r="I1280">
        <v>506</v>
      </c>
      <c r="J1280">
        <v>1</v>
      </c>
      <c r="K1280">
        <v>1</v>
      </c>
      <c r="L1280">
        <v>507</v>
      </c>
      <c r="M1280">
        <v>1</v>
      </c>
      <c r="N1280">
        <v>0</v>
      </c>
      <c r="O1280">
        <v>2018</v>
      </c>
    </row>
    <row r="1281" spans="1:15" x14ac:dyDescent="0.25">
      <c r="A1281" t="s">
        <v>1294</v>
      </c>
      <c r="B1281">
        <v>491</v>
      </c>
      <c r="C1281" s="1" t="str">
        <f>HYPERLINK("http://www.rosaceae.org/gb/gbrowse/malus_x_domestica/?name=MDP0000290374","MDP0000290374")</f>
        <v>MDP0000290374</v>
      </c>
      <c r="D1281">
        <v>48.84</v>
      </c>
      <c r="E1281">
        <v>475</v>
      </c>
      <c r="F1281">
        <v>243</v>
      </c>
      <c r="G1281">
        <v>63</v>
      </c>
      <c r="H1281">
        <v>1</v>
      </c>
      <c r="I1281">
        <v>436</v>
      </c>
      <c r="J1281">
        <v>1</v>
      </c>
      <c r="K1281">
        <v>3</v>
      </c>
      <c r="L1281">
        <v>453</v>
      </c>
      <c r="M1281">
        <v>1</v>
      </c>
      <c r="N1281">
        <v>7.0709500000000003E-96</v>
      </c>
      <c r="O1281">
        <v>893</v>
      </c>
    </row>
    <row r="1282" spans="1:15" x14ac:dyDescent="0.25">
      <c r="A1282" t="s">
        <v>1295</v>
      </c>
      <c r="B1282">
        <v>243</v>
      </c>
      <c r="C1282" s="1" t="str">
        <f>HYPERLINK("http://www.rosaceae.org/gb/gbrowse/malus_x_domestica/?name=MDP0000232453","MDP0000232453")</f>
        <v>MDP0000232453</v>
      </c>
      <c r="D1282">
        <v>44.64</v>
      </c>
      <c r="E1282">
        <v>112</v>
      </c>
      <c r="F1282">
        <v>62</v>
      </c>
      <c r="G1282">
        <v>1</v>
      </c>
      <c r="H1282">
        <v>21</v>
      </c>
      <c r="I1282">
        <v>132</v>
      </c>
      <c r="J1282">
        <v>1</v>
      </c>
      <c r="K1282">
        <v>15</v>
      </c>
      <c r="L1282">
        <v>125</v>
      </c>
      <c r="M1282">
        <v>1</v>
      </c>
      <c r="N1282">
        <v>6.2943399999999997E-21</v>
      </c>
      <c r="O1282">
        <v>243</v>
      </c>
    </row>
    <row r="1283" spans="1:15" x14ac:dyDescent="0.25">
      <c r="A1283" t="s">
        <v>1296</v>
      </c>
      <c r="B1283">
        <v>345</v>
      </c>
      <c r="C1283" s="1" t="str">
        <f>HYPERLINK("http://www.rosaceae.org/gb/gbrowse/malus_x_domestica/?name=MDP0000523205","MDP0000523205")</f>
        <v>MDP0000523205</v>
      </c>
      <c r="D1283">
        <v>80.7</v>
      </c>
      <c r="E1283">
        <v>342</v>
      </c>
      <c r="F1283">
        <v>66</v>
      </c>
      <c r="G1283">
        <v>0</v>
      </c>
      <c r="H1283">
        <v>2</v>
      </c>
      <c r="I1283">
        <v>343</v>
      </c>
      <c r="J1283">
        <v>1</v>
      </c>
      <c r="K1283">
        <v>3</v>
      </c>
      <c r="L1283">
        <v>344</v>
      </c>
      <c r="M1283">
        <v>1</v>
      </c>
      <c r="N1283">
        <v>4.7721299999999999E-172</v>
      </c>
      <c r="O1283">
        <v>1548</v>
      </c>
    </row>
    <row r="1284" spans="1:15" x14ac:dyDescent="0.25">
      <c r="A1284" t="s">
        <v>1297</v>
      </c>
      <c r="B1284">
        <v>166</v>
      </c>
      <c r="C1284" s="1" t="str">
        <f>HYPERLINK("http://www.rosaceae.org/gb/gbrowse/malus_x_domestica/?name=MDP0000311762","MDP0000311762")</f>
        <v>MDP0000311762</v>
      </c>
      <c r="D1284">
        <v>81.87</v>
      </c>
      <c r="E1284">
        <v>160</v>
      </c>
      <c r="F1284">
        <v>29</v>
      </c>
      <c r="G1284">
        <v>1</v>
      </c>
      <c r="H1284">
        <v>8</v>
      </c>
      <c r="I1284">
        <v>166</v>
      </c>
      <c r="J1284">
        <v>1</v>
      </c>
      <c r="K1284">
        <v>1</v>
      </c>
      <c r="L1284">
        <v>160</v>
      </c>
      <c r="M1284">
        <v>1</v>
      </c>
      <c r="N1284">
        <v>2.7449500000000002E-75</v>
      </c>
      <c r="O1284">
        <v>709</v>
      </c>
    </row>
    <row r="1285" spans="1:15" x14ac:dyDescent="0.25">
      <c r="A1285" t="s">
        <v>1298</v>
      </c>
      <c r="B1285">
        <v>501</v>
      </c>
      <c r="C1285" s="1" t="str">
        <f>HYPERLINK("http://www.rosaceae.org/gb/gbrowse/malus_x_domestica/?name=MDP0000152654","MDP0000152654")</f>
        <v>MDP0000152654</v>
      </c>
      <c r="D1285">
        <v>80.12</v>
      </c>
      <c r="E1285">
        <v>468</v>
      </c>
      <c r="F1285">
        <v>93</v>
      </c>
      <c r="G1285">
        <v>4</v>
      </c>
      <c r="H1285">
        <v>31</v>
      </c>
      <c r="I1285">
        <v>494</v>
      </c>
      <c r="J1285">
        <v>1</v>
      </c>
      <c r="K1285">
        <v>150</v>
      </c>
      <c r="L1285">
        <v>617</v>
      </c>
      <c r="M1285">
        <v>1</v>
      </c>
      <c r="N1285">
        <v>0</v>
      </c>
      <c r="O1285">
        <v>2089</v>
      </c>
    </row>
    <row r="1286" spans="1:15" x14ac:dyDescent="0.25">
      <c r="A1286" t="s">
        <v>1299</v>
      </c>
      <c r="B1286">
        <v>315</v>
      </c>
      <c r="C1286" s="1" t="str">
        <f>HYPERLINK("http://www.rosaceae.org/gb/gbrowse/malus_x_domestica/?name=MDP0000034165","MDP0000034165")</f>
        <v>MDP0000034165</v>
      </c>
      <c r="D1286">
        <v>65.91</v>
      </c>
      <c r="E1286">
        <v>311</v>
      </c>
      <c r="F1286">
        <v>106</v>
      </c>
      <c r="G1286">
        <v>1</v>
      </c>
      <c r="H1286">
        <v>6</v>
      </c>
      <c r="I1286">
        <v>315</v>
      </c>
      <c r="J1286">
        <v>1</v>
      </c>
      <c r="K1286">
        <v>65</v>
      </c>
      <c r="L1286">
        <v>375</v>
      </c>
      <c r="M1286">
        <v>1</v>
      </c>
      <c r="N1286">
        <v>2.0151600000000001E-126</v>
      </c>
      <c r="O1286">
        <v>1154</v>
      </c>
    </row>
    <row r="1287" spans="1:15" x14ac:dyDescent="0.25">
      <c r="A1287" t="s">
        <v>1300</v>
      </c>
      <c r="B1287">
        <v>333</v>
      </c>
      <c r="C1287" s="1" t="str">
        <f>HYPERLINK("http://www.rosaceae.org/gb/gbrowse/malus_x_domestica/?name=MDP0000321382","MDP0000321382")</f>
        <v>MDP0000321382</v>
      </c>
      <c r="D1287">
        <v>82.84</v>
      </c>
      <c r="E1287">
        <v>338</v>
      </c>
      <c r="F1287">
        <v>58</v>
      </c>
      <c r="G1287">
        <v>9</v>
      </c>
      <c r="H1287">
        <v>2</v>
      </c>
      <c r="I1287">
        <v>333</v>
      </c>
      <c r="J1287">
        <v>1</v>
      </c>
      <c r="K1287">
        <v>1</v>
      </c>
      <c r="L1287">
        <v>335</v>
      </c>
      <c r="M1287">
        <v>1</v>
      </c>
      <c r="N1287">
        <v>1.6965700000000001E-167</v>
      </c>
      <c r="O1287">
        <v>1509</v>
      </c>
    </row>
    <row r="1288" spans="1:15" x14ac:dyDescent="0.25">
      <c r="A1288" t="s">
        <v>1301</v>
      </c>
      <c r="B1288">
        <v>156</v>
      </c>
      <c r="C1288" s="1" t="str">
        <f>HYPERLINK("http://www.rosaceae.org/gb/gbrowse/malus_x_domestica/?name=MDP0000929144","MDP0000929144")</f>
        <v>MDP0000929144</v>
      </c>
      <c r="D1288">
        <v>61.03</v>
      </c>
      <c r="E1288">
        <v>154</v>
      </c>
      <c r="F1288">
        <v>60</v>
      </c>
      <c r="G1288">
        <v>5</v>
      </c>
      <c r="H1288">
        <v>4</v>
      </c>
      <c r="I1288">
        <v>156</v>
      </c>
      <c r="J1288">
        <v>1</v>
      </c>
      <c r="K1288">
        <v>7</v>
      </c>
      <c r="L1288">
        <v>156</v>
      </c>
      <c r="M1288">
        <v>1</v>
      </c>
      <c r="N1288">
        <v>3.1373999999999999E-44</v>
      </c>
      <c r="O1288">
        <v>441</v>
      </c>
    </row>
    <row r="1289" spans="1:15" x14ac:dyDescent="0.25">
      <c r="A1289" t="s">
        <v>1302</v>
      </c>
      <c r="B1289">
        <v>604</v>
      </c>
      <c r="C1289" s="1" t="str">
        <f>HYPERLINK("http://www.rosaceae.org/gb/gbrowse/malus_x_domestica/?name=MDP0000157865","MDP0000157865")</f>
        <v>MDP0000157865</v>
      </c>
      <c r="D1289">
        <v>54.99</v>
      </c>
      <c r="E1289">
        <v>631</v>
      </c>
      <c r="F1289">
        <v>284</v>
      </c>
      <c r="G1289">
        <v>64</v>
      </c>
      <c r="H1289">
        <v>1</v>
      </c>
      <c r="I1289">
        <v>604</v>
      </c>
      <c r="J1289">
        <v>1</v>
      </c>
      <c r="K1289">
        <v>1</v>
      </c>
      <c r="L1289">
        <v>594</v>
      </c>
      <c r="M1289">
        <v>1</v>
      </c>
      <c r="N1289">
        <v>2.4525199999999999E-166</v>
      </c>
      <c r="O1289">
        <v>1502</v>
      </c>
    </row>
    <row r="1290" spans="1:15" x14ac:dyDescent="0.25">
      <c r="A1290" t="s">
        <v>1303</v>
      </c>
      <c r="B1290">
        <v>399</v>
      </c>
      <c r="C1290" s="1" t="str">
        <f>HYPERLINK("http://www.rosaceae.org/gb/gbrowse/malus_x_domestica/?name=MDP0000808501","MDP0000808501")</f>
        <v>MDP0000808501</v>
      </c>
      <c r="D1290">
        <v>40</v>
      </c>
      <c r="E1290">
        <v>395</v>
      </c>
      <c r="F1290">
        <v>237</v>
      </c>
      <c r="G1290">
        <v>48</v>
      </c>
      <c r="H1290">
        <v>32</v>
      </c>
      <c r="I1290">
        <v>391</v>
      </c>
      <c r="J1290">
        <v>1</v>
      </c>
      <c r="K1290">
        <v>16</v>
      </c>
      <c r="L1290">
        <v>397</v>
      </c>
      <c r="M1290">
        <v>1</v>
      </c>
      <c r="N1290">
        <v>1.8348799999999999E-59</v>
      </c>
      <c r="O1290">
        <v>578</v>
      </c>
    </row>
    <row r="1291" spans="1:15" x14ac:dyDescent="0.25">
      <c r="A1291" t="s">
        <v>1304</v>
      </c>
      <c r="B1291">
        <v>365</v>
      </c>
      <c r="C1291" s="1" t="str">
        <f>HYPERLINK("http://www.rosaceae.org/gb/gbrowse/malus_x_domestica/?name=MDP0000695052","MDP0000695052")</f>
        <v>MDP0000695052</v>
      </c>
      <c r="D1291">
        <v>81.63</v>
      </c>
      <c r="E1291">
        <v>245</v>
      </c>
      <c r="F1291">
        <v>45</v>
      </c>
      <c r="G1291">
        <v>8</v>
      </c>
      <c r="H1291">
        <v>1</v>
      </c>
      <c r="I1291">
        <v>245</v>
      </c>
      <c r="J1291">
        <v>1</v>
      </c>
      <c r="K1291">
        <v>14</v>
      </c>
      <c r="L1291">
        <v>250</v>
      </c>
      <c r="M1291">
        <v>1</v>
      </c>
      <c r="N1291">
        <v>8.2489600000000002E-116</v>
      </c>
      <c r="O1291">
        <v>1064</v>
      </c>
    </row>
    <row r="1292" spans="1:15" x14ac:dyDescent="0.25">
      <c r="A1292" t="s">
        <v>1305</v>
      </c>
      <c r="B1292">
        <v>291</v>
      </c>
      <c r="C1292" s="1" t="str">
        <f>HYPERLINK("http://www.rosaceae.org/gb/gbrowse/malus_x_domestica/?name=MDP0000406379","MDP0000406379")</f>
        <v>MDP0000406379</v>
      </c>
      <c r="D1292">
        <v>62.04</v>
      </c>
      <c r="E1292">
        <v>166</v>
      </c>
      <c r="F1292">
        <v>63</v>
      </c>
      <c r="G1292">
        <v>0</v>
      </c>
      <c r="H1292">
        <v>98</v>
      </c>
      <c r="I1292">
        <v>263</v>
      </c>
      <c r="J1292">
        <v>1</v>
      </c>
      <c r="K1292">
        <v>221</v>
      </c>
      <c r="L1292">
        <v>386</v>
      </c>
      <c r="M1292">
        <v>1</v>
      </c>
      <c r="N1292">
        <v>1.14426E-52</v>
      </c>
      <c r="O1292">
        <v>518</v>
      </c>
    </row>
    <row r="1293" spans="1:15" x14ac:dyDescent="0.25">
      <c r="A1293" t="s">
        <v>1306</v>
      </c>
      <c r="B1293">
        <v>733</v>
      </c>
      <c r="C1293" s="1" t="str">
        <f>HYPERLINK("http://www.rosaceae.org/gb/gbrowse/malus_x_domestica/?name=MDP0000282140","MDP0000282140")</f>
        <v>MDP0000282140</v>
      </c>
      <c r="D1293">
        <v>76.56</v>
      </c>
      <c r="E1293">
        <v>448</v>
      </c>
      <c r="F1293">
        <v>105</v>
      </c>
      <c r="G1293">
        <v>1</v>
      </c>
      <c r="H1293">
        <v>286</v>
      </c>
      <c r="I1293">
        <v>733</v>
      </c>
      <c r="J1293">
        <v>1</v>
      </c>
      <c r="K1293">
        <v>298</v>
      </c>
      <c r="L1293">
        <v>744</v>
      </c>
      <c r="M1293">
        <v>1</v>
      </c>
      <c r="N1293">
        <v>0</v>
      </c>
      <c r="O1293">
        <v>1845</v>
      </c>
    </row>
    <row r="1294" spans="1:15" x14ac:dyDescent="0.25">
      <c r="A1294" t="s">
        <v>1307</v>
      </c>
      <c r="B1294">
        <v>221</v>
      </c>
      <c r="C1294" s="1" t="str">
        <f>HYPERLINK("http://www.rosaceae.org/gb/gbrowse/malus_x_domestica/?name=MDP0000899297","MDP0000899297")</f>
        <v>MDP0000899297</v>
      </c>
      <c r="D1294">
        <v>76.92</v>
      </c>
      <c r="E1294">
        <v>221</v>
      </c>
      <c r="F1294">
        <v>51</v>
      </c>
      <c r="G1294">
        <v>0</v>
      </c>
      <c r="H1294">
        <v>1</v>
      </c>
      <c r="I1294">
        <v>221</v>
      </c>
      <c r="J1294">
        <v>1</v>
      </c>
      <c r="K1294">
        <v>37</v>
      </c>
      <c r="L1294">
        <v>257</v>
      </c>
      <c r="M1294">
        <v>1</v>
      </c>
      <c r="N1294">
        <v>1.56212E-99</v>
      </c>
      <c r="O1294">
        <v>921</v>
      </c>
    </row>
    <row r="1295" spans="1:15" x14ac:dyDescent="0.25">
      <c r="A1295" t="s">
        <v>1308</v>
      </c>
      <c r="B1295">
        <v>789</v>
      </c>
      <c r="C1295" s="1" t="str">
        <f>HYPERLINK("http://www.rosaceae.org/gb/gbrowse/malus_x_domestica/?name=MDP0000296927","MDP0000296927")</f>
        <v>MDP0000296927</v>
      </c>
      <c r="D1295">
        <v>45.05</v>
      </c>
      <c r="E1295">
        <v>455</v>
      </c>
      <c r="F1295">
        <v>250</v>
      </c>
      <c r="G1295">
        <v>74</v>
      </c>
      <c r="H1295">
        <v>181</v>
      </c>
      <c r="I1295">
        <v>632</v>
      </c>
      <c r="J1295">
        <v>1</v>
      </c>
      <c r="K1295">
        <v>145</v>
      </c>
      <c r="L1295">
        <v>528</v>
      </c>
      <c r="M1295">
        <v>1</v>
      </c>
      <c r="N1295">
        <v>8.6363400000000001E-106</v>
      </c>
      <c r="O1295">
        <v>981</v>
      </c>
    </row>
    <row r="1296" spans="1:15" x14ac:dyDescent="0.25">
      <c r="A1296" t="s">
        <v>1309</v>
      </c>
      <c r="B1296">
        <v>276</v>
      </c>
      <c r="C1296" s="1" t="str">
        <f>HYPERLINK("http://www.rosaceae.org/gb/gbrowse/malus_x_domestica/?name=MDP0000221204","MDP0000221204")</f>
        <v>MDP0000221204</v>
      </c>
      <c r="D1296">
        <v>46.73</v>
      </c>
      <c r="E1296">
        <v>92</v>
      </c>
      <c r="F1296">
        <v>49</v>
      </c>
      <c r="G1296">
        <v>6</v>
      </c>
      <c r="H1296">
        <v>14</v>
      </c>
      <c r="I1296">
        <v>99</v>
      </c>
      <c r="J1296">
        <v>1</v>
      </c>
      <c r="K1296">
        <v>29</v>
      </c>
      <c r="L1296">
        <v>120</v>
      </c>
      <c r="M1296">
        <v>1</v>
      </c>
      <c r="N1296">
        <v>3.6338100000000001E-14</v>
      </c>
      <c r="O1296">
        <v>186</v>
      </c>
    </row>
    <row r="1297" spans="1:15" x14ac:dyDescent="0.25">
      <c r="A1297" t="s">
        <v>1310</v>
      </c>
      <c r="B1297">
        <v>559</v>
      </c>
      <c r="C1297" s="1" t="str">
        <f>HYPERLINK("http://www.rosaceae.org/gb/gbrowse/malus_x_domestica/?name=MDP0000785852","MDP0000785852")</f>
        <v>MDP0000785852</v>
      </c>
      <c r="D1297">
        <v>56.17</v>
      </c>
      <c r="E1297">
        <v>575</v>
      </c>
      <c r="F1297">
        <v>252</v>
      </c>
      <c r="G1297">
        <v>23</v>
      </c>
      <c r="H1297">
        <v>7</v>
      </c>
      <c r="I1297">
        <v>559</v>
      </c>
      <c r="J1297">
        <v>1</v>
      </c>
      <c r="K1297">
        <v>5</v>
      </c>
      <c r="L1297">
        <v>578</v>
      </c>
      <c r="M1297">
        <v>1</v>
      </c>
      <c r="N1297">
        <v>0</v>
      </c>
      <c r="O1297">
        <v>1691</v>
      </c>
    </row>
    <row r="1298" spans="1:15" x14ac:dyDescent="0.25">
      <c r="A1298" t="s">
        <v>1311</v>
      </c>
      <c r="B1298">
        <v>447</v>
      </c>
      <c r="C1298" s="1" t="str">
        <f>HYPERLINK("http://www.rosaceae.org/gb/gbrowse/malus_x_domestica/?name=MDP0000188175","MDP0000188175")</f>
        <v>MDP0000188175</v>
      </c>
      <c r="D1298">
        <v>29.56</v>
      </c>
      <c r="E1298">
        <v>433</v>
      </c>
      <c r="F1298">
        <v>305</v>
      </c>
      <c r="G1298">
        <v>33</v>
      </c>
      <c r="H1298">
        <v>27</v>
      </c>
      <c r="I1298">
        <v>444</v>
      </c>
      <c r="J1298">
        <v>1</v>
      </c>
      <c r="K1298">
        <v>31</v>
      </c>
      <c r="L1298">
        <v>445</v>
      </c>
      <c r="M1298">
        <v>1</v>
      </c>
      <c r="N1298">
        <v>1.3041000000000001E-39</v>
      </c>
      <c r="O1298">
        <v>408</v>
      </c>
    </row>
    <row r="1299" spans="1:15" x14ac:dyDescent="0.25">
      <c r="A1299" t="s">
        <v>1312</v>
      </c>
      <c r="B1299">
        <v>266</v>
      </c>
      <c r="C1299" s="1" t="str">
        <f>HYPERLINK("http://www.rosaceae.org/gb/gbrowse/malus_x_domestica/?name=MDP0000249611","MDP0000249611")</f>
        <v>MDP0000249611</v>
      </c>
      <c r="D1299">
        <v>74.81</v>
      </c>
      <c r="E1299">
        <v>266</v>
      </c>
      <c r="F1299">
        <v>67</v>
      </c>
      <c r="G1299">
        <v>11</v>
      </c>
      <c r="H1299">
        <v>1</v>
      </c>
      <c r="I1299">
        <v>266</v>
      </c>
      <c r="J1299">
        <v>1</v>
      </c>
      <c r="K1299">
        <v>1</v>
      </c>
      <c r="L1299">
        <v>255</v>
      </c>
      <c r="M1299">
        <v>1</v>
      </c>
      <c r="N1299">
        <v>4.7685499999999998E-110</v>
      </c>
      <c r="O1299">
        <v>1012</v>
      </c>
    </row>
    <row r="1300" spans="1:15" x14ac:dyDescent="0.25">
      <c r="A1300" t="s">
        <v>1313</v>
      </c>
      <c r="B1300">
        <v>528</v>
      </c>
      <c r="C1300" s="1" t="str">
        <f>HYPERLINK("http://www.rosaceae.org/gb/gbrowse/malus_x_domestica/?name=MDP0000320480","MDP0000320480")</f>
        <v>MDP0000320480</v>
      </c>
      <c r="D1300">
        <v>81.52</v>
      </c>
      <c r="E1300">
        <v>341</v>
      </c>
      <c r="F1300">
        <v>63</v>
      </c>
      <c r="G1300">
        <v>3</v>
      </c>
      <c r="H1300">
        <v>191</v>
      </c>
      <c r="I1300">
        <v>528</v>
      </c>
      <c r="J1300">
        <v>1</v>
      </c>
      <c r="K1300">
        <v>7</v>
      </c>
      <c r="L1300">
        <v>347</v>
      </c>
      <c r="M1300">
        <v>1</v>
      </c>
      <c r="N1300">
        <v>1.9238400000000001E-162</v>
      </c>
      <c r="O1300">
        <v>1468</v>
      </c>
    </row>
    <row r="1301" spans="1:15" x14ac:dyDescent="0.25">
      <c r="A1301" t="s">
        <v>1314</v>
      </c>
      <c r="B1301">
        <v>140</v>
      </c>
      <c r="C1301" s="1" t="str">
        <f>HYPERLINK("http://www.rosaceae.org/gb/gbrowse/malus_x_domestica/?name=MDP0000247604","MDP0000247604")</f>
        <v>MDP0000247604</v>
      </c>
      <c r="D1301">
        <v>42.85</v>
      </c>
      <c r="E1301">
        <v>91</v>
      </c>
      <c r="F1301">
        <v>52</v>
      </c>
      <c r="G1301">
        <v>6</v>
      </c>
      <c r="H1301">
        <v>1</v>
      </c>
      <c r="I1301">
        <v>89</v>
      </c>
      <c r="J1301">
        <v>1</v>
      </c>
      <c r="K1301">
        <v>1</v>
      </c>
      <c r="L1301">
        <v>87</v>
      </c>
      <c r="M1301">
        <v>1</v>
      </c>
      <c r="N1301">
        <v>1.91494E-9</v>
      </c>
      <c r="O1301">
        <v>140</v>
      </c>
    </row>
    <row r="1302" spans="1:15" x14ac:dyDescent="0.25">
      <c r="A1302" t="s">
        <v>1315</v>
      </c>
      <c r="B1302">
        <v>911</v>
      </c>
      <c r="C1302" s="1" t="str">
        <f>HYPERLINK("http://www.rosaceae.org/gb/gbrowse/malus_x_domestica/?name=MDP0000620745","MDP0000620745")</f>
        <v>MDP0000620745</v>
      </c>
      <c r="D1302">
        <v>61.93</v>
      </c>
      <c r="E1302">
        <v>289</v>
      </c>
      <c r="F1302">
        <v>110</v>
      </c>
      <c r="G1302">
        <v>7</v>
      </c>
      <c r="H1302">
        <v>10</v>
      </c>
      <c r="I1302">
        <v>291</v>
      </c>
      <c r="J1302">
        <v>1</v>
      </c>
      <c r="K1302">
        <v>10</v>
      </c>
      <c r="L1302">
        <v>298</v>
      </c>
      <c r="M1302">
        <v>1</v>
      </c>
      <c r="N1302">
        <v>5.6477500000000001E-92</v>
      </c>
      <c r="O1302">
        <v>862</v>
      </c>
    </row>
    <row r="1303" spans="1:15" x14ac:dyDescent="0.25">
      <c r="A1303" t="s">
        <v>1316</v>
      </c>
      <c r="B1303">
        <v>292</v>
      </c>
      <c r="C1303" s="1" t="str">
        <f>HYPERLINK("http://www.rosaceae.org/gb/gbrowse/malus_x_domestica/?name=MDP0000822744","MDP0000822744")</f>
        <v>MDP0000822744</v>
      </c>
      <c r="D1303">
        <v>28.93</v>
      </c>
      <c r="E1303">
        <v>273</v>
      </c>
      <c r="F1303">
        <v>194</v>
      </c>
      <c r="G1303">
        <v>43</v>
      </c>
      <c r="H1303">
        <v>56</v>
      </c>
      <c r="I1303">
        <v>292</v>
      </c>
      <c r="J1303">
        <v>1</v>
      </c>
      <c r="K1303">
        <v>40</v>
      </c>
      <c r="L1303">
        <v>305</v>
      </c>
      <c r="M1303">
        <v>1</v>
      </c>
      <c r="N1303">
        <v>2.38022E-19</v>
      </c>
      <c r="O1303">
        <v>231</v>
      </c>
    </row>
    <row r="1304" spans="1:15" x14ac:dyDescent="0.25">
      <c r="A1304" t="s">
        <v>1317</v>
      </c>
      <c r="B1304">
        <v>334</v>
      </c>
      <c r="C1304" s="1" t="str">
        <f>HYPERLINK("http://www.rosaceae.org/gb/gbrowse/malus_x_domestica/?name=MDP0000231668","MDP0000231668")</f>
        <v>MDP0000231668</v>
      </c>
      <c r="D1304">
        <v>51.08</v>
      </c>
      <c r="E1304">
        <v>368</v>
      </c>
      <c r="F1304">
        <v>180</v>
      </c>
      <c r="G1304">
        <v>60</v>
      </c>
      <c r="H1304">
        <v>1</v>
      </c>
      <c r="I1304">
        <v>334</v>
      </c>
      <c r="J1304">
        <v>1</v>
      </c>
      <c r="K1304">
        <v>1</v>
      </c>
      <c r="L1304">
        <v>342</v>
      </c>
      <c r="M1304">
        <v>1</v>
      </c>
      <c r="N1304">
        <v>1.6304000000000001E-89</v>
      </c>
      <c r="O1304">
        <v>836</v>
      </c>
    </row>
    <row r="1305" spans="1:15" x14ac:dyDescent="0.25">
      <c r="A1305" t="s">
        <v>1318</v>
      </c>
      <c r="B1305">
        <v>393</v>
      </c>
      <c r="C1305" s="1" t="str">
        <f>HYPERLINK("http://www.rosaceae.org/gb/gbrowse/malus_x_domestica/?name=MDP0000249179","MDP0000249179")</f>
        <v>MDP0000249179</v>
      </c>
      <c r="D1305">
        <v>63.05</v>
      </c>
      <c r="E1305">
        <v>295</v>
      </c>
      <c r="F1305">
        <v>109</v>
      </c>
      <c r="G1305">
        <v>26</v>
      </c>
      <c r="H1305">
        <v>1</v>
      </c>
      <c r="I1305">
        <v>278</v>
      </c>
      <c r="J1305">
        <v>1</v>
      </c>
      <c r="K1305">
        <v>1</v>
      </c>
      <c r="L1305">
        <v>286</v>
      </c>
      <c r="M1305">
        <v>1</v>
      </c>
      <c r="N1305">
        <v>3.4543199999999998E-104</v>
      </c>
      <c r="O1305">
        <v>964</v>
      </c>
    </row>
    <row r="1306" spans="1:15" x14ac:dyDescent="0.25">
      <c r="A1306" t="s">
        <v>1319</v>
      </c>
      <c r="B1306">
        <v>423</v>
      </c>
      <c r="C1306" s="1" t="str">
        <f>HYPERLINK("http://www.rosaceae.org/gb/gbrowse/malus_x_domestica/?name=MDP0000288128","MDP0000288128")</f>
        <v>MDP0000288128</v>
      </c>
      <c r="D1306">
        <v>30.63</v>
      </c>
      <c r="E1306">
        <v>297</v>
      </c>
      <c r="F1306">
        <v>206</v>
      </c>
      <c r="G1306">
        <v>44</v>
      </c>
      <c r="H1306">
        <v>95</v>
      </c>
      <c r="I1306">
        <v>383</v>
      </c>
      <c r="J1306">
        <v>1</v>
      </c>
      <c r="K1306">
        <v>129</v>
      </c>
      <c r="L1306">
        <v>389</v>
      </c>
      <c r="M1306">
        <v>1</v>
      </c>
      <c r="N1306">
        <v>5.4018100000000001E-31</v>
      </c>
      <c r="O1306">
        <v>333</v>
      </c>
    </row>
    <row r="1307" spans="1:15" x14ac:dyDescent="0.25">
      <c r="A1307" t="s">
        <v>1320</v>
      </c>
      <c r="B1307">
        <v>704</v>
      </c>
      <c r="C1307" s="1" t="str">
        <f>HYPERLINK("http://www.rosaceae.org/gb/gbrowse/malus_x_domestica/?name=MDP0000641906","MDP0000641906")</f>
        <v>MDP0000641906</v>
      </c>
      <c r="D1307">
        <v>49.01</v>
      </c>
      <c r="E1307">
        <v>357</v>
      </c>
      <c r="F1307">
        <v>182</v>
      </c>
      <c r="G1307">
        <v>13</v>
      </c>
      <c r="H1307">
        <v>346</v>
      </c>
      <c r="I1307">
        <v>694</v>
      </c>
      <c r="J1307">
        <v>1</v>
      </c>
      <c r="K1307">
        <v>602</v>
      </c>
      <c r="L1307">
        <v>953</v>
      </c>
      <c r="M1307">
        <v>1</v>
      </c>
      <c r="N1307">
        <v>9.0709100000000001E-79</v>
      </c>
      <c r="O1307">
        <v>747</v>
      </c>
    </row>
    <row r="1308" spans="1:15" x14ac:dyDescent="0.25">
      <c r="A1308" t="s">
        <v>1321</v>
      </c>
      <c r="B1308">
        <v>553</v>
      </c>
      <c r="C1308" s="1" t="str">
        <f>HYPERLINK("http://www.rosaceae.org/gb/gbrowse/malus_x_domestica/?name=MDP0000149950","MDP0000149950")</f>
        <v>MDP0000149950</v>
      </c>
      <c r="D1308">
        <v>71.2</v>
      </c>
      <c r="E1308">
        <v>375</v>
      </c>
      <c r="F1308">
        <v>108</v>
      </c>
      <c r="G1308">
        <v>43</v>
      </c>
      <c r="H1308">
        <v>1</v>
      </c>
      <c r="I1308">
        <v>364</v>
      </c>
      <c r="J1308">
        <v>1</v>
      </c>
      <c r="K1308">
        <v>1</v>
      </c>
      <c r="L1308">
        <v>343</v>
      </c>
      <c r="M1308">
        <v>1</v>
      </c>
      <c r="N1308">
        <v>3.3541899999999998E-150</v>
      </c>
      <c r="O1308">
        <v>1362</v>
      </c>
    </row>
    <row r="1309" spans="1:15" x14ac:dyDescent="0.25">
      <c r="A1309" t="s">
        <v>1322</v>
      </c>
      <c r="B1309">
        <v>200</v>
      </c>
      <c r="C1309" s="1" t="str">
        <f>HYPERLINK("http://www.rosaceae.org/gb/gbrowse/malus_x_domestica/?name=MDP0000259830","MDP0000259830")</f>
        <v>MDP0000259830</v>
      </c>
      <c r="D1309">
        <v>88.75</v>
      </c>
      <c r="E1309">
        <v>80</v>
      </c>
      <c r="F1309">
        <v>9</v>
      </c>
      <c r="G1309">
        <v>0</v>
      </c>
      <c r="H1309">
        <v>34</v>
      </c>
      <c r="I1309">
        <v>113</v>
      </c>
      <c r="J1309">
        <v>1</v>
      </c>
      <c r="K1309">
        <v>1327</v>
      </c>
      <c r="L1309">
        <v>1406</v>
      </c>
      <c r="M1309">
        <v>1</v>
      </c>
      <c r="N1309">
        <v>4.0812100000000001E-38</v>
      </c>
      <c r="O1309">
        <v>390</v>
      </c>
    </row>
    <row r="1310" spans="1:15" x14ac:dyDescent="0.25">
      <c r="A1310" t="s">
        <v>1323</v>
      </c>
      <c r="B1310">
        <v>134</v>
      </c>
      <c r="C1310" s="1" t="str">
        <f>HYPERLINK("http://www.rosaceae.org/gb/gbrowse/malus_x_domestica/?name=MDP0000253030","MDP0000253030")</f>
        <v>MDP0000253030</v>
      </c>
      <c r="D1310">
        <v>71.23</v>
      </c>
      <c r="E1310">
        <v>73</v>
      </c>
      <c r="F1310">
        <v>21</v>
      </c>
      <c r="G1310">
        <v>0</v>
      </c>
      <c r="H1310">
        <v>61</v>
      </c>
      <c r="I1310">
        <v>133</v>
      </c>
      <c r="J1310">
        <v>1</v>
      </c>
      <c r="K1310">
        <v>491</v>
      </c>
      <c r="L1310">
        <v>563</v>
      </c>
      <c r="M1310">
        <v>1</v>
      </c>
      <c r="N1310">
        <v>3.8092499999999997E-24</v>
      </c>
      <c r="O1310">
        <v>267</v>
      </c>
    </row>
    <row r="1311" spans="1:15" x14ac:dyDescent="0.25">
      <c r="A1311" t="s">
        <v>1324</v>
      </c>
      <c r="B1311">
        <v>237</v>
      </c>
      <c r="C1311" s="1" t="str">
        <f>HYPERLINK("http://www.rosaceae.org/gb/gbrowse/malus_x_domestica/?name=MDP0000646467","MDP0000646467")</f>
        <v>MDP0000646467</v>
      </c>
      <c r="D1311">
        <v>71.36</v>
      </c>
      <c r="E1311">
        <v>227</v>
      </c>
      <c r="F1311">
        <v>65</v>
      </c>
      <c r="G1311">
        <v>19</v>
      </c>
      <c r="H1311">
        <v>8</v>
      </c>
      <c r="I1311">
        <v>234</v>
      </c>
      <c r="J1311">
        <v>1</v>
      </c>
      <c r="K1311">
        <v>9</v>
      </c>
      <c r="L1311">
        <v>216</v>
      </c>
      <c r="M1311">
        <v>1</v>
      </c>
      <c r="N1311">
        <v>9.6237399999999997E-86</v>
      </c>
      <c r="O1311">
        <v>802</v>
      </c>
    </row>
    <row r="1312" spans="1:15" x14ac:dyDescent="0.25">
      <c r="A1312" t="s">
        <v>1325</v>
      </c>
      <c r="B1312">
        <v>394</v>
      </c>
      <c r="C1312" s="1" t="str">
        <f>HYPERLINK("http://www.rosaceae.org/gb/gbrowse/malus_x_domestica/?name=MDP0000906307","MDP0000906307")</f>
        <v>MDP0000906307</v>
      </c>
      <c r="D1312">
        <v>90.72</v>
      </c>
      <c r="E1312">
        <v>345</v>
      </c>
      <c r="F1312">
        <v>32</v>
      </c>
      <c r="G1312">
        <v>4</v>
      </c>
      <c r="H1312">
        <v>51</v>
      </c>
      <c r="I1312">
        <v>394</v>
      </c>
      <c r="J1312">
        <v>1</v>
      </c>
      <c r="K1312">
        <v>1</v>
      </c>
      <c r="L1312">
        <v>342</v>
      </c>
      <c r="M1312">
        <v>1</v>
      </c>
      <c r="N1312">
        <v>0</v>
      </c>
      <c r="O1312">
        <v>1678</v>
      </c>
    </row>
    <row r="1313" spans="1:15" x14ac:dyDescent="0.25">
      <c r="A1313" t="s">
        <v>1326</v>
      </c>
      <c r="B1313">
        <v>293</v>
      </c>
      <c r="C1313" s="1" t="str">
        <f>HYPERLINK("http://www.rosaceae.org/gb/gbrowse/malus_x_domestica/?name=MDP0000296838","MDP0000296838")</f>
        <v>MDP0000296838</v>
      </c>
      <c r="D1313">
        <v>38.19</v>
      </c>
      <c r="E1313">
        <v>322</v>
      </c>
      <c r="F1313">
        <v>199</v>
      </c>
      <c r="G1313">
        <v>73</v>
      </c>
      <c r="H1313">
        <v>28</v>
      </c>
      <c r="I1313">
        <v>291</v>
      </c>
      <c r="J1313">
        <v>1</v>
      </c>
      <c r="K1313">
        <v>285</v>
      </c>
      <c r="L1313">
        <v>591</v>
      </c>
      <c r="M1313">
        <v>1</v>
      </c>
      <c r="N1313">
        <v>3.9815300000000001E-47</v>
      </c>
      <c r="O1313">
        <v>470</v>
      </c>
    </row>
    <row r="1314" spans="1:15" x14ac:dyDescent="0.25">
      <c r="A1314" t="s">
        <v>1327</v>
      </c>
      <c r="B1314">
        <v>527</v>
      </c>
      <c r="C1314" s="1" t="str">
        <f>HYPERLINK("http://www.rosaceae.org/gb/gbrowse/malus_x_domestica/?name=MDP0000939914","MDP0000939914")</f>
        <v>MDP0000939914</v>
      </c>
      <c r="D1314">
        <v>53.26</v>
      </c>
      <c r="E1314">
        <v>199</v>
      </c>
      <c r="F1314">
        <v>93</v>
      </c>
      <c r="G1314">
        <v>6</v>
      </c>
      <c r="H1314">
        <v>245</v>
      </c>
      <c r="I1314">
        <v>437</v>
      </c>
      <c r="J1314">
        <v>1</v>
      </c>
      <c r="K1314">
        <v>73</v>
      </c>
      <c r="L1314">
        <v>271</v>
      </c>
      <c r="M1314">
        <v>1</v>
      </c>
      <c r="N1314">
        <v>4.2375299999999999E-49</v>
      </c>
      <c r="O1314">
        <v>490</v>
      </c>
    </row>
    <row r="1315" spans="1:15" x14ac:dyDescent="0.25">
      <c r="A1315" t="s">
        <v>1328</v>
      </c>
      <c r="B1315">
        <v>327</v>
      </c>
      <c r="C1315" s="1" t="str">
        <f>HYPERLINK("http://www.rosaceae.org/gb/gbrowse/malus_x_domestica/?name=MDP0000260056","MDP0000260056")</f>
        <v>MDP0000260056</v>
      </c>
      <c r="D1315">
        <v>61.36</v>
      </c>
      <c r="E1315">
        <v>220</v>
      </c>
      <c r="F1315">
        <v>85</v>
      </c>
      <c r="G1315">
        <v>20</v>
      </c>
      <c r="H1315">
        <v>33</v>
      </c>
      <c r="I1315">
        <v>241</v>
      </c>
      <c r="J1315">
        <v>1</v>
      </c>
      <c r="K1315">
        <v>58</v>
      </c>
      <c r="L1315">
        <v>268</v>
      </c>
      <c r="M1315">
        <v>1</v>
      </c>
      <c r="N1315">
        <v>1.12027E-68</v>
      </c>
      <c r="O1315">
        <v>657</v>
      </c>
    </row>
    <row r="1316" spans="1:15" x14ac:dyDescent="0.25">
      <c r="A1316" t="s">
        <v>1329</v>
      </c>
      <c r="B1316">
        <v>259</v>
      </c>
      <c r="C1316" s="1" t="str">
        <f>HYPERLINK("http://www.rosaceae.org/gb/gbrowse/malus_x_domestica/?name=MDP0000129394","MDP0000129394")</f>
        <v>MDP0000129394</v>
      </c>
      <c r="D1316">
        <v>40.67</v>
      </c>
      <c r="E1316">
        <v>268</v>
      </c>
      <c r="F1316">
        <v>159</v>
      </c>
      <c r="G1316">
        <v>65</v>
      </c>
      <c r="H1316">
        <v>1</v>
      </c>
      <c r="I1316">
        <v>224</v>
      </c>
      <c r="J1316">
        <v>1</v>
      </c>
      <c r="K1316">
        <v>1</v>
      </c>
      <c r="L1316">
        <v>247</v>
      </c>
      <c r="M1316">
        <v>1</v>
      </c>
      <c r="N1316">
        <v>3.0273800000000002E-36</v>
      </c>
      <c r="O1316">
        <v>376</v>
      </c>
    </row>
    <row r="1317" spans="1:15" x14ac:dyDescent="0.25">
      <c r="A1317" t="s">
        <v>1330</v>
      </c>
      <c r="B1317">
        <v>773</v>
      </c>
      <c r="C1317" s="1" t="str">
        <f>HYPERLINK("http://www.rosaceae.org/gb/gbrowse/malus_x_domestica/?name=MDP0000462686","MDP0000462686")</f>
        <v>MDP0000462686</v>
      </c>
      <c r="D1317">
        <v>67.180000000000007</v>
      </c>
      <c r="E1317">
        <v>707</v>
      </c>
      <c r="F1317">
        <v>232</v>
      </c>
      <c r="G1317">
        <v>2</v>
      </c>
      <c r="H1317">
        <v>64</v>
      </c>
      <c r="I1317">
        <v>770</v>
      </c>
      <c r="J1317">
        <v>1</v>
      </c>
      <c r="K1317">
        <v>20</v>
      </c>
      <c r="L1317">
        <v>724</v>
      </c>
      <c r="M1317">
        <v>1</v>
      </c>
      <c r="N1317">
        <v>0</v>
      </c>
      <c r="O1317">
        <v>2516</v>
      </c>
    </row>
    <row r="1318" spans="1:15" x14ac:dyDescent="0.25">
      <c r="A1318" t="s">
        <v>1331</v>
      </c>
      <c r="B1318">
        <v>728</v>
      </c>
      <c r="C1318" s="1" t="str">
        <f>HYPERLINK("http://www.rosaceae.org/gb/gbrowse/malus_x_domestica/?name=MDP0000258100","MDP0000258100")</f>
        <v>MDP0000258100</v>
      </c>
      <c r="D1318">
        <v>56.35</v>
      </c>
      <c r="E1318">
        <v>543</v>
      </c>
      <c r="F1318">
        <v>237</v>
      </c>
      <c r="G1318">
        <v>29</v>
      </c>
      <c r="H1318">
        <v>1</v>
      </c>
      <c r="I1318">
        <v>525</v>
      </c>
      <c r="J1318">
        <v>1</v>
      </c>
      <c r="K1318">
        <v>324</v>
      </c>
      <c r="L1318">
        <v>855</v>
      </c>
      <c r="M1318">
        <v>1</v>
      </c>
      <c r="N1318">
        <v>1.29276E-144</v>
      </c>
      <c r="O1318">
        <v>1315</v>
      </c>
    </row>
    <row r="1319" spans="1:15" x14ac:dyDescent="0.25">
      <c r="A1319" t="s">
        <v>1332</v>
      </c>
      <c r="B1319">
        <v>135</v>
      </c>
      <c r="C1319" s="1" t="str">
        <f>HYPERLINK("http://www.rosaceae.org/gb/gbrowse/malus_x_domestica/?name=MDP0000279102","MDP0000279102")</f>
        <v>MDP0000279102</v>
      </c>
      <c r="D1319">
        <v>48.38</v>
      </c>
      <c r="E1319">
        <v>93</v>
      </c>
      <c r="F1319">
        <v>48</v>
      </c>
      <c r="G1319">
        <v>13</v>
      </c>
      <c r="H1319">
        <v>1</v>
      </c>
      <c r="I1319">
        <v>82</v>
      </c>
      <c r="J1319">
        <v>1</v>
      </c>
      <c r="K1319">
        <v>1</v>
      </c>
      <c r="L1319">
        <v>91</v>
      </c>
      <c r="M1319">
        <v>1</v>
      </c>
      <c r="N1319">
        <v>1.4982999999999999E-14</v>
      </c>
      <c r="O1319">
        <v>184</v>
      </c>
    </row>
    <row r="1320" spans="1:15" x14ac:dyDescent="0.25">
      <c r="A1320" t="s">
        <v>1333</v>
      </c>
      <c r="B1320">
        <v>241</v>
      </c>
      <c r="C1320" s="1" t="str">
        <f>HYPERLINK("http://www.rosaceae.org/gb/gbrowse/malus_x_domestica/?name=MDP0000188770","MDP0000188770")</f>
        <v>MDP0000188770</v>
      </c>
      <c r="D1320">
        <v>41.4</v>
      </c>
      <c r="E1320">
        <v>157</v>
      </c>
      <c r="F1320">
        <v>92</v>
      </c>
      <c r="G1320">
        <v>6</v>
      </c>
      <c r="H1320">
        <v>79</v>
      </c>
      <c r="I1320">
        <v>230</v>
      </c>
      <c r="J1320">
        <v>1</v>
      </c>
      <c r="K1320">
        <v>90</v>
      </c>
      <c r="L1320">
        <v>245</v>
      </c>
      <c r="M1320">
        <v>1</v>
      </c>
      <c r="N1320">
        <v>5.7400900000000003E-31</v>
      </c>
      <c r="O1320">
        <v>330</v>
      </c>
    </row>
    <row r="1321" spans="1:15" x14ac:dyDescent="0.25">
      <c r="A1321" t="s">
        <v>1334</v>
      </c>
      <c r="B1321">
        <v>1919</v>
      </c>
      <c r="C1321" s="1" t="str">
        <f>HYPERLINK("http://www.rosaceae.org/gb/gbrowse/malus_x_domestica/?name=MDP0000417617","MDP0000417617")</f>
        <v>MDP0000417617</v>
      </c>
      <c r="D1321">
        <v>71.599999999999994</v>
      </c>
      <c r="E1321">
        <v>1803</v>
      </c>
      <c r="F1321">
        <v>512</v>
      </c>
      <c r="G1321">
        <v>66</v>
      </c>
      <c r="H1321">
        <v>43</v>
      </c>
      <c r="I1321">
        <v>1809</v>
      </c>
      <c r="J1321">
        <v>1</v>
      </c>
      <c r="K1321">
        <v>53</v>
      </c>
      <c r="L1321">
        <v>1825</v>
      </c>
      <c r="M1321">
        <v>1</v>
      </c>
      <c r="N1321">
        <v>0</v>
      </c>
      <c r="O1321">
        <v>6408</v>
      </c>
    </row>
    <row r="1322" spans="1:15" x14ac:dyDescent="0.25">
      <c r="A1322" t="s">
        <v>1335</v>
      </c>
      <c r="B1322">
        <v>194</v>
      </c>
      <c r="C1322" s="1" t="str">
        <f>HYPERLINK("http://www.rosaceae.org/gb/gbrowse/malus_x_domestica/?name=MDP0000161193","MDP0000161193")</f>
        <v>MDP0000161193</v>
      </c>
      <c r="D1322">
        <v>47.05</v>
      </c>
      <c r="E1322">
        <v>85</v>
      </c>
      <c r="F1322">
        <v>45</v>
      </c>
      <c r="G1322">
        <v>0</v>
      </c>
      <c r="H1322">
        <v>109</v>
      </c>
      <c r="I1322">
        <v>193</v>
      </c>
      <c r="J1322">
        <v>1</v>
      </c>
      <c r="K1322">
        <v>243</v>
      </c>
      <c r="L1322">
        <v>327</v>
      </c>
      <c r="M1322">
        <v>1</v>
      </c>
      <c r="N1322">
        <v>6.5938999999999995E-16</v>
      </c>
      <c r="O1322">
        <v>199</v>
      </c>
    </row>
    <row r="1323" spans="1:15" x14ac:dyDescent="0.25">
      <c r="A1323" t="s">
        <v>1336</v>
      </c>
      <c r="B1323">
        <v>614</v>
      </c>
      <c r="C1323" s="1" t="str">
        <f>HYPERLINK("http://www.rosaceae.org/gb/gbrowse/malus_x_domestica/?name=MDP0000437580","MDP0000437580")</f>
        <v>MDP0000437580</v>
      </c>
      <c r="D1323">
        <v>76.540000000000006</v>
      </c>
      <c r="E1323">
        <v>533</v>
      </c>
      <c r="F1323">
        <v>125</v>
      </c>
      <c r="G1323">
        <v>3</v>
      </c>
      <c r="H1323">
        <v>85</v>
      </c>
      <c r="I1323">
        <v>614</v>
      </c>
      <c r="J1323">
        <v>1</v>
      </c>
      <c r="K1323">
        <v>51</v>
      </c>
      <c r="L1323">
        <v>583</v>
      </c>
      <c r="M1323">
        <v>1</v>
      </c>
      <c r="N1323">
        <v>0</v>
      </c>
      <c r="O1323">
        <v>2230</v>
      </c>
    </row>
    <row r="1324" spans="1:15" x14ac:dyDescent="0.25">
      <c r="A1324" t="s">
        <v>1337</v>
      </c>
      <c r="B1324">
        <v>415</v>
      </c>
      <c r="C1324" s="1" t="str">
        <f>HYPERLINK("http://www.rosaceae.org/gb/gbrowse/malus_x_domestica/?name=MDP0000205197","MDP0000205197")</f>
        <v>MDP0000205197</v>
      </c>
      <c r="D1324">
        <v>39.28</v>
      </c>
      <c r="E1324">
        <v>420</v>
      </c>
      <c r="F1324">
        <v>255</v>
      </c>
      <c r="G1324">
        <v>43</v>
      </c>
      <c r="H1324">
        <v>21</v>
      </c>
      <c r="I1324">
        <v>399</v>
      </c>
      <c r="J1324">
        <v>1</v>
      </c>
      <c r="K1324">
        <v>13</v>
      </c>
      <c r="L1324">
        <v>430</v>
      </c>
      <c r="M1324">
        <v>1</v>
      </c>
      <c r="N1324">
        <v>6.3421500000000001E-80</v>
      </c>
      <c r="O1324">
        <v>755</v>
      </c>
    </row>
    <row r="1325" spans="1:15" x14ac:dyDescent="0.25">
      <c r="A1325" t="s">
        <v>1338</v>
      </c>
      <c r="B1325">
        <v>768</v>
      </c>
      <c r="C1325" s="1" t="str">
        <f>HYPERLINK("http://www.rosaceae.org/gb/gbrowse/malus_x_domestica/?name=MDP0000309680","MDP0000309680")</f>
        <v>MDP0000309680</v>
      </c>
      <c r="D1325">
        <v>51.47</v>
      </c>
      <c r="E1325">
        <v>814</v>
      </c>
      <c r="F1325">
        <v>395</v>
      </c>
      <c r="G1325">
        <v>118</v>
      </c>
      <c r="H1325">
        <v>1</v>
      </c>
      <c r="I1325">
        <v>728</v>
      </c>
      <c r="J1325">
        <v>1</v>
      </c>
      <c r="K1325">
        <v>1</v>
      </c>
      <c r="L1325">
        <v>782</v>
      </c>
      <c r="M1325">
        <v>1</v>
      </c>
      <c r="N1325">
        <v>1.4463E-175</v>
      </c>
      <c r="O1325">
        <v>1582</v>
      </c>
    </row>
    <row r="1326" spans="1:15" x14ac:dyDescent="0.25">
      <c r="A1326" t="s">
        <v>1339</v>
      </c>
      <c r="B1326">
        <v>364</v>
      </c>
      <c r="C1326" s="1" t="str">
        <f>HYPERLINK("http://www.rosaceae.org/gb/gbrowse/malus_x_domestica/?name=MDP0000312342","MDP0000312342")</f>
        <v>MDP0000312342</v>
      </c>
      <c r="D1326">
        <v>32.56</v>
      </c>
      <c r="E1326">
        <v>304</v>
      </c>
      <c r="F1326">
        <v>205</v>
      </c>
      <c r="G1326">
        <v>41</v>
      </c>
      <c r="H1326">
        <v>2</v>
      </c>
      <c r="I1326">
        <v>281</v>
      </c>
      <c r="J1326">
        <v>1</v>
      </c>
      <c r="K1326">
        <v>4</v>
      </c>
      <c r="L1326">
        <v>290</v>
      </c>
      <c r="M1326">
        <v>1</v>
      </c>
      <c r="N1326">
        <v>1.69899E-27</v>
      </c>
      <c r="O1326">
        <v>302</v>
      </c>
    </row>
    <row r="1327" spans="1:15" x14ac:dyDescent="0.25">
      <c r="A1327" t="s">
        <v>1340</v>
      </c>
      <c r="B1327">
        <v>526</v>
      </c>
      <c r="C1327" s="1" t="str">
        <f>HYPERLINK("http://www.rosaceae.org/gb/gbrowse/malus_x_domestica/?name=MDP0000231411","MDP0000231411")</f>
        <v>MDP0000231411</v>
      </c>
      <c r="D1327">
        <v>88.42</v>
      </c>
      <c r="E1327">
        <v>190</v>
      </c>
      <c r="F1327">
        <v>22</v>
      </c>
      <c r="G1327">
        <v>1</v>
      </c>
      <c r="H1327">
        <v>1</v>
      </c>
      <c r="I1327">
        <v>190</v>
      </c>
      <c r="J1327">
        <v>1</v>
      </c>
      <c r="K1327">
        <v>1</v>
      </c>
      <c r="L1327">
        <v>189</v>
      </c>
      <c r="M1327">
        <v>1</v>
      </c>
      <c r="N1327">
        <v>8.2612300000000003E-98</v>
      </c>
      <c r="O1327">
        <v>910</v>
      </c>
    </row>
    <row r="1328" spans="1:15" x14ac:dyDescent="0.25">
      <c r="A1328" t="s">
        <v>1341</v>
      </c>
      <c r="B1328">
        <v>183</v>
      </c>
      <c r="C1328" s="1" t="str">
        <f>HYPERLINK("http://www.rosaceae.org/gb/gbrowse/malus_x_domestica/?name=MDP0000138729","MDP0000138729")</f>
        <v>MDP0000138729</v>
      </c>
      <c r="D1328">
        <v>73.069999999999993</v>
      </c>
      <c r="E1328">
        <v>182</v>
      </c>
      <c r="F1328">
        <v>49</v>
      </c>
      <c r="G1328">
        <v>6</v>
      </c>
      <c r="H1328">
        <v>7</v>
      </c>
      <c r="I1328">
        <v>182</v>
      </c>
      <c r="J1328">
        <v>1</v>
      </c>
      <c r="K1328">
        <v>8</v>
      </c>
      <c r="L1328">
        <v>189</v>
      </c>
      <c r="M1328">
        <v>1</v>
      </c>
      <c r="N1328">
        <v>7.0630299999999998E-74</v>
      </c>
      <c r="O1328">
        <v>698</v>
      </c>
    </row>
    <row r="1329" spans="1:15" x14ac:dyDescent="0.25">
      <c r="A1329" t="s">
        <v>1342</v>
      </c>
      <c r="B1329">
        <v>525</v>
      </c>
      <c r="C1329" s="1" t="str">
        <f>HYPERLINK("http://www.rosaceae.org/gb/gbrowse/malus_x_domestica/?name=MDP0000246269","MDP0000246269")</f>
        <v>MDP0000246269</v>
      </c>
      <c r="D1329">
        <v>66.599999999999994</v>
      </c>
      <c r="E1329">
        <v>524</v>
      </c>
      <c r="F1329">
        <v>175</v>
      </c>
      <c r="G1329">
        <v>62</v>
      </c>
      <c r="H1329">
        <v>1</v>
      </c>
      <c r="I1329">
        <v>524</v>
      </c>
      <c r="J1329">
        <v>1</v>
      </c>
      <c r="K1329">
        <v>1</v>
      </c>
      <c r="L1329">
        <v>462</v>
      </c>
      <c r="M1329">
        <v>1</v>
      </c>
      <c r="N1329">
        <v>0</v>
      </c>
      <c r="O1329">
        <v>1793</v>
      </c>
    </row>
    <row r="1330" spans="1:15" x14ac:dyDescent="0.25">
      <c r="A1330" t="s">
        <v>1343</v>
      </c>
      <c r="B1330">
        <v>512</v>
      </c>
      <c r="C1330" s="1" t="str">
        <f>HYPERLINK("http://www.rosaceae.org/gb/gbrowse/malus_x_domestica/?name=MDP0000475886","MDP0000475886")</f>
        <v>MDP0000475886</v>
      </c>
      <c r="D1330">
        <v>76.61</v>
      </c>
      <c r="E1330">
        <v>479</v>
      </c>
      <c r="F1330">
        <v>112</v>
      </c>
      <c r="G1330">
        <v>4</v>
      </c>
      <c r="H1330">
        <v>32</v>
      </c>
      <c r="I1330">
        <v>506</v>
      </c>
      <c r="J1330">
        <v>1</v>
      </c>
      <c r="K1330">
        <v>45</v>
      </c>
      <c r="L1330">
        <v>523</v>
      </c>
      <c r="M1330">
        <v>1</v>
      </c>
      <c r="N1330">
        <v>0</v>
      </c>
      <c r="O1330">
        <v>2027</v>
      </c>
    </row>
    <row r="1331" spans="1:15" x14ac:dyDescent="0.25">
      <c r="A1331" t="s">
        <v>1344</v>
      </c>
      <c r="B1331">
        <v>647</v>
      </c>
      <c r="C1331" s="1" t="str">
        <f>HYPERLINK("http://www.rosaceae.org/gb/gbrowse/malus_x_domestica/?name=MDP0000278022","MDP0000278022")</f>
        <v>MDP0000278022</v>
      </c>
      <c r="D1331">
        <v>77.510000000000005</v>
      </c>
      <c r="E1331">
        <v>556</v>
      </c>
      <c r="F1331">
        <v>125</v>
      </c>
      <c r="G1331">
        <v>19</v>
      </c>
      <c r="H1331">
        <v>4</v>
      </c>
      <c r="I1331">
        <v>548</v>
      </c>
      <c r="J1331">
        <v>1</v>
      </c>
      <c r="K1331">
        <v>2</v>
      </c>
      <c r="L1331">
        <v>549</v>
      </c>
      <c r="M1331">
        <v>1</v>
      </c>
      <c r="N1331">
        <v>0</v>
      </c>
      <c r="O1331">
        <v>2309</v>
      </c>
    </row>
    <row r="1332" spans="1:15" x14ac:dyDescent="0.25">
      <c r="A1332" t="s">
        <v>1345</v>
      </c>
      <c r="B1332">
        <v>627</v>
      </c>
      <c r="C1332" s="1" t="str">
        <f>HYPERLINK("http://www.rosaceae.org/gb/gbrowse/malus_x_domestica/?name=MDP0000405936","MDP0000405936")</f>
        <v>MDP0000405936</v>
      </c>
      <c r="D1332">
        <v>38.5</v>
      </c>
      <c r="E1332">
        <v>400</v>
      </c>
      <c r="F1332">
        <v>246</v>
      </c>
      <c r="G1332">
        <v>14</v>
      </c>
      <c r="H1332">
        <v>235</v>
      </c>
      <c r="I1332">
        <v>625</v>
      </c>
      <c r="J1332">
        <v>1</v>
      </c>
      <c r="K1332">
        <v>82</v>
      </c>
      <c r="L1332">
        <v>476</v>
      </c>
      <c r="M1332">
        <v>1</v>
      </c>
      <c r="N1332">
        <v>2.8267899999999999E-72</v>
      </c>
      <c r="O1332">
        <v>691</v>
      </c>
    </row>
    <row r="1333" spans="1:15" x14ac:dyDescent="0.25">
      <c r="A1333" t="s">
        <v>1346</v>
      </c>
      <c r="B1333">
        <v>192</v>
      </c>
      <c r="C1333" s="1" t="str">
        <f>HYPERLINK("http://www.rosaceae.org/gb/gbrowse/malus_x_domestica/?name=MDP0000304068","MDP0000304068")</f>
        <v>MDP0000304068</v>
      </c>
      <c r="D1333">
        <v>63.57</v>
      </c>
      <c r="E1333">
        <v>140</v>
      </c>
      <c r="F1333">
        <v>51</v>
      </c>
      <c r="G1333">
        <v>1</v>
      </c>
      <c r="H1333">
        <v>34</v>
      </c>
      <c r="I1333">
        <v>173</v>
      </c>
      <c r="J1333">
        <v>1</v>
      </c>
      <c r="K1333">
        <v>314</v>
      </c>
      <c r="L1333">
        <v>452</v>
      </c>
      <c r="M1333">
        <v>1</v>
      </c>
      <c r="N1333">
        <v>2.09184E-47</v>
      </c>
      <c r="O1333">
        <v>470</v>
      </c>
    </row>
    <row r="1334" spans="1:15" x14ac:dyDescent="0.25">
      <c r="A1334" t="s">
        <v>1347</v>
      </c>
      <c r="B1334">
        <v>496</v>
      </c>
      <c r="C1334" s="1" t="str">
        <f>HYPERLINK("http://www.rosaceae.org/gb/gbrowse/malus_x_domestica/?name=MDP0000160711","MDP0000160711")</f>
        <v>MDP0000160711</v>
      </c>
      <c r="D1334">
        <v>75.38</v>
      </c>
      <c r="E1334">
        <v>459</v>
      </c>
      <c r="F1334">
        <v>113</v>
      </c>
      <c r="G1334">
        <v>22</v>
      </c>
      <c r="H1334">
        <v>58</v>
      </c>
      <c r="I1334">
        <v>496</v>
      </c>
      <c r="J1334">
        <v>1</v>
      </c>
      <c r="K1334">
        <v>24</v>
      </c>
      <c r="L1334">
        <v>480</v>
      </c>
      <c r="M1334">
        <v>1</v>
      </c>
      <c r="N1334">
        <v>0</v>
      </c>
      <c r="O1334">
        <v>1794</v>
      </c>
    </row>
    <row r="1335" spans="1:15" x14ac:dyDescent="0.25">
      <c r="A1335" t="s">
        <v>1348</v>
      </c>
      <c r="B1335">
        <v>389</v>
      </c>
      <c r="C1335" s="1" t="str">
        <f>HYPERLINK("http://www.rosaceae.org/gb/gbrowse/malus_x_domestica/?name=MDP0000122458","MDP0000122458")</f>
        <v>MDP0000122458</v>
      </c>
      <c r="D1335">
        <v>57.85</v>
      </c>
      <c r="E1335">
        <v>140</v>
      </c>
      <c r="F1335">
        <v>59</v>
      </c>
      <c r="G1335">
        <v>1</v>
      </c>
      <c r="H1335">
        <v>237</v>
      </c>
      <c r="I1335">
        <v>375</v>
      </c>
      <c r="J1335">
        <v>1</v>
      </c>
      <c r="K1335">
        <v>7</v>
      </c>
      <c r="L1335">
        <v>146</v>
      </c>
      <c r="M1335">
        <v>1</v>
      </c>
      <c r="N1335">
        <v>9.6896200000000003E-38</v>
      </c>
      <c r="O1335">
        <v>391</v>
      </c>
    </row>
    <row r="1336" spans="1:15" x14ac:dyDescent="0.25">
      <c r="A1336" t="s">
        <v>1349</v>
      </c>
      <c r="B1336">
        <v>348</v>
      </c>
      <c r="C1336" s="1" t="str">
        <f>HYPERLINK("http://www.rosaceae.org/gb/gbrowse/malus_x_domestica/?name=MDP0000549369","MDP0000549369")</f>
        <v>MDP0000549369</v>
      </c>
      <c r="D1336">
        <v>74.78</v>
      </c>
      <c r="E1336">
        <v>345</v>
      </c>
      <c r="F1336">
        <v>87</v>
      </c>
      <c r="G1336">
        <v>12</v>
      </c>
      <c r="H1336">
        <v>1</v>
      </c>
      <c r="I1336">
        <v>345</v>
      </c>
      <c r="J1336">
        <v>1</v>
      </c>
      <c r="K1336">
        <v>1</v>
      </c>
      <c r="L1336">
        <v>333</v>
      </c>
      <c r="M1336">
        <v>1</v>
      </c>
      <c r="N1336">
        <v>6.1899800000000001E-152</v>
      </c>
      <c r="O1336">
        <v>1375</v>
      </c>
    </row>
    <row r="1337" spans="1:15" x14ac:dyDescent="0.25">
      <c r="A1337" t="s">
        <v>1350</v>
      </c>
      <c r="B1337">
        <v>101</v>
      </c>
      <c r="C1337" s="1" t="str">
        <f>HYPERLINK("http://www.rosaceae.org/gb/gbrowse/malus_x_domestica/?name=MDP0000729863","MDP0000729863")</f>
        <v>MDP0000729863</v>
      </c>
      <c r="D1337">
        <v>50</v>
      </c>
      <c r="E1337">
        <v>96</v>
      </c>
      <c r="F1337">
        <v>48</v>
      </c>
      <c r="G1337">
        <v>7</v>
      </c>
      <c r="H1337">
        <v>5</v>
      </c>
      <c r="I1337">
        <v>100</v>
      </c>
      <c r="J1337">
        <v>1</v>
      </c>
      <c r="K1337">
        <v>14</v>
      </c>
      <c r="L1337">
        <v>102</v>
      </c>
      <c r="M1337">
        <v>1</v>
      </c>
      <c r="N1337">
        <v>7.3007699999999997E-15</v>
      </c>
      <c r="O1337">
        <v>186</v>
      </c>
    </row>
    <row r="1338" spans="1:15" x14ac:dyDescent="0.25">
      <c r="A1338" t="s">
        <v>1351</v>
      </c>
      <c r="B1338">
        <v>969</v>
      </c>
      <c r="C1338" s="1" t="str">
        <f>HYPERLINK("http://www.rosaceae.org/gb/gbrowse/malus_x_domestica/?name=MDP0000302267","MDP0000302267")</f>
        <v>MDP0000302267</v>
      </c>
      <c r="D1338">
        <v>78.930000000000007</v>
      </c>
      <c r="E1338">
        <v>489</v>
      </c>
      <c r="F1338">
        <v>103</v>
      </c>
      <c r="G1338">
        <v>3</v>
      </c>
      <c r="H1338">
        <v>1</v>
      </c>
      <c r="I1338">
        <v>486</v>
      </c>
      <c r="J1338">
        <v>1</v>
      </c>
      <c r="K1338">
        <v>3</v>
      </c>
      <c r="L1338">
        <v>491</v>
      </c>
      <c r="M1338">
        <v>1</v>
      </c>
      <c r="N1338">
        <v>0</v>
      </c>
      <c r="O1338">
        <v>2041</v>
      </c>
    </row>
    <row r="1339" spans="1:15" x14ac:dyDescent="0.25">
      <c r="A1339" t="s">
        <v>1352</v>
      </c>
      <c r="B1339">
        <v>746</v>
      </c>
      <c r="C1339" s="1" t="str">
        <f>HYPERLINK("http://www.rosaceae.org/gb/gbrowse/malus_x_domestica/?name=MDP0000304174","MDP0000304174")</f>
        <v>MDP0000304174</v>
      </c>
      <c r="D1339">
        <v>66.72</v>
      </c>
      <c r="E1339">
        <v>622</v>
      </c>
      <c r="F1339">
        <v>207</v>
      </c>
      <c r="G1339">
        <v>79</v>
      </c>
      <c r="H1339">
        <v>195</v>
      </c>
      <c r="I1339">
        <v>743</v>
      </c>
      <c r="J1339">
        <v>1</v>
      </c>
      <c r="K1339">
        <v>1</v>
      </c>
      <c r="L1339">
        <v>616</v>
      </c>
      <c r="M1339">
        <v>1</v>
      </c>
      <c r="N1339">
        <v>0</v>
      </c>
      <c r="O1339">
        <v>2067</v>
      </c>
    </row>
    <row r="1340" spans="1:15" x14ac:dyDescent="0.25">
      <c r="A1340" t="s">
        <v>1353</v>
      </c>
      <c r="B1340">
        <v>346</v>
      </c>
      <c r="C1340" s="1" t="str">
        <f>HYPERLINK("http://www.rosaceae.org/gb/gbrowse/malus_x_domestica/?name=MDP0000244738","MDP0000244738")</f>
        <v>MDP0000244738</v>
      </c>
      <c r="D1340">
        <v>31.22</v>
      </c>
      <c r="E1340">
        <v>285</v>
      </c>
      <c r="F1340">
        <v>196</v>
      </c>
      <c r="G1340">
        <v>56</v>
      </c>
      <c r="H1340">
        <v>105</v>
      </c>
      <c r="I1340">
        <v>333</v>
      </c>
      <c r="J1340">
        <v>1</v>
      </c>
      <c r="K1340">
        <v>256</v>
      </c>
      <c r="L1340">
        <v>540</v>
      </c>
      <c r="M1340">
        <v>1</v>
      </c>
      <c r="N1340">
        <v>3.3968200000000001E-35</v>
      </c>
      <c r="O1340">
        <v>368</v>
      </c>
    </row>
    <row r="1341" spans="1:15" x14ac:dyDescent="0.25">
      <c r="A1341" t="s">
        <v>1354</v>
      </c>
      <c r="B1341">
        <v>474</v>
      </c>
      <c r="C1341" s="1" t="str">
        <f>HYPERLINK("http://www.rosaceae.org/gb/gbrowse/malus_x_domestica/?name=MDP0000257637","MDP0000257637")</f>
        <v>MDP0000257637</v>
      </c>
      <c r="D1341">
        <v>73.63</v>
      </c>
      <c r="E1341">
        <v>421</v>
      </c>
      <c r="F1341">
        <v>111</v>
      </c>
      <c r="G1341">
        <v>20</v>
      </c>
      <c r="H1341">
        <v>1</v>
      </c>
      <c r="I1341">
        <v>407</v>
      </c>
      <c r="J1341">
        <v>1</v>
      </c>
      <c r="K1341">
        <v>1</v>
      </c>
      <c r="L1341">
        <v>415</v>
      </c>
      <c r="M1341">
        <v>1</v>
      </c>
      <c r="N1341">
        <v>6.0169599999999998E-180</v>
      </c>
      <c r="O1341">
        <v>1618</v>
      </c>
    </row>
    <row r="1342" spans="1:15" x14ac:dyDescent="0.25">
      <c r="A1342" t="s">
        <v>1355</v>
      </c>
      <c r="B1342">
        <v>650</v>
      </c>
      <c r="C1342" s="1" t="str">
        <f>HYPERLINK("http://www.rosaceae.org/gb/gbrowse/malus_x_domestica/?name=MDP0000884053","MDP0000884053")</f>
        <v>MDP0000884053</v>
      </c>
      <c r="D1342">
        <v>71.040000000000006</v>
      </c>
      <c r="E1342">
        <v>632</v>
      </c>
      <c r="F1342">
        <v>183</v>
      </c>
      <c r="G1342">
        <v>9</v>
      </c>
      <c r="H1342">
        <v>25</v>
      </c>
      <c r="I1342">
        <v>650</v>
      </c>
      <c r="J1342">
        <v>1</v>
      </c>
      <c r="K1342">
        <v>36</v>
      </c>
      <c r="L1342">
        <v>664</v>
      </c>
      <c r="M1342">
        <v>1</v>
      </c>
      <c r="N1342">
        <v>0</v>
      </c>
      <c r="O1342">
        <v>2297</v>
      </c>
    </row>
    <row r="1343" spans="1:15" x14ac:dyDescent="0.25">
      <c r="A1343" t="s">
        <v>1356</v>
      </c>
      <c r="B1343">
        <v>178</v>
      </c>
      <c r="C1343" s="1" t="str">
        <f>HYPERLINK("http://www.rosaceae.org/gb/gbrowse/malus_x_domestica/?name=MDP0000172208","MDP0000172208")</f>
        <v>MDP0000172208</v>
      </c>
      <c r="D1343">
        <v>37.340000000000003</v>
      </c>
      <c r="E1343">
        <v>166</v>
      </c>
      <c r="F1343">
        <v>104</v>
      </c>
      <c r="G1343">
        <v>10</v>
      </c>
      <c r="H1343">
        <v>12</v>
      </c>
      <c r="I1343">
        <v>173</v>
      </c>
      <c r="J1343">
        <v>1</v>
      </c>
      <c r="K1343">
        <v>237</v>
      </c>
      <c r="L1343">
        <v>396</v>
      </c>
      <c r="M1343">
        <v>1</v>
      </c>
      <c r="N1343">
        <v>1.05246E-16</v>
      </c>
      <c r="O1343">
        <v>205</v>
      </c>
    </row>
    <row r="1344" spans="1:15" x14ac:dyDescent="0.25">
      <c r="A1344" t="s">
        <v>1357</v>
      </c>
      <c r="B1344">
        <v>211</v>
      </c>
      <c r="C1344" s="1" t="str">
        <f>HYPERLINK("http://www.rosaceae.org/gb/gbrowse/malus_x_domestica/?name=MDP0000296002","MDP0000296002")</f>
        <v>MDP0000296002</v>
      </c>
      <c r="D1344">
        <v>75.11</v>
      </c>
      <c r="E1344">
        <v>209</v>
      </c>
      <c r="F1344">
        <v>52</v>
      </c>
      <c r="G1344">
        <v>2</v>
      </c>
      <c r="H1344">
        <v>3</v>
      </c>
      <c r="I1344">
        <v>210</v>
      </c>
      <c r="J1344">
        <v>1</v>
      </c>
      <c r="K1344">
        <v>4</v>
      </c>
      <c r="L1344">
        <v>211</v>
      </c>
      <c r="M1344">
        <v>1</v>
      </c>
      <c r="N1344">
        <v>1.7315399999999999E-82</v>
      </c>
      <c r="O1344">
        <v>773</v>
      </c>
    </row>
    <row r="1345" spans="1:15" x14ac:dyDescent="0.25">
      <c r="A1345" t="s">
        <v>1358</v>
      </c>
      <c r="B1345">
        <v>174</v>
      </c>
      <c r="C1345" s="1" t="str">
        <f>HYPERLINK("http://www.rosaceae.org/gb/gbrowse/malus_x_domestica/?name=MDP0000320216","MDP0000320216")</f>
        <v>MDP0000320216</v>
      </c>
      <c r="D1345">
        <v>77.55</v>
      </c>
      <c r="E1345">
        <v>147</v>
      </c>
      <c r="F1345">
        <v>33</v>
      </c>
      <c r="G1345">
        <v>0</v>
      </c>
      <c r="H1345">
        <v>28</v>
      </c>
      <c r="I1345">
        <v>174</v>
      </c>
      <c r="J1345">
        <v>1</v>
      </c>
      <c r="K1345">
        <v>28</v>
      </c>
      <c r="L1345">
        <v>174</v>
      </c>
      <c r="M1345">
        <v>1</v>
      </c>
      <c r="N1345">
        <v>3.6866800000000003E-64</v>
      </c>
      <c r="O1345">
        <v>614</v>
      </c>
    </row>
    <row r="1346" spans="1:15" x14ac:dyDescent="0.25">
      <c r="A1346" t="s">
        <v>1359</v>
      </c>
      <c r="B1346">
        <v>270</v>
      </c>
      <c r="C1346" s="1" t="str">
        <f>HYPERLINK("http://www.rosaceae.org/gb/gbrowse/malus_x_domestica/?name=MDP0000244560","MDP0000244560")</f>
        <v>MDP0000244560</v>
      </c>
      <c r="D1346">
        <v>72.599999999999994</v>
      </c>
      <c r="E1346">
        <v>219</v>
      </c>
      <c r="F1346">
        <v>60</v>
      </c>
      <c r="G1346">
        <v>0</v>
      </c>
      <c r="H1346">
        <v>2</v>
      </c>
      <c r="I1346">
        <v>220</v>
      </c>
      <c r="J1346">
        <v>1</v>
      </c>
      <c r="K1346">
        <v>586</v>
      </c>
      <c r="L1346">
        <v>804</v>
      </c>
      <c r="M1346">
        <v>1</v>
      </c>
      <c r="N1346">
        <v>1.6048100000000001E-93</v>
      </c>
      <c r="O1346">
        <v>870</v>
      </c>
    </row>
    <row r="1347" spans="1:15" x14ac:dyDescent="0.25">
      <c r="A1347" t="s">
        <v>1360</v>
      </c>
      <c r="B1347">
        <v>157</v>
      </c>
      <c r="C1347" s="1" t="str">
        <f>HYPERLINK("http://www.rosaceae.org/gb/gbrowse/malus_x_domestica/?name=MDP0000285709","MDP0000285709")</f>
        <v>MDP0000285709</v>
      </c>
      <c r="D1347">
        <v>77.77</v>
      </c>
      <c r="E1347">
        <v>135</v>
      </c>
      <c r="F1347">
        <v>30</v>
      </c>
      <c r="G1347">
        <v>1</v>
      </c>
      <c r="H1347">
        <v>1</v>
      </c>
      <c r="I1347">
        <v>135</v>
      </c>
      <c r="J1347">
        <v>1</v>
      </c>
      <c r="K1347">
        <v>1</v>
      </c>
      <c r="L1347">
        <v>134</v>
      </c>
      <c r="M1347">
        <v>1</v>
      </c>
      <c r="N1347">
        <v>5.8397699999999997E-58</v>
      </c>
      <c r="O1347">
        <v>560</v>
      </c>
    </row>
    <row r="1348" spans="1:15" x14ac:dyDescent="0.25">
      <c r="A1348" t="s">
        <v>1361</v>
      </c>
      <c r="B1348">
        <v>454</v>
      </c>
      <c r="C1348" s="1" t="str">
        <f>HYPERLINK("http://www.rosaceae.org/gb/gbrowse/malus_x_domestica/?name=MDP0000159246","MDP0000159246")</f>
        <v>MDP0000159246</v>
      </c>
      <c r="D1348">
        <v>53.46</v>
      </c>
      <c r="E1348">
        <v>346</v>
      </c>
      <c r="F1348">
        <v>161</v>
      </c>
      <c r="G1348">
        <v>95</v>
      </c>
      <c r="H1348">
        <v>73</v>
      </c>
      <c r="I1348">
        <v>331</v>
      </c>
      <c r="J1348">
        <v>1</v>
      </c>
      <c r="K1348">
        <v>220</v>
      </c>
      <c r="L1348">
        <v>557</v>
      </c>
      <c r="M1348">
        <v>1</v>
      </c>
      <c r="N1348">
        <v>1.8331099999999999E-86</v>
      </c>
      <c r="O1348">
        <v>812</v>
      </c>
    </row>
    <row r="1349" spans="1:15" x14ac:dyDescent="0.25">
      <c r="A1349" t="s">
        <v>1362</v>
      </c>
      <c r="B1349">
        <v>182</v>
      </c>
      <c r="C1349" s="1" t="str">
        <f>HYPERLINK("http://www.rosaceae.org/gb/gbrowse/malus_x_domestica/?name=MDP0000210715","MDP0000210715")</f>
        <v>MDP0000210715</v>
      </c>
      <c r="D1349">
        <v>96.66</v>
      </c>
      <c r="E1349">
        <v>60</v>
      </c>
      <c r="F1349">
        <v>2</v>
      </c>
      <c r="G1349">
        <v>0</v>
      </c>
      <c r="H1349">
        <v>16</v>
      </c>
      <c r="I1349">
        <v>75</v>
      </c>
      <c r="J1349">
        <v>1</v>
      </c>
      <c r="K1349">
        <v>16</v>
      </c>
      <c r="L1349">
        <v>75</v>
      </c>
      <c r="M1349">
        <v>1</v>
      </c>
      <c r="N1349">
        <v>6.24416E-27</v>
      </c>
      <c r="O1349">
        <v>293</v>
      </c>
    </row>
    <row r="1350" spans="1:15" x14ac:dyDescent="0.25">
      <c r="A1350" t="s">
        <v>1363</v>
      </c>
      <c r="B1350">
        <v>197</v>
      </c>
      <c r="C1350" s="1" t="str">
        <f>HYPERLINK("http://www.rosaceae.org/gb/gbrowse/malus_x_domestica/?name=MDP0000833745","MDP0000833745")</f>
        <v>MDP0000833745</v>
      </c>
      <c r="D1350">
        <v>55.17</v>
      </c>
      <c r="E1350">
        <v>116</v>
      </c>
      <c r="F1350">
        <v>52</v>
      </c>
      <c r="G1350">
        <v>2</v>
      </c>
      <c r="H1350">
        <v>83</v>
      </c>
      <c r="I1350">
        <v>197</v>
      </c>
      <c r="J1350">
        <v>1</v>
      </c>
      <c r="K1350">
        <v>26</v>
      </c>
      <c r="L1350">
        <v>140</v>
      </c>
      <c r="M1350">
        <v>1</v>
      </c>
      <c r="N1350">
        <v>2.79908E-27</v>
      </c>
      <c r="O1350">
        <v>297</v>
      </c>
    </row>
    <row r="1351" spans="1:15" x14ac:dyDescent="0.25">
      <c r="A1351" t="s">
        <v>1364</v>
      </c>
      <c r="B1351">
        <v>555</v>
      </c>
      <c r="C1351" s="1" t="str">
        <f>HYPERLINK("http://www.rosaceae.org/gb/gbrowse/malus_x_domestica/?name=MDP0000278168","MDP0000278168")</f>
        <v>MDP0000278168</v>
      </c>
      <c r="D1351">
        <v>42.03</v>
      </c>
      <c r="E1351">
        <v>559</v>
      </c>
      <c r="F1351">
        <v>324</v>
      </c>
      <c r="G1351">
        <v>60</v>
      </c>
      <c r="H1351">
        <v>2</v>
      </c>
      <c r="I1351">
        <v>539</v>
      </c>
      <c r="J1351">
        <v>1</v>
      </c>
      <c r="K1351">
        <v>302</v>
      </c>
      <c r="L1351">
        <v>821</v>
      </c>
      <c r="M1351">
        <v>1</v>
      </c>
      <c r="N1351">
        <v>5.9567499999999999E-84</v>
      </c>
      <c r="O1351">
        <v>791</v>
      </c>
    </row>
    <row r="1352" spans="1:15" x14ac:dyDescent="0.25">
      <c r="A1352" t="s">
        <v>1365</v>
      </c>
      <c r="B1352">
        <v>270</v>
      </c>
      <c r="C1352" s="1" t="str">
        <f>HYPERLINK("http://www.rosaceae.org/gb/gbrowse/malus_x_domestica/?name=MDP0000290966","MDP0000290966")</f>
        <v>MDP0000290966</v>
      </c>
      <c r="D1352">
        <v>29.01</v>
      </c>
      <c r="E1352">
        <v>193</v>
      </c>
      <c r="F1352">
        <v>137</v>
      </c>
      <c r="G1352">
        <v>13</v>
      </c>
      <c r="H1352">
        <v>69</v>
      </c>
      <c r="I1352">
        <v>261</v>
      </c>
      <c r="J1352">
        <v>1</v>
      </c>
      <c r="K1352">
        <v>88</v>
      </c>
      <c r="L1352">
        <v>267</v>
      </c>
      <c r="M1352">
        <v>1</v>
      </c>
      <c r="N1352">
        <v>5.59654E-15</v>
      </c>
      <c r="O1352">
        <v>193</v>
      </c>
    </row>
    <row r="1353" spans="1:15" x14ac:dyDescent="0.25">
      <c r="A1353" t="s">
        <v>1366</v>
      </c>
      <c r="B1353">
        <v>669</v>
      </c>
      <c r="C1353" s="1" t="str">
        <f>HYPERLINK("http://www.rosaceae.org/gb/gbrowse/malus_x_domestica/?name=MDP0000258630","MDP0000258630")</f>
        <v>MDP0000258630</v>
      </c>
      <c r="D1353">
        <v>77.680000000000007</v>
      </c>
      <c r="E1353">
        <v>596</v>
      </c>
      <c r="F1353">
        <v>133</v>
      </c>
      <c r="G1353">
        <v>3</v>
      </c>
      <c r="H1353">
        <v>76</v>
      </c>
      <c r="I1353">
        <v>669</v>
      </c>
      <c r="J1353">
        <v>1</v>
      </c>
      <c r="K1353">
        <v>35</v>
      </c>
      <c r="L1353">
        <v>629</v>
      </c>
      <c r="M1353">
        <v>1</v>
      </c>
      <c r="N1353">
        <v>0</v>
      </c>
      <c r="O1353">
        <v>2372</v>
      </c>
    </row>
    <row r="1354" spans="1:15" x14ac:dyDescent="0.25">
      <c r="A1354" t="s">
        <v>1367</v>
      </c>
      <c r="B1354">
        <v>378</v>
      </c>
      <c r="C1354" s="1" t="str">
        <f>HYPERLINK("http://www.rosaceae.org/gb/gbrowse/malus_x_domestica/?name=MDP0000792734","MDP0000792734")</f>
        <v>MDP0000792734</v>
      </c>
      <c r="D1354">
        <v>50.84</v>
      </c>
      <c r="E1354">
        <v>356</v>
      </c>
      <c r="F1354">
        <v>175</v>
      </c>
      <c r="G1354">
        <v>7</v>
      </c>
      <c r="H1354">
        <v>27</v>
      </c>
      <c r="I1354">
        <v>378</v>
      </c>
      <c r="J1354">
        <v>1</v>
      </c>
      <c r="K1354">
        <v>51</v>
      </c>
      <c r="L1354">
        <v>403</v>
      </c>
      <c r="M1354">
        <v>1</v>
      </c>
      <c r="N1354">
        <v>8.6444000000000004E-94</v>
      </c>
      <c r="O1354">
        <v>874</v>
      </c>
    </row>
    <row r="1355" spans="1:15" x14ac:dyDescent="0.25">
      <c r="A1355" t="s">
        <v>1368</v>
      </c>
      <c r="B1355">
        <v>113</v>
      </c>
      <c r="C1355" s="1" t="str">
        <f>HYPERLINK("http://www.rosaceae.org/gb/gbrowse/malus_x_domestica/?name=MDP0000555752","MDP0000555752")</f>
        <v>MDP0000555752</v>
      </c>
      <c r="D1355">
        <v>57.14</v>
      </c>
      <c r="E1355">
        <v>56</v>
      </c>
      <c r="F1355">
        <v>24</v>
      </c>
      <c r="G1355">
        <v>1</v>
      </c>
      <c r="H1355">
        <v>1</v>
      </c>
      <c r="I1355">
        <v>55</v>
      </c>
      <c r="J1355">
        <v>1</v>
      </c>
      <c r="K1355">
        <v>148</v>
      </c>
      <c r="L1355">
        <v>203</v>
      </c>
      <c r="M1355">
        <v>1</v>
      </c>
      <c r="N1355">
        <v>4.1894499999999999E-13</v>
      </c>
      <c r="O1355">
        <v>170</v>
      </c>
    </row>
    <row r="1356" spans="1:15" x14ac:dyDescent="0.25">
      <c r="A1356" t="s">
        <v>1369</v>
      </c>
      <c r="B1356">
        <v>356</v>
      </c>
      <c r="C1356" s="1" t="str">
        <f>HYPERLINK("http://www.rosaceae.org/gb/gbrowse/malus_x_domestica/?name=MDP0000301534","MDP0000301534")</f>
        <v>MDP0000301534</v>
      </c>
      <c r="D1356">
        <v>68.52</v>
      </c>
      <c r="E1356">
        <v>359</v>
      </c>
      <c r="F1356">
        <v>113</v>
      </c>
      <c r="G1356">
        <v>6</v>
      </c>
      <c r="H1356">
        <v>3</v>
      </c>
      <c r="I1356">
        <v>355</v>
      </c>
      <c r="J1356">
        <v>1</v>
      </c>
      <c r="K1356">
        <v>5</v>
      </c>
      <c r="L1356">
        <v>363</v>
      </c>
      <c r="M1356">
        <v>1</v>
      </c>
      <c r="N1356">
        <v>1.4570899999999999E-132</v>
      </c>
      <c r="O1356">
        <v>1208</v>
      </c>
    </row>
    <row r="1357" spans="1:15" x14ac:dyDescent="0.25">
      <c r="A1357" t="s">
        <v>1370</v>
      </c>
      <c r="B1357">
        <v>300</v>
      </c>
      <c r="C1357" s="1" t="str">
        <f>HYPERLINK("http://www.rosaceae.org/gb/gbrowse/malus_x_domestica/?name=MDP0000376446","MDP0000376446")</f>
        <v>MDP0000376446</v>
      </c>
      <c r="D1357">
        <v>60.46</v>
      </c>
      <c r="E1357">
        <v>129</v>
      </c>
      <c r="F1357">
        <v>51</v>
      </c>
      <c r="G1357">
        <v>1</v>
      </c>
      <c r="H1357">
        <v>47</v>
      </c>
      <c r="I1357">
        <v>174</v>
      </c>
      <c r="J1357">
        <v>1</v>
      </c>
      <c r="K1357">
        <v>24</v>
      </c>
      <c r="L1357">
        <v>152</v>
      </c>
      <c r="M1357">
        <v>1</v>
      </c>
      <c r="N1357">
        <v>4.9359399999999999E-35</v>
      </c>
      <c r="O1357">
        <v>366</v>
      </c>
    </row>
    <row r="1358" spans="1:15" x14ac:dyDescent="0.25">
      <c r="A1358" t="s">
        <v>1371</v>
      </c>
      <c r="B1358">
        <v>145</v>
      </c>
      <c r="C1358" s="1" t="str">
        <f>HYPERLINK("http://www.rosaceae.org/gb/gbrowse/malus_x_domestica/?name=MDP0000143220","MDP0000143220")</f>
        <v>MDP0000143220</v>
      </c>
      <c r="D1358">
        <v>88.88</v>
      </c>
      <c r="E1358">
        <v>144</v>
      </c>
      <c r="F1358">
        <v>16</v>
      </c>
      <c r="G1358">
        <v>0</v>
      </c>
      <c r="H1358">
        <v>2</v>
      </c>
      <c r="I1358">
        <v>145</v>
      </c>
      <c r="J1358">
        <v>1</v>
      </c>
      <c r="K1358">
        <v>413</v>
      </c>
      <c r="L1358">
        <v>556</v>
      </c>
      <c r="M1358">
        <v>1</v>
      </c>
      <c r="N1358">
        <v>4.2014199999999999E-72</v>
      </c>
      <c r="O1358">
        <v>681</v>
      </c>
    </row>
    <row r="1359" spans="1:15" x14ac:dyDescent="0.25">
      <c r="A1359" t="s">
        <v>1372</v>
      </c>
      <c r="B1359">
        <v>837</v>
      </c>
      <c r="C1359" s="1" t="str">
        <f>HYPERLINK("http://www.rosaceae.org/gb/gbrowse/malus_x_domestica/?name=MDP0000264059","MDP0000264059")</f>
        <v>MDP0000264059</v>
      </c>
      <c r="D1359">
        <v>57.79</v>
      </c>
      <c r="E1359">
        <v>462</v>
      </c>
      <c r="F1359">
        <v>195</v>
      </c>
      <c r="G1359">
        <v>22</v>
      </c>
      <c r="H1359">
        <v>300</v>
      </c>
      <c r="I1359">
        <v>740</v>
      </c>
      <c r="J1359">
        <v>1</v>
      </c>
      <c r="K1359">
        <v>586</v>
      </c>
      <c r="L1359">
        <v>1046</v>
      </c>
      <c r="M1359">
        <v>1</v>
      </c>
      <c r="N1359">
        <v>4.0597800000000004E-136</v>
      </c>
      <c r="O1359">
        <v>1243</v>
      </c>
    </row>
    <row r="1360" spans="1:15" x14ac:dyDescent="0.25">
      <c r="A1360" t="s">
        <v>1373</v>
      </c>
      <c r="B1360">
        <v>952</v>
      </c>
      <c r="C1360" s="1" t="str">
        <f>HYPERLINK("http://www.rosaceae.org/gb/gbrowse/malus_x_domestica/?name=MDP0000247940","MDP0000247940")</f>
        <v>MDP0000247940</v>
      </c>
      <c r="D1360">
        <v>49.46</v>
      </c>
      <c r="E1360">
        <v>562</v>
      </c>
      <c r="F1360">
        <v>284</v>
      </c>
      <c r="G1360">
        <v>70</v>
      </c>
      <c r="H1360">
        <v>3</v>
      </c>
      <c r="I1360">
        <v>542</v>
      </c>
      <c r="J1360">
        <v>1</v>
      </c>
      <c r="K1360">
        <v>4</v>
      </c>
      <c r="L1360">
        <v>517</v>
      </c>
      <c r="M1360">
        <v>1</v>
      </c>
      <c r="N1360">
        <v>1.39662E-134</v>
      </c>
      <c r="O1360">
        <v>1230</v>
      </c>
    </row>
    <row r="1361" spans="1:15" x14ac:dyDescent="0.25">
      <c r="A1361" t="s">
        <v>1374</v>
      </c>
      <c r="B1361">
        <v>867</v>
      </c>
      <c r="C1361" s="1" t="str">
        <f>HYPERLINK("http://www.rosaceae.org/gb/gbrowse/malus_x_domestica/?name=MDP0000151981","MDP0000151981")</f>
        <v>MDP0000151981</v>
      </c>
      <c r="D1361">
        <v>55.31</v>
      </c>
      <c r="E1361">
        <v>866</v>
      </c>
      <c r="F1361">
        <v>387</v>
      </c>
      <c r="G1361">
        <v>64</v>
      </c>
      <c r="H1361">
        <v>29</v>
      </c>
      <c r="I1361">
        <v>865</v>
      </c>
      <c r="J1361">
        <v>1</v>
      </c>
      <c r="K1361">
        <v>83</v>
      </c>
      <c r="L1361">
        <v>913</v>
      </c>
      <c r="M1361">
        <v>1</v>
      </c>
      <c r="N1361">
        <v>0</v>
      </c>
      <c r="O1361">
        <v>2456</v>
      </c>
    </row>
    <row r="1362" spans="1:15" x14ac:dyDescent="0.25">
      <c r="A1362" t="s">
        <v>1375</v>
      </c>
      <c r="B1362">
        <v>857</v>
      </c>
      <c r="C1362" s="1" t="str">
        <f>HYPERLINK("http://www.rosaceae.org/gb/gbrowse/malus_x_domestica/?name=MDP0000305297","MDP0000305297")</f>
        <v>MDP0000305297</v>
      </c>
      <c r="D1362">
        <v>58.88</v>
      </c>
      <c r="E1362">
        <v>557</v>
      </c>
      <c r="F1362">
        <v>229</v>
      </c>
      <c r="G1362">
        <v>66</v>
      </c>
      <c r="H1362">
        <v>327</v>
      </c>
      <c r="I1362">
        <v>837</v>
      </c>
      <c r="J1362">
        <v>1</v>
      </c>
      <c r="K1362">
        <v>160</v>
      </c>
      <c r="L1362">
        <v>696</v>
      </c>
      <c r="M1362">
        <v>1</v>
      </c>
      <c r="N1362">
        <v>9.6526100000000005E-178</v>
      </c>
      <c r="O1362">
        <v>1602</v>
      </c>
    </row>
    <row r="1363" spans="1:15" x14ac:dyDescent="0.25">
      <c r="A1363" t="s">
        <v>1376</v>
      </c>
      <c r="B1363">
        <v>168</v>
      </c>
      <c r="C1363" s="1" t="str">
        <f>HYPERLINK("http://www.rosaceae.org/gb/gbrowse/malus_x_domestica/?name=MDP0000239437","MDP0000239437")</f>
        <v>MDP0000239437</v>
      </c>
      <c r="D1363">
        <v>60.6</v>
      </c>
      <c r="E1363">
        <v>99</v>
      </c>
      <c r="F1363">
        <v>39</v>
      </c>
      <c r="G1363">
        <v>0</v>
      </c>
      <c r="H1363">
        <v>26</v>
      </c>
      <c r="I1363">
        <v>124</v>
      </c>
      <c r="J1363">
        <v>1</v>
      </c>
      <c r="K1363">
        <v>31</v>
      </c>
      <c r="L1363">
        <v>129</v>
      </c>
      <c r="M1363">
        <v>1</v>
      </c>
      <c r="N1363">
        <v>8.7448200000000005E-32</v>
      </c>
      <c r="O1363">
        <v>334</v>
      </c>
    </row>
    <row r="1364" spans="1:15" x14ac:dyDescent="0.25">
      <c r="A1364" t="s">
        <v>1377</v>
      </c>
      <c r="B1364">
        <v>253</v>
      </c>
      <c r="C1364" s="1" t="str">
        <f>HYPERLINK("http://www.rosaceae.org/gb/gbrowse/malus_x_domestica/?name=MDP0000240373","MDP0000240373")</f>
        <v>MDP0000240373</v>
      </c>
      <c r="D1364">
        <v>51.36</v>
      </c>
      <c r="E1364">
        <v>146</v>
      </c>
      <c r="F1364">
        <v>71</v>
      </c>
      <c r="G1364">
        <v>15</v>
      </c>
      <c r="H1364">
        <v>99</v>
      </c>
      <c r="I1364">
        <v>235</v>
      </c>
      <c r="J1364">
        <v>1</v>
      </c>
      <c r="K1364">
        <v>335</v>
      </c>
      <c r="L1364">
        <v>474</v>
      </c>
      <c r="M1364">
        <v>1</v>
      </c>
      <c r="N1364">
        <v>2.1962299999999998E-31</v>
      </c>
      <c r="O1364">
        <v>334</v>
      </c>
    </row>
    <row r="1365" spans="1:15" x14ac:dyDescent="0.25">
      <c r="A1365" t="s">
        <v>1378</v>
      </c>
      <c r="B1365">
        <v>217</v>
      </c>
      <c r="C1365" s="1" t="str">
        <f>HYPERLINK("http://www.rosaceae.org/gb/gbrowse/malus_x_domestica/?name=MDP0000637607","MDP0000637607")</f>
        <v>MDP0000637607</v>
      </c>
      <c r="D1365">
        <v>75.209999999999994</v>
      </c>
      <c r="E1365">
        <v>117</v>
      </c>
      <c r="F1365">
        <v>29</v>
      </c>
      <c r="G1365">
        <v>0</v>
      </c>
      <c r="H1365">
        <v>16</v>
      </c>
      <c r="I1365">
        <v>132</v>
      </c>
      <c r="J1365">
        <v>1</v>
      </c>
      <c r="K1365">
        <v>19</v>
      </c>
      <c r="L1365">
        <v>135</v>
      </c>
      <c r="M1365">
        <v>1</v>
      </c>
      <c r="N1365">
        <v>3.9754100000000001E-43</v>
      </c>
      <c r="O1365">
        <v>434</v>
      </c>
    </row>
    <row r="1366" spans="1:15" x14ac:dyDescent="0.25">
      <c r="A1366" t="s">
        <v>1379</v>
      </c>
      <c r="B1366">
        <v>210</v>
      </c>
      <c r="C1366" s="1" t="str">
        <f>HYPERLINK("http://www.rosaceae.org/gb/gbrowse/malus_x_domestica/?name=MDP0000815097","MDP0000815097")</f>
        <v>MDP0000815097</v>
      </c>
      <c r="D1366">
        <v>58.41</v>
      </c>
      <c r="E1366">
        <v>214</v>
      </c>
      <c r="F1366">
        <v>89</v>
      </c>
      <c r="G1366">
        <v>4</v>
      </c>
      <c r="H1366">
        <v>1</v>
      </c>
      <c r="I1366">
        <v>210</v>
      </c>
      <c r="J1366">
        <v>1</v>
      </c>
      <c r="K1366">
        <v>1</v>
      </c>
      <c r="L1366">
        <v>214</v>
      </c>
      <c r="M1366">
        <v>1</v>
      </c>
      <c r="N1366">
        <v>1.1943000000000001E-66</v>
      </c>
      <c r="O1366">
        <v>637</v>
      </c>
    </row>
    <row r="1367" spans="1:15" x14ac:dyDescent="0.25">
      <c r="A1367" t="s">
        <v>1380</v>
      </c>
      <c r="B1367">
        <v>277</v>
      </c>
      <c r="C1367" s="1" t="str">
        <f>HYPERLINK("http://www.rosaceae.org/gb/gbrowse/malus_x_domestica/?name=MDP0000739471","MDP0000739471")</f>
        <v>MDP0000739471</v>
      </c>
      <c r="D1367">
        <v>57.4</v>
      </c>
      <c r="E1367">
        <v>270</v>
      </c>
      <c r="F1367">
        <v>115</v>
      </c>
      <c r="G1367">
        <v>25</v>
      </c>
      <c r="H1367">
        <v>4</v>
      </c>
      <c r="I1367">
        <v>273</v>
      </c>
      <c r="J1367">
        <v>1</v>
      </c>
      <c r="K1367">
        <v>1</v>
      </c>
      <c r="L1367">
        <v>245</v>
      </c>
      <c r="M1367">
        <v>1</v>
      </c>
      <c r="N1367">
        <v>2.9070099999999998E-84</v>
      </c>
      <c r="O1367">
        <v>790</v>
      </c>
    </row>
    <row r="1368" spans="1:15" x14ac:dyDescent="0.25">
      <c r="A1368" t="s">
        <v>1381</v>
      </c>
      <c r="B1368">
        <v>194</v>
      </c>
      <c r="C1368" s="1" t="str">
        <f>HYPERLINK("http://www.rosaceae.org/gb/gbrowse/malus_x_domestica/?name=MDP0000139844","MDP0000139844")</f>
        <v>MDP0000139844</v>
      </c>
      <c r="D1368">
        <v>78.86</v>
      </c>
      <c r="E1368">
        <v>194</v>
      </c>
      <c r="F1368">
        <v>41</v>
      </c>
      <c r="G1368">
        <v>1</v>
      </c>
      <c r="H1368">
        <v>1</v>
      </c>
      <c r="I1368">
        <v>194</v>
      </c>
      <c r="J1368">
        <v>1</v>
      </c>
      <c r="K1368">
        <v>1</v>
      </c>
      <c r="L1368">
        <v>193</v>
      </c>
      <c r="M1368">
        <v>1</v>
      </c>
      <c r="N1368">
        <v>1.9578099999999999E-89</v>
      </c>
      <c r="O1368">
        <v>833</v>
      </c>
    </row>
    <row r="1369" spans="1:15" x14ac:dyDescent="0.25">
      <c r="A1369" t="s">
        <v>1382</v>
      </c>
      <c r="B1369">
        <v>127</v>
      </c>
      <c r="C1369" s="1" t="str">
        <f>HYPERLINK("http://www.rosaceae.org/gb/gbrowse/malus_x_domestica/?name=MDP0000239826","MDP0000239826")</f>
        <v>MDP0000239826</v>
      </c>
      <c r="D1369">
        <v>45.45</v>
      </c>
      <c r="E1369">
        <v>44</v>
      </c>
      <c r="F1369">
        <v>24</v>
      </c>
      <c r="G1369">
        <v>0</v>
      </c>
      <c r="H1369">
        <v>76</v>
      </c>
      <c r="I1369">
        <v>119</v>
      </c>
      <c r="J1369">
        <v>1</v>
      </c>
      <c r="K1369">
        <v>344</v>
      </c>
      <c r="L1369">
        <v>387</v>
      </c>
      <c r="M1369">
        <v>1</v>
      </c>
      <c r="N1369">
        <v>1.5278400000000001E-8</v>
      </c>
      <c r="O1369">
        <v>131</v>
      </c>
    </row>
    <row r="1370" spans="1:15" x14ac:dyDescent="0.25">
      <c r="A1370" t="s">
        <v>1383</v>
      </c>
      <c r="B1370">
        <v>534</v>
      </c>
      <c r="C1370" s="1" t="str">
        <f>HYPERLINK("http://www.rosaceae.org/gb/gbrowse/malus_x_domestica/?name=MDP0000700517","MDP0000700517")</f>
        <v>MDP0000700517</v>
      </c>
      <c r="D1370">
        <v>26.55</v>
      </c>
      <c r="E1370">
        <v>241</v>
      </c>
      <c r="F1370">
        <v>177</v>
      </c>
      <c r="G1370">
        <v>19</v>
      </c>
      <c r="H1370">
        <v>147</v>
      </c>
      <c r="I1370">
        <v>370</v>
      </c>
      <c r="J1370">
        <v>1</v>
      </c>
      <c r="K1370">
        <v>94</v>
      </c>
      <c r="L1370">
        <v>332</v>
      </c>
      <c r="M1370">
        <v>1</v>
      </c>
      <c r="N1370">
        <v>1.90259E-19</v>
      </c>
      <c r="O1370">
        <v>234</v>
      </c>
    </row>
    <row r="1371" spans="1:15" x14ac:dyDescent="0.25">
      <c r="A1371" t="s">
        <v>1384</v>
      </c>
      <c r="B1371">
        <v>528</v>
      </c>
      <c r="C1371" s="1" t="str">
        <f>HYPERLINK("http://www.rosaceae.org/gb/gbrowse/malus_x_domestica/?name=MDP0000196385","MDP0000196385")</f>
        <v>MDP0000196385</v>
      </c>
      <c r="D1371">
        <v>84.5</v>
      </c>
      <c r="E1371">
        <v>497</v>
      </c>
      <c r="F1371">
        <v>77</v>
      </c>
      <c r="G1371">
        <v>2</v>
      </c>
      <c r="H1371">
        <v>6</v>
      </c>
      <c r="I1371">
        <v>500</v>
      </c>
      <c r="J1371">
        <v>1</v>
      </c>
      <c r="K1371">
        <v>180</v>
      </c>
      <c r="L1371">
        <v>676</v>
      </c>
      <c r="M1371">
        <v>1</v>
      </c>
      <c r="N1371">
        <v>0</v>
      </c>
      <c r="O1371">
        <v>2266</v>
      </c>
    </row>
    <row r="1372" spans="1:15" x14ac:dyDescent="0.25">
      <c r="A1372" t="s">
        <v>1385</v>
      </c>
      <c r="B1372">
        <v>461</v>
      </c>
      <c r="C1372" s="1" t="str">
        <f>HYPERLINK("http://www.rosaceae.org/gb/gbrowse/malus_x_domestica/?name=MDP0000170851","MDP0000170851")</f>
        <v>MDP0000170851</v>
      </c>
      <c r="D1372">
        <v>37.81</v>
      </c>
      <c r="E1372">
        <v>402</v>
      </c>
      <c r="F1372">
        <v>250</v>
      </c>
      <c r="G1372">
        <v>95</v>
      </c>
      <c r="H1372">
        <v>22</v>
      </c>
      <c r="I1372">
        <v>359</v>
      </c>
      <c r="J1372">
        <v>1</v>
      </c>
      <c r="K1372">
        <v>26</v>
      </c>
      <c r="L1372">
        <v>396</v>
      </c>
      <c r="M1372">
        <v>1</v>
      </c>
      <c r="N1372">
        <v>2.5269300000000001E-55</v>
      </c>
      <c r="O1372">
        <v>543</v>
      </c>
    </row>
    <row r="1373" spans="1:15" x14ac:dyDescent="0.25">
      <c r="A1373" t="s">
        <v>1386</v>
      </c>
      <c r="B1373">
        <v>211</v>
      </c>
      <c r="C1373" s="1" t="str">
        <f>HYPERLINK("http://www.rosaceae.org/gb/gbrowse/malus_x_domestica/?name=MDP0000285108","MDP0000285108")</f>
        <v>MDP0000285108</v>
      </c>
      <c r="D1373">
        <v>40.74</v>
      </c>
      <c r="E1373">
        <v>135</v>
      </c>
      <c r="F1373">
        <v>80</v>
      </c>
      <c r="G1373">
        <v>0</v>
      </c>
      <c r="H1373">
        <v>1</v>
      </c>
      <c r="I1373">
        <v>135</v>
      </c>
      <c r="J1373">
        <v>1</v>
      </c>
      <c r="K1373">
        <v>779</v>
      </c>
      <c r="L1373">
        <v>913</v>
      </c>
      <c r="M1373">
        <v>1</v>
      </c>
      <c r="N1373">
        <v>1.6055500000000001E-26</v>
      </c>
      <c r="O1373">
        <v>291</v>
      </c>
    </row>
    <row r="1374" spans="1:15" x14ac:dyDescent="0.25">
      <c r="A1374" t="s">
        <v>1387</v>
      </c>
      <c r="B1374">
        <v>387</v>
      </c>
      <c r="C1374" s="1" t="str">
        <f>HYPERLINK("http://www.rosaceae.org/gb/gbrowse/malus_x_domestica/?name=MDP0000191887","MDP0000191887")</f>
        <v>MDP0000191887</v>
      </c>
      <c r="D1374">
        <v>65.349999999999994</v>
      </c>
      <c r="E1374">
        <v>306</v>
      </c>
      <c r="F1374">
        <v>106</v>
      </c>
      <c r="G1374">
        <v>33</v>
      </c>
      <c r="H1374">
        <v>1</v>
      </c>
      <c r="I1374">
        <v>306</v>
      </c>
      <c r="J1374">
        <v>1</v>
      </c>
      <c r="K1374">
        <v>1</v>
      </c>
      <c r="L1374">
        <v>273</v>
      </c>
      <c r="M1374">
        <v>1</v>
      </c>
      <c r="N1374">
        <v>8.0295900000000004E-115</v>
      </c>
      <c r="O1374">
        <v>1055</v>
      </c>
    </row>
    <row r="1375" spans="1:15" x14ac:dyDescent="0.25">
      <c r="A1375" t="s">
        <v>1388</v>
      </c>
      <c r="B1375">
        <v>1629</v>
      </c>
      <c r="C1375" s="1" t="str">
        <f>HYPERLINK("http://www.rosaceae.org/gb/gbrowse/malus_x_domestica/?name=MDP0000871187","MDP0000871187")</f>
        <v>MDP0000871187</v>
      </c>
      <c r="D1375">
        <v>43.83</v>
      </c>
      <c r="E1375">
        <v>835</v>
      </c>
      <c r="F1375">
        <v>469</v>
      </c>
      <c r="G1375">
        <v>140</v>
      </c>
      <c r="H1375">
        <v>394</v>
      </c>
      <c r="I1375">
        <v>1182</v>
      </c>
      <c r="J1375">
        <v>1</v>
      </c>
      <c r="K1375">
        <v>75</v>
      </c>
      <c r="L1375">
        <v>815</v>
      </c>
      <c r="M1375">
        <v>1</v>
      </c>
      <c r="N1375">
        <v>9.8766799999999992E-171</v>
      </c>
      <c r="O1375">
        <v>1544</v>
      </c>
    </row>
    <row r="1376" spans="1:15" x14ac:dyDescent="0.25">
      <c r="A1376" t="s">
        <v>1389</v>
      </c>
      <c r="B1376">
        <v>357</v>
      </c>
      <c r="C1376" s="1" t="str">
        <f>HYPERLINK("http://www.rosaceae.org/gb/gbrowse/malus_x_domestica/?name=MDP0000208322","MDP0000208322")</f>
        <v>MDP0000208322</v>
      </c>
      <c r="D1376">
        <v>51.41</v>
      </c>
      <c r="E1376">
        <v>354</v>
      </c>
      <c r="F1376">
        <v>172</v>
      </c>
      <c r="G1376">
        <v>7</v>
      </c>
      <c r="H1376">
        <v>2</v>
      </c>
      <c r="I1376">
        <v>355</v>
      </c>
      <c r="J1376">
        <v>1</v>
      </c>
      <c r="K1376">
        <v>17</v>
      </c>
      <c r="L1376">
        <v>363</v>
      </c>
      <c r="M1376">
        <v>1</v>
      </c>
      <c r="N1376">
        <v>6.8981699999999994E-107</v>
      </c>
      <c r="O1376">
        <v>987</v>
      </c>
    </row>
    <row r="1377" spans="1:15" x14ac:dyDescent="0.25">
      <c r="A1377" t="s">
        <v>1390</v>
      </c>
      <c r="B1377">
        <v>95</v>
      </c>
      <c r="C1377" s="1" t="str">
        <f>HYPERLINK("http://www.rosaceae.org/gb/gbrowse/malus_x_domestica/?name=MDP0000152654","MDP0000152654")</f>
        <v>MDP0000152654</v>
      </c>
      <c r="D1377">
        <v>87.5</v>
      </c>
      <c r="E1377">
        <v>32</v>
      </c>
      <c r="F1377">
        <v>4</v>
      </c>
      <c r="G1377">
        <v>0</v>
      </c>
      <c r="H1377">
        <v>57</v>
      </c>
      <c r="I1377">
        <v>88</v>
      </c>
      <c r="J1377">
        <v>1</v>
      </c>
      <c r="K1377">
        <v>586</v>
      </c>
      <c r="L1377">
        <v>617</v>
      </c>
      <c r="M1377">
        <v>1</v>
      </c>
      <c r="N1377">
        <v>8.2149699999999997E-12</v>
      </c>
      <c r="O1377">
        <v>159</v>
      </c>
    </row>
    <row r="1378" spans="1:15" x14ac:dyDescent="0.25">
      <c r="A1378" t="s">
        <v>1391</v>
      </c>
      <c r="B1378">
        <v>181</v>
      </c>
      <c r="C1378" s="1" t="str">
        <f>HYPERLINK("http://www.rosaceae.org/gb/gbrowse/malus_x_domestica/?name=MDP0000763585","MDP0000763585")</f>
        <v>MDP0000763585</v>
      </c>
      <c r="D1378">
        <v>80.760000000000005</v>
      </c>
      <c r="E1378">
        <v>182</v>
      </c>
      <c r="F1378">
        <v>35</v>
      </c>
      <c r="G1378">
        <v>1</v>
      </c>
      <c r="H1378">
        <v>1</v>
      </c>
      <c r="I1378">
        <v>181</v>
      </c>
      <c r="J1378">
        <v>1</v>
      </c>
      <c r="K1378">
        <v>286</v>
      </c>
      <c r="L1378">
        <v>467</v>
      </c>
      <c r="M1378">
        <v>1</v>
      </c>
      <c r="N1378">
        <v>7.2861900000000003E-87</v>
      </c>
      <c r="O1378">
        <v>810</v>
      </c>
    </row>
    <row r="1379" spans="1:15" x14ac:dyDescent="0.25">
      <c r="A1379" t="s">
        <v>1392</v>
      </c>
      <c r="B1379">
        <v>464</v>
      </c>
      <c r="C1379" s="1" t="str">
        <f>HYPERLINK("http://www.rosaceae.org/gb/gbrowse/malus_x_domestica/?name=MDP0000646125","MDP0000646125")</f>
        <v>MDP0000646125</v>
      </c>
      <c r="D1379">
        <v>75.099999999999994</v>
      </c>
      <c r="E1379">
        <v>466</v>
      </c>
      <c r="F1379">
        <v>116</v>
      </c>
      <c r="G1379">
        <v>3</v>
      </c>
      <c r="H1379">
        <v>1</v>
      </c>
      <c r="I1379">
        <v>464</v>
      </c>
      <c r="J1379">
        <v>1</v>
      </c>
      <c r="K1379">
        <v>1</v>
      </c>
      <c r="L1379">
        <v>465</v>
      </c>
      <c r="M1379">
        <v>1</v>
      </c>
      <c r="N1379">
        <v>0</v>
      </c>
      <c r="O1379">
        <v>1851</v>
      </c>
    </row>
    <row r="1380" spans="1:15" x14ac:dyDescent="0.25">
      <c r="A1380" t="s">
        <v>1393</v>
      </c>
      <c r="B1380">
        <v>498</v>
      </c>
      <c r="C1380" s="1" t="str">
        <f>HYPERLINK("http://www.rosaceae.org/gb/gbrowse/malus_x_domestica/?name=MDP0000392495","MDP0000392495")</f>
        <v>MDP0000392495</v>
      </c>
      <c r="D1380">
        <v>92.57</v>
      </c>
      <c r="E1380">
        <v>498</v>
      </c>
      <c r="F1380">
        <v>37</v>
      </c>
      <c r="G1380">
        <v>2</v>
      </c>
      <c r="H1380">
        <v>1</v>
      </c>
      <c r="I1380">
        <v>498</v>
      </c>
      <c r="J1380">
        <v>1</v>
      </c>
      <c r="K1380">
        <v>1</v>
      </c>
      <c r="L1380">
        <v>496</v>
      </c>
      <c r="M1380">
        <v>1</v>
      </c>
      <c r="N1380">
        <v>0</v>
      </c>
      <c r="O1380">
        <v>2490</v>
      </c>
    </row>
    <row r="1381" spans="1:15" x14ac:dyDescent="0.25">
      <c r="A1381" t="s">
        <v>1394</v>
      </c>
      <c r="B1381">
        <v>639</v>
      </c>
      <c r="C1381" s="1" t="str">
        <f>HYPERLINK("http://www.rosaceae.org/gb/gbrowse/malus_x_domestica/?name=MDP0000316000","MDP0000316000")</f>
        <v>MDP0000316000</v>
      </c>
      <c r="D1381">
        <v>74.38</v>
      </c>
      <c r="E1381">
        <v>652</v>
      </c>
      <c r="F1381">
        <v>167</v>
      </c>
      <c r="G1381">
        <v>76</v>
      </c>
      <c r="H1381">
        <v>21</v>
      </c>
      <c r="I1381">
        <v>637</v>
      </c>
      <c r="J1381">
        <v>1</v>
      </c>
      <c r="K1381">
        <v>83</v>
      </c>
      <c r="L1381">
        <v>693</v>
      </c>
      <c r="M1381">
        <v>1</v>
      </c>
      <c r="N1381">
        <v>0</v>
      </c>
      <c r="O1381">
        <v>2441</v>
      </c>
    </row>
    <row r="1382" spans="1:15" x14ac:dyDescent="0.25">
      <c r="A1382" t="s">
        <v>1395</v>
      </c>
      <c r="B1382">
        <v>453</v>
      </c>
      <c r="C1382" s="1" t="str">
        <f>HYPERLINK("http://www.rosaceae.org/gb/gbrowse/malus_x_domestica/?name=MDP0000213812","MDP0000213812")</f>
        <v>MDP0000213812</v>
      </c>
      <c r="D1382">
        <v>72.349999999999994</v>
      </c>
      <c r="E1382">
        <v>492</v>
      </c>
      <c r="F1382">
        <v>136</v>
      </c>
      <c r="G1382">
        <v>42</v>
      </c>
      <c r="H1382">
        <v>1</v>
      </c>
      <c r="I1382">
        <v>453</v>
      </c>
      <c r="J1382">
        <v>1</v>
      </c>
      <c r="K1382">
        <v>401</v>
      </c>
      <c r="L1382">
        <v>889</v>
      </c>
      <c r="M1382">
        <v>1</v>
      </c>
      <c r="N1382">
        <v>0</v>
      </c>
      <c r="O1382">
        <v>1724</v>
      </c>
    </row>
    <row r="1383" spans="1:15" x14ac:dyDescent="0.25">
      <c r="A1383" t="s">
        <v>1396</v>
      </c>
      <c r="B1383">
        <v>284</v>
      </c>
      <c r="C1383" s="1" t="str">
        <f>HYPERLINK("http://www.rosaceae.org/gb/gbrowse/malus_x_domestica/?name=MDP0000291367","MDP0000291367")</f>
        <v>MDP0000291367</v>
      </c>
      <c r="D1383">
        <v>65.14</v>
      </c>
      <c r="E1383">
        <v>284</v>
      </c>
      <c r="F1383">
        <v>99</v>
      </c>
      <c r="G1383">
        <v>29</v>
      </c>
      <c r="H1383">
        <v>1</v>
      </c>
      <c r="I1383">
        <v>282</v>
      </c>
      <c r="J1383">
        <v>1</v>
      </c>
      <c r="K1383">
        <v>103</v>
      </c>
      <c r="L1383">
        <v>359</v>
      </c>
      <c r="M1383">
        <v>1</v>
      </c>
      <c r="N1383">
        <v>1.8725000000000001E-96</v>
      </c>
      <c r="O1383">
        <v>895</v>
      </c>
    </row>
    <row r="1384" spans="1:15" x14ac:dyDescent="0.25">
      <c r="A1384" t="s">
        <v>1397</v>
      </c>
      <c r="B1384">
        <v>556</v>
      </c>
      <c r="C1384" s="1" t="str">
        <f>HYPERLINK("http://www.rosaceae.org/gb/gbrowse/malus_x_domestica/?name=MDP0000399493","MDP0000399493")</f>
        <v>MDP0000399493</v>
      </c>
      <c r="D1384">
        <v>67.5</v>
      </c>
      <c r="E1384">
        <v>557</v>
      </c>
      <c r="F1384">
        <v>181</v>
      </c>
      <c r="G1384">
        <v>5</v>
      </c>
      <c r="H1384">
        <v>1</v>
      </c>
      <c r="I1384">
        <v>554</v>
      </c>
      <c r="J1384">
        <v>1</v>
      </c>
      <c r="K1384">
        <v>1</v>
      </c>
      <c r="L1384">
        <v>555</v>
      </c>
      <c r="M1384">
        <v>1</v>
      </c>
      <c r="N1384">
        <v>0</v>
      </c>
      <c r="O1384">
        <v>1964</v>
      </c>
    </row>
    <row r="1385" spans="1:15" x14ac:dyDescent="0.25">
      <c r="A1385" t="s">
        <v>1398</v>
      </c>
      <c r="B1385">
        <v>321</v>
      </c>
      <c r="C1385" s="1" t="str">
        <f>HYPERLINK("http://www.rosaceae.org/gb/gbrowse/malus_x_domestica/?name=MDP0000198402","MDP0000198402")</f>
        <v>MDP0000198402</v>
      </c>
      <c r="D1385">
        <v>29.24</v>
      </c>
      <c r="E1385">
        <v>212</v>
      </c>
      <c r="F1385">
        <v>150</v>
      </c>
      <c r="G1385">
        <v>35</v>
      </c>
      <c r="H1385">
        <v>68</v>
      </c>
      <c r="I1385">
        <v>255</v>
      </c>
      <c r="J1385">
        <v>1</v>
      </c>
      <c r="K1385">
        <v>378</v>
      </c>
      <c r="L1385">
        <v>578</v>
      </c>
      <c r="M1385">
        <v>1</v>
      </c>
      <c r="N1385">
        <v>3.7504499999999997E-8</v>
      </c>
      <c r="O1385">
        <v>135</v>
      </c>
    </row>
    <row r="1386" spans="1:15" x14ac:dyDescent="0.25">
      <c r="A1386" t="s">
        <v>1399</v>
      </c>
      <c r="B1386">
        <v>704</v>
      </c>
      <c r="C1386" s="1" t="str">
        <f>HYPERLINK("http://www.rosaceae.org/gb/gbrowse/malus_x_domestica/?name=MDP0000291077","MDP0000291077")</f>
        <v>MDP0000291077</v>
      </c>
      <c r="D1386">
        <v>73.72</v>
      </c>
      <c r="E1386">
        <v>491</v>
      </c>
      <c r="F1386">
        <v>129</v>
      </c>
      <c r="G1386">
        <v>8</v>
      </c>
      <c r="H1386">
        <v>218</v>
      </c>
      <c r="I1386">
        <v>704</v>
      </c>
      <c r="J1386">
        <v>1</v>
      </c>
      <c r="K1386">
        <v>23</v>
      </c>
      <c r="L1386">
        <v>509</v>
      </c>
      <c r="M1386">
        <v>1</v>
      </c>
      <c r="N1386">
        <v>0</v>
      </c>
      <c r="O1386">
        <v>1959</v>
      </c>
    </row>
    <row r="1387" spans="1:15" x14ac:dyDescent="0.25">
      <c r="A1387" t="s">
        <v>1400</v>
      </c>
      <c r="B1387">
        <v>849</v>
      </c>
      <c r="C1387" s="1" t="str">
        <f>HYPERLINK("http://www.rosaceae.org/gb/gbrowse/malus_x_domestica/?name=MDP0000174095","MDP0000174095")</f>
        <v>MDP0000174095</v>
      </c>
      <c r="D1387">
        <v>37.74</v>
      </c>
      <c r="E1387">
        <v>302</v>
      </c>
      <c r="F1387">
        <v>188</v>
      </c>
      <c r="G1387">
        <v>59</v>
      </c>
      <c r="H1387">
        <v>366</v>
      </c>
      <c r="I1387">
        <v>642</v>
      </c>
      <c r="J1387">
        <v>1</v>
      </c>
      <c r="K1387">
        <v>379</v>
      </c>
      <c r="L1387">
        <v>646</v>
      </c>
      <c r="M1387">
        <v>1</v>
      </c>
      <c r="N1387">
        <v>3.1379000000000003E-45</v>
      </c>
      <c r="O1387">
        <v>459</v>
      </c>
    </row>
    <row r="1388" spans="1:15" x14ac:dyDescent="0.25">
      <c r="A1388" t="s">
        <v>1401</v>
      </c>
      <c r="B1388">
        <v>551</v>
      </c>
      <c r="C1388" s="1" t="str">
        <f>HYPERLINK("http://www.rosaceae.org/gb/gbrowse/malus_x_domestica/?name=MDP0000221052","MDP0000221052")</f>
        <v>MDP0000221052</v>
      </c>
      <c r="D1388">
        <v>50.37</v>
      </c>
      <c r="E1388">
        <v>532</v>
      </c>
      <c r="F1388">
        <v>264</v>
      </c>
      <c r="G1388">
        <v>13</v>
      </c>
      <c r="H1388">
        <v>31</v>
      </c>
      <c r="I1388">
        <v>550</v>
      </c>
      <c r="J1388">
        <v>1</v>
      </c>
      <c r="K1388">
        <v>43</v>
      </c>
      <c r="L1388">
        <v>573</v>
      </c>
      <c r="M1388">
        <v>1</v>
      </c>
      <c r="N1388">
        <v>1.03207E-134</v>
      </c>
      <c r="O1388">
        <v>1229</v>
      </c>
    </row>
    <row r="1389" spans="1:15" x14ac:dyDescent="0.25">
      <c r="A1389" t="s">
        <v>1402</v>
      </c>
      <c r="B1389">
        <v>524</v>
      </c>
      <c r="C1389" s="1" t="str">
        <f>HYPERLINK("http://www.rosaceae.org/gb/gbrowse/malus_x_domestica/?name=MDP0000146062","MDP0000146062")</f>
        <v>MDP0000146062</v>
      </c>
      <c r="D1389">
        <v>61.31</v>
      </c>
      <c r="E1389">
        <v>548</v>
      </c>
      <c r="F1389">
        <v>212</v>
      </c>
      <c r="G1389">
        <v>67</v>
      </c>
      <c r="H1389">
        <v>1</v>
      </c>
      <c r="I1389">
        <v>524</v>
      </c>
      <c r="J1389">
        <v>1</v>
      </c>
      <c r="K1389">
        <v>1</v>
      </c>
      <c r="L1389">
        <v>505</v>
      </c>
      <c r="M1389">
        <v>1</v>
      </c>
      <c r="N1389">
        <v>0</v>
      </c>
      <c r="O1389">
        <v>1698</v>
      </c>
    </row>
    <row r="1390" spans="1:15" x14ac:dyDescent="0.25">
      <c r="A1390" t="s">
        <v>1403</v>
      </c>
      <c r="B1390">
        <v>241</v>
      </c>
      <c r="C1390" s="1" t="str">
        <f>HYPERLINK("http://www.rosaceae.org/gb/gbrowse/malus_x_domestica/?name=MDP0000316192","MDP0000316192")</f>
        <v>MDP0000316192</v>
      </c>
      <c r="D1390">
        <v>51.31</v>
      </c>
      <c r="E1390">
        <v>228</v>
      </c>
      <c r="F1390">
        <v>111</v>
      </c>
      <c r="G1390">
        <v>31</v>
      </c>
      <c r="H1390">
        <v>1</v>
      </c>
      <c r="I1390">
        <v>210</v>
      </c>
      <c r="J1390">
        <v>1</v>
      </c>
      <c r="K1390">
        <v>1</v>
      </c>
      <c r="L1390">
        <v>215</v>
      </c>
      <c r="M1390">
        <v>1</v>
      </c>
      <c r="N1390">
        <v>7.9910699999999998E-41</v>
      </c>
      <c r="O1390">
        <v>415</v>
      </c>
    </row>
    <row r="1391" spans="1:15" x14ac:dyDescent="0.25">
      <c r="A1391" t="s">
        <v>1404</v>
      </c>
      <c r="B1391">
        <v>300</v>
      </c>
      <c r="C1391" s="1" t="str">
        <f>HYPERLINK("http://www.rosaceae.org/gb/gbrowse/malus_x_domestica/?name=MDP0000139605","MDP0000139605")</f>
        <v>MDP0000139605</v>
      </c>
      <c r="D1391">
        <v>30.88</v>
      </c>
      <c r="E1391">
        <v>136</v>
      </c>
      <c r="F1391">
        <v>94</v>
      </c>
      <c r="G1391">
        <v>11</v>
      </c>
      <c r="H1391">
        <v>4</v>
      </c>
      <c r="I1391">
        <v>137</v>
      </c>
      <c r="J1391">
        <v>1</v>
      </c>
      <c r="K1391">
        <v>94</v>
      </c>
      <c r="L1391">
        <v>220</v>
      </c>
      <c r="M1391">
        <v>1</v>
      </c>
      <c r="N1391">
        <v>9.6113699999999992E-10</v>
      </c>
      <c r="O1391">
        <v>148</v>
      </c>
    </row>
    <row r="1392" spans="1:15" x14ac:dyDescent="0.25">
      <c r="A1392" t="s">
        <v>1405</v>
      </c>
      <c r="B1392">
        <v>356</v>
      </c>
      <c r="C1392" s="1" t="str">
        <f>HYPERLINK("http://www.rosaceae.org/gb/gbrowse/malus_x_domestica/?name=MDP0000151342","MDP0000151342")</f>
        <v>MDP0000151342</v>
      </c>
      <c r="D1392">
        <v>86.33</v>
      </c>
      <c r="E1392">
        <v>139</v>
      </c>
      <c r="F1392">
        <v>19</v>
      </c>
      <c r="G1392">
        <v>0</v>
      </c>
      <c r="H1392">
        <v>1</v>
      </c>
      <c r="I1392">
        <v>139</v>
      </c>
      <c r="J1392">
        <v>1</v>
      </c>
      <c r="K1392">
        <v>74</v>
      </c>
      <c r="L1392">
        <v>212</v>
      </c>
      <c r="M1392">
        <v>1</v>
      </c>
      <c r="N1392">
        <v>9.6992300000000009E-69</v>
      </c>
      <c r="O1392">
        <v>658</v>
      </c>
    </row>
    <row r="1393" spans="1:15" x14ac:dyDescent="0.25">
      <c r="A1393" t="s">
        <v>1406</v>
      </c>
      <c r="B1393">
        <v>607</v>
      </c>
      <c r="C1393" s="1" t="str">
        <f>HYPERLINK("http://www.rosaceae.org/gb/gbrowse/malus_x_domestica/?name=MDP0000322201","MDP0000322201")</f>
        <v>MDP0000322201</v>
      </c>
      <c r="D1393">
        <v>76.819999999999993</v>
      </c>
      <c r="E1393">
        <v>397</v>
      </c>
      <c r="F1393">
        <v>92</v>
      </c>
      <c r="G1393">
        <v>11</v>
      </c>
      <c r="H1393">
        <v>1</v>
      </c>
      <c r="I1393">
        <v>396</v>
      </c>
      <c r="J1393">
        <v>1</v>
      </c>
      <c r="K1393">
        <v>1</v>
      </c>
      <c r="L1393">
        <v>387</v>
      </c>
      <c r="M1393">
        <v>1</v>
      </c>
      <c r="N1393">
        <v>4.63578E-178</v>
      </c>
      <c r="O1393">
        <v>1603</v>
      </c>
    </row>
    <row r="1394" spans="1:15" x14ac:dyDescent="0.25">
      <c r="A1394" t="s">
        <v>1407</v>
      </c>
      <c r="B1394">
        <v>970</v>
      </c>
      <c r="C1394" s="1" t="str">
        <f>HYPERLINK("http://www.rosaceae.org/gb/gbrowse/malus_x_domestica/?name=MDP0000897253","MDP0000897253")</f>
        <v>MDP0000897253</v>
      </c>
      <c r="D1394">
        <v>78.91</v>
      </c>
      <c r="E1394">
        <v>944</v>
      </c>
      <c r="F1394">
        <v>199</v>
      </c>
      <c r="G1394">
        <v>6</v>
      </c>
      <c r="H1394">
        <v>15</v>
      </c>
      <c r="I1394">
        <v>957</v>
      </c>
      <c r="J1394">
        <v>1</v>
      </c>
      <c r="K1394">
        <v>20</v>
      </c>
      <c r="L1394">
        <v>958</v>
      </c>
      <c r="M1394">
        <v>1</v>
      </c>
      <c r="N1394">
        <v>0</v>
      </c>
      <c r="O1394">
        <v>3906</v>
      </c>
    </row>
    <row r="1395" spans="1:15" x14ac:dyDescent="0.25">
      <c r="A1395" t="s">
        <v>1408</v>
      </c>
      <c r="B1395">
        <v>267</v>
      </c>
      <c r="C1395" s="1" t="str">
        <f>HYPERLINK("http://www.rosaceae.org/gb/gbrowse/malus_x_domestica/?name=MDP0000413903","MDP0000413903")</f>
        <v>MDP0000413903</v>
      </c>
      <c r="D1395">
        <v>50.79</v>
      </c>
      <c r="E1395">
        <v>63</v>
      </c>
      <c r="F1395">
        <v>31</v>
      </c>
      <c r="G1395">
        <v>8</v>
      </c>
      <c r="H1395">
        <v>213</v>
      </c>
      <c r="I1395">
        <v>267</v>
      </c>
      <c r="J1395">
        <v>1</v>
      </c>
      <c r="K1395">
        <v>130</v>
      </c>
      <c r="L1395">
        <v>192</v>
      </c>
      <c r="M1395">
        <v>1</v>
      </c>
      <c r="N1395">
        <v>2.1098800000000002E-8</v>
      </c>
      <c r="O1395">
        <v>136</v>
      </c>
    </row>
    <row r="1396" spans="1:15" x14ac:dyDescent="0.25">
      <c r="A1396" t="s">
        <v>1409</v>
      </c>
      <c r="B1396">
        <v>469</v>
      </c>
      <c r="C1396" s="1" t="str">
        <f>HYPERLINK("http://www.rosaceae.org/gb/gbrowse/malus_x_domestica/?name=MDP0000231666","MDP0000231666")</f>
        <v>MDP0000231666</v>
      </c>
      <c r="D1396">
        <v>77.03</v>
      </c>
      <c r="E1396">
        <v>479</v>
      </c>
      <c r="F1396">
        <v>110</v>
      </c>
      <c r="G1396">
        <v>11</v>
      </c>
      <c r="H1396">
        <v>1</v>
      </c>
      <c r="I1396">
        <v>468</v>
      </c>
      <c r="J1396">
        <v>1</v>
      </c>
      <c r="K1396">
        <v>1</v>
      </c>
      <c r="L1396">
        <v>479</v>
      </c>
      <c r="M1396">
        <v>1</v>
      </c>
      <c r="N1396">
        <v>0</v>
      </c>
      <c r="O1396">
        <v>1961</v>
      </c>
    </row>
    <row r="1397" spans="1:15" x14ac:dyDescent="0.25">
      <c r="A1397" t="s">
        <v>1410</v>
      </c>
      <c r="B1397">
        <v>689</v>
      </c>
      <c r="C1397" s="1" t="str">
        <f>HYPERLINK("http://www.rosaceae.org/gb/gbrowse/malus_x_domestica/?name=MDP0000630746","MDP0000630746")</f>
        <v>MDP0000630746</v>
      </c>
      <c r="D1397">
        <v>52.52</v>
      </c>
      <c r="E1397">
        <v>712</v>
      </c>
      <c r="F1397">
        <v>338</v>
      </c>
      <c r="G1397">
        <v>75</v>
      </c>
      <c r="H1397">
        <v>20</v>
      </c>
      <c r="I1397">
        <v>687</v>
      </c>
      <c r="J1397">
        <v>1</v>
      </c>
      <c r="K1397">
        <v>69</v>
      </c>
      <c r="L1397">
        <v>749</v>
      </c>
      <c r="M1397">
        <v>1</v>
      </c>
      <c r="N1397">
        <v>6.8710100000000003E-162</v>
      </c>
      <c r="O1397">
        <v>1464</v>
      </c>
    </row>
    <row r="1398" spans="1:15" x14ac:dyDescent="0.25">
      <c r="A1398" t="s">
        <v>1411</v>
      </c>
      <c r="B1398">
        <v>636</v>
      </c>
      <c r="C1398" s="1" t="str">
        <f>HYPERLINK("http://www.rosaceae.org/gb/gbrowse/malus_x_domestica/?name=MDP0000310922","MDP0000310922")</f>
        <v>MDP0000310922</v>
      </c>
      <c r="D1398">
        <v>62.66</v>
      </c>
      <c r="E1398">
        <v>541</v>
      </c>
      <c r="F1398">
        <v>202</v>
      </c>
      <c r="G1398">
        <v>53</v>
      </c>
      <c r="H1398">
        <v>97</v>
      </c>
      <c r="I1398">
        <v>636</v>
      </c>
      <c r="J1398">
        <v>1</v>
      </c>
      <c r="K1398">
        <v>35</v>
      </c>
      <c r="L1398">
        <v>523</v>
      </c>
      <c r="M1398">
        <v>1</v>
      </c>
      <c r="N1398">
        <v>0</v>
      </c>
      <c r="O1398">
        <v>1733</v>
      </c>
    </row>
    <row r="1399" spans="1:15" x14ac:dyDescent="0.25">
      <c r="A1399" t="s">
        <v>1412</v>
      </c>
      <c r="B1399">
        <v>188</v>
      </c>
      <c r="C1399" s="1" t="str">
        <f>HYPERLINK("http://www.rosaceae.org/gb/gbrowse/malus_x_domestica/?name=MDP0000191794","MDP0000191794")</f>
        <v>MDP0000191794</v>
      </c>
      <c r="D1399">
        <v>38.57</v>
      </c>
      <c r="E1399">
        <v>197</v>
      </c>
      <c r="F1399">
        <v>121</v>
      </c>
      <c r="G1399">
        <v>37</v>
      </c>
      <c r="H1399">
        <v>3</v>
      </c>
      <c r="I1399">
        <v>188</v>
      </c>
      <c r="J1399">
        <v>1</v>
      </c>
      <c r="K1399">
        <v>1255</v>
      </c>
      <c r="L1399">
        <v>1425</v>
      </c>
      <c r="M1399">
        <v>1</v>
      </c>
      <c r="N1399">
        <v>3.4312899999999998E-25</v>
      </c>
      <c r="O1399">
        <v>278</v>
      </c>
    </row>
    <row r="1400" spans="1:15" x14ac:dyDescent="0.25">
      <c r="A1400" t="s">
        <v>1413</v>
      </c>
      <c r="B1400">
        <v>60</v>
      </c>
      <c r="C1400" s="1" t="str">
        <f>HYPERLINK("http://www.rosaceae.org/gb/gbrowse/malus_x_domestica/?name=MDP0000129541","MDP0000129541")</f>
        <v>MDP0000129541</v>
      </c>
      <c r="D1400">
        <v>66.66</v>
      </c>
      <c r="E1400">
        <v>48</v>
      </c>
      <c r="F1400">
        <v>16</v>
      </c>
      <c r="G1400">
        <v>0</v>
      </c>
      <c r="H1400">
        <v>1</v>
      </c>
      <c r="I1400">
        <v>48</v>
      </c>
      <c r="J1400">
        <v>1</v>
      </c>
      <c r="K1400">
        <v>1</v>
      </c>
      <c r="L1400">
        <v>48</v>
      </c>
      <c r="M1400">
        <v>1</v>
      </c>
      <c r="N1400">
        <v>7.1429000000000002E-12</v>
      </c>
      <c r="O1400">
        <v>160</v>
      </c>
    </row>
    <row r="1401" spans="1:15" x14ac:dyDescent="0.25">
      <c r="A1401" t="s">
        <v>1414</v>
      </c>
      <c r="B1401">
        <v>197</v>
      </c>
      <c r="C1401" s="1" t="str">
        <f>HYPERLINK("http://www.rosaceae.org/gb/gbrowse/malus_x_domestica/?name=MDP0000673425","MDP0000673425")</f>
        <v>MDP0000673425</v>
      </c>
      <c r="D1401">
        <v>68.84</v>
      </c>
      <c r="E1401">
        <v>199</v>
      </c>
      <c r="F1401">
        <v>62</v>
      </c>
      <c r="G1401">
        <v>11</v>
      </c>
      <c r="H1401">
        <v>3</v>
      </c>
      <c r="I1401">
        <v>193</v>
      </c>
      <c r="J1401">
        <v>1</v>
      </c>
      <c r="K1401">
        <v>32</v>
      </c>
      <c r="L1401">
        <v>227</v>
      </c>
      <c r="M1401">
        <v>1</v>
      </c>
      <c r="N1401">
        <v>5.71624E-68</v>
      </c>
      <c r="O1401">
        <v>648</v>
      </c>
    </row>
    <row r="1402" spans="1:15" x14ac:dyDescent="0.25">
      <c r="A1402" t="s">
        <v>1415</v>
      </c>
      <c r="B1402">
        <v>940</v>
      </c>
      <c r="C1402" s="1" t="str">
        <f>HYPERLINK("http://www.rosaceae.org/gb/gbrowse/malus_x_domestica/?name=MDP0000154506","MDP0000154506")</f>
        <v>MDP0000154506</v>
      </c>
      <c r="D1402">
        <v>67.099999999999994</v>
      </c>
      <c r="E1402">
        <v>307</v>
      </c>
      <c r="F1402">
        <v>101</v>
      </c>
      <c r="G1402">
        <v>59</v>
      </c>
      <c r="H1402">
        <v>688</v>
      </c>
      <c r="I1402">
        <v>939</v>
      </c>
      <c r="J1402">
        <v>1</v>
      </c>
      <c r="K1402">
        <v>288</v>
      </c>
      <c r="L1402">
        <v>590</v>
      </c>
      <c r="M1402">
        <v>1</v>
      </c>
      <c r="N1402">
        <v>8.2709699999999993E-108</v>
      </c>
      <c r="O1402">
        <v>999</v>
      </c>
    </row>
    <row r="1403" spans="1:15" x14ac:dyDescent="0.25">
      <c r="A1403" t="s">
        <v>1416</v>
      </c>
      <c r="B1403">
        <v>894</v>
      </c>
      <c r="C1403" s="1" t="str">
        <f>HYPERLINK("http://www.rosaceae.org/gb/gbrowse/malus_x_domestica/?name=MDP0000276878","MDP0000276878")</f>
        <v>MDP0000276878</v>
      </c>
      <c r="D1403">
        <v>67.25</v>
      </c>
      <c r="E1403">
        <v>281</v>
      </c>
      <c r="F1403">
        <v>92</v>
      </c>
      <c r="G1403">
        <v>4</v>
      </c>
      <c r="H1403">
        <v>110</v>
      </c>
      <c r="I1403">
        <v>387</v>
      </c>
      <c r="J1403">
        <v>1</v>
      </c>
      <c r="K1403">
        <v>613</v>
      </c>
      <c r="L1403">
        <v>892</v>
      </c>
      <c r="M1403">
        <v>1</v>
      </c>
      <c r="N1403">
        <v>5.7194700000000001E-107</v>
      </c>
      <c r="O1403">
        <v>991</v>
      </c>
    </row>
    <row r="1404" spans="1:15" x14ac:dyDescent="0.25">
      <c r="A1404" t="s">
        <v>1417</v>
      </c>
      <c r="B1404">
        <v>507</v>
      </c>
      <c r="C1404" s="1" t="str">
        <f>HYPERLINK("http://www.rosaceae.org/gb/gbrowse/malus_x_domestica/?name=MDP0000808501","MDP0000808501")</f>
        <v>MDP0000808501</v>
      </c>
      <c r="D1404">
        <v>34.799999999999997</v>
      </c>
      <c r="E1404">
        <v>431</v>
      </c>
      <c r="F1404">
        <v>281</v>
      </c>
      <c r="G1404">
        <v>89</v>
      </c>
      <c r="H1404">
        <v>61</v>
      </c>
      <c r="I1404">
        <v>475</v>
      </c>
      <c r="J1404">
        <v>1</v>
      </c>
      <c r="K1404">
        <v>16</v>
      </c>
      <c r="L1404">
        <v>373</v>
      </c>
      <c r="M1404">
        <v>1</v>
      </c>
      <c r="N1404">
        <v>3.4755500000000001E-46</v>
      </c>
      <c r="O1404">
        <v>465</v>
      </c>
    </row>
    <row r="1405" spans="1:15" x14ac:dyDescent="0.25">
      <c r="A1405" t="s">
        <v>1418</v>
      </c>
      <c r="B1405">
        <v>523</v>
      </c>
      <c r="C1405" s="1" t="str">
        <f>HYPERLINK("http://www.rosaceae.org/gb/gbrowse/malus_x_domestica/?name=MDP0000257103","MDP0000257103")</f>
        <v>MDP0000257103</v>
      </c>
      <c r="D1405">
        <v>62.13</v>
      </c>
      <c r="E1405">
        <v>507</v>
      </c>
      <c r="F1405">
        <v>192</v>
      </c>
      <c r="G1405">
        <v>21</v>
      </c>
      <c r="H1405">
        <v>19</v>
      </c>
      <c r="I1405">
        <v>518</v>
      </c>
      <c r="J1405">
        <v>1</v>
      </c>
      <c r="K1405">
        <v>27</v>
      </c>
      <c r="L1405">
        <v>519</v>
      </c>
      <c r="M1405">
        <v>1</v>
      </c>
      <c r="N1405">
        <v>1.00359E-178</v>
      </c>
      <c r="O1405">
        <v>1608</v>
      </c>
    </row>
    <row r="1406" spans="1:15" x14ac:dyDescent="0.25">
      <c r="A1406" t="s">
        <v>1419</v>
      </c>
      <c r="B1406">
        <v>197</v>
      </c>
      <c r="C1406" s="1" t="str">
        <f>HYPERLINK("http://www.rosaceae.org/gb/gbrowse/malus_x_domestica/?name=MDP0000256623","MDP0000256623")</f>
        <v>MDP0000256623</v>
      </c>
      <c r="D1406">
        <v>47.36</v>
      </c>
      <c r="E1406">
        <v>133</v>
      </c>
      <c r="F1406">
        <v>70</v>
      </c>
      <c r="G1406">
        <v>20</v>
      </c>
      <c r="H1406">
        <v>67</v>
      </c>
      <c r="I1406">
        <v>195</v>
      </c>
      <c r="J1406">
        <v>1</v>
      </c>
      <c r="K1406">
        <v>77</v>
      </c>
      <c r="L1406">
        <v>193</v>
      </c>
      <c r="M1406">
        <v>1</v>
      </c>
      <c r="N1406">
        <v>5.7381899999999997E-26</v>
      </c>
      <c r="O1406">
        <v>285</v>
      </c>
    </row>
    <row r="1407" spans="1:15" x14ac:dyDescent="0.25">
      <c r="A1407" t="s">
        <v>1420</v>
      </c>
      <c r="B1407">
        <v>1000</v>
      </c>
      <c r="C1407" s="1" t="str">
        <f>HYPERLINK("http://www.rosaceae.org/gb/gbrowse/malus_x_domestica/?name=MDP0000157187","MDP0000157187")</f>
        <v>MDP0000157187</v>
      </c>
      <c r="D1407">
        <v>47.23</v>
      </c>
      <c r="E1407">
        <v>597</v>
      </c>
      <c r="F1407">
        <v>315</v>
      </c>
      <c r="G1407">
        <v>57</v>
      </c>
      <c r="H1407">
        <v>51</v>
      </c>
      <c r="I1407">
        <v>610</v>
      </c>
      <c r="J1407">
        <v>1</v>
      </c>
      <c r="K1407">
        <v>40</v>
      </c>
      <c r="L1407">
        <v>616</v>
      </c>
      <c r="M1407">
        <v>1</v>
      </c>
      <c r="N1407">
        <v>3.7917400000000002E-133</v>
      </c>
      <c r="O1407">
        <v>1218</v>
      </c>
    </row>
    <row r="1408" spans="1:15" x14ac:dyDescent="0.25">
      <c r="A1408" t="s">
        <v>1421</v>
      </c>
      <c r="B1408">
        <v>323</v>
      </c>
      <c r="C1408" s="1" t="str">
        <f>HYPERLINK("http://www.rosaceae.org/gb/gbrowse/malus_x_domestica/?name=MDP0000451182","MDP0000451182")</f>
        <v>MDP0000451182</v>
      </c>
      <c r="D1408">
        <v>80.790000000000006</v>
      </c>
      <c r="E1408">
        <v>328</v>
      </c>
      <c r="F1408">
        <v>63</v>
      </c>
      <c r="G1408">
        <v>5</v>
      </c>
      <c r="H1408">
        <v>1</v>
      </c>
      <c r="I1408">
        <v>323</v>
      </c>
      <c r="J1408">
        <v>1</v>
      </c>
      <c r="K1408">
        <v>1</v>
      </c>
      <c r="L1408">
        <v>328</v>
      </c>
      <c r="M1408">
        <v>1</v>
      </c>
      <c r="N1408">
        <v>1.0289399999999999E-155</v>
      </c>
      <c r="O1408">
        <v>1407</v>
      </c>
    </row>
    <row r="1409" spans="1:15" x14ac:dyDescent="0.25">
      <c r="A1409" t="s">
        <v>1422</v>
      </c>
      <c r="B1409">
        <v>428</v>
      </c>
      <c r="C1409" s="1" t="str">
        <f>HYPERLINK("http://www.rosaceae.org/gb/gbrowse/malus_x_domestica/?name=MDP0000203092","MDP0000203092")</f>
        <v>MDP0000203092</v>
      </c>
      <c r="D1409">
        <v>36.68</v>
      </c>
      <c r="E1409">
        <v>199</v>
      </c>
      <c r="F1409">
        <v>126</v>
      </c>
      <c r="G1409">
        <v>45</v>
      </c>
      <c r="H1409">
        <v>272</v>
      </c>
      <c r="I1409">
        <v>428</v>
      </c>
      <c r="J1409">
        <v>1</v>
      </c>
      <c r="K1409">
        <v>169</v>
      </c>
      <c r="L1409">
        <v>364</v>
      </c>
      <c r="M1409">
        <v>1</v>
      </c>
      <c r="N1409">
        <v>7.4202199999999998E-26</v>
      </c>
      <c r="O1409">
        <v>289</v>
      </c>
    </row>
    <row r="1410" spans="1:15" x14ac:dyDescent="0.25">
      <c r="A1410" t="s">
        <v>1423</v>
      </c>
      <c r="B1410">
        <v>130</v>
      </c>
      <c r="C1410" s="1" t="str">
        <f>HYPERLINK("http://www.rosaceae.org/gb/gbrowse/malus_x_domestica/?name=MDP0000140235","MDP0000140235")</f>
        <v>MDP0000140235</v>
      </c>
      <c r="D1410">
        <v>98.42</v>
      </c>
      <c r="E1410">
        <v>127</v>
      </c>
      <c r="F1410">
        <v>2</v>
      </c>
      <c r="G1410">
        <v>0</v>
      </c>
      <c r="H1410">
        <v>1</v>
      </c>
      <c r="I1410">
        <v>127</v>
      </c>
      <c r="J1410">
        <v>1</v>
      </c>
      <c r="K1410">
        <v>55</v>
      </c>
      <c r="L1410">
        <v>181</v>
      </c>
      <c r="M1410">
        <v>1</v>
      </c>
      <c r="N1410">
        <v>6.7151099999999997E-70</v>
      </c>
      <c r="O1410">
        <v>661</v>
      </c>
    </row>
    <row r="1411" spans="1:15" x14ac:dyDescent="0.25">
      <c r="A1411" t="s">
        <v>1424</v>
      </c>
      <c r="B1411">
        <v>227</v>
      </c>
      <c r="C1411" s="1" t="str">
        <f>HYPERLINK("http://www.rosaceae.org/gb/gbrowse/malus_x_domestica/?name=MDP0000169473","MDP0000169473")</f>
        <v>MDP0000169473</v>
      </c>
      <c r="D1411">
        <v>37.380000000000003</v>
      </c>
      <c r="E1411">
        <v>222</v>
      </c>
      <c r="F1411">
        <v>139</v>
      </c>
      <c r="G1411">
        <v>40</v>
      </c>
      <c r="H1411">
        <v>22</v>
      </c>
      <c r="I1411">
        <v>227</v>
      </c>
      <c r="J1411">
        <v>1</v>
      </c>
      <c r="K1411">
        <v>89</v>
      </c>
      <c r="L1411">
        <v>286</v>
      </c>
      <c r="M1411">
        <v>1</v>
      </c>
      <c r="N1411">
        <v>2.5377299999999999E-19</v>
      </c>
      <c r="O1411">
        <v>229</v>
      </c>
    </row>
    <row r="1412" spans="1:15" x14ac:dyDescent="0.25">
      <c r="A1412" t="s">
        <v>1425</v>
      </c>
      <c r="B1412">
        <v>309</v>
      </c>
      <c r="C1412" s="1" t="str">
        <f>HYPERLINK("http://www.rosaceae.org/gb/gbrowse/malus_x_domestica/?name=MDP0000193678","MDP0000193678")</f>
        <v>MDP0000193678</v>
      </c>
      <c r="D1412">
        <v>77.180000000000007</v>
      </c>
      <c r="E1412">
        <v>298</v>
      </c>
      <c r="F1412">
        <v>68</v>
      </c>
      <c r="G1412">
        <v>0</v>
      </c>
      <c r="H1412">
        <v>1</v>
      </c>
      <c r="I1412">
        <v>298</v>
      </c>
      <c r="J1412">
        <v>1</v>
      </c>
      <c r="K1412">
        <v>1</v>
      </c>
      <c r="L1412">
        <v>298</v>
      </c>
      <c r="M1412">
        <v>1</v>
      </c>
      <c r="N1412">
        <v>1.81489E-129</v>
      </c>
      <c r="O1412">
        <v>1181</v>
      </c>
    </row>
    <row r="1413" spans="1:15" x14ac:dyDescent="0.25">
      <c r="A1413" t="s">
        <v>1426</v>
      </c>
      <c r="B1413">
        <v>308</v>
      </c>
      <c r="C1413" s="1" t="str">
        <f>HYPERLINK("http://www.rosaceae.org/gb/gbrowse/malus_x_domestica/?name=MDP0000298141","MDP0000298141")</f>
        <v>MDP0000298141</v>
      </c>
      <c r="D1413">
        <v>60.16</v>
      </c>
      <c r="E1413">
        <v>236</v>
      </c>
      <c r="F1413">
        <v>94</v>
      </c>
      <c r="G1413">
        <v>42</v>
      </c>
      <c r="H1413">
        <v>26</v>
      </c>
      <c r="I1413">
        <v>253</v>
      </c>
      <c r="J1413">
        <v>1</v>
      </c>
      <c r="K1413">
        <v>70</v>
      </c>
      <c r="L1413">
        <v>271</v>
      </c>
      <c r="M1413">
        <v>1</v>
      </c>
      <c r="N1413">
        <v>8.7506300000000002E-68</v>
      </c>
      <c r="O1413">
        <v>649</v>
      </c>
    </row>
    <row r="1414" spans="1:15" x14ac:dyDescent="0.25">
      <c r="A1414" t="s">
        <v>1427</v>
      </c>
      <c r="B1414">
        <v>414</v>
      </c>
      <c r="C1414" s="1" t="str">
        <f>HYPERLINK("http://www.rosaceae.org/gb/gbrowse/malus_x_domestica/?name=MDP0000219269","MDP0000219269")</f>
        <v>MDP0000219269</v>
      </c>
      <c r="D1414">
        <v>55.92</v>
      </c>
      <c r="E1414">
        <v>447</v>
      </c>
      <c r="F1414">
        <v>197</v>
      </c>
      <c r="G1414">
        <v>52</v>
      </c>
      <c r="H1414">
        <v>1</v>
      </c>
      <c r="I1414">
        <v>408</v>
      </c>
      <c r="J1414">
        <v>1</v>
      </c>
      <c r="K1414">
        <v>1</v>
      </c>
      <c r="L1414">
        <v>434</v>
      </c>
      <c r="M1414">
        <v>1</v>
      </c>
      <c r="N1414">
        <v>1.5636599999999999E-121</v>
      </c>
      <c r="O1414">
        <v>1114</v>
      </c>
    </row>
    <row r="1415" spans="1:15" x14ac:dyDescent="0.25">
      <c r="A1415" t="s">
        <v>1428</v>
      </c>
      <c r="B1415">
        <v>712</v>
      </c>
      <c r="C1415" s="1" t="str">
        <f>HYPERLINK("http://www.rosaceae.org/gb/gbrowse/malus_x_domestica/?name=MDP0000312342","MDP0000312342")</f>
        <v>MDP0000312342</v>
      </c>
      <c r="D1415">
        <v>28.57</v>
      </c>
      <c r="E1415">
        <v>392</v>
      </c>
      <c r="F1415">
        <v>280</v>
      </c>
      <c r="G1415">
        <v>63</v>
      </c>
      <c r="H1415">
        <v>346</v>
      </c>
      <c r="I1415">
        <v>707</v>
      </c>
      <c r="J1415">
        <v>1</v>
      </c>
      <c r="K1415">
        <v>4</v>
      </c>
      <c r="L1415">
        <v>362</v>
      </c>
      <c r="M1415">
        <v>1</v>
      </c>
      <c r="N1415">
        <v>1.8198499999999999E-25</v>
      </c>
      <c r="O1415">
        <v>288</v>
      </c>
    </row>
    <row r="1416" spans="1:15" x14ac:dyDescent="0.25">
      <c r="A1416" t="s">
        <v>1429</v>
      </c>
      <c r="B1416">
        <v>421</v>
      </c>
      <c r="C1416" s="1" t="str">
        <f>HYPERLINK("http://www.rosaceae.org/gb/gbrowse/malus_x_domestica/?name=MDP0000289284","MDP0000289284")</f>
        <v>MDP0000289284</v>
      </c>
      <c r="D1416">
        <v>64.72</v>
      </c>
      <c r="E1416">
        <v>309</v>
      </c>
      <c r="F1416">
        <v>109</v>
      </c>
      <c r="G1416">
        <v>46</v>
      </c>
      <c r="H1416">
        <v>60</v>
      </c>
      <c r="I1416">
        <v>338</v>
      </c>
      <c r="J1416">
        <v>1</v>
      </c>
      <c r="K1416">
        <v>148</v>
      </c>
      <c r="L1416">
        <v>440</v>
      </c>
      <c r="M1416">
        <v>1</v>
      </c>
      <c r="N1416">
        <v>1.73444E-100</v>
      </c>
      <c r="O1416">
        <v>932</v>
      </c>
    </row>
    <row r="1417" spans="1:15" x14ac:dyDescent="0.25">
      <c r="A1417" t="s">
        <v>1430</v>
      </c>
      <c r="B1417">
        <v>439</v>
      </c>
      <c r="C1417" s="1" t="str">
        <f>HYPERLINK("http://www.rosaceae.org/gb/gbrowse/malus_x_domestica/?name=MDP0000319344","MDP0000319344")</f>
        <v>MDP0000319344</v>
      </c>
      <c r="D1417">
        <v>65.05</v>
      </c>
      <c r="E1417">
        <v>475</v>
      </c>
      <c r="F1417">
        <v>166</v>
      </c>
      <c r="G1417">
        <v>52</v>
      </c>
      <c r="H1417">
        <v>1</v>
      </c>
      <c r="I1417">
        <v>438</v>
      </c>
      <c r="J1417">
        <v>1</v>
      </c>
      <c r="K1417">
        <v>6</v>
      </c>
      <c r="L1417">
        <v>465</v>
      </c>
      <c r="M1417">
        <v>1</v>
      </c>
      <c r="N1417">
        <v>3.2726900000000002E-145</v>
      </c>
      <c r="O1417">
        <v>1318</v>
      </c>
    </row>
    <row r="1418" spans="1:15" x14ac:dyDescent="0.25">
      <c r="A1418" t="s">
        <v>1431</v>
      </c>
      <c r="B1418">
        <v>345</v>
      </c>
      <c r="C1418" s="1" t="str">
        <f>HYPERLINK("http://www.rosaceae.org/gb/gbrowse/malus_x_domestica/?name=MDP0000222270","MDP0000222270")</f>
        <v>MDP0000222270</v>
      </c>
      <c r="D1418">
        <v>64.150000000000006</v>
      </c>
      <c r="E1418">
        <v>265</v>
      </c>
      <c r="F1418">
        <v>95</v>
      </c>
      <c r="G1418">
        <v>6</v>
      </c>
      <c r="H1418">
        <v>1</v>
      </c>
      <c r="I1418">
        <v>260</v>
      </c>
      <c r="J1418">
        <v>1</v>
      </c>
      <c r="K1418">
        <v>1</v>
      </c>
      <c r="L1418">
        <v>264</v>
      </c>
      <c r="M1418">
        <v>1</v>
      </c>
      <c r="N1418">
        <v>3.3302400000000001E-89</v>
      </c>
      <c r="O1418">
        <v>834</v>
      </c>
    </row>
    <row r="1419" spans="1:15" x14ac:dyDescent="0.25">
      <c r="A1419" t="s">
        <v>1432</v>
      </c>
      <c r="B1419">
        <v>125</v>
      </c>
      <c r="C1419" s="1" t="str">
        <f>HYPERLINK("http://www.rosaceae.org/gb/gbrowse/malus_x_domestica/?name=MDP0000751295","MDP0000751295")</f>
        <v>MDP0000751295</v>
      </c>
      <c r="D1419">
        <v>94.44</v>
      </c>
      <c r="E1419">
        <v>72</v>
      </c>
      <c r="F1419">
        <v>4</v>
      </c>
      <c r="G1419">
        <v>0</v>
      </c>
      <c r="H1419">
        <v>54</v>
      </c>
      <c r="I1419">
        <v>125</v>
      </c>
      <c r="J1419">
        <v>1</v>
      </c>
      <c r="K1419">
        <v>37</v>
      </c>
      <c r="L1419">
        <v>108</v>
      </c>
      <c r="M1419">
        <v>1</v>
      </c>
      <c r="N1419">
        <v>6.1146100000000001E-35</v>
      </c>
      <c r="O1419">
        <v>359</v>
      </c>
    </row>
    <row r="1420" spans="1:15" x14ac:dyDescent="0.25">
      <c r="A1420" t="s">
        <v>1433</v>
      </c>
      <c r="B1420">
        <v>245</v>
      </c>
      <c r="C1420" s="1" t="str">
        <f>HYPERLINK("http://www.rosaceae.org/gb/gbrowse/malus_x_domestica/?name=MDP0000417211","MDP0000417211")</f>
        <v>MDP0000417211</v>
      </c>
      <c r="D1420">
        <v>50.75</v>
      </c>
      <c r="E1420">
        <v>132</v>
      </c>
      <c r="F1420">
        <v>65</v>
      </c>
      <c r="G1420">
        <v>2</v>
      </c>
      <c r="H1420">
        <v>87</v>
      </c>
      <c r="I1420">
        <v>218</v>
      </c>
      <c r="J1420">
        <v>1</v>
      </c>
      <c r="K1420">
        <v>33</v>
      </c>
      <c r="L1420">
        <v>162</v>
      </c>
      <c r="M1420">
        <v>1</v>
      </c>
      <c r="N1420">
        <v>7.5811700000000002E-32</v>
      </c>
      <c r="O1420">
        <v>337</v>
      </c>
    </row>
    <row r="1421" spans="1:15" x14ac:dyDescent="0.25">
      <c r="A1421" t="s">
        <v>1434</v>
      </c>
      <c r="B1421">
        <v>238</v>
      </c>
      <c r="C1421" s="1" t="str">
        <f>HYPERLINK("http://www.rosaceae.org/gb/gbrowse/malus_x_domestica/?name=MDP0000253318","MDP0000253318")</f>
        <v>MDP0000253318</v>
      </c>
      <c r="D1421">
        <v>75</v>
      </c>
      <c r="E1421">
        <v>248</v>
      </c>
      <c r="F1421">
        <v>62</v>
      </c>
      <c r="G1421">
        <v>16</v>
      </c>
      <c r="H1421">
        <v>1</v>
      </c>
      <c r="I1421">
        <v>234</v>
      </c>
      <c r="J1421">
        <v>1</v>
      </c>
      <c r="K1421">
        <v>1</v>
      </c>
      <c r="L1421">
        <v>246</v>
      </c>
      <c r="M1421">
        <v>1</v>
      </c>
      <c r="N1421">
        <v>2.39727E-99</v>
      </c>
      <c r="O1421">
        <v>919</v>
      </c>
    </row>
    <row r="1422" spans="1:15" x14ac:dyDescent="0.25">
      <c r="A1422" t="s">
        <v>1435</v>
      </c>
      <c r="B1422">
        <v>291</v>
      </c>
      <c r="C1422" s="1" t="str">
        <f>HYPERLINK("http://www.rosaceae.org/gb/gbrowse/malus_x_domestica/?name=MDP0000846004","MDP0000846004")</f>
        <v>MDP0000846004</v>
      </c>
      <c r="D1422">
        <v>56.69</v>
      </c>
      <c r="E1422">
        <v>284</v>
      </c>
      <c r="F1422">
        <v>123</v>
      </c>
      <c r="G1422">
        <v>37</v>
      </c>
      <c r="H1422">
        <v>1</v>
      </c>
      <c r="I1422">
        <v>282</v>
      </c>
      <c r="J1422">
        <v>1</v>
      </c>
      <c r="K1422">
        <v>1</v>
      </c>
      <c r="L1422">
        <v>249</v>
      </c>
      <c r="M1422">
        <v>1</v>
      </c>
      <c r="N1422">
        <v>2.7320600000000001E-72</v>
      </c>
      <c r="O1422">
        <v>687</v>
      </c>
    </row>
    <row r="1423" spans="1:15" x14ac:dyDescent="0.25">
      <c r="A1423" t="s">
        <v>1436</v>
      </c>
      <c r="B1423">
        <v>111</v>
      </c>
      <c r="C1423" s="1" t="str">
        <f>HYPERLINK("http://www.rosaceae.org/gb/gbrowse/malus_x_domestica/?name=MDP0000256438","MDP0000256438")</f>
        <v>MDP0000256438</v>
      </c>
      <c r="D1423">
        <v>76.19</v>
      </c>
      <c r="E1423">
        <v>42</v>
      </c>
      <c r="F1423">
        <v>10</v>
      </c>
      <c r="G1423">
        <v>0</v>
      </c>
      <c r="H1423">
        <v>35</v>
      </c>
      <c r="I1423">
        <v>76</v>
      </c>
      <c r="J1423">
        <v>1</v>
      </c>
      <c r="K1423">
        <v>118</v>
      </c>
      <c r="L1423">
        <v>159</v>
      </c>
      <c r="M1423">
        <v>1</v>
      </c>
      <c r="N1423">
        <v>3.69104E-13</v>
      </c>
      <c r="O1423">
        <v>171</v>
      </c>
    </row>
    <row r="1424" spans="1:15" x14ac:dyDescent="0.25">
      <c r="A1424" t="s">
        <v>1437</v>
      </c>
      <c r="B1424">
        <v>437</v>
      </c>
      <c r="C1424" s="1" t="str">
        <f>HYPERLINK("http://www.rosaceae.org/gb/gbrowse/malus_x_domestica/?name=MDP0000128531","MDP0000128531")</f>
        <v>MDP0000128531</v>
      </c>
      <c r="D1424">
        <v>58.66</v>
      </c>
      <c r="E1424">
        <v>254</v>
      </c>
      <c r="F1424">
        <v>105</v>
      </c>
      <c r="G1424">
        <v>8</v>
      </c>
      <c r="H1424">
        <v>78</v>
      </c>
      <c r="I1424">
        <v>328</v>
      </c>
      <c r="J1424">
        <v>1</v>
      </c>
      <c r="K1424">
        <v>71</v>
      </c>
      <c r="L1424">
        <v>319</v>
      </c>
      <c r="M1424">
        <v>1</v>
      </c>
      <c r="N1424">
        <v>9.0273800000000005E-78</v>
      </c>
      <c r="O1424">
        <v>737</v>
      </c>
    </row>
    <row r="1425" spans="1:15" x14ac:dyDescent="0.25">
      <c r="A1425" t="s">
        <v>1438</v>
      </c>
      <c r="B1425">
        <v>1043</v>
      </c>
      <c r="C1425" s="1" t="str">
        <f>HYPERLINK("http://www.rosaceae.org/gb/gbrowse/malus_x_domestica/?name=MDP0000231512","MDP0000231512")</f>
        <v>MDP0000231512</v>
      </c>
      <c r="D1425">
        <v>64.010000000000005</v>
      </c>
      <c r="E1425">
        <v>1056</v>
      </c>
      <c r="F1425">
        <v>380</v>
      </c>
      <c r="G1425">
        <v>70</v>
      </c>
      <c r="H1425">
        <v>3</v>
      </c>
      <c r="I1425">
        <v>1012</v>
      </c>
      <c r="J1425">
        <v>1</v>
      </c>
      <c r="K1425">
        <v>110</v>
      </c>
      <c r="L1425">
        <v>1141</v>
      </c>
      <c r="M1425">
        <v>1</v>
      </c>
      <c r="N1425">
        <v>0</v>
      </c>
      <c r="O1425">
        <v>3361</v>
      </c>
    </row>
    <row r="1426" spans="1:15" x14ac:dyDescent="0.25">
      <c r="A1426" t="s">
        <v>1439</v>
      </c>
      <c r="B1426">
        <v>269</v>
      </c>
      <c r="C1426" s="1" t="str">
        <f>HYPERLINK("http://www.rosaceae.org/gb/gbrowse/malus_x_domestica/?name=MDP0000336547","MDP0000336547")</f>
        <v>MDP0000336547</v>
      </c>
      <c r="D1426">
        <v>81.540000000000006</v>
      </c>
      <c r="E1426">
        <v>271</v>
      </c>
      <c r="F1426">
        <v>50</v>
      </c>
      <c r="G1426">
        <v>2</v>
      </c>
      <c r="H1426">
        <v>1</v>
      </c>
      <c r="I1426">
        <v>269</v>
      </c>
      <c r="J1426">
        <v>1</v>
      </c>
      <c r="K1426">
        <v>1</v>
      </c>
      <c r="L1426">
        <v>271</v>
      </c>
      <c r="M1426">
        <v>1</v>
      </c>
      <c r="N1426">
        <v>6.2242500000000002E-117</v>
      </c>
      <c r="O1426">
        <v>1072</v>
      </c>
    </row>
    <row r="1427" spans="1:15" x14ac:dyDescent="0.25">
      <c r="A1427" t="s">
        <v>1440</v>
      </c>
      <c r="B1427">
        <v>172</v>
      </c>
      <c r="C1427" s="1" t="str">
        <f>HYPERLINK("http://www.rosaceae.org/gb/gbrowse/malus_x_domestica/?name=MDP0000320216","MDP0000320216")</f>
        <v>MDP0000320216</v>
      </c>
      <c r="D1427">
        <v>78.91</v>
      </c>
      <c r="E1427">
        <v>147</v>
      </c>
      <c r="F1427">
        <v>31</v>
      </c>
      <c r="G1427">
        <v>2</v>
      </c>
      <c r="H1427">
        <v>28</v>
      </c>
      <c r="I1427">
        <v>172</v>
      </c>
      <c r="J1427">
        <v>1</v>
      </c>
      <c r="K1427">
        <v>28</v>
      </c>
      <c r="L1427">
        <v>174</v>
      </c>
      <c r="M1427">
        <v>1</v>
      </c>
      <c r="N1427">
        <v>2.99062E-63</v>
      </c>
      <c r="O1427">
        <v>606</v>
      </c>
    </row>
    <row r="1428" spans="1:15" x14ac:dyDescent="0.25">
      <c r="A1428" t="s">
        <v>1441</v>
      </c>
      <c r="B1428">
        <v>614</v>
      </c>
      <c r="C1428" s="1" t="str">
        <f>HYPERLINK("http://www.rosaceae.org/gb/gbrowse/malus_x_domestica/?name=MDP0000178901","MDP0000178901")</f>
        <v>MDP0000178901</v>
      </c>
      <c r="D1428">
        <v>41.35</v>
      </c>
      <c r="E1428">
        <v>515</v>
      </c>
      <c r="F1428">
        <v>302</v>
      </c>
      <c r="G1428">
        <v>86</v>
      </c>
      <c r="H1428">
        <v>20</v>
      </c>
      <c r="I1428">
        <v>452</v>
      </c>
      <c r="J1428">
        <v>1</v>
      </c>
      <c r="K1428">
        <v>492</v>
      </c>
      <c r="L1428">
        <v>1002</v>
      </c>
      <c r="M1428">
        <v>1</v>
      </c>
      <c r="N1428">
        <v>4.9575699999999999E-81</v>
      </c>
      <c r="O1428">
        <v>766</v>
      </c>
    </row>
    <row r="1429" spans="1:15" x14ac:dyDescent="0.25">
      <c r="A1429" t="s">
        <v>1442</v>
      </c>
      <c r="B1429">
        <v>598</v>
      </c>
      <c r="C1429" s="1" t="str">
        <f>HYPERLINK("http://www.rosaceae.org/gb/gbrowse/malus_x_domestica/?name=MDP0000026761","MDP0000026761")</f>
        <v>MDP0000026761</v>
      </c>
      <c r="D1429">
        <v>62.99</v>
      </c>
      <c r="E1429">
        <v>508</v>
      </c>
      <c r="F1429">
        <v>188</v>
      </c>
      <c r="G1429">
        <v>12</v>
      </c>
      <c r="H1429">
        <v>94</v>
      </c>
      <c r="I1429">
        <v>593</v>
      </c>
      <c r="J1429">
        <v>1</v>
      </c>
      <c r="K1429">
        <v>2</v>
      </c>
      <c r="L1429">
        <v>505</v>
      </c>
      <c r="M1429">
        <v>1</v>
      </c>
      <c r="N1429">
        <v>4.7431699999999997E-180</v>
      </c>
      <c r="O1429">
        <v>1620</v>
      </c>
    </row>
    <row r="1430" spans="1:15" x14ac:dyDescent="0.25">
      <c r="A1430" t="s">
        <v>1443</v>
      </c>
      <c r="B1430">
        <v>599</v>
      </c>
      <c r="C1430" s="1" t="str">
        <f>HYPERLINK("http://www.rosaceae.org/gb/gbrowse/malus_x_domestica/?name=MDP0000949487","MDP0000949487")</f>
        <v>MDP0000949487</v>
      </c>
      <c r="D1430">
        <v>67.75</v>
      </c>
      <c r="E1430">
        <v>614</v>
      </c>
      <c r="F1430">
        <v>198</v>
      </c>
      <c r="G1430">
        <v>50</v>
      </c>
      <c r="H1430">
        <v>1</v>
      </c>
      <c r="I1430">
        <v>599</v>
      </c>
      <c r="J1430">
        <v>1</v>
      </c>
      <c r="K1430">
        <v>205</v>
      </c>
      <c r="L1430">
        <v>783</v>
      </c>
      <c r="M1430">
        <v>1</v>
      </c>
      <c r="N1430">
        <v>0</v>
      </c>
      <c r="O1430">
        <v>1983</v>
      </c>
    </row>
    <row r="1431" spans="1:15" x14ac:dyDescent="0.25">
      <c r="A1431" t="s">
        <v>1444</v>
      </c>
      <c r="B1431">
        <v>780</v>
      </c>
      <c r="C1431" s="1" t="str">
        <f>HYPERLINK("http://www.rosaceae.org/gb/gbrowse/malus_x_domestica/?name=MDP0000560137","MDP0000560137")</f>
        <v>MDP0000560137</v>
      </c>
      <c r="D1431">
        <v>71.92</v>
      </c>
      <c r="E1431">
        <v>577</v>
      </c>
      <c r="F1431">
        <v>162</v>
      </c>
      <c r="G1431">
        <v>2</v>
      </c>
      <c r="H1431">
        <v>36</v>
      </c>
      <c r="I1431">
        <v>612</v>
      </c>
      <c r="J1431">
        <v>1</v>
      </c>
      <c r="K1431">
        <v>48</v>
      </c>
      <c r="L1431">
        <v>622</v>
      </c>
      <c r="M1431">
        <v>1</v>
      </c>
      <c r="N1431">
        <v>0</v>
      </c>
      <c r="O1431">
        <v>2218</v>
      </c>
    </row>
    <row r="1432" spans="1:15" x14ac:dyDescent="0.25">
      <c r="A1432" t="s">
        <v>1445</v>
      </c>
      <c r="B1432">
        <v>84</v>
      </c>
      <c r="C1432" s="1" t="str">
        <f>HYPERLINK("http://www.rosaceae.org/gb/gbrowse/malus_x_domestica/?name=MDP0000149789","MDP0000149789")</f>
        <v>MDP0000149789</v>
      </c>
      <c r="D1432">
        <v>58.18</v>
      </c>
      <c r="E1432">
        <v>55</v>
      </c>
      <c r="F1432">
        <v>23</v>
      </c>
      <c r="G1432">
        <v>4</v>
      </c>
      <c r="H1432">
        <v>30</v>
      </c>
      <c r="I1432">
        <v>84</v>
      </c>
      <c r="J1432">
        <v>1</v>
      </c>
      <c r="K1432">
        <v>23</v>
      </c>
      <c r="L1432">
        <v>73</v>
      </c>
      <c r="M1432">
        <v>1</v>
      </c>
      <c r="N1432">
        <v>7.3587299999999994E-11</v>
      </c>
      <c r="O1432">
        <v>151</v>
      </c>
    </row>
    <row r="1433" spans="1:15" x14ac:dyDescent="0.25">
      <c r="A1433" t="s">
        <v>1446</v>
      </c>
      <c r="B1433">
        <v>1116</v>
      </c>
      <c r="C1433" s="1" t="str">
        <f>HYPERLINK("http://www.rosaceae.org/gb/gbrowse/malus_x_domestica/?name=MDP0000396787","MDP0000396787")</f>
        <v>MDP0000396787</v>
      </c>
      <c r="D1433">
        <v>65.22</v>
      </c>
      <c r="E1433">
        <v>555</v>
      </c>
      <c r="F1433">
        <v>193</v>
      </c>
      <c r="G1433">
        <v>38</v>
      </c>
      <c r="H1433">
        <v>480</v>
      </c>
      <c r="I1433">
        <v>1030</v>
      </c>
      <c r="J1433">
        <v>1</v>
      </c>
      <c r="K1433">
        <v>1</v>
      </c>
      <c r="L1433">
        <v>521</v>
      </c>
      <c r="M1433">
        <v>1</v>
      </c>
      <c r="N1433">
        <v>0</v>
      </c>
      <c r="O1433">
        <v>1853</v>
      </c>
    </row>
    <row r="1434" spans="1:15" x14ac:dyDescent="0.25">
      <c r="A1434" t="s">
        <v>1447</v>
      </c>
      <c r="B1434">
        <v>257</v>
      </c>
      <c r="C1434" s="1" t="str">
        <f>HYPERLINK("http://www.rosaceae.org/gb/gbrowse/malus_x_domestica/?name=MDP0000305219","MDP0000305219")</f>
        <v>MDP0000305219</v>
      </c>
      <c r="D1434">
        <v>39.909999999999997</v>
      </c>
      <c r="E1434">
        <v>228</v>
      </c>
      <c r="F1434">
        <v>137</v>
      </c>
      <c r="G1434">
        <v>28</v>
      </c>
      <c r="H1434">
        <v>33</v>
      </c>
      <c r="I1434">
        <v>238</v>
      </c>
      <c r="J1434">
        <v>1</v>
      </c>
      <c r="K1434">
        <v>34</v>
      </c>
      <c r="L1434">
        <v>255</v>
      </c>
      <c r="M1434">
        <v>1</v>
      </c>
      <c r="N1434">
        <v>8.5752400000000001E-27</v>
      </c>
      <c r="O1434">
        <v>294</v>
      </c>
    </row>
    <row r="1435" spans="1:15" x14ac:dyDescent="0.25">
      <c r="A1435" t="s">
        <v>1448</v>
      </c>
      <c r="B1435">
        <v>670</v>
      </c>
      <c r="C1435" s="1" t="str">
        <f>HYPERLINK("http://www.rosaceae.org/gb/gbrowse/malus_x_domestica/?name=MDP0000301534","MDP0000301534")</f>
        <v>MDP0000301534</v>
      </c>
      <c r="D1435">
        <v>51.38</v>
      </c>
      <c r="E1435">
        <v>362</v>
      </c>
      <c r="F1435">
        <v>176</v>
      </c>
      <c r="G1435">
        <v>23</v>
      </c>
      <c r="H1435">
        <v>26</v>
      </c>
      <c r="I1435">
        <v>368</v>
      </c>
      <c r="J1435">
        <v>1</v>
      </c>
      <c r="K1435">
        <v>5</v>
      </c>
      <c r="L1435">
        <v>362</v>
      </c>
      <c r="M1435">
        <v>1</v>
      </c>
      <c r="N1435">
        <v>1.79963E-92</v>
      </c>
      <c r="O1435">
        <v>865</v>
      </c>
    </row>
    <row r="1436" spans="1:15" x14ac:dyDescent="0.25">
      <c r="A1436" t="s">
        <v>1449</v>
      </c>
      <c r="B1436">
        <v>287</v>
      </c>
      <c r="C1436" s="1" t="str">
        <f>HYPERLINK("http://www.rosaceae.org/gb/gbrowse/malus_x_domestica/?name=MDP0000233609","MDP0000233609")</f>
        <v>MDP0000233609</v>
      </c>
      <c r="D1436">
        <v>55.88</v>
      </c>
      <c r="E1436">
        <v>238</v>
      </c>
      <c r="F1436">
        <v>105</v>
      </c>
      <c r="G1436">
        <v>14</v>
      </c>
      <c r="H1436">
        <v>1</v>
      </c>
      <c r="I1436">
        <v>236</v>
      </c>
      <c r="J1436">
        <v>1</v>
      </c>
      <c r="K1436">
        <v>1</v>
      </c>
      <c r="L1436">
        <v>226</v>
      </c>
      <c r="M1436">
        <v>1</v>
      </c>
      <c r="N1436">
        <v>3.0442500000000002E-59</v>
      </c>
      <c r="O1436">
        <v>575</v>
      </c>
    </row>
    <row r="1437" spans="1:15" x14ac:dyDescent="0.25">
      <c r="A1437" t="s">
        <v>1450</v>
      </c>
      <c r="B1437">
        <v>321</v>
      </c>
      <c r="C1437" s="1" t="str">
        <f>HYPERLINK("http://www.rosaceae.org/gb/gbrowse/malus_x_domestica/?name=MDP0000202437","MDP0000202437")</f>
        <v>MDP0000202437</v>
      </c>
      <c r="D1437">
        <v>75.91</v>
      </c>
      <c r="E1437">
        <v>328</v>
      </c>
      <c r="F1437">
        <v>79</v>
      </c>
      <c r="G1437">
        <v>11</v>
      </c>
      <c r="H1437">
        <v>5</v>
      </c>
      <c r="I1437">
        <v>321</v>
      </c>
      <c r="J1437">
        <v>1</v>
      </c>
      <c r="K1437">
        <v>190</v>
      </c>
      <c r="L1437">
        <v>517</v>
      </c>
      <c r="M1437">
        <v>1</v>
      </c>
      <c r="N1437">
        <v>1.68688E-145</v>
      </c>
      <c r="O1437">
        <v>1319</v>
      </c>
    </row>
    <row r="1438" spans="1:15" x14ac:dyDescent="0.25">
      <c r="A1438" t="s">
        <v>1451</v>
      </c>
      <c r="B1438">
        <v>93</v>
      </c>
      <c r="C1438" s="1" t="str">
        <f>HYPERLINK("http://www.rosaceae.org/gb/gbrowse/malus_x_domestica/?name=MDP0000136498","MDP0000136498")</f>
        <v>MDP0000136498</v>
      </c>
      <c r="D1438">
        <v>72.41</v>
      </c>
      <c r="E1438">
        <v>87</v>
      </c>
      <c r="F1438">
        <v>24</v>
      </c>
      <c r="G1438">
        <v>2</v>
      </c>
      <c r="H1438">
        <v>8</v>
      </c>
      <c r="I1438">
        <v>93</v>
      </c>
      <c r="J1438">
        <v>1</v>
      </c>
      <c r="K1438">
        <v>114</v>
      </c>
      <c r="L1438">
        <v>199</v>
      </c>
      <c r="M1438">
        <v>1</v>
      </c>
      <c r="N1438">
        <v>3.0239199999999999E-28</v>
      </c>
      <c r="O1438">
        <v>301</v>
      </c>
    </row>
    <row r="1439" spans="1:15" x14ac:dyDescent="0.25">
      <c r="A1439" t="s">
        <v>1452</v>
      </c>
      <c r="B1439">
        <v>782</v>
      </c>
      <c r="C1439" s="1" t="str">
        <f>HYPERLINK("http://www.rosaceae.org/gb/gbrowse/malus_x_domestica/?name=MDP0000189157","MDP0000189157")</f>
        <v>MDP0000189157</v>
      </c>
      <c r="D1439">
        <v>65.97</v>
      </c>
      <c r="E1439">
        <v>670</v>
      </c>
      <c r="F1439">
        <v>228</v>
      </c>
      <c r="G1439">
        <v>66</v>
      </c>
      <c r="H1439">
        <v>10</v>
      </c>
      <c r="I1439">
        <v>671</v>
      </c>
      <c r="J1439">
        <v>1</v>
      </c>
      <c r="K1439">
        <v>12</v>
      </c>
      <c r="L1439">
        <v>623</v>
      </c>
      <c r="M1439">
        <v>1</v>
      </c>
      <c r="N1439">
        <v>0</v>
      </c>
      <c r="O1439">
        <v>2202</v>
      </c>
    </row>
    <row r="1440" spans="1:15" x14ac:dyDescent="0.25">
      <c r="A1440" t="s">
        <v>1453</v>
      </c>
      <c r="B1440">
        <v>418</v>
      </c>
      <c r="C1440" s="1" t="str">
        <f>HYPERLINK("http://www.rosaceae.org/gb/gbrowse/malus_x_domestica/?name=MDP0000796348","MDP0000796348")</f>
        <v>MDP0000796348</v>
      </c>
      <c r="D1440">
        <v>53.19</v>
      </c>
      <c r="E1440">
        <v>391</v>
      </c>
      <c r="F1440">
        <v>183</v>
      </c>
      <c r="G1440">
        <v>35</v>
      </c>
      <c r="H1440">
        <v>26</v>
      </c>
      <c r="I1440">
        <v>404</v>
      </c>
      <c r="J1440">
        <v>1</v>
      </c>
      <c r="K1440">
        <v>58</v>
      </c>
      <c r="L1440">
        <v>425</v>
      </c>
      <c r="M1440">
        <v>1</v>
      </c>
      <c r="N1440">
        <v>7.2260200000000003E-95</v>
      </c>
      <c r="O1440">
        <v>884</v>
      </c>
    </row>
    <row r="1441" spans="1:15" x14ac:dyDescent="0.25">
      <c r="A1441" t="s">
        <v>1454</v>
      </c>
      <c r="B1441">
        <v>306</v>
      </c>
      <c r="C1441" s="1" t="str">
        <f>HYPERLINK("http://www.rosaceae.org/gb/gbrowse/malus_x_domestica/?name=MDP0000131511","MDP0000131511")</f>
        <v>MDP0000131511</v>
      </c>
      <c r="D1441">
        <v>56.25</v>
      </c>
      <c r="E1441">
        <v>208</v>
      </c>
      <c r="F1441">
        <v>91</v>
      </c>
      <c r="G1441">
        <v>16</v>
      </c>
      <c r="H1441">
        <v>113</v>
      </c>
      <c r="I1441">
        <v>305</v>
      </c>
      <c r="J1441">
        <v>1</v>
      </c>
      <c r="K1441">
        <v>3</v>
      </c>
      <c r="L1441">
        <v>209</v>
      </c>
      <c r="M1441">
        <v>1</v>
      </c>
      <c r="N1441">
        <v>3.4999599999999998E-58</v>
      </c>
      <c r="O1441">
        <v>566</v>
      </c>
    </row>
    <row r="1442" spans="1:15" x14ac:dyDescent="0.25">
      <c r="A1442" t="s">
        <v>1455</v>
      </c>
      <c r="B1442">
        <v>441</v>
      </c>
      <c r="C1442" s="1" t="str">
        <f>HYPERLINK("http://www.rosaceae.org/gb/gbrowse/malus_x_domestica/?name=MDP0000891962","MDP0000891962")</f>
        <v>MDP0000891962</v>
      </c>
      <c r="D1442">
        <v>75.28</v>
      </c>
      <c r="E1442">
        <v>348</v>
      </c>
      <c r="F1442">
        <v>86</v>
      </c>
      <c r="G1442">
        <v>7</v>
      </c>
      <c r="H1442">
        <v>99</v>
      </c>
      <c r="I1442">
        <v>441</v>
      </c>
      <c r="J1442">
        <v>1</v>
      </c>
      <c r="K1442">
        <v>3</v>
      </c>
      <c r="L1442">
        <v>348</v>
      </c>
      <c r="M1442">
        <v>1</v>
      </c>
      <c r="N1442">
        <v>4.7493199999999998E-153</v>
      </c>
      <c r="O1442">
        <v>1386</v>
      </c>
    </row>
    <row r="1443" spans="1:15" x14ac:dyDescent="0.25">
      <c r="A1443" t="s">
        <v>1456</v>
      </c>
      <c r="B1443">
        <v>740</v>
      </c>
      <c r="C1443" s="1" t="str">
        <f>HYPERLINK("http://www.rosaceae.org/gb/gbrowse/malus_x_domestica/?name=MDP0000569069","MDP0000569069")</f>
        <v>MDP0000569069</v>
      </c>
      <c r="D1443">
        <v>67.87</v>
      </c>
      <c r="E1443">
        <v>249</v>
      </c>
      <c r="F1443">
        <v>80</v>
      </c>
      <c r="G1443">
        <v>6</v>
      </c>
      <c r="H1443">
        <v>1</v>
      </c>
      <c r="I1443">
        <v>247</v>
      </c>
      <c r="J1443">
        <v>1</v>
      </c>
      <c r="K1443">
        <v>1</v>
      </c>
      <c r="L1443">
        <v>245</v>
      </c>
      <c r="M1443">
        <v>1</v>
      </c>
      <c r="N1443">
        <v>4.3738200000000003E-93</v>
      </c>
      <c r="O1443">
        <v>871</v>
      </c>
    </row>
    <row r="1444" spans="1:15" x14ac:dyDescent="0.25">
      <c r="A1444" t="s">
        <v>1457</v>
      </c>
      <c r="B1444">
        <v>955</v>
      </c>
      <c r="C1444" s="1" t="str">
        <f>HYPERLINK("http://www.rosaceae.org/gb/gbrowse/malus_x_domestica/?name=MDP0000589422","MDP0000589422")</f>
        <v>MDP0000589422</v>
      </c>
      <c r="D1444">
        <v>41.21</v>
      </c>
      <c r="E1444">
        <v>279</v>
      </c>
      <c r="F1444">
        <v>164</v>
      </c>
      <c r="G1444">
        <v>42</v>
      </c>
      <c r="H1444">
        <v>391</v>
      </c>
      <c r="I1444">
        <v>631</v>
      </c>
      <c r="J1444">
        <v>1</v>
      </c>
      <c r="K1444">
        <v>12</v>
      </c>
      <c r="L1444">
        <v>286</v>
      </c>
      <c r="M1444">
        <v>1</v>
      </c>
      <c r="N1444">
        <v>2.6241499999999999E-43</v>
      </c>
      <c r="O1444">
        <v>443</v>
      </c>
    </row>
    <row r="1445" spans="1:15" x14ac:dyDescent="0.25">
      <c r="A1445" t="s">
        <v>1458</v>
      </c>
      <c r="B1445">
        <v>222</v>
      </c>
      <c r="C1445" s="1" t="str">
        <f>HYPERLINK("http://www.rosaceae.org/gb/gbrowse/malus_x_domestica/?name=MDP0000275032","MDP0000275032")</f>
        <v>MDP0000275032</v>
      </c>
      <c r="D1445">
        <v>60.63</v>
      </c>
      <c r="E1445">
        <v>221</v>
      </c>
      <c r="F1445">
        <v>87</v>
      </c>
      <c r="G1445">
        <v>9</v>
      </c>
      <c r="H1445">
        <v>7</v>
      </c>
      <c r="I1445">
        <v>222</v>
      </c>
      <c r="J1445">
        <v>1</v>
      </c>
      <c r="K1445">
        <v>3</v>
      </c>
      <c r="L1445">
        <v>219</v>
      </c>
      <c r="M1445">
        <v>1</v>
      </c>
      <c r="N1445">
        <v>3.58417E-71</v>
      </c>
      <c r="O1445">
        <v>676</v>
      </c>
    </row>
    <row r="1446" spans="1:15" x14ac:dyDescent="0.25">
      <c r="A1446" t="s">
        <v>1459</v>
      </c>
      <c r="B1446">
        <v>579</v>
      </c>
      <c r="C1446" s="1" t="str">
        <f>HYPERLINK("http://www.rosaceae.org/gb/gbrowse/malus_x_domestica/?name=MDP0000278580","MDP0000278580")</f>
        <v>MDP0000278580</v>
      </c>
      <c r="D1446">
        <v>47</v>
      </c>
      <c r="E1446">
        <v>551</v>
      </c>
      <c r="F1446">
        <v>292</v>
      </c>
      <c r="G1446">
        <v>64</v>
      </c>
      <c r="H1446">
        <v>30</v>
      </c>
      <c r="I1446">
        <v>532</v>
      </c>
      <c r="J1446">
        <v>1</v>
      </c>
      <c r="K1446">
        <v>278</v>
      </c>
      <c r="L1446">
        <v>812</v>
      </c>
      <c r="M1446">
        <v>1</v>
      </c>
      <c r="N1446">
        <v>2.03718E-138</v>
      </c>
      <c r="O1446">
        <v>1261</v>
      </c>
    </row>
    <row r="1447" spans="1:15" x14ac:dyDescent="0.25">
      <c r="A1447" t="s">
        <v>1460</v>
      </c>
      <c r="B1447">
        <v>194</v>
      </c>
      <c r="C1447" s="1" t="str">
        <f>HYPERLINK("http://www.rosaceae.org/gb/gbrowse/malus_x_domestica/?name=MDP0000139844","MDP0000139844")</f>
        <v>MDP0000139844</v>
      </c>
      <c r="D1447">
        <v>73.19</v>
      </c>
      <c r="E1447">
        <v>194</v>
      </c>
      <c r="F1447">
        <v>52</v>
      </c>
      <c r="G1447">
        <v>1</v>
      </c>
      <c r="H1447">
        <v>1</v>
      </c>
      <c r="I1447">
        <v>194</v>
      </c>
      <c r="J1447">
        <v>1</v>
      </c>
      <c r="K1447">
        <v>1</v>
      </c>
      <c r="L1447">
        <v>193</v>
      </c>
      <c r="M1447">
        <v>1</v>
      </c>
      <c r="N1447">
        <v>1.19945E-81</v>
      </c>
      <c r="O1447">
        <v>765</v>
      </c>
    </row>
    <row r="1448" spans="1:15" x14ac:dyDescent="0.25">
      <c r="A1448" t="s">
        <v>1461</v>
      </c>
      <c r="B1448">
        <v>119</v>
      </c>
      <c r="C1448" s="1" t="str">
        <f>HYPERLINK("http://www.rosaceae.org/gb/gbrowse/malus_x_domestica/?name=MDP0000450601","MDP0000450601")</f>
        <v>MDP0000450601</v>
      </c>
      <c r="D1448">
        <v>58.53</v>
      </c>
      <c r="E1448">
        <v>41</v>
      </c>
      <c r="F1448">
        <v>17</v>
      </c>
      <c r="G1448">
        <v>0</v>
      </c>
      <c r="H1448">
        <v>2</v>
      </c>
      <c r="I1448">
        <v>42</v>
      </c>
      <c r="J1448">
        <v>1</v>
      </c>
      <c r="K1448">
        <v>343</v>
      </c>
      <c r="L1448">
        <v>383</v>
      </c>
      <c r="M1448">
        <v>1</v>
      </c>
      <c r="N1448">
        <v>1.3769799999999999E-9</v>
      </c>
      <c r="O1448">
        <v>140</v>
      </c>
    </row>
    <row r="1449" spans="1:15" x14ac:dyDescent="0.25">
      <c r="A1449" t="s">
        <v>1462</v>
      </c>
      <c r="B1449">
        <v>707</v>
      </c>
      <c r="C1449" s="1" t="str">
        <f>HYPERLINK("http://www.rosaceae.org/gb/gbrowse/malus_x_domestica/?name=MDP0000298110","MDP0000298110")</f>
        <v>MDP0000298110</v>
      </c>
      <c r="D1449">
        <v>79.64</v>
      </c>
      <c r="E1449">
        <v>398</v>
      </c>
      <c r="F1449">
        <v>81</v>
      </c>
      <c r="G1449">
        <v>2</v>
      </c>
      <c r="H1449">
        <v>78</v>
      </c>
      <c r="I1449">
        <v>475</v>
      </c>
      <c r="J1449">
        <v>1</v>
      </c>
      <c r="K1449">
        <v>1</v>
      </c>
      <c r="L1449">
        <v>396</v>
      </c>
      <c r="M1449">
        <v>1</v>
      </c>
      <c r="N1449">
        <v>9.0131500000000005E-176</v>
      </c>
      <c r="O1449">
        <v>1584</v>
      </c>
    </row>
    <row r="1450" spans="1:15" x14ac:dyDescent="0.25">
      <c r="A1450" t="s">
        <v>1463</v>
      </c>
      <c r="B1450">
        <v>375</v>
      </c>
      <c r="C1450" s="1" t="str">
        <f>HYPERLINK("http://www.rosaceae.org/gb/gbrowse/malus_x_domestica/?name=MDP0000041421","MDP0000041421")</f>
        <v>MDP0000041421</v>
      </c>
      <c r="D1450">
        <v>80.05</v>
      </c>
      <c r="E1450">
        <v>376</v>
      </c>
      <c r="F1450">
        <v>75</v>
      </c>
      <c r="G1450">
        <v>6</v>
      </c>
      <c r="H1450">
        <v>1</v>
      </c>
      <c r="I1450">
        <v>374</v>
      </c>
      <c r="J1450">
        <v>1</v>
      </c>
      <c r="K1450">
        <v>1</v>
      </c>
      <c r="L1450">
        <v>372</v>
      </c>
      <c r="M1450">
        <v>1</v>
      </c>
      <c r="N1450">
        <v>2.3895499999999999E-174</v>
      </c>
      <c r="O1450">
        <v>1569</v>
      </c>
    </row>
    <row r="1451" spans="1:15" x14ac:dyDescent="0.25">
      <c r="A1451" t="s">
        <v>1464</v>
      </c>
      <c r="B1451">
        <v>182</v>
      </c>
      <c r="C1451" s="1" t="str">
        <f>HYPERLINK("http://www.rosaceae.org/gb/gbrowse/malus_x_domestica/?name=MDP0000617223","MDP0000617223")</f>
        <v>MDP0000617223</v>
      </c>
      <c r="D1451">
        <v>33.33</v>
      </c>
      <c r="E1451">
        <v>75</v>
      </c>
      <c r="F1451">
        <v>50</v>
      </c>
      <c r="G1451">
        <v>0</v>
      </c>
      <c r="H1451">
        <v>55</v>
      </c>
      <c r="I1451">
        <v>129</v>
      </c>
      <c r="J1451">
        <v>1</v>
      </c>
      <c r="K1451">
        <v>120</v>
      </c>
      <c r="L1451">
        <v>194</v>
      </c>
      <c r="M1451">
        <v>1</v>
      </c>
      <c r="N1451">
        <v>5.4483400000000001E-8</v>
      </c>
      <c r="O1451">
        <v>130</v>
      </c>
    </row>
    <row r="1452" spans="1:15" x14ac:dyDescent="0.25">
      <c r="A1452" t="s">
        <v>1465</v>
      </c>
      <c r="B1452">
        <v>396</v>
      </c>
      <c r="C1452" s="1" t="str">
        <f>HYPERLINK("http://www.rosaceae.org/gb/gbrowse/malus_x_domestica/?name=MDP0000238513","MDP0000238513")</f>
        <v>MDP0000238513</v>
      </c>
      <c r="D1452">
        <v>83.33</v>
      </c>
      <c r="E1452">
        <v>180</v>
      </c>
      <c r="F1452">
        <v>30</v>
      </c>
      <c r="G1452">
        <v>0</v>
      </c>
      <c r="H1452">
        <v>1</v>
      </c>
      <c r="I1452">
        <v>180</v>
      </c>
      <c r="J1452">
        <v>1</v>
      </c>
      <c r="K1452">
        <v>100</v>
      </c>
      <c r="L1452">
        <v>279</v>
      </c>
      <c r="M1452">
        <v>1</v>
      </c>
      <c r="N1452">
        <v>2.8292300000000001E-84</v>
      </c>
      <c r="O1452">
        <v>792</v>
      </c>
    </row>
    <row r="1453" spans="1:15" x14ac:dyDescent="0.25">
      <c r="A1453" t="s">
        <v>1466</v>
      </c>
      <c r="B1453">
        <v>349</v>
      </c>
      <c r="C1453" s="1" t="str">
        <f>HYPERLINK("http://www.rosaceae.org/gb/gbrowse/malus_x_domestica/?name=MDP0000417211","MDP0000417211")</f>
        <v>MDP0000417211</v>
      </c>
      <c r="D1453">
        <v>53.07</v>
      </c>
      <c r="E1453">
        <v>130</v>
      </c>
      <c r="F1453">
        <v>61</v>
      </c>
      <c r="G1453">
        <v>0</v>
      </c>
      <c r="H1453">
        <v>200</v>
      </c>
      <c r="I1453">
        <v>329</v>
      </c>
      <c r="J1453">
        <v>1</v>
      </c>
      <c r="K1453">
        <v>26</v>
      </c>
      <c r="L1453">
        <v>155</v>
      </c>
      <c r="M1453">
        <v>1</v>
      </c>
      <c r="N1453">
        <v>6.7598699999999995E-35</v>
      </c>
      <c r="O1453">
        <v>366</v>
      </c>
    </row>
    <row r="1454" spans="1:15" x14ac:dyDescent="0.25">
      <c r="A1454" t="s">
        <v>1467</v>
      </c>
      <c r="B1454">
        <v>411</v>
      </c>
      <c r="C1454" s="1" t="str">
        <f>HYPERLINK("http://www.rosaceae.org/gb/gbrowse/malus_x_domestica/?name=MDP0000125644","MDP0000125644")</f>
        <v>MDP0000125644</v>
      </c>
      <c r="D1454">
        <v>29.94</v>
      </c>
      <c r="E1454">
        <v>384</v>
      </c>
      <c r="F1454">
        <v>269</v>
      </c>
      <c r="G1454">
        <v>98</v>
      </c>
      <c r="H1454">
        <v>57</v>
      </c>
      <c r="I1454">
        <v>409</v>
      </c>
      <c r="J1454">
        <v>1</v>
      </c>
      <c r="K1454">
        <v>1</v>
      </c>
      <c r="L1454">
        <v>317</v>
      </c>
      <c r="M1454">
        <v>1</v>
      </c>
      <c r="N1454">
        <v>1.51438E-25</v>
      </c>
      <c r="O1454">
        <v>286</v>
      </c>
    </row>
    <row r="1455" spans="1:15" x14ac:dyDescent="0.25">
      <c r="A1455" t="s">
        <v>1468</v>
      </c>
      <c r="B1455">
        <v>309</v>
      </c>
      <c r="C1455" s="1" t="str">
        <f>HYPERLINK("http://www.rosaceae.org/gb/gbrowse/malus_x_domestica/?name=MDP0000266840","MDP0000266840")</f>
        <v>MDP0000266840</v>
      </c>
      <c r="D1455">
        <v>86.11</v>
      </c>
      <c r="E1455">
        <v>317</v>
      </c>
      <c r="F1455">
        <v>44</v>
      </c>
      <c r="G1455">
        <v>8</v>
      </c>
      <c r="H1455">
        <v>1</v>
      </c>
      <c r="I1455">
        <v>309</v>
      </c>
      <c r="J1455">
        <v>1</v>
      </c>
      <c r="K1455">
        <v>1</v>
      </c>
      <c r="L1455">
        <v>317</v>
      </c>
      <c r="M1455">
        <v>1</v>
      </c>
      <c r="N1455">
        <v>3.74391E-164</v>
      </c>
      <c r="O1455">
        <v>1480</v>
      </c>
    </row>
    <row r="1456" spans="1:15" x14ac:dyDescent="0.25">
      <c r="A1456" t="s">
        <v>1469</v>
      </c>
      <c r="B1456">
        <v>314</v>
      </c>
      <c r="C1456" s="1" t="str">
        <f>HYPERLINK("http://www.rosaceae.org/gb/gbrowse/malus_x_domestica/?name=MDP0000710525","MDP0000710525")</f>
        <v>MDP0000710525</v>
      </c>
      <c r="D1456">
        <v>78.22</v>
      </c>
      <c r="E1456">
        <v>271</v>
      </c>
      <c r="F1456">
        <v>59</v>
      </c>
      <c r="G1456">
        <v>5</v>
      </c>
      <c r="H1456">
        <v>1</v>
      </c>
      <c r="I1456">
        <v>267</v>
      </c>
      <c r="J1456">
        <v>1</v>
      </c>
      <c r="K1456">
        <v>1</v>
      </c>
      <c r="L1456">
        <v>270</v>
      </c>
      <c r="M1456">
        <v>1</v>
      </c>
      <c r="N1456">
        <v>1.9600499999999999E-119</v>
      </c>
      <c r="O1456">
        <v>1094</v>
      </c>
    </row>
    <row r="1457" spans="1:15" x14ac:dyDescent="0.25">
      <c r="A1457" t="s">
        <v>1470</v>
      </c>
      <c r="B1457">
        <v>266</v>
      </c>
      <c r="C1457" s="1" t="str">
        <f>HYPERLINK("http://www.rosaceae.org/gb/gbrowse/malus_x_domestica/?name=MDP0000393748","MDP0000393748")</f>
        <v>MDP0000393748</v>
      </c>
      <c r="D1457">
        <v>72.790000000000006</v>
      </c>
      <c r="E1457">
        <v>272</v>
      </c>
      <c r="F1457">
        <v>74</v>
      </c>
      <c r="G1457">
        <v>7</v>
      </c>
      <c r="H1457">
        <v>1</v>
      </c>
      <c r="I1457">
        <v>266</v>
      </c>
      <c r="J1457">
        <v>1</v>
      </c>
      <c r="K1457">
        <v>54</v>
      </c>
      <c r="L1457">
        <v>324</v>
      </c>
      <c r="M1457">
        <v>1</v>
      </c>
      <c r="N1457">
        <v>4.8473899999999999E-111</v>
      </c>
      <c r="O1457">
        <v>1021</v>
      </c>
    </row>
    <row r="1458" spans="1:15" x14ac:dyDescent="0.25">
      <c r="A1458" t="s">
        <v>1471</v>
      </c>
      <c r="B1458">
        <v>669</v>
      </c>
      <c r="C1458" s="1" t="str">
        <f>HYPERLINK("http://www.rosaceae.org/gb/gbrowse/malus_x_domestica/?name=MDP0000804698","MDP0000804698")</f>
        <v>MDP0000804698</v>
      </c>
      <c r="D1458">
        <v>70.819999999999993</v>
      </c>
      <c r="E1458">
        <v>665</v>
      </c>
      <c r="F1458">
        <v>194</v>
      </c>
      <c r="G1458">
        <v>11</v>
      </c>
      <c r="H1458">
        <v>3</v>
      </c>
      <c r="I1458">
        <v>665</v>
      </c>
      <c r="J1458">
        <v>1</v>
      </c>
      <c r="K1458">
        <v>1</v>
      </c>
      <c r="L1458">
        <v>656</v>
      </c>
      <c r="M1458">
        <v>1</v>
      </c>
      <c r="N1458">
        <v>0</v>
      </c>
      <c r="O1458">
        <v>2464</v>
      </c>
    </row>
    <row r="1459" spans="1:15" x14ac:dyDescent="0.25">
      <c r="A1459" t="s">
        <v>1472</v>
      </c>
      <c r="B1459">
        <v>335</v>
      </c>
      <c r="C1459" s="1" t="str">
        <f>HYPERLINK("http://www.rosaceae.org/gb/gbrowse/malus_x_domestica/?name=MDP0000161957","MDP0000161957")</f>
        <v>MDP0000161957</v>
      </c>
      <c r="D1459">
        <v>75.81</v>
      </c>
      <c r="E1459">
        <v>306</v>
      </c>
      <c r="F1459">
        <v>74</v>
      </c>
      <c r="G1459">
        <v>10</v>
      </c>
      <c r="H1459">
        <v>4</v>
      </c>
      <c r="I1459">
        <v>301</v>
      </c>
      <c r="J1459">
        <v>1</v>
      </c>
      <c r="K1459">
        <v>16</v>
      </c>
      <c r="L1459">
        <v>319</v>
      </c>
      <c r="M1459">
        <v>1</v>
      </c>
      <c r="N1459">
        <v>1.28362E-123</v>
      </c>
      <c r="O1459">
        <v>1131</v>
      </c>
    </row>
    <row r="1460" spans="1:15" x14ac:dyDescent="0.25">
      <c r="A1460" t="s">
        <v>1473</v>
      </c>
      <c r="B1460">
        <v>194</v>
      </c>
      <c r="C1460" s="1" t="str">
        <f>HYPERLINK("http://www.rosaceae.org/gb/gbrowse/malus_x_domestica/?name=MDP0000225037","MDP0000225037")</f>
        <v>MDP0000225037</v>
      </c>
      <c r="D1460">
        <v>70.209999999999994</v>
      </c>
      <c r="E1460">
        <v>188</v>
      </c>
      <c r="F1460">
        <v>56</v>
      </c>
      <c r="G1460">
        <v>13</v>
      </c>
      <c r="H1460">
        <v>1</v>
      </c>
      <c r="I1460">
        <v>176</v>
      </c>
      <c r="J1460">
        <v>1</v>
      </c>
      <c r="K1460">
        <v>1</v>
      </c>
      <c r="L1460">
        <v>187</v>
      </c>
      <c r="M1460">
        <v>1</v>
      </c>
      <c r="N1460">
        <v>2.6166399999999999E-67</v>
      </c>
      <c r="O1460">
        <v>642</v>
      </c>
    </row>
    <row r="1461" spans="1:15" x14ac:dyDescent="0.25">
      <c r="A1461" t="s">
        <v>1474</v>
      </c>
      <c r="B1461">
        <v>109</v>
      </c>
      <c r="C1461" s="1" t="str">
        <f>HYPERLINK("http://www.rosaceae.org/gb/gbrowse/malus_x_domestica/?name=MDP0000287519","MDP0000287519")</f>
        <v>MDP0000287519</v>
      </c>
      <c r="D1461">
        <v>51.85</v>
      </c>
      <c r="E1461">
        <v>54</v>
      </c>
      <c r="F1461">
        <v>26</v>
      </c>
      <c r="G1461">
        <v>0</v>
      </c>
      <c r="H1461">
        <v>47</v>
      </c>
      <c r="I1461">
        <v>100</v>
      </c>
      <c r="J1461">
        <v>1</v>
      </c>
      <c r="K1461">
        <v>645</v>
      </c>
      <c r="L1461">
        <v>698</v>
      </c>
      <c r="M1461">
        <v>1</v>
      </c>
      <c r="N1461">
        <v>4.0686000000000002E-11</v>
      </c>
      <c r="O1461">
        <v>153</v>
      </c>
    </row>
    <row r="1462" spans="1:15" x14ac:dyDescent="0.25">
      <c r="A1462" t="s">
        <v>1475</v>
      </c>
      <c r="B1462">
        <v>278</v>
      </c>
      <c r="C1462" s="1" t="str">
        <f>HYPERLINK("http://www.rosaceae.org/gb/gbrowse/malus_x_domestica/?name=MDP0000300658","MDP0000300658")</f>
        <v>MDP0000300658</v>
      </c>
      <c r="D1462">
        <v>34.43</v>
      </c>
      <c r="E1462">
        <v>151</v>
      </c>
      <c r="F1462">
        <v>99</v>
      </c>
      <c r="G1462">
        <v>41</v>
      </c>
      <c r="H1462">
        <v>126</v>
      </c>
      <c r="I1462">
        <v>235</v>
      </c>
      <c r="J1462">
        <v>1</v>
      </c>
      <c r="K1462">
        <v>244</v>
      </c>
      <c r="L1462">
        <v>394</v>
      </c>
      <c r="M1462">
        <v>1</v>
      </c>
      <c r="N1462">
        <v>2.9861500000000001E-11</v>
      </c>
      <c r="O1462">
        <v>161</v>
      </c>
    </row>
    <row r="1463" spans="1:15" x14ac:dyDescent="0.25">
      <c r="A1463" t="s">
        <v>1476</v>
      </c>
      <c r="B1463">
        <v>422</v>
      </c>
      <c r="C1463" s="1" t="str">
        <f>HYPERLINK("http://www.rosaceae.org/gb/gbrowse/malus_x_domestica/?name=MDP0000196812","MDP0000196812")</f>
        <v>MDP0000196812</v>
      </c>
      <c r="D1463">
        <v>52.22</v>
      </c>
      <c r="E1463">
        <v>314</v>
      </c>
      <c r="F1463">
        <v>150</v>
      </c>
      <c r="G1463">
        <v>29</v>
      </c>
      <c r="H1463">
        <v>1</v>
      </c>
      <c r="I1463">
        <v>286</v>
      </c>
      <c r="J1463">
        <v>1</v>
      </c>
      <c r="K1463">
        <v>493</v>
      </c>
      <c r="L1463">
        <v>805</v>
      </c>
      <c r="M1463">
        <v>1</v>
      </c>
      <c r="N1463">
        <v>6.7601699999999997E-81</v>
      </c>
      <c r="O1463">
        <v>763</v>
      </c>
    </row>
    <row r="1464" spans="1:15" x14ac:dyDescent="0.25">
      <c r="A1464" t="s">
        <v>1477</v>
      </c>
      <c r="B1464">
        <v>366</v>
      </c>
      <c r="C1464" s="1" t="str">
        <f>HYPERLINK("http://www.rosaceae.org/gb/gbrowse/malus_x_domestica/?name=MDP0000225159","MDP0000225159")</f>
        <v>MDP0000225159</v>
      </c>
      <c r="D1464">
        <v>54.95</v>
      </c>
      <c r="E1464">
        <v>353</v>
      </c>
      <c r="F1464">
        <v>159</v>
      </c>
      <c r="G1464">
        <v>37</v>
      </c>
      <c r="H1464">
        <v>43</v>
      </c>
      <c r="I1464">
        <v>366</v>
      </c>
      <c r="J1464">
        <v>1</v>
      </c>
      <c r="K1464">
        <v>18</v>
      </c>
      <c r="L1464">
        <v>362</v>
      </c>
      <c r="M1464">
        <v>1</v>
      </c>
      <c r="N1464">
        <v>1.13708E-86</v>
      </c>
      <c r="O1464">
        <v>812</v>
      </c>
    </row>
    <row r="1465" spans="1:15" x14ac:dyDescent="0.25">
      <c r="A1465" t="s">
        <v>1478</v>
      </c>
      <c r="B1465">
        <v>447</v>
      </c>
      <c r="C1465" s="1" t="str">
        <f>HYPERLINK("http://www.rosaceae.org/gb/gbrowse/malus_x_domestica/?name=MDP0000185661","MDP0000185661")</f>
        <v>MDP0000185661</v>
      </c>
      <c r="D1465">
        <v>77.59</v>
      </c>
      <c r="E1465">
        <v>357</v>
      </c>
      <c r="F1465">
        <v>80</v>
      </c>
      <c r="G1465">
        <v>18</v>
      </c>
      <c r="H1465">
        <v>107</v>
      </c>
      <c r="I1465">
        <v>447</v>
      </c>
      <c r="J1465">
        <v>1</v>
      </c>
      <c r="K1465">
        <v>23</v>
      </c>
      <c r="L1465">
        <v>377</v>
      </c>
      <c r="M1465">
        <v>1</v>
      </c>
      <c r="N1465">
        <v>6.3450199999999995E-165</v>
      </c>
      <c r="O1465">
        <v>1488</v>
      </c>
    </row>
    <row r="1466" spans="1:15" x14ac:dyDescent="0.25">
      <c r="A1466" t="s">
        <v>1479</v>
      </c>
      <c r="B1466">
        <v>576</v>
      </c>
      <c r="C1466" s="1" t="str">
        <f>HYPERLINK("http://www.rosaceae.org/gb/gbrowse/malus_x_domestica/?name=MDP0000686191","MDP0000686191")</f>
        <v>MDP0000686191</v>
      </c>
      <c r="D1466">
        <v>49.4</v>
      </c>
      <c r="E1466">
        <v>587</v>
      </c>
      <c r="F1466">
        <v>297</v>
      </c>
      <c r="G1466">
        <v>46</v>
      </c>
      <c r="H1466">
        <v>7</v>
      </c>
      <c r="I1466">
        <v>574</v>
      </c>
      <c r="J1466">
        <v>1</v>
      </c>
      <c r="K1466">
        <v>64</v>
      </c>
      <c r="L1466">
        <v>623</v>
      </c>
      <c r="M1466">
        <v>1</v>
      </c>
      <c r="N1466">
        <v>2.0598900000000001E-164</v>
      </c>
      <c r="O1466">
        <v>1485</v>
      </c>
    </row>
    <row r="1467" spans="1:15" x14ac:dyDescent="0.25">
      <c r="A1467" t="s">
        <v>1480</v>
      </c>
      <c r="B1467">
        <v>152</v>
      </c>
      <c r="C1467" s="1" t="str">
        <f>HYPERLINK("http://www.rosaceae.org/gb/gbrowse/malus_x_domestica/?name=MDP0000277049","MDP0000277049")</f>
        <v>MDP0000277049</v>
      </c>
      <c r="D1467">
        <v>89.41</v>
      </c>
      <c r="E1467">
        <v>85</v>
      </c>
      <c r="F1467">
        <v>9</v>
      </c>
      <c r="G1467">
        <v>0</v>
      </c>
      <c r="H1467">
        <v>68</v>
      </c>
      <c r="I1467">
        <v>152</v>
      </c>
      <c r="J1467">
        <v>1</v>
      </c>
      <c r="K1467">
        <v>313</v>
      </c>
      <c r="L1467">
        <v>397</v>
      </c>
      <c r="M1467">
        <v>1</v>
      </c>
      <c r="N1467">
        <v>2.7573899999999999E-40</v>
      </c>
      <c r="O1467">
        <v>407</v>
      </c>
    </row>
    <row r="1468" spans="1:15" x14ac:dyDescent="0.25">
      <c r="A1468" t="s">
        <v>1481</v>
      </c>
      <c r="B1468">
        <v>611</v>
      </c>
      <c r="C1468" s="1" t="str">
        <f>HYPERLINK("http://www.rosaceae.org/gb/gbrowse/malus_x_domestica/?name=MDP0000897255","MDP0000897255")</f>
        <v>MDP0000897255</v>
      </c>
      <c r="D1468">
        <v>66.36</v>
      </c>
      <c r="E1468">
        <v>556</v>
      </c>
      <c r="F1468">
        <v>187</v>
      </c>
      <c r="G1468">
        <v>49</v>
      </c>
      <c r="H1468">
        <v>22</v>
      </c>
      <c r="I1468">
        <v>577</v>
      </c>
      <c r="J1468">
        <v>1</v>
      </c>
      <c r="K1468">
        <v>22</v>
      </c>
      <c r="L1468">
        <v>528</v>
      </c>
      <c r="M1468">
        <v>1</v>
      </c>
      <c r="N1468">
        <v>0</v>
      </c>
      <c r="O1468">
        <v>1986</v>
      </c>
    </row>
    <row r="1469" spans="1:15" x14ac:dyDescent="0.25">
      <c r="A1469" t="s">
        <v>1482</v>
      </c>
      <c r="B1469">
        <v>997</v>
      </c>
      <c r="C1469" s="1" t="str">
        <f>HYPERLINK("http://www.rosaceae.org/gb/gbrowse/malus_x_domestica/?name=MDP0000145760","MDP0000145760")</f>
        <v>MDP0000145760</v>
      </c>
      <c r="D1469">
        <v>74.489999999999995</v>
      </c>
      <c r="E1469">
        <v>945</v>
      </c>
      <c r="F1469">
        <v>241</v>
      </c>
      <c r="G1469">
        <v>69</v>
      </c>
      <c r="H1469">
        <v>51</v>
      </c>
      <c r="I1469">
        <v>950</v>
      </c>
      <c r="J1469">
        <v>1</v>
      </c>
      <c r="K1469">
        <v>311</v>
      </c>
      <c r="L1469">
        <v>1231</v>
      </c>
      <c r="M1469">
        <v>1</v>
      </c>
      <c r="N1469">
        <v>0</v>
      </c>
      <c r="O1469">
        <v>3679</v>
      </c>
    </row>
    <row r="1470" spans="1:15" x14ac:dyDescent="0.25">
      <c r="A1470" t="s">
        <v>1483</v>
      </c>
      <c r="B1470">
        <v>539</v>
      </c>
      <c r="C1470" s="1" t="str">
        <f>HYPERLINK("http://www.rosaceae.org/gb/gbrowse/malus_x_domestica/?name=MDP0000897255","MDP0000897255")</f>
        <v>MDP0000897255</v>
      </c>
      <c r="D1470">
        <v>75.88</v>
      </c>
      <c r="E1470">
        <v>539</v>
      </c>
      <c r="F1470">
        <v>130</v>
      </c>
      <c r="G1470">
        <v>1</v>
      </c>
      <c r="H1470">
        <v>1</v>
      </c>
      <c r="I1470">
        <v>539</v>
      </c>
      <c r="J1470">
        <v>1</v>
      </c>
      <c r="K1470">
        <v>1</v>
      </c>
      <c r="L1470">
        <v>538</v>
      </c>
      <c r="M1470">
        <v>1</v>
      </c>
      <c r="N1470">
        <v>0</v>
      </c>
      <c r="O1470">
        <v>2201</v>
      </c>
    </row>
    <row r="1471" spans="1:15" x14ac:dyDescent="0.25">
      <c r="A1471" t="s">
        <v>1484</v>
      </c>
      <c r="B1471">
        <v>145</v>
      </c>
      <c r="C1471" s="1" t="str">
        <f>HYPERLINK("http://www.rosaceae.org/gb/gbrowse/malus_x_domestica/?name=MDP0000894464","MDP0000894464")</f>
        <v>MDP0000894464</v>
      </c>
      <c r="D1471">
        <v>72.02</v>
      </c>
      <c r="E1471">
        <v>143</v>
      </c>
      <c r="F1471">
        <v>40</v>
      </c>
      <c r="G1471">
        <v>0</v>
      </c>
      <c r="H1471">
        <v>3</v>
      </c>
      <c r="I1471">
        <v>145</v>
      </c>
      <c r="J1471">
        <v>1</v>
      </c>
      <c r="K1471">
        <v>2</v>
      </c>
      <c r="L1471">
        <v>144</v>
      </c>
      <c r="M1471">
        <v>1</v>
      </c>
      <c r="N1471">
        <v>1.43783E-58</v>
      </c>
      <c r="O1471">
        <v>564</v>
      </c>
    </row>
    <row r="1472" spans="1:15" x14ac:dyDescent="0.25">
      <c r="A1472" t="s">
        <v>1485</v>
      </c>
      <c r="B1472">
        <v>856</v>
      </c>
      <c r="C1472" s="1" t="str">
        <f>HYPERLINK("http://www.rosaceae.org/gb/gbrowse/malus_x_domestica/?name=MDP0000880838","MDP0000880838")</f>
        <v>MDP0000880838</v>
      </c>
      <c r="D1472">
        <v>71.12</v>
      </c>
      <c r="E1472">
        <v>426</v>
      </c>
      <c r="F1472">
        <v>123</v>
      </c>
      <c r="G1472">
        <v>13</v>
      </c>
      <c r="H1472">
        <v>2</v>
      </c>
      <c r="I1472">
        <v>417</v>
      </c>
      <c r="J1472">
        <v>1</v>
      </c>
      <c r="K1472">
        <v>8</v>
      </c>
      <c r="L1472">
        <v>430</v>
      </c>
      <c r="M1472">
        <v>1</v>
      </c>
      <c r="N1472">
        <v>3.4029999999999999E-172</v>
      </c>
      <c r="O1472">
        <v>1554</v>
      </c>
    </row>
    <row r="1473" spans="1:15" x14ac:dyDescent="0.25">
      <c r="A1473" t="s">
        <v>1486</v>
      </c>
      <c r="B1473">
        <v>1304</v>
      </c>
      <c r="C1473" s="1" t="str">
        <f>HYPERLINK("http://www.rosaceae.org/gb/gbrowse/malus_x_domestica/?name=MDP0000152033","MDP0000152033")</f>
        <v>MDP0000152033</v>
      </c>
      <c r="D1473">
        <v>65.02</v>
      </c>
      <c r="E1473">
        <v>1384</v>
      </c>
      <c r="F1473">
        <v>484</v>
      </c>
      <c r="G1473">
        <v>117</v>
      </c>
      <c r="H1473">
        <v>1</v>
      </c>
      <c r="I1473">
        <v>1303</v>
      </c>
      <c r="J1473">
        <v>1</v>
      </c>
      <c r="K1473">
        <v>110</v>
      </c>
      <c r="L1473">
        <v>1457</v>
      </c>
      <c r="M1473">
        <v>1</v>
      </c>
      <c r="N1473">
        <v>0</v>
      </c>
      <c r="O1473">
        <v>4418</v>
      </c>
    </row>
    <row r="1474" spans="1:15" x14ac:dyDescent="0.25">
      <c r="A1474" t="s">
        <v>1487</v>
      </c>
      <c r="B1474">
        <v>379</v>
      </c>
      <c r="C1474" s="1" t="str">
        <f>HYPERLINK("http://www.rosaceae.org/gb/gbrowse/malus_x_domestica/?name=MDP0000784269","MDP0000784269")</f>
        <v>MDP0000784269</v>
      </c>
      <c r="D1474">
        <v>87.71</v>
      </c>
      <c r="E1474">
        <v>228</v>
      </c>
      <c r="F1474">
        <v>28</v>
      </c>
      <c r="G1474">
        <v>0</v>
      </c>
      <c r="H1474">
        <v>152</v>
      </c>
      <c r="I1474">
        <v>379</v>
      </c>
      <c r="J1474">
        <v>1</v>
      </c>
      <c r="K1474">
        <v>1</v>
      </c>
      <c r="L1474">
        <v>228</v>
      </c>
      <c r="M1474">
        <v>1</v>
      </c>
      <c r="N1474">
        <v>6.3841300000000004E-116</v>
      </c>
      <c r="O1474">
        <v>1065</v>
      </c>
    </row>
    <row r="1475" spans="1:15" x14ac:dyDescent="0.25">
      <c r="A1475" t="s">
        <v>1488</v>
      </c>
      <c r="B1475">
        <v>227</v>
      </c>
      <c r="C1475" s="1" t="str">
        <f>HYPERLINK("http://www.rosaceae.org/gb/gbrowse/malus_x_domestica/?name=MDP0000233329","MDP0000233329")</f>
        <v>MDP0000233329</v>
      </c>
      <c r="D1475">
        <v>37.17</v>
      </c>
      <c r="E1475">
        <v>234</v>
      </c>
      <c r="F1475">
        <v>147</v>
      </c>
      <c r="G1475">
        <v>11</v>
      </c>
      <c r="H1475">
        <v>1</v>
      </c>
      <c r="I1475">
        <v>227</v>
      </c>
      <c r="J1475">
        <v>1</v>
      </c>
      <c r="K1475">
        <v>80</v>
      </c>
      <c r="L1475">
        <v>309</v>
      </c>
      <c r="M1475">
        <v>1</v>
      </c>
      <c r="N1475">
        <v>2.1230699999999998E-30</v>
      </c>
      <c r="O1475">
        <v>325</v>
      </c>
    </row>
    <row r="1476" spans="1:15" x14ac:dyDescent="0.25">
      <c r="A1476" t="s">
        <v>1489</v>
      </c>
      <c r="B1476">
        <v>938</v>
      </c>
      <c r="C1476" s="1" t="str">
        <f>HYPERLINK("http://www.rosaceae.org/gb/gbrowse/malus_x_domestica/?name=MDP0000455346","MDP0000455346")</f>
        <v>MDP0000455346</v>
      </c>
      <c r="D1476">
        <v>37.340000000000003</v>
      </c>
      <c r="E1476">
        <v>640</v>
      </c>
      <c r="F1476">
        <v>401</v>
      </c>
      <c r="G1476">
        <v>68</v>
      </c>
      <c r="H1476">
        <v>284</v>
      </c>
      <c r="I1476">
        <v>863</v>
      </c>
      <c r="J1476">
        <v>1</v>
      </c>
      <c r="K1476">
        <v>528</v>
      </c>
      <c r="L1476">
        <v>1159</v>
      </c>
      <c r="M1476">
        <v>1</v>
      </c>
      <c r="N1476">
        <v>3.2075900000000001E-86</v>
      </c>
      <c r="O1476">
        <v>813</v>
      </c>
    </row>
    <row r="1477" spans="1:15" x14ac:dyDescent="0.25">
      <c r="A1477" t="s">
        <v>1490</v>
      </c>
      <c r="B1477">
        <v>307</v>
      </c>
      <c r="C1477" s="1" t="str">
        <f>HYPERLINK("http://www.rosaceae.org/gb/gbrowse/malus_x_domestica/?name=MDP0000253030","MDP0000253030")</f>
        <v>MDP0000253030</v>
      </c>
      <c r="D1477">
        <v>71.260000000000005</v>
      </c>
      <c r="E1477">
        <v>268</v>
      </c>
      <c r="F1477">
        <v>77</v>
      </c>
      <c r="G1477">
        <v>37</v>
      </c>
      <c r="H1477">
        <v>75</v>
      </c>
      <c r="I1477">
        <v>306</v>
      </c>
      <c r="J1477">
        <v>1</v>
      </c>
      <c r="K1477">
        <v>297</v>
      </c>
      <c r="L1477">
        <v>563</v>
      </c>
      <c r="M1477">
        <v>1</v>
      </c>
      <c r="N1477">
        <v>1.0443699999999999E-102</v>
      </c>
      <c r="O1477">
        <v>950</v>
      </c>
    </row>
    <row r="1478" spans="1:15" x14ac:dyDescent="0.25">
      <c r="A1478" t="s">
        <v>1491</v>
      </c>
      <c r="B1478">
        <v>481</v>
      </c>
      <c r="C1478" s="1" t="str">
        <f>HYPERLINK("http://www.rosaceae.org/gb/gbrowse/malus_x_domestica/?name=MDP0000119431","MDP0000119431")</f>
        <v>MDP0000119431</v>
      </c>
      <c r="D1478">
        <v>63.07</v>
      </c>
      <c r="E1478">
        <v>260</v>
      </c>
      <c r="F1478">
        <v>96</v>
      </c>
      <c r="G1478">
        <v>5</v>
      </c>
      <c r="H1478">
        <v>220</v>
      </c>
      <c r="I1478">
        <v>474</v>
      </c>
      <c r="J1478">
        <v>1</v>
      </c>
      <c r="K1478">
        <v>7</v>
      </c>
      <c r="L1478">
        <v>266</v>
      </c>
      <c r="M1478">
        <v>1</v>
      </c>
      <c r="N1478">
        <v>1.2590799999999999E-86</v>
      </c>
      <c r="O1478">
        <v>813</v>
      </c>
    </row>
    <row r="1479" spans="1:15" x14ac:dyDescent="0.25">
      <c r="A1479" t="s">
        <v>1492</v>
      </c>
      <c r="B1479">
        <v>205</v>
      </c>
      <c r="C1479" s="1" t="str">
        <f>HYPERLINK("http://www.rosaceae.org/gb/gbrowse/malus_x_domestica/?name=MDP0000643698","MDP0000643698")</f>
        <v>MDP0000643698</v>
      </c>
      <c r="D1479">
        <v>50</v>
      </c>
      <c r="E1479">
        <v>90</v>
      </c>
      <c r="F1479">
        <v>45</v>
      </c>
      <c r="G1479">
        <v>11</v>
      </c>
      <c r="H1479">
        <v>28</v>
      </c>
      <c r="I1479">
        <v>117</v>
      </c>
      <c r="J1479">
        <v>1</v>
      </c>
      <c r="K1479">
        <v>370</v>
      </c>
      <c r="L1479">
        <v>448</v>
      </c>
      <c r="M1479">
        <v>1</v>
      </c>
      <c r="N1479">
        <v>8.2830899999999999E-19</v>
      </c>
      <c r="O1479">
        <v>224</v>
      </c>
    </row>
    <row r="1480" spans="1:15" x14ac:dyDescent="0.25">
      <c r="A1480" t="s">
        <v>1493</v>
      </c>
      <c r="B1480">
        <v>268</v>
      </c>
      <c r="C1480" s="1" t="str">
        <f>HYPERLINK("http://www.rosaceae.org/gb/gbrowse/malus_x_domestica/?name=MDP0000153333","MDP0000153333")</f>
        <v>MDP0000153333</v>
      </c>
      <c r="D1480">
        <v>83</v>
      </c>
      <c r="E1480">
        <v>253</v>
      </c>
      <c r="F1480">
        <v>43</v>
      </c>
      <c r="G1480">
        <v>6</v>
      </c>
      <c r="H1480">
        <v>16</v>
      </c>
      <c r="I1480">
        <v>268</v>
      </c>
      <c r="J1480">
        <v>1</v>
      </c>
      <c r="K1480">
        <v>76</v>
      </c>
      <c r="L1480">
        <v>322</v>
      </c>
      <c r="M1480">
        <v>1</v>
      </c>
      <c r="N1480">
        <v>1.8925500000000001E-116</v>
      </c>
      <c r="O1480">
        <v>1068</v>
      </c>
    </row>
    <row r="1481" spans="1:15" x14ac:dyDescent="0.25">
      <c r="A1481" t="s">
        <v>1494</v>
      </c>
      <c r="B1481">
        <v>291</v>
      </c>
      <c r="C1481" s="1" t="str">
        <f>HYPERLINK("http://www.rosaceae.org/gb/gbrowse/malus_x_domestica/?name=MDP0000451184","MDP0000451184")</f>
        <v>MDP0000451184</v>
      </c>
      <c r="D1481">
        <v>75.77</v>
      </c>
      <c r="E1481">
        <v>227</v>
      </c>
      <c r="F1481">
        <v>55</v>
      </c>
      <c r="G1481">
        <v>8</v>
      </c>
      <c r="H1481">
        <v>11</v>
      </c>
      <c r="I1481">
        <v>232</v>
      </c>
      <c r="J1481">
        <v>1</v>
      </c>
      <c r="K1481">
        <v>1</v>
      </c>
      <c r="L1481">
        <v>224</v>
      </c>
      <c r="M1481">
        <v>1</v>
      </c>
      <c r="N1481">
        <v>1.8042099999999999E-93</v>
      </c>
      <c r="O1481">
        <v>870</v>
      </c>
    </row>
    <row r="1482" spans="1:15" x14ac:dyDescent="0.25">
      <c r="A1482" t="s">
        <v>1495</v>
      </c>
      <c r="B1482">
        <v>906</v>
      </c>
      <c r="C1482" s="1" t="str">
        <f>HYPERLINK("http://www.rosaceae.org/gb/gbrowse/malus_x_domestica/?name=MDP0000193992","MDP0000193992")</f>
        <v>MDP0000193992</v>
      </c>
      <c r="D1482">
        <v>71</v>
      </c>
      <c r="E1482">
        <v>976</v>
      </c>
      <c r="F1482">
        <v>283</v>
      </c>
      <c r="G1482">
        <v>93</v>
      </c>
      <c r="H1482">
        <v>21</v>
      </c>
      <c r="I1482">
        <v>906</v>
      </c>
      <c r="J1482">
        <v>1</v>
      </c>
      <c r="K1482">
        <v>42</v>
      </c>
      <c r="L1482">
        <v>1014</v>
      </c>
      <c r="M1482">
        <v>1</v>
      </c>
      <c r="N1482">
        <v>0</v>
      </c>
      <c r="O1482">
        <v>3522</v>
      </c>
    </row>
    <row r="1483" spans="1:15" x14ac:dyDescent="0.25">
      <c r="A1483" t="s">
        <v>1496</v>
      </c>
      <c r="B1483">
        <v>225</v>
      </c>
      <c r="C1483" s="1" t="str">
        <f>HYPERLINK("http://www.rosaceae.org/gb/gbrowse/malus_x_domestica/?name=MDP0000243173","MDP0000243173")</f>
        <v>MDP0000243173</v>
      </c>
      <c r="D1483">
        <v>62.88</v>
      </c>
      <c r="E1483">
        <v>97</v>
      </c>
      <c r="F1483">
        <v>36</v>
      </c>
      <c r="G1483">
        <v>6</v>
      </c>
      <c r="H1483">
        <v>133</v>
      </c>
      <c r="I1483">
        <v>225</v>
      </c>
      <c r="J1483">
        <v>1</v>
      </c>
      <c r="K1483">
        <v>41</v>
      </c>
      <c r="L1483">
        <v>135</v>
      </c>
      <c r="M1483">
        <v>1</v>
      </c>
      <c r="N1483">
        <v>3.5368099999999999E-28</v>
      </c>
      <c r="O1483">
        <v>305</v>
      </c>
    </row>
    <row r="1484" spans="1:15" x14ac:dyDescent="0.25">
      <c r="A1484" t="s">
        <v>1497</v>
      </c>
      <c r="B1484">
        <v>531</v>
      </c>
      <c r="C1484" s="1" t="str">
        <f>HYPERLINK("http://www.rosaceae.org/gb/gbrowse/malus_x_domestica/?name=MDP0000250849","MDP0000250849")</f>
        <v>MDP0000250849</v>
      </c>
      <c r="D1484">
        <v>75.400000000000006</v>
      </c>
      <c r="E1484">
        <v>488</v>
      </c>
      <c r="F1484">
        <v>120</v>
      </c>
      <c r="G1484">
        <v>1</v>
      </c>
      <c r="H1484">
        <v>16</v>
      </c>
      <c r="I1484">
        <v>503</v>
      </c>
      <c r="J1484">
        <v>1</v>
      </c>
      <c r="K1484">
        <v>22</v>
      </c>
      <c r="L1484">
        <v>508</v>
      </c>
      <c r="M1484">
        <v>1</v>
      </c>
      <c r="N1484">
        <v>0</v>
      </c>
      <c r="O1484">
        <v>2014</v>
      </c>
    </row>
    <row r="1485" spans="1:15" x14ac:dyDescent="0.25">
      <c r="A1485" t="s">
        <v>1498</v>
      </c>
      <c r="B1485">
        <v>99</v>
      </c>
      <c r="C1485" s="1" t="str">
        <f>HYPERLINK("http://www.rosaceae.org/gb/gbrowse/malus_x_domestica/?name=MDP0000335890","MDP0000335890")</f>
        <v>MDP0000335890</v>
      </c>
      <c r="D1485">
        <v>83.95</v>
      </c>
      <c r="E1485">
        <v>81</v>
      </c>
      <c r="F1485">
        <v>13</v>
      </c>
      <c r="G1485">
        <v>2</v>
      </c>
      <c r="H1485">
        <v>15</v>
      </c>
      <c r="I1485">
        <v>94</v>
      </c>
      <c r="J1485">
        <v>1</v>
      </c>
      <c r="K1485">
        <v>61</v>
      </c>
      <c r="L1485">
        <v>140</v>
      </c>
      <c r="M1485">
        <v>1</v>
      </c>
      <c r="N1485">
        <v>3.08623E-34</v>
      </c>
      <c r="O1485">
        <v>353</v>
      </c>
    </row>
    <row r="1486" spans="1:15" x14ac:dyDescent="0.25">
      <c r="A1486" t="s">
        <v>1499</v>
      </c>
      <c r="B1486">
        <v>482</v>
      </c>
      <c r="C1486" s="1" t="str">
        <f>HYPERLINK("http://www.rosaceae.org/gb/gbrowse/malus_x_domestica/?name=MDP0000195046","MDP0000195046")</f>
        <v>MDP0000195046</v>
      </c>
      <c r="D1486">
        <v>80.8</v>
      </c>
      <c r="E1486">
        <v>474</v>
      </c>
      <c r="F1486">
        <v>91</v>
      </c>
      <c r="G1486">
        <v>4</v>
      </c>
      <c r="H1486">
        <v>4</v>
      </c>
      <c r="I1486">
        <v>475</v>
      </c>
      <c r="J1486">
        <v>1</v>
      </c>
      <c r="K1486">
        <v>9</v>
      </c>
      <c r="L1486">
        <v>480</v>
      </c>
      <c r="M1486">
        <v>1</v>
      </c>
      <c r="N1486">
        <v>0</v>
      </c>
      <c r="O1486">
        <v>1935</v>
      </c>
    </row>
    <row r="1487" spans="1:15" x14ac:dyDescent="0.25">
      <c r="A1487" t="s">
        <v>1500</v>
      </c>
      <c r="B1487">
        <v>108</v>
      </c>
      <c r="C1487" s="1" t="str">
        <f>HYPERLINK("http://www.rosaceae.org/gb/gbrowse/malus_x_domestica/?name=MDP0000145017","MDP0000145017")</f>
        <v>MDP0000145017</v>
      </c>
      <c r="D1487">
        <v>84.61</v>
      </c>
      <c r="E1487">
        <v>26</v>
      </c>
      <c r="F1487">
        <v>4</v>
      </c>
      <c r="G1487">
        <v>0</v>
      </c>
      <c r="H1487">
        <v>55</v>
      </c>
      <c r="I1487">
        <v>80</v>
      </c>
      <c r="J1487">
        <v>1</v>
      </c>
      <c r="K1487">
        <v>1</v>
      </c>
      <c r="L1487">
        <v>26</v>
      </c>
      <c r="M1487">
        <v>1</v>
      </c>
      <c r="N1487">
        <v>8.8038100000000003E-8</v>
      </c>
      <c r="O1487">
        <v>124</v>
      </c>
    </row>
    <row r="1488" spans="1:15" x14ac:dyDescent="0.25">
      <c r="A1488" t="s">
        <v>1501</v>
      </c>
      <c r="B1488">
        <v>1136</v>
      </c>
      <c r="C1488" s="1" t="str">
        <f>HYPERLINK("http://www.rosaceae.org/gb/gbrowse/malus_x_domestica/?name=MDP0000191931","MDP0000191931")</f>
        <v>MDP0000191931</v>
      </c>
      <c r="D1488">
        <v>72.47</v>
      </c>
      <c r="E1488">
        <v>1119</v>
      </c>
      <c r="F1488">
        <v>308</v>
      </c>
      <c r="G1488">
        <v>93</v>
      </c>
      <c r="H1488">
        <v>32</v>
      </c>
      <c r="I1488">
        <v>1116</v>
      </c>
      <c r="J1488">
        <v>1</v>
      </c>
      <c r="K1488">
        <v>1</v>
      </c>
      <c r="L1488">
        <v>1060</v>
      </c>
      <c r="M1488">
        <v>1</v>
      </c>
      <c r="N1488">
        <v>0</v>
      </c>
      <c r="O1488">
        <v>3984</v>
      </c>
    </row>
    <row r="1489" spans="1:15" x14ac:dyDescent="0.25">
      <c r="A1489" t="s">
        <v>1502</v>
      </c>
      <c r="B1489">
        <v>182</v>
      </c>
      <c r="C1489" s="1" t="str">
        <f>HYPERLINK("http://www.rosaceae.org/gb/gbrowse/malus_x_domestica/?name=MDP0000312071","MDP0000312071")</f>
        <v>MDP0000312071</v>
      </c>
      <c r="D1489">
        <v>51.12</v>
      </c>
      <c r="E1489">
        <v>178</v>
      </c>
      <c r="F1489">
        <v>87</v>
      </c>
      <c r="G1489">
        <v>10</v>
      </c>
      <c r="H1489">
        <v>1</v>
      </c>
      <c r="I1489">
        <v>174</v>
      </c>
      <c r="J1489">
        <v>1</v>
      </c>
      <c r="K1489">
        <v>1</v>
      </c>
      <c r="L1489">
        <v>172</v>
      </c>
      <c r="M1489">
        <v>1</v>
      </c>
      <c r="N1489">
        <v>2.42447E-38</v>
      </c>
      <c r="O1489">
        <v>392</v>
      </c>
    </row>
    <row r="1490" spans="1:15" x14ac:dyDescent="0.25">
      <c r="A1490" t="s">
        <v>1503</v>
      </c>
      <c r="B1490">
        <v>306</v>
      </c>
      <c r="C1490" s="1" t="str">
        <f>HYPERLINK("http://www.rosaceae.org/gb/gbrowse/malus_x_domestica/?name=MDP0000290966","MDP0000290966")</f>
        <v>MDP0000290966</v>
      </c>
      <c r="D1490">
        <v>29.79</v>
      </c>
      <c r="E1490">
        <v>198</v>
      </c>
      <c r="F1490">
        <v>139</v>
      </c>
      <c r="G1490">
        <v>2</v>
      </c>
      <c r="H1490">
        <v>101</v>
      </c>
      <c r="I1490">
        <v>296</v>
      </c>
      <c r="J1490">
        <v>1</v>
      </c>
      <c r="K1490">
        <v>87</v>
      </c>
      <c r="L1490">
        <v>284</v>
      </c>
      <c r="M1490">
        <v>1</v>
      </c>
      <c r="N1490">
        <v>1.2385100000000001E-15</v>
      </c>
      <c r="O1490">
        <v>199</v>
      </c>
    </row>
    <row r="1491" spans="1:15" x14ac:dyDescent="0.25">
      <c r="A1491" t="s">
        <v>1504</v>
      </c>
      <c r="B1491">
        <v>1463</v>
      </c>
      <c r="C1491" s="1" t="str">
        <f>HYPERLINK("http://www.rosaceae.org/gb/gbrowse/malus_x_domestica/?name=MDP0000014856","MDP0000014856")</f>
        <v>MDP0000014856</v>
      </c>
      <c r="D1491">
        <v>86.68</v>
      </c>
      <c r="E1491">
        <v>796</v>
      </c>
      <c r="F1491">
        <v>106</v>
      </c>
      <c r="G1491">
        <v>18</v>
      </c>
      <c r="H1491">
        <v>42</v>
      </c>
      <c r="I1491">
        <v>820</v>
      </c>
      <c r="J1491">
        <v>1</v>
      </c>
      <c r="K1491">
        <v>3</v>
      </c>
      <c r="L1491">
        <v>797</v>
      </c>
      <c r="M1491">
        <v>1</v>
      </c>
      <c r="N1491">
        <v>0</v>
      </c>
      <c r="O1491">
        <v>3743</v>
      </c>
    </row>
    <row r="1492" spans="1:15" x14ac:dyDescent="0.25">
      <c r="A1492" t="s">
        <v>1505</v>
      </c>
      <c r="B1492">
        <v>363</v>
      </c>
      <c r="C1492" s="1" t="str">
        <f>HYPERLINK("http://www.rosaceae.org/gb/gbrowse/malus_x_domestica/?name=MDP0000946984","MDP0000946984")</f>
        <v>MDP0000946984</v>
      </c>
      <c r="D1492">
        <v>35.75</v>
      </c>
      <c r="E1492">
        <v>316</v>
      </c>
      <c r="F1492">
        <v>203</v>
      </c>
      <c r="G1492">
        <v>43</v>
      </c>
      <c r="H1492">
        <v>10</v>
      </c>
      <c r="I1492">
        <v>295</v>
      </c>
      <c r="J1492">
        <v>1</v>
      </c>
      <c r="K1492">
        <v>27</v>
      </c>
      <c r="L1492">
        <v>329</v>
      </c>
      <c r="M1492">
        <v>1</v>
      </c>
      <c r="N1492">
        <v>2.86038E-30</v>
      </c>
      <c r="O1492">
        <v>326</v>
      </c>
    </row>
    <row r="1493" spans="1:15" x14ac:dyDescent="0.25">
      <c r="A1493" t="s">
        <v>1506</v>
      </c>
      <c r="B1493">
        <v>672</v>
      </c>
      <c r="C1493" s="1" t="str">
        <f>HYPERLINK("http://www.rosaceae.org/gb/gbrowse/malus_x_domestica/?name=MDP0000142818","MDP0000142818")</f>
        <v>MDP0000142818</v>
      </c>
      <c r="D1493">
        <v>75.37</v>
      </c>
      <c r="E1493">
        <v>658</v>
      </c>
      <c r="F1493">
        <v>162</v>
      </c>
      <c r="G1493">
        <v>8</v>
      </c>
      <c r="H1493">
        <v>18</v>
      </c>
      <c r="I1493">
        <v>672</v>
      </c>
      <c r="J1493">
        <v>1</v>
      </c>
      <c r="K1493">
        <v>26</v>
      </c>
      <c r="L1493">
        <v>678</v>
      </c>
      <c r="M1493">
        <v>1</v>
      </c>
      <c r="N1493">
        <v>0</v>
      </c>
      <c r="O1493">
        <v>2630</v>
      </c>
    </row>
    <row r="1494" spans="1:15" x14ac:dyDescent="0.25">
      <c r="A1494" t="s">
        <v>1507</v>
      </c>
      <c r="B1494">
        <v>386</v>
      </c>
      <c r="C1494" s="1" t="str">
        <f>HYPERLINK("http://www.rosaceae.org/gb/gbrowse/malus_x_domestica/?name=MDP0000273014","MDP0000273014")</f>
        <v>MDP0000273014</v>
      </c>
      <c r="D1494">
        <v>75.12</v>
      </c>
      <c r="E1494">
        <v>402</v>
      </c>
      <c r="F1494">
        <v>100</v>
      </c>
      <c r="G1494">
        <v>45</v>
      </c>
      <c r="H1494">
        <v>30</v>
      </c>
      <c r="I1494">
        <v>386</v>
      </c>
      <c r="J1494">
        <v>1</v>
      </c>
      <c r="K1494">
        <v>30</v>
      </c>
      <c r="L1494">
        <v>431</v>
      </c>
      <c r="M1494">
        <v>1</v>
      </c>
      <c r="N1494">
        <v>5.2335099999999999E-169</v>
      </c>
      <c r="O1494">
        <v>1523</v>
      </c>
    </row>
    <row r="1495" spans="1:15" x14ac:dyDescent="0.25">
      <c r="A1495" t="s">
        <v>1508</v>
      </c>
      <c r="B1495">
        <v>196</v>
      </c>
      <c r="C1495" s="1" t="str">
        <f>HYPERLINK("http://www.rosaceae.org/gb/gbrowse/malus_x_domestica/?name=MDP0000336432","MDP0000336432")</f>
        <v>MDP0000336432</v>
      </c>
      <c r="D1495">
        <v>76.66</v>
      </c>
      <c r="E1495">
        <v>150</v>
      </c>
      <c r="F1495">
        <v>35</v>
      </c>
      <c r="G1495">
        <v>2</v>
      </c>
      <c r="H1495">
        <v>47</v>
      </c>
      <c r="I1495">
        <v>196</v>
      </c>
      <c r="J1495">
        <v>1</v>
      </c>
      <c r="K1495">
        <v>51</v>
      </c>
      <c r="L1495">
        <v>198</v>
      </c>
      <c r="M1495">
        <v>1</v>
      </c>
      <c r="N1495">
        <v>5.0856799999999998E-62</v>
      </c>
      <c r="O1495">
        <v>596</v>
      </c>
    </row>
    <row r="1496" spans="1:15" x14ac:dyDescent="0.25">
      <c r="A1496" t="s">
        <v>1509</v>
      </c>
      <c r="B1496">
        <v>509</v>
      </c>
      <c r="C1496" s="1" t="str">
        <f>HYPERLINK("http://www.rosaceae.org/gb/gbrowse/malus_x_domestica/?name=MDP0000475886","MDP0000475886")</f>
        <v>MDP0000475886</v>
      </c>
      <c r="D1496">
        <v>73.69</v>
      </c>
      <c r="E1496">
        <v>479</v>
      </c>
      <c r="F1496">
        <v>126</v>
      </c>
      <c r="G1496">
        <v>3</v>
      </c>
      <c r="H1496">
        <v>33</v>
      </c>
      <c r="I1496">
        <v>508</v>
      </c>
      <c r="J1496">
        <v>1</v>
      </c>
      <c r="K1496">
        <v>45</v>
      </c>
      <c r="L1496">
        <v>523</v>
      </c>
      <c r="M1496">
        <v>1</v>
      </c>
      <c r="N1496">
        <v>0</v>
      </c>
      <c r="O1496">
        <v>1988</v>
      </c>
    </row>
    <row r="1497" spans="1:15" x14ac:dyDescent="0.25">
      <c r="A1497" t="s">
        <v>1510</v>
      </c>
      <c r="B1497">
        <v>118</v>
      </c>
      <c r="C1497" s="1" t="str">
        <f>HYPERLINK("http://www.rosaceae.org/gb/gbrowse/malus_x_domestica/?name=MDP0000216071","MDP0000216071")</f>
        <v>MDP0000216071</v>
      </c>
      <c r="D1497">
        <v>86.04</v>
      </c>
      <c r="E1497">
        <v>129</v>
      </c>
      <c r="F1497">
        <v>18</v>
      </c>
      <c r="G1497">
        <v>14</v>
      </c>
      <c r="H1497">
        <v>1</v>
      </c>
      <c r="I1497">
        <v>115</v>
      </c>
      <c r="J1497">
        <v>1</v>
      </c>
      <c r="K1497">
        <v>1</v>
      </c>
      <c r="L1497">
        <v>129</v>
      </c>
      <c r="M1497">
        <v>1</v>
      </c>
      <c r="N1497">
        <v>7.7222599999999996E-60</v>
      </c>
      <c r="O1497">
        <v>573</v>
      </c>
    </row>
    <row r="1498" spans="1:15" x14ac:dyDescent="0.25">
      <c r="A1498" t="s">
        <v>1511</v>
      </c>
      <c r="B1498">
        <v>430</v>
      </c>
      <c r="C1498" s="1" t="str">
        <f>HYPERLINK("http://www.rosaceae.org/gb/gbrowse/malus_x_domestica/?name=MDP0000242552","MDP0000242552")</f>
        <v>MDP0000242552</v>
      </c>
      <c r="D1498">
        <v>39.700000000000003</v>
      </c>
      <c r="E1498">
        <v>476</v>
      </c>
      <c r="F1498">
        <v>287</v>
      </c>
      <c r="G1498">
        <v>68</v>
      </c>
      <c r="H1498">
        <v>12</v>
      </c>
      <c r="I1498">
        <v>426</v>
      </c>
      <c r="J1498">
        <v>1</v>
      </c>
      <c r="K1498">
        <v>6</v>
      </c>
      <c r="L1498">
        <v>474</v>
      </c>
      <c r="M1498">
        <v>1</v>
      </c>
      <c r="N1498">
        <v>4.9174799999999998E-85</v>
      </c>
      <c r="O1498">
        <v>799</v>
      </c>
    </row>
    <row r="1499" spans="1:15" x14ac:dyDescent="0.25">
      <c r="A1499" t="s">
        <v>1512</v>
      </c>
      <c r="B1499">
        <v>738</v>
      </c>
      <c r="C1499" s="1" t="str">
        <f>HYPERLINK("http://www.rosaceae.org/gb/gbrowse/malus_x_domestica/?name=MDP0000319343","MDP0000319343")</f>
        <v>MDP0000319343</v>
      </c>
      <c r="D1499">
        <v>66.91</v>
      </c>
      <c r="E1499">
        <v>544</v>
      </c>
      <c r="F1499">
        <v>180</v>
      </c>
      <c r="G1499">
        <v>46</v>
      </c>
      <c r="H1499">
        <v>169</v>
      </c>
      <c r="I1499">
        <v>709</v>
      </c>
      <c r="J1499">
        <v>1</v>
      </c>
      <c r="K1499">
        <v>1</v>
      </c>
      <c r="L1499">
        <v>501</v>
      </c>
      <c r="M1499">
        <v>1</v>
      </c>
      <c r="N1499">
        <v>0</v>
      </c>
      <c r="O1499">
        <v>1835</v>
      </c>
    </row>
    <row r="1500" spans="1:15" x14ac:dyDescent="0.25">
      <c r="A1500" t="s">
        <v>1513</v>
      </c>
      <c r="B1500">
        <v>491</v>
      </c>
      <c r="C1500" s="1" t="str">
        <f>HYPERLINK("http://www.rosaceae.org/gb/gbrowse/malus_x_domestica/?name=MDP0000928176","MDP0000928176")</f>
        <v>MDP0000928176</v>
      </c>
      <c r="D1500">
        <v>71.34</v>
      </c>
      <c r="E1500">
        <v>178</v>
      </c>
      <c r="F1500">
        <v>51</v>
      </c>
      <c r="G1500">
        <v>0</v>
      </c>
      <c r="H1500">
        <v>314</v>
      </c>
      <c r="I1500">
        <v>491</v>
      </c>
      <c r="J1500">
        <v>1</v>
      </c>
      <c r="K1500">
        <v>1</v>
      </c>
      <c r="L1500">
        <v>178</v>
      </c>
      <c r="M1500">
        <v>1</v>
      </c>
      <c r="N1500">
        <v>5.09981E-72</v>
      </c>
      <c r="O1500">
        <v>687</v>
      </c>
    </row>
    <row r="1501" spans="1:15" x14ac:dyDescent="0.25">
      <c r="A1501" t="s">
        <v>1514</v>
      </c>
      <c r="B1501">
        <v>406</v>
      </c>
      <c r="C1501" s="1" t="str">
        <f>HYPERLINK("http://www.rosaceae.org/gb/gbrowse/malus_x_domestica/?name=MDP0000125413","MDP0000125413")</f>
        <v>MDP0000125413</v>
      </c>
      <c r="D1501">
        <v>61.66</v>
      </c>
      <c r="E1501">
        <v>300</v>
      </c>
      <c r="F1501">
        <v>115</v>
      </c>
      <c r="G1501">
        <v>37</v>
      </c>
      <c r="H1501">
        <v>1</v>
      </c>
      <c r="I1501">
        <v>292</v>
      </c>
      <c r="J1501">
        <v>1</v>
      </c>
      <c r="K1501">
        <v>1</v>
      </c>
      <c r="L1501">
        <v>271</v>
      </c>
      <c r="M1501">
        <v>1</v>
      </c>
      <c r="N1501">
        <v>1.22823E-86</v>
      </c>
      <c r="O1501">
        <v>813</v>
      </c>
    </row>
    <row r="1502" spans="1:15" x14ac:dyDescent="0.25">
      <c r="A1502" t="s">
        <v>1515</v>
      </c>
      <c r="B1502">
        <v>275</v>
      </c>
      <c r="C1502" s="1" t="str">
        <f>HYPERLINK("http://www.rosaceae.org/gb/gbrowse/malus_x_domestica/?name=MDP0000226115","MDP0000226115")</f>
        <v>MDP0000226115</v>
      </c>
      <c r="D1502">
        <v>43.72</v>
      </c>
      <c r="E1502">
        <v>311</v>
      </c>
      <c r="F1502">
        <v>175</v>
      </c>
      <c r="G1502">
        <v>63</v>
      </c>
      <c r="H1502">
        <v>18</v>
      </c>
      <c r="I1502">
        <v>274</v>
      </c>
      <c r="J1502">
        <v>1</v>
      </c>
      <c r="K1502">
        <v>24</v>
      </c>
      <c r="L1502">
        <v>325</v>
      </c>
      <c r="M1502">
        <v>1</v>
      </c>
      <c r="N1502">
        <v>7.2603600000000002E-53</v>
      </c>
      <c r="O1502">
        <v>519</v>
      </c>
    </row>
    <row r="1503" spans="1:15" x14ac:dyDescent="0.25">
      <c r="A1503" t="s">
        <v>1516</v>
      </c>
      <c r="B1503">
        <v>401</v>
      </c>
      <c r="C1503" s="1" t="str">
        <f>HYPERLINK("http://www.rosaceae.org/gb/gbrowse/malus_x_domestica/?name=MDP0000337873","MDP0000337873")</f>
        <v>MDP0000337873</v>
      </c>
      <c r="D1503">
        <v>47.64</v>
      </c>
      <c r="E1503">
        <v>361</v>
      </c>
      <c r="F1503">
        <v>189</v>
      </c>
      <c r="G1503">
        <v>16</v>
      </c>
      <c r="H1503">
        <v>7</v>
      </c>
      <c r="I1503">
        <v>358</v>
      </c>
      <c r="J1503">
        <v>1</v>
      </c>
      <c r="K1503">
        <v>6</v>
      </c>
      <c r="L1503">
        <v>359</v>
      </c>
      <c r="M1503">
        <v>1</v>
      </c>
      <c r="N1503">
        <v>6.3966800000000005E-92</v>
      </c>
      <c r="O1503">
        <v>858</v>
      </c>
    </row>
    <row r="1504" spans="1:15" x14ac:dyDescent="0.25">
      <c r="A1504" t="s">
        <v>1517</v>
      </c>
      <c r="B1504">
        <v>1249</v>
      </c>
      <c r="C1504" s="1" t="str">
        <f>HYPERLINK("http://www.rosaceae.org/gb/gbrowse/malus_x_domestica/?name=MDP0000242313","MDP0000242313")</f>
        <v>MDP0000242313</v>
      </c>
      <c r="D1504">
        <v>59.77</v>
      </c>
      <c r="E1504">
        <v>619</v>
      </c>
      <c r="F1504">
        <v>249</v>
      </c>
      <c r="G1504">
        <v>19</v>
      </c>
      <c r="H1504">
        <v>647</v>
      </c>
      <c r="I1504">
        <v>1249</v>
      </c>
      <c r="J1504">
        <v>1</v>
      </c>
      <c r="K1504">
        <v>2</v>
      </c>
      <c r="L1504">
        <v>617</v>
      </c>
      <c r="M1504">
        <v>1</v>
      </c>
      <c r="N1504">
        <v>0</v>
      </c>
      <c r="O1504">
        <v>1875</v>
      </c>
    </row>
    <row r="1505" spans="1:15" x14ac:dyDescent="0.25">
      <c r="A1505" t="s">
        <v>1518</v>
      </c>
      <c r="B1505">
        <v>528</v>
      </c>
      <c r="C1505" s="1" t="str">
        <f>HYPERLINK("http://www.rosaceae.org/gb/gbrowse/malus_x_domestica/?name=MDP0000282778","MDP0000282778")</f>
        <v>MDP0000282778</v>
      </c>
      <c r="D1505">
        <v>48.58</v>
      </c>
      <c r="E1505">
        <v>494</v>
      </c>
      <c r="F1505">
        <v>254</v>
      </c>
      <c r="G1505">
        <v>8</v>
      </c>
      <c r="H1505">
        <v>2</v>
      </c>
      <c r="I1505">
        <v>489</v>
      </c>
      <c r="J1505">
        <v>1</v>
      </c>
      <c r="K1505">
        <v>10</v>
      </c>
      <c r="L1505">
        <v>501</v>
      </c>
      <c r="M1505">
        <v>1</v>
      </c>
      <c r="N1505">
        <v>3.5144299999999999E-127</v>
      </c>
      <c r="O1505">
        <v>1164</v>
      </c>
    </row>
    <row r="1506" spans="1:15" x14ac:dyDescent="0.25">
      <c r="A1506" t="s">
        <v>1519</v>
      </c>
      <c r="B1506">
        <v>324</v>
      </c>
      <c r="C1506" s="1" t="str">
        <f>HYPERLINK("http://www.rosaceae.org/gb/gbrowse/malus_x_domestica/?name=MDP0000142541","MDP0000142541")</f>
        <v>MDP0000142541</v>
      </c>
      <c r="D1506">
        <v>74.349999999999994</v>
      </c>
      <c r="E1506">
        <v>312</v>
      </c>
      <c r="F1506">
        <v>80</v>
      </c>
      <c r="G1506">
        <v>8</v>
      </c>
      <c r="H1506">
        <v>15</v>
      </c>
      <c r="I1506">
        <v>324</v>
      </c>
      <c r="J1506">
        <v>1</v>
      </c>
      <c r="K1506">
        <v>15</v>
      </c>
      <c r="L1506">
        <v>320</v>
      </c>
      <c r="M1506">
        <v>1</v>
      </c>
      <c r="N1506">
        <v>6.8541900000000003E-134</v>
      </c>
      <c r="O1506">
        <v>1219</v>
      </c>
    </row>
    <row r="1507" spans="1:15" x14ac:dyDescent="0.25">
      <c r="A1507" t="s">
        <v>1520</v>
      </c>
      <c r="B1507">
        <v>1037</v>
      </c>
      <c r="C1507" s="1" t="str">
        <f>HYPERLINK("http://www.rosaceae.org/gb/gbrowse/malus_x_domestica/?name=MDP0000227463","MDP0000227463")</f>
        <v>MDP0000227463</v>
      </c>
      <c r="D1507">
        <v>56.75</v>
      </c>
      <c r="E1507">
        <v>629</v>
      </c>
      <c r="F1507">
        <v>272</v>
      </c>
      <c r="G1507">
        <v>88</v>
      </c>
      <c r="H1507">
        <v>250</v>
      </c>
      <c r="I1507">
        <v>837</v>
      </c>
      <c r="J1507">
        <v>1</v>
      </c>
      <c r="K1507">
        <v>1</v>
      </c>
      <c r="L1507">
        <v>582</v>
      </c>
      <c r="M1507">
        <v>1</v>
      </c>
      <c r="N1507">
        <v>3.3674199999999999E-177</v>
      </c>
      <c r="O1507">
        <v>1598</v>
      </c>
    </row>
    <row r="1508" spans="1:15" x14ac:dyDescent="0.25">
      <c r="A1508" t="s">
        <v>1521</v>
      </c>
      <c r="B1508">
        <v>160</v>
      </c>
      <c r="C1508" s="1" t="str">
        <f>HYPERLINK("http://www.rosaceae.org/gb/gbrowse/malus_x_domestica/?name=MDP0000465760","MDP0000465760")</f>
        <v>MDP0000465760</v>
      </c>
      <c r="D1508">
        <v>93.75</v>
      </c>
      <c r="E1508">
        <v>160</v>
      </c>
      <c r="F1508">
        <v>10</v>
      </c>
      <c r="G1508">
        <v>0</v>
      </c>
      <c r="H1508">
        <v>1</v>
      </c>
      <c r="I1508">
        <v>160</v>
      </c>
      <c r="J1508">
        <v>1</v>
      </c>
      <c r="K1508">
        <v>77</v>
      </c>
      <c r="L1508">
        <v>236</v>
      </c>
      <c r="M1508">
        <v>1</v>
      </c>
      <c r="N1508">
        <v>1.39718E-89</v>
      </c>
      <c r="O1508">
        <v>832</v>
      </c>
    </row>
    <row r="1509" spans="1:15" x14ac:dyDescent="0.25">
      <c r="A1509" t="s">
        <v>1522</v>
      </c>
      <c r="B1509">
        <v>340</v>
      </c>
      <c r="C1509" s="1" t="str">
        <f>HYPERLINK("http://www.rosaceae.org/gb/gbrowse/malus_x_domestica/?name=MDP0000275193","MDP0000275193")</f>
        <v>MDP0000275193</v>
      </c>
      <c r="D1509">
        <v>42.46</v>
      </c>
      <c r="E1509">
        <v>252</v>
      </c>
      <c r="F1509">
        <v>145</v>
      </c>
      <c r="G1509">
        <v>15</v>
      </c>
      <c r="H1509">
        <v>8</v>
      </c>
      <c r="I1509">
        <v>257</v>
      </c>
      <c r="J1509">
        <v>1</v>
      </c>
      <c r="K1509">
        <v>60</v>
      </c>
      <c r="L1509">
        <v>298</v>
      </c>
      <c r="M1509">
        <v>1</v>
      </c>
      <c r="N1509">
        <v>6.9990299999999996E-45</v>
      </c>
      <c r="O1509">
        <v>452</v>
      </c>
    </row>
    <row r="1510" spans="1:15" x14ac:dyDescent="0.25">
      <c r="A1510" t="s">
        <v>1523</v>
      </c>
      <c r="B1510">
        <v>214</v>
      </c>
      <c r="C1510" s="1" t="str">
        <f>HYPERLINK("http://www.rosaceae.org/gb/gbrowse/malus_x_domestica/?name=MDP0000300189","MDP0000300189")</f>
        <v>MDP0000300189</v>
      </c>
      <c r="D1510">
        <v>40.54</v>
      </c>
      <c r="E1510">
        <v>222</v>
      </c>
      <c r="F1510">
        <v>132</v>
      </c>
      <c r="G1510">
        <v>20</v>
      </c>
      <c r="H1510">
        <v>1</v>
      </c>
      <c r="I1510">
        <v>204</v>
      </c>
      <c r="J1510">
        <v>1</v>
      </c>
      <c r="K1510">
        <v>97</v>
      </c>
      <c r="L1510">
        <v>316</v>
      </c>
      <c r="M1510">
        <v>1</v>
      </c>
      <c r="N1510">
        <v>4.4790399999999999E-32</v>
      </c>
      <c r="O1510">
        <v>339</v>
      </c>
    </row>
    <row r="1511" spans="1:15" x14ac:dyDescent="0.25">
      <c r="A1511" t="s">
        <v>1524</v>
      </c>
      <c r="B1511">
        <v>111</v>
      </c>
      <c r="C1511" s="1" t="str">
        <f>HYPERLINK("http://www.rosaceae.org/gb/gbrowse/malus_x_domestica/?name=MDP0000145145","MDP0000145145")</f>
        <v>MDP0000145145</v>
      </c>
      <c r="D1511">
        <v>50</v>
      </c>
      <c r="E1511">
        <v>84</v>
      </c>
      <c r="F1511">
        <v>42</v>
      </c>
      <c r="G1511">
        <v>11</v>
      </c>
      <c r="H1511">
        <v>39</v>
      </c>
      <c r="I1511">
        <v>111</v>
      </c>
      <c r="J1511">
        <v>1</v>
      </c>
      <c r="K1511">
        <v>733</v>
      </c>
      <c r="L1511">
        <v>816</v>
      </c>
      <c r="M1511">
        <v>1</v>
      </c>
      <c r="N1511">
        <v>2.1670300000000001E-8</v>
      </c>
      <c r="O1511">
        <v>130</v>
      </c>
    </row>
    <row r="1512" spans="1:15" x14ac:dyDescent="0.25">
      <c r="A1512" t="s">
        <v>1525</v>
      </c>
      <c r="B1512">
        <v>549</v>
      </c>
      <c r="C1512" s="1" t="str">
        <f>HYPERLINK("http://www.rosaceae.org/gb/gbrowse/malus_x_domestica/?name=MDP0000337138","MDP0000337138")</f>
        <v>MDP0000337138</v>
      </c>
      <c r="D1512">
        <v>86.53</v>
      </c>
      <c r="E1512">
        <v>245</v>
      </c>
      <c r="F1512">
        <v>33</v>
      </c>
      <c r="G1512">
        <v>1</v>
      </c>
      <c r="H1512">
        <v>302</v>
      </c>
      <c r="I1512">
        <v>545</v>
      </c>
      <c r="J1512">
        <v>1</v>
      </c>
      <c r="K1512">
        <v>220</v>
      </c>
      <c r="L1512">
        <v>464</v>
      </c>
      <c r="M1512">
        <v>1</v>
      </c>
      <c r="N1512">
        <v>1.3926200000000001E-121</v>
      </c>
      <c r="O1512">
        <v>1115</v>
      </c>
    </row>
    <row r="1513" spans="1:15" x14ac:dyDescent="0.25">
      <c r="A1513" t="s">
        <v>1526</v>
      </c>
      <c r="B1513">
        <v>686</v>
      </c>
      <c r="C1513" s="1" t="str">
        <f>HYPERLINK("http://www.rosaceae.org/gb/gbrowse/malus_x_domestica/?name=MDP0000949486","MDP0000949486")</f>
        <v>MDP0000949486</v>
      </c>
      <c r="D1513">
        <v>90.23</v>
      </c>
      <c r="E1513">
        <v>543</v>
      </c>
      <c r="F1513">
        <v>53</v>
      </c>
      <c r="G1513">
        <v>0</v>
      </c>
      <c r="H1513">
        <v>144</v>
      </c>
      <c r="I1513">
        <v>686</v>
      </c>
      <c r="J1513">
        <v>1</v>
      </c>
      <c r="K1513">
        <v>56</v>
      </c>
      <c r="L1513">
        <v>598</v>
      </c>
      <c r="M1513">
        <v>1</v>
      </c>
      <c r="N1513">
        <v>0</v>
      </c>
      <c r="O1513">
        <v>2525</v>
      </c>
    </row>
    <row r="1514" spans="1:15" x14ac:dyDescent="0.25">
      <c r="A1514" t="s">
        <v>1527</v>
      </c>
      <c r="B1514">
        <v>160</v>
      </c>
      <c r="C1514" s="1" t="str">
        <f>HYPERLINK("http://www.rosaceae.org/gb/gbrowse/malus_x_domestica/?name=MDP0000661138","MDP0000661138")</f>
        <v>MDP0000661138</v>
      </c>
      <c r="D1514">
        <v>50.64</v>
      </c>
      <c r="E1514">
        <v>156</v>
      </c>
      <c r="F1514">
        <v>77</v>
      </c>
      <c r="G1514">
        <v>6</v>
      </c>
      <c r="H1514">
        <v>2</v>
      </c>
      <c r="I1514">
        <v>153</v>
      </c>
      <c r="J1514">
        <v>1</v>
      </c>
      <c r="K1514">
        <v>132</v>
      </c>
      <c r="L1514">
        <v>285</v>
      </c>
      <c r="M1514">
        <v>1</v>
      </c>
      <c r="N1514">
        <v>7.9071300000000002E-39</v>
      </c>
      <c r="O1514">
        <v>395</v>
      </c>
    </row>
    <row r="1515" spans="1:15" x14ac:dyDescent="0.25">
      <c r="A1515" t="s">
        <v>1528</v>
      </c>
      <c r="B1515">
        <v>131</v>
      </c>
      <c r="C1515" s="1" t="str">
        <f>HYPERLINK("http://www.rosaceae.org/gb/gbrowse/malus_x_domestica/?name=MDP0000617417","MDP0000617417")</f>
        <v>MDP0000617417</v>
      </c>
      <c r="D1515">
        <v>43.57</v>
      </c>
      <c r="E1515">
        <v>140</v>
      </c>
      <c r="F1515">
        <v>79</v>
      </c>
      <c r="G1515">
        <v>9</v>
      </c>
      <c r="H1515">
        <v>1</v>
      </c>
      <c r="I1515">
        <v>131</v>
      </c>
      <c r="J1515">
        <v>1</v>
      </c>
      <c r="K1515">
        <v>1</v>
      </c>
      <c r="L1515">
        <v>140</v>
      </c>
      <c r="M1515">
        <v>1</v>
      </c>
      <c r="N1515">
        <v>1.83398E-16</v>
      </c>
      <c r="O1515">
        <v>200</v>
      </c>
    </row>
    <row r="1516" spans="1:15" x14ac:dyDescent="0.25">
      <c r="A1516" t="s">
        <v>1529</v>
      </c>
      <c r="B1516">
        <v>354</v>
      </c>
      <c r="C1516" s="1" t="str">
        <f>HYPERLINK("http://www.rosaceae.org/gb/gbrowse/malus_x_domestica/?name=MDP0000259472","MDP0000259472")</f>
        <v>MDP0000259472</v>
      </c>
      <c r="D1516">
        <v>60.92</v>
      </c>
      <c r="E1516">
        <v>366</v>
      </c>
      <c r="F1516">
        <v>143</v>
      </c>
      <c r="G1516">
        <v>59</v>
      </c>
      <c r="H1516">
        <v>1</v>
      </c>
      <c r="I1516">
        <v>354</v>
      </c>
      <c r="J1516">
        <v>1</v>
      </c>
      <c r="K1516">
        <v>1</v>
      </c>
      <c r="L1516">
        <v>319</v>
      </c>
      <c r="M1516">
        <v>1</v>
      </c>
      <c r="N1516">
        <v>1.2083099999999999E-117</v>
      </c>
      <c r="O1516">
        <v>1079</v>
      </c>
    </row>
    <row r="1517" spans="1:15" x14ac:dyDescent="0.25">
      <c r="A1517" t="s">
        <v>1530</v>
      </c>
      <c r="B1517">
        <v>568</v>
      </c>
      <c r="C1517" s="1" t="str">
        <f>HYPERLINK("http://www.rosaceae.org/gb/gbrowse/malus_x_domestica/?name=MDP0000319154","MDP0000319154")</f>
        <v>MDP0000319154</v>
      </c>
      <c r="D1517">
        <v>75.790000000000006</v>
      </c>
      <c r="E1517">
        <v>438</v>
      </c>
      <c r="F1517">
        <v>106</v>
      </c>
      <c r="G1517">
        <v>29</v>
      </c>
      <c r="H1517">
        <v>158</v>
      </c>
      <c r="I1517">
        <v>566</v>
      </c>
      <c r="J1517">
        <v>1</v>
      </c>
      <c r="K1517">
        <v>1</v>
      </c>
      <c r="L1517">
        <v>438</v>
      </c>
      <c r="M1517">
        <v>1</v>
      </c>
      <c r="N1517">
        <v>0</v>
      </c>
      <c r="O1517">
        <v>1712</v>
      </c>
    </row>
    <row r="1518" spans="1:15" x14ac:dyDescent="0.25">
      <c r="A1518" t="s">
        <v>1531</v>
      </c>
      <c r="B1518">
        <v>437</v>
      </c>
      <c r="C1518" s="1" t="str">
        <f>HYPERLINK("http://www.rosaceae.org/gb/gbrowse/malus_x_domestica/?name=MDP0000941515","MDP0000941515")</f>
        <v>MDP0000941515</v>
      </c>
      <c r="D1518">
        <v>76.28</v>
      </c>
      <c r="E1518">
        <v>97</v>
      </c>
      <c r="F1518">
        <v>23</v>
      </c>
      <c r="G1518">
        <v>0</v>
      </c>
      <c r="H1518">
        <v>338</v>
      </c>
      <c r="I1518">
        <v>434</v>
      </c>
      <c r="J1518">
        <v>1</v>
      </c>
      <c r="K1518">
        <v>45</v>
      </c>
      <c r="L1518">
        <v>141</v>
      </c>
      <c r="M1518">
        <v>1</v>
      </c>
      <c r="N1518">
        <v>9.3614500000000005E-39</v>
      </c>
      <c r="O1518">
        <v>400</v>
      </c>
    </row>
    <row r="1519" spans="1:15" x14ac:dyDescent="0.25">
      <c r="A1519" t="s">
        <v>1532</v>
      </c>
      <c r="B1519">
        <v>187</v>
      </c>
      <c r="C1519" s="1" t="str">
        <f>HYPERLINK("http://www.rosaceae.org/gb/gbrowse/malus_x_domestica/?name=MDP0000291805","MDP0000291805")</f>
        <v>MDP0000291805</v>
      </c>
      <c r="D1519">
        <v>55.1</v>
      </c>
      <c r="E1519">
        <v>147</v>
      </c>
      <c r="F1519">
        <v>66</v>
      </c>
      <c r="G1519">
        <v>8</v>
      </c>
      <c r="H1519">
        <v>27</v>
      </c>
      <c r="I1519">
        <v>173</v>
      </c>
      <c r="J1519">
        <v>1</v>
      </c>
      <c r="K1519">
        <v>49</v>
      </c>
      <c r="L1519">
        <v>187</v>
      </c>
      <c r="M1519">
        <v>1</v>
      </c>
      <c r="N1519">
        <v>1.04343E-35</v>
      </c>
      <c r="O1519">
        <v>369</v>
      </c>
    </row>
    <row r="1520" spans="1:15" x14ac:dyDescent="0.25">
      <c r="A1520" t="s">
        <v>1533</v>
      </c>
      <c r="B1520">
        <v>257</v>
      </c>
      <c r="C1520" s="1" t="str">
        <f>HYPERLINK("http://www.rosaceae.org/gb/gbrowse/malus_x_domestica/?name=MDP0000228375","MDP0000228375")</f>
        <v>MDP0000228375</v>
      </c>
      <c r="D1520">
        <v>68.61</v>
      </c>
      <c r="E1520">
        <v>274</v>
      </c>
      <c r="F1520">
        <v>86</v>
      </c>
      <c r="G1520">
        <v>34</v>
      </c>
      <c r="H1520">
        <v>1</v>
      </c>
      <c r="I1520">
        <v>249</v>
      </c>
      <c r="J1520">
        <v>1</v>
      </c>
      <c r="K1520">
        <v>1</v>
      </c>
      <c r="L1520">
        <v>265</v>
      </c>
      <c r="M1520">
        <v>1</v>
      </c>
      <c r="N1520">
        <v>5.2165300000000002E-101</v>
      </c>
      <c r="O1520">
        <v>934</v>
      </c>
    </row>
    <row r="1521" spans="1:15" x14ac:dyDescent="0.25">
      <c r="A1521" t="s">
        <v>1534</v>
      </c>
      <c r="B1521">
        <v>209</v>
      </c>
      <c r="C1521" s="1" t="str">
        <f>HYPERLINK("http://www.rosaceae.org/gb/gbrowse/malus_x_domestica/?name=MDP0000731378","MDP0000731378")</f>
        <v>MDP0000731378</v>
      </c>
      <c r="D1521">
        <v>74.23</v>
      </c>
      <c r="E1521">
        <v>163</v>
      </c>
      <c r="F1521">
        <v>42</v>
      </c>
      <c r="G1521">
        <v>3</v>
      </c>
      <c r="H1521">
        <v>45</v>
      </c>
      <c r="I1521">
        <v>206</v>
      </c>
      <c r="J1521">
        <v>1</v>
      </c>
      <c r="K1521">
        <v>9</v>
      </c>
      <c r="L1521">
        <v>169</v>
      </c>
      <c r="M1521">
        <v>1</v>
      </c>
      <c r="N1521">
        <v>2.1963899999999999E-63</v>
      </c>
      <c r="O1521">
        <v>608</v>
      </c>
    </row>
    <row r="1522" spans="1:15" x14ac:dyDescent="0.25">
      <c r="A1522" t="s">
        <v>1535</v>
      </c>
      <c r="B1522">
        <v>143</v>
      </c>
      <c r="C1522" s="1" t="str">
        <f>HYPERLINK("http://www.rosaceae.org/gb/gbrowse/malus_x_domestica/?name=MDP0000264059","MDP0000264059")</f>
        <v>MDP0000264059</v>
      </c>
      <c r="D1522">
        <v>55.55</v>
      </c>
      <c r="E1522">
        <v>54</v>
      </c>
      <c r="F1522">
        <v>24</v>
      </c>
      <c r="G1522">
        <v>3</v>
      </c>
      <c r="H1522">
        <v>3</v>
      </c>
      <c r="I1522">
        <v>53</v>
      </c>
      <c r="J1522">
        <v>1</v>
      </c>
      <c r="K1522">
        <v>385</v>
      </c>
      <c r="L1522">
        <v>438</v>
      </c>
      <c r="M1522">
        <v>1</v>
      </c>
      <c r="N1522">
        <v>1.04505E-9</v>
      </c>
      <c r="O1522">
        <v>143</v>
      </c>
    </row>
    <row r="1523" spans="1:15" x14ac:dyDescent="0.25">
      <c r="A1523" t="s">
        <v>1536</v>
      </c>
      <c r="B1523">
        <v>578</v>
      </c>
      <c r="C1523" s="1" t="str">
        <f>HYPERLINK("http://www.rosaceae.org/gb/gbrowse/malus_x_domestica/?name=MDP0000276358","MDP0000276358")</f>
        <v>MDP0000276358</v>
      </c>
      <c r="D1523">
        <v>86.82</v>
      </c>
      <c r="E1523">
        <v>258</v>
      </c>
      <c r="F1523">
        <v>34</v>
      </c>
      <c r="G1523">
        <v>0</v>
      </c>
      <c r="H1523">
        <v>56</v>
      </c>
      <c r="I1523">
        <v>313</v>
      </c>
      <c r="J1523">
        <v>1</v>
      </c>
      <c r="K1523">
        <v>54</v>
      </c>
      <c r="L1523">
        <v>311</v>
      </c>
      <c r="M1523">
        <v>1</v>
      </c>
      <c r="N1523">
        <v>6.5394299999999996E-137</v>
      </c>
      <c r="O1523">
        <v>1248</v>
      </c>
    </row>
    <row r="1524" spans="1:15" x14ac:dyDescent="0.25">
      <c r="A1524" t="s">
        <v>1537</v>
      </c>
      <c r="B1524">
        <v>363</v>
      </c>
      <c r="C1524" s="1" t="str">
        <f>HYPERLINK("http://www.rosaceae.org/gb/gbrowse/malus_x_domestica/?name=MDP0000796348","MDP0000796348")</f>
        <v>MDP0000796348</v>
      </c>
      <c r="D1524">
        <v>48.16</v>
      </c>
      <c r="E1524">
        <v>382</v>
      </c>
      <c r="F1524">
        <v>198</v>
      </c>
      <c r="G1524">
        <v>55</v>
      </c>
      <c r="H1524">
        <v>14</v>
      </c>
      <c r="I1524">
        <v>345</v>
      </c>
      <c r="J1524">
        <v>1</v>
      </c>
      <c r="K1524">
        <v>53</v>
      </c>
      <c r="L1524">
        <v>429</v>
      </c>
      <c r="M1524">
        <v>1</v>
      </c>
      <c r="N1524">
        <v>1.0887000000000001E-81</v>
      </c>
      <c r="O1524">
        <v>769</v>
      </c>
    </row>
    <row r="1525" spans="1:15" x14ac:dyDescent="0.25">
      <c r="A1525" t="s">
        <v>1538</v>
      </c>
      <c r="B1525">
        <v>577</v>
      </c>
      <c r="C1525" s="1" t="str">
        <f>HYPERLINK("http://www.rosaceae.org/gb/gbrowse/malus_x_domestica/?name=MDP0000320691","MDP0000320691")</f>
        <v>MDP0000320691</v>
      </c>
      <c r="D1525">
        <v>86.84</v>
      </c>
      <c r="E1525">
        <v>76</v>
      </c>
      <c r="F1525">
        <v>10</v>
      </c>
      <c r="G1525">
        <v>0</v>
      </c>
      <c r="H1525">
        <v>502</v>
      </c>
      <c r="I1525">
        <v>577</v>
      </c>
      <c r="J1525">
        <v>1</v>
      </c>
      <c r="K1525">
        <v>16</v>
      </c>
      <c r="L1525">
        <v>91</v>
      </c>
      <c r="M1525">
        <v>1</v>
      </c>
      <c r="N1525">
        <v>6.7874799999999996E-30</v>
      </c>
      <c r="O1525">
        <v>325</v>
      </c>
    </row>
    <row r="1526" spans="1:15" x14ac:dyDescent="0.25">
      <c r="A1526" t="s">
        <v>1539</v>
      </c>
      <c r="B1526">
        <v>344</v>
      </c>
      <c r="C1526" s="1" t="str">
        <f>HYPERLINK("http://www.rosaceae.org/gb/gbrowse/malus_x_domestica/?name=MDP0000138549","MDP0000138549")</f>
        <v>MDP0000138549</v>
      </c>
      <c r="D1526">
        <v>71.09</v>
      </c>
      <c r="E1526">
        <v>346</v>
      </c>
      <c r="F1526">
        <v>100</v>
      </c>
      <c r="G1526">
        <v>3</v>
      </c>
      <c r="H1526">
        <v>2</v>
      </c>
      <c r="I1526">
        <v>344</v>
      </c>
      <c r="J1526">
        <v>1</v>
      </c>
      <c r="K1526">
        <v>5</v>
      </c>
      <c r="L1526">
        <v>350</v>
      </c>
      <c r="M1526">
        <v>1</v>
      </c>
      <c r="N1526">
        <v>1.7030499999999999E-143</v>
      </c>
      <c r="O1526">
        <v>1302</v>
      </c>
    </row>
    <row r="1527" spans="1:15" x14ac:dyDescent="0.25">
      <c r="A1527" t="s">
        <v>1540</v>
      </c>
      <c r="B1527">
        <v>396</v>
      </c>
      <c r="C1527" s="1" t="str">
        <f>HYPERLINK("http://www.rosaceae.org/gb/gbrowse/malus_x_domestica/?name=MDP0000264592","MDP0000264592")</f>
        <v>MDP0000264592</v>
      </c>
      <c r="D1527">
        <v>45.49</v>
      </c>
      <c r="E1527">
        <v>255</v>
      </c>
      <c r="F1527">
        <v>139</v>
      </c>
      <c r="G1527">
        <v>22</v>
      </c>
      <c r="H1527">
        <v>4</v>
      </c>
      <c r="I1527">
        <v>254</v>
      </c>
      <c r="J1527">
        <v>1</v>
      </c>
      <c r="K1527">
        <v>3</v>
      </c>
      <c r="L1527">
        <v>239</v>
      </c>
      <c r="M1527">
        <v>1</v>
      </c>
      <c r="N1527">
        <v>3.8594599999999996E-49</v>
      </c>
      <c r="O1527">
        <v>489</v>
      </c>
    </row>
    <row r="1528" spans="1:15" x14ac:dyDescent="0.25">
      <c r="A1528" t="s">
        <v>1541</v>
      </c>
      <c r="B1528">
        <v>270</v>
      </c>
      <c r="C1528" s="1" t="str">
        <f>HYPERLINK("http://www.rosaceae.org/gb/gbrowse/malus_x_domestica/?name=MDP0000589422","MDP0000589422")</f>
        <v>MDP0000589422</v>
      </c>
      <c r="D1528">
        <v>40.770000000000003</v>
      </c>
      <c r="E1528">
        <v>309</v>
      </c>
      <c r="F1528">
        <v>183</v>
      </c>
      <c r="G1528">
        <v>61</v>
      </c>
      <c r="H1528">
        <v>1</v>
      </c>
      <c r="I1528">
        <v>270</v>
      </c>
      <c r="J1528">
        <v>1</v>
      </c>
      <c r="K1528">
        <v>1</v>
      </c>
      <c r="L1528">
        <v>287</v>
      </c>
      <c r="M1528">
        <v>1</v>
      </c>
      <c r="N1528">
        <v>2.3491300000000001E-45</v>
      </c>
      <c r="O1528">
        <v>455</v>
      </c>
    </row>
    <row r="1529" spans="1:15" x14ac:dyDescent="0.25">
      <c r="A1529" t="s">
        <v>1542</v>
      </c>
      <c r="B1529">
        <v>213</v>
      </c>
      <c r="C1529" s="1" t="str">
        <f>HYPERLINK("http://www.rosaceae.org/gb/gbrowse/malus_x_domestica/?name=MDP0000321222","MDP0000321222")</f>
        <v>MDP0000321222</v>
      </c>
      <c r="D1529">
        <v>39.71</v>
      </c>
      <c r="E1529">
        <v>209</v>
      </c>
      <c r="F1529">
        <v>126</v>
      </c>
      <c r="G1529">
        <v>22</v>
      </c>
      <c r="H1529">
        <v>1</v>
      </c>
      <c r="I1529">
        <v>209</v>
      </c>
      <c r="J1529">
        <v>1</v>
      </c>
      <c r="K1529">
        <v>1</v>
      </c>
      <c r="L1529">
        <v>187</v>
      </c>
      <c r="M1529">
        <v>1</v>
      </c>
      <c r="N1529">
        <v>9.0214399999999994E-33</v>
      </c>
      <c r="O1529">
        <v>345</v>
      </c>
    </row>
    <row r="1530" spans="1:15" x14ac:dyDescent="0.25">
      <c r="A1530" t="s">
        <v>1543</v>
      </c>
      <c r="B1530">
        <v>544</v>
      </c>
      <c r="C1530" s="1" t="str">
        <f>HYPERLINK("http://www.rosaceae.org/gb/gbrowse/malus_x_domestica/?name=MDP0000432351","MDP0000432351")</f>
        <v>MDP0000432351</v>
      </c>
      <c r="D1530">
        <v>56.98</v>
      </c>
      <c r="E1530">
        <v>351</v>
      </c>
      <c r="F1530">
        <v>151</v>
      </c>
      <c r="G1530">
        <v>47</v>
      </c>
      <c r="H1530">
        <v>105</v>
      </c>
      <c r="I1530">
        <v>409</v>
      </c>
      <c r="J1530">
        <v>1</v>
      </c>
      <c r="K1530">
        <v>120</v>
      </c>
      <c r="L1530">
        <v>469</v>
      </c>
      <c r="M1530">
        <v>1</v>
      </c>
      <c r="N1530">
        <v>1.7736899999999999E-82</v>
      </c>
      <c r="O1530">
        <v>778</v>
      </c>
    </row>
    <row r="1531" spans="1:15" x14ac:dyDescent="0.25">
      <c r="A1531" t="s">
        <v>1544</v>
      </c>
      <c r="B1531">
        <v>494</v>
      </c>
      <c r="C1531" s="1" t="str">
        <f>HYPERLINK("http://www.rosaceae.org/gb/gbrowse/malus_x_domestica/?name=MDP0000156544","MDP0000156544")</f>
        <v>MDP0000156544</v>
      </c>
      <c r="D1531">
        <v>48.14</v>
      </c>
      <c r="E1531">
        <v>432</v>
      </c>
      <c r="F1531">
        <v>224</v>
      </c>
      <c r="G1531">
        <v>11</v>
      </c>
      <c r="H1531">
        <v>66</v>
      </c>
      <c r="I1531">
        <v>493</v>
      </c>
      <c r="J1531">
        <v>1</v>
      </c>
      <c r="K1531">
        <v>96</v>
      </c>
      <c r="L1531">
        <v>520</v>
      </c>
      <c r="M1531">
        <v>1</v>
      </c>
      <c r="N1531">
        <v>4.8683400000000002E-122</v>
      </c>
      <c r="O1531">
        <v>1119</v>
      </c>
    </row>
    <row r="1532" spans="1:15" x14ac:dyDescent="0.25">
      <c r="A1532" t="s">
        <v>1545</v>
      </c>
      <c r="B1532">
        <v>604</v>
      </c>
      <c r="C1532" s="1" t="str">
        <f>HYPERLINK("http://www.rosaceae.org/gb/gbrowse/malus_x_domestica/?name=MDP0000293621","MDP0000293621")</f>
        <v>MDP0000293621</v>
      </c>
      <c r="D1532">
        <v>48.59</v>
      </c>
      <c r="E1532">
        <v>747</v>
      </c>
      <c r="F1532">
        <v>384</v>
      </c>
      <c r="G1532">
        <v>205</v>
      </c>
      <c r="H1532">
        <v>1</v>
      </c>
      <c r="I1532">
        <v>603</v>
      </c>
      <c r="J1532">
        <v>1</v>
      </c>
      <c r="K1532">
        <v>1</v>
      </c>
      <c r="L1532">
        <v>686</v>
      </c>
      <c r="M1532">
        <v>1</v>
      </c>
      <c r="N1532">
        <v>5.9270399999999997E-173</v>
      </c>
      <c r="O1532">
        <v>1559</v>
      </c>
    </row>
    <row r="1533" spans="1:15" x14ac:dyDescent="0.25">
      <c r="A1533" t="s">
        <v>1546</v>
      </c>
      <c r="B1533">
        <v>791</v>
      </c>
      <c r="C1533" s="1" t="str">
        <f>HYPERLINK("http://www.rosaceae.org/gb/gbrowse/malus_x_domestica/?name=MDP0000303781","MDP0000303781")</f>
        <v>MDP0000303781</v>
      </c>
      <c r="D1533">
        <v>48</v>
      </c>
      <c r="E1533">
        <v>50</v>
      </c>
      <c r="F1533">
        <v>26</v>
      </c>
      <c r="G1533">
        <v>0</v>
      </c>
      <c r="H1533">
        <v>738</v>
      </c>
      <c r="I1533">
        <v>787</v>
      </c>
      <c r="J1533">
        <v>1</v>
      </c>
      <c r="K1533">
        <v>283</v>
      </c>
      <c r="L1533">
        <v>332</v>
      </c>
      <c r="M1533">
        <v>1</v>
      </c>
      <c r="N1533">
        <v>1.0442299999999999E-7</v>
      </c>
      <c r="O1533">
        <v>135</v>
      </c>
    </row>
    <row r="1534" spans="1:15" x14ac:dyDescent="0.25">
      <c r="A1534" t="s">
        <v>1547</v>
      </c>
      <c r="B1534">
        <v>194</v>
      </c>
      <c r="C1534" s="1" t="str">
        <f>HYPERLINK("http://www.rosaceae.org/gb/gbrowse/malus_x_domestica/?name=MDP0000139844","MDP0000139844")</f>
        <v>MDP0000139844</v>
      </c>
      <c r="D1534">
        <v>72.680000000000007</v>
      </c>
      <c r="E1534">
        <v>194</v>
      </c>
      <c r="F1534">
        <v>53</v>
      </c>
      <c r="G1534">
        <v>1</v>
      </c>
      <c r="H1534">
        <v>1</v>
      </c>
      <c r="I1534">
        <v>194</v>
      </c>
      <c r="J1534">
        <v>1</v>
      </c>
      <c r="K1534">
        <v>1</v>
      </c>
      <c r="L1534">
        <v>193</v>
      </c>
      <c r="M1534">
        <v>1</v>
      </c>
      <c r="N1534">
        <v>1.44155E-80</v>
      </c>
      <c r="O1534">
        <v>756</v>
      </c>
    </row>
    <row r="1535" spans="1:15" x14ac:dyDescent="0.25">
      <c r="A1535" t="s">
        <v>1548</v>
      </c>
      <c r="B1535">
        <v>175</v>
      </c>
      <c r="C1535" s="1" t="str">
        <f>HYPERLINK("http://www.rosaceae.org/gb/gbrowse/malus_x_domestica/?name=MDP0000302297","MDP0000302297")</f>
        <v>MDP0000302297</v>
      </c>
      <c r="D1535">
        <v>46.2</v>
      </c>
      <c r="E1535">
        <v>145</v>
      </c>
      <c r="F1535">
        <v>78</v>
      </c>
      <c r="G1535">
        <v>26</v>
      </c>
      <c r="H1535">
        <v>7</v>
      </c>
      <c r="I1535">
        <v>143</v>
      </c>
      <c r="J1535">
        <v>1</v>
      </c>
      <c r="K1535">
        <v>49</v>
      </c>
      <c r="L1535">
        <v>175</v>
      </c>
      <c r="M1535">
        <v>1</v>
      </c>
      <c r="N1535">
        <v>1.15584E-22</v>
      </c>
      <c r="O1535">
        <v>256</v>
      </c>
    </row>
    <row r="1536" spans="1:15" x14ac:dyDescent="0.25">
      <c r="A1536" t="s">
        <v>1549</v>
      </c>
      <c r="B1536">
        <v>605</v>
      </c>
      <c r="C1536" s="1" t="str">
        <f>HYPERLINK("http://www.rosaceae.org/gb/gbrowse/malus_x_domestica/?name=MDP0000834158","MDP0000834158")</f>
        <v>MDP0000834158</v>
      </c>
      <c r="D1536">
        <v>64.13</v>
      </c>
      <c r="E1536">
        <v>605</v>
      </c>
      <c r="F1536">
        <v>217</v>
      </c>
      <c r="G1536">
        <v>34</v>
      </c>
      <c r="H1536">
        <v>1</v>
      </c>
      <c r="I1536">
        <v>585</v>
      </c>
      <c r="J1536">
        <v>1</v>
      </c>
      <c r="K1536">
        <v>1</v>
      </c>
      <c r="L1536">
        <v>591</v>
      </c>
      <c r="M1536">
        <v>1</v>
      </c>
      <c r="N1536">
        <v>0</v>
      </c>
      <c r="O1536">
        <v>1872</v>
      </c>
    </row>
    <row r="1537" spans="1:15" x14ac:dyDescent="0.25">
      <c r="A1537" t="s">
        <v>1550</v>
      </c>
      <c r="B1537">
        <v>568</v>
      </c>
      <c r="C1537" s="1" t="str">
        <f>HYPERLINK("http://www.rosaceae.org/gb/gbrowse/malus_x_domestica/?name=MDP0000253705","MDP0000253705")</f>
        <v>MDP0000253705</v>
      </c>
      <c r="D1537">
        <v>78.31</v>
      </c>
      <c r="E1537">
        <v>521</v>
      </c>
      <c r="F1537">
        <v>113</v>
      </c>
      <c r="G1537">
        <v>52</v>
      </c>
      <c r="H1537">
        <v>31</v>
      </c>
      <c r="I1537">
        <v>549</v>
      </c>
      <c r="J1537">
        <v>1</v>
      </c>
      <c r="K1537">
        <v>31</v>
      </c>
      <c r="L1537">
        <v>501</v>
      </c>
      <c r="M1537">
        <v>1</v>
      </c>
      <c r="N1537">
        <v>0</v>
      </c>
      <c r="O1537">
        <v>2107</v>
      </c>
    </row>
    <row r="1538" spans="1:15" x14ac:dyDescent="0.25">
      <c r="A1538" t="s">
        <v>1551</v>
      </c>
      <c r="B1538">
        <v>345</v>
      </c>
      <c r="C1538" s="1" t="str">
        <f>HYPERLINK("http://www.rosaceae.org/gb/gbrowse/malus_x_domestica/?name=MDP0000186579","MDP0000186579")</f>
        <v>MDP0000186579</v>
      </c>
      <c r="D1538">
        <v>96.81</v>
      </c>
      <c r="E1538">
        <v>345</v>
      </c>
      <c r="F1538">
        <v>11</v>
      </c>
      <c r="G1538">
        <v>0</v>
      </c>
      <c r="H1538">
        <v>1</v>
      </c>
      <c r="I1538">
        <v>345</v>
      </c>
      <c r="J1538">
        <v>1</v>
      </c>
      <c r="K1538">
        <v>7</v>
      </c>
      <c r="L1538">
        <v>351</v>
      </c>
      <c r="M1538">
        <v>1</v>
      </c>
      <c r="N1538">
        <v>0</v>
      </c>
      <c r="O1538">
        <v>1800</v>
      </c>
    </row>
    <row r="1539" spans="1:15" x14ac:dyDescent="0.25">
      <c r="A1539" t="s">
        <v>1552</v>
      </c>
      <c r="B1539">
        <v>1012</v>
      </c>
      <c r="C1539" s="1" t="str">
        <f>HYPERLINK("http://www.rosaceae.org/gb/gbrowse/malus_x_domestica/?name=MDP0000122512","MDP0000122512")</f>
        <v>MDP0000122512</v>
      </c>
      <c r="D1539">
        <v>71.489999999999995</v>
      </c>
      <c r="E1539">
        <v>614</v>
      </c>
      <c r="F1539">
        <v>175</v>
      </c>
      <c r="G1539">
        <v>22</v>
      </c>
      <c r="H1539">
        <v>154</v>
      </c>
      <c r="I1539">
        <v>767</v>
      </c>
      <c r="J1539">
        <v>1</v>
      </c>
      <c r="K1539">
        <v>1</v>
      </c>
      <c r="L1539">
        <v>592</v>
      </c>
      <c r="M1539">
        <v>1</v>
      </c>
      <c r="N1539">
        <v>0</v>
      </c>
      <c r="O1539">
        <v>2324</v>
      </c>
    </row>
    <row r="1540" spans="1:15" x14ac:dyDescent="0.25">
      <c r="A1540" t="s">
        <v>1553</v>
      </c>
      <c r="B1540">
        <v>114</v>
      </c>
      <c r="C1540" s="1" t="str">
        <f>HYPERLINK("http://www.rosaceae.org/gb/gbrowse/malus_x_domestica/?name=MDP0000295300","MDP0000295300")</f>
        <v>MDP0000295300</v>
      </c>
      <c r="D1540">
        <v>45.12</v>
      </c>
      <c r="E1540">
        <v>82</v>
      </c>
      <c r="F1540">
        <v>45</v>
      </c>
      <c r="G1540">
        <v>2</v>
      </c>
      <c r="H1540">
        <v>16</v>
      </c>
      <c r="I1540">
        <v>95</v>
      </c>
      <c r="J1540">
        <v>1</v>
      </c>
      <c r="K1540">
        <v>13</v>
      </c>
      <c r="L1540">
        <v>94</v>
      </c>
      <c r="M1540">
        <v>1</v>
      </c>
      <c r="N1540">
        <v>1.4474000000000001E-12</v>
      </c>
      <c r="O1540">
        <v>166</v>
      </c>
    </row>
    <row r="1541" spans="1:15" x14ac:dyDescent="0.25">
      <c r="A1541" t="s">
        <v>1554</v>
      </c>
      <c r="B1541">
        <v>512</v>
      </c>
      <c r="C1541" s="1" t="str">
        <f>HYPERLINK("http://www.rosaceae.org/gb/gbrowse/malus_x_domestica/?name=MDP0000230149","MDP0000230149")</f>
        <v>MDP0000230149</v>
      </c>
      <c r="D1541">
        <v>33.08</v>
      </c>
      <c r="E1541">
        <v>266</v>
      </c>
      <c r="F1541">
        <v>178</v>
      </c>
      <c r="G1541">
        <v>33</v>
      </c>
      <c r="H1541">
        <v>186</v>
      </c>
      <c r="I1541">
        <v>431</v>
      </c>
      <c r="J1541">
        <v>1</v>
      </c>
      <c r="K1541">
        <v>303</v>
      </c>
      <c r="L1541">
        <v>555</v>
      </c>
      <c r="M1541">
        <v>1</v>
      </c>
      <c r="N1541">
        <v>8.7157400000000005E-26</v>
      </c>
      <c r="O1541">
        <v>289</v>
      </c>
    </row>
    <row r="1542" spans="1:15" x14ac:dyDescent="0.25">
      <c r="A1542" t="s">
        <v>1555</v>
      </c>
      <c r="B1542">
        <v>344</v>
      </c>
      <c r="C1542" s="1" t="str">
        <f>HYPERLINK("http://www.rosaceae.org/gb/gbrowse/malus_x_domestica/?name=MDP0000195025","MDP0000195025")</f>
        <v>MDP0000195025</v>
      </c>
      <c r="D1542">
        <v>56.36</v>
      </c>
      <c r="E1542">
        <v>330</v>
      </c>
      <c r="F1542">
        <v>144</v>
      </c>
      <c r="G1542">
        <v>8</v>
      </c>
      <c r="H1542">
        <v>1</v>
      </c>
      <c r="I1542">
        <v>328</v>
      </c>
      <c r="J1542">
        <v>1</v>
      </c>
      <c r="K1542">
        <v>8</v>
      </c>
      <c r="L1542">
        <v>331</v>
      </c>
      <c r="M1542">
        <v>1</v>
      </c>
      <c r="N1542">
        <v>3.6225799999999997E-101</v>
      </c>
      <c r="O1542">
        <v>937</v>
      </c>
    </row>
    <row r="1543" spans="1:15" x14ac:dyDescent="0.25">
      <c r="A1543" t="s">
        <v>1556</v>
      </c>
      <c r="B1543">
        <v>524</v>
      </c>
      <c r="C1543" s="1" t="str">
        <f>HYPERLINK("http://www.rosaceae.org/gb/gbrowse/malus_x_domestica/?name=MDP0000135510","MDP0000135510")</f>
        <v>MDP0000135510</v>
      </c>
      <c r="D1543">
        <v>65.75</v>
      </c>
      <c r="E1543">
        <v>400</v>
      </c>
      <c r="F1543">
        <v>137</v>
      </c>
      <c r="G1543">
        <v>39</v>
      </c>
      <c r="H1543">
        <v>109</v>
      </c>
      <c r="I1543">
        <v>508</v>
      </c>
      <c r="J1543">
        <v>1</v>
      </c>
      <c r="K1543">
        <v>1</v>
      </c>
      <c r="L1543">
        <v>361</v>
      </c>
      <c r="M1543">
        <v>1</v>
      </c>
      <c r="N1543">
        <v>6.3928399999999999E-160</v>
      </c>
      <c r="O1543">
        <v>1446</v>
      </c>
    </row>
    <row r="1544" spans="1:15" x14ac:dyDescent="0.25">
      <c r="A1544" t="s">
        <v>1557</v>
      </c>
      <c r="B1544">
        <v>224</v>
      </c>
      <c r="C1544" s="1" t="str">
        <f>HYPERLINK("http://www.rosaceae.org/gb/gbrowse/malus_x_domestica/?name=MDP0000527190","MDP0000527190")</f>
        <v>MDP0000527190</v>
      </c>
      <c r="D1544">
        <v>45.83</v>
      </c>
      <c r="E1544">
        <v>240</v>
      </c>
      <c r="F1544">
        <v>130</v>
      </c>
      <c r="G1544">
        <v>28</v>
      </c>
      <c r="H1544">
        <v>1</v>
      </c>
      <c r="I1544">
        <v>224</v>
      </c>
      <c r="J1544">
        <v>1</v>
      </c>
      <c r="K1544">
        <v>1</v>
      </c>
      <c r="L1544">
        <v>228</v>
      </c>
      <c r="M1544">
        <v>1</v>
      </c>
      <c r="N1544">
        <v>2.8643200000000002E-37</v>
      </c>
      <c r="O1544">
        <v>384</v>
      </c>
    </row>
    <row r="1545" spans="1:15" x14ac:dyDescent="0.25">
      <c r="A1545" t="s">
        <v>1558</v>
      </c>
      <c r="B1545">
        <v>333</v>
      </c>
      <c r="C1545" s="1" t="str">
        <f>HYPERLINK("http://www.rosaceae.org/gb/gbrowse/malus_x_domestica/?name=MDP0000313224","MDP0000313224")</f>
        <v>MDP0000313224</v>
      </c>
      <c r="D1545">
        <v>78.91</v>
      </c>
      <c r="E1545">
        <v>294</v>
      </c>
      <c r="F1545">
        <v>62</v>
      </c>
      <c r="G1545">
        <v>0</v>
      </c>
      <c r="H1545">
        <v>40</v>
      </c>
      <c r="I1545">
        <v>333</v>
      </c>
      <c r="J1545">
        <v>1</v>
      </c>
      <c r="K1545">
        <v>39</v>
      </c>
      <c r="L1545">
        <v>332</v>
      </c>
      <c r="M1545">
        <v>1</v>
      </c>
      <c r="N1545">
        <v>5.0952299999999998E-144</v>
      </c>
      <c r="O1545">
        <v>1307</v>
      </c>
    </row>
    <row r="1546" spans="1:15" x14ac:dyDescent="0.25">
      <c r="A1546" t="s">
        <v>1559</v>
      </c>
      <c r="B1546">
        <v>752</v>
      </c>
      <c r="C1546" s="1" t="str">
        <f>HYPERLINK("http://www.rosaceae.org/gb/gbrowse/malus_x_domestica/?name=MDP0000910032","MDP0000910032")</f>
        <v>MDP0000910032</v>
      </c>
      <c r="D1546">
        <v>85.62</v>
      </c>
      <c r="E1546">
        <v>675</v>
      </c>
      <c r="F1546">
        <v>97</v>
      </c>
      <c r="G1546">
        <v>7</v>
      </c>
      <c r="H1546">
        <v>81</v>
      </c>
      <c r="I1546">
        <v>752</v>
      </c>
      <c r="J1546">
        <v>1</v>
      </c>
      <c r="K1546">
        <v>42</v>
      </c>
      <c r="L1546">
        <v>712</v>
      </c>
      <c r="M1546">
        <v>1</v>
      </c>
      <c r="N1546">
        <v>0</v>
      </c>
      <c r="O1546">
        <v>2991</v>
      </c>
    </row>
    <row r="1547" spans="1:15" x14ac:dyDescent="0.25">
      <c r="A1547" t="s">
        <v>1560</v>
      </c>
      <c r="B1547">
        <v>108</v>
      </c>
      <c r="C1547" s="1" t="str">
        <f>HYPERLINK("http://www.rosaceae.org/gb/gbrowse/malus_x_domestica/?name=MDP0000851479","MDP0000851479")</f>
        <v>MDP0000851479</v>
      </c>
      <c r="D1547">
        <v>40.770000000000003</v>
      </c>
      <c r="E1547">
        <v>103</v>
      </c>
      <c r="F1547">
        <v>61</v>
      </c>
      <c r="G1547">
        <v>28</v>
      </c>
      <c r="H1547">
        <v>32</v>
      </c>
      <c r="I1547">
        <v>108</v>
      </c>
      <c r="J1547">
        <v>1</v>
      </c>
      <c r="K1547">
        <v>44</v>
      </c>
      <c r="L1547">
        <v>144</v>
      </c>
      <c r="M1547">
        <v>1</v>
      </c>
      <c r="N1547">
        <v>3.37152E-9</v>
      </c>
      <c r="O1547">
        <v>137</v>
      </c>
    </row>
    <row r="1548" spans="1:15" x14ac:dyDescent="0.25">
      <c r="A1548" t="s">
        <v>1561</v>
      </c>
      <c r="B1548">
        <v>361</v>
      </c>
      <c r="C1548" s="1" t="str">
        <f>HYPERLINK("http://www.rosaceae.org/gb/gbrowse/malus_x_domestica/?name=MDP0000318352","MDP0000318352")</f>
        <v>MDP0000318352</v>
      </c>
      <c r="D1548">
        <v>54.05</v>
      </c>
      <c r="E1548">
        <v>111</v>
      </c>
      <c r="F1548">
        <v>51</v>
      </c>
      <c r="G1548">
        <v>30</v>
      </c>
      <c r="H1548">
        <v>59</v>
      </c>
      <c r="I1548">
        <v>139</v>
      </c>
      <c r="J1548">
        <v>1</v>
      </c>
      <c r="K1548">
        <v>340</v>
      </c>
      <c r="L1548">
        <v>450</v>
      </c>
      <c r="M1548">
        <v>1</v>
      </c>
      <c r="N1548">
        <v>2.0873600000000001E-25</v>
      </c>
      <c r="O1548">
        <v>284</v>
      </c>
    </row>
    <row r="1549" spans="1:15" x14ac:dyDescent="0.25">
      <c r="A1549" t="s">
        <v>1562</v>
      </c>
      <c r="B1549">
        <v>872</v>
      </c>
      <c r="C1549" s="1" t="str">
        <f>HYPERLINK("http://www.rosaceae.org/gb/gbrowse/malus_x_domestica/?name=MDP0000772366","MDP0000772366")</f>
        <v>MDP0000772366</v>
      </c>
      <c r="D1549">
        <v>84.39</v>
      </c>
      <c r="E1549">
        <v>801</v>
      </c>
      <c r="F1549">
        <v>125</v>
      </c>
      <c r="G1549">
        <v>3</v>
      </c>
      <c r="H1549">
        <v>69</v>
      </c>
      <c r="I1549">
        <v>869</v>
      </c>
      <c r="J1549">
        <v>1</v>
      </c>
      <c r="K1549">
        <v>22</v>
      </c>
      <c r="L1549">
        <v>819</v>
      </c>
      <c r="M1549">
        <v>1</v>
      </c>
      <c r="N1549">
        <v>0</v>
      </c>
      <c r="O1549">
        <v>3697</v>
      </c>
    </row>
    <row r="1550" spans="1:15" x14ac:dyDescent="0.25">
      <c r="A1550" t="s">
        <v>1563</v>
      </c>
      <c r="B1550">
        <v>156</v>
      </c>
      <c r="C1550" s="1" t="str">
        <f>HYPERLINK("http://www.rosaceae.org/gb/gbrowse/malus_x_domestica/?name=MDP0000638489","MDP0000638489")</f>
        <v>MDP0000638489</v>
      </c>
      <c r="D1550">
        <v>83.94</v>
      </c>
      <c r="E1550">
        <v>137</v>
      </c>
      <c r="F1550">
        <v>22</v>
      </c>
      <c r="G1550">
        <v>0</v>
      </c>
      <c r="H1550">
        <v>18</v>
      </c>
      <c r="I1550">
        <v>154</v>
      </c>
      <c r="J1550">
        <v>1</v>
      </c>
      <c r="K1550">
        <v>18</v>
      </c>
      <c r="L1550">
        <v>154</v>
      </c>
      <c r="M1550">
        <v>1</v>
      </c>
      <c r="N1550">
        <v>2.0387899999999999E-63</v>
      </c>
      <c r="O1550">
        <v>607</v>
      </c>
    </row>
    <row r="1551" spans="1:15" x14ac:dyDescent="0.25">
      <c r="A1551" t="s">
        <v>1564</v>
      </c>
      <c r="B1551">
        <v>2032</v>
      </c>
      <c r="C1551" s="1" t="str">
        <f>HYPERLINK("http://www.rosaceae.org/gb/gbrowse/malus_x_domestica/?name=MDP0000301275","MDP0000301275")</f>
        <v>MDP0000301275</v>
      </c>
      <c r="D1551">
        <v>78.53</v>
      </c>
      <c r="E1551">
        <v>1780</v>
      </c>
      <c r="F1551">
        <v>382</v>
      </c>
      <c r="G1551">
        <v>36</v>
      </c>
      <c r="H1551">
        <v>256</v>
      </c>
      <c r="I1551">
        <v>2032</v>
      </c>
      <c r="J1551">
        <v>1</v>
      </c>
      <c r="K1551">
        <v>141</v>
      </c>
      <c r="L1551">
        <v>1887</v>
      </c>
      <c r="M1551">
        <v>1</v>
      </c>
      <c r="N1551">
        <v>0</v>
      </c>
      <c r="O1551">
        <v>7046</v>
      </c>
    </row>
    <row r="1552" spans="1:15" x14ac:dyDescent="0.25">
      <c r="A1552" t="s">
        <v>1565</v>
      </c>
      <c r="B1552">
        <v>303</v>
      </c>
      <c r="C1552" s="1" t="str">
        <f>HYPERLINK("http://www.rosaceae.org/gb/gbrowse/malus_x_domestica/?name=MDP0000215630","MDP0000215630")</f>
        <v>MDP0000215630</v>
      </c>
      <c r="D1552">
        <v>67.760000000000005</v>
      </c>
      <c r="E1552">
        <v>304</v>
      </c>
      <c r="F1552">
        <v>98</v>
      </c>
      <c r="G1552">
        <v>40</v>
      </c>
      <c r="H1552">
        <v>1</v>
      </c>
      <c r="I1552">
        <v>303</v>
      </c>
      <c r="J1552">
        <v>1</v>
      </c>
      <c r="K1552">
        <v>1</v>
      </c>
      <c r="L1552">
        <v>265</v>
      </c>
      <c r="M1552">
        <v>1</v>
      </c>
      <c r="N1552">
        <v>3.6732299999999997E-99</v>
      </c>
      <c r="O1552">
        <v>919</v>
      </c>
    </row>
    <row r="1553" spans="1:15" x14ac:dyDescent="0.25">
      <c r="A1553" t="s">
        <v>1566</v>
      </c>
      <c r="B1553">
        <v>215</v>
      </c>
      <c r="C1553" s="1" t="str">
        <f>HYPERLINK("http://www.rosaceae.org/gb/gbrowse/malus_x_domestica/?name=MDP0000145761","MDP0000145761")</f>
        <v>MDP0000145761</v>
      </c>
      <c r="D1553">
        <v>77.5</v>
      </c>
      <c r="E1553">
        <v>200</v>
      </c>
      <c r="F1553">
        <v>45</v>
      </c>
      <c r="G1553">
        <v>6</v>
      </c>
      <c r="H1553">
        <v>18</v>
      </c>
      <c r="I1553">
        <v>215</v>
      </c>
      <c r="J1553">
        <v>1</v>
      </c>
      <c r="K1553">
        <v>16</v>
      </c>
      <c r="L1553">
        <v>211</v>
      </c>
      <c r="M1553">
        <v>1</v>
      </c>
      <c r="N1553">
        <v>1.1146199999999999E-82</v>
      </c>
      <c r="O1553">
        <v>775</v>
      </c>
    </row>
    <row r="1554" spans="1:15" x14ac:dyDescent="0.25">
      <c r="A1554" t="s">
        <v>1567</v>
      </c>
      <c r="B1554">
        <v>343</v>
      </c>
      <c r="C1554" s="1" t="str">
        <f>HYPERLINK("http://www.rosaceae.org/gb/gbrowse/malus_x_domestica/?name=MDP0000124008","MDP0000124008")</f>
        <v>MDP0000124008</v>
      </c>
      <c r="D1554">
        <v>31.72</v>
      </c>
      <c r="E1554">
        <v>290</v>
      </c>
      <c r="F1554">
        <v>198</v>
      </c>
      <c r="G1554">
        <v>25</v>
      </c>
      <c r="H1554">
        <v>62</v>
      </c>
      <c r="I1554">
        <v>343</v>
      </c>
      <c r="J1554">
        <v>1</v>
      </c>
      <c r="K1554">
        <v>2</v>
      </c>
      <c r="L1554">
        <v>274</v>
      </c>
      <c r="M1554">
        <v>1</v>
      </c>
      <c r="N1554">
        <v>2.1657899999999999E-19</v>
      </c>
      <c r="O1554">
        <v>232</v>
      </c>
    </row>
    <row r="1555" spans="1:15" x14ac:dyDescent="0.25">
      <c r="A1555" t="s">
        <v>1568</v>
      </c>
      <c r="B1555">
        <v>328</v>
      </c>
      <c r="C1555" s="1" t="str">
        <f>HYPERLINK("http://www.rosaceae.org/gb/gbrowse/malus_x_domestica/?name=MDP0000277688","MDP0000277688")</f>
        <v>MDP0000277688</v>
      </c>
      <c r="D1555">
        <v>48.71</v>
      </c>
      <c r="E1555">
        <v>351</v>
      </c>
      <c r="F1555">
        <v>180</v>
      </c>
      <c r="G1555">
        <v>64</v>
      </c>
      <c r="H1555">
        <v>34</v>
      </c>
      <c r="I1555">
        <v>320</v>
      </c>
      <c r="J1555">
        <v>1</v>
      </c>
      <c r="K1555">
        <v>14</v>
      </c>
      <c r="L1555">
        <v>364</v>
      </c>
      <c r="M1555">
        <v>1</v>
      </c>
      <c r="N1555">
        <v>9.5754099999999995E-79</v>
      </c>
      <c r="O1555">
        <v>744</v>
      </c>
    </row>
    <row r="1556" spans="1:15" x14ac:dyDescent="0.25">
      <c r="A1556" t="s">
        <v>1569</v>
      </c>
      <c r="B1556">
        <v>372</v>
      </c>
      <c r="C1556" s="1" t="str">
        <f>HYPERLINK("http://www.rosaceae.org/gb/gbrowse/malus_x_domestica/?name=MDP0000167786","MDP0000167786")</f>
        <v>MDP0000167786</v>
      </c>
      <c r="D1556">
        <v>61.57</v>
      </c>
      <c r="E1556">
        <v>393</v>
      </c>
      <c r="F1556">
        <v>151</v>
      </c>
      <c r="G1556">
        <v>35</v>
      </c>
      <c r="H1556">
        <v>1</v>
      </c>
      <c r="I1556">
        <v>372</v>
      </c>
      <c r="J1556">
        <v>1</v>
      </c>
      <c r="K1556">
        <v>1</v>
      </c>
      <c r="L1556">
        <v>379</v>
      </c>
      <c r="M1556">
        <v>1</v>
      </c>
      <c r="N1556">
        <v>5.6606799999999997E-125</v>
      </c>
      <c r="O1556">
        <v>1143</v>
      </c>
    </row>
    <row r="1557" spans="1:15" x14ac:dyDescent="0.25">
      <c r="A1557" t="s">
        <v>1570</v>
      </c>
      <c r="B1557">
        <v>580</v>
      </c>
      <c r="C1557" s="1" t="str">
        <f>HYPERLINK("http://www.rosaceae.org/gb/gbrowse/malus_x_domestica/?name=MDP0000482907","MDP0000482907")</f>
        <v>MDP0000482907</v>
      </c>
      <c r="D1557">
        <v>36.85</v>
      </c>
      <c r="E1557">
        <v>426</v>
      </c>
      <c r="F1557">
        <v>269</v>
      </c>
      <c r="G1557">
        <v>49</v>
      </c>
      <c r="H1557">
        <v>75</v>
      </c>
      <c r="I1557">
        <v>488</v>
      </c>
      <c r="J1557">
        <v>1</v>
      </c>
      <c r="K1557">
        <v>7</v>
      </c>
      <c r="L1557">
        <v>395</v>
      </c>
      <c r="M1557">
        <v>1</v>
      </c>
      <c r="N1557">
        <v>1.04747E-51</v>
      </c>
      <c r="O1557">
        <v>513</v>
      </c>
    </row>
    <row r="1558" spans="1:15" x14ac:dyDescent="0.25">
      <c r="A1558" t="s">
        <v>1571</v>
      </c>
      <c r="B1558">
        <v>813</v>
      </c>
      <c r="C1558" s="1" t="str">
        <f>HYPERLINK("http://www.rosaceae.org/gb/gbrowse/malus_x_domestica/?name=MDP0000304263","MDP0000304263")</f>
        <v>MDP0000304263</v>
      </c>
      <c r="D1558">
        <v>48.92</v>
      </c>
      <c r="E1558">
        <v>883</v>
      </c>
      <c r="F1558">
        <v>451</v>
      </c>
      <c r="G1558">
        <v>121</v>
      </c>
      <c r="H1558">
        <v>35</v>
      </c>
      <c r="I1558">
        <v>813</v>
      </c>
      <c r="J1558">
        <v>1</v>
      </c>
      <c r="K1558">
        <v>30</v>
      </c>
      <c r="L1558">
        <v>895</v>
      </c>
      <c r="M1558">
        <v>1</v>
      </c>
      <c r="N1558">
        <v>0</v>
      </c>
      <c r="O1558">
        <v>1768</v>
      </c>
    </row>
    <row r="1559" spans="1:15" x14ac:dyDescent="0.25">
      <c r="A1559" t="s">
        <v>1572</v>
      </c>
      <c r="B1559">
        <v>701</v>
      </c>
      <c r="C1559" s="1" t="str">
        <f>HYPERLINK("http://www.rosaceae.org/gb/gbrowse/malus_x_domestica/?name=MDP0000378930","MDP0000378930")</f>
        <v>MDP0000378930</v>
      </c>
      <c r="D1559">
        <v>38.64</v>
      </c>
      <c r="E1559">
        <v>383</v>
      </c>
      <c r="F1559">
        <v>235</v>
      </c>
      <c r="G1559">
        <v>38</v>
      </c>
      <c r="H1559">
        <v>19</v>
      </c>
      <c r="I1559">
        <v>393</v>
      </c>
      <c r="J1559">
        <v>1</v>
      </c>
      <c r="K1559">
        <v>5</v>
      </c>
      <c r="L1559">
        <v>357</v>
      </c>
      <c r="M1559">
        <v>1</v>
      </c>
      <c r="N1559">
        <v>1.6326100000000001E-67</v>
      </c>
      <c r="O1559">
        <v>650</v>
      </c>
    </row>
    <row r="1560" spans="1:15" x14ac:dyDescent="0.25">
      <c r="A1560" t="s">
        <v>1573</v>
      </c>
      <c r="B1560">
        <v>393</v>
      </c>
      <c r="C1560" s="1" t="str">
        <f>HYPERLINK("http://www.rosaceae.org/gb/gbrowse/malus_x_domestica/?name=MDP0000632138","MDP0000632138")</f>
        <v>MDP0000632138</v>
      </c>
      <c r="D1560">
        <v>25.24</v>
      </c>
      <c r="E1560">
        <v>305</v>
      </c>
      <c r="F1560">
        <v>228</v>
      </c>
      <c r="G1560">
        <v>37</v>
      </c>
      <c r="H1560">
        <v>47</v>
      </c>
      <c r="I1560">
        <v>327</v>
      </c>
      <c r="J1560">
        <v>1</v>
      </c>
      <c r="K1560">
        <v>11</v>
      </c>
      <c r="L1560">
        <v>302</v>
      </c>
      <c r="M1560">
        <v>1</v>
      </c>
      <c r="N1560">
        <v>4.37183E-11</v>
      </c>
      <c r="O1560">
        <v>161</v>
      </c>
    </row>
    <row r="1561" spans="1:15" x14ac:dyDescent="0.25">
      <c r="A1561" t="s">
        <v>1574</v>
      </c>
      <c r="B1561">
        <v>212</v>
      </c>
      <c r="C1561" s="1" t="str">
        <f>HYPERLINK("http://www.rosaceae.org/gb/gbrowse/malus_x_domestica/?name=MDP0000657861","MDP0000657861")</f>
        <v>MDP0000657861</v>
      </c>
      <c r="D1561">
        <v>68.39</v>
      </c>
      <c r="E1561">
        <v>212</v>
      </c>
      <c r="F1561">
        <v>67</v>
      </c>
      <c r="G1561">
        <v>1</v>
      </c>
      <c r="H1561">
        <v>1</v>
      </c>
      <c r="I1561">
        <v>212</v>
      </c>
      <c r="J1561">
        <v>1</v>
      </c>
      <c r="K1561">
        <v>1</v>
      </c>
      <c r="L1561">
        <v>211</v>
      </c>
      <c r="M1561">
        <v>1</v>
      </c>
      <c r="N1561">
        <v>3.8629299999999999E-79</v>
      </c>
      <c r="O1561">
        <v>744</v>
      </c>
    </row>
    <row r="1562" spans="1:15" x14ac:dyDescent="0.25">
      <c r="A1562" t="s">
        <v>1575</v>
      </c>
      <c r="B1562">
        <v>570</v>
      </c>
      <c r="C1562" s="1" t="str">
        <f>HYPERLINK("http://www.rosaceae.org/gb/gbrowse/malus_x_domestica/?name=MDP0000298345","MDP0000298345")</f>
        <v>MDP0000298345</v>
      </c>
      <c r="D1562">
        <v>29.42</v>
      </c>
      <c r="E1562">
        <v>452</v>
      </c>
      <c r="F1562">
        <v>319</v>
      </c>
      <c r="G1562">
        <v>70</v>
      </c>
      <c r="H1562">
        <v>65</v>
      </c>
      <c r="I1562">
        <v>486</v>
      </c>
      <c r="J1562">
        <v>1</v>
      </c>
      <c r="K1562">
        <v>173</v>
      </c>
      <c r="L1562">
        <v>584</v>
      </c>
      <c r="M1562">
        <v>1</v>
      </c>
      <c r="N1562">
        <v>2.8644100000000001E-47</v>
      </c>
      <c r="O1562">
        <v>475</v>
      </c>
    </row>
    <row r="1563" spans="1:15" x14ac:dyDescent="0.25">
      <c r="A1563" t="s">
        <v>1576</v>
      </c>
      <c r="B1563">
        <v>550</v>
      </c>
      <c r="C1563" s="1" t="str">
        <f>HYPERLINK("http://www.rosaceae.org/gb/gbrowse/malus_x_domestica/?name=MDP0000829384","MDP0000829384")</f>
        <v>MDP0000829384</v>
      </c>
      <c r="D1563">
        <v>67.39</v>
      </c>
      <c r="E1563">
        <v>546</v>
      </c>
      <c r="F1563">
        <v>178</v>
      </c>
      <c r="G1563">
        <v>17</v>
      </c>
      <c r="H1563">
        <v>1</v>
      </c>
      <c r="I1563">
        <v>532</v>
      </c>
      <c r="J1563">
        <v>1</v>
      </c>
      <c r="K1563">
        <v>1</v>
      </c>
      <c r="L1563">
        <v>543</v>
      </c>
      <c r="M1563">
        <v>1</v>
      </c>
      <c r="N1563">
        <v>0</v>
      </c>
      <c r="O1563">
        <v>1812</v>
      </c>
    </row>
    <row r="1564" spans="1:15" x14ac:dyDescent="0.25">
      <c r="A1564" t="s">
        <v>1577</v>
      </c>
      <c r="B1564">
        <v>214</v>
      </c>
      <c r="C1564" s="1" t="str">
        <f>HYPERLINK("http://www.rosaceae.org/gb/gbrowse/malus_x_domestica/?name=MDP0000144597","MDP0000144597")</f>
        <v>MDP0000144597</v>
      </c>
      <c r="D1564">
        <v>50.59</v>
      </c>
      <c r="E1564">
        <v>251</v>
      </c>
      <c r="F1564">
        <v>124</v>
      </c>
      <c r="G1564">
        <v>47</v>
      </c>
      <c r="H1564">
        <v>9</v>
      </c>
      <c r="I1564">
        <v>212</v>
      </c>
      <c r="J1564">
        <v>1</v>
      </c>
      <c r="K1564">
        <v>1</v>
      </c>
      <c r="L1564">
        <v>251</v>
      </c>
      <c r="M1564">
        <v>1</v>
      </c>
      <c r="N1564">
        <v>4.3718399999999997E-58</v>
      </c>
      <c r="O1564">
        <v>563</v>
      </c>
    </row>
    <row r="1565" spans="1:15" x14ac:dyDescent="0.25">
      <c r="A1565" t="s">
        <v>1578</v>
      </c>
      <c r="B1565">
        <v>604</v>
      </c>
      <c r="C1565" s="1" t="str">
        <f>HYPERLINK("http://www.rosaceae.org/gb/gbrowse/malus_x_domestica/?name=MDP0000446336","MDP0000446336")</f>
        <v>MDP0000446336</v>
      </c>
      <c r="D1565">
        <v>56.52</v>
      </c>
      <c r="E1565">
        <v>207</v>
      </c>
      <c r="F1565">
        <v>90</v>
      </c>
      <c r="G1565">
        <v>6</v>
      </c>
      <c r="H1565">
        <v>400</v>
      </c>
      <c r="I1565">
        <v>604</v>
      </c>
      <c r="J1565">
        <v>1</v>
      </c>
      <c r="K1565">
        <v>129</v>
      </c>
      <c r="L1565">
        <v>331</v>
      </c>
      <c r="M1565">
        <v>1</v>
      </c>
      <c r="N1565">
        <v>1.6544599999999999E-56</v>
      </c>
      <c r="O1565">
        <v>555</v>
      </c>
    </row>
    <row r="1566" spans="1:15" x14ac:dyDescent="0.25">
      <c r="A1566" t="s">
        <v>1579</v>
      </c>
      <c r="B1566">
        <v>214</v>
      </c>
      <c r="C1566" s="1" t="str">
        <f>HYPERLINK("http://www.rosaceae.org/gb/gbrowse/malus_x_domestica/?name=MDP0000252894","MDP0000252894")</f>
        <v>MDP0000252894</v>
      </c>
      <c r="D1566">
        <v>77.61</v>
      </c>
      <c r="E1566">
        <v>201</v>
      </c>
      <c r="F1566">
        <v>45</v>
      </c>
      <c r="G1566">
        <v>3</v>
      </c>
      <c r="H1566">
        <v>15</v>
      </c>
      <c r="I1566">
        <v>214</v>
      </c>
      <c r="J1566">
        <v>1</v>
      </c>
      <c r="K1566">
        <v>154</v>
      </c>
      <c r="L1566">
        <v>352</v>
      </c>
      <c r="M1566">
        <v>1</v>
      </c>
      <c r="N1566">
        <v>7.27875E-84</v>
      </c>
      <c r="O1566">
        <v>785</v>
      </c>
    </row>
    <row r="1567" spans="1:15" x14ac:dyDescent="0.25">
      <c r="A1567" t="s">
        <v>1580</v>
      </c>
      <c r="B1567">
        <v>82</v>
      </c>
      <c r="C1567" s="1" t="str">
        <f>HYPERLINK("http://www.rosaceae.org/gb/gbrowse/malus_x_domestica/?name=MDP0000288621","MDP0000288621")</f>
        <v>MDP0000288621</v>
      </c>
      <c r="D1567">
        <v>80.849999999999994</v>
      </c>
      <c r="E1567">
        <v>47</v>
      </c>
      <c r="F1567">
        <v>9</v>
      </c>
      <c r="G1567">
        <v>0</v>
      </c>
      <c r="H1567">
        <v>33</v>
      </c>
      <c r="I1567">
        <v>79</v>
      </c>
      <c r="J1567">
        <v>1</v>
      </c>
      <c r="K1567">
        <v>94</v>
      </c>
      <c r="L1567">
        <v>140</v>
      </c>
      <c r="M1567">
        <v>1</v>
      </c>
      <c r="N1567">
        <v>9.0337600000000003E-16</v>
      </c>
      <c r="O1567">
        <v>193</v>
      </c>
    </row>
    <row r="1568" spans="1:15" x14ac:dyDescent="0.25">
      <c r="A1568" t="s">
        <v>1581</v>
      </c>
      <c r="B1568">
        <v>471</v>
      </c>
      <c r="C1568" s="1" t="str">
        <f>HYPERLINK("http://www.rosaceae.org/gb/gbrowse/malus_x_domestica/?name=MDP0000258953","MDP0000258953")</f>
        <v>MDP0000258953</v>
      </c>
      <c r="D1568">
        <v>85.82</v>
      </c>
      <c r="E1568">
        <v>254</v>
      </c>
      <c r="F1568">
        <v>36</v>
      </c>
      <c r="G1568">
        <v>0</v>
      </c>
      <c r="H1568">
        <v>1</v>
      </c>
      <c r="I1568">
        <v>254</v>
      </c>
      <c r="J1568">
        <v>1</v>
      </c>
      <c r="K1568">
        <v>1</v>
      </c>
      <c r="L1568">
        <v>254</v>
      </c>
      <c r="M1568">
        <v>1</v>
      </c>
      <c r="N1568">
        <v>4.9632900000000005E-125</v>
      </c>
      <c r="O1568">
        <v>1144</v>
      </c>
    </row>
    <row r="1569" spans="1:15" x14ac:dyDescent="0.25">
      <c r="A1569" t="s">
        <v>1582</v>
      </c>
      <c r="B1569">
        <v>344</v>
      </c>
      <c r="C1569" s="1" t="str">
        <f>HYPERLINK("http://www.rosaceae.org/gb/gbrowse/malus_x_domestica/?name=MDP0000250849","MDP0000250849")</f>
        <v>MDP0000250849</v>
      </c>
      <c r="D1569">
        <v>83.88</v>
      </c>
      <c r="E1569">
        <v>335</v>
      </c>
      <c r="F1569">
        <v>54</v>
      </c>
      <c r="G1569">
        <v>0</v>
      </c>
      <c r="H1569">
        <v>1</v>
      </c>
      <c r="I1569">
        <v>335</v>
      </c>
      <c r="J1569">
        <v>1</v>
      </c>
      <c r="K1569">
        <v>575</v>
      </c>
      <c r="L1569">
        <v>909</v>
      </c>
      <c r="M1569">
        <v>1</v>
      </c>
      <c r="N1569">
        <v>5.2227600000000003E-163</v>
      </c>
      <c r="O1569">
        <v>1470</v>
      </c>
    </row>
    <row r="1570" spans="1:15" x14ac:dyDescent="0.25">
      <c r="A1570" t="s">
        <v>1583</v>
      </c>
      <c r="B1570">
        <v>206</v>
      </c>
      <c r="C1570" s="1" t="str">
        <f>HYPERLINK("http://www.rosaceae.org/gb/gbrowse/malus_x_domestica/?name=MDP0000141181","MDP0000141181")</f>
        <v>MDP0000141181</v>
      </c>
      <c r="D1570">
        <v>60.89</v>
      </c>
      <c r="E1570">
        <v>156</v>
      </c>
      <c r="F1570">
        <v>61</v>
      </c>
      <c r="G1570">
        <v>2</v>
      </c>
      <c r="H1570">
        <v>52</v>
      </c>
      <c r="I1570">
        <v>205</v>
      </c>
      <c r="J1570">
        <v>1</v>
      </c>
      <c r="K1570">
        <v>52</v>
      </c>
      <c r="L1570">
        <v>207</v>
      </c>
      <c r="M1570">
        <v>1</v>
      </c>
      <c r="N1570">
        <v>3.0445999999999999E-50</v>
      </c>
      <c r="O1570">
        <v>495</v>
      </c>
    </row>
    <row r="1571" spans="1:15" x14ac:dyDescent="0.25">
      <c r="A1571" t="s">
        <v>1584</v>
      </c>
      <c r="B1571">
        <v>249</v>
      </c>
      <c r="C1571" s="1" t="str">
        <f>HYPERLINK("http://www.rosaceae.org/gb/gbrowse/malus_x_domestica/?name=MDP0000188477","MDP0000188477")</f>
        <v>MDP0000188477</v>
      </c>
      <c r="D1571">
        <v>66.39</v>
      </c>
      <c r="E1571">
        <v>247</v>
      </c>
      <c r="F1571">
        <v>83</v>
      </c>
      <c r="G1571">
        <v>46</v>
      </c>
      <c r="H1571">
        <v>1</v>
      </c>
      <c r="I1571">
        <v>204</v>
      </c>
      <c r="J1571">
        <v>1</v>
      </c>
      <c r="K1571">
        <v>274</v>
      </c>
      <c r="L1571">
        <v>517</v>
      </c>
      <c r="M1571">
        <v>1</v>
      </c>
      <c r="N1571">
        <v>6.88822E-83</v>
      </c>
      <c r="O1571">
        <v>778</v>
      </c>
    </row>
    <row r="1572" spans="1:15" x14ac:dyDescent="0.25">
      <c r="A1572" t="s">
        <v>1585</v>
      </c>
      <c r="B1572">
        <v>430</v>
      </c>
      <c r="C1572" s="1" t="str">
        <f>HYPERLINK("http://www.rosaceae.org/gb/gbrowse/malus_x_domestica/?name=MDP0000188175","MDP0000188175")</f>
        <v>MDP0000188175</v>
      </c>
      <c r="D1572">
        <v>33.700000000000003</v>
      </c>
      <c r="E1572">
        <v>445</v>
      </c>
      <c r="F1572">
        <v>295</v>
      </c>
      <c r="G1572">
        <v>26</v>
      </c>
      <c r="H1572">
        <v>1</v>
      </c>
      <c r="I1572">
        <v>428</v>
      </c>
      <c r="J1572">
        <v>1</v>
      </c>
      <c r="K1572">
        <v>10</v>
      </c>
      <c r="L1572">
        <v>445</v>
      </c>
      <c r="M1572">
        <v>1</v>
      </c>
      <c r="N1572">
        <v>3.1376000000000001E-52</v>
      </c>
      <c r="O1572">
        <v>516</v>
      </c>
    </row>
    <row r="1573" spans="1:15" x14ac:dyDescent="0.25">
      <c r="A1573" t="s">
        <v>1586</v>
      </c>
      <c r="B1573">
        <v>180</v>
      </c>
      <c r="C1573" s="1" t="str">
        <f>HYPERLINK("http://www.rosaceae.org/gb/gbrowse/malus_x_domestica/?name=MDP0000150438","MDP0000150438")</f>
        <v>MDP0000150438</v>
      </c>
      <c r="D1573">
        <v>39.020000000000003</v>
      </c>
      <c r="E1573">
        <v>164</v>
      </c>
      <c r="F1573">
        <v>100</v>
      </c>
      <c r="G1573">
        <v>16</v>
      </c>
      <c r="H1573">
        <v>4</v>
      </c>
      <c r="I1573">
        <v>160</v>
      </c>
      <c r="J1573">
        <v>1</v>
      </c>
      <c r="K1573">
        <v>200</v>
      </c>
      <c r="L1573">
        <v>354</v>
      </c>
      <c r="M1573">
        <v>1</v>
      </c>
      <c r="N1573">
        <v>5.3908799999999999E-20</v>
      </c>
      <c r="O1573">
        <v>233</v>
      </c>
    </row>
    <row r="1574" spans="1:15" x14ac:dyDescent="0.25">
      <c r="A1574" t="s">
        <v>1587</v>
      </c>
      <c r="B1574">
        <v>436</v>
      </c>
      <c r="C1574" s="1" t="str">
        <f>HYPERLINK("http://www.rosaceae.org/gb/gbrowse/malus_x_domestica/?name=MDP0000259212","MDP0000259212")</f>
        <v>MDP0000259212</v>
      </c>
      <c r="D1574">
        <v>67.510000000000005</v>
      </c>
      <c r="E1574">
        <v>434</v>
      </c>
      <c r="F1574">
        <v>141</v>
      </c>
      <c r="G1574">
        <v>30</v>
      </c>
      <c r="H1574">
        <v>8</v>
      </c>
      <c r="I1574">
        <v>417</v>
      </c>
      <c r="J1574">
        <v>1</v>
      </c>
      <c r="K1574">
        <v>3</v>
      </c>
      <c r="L1574">
        <v>430</v>
      </c>
      <c r="M1574">
        <v>1</v>
      </c>
      <c r="N1574">
        <v>5.8985300000000003E-154</v>
      </c>
      <c r="O1574">
        <v>1394</v>
      </c>
    </row>
    <row r="1575" spans="1:15" x14ac:dyDescent="0.25">
      <c r="A1575" t="s">
        <v>1588</v>
      </c>
      <c r="B1575">
        <v>694</v>
      </c>
      <c r="C1575" s="1" t="str">
        <f>HYPERLINK("http://www.rosaceae.org/gb/gbrowse/malus_x_domestica/?name=MDP0000943643","MDP0000943643")</f>
        <v>MDP0000943643</v>
      </c>
      <c r="D1575">
        <v>78.62</v>
      </c>
      <c r="E1575">
        <v>421</v>
      </c>
      <c r="F1575">
        <v>90</v>
      </c>
      <c r="G1575">
        <v>1</v>
      </c>
      <c r="H1575">
        <v>1</v>
      </c>
      <c r="I1575">
        <v>421</v>
      </c>
      <c r="J1575">
        <v>1</v>
      </c>
      <c r="K1575">
        <v>1</v>
      </c>
      <c r="L1575">
        <v>420</v>
      </c>
      <c r="M1575">
        <v>1</v>
      </c>
      <c r="N1575">
        <v>0</v>
      </c>
      <c r="O1575">
        <v>1788</v>
      </c>
    </row>
    <row r="1576" spans="1:15" x14ac:dyDescent="0.25">
      <c r="A1576" t="s">
        <v>1589</v>
      </c>
      <c r="B1576">
        <v>1393</v>
      </c>
      <c r="C1576" s="1" t="str">
        <f>HYPERLINK("http://www.rosaceae.org/gb/gbrowse/malus_x_domestica/?name=MDP0000217406","MDP0000217406")</f>
        <v>MDP0000217406</v>
      </c>
      <c r="D1576">
        <v>58.61</v>
      </c>
      <c r="E1576">
        <v>1433</v>
      </c>
      <c r="F1576">
        <v>593</v>
      </c>
      <c r="G1576">
        <v>98</v>
      </c>
      <c r="H1576">
        <v>1</v>
      </c>
      <c r="I1576">
        <v>1393</v>
      </c>
      <c r="J1576">
        <v>1</v>
      </c>
      <c r="K1576">
        <v>1</v>
      </c>
      <c r="L1576">
        <v>1375</v>
      </c>
      <c r="M1576">
        <v>1</v>
      </c>
      <c r="N1576">
        <v>0</v>
      </c>
      <c r="O1576">
        <v>3859</v>
      </c>
    </row>
    <row r="1577" spans="1:15" x14ac:dyDescent="0.25">
      <c r="A1577" t="s">
        <v>1590</v>
      </c>
      <c r="B1577">
        <v>367</v>
      </c>
      <c r="C1577" s="1" t="str">
        <f>HYPERLINK("http://www.rosaceae.org/gb/gbrowse/malus_x_domestica/?name=MDP0000314371","MDP0000314371")</f>
        <v>MDP0000314371</v>
      </c>
      <c r="D1577">
        <v>31.74</v>
      </c>
      <c r="E1577">
        <v>315</v>
      </c>
      <c r="F1577">
        <v>215</v>
      </c>
      <c r="G1577">
        <v>44</v>
      </c>
      <c r="H1577">
        <v>7</v>
      </c>
      <c r="I1577">
        <v>301</v>
      </c>
      <c r="J1577">
        <v>1</v>
      </c>
      <c r="K1577">
        <v>6</v>
      </c>
      <c r="L1577">
        <v>296</v>
      </c>
      <c r="M1577">
        <v>1</v>
      </c>
      <c r="N1577">
        <v>8.0387700000000006E-30</v>
      </c>
      <c r="O1577">
        <v>322</v>
      </c>
    </row>
    <row r="1578" spans="1:15" x14ac:dyDescent="0.25">
      <c r="A1578" t="s">
        <v>1591</v>
      </c>
      <c r="B1578">
        <v>526</v>
      </c>
      <c r="C1578" s="1" t="str">
        <f>HYPERLINK("http://www.rosaceae.org/gb/gbrowse/malus_x_domestica/?name=MDP0000951795","MDP0000951795")</f>
        <v>MDP0000951795</v>
      </c>
      <c r="D1578">
        <v>49.51</v>
      </c>
      <c r="E1578">
        <v>519</v>
      </c>
      <c r="F1578">
        <v>262</v>
      </c>
      <c r="G1578">
        <v>45</v>
      </c>
      <c r="H1578">
        <v>5</v>
      </c>
      <c r="I1578">
        <v>516</v>
      </c>
      <c r="J1578">
        <v>1</v>
      </c>
      <c r="K1578">
        <v>6</v>
      </c>
      <c r="L1578">
        <v>486</v>
      </c>
      <c r="M1578">
        <v>1</v>
      </c>
      <c r="N1578">
        <v>7.1849300000000005E-119</v>
      </c>
      <c r="O1578">
        <v>1092</v>
      </c>
    </row>
    <row r="1579" spans="1:15" x14ac:dyDescent="0.25">
      <c r="A1579" t="s">
        <v>1592</v>
      </c>
      <c r="B1579">
        <v>340</v>
      </c>
      <c r="C1579" s="1" t="str">
        <f>HYPERLINK("http://www.rosaceae.org/gb/gbrowse/malus_x_domestica/?name=MDP0000308403","MDP0000308403")</f>
        <v>MDP0000308403</v>
      </c>
      <c r="D1579">
        <v>51.92</v>
      </c>
      <c r="E1579">
        <v>389</v>
      </c>
      <c r="F1579">
        <v>187</v>
      </c>
      <c r="G1579">
        <v>66</v>
      </c>
      <c r="H1579">
        <v>1</v>
      </c>
      <c r="I1579">
        <v>327</v>
      </c>
      <c r="J1579">
        <v>1</v>
      </c>
      <c r="K1579">
        <v>1</v>
      </c>
      <c r="L1579">
        <v>385</v>
      </c>
      <c r="M1579">
        <v>1</v>
      </c>
      <c r="N1579">
        <v>5.3582899999999995E-103</v>
      </c>
      <c r="O1579">
        <v>953</v>
      </c>
    </row>
    <row r="1580" spans="1:15" x14ac:dyDescent="0.25">
      <c r="A1580" t="s">
        <v>1593</v>
      </c>
      <c r="B1580">
        <v>1284</v>
      </c>
      <c r="C1580" s="1" t="str">
        <f>HYPERLINK("http://www.rosaceae.org/gb/gbrowse/malus_x_domestica/?name=MDP0000188563","MDP0000188563")</f>
        <v>MDP0000188563</v>
      </c>
      <c r="D1580">
        <v>54.63</v>
      </c>
      <c r="E1580">
        <v>1014</v>
      </c>
      <c r="F1580">
        <v>460</v>
      </c>
      <c r="G1580">
        <v>143</v>
      </c>
      <c r="H1580">
        <v>56</v>
      </c>
      <c r="I1580">
        <v>998</v>
      </c>
      <c r="J1580">
        <v>1</v>
      </c>
      <c r="K1580">
        <v>11</v>
      </c>
      <c r="L1580">
        <v>952</v>
      </c>
      <c r="M1580">
        <v>1</v>
      </c>
      <c r="N1580">
        <v>0</v>
      </c>
      <c r="O1580">
        <v>2441</v>
      </c>
    </row>
    <row r="1581" spans="1:15" x14ac:dyDescent="0.25">
      <c r="A1581" t="s">
        <v>1594</v>
      </c>
      <c r="B1581">
        <v>646</v>
      </c>
      <c r="C1581" s="1" t="str">
        <f>HYPERLINK("http://www.rosaceae.org/gb/gbrowse/malus_x_domestica/?name=MDP0000199945","MDP0000199945")</f>
        <v>MDP0000199945</v>
      </c>
      <c r="D1581">
        <v>59.44</v>
      </c>
      <c r="E1581">
        <v>572</v>
      </c>
      <c r="F1581">
        <v>232</v>
      </c>
      <c r="G1581">
        <v>22</v>
      </c>
      <c r="H1581">
        <v>23</v>
      </c>
      <c r="I1581">
        <v>578</v>
      </c>
      <c r="J1581">
        <v>1</v>
      </c>
      <c r="K1581">
        <v>23</v>
      </c>
      <c r="L1581">
        <v>588</v>
      </c>
      <c r="M1581">
        <v>1</v>
      </c>
      <c r="N1581">
        <v>1.8121599999999999E-176</v>
      </c>
      <c r="O1581">
        <v>1589</v>
      </c>
    </row>
    <row r="1582" spans="1:15" x14ac:dyDescent="0.25">
      <c r="A1582" t="s">
        <v>1595</v>
      </c>
      <c r="B1582">
        <v>473</v>
      </c>
      <c r="C1582" s="1" t="str">
        <f>HYPERLINK("http://www.rosaceae.org/gb/gbrowse/malus_x_domestica/?name=MDP0000242552","MDP0000242552")</f>
        <v>MDP0000242552</v>
      </c>
      <c r="D1582">
        <v>71.040000000000006</v>
      </c>
      <c r="E1582">
        <v>480</v>
      </c>
      <c r="F1582">
        <v>139</v>
      </c>
      <c r="G1582">
        <v>9</v>
      </c>
      <c r="H1582">
        <v>1</v>
      </c>
      <c r="I1582">
        <v>473</v>
      </c>
      <c r="J1582">
        <v>1</v>
      </c>
      <c r="K1582">
        <v>1</v>
      </c>
      <c r="L1582">
        <v>478</v>
      </c>
      <c r="M1582">
        <v>1</v>
      </c>
      <c r="N1582">
        <v>0</v>
      </c>
      <c r="O1582">
        <v>1804</v>
      </c>
    </row>
    <row r="1583" spans="1:15" x14ac:dyDescent="0.25">
      <c r="A1583" t="s">
        <v>1596</v>
      </c>
      <c r="B1583">
        <v>146</v>
      </c>
      <c r="C1583" s="1" t="str">
        <f>HYPERLINK("http://www.rosaceae.org/gb/gbrowse/malus_x_domestica/?name=MDP0000265523","MDP0000265523")</f>
        <v>MDP0000265523</v>
      </c>
      <c r="D1583">
        <v>84.39</v>
      </c>
      <c r="E1583">
        <v>141</v>
      </c>
      <c r="F1583">
        <v>22</v>
      </c>
      <c r="G1583">
        <v>0</v>
      </c>
      <c r="H1583">
        <v>6</v>
      </c>
      <c r="I1583">
        <v>146</v>
      </c>
      <c r="J1583">
        <v>1</v>
      </c>
      <c r="K1583">
        <v>78</v>
      </c>
      <c r="L1583">
        <v>218</v>
      </c>
      <c r="M1583">
        <v>1</v>
      </c>
      <c r="N1583">
        <v>1.7710299999999999E-68</v>
      </c>
      <c r="O1583">
        <v>650</v>
      </c>
    </row>
    <row r="1584" spans="1:15" x14ac:dyDescent="0.25">
      <c r="A1584" t="s">
        <v>1597</v>
      </c>
      <c r="B1584">
        <v>350</v>
      </c>
      <c r="C1584" s="1" t="str">
        <f>HYPERLINK("http://www.rosaceae.org/gb/gbrowse/malus_x_domestica/?name=MDP0000261959","MDP0000261959")</f>
        <v>MDP0000261959</v>
      </c>
      <c r="D1584">
        <v>43.69</v>
      </c>
      <c r="E1584">
        <v>373</v>
      </c>
      <c r="F1584">
        <v>210</v>
      </c>
      <c r="G1584">
        <v>116</v>
      </c>
      <c r="H1584">
        <v>90</v>
      </c>
      <c r="I1584">
        <v>348</v>
      </c>
      <c r="J1584">
        <v>1</v>
      </c>
      <c r="K1584">
        <v>257</v>
      </c>
      <c r="L1584">
        <v>627</v>
      </c>
      <c r="M1584">
        <v>1</v>
      </c>
      <c r="N1584">
        <v>2.5487600000000001E-75</v>
      </c>
      <c r="O1584">
        <v>714</v>
      </c>
    </row>
    <row r="1585" spans="1:15" x14ac:dyDescent="0.25">
      <c r="A1585" t="s">
        <v>1598</v>
      </c>
      <c r="B1585">
        <v>607</v>
      </c>
      <c r="C1585" s="1" t="str">
        <f>HYPERLINK("http://www.rosaceae.org/gb/gbrowse/malus_x_domestica/?name=MDP0000132186","MDP0000132186")</f>
        <v>MDP0000132186</v>
      </c>
      <c r="D1585">
        <v>65.819999999999993</v>
      </c>
      <c r="E1585">
        <v>717</v>
      </c>
      <c r="F1585">
        <v>245</v>
      </c>
      <c r="G1585">
        <v>115</v>
      </c>
      <c r="H1585">
        <v>3</v>
      </c>
      <c r="I1585">
        <v>607</v>
      </c>
      <c r="J1585">
        <v>1</v>
      </c>
      <c r="K1585">
        <v>2</v>
      </c>
      <c r="L1585">
        <v>715</v>
      </c>
      <c r="M1585">
        <v>1</v>
      </c>
      <c r="N1585">
        <v>0</v>
      </c>
      <c r="O1585">
        <v>2359</v>
      </c>
    </row>
    <row r="1586" spans="1:15" x14ac:dyDescent="0.25">
      <c r="A1586" t="s">
        <v>1599</v>
      </c>
      <c r="B1586">
        <v>290</v>
      </c>
      <c r="C1586" s="1" t="str">
        <f>HYPERLINK("http://www.rosaceae.org/gb/gbrowse/malus_x_domestica/?name=MDP0000755622","MDP0000755622")</f>
        <v>MDP0000755622</v>
      </c>
      <c r="D1586">
        <v>37.020000000000003</v>
      </c>
      <c r="E1586">
        <v>235</v>
      </c>
      <c r="F1586">
        <v>148</v>
      </c>
      <c r="G1586">
        <v>33</v>
      </c>
      <c r="H1586">
        <v>57</v>
      </c>
      <c r="I1586">
        <v>289</v>
      </c>
      <c r="J1586">
        <v>1</v>
      </c>
      <c r="K1586">
        <v>128</v>
      </c>
      <c r="L1586">
        <v>331</v>
      </c>
      <c r="M1586">
        <v>1</v>
      </c>
      <c r="N1586">
        <v>3.3849200000000001E-34</v>
      </c>
      <c r="O1586">
        <v>359</v>
      </c>
    </row>
    <row r="1587" spans="1:15" x14ac:dyDescent="0.25">
      <c r="A1587" t="s">
        <v>1600</v>
      </c>
      <c r="B1587">
        <v>787</v>
      </c>
      <c r="C1587" s="1" t="str">
        <f>HYPERLINK("http://www.rosaceae.org/gb/gbrowse/malus_x_domestica/?name=MDP0000242313","MDP0000242313")</f>
        <v>MDP0000242313</v>
      </c>
      <c r="D1587">
        <v>61.92</v>
      </c>
      <c r="E1587">
        <v>604</v>
      </c>
      <c r="F1587">
        <v>230</v>
      </c>
      <c r="G1587">
        <v>18</v>
      </c>
      <c r="H1587">
        <v>1</v>
      </c>
      <c r="I1587">
        <v>596</v>
      </c>
      <c r="J1587">
        <v>1</v>
      </c>
      <c r="K1587">
        <v>1</v>
      </c>
      <c r="L1587">
        <v>594</v>
      </c>
      <c r="M1587">
        <v>1</v>
      </c>
      <c r="N1587">
        <v>0</v>
      </c>
      <c r="O1587">
        <v>1921</v>
      </c>
    </row>
    <row r="1588" spans="1:15" x14ac:dyDescent="0.25">
      <c r="A1588" t="s">
        <v>1601</v>
      </c>
      <c r="B1588">
        <v>509</v>
      </c>
      <c r="C1588" s="1" t="str">
        <f>HYPERLINK("http://www.rosaceae.org/gb/gbrowse/malus_x_domestica/?name=MDP0000216187","MDP0000216187")</f>
        <v>MDP0000216187</v>
      </c>
      <c r="D1588">
        <v>77.77</v>
      </c>
      <c r="E1588">
        <v>468</v>
      </c>
      <c r="F1588">
        <v>104</v>
      </c>
      <c r="G1588">
        <v>5</v>
      </c>
      <c r="H1588">
        <v>46</v>
      </c>
      <c r="I1588">
        <v>509</v>
      </c>
      <c r="J1588">
        <v>1</v>
      </c>
      <c r="K1588">
        <v>122</v>
      </c>
      <c r="L1588">
        <v>588</v>
      </c>
      <c r="M1588">
        <v>1</v>
      </c>
      <c r="N1588">
        <v>0</v>
      </c>
      <c r="O1588">
        <v>1987</v>
      </c>
    </row>
    <row r="1589" spans="1:15" x14ac:dyDescent="0.25">
      <c r="A1589" t="s">
        <v>1602</v>
      </c>
      <c r="B1589">
        <v>678</v>
      </c>
      <c r="C1589" s="1" t="str">
        <f>HYPERLINK("http://www.rosaceae.org/gb/gbrowse/malus_x_domestica/?name=MDP0000736875","MDP0000736875")</f>
        <v>MDP0000736875</v>
      </c>
      <c r="D1589">
        <v>83.27</v>
      </c>
      <c r="E1589">
        <v>580</v>
      </c>
      <c r="F1589">
        <v>97</v>
      </c>
      <c r="G1589">
        <v>23</v>
      </c>
      <c r="H1589">
        <v>107</v>
      </c>
      <c r="I1589">
        <v>668</v>
      </c>
      <c r="J1589">
        <v>1</v>
      </c>
      <c r="K1589">
        <v>1</v>
      </c>
      <c r="L1589">
        <v>575</v>
      </c>
      <c r="M1589">
        <v>1</v>
      </c>
      <c r="N1589">
        <v>0</v>
      </c>
      <c r="O1589">
        <v>2457</v>
      </c>
    </row>
    <row r="1590" spans="1:15" x14ac:dyDescent="0.25">
      <c r="A1590" t="s">
        <v>1603</v>
      </c>
      <c r="B1590">
        <v>502</v>
      </c>
      <c r="C1590" s="1" t="str">
        <f>HYPERLINK("http://www.rosaceae.org/gb/gbrowse/malus_x_domestica/?name=MDP0000731082","MDP0000731082")</f>
        <v>MDP0000731082</v>
      </c>
      <c r="D1590">
        <v>38.28</v>
      </c>
      <c r="E1590">
        <v>397</v>
      </c>
      <c r="F1590">
        <v>245</v>
      </c>
      <c r="G1590">
        <v>46</v>
      </c>
      <c r="H1590">
        <v>51</v>
      </c>
      <c r="I1590">
        <v>421</v>
      </c>
      <c r="J1590">
        <v>1</v>
      </c>
      <c r="K1590">
        <v>2</v>
      </c>
      <c r="L1590">
        <v>378</v>
      </c>
      <c r="M1590">
        <v>1</v>
      </c>
      <c r="N1590">
        <v>4.98864E-51</v>
      </c>
      <c r="O1590">
        <v>507</v>
      </c>
    </row>
    <row r="1591" spans="1:15" x14ac:dyDescent="0.25">
      <c r="A1591" t="s">
        <v>1604</v>
      </c>
      <c r="B1591">
        <v>737</v>
      </c>
      <c r="C1591" s="1" t="str">
        <f>HYPERLINK("http://www.rosaceae.org/gb/gbrowse/malus_x_domestica/?name=MDP0000058031","MDP0000058031")</f>
        <v>MDP0000058031</v>
      </c>
      <c r="D1591">
        <v>77.59</v>
      </c>
      <c r="E1591">
        <v>558</v>
      </c>
      <c r="F1591">
        <v>125</v>
      </c>
      <c r="G1591">
        <v>6</v>
      </c>
      <c r="H1591">
        <v>179</v>
      </c>
      <c r="I1591">
        <v>734</v>
      </c>
      <c r="J1591">
        <v>1</v>
      </c>
      <c r="K1591">
        <v>274</v>
      </c>
      <c r="L1591">
        <v>827</v>
      </c>
      <c r="M1591">
        <v>1</v>
      </c>
      <c r="N1591">
        <v>0</v>
      </c>
      <c r="O1591">
        <v>2242</v>
      </c>
    </row>
    <row r="1592" spans="1:15" x14ac:dyDescent="0.25">
      <c r="A1592" t="s">
        <v>1605</v>
      </c>
      <c r="B1592">
        <v>378</v>
      </c>
      <c r="C1592" s="1" t="str">
        <f>HYPERLINK("http://www.rosaceae.org/gb/gbrowse/malus_x_domestica/?name=MDP0000240390","MDP0000240390")</f>
        <v>MDP0000240390</v>
      </c>
      <c r="D1592">
        <v>64.88</v>
      </c>
      <c r="E1592">
        <v>336</v>
      </c>
      <c r="F1592">
        <v>118</v>
      </c>
      <c r="G1592">
        <v>56</v>
      </c>
      <c r="H1592">
        <v>40</v>
      </c>
      <c r="I1592">
        <v>337</v>
      </c>
      <c r="J1592">
        <v>1</v>
      </c>
      <c r="K1592">
        <v>38</v>
      </c>
      <c r="L1592">
        <v>355</v>
      </c>
      <c r="M1592">
        <v>1</v>
      </c>
      <c r="N1592">
        <v>2.4791E-114</v>
      </c>
      <c r="O1592">
        <v>1051</v>
      </c>
    </row>
    <row r="1593" spans="1:15" x14ac:dyDescent="0.25">
      <c r="A1593" t="s">
        <v>1606</v>
      </c>
      <c r="B1593">
        <v>560</v>
      </c>
      <c r="C1593" s="1" t="str">
        <f>HYPERLINK("http://www.rosaceae.org/gb/gbrowse/malus_x_domestica/?name=MDP0000406860","MDP0000406860")</f>
        <v>MDP0000406860</v>
      </c>
      <c r="D1593">
        <v>83.13</v>
      </c>
      <c r="E1593">
        <v>498</v>
      </c>
      <c r="F1593">
        <v>84</v>
      </c>
      <c r="G1593">
        <v>1</v>
      </c>
      <c r="H1593">
        <v>64</v>
      </c>
      <c r="I1593">
        <v>560</v>
      </c>
      <c r="J1593">
        <v>1</v>
      </c>
      <c r="K1593">
        <v>25</v>
      </c>
      <c r="L1593">
        <v>522</v>
      </c>
      <c r="M1593">
        <v>1</v>
      </c>
      <c r="N1593">
        <v>0</v>
      </c>
      <c r="O1593">
        <v>2215</v>
      </c>
    </row>
    <row r="1594" spans="1:15" x14ac:dyDescent="0.25">
      <c r="A1594" t="s">
        <v>1607</v>
      </c>
      <c r="B1594">
        <v>877</v>
      </c>
      <c r="C1594" s="1" t="str">
        <f>HYPERLINK("http://www.rosaceae.org/gb/gbrowse/malus_x_domestica/?name=MDP0000296003","MDP0000296003")</f>
        <v>MDP0000296003</v>
      </c>
      <c r="D1594">
        <v>86.48</v>
      </c>
      <c r="E1594">
        <v>866</v>
      </c>
      <c r="F1594">
        <v>117</v>
      </c>
      <c r="G1594">
        <v>32</v>
      </c>
      <c r="H1594">
        <v>35</v>
      </c>
      <c r="I1594">
        <v>877</v>
      </c>
      <c r="J1594">
        <v>1</v>
      </c>
      <c r="K1594">
        <v>66</v>
      </c>
      <c r="L1594">
        <v>922</v>
      </c>
      <c r="M1594">
        <v>1</v>
      </c>
      <c r="N1594">
        <v>0</v>
      </c>
      <c r="O1594">
        <v>3899</v>
      </c>
    </row>
    <row r="1595" spans="1:15" x14ac:dyDescent="0.25">
      <c r="A1595" t="s">
        <v>1608</v>
      </c>
      <c r="B1595">
        <v>294</v>
      </c>
      <c r="C1595" s="1" t="str">
        <f>HYPERLINK("http://www.rosaceae.org/gb/gbrowse/malus_x_domestica/?name=MDP0000670228","MDP0000670228")</f>
        <v>MDP0000670228</v>
      </c>
      <c r="D1595">
        <v>32.4</v>
      </c>
      <c r="E1595">
        <v>179</v>
      </c>
      <c r="F1595">
        <v>121</v>
      </c>
      <c r="G1595">
        <v>31</v>
      </c>
      <c r="H1595">
        <v>93</v>
      </c>
      <c r="I1595">
        <v>240</v>
      </c>
      <c r="J1595">
        <v>1</v>
      </c>
      <c r="K1595">
        <v>127</v>
      </c>
      <c r="L1595">
        <v>305</v>
      </c>
      <c r="M1595">
        <v>1</v>
      </c>
      <c r="N1595">
        <v>9.3051399999999996E-15</v>
      </c>
      <c r="O1595">
        <v>191</v>
      </c>
    </row>
    <row r="1596" spans="1:15" x14ac:dyDescent="0.25">
      <c r="A1596" t="s">
        <v>1609</v>
      </c>
      <c r="B1596">
        <v>86</v>
      </c>
      <c r="C1596" s="1" t="str">
        <f>HYPERLINK("http://www.rosaceae.org/gb/gbrowse/malus_x_domestica/?name=MDP0000509438","MDP0000509438")</f>
        <v>MDP0000509438</v>
      </c>
      <c r="D1596">
        <v>50</v>
      </c>
      <c r="E1596">
        <v>86</v>
      </c>
      <c r="F1596">
        <v>43</v>
      </c>
      <c r="G1596">
        <v>4</v>
      </c>
      <c r="H1596">
        <v>3</v>
      </c>
      <c r="I1596">
        <v>86</v>
      </c>
      <c r="J1596">
        <v>1</v>
      </c>
      <c r="K1596">
        <v>2</v>
      </c>
      <c r="L1596">
        <v>85</v>
      </c>
      <c r="M1596">
        <v>1</v>
      </c>
      <c r="N1596">
        <v>3.2541599999999999E-12</v>
      </c>
      <c r="O1596">
        <v>163</v>
      </c>
    </row>
    <row r="1597" spans="1:15" x14ac:dyDescent="0.25">
      <c r="A1597" t="s">
        <v>1610</v>
      </c>
      <c r="B1597">
        <v>939</v>
      </c>
      <c r="C1597" s="1" t="str">
        <f>HYPERLINK("http://www.rosaceae.org/gb/gbrowse/malus_x_domestica/?name=MDP0000321938","MDP0000321938")</f>
        <v>MDP0000321938</v>
      </c>
      <c r="D1597">
        <v>48.23</v>
      </c>
      <c r="E1597">
        <v>794</v>
      </c>
      <c r="F1597">
        <v>411</v>
      </c>
      <c r="G1597">
        <v>181</v>
      </c>
      <c r="H1597">
        <v>11</v>
      </c>
      <c r="I1597">
        <v>684</v>
      </c>
      <c r="J1597">
        <v>1</v>
      </c>
      <c r="K1597">
        <v>22</v>
      </c>
      <c r="L1597">
        <v>754</v>
      </c>
      <c r="M1597">
        <v>1</v>
      </c>
      <c r="N1597">
        <v>0</v>
      </c>
      <c r="O1597">
        <v>1641</v>
      </c>
    </row>
    <row r="1598" spans="1:15" x14ac:dyDescent="0.25">
      <c r="A1598" t="s">
        <v>1611</v>
      </c>
      <c r="B1598">
        <v>583</v>
      </c>
      <c r="C1598" s="1" t="str">
        <f>HYPERLINK("http://www.rosaceae.org/gb/gbrowse/malus_x_domestica/?name=MDP0000310308","MDP0000310308")</f>
        <v>MDP0000310308</v>
      </c>
      <c r="D1598">
        <v>71.47</v>
      </c>
      <c r="E1598">
        <v>596</v>
      </c>
      <c r="F1598">
        <v>170</v>
      </c>
      <c r="G1598">
        <v>16</v>
      </c>
      <c r="H1598">
        <v>1</v>
      </c>
      <c r="I1598">
        <v>583</v>
      </c>
      <c r="J1598">
        <v>1</v>
      </c>
      <c r="K1598">
        <v>1</v>
      </c>
      <c r="L1598">
        <v>593</v>
      </c>
      <c r="M1598">
        <v>1</v>
      </c>
      <c r="N1598">
        <v>0</v>
      </c>
      <c r="O1598">
        <v>2244</v>
      </c>
    </row>
    <row r="1599" spans="1:15" x14ac:dyDescent="0.25">
      <c r="A1599" t="s">
        <v>1612</v>
      </c>
      <c r="B1599">
        <v>233</v>
      </c>
      <c r="C1599" s="1" t="str">
        <f>HYPERLINK("http://www.rosaceae.org/gb/gbrowse/malus_x_domestica/?name=MDP0000259471","MDP0000259471")</f>
        <v>MDP0000259471</v>
      </c>
      <c r="D1599">
        <v>63.15</v>
      </c>
      <c r="E1599">
        <v>190</v>
      </c>
      <c r="F1599">
        <v>70</v>
      </c>
      <c r="G1599">
        <v>20</v>
      </c>
      <c r="H1599">
        <v>44</v>
      </c>
      <c r="I1599">
        <v>233</v>
      </c>
      <c r="J1599">
        <v>1</v>
      </c>
      <c r="K1599">
        <v>186</v>
      </c>
      <c r="L1599">
        <v>355</v>
      </c>
      <c r="M1599">
        <v>1</v>
      </c>
      <c r="N1599">
        <v>1.8035999999999999E-61</v>
      </c>
      <c r="O1599">
        <v>593</v>
      </c>
    </row>
    <row r="1600" spans="1:15" x14ac:dyDescent="0.25">
      <c r="A1600" t="s">
        <v>1613</v>
      </c>
      <c r="B1600">
        <v>98</v>
      </c>
      <c r="C1600" s="1" t="str">
        <f>HYPERLINK("http://www.rosaceae.org/gb/gbrowse/malus_x_domestica/?name=MDP0000188460","MDP0000188460")</f>
        <v>MDP0000188460</v>
      </c>
      <c r="D1600">
        <v>66.290000000000006</v>
      </c>
      <c r="E1600">
        <v>89</v>
      </c>
      <c r="F1600">
        <v>30</v>
      </c>
      <c r="G1600">
        <v>8</v>
      </c>
      <c r="H1600">
        <v>8</v>
      </c>
      <c r="I1600">
        <v>94</v>
      </c>
      <c r="J1600">
        <v>1</v>
      </c>
      <c r="K1600">
        <v>900</v>
      </c>
      <c r="L1600">
        <v>982</v>
      </c>
      <c r="M1600">
        <v>1</v>
      </c>
      <c r="N1600">
        <v>2.7180899999999999E-23</v>
      </c>
      <c r="O1600">
        <v>258</v>
      </c>
    </row>
    <row r="1601" spans="1:15" x14ac:dyDescent="0.25">
      <c r="A1601" t="s">
        <v>1614</v>
      </c>
      <c r="B1601">
        <v>269</v>
      </c>
      <c r="C1601" s="1" t="str">
        <f>HYPERLINK("http://www.rosaceae.org/gb/gbrowse/malus_x_domestica/?name=MDP0000067701","MDP0000067701")</f>
        <v>MDP0000067701</v>
      </c>
      <c r="D1601">
        <v>72.69</v>
      </c>
      <c r="E1601">
        <v>249</v>
      </c>
      <c r="F1601">
        <v>68</v>
      </c>
      <c r="G1601">
        <v>9</v>
      </c>
      <c r="H1601">
        <v>25</v>
      </c>
      <c r="I1601">
        <v>264</v>
      </c>
      <c r="J1601">
        <v>1</v>
      </c>
      <c r="K1601">
        <v>13</v>
      </c>
      <c r="L1601">
        <v>261</v>
      </c>
      <c r="M1601">
        <v>1</v>
      </c>
      <c r="N1601">
        <v>1.19741E-104</v>
      </c>
      <c r="O1601">
        <v>966</v>
      </c>
    </row>
    <row r="1602" spans="1:15" x14ac:dyDescent="0.25">
      <c r="A1602" t="s">
        <v>1615</v>
      </c>
      <c r="B1602">
        <v>242</v>
      </c>
      <c r="C1602" s="1" t="str">
        <f>HYPERLINK("http://www.rosaceae.org/gb/gbrowse/malus_x_domestica/?name=MDP0000291805","MDP0000291805")</f>
        <v>MDP0000291805</v>
      </c>
      <c r="D1602">
        <v>49.15</v>
      </c>
      <c r="E1602">
        <v>238</v>
      </c>
      <c r="F1602">
        <v>121</v>
      </c>
      <c r="G1602">
        <v>18</v>
      </c>
      <c r="H1602">
        <v>5</v>
      </c>
      <c r="I1602">
        <v>242</v>
      </c>
      <c r="J1602">
        <v>1</v>
      </c>
      <c r="K1602">
        <v>8</v>
      </c>
      <c r="L1602">
        <v>227</v>
      </c>
      <c r="M1602">
        <v>1</v>
      </c>
      <c r="N1602">
        <v>6.50642E-55</v>
      </c>
      <c r="O1602">
        <v>536</v>
      </c>
    </row>
    <row r="1603" spans="1:15" x14ac:dyDescent="0.25">
      <c r="A1603" t="s">
        <v>1616</v>
      </c>
      <c r="B1603">
        <v>326</v>
      </c>
      <c r="C1603" s="1" t="str">
        <f>HYPERLINK("http://www.rosaceae.org/gb/gbrowse/malus_x_domestica/?name=MDP0000192308","MDP0000192308")</f>
        <v>MDP0000192308</v>
      </c>
      <c r="D1603">
        <v>31.2</v>
      </c>
      <c r="E1603">
        <v>282</v>
      </c>
      <c r="F1603">
        <v>194</v>
      </c>
      <c r="G1603">
        <v>36</v>
      </c>
      <c r="H1603">
        <v>10</v>
      </c>
      <c r="I1603">
        <v>263</v>
      </c>
      <c r="J1603">
        <v>1</v>
      </c>
      <c r="K1603">
        <v>15</v>
      </c>
      <c r="L1603">
        <v>288</v>
      </c>
      <c r="M1603">
        <v>1</v>
      </c>
      <c r="N1603">
        <v>2.70793E-30</v>
      </c>
      <c r="O1603">
        <v>326</v>
      </c>
    </row>
    <row r="1604" spans="1:15" x14ac:dyDescent="0.25">
      <c r="A1604" t="s">
        <v>1617</v>
      </c>
      <c r="B1604">
        <v>898</v>
      </c>
      <c r="C1604" s="1" t="str">
        <f>HYPERLINK("http://www.rosaceae.org/gb/gbrowse/malus_x_domestica/?name=MDP0000207142","MDP0000207142")</f>
        <v>MDP0000207142</v>
      </c>
      <c r="D1604">
        <v>48.13</v>
      </c>
      <c r="E1604">
        <v>910</v>
      </c>
      <c r="F1604">
        <v>472</v>
      </c>
      <c r="G1604">
        <v>73</v>
      </c>
      <c r="H1604">
        <v>22</v>
      </c>
      <c r="I1604">
        <v>898</v>
      </c>
      <c r="J1604">
        <v>1</v>
      </c>
      <c r="K1604">
        <v>16</v>
      </c>
      <c r="L1604">
        <v>885</v>
      </c>
      <c r="M1604">
        <v>1</v>
      </c>
      <c r="N1604">
        <v>0</v>
      </c>
      <c r="O1604">
        <v>1941</v>
      </c>
    </row>
    <row r="1605" spans="1:15" x14ac:dyDescent="0.25">
      <c r="A1605" t="s">
        <v>1618</v>
      </c>
      <c r="B1605">
        <v>1345</v>
      </c>
      <c r="C1605" s="1" t="str">
        <f>HYPERLINK("http://www.rosaceae.org/gb/gbrowse/malus_x_domestica/?name=MDP0000230582","MDP0000230582")</f>
        <v>MDP0000230582</v>
      </c>
      <c r="D1605">
        <v>69.19</v>
      </c>
      <c r="E1605">
        <v>792</v>
      </c>
      <c r="F1605">
        <v>244</v>
      </c>
      <c r="G1605">
        <v>122</v>
      </c>
      <c r="H1605">
        <v>1</v>
      </c>
      <c r="I1605">
        <v>694</v>
      </c>
      <c r="J1605">
        <v>1</v>
      </c>
      <c r="K1605">
        <v>71</v>
      </c>
      <c r="L1605">
        <v>838</v>
      </c>
      <c r="M1605">
        <v>1</v>
      </c>
      <c r="N1605">
        <v>0</v>
      </c>
      <c r="O1605">
        <v>2633</v>
      </c>
    </row>
    <row r="1606" spans="1:15" x14ac:dyDescent="0.25">
      <c r="A1606" t="s">
        <v>1619</v>
      </c>
      <c r="B1606">
        <v>575</v>
      </c>
      <c r="C1606" s="1" t="str">
        <f>HYPERLINK("http://www.rosaceae.org/gb/gbrowse/malus_x_domestica/?name=MDP0000263060","MDP0000263060")</f>
        <v>MDP0000263060</v>
      </c>
      <c r="D1606">
        <v>72.78</v>
      </c>
      <c r="E1606">
        <v>169</v>
      </c>
      <c r="F1606">
        <v>46</v>
      </c>
      <c r="G1606">
        <v>1</v>
      </c>
      <c r="H1606">
        <v>67</v>
      </c>
      <c r="I1606">
        <v>234</v>
      </c>
      <c r="J1606">
        <v>1</v>
      </c>
      <c r="K1606">
        <v>447</v>
      </c>
      <c r="L1606">
        <v>615</v>
      </c>
      <c r="M1606">
        <v>1</v>
      </c>
      <c r="N1606">
        <v>9.6578800000000006E-65</v>
      </c>
      <c r="O1606">
        <v>625</v>
      </c>
    </row>
    <row r="1607" spans="1:15" x14ac:dyDescent="0.25">
      <c r="A1607" t="s">
        <v>1620</v>
      </c>
      <c r="B1607">
        <v>339</v>
      </c>
      <c r="C1607" s="1" t="str">
        <f>HYPERLINK("http://www.rosaceae.org/gb/gbrowse/malus_x_domestica/?name=MDP0000164966","MDP0000164966")</f>
        <v>MDP0000164966</v>
      </c>
      <c r="D1607">
        <v>68.12</v>
      </c>
      <c r="E1607">
        <v>342</v>
      </c>
      <c r="F1607">
        <v>109</v>
      </c>
      <c r="G1607">
        <v>3</v>
      </c>
      <c r="H1607">
        <v>1</v>
      </c>
      <c r="I1607">
        <v>339</v>
      </c>
      <c r="J1607">
        <v>1</v>
      </c>
      <c r="K1607">
        <v>9</v>
      </c>
      <c r="L1607">
        <v>350</v>
      </c>
      <c r="M1607">
        <v>1</v>
      </c>
      <c r="N1607">
        <v>8.7941799999999997E-135</v>
      </c>
      <c r="O1607">
        <v>1227</v>
      </c>
    </row>
    <row r="1608" spans="1:15" x14ac:dyDescent="0.25">
      <c r="A1608" t="s">
        <v>1621</v>
      </c>
      <c r="B1608">
        <v>528</v>
      </c>
      <c r="C1608" s="1" t="str">
        <f>HYPERLINK("http://www.rosaceae.org/gb/gbrowse/malus_x_domestica/?name=MDP0000241747","MDP0000241747")</f>
        <v>MDP0000241747</v>
      </c>
      <c r="D1608">
        <v>70.989999999999995</v>
      </c>
      <c r="E1608">
        <v>424</v>
      </c>
      <c r="F1608">
        <v>123</v>
      </c>
      <c r="G1608">
        <v>7</v>
      </c>
      <c r="H1608">
        <v>108</v>
      </c>
      <c r="I1608">
        <v>528</v>
      </c>
      <c r="J1608">
        <v>1</v>
      </c>
      <c r="K1608">
        <v>81</v>
      </c>
      <c r="L1608">
        <v>500</v>
      </c>
      <c r="M1608">
        <v>1</v>
      </c>
      <c r="N1608">
        <v>4.2076199999999998E-168</v>
      </c>
      <c r="O1608">
        <v>1516</v>
      </c>
    </row>
    <row r="1609" spans="1:15" x14ac:dyDescent="0.25">
      <c r="A1609" t="s">
        <v>1622</v>
      </c>
      <c r="B1609">
        <v>319</v>
      </c>
      <c r="C1609" s="1" t="str">
        <f>HYPERLINK("http://www.rosaceae.org/gb/gbrowse/malus_x_domestica/?name=MDP0000589422","MDP0000589422")</f>
        <v>MDP0000589422</v>
      </c>
      <c r="D1609">
        <v>36.770000000000003</v>
      </c>
      <c r="E1609">
        <v>329</v>
      </c>
      <c r="F1609">
        <v>208</v>
      </c>
      <c r="G1609">
        <v>87</v>
      </c>
      <c r="H1609">
        <v>1</v>
      </c>
      <c r="I1609">
        <v>295</v>
      </c>
      <c r="J1609">
        <v>1</v>
      </c>
      <c r="K1609">
        <v>1</v>
      </c>
      <c r="L1609">
        <v>276</v>
      </c>
      <c r="M1609">
        <v>1</v>
      </c>
      <c r="N1609">
        <v>3.3327899999999999E-38</v>
      </c>
      <c r="O1609">
        <v>394</v>
      </c>
    </row>
    <row r="1610" spans="1:15" x14ac:dyDescent="0.25">
      <c r="A1610" t="s">
        <v>1623</v>
      </c>
      <c r="B1610">
        <v>104</v>
      </c>
      <c r="C1610" s="1" t="str">
        <f>HYPERLINK("http://www.rosaceae.org/gb/gbrowse/malus_x_domestica/?name=MDP0000289628","MDP0000289628")</f>
        <v>MDP0000289628</v>
      </c>
      <c r="D1610">
        <v>43.13</v>
      </c>
      <c r="E1610">
        <v>102</v>
      </c>
      <c r="F1610">
        <v>58</v>
      </c>
      <c r="G1610">
        <v>9</v>
      </c>
      <c r="H1610">
        <v>1</v>
      </c>
      <c r="I1610">
        <v>100</v>
      </c>
      <c r="J1610">
        <v>1</v>
      </c>
      <c r="K1610">
        <v>46</v>
      </c>
      <c r="L1610">
        <v>140</v>
      </c>
      <c r="M1610">
        <v>1</v>
      </c>
      <c r="N1610">
        <v>1.8402900000000001E-14</v>
      </c>
      <c r="O1610">
        <v>182</v>
      </c>
    </row>
    <row r="1611" spans="1:15" x14ac:dyDescent="0.25">
      <c r="A1611" t="s">
        <v>1624</v>
      </c>
      <c r="B1611">
        <v>202</v>
      </c>
      <c r="C1611" s="1" t="str">
        <f>HYPERLINK("http://www.rosaceae.org/gb/gbrowse/malus_x_domestica/?name=MDP0000186513","MDP0000186513")</f>
        <v>MDP0000186513</v>
      </c>
      <c r="D1611">
        <v>64.48</v>
      </c>
      <c r="E1611">
        <v>107</v>
      </c>
      <c r="F1611">
        <v>38</v>
      </c>
      <c r="G1611">
        <v>1</v>
      </c>
      <c r="H1611">
        <v>97</v>
      </c>
      <c r="I1611">
        <v>202</v>
      </c>
      <c r="J1611">
        <v>1</v>
      </c>
      <c r="K1611">
        <v>269</v>
      </c>
      <c r="L1611">
        <v>375</v>
      </c>
      <c r="M1611">
        <v>1</v>
      </c>
      <c r="N1611">
        <v>8.0443199999999996E-38</v>
      </c>
      <c r="O1611">
        <v>388</v>
      </c>
    </row>
    <row r="1612" spans="1:15" x14ac:dyDescent="0.25">
      <c r="A1612" t="s">
        <v>1625</v>
      </c>
      <c r="B1612">
        <v>520</v>
      </c>
      <c r="C1612" s="1" t="str">
        <f>HYPERLINK("http://www.rosaceae.org/gb/gbrowse/malus_x_domestica/?name=MDP0000156544","MDP0000156544")</f>
        <v>MDP0000156544</v>
      </c>
      <c r="D1612">
        <v>51.09</v>
      </c>
      <c r="E1612">
        <v>458</v>
      </c>
      <c r="F1612">
        <v>224</v>
      </c>
      <c r="G1612">
        <v>9</v>
      </c>
      <c r="H1612">
        <v>67</v>
      </c>
      <c r="I1612">
        <v>519</v>
      </c>
      <c r="J1612">
        <v>1</v>
      </c>
      <c r="K1612">
        <v>67</v>
      </c>
      <c r="L1612">
        <v>520</v>
      </c>
      <c r="M1612">
        <v>1</v>
      </c>
      <c r="N1612">
        <v>2.9863800000000001E-133</v>
      </c>
      <c r="O1612">
        <v>1216</v>
      </c>
    </row>
    <row r="1613" spans="1:15" x14ac:dyDescent="0.25">
      <c r="A1613" t="s">
        <v>1626</v>
      </c>
      <c r="B1613">
        <v>793</v>
      </c>
      <c r="C1613" s="1" t="str">
        <f>HYPERLINK("http://www.rosaceae.org/gb/gbrowse/malus_x_domestica/?name=MDP0000229949","MDP0000229949")</f>
        <v>MDP0000229949</v>
      </c>
      <c r="D1613">
        <v>62.94</v>
      </c>
      <c r="E1613">
        <v>834</v>
      </c>
      <c r="F1613">
        <v>309</v>
      </c>
      <c r="G1613">
        <v>157</v>
      </c>
      <c r="H1613">
        <v>1</v>
      </c>
      <c r="I1613">
        <v>789</v>
      </c>
      <c r="J1613">
        <v>1</v>
      </c>
      <c r="K1613">
        <v>1</v>
      </c>
      <c r="L1613">
        <v>722</v>
      </c>
      <c r="M1613">
        <v>1</v>
      </c>
      <c r="N1613">
        <v>0</v>
      </c>
      <c r="O1613">
        <v>2554</v>
      </c>
    </row>
    <row r="1614" spans="1:15" x14ac:dyDescent="0.25">
      <c r="A1614" t="s">
        <v>1627</v>
      </c>
      <c r="B1614">
        <v>194</v>
      </c>
      <c r="C1614" s="1" t="str">
        <f>HYPERLINK("http://www.rosaceae.org/gb/gbrowse/malus_x_domestica/?name=MDP0000139844","MDP0000139844")</f>
        <v>MDP0000139844</v>
      </c>
      <c r="D1614">
        <v>71.13</v>
      </c>
      <c r="E1614">
        <v>194</v>
      </c>
      <c r="F1614">
        <v>56</v>
      </c>
      <c r="G1614">
        <v>1</v>
      </c>
      <c r="H1614">
        <v>1</v>
      </c>
      <c r="I1614">
        <v>194</v>
      </c>
      <c r="J1614">
        <v>1</v>
      </c>
      <c r="K1614">
        <v>1</v>
      </c>
      <c r="L1614">
        <v>193</v>
      </c>
      <c r="M1614">
        <v>1</v>
      </c>
      <c r="N1614">
        <v>5.8560000000000001E-80</v>
      </c>
      <c r="O1614">
        <v>751</v>
      </c>
    </row>
    <row r="1615" spans="1:15" x14ac:dyDescent="0.25">
      <c r="A1615" t="s">
        <v>1628</v>
      </c>
      <c r="B1615">
        <v>276</v>
      </c>
      <c r="C1615" s="1" t="str">
        <f>HYPERLINK("http://www.rosaceae.org/gb/gbrowse/malus_x_domestica/?name=MDP0000196385","MDP0000196385")</f>
        <v>MDP0000196385</v>
      </c>
      <c r="D1615">
        <v>77.209999999999994</v>
      </c>
      <c r="E1615">
        <v>237</v>
      </c>
      <c r="F1615">
        <v>54</v>
      </c>
      <c r="G1615">
        <v>2</v>
      </c>
      <c r="H1615">
        <v>42</v>
      </c>
      <c r="I1615">
        <v>276</v>
      </c>
      <c r="J1615">
        <v>1</v>
      </c>
      <c r="K1615">
        <v>440</v>
      </c>
      <c r="L1615">
        <v>676</v>
      </c>
      <c r="M1615">
        <v>1</v>
      </c>
      <c r="N1615">
        <v>2.8261300000000001E-104</v>
      </c>
      <c r="O1615">
        <v>963</v>
      </c>
    </row>
    <row r="1616" spans="1:15" x14ac:dyDescent="0.25">
      <c r="A1616" t="s">
        <v>1629</v>
      </c>
      <c r="B1616">
        <v>683</v>
      </c>
      <c r="C1616" s="1" t="str">
        <f>HYPERLINK("http://www.rosaceae.org/gb/gbrowse/malus_x_domestica/?name=MDP0000374881","MDP0000374881")</f>
        <v>MDP0000374881</v>
      </c>
      <c r="D1616">
        <v>70.930000000000007</v>
      </c>
      <c r="E1616">
        <v>688</v>
      </c>
      <c r="F1616">
        <v>200</v>
      </c>
      <c r="G1616">
        <v>7</v>
      </c>
      <c r="H1616">
        <v>1</v>
      </c>
      <c r="I1616">
        <v>683</v>
      </c>
      <c r="J1616">
        <v>1</v>
      </c>
      <c r="K1616">
        <v>1</v>
      </c>
      <c r="L1616">
        <v>686</v>
      </c>
      <c r="M1616">
        <v>1</v>
      </c>
      <c r="N1616">
        <v>0</v>
      </c>
      <c r="O1616">
        <v>2450</v>
      </c>
    </row>
    <row r="1617" spans="1:15" x14ac:dyDescent="0.25">
      <c r="A1617" t="s">
        <v>1630</v>
      </c>
      <c r="B1617">
        <v>358</v>
      </c>
      <c r="C1617" s="1" t="str">
        <f>HYPERLINK("http://www.rosaceae.org/gb/gbrowse/malus_x_domestica/?name=MDP0000133801","MDP0000133801")</f>
        <v>MDP0000133801</v>
      </c>
      <c r="D1617">
        <v>75.47</v>
      </c>
      <c r="E1617">
        <v>314</v>
      </c>
      <c r="F1617">
        <v>77</v>
      </c>
      <c r="G1617">
        <v>33</v>
      </c>
      <c r="H1617">
        <v>78</v>
      </c>
      <c r="I1617">
        <v>358</v>
      </c>
      <c r="J1617">
        <v>1</v>
      </c>
      <c r="K1617">
        <v>1</v>
      </c>
      <c r="L1617">
        <v>314</v>
      </c>
      <c r="M1617">
        <v>1</v>
      </c>
      <c r="N1617">
        <v>9.0366000000000005E-139</v>
      </c>
      <c r="O1617">
        <v>1262</v>
      </c>
    </row>
    <row r="1618" spans="1:15" x14ac:dyDescent="0.25">
      <c r="A1618" t="s">
        <v>1631</v>
      </c>
      <c r="B1618">
        <v>504</v>
      </c>
      <c r="C1618" s="1" t="str">
        <f>HYPERLINK("http://www.rosaceae.org/gb/gbrowse/malus_x_domestica/?name=MDP0000810899","MDP0000810899")</f>
        <v>MDP0000810899</v>
      </c>
      <c r="D1618">
        <v>60.39</v>
      </c>
      <c r="E1618">
        <v>505</v>
      </c>
      <c r="F1618">
        <v>200</v>
      </c>
      <c r="G1618">
        <v>12</v>
      </c>
      <c r="H1618">
        <v>6</v>
      </c>
      <c r="I1618">
        <v>502</v>
      </c>
      <c r="J1618">
        <v>1</v>
      </c>
      <c r="K1618">
        <v>8</v>
      </c>
      <c r="L1618">
        <v>508</v>
      </c>
      <c r="M1618">
        <v>1</v>
      </c>
      <c r="N1618">
        <v>4.3384600000000003E-176</v>
      </c>
      <c r="O1618">
        <v>1585</v>
      </c>
    </row>
    <row r="1619" spans="1:15" x14ac:dyDescent="0.25">
      <c r="A1619" t="s">
        <v>1632</v>
      </c>
      <c r="B1619">
        <v>312</v>
      </c>
      <c r="C1619" s="1" t="str">
        <f>HYPERLINK("http://www.rosaceae.org/gb/gbrowse/malus_x_domestica/?name=MDP0000800317","MDP0000800317")</f>
        <v>MDP0000800317</v>
      </c>
      <c r="D1619">
        <v>75.180000000000007</v>
      </c>
      <c r="E1619">
        <v>274</v>
      </c>
      <c r="F1619">
        <v>68</v>
      </c>
      <c r="G1619">
        <v>29</v>
      </c>
      <c r="H1619">
        <v>64</v>
      </c>
      <c r="I1619">
        <v>312</v>
      </c>
      <c r="J1619">
        <v>1</v>
      </c>
      <c r="K1619">
        <v>16</v>
      </c>
      <c r="L1619">
        <v>285</v>
      </c>
      <c r="M1619">
        <v>1</v>
      </c>
      <c r="N1619">
        <v>2.76509E-108</v>
      </c>
      <c r="O1619">
        <v>998</v>
      </c>
    </row>
    <row r="1620" spans="1:15" x14ac:dyDescent="0.25">
      <c r="A1620" t="s">
        <v>1633</v>
      </c>
      <c r="B1620">
        <v>155</v>
      </c>
      <c r="C1620" s="1" t="str">
        <f>HYPERLINK("http://www.rosaceae.org/gb/gbrowse/malus_x_domestica/?name=MDP0000349748","MDP0000349748")</f>
        <v>MDP0000349748</v>
      </c>
      <c r="D1620">
        <v>56.17</v>
      </c>
      <c r="E1620">
        <v>89</v>
      </c>
      <c r="F1620">
        <v>39</v>
      </c>
      <c r="G1620">
        <v>0</v>
      </c>
      <c r="H1620">
        <v>18</v>
      </c>
      <c r="I1620">
        <v>106</v>
      </c>
      <c r="J1620">
        <v>1</v>
      </c>
      <c r="K1620">
        <v>44</v>
      </c>
      <c r="L1620">
        <v>132</v>
      </c>
      <c r="M1620">
        <v>1</v>
      </c>
      <c r="N1620">
        <v>2.7443299999999999E-17</v>
      </c>
      <c r="O1620">
        <v>209</v>
      </c>
    </row>
    <row r="1621" spans="1:15" x14ac:dyDescent="0.25">
      <c r="A1621" t="s">
        <v>1634</v>
      </c>
      <c r="B1621">
        <v>135</v>
      </c>
      <c r="C1621" s="1" t="str">
        <f>HYPERLINK("http://www.rosaceae.org/gb/gbrowse/malus_x_domestica/?name=MDP0000225361","MDP0000225361")</f>
        <v>MDP0000225361</v>
      </c>
      <c r="D1621">
        <v>61.45</v>
      </c>
      <c r="E1621">
        <v>96</v>
      </c>
      <c r="F1621">
        <v>37</v>
      </c>
      <c r="G1621">
        <v>0</v>
      </c>
      <c r="H1621">
        <v>38</v>
      </c>
      <c r="I1621">
        <v>133</v>
      </c>
      <c r="J1621">
        <v>1</v>
      </c>
      <c r="K1621">
        <v>351</v>
      </c>
      <c r="L1621">
        <v>446</v>
      </c>
      <c r="M1621">
        <v>1</v>
      </c>
      <c r="N1621">
        <v>1.36137E-28</v>
      </c>
      <c r="O1621">
        <v>305</v>
      </c>
    </row>
    <row r="1622" spans="1:15" x14ac:dyDescent="0.25">
      <c r="A1622" t="s">
        <v>1635</v>
      </c>
      <c r="B1622">
        <v>441</v>
      </c>
      <c r="C1622" s="1" t="str">
        <f>HYPERLINK("http://www.rosaceae.org/gb/gbrowse/malus_x_domestica/?name=MDP0000195025","MDP0000195025")</f>
        <v>MDP0000195025</v>
      </c>
      <c r="D1622">
        <v>50.44</v>
      </c>
      <c r="E1622">
        <v>452</v>
      </c>
      <c r="F1622">
        <v>224</v>
      </c>
      <c r="G1622">
        <v>17</v>
      </c>
      <c r="H1622">
        <v>1</v>
      </c>
      <c r="I1622">
        <v>441</v>
      </c>
      <c r="J1622">
        <v>1</v>
      </c>
      <c r="K1622">
        <v>8</v>
      </c>
      <c r="L1622">
        <v>453</v>
      </c>
      <c r="M1622">
        <v>1</v>
      </c>
      <c r="N1622">
        <v>3.0503800000000002E-126</v>
      </c>
      <c r="O1622">
        <v>1155</v>
      </c>
    </row>
    <row r="1623" spans="1:15" x14ac:dyDescent="0.25">
      <c r="A1623" t="s">
        <v>1636</v>
      </c>
      <c r="B1623">
        <v>654</v>
      </c>
      <c r="C1623" s="1" t="str">
        <f>HYPERLINK("http://www.rosaceae.org/gb/gbrowse/malus_x_domestica/?name=MDP0000135510","MDP0000135510")</f>
        <v>MDP0000135510</v>
      </c>
      <c r="D1623">
        <v>64.16</v>
      </c>
      <c r="E1623">
        <v>413</v>
      </c>
      <c r="F1623">
        <v>148</v>
      </c>
      <c r="G1623">
        <v>44</v>
      </c>
      <c r="H1623">
        <v>104</v>
      </c>
      <c r="I1623">
        <v>511</v>
      </c>
      <c r="J1623">
        <v>1</v>
      </c>
      <c r="K1623">
        <v>1</v>
      </c>
      <c r="L1623">
        <v>374</v>
      </c>
      <c r="M1623">
        <v>1</v>
      </c>
      <c r="N1623">
        <v>2.4559999999999999E-157</v>
      </c>
      <c r="O1623">
        <v>1425</v>
      </c>
    </row>
    <row r="1624" spans="1:15" x14ac:dyDescent="0.25">
      <c r="A1624" t="s">
        <v>1637</v>
      </c>
      <c r="B1624">
        <v>282</v>
      </c>
      <c r="C1624" s="1" t="str">
        <f>HYPERLINK("http://www.rosaceae.org/gb/gbrowse/malus_x_domestica/?name=MDP0000543092","MDP0000543092")</f>
        <v>MDP0000543092</v>
      </c>
      <c r="D1624">
        <v>41.43</v>
      </c>
      <c r="E1624">
        <v>292</v>
      </c>
      <c r="F1624">
        <v>171</v>
      </c>
      <c r="G1624">
        <v>37</v>
      </c>
      <c r="H1624">
        <v>10</v>
      </c>
      <c r="I1624">
        <v>280</v>
      </c>
      <c r="J1624">
        <v>1</v>
      </c>
      <c r="K1624">
        <v>160</v>
      </c>
      <c r="L1624">
        <v>435</v>
      </c>
      <c r="M1624">
        <v>1</v>
      </c>
      <c r="N1624">
        <v>1.41609E-43</v>
      </c>
      <c r="O1624">
        <v>439</v>
      </c>
    </row>
    <row r="1625" spans="1:15" x14ac:dyDescent="0.25">
      <c r="A1625" t="s">
        <v>1638</v>
      </c>
      <c r="B1625">
        <v>515</v>
      </c>
      <c r="C1625" s="1" t="str">
        <f>HYPERLINK("http://www.rosaceae.org/gb/gbrowse/malus_x_domestica/?name=MDP0000710527","MDP0000710527")</f>
        <v>MDP0000710527</v>
      </c>
      <c r="D1625">
        <v>72.84</v>
      </c>
      <c r="E1625">
        <v>523</v>
      </c>
      <c r="F1625">
        <v>142</v>
      </c>
      <c r="G1625">
        <v>10</v>
      </c>
      <c r="H1625">
        <v>1</v>
      </c>
      <c r="I1625">
        <v>514</v>
      </c>
      <c r="J1625">
        <v>1</v>
      </c>
      <c r="K1625">
        <v>1</v>
      </c>
      <c r="L1625">
        <v>522</v>
      </c>
      <c r="M1625">
        <v>1</v>
      </c>
      <c r="N1625">
        <v>0</v>
      </c>
      <c r="O1625">
        <v>2037</v>
      </c>
    </row>
    <row r="1626" spans="1:15" x14ac:dyDescent="0.25">
      <c r="A1626" t="s">
        <v>1639</v>
      </c>
      <c r="B1626">
        <v>418</v>
      </c>
      <c r="C1626" s="1" t="str">
        <f>HYPERLINK("http://www.rosaceae.org/gb/gbrowse/malus_x_domestica/?name=MDP0000420328","MDP0000420328")</f>
        <v>MDP0000420328</v>
      </c>
      <c r="D1626">
        <v>77.75</v>
      </c>
      <c r="E1626">
        <v>418</v>
      </c>
      <c r="F1626">
        <v>93</v>
      </c>
      <c r="G1626">
        <v>5</v>
      </c>
      <c r="H1626">
        <v>1</v>
      </c>
      <c r="I1626">
        <v>418</v>
      </c>
      <c r="J1626">
        <v>1</v>
      </c>
      <c r="K1626">
        <v>1</v>
      </c>
      <c r="L1626">
        <v>413</v>
      </c>
      <c r="M1626">
        <v>1</v>
      </c>
      <c r="N1626">
        <v>0</v>
      </c>
      <c r="O1626">
        <v>1746</v>
      </c>
    </row>
    <row r="1627" spans="1:15" x14ac:dyDescent="0.25">
      <c r="A1627" t="s">
        <v>1640</v>
      </c>
      <c r="B1627">
        <v>329</v>
      </c>
      <c r="C1627" s="1" t="str">
        <f>HYPERLINK("http://www.rosaceae.org/gb/gbrowse/malus_x_domestica/?name=MDP0000851478","MDP0000851478")</f>
        <v>MDP0000851478</v>
      </c>
      <c r="D1627">
        <v>88.52</v>
      </c>
      <c r="E1627">
        <v>305</v>
      </c>
      <c r="F1627">
        <v>35</v>
      </c>
      <c r="G1627">
        <v>0</v>
      </c>
      <c r="H1627">
        <v>25</v>
      </c>
      <c r="I1627">
        <v>329</v>
      </c>
      <c r="J1627">
        <v>1</v>
      </c>
      <c r="K1627">
        <v>27</v>
      </c>
      <c r="L1627">
        <v>331</v>
      </c>
      <c r="M1627">
        <v>1</v>
      </c>
      <c r="N1627">
        <v>1.3469100000000001E-154</v>
      </c>
      <c r="O1627">
        <v>1398</v>
      </c>
    </row>
    <row r="1628" spans="1:15" x14ac:dyDescent="0.25">
      <c r="A1628" t="s">
        <v>1641</v>
      </c>
      <c r="B1628">
        <v>169</v>
      </c>
      <c r="C1628" s="1" t="str">
        <f>HYPERLINK("http://www.rosaceae.org/gb/gbrowse/malus_x_domestica/?name=MDP0000925348","MDP0000925348")</f>
        <v>MDP0000925348</v>
      </c>
      <c r="D1628">
        <v>54.37</v>
      </c>
      <c r="E1628">
        <v>160</v>
      </c>
      <c r="F1628">
        <v>73</v>
      </c>
      <c r="G1628">
        <v>1</v>
      </c>
      <c r="H1628">
        <v>1</v>
      </c>
      <c r="I1628">
        <v>160</v>
      </c>
      <c r="J1628">
        <v>1</v>
      </c>
      <c r="K1628">
        <v>1</v>
      </c>
      <c r="L1628">
        <v>159</v>
      </c>
      <c r="M1628">
        <v>1</v>
      </c>
      <c r="N1628">
        <v>7.0007700000000002E-41</v>
      </c>
      <c r="O1628">
        <v>413</v>
      </c>
    </row>
    <row r="1629" spans="1:15" x14ac:dyDescent="0.25">
      <c r="A1629" t="s">
        <v>1642</v>
      </c>
      <c r="B1629">
        <v>132</v>
      </c>
      <c r="C1629" s="1" t="str">
        <f>HYPERLINK("http://www.rosaceae.org/gb/gbrowse/malus_x_domestica/?name=MDP0000432471","MDP0000432471")</f>
        <v>MDP0000432471</v>
      </c>
      <c r="D1629">
        <v>64.06</v>
      </c>
      <c r="E1629">
        <v>128</v>
      </c>
      <c r="F1629">
        <v>46</v>
      </c>
      <c r="G1629">
        <v>4</v>
      </c>
      <c r="H1629">
        <v>5</v>
      </c>
      <c r="I1629">
        <v>132</v>
      </c>
      <c r="J1629">
        <v>1</v>
      </c>
      <c r="K1629">
        <v>4</v>
      </c>
      <c r="L1629">
        <v>127</v>
      </c>
      <c r="M1629">
        <v>1</v>
      </c>
      <c r="N1629">
        <v>2.8826900000000001E-40</v>
      </c>
      <c r="O1629">
        <v>405</v>
      </c>
    </row>
    <row r="1630" spans="1:15" x14ac:dyDescent="0.25">
      <c r="A1630" t="s">
        <v>1643</v>
      </c>
      <c r="B1630">
        <v>451</v>
      </c>
      <c r="C1630" s="1" t="str">
        <f>HYPERLINK("http://www.rosaceae.org/gb/gbrowse/malus_x_domestica/?name=MDP0000711254","MDP0000711254")</f>
        <v>MDP0000711254</v>
      </c>
      <c r="D1630">
        <v>45.95</v>
      </c>
      <c r="E1630">
        <v>235</v>
      </c>
      <c r="F1630">
        <v>127</v>
      </c>
      <c r="G1630">
        <v>8</v>
      </c>
      <c r="H1630">
        <v>17</v>
      </c>
      <c r="I1630">
        <v>250</v>
      </c>
      <c r="J1630">
        <v>1</v>
      </c>
      <c r="K1630">
        <v>17</v>
      </c>
      <c r="L1630">
        <v>244</v>
      </c>
      <c r="M1630">
        <v>1</v>
      </c>
      <c r="N1630">
        <v>2.0787499999999999E-54</v>
      </c>
      <c r="O1630">
        <v>535</v>
      </c>
    </row>
    <row r="1631" spans="1:15" x14ac:dyDescent="0.25">
      <c r="A1631" t="s">
        <v>1644</v>
      </c>
      <c r="B1631">
        <v>209</v>
      </c>
      <c r="C1631" s="1" t="str">
        <f>HYPERLINK("http://www.rosaceae.org/gb/gbrowse/malus_x_domestica/?name=MDP0000259057","MDP0000259057")</f>
        <v>MDP0000259057</v>
      </c>
      <c r="D1631">
        <v>60.49</v>
      </c>
      <c r="E1631">
        <v>81</v>
      </c>
      <c r="F1631">
        <v>32</v>
      </c>
      <c r="G1631">
        <v>7</v>
      </c>
      <c r="H1631">
        <v>125</v>
      </c>
      <c r="I1631">
        <v>198</v>
      </c>
      <c r="J1631">
        <v>1</v>
      </c>
      <c r="K1631">
        <v>15</v>
      </c>
      <c r="L1631">
        <v>95</v>
      </c>
      <c r="M1631">
        <v>1</v>
      </c>
      <c r="N1631">
        <v>2.6293500000000002E-18</v>
      </c>
      <c r="O1631">
        <v>220</v>
      </c>
    </row>
    <row r="1632" spans="1:15" x14ac:dyDescent="0.25">
      <c r="A1632" t="s">
        <v>1645</v>
      </c>
      <c r="B1632">
        <v>349</v>
      </c>
      <c r="C1632" s="1" t="str">
        <f>HYPERLINK("http://www.rosaceae.org/gb/gbrowse/malus_x_domestica/?name=MDP0000149927","MDP0000149927")</f>
        <v>MDP0000149927</v>
      </c>
      <c r="D1632">
        <v>80.53</v>
      </c>
      <c r="E1632">
        <v>298</v>
      </c>
      <c r="F1632">
        <v>58</v>
      </c>
      <c r="G1632">
        <v>21</v>
      </c>
      <c r="H1632">
        <v>22</v>
      </c>
      <c r="I1632">
        <v>298</v>
      </c>
      <c r="J1632">
        <v>1</v>
      </c>
      <c r="K1632">
        <v>97</v>
      </c>
      <c r="L1632">
        <v>394</v>
      </c>
      <c r="M1632">
        <v>1</v>
      </c>
      <c r="N1632">
        <v>1.4353700000000001E-142</v>
      </c>
      <c r="O1632">
        <v>1294</v>
      </c>
    </row>
    <row r="1633" spans="1:15" x14ac:dyDescent="0.25">
      <c r="A1633" t="s">
        <v>1646</v>
      </c>
      <c r="B1633">
        <v>787</v>
      </c>
      <c r="C1633" s="1" t="str">
        <f>HYPERLINK("http://www.rosaceae.org/gb/gbrowse/malus_x_domestica/?name=MDP0000287311","MDP0000287311")</f>
        <v>MDP0000287311</v>
      </c>
      <c r="D1633">
        <v>89.48</v>
      </c>
      <c r="E1633">
        <v>780</v>
      </c>
      <c r="F1633">
        <v>82</v>
      </c>
      <c r="G1633">
        <v>0</v>
      </c>
      <c r="H1633">
        <v>8</v>
      </c>
      <c r="I1633">
        <v>787</v>
      </c>
      <c r="J1633">
        <v>1</v>
      </c>
      <c r="K1633">
        <v>120</v>
      </c>
      <c r="L1633">
        <v>899</v>
      </c>
      <c r="M1633">
        <v>1</v>
      </c>
      <c r="N1633">
        <v>0</v>
      </c>
      <c r="O1633">
        <v>3783</v>
      </c>
    </row>
    <row r="1634" spans="1:15" x14ac:dyDescent="0.25">
      <c r="A1634" t="s">
        <v>1647</v>
      </c>
      <c r="B1634">
        <v>327</v>
      </c>
      <c r="C1634" s="1" t="str">
        <f>HYPERLINK("http://www.rosaceae.org/gb/gbrowse/malus_x_domestica/?name=MDP0000211180","MDP0000211180")</f>
        <v>MDP0000211180</v>
      </c>
      <c r="D1634">
        <v>66.56</v>
      </c>
      <c r="E1634">
        <v>344</v>
      </c>
      <c r="F1634">
        <v>115</v>
      </c>
      <c r="G1634">
        <v>28</v>
      </c>
      <c r="H1634">
        <v>2</v>
      </c>
      <c r="I1634">
        <v>326</v>
      </c>
      <c r="J1634">
        <v>1</v>
      </c>
      <c r="K1634">
        <v>3</v>
      </c>
      <c r="L1634">
        <v>337</v>
      </c>
      <c r="M1634">
        <v>1</v>
      </c>
      <c r="N1634">
        <v>7.9629800000000002E-124</v>
      </c>
      <c r="O1634">
        <v>1132</v>
      </c>
    </row>
    <row r="1635" spans="1:15" x14ac:dyDescent="0.25">
      <c r="A1635" t="s">
        <v>1648</v>
      </c>
      <c r="B1635">
        <v>774</v>
      </c>
      <c r="C1635" s="1" t="str">
        <f>HYPERLINK("http://www.rosaceae.org/gb/gbrowse/malus_x_domestica/?name=MDP0000124006","MDP0000124006")</f>
        <v>MDP0000124006</v>
      </c>
      <c r="D1635">
        <v>75</v>
      </c>
      <c r="E1635">
        <v>528</v>
      </c>
      <c r="F1635">
        <v>132</v>
      </c>
      <c r="G1635">
        <v>4</v>
      </c>
      <c r="H1635">
        <v>1</v>
      </c>
      <c r="I1635">
        <v>528</v>
      </c>
      <c r="J1635">
        <v>1</v>
      </c>
      <c r="K1635">
        <v>1</v>
      </c>
      <c r="L1635">
        <v>524</v>
      </c>
      <c r="M1635">
        <v>1</v>
      </c>
      <c r="N1635">
        <v>0</v>
      </c>
      <c r="O1635">
        <v>1999</v>
      </c>
    </row>
    <row r="1636" spans="1:15" x14ac:dyDescent="0.25">
      <c r="A1636" t="s">
        <v>1649</v>
      </c>
      <c r="B1636">
        <v>766</v>
      </c>
      <c r="C1636" s="1" t="str">
        <f>HYPERLINK("http://www.rosaceae.org/gb/gbrowse/malus_x_domestica/?name=MDP0000172516","MDP0000172516")</f>
        <v>MDP0000172516</v>
      </c>
      <c r="D1636">
        <v>67.55</v>
      </c>
      <c r="E1636">
        <v>752</v>
      </c>
      <c r="F1636">
        <v>244</v>
      </c>
      <c r="G1636">
        <v>22</v>
      </c>
      <c r="H1636">
        <v>22</v>
      </c>
      <c r="I1636">
        <v>763</v>
      </c>
      <c r="J1636">
        <v>1</v>
      </c>
      <c r="K1636">
        <v>53</v>
      </c>
      <c r="L1636">
        <v>792</v>
      </c>
      <c r="M1636">
        <v>1</v>
      </c>
      <c r="N1636">
        <v>0</v>
      </c>
      <c r="O1636">
        <v>2716</v>
      </c>
    </row>
    <row r="1637" spans="1:15" x14ac:dyDescent="0.25">
      <c r="A1637" t="s">
        <v>1650</v>
      </c>
      <c r="B1637">
        <v>788</v>
      </c>
      <c r="C1637" s="1" t="str">
        <f>HYPERLINK("http://www.rosaceae.org/gb/gbrowse/malus_x_domestica/?name=MDP0000759001","MDP0000759001")</f>
        <v>MDP0000759001</v>
      </c>
      <c r="D1637">
        <v>68.83</v>
      </c>
      <c r="E1637">
        <v>767</v>
      </c>
      <c r="F1637">
        <v>239</v>
      </c>
      <c r="G1637">
        <v>16</v>
      </c>
      <c r="H1637">
        <v>34</v>
      </c>
      <c r="I1637">
        <v>787</v>
      </c>
      <c r="J1637">
        <v>1</v>
      </c>
      <c r="K1637">
        <v>42</v>
      </c>
      <c r="L1637">
        <v>805</v>
      </c>
      <c r="M1637">
        <v>1</v>
      </c>
      <c r="N1637">
        <v>0</v>
      </c>
      <c r="O1637">
        <v>2764</v>
      </c>
    </row>
    <row r="1638" spans="1:15" x14ac:dyDescent="0.25">
      <c r="A1638" t="s">
        <v>1651</v>
      </c>
      <c r="B1638">
        <v>158</v>
      </c>
      <c r="C1638" s="1" t="str">
        <f>HYPERLINK("http://www.rosaceae.org/gb/gbrowse/malus_x_domestica/?name=MDP0000304159","MDP0000304159")</f>
        <v>MDP0000304159</v>
      </c>
      <c r="D1638">
        <v>33.9</v>
      </c>
      <c r="E1638">
        <v>174</v>
      </c>
      <c r="F1638">
        <v>115</v>
      </c>
      <c r="G1638">
        <v>29</v>
      </c>
      <c r="H1638">
        <v>1</v>
      </c>
      <c r="I1638">
        <v>151</v>
      </c>
      <c r="J1638">
        <v>1</v>
      </c>
      <c r="K1638">
        <v>1</v>
      </c>
      <c r="L1638">
        <v>168</v>
      </c>
      <c r="M1638">
        <v>1</v>
      </c>
      <c r="N1638">
        <v>7.6487800000000001E-17</v>
      </c>
      <c r="O1638">
        <v>205</v>
      </c>
    </row>
    <row r="1639" spans="1:15" x14ac:dyDescent="0.25">
      <c r="A1639" t="s">
        <v>1652</v>
      </c>
      <c r="B1639">
        <v>257</v>
      </c>
      <c r="C1639" s="1" t="str">
        <f>HYPERLINK("http://www.rosaceae.org/gb/gbrowse/malus_x_domestica/?name=MDP0000230149","MDP0000230149")</f>
        <v>MDP0000230149</v>
      </c>
      <c r="D1639">
        <v>45.38</v>
      </c>
      <c r="E1639">
        <v>130</v>
      </c>
      <c r="F1639">
        <v>71</v>
      </c>
      <c r="G1639">
        <v>1</v>
      </c>
      <c r="H1639">
        <v>109</v>
      </c>
      <c r="I1639">
        <v>238</v>
      </c>
      <c r="J1639">
        <v>1</v>
      </c>
      <c r="K1639">
        <v>321</v>
      </c>
      <c r="L1639">
        <v>449</v>
      </c>
      <c r="M1639">
        <v>1</v>
      </c>
      <c r="N1639">
        <v>1.5377999999999999E-26</v>
      </c>
      <c r="O1639">
        <v>292</v>
      </c>
    </row>
    <row r="1640" spans="1:15" x14ac:dyDescent="0.25">
      <c r="A1640" t="s">
        <v>1653</v>
      </c>
      <c r="B1640">
        <v>683</v>
      </c>
      <c r="C1640" s="1" t="str">
        <f>HYPERLINK("http://www.rosaceae.org/gb/gbrowse/malus_x_domestica/?name=MDP0000148377","MDP0000148377")</f>
        <v>MDP0000148377</v>
      </c>
      <c r="D1640">
        <v>74.069999999999993</v>
      </c>
      <c r="E1640">
        <v>675</v>
      </c>
      <c r="F1640">
        <v>175</v>
      </c>
      <c r="G1640">
        <v>2</v>
      </c>
      <c r="H1640">
        <v>11</v>
      </c>
      <c r="I1640">
        <v>683</v>
      </c>
      <c r="J1640">
        <v>1</v>
      </c>
      <c r="K1640">
        <v>17</v>
      </c>
      <c r="L1640">
        <v>691</v>
      </c>
      <c r="M1640">
        <v>1</v>
      </c>
      <c r="N1640">
        <v>0</v>
      </c>
      <c r="O1640">
        <v>2699</v>
      </c>
    </row>
    <row r="1641" spans="1:15" x14ac:dyDescent="0.25">
      <c r="A1641" t="s">
        <v>1654</v>
      </c>
      <c r="B1641">
        <v>464</v>
      </c>
      <c r="C1641" s="1" t="str">
        <f>HYPERLINK("http://www.rosaceae.org/gb/gbrowse/malus_x_domestica/?name=MDP0000143779","MDP0000143779")</f>
        <v>MDP0000143779</v>
      </c>
      <c r="D1641">
        <v>80.739999999999995</v>
      </c>
      <c r="E1641">
        <v>270</v>
      </c>
      <c r="F1641">
        <v>52</v>
      </c>
      <c r="G1641">
        <v>0</v>
      </c>
      <c r="H1641">
        <v>193</v>
      </c>
      <c r="I1641">
        <v>462</v>
      </c>
      <c r="J1641">
        <v>1</v>
      </c>
      <c r="K1641">
        <v>121</v>
      </c>
      <c r="L1641">
        <v>390</v>
      </c>
      <c r="M1641">
        <v>1</v>
      </c>
      <c r="N1641">
        <v>6.8988100000000005E-131</v>
      </c>
      <c r="O1641">
        <v>1195</v>
      </c>
    </row>
    <row r="1642" spans="1:15" x14ac:dyDescent="0.25">
      <c r="A1642" t="s">
        <v>1655</v>
      </c>
      <c r="B1642">
        <v>121</v>
      </c>
      <c r="C1642" s="1" t="str">
        <f>HYPERLINK("http://www.rosaceae.org/gb/gbrowse/malus_x_domestica/?name=MDP0000335055","MDP0000335055")</f>
        <v>MDP0000335055</v>
      </c>
      <c r="D1642">
        <v>64.459999999999994</v>
      </c>
      <c r="E1642">
        <v>121</v>
      </c>
      <c r="F1642">
        <v>43</v>
      </c>
      <c r="G1642">
        <v>0</v>
      </c>
      <c r="H1642">
        <v>1</v>
      </c>
      <c r="I1642">
        <v>121</v>
      </c>
      <c r="J1642">
        <v>1</v>
      </c>
      <c r="K1642">
        <v>1</v>
      </c>
      <c r="L1642">
        <v>121</v>
      </c>
      <c r="M1642">
        <v>1</v>
      </c>
      <c r="N1642">
        <v>1.34586E-38</v>
      </c>
      <c r="O1642">
        <v>390</v>
      </c>
    </row>
    <row r="1643" spans="1:15" x14ac:dyDescent="0.25">
      <c r="A1643" t="s">
        <v>1656</v>
      </c>
      <c r="B1643">
        <v>253</v>
      </c>
      <c r="C1643" s="1" t="str">
        <f>HYPERLINK("http://www.rosaceae.org/gb/gbrowse/malus_x_domestica/?name=MDP0000319959","MDP0000319959")</f>
        <v>MDP0000319959</v>
      </c>
      <c r="D1643">
        <v>57.78</v>
      </c>
      <c r="E1643">
        <v>289</v>
      </c>
      <c r="F1643">
        <v>122</v>
      </c>
      <c r="G1643">
        <v>43</v>
      </c>
      <c r="H1643">
        <v>1</v>
      </c>
      <c r="I1643">
        <v>246</v>
      </c>
      <c r="J1643">
        <v>1</v>
      </c>
      <c r="K1643">
        <v>11</v>
      </c>
      <c r="L1643">
        <v>299</v>
      </c>
      <c r="M1643">
        <v>1</v>
      </c>
      <c r="N1643">
        <v>3.6280300000000001E-84</v>
      </c>
      <c r="O1643">
        <v>789</v>
      </c>
    </row>
    <row r="1644" spans="1:15" x14ac:dyDescent="0.25">
      <c r="A1644" t="s">
        <v>1657</v>
      </c>
      <c r="B1644">
        <v>554</v>
      </c>
      <c r="C1644" s="1" t="str">
        <f>HYPERLINK("http://www.rosaceae.org/gb/gbrowse/malus_x_domestica/?name=MDP0000808501","MDP0000808501")</f>
        <v>MDP0000808501</v>
      </c>
      <c r="D1644">
        <v>37.06</v>
      </c>
      <c r="E1644">
        <v>402</v>
      </c>
      <c r="F1644">
        <v>253</v>
      </c>
      <c r="G1644">
        <v>67</v>
      </c>
      <c r="H1644">
        <v>61</v>
      </c>
      <c r="I1644">
        <v>439</v>
      </c>
      <c r="J1644">
        <v>1</v>
      </c>
      <c r="K1644">
        <v>16</v>
      </c>
      <c r="L1644">
        <v>373</v>
      </c>
      <c r="M1644">
        <v>1</v>
      </c>
      <c r="N1644">
        <v>3.8883000000000003E-51</v>
      </c>
      <c r="O1644">
        <v>508</v>
      </c>
    </row>
    <row r="1645" spans="1:15" x14ac:dyDescent="0.25">
      <c r="A1645" t="s">
        <v>1658</v>
      </c>
      <c r="B1645">
        <v>410</v>
      </c>
      <c r="C1645" s="1" t="str">
        <f>HYPERLINK("http://www.rosaceae.org/gb/gbrowse/malus_x_domestica/?name=MDP0000139742","MDP0000139742")</f>
        <v>MDP0000139742</v>
      </c>
      <c r="D1645">
        <v>34.74</v>
      </c>
      <c r="E1645">
        <v>377</v>
      </c>
      <c r="F1645">
        <v>246</v>
      </c>
      <c r="G1645">
        <v>51</v>
      </c>
      <c r="H1645">
        <v>65</v>
      </c>
      <c r="I1645">
        <v>406</v>
      </c>
      <c r="J1645">
        <v>1</v>
      </c>
      <c r="K1645">
        <v>198</v>
      </c>
      <c r="L1645">
        <v>558</v>
      </c>
      <c r="M1645">
        <v>1</v>
      </c>
      <c r="N1645">
        <v>5.8471699999999999E-45</v>
      </c>
      <c r="O1645">
        <v>453</v>
      </c>
    </row>
    <row r="1646" spans="1:15" x14ac:dyDescent="0.25">
      <c r="A1646" t="s">
        <v>1659</v>
      </c>
      <c r="B1646">
        <v>672</v>
      </c>
      <c r="C1646" s="1" t="str">
        <f>HYPERLINK("http://www.rosaceae.org/gb/gbrowse/malus_x_domestica/?name=MDP0000248765","MDP0000248765")</f>
        <v>MDP0000248765</v>
      </c>
      <c r="D1646">
        <v>69.95</v>
      </c>
      <c r="E1646">
        <v>649</v>
      </c>
      <c r="F1646">
        <v>195</v>
      </c>
      <c r="G1646">
        <v>24</v>
      </c>
      <c r="H1646">
        <v>1</v>
      </c>
      <c r="I1646">
        <v>636</v>
      </c>
      <c r="J1646">
        <v>1</v>
      </c>
      <c r="K1646">
        <v>1</v>
      </c>
      <c r="L1646">
        <v>638</v>
      </c>
      <c r="M1646">
        <v>1</v>
      </c>
      <c r="N1646">
        <v>0</v>
      </c>
      <c r="O1646">
        <v>2188</v>
      </c>
    </row>
    <row r="1647" spans="1:15" x14ac:dyDescent="0.25">
      <c r="A1647" t="s">
        <v>1660</v>
      </c>
      <c r="B1647">
        <v>320</v>
      </c>
      <c r="C1647" s="1" t="str">
        <f>HYPERLINK("http://www.rosaceae.org/gb/gbrowse/malus_x_domestica/?name=MDP0000291622","MDP0000291622")</f>
        <v>MDP0000291622</v>
      </c>
      <c r="D1647">
        <v>67.94</v>
      </c>
      <c r="E1647">
        <v>340</v>
      </c>
      <c r="F1647">
        <v>109</v>
      </c>
      <c r="G1647">
        <v>30</v>
      </c>
      <c r="H1647">
        <v>1</v>
      </c>
      <c r="I1647">
        <v>320</v>
      </c>
      <c r="J1647">
        <v>1</v>
      </c>
      <c r="K1647">
        <v>1</v>
      </c>
      <c r="L1647">
        <v>330</v>
      </c>
      <c r="M1647">
        <v>1</v>
      </c>
      <c r="N1647">
        <v>4.5309799999999999E-117</v>
      </c>
      <c r="O1647">
        <v>1074</v>
      </c>
    </row>
    <row r="1648" spans="1:15" x14ac:dyDescent="0.25">
      <c r="A1648" t="s">
        <v>1661</v>
      </c>
      <c r="B1648">
        <v>721</v>
      </c>
      <c r="C1648" s="1" t="str">
        <f>HYPERLINK("http://www.rosaceae.org/gb/gbrowse/malus_x_domestica/?name=MDP0000937158","MDP0000937158")</f>
        <v>MDP0000937158</v>
      </c>
      <c r="D1648">
        <v>44.44</v>
      </c>
      <c r="E1648">
        <v>702</v>
      </c>
      <c r="F1648">
        <v>390</v>
      </c>
      <c r="G1648">
        <v>82</v>
      </c>
      <c r="H1648">
        <v>23</v>
      </c>
      <c r="I1648">
        <v>654</v>
      </c>
      <c r="J1648">
        <v>1</v>
      </c>
      <c r="K1648">
        <v>30</v>
      </c>
      <c r="L1648">
        <v>719</v>
      </c>
      <c r="M1648">
        <v>1</v>
      </c>
      <c r="N1648">
        <v>4.8821499999999998E-126</v>
      </c>
      <c r="O1648">
        <v>1155</v>
      </c>
    </row>
    <row r="1649" spans="1:15" x14ac:dyDescent="0.25">
      <c r="A1649" t="s">
        <v>1662</v>
      </c>
      <c r="B1649">
        <v>253</v>
      </c>
      <c r="C1649" s="1" t="str">
        <f>HYPERLINK("http://www.rosaceae.org/gb/gbrowse/malus_x_domestica/?name=MDP0000872167","MDP0000872167")</f>
        <v>MDP0000872167</v>
      </c>
      <c r="D1649">
        <v>29.09</v>
      </c>
      <c r="E1649">
        <v>220</v>
      </c>
      <c r="F1649">
        <v>156</v>
      </c>
      <c r="G1649">
        <v>26</v>
      </c>
      <c r="H1649">
        <v>5</v>
      </c>
      <c r="I1649">
        <v>203</v>
      </c>
      <c r="J1649">
        <v>1</v>
      </c>
      <c r="K1649">
        <v>35</v>
      </c>
      <c r="L1649">
        <v>249</v>
      </c>
      <c r="M1649">
        <v>1</v>
      </c>
      <c r="N1649">
        <v>2.3587499999999999E-15</v>
      </c>
      <c r="O1649">
        <v>195</v>
      </c>
    </row>
    <row r="1650" spans="1:15" x14ac:dyDescent="0.25">
      <c r="A1650" t="s">
        <v>1663</v>
      </c>
      <c r="B1650">
        <v>460</v>
      </c>
      <c r="C1650" s="1" t="str">
        <f>HYPERLINK("http://www.rosaceae.org/gb/gbrowse/malus_x_domestica/?name=MDP0000307050","MDP0000307050")</f>
        <v>MDP0000307050</v>
      </c>
      <c r="D1650">
        <v>72.45</v>
      </c>
      <c r="E1650">
        <v>461</v>
      </c>
      <c r="F1650">
        <v>127</v>
      </c>
      <c r="G1650">
        <v>4</v>
      </c>
      <c r="H1650">
        <v>1</v>
      </c>
      <c r="I1650">
        <v>460</v>
      </c>
      <c r="J1650">
        <v>1</v>
      </c>
      <c r="K1650">
        <v>34</v>
      </c>
      <c r="L1650">
        <v>491</v>
      </c>
      <c r="M1650">
        <v>1</v>
      </c>
      <c r="N1650">
        <v>0</v>
      </c>
      <c r="O1650">
        <v>1762</v>
      </c>
    </row>
    <row r="1651" spans="1:15" x14ac:dyDescent="0.25">
      <c r="A1651" t="s">
        <v>1664</v>
      </c>
      <c r="B1651">
        <v>285</v>
      </c>
      <c r="C1651" s="1" t="str">
        <f>HYPERLINK("http://www.rosaceae.org/gb/gbrowse/malus_x_domestica/?name=MDP0000241903","MDP0000241903")</f>
        <v>MDP0000241903</v>
      </c>
      <c r="D1651">
        <v>57.41</v>
      </c>
      <c r="E1651">
        <v>310</v>
      </c>
      <c r="F1651">
        <v>132</v>
      </c>
      <c r="G1651">
        <v>74</v>
      </c>
      <c r="H1651">
        <v>1</v>
      </c>
      <c r="I1651">
        <v>285</v>
      </c>
      <c r="J1651">
        <v>1</v>
      </c>
      <c r="K1651">
        <v>43</v>
      </c>
      <c r="L1651">
        <v>303</v>
      </c>
      <c r="M1651">
        <v>1</v>
      </c>
      <c r="N1651">
        <v>1.88716E-88</v>
      </c>
      <c r="O1651">
        <v>826</v>
      </c>
    </row>
    <row r="1652" spans="1:15" x14ac:dyDescent="0.25">
      <c r="A1652" t="s">
        <v>1665</v>
      </c>
      <c r="B1652">
        <v>276</v>
      </c>
      <c r="C1652" s="1" t="str">
        <f>HYPERLINK("http://www.rosaceae.org/gb/gbrowse/malus_x_domestica/?name=MDP0000250849","MDP0000250849")</f>
        <v>MDP0000250849</v>
      </c>
      <c r="D1652">
        <v>88.69</v>
      </c>
      <c r="E1652">
        <v>230</v>
      </c>
      <c r="F1652">
        <v>26</v>
      </c>
      <c r="G1652">
        <v>0</v>
      </c>
      <c r="H1652">
        <v>47</v>
      </c>
      <c r="I1652">
        <v>276</v>
      </c>
      <c r="J1652">
        <v>1</v>
      </c>
      <c r="K1652">
        <v>938</v>
      </c>
      <c r="L1652">
        <v>1167</v>
      </c>
      <c r="M1652">
        <v>1</v>
      </c>
      <c r="N1652">
        <v>1.3824999999999999E-124</v>
      </c>
      <c r="O1652">
        <v>1138</v>
      </c>
    </row>
    <row r="1653" spans="1:15" x14ac:dyDescent="0.25">
      <c r="A1653" t="s">
        <v>1666</v>
      </c>
      <c r="B1653">
        <v>579</v>
      </c>
      <c r="C1653" s="1" t="str">
        <f>HYPERLINK("http://www.rosaceae.org/gb/gbrowse/malus_x_domestica/?name=MDP0000121200","MDP0000121200")</f>
        <v>MDP0000121200</v>
      </c>
      <c r="D1653">
        <v>47.6</v>
      </c>
      <c r="E1653">
        <v>292</v>
      </c>
      <c r="F1653">
        <v>153</v>
      </c>
      <c r="G1653">
        <v>15</v>
      </c>
      <c r="H1653">
        <v>302</v>
      </c>
      <c r="I1653">
        <v>579</v>
      </c>
      <c r="J1653">
        <v>1</v>
      </c>
      <c r="K1653">
        <v>292</v>
      </c>
      <c r="L1653">
        <v>582</v>
      </c>
      <c r="M1653">
        <v>1</v>
      </c>
      <c r="N1653">
        <v>1.67496E-65</v>
      </c>
      <c r="O1653">
        <v>632</v>
      </c>
    </row>
    <row r="1654" spans="1:15" x14ac:dyDescent="0.25">
      <c r="A1654" t="s">
        <v>1667</v>
      </c>
      <c r="B1654">
        <v>131</v>
      </c>
      <c r="C1654" s="1" t="str">
        <f>HYPERLINK("http://www.rosaceae.org/gb/gbrowse/malus_x_domestica/?name=MDP0000319024","MDP0000319024")</f>
        <v>MDP0000319024</v>
      </c>
      <c r="D1654">
        <v>57.64</v>
      </c>
      <c r="E1654">
        <v>85</v>
      </c>
      <c r="F1654">
        <v>36</v>
      </c>
      <c r="G1654">
        <v>1</v>
      </c>
      <c r="H1654">
        <v>1</v>
      </c>
      <c r="I1654">
        <v>84</v>
      </c>
      <c r="J1654">
        <v>1</v>
      </c>
      <c r="K1654">
        <v>409</v>
      </c>
      <c r="L1654">
        <v>493</v>
      </c>
      <c r="M1654">
        <v>1</v>
      </c>
      <c r="N1654">
        <v>8.21329E-25</v>
      </c>
      <c r="O1654">
        <v>272</v>
      </c>
    </row>
    <row r="1655" spans="1:15" x14ac:dyDescent="0.25">
      <c r="A1655" t="s">
        <v>1668</v>
      </c>
      <c r="B1655">
        <v>515</v>
      </c>
      <c r="C1655" s="1" t="str">
        <f>HYPERLINK("http://www.rosaceae.org/gb/gbrowse/malus_x_domestica/?name=MDP0000248514","MDP0000248514")</f>
        <v>MDP0000248514</v>
      </c>
      <c r="D1655">
        <v>50.5</v>
      </c>
      <c r="E1655">
        <v>491</v>
      </c>
      <c r="F1655">
        <v>243</v>
      </c>
      <c r="G1655">
        <v>66</v>
      </c>
      <c r="H1655">
        <v>80</v>
      </c>
      <c r="I1655">
        <v>513</v>
      </c>
      <c r="J1655">
        <v>1</v>
      </c>
      <c r="K1655">
        <v>226</v>
      </c>
      <c r="L1655">
        <v>707</v>
      </c>
      <c r="M1655">
        <v>1</v>
      </c>
      <c r="N1655">
        <v>4.8981399999999997E-111</v>
      </c>
      <c r="O1655">
        <v>1024</v>
      </c>
    </row>
    <row r="1656" spans="1:15" x14ac:dyDescent="0.25">
      <c r="A1656" t="s">
        <v>1669</v>
      </c>
      <c r="B1656">
        <v>428</v>
      </c>
      <c r="C1656" s="1" t="str">
        <f>HYPERLINK("http://www.rosaceae.org/gb/gbrowse/malus_x_domestica/?name=MDP0000191423","MDP0000191423")</f>
        <v>MDP0000191423</v>
      </c>
      <c r="D1656">
        <v>64.41</v>
      </c>
      <c r="E1656">
        <v>340</v>
      </c>
      <c r="F1656">
        <v>121</v>
      </c>
      <c r="G1656">
        <v>33</v>
      </c>
      <c r="H1656">
        <v>120</v>
      </c>
      <c r="I1656">
        <v>426</v>
      </c>
      <c r="J1656">
        <v>1</v>
      </c>
      <c r="K1656">
        <v>4</v>
      </c>
      <c r="L1656">
        <v>343</v>
      </c>
      <c r="M1656">
        <v>1</v>
      </c>
      <c r="N1656">
        <v>4.5175400000000002E-126</v>
      </c>
      <c r="O1656">
        <v>1153</v>
      </c>
    </row>
    <row r="1657" spans="1:15" x14ac:dyDescent="0.25">
      <c r="A1657" t="s">
        <v>1670</v>
      </c>
      <c r="B1657">
        <v>340</v>
      </c>
      <c r="C1657" s="1" t="str">
        <f>HYPERLINK("http://www.rosaceae.org/gb/gbrowse/malus_x_domestica/?name=MDP0000283678","MDP0000283678")</f>
        <v>MDP0000283678</v>
      </c>
      <c r="D1657">
        <v>68.510000000000005</v>
      </c>
      <c r="E1657">
        <v>216</v>
      </c>
      <c r="F1657">
        <v>68</v>
      </c>
      <c r="G1657">
        <v>3</v>
      </c>
      <c r="H1657">
        <v>116</v>
      </c>
      <c r="I1657">
        <v>328</v>
      </c>
      <c r="J1657">
        <v>1</v>
      </c>
      <c r="K1657">
        <v>17</v>
      </c>
      <c r="L1657">
        <v>232</v>
      </c>
      <c r="M1657">
        <v>1</v>
      </c>
      <c r="N1657">
        <v>8.4767299999999999E-75</v>
      </c>
      <c r="O1657">
        <v>710</v>
      </c>
    </row>
    <row r="1658" spans="1:15" x14ac:dyDescent="0.25">
      <c r="A1658" t="s">
        <v>1671</v>
      </c>
      <c r="B1658">
        <v>1146</v>
      </c>
      <c r="C1658" s="1" t="str">
        <f>HYPERLINK("http://www.rosaceae.org/gb/gbrowse/malus_x_domestica/?name=MDP0000249190","MDP0000249190")</f>
        <v>MDP0000249190</v>
      </c>
      <c r="D1658">
        <v>61.65</v>
      </c>
      <c r="E1658">
        <v>1124</v>
      </c>
      <c r="F1658">
        <v>431</v>
      </c>
      <c r="G1658">
        <v>186</v>
      </c>
      <c r="H1658">
        <v>5</v>
      </c>
      <c r="I1658">
        <v>1032</v>
      </c>
      <c r="J1658">
        <v>1</v>
      </c>
      <c r="K1658">
        <v>3</v>
      </c>
      <c r="L1658">
        <v>1036</v>
      </c>
      <c r="M1658">
        <v>1</v>
      </c>
      <c r="N1658">
        <v>0</v>
      </c>
      <c r="O1658">
        <v>3321</v>
      </c>
    </row>
    <row r="1659" spans="1:15" x14ac:dyDescent="0.25">
      <c r="A1659" t="s">
        <v>1672</v>
      </c>
      <c r="B1659">
        <v>169</v>
      </c>
      <c r="C1659" s="1" t="str">
        <f>HYPERLINK("http://www.rosaceae.org/gb/gbrowse/malus_x_domestica/?name=MDP0000278025","MDP0000278025")</f>
        <v>MDP0000278025</v>
      </c>
      <c r="D1659">
        <v>40.799999999999997</v>
      </c>
      <c r="E1659">
        <v>174</v>
      </c>
      <c r="F1659">
        <v>103</v>
      </c>
      <c r="G1659">
        <v>15</v>
      </c>
      <c r="H1659">
        <v>1</v>
      </c>
      <c r="I1659">
        <v>159</v>
      </c>
      <c r="J1659">
        <v>1</v>
      </c>
      <c r="K1659">
        <v>698</v>
      </c>
      <c r="L1659">
        <v>871</v>
      </c>
      <c r="M1659">
        <v>1</v>
      </c>
      <c r="N1659">
        <v>1.91147E-29</v>
      </c>
      <c r="O1659">
        <v>314</v>
      </c>
    </row>
    <row r="1660" spans="1:15" x14ac:dyDescent="0.25">
      <c r="A1660" t="s">
        <v>1673</v>
      </c>
      <c r="B1660">
        <v>677</v>
      </c>
      <c r="C1660" s="1" t="str">
        <f>HYPERLINK("http://www.rosaceae.org/gb/gbrowse/malus_x_domestica/?name=MDP0000745415","MDP0000745415")</f>
        <v>MDP0000745415</v>
      </c>
      <c r="D1660">
        <v>68.8</v>
      </c>
      <c r="E1660">
        <v>686</v>
      </c>
      <c r="F1660">
        <v>214</v>
      </c>
      <c r="G1660">
        <v>11</v>
      </c>
      <c r="H1660">
        <v>1</v>
      </c>
      <c r="I1660">
        <v>677</v>
      </c>
      <c r="J1660">
        <v>1</v>
      </c>
      <c r="K1660">
        <v>1</v>
      </c>
      <c r="L1660">
        <v>684</v>
      </c>
      <c r="M1660">
        <v>1</v>
      </c>
      <c r="N1660">
        <v>0</v>
      </c>
      <c r="O1660">
        <v>2354</v>
      </c>
    </row>
    <row r="1661" spans="1:15" x14ac:dyDescent="0.25">
      <c r="A1661" t="s">
        <v>1674</v>
      </c>
      <c r="B1661">
        <v>330</v>
      </c>
      <c r="C1661" s="1" t="str">
        <f>HYPERLINK("http://www.rosaceae.org/gb/gbrowse/malus_x_domestica/?name=MDP0000273016","MDP0000273016")</f>
        <v>MDP0000273016</v>
      </c>
      <c r="D1661">
        <v>59.1</v>
      </c>
      <c r="E1661">
        <v>335</v>
      </c>
      <c r="F1661">
        <v>137</v>
      </c>
      <c r="G1661">
        <v>7</v>
      </c>
      <c r="H1661">
        <v>1</v>
      </c>
      <c r="I1661">
        <v>330</v>
      </c>
      <c r="J1661">
        <v>1</v>
      </c>
      <c r="K1661">
        <v>1</v>
      </c>
      <c r="L1661">
        <v>333</v>
      </c>
      <c r="M1661">
        <v>1</v>
      </c>
      <c r="N1661">
        <v>5.6195899999999998E-106</v>
      </c>
      <c r="O1661">
        <v>978</v>
      </c>
    </row>
    <row r="1662" spans="1:15" x14ac:dyDescent="0.25">
      <c r="A1662" t="s">
        <v>1675</v>
      </c>
      <c r="B1662">
        <v>154</v>
      </c>
      <c r="C1662" s="1" t="str">
        <f>HYPERLINK("http://www.rosaceae.org/gb/gbrowse/malus_x_domestica/?name=MDP0000184243","MDP0000184243")</f>
        <v>MDP0000184243</v>
      </c>
      <c r="D1662">
        <v>45.45</v>
      </c>
      <c r="E1662">
        <v>99</v>
      </c>
      <c r="F1662">
        <v>54</v>
      </c>
      <c r="G1662">
        <v>2</v>
      </c>
      <c r="H1662">
        <v>42</v>
      </c>
      <c r="I1662">
        <v>138</v>
      </c>
      <c r="J1662">
        <v>1</v>
      </c>
      <c r="K1662">
        <v>327</v>
      </c>
      <c r="L1662">
        <v>425</v>
      </c>
      <c r="M1662">
        <v>1</v>
      </c>
      <c r="N1662">
        <v>6.1588599999999996E-20</v>
      </c>
      <c r="O1662">
        <v>231</v>
      </c>
    </row>
    <row r="1663" spans="1:15" x14ac:dyDescent="0.25">
      <c r="A1663" t="s">
        <v>1676</v>
      </c>
      <c r="B1663">
        <v>3518</v>
      </c>
      <c r="C1663" s="1" t="str">
        <f>HYPERLINK("http://www.rosaceae.org/gb/gbrowse/malus_x_domestica/?name=MDP0000163346","MDP0000163346")</f>
        <v>MDP0000163346</v>
      </c>
      <c r="D1663">
        <v>81.23</v>
      </c>
      <c r="E1663">
        <v>3240</v>
      </c>
      <c r="F1663">
        <v>608</v>
      </c>
      <c r="G1663">
        <v>48</v>
      </c>
      <c r="H1663">
        <v>290</v>
      </c>
      <c r="I1663">
        <v>3514</v>
      </c>
      <c r="J1663">
        <v>1</v>
      </c>
      <c r="K1663">
        <v>397</v>
      </c>
      <c r="L1663">
        <v>3603</v>
      </c>
      <c r="M1663">
        <v>1</v>
      </c>
      <c r="N1663">
        <v>0</v>
      </c>
      <c r="O1663">
        <v>13933</v>
      </c>
    </row>
    <row r="1664" spans="1:15" x14ac:dyDescent="0.25">
      <c r="A1664" t="s">
        <v>1677</v>
      </c>
      <c r="B1664">
        <v>286</v>
      </c>
      <c r="C1664" s="1" t="str">
        <f>HYPERLINK("http://www.rosaceae.org/gb/gbrowse/malus_x_domestica/?name=MDP0000429215","MDP0000429215")</f>
        <v>MDP0000429215</v>
      </c>
      <c r="D1664">
        <v>73.069999999999993</v>
      </c>
      <c r="E1664">
        <v>78</v>
      </c>
      <c r="F1664">
        <v>21</v>
      </c>
      <c r="G1664">
        <v>5</v>
      </c>
      <c r="H1664">
        <v>13</v>
      </c>
      <c r="I1664">
        <v>90</v>
      </c>
      <c r="J1664">
        <v>1</v>
      </c>
      <c r="K1664">
        <v>16</v>
      </c>
      <c r="L1664">
        <v>88</v>
      </c>
      <c r="M1664">
        <v>1</v>
      </c>
      <c r="N1664">
        <v>1.31497E-29</v>
      </c>
      <c r="O1664">
        <v>319</v>
      </c>
    </row>
    <row r="1665" spans="1:15" x14ac:dyDescent="0.25">
      <c r="A1665" t="s">
        <v>1678</v>
      </c>
      <c r="B1665">
        <v>251</v>
      </c>
      <c r="C1665" s="1" t="str">
        <f>HYPERLINK("http://www.rosaceae.org/gb/gbrowse/malus_x_domestica/?name=MDP0000812974","MDP0000812974")</f>
        <v>MDP0000812974</v>
      </c>
      <c r="D1665">
        <v>80.87</v>
      </c>
      <c r="E1665">
        <v>251</v>
      </c>
      <c r="F1665">
        <v>48</v>
      </c>
      <c r="G1665">
        <v>36</v>
      </c>
      <c r="H1665">
        <v>1</v>
      </c>
      <c r="I1665">
        <v>251</v>
      </c>
      <c r="J1665">
        <v>1</v>
      </c>
      <c r="K1665">
        <v>1</v>
      </c>
      <c r="L1665">
        <v>215</v>
      </c>
      <c r="M1665">
        <v>1</v>
      </c>
      <c r="N1665">
        <v>2.4200900000000001E-111</v>
      </c>
      <c r="O1665">
        <v>1023</v>
      </c>
    </row>
    <row r="1666" spans="1:15" x14ac:dyDescent="0.25">
      <c r="A1666" t="s">
        <v>1679</v>
      </c>
      <c r="B1666">
        <v>215</v>
      </c>
      <c r="C1666" s="1" t="str">
        <f>HYPERLINK("http://www.rosaceae.org/gb/gbrowse/malus_x_domestica/?name=MDP0000517262","MDP0000517262")</f>
        <v>MDP0000517262</v>
      </c>
      <c r="D1666">
        <v>72.319999999999993</v>
      </c>
      <c r="E1666">
        <v>112</v>
      </c>
      <c r="F1666">
        <v>31</v>
      </c>
      <c r="G1666">
        <v>10</v>
      </c>
      <c r="H1666">
        <v>102</v>
      </c>
      <c r="I1666">
        <v>213</v>
      </c>
      <c r="J1666">
        <v>1</v>
      </c>
      <c r="K1666">
        <v>130</v>
      </c>
      <c r="L1666">
        <v>231</v>
      </c>
      <c r="M1666">
        <v>1</v>
      </c>
      <c r="N1666">
        <v>5.5052800000000002E-41</v>
      </c>
      <c r="O1666">
        <v>415</v>
      </c>
    </row>
    <row r="1667" spans="1:15" x14ac:dyDescent="0.25">
      <c r="A1667" t="s">
        <v>1680</v>
      </c>
      <c r="B1667">
        <v>887</v>
      </c>
      <c r="C1667" s="1" t="str">
        <f>HYPERLINK("http://www.rosaceae.org/gb/gbrowse/malus_x_domestica/?name=MDP0000285209","MDP0000285209")</f>
        <v>MDP0000285209</v>
      </c>
      <c r="D1667">
        <v>58.33</v>
      </c>
      <c r="E1667">
        <v>780</v>
      </c>
      <c r="F1667">
        <v>325</v>
      </c>
      <c r="G1667">
        <v>148</v>
      </c>
      <c r="H1667">
        <v>142</v>
      </c>
      <c r="I1667">
        <v>887</v>
      </c>
      <c r="J1667">
        <v>1</v>
      </c>
      <c r="K1667">
        <v>1</v>
      </c>
      <c r="L1667">
        <v>666</v>
      </c>
      <c r="M1667">
        <v>1</v>
      </c>
      <c r="N1667">
        <v>0</v>
      </c>
      <c r="O1667">
        <v>2149</v>
      </c>
    </row>
    <row r="1668" spans="1:15" x14ac:dyDescent="0.25">
      <c r="A1668" t="s">
        <v>1681</v>
      </c>
      <c r="B1668">
        <v>169</v>
      </c>
      <c r="C1668" s="1" t="str">
        <f>HYPERLINK("http://www.rosaceae.org/gb/gbrowse/malus_x_domestica/?name=MDP0000322510","MDP0000322510")</f>
        <v>MDP0000322510</v>
      </c>
      <c r="D1668">
        <v>80</v>
      </c>
      <c r="E1668">
        <v>75</v>
      </c>
      <c r="F1668">
        <v>15</v>
      </c>
      <c r="G1668">
        <v>0</v>
      </c>
      <c r="H1668">
        <v>12</v>
      </c>
      <c r="I1668">
        <v>86</v>
      </c>
      <c r="J1668">
        <v>1</v>
      </c>
      <c r="K1668">
        <v>992</v>
      </c>
      <c r="L1668">
        <v>1066</v>
      </c>
      <c r="M1668">
        <v>1</v>
      </c>
      <c r="N1668">
        <v>5.2460099999999996E-29</v>
      </c>
      <c r="O1668">
        <v>310</v>
      </c>
    </row>
    <row r="1669" spans="1:15" x14ac:dyDescent="0.25">
      <c r="A1669" t="s">
        <v>1682</v>
      </c>
      <c r="B1669">
        <v>257</v>
      </c>
      <c r="C1669" s="1" t="str">
        <f>HYPERLINK("http://www.rosaceae.org/gb/gbrowse/malus_x_domestica/?name=MDP0000641167","MDP0000641167")</f>
        <v>MDP0000641167</v>
      </c>
      <c r="D1669">
        <v>52.7</v>
      </c>
      <c r="E1669">
        <v>148</v>
      </c>
      <c r="F1669">
        <v>70</v>
      </c>
      <c r="G1669">
        <v>2</v>
      </c>
      <c r="H1669">
        <v>28</v>
      </c>
      <c r="I1669">
        <v>175</v>
      </c>
      <c r="J1669">
        <v>1</v>
      </c>
      <c r="K1669">
        <v>25</v>
      </c>
      <c r="L1669">
        <v>170</v>
      </c>
      <c r="M1669">
        <v>1</v>
      </c>
      <c r="N1669">
        <v>2.3058099999999999E-39</v>
      </c>
      <c r="O1669">
        <v>403</v>
      </c>
    </row>
    <row r="1670" spans="1:15" x14ac:dyDescent="0.25">
      <c r="A1670" t="s">
        <v>1683</v>
      </c>
      <c r="B1670">
        <v>1055</v>
      </c>
      <c r="C1670" s="1" t="str">
        <f>HYPERLINK("http://www.rosaceae.org/gb/gbrowse/malus_x_domestica/?name=MDP0000302716","MDP0000302716")</f>
        <v>MDP0000302716</v>
      </c>
      <c r="D1670">
        <v>62.19</v>
      </c>
      <c r="E1670">
        <v>783</v>
      </c>
      <c r="F1670">
        <v>296</v>
      </c>
      <c r="G1670">
        <v>92</v>
      </c>
      <c r="H1670">
        <v>4</v>
      </c>
      <c r="I1670">
        <v>698</v>
      </c>
      <c r="J1670">
        <v>1</v>
      </c>
      <c r="K1670">
        <v>3</v>
      </c>
      <c r="L1670">
        <v>781</v>
      </c>
      <c r="M1670">
        <v>1</v>
      </c>
      <c r="N1670">
        <v>0</v>
      </c>
      <c r="O1670">
        <v>2183</v>
      </c>
    </row>
    <row r="1671" spans="1:15" x14ac:dyDescent="0.25">
      <c r="A1671" t="s">
        <v>1684</v>
      </c>
      <c r="B1671">
        <v>237</v>
      </c>
      <c r="C1671" s="1" t="str">
        <f>HYPERLINK("http://www.rosaceae.org/gb/gbrowse/malus_x_domestica/?name=MDP0000228573","MDP0000228573")</f>
        <v>MDP0000228573</v>
      </c>
      <c r="D1671">
        <v>36.159999999999997</v>
      </c>
      <c r="E1671">
        <v>271</v>
      </c>
      <c r="F1671">
        <v>173</v>
      </c>
      <c r="G1671">
        <v>63</v>
      </c>
      <c r="H1671">
        <v>17</v>
      </c>
      <c r="I1671">
        <v>230</v>
      </c>
      <c r="J1671">
        <v>1</v>
      </c>
      <c r="K1671">
        <v>15</v>
      </c>
      <c r="L1671">
        <v>279</v>
      </c>
      <c r="M1671">
        <v>1</v>
      </c>
      <c r="N1671">
        <v>2.56657E-40</v>
      </c>
      <c r="O1671">
        <v>410</v>
      </c>
    </row>
    <row r="1672" spans="1:15" x14ac:dyDescent="0.25">
      <c r="A1672" t="s">
        <v>1685</v>
      </c>
      <c r="B1672">
        <v>350</v>
      </c>
      <c r="C1672" s="1" t="str">
        <f>HYPERLINK("http://www.rosaceae.org/gb/gbrowse/malus_x_domestica/?name=MDP0000229910","MDP0000229910")</f>
        <v>MDP0000229910</v>
      </c>
      <c r="D1672">
        <v>79.349999999999994</v>
      </c>
      <c r="E1672">
        <v>247</v>
      </c>
      <c r="F1672">
        <v>51</v>
      </c>
      <c r="G1672">
        <v>24</v>
      </c>
      <c r="H1672">
        <v>128</v>
      </c>
      <c r="I1672">
        <v>350</v>
      </c>
      <c r="J1672">
        <v>1</v>
      </c>
      <c r="K1672">
        <v>524</v>
      </c>
      <c r="L1672">
        <v>770</v>
      </c>
      <c r="M1672">
        <v>1</v>
      </c>
      <c r="N1672">
        <v>1.3490299999999999E-111</v>
      </c>
      <c r="O1672">
        <v>1027</v>
      </c>
    </row>
    <row r="1673" spans="1:15" x14ac:dyDescent="0.25">
      <c r="A1673" t="s">
        <v>1686</v>
      </c>
      <c r="B1673">
        <v>349</v>
      </c>
      <c r="C1673" s="1" t="str">
        <f>HYPERLINK("http://www.rosaceae.org/gb/gbrowse/malus_x_domestica/?name=MDP0000574451","MDP0000574451")</f>
        <v>MDP0000574451</v>
      </c>
      <c r="D1673">
        <v>63.05</v>
      </c>
      <c r="E1673">
        <v>360</v>
      </c>
      <c r="F1673">
        <v>133</v>
      </c>
      <c r="G1673">
        <v>16</v>
      </c>
      <c r="H1673">
        <v>1</v>
      </c>
      <c r="I1673">
        <v>345</v>
      </c>
      <c r="J1673">
        <v>1</v>
      </c>
      <c r="K1673">
        <v>1</v>
      </c>
      <c r="L1673">
        <v>359</v>
      </c>
      <c r="M1673">
        <v>1</v>
      </c>
      <c r="N1673">
        <v>2.3872999999999999E-114</v>
      </c>
      <c r="O1673">
        <v>1051</v>
      </c>
    </row>
    <row r="1674" spans="1:15" x14ac:dyDescent="0.25">
      <c r="A1674" t="s">
        <v>1687</v>
      </c>
      <c r="B1674">
        <v>976</v>
      </c>
      <c r="C1674" s="1" t="str">
        <f>HYPERLINK("http://www.rosaceae.org/gb/gbrowse/malus_x_domestica/?name=MDP0000199343","MDP0000199343")</f>
        <v>MDP0000199343</v>
      </c>
      <c r="D1674">
        <v>87.22</v>
      </c>
      <c r="E1674">
        <v>947</v>
      </c>
      <c r="F1674">
        <v>121</v>
      </c>
      <c r="G1674">
        <v>11</v>
      </c>
      <c r="H1674">
        <v>20</v>
      </c>
      <c r="I1674">
        <v>964</v>
      </c>
      <c r="J1674">
        <v>1</v>
      </c>
      <c r="K1674">
        <v>20</v>
      </c>
      <c r="L1674">
        <v>957</v>
      </c>
      <c r="M1674">
        <v>1</v>
      </c>
      <c r="N1674">
        <v>0</v>
      </c>
      <c r="O1674">
        <v>4308</v>
      </c>
    </row>
    <row r="1675" spans="1:15" x14ac:dyDescent="0.25">
      <c r="A1675" t="s">
        <v>1688</v>
      </c>
      <c r="B1675">
        <v>419</v>
      </c>
      <c r="C1675" s="1" t="str">
        <f>HYPERLINK("http://www.rosaceae.org/gb/gbrowse/malus_x_domestica/?name=MDP0000315108","MDP0000315108")</f>
        <v>MDP0000315108</v>
      </c>
      <c r="D1675">
        <v>73.2</v>
      </c>
      <c r="E1675">
        <v>418</v>
      </c>
      <c r="F1675">
        <v>112</v>
      </c>
      <c r="G1675">
        <v>1</v>
      </c>
      <c r="H1675">
        <v>3</v>
      </c>
      <c r="I1675">
        <v>419</v>
      </c>
      <c r="J1675">
        <v>1</v>
      </c>
      <c r="K1675">
        <v>620</v>
      </c>
      <c r="L1675">
        <v>1037</v>
      </c>
      <c r="M1675">
        <v>1</v>
      </c>
      <c r="N1675">
        <v>0</v>
      </c>
      <c r="O1675">
        <v>1653</v>
      </c>
    </row>
    <row r="1676" spans="1:15" x14ac:dyDescent="0.25">
      <c r="A1676" t="s">
        <v>1689</v>
      </c>
      <c r="B1676">
        <v>502</v>
      </c>
      <c r="C1676" s="1" t="str">
        <f>HYPERLINK("http://www.rosaceae.org/gb/gbrowse/malus_x_domestica/?name=MDP0000910487","MDP0000910487")</f>
        <v>MDP0000910487</v>
      </c>
      <c r="D1676">
        <v>77.650000000000006</v>
      </c>
      <c r="E1676">
        <v>367</v>
      </c>
      <c r="F1676">
        <v>82</v>
      </c>
      <c r="G1676">
        <v>2</v>
      </c>
      <c r="H1676">
        <v>136</v>
      </c>
      <c r="I1676">
        <v>502</v>
      </c>
      <c r="J1676">
        <v>1</v>
      </c>
      <c r="K1676">
        <v>94</v>
      </c>
      <c r="L1676">
        <v>458</v>
      </c>
      <c r="M1676">
        <v>1</v>
      </c>
      <c r="N1676">
        <v>7.3928599999999999E-162</v>
      </c>
      <c r="O1676">
        <v>1462</v>
      </c>
    </row>
    <row r="1677" spans="1:15" x14ac:dyDescent="0.25">
      <c r="A1677" t="s">
        <v>1690</v>
      </c>
      <c r="B1677">
        <v>384</v>
      </c>
      <c r="C1677" s="1" t="str">
        <f>HYPERLINK("http://www.rosaceae.org/gb/gbrowse/malus_x_domestica/?name=MDP0000659790","MDP0000659790")</f>
        <v>MDP0000659790</v>
      </c>
      <c r="D1677">
        <v>78.77</v>
      </c>
      <c r="E1677">
        <v>245</v>
      </c>
      <c r="F1677">
        <v>52</v>
      </c>
      <c r="G1677">
        <v>8</v>
      </c>
      <c r="H1677">
        <v>141</v>
      </c>
      <c r="I1677">
        <v>378</v>
      </c>
      <c r="J1677">
        <v>1</v>
      </c>
      <c r="K1677">
        <v>9</v>
      </c>
      <c r="L1677">
        <v>252</v>
      </c>
      <c r="M1677">
        <v>1</v>
      </c>
      <c r="N1677">
        <v>1.4751200000000001E-109</v>
      </c>
      <c r="O1677">
        <v>1010</v>
      </c>
    </row>
    <row r="1678" spans="1:15" x14ac:dyDescent="0.25">
      <c r="A1678" t="s">
        <v>1691</v>
      </c>
      <c r="B1678">
        <v>246</v>
      </c>
      <c r="C1678" s="1" t="str">
        <f>HYPERLINK("http://www.rosaceae.org/gb/gbrowse/malus_x_domestica/?name=MDP0000342233","MDP0000342233")</f>
        <v>MDP0000342233</v>
      </c>
      <c r="D1678">
        <v>95.28</v>
      </c>
      <c r="E1678">
        <v>106</v>
      </c>
      <c r="F1678">
        <v>5</v>
      </c>
      <c r="G1678">
        <v>0</v>
      </c>
      <c r="H1678">
        <v>141</v>
      </c>
      <c r="I1678">
        <v>246</v>
      </c>
      <c r="J1678">
        <v>1</v>
      </c>
      <c r="K1678">
        <v>1</v>
      </c>
      <c r="L1678">
        <v>106</v>
      </c>
      <c r="M1678">
        <v>1</v>
      </c>
      <c r="N1678">
        <v>3.7300100000000002E-56</v>
      </c>
      <c r="O1678">
        <v>547</v>
      </c>
    </row>
    <row r="1679" spans="1:15" x14ac:dyDescent="0.25">
      <c r="A1679" t="s">
        <v>1692</v>
      </c>
      <c r="B1679">
        <v>484</v>
      </c>
      <c r="C1679" s="1" t="str">
        <f>HYPERLINK("http://www.rosaceae.org/gb/gbrowse/malus_x_domestica/?name=MDP0000280727","MDP0000280727")</f>
        <v>MDP0000280727</v>
      </c>
      <c r="D1679">
        <v>74.38</v>
      </c>
      <c r="E1679">
        <v>484</v>
      </c>
      <c r="F1679">
        <v>124</v>
      </c>
      <c r="G1679">
        <v>5</v>
      </c>
      <c r="H1679">
        <v>1</v>
      </c>
      <c r="I1679">
        <v>484</v>
      </c>
      <c r="J1679">
        <v>1</v>
      </c>
      <c r="K1679">
        <v>1</v>
      </c>
      <c r="L1679">
        <v>479</v>
      </c>
      <c r="M1679">
        <v>1</v>
      </c>
      <c r="N1679">
        <v>0</v>
      </c>
      <c r="O1679">
        <v>1915</v>
      </c>
    </row>
    <row r="1680" spans="1:15" x14ac:dyDescent="0.25">
      <c r="A1680" t="s">
        <v>1693</v>
      </c>
      <c r="B1680">
        <v>482</v>
      </c>
      <c r="C1680" s="1" t="str">
        <f>HYPERLINK("http://www.rosaceae.org/gb/gbrowse/malus_x_domestica/?name=MDP0000237668","MDP0000237668")</f>
        <v>MDP0000237668</v>
      </c>
      <c r="D1680">
        <v>74.5</v>
      </c>
      <c r="E1680">
        <v>459</v>
      </c>
      <c r="F1680">
        <v>117</v>
      </c>
      <c r="G1680">
        <v>27</v>
      </c>
      <c r="H1680">
        <v>1</v>
      </c>
      <c r="I1680">
        <v>445</v>
      </c>
      <c r="J1680">
        <v>1</v>
      </c>
      <c r="K1680">
        <v>1</v>
      </c>
      <c r="L1680">
        <v>446</v>
      </c>
      <c r="M1680">
        <v>1</v>
      </c>
      <c r="N1680">
        <v>0</v>
      </c>
      <c r="O1680">
        <v>1640</v>
      </c>
    </row>
    <row r="1681" spans="1:15" x14ac:dyDescent="0.25">
      <c r="A1681" t="s">
        <v>1694</v>
      </c>
      <c r="B1681">
        <v>401</v>
      </c>
      <c r="C1681" s="1" t="str">
        <f>HYPERLINK("http://www.rosaceae.org/gb/gbrowse/malus_x_domestica/?name=MDP0000257931","MDP0000257931")</f>
        <v>MDP0000257931</v>
      </c>
      <c r="D1681">
        <v>26.23</v>
      </c>
      <c r="E1681">
        <v>202</v>
      </c>
      <c r="F1681">
        <v>149</v>
      </c>
      <c r="G1681">
        <v>31</v>
      </c>
      <c r="H1681">
        <v>206</v>
      </c>
      <c r="I1681">
        <v>390</v>
      </c>
      <c r="J1681">
        <v>1</v>
      </c>
      <c r="K1681">
        <v>148</v>
      </c>
      <c r="L1681">
        <v>335</v>
      </c>
      <c r="M1681">
        <v>1</v>
      </c>
      <c r="N1681">
        <v>1.1364900000000001E-8</v>
      </c>
      <c r="O1681">
        <v>140</v>
      </c>
    </row>
    <row r="1682" spans="1:15" x14ac:dyDescent="0.25">
      <c r="A1682" t="s">
        <v>1695</v>
      </c>
      <c r="B1682">
        <v>592</v>
      </c>
      <c r="C1682" s="1" t="str">
        <f>HYPERLINK("http://www.rosaceae.org/gb/gbrowse/malus_x_domestica/?name=MDP0000301534","MDP0000301534")</f>
        <v>MDP0000301534</v>
      </c>
      <c r="D1682">
        <v>39.14</v>
      </c>
      <c r="E1682">
        <v>373</v>
      </c>
      <c r="F1682">
        <v>227</v>
      </c>
      <c r="G1682">
        <v>31</v>
      </c>
      <c r="H1682">
        <v>11</v>
      </c>
      <c r="I1682">
        <v>374</v>
      </c>
      <c r="J1682">
        <v>1</v>
      </c>
      <c r="K1682">
        <v>13</v>
      </c>
      <c r="L1682">
        <v>363</v>
      </c>
      <c r="M1682">
        <v>1</v>
      </c>
      <c r="N1682">
        <v>6.5352100000000002E-68</v>
      </c>
      <c r="O1682">
        <v>653</v>
      </c>
    </row>
    <row r="1683" spans="1:15" x14ac:dyDescent="0.25">
      <c r="A1683" t="s">
        <v>1696</v>
      </c>
      <c r="B1683">
        <v>257</v>
      </c>
      <c r="C1683" s="1" t="str">
        <f>HYPERLINK("http://www.rosaceae.org/gb/gbrowse/malus_x_domestica/?name=MDP0000950422","MDP0000950422")</f>
        <v>MDP0000950422</v>
      </c>
      <c r="D1683">
        <v>70.69</v>
      </c>
      <c r="E1683">
        <v>215</v>
      </c>
      <c r="F1683">
        <v>63</v>
      </c>
      <c r="G1683">
        <v>1</v>
      </c>
      <c r="H1683">
        <v>1</v>
      </c>
      <c r="I1683">
        <v>214</v>
      </c>
      <c r="J1683">
        <v>1</v>
      </c>
      <c r="K1683">
        <v>1</v>
      </c>
      <c r="L1683">
        <v>215</v>
      </c>
      <c r="M1683">
        <v>1</v>
      </c>
      <c r="N1683">
        <v>1.6286700000000001E-87</v>
      </c>
      <c r="O1683">
        <v>818</v>
      </c>
    </row>
    <row r="1684" spans="1:15" x14ac:dyDescent="0.25">
      <c r="A1684" t="s">
        <v>1697</v>
      </c>
      <c r="B1684">
        <v>499</v>
      </c>
      <c r="C1684" s="1" t="str">
        <f>HYPERLINK("http://www.rosaceae.org/gb/gbrowse/malus_x_domestica/?name=MDP0000239537","MDP0000239537")</f>
        <v>MDP0000239537</v>
      </c>
      <c r="D1684">
        <v>79.05</v>
      </c>
      <c r="E1684">
        <v>530</v>
      </c>
      <c r="F1684">
        <v>111</v>
      </c>
      <c r="G1684">
        <v>31</v>
      </c>
      <c r="H1684">
        <v>1</v>
      </c>
      <c r="I1684">
        <v>499</v>
      </c>
      <c r="J1684">
        <v>1</v>
      </c>
      <c r="K1684">
        <v>1</v>
      </c>
      <c r="L1684">
        <v>530</v>
      </c>
      <c r="M1684">
        <v>1</v>
      </c>
      <c r="N1684">
        <v>0</v>
      </c>
      <c r="O1684">
        <v>2160</v>
      </c>
    </row>
    <row r="1685" spans="1:15" x14ac:dyDescent="0.25">
      <c r="A1685" t="s">
        <v>1698</v>
      </c>
      <c r="B1685">
        <v>931</v>
      </c>
      <c r="C1685" s="1" t="str">
        <f>HYPERLINK("http://www.rosaceae.org/gb/gbrowse/malus_x_domestica/?name=MDP0000207142","MDP0000207142")</f>
        <v>MDP0000207142</v>
      </c>
      <c r="D1685">
        <v>50.27</v>
      </c>
      <c r="E1685">
        <v>923</v>
      </c>
      <c r="F1685">
        <v>459</v>
      </c>
      <c r="G1685">
        <v>84</v>
      </c>
      <c r="H1685">
        <v>31</v>
      </c>
      <c r="I1685">
        <v>930</v>
      </c>
      <c r="J1685">
        <v>1</v>
      </c>
      <c r="K1685">
        <v>23</v>
      </c>
      <c r="L1685">
        <v>884</v>
      </c>
      <c r="M1685">
        <v>1</v>
      </c>
      <c r="N1685">
        <v>0</v>
      </c>
      <c r="O1685">
        <v>2110</v>
      </c>
    </row>
    <row r="1686" spans="1:15" x14ac:dyDescent="0.25">
      <c r="A1686" t="s">
        <v>1699</v>
      </c>
      <c r="B1686">
        <v>553</v>
      </c>
      <c r="C1686" s="1" t="str">
        <f>HYPERLINK("http://www.rosaceae.org/gb/gbrowse/malus_x_domestica/?name=MDP0000148610","MDP0000148610")</f>
        <v>MDP0000148610</v>
      </c>
      <c r="D1686">
        <v>32.22</v>
      </c>
      <c r="E1686">
        <v>90</v>
      </c>
      <c r="F1686">
        <v>61</v>
      </c>
      <c r="G1686">
        <v>4</v>
      </c>
      <c r="H1686">
        <v>73</v>
      </c>
      <c r="I1686">
        <v>159</v>
      </c>
      <c r="J1686">
        <v>1</v>
      </c>
      <c r="K1686">
        <v>81</v>
      </c>
      <c r="L1686">
        <v>169</v>
      </c>
      <c r="M1686">
        <v>1</v>
      </c>
      <c r="N1686">
        <v>4.5268800000000002E-8</v>
      </c>
      <c r="O1686">
        <v>137</v>
      </c>
    </row>
    <row r="1687" spans="1:15" x14ac:dyDescent="0.25">
      <c r="A1687" t="s">
        <v>1700</v>
      </c>
      <c r="B1687">
        <v>428</v>
      </c>
      <c r="C1687" s="1" t="str">
        <f>HYPERLINK("http://www.rosaceae.org/gb/gbrowse/malus_x_domestica/?name=MDP0000250943","MDP0000250943")</f>
        <v>MDP0000250943</v>
      </c>
      <c r="D1687">
        <v>48.05</v>
      </c>
      <c r="E1687">
        <v>462</v>
      </c>
      <c r="F1687">
        <v>240</v>
      </c>
      <c r="G1687">
        <v>74</v>
      </c>
      <c r="H1687">
        <v>1</v>
      </c>
      <c r="I1687">
        <v>409</v>
      </c>
      <c r="J1687">
        <v>1</v>
      </c>
      <c r="K1687">
        <v>1</v>
      </c>
      <c r="L1687">
        <v>441</v>
      </c>
      <c r="M1687">
        <v>1</v>
      </c>
      <c r="N1687">
        <v>7.6488700000000001E-94</v>
      </c>
      <c r="O1687">
        <v>875</v>
      </c>
    </row>
    <row r="1688" spans="1:15" x14ac:dyDescent="0.25">
      <c r="A1688" t="s">
        <v>1701</v>
      </c>
      <c r="B1688">
        <v>675</v>
      </c>
      <c r="C1688" s="1" t="str">
        <f>HYPERLINK("http://www.rosaceae.org/gb/gbrowse/malus_x_domestica/?name=MDP0000305297","MDP0000305297")</f>
        <v>MDP0000305297</v>
      </c>
      <c r="D1688">
        <v>42.01</v>
      </c>
      <c r="E1688">
        <v>726</v>
      </c>
      <c r="F1688">
        <v>421</v>
      </c>
      <c r="G1688">
        <v>76</v>
      </c>
      <c r="H1688">
        <v>3</v>
      </c>
      <c r="I1688">
        <v>675</v>
      </c>
      <c r="J1688">
        <v>1</v>
      </c>
      <c r="K1688">
        <v>14</v>
      </c>
      <c r="L1688">
        <v>716</v>
      </c>
      <c r="M1688">
        <v>1</v>
      </c>
      <c r="N1688">
        <v>3.2211699999999999E-158</v>
      </c>
      <c r="O1688">
        <v>1432</v>
      </c>
    </row>
    <row r="1689" spans="1:15" x14ac:dyDescent="0.25">
      <c r="A1689" t="s">
        <v>1702</v>
      </c>
      <c r="B1689">
        <v>704</v>
      </c>
      <c r="C1689" s="1" t="str">
        <f>HYPERLINK("http://www.rosaceae.org/gb/gbrowse/malus_x_domestica/?name=MDP0000270782","MDP0000270782")</f>
        <v>MDP0000270782</v>
      </c>
      <c r="D1689">
        <v>42.85</v>
      </c>
      <c r="E1689">
        <v>77</v>
      </c>
      <c r="F1689">
        <v>44</v>
      </c>
      <c r="G1689">
        <v>0</v>
      </c>
      <c r="H1689">
        <v>13</v>
      </c>
      <c r="I1689">
        <v>89</v>
      </c>
      <c r="J1689">
        <v>1</v>
      </c>
      <c r="K1689">
        <v>81</v>
      </c>
      <c r="L1689">
        <v>157</v>
      </c>
      <c r="M1689">
        <v>1</v>
      </c>
      <c r="N1689">
        <v>1.69965E-13</v>
      </c>
      <c r="O1689">
        <v>184</v>
      </c>
    </row>
    <row r="1690" spans="1:15" x14ac:dyDescent="0.25">
      <c r="A1690" t="s">
        <v>1703</v>
      </c>
      <c r="B1690">
        <v>224</v>
      </c>
      <c r="C1690" s="1" t="str">
        <f>HYPERLINK("http://www.rosaceae.org/gb/gbrowse/malus_x_domestica/?name=MDP0000305095","MDP0000305095")</f>
        <v>MDP0000305095</v>
      </c>
      <c r="D1690">
        <v>40.1</v>
      </c>
      <c r="E1690">
        <v>197</v>
      </c>
      <c r="F1690">
        <v>118</v>
      </c>
      <c r="G1690">
        <v>64</v>
      </c>
      <c r="H1690">
        <v>78</v>
      </c>
      <c r="I1690">
        <v>220</v>
      </c>
      <c r="J1690">
        <v>1</v>
      </c>
      <c r="K1690">
        <v>505</v>
      </c>
      <c r="L1690">
        <v>691</v>
      </c>
      <c r="M1690">
        <v>1</v>
      </c>
      <c r="N1690">
        <v>1.1509700000000001E-16</v>
      </c>
      <c r="O1690">
        <v>206</v>
      </c>
    </row>
    <row r="1691" spans="1:15" x14ac:dyDescent="0.25">
      <c r="A1691" t="s">
        <v>1704</v>
      </c>
      <c r="B1691">
        <v>310</v>
      </c>
      <c r="C1691" s="1" t="str">
        <f>HYPERLINK("http://www.rosaceae.org/gb/gbrowse/malus_x_domestica/?name=MDP0000259250","MDP0000259250")</f>
        <v>MDP0000259250</v>
      </c>
      <c r="D1691">
        <v>52.63</v>
      </c>
      <c r="E1691">
        <v>285</v>
      </c>
      <c r="F1691">
        <v>135</v>
      </c>
      <c r="G1691">
        <v>41</v>
      </c>
      <c r="H1691">
        <v>66</v>
      </c>
      <c r="I1691">
        <v>309</v>
      </c>
      <c r="J1691">
        <v>1</v>
      </c>
      <c r="K1691">
        <v>5</v>
      </c>
      <c r="L1691">
        <v>289</v>
      </c>
      <c r="M1691">
        <v>1</v>
      </c>
      <c r="N1691">
        <v>1.1921499999999999E-70</v>
      </c>
      <c r="O1691">
        <v>673</v>
      </c>
    </row>
    <row r="1692" spans="1:15" x14ac:dyDescent="0.25">
      <c r="A1692" t="s">
        <v>1705</v>
      </c>
      <c r="B1692">
        <v>1099</v>
      </c>
      <c r="C1692" s="1" t="str">
        <f>HYPERLINK("http://www.rosaceae.org/gb/gbrowse/malus_x_domestica/?name=MDP0000156544","MDP0000156544")</f>
        <v>MDP0000156544</v>
      </c>
      <c r="D1692">
        <v>44.83</v>
      </c>
      <c r="E1692">
        <v>513</v>
      </c>
      <c r="F1692">
        <v>283</v>
      </c>
      <c r="G1692">
        <v>15</v>
      </c>
      <c r="H1692">
        <v>591</v>
      </c>
      <c r="I1692">
        <v>1098</v>
      </c>
      <c r="J1692">
        <v>1</v>
      </c>
      <c r="K1692">
        <v>18</v>
      </c>
      <c r="L1692">
        <v>520</v>
      </c>
      <c r="M1692">
        <v>1</v>
      </c>
      <c r="N1692">
        <v>2.3029000000000002E-129</v>
      </c>
      <c r="O1692">
        <v>1185</v>
      </c>
    </row>
    <row r="1693" spans="1:15" x14ac:dyDescent="0.25">
      <c r="A1693" t="s">
        <v>1706</v>
      </c>
      <c r="B1693">
        <v>770</v>
      </c>
      <c r="C1693" s="1" t="str">
        <f>HYPERLINK("http://www.rosaceae.org/gb/gbrowse/malus_x_domestica/?name=MDP0000197948","MDP0000197948")</f>
        <v>MDP0000197948</v>
      </c>
      <c r="D1693">
        <v>63.15</v>
      </c>
      <c r="E1693">
        <v>722</v>
      </c>
      <c r="F1693">
        <v>266</v>
      </c>
      <c r="G1693">
        <v>31</v>
      </c>
      <c r="H1693">
        <v>1</v>
      </c>
      <c r="I1693">
        <v>692</v>
      </c>
      <c r="J1693">
        <v>1</v>
      </c>
      <c r="K1693">
        <v>1</v>
      </c>
      <c r="L1693">
        <v>721</v>
      </c>
      <c r="M1693">
        <v>1</v>
      </c>
      <c r="N1693">
        <v>0</v>
      </c>
      <c r="O1693">
        <v>2443</v>
      </c>
    </row>
    <row r="1694" spans="1:15" x14ac:dyDescent="0.25">
      <c r="A1694" t="s">
        <v>1707</v>
      </c>
      <c r="B1694">
        <v>705</v>
      </c>
      <c r="C1694" s="1" t="str">
        <f>HYPERLINK("http://www.rosaceae.org/gb/gbrowse/malus_x_domestica/?name=MDP0000251336","MDP0000251336")</f>
        <v>MDP0000251336</v>
      </c>
      <c r="D1694">
        <v>50.79</v>
      </c>
      <c r="E1694">
        <v>695</v>
      </c>
      <c r="F1694">
        <v>342</v>
      </c>
      <c r="G1694">
        <v>30</v>
      </c>
      <c r="H1694">
        <v>15</v>
      </c>
      <c r="I1694">
        <v>687</v>
      </c>
      <c r="J1694">
        <v>1</v>
      </c>
      <c r="K1694">
        <v>17</v>
      </c>
      <c r="L1694">
        <v>703</v>
      </c>
      <c r="M1694">
        <v>1</v>
      </c>
      <c r="N1694">
        <v>1.01776E-176</v>
      </c>
      <c r="O1694">
        <v>1592</v>
      </c>
    </row>
    <row r="1695" spans="1:15" x14ac:dyDescent="0.25">
      <c r="A1695" t="s">
        <v>1708</v>
      </c>
      <c r="B1695">
        <v>337</v>
      </c>
      <c r="C1695" s="1" t="str">
        <f>HYPERLINK("http://www.rosaceae.org/gb/gbrowse/malus_x_domestica/?name=MDP0000274883","MDP0000274883")</f>
        <v>MDP0000274883</v>
      </c>
      <c r="D1695">
        <v>43.34</v>
      </c>
      <c r="E1695">
        <v>323</v>
      </c>
      <c r="F1695">
        <v>183</v>
      </c>
      <c r="G1695">
        <v>78</v>
      </c>
      <c r="H1695">
        <v>1</v>
      </c>
      <c r="I1695">
        <v>291</v>
      </c>
      <c r="J1695">
        <v>1</v>
      </c>
      <c r="K1695">
        <v>535</v>
      </c>
      <c r="L1695">
        <v>811</v>
      </c>
      <c r="M1695">
        <v>1</v>
      </c>
      <c r="N1695">
        <v>3.9022200000000001E-59</v>
      </c>
      <c r="O1695">
        <v>575</v>
      </c>
    </row>
    <row r="1696" spans="1:15" x14ac:dyDescent="0.25">
      <c r="A1696" t="s">
        <v>1709</v>
      </c>
      <c r="B1696">
        <v>182</v>
      </c>
      <c r="C1696" s="1" t="str">
        <f>HYPERLINK("http://www.rosaceae.org/gb/gbrowse/malus_x_domestica/?name=MDP0000416548","MDP0000416548")</f>
        <v>MDP0000416548</v>
      </c>
      <c r="D1696">
        <v>68.75</v>
      </c>
      <c r="E1696">
        <v>64</v>
      </c>
      <c r="F1696">
        <v>20</v>
      </c>
      <c r="G1696">
        <v>4</v>
      </c>
      <c r="H1696">
        <v>45</v>
      </c>
      <c r="I1696">
        <v>104</v>
      </c>
      <c r="J1696">
        <v>1</v>
      </c>
      <c r="K1696">
        <v>54</v>
      </c>
      <c r="L1696">
        <v>117</v>
      </c>
      <c r="M1696">
        <v>1</v>
      </c>
      <c r="N1696">
        <v>1.9133699999999999E-20</v>
      </c>
      <c r="O1696">
        <v>237</v>
      </c>
    </row>
    <row r="1697" spans="1:15" x14ac:dyDescent="0.25">
      <c r="A1697" t="s">
        <v>1710</v>
      </c>
      <c r="B1697">
        <v>569</v>
      </c>
      <c r="C1697" s="1" t="str">
        <f>HYPERLINK("http://www.rosaceae.org/gb/gbrowse/malus_x_domestica/?name=MDP0000198686","MDP0000198686")</f>
        <v>MDP0000198686</v>
      </c>
      <c r="D1697">
        <v>62.98</v>
      </c>
      <c r="E1697">
        <v>362</v>
      </c>
      <c r="F1697">
        <v>134</v>
      </c>
      <c r="G1697">
        <v>66</v>
      </c>
      <c r="H1697">
        <v>1</v>
      </c>
      <c r="I1697">
        <v>296</v>
      </c>
      <c r="J1697">
        <v>1</v>
      </c>
      <c r="K1697">
        <v>4</v>
      </c>
      <c r="L1697">
        <v>365</v>
      </c>
      <c r="M1697">
        <v>1</v>
      </c>
      <c r="N1697">
        <v>1.54792E-119</v>
      </c>
      <c r="O1697">
        <v>1098</v>
      </c>
    </row>
    <row r="1698" spans="1:15" x14ac:dyDescent="0.25">
      <c r="A1698" t="s">
        <v>1711</v>
      </c>
      <c r="B1698">
        <v>304</v>
      </c>
      <c r="C1698" s="1" t="str">
        <f>HYPERLINK("http://www.rosaceae.org/gb/gbrowse/malus_x_domestica/?name=MDP0000233177","MDP0000233177")</f>
        <v>MDP0000233177</v>
      </c>
      <c r="D1698">
        <v>80.069999999999993</v>
      </c>
      <c r="E1698">
        <v>281</v>
      </c>
      <c r="F1698">
        <v>56</v>
      </c>
      <c r="G1698">
        <v>6</v>
      </c>
      <c r="H1698">
        <v>29</v>
      </c>
      <c r="I1698">
        <v>304</v>
      </c>
      <c r="J1698">
        <v>1</v>
      </c>
      <c r="K1698">
        <v>12</v>
      </c>
      <c r="L1698">
        <v>291</v>
      </c>
      <c r="M1698">
        <v>1</v>
      </c>
      <c r="N1698">
        <v>6.7816400000000004E-131</v>
      </c>
      <c r="O1698">
        <v>1193</v>
      </c>
    </row>
    <row r="1699" spans="1:15" x14ac:dyDescent="0.25">
      <c r="A1699" t="s">
        <v>1712</v>
      </c>
      <c r="B1699">
        <v>152</v>
      </c>
      <c r="C1699" s="1" t="str">
        <f>HYPERLINK("http://www.rosaceae.org/gb/gbrowse/malus_x_domestica/?name=MDP0000299496","MDP0000299496")</f>
        <v>MDP0000299496</v>
      </c>
      <c r="D1699">
        <v>25.46</v>
      </c>
      <c r="E1699">
        <v>161</v>
      </c>
      <c r="F1699">
        <v>120</v>
      </c>
      <c r="G1699">
        <v>18</v>
      </c>
      <c r="H1699">
        <v>7</v>
      </c>
      <c r="I1699">
        <v>151</v>
      </c>
      <c r="J1699">
        <v>1</v>
      </c>
      <c r="K1699">
        <v>624</v>
      </c>
      <c r="L1699">
        <v>782</v>
      </c>
      <c r="M1699">
        <v>1</v>
      </c>
      <c r="N1699">
        <v>2.6686000000000001E-9</v>
      </c>
      <c r="O1699">
        <v>140</v>
      </c>
    </row>
    <row r="1700" spans="1:15" x14ac:dyDescent="0.25">
      <c r="A1700" t="s">
        <v>1713</v>
      </c>
      <c r="B1700">
        <v>678</v>
      </c>
      <c r="C1700" s="1" t="str">
        <f>HYPERLINK("http://www.rosaceae.org/gb/gbrowse/malus_x_domestica/?name=MDP0000810896","MDP0000810896")</f>
        <v>MDP0000810896</v>
      </c>
      <c r="D1700">
        <v>73.430000000000007</v>
      </c>
      <c r="E1700">
        <v>655</v>
      </c>
      <c r="F1700">
        <v>174</v>
      </c>
      <c r="G1700">
        <v>7</v>
      </c>
      <c r="H1700">
        <v>29</v>
      </c>
      <c r="I1700">
        <v>678</v>
      </c>
      <c r="J1700">
        <v>1</v>
      </c>
      <c r="K1700">
        <v>27</v>
      </c>
      <c r="L1700">
        <v>679</v>
      </c>
      <c r="M1700">
        <v>1</v>
      </c>
      <c r="N1700">
        <v>0</v>
      </c>
      <c r="O1700">
        <v>2507</v>
      </c>
    </row>
    <row r="1701" spans="1:15" x14ac:dyDescent="0.25">
      <c r="A1701" t="s">
        <v>1714</v>
      </c>
      <c r="B1701">
        <v>784</v>
      </c>
      <c r="C1701" s="1" t="str">
        <f>HYPERLINK("http://www.rosaceae.org/gb/gbrowse/malus_x_domestica/?name=MDP0000417582","MDP0000417582")</f>
        <v>MDP0000417582</v>
      </c>
      <c r="D1701">
        <v>62.87</v>
      </c>
      <c r="E1701">
        <v>571</v>
      </c>
      <c r="F1701">
        <v>212</v>
      </c>
      <c r="G1701">
        <v>4</v>
      </c>
      <c r="H1701">
        <v>207</v>
      </c>
      <c r="I1701">
        <v>777</v>
      </c>
      <c r="J1701">
        <v>1</v>
      </c>
      <c r="K1701">
        <v>29</v>
      </c>
      <c r="L1701">
        <v>595</v>
      </c>
      <c r="M1701">
        <v>1</v>
      </c>
      <c r="N1701">
        <v>0</v>
      </c>
      <c r="O1701">
        <v>1903</v>
      </c>
    </row>
    <row r="1702" spans="1:15" x14ac:dyDescent="0.25">
      <c r="A1702" t="s">
        <v>1715</v>
      </c>
      <c r="B1702">
        <v>116</v>
      </c>
      <c r="C1702" s="1" t="str">
        <f>HYPERLINK("http://www.rosaceae.org/gb/gbrowse/malus_x_domestica/?name=MDP0000172208","MDP0000172208")</f>
        <v>MDP0000172208</v>
      </c>
      <c r="D1702">
        <v>52.3</v>
      </c>
      <c r="E1702">
        <v>65</v>
      </c>
      <c r="F1702">
        <v>31</v>
      </c>
      <c r="G1702">
        <v>0</v>
      </c>
      <c r="H1702">
        <v>52</v>
      </c>
      <c r="I1702">
        <v>116</v>
      </c>
      <c r="J1702">
        <v>1</v>
      </c>
      <c r="K1702">
        <v>274</v>
      </c>
      <c r="L1702">
        <v>338</v>
      </c>
      <c r="M1702">
        <v>1</v>
      </c>
      <c r="N1702">
        <v>3.5374300000000001E-14</v>
      </c>
      <c r="O1702">
        <v>180</v>
      </c>
    </row>
    <row r="1703" spans="1:15" x14ac:dyDescent="0.25">
      <c r="A1703" t="s">
        <v>1716</v>
      </c>
      <c r="B1703">
        <v>272</v>
      </c>
      <c r="C1703" s="1" t="str">
        <f>HYPERLINK("http://www.rosaceae.org/gb/gbrowse/malus_x_domestica/?name=MDP0000316037","MDP0000316037")</f>
        <v>MDP0000316037</v>
      </c>
      <c r="D1703">
        <v>50.24</v>
      </c>
      <c r="E1703">
        <v>205</v>
      </c>
      <c r="F1703">
        <v>102</v>
      </c>
      <c r="G1703">
        <v>18</v>
      </c>
      <c r="H1703">
        <v>1</v>
      </c>
      <c r="I1703">
        <v>205</v>
      </c>
      <c r="J1703">
        <v>1</v>
      </c>
      <c r="K1703">
        <v>590</v>
      </c>
      <c r="L1703">
        <v>776</v>
      </c>
      <c r="M1703">
        <v>1</v>
      </c>
      <c r="N1703">
        <v>1.0560200000000001E-52</v>
      </c>
      <c r="O1703">
        <v>518</v>
      </c>
    </row>
    <row r="1704" spans="1:15" x14ac:dyDescent="0.25">
      <c r="A1704" t="s">
        <v>1717</v>
      </c>
      <c r="B1704">
        <v>290</v>
      </c>
      <c r="C1704" s="1" t="str">
        <f>HYPERLINK("http://www.rosaceae.org/gb/gbrowse/malus_x_domestica/?name=MDP0000542633","MDP0000542633")</f>
        <v>MDP0000542633</v>
      </c>
      <c r="D1704">
        <v>53.4</v>
      </c>
      <c r="E1704">
        <v>191</v>
      </c>
      <c r="F1704">
        <v>89</v>
      </c>
      <c r="G1704">
        <v>5</v>
      </c>
      <c r="H1704">
        <v>23</v>
      </c>
      <c r="I1704">
        <v>209</v>
      </c>
      <c r="J1704">
        <v>1</v>
      </c>
      <c r="K1704">
        <v>20</v>
      </c>
      <c r="L1704">
        <v>209</v>
      </c>
      <c r="M1704">
        <v>1</v>
      </c>
      <c r="N1704">
        <v>9.2576099999999994E-46</v>
      </c>
      <c r="O1704">
        <v>458</v>
      </c>
    </row>
    <row r="1705" spans="1:15" x14ac:dyDescent="0.25">
      <c r="A1705" t="s">
        <v>1718</v>
      </c>
      <c r="B1705">
        <v>288</v>
      </c>
      <c r="C1705" s="1" t="str">
        <f>HYPERLINK("http://www.rosaceae.org/gb/gbrowse/malus_x_domestica/?name=MDP0000154049","MDP0000154049")</f>
        <v>MDP0000154049</v>
      </c>
      <c r="D1705">
        <v>54.83</v>
      </c>
      <c r="E1705">
        <v>217</v>
      </c>
      <c r="F1705">
        <v>98</v>
      </c>
      <c r="G1705">
        <v>24</v>
      </c>
      <c r="H1705">
        <v>94</v>
      </c>
      <c r="I1705">
        <v>286</v>
      </c>
      <c r="J1705">
        <v>1</v>
      </c>
      <c r="K1705">
        <v>18</v>
      </c>
      <c r="L1705">
        <v>234</v>
      </c>
      <c r="M1705">
        <v>1</v>
      </c>
      <c r="N1705">
        <v>1.33837E-63</v>
      </c>
      <c r="O1705">
        <v>612</v>
      </c>
    </row>
    <row r="1706" spans="1:15" x14ac:dyDescent="0.25">
      <c r="A1706" t="s">
        <v>1719</v>
      </c>
      <c r="B1706">
        <v>128</v>
      </c>
      <c r="C1706" s="1" t="str">
        <f>HYPERLINK("http://www.rosaceae.org/gb/gbrowse/malus_x_domestica/?name=MDP0000313248","MDP0000313248")</f>
        <v>MDP0000313248</v>
      </c>
      <c r="D1706">
        <v>40.5</v>
      </c>
      <c r="E1706">
        <v>79</v>
      </c>
      <c r="F1706">
        <v>47</v>
      </c>
      <c r="G1706">
        <v>0</v>
      </c>
      <c r="H1706">
        <v>46</v>
      </c>
      <c r="I1706">
        <v>124</v>
      </c>
      <c r="J1706">
        <v>1</v>
      </c>
      <c r="K1706">
        <v>264</v>
      </c>
      <c r="L1706">
        <v>342</v>
      </c>
      <c r="M1706">
        <v>1</v>
      </c>
      <c r="N1706">
        <v>3.9943599999999997E-11</v>
      </c>
      <c r="O1706">
        <v>154</v>
      </c>
    </row>
    <row r="1707" spans="1:15" x14ac:dyDescent="0.25">
      <c r="A1707" t="s">
        <v>1720</v>
      </c>
      <c r="B1707">
        <v>309</v>
      </c>
      <c r="C1707" s="1" t="str">
        <f>HYPERLINK("http://www.rosaceae.org/gb/gbrowse/malus_x_domestica/?name=MDP0000273878","MDP0000273878")</f>
        <v>MDP0000273878</v>
      </c>
      <c r="D1707">
        <v>69.56</v>
      </c>
      <c r="E1707">
        <v>207</v>
      </c>
      <c r="F1707">
        <v>63</v>
      </c>
      <c r="G1707">
        <v>2</v>
      </c>
      <c r="H1707">
        <v>71</v>
      </c>
      <c r="I1707">
        <v>275</v>
      </c>
      <c r="J1707">
        <v>1</v>
      </c>
      <c r="K1707">
        <v>32</v>
      </c>
      <c r="L1707">
        <v>238</v>
      </c>
      <c r="M1707">
        <v>1</v>
      </c>
      <c r="N1707">
        <v>9.0759400000000002E-74</v>
      </c>
      <c r="O1707">
        <v>700</v>
      </c>
    </row>
    <row r="1708" spans="1:15" x14ac:dyDescent="0.25">
      <c r="A1708" t="s">
        <v>1721</v>
      </c>
      <c r="B1708">
        <v>534</v>
      </c>
      <c r="C1708" s="1" t="str">
        <f>HYPERLINK("http://www.rosaceae.org/gb/gbrowse/malus_x_domestica/?name=MDP0000254268","MDP0000254268")</f>
        <v>MDP0000254268</v>
      </c>
      <c r="D1708">
        <v>75.56</v>
      </c>
      <c r="E1708">
        <v>532</v>
      </c>
      <c r="F1708">
        <v>130</v>
      </c>
      <c r="G1708">
        <v>1</v>
      </c>
      <c r="H1708">
        <v>2</v>
      </c>
      <c r="I1708">
        <v>533</v>
      </c>
      <c r="J1708">
        <v>1</v>
      </c>
      <c r="K1708">
        <v>5</v>
      </c>
      <c r="L1708">
        <v>535</v>
      </c>
      <c r="M1708">
        <v>1</v>
      </c>
      <c r="N1708">
        <v>0</v>
      </c>
      <c r="O1708">
        <v>2169</v>
      </c>
    </row>
    <row r="1709" spans="1:15" x14ac:dyDescent="0.25">
      <c r="A1709" t="s">
        <v>1722</v>
      </c>
      <c r="B1709">
        <v>367</v>
      </c>
      <c r="C1709" s="1" t="str">
        <f>HYPERLINK("http://www.rosaceae.org/gb/gbrowse/malus_x_domestica/?name=MDP0000163774","MDP0000163774")</f>
        <v>MDP0000163774</v>
      </c>
      <c r="D1709">
        <v>30.89</v>
      </c>
      <c r="E1709">
        <v>178</v>
      </c>
      <c r="F1709">
        <v>123</v>
      </c>
      <c r="G1709">
        <v>29</v>
      </c>
      <c r="H1709">
        <v>46</v>
      </c>
      <c r="I1709">
        <v>194</v>
      </c>
      <c r="J1709">
        <v>1</v>
      </c>
      <c r="K1709">
        <v>330</v>
      </c>
      <c r="L1709">
        <v>507</v>
      </c>
      <c r="M1709">
        <v>1</v>
      </c>
      <c r="N1709">
        <v>8.5445300000000006E-21</v>
      </c>
      <c r="O1709">
        <v>244</v>
      </c>
    </row>
    <row r="1710" spans="1:15" x14ac:dyDescent="0.25">
      <c r="A1710" t="s">
        <v>1723</v>
      </c>
      <c r="B1710">
        <v>546</v>
      </c>
      <c r="C1710" s="1" t="str">
        <f>HYPERLINK("http://www.rosaceae.org/gb/gbrowse/malus_x_domestica/?name=MDP0000230918","MDP0000230918")</f>
        <v>MDP0000230918</v>
      </c>
      <c r="D1710">
        <v>63.95</v>
      </c>
      <c r="E1710">
        <v>344</v>
      </c>
      <c r="F1710">
        <v>124</v>
      </c>
      <c r="G1710">
        <v>42</v>
      </c>
      <c r="H1710">
        <v>36</v>
      </c>
      <c r="I1710">
        <v>379</v>
      </c>
      <c r="J1710">
        <v>1</v>
      </c>
      <c r="K1710">
        <v>28</v>
      </c>
      <c r="L1710">
        <v>329</v>
      </c>
      <c r="M1710">
        <v>1</v>
      </c>
      <c r="N1710">
        <v>3.3755700000000003E-123</v>
      </c>
      <c r="O1710">
        <v>1129</v>
      </c>
    </row>
    <row r="1711" spans="1:15" x14ac:dyDescent="0.25">
      <c r="A1711" t="s">
        <v>1724</v>
      </c>
      <c r="B1711">
        <v>1006</v>
      </c>
      <c r="C1711" s="1" t="str">
        <f>HYPERLINK("http://www.rosaceae.org/gb/gbrowse/malus_x_domestica/?name=MDP0000899294","MDP0000899294")</f>
        <v>MDP0000899294</v>
      </c>
      <c r="D1711">
        <v>81.84</v>
      </c>
      <c r="E1711">
        <v>887</v>
      </c>
      <c r="F1711">
        <v>161</v>
      </c>
      <c r="G1711">
        <v>9</v>
      </c>
      <c r="H1711">
        <v>1</v>
      </c>
      <c r="I1711">
        <v>879</v>
      </c>
      <c r="J1711">
        <v>1</v>
      </c>
      <c r="K1711">
        <v>1</v>
      </c>
      <c r="L1711">
        <v>886</v>
      </c>
      <c r="M1711">
        <v>1</v>
      </c>
      <c r="N1711">
        <v>0</v>
      </c>
      <c r="O1711">
        <v>3924</v>
      </c>
    </row>
    <row r="1712" spans="1:15" x14ac:dyDescent="0.25">
      <c r="A1712" t="s">
        <v>1725</v>
      </c>
      <c r="B1712">
        <v>405</v>
      </c>
      <c r="C1712" s="1" t="str">
        <f>HYPERLINK("http://www.rosaceae.org/gb/gbrowse/malus_x_domestica/?name=MDP0000322036","MDP0000322036")</f>
        <v>MDP0000322036</v>
      </c>
      <c r="D1712">
        <v>48.88</v>
      </c>
      <c r="E1712">
        <v>268</v>
      </c>
      <c r="F1712">
        <v>137</v>
      </c>
      <c r="G1712">
        <v>9</v>
      </c>
      <c r="H1712">
        <v>1</v>
      </c>
      <c r="I1712">
        <v>268</v>
      </c>
      <c r="J1712">
        <v>1</v>
      </c>
      <c r="K1712">
        <v>92</v>
      </c>
      <c r="L1712">
        <v>350</v>
      </c>
      <c r="M1712">
        <v>1</v>
      </c>
      <c r="N1712">
        <v>6.0634000000000002E-64</v>
      </c>
      <c r="O1712">
        <v>617</v>
      </c>
    </row>
    <row r="1713" spans="1:15" x14ac:dyDescent="0.25">
      <c r="A1713" t="s">
        <v>1726</v>
      </c>
      <c r="B1713">
        <v>288</v>
      </c>
      <c r="C1713" s="1" t="str">
        <f>HYPERLINK("http://www.rosaceae.org/gb/gbrowse/malus_x_domestica/?name=MDP0000120377","MDP0000120377")</f>
        <v>MDP0000120377</v>
      </c>
      <c r="D1713">
        <v>63.94</v>
      </c>
      <c r="E1713">
        <v>319</v>
      </c>
      <c r="F1713">
        <v>115</v>
      </c>
      <c r="G1713">
        <v>42</v>
      </c>
      <c r="H1713">
        <v>1</v>
      </c>
      <c r="I1713">
        <v>288</v>
      </c>
      <c r="J1713">
        <v>1</v>
      </c>
      <c r="K1713">
        <v>1</v>
      </c>
      <c r="L1713">
        <v>308</v>
      </c>
      <c r="M1713">
        <v>1</v>
      </c>
      <c r="N1713">
        <v>9.4075100000000003E-100</v>
      </c>
      <c r="O1713">
        <v>924</v>
      </c>
    </row>
    <row r="1714" spans="1:15" x14ac:dyDescent="0.25">
      <c r="A1714" t="s">
        <v>1727</v>
      </c>
      <c r="B1714">
        <v>467</v>
      </c>
      <c r="C1714" s="1" t="str">
        <f>HYPERLINK("http://www.rosaceae.org/gb/gbrowse/malus_x_domestica/?name=MDP0000274056","MDP0000274056")</f>
        <v>MDP0000274056</v>
      </c>
      <c r="D1714">
        <v>47.45</v>
      </c>
      <c r="E1714">
        <v>118</v>
      </c>
      <c r="F1714">
        <v>62</v>
      </c>
      <c r="G1714">
        <v>3</v>
      </c>
      <c r="H1714">
        <v>274</v>
      </c>
      <c r="I1714">
        <v>391</v>
      </c>
      <c r="J1714">
        <v>1</v>
      </c>
      <c r="K1714">
        <v>151</v>
      </c>
      <c r="L1714">
        <v>265</v>
      </c>
      <c r="M1714">
        <v>1</v>
      </c>
      <c r="N1714">
        <v>9.6929799999999997E-23</v>
      </c>
      <c r="O1714">
        <v>262</v>
      </c>
    </row>
    <row r="1715" spans="1:15" x14ac:dyDescent="0.25">
      <c r="A1715" t="s">
        <v>1728</v>
      </c>
      <c r="B1715">
        <v>151</v>
      </c>
      <c r="C1715" s="1" t="str">
        <f>HYPERLINK("http://www.rosaceae.org/gb/gbrowse/malus_x_domestica/?name=MDP0000796594","MDP0000796594")</f>
        <v>MDP0000796594</v>
      </c>
      <c r="D1715">
        <v>53.94</v>
      </c>
      <c r="E1715">
        <v>76</v>
      </c>
      <c r="F1715">
        <v>35</v>
      </c>
      <c r="G1715">
        <v>4</v>
      </c>
      <c r="H1715">
        <v>68</v>
      </c>
      <c r="I1715">
        <v>139</v>
      </c>
      <c r="J1715">
        <v>1</v>
      </c>
      <c r="K1715">
        <v>1</v>
      </c>
      <c r="L1715">
        <v>76</v>
      </c>
      <c r="M1715">
        <v>1</v>
      </c>
      <c r="N1715">
        <v>1.3211800000000001E-14</v>
      </c>
      <c r="O1715">
        <v>185</v>
      </c>
    </row>
    <row r="1716" spans="1:15" x14ac:dyDescent="0.25">
      <c r="A1716" t="s">
        <v>1729</v>
      </c>
      <c r="B1716">
        <v>320</v>
      </c>
      <c r="C1716" s="1" t="str">
        <f>HYPERLINK("http://www.rosaceae.org/gb/gbrowse/malus_x_domestica/?name=MDP0000147719","MDP0000147719")</f>
        <v>MDP0000147719</v>
      </c>
      <c r="D1716">
        <v>50</v>
      </c>
      <c r="E1716">
        <v>156</v>
      </c>
      <c r="F1716">
        <v>78</v>
      </c>
      <c r="G1716">
        <v>5</v>
      </c>
      <c r="H1716">
        <v>30</v>
      </c>
      <c r="I1716">
        <v>180</v>
      </c>
      <c r="J1716">
        <v>1</v>
      </c>
      <c r="K1716">
        <v>25</v>
      </c>
      <c r="L1716">
        <v>180</v>
      </c>
      <c r="M1716">
        <v>1</v>
      </c>
      <c r="N1716">
        <v>1.9828199999999999E-32</v>
      </c>
      <c r="O1716">
        <v>344</v>
      </c>
    </row>
    <row r="1717" spans="1:15" x14ac:dyDescent="0.25">
      <c r="A1717" t="s">
        <v>1730</v>
      </c>
      <c r="B1717">
        <v>867</v>
      </c>
      <c r="C1717" s="1" t="str">
        <f>HYPERLINK("http://www.rosaceae.org/gb/gbrowse/malus_x_domestica/?name=MDP0000320504","MDP0000320504")</f>
        <v>MDP0000320504</v>
      </c>
      <c r="D1717">
        <v>74.3</v>
      </c>
      <c r="E1717">
        <v>825</v>
      </c>
      <c r="F1717">
        <v>212</v>
      </c>
      <c r="G1717">
        <v>11</v>
      </c>
      <c r="H1717">
        <v>50</v>
      </c>
      <c r="I1717">
        <v>865</v>
      </c>
      <c r="J1717">
        <v>1</v>
      </c>
      <c r="K1717">
        <v>40</v>
      </c>
      <c r="L1717">
        <v>862</v>
      </c>
      <c r="M1717">
        <v>1</v>
      </c>
      <c r="N1717">
        <v>0</v>
      </c>
      <c r="O1717">
        <v>3382</v>
      </c>
    </row>
    <row r="1718" spans="1:15" x14ac:dyDescent="0.25">
      <c r="A1718" t="s">
        <v>1731</v>
      </c>
      <c r="B1718">
        <v>640</v>
      </c>
      <c r="C1718" s="1" t="str">
        <f>HYPERLINK("http://www.rosaceae.org/gb/gbrowse/malus_x_domestica/?name=MDP0000291298","MDP0000291298")</f>
        <v>MDP0000291298</v>
      </c>
      <c r="D1718">
        <v>50.48</v>
      </c>
      <c r="E1718">
        <v>725</v>
      </c>
      <c r="F1718">
        <v>359</v>
      </c>
      <c r="G1718">
        <v>92</v>
      </c>
      <c r="H1718">
        <v>3</v>
      </c>
      <c r="I1718">
        <v>636</v>
      </c>
      <c r="J1718">
        <v>1</v>
      </c>
      <c r="K1718">
        <v>52</v>
      </c>
      <c r="L1718">
        <v>775</v>
      </c>
      <c r="M1718">
        <v>1</v>
      </c>
      <c r="N1718">
        <v>0</v>
      </c>
      <c r="O1718">
        <v>1694</v>
      </c>
    </row>
    <row r="1719" spans="1:15" x14ac:dyDescent="0.25">
      <c r="A1719" t="s">
        <v>1732</v>
      </c>
      <c r="B1719">
        <v>163</v>
      </c>
      <c r="C1719" s="1" t="str">
        <f>HYPERLINK("http://www.rosaceae.org/gb/gbrowse/malus_x_domestica/?name=MDP0000864163","MDP0000864163")</f>
        <v>MDP0000864163</v>
      </c>
      <c r="D1719">
        <v>85.88</v>
      </c>
      <c r="E1719">
        <v>163</v>
      </c>
      <c r="F1719">
        <v>23</v>
      </c>
      <c r="G1719">
        <v>0</v>
      </c>
      <c r="H1719">
        <v>1</v>
      </c>
      <c r="I1719">
        <v>163</v>
      </c>
      <c r="J1719">
        <v>1</v>
      </c>
      <c r="K1719">
        <v>1</v>
      </c>
      <c r="L1719">
        <v>163</v>
      </c>
      <c r="M1719">
        <v>1</v>
      </c>
      <c r="N1719">
        <v>1.49144E-77</v>
      </c>
      <c r="O1719">
        <v>729</v>
      </c>
    </row>
    <row r="1720" spans="1:15" x14ac:dyDescent="0.25">
      <c r="A1720" t="s">
        <v>1733</v>
      </c>
      <c r="B1720">
        <v>83</v>
      </c>
      <c r="C1720" s="1" t="str">
        <f>HYPERLINK("http://www.rosaceae.org/gb/gbrowse/malus_x_domestica/?name=MDP0000425375","MDP0000425375")</f>
        <v>MDP0000425375</v>
      </c>
      <c r="D1720">
        <v>68.88</v>
      </c>
      <c r="E1720">
        <v>45</v>
      </c>
      <c r="F1720">
        <v>14</v>
      </c>
      <c r="G1720">
        <v>3</v>
      </c>
      <c r="H1720">
        <v>1</v>
      </c>
      <c r="I1720">
        <v>45</v>
      </c>
      <c r="J1720">
        <v>1</v>
      </c>
      <c r="K1720">
        <v>102</v>
      </c>
      <c r="L1720">
        <v>143</v>
      </c>
      <c r="M1720">
        <v>1</v>
      </c>
      <c r="N1720">
        <v>1.32342E-11</v>
      </c>
      <c r="O1720">
        <v>157</v>
      </c>
    </row>
    <row r="1721" spans="1:15" x14ac:dyDescent="0.25">
      <c r="A1721" t="s">
        <v>1734</v>
      </c>
      <c r="B1721">
        <v>138</v>
      </c>
      <c r="C1721" s="1" t="str">
        <f>HYPERLINK("http://www.rosaceae.org/gb/gbrowse/malus_x_domestica/?name=MDP0000559292","MDP0000559292")</f>
        <v>MDP0000559292</v>
      </c>
      <c r="D1721">
        <v>46.05</v>
      </c>
      <c r="E1721">
        <v>76</v>
      </c>
      <c r="F1721">
        <v>41</v>
      </c>
      <c r="G1721">
        <v>6</v>
      </c>
      <c r="H1721">
        <v>40</v>
      </c>
      <c r="I1721">
        <v>109</v>
      </c>
      <c r="J1721">
        <v>1</v>
      </c>
      <c r="K1721">
        <v>2</v>
      </c>
      <c r="L1721">
        <v>77</v>
      </c>
      <c r="M1721">
        <v>1</v>
      </c>
      <c r="N1721">
        <v>1.3238000000000001E-10</v>
      </c>
      <c r="O1721">
        <v>150</v>
      </c>
    </row>
    <row r="1722" spans="1:15" x14ac:dyDescent="0.25">
      <c r="A1722" t="s">
        <v>1735</v>
      </c>
      <c r="B1722">
        <v>228</v>
      </c>
      <c r="C1722" s="1" t="str">
        <f>HYPERLINK("http://www.rosaceae.org/gb/gbrowse/malus_x_domestica/?name=MDP0000784269","MDP0000784269")</f>
        <v>MDP0000784269</v>
      </c>
      <c r="D1722">
        <v>90.35</v>
      </c>
      <c r="E1722">
        <v>228</v>
      </c>
      <c r="F1722">
        <v>22</v>
      </c>
      <c r="G1722">
        <v>0</v>
      </c>
      <c r="H1722">
        <v>1</v>
      </c>
      <c r="I1722">
        <v>228</v>
      </c>
      <c r="J1722">
        <v>1</v>
      </c>
      <c r="K1722">
        <v>1</v>
      </c>
      <c r="L1722">
        <v>228</v>
      </c>
      <c r="M1722">
        <v>1</v>
      </c>
      <c r="N1722">
        <v>4.96619E-119</v>
      </c>
      <c r="O1722">
        <v>1089</v>
      </c>
    </row>
    <row r="1723" spans="1:15" x14ac:dyDescent="0.25">
      <c r="A1723" t="s">
        <v>1736</v>
      </c>
      <c r="B1723">
        <v>599</v>
      </c>
      <c r="C1723" s="1" t="str">
        <f>HYPERLINK("http://www.rosaceae.org/gb/gbrowse/malus_x_domestica/?name=MDP0000613174","MDP0000613174")</f>
        <v>MDP0000613174</v>
      </c>
      <c r="D1723">
        <v>70.78</v>
      </c>
      <c r="E1723">
        <v>623</v>
      </c>
      <c r="F1723">
        <v>182</v>
      </c>
      <c r="G1723">
        <v>33</v>
      </c>
      <c r="H1723">
        <v>1</v>
      </c>
      <c r="I1723">
        <v>592</v>
      </c>
      <c r="J1723">
        <v>1</v>
      </c>
      <c r="K1723">
        <v>1</v>
      </c>
      <c r="L1723">
        <v>621</v>
      </c>
      <c r="M1723">
        <v>1</v>
      </c>
      <c r="N1723">
        <v>0</v>
      </c>
      <c r="O1723">
        <v>2174</v>
      </c>
    </row>
    <row r="1724" spans="1:15" x14ac:dyDescent="0.25">
      <c r="A1724" t="s">
        <v>1737</v>
      </c>
      <c r="B1724">
        <v>345</v>
      </c>
      <c r="C1724" s="1" t="str">
        <f>HYPERLINK("http://www.rosaceae.org/gb/gbrowse/malus_x_domestica/?name=MDP0000329194","MDP0000329194")</f>
        <v>MDP0000329194</v>
      </c>
      <c r="D1724">
        <v>86.92</v>
      </c>
      <c r="E1724">
        <v>260</v>
      </c>
      <c r="F1724">
        <v>34</v>
      </c>
      <c r="G1724">
        <v>0</v>
      </c>
      <c r="H1724">
        <v>85</v>
      </c>
      <c r="I1724">
        <v>344</v>
      </c>
      <c r="J1724">
        <v>1</v>
      </c>
      <c r="K1724">
        <v>1</v>
      </c>
      <c r="L1724">
        <v>260</v>
      </c>
      <c r="M1724">
        <v>1</v>
      </c>
      <c r="N1724">
        <v>1.7195900000000001E-124</v>
      </c>
      <c r="O1724">
        <v>1138</v>
      </c>
    </row>
    <row r="1725" spans="1:15" x14ac:dyDescent="0.25">
      <c r="A1725" t="s">
        <v>1738</v>
      </c>
      <c r="B1725">
        <v>744</v>
      </c>
      <c r="C1725" s="1" t="str">
        <f>HYPERLINK("http://www.rosaceae.org/gb/gbrowse/malus_x_domestica/?name=MDP0000156135","MDP0000156135")</f>
        <v>MDP0000156135</v>
      </c>
      <c r="D1725">
        <v>83.2</v>
      </c>
      <c r="E1725">
        <v>762</v>
      </c>
      <c r="F1725">
        <v>128</v>
      </c>
      <c r="G1725">
        <v>21</v>
      </c>
      <c r="H1725">
        <v>1</v>
      </c>
      <c r="I1725">
        <v>744</v>
      </c>
      <c r="J1725">
        <v>1</v>
      </c>
      <c r="K1725">
        <v>1</v>
      </c>
      <c r="L1725">
        <v>759</v>
      </c>
      <c r="M1725">
        <v>1</v>
      </c>
      <c r="N1725">
        <v>0</v>
      </c>
      <c r="O1725">
        <v>3297</v>
      </c>
    </row>
    <row r="1726" spans="1:15" x14ac:dyDescent="0.25">
      <c r="A1726" t="s">
        <v>1739</v>
      </c>
      <c r="B1726">
        <v>193</v>
      </c>
      <c r="C1726" s="1" t="str">
        <f>HYPERLINK("http://www.rosaceae.org/gb/gbrowse/malus_x_domestica/?name=MDP0000244366","MDP0000244366")</f>
        <v>MDP0000244366</v>
      </c>
      <c r="D1726">
        <v>61.31</v>
      </c>
      <c r="E1726">
        <v>137</v>
      </c>
      <c r="F1726">
        <v>53</v>
      </c>
      <c r="G1726">
        <v>5</v>
      </c>
      <c r="H1726">
        <v>2</v>
      </c>
      <c r="I1726">
        <v>133</v>
      </c>
      <c r="J1726">
        <v>1</v>
      </c>
      <c r="K1726">
        <v>16</v>
      </c>
      <c r="L1726">
        <v>152</v>
      </c>
      <c r="M1726">
        <v>1</v>
      </c>
      <c r="N1726">
        <v>2.3013900000000001E-42</v>
      </c>
      <c r="O1726">
        <v>427</v>
      </c>
    </row>
    <row r="1727" spans="1:15" x14ac:dyDescent="0.25">
      <c r="A1727" t="s">
        <v>1740</v>
      </c>
      <c r="B1727">
        <v>278</v>
      </c>
      <c r="C1727" s="1" t="str">
        <f>HYPERLINK("http://www.rosaceae.org/gb/gbrowse/malus_x_domestica/?name=MDP0000319960","MDP0000319960")</f>
        <v>MDP0000319960</v>
      </c>
      <c r="D1727">
        <v>68.7</v>
      </c>
      <c r="E1727">
        <v>278</v>
      </c>
      <c r="F1727">
        <v>87</v>
      </c>
      <c r="G1727">
        <v>2</v>
      </c>
      <c r="H1727">
        <v>1</v>
      </c>
      <c r="I1727">
        <v>278</v>
      </c>
      <c r="J1727">
        <v>1</v>
      </c>
      <c r="K1727">
        <v>1</v>
      </c>
      <c r="L1727">
        <v>276</v>
      </c>
      <c r="M1727">
        <v>1</v>
      </c>
      <c r="N1727">
        <v>5.1663299999999996E-106</v>
      </c>
      <c r="O1727">
        <v>978</v>
      </c>
    </row>
    <row r="1728" spans="1:15" x14ac:dyDescent="0.25">
      <c r="A1728" t="s">
        <v>1741</v>
      </c>
      <c r="B1728">
        <v>109</v>
      </c>
      <c r="C1728" s="1" t="str">
        <f>HYPERLINK("http://www.rosaceae.org/gb/gbrowse/malus_x_domestica/?name=MDP0000253030","MDP0000253030")</f>
        <v>MDP0000253030</v>
      </c>
      <c r="D1728">
        <v>40.93</v>
      </c>
      <c r="E1728">
        <v>149</v>
      </c>
      <c r="F1728">
        <v>88</v>
      </c>
      <c r="G1728">
        <v>61</v>
      </c>
      <c r="H1728">
        <v>1</v>
      </c>
      <c r="I1728">
        <v>93</v>
      </c>
      <c r="J1728">
        <v>1</v>
      </c>
      <c r="K1728">
        <v>42</v>
      </c>
      <c r="L1728">
        <v>185</v>
      </c>
      <c r="M1728">
        <v>1</v>
      </c>
      <c r="N1728">
        <v>1.8241999999999999E-15</v>
      </c>
      <c r="O1728">
        <v>191</v>
      </c>
    </row>
    <row r="1729" spans="1:15" x14ac:dyDescent="0.25">
      <c r="A1729" t="s">
        <v>1742</v>
      </c>
      <c r="B1729">
        <v>402</v>
      </c>
      <c r="C1729" s="1" t="str">
        <f>HYPERLINK("http://www.rosaceae.org/gb/gbrowse/malus_x_domestica/?name=MDP0000139742","MDP0000139742")</f>
        <v>MDP0000139742</v>
      </c>
      <c r="D1729">
        <v>39.130000000000003</v>
      </c>
      <c r="E1729">
        <v>276</v>
      </c>
      <c r="F1729">
        <v>168</v>
      </c>
      <c r="G1729">
        <v>28</v>
      </c>
      <c r="H1729">
        <v>137</v>
      </c>
      <c r="I1729">
        <v>399</v>
      </c>
      <c r="J1729">
        <v>1</v>
      </c>
      <c r="K1729">
        <v>299</v>
      </c>
      <c r="L1729">
        <v>559</v>
      </c>
      <c r="M1729">
        <v>1</v>
      </c>
      <c r="N1729">
        <v>3.3176800000000002E-37</v>
      </c>
      <c r="O1729">
        <v>386</v>
      </c>
    </row>
    <row r="1730" spans="1:15" x14ac:dyDescent="0.25">
      <c r="A1730" t="s">
        <v>1743</v>
      </c>
      <c r="B1730">
        <v>279</v>
      </c>
      <c r="C1730" s="1" t="str">
        <f>HYPERLINK("http://www.rosaceae.org/gb/gbrowse/malus_x_domestica/?name=MDP0000248766","MDP0000248766")</f>
        <v>MDP0000248766</v>
      </c>
      <c r="D1730">
        <v>70.540000000000006</v>
      </c>
      <c r="E1730">
        <v>292</v>
      </c>
      <c r="F1730">
        <v>86</v>
      </c>
      <c r="G1730">
        <v>27</v>
      </c>
      <c r="H1730">
        <v>15</v>
      </c>
      <c r="I1730">
        <v>279</v>
      </c>
      <c r="J1730">
        <v>1</v>
      </c>
      <c r="K1730">
        <v>21</v>
      </c>
      <c r="L1730">
        <v>312</v>
      </c>
      <c r="M1730">
        <v>1</v>
      </c>
      <c r="N1730">
        <v>8.4297400000000003E-106</v>
      </c>
      <c r="O1730">
        <v>976</v>
      </c>
    </row>
    <row r="1731" spans="1:15" x14ac:dyDescent="0.25">
      <c r="A1731" t="s">
        <v>1744</v>
      </c>
      <c r="B1731">
        <v>881</v>
      </c>
      <c r="C1731" s="1" t="str">
        <f>HYPERLINK("http://www.rosaceae.org/gb/gbrowse/malus_x_domestica/?name=MDP0000256442","MDP0000256442")</f>
        <v>MDP0000256442</v>
      </c>
      <c r="D1731">
        <v>67.69</v>
      </c>
      <c r="E1731">
        <v>876</v>
      </c>
      <c r="F1731">
        <v>283</v>
      </c>
      <c r="G1731">
        <v>74</v>
      </c>
      <c r="H1731">
        <v>1</v>
      </c>
      <c r="I1731">
        <v>813</v>
      </c>
      <c r="J1731">
        <v>1</v>
      </c>
      <c r="K1731">
        <v>1</v>
      </c>
      <c r="L1731">
        <v>865</v>
      </c>
      <c r="M1731">
        <v>1</v>
      </c>
      <c r="N1731">
        <v>0</v>
      </c>
      <c r="O1731">
        <v>2872</v>
      </c>
    </row>
    <row r="1732" spans="1:15" x14ac:dyDescent="0.25">
      <c r="A1732" t="s">
        <v>1745</v>
      </c>
      <c r="B1732">
        <v>1189</v>
      </c>
      <c r="C1732" s="1" t="str">
        <f>HYPERLINK("http://www.rosaceae.org/gb/gbrowse/malus_x_domestica/?name=MDP0000291621","MDP0000291621")</f>
        <v>MDP0000291621</v>
      </c>
      <c r="D1732">
        <v>59.37</v>
      </c>
      <c r="E1732">
        <v>800</v>
      </c>
      <c r="F1732">
        <v>325</v>
      </c>
      <c r="G1732">
        <v>126</v>
      </c>
      <c r="H1732">
        <v>1</v>
      </c>
      <c r="I1732">
        <v>797</v>
      </c>
      <c r="J1732">
        <v>1</v>
      </c>
      <c r="K1732">
        <v>1</v>
      </c>
      <c r="L1732">
        <v>677</v>
      </c>
      <c r="M1732">
        <v>1</v>
      </c>
      <c r="N1732">
        <v>0</v>
      </c>
      <c r="O1732">
        <v>2258</v>
      </c>
    </row>
    <row r="1733" spans="1:15" x14ac:dyDescent="0.25">
      <c r="A1733" t="s">
        <v>1746</v>
      </c>
      <c r="B1733">
        <v>929</v>
      </c>
      <c r="C1733" s="1" t="str">
        <f>HYPERLINK("http://www.rosaceae.org/gb/gbrowse/malus_x_domestica/?name=MDP0000765663","MDP0000765663")</f>
        <v>MDP0000765663</v>
      </c>
      <c r="D1733">
        <v>76.45</v>
      </c>
      <c r="E1733">
        <v>327</v>
      </c>
      <c r="F1733">
        <v>77</v>
      </c>
      <c r="G1733">
        <v>0</v>
      </c>
      <c r="H1733">
        <v>260</v>
      </c>
      <c r="I1733">
        <v>586</v>
      </c>
      <c r="J1733">
        <v>1</v>
      </c>
      <c r="K1733">
        <v>31</v>
      </c>
      <c r="L1733">
        <v>357</v>
      </c>
      <c r="M1733">
        <v>1</v>
      </c>
      <c r="N1733">
        <v>1.9869400000000001E-146</v>
      </c>
      <c r="O1733">
        <v>1332</v>
      </c>
    </row>
    <row r="1734" spans="1:15" x14ac:dyDescent="0.25">
      <c r="A1734" t="s">
        <v>1747</v>
      </c>
      <c r="B1734">
        <v>449</v>
      </c>
      <c r="C1734" s="1" t="str">
        <f>HYPERLINK("http://www.rosaceae.org/gb/gbrowse/malus_x_domestica/?name=MDP0000792734","MDP0000792734")</f>
        <v>MDP0000792734</v>
      </c>
      <c r="D1734">
        <v>56.61</v>
      </c>
      <c r="E1734">
        <v>325</v>
      </c>
      <c r="F1734">
        <v>141</v>
      </c>
      <c r="G1734">
        <v>3</v>
      </c>
      <c r="H1734">
        <v>114</v>
      </c>
      <c r="I1734">
        <v>435</v>
      </c>
      <c r="J1734">
        <v>1</v>
      </c>
      <c r="K1734">
        <v>78</v>
      </c>
      <c r="L1734">
        <v>402</v>
      </c>
      <c r="M1734">
        <v>1</v>
      </c>
      <c r="N1734">
        <v>2.6641600000000001E-99</v>
      </c>
      <c r="O1734">
        <v>922</v>
      </c>
    </row>
    <row r="1735" spans="1:15" x14ac:dyDescent="0.25">
      <c r="A1735" t="s">
        <v>1748</v>
      </c>
      <c r="B1735">
        <v>586</v>
      </c>
      <c r="C1735" s="1" t="str">
        <f>HYPERLINK("http://www.rosaceae.org/gb/gbrowse/malus_x_domestica/?name=MDP0000270993","MDP0000270993")</f>
        <v>MDP0000270993</v>
      </c>
      <c r="D1735">
        <v>45.25</v>
      </c>
      <c r="E1735">
        <v>464</v>
      </c>
      <c r="F1735">
        <v>254</v>
      </c>
      <c r="G1735">
        <v>112</v>
      </c>
      <c r="H1735">
        <v>20</v>
      </c>
      <c r="I1735">
        <v>392</v>
      </c>
      <c r="J1735">
        <v>1</v>
      </c>
      <c r="K1735">
        <v>23</v>
      </c>
      <c r="L1735">
        <v>465</v>
      </c>
      <c r="M1735">
        <v>1</v>
      </c>
      <c r="N1735">
        <v>1.07947E-106</v>
      </c>
      <c r="O1735">
        <v>987</v>
      </c>
    </row>
    <row r="1736" spans="1:15" x14ac:dyDescent="0.25">
      <c r="A1736" t="s">
        <v>1749</v>
      </c>
      <c r="B1736">
        <v>244</v>
      </c>
      <c r="C1736" s="1" t="str">
        <f>HYPERLINK("http://www.rosaceae.org/gb/gbrowse/malus_x_domestica/?name=MDP0000237033","MDP0000237033")</f>
        <v>MDP0000237033</v>
      </c>
      <c r="D1736">
        <v>68.33</v>
      </c>
      <c r="E1736">
        <v>240</v>
      </c>
      <c r="F1736">
        <v>76</v>
      </c>
      <c r="G1736">
        <v>19</v>
      </c>
      <c r="H1736">
        <v>5</v>
      </c>
      <c r="I1736">
        <v>244</v>
      </c>
      <c r="J1736">
        <v>1</v>
      </c>
      <c r="K1736">
        <v>125</v>
      </c>
      <c r="L1736">
        <v>345</v>
      </c>
      <c r="M1736">
        <v>1</v>
      </c>
      <c r="N1736">
        <v>6.3687699999999999E-91</v>
      </c>
      <c r="O1736">
        <v>847</v>
      </c>
    </row>
    <row r="1737" spans="1:15" x14ac:dyDescent="0.25">
      <c r="A1737" t="s">
        <v>1750</v>
      </c>
      <c r="B1737">
        <v>200</v>
      </c>
      <c r="C1737" s="1" t="str">
        <f>HYPERLINK("http://www.rosaceae.org/gb/gbrowse/malus_x_domestica/?name=MDP0000162856","MDP0000162856")</f>
        <v>MDP0000162856</v>
      </c>
      <c r="D1737">
        <v>64.849999999999994</v>
      </c>
      <c r="E1737">
        <v>202</v>
      </c>
      <c r="F1737">
        <v>71</v>
      </c>
      <c r="G1737">
        <v>3</v>
      </c>
      <c r="H1737">
        <v>1</v>
      </c>
      <c r="I1737">
        <v>200</v>
      </c>
      <c r="J1737">
        <v>1</v>
      </c>
      <c r="K1737">
        <v>1</v>
      </c>
      <c r="L1737">
        <v>201</v>
      </c>
      <c r="M1737">
        <v>1</v>
      </c>
      <c r="N1737">
        <v>1.12907E-67</v>
      </c>
      <c r="O1737">
        <v>645</v>
      </c>
    </row>
    <row r="1738" spans="1:15" x14ac:dyDescent="0.25">
      <c r="A1738" t="s">
        <v>1751</v>
      </c>
      <c r="B1738">
        <v>586</v>
      </c>
      <c r="C1738" s="1" t="str">
        <f>HYPERLINK("http://www.rosaceae.org/gb/gbrowse/malus_x_domestica/?name=MDP0000149626","MDP0000149626")</f>
        <v>MDP0000149626</v>
      </c>
      <c r="D1738">
        <v>84.47</v>
      </c>
      <c r="E1738">
        <v>586</v>
      </c>
      <c r="F1738">
        <v>91</v>
      </c>
      <c r="G1738">
        <v>0</v>
      </c>
      <c r="H1738">
        <v>1</v>
      </c>
      <c r="I1738">
        <v>586</v>
      </c>
      <c r="J1738">
        <v>1</v>
      </c>
      <c r="K1738">
        <v>99</v>
      </c>
      <c r="L1738">
        <v>684</v>
      </c>
      <c r="M1738">
        <v>1</v>
      </c>
      <c r="N1738">
        <v>0</v>
      </c>
      <c r="O1738">
        <v>2713</v>
      </c>
    </row>
    <row r="1739" spans="1:15" x14ac:dyDescent="0.25">
      <c r="A1739" t="s">
        <v>1752</v>
      </c>
      <c r="B1739">
        <v>197</v>
      </c>
      <c r="C1739" s="1" t="str">
        <f>HYPERLINK("http://www.rosaceae.org/gb/gbrowse/malus_x_domestica/?name=MDP0000231945","MDP0000231945")</f>
        <v>MDP0000231945</v>
      </c>
      <c r="D1739">
        <v>77.3</v>
      </c>
      <c r="E1739">
        <v>141</v>
      </c>
      <c r="F1739">
        <v>32</v>
      </c>
      <c r="G1739">
        <v>0</v>
      </c>
      <c r="H1739">
        <v>57</v>
      </c>
      <c r="I1739">
        <v>197</v>
      </c>
      <c r="J1739">
        <v>1</v>
      </c>
      <c r="K1739">
        <v>22</v>
      </c>
      <c r="L1739">
        <v>162</v>
      </c>
      <c r="M1739">
        <v>1</v>
      </c>
      <c r="N1739">
        <v>1.22318E-62</v>
      </c>
      <c r="O1739">
        <v>602</v>
      </c>
    </row>
    <row r="1740" spans="1:15" x14ac:dyDescent="0.25">
      <c r="A1740" t="s">
        <v>1753</v>
      </c>
      <c r="B1740">
        <v>1203</v>
      </c>
      <c r="C1740" s="1" t="str">
        <f>HYPERLINK("http://www.rosaceae.org/gb/gbrowse/malus_x_domestica/?name=MDP0000757833","MDP0000757833")</f>
        <v>MDP0000757833</v>
      </c>
      <c r="D1740">
        <v>71.37</v>
      </c>
      <c r="E1740">
        <v>1247</v>
      </c>
      <c r="F1740">
        <v>357</v>
      </c>
      <c r="G1740">
        <v>60</v>
      </c>
      <c r="H1740">
        <v>1</v>
      </c>
      <c r="I1740">
        <v>1200</v>
      </c>
      <c r="J1740">
        <v>1</v>
      </c>
      <c r="K1740">
        <v>1</v>
      </c>
      <c r="L1740">
        <v>1234</v>
      </c>
      <c r="M1740">
        <v>1</v>
      </c>
      <c r="N1740">
        <v>0</v>
      </c>
      <c r="O1740">
        <v>4582</v>
      </c>
    </row>
    <row r="1741" spans="1:15" x14ac:dyDescent="0.25">
      <c r="A1741" t="s">
        <v>1754</v>
      </c>
      <c r="B1741">
        <v>102</v>
      </c>
      <c r="C1741" s="1" t="str">
        <f>HYPERLINK("http://www.rosaceae.org/gb/gbrowse/malus_x_domestica/?name=MDP0000215540","MDP0000215540")</f>
        <v>MDP0000215540</v>
      </c>
      <c r="D1741">
        <v>78.430000000000007</v>
      </c>
      <c r="E1741">
        <v>51</v>
      </c>
      <c r="F1741">
        <v>11</v>
      </c>
      <c r="G1741">
        <v>0</v>
      </c>
      <c r="H1741">
        <v>27</v>
      </c>
      <c r="I1741">
        <v>77</v>
      </c>
      <c r="J1741">
        <v>1</v>
      </c>
      <c r="K1741">
        <v>84</v>
      </c>
      <c r="L1741">
        <v>134</v>
      </c>
      <c r="M1741">
        <v>1</v>
      </c>
      <c r="N1741">
        <v>1.03276E-15</v>
      </c>
      <c r="O1741">
        <v>193</v>
      </c>
    </row>
    <row r="1742" spans="1:15" x14ac:dyDescent="0.25">
      <c r="A1742" t="s">
        <v>1755</v>
      </c>
      <c r="B1742">
        <v>372</v>
      </c>
      <c r="C1742" s="1" t="str">
        <f>HYPERLINK("http://www.rosaceae.org/gb/gbrowse/malus_x_domestica/?name=MDP0000205780","MDP0000205780")</f>
        <v>MDP0000205780</v>
      </c>
      <c r="D1742">
        <v>46.12</v>
      </c>
      <c r="E1742">
        <v>310</v>
      </c>
      <c r="F1742">
        <v>167</v>
      </c>
      <c r="G1742">
        <v>30</v>
      </c>
      <c r="H1742">
        <v>89</v>
      </c>
      <c r="I1742">
        <v>372</v>
      </c>
      <c r="J1742">
        <v>1</v>
      </c>
      <c r="K1742">
        <v>120</v>
      </c>
      <c r="L1742">
        <v>425</v>
      </c>
      <c r="M1742">
        <v>1</v>
      </c>
      <c r="N1742">
        <v>4.1649000000000002E-61</v>
      </c>
      <c r="O1742">
        <v>592</v>
      </c>
    </row>
    <row r="1743" spans="1:15" x14ac:dyDescent="0.25">
      <c r="A1743" t="s">
        <v>1756</v>
      </c>
      <c r="B1743">
        <v>403</v>
      </c>
      <c r="C1743" s="1" t="str">
        <f>HYPERLINK("http://www.rosaceae.org/gb/gbrowse/malus_x_domestica/?name=MDP0000764157","MDP0000764157")</f>
        <v>MDP0000764157</v>
      </c>
      <c r="D1743">
        <v>56.81</v>
      </c>
      <c r="E1743">
        <v>44</v>
      </c>
      <c r="F1743">
        <v>19</v>
      </c>
      <c r="G1743">
        <v>0</v>
      </c>
      <c r="H1743">
        <v>329</v>
      </c>
      <c r="I1743">
        <v>372</v>
      </c>
      <c r="J1743">
        <v>1</v>
      </c>
      <c r="K1743">
        <v>207</v>
      </c>
      <c r="L1743">
        <v>250</v>
      </c>
      <c r="M1743">
        <v>1</v>
      </c>
      <c r="N1743">
        <v>1.2119599999999999E-11</v>
      </c>
      <c r="O1743">
        <v>166</v>
      </c>
    </row>
    <row r="1744" spans="1:15" x14ac:dyDescent="0.25">
      <c r="A1744" t="s">
        <v>1757</v>
      </c>
      <c r="B1744">
        <v>427</v>
      </c>
      <c r="C1744" s="1" t="str">
        <f>HYPERLINK("http://www.rosaceae.org/gb/gbrowse/malus_x_domestica/?name=MDP0000215276","MDP0000215276")</f>
        <v>MDP0000215276</v>
      </c>
      <c r="D1744">
        <v>64.900000000000006</v>
      </c>
      <c r="E1744">
        <v>416</v>
      </c>
      <c r="F1744">
        <v>146</v>
      </c>
      <c r="G1744">
        <v>16</v>
      </c>
      <c r="H1744">
        <v>4</v>
      </c>
      <c r="I1744">
        <v>413</v>
      </c>
      <c r="J1744">
        <v>1</v>
      </c>
      <c r="K1744">
        <v>5</v>
      </c>
      <c r="L1744">
        <v>410</v>
      </c>
      <c r="M1744">
        <v>1</v>
      </c>
      <c r="N1744">
        <v>8.5124300000000006E-146</v>
      </c>
      <c r="O1744">
        <v>1323</v>
      </c>
    </row>
    <row r="1745" spans="1:15" x14ac:dyDescent="0.25">
      <c r="A1745" t="s">
        <v>1758</v>
      </c>
      <c r="B1745">
        <v>236</v>
      </c>
      <c r="C1745" s="1" t="str">
        <f>HYPERLINK("http://www.rosaceae.org/gb/gbrowse/malus_x_domestica/?name=MDP0000191661","MDP0000191661")</f>
        <v>MDP0000191661</v>
      </c>
      <c r="D1745">
        <v>81.430000000000007</v>
      </c>
      <c r="E1745">
        <v>237</v>
      </c>
      <c r="F1745">
        <v>44</v>
      </c>
      <c r="G1745">
        <v>2</v>
      </c>
      <c r="H1745">
        <v>1</v>
      </c>
      <c r="I1745">
        <v>236</v>
      </c>
      <c r="J1745">
        <v>1</v>
      </c>
      <c r="K1745">
        <v>1</v>
      </c>
      <c r="L1745">
        <v>236</v>
      </c>
      <c r="M1745">
        <v>1</v>
      </c>
      <c r="N1745">
        <v>3.4857999999999998E-110</v>
      </c>
      <c r="O1745">
        <v>1013</v>
      </c>
    </row>
    <row r="1746" spans="1:15" x14ac:dyDescent="0.25">
      <c r="A1746" t="s">
        <v>1759</v>
      </c>
      <c r="B1746">
        <v>471</v>
      </c>
      <c r="C1746" s="1" t="str">
        <f>HYPERLINK("http://www.rosaceae.org/gb/gbrowse/malus_x_domestica/?name=MDP0000154475","MDP0000154475")</f>
        <v>MDP0000154475</v>
      </c>
      <c r="D1746">
        <v>89.58</v>
      </c>
      <c r="E1746">
        <v>432</v>
      </c>
      <c r="F1746">
        <v>45</v>
      </c>
      <c r="G1746">
        <v>10</v>
      </c>
      <c r="H1746">
        <v>47</v>
      </c>
      <c r="I1746">
        <v>468</v>
      </c>
      <c r="J1746">
        <v>1</v>
      </c>
      <c r="K1746">
        <v>46</v>
      </c>
      <c r="L1746">
        <v>477</v>
      </c>
      <c r="M1746">
        <v>1</v>
      </c>
      <c r="N1746">
        <v>0</v>
      </c>
      <c r="O1746">
        <v>2089</v>
      </c>
    </row>
    <row r="1747" spans="1:15" x14ac:dyDescent="0.25">
      <c r="A1747" t="s">
        <v>1760</v>
      </c>
      <c r="B1747">
        <v>697</v>
      </c>
      <c r="C1747" s="1" t="str">
        <f>HYPERLINK("http://www.rosaceae.org/gb/gbrowse/malus_x_domestica/?name=MDP0000228426","MDP0000228426")</f>
        <v>MDP0000228426</v>
      </c>
      <c r="D1747">
        <v>64.260000000000005</v>
      </c>
      <c r="E1747">
        <v>722</v>
      </c>
      <c r="F1747">
        <v>258</v>
      </c>
      <c r="G1747">
        <v>57</v>
      </c>
      <c r="H1747">
        <v>16</v>
      </c>
      <c r="I1747">
        <v>689</v>
      </c>
      <c r="J1747">
        <v>1</v>
      </c>
      <c r="K1747">
        <v>20</v>
      </c>
      <c r="L1747">
        <v>732</v>
      </c>
      <c r="M1747">
        <v>1</v>
      </c>
      <c r="N1747">
        <v>0</v>
      </c>
      <c r="O1747">
        <v>2350</v>
      </c>
    </row>
    <row r="1748" spans="1:15" x14ac:dyDescent="0.25">
      <c r="A1748" t="s">
        <v>1761</v>
      </c>
      <c r="B1748">
        <v>166</v>
      </c>
      <c r="C1748" s="1" t="str">
        <f>HYPERLINK("http://www.rosaceae.org/gb/gbrowse/malus_x_domestica/?name=MDP0000162661","MDP0000162661")</f>
        <v>MDP0000162661</v>
      </c>
      <c r="D1748">
        <v>92.56</v>
      </c>
      <c r="E1748">
        <v>121</v>
      </c>
      <c r="F1748">
        <v>9</v>
      </c>
      <c r="G1748">
        <v>1</v>
      </c>
      <c r="H1748">
        <v>1</v>
      </c>
      <c r="I1748">
        <v>121</v>
      </c>
      <c r="J1748">
        <v>1</v>
      </c>
      <c r="K1748">
        <v>52</v>
      </c>
      <c r="L1748">
        <v>171</v>
      </c>
      <c r="M1748">
        <v>1</v>
      </c>
      <c r="N1748">
        <v>1.4021100000000001E-61</v>
      </c>
      <c r="O1748">
        <v>591</v>
      </c>
    </row>
    <row r="1749" spans="1:15" x14ac:dyDescent="0.25">
      <c r="A1749" t="s">
        <v>1762</v>
      </c>
      <c r="B1749">
        <v>246</v>
      </c>
      <c r="C1749" s="1" t="str">
        <f>HYPERLINK("http://www.rosaceae.org/gb/gbrowse/malus_x_domestica/?name=MDP0000314836","MDP0000314836")</f>
        <v>MDP0000314836</v>
      </c>
      <c r="D1749">
        <v>43.2</v>
      </c>
      <c r="E1749">
        <v>243</v>
      </c>
      <c r="F1749">
        <v>138</v>
      </c>
      <c r="G1749">
        <v>40</v>
      </c>
      <c r="H1749">
        <v>11</v>
      </c>
      <c r="I1749">
        <v>243</v>
      </c>
      <c r="J1749">
        <v>1</v>
      </c>
      <c r="K1749">
        <v>15</v>
      </c>
      <c r="L1749">
        <v>227</v>
      </c>
      <c r="M1749">
        <v>1</v>
      </c>
      <c r="N1749">
        <v>7.7956100000000002E-46</v>
      </c>
      <c r="O1749">
        <v>458</v>
      </c>
    </row>
    <row r="1750" spans="1:15" x14ac:dyDescent="0.25">
      <c r="A1750" t="s">
        <v>1763</v>
      </c>
      <c r="B1750">
        <v>275</v>
      </c>
      <c r="C1750" s="1" t="str">
        <f>HYPERLINK("http://www.rosaceae.org/gb/gbrowse/malus_x_domestica/?name=MDP0000679722","MDP0000679722")</f>
        <v>MDP0000679722</v>
      </c>
      <c r="D1750">
        <v>38.049999999999997</v>
      </c>
      <c r="E1750">
        <v>134</v>
      </c>
      <c r="F1750">
        <v>83</v>
      </c>
      <c r="G1750">
        <v>2</v>
      </c>
      <c r="H1750">
        <v>90</v>
      </c>
      <c r="I1750">
        <v>222</v>
      </c>
      <c r="J1750">
        <v>1</v>
      </c>
      <c r="K1750">
        <v>221</v>
      </c>
      <c r="L1750">
        <v>353</v>
      </c>
      <c r="M1750">
        <v>1</v>
      </c>
      <c r="N1750">
        <v>1.8195499999999999E-20</v>
      </c>
      <c r="O1750">
        <v>240</v>
      </c>
    </row>
    <row r="1751" spans="1:15" x14ac:dyDescent="0.25">
      <c r="A1751" t="s">
        <v>1764</v>
      </c>
      <c r="B1751">
        <v>442</v>
      </c>
      <c r="C1751" s="1" t="str">
        <f>HYPERLINK("http://www.rosaceae.org/gb/gbrowse/malus_x_domestica/?name=MDP0000857802","MDP0000857802")</f>
        <v>MDP0000857802</v>
      </c>
      <c r="D1751">
        <v>68.930000000000007</v>
      </c>
      <c r="E1751">
        <v>441</v>
      </c>
      <c r="F1751">
        <v>137</v>
      </c>
      <c r="G1751">
        <v>7</v>
      </c>
      <c r="H1751">
        <v>1</v>
      </c>
      <c r="I1751">
        <v>438</v>
      </c>
      <c r="J1751">
        <v>1</v>
      </c>
      <c r="K1751">
        <v>1</v>
      </c>
      <c r="L1751">
        <v>437</v>
      </c>
      <c r="M1751">
        <v>1</v>
      </c>
      <c r="N1751">
        <v>5.3212800000000003E-174</v>
      </c>
      <c r="O1751">
        <v>1566</v>
      </c>
    </row>
    <row r="1752" spans="1:15" x14ac:dyDescent="0.25">
      <c r="A1752" t="s">
        <v>1765</v>
      </c>
      <c r="B1752">
        <v>956</v>
      </c>
      <c r="C1752" s="1" t="str">
        <f>HYPERLINK("http://www.rosaceae.org/gb/gbrowse/malus_x_domestica/?name=MDP0000917318","MDP0000917318")</f>
        <v>MDP0000917318</v>
      </c>
      <c r="D1752">
        <v>37.44</v>
      </c>
      <c r="E1752">
        <v>924</v>
      </c>
      <c r="F1752">
        <v>578</v>
      </c>
      <c r="G1752">
        <v>21</v>
      </c>
      <c r="H1752">
        <v>46</v>
      </c>
      <c r="I1752">
        <v>956</v>
      </c>
      <c r="J1752">
        <v>1</v>
      </c>
      <c r="K1752">
        <v>61</v>
      </c>
      <c r="L1752">
        <v>976</v>
      </c>
      <c r="M1752">
        <v>1</v>
      </c>
      <c r="N1752">
        <v>1.1432299999999999E-179</v>
      </c>
      <c r="O1752">
        <v>1619</v>
      </c>
    </row>
    <row r="1753" spans="1:15" x14ac:dyDescent="0.25">
      <c r="A1753" t="s">
        <v>1766</v>
      </c>
      <c r="B1753">
        <v>1424</v>
      </c>
      <c r="C1753" s="1" t="str">
        <f>HYPERLINK("http://www.rosaceae.org/gb/gbrowse/malus_x_domestica/?name=MDP0000122465","MDP0000122465")</f>
        <v>MDP0000122465</v>
      </c>
      <c r="D1753">
        <v>90.38</v>
      </c>
      <c r="E1753">
        <v>468</v>
      </c>
      <c r="F1753">
        <v>45</v>
      </c>
      <c r="G1753">
        <v>16</v>
      </c>
      <c r="H1753">
        <v>1</v>
      </c>
      <c r="I1753">
        <v>453</v>
      </c>
      <c r="J1753">
        <v>1</v>
      </c>
      <c r="K1753">
        <v>1</v>
      </c>
      <c r="L1753">
        <v>467</v>
      </c>
      <c r="M1753">
        <v>1</v>
      </c>
      <c r="N1753">
        <v>0</v>
      </c>
      <c r="O1753">
        <v>2282</v>
      </c>
    </row>
    <row r="1754" spans="1:15" x14ac:dyDescent="0.25">
      <c r="A1754" t="s">
        <v>1767</v>
      </c>
      <c r="B1754">
        <v>225</v>
      </c>
      <c r="C1754" s="1" t="str">
        <f>HYPERLINK("http://www.rosaceae.org/gb/gbrowse/malus_x_domestica/?name=MDP0000189779","MDP0000189779")</f>
        <v>MDP0000189779</v>
      </c>
      <c r="D1754">
        <v>71.06</v>
      </c>
      <c r="E1754">
        <v>235</v>
      </c>
      <c r="F1754">
        <v>68</v>
      </c>
      <c r="G1754">
        <v>18</v>
      </c>
      <c r="H1754">
        <v>7</v>
      </c>
      <c r="I1754">
        <v>223</v>
      </c>
      <c r="J1754">
        <v>1</v>
      </c>
      <c r="K1754">
        <v>8</v>
      </c>
      <c r="L1754">
        <v>242</v>
      </c>
      <c r="M1754">
        <v>1</v>
      </c>
      <c r="N1754">
        <v>1.08049E-89</v>
      </c>
      <c r="O1754">
        <v>836</v>
      </c>
    </row>
    <row r="1755" spans="1:15" x14ac:dyDescent="0.25">
      <c r="A1755" t="s">
        <v>1768</v>
      </c>
      <c r="B1755">
        <v>139</v>
      </c>
      <c r="C1755" s="1" t="str">
        <f>HYPERLINK("http://www.rosaceae.org/gb/gbrowse/malus_x_domestica/?name=MDP0000205603","MDP0000205603")</f>
        <v>MDP0000205603</v>
      </c>
      <c r="D1755">
        <v>46.83</v>
      </c>
      <c r="E1755">
        <v>79</v>
      </c>
      <c r="F1755">
        <v>42</v>
      </c>
      <c r="G1755">
        <v>0</v>
      </c>
      <c r="H1755">
        <v>45</v>
      </c>
      <c r="I1755">
        <v>123</v>
      </c>
      <c r="J1755">
        <v>1</v>
      </c>
      <c r="K1755">
        <v>64</v>
      </c>
      <c r="L1755">
        <v>142</v>
      </c>
      <c r="M1755">
        <v>1</v>
      </c>
      <c r="N1755">
        <v>6.98785E-17</v>
      </c>
      <c r="O1755">
        <v>204</v>
      </c>
    </row>
    <row r="1756" spans="1:15" x14ac:dyDescent="0.25">
      <c r="A1756" t="s">
        <v>1769</v>
      </c>
      <c r="B1756">
        <v>184</v>
      </c>
      <c r="C1756" s="1" t="str">
        <f>HYPERLINK("http://www.rosaceae.org/gb/gbrowse/malus_x_domestica/?name=MDP0000132810","MDP0000132810")</f>
        <v>MDP0000132810</v>
      </c>
      <c r="D1756">
        <v>44</v>
      </c>
      <c r="E1756">
        <v>50</v>
      </c>
      <c r="F1756">
        <v>28</v>
      </c>
      <c r="G1756">
        <v>1</v>
      </c>
      <c r="H1756">
        <v>135</v>
      </c>
      <c r="I1756">
        <v>183</v>
      </c>
      <c r="J1756">
        <v>1</v>
      </c>
      <c r="K1756">
        <v>562</v>
      </c>
      <c r="L1756">
        <v>611</v>
      </c>
      <c r="M1756">
        <v>1</v>
      </c>
      <c r="N1756">
        <v>6.5911899999999996E-7</v>
      </c>
      <c r="O1756">
        <v>121</v>
      </c>
    </row>
    <row r="1757" spans="1:15" x14ac:dyDescent="0.25">
      <c r="A1757" t="s">
        <v>1770</v>
      </c>
      <c r="B1757">
        <v>1173</v>
      </c>
      <c r="C1757" s="1" t="str">
        <f>HYPERLINK("http://www.rosaceae.org/gb/gbrowse/malus_x_domestica/?name=MDP0000180405","MDP0000180405")</f>
        <v>MDP0000180405</v>
      </c>
      <c r="D1757">
        <v>80.83</v>
      </c>
      <c r="E1757">
        <v>767</v>
      </c>
      <c r="F1757">
        <v>147</v>
      </c>
      <c r="G1757">
        <v>4</v>
      </c>
      <c r="H1757">
        <v>343</v>
      </c>
      <c r="I1757">
        <v>1106</v>
      </c>
      <c r="J1757">
        <v>1</v>
      </c>
      <c r="K1757">
        <v>580</v>
      </c>
      <c r="L1757">
        <v>1345</v>
      </c>
      <c r="M1757">
        <v>1</v>
      </c>
      <c r="N1757">
        <v>0</v>
      </c>
      <c r="O1757">
        <v>3347</v>
      </c>
    </row>
    <row r="1758" spans="1:15" x14ac:dyDescent="0.25">
      <c r="A1758" t="s">
        <v>1771</v>
      </c>
      <c r="B1758">
        <v>265</v>
      </c>
      <c r="C1758" s="1" t="str">
        <f>HYPERLINK("http://www.rosaceae.org/gb/gbrowse/malus_x_domestica/?name=MDP0000228573","MDP0000228573")</f>
        <v>MDP0000228573</v>
      </c>
      <c r="D1758">
        <v>47.45</v>
      </c>
      <c r="E1758">
        <v>236</v>
      </c>
      <c r="F1758">
        <v>124</v>
      </c>
      <c r="G1758">
        <v>8</v>
      </c>
      <c r="H1758">
        <v>17</v>
      </c>
      <c r="I1758">
        <v>247</v>
      </c>
      <c r="J1758">
        <v>1</v>
      </c>
      <c r="K1758">
        <v>15</v>
      </c>
      <c r="L1758">
        <v>247</v>
      </c>
      <c r="M1758">
        <v>1</v>
      </c>
      <c r="N1758">
        <v>7.9377200000000004E-58</v>
      </c>
      <c r="O1758">
        <v>562</v>
      </c>
    </row>
    <row r="1759" spans="1:15" x14ac:dyDescent="0.25">
      <c r="A1759" t="s">
        <v>1772</v>
      </c>
      <c r="B1759">
        <v>532</v>
      </c>
      <c r="C1759" s="1" t="str">
        <f>HYPERLINK("http://www.rosaceae.org/gb/gbrowse/malus_x_domestica/?name=MDP0000276724","MDP0000276724")</f>
        <v>MDP0000276724</v>
      </c>
      <c r="D1759">
        <v>92.24</v>
      </c>
      <c r="E1759">
        <v>529</v>
      </c>
      <c r="F1759">
        <v>41</v>
      </c>
      <c r="G1759">
        <v>0</v>
      </c>
      <c r="H1759">
        <v>4</v>
      </c>
      <c r="I1759">
        <v>532</v>
      </c>
      <c r="J1759">
        <v>1</v>
      </c>
      <c r="K1759">
        <v>6</v>
      </c>
      <c r="L1759">
        <v>534</v>
      </c>
      <c r="M1759">
        <v>1</v>
      </c>
      <c r="N1759">
        <v>0</v>
      </c>
      <c r="O1759">
        <v>2514</v>
      </c>
    </row>
    <row r="1760" spans="1:15" x14ac:dyDescent="0.25">
      <c r="A1760" t="s">
        <v>1773</v>
      </c>
      <c r="B1760">
        <v>150</v>
      </c>
      <c r="C1760" s="1" t="str">
        <f>HYPERLINK("http://www.rosaceae.org/gb/gbrowse/malus_x_domestica/?name=MDP0000125673","MDP0000125673")</f>
        <v>MDP0000125673</v>
      </c>
      <c r="D1760">
        <v>71.709999999999994</v>
      </c>
      <c r="E1760">
        <v>152</v>
      </c>
      <c r="F1760">
        <v>43</v>
      </c>
      <c r="G1760">
        <v>11</v>
      </c>
      <c r="H1760">
        <v>3</v>
      </c>
      <c r="I1760">
        <v>146</v>
      </c>
      <c r="J1760">
        <v>1</v>
      </c>
      <c r="K1760">
        <v>6</v>
      </c>
      <c r="L1760">
        <v>154</v>
      </c>
      <c r="M1760">
        <v>1</v>
      </c>
      <c r="N1760">
        <v>1.8844200000000001E-52</v>
      </c>
      <c r="O1760">
        <v>512</v>
      </c>
    </row>
    <row r="1761" spans="1:15" x14ac:dyDescent="0.25">
      <c r="A1761" t="s">
        <v>1774</v>
      </c>
      <c r="B1761">
        <v>348</v>
      </c>
      <c r="C1761" s="1" t="str">
        <f>HYPERLINK("http://www.rosaceae.org/gb/gbrowse/malus_x_domestica/?name=MDP0000217462","MDP0000217462")</f>
        <v>MDP0000217462</v>
      </c>
      <c r="D1761">
        <v>52.09</v>
      </c>
      <c r="E1761">
        <v>382</v>
      </c>
      <c r="F1761">
        <v>183</v>
      </c>
      <c r="G1761">
        <v>59</v>
      </c>
      <c r="H1761">
        <v>1</v>
      </c>
      <c r="I1761">
        <v>331</v>
      </c>
      <c r="J1761">
        <v>1</v>
      </c>
      <c r="K1761">
        <v>1</v>
      </c>
      <c r="L1761">
        <v>374</v>
      </c>
      <c r="M1761">
        <v>1</v>
      </c>
      <c r="N1761">
        <v>1.8763400000000001E-96</v>
      </c>
      <c r="O1761">
        <v>897</v>
      </c>
    </row>
    <row r="1762" spans="1:15" x14ac:dyDescent="0.25">
      <c r="A1762" t="s">
        <v>1775</v>
      </c>
      <c r="B1762">
        <v>214</v>
      </c>
      <c r="C1762" s="1" t="str">
        <f>HYPERLINK("http://www.rosaceae.org/gb/gbrowse/malus_x_domestica/?name=MDP0000807972","MDP0000807972")</f>
        <v>MDP0000807972</v>
      </c>
      <c r="D1762">
        <v>58.79</v>
      </c>
      <c r="E1762">
        <v>216</v>
      </c>
      <c r="F1762">
        <v>89</v>
      </c>
      <c r="G1762">
        <v>25</v>
      </c>
      <c r="H1762">
        <v>1</v>
      </c>
      <c r="I1762">
        <v>214</v>
      </c>
      <c r="J1762">
        <v>1</v>
      </c>
      <c r="K1762">
        <v>1</v>
      </c>
      <c r="L1762">
        <v>193</v>
      </c>
      <c r="M1762">
        <v>1</v>
      </c>
      <c r="N1762">
        <v>2.2055900000000001E-58</v>
      </c>
      <c r="O1762">
        <v>565</v>
      </c>
    </row>
    <row r="1763" spans="1:15" x14ac:dyDescent="0.25">
      <c r="A1763" t="s">
        <v>1776</v>
      </c>
      <c r="B1763">
        <v>471</v>
      </c>
      <c r="C1763" s="1" t="str">
        <f>HYPERLINK("http://www.rosaceae.org/gb/gbrowse/malus_x_domestica/?name=MDP0000796588","MDP0000796588")</f>
        <v>MDP0000796588</v>
      </c>
      <c r="D1763">
        <v>69.19</v>
      </c>
      <c r="E1763">
        <v>224</v>
      </c>
      <c r="F1763">
        <v>69</v>
      </c>
      <c r="G1763">
        <v>7</v>
      </c>
      <c r="H1763">
        <v>249</v>
      </c>
      <c r="I1763">
        <v>468</v>
      </c>
      <c r="J1763">
        <v>1</v>
      </c>
      <c r="K1763">
        <v>3</v>
      </c>
      <c r="L1763">
        <v>223</v>
      </c>
      <c r="M1763">
        <v>1</v>
      </c>
      <c r="N1763">
        <v>5.2305400000000002E-88</v>
      </c>
      <c r="O1763">
        <v>825</v>
      </c>
    </row>
    <row r="1764" spans="1:15" x14ac:dyDescent="0.25">
      <c r="A1764" t="s">
        <v>1777</v>
      </c>
      <c r="B1764">
        <v>842</v>
      </c>
      <c r="C1764" s="1" t="str">
        <f>HYPERLINK("http://www.rosaceae.org/gb/gbrowse/malus_x_domestica/?name=MDP0000464286","MDP0000464286")</f>
        <v>MDP0000464286</v>
      </c>
      <c r="D1764">
        <v>34.03</v>
      </c>
      <c r="E1764">
        <v>526</v>
      </c>
      <c r="F1764">
        <v>347</v>
      </c>
      <c r="G1764">
        <v>33</v>
      </c>
      <c r="H1764">
        <v>271</v>
      </c>
      <c r="I1764">
        <v>787</v>
      </c>
      <c r="J1764">
        <v>1</v>
      </c>
      <c r="K1764">
        <v>89</v>
      </c>
      <c r="L1764">
        <v>590</v>
      </c>
      <c r="M1764">
        <v>1</v>
      </c>
      <c r="N1764">
        <v>1.9623999999999999E-77</v>
      </c>
      <c r="O1764">
        <v>737</v>
      </c>
    </row>
    <row r="1765" spans="1:15" x14ac:dyDescent="0.25">
      <c r="A1765" t="s">
        <v>1778</v>
      </c>
      <c r="B1765">
        <v>788</v>
      </c>
      <c r="C1765" s="1" t="str">
        <f>HYPERLINK("http://www.rosaceae.org/gb/gbrowse/malus_x_domestica/?name=MDP0000180024","MDP0000180024")</f>
        <v>MDP0000180024</v>
      </c>
      <c r="D1765">
        <v>54</v>
      </c>
      <c r="E1765">
        <v>800</v>
      </c>
      <c r="F1765">
        <v>368</v>
      </c>
      <c r="G1765">
        <v>43</v>
      </c>
      <c r="H1765">
        <v>1</v>
      </c>
      <c r="I1765">
        <v>783</v>
      </c>
      <c r="J1765">
        <v>1</v>
      </c>
      <c r="K1765">
        <v>1</v>
      </c>
      <c r="L1765">
        <v>774</v>
      </c>
      <c r="M1765">
        <v>1</v>
      </c>
      <c r="N1765">
        <v>0</v>
      </c>
      <c r="O1765">
        <v>1981</v>
      </c>
    </row>
    <row r="1766" spans="1:15" x14ac:dyDescent="0.25">
      <c r="A1766" t="s">
        <v>1779</v>
      </c>
      <c r="B1766">
        <v>801</v>
      </c>
      <c r="C1766" s="1" t="str">
        <f>HYPERLINK("http://www.rosaceae.org/gb/gbrowse/malus_x_domestica/?name=MDP0000702949","MDP0000702949")</f>
        <v>MDP0000702949</v>
      </c>
      <c r="D1766">
        <v>76.989999999999995</v>
      </c>
      <c r="E1766">
        <v>778</v>
      </c>
      <c r="F1766">
        <v>179</v>
      </c>
      <c r="G1766">
        <v>3</v>
      </c>
      <c r="H1766">
        <v>22</v>
      </c>
      <c r="I1766">
        <v>796</v>
      </c>
      <c r="J1766">
        <v>1</v>
      </c>
      <c r="K1766">
        <v>21</v>
      </c>
      <c r="L1766">
        <v>798</v>
      </c>
      <c r="M1766">
        <v>1</v>
      </c>
      <c r="N1766">
        <v>0</v>
      </c>
      <c r="O1766">
        <v>3177</v>
      </c>
    </row>
    <row r="1767" spans="1:15" x14ac:dyDescent="0.25">
      <c r="A1767" t="s">
        <v>1780</v>
      </c>
      <c r="B1767">
        <v>598</v>
      </c>
      <c r="C1767" s="1" t="str">
        <f>HYPERLINK("http://www.rosaceae.org/gb/gbrowse/malus_x_domestica/?name=MDP0000198880","MDP0000198880")</f>
        <v>MDP0000198880</v>
      </c>
      <c r="D1767">
        <v>48.57</v>
      </c>
      <c r="E1767">
        <v>595</v>
      </c>
      <c r="F1767">
        <v>306</v>
      </c>
      <c r="G1767">
        <v>99</v>
      </c>
      <c r="H1767">
        <v>5</v>
      </c>
      <c r="I1767">
        <v>563</v>
      </c>
      <c r="J1767">
        <v>1</v>
      </c>
      <c r="K1767">
        <v>42</v>
      </c>
      <c r="L1767">
        <v>573</v>
      </c>
      <c r="M1767">
        <v>1</v>
      </c>
      <c r="N1767">
        <v>2.4077000000000002E-130</v>
      </c>
      <c r="O1767">
        <v>1191</v>
      </c>
    </row>
    <row r="1768" spans="1:15" x14ac:dyDescent="0.25">
      <c r="A1768" t="s">
        <v>1781</v>
      </c>
      <c r="B1768">
        <v>617</v>
      </c>
      <c r="C1768" s="1" t="str">
        <f>HYPERLINK("http://www.rosaceae.org/gb/gbrowse/malus_x_domestica/?name=MDP0000120921","MDP0000120921")</f>
        <v>MDP0000120921</v>
      </c>
      <c r="D1768">
        <v>71.349999999999994</v>
      </c>
      <c r="E1768">
        <v>611</v>
      </c>
      <c r="F1768">
        <v>175</v>
      </c>
      <c r="G1768">
        <v>26</v>
      </c>
      <c r="H1768">
        <v>27</v>
      </c>
      <c r="I1768">
        <v>615</v>
      </c>
      <c r="J1768">
        <v>1</v>
      </c>
      <c r="K1768">
        <v>21</v>
      </c>
      <c r="L1768">
        <v>627</v>
      </c>
      <c r="M1768">
        <v>1</v>
      </c>
      <c r="N1768">
        <v>0</v>
      </c>
      <c r="O1768">
        <v>2210</v>
      </c>
    </row>
    <row r="1769" spans="1:15" x14ac:dyDescent="0.25">
      <c r="A1769" t="s">
        <v>1782</v>
      </c>
      <c r="B1769">
        <v>153</v>
      </c>
      <c r="C1769" s="1" t="str">
        <f>HYPERLINK("http://www.rosaceae.org/gb/gbrowse/malus_x_domestica/?name=MDP0000705359","MDP0000705359")</f>
        <v>MDP0000705359</v>
      </c>
      <c r="D1769">
        <v>44.07</v>
      </c>
      <c r="E1769">
        <v>152</v>
      </c>
      <c r="F1769">
        <v>85</v>
      </c>
      <c r="G1769">
        <v>26</v>
      </c>
      <c r="H1769">
        <v>21</v>
      </c>
      <c r="I1769">
        <v>153</v>
      </c>
      <c r="J1769">
        <v>1</v>
      </c>
      <c r="K1769">
        <v>23</v>
      </c>
      <c r="L1769">
        <v>167</v>
      </c>
      <c r="M1769">
        <v>1</v>
      </c>
      <c r="N1769">
        <v>6.5002600000000003E-19</v>
      </c>
      <c r="O1769">
        <v>223</v>
      </c>
    </row>
    <row r="1770" spans="1:15" x14ac:dyDescent="0.25">
      <c r="A1770" t="s">
        <v>1783</v>
      </c>
      <c r="B1770">
        <v>797</v>
      </c>
      <c r="C1770" s="1" t="str">
        <f>HYPERLINK("http://www.rosaceae.org/gb/gbrowse/malus_x_domestica/?name=MDP0000301534","MDP0000301534")</f>
        <v>MDP0000301534</v>
      </c>
      <c r="D1770">
        <v>40.94</v>
      </c>
      <c r="E1770">
        <v>337</v>
      </c>
      <c r="F1770">
        <v>199</v>
      </c>
      <c r="G1770">
        <v>15</v>
      </c>
      <c r="H1770">
        <v>466</v>
      </c>
      <c r="I1770">
        <v>790</v>
      </c>
      <c r="J1770">
        <v>1</v>
      </c>
      <c r="K1770">
        <v>24</v>
      </c>
      <c r="L1770">
        <v>357</v>
      </c>
      <c r="M1770">
        <v>1</v>
      </c>
      <c r="N1770">
        <v>4.8669999999999996E-63</v>
      </c>
      <c r="O1770">
        <v>612</v>
      </c>
    </row>
    <row r="1771" spans="1:15" x14ac:dyDescent="0.25">
      <c r="A1771" t="s">
        <v>1784</v>
      </c>
      <c r="B1771">
        <v>290</v>
      </c>
      <c r="C1771" s="1" t="str">
        <f>HYPERLINK("http://www.rosaceae.org/gb/gbrowse/malus_x_domestica/?name=MDP0000235386","MDP0000235386")</f>
        <v>MDP0000235386</v>
      </c>
      <c r="D1771">
        <v>80.37</v>
      </c>
      <c r="E1771">
        <v>214</v>
      </c>
      <c r="F1771">
        <v>42</v>
      </c>
      <c r="G1771">
        <v>1</v>
      </c>
      <c r="H1771">
        <v>77</v>
      </c>
      <c r="I1771">
        <v>290</v>
      </c>
      <c r="J1771">
        <v>1</v>
      </c>
      <c r="K1771">
        <v>19</v>
      </c>
      <c r="L1771">
        <v>231</v>
      </c>
      <c r="M1771">
        <v>1</v>
      </c>
      <c r="N1771">
        <v>9.0354599999999997E-101</v>
      </c>
      <c r="O1771">
        <v>933</v>
      </c>
    </row>
    <row r="1772" spans="1:15" x14ac:dyDescent="0.25">
      <c r="A1772" t="s">
        <v>1785</v>
      </c>
      <c r="B1772">
        <v>500</v>
      </c>
      <c r="C1772" s="1" t="str">
        <f>HYPERLINK("http://www.rosaceae.org/gb/gbrowse/malus_x_domestica/?name=MDP0000258743","MDP0000258743")</f>
        <v>MDP0000258743</v>
      </c>
      <c r="D1772">
        <v>45.79</v>
      </c>
      <c r="E1772">
        <v>107</v>
      </c>
      <c r="F1772">
        <v>58</v>
      </c>
      <c r="G1772">
        <v>1</v>
      </c>
      <c r="H1772">
        <v>151</v>
      </c>
      <c r="I1772">
        <v>257</v>
      </c>
      <c r="J1772">
        <v>1</v>
      </c>
      <c r="K1772">
        <v>100</v>
      </c>
      <c r="L1772">
        <v>205</v>
      </c>
      <c r="M1772">
        <v>1</v>
      </c>
      <c r="N1772">
        <v>5.0008699999999997E-25</v>
      </c>
      <c r="O1772">
        <v>282</v>
      </c>
    </row>
    <row r="1773" spans="1:15" x14ac:dyDescent="0.25">
      <c r="A1773" t="s">
        <v>1786</v>
      </c>
      <c r="B1773">
        <v>286</v>
      </c>
      <c r="C1773" s="1" t="str">
        <f>HYPERLINK("http://www.rosaceae.org/gb/gbrowse/malus_x_domestica/?name=MDP0000299496","MDP0000299496")</f>
        <v>MDP0000299496</v>
      </c>
      <c r="D1773">
        <v>31.48</v>
      </c>
      <c r="E1773">
        <v>162</v>
      </c>
      <c r="F1773">
        <v>111</v>
      </c>
      <c r="G1773">
        <v>45</v>
      </c>
      <c r="H1773">
        <v>1</v>
      </c>
      <c r="I1773">
        <v>122</v>
      </c>
      <c r="J1773">
        <v>1</v>
      </c>
      <c r="K1773">
        <v>524</v>
      </c>
      <c r="L1773">
        <v>680</v>
      </c>
      <c r="M1773">
        <v>1</v>
      </c>
      <c r="N1773">
        <v>2.3500999999999999E-12</v>
      </c>
      <c r="O1773">
        <v>170</v>
      </c>
    </row>
    <row r="1774" spans="1:15" x14ac:dyDescent="0.25">
      <c r="A1774" t="s">
        <v>1787</v>
      </c>
      <c r="B1774">
        <v>398</v>
      </c>
      <c r="C1774" s="1" t="str">
        <f>HYPERLINK("http://www.rosaceae.org/gb/gbrowse/malus_x_domestica/?name=MDP0000264347","MDP0000264347")</f>
        <v>MDP0000264347</v>
      </c>
      <c r="D1774">
        <v>47.61</v>
      </c>
      <c r="E1774">
        <v>399</v>
      </c>
      <c r="F1774">
        <v>209</v>
      </c>
      <c r="G1774">
        <v>23</v>
      </c>
      <c r="H1774">
        <v>1</v>
      </c>
      <c r="I1774">
        <v>390</v>
      </c>
      <c r="J1774">
        <v>1</v>
      </c>
      <c r="K1774">
        <v>1</v>
      </c>
      <c r="L1774">
        <v>385</v>
      </c>
      <c r="M1774">
        <v>1</v>
      </c>
      <c r="N1774">
        <v>6.3573800000000004E-78</v>
      </c>
      <c r="O1774">
        <v>737</v>
      </c>
    </row>
    <row r="1775" spans="1:15" x14ac:dyDescent="0.25">
      <c r="A1775" t="s">
        <v>1788</v>
      </c>
      <c r="B1775">
        <v>400</v>
      </c>
      <c r="C1775" s="1" t="str">
        <f>HYPERLINK("http://www.rosaceae.org/gb/gbrowse/malus_x_domestica/?name=MDP0000164966","MDP0000164966")</f>
        <v>MDP0000164966</v>
      </c>
      <c r="D1775">
        <v>64.78</v>
      </c>
      <c r="E1775">
        <v>389</v>
      </c>
      <c r="F1775">
        <v>137</v>
      </c>
      <c r="G1775">
        <v>47</v>
      </c>
      <c r="H1775">
        <v>15</v>
      </c>
      <c r="I1775">
        <v>399</v>
      </c>
      <c r="J1775">
        <v>1</v>
      </c>
      <c r="K1775">
        <v>4</v>
      </c>
      <c r="L1775">
        <v>349</v>
      </c>
      <c r="M1775">
        <v>1</v>
      </c>
      <c r="N1775">
        <v>6.5040400000000005E-138</v>
      </c>
      <c r="O1775">
        <v>1255</v>
      </c>
    </row>
    <row r="1776" spans="1:15" x14ac:dyDescent="0.25">
      <c r="A1776" t="s">
        <v>1789</v>
      </c>
      <c r="B1776">
        <v>897</v>
      </c>
      <c r="C1776" s="1" t="str">
        <f>HYPERLINK("http://www.rosaceae.org/gb/gbrowse/malus_x_domestica/?name=MDP0000270499","MDP0000270499")</f>
        <v>MDP0000270499</v>
      </c>
      <c r="D1776">
        <v>45.74</v>
      </c>
      <c r="E1776">
        <v>835</v>
      </c>
      <c r="F1776">
        <v>453</v>
      </c>
      <c r="G1776">
        <v>161</v>
      </c>
      <c r="H1776">
        <v>57</v>
      </c>
      <c r="I1776">
        <v>767</v>
      </c>
      <c r="J1776">
        <v>1</v>
      </c>
      <c r="K1776">
        <v>43</v>
      </c>
      <c r="L1776">
        <v>840</v>
      </c>
      <c r="M1776">
        <v>1</v>
      </c>
      <c r="N1776">
        <v>0</v>
      </c>
      <c r="O1776">
        <v>1670</v>
      </c>
    </row>
    <row r="1777" spans="1:15" x14ac:dyDescent="0.25">
      <c r="A1777" t="s">
        <v>1790</v>
      </c>
      <c r="B1777">
        <v>360</v>
      </c>
      <c r="C1777" s="1" t="str">
        <f>HYPERLINK("http://www.rosaceae.org/gb/gbrowse/malus_x_domestica/?name=MDP0000305192","MDP0000305192")</f>
        <v>MDP0000305192</v>
      </c>
      <c r="D1777">
        <v>33.33</v>
      </c>
      <c r="E1777">
        <v>330</v>
      </c>
      <c r="F1777">
        <v>220</v>
      </c>
      <c r="G1777">
        <v>60</v>
      </c>
      <c r="H1777">
        <v>15</v>
      </c>
      <c r="I1777">
        <v>342</v>
      </c>
      <c r="J1777">
        <v>1</v>
      </c>
      <c r="K1777">
        <v>11</v>
      </c>
      <c r="L1777">
        <v>282</v>
      </c>
      <c r="M1777">
        <v>1</v>
      </c>
      <c r="N1777">
        <v>2.5540599999999998E-35</v>
      </c>
      <c r="O1777">
        <v>369</v>
      </c>
    </row>
    <row r="1778" spans="1:15" x14ac:dyDescent="0.25">
      <c r="A1778" t="s">
        <v>1791</v>
      </c>
      <c r="B1778">
        <v>522</v>
      </c>
      <c r="C1778" s="1" t="str">
        <f>HYPERLINK("http://www.rosaceae.org/gb/gbrowse/malus_x_domestica/?name=MDP0000156544","MDP0000156544")</f>
        <v>MDP0000156544</v>
      </c>
      <c r="D1778">
        <v>51.5</v>
      </c>
      <c r="E1778">
        <v>464</v>
      </c>
      <c r="F1778">
        <v>225</v>
      </c>
      <c r="G1778">
        <v>8</v>
      </c>
      <c r="H1778">
        <v>59</v>
      </c>
      <c r="I1778">
        <v>521</v>
      </c>
      <c r="J1778">
        <v>1</v>
      </c>
      <c r="K1778">
        <v>64</v>
      </c>
      <c r="L1778">
        <v>520</v>
      </c>
      <c r="M1778">
        <v>1</v>
      </c>
      <c r="N1778">
        <v>2.3907200000000002E-140</v>
      </c>
      <c r="O1778">
        <v>1277</v>
      </c>
    </row>
    <row r="1779" spans="1:15" x14ac:dyDescent="0.25">
      <c r="A1779" t="s">
        <v>1792</v>
      </c>
      <c r="B1779">
        <v>253</v>
      </c>
      <c r="C1779" s="1" t="str">
        <f>HYPERLINK("http://www.rosaceae.org/gb/gbrowse/malus_x_domestica/?name=MDP0000147052","MDP0000147052")</f>
        <v>MDP0000147052</v>
      </c>
      <c r="D1779">
        <v>58</v>
      </c>
      <c r="E1779">
        <v>250</v>
      </c>
      <c r="F1779">
        <v>105</v>
      </c>
      <c r="G1779">
        <v>7</v>
      </c>
      <c r="H1779">
        <v>4</v>
      </c>
      <c r="I1779">
        <v>250</v>
      </c>
      <c r="J1779">
        <v>1</v>
      </c>
      <c r="K1779">
        <v>427</v>
      </c>
      <c r="L1779">
        <v>672</v>
      </c>
      <c r="M1779">
        <v>1</v>
      </c>
      <c r="N1779">
        <v>8.1738E-74</v>
      </c>
      <c r="O1779">
        <v>700</v>
      </c>
    </row>
    <row r="1780" spans="1:15" x14ac:dyDescent="0.25">
      <c r="A1780" t="s">
        <v>1793</v>
      </c>
      <c r="B1780">
        <v>144</v>
      </c>
      <c r="C1780" s="1" t="str">
        <f>HYPERLINK("http://www.rosaceae.org/gb/gbrowse/malus_x_domestica/?name=MDP0000319550","MDP0000319550")</f>
        <v>MDP0000319550</v>
      </c>
      <c r="D1780">
        <v>53.79</v>
      </c>
      <c r="E1780">
        <v>158</v>
      </c>
      <c r="F1780">
        <v>73</v>
      </c>
      <c r="G1780">
        <v>24</v>
      </c>
      <c r="H1780">
        <v>1</v>
      </c>
      <c r="I1780">
        <v>135</v>
      </c>
      <c r="J1780">
        <v>1</v>
      </c>
      <c r="K1780">
        <v>140</v>
      </c>
      <c r="L1780">
        <v>296</v>
      </c>
      <c r="M1780">
        <v>1</v>
      </c>
      <c r="N1780">
        <v>2.0970099999999999E-35</v>
      </c>
      <c r="O1780">
        <v>364</v>
      </c>
    </row>
    <row r="1781" spans="1:15" x14ac:dyDescent="0.25">
      <c r="A1781" t="s">
        <v>1794</v>
      </c>
      <c r="B1781">
        <v>551</v>
      </c>
      <c r="C1781" s="1" t="str">
        <f>HYPERLINK("http://www.rosaceae.org/gb/gbrowse/malus_x_domestica/?name=MDP0000322220","MDP0000322220")</f>
        <v>MDP0000322220</v>
      </c>
      <c r="D1781">
        <v>73.09</v>
      </c>
      <c r="E1781">
        <v>513</v>
      </c>
      <c r="F1781">
        <v>138</v>
      </c>
      <c r="G1781">
        <v>2</v>
      </c>
      <c r="H1781">
        <v>7</v>
      </c>
      <c r="I1781">
        <v>517</v>
      </c>
      <c r="J1781">
        <v>1</v>
      </c>
      <c r="K1781">
        <v>439</v>
      </c>
      <c r="L1781">
        <v>951</v>
      </c>
      <c r="M1781">
        <v>1</v>
      </c>
      <c r="N1781">
        <v>0</v>
      </c>
      <c r="O1781">
        <v>1993</v>
      </c>
    </row>
    <row r="1782" spans="1:15" x14ac:dyDescent="0.25">
      <c r="A1782" t="s">
        <v>1795</v>
      </c>
      <c r="B1782">
        <v>174</v>
      </c>
      <c r="C1782" s="1" t="str">
        <f>HYPERLINK("http://www.rosaceae.org/gb/gbrowse/malus_x_domestica/?name=MDP0000142665","MDP0000142665")</f>
        <v>MDP0000142665</v>
      </c>
      <c r="D1782">
        <v>58.49</v>
      </c>
      <c r="E1782">
        <v>53</v>
      </c>
      <c r="F1782">
        <v>22</v>
      </c>
      <c r="G1782">
        <v>0</v>
      </c>
      <c r="H1782">
        <v>122</v>
      </c>
      <c r="I1782">
        <v>174</v>
      </c>
      <c r="J1782">
        <v>1</v>
      </c>
      <c r="K1782">
        <v>391</v>
      </c>
      <c r="L1782">
        <v>443</v>
      </c>
      <c r="M1782">
        <v>1</v>
      </c>
      <c r="N1782">
        <v>1.81261E-9</v>
      </c>
      <c r="O1782">
        <v>142</v>
      </c>
    </row>
    <row r="1783" spans="1:15" x14ac:dyDescent="0.25">
      <c r="A1783" t="s">
        <v>1796</v>
      </c>
      <c r="B1783">
        <v>537</v>
      </c>
      <c r="C1783" s="1" t="str">
        <f>HYPERLINK("http://www.rosaceae.org/gb/gbrowse/malus_x_domestica/?name=MDP0000140980","MDP0000140980")</f>
        <v>MDP0000140980</v>
      </c>
      <c r="D1783">
        <v>80.23</v>
      </c>
      <c r="E1783">
        <v>506</v>
      </c>
      <c r="F1783">
        <v>100</v>
      </c>
      <c r="G1783">
        <v>3</v>
      </c>
      <c r="H1783">
        <v>32</v>
      </c>
      <c r="I1783">
        <v>537</v>
      </c>
      <c r="J1783">
        <v>1</v>
      </c>
      <c r="K1783">
        <v>37</v>
      </c>
      <c r="L1783">
        <v>539</v>
      </c>
      <c r="M1783">
        <v>1</v>
      </c>
      <c r="N1783">
        <v>0</v>
      </c>
      <c r="O1783">
        <v>2227</v>
      </c>
    </row>
    <row r="1784" spans="1:15" x14ac:dyDescent="0.25">
      <c r="A1784" t="s">
        <v>1797</v>
      </c>
      <c r="B1784">
        <v>1548</v>
      </c>
      <c r="C1784" s="1" t="str">
        <f>HYPERLINK("http://www.rosaceae.org/gb/gbrowse/malus_x_domestica/?name=MDP0000254790","MDP0000254790")</f>
        <v>MDP0000254790</v>
      </c>
      <c r="D1784">
        <v>61.01</v>
      </c>
      <c r="E1784">
        <v>1498</v>
      </c>
      <c r="F1784">
        <v>584</v>
      </c>
      <c r="G1784">
        <v>75</v>
      </c>
      <c r="H1784">
        <v>82</v>
      </c>
      <c r="I1784">
        <v>1545</v>
      </c>
      <c r="J1784">
        <v>1</v>
      </c>
      <c r="K1784">
        <v>1</v>
      </c>
      <c r="L1784">
        <v>1457</v>
      </c>
      <c r="M1784">
        <v>1</v>
      </c>
      <c r="N1784">
        <v>0</v>
      </c>
      <c r="O1784">
        <v>4198</v>
      </c>
    </row>
    <row r="1785" spans="1:15" x14ac:dyDescent="0.25">
      <c r="A1785" t="s">
        <v>1798</v>
      </c>
      <c r="B1785">
        <v>420</v>
      </c>
      <c r="C1785" s="1" t="str">
        <f>HYPERLINK("http://www.rosaceae.org/gb/gbrowse/malus_x_domestica/?name=MDP0000206674","MDP0000206674")</f>
        <v>MDP0000206674</v>
      </c>
      <c r="D1785">
        <v>76.13</v>
      </c>
      <c r="E1785">
        <v>419</v>
      </c>
      <c r="F1785">
        <v>100</v>
      </c>
      <c r="G1785">
        <v>16</v>
      </c>
      <c r="H1785">
        <v>4</v>
      </c>
      <c r="I1785">
        <v>420</v>
      </c>
      <c r="J1785">
        <v>1</v>
      </c>
      <c r="K1785">
        <v>2</v>
      </c>
      <c r="L1785">
        <v>406</v>
      </c>
      <c r="M1785">
        <v>1</v>
      </c>
      <c r="N1785">
        <v>2.4386299999999999E-180</v>
      </c>
      <c r="O1785">
        <v>1621</v>
      </c>
    </row>
    <row r="1786" spans="1:15" x14ac:dyDescent="0.25">
      <c r="A1786" t="s">
        <v>1799</v>
      </c>
      <c r="B1786">
        <v>574</v>
      </c>
      <c r="C1786" s="1" t="str">
        <f>HYPERLINK("http://www.rosaceae.org/gb/gbrowse/malus_x_domestica/?name=MDP0000740981","MDP0000740981")</f>
        <v>MDP0000740981</v>
      </c>
      <c r="D1786">
        <v>84.36</v>
      </c>
      <c r="E1786">
        <v>467</v>
      </c>
      <c r="F1786">
        <v>73</v>
      </c>
      <c r="G1786">
        <v>1</v>
      </c>
      <c r="H1786">
        <v>25</v>
      </c>
      <c r="I1786">
        <v>491</v>
      </c>
      <c r="J1786">
        <v>1</v>
      </c>
      <c r="K1786">
        <v>25</v>
      </c>
      <c r="L1786">
        <v>490</v>
      </c>
      <c r="M1786">
        <v>1</v>
      </c>
      <c r="N1786">
        <v>0</v>
      </c>
      <c r="O1786">
        <v>2128</v>
      </c>
    </row>
    <row r="1787" spans="1:15" x14ac:dyDescent="0.25">
      <c r="A1787" t="s">
        <v>1800</v>
      </c>
      <c r="B1787">
        <v>1191</v>
      </c>
      <c r="C1787" s="1" t="str">
        <f>HYPERLINK("http://www.rosaceae.org/gb/gbrowse/malus_x_domestica/?name=MDP0000417582","MDP0000417582")</f>
        <v>MDP0000417582</v>
      </c>
      <c r="D1787">
        <v>80.03</v>
      </c>
      <c r="E1787">
        <v>561</v>
      </c>
      <c r="F1787">
        <v>112</v>
      </c>
      <c r="G1787">
        <v>7</v>
      </c>
      <c r="H1787">
        <v>203</v>
      </c>
      <c r="I1787">
        <v>763</v>
      </c>
      <c r="J1787">
        <v>1</v>
      </c>
      <c r="K1787">
        <v>36</v>
      </c>
      <c r="L1787">
        <v>589</v>
      </c>
      <c r="M1787">
        <v>1</v>
      </c>
      <c r="N1787">
        <v>0</v>
      </c>
      <c r="O1787">
        <v>2397</v>
      </c>
    </row>
    <row r="1788" spans="1:15" x14ac:dyDescent="0.25">
      <c r="A1788" t="s">
        <v>1801</v>
      </c>
      <c r="B1788">
        <v>731</v>
      </c>
      <c r="C1788" s="1" t="str">
        <f>HYPERLINK("http://www.rosaceae.org/gb/gbrowse/malus_x_domestica/?name=MDP0000213283","MDP0000213283")</f>
        <v>MDP0000213283</v>
      </c>
      <c r="D1788">
        <v>60.24</v>
      </c>
      <c r="E1788">
        <v>493</v>
      </c>
      <c r="F1788">
        <v>196</v>
      </c>
      <c r="G1788">
        <v>17</v>
      </c>
      <c r="H1788">
        <v>234</v>
      </c>
      <c r="I1788">
        <v>725</v>
      </c>
      <c r="J1788">
        <v>1</v>
      </c>
      <c r="K1788">
        <v>33</v>
      </c>
      <c r="L1788">
        <v>509</v>
      </c>
      <c r="M1788">
        <v>1</v>
      </c>
      <c r="N1788">
        <v>9.4519199999999992E-177</v>
      </c>
      <c r="O1788">
        <v>1592</v>
      </c>
    </row>
    <row r="1789" spans="1:15" x14ac:dyDescent="0.25">
      <c r="A1789" t="s">
        <v>1802</v>
      </c>
      <c r="B1789">
        <v>1193</v>
      </c>
      <c r="C1789" s="1" t="str">
        <f>HYPERLINK("http://www.rosaceae.org/gb/gbrowse/malus_x_domestica/?name=MDP0000217001","MDP0000217001")</f>
        <v>MDP0000217001</v>
      </c>
      <c r="D1789">
        <v>65.28</v>
      </c>
      <c r="E1789">
        <v>726</v>
      </c>
      <c r="F1789">
        <v>252</v>
      </c>
      <c r="G1789">
        <v>145</v>
      </c>
      <c r="H1789">
        <v>535</v>
      </c>
      <c r="I1789">
        <v>1193</v>
      </c>
      <c r="J1789">
        <v>1</v>
      </c>
      <c r="K1789">
        <v>292</v>
      </c>
      <c r="L1789">
        <v>939</v>
      </c>
      <c r="M1789">
        <v>1</v>
      </c>
      <c r="N1789">
        <v>0</v>
      </c>
      <c r="O1789">
        <v>2345</v>
      </c>
    </row>
    <row r="1790" spans="1:15" x14ac:dyDescent="0.25">
      <c r="A1790" t="s">
        <v>1803</v>
      </c>
      <c r="B1790">
        <v>346</v>
      </c>
      <c r="C1790" s="1" t="str">
        <f>HYPERLINK("http://www.rosaceae.org/gb/gbrowse/malus_x_domestica/?name=MDP0000759299","MDP0000759299")</f>
        <v>MDP0000759299</v>
      </c>
      <c r="D1790">
        <v>54.31</v>
      </c>
      <c r="E1790">
        <v>359</v>
      </c>
      <c r="F1790">
        <v>164</v>
      </c>
      <c r="G1790">
        <v>29</v>
      </c>
      <c r="H1790">
        <v>1</v>
      </c>
      <c r="I1790">
        <v>346</v>
      </c>
      <c r="J1790">
        <v>1</v>
      </c>
      <c r="K1790">
        <v>1</v>
      </c>
      <c r="L1790">
        <v>343</v>
      </c>
      <c r="M1790">
        <v>1</v>
      </c>
      <c r="N1790">
        <v>1.8819999999999999E-86</v>
      </c>
      <c r="O1790">
        <v>810</v>
      </c>
    </row>
    <row r="1791" spans="1:15" x14ac:dyDescent="0.25">
      <c r="A1791" t="s">
        <v>1804</v>
      </c>
      <c r="B1791">
        <v>145</v>
      </c>
      <c r="C1791" s="1" t="str">
        <f>HYPERLINK("http://www.rosaceae.org/gb/gbrowse/malus_x_domestica/?name=MDP0000325376","MDP0000325376")</f>
        <v>MDP0000325376</v>
      </c>
      <c r="D1791">
        <v>85.03</v>
      </c>
      <c r="E1791">
        <v>147</v>
      </c>
      <c r="F1791">
        <v>22</v>
      </c>
      <c r="G1791">
        <v>3</v>
      </c>
      <c r="H1791">
        <v>1</v>
      </c>
      <c r="I1791">
        <v>145</v>
      </c>
      <c r="J1791">
        <v>1</v>
      </c>
      <c r="K1791">
        <v>35</v>
      </c>
      <c r="L1791">
        <v>180</v>
      </c>
      <c r="M1791">
        <v>1</v>
      </c>
      <c r="N1791">
        <v>2.1044400000000002E-68</v>
      </c>
      <c r="O1791">
        <v>649</v>
      </c>
    </row>
    <row r="1792" spans="1:15" x14ac:dyDescent="0.25">
      <c r="A1792" t="s">
        <v>1805</v>
      </c>
      <c r="B1792">
        <v>845</v>
      </c>
      <c r="C1792" s="1" t="str">
        <f>HYPERLINK("http://www.rosaceae.org/gb/gbrowse/malus_x_domestica/?name=MDP0000252327","MDP0000252327")</f>
        <v>MDP0000252327</v>
      </c>
      <c r="D1792">
        <v>67.959999999999994</v>
      </c>
      <c r="E1792">
        <v>515</v>
      </c>
      <c r="F1792">
        <v>165</v>
      </c>
      <c r="G1792">
        <v>28</v>
      </c>
      <c r="H1792">
        <v>2</v>
      </c>
      <c r="I1792">
        <v>512</v>
      </c>
      <c r="J1792">
        <v>1</v>
      </c>
      <c r="K1792">
        <v>5</v>
      </c>
      <c r="L1792">
        <v>495</v>
      </c>
      <c r="M1792">
        <v>1</v>
      </c>
      <c r="N1792">
        <v>0</v>
      </c>
      <c r="O1792">
        <v>1887</v>
      </c>
    </row>
    <row r="1793" spans="1:15" x14ac:dyDescent="0.25">
      <c r="A1793" t="s">
        <v>1806</v>
      </c>
      <c r="B1793">
        <v>262</v>
      </c>
      <c r="C1793" s="1" t="str">
        <f>HYPERLINK("http://www.rosaceae.org/gb/gbrowse/malus_x_domestica/?name=MDP0000155374","MDP0000155374")</f>
        <v>MDP0000155374</v>
      </c>
      <c r="D1793">
        <v>57.89</v>
      </c>
      <c r="E1793">
        <v>57</v>
      </c>
      <c r="F1793">
        <v>24</v>
      </c>
      <c r="G1793">
        <v>1</v>
      </c>
      <c r="H1793">
        <v>180</v>
      </c>
      <c r="I1793">
        <v>236</v>
      </c>
      <c r="J1793">
        <v>1</v>
      </c>
      <c r="K1793">
        <v>218</v>
      </c>
      <c r="L1793">
        <v>273</v>
      </c>
      <c r="M1793">
        <v>1</v>
      </c>
      <c r="N1793">
        <v>1.8992699999999998E-11</v>
      </c>
      <c r="O1793">
        <v>162</v>
      </c>
    </row>
    <row r="1794" spans="1:15" x14ac:dyDescent="0.25">
      <c r="A1794" t="s">
        <v>1807</v>
      </c>
      <c r="B1794">
        <v>631</v>
      </c>
      <c r="C1794" s="1" t="str">
        <f>HYPERLINK("http://www.rosaceae.org/gb/gbrowse/malus_x_domestica/?name=MDP0000238170","MDP0000238170")</f>
        <v>MDP0000238170</v>
      </c>
      <c r="D1794">
        <v>39.1</v>
      </c>
      <c r="E1794">
        <v>202</v>
      </c>
      <c r="F1794">
        <v>123</v>
      </c>
      <c r="G1794">
        <v>3</v>
      </c>
      <c r="H1794">
        <v>81</v>
      </c>
      <c r="I1794">
        <v>282</v>
      </c>
      <c r="J1794">
        <v>1</v>
      </c>
      <c r="K1794">
        <v>12</v>
      </c>
      <c r="L1794">
        <v>210</v>
      </c>
      <c r="M1794">
        <v>1</v>
      </c>
      <c r="N1794">
        <v>4.5876900000000002E-40</v>
      </c>
      <c r="O1794">
        <v>413</v>
      </c>
    </row>
    <row r="1795" spans="1:15" x14ac:dyDescent="0.25">
      <c r="A1795" t="s">
        <v>1808</v>
      </c>
      <c r="B1795">
        <v>840</v>
      </c>
      <c r="C1795" s="1" t="str">
        <f>HYPERLINK("http://www.rosaceae.org/gb/gbrowse/malus_x_domestica/?name=MDP0000859392","MDP0000859392")</f>
        <v>MDP0000859392</v>
      </c>
      <c r="D1795">
        <v>63.67</v>
      </c>
      <c r="E1795">
        <v>534</v>
      </c>
      <c r="F1795">
        <v>194</v>
      </c>
      <c r="G1795">
        <v>6</v>
      </c>
      <c r="H1795">
        <v>171</v>
      </c>
      <c r="I1795">
        <v>698</v>
      </c>
      <c r="J1795">
        <v>1</v>
      </c>
      <c r="K1795">
        <v>1</v>
      </c>
      <c r="L1795">
        <v>534</v>
      </c>
      <c r="M1795">
        <v>1</v>
      </c>
      <c r="N1795">
        <v>5.1742000000000003E-177</v>
      </c>
      <c r="O1795">
        <v>1595</v>
      </c>
    </row>
    <row r="1796" spans="1:15" x14ac:dyDescent="0.25">
      <c r="A1796" t="s">
        <v>1809</v>
      </c>
      <c r="B1796">
        <v>1202</v>
      </c>
      <c r="C1796" s="1" t="str">
        <f>HYPERLINK("http://www.rosaceae.org/gb/gbrowse/malus_x_domestica/?name=MDP0000269202","MDP0000269202")</f>
        <v>MDP0000269202</v>
      </c>
      <c r="D1796">
        <v>90.58</v>
      </c>
      <c r="E1796">
        <v>170</v>
      </c>
      <c r="F1796">
        <v>16</v>
      </c>
      <c r="G1796">
        <v>0</v>
      </c>
      <c r="H1796">
        <v>950</v>
      </c>
      <c r="I1796">
        <v>1119</v>
      </c>
      <c r="J1796">
        <v>1</v>
      </c>
      <c r="K1796">
        <v>18</v>
      </c>
      <c r="L1796">
        <v>187</v>
      </c>
      <c r="M1796">
        <v>1</v>
      </c>
      <c r="N1796">
        <v>1.3248100000000001E-89</v>
      </c>
      <c r="O1796">
        <v>843</v>
      </c>
    </row>
    <row r="1797" spans="1:15" x14ac:dyDescent="0.25">
      <c r="A1797" t="s">
        <v>1810</v>
      </c>
      <c r="B1797">
        <v>247</v>
      </c>
      <c r="C1797" s="1" t="str">
        <f>HYPERLINK("http://www.rosaceae.org/gb/gbrowse/malus_x_domestica/?name=MDP0000243888","MDP0000243888")</f>
        <v>MDP0000243888</v>
      </c>
      <c r="D1797">
        <v>70.2</v>
      </c>
      <c r="E1797">
        <v>245</v>
      </c>
      <c r="F1797">
        <v>73</v>
      </c>
      <c r="G1797">
        <v>6</v>
      </c>
      <c r="H1797">
        <v>6</v>
      </c>
      <c r="I1797">
        <v>244</v>
      </c>
      <c r="J1797">
        <v>1</v>
      </c>
      <c r="K1797">
        <v>438</v>
      </c>
      <c r="L1797">
        <v>682</v>
      </c>
      <c r="M1797">
        <v>1</v>
      </c>
      <c r="N1797">
        <v>5.7524299999999996E-82</v>
      </c>
      <c r="O1797">
        <v>770</v>
      </c>
    </row>
    <row r="1798" spans="1:15" x14ac:dyDescent="0.25">
      <c r="A1798" t="s">
        <v>1811</v>
      </c>
      <c r="B1798">
        <v>286</v>
      </c>
      <c r="C1798" s="1" t="str">
        <f>HYPERLINK("http://www.rosaceae.org/gb/gbrowse/malus_x_domestica/?name=MDP0000206285","MDP0000206285")</f>
        <v>MDP0000206285</v>
      </c>
      <c r="D1798">
        <v>61.43</v>
      </c>
      <c r="E1798">
        <v>293</v>
      </c>
      <c r="F1798">
        <v>113</v>
      </c>
      <c r="G1798">
        <v>49</v>
      </c>
      <c r="H1798">
        <v>33</v>
      </c>
      <c r="I1798">
        <v>284</v>
      </c>
      <c r="J1798">
        <v>1</v>
      </c>
      <c r="K1798">
        <v>125</v>
      </c>
      <c r="L1798">
        <v>409</v>
      </c>
      <c r="M1798">
        <v>1</v>
      </c>
      <c r="N1798">
        <v>3.81773E-94</v>
      </c>
      <c r="O1798">
        <v>876</v>
      </c>
    </row>
    <row r="1799" spans="1:15" x14ac:dyDescent="0.25">
      <c r="A1799" t="s">
        <v>1812</v>
      </c>
      <c r="B1799">
        <v>215</v>
      </c>
      <c r="C1799" s="1" t="str">
        <f>HYPERLINK("http://www.rosaceae.org/gb/gbrowse/malus_x_domestica/?name=MDP0000423436","MDP0000423436")</f>
        <v>MDP0000423436</v>
      </c>
      <c r="D1799">
        <v>47.34</v>
      </c>
      <c r="E1799">
        <v>226</v>
      </c>
      <c r="F1799">
        <v>119</v>
      </c>
      <c r="G1799">
        <v>22</v>
      </c>
      <c r="H1799">
        <v>4</v>
      </c>
      <c r="I1799">
        <v>213</v>
      </c>
      <c r="J1799">
        <v>1</v>
      </c>
      <c r="K1799">
        <v>464</v>
      </c>
      <c r="L1799">
        <v>683</v>
      </c>
      <c r="M1799">
        <v>1</v>
      </c>
      <c r="N1799">
        <v>1.98639E-46</v>
      </c>
      <c r="O1799">
        <v>462</v>
      </c>
    </row>
    <row r="1800" spans="1:15" x14ac:dyDescent="0.25">
      <c r="A1800" t="s">
        <v>1813</v>
      </c>
      <c r="B1800">
        <v>227</v>
      </c>
      <c r="C1800" s="1" t="str">
        <f>HYPERLINK("http://www.rosaceae.org/gb/gbrowse/malus_x_domestica/?name=MDP0000131964","MDP0000131964")</f>
        <v>MDP0000131964</v>
      </c>
      <c r="D1800">
        <v>78.31</v>
      </c>
      <c r="E1800">
        <v>83</v>
      </c>
      <c r="F1800">
        <v>18</v>
      </c>
      <c r="G1800">
        <v>0</v>
      </c>
      <c r="H1800">
        <v>6</v>
      </c>
      <c r="I1800">
        <v>88</v>
      </c>
      <c r="J1800">
        <v>1</v>
      </c>
      <c r="K1800">
        <v>15</v>
      </c>
      <c r="L1800">
        <v>97</v>
      </c>
      <c r="M1800">
        <v>1</v>
      </c>
      <c r="N1800">
        <v>5.7682700000000001E-36</v>
      </c>
      <c r="O1800">
        <v>373</v>
      </c>
    </row>
    <row r="1801" spans="1:15" x14ac:dyDescent="0.25">
      <c r="A1801" t="s">
        <v>1814</v>
      </c>
      <c r="B1801">
        <v>434</v>
      </c>
      <c r="C1801" s="1" t="str">
        <f>HYPERLINK("http://www.rosaceae.org/gb/gbrowse/malus_x_domestica/?name=MDP0000124006","MDP0000124006")</f>
        <v>MDP0000124006</v>
      </c>
      <c r="D1801">
        <v>73.44</v>
      </c>
      <c r="E1801">
        <v>433</v>
      </c>
      <c r="F1801">
        <v>115</v>
      </c>
      <c r="G1801">
        <v>4</v>
      </c>
      <c r="H1801">
        <v>1</v>
      </c>
      <c r="I1801">
        <v>433</v>
      </c>
      <c r="J1801">
        <v>1</v>
      </c>
      <c r="K1801">
        <v>1</v>
      </c>
      <c r="L1801">
        <v>429</v>
      </c>
      <c r="M1801">
        <v>1</v>
      </c>
      <c r="N1801">
        <v>1.18467E-173</v>
      </c>
      <c r="O1801">
        <v>1563</v>
      </c>
    </row>
    <row r="1802" spans="1:15" x14ac:dyDescent="0.25">
      <c r="A1802" t="s">
        <v>1815</v>
      </c>
      <c r="B1802">
        <v>302</v>
      </c>
      <c r="C1802" s="1" t="str">
        <f>HYPERLINK("http://www.rosaceae.org/gb/gbrowse/malus_x_domestica/?name=MDP0000145401","MDP0000145401")</f>
        <v>MDP0000145401</v>
      </c>
      <c r="D1802">
        <v>79.22</v>
      </c>
      <c r="E1802">
        <v>207</v>
      </c>
      <c r="F1802">
        <v>43</v>
      </c>
      <c r="G1802">
        <v>5</v>
      </c>
      <c r="H1802">
        <v>54</v>
      </c>
      <c r="I1802">
        <v>257</v>
      </c>
      <c r="J1802">
        <v>1</v>
      </c>
      <c r="K1802">
        <v>73</v>
      </c>
      <c r="L1802">
        <v>277</v>
      </c>
      <c r="M1802">
        <v>1</v>
      </c>
      <c r="N1802">
        <v>8.3776600000000003E-87</v>
      </c>
      <c r="O1802">
        <v>813</v>
      </c>
    </row>
    <row r="1803" spans="1:15" x14ac:dyDescent="0.25">
      <c r="A1803" t="s">
        <v>1816</v>
      </c>
      <c r="B1803">
        <v>615</v>
      </c>
      <c r="C1803" s="1" t="str">
        <f>HYPERLINK("http://www.rosaceae.org/gb/gbrowse/malus_x_domestica/?name=MDP0000759001","MDP0000759001")</f>
        <v>MDP0000759001</v>
      </c>
      <c r="D1803">
        <v>66.97</v>
      </c>
      <c r="E1803">
        <v>539</v>
      </c>
      <c r="F1803">
        <v>178</v>
      </c>
      <c r="G1803">
        <v>11</v>
      </c>
      <c r="H1803">
        <v>23</v>
      </c>
      <c r="I1803">
        <v>558</v>
      </c>
      <c r="J1803">
        <v>1</v>
      </c>
      <c r="K1803">
        <v>32</v>
      </c>
      <c r="L1803">
        <v>562</v>
      </c>
      <c r="M1803">
        <v>1</v>
      </c>
      <c r="N1803">
        <v>0</v>
      </c>
      <c r="O1803">
        <v>1855</v>
      </c>
    </row>
    <row r="1804" spans="1:15" x14ac:dyDescent="0.25">
      <c r="A1804" t="s">
        <v>1817</v>
      </c>
      <c r="B1804">
        <v>294</v>
      </c>
      <c r="C1804" s="1" t="str">
        <f>HYPERLINK("http://www.rosaceae.org/gb/gbrowse/malus_x_domestica/?name=MDP0000311623","MDP0000311623")</f>
        <v>MDP0000311623</v>
      </c>
      <c r="D1804">
        <v>42.45</v>
      </c>
      <c r="E1804">
        <v>212</v>
      </c>
      <c r="F1804">
        <v>122</v>
      </c>
      <c r="G1804">
        <v>0</v>
      </c>
      <c r="H1804">
        <v>10</v>
      </c>
      <c r="I1804">
        <v>221</v>
      </c>
      <c r="J1804">
        <v>1</v>
      </c>
      <c r="K1804">
        <v>48</v>
      </c>
      <c r="L1804">
        <v>259</v>
      </c>
      <c r="M1804">
        <v>1</v>
      </c>
      <c r="N1804">
        <v>1.8122100000000001E-46</v>
      </c>
      <c r="O1804">
        <v>465</v>
      </c>
    </row>
    <row r="1805" spans="1:15" x14ac:dyDescent="0.25">
      <c r="A1805" t="s">
        <v>1818</v>
      </c>
      <c r="B1805">
        <v>724</v>
      </c>
      <c r="C1805" s="1" t="str">
        <f>HYPERLINK("http://www.rosaceae.org/gb/gbrowse/malus_x_domestica/?name=MDP0000261492","MDP0000261492")</f>
        <v>MDP0000261492</v>
      </c>
      <c r="D1805">
        <v>88.88</v>
      </c>
      <c r="E1805">
        <v>720</v>
      </c>
      <c r="F1805">
        <v>80</v>
      </c>
      <c r="G1805">
        <v>11</v>
      </c>
      <c r="H1805">
        <v>6</v>
      </c>
      <c r="I1805">
        <v>724</v>
      </c>
      <c r="J1805">
        <v>1</v>
      </c>
      <c r="K1805">
        <v>11</v>
      </c>
      <c r="L1805">
        <v>720</v>
      </c>
      <c r="M1805">
        <v>1</v>
      </c>
      <c r="N1805">
        <v>0</v>
      </c>
      <c r="O1805">
        <v>3449</v>
      </c>
    </row>
    <row r="1806" spans="1:15" x14ac:dyDescent="0.25">
      <c r="A1806" t="s">
        <v>1819</v>
      </c>
      <c r="B1806">
        <v>321</v>
      </c>
      <c r="C1806" s="1" t="str">
        <f>HYPERLINK("http://www.rosaceae.org/gb/gbrowse/malus_x_domestica/?name=MDP0000306556","MDP0000306556")</f>
        <v>MDP0000306556</v>
      </c>
      <c r="D1806">
        <v>51.78</v>
      </c>
      <c r="E1806">
        <v>336</v>
      </c>
      <c r="F1806">
        <v>162</v>
      </c>
      <c r="G1806">
        <v>72</v>
      </c>
      <c r="H1806">
        <v>1</v>
      </c>
      <c r="I1806">
        <v>272</v>
      </c>
      <c r="J1806">
        <v>1</v>
      </c>
      <c r="K1806">
        <v>1</v>
      </c>
      <c r="L1806">
        <v>328</v>
      </c>
      <c r="M1806">
        <v>1</v>
      </c>
      <c r="N1806">
        <v>1.79375E-77</v>
      </c>
      <c r="O1806">
        <v>732</v>
      </c>
    </row>
    <row r="1807" spans="1:15" x14ac:dyDescent="0.25">
      <c r="A1807" t="s">
        <v>1820</v>
      </c>
      <c r="B1807">
        <v>275</v>
      </c>
      <c r="C1807" s="1" t="str">
        <f>HYPERLINK("http://www.rosaceae.org/gb/gbrowse/malus_x_domestica/?name=MDP0000231075","MDP0000231075")</f>
        <v>MDP0000231075</v>
      </c>
      <c r="D1807">
        <v>67.959999999999994</v>
      </c>
      <c r="E1807">
        <v>231</v>
      </c>
      <c r="F1807">
        <v>74</v>
      </c>
      <c r="G1807">
        <v>33</v>
      </c>
      <c r="H1807">
        <v>1</v>
      </c>
      <c r="I1807">
        <v>198</v>
      </c>
      <c r="J1807">
        <v>1</v>
      </c>
      <c r="K1807">
        <v>1</v>
      </c>
      <c r="L1807">
        <v>231</v>
      </c>
      <c r="M1807">
        <v>1</v>
      </c>
      <c r="N1807">
        <v>4.1164499999999999E-82</v>
      </c>
      <c r="O1807">
        <v>772</v>
      </c>
    </row>
    <row r="1808" spans="1:15" x14ac:dyDescent="0.25">
      <c r="A1808" t="s">
        <v>1821</v>
      </c>
      <c r="B1808">
        <v>2082</v>
      </c>
      <c r="C1808" s="1" t="str">
        <f>HYPERLINK("http://www.rosaceae.org/gb/gbrowse/malus_x_domestica/?name=MDP0000156134","MDP0000156134")</f>
        <v>MDP0000156134</v>
      </c>
      <c r="D1808">
        <v>47.83</v>
      </c>
      <c r="E1808">
        <v>2122</v>
      </c>
      <c r="F1808">
        <v>1107</v>
      </c>
      <c r="G1808">
        <v>278</v>
      </c>
      <c r="H1808">
        <v>89</v>
      </c>
      <c r="I1808">
        <v>2025</v>
      </c>
      <c r="J1808">
        <v>1</v>
      </c>
      <c r="K1808">
        <v>110</v>
      </c>
      <c r="L1808">
        <v>2138</v>
      </c>
      <c r="M1808">
        <v>1</v>
      </c>
      <c r="N1808">
        <v>0</v>
      </c>
      <c r="O1808">
        <v>4153</v>
      </c>
    </row>
    <row r="1809" spans="1:15" x14ac:dyDescent="0.25">
      <c r="A1809" t="s">
        <v>1822</v>
      </c>
      <c r="B1809">
        <v>612</v>
      </c>
      <c r="C1809" s="1" t="str">
        <f>HYPERLINK("http://www.rosaceae.org/gb/gbrowse/malus_x_domestica/?name=MDP0000244366","MDP0000244366")</f>
        <v>MDP0000244366</v>
      </c>
      <c r="D1809">
        <v>63.81</v>
      </c>
      <c r="E1809">
        <v>561</v>
      </c>
      <c r="F1809">
        <v>203</v>
      </c>
      <c r="G1809">
        <v>17</v>
      </c>
      <c r="H1809">
        <v>2</v>
      </c>
      <c r="I1809">
        <v>547</v>
      </c>
      <c r="J1809">
        <v>1</v>
      </c>
      <c r="K1809">
        <v>206</v>
      </c>
      <c r="L1809">
        <v>764</v>
      </c>
      <c r="M1809">
        <v>1</v>
      </c>
      <c r="N1809">
        <v>0</v>
      </c>
      <c r="O1809">
        <v>1800</v>
      </c>
    </row>
    <row r="1810" spans="1:15" x14ac:dyDescent="0.25">
      <c r="A1810" t="s">
        <v>1823</v>
      </c>
      <c r="B1810">
        <v>105</v>
      </c>
      <c r="C1810" s="1" t="str">
        <f>HYPERLINK("http://www.rosaceae.org/gb/gbrowse/malus_x_domestica/?name=MDP0000259301","MDP0000259301")</f>
        <v>MDP0000259301</v>
      </c>
      <c r="D1810">
        <v>62.5</v>
      </c>
      <c r="E1810">
        <v>56</v>
      </c>
      <c r="F1810">
        <v>21</v>
      </c>
      <c r="G1810">
        <v>3</v>
      </c>
      <c r="H1810">
        <v>4</v>
      </c>
      <c r="I1810">
        <v>56</v>
      </c>
      <c r="J1810">
        <v>1</v>
      </c>
      <c r="K1810">
        <v>779</v>
      </c>
      <c r="L1810">
        <v>834</v>
      </c>
      <c r="M1810">
        <v>1</v>
      </c>
      <c r="N1810">
        <v>3.7915500000000001E-13</v>
      </c>
      <c r="O1810">
        <v>171</v>
      </c>
    </row>
    <row r="1811" spans="1:15" x14ac:dyDescent="0.25">
      <c r="A1811" t="s">
        <v>1824</v>
      </c>
      <c r="B1811">
        <v>302</v>
      </c>
      <c r="C1811" s="1" t="str">
        <f>HYPERLINK("http://www.rosaceae.org/gb/gbrowse/malus_x_domestica/?name=MDP0000898514","MDP0000898514")</f>
        <v>MDP0000898514</v>
      </c>
      <c r="D1811">
        <v>32.229999999999997</v>
      </c>
      <c r="E1811">
        <v>273</v>
      </c>
      <c r="F1811">
        <v>185</v>
      </c>
      <c r="G1811">
        <v>66</v>
      </c>
      <c r="H1811">
        <v>8</v>
      </c>
      <c r="I1811">
        <v>272</v>
      </c>
      <c r="J1811">
        <v>1</v>
      </c>
      <c r="K1811">
        <v>229</v>
      </c>
      <c r="L1811">
        <v>443</v>
      </c>
      <c r="M1811">
        <v>1</v>
      </c>
      <c r="N1811">
        <v>1.0687899999999999E-23</v>
      </c>
      <c r="O1811">
        <v>268</v>
      </c>
    </row>
    <row r="1812" spans="1:15" x14ac:dyDescent="0.25">
      <c r="A1812" t="s">
        <v>1825</v>
      </c>
      <c r="B1812">
        <v>974</v>
      </c>
      <c r="C1812" s="1" t="str">
        <f>HYPERLINK("http://www.rosaceae.org/gb/gbrowse/malus_x_domestica/?name=MDP0000446336","MDP0000446336")</f>
        <v>MDP0000446336</v>
      </c>
      <c r="D1812">
        <v>50</v>
      </c>
      <c r="E1812">
        <v>186</v>
      </c>
      <c r="F1812">
        <v>93</v>
      </c>
      <c r="G1812">
        <v>5</v>
      </c>
      <c r="H1812">
        <v>788</v>
      </c>
      <c r="I1812">
        <v>971</v>
      </c>
      <c r="J1812">
        <v>1</v>
      </c>
      <c r="K1812">
        <v>149</v>
      </c>
      <c r="L1812">
        <v>331</v>
      </c>
      <c r="M1812">
        <v>1</v>
      </c>
      <c r="N1812">
        <v>5.2792600000000001E-40</v>
      </c>
      <c r="O1812">
        <v>414</v>
      </c>
    </row>
    <row r="1813" spans="1:15" x14ac:dyDescent="0.25">
      <c r="A1813" t="s">
        <v>1826</v>
      </c>
      <c r="B1813">
        <v>508</v>
      </c>
      <c r="C1813" s="1" t="str">
        <f>HYPERLINK("http://www.rosaceae.org/gb/gbrowse/malus_x_domestica/?name=MDP0000799753","MDP0000799753")</f>
        <v>MDP0000799753</v>
      </c>
      <c r="D1813">
        <v>70.16</v>
      </c>
      <c r="E1813">
        <v>486</v>
      </c>
      <c r="F1813">
        <v>145</v>
      </c>
      <c r="G1813">
        <v>9</v>
      </c>
      <c r="H1813">
        <v>31</v>
      </c>
      <c r="I1813">
        <v>508</v>
      </c>
      <c r="J1813">
        <v>1</v>
      </c>
      <c r="K1813">
        <v>39</v>
      </c>
      <c r="L1813">
        <v>523</v>
      </c>
      <c r="M1813">
        <v>1</v>
      </c>
      <c r="N1813">
        <v>0</v>
      </c>
      <c r="O1813">
        <v>1744</v>
      </c>
    </row>
    <row r="1814" spans="1:15" x14ac:dyDescent="0.25">
      <c r="A1814" t="s">
        <v>1827</v>
      </c>
      <c r="B1814">
        <v>331</v>
      </c>
      <c r="C1814" s="1" t="str">
        <f>HYPERLINK("http://www.rosaceae.org/gb/gbrowse/malus_x_domestica/?name=MDP0000162563","MDP0000162563")</f>
        <v>MDP0000162563</v>
      </c>
      <c r="D1814">
        <v>42.76</v>
      </c>
      <c r="E1814">
        <v>304</v>
      </c>
      <c r="F1814">
        <v>174</v>
      </c>
      <c r="G1814">
        <v>60</v>
      </c>
      <c r="H1814">
        <v>11</v>
      </c>
      <c r="I1814">
        <v>278</v>
      </c>
      <c r="J1814">
        <v>1</v>
      </c>
      <c r="K1814">
        <v>13</v>
      </c>
      <c r="L1814">
        <v>292</v>
      </c>
      <c r="M1814">
        <v>1</v>
      </c>
      <c r="N1814">
        <v>1.35451E-50</v>
      </c>
      <c r="O1814">
        <v>501</v>
      </c>
    </row>
    <row r="1815" spans="1:15" x14ac:dyDescent="0.25">
      <c r="A1815" t="s">
        <v>1828</v>
      </c>
      <c r="B1815">
        <v>187</v>
      </c>
      <c r="C1815" s="1" t="str">
        <f>HYPERLINK("http://www.rosaceae.org/gb/gbrowse/malus_x_domestica/?name=MDP0000242401","MDP0000242401")</f>
        <v>MDP0000242401</v>
      </c>
      <c r="D1815">
        <v>86.84</v>
      </c>
      <c r="E1815">
        <v>152</v>
      </c>
      <c r="F1815">
        <v>20</v>
      </c>
      <c r="G1815">
        <v>0</v>
      </c>
      <c r="H1815">
        <v>36</v>
      </c>
      <c r="I1815">
        <v>187</v>
      </c>
      <c r="J1815">
        <v>1</v>
      </c>
      <c r="K1815">
        <v>320</v>
      </c>
      <c r="L1815">
        <v>471</v>
      </c>
      <c r="M1815">
        <v>1</v>
      </c>
      <c r="N1815">
        <v>1.8651199999999999E-75</v>
      </c>
      <c r="O1815">
        <v>712</v>
      </c>
    </row>
    <row r="1816" spans="1:15" x14ac:dyDescent="0.25">
      <c r="A1816" t="s">
        <v>1829</v>
      </c>
      <c r="B1816">
        <v>96</v>
      </c>
      <c r="C1816" s="1" t="str">
        <f>HYPERLINK("http://www.rosaceae.org/gb/gbrowse/malus_x_domestica/?name=MDP0000866748","MDP0000866748")</f>
        <v>MDP0000866748</v>
      </c>
      <c r="D1816">
        <v>92.72</v>
      </c>
      <c r="E1816">
        <v>55</v>
      </c>
      <c r="F1816">
        <v>4</v>
      </c>
      <c r="G1816">
        <v>0</v>
      </c>
      <c r="H1816">
        <v>42</v>
      </c>
      <c r="I1816">
        <v>96</v>
      </c>
      <c r="J1816">
        <v>1</v>
      </c>
      <c r="K1816">
        <v>126</v>
      </c>
      <c r="L1816">
        <v>180</v>
      </c>
      <c r="M1816">
        <v>1</v>
      </c>
      <c r="N1816">
        <v>4.8322100000000001E-18</v>
      </c>
      <c r="O1816">
        <v>213</v>
      </c>
    </row>
    <row r="1817" spans="1:15" x14ac:dyDescent="0.25">
      <c r="A1817" t="s">
        <v>1830</v>
      </c>
      <c r="B1817">
        <v>1363</v>
      </c>
      <c r="C1817" s="1" t="str">
        <f>HYPERLINK("http://www.rosaceae.org/gb/gbrowse/malus_x_domestica/?name=MDP0000803920","MDP0000803920")</f>
        <v>MDP0000803920</v>
      </c>
      <c r="D1817">
        <v>57.72</v>
      </c>
      <c r="E1817">
        <v>220</v>
      </c>
      <c r="F1817">
        <v>93</v>
      </c>
      <c r="G1817">
        <v>5</v>
      </c>
      <c r="H1817">
        <v>2</v>
      </c>
      <c r="I1817">
        <v>219</v>
      </c>
      <c r="J1817">
        <v>1</v>
      </c>
      <c r="K1817">
        <v>788</v>
      </c>
      <c r="L1817">
        <v>1004</v>
      </c>
      <c r="M1817">
        <v>1</v>
      </c>
      <c r="N1817">
        <v>1.35641E-65</v>
      </c>
      <c r="O1817">
        <v>636</v>
      </c>
    </row>
    <row r="1818" spans="1:15" x14ac:dyDescent="0.25">
      <c r="A1818" t="s">
        <v>1831</v>
      </c>
      <c r="B1818">
        <v>496</v>
      </c>
      <c r="C1818" s="1" t="str">
        <f>HYPERLINK("http://www.rosaceae.org/gb/gbrowse/malus_x_domestica/?name=MDP0000478473","MDP0000478473")</f>
        <v>MDP0000478473</v>
      </c>
      <c r="D1818">
        <v>46.53</v>
      </c>
      <c r="E1818">
        <v>490</v>
      </c>
      <c r="F1818">
        <v>262</v>
      </c>
      <c r="G1818">
        <v>16</v>
      </c>
      <c r="H1818">
        <v>6</v>
      </c>
      <c r="I1818">
        <v>494</v>
      </c>
      <c r="J1818">
        <v>1</v>
      </c>
      <c r="K1818">
        <v>4</v>
      </c>
      <c r="L1818">
        <v>478</v>
      </c>
      <c r="M1818">
        <v>1</v>
      </c>
      <c r="N1818">
        <v>2.72168E-131</v>
      </c>
      <c r="O1818">
        <v>1199</v>
      </c>
    </row>
    <row r="1819" spans="1:15" x14ac:dyDescent="0.25">
      <c r="A1819" t="s">
        <v>1832</v>
      </c>
      <c r="B1819">
        <v>355</v>
      </c>
      <c r="C1819" s="1" t="str">
        <f>HYPERLINK("http://www.rosaceae.org/gb/gbrowse/malus_x_domestica/?name=MDP0000132214","MDP0000132214")</f>
        <v>MDP0000132214</v>
      </c>
      <c r="D1819">
        <v>64.87</v>
      </c>
      <c r="E1819">
        <v>316</v>
      </c>
      <c r="F1819">
        <v>111</v>
      </c>
      <c r="G1819">
        <v>0</v>
      </c>
      <c r="H1819">
        <v>28</v>
      </c>
      <c r="I1819">
        <v>343</v>
      </c>
      <c r="J1819">
        <v>1</v>
      </c>
      <c r="K1819">
        <v>80</v>
      </c>
      <c r="L1819">
        <v>395</v>
      </c>
      <c r="M1819">
        <v>1</v>
      </c>
      <c r="N1819">
        <v>2.4819800000000001E-123</v>
      </c>
      <c r="O1819">
        <v>1128</v>
      </c>
    </row>
    <row r="1820" spans="1:15" x14ac:dyDescent="0.25">
      <c r="A1820" t="s">
        <v>1833</v>
      </c>
      <c r="B1820">
        <v>111</v>
      </c>
      <c r="C1820" s="1" t="str">
        <f>HYPERLINK("http://www.rosaceae.org/gb/gbrowse/malus_x_domestica/?name=MDP0000127291","MDP0000127291")</f>
        <v>MDP0000127291</v>
      </c>
      <c r="D1820">
        <v>85.32</v>
      </c>
      <c r="E1820">
        <v>109</v>
      </c>
      <c r="F1820">
        <v>16</v>
      </c>
      <c r="G1820">
        <v>5</v>
      </c>
      <c r="H1820">
        <v>1</v>
      </c>
      <c r="I1820">
        <v>109</v>
      </c>
      <c r="J1820">
        <v>1</v>
      </c>
      <c r="K1820">
        <v>1</v>
      </c>
      <c r="L1820">
        <v>104</v>
      </c>
      <c r="M1820">
        <v>1</v>
      </c>
      <c r="N1820">
        <v>2.48917E-48</v>
      </c>
      <c r="O1820">
        <v>474</v>
      </c>
    </row>
    <row r="1821" spans="1:15" x14ac:dyDescent="0.25">
      <c r="A1821" t="s">
        <v>1834</v>
      </c>
      <c r="B1821">
        <v>198</v>
      </c>
      <c r="C1821" s="1" t="str">
        <f>HYPERLINK("http://www.rosaceae.org/gb/gbrowse/malus_x_domestica/?name=MDP0000185238","MDP0000185238")</f>
        <v>MDP0000185238</v>
      </c>
      <c r="D1821">
        <v>70.09</v>
      </c>
      <c r="E1821">
        <v>107</v>
      </c>
      <c r="F1821">
        <v>32</v>
      </c>
      <c r="G1821">
        <v>1</v>
      </c>
      <c r="H1821">
        <v>27</v>
      </c>
      <c r="I1821">
        <v>132</v>
      </c>
      <c r="J1821">
        <v>1</v>
      </c>
      <c r="K1821">
        <v>85</v>
      </c>
      <c r="L1821">
        <v>191</v>
      </c>
      <c r="M1821">
        <v>1</v>
      </c>
      <c r="N1821">
        <v>3.83992E-36</v>
      </c>
      <c r="O1821">
        <v>373</v>
      </c>
    </row>
    <row r="1822" spans="1:15" x14ac:dyDescent="0.25">
      <c r="A1822" t="s">
        <v>1835</v>
      </c>
      <c r="B1822">
        <v>648</v>
      </c>
      <c r="C1822" s="1" t="str">
        <f>HYPERLINK("http://www.rosaceae.org/gb/gbrowse/malus_x_domestica/?name=MDP0000742567","MDP0000742567")</f>
        <v>MDP0000742567</v>
      </c>
      <c r="D1822">
        <v>72</v>
      </c>
      <c r="E1822">
        <v>50</v>
      </c>
      <c r="F1822">
        <v>14</v>
      </c>
      <c r="G1822">
        <v>0</v>
      </c>
      <c r="H1822">
        <v>1</v>
      </c>
      <c r="I1822">
        <v>50</v>
      </c>
      <c r="J1822">
        <v>1</v>
      </c>
      <c r="K1822">
        <v>1</v>
      </c>
      <c r="L1822">
        <v>50</v>
      </c>
      <c r="M1822">
        <v>1</v>
      </c>
      <c r="N1822">
        <v>2.7504299999999998E-16</v>
      </c>
      <c r="O1822">
        <v>208</v>
      </c>
    </row>
    <row r="1823" spans="1:15" x14ac:dyDescent="0.25">
      <c r="A1823" t="s">
        <v>1836</v>
      </c>
      <c r="B1823">
        <v>195</v>
      </c>
      <c r="C1823" s="1" t="str">
        <f>HYPERLINK("http://www.rosaceae.org/gb/gbrowse/malus_x_domestica/?name=MDP0000161510","MDP0000161510")</f>
        <v>MDP0000161510</v>
      </c>
      <c r="D1823">
        <v>56.78</v>
      </c>
      <c r="E1823">
        <v>199</v>
      </c>
      <c r="F1823">
        <v>86</v>
      </c>
      <c r="G1823">
        <v>10</v>
      </c>
      <c r="H1823">
        <v>1</v>
      </c>
      <c r="I1823">
        <v>195</v>
      </c>
      <c r="J1823">
        <v>1</v>
      </c>
      <c r="K1823">
        <v>1</v>
      </c>
      <c r="L1823">
        <v>193</v>
      </c>
      <c r="M1823">
        <v>1</v>
      </c>
      <c r="N1823">
        <v>1.93334E-53</v>
      </c>
      <c r="O1823">
        <v>522</v>
      </c>
    </row>
    <row r="1824" spans="1:15" x14ac:dyDescent="0.25">
      <c r="A1824" t="s">
        <v>1837</v>
      </c>
      <c r="B1824">
        <v>70</v>
      </c>
      <c r="C1824" s="1" t="str">
        <f>HYPERLINK("http://www.rosaceae.org/gb/gbrowse/malus_x_domestica/?name=MDP0000224870","MDP0000224870")</f>
        <v>MDP0000224870</v>
      </c>
      <c r="D1824">
        <v>50.87</v>
      </c>
      <c r="E1824">
        <v>57</v>
      </c>
      <c r="F1824">
        <v>28</v>
      </c>
      <c r="G1824">
        <v>0</v>
      </c>
      <c r="H1824">
        <v>14</v>
      </c>
      <c r="I1824">
        <v>70</v>
      </c>
      <c r="J1824">
        <v>1</v>
      </c>
      <c r="K1824">
        <v>399</v>
      </c>
      <c r="L1824">
        <v>455</v>
      </c>
      <c r="M1824">
        <v>1</v>
      </c>
      <c r="N1824">
        <v>8.1021999999999995E-13</v>
      </c>
      <c r="O1824">
        <v>168</v>
      </c>
    </row>
    <row r="1825" spans="1:15" x14ac:dyDescent="0.25">
      <c r="A1825" t="s">
        <v>1838</v>
      </c>
      <c r="B1825">
        <v>430</v>
      </c>
      <c r="C1825" s="1" t="str">
        <f>HYPERLINK("http://www.rosaceae.org/gb/gbrowse/malus_x_domestica/?name=MDP0000320712","MDP0000320712")</f>
        <v>MDP0000320712</v>
      </c>
      <c r="D1825">
        <v>33.159999999999997</v>
      </c>
      <c r="E1825">
        <v>401</v>
      </c>
      <c r="F1825">
        <v>268</v>
      </c>
      <c r="G1825">
        <v>67</v>
      </c>
      <c r="H1825">
        <v>54</v>
      </c>
      <c r="I1825">
        <v>422</v>
      </c>
      <c r="J1825">
        <v>1</v>
      </c>
      <c r="K1825">
        <v>60</v>
      </c>
      <c r="L1825">
        <v>425</v>
      </c>
      <c r="M1825">
        <v>1</v>
      </c>
      <c r="N1825">
        <v>2.21776E-40</v>
      </c>
      <c r="O1825">
        <v>414</v>
      </c>
    </row>
    <row r="1826" spans="1:15" x14ac:dyDescent="0.25">
      <c r="A1826" t="s">
        <v>1839</v>
      </c>
      <c r="B1826">
        <v>1081</v>
      </c>
      <c r="C1826" s="1" t="str">
        <f>HYPERLINK("http://www.rosaceae.org/gb/gbrowse/malus_x_domestica/?name=MDP0000159130","MDP0000159130")</f>
        <v>MDP0000159130</v>
      </c>
      <c r="D1826">
        <v>87.88</v>
      </c>
      <c r="E1826">
        <v>1065</v>
      </c>
      <c r="F1826">
        <v>129</v>
      </c>
      <c r="G1826">
        <v>26</v>
      </c>
      <c r="H1826">
        <v>1</v>
      </c>
      <c r="I1826">
        <v>1042</v>
      </c>
      <c r="J1826">
        <v>1</v>
      </c>
      <c r="K1826">
        <v>1</v>
      </c>
      <c r="L1826">
        <v>1062</v>
      </c>
      <c r="M1826">
        <v>1</v>
      </c>
      <c r="N1826">
        <v>0</v>
      </c>
      <c r="O1826">
        <v>4898</v>
      </c>
    </row>
    <row r="1827" spans="1:15" x14ac:dyDescent="0.25">
      <c r="A1827" t="s">
        <v>1840</v>
      </c>
      <c r="B1827">
        <v>183</v>
      </c>
      <c r="C1827" s="1" t="str">
        <f>HYPERLINK("http://www.rosaceae.org/gb/gbrowse/malus_x_domestica/?name=MDP0000515760","MDP0000515760")</f>
        <v>MDP0000515760</v>
      </c>
      <c r="D1827">
        <v>37.200000000000003</v>
      </c>
      <c r="E1827">
        <v>172</v>
      </c>
      <c r="F1827">
        <v>108</v>
      </c>
      <c r="G1827">
        <v>24</v>
      </c>
      <c r="H1827">
        <v>18</v>
      </c>
      <c r="I1827">
        <v>172</v>
      </c>
      <c r="J1827">
        <v>1</v>
      </c>
      <c r="K1827">
        <v>22</v>
      </c>
      <c r="L1827">
        <v>186</v>
      </c>
      <c r="M1827">
        <v>1</v>
      </c>
      <c r="N1827">
        <v>5.6407100000000001E-15</v>
      </c>
      <c r="O1827">
        <v>190</v>
      </c>
    </row>
    <row r="1828" spans="1:15" x14ac:dyDescent="0.25">
      <c r="A1828" t="s">
        <v>1841</v>
      </c>
      <c r="B1828">
        <v>601</v>
      </c>
      <c r="C1828" s="1" t="str">
        <f>HYPERLINK("http://www.rosaceae.org/gb/gbrowse/malus_x_domestica/?name=MDP0000268322","MDP0000268322")</f>
        <v>MDP0000268322</v>
      </c>
      <c r="D1828">
        <v>73</v>
      </c>
      <c r="E1828">
        <v>463</v>
      </c>
      <c r="F1828">
        <v>125</v>
      </c>
      <c r="G1828">
        <v>75</v>
      </c>
      <c r="H1828">
        <v>194</v>
      </c>
      <c r="I1828">
        <v>600</v>
      </c>
      <c r="J1828">
        <v>1</v>
      </c>
      <c r="K1828">
        <v>1</v>
      </c>
      <c r="L1828">
        <v>444</v>
      </c>
      <c r="M1828">
        <v>1</v>
      </c>
      <c r="N1828">
        <v>0</v>
      </c>
      <c r="O1828">
        <v>1665</v>
      </c>
    </row>
    <row r="1829" spans="1:15" x14ac:dyDescent="0.25">
      <c r="A1829" t="s">
        <v>1842</v>
      </c>
      <c r="B1829">
        <v>461</v>
      </c>
      <c r="C1829" s="1" t="str">
        <f>HYPERLINK("http://www.rosaceae.org/gb/gbrowse/malus_x_domestica/?name=MDP0000256841","MDP0000256841")</f>
        <v>MDP0000256841</v>
      </c>
      <c r="D1829">
        <v>35.950000000000003</v>
      </c>
      <c r="E1829">
        <v>178</v>
      </c>
      <c r="F1829">
        <v>114</v>
      </c>
      <c r="G1829">
        <v>9</v>
      </c>
      <c r="H1829">
        <v>267</v>
      </c>
      <c r="I1829">
        <v>436</v>
      </c>
      <c r="J1829">
        <v>1</v>
      </c>
      <c r="K1829">
        <v>277</v>
      </c>
      <c r="L1829">
        <v>453</v>
      </c>
      <c r="M1829">
        <v>1</v>
      </c>
      <c r="N1829">
        <v>2.5104600000000001E-20</v>
      </c>
      <c r="O1829">
        <v>241</v>
      </c>
    </row>
    <row r="1830" spans="1:15" x14ac:dyDescent="0.25">
      <c r="A1830" t="s">
        <v>1843</v>
      </c>
      <c r="B1830">
        <v>494</v>
      </c>
      <c r="C1830" s="1" t="str">
        <f>HYPERLINK("http://www.rosaceae.org/gb/gbrowse/malus_x_domestica/?name=MDP0000273254","MDP0000273254")</f>
        <v>MDP0000273254</v>
      </c>
      <c r="D1830">
        <v>53.79</v>
      </c>
      <c r="E1830">
        <v>448</v>
      </c>
      <c r="F1830">
        <v>207</v>
      </c>
      <c r="G1830">
        <v>69</v>
      </c>
      <c r="H1830">
        <v>57</v>
      </c>
      <c r="I1830">
        <v>490</v>
      </c>
      <c r="J1830">
        <v>1</v>
      </c>
      <c r="K1830">
        <v>476</v>
      </c>
      <c r="L1830">
        <v>868</v>
      </c>
      <c r="M1830">
        <v>1</v>
      </c>
      <c r="N1830">
        <v>2.0990500000000002E-117</v>
      </c>
      <c r="O1830">
        <v>1079</v>
      </c>
    </row>
    <row r="1831" spans="1:15" x14ac:dyDescent="0.25">
      <c r="A1831" t="s">
        <v>1844</v>
      </c>
      <c r="B1831">
        <v>1083</v>
      </c>
      <c r="C1831" s="1" t="str">
        <f>HYPERLINK("http://www.rosaceae.org/gb/gbrowse/malus_x_domestica/?name=MDP0000718381","MDP0000718381")</f>
        <v>MDP0000718381</v>
      </c>
      <c r="D1831">
        <v>72.23</v>
      </c>
      <c r="E1831">
        <v>1084</v>
      </c>
      <c r="F1831">
        <v>301</v>
      </c>
      <c r="G1831">
        <v>49</v>
      </c>
      <c r="H1831">
        <v>5</v>
      </c>
      <c r="I1831">
        <v>1083</v>
      </c>
      <c r="J1831">
        <v>1</v>
      </c>
      <c r="K1831">
        <v>96</v>
      </c>
      <c r="L1831">
        <v>1135</v>
      </c>
      <c r="M1831">
        <v>1</v>
      </c>
      <c r="N1831">
        <v>0</v>
      </c>
      <c r="O1831">
        <v>3999</v>
      </c>
    </row>
    <row r="1832" spans="1:15" x14ac:dyDescent="0.25">
      <c r="A1832" t="s">
        <v>1845</v>
      </c>
      <c r="B1832">
        <v>193</v>
      </c>
      <c r="C1832" s="1" t="str">
        <f>HYPERLINK("http://www.rosaceae.org/gb/gbrowse/malus_x_domestica/?name=MDP0000169573","MDP0000169573")</f>
        <v>MDP0000169573</v>
      </c>
      <c r="D1832">
        <v>53.26</v>
      </c>
      <c r="E1832">
        <v>184</v>
      </c>
      <c r="F1832">
        <v>86</v>
      </c>
      <c r="G1832">
        <v>6</v>
      </c>
      <c r="H1832">
        <v>1</v>
      </c>
      <c r="I1832">
        <v>179</v>
      </c>
      <c r="J1832">
        <v>1</v>
      </c>
      <c r="K1832">
        <v>1</v>
      </c>
      <c r="L1832">
        <v>183</v>
      </c>
      <c r="M1832">
        <v>1</v>
      </c>
      <c r="N1832">
        <v>1.4956099999999999E-32</v>
      </c>
      <c r="O1832">
        <v>342</v>
      </c>
    </row>
    <row r="1833" spans="1:15" x14ac:dyDescent="0.25">
      <c r="A1833" t="s">
        <v>1846</v>
      </c>
      <c r="B1833">
        <v>153</v>
      </c>
      <c r="C1833" s="1" t="str">
        <f>HYPERLINK("http://www.rosaceae.org/gb/gbrowse/malus_x_domestica/?name=MDP0000525995","MDP0000525995")</f>
        <v>MDP0000525995</v>
      </c>
      <c r="D1833">
        <v>40.35</v>
      </c>
      <c r="E1833">
        <v>114</v>
      </c>
      <c r="F1833">
        <v>68</v>
      </c>
      <c r="G1833">
        <v>24</v>
      </c>
      <c r="H1833">
        <v>31</v>
      </c>
      <c r="I1833">
        <v>125</v>
      </c>
      <c r="J1833">
        <v>1</v>
      </c>
      <c r="K1833">
        <v>25</v>
      </c>
      <c r="L1833">
        <v>133</v>
      </c>
      <c r="M1833">
        <v>1</v>
      </c>
      <c r="N1833">
        <v>1.1116699999999999E-9</v>
      </c>
      <c r="O1833">
        <v>143</v>
      </c>
    </row>
    <row r="1834" spans="1:15" x14ac:dyDescent="0.25">
      <c r="A1834" t="s">
        <v>1847</v>
      </c>
      <c r="B1834">
        <v>2127</v>
      </c>
      <c r="C1834" s="1" t="str">
        <f>HYPERLINK("http://www.rosaceae.org/gb/gbrowse/malus_x_domestica/?name=MDP0000237988","MDP0000237988")</f>
        <v>MDP0000237988</v>
      </c>
      <c r="D1834">
        <v>68.58</v>
      </c>
      <c r="E1834">
        <v>1165</v>
      </c>
      <c r="F1834">
        <v>366</v>
      </c>
      <c r="G1834">
        <v>28</v>
      </c>
      <c r="H1834">
        <v>990</v>
      </c>
      <c r="I1834">
        <v>2127</v>
      </c>
      <c r="J1834">
        <v>1</v>
      </c>
      <c r="K1834">
        <v>835</v>
      </c>
      <c r="L1834">
        <v>1998</v>
      </c>
      <c r="M1834">
        <v>1</v>
      </c>
      <c r="N1834">
        <v>0</v>
      </c>
      <c r="O1834">
        <v>3974</v>
      </c>
    </row>
    <row r="1835" spans="1:15" x14ac:dyDescent="0.25">
      <c r="A1835" t="s">
        <v>1848</v>
      </c>
      <c r="B1835">
        <v>793</v>
      </c>
      <c r="C1835" s="1" t="str">
        <f>HYPERLINK("http://www.rosaceae.org/gb/gbrowse/malus_x_domestica/?name=MDP0000278649","MDP0000278649")</f>
        <v>MDP0000278649</v>
      </c>
      <c r="D1835">
        <v>95.94</v>
      </c>
      <c r="E1835">
        <v>764</v>
      </c>
      <c r="F1835">
        <v>31</v>
      </c>
      <c r="G1835">
        <v>0</v>
      </c>
      <c r="H1835">
        <v>1</v>
      </c>
      <c r="I1835">
        <v>764</v>
      </c>
      <c r="J1835">
        <v>1</v>
      </c>
      <c r="K1835">
        <v>1</v>
      </c>
      <c r="L1835">
        <v>764</v>
      </c>
      <c r="M1835">
        <v>1</v>
      </c>
      <c r="N1835">
        <v>0</v>
      </c>
      <c r="O1835">
        <v>3976</v>
      </c>
    </row>
    <row r="1836" spans="1:15" x14ac:dyDescent="0.25">
      <c r="A1836" t="s">
        <v>1849</v>
      </c>
      <c r="B1836">
        <v>176</v>
      </c>
      <c r="C1836" s="1" t="str">
        <f>HYPERLINK("http://www.rosaceae.org/gb/gbrowse/malus_x_domestica/?name=MDP0000227352","MDP0000227352")</f>
        <v>MDP0000227352</v>
      </c>
      <c r="D1836">
        <v>29.12</v>
      </c>
      <c r="E1836">
        <v>182</v>
      </c>
      <c r="F1836">
        <v>129</v>
      </c>
      <c r="G1836">
        <v>10</v>
      </c>
      <c r="H1836">
        <v>1</v>
      </c>
      <c r="I1836">
        <v>172</v>
      </c>
      <c r="J1836">
        <v>1</v>
      </c>
      <c r="K1836">
        <v>63</v>
      </c>
      <c r="L1836">
        <v>244</v>
      </c>
      <c r="M1836">
        <v>1</v>
      </c>
      <c r="N1836">
        <v>5.7255899999999996E-16</v>
      </c>
      <c r="O1836">
        <v>198</v>
      </c>
    </row>
    <row r="1837" spans="1:15" x14ac:dyDescent="0.25">
      <c r="A1837" t="s">
        <v>1850</v>
      </c>
      <c r="B1837">
        <v>308</v>
      </c>
      <c r="C1837" s="1" t="str">
        <f>HYPERLINK("http://www.rosaceae.org/gb/gbrowse/malus_x_domestica/?name=MDP0000228573","MDP0000228573")</f>
        <v>MDP0000228573</v>
      </c>
      <c r="D1837">
        <v>47.1</v>
      </c>
      <c r="E1837">
        <v>242</v>
      </c>
      <c r="F1837">
        <v>128</v>
      </c>
      <c r="G1837">
        <v>16</v>
      </c>
      <c r="H1837">
        <v>12</v>
      </c>
      <c r="I1837">
        <v>244</v>
      </c>
      <c r="J1837">
        <v>1</v>
      </c>
      <c r="K1837">
        <v>7</v>
      </c>
      <c r="L1837">
        <v>241</v>
      </c>
      <c r="M1837">
        <v>1</v>
      </c>
      <c r="N1837">
        <v>3.0197799999999999E-54</v>
      </c>
      <c r="O1837">
        <v>532</v>
      </c>
    </row>
    <row r="1838" spans="1:15" x14ac:dyDescent="0.25">
      <c r="A1838" t="s">
        <v>1851</v>
      </c>
      <c r="B1838">
        <v>729</v>
      </c>
      <c r="C1838" s="1" t="str">
        <f>HYPERLINK("http://www.rosaceae.org/gb/gbrowse/malus_x_domestica/?name=MDP0000928106","MDP0000928106")</f>
        <v>MDP0000928106</v>
      </c>
      <c r="D1838">
        <v>76.430000000000007</v>
      </c>
      <c r="E1838">
        <v>573</v>
      </c>
      <c r="F1838">
        <v>135</v>
      </c>
      <c r="G1838">
        <v>7</v>
      </c>
      <c r="H1838">
        <v>1</v>
      </c>
      <c r="I1838">
        <v>566</v>
      </c>
      <c r="J1838">
        <v>1</v>
      </c>
      <c r="K1838">
        <v>1</v>
      </c>
      <c r="L1838">
        <v>573</v>
      </c>
      <c r="M1838">
        <v>1</v>
      </c>
      <c r="N1838">
        <v>0</v>
      </c>
      <c r="O1838">
        <v>2208</v>
      </c>
    </row>
    <row r="1839" spans="1:15" x14ac:dyDescent="0.25">
      <c r="A1839" t="s">
        <v>1852</v>
      </c>
      <c r="B1839">
        <v>220</v>
      </c>
      <c r="C1839" s="1" t="str">
        <f>HYPERLINK("http://www.rosaceae.org/gb/gbrowse/malus_x_domestica/?name=MDP0000125671","MDP0000125671")</f>
        <v>MDP0000125671</v>
      </c>
      <c r="D1839">
        <v>63.63</v>
      </c>
      <c r="E1839">
        <v>220</v>
      </c>
      <c r="F1839">
        <v>80</v>
      </c>
      <c r="G1839">
        <v>49</v>
      </c>
      <c r="H1839">
        <v>37</v>
      </c>
      <c r="I1839">
        <v>212</v>
      </c>
      <c r="J1839">
        <v>1</v>
      </c>
      <c r="K1839">
        <v>40</v>
      </c>
      <c r="L1839">
        <v>254</v>
      </c>
      <c r="M1839">
        <v>1</v>
      </c>
      <c r="N1839">
        <v>6.2061899999999997E-61</v>
      </c>
      <c r="O1839">
        <v>588</v>
      </c>
    </row>
    <row r="1840" spans="1:15" x14ac:dyDescent="0.25">
      <c r="A1840" t="s">
        <v>1853</v>
      </c>
      <c r="B1840">
        <v>216</v>
      </c>
      <c r="C1840" s="1" t="str">
        <f>HYPERLINK("http://www.rosaceae.org/gb/gbrowse/malus_x_domestica/?name=MDP0000307326","MDP0000307326")</f>
        <v>MDP0000307326</v>
      </c>
      <c r="D1840">
        <v>69.8</v>
      </c>
      <c r="E1840">
        <v>255</v>
      </c>
      <c r="F1840">
        <v>77</v>
      </c>
      <c r="G1840">
        <v>45</v>
      </c>
      <c r="H1840">
        <v>2</v>
      </c>
      <c r="I1840">
        <v>215</v>
      </c>
      <c r="J1840">
        <v>1</v>
      </c>
      <c r="K1840">
        <v>122</v>
      </c>
      <c r="L1840">
        <v>372</v>
      </c>
      <c r="M1840">
        <v>1</v>
      </c>
      <c r="N1840">
        <v>1.5768299999999999E-95</v>
      </c>
      <c r="O1840">
        <v>886</v>
      </c>
    </row>
    <row r="1841" spans="1:15" x14ac:dyDescent="0.25">
      <c r="A1841" t="s">
        <v>1854</v>
      </c>
      <c r="B1841">
        <v>457</v>
      </c>
      <c r="C1841" s="1" t="str">
        <f>HYPERLINK("http://www.rosaceae.org/gb/gbrowse/malus_x_domestica/?name=MDP0000130769","MDP0000130769")</f>
        <v>MDP0000130769</v>
      </c>
      <c r="D1841">
        <v>82.29</v>
      </c>
      <c r="E1841">
        <v>435</v>
      </c>
      <c r="F1841">
        <v>77</v>
      </c>
      <c r="G1841">
        <v>2</v>
      </c>
      <c r="H1841">
        <v>22</v>
      </c>
      <c r="I1841">
        <v>456</v>
      </c>
      <c r="J1841">
        <v>1</v>
      </c>
      <c r="K1841">
        <v>35</v>
      </c>
      <c r="L1841">
        <v>467</v>
      </c>
      <c r="M1841">
        <v>1</v>
      </c>
      <c r="N1841">
        <v>0</v>
      </c>
      <c r="O1841">
        <v>1892</v>
      </c>
    </row>
    <row r="1842" spans="1:15" x14ac:dyDescent="0.25">
      <c r="A1842" t="s">
        <v>1855</v>
      </c>
      <c r="B1842">
        <v>256</v>
      </c>
      <c r="C1842" s="1" t="str">
        <f>HYPERLINK("http://www.rosaceae.org/gb/gbrowse/malus_x_domestica/?name=MDP0000216956","MDP0000216956")</f>
        <v>MDP0000216956</v>
      </c>
      <c r="D1842">
        <v>30.13</v>
      </c>
      <c r="E1842">
        <v>229</v>
      </c>
      <c r="F1842">
        <v>160</v>
      </c>
      <c r="G1842">
        <v>56</v>
      </c>
      <c r="H1842">
        <v>26</v>
      </c>
      <c r="I1842">
        <v>211</v>
      </c>
      <c r="J1842">
        <v>1</v>
      </c>
      <c r="K1842">
        <v>27</v>
      </c>
      <c r="L1842">
        <v>242</v>
      </c>
      <c r="M1842">
        <v>1</v>
      </c>
      <c r="N1842">
        <v>2.32635E-15</v>
      </c>
      <c r="O1842">
        <v>196</v>
      </c>
    </row>
    <row r="1843" spans="1:15" x14ac:dyDescent="0.25">
      <c r="A1843" t="s">
        <v>1856</v>
      </c>
      <c r="B1843">
        <v>504</v>
      </c>
      <c r="C1843" s="1" t="str">
        <f>HYPERLINK("http://www.rosaceae.org/gb/gbrowse/malus_x_domestica/?name=MDP0000290180","MDP0000290180")</f>
        <v>MDP0000290180</v>
      </c>
      <c r="D1843">
        <v>30.8</v>
      </c>
      <c r="E1843">
        <v>448</v>
      </c>
      <c r="F1843">
        <v>310</v>
      </c>
      <c r="G1843">
        <v>9</v>
      </c>
      <c r="H1843">
        <v>38</v>
      </c>
      <c r="I1843">
        <v>476</v>
      </c>
      <c r="J1843">
        <v>1</v>
      </c>
      <c r="K1843">
        <v>303</v>
      </c>
      <c r="L1843">
        <v>750</v>
      </c>
      <c r="M1843">
        <v>1</v>
      </c>
      <c r="N1843">
        <v>5.6205500000000002E-60</v>
      </c>
      <c r="O1843">
        <v>584</v>
      </c>
    </row>
    <row r="1844" spans="1:15" x14ac:dyDescent="0.25">
      <c r="A1844" t="s">
        <v>1857</v>
      </c>
      <c r="B1844">
        <v>367</v>
      </c>
      <c r="C1844" s="1" t="str">
        <f>HYPERLINK("http://www.rosaceae.org/gb/gbrowse/malus_x_domestica/?name=MDP0000233092","MDP0000233092")</f>
        <v>MDP0000233092</v>
      </c>
      <c r="D1844">
        <v>64.55</v>
      </c>
      <c r="E1844">
        <v>268</v>
      </c>
      <c r="F1844">
        <v>95</v>
      </c>
      <c r="G1844">
        <v>17</v>
      </c>
      <c r="H1844">
        <v>109</v>
      </c>
      <c r="I1844">
        <v>367</v>
      </c>
      <c r="J1844">
        <v>1</v>
      </c>
      <c r="K1844">
        <v>1</v>
      </c>
      <c r="L1844">
        <v>260</v>
      </c>
      <c r="M1844">
        <v>1</v>
      </c>
      <c r="N1844">
        <v>9.0258400000000002E-91</v>
      </c>
      <c r="O1844">
        <v>848</v>
      </c>
    </row>
    <row r="1845" spans="1:15" x14ac:dyDescent="0.25">
      <c r="A1845" t="s">
        <v>1858</v>
      </c>
      <c r="B1845">
        <v>91</v>
      </c>
      <c r="C1845" s="1" t="str">
        <f>HYPERLINK("http://www.rosaceae.org/gb/gbrowse/malus_x_domestica/?name=MDP0000218785","MDP0000218785")</f>
        <v>MDP0000218785</v>
      </c>
      <c r="D1845">
        <v>65.38</v>
      </c>
      <c r="E1845">
        <v>78</v>
      </c>
      <c r="F1845">
        <v>27</v>
      </c>
      <c r="G1845">
        <v>1</v>
      </c>
      <c r="H1845">
        <v>10</v>
      </c>
      <c r="I1845">
        <v>87</v>
      </c>
      <c r="J1845">
        <v>1</v>
      </c>
      <c r="K1845">
        <v>14</v>
      </c>
      <c r="L1845">
        <v>90</v>
      </c>
      <c r="M1845">
        <v>1</v>
      </c>
      <c r="N1845">
        <v>2.0781999999999999E-20</v>
      </c>
      <c r="O1845">
        <v>233</v>
      </c>
    </row>
    <row r="1846" spans="1:15" x14ac:dyDescent="0.25">
      <c r="A1846" t="s">
        <v>1859</v>
      </c>
      <c r="B1846">
        <v>261</v>
      </c>
      <c r="C1846" s="1" t="str">
        <f>HYPERLINK("http://www.rosaceae.org/gb/gbrowse/malus_x_domestica/?name=MDP0000783444","MDP0000783444")</f>
        <v>MDP0000783444</v>
      </c>
      <c r="D1846">
        <v>77.09</v>
      </c>
      <c r="E1846">
        <v>262</v>
      </c>
      <c r="F1846">
        <v>60</v>
      </c>
      <c r="G1846">
        <v>2</v>
      </c>
      <c r="H1846">
        <v>1</v>
      </c>
      <c r="I1846">
        <v>261</v>
      </c>
      <c r="J1846">
        <v>1</v>
      </c>
      <c r="K1846">
        <v>520</v>
      </c>
      <c r="L1846">
        <v>780</v>
      </c>
      <c r="M1846">
        <v>1</v>
      </c>
      <c r="N1846">
        <v>1.1570699999999999E-116</v>
      </c>
      <c r="O1846">
        <v>1069</v>
      </c>
    </row>
    <row r="1847" spans="1:15" x14ac:dyDescent="0.25">
      <c r="A1847" t="s">
        <v>1860</v>
      </c>
      <c r="B1847">
        <v>113</v>
      </c>
      <c r="C1847" s="1" t="str">
        <f>HYPERLINK("http://www.rosaceae.org/gb/gbrowse/malus_x_domestica/?name=MDP0000186550","MDP0000186550")</f>
        <v>MDP0000186550</v>
      </c>
      <c r="D1847">
        <v>54.08</v>
      </c>
      <c r="E1847">
        <v>98</v>
      </c>
      <c r="F1847">
        <v>45</v>
      </c>
      <c r="G1847">
        <v>29</v>
      </c>
      <c r="H1847">
        <v>15</v>
      </c>
      <c r="I1847">
        <v>112</v>
      </c>
      <c r="J1847">
        <v>1</v>
      </c>
      <c r="K1847">
        <v>1</v>
      </c>
      <c r="L1847">
        <v>69</v>
      </c>
      <c r="M1847">
        <v>1</v>
      </c>
      <c r="N1847">
        <v>4.5070099999999999E-20</v>
      </c>
      <c r="O1847">
        <v>231</v>
      </c>
    </row>
    <row r="1848" spans="1:15" x14ac:dyDescent="0.25">
      <c r="A1848" t="s">
        <v>1861</v>
      </c>
      <c r="B1848">
        <v>224</v>
      </c>
      <c r="C1848" s="1" t="str">
        <f>HYPERLINK("http://www.rosaceae.org/gb/gbrowse/malus_x_domestica/?name=MDP0000269890","MDP0000269890")</f>
        <v>MDP0000269890</v>
      </c>
      <c r="D1848">
        <v>51.04</v>
      </c>
      <c r="E1848">
        <v>239</v>
      </c>
      <c r="F1848">
        <v>117</v>
      </c>
      <c r="G1848">
        <v>46</v>
      </c>
      <c r="H1848">
        <v>16</v>
      </c>
      <c r="I1848">
        <v>224</v>
      </c>
      <c r="J1848">
        <v>1</v>
      </c>
      <c r="K1848">
        <v>20</v>
      </c>
      <c r="L1848">
        <v>242</v>
      </c>
      <c r="M1848">
        <v>1</v>
      </c>
      <c r="N1848">
        <v>3.0043900000000001E-45</v>
      </c>
      <c r="O1848">
        <v>452</v>
      </c>
    </row>
    <row r="1849" spans="1:15" x14ac:dyDescent="0.25">
      <c r="A1849" t="s">
        <v>1862</v>
      </c>
      <c r="B1849">
        <v>808</v>
      </c>
      <c r="C1849" s="1" t="str">
        <f>HYPERLINK("http://www.rosaceae.org/gb/gbrowse/malus_x_domestica/?name=MDP0000295823","MDP0000295823")</f>
        <v>MDP0000295823</v>
      </c>
      <c r="D1849">
        <v>68.33</v>
      </c>
      <c r="E1849">
        <v>499</v>
      </c>
      <c r="F1849">
        <v>158</v>
      </c>
      <c r="G1849">
        <v>55</v>
      </c>
      <c r="H1849">
        <v>1</v>
      </c>
      <c r="I1849">
        <v>445</v>
      </c>
      <c r="J1849">
        <v>1</v>
      </c>
      <c r="K1849">
        <v>1</v>
      </c>
      <c r="L1849">
        <v>498</v>
      </c>
      <c r="M1849">
        <v>1</v>
      </c>
      <c r="N1849">
        <v>0</v>
      </c>
      <c r="O1849">
        <v>1715</v>
      </c>
    </row>
    <row r="1850" spans="1:15" x14ac:dyDescent="0.25">
      <c r="A1850" t="s">
        <v>1863</v>
      </c>
      <c r="B1850">
        <v>253</v>
      </c>
      <c r="C1850" s="1" t="str">
        <f>HYPERLINK("http://www.rosaceae.org/gb/gbrowse/malus_x_domestica/?name=MDP0000318115","MDP0000318115")</f>
        <v>MDP0000318115</v>
      </c>
      <c r="D1850">
        <v>44.94</v>
      </c>
      <c r="E1850">
        <v>89</v>
      </c>
      <c r="F1850">
        <v>49</v>
      </c>
      <c r="G1850">
        <v>0</v>
      </c>
      <c r="H1850">
        <v>82</v>
      </c>
      <c r="I1850">
        <v>170</v>
      </c>
      <c r="J1850">
        <v>1</v>
      </c>
      <c r="K1850">
        <v>46</v>
      </c>
      <c r="L1850">
        <v>134</v>
      </c>
      <c r="M1850">
        <v>1</v>
      </c>
      <c r="N1850">
        <v>3.4099799999999999E-10</v>
      </c>
      <c r="O1850">
        <v>151</v>
      </c>
    </row>
    <row r="1851" spans="1:15" x14ac:dyDescent="0.25">
      <c r="A1851" t="s">
        <v>1864</v>
      </c>
      <c r="B1851">
        <v>472</v>
      </c>
      <c r="C1851" s="1" t="str">
        <f>HYPERLINK("http://www.rosaceae.org/gb/gbrowse/malus_x_domestica/?name=MDP0000463624","MDP0000463624")</f>
        <v>MDP0000463624</v>
      </c>
      <c r="D1851">
        <v>61.02</v>
      </c>
      <c r="E1851">
        <v>490</v>
      </c>
      <c r="F1851">
        <v>191</v>
      </c>
      <c r="G1851">
        <v>25</v>
      </c>
      <c r="H1851">
        <v>1</v>
      </c>
      <c r="I1851">
        <v>472</v>
      </c>
      <c r="J1851">
        <v>1</v>
      </c>
      <c r="K1851">
        <v>1</v>
      </c>
      <c r="L1851">
        <v>483</v>
      </c>
      <c r="M1851">
        <v>1</v>
      </c>
      <c r="N1851">
        <v>2.6624800000000002E-153</v>
      </c>
      <c r="O1851">
        <v>1388</v>
      </c>
    </row>
    <row r="1852" spans="1:15" x14ac:dyDescent="0.25">
      <c r="A1852" t="s">
        <v>1865</v>
      </c>
      <c r="B1852">
        <v>364</v>
      </c>
      <c r="C1852" s="1" t="str">
        <f>HYPERLINK("http://www.rosaceae.org/gb/gbrowse/malus_x_domestica/?name=MDP0000774306","MDP0000774306")</f>
        <v>MDP0000774306</v>
      </c>
      <c r="D1852">
        <v>40.57</v>
      </c>
      <c r="E1852">
        <v>345</v>
      </c>
      <c r="F1852">
        <v>205</v>
      </c>
      <c r="G1852">
        <v>14</v>
      </c>
      <c r="H1852">
        <v>1</v>
      </c>
      <c r="I1852">
        <v>335</v>
      </c>
      <c r="J1852">
        <v>1</v>
      </c>
      <c r="K1852">
        <v>1</v>
      </c>
      <c r="L1852">
        <v>341</v>
      </c>
      <c r="M1852">
        <v>1</v>
      </c>
      <c r="N1852">
        <v>3.3452899999999998E-50</v>
      </c>
      <c r="O1852">
        <v>498</v>
      </c>
    </row>
    <row r="1853" spans="1:15" x14ac:dyDescent="0.25">
      <c r="A1853" t="s">
        <v>1866</v>
      </c>
      <c r="B1853">
        <v>1699</v>
      </c>
      <c r="C1853" s="1" t="str">
        <f>HYPERLINK("http://www.rosaceae.org/gb/gbrowse/malus_x_domestica/?name=MDP0000123958","MDP0000123958")</f>
        <v>MDP0000123958</v>
      </c>
      <c r="D1853">
        <v>65.25</v>
      </c>
      <c r="E1853">
        <v>1249</v>
      </c>
      <c r="F1853">
        <v>434</v>
      </c>
      <c r="G1853">
        <v>76</v>
      </c>
      <c r="H1853">
        <v>1</v>
      </c>
      <c r="I1853">
        <v>1219</v>
      </c>
      <c r="J1853">
        <v>1</v>
      </c>
      <c r="K1853">
        <v>84</v>
      </c>
      <c r="L1853">
        <v>1286</v>
      </c>
      <c r="M1853">
        <v>1</v>
      </c>
      <c r="N1853">
        <v>0</v>
      </c>
      <c r="O1853">
        <v>4001</v>
      </c>
    </row>
    <row r="1854" spans="1:15" x14ac:dyDescent="0.25">
      <c r="A1854" t="s">
        <v>1867</v>
      </c>
      <c r="B1854">
        <v>600</v>
      </c>
      <c r="C1854" s="1" t="str">
        <f>HYPERLINK("http://www.rosaceae.org/gb/gbrowse/malus_x_domestica/?name=MDP0000199580","MDP0000199580")</f>
        <v>MDP0000199580</v>
      </c>
      <c r="D1854">
        <v>49.83</v>
      </c>
      <c r="E1854">
        <v>295</v>
      </c>
      <c r="F1854">
        <v>148</v>
      </c>
      <c r="G1854">
        <v>63</v>
      </c>
      <c r="H1854">
        <v>247</v>
      </c>
      <c r="I1854">
        <v>478</v>
      </c>
      <c r="J1854">
        <v>1</v>
      </c>
      <c r="K1854">
        <v>622</v>
      </c>
      <c r="L1854">
        <v>916</v>
      </c>
      <c r="M1854">
        <v>1</v>
      </c>
      <c r="N1854">
        <v>6.5373000000000001E-66</v>
      </c>
      <c r="O1854">
        <v>636</v>
      </c>
    </row>
    <row r="1855" spans="1:15" x14ac:dyDescent="0.25">
      <c r="A1855" t="s">
        <v>1868</v>
      </c>
      <c r="B1855">
        <v>676</v>
      </c>
      <c r="C1855" s="1" t="str">
        <f>HYPERLINK("http://www.rosaceae.org/gb/gbrowse/malus_x_domestica/?name=MDP0000151434","MDP0000151434")</f>
        <v>MDP0000151434</v>
      </c>
      <c r="D1855">
        <v>66.53</v>
      </c>
      <c r="E1855">
        <v>738</v>
      </c>
      <c r="F1855">
        <v>247</v>
      </c>
      <c r="G1855">
        <v>69</v>
      </c>
      <c r="H1855">
        <v>8</v>
      </c>
      <c r="I1855">
        <v>676</v>
      </c>
      <c r="J1855">
        <v>1</v>
      </c>
      <c r="K1855">
        <v>5</v>
      </c>
      <c r="L1855">
        <v>742</v>
      </c>
      <c r="M1855">
        <v>1</v>
      </c>
      <c r="N1855">
        <v>0</v>
      </c>
      <c r="O1855">
        <v>2492</v>
      </c>
    </row>
    <row r="1856" spans="1:15" x14ac:dyDescent="0.25">
      <c r="A1856" t="s">
        <v>1869</v>
      </c>
      <c r="B1856">
        <v>198</v>
      </c>
      <c r="C1856" s="1" t="str">
        <f>HYPERLINK("http://www.rosaceae.org/gb/gbrowse/malus_x_domestica/?name=MDP0000121362","MDP0000121362")</f>
        <v>MDP0000121362</v>
      </c>
      <c r="D1856">
        <v>34.159999999999997</v>
      </c>
      <c r="E1856">
        <v>120</v>
      </c>
      <c r="F1856">
        <v>79</v>
      </c>
      <c r="G1856">
        <v>12</v>
      </c>
      <c r="H1856">
        <v>11</v>
      </c>
      <c r="I1856">
        <v>123</v>
      </c>
      <c r="J1856">
        <v>1</v>
      </c>
      <c r="K1856">
        <v>257</v>
      </c>
      <c r="L1856">
        <v>371</v>
      </c>
      <c r="M1856">
        <v>1</v>
      </c>
      <c r="N1856">
        <v>5.4911400000000001E-11</v>
      </c>
      <c r="O1856">
        <v>156</v>
      </c>
    </row>
    <row r="1857" spans="1:15" x14ac:dyDescent="0.25">
      <c r="A1857" t="s">
        <v>1870</v>
      </c>
      <c r="B1857">
        <v>378</v>
      </c>
      <c r="C1857" s="1" t="str">
        <f>HYPERLINK("http://www.rosaceae.org/gb/gbrowse/malus_x_domestica/?name=MDP0000264347","MDP0000264347")</f>
        <v>MDP0000264347</v>
      </c>
      <c r="D1857">
        <v>51.7</v>
      </c>
      <c r="E1857">
        <v>294</v>
      </c>
      <c r="F1857">
        <v>142</v>
      </c>
      <c r="G1857">
        <v>14</v>
      </c>
      <c r="H1857">
        <v>73</v>
      </c>
      <c r="I1857">
        <v>359</v>
      </c>
      <c r="J1857">
        <v>1</v>
      </c>
      <c r="K1857">
        <v>75</v>
      </c>
      <c r="L1857">
        <v>361</v>
      </c>
      <c r="M1857">
        <v>1</v>
      </c>
      <c r="N1857">
        <v>4.1544300000000003E-60</v>
      </c>
      <c r="O1857">
        <v>584</v>
      </c>
    </row>
    <row r="1858" spans="1:15" x14ac:dyDescent="0.25">
      <c r="A1858" t="s">
        <v>1871</v>
      </c>
      <c r="B1858">
        <v>252</v>
      </c>
      <c r="C1858" s="1" t="str">
        <f>HYPERLINK("http://www.rosaceae.org/gb/gbrowse/malus_x_domestica/?name=MDP0000231216","MDP0000231216")</f>
        <v>MDP0000231216</v>
      </c>
      <c r="D1858">
        <v>49.18</v>
      </c>
      <c r="E1858">
        <v>307</v>
      </c>
      <c r="F1858">
        <v>156</v>
      </c>
      <c r="G1858">
        <v>83</v>
      </c>
      <c r="H1858">
        <v>10</v>
      </c>
      <c r="I1858">
        <v>251</v>
      </c>
      <c r="J1858">
        <v>1</v>
      </c>
      <c r="K1858">
        <v>144</v>
      </c>
      <c r="L1858">
        <v>432</v>
      </c>
      <c r="M1858">
        <v>1</v>
      </c>
      <c r="N1858">
        <v>2.2336999999999998E-65</v>
      </c>
      <c r="O1858">
        <v>627</v>
      </c>
    </row>
    <row r="1859" spans="1:15" x14ac:dyDescent="0.25">
      <c r="A1859" t="s">
        <v>1872</v>
      </c>
      <c r="B1859">
        <v>309</v>
      </c>
      <c r="C1859" s="1" t="str">
        <f>HYPERLINK("http://www.rosaceae.org/gb/gbrowse/malus_x_domestica/?name=MDP0000164966","MDP0000164966")</f>
        <v>MDP0000164966</v>
      </c>
      <c r="D1859">
        <v>68.2</v>
      </c>
      <c r="E1859">
        <v>346</v>
      </c>
      <c r="F1859">
        <v>110</v>
      </c>
      <c r="G1859">
        <v>53</v>
      </c>
      <c r="H1859">
        <v>16</v>
      </c>
      <c r="I1859">
        <v>308</v>
      </c>
      <c r="J1859">
        <v>1</v>
      </c>
      <c r="K1859">
        <v>5</v>
      </c>
      <c r="L1859">
        <v>350</v>
      </c>
      <c r="M1859">
        <v>1</v>
      </c>
      <c r="N1859">
        <v>7.0693400000000003E-130</v>
      </c>
      <c r="O1859">
        <v>1184</v>
      </c>
    </row>
    <row r="1860" spans="1:15" x14ac:dyDescent="0.25">
      <c r="A1860" t="s">
        <v>1873</v>
      </c>
      <c r="B1860">
        <v>869</v>
      </c>
      <c r="C1860" s="1" t="str">
        <f>HYPERLINK("http://www.rosaceae.org/gb/gbrowse/malus_x_domestica/?name=MDP0000296765","MDP0000296765")</f>
        <v>MDP0000296765</v>
      </c>
      <c r="D1860">
        <v>31.42</v>
      </c>
      <c r="E1860">
        <v>385</v>
      </c>
      <c r="F1860">
        <v>264</v>
      </c>
      <c r="G1860">
        <v>31</v>
      </c>
      <c r="H1860">
        <v>11</v>
      </c>
      <c r="I1860">
        <v>388</v>
      </c>
      <c r="J1860">
        <v>1</v>
      </c>
      <c r="K1860">
        <v>90</v>
      </c>
      <c r="L1860">
        <v>450</v>
      </c>
      <c r="M1860">
        <v>1</v>
      </c>
      <c r="N1860">
        <v>1.83069E-39</v>
      </c>
      <c r="O1860">
        <v>409</v>
      </c>
    </row>
    <row r="1861" spans="1:15" x14ac:dyDescent="0.25">
      <c r="A1861" t="s">
        <v>1874</v>
      </c>
      <c r="B1861">
        <v>560</v>
      </c>
      <c r="C1861" s="1" t="str">
        <f>HYPERLINK("http://www.rosaceae.org/gb/gbrowse/malus_x_domestica/?name=MDP0000272710","MDP0000272710")</f>
        <v>MDP0000272710</v>
      </c>
      <c r="D1861">
        <v>62.96</v>
      </c>
      <c r="E1861">
        <v>594</v>
      </c>
      <c r="F1861">
        <v>220</v>
      </c>
      <c r="G1861">
        <v>62</v>
      </c>
      <c r="H1861">
        <v>3</v>
      </c>
      <c r="I1861">
        <v>559</v>
      </c>
      <c r="J1861">
        <v>1</v>
      </c>
      <c r="K1861">
        <v>25</v>
      </c>
      <c r="L1861">
        <v>593</v>
      </c>
      <c r="M1861">
        <v>1</v>
      </c>
      <c r="N1861">
        <v>0</v>
      </c>
      <c r="O1861">
        <v>1784</v>
      </c>
    </row>
    <row r="1862" spans="1:15" x14ac:dyDescent="0.25">
      <c r="A1862" t="s">
        <v>1875</v>
      </c>
      <c r="B1862">
        <v>302</v>
      </c>
      <c r="C1862" s="1" t="str">
        <f>HYPERLINK("http://www.rosaceae.org/gb/gbrowse/malus_x_domestica/?name=MDP0000190538","MDP0000190538")</f>
        <v>MDP0000190538</v>
      </c>
      <c r="D1862">
        <v>34.24</v>
      </c>
      <c r="E1862">
        <v>292</v>
      </c>
      <c r="F1862">
        <v>192</v>
      </c>
      <c r="G1862">
        <v>29</v>
      </c>
      <c r="H1862">
        <v>11</v>
      </c>
      <c r="I1862">
        <v>284</v>
      </c>
      <c r="J1862">
        <v>1</v>
      </c>
      <c r="K1862">
        <v>8</v>
      </c>
      <c r="L1862">
        <v>288</v>
      </c>
      <c r="M1862">
        <v>1</v>
      </c>
      <c r="N1862">
        <v>1.4755599999999999E-33</v>
      </c>
      <c r="O1862">
        <v>353</v>
      </c>
    </row>
    <row r="1863" spans="1:15" x14ac:dyDescent="0.25">
      <c r="A1863" t="s">
        <v>1876</v>
      </c>
      <c r="B1863">
        <v>200</v>
      </c>
      <c r="C1863" s="1" t="str">
        <f>HYPERLINK("http://www.rosaceae.org/gb/gbrowse/malus_x_domestica/?name=MDP0000503341","MDP0000503341")</f>
        <v>MDP0000503341</v>
      </c>
      <c r="D1863">
        <v>36.520000000000003</v>
      </c>
      <c r="E1863">
        <v>167</v>
      </c>
      <c r="F1863">
        <v>106</v>
      </c>
      <c r="G1863">
        <v>1</v>
      </c>
      <c r="H1863">
        <v>27</v>
      </c>
      <c r="I1863">
        <v>193</v>
      </c>
      <c r="J1863">
        <v>1</v>
      </c>
      <c r="K1863">
        <v>98</v>
      </c>
      <c r="L1863">
        <v>263</v>
      </c>
      <c r="M1863">
        <v>1</v>
      </c>
      <c r="N1863">
        <v>3.9941899999999999E-26</v>
      </c>
      <c r="O1863">
        <v>287</v>
      </c>
    </row>
    <row r="1864" spans="1:15" x14ac:dyDescent="0.25">
      <c r="A1864" t="s">
        <v>1877</v>
      </c>
      <c r="B1864">
        <v>631</v>
      </c>
      <c r="C1864" s="1" t="str">
        <f>HYPERLINK("http://www.rosaceae.org/gb/gbrowse/malus_x_domestica/?name=MDP0000287393","MDP0000287393")</f>
        <v>MDP0000287393</v>
      </c>
      <c r="D1864">
        <v>33.33</v>
      </c>
      <c r="E1864">
        <v>180</v>
      </c>
      <c r="F1864">
        <v>120</v>
      </c>
      <c r="G1864">
        <v>19</v>
      </c>
      <c r="H1864">
        <v>37</v>
      </c>
      <c r="I1864">
        <v>208</v>
      </c>
      <c r="J1864">
        <v>1</v>
      </c>
      <c r="K1864">
        <v>312</v>
      </c>
      <c r="L1864">
        <v>480</v>
      </c>
      <c r="M1864">
        <v>1</v>
      </c>
      <c r="N1864">
        <v>4.4680800000000002E-16</v>
      </c>
      <c r="O1864">
        <v>206</v>
      </c>
    </row>
    <row r="1865" spans="1:15" x14ac:dyDescent="0.25">
      <c r="A1865" t="s">
        <v>1878</v>
      </c>
      <c r="B1865">
        <v>173</v>
      </c>
      <c r="C1865" s="1" t="str">
        <f>HYPERLINK("http://www.rosaceae.org/gb/gbrowse/malus_x_domestica/?name=MDP0000237964","MDP0000237964")</f>
        <v>MDP0000237964</v>
      </c>
      <c r="D1865">
        <v>88.3</v>
      </c>
      <c r="E1865">
        <v>171</v>
      </c>
      <c r="F1865">
        <v>20</v>
      </c>
      <c r="G1865">
        <v>0</v>
      </c>
      <c r="H1865">
        <v>1</v>
      </c>
      <c r="I1865">
        <v>171</v>
      </c>
      <c r="J1865">
        <v>1</v>
      </c>
      <c r="K1865">
        <v>46</v>
      </c>
      <c r="L1865">
        <v>216</v>
      </c>
      <c r="M1865">
        <v>1</v>
      </c>
      <c r="N1865">
        <v>3.4925100000000002E-91</v>
      </c>
      <c r="O1865">
        <v>847</v>
      </c>
    </row>
    <row r="1866" spans="1:15" x14ac:dyDescent="0.25">
      <c r="A1866" t="s">
        <v>1879</v>
      </c>
      <c r="B1866">
        <v>142</v>
      </c>
      <c r="C1866" s="1" t="str">
        <f>HYPERLINK("http://www.rosaceae.org/gb/gbrowse/malus_x_domestica/?name=MDP0000322220","MDP0000322220")</f>
        <v>MDP0000322220</v>
      </c>
      <c r="D1866">
        <v>66.91</v>
      </c>
      <c r="E1866">
        <v>133</v>
      </c>
      <c r="F1866">
        <v>44</v>
      </c>
      <c r="G1866">
        <v>9</v>
      </c>
      <c r="H1866">
        <v>17</v>
      </c>
      <c r="I1866">
        <v>142</v>
      </c>
      <c r="J1866">
        <v>1</v>
      </c>
      <c r="K1866">
        <v>595</v>
      </c>
      <c r="L1866">
        <v>725</v>
      </c>
      <c r="M1866">
        <v>1</v>
      </c>
      <c r="N1866">
        <v>7.3876900000000004E-43</v>
      </c>
      <c r="O1866">
        <v>428</v>
      </c>
    </row>
    <row r="1867" spans="1:15" x14ac:dyDescent="0.25">
      <c r="A1867" t="s">
        <v>1880</v>
      </c>
      <c r="B1867">
        <v>759</v>
      </c>
      <c r="C1867" s="1" t="str">
        <f>HYPERLINK("http://www.rosaceae.org/gb/gbrowse/malus_x_domestica/?name=MDP0000250932","MDP0000250932")</f>
        <v>MDP0000250932</v>
      </c>
      <c r="D1867">
        <v>55.72</v>
      </c>
      <c r="E1867">
        <v>515</v>
      </c>
      <c r="F1867">
        <v>228</v>
      </c>
      <c r="G1867">
        <v>119</v>
      </c>
      <c r="H1867">
        <v>3</v>
      </c>
      <c r="I1867">
        <v>398</v>
      </c>
      <c r="J1867">
        <v>1</v>
      </c>
      <c r="K1867">
        <v>4</v>
      </c>
      <c r="L1867">
        <v>518</v>
      </c>
      <c r="M1867">
        <v>1</v>
      </c>
      <c r="N1867">
        <v>8.8029699999999995E-143</v>
      </c>
      <c r="O1867">
        <v>1300</v>
      </c>
    </row>
    <row r="1868" spans="1:15" x14ac:dyDescent="0.25">
      <c r="A1868" t="s">
        <v>1881</v>
      </c>
      <c r="B1868">
        <v>105</v>
      </c>
      <c r="C1868" s="1" t="str">
        <f>HYPERLINK("http://www.rosaceae.org/gb/gbrowse/malus_x_domestica/?name=MDP0000233177","MDP0000233177")</f>
        <v>MDP0000233177</v>
      </c>
      <c r="D1868">
        <v>79.239999999999995</v>
      </c>
      <c r="E1868">
        <v>106</v>
      </c>
      <c r="F1868">
        <v>22</v>
      </c>
      <c r="G1868">
        <v>1</v>
      </c>
      <c r="H1868">
        <v>1</v>
      </c>
      <c r="I1868">
        <v>105</v>
      </c>
      <c r="J1868">
        <v>1</v>
      </c>
      <c r="K1868">
        <v>186</v>
      </c>
      <c r="L1868">
        <v>291</v>
      </c>
      <c r="M1868">
        <v>1</v>
      </c>
      <c r="N1868">
        <v>5.4651300000000003E-47</v>
      </c>
      <c r="O1868">
        <v>463</v>
      </c>
    </row>
    <row r="1869" spans="1:15" x14ac:dyDescent="0.25">
      <c r="A1869" t="s">
        <v>1882</v>
      </c>
      <c r="B1869">
        <v>196</v>
      </c>
      <c r="C1869" s="1" t="str">
        <f>HYPERLINK("http://www.rosaceae.org/gb/gbrowse/malus_x_domestica/?name=MDP0000301546","MDP0000301546")</f>
        <v>MDP0000301546</v>
      </c>
      <c r="D1869">
        <v>84.73</v>
      </c>
      <c r="E1869">
        <v>190</v>
      </c>
      <c r="F1869">
        <v>29</v>
      </c>
      <c r="G1869">
        <v>0</v>
      </c>
      <c r="H1869">
        <v>1</v>
      </c>
      <c r="I1869">
        <v>190</v>
      </c>
      <c r="J1869">
        <v>1</v>
      </c>
      <c r="K1869">
        <v>1</v>
      </c>
      <c r="L1869">
        <v>190</v>
      </c>
      <c r="M1869">
        <v>1</v>
      </c>
      <c r="N1869">
        <v>1.0491200000000001E-96</v>
      </c>
      <c r="O1869">
        <v>895</v>
      </c>
    </row>
    <row r="1870" spans="1:15" x14ac:dyDescent="0.25">
      <c r="A1870" t="s">
        <v>1883</v>
      </c>
      <c r="B1870">
        <v>178</v>
      </c>
      <c r="C1870" s="1" t="str">
        <f>HYPERLINK("http://www.rosaceae.org/gb/gbrowse/malus_x_domestica/?name=MDP0000890849","MDP0000890849")</f>
        <v>MDP0000890849</v>
      </c>
      <c r="D1870">
        <v>69.510000000000005</v>
      </c>
      <c r="E1870">
        <v>82</v>
      </c>
      <c r="F1870">
        <v>25</v>
      </c>
      <c r="G1870">
        <v>4</v>
      </c>
      <c r="H1870">
        <v>90</v>
      </c>
      <c r="I1870">
        <v>168</v>
      </c>
      <c r="J1870">
        <v>1</v>
      </c>
      <c r="K1870">
        <v>135</v>
      </c>
      <c r="L1870">
        <v>215</v>
      </c>
      <c r="M1870">
        <v>1</v>
      </c>
      <c r="N1870">
        <v>2.3629199999999998E-18</v>
      </c>
      <c r="O1870">
        <v>219</v>
      </c>
    </row>
    <row r="1871" spans="1:15" x14ac:dyDescent="0.25">
      <c r="A1871" t="s">
        <v>1884</v>
      </c>
      <c r="B1871">
        <v>446</v>
      </c>
      <c r="C1871" s="1" t="str">
        <f>HYPERLINK("http://www.rosaceae.org/gb/gbrowse/malus_x_domestica/?name=MDP0000149254","MDP0000149254")</f>
        <v>MDP0000149254</v>
      </c>
      <c r="D1871">
        <v>79.790000000000006</v>
      </c>
      <c r="E1871">
        <v>391</v>
      </c>
      <c r="F1871">
        <v>79</v>
      </c>
      <c r="G1871">
        <v>21</v>
      </c>
      <c r="H1871">
        <v>77</v>
      </c>
      <c r="I1871">
        <v>446</v>
      </c>
      <c r="J1871">
        <v>1</v>
      </c>
      <c r="K1871">
        <v>28</v>
      </c>
      <c r="L1871">
        <v>418</v>
      </c>
      <c r="M1871">
        <v>1</v>
      </c>
      <c r="N1871">
        <v>0</v>
      </c>
      <c r="O1871">
        <v>1666</v>
      </c>
    </row>
    <row r="1872" spans="1:15" x14ac:dyDescent="0.25">
      <c r="A1872" t="s">
        <v>1885</v>
      </c>
      <c r="B1872">
        <v>439</v>
      </c>
      <c r="C1872" s="1" t="str">
        <f>HYPERLINK("http://www.rosaceae.org/gb/gbrowse/malus_x_domestica/?name=MDP0000202716","MDP0000202716")</f>
        <v>MDP0000202716</v>
      </c>
      <c r="D1872">
        <v>60.41</v>
      </c>
      <c r="E1872">
        <v>240</v>
      </c>
      <c r="F1872">
        <v>95</v>
      </c>
      <c r="G1872">
        <v>24</v>
      </c>
      <c r="H1872">
        <v>1</v>
      </c>
      <c r="I1872">
        <v>217</v>
      </c>
      <c r="J1872">
        <v>1</v>
      </c>
      <c r="K1872">
        <v>1</v>
      </c>
      <c r="L1872">
        <v>239</v>
      </c>
      <c r="M1872">
        <v>1</v>
      </c>
      <c r="N1872">
        <v>1.17935E-68</v>
      </c>
      <c r="O1872">
        <v>658</v>
      </c>
    </row>
    <row r="1873" spans="1:15" x14ac:dyDescent="0.25">
      <c r="A1873" t="s">
        <v>1886</v>
      </c>
      <c r="B1873">
        <v>109</v>
      </c>
      <c r="C1873" s="1" t="str">
        <f>HYPERLINK("http://www.rosaceae.org/gb/gbrowse/malus_x_domestica/?name=MDP0000155096","MDP0000155096")</f>
        <v>MDP0000155096</v>
      </c>
      <c r="D1873">
        <v>72.09</v>
      </c>
      <c r="E1873">
        <v>43</v>
      </c>
      <c r="F1873">
        <v>12</v>
      </c>
      <c r="G1873">
        <v>0</v>
      </c>
      <c r="H1873">
        <v>62</v>
      </c>
      <c r="I1873">
        <v>104</v>
      </c>
      <c r="J1873">
        <v>1</v>
      </c>
      <c r="K1873">
        <v>667</v>
      </c>
      <c r="L1873">
        <v>709</v>
      </c>
      <c r="M1873">
        <v>1</v>
      </c>
      <c r="N1873">
        <v>7.3531300000000004E-13</v>
      </c>
      <c r="O1873">
        <v>168</v>
      </c>
    </row>
    <row r="1874" spans="1:15" x14ac:dyDescent="0.25">
      <c r="A1874" t="s">
        <v>1887</v>
      </c>
      <c r="B1874">
        <v>637</v>
      </c>
      <c r="C1874" s="1" t="str">
        <f>HYPERLINK("http://www.rosaceae.org/gb/gbrowse/malus_x_domestica/?name=MDP0000195025","MDP0000195025")</f>
        <v>MDP0000195025</v>
      </c>
      <c r="D1874">
        <v>42.23</v>
      </c>
      <c r="E1874">
        <v>599</v>
      </c>
      <c r="F1874">
        <v>346</v>
      </c>
      <c r="G1874">
        <v>92</v>
      </c>
      <c r="H1874">
        <v>1</v>
      </c>
      <c r="I1874">
        <v>538</v>
      </c>
      <c r="J1874">
        <v>1</v>
      </c>
      <c r="K1874">
        <v>8</v>
      </c>
      <c r="L1874">
        <v>575</v>
      </c>
      <c r="M1874">
        <v>1</v>
      </c>
      <c r="N1874">
        <v>8.6974299999999995E-118</v>
      </c>
      <c r="O1874">
        <v>1083</v>
      </c>
    </row>
    <row r="1875" spans="1:15" x14ac:dyDescent="0.25">
      <c r="A1875" t="s">
        <v>1888</v>
      </c>
      <c r="B1875">
        <v>145</v>
      </c>
      <c r="C1875" s="1" t="str">
        <f>HYPERLINK("http://www.rosaceae.org/gb/gbrowse/malus_x_domestica/?name=MDP0000325376","MDP0000325376")</f>
        <v>MDP0000325376</v>
      </c>
      <c r="D1875">
        <v>78.23</v>
      </c>
      <c r="E1875">
        <v>147</v>
      </c>
      <c r="F1875">
        <v>32</v>
      </c>
      <c r="G1875">
        <v>3</v>
      </c>
      <c r="H1875">
        <v>1</v>
      </c>
      <c r="I1875">
        <v>145</v>
      </c>
      <c r="J1875">
        <v>1</v>
      </c>
      <c r="K1875">
        <v>35</v>
      </c>
      <c r="L1875">
        <v>180</v>
      </c>
      <c r="M1875">
        <v>1</v>
      </c>
      <c r="N1875">
        <v>3.0423300000000001E-63</v>
      </c>
      <c r="O1875">
        <v>604</v>
      </c>
    </row>
    <row r="1876" spans="1:15" x14ac:dyDescent="0.25">
      <c r="A1876" t="s">
        <v>1889</v>
      </c>
      <c r="B1876">
        <v>475</v>
      </c>
      <c r="C1876" s="1" t="str">
        <f>HYPERLINK("http://www.rosaceae.org/gb/gbrowse/malus_x_domestica/?name=MDP0000163774","MDP0000163774")</f>
        <v>MDP0000163774</v>
      </c>
      <c r="D1876">
        <v>35.950000000000003</v>
      </c>
      <c r="E1876">
        <v>178</v>
      </c>
      <c r="F1876">
        <v>114</v>
      </c>
      <c r="G1876">
        <v>6</v>
      </c>
      <c r="H1876">
        <v>60</v>
      </c>
      <c r="I1876">
        <v>236</v>
      </c>
      <c r="J1876">
        <v>1</v>
      </c>
      <c r="K1876">
        <v>446</v>
      </c>
      <c r="L1876">
        <v>618</v>
      </c>
      <c r="M1876">
        <v>1</v>
      </c>
      <c r="N1876">
        <v>2.7627000000000001E-25</v>
      </c>
      <c r="O1876">
        <v>284</v>
      </c>
    </row>
    <row r="1877" spans="1:15" x14ac:dyDescent="0.25">
      <c r="A1877" t="s">
        <v>1890</v>
      </c>
      <c r="B1877">
        <v>262</v>
      </c>
      <c r="C1877" s="1" t="str">
        <f>HYPERLINK("http://www.rosaceae.org/gb/gbrowse/malus_x_domestica/?name=MDP0000735766","MDP0000735766")</f>
        <v>MDP0000735766</v>
      </c>
      <c r="D1877">
        <v>79.38</v>
      </c>
      <c r="E1877">
        <v>262</v>
      </c>
      <c r="F1877">
        <v>54</v>
      </c>
      <c r="G1877">
        <v>0</v>
      </c>
      <c r="H1877">
        <v>1</v>
      </c>
      <c r="I1877">
        <v>262</v>
      </c>
      <c r="J1877">
        <v>1</v>
      </c>
      <c r="K1877">
        <v>1</v>
      </c>
      <c r="L1877">
        <v>262</v>
      </c>
      <c r="M1877">
        <v>1</v>
      </c>
      <c r="N1877">
        <v>9.6820900000000007E-120</v>
      </c>
      <c r="O1877">
        <v>1096</v>
      </c>
    </row>
    <row r="1878" spans="1:15" x14ac:dyDescent="0.25">
      <c r="A1878" t="s">
        <v>1891</v>
      </c>
      <c r="B1878">
        <v>180</v>
      </c>
      <c r="C1878" s="1" t="str">
        <f>HYPERLINK("http://www.rosaceae.org/gb/gbrowse/malus_x_domestica/?name=MDP0000306704","MDP0000306704")</f>
        <v>MDP0000306704</v>
      </c>
      <c r="D1878">
        <v>32.5</v>
      </c>
      <c r="E1878">
        <v>240</v>
      </c>
      <c r="F1878">
        <v>162</v>
      </c>
      <c r="G1878">
        <v>69</v>
      </c>
      <c r="H1878">
        <v>1</v>
      </c>
      <c r="I1878">
        <v>180</v>
      </c>
      <c r="J1878">
        <v>1</v>
      </c>
      <c r="K1878">
        <v>287</v>
      </c>
      <c r="L1878">
        <v>517</v>
      </c>
      <c r="M1878">
        <v>1</v>
      </c>
      <c r="N1878">
        <v>2.9065899999999999E-21</v>
      </c>
      <c r="O1878">
        <v>244</v>
      </c>
    </row>
    <row r="1879" spans="1:15" x14ac:dyDescent="0.25">
      <c r="A1879" t="s">
        <v>1892</v>
      </c>
      <c r="B1879">
        <v>95</v>
      </c>
      <c r="C1879" s="1" t="str">
        <f>HYPERLINK("http://www.rosaceae.org/gb/gbrowse/malus_x_domestica/?name=MDP0000213984","MDP0000213984")</f>
        <v>MDP0000213984</v>
      </c>
      <c r="D1879">
        <v>72.72</v>
      </c>
      <c r="E1879">
        <v>44</v>
      </c>
      <c r="F1879">
        <v>12</v>
      </c>
      <c r="G1879">
        <v>0</v>
      </c>
      <c r="H1879">
        <v>50</v>
      </c>
      <c r="I1879">
        <v>93</v>
      </c>
      <c r="J1879">
        <v>1</v>
      </c>
      <c r="K1879">
        <v>141</v>
      </c>
      <c r="L1879">
        <v>184</v>
      </c>
      <c r="M1879">
        <v>1</v>
      </c>
      <c r="N1879">
        <v>1.8290399999999999E-13</v>
      </c>
      <c r="O1879">
        <v>174</v>
      </c>
    </row>
    <row r="1880" spans="1:15" x14ac:dyDescent="0.25">
      <c r="A1880" t="s">
        <v>1893</v>
      </c>
      <c r="B1880">
        <v>492</v>
      </c>
      <c r="C1880" s="1" t="str">
        <f>HYPERLINK("http://www.rosaceae.org/gb/gbrowse/malus_x_domestica/?name=MDP0000249527","MDP0000249527")</f>
        <v>MDP0000249527</v>
      </c>
      <c r="D1880">
        <v>57.08</v>
      </c>
      <c r="E1880">
        <v>501</v>
      </c>
      <c r="F1880">
        <v>215</v>
      </c>
      <c r="G1880">
        <v>36</v>
      </c>
      <c r="H1880">
        <v>1</v>
      </c>
      <c r="I1880">
        <v>491</v>
      </c>
      <c r="J1880">
        <v>1</v>
      </c>
      <c r="K1880">
        <v>1</v>
      </c>
      <c r="L1880">
        <v>475</v>
      </c>
      <c r="M1880">
        <v>1</v>
      </c>
      <c r="N1880">
        <v>1.4335799999999999E-148</v>
      </c>
      <c r="O1880">
        <v>1348</v>
      </c>
    </row>
    <row r="1881" spans="1:15" x14ac:dyDescent="0.25">
      <c r="A1881" t="s">
        <v>1894</v>
      </c>
      <c r="B1881">
        <v>462</v>
      </c>
      <c r="C1881" s="1" t="str">
        <f>HYPERLINK("http://www.rosaceae.org/gb/gbrowse/malus_x_domestica/?name=MDP0000225538","MDP0000225538")</f>
        <v>MDP0000225538</v>
      </c>
      <c r="D1881">
        <v>79.59</v>
      </c>
      <c r="E1881">
        <v>446</v>
      </c>
      <c r="F1881">
        <v>91</v>
      </c>
      <c r="G1881">
        <v>1</v>
      </c>
      <c r="H1881">
        <v>17</v>
      </c>
      <c r="I1881">
        <v>461</v>
      </c>
      <c r="J1881">
        <v>1</v>
      </c>
      <c r="K1881">
        <v>24</v>
      </c>
      <c r="L1881">
        <v>469</v>
      </c>
      <c r="M1881">
        <v>1</v>
      </c>
      <c r="N1881">
        <v>0</v>
      </c>
      <c r="O1881">
        <v>1956</v>
      </c>
    </row>
    <row r="1882" spans="1:15" x14ac:dyDescent="0.25">
      <c r="A1882" t="s">
        <v>1895</v>
      </c>
      <c r="B1882">
        <v>182</v>
      </c>
      <c r="C1882" s="1" t="str">
        <f>HYPERLINK("http://www.rosaceae.org/gb/gbrowse/malus_x_domestica/?name=MDP0000153229","MDP0000153229")</f>
        <v>MDP0000153229</v>
      </c>
      <c r="D1882">
        <v>47.8</v>
      </c>
      <c r="E1882">
        <v>182</v>
      </c>
      <c r="F1882">
        <v>95</v>
      </c>
      <c r="G1882">
        <v>1</v>
      </c>
      <c r="H1882">
        <v>1</v>
      </c>
      <c r="I1882">
        <v>182</v>
      </c>
      <c r="J1882">
        <v>1</v>
      </c>
      <c r="K1882">
        <v>1</v>
      </c>
      <c r="L1882">
        <v>181</v>
      </c>
      <c r="M1882">
        <v>1</v>
      </c>
      <c r="N1882">
        <v>2.2252200000000002E-46</v>
      </c>
      <c r="O1882">
        <v>461</v>
      </c>
    </row>
    <row r="1883" spans="1:15" x14ac:dyDescent="0.25">
      <c r="A1883" t="s">
        <v>1896</v>
      </c>
      <c r="B1883">
        <v>754</v>
      </c>
      <c r="C1883" s="1" t="str">
        <f>HYPERLINK("http://www.rosaceae.org/gb/gbrowse/malus_x_domestica/?name=MDP0000441764","MDP0000441764")</f>
        <v>MDP0000441764</v>
      </c>
      <c r="D1883">
        <v>86.53</v>
      </c>
      <c r="E1883">
        <v>520</v>
      </c>
      <c r="F1883">
        <v>70</v>
      </c>
      <c r="G1883">
        <v>5</v>
      </c>
      <c r="H1883">
        <v>238</v>
      </c>
      <c r="I1883">
        <v>754</v>
      </c>
      <c r="J1883">
        <v>1</v>
      </c>
      <c r="K1883">
        <v>1</v>
      </c>
      <c r="L1883">
        <v>518</v>
      </c>
      <c r="M1883">
        <v>1</v>
      </c>
      <c r="N1883">
        <v>0</v>
      </c>
      <c r="O1883">
        <v>2356</v>
      </c>
    </row>
    <row r="1884" spans="1:15" x14ac:dyDescent="0.25">
      <c r="A1884" t="s">
        <v>1897</v>
      </c>
      <c r="B1884">
        <v>218</v>
      </c>
      <c r="C1884" s="1" t="str">
        <f>HYPERLINK("http://www.rosaceae.org/gb/gbrowse/malus_x_domestica/?name=MDP0000128161","MDP0000128161")</f>
        <v>MDP0000128161</v>
      </c>
      <c r="D1884">
        <v>79.239999999999995</v>
      </c>
      <c r="E1884">
        <v>212</v>
      </c>
      <c r="F1884">
        <v>44</v>
      </c>
      <c r="G1884">
        <v>0</v>
      </c>
      <c r="H1884">
        <v>1</v>
      </c>
      <c r="I1884">
        <v>212</v>
      </c>
      <c r="J1884">
        <v>1</v>
      </c>
      <c r="K1884">
        <v>310</v>
      </c>
      <c r="L1884">
        <v>521</v>
      </c>
      <c r="M1884">
        <v>1</v>
      </c>
      <c r="N1884">
        <v>1.3432900000000001E-102</v>
      </c>
      <c r="O1884">
        <v>947</v>
      </c>
    </row>
    <row r="1885" spans="1:15" x14ac:dyDescent="0.25">
      <c r="A1885" t="s">
        <v>1898</v>
      </c>
      <c r="B1885">
        <v>244</v>
      </c>
      <c r="C1885" s="1" t="str">
        <f>HYPERLINK("http://www.rosaceae.org/gb/gbrowse/malus_x_domestica/?name=MDP0000090045","MDP0000090045")</f>
        <v>MDP0000090045</v>
      </c>
      <c r="D1885">
        <v>70.900000000000006</v>
      </c>
      <c r="E1885">
        <v>244</v>
      </c>
      <c r="F1885">
        <v>71</v>
      </c>
      <c r="G1885">
        <v>46</v>
      </c>
      <c r="H1885">
        <v>1</v>
      </c>
      <c r="I1885">
        <v>244</v>
      </c>
      <c r="J1885">
        <v>1</v>
      </c>
      <c r="K1885">
        <v>1</v>
      </c>
      <c r="L1885">
        <v>198</v>
      </c>
      <c r="M1885">
        <v>1</v>
      </c>
      <c r="N1885">
        <v>1.0428699999999999E-87</v>
      </c>
      <c r="O1885">
        <v>819</v>
      </c>
    </row>
    <row r="1886" spans="1:15" x14ac:dyDescent="0.25">
      <c r="A1886" t="s">
        <v>1899</v>
      </c>
      <c r="B1886">
        <v>191</v>
      </c>
      <c r="C1886" s="1" t="str">
        <f>HYPERLINK("http://www.rosaceae.org/gb/gbrowse/malus_x_domestica/?name=MDP0000423436","MDP0000423436")</f>
        <v>MDP0000423436</v>
      </c>
      <c r="D1886">
        <v>87.5</v>
      </c>
      <c r="E1886">
        <v>104</v>
      </c>
      <c r="F1886">
        <v>13</v>
      </c>
      <c r="G1886">
        <v>1</v>
      </c>
      <c r="H1886">
        <v>88</v>
      </c>
      <c r="I1886">
        <v>191</v>
      </c>
      <c r="J1886">
        <v>1</v>
      </c>
      <c r="K1886">
        <v>349</v>
      </c>
      <c r="L1886">
        <v>451</v>
      </c>
      <c r="M1886">
        <v>1</v>
      </c>
      <c r="N1886">
        <v>1.06137E-48</v>
      </c>
      <c r="O1886">
        <v>481</v>
      </c>
    </row>
    <row r="1887" spans="1:15" x14ac:dyDescent="0.25">
      <c r="A1887" t="s">
        <v>1900</v>
      </c>
      <c r="B1887">
        <v>212</v>
      </c>
      <c r="C1887" s="1" t="str">
        <f>HYPERLINK("http://www.rosaceae.org/gb/gbrowse/malus_x_domestica/?name=MDP0000145761","MDP0000145761")</f>
        <v>MDP0000145761</v>
      </c>
      <c r="D1887">
        <v>66.099999999999994</v>
      </c>
      <c r="E1887">
        <v>118</v>
      </c>
      <c r="F1887">
        <v>40</v>
      </c>
      <c r="G1887">
        <v>0</v>
      </c>
      <c r="H1887">
        <v>30</v>
      </c>
      <c r="I1887">
        <v>147</v>
      </c>
      <c r="J1887">
        <v>1</v>
      </c>
      <c r="K1887">
        <v>16</v>
      </c>
      <c r="L1887">
        <v>133</v>
      </c>
      <c r="M1887">
        <v>1</v>
      </c>
      <c r="N1887">
        <v>2.9401699999999998E-42</v>
      </c>
      <c r="O1887">
        <v>426</v>
      </c>
    </row>
    <row r="1888" spans="1:15" x14ac:dyDescent="0.25">
      <c r="A1888" t="s">
        <v>1901</v>
      </c>
      <c r="B1888">
        <v>970</v>
      </c>
      <c r="C1888" s="1" t="str">
        <f>HYPERLINK("http://www.rosaceae.org/gb/gbrowse/malus_x_domestica/?name=MDP0000871403","MDP0000871403")</f>
        <v>MDP0000871403</v>
      </c>
      <c r="D1888">
        <v>89.19</v>
      </c>
      <c r="E1888">
        <v>796</v>
      </c>
      <c r="F1888">
        <v>86</v>
      </c>
      <c r="G1888">
        <v>9</v>
      </c>
      <c r="H1888">
        <v>4</v>
      </c>
      <c r="I1888">
        <v>797</v>
      </c>
      <c r="J1888">
        <v>1</v>
      </c>
      <c r="K1888">
        <v>4</v>
      </c>
      <c r="L1888">
        <v>792</v>
      </c>
      <c r="M1888">
        <v>1</v>
      </c>
      <c r="N1888">
        <v>0</v>
      </c>
      <c r="O1888">
        <v>3797</v>
      </c>
    </row>
    <row r="1889" spans="1:15" x14ac:dyDescent="0.25">
      <c r="A1889" t="s">
        <v>1902</v>
      </c>
      <c r="B1889">
        <v>453</v>
      </c>
      <c r="C1889" s="1" t="str">
        <f>HYPERLINK("http://www.rosaceae.org/gb/gbrowse/malus_x_domestica/?name=MDP0000285108","MDP0000285108")</f>
        <v>MDP0000285108</v>
      </c>
      <c r="D1889">
        <v>25.67</v>
      </c>
      <c r="E1889">
        <v>222</v>
      </c>
      <c r="F1889">
        <v>165</v>
      </c>
      <c r="G1889">
        <v>11</v>
      </c>
      <c r="H1889">
        <v>235</v>
      </c>
      <c r="I1889">
        <v>452</v>
      </c>
      <c r="J1889">
        <v>1</v>
      </c>
      <c r="K1889">
        <v>736</v>
      </c>
      <c r="L1889">
        <v>950</v>
      </c>
      <c r="M1889">
        <v>1</v>
      </c>
      <c r="N1889">
        <v>1.4062E-12</v>
      </c>
      <c r="O1889">
        <v>174</v>
      </c>
    </row>
    <row r="1890" spans="1:15" x14ac:dyDescent="0.25">
      <c r="A1890" t="s">
        <v>1903</v>
      </c>
      <c r="B1890">
        <v>384</v>
      </c>
      <c r="C1890" s="1" t="str">
        <f>HYPERLINK("http://www.rosaceae.org/gb/gbrowse/malus_x_domestica/?name=MDP0000237097","MDP0000237097")</f>
        <v>MDP0000237097</v>
      </c>
      <c r="D1890">
        <v>85.51</v>
      </c>
      <c r="E1890">
        <v>359</v>
      </c>
      <c r="F1890">
        <v>52</v>
      </c>
      <c r="G1890">
        <v>6</v>
      </c>
      <c r="H1890">
        <v>1</v>
      </c>
      <c r="I1890">
        <v>359</v>
      </c>
      <c r="J1890">
        <v>1</v>
      </c>
      <c r="K1890">
        <v>1</v>
      </c>
      <c r="L1890">
        <v>353</v>
      </c>
      <c r="M1890">
        <v>1</v>
      </c>
      <c r="N1890">
        <v>4.2765000000000002E-179</v>
      </c>
      <c r="O1890">
        <v>1610</v>
      </c>
    </row>
    <row r="1891" spans="1:15" x14ac:dyDescent="0.25">
      <c r="A1891" t="s">
        <v>1904</v>
      </c>
      <c r="B1891">
        <v>433</v>
      </c>
      <c r="C1891" s="1" t="str">
        <f>HYPERLINK("http://www.rosaceae.org/gb/gbrowse/malus_x_domestica/?name=MDP0000470633","MDP0000470633")</f>
        <v>MDP0000470633</v>
      </c>
      <c r="D1891">
        <v>85.78</v>
      </c>
      <c r="E1891">
        <v>380</v>
      </c>
      <c r="F1891">
        <v>54</v>
      </c>
      <c r="G1891">
        <v>7</v>
      </c>
      <c r="H1891">
        <v>56</v>
      </c>
      <c r="I1891">
        <v>433</v>
      </c>
      <c r="J1891">
        <v>1</v>
      </c>
      <c r="K1891">
        <v>1</v>
      </c>
      <c r="L1891">
        <v>375</v>
      </c>
      <c r="M1891">
        <v>1</v>
      </c>
      <c r="N1891">
        <v>0</v>
      </c>
      <c r="O1891">
        <v>1725</v>
      </c>
    </row>
    <row r="1892" spans="1:15" x14ac:dyDescent="0.25">
      <c r="A1892" t="s">
        <v>1905</v>
      </c>
      <c r="B1892">
        <v>1359</v>
      </c>
      <c r="C1892" s="1" t="str">
        <f>HYPERLINK("http://www.rosaceae.org/gb/gbrowse/malus_x_domestica/?name=MDP0000261439","MDP0000261439")</f>
        <v>MDP0000261439</v>
      </c>
      <c r="D1892">
        <v>59.11</v>
      </c>
      <c r="E1892">
        <v>1399</v>
      </c>
      <c r="F1892">
        <v>572</v>
      </c>
      <c r="G1892">
        <v>107</v>
      </c>
      <c r="H1892">
        <v>1</v>
      </c>
      <c r="I1892">
        <v>1316</v>
      </c>
      <c r="J1892">
        <v>1</v>
      </c>
      <c r="K1892">
        <v>1</v>
      </c>
      <c r="L1892">
        <v>1375</v>
      </c>
      <c r="M1892">
        <v>1</v>
      </c>
      <c r="N1892">
        <v>0</v>
      </c>
      <c r="O1892">
        <v>3775</v>
      </c>
    </row>
    <row r="1893" spans="1:15" x14ac:dyDescent="0.25">
      <c r="A1893" t="s">
        <v>1906</v>
      </c>
      <c r="B1893">
        <v>210</v>
      </c>
      <c r="C1893" s="1" t="str">
        <f>HYPERLINK("http://www.rosaceae.org/gb/gbrowse/malus_x_domestica/?name=MDP0000557856","MDP0000557856")</f>
        <v>MDP0000557856</v>
      </c>
      <c r="D1893">
        <v>74.17</v>
      </c>
      <c r="E1893">
        <v>213</v>
      </c>
      <c r="F1893">
        <v>55</v>
      </c>
      <c r="G1893">
        <v>11</v>
      </c>
      <c r="H1893">
        <v>1</v>
      </c>
      <c r="I1893">
        <v>210</v>
      </c>
      <c r="J1893">
        <v>1</v>
      </c>
      <c r="K1893">
        <v>1</v>
      </c>
      <c r="L1893">
        <v>205</v>
      </c>
      <c r="M1893">
        <v>1</v>
      </c>
      <c r="N1893">
        <v>4.36524E-85</v>
      </c>
      <c r="O1893">
        <v>796</v>
      </c>
    </row>
    <row r="1894" spans="1:15" x14ac:dyDescent="0.25">
      <c r="A1894" t="s">
        <v>1907</v>
      </c>
      <c r="B1894">
        <v>1020</v>
      </c>
      <c r="C1894" s="1" t="str">
        <f>HYPERLINK("http://www.rosaceae.org/gb/gbrowse/malus_x_domestica/?name=MDP0000146434","MDP0000146434")</f>
        <v>MDP0000146434</v>
      </c>
      <c r="D1894">
        <v>84.73</v>
      </c>
      <c r="E1894">
        <v>996</v>
      </c>
      <c r="F1894">
        <v>152</v>
      </c>
      <c r="G1894">
        <v>57</v>
      </c>
      <c r="H1894">
        <v>51</v>
      </c>
      <c r="I1894">
        <v>992</v>
      </c>
      <c r="J1894">
        <v>1</v>
      </c>
      <c r="K1894">
        <v>165</v>
      </c>
      <c r="L1894">
        <v>1157</v>
      </c>
      <c r="M1894">
        <v>1</v>
      </c>
      <c r="N1894">
        <v>0</v>
      </c>
      <c r="O1894">
        <v>4447</v>
      </c>
    </row>
    <row r="1895" spans="1:15" x14ac:dyDescent="0.25">
      <c r="A1895" t="s">
        <v>1908</v>
      </c>
      <c r="B1895">
        <v>319</v>
      </c>
      <c r="C1895" s="1" t="str">
        <f>HYPERLINK("http://www.rosaceae.org/gb/gbrowse/malus_x_domestica/?name=MDP0000749281","MDP0000749281")</f>
        <v>MDP0000749281</v>
      </c>
      <c r="D1895">
        <v>70.900000000000006</v>
      </c>
      <c r="E1895">
        <v>275</v>
      </c>
      <c r="F1895">
        <v>80</v>
      </c>
      <c r="G1895">
        <v>0</v>
      </c>
      <c r="H1895">
        <v>3</v>
      </c>
      <c r="I1895">
        <v>277</v>
      </c>
      <c r="J1895">
        <v>1</v>
      </c>
      <c r="K1895">
        <v>4</v>
      </c>
      <c r="L1895">
        <v>278</v>
      </c>
      <c r="M1895">
        <v>1</v>
      </c>
      <c r="N1895">
        <v>7.5246299999999995E-107</v>
      </c>
      <c r="O1895">
        <v>986</v>
      </c>
    </row>
    <row r="1896" spans="1:15" x14ac:dyDescent="0.25">
      <c r="A1896" t="s">
        <v>1909</v>
      </c>
      <c r="B1896">
        <v>170</v>
      </c>
      <c r="C1896" s="1" t="str">
        <f>HYPERLINK("http://www.rosaceae.org/gb/gbrowse/malus_x_domestica/?name=MDP0000210968","MDP0000210968")</f>
        <v>MDP0000210968</v>
      </c>
      <c r="D1896">
        <v>34.21</v>
      </c>
      <c r="E1896">
        <v>152</v>
      </c>
      <c r="F1896">
        <v>100</v>
      </c>
      <c r="G1896">
        <v>13</v>
      </c>
      <c r="H1896">
        <v>14</v>
      </c>
      <c r="I1896">
        <v>159</v>
      </c>
      <c r="J1896">
        <v>1</v>
      </c>
      <c r="K1896">
        <v>4</v>
      </c>
      <c r="L1896">
        <v>148</v>
      </c>
      <c r="M1896">
        <v>1</v>
      </c>
      <c r="N1896">
        <v>1.3250300000000001E-16</v>
      </c>
      <c r="O1896">
        <v>204</v>
      </c>
    </row>
    <row r="1897" spans="1:15" x14ac:dyDescent="0.25">
      <c r="A1897" t="s">
        <v>1910</v>
      </c>
      <c r="B1897">
        <v>798</v>
      </c>
      <c r="C1897" s="1" t="str">
        <f>HYPERLINK("http://www.rosaceae.org/gb/gbrowse/malus_x_domestica/?name=MDP0000154438","MDP0000154438")</f>
        <v>MDP0000154438</v>
      </c>
      <c r="D1897">
        <v>60.86</v>
      </c>
      <c r="E1897">
        <v>46</v>
      </c>
      <c r="F1897">
        <v>18</v>
      </c>
      <c r="G1897">
        <v>1</v>
      </c>
      <c r="H1897">
        <v>195</v>
      </c>
      <c r="I1897">
        <v>240</v>
      </c>
      <c r="J1897">
        <v>1</v>
      </c>
      <c r="K1897">
        <v>179</v>
      </c>
      <c r="L1897">
        <v>223</v>
      </c>
      <c r="M1897">
        <v>1</v>
      </c>
      <c r="N1897">
        <v>9.1853399999999996E-7</v>
      </c>
      <c r="O1897">
        <v>127</v>
      </c>
    </row>
    <row r="1898" spans="1:15" x14ac:dyDescent="0.25">
      <c r="A1898" t="s">
        <v>1911</v>
      </c>
      <c r="B1898">
        <v>323</v>
      </c>
      <c r="C1898" s="1" t="str">
        <f>HYPERLINK("http://www.rosaceae.org/gb/gbrowse/malus_x_domestica/?name=MDP0000248767","MDP0000248767")</f>
        <v>MDP0000248767</v>
      </c>
      <c r="D1898">
        <v>43.83</v>
      </c>
      <c r="E1898">
        <v>292</v>
      </c>
      <c r="F1898">
        <v>164</v>
      </c>
      <c r="G1898">
        <v>49</v>
      </c>
      <c r="H1898">
        <v>1</v>
      </c>
      <c r="I1898">
        <v>244</v>
      </c>
      <c r="J1898">
        <v>1</v>
      </c>
      <c r="K1898">
        <v>1</v>
      </c>
      <c r="L1898">
        <v>291</v>
      </c>
      <c r="M1898">
        <v>1</v>
      </c>
      <c r="N1898">
        <v>1.30753E-48</v>
      </c>
      <c r="O1898">
        <v>484</v>
      </c>
    </row>
    <row r="1899" spans="1:15" x14ac:dyDescent="0.25">
      <c r="A1899" t="s">
        <v>1912</v>
      </c>
      <c r="B1899">
        <v>609</v>
      </c>
      <c r="C1899" s="1" t="str">
        <f>HYPERLINK("http://www.rosaceae.org/gb/gbrowse/malus_x_domestica/?name=MDP0000829378","MDP0000829378")</f>
        <v>MDP0000829378</v>
      </c>
      <c r="D1899">
        <v>88.28</v>
      </c>
      <c r="E1899">
        <v>606</v>
      </c>
      <c r="F1899">
        <v>71</v>
      </c>
      <c r="G1899">
        <v>4</v>
      </c>
      <c r="H1899">
        <v>4</v>
      </c>
      <c r="I1899">
        <v>609</v>
      </c>
      <c r="J1899">
        <v>1</v>
      </c>
      <c r="K1899">
        <v>2</v>
      </c>
      <c r="L1899">
        <v>603</v>
      </c>
      <c r="M1899">
        <v>1</v>
      </c>
      <c r="N1899">
        <v>0</v>
      </c>
      <c r="O1899">
        <v>2897</v>
      </c>
    </row>
    <row r="1900" spans="1:15" x14ac:dyDescent="0.25">
      <c r="A1900" t="s">
        <v>1913</v>
      </c>
      <c r="B1900">
        <v>155</v>
      </c>
      <c r="C1900" s="1" t="str">
        <f>HYPERLINK("http://www.rosaceae.org/gb/gbrowse/malus_x_domestica/?name=MDP0000326906","MDP0000326906")</f>
        <v>MDP0000326906</v>
      </c>
      <c r="D1900">
        <v>71.42</v>
      </c>
      <c r="E1900">
        <v>63</v>
      </c>
      <c r="F1900">
        <v>18</v>
      </c>
      <c r="G1900">
        <v>1</v>
      </c>
      <c r="H1900">
        <v>1</v>
      </c>
      <c r="I1900">
        <v>63</v>
      </c>
      <c r="J1900">
        <v>1</v>
      </c>
      <c r="K1900">
        <v>1</v>
      </c>
      <c r="L1900">
        <v>62</v>
      </c>
      <c r="M1900">
        <v>1</v>
      </c>
      <c r="N1900">
        <v>4.6009799999999998E-19</v>
      </c>
      <c r="O1900">
        <v>224</v>
      </c>
    </row>
    <row r="1901" spans="1:15" x14ac:dyDescent="0.25">
      <c r="A1901" t="s">
        <v>1914</v>
      </c>
      <c r="B1901">
        <v>403</v>
      </c>
      <c r="C1901" s="1" t="str">
        <f>HYPERLINK("http://www.rosaceae.org/gb/gbrowse/malus_x_domestica/?name=MDP0000129913","MDP0000129913")</f>
        <v>MDP0000129913</v>
      </c>
      <c r="D1901">
        <v>47.95</v>
      </c>
      <c r="E1901">
        <v>171</v>
      </c>
      <c r="F1901">
        <v>89</v>
      </c>
      <c r="G1901">
        <v>3</v>
      </c>
      <c r="H1901">
        <v>232</v>
      </c>
      <c r="I1901">
        <v>400</v>
      </c>
      <c r="J1901">
        <v>1</v>
      </c>
      <c r="K1901">
        <v>134</v>
      </c>
      <c r="L1901">
        <v>303</v>
      </c>
      <c r="M1901">
        <v>1</v>
      </c>
      <c r="N1901">
        <v>3.9686900000000001E-35</v>
      </c>
      <c r="O1901">
        <v>368</v>
      </c>
    </row>
    <row r="1902" spans="1:15" x14ac:dyDescent="0.25">
      <c r="A1902" t="s">
        <v>1915</v>
      </c>
      <c r="B1902">
        <v>158</v>
      </c>
      <c r="C1902" s="1" t="str">
        <f>HYPERLINK("http://www.rosaceae.org/gb/gbrowse/malus_x_domestica/?name=MDP0000595671","MDP0000595671")</f>
        <v>MDP0000595671</v>
      </c>
      <c r="D1902">
        <v>65.239999999999995</v>
      </c>
      <c r="E1902">
        <v>164</v>
      </c>
      <c r="F1902">
        <v>57</v>
      </c>
      <c r="G1902">
        <v>12</v>
      </c>
      <c r="H1902">
        <v>1</v>
      </c>
      <c r="I1902">
        <v>154</v>
      </c>
      <c r="J1902">
        <v>1</v>
      </c>
      <c r="K1902">
        <v>1</v>
      </c>
      <c r="L1902">
        <v>162</v>
      </c>
      <c r="M1902">
        <v>1</v>
      </c>
      <c r="N1902">
        <v>4.6306499999999997E-50</v>
      </c>
      <c r="O1902">
        <v>492</v>
      </c>
    </row>
    <row r="1903" spans="1:15" x14ac:dyDescent="0.25">
      <c r="A1903" t="s">
        <v>1916</v>
      </c>
      <c r="B1903">
        <v>439</v>
      </c>
      <c r="C1903" s="1" t="str">
        <f>HYPERLINK("http://www.rosaceae.org/gb/gbrowse/malus_x_domestica/?name=MDP0000592685","MDP0000592685")</f>
        <v>MDP0000592685</v>
      </c>
      <c r="D1903">
        <v>97.62</v>
      </c>
      <c r="E1903">
        <v>379</v>
      </c>
      <c r="F1903">
        <v>9</v>
      </c>
      <c r="G1903">
        <v>0</v>
      </c>
      <c r="H1903">
        <v>61</v>
      </c>
      <c r="I1903">
        <v>439</v>
      </c>
      <c r="J1903">
        <v>1</v>
      </c>
      <c r="K1903">
        <v>42</v>
      </c>
      <c r="L1903">
        <v>420</v>
      </c>
      <c r="M1903">
        <v>1</v>
      </c>
      <c r="N1903">
        <v>0</v>
      </c>
      <c r="O1903">
        <v>1959</v>
      </c>
    </row>
    <row r="1904" spans="1:15" x14ac:dyDescent="0.25">
      <c r="A1904" t="s">
        <v>1917</v>
      </c>
      <c r="B1904">
        <v>364</v>
      </c>
      <c r="C1904" s="1" t="str">
        <f>HYPERLINK("http://www.rosaceae.org/gb/gbrowse/malus_x_domestica/?name=MDP0000151291","MDP0000151291")</f>
        <v>MDP0000151291</v>
      </c>
      <c r="D1904">
        <v>56.92</v>
      </c>
      <c r="E1904">
        <v>332</v>
      </c>
      <c r="F1904">
        <v>143</v>
      </c>
      <c r="G1904">
        <v>13</v>
      </c>
      <c r="H1904">
        <v>29</v>
      </c>
      <c r="I1904">
        <v>360</v>
      </c>
      <c r="J1904">
        <v>1</v>
      </c>
      <c r="K1904">
        <v>49</v>
      </c>
      <c r="L1904">
        <v>367</v>
      </c>
      <c r="M1904">
        <v>1</v>
      </c>
      <c r="N1904">
        <v>3.00191E-107</v>
      </c>
      <c r="O1904">
        <v>990</v>
      </c>
    </row>
    <row r="1905" spans="1:15" x14ac:dyDescent="0.25">
      <c r="A1905" t="s">
        <v>1918</v>
      </c>
      <c r="B1905">
        <v>442</v>
      </c>
      <c r="C1905" s="1" t="str">
        <f>HYPERLINK("http://www.rosaceae.org/gb/gbrowse/malus_x_domestica/?name=MDP0000615106","MDP0000615106")</f>
        <v>MDP0000615106</v>
      </c>
      <c r="D1905">
        <v>48.04</v>
      </c>
      <c r="E1905">
        <v>435</v>
      </c>
      <c r="F1905">
        <v>226</v>
      </c>
      <c r="G1905">
        <v>21</v>
      </c>
      <c r="H1905">
        <v>13</v>
      </c>
      <c r="I1905">
        <v>435</v>
      </c>
      <c r="J1905">
        <v>1</v>
      </c>
      <c r="K1905">
        <v>61</v>
      </c>
      <c r="L1905">
        <v>486</v>
      </c>
      <c r="M1905">
        <v>1</v>
      </c>
      <c r="N1905">
        <v>1.1832800000000001E-93</v>
      </c>
      <c r="O1905">
        <v>874</v>
      </c>
    </row>
    <row r="1906" spans="1:15" x14ac:dyDescent="0.25">
      <c r="A1906" t="s">
        <v>1919</v>
      </c>
      <c r="B1906">
        <v>159</v>
      </c>
      <c r="C1906" s="1" t="str">
        <f>HYPERLINK("http://www.rosaceae.org/gb/gbrowse/malus_x_domestica/?name=MDP0000280901","MDP0000280901")</f>
        <v>MDP0000280901</v>
      </c>
      <c r="D1906">
        <v>38.58</v>
      </c>
      <c r="E1906">
        <v>184</v>
      </c>
      <c r="F1906">
        <v>113</v>
      </c>
      <c r="G1906">
        <v>38</v>
      </c>
      <c r="H1906">
        <v>1</v>
      </c>
      <c r="I1906">
        <v>159</v>
      </c>
      <c r="J1906">
        <v>1</v>
      </c>
      <c r="K1906">
        <v>1</v>
      </c>
      <c r="L1906">
        <v>171</v>
      </c>
      <c r="M1906">
        <v>1</v>
      </c>
      <c r="N1906">
        <v>5.9905799999999999E-22</v>
      </c>
      <c r="O1906">
        <v>249</v>
      </c>
    </row>
    <row r="1907" spans="1:15" x14ac:dyDescent="0.25">
      <c r="A1907" t="s">
        <v>1920</v>
      </c>
      <c r="B1907">
        <v>794</v>
      </c>
      <c r="C1907" s="1" t="str">
        <f>HYPERLINK("http://www.rosaceae.org/gb/gbrowse/malus_x_domestica/?name=MDP0000123462","MDP0000123462")</f>
        <v>MDP0000123462</v>
      </c>
      <c r="D1907">
        <v>69.790000000000006</v>
      </c>
      <c r="E1907">
        <v>192</v>
      </c>
      <c r="F1907">
        <v>58</v>
      </c>
      <c r="G1907">
        <v>7</v>
      </c>
      <c r="H1907">
        <v>1</v>
      </c>
      <c r="I1907">
        <v>187</v>
      </c>
      <c r="J1907">
        <v>1</v>
      </c>
      <c r="K1907">
        <v>1</v>
      </c>
      <c r="L1907">
        <v>190</v>
      </c>
      <c r="M1907">
        <v>1</v>
      </c>
      <c r="N1907">
        <v>5.4702800000000004E-66</v>
      </c>
      <c r="O1907">
        <v>638</v>
      </c>
    </row>
    <row r="1908" spans="1:15" x14ac:dyDescent="0.25">
      <c r="A1908" t="s">
        <v>1921</v>
      </c>
      <c r="B1908">
        <v>677</v>
      </c>
      <c r="C1908" s="1" t="str">
        <f>HYPERLINK("http://www.rosaceae.org/gb/gbrowse/malus_x_domestica/?name=MDP0000121898","MDP0000121898")</f>
        <v>MDP0000121898</v>
      </c>
      <c r="D1908">
        <v>62.57</v>
      </c>
      <c r="E1908">
        <v>171</v>
      </c>
      <c r="F1908">
        <v>64</v>
      </c>
      <c r="G1908">
        <v>3</v>
      </c>
      <c r="H1908">
        <v>302</v>
      </c>
      <c r="I1908">
        <v>472</v>
      </c>
      <c r="J1908">
        <v>1</v>
      </c>
      <c r="K1908">
        <v>308</v>
      </c>
      <c r="L1908">
        <v>475</v>
      </c>
      <c r="M1908">
        <v>1</v>
      </c>
      <c r="N1908">
        <v>1.20241E-58</v>
      </c>
      <c r="O1908">
        <v>574</v>
      </c>
    </row>
    <row r="1909" spans="1:15" x14ac:dyDescent="0.25">
      <c r="A1909" t="s">
        <v>1922</v>
      </c>
      <c r="B1909">
        <v>427</v>
      </c>
      <c r="C1909" s="1" t="str">
        <f>HYPERLINK("http://www.rosaceae.org/gb/gbrowse/malus_x_domestica/?name=MDP0000839354","MDP0000839354")</f>
        <v>MDP0000839354</v>
      </c>
      <c r="D1909">
        <v>53.56</v>
      </c>
      <c r="E1909">
        <v>463</v>
      </c>
      <c r="F1909">
        <v>215</v>
      </c>
      <c r="G1909">
        <v>51</v>
      </c>
      <c r="H1909">
        <v>1</v>
      </c>
      <c r="I1909">
        <v>427</v>
      </c>
      <c r="J1909">
        <v>1</v>
      </c>
      <c r="K1909">
        <v>1</v>
      </c>
      <c r="L1909">
        <v>448</v>
      </c>
      <c r="M1909">
        <v>1</v>
      </c>
      <c r="N1909">
        <v>9.1323299999999993E-105</v>
      </c>
      <c r="O1909">
        <v>969</v>
      </c>
    </row>
    <row r="1910" spans="1:15" x14ac:dyDescent="0.25">
      <c r="A1910" t="s">
        <v>1923</v>
      </c>
      <c r="B1910">
        <v>184</v>
      </c>
      <c r="C1910" s="1" t="str">
        <f>HYPERLINK("http://www.rosaceae.org/gb/gbrowse/malus_x_domestica/?name=MDP0000148325","MDP0000148325")</f>
        <v>MDP0000148325</v>
      </c>
      <c r="D1910">
        <v>40.36</v>
      </c>
      <c r="E1910">
        <v>166</v>
      </c>
      <c r="F1910">
        <v>99</v>
      </c>
      <c r="G1910">
        <v>25</v>
      </c>
      <c r="H1910">
        <v>1</v>
      </c>
      <c r="I1910">
        <v>147</v>
      </c>
      <c r="J1910">
        <v>1</v>
      </c>
      <c r="K1910">
        <v>1</v>
      </c>
      <c r="L1910">
        <v>160</v>
      </c>
      <c r="M1910">
        <v>1</v>
      </c>
      <c r="N1910">
        <v>1.6964500000000001E-26</v>
      </c>
      <c r="O1910">
        <v>289</v>
      </c>
    </row>
    <row r="1911" spans="1:15" x14ac:dyDescent="0.25">
      <c r="A1911" t="s">
        <v>1924</v>
      </c>
      <c r="B1911">
        <v>607</v>
      </c>
      <c r="C1911" s="1" t="str">
        <f>HYPERLINK("http://www.rosaceae.org/gb/gbrowse/malus_x_domestica/?name=MDP0000320212","MDP0000320212")</f>
        <v>MDP0000320212</v>
      </c>
      <c r="D1911">
        <v>69.33</v>
      </c>
      <c r="E1911">
        <v>287</v>
      </c>
      <c r="F1911">
        <v>88</v>
      </c>
      <c r="G1911">
        <v>9</v>
      </c>
      <c r="H1911">
        <v>1</v>
      </c>
      <c r="I1911">
        <v>278</v>
      </c>
      <c r="J1911">
        <v>1</v>
      </c>
      <c r="K1911">
        <v>1</v>
      </c>
      <c r="L1911">
        <v>287</v>
      </c>
      <c r="M1911">
        <v>1</v>
      </c>
      <c r="N1911">
        <v>7.9199200000000004E-115</v>
      </c>
      <c r="O1911">
        <v>1058</v>
      </c>
    </row>
    <row r="1912" spans="1:15" x14ac:dyDescent="0.25">
      <c r="A1912" t="s">
        <v>1925</v>
      </c>
      <c r="B1912">
        <v>294</v>
      </c>
      <c r="C1912" s="1" t="str">
        <f>HYPERLINK("http://www.rosaceae.org/gb/gbrowse/malus_x_domestica/?name=MDP0000271872","MDP0000271872")</f>
        <v>MDP0000271872</v>
      </c>
      <c r="D1912">
        <v>43.09</v>
      </c>
      <c r="E1912">
        <v>362</v>
      </c>
      <c r="F1912">
        <v>206</v>
      </c>
      <c r="G1912">
        <v>132</v>
      </c>
      <c r="H1912">
        <v>31</v>
      </c>
      <c r="I1912">
        <v>264</v>
      </c>
      <c r="J1912">
        <v>1</v>
      </c>
      <c r="K1912">
        <v>73</v>
      </c>
      <c r="L1912">
        <v>430</v>
      </c>
      <c r="M1912">
        <v>1</v>
      </c>
      <c r="N1912">
        <v>1.5806900000000001E-57</v>
      </c>
      <c r="O1912">
        <v>560</v>
      </c>
    </row>
    <row r="1913" spans="1:15" x14ac:dyDescent="0.25">
      <c r="A1913" t="s">
        <v>1926</v>
      </c>
      <c r="B1913">
        <v>99</v>
      </c>
      <c r="C1913" s="1" t="str">
        <f>HYPERLINK("http://www.rosaceae.org/gb/gbrowse/malus_x_domestica/?name=MDP0000330306","MDP0000330306")</f>
        <v>MDP0000330306</v>
      </c>
      <c r="D1913">
        <v>75</v>
      </c>
      <c r="E1913">
        <v>68</v>
      </c>
      <c r="F1913">
        <v>17</v>
      </c>
      <c r="G1913">
        <v>4</v>
      </c>
      <c r="H1913">
        <v>36</v>
      </c>
      <c r="I1913">
        <v>99</v>
      </c>
      <c r="J1913">
        <v>1</v>
      </c>
      <c r="K1913">
        <v>8</v>
      </c>
      <c r="L1913">
        <v>75</v>
      </c>
      <c r="M1913">
        <v>1</v>
      </c>
      <c r="N1913">
        <v>5.6473200000000001E-22</v>
      </c>
      <c r="O1913">
        <v>247</v>
      </c>
    </row>
    <row r="1914" spans="1:15" x14ac:dyDescent="0.25">
      <c r="A1914" t="s">
        <v>1927</v>
      </c>
      <c r="B1914">
        <v>818</v>
      </c>
      <c r="C1914" s="1" t="str">
        <f>HYPERLINK("http://www.rosaceae.org/gb/gbrowse/malus_x_domestica/?name=MDP0000262905","MDP0000262905")</f>
        <v>MDP0000262905</v>
      </c>
      <c r="D1914">
        <v>61.4</v>
      </c>
      <c r="E1914">
        <v>697</v>
      </c>
      <c r="F1914">
        <v>269</v>
      </c>
      <c r="G1914">
        <v>64</v>
      </c>
      <c r="H1914">
        <v>131</v>
      </c>
      <c r="I1914">
        <v>816</v>
      </c>
      <c r="J1914">
        <v>1</v>
      </c>
      <c r="K1914">
        <v>1</v>
      </c>
      <c r="L1914">
        <v>644</v>
      </c>
      <c r="M1914">
        <v>1</v>
      </c>
      <c r="N1914">
        <v>0</v>
      </c>
      <c r="O1914">
        <v>2044</v>
      </c>
    </row>
    <row r="1915" spans="1:15" x14ac:dyDescent="0.25">
      <c r="A1915" t="s">
        <v>1928</v>
      </c>
      <c r="B1915">
        <v>498</v>
      </c>
      <c r="C1915" s="1" t="str">
        <f>HYPERLINK("http://www.rosaceae.org/gb/gbrowse/malus_x_domestica/?name=MDP0000256406","MDP0000256406")</f>
        <v>MDP0000256406</v>
      </c>
      <c r="D1915">
        <v>64.150000000000006</v>
      </c>
      <c r="E1915">
        <v>505</v>
      </c>
      <c r="F1915">
        <v>181</v>
      </c>
      <c r="G1915">
        <v>21</v>
      </c>
      <c r="H1915">
        <v>1</v>
      </c>
      <c r="I1915">
        <v>498</v>
      </c>
      <c r="J1915">
        <v>1</v>
      </c>
      <c r="K1915">
        <v>1</v>
      </c>
      <c r="L1915">
        <v>491</v>
      </c>
      <c r="M1915">
        <v>1</v>
      </c>
      <c r="N1915">
        <v>0</v>
      </c>
      <c r="O1915">
        <v>1694</v>
      </c>
    </row>
    <row r="1916" spans="1:15" x14ac:dyDescent="0.25">
      <c r="A1916" t="s">
        <v>1929</v>
      </c>
      <c r="B1916">
        <v>201</v>
      </c>
      <c r="C1916" s="1" t="str">
        <f>HYPERLINK("http://www.rosaceae.org/gb/gbrowse/malus_x_domestica/?name=MDP0000319193","MDP0000319193")</f>
        <v>MDP0000319193</v>
      </c>
      <c r="D1916">
        <v>60.1</v>
      </c>
      <c r="E1916">
        <v>193</v>
      </c>
      <c r="F1916">
        <v>77</v>
      </c>
      <c r="G1916">
        <v>2</v>
      </c>
      <c r="H1916">
        <v>1</v>
      </c>
      <c r="I1916">
        <v>193</v>
      </c>
      <c r="J1916">
        <v>1</v>
      </c>
      <c r="K1916">
        <v>503</v>
      </c>
      <c r="L1916">
        <v>693</v>
      </c>
      <c r="M1916">
        <v>1</v>
      </c>
      <c r="N1916">
        <v>5.4727000000000002E-67</v>
      </c>
      <c r="O1916">
        <v>639</v>
      </c>
    </row>
    <row r="1917" spans="1:15" x14ac:dyDescent="0.25">
      <c r="A1917" t="s">
        <v>1930</v>
      </c>
      <c r="B1917">
        <v>758</v>
      </c>
      <c r="C1917" s="1" t="str">
        <f>HYPERLINK("http://www.rosaceae.org/gb/gbrowse/malus_x_domestica/?name=MDP0000219549","MDP0000219549")</f>
        <v>MDP0000219549</v>
      </c>
      <c r="D1917">
        <v>54.37</v>
      </c>
      <c r="E1917">
        <v>686</v>
      </c>
      <c r="F1917">
        <v>313</v>
      </c>
      <c r="G1917">
        <v>35</v>
      </c>
      <c r="H1917">
        <v>51</v>
      </c>
      <c r="I1917">
        <v>705</v>
      </c>
      <c r="J1917">
        <v>1</v>
      </c>
      <c r="K1917">
        <v>44</v>
      </c>
      <c r="L1917">
        <v>725</v>
      </c>
      <c r="M1917">
        <v>1</v>
      </c>
      <c r="N1917">
        <v>0</v>
      </c>
      <c r="O1917">
        <v>1763</v>
      </c>
    </row>
    <row r="1918" spans="1:15" x14ac:dyDescent="0.25">
      <c r="A1918" t="s">
        <v>1931</v>
      </c>
      <c r="B1918">
        <v>929</v>
      </c>
      <c r="C1918" s="1" t="str">
        <f>HYPERLINK("http://www.rosaceae.org/gb/gbrowse/malus_x_domestica/?name=MDP0000619907","MDP0000619907")</f>
        <v>MDP0000619907</v>
      </c>
      <c r="D1918">
        <v>40.06</v>
      </c>
      <c r="E1918">
        <v>327</v>
      </c>
      <c r="F1918">
        <v>196</v>
      </c>
      <c r="G1918">
        <v>23</v>
      </c>
      <c r="H1918">
        <v>401</v>
      </c>
      <c r="I1918">
        <v>717</v>
      </c>
      <c r="J1918">
        <v>1</v>
      </c>
      <c r="K1918">
        <v>1</v>
      </c>
      <c r="L1918">
        <v>314</v>
      </c>
      <c r="M1918">
        <v>1</v>
      </c>
      <c r="N1918">
        <v>1.6989199999999999E-53</v>
      </c>
      <c r="O1918">
        <v>530</v>
      </c>
    </row>
    <row r="1919" spans="1:15" x14ac:dyDescent="0.25">
      <c r="A1919" t="s">
        <v>1932</v>
      </c>
      <c r="B1919">
        <v>354</v>
      </c>
      <c r="C1919" s="1" t="str">
        <f>HYPERLINK("http://www.rosaceae.org/gb/gbrowse/malus_x_domestica/?name=MDP0000273254","MDP0000273254")</f>
        <v>MDP0000273254</v>
      </c>
      <c r="D1919">
        <v>56.4</v>
      </c>
      <c r="E1919">
        <v>289</v>
      </c>
      <c r="F1919">
        <v>126</v>
      </c>
      <c r="G1919">
        <v>41</v>
      </c>
      <c r="H1919">
        <v>64</v>
      </c>
      <c r="I1919">
        <v>331</v>
      </c>
      <c r="J1919">
        <v>1</v>
      </c>
      <c r="K1919">
        <v>85</v>
      </c>
      <c r="L1919">
        <v>353</v>
      </c>
      <c r="M1919">
        <v>1</v>
      </c>
      <c r="N1919">
        <v>8.5487399999999995E-74</v>
      </c>
      <c r="O1919">
        <v>701</v>
      </c>
    </row>
    <row r="1920" spans="1:15" x14ac:dyDescent="0.25">
      <c r="A1920" t="s">
        <v>1933</v>
      </c>
      <c r="B1920">
        <v>335</v>
      </c>
      <c r="C1920" s="1" t="str">
        <f>HYPERLINK("http://www.rosaceae.org/gb/gbrowse/malus_x_domestica/?name=MDP0000295068","MDP0000295068")</f>
        <v>MDP0000295068</v>
      </c>
      <c r="D1920">
        <v>87.4</v>
      </c>
      <c r="E1920">
        <v>135</v>
      </c>
      <c r="F1920">
        <v>17</v>
      </c>
      <c r="G1920">
        <v>0</v>
      </c>
      <c r="H1920">
        <v>1</v>
      </c>
      <c r="I1920">
        <v>135</v>
      </c>
      <c r="J1920">
        <v>1</v>
      </c>
      <c r="K1920">
        <v>1</v>
      </c>
      <c r="L1920">
        <v>135</v>
      </c>
      <c r="M1920">
        <v>1</v>
      </c>
      <c r="N1920">
        <v>6.9858099999999994E-64</v>
      </c>
      <c r="O1920">
        <v>615</v>
      </c>
    </row>
    <row r="1921" spans="1:15" x14ac:dyDescent="0.25">
      <c r="A1921" t="s">
        <v>1934</v>
      </c>
      <c r="B1921">
        <v>460</v>
      </c>
      <c r="C1921" s="1" t="str">
        <f>HYPERLINK("http://www.rosaceae.org/gb/gbrowse/malus_x_domestica/?name=MDP0000727169","MDP0000727169")</f>
        <v>MDP0000727169</v>
      </c>
      <c r="D1921">
        <v>68.22</v>
      </c>
      <c r="E1921">
        <v>214</v>
      </c>
      <c r="F1921">
        <v>68</v>
      </c>
      <c r="G1921">
        <v>3</v>
      </c>
      <c r="H1921">
        <v>85</v>
      </c>
      <c r="I1921">
        <v>298</v>
      </c>
      <c r="J1921">
        <v>1</v>
      </c>
      <c r="K1921">
        <v>1</v>
      </c>
      <c r="L1921">
        <v>211</v>
      </c>
      <c r="M1921">
        <v>1</v>
      </c>
      <c r="N1921">
        <v>4.7999700000000003E-77</v>
      </c>
      <c r="O1921">
        <v>731</v>
      </c>
    </row>
    <row r="1922" spans="1:15" x14ac:dyDescent="0.25">
      <c r="A1922" t="s">
        <v>1935</v>
      </c>
      <c r="B1922">
        <v>898</v>
      </c>
      <c r="C1922" s="1" t="str">
        <f>HYPERLINK("http://www.rosaceae.org/gb/gbrowse/malus_x_domestica/?name=MDP0000288252","MDP0000288252")</f>
        <v>MDP0000288252</v>
      </c>
      <c r="D1922">
        <v>73.38</v>
      </c>
      <c r="E1922">
        <v>248</v>
      </c>
      <c r="F1922">
        <v>66</v>
      </c>
      <c r="G1922">
        <v>8</v>
      </c>
      <c r="H1922">
        <v>1</v>
      </c>
      <c r="I1922">
        <v>240</v>
      </c>
      <c r="J1922">
        <v>1</v>
      </c>
      <c r="K1922">
        <v>40</v>
      </c>
      <c r="L1922">
        <v>287</v>
      </c>
      <c r="M1922">
        <v>1</v>
      </c>
      <c r="N1922">
        <v>4.9899399999999996E-106</v>
      </c>
      <c r="O1922">
        <v>983</v>
      </c>
    </row>
    <row r="1923" spans="1:15" x14ac:dyDescent="0.25">
      <c r="A1923" t="s">
        <v>1936</v>
      </c>
      <c r="B1923">
        <v>651</v>
      </c>
      <c r="C1923" s="1" t="str">
        <f>HYPERLINK("http://www.rosaceae.org/gb/gbrowse/malus_x_domestica/?name=MDP0000311618","MDP0000311618")</f>
        <v>MDP0000311618</v>
      </c>
      <c r="D1923">
        <v>54.36</v>
      </c>
      <c r="E1923">
        <v>618</v>
      </c>
      <c r="F1923">
        <v>282</v>
      </c>
      <c r="G1923">
        <v>1</v>
      </c>
      <c r="H1923">
        <v>26</v>
      </c>
      <c r="I1923">
        <v>643</v>
      </c>
      <c r="J1923">
        <v>1</v>
      </c>
      <c r="K1923">
        <v>18</v>
      </c>
      <c r="L1923">
        <v>634</v>
      </c>
      <c r="M1923">
        <v>1</v>
      </c>
      <c r="N1923">
        <v>0</v>
      </c>
      <c r="O1923">
        <v>1838</v>
      </c>
    </row>
    <row r="1924" spans="1:15" x14ac:dyDescent="0.25">
      <c r="A1924" t="s">
        <v>1937</v>
      </c>
      <c r="B1924">
        <v>125</v>
      </c>
      <c r="C1924" s="1" t="str">
        <f>HYPERLINK("http://www.rosaceae.org/gb/gbrowse/malus_x_domestica/?name=MDP0000146863","MDP0000146863")</f>
        <v>MDP0000146863</v>
      </c>
      <c r="D1924">
        <v>41.46</v>
      </c>
      <c r="E1924">
        <v>82</v>
      </c>
      <c r="F1924">
        <v>48</v>
      </c>
      <c r="G1924">
        <v>3</v>
      </c>
      <c r="H1924">
        <v>43</v>
      </c>
      <c r="I1924">
        <v>124</v>
      </c>
      <c r="J1924">
        <v>1</v>
      </c>
      <c r="K1924">
        <v>370</v>
      </c>
      <c r="L1924">
        <v>448</v>
      </c>
      <c r="M1924">
        <v>1</v>
      </c>
      <c r="N1924">
        <v>1.9129500000000001E-14</v>
      </c>
      <c r="O1924">
        <v>182</v>
      </c>
    </row>
    <row r="1925" spans="1:15" x14ac:dyDescent="0.25">
      <c r="A1925" t="s">
        <v>1938</v>
      </c>
      <c r="B1925">
        <v>249</v>
      </c>
      <c r="C1925" s="1" t="str">
        <f>HYPERLINK("http://www.rosaceae.org/gb/gbrowse/malus_x_domestica/?name=MDP0000589422","MDP0000589422")</f>
        <v>MDP0000589422</v>
      </c>
      <c r="D1925">
        <v>52.52</v>
      </c>
      <c r="E1925">
        <v>99</v>
      </c>
      <c r="F1925">
        <v>47</v>
      </c>
      <c r="G1925">
        <v>1</v>
      </c>
      <c r="H1925">
        <v>111</v>
      </c>
      <c r="I1925">
        <v>208</v>
      </c>
      <c r="J1925">
        <v>1</v>
      </c>
      <c r="K1925">
        <v>158</v>
      </c>
      <c r="L1925">
        <v>256</v>
      </c>
      <c r="M1925">
        <v>1</v>
      </c>
      <c r="N1925">
        <v>1.6289300000000001E-20</v>
      </c>
      <c r="O1925">
        <v>240</v>
      </c>
    </row>
    <row r="1926" spans="1:15" x14ac:dyDescent="0.25">
      <c r="A1926" t="s">
        <v>1939</v>
      </c>
      <c r="B1926">
        <v>424</v>
      </c>
      <c r="C1926" s="1" t="str">
        <f>HYPERLINK("http://www.rosaceae.org/gb/gbrowse/malus_x_domestica/?name=MDP0000170851","MDP0000170851")</f>
        <v>MDP0000170851</v>
      </c>
      <c r="D1926">
        <v>35.71</v>
      </c>
      <c r="E1926">
        <v>406</v>
      </c>
      <c r="F1926">
        <v>261</v>
      </c>
      <c r="G1926">
        <v>41</v>
      </c>
      <c r="H1926">
        <v>10</v>
      </c>
      <c r="I1926">
        <v>406</v>
      </c>
      <c r="J1926">
        <v>1</v>
      </c>
      <c r="K1926">
        <v>26</v>
      </c>
      <c r="L1926">
        <v>399</v>
      </c>
      <c r="M1926">
        <v>1</v>
      </c>
      <c r="N1926">
        <v>1.9812099999999999E-48</v>
      </c>
      <c r="O1926">
        <v>483</v>
      </c>
    </row>
    <row r="1927" spans="1:15" x14ac:dyDescent="0.25">
      <c r="A1927" t="s">
        <v>1940</v>
      </c>
      <c r="B1927">
        <v>524</v>
      </c>
      <c r="C1927" s="1" t="str">
        <f>HYPERLINK("http://www.rosaceae.org/gb/gbrowse/malus_x_domestica/?name=MDP0000761511","MDP0000761511")</f>
        <v>MDP0000761511</v>
      </c>
      <c r="D1927">
        <v>69.650000000000006</v>
      </c>
      <c r="E1927">
        <v>524</v>
      </c>
      <c r="F1927">
        <v>159</v>
      </c>
      <c r="G1927">
        <v>9</v>
      </c>
      <c r="H1927">
        <v>2</v>
      </c>
      <c r="I1927">
        <v>524</v>
      </c>
      <c r="J1927">
        <v>1</v>
      </c>
      <c r="K1927">
        <v>1</v>
      </c>
      <c r="L1927">
        <v>516</v>
      </c>
      <c r="M1927">
        <v>1</v>
      </c>
      <c r="N1927">
        <v>0</v>
      </c>
      <c r="O1927">
        <v>1834</v>
      </c>
    </row>
    <row r="1928" spans="1:15" x14ac:dyDescent="0.25">
      <c r="A1928" t="s">
        <v>1941</v>
      </c>
      <c r="B1928">
        <v>342</v>
      </c>
      <c r="C1928" s="1" t="str">
        <f>HYPERLINK("http://www.rosaceae.org/gb/gbrowse/malus_x_domestica/?name=MDP0000629143","MDP0000629143")</f>
        <v>MDP0000629143</v>
      </c>
      <c r="D1928">
        <v>83.81</v>
      </c>
      <c r="E1928">
        <v>173</v>
      </c>
      <c r="F1928">
        <v>28</v>
      </c>
      <c r="G1928">
        <v>0</v>
      </c>
      <c r="H1928">
        <v>167</v>
      </c>
      <c r="I1928">
        <v>339</v>
      </c>
      <c r="J1928">
        <v>1</v>
      </c>
      <c r="K1928">
        <v>7</v>
      </c>
      <c r="L1928">
        <v>179</v>
      </c>
      <c r="M1928">
        <v>1</v>
      </c>
      <c r="N1928">
        <v>2.7881599999999999E-83</v>
      </c>
      <c r="O1928">
        <v>783</v>
      </c>
    </row>
    <row r="1929" spans="1:15" x14ac:dyDescent="0.25">
      <c r="A1929" t="s">
        <v>1942</v>
      </c>
      <c r="B1929">
        <v>483</v>
      </c>
      <c r="C1929" s="1" t="str">
        <f>HYPERLINK("http://www.rosaceae.org/gb/gbrowse/malus_x_domestica/?name=MDP0000222340","MDP0000222340")</f>
        <v>MDP0000222340</v>
      </c>
      <c r="D1929">
        <v>46.26</v>
      </c>
      <c r="E1929">
        <v>482</v>
      </c>
      <c r="F1929">
        <v>259</v>
      </c>
      <c r="G1929">
        <v>17</v>
      </c>
      <c r="H1929">
        <v>6</v>
      </c>
      <c r="I1929">
        <v>478</v>
      </c>
      <c r="J1929">
        <v>1</v>
      </c>
      <c r="K1929">
        <v>9</v>
      </c>
      <c r="L1929">
        <v>482</v>
      </c>
      <c r="M1929">
        <v>1</v>
      </c>
      <c r="N1929">
        <v>2.6783599999999998E-91</v>
      </c>
      <c r="O1929">
        <v>854</v>
      </c>
    </row>
    <row r="1930" spans="1:15" x14ac:dyDescent="0.25">
      <c r="A1930" t="s">
        <v>1943</v>
      </c>
      <c r="B1930">
        <v>233</v>
      </c>
      <c r="C1930" s="1" t="str">
        <f>HYPERLINK("http://www.rosaceae.org/gb/gbrowse/malus_x_domestica/?name=MDP0000198094","MDP0000198094")</f>
        <v>MDP0000198094</v>
      </c>
      <c r="D1930">
        <v>61.57</v>
      </c>
      <c r="E1930">
        <v>242</v>
      </c>
      <c r="F1930">
        <v>93</v>
      </c>
      <c r="G1930">
        <v>14</v>
      </c>
      <c r="H1930">
        <v>1</v>
      </c>
      <c r="I1930">
        <v>233</v>
      </c>
      <c r="J1930">
        <v>1</v>
      </c>
      <c r="K1930">
        <v>1</v>
      </c>
      <c r="L1930">
        <v>237</v>
      </c>
      <c r="M1930">
        <v>1</v>
      </c>
      <c r="N1930">
        <v>7.9366800000000004E-73</v>
      </c>
      <c r="O1930">
        <v>691</v>
      </c>
    </row>
    <row r="1931" spans="1:15" x14ac:dyDescent="0.25">
      <c r="A1931" t="s">
        <v>1944</v>
      </c>
      <c r="B1931">
        <v>469</v>
      </c>
      <c r="C1931" s="1" t="str">
        <f>HYPERLINK("http://www.rosaceae.org/gb/gbrowse/malus_x_domestica/?name=MDP0000783444","MDP0000783444")</f>
        <v>MDP0000783444</v>
      </c>
      <c r="D1931">
        <v>63.25</v>
      </c>
      <c r="E1931">
        <v>449</v>
      </c>
      <c r="F1931">
        <v>165</v>
      </c>
      <c r="G1931">
        <v>22</v>
      </c>
      <c r="H1931">
        <v>27</v>
      </c>
      <c r="I1931">
        <v>459</v>
      </c>
      <c r="J1931">
        <v>1</v>
      </c>
      <c r="K1931">
        <v>30</v>
      </c>
      <c r="L1931">
        <v>472</v>
      </c>
      <c r="M1931">
        <v>1</v>
      </c>
      <c r="N1931">
        <v>5.5107600000000002E-148</v>
      </c>
      <c r="O1931">
        <v>1342</v>
      </c>
    </row>
    <row r="1932" spans="1:15" x14ac:dyDescent="0.25">
      <c r="A1932" t="s">
        <v>1945</v>
      </c>
      <c r="B1932">
        <v>640</v>
      </c>
      <c r="C1932" s="1" t="str">
        <f>HYPERLINK("http://www.rosaceae.org/gb/gbrowse/malus_x_domestica/?name=MDP0000310168","MDP0000310168")</f>
        <v>MDP0000310168</v>
      </c>
      <c r="D1932">
        <v>70.16</v>
      </c>
      <c r="E1932">
        <v>620</v>
      </c>
      <c r="F1932">
        <v>185</v>
      </c>
      <c r="G1932">
        <v>64</v>
      </c>
      <c r="H1932">
        <v>1</v>
      </c>
      <c r="I1932">
        <v>588</v>
      </c>
      <c r="J1932">
        <v>1</v>
      </c>
      <c r="K1932">
        <v>1</v>
      </c>
      <c r="L1932">
        <v>588</v>
      </c>
      <c r="M1932">
        <v>1</v>
      </c>
      <c r="N1932">
        <v>0</v>
      </c>
      <c r="O1932">
        <v>2330</v>
      </c>
    </row>
    <row r="1933" spans="1:15" x14ac:dyDescent="0.25">
      <c r="A1933" t="s">
        <v>1946</v>
      </c>
      <c r="B1933">
        <v>478</v>
      </c>
      <c r="C1933" s="1" t="str">
        <f>HYPERLINK("http://www.rosaceae.org/gb/gbrowse/malus_x_domestica/?name=MDP0000170162","MDP0000170162")</f>
        <v>MDP0000170162</v>
      </c>
      <c r="D1933">
        <v>68.12</v>
      </c>
      <c r="E1933">
        <v>480</v>
      </c>
      <c r="F1933">
        <v>153</v>
      </c>
      <c r="G1933">
        <v>7</v>
      </c>
      <c r="H1933">
        <v>3</v>
      </c>
      <c r="I1933">
        <v>477</v>
      </c>
      <c r="J1933">
        <v>1</v>
      </c>
      <c r="K1933">
        <v>81</v>
      </c>
      <c r="L1933">
        <v>558</v>
      </c>
      <c r="M1933">
        <v>1</v>
      </c>
      <c r="N1933">
        <v>0</v>
      </c>
      <c r="O1933">
        <v>1764</v>
      </c>
    </row>
    <row r="1934" spans="1:15" x14ac:dyDescent="0.25">
      <c r="A1934" t="s">
        <v>1947</v>
      </c>
      <c r="B1934">
        <v>416</v>
      </c>
      <c r="C1934" s="1" t="str">
        <f>HYPERLINK("http://www.rosaceae.org/gb/gbrowse/malus_x_domestica/?name=MDP0000318254","MDP0000318254")</f>
        <v>MDP0000318254</v>
      </c>
      <c r="D1934">
        <v>86.33</v>
      </c>
      <c r="E1934">
        <v>417</v>
      </c>
      <c r="F1934">
        <v>57</v>
      </c>
      <c r="G1934">
        <v>4</v>
      </c>
      <c r="H1934">
        <v>1</v>
      </c>
      <c r="I1934">
        <v>416</v>
      </c>
      <c r="J1934">
        <v>1</v>
      </c>
      <c r="K1934">
        <v>1</v>
      </c>
      <c r="L1934">
        <v>414</v>
      </c>
      <c r="M1934">
        <v>1</v>
      </c>
      <c r="N1934">
        <v>0</v>
      </c>
      <c r="O1934">
        <v>1952</v>
      </c>
    </row>
    <row r="1935" spans="1:15" x14ac:dyDescent="0.25">
      <c r="A1935" t="s">
        <v>1948</v>
      </c>
      <c r="B1935">
        <v>611</v>
      </c>
      <c r="C1935" s="1" t="str">
        <f>HYPERLINK("http://www.rosaceae.org/gb/gbrowse/malus_x_domestica/?name=MDP0000247921","MDP0000247921")</f>
        <v>MDP0000247921</v>
      </c>
      <c r="D1935">
        <v>21.97</v>
      </c>
      <c r="E1935">
        <v>487</v>
      </c>
      <c r="F1935">
        <v>380</v>
      </c>
      <c r="G1935">
        <v>71</v>
      </c>
      <c r="H1935">
        <v>2</v>
      </c>
      <c r="I1935">
        <v>462</v>
      </c>
      <c r="J1935">
        <v>1</v>
      </c>
      <c r="K1935">
        <v>682</v>
      </c>
      <c r="L1935">
        <v>1123</v>
      </c>
      <c r="M1935">
        <v>1</v>
      </c>
      <c r="N1935">
        <v>3.0325599999999999E-29</v>
      </c>
      <c r="O1935">
        <v>320</v>
      </c>
    </row>
    <row r="1936" spans="1:15" x14ac:dyDescent="0.25">
      <c r="A1936" t="s">
        <v>1949</v>
      </c>
      <c r="B1936">
        <v>442</v>
      </c>
      <c r="C1936" s="1" t="str">
        <f>HYPERLINK("http://www.rosaceae.org/gb/gbrowse/malus_x_domestica/?name=MDP0000138865","MDP0000138865")</f>
        <v>MDP0000138865</v>
      </c>
      <c r="D1936">
        <v>73.55</v>
      </c>
      <c r="E1936">
        <v>484</v>
      </c>
      <c r="F1936">
        <v>128</v>
      </c>
      <c r="G1936">
        <v>53</v>
      </c>
      <c r="H1936">
        <v>1</v>
      </c>
      <c r="I1936">
        <v>442</v>
      </c>
      <c r="J1936">
        <v>1</v>
      </c>
      <c r="K1936">
        <v>1</v>
      </c>
      <c r="L1936">
        <v>473</v>
      </c>
      <c r="M1936">
        <v>1</v>
      </c>
      <c r="N1936">
        <v>0</v>
      </c>
      <c r="O1936">
        <v>1776</v>
      </c>
    </row>
    <row r="1937" spans="1:15" x14ac:dyDescent="0.25">
      <c r="A1937" t="s">
        <v>1950</v>
      </c>
      <c r="B1937">
        <v>145</v>
      </c>
      <c r="C1937" s="1" t="str">
        <f>HYPERLINK("http://www.rosaceae.org/gb/gbrowse/malus_x_domestica/?name=MDP0000823582","MDP0000823582")</f>
        <v>MDP0000823582</v>
      </c>
      <c r="D1937">
        <v>100</v>
      </c>
      <c r="E1937">
        <v>92</v>
      </c>
      <c r="F1937">
        <v>0</v>
      </c>
      <c r="G1937">
        <v>0</v>
      </c>
      <c r="H1937">
        <v>54</v>
      </c>
      <c r="I1937">
        <v>145</v>
      </c>
      <c r="J1937">
        <v>1</v>
      </c>
      <c r="K1937">
        <v>57</v>
      </c>
      <c r="L1937">
        <v>148</v>
      </c>
      <c r="M1937">
        <v>1</v>
      </c>
      <c r="N1937">
        <v>2.13379E-49</v>
      </c>
      <c r="O1937">
        <v>485</v>
      </c>
    </row>
    <row r="1938" spans="1:15" x14ac:dyDescent="0.25">
      <c r="A1938" t="s">
        <v>1951</v>
      </c>
      <c r="B1938">
        <v>637</v>
      </c>
      <c r="C1938" s="1" t="str">
        <f>HYPERLINK("http://www.rosaceae.org/gb/gbrowse/malus_x_domestica/?name=MDP0000239118","MDP0000239118")</f>
        <v>MDP0000239118</v>
      </c>
      <c r="D1938">
        <v>58.97</v>
      </c>
      <c r="E1938">
        <v>641</v>
      </c>
      <c r="F1938">
        <v>263</v>
      </c>
      <c r="G1938">
        <v>39</v>
      </c>
      <c r="H1938">
        <v>1</v>
      </c>
      <c r="I1938">
        <v>636</v>
      </c>
      <c r="J1938">
        <v>1</v>
      </c>
      <c r="K1938">
        <v>1</v>
      </c>
      <c r="L1938">
        <v>607</v>
      </c>
      <c r="M1938">
        <v>1</v>
      </c>
      <c r="N1938">
        <v>0</v>
      </c>
      <c r="O1938">
        <v>1816</v>
      </c>
    </row>
    <row r="1939" spans="1:15" x14ac:dyDescent="0.25">
      <c r="A1939" t="s">
        <v>1952</v>
      </c>
      <c r="B1939">
        <v>489</v>
      </c>
      <c r="C1939" s="1" t="str">
        <f>HYPERLINK("http://www.rosaceae.org/gb/gbrowse/malus_x_domestica/?name=MDP0000139760","MDP0000139760")</f>
        <v>MDP0000139760</v>
      </c>
      <c r="D1939">
        <v>37.19</v>
      </c>
      <c r="E1939">
        <v>363</v>
      </c>
      <c r="F1939">
        <v>228</v>
      </c>
      <c r="G1939">
        <v>56</v>
      </c>
      <c r="H1939">
        <v>91</v>
      </c>
      <c r="I1939">
        <v>421</v>
      </c>
      <c r="J1939">
        <v>1</v>
      </c>
      <c r="K1939">
        <v>73</v>
      </c>
      <c r="L1939">
        <v>411</v>
      </c>
      <c r="M1939">
        <v>1</v>
      </c>
      <c r="N1939">
        <v>8.3580100000000004E-48</v>
      </c>
      <c r="O1939">
        <v>479</v>
      </c>
    </row>
    <row r="1940" spans="1:15" x14ac:dyDescent="0.25">
      <c r="A1940" t="s">
        <v>1953</v>
      </c>
      <c r="B1940">
        <v>455</v>
      </c>
      <c r="C1940" s="1" t="str">
        <f>HYPERLINK("http://www.rosaceae.org/gb/gbrowse/malus_x_domestica/?name=MDP0000264059","MDP0000264059")</f>
        <v>MDP0000264059</v>
      </c>
      <c r="D1940">
        <v>58.82</v>
      </c>
      <c r="E1940">
        <v>374</v>
      </c>
      <c r="F1940">
        <v>154</v>
      </c>
      <c r="G1940">
        <v>22</v>
      </c>
      <c r="H1940">
        <v>3</v>
      </c>
      <c r="I1940">
        <v>355</v>
      </c>
      <c r="J1940">
        <v>1</v>
      </c>
      <c r="K1940">
        <v>670</v>
      </c>
      <c r="L1940">
        <v>1042</v>
      </c>
      <c r="M1940">
        <v>1</v>
      </c>
      <c r="N1940">
        <v>2.7931699999999999E-111</v>
      </c>
      <c r="O1940">
        <v>1026</v>
      </c>
    </row>
    <row r="1941" spans="1:15" x14ac:dyDescent="0.25">
      <c r="A1941" t="s">
        <v>1954</v>
      </c>
      <c r="B1941">
        <v>591</v>
      </c>
      <c r="C1941" s="1" t="str">
        <f>HYPERLINK("http://www.rosaceae.org/gb/gbrowse/malus_x_domestica/?name=MDP0000478473","MDP0000478473")</f>
        <v>MDP0000478473</v>
      </c>
      <c r="D1941">
        <v>85.47</v>
      </c>
      <c r="E1941">
        <v>482</v>
      </c>
      <c r="F1941">
        <v>70</v>
      </c>
      <c r="G1941">
        <v>2</v>
      </c>
      <c r="H1941">
        <v>110</v>
      </c>
      <c r="I1941">
        <v>591</v>
      </c>
      <c r="J1941">
        <v>1</v>
      </c>
      <c r="K1941">
        <v>3</v>
      </c>
      <c r="L1941">
        <v>482</v>
      </c>
      <c r="M1941">
        <v>1</v>
      </c>
      <c r="N1941">
        <v>0</v>
      </c>
      <c r="O1941">
        <v>2253</v>
      </c>
    </row>
    <row r="1942" spans="1:15" x14ac:dyDescent="0.25">
      <c r="A1942" t="s">
        <v>1955</v>
      </c>
      <c r="B1942">
        <v>149</v>
      </c>
      <c r="C1942" s="1" t="str">
        <f>HYPERLINK("http://www.rosaceae.org/gb/gbrowse/malus_x_domestica/?name=MDP0000195272","MDP0000195272")</f>
        <v>MDP0000195272</v>
      </c>
      <c r="D1942">
        <v>91.66</v>
      </c>
      <c r="E1942">
        <v>36</v>
      </c>
      <c r="F1942">
        <v>3</v>
      </c>
      <c r="G1942">
        <v>0</v>
      </c>
      <c r="H1942">
        <v>34</v>
      </c>
      <c r="I1942">
        <v>69</v>
      </c>
      <c r="J1942">
        <v>1</v>
      </c>
      <c r="K1942">
        <v>26</v>
      </c>
      <c r="L1942">
        <v>61</v>
      </c>
      <c r="M1942">
        <v>1</v>
      </c>
      <c r="N1942">
        <v>1.72297E-11</v>
      </c>
      <c r="O1942">
        <v>158</v>
      </c>
    </row>
    <row r="1943" spans="1:15" x14ac:dyDescent="0.25">
      <c r="A1943" t="s">
        <v>1956</v>
      </c>
      <c r="B1943">
        <v>516</v>
      </c>
      <c r="C1943" s="1" t="str">
        <f>HYPERLINK("http://www.rosaceae.org/gb/gbrowse/malus_x_domestica/?name=MDP0000233872","MDP0000233872")</f>
        <v>MDP0000233872</v>
      </c>
      <c r="D1943">
        <v>70.2</v>
      </c>
      <c r="E1943">
        <v>574</v>
      </c>
      <c r="F1943">
        <v>171</v>
      </c>
      <c r="G1943">
        <v>63</v>
      </c>
      <c r="H1943">
        <v>1</v>
      </c>
      <c r="I1943">
        <v>516</v>
      </c>
      <c r="J1943">
        <v>1</v>
      </c>
      <c r="K1943">
        <v>1</v>
      </c>
      <c r="L1943">
        <v>569</v>
      </c>
      <c r="M1943">
        <v>1</v>
      </c>
      <c r="N1943">
        <v>0</v>
      </c>
      <c r="O1943">
        <v>1908</v>
      </c>
    </row>
    <row r="1944" spans="1:15" x14ac:dyDescent="0.25">
      <c r="A1944" t="s">
        <v>1957</v>
      </c>
      <c r="B1944">
        <v>413</v>
      </c>
      <c r="C1944" s="1" t="str">
        <f>HYPERLINK("http://www.rosaceae.org/gb/gbrowse/malus_x_domestica/?name=MDP0000250455","MDP0000250455")</f>
        <v>MDP0000250455</v>
      </c>
      <c r="D1944">
        <v>42.61</v>
      </c>
      <c r="E1944">
        <v>413</v>
      </c>
      <c r="F1944">
        <v>237</v>
      </c>
      <c r="G1944">
        <v>45</v>
      </c>
      <c r="H1944">
        <v>1</v>
      </c>
      <c r="I1944">
        <v>403</v>
      </c>
      <c r="J1944">
        <v>1</v>
      </c>
      <c r="K1944">
        <v>493</v>
      </c>
      <c r="L1944">
        <v>870</v>
      </c>
      <c r="M1944">
        <v>1</v>
      </c>
      <c r="N1944">
        <v>2.9540699999999999E-74</v>
      </c>
      <c r="O1944">
        <v>706</v>
      </c>
    </row>
    <row r="1945" spans="1:15" x14ac:dyDescent="0.25">
      <c r="A1945" t="s">
        <v>1958</v>
      </c>
      <c r="B1945">
        <v>356</v>
      </c>
      <c r="C1945" s="1" t="str">
        <f>HYPERLINK("http://www.rosaceae.org/gb/gbrowse/malus_x_domestica/?name=MDP0000190538","MDP0000190538")</f>
        <v>MDP0000190538</v>
      </c>
      <c r="D1945">
        <v>37.5</v>
      </c>
      <c r="E1945">
        <v>304</v>
      </c>
      <c r="F1945">
        <v>190</v>
      </c>
      <c r="G1945">
        <v>28</v>
      </c>
      <c r="H1945">
        <v>11</v>
      </c>
      <c r="I1945">
        <v>311</v>
      </c>
      <c r="J1945">
        <v>1</v>
      </c>
      <c r="K1945">
        <v>8</v>
      </c>
      <c r="L1945">
        <v>286</v>
      </c>
      <c r="M1945">
        <v>1</v>
      </c>
      <c r="N1945">
        <v>1.1554099999999999E-40</v>
      </c>
      <c r="O1945">
        <v>416</v>
      </c>
    </row>
    <row r="1946" spans="1:15" x14ac:dyDescent="0.25">
      <c r="A1946" t="s">
        <v>1959</v>
      </c>
      <c r="B1946">
        <v>732</v>
      </c>
      <c r="C1946" s="1" t="str">
        <f>HYPERLINK("http://www.rosaceae.org/gb/gbrowse/malus_x_domestica/?name=MDP0000197462","MDP0000197462")</f>
        <v>MDP0000197462</v>
      </c>
      <c r="D1946">
        <v>77.959999999999994</v>
      </c>
      <c r="E1946">
        <v>708</v>
      </c>
      <c r="F1946">
        <v>156</v>
      </c>
      <c r="G1946">
        <v>9</v>
      </c>
      <c r="H1946">
        <v>26</v>
      </c>
      <c r="I1946">
        <v>731</v>
      </c>
      <c r="J1946">
        <v>1</v>
      </c>
      <c r="K1946">
        <v>26</v>
      </c>
      <c r="L1946">
        <v>726</v>
      </c>
      <c r="M1946">
        <v>1</v>
      </c>
      <c r="N1946">
        <v>0</v>
      </c>
      <c r="O1946">
        <v>3007</v>
      </c>
    </row>
    <row r="1947" spans="1:15" x14ac:dyDescent="0.25">
      <c r="A1947" t="s">
        <v>1960</v>
      </c>
      <c r="B1947">
        <v>131</v>
      </c>
      <c r="C1947" s="1" t="str">
        <f>HYPERLINK("http://www.rosaceae.org/gb/gbrowse/malus_x_domestica/?name=MDP0000855206","MDP0000855206")</f>
        <v>MDP0000855206</v>
      </c>
      <c r="D1947">
        <v>99.07</v>
      </c>
      <c r="E1947">
        <v>108</v>
      </c>
      <c r="F1947">
        <v>1</v>
      </c>
      <c r="G1947">
        <v>0</v>
      </c>
      <c r="H1947">
        <v>1</v>
      </c>
      <c r="I1947">
        <v>108</v>
      </c>
      <c r="J1947">
        <v>1</v>
      </c>
      <c r="K1947">
        <v>1</v>
      </c>
      <c r="L1947">
        <v>108</v>
      </c>
      <c r="M1947">
        <v>1</v>
      </c>
      <c r="N1947">
        <v>1.3765E-56</v>
      </c>
      <c r="O1947">
        <v>546</v>
      </c>
    </row>
    <row r="1948" spans="1:15" x14ac:dyDescent="0.25">
      <c r="A1948" t="s">
        <v>1961</v>
      </c>
      <c r="B1948">
        <v>128</v>
      </c>
      <c r="C1948" s="1" t="str">
        <f>HYPERLINK("http://www.rosaceae.org/gb/gbrowse/malus_x_domestica/?name=MDP0000256680","MDP0000256680")</f>
        <v>MDP0000256680</v>
      </c>
      <c r="D1948">
        <v>47.45</v>
      </c>
      <c r="E1948">
        <v>118</v>
      </c>
      <c r="F1948">
        <v>62</v>
      </c>
      <c r="G1948">
        <v>1</v>
      </c>
      <c r="H1948">
        <v>1</v>
      </c>
      <c r="I1948">
        <v>118</v>
      </c>
      <c r="J1948">
        <v>1</v>
      </c>
      <c r="K1948">
        <v>131</v>
      </c>
      <c r="L1948">
        <v>247</v>
      </c>
      <c r="M1948">
        <v>1</v>
      </c>
      <c r="N1948">
        <v>1.14752E-25</v>
      </c>
      <c r="O1948">
        <v>279</v>
      </c>
    </row>
    <row r="1949" spans="1:15" x14ac:dyDescent="0.25">
      <c r="A1949" t="s">
        <v>1962</v>
      </c>
      <c r="B1949">
        <v>231</v>
      </c>
      <c r="C1949" s="1" t="str">
        <f>HYPERLINK("http://www.rosaceae.org/gb/gbrowse/malus_x_domestica/?name=MDP0000302349","MDP0000302349")</f>
        <v>MDP0000302349</v>
      </c>
      <c r="D1949">
        <v>58.82</v>
      </c>
      <c r="E1949">
        <v>204</v>
      </c>
      <c r="F1949">
        <v>84</v>
      </c>
      <c r="G1949">
        <v>10</v>
      </c>
      <c r="H1949">
        <v>2</v>
      </c>
      <c r="I1949">
        <v>205</v>
      </c>
      <c r="J1949">
        <v>1</v>
      </c>
      <c r="K1949">
        <v>56</v>
      </c>
      <c r="L1949">
        <v>249</v>
      </c>
      <c r="M1949">
        <v>1</v>
      </c>
      <c r="N1949">
        <v>1.80795E-58</v>
      </c>
      <c r="O1949">
        <v>567</v>
      </c>
    </row>
    <row r="1950" spans="1:15" x14ac:dyDescent="0.25">
      <c r="A1950" t="s">
        <v>1963</v>
      </c>
      <c r="B1950">
        <v>131</v>
      </c>
      <c r="C1950" s="1" t="str">
        <f>HYPERLINK("http://www.rosaceae.org/gb/gbrowse/malus_x_domestica/?name=MDP0000125194","MDP0000125194")</f>
        <v>MDP0000125194</v>
      </c>
      <c r="D1950">
        <v>89.28</v>
      </c>
      <c r="E1950">
        <v>28</v>
      </c>
      <c r="F1950">
        <v>3</v>
      </c>
      <c r="G1950">
        <v>0</v>
      </c>
      <c r="H1950">
        <v>1</v>
      </c>
      <c r="I1950">
        <v>28</v>
      </c>
      <c r="J1950">
        <v>1</v>
      </c>
      <c r="K1950">
        <v>261</v>
      </c>
      <c r="L1950">
        <v>288</v>
      </c>
      <c r="M1950">
        <v>1</v>
      </c>
      <c r="N1950">
        <v>1.9159900000000001E-9</v>
      </c>
      <c r="O1950">
        <v>139</v>
      </c>
    </row>
    <row r="1951" spans="1:15" x14ac:dyDescent="0.25">
      <c r="A1951" t="s">
        <v>1964</v>
      </c>
      <c r="B1951">
        <v>644</v>
      </c>
      <c r="C1951" s="1" t="str">
        <f>HYPERLINK("http://www.rosaceae.org/gb/gbrowse/malus_x_domestica/?name=MDP0000204794","MDP0000204794")</f>
        <v>MDP0000204794</v>
      </c>
      <c r="D1951">
        <v>26.53</v>
      </c>
      <c r="E1951">
        <v>245</v>
      </c>
      <c r="F1951">
        <v>180</v>
      </c>
      <c r="G1951">
        <v>11</v>
      </c>
      <c r="H1951">
        <v>1</v>
      </c>
      <c r="I1951">
        <v>244</v>
      </c>
      <c r="J1951">
        <v>1</v>
      </c>
      <c r="K1951">
        <v>314</v>
      </c>
      <c r="L1951">
        <v>548</v>
      </c>
      <c r="M1951">
        <v>1</v>
      </c>
      <c r="N1951">
        <v>5.2184799999999999E-26</v>
      </c>
      <c r="O1951">
        <v>292</v>
      </c>
    </row>
    <row r="1952" spans="1:15" x14ac:dyDescent="0.25">
      <c r="A1952" t="s">
        <v>1965</v>
      </c>
      <c r="B1952">
        <v>87</v>
      </c>
      <c r="C1952" s="1" t="str">
        <f>HYPERLINK("http://www.rosaceae.org/gb/gbrowse/malus_x_domestica/?name=MDP0000282820","MDP0000282820")</f>
        <v>MDP0000282820</v>
      </c>
      <c r="D1952">
        <v>38.700000000000003</v>
      </c>
      <c r="E1952">
        <v>93</v>
      </c>
      <c r="F1952">
        <v>57</v>
      </c>
      <c r="G1952">
        <v>9</v>
      </c>
      <c r="H1952">
        <v>3</v>
      </c>
      <c r="I1952">
        <v>87</v>
      </c>
      <c r="J1952">
        <v>1</v>
      </c>
      <c r="K1952">
        <v>498</v>
      </c>
      <c r="L1952">
        <v>589</v>
      </c>
      <c r="M1952">
        <v>1</v>
      </c>
      <c r="N1952">
        <v>4.7629199999999998E-11</v>
      </c>
      <c r="O1952">
        <v>153</v>
      </c>
    </row>
    <row r="1953" spans="1:15" x14ac:dyDescent="0.25">
      <c r="A1953" t="s">
        <v>1966</v>
      </c>
      <c r="B1953">
        <v>238</v>
      </c>
      <c r="C1953" s="1" t="str">
        <f>HYPERLINK("http://www.rosaceae.org/gb/gbrowse/malus_x_domestica/?name=MDP0000201797","MDP0000201797")</f>
        <v>MDP0000201797</v>
      </c>
      <c r="D1953">
        <v>70.09</v>
      </c>
      <c r="E1953">
        <v>214</v>
      </c>
      <c r="F1953">
        <v>64</v>
      </c>
      <c r="G1953">
        <v>4</v>
      </c>
      <c r="H1953">
        <v>1</v>
      </c>
      <c r="I1953">
        <v>211</v>
      </c>
      <c r="J1953">
        <v>1</v>
      </c>
      <c r="K1953">
        <v>1</v>
      </c>
      <c r="L1953">
        <v>213</v>
      </c>
      <c r="M1953">
        <v>1</v>
      </c>
      <c r="N1953">
        <v>1.8303299999999999E-80</v>
      </c>
      <c r="O1953">
        <v>757</v>
      </c>
    </row>
    <row r="1954" spans="1:15" x14ac:dyDescent="0.25">
      <c r="A1954" t="s">
        <v>1967</v>
      </c>
      <c r="B1954">
        <v>529</v>
      </c>
      <c r="C1954" s="1" t="str">
        <f>HYPERLINK("http://www.rosaceae.org/gb/gbrowse/malus_x_domestica/?name=MDP0000140980","MDP0000140980")</f>
        <v>MDP0000140980</v>
      </c>
      <c r="D1954">
        <v>76.069999999999993</v>
      </c>
      <c r="E1954">
        <v>510</v>
      </c>
      <c r="F1954">
        <v>122</v>
      </c>
      <c r="G1954">
        <v>2</v>
      </c>
      <c r="H1954">
        <v>20</v>
      </c>
      <c r="I1954">
        <v>529</v>
      </c>
      <c r="J1954">
        <v>1</v>
      </c>
      <c r="K1954">
        <v>32</v>
      </c>
      <c r="L1954">
        <v>539</v>
      </c>
      <c r="M1954">
        <v>1</v>
      </c>
      <c r="N1954">
        <v>0</v>
      </c>
      <c r="O1954">
        <v>2122</v>
      </c>
    </row>
    <row r="1955" spans="1:15" x14ac:dyDescent="0.25">
      <c r="A1955" t="s">
        <v>1968</v>
      </c>
      <c r="B1955">
        <v>157</v>
      </c>
      <c r="C1955" s="1" t="str">
        <f>HYPERLINK("http://www.rosaceae.org/gb/gbrowse/malus_x_domestica/?name=MDP0000281417","MDP0000281417")</f>
        <v>MDP0000281417</v>
      </c>
      <c r="D1955">
        <v>32.25</v>
      </c>
      <c r="E1955">
        <v>93</v>
      </c>
      <c r="F1955">
        <v>63</v>
      </c>
      <c r="G1955">
        <v>9</v>
      </c>
      <c r="H1955">
        <v>5</v>
      </c>
      <c r="I1955">
        <v>91</v>
      </c>
      <c r="J1955">
        <v>1</v>
      </c>
      <c r="K1955">
        <v>113</v>
      </c>
      <c r="L1955">
        <v>202</v>
      </c>
      <c r="M1955">
        <v>1</v>
      </c>
      <c r="N1955">
        <v>4.1746799999999999E-7</v>
      </c>
      <c r="O1955">
        <v>121</v>
      </c>
    </row>
    <row r="1956" spans="1:15" x14ac:dyDescent="0.25">
      <c r="A1956" t="s">
        <v>1969</v>
      </c>
      <c r="B1956">
        <v>491</v>
      </c>
      <c r="C1956" s="1" t="str">
        <f>HYPERLINK("http://www.rosaceae.org/gb/gbrowse/malus_x_domestica/?name=MDP0000301546","MDP0000301546")</f>
        <v>MDP0000301546</v>
      </c>
      <c r="D1956">
        <v>69.64</v>
      </c>
      <c r="E1956">
        <v>448</v>
      </c>
      <c r="F1956">
        <v>136</v>
      </c>
      <c r="G1956">
        <v>34</v>
      </c>
      <c r="H1956">
        <v>1</v>
      </c>
      <c r="I1956">
        <v>447</v>
      </c>
      <c r="J1956">
        <v>1</v>
      </c>
      <c r="K1956">
        <v>198</v>
      </c>
      <c r="L1956">
        <v>612</v>
      </c>
      <c r="M1956">
        <v>1</v>
      </c>
      <c r="N1956">
        <v>4.4820799999999999E-172</v>
      </c>
      <c r="O1956">
        <v>1550</v>
      </c>
    </row>
    <row r="1957" spans="1:15" x14ac:dyDescent="0.25">
      <c r="A1957" t="s">
        <v>1970</v>
      </c>
      <c r="B1957">
        <v>2333</v>
      </c>
      <c r="C1957" s="1" t="str">
        <f>HYPERLINK("http://www.rosaceae.org/gb/gbrowse/malus_x_domestica/?name=MDP0000305055","MDP0000305055")</f>
        <v>MDP0000305055</v>
      </c>
      <c r="D1957">
        <v>65.38</v>
      </c>
      <c r="E1957">
        <v>1063</v>
      </c>
      <c r="F1957">
        <v>368</v>
      </c>
      <c r="G1957">
        <v>117</v>
      </c>
      <c r="H1957">
        <v>547</v>
      </c>
      <c r="I1957">
        <v>1555</v>
      </c>
      <c r="J1957">
        <v>1</v>
      </c>
      <c r="K1957">
        <v>1</v>
      </c>
      <c r="L1957">
        <v>1000</v>
      </c>
      <c r="M1957">
        <v>1</v>
      </c>
      <c r="N1957">
        <v>0</v>
      </c>
      <c r="O1957">
        <v>3378</v>
      </c>
    </row>
    <row r="1958" spans="1:15" x14ac:dyDescent="0.25">
      <c r="A1958" t="s">
        <v>1971</v>
      </c>
      <c r="B1958">
        <v>448</v>
      </c>
      <c r="C1958" s="1" t="str">
        <f>HYPERLINK("http://www.rosaceae.org/gb/gbrowse/malus_x_domestica/?name=MDP0000929983","MDP0000929983")</f>
        <v>MDP0000929983</v>
      </c>
      <c r="D1958">
        <v>71.989999999999995</v>
      </c>
      <c r="E1958">
        <v>457</v>
      </c>
      <c r="F1958">
        <v>128</v>
      </c>
      <c r="G1958">
        <v>20</v>
      </c>
      <c r="H1958">
        <v>1</v>
      </c>
      <c r="I1958">
        <v>448</v>
      </c>
      <c r="J1958">
        <v>1</v>
      </c>
      <c r="K1958">
        <v>1</v>
      </c>
      <c r="L1958">
        <v>446</v>
      </c>
      <c r="M1958">
        <v>1</v>
      </c>
      <c r="N1958">
        <v>0</v>
      </c>
      <c r="O1958">
        <v>1711</v>
      </c>
    </row>
    <row r="1959" spans="1:15" x14ac:dyDescent="0.25">
      <c r="A1959" t="s">
        <v>1972</v>
      </c>
      <c r="B1959">
        <v>392</v>
      </c>
      <c r="C1959" s="1" t="str">
        <f>HYPERLINK("http://www.rosaceae.org/gb/gbrowse/malus_x_domestica/?name=MDP0000171418","MDP0000171418")</f>
        <v>MDP0000171418</v>
      </c>
      <c r="D1959">
        <v>32.67</v>
      </c>
      <c r="E1959">
        <v>306</v>
      </c>
      <c r="F1959">
        <v>206</v>
      </c>
      <c r="G1959">
        <v>22</v>
      </c>
      <c r="H1959">
        <v>1</v>
      </c>
      <c r="I1959">
        <v>289</v>
      </c>
      <c r="J1959">
        <v>1</v>
      </c>
      <c r="K1959">
        <v>43</v>
      </c>
      <c r="L1959">
        <v>343</v>
      </c>
      <c r="M1959">
        <v>1</v>
      </c>
      <c r="N1959">
        <v>8.2726000000000002E-44</v>
      </c>
      <c r="O1959">
        <v>443</v>
      </c>
    </row>
    <row r="1960" spans="1:15" x14ac:dyDescent="0.25">
      <c r="A1960" t="s">
        <v>1973</v>
      </c>
      <c r="B1960">
        <v>349</v>
      </c>
      <c r="C1960" s="1" t="str">
        <f>HYPERLINK("http://www.rosaceae.org/gb/gbrowse/malus_x_domestica/?name=MDP0000140106","MDP0000140106")</f>
        <v>MDP0000140106</v>
      </c>
      <c r="D1960">
        <v>61.53</v>
      </c>
      <c r="E1960">
        <v>286</v>
      </c>
      <c r="F1960">
        <v>110</v>
      </c>
      <c r="G1960">
        <v>2</v>
      </c>
      <c r="H1960">
        <v>2</v>
      </c>
      <c r="I1960">
        <v>286</v>
      </c>
      <c r="J1960">
        <v>1</v>
      </c>
      <c r="K1960">
        <v>5</v>
      </c>
      <c r="L1960">
        <v>289</v>
      </c>
      <c r="M1960">
        <v>1</v>
      </c>
      <c r="N1960">
        <v>4.2347999999999999E-94</v>
      </c>
      <c r="O1960">
        <v>876</v>
      </c>
    </row>
    <row r="1961" spans="1:15" x14ac:dyDescent="0.25">
      <c r="A1961" t="s">
        <v>1974</v>
      </c>
      <c r="B1961">
        <v>787</v>
      </c>
      <c r="C1961" s="1" t="str">
        <f>HYPERLINK("http://www.rosaceae.org/gb/gbrowse/malus_x_domestica/?name=MDP0000195025","MDP0000195025")</f>
        <v>MDP0000195025</v>
      </c>
      <c r="D1961">
        <v>46.36</v>
      </c>
      <c r="E1961">
        <v>578</v>
      </c>
      <c r="F1961">
        <v>310</v>
      </c>
      <c r="G1961">
        <v>94</v>
      </c>
      <c r="H1961">
        <v>24</v>
      </c>
      <c r="I1961">
        <v>559</v>
      </c>
      <c r="J1961">
        <v>1</v>
      </c>
      <c r="K1961">
        <v>2</v>
      </c>
      <c r="L1961">
        <v>527</v>
      </c>
      <c r="M1961">
        <v>1</v>
      </c>
      <c r="N1961">
        <v>6.3214700000000003E-136</v>
      </c>
      <c r="O1961">
        <v>1241</v>
      </c>
    </row>
    <row r="1962" spans="1:15" x14ac:dyDescent="0.25">
      <c r="A1962" t="s">
        <v>1975</v>
      </c>
      <c r="B1962">
        <v>481</v>
      </c>
      <c r="C1962" s="1" t="str">
        <f>HYPERLINK("http://www.rosaceae.org/gb/gbrowse/malus_x_domestica/?name=MDP0000126820","MDP0000126820")</f>
        <v>MDP0000126820</v>
      </c>
      <c r="D1962">
        <v>44.39</v>
      </c>
      <c r="E1962">
        <v>428</v>
      </c>
      <c r="F1962">
        <v>238</v>
      </c>
      <c r="G1962">
        <v>59</v>
      </c>
      <c r="H1962">
        <v>1</v>
      </c>
      <c r="I1962">
        <v>411</v>
      </c>
      <c r="J1962">
        <v>1</v>
      </c>
      <c r="K1962">
        <v>1</v>
      </c>
      <c r="L1962">
        <v>386</v>
      </c>
      <c r="M1962">
        <v>1</v>
      </c>
      <c r="N1962">
        <v>3.0359799999999999E-72</v>
      </c>
      <c r="O1962">
        <v>689</v>
      </c>
    </row>
    <row r="1963" spans="1:15" x14ac:dyDescent="0.25">
      <c r="A1963" t="s">
        <v>1976</v>
      </c>
      <c r="B1963">
        <v>1031</v>
      </c>
      <c r="C1963" s="1" t="str">
        <f>HYPERLINK("http://www.rosaceae.org/gb/gbrowse/malus_x_domestica/?name=MDP0000213808","MDP0000213808")</f>
        <v>MDP0000213808</v>
      </c>
      <c r="D1963">
        <v>79.2</v>
      </c>
      <c r="E1963">
        <v>1077</v>
      </c>
      <c r="F1963">
        <v>224</v>
      </c>
      <c r="G1963">
        <v>61</v>
      </c>
      <c r="H1963">
        <v>1</v>
      </c>
      <c r="I1963">
        <v>1031</v>
      </c>
      <c r="J1963">
        <v>1</v>
      </c>
      <c r="K1963">
        <v>1</v>
      </c>
      <c r="L1963">
        <v>1062</v>
      </c>
      <c r="M1963">
        <v>1</v>
      </c>
      <c r="N1963">
        <v>0</v>
      </c>
      <c r="O1963">
        <v>4360</v>
      </c>
    </row>
    <row r="1964" spans="1:15" x14ac:dyDescent="0.25">
      <c r="A1964" t="s">
        <v>1977</v>
      </c>
      <c r="B1964">
        <v>332</v>
      </c>
      <c r="C1964" s="1" t="str">
        <f>HYPERLINK("http://www.rosaceae.org/gb/gbrowse/malus_x_domestica/?name=MDP0000124634","MDP0000124634")</f>
        <v>MDP0000124634</v>
      </c>
      <c r="D1964">
        <v>47.25</v>
      </c>
      <c r="E1964">
        <v>91</v>
      </c>
      <c r="F1964">
        <v>48</v>
      </c>
      <c r="G1964">
        <v>11</v>
      </c>
      <c r="H1964">
        <v>193</v>
      </c>
      <c r="I1964">
        <v>275</v>
      </c>
      <c r="J1964">
        <v>1</v>
      </c>
      <c r="K1964">
        <v>77</v>
      </c>
      <c r="L1964">
        <v>164</v>
      </c>
      <c r="M1964">
        <v>1</v>
      </c>
      <c r="N1964">
        <v>4.5358299999999997E-12</v>
      </c>
      <c r="O1964">
        <v>169</v>
      </c>
    </row>
    <row r="1965" spans="1:15" x14ac:dyDescent="0.25">
      <c r="A1965" t="s">
        <v>1978</v>
      </c>
      <c r="B1965">
        <v>427</v>
      </c>
      <c r="C1965" s="1" t="str">
        <f>HYPERLINK("http://www.rosaceae.org/gb/gbrowse/malus_x_domestica/?name=MDP0000228579","MDP0000228579")</f>
        <v>MDP0000228579</v>
      </c>
      <c r="D1965">
        <v>50.86</v>
      </c>
      <c r="E1965">
        <v>464</v>
      </c>
      <c r="F1965">
        <v>228</v>
      </c>
      <c r="G1965">
        <v>70</v>
      </c>
      <c r="H1965">
        <v>20</v>
      </c>
      <c r="I1965">
        <v>422</v>
      </c>
      <c r="J1965">
        <v>1</v>
      </c>
      <c r="K1965">
        <v>128</v>
      </c>
      <c r="L1965">
        <v>582</v>
      </c>
      <c r="M1965">
        <v>1</v>
      </c>
      <c r="N1965">
        <v>3.1540399999999998E-117</v>
      </c>
      <c r="O1965">
        <v>1077</v>
      </c>
    </row>
    <row r="1966" spans="1:15" x14ac:dyDescent="0.25">
      <c r="A1966" t="s">
        <v>1979</v>
      </c>
      <c r="B1966">
        <v>164</v>
      </c>
      <c r="C1966" s="1" t="str">
        <f>HYPERLINK("http://www.rosaceae.org/gb/gbrowse/malus_x_domestica/?name=MDP0000573478","MDP0000573478")</f>
        <v>MDP0000573478</v>
      </c>
      <c r="D1966">
        <v>37.33</v>
      </c>
      <c r="E1966">
        <v>150</v>
      </c>
      <c r="F1966">
        <v>94</v>
      </c>
      <c r="G1966">
        <v>19</v>
      </c>
      <c r="H1966">
        <v>1</v>
      </c>
      <c r="I1966">
        <v>131</v>
      </c>
      <c r="J1966">
        <v>1</v>
      </c>
      <c r="K1966">
        <v>1</v>
      </c>
      <c r="L1966">
        <v>150</v>
      </c>
      <c r="M1966">
        <v>1</v>
      </c>
      <c r="N1966">
        <v>8.5151100000000005E-13</v>
      </c>
      <c r="O1966">
        <v>170</v>
      </c>
    </row>
    <row r="1967" spans="1:15" x14ac:dyDescent="0.25">
      <c r="A1967" t="s">
        <v>1980</v>
      </c>
      <c r="B1967">
        <v>742</v>
      </c>
      <c r="C1967" s="1" t="str">
        <f>HYPERLINK("http://www.rosaceae.org/gb/gbrowse/malus_x_domestica/?name=MDP0000296063","MDP0000296063")</f>
        <v>MDP0000296063</v>
      </c>
      <c r="D1967">
        <v>62.67</v>
      </c>
      <c r="E1967">
        <v>793</v>
      </c>
      <c r="F1967">
        <v>296</v>
      </c>
      <c r="G1967">
        <v>72</v>
      </c>
      <c r="H1967">
        <v>1</v>
      </c>
      <c r="I1967">
        <v>742</v>
      </c>
      <c r="J1967">
        <v>1</v>
      </c>
      <c r="K1967">
        <v>1</v>
      </c>
      <c r="L1967">
        <v>772</v>
      </c>
      <c r="M1967">
        <v>1</v>
      </c>
      <c r="N1967">
        <v>0</v>
      </c>
      <c r="O1967">
        <v>2385</v>
      </c>
    </row>
    <row r="1968" spans="1:15" x14ac:dyDescent="0.25">
      <c r="A1968" t="s">
        <v>1981</v>
      </c>
      <c r="B1968">
        <v>102</v>
      </c>
      <c r="C1968" s="1" t="str">
        <f>HYPERLINK("http://www.rosaceae.org/gb/gbrowse/malus_x_domestica/?name=MDP0000472203","MDP0000472203")</f>
        <v>MDP0000472203</v>
      </c>
      <c r="D1968">
        <v>80.39</v>
      </c>
      <c r="E1968">
        <v>102</v>
      </c>
      <c r="F1968">
        <v>20</v>
      </c>
      <c r="G1968">
        <v>0</v>
      </c>
      <c r="H1968">
        <v>1</v>
      </c>
      <c r="I1968">
        <v>102</v>
      </c>
      <c r="J1968">
        <v>1</v>
      </c>
      <c r="K1968">
        <v>41</v>
      </c>
      <c r="L1968">
        <v>142</v>
      </c>
      <c r="M1968">
        <v>1</v>
      </c>
      <c r="N1968">
        <v>6.7517400000000003E-43</v>
      </c>
      <c r="O1968">
        <v>427</v>
      </c>
    </row>
    <row r="1969" spans="1:15" x14ac:dyDescent="0.25">
      <c r="A1969" t="s">
        <v>1982</v>
      </c>
      <c r="B1969">
        <v>498</v>
      </c>
      <c r="C1969" s="1" t="str">
        <f>HYPERLINK("http://www.rosaceae.org/gb/gbrowse/malus_x_domestica/?name=MDP0000261960","MDP0000261960")</f>
        <v>MDP0000261960</v>
      </c>
      <c r="D1969">
        <v>59.1</v>
      </c>
      <c r="E1969">
        <v>401</v>
      </c>
      <c r="F1969">
        <v>164</v>
      </c>
      <c r="G1969">
        <v>2</v>
      </c>
      <c r="H1969">
        <v>1</v>
      </c>
      <c r="I1969">
        <v>400</v>
      </c>
      <c r="J1969">
        <v>1</v>
      </c>
      <c r="K1969">
        <v>1</v>
      </c>
      <c r="L1969">
        <v>400</v>
      </c>
      <c r="M1969">
        <v>1</v>
      </c>
      <c r="N1969">
        <v>8.4164500000000003E-140</v>
      </c>
      <c r="O1969">
        <v>1272</v>
      </c>
    </row>
    <row r="1970" spans="1:15" x14ac:dyDescent="0.25">
      <c r="A1970" t="s">
        <v>1983</v>
      </c>
      <c r="B1970">
        <v>105</v>
      </c>
      <c r="C1970" s="1" t="str">
        <f>HYPERLINK("http://www.rosaceae.org/gb/gbrowse/malus_x_domestica/?name=MDP0000464702","MDP0000464702")</f>
        <v>MDP0000464702</v>
      </c>
      <c r="D1970">
        <v>92.15</v>
      </c>
      <c r="E1970">
        <v>102</v>
      </c>
      <c r="F1970">
        <v>8</v>
      </c>
      <c r="G1970">
        <v>0</v>
      </c>
      <c r="H1970">
        <v>1</v>
      </c>
      <c r="I1970">
        <v>102</v>
      </c>
      <c r="J1970">
        <v>1</v>
      </c>
      <c r="K1970">
        <v>45</v>
      </c>
      <c r="L1970">
        <v>146</v>
      </c>
      <c r="M1970">
        <v>1</v>
      </c>
      <c r="N1970">
        <v>3.2242600000000001E-54</v>
      </c>
      <c r="O1970">
        <v>525</v>
      </c>
    </row>
    <row r="1971" spans="1:15" x14ac:dyDescent="0.25">
      <c r="A1971" t="s">
        <v>1984</v>
      </c>
      <c r="B1971">
        <v>326</v>
      </c>
      <c r="C1971" s="1" t="str">
        <f>HYPERLINK("http://www.rosaceae.org/gb/gbrowse/malus_x_domestica/?name=MDP0000230915","MDP0000230915")</f>
        <v>MDP0000230915</v>
      </c>
      <c r="D1971">
        <v>61.22</v>
      </c>
      <c r="E1971">
        <v>49</v>
      </c>
      <c r="F1971">
        <v>19</v>
      </c>
      <c r="G1971">
        <v>0</v>
      </c>
      <c r="H1971">
        <v>9</v>
      </c>
      <c r="I1971">
        <v>57</v>
      </c>
      <c r="J1971">
        <v>1</v>
      </c>
      <c r="K1971">
        <v>192</v>
      </c>
      <c r="L1971">
        <v>240</v>
      </c>
      <c r="M1971">
        <v>1</v>
      </c>
      <c r="N1971">
        <v>1.2030700000000001E-8</v>
      </c>
      <c r="O1971">
        <v>139</v>
      </c>
    </row>
    <row r="1972" spans="1:15" x14ac:dyDescent="0.25">
      <c r="A1972" t="s">
        <v>1985</v>
      </c>
      <c r="B1972">
        <v>255</v>
      </c>
      <c r="C1972" s="1" t="str">
        <f>HYPERLINK("http://www.rosaceae.org/gb/gbrowse/malus_x_domestica/?name=MDP0000189513","MDP0000189513")</f>
        <v>MDP0000189513</v>
      </c>
      <c r="D1972">
        <v>46.15</v>
      </c>
      <c r="E1972">
        <v>91</v>
      </c>
      <c r="F1972">
        <v>49</v>
      </c>
      <c r="G1972">
        <v>8</v>
      </c>
      <c r="H1972">
        <v>107</v>
      </c>
      <c r="I1972">
        <v>189</v>
      </c>
      <c r="J1972">
        <v>1</v>
      </c>
      <c r="K1972">
        <v>1397</v>
      </c>
      <c r="L1972">
        <v>1487</v>
      </c>
      <c r="M1972">
        <v>1</v>
      </c>
      <c r="N1972">
        <v>1.7555400000000001E-14</v>
      </c>
      <c r="O1972">
        <v>188</v>
      </c>
    </row>
    <row r="1973" spans="1:15" x14ac:dyDescent="0.25">
      <c r="A1973" t="s">
        <v>1986</v>
      </c>
      <c r="B1973">
        <v>481</v>
      </c>
      <c r="C1973" s="1" t="str">
        <f>HYPERLINK("http://www.rosaceae.org/gb/gbrowse/malus_x_domestica/?name=MDP0000871402","MDP0000871402")</f>
        <v>MDP0000871402</v>
      </c>
      <c r="D1973">
        <v>56.23</v>
      </c>
      <c r="E1973">
        <v>505</v>
      </c>
      <c r="F1973">
        <v>221</v>
      </c>
      <c r="G1973">
        <v>47</v>
      </c>
      <c r="H1973">
        <v>11</v>
      </c>
      <c r="I1973">
        <v>480</v>
      </c>
      <c r="J1973">
        <v>1</v>
      </c>
      <c r="K1973">
        <v>27</v>
      </c>
      <c r="L1973">
        <v>519</v>
      </c>
      <c r="M1973">
        <v>1</v>
      </c>
      <c r="N1973">
        <v>7.3234200000000004E-143</v>
      </c>
      <c r="O1973">
        <v>1298</v>
      </c>
    </row>
    <row r="1974" spans="1:15" x14ac:dyDescent="0.25">
      <c r="A1974" t="s">
        <v>1987</v>
      </c>
      <c r="B1974">
        <v>118</v>
      </c>
      <c r="C1974" s="1" t="str">
        <f>HYPERLINK("http://www.rosaceae.org/gb/gbrowse/malus_x_domestica/?name=MDP0000215213","MDP0000215213")</f>
        <v>MDP0000215213</v>
      </c>
      <c r="D1974">
        <v>74.22</v>
      </c>
      <c r="E1974">
        <v>97</v>
      </c>
      <c r="F1974">
        <v>25</v>
      </c>
      <c r="G1974">
        <v>2</v>
      </c>
      <c r="H1974">
        <v>15</v>
      </c>
      <c r="I1974">
        <v>111</v>
      </c>
      <c r="J1974">
        <v>1</v>
      </c>
      <c r="K1974">
        <v>9</v>
      </c>
      <c r="L1974">
        <v>103</v>
      </c>
      <c r="M1974">
        <v>1</v>
      </c>
      <c r="N1974">
        <v>1.5276699999999999E-37</v>
      </c>
      <c r="O1974">
        <v>381</v>
      </c>
    </row>
    <row r="1975" spans="1:15" x14ac:dyDescent="0.25">
      <c r="A1975" t="s">
        <v>1988</v>
      </c>
      <c r="B1975">
        <v>341</v>
      </c>
      <c r="C1975" s="1" t="str">
        <f>HYPERLINK("http://www.rosaceae.org/gb/gbrowse/malus_x_domestica/?name=MDP0000334473","MDP0000334473")</f>
        <v>MDP0000334473</v>
      </c>
      <c r="D1975">
        <v>87.42</v>
      </c>
      <c r="E1975">
        <v>342</v>
      </c>
      <c r="F1975">
        <v>43</v>
      </c>
      <c r="G1975">
        <v>2</v>
      </c>
      <c r="H1975">
        <v>1</v>
      </c>
      <c r="I1975">
        <v>341</v>
      </c>
      <c r="J1975">
        <v>1</v>
      </c>
      <c r="K1975">
        <v>1</v>
      </c>
      <c r="L1975">
        <v>341</v>
      </c>
      <c r="M1975">
        <v>1</v>
      </c>
      <c r="N1975">
        <v>6.6033099999999996E-174</v>
      </c>
      <c r="O1975">
        <v>1564</v>
      </c>
    </row>
    <row r="1976" spans="1:15" x14ac:dyDescent="0.25">
      <c r="A1976" t="s">
        <v>1989</v>
      </c>
      <c r="B1976">
        <v>220</v>
      </c>
      <c r="C1976" s="1" t="str">
        <f>HYPERLINK("http://www.rosaceae.org/gb/gbrowse/malus_x_domestica/?name=MDP0000242664","MDP0000242664")</f>
        <v>MDP0000242664</v>
      </c>
      <c r="D1976">
        <v>98.13</v>
      </c>
      <c r="E1976">
        <v>161</v>
      </c>
      <c r="F1976">
        <v>3</v>
      </c>
      <c r="G1976">
        <v>0</v>
      </c>
      <c r="H1976">
        <v>56</v>
      </c>
      <c r="I1976">
        <v>216</v>
      </c>
      <c r="J1976">
        <v>1</v>
      </c>
      <c r="K1976">
        <v>1</v>
      </c>
      <c r="L1976">
        <v>161</v>
      </c>
      <c r="M1976">
        <v>1</v>
      </c>
      <c r="N1976">
        <v>1.3596299999999999E-89</v>
      </c>
      <c r="O1976">
        <v>835</v>
      </c>
    </row>
    <row r="1977" spans="1:15" x14ac:dyDescent="0.25">
      <c r="A1977" t="s">
        <v>1990</v>
      </c>
      <c r="B1977">
        <v>234</v>
      </c>
      <c r="C1977" s="1" t="str">
        <f>HYPERLINK("http://www.rosaceae.org/gb/gbrowse/malus_x_domestica/?name=MDP0000197744","MDP0000197744")</f>
        <v>MDP0000197744</v>
      </c>
      <c r="D1977">
        <v>59.18</v>
      </c>
      <c r="E1977">
        <v>49</v>
      </c>
      <c r="F1977">
        <v>20</v>
      </c>
      <c r="G1977">
        <v>0</v>
      </c>
      <c r="H1977">
        <v>52</v>
      </c>
      <c r="I1977">
        <v>100</v>
      </c>
      <c r="J1977">
        <v>1</v>
      </c>
      <c r="K1977">
        <v>45</v>
      </c>
      <c r="L1977">
        <v>93</v>
      </c>
      <c r="M1977">
        <v>1</v>
      </c>
      <c r="N1977">
        <v>9.3821000000000001E-11</v>
      </c>
      <c r="O1977">
        <v>155</v>
      </c>
    </row>
    <row r="1978" spans="1:15" x14ac:dyDescent="0.25">
      <c r="A1978" t="s">
        <v>1991</v>
      </c>
      <c r="B1978">
        <v>658</v>
      </c>
      <c r="C1978" s="1" t="str">
        <f>HYPERLINK("http://www.rosaceae.org/gb/gbrowse/malus_x_domestica/?name=MDP0000156132","MDP0000156132")</f>
        <v>MDP0000156132</v>
      </c>
      <c r="D1978">
        <v>36.51</v>
      </c>
      <c r="E1978">
        <v>178</v>
      </c>
      <c r="F1978">
        <v>113</v>
      </c>
      <c r="G1978">
        <v>14</v>
      </c>
      <c r="H1978">
        <v>467</v>
      </c>
      <c r="I1978">
        <v>640</v>
      </c>
      <c r="J1978">
        <v>1</v>
      </c>
      <c r="K1978">
        <v>378</v>
      </c>
      <c r="L1978">
        <v>545</v>
      </c>
      <c r="M1978">
        <v>1</v>
      </c>
      <c r="N1978">
        <v>5.0514700000000002E-26</v>
      </c>
      <c r="O1978">
        <v>292</v>
      </c>
    </row>
    <row r="1979" spans="1:15" x14ac:dyDescent="0.25">
      <c r="A1979" t="s">
        <v>1992</v>
      </c>
      <c r="B1979">
        <v>525</v>
      </c>
      <c r="C1979" s="1" t="str">
        <f>HYPERLINK("http://www.rosaceae.org/gb/gbrowse/malus_x_domestica/?name=MDP0000033670","MDP0000033670")</f>
        <v>MDP0000033670</v>
      </c>
      <c r="D1979">
        <v>82.97</v>
      </c>
      <c r="E1979">
        <v>505</v>
      </c>
      <c r="F1979">
        <v>86</v>
      </c>
      <c r="G1979">
        <v>0</v>
      </c>
      <c r="H1979">
        <v>8</v>
      </c>
      <c r="I1979">
        <v>512</v>
      </c>
      <c r="J1979">
        <v>1</v>
      </c>
      <c r="K1979">
        <v>1</v>
      </c>
      <c r="L1979">
        <v>505</v>
      </c>
      <c r="M1979">
        <v>1</v>
      </c>
      <c r="N1979">
        <v>0</v>
      </c>
      <c r="O1979">
        <v>2215</v>
      </c>
    </row>
    <row r="1980" spans="1:15" x14ac:dyDescent="0.25">
      <c r="A1980" t="s">
        <v>1993</v>
      </c>
      <c r="B1980">
        <v>628</v>
      </c>
      <c r="C1980" s="1" t="str">
        <f>HYPERLINK("http://www.rosaceae.org/gb/gbrowse/malus_x_domestica/?name=MDP0000875888","MDP0000875888")</f>
        <v>MDP0000875888</v>
      </c>
      <c r="D1980">
        <v>75.92</v>
      </c>
      <c r="E1980">
        <v>432</v>
      </c>
      <c r="F1980">
        <v>104</v>
      </c>
      <c r="G1980">
        <v>4</v>
      </c>
      <c r="H1980">
        <v>34</v>
      </c>
      <c r="I1980">
        <v>461</v>
      </c>
      <c r="J1980">
        <v>1</v>
      </c>
      <c r="K1980">
        <v>20</v>
      </c>
      <c r="L1980">
        <v>451</v>
      </c>
      <c r="M1980">
        <v>1</v>
      </c>
      <c r="N1980">
        <v>0</v>
      </c>
      <c r="O1980">
        <v>1833</v>
      </c>
    </row>
    <row r="1981" spans="1:15" x14ac:dyDescent="0.25">
      <c r="A1981" t="s">
        <v>1994</v>
      </c>
      <c r="B1981">
        <v>260</v>
      </c>
      <c r="C1981" s="1" t="str">
        <f>HYPERLINK("http://www.rosaceae.org/gb/gbrowse/malus_x_domestica/?name=MDP0000253030","MDP0000253030")</f>
        <v>MDP0000253030</v>
      </c>
      <c r="D1981">
        <v>49.03</v>
      </c>
      <c r="E1981">
        <v>363</v>
      </c>
      <c r="F1981">
        <v>185</v>
      </c>
      <c r="G1981">
        <v>110</v>
      </c>
      <c r="H1981">
        <v>1</v>
      </c>
      <c r="I1981">
        <v>255</v>
      </c>
      <c r="J1981">
        <v>1</v>
      </c>
      <c r="K1981">
        <v>46</v>
      </c>
      <c r="L1981">
        <v>406</v>
      </c>
      <c r="M1981">
        <v>1</v>
      </c>
      <c r="N1981">
        <v>2.0897099999999999E-70</v>
      </c>
      <c r="O1981">
        <v>670</v>
      </c>
    </row>
    <row r="1982" spans="1:15" x14ac:dyDescent="0.25">
      <c r="A1982" t="s">
        <v>1995</v>
      </c>
      <c r="B1982">
        <v>439</v>
      </c>
      <c r="C1982" s="1" t="str">
        <f>HYPERLINK("http://www.rosaceae.org/gb/gbrowse/malus_x_domestica/?name=MDP0000248768","MDP0000248768")</f>
        <v>MDP0000248768</v>
      </c>
      <c r="D1982">
        <v>61.13</v>
      </c>
      <c r="E1982">
        <v>422</v>
      </c>
      <c r="F1982">
        <v>164</v>
      </c>
      <c r="G1982">
        <v>18</v>
      </c>
      <c r="H1982">
        <v>21</v>
      </c>
      <c r="I1982">
        <v>439</v>
      </c>
      <c r="J1982">
        <v>1</v>
      </c>
      <c r="K1982">
        <v>7</v>
      </c>
      <c r="L1982">
        <v>413</v>
      </c>
      <c r="M1982">
        <v>1</v>
      </c>
      <c r="N1982">
        <v>6.9969499999999999E-143</v>
      </c>
      <c r="O1982">
        <v>1298</v>
      </c>
    </row>
    <row r="1983" spans="1:15" x14ac:dyDescent="0.25">
      <c r="A1983" t="s">
        <v>1996</v>
      </c>
      <c r="B1983">
        <v>300</v>
      </c>
      <c r="C1983" s="1" t="str">
        <f>HYPERLINK("http://www.rosaceae.org/gb/gbrowse/malus_x_domestica/?name=MDP0000162566","MDP0000162566")</f>
        <v>MDP0000162566</v>
      </c>
      <c r="D1983">
        <v>39.18</v>
      </c>
      <c r="E1983">
        <v>319</v>
      </c>
      <c r="F1983">
        <v>194</v>
      </c>
      <c r="G1983">
        <v>81</v>
      </c>
      <c r="H1983">
        <v>9</v>
      </c>
      <c r="I1983">
        <v>288</v>
      </c>
      <c r="J1983">
        <v>1</v>
      </c>
      <c r="K1983">
        <v>320</v>
      </c>
      <c r="L1983">
        <v>596</v>
      </c>
      <c r="M1983">
        <v>1</v>
      </c>
      <c r="N1983">
        <v>2.3192799999999999E-50</v>
      </c>
      <c r="O1983">
        <v>498</v>
      </c>
    </row>
    <row r="1984" spans="1:15" x14ac:dyDescent="0.25">
      <c r="A1984" t="s">
        <v>1997</v>
      </c>
      <c r="B1984">
        <v>520</v>
      </c>
      <c r="C1984" s="1" t="str">
        <f>HYPERLINK("http://www.rosaceae.org/gb/gbrowse/malus_x_domestica/?name=MDP0000119597","MDP0000119597")</f>
        <v>MDP0000119597</v>
      </c>
      <c r="D1984">
        <v>50.27</v>
      </c>
      <c r="E1984">
        <v>537</v>
      </c>
      <c r="F1984">
        <v>267</v>
      </c>
      <c r="G1984">
        <v>47</v>
      </c>
      <c r="H1984">
        <v>20</v>
      </c>
      <c r="I1984">
        <v>519</v>
      </c>
      <c r="J1984">
        <v>1</v>
      </c>
      <c r="K1984">
        <v>23</v>
      </c>
      <c r="L1984">
        <v>549</v>
      </c>
      <c r="M1984">
        <v>1</v>
      </c>
      <c r="N1984">
        <v>6.4998000000000003E-127</v>
      </c>
      <c r="O1984">
        <v>1161</v>
      </c>
    </row>
    <row r="1985" spans="1:15" x14ac:dyDescent="0.25">
      <c r="A1985" t="s">
        <v>1998</v>
      </c>
      <c r="B1985">
        <v>617</v>
      </c>
      <c r="C1985" s="1" t="str">
        <f>HYPERLINK("http://www.rosaceae.org/gb/gbrowse/malus_x_domestica/?name=MDP0000866748","MDP0000866748")</f>
        <v>MDP0000866748</v>
      </c>
      <c r="D1985">
        <v>85.12</v>
      </c>
      <c r="E1985">
        <v>605</v>
      </c>
      <c r="F1985">
        <v>90</v>
      </c>
      <c r="G1985">
        <v>35</v>
      </c>
      <c r="H1985">
        <v>48</v>
      </c>
      <c r="I1985">
        <v>617</v>
      </c>
      <c r="J1985">
        <v>1</v>
      </c>
      <c r="K1985">
        <v>48</v>
      </c>
      <c r="L1985">
        <v>652</v>
      </c>
      <c r="M1985">
        <v>1</v>
      </c>
      <c r="N1985">
        <v>0</v>
      </c>
      <c r="O1985">
        <v>2641</v>
      </c>
    </row>
    <row r="1986" spans="1:15" x14ac:dyDescent="0.25">
      <c r="A1986" t="s">
        <v>1999</v>
      </c>
      <c r="B1986">
        <v>329</v>
      </c>
      <c r="C1986" s="1" t="str">
        <f>HYPERLINK("http://www.rosaceae.org/gb/gbrowse/malus_x_domestica/?name=MDP0000123825","MDP0000123825")</f>
        <v>MDP0000123825</v>
      </c>
      <c r="D1986">
        <v>44.52</v>
      </c>
      <c r="E1986">
        <v>137</v>
      </c>
      <c r="F1986">
        <v>76</v>
      </c>
      <c r="G1986">
        <v>4</v>
      </c>
      <c r="H1986">
        <v>69</v>
      </c>
      <c r="I1986">
        <v>204</v>
      </c>
      <c r="J1986">
        <v>1</v>
      </c>
      <c r="K1986">
        <v>195</v>
      </c>
      <c r="L1986">
        <v>328</v>
      </c>
      <c r="M1986">
        <v>1</v>
      </c>
      <c r="N1986">
        <v>2.1947500000000002E-24</v>
      </c>
      <c r="O1986">
        <v>275</v>
      </c>
    </row>
    <row r="1987" spans="1:15" x14ac:dyDescent="0.25">
      <c r="A1987" t="s">
        <v>2000</v>
      </c>
      <c r="B1987">
        <v>319</v>
      </c>
      <c r="C1987" s="1" t="str">
        <f>HYPERLINK("http://www.rosaceae.org/gb/gbrowse/malus_x_domestica/?name=MDP0000595671","MDP0000595671")</f>
        <v>MDP0000595671</v>
      </c>
      <c r="D1987">
        <v>64.97</v>
      </c>
      <c r="E1987">
        <v>177</v>
      </c>
      <c r="F1987">
        <v>62</v>
      </c>
      <c r="G1987">
        <v>10</v>
      </c>
      <c r="H1987">
        <v>1</v>
      </c>
      <c r="I1987">
        <v>172</v>
      </c>
      <c r="J1987">
        <v>1</v>
      </c>
      <c r="K1987">
        <v>1</v>
      </c>
      <c r="L1987">
        <v>172</v>
      </c>
      <c r="M1987">
        <v>1</v>
      </c>
      <c r="N1987">
        <v>4.7833299999999998E-58</v>
      </c>
      <c r="O1987">
        <v>565</v>
      </c>
    </row>
    <row r="1988" spans="1:15" x14ac:dyDescent="0.25">
      <c r="A1988" t="s">
        <v>2001</v>
      </c>
      <c r="B1988">
        <v>345</v>
      </c>
      <c r="C1988" s="1" t="str">
        <f>HYPERLINK("http://www.rosaceae.org/gb/gbrowse/malus_x_domestica/?name=MDP0000132214","MDP0000132214")</f>
        <v>MDP0000132214</v>
      </c>
      <c r="D1988">
        <v>59.38</v>
      </c>
      <c r="E1988">
        <v>325</v>
      </c>
      <c r="F1988">
        <v>132</v>
      </c>
      <c r="G1988">
        <v>22</v>
      </c>
      <c r="H1988">
        <v>35</v>
      </c>
      <c r="I1988">
        <v>340</v>
      </c>
      <c r="J1988">
        <v>1</v>
      </c>
      <c r="K1988">
        <v>80</v>
      </c>
      <c r="L1988">
        <v>401</v>
      </c>
      <c r="M1988">
        <v>1</v>
      </c>
      <c r="N1988">
        <v>1.11016E-108</v>
      </c>
      <c r="O1988">
        <v>1002</v>
      </c>
    </row>
    <row r="1989" spans="1:15" x14ac:dyDescent="0.25">
      <c r="A1989" t="s">
        <v>2002</v>
      </c>
      <c r="B1989">
        <v>367</v>
      </c>
      <c r="C1989" s="1" t="str">
        <f>HYPERLINK("http://www.rosaceae.org/gb/gbrowse/malus_x_domestica/?name=MDP0000303268","MDP0000303268")</f>
        <v>MDP0000303268</v>
      </c>
      <c r="D1989">
        <v>90.08</v>
      </c>
      <c r="E1989">
        <v>373</v>
      </c>
      <c r="F1989">
        <v>37</v>
      </c>
      <c r="G1989">
        <v>7</v>
      </c>
      <c r="H1989">
        <v>1</v>
      </c>
      <c r="I1989">
        <v>367</v>
      </c>
      <c r="J1989">
        <v>1</v>
      </c>
      <c r="K1989">
        <v>1</v>
      </c>
      <c r="L1989">
        <v>372</v>
      </c>
      <c r="M1989">
        <v>1</v>
      </c>
      <c r="N1989">
        <v>0</v>
      </c>
      <c r="O1989">
        <v>1811</v>
      </c>
    </row>
    <row r="1990" spans="1:15" x14ac:dyDescent="0.25">
      <c r="A1990" t="s">
        <v>2003</v>
      </c>
      <c r="B1990">
        <v>304</v>
      </c>
      <c r="C1990" s="1" t="str">
        <f>HYPERLINK("http://www.rosaceae.org/gb/gbrowse/malus_x_domestica/?name=MDP0000371499","MDP0000371499")</f>
        <v>MDP0000371499</v>
      </c>
      <c r="D1990">
        <v>79.09</v>
      </c>
      <c r="E1990">
        <v>330</v>
      </c>
      <c r="F1990">
        <v>69</v>
      </c>
      <c r="G1990">
        <v>29</v>
      </c>
      <c r="H1990">
        <v>3</v>
      </c>
      <c r="I1990">
        <v>303</v>
      </c>
      <c r="J1990">
        <v>1</v>
      </c>
      <c r="K1990">
        <v>2</v>
      </c>
      <c r="L1990">
        <v>331</v>
      </c>
      <c r="M1990">
        <v>1</v>
      </c>
      <c r="N1990">
        <v>1.13236E-146</v>
      </c>
      <c r="O1990">
        <v>1329</v>
      </c>
    </row>
    <row r="1991" spans="1:15" x14ac:dyDescent="0.25">
      <c r="A1991" t="s">
        <v>2004</v>
      </c>
      <c r="B1991">
        <v>105</v>
      </c>
      <c r="C1991" s="1" t="str">
        <f>HYPERLINK("http://www.rosaceae.org/gb/gbrowse/malus_x_domestica/?name=MDP0000383809","MDP0000383809")</f>
        <v>MDP0000383809</v>
      </c>
      <c r="D1991">
        <v>44.68</v>
      </c>
      <c r="E1991">
        <v>47</v>
      </c>
      <c r="F1991">
        <v>26</v>
      </c>
      <c r="G1991">
        <v>0</v>
      </c>
      <c r="H1991">
        <v>57</v>
      </c>
      <c r="I1991">
        <v>103</v>
      </c>
      <c r="J1991">
        <v>1</v>
      </c>
      <c r="K1991">
        <v>1366</v>
      </c>
      <c r="L1991">
        <v>1412</v>
      </c>
      <c r="M1991">
        <v>1</v>
      </c>
      <c r="N1991">
        <v>1.27314E-7</v>
      </c>
      <c r="O1991">
        <v>123</v>
      </c>
    </row>
    <row r="1992" spans="1:15" x14ac:dyDescent="0.25">
      <c r="A1992" t="s">
        <v>2005</v>
      </c>
      <c r="B1992">
        <v>431</v>
      </c>
      <c r="C1992" s="1" t="str">
        <f>HYPERLINK("http://www.rosaceae.org/gb/gbrowse/malus_x_domestica/?name=MDP0000196504","MDP0000196504")</f>
        <v>MDP0000196504</v>
      </c>
      <c r="D1992">
        <v>43.3</v>
      </c>
      <c r="E1992">
        <v>284</v>
      </c>
      <c r="F1992">
        <v>161</v>
      </c>
      <c r="G1992">
        <v>27</v>
      </c>
      <c r="H1992">
        <v>12</v>
      </c>
      <c r="I1992">
        <v>290</v>
      </c>
      <c r="J1992">
        <v>1</v>
      </c>
      <c r="K1992">
        <v>10</v>
      </c>
      <c r="L1992">
        <v>271</v>
      </c>
      <c r="M1992">
        <v>1</v>
      </c>
      <c r="N1992">
        <v>1.74498E-43</v>
      </c>
      <c r="O1992">
        <v>441</v>
      </c>
    </row>
    <row r="1993" spans="1:15" x14ac:dyDescent="0.25">
      <c r="A1993" t="s">
        <v>2006</v>
      </c>
      <c r="B1993">
        <v>498</v>
      </c>
      <c r="C1993" s="1" t="str">
        <f>HYPERLINK("http://www.rosaceae.org/gb/gbrowse/malus_x_domestica/?name=MDP0000133367","MDP0000133367")</f>
        <v>MDP0000133367</v>
      </c>
      <c r="D1993">
        <v>72.22</v>
      </c>
      <c r="E1993">
        <v>504</v>
      </c>
      <c r="F1993">
        <v>140</v>
      </c>
      <c r="G1993">
        <v>9</v>
      </c>
      <c r="H1993">
        <v>1</v>
      </c>
      <c r="I1993">
        <v>498</v>
      </c>
      <c r="J1993">
        <v>1</v>
      </c>
      <c r="K1993">
        <v>1</v>
      </c>
      <c r="L1993">
        <v>501</v>
      </c>
      <c r="M1993">
        <v>1</v>
      </c>
      <c r="N1993">
        <v>0</v>
      </c>
      <c r="O1993">
        <v>1962</v>
      </c>
    </row>
    <row r="1994" spans="1:15" x14ac:dyDescent="0.25">
      <c r="A1994" t="s">
        <v>2007</v>
      </c>
      <c r="B1994">
        <v>464</v>
      </c>
      <c r="C1994" s="1" t="str">
        <f>HYPERLINK("http://www.rosaceae.org/gb/gbrowse/malus_x_domestica/?name=MDP0000201466","MDP0000201466")</f>
        <v>MDP0000201466</v>
      </c>
      <c r="D1994">
        <v>46.29</v>
      </c>
      <c r="E1994">
        <v>499</v>
      </c>
      <c r="F1994">
        <v>268</v>
      </c>
      <c r="G1994">
        <v>52</v>
      </c>
      <c r="H1994">
        <v>6</v>
      </c>
      <c r="I1994">
        <v>460</v>
      </c>
      <c r="J1994">
        <v>1</v>
      </c>
      <c r="K1994">
        <v>12</v>
      </c>
      <c r="L1994">
        <v>502</v>
      </c>
      <c r="M1994">
        <v>1</v>
      </c>
      <c r="N1994">
        <v>1.2865899999999999E-110</v>
      </c>
      <c r="O1994">
        <v>1020</v>
      </c>
    </row>
    <row r="1995" spans="1:15" x14ac:dyDescent="0.25">
      <c r="A1995" t="s">
        <v>2008</v>
      </c>
      <c r="B1995">
        <v>693</v>
      </c>
      <c r="C1995" s="1" t="str">
        <f>HYPERLINK("http://www.rosaceae.org/gb/gbrowse/malus_x_domestica/?name=MDP0000129343","MDP0000129343")</f>
        <v>MDP0000129343</v>
      </c>
      <c r="D1995">
        <v>62.5</v>
      </c>
      <c r="E1995">
        <v>608</v>
      </c>
      <c r="F1995">
        <v>228</v>
      </c>
      <c r="G1995">
        <v>56</v>
      </c>
      <c r="H1995">
        <v>90</v>
      </c>
      <c r="I1995">
        <v>691</v>
      </c>
      <c r="J1995">
        <v>1</v>
      </c>
      <c r="K1995">
        <v>96</v>
      </c>
      <c r="L1995">
        <v>653</v>
      </c>
      <c r="M1995">
        <v>1</v>
      </c>
      <c r="N1995">
        <v>0</v>
      </c>
      <c r="O1995">
        <v>1891</v>
      </c>
    </row>
    <row r="1996" spans="1:15" x14ac:dyDescent="0.25">
      <c r="A1996" t="s">
        <v>2009</v>
      </c>
      <c r="B1996">
        <v>356</v>
      </c>
      <c r="C1996" s="1" t="str">
        <f>HYPERLINK("http://www.rosaceae.org/gb/gbrowse/malus_x_domestica/?name=MDP0000225343","MDP0000225343")</f>
        <v>MDP0000225343</v>
      </c>
      <c r="D1996">
        <v>73.86</v>
      </c>
      <c r="E1996">
        <v>199</v>
      </c>
      <c r="F1996">
        <v>52</v>
      </c>
      <c r="G1996">
        <v>5</v>
      </c>
      <c r="H1996">
        <v>159</v>
      </c>
      <c r="I1996">
        <v>356</v>
      </c>
      <c r="J1996">
        <v>1</v>
      </c>
      <c r="K1996">
        <v>1</v>
      </c>
      <c r="L1996">
        <v>195</v>
      </c>
      <c r="M1996">
        <v>1</v>
      </c>
      <c r="N1996">
        <v>7.6540300000000007E-80</v>
      </c>
      <c r="O1996">
        <v>753</v>
      </c>
    </row>
    <row r="1997" spans="1:15" x14ac:dyDescent="0.25">
      <c r="A1997" t="s">
        <v>2010</v>
      </c>
      <c r="B1997">
        <v>157</v>
      </c>
      <c r="C1997" s="1" t="str">
        <f>HYPERLINK("http://www.rosaceae.org/gb/gbrowse/malus_x_domestica/?name=MDP0000194666","MDP0000194666")</f>
        <v>MDP0000194666</v>
      </c>
      <c r="D1997">
        <v>73.290000000000006</v>
      </c>
      <c r="E1997">
        <v>161</v>
      </c>
      <c r="F1997">
        <v>43</v>
      </c>
      <c r="G1997">
        <v>10</v>
      </c>
      <c r="H1997">
        <v>1</v>
      </c>
      <c r="I1997">
        <v>155</v>
      </c>
      <c r="J1997">
        <v>1</v>
      </c>
      <c r="K1997">
        <v>1</v>
      </c>
      <c r="L1997">
        <v>157</v>
      </c>
      <c r="M1997">
        <v>1</v>
      </c>
      <c r="N1997">
        <v>1.06364E-61</v>
      </c>
      <c r="O1997">
        <v>592</v>
      </c>
    </row>
    <row r="1998" spans="1:15" x14ac:dyDescent="0.25">
      <c r="A1998" t="s">
        <v>2011</v>
      </c>
      <c r="B1998">
        <v>317</v>
      </c>
      <c r="C1998" s="1" t="str">
        <f>HYPERLINK("http://www.rosaceae.org/gb/gbrowse/malus_x_domestica/?name=MDP0000317857","MDP0000317857")</f>
        <v>MDP0000317857</v>
      </c>
      <c r="D1998">
        <v>56.87</v>
      </c>
      <c r="E1998">
        <v>320</v>
      </c>
      <c r="F1998">
        <v>138</v>
      </c>
      <c r="G1998">
        <v>43</v>
      </c>
      <c r="H1998">
        <v>1</v>
      </c>
      <c r="I1998">
        <v>293</v>
      </c>
      <c r="J1998">
        <v>1</v>
      </c>
      <c r="K1998">
        <v>1</v>
      </c>
      <c r="L1998">
        <v>304</v>
      </c>
      <c r="M1998">
        <v>1</v>
      </c>
      <c r="N1998">
        <v>1.2006E-74</v>
      </c>
      <c r="O1998">
        <v>708</v>
      </c>
    </row>
    <row r="1999" spans="1:15" x14ac:dyDescent="0.25">
      <c r="A1999" t="s">
        <v>2012</v>
      </c>
      <c r="B1999">
        <v>154</v>
      </c>
      <c r="C1999" s="1" t="str">
        <f>HYPERLINK("http://www.rosaceae.org/gb/gbrowse/malus_x_domestica/?name=MDP0000792734","MDP0000792734")</f>
        <v>MDP0000792734</v>
      </c>
      <c r="D1999">
        <v>52.22</v>
      </c>
      <c r="E1999">
        <v>157</v>
      </c>
      <c r="F1999">
        <v>75</v>
      </c>
      <c r="G1999">
        <v>4</v>
      </c>
      <c r="H1999">
        <v>1</v>
      </c>
      <c r="I1999">
        <v>154</v>
      </c>
      <c r="J1999">
        <v>1</v>
      </c>
      <c r="K1999">
        <v>248</v>
      </c>
      <c r="L1999">
        <v>403</v>
      </c>
      <c r="M1999">
        <v>1</v>
      </c>
      <c r="N1999">
        <v>4.4262700000000002E-37</v>
      </c>
      <c r="O1999">
        <v>379</v>
      </c>
    </row>
    <row r="2000" spans="1:15" x14ac:dyDescent="0.25">
      <c r="A2000" t="s">
        <v>2013</v>
      </c>
      <c r="B2000">
        <v>510</v>
      </c>
      <c r="C2000" s="1" t="str">
        <f>HYPERLINK("http://www.rosaceae.org/gb/gbrowse/malus_x_domestica/?name=MDP0000186402","MDP0000186402")</f>
        <v>MDP0000186402</v>
      </c>
      <c r="D2000">
        <v>31.77</v>
      </c>
      <c r="E2000">
        <v>450</v>
      </c>
      <c r="F2000">
        <v>307</v>
      </c>
      <c r="G2000">
        <v>86</v>
      </c>
      <c r="H2000">
        <v>138</v>
      </c>
      <c r="I2000">
        <v>508</v>
      </c>
      <c r="J2000">
        <v>1</v>
      </c>
      <c r="K2000">
        <v>115</v>
      </c>
      <c r="L2000">
        <v>557</v>
      </c>
      <c r="M2000">
        <v>1</v>
      </c>
      <c r="N2000">
        <v>1.8869E-49</v>
      </c>
      <c r="O2000">
        <v>493</v>
      </c>
    </row>
    <row r="2001" spans="1:15" x14ac:dyDescent="0.25">
      <c r="A2001" t="s">
        <v>2014</v>
      </c>
      <c r="B2001">
        <v>486</v>
      </c>
      <c r="C2001" s="1" t="str">
        <f>HYPERLINK("http://www.rosaceae.org/gb/gbrowse/malus_x_domestica/?name=MDP0000475886","MDP0000475886")</f>
        <v>MDP0000475886</v>
      </c>
      <c r="D2001">
        <v>74.319999999999993</v>
      </c>
      <c r="E2001">
        <v>479</v>
      </c>
      <c r="F2001">
        <v>123</v>
      </c>
      <c r="G2001">
        <v>4</v>
      </c>
      <c r="H2001">
        <v>8</v>
      </c>
      <c r="I2001">
        <v>483</v>
      </c>
      <c r="J2001">
        <v>1</v>
      </c>
      <c r="K2001">
        <v>45</v>
      </c>
      <c r="L2001">
        <v>522</v>
      </c>
      <c r="M2001">
        <v>1</v>
      </c>
      <c r="N2001">
        <v>0</v>
      </c>
      <c r="O2001">
        <v>1945</v>
      </c>
    </row>
    <row r="2002" spans="1:15" x14ac:dyDescent="0.25">
      <c r="A2002" t="s">
        <v>2015</v>
      </c>
      <c r="B2002">
        <v>225</v>
      </c>
      <c r="C2002" s="1" t="str">
        <f>HYPERLINK("http://www.rosaceae.org/gb/gbrowse/malus_x_domestica/?name=MDP0000263256","MDP0000263256")</f>
        <v>MDP0000263256</v>
      </c>
      <c r="D2002">
        <v>35.57</v>
      </c>
      <c r="E2002">
        <v>208</v>
      </c>
      <c r="F2002">
        <v>134</v>
      </c>
      <c r="G2002">
        <v>33</v>
      </c>
      <c r="H2002">
        <v>22</v>
      </c>
      <c r="I2002">
        <v>218</v>
      </c>
      <c r="J2002">
        <v>1</v>
      </c>
      <c r="K2002">
        <v>469</v>
      </c>
      <c r="L2002">
        <v>654</v>
      </c>
      <c r="M2002">
        <v>1</v>
      </c>
      <c r="N2002">
        <v>5.8956900000000003E-21</v>
      </c>
      <c r="O2002">
        <v>243</v>
      </c>
    </row>
    <row r="2003" spans="1:15" x14ac:dyDescent="0.25">
      <c r="A2003" t="s">
        <v>2016</v>
      </c>
      <c r="B2003">
        <v>780</v>
      </c>
      <c r="C2003" s="1" t="str">
        <f>HYPERLINK("http://www.rosaceae.org/gb/gbrowse/malus_x_domestica/?name=MDP0000151477","MDP0000151477")</f>
        <v>MDP0000151477</v>
      </c>
      <c r="D2003">
        <v>82.79</v>
      </c>
      <c r="E2003">
        <v>186</v>
      </c>
      <c r="F2003">
        <v>32</v>
      </c>
      <c r="G2003">
        <v>0</v>
      </c>
      <c r="H2003">
        <v>83</v>
      </c>
      <c r="I2003">
        <v>268</v>
      </c>
      <c r="J2003">
        <v>1</v>
      </c>
      <c r="K2003">
        <v>123</v>
      </c>
      <c r="L2003">
        <v>308</v>
      </c>
      <c r="M2003">
        <v>1</v>
      </c>
      <c r="N2003">
        <v>7.5563499999999996E-89</v>
      </c>
      <c r="O2003">
        <v>835</v>
      </c>
    </row>
    <row r="2004" spans="1:15" x14ac:dyDescent="0.25">
      <c r="A2004" t="s">
        <v>2017</v>
      </c>
      <c r="B2004">
        <v>542</v>
      </c>
      <c r="C2004" s="1" t="str">
        <f>HYPERLINK("http://www.rosaceae.org/gb/gbrowse/malus_x_domestica/?name=MDP0000185764","MDP0000185764")</f>
        <v>MDP0000185764</v>
      </c>
      <c r="D2004">
        <v>63.57</v>
      </c>
      <c r="E2004">
        <v>549</v>
      </c>
      <c r="F2004">
        <v>200</v>
      </c>
      <c r="G2004">
        <v>39</v>
      </c>
      <c r="H2004">
        <v>19</v>
      </c>
      <c r="I2004">
        <v>539</v>
      </c>
      <c r="J2004">
        <v>1</v>
      </c>
      <c r="K2004">
        <v>19</v>
      </c>
      <c r="L2004">
        <v>556</v>
      </c>
      <c r="M2004">
        <v>1</v>
      </c>
      <c r="N2004">
        <v>0</v>
      </c>
      <c r="O2004">
        <v>1725</v>
      </c>
    </row>
    <row r="2005" spans="1:15" x14ac:dyDescent="0.25">
      <c r="A2005" t="s">
        <v>2018</v>
      </c>
      <c r="B2005">
        <v>118</v>
      </c>
      <c r="C2005" s="1" t="str">
        <f>HYPERLINK("http://www.rosaceae.org/gb/gbrowse/malus_x_domestica/?name=MDP0000141631","MDP0000141631")</f>
        <v>MDP0000141631</v>
      </c>
      <c r="D2005">
        <v>80</v>
      </c>
      <c r="E2005">
        <v>110</v>
      </c>
      <c r="F2005">
        <v>22</v>
      </c>
      <c r="G2005">
        <v>0</v>
      </c>
      <c r="H2005">
        <v>1</v>
      </c>
      <c r="I2005">
        <v>110</v>
      </c>
      <c r="J2005">
        <v>1</v>
      </c>
      <c r="K2005">
        <v>1</v>
      </c>
      <c r="L2005">
        <v>110</v>
      </c>
      <c r="M2005">
        <v>1</v>
      </c>
      <c r="N2005">
        <v>7.6209299999999995E-48</v>
      </c>
      <c r="O2005">
        <v>470</v>
      </c>
    </row>
    <row r="2006" spans="1:15" x14ac:dyDescent="0.25">
      <c r="A2006" t="s">
        <v>2019</v>
      </c>
      <c r="B2006">
        <v>267</v>
      </c>
      <c r="C2006" s="1" t="str">
        <f>HYPERLINK("http://www.rosaceae.org/gb/gbrowse/malus_x_domestica/?name=MDP0000555128","MDP0000555128")</f>
        <v>MDP0000555128</v>
      </c>
      <c r="D2006">
        <v>77.599999999999994</v>
      </c>
      <c r="E2006">
        <v>250</v>
      </c>
      <c r="F2006">
        <v>56</v>
      </c>
      <c r="G2006">
        <v>1</v>
      </c>
      <c r="H2006">
        <v>18</v>
      </c>
      <c r="I2006">
        <v>267</v>
      </c>
      <c r="J2006">
        <v>1</v>
      </c>
      <c r="K2006">
        <v>43</v>
      </c>
      <c r="L2006">
        <v>291</v>
      </c>
      <c r="M2006">
        <v>1</v>
      </c>
      <c r="N2006">
        <v>1.32581E-114</v>
      </c>
      <c r="O2006">
        <v>1052</v>
      </c>
    </row>
    <row r="2007" spans="1:15" x14ac:dyDescent="0.25">
      <c r="A2007" t="s">
        <v>2020</v>
      </c>
      <c r="B2007">
        <v>132</v>
      </c>
      <c r="C2007" s="1" t="str">
        <f>HYPERLINK("http://www.rosaceae.org/gb/gbrowse/malus_x_domestica/?name=MDP0000167788","MDP0000167788")</f>
        <v>MDP0000167788</v>
      </c>
      <c r="D2007">
        <v>33.33</v>
      </c>
      <c r="E2007">
        <v>129</v>
      </c>
      <c r="F2007">
        <v>86</v>
      </c>
      <c r="G2007">
        <v>19</v>
      </c>
      <c r="H2007">
        <v>1</v>
      </c>
      <c r="I2007">
        <v>128</v>
      </c>
      <c r="J2007">
        <v>1</v>
      </c>
      <c r="K2007">
        <v>77</v>
      </c>
      <c r="L2007">
        <v>187</v>
      </c>
      <c r="M2007">
        <v>1</v>
      </c>
      <c r="N2007">
        <v>1.44358E-8</v>
      </c>
      <c r="O2007">
        <v>132</v>
      </c>
    </row>
    <row r="2008" spans="1:15" x14ac:dyDescent="0.25">
      <c r="A2008" t="s">
        <v>2021</v>
      </c>
      <c r="B2008">
        <v>211</v>
      </c>
      <c r="C2008" s="1" t="str">
        <f>HYPERLINK("http://www.rosaceae.org/gb/gbrowse/malus_x_domestica/?name=MDP0000142235","MDP0000142235")</f>
        <v>MDP0000142235</v>
      </c>
      <c r="D2008">
        <v>67.41</v>
      </c>
      <c r="E2008">
        <v>89</v>
      </c>
      <c r="F2008">
        <v>29</v>
      </c>
      <c r="G2008">
        <v>0</v>
      </c>
      <c r="H2008">
        <v>117</v>
      </c>
      <c r="I2008">
        <v>205</v>
      </c>
      <c r="J2008">
        <v>1</v>
      </c>
      <c r="K2008">
        <v>238</v>
      </c>
      <c r="L2008">
        <v>326</v>
      </c>
      <c r="M2008">
        <v>1</v>
      </c>
      <c r="N2008">
        <v>6.3536199999999994E-30</v>
      </c>
      <c r="O2008">
        <v>320</v>
      </c>
    </row>
    <row r="2009" spans="1:15" x14ac:dyDescent="0.25">
      <c r="A2009" t="s">
        <v>2022</v>
      </c>
      <c r="B2009">
        <v>183</v>
      </c>
      <c r="C2009" s="1" t="str">
        <f>HYPERLINK("http://www.rosaceae.org/gb/gbrowse/malus_x_domestica/?name=MDP0000350960","MDP0000350960")</f>
        <v>MDP0000350960</v>
      </c>
      <c r="D2009">
        <v>31.77</v>
      </c>
      <c r="E2009">
        <v>107</v>
      </c>
      <c r="F2009">
        <v>73</v>
      </c>
      <c r="G2009">
        <v>4</v>
      </c>
      <c r="H2009">
        <v>79</v>
      </c>
      <c r="I2009">
        <v>182</v>
      </c>
      <c r="J2009">
        <v>1</v>
      </c>
      <c r="K2009">
        <v>146</v>
      </c>
      <c r="L2009">
        <v>251</v>
      </c>
      <c r="M2009">
        <v>1</v>
      </c>
      <c r="N2009">
        <v>8.8693499999999999E-8</v>
      </c>
      <c r="O2009">
        <v>128</v>
      </c>
    </row>
    <row r="2010" spans="1:15" x14ac:dyDescent="0.25">
      <c r="A2010" t="s">
        <v>2023</v>
      </c>
      <c r="B2010">
        <v>199</v>
      </c>
      <c r="C2010" s="1" t="str">
        <f>HYPERLINK("http://www.rosaceae.org/gb/gbrowse/malus_x_domestica/?name=MDP0000250548","MDP0000250548")</f>
        <v>MDP0000250548</v>
      </c>
      <c r="D2010">
        <v>32.93</v>
      </c>
      <c r="E2010">
        <v>167</v>
      </c>
      <c r="F2010">
        <v>112</v>
      </c>
      <c r="G2010">
        <v>9</v>
      </c>
      <c r="H2010">
        <v>19</v>
      </c>
      <c r="I2010">
        <v>182</v>
      </c>
      <c r="J2010">
        <v>1</v>
      </c>
      <c r="K2010">
        <v>482</v>
      </c>
      <c r="L2010">
        <v>642</v>
      </c>
      <c r="M2010">
        <v>1</v>
      </c>
      <c r="N2010">
        <v>7.16446E-20</v>
      </c>
      <c r="O2010">
        <v>233</v>
      </c>
    </row>
    <row r="2011" spans="1:15" x14ac:dyDescent="0.25">
      <c r="A2011" t="s">
        <v>2024</v>
      </c>
      <c r="B2011">
        <v>394</v>
      </c>
      <c r="C2011" s="1" t="str">
        <f>HYPERLINK("http://www.rosaceae.org/gb/gbrowse/malus_x_domestica/?name=MDP0000310936","MDP0000310936")</f>
        <v>MDP0000310936</v>
      </c>
      <c r="D2011">
        <v>92.36</v>
      </c>
      <c r="E2011">
        <v>393</v>
      </c>
      <c r="F2011">
        <v>30</v>
      </c>
      <c r="G2011">
        <v>1</v>
      </c>
      <c r="H2011">
        <v>3</v>
      </c>
      <c r="I2011">
        <v>394</v>
      </c>
      <c r="J2011">
        <v>1</v>
      </c>
      <c r="K2011">
        <v>1</v>
      </c>
      <c r="L2011">
        <v>393</v>
      </c>
      <c r="M2011">
        <v>1</v>
      </c>
      <c r="N2011">
        <v>0</v>
      </c>
      <c r="O2011">
        <v>1924</v>
      </c>
    </row>
    <row r="2012" spans="1:15" x14ac:dyDescent="0.25">
      <c r="A2012" t="s">
        <v>2025</v>
      </c>
      <c r="B2012">
        <v>632</v>
      </c>
      <c r="C2012" s="1" t="str">
        <f>HYPERLINK("http://www.rosaceae.org/gb/gbrowse/malus_x_domestica/?name=MDP0000317886","MDP0000317886")</f>
        <v>MDP0000317886</v>
      </c>
      <c r="D2012">
        <v>75.540000000000006</v>
      </c>
      <c r="E2012">
        <v>638</v>
      </c>
      <c r="F2012">
        <v>156</v>
      </c>
      <c r="G2012">
        <v>12</v>
      </c>
      <c r="H2012">
        <v>1</v>
      </c>
      <c r="I2012">
        <v>632</v>
      </c>
      <c r="J2012">
        <v>1</v>
      </c>
      <c r="K2012">
        <v>1</v>
      </c>
      <c r="L2012">
        <v>632</v>
      </c>
      <c r="M2012">
        <v>1</v>
      </c>
      <c r="N2012">
        <v>0</v>
      </c>
      <c r="O2012">
        <v>2510</v>
      </c>
    </row>
    <row r="2013" spans="1:15" x14ac:dyDescent="0.25">
      <c r="A2013" t="s">
        <v>2026</v>
      </c>
      <c r="B2013">
        <v>358</v>
      </c>
      <c r="C2013" s="1" t="str">
        <f>HYPERLINK("http://www.rosaceae.org/gb/gbrowse/malus_x_domestica/?name=MDP0000299588","MDP0000299588")</f>
        <v>MDP0000299588</v>
      </c>
      <c r="D2013">
        <v>62.53</v>
      </c>
      <c r="E2013">
        <v>363</v>
      </c>
      <c r="F2013">
        <v>136</v>
      </c>
      <c r="G2013">
        <v>18</v>
      </c>
      <c r="H2013">
        <v>1</v>
      </c>
      <c r="I2013">
        <v>351</v>
      </c>
      <c r="J2013">
        <v>1</v>
      </c>
      <c r="K2013">
        <v>1</v>
      </c>
      <c r="L2013">
        <v>357</v>
      </c>
      <c r="M2013">
        <v>1</v>
      </c>
      <c r="N2013">
        <v>1.6136100000000001E-124</v>
      </c>
      <c r="O2013">
        <v>1139</v>
      </c>
    </row>
    <row r="2014" spans="1:15" x14ac:dyDescent="0.25">
      <c r="A2014" t="s">
        <v>2027</v>
      </c>
      <c r="B2014">
        <v>542</v>
      </c>
      <c r="C2014" s="1" t="str">
        <f>HYPERLINK("http://www.rosaceae.org/gb/gbrowse/malus_x_domestica/?name=MDP0000137561","MDP0000137561")</f>
        <v>MDP0000137561</v>
      </c>
      <c r="D2014">
        <v>53.66</v>
      </c>
      <c r="E2014">
        <v>600</v>
      </c>
      <c r="F2014">
        <v>278</v>
      </c>
      <c r="G2014">
        <v>82</v>
      </c>
      <c r="H2014">
        <v>1</v>
      </c>
      <c r="I2014">
        <v>541</v>
      </c>
      <c r="J2014">
        <v>1</v>
      </c>
      <c r="K2014">
        <v>1</v>
      </c>
      <c r="L2014">
        <v>577</v>
      </c>
      <c r="M2014">
        <v>1</v>
      </c>
      <c r="N2014">
        <v>7.4465099999999998E-154</v>
      </c>
      <c r="O2014">
        <v>1394</v>
      </c>
    </row>
    <row r="2015" spans="1:15" x14ac:dyDescent="0.25">
      <c r="A2015" t="s">
        <v>2028</v>
      </c>
      <c r="B2015">
        <v>273</v>
      </c>
      <c r="C2015" s="1" t="str">
        <f>HYPERLINK("http://www.rosaceae.org/gb/gbrowse/malus_x_domestica/?name=MDP0000148325","MDP0000148325")</f>
        <v>MDP0000148325</v>
      </c>
      <c r="D2015">
        <v>39.020000000000003</v>
      </c>
      <c r="E2015">
        <v>123</v>
      </c>
      <c r="F2015">
        <v>75</v>
      </c>
      <c r="G2015">
        <v>23</v>
      </c>
      <c r="H2015">
        <v>1</v>
      </c>
      <c r="I2015">
        <v>100</v>
      </c>
      <c r="J2015">
        <v>1</v>
      </c>
      <c r="K2015">
        <v>432</v>
      </c>
      <c r="L2015">
        <v>554</v>
      </c>
      <c r="M2015">
        <v>1</v>
      </c>
      <c r="N2015">
        <v>6.8976100000000001E-17</v>
      </c>
      <c r="O2015">
        <v>209</v>
      </c>
    </row>
    <row r="2016" spans="1:15" x14ac:dyDescent="0.25">
      <c r="A2016" t="s">
        <v>2029</v>
      </c>
      <c r="B2016">
        <v>497</v>
      </c>
      <c r="C2016" s="1" t="str">
        <f>HYPERLINK("http://www.rosaceae.org/gb/gbrowse/malus_x_domestica/?name=MDP0000301666","MDP0000301666")</f>
        <v>MDP0000301666</v>
      </c>
      <c r="D2016">
        <v>34.42</v>
      </c>
      <c r="E2016">
        <v>459</v>
      </c>
      <c r="F2016">
        <v>301</v>
      </c>
      <c r="G2016">
        <v>58</v>
      </c>
      <c r="H2016">
        <v>60</v>
      </c>
      <c r="I2016">
        <v>475</v>
      </c>
      <c r="J2016">
        <v>1</v>
      </c>
      <c r="K2016">
        <v>179</v>
      </c>
      <c r="L2016">
        <v>622</v>
      </c>
      <c r="M2016">
        <v>1</v>
      </c>
      <c r="N2016">
        <v>1.8587600000000001E-45</v>
      </c>
      <c r="O2016">
        <v>458</v>
      </c>
    </row>
    <row r="2017" spans="1:15" x14ac:dyDescent="0.25">
      <c r="A2017" t="s">
        <v>2030</v>
      </c>
      <c r="B2017">
        <v>476</v>
      </c>
      <c r="C2017" s="1" t="str">
        <f>HYPERLINK("http://www.rosaceae.org/gb/gbrowse/malus_x_domestica/?name=MDP0000216956","MDP0000216956")</f>
        <v>MDP0000216956</v>
      </c>
      <c r="D2017">
        <v>29.21</v>
      </c>
      <c r="E2017">
        <v>243</v>
      </c>
      <c r="F2017">
        <v>172</v>
      </c>
      <c r="G2017">
        <v>73</v>
      </c>
      <c r="H2017">
        <v>43</v>
      </c>
      <c r="I2017">
        <v>243</v>
      </c>
      <c r="J2017">
        <v>1</v>
      </c>
      <c r="K2017">
        <v>30</v>
      </c>
      <c r="L2017">
        <v>241</v>
      </c>
      <c r="M2017">
        <v>1</v>
      </c>
      <c r="N2017">
        <v>3.8445100000000002E-17</v>
      </c>
      <c r="O2017">
        <v>214</v>
      </c>
    </row>
    <row r="2018" spans="1:15" x14ac:dyDescent="0.25">
      <c r="A2018" t="s">
        <v>2031</v>
      </c>
      <c r="B2018">
        <v>1015</v>
      </c>
      <c r="C2018" s="1" t="str">
        <f>HYPERLINK("http://www.rosaceae.org/gb/gbrowse/malus_x_domestica/?name=MDP0000225450","MDP0000225450")</f>
        <v>MDP0000225450</v>
      </c>
      <c r="D2018">
        <v>50.38</v>
      </c>
      <c r="E2018">
        <v>260</v>
      </c>
      <c r="F2018">
        <v>129</v>
      </c>
      <c r="G2018">
        <v>48</v>
      </c>
      <c r="H2018">
        <v>666</v>
      </c>
      <c r="I2018">
        <v>925</v>
      </c>
      <c r="J2018">
        <v>1</v>
      </c>
      <c r="K2018">
        <v>165</v>
      </c>
      <c r="L2018">
        <v>376</v>
      </c>
      <c r="M2018">
        <v>1</v>
      </c>
      <c r="N2018">
        <v>7.0080299999999996E-58</v>
      </c>
      <c r="O2018">
        <v>569</v>
      </c>
    </row>
    <row r="2019" spans="1:15" x14ac:dyDescent="0.25">
      <c r="A2019" t="s">
        <v>2032</v>
      </c>
      <c r="B2019">
        <v>1282</v>
      </c>
      <c r="C2019" s="1" t="str">
        <f>HYPERLINK("http://www.rosaceae.org/gb/gbrowse/malus_x_domestica/?name=MDP0000519389","MDP0000519389")</f>
        <v>MDP0000519389</v>
      </c>
      <c r="D2019">
        <v>38.46</v>
      </c>
      <c r="E2019">
        <v>741</v>
      </c>
      <c r="F2019">
        <v>456</v>
      </c>
      <c r="G2019">
        <v>112</v>
      </c>
      <c r="H2019">
        <v>551</v>
      </c>
      <c r="I2019">
        <v>1272</v>
      </c>
      <c r="J2019">
        <v>1</v>
      </c>
      <c r="K2019">
        <v>523</v>
      </c>
      <c r="L2019">
        <v>1170</v>
      </c>
      <c r="M2019">
        <v>1</v>
      </c>
      <c r="N2019">
        <v>8.6935899999999992E-90</v>
      </c>
      <c r="O2019">
        <v>845</v>
      </c>
    </row>
    <row r="2020" spans="1:15" x14ac:dyDescent="0.25">
      <c r="A2020" t="s">
        <v>2033</v>
      </c>
      <c r="B2020">
        <v>198</v>
      </c>
      <c r="C2020" s="1" t="str">
        <f>HYPERLINK("http://www.rosaceae.org/gb/gbrowse/malus_x_domestica/?name=MDP0000232369","MDP0000232369")</f>
        <v>MDP0000232369</v>
      </c>
      <c r="D2020">
        <v>91.01</v>
      </c>
      <c r="E2020">
        <v>178</v>
      </c>
      <c r="F2020">
        <v>16</v>
      </c>
      <c r="G2020">
        <v>0</v>
      </c>
      <c r="H2020">
        <v>1</v>
      </c>
      <c r="I2020">
        <v>178</v>
      </c>
      <c r="J2020">
        <v>1</v>
      </c>
      <c r="K2020">
        <v>37</v>
      </c>
      <c r="L2020">
        <v>214</v>
      </c>
      <c r="M2020">
        <v>1</v>
      </c>
      <c r="N2020">
        <v>2.10738E-91</v>
      </c>
      <c r="O2020">
        <v>850</v>
      </c>
    </row>
    <row r="2021" spans="1:15" x14ac:dyDescent="0.25">
      <c r="A2021" t="s">
        <v>2034</v>
      </c>
      <c r="B2021">
        <v>205</v>
      </c>
      <c r="C2021" s="1" t="str">
        <f>HYPERLINK("http://www.rosaceae.org/gb/gbrowse/malus_x_domestica/?name=MDP0000322543","MDP0000322543")</f>
        <v>MDP0000322543</v>
      </c>
      <c r="D2021">
        <v>52.63</v>
      </c>
      <c r="E2021">
        <v>152</v>
      </c>
      <c r="F2021">
        <v>72</v>
      </c>
      <c r="G2021">
        <v>3</v>
      </c>
      <c r="H2021">
        <v>11</v>
      </c>
      <c r="I2021">
        <v>159</v>
      </c>
      <c r="J2021">
        <v>1</v>
      </c>
      <c r="K2021">
        <v>30</v>
      </c>
      <c r="L2021">
        <v>181</v>
      </c>
      <c r="M2021">
        <v>1</v>
      </c>
      <c r="N2021">
        <v>1.96068E-39</v>
      </c>
      <c r="O2021">
        <v>402</v>
      </c>
    </row>
    <row r="2022" spans="1:15" x14ac:dyDescent="0.25">
      <c r="A2022" t="s">
        <v>2035</v>
      </c>
      <c r="B2022">
        <v>1428</v>
      </c>
      <c r="C2022" s="1" t="str">
        <f>HYPERLINK("http://www.rosaceae.org/gb/gbrowse/malus_x_domestica/?name=MDP0000176803","MDP0000176803")</f>
        <v>MDP0000176803</v>
      </c>
      <c r="D2022">
        <v>60.71</v>
      </c>
      <c r="E2022">
        <v>1293</v>
      </c>
      <c r="F2022">
        <v>508</v>
      </c>
      <c r="G2022">
        <v>90</v>
      </c>
      <c r="H2022">
        <v>170</v>
      </c>
      <c r="I2022">
        <v>1427</v>
      </c>
      <c r="J2022">
        <v>1</v>
      </c>
      <c r="K2022">
        <v>1</v>
      </c>
      <c r="L2022">
        <v>1238</v>
      </c>
      <c r="M2022">
        <v>1</v>
      </c>
      <c r="N2022">
        <v>0</v>
      </c>
      <c r="O2022">
        <v>4028</v>
      </c>
    </row>
    <row r="2023" spans="1:15" x14ac:dyDescent="0.25">
      <c r="A2023" t="s">
        <v>2036</v>
      </c>
      <c r="B2023">
        <v>274</v>
      </c>
      <c r="C2023" s="1" t="str">
        <f>HYPERLINK("http://www.rosaceae.org/gb/gbrowse/malus_x_domestica/?name=MDP0000758643","MDP0000758643")</f>
        <v>MDP0000758643</v>
      </c>
      <c r="D2023">
        <v>53.5</v>
      </c>
      <c r="E2023">
        <v>200</v>
      </c>
      <c r="F2023">
        <v>93</v>
      </c>
      <c r="G2023">
        <v>14</v>
      </c>
      <c r="H2023">
        <v>14</v>
      </c>
      <c r="I2023">
        <v>208</v>
      </c>
      <c r="J2023">
        <v>1</v>
      </c>
      <c r="K2023">
        <v>21</v>
      </c>
      <c r="L2023">
        <v>211</v>
      </c>
      <c r="M2023">
        <v>1</v>
      </c>
      <c r="N2023">
        <v>4.3805200000000003E-49</v>
      </c>
      <c r="O2023">
        <v>487</v>
      </c>
    </row>
    <row r="2024" spans="1:15" x14ac:dyDescent="0.25">
      <c r="A2024" t="s">
        <v>2037</v>
      </c>
      <c r="B2024">
        <v>819</v>
      </c>
      <c r="C2024" s="1" t="str">
        <f>HYPERLINK("http://www.rosaceae.org/gb/gbrowse/malus_x_domestica/?name=MDP0000898232","MDP0000898232")</f>
        <v>MDP0000898232</v>
      </c>
      <c r="D2024">
        <v>48.83</v>
      </c>
      <c r="E2024">
        <v>301</v>
      </c>
      <c r="F2024">
        <v>154</v>
      </c>
      <c r="G2024">
        <v>25</v>
      </c>
      <c r="H2024">
        <v>538</v>
      </c>
      <c r="I2024">
        <v>819</v>
      </c>
      <c r="J2024">
        <v>1</v>
      </c>
      <c r="K2024">
        <v>289</v>
      </c>
      <c r="L2024">
        <v>583</v>
      </c>
      <c r="M2024">
        <v>1</v>
      </c>
      <c r="N2024">
        <v>6.7990599999999999E-55</v>
      </c>
      <c r="O2024">
        <v>542</v>
      </c>
    </row>
    <row r="2025" spans="1:15" x14ac:dyDescent="0.25">
      <c r="A2025" t="s">
        <v>2038</v>
      </c>
      <c r="B2025">
        <v>468</v>
      </c>
      <c r="C2025" s="1" t="str">
        <f>HYPERLINK("http://www.rosaceae.org/gb/gbrowse/malus_x_domestica/?name=MDP0000296691","MDP0000296691")</f>
        <v>MDP0000296691</v>
      </c>
      <c r="D2025">
        <v>24.31</v>
      </c>
      <c r="E2025">
        <v>366</v>
      </c>
      <c r="F2025">
        <v>277</v>
      </c>
      <c r="G2025">
        <v>96</v>
      </c>
      <c r="H2025">
        <v>107</v>
      </c>
      <c r="I2025">
        <v>447</v>
      </c>
      <c r="J2025">
        <v>1</v>
      </c>
      <c r="K2025">
        <v>375</v>
      </c>
      <c r="L2025">
        <v>669</v>
      </c>
      <c r="M2025">
        <v>1</v>
      </c>
      <c r="N2025">
        <v>9.9092799999999998E-14</v>
      </c>
      <c r="O2025">
        <v>185</v>
      </c>
    </row>
    <row r="2026" spans="1:15" x14ac:dyDescent="0.25">
      <c r="A2026" t="s">
        <v>2039</v>
      </c>
      <c r="B2026">
        <v>470</v>
      </c>
      <c r="C2026" s="1" t="str">
        <f>HYPERLINK("http://www.rosaceae.org/gb/gbrowse/malus_x_domestica/?name=MDP0000218737","MDP0000218737")</f>
        <v>MDP0000218737</v>
      </c>
      <c r="D2026">
        <v>66.42</v>
      </c>
      <c r="E2026">
        <v>408</v>
      </c>
      <c r="F2026">
        <v>137</v>
      </c>
      <c r="G2026">
        <v>20</v>
      </c>
      <c r="H2026">
        <v>67</v>
      </c>
      <c r="I2026">
        <v>470</v>
      </c>
      <c r="J2026">
        <v>1</v>
      </c>
      <c r="K2026">
        <v>20</v>
      </c>
      <c r="L2026">
        <v>411</v>
      </c>
      <c r="M2026">
        <v>1</v>
      </c>
      <c r="N2026">
        <v>3.5766500000000001E-152</v>
      </c>
      <c r="O2026">
        <v>1379</v>
      </c>
    </row>
    <row r="2027" spans="1:15" x14ac:dyDescent="0.25">
      <c r="A2027" t="s">
        <v>2040</v>
      </c>
      <c r="B2027">
        <v>492</v>
      </c>
      <c r="C2027" s="1" t="str">
        <f>HYPERLINK("http://www.rosaceae.org/gb/gbrowse/malus_x_domestica/?name=MDP0000231072","MDP0000231072")</f>
        <v>MDP0000231072</v>
      </c>
      <c r="D2027">
        <v>33.54</v>
      </c>
      <c r="E2027">
        <v>468</v>
      </c>
      <c r="F2027">
        <v>311</v>
      </c>
      <c r="G2027">
        <v>63</v>
      </c>
      <c r="H2027">
        <v>43</v>
      </c>
      <c r="I2027">
        <v>489</v>
      </c>
      <c r="J2027">
        <v>1</v>
      </c>
      <c r="K2027">
        <v>4</v>
      </c>
      <c r="L2027">
        <v>429</v>
      </c>
      <c r="M2027">
        <v>1</v>
      </c>
      <c r="N2027">
        <v>2.4318000000000002E-52</v>
      </c>
      <c r="O2027">
        <v>518</v>
      </c>
    </row>
    <row r="2028" spans="1:15" x14ac:dyDescent="0.25">
      <c r="A2028" t="s">
        <v>2041</v>
      </c>
      <c r="B2028">
        <v>699</v>
      </c>
      <c r="C2028" s="1" t="str">
        <f>HYPERLINK("http://www.rosaceae.org/gb/gbrowse/malus_x_domestica/?name=MDP0000151434","MDP0000151434")</f>
        <v>MDP0000151434</v>
      </c>
      <c r="D2028">
        <v>51.67</v>
      </c>
      <c r="E2028">
        <v>747</v>
      </c>
      <c r="F2028">
        <v>361</v>
      </c>
      <c r="G2028">
        <v>55</v>
      </c>
      <c r="H2028">
        <v>3</v>
      </c>
      <c r="I2028">
        <v>699</v>
      </c>
      <c r="J2028">
        <v>1</v>
      </c>
      <c r="K2028">
        <v>1</v>
      </c>
      <c r="L2028">
        <v>742</v>
      </c>
      <c r="M2028">
        <v>1</v>
      </c>
      <c r="N2028">
        <v>0</v>
      </c>
      <c r="O2028">
        <v>1929</v>
      </c>
    </row>
    <row r="2029" spans="1:15" x14ac:dyDescent="0.25">
      <c r="A2029" t="s">
        <v>2042</v>
      </c>
      <c r="B2029">
        <v>374</v>
      </c>
      <c r="C2029" s="1" t="str">
        <f>HYPERLINK("http://www.rosaceae.org/gb/gbrowse/malus_x_domestica/?name=MDP0000155307","MDP0000155307")</f>
        <v>MDP0000155307</v>
      </c>
      <c r="D2029">
        <v>84.46</v>
      </c>
      <c r="E2029">
        <v>354</v>
      </c>
      <c r="F2029">
        <v>55</v>
      </c>
      <c r="G2029">
        <v>0</v>
      </c>
      <c r="H2029">
        <v>1</v>
      </c>
      <c r="I2029">
        <v>354</v>
      </c>
      <c r="J2029">
        <v>1</v>
      </c>
      <c r="K2029">
        <v>1</v>
      </c>
      <c r="L2029">
        <v>354</v>
      </c>
      <c r="M2029">
        <v>1</v>
      </c>
      <c r="N2029">
        <v>0</v>
      </c>
      <c r="O2029">
        <v>1638</v>
      </c>
    </row>
    <row r="2030" spans="1:15" x14ac:dyDescent="0.25">
      <c r="A2030" t="s">
        <v>2043</v>
      </c>
      <c r="B2030">
        <v>126</v>
      </c>
      <c r="C2030" s="1" t="str">
        <f>HYPERLINK("http://www.rosaceae.org/gb/gbrowse/malus_x_domestica/?name=MDP0000174676","MDP0000174676")</f>
        <v>MDP0000174676</v>
      </c>
      <c r="D2030">
        <v>29.65</v>
      </c>
      <c r="E2030">
        <v>145</v>
      </c>
      <c r="F2030">
        <v>102</v>
      </c>
      <c r="G2030">
        <v>34</v>
      </c>
      <c r="H2030">
        <v>8</v>
      </c>
      <c r="I2030">
        <v>118</v>
      </c>
      <c r="J2030">
        <v>1</v>
      </c>
      <c r="K2030">
        <v>835</v>
      </c>
      <c r="L2030">
        <v>979</v>
      </c>
      <c r="M2030">
        <v>1</v>
      </c>
      <c r="N2030">
        <v>3.71054E-16</v>
      </c>
      <c r="O2030">
        <v>197</v>
      </c>
    </row>
    <row r="2031" spans="1:15" x14ac:dyDescent="0.25">
      <c r="A2031" t="s">
        <v>2044</v>
      </c>
      <c r="B2031">
        <v>306</v>
      </c>
      <c r="C2031" s="1" t="str">
        <f>HYPERLINK("http://www.rosaceae.org/gb/gbrowse/malus_x_domestica/?name=MDP0000287040","MDP0000287040")</f>
        <v>MDP0000287040</v>
      </c>
      <c r="D2031">
        <v>33.14</v>
      </c>
      <c r="E2031">
        <v>362</v>
      </c>
      <c r="F2031">
        <v>242</v>
      </c>
      <c r="G2031">
        <v>96</v>
      </c>
      <c r="H2031">
        <v>1</v>
      </c>
      <c r="I2031">
        <v>276</v>
      </c>
      <c r="J2031">
        <v>1</v>
      </c>
      <c r="K2031">
        <v>741</v>
      </c>
      <c r="L2031">
        <v>1092</v>
      </c>
      <c r="M2031">
        <v>1</v>
      </c>
      <c r="N2031">
        <v>5.0006499999999997E-36</v>
      </c>
      <c r="O2031">
        <v>375</v>
      </c>
    </row>
    <row r="2032" spans="1:15" x14ac:dyDescent="0.25">
      <c r="A2032" t="s">
        <v>2045</v>
      </c>
      <c r="B2032">
        <v>164</v>
      </c>
      <c r="C2032" s="1" t="str">
        <f>HYPERLINK("http://www.rosaceae.org/gb/gbrowse/malus_x_domestica/?name=MDP0000148325","MDP0000148325")</f>
        <v>MDP0000148325</v>
      </c>
      <c r="D2032">
        <v>42.94</v>
      </c>
      <c r="E2032">
        <v>163</v>
      </c>
      <c r="F2032">
        <v>93</v>
      </c>
      <c r="G2032">
        <v>0</v>
      </c>
      <c r="H2032">
        <v>2</v>
      </c>
      <c r="I2032">
        <v>164</v>
      </c>
      <c r="J2032">
        <v>1</v>
      </c>
      <c r="K2032">
        <v>391</v>
      </c>
      <c r="L2032">
        <v>553</v>
      </c>
      <c r="M2032">
        <v>1</v>
      </c>
      <c r="N2032">
        <v>5.1375600000000005E-29</v>
      </c>
      <c r="O2032">
        <v>310</v>
      </c>
    </row>
    <row r="2033" spans="1:15" x14ac:dyDescent="0.25">
      <c r="A2033" t="s">
        <v>2046</v>
      </c>
      <c r="B2033">
        <v>559</v>
      </c>
      <c r="C2033" s="1" t="str">
        <f>HYPERLINK("http://www.rosaceae.org/gb/gbrowse/malus_x_domestica/?name=MDP0000088659","MDP0000088659")</f>
        <v>MDP0000088659</v>
      </c>
      <c r="D2033">
        <v>66.959999999999994</v>
      </c>
      <c r="E2033">
        <v>560</v>
      </c>
      <c r="F2033">
        <v>185</v>
      </c>
      <c r="G2033">
        <v>19</v>
      </c>
      <c r="H2033">
        <v>1</v>
      </c>
      <c r="I2033">
        <v>559</v>
      </c>
      <c r="J2033">
        <v>1</v>
      </c>
      <c r="K2033">
        <v>1</v>
      </c>
      <c r="L2033">
        <v>542</v>
      </c>
      <c r="M2033">
        <v>1</v>
      </c>
      <c r="N2033">
        <v>0</v>
      </c>
      <c r="O2033">
        <v>2003</v>
      </c>
    </row>
    <row r="2034" spans="1:15" x14ac:dyDescent="0.25">
      <c r="A2034" t="s">
        <v>2047</v>
      </c>
      <c r="B2034">
        <v>1324</v>
      </c>
      <c r="C2034" s="1" t="str">
        <f>HYPERLINK("http://www.rosaceae.org/gb/gbrowse/malus_x_domestica/?name=MDP0000266289","MDP0000266289")</f>
        <v>MDP0000266289</v>
      </c>
      <c r="D2034">
        <v>71.010000000000005</v>
      </c>
      <c r="E2034">
        <v>1387</v>
      </c>
      <c r="F2034">
        <v>402</v>
      </c>
      <c r="G2034">
        <v>87</v>
      </c>
      <c r="H2034">
        <v>1</v>
      </c>
      <c r="I2034">
        <v>1324</v>
      </c>
      <c r="J2034">
        <v>1</v>
      </c>
      <c r="K2034">
        <v>1</v>
      </c>
      <c r="L2034">
        <v>1363</v>
      </c>
      <c r="M2034">
        <v>1</v>
      </c>
      <c r="N2034">
        <v>0</v>
      </c>
      <c r="O2034">
        <v>4881</v>
      </c>
    </row>
    <row r="2035" spans="1:15" x14ac:dyDescent="0.25">
      <c r="A2035" t="s">
        <v>2048</v>
      </c>
      <c r="B2035">
        <v>416</v>
      </c>
      <c r="C2035" s="1" t="str">
        <f>HYPERLINK("http://www.rosaceae.org/gb/gbrowse/malus_x_domestica/?name=MDP0000250455","MDP0000250455")</f>
        <v>MDP0000250455</v>
      </c>
      <c r="D2035">
        <v>38.29</v>
      </c>
      <c r="E2035">
        <v>423</v>
      </c>
      <c r="F2035">
        <v>261</v>
      </c>
      <c r="G2035">
        <v>52</v>
      </c>
      <c r="H2035">
        <v>10</v>
      </c>
      <c r="I2035">
        <v>415</v>
      </c>
      <c r="J2035">
        <v>1</v>
      </c>
      <c r="K2035">
        <v>483</v>
      </c>
      <c r="L2035">
        <v>870</v>
      </c>
      <c r="M2035">
        <v>1</v>
      </c>
      <c r="N2035">
        <v>2.2533299999999999E-63</v>
      </c>
      <c r="O2035">
        <v>612</v>
      </c>
    </row>
    <row r="2036" spans="1:15" x14ac:dyDescent="0.25">
      <c r="A2036" t="s">
        <v>2049</v>
      </c>
      <c r="B2036">
        <v>157</v>
      </c>
      <c r="C2036" s="1" t="str">
        <f>HYPERLINK("http://www.rosaceae.org/gb/gbrowse/malus_x_domestica/?name=MDP0000168881","MDP0000168881")</f>
        <v>MDP0000168881</v>
      </c>
      <c r="D2036">
        <v>56.62</v>
      </c>
      <c r="E2036">
        <v>83</v>
      </c>
      <c r="F2036">
        <v>36</v>
      </c>
      <c r="G2036">
        <v>12</v>
      </c>
      <c r="H2036">
        <v>81</v>
      </c>
      <c r="I2036">
        <v>157</v>
      </c>
      <c r="J2036">
        <v>1</v>
      </c>
      <c r="K2036">
        <v>290</v>
      </c>
      <c r="L2036">
        <v>366</v>
      </c>
      <c r="M2036">
        <v>1</v>
      </c>
      <c r="N2036">
        <v>2.15451E-15</v>
      </c>
      <c r="O2036">
        <v>192</v>
      </c>
    </row>
    <row r="2037" spans="1:15" x14ac:dyDescent="0.25">
      <c r="A2037" t="s">
        <v>2050</v>
      </c>
      <c r="B2037">
        <v>861</v>
      </c>
      <c r="C2037" s="1" t="str">
        <f>HYPERLINK("http://www.rosaceae.org/gb/gbrowse/malus_x_domestica/?name=MDP0000815270","MDP0000815270")</f>
        <v>MDP0000815270</v>
      </c>
      <c r="D2037">
        <v>77.95</v>
      </c>
      <c r="E2037">
        <v>862</v>
      </c>
      <c r="F2037">
        <v>190</v>
      </c>
      <c r="G2037">
        <v>24</v>
      </c>
      <c r="H2037">
        <v>1</v>
      </c>
      <c r="I2037">
        <v>861</v>
      </c>
      <c r="J2037">
        <v>1</v>
      </c>
      <c r="K2037">
        <v>1</v>
      </c>
      <c r="L2037">
        <v>839</v>
      </c>
      <c r="M2037">
        <v>1</v>
      </c>
      <c r="N2037">
        <v>0</v>
      </c>
      <c r="O2037">
        <v>3508</v>
      </c>
    </row>
    <row r="2038" spans="1:15" x14ac:dyDescent="0.25">
      <c r="A2038" t="s">
        <v>2051</v>
      </c>
      <c r="B2038">
        <v>729</v>
      </c>
      <c r="C2038" s="1" t="str">
        <f>HYPERLINK("http://www.rosaceae.org/gb/gbrowse/malus_x_domestica/?name=MDP0000197462","MDP0000197462")</f>
        <v>MDP0000197462</v>
      </c>
      <c r="D2038">
        <v>80.510000000000005</v>
      </c>
      <c r="E2038">
        <v>734</v>
      </c>
      <c r="F2038">
        <v>143</v>
      </c>
      <c r="G2038">
        <v>12</v>
      </c>
      <c r="H2038">
        <v>1</v>
      </c>
      <c r="I2038">
        <v>729</v>
      </c>
      <c r="J2038">
        <v>1</v>
      </c>
      <c r="K2038">
        <v>1</v>
      </c>
      <c r="L2038">
        <v>727</v>
      </c>
      <c r="M2038">
        <v>1</v>
      </c>
      <c r="N2038">
        <v>0</v>
      </c>
      <c r="O2038">
        <v>3211</v>
      </c>
    </row>
    <row r="2039" spans="1:15" x14ac:dyDescent="0.25">
      <c r="A2039" t="s">
        <v>2052</v>
      </c>
      <c r="B2039">
        <v>222</v>
      </c>
      <c r="C2039" s="1" t="str">
        <f>HYPERLINK("http://www.rosaceae.org/gb/gbrowse/malus_x_domestica/?name=MDP0000205570","MDP0000205570")</f>
        <v>MDP0000205570</v>
      </c>
      <c r="D2039">
        <v>70.53</v>
      </c>
      <c r="E2039">
        <v>224</v>
      </c>
      <c r="F2039">
        <v>66</v>
      </c>
      <c r="G2039">
        <v>5</v>
      </c>
      <c r="H2039">
        <v>1</v>
      </c>
      <c r="I2039">
        <v>222</v>
      </c>
      <c r="J2039">
        <v>1</v>
      </c>
      <c r="K2039">
        <v>1</v>
      </c>
      <c r="L2039">
        <v>221</v>
      </c>
      <c r="M2039">
        <v>1</v>
      </c>
      <c r="N2039">
        <v>5.88393E-88</v>
      </c>
      <c r="O2039">
        <v>821</v>
      </c>
    </row>
    <row r="2040" spans="1:15" x14ac:dyDescent="0.25">
      <c r="A2040" t="s">
        <v>2053</v>
      </c>
      <c r="B2040">
        <v>108</v>
      </c>
      <c r="C2040" s="1" t="str">
        <f>HYPERLINK("http://www.rosaceae.org/gb/gbrowse/malus_x_domestica/?name=MDP0000830589","MDP0000830589")</f>
        <v>MDP0000830589</v>
      </c>
      <c r="D2040">
        <v>62.72</v>
      </c>
      <c r="E2040">
        <v>110</v>
      </c>
      <c r="F2040">
        <v>41</v>
      </c>
      <c r="G2040">
        <v>4</v>
      </c>
      <c r="H2040">
        <v>2</v>
      </c>
      <c r="I2040">
        <v>107</v>
      </c>
      <c r="J2040">
        <v>1</v>
      </c>
      <c r="K2040">
        <v>251</v>
      </c>
      <c r="L2040">
        <v>360</v>
      </c>
      <c r="M2040">
        <v>1</v>
      </c>
      <c r="N2040">
        <v>2.2067199999999999E-32</v>
      </c>
      <c r="O2040">
        <v>337</v>
      </c>
    </row>
    <row r="2041" spans="1:15" x14ac:dyDescent="0.25">
      <c r="A2041" t="s">
        <v>2054</v>
      </c>
      <c r="B2041">
        <v>683</v>
      </c>
      <c r="C2041" s="1" t="str">
        <f>HYPERLINK("http://www.rosaceae.org/gb/gbrowse/malus_x_domestica/?name=MDP0000209454","MDP0000209454")</f>
        <v>MDP0000209454</v>
      </c>
      <c r="D2041">
        <v>50.73</v>
      </c>
      <c r="E2041">
        <v>680</v>
      </c>
      <c r="F2041">
        <v>335</v>
      </c>
      <c r="G2041">
        <v>14</v>
      </c>
      <c r="H2041">
        <v>2</v>
      </c>
      <c r="I2041">
        <v>681</v>
      </c>
      <c r="J2041">
        <v>1</v>
      </c>
      <c r="K2041">
        <v>54</v>
      </c>
      <c r="L2041">
        <v>719</v>
      </c>
      <c r="M2041">
        <v>1</v>
      </c>
      <c r="N2041">
        <v>2.2890799999999999E-176</v>
      </c>
      <c r="O2041">
        <v>1589</v>
      </c>
    </row>
    <row r="2042" spans="1:15" x14ac:dyDescent="0.25">
      <c r="A2042" t="s">
        <v>2055</v>
      </c>
      <c r="B2042">
        <v>515</v>
      </c>
      <c r="C2042" s="1" t="str">
        <f>HYPERLINK("http://www.rosaceae.org/gb/gbrowse/malus_x_domestica/?name=MDP0000700517","MDP0000700517")</f>
        <v>MDP0000700517</v>
      </c>
      <c r="D2042">
        <v>27.31</v>
      </c>
      <c r="E2042">
        <v>216</v>
      </c>
      <c r="F2042">
        <v>157</v>
      </c>
      <c r="G2042">
        <v>6</v>
      </c>
      <c r="H2042">
        <v>291</v>
      </c>
      <c r="I2042">
        <v>500</v>
      </c>
      <c r="J2042">
        <v>1</v>
      </c>
      <c r="K2042">
        <v>92</v>
      </c>
      <c r="L2042">
        <v>307</v>
      </c>
      <c r="M2042">
        <v>1</v>
      </c>
      <c r="N2042">
        <v>3.7242400000000001E-20</v>
      </c>
      <c r="O2042">
        <v>240</v>
      </c>
    </row>
    <row r="2043" spans="1:15" x14ac:dyDescent="0.25">
      <c r="A2043" t="s">
        <v>2056</v>
      </c>
      <c r="B2043">
        <v>254</v>
      </c>
      <c r="C2043" s="1" t="str">
        <f>HYPERLINK("http://www.rosaceae.org/gb/gbrowse/malus_x_domestica/?name=MDP0000129688","MDP0000129688")</f>
        <v>MDP0000129688</v>
      </c>
      <c r="D2043">
        <v>67.349999999999994</v>
      </c>
      <c r="E2043">
        <v>193</v>
      </c>
      <c r="F2043">
        <v>63</v>
      </c>
      <c r="G2043">
        <v>1</v>
      </c>
      <c r="H2043">
        <v>1</v>
      </c>
      <c r="I2043">
        <v>192</v>
      </c>
      <c r="J2043">
        <v>1</v>
      </c>
      <c r="K2043">
        <v>1</v>
      </c>
      <c r="L2043">
        <v>193</v>
      </c>
      <c r="M2043">
        <v>1</v>
      </c>
      <c r="N2043">
        <v>7.26388E-72</v>
      </c>
      <c r="O2043">
        <v>683</v>
      </c>
    </row>
    <row r="2044" spans="1:15" x14ac:dyDescent="0.25">
      <c r="A2044" t="s">
        <v>2057</v>
      </c>
      <c r="B2044">
        <v>1006</v>
      </c>
      <c r="C2044" s="1" t="str">
        <f>HYPERLINK("http://www.rosaceae.org/gb/gbrowse/malus_x_domestica/?name=MDP0000176025","MDP0000176025")</f>
        <v>MDP0000176025</v>
      </c>
      <c r="D2044">
        <v>82.65</v>
      </c>
      <c r="E2044">
        <v>640</v>
      </c>
      <c r="F2044">
        <v>111</v>
      </c>
      <c r="G2044">
        <v>0</v>
      </c>
      <c r="H2044">
        <v>46</v>
      </c>
      <c r="I2044">
        <v>685</v>
      </c>
      <c r="J2044">
        <v>1</v>
      </c>
      <c r="K2044">
        <v>93</v>
      </c>
      <c r="L2044">
        <v>732</v>
      </c>
      <c r="M2044">
        <v>1</v>
      </c>
      <c r="N2044">
        <v>0</v>
      </c>
      <c r="O2044">
        <v>2807</v>
      </c>
    </row>
    <row r="2045" spans="1:15" x14ac:dyDescent="0.25">
      <c r="A2045" t="s">
        <v>2058</v>
      </c>
      <c r="B2045">
        <v>700</v>
      </c>
      <c r="C2045" s="1" t="str">
        <f>HYPERLINK("http://www.rosaceae.org/gb/gbrowse/malus_x_domestica/?name=MDP0000301546","MDP0000301546")</f>
        <v>MDP0000301546</v>
      </c>
      <c r="D2045">
        <v>74.64</v>
      </c>
      <c r="E2045">
        <v>627</v>
      </c>
      <c r="F2045">
        <v>159</v>
      </c>
      <c r="G2045">
        <v>35</v>
      </c>
      <c r="H2045">
        <v>74</v>
      </c>
      <c r="I2045">
        <v>698</v>
      </c>
      <c r="J2045">
        <v>1</v>
      </c>
      <c r="K2045">
        <v>19</v>
      </c>
      <c r="L2045">
        <v>612</v>
      </c>
      <c r="M2045">
        <v>1</v>
      </c>
      <c r="N2045">
        <v>0</v>
      </c>
      <c r="O2045">
        <v>2383</v>
      </c>
    </row>
    <row r="2046" spans="1:15" x14ac:dyDescent="0.25">
      <c r="A2046" t="s">
        <v>2059</v>
      </c>
      <c r="B2046">
        <v>1837</v>
      </c>
      <c r="C2046" s="1" t="str">
        <f>HYPERLINK("http://www.rosaceae.org/gb/gbrowse/malus_x_domestica/?name=MDP0000206932","MDP0000206932")</f>
        <v>MDP0000206932</v>
      </c>
      <c r="D2046">
        <v>79.12</v>
      </c>
      <c r="E2046">
        <v>551</v>
      </c>
      <c r="F2046">
        <v>115</v>
      </c>
      <c r="G2046">
        <v>45</v>
      </c>
      <c r="H2046">
        <v>1330</v>
      </c>
      <c r="I2046">
        <v>1837</v>
      </c>
      <c r="J2046">
        <v>1</v>
      </c>
      <c r="K2046">
        <v>1420</v>
      </c>
      <c r="L2046">
        <v>1968</v>
      </c>
      <c r="M2046">
        <v>1</v>
      </c>
      <c r="N2046">
        <v>0</v>
      </c>
      <c r="O2046">
        <v>2199</v>
      </c>
    </row>
    <row r="2047" spans="1:15" x14ac:dyDescent="0.25">
      <c r="A2047" t="s">
        <v>2060</v>
      </c>
      <c r="B2047">
        <v>597</v>
      </c>
      <c r="C2047" s="1" t="str">
        <f>HYPERLINK("http://www.rosaceae.org/gb/gbrowse/malus_x_domestica/?name=MDP0000168714","MDP0000168714")</f>
        <v>MDP0000168714</v>
      </c>
      <c r="D2047">
        <v>62.11</v>
      </c>
      <c r="E2047">
        <v>557</v>
      </c>
      <c r="F2047">
        <v>211</v>
      </c>
      <c r="G2047">
        <v>40</v>
      </c>
      <c r="H2047">
        <v>47</v>
      </c>
      <c r="I2047">
        <v>582</v>
      </c>
      <c r="J2047">
        <v>1</v>
      </c>
      <c r="K2047">
        <v>40</v>
      </c>
      <c r="L2047">
        <v>577</v>
      </c>
      <c r="M2047">
        <v>1</v>
      </c>
      <c r="N2047">
        <v>0</v>
      </c>
      <c r="O2047">
        <v>1671</v>
      </c>
    </row>
    <row r="2048" spans="1:15" x14ac:dyDescent="0.25">
      <c r="A2048" t="s">
        <v>2061</v>
      </c>
      <c r="B2048">
        <v>1173</v>
      </c>
      <c r="C2048" s="1" t="str">
        <f>HYPERLINK("http://www.rosaceae.org/gb/gbrowse/malus_x_domestica/?name=MDP0000455477","MDP0000455477")</f>
        <v>MDP0000455477</v>
      </c>
      <c r="D2048">
        <v>80.73</v>
      </c>
      <c r="E2048">
        <v>903</v>
      </c>
      <c r="F2048">
        <v>174</v>
      </c>
      <c r="G2048">
        <v>6</v>
      </c>
      <c r="H2048">
        <v>29</v>
      </c>
      <c r="I2048">
        <v>927</v>
      </c>
      <c r="J2048">
        <v>1</v>
      </c>
      <c r="K2048">
        <v>32</v>
      </c>
      <c r="L2048">
        <v>932</v>
      </c>
      <c r="M2048">
        <v>1</v>
      </c>
      <c r="N2048">
        <v>0</v>
      </c>
      <c r="O2048">
        <v>3895</v>
      </c>
    </row>
    <row r="2049" spans="1:15" x14ac:dyDescent="0.25">
      <c r="A2049" t="s">
        <v>2062</v>
      </c>
      <c r="B2049">
        <v>602</v>
      </c>
      <c r="C2049" s="1" t="str">
        <f>HYPERLINK("http://www.rosaceae.org/gb/gbrowse/malus_x_domestica/?name=MDP0000241307","MDP0000241307")</f>
        <v>MDP0000241307</v>
      </c>
      <c r="D2049">
        <v>72.14</v>
      </c>
      <c r="E2049">
        <v>560</v>
      </c>
      <c r="F2049">
        <v>156</v>
      </c>
      <c r="G2049">
        <v>4</v>
      </c>
      <c r="H2049">
        <v>1</v>
      </c>
      <c r="I2049">
        <v>559</v>
      </c>
      <c r="J2049">
        <v>1</v>
      </c>
      <c r="K2049">
        <v>1</v>
      </c>
      <c r="L2049">
        <v>557</v>
      </c>
      <c r="M2049">
        <v>1</v>
      </c>
      <c r="N2049">
        <v>0</v>
      </c>
      <c r="O2049">
        <v>2244</v>
      </c>
    </row>
    <row r="2050" spans="1:15" x14ac:dyDescent="0.25">
      <c r="A2050" t="s">
        <v>2063</v>
      </c>
      <c r="B2050">
        <v>389</v>
      </c>
      <c r="C2050" s="1" t="str">
        <f>HYPERLINK("http://www.rosaceae.org/gb/gbrowse/malus_x_domestica/?name=MDP0000213002","MDP0000213002")</f>
        <v>MDP0000213002</v>
      </c>
      <c r="D2050">
        <v>73.430000000000007</v>
      </c>
      <c r="E2050">
        <v>320</v>
      </c>
      <c r="F2050">
        <v>85</v>
      </c>
      <c r="G2050">
        <v>7</v>
      </c>
      <c r="H2050">
        <v>76</v>
      </c>
      <c r="I2050">
        <v>389</v>
      </c>
      <c r="J2050">
        <v>1</v>
      </c>
      <c r="K2050">
        <v>45</v>
      </c>
      <c r="L2050">
        <v>363</v>
      </c>
      <c r="M2050">
        <v>1</v>
      </c>
      <c r="N2050">
        <v>2.7198700000000001E-132</v>
      </c>
      <c r="O2050">
        <v>1206</v>
      </c>
    </row>
    <row r="2051" spans="1:15" x14ac:dyDescent="0.25">
      <c r="A2051" t="s">
        <v>2064</v>
      </c>
      <c r="B2051">
        <v>192</v>
      </c>
      <c r="C2051" s="1" t="str">
        <f>HYPERLINK("http://www.rosaceae.org/gb/gbrowse/malus_x_domestica/?name=MDP0000169241","MDP0000169241")</f>
        <v>MDP0000169241</v>
      </c>
      <c r="D2051">
        <v>76.709999999999994</v>
      </c>
      <c r="E2051">
        <v>189</v>
      </c>
      <c r="F2051">
        <v>44</v>
      </c>
      <c r="G2051">
        <v>0</v>
      </c>
      <c r="H2051">
        <v>4</v>
      </c>
      <c r="I2051">
        <v>192</v>
      </c>
      <c r="J2051">
        <v>1</v>
      </c>
      <c r="K2051">
        <v>54</v>
      </c>
      <c r="L2051">
        <v>242</v>
      </c>
      <c r="M2051">
        <v>1</v>
      </c>
      <c r="N2051">
        <v>1.23404E-83</v>
      </c>
      <c r="O2051">
        <v>783</v>
      </c>
    </row>
    <row r="2052" spans="1:15" x14ac:dyDescent="0.25">
      <c r="A2052" t="s">
        <v>2065</v>
      </c>
      <c r="B2052">
        <v>370</v>
      </c>
      <c r="C2052" s="1" t="str">
        <f>HYPERLINK("http://www.rosaceae.org/gb/gbrowse/malus_x_domestica/?name=MDP0000580010","MDP0000580010")</f>
        <v>MDP0000580010</v>
      </c>
      <c r="D2052">
        <v>75.06</v>
      </c>
      <c r="E2052">
        <v>365</v>
      </c>
      <c r="F2052">
        <v>91</v>
      </c>
      <c r="G2052">
        <v>11</v>
      </c>
      <c r="H2052">
        <v>1</v>
      </c>
      <c r="I2052">
        <v>358</v>
      </c>
      <c r="J2052">
        <v>1</v>
      </c>
      <c r="K2052">
        <v>1</v>
      </c>
      <c r="L2052">
        <v>361</v>
      </c>
      <c r="M2052">
        <v>1</v>
      </c>
      <c r="N2052">
        <v>3.2983199999999999E-149</v>
      </c>
      <c r="O2052">
        <v>1352</v>
      </c>
    </row>
    <row r="2053" spans="1:15" x14ac:dyDescent="0.25">
      <c r="A2053" t="s">
        <v>2066</v>
      </c>
      <c r="B2053">
        <v>575</v>
      </c>
      <c r="C2053" s="1" t="str">
        <f>HYPERLINK("http://www.rosaceae.org/gb/gbrowse/malus_x_domestica/?name=MDP0000322036","MDP0000322036")</f>
        <v>MDP0000322036</v>
      </c>
      <c r="D2053">
        <v>51.66</v>
      </c>
      <c r="E2053">
        <v>271</v>
      </c>
      <c r="F2053">
        <v>131</v>
      </c>
      <c r="G2053">
        <v>12</v>
      </c>
      <c r="H2053">
        <v>287</v>
      </c>
      <c r="I2053">
        <v>557</v>
      </c>
      <c r="J2053">
        <v>1</v>
      </c>
      <c r="K2053">
        <v>91</v>
      </c>
      <c r="L2053">
        <v>349</v>
      </c>
      <c r="M2053">
        <v>1</v>
      </c>
      <c r="N2053">
        <v>2.04471E-67</v>
      </c>
      <c r="O2053">
        <v>648</v>
      </c>
    </row>
    <row r="2054" spans="1:15" x14ac:dyDescent="0.25">
      <c r="A2054" t="s">
        <v>2067</v>
      </c>
      <c r="B2054">
        <v>154</v>
      </c>
      <c r="C2054" s="1" t="str">
        <f>HYPERLINK("http://www.rosaceae.org/gb/gbrowse/malus_x_domestica/?name=MDP0000241592","MDP0000241592")</f>
        <v>MDP0000241592</v>
      </c>
      <c r="D2054">
        <v>58.86</v>
      </c>
      <c r="E2054">
        <v>158</v>
      </c>
      <c r="F2054">
        <v>65</v>
      </c>
      <c r="G2054">
        <v>6</v>
      </c>
      <c r="H2054">
        <v>1</v>
      </c>
      <c r="I2054">
        <v>154</v>
      </c>
      <c r="J2054">
        <v>1</v>
      </c>
      <c r="K2054">
        <v>7</v>
      </c>
      <c r="L2054">
        <v>162</v>
      </c>
      <c r="M2054">
        <v>1</v>
      </c>
      <c r="N2054">
        <v>1.0987299999999999E-37</v>
      </c>
      <c r="O2054">
        <v>385</v>
      </c>
    </row>
    <row r="2055" spans="1:15" x14ac:dyDescent="0.25">
      <c r="A2055" t="s">
        <v>2068</v>
      </c>
      <c r="B2055">
        <v>673</v>
      </c>
      <c r="C2055" s="1" t="str">
        <f>HYPERLINK("http://www.rosaceae.org/gb/gbrowse/malus_x_domestica/?name=MDP0000221383","MDP0000221383")</f>
        <v>MDP0000221383</v>
      </c>
      <c r="D2055">
        <v>73.790000000000006</v>
      </c>
      <c r="E2055">
        <v>229</v>
      </c>
      <c r="F2055">
        <v>60</v>
      </c>
      <c r="G2055">
        <v>2</v>
      </c>
      <c r="H2055">
        <v>190</v>
      </c>
      <c r="I2055">
        <v>417</v>
      </c>
      <c r="J2055">
        <v>1</v>
      </c>
      <c r="K2055">
        <v>31</v>
      </c>
      <c r="L2055">
        <v>258</v>
      </c>
      <c r="M2055">
        <v>1</v>
      </c>
      <c r="N2055">
        <v>6.75362E-96</v>
      </c>
      <c r="O2055">
        <v>895</v>
      </c>
    </row>
    <row r="2056" spans="1:15" x14ac:dyDescent="0.25">
      <c r="A2056" t="s">
        <v>2069</v>
      </c>
      <c r="B2056">
        <v>332</v>
      </c>
      <c r="C2056" s="1" t="str">
        <f>HYPERLINK("http://www.rosaceae.org/gb/gbrowse/malus_x_domestica/?name=MDP0000159571","MDP0000159571")</f>
        <v>MDP0000159571</v>
      </c>
      <c r="D2056">
        <v>70.02</v>
      </c>
      <c r="E2056">
        <v>347</v>
      </c>
      <c r="F2056">
        <v>104</v>
      </c>
      <c r="G2056">
        <v>16</v>
      </c>
      <c r="H2056">
        <v>1</v>
      </c>
      <c r="I2056">
        <v>332</v>
      </c>
      <c r="J2056">
        <v>1</v>
      </c>
      <c r="K2056">
        <v>1</v>
      </c>
      <c r="L2056">
        <v>346</v>
      </c>
      <c r="M2056">
        <v>1</v>
      </c>
      <c r="N2056">
        <v>3.1885899999999998E-134</v>
      </c>
      <c r="O2056">
        <v>1222</v>
      </c>
    </row>
    <row r="2057" spans="1:15" x14ac:dyDescent="0.25">
      <c r="A2057" t="s">
        <v>2070</v>
      </c>
      <c r="B2057">
        <v>1127</v>
      </c>
      <c r="C2057" s="1" t="str">
        <f>HYPERLINK("http://www.rosaceae.org/gb/gbrowse/malus_x_domestica/?name=MDP0000275723","MDP0000275723")</f>
        <v>MDP0000275723</v>
      </c>
      <c r="D2057">
        <v>50.06</v>
      </c>
      <c r="E2057">
        <v>759</v>
      </c>
      <c r="F2057">
        <v>379</v>
      </c>
      <c r="G2057">
        <v>132</v>
      </c>
      <c r="H2057">
        <v>1</v>
      </c>
      <c r="I2057">
        <v>681</v>
      </c>
      <c r="J2057">
        <v>1</v>
      </c>
      <c r="K2057">
        <v>1</v>
      </c>
      <c r="L2057">
        <v>705</v>
      </c>
      <c r="M2057">
        <v>1</v>
      </c>
      <c r="N2057">
        <v>0</v>
      </c>
      <c r="O2057">
        <v>1694</v>
      </c>
    </row>
    <row r="2058" spans="1:15" x14ac:dyDescent="0.25">
      <c r="A2058" t="s">
        <v>2071</v>
      </c>
      <c r="B2058">
        <v>545</v>
      </c>
      <c r="C2058" s="1" t="str">
        <f>HYPERLINK("http://www.rosaceae.org/gb/gbrowse/malus_x_domestica/?name=MDP0000154937","MDP0000154937")</f>
        <v>MDP0000154937</v>
      </c>
      <c r="D2058">
        <v>73.66</v>
      </c>
      <c r="E2058">
        <v>543</v>
      </c>
      <c r="F2058">
        <v>143</v>
      </c>
      <c r="G2058">
        <v>10</v>
      </c>
      <c r="H2058">
        <v>5</v>
      </c>
      <c r="I2058">
        <v>540</v>
      </c>
      <c r="J2058">
        <v>1</v>
      </c>
      <c r="K2058">
        <v>9</v>
      </c>
      <c r="L2058">
        <v>548</v>
      </c>
      <c r="M2058">
        <v>1</v>
      </c>
      <c r="N2058">
        <v>0</v>
      </c>
      <c r="O2058">
        <v>2080</v>
      </c>
    </row>
    <row r="2059" spans="1:15" x14ac:dyDescent="0.25">
      <c r="A2059" t="s">
        <v>2072</v>
      </c>
      <c r="B2059">
        <v>280</v>
      </c>
      <c r="C2059" s="1" t="str">
        <f>HYPERLINK("http://www.rosaceae.org/gb/gbrowse/malus_x_domestica/?name=MDP0000377544","MDP0000377544")</f>
        <v>MDP0000377544</v>
      </c>
      <c r="D2059">
        <v>38.299999999999997</v>
      </c>
      <c r="E2059">
        <v>295</v>
      </c>
      <c r="F2059">
        <v>182</v>
      </c>
      <c r="G2059">
        <v>49</v>
      </c>
      <c r="H2059">
        <v>22</v>
      </c>
      <c r="I2059">
        <v>280</v>
      </c>
      <c r="J2059">
        <v>1</v>
      </c>
      <c r="K2059">
        <v>14</v>
      </c>
      <c r="L2059">
        <v>295</v>
      </c>
      <c r="M2059">
        <v>1</v>
      </c>
      <c r="N2059">
        <v>1.4642499999999999E-33</v>
      </c>
      <c r="O2059">
        <v>353</v>
      </c>
    </row>
    <row r="2060" spans="1:15" x14ac:dyDescent="0.25">
      <c r="A2060" t="s">
        <v>2073</v>
      </c>
      <c r="B2060">
        <v>908</v>
      </c>
      <c r="C2060" s="1" t="str">
        <f>HYPERLINK("http://www.rosaceae.org/gb/gbrowse/malus_x_domestica/?name=MDP0000222510","MDP0000222510")</f>
        <v>MDP0000222510</v>
      </c>
      <c r="D2060">
        <v>49.73</v>
      </c>
      <c r="E2060">
        <v>567</v>
      </c>
      <c r="F2060">
        <v>285</v>
      </c>
      <c r="G2060">
        <v>123</v>
      </c>
      <c r="H2060">
        <v>452</v>
      </c>
      <c r="I2060">
        <v>908</v>
      </c>
      <c r="J2060">
        <v>1</v>
      </c>
      <c r="K2060">
        <v>604</v>
      </c>
      <c r="L2060">
        <v>1157</v>
      </c>
      <c r="M2060">
        <v>1</v>
      </c>
      <c r="N2060">
        <v>3.8616199999999997E-124</v>
      </c>
      <c r="O2060">
        <v>1140</v>
      </c>
    </row>
    <row r="2061" spans="1:15" x14ac:dyDescent="0.25">
      <c r="A2061" t="s">
        <v>2074</v>
      </c>
      <c r="B2061">
        <v>778</v>
      </c>
      <c r="C2061" s="1" t="str">
        <f>HYPERLINK("http://www.rosaceae.org/gb/gbrowse/malus_x_domestica/?name=MDP0000169420","MDP0000169420")</f>
        <v>MDP0000169420</v>
      </c>
      <c r="D2061">
        <v>83.44</v>
      </c>
      <c r="E2061">
        <v>616</v>
      </c>
      <c r="F2061">
        <v>102</v>
      </c>
      <c r="G2061">
        <v>0</v>
      </c>
      <c r="H2061">
        <v>163</v>
      </c>
      <c r="I2061">
        <v>778</v>
      </c>
      <c r="J2061">
        <v>1</v>
      </c>
      <c r="K2061">
        <v>137</v>
      </c>
      <c r="L2061">
        <v>752</v>
      </c>
      <c r="M2061">
        <v>1</v>
      </c>
      <c r="N2061">
        <v>0</v>
      </c>
      <c r="O2061">
        <v>2806</v>
      </c>
    </row>
    <row r="2062" spans="1:15" x14ac:dyDescent="0.25">
      <c r="A2062" t="s">
        <v>2075</v>
      </c>
      <c r="B2062">
        <v>236</v>
      </c>
      <c r="C2062" s="1" t="str">
        <f>HYPERLINK("http://www.rosaceae.org/gb/gbrowse/malus_x_domestica/?name=MDP0000274576","MDP0000274576")</f>
        <v>MDP0000274576</v>
      </c>
      <c r="D2062">
        <v>81.650000000000006</v>
      </c>
      <c r="E2062">
        <v>218</v>
      </c>
      <c r="F2062">
        <v>40</v>
      </c>
      <c r="G2062">
        <v>19</v>
      </c>
      <c r="H2062">
        <v>1</v>
      </c>
      <c r="I2062">
        <v>218</v>
      </c>
      <c r="J2062">
        <v>1</v>
      </c>
      <c r="K2062">
        <v>1</v>
      </c>
      <c r="L2062">
        <v>199</v>
      </c>
      <c r="M2062">
        <v>1</v>
      </c>
      <c r="N2062">
        <v>4.9631199999999998E-100</v>
      </c>
      <c r="O2062">
        <v>925</v>
      </c>
    </row>
    <row r="2063" spans="1:15" x14ac:dyDescent="0.25">
      <c r="A2063" t="s">
        <v>2076</v>
      </c>
      <c r="B2063">
        <v>341</v>
      </c>
      <c r="C2063" s="1" t="str">
        <f>HYPERLINK("http://www.rosaceae.org/gb/gbrowse/malus_x_domestica/?name=MDP0000334473","MDP0000334473")</f>
        <v>MDP0000334473</v>
      </c>
      <c r="D2063">
        <v>82.11</v>
      </c>
      <c r="E2063">
        <v>341</v>
      </c>
      <c r="F2063">
        <v>61</v>
      </c>
      <c r="G2063">
        <v>0</v>
      </c>
      <c r="H2063">
        <v>1</v>
      </c>
      <c r="I2063">
        <v>341</v>
      </c>
      <c r="J2063">
        <v>1</v>
      </c>
      <c r="K2063">
        <v>1</v>
      </c>
      <c r="L2063">
        <v>341</v>
      </c>
      <c r="M2063">
        <v>1</v>
      </c>
      <c r="N2063">
        <v>4.7774400000000004E-168</v>
      </c>
      <c r="O2063">
        <v>1514</v>
      </c>
    </row>
    <row r="2064" spans="1:15" x14ac:dyDescent="0.25">
      <c r="A2064" t="s">
        <v>2077</v>
      </c>
      <c r="B2064">
        <v>274</v>
      </c>
      <c r="C2064" s="1" t="str">
        <f>HYPERLINK("http://www.rosaceae.org/gb/gbrowse/malus_x_domestica/?name=MDP0000249278","MDP0000249278")</f>
        <v>MDP0000249278</v>
      </c>
      <c r="D2064">
        <v>74.72</v>
      </c>
      <c r="E2064">
        <v>273</v>
      </c>
      <c r="F2064">
        <v>69</v>
      </c>
      <c r="G2064">
        <v>0</v>
      </c>
      <c r="H2064">
        <v>1</v>
      </c>
      <c r="I2064">
        <v>273</v>
      </c>
      <c r="J2064">
        <v>1</v>
      </c>
      <c r="K2064">
        <v>316</v>
      </c>
      <c r="L2064">
        <v>588</v>
      </c>
      <c r="M2064">
        <v>1</v>
      </c>
      <c r="N2064">
        <v>8.7870199999999996E-123</v>
      </c>
      <c r="O2064">
        <v>1122</v>
      </c>
    </row>
    <row r="2065" spans="1:15" x14ac:dyDescent="0.25">
      <c r="A2065" t="s">
        <v>2078</v>
      </c>
      <c r="B2065">
        <v>395</v>
      </c>
      <c r="C2065" s="1" t="str">
        <f>HYPERLINK("http://www.rosaceae.org/gb/gbrowse/malus_x_domestica/?name=MDP0000253112","MDP0000253112")</f>
        <v>MDP0000253112</v>
      </c>
      <c r="D2065">
        <v>59.61</v>
      </c>
      <c r="E2065">
        <v>411</v>
      </c>
      <c r="F2065">
        <v>166</v>
      </c>
      <c r="G2065">
        <v>19</v>
      </c>
      <c r="H2065">
        <v>2</v>
      </c>
      <c r="I2065">
        <v>394</v>
      </c>
      <c r="J2065">
        <v>1</v>
      </c>
      <c r="K2065">
        <v>77</v>
      </c>
      <c r="L2065">
        <v>486</v>
      </c>
      <c r="M2065">
        <v>1</v>
      </c>
      <c r="N2065">
        <v>1.546E-142</v>
      </c>
      <c r="O2065">
        <v>1295</v>
      </c>
    </row>
    <row r="2066" spans="1:15" x14ac:dyDescent="0.25">
      <c r="A2066" t="s">
        <v>2079</v>
      </c>
      <c r="B2066">
        <v>1602</v>
      </c>
      <c r="C2066" s="1" t="str">
        <f>HYPERLINK("http://www.rosaceae.org/gb/gbrowse/malus_x_domestica/?name=MDP0000697771","MDP0000697771")</f>
        <v>MDP0000697771</v>
      </c>
      <c r="D2066">
        <v>98.91</v>
      </c>
      <c r="E2066">
        <v>92</v>
      </c>
      <c r="F2066">
        <v>1</v>
      </c>
      <c r="G2066">
        <v>0</v>
      </c>
      <c r="H2066">
        <v>1511</v>
      </c>
      <c r="I2066">
        <v>1602</v>
      </c>
      <c r="J2066">
        <v>1</v>
      </c>
      <c r="K2066">
        <v>1</v>
      </c>
      <c r="L2066">
        <v>92</v>
      </c>
      <c r="M2066">
        <v>1</v>
      </c>
      <c r="N2066">
        <v>8.0271099999999996E-47</v>
      </c>
      <c r="O2066">
        <v>475</v>
      </c>
    </row>
    <row r="2067" spans="1:15" x14ac:dyDescent="0.25">
      <c r="A2067" t="s">
        <v>2080</v>
      </c>
      <c r="B2067">
        <v>906</v>
      </c>
      <c r="C2067" s="1" t="str">
        <f>HYPERLINK("http://www.rosaceae.org/gb/gbrowse/malus_x_domestica/?name=MDP0000433022","MDP0000433022")</f>
        <v>MDP0000433022</v>
      </c>
      <c r="D2067">
        <v>30.75</v>
      </c>
      <c r="E2067">
        <v>647</v>
      </c>
      <c r="F2067">
        <v>448</v>
      </c>
      <c r="G2067">
        <v>122</v>
      </c>
      <c r="H2067">
        <v>269</v>
      </c>
      <c r="I2067">
        <v>883</v>
      </c>
      <c r="J2067">
        <v>1</v>
      </c>
      <c r="K2067">
        <v>103</v>
      </c>
      <c r="L2067">
        <v>659</v>
      </c>
      <c r="M2067">
        <v>1</v>
      </c>
      <c r="N2067">
        <v>3.6920099999999998E-40</v>
      </c>
      <c r="O2067">
        <v>415</v>
      </c>
    </row>
    <row r="2068" spans="1:15" x14ac:dyDescent="0.25">
      <c r="A2068" t="s">
        <v>2081</v>
      </c>
      <c r="B2068">
        <v>513</v>
      </c>
      <c r="C2068" s="1" t="str">
        <f>HYPERLINK("http://www.rosaceae.org/gb/gbrowse/malus_x_domestica/?name=MDP0000033670","MDP0000033670")</f>
        <v>MDP0000033670</v>
      </c>
      <c r="D2068">
        <v>76.83</v>
      </c>
      <c r="E2068">
        <v>505</v>
      </c>
      <c r="F2068">
        <v>117</v>
      </c>
      <c r="G2068">
        <v>0</v>
      </c>
      <c r="H2068">
        <v>1</v>
      </c>
      <c r="I2068">
        <v>505</v>
      </c>
      <c r="J2068">
        <v>1</v>
      </c>
      <c r="K2068">
        <v>1</v>
      </c>
      <c r="L2068">
        <v>505</v>
      </c>
      <c r="M2068">
        <v>1</v>
      </c>
      <c r="N2068">
        <v>0</v>
      </c>
      <c r="O2068">
        <v>2049</v>
      </c>
    </row>
    <row r="2069" spans="1:15" x14ac:dyDescent="0.25">
      <c r="A2069" t="s">
        <v>2082</v>
      </c>
      <c r="B2069">
        <v>209</v>
      </c>
      <c r="C2069" s="1" t="str">
        <f>HYPERLINK("http://www.rosaceae.org/gb/gbrowse/malus_x_domestica/?name=MDP0000499527","MDP0000499527")</f>
        <v>MDP0000499527</v>
      </c>
      <c r="D2069">
        <v>80.37</v>
      </c>
      <c r="E2069">
        <v>214</v>
      </c>
      <c r="F2069">
        <v>42</v>
      </c>
      <c r="G2069">
        <v>6</v>
      </c>
      <c r="H2069">
        <v>1</v>
      </c>
      <c r="I2069">
        <v>209</v>
      </c>
      <c r="J2069">
        <v>1</v>
      </c>
      <c r="K2069">
        <v>1</v>
      </c>
      <c r="L2069">
        <v>213</v>
      </c>
      <c r="M2069">
        <v>1</v>
      </c>
      <c r="N2069">
        <v>1.5572400000000001E-98</v>
      </c>
      <c r="O2069">
        <v>912</v>
      </c>
    </row>
    <row r="2070" spans="1:15" x14ac:dyDescent="0.25">
      <c r="A2070" t="s">
        <v>2083</v>
      </c>
      <c r="B2070">
        <v>121</v>
      </c>
      <c r="C2070" s="1" t="str">
        <f>HYPERLINK("http://www.rosaceae.org/gb/gbrowse/malus_x_domestica/?name=MDP0000256927","MDP0000256927")</f>
        <v>MDP0000256927</v>
      </c>
      <c r="D2070">
        <v>79.59</v>
      </c>
      <c r="E2070">
        <v>49</v>
      </c>
      <c r="F2070">
        <v>10</v>
      </c>
      <c r="G2070">
        <v>0</v>
      </c>
      <c r="H2070">
        <v>1</v>
      </c>
      <c r="I2070">
        <v>49</v>
      </c>
      <c r="J2070">
        <v>1</v>
      </c>
      <c r="K2070">
        <v>487</v>
      </c>
      <c r="L2070">
        <v>535</v>
      </c>
      <c r="M2070">
        <v>1</v>
      </c>
      <c r="N2070">
        <v>2.0204700000000002E-18</v>
      </c>
      <c r="O2070">
        <v>216</v>
      </c>
    </row>
    <row r="2071" spans="1:15" x14ac:dyDescent="0.25">
      <c r="A2071" t="s">
        <v>2084</v>
      </c>
      <c r="B2071">
        <v>77</v>
      </c>
      <c r="C2071" s="1" t="str">
        <f>HYPERLINK("http://www.rosaceae.org/gb/gbrowse/malus_x_domestica/?name=MDP0000922717","MDP0000922717")</f>
        <v>MDP0000922717</v>
      </c>
      <c r="D2071">
        <v>63.88</v>
      </c>
      <c r="E2071">
        <v>72</v>
      </c>
      <c r="F2071">
        <v>26</v>
      </c>
      <c r="G2071">
        <v>1</v>
      </c>
      <c r="H2071">
        <v>6</v>
      </c>
      <c r="I2071">
        <v>77</v>
      </c>
      <c r="J2071">
        <v>1</v>
      </c>
      <c r="K2071">
        <v>3</v>
      </c>
      <c r="L2071">
        <v>73</v>
      </c>
      <c r="M2071">
        <v>1</v>
      </c>
      <c r="N2071">
        <v>3.42092E-23</v>
      </c>
      <c r="O2071">
        <v>257</v>
      </c>
    </row>
    <row r="2072" spans="1:15" x14ac:dyDescent="0.25">
      <c r="A2072" t="s">
        <v>2085</v>
      </c>
      <c r="B2072">
        <v>379</v>
      </c>
      <c r="C2072" s="1" t="str">
        <f>HYPERLINK("http://www.rosaceae.org/gb/gbrowse/malus_x_domestica/?name=MDP0000304147","MDP0000304147")</f>
        <v>MDP0000304147</v>
      </c>
      <c r="D2072">
        <v>59.05</v>
      </c>
      <c r="E2072">
        <v>276</v>
      </c>
      <c r="F2072">
        <v>113</v>
      </c>
      <c r="G2072">
        <v>22</v>
      </c>
      <c r="H2072">
        <v>1</v>
      </c>
      <c r="I2072">
        <v>255</v>
      </c>
      <c r="J2072">
        <v>1</v>
      </c>
      <c r="K2072">
        <v>1</v>
      </c>
      <c r="L2072">
        <v>275</v>
      </c>
      <c r="M2072">
        <v>1</v>
      </c>
      <c r="N2072">
        <v>1.3304799999999999E-86</v>
      </c>
      <c r="O2072">
        <v>812</v>
      </c>
    </row>
    <row r="2073" spans="1:15" x14ac:dyDescent="0.25">
      <c r="A2073" t="s">
        <v>2086</v>
      </c>
      <c r="B2073">
        <v>428</v>
      </c>
      <c r="C2073" s="1" t="str">
        <f>HYPERLINK("http://www.rosaceae.org/gb/gbrowse/malus_x_domestica/?name=MDP0000248981","MDP0000248981")</f>
        <v>MDP0000248981</v>
      </c>
      <c r="D2073">
        <v>79.06</v>
      </c>
      <c r="E2073">
        <v>387</v>
      </c>
      <c r="F2073">
        <v>81</v>
      </c>
      <c r="G2073">
        <v>17</v>
      </c>
      <c r="H2073">
        <v>56</v>
      </c>
      <c r="I2073">
        <v>425</v>
      </c>
      <c r="J2073">
        <v>1</v>
      </c>
      <c r="K2073">
        <v>1</v>
      </c>
      <c r="L2073">
        <v>387</v>
      </c>
      <c r="M2073">
        <v>1</v>
      </c>
      <c r="N2073">
        <v>0</v>
      </c>
      <c r="O2073">
        <v>1681</v>
      </c>
    </row>
    <row r="2074" spans="1:15" x14ac:dyDescent="0.25">
      <c r="A2074" t="s">
        <v>2087</v>
      </c>
      <c r="B2074">
        <v>363</v>
      </c>
      <c r="C2074" s="1" t="str">
        <f>HYPERLINK("http://www.rosaceae.org/gb/gbrowse/malus_x_domestica/?name=MDP0000792734","MDP0000792734")</f>
        <v>MDP0000792734</v>
      </c>
      <c r="D2074">
        <v>47.75</v>
      </c>
      <c r="E2074">
        <v>400</v>
      </c>
      <c r="F2074">
        <v>209</v>
      </c>
      <c r="G2074">
        <v>46</v>
      </c>
      <c r="H2074">
        <v>1</v>
      </c>
      <c r="I2074">
        <v>354</v>
      </c>
      <c r="J2074">
        <v>1</v>
      </c>
      <c r="K2074">
        <v>4</v>
      </c>
      <c r="L2074">
        <v>403</v>
      </c>
      <c r="M2074">
        <v>1</v>
      </c>
      <c r="N2074">
        <v>6.9677199999999997E-96</v>
      </c>
      <c r="O2074">
        <v>892</v>
      </c>
    </row>
    <row r="2075" spans="1:15" x14ac:dyDescent="0.25">
      <c r="A2075" t="s">
        <v>2088</v>
      </c>
      <c r="B2075">
        <v>683</v>
      </c>
      <c r="C2075" s="1" t="str">
        <f>HYPERLINK("http://www.rosaceae.org/gb/gbrowse/malus_x_domestica/?name=MDP0000378145","MDP0000378145")</f>
        <v>MDP0000378145</v>
      </c>
      <c r="D2075">
        <v>84.96</v>
      </c>
      <c r="E2075">
        <v>685</v>
      </c>
      <c r="F2075">
        <v>103</v>
      </c>
      <c r="G2075">
        <v>5</v>
      </c>
      <c r="H2075">
        <v>1</v>
      </c>
      <c r="I2075">
        <v>683</v>
      </c>
      <c r="J2075">
        <v>1</v>
      </c>
      <c r="K2075">
        <v>32</v>
      </c>
      <c r="L2075">
        <v>713</v>
      </c>
      <c r="M2075">
        <v>1</v>
      </c>
      <c r="N2075">
        <v>0</v>
      </c>
      <c r="O2075">
        <v>2985</v>
      </c>
    </row>
    <row r="2076" spans="1:15" x14ac:dyDescent="0.25">
      <c r="A2076" t="s">
        <v>2089</v>
      </c>
      <c r="B2076">
        <v>212</v>
      </c>
      <c r="C2076" s="1" t="str">
        <f>HYPERLINK("http://www.rosaceae.org/gb/gbrowse/malus_x_domestica/?name=MDP0000303269","MDP0000303269")</f>
        <v>MDP0000303269</v>
      </c>
      <c r="D2076">
        <v>68.22</v>
      </c>
      <c r="E2076">
        <v>214</v>
      </c>
      <c r="F2076">
        <v>68</v>
      </c>
      <c r="G2076">
        <v>3</v>
      </c>
      <c r="H2076">
        <v>1</v>
      </c>
      <c r="I2076">
        <v>212</v>
      </c>
      <c r="J2076">
        <v>1</v>
      </c>
      <c r="K2076">
        <v>45</v>
      </c>
      <c r="L2076">
        <v>257</v>
      </c>
      <c r="M2076">
        <v>1</v>
      </c>
      <c r="N2076">
        <v>2.2862899999999999E-75</v>
      </c>
      <c r="O2076">
        <v>712</v>
      </c>
    </row>
    <row r="2077" spans="1:15" x14ac:dyDescent="0.25">
      <c r="A2077" t="s">
        <v>2090</v>
      </c>
      <c r="B2077">
        <v>315</v>
      </c>
      <c r="C2077" s="1" t="str">
        <f>HYPERLINK("http://www.rosaceae.org/gb/gbrowse/malus_x_domestica/?name=MDP0000371499","MDP0000371499")</f>
        <v>MDP0000371499</v>
      </c>
      <c r="D2077">
        <v>73.650000000000006</v>
      </c>
      <c r="E2077">
        <v>334</v>
      </c>
      <c r="F2077">
        <v>88</v>
      </c>
      <c r="G2077">
        <v>29</v>
      </c>
      <c r="H2077">
        <v>5</v>
      </c>
      <c r="I2077">
        <v>314</v>
      </c>
      <c r="J2077">
        <v>1</v>
      </c>
      <c r="K2077">
        <v>3</v>
      </c>
      <c r="L2077">
        <v>331</v>
      </c>
      <c r="M2077">
        <v>1</v>
      </c>
      <c r="N2077">
        <v>1.1888800000000001E-133</v>
      </c>
      <c r="O2077">
        <v>1217</v>
      </c>
    </row>
    <row r="2078" spans="1:15" x14ac:dyDescent="0.25">
      <c r="A2078" t="s">
        <v>2091</v>
      </c>
      <c r="B2078">
        <v>192</v>
      </c>
      <c r="C2078" s="1" t="str">
        <f>HYPERLINK("http://www.rosaceae.org/gb/gbrowse/malus_x_domestica/?name=MDP0000302363","MDP0000302363")</f>
        <v>MDP0000302363</v>
      </c>
      <c r="D2078">
        <v>84.84</v>
      </c>
      <c r="E2078">
        <v>99</v>
      </c>
      <c r="F2078">
        <v>15</v>
      </c>
      <c r="G2078">
        <v>0</v>
      </c>
      <c r="H2078">
        <v>15</v>
      </c>
      <c r="I2078">
        <v>113</v>
      </c>
      <c r="J2078">
        <v>1</v>
      </c>
      <c r="K2078">
        <v>133</v>
      </c>
      <c r="L2078">
        <v>231</v>
      </c>
      <c r="M2078">
        <v>1</v>
      </c>
      <c r="N2078">
        <v>1.4374400000000001E-46</v>
      </c>
      <c r="O2078">
        <v>463</v>
      </c>
    </row>
    <row r="2079" spans="1:15" x14ac:dyDescent="0.25">
      <c r="A2079" t="s">
        <v>2092</v>
      </c>
      <c r="B2079">
        <v>337</v>
      </c>
      <c r="C2079" s="1" t="str">
        <f>HYPERLINK("http://www.rosaceae.org/gb/gbrowse/malus_x_domestica/?name=MDP0000750292","MDP0000750292")</f>
        <v>MDP0000750292</v>
      </c>
      <c r="D2079">
        <v>70.66</v>
      </c>
      <c r="E2079">
        <v>75</v>
      </c>
      <c r="F2079">
        <v>22</v>
      </c>
      <c r="G2079">
        <v>2</v>
      </c>
      <c r="H2079">
        <v>1</v>
      </c>
      <c r="I2079">
        <v>73</v>
      </c>
      <c r="J2079">
        <v>1</v>
      </c>
      <c r="K2079">
        <v>1</v>
      </c>
      <c r="L2079">
        <v>75</v>
      </c>
      <c r="M2079">
        <v>1</v>
      </c>
      <c r="N2079">
        <v>2.89664E-22</v>
      </c>
      <c r="O2079">
        <v>257</v>
      </c>
    </row>
    <row r="2080" spans="1:15" x14ac:dyDescent="0.25">
      <c r="A2080" t="s">
        <v>2093</v>
      </c>
      <c r="B2080">
        <v>201</v>
      </c>
      <c r="C2080" s="1" t="str">
        <f>HYPERLINK("http://www.rosaceae.org/gb/gbrowse/malus_x_domestica/?name=MDP0000097240","MDP0000097240")</f>
        <v>MDP0000097240</v>
      </c>
      <c r="D2080">
        <v>76.92</v>
      </c>
      <c r="E2080">
        <v>169</v>
      </c>
      <c r="F2080">
        <v>39</v>
      </c>
      <c r="G2080">
        <v>7</v>
      </c>
      <c r="H2080">
        <v>1</v>
      </c>
      <c r="I2080">
        <v>162</v>
      </c>
      <c r="J2080">
        <v>1</v>
      </c>
      <c r="K2080">
        <v>1</v>
      </c>
      <c r="L2080">
        <v>169</v>
      </c>
      <c r="M2080">
        <v>1</v>
      </c>
      <c r="N2080">
        <v>1.6750300000000001E-64</v>
      </c>
      <c r="O2080">
        <v>618</v>
      </c>
    </row>
    <row r="2081" spans="1:15" x14ac:dyDescent="0.25">
      <c r="A2081" t="s">
        <v>2094</v>
      </c>
      <c r="B2081">
        <v>251</v>
      </c>
      <c r="C2081" s="1" t="str">
        <f>HYPERLINK("http://www.rosaceae.org/gb/gbrowse/malus_x_domestica/?name=MDP0000765650","MDP0000765650")</f>
        <v>MDP0000765650</v>
      </c>
      <c r="D2081">
        <v>33.57</v>
      </c>
      <c r="E2081">
        <v>137</v>
      </c>
      <c r="F2081">
        <v>91</v>
      </c>
      <c r="G2081">
        <v>19</v>
      </c>
      <c r="H2081">
        <v>19</v>
      </c>
      <c r="I2081">
        <v>147</v>
      </c>
      <c r="J2081">
        <v>1</v>
      </c>
      <c r="K2081">
        <v>17</v>
      </c>
      <c r="L2081">
        <v>142</v>
      </c>
      <c r="M2081">
        <v>1</v>
      </c>
      <c r="N2081">
        <v>3.4227299999999998E-9</v>
      </c>
      <c r="O2081">
        <v>142</v>
      </c>
    </row>
    <row r="2082" spans="1:15" x14ac:dyDescent="0.25">
      <c r="A2082" t="s">
        <v>2095</v>
      </c>
      <c r="B2082">
        <v>427</v>
      </c>
      <c r="C2082" s="1" t="str">
        <f>HYPERLINK("http://www.rosaceae.org/gb/gbrowse/malus_x_domestica/?name=MDP0000672840","MDP0000672840")</f>
        <v>MDP0000672840</v>
      </c>
      <c r="D2082">
        <v>42.3</v>
      </c>
      <c r="E2082">
        <v>416</v>
      </c>
      <c r="F2082">
        <v>240</v>
      </c>
      <c r="G2082">
        <v>48</v>
      </c>
      <c r="H2082">
        <v>45</v>
      </c>
      <c r="I2082">
        <v>427</v>
      </c>
      <c r="J2082">
        <v>1</v>
      </c>
      <c r="K2082">
        <v>2</v>
      </c>
      <c r="L2082">
        <v>402</v>
      </c>
      <c r="M2082">
        <v>1</v>
      </c>
      <c r="N2082">
        <v>3.41505E-73</v>
      </c>
      <c r="O2082">
        <v>697</v>
      </c>
    </row>
    <row r="2083" spans="1:15" x14ac:dyDescent="0.25">
      <c r="A2083" t="s">
        <v>2096</v>
      </c>
      <c r="B2083">
        <v>378</v>
      </c>
      <c r="C2083" s="1" t="str">
        <f>HYPERLINK("http://www.rosaceae.org/gb/gbrowse/malus_x_domestica/?name=MDP0000315537","MDP0000315537")</f>
        <v>MDP0000315537</v>
      </c>
      <c r="D2083">
        <v>91.6</v>
      </c>
      <c r="E2083">
        <v>143</v>
      </c>
      <c r="F2083">
        <v>12</v>
      </c>
      <c r="G2083">
        <v>1</v>
      </c>
      <c r="H2083">
        <v>2</v>
      </c>
      <c r="I2083">
        <v>143</v>
      </c>
      <c r="J2083">
        <v>1</v>
      </c>
      <c r="K2083">
        <v>61</v>
      </c>
      <c r="L2083">
        <v>203</v>
      </c>
      <c r="M2083">
        <v>1</v>
      </c>
      <c r="N2083">
        <v>9.0001800000000001E-70</v>
      </c>
      <c r="O2083">
        <v>667</v>
      </c>
    </row>
    <row r="2084" spans="1:15" x14ac:dyDescent="0.25">
      <c r="A2084" t="s">
        <v>2097</v>
      </c>
      <c r="B2084">
        <v>1128</v>
      </c>
      <c r="C2084" s="1" t="str">
        <f>HYPERLINK("http://www.rosaceae.org/gb/gbrowse/malus_x_domestica/?name=MDP0000210995","MDP0000210995")</f>
        <v>MDP0000210995</v>
      </c>
      <c r="D2084">
        <v>91.43</v>
      </c>
      <c r="E2084">
        <v>257</v>
      </c>
      <c r="F2084">
        <v>22</v>
      </c>
      <c r="G2084">
        <v>0</v>
      </c>
      <c r="H2084">
        <v>860</v>
      </c>
      <c r="I2084">
        <v>1116</v>
      </c>
      <c r="J2084">
        <v>1</v>
      </c>
      <c r="K2084">
        <v>71</v>
      </c>
      <c r="L2084">
        <v>327</v>
      </c>
      <c r="M2084">
        <v>1</v>
      </c>
      <c r="N2084">
        <v>6.0703800000000001E-138</v>
      </c>
      <c r="O2084">
        <v>1260</v>
      </c>
    </row>
    <row r="2085" spans="1:15" x14ac:dyDescent="0.25">
      <c r="A2085" t="s">
        <v>2098</v>
      </c>
      <c r="B2085">
        <v>358</v>
      </c>
      <c r="C2085" s="1" t="str">
        <f>HYPERLINK("http://www.rosaceae.org/gb/gbrowse/malus_x_domestica/?name=MDP0000249209","MDP0000249209")</f>
        <v>MDP0000249209</v>
      </c>
      <c r="D2085">
        <v>83.79</v>
      </c>
      <c r="E2085">
        <v>358</v>
      </c>
      <c r="F2085">
        <v>58</v>
      </c>
      <c r="G2085">
        <v>2</v>
      </c>
      <c r="H2085">
        <v>2</v>
      </c>
      <c r="I2085">
        <v>358</v>
      </c>
      <c r="J2085">
        <v>1</v>
      </c>
      <c r="K2085">
        <v>49</v>
      </c>
      <c r="L2085">
        <v>405</v>
      </c>
      <c r="M2085">
        <v>1</v>
      </c>
      <c r="N2085">
        <v>3.6632700000000002E-174</v>
      </c>
      <c r="O2085">
        <v>1567</v>
      </c>
    </row>
    <row r="2086" spans="1:15" x14ac:dyDescent="0.25">
      <c r="A2086" t="s">
        <v>2099</v>
      </c>
      <c r="B2086">
        <v>176</v>
      </c>
      <c r="C2086" s="1" t="str">
        <f>HYPERLINK("http://www.rosaceae.org/gb/gbrowse/malus_x_domestica/?name=MDP0000517743","MDP0000517743")</f>
        <v>MDP0000517743</v>
      </c>
      <c r="D2086">
        <v>23.6</v>
      </c>
      <c r="E2086">
        <v>161</v>
      </c>
      <c r="F2086">
        <v>123</v>
      </c>
      <c r="G2086">
        <v>15</v>
      </c>
      <c r="H2086">
        <v>5</v>
      </c>
      <c r="I2086">
        <v>153</v>
      </c>
      <c r="J2086">
        <v>1</v>
      </c>
      <c r="K2086">
        <v>163</v>
      </c>
      <c r="L2086">
        <v>320</v>
      </c>
      <c r="M2086">
        <v>1</v>
      </c>
      <c r="N2086">
        <v>6.71891E-11</v>
      </c>
      <c r="O2086">
        <v>155</v>
      </c>
    </row>
    <row r="2087" spans="1:15" x14ac:dyDescent="0.25">
      <c r="A2087" t="s">
        <v>2100</v>
      </c>
      <c r="B2087">
        <v>585</v>
      </c>
      <c r="C2087" s="1" t="str">
        <f>HYPERLINK("http://www.rosaceae.org/gb/gbrowse/malus_x_domestica/?name=MDP0000247921","MDP0000247921")</f>
        <v>MDP0000247921</v>
      </c>
      <c r="D2087">
        <v>27.25</v>
      </c>
      <c r="E2087">
        <v>433</v>
      </c>
      <c r="F2087">
        <v>315</v>
      </c>
      <c r="G2087">
        <v>27</v>
      </c>
      <c r="H2087">
        <v>33</v>
      </c>
      <c r="I2087">
        <v>440</v>
      </c>
      <c r="J2087">
        <v>1</v>
      </c>
      <c r="K2087">
        <v>697</v>
      </c>
      <c r="L2087">
        <v>1127</v>
      </c>
      <c r="M2087">
        <v>1</v>
      </c>
      <c r="N2087">
        <v>2.00222E-40</v>
      </c>
      <c r="O2087">
        <v>416</v>
      </c>
    </row>
    <row r="2088" spans="1:15" x14ac:dyDescent="0.25">
      <c r="A2088" t="s">
        <v>2101</v>
      </c>
      <c r="B2088">
        <v>80</v>
      </c>
      <c r="C2088" s="1" t="str">
        <f>HYPERLINK("http://www.rosaceae.org/gb/gbrowse/malus_x_domestica/?name=MDP0000262614","MDP0000262614")</f>
        <v>MDP0000262614</v>
      </c>
      <c r="D2088">
        <v>39.39</v>
      </c>
      <c r="E2088">
        <v>99</v>
      </c>
      <c r="F2088">
        <v>60</v>
      </c>
      <c r="G2088">
        <v>22</v>
      </c>
      <c r="H2088">
        <v>1</v>
      </c>
      <c r="I2088">
        <v>80</v>
      </c>
      <c r="J2088">
        <v>1</v>
      </c>
      <c r="K2088">
        <v>285</v>
      </c>
      <c r="L2088">
        <v>380</v>
      </c>
      <c r="M2088">
        <v>1</v>
      </c>
      <c r="N2088">
        <v>4.3371900000000002E-7</v>
      </c>
      <c r="O2088">
        <v>119</v>
      </c>
    </row>
    <row r="2089" spans="1:15" x14ac:dyDescent="0.25">
      <c r="A2089" t="s">
        <v>2102</v>
      </c>
      <c r="B2089">
        <v>280</v>
      </c>
      <c r="C2089" s="1" t="str">
        <f>HYPERLINK("http://www.rosaceae.org/gb/gbrowse/malus_x_domestica/?name=MDP0000273159","MDP0000273159")</f>
        <v>MDP0000273159</v>
      </c>
      <c r="D2089">
        <v>59.18</v>
      </c>
      <c r="E2089">
        <v>294</v>
      </c>
      <c r="F2089">
        <v>120</v>
      </c>
      <c r="G2089">
        <v>15</v>
      </c>
      <c r="H2089">
        <v>1</v>
      </c>
      <c r="I2089">
        <v>279</v>
      </c>
      <c r="J2089">
        <v>1</v>
      </c>
      <c r="K2089">
        <v>1</v>
      </c>
      <c r="L2089">
        <v>294</v>
      </c>
      <c r="M2089">
        <v>1</v>
      </c>
      <c r="N2089">
        <v>2.9271800000000002E-90</v>
      </c>
      <c r="O2089">
        <v>842</v>
      </c>
    </row>
    <row r="2090" spans="1:15" x14ac:dyDescent="0.25">
      <c r="A2090" t="s">
        <v>2103</v>
      </c>
      <c r="B2090">
        <v>377</v>
      </c>
      <c r="C2090" s="1" t="str">
        <f>HYPERLINK("http://www.rosaceae.org/gb/gbrowse/malus_x_domestica/?name=MDP0000273257","MDP0000273257")</f>
        <v>MDP0000273257</v>
      </c>
      <c r="D2090">
        <v>63.88</v>
      </c>
      <c r="E2090">
        <v>360</v>
      </c>
      <c r="F2090">
        <v>130</v>
      </c>
      <c r="G2090">
        <v>22</v>
      </c>
      <c r="H2090">
        <v>18</v>
      </c>
      <c r="I2090">
        <v>377</v>
      </c>
      <c r="J2090">
        <v>1</v>
      </c>
      <c r="K2090">
        <v>19</v>
      </c>
      <c r="L2090">
        <v>356</v>
      </c>
      <c r="M2090">
        <v>1</v>
      </c>
      <c r="N2090">
        <v>6.59221E-124</v>
      </c>
      <c r="O2090">
        <v>1134</v>
      </c>
    </row>
    <row r="2091" spans="1:15" x14ac:dyDescent="0.25">
      <c r="A2091" t="s">
        <v>2104</v>
      </c>
      <c r="B2091">
        <v>342</v>
      </c>
      <c r="C2091" s="1" t="str">
        <f>HYPERLINK("http://www.rosaceae.org/gb/gbrowse/malus_x_domestica/?name=MDP0000614476","MDP0000614476")</f>
        <v>MDP0000614476</v>
      </c>
      <c r="D2091">
        <v>82.7</v>
      </c>
      <c r="E2091">
        <v>347</v>
      </c>
      <c r="F2091">
        <v>60</v>
      </c>
      <c r="G2091">
        <v>5</v>
      </c>
      <c r="H2091">
        <v>1</v>
      </c>
      <c r="I2091">
        <v>342</v>
      </c>
      <c r="J2091">
        <v>1</v>
      </c>
      <c r="K2091">
        <v>1</v>
      </c>
      <c r="L2091">
        <v>347</v>
      </c>
      <c r="M2091">
        <v>1</v>
      </c>
      <c r="N2091">
        <v>3.9575599999999996E-170</v>
      </c>
      <c r="O2091">
        <v>1532</v>
      </c>
    </row>
    <row r="2092" spans="1:15" x14ac:dyDescent="0.25">
      <c r="A2092" t="s">
        <v>2105</v>
      </c>
      <c r="B2092">
        <v>728</v>
      </c>
      <c r="C2092" s="1" t="str">
        <f>HYPERLINK("http://www.rosaceae.org/gb/gbrowse/malus_x_domestica/?name=MDP0000185801","MDP0000185801")</f>
        <v>MDP0000185801</v>
      </c>
      <c r="D2092">
        <v>47.71</v>
      </c>
      <c r="E2092">
        <v>306</v>
      </c>
      <c r="F2092">
        <v>160</v>
      </c>
      <c r="G2092">
        <v>20</v>
      </c>
      <c r="H2092">
        <v>367</v>
      </c>
      <c r="I2092">
        <v>669</v>
      </c>
      <c r="J2092">
        <v>1</v>
      </c>
      <c r="K2092">
        <v>86</v>
      </c>
      <c r="L2092">
        <v>374</v>
      </c>
      <c r="M2092">
        <v>1</v>
      </c>
      <c r="N2092">
        <v>1.24514E-72</v>
      </c>
      <c r="O2092">
        <v>694</v>
      </c>
    </row>
    <row r="2093" spans="1:15" x14ac:dyDescent="0.25">
      <c r="A2093" t="s">
        <v>2106</v>
      </c>
      <c r="B2093">
        <v>363</v>
      </c>
      <c r="C2093" s="1" t="str">
        <f>HYPERLINK("http://www.rosaceae.org/gb/gbrowse/malus_x_domestica/?name=MDP0000237989","MDP0000237989")</f>
        <v>MDP0000237989</v>
      </c>
      <c r="D2093">
        <v>71.22</v>
      </c>
      <c r="E2093">
        <v>358</v>
      </c>
      <c r="F2093">
        <v>103</v>
      </c>
      <c r="G2093">
        <v>24</v>
      </c>
      <c r="H2093">
        <v>7</v>
      </c>
      <c r="I2093">
        <v>362</v>
      </c>
      <c r="J2093">
        <v>1</v>
      </c>
      <c r="K2093">
        <v>294</v>
      </c>
      <c r="L2093">
        <v>629</v>
      </c>
      <c r="M2093">
        <v>1</v>
      </c>
      <c r="N2093">
        <v>6.00224E-150</v>
      </c>
      <c r="O2093">
        <v>1358</v>
      </c>
    </row>
    <row r="2094" spans="1:15" x14ac:dyDescent="0.25">
      <c r="A2094" t="s">
        <v>2107</v>
      </c>
      <c r="B2094">
        <v>880</v>
      </c>
      <c r="C2094" s="1" t="str">
        <f>HYPERLINK("http://www.rosaceae.org/gb/gbrowse/malus_x_domestica/?name=MDP0000155593","MDP0000155593")</f>
        <v>MDP0000155593</v>
      </c>
      <c r="D2094">
        <v>82.03</v>
      </c>
      <c r="E2094">
        <v>629</v>
      </c>
      <c r="F2094">
        <v>113</v>
      </c>
      <c r="G2094">
        <v>56</v>
      </c>
      <c r="H2094">
        <v>224</v>
      </c>
      <c r="I2094">
        <v>800</v>
      </c>
      <c r="J2094">
        <v>1</v>
      </c>
      <c r="K2094">
        <v>4</v>
      </c>
      <c r="L2094">
        <v>628</v>
      </c>
      <c r="M2094">
        <v>1</v>
      </c>
      <c r="N2094">
        <v>0</v>
      </c>
      <c r="O2094">
        <v>2742</v>
      </c>
    </row>
    <row r="2095" spans="1:15" x14ac:dyDescent="0.25">
      <c r="A2095" t="s">
        <v>2108</v>
      </c>
      <c r="B2095">
        <v>355</v>
      </c>
      <c r="C2095" s="1" t="str">
        <f>HYPERLINK("http://www.rosaceae.org/gb/gbrowse/malus_x_domestica/?name=MDP0000644979","MDP0000644979")</f>
        <v>MDP0000644979</v>
      </c>
      <c r="D2095">
        <v>72.19</v>
      </c>
      <c r="E2095">
        <v>356</v>
      </c>
      <c r="F2095">
        <v>99</v>
      </c>
      <c r="G2095">
        <v>3</v>
      </c>
      <c r="H2095">
        <v>1</v>
      </c>
      <c r="I2095">
        <v>353</v>
      </c>
      <c r="J2095">
        <v>1</v>
      </c>
      <c r="K2095">
        <v>5</v>
      </c>
      <c r="L2095">
        <v>360</v>
      </c>
      <c r="M2095">
        <v>1</v>
      </c>
      <c r="N2095">
        <v>1.22113E-152</v>
      </c>
      <c r="O2095">
        <v>1381</v>
      </c>
    </row>
    <row r="2096" spans="1:15" x14ac:dyDescent="0.25">
      <c r="A2096" t="s">
        <v>2109</v>
      </c>
      <c r="B2096">
        <v>726</v>
      </c>
      <c r="C2096" s="1" t="str">
        <f>HYPERLINK("http://www.rosaceae.org/gb/gbrowse/malus_x_domestica/?name=MDP0000774498","MDP0000774498")</f>
        <v>MDP0000774498</v>
      </c>
      <c r="D2096">
        <v>52.72</v>
      </c>
      <c r="E2096">
        <v>753</v>
      </c>
      <c r="F2096">
        <v>356</v>
      </c>
      <c r="G2096">
        <v>58</v>
      </c>
      <c r="H2096">
        <v>1</v>
      </c>
      <c r="I2096">
        <v>726</v>
      </c>
      <c r="J2096">
        <v>1</v>
      </c>
      <c r="K2096">
        <v>1</v>
      </c>
      <c r="L2096">
        <v>722</v>
      </c>
      <c r="M2096">
        <v>1</v>
      </c>
      <c r="N2096">
        <v>0</v>
      </c>
      <c r="O2096">
        <v>1661</v>
      </c>
    </row>
    <row r="2097" spans="1:15" x14ac:dyDescent="0.25">
      <c r="A2097" t="s">
        <v>2110</v>
      </c>
      <c r="B2097">
        <v>118</v>
      </c>
      <c r="C2097" s="1" t="str">
        <f>HYPERLINK("http://www.rosaceae.org/gb/gbrowse/malus_x_domestica/?name=MDP0000339918","MDP0000339918")</f>
        <v>MDP0000339918</v>
      </c>
      <c r="D2097">
        <v>93.22</v>
      </c>
      <c r="E2097">
        <v>118</v>
      </c>
      <c r="F2097">
        <v>8</v>
      </c>
      <c r="G2097">
        <v>0</v>
      </c>
      <c r="H2097">
        <v>1</v>
      </c>
      <c r="I2097">
        <v>118</v>
      </c>
      <c r="J2097">
        <v>1</v>
      </c>
      <c r="K2097">
        <v>24</v>
      </c>
      <c r="L2097">
        <v>141</v>
      </c>
      <c r="M2097">
        <v>1</v>
      </c>
      <c r="N2097">
        <v>6.6991000000000003E-61</v>
      </c>
      <c r="O2097">
        <v>583</v>
      </c>
    </row>
    <row r="2098" spans="1:15" x14ac:dyDescent="0.25">
      <c r="A2098" t="s">
        <v>2111</v>
      </c>
      <c r="B2098">
        <v>644</v>
      </c>
      <c r="C2098" s="1" t="str">
        <f>HYPERLINK("http://www.rosaceae.org/gb/gbrowse/malus_x_domestica/?name=MDP0000139743","MDP0000139743")</f>
        <v>MDP0000139743</v>
      </c>
      <c r="D2098">
        <v>80.23</v>
      </c>
      <c r="E2098">
        <v>430</v>
      </c>
      <c r="F2098">
        <v>85</v>
      </c>
      <c r="G2098">
        <v>2</v>
      </c>
      <c r="H2098">
        <v>194</v>
      </c>
      <c r="I2098">
        <v>621</v>
      </c>
      <c r="J2098">
        <v>1</v>
      </c>
      <c r="K2098">
        <v>16</v>
      </c>
      <c r="L2098">
        <v>445</v>
      </c>
      <c r="M2098">
        <v>1</v>
      </c>
      <c r="N2098">
        <v>0</v>
      </c>
      <c r="O2098">
        <v>1804</v>
      </c>
    </row>
    <row r="2099" spans="1:15" x14ac:dyDescent="0.25">
      <c r="A2099" t="s">
        <v>2112</v>
      </c>
      <c r="B2099">
        <v>496</v>
      </c>
      <c r="C2099" s="1" t="str">
        <f>HYPERLINK("http://www.rosaceae.org/gb/gbrowse/malus_x_domestica/?name=MDP0000299588","MDP0000299588")</f>
        <v>MDP0000299588</v>
      </c>
      <c r="D2099">
        <v>73.989999999999995</v>
      </c>
      <c r="E2099">
        <v>423</v>
      </c>
      <c r="F2099">
        <v>110</v>
      </c>
      <c r="G2099">
        <v>30</v>
      </c>
      <c r="H2099">
        <v>31</v>
      </c>
      <c r="I2099">
        <v>426</v>
      </c>
      <c r="J2099">
        <v>1</v>
      </c>
      <c r="K2099">
        <v>564</v>
      </c>
      <c r="L2099">
        <v>983</v>
      </c>
      <c r="M2099">
        <v>1</v>
      </c>
      <c r="N2099">
        <v>8.7872899999999998E-175</v>
      </c>
      <c r="O2099">
        <v>1574</v>
      </c>
    </row>
    <row r="2100" spans="1:15" x14ac:dyDescent="0.25">
      <c r="A2100" t="s">
        <v>2113</v>
      </c>
      <c r="B2100">
        <v>1050</v>
      </c>
      <c r="C2100" s="1" t="str">
        <f>HYPERLINK("http://www.rosaceae.org/gb/gbrowse/malus_x_domestica/?name=MDP0000166028","MDP0000166028")</f>
        <v>MDP0000166028</v>
      </c>
      <c r="D2100">
        <v>63.16</v>
      </c>
      <c r="E2100">
        <v>1067</v>
      </c>
      <c r="F2100">
        <v>393</v>
      </c>
      <c r="G2100">
        <v>91</v>
      </c>
      <c r="H2100">
        <v>33</v>
      </c>
      <c r="I2100">
        <v>1048</v>
      </c>
      <c r="J2100">
        <v>1</v>
      </c>
      <c r="K2100">
        <v>99</v>
      </c>
      <c r="L2100">
        <v>1125</v>
      </c>
      <c r="M2100">
        <v>1</v>
      </c>
      <c r="N2100">
        <v>0</v>
      </c>
      <c r="O2100">
        <v>3199</v>
      </c>
    </row>
    <row r="2101" spans="1:15" x14ac:dyDescent="0.25">
      <c r="A2101" t="s">
        <v>2114</v>
      </c>
      <c r="B2101">
        <v>515</v>
      </c>
      <c r="C2101" s="1" t="str">
        <f>HYPERLINK("http://www.rosaceae.org/gb/gbrowse/malus_x_domestica/?name=MDP0000779624","MDP0000779624")</f>
        <v>MDP0000779624</v>
      </c>
      <c r="D2101">
        <v>86.68</v>
      </c>
      <c r="E2101">
        <v>488</v>
      </c>
      <c r="F2101">
        <v>65</v>
      </c>
      <c r="G2101">
        <v>1</v>
      </c>
      <c r="H2101">
        <v>1</v>
      </c>
      <c r="I2101">
        <v>488</v>
      </c>
      <c r="J2101">
        <v>1</v>
      </c>
      <c r="K2101">
        <v>6</v>
      </c>
      <c r="L2101">
        <v>492</v>
      </c>
      <c r="M2101">
        <v>1</v>
      </c>
      <c r="N2101">
        <v>0</v>
      </c>
      <c r="O2101">
        <v>2311</v>
      </c>
    </row>
    <row r="2102" spans="1:15" x14ac:dyDescent="0.25">
      <c r="A2102" t="s">
        <v>2115</v>
      </c>
      <c r="B2102">
        <v>257</v>
      </c>
      <c r="C2102" s="1" t="str">
        <f>HYPERLINK("http://www.rosaceae.org/gb/gbrowse/malus_x_domestica/?name=MDP0000629143","MDP0000629143")</f>
        <v>MDP0000629143</v>
      </c>
      <c r="D2102">
        <v>80.45</v>
      </c>
      <c r="E2102">
        <v>174</v>
      </c>
      <c r="F2102">
        <v>34</v>
      </c>
      <c r="G2102">
        <v>16</v>
      </c>
      <c r="H2102">
        <v>5</v>
      </c>
      <c r="I2102">
        <v>162</v>
      </c>
      <c r="J2102">
        <v>1</v>
      </c>
      <c r="K2102">
        <v>11</v>
      </c>
      <c r="L2102">
        <v>184</v>
      </c>
      <c r="M2102">
        <v>1</v>
      </c>
      <c r="N2102">
        <v>1.6059E-78</v>
      </c>
      <c r="O2102">
        <v>740</v>
      </c>
    </row>
    <row r="2103" spans="1:15" x14ac:dyDescent="0.25">
      <c r="A2103" t="s">
        <v>2116</v>
      </c>
      <c r="B2103">
        <v>184</v>
      </c>
      <c r="C2103" s="1" t="str">
        <f>HYPERLINK("http://www.rosaceae.org/gb/gbrowse/malus_x_domestica/?name=MDP0000393956","MDP0000393956")</f>
        <v>MDP0000393956</v>
      </c>
      <c r="D2103">
        <v>49.59</v>
      </c>
      <c r="E2103">
        <v>123</v>
      </c>
      <c r="F2103">
        <v>62</v>
      </c>
      <c r="G2103">
        <v>5</v>
      </c>
      <c r="H2103">
        <v>41</v>
      </c>
      <c r="I2103">
        <v>158</v>
      </c>
      <c r="J2103">
        <v>1</v>
      </c>
      <c r="K2103">
        <v>50</v>
      </c>
      <c r="L2103">
        <v>172</v>
      </c>
      <c r="M2103">
        <v>1</v>
      </c>
      <c r="N2103">
        <v>1.0292E-23</v>
      </c>
      <c r="O2103">
        <v>265</v>
      </c>
    </row>
    <row r="2104" spans="1:15" x14ac:dyDescent="0.25">
      <c r="A2104" t="s">
        <v>2117</v>
      </c>
      <c r="B2104">
        <v>428</v>
      </c>
      <c r="C2104" s="1" t="str">
        <f>HYPERLINK("http://www.rosaceae.org/gb/gbrowse/malus_x_domestica/?name=MDP0000915330","MDP0000915330")</f>
        <v>MDP0000915330</v>
      </c>
      <c r="D2104">
        <v>58.16</v>
      </c>
      <c r="E2104">
        <v>294</v>
      </c>
      <c r="F2104">
        <v>123</v>
      </c>
      <c r="G2104">
        <v>27</v>
      </c>
      <c r="H2104">
        <v>154</v>
      </c>
      <c r="I2104">
        <v>428</v>
      </c>
      <c r="J2104">
        <v>1</v>
      </c>
      <c r="K2104">
        <v>10</v>
      </c>
      <c r="L2104">
        <v>295</v>
      </c>
      <c r="M2104">
        <v>1</v>
      </c>
      <c r="N2104">
        <v>7.5463099999999995E-83</v>
      </c>
      <c r="O2104">
        <v>780</v>
      </c>
    </row>
    <row r="2105" spans="1:15" x14ac:dyDescent="0.25">
      <c r="A2105" t="s">
        <v>2118</v>
      </c>
      <c r="B2105">
        <v>152</v>
      </c>
      <c r="C2105" s="1" t="str">
        <f>HYPERLINK("http://www.rosaceae.org/gb/gbrowse/malus_x_domestica/?name=MDP0000278340","MDP0000278340")</f>
        <v>MDP0000278340</v>
      </c>
      <c r="D2105">
        <v>63.75</v>
      </c>
      <c r="E2105">
        <v>160</v>
      </c>
      <c r="F2105">
        <v>58</v>
      </c>
      <c r="G2105">
        <v>12</v>
      </c>
      <c r="H2105">
        <v>1</v>
      </c>
      <c r="I2105">
        <v>152</v>
      </c>
      <c r="J2105">
        <v>1</v>
      </c>
      <c r="K2105">
        <v>617</v>
      </c>
      <c r="L2105">
        <v>772</v>
      </c>
      <c r="M2105">
        <v>1</v>
      </c>
      <c r="N2105">
        <v>2.5718799999999999E-50</v>
      </c>
      <c r="O2105">
        <v>493</v>
      </c>
    </row>
    <row r="2106" spans="1:15" x14ac:dyDescent="0.25">
      <c r="A2106" t="s">
        <v>2119</v>
      </c>
      <c r="B2106">
        <v>363</v>
      </c>
      <c r="C2106" s="1" t="str">
        <f>HYPERLINK("http://www.rosaceae.org/gb/gbrowse/malus_x_domestica/?name=MDP0000157644","MDP0000157644")</f>
        <v>MDP0000157644</v>
      </c>
      <c r="D2106">
        <v>42.74</v>
      </c>
      <c r="E2106">
        <v>262</v>
      </c>
      <c r="F2106">
        <v>150</v>
      </c>
      <c r="G2106">
        <v>10</v>
      </c>
      <c r="H2106">
        <v>83</v>
      </c>
      <c r="I2106">
        <v>337</v>
      </c>
      <c r="J2106">
        <v>1</v>
      </c>
      <c r="K2106">
        <v>209</v>
      </c>
      <c r="L2106">
        <v>467</v>
      </c>
      <c r="M2106">
        <v>1</v>
      </c>
      <c r="N2106">
        <v>1.39479E-61</v>
      </c>
      <c r="O2106">
        <v>596</v>
      </c>
    </row>
    <row r="2107" spans="1:15" x14ac:dyDescent="0.25">
      <c r="A2107" t="s">
        <v>2120</v>
      </c>
      <c r="B2107">
        <v>434</v>
      </c>
      <c r="C2107" s="1" t="str">
        <f>HYPERLINK("http://www.rosaceae.org/gb/gbrowse/malus_x_domestica/?name=MDP0000596919","MDP0000596919")</f>
        <v>MDP0000596919</v>
      </c>
      <c r="D2107">
        <v>75.88</v>
      </c>
      <c r="E2107">
        <v>282</v>
      </c>
      <c r="F2107">
        <v>68</v>
      </c>
      <c r="G2107">
        <v>9</v>
      </c>
      <c r="H2107">
        <v>1</v>
      </c>
      <c r="I2107">
        <v>282</v>
      </c>
      <c r="J2107">
        <v>1</v>
      </c>
      <c r="K2107">
        <v>1</v>
      </c>
      <c r="L2107">
        <v>273</v>
      </c>
      <c r="M2107">
        <v>1</v>
      </c>
      <c r="N2107">
        <v>5.2726799999999998E-117</v>
      </c>
      <c r="O2107">
        <v>1075</v>
      </c>
    </row>
    <row r="2108" spans="1:15" x14ac:dyDescent="0.25">
      <c r="A2108" t="s">
        <v>2121</v>
      </c>
      <c r="B2108">
        <v>468</v>
      </c>
      <c r="C2108" s="1" t="str">
        <f>HYPERLINK("http://www.rosaceae.org/gb/gbrowse/malus_x_domestica/?name=MDP0000289123","MDP0000289123")</f>
        <v>MDP0000289123</v>
      </c>
      <c r="D2108">
        <v>38.97</v>
      </c>
      <c r="E2108">
        <v>449</v>
      </c>
      <c r="F2108">
        <v>274</v>
      </c>
      <c r="G2108">
        <v>51</v>
      </c>
      <c r="H2108">
        <v>28</v>
      </c>
      <c r="I2108">
        <v>451</v>
      </c>
      <c r="J2108">
        <v>1</v>
      </c>
      <c r="K2108">
        <v>6</v>
      </c>
      <c r="L2108">
        <v>428</v>
      </c>
      <c r="M2108">
        <v>1</v>
      </c>
      <c r="N2108">
        <v>2.7452100000000001E-67</v>
      </c>
      <c r="O2108">
        <v>646</v>
      </c>
    </row>
    <row r="2109" spans="1:15" x14ac:dyDescent="0.25">
      <c r="A2109" t="s">
        <v>2122</v>
      </c>
      <c r="B2109">
        <v>368</v>
      </c>
      <c r="C2109" s="1" t="str">
        <f>HYPERLINK("http://www.rosaceae.org/gb/gbrowse/malus_x_domestica/?name=MDP0000217224","MDP0000217224")</f>
        <v>MDP0000217224</v>
      </c>
      <c r="D2109">
        <v>70.69</v>
      </c>
      <c r="E2109">
        <v>372</v>
      </c>
      <c r="F2109">
        <v>109</v>
      </c>
      <c r="G2109">
        <v>12</v>
      </c>
      <c r="H2109">
        <v>1</v>
      </c>
      <c r="I2109">
        <v>363</v>
      </c>
      <c r="J2109">
        <v>1</v>
      </c>
      <c r="K2109">
        <v>18</v>
      </c>
      <c r="L2109">
        <v>386</v>
      </c>
      <c r="M2109">
        <v>1</v>
      </c>
      <c r="N2109">
        <v>1.50574E-151</v>
      </c>
      <c r="O2109">
        <v>1372</v>
      </c>
    </row>
    <row r="2110" spans="1:15" x14ac:dyDescent="0.25">
      <c r="A2110" t="s">
        <v>2123</v>
      </c>
      <c r="B2110">
        <v>123</v>
      </c>
      <c r="C2110" s="1" t="str">
        <f>HYPERLINK("http://www.rosaceae.org/gb/gbrowse/malus_x_domestica/?name=MDP0000426285","MDP0000426285")</f>
        <v>MDP0000426285</v>
      </c>
      <c r="D2110">
        <v>45.27</v>
      </c>
      <c r="E2110">
        <v>148</v>
      </c>
      <c r="F2110">
        <v>81</v>
      </c>
      <c r="G2110">
        <v>43</v>
      </c>
      <c r="H2110">
        <v>12</v>
      </c>
      <c r="I2110">
        <v>116</v>
      </c>
      <c r="J2110">
        <v>1</v>
      </c>
      <c r="K2110">
        <v>247</v>
      </c>
      <c r="L2110">
        <v>394</v>
      </c>
      <c r="M2110">
        <v>1</v>
      </c>
      <c r="N2110">
        <v>1.02681E-26</v>
      </c>
      <c r="O2110">
        <v>288</v>
      </c>
    </row>
    <row r="2111" spans="1:15" x14ac:dyDescent="0.25">
      <c r="A2111" t="s">
        <v>2124</v>
      </c>
      <c r="B2111">
        <v>618</v>
      </c>
      <c r="C2111" s="1" t="str">
        <f>HYPERLINK("http://www.rosaceae.org/gb/gbrowse/malus_x_domestica/?name=MDP0000225700","MDP0000225700")</f>
        <v>MDP0000225700</v>
      </c>
      <c r="D2111">
        <v>81.150000000000006</v>
      </c>
      <c r="E2111">
        <v>605</v>
      </c>
      <c r="F2111">
        <v>114</v>
      </c>
      <c r="G2111">
        <v>4</v>
      </c>
      <c r="H2111">
        <v>1</v>
      </c>
      <c r="I2111">
        <v>602</v>
      </c>
      <c r="J2111">
        <v>1</v>
      </c>
      <c r="K2111">
        <v>58</v>
      </c>
      <c r="L2111">
        <v>661</v>
      </c>
      <c r="M2111">
        <v>1</v>
      </c>
      <c r="N2111">
        <v>0</v>
      </c>
      <c r="O2111">
        <v>2587</v>
      </c>
    </row>
    <row r="2112" spans="1:15" x14ac:dyDescent="0.25">
      <c r="A2112" t="s">
        <v>2125</v>
      </c>
      <c r="B2112">
        <v>157</v>
      </c>
      <c r="C2112" s="1" t="str">
        <f>HYPERLINK("http://www.rosaceae.org/gb/gbrowse/malus_x_domestica/?name=MDP0000247502","MDP0000247502")</f>
        <v>MDP0000247502</v>
      </c>
      <c r="D2112">
        <v>63.21</v>
      </c>
      <c r="E2112">
        <v>87</v>
      </c>
      <c r="F2112">
        <v>32</v>
      </c>
      <c r="G2112">
        <v>6</v>
      </c>
      <c r="H2112">
        <v>1</v>
      </c>
      <c r="I2112">
        <v>86</v>
      </c>
      <c r="J2112">
        <v>1</v>
      </c>
      <c r="K2112">
        <v>1</v>
      </c>
      <c r="L2112">
        <v>82</v>
      </c>
      <c r="M2112">
        <v>1</v>
      </c>
      <c r="N2112">
        <v>3.9218900000000002E-21</v>
      </c>
      <c r="O2112">
        <v>242</v>
      </c>
    </row>
    <row r="2113" spans="1:15" x14ac:dyDescent="0.25">
      <c r="A2113" t="s">
        <v>2126</v>
      </c>
      <c r="B2113">
        <v>226</v>
      </c>
      <c r="C2113" s="1" t="str">
        <f>HYPERLINK("http://www.rosaceae.org/gb/gbrowse/malus_x_domestica/?name=MDP0000943929","MDP0000943929")</f>
        <v>MDP0000943929</v>
      </c>
      <c r="D2113">
        <v>47.39</v>
      </c>
      <c r="E2113">
        <v>230</v>
      </c>
      <c r="F2113">
        <v>121</v>
      </c>
      <c r="G2113">
        <v>50</v>
      </c>
      <c r="H2113">
        <v>1</v>
      </c>
      <c r="I2113">
        <v>224</v>
      </c>
      <c r="J2113">
        <v>1</v>
      </c>
      <c r="K2113">
        <v>1</v>
      </c>
      <c r="L2113">
        <v>186</v>
      </c>
      <c r="M2113">
        <v>1</v>
      </c>
      <c r="N2113">
        <v>1.5929E-44</v>
      </c>
      <c r="O2113">
        <v>446</v>
      </c>
    </row>
    <row r="2114" spans="1:15" x14ac:dyDescent="0.25">
      <c r="A2114" t="s">
        <v>2127</v>
      </c>
      <c r="B2114">
        <v>170</v>
      </c>
      <c r="C2114" s="1" t="str">
        <f>HYPERLINK("http://www.rosaceae.org/gb/gbrowse/malus_x_domestica/?name=MDP0000315009","MDP0000315009")</f>
        <v>MDP0000315009</v>
      </c>
      <c r="D2114">
        <v>68.959999999999994</v>
      </c>
      <c r="E2114">
        <v>87</v>
      </c>
      <c r="F2114">
        <v>27</v>
      </c>
      <c r="G2114">
        <v>7</v>
      </c>
      <c r="H2114">
        <v>40</v>
      </c>
      <c r="I2114">
        <v>119</v>
      </c>
      <c r="J2114">
        <v>1</v>
      </c>
      <c r="K2114">
        <v>859</v>
      </c>
      <c r="L2114">
        <v>945</v>
      </c>
      <c r="M2114">
        <v>1</v>
      </c>
      <c r="N2114">
        <v>1.16543E-27</v>
      </c>
      <c r="O2114">
        <v>299</v>
      </c>
    </row>
    <row r="2115" spans="1:15" x14ac:dyDescent="0.25">
      <c r="A2115" t="s">
        <v>2128</v>
      </c>
      <c r="B2115">
        <v>690</v>
      </c>
      <c r="C2115" s="1" t="str">
        <f>HYPERLINK("http://www.rosaceae.org/gb/gbrowse/malus_x_domestica/?name=MDP0000436829","MDP0000436829")</f>
        <v>MDP0000436829</v>
      </c>
      <c r="D2115">
        <v>58.76</v>
      </c>
      <c r="E2115">
        <v>308</v>
      </c>
      <c r="F2115">
        <v>127</v>
      </c>
      <c r="G2115">
        <v>17</v>
      </c>
      <c r="H2115">
        <v>380</v>
      </c>
      <c r="I2115">
        <v>680</v>
      </c>
      <c r="J2115">
        <v>1</v>
      </c>
      <c r="K2115">
        <v>915</v>
      </c>
      <c r="L2115">
        <v>1212</v>
      </c>
      <c r="M2115">
        <v>1</v>
      </c>
      <c r="N2115">
        <v>1.8011599999999999E-95</v>
      </c>
      <c r="O2115">
        <v>891</v>
      </c>
    </row>
    <row r="2116" spans="1:15" x14ac:dyDescent="0.25">
      <c r="A2116" t="s">
        <v>2129</v>
      </c>
      <c r="B2116">
        <v>381</v>
      </c>
      <c r="C2116" s="1" t="str">
        <f>HYPERLINK("http://www.rosaceae.org/gb/gbrowse/malus_x_domestica/?name=MDP0000250455","MDP0000250455")</f>
        <v>MDP0000250455</v>
      </c>
      <c r="D2116">
        <v>35.479999999999997</v>
      </c>
      <c r="E2116">
        <v>403</v>
      </c>
      <c r="F2116">
        <v>260</v>
      </c>
      <c r="G2116">
        <v>46</v>
      </c>
      <c r="H2116">
        <v>1</v>
      </c>
      <c r="I2116">
        <v>378</v>
      </c>
      <c r="J2116">
        <v>1</v>
      </c>
      <c r="K2116">
        <v>489</v>
      </c>
      <c r="L2116">
        <v>870</v>
      </c>
      <c r="M2116">
        <v>1</v>
      </c>
      <c r="N2116">
        <v>3.8065299999999999E-54</v>
      </c>
      <c r="O2116">
        <v>532</v>
      </c>
    </row>
    <row r="2117" spans="1:15" x14ac:dyDescent="0.25">
      <c r="A2117" t="s">
        <v>2130</v>
      </c>
      <c r="B2117">
        <v>383</v>
      </c>
      <c r="C2117" s="1" t="str">
        <f>HYPERLINK("http://www.rosaceae.org/gb/gbrowse/malus_x_domestica/?name=MDP0000668552","MDP0000668552")</f>
        <v>MDP0000668552</v>
      </c>
      <c r="D2117">
        <v>57.86</v>
      </c>
      <c r="E2117">
        <v>178</v>
      </c>
      <c r="F2117">
        <v>75</v>
      </c>
      <c r="G2117">
        <v>22</v>
      </c>
      <c r="H2117">
        <v>75</v>
      </c>
      <c r="I2117">
        <v>230</v>
      </c>
      <c r="J2117">
        <v>1</v>
      </c>
      <c r="K2117">
        <v>56</v>
      </c>
      <c r="L2117">
        <v>233</v>
      </c>
      <c r="M2117">
        <v>1</v>
      </c>
      <c r="N2117">
        <v>1.06873E-57</v>
      </c>
      <c r="O2117">
        <v>563</v>
      </c>
    </row>
    <row r="2118" spans="1:15" x14ac:dyDescent="0.25">
      <c r="A2118" t="s">
        <v>2131</v>
      </c>
      <c r="B2118">
        <v>437</v>
      </c>
      <c r="C2118" s="1" t="str">
        <f>HYPERLINK("http://www.rosaceae.org/gb/gbrowse/malus_x_domestica/?name=MDP0000164430","MDP0000164430")</f>
        <v>MDP0000164430</v>
      </c>
      <c r="D2118">
        <v>74.08</v>
      </c>
      <c r="E2118">
        <v>436</v>
      </c>
      <c r="F2118">
        <v>113</v>
      </c>
      <c r="G2118">
        <v>5</v>
      </c>
      <c r="H2118">
        <v>1</v>
      </c>
      <c r="I2118">
        <v>432</v>
      </c>
      <c r="J2118">
        <v>1</v>
      </c>
      <c r="K2118">
        <v>1</v>
      </c>
      <c r="L2118">
        <v>435</v>
      </c>
      <c r="M2118">
        <v>1</v>
      </c>
      <c r="N2118">
        <v>0</v>
      </c>
      <c r="O2118">
        <v>1688</v>
      </c>
    </row>
    <row r="2119" spans="1:15" x14ac:dyDescent="0.25">
      <c r="A2119" t="s">
        <v>2132</v>
      </c>
      <c r="B2119">
        <v>566</v>
      </c>
      <c r="C2119" s="1" t="str">
        <f>HYPERLINK("http://www.rosaceae.org/gb/gbrowse/malus_x_domestica/?name=MDP0000168017","MDP0000168017")</f>
        <v>MDP0000168017</v>
      </c>
      <c r="D2119">
        <v>88.16</v>
      </c>
      <c r="E2119">
        <v>245</v>
      </c>
      <c r="F2119">
        <v>29</v>
      </c>
      <c r="G2119">
        <v>0</v>
      </c>
      <c r="H2119">
        <v>322</v>
      </c>
      <c r="I2119">
        <v>566</v>
      </c>
      <c r="J2119">
        <v>1</v>
      </c>
      <c r="K2119">
        <v>4</v>
      </c>
      <c r="L2119">
        <v>248</v>
      </c>
      <c r="M2119">
        <v>1</v>
      </c>
      <c r="N2119">
        <v>9.6127800000000001E-129</v>
      </c>
      <c r="O2119">
        <v>1177</v>
      </c>
    </row>
    <row r="2120" spans="1:15" x14ac:dyDescent="0.25">
      <c r="A2120" t="s">
        <v>2133</v>
      </c>
      <c r="B2120">
        <v>137</v>
      </c>
      <c r="C2120" s="1" t="str">
        <f>HYPERLINK("http://www.rosaceae.org/gb/gbrowse/malus_x_domestica/?name=MDP0000271277","MDP0000271277")</f>
        <v>MDP0000271277</v>
      </c>
      <c r="D2120">
        <v>44.57</v>
      </c>
      <c r="E2120">
        <v>83</v>
      </c>
      <c r="F2120">
        <v>46</v>
      </c>
      <c r="G2120">
        <v>1</v>
      </c>
      <c r="H2120">
        <v>1</v>
      </c>
      <c r="I2120">
        <v>82</v>
      </c>
      <c r="J2120">
        <v>1</v>
      </c>
      <c r="K2120">
        <v>45</v>
      </c>
      <c r="L2120">
        <v>127</v>
      </c>
      <c r="M2120">
        <v>1</v>
      </c>
      <c r="N2120">
        <v>8.1086500000000001E-16</v>
      </c>
      <c r="O2120">
        <v>195</v>
      </c>
    </row>
    <row r="2121" spans="1:15" x14ac:dyDescent="0.25">
      <c r="A2121" t="s">
        <v>2134</v>
      </c>
      <c r="B2121">
        <v>712</v>
      </c>
      <c r="C2121" s="1" t="str">
        <f>HYPERLINK("http://www.rosaceae.org/gb/gbrowse/malus_x_domestica/?name=MDP0000482564","MDP0000482564")</f>
        <v>MDP0000482564</v>
      </c>
      <c r="D2121">
        <v>57.63</v>
      </c>
      <c r="E2121">
        <v>668</v>
      </c>
      <c r="F2121">
        <v>283</v>
      </c>
      <c r="G2121">
        <v>14</v>
      </c>
      <c r="H2121">
        <v>46</v>
      </c>
      <c r="I2121">
        <v>708</v>
      </c>
      <c r="J2121">
        <v>1</v>
      </c>
      <c r="K2121">
        <v>46</v>
      </c>
      <c r="L2121">
        <v>704</v>
      </c>
      <c r="M2121">
        <v>1</v>
      </c>
      <c r="N2121">
        <v>0</v>
      </c>
      <c r="O2121">
        <v>1753</v>
      </c>
    </row>
    <row r="2122" spans="1:15" x14ac:dyDescent="0.25">
      <c r="A2122" t="s">
        <v>2135</v>
      </c>
      <c r="B2122">
        <v>378</v>
      </c>
      <c r="C2122" s="1" t="str">
        <f>HYPERLINK("http://www.rosaceae.org/gb/gbrowse/malus_x_domestica/?name=MDP0000322220","MDP0000322220")</f>
        <v>MDP0000322220</v>
      </c>
      <c r="D2122">
        <v>64.59</v>
      </c>
      <c r="E2122">
        <v>274</v>
      </c>
      <c r="F2122">
        <v>97</v>
      </c>
      <c r="G2122">
        <v>1</v>
      </c>
      <c r="H2122">
        <v>91</v>
      </c>
      <c r="I2122">
        <v>363</v>
      </c>
      <c r="J2122">
        <v>1</v>
      </c>
      <c r="K2122">
        <v>659</v>
      </c>
      <c r="L2122">
        <v>932</v>
      </c>
      <c r="M2122">
        <v>1</v>
      </c>
      <c r="N2122">
        <v>2.6840800000000001E-99</v>
      </c>
      <c r="O2122">
        <v>921</v>
      </c>
    </row>
    <row r="2123" spans="1:15" x14ac:dyDescent="0.25">
      <c r="A2123" t="s">
        <v>2136</v>
      </c>
      <c r="B2123">
        <v>1784</v>
      </c>
      <c r="C2123" s="1" t="str">
        <f>HYPERLINK("http://www.rosaceae.org/gb/gbrowse/malus_x_domestica/?name=MDP0000319636","MDP0000319636")</f>
        <v>MDP0000319636</v>
      </c>
      <c r="D2123">
        <v>85.83</v>
      </c>
      <c r="E2123">
        <v>1497</v>
      </c>
      <c r="F2123">
        <v>212</v>
      </c>
      <c r="G2123">
        <v>15</v>
      </c>
      <c r="H2123">
        <v>46</v>
      </c>
      <c r="I2123">
        <v>1538</v>
      </c>
      <c r="J2123">
        <v>1</v>
      </c>
      <c r="K2123">
        <v>1</v>
      </c>
      <c r="L2123">
        <v>1486</v>
      </c>
      <c r="M2123">
        <v>1</v>
      </c>
      <c r="N2123">
        <v>0</v>
      </c>
      <c r="O2123">
        <v>6739</v>
      </c>
    </row>
    <row r="2124" spans="1:15" x14ac:dyDescent="0.25">
      <c r="A2124" t="s">
        <v>2137</v>
      </c>
      <c r="B2124">
        <v>589</v>
      </c>
      <c r="C2124" s="1" t="str">
        <f>HYPERLINK("http://www.rosaceae.org/gb/gbrowse/malus_x_domestica/?name=MDP0000547655","MDP0000547655")</f>
        <v>MDP0000547655</v>
      </c>
      <c r="D2124">
        <v>70.459999999999994</v>
      </c>
      <c r="E2124">
        <v>623</v>
      </c>
      <c r="F2124">
        <v>184</v>
      </c>
      <c r="G2124">
        <v>36</v>
      </c>
      <c r="H2124">
        <v>1</v>
      </c>
      <c r="I2124">
        <v>589</v>
      </c>
      <c r="J2124">
        <v>1</v>
      </c>
      <c r="K2124">
        <v>1</v>
      </c>
      <c r="L2124">
        <v>621</v>
      </c>
      <c r="M2124">
        <v>1</v>
      </c>
      <c r="N2124">
        <v>0</v>
      </c>
      <c r="O2124">
        <v>2290</v>
      </c>
    </row>
    <row r="2125" spans="1:15" x14ac:dyDescent="0.25">
      <c r="A2125" t="s">
        <v>2138</v>
      </c>
      <c r="B2125">
        <v>472</v>
      </c>
      <c r="C2125" s="1" t="str">
        <f>HYPERLINK("http://www.rosaceae.org/gb/gbrowse/malus_x_domestica/?name=MDP0000134619","MDP0000134619")</f>
        <v>MDP0000134619</v>
      </c>
      <c r="D2125">
        <v>66.91</v>
      </c>
      <c r="E2125">
        <v>133</v>
      </c>
      <c r="F2125">
        <v>44</v>
      </c>
      <c r="G2125">
        <v>7</v>
      </c>
      <c r="H2125">
        <v>340</v>
      </c>
      <c r="I2125">
        <v>469</v>
      </c>
      <c r="J2125">
        <v>1</v>
      </c>
      <c r="K2125">
        <v>76</v>
      </c>
      <c r="L2125">
        <v>204</v>
      </c>
      <c r="M2125">
        <v>1</v>
      </c>
      <c r="N2125">
        <v>1.54697E-40</v>
      </c>
      <c r="O2125">
        <v>416</v>
      </c>
    </row>
    <row r="2126" spans="1:15" x14ac:dyDescent="0.25">
      <c r="A2126" t="s">
        <v>2139</v>
      </c>
      <c r="B2126">
        <v>447</v>
      </c>
      <c r="C2126" s="1" t="str">
        <f>HYPERLINK("http://www.rosaceae.org/gb/gbrowse/malus_x_domestica/?name=MDP0000301545","MDP0000301545")</f>
        <v>MDP0000301545</v>
      </c>
      <c r="D2126">
        <v>61.62</v>
      </c>
      <c r="E2126">
        <v>456</v>
      </c>
      <c r="F2126">
        <v>175</v>
      </c>
      <c r="G2126">
        <v>12</v>
      </c>
      <c r="H2126">
        <v>2</v>
      </c>
      <c r="I2126">
        <v>447</v>
      </c>
      <c r="J2126">
        <v>1</v>
      </c>
      <c r="K2126">
        <v>1</v>
      </c>
      <c r="L2126">
        <v>454</v>
      </c>
      <c r="M2126">
        <v>1</v>
      </c>
      <c r="N2126">
        <v>2.5983799999999999E-165</v>
      </c>
      <c r="O2126">
        <v>1492</v>
      </c>
    </row>
    <row r="2127" spans="1:15" x14ac:dyDescent="0.25">
      <c r="A2127" t="s">
        <v>2140</v>
      </c>
      <c r="B2127">
        <v>541</v>
      </c>
      <c r="C2127" s="1" t="str">
        <f>HYPERLINK("http://www.rosaceae.org/gb/gbrowse/malus_x_domestica/?name=MDP0000932170","MDP0000932170")</f>
        <v>MDP0000932170</v>
      </c>
      <c r="D2127">
        <v>75.510000000000005</v>
      </c>
      <c r="E2127">
        <v>147</v>
      </c>
      <c r="F2127">
        <v>36</v>
      </c>
      <c r="G2127">
        <v>8</v>
      </c>
      <c r="H2127">
        <v>154</v>
      </c>
      <c r="I2127">
        <v>292</v>
      </c>
      <c r="J2127">
        <v>1</v>
      </c>
      <c r="K2127">
        <v>67</v>
      </c>
      <c r="L2127">
        <v>213</v>
      </c>
      <c r="M2127">
        <v>1</v>
      </c>
      <c r="N2127">
        <v>6.34691E-64</v>
      </c>
      <c r="O2127">
        <v>618</v>
      </c>
    </row>
    <row r="2128" spans="1:15" x14ac:dyDescent="0.25">
      <c r="A2128" t="s">
        <v>2141</v>
      </c>
      <c r="B2128">
        <v>616</v>
      </c>
      <c r="C2128" s="1" t="str">
        <f>HYPERLINK("http://www.rosaceae.org/gb/gbrowse/malus_x_domestica/?name=MDP0000264993","MDP0000264993")</f>
        <v>MDP0000264993</v>
      </c>
      <c r="D2128">
        <v>69.52</v>
      </c>
      <c r="E2128">
        <v>315</v>
      </c>
      <c r="F2128">
        <v>96</v>
      </c>
      <c r="G2128">
        <v>45</v>
      </c>
      <c r="H2128">
        <v>266</v>
      </c>
      <c r="I2128">
        <v>566</v>
      </c>
      <c r="J2128">
        <v>1</v>
      </c>
      <c r="K2128">
        <v>1</v>
      </c>
      <c r="L2128">
        <v>284</v>
      </c>
      <c r="M2128">
        <v>1</v>
      </c>
      <c r="N2128">
        <v>2.0498299999999999E-119</v>
      </c>
      <c r="O2128">
        <v>1097</v>
      </c>
    </row>
    <row r="2129" spans="1:15" x14ac:dyDescent="0.25">
      <c r="A2129" t="s">
        <v>2142</v>
      </c>
      <c r="B2129">
        <v>1411</v>
      </c>
      <c r="C2129" s="1" t="str">
        <f>HYPERLINK("http://www.rosaceae.org/gb/gbrowse/malus_x_domestica/?name=MDP0000195025","MDP0000195025")</f>
        <v>MDP0000195025</v>
      </c>
      <c r="D2129">
        <v>53.75</v>
      </c>
      <c r="E2129">
        <v>506</v>
      </c>
      <c r="F2129">
        <v>234</v>
      </c>
      <c r="G2129">
        <v>14</v>
      </c>
      <c r="H2129">
        <v>18</v>
      </c>
      <c r="I2129">
        <v>518</v>
      </c>
      <c r="J2129">
        <v>1</v>
      </c>
      <c r="K2129">
        <v>2</v>
      </c>
      <c r="L2129">
        <v>498</v>
      </c>
      <c r="M2129">
        <v>1</v>
      </c>
      <c r="N2129">
        <v>1.79545E-149</v>
      </c>
      <c r="O2129">
        <v>1360</v>
      </c>
    </row>
    <row r="2130" spans="1:15" x14ac:dyDescent="0.25">
      <c r="A2130" t="s">
        <v>2143</v>
      </c>
      <c r="B2130">
        <v>197</v>
      </c>
      <c r="C2130" s="1" t="str">
        <f>HYPERLINK("http://www.rosaceae.org/gb/gbrowse/malus_x_domestica/?name=MDP0000449759","MDP0000449759")</f>
        <v>MDP0000449759</v>
      </c>
      <c r="D2130">
        <v>44</v>
      </c>
      <c r="E2130">
        <v>125</v>
      </c>
      <c r="F2130">
        <v>70</v>
      </c>
      <c r="G2130">
        <v>15</v>
      </c>
      <c r="H2130">
        <v>4</v>
      </c>
      <c r="I2130">
        <v>127</v>
      </c>
      <c r="J2130">
        <v>1</v>
      </c>
      <c r="K2130">
        <v>52</v>
      </c>
      <c r="L2130">
        <v>162</v>
      </c>
      <c r="M2130">
        <v>1</v>
      </c>
      <c r="N2130">
        <v>2.85114E-21</v>
      </c>
      <c r="O2130">
        <v>245</v>
      </c>
    </row>
    <row r="2131" spans="1:15" x14ac:dyDescent="0.25">
      <c r="A2131" t="s">
        <v>2144</v>
      </c>
      <c r="B2131">
        <v>328</v>
      </c>
      <c r="C2131" s="1" t="str">
        <f>HYPERLINK("http://www.rosaceae.org/gb/gbrowse/malus_x_domestica/?name=MDP0000286574","MDP0000286574")</f>
        <v>MDP0000286574</v>
      </c>
      <c r="D2131">
        <v>46.85</v>
      </c>
      <c r="E2131">
        <v>175</v>
      </c>
      <c r="F2131">
        <v>93</v>
      </c>
      <c r="G2131">
        <v>1</v>
      </c>
      <c r="H2131">
        <v>149</v>
      </c>
      <c r="I2131">
        <v>322</v>
      </c>
      <c r="J2131">
        <v>1</v>
      </c>
      <c r="K2131">
        <v>300</v>
      </c>
      <c r="L2131">
        <v>474</v>
      </c>
      <c r="M2131">
        <v>1</v>
      </c>
      <c r="N2131">
        <v>2.9811100000000002E-46</v>
      </c>
      <c r="O2131">
        <v>463</v>
      </c>
    </row>
    <row r="2132" spans="1:15" x14ac:dyDescent="0.25">
      <c r="A2132" t="s">
        <v>2145</v>
      </c>
      <c r="B2132">
        <v>253</v>
      </c>
      <c r="C2132" s="1" t="str">
        <f>HYPERLINK("http://www.rosaceae.org/gb/gbrowse/malus_x_domestica/?name=MDP0000506239","MDP0000506239")</f>
        <v>MDP0000506239</v>
      </c>
      <c r="D2132">
        <v>66.959999999999994</v>
      </c>
      <c r="E2132">
        <v>112</v>
      </c>
      <c r="F2132">
        <v>37</v>
      </c>
      <c r="G2132">
        <v>0</v>
      </c>
      <c r="H2132">
        <v>142</v>
      </c>
      <c r="I2132">
        <v>253</v>
      </c>
      <c r="J2132">
        <v>1</v>
      </c>
      <c r="K2132">
        <v>80</v>
      </c>
      <c r="L2132">
        <v>191</v>
      </c>
      <c r="M2132">
        <v>1</v>
      </c>
      <c r="N2132">
        <v>6.87044E-40</v>
      </c>
      <c r="O2132">
        <v>407</v>
      </c>
    </row>
    <row r="2133" spans="1:15" x14ac:dyDescent="0.25">
      <c r="A2133" t="s">
        <v>2146</v>
      </c>
      <c r="B2133">
        <v>460</v>
      </c>
      <c r="C2133" s="1" t="str">
        <f>HYPERLINK("http://www.rosaceae.org/gb/gbrowse/malus_x_domestica/?name=MDP0000227338","MDP0000227338")</f>
        <v>MDP0000227338</v>
      </c>
      <c r="D2133">
        <v>50.64</v>
      </c>
      <c r="E2133">
        <v>464</v>
      </c>
      <c r="F2133">
        <v>229</v>
      </c>
      <c r="G2133">
        <v>23</v>
      </c>
      <c r="H2133">
        <v>1</v>
      </c>
      <c r="I2133">
        <v>443</v>
      </c>
      <c r="J2133">
        <v>1</v>
      </c>
      <c r="K2133">
        <v>107</v>
      </c>
      <c r="L2133">
        <v>568</v>
      </c>
      <c r="M2133">
        <v>1</v>
      </c>
      <c r="N2133">
        <v>4.8133E-125</v>
      </c>
      <c r="O2133">
        <v>1144</v>
      </c>
    </row>
    <row r="2134" spans="1:15" x14ac:dyDescent="0.25">
      <c r="A2134" t="s">
        <v>2147</v>
      </c>
      <c r="B2134">
        <v>545</v>
      </c>
      <c r="C2134" s="1" t="str">
        <f>HYPERLINK("http://www.rosaceae.org/gb/gbrowse/malus_x_domestica/?name=MDP0000260512","MDP0000260512")</f>
        <v>MDP0000260512</v>
      </c>
      <c r="D2134">
        <v>84.64</v>
      </c>
      <c r="E2134">
        <v>521</v>
      </c>
      <c r="F2134">
        <v>80</v>
      </c>
      <c r="G2134">
        <v>3</v>
      </c>
      <c r="H2134">
        <v>1</v>
      </c>
      <c r="I2134">
        <v>518</v>
      </c>
      <c r="J2134">
        <v>1</v>
      </c>
      <c r="K2134">
        <v>1</v>
      </c>
      <c r="L2134">
        <v>521</v>
      </c>
      <c r="M2134">
        <v>1</v>
      </c>
      <c r="N2134">
        <v>0</v>
      </c>
      <c r="O2134">
        <v>2361</v>
      </c>
    </row>
    <row r="2135" spans="1:15" x14ac:dyDescent="0.25">
      <c r="A2135" t="s">
        <v>2148</v>
      </c>
      <c r="B2135">
        <v>325</v>
      </c>
      <c r="C2135" s="1" t="str">
        <f>HYPERLINK("http://www.rosaceae.org/gb/gbrowse/malus_x_domestica/?name=MDP0000264519","MDP0000264519")</f>
        <v>MDP0000264519</v>
      </c>
      <c r="D2135">
        <v>73.97</v>
      </c>
      <c r="E2135">
        <v>292</v>
      </c>
      <c r="F2135">
        <v>76</v>
      </c>
      <c r="G2135">
        <v>0</v>
      </c>
      <c r="H2135">
        <v>34</v>
      </c>
      <c r="I2135">
        <v>325</v>
      </c>
      <c r="J2135">
        <v>1</v>
      </c>
      <c r="K2135">
        <v>37</v>
      </c>
      <c r="L2135">
        <v>328</v>
      </c>
      <c r="M2135">
        <v>1</v>
      </c>
      <c r="N2135">
        <v>7.1953299999999997E-126</v>
      </c>
      <c r="O2135">
        <v>1150</v>
      </c>
    </row>
    <row r="2136" spans="1:15" x14ac:dyDescent="0.25">
      <c r="A2136" t="s">
        <v>2149</v>
      </c>
      <c r="B2136">
        <v>195</v>
      </c>
      <c r="C2136" s="1" t="str">
        <f>HYPERLINK("http://www.rosaceae.org/gb/gbrowse/malus_x_domestica/?name=MDP0000241592","MDP0000241592")</f>
        <v>MDP0000241592</v>
      </c>
      <c r="D2136">
        <v>89.23</v>
      </c>
      <c r="E2136">
        <v>195</v>
      </c>
      <c r="F2136">
        <v>21</v>
      </c>
      <c r="G2136">
        <v>0</v>
      </c>
      <c r="H2136">
        <v>1</v>
      </c>
      <c r="I2136">
        <v>195</v>
      </c>
      <c r="J2136">
        <v>1</v>
      </c>
      <c r="K2136">
        <v>229</v>
      </c>
      <c r="L2136">
        <v>423</v>
      </c>
      <c r="M2136">
        <v>1</v>
      </c>
      <c r="N2136">
        <v>4.8499399999999998E-104</v>
      </c>
      <c r="O2136">
        <v>959</v>
      </c>
    </row>
    <row r="2137" spans="1:15" x14ac:dyDescent="0.25">
      <c r="A2137" t="s">
        <v>2150</v>
      </c>
      <c r="B2137">
        <v>479</v>
      </c>
      <c r="C2137" s="1" t="str">
        <f>HYPERLINK("http://www.rosaceae.org/gb/gbrowse/malus_x_domestica/?name=MDP0000252152","MDP0000252152")</f>
        <v>MDP0000252152</v>
      </c>
      <c r="D2137">
        <v>57.77</v>
      </c>
      <c r="E2137">
        <v>495</v>
      </c>
      <c r="F2137">
        <v>209</v>
      </c>
      <c r="G2137">
        <v>20</v>
      </c>
      <c r="H2137">
        <v>1</v>
      </c>
      <c r="I2137">
        <v>479</v>
      </c>
      <c r="J2137">
        <v>1</v>
      </c>
      <c r="K2137">
        <v>1</v>
      </c>
      <c r="L2137">
        <v>491</v>
      </c>
      <c r="M2137">
        <v>1</v>
      </c>
      <c r="N2137">
        <v>1.6377800000000001E-139</v>
      </c>
      <c r="O2137">
        <v>1269</v>
      </c>
    </row>
    <row r="2138" spans="1:15" x14ac:dyDescent="0.25">
      <c r="A2138" t="s">
        <v>2151</v>
      </c>
      <c r="B2138">
        <v>319</v>
      </c>
      <c r="C2138" s="1" t="str">
        <f>HYPERLINK("http://www.rosaceae.org/gb/gbrowse/malus_x_domestica/?name=MDP0000257872","MDP0000257872")</f>
        <v>MDP0000257872</v>
      </c>
      <c r="D2138">
        <v>90.28</v>
      </c>
      <c r="E2138">
        <v>319</v>
      </c>
      <c r="F2138">
        <v>31</v>
      </c>
      <c r="G2138">
        <v>0</v>
      </c>
      <c r="H2138">
        <v>1</v>
      </c>
      <c r="I2138">
        <v>319</v>
      </c>
      <c r="J2138">
        <v>1</v>
      </c>
      <c r="K2138">
        <v>6</v>
      </c>
      <c r="L2138">
        <v>324</v>
      </c>
      <c r="M2138">
        <v>1</v>
      </c>
      <c r="N2138">
        <v>4.0146599999999999E-173</v>
      </c>
      <c r="O2138">
        <v>1557</v>
      </c>
    </row>
    <row r="2139" spans="1:15" x14ac:dyDescent="0.25">
      <c r="A2139" t="s">
        <v>2152</v>
      </c>
      <c r="B2139">
        <v>585</v>
      </c>
      <c r="C2139" s="1" t="str">
        <f>HYPERLINK("http://www.rosaceae.org/gb/gbrowse/malus_x_domestica/?name=MDP0000320631","MDP0000320631")</f>
        <v>MDP0000320631</v>
      </c>
      <c r="D2139">
        <v>32.479999999999997</v>
      </c>
      <c r="E2139">
        <v>508</v>
      </c>
      <c r="F2139">
        <v>343</v>
      </c>
      <c r="G2139">
        <v>69</v>
      </c>
      <c r="H2139">
        <v>72</v>
      </c>
      <c r="I2139">
        <v>548</v>
      </c>
      <c r="J2139">
        <v>1</v>
      </c>
      <c r="K2139">
        <v>99</v>
      </c>
      <c r="L2139">
        <v>568</v>
      </c>
      <c r="M2139">
        <v>1</v>
      </c>
      <c r="N2139">
        <v>1.2038300000000001E-68</v>
      </c>
      <c r="O2139">
        <v>659</v>
      </c>
    </row>
    <row r="2140" spans="1:15" x14ac:dyDescent="0.25">
      <c r="A2140" t="s">
        <v>2153</v>
      </c>
      <c r="B2140">
        <v>354</v>
      </c>
      <c r="C2140" s="1" t="str">
        <f>HYPERLINK("http://www.rosaceae.org/gb/gbrowse/malus_x_domestica/?name=MDP0000878773","MDP0000878773")</f>
        <v>MDP0000878773</v>
      </c>
      <c r="D2140">
        <v>67.319999999999993</v>
      </c>
      <c r="E2140">
        <v>355</v>
      </c>
      <c r="F2140">
        <v>116</v>
      </c>
      <c r="G2140">
        <v>10</v>
      </c>
      <c r="H2140">
        <v>1</v>
      </c>
      <c r="I2140">
        <v>354</v>
      </c>
      <c r="J2140">
        <v>1</v>
      </c>
      <c r="K2140">
        <v>1</v>
      </c>
      <c r="L2140">
        <v>346</v>
      </c>
      <c r="M2140">
        <v>1</v>
      </c>
      <c r="N2140">
        <v>3.4354899999999998E-139</v>
      </c>
      <c r="O2140">
        <v>1265</v>
      </c>
    </row>
    <row r="2141" spans="1:15" x14ac:dyDescent="0.25">
      <c r="A2141" t="s">
        <v>2154</v>
      </c>
      <c r="B2141">
        <v>320</v>
      </c>
      <c r="C2141" s="1" t="str">
        <f>HYPERLINK("http://www.rosaceae.org/gb/gbrowse/malus_x_domestica/?name=MDP0000130760","MDP0000130760")</f>
        <v>MDP0000130760</v>
      </c>
      <c r="D2141">
        <v>73.08</v>
      </c>
      <c r="E2141">
        <v>327</v>
      </c>
      <c r="F2141">
        <v>88</v>
      </c>
      <c r="G2141">
        <v>11</v>
      </c>
      <c r="H2141">
        <v>1</v>
      </c>
      <c r="I2141">
        <v>320</v>
      </c>
      <c r="J2141">
        <v>1</v>
      </c>
      <c r="K2141">
        <v>1</v>
      </c>
      <c r="L2141">
        <v>323</v>
      </c>
      <c r="M2141">
        <v>1</v>
      </c>
      <c r="N2141">
        <v>3.6003099999999997E-133</v>
      </c>
      <c r="O2141">
        <v>1213</v>
      </c>
    </row>
    <row r="2142" spans="1:15" x14ac:dyDescent="0.25">
      <c r="A2142" t="s">
        <v>2155</v>
      </c>
      <c r="B2142">
        <v>684</v>
      </c>
      <c r="C2142" s="1" t="str">
        <f>HYPERLINK("http://www.rosaceae.org/gb/gbrowse/malus_x_domestica/?name=MDP0000311548","MDP0000311548")</f>
        <v>MDP0000311548</v>
      </c>
      <c r="D2142">
        <v>57.04</v>
      </c>
      <c r="E2142">
        <v>149</v>
      </c>
      <c r="F2142">
        <v>64</v>
      </c>
      <c r="G2142">
        <v>0</v>
      </c>
      <c r="H2142">
        <v>1</v>
      </c>
      <c r="I2142">
        <v>149</v>
      </c>
      <c r="J2142">
        <v>1</v>
      </c>
      <c r="K2142">
        <v>1</v>
      </c>
      <c r="L2142">
        <v>149</v>
      </c>
      <c r="M2142">
        <v>1</v>
      </c>
      <c r="N2142">
        <v>4.9592300000000002E-48</v>
      </c>
      <c r="O2142">
        <v>482</v>
      </c>
    </row>
    <row r="2143" spans="1:15" x14ac:dyDescent="0.25">
      <c r="A2143" t="s">
        <v>2156</v>
      </c>
      <c r="B2143">
        <v>1908</v>
      </c>
      <c r="C2143" s="1" t="str">
        <f>HYPERLINK("http://www.rosaceae.org/gb/gbrowse/malus_x_domestica/?name=MDP0000170899","MDP0000170899")</f>
        <v>MDP0000170899</v>
      </c>
      <c r="D2143">
        <v>65.459999999999994</v>
      </c>
      <c r="E2143">
        <v>1662</v>
      </c>
      <c r="F2143">
        <v>574</v>
      </c>
      <c r="G2143">
        <v>109</v>
      </c>
      <c r="H2143">
        <v>268</v>
      </c>
      <c r="I2143">
        <v>1866</v>
      </c>
      <c r="J2143">
        <v>1</v>
      </c>
      <c r="K2143">
        <v>128</v>
      </c>
      <c r="L2143">
        <v>1743</v>
      </c>
      <c r="M2143">
        <v>1</v>
      </c>
      <c r="N2143">
        <v>0</v>
      </c>
      <c r="O2143">
        <v>5037</v>
      </c>
    </row>
    <row r="2144" spans="1:15" x14ac:dyDescent="0.25">
      <c r="A2144" t="s">
        <v>2157</v>
      </c>
      <c r="B2144">
        <v>375</v>
      </c>
      <c r="C2144" s="1" t="str">
        <f>HYPERLINK("http://www.rosaceae.org/gb/gbrowse/malus_x_domestica/?name=MDP0000385482","MDP0000385482")</f>
        <v>MDP0000385482</v>
      </c>
      <c r="D2144">
        <v>64.650000000000006</v>
      </c>
      <c r="E2144">
        <v>382</v>
      </c>
      <c r="F2144">
        <v>135</v>
      </c>
      <c r="G2144">
        <v>9</v>
      </c>
      <c r="H2144">
        <v>1</v>
      </c>
      <c r="I2144">
        <v>375</v>
      </c>
      <c r="J2144">
        <v>1</v>
      </c>
      <c r="K2144">
        <v>1</v>
      </c>
      <c r="L2144">
        <v>380</v>
      </c>
      <c r="M2144">
        <v>1</v>
      </c>
      <c r="N2144">
        <v>7.0925599999999998E-134</v>
      </c>
      <c r="O2144">
        <v>1220</v>
      </c>
    </row>
    <row r="2145" spans="1:15" x14ac:dyDescent="0.25">
      <c r="A2145" t="s">
        <v>2158</v>
      </c>
      <c r="B2145">
        <v>394</v>
      </c>
      <c r="C2145" s="1" t="str">
        <f>HYPERLINK("http://www.rosaceae.org/gb/gbrowse/malus_x_domestica/?name=MDP0000755113","MDP0000755113")</f>
        <v>MDP0000755113</v>
      </c>
      <c r="D2145">
        <v>72.900000000000006</v>
      </c>
      <c r="E2145">
        <v>203</v>
      </c>
      <c r="F2145">
        <v>55</v>
      </c>
      <c r="G2145">
        <v>6</v>
      </c>
      <c r="H2145">
        <v>1</v>
      </c>
      <c r="I2145">
        <v>197</v>
      </c>
      <c r="J2145">
        <v>1</v>
      </c>
      <c r="K2145">
        <v>1</v>
      </c>
      <c r="L2145">
        <v>203</v>
      </c>
      <c r="M2145">
        <v>1</v>
      </c>
      <c r="N2145">
        <v>2.3217899999999999E-80</v>
      </c>
      <c r="O2145">
        <v>758</v>
      </c>
    </row>
    <row r="2146" spans="1:15" x14ac:dyDescent="0.25">
      <c r="A2146" t="s">
        <v>2159</v>
      </c>
      <c r="B2146">
        <v>431</v>
      </c>
      <c r="C2146" s="1" t="str">
        <f>HYPERLINK("http://www.rosaceae.org/gb/gbrowse/malus_x_domestica/?name=MDP0000266305","MDP0000266305")</f>
        <v>MDP0000266305</v>
      </c>
      <c r="D2146">
        <v>80.63</v>
      </c>
      <c r="E2146">
        <v>346</v>
      </c>
      <c r="F2146">
        <v>67</v>
      </c>
      <c r="G2146">
        <v>2</v>
      </c>
      <c r="H2146">
        <v>47</v>
      </c>
      <c r="I2146">
        <v>391</v>
      </c>
      <c r="J2146">
        <v>1</v>
      </c>
      <c r="K2146">
        <v>374</v>
      </c>
      <c r="L2146">
        <v>718</v>
      </c>
      <c r="M2146">
        <v>1</v>
      </c>
      <c r="N2146">
        <v>5.8846999999999997E-167</v>
      </c>
      <c r="O2146">
        <v>1506</v>
      </c>
    </row>
    <row r="2147" spans="1:15" x14ac:dyDescent="0.25">
      <c r="A2147" t="s">
        <v>2160</v>
      </c>
      <c r="B2147">
        <v>515</v>
      </c>
      <c r="C2147" s="1" t="str">
        <f>HYPERLINK("http://www.rosaceae.org/gb/gbrowse/malus_x_domestica/?name=MDP0000156132","MDP0000156132")</f>
        <v>MDP0000156132</v>
      </c>
      <c r="D2147">
        <v>29.05</v>
      </c>
      <c r="E2147">
        <v>561</v>
      </c>
      <c r="F2147">
        <v>398</v>
      </c>
      <c r="G2147">
        <v>128</v>
      </c>
      <c r="H2147">
        <v>28</v>
      </c>
      <c r="I2147">
        <v>512</v>
      </c>
      <c r="J2147">
        <v>1</v>
      </c>
      <c r="K2147">
        <v>38</v>
      </c>
      <c r="L2147">
        <v>546</v>
      </c>
      <c r="M2147">
        <v>1</v>
      </c>
      <c r="N2147">
        <v>3.7294E-44</v>
      </c>
      <c r="O2147">
        <v>447</v>
      </c>
    </row>
    <row r="2148" spans="1:15" x14ac:dyDescent="0.25">
      <c r="A2148" t="s">
        <v>2161</v>
      </c>
      <c r="B2148">
        <v>494</v>
      </c>
      <c r="C2148" s="1" t="str">
        <f>HYPERLINK("http://www.rosaceae.org/gb/gbrowse/malus_x_domestica/?name=MDP0000033670","MDP0000033670")</f>
        <v>MDP0000033670</v>
      </c>
      <c r="D2148">
        <v>73.260000000000005</v>
      </c>
      <c r="E2148">
        <v>505</v>
      </c>
      <c r="F2148">
        <v>135</v>
      </c>
      <c r="G2148">
        <v>24</v>
      </c>
      <c r="H2148">
        <v>8</v>
      </c>
      <c r="I2148">
        <v>488</v>
      </c>
      <c r="J2148">
        <v>1</v>
      </c>
      <c r="K2148">
        <v>1</v>
      </c>
      <c r="L2148">
        <v>505</v>
      </c>
      <c r="M2148">
        <v>1</v>
      </c>
      <c r="N2148">
        <v>0</v>
      </c>
      <c r="O2148">
        <v>1896</v>
      </c>
    </row>
    <row r="2149" spans="1:15" x14ac:dyDescent="0.25">
      <c r="A2149" t="s">
        <v>2162</v>
      </c>
      <c r="B2149">
        <v>165</v>
      </c>
      <c r="C2149" s="1" t="str">
        <f>HYPERLINK("http://www.rosaceae.org/gb/gbrowse/malus_x_domestica/?name=MDP0000238663","MDP0000238663")</f>
        <v>MDP0000238663</v>
      </c>
      <c r="D2149">
        <v>32.33</v>
      </c>
      <c r="E2149">
        <v>201</v>
      </c>
      <c r="F2149">
        <v>136</v>
      </c>
      <c r="G2149">
        <v>67</v>
      </c>
      <c r="H2149">
        <v>18</v>
      </c>
      <c r="I2149">
        <v>165</v>
      </c>
      <c r="J2149">
        <v>1</v>
      </c>
      <c r="K2149">
        <v>36</v>
      </c>
      <c r="L2149">
        <v>222</v>
      </c>
      <c r="M2149">
        <v>1</v>
      </c>
      <c r="N2149">
        <v>1.726E-14</v>
      </c>
      <c r="O2149">
        <v>185</v>
      </c>
    </row>
    <row r="2150" spans="1:15" x14ac:dyDescent="0.25">
      <c r="A2150" t="s">
        <v>2163</v>
      </c>
      <c r="B2150">
        <v>282</v>
      </c>
      <c r="C2150" s="1" t="str">
        <f>HYPERLINK("http://www.rosaceae.org/gb/gbrowse/malus_x_domestica/?name=MDP0000262664","MDP0000262664")</f>
        <v>MDP0000262664</v>
      </c>
      <c r="D2150">
        <v>37.75</v>
      </c>
      <c r="E2150">
        <v>98</v>
      </c>
      <c r="F2150">
        <v>61</v>
      </c>
      <c r="G2150">
        <v>2</v>
      </c>
      <c r="H2150">
        <v>97</v>
      </c>
      <c r="I2150">
        <v>192</v>
      </c>
      <c r="J2150">
        <v>1</v>
      </c>
      <c r="K2150">
        <v>332</v>
      </c>
      <c r="L2150">
        <v>429</v>
      </c>
      <c r="M2150">
        <v>1</v>
      </c>
      <c r="N2150">
        <v>2.6047800000000002E-13</v>
      </c>
      <c r="O2150">
        <v>178</v>
      </c>
    </row>
    <row r="2151" spans="1:15" x14ac:dyDescent="0.25">
      <c r="A2151" t="s">
        <v>2164</v>
      </c>
      <c r="B2151">
        <v>333</v>
      </c>
      <c r="C2151" s="1" t="str">
        <f>HYPERLINK("http://www.rosaceae.org/gb/gbrowse/malus_x_domestica/?name=MDP0000193399","MDP0000193399")</f>
        <v>MDP0000193399</v>
      </c>
      <c r="D2151">
        <v>65.959999999999994</v>
      </c>
      <c r="E2151">
        <v>332</v>
      </c>
      <c r="F2151">
        <v>113</v>
      </c>
      <c r="G2151">
        <v>12</v>
      </c>
      <c r="H2151">
        <v>4</v>
      </c>
      <c r="I2151">
        <v>330</v>
      </c>
      <c r="J2151">
        <v>1</v>
      </c>
      <c r="K2151">
        <v>3</v>
      </c>
      <c r="L2151">
        <v>327</v>
      </c>
      <c r="M2151">
        <v>1</v>
      </c>
      <c r="N2151">
        <v>1.5040400000000001E-122</v>
      </c>
      <c r="O2151">
        <v>1121</v>
      </c>
    </row>
    <row r="2152" spans="1:15" x14ac:dyDescent="0.25">
      <c r="A2152" t="s">
        <v>2165</v>
      </c>
      <c r="B2152">
        <v>625</v>
      </c>
      <c r="C2152" s="1" t="str">
        <f>HYPERLINK("http://www.rosaceae.org/gb/gbrowse/malus_x_domestica/?name=MDP0000233525","MDP0000233525")</f>
        <v>MDP0000233525</v>
      </c>
      <c r="D2152">
        <v>84.39</v>
      </c>
      <c r="E2152">
        <v>628</v>
      </c>
      <c r="F2152">
        <v>98</v>
      </c>
      <c r="G2152">
        <v>44</v>
      </c>
      <c r="H2152">
        <v>1</v>
      </c>
      <c r="I2152">
        <v>584</v>
      </c>
      <c r="J2152">
        <v>1</v>
      </c>
      <c r="K2152">
        <v>30</v>
      </c>
      <c r="L2152">
        <v>657</v>
      </c>
      <c r="M2152">
        <v>1</v>
      </c>
      <c r="N2152">
        <v>0</v>
      </c>
      <c r="O2152">
        <v>2807</v>
      </c>
    </row>
    <row r="2153" spans="1:15" x14ac:dyDescent="0.25">
      <c r="A2153" t="s">
        <v>2166</v>
      </c>
      <c r="B2153">
        <v>176</v>
      </c>
      <c r="C2153" s="1" t="str">
        <f>HYPERLINK("http://www.rosaceae.org/gb/gbrowse/malus_x_domestica/?name=MDP0000595671","MDP0000595671")</f>
        <v>MDP0000595671</v>
      </c>
      <c r="D2153">
        <v>62.01</v>
      </c>
      <c r="E2153">
        <v>179</v>
      </c>
      <c r="F2153">
        <v>68</v>
      </c>
      <c r="G2153">
        <v>11</v>
      </c>
      <c r="H2153">
        <v>1</v>
      </c>
      <c r="I2153">
        <v>174</v>
      </c>
      <c r="J2153">
        <v>1</v>
      </c>
      <c r="K2153">
        <v>1</v>
      </c>
      <c r="L2153">
        <v>173</v>
      </c>
      <c r="M2153">
        <v>1</v>
      </c>
      <c r="N2153">
        <v>1.50358E-52</v>
      </c>
      <c r="O2153">
        <v>514</v>
      </c>
    </row>
    <row r="2154" spans="1:15" x14ac:dyDescent="0.25">
      <c r="A2154" t="s">
        <v>2167</v>
      </c>
      <c r="B2154">
        <v>309</v>
      </c>
      <c r="C2154" s="1" t="str">
        <f>HYPERLINK("http://www.rosaceae.org/gb/gbrowse/malus_x_domestica/?name=MDP0000243042","MDP0000243042")</f>
        <v>MDP0000243042</v>
      </c>
      <c r="D2154">
        <v>80.45</v>
      </c>
      <c r="E2154">
        <v>307</v>
      </c>
      <c r="F2154">
        <v>60</v>
      </c>
      <c r="G2154">
        <v>1</v>
      </c>
      <c r="H2154">
        <v>3</v>
      </c>
      <c r="I2154">
        <v>309</v>
      </c>
      <c r="J2154">
        <v>1</v>
      </c>
      <c r="K2154">
        <v>107</v>
      </c>
      <c r="L2154">
        <v>412</v>
      </c>
      <c r="M2154">
        <v>1</v>
      </c>
      <c r="N2154">
        <v>8.4446400000000004E-150</v>
      </c>
      <c r="O2154">
        <v>1356</v>
      </c>
    </row>
    <row r="2155" spans="1:15" x14ac:dyDescent="0.25">
      <c r="A2155" t="s">
        <v>2168</v>
      </c>
      <c r="B2155">
        <v>291</v>
      </c>
      <c r="C2155" s="1" t="str">
        <f>HYPERLINK("http://www.rosaceae.org/gb/gbrowse/malus_x_domestica/?name=MDP0000179153","MDP0000179153")</f>
        <v>MDP0000179153</v>
      </c>
      <c r="D2155">
        <v>33.56</v>
      </c>
      <c r="E2155">
        <v>143</v>
      </c>
      <c r="F2155">
        <v>95</v>
      </c>
      <c r="G2155">
        <v>28</v>
      </c>
      <c r="H2155">
        <v>154</v>
      </c>
      <c r="I2155">
        <v>287</v>
      </c>
      <c r="J2155">
        <v>1</v>
      </c>
      <c r="K2155">
        <v>108</v>
      </c>
      <c r="L2155">
        <v>231</v>
      </c>
      <c r="M2155">
        <v>1</v>
      </c>
      <c r="N2155">
        <v>1.5895E-12</v>
      </c>
      <c r="O2155">
        <v>172</v>
      </c>
    </row>
    <row r="2156" spans="1:15" x14ac:dyDescent="0.25">
      <c r="A2156" t="s">
        <v>2169</v>
      </c>
      <c r="B2156">
        <v>1320</v>
      </c>
      <c r="C2156" s="1" t="str">
        <f>HYPERLINK("http://www.rosaceae.org/gb/gbrowse/malus_x_domestica/?name=MDP0000281863","MDP0000281863")</f>
        <v>MDP0000281863</v>
      </c>
      <c r="D2156">
        <v>60.24</v>
      </c>
      <c r="E2156">
        <v>483</v>
      </c>
      <c r="F2156">
        <v>192</v>
      </c>
      <c r="G2156">
        <v>46</v>
      </c>
      <c r="H2156">
        <v>265</v>
      </c>
      <c r="I2156">
        <v>734</v>
      </c>
      <c r="J2156">
        <v>1</v>
      </c>
      <c r="K2156">
        <v>221</v>
      </c>
      <c r="L2156">
        <v>670</v>
      </c>
      <c r="M2156">
        <v>1</v>
      </c>
      <c r="N2156">
        <v>8.8142100000000005E-153</v>
      </c>
      <c r="O2156">
        <v>1388</v>
      </c>
    </row>
    <row r="2157" spans="1:15" x14ac:dyDescent="0.25">
      <c r="A2157" t="s">
        <v>2170</v>
      </c>
      <c r="B2157">
        <v>341</v>
      </c>
      <c r="C2157" s="1" t="str">
        <f>HYPERLINK("http://www.rosaceae.org/gb/gbrowse/malus_x_domestica/?name=MDP0000252361","MDP0000252361")</f>
        <v>MDP0000252361</v>
      </c>
      <c r="D2157">
        <v>50.59</v>
      </c>
      <c r="E2157">
        <v>338</v>
      </c>
      <c r="F2157">
        <v>167</v>
      </c>
      <c r="G2157">
        <v>57</v>
      </c>
      <c r="H2157">
        <v>16</v>
      </c>
      <c r="I2157">
        <v>341</v>
      </c>
      <c r="J2157">
        <v>1</v>
      </c>
      <c r="K2157">
        <v>15</v>
      </c>
      <c r="L2157">
        <v>307</v>
      </c>
      <c r="M2157">
        <v>1</v>
      </c>
      <c r="N2157">
        <v>4.4710999999999999E-80</v>
      </c>
      <c r="O2157">
        <v>755</v>
      </c>
    </row>
    <row r="2158" spans="1:15" x14ac:dyDescent="0.25">
      <c r="A2158" t="s">
        <v>2171</v>
      </c>
      <c r="B2158">
        <v>454</v>
      </c>
      <c r="C2158" s="1" t="str">
        <f>HYPERLINK("http://www.rosaceae.org/gb/gbrowse/malus_x_domestica/?name=MDP0000231072","MDP0000231072")</f>
        <v>MDP0000231072</v>
      </c>
      <c r="D2158">
        <v>37.9</v>
      </c>
      <c r="E2158">
        <v>467</v>
      </c>
      <c r="F2158">
        <v>290</v>
      </c>
      <c r="G2158">
        <v>72</v>
      </c>
      <c r="H2158">
        <v>16</v>
      </c>
      <c r="I2158">
        <v>452</v>
      </c>
      <c r="J2158">
        <v>1</v>
      </c>
      <c r="K2158">
        <v>4</v>
      </c>
      <c r="L2158">
        <v>428</v>
      </c>
      <c r="M2158">
        <v>1</v>
      </c>
      <c r="N2158">
        <v>1.3540400000000001E-66</v>
      </c>
      <c r="O2158">
        <v>640</v>
      </c>
    </row>
    <row r="2159" spans="1:15" x14ac:dyDescent="0.25">
      <c r="A2159" t="s">
        <v>2172</v>
      </c>
      <c r="B2159">
        <v>545</v>
      </c>
      <c r="C2159" s="1" t="str">
        <f>HYPERLINK("http://www.rosaceae.org/gb/gbrowse/malus_x_domestica/?name=MDP0000310842","MDP0000310842")</f>
        <v>MDP0000310842</v>
      </c>
      <c r="D2159">
        <v>56.49</v>
      </c>
      <c r="E2159">
        <v>439</v>
      </c>
      <c r="F2159">
        <v>191</v>
      </c>
      <c r="G2159">
        <v>4</v>
      </c>
      <c r="H2159">
        <v>12</v>
      </c>
      <c r="I2159">
        <v>447</v>
      </c>
      <c r="J2159">
        <v>1</v>
      </c>
      <c r="K2159">
        <v>30</v>
      </c>
      <c r="L2159">
        <v>467</v>
      </c>
      <c r="M2159">
        <v>1</v>
      </c>
      <c r="N2159">
        <v>1.58477E-133</v>
      </c>
      <c r="O2159">
        <v>1218</v>
      </c>
    </row>
    <row r="2160" spans="1:15" x14ac:dyDescent="0.25">
      <c r="A2160" t="s">
        <v>2173</v>
      </c>
      <c r="B2160">
        <v>668</v>
      </c>
      <c r="C2160" s="1" t="str">
        <f>HYPERLINK("http://www.rosaceae.org/gb/gbrowse/malus_x_domestica/?name=MDP0000822744","MDP0000822744")</f>
        <v>MDP0000822744</v>
      </c>
      <c r="D2160">
        <v>27.25</v>
      </c>
      <c r="E2160">
        <v>477</v>
      </c>
      <c r="F2160">
        <v>347</v>
      </c>
      <c r="G2160">
        <v>122</v>
      </c>
      <c r="H2160">
        <v>56</v>
      </c>
      <c r="I2160">
        <v>443</v>
      </c>
      <c r="J2160">
        <v>1</v>
      </c>
      <c r="K2160">
        <v>40</v>
      </c>
      <c r="L2160">
        <v>483</v>
      </c>
      <c r="M2160">
        <v>1</v>
      </c>
      <c r="N2160">
        <v>2.6545799999999999E-34</v>
      </c>
      <c r="O2160">
        <v>364</v>
      </c>
    </row>
    <row r="2161" spans="1:15" x14ac:dyDescent="0.25">
      <c r="A2161" t="s">
        <v>2174</v>
      </c>
      <c r="B2161">
        <v>236</v>
      </c>
      <c r="C2161" s="1" t="str">
        <f>HYPERLINK("http://www.rosaceae.org/gb/gbrowse/malus_x_domestica/?name=MDP0000628052","MDP0000628052")</f>
        <v>MDP0000628052</v>
      </c>
      <c r="D2161">
        <v>68.62</v>
      </c>
      <c r="E2161">
        <v>204</v>
      </c>
      <c r="F2161">
        <v>64</v>
      </c>
      <c r="G2161">
        <v>17</v>
      </c>
      <c r="H2161">
        <v>41</v>
      </c>
      <c r="I2161">
        <v>227</v>
      </c>
      <c r="J2161">
        <v>1</v>
      </c>
      <c r="K2161">
        <v>91</v>
      </c>
      <c r="L2161">
        <v>294</v>
      </c>
      <c r="M2161">
        <v>1</v>
      </c>
      <c r="N2161">
        <v>1.2716699999999999E-77</v>
      </c>
      <c r="O2161">
        <v>732</v>
      </c>
    </row>
    <row r="2162" spans="1:15" x14ac:dyDescent="0.25">
      <c r="A2162" t="s">
        <v>2175</v>
      </c>
      <c r="B2162">
        <v>215</v>
      </c>
      <c r="C2162" s="1" t="str">
        <f>HYPERLINK("http://www.rosaceae.org/gb/gbrowse/malus_x_domestica/?name=MDP0000296317","MDP0000296317")</f>
        <v>MDP0000296317</v>
      </c>
      <c r="D2162">
        <v>37.15</v>
      </c>
      <c r="E2162">
        <v>183</v>
      </c>
      <c r="F2162">
        <v>115</v>
      </c>
      <c r="G2162">
        <v>50</v>
      </c>
      <c r="H2162">
        <v>5</v>
      </c>
      <c r="I2162">
        <v>140</v>
      </c>
      <c r="J2162">
        <v>1</v>
      </c>
      <c r="K2162">
        <v>308</v>
      </c>
      <c r="L2162">
        <v>487</v>
      </c>
      <c r="M2162">
        <v>1</v>
      </c>
      <c r="N2162">
        <v>1.5712800000000001E-20</v>
      </c>
      <c r="O2162">
        <v>239</v>
      </c>
    </row>
    <row r="2163" spans="1:15" x14ac:dyDescent="0.25">
      <c r="A2163" t="s">
        <v>2176</v>
      </c>
      <c r="B2163">
        <v>136</v>
      </c>
      <c r="C2163" s="1" t="str">
        <f>HYPERLINK("http://www.rosaceae.org/gb/gbrowse/malus_x_domestica/?name=MDP0000917037","MDP0000917037")</f>
        <v>MDP0000917037</v>
      </c>
      <c r="D2163">
        <v>87.77</v>
      </c>
      <c r="E2163">
        <v>90</v>
      </c>
      <c r="F2163">
        <v>11</v>
      </c>
      <c r="G2163">
        <v>0</v>
      </c>
      <c r="H2163">
        <v>47</v>
      </c>
      <c r="I2163">
        <v>136</v>
      </c>
      <c r="J2163">
        <v>1</v>
      </c>
      <c r="K2163">
        <v>1</v>
      </c>
      <c r="L2163">
        <v>90</v>
      </c>
      <c r="M2163">
        <v>1</v>
      </c>
      <c r="N2163">
        <v>2.4063500000000001E-42</v>
      </c>
      <c r="O2163">
        <v>424</v>
      </c>
    </row>
    <row r="2164" spans="1:15" x14ac:dyDescent="0.25">
      <c r="A2164" t="s">
        <v>2177</v>
      </c>
      <c r="B2164">
        <v>271</v>
      </c>
      <c r="C2164" s="1" t="str">
        <f>HYPERLINK("http://www.rosaceae.org/gb/gbrowse/malus_x_domestica/?name=MDP0000478954","MDP0000478954")</f>
        <v>MDP0000478954</v>
      </c>
      <c r="D2164">
        <v>42.73</v>
      </c>
      <c r="E2164">
        <v>241</v>
      </c>
      <c r="F2164">
        <v>138</v>
      </c>
      <c r="G2164">
        <v>47</v>
      </c>
      <c r="H2164">
        <v>54</v>
      </c>
      <c r="I2164">
        <v>269</v>
      </c>
      <c r="J2164">
        <v>1</v>
      </c>
      <c r="K2164">
        <v>14</v>
      </c>
      <c r="L2164">
        <v>232</v>
      </c>
      <c r="M2164">
        <v>1</v>
      </c>
      <c r="N2164">
        <v>3.7232700000000001E-31</v>
      </c>
      <c r="O2164">
        <v>332</v>
      </c>
    </row>
    <row r="2165" spans="1:15" x14ac:dyDescent="0.25">
      <c r="A2165" t="s">
        <v>2178</v>
      </c>
      <c r="B2165">
        <v>438</v>
      </c>
      <c r="C2165" s="1" t="str">
        <f>HYPERLINK("http://www.rosaceae.org/gb/gbrowse/malus_x_domestica/?name=MDP0000780951","MDP0000780951")</f>
        <v>MDP0000780951</v>
      </c>
      <c r="D2165">
        <v>83.03</v>
      </c>
      <c r="E2165">
        <v>395</v>
      </c>
      <c r="F2165">
        <v>67</v>
      </c>
      <c r="G2165">
        <v>0</v>
      </c>
      <c r="H2165">
        <v>25</v>
      </c>
      <c r="I2165">
        <v>419</v>
      </c>
      <c r="J2165">
        <v>1</v>
      </c>
      <c r="K2165">
        <v>25</v>
      </c>
      <c r="L2165">
        <v>419</v>
      </c>
      <c r="M2165">
        <v>1</v>
      </c>
      <c r="N2165">
        <v>0</v>
      </c>
      <c r="O2165">
        <v>1763</v>
      </c>
    </row>
    <row r="2166" spans="1:15" x14ac:dyDescent="0.25">
      <c r="A2166" t="s">
        <v>2179</v>
      </c>
      <c r="B2166">
        <v>483</v>
      </c>
      <c r="C2166" s="1" t="str">
        <f>HYPERLINK("http://www.rosaceae.org/gb/gbrowse/malus_x_domestica/?name=MDP0000163774","MDP0000163774")</f>
        <v>MDP0000163774</v>
      </c>
      <c r="D2166">
        <v>51.13</v>
      </c>
      <c r="E2166">
        <v>88</v>
      </c>
      <c r="F2166">
        <v>43</v>
      </c>
      <c r="G2166">
        <v>0</v>
      </c>
      <c r="H2166">
        <v>311</v>
      </c>
      <c r="I2166">
        <v>398</v>
      </c>
      <c r="J2166">
        <v>1</v>
      </c>
      <c r="K2166">
        <v>74</v>
      </c>
      <c r="L2166">
        <v>161</v>
      </c>
      <c r="M2166">
        <v>1</v>
      </c>
      <c r="N2166">
        <v>7.0758300000000005E-21</v>
      </c>
      <c r="O2166">
        <v>246</v>
      </c>
    </row>
    <row r="2167" spans="1:15" x14ac:dyDescent="0.25">
      <c r="A2167" t="s">
        <v>2180</v>
      </c>
      <c r="B2167">
        <v>285</v>
      </c>
      <c r="C2167" s="1" t="str">
        <f>HYPERLINK("http://www.rosaceae.org/gb/gbrowse/malus_x_domestica/?name=MDP0000286762","MDP0000286762")</f>
        <v>MDP0000286762</v>
      </c>
      <c r="D2167">
        <v>41.75</v>
      </c>
      <c r="E2167">
        <v>285</v>
      </c>
      <c r="F2167">
        <v>166</v>
      </c>
      <c r="G2167">
        <v>27</v>
      </c>
      <c r="H2167">
        <v>2</v>
      </c>
      <c r="I2167">
        <v>268</v>
      </c>
      <c r="J2167">
        <v>1</v>
      </c>
      <c r="K2167">
        <v>3</v>
      </c>
      <c r="L2167">
        <v>278</v>
      </c>
      <c r="M2167">
        <v>1</v>
      </c>
      <c r="N2167">
        <v>2.00485E-52</v>
      </c>
      <c r="O2167">
        <v>516</v>
      </c>
    </row>
    <row r="2168" spans="1:15" x14ac:dyDescent="0.25">
      <c r="A2168" t="s">
        <v>2181</v>
      </c>
      <c r="B2168">
        <v>229</v>
      </c>
      <c r="C2168" s="1" t="str">
        <f>HYPERLINK("http://www.rosaceae.org/gb/gbrowse/malus_x_domestica/?name=MDP0000143951","MDP0000143951")</f>
        <v>MDP0000143951</v>
      </c>
      <c r="D2168">
        <v>54.02</v>
      </c>
      <c r="E2168">
        <v>87</v>
      </c>
      <c r="F2168">
        <v>40</v>
      </c>
      <c r="G2168">
        <v>7</v>
      </c>
      <c r="H2168">
        <v>111</v>
      </c>
      <c r="I2168">
        <v>197</v>
      </c>
      <c r="J2168">
        <v>1</v>
      </c>
      <c r="K2168">
        <v>177</v>
      </c>
      <c r="L2168">
        <v>256</v>
      </c>
      <c r="M2168">
        <v>1</v>
      </c>
      <c r="N2168">
        <v>3.3175800000000001E-12</v>
      </c>
      <c r="O2168">
        <v>168</v>
      </c>
    </row>
    <row r="2169" spans="1:15" x14ac:dyDescent="0.25">
      <c r="A2169" t="s">
        <v>2182</v>
      </c>
      <c r="B2169">
        <v>157</v>
      </c>
      <c r="C2169" s="1" t="str">
        <f>HYPERLINK("http://www.rosaceae.org/gb/gbrowse/malus_x_domestica/?name=MDP0000312359","MDP0000312359")</f>
        <v>MDP0000312359</v>
      </c>
      <c r="D2169">
        <v>90.32</v>
      </c>
      <c r="E2169">
        <v>155</v>
      </c>
      <c r="F2169">
        <v>15</v>
      </c>
      <c r="G2169">
        <v>0</v>
      </c>
      <c r="H2169">
        <v>1</v>
      </c>
      <c r="I2169">
        <v>155</v>
      </c>
      <c r="J2169">
        <v>1</v>
      </c>
      <c r="K2169">
        <v>1</v>
      </c>
      <c r="L2169">
        <v>155</v>
      </c>
      <c r="M2169">
        <v>1</v>
      </c>
      <c r="N2169">
        <v>1.20957E-78</v>
      </c>
      <c r="O2169">
        <v>738</v>
      </c>
    </row>
    <row r="2170" spans="1:15" x14ac:dyDescent="0.25">
      <c r="A2170" t="s">
        <v>2183</v>
      </c>
      <c r="B2170">
        <v>311</v>
      </c>
      <c r="C2170" s="1" t="str">
        <f>HYPERLINK("http://www.rosaceae.org/gb/gbrowse/malus_x_domestica/?name=MDP0000273257","MDP0000273257")</f>
        <v>MDP0000273257</v>
      </c>
      <c r="D2170">
        <v>58.72</v>
      </c>
      <c r="E2170">
        <v>298</v>
      </c>
      <c r="F2170">
        <v>123</v>
      </c>
      <c r="G2170">
        <v>20</v>
      </c>
      <c r="H2170">
        <v>27</v>
      </c>
      <c r="I2170">
        <v>306</v>
      </c>
      <c r="J2170">
        <v>1</v>
      </c>
      <c r="K2170">
        <v>59</v>
      </c>
      <c r="L2170">
        <v>354</v>
      </c>
      <c r="M2170">
        <v>1</v>
      </c>
      <c r="N2170">
        <v>4.7965299999999999E-91</v>
      </c>
      <c r="O2170">
        <v>849</v>
      </c>
    </row>
    <row r="2171" spans="1:15" x14ac:dyDescent="0.25">
      <c r="A2171" t="s">
        <v>2184</v>
      </c>
      <c r="B2171">
        <v>105</v>
      </c>
      <c r="C2171" s="1" t="str">
        <f>HYPERLINK("http://www.rosaceae.org/gb/gbrowse/malus_x_domestica/?name=MDP0000350845","MDP0000350845")</f>
        <v>MDP0000350845</v>
      </c>
      <c r="D2171">
        <v>78.569999999999993</v>
      </c>
      <c r="E2171">
        <v>112</v>
      </c>
      <c r="F2171">
        <v>24</v>
      </c>
      <c r="G2171">
        <v>7</v>
      </c>
      <c r="H2171">
        <v>1</v>
      </c>
      <c r="I2171">
        <v>105</v>
      </c>
      <c r="J2171">
        <v>1</v>
      </c>
      <c r="K2171">
        <v>1</v>
      </c>
      <c r="L2171">
        <v>112</v>
      </c>
      <c r="M2171">
        <v>1</v>
      </c>
      <c r="N2171">
        <v>3.8919200000000002E-38</v>
      </c>
      <c r="O2171">
        <v>386</v>
      </c>
    </row>
    <row r="2172" spans="1:15" x14ac:dyDescent="0.25">
      <c r="A2172" t="s">
        <v>2185</v>
      </c>
      <c r="B2172">
        <v>808</v>
      </c>
      <c r="C2172" s="1" t="str">
        <f>HYPERLINK("http://www.rosaceae.org/gb/gbrowse/malus_x_domestica/?name=MDP0000224857","MDP0000224857")</f>
        <v>MDP0000224857</v>
      </c>
      <c r="D2172">
        <v>72.5</v>
      </c>
      <c r="E2172">
        <v>480</v>
      </c>
      <c r="F2172">
        <v>132</v>
      </c>
      <c r="G2172">
        <v>28</v>
      </c>
      <c r="H2172">
        <v>203</v>
      </c>
      <c r="I2172">
        <v>682</v>
      </c>
      <c r="J2172">
        <v>1</v>
      </c>
      <c r="K2172">
        <v>5</v>
      </c>
      <c r="L2172">
        <v>456</v>
      </c>
      <c r="M2172">
        <v>1</v>
      </c>
      <c r="N2172">
        <v>0</v>
      </c>
      <c r="O2172">
        <v>1795</v>
      </c>
    </row>
    <row r="2173" spans="1:15" x14ac:dyDescent="0.25">
      <c r="A2173" t="s">
        <v>2186</v>
      </c>
      <c r="B2173">
        <v>594</v>
      </c>
      <c r="C2173" s="1" t="str">
        <f>HYPERLINK("http://www.rosaceae.org/gb/gbrowse/malus_x_domestica/?name=MDP0000822948","MDP0000822948")</f>
        <v>MDP0000822948</v>
      </c>
      <c r="D2173">
        <v>78.91</v>
      </c>
      <c r="E2173">
        <v>607</v>
      </c>
      <c r="F2173">
        <v>128</v>
      </c>
      <c r="G2173">
        <v>18</v>
      </c>
      <c r="H2173">
        <v>1</v>
      </c>
      <c r="I2173">
        <v>593</v>
      </c>
      <c r="J2173">
        <v>1</v>
      </c>
      <c r="K2173">
        <v>1</v>
      </c>
      <c r="L2173">
        <v>603</v>
      </c>
      <c r="M2173">
        <v>1</v>
      </c>
      <c r="N2173">
        <v>0</v>
      </c>
      <c r="O2173">
        <v>2432</v>
      </c>
    </row>
    <row r="2174" spans="1:15" x14ac:dyDescent="0.25">
      <c r="A2174" t="s">
        <v>2187</v>
      </c>
      <c r="B2174">
        <v>810</v>
      </c>
      <c r="C2174" s="1" t="str">
        <f>HYPERLINK("http://www.rosaceae.org/gb/gbrowse/malus_x_domestica/?name=MDP0000219463","MDP0000219463")</f>
        <v>MDP0000219463</v>
      </c>
      <c r="D2174">
        <v>72.150000000000006</v>
      </c>
      <c r="E2174">
        <v>826</v>
      </c>
      <c r="F2174">
        <v>230</v>
      </c>
      <c r="G2174">
        <v>48</v>
      </c>
      <c r="H2174">
        <v>1</v>
      </c>
      <c r="I2174">
        <v>810</v>
      </c>
      <c r="J2174">
        <v>1</v>
      </c>
      <c r="K2174">
        <v>97</v>
      </c>
      <c r="L2174">
        <v>890</v>
      </c>
      <c r="M2174">
        <v>1</v>
      </c>
      <c r="N2174">
        <v>0</v>
      </c>
      <c r="O2174">
        <v>3080</v>
      </c>
    </row>
    <row r="2175" spans="1:15" x14ac:dyDescent="0.25">
      <c r="A2175" t="s">
        <v>2188</v>
      </c>
      <c r="B2175">
        <v>491</v>
      </c>
      <c r="C2175" s="1" t="str">
        <f>HYPERLINK("http://www.rosaceae.org/gb/gbrowse/malus_x_domestica/?name=MDP0000155593","MDP0000155593")</f>
        <v>MDP0000155593</v>
      </c>
      <c r="D2175">
        <v>72.39</v>
      </c>
      <c r="E2175">
        <v>326</v>
      </c>
      <c r="F2175">
        <v>90</v>
      </c>
      <c r="G2175">
        <v>30</v>
      </c>
      <c r="H2175">
        <v>139</v>
      </c>
      <c r="I2175">
        <v>447</v>
      </c>
      <c r="J2175">
        <v>1</v>
      </c>
      <c r="K2175">
        <v>586</v>
      </c>
      <c r="L2175">
        <v>898</v>
      </c>
      <c r="M2175">
        <v>1</v>
      </c>
      <c r="N2175">
        <v>9.2397199999999994E-123</v>
      </c>
      <c r="O2175">
        <v>1125</v>
      </c>
    </row>
    <row r="2176" spans="1:15" x14ac:dyDescent="0.25">
      <c r="A2176" t="s">
        <v>2189</v>
      </c>
      <c r="B2176">
        <v>208</v>
      </c>
      <c r="C2176" s="1" t="str">
        <f>HYPERLINK("http://www.rosaceae.org/gb/gbrowse/malus_x_domestica/?name=MDP0000242009","MDP0000242009")</f>
        <v>MDP0000242009</v>
      </c>
      <c r="D2176">
        <v>68.42</v>
      </c>
      <c r="E2176">
        <v>38</v>
      </c>
      <c r="F2176">
        <v>12</v>
      </c>
      <c r="G2176">
        <v>0</v>
      </c>
      <c r="H2176">
        <v>150</v>
      </c>
      <c r="I2176">
        <v>187</v>
      </c>
      <c r="J2176">
        <v>1</v>
      </c>
      <c r="K2176">
        <v>157</v>
      </c>
      <c r="L2176">
        <v>194</v>
      </c>
      <c r="M2176">
        <v>1</v>
      </c>
      <c r="N2176">
        <v>5.6317299999999996E-7</v>
      </c>
      <c r="O2176">
        <v>122</v>
      </c>
    </row>
    <row r="2177" spans="1:15" x14ac:dyDescent="0.25">
      <c r="A2177" t="s">
        <v>2190</v>
      </c>
      <c r="B2177">
        <v>937</v>
      </c>
      <c r="C2177" s="1" t="str">
        <f>HYPERLINK("http://www.rosaceae.org/gb/gbrowse/malus_x_domestica/?name=MDP0000576922","MDP0000576922")</f>
        <v>MDP0000576922</v>
      </c>
      <c r="D2177">
        <v>75.400000000000006</v>
      </c>
      <c r="E2177">
        <v>374</v>
      </c>
      <c r="F2177">
        <v>92</v>
      </c>
      <c r="G2177">
        <v>6</v>
      </c>
      <c r="H2177">
        <v>565</v>
      </c>
      <c r="I2177">
        <v>935</v>
      </c>
      <c r="J2177">
        <v>1</v>
      </c>
      <c r="K2177">
        <v>110</v>
      </c>
      <c r="L2177">
        <v>480</v>
      </c>
      <c r="M2177">
        <v>1</v>
      </c>
      <c r="N2177">
        <v>5.2540899999999999E-164</v>
      </c>
      <c r="O2177">
        <v>1484</v>
      </c>
    </row>
    <row r="2178" spans="1:15" x14ac:dyDescent="0.25">
      <c r="A2178" t="s">
        <v>2191</v>
      </c>
      <c r="B2178">
        <v>1411</v>
      </c>
      <c r="C2178" s="1" t="str">
        <f>HYPERLINK("http://www.rosaceae.org/gb/gbrowse/malus_x_domestica/?name=MDP0000186417","MDP0000186417")</f>
        <v>MDP0000186417</v>
      </c>
      <c r="D2178">
        <v>50.61</v>
      </c>
      <c r="E2178">
        <v>899</v>
      </c>
      <c r="F2178">
        <v>444</v>
      </c>
      <c r="G2178">
        <v>112</v>
      </c>
      <c r="H2178">
        <v>1</v>
      </c>
      <c r="I2178">
        <v>854</v>
      </c>
      <c r="J2178">
        <v>1</v>
      </c>
      <c r="K2178">
        <v>1</v>
      </c>
      <c r="L2178">
        <v>832</v>
      </c>
      <c r="M2178">
        <v>1</v>
      </c>
      <c r="N2178">
        <v>0</v>
      </c>
      <c r="O2178">
        <v>2075</v>
      </c>
    </row>
    <row r="2179" spans="1:15" x14ac:dyDescent="0.25">
      <c r="A2179" t="s">
        <v>2192</v>
      </c>
      <c r="B2179">
        <v>344</v>
      </c>
      <c r="C2179" s="1" t="str">
        <f>HYPERLINK("http://www.rosaceae.org/gb/gbrowse/malus_x_domestica/?name=MDP0000567084","MDP0000567084")</f>
        <v>MDP0000567084</v>
      </c>
      <c r="D2179">
        <v>40.26</v>
      </c>
      <c r="E2179">
        <v>298</v>
      </c>
      <c r="F2179">
        <v>178</v>
      </c>
      <c r="G2179">
        <v>54</v>
      </c>
      <c r="H2179">
        <v>1</v>
      </c>
      <c r="I2179">
        <v>284</v>
      </c>
      <c r="J2179">
        <v>1</v>
      </c>
      <c r="K2179">
        <v>29</v>
      </c>
      <c r="L2179">
        <v>286</v>
      </c>
      <c r="M2179">
        <v>1</v>
      </c>
      <c r="N2179">
        <v>4.7701100000000004E-44</v>
      </c>
      <c r="O2179">
        <v>445</v>
      </c>
    </row>
    <row r="2180" spans="1:15" x14ac:dyDescent="0.25">
      <c r="A2180" t="s">
        <v>2193</v>
      </c>
      <c r="B2180">
        <v>312</v>
      </c>
      <c r="C2180" s="1" t="str">
        <f>HYPERLINK("http://www.rosaceae.org/gb/gbrowse/malus_x_domestica/?name=MDP0000949756","MDP0000949756")</f>
        <v>MDP0000949756</v>
      </c>
      <c r="D2180">
        <v>71.61</v>
      </c>
      <c r="E2180">
        <v>303</v>
      </c>
      <c r="F2180">
        <v>86</v>
      </c>
      <c r="G2180">
        <v>0</v>
      </c>
      <c r="H2180">
        <v>10</v>
      </c>
      <c r="I2180">
        <v>312</v>
      </c>
      <c r="J2180">
        <v>1</v>
      </c>
      <c r="K2180">
        <v>7</v>
      </c>
      <c r="L2180">
        <v>309</v>
      </c>
      <c r="M2180">
        <v>1</v>
      </c>
      <c r="N2180">
        <v>6.7614600000000005E-132</v>
      </c>
      <c r="O2180">
        <v>1202</v>
      </c>
    </row>
    <row r="2181" spans="1:15" x14ac:dyDescent="0.25">
      <c r="A2181" t="s">
        <v>2194</v>
      </c>
      <c r="B2181">
        <v>726</v>
      </c>
      <c r="C2181" s="1" t="str">
        <f>HYPERLINK("http://www.rosaceae.org/gb/gbrowse/malus_x_domestica/?name=MDP0000179930","MDP0000179930")</f>
        <v>MDP0000179930</v>
      </c>
      <c r="D2181">
        <v>62.47</v>
      </c>
      <c r="E2181">
        <v>469</v>
      </c>
      <c r="F2181">
        <v>176</v>
      </c>
      <c r="G2181">
        <v>82</v>
      </c>
      <c r="H2181">
        <v>1</v>
      </c>
      <c r="I2181">
        <v>444</v>
      </c>
      <c r="J2181">
        <v>1</v>
      </c>
      <c r="K2181">
        <v>1</v>
      </c>
      <c r="L2181">
        <v>412</v>
      </c>
      <c r="M2181">
        <v>1</v>
      </c>
      <c r="N2181">
        <v>6.3071199999999995E-163</v>
      </c>
      <c r="O2181">
        <v>1473</v>
      </c>
    </row>
    <row r="2182" spans="1:15" x14ac:dyDescent="0.25">
      <c r="A2182" t="s">
        <v>2195</v>
      </c>
      <c r="B2182">
        <v>538</v>
      </c>
      <c r="C2182" s="1" t="str">
        <f>HYPERLINK("http://www.rosaceae.org/gb/gbrowse/malus_x_domestica/?name=MDP0000273624","MDP0000273624")</f>
        <v>MDP0000273624</v>
      </c>
      <c r="D2182">
        <v>72.94</v>
      </c>
      <c r="E2182">
        <v>292</v>
      </c>
      <c r="F2182">
        <v>79</v>
      </c>
      <c r="G2182">
        <v>10</v>
      </c>
      <c r="H2182">
        <v>104</v>
      </c>
      <c r="I2182">
        <v>386</v>
      </c>
      <c r="J2182">
        <v>1</v>
      </c>
      <c r="K2182">
        <v>42</v>
      </c>
      <c r="L2182">
        <v>332</v>
      </c>
      <c r="M2182">
        <v>1</v>
      </c>
      <c r="N2182">
        <v>2.18796E-116</v>
      </c>
      <c r="O2182">
        <v>1071</v>
      </c>
    </row>
    <row r="2183" spans="1:15" x14ac:dyDescent="0.25">
      <c r="A2183" t="s">
        <v>2196</v>
      </c>
      <c r="B2183">
        <v>259</v>
      </c>
      <c r="C2183" s="1" t="str">
        <f>HYPERLINK("http://www.rosaceae.org/gb/gbrowse/malus_x_domestica/?name=MDP0000166029","MDP0000166029")</f>
        <v>MDP0000166029</v>
      </c>
      <c r="D2183">
        <v>78.2</v>
      </c>
      <c r="E2183">
        <v>234</v>
      </c>
      <c r="F2183">
        <v>51</v>
      </c>
      <c r="G2183">
        <v>7</v>
      </c>
      <c r="H2183">
        <v>1</v>
      </c>
      <c r="I2183">
        <v>227</v>
      </c>
      <c r="J2183">
        <v>1</v>
      </c>
      <c r="K2183">
        <v>1</v>
      </c>
      <c r="L2183">
        <v>234</v>
      </c>
      <c r="M2183">
        <v>1</v>
      </c>
      <c r="N2183">
        <v>1.4243699999999998E-104</v>
      </c>
      <c r="O2183">
        <v>965</v>
      </c>
    </row>
    <row r="2184" spans="1:15" x14ac:dyDescent="0.25">
      <c r="A2184" t="s">
        <v>2197</v>
      </c>
      <c r="B2184">
        <v>806</v>
      </c>
      <c r="C2184" s="1" t="str">
        <f>HYPERLINK("http://www.rosaceae.org/gb/gbrowse/malus_x_domestica/?name=MDP0000334047","MDP0000334047")</f>
        <v>MDP0000334047</v>
      </c>
      <c r="D2184">
        <v>69.040000000000006</v>
      </c>
      <c r="E2184">
        <v>294</v>
      </c>
      <c r="F2184">
        <v>91</v>
      </c>
      <c r="G2184">
        <v>36</v>
      </c>
      <c r="H2184">
        <v>10</v>
      </c>
      <c r="I2184">
        <v>295</v>
      </c>
      <c r="J2184">
        <v>1</v>
      </c>
      <c r="K2184">
        <v>18</v>
      </c>
      <c r="L2184">
        <v>283</v>
      </c>
      <c r="M2184">
        <v>1</v>
      </c>
      <c r="N2184">
        <v>2.65074E-103</v>
      </c>
      <c r="O2184">
        <v>959</v>
      </c>
    </row>
    <row r="2185" spans="1:15" x14ac:dyDescent="0.25">
      <c r="A2185" t="s">
        <v>2198</v>
      </c>
      <c r="B2185">
        <v>274</v>
      </c>
      <c r="C2185" s="1" t="str">
        <f>HYPERLINK("http://www.rosaceae.org/gb/gbrowse/malus_x_domestica/?name=MDP0000118748","MDP0000118748")</f>
        <v>MDP0000118748</v>
      </c>
      <c r="D2185">
        <v>77.41</v>
      </c>
      <c r="E2185">
        <v>248</v>
      </c>
      <c r="F2185">
        <v>56</v>
      </c>
      <c r="G2185">
        <v>0</v>
      </c>
      <c r="H2185">
        <v>27</v>
      </c>
      <c r="I2185">
        <v>274</v>
      </c>
      <c r="J2185">
        <v>1</v>
      </c>
      <c r="K2185">
        <v>40</v>
      </c>
      <c r="L2185">
        <v>287</v>
      </c>
      <c r="M2185">
        <v>1</v>
      </c>
      <c r="N2185">
        <v>3.3429400000000001E-118</v>
      </c>
      <c r="O2185">
        <v>1083</v>
      </c>
    </row>
    <row r="2186" spans="1:15" x14ac:dyDescent="0.25">
      <c r="A2186" t="s">
        <v>2199</v>
      </c>
      <c r="B2186">
        <v>256</v>
      </c>
      <c r="C2186" s="1" t="str">
        <f>HYPERLINK("http://www.rosaceae.org/gb/gbrowse/malus_x_domestica/?name=MDP0000136103","MDP0000136103")</f>
        <v>MDP0000136103</v>
      </c>
      <c r="D2186">
        <v>73.33</v>
      </c>
      <c r="E2186">
        <v>45</v>
      </c>
      <c r="F2186">
        <v>12</v>
      </c>
      <c r="G2186">
        <v>0</v>
      </c>
      <c r="H2186">
        <v>168</v>
      </c>
      <c r="I2186">
        <v>212</v>
      </c>
      <c r="J2186">
        <v>1</v>
      </c>
      <c r="K2186">
        <v>92</v>
      </c>
      <c r="L2186">
        <v>136</v>
      </c>
      <c r="M2186">
        <v>1</v>
      </c>
      <c r="N2186">
        <v>7.8700900000000002E-13</v>
      </c>
      <c r="O2186">
        <v>174</v>
      </c>
    </row>
    <row r="2187" spans="1:15" x14ac:dyDescent="0.25">
      <c r="A2187" t="s">
        <v>2200</v>
      </c>
      <c r="B2187">
        <v>177</v>
      </c>
      <c r="C2187" s="1" t="str">
        <f>HYPERLINK("http://www.rosaceae.org/gb/gbrowse/malus_x_domestica/?name=MDP0000629143","MDP0000629143")</f>
        <v>MDP0000629143</v>
      </c>
      <c r="D2187">
        <v>79.53</v>
      </c>
      <c r="E2187">
        <v>171</v>
      </c>
      <c r="F2187">
        <v>35</v>
      </c>
      <c r="G2187">
        <v>16</v>
      </c>
      <c r="H2187">
        <v>5</v>
      </c>
      <c r="I2187">
        <v>159</v>
      </c>
      <c r="J2187">
        <v>1</v>
      </c>
      <c r="K2187">
        <v>11</v>
      </c>
      <c r="L2187">
        <v>181</v>
      </c>
      <c r="M2187">
        <v>1</v>
      </c>
      <c r="N2187">
        <v>8.01996E-77</v>
      </c>
      <c r="O2187">
        <v>723</v>
      </c>
    </row>
    <row r="2188" spans="1:15" x14ac:dyDescent="0.25">
      <c r="A2188" t="s">
        <v>2201</v>
      </c>
      <c r="B2188">
        <v>233</v>
      </c>
      <c r="C2188" s="1" t="str">
        <f>HYPERLINK("http://www.rosaceae.org/gb/gbrowse/malus_x_domestica/?name=MDP0000243826","MDP0000243826")</f>
        <v>MDP0000243826</v>
      </c>
      <c r="D2188">
        <v>32.229999999999997</v>
      </c>
      <c r="E2188">
        <v>242</v>
      </c>
      <c r="F2188">
        <v>164</v>
      </c>
      <c r="G2188">
        <v>52</v>
      </c>
      <c r="H2188">
        <v>8</v>
      </c>
      <c r="I2188">
        <v>204</v>
      </c>
      <c r="J2188">
        <v>1</v>
      </c>
      <c r="K2188">
        <v>483</v>
      </c>
      <c r="L2188">
        <v>717</v>
      </c>
      <c r="M2188">
        <v>1</v>
      </c>
      <c r="N2188">
        <v>1.3653099999999999E-14</v>
      </c>
      <c r="O2188">
        <v>188</v>
      </c>
    </row>
    <row r="2189" spans="1:15" x14ac:dyDescent="0.25">
      <c r="A2189" t="s">
        <v>2202</v>
      </c>
      <c r="B2189">
        <v>314</v>
      </c>
      <c r="C2189" s="1" t="str">
        <f>HYPERLINK("http://www.rosaceae.org/gb/gbrowse/malus_x_domestica/?name=MDP0000321222","MDP0000321222")</f>
        <v>MDP0000321222</v>
      </c>
      <c r="D2189">
        <v>81.5</v>
      </c>
      <c r="E2189">
        <v>173</v>
      </c>
      <c r="F2189">
        <v>32</v>
      </c>
      <c r="G2189">
        <v>12</v>
      </c>
      <c r="H2189">
        <v>142</v>
      </c>
      <c r="I2189">
        <v>314</v>
      </c>
      <c r="J2189">
        <v>1</v>
      </c>
      <c r="K2189">
        <v>412</v>
      </c>
      <c r="L2189">
        <v>572</v>
      </c>
      <c r="M2189">
        <v>1</v>
      </c>
      <c r="N2189">
        <v>1.7531900000000001E-72</v>
      </c>
      <c r="O2189">
        <v>689</v>
      </c>
    </row>
    <row r="2190" spans="1:15" x14ac:dyDescent="0.25">
      <c r="A2190" t="s">
        <v>2203</v>
      </c>
      <c r="B2190">
        <v>277</v>
      </c>
      <c r="C2190" s="1" t="str">
        <f>HYPERLINK("http://www.rosaceae.org/gb/gbrowse/malus_x_domestica/?name=MDP0000221331","MDP0000221331")</f>
        <v>MDP0000221331</v>
      </c>
      <c r="D2190">
        <v>82.6</v>
      </c>
      <c r="E2190">
        <v>276</v>
      </c>
      <c r="F2190">
        <v>48</v>
      </c>
      <c r="G2190">
        <v>21</v>
      </c>
      <c r="H2190">
        <v>1</v>
      </c>
      <c r="I2190">
        <v>256</v>
      </c>
      <c r="J2190">
        <v>1</v>
      </c>
      <c r="K2190">
        <v>1</v>
      </c>
      <c r="L2190">
        <v>275</v>
      </c>
      <c r="M2190">
        <v>1</v>
      </c>
      <c r="N2190">
        <v>2.30975E-129</v>
      </c>
      <c r="O2190">
        <v>1179</v>
      </c>
    </row>
    <row r="2191" spans="1:15" x14ac:dyDescent="0.25">
      <c r="A2191" t="s">
        <v>2204</v>
      </c>
      <c r="B2191">
        <v>189</v>
      </c>
      <c r="C2191" s="1" t="str">
        <f>HYPERLINK("http://www.rosaceae.org/gb/gbrowse/malus_x_domestica/?name=MDP0000316107","MDP0000316107")</f>
        <v>MDP0000316107</v>
      </c>
      <c r="D2191">
        <v>85.03</v>
      </c>
      <c r="E2191">
        <v>127</v>
      </c>
      <c r="F2191">
        <v>19</v>
      </c>
      <c r="G2191">
        <v>1</v>
      </c>
      <c r="H2191">
        <v>59</v>
      </c>
      <c r="I2191">
        <v>185</v>
      </c>
      <c r="J2191">
        <v>1</v>
      </c>
      <c r="K2191">
        <v>82</v>
      </c>
      <c r="L2191">
        <v>207</v>
      </c>
      <c r="M2191">
        <v>1</v>
      </c>
      <c r="N2191">
        <v>2.9844499999999998E-62</v>
      </c>
      <c r="O2191">
        <v>598</v>
      </c>
    </row>
    <row r="2192" spans="1:15" x14ac:dyDescent="0.25">
      <c r="A2192" t="s">
        <v>2205</v>
      </c>
      <c r="B2192">
        <v>414</v>
      </c>
      <c r="C2192" s="1" t="str">
        <f>HYPERLINK("http://www.rosaceae.org/gb/gbrowse/malus_x_domestica/?name=MDP0000655666","MDP0000655666")</f>
        <v>MDP0000655666</v>
      </c>
      <c r="D2192">
        <v>30.47</v>
      </c>
      <c r="E2192">
        <v>361</v>
      </c>
      <c r="F2192">
        <v>251</v>
      </c>
      <c r="G2192">
        <v>38</v>
      </c>
      <c r="H2192">
        <v>5</v>
      </c>
      <c r="I2192">
        <v>336</v>
      </c>
      <c r="J2192">
        <v>1</v>
      </c>
      <c r="K2192">
        <v>2</v>
      </c>
      <c r="L2192">
        <v>353</v>
      </c>
      <c r="M2192">
        <v>1</v>
      </c>
      <c r="N2192">
        <v>2.33635E-31</v>
      </c>
      <c r="O2192">
        <v>336</v>
      </c>
    </row>
    <row r="2193" spans="1:15" x14ac:dyDescent="0.25">
      <c r="A2193" t="s">
        <v>2206</v>
      </c>
      <c r="B2193">
        <v>357</v>
      </c>
      <c r="C2193" s="1" t="str">
        <f>HYPERLINK("http://www.rosaceae.org/gb/gbrowse/malus_x_domestica/?name=MDP0000225175","MDP0000225175")</f>
        <v>MDP0000225175</v>
      </c>
      <c r="D2193">
        <v>75.209999999999994</v>
      </c>
      <c r="E2193">
        <v>117</v>
      </c>
      <c r="F2193">
        <v>29</v>
      </c>
      <c r="G2193">
        <v>0</v>
      </c>
      <c r="H2193">
        <v>162</v>
      </c>
      <c r="I2193">
        <v>278</v>
      </c>
      <c r="J2193">
        <v>1</v>
      </c>
      <c r="K2193">
        <v>234</v>
      </c>
      <c r="L2193">
        <v>350</v>
      </c>
      <c r="M2193">
        <v>1</v>
      </c>
      <c r="N2193">
        <v>1.5119500000000001E-47</v>
      </c>
      <c r="O2193">
        <v>475</v>
      </c>
    </row>
    <row r="2194" spans="1:15" x14ac:dyDescent="0.25">
      <c r="A2194" t="s">
        <v>2207</v>
      </c>
      <c r="B2194">
        <v>324</v>
      </c>
      <c r="C2194" s="1" t="str">
        <f>HYPERLINK("http://www.rosaceae.org/gb/gbrowse/malus_x_domestica/?name=MDP0000123671","MDP0000123671")</f>
        <v>MDP0000123671</v>
      </c>
      <c r="D2194">
        <v>64.58</v>
      </c>
      <c r="E2194">
        <v>336</v>
      </c>
      <c r="F2194">
        <v>119</v>
      </c>
      <c r="G2194">
        <v>37</v>
      </c>
      <c r="H2194">
        <v>22</v>
      </c>
      <c r="I2194">
        <v>324</v>
      </c>
      <c r="J2194">
        <v>1</v>
      </c>
      <c r="K2194">
        <v>32</v>
      </c>
      <c r="L2194">
        <v>363</v>
      </c>
      <c r="M2194">
        <v>1</v>
      </c>
      <c r="N2194">
        <v>3.31493E-107</v>
      </c>
      <c r="O2194">
        <v>989</v>
      </c>
    </row>
    <row r="2195" spans="1:15" x14ac:dyDescent="0.25">
      <c r="A2195" t="s">
        <v>2208</v>
      </c>
      <c r="B2195">
        <v>403</v>
      </c>
      <c r="C2195" s="1" t="str">
        <f>HYPERLINK("http://www.rosaceae.org/gb/gbrowse/malus_x_domestica/?name=MDP0000500222","MDP0000500222")</f>
        <v>MDP0000500222</v>
      </c>
      <c r="D2195">
        <v>41.37</v>
      </c>
      <c r="E2195">
        <v>394</v>
      </c>
      <c r="F2195">
        <v>231</v>
      </c>
      <c r="G2195">
        <v>51</v>
      </c>
      <c r="H2195">
        <v>25</v>
      </c>
      <c r="I2195">
        <v>402</v>
      </c>
      <c r="J2195">
        <v>1</v>
      </c>
      <c r="K2195">
        <v>68</v>
      </c>
      <c r="L2195">
        <v>426</v>
      </c>
      <c r="M2195">
        <v>1</v>
      </c>
      <c r="N2195">
        <v>7.1825100000000005E-61</v>
      </c>
      <c r="O2195">
        <v>590</v>
      </c>
    </row>
    <row r="2196" spans="1:15" x14ac:dyDescent="0.25">
      <c r="A2196" t="s">
        <v>2209</v>
      </c>
      <c r="B2196">
        <v>150</v>
      </c>
      <c r="C2196" s="1" t="str">
        <f>HYPERLINK("http://www.rosaceae.org/gb/gbrowse/malus_x_domestica/?name=MDP0000179150","MDP0000179150")</f>
        <v>MDP0000179150</v>
      </c>
      <c r="D2196">
        <v>52.2</v>
      </c>
      <c r="E2196">
        <v>136</v>
      </c>
      <c r="F2196">
        <v>65</v>
      </c>
      <c r="G2196">
        <v>14</v>
      </c>
      <c r="H2196">
        <v>12</v>
      </c>
      <c r="I2196">
        <v>144</v>
      </c>
      <c r="J2196">
        <v>1</v>
      </c>
      <c r="K2196">
        <v>25</v>
      </c>
      <c r="L2196">
        <v>149</v>
      </c>
      <c r="M2196">
        <v>1</v>
      </c>
      <c r="N2196">
        <v>5.7068300000000004E-29</v>
      </c>
      <c r="O2196">
        <v>309</v>
      </c>
    </row>
    <row r="2197" spans="1:15" x14ac:dyDescent="0.25">
      <c r="A2197" t="s">
        <v>2210</v>
      </c>
      <c r="B2197">
        <v>189</v>
      </c>
      <c r="C2197" s="1" t="str">
        <f>HYPERLINK("http://www.rosaceae.org/gb/gbrowse/malus_x_domestica/?name=MDP0000288182","MDP0000288182")</f>
        <v>MDP0000288182</v>
      </c>
      <c r="D2197">
        <v>38.590000000000003</v>
      </c>
      <c r="E2197">
        <v>171</v>
      </c>
      <c r="F2197">
        <v>105</v>
      </c>
      <c r="G2197">
        <v>59</v>
      </c>
      <c r="H2197">
        <v>1</v>
      </c>
      <c r="I2197">
        <v>166</v>
      </c>
      <c r="J2197">
        <v>1</v>
      </c>
      <c r="K2197">
        <v>180</v>
      </c>
      <c r="L2197">
        <v>296</v>
      </c>
      <c r="M2197">
        <v>1</v>
      </c>
      <c r="N2197">
        <v>2.5391299999999999E-15</v>
      </c>
      <c r="O2197">
        <v>193</v>
      </c>
    </row>
    <row r="2198" spans="1:15" x14ac:dyDescent="0.25">
      <c r="A2198" t="s">
        <v>2211</v>
      </c>
      <c r="B2198">
        <v>126</v>
      </c>
      <c r="C2198" s="1" t="str">
        <f>HYPERLINK("http://www.rosaceae.org/gb/gbrowse/malus_x_domestica/?name=MDP0000308015","MDP0000308015")</f>
        <v>MDP0000308015</v>
      </c>
      <c r="D2198">
        <v>76.099999999999994</v>
      </c>
      <c r="E2198">
        <v>113</v>
      </c>
      <c r="F2198">
        <v>27</v>
      </c>
      <c r="G2198">
        <v>1</v>
      </c>
      <c r="H2198">
        <v>1</v>
      </c>
      <c r="I2198">
        <v>112</v>
      </c>
      <c r="J2198">
        <v>1</v>
      </c>
      <c r="K2198">
        <v>134</v>
      </c>
      <c r="L2198">
        <v>246</v>
      </c>
      <c r="M2198">
        <v>1</v>
      </c>
      <c r="N2198">
        <v>2.2124300000000001E-44</v>
      </c>
      <c r="O2198">
        <v>440</v>
      </c>
    </row>
    <row r="2199" spans="1:15" x14ac:dyDescent="0.25">
      <c r="A2199" t="s">
        <v>2212</v>
      </c>
      <c r="B2199">
        <v>156</v>
      </c>
      <c r="C2199" s="1" t="str">
        <f>HYPERLINK("http://www.rosaceae.org/gb/gbrowse/malus_x_domestica/?name=MDP0000511379","MDP0000511379")</f>
        <v>MDP0000511379</v>
      </c>
      <c r="D2199">
        <v>76.31</v>
      </c>
      <c r="E2199">
        <v>152</v>
      </c>
      <c r="F2199">
        <v>36</v>
      </c>
      <c r="G2199">
        <v>4</v>
      </c>
      <c r="H2199">
        <v>1</v>
      </c>
      <c r="I2199">
        <v>148</v>
      </c>
      <c r="J2199">
        <v>1</v>
      </c>
      <c r="K2199">
        <v>1</v>
      </c>
      <c r="L2199">
        <v>152</v>
      </c>
      <c r="M2199">
        <v>1</v>
      </c>
      <c r="N2199">
        <v>2.29208E-62</v>
      </c>
      <c r="O2199">
        <v>598</v>
      </c>
    </row>
    <row r="2200" spans="1:15" x14ac:dyDescent="0.25">
      <c r="A2200" t="s">
        <v>2213</v>
      </c>
      <c r="B2200">
        <v>93</v>
      </c>
      <c r="C2200" s="1" t="str">
        <f>HYPERLINK("http://www.rosaceae.org/gb/gbrowse/malus_x_domestica/?name=MDP0000277887","MDP0000277887")</f>
        <v>MDP0000277887</v>
      </c>
      <c r="D2200">
        <v>69.81</v>
      </c>
      <c r="E2200">
        <v>53</v>
      </c>
      <c r="F2200">
        <v>16</v>
      </c>
      <c r="G2200">
        <v>0</v>
      </c>
      <c r="H2200">
        <v>2</v>
      </c>
      <c r="I2200">
        <v>54</v>
      </c>
      <c r="J2200">
        <v>1</v>
      </c>
      <c r="K2200">
        <v>239</v>
      </c>
      <c r="L2200">
        <v>291</v>
      </c>
      <c r="M2200">
        <v>1</v>
      </c>
      <c r="N2200">
        <v>8.2564299999999994E-17</v>
      </c>
      <c r="O2200">
        <v>202</v>
      </c>
    </row>
    <row r="2201" spans="1:15" x14ac:dyDescent="0.25">
      <c r="A2201" t="s">
        <v>2214</v>
      </c>
      <c r="B2201">
        <v>330</v>
      </c>
      <c r="C2201" s="1" t="str">
        <f>HYPERLINK("http://www.rosaceae.org/gb/gbrowse/malus_x_domestica/?name=MDP0000943928","MDP0000943928")</f>
        <v>MDP0000943928</v>
      </c>
      <c r="D2201">
        <v>79.45</v>
      </c>
      <c r="E2201">
        <v>331</v>
      </c>
      <c r="F2201">
        <v>68</v>
      </c>
      <c r="G2201">
        <v>13</v>
      </c>
      <c r="H2201">
        <v>6</v>
      </c>
      <c r="I2201">
        <v>330</v>
      </c>
      <c r="J2201">
        <v>1</v>
      </c>
      <c r="K2201">
        <v>30</v>
      </c>
      <c r="L2201">
        <v>353</v>
      </c>
      <c r="M2201">
        <v>1</v>
      </c>
      <c r="N2201">
        <v>1.8916500000000001E-149</v>
      </c>
      <c r="O2201">
        <v>1353</v>
      </c>
    </row>
    <row r="2202" spans="1:15" x14ac:dyDescent="0.25">
      <c r="A2202" t="s">
        <v>2215</v>
      </c>
      <c r="B2202">
        <v>375</v>
      </c>
      <c r="C2202" s="1" t="str">
        <f>HYPERLINK("http://www.rosaceae.org/gb/gbrowse/malus_x_domestica/?name=MDP0000851676","MDP0000851676")</f>
        <v>MDP0000851676</v>
      </c>
      <c r="D2202">
        <v>81.87</v>
      </c>
      <c r="E2202">
        <v>331</v>
      </c>
      <c r="F2202">
        <v>60</v>
      </c>
      <c r="G2202">
        <v>0</v>
      </c>
      <c r="H2202">
        <v>45</v>
      </c>
      <c r="I2202">
        <v>375</v>
      </c>
      <c r="J2202">
        <v>1</v>
      </c>
      <c r="K2202">
        <v>69</v>
      </c>
      <c r="L2202">
        <v>399</v>
      </c>
      <c r="M2202">
        <v>1</v>
      </c>
      <c r="N2202">
        <v>9.9762499999999998E-166</v>
      </c>
      <c r="O2202">
        <v>1494</v>
      </c>
    </row>
    <row r="2203" spans="1:15" x14ac:dyDescent="0.25">
      <c r="A2203" t="s">
        <v>2216</v>
      </c>
      <c r="B2203">
        <v>120</v>
      </c>
      <c r="C2203" s="1" t="str">
        <f>HYPERLINK("http://www.rosaceae.org/gb/gbrowse/malus_x_domestica/?name=MDP0000238353","MDP0000238353")</f>
        <v>MDP0000238353</v>
      </c>
      <c r="D2203">
        <v>36.36</v>
      </c>
      <c r="E2203">
        <v>66</v>
      </c>
      <c r="F2203">
        <v>42</v>
      </c>
      <c r="G2203">
        <v>1</v>
      </c>
      <c r="H2203">
        <v>50</v>
      </c>
      <c r="I2203">
        <v>115</v>
      </c>
      <c r="J2203">
        <v>1</v>
      </c>
      <c r="K2203">
        <v>89</v>
      </c>
      <c r="L2203">
        <v>153</v>
      </c>
      <c r="M2203">
        <v>1</v>
      </c>
      <c r="N2203">
        <v>2.5456900000000001E-7</v>
      </c>
      <c r="O2203">
        <v>120</v>
      </c>
    </row>
    <row r="2204" spans="1:15" x14ac:dyDescent="0.25">
      <c r="A2204" t="s">
        <v>2217</v>
      </c>
      <c r="B2204">
        <v>428</v>
      </c>
      <c r="C2204" s="1" t="str">
        <f>HYPERLINK("http://www.rosaceae.org/gb/gbrowse/malus_x_domestica/?name=MDP0000279104","MDP0000279104")</f>
        <v>MDP0000279104</v>
      </c>
      <c r="D2204">
        <v>79.67</v>
      </c>
      <c r="E2204">
        <v>433</v>
      </c>
      <c r="F2204">
        <v>88</v>
      </c>
      <c r="G2204">
        <v>23</v>
      </c>
      <c r="H2204">
        <v>1</v>
      </c>
      <c r="I2204">
        <v>428</v>
      </c>
      <c r="J2204">
        <v>1</v>
      </c>
      <c r="K2204">
        <v>1</v>
      </c>
      <c r="L2204">
        <v>415</v>
      </c>
      <c r="M2204">
        <v>1</v>
      </c>
      <c r="N2204">
        <v>0</v>
      </c>
      <c r="O2204">
        <v>1791</v>
      </c>
    </row>
    <row r="2205" spans="1:15" x14ac:dyDescent="0.25">
      <c r="A2205" t="s">
        <v>2218</v>
      </c>
      <c r="B2205">
        <v>416</v>
      </c>
      <c r="C2205" s="1" t="str">
        <f>HYPERLINK("http://www.rosaceae.org/gb/gbrowse/malus_x_domestica/?name=MDP0000482907","MDP0000482907")</f>
        <v>MDP0000482907</v>
      </c>
      <c r="D2205">
        <v>42.28</v>
      </c>
      <c r="E2205">
        <v>421</v>
      </c>
      <c r="F2205">
        <v>243</v>
      </c>
      <c r="G2205">
        <v>37</v>
      </c>
      <c r="H2205">
        <v>1</v>
      </c>
      <c r="I2205">
        <v>412</v>
      </c>
      <c r="J2205">
        <v>1</v>
      </c>
      <c r="K2205">
        <v>1</v>
      </c>
      <c r="L2205">
        <v>393</v>
      </c>
      <c r="M2205">
        <v>1</v>
      </c>
      <c r="N2205">
        <v>9.1034200000000006E-82</v>
      </c>
      <c r="O2205">
        <v>771</v>
      </c>
    </row>
    <row r="2206" spans="1:15" x14ac:dyDescent="0.25">
      <c r="A2206" t="s">
        <v>2219</v>
      </c>
      <c r="B2206">
        <v>270</v>
      </c>
      <c r="C2206" s="1" t="str">
        <f>HYPERLINK("http://www.rosaceae.org/gb/gbrowse/malus_x_domestica/?name=MDP0000291704","MDP0000291704")</f>
        <v>MDP0000291704</v>
      </c>
      <c r="D2206">
        <v>78.94</v>
      </c>
      <c r="E2206">
        <v>38</v>
      </c>
      <c r="F2206">
        <v>8</v>
      </c>
      <c r="G2206">
        <v>0</v>
      </c>
      <c r="H2206">
        <v>60</v>
      </c>
      <c r="I2206">
        <v>97</v>
      </c>
      <c r="J2206">
        <v>1</v>
      </c>
      <c r="K2206">
        <v>39</v>
      </c>
      <c r="L2206">
        <v>76</v>
      </c>
      <c r="M2206">
        <v>1</v>
      </c>
      <c r="N2206">
        <v>2.8040599999999998E-10</v>
      </c>
      <c r="O2206">
        <v>152</v>
      </c>
    </row>
    <row r="2207" spans="1:15" x14ac:dyDescent="0.25">
      <c r="A2207" t="s">
        <v>2220</v>
      </c>
      <c r="B2207">
        <v>192</v>
      </c>
      <c r="C2207" s="1" t="str">
        <f>HYPERLINK("http://www.rosaceae.org/gb/gbrowse/malus_x_domestica/?name=MDP0000250248","MDP0000250248")</f>
        <v>MDP0000250248</v>
      </c>
      <c r="D2207">
        <v>56.15</v>
      </c>
      <c r="E2207">
        <v>130</v>
      </c>
      <c r="F2207">
        <v>57</v>
      </c>
      <c r="G2207">
        <v>19</v>
      </c>
      <c r="H2207">
        <v>25</v>
      </c>
      <c r="I2207">
        <v>135</v>
      </c>
      <c r="J2207">
        <v>1</v>
      </c>
      <c r="K2207">
        <v>35</v>
      </c>
      <c r="L2207">
        <v>164</v>
      </c>
      <c r="M2207">
        <v>1</v>
      </c>
      <c r="N2207">
        <v>2.9055900000000001E-36</v>
      </c>
      <c r="O2207">
        <v>374</v>
      </c>
    </row>
    <row r="2208" spans="1:15" x14ac:dyDescent="0.25">
      <c r="A2208" t="s">
        <v>2221</v>
      </c>
      <c r="B2208">
        <v>384</v>
      </c>
      <c r="C2208" s="1" t="str">
        <f>HYPERLINK("http://www.rosaceae.org/gb/gbrowse/malus_x_domestica/?name=MDP0000191281","MDP0000191281")</f>
        <v>MDP0000191281</v>
      </c>
      <c r="D2208">
        <v>68.459999999999994</v>
      </c>
      <c r="E2208">
        <v>260</v>
      </c>
      <c r="F2208">
        <v>82</v>
      </c>
      <c r="G2208">
        <v>3</v>
      </c>
      <c r="H2208">
        <v>72</v>
      </c>
      <c r="I2208">
        <v>329</v>
      </c>
      <c r="J2208">
        <v>1</v>
      </c>
      <c r="K2208">
        <v>222</v>
      </c>
      <c r="L2208">
        <v>480</v>
      </c>
      <c r="M2208">
        <v>1</v>
      </c>
      <c r="N2208">
        <v>4.4903800000000001E-97</v>
      </c>
      <c r="O2208">
        <v>902</v>
      </c>
    </row>
    <row r="2209" spans="1:15" x14ac:dyDescent="0.25">
      <c r="A2209" t="s">
        <v>2222</v>
      </c>
      <c r="B2209">
        <v>826</v>
      </c>
      <c r="C2209" s="1" t="str">
        <f>HYPERLINK("http://www.rosaceae.org/gb/gbrowse/malus_x_domestica/?name=MDP0000316714","MDP0000316714")</f>
        <v>MDP0000316714</v>
      </c>
      <c r="D2209">
        <v>70.61</v>
      </c>
      <c r="E2209">
        <v>803</v>
      </c>
      <c r="F2209">
        <v>236</v>
      </c>
      <c r="G2209">
        <v>36</v>
      </c>
      <c r="H2209">
        <v>29</v>
      </c>
      <c r="I2209">
        <v>826</v>
      </c>
      <c r="J2209">
        <v>1</v>
      </c>
      <c r="K2209">
        <v>268</v>
      </c>
      <c r="L2209">
        <v>1039</v>
      </c>
      <c r="M2209">
        <v>1</v>
      </c>
      <c r="N2209">
        <v>0</v>
      </c>
      <c r="O2209">
        <v>2918</v>
      </c>
    </row>
    <row r="2210" spans="1:15" x14ac:dyDescent="0.25">
      <c r="A2210" t="s">
        <v>2223</v>
      </c>
      <c r="B2210">
        <v>148</v>
      </c>
      <c r="C2210" s="1" t="str">
        <f>HYPERLINK("http://www.rosaceae.org/gb/gbrowse/malus_x_domestica/?name=MDP0000261311","MDP0000261311")</f>
        <v>MDP0000261311</v>
      </c>
      <c r="D2210">
        <v>29.64</v>
      </c>
      <c r="E2210">
        <v>199</v>
      </c>
      <c r="F2210">
        <v>140</v>
      </c>
      <c r="G2210">
        <v>51</v>
      </c>
      <c r="H2210">
        <v>1</v>
      </c>
      <c r="I2210">
        <v>148</v>
      </c>
      <c r="J2210">
        <v>1</v>
      </c>
      <c r="K2210">
        <v>153</v>
      </c>
      <c r="L2210">
        <v>351</v>
      </c>
      <c r="M2210">
        <v>1</v>
      </c>
      <c r="N2210">
        <v>4.4019300000000002E-22</v>
      </c>
      <c r="O2210">
        <v>250</v>
      </c>
    </row>
    <row r="2211" spans="1:15" x14ac:dyDescent="0.25">
      <c r="A2211" t="s">
        <v>2224</v>
      </c>
      <c r="B2211">
        <v>737</v>
      </c>
      <c r="C2211" s="1" t="str">
        <f>HYPERLINK("http://www.rosaceae.org/gb/gbrowse/malus_x_domestica/?name=MDP0000209454","MDP0000209454")</f>
        <v>MDP0000209454</v>
      </c>
      <c r="D2211">
        <v>50.36</v>
      </c>
      <c r="E2211">
        <v>685</v>
      </c>
      <c r="F2211">
        <v>340</v>
      </c>
      <c r="G2211">
        <v>14</v>
      </c>
      <c r="H2211">
        <v>51</v>
      </c>
      <c r="I2211">
        <v>735</v>
      </c>
      <c r="J2211">
        <v>1</v>
      </c>
      <c r="K2211">
        <v>49</v>
      </c>
      <c r="L2211">
        <v>719</v>
      </c>
      <c r="M2211">
        <v>1</v>
      </c>
      <c r="N2211">
        <v>3.4187599999999998E-178</v>
      </c>
      <c r="O2211">
        <v>1605</v>
      </c>
    </row>
    <row r="2212" spans="1:15" x14ac:dyDescent="0.25">
      <c r="A2212" t="s">
        <v>2225</v>
      </c>
      <c r="B2212">
        <v>170</v>
      </c>
      <c r="C2212" s="1" t="str">
        <f>HYPERLINK("http://www.rosaceae.org/gb/gbrowse/malus_x_domestica/?name=MDP0000210287","MDP0000210287")</f>
        <v>MDP0000210287</v>
      </c>
      <c r="D2212">
        <v>42.59</v>
      </c>
      <c r="E2212">
        <v>54</v>
      </c>
      <c r="F2212">
        <v>31</v>
      </c>
      <c r="G2212">
        <v>2</v>
      </c>
      <c r="H2212">
        <v>4</v>
      </c>
      <c r="I2212">
        <v>57</v>
      </c>
      <c r="J2212">
        <v>1</v>
      </c>
      <c r="K2212">
        <v>20</v>
      </c>
      <c r="L2212">
        <v>71</v>
      </c>
      <c r="M2212">
        <v>1</v>
      </c>
      <c r="N2212">
        <v>3.2161800000000003E-8</v>
      </c>
      <c r="O2212">
        <v>131</v>
      </c>
    </row>
    <row r="2213" spans="1:15" x14ac:dyDescent="0.25">
      <c r="A2213" t="s">
        <v>2226</v>
      </c>
      <c r="B2213">
        <v>186</v>
      </c>
      <c r="C2213" s="1" t="str">
        <f>HYPERLINK("http://www.rosaceae.org/gb/gbrowse/malus_x_domestica/?name=MDP0000255636","MDP0000255636")</f>
        <v>MDP0000255636</v>
      </c>
      <c r="D2213">
        <v>72.19</v>
      </c>
      <c r="E2213">
        <v>187</v>
      </c>
      <c r="F2213">
        <v>52</v>
      </c>
      <c r="G2213">
        <v>3</v>
      </c>
      <c r="H2213">
        <v>1</v>
      </c>
      <c r="I2213">
        <v>185</v>
      </c>
      <c r="J2213">
        <v>1</v>
      </c>
      <c r="K2213">
        <v>328</v>
      </c>
      <c r="L2213">
        <v>513</v>
      </c>
      <c r="M2213">
        <v>1</v>
      </c>
      <c r="N2213">
        <v>6.0801000000000006E-76</v>
      </c>
      <c r="O2213">
        <v>716</v>
      </c>
    </row>
    <row r="2214" spans="1:15" x14ac:dyDescent="0.25">
      <c r="A2214" t="s">
        <v>2227</v>
      </c>
      <c r="B2214">
        <v>334</v>
      </c>
      <c r="C2214" s="1" t="str">
        <f>HYPERLINK("http://www.rosaceae.org/gb/gbrowse/malus_x_domestica/?name=MDP0000305245","MDP0000305245")</f>
        <v>MDP0000305245</v>
      </c>
      <c r="D2214">
        <v>75.66</v>
      </c>
      <c r="E2214">
        <v>300</v>
      </c>
      <c r="F2214">
        <v>73</v>
      </c>
      <c r="G2214">
        <v>13</v>
      </c>
      <c r="H2214">
        <v>7</v>
      </c>
      <c r="I2214">
        <v>296</v>
      </c>
      <c r="J2214">
        <v>1</v>
      </c>
      <c r="K2214">
        <v>9</v>
      </c>
      <c r="L2214">
        <v>305</v>
      </c>
      <c r="M2214">
        <v>1</v>
      </c>
      <c r="N2214">
        <v>2.2160800000000002E-124</v>
      </c>
      <c r="O2214">
        <v>1137</v>
      </c>
    </row>
    <row r="2215" spans="1:15" x14ac:dyDescent="0.25">
      <c r="A2215" t="s">
        <v>2228</v>
      </c>
      <c r="B2215">
        <v>227</v>
      </c>
      <c r="C2215" s="1" t="str">
        <f>HYPERLINK("http://www.rosaceae.org/gb/gbrowse/malus_x_domestica/?name=MDP0000256723","MDP0000256723")</f>
        <v>MDP0000256723</v>
      </c>
      <c r="D2215">
        <v>40.22</v>
      </c>
      <c r="E2215">
        <v>174</v>
      </c>
      <c r="F2215">
        <v>104</v>
      </c>
      <c r="G2215">
        <v>11</v>
      </c>
      <c r="H2215">
        <v>54</v>
      </c>
      <c r="I2215">
        <v>220</v>
      </c>
      <c r="J2215">
        <v>1</v>
      </c>
      <c r="K2215">
        <v>464</v>
      </c>
      <c r="L2215">
        <v>633</v>
      </c>
      <c r="M2215">
        <v>1</v>
      </c>
      <c r="N2215">
        <v>3.2249500000000001E-27</v>
      </c>
      <c r="O2215">
        <v>297</v>
      </c>
    </row>
    <row r="2216" spans="1:15" x14ac:dyDescent="0.25">
      <c r="A2216" t="s">
        <v>2229</v>
      </c>
      <c r="B2216">
        <v>698</v>
      </c>
      <c r="C2216" s="1" t="str">
        <f>HYPERLINK("http://www.rosaceae.org/gb/gbrowse/malus_x_domestica/?name=MDP0000455634","MDP0000455634")</f>
        <v>MDP0000455634</v>
      </c>
      <c r="D2216">
        <v>61.77</v>
      </c>
      <c r="E2216">
        <v>654</v>
      </c>
      <c r="F2216">
        <v>250</v>
      </c>
      <c r="G2216">
        <v>17</v>
      </c>
      <c r="H2216">
        <v>28</v>
      </c>
      <c r="I2216">
        <v>671</v>
      </c>
      <c r="J2216">
        <v>1</v>
      </c>
      <c r="K2216">
        <v>18</v>
      </c>
      <c r="L2216">
        <v>664</v>
      </c>
      <c r="M2216">
        <v>1</v>
      </c>
      <c r="N2216">
        <v>0</v>
      </c>
      <c r="O2216">
        <v>1970</v>
      </c>
    </row>
    <row r="2217" spans="1:15" x14ac:dyDescent="0.25">
      <c r="A2217" t="s">
        <v>2230</v>
      </c>
      <c r="B2217">
        <v>357</v>
      </c>
      <c r="C2217" s="1" t="str">
        <f>HYPERLINK("http://www.rosaceae.org/gb/gbrowse/malus_x_domestica/?name=MDP0000250518","MDP0000250518")</f>
        <v>MDP0000250518</v>
      </c>
      <c r="D2217">
        <v>73.06</v>
      </c>
      <c r="E2217">
        <v>245</v>
      </c>
      <c r="F2217">
        <v>66</v>
      </c>
      <c r="G2217">
        <v>0</v>
      </c>
      <c r="H2217">
        <v>67</v>
      </c>
      <c r="I2217">
        <v>311</v>
      </c>
      <c r="J2217">
        <v>1</v>
      </c>
      <c r="K2217">
        <v>1</v>
      </c>
      <c r="L2217">
        <v>245</v>
      </c>
      <c r="M2217">
        <v>1</v>
      </c>
      <c r="N2217">
        <v>4.2935400000000003E-102</v>
      </c>
      <c r="O2217">
        <v>945</v>
      </c>
    </row>
    <row r="2218" spans="1:15" x14ac:dyDescent="0.25">
      <c r="A2218" t="s">
        <v>2231</v>
      </c>
      <c r="B2218">
        <v>453</v>
      </c>
      <c r="C2218" s="1" t="str">
        <f>HYPERLINK("http://www.rosaceae.org/gb/gbrowse/malus_x_domestica/?name=MDP0000436308","MDP0000436308")</f>
        <v>MDP0000436308</v>
      </c>
      <c r="D2218">
        <v>73.95</v>
      </c>
      <c r="E2218">
        <v>453</v>
      </c>
      <c r="F2218">
        <v>118</v>
      </c>
      <c r="G2218">
        <v>0</v>
      </c>
      <c r="H2218">
        <v>1</v>
      </c>
      <c r="I2218">
        <v>453</v>
      </c>
      <c r="J2218">
        <v>1</v>
      </c>
      <c r="K2218">
        <v>1</v>
      </c>
      <c r="L2218">
        <v>453</v>
      </c>
      <c r="M2218">
        <v>1</v>
      </c>
      <c r="N2218">
        <v>0</v>
      </c>
      <c r="O2218">
        <v>1839</v>
      </c>
    </row>
    <row r="2219" spans="1:15" x14ac:dyDescent="0.25">
      <c r="A2219" t="s">
        <v>2232</v>
      </c>
      <c r="B2219">
        <v>177</v>
      </c>
      <c r="C2219" s="1" t="str">
        <f>HYPERLINK("http://www.rosaceae.org/gb/gbrowse/malus_x_domestica/?name=MDP0000920400","MDP0000920400")</f>
        <v>MDP0000920400</v>
      </c>
      <c r="D2219">
        <v>55.05</v>
      </c>
      <c r="E2219">
        <v>89</v>
      </c>
      <c r="F2219">
        <v>40</v>
      </c>
      <c r="G2219">
        <v>13</v>
      </c>
      <c r="H2219">
        <v>96</v>
      </c>
      <c r="I2219">
        <v>177</v>
      </c>
      <c r="J2219">
        <v>1</v>
      </c>
      <c r="K2219">
        <v>1</v>
      </c>
      <c r="L2219">
        <v>83</v>
      </c>
      <c r="M2219">
        <v>1</v>
      </c>
      <c r="N2219">
        <v>1.78792E-16</v>
      </c>
      <c r="O2219">
        <v>203</v>
      </c>
    </row>
    <row r="2220" spans="1:15" x14ac:dyDescent="0.25">
      <c r="A2220" t="s">
        <v>2233</v>
      </c>
      <c r="B2220">
        <v>375</v>
      </c>
      <c r="C2220" s="1" t="str">
        <f>HYPERLINK("http://www.rosaceae.org/gb/gbrowse/malus_x_domestica/?name=MDP0000902543","MDP0000902543")</f>
        <v>MDP0000902543</v>
      </c>
      <c r="D2220">
        <v>82.44</v>
      </c>
      <c r="E2220">
        <v>376</v>
      </c>
      <c r="F2220">
        <v>66</v>
      </c>
      <c r="G2220">
        <v>2</v>
      </c>
      <c r="H2220">
        <v>1</v>
      </c>
      <c r="I2220">
        <v>375</v>
      </c>
      <c r="J2220">
        <v>1</v>
      </c>
      <c r="K2220">
        <v>1</v>
      </c>
      <c r="L2220">
        <v>375</v>
      </c>
      <c r="M2220">
        <v>1</v>
      </c>
      <c r="N2220">
        <v>9.6930300000000004E-179</v>
      </c>
      <c r="O2220">
        <v>1607</v>
      </c>
    </row>
    <row r="2221" spans="1:15" x14ac:dyDescent="0.25">
      <c r="A2221" t="s">
        <v>2234</v>
      </c>
      <c r="B2221">
        <v>350</v>
      </c>
      <c r="C2221" s="1" t="str">
        <f>HYPERLINK("http://www.rosaceae.org/gb/gbrowse/malus_x_domestica/?name=MDP0000206932","MDP0000206932")</f>
        <v>MDP0000206932</v>
      </c>
      <c r="D2221">
        <v>79.73</v>
      </c>
      <c r="E2221">
        <v>153</v>
      </c>
      <c r="F2221">
        <v>31</v>
      </c>
      <c r="G2221">
        <v>0</v>
      </c>
      <c r="H2221">
        <v>1</v>
      </c>
      <c r="I2221">
        <v>153</v>
      </c>
      <c r="J2221">
        <v>1</v>
      </c>
      <c r="K2221">
        <v>228</v>
      </c>
      <c r="L2221">
        <v>380</v>
      </c>
      <c r="M2221">
        <v>1</v>
      </c>
      <c r="N2221">
        <v>1.2566100000000001E-68</v>
      </c>
      <c r="O2221">
        <v>657</v>
      </c>
    </row>
    <row r="2222" spans="1:15" x14ac:dyDescent="0.25">
      <c r="A2222" t="s">
        <v>2235</v>
      </c>
      <c r="B2222">
        <v>500</v>
      </c>
      <c r="C2222" s="1" t="str">
        <f>HYPERLINK("http://www.rosaceae.org/gb/gbrowse/malus_x_domestica/?name=MDP0000195025","MDP0000195025")</f>
        <v>MDP0000195025</v>
      </c>
      <c r="D2222">
        <v>55.23</v>
      </c>
      <c r="E2222">
        <v>478</v>
      </c>
      <c r="F2222">
        <v>214</v>
      </c>
      <c r="G2222">
        <v>19</v>
      </c>
      <c r="H2222">
        <v>3</v>
      </c>
      <c r="I2222">
        <v>466</v>
      </c>
      <c r="J2222">
        <v>1</v>
      </c>
      <c r="K2222">
        <v>6</v>
      </c>
      <c r="L2222">
        <v>478</v>
      </c>
      <c r="M2222">
        <v>1</v>
      </c>
      <c r="N2222">
        <v>1.64621E-145</v>
      </c>
      <c r="O2222">
        <v>1321</v>
      </c>
    </row>
    <row r="2223" spans="1:15" x14ac:dyDescent="0.25">
      <c r="A2223" t="s">
        <v>2236</v>
      </c>
      <c r="B2223">
        <v>388</v>
      </c>
      <c r="C2223" s="1" t="str">
        <f>HYPERLINK("http://www.rosaceae.org/gb/gbrowse/malus_x_domestica/?name=MDP0000273006","MDP0000273006")</f>
        <v>MDP0000273006</v>
      </c>
      <c r="D2223">
        <v>71.63</v>
      </c>
      <c r="E2223">
        <v>282</v>
      </c>
      <c r="F2223">
        <v>80</v>
      </c>
      <c r="G2223">
        <v>9</v>
      </c>
      <c r="H2223">
        <v>1</v>
      </c>
      <c r="I2223">
        <v>273</v>
      </c>
      <c r="J2223">
        <v>1</v>
      </c>
      <c r="K2223">
        <v>567</v>
      </c>
      <c r="L2223">
        <v>848</v>
      </c>
      <c r="M2223">
        <v>1</v>
      </c>
      <c r="N2223">
        <v>1.87108E-115</v>
      </c>
      <c r="O2223">
        <v>1061</v>
      </c>
    </row>
    <row r="2224" spans="1:15" x14ac:dyDescent="0.25">
      <c r="A2224" t="s">
        <v>2237</v>
      </c>
      <c r="B2224">
        <v>101</v>
      </c>
      <c r="C2224" s="1" t="str">
        <f>HYPERLINK("http://www.rosaceae.org/gb/gbrowse/malus_x_domestica/?name=MDP0000139303","MDP0000139303")</f>
        <v>MDP0000139303</v>
      </c>
      <c r="D2224">
        <v>38.26</v>
      </c>
      <c r="E2224">
        <v>115</v>
      </c>
      <c r="F2224">
        <v>71</v>
      </c>
      <c r="G2224">
        <v>28</v>
      </c>
      <c r="H2224">
        <v>1</v>
      </c>
      <c r="I2224">
        <v>96</v>
      </c>
      <c r="J2224">
        <v>1</v>
      </c>
      <c r="K2224">
        <v>1</v>
      </c>
      <c r="L2224">
        <v>106</v>
      </c>
      <c r="M2224">
        <v>1</v>
      </c>
      <c r="N2224">
        <v>2.5354E-8</v>
      </c>
      <c r="O2224">
        <v>129</v>
      </c>
    </row>
    <row r="2225" spans="1:15" x14ac:dyDescent="0.25">
      <c r="A2225" t="s">
        <v>2238</v>
      </c>
      <c r="B2225">
        <v>410</v>
      </c>
      <c r="C2225" s="1" t="str">
        <f>HYPERLINK("http://www.rosaceae.org/gb/gbrowse/malus_x_domestica/?name=MDP0000282527","MDP0000282527")</f>
        <v>MDP0000282527</v>
      </c>
      <c r="D2225">
        <v>81.72</v>
      </c>
      <c r="E2225">
        <v>405</v>
      </c>
      <c r="F2225">
        <v>74</v>
      </c>
      <c r="G2225">
        <v>2</v>
      </c>
      <c r="H2225">
        <v>1</v>
      </c>
      <c r="I2225">
        <v>404</v>
      </c>
      <c r="J2225">
        <v>1</v>
      </c>
      <c r="K2225">
        <v>1</v>
      </c>
      <c r="L2225">
        <v>404</v>
      </c>
      <c r="M2225">
        <v>1</v>
      </c>
      <c r="N2225">
        <v>0</v>
      </c>
      <c r="O2225">
        <v>1719</v>
      </c>
    </row>
    <row r="2226" spans="1:15" x14ac:dyDescent="0.25">
      <c r="A2226" t="s">
        <v>2239</v>
      </c>
      <c r="B2226">
        <v>148</v>
      </c>
      <c r="C2226" s="1" t="str">
        <f>HYPERLINK("http://www.rosaceae.org/gb/gbrowse/malus_x_domestica/?name=MDP0000213002","MDP0000213002")</f>
        <v>MDP0000213002</v>
      </c>
      <c r="D2226">
        <v>41.21</v>
      </c>
      <c r="E2226">
        <v>148</v>
      </c>
      <c r="F2226">
        <v>87</v>
      </c>
      <c r="G2226">
        <v>16</v>
      </c>
      <c r="H2226">
        <v>1</v>
      </c>
      <c r="I2226">
        <v>132</v>
      </c>
      <c r="J2226">
        <v>1</v>
      </c>
      <c r="K2226">
        <v>1</v>
      </c>
      <c r="L2226">
        <v>148</v>
      </c>
      <c r="M2226">
        <v>1</v>
      </c>
      <c r="N2226">
        <v>7.0990199999999998E-14</v>
      </c>
      <c r="O2226">
        <v>179</v>
      </c>
    </row>
    <row r="2227" spans="1:15" x14ac:dyDescent="0.25">
      <c r="A2227" t="s">
        <v>2240</v>
      </c>
      <c r="B2227">
        <v>562</v>
      </c>
      <c r="C2227" s="1" t="str">
        <f>HYPERLINK("http://www.rosaceae.org/gb/gbrowse/malus_x_domestica/?name=MDP0000009497","MDP0000009497")</f>
        <v>MDP0000009497</v>
      </c>
      <c r="D2227">
        <v>84.51</v>
      </c>
      <c r="E2227">
        <v>562</v>
      </c>
      <c r="F2227">
        <v>87</v>
      </c>
      <c r="G2227">
        <v>0</v>
      </c>
      <c r="H2227">
        <v>1</v>
      </c>
      <c r="I2227">
        <v>562</v>
      </c>
      <c r="J2227">
        <v>1</v>
      </c>
      <c r="K2227">
        <v>1</v>
      </c>
      <c r="L2227">
        <v>562</v>
      </c>
      <c r="M2227">
        <v>1</v>
      </c>
      <c r="N2227">
        <v>0</v>
      </c>
      <c r="O2227">
        <v>2488</v>
      </c>
    </row>
    <row r="2228" spans="1:15" x14ac:dyDescent="0.25">
      <c r="A2228" t="s">
        <v>2241</v>
      </c>
      <c r="B2228">
        <v>542</v>
      </c>
      <c r="C2228" s="1" t="str">
        <f>HYPERLINK("http://www.rosaceae.org/gb/gbrowse/malus_x_domestica/?name=MDP0000228579","MDP0000228579")</f>
        <v>MDP0000228579</v>
      </c>
      <c r="D2228">
        <v>60.12</v>
      </c>
      <c r="E2228">
        <v>469</v>
      </c>
      <c r="F2228">
        <v>187</v>
      </c>
      <c r="G2228">
        <v>23</v>
      </c>
      <c r="H2228">
        <v>91</v>
      </c>
      <c r="I2228">
        <v>542</v>
      </c>
      <c r="J2228">
        <v>1</v>
      </c>
      <c r="K2228">
        <v>121</v>
      </c>
      <c r="L2228">
        <v>583</v>
      </c>
      <c r="M2228">
        <v>1</v>
      </c>
      <c r="N2228">
        <v>2.1853900000000001E-152</v>
      </c>
      <c r="O2228">
        <v>1381</v>
      </c>
    </row>
    <row r="2229" spans="1:15" x14ac:dyDescent="0.25">
      <c r="A2229" t="s">
        <v>2242</v>
      </c>
      <c r="B2229">
        <v>412</v>
      </c>
      <c r="C2229" s="1" t="str">
        <f>HYPERLINK("http://www.rosaceae.org/gb/gbrowse/malus_x_domestica/?name=MDP0000149527","MDP0000149527")</f>
        <v>MDP0000149527</v>
      </c>
      <c r="D2229">
        <v>85.01</v>
      </c>
      <c r="E2229">
        <v>327</v>
      </c>
      <c r="F2229">
        <v>49</v>
      </c>
      <c r="G2229">
        <v>1</v>
      </c>
      <c r="H2229">
        <v>86</v>
      </c>
      <c r="I2229">
        <v>412</v>
      </c>
      <c r="J2229">
        <v>1</v>
      </c>
      <c r="K2229">
        <v>62</v>
      </c>
      <c r="L2229">
        <v>387</v>
      </c>
      <c r="M2229">
        <v>1</v>
      </c>
      <c r="N2229">
        <v>3.3672600000000001E-158</v>
      </c>
      <c r="O2229">
        <v>1430</v>
      </c>
    </row>
    <row r="2230" spans="1:15" x14ac:dyDescent="0.25">
      <c r="A2230" t="s">
        <v>2243</v>
      </c>
      <c r="B2230">
        <v>134</v>
      </c>
      <c r="C2230" s="1" t="str">
        <f>HYPERLINK("http://www.rosaceae.org/gb/gbrowse/malus_x_domestica/?name=MDP0000303112","MDP0000303112")</f>
        <v>MDP0000303112</v>
      </c>
      <c r="D2230">
        <v>78.94</v>
      </c>
      <c r="E2230">
        <v>114</v>
      </c>
      <c r="F2230">
        <v>24</v>
      </c>
      <c r="G2230">
        <v>2</v>
      </c>
      <c r="H2230">
        <v>1</v>
      </c>
      <c r="I2230">
        <v>114</v>
      </c>
      <c r="J2230">
        <v>1</v>
      </c>
      <c r="K2230">
        <v>100</v>
      </c>
      <c r="L2230">
        <v>211</v>
      </c>
      <c r="M2230">
        <v>1</v>
      </c>
      <c r="N2230">
        <v>3.7202400000000003E-48</v>
      </c>
      <c r="O2230">
        <v>474</v>
      </c>
    </row>
    <row r="2231" spans="1:15" x14ac:dyDescent="0.25">
      <c r="A2231" t="s">
        <v>2244</v>
      </c>
      <c r="B2231">
        <v>276</v>
      </c>
      <c r="C2231" s="1" t="str">
        <f>HYPERLINK("http://www.rosaceae.org/gb/gbrowse/malus_x_domestica/?name=MDP0000245640","MDP0000245640")</f>
        <v>MDP0000245640</v>
      </c>
      <c r="D2231">
        <v>91.56</v>
      </c>
      <c r="E2231">
        <v>237</v>
      </c>
      <c r="F2231">
        <v>20</v>
      </c>
      <c r="G2231">
        <v>2</v>
      </c>
      <c r="H2231">
        <v>42</v>
      </c>
      <c r="I2231">
        <v>276</v>
      </c>
      <c r="J2231">
        <v>1</v>
      </c>
      <c r="K2231">
        <v>39</v>
      </c>
      <c r="L2231">
        <v>275</v>
      </c>
      <c r="M2231">
        <v>1</v>
      </c>
      <c r="N2231">
        <v>1.31537E-123</v>
      </c>
      <c r="O2231">
        <v>1129</v>
      </c>
    </row>
    <row r="2232" spans="1:15" x14ac:dyDescent="0.25">
      <c r="A2232" t="s">
        <v>2245</v>
      </c>
      <c r="B2232">
        <v>270</v>
      </c>
      <c r="C2232" s="1" t="str">
        <f>HYPERLINK("http://www.rosaceae.org/gb/gbrowse/malus_x_domestica/?name=MDP0000322036","MDP0000322036")</f>
        <v>MDP0000322036</v>
      </c>
      <c r="D2232">
        <v>42.91</v>
      </c>
      <c r="E2232">
        <v>268</v>
      </c>
      <c r="F2232">
        <v>153</v>
      </c>
      <c r="G2232">
        <v>16</v>
      </c>
      <c r="H2232">
        <v>4</v>
      </c>
      <c r="I2232">
        <v>266</v>
      </c>
      <c r="J2232">
        <v>1</v>
      </c>
      <c r="K2232">
        <v>96</v>
      </c>
      <c r="L2232">
        <v>352</v>
      </c>
      <c r="M2232">
        <v>1</v>
      </c>
      <c r="N2232">
        <v>7.2460199999999996E-45</v>
      </c>
      <c r="O2232">
        <v>450</v>
      </c>
    </row>
    <row r="2233" spans="1:15" x14ac:dyDescent="0.25">
      <c r="A2233" t="s">
        <v>2246</v>
      </c>
      <c r="B2233">
        <v>711</v>
      </c>
      <c r="C2233" s="1" t="str">
        <f>HYPERLINK("http://www.rosaceae.org/gb/gbrowse/malus_x_domestica/?name=MDP0000296061","MDP0000296061")</f>
        <v>MDP0000296061</v>
      </c>
      <c r="D2233">
        <v>76.14</v>
      </c>
      <c r="E2233">
        <v>570</v>
      </c>
      <c r="F2233">
        <v>136</v>
      </c>
      <c r="G2233">
        <v>12</v>
      </c>
      <c r="H2233">
        <v>1</v>
      </c>
      <c r="I2233">
        <v>559</v>
      </c>
      <c r="J2233">
        <v>1</v>
      </c>
      <c r="K2233">
        <v>1</v>
      </c>
      <c r="L2233">
        <v>569</v>
      </c>
      <c r="M2233">
        <v>1</v>
      </c>
      <c r="N2233">
        <v>0</v>
      </c>
      <c r="O2233">
        <v>2280</v>
      </c>
    </row>
    <row r="2234" spans="1:15" x14ac:dyDescent="0.25">
      <c r="A2234" t="s">
        <v>2247</v>
      </c>
      <c r="B2234">
        <v>323</v>
      </c>
      <c r="C2234" s="1" t="str">
        <f>HYPERLINK("http://www.rosaceae.org/gb/gbrowse/malus_x_domestica/?name=MDP0000413387","MDP0000413387")</f>
        <v>MDP0000413387</v>
      </c>
      <c r="D2234">
        <v>54.57</v>
      </c>
      <c r="E2234">
        <v>273</v>
      </c>
      <c r="F2234">
        <v>124</v>
      </c>
      <c r="G2234">
        <v>21</v>
      </c>
      <c r="H2234">
        <v>49</v>
      </c>
      <c r="I2234">
        <v>311</v>
      </c>
      <c r="J2234">
        <v>1</v>
      </c>
      <c r="K2234">
        <v>1</v>
      </c>
      <c r="L2234">
        <v>262</v>
      </c>
      <c r="M2234">
        <v>1</v>
      </c>
      <c r="N2234">
        <v>2.66652E-65</v>
      </c>
      <c r="O2234">
        <v>627</v>
      </c>
    </row>
    <row r="2235" spans="1:15" x14ac:dyDescent="0.25">
      <c r="A2235" t="s">
        <v>2248</v>
      </c>
      <c r="B2235">
        <v>102</v>
      </c>
      <c r="C2235" s="1" t="str">
        <f>HYPERLINK("http://www.rosaceae.org/gb/gbrowse/malus_x_domestica/?name=MDP0000720497","MDP0000720497")</f>
        <v>MDP0000720497</v>
      </c>
      <c r="D2235">
        <v>63.33</v>
      </c>
      <c r="E2235">
        <v>90</v>
      </c>
      <c r="F2235">
        <v>33</v>
      </c>
      <c r="G2235">
        <v>2</v>
      </c>
      <c r="H2235">
        <v>11</v>
      </c>
      <c r="I2235">
        <v>100</v>
      </c>
      <c r="J2235">
        <v>1</v>
      </c>
      <c r="K2235">
        <v>36</v>
      </c>
      <c r="L2235">
        <v>123</v>
      </c>
      <c r="M2235">
        <v>1</v>
      </c>
      <c r="N2235">
        <v>5.5521700000000003E-27</v>
      </c>
      <c r="O2235">
        <v>290</v>
      </c>
    </row>
    <row r="2236" spans="1:15" x14ac:dyDescent="0.25">
      <c r="A2236" t="s">
        <v>2249</v>
      </c>
      <c r="B2236">
        <v>975</v>
      </c>
      <c r="C2236" s="1" t="str">
        <f>HYPERLINK("http://www.rosaceae.org/gb/gbrowse/malus_x_domestica/?name=MDP0000209079","MDP0000209079")</f>
        <v>MDP0000209079</v>
      </c>
      <c r="D2236">
        <v>69.41</v>
      </c>
      <c r="E2236">
        <v>873</v>
      </c>
      <c r="F2236">
        <v>267</v>
      </c>
      <c r="G2236">
        <v>28</v>
      </c>
      <c r="H2236">
        <v>104</v>
      </c>
      <c r="I2236">
        <v>975</v>
      </c>
      <c r="J2236">
        <v>1</v>
      </c>
      <c r="K2236">
        <v>43</v>
      </c>
      <c r="L2236">
        <v>888</v>
      </c>
      <c r="M2236">
        <v>1</v>
      </c>
      <c r="N2236">
        <v>0</v>
      </c>
      <c r="O2236">
        <v>3305</v>
      </c>
    </row>
    <row r="2237" spans="1:15" x14ac:dyDescent="0.25">
      <c r="A2237" t="s">
        <v>2250</v>
      </c>
      <c r="B2237">
        <v>342</v>
      </c>
      <c r="C2237" s="1" t="str">
        <f>HYPERLINK("http://www.rosaceae.org/gb/gbrowse/malus_x_domestica/?name=MDP0000207606","MDP0000207606")</f>
        <v>MDP0000207606</v>
      </c>
      <c r="D2237">
        <v>52.83</v>
      </c>
      <c r="E2237">
        <v>318</v>
      </c>
      <c r="F2237">
        <v>150</v>
      </c>
      <c r="G2237">
        <v>83</v>
      </c>
      <c r="H2237">
        <v>36</v>
      </c>
      <c r="I2237">
        <v>281</v>
      </c>
      <c r="J2237">
        <v>1</v>
      </c>
      <c r="K2237">
        <v>64</v>
      </c>
      <c r="L2237">
        <v>370</v>
      </c>
      <c r="M2237">
        <v>1</v>
      </c>
      <c r="N2237">
        <v>3.4987400000000002E-77</v>
      </c>
      <c r="O2237">
        <v>730</v>
      </c>
    </row>
    <row r="2238" spans="1:15" x14ac:dyDescent="0.25">
      <c r="A2238" t="s">
        <v>2251</v>
      </c>
      <c r="B2238">
        <v>365</v>
      </c>
      <c r="C2238" s="1" t="str">
        <f>HYPERLINK("http://www.rosaceae.org/gb/gbrowse/malus_x_domestica/?name=MDP0000878773","MDP0000878773")</f>
        <v>MDP0000878773</v>
      </c>
      <c r="D2238">
        <v>53.54</v>
      </c>
      <c r="E2238">
        <v>353</v>
      </c>
      <c r="F2238">
        <v>164</v>
      </c>
      <c r="G2238">
        <v>12</v>
      </c>
      <c r="H2238">
        <v>1</v>
      </c>
      <c r="I2238">
        <v>349</v>
      </c>
      <c r="J2238">
        <v>1</v>
      </c>
      <c r="K2238">
        <v>2</v>
      </c>
      <c r="L2238">
        <v>346</v>
      </c>
      <c r="M2238">
        <v>1</v>
      </c>
      <c r="N2238">
        <v>4.0066300000000002E-103</v>
      </c>
      <c r="O2238">
        <v>954</v>
      </c>
    </row>
    <row r="2239" spans="1:15" x14ac:dyDescent="0.25">
      <c r="A2239" t="s">
        <v>2252</v>
      </c>
      <c r="B2239">
        <v>281</v>
      </c>
      <c r="C2239" s="1" t="str">
        <f>HYPERLINK("http://www.rosaceae.org/gb/gbrowse/malus_x_domestica/?name=MDP0000239152","MDP0000239152")</f>
        <v>MDP0000239152</v>
      </c>
      <c r="D2239">
        <v>55.14</v>
      </c>
      <c r="E2239">
        <v>301</v>
      </c>
      <c r="F2239">
        <v>135</v>
      </c>
      <c r="G2239">
        <v>36</v>
      </c>
      <c r="H2239">
        <v>1</v>
      </c>
      <c r="I2239">
        <v>281</v>
      </c>
      <c r="J2239">
        <v>1</v>
      </c>
      <c r="K2239">
        <v>1</v>
      </c>
      <c r="L2239">
        <v>285</v>
      </c>
      <c r="M2239">
        <v>1</v>
      </c>
      <c r="N2239">
        <v>4.0245699999999999E-76</v>
      </c>
      <c r="O2239">
        <v>720</v>
      </c>
    </row>
    <row r="2240" spans="1:15" x14ac:dyDescent="0.25">
      <c r="A2240" t="s">
        <v>2253</v>
      </c>
      <c r="B2240">
        <v>251</v>
      </c>
      <c r="C2240" s="1" t="str">
        <f>HYPERLINK("http://www.rosaceae.org/gb/gbrowse/malus_x_domestica/?name=MDP0000304471","MDP0000304471")</f>
        <v>MDP0000304471</v>
      </c>
      <c r="D2240">
        <v>36.200000000000003</v>
      </c>
      <c r="E2240">
        <v>116</v>
      </c>
      <c r="F2240">
        <v>74</v>
      </c>
      <c r="G2240">
        <v>23</v>
      </c>
      <c r="H2240">
        <v>7</v>
      </c>
      <c r="I2240">
        <v>112</v>
      </c>
      <c r="J2240">
        <v>1</v>
      </c>
      <c r="K2240">
        <v>44</v>
      </c>
      <c r="L2240">
        <v>146</v>
      </c>
      <c r="M2240">
        <v>1</v>
      </c>
      <c r="N2240">
        <v>5.1529700000000002E-8</v>
      </c>
      <c r="O2240">
        <v>132</v>
      </c>
    </row>
    <row r="2241" spans="1:15" x14ac:dyDescent="0.25">
      <c r="A2241" t="s">
        <v>2254</v>
      </c>
      <c r="B2241">
        <v>195</v>
      </c>
      <c r="C2241" s="1" t="str">
        <f>HYPERLINK("http://www.rosaceae.org/gb/gbrowse/malus_x_domestica/?name=MDP0000385481","MDP0000385481")</f>
        <v>MDP0000385481</v>
      </c>
      <c r="D2241">
        <v>90.32</v>
      </c>
      <c r="E2241">
        <v>124</v>
      </c>
      <c r="F2241">
        <v>12</v>
      </c>
      <c r="G2241">
        <v>0</v>
      </c>
      <c r="H2241">
        <v>72</v>
      </c>
      <c r="I2241">
        <v>195</v>
      </c>
      <c r="J2241">
        <v>1</v>
      </c>
      <c r="K2241">
        <v>236</v>
      </c>
      <c r="L2241">
        <v>359</v>
      </c>
      <c r="M2241">
        <v>1</v>
      </c>
      <c r="N2241">
        <v>2.3558299999999999E-62</v>
      </c>
      <c r="O2241">
        <v>599</v>
      </c>
    </row>
    <row r="2242" spans="1:15" x14ac:dyDescent="0.25">
      <c r="A2242" t="s">
        <v>2255</v>
      </c>
      <c r="B2242">
        <v>181</v>
      </c>
      <c r="C2242" s="1" t="str">
        <f>HYPERLINK("http://www.rosaceae.org/gb/gbrowse/malus_x_domestica/?name=MDP0000231376","MDP0000231376")</f>
        <v>MDP0000231376</v>
      </c>
      <c r="D2242">
        <v>56.25</v>
      </c>
      <c r="E2242">
        <v>80</v>
      </c>
      <c r="F2242">
        <v>35</v>
      </c>
      <c r="G2242">
        <v>10</v>
      </c>
      <c r="H2242">
        <v>46</v>
      </c>
      <c r="I2242">
        <v>116</v>
      </c>
      <c r="J2242">
        <v>1</v>
      </c>
      <c r="K2242">
        <v>64</v>
      </c>
      <c r="L2242">
        <v>142</v>
      </c>
      <c r="M2242">
        <v>1</v>
      </c>
      <c r="N2242">
        <v>2.23944E-12</v>
      </c>
      <c r="O2242">
        <v>168</v>
      </c>
    </row>
    <row r="2243" spans="1:15" x14ac:dyDescent="0.25">
      <c r="A2243" t="s">
        <v>2256</v>
      </c>
      <c r="B2243">
        <v>204</v>
      </c>
      <c r="C2243" s="1" t="str">
        <f>HYPERLINK("http://www.rosaceae.org/gb/gbrowse/malus_x_domestica/?name=MDP0000692850","MDP0000692850")</f>
        <v>MDP0000692850</v>
      </c>
      <c r="D2243">
        <v>30.09</v>
      </c>
      <c r="E2243">
        <v>206</v>
      </c>
      <c r="F2243">
        <v>144</v>
      </c>
      <c r="G2243">
        <v>12</v>
      </c>
      <c r="H2243">
        <v>10</v>
      </c>
      <c r="I2243">
        <v>203</v>
      </c>
      <c r="J2243">
        <v>1</v>
      </c>
      <c r="K2243">
        <v>211</v>
      </c>
      <c r="L2243">
        <v>416</v>
      </c>
      <c r="M2243">
        <v>1</v>
      </c>
      <c r="N2243">
        <v>1.0090499999999999E-24</v>
      </c>
      <c r="O2243">
        <v>275</v>
      </c>
    </row>
    <row r="2244" spans="1:15" x14ac:dyDescent="0.25">
      <c r="A2244" t="s">
        <v>2257</v>
      </c>
      <c r="B2244">
        <v>611</v>
      </c>
      <c r="C2244" s="1" t="str">
        <f>HYPERLINK("http://www.rosaceae.org/gb/gbrowse/malus_x_domestica/?name=MDP0000156131","MDP0000156131")</f>
        <v>MDP0000156131</v>
      </c>
      <c r="D2244">
        <v>84.14</v>
      </c>
      <c r="E2244">
        <v>473</v>
      </c>
      <c r="F2244">
        <v>75</v>
      </c>
      <c r="G2244">
        <v>23</v>
      </c>
      <c r="H2244">
        <v>158</v>
      </c>
      <c r="I2244">
        <v>607</v>
      </c>
      <c r="J2244">
        <v>1</v>
      </c>
      <c r="K2244">
        <v>225</v>
      </c>
      <c r="L2244">
        <v>697</v>
      </c>
      <c r="M2244">
        <v>1</v>
      </c>
      <c r="N2244">
        <v>0</v>
      </c>
      <c r="O2244">
        <v>2131</v>
      </c>
    </row>
    <row r="2245" spans="1:15" x14ac:dyDescent="0.25">
      <c r="A2245" t="s">
        <v>2258</v>
      </c>
      <c r="B2245">
        <v>303</v>
      </c>
      <c r="C2245" s="1" t="str">
        <f>HYPERLINK("http://www.rosaceae.org/gb/gbrowse/malus_x_domestica/?name=MDP0000025650","MDP0000025650")</f>
        <v>MDP0000025650</v>
      </c>
      <c r="D2245">
        <v>84.48</v>
      </c>
      <c r="E2245">
        <v>303</v>
      </c>
      <c r="F2245">
        <v>47</v>
      </c>
      <c r="G2245">
        <v>5</v>
      </c>
      <c r="H2245">
        <v>1</v>
      </c>
      <c r="I2245">
        <v>303</v>
      </c>
      <c r="J2245">
        <v>1</v>
      </c>
      <c r="K2245">
        <v>1</v>
      </c>
      <c r="L2245">
        <v>298</v>
      </c>
      <c r="M2245">
        <v>1</v>
      </c>
      <c r="N2245">
        <v>2.7027099999999998E-150</v>
      </c>
      <c r="O2245">
        <v>1360</v>
      </c>
    </row>
    <row r="2246" spans="1:15" x14ac:dyDescent="0.25">
      <c r="A2246" t="s">
        <v>2259</v>
      </c>
      <c r="B2246">
        <v>240</v>
      </c>
      <c r="C2246" s="1" t="str">
        <f>HYPERLINK("http://www.rosaceae.org/gb/gbrowse/malus_x_domestica/?name=MDP0000319964","MDP0000319964")</f>
        <v>MDP0000319964</v>
      </c>
      <c r="D2246">
        <v>76.150000000000006</v>
      </c>
      <c r="E2246">
        <v>239</v>
      </c>
      <c r="F2246">
        <v>57</v>
      </c>
      <c r="G2246">
        <v>0</v>
      </c>
      <c r="H2246">
        <v>2</v>
      </c>
      <c r="I2246">
        <v>240</v>
      </c>
      <c r="J2246">
        <v>1</v>
      </c>
      <c r="K2246">
        <v>68</v>
      </c>
      <c r="L2246">
        <v>306</v>
      </c>
      <c r="M2246">
        <v>1</v>
      </c>
      <c r="N2246">
        <v>6.4331199999999996E-111</v>
      </c>
      <c r="O2246">
        <v>1019</v>
      </c>
    </row>
    <row r="2247" spans="1:15" x14ac:dyDescent="0.25">
      <c r="A2247" t="s">
        <v>2260</v>
      </c>
      <c r="B2247">
        <v>449</v>
      </c>
      <c r="C2247" s="1" t="str">
        <f>HYPERLINK("http://www.rosaceae.org/gb/gbrowse/malus_x_domestica/?name=MDP0000174664","MDP0000174664")</f>
        <v>MDP0000174664</v>
      </c>
      <c r="D2247">
        <v>79.05</v>
      </c>
      <c r="E2247">
        <v>296</v>
      </c>
      <c r="F2247">
        <v>62</v>
      </c>
      <c r="G2247">
        <v>24</v>
      </c>
      <c r="H2247">
        <v>16</v>
      </c>
      <c r="I2247">
        <v>291</v>
      </c>
      <c r="J2247">
        <v>1</v>
      </c>
      <c r="K2247">
        <v>1</v>
      </c>
      <c r="L2247">
        <v>292</v>
      </c>
      <c r="M2247">
        <v>1</v>
      </c>
      <c r="N2247">
        <v>5.6061699999999997E-123</v>
      </c>
      <c r="O2247">
        <v>1127</v>
      </c>
    </row>
    <row r="2248" spans="1:15" x14ac:dyDescent="0.25">
      <c r="A2248" t="s">
        <v>2261</v>
      </c>
      <c r="B2248">
        <v>1810</v>
      </c>
      <c r="C2248" s="1" t="str">
        <f>HYPERLINK("http://www.rosaceae.org/gb/gbrowse/malus_x_domestica/?name=MDP0000232208","MDP0000232208")</f>
        <v>MDP0000232208</v>
      </c>
      <c r="D2248">
        <v>61.95</v>
      </c>
      <c r="E2248">
        <v>1409</v>
      </c>
      <c r="F2248">
        <v>536</v>
      </c>
      <c r="G2248">
        <v>156</v>
      </c>
      <c r="H2248">
        <v>530</v>
      </c>
      <c r="I2248">
        <v>1810</v>
      </c>
      <c r="J2248">
        <v>1</v>
      </c>
      <c r="K2248">
        <v>684</v>
      </c>
      <c r="L2248">
        <v>2064</v>
      </c>
      <c r="M2248">
        <v>1</v>
      </c>
      <c r="N2248">
        <v>0</v>
      </c>
      <c r="O2248">
        <v>4160</v>
      </c>
    </row>
    <row r="2249" spans="1:15" x14ac:dyDescent="0.25">
      <c r="A2249" t="s">
        <v>2262</v>
      </c>
      <c r="B2249">
        <v>295</v>
      </c>
      <c r="C2249" s="1" t="str">
        <f>HYPERLINK("http://www.rosaceae.org/gb/gbrowse/malus_x_domestica/?name=MDP0000277246","MDP0000277246")</f>
        <v>MDP0000277246</v>
      </c>
      <c r="D2249">
        <v>46.83</v>
      </c>
      <c r="E2249">
        <v>237</v>
      </c>
      <c r="F2249">
        <v>126</v>
      </c>
      <c r="G2249">
        <v>0</v>
      </c>
      <c r="H2249">
        <v>58</v>
      </c>
      <c r="I2249">
        <v>294</v>
      </c>
      <c r="J2249">
        <v>1</v>
      </c>
      <c r="K2249">
        <v>466</v>
      </c>
      <c r="L2249">
        <v>702</v>
      </c>
      <c r="M2249">
        <v>1</v>
      </c>
      <c r="N2249">
        <v>5.7846199999999999E-61</v>
      </c>
      <c r="O2249">
        <v>590</v>
      </c>
    </row>
    <row r="2250" spans="1:15" x14ac:dyDescent="0.25">
      <c r="A2250" t="s">
        <v>2263</v>
      </c>
      <c r="B2250">
        <v>350</v>
      </c>
      <c r="C2250" s="1" t="str">
        <f>HYPERLINK("http://www.rosaceae.org/gb/gbrowse/malus_x_domestica/?name=MDP0000304147","MDP0000304147")</f>
        <v>MDP0000304147</v>
      </c>
      <c r="D2250">
        <v>43.86</v>
      </c>
      <c r="E2250">
        <v>367</v>
      </c>
      <c r="F2250">
        <v>206</v>
      </c>
      <c r="G2250">
        <v>27</v>
      </c>
      <c r="H2250">
        <v>1</v>
      </c>
      <c r="I2250">
        <v>350</v>
      </c>
      <c r="J2250">
        <v>1</v>
      </c>
      <c r="K2250">
        <v>335</v>
      </c>
      <c r="L2250">
        <v>691</v>
      </c>
      <c r="M2250">
        <v>1</v>
      </c>
      <c r="N2250">
        <v>2.4327500000000002E-63</v>
      </c>
      <c r="O2250">
        <v>611</v>
      </c>
    </row>
    <row r="2251" spans="1:15" x14ac:dyDescent="0.25">
      <c r="A2251" t="s">
        <v>2264</v>
      </c>
      <c r="B2251">
        <v>315</v>
      </c>
      <c r="C2251" s="1" t="str">
        <f>HYPERLINK("http://www.rosaceae.org/gb/gbrowse/malus_x_domestica/?name=MDP0000193399","MDP0000193399")</f>
        <v>MDP0000193399</v>
      </c>
      <c r="D2251">
        <v>50.83</v>
      </c>
      <c r="E2251">
        <v>301</v>
      </c>
      <c r="F2251">
        <v>148</v>
      </c>
      <c r="G2251">
        <v>9</v>
      </c>
      <c r="H2251">
        <v>1</v>
      </c>
      <c r="I2251">
        <v>292</v>
      </c>
      <c r="J2251">
        <v>1</v>
      </c>
      <c r="K2251">
        <v>15</v>
      </c>
      <c r="L2251">
        <v>315</v>
      </c>
      <c r="M2251">
        <v>1</v>
      </c>
      <c r="N2251">
        <v>4.3913299999999996E-87</v>
      </c>
      <c r="O2251">
        <v>815</v>
      </c>
    </row>
    <row r="2252" spans="1:15" x14ac:dyDescent="0.25">
      <c r="A2252" t="s">
        <v>2265</v>
      </c>
      <c r="B2252">
        <v>723</v>
      </c>
      <c r="C2252" s="1" t="str">
        <f>HYPERLINK("http://www.rosaceae.org/gb/gbrowse/malus_x_domestica/?name=MDP0000254951","MDP0000254951")</f>
        <v>MDP0000254951</v>
      </c>
      <c r="D2252">
        <v>71.27</v>
      </c>
      <c r="E2252">
        <v>564</v>
      </c>
      <c r="F2252">
        <v>162</v>
      </c>
      <c r="G2252">
        <v>28</v>
      </c>
      <c r="H2252">
        <v>1</v>
      </c>
      <c r="I2252">
        <v>541</v>
      </c>
      <c r="J2252">
        <v>1</v>
      </c>
      <c r="K2252">
        <v>1</v>
      </c>
      <c r="L2252">
        <v>559</v>
      </c>
      <c r="M2252">
        <v>1</v>
      </c>
      <c r="N2252">
        <v>0</v>
      </c>
      <c r="O2252">
        <v>2081</v>
      </c>
    </row>
    <row r="2253" spans="1:15" x14ac:dyDescent="0.25">
      <c r="A2253" t="s">
        <v>2266</v>
      </c>
      <c r="B2253">
        <v>340</v>
      </c>
      <c r="C2253" s="1" t="str">
        <f>HYPERLINK("http://www.rosaceae.org/gb/gbrowse/malus_x_domestica/?name=MDP0000145547","MDP0000145547")</f>
        <v>MDP0000145547</v>
      </c>
      <c r="D2253">
        <v>36.11</v>
      </c>
      <c r="E2253">
        <v>371</v>
      </c>
      <c r="F2253">
        <v>237</v>
      </c>
      <c r="G2253">
        <v>97</v>
      </c>
      <c r="H2253">
        <v>7</v>
      </c>
      <c r="I2253">
        <v>340</v>
      </c>
      <c r="J2253">
        <v>1</v>
      </c>
      <c r="K2253">
        <v>6</v>
      </c>
      <c r="L2253">
        <v>316</v>
      </c>
      <c r="M2253">
        <v>1</v>
      </c>
      <c r="N2253">
        <v>1.75141E-46</v>
      </c>
      <c r="O2253">
        <v>465</v>
      </c>
    </row>
    <row r="2254" spans="1:15" x14ac:dyDescent="0.25">
      <c r="A2254" t="s">
        <v>2267</v>
      </c>
      <c r="B2254">
        <v>533</v>
      </c>
      <c r="C2254" s="1" t="str">
        <f>HYPERLINK("http://www.rosaceae.org/gb/gbrowse/malus_x_domestica/?name=MDP0000210510","MDP0000210510")</f>
        <v>MDP0000210510</v>
      </c>
      <c r="D2254">
        <v>76.88</v>
      </c>
      <c r="E2254">
        <v>225</v>
      </c>
      <c r="F2254">
        <v>52</v>
      </c>
      <c r="G2254">
        <v>5</v>
      </c>
      <c r="H2254">
        <v>311</v>
      </c>
      <c r="I2254">
        <v>530</v>
      </c>
      <c r="J2254">
        <v>1</v>
      </c>
      <c r="K2254">
        <v>133</v>
      </c>
      <c r="L2254">
        <v>357</v>
      </c>
      <c r="M2254">
        <v>1</v>
      </c>
      <c r="N2254">
        <v>1.3615999999999999E-100</v>
      </c>
      <c r="O2254">
        <v>934</v>
      </c>
    </row>
    <row r="2255" spans="1:15" x14ac:dyDescent="0.25">
      <c r="A2255" t="s">
        <v>2268</v>
      </c>
      <c r="B2255">
        <v>207</v>
      </c>
      <c r="C2255" s="1" t="str">
        <f>HYPERLINK("http://www.rosaceae.org/gb/gbrowse/malus_x_domestica/?name=MDP0000313472","MDP0000313472")</f>
        <v>MDP0000313472</v>
      </c>
      <c r="D2255">
        <v>34.14</v>
      </c>
      <c r="E2255">
        <v>164</v>
      </c>
      <c r="F2255">
        <v>108</v>
      </c>
      <c r="G2255">
        <v>14</v>
      </c>
      <c r="H2255">
        <v>10</v>
      </c>
      <c r="I2255">
        <v>165</v>
      </c>
      <c r="J2255">
        <v>1</v>
      </c>
      <c r="K2255">
        <v>274</v>
      </c>
      <c r="L2255">
        <v>431</v>
      </c>
      <c r="M2255">
        <v>1</v>
      </c>
      <c r="N2255">
        <v>3.1803100000000001E-18</v>
      </c>
      <c r="O2255">
        <v>219</v>
      </c>
    </row>
    <row r="2256" spans="1:15" x14ac:dyDescent="0.25">
      <c r="A2256" t="s">
        <v>2269</v>
      </c>
      <c r="B2256">
        <v>110</v>
      </c>
      <c r="C2256" s="1" t="str">
        <f>HYPERLINK("http://www.rosaceae.org/gb/gbrowse/malus_x_domestica/?name=MDP0000129532","MDP0000129532")</f>
        <v>MDP0000129532</v>
      </c>
      <c r="D2256">
        <v>71.150000000000006</v>
      </c>
      <c r="E2256">
        <v>104</v>
      </c>
      <c r="F2256">
        <v>30</v>
      </c>
      <c r="G2256">
        <v>0</v>
      </c>
      <c r="H2256">
        <v>2</v>
      </c>
      <c r="I2256">
        <v>105</v>
      </c>
      <c r="J2256">
        <v>1</v>
      </c>
      <c r="K2256">
        <v>192</v>
      </c>
      <c r="L2256">
        <v>295</v>
      </c>
      <c r="M2256">
        <v>1</v>
      </c>
      <c r="N2256">
        <v>1.4897100000000001E-40</v>
      </c>
      <c r="O2256">
        <v>407</v>
      </c>
    </row>
    <row r="2257" spans="1:15" x14ac:dyDescent="0.25">
      <c r="A2257" t="s">
        <v>2270</v>
      </c>
      <c r="B2257">
        <v>272</v>
      </c>
      <c r="C2257" s="1" t="str">
        <f>HYPERLINK("http://www.rosaceae.org/gb/gbrowse/malus_x_domestica/?name=MDP0000201631","MDP0000201631")</f>
        <v>MDP0000201631</v>
      </c>
      <c r="D2257">
        <v>80</v>
      </c>
      <c r="E2257">
        <v>310</v>
      </c>
      <c r="F2257">
        <v>62</v>
      </c>
      <c r="G2257">
        <v>41</v>
      </c>
      <c r="H2257">
        <v>1</v>
      </c>
      <c r="I2257">
        <v>269</v>
      </c>
      <c r="J2257">
        <v>1</v>
      </c>
      <c r="K2257">
        <v>1</v>
      </c>
      <c r="L2257">
        <v>310</v>
      </c>
      <c r="M2257">
        <v>1</v>
      </c>
      <c r="N2257">
        <v>9.9563000000000004E-141</v>
      </c>
      <c r="O2257">
        <v>1277</v>
      </c>
    </row>
    <row r="2258" spans="1:15" x14ac:dyDescent="0.25">
      <c r="A2258" t="s">
        <v>2271</v>
      </c>
      <c r="B2258">
        <v>460</v>
      </c>
      <c r="C2258" s="1" t="str">
        <f>HYPERLINK("http://www.rosaceae.org/gb/gbrowse/malus_x_domestica/?name=MDP0000205649","MDP0000205649")</f>
        <v>MDP0000205649</v>
      </c>
      <c r="D2258">
        <v>70.36</v>
      </c>
      <c r="E2258">
        <v>442</v>
      </c>
      <c r="F2258">
        <v>131</v>
      </c>
      <c r="G2258">
        <v>73</v>
      </c>
      <c r="H2258">
        <v>54</v>
      </c>
      <c r="I2258">
        <v>460</v>
      </c>
      <c r="J2258">
        <v>1</v>
      </c>
      <c r="K2258">
        <v>54</v>
      </c>
      <c r="L2258">
        <v>457</v>
      </c>
      <c r="M2258">
        <v>1</v>
      </c>
      <c r="N2258">
        <v>2.5162299999999999E-175</v>
      </c>
      <c r="O2258">
        <v>1578</v>
      </c>
    </row>
    <row r="2259" spans="1:15" x14ac:dyDescent="0.25">
      <c r="A2259" t="s">
        <v>2272</v>
      </c>
      <c r="B2259">
        <v>371</v>
      </c>
      <c r="C2259" s="1" t="str">
        <f>HYPERLINK("http://www.rosaceae.org/gb/gbrowse/malus_x_domestica/?name=MDP0000303952","MDP0000303952")</f>
        <v>MDP0000303952</v>
      </c>
      <c r="D2259">
        <v>89.03</v>
      </c>
      <c r="E2259">
        <v>155</v>
      </c>
      <c r="F2259">
        <v>17</v>
      </c>
      <c r="G2259">
        <v>5</v>
      </c>
      <c r="H2259">
        <v>217</v>
      </c>
      <c r="I2259">
        <v>371</v>
      </c>
      <c r="J2259">
        <v>1</v>
      </c>
      <c r="K2259">
        <v>163</v>
      </c>
      <c r="L2259">
        <v>312</v>
      </c>
      <c r="M2259">
        <v>1</v>
      </c>
      <c r="N2259">
        <v>1.8454599999999999E-64</v>
      </c>
      <c r="O2259">
        <v>621</v>
      </c>
    </row>
    <row r="2260" spans="1:15" x14ac:dyDescent="0.25">
      <c r="A2260" t="s">
        <v>2273</v>
      </c>
      <c r="B2260">
        <v>427</v>
      </c>
      <c r="C2260" s="1" t="str">
        <f>HYPERLINK("http://www.rosaceae.org/gb/gbrowse/malus_x_domestica/?name=MDP0000250703","MDP0000250703")</f>
        <v>MDP0000250703</v>
      </c>
      <c r="D2260">
        <v>35.15</v>
      </c>
      <c r="E2260">
        <v>165</v>
      </c>
      <c r="F2260">
        <v>107</v>
      </c>
      <c r="G2260">
        <v>14</v>
      </c>
      <c r="H2260">
        <v>254</v>
      </c>
      <c r="I2260">
        <v>417</v>
      </c>
      <c r="J2260">
        <v>1</v>
      </c>
      <c r="K2260">
        <v>411</v>
      </c>
      <c r="L2260">
        <v>562</v>
      </c>
      <c r="M2260">
        <v>1</v>
      </c>
      <c r="N2260">
        <v>1.6253500000000001E-15</v>
      </c>
      <c r="O2260">
        <v>200</v>
      </c>
    </row>
    <row r="2261" spans="1:15" x14ac:dyDescent="0.25">
      <c r="A2261" t="s">
        <v>2274</v>
      </c>
      <c r="B2261">
        <v>1207</v>
      </c>
      <c r="C2261" s="1" t="str">
        <f>HYPERLINK("http://www.rosaceae.org/gb/gbrowse/malus_x_domestica/?name=MDP0000541983","MDP0000541983")</f>
        <v>MDP0000541983</v>
      </c>
      <c r="D2261">
        <v>30.97</v>
      </c>
      <c r="E2261">
        <v>184</v>
      </c>
      <c r="F2261">
        <v>127</v>
      </c>
      <c r="G2261">
        <v>38</v>
      </c>
      <c r="H2261">
        <v>350</v>
      </c>
      <c r="I2261">
        <v>497</v>
      </c>
      <c r="J2261">
        <v>1</v>
      </c>
      <c r="K2261">
        <v>3</v>
      </c>
      <c r="L2261">
        <v>184</v>
      </c>
      <c r="M2261">
        <v>1</v>
      </c>
      <c r="N2261">
        <v>1.8670700000000002E-15</v>
      </c>
      <c r="O2261">
        <v>203</v>
      </c>
    </row>
    <row r="2262" spans="1:15" x14ac:dyDescent="0.25">
      <c r="A2262" t="s">
        <v>2275</v>
      </c>
      <c r="B2262">
        <v>731</v>
      </c>
      <c r="C2262" s="1" t="str">
        <f>HYPERLINK("http://www.rosaceae.org/gb/gbrowse/malus_x_domestica/?name=MDP0000097240","MDP0000097240")</f>
        <v>MDP0000097240</v>
      </c>
      <c r="D2262">
        <v>73.31</v>
      </c>
      <c r="E2262">
        <v>742</v>
      </c>
      <c r="F2262">
        <v>198</v>
      </c>
      <c r="G2262">
        <v>12</v>
      </c>
      <c r="H2262">
        <v>1</v>
      </c>
      <c r="I2262">
        <v>731</v>
      </c>
      <c r="J2262">
        <v>1</v>
      </c>
      <c r="K2262">
        <v>1</v>
      </c>
      <c r="L2262">
        <v>741</v>
      </c>
      <c r="M2262">
        <v>1</v>
      </c>
      <c r="N2262">
        <v>0</v>
      </c>
      <c r="O2262">
        <v>2795</v>
      </c>
    </row>
    <row r="2263" spans="1:15" x14ac:dyDescent="0.25">
      <c r="A2263" t="s">
        <v>2276</v>
      </c>
      <c r="B2263">
        <v>186</v>
      </c>
      <c r="C2263" s="1" t="str">
        <f>HYPERLINK("http://www.rosaceae.org/gb/gbrowse/malus_x_domestica/?name=MDP0000258998","MDP0000258998")</f>
        <v>MDP0000258998</v>
      </c>
      <c r="D2263">
        <v>40.619999999999997</v>
      </c>
      <c r="E2263">
        <v>96</v>
      </c>
      <c r="F2263">
        <v>57</v>
      </c>
      <c r="G2263">
        <v>0</v>
      </c>
      <c r="H2263">
        <v>1</v>
      </c>
      <c r="I2263">
        <v>96</v>
      </c>
      <c r="J2263">
        <v>1</v>
      </c>
      <c r="K2263">
        <v>32</v>
      </c>
      <c r="L2263">
        <v>127</v>
      </c>
      <c r="M2263">
        <v>1</v>
      </c>
      <c r="N2263">
        <v>1.7728600000000001E-10</v>
      </c>
      <c r="O2263">
        <v>151</v>
      </c>
    </row>
    <row r="2264" spans="1:15" x14ac:dyDescent="0.25">
      <c r="A2264" t="s">
        <v>2277</v>
      </c>
      <c r="B2264">
        <v>286</v>
      </c>
      <c r="C2264" s="1" t="str">
        <f>HYPERLINK("http://www.rosaceae.org/gb/gbrowse/malus_x_domestica/?name=MDP0000318229","MDP0000318229")</f>
        <v>MDP0000318229</v>
      </c>
      <c r="D2264">
        <v>84.95</v>
      </c>
      <c r="E2264">
        <v>246</v>
      </c>
      <c r="F2264">
        <v>37</v>
      </c>
      <c r="G2264">
        <v>4</v>
      </c>
      <c r="H2264">
        <v>43</v>
      </c>
      <c r="I2264">
        <v>286</v>
      </c>
      <c r="J2264">
        <v>1</v>
      </c>
      <c r="K2264">
        <v>1</v>
      </c>
      <c r="L2264">
        <v>244</v>
      </c>
      <c r="M2264">
        <v>1</v>
      </c>
      <c r="N2264">
        <v>1.45275E-117</v>
      </c>
      <c r="O2264">
        <v>1078</v>
      </c>
    </row>
    <row r="2265" spans="1:15" x14ac:dyDescent="0.25">
      <c r="A2265" t="s">
        <v>2278</v>
      </c>
      <c r="B2265">
        <v>606</v>
      </c>
      <c r="C2265" s="1" t="str">
        <f>HYPERLINK("http://www.rosaceae.org/gb/gbrowse/malus_x_domestica/?name=MDP0000300385","MDP0000300385")</f>
        <v>MDP0000300385</v>
      </c>
      <c r="D2265">
        <v>68.03</v>
      </c>
      <c r="E2265">
        <v>607</v>
      </c>
      <c r="F2265">
        <v>194</v>
      </c>
      <c r="G2265">
        <v>60</v>
      </c>
      <c r="H2265">
        <v>1</v>
      </c>
      <c r="I2265">
        <v>606</v>
      </c>
      <c r="J2265">
        <v>1</v>
      </c>
      <c r="K2265">
        <v>1</v>
      </c>
      <c r="L2265">
        <v>548</v>
      </c>
      <c r="M2265">
        <v>1</v>
      </c>
      <c r="N2265">
        <v>0</v>
      </c>
      <c r="O2265">
        <v>2081</v>
      </c>
    </row>
    <row r="2266" spans="1:15" x14ac:dyDescent="0.25">
      <c r="A2266" t="s">
        <v>2279</v>
      </c>
      <c r="B2266">
        <v>418</v>
      </c>
      <c r="C2266" s="1" t="str">
        <f>HYPERLINK("http://www.rosaceae.org/gb/gbrowse/malus_x_domestica/?name=MDP0000317460","MDP0000317460")</f>
        <v>MDP0000317460</v>
      </c>
      <c r="D2266">
        <v>81.739999999999995</v>
      </c>
      <c r="E2266">
        <v>367</v>
      </c>
      <c r="F2266">
        <v>67</v>
      </c>
      <c r="G2266">
        <v>9</v>
      </c>
      <c r="H2266">
        <v>60</v>
      </c>
      <c r="I2266">
        <v>418</v>
      </c>
      <c r="J2266">
        <v>1</v>
      </c>
      <c r="K2266">
        <v>161</v>
      </c>
      <c r="L2266">
        <v>526</v>
      </c>
      <c r="M2266">
        <v>1</v>
      </c>
      <c r="N2266">
        <v>4.5777199999999997E-173</v>
      </c>
      <c r="O2266">
        <v>1558</v>
      </c>
    </row>
    <row r="2267" spans="1:15" x14ac:dyDescent="0.25">
      <c r="A2267" t="s">
        <v>2280</v>
      </c>
      <c r="B2267">
        <v>932</v>
      </c>
      <c r="C2267" s="1" t="str">
        <f>HYPERLINK("http://www.rosaceae.org/gb/gbrowse/malus_x_domestica/?name=MDP0000141774","MDP0000141774")</f>
        <v>MDP0000141774</v>
      </c>
      <c r="D2267">
        <v>64.38</v>
      </c>
      <c r="E2267">
        <v>963</v>
      </c>
      <c r="F2267">
        <v>343</v>
      </c>
      <c r="G2267">
        <v>107</v>
      </c>
      <c r="H2267">
        <v>1</v>
      </c>
      <c r="I2267">
        <v>915</v>
      </c>
      <c r="J2267">
        <v>1</v>
      </c>
      <c r="K2267">
        <v>128</v>
      </c>
      <c r="L2267">
        <v>1031</v>
      </c>
      <c r="M2267">
        <v>1</v>
      </c>
      <c r="N2267">
        <v>0</v>
      </c>
      <c r="O2267">
        <v>2968</v>
      </c>
    </row>
    <row r="2268" spans="1:15" x14ac:dyDescent="0.25">
      <c r="A2268" t="s">
        <v>2281</v>
      </c>
      <c r="B2268">
        <v>500</v>
      </c>
      <c r="C2268" s="1" t="str">
        <f>HYPERLINK("http://www.rosaceae.org/gb/gbrowse/malus_x_domestica/?name=MDP0000753637","MDP0000753637")</f>
        <v>MDP0000753637</v>
      </c>
      <c r="D2268">
        <v>83.56</v>
      </c>
      <c r="E2268">
        <v>499</v>
      </c>
      <c r="F2268">
        <v>82</v>
      </c>
      <c r="G2268">
        <v>1</v>
      </c>
      <c r="H2268">
        <v>2</v>
      </c>
      <c r="I2268">
        <v>500</v>
      </c>
      <c r="J2268">
        <v>1</v>
      </c>
      <c r="K2268">
        <v>4</v>
      </c>
      <c r="L2268">
        <v>501</v>
      </c>
      <c r="M2268">
        <v>1</v>
      </c>
      <c r="N2268">
        <v>0</v>
      </c>
      <c r="O2268">
        <v>2209</v>
      </c>
    </row>
    <row r="2269" spans="1:15" x14ac:dyDescent="0.25">
      <c r="A2269" t="s">
        <v>2282</v>
      </c>
      <c r="B2269">
        <v>457</v>
      </c>
      <c r="C2269" s="1" t="str">
        <f>HYPERLINK("http://www.rosaceae.org/gb/gbrowse/malus_x_domestica/?name=MDP0000852699","MDP0000852699")</f>
        <v>MDP0000852699</v>
      </c>
      <c r="D2269">
        <v>59.61</v>
      </c>
      <c r="E2269">
        <v>312</v>
      </c>
      <c r="F2269">
        <v>126</v>
      </c>
      <c r="G2269">
        <v>14</v>
      </c>
      <c r="H2269">
        <v>27</v>
      </c>
      <c r="I2269">
        <v>326</v>
      </c>
      <c r="J2269">
        <v>1</v>
      </c>
      <c r="K2269">
        <v>31</v>
      </c>
      <c r="L2269">
        <v>340</v>
      </c>
      <c r="M2269">
        <v>1</v>
      </c>
      <c r="N2269">
        <v>1.4469600000000001E-97</v>
      </c>
      <c r="O2269">
        <v>907</v>
      </c>
    </row>
    <row r="2270" spans="1:15" x14ac:dyDescent="0.25">
      <c r="A2270" t="s">
        <v>2283</v>
      </c>
      <c r="B2270">
        <v>159</v>
      </c>
      <c r="C2270" s="1" t="str">
        <f>HYPERLINK("http://www.rosaceae.org/gb/gbrowse/malus_x_domestica/?name=MDP0000229370","MDP0000229370")</f>
        <v>MDP0000229370</v>
      </c>
      <c r="D2270">
        <v>66.45</v>
      </c>
      <c r="E2270">
        <v>161</v>
      </c>
      <c r="F2270">
        <v>54</v>
      </c>
      <c r="G2270">
        <v>7</v>
      </c>
      <c r="H2270">
        <v>3</v>
      </c>
      <c r="I2270">
        <v>159</v>
      </c>
      <c r="J2270">
        <v>1</v>
      </c>
      <c r="K2270">
        <v>4</v>
      </c>
      <c r="L2270">
        <v>161</v>
      </c>
      <c r="M2270">
        <v>1</v>
      </c>
      <c r="N2270">
        <v>2.6649900000000001E-53</v>
      </c>
      <c r="O2270">
        <v>520</v>
      </c>
    </row>
    <row r="2271" spans="1:15" x14ac:dyDescent="0.25">
      <c r="A2271" t="s">
        <v>2284</v>
      </c>
      <c r="B2271">
        <v>323</v>
      </c>
      <c r="C2271" s="1" t="str">
        <f>HYPERLINK("http://www.rosaceae.org/gb/gbrowse/malus_x_domestica/?name=MDP0000803920","MDP0000803920")</f>
        <v>MDP0000803920</v>
      </c>
      <c r="D2271">
        <v>58.13</v>
      </c>
      <c r="E2271">
        <v>289</v>
      </c>
      <c r="F2271">
        <v>121</v>
      </c>
      <c r="G2271">
        <v>23</v>
      </c>
      <c r="H2271">
        <v>38</v>
      </c>
      <c r="I2271">
        <v>306</v>
      </c>
      <c r="J2271">
        <v>1</v>
      </c>
      <c r="K2271">
        <v>722</v>
      </c>
      <c r="L2271">
        <v>1007</v>
      </c>
      <c r="M2271">
        <v>1</v>
      </c>
      <c r="N2271">
        <v>1.33981E-79</v>
      </c>
      <c r="O2271">
        <v>751</v>
      </c>
    </row>
    <row r="2272" spans="1:15" x14ac:dyDescent="0.25">
      <c r="A2272" t="s">
        <v>2285</v>
      </c>
      <c r="B2272">
        <v>352</v>
      </c>
      <c r="C2272" s="1" t="str">
        <f>HYPERLINK("http://www.rosaceae.org/gb/gbrowse/malus_x_domestica/?name=MDP0000244230","MDP0000244230")</f>
        <v>MDP0000244230</v>
      </c>
      <c r="D2272">
        <v>32.89</v>
      </c>
      <c r="E2272">
        <v>377</v>
      </c>
      <c r="F2272">
        <v>253</v>
      </c>
      <c r="G2272">
        <v>43</v>
      </c>
      <c r="H2272">
        <v>3</v>
      </c>
      <c r="I2272">
        <v>338</v>
      </c>
      <c r="J2272">
        <v>1</v>
      </c>
      <c r="K2272">
        <v>533</v>
      </c>
      <c r="L2272">
        <v>907</v>
      </c>
      <c r="M2272">
        <v>1</v>
      </c>
      <c r="N2272">
        <v>3.69041E-35</v>
      </c>
      <c r="O2272">
        <v>368</v>
      </c>
    </row>
    <row r="2273" spans="1:15" x14ac:dyDescent="0.25">
      <c r="A2273" t="s">
        <v>2286</v>
      </c>
      <c r="B2273">
        <v>495</v>
      </c>
      <c r="C2273" s="1" t="str">
        <f>HYPERLINK("http://www.rosaceae.org/gb/gbrowse/malus_x_domestica/?name=MDP0000694240","MDP0000694240")</f>
        <v>MDP0000694240</v>
      </c>
      <c r="D2273">
        <v>76.28</v>
      </c>
      <c r="E2273">
        <v>485</v>
      </c>
      <c r="F2273">
        <v>115</v>
      </c>
      <c r="G2273">
        <v>0</v>
      </c>
      <c r="H2273">
        <v>11</v>
      </c>
      <c r="I2273">
        <v>495</v>
      </c>
      <c r="J2273">
        <v>1</v>
      </c>
      <c r="K2273">
        <v>25</v>
      </c>
      <c r="L2273">
        <v>509</v>
      </c>
      <c r="M2273">
        <v>1</v>
      </c>
      <c r="N2273">
        <v>0</v>
      </c>
      <c r="O2273">
        <v>2016</v>
      </c>
    </row>
    <row r="2274" spans="1:15" x14ac:dyDescent="0.25">
      <c r="A2274" t="s">
        <v>2287</v>
      </c>
      <c r="B2274">
        <v>193</v>
      </c>
      <c r="C2274" s="1" t="str">
        <f>HYPERLINK("http://www.rosaceae.org/gb/gbrowse/malus_x_domestica/?name=MDP0000239720","MDP0000239720")</f>
        <v>MDP0000239720</v>
      </c>
      <c r="D2274">
        <v>68.599999999999994</v>
      </c>
      <c r="E2274">
        <v>172</v>
      </c>
      <c r="F2274">
        <v>54</v>
      </c>
      <c r="G2274">
        <v>27</v>
      </c>
      <c r="H2274">
        <v>1</v>
      </c>
      <c r="I2274">
        <v>169</v>
      </c>
      <c r="J2274">
        <v>1</v>
      </c>
      <c r="K2274">
        <v>1</v>
      </c>
      <c r="L2274">
        <v>148</v>
      </c>
      <c r="M2274">
        <v>1</v>
      </c>
      <c r="N2274">
        <v>7.3605000000000005E-61</v>
      </c>
      <c r="O2274">
        <v>586</v>
      </c>
    </row>
    <row r="2275" spans="1:15" x14ac:dyDescent="0.25">
      <c r="A2275" t="s">
        <v>2288</v>
      </c>
      <c r="B2275">
        <v>1212</v>
      </c>
      <c r="C2275" s="1" t="str">
        <f>HYPERLINK("http://www.rosaceae.org/gb/gbrowse/malus_x_domestica/?name=MDP0000290173","MDP0000290173")</f>
        <v>MDP0000290173</v>
      </c>
      <c r="D2275">
        <v>73.11</v>
      </c>
      <c r="E2275">
        <v>569</v>
      </c>
      <c r="F2275">
        <v>153</v>
      </c>
      <c r="G2275">
        <v>46</v>
      </c>
      <c r="H2275">
        <v>8</v>
      </c>
      <c r="I2275">
        <v>572</v>
      </c>
      <c r="J2275">
        <v>1</v>
      </c>
      <c r="K2275">
        <v>350</v>
      </c>
      <c r="L2275">
        <v>876</v>
      </c>
      <c r="M2275">
        <v>1</v>
      </c>
      <c r="N2275">
        <v>0</v>
      </c>
      <c r="O2275">
        <v>2157</v>
      </c>
    </row>
    <row r="2276" spans="1:15" x14ac:dyDescent="0.25">
      <c r="A2276" t="s">
        <v>2289</v>
      </c>
      <c r="B2276">
        <v>410</v>
      </c>
      <c r="C2276" s="1" t="str">
        <f>HYPERLINK("http://www.rosaceae.org/gb/gbrowse/malus_x_domestica/?name=MDP0000382336","MDP0000382336")</f>
        <v>MDP0000382336</v>
      </c>
      <c r="D2276">
        <v>63.08</v>
      </c>
      <c r="E2276">
        <v>382</v>
      </c>
      <c r="F2276">
        <v>141</v>
      </c>
      <c r="G2276">
        <v>34</v>
      </c>
      <c r="H2276">
        <v>12</v>
      </c>
      <c r="I2276">
        <v>359</v>
      </c>
      <c r="J2276">
        <v>1</v>
      </c>
      <c r="K2276">
        <v>10</v>
      </c>
      <c r="L2276">
        <v>391</v>
      </c>
      <c r="M2276">
        <v>1</v>
      </c>
      <c r="N2276">
        <v>1.6323900000000001E-129</v>
      </c>
      <c r="O2276">
        <v>1182</v>
      </c>
    </row>
    <row r="2277" spans="1:15" x14ac:dyDescent="0.25">
      <c r="A2277" t="s">
        <v>2290</v>
      </c>
      <c r="B2277">
        <v>505</v>
      </c>
      <c r="C2277" s="1" t="str">
        <f>HYPERLINK("http://www.rosaceae.org/gb/gbrowse/malus_x_domestica/?name=MDP0000291551","MDP0000291551")</f>
        <v>MDP0000291551</v>
      </c>
      <c r="D2277">
        <v>76</v>
      </c>
      <c r="E2277">
        <v>375</v>
      </c>
      <c r="F2277">
        <v>90</v>
      </c>
      <c r="G2277">
        <v>9</v>
      </c>
      <c r="H2277">
        <v>115</v>
      </c>
      <c r="I2277">
        <v>489</v>
      </c>
      <c r="J2277">
        <v>1</v>
      </c>
      <c r="K2277">
        <v>63</v>
      </c>
      <c r="L2277">
        <v>428</v>
      </c>
      <c r="M2277">
        <v>1</v>
      </c>
      <c r="N2277">
        <v>1.9417600000000001E-166</v>
      </c>
      <c r="O2277">
        <v>1502</v>
      </c>
    </row>
    <row r="2278" spans="1:15" x14ac:dyDescent="0.25">
      <c r="A2278" t="s">
        <v>2291</v>
      </c>
      <c r="B2278">
        <v>403</v>
      </c>
      <c r="C2278" s="1" t="str">
        <f>HYPERLINK("http://www.rosaceae.org/gb/gbrowse/malus_x_domestica/?name=MDP0000285436","MDP0000285436")</f>
        <v>MDP0000285436</v>
      </c>
      <c r="D2278">
        <v>39.880000000000003</v>
      </c>
      <c r="E2278">
        <v>539</v>
      </c>
      <c r="F2278">
        <v>324</v>
      </c>
      <c r="G2278">
        <v>154</v>
      </c>
      <c r="H2278">
        <v>1</v>
      </c>
      <c r="I2278">
        <v>400</v>
      </c>
      <c r="J2278">
        <v>1</v>
      </c>
      <c r="K2278">
        <v>1</v>
      </c>
      <c r="L2278">
        <v>524</v>
      </c>
      <c r="M2278">
        <v>1</v>
      </c>
      <c r="N2278">
        <v>5.4159399999999997E-85</v>
      </c>
      <c r="O2278">
        <v>798</v>
      </c>
    </row>
    <row r="2279" spans="1:15" x14ac:dyDescent="0.25">
      <c r="A2279" t="s">
        <v>2292</v>
      </c>
      <c r="B2279">
        <v>520</v>
      </c>
      <c r="C2279" s="1" t="str">
        <f>HYPERLINK("http://www.rosaceae.org/gb/gbrowse/malus_x_domestica/?name=MDP0000191460","MDP0000191460")</f>
        <v>MDP0000191460</v>
      </c>
      <c r="D2279">
        <v>61.74</v>
      </c>
      <c r="E2279">
        <v>481</v>
      </c>
      <c r="F2279">
        <v>184</v>
      </c>
      <c r="G2279">
        <v>23</v>
      </c>
      <c r="H2279">
        <v>41</v>
      </c>
      <c r="I2279">
        <v>519</v>
      </c>
      <c r="J2279">
        <v>1</v>
      </c>
      <c r="K2279">
        <v>89</v>
      </c>
      <c r="L2279">
        <v>548</v>
      </c>
      <c r="M2279">
        <v>1</v>
      </c>
      <c r="N2279">
        <v>4.5950299999999999E-172</v>
      </c>
      <c r="O2279">
        <v>1551</v>
      </c>
    </row>
    <row r="2280" spans="1:15" x14ac:dyDescent="0.25">
      <c r="A2280" t="s">
        <v>2293</v>
      </c>
      <c r="B2280">
        <v>1582</v>
      </c>
      <c r="C2280" s="1" t="str">
        <f>HYPERLINK("http://www.rosaceae.org/gb/gbrowse/malus_x_domestica/?name=MDP0000224653","MDP0000224653")</f>
        <v>MDP0000224653</v>
      </c>
      <c r="D2280">
        <v>36.270000000000003</v>
      </c>
      <c r="E2280">
        <v>510</v>
      </c>
      <c r="F2280">
        <v>325</v>
      </c>
      <c r="G2280">
        <v>77</v>
      </c>
      <c r="H2280">
        <v>702</v>
      </c>
      <c r="I2280">
        <v>1199</v>
      </c>
      <c r="J2280">
        <v>1</v>
      </c>
      <c r="K2280">
        <v>27</v>
      </c>
      <c r="L2280">
        <v>471</v>
      </c>
      <c r="M2280">
        <v>1</v>
      </c>
      <c r="N2280">
        <v>1.2436499999999999E-72</v>
      </c>
      <c r="O2280">
        <v>698</v>
      </c>
    </row>
    <row r="2281" spans="1:15" x14ac:dyDescent="0.25">
      <c r="A2281" t="s">
        <v>2294</v>
      </c>
      <c r="B2281">
        <v>344</v>
      </c>
      <c r="C2281" s="1" t="str">
        <f>HYPERLINK("http://www.rosaceae.org/gb/gbrowse/malus_x_domestica/?name=MDP0000137305","MDP0000137305")</f>
        <v>MDP0000137305</v>
      </c>
      <c r="D2281">
        <v>58.82</v>
      </c>
      <c r="E2281">
        <v>357</v>
      </c>
      <c r="F2281">
        <v>147</v>
      </c>
      <c r="G2281">
        <v>19</v>
      </c>
      <c r="H2281">
        <v>1</v>
      </c>
      <c r="I2281">
        <v>344</v>
      </c>
      <c r="J2281">
        <v>1</v>
      </c>
      <c r="K2281">
        <v>1</v>
      </c>
      <c r="L2281">
        <v>351</v>
      </c>
      <c r="M2281">
        <v>1</v>
      </c>
      <c r="N2281">
        <v>2.5101800000000002E-100</v>
      </c>
      <c r="O2281">
        <v>930</v>
      </c>
    </row>
    <row r="2282" spans="1:15" x14ac:dyDescent="0.25">
      <c r="A2282" t="s">
        <v>2295</v>
      </c>
      <c r="B2282">
        <v>538</v>
      </c>
      <c r="C2282" s="1" t="str">
        <f>HYPERLINK("http://www.rosaceae.org/gb/gbrowse/malus_x_domestica/?name=MDP0000233405","MDP0000233405")</f>
        <v>MDP0000233405</v>
      </c>
      <c r="D2282">
        <v>86.24</v>
      </c>
      <c r="E2282">
        <v>538</v>
      </c>
      <c r="F2282">
        <v>74</v>
      </c>
      <c r="G2282">
        <v>15</v>
      </c>
      <c r="H2282">
        <v>1</v>
      </c>
      <c r="I2282">
        <v>538</v>
      </c>
      <c r="J2282">
        <v>1</v>
      </c>
      <c r="K2282">
        <v>1</v>
      </c>
      <c r="L2282">
        <v>523</v>
      </c>
      <c r="M2282">
        <v>1</v>
      </c>
      <c r="N2282">
        <v>0</v>
      </c>
      <c r="O2282">
        <v>2459</v>
      </c>
    </row>
    <row r="2283" spans="1:15" x14ac:dyDescent="0.25">
      <c r="A2283" t="s">
        <v>2296</v>
      </c>
      <c r="B2283">
        <v>1016</v>
      </c>
      <c r="C2283" s="1" t="str">
        <f>HYPERLINK("http://www.rosaceae.org/gb/gbrowse/malus_x_domestica/?name=MDP0000261236","MDP0000261236")</f>
        <v>MDP0000261236</v>
      </c>
      <c r="D2283">
        <v>68.73</v>
      </c>
      <c r="E2283">
        <v>451</v>
      </c>
      <c r="F2283">
        <v>141</v>
      </c>
      <c r="G2283">
        <v>36</v>
      </c>
      <c r="H2283">
        <v>536</v>
      </c>
      <c r="I2283">
        <v>957</v>
      </c>
      <c r="J2283">
        <v>1</v>
      </c>
      <c r="K2283">
        <v>1</v>
      </c>
      <c r="L2283">
        <v>444</v>
      </c>
      <c r="M2283">
        <v>1</v>
      </c>
      <c r="N2283">
        <v>2.64778E-167</v>
      </c>
      <c r="O2283">
        <v>1512</v>
      </c>
    </row>
    <row r="2284" spans="1:15" x14ac:dyDescent="0.25">
      <c r="A2284" t="s">
        <v>2297</v>
      </c>
      <c r="B2284">
        <v>669</v>
      </c>
      <c r="C2284" s="1" t="str">
        <f>HYPERLINK("http://www.rosaceae.org/gb/gbrowse/malus_x_domestica/?name=MDP0000202466","MDP0000202466")</f>
        <v>MDP0000202466</v>
      </c>
      <c r="D2284">
        <v>76.78</v>
      </c>
      <c r="E2284">
        <v>672</v>
      </c>
      <c r="F2284">
        <v>156</v>
      </c>
      <c r="G2284">
        <v>36</v>
      </c>
      <c r="H2284">
        <v>14</v>
      </c>
      <c r="I2284">
        <v>669</v>
      </c>
      <c r="J2284">
        <v>1</v>
      </c>
      <c r="K2284">
        <v>55</v>
      </c>
      <c r="L2284">
        <v>706</v>
      </c>
      <c r="M2284">
        <v>1</v>
      </c>
      <c r="N2284">
        <v>0</v>
      </c>
      <c r="O2284">
        <v>2742</v>
      </c>
    </row>
    <row r="2285" spans="1:15" x14ac:dyDescent="0.25">
      <c r="A2285" t="s">
        <v>2298</v>
      </c>
      <c r="B2285">
        <v>586</v>
      </c>
      <c r="C2285" s="1" t="str">
        <f>HYPERLINK("http://www.rosaceae.org/gb/gbrowse/malus_x_domestica/?name=MDP0000258995","MDP0000258995")</f>
        <v>MDP0000258995</v>
      </c>
      <c r="D2285">
        <v>72.67</v>
      </c>
      <c r="E2285">
        <v>322</v>
      </c>
      <c r="F2285">
        <v>88</v>
      </c>
      <c r="G2285">
        <v>22</v>
      </c>
      <c r="H2285">
        <v>8</v>
      </c>
      <c r="I2285">
        <v>315</v>
      </c>
      <c r="J2285">
        <v>1</v>
      </c>
      <c r="K2285">
        <v>400</v>
      </c>
      <c r="L2285">
        <v>713</v>
      </c>
      <c r="M2285">
        <v>1</v>
      </c>
      <c r="N2285">
        <v>1.71145E-128</v>
      </c>
      <c r="O2285">
        <v>1175</v>
      </c>
    </row>
    <row r="2286" spans="1:15" x14ac:dyDescent="0.25">
      <c r="A2286" t="s">
        <v>2299</v>
      </c>
      <c r="B2286">
        <v>465</v>
      </c>
      <c r="C2286" s="1" t="str">
        <f>HYPERLINK("http://www.rosaceae.org/gb/gbrowse/malus_x_domestica/?name=MDP0000243825","MDP0000243825")</f>
        <v>MDP0000243825</v>
      </c>
      <c r="D2286">
        <v>73.33</v>
      </c>
      <c r="E2286">
        <v>120</v>
      </c>
      <c r="F2286">
        <v>32</v>
      </c>
      <c r="G2286">
        <v>6</v>
      </c>
      <c r="H2286">
        <v>1</v>
      </c>
      <c r="I2286">
        <v>115</v>
      </c>
      <c r="J2286">
        <v>1</v>
      </c>
      <c r="K2286">
        <v>416</v>
      </c>
      <c r="L2286">
        <v>534</v>
      </c>
      <c r="M2286">
        <v>1</v>
      </c>
      <c r="N2286">
        <v>5.7557199999999997E-46</v>
      </c>
      <c r="O2286">
        <v>463</v>
      </c>
    </row>
    <row r="2287" spans="1:15" x14ac:dyDescent="0.25">
      <c r="A2287" t="s">
        <v>2300</v>
      </c>
      <c r="B2287">
        <v>778</v>
      </c>
      <c r="C2287" s="1" t="str">
        <f>HYPERLINK("http://www.rosaceae.org/gb/gbrowse/malus_x_domestica/?name=MDP0000301871","MDP0000301871")</f>
        <v>MDP0000301871</v>
      </c>
      <c r="D2287">
        <v>57.87</v>
      </c>
      <c r="E2287">
        <v>622</v>
      </c>
      <c r="F2287">
        <v>262</v>
      </c>
      <c r="G2287">
        <v>91</v>
      </c>
      <c r="H2287">
        <v>1</v>
      </c>
      <c r="I2287">
        <v>566</v>
      </c>
      <c r="J2287">
        <v>1</v>
      </c>
      <c r="K2287">
        <v>1</v>
      </c>
      <c r="L2287">
        <v>587</v>
      </c>
      <c r="M2287">
        <v>1</v>
      </c>
      <c r="N2287">
        <v>0</v>
      </c>
      <c r="O2287">
        <v>1647</v>
      </c>
    </row>
    <row r="2288" spans="1:15" x14ac:dyDescent="0.25">
      <c r="A2288" t="s">
        <v>2301</v>
      </c>
      <c r="B2288">
        <v>866</v>
      </c>
      <c r="C2288" s="1" t="str">
        <f>HYPERLINK("http://www.rosaceae.org/gb/gbrowse/malus_x_domestica/?name=MDP0000126130","MDP0000126130")</f>
        <v>MDP0000126130</v>
      </c>
      <c r="D2288">
        <v>88.61</v>
      </c>
      <c r="E2288">
        <v>202</v>
      </c>
      <c r="F2288">
        <v>23</v>
      </c>
      <c r="G2288">
        <v>2</v>
      </c>
      <c r="H2288">
        <v>665</v>
      </c>
      <c r="I2288">
        <v>866</v>
      </c>
      <c r="J2288">
        <v>1</v>
      </c>
      <c r="K2288">
        <v>91</v>
      </c>
      <c r="L2288">
        <v>290</v>
      </c>
      <c r="M2288">
        <v>1</v>
      </c>
      <c r="N2288">
        <v>2.0835899999999999E-97</v>
      </c>
      <c r="O2288">
        <v>909</v>
      </c>
    </row>
    <row r="2289" spans="1:15" x14ac:dyDescent="0.25">
      <c r="A2289" t="s">
        <v>2302</v>
      </c>
      <c r="B2289">
        <v>130</v>
      </c>
      <c r="C2289" s="1" t="str">
        <f>HYPERLINK("http://www.rosaceae.org/gb/gbrowse/malus_x_domestica/?name=MDP0000281114","MDP0000281114")</f>
        <v>MDP0000281114</v>
      </c>
      <c r="D2289">
        <v>70.33</v>
      </c>
      <c r="E2289">
        <v>118</v>
      </c>
      <c r="F2289">
        <v>35</v>
      </c>
      <c r="G2289">
        <v>6</v>
      </c>
      <c r="H2289">
        <v>1</v>
      </c>
      <c r="I2289">
        <v>118</v>
      </c>
      <c r="J2289">
        <v>1</v>
      </c>
      <c r="K2289">
        <v>1</v>
      </c>
      <c r="L2289">
        <v>112</v>
      </c>
      <c r="M2289">
        <v>1</v>
      </c>
      <c r="N2289">
        <v>2.8442700000000001E-40</v>
      </c>
      <c r="O2289">
        <v>405</v>
      </c>
    </row>
    <row r="2290" spans="1:15" x14ac:dyDescent="0.25">
      <c r="A2290" t="s">
        <v>2303</v>
      </c>
      <c r="B2290">
        <v>864</v>
      </c>
      <c r="C2290" s="1" t="str">
        <f>HYPERLINK("http://www.rosaceae.org/gb/gbrowse/malus_x_domestica/?name=MDP0000191261","MDP0000191261")</f>
        <v>MDP0000191261</v>
      </c>
      <c r="D2290">
        <v>70.78</v>
      </c>
      <c r="E2290">
        <v>178</v>
      </c>
      <c r="F2290">
        <v>52</v>
      </c>
      <c r="G2290">
        <v>0</v>
      </c>
      <c r="H2290">
        <v>1</v>
      </c>
      <c r="I2290">
        <v>178</v>
      </c>
      <c r="J2290">
        <v>1</v>
      </c>
      <c r="K2290">
        <v>1</v>
      </c>
      <c r="L2290">
        <v>178</v>
      </c>
      <c r="M2290">
        <v>1</v>
      </c>
      <c r="N2290">
        <v>4.28859E-73</v>
      </c>
      <c r="O2290">
        <v>699</v>
      </c>
    </row>
    <row r="2291" spans="1:15" x14ac:dyDescent="0.25">
      <c r="A2291" t="s">
        <v>2304</v>
      </c>
      <c r="B2291">
        <v>556</v>
      </c>
      <c r="C2291" s="1" t="str">
        <f>HYPERLINK("http://www.rosaceae.org/gb/gbrowse/malus_x_domestica/?name=MDP0000811085","MDP0000811085")</f>
        <v>MDP0000811085</v>
      </c>
      <c r="D2291">
        <v>43.32</v>
      </c>
      <c r="E2291">
        <v>427</v>
      </c>
      <c r="F2291">
        <v>242</v>
      </c>
      <c r="G2291">
        <v>47</v>
      </c>
      <c r="H2291">
        <v>160</v>
      </c>
      <c r="I2291">
        <v>555</v>
      </c>
      <c r="J2291">
        <v>1</v>
      </c>
      <c r="K2291">
        <v>2</v>
      </c>
      <c r="L2291">
        <v>412</v>
      </c>
      <c r="M2291">
        <v>1</v>
      </c>
      <c r="N2291">
        <v>3.3043099999999998E-81</v>
      </c>
      <c r="O2291">
        <v>767</v>
      </c>
    </row>
    <row r="2292" spans="1:15" x14ac:dyDescent="0.25">
      <c r="A2292" t="s">
        <v>2305</v>
      </c>
      <c r="B2292">
        <v>1234</v>
      </c>
      <c r="C2292" s="1" t="str">
        <f>HYPERLINK("http://www.rosaceae.org/gb/gbrowse/malus_x_domestica/?name=MDP0000150871","MDP0000150871")</f>
        <v>MDP0000150871</v>
      </c>
      <c r="D2292">
        <v>48.9</v>
      </c>
      <c r="E2292">
        <v>1096</v>
      </c>
      <c r="F2292">
        <v>560</v>
      </c>
      <c r="G2292">
        <v>167</v>
      </c>
      <c r="H2292">
        <v>241</v>
      </c>
      <c r="I2292">
        <v>1233</v>
      </c>
      <c r="J2292">
        <v>1</v>
      </c>
      <c r="K2292">
        <v>21</v>
      </c>
      <c r="L2292">
        <v>1052</v>
      </c>
      <c r="M2292">
        <v>1</v>
      </c>
      <c r="N2292">
        <v>0</v>
      </c>
      <c r="O2292">
        <v>2220</v>
      </c>
    </row>
    <row r="2293" spans="1:15" x14ac:dyDescent="0.25">
      <c r="A2293" t="s">
        <v>2306</v>
      </c>
      <c r="B2293">
        <v>200</v>
      </c>
      <c r="C2293" s="1" t="str">
        <f>HYPERLINK("http://www.rosaceae.org/gb/gbrowse/malus_x_domestica/?name=MDP0000933608","MDP0000933608")</f>
        <v>MDP0000933608</v>
      </c>
      <c r="D2293">
        <v>51.67</v>
      </c>
      <c r="E2293">
        <v>209</v>
      </c>
      <c r="F2293">
        <v>101</v>
      </c>
      <c r="G2293">
        <v>21</v>
      </c>
      <c r="H2293">
        <v>1</v>
      </c>
      <c r="I2293">
        <v>200</v>
      </c>
      <c r="J2293">
        <v>1</v>
      </c>
      <c r="K2293">
        <v>1</v>
      </c>
      <c r="L2293">
        <v>197</v>
      </c>
      <c r="M2293">
        <v>1</v>
      </c>
      <c r="N2293">
        <v>2.0074899999999999E-39</v>
      </c>
      <c r="O2293">
        <v>402</v>
      </c>
    </row>
    <row r="2294" spans="1:15" x14ac:dyDescent="0.25">
      <c r="A2294" t="s">
        <v>2307</v>
      </c>
      <c r="B2294">
        <v>334</v>
      </c>
      <c r="C2294" s="1" t="str">
        <f>HYPERLINK("http://www.rosaceae.org/gb/gbrowse/malus_x_domestica/?name=MDP0000305219","MDP0000305219")</f>
        <v>MDP0000305219</v>
      </c>
      <c r="D2294">
        <v>34.75</v>
      </c>
      <c r="E2294">
        <v>328</v>
      </c>
      <c r="F2294">
        <v>214</v>
      </c>
      <c r="G2294">
        <v>63</v>
      </c>
      <c r="H2294">
        <v>53</v>
      </c>
      <c r="I2294">
        <v>333</v>
      </c>
      <c r="J2294">
        <v>1</v>
      </c>
      <c r="K2294">
        <v>95</v>
      </c>
      <c r="L2294">
        <v>406</v>
      </c>
      <c r="M2294">
        <v>1</v>
      </c>
      <c r="N2294">
        <v>2.2990500000000001E-26</v>
      </c>
      <c r="O2294">
        <v>292</v>
      </c>
    </row>
    <row r="2295" spans="1:15" x14ac:dyDescent="0.25">
      <c r="A2295" t="s">
        <v>2308</v>
      </c>
      <c r="B2295">
        <v>611</v>
      </c>
      <c r="C2295" s="1" t="str">
        <f>HYPERLINK("http://www.rosaceae.org/gb/gbrowse/malus_x_domestica/?name=MDP0000307797","MDP0000307797")</f>
        <v>MDP0000307797</v>
      </c>
      <c r="D2295">
        <v>62.9</v>
      </c>
      <c r="E2295">
        <v>550</v>
      </c>
      <c r="F2295">
        <v>204</v>
      </c>
      <c r="G2295">
        <v>31</v>
      </c>
      <c r="H2295">
        <v>1</v>
      </c>
      <c r="I2295">
        <v>519</v>
      </c>
      <c r="J2295">
        <v>1</v>
      </c>
      <c r="K2295">
        <v>1</v>
      </c>
      <c r="L2295">
        <v>550</v>
      </c>
      <c r="M2295">
        <v>1</v>
      </c>
      <c r="N2295">
        <v>1.5145299999999999E-179</v>
      </c>
      <c r="O2295">
        <v>1616</v>
      </c>
    </row>
    <row r="2296" spans="1:15" x14ac:dyDescent="0.25">
      <c r="A2296" t="s">
        <v>2309</v>
      </c>
      <c r="B2296">
        <v>679</v>
      </c>
      <c r="C2296" s="1" t="str">
        <f>HYPERLINK("http://www.rosaceae.org/gb/gbrowse/malus_x_domestica/?name=MDP0000199578","MDP0000199578")</f>
        <v>MDP0000199578</v>
      </c>
      <c r="D2296">
        <v>91.59</v>
      </c>
      <c r="E2296">
        <v>678</v>
      </c>
      <c r="F2296">
        <v>57</v>
      </c>
      <c r="G2296">
        <v>0</v>
      </c>
      <c r="H2296">
        <v>1</v>
      </c>
      <c r="I2296">
        <v>678</v>
      </c>
      <c r="J2296">
        <v>1</v>
      </c>
      <c r="K2296">
        <v>32</v>
      </c>
      <c r="L2296">
        <v>709</v>
      </c>
      <c r="M2296">
        <v>1</v>
      </c>
      <c r="N2296">
        <v>0</v>
      </c>
      <c r="O2296">
        <v>3367</v>
      </c>
    </row>
    <row r="2297" spans="1:15" x14ac:dyDescent="0.25">
      <c r="A2297" t="s">
        <v>2310</v>
      </c>
      <c r="B2297">
        <v>473</v>
      </c>
      <c r="C2297" s="1" t="str">
        <f>HYPERLINK("http://www.rosaceae.org/gb/gbrowse/malus_x_domestica/?name=MDP0000458279","MDP0000458279")</f>
        <v>MDP0000458279</v>
      </c>
      <c r="D2297">
        <v>50.55</v>
      </c>
      <c r="E2297">
        <v>447</v>
      </c>
      <c r="F2297">
        <v>221</v>
      </c>
      <c r="G2297">
        <v>36</v>
      </c>
      <c r="H2297">
        <v>1</v>
      </c>
      <c r="I2297">
        <v>440</v>
      </c>
      <c r="J2297">
        <v>1</v>
      </c>
      <c r="K2297">
        <v>1</v>
      </c>
      <c r="L2297">
        <v>418</v>
      </c>
      <c r="M2297">
        <v>1</v>
      </c>
      <c r="N2297">
        <v>6.1874300000000004E-103</v>
      </c>
      <c r="O2297">
        <v>954</v>
      </c>
    </row>
    <row r="2298" spans="1:15" x14ac:dyDescent="0.25">
      <c r="A2298" t="s">
        <v>2311</v>
      </c>
      <c r="B2298">
        <v>297</v>
      </c>
      <c r="C2298" s="1" t="str">
        <f>HYPERLINK("http://www.rosaceae.org/gb/gbrowse/malus_x_domestica/?name=MDP0000191469","MDP0000191469")</f>
        <v>MDP0000191469</v>
      </c>
      <c r="D2298">
        <v>56.11</v>
      </c>
      <c r="E2298">
        <v>319</v>
      </c>
      <c r="F2298">
        <v>140</v>
      </c>
      <c r="G2298">
        <v>55</v>
      </c>
      <c r="H2298">
        <v>12</v>
      </c>
      <c r="I2298">
        <v>279</v>
      </c>
      <c r="J2298">
        <v>1</v>
      </c>
      <c r="K2298">
        <v>65</v>
      </c>
      <c r="L2298">
        <v>379</v>
      </c>
      <c r="M2298">
        <v>1</v>
      </c>
      <c r="N2298">
        <v>1.1988300000000001E-86</v>
      </c>
      <c r="O2298">
        <v>811</v>
      </c>
    </row>
    <row r="2299" spans="1:15" x14ac:dyDescent="0.25">
      <c r="A2299" t="s">
        <v>2312</v>
      </c>
      <c r="B2299">
        <v>519</v>
      </c>
      <c r="C2299" s="1" t="str">
        <f>HYPERLINK("http://www.rosaceae.org/gb/gbrowse/malus_x_domestica/?name=MDP0000617016","MDP0000617016")</f>
        <v>MDP0000617016</v>
      </c>
      <c r="D2299">
        <v>71.59</v>
      </c>
      <c r="E2299">
        <v>528</v>
      </c>
      <c r="F2299">
        <v>150</v>
      </c>
      <c r="G2299">
        <v>28</v>
      </c>
      <c r="H2299">
        <v>1</v>
      </c>
      <c r="I2299">
        <v>519</v>
      </c>
      <c r="J2299">
        <v>1</v>
      </c>
      <c r="K2299">
        <v>162</v>
      </c>
      <c r="L2299">
        <v>670</v>
      </c>
      <c r="M2299">
        <v>1</v>
      </c>
      <c r="N2299">
        <v>0</v>
      </c>
      <c r="O2299">
        <v>1849</v>
      </c>
    </row>
    <row r="2300" spans="1:15" x14ac:dyDescent="0.25">
      <c r="A2300" t="s">
        <v>2313</v>
      </c>
      <c r="B2300">
        <v>803</v>
      </c>
      <c r="C2300" s="1" t="str">
        <f>HYPERLINK("http://www.rosaceae.org/gb/gbrowse/malus_x_domestica/?name=MDP0000162365","MDP0000162365")</f>
        <v>MDP0000162365</v>
      </c>
      <c r="D2300">
        <v>43.1</v>
      </c>
      <c r="E2300">
        <v>464</v>
      </c>
      <c r="F2300">
        <v>264</v>
      </c>
      <c r="G2300">
        <v>28</v>
      </c>
      <c r="H2300">
        <v>126</v>
      </c>
      <c r="I2300">
        <v>563</v>
      </c>
      <c r="J2300">
        <v>1</v>
      </c>
      <c r="K2300">
        <v>91</v>
      </c>
      <c r="L2300">
        <v>552</v>
      </c>
      <c r="M2300">
        <v>1</v>
      </c>
      <c r="N2300">
        <v>2.7030499999999999E-107</v>
      </c>
      <c r="O2300">
        <v>994</v>
      </c>
    </row>
    <row r="2301" spans="1:15" x14ac:dyDescent="0.25">
      <c r="A2301" t="s">
        <v>2314</v>
      </c>
      <c r="B2301">
        <v>275</v>
      </c>
      <c r="C2301" s="1" t="str">
        <f>HYPERLINK("http://www.rosaceae.org/gb/gbrowse/malus_x_domestica/?name=MDP0000284119","MDP0000284119")</f>
        <v>MDP0000284119</v>
      </c>
      <c r="D2301">
        <v>70.5</v>
      </c>
      <c r="E2301">
        <v>278</v>
      </c>
      <c r="F2301">
        <v>82</v>
      </c>
      <c r="G2301">
        <v>30</v>
      </c>
      <c r="H2301">
        <v>1</v>
      </c>
      <c r="I2301">
        <v>275</v>
      </c>
      <c r="J2301">
        <v>1</v>
      </c>
      <c r="K2301">
        <v>40</v>
      </c>
      <c r="L2301">
        <v>290</v>
      </c>
      <c r="M2301">
        <v>1</v>
      </c>
      <c r="N2301">
        <v>4.1878799999999999E-109</v>
      </c>
      <c r="O2301">
        <v>1004</v>
      </c>
    </row>
    <row r="2302" spans="1:15" x14ac:dyDescent="0.25">
      <c r="A2302" t="s">
        <v>2315</v>
      </c>
      <c r="B2302">
        <v>195</v>
      </c>
      <c r="C2302" s="1" t="str">
        <f>HYPERLINK("http://www.rosaceae.org/gb/gbrowse/malus_x_domestica/?name=MDP0000548690","MDP0000548690")</f>
        <v>MDP0000548690</v>
      </c>
      <c r="D2302">
        <v>32.97</v>
      </c>
      <c r="E2302">
        <v>188</v>
      </c>
      <c r="F2302">
        <v>126</v>
      </c>
      <c r="G2302">
        <v>59</v>
      </c>
      <c r="H2302">
        <v>15</v>
      </c>
      <c r="I2302">
        <v>195</v>
      </c>
      <c r="J2302">
        <v>1</v>
      </c>
      <c r="K2302">
        <v>136</v>
      </c>
      <c r="L2302">
        <v>271</v>
      </c>
      <c r="M2302">
        <v>1</v>
      </c>
      <c r="N2302">
        <v>1.24354E-21</v>
      </c>
      <c r="O2302">
        <v>248</v>
      </c>
    </row>
    <row r="2303" spans="1:15" x14ac:dyDescent="0.25">
      <c r="A2303" t="s">
        <v>2316</v>
      </c>
      <c r="B2303">
        <v>288</v>
      </c>
      <c r="C2303" s="1" t="str">
        <f>HYPERLINK("http://www.rosaceae.org/gb/gbrowse/malus_x_domestica/?name=MDP0000321050","MDP0000321050")</f>
        <v>MDP0000321050</v>
      </c>
      <c r="D2303">
        <v>41.46</v>
      </c>
      <c r="E2303">
        <v>246</v>
      </c>
      <c r="F2303">
        <v>144</v>
      </c>
      <c r="G2303">
        <v>25</v>
      </c>
      <c r="H2303">
        <v>5</v>
      </c>
      <c r="I2303">
        <v>237</v>
      </c>
      <c r="J2303">
        <v>1</v>
      </c>
      <c r="K2303">
        <v>290</v>
      </c>
      <c r="L2303">
        <v>523</v>
      </c>
      <c r="M2303">
        <v>1</v>
      </c>
      <c r="N2303">
        <v>3.0467300000000002E-46</v>
      </c>
      <c r="O2303">
        <v>463</v>
      </c>
    </row>
    <row r="2304" spans="1:15" x14ac:dyDescent="0.25">
      <c r="A2304" t="s">
        <v>2317</v>
      </c>
      <c r="B2304">
        <v>507</v>
      </c>
      <c r="C2304" s="1" t="str">
        <f>HYPERLINK("http://www.rosaceae.org/gb/gbrowse/malus_x_domestica/?name=MDP0000250455","MDP0000250455")</f>
        <v>MDP0000250455</v>
      </c>
      <c r="D2304">
        <v>41.96</v>
      </c>
      <c r="E2304">
        <v>336</v>
      </c>
      <c r="F2304">
        <v>195</v>
      </c>
      <c r="G2304">
        <v>40</v>
      </c>
      <c r="H2304">
        <v>154</v>
      </c>
      <c r="I2304">
        <v>474</v>
      </c>
      <c r="J2304">
        <v>1</v>
      </c>
      <c r="K2304">
        <v>560</v>
      </c>
      <c r="L2304">
        <v>870</v>
      </c>
      <c r="M2304">
        <v>1</v>
      </c>
      <c r="N2304">
        <v>1.4800599999999999E-55</v>
      </c>
      <c r="O2304">
        <v>546</v>
      </c>
    </row>
    <row r="2305" spans="1:15" x14ac:dyDescent="0.25">
      <c r="A2305" t="s">
        <v>2318</v>
      </c>
      <c r="B2305">
        <v>423</v>
      </c>
      <c r="C2305" s="1" t="str">
        <f>HYPERLINK("http://www.rosaceae.org/gb/gbrowse/malus_x_domestica/?name=MDP0000184518","MDP0000184518")</f>
        <v>MDP0000184518</v>
      </c>
      <c r="D2305">
        <v>47.93</v>
      </c>
      <c r="E2305">
        <v>315</v>
      </c>
      <c r="F2305">
        <v>164</v>
      </c>
      <c r="G2305">
        <v>43</v>
      </c>
      <c r="H2305">
        <v>33</v>
      </c>
      <c r="I2305">
        <v>305</v>
      </c>
      <c r="J2305">
        <v>1</v>
      </c>
      <c r="K2305">
        <v>109</v>
      </c>
      <c r="L2305">
        <v>422</v>
      </c>
      <c r="M2305">
        <v>1</v>
      </c>
      <c r="N2305">
        <v>1.13795E-79</v>
      </c>
      <c r="O2305">
        <v>753</v>
      </c>
    </row>
    <row r="2306" spans="1:15" x14ac:dyDescent="0.25">
      <c r="A2306" t="s">
        <v>2319</v>
      </c>
      <c r="B2306">
        <v>377</v>
      </c>
      <c r="C2306" s="1" t="str">
        <f>HYPERLINK("http://www.rosaceae.org/gb/gbrowse/malus_x_domestica/?name=MDP0000845124","MDP0000845124")</f>
        <v>MDP0000845124</v>
      </c>
      <c r="D2306">
        <v>26.51</v>
      </c>
      <c r="E2306">
        <v>264</v>
      </c>
      <c r="F2306">
        <v>194</v>
      </c>
      <c r="G2306">
        <v>18</v>
      </c>
      <c r="H2306">
        <v>87</v>
      </c>
      <c r="I2306">
        <v>340</v>
      </c>
      <c r="J2306">
        <v>1</v>
      </c>
      <c r="K2306">
        <v>68</v>
      </c>
      <c r="L2306">
        <v>323</v>
      </c>
      <c r="M2306">
        <v>1</v>
      </c>
      <c r="N2306">
        <v>3.6673599999999999E-17</v>
      </c>
      <c r="O2306">
        <v>213</v>
      </c>
    </row>
    <row r="2307" spans="1:15" x14ac:dyDescent="0.25">
      <c r="A2307" t="s">
        <v>2320</v>
      </c>
      <c r="B2307">
        <v>413</v>
      </c>
      <c r="C2307" s="1" t="str">
        <f>HYPERLINK("http://www.rosaceae.org/gb/gbrowse/malus_x_domestica/?name=MDP0000380331","MDP0000380331")</f>
        <v>MDP0000380331</v>
      </c>
      <c r="D2307">
        <v>85.18</v>
      </c>
      <c r="E2307">
        <v>297</v>
      </c>
      <c r="F2307">
        <v>44</v>
      </c>
      <c r="G2307">
        <v>25</v>
      </c>
      <c r="H2307">
        <v>1</v>
      </c>
      <c r="I2307">
        <v>283</v>
      </c>
      <c r="J2307">
        <v>1</v>
      </c>
      <c r="K2307">
        <v>1</v>
      </c>
      <c r="L2307">
        <v>286</v>
      </c>
      <c r="M2307">
        <v>1</v>
      </c>
      <c r="N2307">
        <v>4.0068500000000003E-145</v>
      </c>
      <c r="O2307">
        <v>1317</v>
      </c>
    </row>
    <row r="2308" spans="1:15" x14ac:dyDescent="0.25">
      <c r="A2308" t="s">
        <v>2321</v>
      </c>
      <c r="B2308">
        <v>735</v>
      </c>
      <c r="C2308" s="1" t="str">
        <f>HYPERLINK("http://www.rosaceae.org/gb/gbrowse/malus_x_domestica/?name=MDP0000482565","MDP0000482565")</f>
        <v>MDP0000482565</v>
      </c>
      <c r="D2308">
        <v>52.03</v>
      </c>
      <c r="E2308">
        <v>590</v>
      </c>
      <c r="F2308">
        <v>283</v>
      </c>
      <c r="G2308">
        <v>6</v>
      </c>
      <c r="H2308">
        <v>149</v>
      </c>
      <c r="I2308">
        <v>733</v>
      </c>
      <c r="J2308">
        <v>1</v>
      </c>
      <c r="K2308">
        <v>141</v>
      </c>
      <c r="L2308">
        <v>729</v>
      </c>
      <c r="M2308">
        <v>1</v>
      </c>
      <c r="N2308">
        <v>3.4236799999999998E-162</v>
      </c>
      <c r="O2308">
        <v>1467</v>
      </c>
    </row>
    <row r="2309" spans="1:15" x14ac:dyDescent="0.25">
      <c r="A2309" t="s">
        <v>2322</v>
      </c>
      <c r="B2309">
        <v>214</v>
      </c>
      <c r="C2309" s="1" t="str">
        <f>HYPERLINK("http://www.rosaceae.org/gb/gbrowse/malus_x_domestica/?name=MDP0000205603","MDP0000205603")</f>
        <v>MDP0000205603</v>
      </c>
      <c r="D2309">
        <v>48.21</v>
      </c>
      <c r="E2309">
        <v>56</v>
      </c>
      <c r="F2309">
        <v>29</v>
      </c>
      <c r="G2309">
        <v>0</v>
      </c>
      <c r="H2309">
        <v>81</v>
      </c>
      <c r="I2309">
        <v>136</v>
      </c>
      <c r="J2309">
        <v>1</v>
      </c>
      <c r="K2309">
        <v>64</v>
      </c>
      <c r="L2309">
        <v>119</v>
      </c>
      <c r="M2309">
        <v>1</v>
      </c>
      <c r="N2309">
        <v>4.1815999999999998E-10</v>
      </c>
      <c r="O2309">
        <v>149</v>
      </c>
    </row>
    <row r="2310" spans="1:15" x14ac:dyDescent="0.25">
      <c r="A2310" t="s">
        <v>2323</v>
      </c>
      <c r="B2310">
        <v>133</v>
      </c>
      <c r="C2310" s="1" t="str">
        <f>HYPERLINK("http://www.rosaceae.org/gb/gbrowse/malus_x_domestica/?name=MDP0000665532","MDP0000665532")</f>
        <v>MDP0000665532</v>
      </c>
      <c r="D2310">
        <v>62.87</v>
      </c>
      <c r="E2310">
        <v>132</v>
      </c>
      <c r="F2310">
        <v>49</v>
      </c>
      <c r="G2310">
        <v>0</v>
      </c>
      <c r="H2310">
        <v>2</v>
      </c>
      <c r="I2310">
        <v>133</v>
      </c>
      <c r="J2310">
        <v>1</v>
      </c>
      <c r="K2310">
        <v>36</v>
      </c>
      <c r="L2310">
        <v>167</v>
      </c>
      <c r="M2310">
        <v>1</v>
      </c>
      <c r="N2310">
        <v>7.02262E-47</v>
      </c>
      <c r="O2310">
        <v>463</v>
      </c>
    </row>
    <row r="2311" spans="1:15" x14ac:dyDescent="0.25">
      <c r="A2311" t="s">
        <v>2324</v>
      </c>
      <c r="B2311">
        <v>779</v>
      </c>
      <c r="C2311" s="1" t="str">
        <f>HYPERLINK("http://www.rosaceae.org/gb/gbrowse/malus_x_domestica/?name=MDP0000189315","MDP0000189315")</f>
        <v>MDP0000189315</v>
      </c>
      <c r="D2311">
        <v>65.209999999999994</v>
      </c>
      <c r="E2311">
        <v>756</v>
      </c>
      <c r="F2311">
        <v>263</v>
      </c>
      <c r="G2311">
        <v>48</v>
      </c>
      <c r="H2311">
        <v>35</v>
      </c>
      <c r="I2311">
        <v>761</v>
      </c>
      <c r="J2311">
        <v>1</v>
      </c>
      <c r="K2311">
        <v>31</v>
      </c>
      <c r="L2311">
        <v>767</v>
      </c>
      <c r="M2311">
        <v>1</v>
      </c>
      <c r="N2311">
        <v>0</v>
      </c>
      <c r="O2311">
        <v>2397</v>
      </c>
    </row>
    <row r="2312" spans="1:15" x14ac:dyDescent="0.25">
      <c r="A2312" t="s">
        <v>2325</v>
      </c>
      <c r="B2312">
        <v>468</v>
      </c>
      <c r="C2312" s="1" t="str">
        <f>HYPERLINK("http://www.rosaceae.org/gb/gbrowse/malus_x_domestica/?name=MDP0000256723","MDP0000256723")</f>
        <v>MDP0000256723</v>
      </c>
      <c r="D2312">
        <v>26.71</v>
      </c>
      <c r="E2312">
        <v>262</v>
      </c>
      <c r="F2312">
        <v>192</v>
      </c>
      <c r="G2312">
        <v>41</v>
      </c>
      <c r="H2312">
        <v>6</v>
      </c>
      <c r="I2312">
        <v>231</v>
      </c>
      <c r="J2312">
        <v>1</v>
      </c>
      <c r="K2312">
        <v>319</v>
      </c>
      <c r="L2312">
        <v>575</v>
      </c>
      <c r="M2312">
        <v>1</v>
      </c>
      <c r="N2312">
        <v>3.00773E-11</v>
      </c>
      <c r="O2312">
        <v>163</v>
      </c>
    </row>
    <row r="2313" spans="1:15" x14ac:dyDescent="0.25">
      <c r="A2313" t="s">
        <v>2326</v>
      </c>
      <c r="B2313">
        <v>657</v>
      </c>
      <c r="C2313" s="1" t="str">
        <f>HYPERLINK("http://www.rosaceae.org/gb/gbrowse/malus_x_domestica/?name=MDP0000583704","MDP0000583704")</f>
        <v>MDP0000583704</v>
      </c>
      <c r="D2313">
        <v>48.71</v>
      </c>
      <c r="E2313">
        <v>349</v>
      </c>
      <c r="F2313">
        <v>179</v>
      </c>
      <c r="G2313">
        <v>15</v>
      </c>
      <c r="H2313">
        <v>28</v>
      </c>
      <c r="I2313">
        <v>374</v>
      </c>
      <c r="J2313">
        <v>1</v>
      </c>
      <c r="K2313">
        <v>56</v>
      </c>
      <c r="L2313">
        <v>391</v>
      </c>
      <c r="M2313">
        <v>1</v>
      </c>
      <c r="N2313">
        <v>2.1794400000000001E-70</v>
      </c>
      <c r="O2313">
        <v>675</v>
      </c>
    </row>
    <row r="2314" spans="1:15" x14ac:dyDescent="0.25">
      <c r="A2314" t="s">
        <v>2327</v>
      </c>
      <c r="B2314">
        <v>278</v>
      </c>
      <c r="C2314" s="1" t="str">
        <f>HYPERLINK("http://www.rosaceae.org/gb/gbrowse/malus_x_domestica/?name=MDP0000301544","MDP0000301544")</f>
        <v>MDP0000301544</v>
      </c>
      <c r="D2314">
        <v>77.61</v>
      </c>
      <c r="E2314">
        <v>268</v>
      </c>
      <c r="F2314">
        <v>60</v>
      </c>
      <c r="G2314">
        <v>4</v>
      </c>
      <c r="H2314">
        <v>15</v>
      </c>
      <c r="I2314">
        <v>278</v>
      </c>
      <c r="J2314">
        <v>1</v>
      </c>
      <c r="K2314">
        <v>20</v>
      </c>
      <c r="L2314">
        <v>287</v>
      </c>
      <c r="M2314">
        <v>1</v>
      </c>
      <c r="N2314">
        <v>1.45923E-121</v>
      </c>
      <c r="O2314">
        <v>1112</v>
      </c>
    </row>
    <row r="2315" spans="1:15" x14ac:dyDescent="0.25">
      <c r="A2315" t="s">
        <v>2328</v>
      </c>
      <c r="B2315">
        <v>205</v>
      </c>
      <c r="C2315" s="1" t="str">
        <f>HYPERLINK("http://www.rosaceae.org/gb/gbrowse/malus_x_domestica/?name=MDP0000683044","MDP0000683044")</f>
        <v>MDP0000683044</v>
      </c>
      <c r="D2315">
        <v>95</v>
      </c>
      <c r="E2315">
        <v>200</v>
      </c>
      <c r="F2315">
        <v>10</v>
      </c>
      <c r="G2315">
        <v>0</v>
      </c>
      <c r="H2315">
        <v>6</v>
      </c>
      <c r="I2315">
        <v>205</v>
      </c>
      <c r="J2315">
        <v>1</v>
      </c>
      <c r="K2315">
        <v>99</v>
      </c>
      <c r="L2315">
        <v>298</v>
      </c>
      <c r="M2315">
        <v>1</v>
      </c>
      <c r="N2315">
        <v>2.2339400000000001E-107</v>
      </c>
      <c r="O2315">
        <v>988</v>
      </c>
    </row>
    <row r="2316" spans="1:15" x14ac:dyDescent="0.25">
      <c r="A2316" t="s">
        <v>2329</v>
      </c>
      <c r="B2316">
        <v>66</v>
      </c>
      <c r="C2316" s="1" t="str">
        <f>HYPERLINK("http://www.rosaceae.org/gb/gbrowse/malus_x_domestica/?name=MDP0000272989","MDP0000272989")</f>
        <v>MDP0000272989</v>
      </c>
      <c r="D2316">
        <v>77.14</v>
      </c>
      <c r="E2316">
        <v>35</v>
      </c>
      <c r="F2316">
        <v>8</v>
      </c>
      <c r="G2316">
        <v>0</v>
      </c>
      <c r="H2316">
        <v>32</v>
      </c>
      <c r="I2316">
        <v>66</v>
      </c>
      <c r="J2316">
        <v>1</v>
      </c>
      <c r="K2316">
        <v>185</v>
      </c>
      <c r="L2316">
        <v>219</v>
      </c>
      <c r="M2316">
        <v>1</v>
      </c>
      <c r="N2316">
        <v>9.0717300000000001E-10</v>
      </c>
      <c r="O2316">
        <v>142</v>
      </c>
    </row>
    <row r="2317" spans="1:15" x14ac:dyDescent="0.25">
      <c r="A2317" t="s">
        <v>2330</v>
      </c>
      <c r="B2317">
        <v>108</v>
      </c>
      <c r="C2317" s="1" t="str">
        <f>HYPERLINK("http://www.rosaceae.org/gb/gbrowse/malus_x_domestica/?name=MDP0000767578","MDP0000767578")</f>
        <v>MDP0000767578</v>
      </c>
      <c r="D2317">
        <v>49.54</v>
      </c>
      <c r="E2317">
        <v>111</v>
      </c>
      <c r="F2317">
        <v>56</v>
      </c>
      <c r="G2317">
        <v>8</v>
      </c>
      <c r="H2317">
        <v>1</v>
      </c>
      <c r="I2317">
        <v>108</v>
      </c>
      <c r="J2317">
        <v>1</v>
      </c>
      <c r="K2317">
        <v>1</v>
      </c>
      <c r="L2317">
        <v>106</v>
      </c>
      <c r="M2317">
        <v>1</v>
      </c>
      <c r="N2317">
        <v>4.1725699999999999E-22</v>
      </c>
      <c r="O2317">
        <v>248</v>
      </c>
    </row>
    <row r="2318" spans="1:15" x14ac:dyDescent="0.25">
      <c r="A2318" t="s">
        <v>2331</v>
      </c>
      <c r="B2318">
        <v>92</v>
      </c>
      <c r="C2318" s="1" t="str">
        <f>HYPERLINK("http://www.rosaceae.org/gb/gbrowse/malus_x_domestica/?name=MDP0000206932","MDP0000206932")</f>
        <v>MDP0000206932</v>
      </c>
      <c r="D2318">
        <v>86.2</v>
      </c>
      <c r="E2318">
        <v>29</v>
      </c>
      <c r="F2318">
        <v>4</v>
      </c>
      <c r="G2318">
        <v>0</v>
      </c>
      <c r="H2318">
        <v>1</v>
      </c>
      <c r="I2318">
        <v>29</v>
      </c>
      <c r="J2318">
        <v>1</v>
      </c>
      <c r="K2318">
        <v>1</v>
      </c>
      <c r="L2318">
        <v>29</v>
      </c>
      <c r="M2318">
        <v>1</v>
      </c>
      <c r="N2318">
        <v>5.6544099999999997E-10</v>
      </c>
      <c r="O2318">
        <v>143</v>
      </c>
    </row>
    <row r="2319" spans="1:15" x14ac:dyDescent="0.25">
      <c r="A2319" t="s">
        <v>2332</v>
      </c>
      <c r="B2319">
        <v>243</v>
      </c>
      <c r="C2319" s="1" t="str">
        <f>HYPERLINK("http://www.rosaceae.org/gb/gbrowse/malus_x_domestica/?name=MDP0000710422","MDP0000710422")</f>
        <v>MDP0000710422</v>
      </c>
      <c r="D2319">
        <v>57.46</v>
      </c>
      <c r="E2319">
        <v>134</v>
      </c>
      <c r="F2319">
        <v>57</v>
      </c>
      <c r="G2319">
        <v>1</v>
      </c>
      <c r="H2319">
        <v>110</v>
      </c>
      <c r="I2319">
        <v>243</v>
      </c>
      <c r="J2319">
        <v>1</v>
      </c>
      <c r="K2319">
        <v>177</v>
      </c>
      <c r="L2319">
        <v>309</v>
      </c>
      <c r="M2319">
        <v>1</v>
      </c>
      <c r="N2319">
        <v>9.1227499999999997E-36</v>
      </c>
      <c r="O2319">
        <v>371</v>
      </c>
    </row>
    <row r="2320" spans="1:15" x14ac:dyDescent="0.25">
      <c r="A2320" t="s">
        <v>2333</v>
      </c>
      <c r="B2320">
        <v>500</v>
      </c>
      <c r="C2320" s="1" t="str">
        <f>HYPERLINK("http://www.rosaceae.org/gb/gbrowse/malus_x_domestica/?name=MDP0000267128","MDP0000267128")</f>
        <v>MDP0000267128</v>
      </c>
      <c r="D2320">
        <v>36.6</v>
      </c>
      <c r="E2320">
        <v>112</v>
      </c>
      <c r="F2320">
        <v>71</v>
      </c>
      <c r="G2320">
        <v>8</v>
      </c>
      <c r="H2320">
        <v>43</v>
      </c>
      <c r="I2320">
        <v>154</v>
      </c>
      <c r="J2320">
        <v>1</v>
      </c>
      <c r="K2320">
        <v>696</v>
      </c>
      <c r="L2320">
        <v>799</v>
      </c>
      <c r="M2320">
        <v>1</v>
      </c>
      <c r="N2320">
        <v>1.53372E-15</v>
      </c>
      <c r="O2320">
        <v>200</v>
      </c>
    </row>
    <row r="2321" spans="1:15" x14ac:dyDescent="0.25">
      <c r="A2321" t="s">
        <v>2334</v>
      </c>
      <c r="B2321">
        <v>371</v>
      </c>
      <c r="C2321" s="1" t="str">
        <f>HYPERLINK("http://www.rosaceae.org/gb/gbrowse/malus_x_domestica/?name=MDP0000261025","MDP0000261025")</f>
        <v>MDP0000261025</v>
      </c>
      <c r="D2321">
        <v>40.98</v>
      </c>
      <c r="E2321">
        <v>61</v>
      </c>
      <c r="F2321">
        <v>36</v>
      </c>
      <c r="G2321">
        <v>0</v>
      </c>
      <c r="H2321">
        <v>299</v>
      </c>
      <c r="I2321">
        <v>359</v>
      </c>
      <c r="J2321">
        <v>1</v>
      </c>
      <c r="K2321">
        <v>1292</v>
      </c>
      <c r="L2321">
        <v>1352</v>
      </c>
      <c r="M2321">
        <v>1</v>
      </c>
      <c r="N2321">
        <v>9.3786500000000002E-11</v>
      </c>
      <c r="O2321">
        <v>158</v>
      </c>
    </row>
    <row r="2322" spans="1:15" x14ac:dyDescent="0.25">
      <c r="A2322" t="s">
        <v>2335</v>
      </c>
      <c r="B2322">
        <v>610</v>
      </c>
      <c r="C2322" s="1" t="str">
        <f>HYPERLINK("http://www.rosaceae.org/gb/gbrowse/malus_x_domestica/?name=MDP0000312590","MDP0000312590")</f>
        <v>MDP0000312590</v>
      </c>
      <c r="D2322">
        <v>61.75</v>
      </c>
      <c r="E2322">
        <v>400</v>
      </c>
      <c r="F2322">
        <v>153</v>
      </c>
      <c r="G2322">
        <v>21</v>
      </c>
      <c r="H2322">
        <v>211</v>
      </c>
      <c r="I2322">
        <v>610</v>
      </c>
      <c r="J2322">
        <v>1</v>
      </c>
      <c r="K2322">
        <v>1</v>
      </c>
      <c r="L2322">
        <v>379</v>
      </c>
      <c r="M2322">
        <v>1</v>
      </c>
      <c r="N2322">
        <v>9.15264E-126</v>
      </c>
      <c r="O2322">
        <v>1152</v>
      </c>
    </row>
    <row r="2323" spans="1:15" x14ac:dyDescent="0.25">
      <c r="A2323" t="s">
        <v>2336</v>
      </c>
      <c r="B2323">
        <v>255</v>
      </c>
      <c r="C2323" s="1" t="str">
        <f>HYPERLINK("http://www.rosaceae.org/gb/gbrowse/malus_x_domestica/?name=MDP0000250597","MDP0000250597")</f>
        <v>MDP0000250597</v>
      </c>
      <c r="D2323">
        <v>71.98</v>
      </c>
      <c r="E2323">
        <v>207</v>
      </c>
      <c r="F2323">
        <v>58</v>
      </c>
      <c r="G2323">
        <v>9</v>
      </c>
      <c r="H2323">
        <v>1</v>
      </c>
      <c r="I2323">
        <v>207</v>
      </c>
      <c r="J2323">
        <v>1</v>
      </c>
      <c r="K2323">
        <v>100</v>
      </c>
      <c r="L2323">
        <v>297</v>
      </c>
      <c r="M2323">
        <v>1</v>
      </c>
      <c r="N2323">
        <v>8.6863200000000002E-82</v>
      </c>
      <c r="O2323">
        <v>768</v>
      </c>
    </row>
    <row r="2324" spans="1:15" x14ac:dyDescent="0.25">
      <c r="A2324" t="s">
        <v>2337</v>
      </c>
      <c r="B2324">
        <v>275</v>
      </c>
      <c r="C2324" s="1" t="str">
        <f>HYPERLINK("http://www.rosaceae.org/gb/gbrowse/malus_x_domestica/?name=MDP0000253523","MDP0000253523")</f>
        <v>MDP0000253523</v>
      </c>
      <c r="D2324">
        <v>67.959999999999994</v>
      </c>
      <c r="E2324">
        <v>103</v>
      </c>
      <c r="F2324">
        <v>33</v>
      </c>
      <c r="G2324">
        <v>0</v>
      </c>
      <c r="H2324">
        <v>171</v>
      </c>
      <c r="I2324">
        <v>273</v>
      </c>
      <c r="J2324">
        <v>1</v>
      </c>
      <c r="K2324">
        <v>277</v>
      </c>
      <c r="L2324">
        <v>379</v>
      </c>
      <c r="M2324">
        <v>1</v>
      </c>
      <c r="N2324">
        <v>1.0526600000000001E-37</v>
      </c>
      <c r="O2324">
        <v>389</v>
      </c>
    </row>
    <row r="2325" spans="1:15" x14ac:dyDescent="0.25">
      <c r="A2325" t="s">
        <v>2338</v>
      </c>
      <c r="B2325">
        <v>349</v>
      </c>
      <c r="C2325" s="1" t="str">
        <f>HYPERLINK("http://www.rosaceae.org/gb/gbrowse/malus_x_domestica/?name=MDP0000154024","MDP0000154024")</f>
        <v>MDP0000154024</v>
      </c>
      <c r="D2325">
        <v>69.52</v>
      </c>
      <c r="E2325">
        <v>361</v>
      </c>
      <c r="F2325">
        <v>110</v>
      </c>
      <c r="G2325">
        <v>40</v>
      </c>
      <c r="H2325">
        <v>25</v>
      </c>
      <c r="I2325">
        <v>349</v>
      </c>
      <c r="J2325">
        <v>1</v>
      </c>
      <c r="K2325">
        <v>25</v>
      </c>
      <c r="L2325">
        <v>381</v>
      </c>
      <c r="M2325">
        <v>1</v>
      </c>
      <c r="N2325">
        <v>2.9749499999999998E-132</v>
      </c>
      <c r="O2325">
        <v>1205</v>
      </c>
    </row>
    <row r="2326" spans="1:15" x14ac:dyDescent="0.25">
      <c r="A2326" t="s">
        <v>2339</v>
      </c>
      <c r="B2326">
        <v>252</v>
      </c>
      <c r="C2326" s="1" t="str">
        <f>HYPERLINK("http://www.rosaceae.org/gb/gbrowse/malus_x_domestica/?name=MDP0000290966","MDP0000290966")</f>
        <v>MDP0000290966</v>
      </c>
      <c r="D2326">
        <v>33.979999999999997</v>
      </c>
      <c r="E2326">
        <v>153</v>
      </c>
      <c r="F2326">
        <v>101</v>
      </c>
      <c r="G2326">
        <v>1</v>
      </c>
      <c r="H2326">
        <v>92</v>
      </c>
      <c r="I2326">
        <v>243</v>
      </c>
      <c r="J2326">
        <v>1</v>
      </c>
      <c r="K2326">
        <v>133</v>
      </c>
      <c r="L2326">
        <v>285</v>
      </c>
      <c r="M2326">
        <v>1</v>
      </c>
      <c r="N2326">
        <v>4.1006400000000001E-13</v>
      </c>
      <c r="O2326">
        <v>176</v>
      </c>
    </row>
    <row r="2327" spans="1:15" x14ac:dyDescent="0.25">
      <c r="A2327" t="s">
        <v>2340</v>
      </c>
      <c r="B2327">
        <v>175</v>
      </c>
      <c r="C2327" s="1" t="str">
        <f>HYPERLINK("http://www.rosaceae.org/gb/gbrowse/malus_x_domestica/?name=MDP0000249846","MDP0000249846")</f>
        <v>MDP0000249846</v>
      </c>
      <c r="D2327">
        <v>47.22</v>
      </c>
      <c r="E2327">
        <v>180</v>
      </c>
      <c r="F2327">
        <v>95</v>
      </c>
      <c r="G2327">
        <v>48</v>
      </c>
      <c r="H2327">
        <v>1</v>
      </c>
      <c r="I2327">
        <v>175</v>
      </c>
      <c r="J2327">
        <v>1</v>
      </c>
      <c r="K2327">
        <v>8</v>
      </c>
      <c r="L2327">
        <v>144</v>
      </c>
      <c r="M2327">
        <v>1</v>
      </c>
      <c r="N2327">
        <v>2.3626500000000001E-31</v>
      </c>
      <c r="O2327">
        <v>331</v>
      </c>
    </row>
    <row r="2328" spans="1:15" x14ac:dyDescent="0.25">
      <c r="A2328" t="s">
        <v>2341</v>
      </c>
      <c r="B2328">
        <v>214</v>
      </c>
      <c r="C2328" s="1" t="str">
        <f>HYPERLINK("http://www.rosaceae.org/gb/gbrowse/malus_x_domestica/?name=MDP0000292177","MDP0000292177")</f>
        <v>MDP0000292177</v>
      </c>
      <c r="D2328">
        <v>89.55</v>
      </c>
      <c r="E2328">
        <v>67</v>
      </c>
      <c r="F2328">
        <v>7</v>
      </c>
      <c r="G2328">
        <v>0</v>
      </c>
      <c r="H2328">
        <v>105</v>
      </c>
      <c r="I2328">
        <v>171</v>
      </c>
      <c r="J2328">
        <v>1</v>
      </c>
      <c r="K2328">
        <v>67</v>
      </c>
      <c r="L2328">
        <v>133</v>
      </c>
      <c r="M2328">
        <v>1</v>
      </c>
      <c r="N2328">
        <v>4.7910000000000001E-30</v>
      </c>
      <c r="O2328">
        <v>321</v>
      </c>
    </row>
    <row r="2329" spans="1:15" x14ac:dyDescent="0.25">
      <c r="A2329" t="s">
        <v>2342</v>
      </c>
      <c r="B2329">
        <v>1698</v>
      </c>
      <c r="C2329" s="1" t="str">
        <f>HYPERLINK("http://www.rosaceae.org/gb/gbrowse/malus_x_domestica/?name=MDP0000255599","MDP0000255599")</f>
        <v>MDP0000255599</v>
      </c>
      <c r="D2329">
        <v>67.67</v>
      </c>
      <c r="E2329">
        <v>1720</v>
      </c>
      <c r="F2329">
        <v>556</v>
      </c>
      <c r="G2329">
        <v>32</v>
      </c>
      <c r="H2329">
        <v>6</v>
      </c>
      <c r="I2329">
        <v>1696</v>
      </c>
      <c r="J2329">
        <v>1</v>
      </c>
      <c r="K2329">
        <v>3</v>
      </c>
      <c r="L2329">
        <v>1719</v>
      </c>
      <c r="M2329">
        <v>1</v>
      </c>
      <c r="N2329">
        <v>0</v>
      </c>
      <c r="O2329">
        <v>6107</v>
      </c>
    </row>
    <row r="2330" spans="1:15" x14ac:dyDescent="0.25">
      <c r="A2330" t="s">
        <v>2343</v>
      </c>
      <c r="B2330">
        <v>632</v>
      </c>
      <c r="C2330" s="1" t="str">
        <f>HYPERLINK("http://www.rosaceae.org/gb/gbrowse/malus_x_domestica/?name=MDP0000175405","MDP0000175405")</f>
        <v>MDP0000175405</v>
      </c>
      <c r="D2330">
        <v>82.09</v>
      </c>
      <c r="E2330">
        <v>581</v>
      </c>
      <c r="F2330">
        <v>104</v>
      </c>
      <c r="G2330">
        <v>6</v>
      </c>
      <c r="H2330">
        <v>47</v>
      </c>
      <c r="I2330">
        <v>623</v>
      </c>
      <c r="J2330">
        <v>1</v>
      </c>
      <c r="K2330">
        <v>200</v>
      </c>
      <c r="L2330">
        <v>778</v>
      </c>
      <c r="M2330">
        <v>1</v>
      </c>
      <c r="N2330">
        <v>0</v>
      </c>
      <c r="O2330">
        <v>2535</v>
      </c>
    </row>
    <row r="2331" spans="1:15" x14ac:dyDescent="0.25">
      <c r="A2331" t="s">
        <v>2344</v>
      </c>
      <c r="B2331">
        <v>201</v>
      </c>
      <c r="C2331" s="1" t="str">
        <f>HYPERLINK("http://www.rosaceae.org/gb/gbrowse/malus_x_domestica/?name=MDP0000842264","MDP0000842264")</f>
        <v>MDP0000842264</v>
      </c>
      <c r="D2331">
        <v>82</v>
      </c>
      <c r="E2331">
        <v>50</v>
      </c>
      <c r="F2331">
        <v>9</v>
      </c>
      <c r="G2331">
        <v>0</v>
      </c>
      <c r="H2331">
        <v>152</v>
      </c>
      <c r="I2331">
        <v>201</v>
      </c>
      <c r="J2331">
        <v>1</v>
      </c>
      <c r="K2331">
        <v>154</v>
      </c>
      <c r="L2331">
        <v>203</v>
      </c>
      <c r="M2331">
        <v>1</v>
      </c>
      <c r="N2331">
        <v>7.6814199999999996E-20</v>
      </c>
      <c r="O2331">
        <v>233</v>
      </c>
    </row>
    <row r="2332" spans="1:15" x14ac:dyDescent="0.25">
      <c r="A2332" t="s">
        <v>2345</v>
      </c>
      <c r="B2332">
        <v>346</v>
      </c>
      <c r="C2332" s="1" t="str">
        <f>HYPERLINK("http://www.rosaceae.org/gb/gbrowse/malus_x_domestica/?name=MDP0000037080","MDP0000037080")</f>
        <v>MDP0000037080</v>
      </c>
      <c r="D2332">
        <v>84.92</v>
      </c>
      <c r="E2332">
        <v>272</v>
      </c>
      <c r="F2332">
        <v>41</v>
      </c>
      <c r="G2332">
        <v>2</v>
      </c>
      <c r="H2332">
        <v>1</v>
      </c>
      <c r="I2332">
        <v>270</v>
      </c>
      <c r="J2332">
        <v>1</v>
      </c>
      <c r="K2332">
        <v>1</v>
      </c>
      <c r="L2332">
        <v>272</v>
      </c>
      <c r="M2332">
        <v>1</v>
      </c>
      <c r="N2332">
        <v>1.85384E-138</v>
      </c>
      <c r="O2332">
        <v>1259</v>
      </c>
    </row>
    <row r="2333" spans="1:15" x14ac:dyDescent="0.25">
      <c r="A2333" t="s">
        <v>2346</v>
      </c>
      <c r="B2333">
        <v>313</v>
      </c>
      <c r="C2333" s="1" t="str">
        <f>HYPERLINK("http://www.rosaceae.org/gb/gbrowse/malus_x_domestica/?name=MDP0000223519","MDP0000223519")</f>
        <v>MDP0000223519</v>
      </c>
      <c r="D2333">
        <v>40.119999999999997</v>
      </c>
      <c r="E2333">
        <v>324</v>
      </c>
      <c r="F2333">
        <v>194</v>
      </c>
      <c r="G2333">
        <v>38</v>
      </c>
      <c r="H2333">
        <v>1</v>
      </c>
      <c r="I2333">
        <v>311</v>
      </c>
      <c r="J2333">
        <v>1</v>
      </c>
      <c r="K2333">
        <v>1</v>
      </c>
      <c r="L2333">
        <v>299</v>
      </c>
      <c r="M2333">
        <v>1</v>
      </c>
      <c r="N2333">
        <v>1.4955700000000001E-57</v>
      </c>
      <c r="O2333">
        <v>561</v>
      </c>
    </row>
    <row r="2334" spans="1:15" x14ac:dyDescent="0.25">
      <c r="A2334" t="s">
        <v>2347</v>
      </c>
      <c r="B2334">
        <v>309</v>
      </c>
      <c r="C2334" s="1" t="str">
        <f>HYPERLINK("http://www.rosaceae.org/gb/gbrowse/malus_x_domestica/?name=MDP0000231002","MDP0000231002")</f>
        <v>MDP0000231002</v>
      </c>
      <c r="D2334">
        <v>77.62</v>
      </c>
      <c r="E2334">
        <v>286</v>
      </c>
      <c r="F2334">
        <v>64</v>
      </c>
      <c r="G2334">
        <v>22</v>
      </c>
      <c r="H2334">
        <v>41</v>
      </c>
      <c r="I2334">
        <v>309</v>
      </c>
      <c r="J2334">
        <v>1</v>
      </c>
      <c r="K2334">
        <v>4</v>
      </c>
      <c r="L2334">
        <v>284</v>
      </c>
      <c r="M2334">
        <v>1</v>
      </c>
      <c r="N2334">
        <v>2.4564600000000001E-121</v>
      </c>
      <c r="O2334">
        <v>1111</v>
      </c>
    </row>
    <row r="2335" spans="1:15" x14ac:dyDescent="0.25">
      <c r="A2335" t="s">
        <v>2348</v>
      </c>
      <c r="B2335">
        <v>632</v>
      </c>
      <c r="C2335" s="1" t="str">
        <f>HYPERLINK("http://www.rosaceae.org/gb/gbrowse/malus_x_domestica/?name=MDP0000134418","MDP0000134418")</f>
        <v>MDP0000134418</v>
      </c>
      <c r="D2335">
        <v>77.17</v>
      </c>
      <c r="E2335">
        <v>403</v>
      </c>
      <c r="F2335">
        <v>92</v>
      </c>
      <c r="G2335">
        <v>2</v>
      </c>
      <c r="H2335">
        <v>231</v>
      </c>
      <c r="I2335">
        <v>632</v>
      </c>
      <c r="J2335">
        <v>1</v>
      </c>
      <c r="K2335">
        <v>174</v>
      </c>
      <c r="L2335">
        <v>575</v>
      </c>
      <c r="M2335">
        <v>1</v>
      </c>
      <c r="N2335">
        <v>0</v>
      </c>
      <c r="O2335">
        <v>1632</v>
      </c>
    </row>
    <row r="2336" spans="1:15" x14ac:dyDescent="0.25">
      <c r="A2336" t="s">
        <v>2349</v>
      </c>
      <c r="B2336">
        <v>243</v>
      </c>
      <c r="C2336" s="1" t="str">
        <f>HYPERLINK("http://www.rosaceae.org/gb/gbrowse/malus_x_domestica/?name=MDP0000293040","MDP0000293040")</f>
        <v>MDP0000293040</v>
      </c>
      <c r="D2336">
        <v>67.61</v>
      </c>
      <c r="E2336">
        <v>105</v>
      </c>
      <c r="F2336">
        <v>34</v>
      </c>
      <c r="G2336">
        <v>0</v>
      </c>
      <c r="H2336">
        <v>128</v>
      </c>
      <c r="I2336">
        <v>232</v>
      </c>
      <c r="J2336">
        <v>1</v>
      </c>
      <c r="K2336">
        <v>28</v>
      </c>
      <c r="L2336">
        <v>132</v>
      </c>
      <c r="M2336">
        <v>1</v>
      </c>
      <c r="N2336">
        <v>5.3482600000000001E-36</v>
      </c>
      <c r="O2336">
        <v>373</v>
      </c>
    </row>
    <row r="2337" spans="1:15" x14ac:dyDescent="0.25">
      <c r="A2337" t="s">
        <v>2350</v>
      </c>
      <c r="B2337">
        <v>310</v>
      </c>
      <c r="C2337" s="1" t="str">
        <f>HYPERLINK("http://www.rosaceae.org/gb/gbrowse/malus_x_domestica/?name=MDP0000133444","MDP0000133444")</f>
        <v>MDP0000133444</v>
      </c>
      <c r="D2337">
        <v>30.67</v>
      </c>
      <c r="E2337">
        <v>326</v>
      </c>
      <c r="F2337">
        <v>226</v>
      </c>
      <c r="G2337">
        <v>80</v>
      </c>
      <c r="H2337">
        <v>1</v>
      </c>
      <c r="I2337">
        <v>310</v>
      </c>
      <c r="J2337">
        <v>1</v>
      </c>
      <c r="K2337">
        <v>1</v>
      </c>
      <c r="L2337">
        <v>262</v>
      </c>
      <c r="M2337">
        <v>1</v>
      </c>
      <c r="N2337">
        <v>2.2764899999999999E-26</v>
      </c>
      <c r="O2337">
        <v>292</v>
      </c>
    </row>
    <row r="2338" spans="1:15" x14ac:dyDescent="0.25">
      <c r="A2338" t="s">
        <v>2351</v>
      </c>
      <c r="B2338">
        <v>496</v>
      </c>
      <c r="C2338" s="1" t="str">
        <f>HYPERLINK("http://www.rosaceae.org/gb/gbrowse/malus_x_domestica/?name=MDP0000152497","MDP0000152497")</f>
        <v>MDP0000152497</v>
      </c>
      <c r="D2338">
        <v>92.13</v>
      </c>
      <c r="E2338">
        <v>496</v>
      </c>
      <c r="F2338">
        <v>39</v>
      </c>
      <c r="G2338">
        <v>0</v>
      </c>
      <c r="H2338">
        <v>1</v>
      </c>
      <c r="I2338">
        <v>496</v>
      </c>
      <c r="J2338">
        <v>1</v>
      </c>
      <c r="K2338">
        <v>1</v>
      </c>
      <c r="L2338">
        <v>496</v>
      </c>
      <c r="M2338">
        <v>1</v>
      </c>
      <c r="N2338">
        <v>0</v>
      </c>
      <c r="O2338">
        <v>2452</v>
      </c>
    </row>
    <row r="2339" spans="1:15" x14ac:dyDescent="0.25">
      <c r="A2339" t="s">
        <v>2352</v>
      </c>
      <c r="B2339">
        <v>210</v>
      </c>
      <c r="C2339" s="1" t="str">
        <f>HYPERLINK("http://www.rosaceae.org/gb/gbrowse/malus_x_domestica/?name=MDP0000755113","MDP0000755113")</f>
        <v>MDP0000755113</v>
      </c>
      <c r="D2339">
        <v>75</v>
      </c>
      <c r="E2339">
        <v>208</v>
      </c>
      <c r="F2339">
        <v>52</v>
      </c>
      <c r="G2339">
        <v>0</v>
      </c>
      <c r="H2339">
        <v>1</v>
      </c>
      <c r="I2339">
        <v>208</v>
      </c>
      <c r="J2339">
        <v>1</v>
      </c>
      <c r="K2339">
        <v>1</v>
      </c>
      <c r="L2339">
        <v>208</v>
      </c>
      <c r="M2339">
        <v>1</v>
      </c>
      <c r="N2339">
        <v>1.84616E-89</v>
      </c>
      <c r="O2339">
        <v>833</v>
      </c>
    </row>
    <row r="2340" spans="1:15" x14ac:dyDescent="0.25">
      <c r="A2340" t="s">
        <v>2353</v>
      </c>
      <c r="B2340">
        <v>348</v>
      </c>
      <c r="C2340" s="1" t="str">
        <f>HYPERLINK("http://www.rosaceae.org/gb/gbrowse/malus_x_domestica/?name=MDP0000266305","MDP0000266305")</f>
        <v>MDP0000266305</v>
      </c>
      <c r="D2340">
        <v>80.34</v>
      </c>
      <c r="E2340">
        <v>229</v>
      </c>
      <c r="F2340">
        <v>45</v>
      </c>
      <c r="G2340">
        <v>9</v>
      </c>
      <c r="H2340">
        <v>50</v>
      </c>
      <c r="I2340">
        <v>275</v>
      </c>
      <c r="J2340">
        <v>1</v>
      </c>
      <c r="K2340">
        <v>1</v>
      </c>
      <c r="L2340">
        <v>223</v>
      </c>
      <c r="M2340">
        <v>1</v>
      </c>
      <c r="N2340">
        <v>6.1746399999999997E-103</v>
      </c>
      <c r="O2340">
        <v>952</v>
      </c>
    </row>
    <row r="2341" spans="1:15" x14ac:dyDescent="0.25">
      <c r="A2341" t="s">
        <v>2354</v>
      </c>
      <c r="B2341">
        <v>159</v>
      </c>
      <c r="C2341" s="1" t="str">
        <f>HYPERLINK("http://www.rosaceae.org/gb/gbrowse/malus_x_domestica/?name=MDP0000654837","MDP0000654837")</f>
        <v>MDP0000654837</v>
      </c>
      <c r="D2341">
        <v>57.79</v>
      </c>
      <c r="E2341">
        <v>109</v>
      </c>
      <c r="F2341">
        <v>46</v>
      </c>
      <c r="G2341">
        <v>6</v>
      </c>
      <c r="H2341">
        <v>57</v>
      </c>
      <c r="I2341">
        <v>159</v>
      </c>
      <c r="J2341">
        <v>1</v>
      </c>
      <c r="K2341">
        <v>2</v>
      </c>
      <c r="L2341">
        <v>110</v>
      </c>
      <c r="M2341">
        <v>1</v>
      </c>
      <c r="N2341">
        <v>3.9756399999999999E-26</v>
      </c>
      <c r="O2341">
        <v>285</v>
      </c>
    </row>
    <row r="2342" spans="1:15" x14ac:dyDescent="0.25">
      <c r="A2342" t="s">
        <v>2355</v>
      </c>
      <c r="B2342">
        <v>398</v>
      </c>
      <c r="C2342" s="1" t="str">
        <f>HYPERLINK("http://www.rosaceae.org/gb/gbrowse/malus_x_domestica/?name=MDP0000220731","MDP0000220731")</f>
        <v>MDP0000220731</v>
      </c>
      <c r="D2342">
        <v>33.659999999999997</v>
      </c>
      <c r="E2342">
        <v>398</v>
      </c>
      <c r="F2342">
        <v>264</v>
      </c>
      <c r="G2342">
        <v>110</v>
      </c>
      <c r="H2342">
        <v>88</v>
      </c>
      <c r="I2342">
        <v>398</v>
      </c>
      <c r="J2342">
        <v>1</v>
      </c>
      <c r="K2342">
        <v>165</v>
      </c>
      <c r="L2342">
        <v>539</v>
      </c>
      <c r="M2342">
        <v>1</v>
      </c>
      <c r="N2342">
        <v>2.40563E-34</v>
      </c>
      <c r="O2342">
        <v>362</v>
      </c>
    </row>
    <row r="2343" spans="1:15" x14ac:dyDescent="0.25">
      <c r="A2343" t="s">
        <v>2356</v>
      </c>
      <c r="B2343">
        <v>1099</v>
      </c>
      <c r="C2343" s="1" t="str">
        <f>HYPERLINK("http://www.rosaceae.org/gb/gbrowse/malus_x_domestica/?name=MDP0000172171","MDP0000172171")</f>
        <v>MDP0000172171</v>
      </c>
      <c r="D2343">
        <v>51.92</v>
      </c>
      <c r="E2343">
        <v>674</v>
      </c>
      <c r="F2343">
        <v>324</v>
      </c>
      <c r="G2343">
        <v>62</v>
      </c>
      <c r="H2343">
        <v>222</v>
      </c>
      <c r="I2343">
        <v>878</v>
      </c>
      <c r="J2343">
        <v>1</v>
      </c>
      <c r="K2343">
        <v>84</v>
      </c>
      <c r="L2343">
        <v>712</v>
      </c>
      <c r="M2343">
        <v>1</v>
      </c>
      <c r="N2343">
        <v>4.7341100000000001E-176</v>
      </c>
      <c r="O2343">
        <v>1588</v>
      </c>
    </row>
    <row r="2344" spans="1:15" x14ac:dyDescent="0.25">
      <c r="A2344" t="s">
        <v>2357</v>
      </c>
      <c r="B2344">
        <v>211</v>
      </c>
      <c r="C2344" s="1" t="str">
        <f>HYPERLINK("http://www.rosaceae.org/gb/gbrowse/malus_x_domestica/?name=MDP0000174664","MDP0000174664")</f>
        <v>MDP0000174664</v>
      </c>
      <c r="D2344">
        <v>75</v>
      </c>
      <c r="E2344">
        <v>180</v>
      </c>
      <c r="F2344">
        <v>45</v>
      </c>
      <c r="G2344">
        <v>2</v>
      </c>
      <c r="H2344">
        <v>1</v>
      </c>
      <c r="I2344">
        <v>178</v>
      </c>
      <c r="J2344">
        <v>1</v>
      </c>
      <c r="K2344">
        <v>551</v>
      </c>
      <c r="L2344">
        <v>730</v>
      </c>
      <c r="M2344">
        <v>1</v>
      </c>
      <c r="N2344">
        <v>7.9903700000000006E-74</v>
      </c>
      <c r="O2344">
        <v>699</v>
      </c>
    </row>
    <row r="2345" spans="1:15" x14ac:dyDescent="0.25">
      <c r="A2345" t="s">
        <v>2358</v>
      </c>
      <c r="B2345">
        <v>252</v>
      </c>
      <c r="C2345" s="1" t="str">
        <f>HYPERLINK("http://www.rosaceae.org/gb/gbrowse/malus_x_domestica/?name=MDP0000317971","MDP0000317971")</f>
        <v>MDP0000317971</v>
      </c>
      <c r="D2345">
        <v>73.430000000000007</v>
      </c>
      <c r="E2345">
        <v>271</v>
      </c>
      <c r="F2345">
        <v>72</v>
      </c>
      <c r="G2345">
        <v>44</v>
      </c>
      <c r="H2345">
        <v>14</v>
      </c>
      <c r="I2345">
        <v>240</v>
      </c>
      <c r="J2345">
        <v>1</v>
      </c>
      <c r="K2345">
        <v>3283</v>
      </c>
      <c r="L2345">
        <v>3553</v>
      </c>
      <c r="M2345">
        <v>1</v>
      </c>
      <c r="N2345">
        <v>4.4848399999999998E-107</v>
      </c>
      <c r="O2345">
        <v>986</v>
      </c>
    </row>
    <row r="2346" spans="1:15" x14ac:dyDescent="0.25">
      <c r="A2346" t="s">
        <v>2359</v>
      </c>
      <c r="B2346">
        <v>231</v>
      </c>
      <c r="C2346" s="1" t="str">
        <f>HYPERLINK("http://www.rosaceae.org/gb/gbrowse/malus_x_domestica/?name=MDP0000144682","MDP0000144682")</f>
        <v>MDP0000144682</v>
      </c>
      <c r="D2346">
        <v>65.73</v>
      </c>
      <c r="E2346">
        <v>178</v>
      </c>
      <c r="F2346">
        <v>61</v>
      </c>
      <c r="G2346">
        <v>2</v>
      </c>
      <c r="H2346">
        <v>1</v>
      </c>
      <c r="I2346">
        <v>178</v>
      </c>
      <c r="J2346">
        <v>1</v>
      </c>
      <c r="K2346">
        <v>72</v>
      </c>
      <c r="L2346">
        <v>247</v>
      </c>
      <c r="M2346">
        <v>1</v>
      </c>
      <c r="N2346">
        <v>4.1237899999999998E-63</v>
      </c>
      <c r="O2346">
        <v>607</v>
      </c>
    </row>
    <row r="2347" spans="1:15" x14ac:dyDescent="0.25">
      <c r="A2347" t="s">
        <v>2360</v>
      </c>
      <c r="B2347">
        <v>589</v>
      </c>
      <c r="C2347" s="1" t="str">
        <f>HYPERLINK("http://www.rosaceae.org/gb/gbrowse/malus_x_domestica/?name=MDP0000258088","MDP0000258088")</f>
        <v>MDP0000258088</v>
      </c>
      <c r="D2347">
        <v>78.7</v>
      </c>
      <c r="E2347">
        <v>601</v>
      </c>
      <c r="F2347">
        <v>128</v>
      </c>
      <c r="G2347">
        <v>24</v>
      </c>
      <c r="H2347">
        <v>1</v>
      </c>
      <c r="I2347">
        <v>588</v>
      </c>
      <c r="J2347">
        <v>1</v>
      </c>
      <c r="K2347">
        <v>1</v>
      </c>
      <c r="L2347">
        <v>590</v>
      </c>
      <c r="M2347">
        <v>1</v>
      </c>
      <c r="N2347">
        <v>0</v>
      </c>
      <c r="O2347">
        <v>2401</v>
      </c>
    </row>
    <row r="2348" spans="1:15" x14ac:dyDescent="0.25">
      <c r="A2348" t="s">
        <v>2361</v>
      </c>
      <c r="B2348">
        <v>816</v>
      </c>
      <c r="C2348" s="1" t="str">
        <f>HYPERLINK("http://www.rosaceae.org/gb/gbrowse/malus_x_domestica/?name=MDP0000555175","MDP0000555175")</f>
        <v>MDP0000555175</v>
      </c>
      <c r="D2348">
        <v>88.31</v>
      </c>
      <c r="E2348">
        <v>385</v>
      </c>
      <c r="F2348">
        <v>45</v>
      </c>
      <c r="G2348">
        <v>1</v>
      </c>
      <c r="H2348">
        <v>432</v>
      </c>
      <c r="I2348">
        <v>816</v>
      </c>
      <c r="J2348">
        <v>1</v>
      </c>
      <c r="K2348">
        <v>49</v>
      </c>
      <c r="L2348">
        <v>432</v>
      </c>
      <c r="M2348">
        <v>1</v>
      </c>
      <c r="N2348">
        <v>0</v>
      </c>
      <c r="O2348">
        <v>1810</v>
      </c>
    </row>
    <row r="2349" spans="1:15" x14ac:dyDescent="0.25">
      <c r="A2349" t="s">
        <v>2362</v>
      </c>
      <c r="B2349">
        <v>963</v>
      </c>
      <c r="C2349" s="1" t="str">
        <f>HYPERLINK("http://www.rosaceae.org/gb/gbrowse/malus_x_domestica/?name=MDP0000144669","MDP0000144669")</f>
        <v>MDP0000144669</v>
      </c>
      <c r="D2349">
        <v>63.17</v>
      </c>
      <c r="E2349">
        <v>975</v>
      </c>
      <c r="F2349">
        <v>359</v>
      </c>
      <c r="G2349">
        <v>88</v>
      </c>
      <c r="H2349">
        <v>34</v>
      </c>
      <c r="I2349">
        <v>948</v>
      </c>
      <c r="J2349">
        <v>1</v>
      </c>
      <c r="K2349">
        <v>33</v>
      </c>
      <c r="L2349">
        <v>979</v>
      </c>
      <c r="M2349">
        <v>1</v>
      </c>
      <c r="N2349">
        <v>0</v>
      </c>
      <c r="O2349">
        <v>3007</v>
      </c>
    </row>
    <row r="2350" spans="1:15" x14ac:dyDescent="0.25">
      <c r="A2350" t="s">
        <v>2363</v>
      </c>
      <c r="B2350">
        <v>404</v>
      </c>
      <c r="C2350" s="1" t="str">
        <f>HYPERLINK("http://www.rosaceae.org/gb/gbrowse/malus_x_domestica/?name=MDP0000303782","MDP0000303782")</f>
        <v>MDP0000303782</v>
      </c>
      <c r="D2350">
        <v>50.12</v>
      </c>
      <c r="E2350">
        <v>413</v>
      </c>
      <c r="F2350">
        <v>206</v>
      </c>
      <c r="G2350">
        <v>27</v>
      </c>
      <c r="H2350">
        <v>18</v>
      </c>
      <c r="I2350">
        <v>403</v>
      </c>
      <c r="J2350">
        <v>1</v>
      </c>
      <c r="K2350">
        <v>50</v>
      </c>
      <c r="L2350">
        <v>462</v>
      </c>
      <c r="M2350">
        <v>1</v>
      </c>
      <c r="N2350">
        <v>6.2153000000000002E-111</v>
      </c>
      <c r="O2350">
        <v>1022</v>
      </c>
    </row>
    <row r="2351" spans="1:15" x14ac:dyDescent="0.25">
      <c r="A2351" t="s">
        <v>2364</v>
      </c>
      <c r="B2351">
        <v>314</v>
      </c>
      <c r="C2351" s="1" t="str">
        <f>HYPERLINK("http://www.rosaceae.org/gb/gbrowse/malus_x_domestica/?name=MDP0000145547","MDP0000145547")</f>
        <v>MDP0000145547</v>
      </c>
      <c r="D2351">
        <v>42.85</v>
      </c>
      <c r="E2351">
        <v>357</v>
      </c>
      <c r="F2351">
        <v>204</v>
      </c>
      <c r="G2351">
        <v>86</v>
      </c>
      <c r="H2351">
        <v>1</v>
      </c>
      <c r="I2351">
        <v>313</v>
      </c>
      <c r="J2351">
        <v>1</v>
      </c>
      <c r="K2351">
        <v>1</v>
      </c>
      <c r="L2351">
        <v>315</v>
      </c>
      <c r="M2351">
        <v>1</v>
      </c>
      <c r="N2351">
        <v>3.9829599999999999E-62</v>
      </c>
      <c r="O2351">
        <v>600</v>
      </c>
    </row>
    <row r="2352" spans="1:15" x14ac:dyDescent="0.25">
      <c r="A2352" t="s">
        <v>2365</v>
      </c>
      <c r="B2352">
        <v>409</v>
      </c>
      <c r="C2352" s="1" t="str">
        <f>HYPERLINK("http://www.rosaceae.org/gb/gbrowse/malus_x_domestica/?name=MDP0000168305","MDP0000168305")</f>
        <v>MDP0000168305</v>
      </c>
      <c r="D2352">
        <v>71.849999999999994</v>
      </c>
      <c r="E2352">
        <v>334</v>
      </c>
      <c r="F2352">
        <v>94</v>
      </c>
      <c r="G2352">
        <v>0</v>
      </c>
      <c r="H2352">
        <v>76</v>
      </c>
      <c r="I2352">
        <v>409</v>
      </c>
      <c r="J2352">
        <v>1</v>
      </c>
      <c r="K2352">
        <v>2</v>
      </c>
      <c r="L2352">
        <v>335</v>
      </c>
      <c r="M2352">
        <v>1</v>
      </c>
      <c r="N2352">
        <v>6.9785799999999998E-143</v>
      </c>
      <c r="O2352">
        <v>1298</v>
      </c>
    </row>
    <row r="2353" spans="1:15" x14ac:dyDescent="0.25">
      <c r="A2353" t="s">
        <v>2366</v>
      </c>
      <c r="B2353">
        <v>198</v>
      </c>
      <c r="C2353" s="1" t="str">
        <f>HYPERLINK("http://www.rosaceae.org/gb/gbrowse/malus_x_domestica/?name=MDP0000176447","MDP0000176447")</f>
        <v>MDP0000176447</v>
      </c>
      <c r="D2353">
        <v>44.66</v>
      </c>
      <c r="E2353">
        <v>206</v>
      </c>
      <c r="F2353">
        <v>114</v>
      </c>
      <c r="G2353">
        <v>37</v>
      </c>
      <c r="H2353">
        <v>1</v>
      </c>
      <c r="I2353">
        <v>197</v>
      </c>
      <c r="J2353">
        <v>1</v>
      </c>
      <c r="K2353">
        <v>197</v>
      </c>
      <c r="L2353">
        <v>374</v>
      </c>
      <c r="M2353">
        <v>1</v>
      </c>
      <c r="N2353">
        <v>5.3705999999999999E-30</v>
      </c>
      <c r="O2353">
        <v>320</v>
      </c>
    </row>
    <row r="2354" spans="1:15" x14ac:dyDescent="0.25">
      <c r="A2354" t="s">
        <v>2367</v>
      </c>
      <c r="B2354">
        <v>369</v>
      </c>
      <c r="C2354" s="1" t="str">
        <f>HYPERLINK("http://www.rosaceae.org/gb/gbrowse/malus_x_domestica/?name=MDP0000252362","MDP0000252362")</f>
        <v>MDP0000252362</v>
      </c>
      <c r="D2354">
        <v>84.05</v>
      </c>
      <c r="E2354">
        <v>370</v>
      </c>
      <c r="F2354">
        <v>59</v>
      </c>
      <c r="G2354">
        <v>1</v>
      </c>
      <c r="H2354">
        <v>1</v>
      </c>
      <c r="I2354">
        <v>369</v>
      </c>
      <c r="J2354">
        <v>1</v>
      </c>
      <c r="K2354">
        <v>410</v>
      </c>
      <c r="L2354">
        <v>779</v>
      </c>
      <c r="M2354">
        <v>1</v>
      </c>
      <c r="N2354">
        <v>0</v>
      </c>
      <c r="O2354">
        <v>1639</v>
      </c>
    </row>
    <row r="2355" spans="1:15" x14ac:dyDescent="0.25">
      <c r="A2355" t="s">
        <v>2368</v>
      </c>
      <c r="B2355">
        <v>1706</v>
      </c>
      <c r="C2355" s="1" t="str">
        <f>HYPERLINK("http://www.rosaceae.org/gb/gbrowse/malus_x_domestica/?name=MDP0000164366","MDP0000164366")</f>
        <v>MDP0000164366</v>
      </c>
      <c r="D2355">
        <v>77.98</v>
      </c>
      <c r="E2355">
        <v>1031</v>
      </c>
      <c r="F2355">
        <v>227</v>
      </c>
      <c r="G2355">
        <v>3</v>
      </c>
      <c r="H2355">
        <v>530</v>
      </c>
      <c r="I2355">
        <v>1559</v>
      </c>
      <c r="J2355">
        <v>1</v>
      </c>
      <c r="K2355">
        <v>28</v>
      </c>
      <c r="L2355">
        <v>1056</v>
      </c>
      <c r="M2355">
        <v>1</v>
      </c>
      <c r="N2355">
        <v>0</v>
      </c>
      <c r="O2355">
        <v>4283</v>
      </c>
    </row>
    <row r="2356" spans="1:15" x14ac:dyDescent="0.25">
      <c r="A2356" t="s">
        <v>2369</v>
      </c>
      <c r="B2356">
        <v>573</v>
      </c>
      <c r="C2356" s="1" t="str">
        <f>HYPERLINK("http://www.rosaceae.org/gb/gbrowse/malus_x_domestica/?name=MDP0000822752","MDP0000822752")</f>
        <v>MDP0000822752</v>
      </c>
      <c r="D2356">
        <v>71.42</v>
      </c>
      <c r="E2356">
        <v>413</v>
      </c>
      <c r="F2356">
        <v>118</v>
      </c>
      <c r="G2356">
        <v>9</v>
      </c>
      <c r="H2356">
        <v>162</v>
      </c>
      <c r="I2356">
        <v>573</v>
      </c>
      <c r="J2356">
        <v>1</v>
      </c>
      <c r="K2356">
        <v>13</v>
      </c>
      <c r="L2356">
        <v>417</v>
      </c>
      <c r="M2356">
        <v>1</v>
      </c>
      <c r="N2356">
        <v>1.97204E-177</v>
      </c>
      <c r="O2356">
        <v>1597</v>
      </c>
    </row>
    <row r="2357" spans="1:15" x14ac:dyDescent="0.25">
      <c r="A2357" t="s">
        <v>2370</v>
      </c>
      <c r="B2357">
        <v>656</v>
      </c>
      <c r="C2357" s="1" t="str">
        <f>HYPERLINK("http://www.rosaceae.org/gb/gbrowse/malus_x_domestica/?name=MDP0000643702","MDP0000643702")</f>
        <v>MDP0000643702</v>
      </c>
      <c r="D2357">
        <v>85.23</v>
      </c>
      <c r="E2357">
        <v>657</v>
      </c>
      <c r="F2357">
        <v>97</v>
      </c>
      <c r="G2357">
        <v>1</v>
      </c>
      <c r="H2357">
        <v>1</v>
      </c>
      <c r="I2357">
        <v>656</v>
      </c>
      <c r="J2357">
        <v>1</v>
      </c>
      <c r="K2357">
        <v>21</v>
      </c>
      <c r="L2357">
        <v>677</v>
      </c>
      <c r="M2357">
        <v>1</v>
      </c>
      <c r="N2357">
        <v>0</v>
      </c>
      <c r="O2357">
        <v>2947</v>
      </c>
    </row>
    <row r="2358" spans="1:15" x14ac:dyDescent="0.25">
      <c r="A2358" t="s">
        <v>2371</v>
      </c>
      <c r="B2358">
        <v>269</v>
      </c>
      <c r="C2358" s="1" t="str">
        <f>HYPERLINK("http://www.rosaceae.org/gb/gbrowse/malus_x_domestica/?name=MDP0000811801","MDP0000811801")</f>
        <v>MDP0000811801</v>
      </c>
      <c r="D2358">
        <v>51.82</v>
      </c>
      <c r="E2358">
        <v>274</v>
      </c>
      <c r="F2358">
        <v>132</v>
      </c>
      <c r="G2358">
        <v>20</v>
      </c>
      <c r="H2358">
        <v>1</v>
      </c>
      <c r="I2358">
        <v>269</v>
      </c>
      <c r="J2358">
        <v>1</v>
      </c>
      <c r="K2358">
        <v>1</v>
      </c>
      <c r="L2358">
        <v>259</v>
      </c>
      <c r="M2358">
        <v>1</v>
      </c>
      <c r="N2358">
        <v>4.0687599999999998E-58</v>
      </c>
      <c r="O2358">
        <v>565</v>
      </c>
    </row>
    <row r="2359" spans="1:15" x14ac:dyDescent="0.25">
      <c r="A2359" t="s">
        <v>2372</v>
      </c>
      <c r="B2359">
        <v>735</v>
      </c>
      <c r="C2359" s="1" t="str">
        <f>HYPERLINK("http://www.rosaceae.org/gb/gbrowse/malus_x_domestica/?name=MDP0000535448","MDP0000535448")</f>
        <v>MDP0000535448</v>
      </c>
      <c r="D2359">
        <v>40.32</v>
      </c>
      <c r="E2359">
        <v>739</v>
      </c>
      <c r="F2359">
        <v>441</v>
      </c>
      <c r="G2359">
        <v>105</v>
      </c>
      <c r="H2359">
        <v>18</v>
      </c>
      <c r="I2359">
        <v>735</v>
      </c>
      <c r="J2359">
        <v>1</v>
      </c>
      <c r="K2359">
        <v>21</v>
      </c>
      <c r="L2359">
        <v>675</v>
      </c>
      <c r="M2359">
        <v>1</v>
      </c>
      <c r="N2359">
        <v>2.2808399999999999E-124</v>
      </c>
      <c r="O2359">
        <v>1141</v>
      </c>
    </row>
    <row r="2360" spans="1:15" x14ac:dyDescent="0.25">
      <c r="A2360" t="s">
        <v>2373</v>
      </c>
      <c r="B2360">
        <v>630</v>
      </c>
      <c r="C2360" s="1" t="str">
        <f>HYPERLINK("http://www.rosaceae.org/gb/gbrowse/malus_x_domestica/?name=MDP0000194880","MDP0000194880")</f>
        <v>MDP0000194880</v>
      </c>
      <c r="D2360">
        <v>63.07</v>
      </c>
      <c r="E2360">
        <v>650</v>
      </c>
      <c r="F2360">
        <v>240</v>
      </c>
      <c r="G2360">
        <v>36</v>
      </c>
      <c r="H2360">
        <v>2</v>
      </c>
      <c r="I2360">
        <v>629</v>
      </c>
      <c r="J2360">
        <v>1</v>
      </c>
      <c r="K2360">
        <v>56</v>
      </c>
      <c r="L2360">
        <v>691</v>
      </c>
      <c r="M2360">
        <v>1</v>
      </c>
      <c r="N2360">
        <v>0</v>
      </c>
      <c r="O2360">
        <v>2179</v>
      </c>
    </row>
    <row r="2361" spans="1:15" x14ac:dyDescent="0.25">
      <c r="A2361" t="s">
        <v>2374</v>
      </c>
      <c r="B2361">
        <v>345</v>
      </c>
      <c r="C2361" s="1" t="str">
        <f>HYPERLINK("http://www.rosaceae.org/gb/gbrowse/malus_x_domestica/?name=MDP0000250892","MDP0000250892")</f>
        <v>MDP0000250892</v>
      </c>
      <c r="D2361">
        <v>87.23</v>
      </c>
      <c r="E2361">
        <v>94</v>
      </c>
      <c r="F2361">
        <v>12</v>
      </c>
      <c r="G2361">
        <v>0</v>
      </c>
      <c r="H2361">
        <v>251</v>
      </c>
      <c r="I2361">
        <v>344</v>
      </c>
      <c r="J2361">
        <v>1</v>
      </c>
      <c r="K2361">
        <v>237</v>
      </c>
      <c r="L2361">
        <v>330</v>
      </c>
      <c r="M2361">
        <v>1</v>
      </c>
      <c r="N2361">
        <v>3.0507399999999999E-46</v>
      </c>
      <c r="O2361">
        <v>463</v>
      </c>
    </row>
    <row r="2362" spans="1:15" x14ac:dyDescent="0.25">
      <c r="A2362" t="s">
        <v>2375</v>
      </c>
      <c r="B2362">
        <v>349</v>
      </c>
      <c r="C2362" s="1" t="str">
        <f>HYPERLINK("http://www.rosaceae.org/gb/gbrowse/malus_x_domestica/?name=MDP0000232997","MDP0000232997")</f>
        <v>MDP0000232997</v>
      </c>
      <c r="D2362">
        <v>59.37</v>
      </c>
      <c r="E2362">
        <v>352</v>
      </c>
      <c r="F2362">
        <v>143</v>
      </c>
      <c r="G2362">
        <v>4</v>
      </c>
      <c r="H2362">
        <v>1</v>
      </c>
      <c r="I2362">
        <v>349</v>
      </c>
      <c r="J2362">
        <v>1</v>
      </c>
      <c r="K2362">
        <v>1</v>
      </c>
      <c r="L2362">
        <v>351</v>
      </c>
      <c r="M2362">
        <v>1</v>
      </c>
      <c r="N2362">
        <v>7.7552599999999995E-108</v>
      </c>
      <c r="O2362">
        <v>995</v>
      </c>
    </row>
    <row r="2363" spans="1:15" x14ac:dyDescent="0.25">
      <c r="A2363" t="s">
        <v>2376</v>
      </c>
      <c r="B2363">
        <v>208</v>
      </c>
      <c r="C2363" s="1" t="str">
        <f>HYPERLINK("http://www.rosaceae.org/gb/gbrowse/malus_x_domestica/?name=MDP0000130897","MDP0000130897")</f>
        <v>MDP0000130897</v>
      </c>
      <c r="D2363">
        <v>42.16</v>
      </c>
      <c r="E2363">
        <v>83</v>
      </c>
      <c r="F2363">
        <v>48</v>
      </c>
      <c r="G2363">
        <v>0</v>
      </c>
      <c r="H2363">
        <v>126</v>
      </c>
      <c r="I2363">
        <v>208</v>
      </c>
      <c r="J2363">
        <v>1</v>
      </c>
      <c r="K2363">
        <v>8</v>
      </c>
      <c r="L2363">
        <v>90</v>
      </c>
      <c r="M2363">
        <v>1</v>
      </c>
      <c r="N2363">
        <v>4.4853500000000002E-15</v>
      </c>
      <c r="O2363">
        <v>192</v>
      </c>
    </row>
    <row r="2364" spans="1:15" x14ac:dyDescent="0.25">
      <c r="A2364" t="s">
        <v>2377</v>
      </c>
      <c r="B2364">
        <v>393</v>
      </c>
      <c r="C2364" s="1" t="str">
        <f>HYPERLINK("http://www.rosaceae.org/gb/gbrowse/malus_x_domestica/?name=MDP0000803920","MDP0000803920")</f>
        <v>MDP0000803920</v>
      </c>
      <c r="D2364">
        <v>55.07</v>
      </c>
      <c r="E2364">
        <v>276</v>
      </c>
      <c r="F2364">
        <v>124</v>
      </c>
      <c r="G2364">
        <v>19</v>
      </c>
      <c r="H2364">
        <v>128</v>
      </c>
      <c r="I2364">
        <v>392</v>
      </c>
      <c r="J2364">
        <v>1</v>
      </c>
      <c r="K2364">
        <v>756</v>
      </c>
      <c r="L2364">
        <v>1023</v>
      </c>
      <c r="M2364">
        <v>1</v>
      </c>
      <c r="N2364">
        <v>4.5983400000000003E-67</v>
      </c>
      <c r="O2364">
        <v>644</v>
      </c>
    </row>
    <row r="2365" spans="1:15" x14ac:dyDescent="0.25">
      <c r="A2365" t="s">
        <v>2378</v>
      </c>
      <c r="B2365">
        <v>940</v>
      </c>
      <c r="C2365" s="1" t="str">
        <f>HYPERLINK("http://www.rosaceae.org/gb/gbrowse/malus_x_domestica/?name=MDP0000224857","MDP0000224857")</f>
        <v>MDP0000224857</v>
      </c>
      <c r="D2365">
        <v>75.959999999999994</v>
      </c>
      <c r="E2365">
        <v>441</v>
      </c>
      <c r="F2365">
        <v>106</v>
      </c>
      <c r="G2365">
        <v>19</v>
      </c>
      <c r="H2365">
        <v>192</v>
      </c>
      <c r="I2365">
        <v>632</v>
      </c>
      <c r="J2365">
        <v>1</v>
      </c>
      <c r="K2365">
        <v>5</v>
      </c>
      <c r="L2365">
        <v>426</v>
      </c>
      <c r="M2365">
        <v>1</v>
      </c>
      <c r="N2365">
        <v>0</v>
      </c>
      <c r="O2365">
        <v>1786</v>
      </c>
    </row>
    <row r="2366" spans="1:15" x14ac:dyDescent="0.25">
      <c r="A2366" t="s">
        <v>2379</v>
      </c>
      <c r="B2366">
        <v>505</v>
      </c>
      <c r="C2366" s="1" t="str">
        <f>HYPERLINK("http://www.rosaceae.org/gb/gbrowse/malus_x_domestica/?name=MDP0000912495","MDP0000912495")</f>
        <v>MDP0000912495</v>
      </c>
      <c r="D2366">
        <v>49.65</v>
      </c>
      <c r="E2366">
        <v>435</v>
      </c>
      <c r="F2366">
        <v>219</v>
      </c>
      <c r="G2366">
        <v>69</v>
      </c>
      <c r="H2366">
        <v>119</v>
      </c>
      <c r="I2366">
        <v>505</v>
      </c>
      <c r="J2366">
        <v>1</v>
      </c>
      <c r="K2366">
        <v>1</v>
      </c>
      <c r="L2366">
        <v>414</v>
      </c>
      <c r="M2366">
        <v>1</v>
      </c>
      <c r="N2366">
        <v>7.8712500000000003E-87</v>
      </c>
      <c r="O2366">
        <v>815</v>
      </c>
    </row>
    <row r="2367" spans="1:15" x14ac:dyDescent="0.25">
      <c r="A2367" t="s">
        <v>2380</v>
      </c>
      <c r="B2367">
        <v>207</v>
      </c>
      <c r="C2367" s="1" t="str">
        <f>HYPERLINK("http://www.rosaceae.org/gb/gbrowse/malus_x_domestica/?name=MDP0000141653","MDP0000141653")</f>
        <v>MDP0000141653</v>
      </c>
      <c r="D2367">
        <v>75</v>
      </c>
      <c r="E2367">
        <v>208</v>
      </c>
      <c r="F2367">
        <v>52</v>
      </c>
      <c r="G2367">
        <v>6</v>
      </c>
      <c r="H2367">
        <v>1</v>
      </c>
      <c r="I2367">
        <v>207</v>
      </c>
      <c r="J2367">
        <v>1</v>
      </c>
      <c r="K2367">
        <v>45</v>
      </c>
      <c r="L2367">
        <v>247</v>
      </c>
      <c r="M2367">
        <v>1</v>
      </c>
      <c r="N2367">
        <v>2.44948E-84</v>
      </c>
      <c r="O2367">
        <v>789</v>
      </c>
    </row>
    <row r="2368" spans="1:15" x14ac:dyDescent="0.25">
      <c r="A2368" t="s">
        <v>2381</v>
      </c>
      <c r="B2368">
        <v>187</v>
      </c>
      <c r="C2368" s="1" t="str">
        <f>HYPERLINK("http://www.rosaceae.org/gb/gbrowse/malus_x_domestica/?name=MDP0000241704","MDP0000241704")</f>
        <v>MDP0000241704</v>
      </c>
      <c r="D2368">
        <v>40.39</v>
      </c>
      <c r="E2368">
        <v>151</v>
      </c>
      <c r="F2368">
        <v>90</v>
      </c>
      <c r="G2368">
        <v>10</v>
      </c>
      <c r="H2368">
        <v>1</v>
      </c>
      <c r="I2368">
        <v>151</v>
      </c>
      <c r="J2368">
        <v>1</v>
      </c>
      <c r="K2368">
        <v>372</v>
      </c>
      <c r="L2368">
        <v>512</v>
      </c>
      <c r="M2368">
        <v>1</v>
      </c>
      <c r="N2368">
        <v>1.2174600000000001E-21</v>
      </c>
      <c r="O2368">
        <v>248</v>
      </c>
    </row>
    <row r="2369" spans="1:15" x14ac:dyDescent="0.25">
      <c r="A2369" t="s">
        <v>2382</v>
      </c>
      <c r="B2369">
        <v>635</v>
      </c>
      <c r="C2369" s="1" t="str">
        <f>HYPERLINK("http://www.rosaceae.org/gb/gbrowse/malus_x_domestica/?name=MDP0000290966","MDP0000290966")</f>
        <v>MDP0000290966</v>
      </c>
      <c r="D2369">
        <v>84.83</v>
      </c>
      <c r="E2369">
        <v>244</v>
      </c>
      <c r="F2369">
        <v>37</v>
      </c>
      <c r="G2369">
        <v>0</v>
      </c>
      <c r="H2369">
        <v>319</v>
      </c>
      <c r="I2369">
        <v>562</v>
      </c>
      <c r="J2369">
        <v>1</v>
      </c>
      <c r="K2369">
        <v>281</v>
      </c>
      <c r="L2369">
        <v>524</v>
      </c>
      <c r="M2369">
        <v>1</v>
      </c>
      <c r="N2369">
        <v>1.1218800000000001E-118</v>
      </c>
      <c r="O2369">
        <v>1091</v>
      </c>
    </row>
    <row r="2370" spans="1:15" x14ac:dyDescent="0.25">
      <c r="A2370" t="s">
        <v>2383</v>
      </c>
      <c r="B2370">
        <v>514</v>
      </c>
      <c r="C2370" s="1" t="str">
        <f>HYPERLINK("http://www.rosaceae.org/gb/gbrowse/malus_x_domestica/?name=MDP0000186417","MDP0000186417")</f>
        <v>MDP0000186417</v>
      </c>
      <c r="D2370">
        <v>55.96</v>
      </c>
      <c r="E2370">
        <v>218</v>
      </c>
      <c r="F2370">
        <v>96</v>
      </c>
      <c r="G2370">
        <v>16</v>
      </c>
      <c r="H2370">
        <v>1</v>
      </c>
      <c r="I2370">
        <v>218</v>
      </c>
      <c r="J2370">
        <v>1</v>
      </c>
      <c r="K2370">
        <v>1</v>
      </c>
      <c r="L2370">
        <v>202</v>
      </c>
      <c r="M2370">
        <v>1</v>
      </c>
      <c r="N2370">
        <v>4.3691799999999999E-65</v>
      </c>
      <c r="O2370">
        <v>628</v>
      </c>
    </row>
    <row r="2371" spans="1:15" x14ac:dyDescent="0.25">
      <c r="A2371" t="s">
        <v>2384</v>
      </c>
      <c r="B2371">
        <v>81</v>
      </c>
      <c r="C2371" s="1" t="str">
        <f>HYPERLINK("http://www.rosaceae.org/gb/gbrowse/malus_x_domestica/?name=MDP0000294334","MDP0000294334")</f>
        <v>MDP0000294334</v>
      </c>
      <c r="D2371">
        <v>45.13</v>
      </c>
      <c r="E2371">
        <v>113</v>
      </c>
      <c r="F2371">
        <v>62</v>
      </c>
      <c r="G2371">
        <v>39</v>
      </c>
      <c r="H2371">
        <v>1</v>
      </c>
      <c r="I2371">
        <v>75</v>
      </c>
      <c r="J2371">
        <v>1</v>
      </c>
      <c r="K2371">
        <v>16</v>
      </c>
      <c r="L2371">
        <v>127</v>
      </c>
      <c r="M2371">
        <v>1</v>
      </c>
      <c r="N2371">
        <v>5.31267E-16</v>
      </c>
      <c r="O2371">
        <v>195</v>
      </c>
    </row>
    <row r="2372" spans="1:15" x14ac:dyDescent="0.25">
      <c r="A2372" t="s">
        <v>2385</v>
      </c>
      <c r="B2372">
        <v>642</v>
      </c>
      <c r="C2372" s="1" t="str">
        <f>HYPERLINK("http://www.rosaceae.org/gb/gbrowse/malus_x_domestica/?name=MDP0000750392","MDP0000750392")</f>
        <v>MDP0000750392</v>
      </c>
      <c r="D2372">
        <v>57.84</v>
      </c>
      <c r="E2372">
        <v>669</v>
      </c>
      <c r="F2372">
        <v>282</v>
      </c>
      <c r="G2372">
        <v>39</v>
      </c>
      <c r="H2372">
        <v>9</v>
      </c>
      <c r="I2372">
        <v>642</v>
      </c>
      <c r="J2372">
        <v>1</v>
      </c>
      <c r="K2372">
        <v>150</v>
      </c>
      <c r="L2372">
        <v>814</v>
      </c>
      <c r="M2372">
        <v>1</v>
      </c>
      <c r="N2372">
        <v>0</v>
      </c>
      <c r="O2372">
        <v>1857</v>
      </c>
    </row>
    <row r="2373" spans="1:15" x14ac:dyDescent="0.25">
      <c r="A2373" t="s">
        <v>2386</v>
      </c>
      <c r="B2373">
        <v>358</v>
      </c>
      <c r="C2373" s="1" t="str">
        <f>HYPERLINK("http://www.rosaceae.org/gb/gbrowse/malus_x_domestica/?name=MDP0000487242","MDP0000487242")</f>
        <v>MDP0000487242</v>
      </c>
      <c r="D2373">
        <v>66.3</v>
      </c>
      <c r="E2373">
        <v>273</v>
      </c>
      <c r="F2373">
        <v>92</v>
      </c>
      <c r="G2373">
        <v>11</v>
      </c>
      <c r="H2373">
        <v>9</v>
      </c>
      <c r="I2373">
        <v>276</v>
      </c>
      <c r="J2373">
        <v>1</v>
      </c>
      <c r="K2373">
        <v>185</v>
      </c>
      <c r="L2373">
        <v>451</v>
      </c>
      <c r="M2373">
        <v>1</v>
      </c>
      <c r="N2373">
        <v>1.09872E-97</v>
      </c>
      <c r="O2373">
        <v>907</v>
      </c>
    </row>
    <row r="2374" spans="1:15" x14ac:dyDescent="0.25">
      <c r="A2374" t="s">
        <v>2387</v>
      </c>
      <c r="B2374">
        <v>1333</v>
      </c>
      <c r="C2374" s="1" t="str">
        <f>HYPERLINK("http://www.rosaceae.org/gb/gbrowse/malus_x_domestica/?name=MDP0000322688","MDP0000322688")</f>
        <v>MDP0000322688</v>
      </c>
      <c r="D2374">
        <v>56.74</v>
      </c>
      <c r="E2374">
        <v>393</v>
      </c>
      <c r="F2374">
        <v>170</v>
      </c>
      <c r="G2374">
        <v>51</v>
      </c>
      <c r="H2374">
        <v>791</v>
      </c>
      <c r="I2374">
        <v>1136</v>
      </c>
      <c r="J2374">
        <v>1</v>
      </c>
      <c r="K2374">
        <v>8</v>
      </c>
      <c r="L2374">
        <v>396</v>
      </c>
      <c r="M2374">
        <v>1</v>
      </c>
      <c r="N2374">
        <v>1.07362E-113</v>
      </c>
      <c r="O2374">
        <v>1051</v>
      </c>
    </row>
    <row r="2375" spans="1:15" x14ac:dyDescent="0.25">
      <c r="A2375" t="s">
        <v>2388</v>
      </c>
      <c r="B2375">
        <v>112</v>
      </c>
      <c r="C2375" s="1" t="str">
        <f>HYPERLINK("http://www.rosaceae.org/gb/gbrowse/malus_x_domestica/?name=MDP0000810899","MDP0000810899")</f>
        <v>MDP0000810899</v>
      </c>
      <c r="D2375">
        <v>46.93</v>
      </c>
      <c r="E2375">
        <v>49</v>
      </c>
      <c r="F2375">
        <v>26</v>
      </c>
      <c r="G2375">
        <v>2</v>
      </c>
      <c r="H2375">
        <v>49</v>
      </c>
      <c r="I2375">
        <v>97</v>
      </c>
      <c r="J2375">
        <v>1</v>
      </c>
      <c r="K2375">
        <v>381</v>
      </c>
      <c r="L2375">
        <v>427</v>
      </c>
      <c r="M2375">
        <v>1</v>
      </c>
      <c r="N2375">
        <v>2.2335900000000001E-7</v>
      </c>
      <c r="O2375">
        <v>121</v>
      </c>
    </row>
    <row r="2376" spans="1:15" x14ac:dyDescent="0.25">
      <c r="A2376" t="s">
        <v>2389</v>
      </c>
      <c r="B2376">
        <v>285</v>
      </c>
      <c r="C2376" s="1" t="str">
        <f>HYPERLINK("http://www.rosaceae.org/gb/gbrowse/malus_x_domestica/?name=MDP0000629143","MDP0000629143")</f>
        <v>MDP0000629143</v>
      </c>
      <c r="D2376">
        <v>64.239999999999995</v>
      </c>
      <c r="E2376">
        <v>330</v>
      </c>
      <c r="F2376">
        <v>118</v>
      </c>
      <c r="G2376">
        <v>75</v>
      </c>
      <c r="H2376">
        <v>7</v>
      </c>
      <c r="I2376">
        <v>261</v>
      </c>
      <c r="J2376">
        <v>1</v>
      </c>
      <c r="K2376">
        <v>13</v>
      </c>
      <c r="L2376">
        <v>342</v>
      </c>
      <c r="M2376">
        <v>1</v>
      </c>
      <c r="N2376">
        <v>3.0144499999999997E-113</v>
      </c>
      <c r="O2376">
        <v>1040</v>
      </c>
    </row>
    <row r="2377" spans="1:15" x14ac:dyDescent="0.25">
      <c r="A2377" t="s">
        <v>2390</v>
      </c>
      <c r="B2377">
        <v>194</v>
      </c>
      <c r="C2377" s="1" t="str">
        <f>HYPERLINK("http://www.rosaceae.org/gb/gbrowse/malus_x_domestica/?name=MDP0000469141","MDP0000469141")</f>
        <v>MDP0000469141</v>
      </c>
      <c r="D2377">
        <v>67.209999999999994</v>
      </c>
      <c r="E2377">
        <v>61</v>
      </c>
      <c r="F2377">
        <v>20</v>
      </c>
      <c r="G2377">
        <v>0</v>
      </c>
      <c r="H2377">
        <v>110</v>
      </c>
      <c r="I2377">
        <v>170</v>
      </c>
      <c r="J2377">
        <v>1</v>
      </c>
      <c r="K2377">
        <v>680</v>
      </c>
      <c r="L2377">
        <v>740</v>
      </c>
      <c r="M2377">
        <v>1</v>
      </c>
      <c r="N2377">
        <v>8.7542800000000002E-17</v>
      </c>
      <c r="O2377">
        <v>206</v>
      </c>
    </row>
    <row r="2378" spans="1:15" x14ac:dyDescent="0.25">
      <c r="A2378" t="s">
        <v>2391</v>
      </c>
      <c r="B2378">
        <v>313</v>
      </c>
      <c r="C2378" s="1" t="str">
        <f>HYPERLINK("http://www.rosaceae.org/gb/gbrowse/malus_x_domestica/?name=MDP0000175918","MDP0000175918")</f>
        <v>MDP0000175918</v>
      </c>
      <c r="D2378">
        <v>63.52</v>
      </c>
      <c r="E2378">
        <v>329</v>
      </c>
      <c r="F2378">
        <v>120</v>
      </c>
      <c r="G2378">
        <v>42</v>
      </c>
      <c r="H2378">
        <v>1</v>
      </c>
      <c r="I2378">
        <v>310</v>
      </c>
      <c r="J2378">
        <v>1</v>
      </c>
      <c r="K2378">
        <v>1</v>
      </c>
      <c r="L2378">
        <v>306</v>
      </c>
      <c r="M2378">
        <v>1</v>
      </c>
      <c r="N2378">
        <v>9.1773799999999996E-102</v>
      </c>
      <c r="O2378">
        <v>942</v>
      </c>
    </row>
    <row r="2379" spans="1:15" x14ac:dyDescent="0.25">
      <c r="A2379" t="s">
        <v>2392</v>
      </c>
      <c r="B2379">
        <v>423</v>
      </c>
      <c r="C2379" s="1" t="str">
        <f>HYPERLINK("http://www.rosaceae.org/gb/gbrowse/malus_x_domestica/?name=MDP0000531313","MDP0000531313")</f>
        <v>MDP0000531313</v>
      </c>
      <c r="D2379">
        <v>55.9</v>
      </c>
      <c r="E2379">
        <v>415</v>
      </c>
      <c r="F2379">
        <v>183</v>
      </c>
      <c r="G2379">
        <v>42</v>
      </c>
      <c r="H2379">
        <v>1</v>
      </c>
      <c r="I2379">
        <v>394</v>
      </c>
      <c r="J2379">
        <v>1</v>
      </c>
      <c r="K2379">
        <v>1</v>
      </c>
      <c r="L2379">
        <v>394</v>
      </c>
      <c r="M2379">
        <v>1</v>
      </c>
      <c r="N2379">
        <v>2.3367300000000001E-101</v>
      </c>
      <c r="O2379">
        <v>940</v>
      </c>
    </row>
    <row r="2380" spans="1:15" x14ac:dyDescent="0.25">
      <c r="A2380" t="s">
        <v>2393</v>
      </c>
      <c r="B2380">
        <v>207</v>
      </c>
      <c r="C2380" s="1" t="str">
        <f>HYPERLINK("http://www.rosaceae.org/gb/gbrowse/malus_x_domestica/?name=MDP0000126125","MDP0000126125")</f>
        <v>MDP0000126125</v>
      </c>
      <c r="D2380">
        <v>72.94</v>
      </c>
      <c r="E2380">
        <v>207</v>
      </c>
      <c r="F2380">
        <v>56</v>
      </c>
      <c r="G2380">
        <v>0</v>
      </c>
      <c r="H2380">
        <v>1</v>
      </c>
      <c r="I2380">
        <v>207</v>
      </c>
      <c r="J2380">
        <v>1</v>
      </c>
      <c r="K2380">
        <v>1</v>
      </c>
      <c r="L2380">
        <v>207</v>
      </c>
      <c r="M2380">
        <v>1</v>
      </c>
      <c r="N2380">
        <v>6.0926600000000002E-78</v>
      </c>
      <c r="O2380">
        <v>734</v>
      </c>
    </row>
    <row r="2381" spans="1:15" x14ac:dyDescent="0.25">
      <c r="A2381" t="s">
        <v>2394</v>
      </c>
      <c r="B2381">
        <v>211</v>
      </c>
      <c r="C2381" s="1" t="str">
        <f>HYPERLINK("http://www.rosaceae.org/gb/gbrowse/malus_x_domestica/?name=MDP0000176803","MDP0000176803")</f>
        <v>MDP0000176803</v>
      </c>
      <c r="D2381">
        <v>85.3</v>
      </c>
      <c r="E2381">
        <v>211</v>
      </c>
      <c r="F2381">
        <v>31</v>
      </c>
      <c r="G2381">
        <v>0</v>
      </c>
      <c r="H2381">
        <v>1</v>
      </c>
      <c r="I2381">
        <v>211</v>
      </c>
      <c r="J2381">
        <v>1</v>
      </c>
      <c r="K2381">
        <v>1029</v>
      </c>
      <c r="L2381">
        <v>1239</v>
      </c>
      <c r="M2381">
        <v>1</v>
      </c>
      <c r="N2381">
        <v>4.6398000000000002E-107</v>
      </c>
      <c r="O2381">
        <v>985</v>
      </c>
    </row>
    <row r="2382" spans="1:15" x14ac:dyDescent="0.25">
      <c r="A2382" t="s">
        <v>2395</v>
      </c>
      <c r="B2382">
        <v>473</v>
      </c>
      <c r="C2382" s="1" t="str">
        <f>HYPERLINK("http://www.rosaceae.org/gb/gbrowse/malus_x_domestica/?name=MDP0000736451","MDP0000736451")</f>
        <v>MDP0000736451</v>
      </c>
      <c r="D2382">
        <v>64.069999999999993</v>
      </c>
      <c r="E2382">
        <v>476</v>
      </c>
      <c r="F2382">
        <v>171</v>
      </c>
      <c r="G2382">
        <v>18</v>
      </c>
      <c r="H2382">
        <v>1</v>
      </c>
      <c r="I2382">
        <v>470</v>
      </c>
      <c r="J2382">
        <v>1</v>
      </c>
      <c r="K2382">
        <v>1</v>
      </c>
      <c r="L2382">
        <v>464</v>
      </c>
      <c r="M2382">
        <v>1</v>
      </c>
      <c r="N2382">
        <v>2.7342699999999999E-157</v>
      </c>
      <c r="O2382">
        <v>1423</v>
      </c>
    </row>
    <row r="2383" spans="1:15" x14ac:dyDescent="0.25">
      <c r="A2383" t="s">
        <v>2396</v>
      </c>
      <c r="B2383">
        <v>403</v>
      </c>
      <c r="C2383" s="1" t="str">
        <f>HYPERLINK("http://www.rosaceae.org/gb/gbrowse/malus_x_domestica/?name=MDP0000811085","MDP0000811085")</f>
        <v>MDP0000811085</v>
      </c>
      <c r="D2383">
        <v>43.46</v>
      </c>
      <c r="E2383">
        <v>421</v>
      </c>
      <c r="F2383">
        <v>238</v>
      </c>
      <c r="G2383">
        <v>60</v>
      </c>
      <c r="H2383">
        <v>32</v>
      </c>
      <c r="I2383">
        <v>402</v>
      </c>
      <c r="J2383">
        <v>1</v>
      </c>
      <c r="K2383">
        <v>2</v>
      </c>
      <c r="L2383">
        <v>412</v>
      </c>
      <c r="M2383">
        <v>1</v>
      </c>
      <c r="N2383">
        <v>4.2544199999999996E-83</v>
      </c>
      <c r="O2383">
        <v>782</v>
      </c>
    </row>
    <row r="2384" spans="1:15" x14ac:dyDescent="0.25">
      <c r="A2384" t="s">
        <v>2397</v>
      </c>
      <c r="B2384">
        <v>523</v>
      </c>
      <c r="C2384" s="1" t="str">
        <f>HYPERLINK("http://www.rosaceae.org/gb/gbrowse/malus_x_domestica/?name=MDP0000453148","MDP0000453148")</f>
        <v>MDP0000453148</v>
      </c>
      <c r="D2384">
        <v>75.38</v>
      </c>
      <c r="E2384">
        <v>524</v>
      </c>
      <c r="F2384">
        <v>129</v>
      </c>
      <c r="G2384">
        <v>10</v>
      </c>
      <c r="H2384">
        <v>1</v>
      </c>
      <c r="I2384">
        <v>518</v>
      </c>
      <c r="J2384">
        <v>1</v>
      </c>
      <c r="K2384">
        <v>1</v>
      </c>
      <c r="L2384">
        <v>520</v>
      </c>
      <c r="M2384">
        <v>1</v>
      </c>
      <c r="N2384">
        <v>0</v>
      </c>
      <c r="O2384">
        <v>2079</v>
      </c>
    </row>
    <row r="2385" spans="1:15" x14ac:dyDescent="0.25">
      <c r="A2385" t="s">
        <v>2398</v>
      </c>
      <c r="B2385">
        <v>877</v>
      </c>
      <c r="C2385" s="1" t="str">
        <f>HYPERLINK("http://www.rosaceae.org/gb/gbrowse/malus_x_domestica/?name=MDP0000138862","MDP0000138862")</f>
        <v>MDP0000138862</v>
      </c>
      <c r="D2385">
        <v>52.03</v>
      </c>
      <c r="E2385">
        <v>932</v>
      </c>
      <c r="F2385">
        <v>447</v>
      </c>
      <c r="G2385">
        <v>100</v>
      </c>
      <c r="H2385">
        <v>7</v>
      </c>
      <c r="I2385">
        <v>862</v>
      </c>
      <c r="J2385">
        <v>1</v>
      </c>
      <c r="K2385">
        <v>15</v>
      </c>
      <c r="L2385">
        <v>922</v>
      </c>
      <c r="M2385">
        <v>1</v>
      </c>
      <c r="N2385">
        <v>0</v>
      </c>
      <c r="O2385">
        <v>1994</v>
      </c>
    </row>
    <row r="2386" spans="1:15" x14ac:dyDescent="0.25">
      <c r="A2386" t="s">
        <v>2399</v>
      </c>
      <c r="B2386">
        <v>599</v>
      </c>
      <c r="C2386" s="1" t="str">
        <f>HYPERLINK("http://www.rosaceae.org/gb/gbrowse/malus_x_domestica/?name=MDP0000652500","MDP0000652500")</f>
        <v>MDP0000652500</v>
      </c>
      <c r="D2386">
        <v>62.19</v>
      </c>
      <c r="E2386">
        <v>619</v>
      </c>
      <c r="F2386">
        <v>234</v>
      </c>
      <c r="G2386">
        <v>24</v>
      </c>
      <c r="H2386">
        <v>1</v>
      </c>
      <c r="I2386">
        <v>599</v>
      </c>
      <c r="J2386">
        <v>1</v>
      </c>
      <c r="K2386">
        <v>1</v>
      </c>
      <c r="L2386">
        <v>615</v>
      </c>
      <c r="M2386">
        <v>1</v>
      </c>
      <c r="N2386">
        <v>0</v>
      </c>
      <c r="O2386">
        <v>1850</v>
      </c>
    </row>
    <row r="2387" spans="1:15" x14ac:dyDescent="0.25">
      <c r="A2387" t="s">
        <v>2400</v>
      </c>
      <c r="B2387">
        <v>775</v>
      </c>
      <c r="C2387" s="1" t="str">
        <f>HYPERLINK("http://www.rosaceae.org/gb/gbrowse/malus_x_domestica/?name=MDP0000223735","MDP0000223735")</f>
        <v>MDP0000223735</v>
      </c>
      <c r="D2387">
        <v>88.01</v>
      </c>
      <c r="E2387">
        <v>776</v>
      </c>
      <c r="F2387">
        <v>93</v>
      </c>
      <c r="G2387">
        <v>2</v>
      </c>
      <c r="H2387">
        <v>1</v>
      </c>
      <c r="I2387">
        <v>775</v>
      </c>
      <c r="J2387">
        <v>1</v>
      </c>
      <c r="K2387">
        <v>1</v>
      </c>
      <c r="L2387">
        <v>775</v>
      </c>
      <c r="M2387">
        <v>1</v>
      </c>
      <c r="N2387">
        <v>0</v>
      </c>
      <c r="O2387">
        <v>3654</v>
      </c>
    </row>
    <row r="2388" spans="1:15" x14ac:dyDescent="0.25">
      <c r="A2388" t="s">
        <v>2401</v>
      </c>
      <c r="B2388">
        <v>363</v>
      </c>
      <c r="C2388" s="1" t="str">
        <f>HYPERLINK("http://www.rosaceae.org/gb/gbrowse/malus_x_domestica/?name=MDP0000296258","MDP0000296258")</f>
        <v>MDP0000296258</v>
      </c>
      <c r="D2388">
        <v>71.959999999999994</v>
      </c>
      <c r="E2388">
        <v>346</v>
      </c>
      <c r="F2388">
        <v>97</v>
      </c>
      <c r="G2388">
        <v>0</v>
      </c>
      <c r="H2388">
        <v>1</v>
      </c>
      <c r="I2388">
        <v>346</v>
      </c>
      <c r="J2388">
        <v>1</v>
      </c>
      <c r="K2388">
        <v>1</v>
      </c>
      <c r="L2388">
        <v>346</v>
      </c>
      <c r="M2388">
        <v>1</v>
      </c>
      <c r="N2388">
        <v>3.5801300000000002E-148</v>
      </c>
      <c r="O2388">
        <v>1343</v>
      </c>
    </row>
    <row r="2389" spans="1:15" x14ac:dyDescent="0.25">
      <c r="A2389" t="s">
        <v>2402</v>
      </c>
      <c r="B2389">
        <v>513</v>
      </c>
      <c r="C2389" s="1" t="str">
        <f>HYPERLINK("http://www.rosaceae.org/gb/gbrowse/malus_x_domestica/?name=MDP0000265164","MDP0000265164")</f>
        <v>MDP0000265164</v>
      </c>
      <c r="D2389">
        <v>37.4</v>
      </c>
      <c r="E2389">
        <v>500</v>
      </c>
      <c r="F2389">
        <v>313</v>
      </c>
      <c r="G2389">
        <v>65</v>
      </c>
      <c r="H2389">
        <v>16</v>
      </c>
      <c r="I2389">
        <v>499</v>
      </c>
      <c r="J2389">
        <v>1</v>
      </c>
      <c r="K2389">
        <v>616</v>
      </c>
      <c r="L2389">
        <v>1066</v>
      </c>
      <c r="M2389">
        <v>1</v>
      </c>
      <c r="N2389">
        <v>1.0900000000000001E-68</v>
      </c>
      <c r="O2389">
        <v>659</v>
      </c>
    </row>
    <row r="2390" spans="1:15" x14ac:dyDescent="0.25">
      <c r="A2390" t="s">
        <v>2403</v>
      </c>
      <c r="B2390">
        <v>318</v>
      </c>
      <c r="C2390" s="1" t="str">
        <f>HYPERLINK("http://www.rosaceae.org/gb/gbrowse/malus_x_domestica/?name=MDP0000219850","MDP0000219850")</f>
        <v>MDP0000219850</v>
      </c>
      <c r="D2390">
        <v>67.709999999999994</v>
      </c>
      <c r="E2390">
        <v>319</v>
      </c>
      <c r="F2390">
        <v>103</v>
      </c>
      <c r="G2390">
        <v>37</v>
      </c>
      <c r="H2390">
        <v>1</v>
      </c>
      <c r="I2390">
        <v>317</v>
      </c>
      <c r="J2390">
        <v>1</v>
      </c>
      <c r="K2390">
        <v>116</v>
      </c>
      <c r="L2390">
        <v>399</v>
      </c>
      <c r="M2390">
        <v>1</v>
      </c>
      <c r="N2390">
        <v>1.88444E-118</v>
      </c>
      <c r="O2390">
        <v>1086</v>
      </c>
    </row>
    <row r="2391" spans="1:15" x14ac:dyDescent="0.25">
      <c r="A2391" t="s">
        <v>2404</v>
      </c>
      <c r="B2391">
        <v>468</v>
      </c>
      <c r="C2391" s="1" t="str">
        <f>HYPERLINK("http://www.rosaceae.org/gb/gbrowse/malus_x_domestica/?name=MDP0000171364","MDP0000171364")</f>
        <v>MDP0000171364</v>
      </c>
      <c r="D2391">
        <v>62.76</v>
      </c>
      <c r="E2391">
        <v>239</v>
      </c>
      <c r="F2391">
        <v>89</v>
      </c>
      <c r="G2391">
        <v>0</v>
      </c>
      <c r="H2391">
        <v>1</v>
      </c>
      <c r="I2391">
        <v>239</v>
      </c>
      <c r="J2391">
        <v>1</v>
      </c>
      <c r="K2391">
        <v>1</v>
      </c>
      <c r="L2391">
        <v>239</v>
      </c>
      <c r="M2391">
        <v>1</v>
      </c>
      <c r="N2391">
        <v>4.2928099999999998E-79</v>
      </c>
      <c r="O2391">
        <v>748</v>
      </c>
    </row>
    <row r="2392" spans="1:15" x14ac:dyDescent="0.25">
      <c r="A2392" t="s">
        <v>2405</v>
      </c>
      <c r="B2392">
        <v>814</v>
      </c>
      <c r="C2392" s="1" t="str">
        <f>HYPERLINK("http://www.rosaceae.org/gb/gbrowse/malus_x_domestica/?name=MDP0000386960","MDP0000386960")</f>
        <v>MDP0000386960</v>
      </c>
      <c r="D2392">
        <v>80.09</v>
      </c>
      <c r="E2392">
        <v>633</v>
      </c>
      <c r="F2392">
        <v>126</v>
      </c>
      <c r="G2392">
        <v>2</v>
      </c>
      <c r="H2392">
        <v>163</v>
      </c>
      <c r="I2392">
        <v>795</v>
      </c>
      <c r="J2392">
        <v>1</v>
      </c>
      <c r="K2392">
        <v>1</v>
      </c>
      <c r="L2392">
        <v>631</v>
      </c>
      <c r="M2392">
        <v>1</v>
      </c>
      <c r="N2392">
        <v>0</v>
      </c>
      <c r="O2392">
        <v>2682</v>
      </c>
    </row>
    <row r="2393" spans="1:15" x14ac:dyDescent="0.25">
      <c r="A2393" t="s">
        <v>2406</v>
      </c>
      <c r="B2393">
        <v>751</v>
      </c>
      <c r="C2393" s="1" t="str">
        <f>HYPERLINK("http://www.rosaceae.org/gb/gbrowse/malus_x_domestica/?name=MDP0000292367","MDP0000292367")</f>
        <v>MDP0000292367</v>
      </c>
      <c r="D2393">
        <v>83.14</v>
      </c>
      <c r="E2393">
        <v>694</v>
      </c>
      <c r="F2393">
        <v>117</v>
      </c>
      <c r="G2393">
        <v>16</v>
      </c>
      <c r="H2393">
        <v>60</v>
      </c>
      <c r="I2393">
        <v>749</v>
      </c>
      <c r="J2393">
        <v>1</v>
      </c>
      <c r="K2393">
        <v>121</v>
      </c>
      <c r="L2393">
        <v>802</v>
      </c>
      <c r="M2393">
        <v>1</v>
      </c>
      <c r="N2393">
        <v>0</v>
      </c>
      <c r="O2393">
        <v>2964</v>
      </c>
    </row>
    <row r="2394" spans="1:15" x14ac:dyDescent="0.25">
      <c r="A2394" t="s">
        <v>2407</v>
      </c>
      <c r="B2394">
        <v>708</v>
      </c>
      <c r="C2394" s="1" t="str">
        <f>HYPERLINK("http://www.rosaceae.org/gb/gbrowse/malus_x_domestica/?name=MDP0000291386","MDP0000291386")</f>
        <v>MDP0000291386</v>
      </c>
      <c r="D2394">
        <v>69.650000000000006</v>
      </c>
      <c r="E2394">
        <v>725</v>
      </c>
      <c r="F2394">
        <v>220</v>
      </c>
      <c r="G2394">
        <v>27</v>
      </c>
      <c r="H2394">
        <v>1</v>
      </c>
      <c r="I2394">
        <v>703</v>
      </c>
      <c r="J2394">
        <v>1</v>
      </c>
      <c r="K2394">
        <v>81</v>
      </c>
      <c r="L2394">
        <v>800</v>
      </c>
      <c r="M2394">
        <v>1</v>
      </c>
      <c r="N2394">
        <v>0</v>
      </c>
      <c r="O2394">
        <v>2642</v>
      </c>
    </row>
    <row r="2395" spans="1:15" x14ac:dyDescent="0.25">
      <c r="A2395" t="s">
        <v>2408</v>
      </c>
      <c r="B2395">
        <v>247</v>
      </c>
      <c r="C2395" s="1" t="str">
        <f>HYPERLINK("http://www.rosaceae.org/gb/gbrowse/malus_x_domestica/?name=MDP0000135025","MDP0000135025")</f>
        <v>MDP0000135025</v>
      </c>
      <c r="D2395">
        <v>83.78</v>
      </c>
      <c r="E2395">
        <v>37</v>
      </c>
      <c r="F2395">
        <v>6</v>
      </c>
      <c r="G2395">
        <v>0</v>
      </c>
      <c r="H2395">
        <v>6</v>
      </c>
      <c r="I2395">
        <v>42</v>
      </c>
      <c r="J2395">
        <v>1</v>
      </c>
      <c r="K2395">
        <v>184</v>
      </c>
      <c r="L2395">
        <v>220</v>
      </c>
      <c r="M2395">
        <v>1</v>
      </c>
      <c r="N2395">
        <v>7.4730600000000006E-14</v>
      </c>
      <c r="O2395">
        <v>182</v>
      </c>
    </row>
    <row r="2396" spans="1:15" x14ac:dyDescent="0.25">
      <c r="A2396" t="s">
        <v>2409</v>
      </c>
      <c r="B2396">
        <v>485</v>
      </c>
      <c r="C2396" s="1" t="str">
        <f>HYPERLINK("http://www.rosaceae.org/gb/gbrowse/malus_x_domestica/?name=MDP0000266286","MDP0000266286")</f>
        <v>MDP0000266286</v>
      </c>
      <c r="D2396">
        <v>67.14</v>
      </c>
      <c r="E2396">
        <v>490</v>
      </c>
      <c r="F2396">
        <v>161</v>
      </c>
      <c r="G2396">
        <v>28</v>
      </c>
      <c r="H2396">
        <v>1</v>
      </c>
      <c r="I2396">
        <v>469</v>
      </c>
      <c r="J2396">
        <v>1</v>
      </c>
      <c r="K2396">
        <v>1</v>
      </c>
      <c r="L2396">
        <v>483</v>
      </c>
      <c r="M2396">
        <v>1</v>
      </c>
      <c r="N2396">
        <v>0</v>
      </c>
      <c r="O2396">
        <v>1702</v>
      </c>
    </row>
    <row r="2397" spans="1:15" x14ac:dyDescent="0.25">
      <c r="A2397" t="s">
        <v>2410</v>
      </c>
      <c r="B2397">
        <v>416</v>
      </c>
      <c r="C2397" s="1" t="str">
        <f>HYPERLINK("http://www.rosaceae.org/gb/gbrowse/malus_x_domestica/?name=MDP0000250455","MDP0000250455")</f>
        <v>MDP0000250455</v>
      </c>
      <c r="D2397">
        <v>35.74</v>
      </c>
      <c r="E2397">
        <v>414</v>
      </c>
      <c r="F2397">
        <v>266</v>
      </c>
      <c r="G2397">
        <v>50</v>
      </c>
      <c r="H2397">
        <v>1</v>
      </c>
      <c r="I2397">
        <v>407</v>
      </c>
      <c r="J2397">
        <v>1</v>
      </c>
      <c r="K2397">
        <v>483</v>
      </c>
      <c r="L2397">
        <v>853</v>
      </c>
      <c r="M2397">
        <v>1</v>
      </c>
      <c r="N2397">
        <v>2.7856499999999999E-51</v>
      </c>
      <c r="O2397">
        <v>508</v>
      </c>
    </row>
    <row r="2398" spans="1:15" x14ac:dyDescent="0.25">
      <c r="A2398" t="s">
        <v>2411</v>
      </c>
      <c r="B2398">
        <v>616</v>
      </c>
      <c r="C2398" s="1" t="str">
        <f>HYPERLINK("http://www.rosaceae.org/gb/gbrowse/malus_x_domestica/?name=MDP0000179676","MDP0000179676")</f>
        <v>MDP0000179676</v>
      </c>
      <c r="D2398">
        <v>36.82</v>
      </c>
      <c r="E2398">
        <v>516</v>
      </c>
      <c r="F2398">
        <v>326</v>
      </c>
      <c r="G2398">
        <v>82</v>
      </c>
      <c r="H2398">
        <v>174</v>
      </c>
      <c r="I2398">
        <v>613</v>
      </c>
      <c r="J2398">
        <v>1</v>
      </c>
      <c r="K2398">
        <v>277</v>
      </c>
      <c r="L2398">
        <v>786</v>
      </c>
      <c r="M2398">
        <v>1</v>
      </c>
      <c r="N2398">
        <v>5.2190799999999998E-90</v>
      </c>
      <c r="O2398">
        <v>844</v>
      </c>
    </row>
    <row r="2399" spans="1:15" x14ac:dyDescent="0.25">
      <c r="A2399" t="s">
        <v>2412</v>
      </c>
      <c r="B2399">
        <v>147</v>
      </c>
      <c r="C2399" s="1" t="str">
        <f>HYPERLINK("http://www.rosaceae.org/gb/gbrowse/malus_x_domestica/?name=MDP0000380330","MDP0000380330")</f>
        <v>MDP0000380330</v>
      </c>
      <c r="D2399">
        <v>95.91</v>
      </c>
      <c r="E2399">
        <v>147</v>
      </c>
      <c r="F2399">
        <v>6</v>
      </c>
      <c r="G2399">
        <v>0</v>
      </c>
      <c r="H2399">
        <v>1</v>
      </c>
      <c r="I2399">
        <v>147</v>
      </c>
      <c r="J2399">
        <v>1</v>
      </c>
      <c r="K2399">
        <v>1</v>
      </c>
      <c r="L2399">
        <v>147</v>
      </c>
      <c r="M2399">
        <v>1</v>
      </c>
      <c r="N2399">
        <v>2.3902499999999998E-78</v>
      </c>
      <c r="O2399">
        <v>735</v>
      </c>
    </row>
    <row r="2400" spans="1:15" x14ac:dyDescent="0.25">
      <c r="A2400" t="s">
        <v>2413</v>
      </c>
      <c r="B2400">
        <v>604</v>
      </c>
      <c r="C2400" s="1" t="str">
        <f>HYPERLINK("http://www.rosaceae.org/gb/gbrowse/malus_x_domestica/?name=MDP0000208346","MDP0000208346")</f>
        <v>MDP0000208346</v>
      </c>
      <c r="D2400">
        <v>76.08</v>
      </c>
      <c r="E2400">
        <v>368</v>
      </c>
      <c r="F2400">
        <v>88</v>
      </c>
      <c r="G2400">
        <v>38</v>
      </c>
      <c r="H2400">
        <v>29</v>
      </c>
      <c r="I2400">
        <v>368</v>
      </c>
      <c r="J2400">
        <v>1</v>
      </c>
      <c r="K2400">
        <v>29</v>
      </c>
      <c r="L2400">
        <v>386</v>
      </c>
      <c r="M2400">
        <v>1</v>
      </c>
      <c r="N2400">
        <v>1.2502000000000001E-159</v>
      </c>
      <c r="O2400">
        <v>1444</v>
      </c>
    </row>
    <row r="2401" spans="1:15" x14ac:dyDescent="0.25">
      <c r="A2401" t="s">
        <v>2414</v>
      </c>
      <c r="B2401">
        <v>144</v>
      </c>
      <c r="C2401" s="1" t="str">
        <f>HYPERLINK("http://www.rosaceae.org/gb/gbrowse/malus_x_domestica/?name=MDP0000229273","MDP0000229273")</f>
        <v>MDP0000229273</v>
      </c>
      <c r="D2401">
        <v>36.42</v>
      </c>
      <c r="E2401">
        <v>151</v>
      </c>
      <c r="F2401">
        <v>96</v>
      </c>
      <c r="G2401">
        <v>25</v>
      </c>
      <c r="H2401">
        <v>1</v>
      </c>
      <c r="I2401">
        <v>144</v>
      </c>
      <c r="J2401">
        <v>1</v>
      </c>
      <c r="K2401">
        <v>255</v>
      </c>
      <c r="L2401">
        <v>387</v>
      </c>
      <c r="M2401">
        <v>1</v>
      </c>
      <c r="N2401">
        <v>6.8419399999999995E-14</v>
      </c>
      <c r="O2401">
        <v>179</v>
      </c>
    </row>
    <row r="2402" spans="1:15" x14ac:dyDescent="0.25">
      <c r="A2402" t="s">
        <v>2415</v>
      </c>
      <c r="B2402">
        <v>106</v>
      </c>
      <c r="C2402" s="1" t="str">
        <f>HYPERLINK("http://www.rosaceae.org/gb/gbrowse/malus_x_domestica/?name=MDP0000096099","MDP0000096099")</f>
        <v>MDP0000096099</v>
      </c>
      <c r="D2402">
        <v>92.45</v>
      </c>
      <c r="E2402">
        <v>106</v>
      </c>
      <c r="F2402">
        <v>8</v>
      </c>
      <c r="G2402">
        <v>0</v>
      </c>
      <c r="H2402">
        <v>1</v>
      </c>
      <c r="I2402">
        <v>106</v>
      </c>
      <c r="J2402">
        <v>1</v>
      </c>
      <c r="K2402">
        <v>64</v>
      </c>
      <c r="L2402">
        <v>169</v>
      </c>
      <c r="M2402">
        <v>1</v>
      </c>
      <c r="N2402">
        <v>2.03141E-53</v>
      </c>
      <c r="O2402">
        <v>518</v>
      </c>
    </row>
    <row r="2403" spans="1:15" x14ac:dyDescent="0.25">
      <c r="A2403" t="s">
        <v>2416</v>
      </c>
      <c r="B2403">
        <v>1166</v>
      </c>
      <c r="C2403" s="1" t="str">
        <f>HYPERLINK("http://www.rosaceae.org/gb/gbrowse/malus_x_domestica/?name=MDP0000316944","MDP0000316944")</f>
        <v>MDP0000316944</v>
      </c>
      <c r="D2403">
        <v>85.82</v>
      </c>
      <c r="E2403">
        <v>1129</v>
      </c>
      <c r="F2403">
        <v>160</v>
      </c>
      <c r="G2403">
        <v>15</v>
      </c>
      <c r="H2403">
        <v>36</v>
      </c>
      <c r="I2403">
        <v>1151</v>
      </c>
      <c r="J2403">
        <v>1</v>
      </c>
      <c r="K2403">
        <v>98</v>
      </c>
      <c r="L2403">
        <v>1224</v>
      </c>
      <c r="M2403">
        <v>1</v>
      </c>
      <c r="N2403">
        <v>0</v>
      </c>
      <c r="O2403">
        <v>5202</v>
      </c>
    </row>
    <row r="2404" spans="1:15" x14ac:dyDescent="0.25">
      <c r="A2404" t="s">
        <v>2417</v>
      </c>
      <c r="B2404">
        <v>929</v>
      </c>
      <c r="C2404" s="1" t="str">
        <f>HYPERLINK("http://www.rosaceae.org/gb/gbrowse/malus_x_domestica/?name=MDP0000209731","MDP0000209731")</f>
        <v>MDP0000209731</v>
      </c>
      <c r="D2404">
        <v>84.69</v>
      </c>
      <c r="E2404">
        <v>477</v>
      </c>
      <c r="F2404">
        <v>73</v>
      </c>
      <c r="G2404">
        <v>5</v>
      </c>
      <c r="H2404">
        <v>457</v>
      </c>
      <c r="I2404">
        <v>929</v>
      </c>
      <c r="J2404">
        <v>1</v>
      </c>
      <c r="K2404">
        <v>1</v>
      </c>
      <c r="L2404">
        <v>476</v>
      </c>
      <c r="M2404">
        <v>1</v>
      </c>
      <c r="N2404">
        <v>0</v>
      </c>
      <c r="O2404">
        <v>2147</v>
      </c>
    </row>
    <row r="2405" spans="1:15" x14ac:dyDescent="0.25">
      <c r="A2405" t="s">
        <v>2418</v>
      </c>
      <c r="B2405">
        <v>178</v>
      </c>
      <c r="C2405" s="1" t="str">
        <f>HYPERLINK("http://www.rosaceae.org/gb/gbrowse/malus_x_domestica/?name=MDP0000683044","MDP0000683044")</f>
        <v>MDP0000683044</v>
      </c>
      <c r="D2405">
        <v>96.15</v>
      </c>
      <c r="E2405">
        <v>78</v>
      </c>
      <c r="F2405">
        <v>3</v>
      </c>
      <c r="G2405">
        <v>0</v>
      </c>
      <c r="H2405">
        <v>98</v>
      </c>
      <c r="I2405">
        <v>175</v>
      </c>
      <c r="J2405">
        <v>1</v>
      </c>
      <c r="K2405">
        <v>27</v>
      </c>
      <c r="L2405">
        <v>104</v>
      </c>
      <c r="M2405">
        <v>1</v>
      </c>
      <c r="N2405">
        <v>4.65391E-40</v>
      </c>
      <c r="O2405">
        <v>406</v>
      </c>
    </row>
    <row r="2406" spans="1:15" x14ac:dyDescent="0.25">
      <c r="A2406" t="s">
        <v>2419</v>
      </c>
      <c r="B2406">
        <v>581</v>
      </c>
      <c r="C2406" s="1" t="str">
        <f>HYPERLINK("http://www.rosaceae.org/gb/gbrowse/malus_x_domestica/?name=MDP0000272992","MDP0000272992")</f>
        <v>MDP0000272992</v>
      </c>
      <c r="D2406">
        <v>80.13</v>
      </c>
      <c r="E2406">
        <v>584</v>
      </c>
      <c r="F2406">
        <v>116</v>
      </c>
      <c r="G2406">
        <v>3</v>
      </c>
      <c r="H2406">
        <v>1</v>
      </c>
      <c r="I2406">
        <v>581</v>
      </c>
      <c r="J2406">
        <v>1</v>
      </c>
      <c r="K2406">
        <v>435</v>
      </c>
      <c r="L2406">
        <v>1018</v>
      </c>
      <c r="M2406">
        <v>1</v>
      </c>
      <c r="N2406">
        <v>0</v>
      </c>
      <c r="O2406">
        <v>2530</v>
      </c>
    </row>
    <row r="2407" spans="1:15" x14ac:dyDescent="0.25">
      <c r="A2407" t="s">
        <v>2420</v>
      </c>
      <c r="B2407">
        <v>430</v>
      </c>
      <c r="C2407" s="1" t="str">
        <f>HYPERLINK("http://www.rosaceae.org/gb/gbrowse/malus_x_domestica/?name=MDP0000202103","MDP0000202103")</f>
        <v>MDP0000202103</v>
      </c>
      <c r="D2407">
        <v>76.75</v>
      </c>
      <c r="E2407">
        <v>413</v>
      </c>
      <c r="F2407">
        <v>96</v>
      </c>
      <c r="G2407">
        <v>21</v>
      </c>
      <c r="H2407">
        <v>18</v>
      </c>
      <c r="I2407">
        <v>427</v>
      </c>
      <c r="J2407">
        <v>1</v>
      </c>
      <c r="K2407">
        <v>20</v>
      </c>
      <c r="L2407">
        <v>414</v>
      </c>
      <c r="M2407">
        <v>1</v>
      </c>
      <c r="N2407">
        <v>0</v>
      </c>
      <c r="O2407">
        <v>1653</v>
      </c>
    </row>
    <row r="2408" spans="1:15" x14ac:dyDescent="0.25">
      <c r="A2408" t="s">
        <v>2421</v>
      </c>
      <c r="B2408">
        <v>419</v>
      </c>
      <c r="C2408" s="1" t="str">
        <f>HYPERLINK("http://www.rosaceae.org/gb/gbrowse/malus_x_domestica/?name=MDP0000314518","MDP0000314518")</f>
        <v>MDP0000314518</v>
      </c>
      <c r="D2408">
        <v>65.39</v>
      </c>
      <c r="E2408">
        <v>419</v>
      </c>
      <c r="F2408">
        <v>145</v>
      </c>
      <c r="G2408">
        <v>26</v>
      </c>
      <c r="H2408">
        <v>1</v>
      </c>
      <c r="I2408">
        <v>398</v>
      </c>
      <c r="J2408">
        <v>1</v>
      </c>
      <c r="K2408">
        <v>1</v>
      </c>
      <c r="L2408">
        <v>414</v>
      </c>
      <c r="M2408">
        <v>1</v>
      </c>
      <c r="N2408">
        <v>6.7336400000000002E-148</v>
      </c>
      <c r="O2408">
        <v>1341</v>
      </c>
    </row>
    <row r="2409" spans="1:15" x14ac:dyDescent="0.25">
      <c r="A2409" t="s">
        <v>2422</v>
      </c>
      <c r="B2409">
        <v>402</v>
      </c>
      <c r="C2409" s="1" t="str">
        <f>HYPERLINK("http://www.rosaceae.org/gb/gbrowse/malus_x_domestica/?name=MDP0000242297","MDP0000242297")</f>
        <v>MDP0000242297</v>
      </c>
      <c r="D2409">
        <v>30.34</v>
      </c>
      <c r="E2409">
        <v>201</v>
      </c>
      <c r="F2409">
        <v>140</v>
      </c>
      <c r="G2409">
        <v>42</v>
      </c>
      <c r="H2409">
        <v>102</v>
      </c>
      <c r="I2409">
        <v>300</v>
      </c>
      <c r="J2409">
        <v>1</v>
      </c>
      <c r="K2409">
        <v>242</v>
      </c>
      <c r="L2409">
        <v>402</v>
      </c>
      <c r="M2409">
        <v>1</v>
      </c>
      <c r="N2409">
        <v>2.33232E-15</v>
      </c>
      <c r="O2409">
        <v>198</v>
      </c>
    </row>
    <row r="2410" spans="1:15" x14ac:dyDescent="0.25">
      <c r="A2410" t="s">
        <v>2423</v>
      </c>
      <c r="B2410">
        <v>249</v>
      </c>
      <c r="C2410" s="1" t="str">
        <f>HYPERLINK("http://www.rosaceae.org/gb/gbrowse/malus_x_domestica/?name=MDP0000273989","MDP0000273989")</f>
        <v>MDP0000273989</v>
      </c>
      <c r="D2410">
        <v>39.130000000000003</v>
      </c>
      <c r="E2410">
        <v>138</v>
      </c>
      <c r="F2410">
        <v>84</v>
      </c>
      <c r="G2410">
        <v>4</v>
      </c>
      <c r="H2410">
        <v>2</v>
      </c>
      <c r="I2410">
        <v>136</v>
      </c>
      <c r="J2410">
        <v>1</v>
      </c>
      <c r="K2410">
        <v>327</v>
      </c>
      <c r="L2410">
        <v>463</v>
      </c>
      <c r="M2410">
        <v>1</v>
      </c>
      <c r="N2410">
        <v>1.0211799999999999E-19</v>
      </c>
      <c r="O2410">
        <v>233</v>
      </c>
    </row>
    <row r="2411" spans="1:15" x14ac:dyDescent="0.25">
      <c r="A2411" t="s">
        <v>2424</v>
      </c>
      <c r="B2411">
        <v>342</v>
      </c>
      <c r="C2411" s="1" t="str">
        <f>HYPERLINK("http://www.rosaceae.org/gb/gbrowse/malus_x_domestica/?name=MDP0000273006","MDP0000273006")</f>
        <v>MDP0000273006</v>
      </c>
      <c r="D2411">
        <v>75.67</v>
      </c>
      <c r="E2411">
        <v>111</v>
      </c>
      <c r="F2411">
        <v>27</v>
      </c>
      <c r="G2411">
        <v>0</v>
      </c>
      <c r="H2411">
        <v>224</v>
      </c>
      <c r="I2411">
        <v>334</v>
      </c>
      <c r="J2411">
        <v>1</v>
      </c>
      <c r="K2411">
        <v>411</v>
      </c>
      <c r="L2411">
        <v>521</v>
      </c>
      <c r="M2411">
        <v>1</v>
      </c>
      <c r="N2411">
        <v>1.95508E-41</v>
      </c>
      <c r="O2411">
        <v>422</v>
      </c>
    </row>
    <row r="2412" spans="1:15" x14ac:dyDescent="0.25">
      <c r="A2412" t="s">
        <v>2425</v>
      </c>
      <c r="B2412">
        <v>580</v>
      </c>
      <c r="C2412" s="1" t="str">
        <f>HYPERLINK("http://www.rosaceae.org/gb/gbrowse/malus_x_domestica/?name=MDP0000606453","MDP0000606453")</f>
        <v>MDP0000606453</v>
      </c>
      <c r="D2412">
        <v>75.69</v>
      </c>
      <c r="E2412">
        <v>576</v>
      </c>
      <c r="F2412">
        <v>140</v>
      </c>
      <c r="G2412">
        <v>0</v>
      </c>
      <c r="H2412">
        <v>4</v>
      </c>
      <c r="I2412">
        <v>579</v>
      </c>
      <c r="J2412">
        <v>1</v>
      </c>
      <c r="K2412">
        <v>1</v>
      </c>
      <c r="L2412">
        <v>576</v>
      </c>
      <c r="M2412">
        <v>1</v>
      </c>
      <c r="N2412">
        <v>0</v>
      </c>
      <c r="O2412">
        <v>2405</v>
      </c>
    </row>
    <row r="2413" spans="1:15" x14ac:dyDescent="0.25">
      <c r="A2413" t="s">
        <v>2426</v>
      </c>
      <c r="B2413">
        <v>622</v>
      </c>
      <c r="C2413" s="1" t="str">
        <f>HYPERLINK("http://www.rosaceae.org/gb/gbrowse/malus_x_domestica/?name=MDP0000206290","MDP0000206290")</f>
        <v>MDP0000206290</v>
      </c>
      <c r="D2413">
        <v>74.37</v>
      </c>
      <c r="E2413">
        <v>644</v>
      </c>
      <c r="F2413">
        <v>165</v>
      </c>
      <c r="G2413">
        <v>37</v>
      </c>
      <c r="H2413">
        <v>1</v>
      </c>
      <c r="I2413">
        <v>622</v>
      </c>
      <c r="J2413">
        <v>1</v>
      </c>
      <c r="K2413">
        <v>1</v>
      </c>
      <c r="L2413">
        <v>629</v>
      </c>
      <c r="M2413">
        <v>1</v>
      </c>
      <c r="N2413">
        <v>0</v>
      </c>
      <c r="O2413">
        <v>2283</v>
      </c>
    </row>
    <row r="2414" spans="1:15" x14ac:dyDescent="0.25">
      <c r="A2414" t="s">
        <v>2427</v>
      </c>
      <c r="B2414">
        <v>226</v>
      </c>
      <c r="C2414" s="1" t="str">
        <f>HYPERLINK("http://www.rosaceae.org/gb/gbrowse/malus_x_domestica/?name=MDP0000809773","MDP0000809773")</f>
        <v>MDP0000809773</v>
      </c>
      <c r="D2414">
        <v>62.5</v>
      </c>
      <c r="E2414">
        <v>136</v>
      </c>
      <c r="F2414">
        <v>51</v>
      </c>
      <c r="G2414">
        <v>10</v>
      </c>
      <c r="H2414">
        <v>71</v>
      </c>
      <c r="I2414">
        <v>196</v>
      </c>
      <c r="J2414">
        <v>1</v>
      </c>
      <c r="K2414">
        <v>185</v>
      </c>
      <c r="L2414">
        <v>320</v>
      </c>
      <c r="M2414">
        <v>1</v>
      </c>
      <c r="N2414">
        <v>1.08675E-39</v>
      </c>
      <c r="O2414">
        <v>405</v>
      </c>
    </row>
    <row r="2415" spans="1:15" x14ac:dyDescent="0.25">
      <c r="A2415" t="s">
        <v>2428</v>
      </c>
      <c r="B2415">
        <v>706</v>
      </c>
      <c r="C2415" s="1" t="str">
        <f>HYPERLINK("http://www.rosaceae.org/gb/gbrowse/malus_x_domestica/?name=MDP0000236940","MDP0000236940")</f>
        <v>MDP0000236940</v>
      </c>
      <c r="D2415">
        <v>78.3</v>
      </c>
      <c r="E2415">
        <v>673</v>
      </c>
      <c r="F2415">
        <v>146</v>
      </c>
      <c r="G2415">
        <v>1</v>
      </c>
      <c r="H2415">
        <v>2</v>
      </c>
      <c r="I2415">
        <v>673</v>
      </c>
      <c r="J2415">
        <v>1</v>
      </c>
      <c r="K2415">
        <v>633</v>
      </c>
      <c r="L2415">
        <v>1305</v>
      </c>
      <c r="M2415">
        <v>1</v>
      </c>
      <c r="N2415">
        <v>0</v>
      </c>
      <c r="O2415">
        <v>2857</v>
      </c>
    </row>
    <row r="2416" spans="1:15" x14ac:dyDescent="0.25">
      <c r="A2416" t="s">
        <v>2429</v>
      </c>
      <c r="B2416">
        <v>561</v>
      </c>
      <c r="C2416" s="1" t="str">
        <f>HYPERLINK("http://www.rosaceae.org/gb/gbrowse/malus_x_domestica/?name=MDP0000295063","MDP0000295063")</f>
        <v>MDP0000295063</v>
      </c>
      <c r="D2416">
        <v>46.48</v>
      </c>
      <c r="E2416">
        <v>555</v>
      </c>
      <c r="F2416">
        <v>297</v>
      </c>
      <c r="G2416">
        <v>68</v>
      </c>
      <c r="H2416">
        <v>1</v>
      </c>
      <c r="I2416">
        <v>540</v>
      </c>
      <c r="J2416">
        <v>1</v>
      </c>
      <c r="K2416">
        <v>1</v>
      </c>
      <c r="L2416">
        <v>502</v>
      </c>
      <c r="M2416">
        <v>1</v>
      </c>
      <c r="N2416">
        <v>2.8275600000000002E-110</v>
      </c>
      <c r="O2416">
        <v>1018</v>
      </c>
    </row>
    <row r="2417" spans="1:15" x14ac:dyDescent="0.25">
      <c r="A2417" t="s">
        <v>2430</v>
      </c>
      <c r="B2417">
        <v>368</v>
      </c>
      <c r="C2417" s="1" t="str">
        <f>HYPERLINK("http://www.rosaceae.org/gb/gbrowse/malus_x_domestica/?name=MDP0000249846","MDP0000249846")</f>
        <v>MDP0000249846</v>
      </c>
      <c r="D2417">
        <v>68.430000000000007</v>
      </c>
      <c r="E2417">
        <v>301</v>
      </c>
      <c r="F2417">
        <v>95</v>
      </c>
      <c r="G2417">
        <v>30</v>
      </c>
      <c r="H2417">
        <v>68</v>
      </c>
      <c r="I2417">
        <v>367</v>
      </c>
      <c r="J2417">
        <v>1</v>
      </c>
      <c r="K2417">
        <v>154</v>
      </c>
      <c r="L2417">
        <v>425</v>
      </c>
      <c r="M2417">
        <v>1</v>
      </c>
      <c r="N2417">
        <v>5.0695599999999997E-108</v>
      </c>
      <c r="O2417">
        <v>997</v>
      </c>
    </row>
    <row r="2418" spans="1:15" x14ac:dyDescent="0.25">
      <c r="A2418" t="s">
        <v>2431</v>
      </c>
      <c r="B2418">
        <v>229</v>
      </c>
      <c r="C2418" s="1" t="str">
        <f>HYPERLINK("http://www.rosaceae.org/gb/gbrowse/malus_x_domestica/?name=MDP0000289628","MDP0000289628")</f>
        <v>MDP0000289628</v>
      </c>
      <c r="D2418">
        <v>41.9</v>
      </c>
      <c r="E2418">
        <v>105</v>
      </c>
      <c r="F2418">
        <v>61</v>
      </c>
      <c r="G2418">
        <v>4</v>
      </c>
      <c r="H2418">
        <v>94</v>
      </c>
      <c r="I2418">
        <v>194</v>
      </c>
      <c r="J2418">
        <v>1</v>
      </c>
      <c r="K2418">
        <v>37</v>
      </c>
      <c r="L2418">
        <v>141</v>
      </c>
      <c r="M2418">
        <v>1</v>
      </c>
      <c r="N2418">
        <v>1.5379499999999999E-16</v>
      </c>
      <c r="O2418">
        <v>205</v>
      </c>
    </row>
    <row r="2419" spans="1:15" x14ac:dyDescent="0.25">
      <c r="A2419" t="s">
        <v>2432</v>
      </c>
      <c r="B2419">
        <v>286</v>
      </c>
      <c r="C2419" s="1" t="str">
        <f>HYPERLINK("http://www.rosaceae.org/gb/gbrowse/malus_x_domestica/?name=MDP0000894541","MDP0000894541")</f>
        <v>MDP0000894541</v>
      </c>
      <c r="D2419">
        <v>40.53</v>
      </c>
      <c r="E2419">
        <v>301</v>
      </c>
      <c r="F2419">
        <v>179</v>
      </c>
      <c r="G2419">
        <v>39</v>
      </c>
      <c r="H2419">
        <v>1</v>
      </c>
      <c r="I2419">
        <v>284</v>
      </c>
      <c r="J2419">
        <v>1</v>
      </c>
      <c r="K2419">
        <v>1</v>
      </c>
      <c r="L2419">
        <v>279</v>
      </c>
      <c r="M2419">
        <v>1</v>
      </c>
      <c r="N2419">
        <v>7.3156499999999996E-38</v>
      </c>
      <c r="O2419">
        <v>390</v>
      </c>
    </row>
    <row r="2420" spans="1:15" x14ac:dyDescent="0.25">
      <c r="A2420" t="s">
        <v>2433</v>
      </c>
      <c r="B2420">
        <v>482</v>
      </c>
      <c r="C2420" s="1" t="str">
        <f>HYPERLINK("http://www.rosaceae.org/gb/gbrowse/malus_x_domestica/?name=MDP0000122138","MDP0000122138")</f>
        <v>MDP0000122138</v>
      </c>
      <c r="D2420">
        <v>71.86</v>
      </c>
      <c r="E2420">
        <v>487</v>
      </c>
      <c r="F2420">
        <v>137</v>
      </c>
      <c r="G2420">
        <v>73</v>
      </c>
      <c r="H2420">
        <v>68</v>
      </c>
      <c r="I2420">
        <v>482</v>
      </c>
      <c r="J2420">
        <v>1</v>
      </c>
      <c r="K2420">
        <v>157</v>
      </c>
      <c r="L2420">
        <v>642</v>
      </c>
      <c r="M2420">
        <v>1</v>
      </c>
      <c r="N2420">
        <v>0</v>
      </c>
      <c r="O2420">
        <v>1729</v>
      </c>
    </row>
    <row r="2421" spans="1:15" x14ac:dyDescent="0.25">
      <c r="A2421" t="s">
        <v>2434</v>
      </c>
      <c r="B2421">
        <v>214</v>
      </c>
      <c r="C2421" s="1" t="str">
        <f>HYPERLINK("http://www.rosaceae.org/gb/gbrowse/malus_x_domestica/?name=MDP0000772737","MDP0000772737")</f>
        <v>MDP0000772737</v>
      </c>
      <c r="D2421">
        <v>86.14</v>
      </c>
      <c r="E2421">
        <v>166</v>
      </c>
      <c r="F2421">
        <v>23</v>
      </c>
      <c r="G2421">
        <v>0</v>
      </c>
      <c r="H2421">
        <v>1</v>
      </c>
      <c r="I2421">
        <v>166</v>
      </c>
      <c r="J2421">
        <v>1</v>
      </c>
      <c r="K2421">
        <v>1</v>
      </c>
      <c r="L2421">
        <v>166</v>
      </c>
      <c r="M2421">
        <v>1</v>
      </c>
      <c r="N2421">
        <v>1.5970099999999999E-78</v>
      </c>
      <c r="O2421">
        <v>739</v>
      </c>
    </row>
    <row r="2422" spans="1:15" x14ac:dyDescent="0.25">
      <c r="A2422" t="s">
        <v>2435</v>
      </c>
      <c r="B2422">
        <v>259</v>
      </c>
      <c r="C2422" s="1" t="str">
        <f>HYPERLINK("http://www.rosaceae.org/gb/gbrowse/malus_x_domestica/?name=MDP0000207132","MDP0000207132")</f>
        <v>MDP0000207132</v>
      </c>
      <c r="D2422">
        <v>33.770000000000003</v>
      </c>
      <c r="E2422">
        <v>151</v>
      </c>
      <c r="F2422">
        <v>100</v>
      </c>
      <c r="G2422">
        <v>1</v>
      </c>
      <c r="H2422">
        <v>108</v>
      </c>
      <c r="I2422">
        <v>258</v>
      </c>
      <c r="J2422">
        <v>1</v>
      </c>
      <c r="K2422">
        <v>9</v>
      </c>
      <c r="L2422">
        <v>158</v>
      </c>
      <c r="M2422">
        <v>1</v>
      </c>
      <c r="N2422">
        <v>2.2137600000000002E-22</v>
      </c>
      <c r="O2422">
        <v>256</v>
      </c>
    </row>
    <row r="2423" spans="1:15" x14ac:dyDescent="0.25">
      <c r="A2423" t="s">
        <v>2436</v>
      </c>
      <c r="B2423">
        <v>607</v>
      </c>
      <c r="C2423" s="1" t="str">
        <f>HYPERLINK("http://www.rosaceae.org/gb/gbrowse/malus_x_domestica/?name=MDP0000534977","MDP0000534977")</f>
        <v>MDP0000534977</v>
      </c>
      <c r="D2423">
        <v>80.94</v>
      </c>
      <c r="E2423">
        <v>467</v>
      </c>
      <c r="F2423">
        <v>89</v>
      </c>
      <c r="G2423">
        <v>26</v>
      </c>
      <c r="H2423">
        <v>93</v>
      </c>
      <c r="I2423">
        <v>557</v>
      </c>
      <c r="J2423">
        <v>1</v>
      </c>
      <c r="K2423">
        <v>9</v>
      </c>
      <c r="L2423">
        <v>451</v>
      </c>
      <c r="M2423">
        <v>1</v>
      </c>
      <c r="N2423">
        <v>0</v>
      </c>
      <c r="O2423">
        <v>1940</v>
      </c>
    </row>
    <row r="2424" spans="1:15" x14ac:dyDescent="0.25">
      <c r="A2424" t="s">
        <v>2437</v>
      </c>
      <c r="B2424">
        <v>516</v>
      </c>
      <c r="C2424" s="1" t="str">
        <f>HYPERLINK("http://www.rosaceae.org/gb/gbrowse/malus_x_domestica/?name=MDP0000313601","MDP0000313601")</f>
        <v>MDP0000313601</v>
      </c>
      <c r="D2424">
        <v>62.27</v>
      </c>
      <c r="E2424">
        <v>387</v>
      </c>
      <c r="F2424">
        <v>146</v>
      </c>
      <c r="G2424">
        <v>11</v>
      </c>
      <c r="H2424">
        <v>140</v>
      </c>
      <c r="I2424">
        <v>516</v>
      </c>
      <c r="J2424">
        <v>1</v>
      </c>
      <c r="K2424">
        <v>191</v>
      </c>
      <c r="L2424">
        <v>576</v>
      </c>
      <c r="M2424">
        <v>1</v>
      </c>
      <c r="N2424">
        <v>4.2704599999999998E-132</v>
      </c>
      <c r="O2424">
        <v>1206</v>
      </c>
    </row>
    <row r="2425" spans="1:15" x14ac:dyDescent="0.25">
      <c r="A2425" t="s">
        <v>2438</v>
      </c>
      <c r="B2425">
        <v>609</v>
      </c>
      <c r="C2425" s="1" t="str">
        <f>HYPERLINK("http://www.rosaceae.org/gb/gbrowse/malus_x_domestica/?name=MDP0000776572","MDP0000776572")</f>
        <v>MDP0000776572</v>
      </c>
      <c r="D2425">
        <v>80.88</v>
      </c>
      <c r="E2425">
        <v>612</v>
      </c>
      <c r="F2425">
        <v>117</v>
      </c>
      <c r="G2425">
        <v>3</v>
      </c>
      <c r="H2425">
        <v>1</v>
      </c>
      <c r="I2425">
        <v>609</v>
      </c>
      <c r="J2425">
        <v>1</v>
      </c>
      <c r="K2425">
        <v>1</v>
      </c>
      <c r="L2425">
        <v>612</v>
      </c>
      <c r="M2425">
        <v>1</v>
      </c>
      <c r="N2425">
        <v>0</v>
      </c>
      <c r="O2425">
        <v>2673</v>
      </c>
    </row>
    <row r="2426" spans="1:15" x14ac:dyDescent="0.25">
      <c r="A2426" t="s">
        <v>2439</v>
      </c>
      <c r="B2426">
        <v>272</v>
      </c>
      <c r="C2426" s="1" t="str">
        <f>HYPERLINK("http://www.rosaceae.org/gb/gbrowse/malus_x_domestica/?name=MDP0000146003","MDP0000146003")</f>
        <v>MDP0000146003</v>
      </c>
      <c r="D2426">
        <v>70.22</v>
      </c>
      <c r="E2426">
        <v>272</v>
      </c>
      <c r="F2426">
        <v>81</v>
      </c>
      <c r="G2426">
        <v>0</v>
      </c>
      <c r="H2426">
        <v>1</v>
      </c>
      <c r="I2426">
        <v>272</v>
      </c>
      <c r="J2426">
        <v>1</v>
      </c>
      <c r="K2426">
        <v>98</v>
      </c>
      <c r="L2426">
        <v>369</v>
      </c>
      <c r="M2426">
        <v>1</v>
      </c>
      <c r="N2426">
        <v>1.3337600000000001E-110</v>
      </c>
      <c r="O2426">
        <v>1017</v>
      </c>
    </row>
    <row r="2427" spans="1:15" x14ac:dyDescent="0.25">
      <c r="A2427" t="s">
        <v>2440</v>
      </c>
      <c r="B2427">
        <v>116</v>
      </c>
      <c r="C2427" s="1" t="str">
        <f>HYPERLINK("http://www.rosaceae.org/gb/gbrowse/malus_x_domestica/?name=MDP0000226394","MDP0000226394")</f>
        <v>MDP0000226394</v>
      </c>
      <c r="D2427">
        <v>33.33</v>
      </c>
      <c r="E2427">
        <v>105</v>
      </c>
      <c r="F2427">
        <v>70</v>
      </c>
      <c r="G2427">
        <v>0</v>
      </c>
      <c r="H2427">
        <v>7</v>
      </c>
      <c r="I2427">
        <v>111</v>
      </c>
      <c r="J2427">
        <v>1</v>
      </c>
      <c r="K2427">
        <v>42</v>
      </c>
      <c r="L2427">
        <v>146</v>
      </c>
      <c r="M2427">
        <v>1</v>
      </c>
      <c r="N2427">
        <v>7.8150999999999997E-14</v>
      </c>
      <c r="O2427">
        <v>177</v>
      </c>
    </row>
    <row r="2428" spans="1:15" x14ac:dyDescent="0.25">
      <c r="A2428" t="s">
        <v>2441</v>
      </c>
      <c r="B2428">
        <v>342</v>
      </c>
      <c r="C2428" s="1" t="str">
        <f>HYPERLINK("http://www.rosaceae.org/gb/gbrowse/malus_x_domestica/?name=MDP0000152496","MDP0000152496")</f>
        <v>MDP0000152496</v>
      </c>
      <c r="D2428">
        <v>84.42</v>
      </c>
      <c r="E2428">
        <v>122</v>
      </c>
      <c r="F2428">
        <v>19</v>
      </c>
      <c r="G2428">
        <v>2</v>
      </c>
      <c r="H2428">
        <v>37</v>
      </c>
      <c r="I2428">
        <v>157</v>
      </c>
      <c r="J2428">
        <v>1</v>
      </c>
      <c r="K2428">
        <v>204</v>
      </c>
      <c r="L2428">
        <v>324</v>
      </c>
      <c r="M2428">
        <v>1</v>
      </c>
      <c r="N2428">
        <v>5.9084499999999996E-54</v>
      </c>
      <c r="O2428">
        <v>530</v>
      </c>
    </row>
    <row r="2429" spans="1:15" x14ac:dyDescent="0.25">
      <c r="A2429" t="s">
        <v>2442</v>
      </c>
      <c r="B2429">
        <v>953</v>
      </c>
      <c r="C2429" s="1" t="str">
        <f>HYPERLINK("http://www.rosaceae.org/gb/gbrowse/malus_x_domestica/?name=MDP0000282668","MDP0000282668")</f>
        <v>MDP0000282668</v>
      </c>
      <c r="D2429">
        <v>55.8</v>
      </c>
      <c r="E2429">
        <v>930</v>
      </c>
      <c r="F2429">
        <v>411</v>
      </c>
      <c r="G2429">
        <v>110</v>
      </c>
      <c r="H2429">
        <v>129</v>
      </c>
      <c r="I2429">
        <v>953</v>
      </c>
      <c r="J2429">
        <v>1</v>
      </c>
      <c r="K2429">
        <v>26</v>
      </c>
      <c r="L2429">
        <v>950</v>
      </c>
      <c r="M2429">
        <v>1</v>
      </c>
      <c r="N2429">
        <v>0</v>
      </c>
      <c r="O2429">
        <v>2438</v>
      </c>
    </row>
    <row r="2430" spans="1:15" x14ac:dyDescent="0.25">
      <c r="A2430" t="s">
        <v>2443</v>
      </c>
      <c r="B2430">
        <v>330</v>
      </c>
      <c r="C2430" s="1" t="str">
        <f>HYPERLINK("http://www.rosaceae.org/gb/gbrowse/malus_x_domestica/?name=MDP0000561059","MDP0000561059")</f>
        <v>MDP0000561059</v>
      </c>
      <c r="D2430">
        <v>68.16</v>
      </c>
      <c r="E2430">
        <v>333</v>
      </c>
      <c r="F2430">
        <v>106</v>
      </c>
      <c r="G2430">
        <v>13</v>
      </c>
      <c r="H2430">
        <v>11</v>
      </c>
      <c r="I2430">
        <v>330</v>
      </c>
      <c r="J2430">
        <v>1</v>
      </c>
      <c r="K2430">
        <v>1</v>
      </c>
      <c r="L2430">
        <v>333</v>
      </c>
      <c r="M2430">
        <v>1</v>
      </c>
      <c r="N2430">
        <v>9.9361500000000006E-126</v>
      </c>
      <c r="O2430">
        <v>1149</v>
      </c>
    </row>
    <row r="2431" spans="1:15" x14ac:dyDescent="0.25">
      <c r="A2431" t="s">
        <v>2444</v>
      </c>
      <c r="B2431">
        <v>653</v>
      </c>
      <c r="C2431" s="1" t="str">
        <f>HYPERLINK("http://www.rosaceae.org/gb/gbrowse/malus_x_domestica/?name=MDP0000785636","MDP0000785636")</f>
        <v>MDP0000785636</v>
      </c>
      <c r="D2431">
        <v>76.44</v>
      </c>
      <c r="E2431">
        <v>658</v>
      </c>
      <c r="F2431">
        <v>155</v>
      </c>
      <c r="G2431">
        <v>10</v>
      </c>
      <c r="H2431">
        <v>3</v>
      </c>
      <c r="I2431">
        <v>653</v>
      </c>
      <c r="J2431">
        <v>1</v>
      </c>
      <c r="K2431">
        <v>4</v>
      </c>
      <c r="L2431">
        <v>658</v>
      </c>
      <c r="M2431">
        <v>1</v>
      </c>
      <c r="N2431">
        <v>0</v>
      </c>
      <c r="O2431">
        <v>2709</v>
      </c>
    </row>
    <row r="2432" spans="1:15" x14ac:dyDescent="0.25">
      <c r="A2432" t="s">
        <v>2445</v>
      </c>
      <c r="B2432">
        <v>1975</v>
      </c>
      <c r="C2432" s="1" t="str">
        <f>HYPERLINK("http://www.rosaceae.org/gb/gbrowse/malus_x_domestica/?name=MDP0000918616","MDP0000918616")</f>
        <v>MDP0000918616</v>
      </c>
      <c r="D2432">
        <v>71.31</v>
      </c>
      <c r="E2432">
        <v>1039</v>
      </c>
      <c r="F2432">
        <v>298</v>
      </c>
      <c r="G2432">
        <v>70</v>
      </c>
      <c r="H2432">
        <v>972</v>
      </c>
      <c r="I2432">
        <v>1975</v>
      </c>
      <c r="J2432">
        <v>1</v>
      </c>
      <c r="K2432">
        <v>7</v>
      </c>
      <c r="L2432">
        <v>1010</v>
      </c>
      <c r="M2432">
        <v>1</v>
      </c>
      <c r="N2432">
        <v>0</v>
      </c>
      <c r="O2432">
        <v>3759</v>
      </c>
    </row>
    <row r="2433" spans="1:15" x14ac:dyDescent="0.25">
      <c r="A2433" t="s">
        <v>2446</v>
      </c>
      <c r="B2433">
        <v>1023</v>
      </c>
      <c r="C2433" s="1" t="str">
        <f>HYPERLINK("http://www.rosaceae.org/gb/gbrowse/malus_x_domestica/?name=MDP0000169133","MDP0000169133")</f>
        <v>MDP0000169133</v>
      </c>
      <c r="D2433">
        <v>64.78</v>
      </c>
      <c r="E2433">
        <v>1079</v>
      </c>
      <c r="F2433">
        <v>380</v>
      </c>
      <c r="G2433">
        <v>95</v>
      </c>
      <c r="H2433">
        <v>1</v>
      </c>
      <c r="I2433">
        <v>1015</v>
      </c>
      <c r="J2433">
        <v>1</v>
      </c>
      <c r="K2433">
        <v>1</v>
      </c>
      <c r="L2433">
        <v>1048</v>
      </c>
      <c r="M2433">
        <v>1</v>
      </c>
      <c r="N2433">
        <v>0</v>
      </c>
      <c r="O2433">
        <v>3337</v>
      </c>
    </row>
    <row r="2434" spans="1:15" x14ac:dyDescent="0.25">
      <c r="A2434" t="s">
        <v>2447</v>
      </c>
      <c r="B2434">
        <v>411</v>
      </c>
      <c r="C2434" s="1" t="str">
        <f>HYPERLINK("http://www.rosaceae.org/gb/gbrowse/malus_x_domestica/?name=MDP0000139742","MDP0000139742")</f>
        <v>MDP0000139742</v>
      </c>
      <c r="D2434">
        <v>38.78</v>
      </c>
      <c r="E2434">
        <v>312</v>
      </c>
      <c r="F2434">
        <v>191</v>
      </c>
      <c r="G2434">
        <v>21</v>
      </c>
      <c r="H2434">
        <v>99</v>
      </c>
      <c r="I2434">
        <v>407</v>
      </c>
      <c r="J2434">
        <v>1</v>
      </c>
      <c r="K2434">
        <v>265</v>
      </c>
      <c r="L2434">
        <v>558</v>
      </c>
      <c r="M2434">
        <v>1</v>
      </c>
      <c r="N2434">
        <v>4.5254400000000002E-48</v>
      </c>
      <c r="O2434">
        <v>480</v>
      </c>
    </row>
    <row r="2435" spans="1:15" x14ac:dyDescent="0.25">
      <c r="A2435" t="s">
        <v>2448</v>
      </c>
      <c r="B2435">
        <v>122</v>
      </c>
      <c r="C2435" s="1" t="str">
        <f>HYPERLINK("http://www.rosaceae.org/gb/gbrowse/malus_x_domestica/?name=MDP0000786165","MDP0000786165")</f>
        <v>MDP0000786165</v>
      </c>
      <c r="D2435">
        <v>60.82</v>
      </c>
      <c r="E2435">
        <v>97</v>
      </c>
      <c r="F2435">
        <v>38</v>
      </c>
      <c r="G2435">
        <v>2</v>
      </c>
      <c r="H2435">
        <v>27</v>
      </c>
      <c r="I2435">
        <v>121</v>
      </c>
      <c r="J2435">
        <v>1</v>
      </c>
      <c r="K2435">
        <v>38</v>
      </c>
      <c r="L2435">
        <v>134</v>
      </c>
      <c r="M2435">
        <v>1</v>
      </c>
      <c r="N2435">
        <v>4.7019199999999997E-28</v>
      </c>
      <c r="O2435">
        <v>299</v>
      </c>
    </row>
    <row r="2436" spans="1:15" x14ac:dyDescent="0.25">
      <c r="A2436" t="s">
        <v>2449</v>
      </c>
      <c r="B2436">
        <v>1203</v>
      </c>
      <c r="C2436" s="1" t="str">
        <f>HYPERLINK("http://www.rosaceae.org/gb/gbrowse/malus_x_domestica/?name=MDP0000138368","MDP0000138368")</f>
        <v>MDP0000138368</v>
      </c>
      <c r="D2436">
        <v>64.459999999999994</v>
      </c>
      <c r="E2436">
        <v>816</v>
      </c>
      <c r="F2436">
        <v>290</v>
      </c>
      <c r="G2436">
        <v>48</v>
      </c>
      <c r="H2436">
        <v>418</v>
      </c>
      <c r="I2436">
        <v>1203</v>
      </c>
      <c r="J2436">
        <v>1</v>
      </c>
      <c r="K2436">
        <v>115</v>
      </c>
      <c r="L2436">
        <v>912</v>
      </c>
      <c r="M2436">
        <v>1</v>
      </c>
      <c r="N2436">
        <v>0</v>
      </c>
      <c r="O2436">
        <v>2455</v>
      </c>
    </row>
    <row r="2437" spans="1:15" x14ac:dyDescent="0.25">
      <c r="A2437" t="s">
        <v>2450</v>
      </c>
      <c r="B2437">
        <v>791</v>
      </c>
      <c r="C2437" s="1" t="str">
        <f>HYPERLINK("http://www.rosaceae.org/gb/gbrowse/malus_x_domestica/?name=MDP0000296812","MDP0000296812")</f>
        <v>MDP0000296812</v>
      </c>
      <c r="D2437">
        <v>85.11</v>
      </c>
      <c r="E2437">
        <v>262</v>
      </c>
      <c r="F2437">
        <v>39</v>
      </c>
      <c r="G2437">
        <v>14</v>
      </c>
      <c r="H2437">
        <v>502</v>
      </c>
      <c r="I2437">
        <v>749</v>
      </c>
      <c r="J2437">
        <v>1</v>
      </c>
      <c r="K2437">
        <v>121</v>
      </c>
      <c r="L2437">
        <v>382</v>
      </c>
      <c r="M2437">
        <v>1</v>
      </c>
      <c r="N2437">
        <v>6.7511199999999995E-131</v>
      </c>
      <c r="O2437">
        <v>1197</v>
      </c>
    </row>
    <row r="2438" spans="1:15" x14ac:dyDescent="0.25">
      <c r="A2438" t="s">
        <v>2451</v>
      </c>
      <c r="B2438">
        <v>1165</v>
      </c>
      <c r="C2438" s="1" t="str">
        <f>HYPERLINK("http://www.rosaceae.org/gb/gbrowse/malus_x_domestica/?name=MDP0000175297","MDP0000175297")</f>
        <v>MDP0000175297</v>
      </c>
      <c r="D2438">
        <v>67.56</v>
      </c>
      <c r="E2438">
        <v>592</v>
      </c>
      <c r="F2438">
        <v>192</v>
      </c>
      <c r="G2438">
        <v>50</v>
      </c>
      <c r="H2438">
        <v>597</v>
      </c>
      <c r="I2438">
        <v>1164</v>
      </c>
      <c r="J2438">
        <v>1</v>
      </c>
      <c r="K2438">
        <v>8</v>
      </c>
      <c r="L2438">
        <v>573</v>
      </c>
      <c r="M2438">
        <v>1</v>
      </c>
      <c r="N2438">
        <v>0</v>
      </c>
      <c r="O2438">
        <v>2068</v>
      </c>
    </row>
    <row r="2439" spans="1:15" x14ac:dyDescent="0.25">
      <c r="A2439" t="s">
        <v>2452</v>
      </c>
      <c r="B2439">
        <v>396</v>
      </c>
      <c r="C2439" s="1" t="str">
        <f>HYPERLINK("http://www.rosaceae.org/gb/gbrowse/malus_x_domestica/?name=MDP0000692817","MDP0000692817")</f>
        <v>MDP0000692817</v>
      </c>
      <c r="D2439">
        <v>80.150000000000006</v>
      </c>
      <c r="E2439">
        <v>393</v>
      </c>
      <c r="F2439">
        <v>78</v>
      </c>
      <c r="G2439">
        <v>4</v>
      </c>
      <c r="H2439">
        <v>1</v>
      </c>
      <c r="I2439">
        <v>393</v>
      </c>
      <c r="J2439">
        <v>1</v>
      </c>
      <c r="K2439">
        <v>1</v>
      </c>
      <c r="L2439">
        <v>389</v>
      </c>
      <c r="M2439">
        <v>1</v>
      </c>
      <c r="N2439">
        <v>0</v>
      </c>
      <c r="O2439">
        <v>1699</v>
      </c>
    </row>
    <row r="2440" spans="1:15" x14ac:dyDescent="0.25">
      <c r="A2440" t="s">
        <v>2453</v>
      </c>
      <c r="B2440">
        <v>179</v>
      </c>
      <c r="C2440" s="1" t="str">
        <f>HYPERLINK("http://www.rosaceae.org/gb/gbrowse/malus_x_domestica/?name=MDP0000440147","MDP0000440147")</f>
        <v>MDP0000440147</v>
      </c>
      <c r="D2440">
        <v>60.21</v>
      </c>
      <c r="E2440">
        <v>93</v>
      </c>
      <c r="F2440">
        <v>37</v>
      </c>
      <c r="G2440">
        <v>2</v>
      </c>
      <c r="H2440">
        <v>18</v>
      </c>
      <c r="I2440">
        <v>110</v>
      </c>
      <c r="J2440">
        <v>1</v>
      </c>
      <c r="K2440">
        <v>91</v>
      </c>
      <c r="L2440">
        <v>181</v>
      </c>
      <c r="M2440">
        <v>1</v>
      </c>
      <c r="N2440">
        <v>2.7023900000000002E-29</v>
      </c>
      <c r="O2440">
        <v>313</v>
      </c>
    </row>
    <row r="2441" spans="1:15" x14ac:dyDescent="0.25">
      <c r="A2441" t="s">
        <v>2454</v>
      </c>
      <c r="B2441">
        <v>878</v>
      </c>
      <c r="C2441" s="1" t="str">
        <f>HYPERLINK("http://www.rosaceae.org/gb/gbrowse/malus_x_domestica/?name=MDP0000259902","MDP0000259902")</f>
        <v>MDP0000259902</v>
      </c>
      <c r="D2441">
        <v>83.07</v>
      </c>
      <c r="E2441">
        <v>715</v>
      </c>
      <c r="F2441">
        <v>121</v>
      </c>
      <c r="G2441">
        <v>19</v>
      </c>
      <c r="H2441">
        <v>1</v>
      </c>
      <c r="I2441">
        <v>696</v>
      </c>
      <c r="J2441">
        <v>1</v>
      </c>
      <c r="K2441">
        <v>1</v>
      </c>
      <c r="L2441">
        <v>715</v>
      </c>
      <c r="M2441">
        <v>1</v>
      </c>
      <c r="N2441">
        <v>0</v>
      </c>
      <c r="O2441">
        <v>3261</v>
      </c>
    </row>
    <row r="2442" spans="1:15" x14ac:dyDescent="0.25">
      <c r="A2442" t="s">
        <v>2455</v>
      </c>
      <c r="B2442">
        <v>157</v>
      </c>
      <c r="C2442" s="1" t="str">
        <f>HYPERLINK("http://www.rosaceae.org/gb/gbrowse/malus_x_domestica/?name=MDP0000176447","MDP0000176447")</f>
        <v>MDP0000176447</v>
      </c>
      <c r="D2442">
        <v>97.97</v>
      </c>
      <c r="E2442">
        <v>148</v>
      </c>
      <c r="F2442">
        <v>3</v>
      </c>
      <c r="G2442">
        <v>0</v>
      </c>
      <c r="H2442">
        <v>1</v>
      </c>
      <c r="I2442">
        <v>148</v>
      </c>
      <c r="J2442">
        <v>1</v>
      </c>
      <c r="K2442">
        <v>1</v>
      </c>
      <c r="L2442">
        <v>148</v>
      </c>
      <c r="M2442">
        <v>1</v>
      </c>
      <c r="N2442">
        <v>2.9223399999999998E-86</v>
      </c>
      <c r="O2442">
        <v>804</v>
      </c>
    </row>
    <row r="2443" spans="1:15" x14ac:dyDescent="0.25">
      <c r="A2443" t="s">
        <v>2456</v>
      </c>
      <c r="B2443">
        <v>283</v>
      </c>
      <c r="C2443" s="1" t="str">
        <f>HYPERLINK("http://www.rosaceae.org/gb/gbrowse/malus_x_domestica/?name=MDP0000141365","MDP0000141365")</f>
        <v>MDP0000141365</v>
      </c>
      <c r="D2443">
        <v>92.36</v>
      </c>
      <c r="E2443">
        <v>249</v>
      </c>
      <c r="F2443">
        <v>19</v>
      </c>
      <c r="G2443">
        <v>1</v>
      </c>
      <c r="H2443">
        <v>1</v>
      </c>
      <c r="I2443">
        <v>249</v>
      </c>
      <c r="J2443">
        <v>1</v>
      </c>
      <c r="K2443">
        <v>115</v>
      </c>
      <c r="L2443">
        <v>362</v>
      </c>
      <c r="M2443">
        <v>1</v>
      </c>
      <c r="N2443">
        <v>3.0878600000000002E-136</v>
      </c>
      <c r="O2443">
        <v>1239</v>
      </c>
    </row>
    <row r="2444" spans="1:15" x14ac:dyDescent="0.25">
      <c r="A2444" t="s">
        <v>2457</v>
      </c>
      <c r="B2444">
        <v>1060</v>
      </c>
      <c r="C2444" s="1" t="str">
        <f>HYPERLINK("http://www.rosaceae.org/gb/gbrowse/malus_x_domestica/?name=MDP0000268887","MDP0000268887")</f>
        <v>MDP0000268887</v>
      </c>
      <c r="D2444">
        <v>66.48</v>
      </c>
      <c r="E2444">
        <v>561</v>
      </c>
      <c r="F2444">
        <v>188</v>
      </c>
      <c r="G2444">
        <v>6</v>
      </c>
      <c r="H2444">
        <v>476</v>
      </c>
      <c r="I2444">
        <v>1031</v>
      </c>
      <c r="J2444">
        <v>1</v>
      </c>
      <c r="K2444">
        <v>113</v>
      </c>
      <c r="L2444">
        <v>672</v>
      </c>
      <c r="M2444">
        <v>1</v>
      </c>
      <c r="N2444">
        <v>0</v>
      </c>
      <c r="O2444">
        <v>2034</v>
      </c>
    </row>
    <row r="2445" spans="1:15" x14ac:dyDescent="0.25">
      <c r="A2445" t="s">
        <v>2458</v>
      </c>
      <c r="B2445">
        <v>468</v>
      </c>
      <c r="C2445" s="1" t="str">
        <f>HYPERLINK("http://www.rosaceae.org/gb/gbrowse/malus_x_domestica/?name=MDP0000186795","MDP0000186795")</f>
        <v>MDP0000186795</v>
      </c>
      <c r="D2445">
        <v>74.67</v>
      </c>
      <c r="E2445">
        <v>462</v>
      </c>
      <c r="F2445">
        <v>117</v>
      </c>
      <c r="G2445">
        <v>0</v>
      </c>
      <c r="H2445">
        <v>1</v>
      </c>
      <c r="I2445">
        <v>462</v>
      </c>
      <c r="J2445">
        <v>1</v>
      </c>
      <c r="K2445">
        <v>1</v>
      </c>
      <c r="L2445">
        <v>462</v>
      </c>
      <c r="M2445">
        <v>1</v>
      </c>
      <c r="N2445">
        <v>0</v>
      </c>
      <c r="O2445">
        <v>1820</v>
      </c>
    </row>
    <row r="2446" spans="1:15" x14ac:dyDescent="0.25">
      <c r="A2446" t="s">
        <v>2459</v>
      </c>
      <c r="B2446">
        <v>117</v>
      </c>
      <c r="C2446" s="1" t="str">
        <f>HYPERLINK("http://www.rosaceae.org/gb/gbrowse/malus_x_domestica/?name=MDP0000195272","MDP0000195272")</f>
        <v>MDP0000195272</v>
      </c>
      <c r="D2446">
        <v>72.36</v>
      </c>
      <c r="E2446">
        <v>76</v>
      </c>
      <c r="F2446">
        <v>21</v>
      </c>
      <c r="G2446">
        <v>9</v>
      </c>
      <c r="H2446">
        <v>4</v>
      </c>
      <c r="I2446">
        <v>70</v>
      </c>
      <c r="J2446">
        <v>1</v>
      </c>
      <c r="K2446">
        <v>32</v>
      </c>
      <c r="L2446">
        <v>107</v>
      </c>
      <c r="M2446">
        <v>1</v>
      </c>
      <c r="N2446">
        <v>1.14942E-23</v>
      </c>
      <c r="O2446">
        <v>261</v>
      </c>
    </row>
    <row r="2447" spans="1:15" x14ac:dyDescent="0.25">
      <c r="A2447" t="s">
        <v>2460</v>
      </c>
      <c r="B2447">
        <v>159</v>
      </c>
      <c r="C2447" s="1" t="str">
        <f>HYPERLINK("http://www.rosaceae.org/gb/gbrowse/malus_x_domestica/?name=MDP0000150438","MDP0000150438")</f>
        <v>MDP0000150438</v>
      </c>
      <c r="D2447">
        <v>48.27</v>
      </c>
      <c r="E2447">
        <v>87</v>
      </c>
      <c r="F2447">
        <v>45</v>
      </c>
      <c r="G2447">
        <v>9</v>
      </c>
      <c r="H2447">
        <v>7</v>
      </c>
      <c r="I2447">
        <v>87</v>
      </c>
      <c r="J2447">
        <v>1</v>
      </c>
      <c r="K2447">
        <v>3</v>
      </c>
      <c r="L2447">
        <v>86</v>
      </c>
      <c r="M2447">
        <v>1</v>
      </c>
      <c r="N2447">
        <v>1.49049E-14</v>
      </c>
      <c r="O2447">
        <v>185</v>
      </c>
    </row>
    <row r="2448" spans="1:15" x14ac:dyDescent="0.25">
      <c r="A2448" t="s">
        <v>2461</v>
      </c>
      <c r="B2448">
        <v>603</v>
      </c>
      <c r="C2448" s="1" t="str">
        <f>HYPERLINK("http://www.rosaceae.org/gb/gbrowse/malus_x_domestica/?name=MDP0000296620","MDP0000296620")</f>
        <v>MDP0000296620</v>
      </c>
      <c r="D2448">
        <v>62.42</v>
      </c>
      <c r="E2448">
        <v>165</v>
      </c>
      <c r="F2448">
        <v>62</v>
      </c>
      <c r="G2448">
        <v>0</v>
      </c>
      <c r="H2448">
        <v>48</v>
      </c>
      <c r="I2448">
        <v>212</v>
      </c>
      <c r="J2448">
        <v>1</v>
      </c>
      <c r="K2448">
        <v>420</v>
      </c>
      <c r="L2448">
        <v>584</v>
      </c>
      <c r="M2448">
        <v>1</v>
      </c>
      <c r="N2448">
        <v>9.6049000000000006E-55</v>
      </c>
      <c r="O2448">
        <v>539</v>
      </c>
    </row>
    <row r="2449" spans="1:15" x14ac:dyDescent="0.25">
      <c r="A2449" t="s">
        <v>2462</v>
      </c>
      <c r="B2449">
        <v>396</v>
      </c>
      <c r="C2449" s="1" t="str">
        <f>HYPERLINK("http://www.rosaceae.org/gb/gbrowse/malus_x_domestica/?name=MDP0000535448","MDP0000535448")</f>
        <v>MDP0000535448</v>
      </c>
      <c r="D2449">
        <v>66.66</v>
      </c>
      <c r="E2449">
        <v>117</v>
      </c>
      <c r="F2449">
        <v>39</v>
      </c>
      <c r="G2449">
        <v>4</v>
      </c>
      <c r="H2449">
        <v>280</v>
      </c>
      <c r="I2449">
        <v>396</v>
      </c>
      <c r="J2449">
        <v>1</v>
      </c>
      <c r="K2449">
        <v>563</v>
      </c>
      <c r="L2449">
        <v>675</v>
      </c>
      <c r="M2449">
        <v>1</v>
      </c>
      <c r="N2449">
        <v>2.3856900000000001E-39</v>
      </c>
      <c r="O2449">
        <v>405</v>
      </c>
    </row>
    <row r="2450" spans="1:15" x14ac:dyDescent="0.25">
      <c r="A2450" t="s">
        <v>2463</v>
      </c>
      <c r="B2450">
        <v>252</v>
      </c>
      <c r="C2450" s="1" t="str">
        <f>HYPERLINK("http://www.rosaceae.org/gb/gbrowse/malus_x_domestica/?name=MDP0000435249","MDP0000435249")</f>
        <v>MDP0000435249</v>
      </c>
      <c r="D2450">
        <v>68.25</v>
      </c>
      <c r="E2450">
        <v>63</v>
      </c>
      <c r="F2450">
        <v>20</v>
      </c>
      <c r="G2450">
        <v>0</v>
      </c>
      <c r="H2450">
        <v>75</v>
      </c>
      <c r="I2450">
        <v>137</v>
      </c>
      <c r="J2450">
        <v>1</v>
      </c>
      <c r="K2450">
        <v>121</v>
      </c>
      <c r="L2450">
        <v>183</v>
      </c>
      <c r="M2450">
        <v>1</v>
      </c>
      <c r="N2450">
        <v>3.1352000000000001E-18</v>
      </c>
      <c r="O2450">
        <v>220</v>
      </c>
    </row>
    <row r="2451" spans="1:15" x14ac:dyDescent="0.25">
      <c r="A2451" t="s">
        <v>2464</v>
      </c>
      <c r="B2451">
        <v>792</v>
      </c>
      <c r="C2451" s="1" t="str">
        <f>HYPERLINK("http://www.rosaceae.org/gb/gbrowse/malus_x_domestica/?name=MDP0000677476","MDP0000677476")</f>
        <v>MDP0000677476</v>
      </c>
      <c r="D2451">
        <v>87.45</v>
      </c>
      <c r="E2451">
        <v>773</v>
      </c>
      <c r="F2451">
        <v>97</v>
      </c>
      <c r="G2451">
        <v>10</v>
      </c>
      <c r="H2451">
        <v>30</v>
      </c>
      <c r="I2451">
        <v>792</v>
      </c>
      <c r="J2451">
        <v>1</v>
      </c>
      <c r="K2451">
        <v>73</v>
      </c>
      <c r="L2451">
        <v>845</v>
      </c>
      <c r="M2451">
        <v>1</v>
      </c>
      <c r="N2451">
        <v>0</v>
      </c>
      <c r="O2451">
        <v>3602</v>
      </c>
    </row>
    <row r="2452" spans="1:15" x14ac:dyDescent="0.25">
      <c r="A2452" t="s">
        <v>2465</v>
      </c>
      <c r="B2452">
        <v>370</v>
      </c>
      <c r="C2452" s="1" t="str">
        <f>HYPERLINK("http://www.rosaceae.org/gb/gbrowse/malus_x_domestica/?name=MDP0000487384","MDP0000487384")</f>
        <v>MDP0000487384</v>
      </c>
      <c r="D2452">
        <v>93.62</v>
      </c>
      <c r="E2452">
        <v>298</v>
      </c>
      <c r="F2452">
        <v>19</v>
      </c>
      <c r="G2452">
        <v>0</v>
      </c>
      <c r="H2452">
        <v>56</v>
      </c>
      <c r="I2452">
        <v>353</v>
      </c>
      <c r="J2452">
        <v>1</v>
      </c>
      <c r="K2452">
        <v>133</v>
      </c>
      <c r="L2452">
        <v>430</v>
      </c>
      <c r="M2452">
        <v>1</v>
      </c>
      <c r="N2452">
        <v>9.78583E-168</v>
      </c>
      <c r="O2452">
        <v>1512</v>
      </c>
    </row>
    <row r="2453" spans="1:15" x14ac:dyDescent="0.25">
      <c r="A2453" t="s">
        <v>2466</v>
      </c>
      <c r="B2453">
        <v>209</v>
      </c>
      <c r="C2453" s="1" t="str">
        <f>HYPERLINK("http://www.rosaceae.org/gb/gbrowse/malus_x_domestica/?name=MDP0000314836","MDP0000314836")</f>
        <v>MDP0000314836</v>
      </c>
      <c r="D2453">
        <v>41.58</v>
      </c>
      <c r="E2453">
        <v>214</v>
      </c>
      <c r="F2453">
        <v>125</v>
      </c>
      <c r="G2453">
        <v>39</v>
      </c>
      <c r="H2453">
        <v>1</v>
      </c>
      <c r="I2453">
        <v>206</v>
      </c>
      <c r="J2453">
        <v>1</v>
      </c>
      <c r="K2453">
        <v>45</v>
      </c>
      <c r="L2453">
        <v>227</v>
      </c>
      <c r="M2453">
        <v>1</v>
      </c>
      <c r="N2453">
        <v>1.7086400000000001E-37</v>
      </c>
      <c r="O2453">
        <v>385</v>
      </c>
    </row>
    <row r="2454" spans="1:15" x14ac:dyDescent="0.25">
      <c r="A2454" t="s">
        <v>2467</v>
      </c>
      <c r="B2454">
        <v>303</v>
      </c>
      <c r="C2454" s="1" t="str">
        <f>HYPERLINK("http://www.rosaceae.org/gb/gbrowse/malus_x_domestica/?name=MDP0000263277","MDP0000263277")</f>
        <v>MDP0000263277</v>
      </c>
      <c r="D2454">
        <v>74.260000000000005</v>
      </c>
      <c r="E2454">
        <v>136</v>
      </c>
      <c r="F2454">
        <v>35</v>
      </c>
      <c r="G2454">
        <v>2</v>
      </c>
      <c r="H2454">
        <v>93</v>
      </c>
      <c r="I2454">
        <v>228</v>
      </c>
      <c r="J2454">
        <v>1</v>
      </c>
      <c r="K2454">
        <v>6</v>
      </c>
      <c r="L2454">
        <v>139</v>
      </c>
      <c r="M2454">
        <v>1</v>
      </c>
      <c r="N2454">
        <v>6.1855500000000005E-57</v>
      </c>
      <c r="O2454">
        <v>555</v>
      </c>
    </row>
    <row r="2455" spans="1:15" x14ac:dyDescent="0.25">
      <c r="A2455" t="s">
        <v>2468</v>
      </c>
      <c r="B2455">
        <v>523</v>
      </c>
      <c r="C2455" s="1" t="str">
        <f>HYPERLINK("http://www.rosaceae.org/gb/gbrowse/malus_x_domestica/?name=MDP0000168289","MDP0000168289")</f>
        <v>MDP0000168289</v>
      </c>
      <c r="D2455">
        <v>70.84</v>
      </c>
      <c r="E2455">
        <v>319</v>
      </c>
      <c r="F2455">
        <v>93</v>
      </c>
      <c r="G2455">
        <v>16</v>
      </c>
      <c r="H2455">
        <v>82</v>
      </c>
      <c r="I2455">
        <v>390</v>
      </c>
      <c r="J2455">
        <v>1</v>
      </c>
      <c r="K2455">
        <v>1</v>
      </c>
      <c r="L2455">
        <v>313</v>
      </c>
      <c r="M2455">
        <v>1</v>
      </c>
      <c r="N2455">
        <v>2.0206699999999999E-124</v>
      </c>
      <c r="O2455">
        <v>1140</v>
      </c>
    </row>
    <row r="2456" spans="1:15" x14ac:dyDescent="0.25">
      <c r="A2456" t="s">
        <v>2469</v>
      </c>
      <c r="B2456">
        <v>770</v>
      </c>
      <c r="C2456" s="1" t="str">
        <f>HYPERLINK("http://www.rosaceae.org/gb/gbrowse/malus_x_domestica/?name=MDP0000155612","MDP0000155612")</f>
        <v>MDP0000155612</v>
      </c>
      <c r="D2456">
        <v>69</v>
      </c>
      <c r="E2456">
        <v>784</v>
      </c>
      <c r="F2456">
        <v>243</v>
      </c>
      <c r="G2456">
        <v>36</v>
      </c>
      <c r="H2456">
        <v>1</v>
      </c>
      <c r="I2456">
        <v>770</v>
      </c>
      <c r="J2456">
        <v>1</v>
      </c>
      <c r="K2456">
        <v>1</v>
      </c>
      <c r="L2456">
        <v>762</v>
      </c>
      <c r="M2456">
        <v>1</v>
      </c>
      <c r="N2456">
        <v>0</v>
      </c>
      <c r="O2456">
        <v>2523</v>
      </c>
    </row>
    <row r="2457" spans="1:15" x14ac:dyDescent="0.25">
      <c r="A2457" t="s">
        <v>2470</v>
      </c>
      <c r="B2457">
        <v>848</v>
      </c>
      <c r="C2457" s="1" t="str">
        <f>HYPERLINK("http://www.rosaceae.org/gb/gbrowse/malus_x_domestica/?name=MDP0000183528","MDP0000183528")</f>
        <v>MDP0000183528</v>
      </c>
      <c r="D2457">
        <v>52.26</v>
      </c>
      <c r="E2457">
        <v>815</v>
      </c>
      <c r="F2457">
        <v>389</v>
      </c>
      <c r="G2457">
        <v>67</v>
      </c>
      <c r="H2457">
        <v>79</v>
      </c>
      <c r="I2457">
        <v>847</v>
      </c>
      <c r="J2457">
        <v>1</v>
      </c>
      <c r="K2457">
        <v>1</v>
      </c>
      <c r="L2457">
        <v>794</v>
      </c>
      <c r="M2457">
        <v>1</v>
      </c>
      <c r="N2457">
        <v>0</v>
      </c>
      <c r="O2457">
        <v>1969</v>
      </c>
    </row>
    <row r="2458" spans="1:15" x14ac:dyDescent="0.25">
      <c r="A2458" t="s">
        <v>2471</v>
      </c>
      <c r="B2458">
        <v>153</v>
      </c>
      <c r="C2458" s="1" t="str">
        <f>HYPERLINK("http://www.rosaceae.org/gb/gbrowse/malus_x_domestica/?name=MDP0000185853","MDP0000185853")</f>
        <v>MDP0000185853</v>
      </c>
      <c r="D2458">
        <v>27.27</v>
      </c>
      <c r="E2458">
        <v>176</v>
      </c>
      <c r="F2458">
        <v>128</v>
      </c>
      <c r="G2458">
        <v>36</v>
      </c>
      <c r="H2458">
        <v>8</v>
      </c>
      <c r="I2458">
        <v>149</v>
      </c>
      <c r="J2458">
        <v>1</v>
      </c>
      <c r="K2458">
        <v>18</v>
      </c>
      <c r="L2458">
        <v>191</v>
      </c>
      <c r="M2458">
        <v>1</v>
      </c>
      <c r="N2458">
        <v>2.1502900000000001E-7</v>
      </c>
      <c r="O2458">
        <v>123</v>
      </c>
    </row>
    <row r="2459" spans="1:15" x14ac:dyDescent="0.25">
      <c r="A2459" t="s">
        <v>2472</v>
      </c>
      <c r="B2459">
        <v>575</v>
      </c>
      <c r="C2459" s="1" t="str">
        <f>HYPERLINK("http://www.rosaceae.org/gb/gbrowse/malus_x_domestica/?name=MDP0000136844","MDP0000136844")</f>
        <v>MDP0000136844</v>
      </c>
      <c r="D2459">
        <v>38.590000000000003</v>
      </c>
      <c r="E2459">
        <v>412</v>
      </c>
      <c r="F2459">
        <v>253</v>
      </c>
      <c r="G2459">
        <v>40</v>
      </c>
      <c r="H2459">
        <v>122</v>
      </c>
      <c r="I2459">
        <v>501</v>
      </c>
      <c r="J2459">
        <v>1</v>
      </c>
      <c r="K2459">
        <v>508</v>
      </c>
      <c r="L2459">
        <v>911</v>
      </c>
      <c r="M2459">
        <v>1</v>
      </c>
      <c r="N2459">
        <v>3.1636999999999999E-58</v>
      </c>
      <c r="O2459">
        <v>569</v>
      </c>
    </row>
    <row r="2460" spans="1:15" x14ac:dyDescent="0.25">
      <c r="A2460" t="s">
        <v>2473</v>
      </c>
      <c r="B2460">
        <v>2289</v>
      </c>
      <c r="C2460" s="1" t="str">
        <f>HYPERLINK("http://www.rosaceae.org/gb/gbrowse/malus_x_domestica/?name=MDP0000219975","MDP0000219975")</f>
        <v>MDP0000219975</v>
      </c>
      <c r="D2460">
        <v>84.76</v>
      </c>
      <c r="E2460">
        <v>2323</v>
      </c>
      <c r="F2460">
        <v>354</v>
      </c>
      <c r="G2460">
        <v>84</v>
      </c>
      <c r="H2460">
        <v>1</v>
      </c>
      <c r="I2460">
        <v>2289</v>
      </c>
      <c r="J2460">
        <v>1</v>
      </c>
      <c r="K2460">
        <v>1</v>
      </c>
      <c r="L2460">
        <v>2273</v>
      </c>
      <c r="M2460">
        <v>1</v>
      </c>
      <c r="N2460">
        <v>0</v>
      </c>
      <c r="O2460">
        <v>10493</v>
      </c>
    </row>
    <row r="2461" spans="1:15" x14ac:dyDescent="0.25">
      <c r="A2461" t="s">
        <v>2474</v>
      </c>
      <c r="B2461">
        <v>179</v>
      </c>
      <c r="C2461" s="1" t="str">
        <f>HYPERLINK("http://www.rosaceae.org/gb/gbrowse/malus_x_domestica/?name=MDP0000300658","MDP0000300658")</f>
        <v>MDP0000300658</v>
      </c>
      <c r="D2461">
        <v>39.83</v>
      </c>
      <c r="E2461">
        <v>118</v>
      </c>
      <c r="F2461">
        <v>71</v>
      </c>
      <c r="G2461">
        <v>19</v>
      </c>
      <c r="H2461">
        <v>10</v>
      </c>
      <c r="I2461">
        <v>108</v>
      </c>
      <c r="J2461">
        <v>1</v>
      </c>
      <c r="K2461">
        <v>277</v>
      </c>
      <c r="L2461">
        <v>394</v>
      </c>
      <c r="M2461">
        <v>1</v>
      </c>
      <c r="N2461">
        <v>1.13151E-10</v>
      </c>
      <c r="O2461">
        <v>153</v>
      </c>
    </row>
    <row r="2462" spans="1:15" x14ac:dyDescent="0.25">
      <c r="A2462" t="s">
        <v>2475</v>
      </c>
      <c r="B2462">
        <v>294</v>
      </c>
      <c r="C2462" s="1" t="str">
        <f>HYPERLINK("http://www.rosaceae.org/gb/gbrowse/malus_x_domestica/?name=MDP0000284374","MDP0000284374")</f>
        <v>MDP0000284374</v>
      </c>
      <c r="D2462">
        <v>49.61</v>
      </c>
      <c r="E2462">
        <v>258</v>
      </c>
      <c r="F2462">
        <v>130</v>
      </c>
      <c r="G2462">
        <v>47</v>
      </c>
      <c r="H2462">
        <v>39</v>
      </c>
      <c r="I2462">
        <v>271</v>
      </c>
      <c r="J2462">
        <v>1</v>
      </c>
      <c r="K2462">
        <v>16</v>
      </c>
      <c r="L2462">
        <v>251</v>
      </c>
      <c r="M2462">
        <v>1</v>
      </c>
      <c r="N2462">
        <v>5.0819499999999999E-58</v>
      </c>
      <c r="O2462">
        <v>564</v>
      </c>
    </row>
    <row r="2463" spans="1:15" x14ac:dyDescent="0.25">
      <c r="A2463" t="s">
        <v>2476</v>
      </c>
      <c r="B2463">
        <v>453</v>
      </c>
      <c r="C2463" s="1" t="str">
        <f>HYPERLINK("http://www.rosaceae.org/gb/gbrowse/malus_x_domestica/?name=MDP0000222669","MDP0000222669")</f>
        <v>MDP0000222669</v>
      </c>
      <c r="D2463">
        <v>63.38</v>
      </c>
      <c r="E2463">
        <v>478</v>
      </c>
      <c r="F2463">
        <v>175</v>
      </c>
      <c r="G2463">
        <v>28</v>
      </c>
      <c r="H2463">
        <v>1</v>
      </c>
      <c r="I2463">
        <v>453</v>
      </c>
      <c r="J2463">
        <v>1</v>
      </c>
      <c r="K2463">
        <v>1</v>
      </c>
      <c r="L2463">
        <v>475</v>
      </c>
      <c r="M2463">
        <v>1</v>
      </c>
      <c r="N2463">
        <v>1.1703499999999999E-156</v>
      </c>
      <c r="O2463">
        <v>1417</v>
      </c>
    </row>
    <row r="2464" spans="1:15" x14ac:dyDescent="0.25">
      <c r="A2464" t="s">
        <v>2477</v>
      </c>
      <c r="B2464">
        <v>565</v>
      </c>
      <c r="C2464" s="1" t="str">
        <f>HYPERLINK("http://www.rosaceae.org/gb/gbrowse/malus_x_domestica/?name=MDP0000898346","MDP0000898346")</f>
        <v>MDP0000898346</v>
      </c>
      <c r="D2464">
        <v>71.290000000000006</v>
      </c>
      <c r="E2464">
        <v>526</v>
      </c>
      <c r="F2464">
        <v>151</v>
      </c>
      <c r="G2464">
        <v>4</v>
      </c>
      <c r="H2464">
        <v>1</v>
      </c>
      <c r="I2464">
        <v>522</v>
      </c>
      <c r="J2464">
        <v>1</v>
      </c>
      <c r="K2464">
        <v>1</v>
      </c>
      <c r="L2464">
        <v>526</v>
      </c>
      <c r="M2464">
        <v>1</v>
      </c>
      <c r="N2464">
        <v>0</v>
      </c>
      <c r="O2464">
        <v>1960</v>
      </c>
    </row>
    <row r="2465" spans="1:15" x14ac:dyDescent="0.25">
      <c r="A2465" t="s">
        <v>2478</v>
      </c>
      <c r="B2465">
        <v>158</v>
      </c>
      <c r="C2465" s="1" t="str">
        <f>HYPERLINK("http://www.rosaceae.org/gb/gbrowse/malus_x_domestica/?name=MDP0000427640","MDP0000427640")</f>
        <v>MDP0000427640</v>
      </c>
      <c r="D2465">
        <v>37.25</v>
      </c>
      <c r="E2465">
        <v>102</v>
      </c>
      <c r="F2465">
        <v>64</v>
      </c>
      <c r="G2465">
        <v>18</v>
      </c>
      <c r="H2465">
        <v>7</v>
      </c>
      <c r="I2465">
        <v>107</v>
      </c>
      <c r="J2465">
        <v>1</v>
      </c>
      <c r="K2465">
        <v>12</v>
      </c>
      <c r="L2465">
        <v>96</v>
      </c>
      <c r="M2465">
        <v>1</v>
      </c>
      <c r="N2465">
        <v>1.08841E-8</v>
      </c>
      <c r="O2465">
        <v>135</v>
      </c>
    </row>
    <row r="2466" spans="1:15" x14ac:dyDescent="0.25">
      <c r="A2466" t="s">
        <v>2479</v>
      </c>
      <c r="B2466">
        <v>476</v>
      </c>
      <c r="C2466" s="1" t="str">
        <f>HYPERLINK("http://www.rosaceae.org/gb/gbrowse/malus_x_domestica/?name=MDP0000230054","MDP0000230054")</f>
        <v>MDP0000230054</v>
      </c>
      <c r="D2466">
        <v>62.64</v>
      </c>
      <c r="E2466">
        <v>257</v>
      </c>
      <c r="F2466">
        <v>96</v>
      </c>
      <c r="G2466">
        <v>2</v>
      </c>
      <c r="H2466">
        <v>76</v>
      </c>
      <c r="I2466">
        <v>331</v>
      </c>
      <c r="J2466">
        <v>1</v>
      </c>
      <c r="K2466">
        <v>13</v>
      </c>
      <c r="L2466">
        <v>268</v>
      </c>
      <c r="M2466">
        <v>1</v>
      </c>
      <c r="N2466">
        <v>2.3794400000000001E-89</v>
      </c>
      <c r="O2466">
        <v>837</v>
      </c>
    </row>
    <row r="2467" spans="1:15" x14ac:dyDescent="0.25">
      <c r="A2467" t="s">
        <v>2480</v>
      </c>
      <c r="B2467">
        <v>708</v>
      </c>
      <c r="C2467" s="1" t="str">
        <f>HYPERLINK("http://www.rosaceae.org/gb/gbrowse/malus_x_domestica/?name=MDP0000273839","MDP0000273839")</f>
        <v>MDP0000273839</v>
      </c>
      <c r="D2467">
        <v>81.89</v>
      </c>
      <c r="E2467">
        <v>475</v>
      </c>
      <c r="F2467">
        <v>86</v>
      </c>
      <c r="G2467">
        <v>1</v>
      </c>
      <c r="H2467">
        <v>117</v>
      </c>
      <c r="I2467">
        <v>590</v>
      </c>
      <c r="J2467">
        <v>1</v>
      </c>
      <c r="K2467">
        <v>37</v>
      </c>
      <c r="L2467">
        <v>511</v>
      </c>
      <c r="M2467">
        <v>1</v>
      </c>
      <c r="N2467">
        <v>0</v>
      </c>
      <c r="O2467">
        <v>2075</v>
      </c>
    </row>
    <row r="2468" spans="1:15" x14ac:dyDescent="0.25">
      <c r="A2468" t="s">
        <v>2481</v>
      </c>
      <c r="B2468">
        <v>496</v>
      </c>
      <c r="C2468" s="1" t="str">
        <f>HYPERLINK("http://www.rosaceae.org/gb/gbrowse/malus_x_domestica/?name=MDP0000169560","MDP0000169560")</f>
        <v>MDP0000169560</v>
      </c>
      <c r="D2468">
        <v>62.5</v>
      </c>
      <c r="E2468">
        <v>504</v>
      </c>
      <c r="F2468">
        <v>189</v>
      </c>
      <c r="G2468">
        <v>14</v>
      </c>
      <c r="H2468">
        <v>1</v>
      </c>
      <c r="I2468">
        <v>492</v>
      </c>
      <c r="J2468">
        <v>1</v>
      </c>
      <c r="K2468">
        <v>1</v>
      </c>
      <c r="L2468">
        <v>502</v>
      </c>
      <c r="M2468">
        <v>1</v>
      </c>
      <c r="N2468">
        <v>0</v>
      </c>
      <c r="O2468">
        <v>1685</v>
      </c>
    </row>
    <row r="2469" spans="1:15" x14ac:dyDescent="0.25">
      <c r="A2469" t="s">
        <v>2482</v>
      </c>
      <c r="B2469">
        <v>174</v>
      </c>
      <c r="C2469" s="1" t="str">
        <f>HYPERLINK("http://www.rosaceae.org/gb/gbrowse/malus_x_domestica/?name=MDP0000350976","MDP0000350976")</f>
        <v>MDP0000350976</v>
      </c>
      <c r="D2469">
        <v>66.11</v>
      </c>
      <c r="E2469">
        <v>121</v>
      </c>
      <c r="F2469">
        <v>41</v>
      </c>
      <c r="G2469">
        <v>7</v>
      </c>
      <c r="H2469">
        <v>1</v>
      </c>
      <c r="I2469">
        <v>114</v>
      </c>
      <c r="J2469">
        <v>1</v>
      </c>
      <c r="K2469">
        <v>36</v>
      </c>
      <c r="L2469">
        <v>156</v>
      </c>
      <c r="M2469">
        <v>1</v>
      </c>
      <c r="N2469">
        <v>7.2431399999999996E-37</v>
      </c>
      <c r="O2469">
        <v>379</v>
      </c>
    </row>
    <row r="2470" spans="1:15" x14ac:dyDescent="0.25">
      <c r="A2470" t="s">
        <v>2483</v>
      </c>
      <c r="B2470">
        <v>251</v>
      </c>
      <c r="C2470" s="1" t="str">
        <f>HYPERLINK("http://www.rosaceae.org/gb/gbrowse/malus_x_domestica/?name=MDP0000422721","MDP0000422721")</f>
        <v>MDP0000422721</v>
      </c>
      <c r="D2470">
        <v>59.86</v>
      </c>
      <c r="E2470">
        <v>147</v>
      </c>
      <c r="F2470">
        <v>59</v>
      </c>
      <c r="G2470">
        <v>2</v>
      </c>
      <c r="H2470">
        <v>89</v>
      </c>
      <c r="I2470">
        <v>234</v>
      </c>
      <c r="J2470">
        <v>1</v>
      </c>
      <c r="K2470">
        <v>140</v>
      </c>
      <c r="L2470">
        <v>285</v>
      </c>
      <c r="M2470">
        <v>1</v>
      </c>
      <c r="N2470">
        <v>8.98315E-48</v>
      </c>
      <c r="O2470">
        <v>475</v>
      </c>
    </row>
    <row r="2471" spans="1:15" x14ac:dyDescent="0.25">
      <c r="A2471" t="s">
        <v>2484</v>
      </c>
      <c r="B2471">
        <v>359</v>
      </c>
      <c r="C2471" s="1" t="str">
        <f>HYPERLINK("http://www.rosaceae.org/gb/gbrowse/malus_x_domestica/?name=MDP0000299496","MDP0000299496")</f>
        <v>MDP0000299496</v>
      </c>
      <c r="D2471">
        <v>26.3</v>
      </c>
      <c r="E2471">
        <v>365</v>
      </c>
      <c r="F2471">
        <v>269</v>
      </c>
      <c r="G2471">
        <v>68</v>
      </c>
      <c r="H2471">
        <v>1</v>
      </c>
      <c r="I2471">
        <v>356</v>
      </c>
      <c r="J2471">
        <v>1</v>
      </c>
      <c r="K2471">
        <v>584</v>
      </c>
      <c r="L2471">
        <v>889</v>
      </c>
      <c r="M2471">
        <v>1</v>
      </c>
      <c r="N2471">
        <v>4.46627E-22</v>
      </c>
      <c r="O2471">
        <v>255</v>
      </c>
    </row>
    <row r="2472" spans="1:15" x14ac:dyDescent="0.25">
      <c r="A2472" t="s">
        <v>2485</v>
      </c>
      <c r="B2472">
        <v>518</v>
      </c>
      <c r="C2472" s="1" t="str">
        <f>HYPERLINK("http://www.rosaceae.org/gb/gbrowse/malus_x_domestica/?name=MDP0000247298","MDP0000247298")</f>
        <v>MDP0000247298</v>
      </c>
      <c r="D2472">
        <v>58.22</v>
      </c>
      <c r="E2472">
        <v>383</v>
      </c>
      <c r="F2472">
        <v>160</v>
      </c>
      <c r="G2472">
        <v>10</v>
      </c>
      <c r="H2472">
        <v>19</v>
      </c>
      <c r="I2472">
        <v>394</v>
      </c>
      <c r="J2472">
        <v>1</v>
      </c>
      <c r="K2472">
        <v>17</v>
      </c>
      <c r="L2472">
        <v>396</v>
      </c>
      <c r="M2472">
        <v>1</v>
      </c>
      <c r="N2472">
        <v>4.7872199999999999E-129</v>
      </c>
      <c r="O2472">
        <v>1180</v>
      </c>
    </row>
    <row r="2473" spans="1:15" x14ac:dyDescent="0.25">
      <c r="A2473" t="s">
        <v>2486</v>
      </c>
      <c r="B2473">
        <v>60</v>
      </c>
      <c r="C2473" s="1" t="str">
        <f>HYPERLINK("http://www.rosaceae.org/gb/gbrowse/malus_x_domestica/?name=MDP0000323730","MDP0000323730")</f>
        <v>MDP0000323730</v>
      </c>
      <c r="D2473">
        <v>88.23</v>
      </c>
      <c r="E2473">
        <v>34</v>
      </c>
      <c r="F2473">
        <v>4</v>
      </c>
      <c r="G2473">
        <v>0</v>
      </c>
      <c r="H2473">
        <v>21</v>
      </c>
      <c r="I2473">
        <v>54</v>
      </c>
      <c r="J2473">
        <v>1</v>
      </c>
      <c r="K2473">
        <v>43</v>
      </c>
      <c r="L2473">
        <v>76</v>
      </c>
      <c r="M2473">
        <v>1</v>
      </c>
      <c r="N2473">
        <v>7.02469E-12</v>
      </c>
      <c r="O2473">
        <v>160</v>
      </c>
    </row>
    <row r="2474" spans="1:15" x14ac:dyDescent="0.25">
      <c r="A2474" t="s">
        <v>2487</v>
      </c>
      <c r="B2474">
        <v>699</v>
      </c>
      <c r="C2474" s="1" t="str">
        <f>HYPERLINK("http://www.rosaceae.org/gb/gbrowse/malus_x_domestica/?name=MDP0000140979","MDP0000140979")</f>
        <v>MDP0000140979</v>
      </c>
      <c r="D2474">
        <v>57.33</v>
      </c>
      <c r="E2474">
        <v>682</v>
      </c>
      <c r="F2474">
        <v>291</v>
      </c>
      <c r="G2474">
        <v>28</v>
      </c>
      <c r="H2474">
        <v>35</v>
      </c>
      <c r="I2474">
        <v>699</v>
      </c>
      <c r="J2474">
        <v>1</v>
      </c>
      <c r="K2474">
        <v>28</v>
      </c>
      <c r="L2474">
        <v>698</v>
      </c>
      <c r="M2474">
        <v>1</v>
      </c>
      <c r="N2474">
        <v>0</v>
      </c>
      <c r="O2474">
        <v>1950</v>
      </c>
    </row>
    <row r="2475" spans="1:15" x14ac:dyDescent="0.25">
      <c r="A2475" t="s">
        <v>2488</v>
      </c>
      <c r="B2475">
        <v>245</v>
      </c>
      <c r="C2475" s="1" t="str">
        <f>HYPERLINK("http://www.rosaceae.org/gb/gbrowse/malus_x_domestica/?name=MDP0000247921","MDP0000247921")</f>
        <v>MDP0000247921</v>
      </c>
      <c r="D2475">
        <v>24.46</v>
      </c>
      <c r="E2475">
        <v>233</v>
      </c>
      <c r="F2475">
        <v>176</v>
      </c>
      <c r="G2475">
        <v>29</v>
      </c>
      <c r="H2475">
        <v>17</v>
      </c>
      <c r="I2475">
        <v>223</v>
      </c>
      <c r="J2475">
        <v>1</v>
      </c>
      <c r="K2475">
        <v>697</v>
      </c>
      <c r="L2475">
        <v>926</v>
      </c>
      <c r="M2475">
        <v>1</v>
      </c>
      <c r="N2475">
        <v>5.89591E-7</v>
      </c>
      <c r="O2475">
        <v>123</v>
      </c>
    </row>
    <row r="2476" spans="1:15" x14ac:dyDescent="0.25">
      <c r="A2476" t="s">
        <v>2489</v>
      </c>
      <c r="B2476">
        <v>165</v>
      </c>
      <c r="C2476" s="1" t="str">
        <f>HYPERLINK("http://www.rosaceae.org/gb/gbrowse/malus_x_domestica/?name=MDP0000908370","MDP0000908370")</f>
        <v>MDP0000908370</v>
      </c>
      <c r="D2476">
        <v>63.26</v>
      </c>
      <c r="E2476">
        <v>147</v>
      </c>
      <c r="F2476">
        <v>54</v>
      </c>
      <c r="G2476">
        <v>0</v>
      </c>
      <c r="H2476">
        <v>19</v>
      </c>
      <c r="I2476">
        <v>165</v>
      </c>
      <c r="J2476">
        <v>1</v>
      </c>
      <c r="K2476">
        <v>17</v>
      </c>
      <c r="L2476">
        <v>163</v>
      </c>
      <c r="M2476">
        <v>1</v>
      </c>
      <c r="N2476">
        <v>1.8626500000000001E-39</v>
      </c>
      <c r="O2476">
        <v>400</v>
      </c>
    </row>
    <row r="2477" spans="1:15" x14ac:dyDescent="0.25">
      <c r="A2477" t="s">
        <v>2490</v>
      </c>
      <c r="B2477">
        <v>1175</v>
      </c>
      <c r="C2477" s="1" t="str">
        <f>HYPERLINK("http://www.rosaceae.org/gb/gbrowse/malus_x_domestica/?name=MDP0000129665","MDP0000129665")</f>
        <v>MDP0000129665</v>
      </c>
      <c r="D2477">
        <v>52.91</v>
      </c>
      <c r="E2477">
        <v>754</v>
      </c>
      <c r="F2477">
        <v>355</v>
      </c>
      <c r="G2477">
        <v>36</v>
      </c>
      <c r="H2477">
        <v>160</v>
      </c>
      <c r="I2477">
        <v>899</v>
      </c>
      <c r="J2477">
        <v>1</v>
      </c>
      <c r="K2477">
        <v>43</v>
      </c>
      <c r="L2477">
        <v>774</v>
      </c>
      <c r="M2477">
        <v>1</v>
      </c>
      <c r="N2477">
        <v>0</v>
      </c>
      <c r="O2477">
        <v>1763</v>
      </c>
    </row>
    <row r="2478" spans="1:15" x14ac:dyDescent="0.25">
      <c r="A2478" t="s">
        <v>2491</v>
      </c>
      <c r="B2478">
        <v>123</v>
      </c>
      <c r="C2478" s="1" t="str">
        <f>HYPERLINK("http://www.rosaceae.org/gb/gbrowse/malus_x_domestica/?name=MDP0000292367","MDP0000292367")</f>
        <v>MDP0000292367</v>
      </c>
      <c r="D2478">
        <v>71.569999999999993</v>
      </c>
      <c r="E2478">
        <v>95</v>
      </c>
      <c r="F2478">
        <v>27</v>
      </c>
      <c r="G2478">
        <v>2</v>
      </c>
      <c r="H2478">
        <v>24</v>
      </c>
      <c r="I2478">
        <v>116</v>
      </c>
      <c r="J2478">
        <v>1</v>
      </c>
      <c r="K2478">
        <v>24</v>
      </c>
      <c r="L2478">
        <v>118</v>
      </c>
      <c r="M2478">
        <v>1</v>
      </c>
      <c r="N2478">
        <v>1.06012E-31</v>
      </c>
      <c r="O2478">
        <v>331</v>
      </c>
    </row>
    <row r="2479" spans="1:15" x14ac:dyDescent="0.25">
      <c r="A2479" t="s">
        <v>2492</v>
      </c>
      <c r="B2479">
        <v>502</v>
      </c>
      <c r="C2479" s="1" t="str">
        <f>HYPERLINK("http://www.rosaceae.org/gb/gbrowse/malus_x_domestica/?name=MDP0000284296","MDP0000284296")</f>
        <v>MDP0000284296</v>
      </c>
      <c r="D2479">
        <v>80.86</v>
      </c>
      <c r="E2479">
        <v>371</v>
      </c>
      <c r="F2479">
        <v>71</v>
      </c>
      <c r="G2479">
        <v>41</v>
      </c>
      <c r="H2479">
        <v>173</v>
      </c>
      <c r="I2479">
        <v>502</v>
      </c>
      <c r="J2479">
        <v>1</v>
      </c>
      <c r="K2479">
        <v>270</v>
      </c>
      <c r="L2479">
        <v>640</v>
      </c>
      <c r="M2479">
        <v>1</v>
      </c>
      <c r="N2479">
        <v>3.0440200000000001E-172</v>
      </c>
      <c r="O2479">
        <v>1552</v>
      </c>
    </row>
    <row r="2480" spans="1:15" x14ac:dyDescent="0.25">
      <c r="A2480" t="s">
        <v>2493</v>
      </c>
      <c r="B2480">
        <v>403</v>
      </c>
      <c r="C2480" s="1" t="str">
        <f>HYPERLINK("http://www.rosaceae.org/gb/gbrowse/malus_x_domestica/?name=MDP0000209022","MDP0000209022")</f>
        <v>MDP0000209022</v>
      </c>
      <c r="D2480">
        <v>60.17</v>
      </c>
      <c r="E2480">
        <v>113</v>
      </c>
      <c r="F2480">
        <v>45</v>
      </c>
      <c r="G2480">
        <v>20</v>
      </c>
      <c r="H2480">
        <v>55</v>
      </c>
      <c r="I2480">
        <v>147</v>
      </c>
      <c r="J2480">
        <v>1</v>
      </c>
      <c r="K2480">
        <v>246</v>
      </c>
      <c r="L2480">
        <v>358</v>
      </c>
      <c r="M2480">
        <v>1</v>
      </c>
      <c r="N2480">
        <v>1.6299600000000001E-25</v>
      </c>
      <c r="O2480">
        <v>285</v>
      </c>
    </row>
    <row r="2481" spans="1:15" x14ac:dyDescent="0.25">
      <c r="A2481" t="s">
        <v>2494</v>
      </c>
      <c r="B2481">
        <v>408</v>
      </c>
      <c r="C2481" s="1" t="str">
        <f>HYPERLINK("http://www.rosaceae.org/gb/gbrowse/malus_x_domestica/?name=MDP0000245846","MDP0000245846")</f>
        <v>MDP0000245846</v>
      </c>
      <c r="D2481">
        <v>32.47</v>
      </c>
      <c r="E2481">
        <v>311</v>
      </c>
      <c r="F2481">
        <v>210</v>
      </c>
      <c r="G2481">
        <v>48</v>
      </c>
      <c r="H2481">
        <v>100</v>
      </c>
      <c r="I2481">
        <v>388</v>
      </c>
      <c r="J2481">
        <v>1</v>
      </c>
      <c r="K2481">
        <v>79</v>
      </c>
      <c r="L2481">
        <v>363</v>
      </c>
      <c r="M2481">
        <v>1</v>
      </c>
      <c r="N2481">
        <v>5.1152900000000003E-23</v>
      </c>
      <c r="O2481">
        <v>264</v>
      </c>
    </row>
    <row r="2482" spans="1:15" x14ac:dyDescent="0.25">
      <c r="A2482" t="s">
        <v>2495</v>
      </c>
      <c r="B2482">
        <v>702</v>
      </c>
      <c r="C2482" s="1" t="str">
        <f>HYPERLINK("http://www.rosaceae.org/gb/gbrowse/malus_x_domestica/?name=MDP0000262666","MDP0000262666")</f>
        <v>MDP0000262666</v>
      </c>
      <c r="D2482">
        <v>75.489999999999995</v>
      </c>
      <c r="E2482">
        <v>702</v>
      </c>
      <c r="F2482">
        <v>172</v>
      </c>
      <c r="G2482">
        <v>22</v>
      </c>
      <c r="H2482">
        <v>1</v>
      </c>
      <c r="I2482">
        <v>701</v>
      </c>
      <c r="J2482">
        <v>1</v>
      </c>
      <c r="K2482">
        <v>1</v>
      </c>
      <c r="L2482">
        <v>681</v>
      </c>
      <c r="M2482">
        <v>1</v>
      </c>
      <c r="N2482">
        <v>0</v>
      </c>
      <c r="O2482">
        <v>2800</v>
      </c>
    </row>
    <row r="2483" spans="1:15" x14ac:dyDescent="0.25">
      <c r="A2483" t="s">
        <v>2496</v>
      </c>
      <c r="B2483">
        <v>99</v>
      </c>
      <c r="C2483" s="1" t="str">
        <f>HYPERLINK("http://www.rosaceae.org/gb/gbrowse/malus_x_domestica/?name=MDP0000720497","MDP0000720497")</f>
        <v>MDP0000720497</v>
      </c>
      <c r="D2483">
        <v>79.540000000000006</v>
      </c>
      <c r="E2483">
        <v>88</v>
      </c>
      <c r="F2483">
        <v>18</v>
      </c>
      <c r="G2483">
        <v>0</v>
      </c>
      <c r="H2483">
        <v>12</v>
      </c>
      <c r="I2483">
        <v>99</v>
      </c>
      <c r="J2483">
        <v>1</v>
      </c>
      <c r="K2483">
        <v>37</v>
      </c>
      <c r="L2483">
        <v>124</v>
      </c>
      <c r="M2483">
        <v>1</v>
      </c>
      <c r="N2483">
        <v>1.8546400000000001E-35</v>
      </c>
      <c r="O2483">
        <v>363</v>
      </c>
    </row>
    <row r="2484" spans="1:15" x14ac:dyDescent="0.25">
      <c r="A2484" t="s">
        <v>2497</v>
      </c>
      <c r="B2484">
        <v>789</v>
      </c>
      <c r="C2484" s="1" t="str">
        <f>HYPERLINK("http://www.rosaceae.org/gb/gbrowse/malus_x_domestica/?name=MDP0000482564","MDP0000482564")</f>
        <v>MDP0000482564</v>
      </c>
      <c r="D2484">
        <v>57.42</v>
      </c>
      <c r="E2484">
        <v>660</v>
      </c>
      <c r="F2484">
        <v>281</v>
      </c>
      <c r="G2484">
        <v>14</v>
      </c>
      <c r="H2484">
        <v>46</v>
      </c>
      <c r="I2484">
        <v>700</v>
      </c>
      <c r="J2484">
        <v>1</v>
      </c>
      <c r="K2484">
        <v>46</v>
      </c>
      <c r="L2484">
        <v>696</v>
      </c>
      <c r="M2484">
        <v>1</v>
      </c>
      <c r="N2484">
        <v>0</v>
      </c>
      <c r="O2484">
        <v>1716</v>
      </c>
    </row>
    <row r="2485" spans="1:15" x14ac:dyDescent="0.25">
      <c r="A2485" t="s">
        <v>2498</v>
      </c>
      <c r="B2485">
        <v>164</v>
      </c>
      <c r="C2485" s="1" t="str">
        <f>HYPERLINK("http://www.rosaceae.org/gb/gbrowse/malus_x_domestica/?name=MDP0000321309","MDP0000321309")</f>
        <v>MDP0000321309</v>
      </c>
      <c r="D2485">
        <v>58.82</v>
      </c>
      <c r="E2485">
        <v>51</v>
      </c>
      <c r="F2485">
        <v>21</v>
      </c>
      <c r="G2485">
        <v>4</v>
      </c>
      <c r="H2485">
        <v>1</v>
      </c>
      <c r="I2485">
        <v>51</v>
      </c>
      <c r="J2485">
        <v>1</v>
      </c>
      <c r="K2485">
        <v>1</v>
      </c>
      <c r="L2485">
        <v>47</v>
      </c>
      <c r="M2485">
        <v>1</v>
      </c>
      <c r="N2485">
        <v>2.1161400000000001E-9</v>
      </c>
      <c r="O2485">
        <v>141</v>
      </c>
    </row>
    <row r="2486" spans="1:15" x14ac:dyDescent="0.25">
      <c r="A2486" t="s">
        <v>2499</v>
      </c>
      <c r="B2486">
        <v>325</v>
      </c>
      <c r="C2486" s="1" t="str">
        <f>HYPERLINK("http://www.rosaceae.org/gb/gbrowse/malus_x_domestica/?name=MDP0000256723","MDP0000256723")</f>
        <v>MDP0000256723</v>
      </c>
      <c r="D2486">
        <v>51.64</v>
      </c>
      <c r="E2486">
        <v>335</v>
      </c>
      <c r="F2486">
        <v>162</v>
      </c>
      <c r="G2486">
        <v>13</v>
      </c>
      <c r="H2486">
        <v>1</v>
      </c>
      <c r="I2486">
        <v>325</v>
      </c>
      <c r="J2486">
        <v>1</v>
      </c>
      <c r="K2486">
        <v>311</v>
      </c>
      <c r="L2486">
        <v>642</v>
      </c>
      <c r="M2486">
        <v>1</v>
      </c>
      <c r="N2486">
        <v>7.52194E-88</v>
      </c>
      <c r="O2486">
        <v>822</v>
      </c>
    </row>
    <row r="2487" spans="1:15" x14ac:dyDescent="0.25">
      <c r="A2487" t="s">
        <v>2500</v>
      </c>
      <c r="B2487">
        <v>686</v>
      </c>
      <c r="C2487" s="1" t="str">
        <f>HYPERLINK("http://www.rosaceae.org/gb/gbrowse/malus_x_domestica/?name=MDP0000291710","MDP0000291710")</f>
        <v>MDP0000291710</v>
      </c>
      <c r="D2487">
        <v>38.619999999999997</v>
      </c>
      <c r="E2487">
        <v>145</v>
      </c>
      <c r="F2487">
        <v>89</v>
      </c>
      <c r="G2487">
        <v>18</v>
      </c>
      <c r="H2487">
        <v>328</v>
      </c>
      <c r="I2487">
        <v>461</v>
      </c>
      <c r="J2487">
        <v>1</v>
      </c>
      <c r="K2487">
        <v>103</v>
      </c>
      <c r="L2487">
        <v>240</v>
      </c>
      <c r="M2487">
        <v>1</v>
      </c>
      <c r="N2487">
        <v>1.3682600000000001E-12</v>
      </c>
      <c r="O2487">
        <v>176</v>
      </c>
    </row>
    <row r="2488" spans="1:15" x14ac:dyDescent="0.25">
      <c r="A2488" t="s">
        <v>2501</v>
      </c>
      <c r="B2488">
        <v>530</v>
      </c>
      <c r="C2488" s="1" t="str">
        <f>HYPERLINK("http://www.rosaceae.org/gb/gbrowse/malus_x_domestica/?name=MDP0000179760","MDP0000179760")</f>
        <v>MDP0000179760</v>
      </c>
      <c r="D2488">
        <v>70.010000000000005</v>
      </c>
      <c r="E2488">
        <v>527</v>
      </c>
      <c r="F2488">
        <v>158</v>
      </c>
      <c r="G2488">
        <v>13</v>
      </c>
      <c r="H2488">
        <v>16</v>
      </c>
      <c r="I2488">
        <v>529</v>
      </c>
      <c r="J2488">
        <v>1</v>
      </c>
      <c r="K2488">
        <v>12</v>
      </c>
      <c r="L2488">
        <v>538</v>
      </c>
      <c r="M2488">
        <v>1</v>
      </c>
      <c r="N2488">
        <v>0</v>
      </c>
      <c r="O2488">
        <v>1904</v>
      </c>
    </row>
    <row r="2489" spans="1:15" x14ac:dyDescent="0.25">
      <c r="A2489" t="s">
        <v>2502</v>
      </c>
      <c r="B2489">
        <v>259</v>
      </c>
      <c r="C2489" s="1" t="str">
        <f>HYPERLINK("http://www.rosaceae.org/gb/gbrowse/malus_x_domestica/?name=MDP0000736992","MDP0000736992")</f>
        <v>MDP0000736992</v>
      </c>
      <c r="D2489">
        <v>56.48</v>
      </c>
      <c r="E2489">
        <v>262</v>
      </c>
      <c r="F2489">
        <v>114</v>
      </c>
      <c r="G2489">
        <v>15</v>
      </c>
      <c r="H2489">
        <v>1</v>
      </c>
      <c r="I2489">
        <v>257</v>
      </c>
      <c r="J2489">
        <v>1</v>
      </c>
      <c r="K2489">
        <v>1</v>
      </c>
      <c r="L2489">
        <v>252</v>
      </c>
      <c r="M2489">
        <v>1</v>
      </c>
      <c r="N2489">
        <v>3.8769399999999998E-75</v>
      </c>
      <c r="O2489">
        <v>711</v>
      </c>
    </row>
    <row r="2490" spans="1:15" x14ac:dyDescent="0.25">
      <c r="A2490" t="s">
        <v>2503</v>
      </c>
      <c r="B2490">
        <v>132</v>
      </c>
      <c r="C2490" s="1" t="str">
        <f>HYPERLINK("http://www.rosaceae.org/gb/gbrowse/malus_x_domestica/?name=MDP0000260109","MDP0000260109")</f>
        <v>MDP0000260109</v>
      </c>
      <c r="D2490">
        <v>56.25</v>
      </c>
      <c r="E2490">
        <v>48</v>
      </c>
      <c r="F2490">
        <v>21</v>
      </c>
      <c r="G2490">
        <v>0</v>
      </c>
      <c r="H2490">
        <v>81</v>
      </c>
      <c r="I2490">
        <v>128</v>
      </c>
      <c r="J2490">
        <v>1</v>
      </c>
      <c r="K2490">
        <v>938</v>
      </c>
      <c r="L2490">
        <v>985</v>
      </c>
      <c r="M2490">
        <v>1</v>
      </c>
      <c r="N2490">
        <v>9.9971000000000006E-10</v>
      </c>
      <c r="O2490">
        <v>142</v>
      </c>
    </row>
    <row r="2491" spans="1:15" x14ac:dyDescent="0.25">
      <c r="A2491" t="s">
        <v>2504</v>
      </c>
      <c r="B2491">
        <v>318</v>
      </c>
      <c r="C2491" s="1" t="str">
        <f>HYPERLINK("http://www.rosaceae.org/gb/gbrowse/malus_x_domestica/?name=MDP0000203851","MDP0000203851")</f>
        <v>MDP0000203851</v>
      </c>
      <c r="D2491">
        <v>68.510000000000005</v>
      </c>
      <c r="E2491">
        <v>108</v>
      </c>
      <c r="F2491">
        <v>34</v>
      </c>
      <c r="G2491">
        <v>0</v>
      </c>
      <c r="H2491">
        <v>210</v>
      </c>
      <c r="I2491">
        <v>317</v>
      </c>
      <c r="J2491">
        <v>1</v>
      </c>
      <c r="K2491">
        <v>2</v>
      </c>
      <c r="L2491">
        <v>109</v>
      </c>
      <c r="M2491">
        <v>1</v>
      </c>
      <c r="N2491">
        <v>4.9059900000000001E-41</v>
      </c>
      <c r="O2491">
        <v>418</v>
      </c>
    </row>
    <row r="2492" spans="1:15" x14ac:dyDescent="0.25">
      <c r="A2492" t="s">
        <v>2505</v>
      </c>
      <c r="B2492">
        <v>220</v>
      </c>
      <c r="C2492" s="1" t="str">
        <f>HYPERLINK("http://www.rosaceae.org/gb/gbrowse/malus_x_domestica/?name=MDP0000931380","MDP0000931380")</f>
        <v>MDP0000931380</v>
      </c>
      <c r="D2492">
        <v>78.569999999999993</v>
      </c>
      <c r="E2492">
        <v>28</v>
      </c>
      <c r="F2492">
        <v>6</v>
      </c>
      <c r="G2492">
        <v>0</v>
      </c>
      <c r="H2492">
        <v>87</v>
      </c>
      <c r="I2492">
        <v>114</v>
      </c>
      <c r="J2492">
        <v>1</v>
      </c>
      <c r="K2492">
        <v>62</v>
      </c>
      <c r="L2492">
        <v>89</v>
      </c>
      <c r="M2492">
        <v>1</v>
      </c>
      <c r="N2492">
        <v>2.5601799999999998E-7</v>
      </c>
      <c r="O2492">
        <v>125</v>
      </c>
    </row>
    <row r="2493" spans="1:15" x14ac:dyDescent="0.25">
      <c r="A2493" t="s">
        <v>2506</v>
      </c>
      <c r="B2493">
        <v>221</v>
      </c>
      <c r="C2493" s="1" t="str">
        <f>HYPERLINK("http://www.rosaceae.org/gb/gbrowse/malus_x_domestica/?name=MDP0000161084","MDP0000161084")</f>
        <v>MDP0000161084</v>
      </c>
      <c r="D2493">
        <v>54.4</v>
      </c>
      <c r="E2493">
        <v>250</v>
      </c>
      <c r="F2493">
        <v>114</v>
      </c>
      <c r="G2493">
        <v>31</v>
      </c>
      <c r="H2493">
        <v>1</v>
      </c>
      <c r="I2493">
        <v>221</v>
      </c>
      <c r="J2493">
        <v>1</v>
      </c>
      <c r="K2493">
        <v>1</v>
      </c>
      <c r="L2493">
        <v>248</v>
      </c>
      <c r="M2493">
        <v>1</v>
      </c>
      <c r="N2493">
        <v>4.4025399999999997E-65</v>
      </c>
      <c r="O2493">
        <v>623</v>
      </c>
    </row>
    <row r="2494" spans="1:15" x14ac:dyDescent="0.25">
      <c r="A2494" t="s">
        <v>2507</v>
      </c>
      <c r="B2494">
        <v>495</v>
      </c>
      <c r="C2494" s="1" t="str">
        <f>HYPERLINK("http://www.rosaceae.org/gb/gbrowse/malus_x_domestica/?name=MDP0000292529","MDP0000292529")</f>
        <v>MDP0000292529</v>
      </c>
      <c r="D2494">
        <v>86.81</v>
      </c>
      <c r="E2494">
        <v>440</v>
      </c>
      <c r="F2494">
        <v>58</v>
      </c>
      <c r="G2494">
        <v>8</v>
      </c>
      <c r="H2494">
        <v>3</v>
      </c>
      <c r="I2494">
        <v>434</v>
      </c>
      <c r="J2494">
        <v>1</v>
      </c>
      <c r="K2494">
        <v>59</v>
      </c>
      <c r="L2494">
        <v>498</v>
      </c>
      <c r="M2494">
        <v>1</v>
      </c>
      <c r="N2494">
        <v>0</v>
      </c>
      <c r="O2494">
        <v>2022</v>
      </c>
    </row>
    <row r="2495" spans="1:15" x14ac:dyDescent="0.25">
      <c r="A2495" t="s">
        <v>2508</v>
      </c>
      <c r="B2495">
        <v>203</v>
      </c>
      <c r="C2495" s="1" t="str">
        <f>HYPERLINK("http://www.rosaceae.org/gb/gbrowse/malus_x_domestica/?name=MDP0000397831","MDP0000397831")</f>
        <v>MDP0000397831</v>
      </c>
      <c r="D2495">
        <v>66.47</v>
      </c>
      <c r="E2495">
        <v>176</v>
      </c>
      <c r="F2495">
        <v>59</v>
      </c>
      <c r="G2495">
        <v>11</v>
      </c>
      <c r="H2495">
        <v>1</v>
      </c>
      <c r="I2495">
        <v>169</v>
      </c>
      <c r="J2495">
        <v>1</v>
      </c>
      <c r="K2495">
        <v>1</v>
      </c>
      <c r="L2495">
        <v>172</v>
      </c>
      <c r="M2495">
        <v>1</v>
      </c>
      <c r="N2495">
        <v>3.5025600000000002E-61</v>
      </c>
      <c r="O2495">
        <v>589</v>
      </c>
    </row>
    <row r="2496" spans="1:15" x14ac:dyDescent="0.25">
      <c r="A2496" t="s">
        <v>2509</v>
      </c>
      <c r="B2496">
        <v>552</v>
      </c>
      <c r="C2496" s="1" t="str">
        <f>HYPERLINK("http://www.rosaceae.org/gb/gbrowse/malus_x_domestica/?name=MDP0000286574","MDP0000286574")</f>
        <v>MDP0000286574</v>
      </c>
      <c r="D2496">
        <v>72.86</v>
      </c>
      <c r="E2496">
        <v>457</v>
      </c>
      <c r="F2496">
        <v>124</v>
      </c>
      <c r="G2496">
        <v>0</v>
      </c>
      <c r="H2496">
        <v>94</v>
      </c>
      <c r="I2496">
        <v>550</v>
      </c>
      <c r="J2496">
        <v>1</v>
      </c>
      <c r="K2496">
        <v>23</v>
      </c>
      <c r="L2496">
        <v>479</v>
      </c>
      <c r="M2496">
        <v>1</v>
      </c>
      <c r="N2496">
        <v>0</v>
      </c>
      <c r="O2496">
        <v>1740</v>
      </c>
    </row>
    <row r="2497" spans="1:15" x14ac:dyDescent="0.25">
      <c r="A2497" t="s">
        <v>2510</v>
      </c>
      <c r="B2497">
        <v>1066</v>
      </c>
      <c r="C2497" s="1" t="str">
        <f>HYPERLINK("http://www.rosaceae.org/gb/gbrowse/malus_x_domestica/?name=MDP0000125772","MDP0000125772")</f>
        <v>MDP0000125772</v>
      </c>
      <c r="D2497">
        <v>60.64</v>
      </c>
      <c r="E2497">
        <v>1080</v>
      </c>
      <c r="F2497">
        <v>425</v>
      </c>
      <c r="G2497">
        <v>59</v>
      </c>
      <c r="H2497">
        <v>5</v>
      </c>
      <c r="I2497">
        <v>1057</v>
      </c>
      <c r="J2497">
        <v>1</v>
      </c>
      <c r="K2497">
        <v>1</v>
      </c>
      <c r="L2497">
        <v>1048</v>
      </c>
      <c r="M2497">
        <v>1</v>
      </c>
      <c r="N2497">
        <v>0</v>
      </c>
      <c r="O2497">
        <v>3171</v>
      </c>
    </row>
    <row r="2498" spans="1:15" x14ac:dyDescent="0.25">
      <c r="A2498" t="s">
        <v>2511</v>
      </c>
      <c r="B2498">
        <v>413</v>
      </c>
      <c r="C2498" s="1" t="str">
        <f>HYPERLINK("http://www.rosaceae.org/gb/gbrowse/malus_x_domestica/?name=MDP0000260400","MDP0000260400")</f>
        <v>MDP0000260400</v>
      </c>
      <c r="D2498">
        <v>43.08</v>
      </c>
      <c r="E2498">
        <v>123</v>
      </c>
      <c r="F2498">
        <v>70</v>
      </c>
      <c r="G2498">
        <v>24</v>
      </c>
      <c r="H2498">
        <v>270</v>
      </c>
      <c r="I2498">
        <v>371</v>
      </c>
      <c r="J2498">
        <v>1</v>
      </c>
      <c r="K2498">
        <v>509</v>
      </c>
      <c r="L2498">
        <v>628</v>
      </c>
      <c r="M2498">
        <v>1</v>
      </c>
      <c r="N2498">
        <v>1.9635500000000001E-15</v>
      </c>
      <c r="O2498">
        <v>199</v>
      </c>
    </row>
    <row r="2499" spans="1:15" x14ac:dyDescent="0.25">
      <c r="A2499" t="s">
        <v>2512</v>
      </c>
      <c r="B2499">
        <v>366</v>
      </c>
      <c r="C2499" s="1" t="str">
        <f>HYPERLINK("http://www.rosaceae.org/gb/gbrowse/malus_x_domestica/?name=MDP0000312274","MDP0000312274")</f>
        <v>MDP0000312274</v>
      </c>
      <c r="D2499">
        <v>69.75</v>
      </c>
      <c r="E2499">
        <v>367</v>
      </c>
      <c r="F2499">
        <v>111</v>
      </c>
      <c r="G2499">
        <v>24</v>
      </c>
      <c r="H2499">
        <v>1</v>
      </c>
      <c r="I2499">
        <v>360</v>
      </c>
      <c r="J2499">
        <v>1</v>
      </c>
      <c r="K2499">
        <v>1</v>
      </c>
      <c r="L2499">
        <v>350</v>
      </c>
      <c r="M2499">
        <v>1</v>
      </c>
      <c r="N2499">
        <v>1.18133E-127</v>
      </c>
      <c r="O2499">
        <v>1166</v>
      </c>
    </row>
    <row r="2500" spans="1:15" x14ac:dyDescent="0.25">
      <c r="A2500" t="s">
        <v>2513</v>
      </c>
      <c r="B2500">
        <v>575</v>
      </c>
      <c r="C2500" s="1" t="str">
        <f>HYPERLINK("http://www.rosaceae.org/gb/gbrowse/malus_x_domestica/?name=MDP0000195139","MDP0000195139")</f>
        <v>MDP0000195139</v>
      </c>
      <c r="D2500">
        <v>43.05</v>
      </c>
      <c r="E2500">
        <v>288</v>
      </c>
      <c r="F2500">
        <v>164</v>
      </c>
      <c r="G2500">
        <v>17</v>
      </c>
      <c r="H2500">
        <v>115</v>
      </c>
      <c r="I2500">
        <v>387</v>
      </c>
      <c r="J2500">
        <v>1</v>
      </c>
      <c r="K2500">
        <v>520</v>
      </c>
      <c r="L2500">
        <v>805</v>
      </c>
      <c r="M2500">
        <v>1</v>
      </c>
      <c r="N2500">
        <v>1.0811300000000001E-49</v>
      </c>
      <c r="O2500">
        <v>496</v>
      </c>
    </row>
    <row r="2501" spans="1:15" x14ac:dyDescent="0.25">
      <c r="A2501" t="s">
        <v>2514</v>
      </c>
      <c r="B2501">
        <v>223</v>
      </c>
      <c r="C2501" s="1" t="str">
        <f>HYPERLINK("http://www.rosaceae.org/gb/gbrowse/malus_x_domestica/?name=MDP0000147080","MDP0000147080")</f>
        <v>MDP0000147080</v>
      </c>
      <c r="D2501">
        <v>77.959999999999994</v>
      </c>
      <c r="E2501">
        <v>177</v>
      </c>
      <c r="F2501">
        <v>39</v>
      </c>
      <c r="G2501">
        <v>1</v>
      </c>
      <c r="H2501">
        <v>1</v>
      </c>
      <c r="I2501">
        <v>176</v>
      </c>
      <c r="J2501">
        <v>1</v>
      </c>
      <c r="K2501">
        <v>11</v>
      </c>
      <c r="L2501">
        <v>187</v>
      </c>
      <c r="M2501">
        <v>1</v>
      </c>
      <c r="N2501">
        <v>1.3687800000000001E-81</v>
      </c>
      <c r="O2501">
        <v>766</v>
      </c>
    </row>
    <row r="2502" spans="1:15" x14ac:dyDescent="0.25">
      <c r="A2502" t="s">
        <v>2515</v>
      </c>
      <c r="B2502">
        <v>1116</v>
      </c>
      <c r="C2502" s="1" t="str">
        <f>HYPERLINK("http://www.rosaceae.org/gb/gbrowse/malus_x_domestica/?name=MDP0000200336","MDP0000200336")</f>
        <v>MDP0000200336</v>
      </c>
      <c r="D2502">
        <v>63.13</v>
      </c>
      <c r="E2502">
        <v>1104</v>
      </c>
      <c r="F2502">
        <v>407</v>
      </c>
      <c r="G2502">
        <v>62</v>
      </c>
      <c r="H2502">
        <v>46</v>
      </c>
      <c r="I2502">
        <v>1105</v>
      </c>
      <c r="J2502">
        <v>1</v>
      </c>
      <c r="K2502">
        <v>29</v>
      </c>
      <c r="L2502">
        <v>1114</v>
      </c>
      <c r="M2502">
        <v>1</v>
      </c>
      <c r="N2502">
        <v>0</v>
      </c>
      <c r="O2502">
        <v>3706</v>
      </c>
    </row>
    <row r="2503" spans="1:15" x14ac:dyDescent="0.25">
      <c r="A2503" t="s">
        <v>2516</v>
      </c>
      <c r="B2503">
        <v>168</v>
      </c>
      <c r="C2503" s="1" t="str">
        <f>HYPERLINK("http://www.rosaceae.org/gb/gbrowse/malus_x_domestica/?name=MDP0000284881","MDP0000284881")</f>
        <v>MDP0000284881</v>
      </c>
      <c r="D2503">
        <v>74.39</v>
      </c>
      <c r="E2503">
        <v>82</v>
      </c>
      <c r="F2503">
        <v>21</v>
      </c>
      <c r="G2503">
        <v>3</v>
      </c>
      <c r="H2503">
        <v>55</v>
      </c>
      <c r="I2503">
        <v>134</v>
      </c>
      <c r="J2503">
        <v>1</v>
      </c>
      <c r="K2503">
        <v>1</v>
      </c>
      <c r="L2503">
        <v>81</v>
      </c>
      <c r="M2503">
        <v>1</v>
      </c>
      <c r="N2503">
        <v>1.94927E-29</v>
      </c>
      <c r="O2503">
        <v>314</v>
      </c>
    </row>
    <row r="2504" spans="1:15" x14ac:dyDescent="0.25">
      <c r="A2504" t="s">
        <v>2517</v>
      </c>
      <c r="B2504">
        <v>725</v>
      </c>
      <c r="C2504" s="1" t="str">
        <f>HYPERLINK("http://www.rosaceae.org/gb/gbrowse/malus_x_domestica/?name=MDP0000230999","MDP0000230999")</f>
        <v>MDP0000230999</v>
      </c>
      <c r="D2504">
        <v>68.36</v>
      </c>
      <c r="E2504">
        <v>708</v>
      </c>
      <c r="F2504">
        <v>224</v>
      </c>
      <c r="G2504">
        <v>46</v>
      </c>
      <c r="H2504">
        <v>59</v>
      </c>
      <c r="I2504">
        <v>725</v>
      </c>
      <c r="J2504">
        <v>1</v>
      </c>
      <c r="K2504">
        <v>104</v>
      </c>
      <c r="L2504">
        <v>806</v>
      </c>
      <c r="M2504">
        <v>1</v>
      </c>
      <c r="N2504">
        <v>0</v>
      </c>
      <c r="O2504">
        <v>2312</v>
      </c>
    </row>
    <row r="2505" spans="1:15" x14ac:dyDescent="0.25">
      <c r="A2505" t="s">
        <v>2518</v>
      </c>
      <c r="B2505">
        <v>338</v>
      </c>
      <c r="C2505" s="1" t="str">
        <f>HYPERLINK("http://www.rosaceae.org/gb/gbrowse/malus_x_domestica/?name=MDP0000151161","MDP0000151161")</f>
        <v>MDP0000151161</v>
      </c>
      <c r="D2505">
        <v>71.94</v>
      </c>
      <c r="E2505">
        <v>335</v>
      </c>
      <c r="F2505">
        <v>94</v>
      </c>
      <c r="G2505">
        <v>2</v>
      </c>
      <c r="H2505">
        <v>6</v>
      </c>
      <c r="I2505">
        <v>338</v>
      </c>
      <c r="J2505">
        <v>1</v>
      </c>
      <c r="K2505">
        <v>47</v>
      </c>
      <c r="L2505">
        <v>381</v>
      </c>
      <c r="M2505">
        <v>1</v>
      </c>
      <c r="N2505">
        <v>4.90683E-147</v>
      </c>
      <c r="O2505">
        <v>1333</v>
      </c>
    </row>
    <row r="2506" spans="1:15" x14ac:dyDescent="0.25">
      <c r="A2506" t="s">
        <v>2519</v>
      </c>
      <c r="B2506">
        <v>296</v>
      </c>
      <c r="C2506" s="1" t="str">
        <f>HYPERLINK("http://www.rosaceae.org/gb/gbrowse/malus_x_domestica/?name=MDP0000668260","MDP0000668260")</f>
        <v>MDP0000668260</v>
      </c>
      <c r="D2506">
        <v>50</v>
      </c>
      <c r="E2506">
        <v>258</v>
      </c>
      <c r="F2506">
        <v>129</v>
      </c>
      <c r="G2506">
        <v>44</v>
      </c>
      <c r="H2506">
        <v>1</v>
      </c>
      <c r="I2506">
        <v>240</v>
      </c>
      <c r="J2506">
        <v>1</v>
      </c>
      <c r="K2506">
        <v>1</v>
      </c>
      <c r="L2506">
        <v>232</v>
      </c>
      <c r="M2506">
        <v>1</v>
      </c>
      <c r="N2506">
        <v>1.15592E-50</v>
      </c>
      <c r="O2506">
        <v>501</v>
      </c>
    </row>
    <row r="2507" spans="1:15" x14ac:dyDescent="0.25">
      <c r="A2507" t="s">
        <v>2520</v>
      </c>
      <c r="B2507">
        <v>312</v>
      </c>
      <c r="C2507" s="1" t="str">
        <f>HYPERLINK("http://www.rosaceae.org/gb/gbrowse/malus_x_domestica/?name=MDP0000223251","MDP0000223251")</f>
        <v>MDP0000223251</v>
      </c>
      <c r="D2507">
        <v>72.19</v>
      </c>
      <c r="E2507">
        <v>241</v>
      </c>
      <c r="F2507">
        <v>67</v>
      </c>
      <c r="G2507">
        <v>1</v>
      </c>
      <c r="H2507">
        <v>72</v>
      </c>
      <c r="I2507">
        <v>312</v>
      </c>
      <c r="J2507">
        <v>1</v>
      </c>
      <c r="K2507">
        <v>66</v>
      </c>
      <c r="L2507">
        <v>305</v>
      </c>
      <c r="M2507">
        <v>1</v>
      </c>
      <c r="N2507">
        <v>2.7532599999999999E-94</v>
      </c>
      <c r="O2507">
        <v>877</v>
      </c>
    </row>
    <row r="2508" spans="1:15" x14ac:dyDescent="0.25">
      <c r="A2508" t="s">
        <v>2521</v>
      </c>
      <c r="B2508">
        <v>459</v>
      </c>
      <c r="C2508" s="1" t="str">
        <f>HYPERLINK("http://www.rosaceae.org/gb/gbrowse/malus_x_domestica/?name=MDP0000534784","MDP0000534784")</f>
        <v>MDP0000534784</v>
      </c>
      <c r="D2508">
        <v>54.69</v>
      </c>
      <c r="E2508">
        <v>426</v>
      </c>
      <c r="F2508">
        <v>193</v>
      </c>
      <c r="G2508">
        <v>54</v>
      </c>
      <c r="H2508">
        <v>42</v>
      </c>
      <c r="I2508">
        <v>459</v>
      </c>
      <c r="J2508">
        <v>1</v>
      </c>
      <c r="K2508">
        <v>52</v>
      </c>
      <c r="L2508">
        <v>431</v>
      </c>
      <c r="M2508">
        <v>1</v>
      </c>
      <c r="N2508">
        <v>6.6842199999999999E-105</v>
      </c>
      <c r="O2508">
        <v>971</v>
      </c>
    </row>
    <row r="2509" spans="1:15" x14ac:dyDescent="0.25">
      <c r="A2509" t="s">
        <v>2522</v>
      </c>
      <c r="B2509">
        <v>348</v>
      </c>
      <c r="C2509" s="1" t="str">
        <f>HYPERLINK("http://www.rosaceae.org/gb/gbrowse/malus_x_domestica/?name=MDP0000165017","MDP0000165017")</f>
        <v>MDP0000165017</v>
      </c>
      <c r="D2509">
        <v>63.17</v>
      </c>
      <c r="E2509">
        <v>353</v>
      </c>
      <c r="F2509">
        <v>130</v>
      </c>
      <c r="G2509">
        <v>16</v>
      </c>
      <c r="H2509">
        <v>4</v>
      </c>
      <c r="I2509">
        <v>341</v>
      </c>
      <c r="J2509">
        <v>1</v>
      </c>
      <c r="K2509">
        <v>3</v>
      </c>
      <c r="L2509">
        <v>354</v>
      </c>
      <c r="M2509">
        <v>1</v>
      </c>
      <c r="N2509">
        <v>8.2826000000000003E-126</v>
      </c>
      <c r="O2509">
        <v>1150</v>
      </c>
    </row>
    <row r="2510" spans="1:15" x14ac:dyDescent="0.25">
      <c r="A2510" t="s">
        <v>2523</v>
      </c>
      <c r="B2510">
        <v>565</v>
      </c>
      <c r="C2510" s="1" t="str">
        <f>HYPERLINK("http://www.rosaceae.org/gb/gbrowse/malus_x_domestica/?name=MDP0000144784","MDP0000144784")</f>
        <v>MDP0000144784</v>
      </c>
      <c r="D2510">
        <v>64.569999999999993</v>
      </c>
      <c r="E2510">
        <v>511</v>
      </c>
      <c r="F2510">
        <v>181</v>
      </c>
      <c r="G2510">
        <v>97</v>
      </c>
      <c r="H2510">
        <v>88</v>
      </c>
      <c r="I2510">
        <v>506</v>
      </c>
      <c r="J2510">
        <v>1</v>
      </c>
      <c r="K2510">
        <v>97</v>
      </c>
      <c r="L2510">
        <v>602</v>
      </c>
      <c r="M2510">
        <v>1</v>
      </c>
      <c r="N2510">
        <v>1.40012E-176</v>
      </c>
      <c r="O2510">
        <v>1590</v>
      </c>
    </row>
    <row r="2511" spans="1:15" x14ac:dyDescent="0.25">
      <c r="A2511" t="s">
        <v>2524</v>
      </c>
      <c r="B2511">
        <v>286</v>
      </c>
      <c r="C2511" s="1" t="str">
        <f>HYPERLINK("http://www.rosaceae.org/gb/gbrowse/malus_x_domestica/?name=MDP0000557841","MDP0000557841")</f>
        <v>MDP0000557841</v>
      </c>
      <c r="D2511">
        <v>64.87</v>
      </c>
      <c r="E2511">
        <v>279</v>
      </c>
      <c r="F2511">
        <v>98</v>
      </c>
      <c r="G2511">
        <v>45</v>
      </c>
      <c r="H2511">
        <v>35</v>
      </c>
      <c r="I2511">
        <v>270</v>
      </c>
      <c r="J2511">
        <v>1</v>
      </c>
      <c r="K2511">
        <v>1</v>
      </c>
      <c r="L2511">
        <v>277</v>
      </c>
      <c r="M2511">
        <v>1</v>
      </c>
      <c r="N2511">
        <v>2.6875699999999999E-96</v>
      </c>
      <c r="O2511">
        <v>894</v>
      </c>
    </row>
    <row r="2512" spans="1:15" x14ac:dyDescent="0.25">
      <c r="A2512" t="s">
        <v>2525</v>
      </c>
      <c r="B2512">
        <v>754</v>
      </c>
      <c r="C2512" s="1" t="str">
        <f>HYPERLINK("http://www.rosaceae.org/gb/gbrowse/malus_x_domestica/?name=MDP0000229381","MDP0000229381")</f>
        <v>MDP0000229381</v>
      </c>
      <c r="D2512">
        <v>69.62</v>
      </c>
      <c r="E2512">
        <v>800</v>
      </c>
      <c r="F2512">
        <v>243</v>
      </c>
      <c r="G2512">
        <v>57</v>
      </c>
      <c r="H2512">
        <v>10</v>
      </c>
      <c r="I2512">
        <v>754</v>
      </c>
      <c r="J2512">
        <v>1</v>
      </c>
      <c r="K2512">
        <v>12</v>
      </c>
      <c r="L2512">
        <v>809</v>
      </c>
      <c r="M2512">
        <v>1</v>
      </c>
      <c r="N2512">
        <v>0</v>
      </c>
      <c r="O2512">
        <v>2757</v>
      </c>
    </row>
    <row r="2513" spans="1:15" x14ac:dyDescent="0.25">
      <c r="A2513" t="s">
        <v>2526</v>
      </c>
      <c r="B2513">
        <v>433</v>
      </c>
      <c r="C2513" s="1" t="str">
        <f>HYPERLINK("http://www.rosaceae.org/gb/gbrowse/malus_x_domestica/?name=MDP0000255134","MDP0000255134")</f>
        <v>MDP0000255134</v>
      </c>
      <c r="D2513">
        <v>39.35</v>
      </c>
      <c r="E2513">
        <v>432</v>
      </c>
      <c r="F2513">
        <v>262</v>
      </c>
      <c r="G2513">
        <v>39</v>
      </c>
      <c r="H2513">
        <v>7</v>
      </c>
      <c r="I2513">
        <v>414</v>
      </c>
      <c r="J2513">
        <v>1</v>
      </c>
      <c r="K2513">
        <v>13</v>
      </c>
      <c r="L2513">
        <v>429</v>
      </c>
      <c r="M2513">
        <v>1</v>
      </c>
      <c r="N2513">
        <v>3.6585300000000001E-72</v>
      </c>
      <c r="O2513">
        <v>688</v>
      </c>
    </row>
    <row r="2514" spans="1:15" x14ac:dyDescent="0.25">
      <c r="A2514" t="s">
        <v>2527</v>
      </c>
      <c r="B2514">
        <v>204</v>
      </c>
      <c r="C2514" s="1" t="str">
        <f>HYPERLINK("http://www.rosaceae.org/gb/gbrowse/malus_x_domestica/?name=MDP0000127324","MDP0000127324")</f>
        <v>MDP0000127324</v>
      </c>
      <c r="D2514">
        <v>45.71</v>
      </c>
      <c r="E2514">
        <v>210</v>
      </c>
      <c r="F2514">
        <v>114</v>
      </c>
      <c r="G2514">
        <v>13</v>
      </c>
      <c r="H2514">
        <v>1</v>
      </c>
      <c r="I2514">
        <v>202</v>
      </c>
      <c r="J2514">
        <v>1</v>
      </c>
      <c r="K2514">
        <v>1</v>
      </c>
      <c r="L2514">
        <v>205</v>
      </c>
      <c r="M2514">
        <v>1</v>
      </c>
      <c r="N2514">
        <v>3.6376400000000002E-33</v>
      </c>
      <c r="O2514">
        <v>348</v>
      </c>
    </row>
    <row r="2515" spans="1:15" x14ac:dyDescent="0.25">
      <c r="A2515" t="s">
        <v>2528</v>
      </c>
      <c r="B2515">
        <v>2916</v>
      </c>
      <c r="C2515" s="1" t="str">
        <f>HYPERLINK("http://www.rosaceae.org/gb/gbrowse/malus_x_domestica/?name=MDP0000267963","MDP0000267963")</f>
        <v>MDP0000267963</v>
      </c>
      <c r="D2515">
        <v>47.41</v>
      </c>
      <c r="E2515">
        <v>561</v>
      </c>
      <c r="F2515">
        <v>295</v>
      </c>
      <c r="G2515">
        <v>37</v>
      </c>
      <c r="H2515">
        <v>2345</v>
      </c>
      <c r="I2515">
        <v>2896</v>
      </c>
      <c r="J2515">
        <v>1</v>
      </c>
      <c r="K2515">
        <v>235</v>
      </c>
      <c r="L2515">
        <v>767</v>
      </c>
      <c r="M2515">
        <v>1</v>
      </c>
      <c r="N2515">
        <v>1.3980600000000001E-144</v>
      </c>
      <c r="O2515">
        <v>1320</v>
      </c>
    </row>
    <row r="2516" spans="1:15" x14ac:dyDescent="0.25">
      <c r="A2516" t="s">
        <v>2529</v>
      </c>
      <c r="B2516">
        <v>110</v>
      </c>
      <c r="C2516" s="1" t="str">
        <f>HYPERLINK("http://www.rosaceae.org/gb/gbrowse/malus_x_domestica/?name=MDP0000268577","MDP0000268577")</f>
        <v>MDP0000268577</v>
      </c>
      <c r="D2516">
        <v>48.21</v>
      </c>
      <c r="E2516">
        <v>112</v>
      </c>
      <c r="F2516">
        <v>58</v>
      </c>
      <c r="G2516">
        <v>2</v>
      </c>
      <c r="H2516">
        <v>1</v>
      </c>
      <c r="I2516">
        <v>110</v>
      </c>
      <c r="J2516">
        <v>1</v>
      </c>
      <c r="K2516">
        <v>350</v>
      </c>
      <c r="L2516">
        <v>461</v>
      </c>
      <c r="M2516">
        <v>1</v>
      </c>
      <c r="N2516">
        <v>1.05512E-21</v>
      </c>
      <c r="O2516">
        <v>245</v>
      </c>
    </row>
    <row r="2517" spans="1:15" x14ac:dyDescent="0.25">
      <c r="A2517" t="s">
        <v>2530</v>
      </c>
      <c r="B2517">
        <v>368</v>
      </c>
      <c r="C2517" s="1" t="str">
        <f>HYPERLINK("http://www.rosaceae.org/gb/gbrowse/malus_x_domestica/?name=MDP0000175377","MDP0000175377")</f>
        <v>MDP0000175377</v>
      </c>
      <c r="D2517">
        <v>59.19</v>
      </c>
      <c r="E2517">
        <v>299</v>
      </c>
      <c r="F2517">
        <v>122</v>
      </c>
      <c r="G2517">
        <v>8</v>
      </c>
      <c r="H2517">
        <v>48</v>
      </c>
      <c r="I2517">
        <v>345</v>
      </c>
      <c r="J2517">
        <v>1</v>
      </c>
      <c r="K2517">
        <v>11</v>
      </c>
      <c r="L2517">
        <v>302</v>
      </c>
      <c r="M2517">
        <v>1</v>
      </c>
      <c r="N2517">
        <v>8.3229300000000002E-96</v>
      </c>
      <c r="O2517">
        <v>891</v>
      </c>
    </row>
    <row r="2518" spans="1:15" x14ac:dyDescent="0.25">
      <c r="A2518" t="s">
        <v>2531</v>
      </c>
      <c r="B2518">
        <v>243</v>
      </c>
      <c r="C2518" s="1" t="str">
        <f>HYPERLINK("http://www.rosaceae.org/gb/gbrowse/malus_x_domestica/?name=MDP0000319618","MDP0000319618")</f>
        <v>MDP0000319618</v>
      </c>
      <c r="D2518">
        <v>82.5</v>
      </c>
      <c r="E2518">
        <v>200</v>
      </c>
      <c r="F2518">
        <v>35</v>
      </c>
      <c r="G2518">
        <v>0</v>
      </c>
      <c r="H2518">
        <v>44</v>
      </c>
      <c r="I2518">
        <v>243</v>
      </c>
      <c r="J2518">
        <v>1</v>
      </c>
      <c r="K2518">
        <v>173</v>
      </c>
      <c r="L2518">
        <v>372</v>
      </c>
      <c r="M2518">
        <v>1</v>
      </c>
      <c r="N2518">
        <v>2.69942E-92</v>
      </c>
      <c r="O2518">
        <v>859</v>
      </c>
    </row>
    <row r="2519" spans="1:15" x14ac:dyDescent="0.25">
      <c r="A2519" t="s">
        <v>2532</v>
      </c>
      <c r="B2519">
        <v>235</v>
      </c>
      <c r="C2519" s="1" t="str">
        <f>HYPERLINK("http://www.rosaceae.org/gb/gbrowse/malus_x_domestica/?name=MDP0000246258","MDP0000246258")</f>
        <v>MDP0000246258</v>
      </c>
      <c r="D2519">
        <v>56.27</v>
      </c>
      <c r="E2519">
        <v>247</v>
      </c>
      <c r="F2519">
        <v>108</v>
      </c>
      <c r="G2519">
        <v>35</v>
      </c>
      <c r="H2519">
        <v>1</v>
      </c>
      <c r="I2519">
        <v>233</v>
      </c>
      <c r="J2519">
        <v>1</v>
      </c>
      <c r="K2519">
        <v>1</v>
      </c>
      <c r="L2519">
        <v>226</v>
      </c>
      <c r="M2519">
        <v>1</v>
      </c>
      <c r="N2519">
        <v>5.6975799999999998E-59</v>
      </c>
      <c r="O2519">
        <v>571</v>
      </c>
    </row>
    <row r="2520" spans="1:15" x14ac:dyDescent="0.25">
      <c r="A2520" t="s">
        <v>2533</v>
      </c>
      <c r="B2520">
        <v>195</v>
      </c>
      <c r="C2520" s="1" t="str">
        <f>HYPERLINK("http://www.rosaceae.org/gb/gbrowse/malus_x_domestica/?name=MDP0000440147","MDP0000440147")</f>
        <v>MDP0000440147</v>
      </c>
      <c r="D2520">
        <v>82.47</v>
      </c>
      <c r="E2520">
        <v>194</v>
      </c>
      <c r="F2520">
        <v>34</v>
      </c>
      <c r="G2520">
        <v>1</v>
      </c>
      <c r="H2520">
        <v>1</v>
      </c>
      <c r="I2520">
        <v>193</v>
      </c>
      <c r="J2520">
        <v>1</v>
      </c>
      <c r="K2520">
        <v>1</v>
      </c>
      <c r="L2520">
        <v>194</v>
      </c>
      <c r="M2520">
        <v>1</v>
      </c>
      <c r="N2520">
        <v>9.7333200000000005E-90</v>
      </c>
      <c r="O2520">
        <v>835</v>
      </c>
    </row>
    <row r="2521" spans="1:15" x14ac:dyDescent="0.25">
      <c r="A2521" t="s">
        <v>2534</v>
      </c>
      <c r="B2521">
        <v>499</v>
      </c>
      <c r="C2521" s="1" t="str">
        <f>HYPERLINK("http://www.rosaceae.org/gb/gbrowse/malus_x_domestica/?name=MDP0000859828","MDP0000859828")</f>
        <v>MDP0000859828</v>
      </c>
      <c r="D2521">
        <v>44.44</v>
      </c>
      <c r="E2521">
        <v>468</v>
      </c>
      <c r="F2521">
        <v>260</v>
      </c>
      <c r="G2521">
        <v>69</v>
      </c>
      <c r="H2521">
        <v>55</v>
      </c>
      <c r="I2521">
        <v>499</v>
      </c>
      <c r="J2521">
        <v>1</v>
      </c>
      <c r="K2521">
        <v>41</v>
      </c>
      <c r="L2521">
        <v>462</v>
      </c>
      <c r="M2521">
        <v>1</v>
      </c>
      <c r="N2521">
        <v>2.0295899999999999E-76</v>
      </c>
      <c r="O2521">
        <v>725</v>
      </c>
    </row>
    <row r="2522" spans="1:15" x14ac:dyDescent="0.25">
      <c r="A2522" t="s">
        <v>2535</v>
      </c>
      <c r="B2522">
        <v>187</v>
      </c>
      <c r="C2522" s="1" t="str">
        <f>HYPERLINK("http://www.rosaceae.org/gb/gbrowse/malus_x_domestica/?name=MDP0000325868","MDP0000325868")</f>
        <v>MDP0000325868</v>
      </c>
      <c r="D2522">
        <v>68.53</v>
      </c>
      <c r="E2522">
        <v>143</v>
      </c>
      <c r="F2522">
        <v>45</v>
      </c>
      <c r="G2522">
        <v>2</v>
      </c>
      <c r="H2522">
        <v>47</v>
      </c>
      <c r="I2522">
        <v>187</v>
      </c>
      <c r="J2522">
        <v>1</v>
      </c>
      <c r="K2522">
        <v>6</v>
      </c>
      <c r="L2522">
        <v>148</v>
      </c>
      <c r="M2522">
        <v>1</v>
      </c>
      <c r="N2522">
        <v>7.45394E-45</v>
      </c>
      <c r="O2522">
        <v>448</v>
      </c>
    </row>
    <row r="2523" spans="1:15" x14ac:dyDescent="0.25">
      <c r="A2523" t="s">
        <v>2536</v>
      </c>
      <c r="B2523">
        <v>435</v>
      </c>
      <c r="C2523" s="1" t="str">
        <f>HYPERLINK("http://www.rosaceae.org/gb/gbrowse/malus_x_domestica/?name=MDP0000318130","MDP0000318130")</f>
        <v>MDP0000318130</v>
      </c>
      <c r="D2523">
        <v>66.12</v>
      </c>
      <c r="E2523">
        <v>186</v>
      </c>
      <c r="F2523">
        <v>63</v>
      </c>
      <c r="G2523">
        <v>15</v>
      </c>
      <c r="H2523">
        <v>255</v>
      </c>
      <c r="I2523">
        <v>426</v>
      </c>
      <c r="J2523">
        <v>1</v>
      </c>
      <c r="K2523">
        <v>778</v>
      </c>
      <c r="L2523">
        <v>962</v>
      </c>
      <c r="M2523">
        <v>1</v>
      </c>
      <c r="N2523">
        <v>3.2808000000000001E-66</v>
      </c>
      <c r="O2523">
        <v>637</v>
      </c>
    </row>
    <row r="2524" spans="1:15" x14ac:dyDescent="0.25">
      <c r="A2524" t="s">
        <v>2537</v>
      </c>
      <c r="B2524">
        <v>185</v>
      </c>
      <c r="C2524" s="1" t="str">
        <f>HYPERLINK("http://www.rosaceae.org/gb/gbrowse/malus_x_domestica/?name=MDP0000856843","MDP0000856843")</f>
        <v>MDP0000856843</v>
      </c>
      <c r="D2524">
        <v>80.8</v>
      </c>
      <c r="E2524">
        <v>99</v>
      </c>
      <c r="F2524">
        <v>19</v>
      </c>
      <c r="G2524">
        <v>1</v>
      </c>
      <c r="H2524">
        <v>1</v>
      </c>
      <c r="I2524">
        <v>98</v>
      </c>
      <c r="J2524">
        <v>1</v>
      </c>
      <c r="K2524">
        <v>1</v>
      </c>
      <c r="L2524">
        <v>99</v>
      </c>
      <c r="M2524">
        <v>1</v>
      </c>
      <c r="N2524">
        <v>8.6941400000000003E-41</v>
      </c>
      <c r="O2524">
        <v>413</v>
      </c>
    </row>
    <row r="2525" spans="1:15" x14ac:dyDescent="0.25">
      <c r="A2525" t="s">
        <v>2538</v>
      </c>
      <c r="B2525">
        <v>903</v>
      </c>
      <c r="C2525" s="1" t="str">
        <f>HYPERLINK("http://www.rosaceae.org/gb/gbrowse/malus_x_domestica/?name=MDP0000297920","MDP0000297920")</f>
        <v>MDP0000297920</v>
      </c>
      <c r="D2525">
        <v>64.44</v>
      </c>
      <c r="E2525">
        <v>855</v>
      </c>
      <c r="F2525">
        <v>304</v>
      </c>
      <c r="G2525">
        <v>56</v>
      </c>
      <c r="H2525">
        <v>94</v>
      </c>
      <c r="I2525">
        <v>903</v>
      </c>
      <c r="J2525">
        <v>1</v>
      </c>
      <c r="K2525">
        <v>17</v>
      </c>
      <c r="L2525">
        <v>860</v>
      </c>
      <c r="M2525">
        <v>1</v>
      </c>
      <c r="N2525">
        <v>0</v>
      </c>
      <c r="O2525">
        <v>2721</v>
      </c>
    </row>
    <row r="2526" spans="1:15" x14ac:dyDescent="0.25">
      <c r="A2526" t="s">
        <v>2539</v>
      </c>
      <c r="B2526">
        <v>271</v>
      </c>
      <c r="C2526" s="1" t="str">
        <f>HYPERLINK("http://www.rosaceae.org/gb/gbrowse/malus_x_domestica/?name=MDP0000133367","MDP0000133367")</f>
        <v>MDP0000133367</v>
      </c>
      <c r="D2526">
        <v>76.83</v>
      </c>
      <c r="E2526">
        <v>272</v>
      </c>
      <c r="F2526">
        <v>63</v>
      </c>
      <c r="G2526">
        <v>1</v>
      </c>
      <c r="H2526">
        <v>1</v>
      </c>
      <c r="I2526">
        <v>271</v>
      </c>
      <c r="J2526">
        <v>1</v>
      </c>
      <c r="K2526">
        <v>230</v>
      </c>
      <c r="L2526">
        <v>501</v>
      </c>
      <c r="M2526">
        <v>1</v>
      </c>
      <c r="N2526">
        <v>4.24806E-123</v>
      </c>
      <c r="O2526">
        <v>1125</v>
      </c>
    </row>
    <row r="2527" spans="1:15" x14ac:dyDescent="0.25">
      <c r="A2527" t="s">
        <v>2540</v>
      </c>
      <c r="B2527">
        <v>548</v>
      </c>
      <c r="C2527" s="1" t="str">
        <f>HYPERLINK("http://www.rosaceae.org/gb/gbrowse/malus_x_domestica/?name=MDP0000286856","MDP0000286856")</f>
        <v>MDP0000286856</v>
      </c>
      <c r="D2527">
        <v>63.39</v>
      </c>
      <c r="E2527">
        <v>571</v>
      </c>
      <c r="F2527">
        <v>209</v>
      </c>
      <c r="G2527">
        <v>80</v>
      </c>
      <c r="H2527">
        <v>1</v>
      </c>
      <c r="I2527">
        <v>491</v>
      </c>
      <c r="J2527">
        <v>1</v>
      </c>
      <c r="K2527">
        <v>44</v>
      </c>
      <c r="L2527">
        <v>614</v>
      </c>
      <c r="M2527">
        <v>1</v>
      </c>
      <c r="N2527">
        <v>0</v>
      </c>
      <c r="O2527">
        <v>1866</v>
      </c>
    </row>
    <row r="2528" spans="1:15" x14ac:dyDescent="0.25">
      <c r="A2528" t="s">
        <v>2541</v>
      </c>
      <c r="B2528">
        <v>174</v>
      </c>
      <c r="C2528" s="1" t="str">
        <f>HYPERLINK("http://www.rosaceae.org/gb/gbrowse/malus_x_domestica/?name=MDP0000150391","MDP0000150391")</f>
        <v>MDP0000150391</v>
      </c>
      <c r="D2528">
        <v>34.090000000000003</v>
      </c>
      <c r="E2528">
        <v>88</v>
      </c>
      <c r="F2528">
        <v>58</v>
      </c>
      <c r="G2528">
        <v>1</v>
      </c>
      <c r="H2528">
        <v>46</v>
      </c>
      <c r="I2528">
        <v>132</v>
      </c>
      <c r="J2528">
        <v>1</v>
      </c>
      <c r="K2528">
        <v>75</v>
      </c>
      <c r="L2528">
        <v>162</v>
      </c>
      <c r="M2528">
        <v>1</v>
      </c>
      <c r="N2528">
        <v>2.2336799999999999E-8</v>
      </c>
      <c r="O2528">
        <v>133</v>
      </c>
    </row>
    <row r="2529" spans="1:15" x14ac:dyDescent="0.25">
      <c r="A2529" t="s">
        <v>2542</v>
      </c>
      <c r="B2529">
        <v>499</v>
      </c>
      <c r="C2529" s="1" t="str">
        <f>HYPERLINK("http://www.rosaceae.org/gb/gbrowse/malus_x_domestica/?name=MDP0000162563","MDP0000162563")</f>
        <v>MDP0000162563</v>
      </c>
      <c r="D2529">
        <v>40.17</v>
      </c>
      <c r="E2529">
        <v>336</v>
      </c>
      <c r="F2529">
        <v>201</v>
      </c>
      <c r="G2529">
        <v>76</v>
      </c>
      <c r="H2529">
        <v>142</v>
      </c>
      <c r="I2529">
        <v>443</v>
      </c>
      <c r="J2529">
        <v>1</v>
      </c>
      <c r="K2529">
        <v>12</v>
      </c>
      <c r="L2529">
        <v>305</v>
      </c>
      <c r="M2529">
        <v>1</v>
      </c>
      <c r="N2529">
        <v>4.2922299999999998E-54</v>
      </c>
      <c r="O2529">
        <v>533</v>
      </c>
    </row>
    <row r="2530" spans="1:15" x14ac:dyDescent="0.25">
      <c r="A2530" t="s">
        <v>2543</v>
      </c>
      <c r="B2530">
        <v>959</v>
      </c>
      <c r="C2530" s="1" t="str">
        <f>HYPERLINK("http://www.rosaceae.org/gb/gbrowse/malus_x_domestica/?name=MDP0000320276","MDP0000320276")</f>
        <v>MDP0000320276</v>
      </c>
      <c r="D2530">
        <v>50.07</v>
      </c>
      <c r="E2530">
        <v>633</v>
      </c>
      <c r="F2530">
        <v>316</v>
      </c>
      <c r="G2530">
        <v>33</v>
      </c>
      <c r="H2530">
        <v>1</v>
      </c>
      <c r="I2530">
        <v>602</v>
      </c>
      <c r="J2530">
        <v>1</v>
      </c>
      <c r="K2530">
        <v>1</v>
      </c>
      <c r="L2530">
        <v>631</v>
      </c>
      <c r="M2530">
        <v>1</v>
      </c>
      <c r="N2530">
        <v>2.4636000000000002E-162</v>
      </c>
      <c r="O2530">
        <v>1469</v>
      </c>
    </row>
    <row r="2531" spans="1:15" x14ac:dyDescent="0.25">
      <c r="A2531" t="s">
        <v>2544</v>
      </c>
      <c r="B2531">
        <v>342</v>
      </c>
      <c r="C2531" s="1" t="str">
        <f>HYPERLINK("http://www.rosaceae.org/gb/gbrowse/malus_x_domestica/?name=MDP0000216956","MDP0000216956")</f>
        <v>MDP0000216956</v>
      </c>
      <c r="D2531">
        <v>30</v>
      </c>
      <c r="E2531">
        <v>160</v>
      </c>
      <c r="F2531">
        <v>112</v>
      </c>
      <c r="G2531">
        <v>23</v>
      </c>
      <c r="H2531">
        <v>1</v>
      </c>
      <c r="I2531">
        <v>148</v>
      </c>
      <c r="J2531">
        <v>1</v>
      </c>
      <c r="K2531">
        <v>92</v>
      </c>
      <c r="L2531">
        <v>240</v>
      </c>
      <c r="M2531">
        <v>1</v>
      </c>
      <c r="N2531">
        <v>1.08185E-10</v>
      </c>
      <c r="O2531">
        <v>157</v>
      </c>
    </row>
    <row r="2532" spans="1:15" x14ac:dyDescent="0.25">
      <c r="A2532" t="s">
        <v>2545</v>
      </c>
      <c r="B2532">
        <v>200</v>
      </c>
      <c r="C2532" s="1" t="str">
        <f>HYPERLINK("http://www.rosaceae.org/gb/gbrowse/malus_x_domestica/?name=MDP0000753464","MDP0000753464")</f>
        <v>MDP0000753464</v>
      </c>
      <c r="D2532">
        <v>74.75</v>
      </c>
      <c r="E2532">
        <v>202</v>
      </c>
      <c r="F2532">
        <v>51</v>
      </c>
      <c r="G2532">
        <v>2</v>
      </c>
      <c r="H2532">
        <v>1</v>
      </c>
      <c r="I2532">
        <v>200</v>
      </c>
      <c r="J2532">
        <v>1</v>
      </c>
      <c r="K2532">
        <v>1</v>
      </c>
      <c r="L2532">
        <v>202</v>
      </c>
      <c r="M2532">
        <v>1</v>
      </c>
      <c r="N2532">
        <v>1.40781E-83</v>
      </c>
      <c r="O2532">
        <v>782</v>
      </c>
    </row>
    <row r="2533" spans="1:15" x14ac:dyDescent="0.25">
      <c r="A2533" t="s">
        <v>2546</v>
      </c>
      <c r="B2533">
        <v>486</v>
      </c>
      <c r="C2533" s="1" t="str">
        <f>HYPERLINK("http://www.rosaceae.org/gb/gbrowse/malus_x_domestica/?name=MDP0000304784","MDP0000304784")</f>
        <v>MDP0000304784</v>
      </c>
      <c r="D2533">
        <v>74.63</v>
      </c>
      <c r="E2533">
        <v>485</v>
      </c>
      <c r="F2533">
        <v>123</v>
      </c>
      <c r="G2533">
        <v>4</v>
      </c>
      <c r="H2533">
        <v>3</v>
      </c>
      <c r="I2533">
        <v>485</v>
      </c>
      <c r="J2533">
        <v>1</v>
      </c>
      <c r="K2533">
        <v>86</v>
      </c>
      <c r="L2533">
        <v>568</v>
      </c>
      <c r="M2533">
        <v>1</v>
      </c>
      <c r="N2533">
        <v>0</v>
      </c>
      <c r="O2533">
        <v>1950</v>
      </c>
    </row>
    <row r="2534" spans="1:15" x14ac:dyDescent="0.25">
      <c r="A2534" t="s">
        <v>2547</v>
      </c>
      <c r="B2534">
        <v>376</v>
      </c>
      <c r="C2534" s="1" t="str">
        <f>HYPERLINK("http://www.rosaceae.org/gb/gbrowse/malus_x_domestica/?name=MDP0000172931","MDP0000172931")</f>
        <v>MDP0000172931</v>
      </c>
      <c r="D2534">
        <v>31.54</v>
      </c>
      <c r="E2534">
        <v>149</v>
      </c>
      <c r="F2534">
        <v>102</v>
      </c>
      <c r="G2534">
        <v>33</v>
      </c>
      <c r="H2534">
        <v>246</v>
      </c>
      <c r="I2534">
        <v>364</v>
      </c>
      <c r="J2534">
        <v>1</v>
      </c>
      <c r="K2534">
        <v>412</v>
      </c>
      <c r="L2534">
        <v>557</v>
      </c>
      <c r="M2534">
        <v>1</v>
      </c>
      <c r="N2534">
        <v>2.25534E-12</v>
      </c>
      <c r="O2534">
        <v>172</v>
      </c>
    </row>
    <row r="2535" spans="1:15" x14ac:dyDescent="0.25">
      <c r="A2535" t="s">
        <v>2548</v>
      </c>
      <c r="B2535">
        <v>511</v>
      </c>
      <c r="C2535" s="1" t="str">
        <f>HYPERLINK("http://www.rosaceae.org/gb/gbrowse/malus_x_domestica/?name=MDP0000126654","MDP0000126654")</f>
        <v>MDP0000126654</v>
      </c>
      <c r="D2535">
        <v>74.459999999999994</v>
      </c>
      <c r="E2535">
        <v>517</v>
      </c>
      <c r="F2535">
        <v>132</v>
      </c>
      <c r="G2535">
        <v>9</v>
      </c>
      <c r="H2535">
        <v>1</v>
      </c>
      <c r="I2535">
        <v>511</v>
      </c>
      <c r="J2535">
        <v>1</v>
      </c>
      <c r="K2535">
        <v>1</v>
      </c>
      <c r="L2535">
        <v>514</v>
      </c>
      <c r="M2535">
        <v>1</v>
      </c>
      <c r="N2535">
        <v>0</v>
      </c>
      <c r="O2535">
        <v>1971</v>
      </c>
    </row>
    <row r="2536" spans="1:15" x14ac:dyDescent="0.25">
      <c r="A2536" t="s">
        <v>2549</v>
      </c>
      <c r="B2536">
        <v>263</v>
      </c>
      <c r="C2536" s="1" t="str">
        <f>HYPERLINK("http://www.rosaceae.org/gb/gbrowse/malus_x_domestica/?name=MDP0000186801","MDP0000186801")</f>
        <v>MDP0000186801</v>
      </c>
      <c r="D2536">
        <v>71.540000000000006</v>
      </c>
      <c r="E2536">
        <v>253</v>
      </c>
      <c r="F2536">
        <v>72</v>
      </c>
      <c r="G2536">
        <v>4</v>
      </c>
      <c r="H2536">
        <v>1</v>
      </c>
      <c r="I2536">
        <v>252</v>
      </c>
      <c r="J2536">
        <v>1</v>
      </c>
      <c r="K2536">
        <v>1</v>
      </c>
      <c r="L2536">
        <v>250</v>
      </c>
      <c r="M2536">
        <v>1</v>
      </c>
      <c r="N2536">
        <v>4.7291800000000004E-109</v>
      </c>
      <c r="O2536">
        <v>1004</v>
      </c>
    </row>
    <row r="2537" spans="1:15" x14ac:dyDescent="0.25">
      <c r="A2537" t="s">
        <v>2550</v>
      </c>
      <c r="B2537">
        <v>340</v>
      </c>
      <c r="C2537" s="1" t="str">
        <f>HYPERLINK("http://www.rosaceae.org/gb/gbrowse/malus_x_domestica/?name=MDP0000245391","MDP0000245391")</f>
        <v>MDP0000245391</v>
      </c>
      <c r="D2537">
        <v>60.27</v>
      </c>
      <c r="E2537">
        <v>219</v>
      </c>
      <c r="F2537">
        <v>87</v>
      </c>
      <c r="G2537">
        <v>0</v>
      </c>
      <c r="H2537">
        <v>122</v>
      </c>
      <c r="I2537">
        <v>340</v>
      </c>
      <c r="J2537">
        <v>1</v>
      </c>
      <c r="K2537">
        <v>300</v>
      </c>
      <c r="L2537">
        <v>518</v>
      </c>
      <c r="M2537">
        <v>1</v>
      </c>
      <c r="N2537">
        <v>1.6557699999999999E-67</v>
      </c>
      <c r="O2537">
        <v>647</v>
      </c>
    </row>
    <row r="2538" spans="1:15" x14ac:dyDescent="0.25">
      <c r="A2538" t="s">
        <v>2551</v>
      </c>
      <c r="B2538">
        <v>158</v>
      </c>
      <c r="C2538" s="1" t="str">
        <f>HYPERLINK("http://www.rosaceae.org/gb/gbrowse/malus_x_domestica/?name=MDP0000791550","MDP0000791550")</f>
        <v>MDP0000791550</v>
      </c>
      <c r="D2538">
        <v>67.540000000000006</v>
      </c>
      <c r="E2538">
        <v>151</v>
      </c>
      <c r="F2538">
        <v>49</v>
      </c>
      <c r="G2538">
        <v>0</v>
      </c>
      <c r="H2538">
        <v>7</v>
      </c>
      <c r="I2538">
        <v>157</v>
      </c>
      <c r="J2538">
        <v>1</v>
      </c>
      <c r="K2538">
        <v>4</v>
      </c>
      <c r="L2538">
        <v>154</v>
      </c>
      <c r="M2538">
        <v>1</v>
      </c>
      <c r="N2538">
        <v>1.8016300000000001E-54</v>
      </c>
      <c r="O2538">
        <v>530</v>
      </c>
    </row>
    <row r="2539" spans="1:15" x14ac:dyDescent="0.25">
      <c r="A2539" t="s">
        <v>2552</v>
      </c>
      <c r="B2539">
        <v>364</v>
      </c>
      <c r="C2539" s="1" t="str">
        <f>HYPERLINK("http://www.rosaceae.org/gb/gbrowse/malus_x_domestica/?name=MDP0000167066","MDP0000167066")</f>
        <v>MDP0000167066</v>
      </c>
      <c r="D2539">
        <v>70.92</v>
      </c>
      <c r="E2539">
        <v>399</v>
      </c>
      <c r="F2539">
        <v>116</v>
      </c>
      <c r="G2539">
        <v>57</v>
      </c>
      <c r="H2539">
        <v>7</v>
      </c>
      <c r="I2539">
        <v>364</v>
      </c>
      <c r="J2539">
        <v>1</v>
      </c>
      <c r="K2539">
        <v>8</v>
      </c>
      <c r="L2539">
        <v>390</v>
      </c>
      <c r="M2539">
        <v>1</v>
      </c>
      <c r="N2539">
        <v>5.4324900000000003E-162</v>
      </c>
      <c r="O2539">
        <v>1462</v>
      </c>
    </row>
    <row r="2540" spans="1:15" x14ac:dyDescent="0.25">
      <c r="A2540" t="s">
        <v>2553</v>
      </c>
      <c r="B2540">
        <v>273</v>
      </c>
      <c r="C2540" s="1" t="str">
        <f>HYPERLINK("http://www.rosaceae.org/gb/gbrowse/malus_x_domestica/?name=MDP0000319460","MDP0000319460")</f>
        <v>MDP0000319460</v>
      </c>
      <c r="D2540">
        <v>54.21</v>
      </c>
      <c r="E2540">
        <v>249</v>
      </c>
      <c r="F2540">
        <v>114</v>
      </c>
      <c r="G2540">
        <v>13</v>
      </c>
      <c r="H2540">
        <v>31</v>
      </c>
      <c r="I2540">
        <v>269</v>
      </c>
      <c r="J2540">
        <v>1</v>
      </c>
      <c r="K2540">
        <v>31</v>
      </c>
      <c r="L2540">
        <v>276</v>
      </c>
      <c r="M2540">
        <v>1</v>
      </c>
      <c r="N2540">
        <v>1.17982E-64</v>
      </c>
      <c r="O2540">
        <v>621</v>
      </c>
    </row>
    <row r="2541" spans="1:15" x14ac:dyDescent="0.25">
      <c r="A2541" t="s">
        <v>2554</v>
      </c>
      <c r="B2541">
        <v>744</v>
      </c>
      <c r="C2541" s="1" t="str">
        <f>HYPERLINK("http://www.rosaceae.org/gb/gbrowse/malus_x_domestica/?name=MDP0000130226","MDP0000130226")</f>
        <v>MDP0000130226</v>
      </c>
      <c r="D2541">
        <v>83.76</v>
      </c>
      <c r="E2541">
        <v>468</v>
      </c>
      <c r="F2541">
        <v>76</v>
      </c>
      <c r="G2541">
        <v>33</v>
      </c>
      <c r="H2541">
        <v>1</v>
      </c>
      <c r="I2541">
        <v>435</v>
      </c>
      <c r="J2541">
        <v>1</v>
      </c>
      <c r="K2541">
        <v>1</v>
      </c>
      <c r="L2541">
        <v>468</v>
      </c>
      <c r="M2541">
        <v>1</v>
      </c>
      <c r="N2541">
        <v>0</v>
      </c>
      <c r="O2541">
        <v>2084</v>
      </c>
    </row>
    <row r="2542" spans="1:15" x14ac:dyDescent="0.25">
      <c r="A2542" t="s">
        <v>2555</v>
      </c>
      <c r="B2542">
        <v>343</v>
      </c>
      <c r="C2542" s="1" t="str">
        <f>HYPERLINK("http://www.rosaceae.org/gb/gbrowse/malus_x_domestica/?name=MDP0000262664","MDP0000262664")</f>
        <v>MDP0000262664</v>
      </c>
      <c r="D2542">
        <v>33.590000000000003</v>
      </c>
      <c r="E2542">
        <v>128</v>
      </c>
      <c r="F2542">
        <v>85</v>
      </c>
      <c r="G2542">
        <v>8</v>
      </c>
      <c r="H2542">
        <v>157</v>
      </c>
      <c r="I2542">
        <v>282</v>
      </c>
      <c r="J2542">
        <v>1</v>
      </c>
      <c r="K2542">
        <v>332</v>
      </c>
      <c r="L2542">
        <v>453</v>
      </c>
      <c r="M2542">
        <v>1</v>
      </c>
      <c r="N2542">
        <v>1.5029000000000001E-13</v>
      </c>
      <c r="O2542">
        <v>182</v>
      </c>
    </row>
    <row r="2543" spans="1:15" x14ac:dyDescent="0.25">
      <c r="A2543" t="s">
        <v>2556</v>
      </c>
      <c r="B2543">
        <v>333</v>
      </c>
      <c r="C2543" s="1" t="str">
        <f>HYPERLINK("http://www.rosaceae.org/gb/gbrowse/malus_x_domestica/?name=MDP0000264960","MDP0000264960")</f>
        <v>MDP0000264960</v>
      </c>
      <c r="D2543">
        <v>35.83</v>
      </c>
      <c r="E2543">
        <v>360</v>
      </c>
      <c r="F2543">
        <v>231</v>
      </c>
      <c r="G2543">
        <v>43</v>
      </c>
      <c r="H2543">
        <v>1</v>
      </c>
      <c r="I2543">
        <v>329</v>
      </c>
      <c r="J2543">
        <v>1</v>
      </c>
      <c r="K2543">
        <v>477</v>
      </c>
      <c r="L2543">
        <v>824</v>
      </c>
      <c r="M2543">
        <v>1</v>
      </c>
      <c r="N2543">
        <v>1.91225E-42</v>
      </c>
      <c r="O2543">
        <v>431</v>
      </c>
    </row>
    <row r="2544" spans="1:15" x14ac:dyDescent="0.25">
      <c r="A2544" t="s">
        <v>2557</v>
      </c>
      <c r="B2544">
        <v>157</v>
      </c>
      <c r="C2544" s="1" t="str">
        <f>HYPERLINK("http://www.rosaceae.org/gb/gbrowse/malus_x_domestica/?name=MDP0000308332","MDP0000308332")</f>
        <v>MDP0000308332</v>
      </c>
      <c r="D2544">
        <v>37.06</v>
      </c>
      <c r="E2544">
        <v>116</v>
      </c>
      <c r="F2544">
        <v>73</v>
      </c>
      <c r="G2544">
        <v>27</v>
      </c>
      <c r="H2544">
        <v>43</v>
      </c>
      <c r="I2544">
        <v>156</v>
      </c>
      <c r="J2544">
        <v>1</v>
      </c>
      <c r="K2544">
        <v>83</v>
      </c>
      <c r="L2544">
        <v>173</v>
      </c>
      <c r="M2544">
        <v>1</v>
      </c>
      <c r="N2544">
        <v>1.08853E-10</v>
      </c>
      <c r="O2544">
        <v>152</v>
      </c>
    </row>
    <row r="2545" spans="1:15" x14ac:dyDescent="0.25">
      <c r="A2545" t="s">
        <v>2558</v>
      </c>
      <c r="B2545">
        <v>156</v>
      </c>
      <c r="C2545" s="1" t="str">
        <f>HYPERLINK("http://www.rosaceae.org/gb/gbrowse/malus_x_domestica/?name=MDP0000315022","MDP0000315022")</f>
        <v>MDP0000315022</v>
      </c>
      <c r="D2545">
        <v>58.59</v>
      </c>
      <c r="E2545">
        <v>157</v>
      </c>
      <c r="F2545">
        <v>65</v>
      </c>
      <c r="G2545">
        <v>14</v>
      </c>
      <c r="H2545">
        <v>1</v>
      </c>
      <c r="I2545">
        <v>154</v>
      </c>
      <c r="J2545">
        <v>1</v>
      </c>
      <c r="K2545">
        <v>1</v>
      </c>
      <c r="L2545">
        <v>146</v>
      </c>
      <c r="M2545">
        <v>1</v>
      </c>
      <c r="N2545">
        <v>2.4015300000000001E-45</v>
      </c>
      <c r="O2545">
        <v>451</v>
      </c>
    </row>
    <row r="2546" spans="1:15" x14ac:dyDescent="0.25">
      <c r="A2546" t="s">
        <v>2559</v>
      </c>
      <c r="B2546">
        <v>181</v>
      </c>
      <c r="C2546" s="1" t="str">
        <f>HYPERLINK("http://www.rosaceae.org/gb/gbrowse/malus_x_domestica/?name=MDP0000222669","MDP0000222669")</f>
        <v>MDP0000222669</v>
      </c>
      <c r="D2546">
        <v>42.43</v>
      </c>
      <c r="E2546">
        <v>238</v>
      </c>
      <c r="F2546">
        <v>137</v>
      </c>
      <c r="G2546">
        <v>63</v>
      </c>
      <c r="H2546">
        <v>1</v>
      </c>
      <c r="I2546">
        <v>177</v>
      </c>
      <c r="J2546">
        <v>1</v>
      </c>
      <c r="K2546">
        <v>155</v>
      </c>
      <c r="L2546">
        <v>390</v>
      </c>
      <c r="M2546">
        <v>1</v>
      </c>
      <c r="N2546">
        <v>4.7165300000000003E-33</v>
      </c>
      <c r="O2546">
        <v>346</v>
      </c>
    </row>
    <row r="2547" spans="1:15" x14ac:dyDescent="0.25">
      <c r="A2547" t="s">
        <v>2560</v>
      </c>
      <c r="B2547">
        <v>451</v>
      </c>
      <c r="C2547" s="1" t="str">
        <f>HYPERLINK("http://www.rosaceae.org/gb/gbrowse/malus_x_domestica/?name=MDP0000827871","MDP0000827871")</f>
        <v>MDP0000827871</v>
      </c>
      <c r="D2547">
        <v>75.92</v>
      </c>
      <c r="E2547">
        <v>457</v>
      </c>
      <c r="F2547">
        <v>110</v>
      </c>
      <c r="G2547">
        <v>21</v>
      </c>
      <c r="H2547">
        <v>1</v>
      </c>
      <c r="I2547">
        <v>451</v>
      </c>
      <c r="J2547">
        <v>1</v>
      </c>
      <c r="K2547">
        <v>1</v>
      </c>
      <c r="L2547">
        <v>442</v>
      </c>
      <c r="M2547">
        <v>1</v>
      </c>
      <c r="N2547">
        <v>0</v>
      </c>
      <c r="O2547">
        <v>1742</v>
      </c>
    </row>
    <row r="2548" spans="1:15" x14ac:dyDescent="0.25">
      <c r="A2548" t="s">
        <v>2561</v>
      </c>
      <c r="B2548">
        <v>828</v>
      </c>
      <c r="C2548" s="1" t="str">
        <f>HYPERLINK("http://www.rosaceae.org/gb/gbrowse/malus_x_domestica/?name=MDP0000202465","MDP0000202465")</f>
        <v>MDP0000202465</v>
      </c>
      <c r="D2548">
        <v>60.28</v>
      </c>
      <c r="E2548">
        <v>841</v>
      </c>
      <c r="F2548">
        <v>334</v>
      </c>
      <c r="G2548">
        <v>203</v>
      </c>
      <c r="H2548">
        <v>140</v>
      </c>
      <c r="I2548">
        <v>794</v>
      </c>
      <c r="J2548">
        <v>1</v>
      </c>
      <c r="K2548">
        <v>58</v>
      </c>
      <c r="L2548">
        <v>881</v>
      </c>
      <c r="M2548">
        <v>1</v>
      </c>
      <c r="N2548">
        <v>0</v>
      </c>
      <c r="O2548">
        <v>2479</v>
      </c>
    </row>
    <row r="2549" spans="1:15" x14ac:dyDescent="0.25">
      <c r="A2549" t="s">
        <v>2562</v>
      </c>
      <c r="B2549">
        <v>823</v>
      </c>
      <c r="C2549" s="1" t="str">
        <f>HYPERLINK("http://www.rosaceae.org/gb/gbrowse/malus_x_domestica/?name=MDP0000149039","MDP0000149039")</f>
        <v>MDP0000149039</v>
      </c>
      <c r="D2549">
        <v>50.45</v>
      </c>
      <c r="E2549">
        <v>438</v>
      </c>
      <c r="F2549">
        <v>217</v>
      </c>
      <c r="G2549">
        <v>24</v>
      </c>
      <c r="H2549">
        <v>1</v>
      </c>
      <c r="I2549">
        <v>415</v>
      </c>
      <c r="J2549">
        <v>1</v>
      </c>
      <c r="K2549">
        <v>33</v>
      </c>
      <c r="L2549">
        <v>469</v>
      </c>
      <c r="M2549">
        <v>1</v>
      </c>
      <c r="N2549">
        <v>3.7938100000000003E-101</v>
      </c>
      <c r="O2549">
        <v>941</v>
      </c>
    </row>
    <row r="2550" spans="1:15" x14ac:dyDescent="0.25">
      <c r="A2550" t="s">
        <v>2563</v>
      </c>
      <c r="B2550">
        <v>242</v>
      </c>
      <c r="C2550" s="1" t="str">
        <f>HYPERLINK("http://www.rosaceae.org/gb/gbrowse/malus_x_domestica/?name=MDP0000310121","MDP0000310121")</f>
        <v>MDP0000310121</v>
      </c>
      <c r="D2550">
        <v>70.72</v>
      </c>
      <c r="E2550">
        <v>263</v>
      </c>
      <c r="F2550">
        <v>77</v>
      </c>
      <c r="G2550">
        <v>41</v>
      </c>
      <c r="H2550">
        <v>17</v>
      </c>
      <c r="I2550">
        <v>240</v>
      </c>
      <c r="J2550">
        <v>1</v>
      </c>
      <c r="K2550">
        <v>1150</v>
      </c>
      <c r="L2550">
        <v>1410</v>
      </c>
      <c r="M2550">
        <v>1</v>
      </c>
      <c r="N2550">
        <v>1.3390900000000001E-97</v>
      </c>
      <c r="O2550">
        <v>904</v>
      </c>
    </row>
    <row r="2551" spans="1:15" x14ac:dyDescent="0.25">
      <c r="A2551" t="s">
        <v>2564</v>
      </c>
      <c r="B2551">
        <v>406</v>
      </c>
      <c r="C2551" s="1" t="str">
        <f>HYPERLINK("http://www.rosaceae.org/gb/gbrowse/malus_x_domestica/?name=MDP0000249858","MDP0000249858")</f>
        <v>MDP0000249858</v>
      </c>
      <c r="D2551">
        <v>67.400000000000006</v>
      </c>
      <c r="E2551">
        <v>408</v>
      </c>
      <c r="F2551">
        <v>133</v>
      </c>
      <c r="G2551">
        <v>6</v>
      </c>
      <c r="H2551">
        <v>5</v>
      </c>
      <c r="I2551">
        <v>406</v>
      </c>
      <c r="J2551">
        <v>1</v>
      </c>
      <c r="K2551">
        <v>6</v>
      </c>
      <c r="L2551">
        <v>413</v>
      </c>
      <c r="M2551">
        <v>1</v>
      </c>
      <c r="N2551">
        <v>3.7124399999999999E-156</v>
      </c>
      <c r="O2551">
        <v>1412</v>
      </c>
    </row>
    <row r="2552" spans="1:15" x14ac:dyDescent="0.25">
      <c r="A2552" t="s">
        <v>2565</v>
      </c>
      <c r="B2552">
        <v>558</v>
      </c>
      <c r="C2552" s="1" t="str">
        <f>HYPERLINK("http://www.rosaceae.org/gb/gbrowse/malus_x_domestica/?name=MDP0000243825","MDP0000243825")</f>
        <v>MDP0000243825</v>
      </c>
      <c r="D2552">
        <v>70.14</v>
      </c>
      <c r="E2552">
        <v>536</v>
      </c>
      <c r="F2552">
        <v>160</v>
      </c>
      <c r="G2552">
        <v>3</v>
      </c>
      <c r="H2552">
        <v>21</v>
      </c>
      <c r="I2552">
        <v>555</v>
      </c>
      <c r="J2552">
        <v>1</v>
      </c>
      <c r="K2552">
        <v>25</v>
      </c>
      <c r="L2552">
        <v>558</v>
      </c>
      <c r="M2552">
        <v>1</v>
      </c>
      <c r="N2552">
        <v>0</v>
      </c>
      <c r="O2552">
        <v>1962</v>
      </c>
    </row>
    <row r="2553" spans="1:15" x14ac:dyDescent="0.25">
      <c r="A2553" t="s">
        <v>2566</v>
      </c>
      <c r="B2553">
        <v>376</v>
      </c>
      <c r="C2553" s="1" t="str">
        <f>HYPERLINK("http://www.rosaceae.org/gb/gbrowse/malus_x_domestica/?name=MDP0000489997","MDP0000489997")</f>
        <v>MDP0000489997</v>
      </c>
      <c r="D2553">
        <v>40.35</v>
      </c>
      <c r="E2553">
        <v>57</v>
      </c>
      <c r="F2553">
        <v>34</v>
      </c>
      <c r="G2553">
        <v>1</v>
      </c>
      <c r="H2553">
        <v>96</v>
      </c>
      <c r="I2553">
        <v>151</v>
      </c>
      <c r="J2553">
        <v>1</v>
      </c>
      <c r="K2553">
        <v>266</v>
      </c>
      <c r="L2553">
        <v>322</v>
      </c>
      <c r="M2553">
        <v>1</v>
      </c>
      <c r="N2553">
        <v>2.6903700000000001E-8</v>
      </c>
      <c r="O2553">
        <v>137</v>
      </c>
    </row>
    <row r="2554" spans="1:15" x14ac:dyDescent="0.25">
      <c r="A2554" t="s">
        <v>2567</v>
      </c>
      <c r="B2554">
        <v>265</v>
      </c>
      <c r="C2554" s="1" t="str">
        <f>HYPERLINK("http://www.rosaceae.org/gb/gbrowse/malus_x_domestica/?name=MDP0000340069","MDP0000340069")</f>
        <v>MDP0000340069</v>
      </c>
      <c r="D2554">
        <v>86.99</v>
      </c>
      <c r="E2554">
        <v>223</v>
      </c>
      <c r="F2554">
        <v>29</v>
      </c>
      <c r="G2554">
        <v>1</v>
      </c>
      <c r="H2554">
        <v>1</v>
      </c>
      <c r="I2554">
        <v>222</v>
      </c>
      <c r="J2554">
        <v>1</v>
      </c>
      <c r="K2554">
        <v>1</v>
      </c>
      <c r="L2554">
        <v>223</v>
      </c>
      <c r="M2554">
        <v>1</v>
      </c>
      <c r="N2554">
        <v>8.7147699999999996E-110</v>
      </c>
      <c r="O2554">
        <v>1010</v>
      </c>
    </row>
    <row r="2555" spans="1:15" x14ac:dyDescent="0.25">
      <c r="A2555" t="s">
        <v>2568</v>
      </c>
      <c r="B2555">
        <v>949</v>
      </c>
      <c r="C2555" s="1" t="str">
        <f>HYPERLINK("http://www.rosaceae.org/gb/gbrowse/malus_x_domestica/?name=MDP0000176803","MDP0000176803")</f>
        <v>MDP0000176803</v>
      </c>
      <c r="D2555">
        <v>73.78</v>
      </c>
      <c r="E2555">
        <v>984</v>
      </c>
      <c r="F2555">
        <v>258</v>
      </c>
      <c r="G2555">
        <v>71</v>
      </c>
      <c r="H2555">
        <v>17</v>
      </c>
      <c r="I2555">
        <v>948</v>
      </c>
      <c r="J2555">
        <v>1</v>
      </c>
      <c r="K2555">
        <v>1</v>
      </c>
      <c r="L2555">
        <v>965</v>
      </c>
      <c r="M2555">
        <v>1</v>
      </c>
      <c r="N2555">
        <v>0</v>
      </c>
      <c r="O2555">
        <v>3775</v>
      </c>
    </row>
    <row r="2556" spans="1:15" x14ac:dyDescent="0.25">
      <c r="A2556" t="s">
        <v>2569</v>
      </c>
      <c r="B2556">
        <v>118</v>
      </c>
      <c r="C2556" s="1" t="str">
        <f>HYPERLINK("http://www.rosaceae.org/gb/gbrowse/malus_x_domestica/?name=MDP0000322220","MDP0000322220")</f>
        <v>MDP0000322220</v>
      </c>
      <c r="D2556">
        <v>43.69</v>
      </c>
      <c r="E2556">
        <v>119</v>
      </c>
      <c r="F2556">
        <v>67</v>
      </c>
      <c r="G2556">
        <v>2</v>
      </c>
      <c r="H2556">
        <v>1</v>
      </c>
      <c r="I2556">
        <v>117</v>
      </c>
      <c r="J2556">
        <v>1</v>
      </c>
      <c r="K2556">
        <v>560</v>
      </c>
      <c r="L2556">
        <v>678</v>
      </c>
      <c r="M2556">
        <v>1</v>
      </c>
      <c r="N2556">
        <v>3.4736300000000001E-24</v>
      </c>
      <c r="O2556">
        <v>266</v>
      </c>
    </row>
    <row r="2557" spans="1:15" x14ac:dyDescent="0.25">
      <c r="A2557" t="s">
        <v>2570</v>
      </c>
      <c r="B2557">
        <v>448</v>
      </c>
      <c r="C2557" s="1" t="str">
        <f>HYPERLINK("http://www.rosaceae.org/gb/gbrowse/malus_x_domestica/?name=MDP0000298765","MDP0000298765")</f>
        <v>MDP0000298765</v>
      </c>
      <c r="D2557">
        <v>28.31</v>
      </c>
      <c r="E2557">
        <v>113</v>
      </c>
      <c r="F2557">
        <v>81</v>
      </c>
      <c r="G2557">
        <v>2</v>
      </c>
      <c r="H2557">
        <v>139</v>
      </c>
      <c r="I2557">
        <v>251</v>
      </c>
      <c r="J2557">
        <v>1</v>
      </c>
      <c r="K2557">
        <v>857</v>
      </c>
      <c r="L2557">
        <v>967</v>
      </c>
      <c r="M2557">
        <v>1</v>
      </c>
      <c r="N2557">
        <v>8.0643099999999998E-10</v>
      </c>
      <c r="O2557">
        <v>151</v>
      </c>
    </row>
    <row r="2558" spans="1:15" x14ac:dyDescent="0.25">
      <c r="A2558" t="s">
        <v>2571</v>
      </c>
      <c r="B2558">
        <v>568</v>
      </c>
      <c r="C2558" s="1" t="str">
        <f>HYPERLINK("http://www.rosaceae.org/gb/gbrowse/malus_x_domestica/?name=MDP0000497680","MDP0000497680")</f>
        <v>MDP0000497680</v>
      </c>
      <c r="D2558">
        <v>53.84</v>
      </c>
      <c r="E2558">
        <v>234</v>
      </c>
      <c r="F2558">
        <v>108</v>
      </c>
      <c r="G2558">
        <v>20</v>
      </c>
      <c r="H2558">
        <v>333</v>
      </c>
      <c r="I2558">
        <v>558</v>
      </c>
      <c r="J2558">
        <v>1</v>
      </c>
      <c r="K2558">
        <v>11</v>
      </c>
      <c r="L2558">
        <v>232</v>
      </c>
      <c r="M2558">
        <v>1</v>
      </c>
      <c r="N2558">
        <v>1.45753E-60</v>
      </c>
      <c r="O2558">
        <v>589</v>
      </c>
    </row>
    <row r="2559" spans="1:15" x14ac:dyDescent="0.25">
      <c r="A2559" t="s">
        <v>2572</v>
      </c>
      <c r="B2559">
        <v>72</v>
      </c>
      <c r="C2559" s="1" t="str">
        <f>HYPERLINK("http://www.rosaceae.org/gb/gbrowse/malus_x_domestica/?name=MDP0000252099","MDP0000252099")</f>
        <v>MDP0000252099</v>
      </c>
      <c r="D2559">
        <v>41.66</v>
      </c>
      <c r="E2559">
        <v>72</v>
      </c>
      <c r="F2559">
        <v>42</v>
      </c>
      <c r="G2559">
        <v>0</v>
      </c>
      <c r="H2559">
        <v>1</v>
      </c>
      <c r="I2559">
        <v>72</v>
      </c>
      <c r="J2559">
        <v>1</v>
      </c>
      <c r="K2559">
        <v>676</v>
      </c>
      <c r="L2559">
        <v>747</v>
      </c>
      <c r="M2559">
        <v>1</v>
      </c>
      <c r="N2559">
        <v>7.2316400000000005E-10</v>
      </c>
      <c r="O2559">
        <v>142</v>
      </c>
    </row>
    <row r="2560" spans="1:15" x14ac:dyDescent="0.25">
      <c r="A2560" t="s">
        <v>2573</v>
      </c>
      <c r="B2560">
        <v>296</v>
      </c>
      <c r="C2560" s="1" t="str">
        <f>HYPERLINK("http://www.rosaceae.org/gb/gbrowse/malus_x_domestica/?name=MDP0000747592","MDP0000747592")</f>
        <v>MDP0000747592</v>
      </c>
      <c r="D2560">
        <v>78.94</v>
      </c>
      <c r="E2560">
        <v>114</v>
      </c>
      <c r="F2560">
        <v>24</v>
      </c>
      <c r="G2560">
        <v>0</v>
      </c>
      <c r="H2560">
        <v>183</v>
      </c>
      <c r="I2560">
        <v>296</v>
      </c>
      <c r="J2560">
        <v>1</v>
      </c>
      <c r="K2560">
        <v>169</v>
      </c>
      <c r="L2560">
        <v>282</v>
      </c>
      <c r="M2560">
        <v>1</v>
      </c>
      <c r="N2560">
        <v>8.7719600000000009E-53</v>
      </c>
      <c r="O2560">
        <v>519</v>
      </c>
    </row>
    <row r="2561" spans="1:15" x14ac:dyDescent="0.25">
      <c r="A2561" t="s">
        <v>2574</v>
      </c>
      <c r="B2561">
        <v>458</v>
      </c>
      <c r="C2561" s="1" t="str">
        <f>HYPERLINK("http://www.rosaceae.org/gb/gbrowse/malus_x_domestica/?name=MDP0000280386","MDP0000280386")</f>
        <v>MDP0000280386</v>
      </c>
      <c r="D2561">
        <v>58.65</v>
      </c>
      <c r="E2561">
        <v>462</v>
      </c>
      <c r="F2561">
        <v>191</v>
      </c>
      <c r="G2561">
        <v>14</v>
      </c>
      <c r="H2561">
        <v>8</v>
      </c>
      <c r="I2561">
        <v>458</v>
      </c>
      <c r="J2561">
        <v>1</v>
      </c>
      <c r="K2561">
        <v>2</v>
      </c>
      <c r="L2561">
        <v>460</v>
      </c>
      <c r="M2561">
        <v>1</v>
      </c>
      <c r="N2561">
        <v>1.28655E-138</v>
      </c>
      <c r="O2561">
        <v>1261</v>
      </c>
    </row>
    <row r="2562" spans="1:15" x14ac:dyDescent="0.25">
      <c r="A2562" t="s">
        <v>2575</v>
      </c>
      <c r="B2562">
        <v>75</v>
      </c>
      <c r="C2562" s="1" t="str">
        <f>HYPERLINK("http://www.rosaceae.org/gb/gbrowse/malus_x_domestica/?name=MDP0000269044","MDP0000269044")</f>
        <v>MDP0000269044</v>
      </c>
      <c r="D2562">
        <v>39.25</v>
      </c>
      <c r="E2562">
        <v>107</v>
      </c>
      <c r="F2562">
        <v>65</v>
      </c>
      <c r="G2562">
        <v>34</v>
      </c>
      <c r="H2562">
        <v>3</v>
      </c>
      <c r="I2562">
        <v>75</v>
      </c>
      <c r="J2562">
        <v>1</v>
      </c>
      <c r="K2562">
        <v>7</v>
      </c>
      <c r="L2562">
        <v>113</v>
      </c>
      <c r="M2562">
        <v>1</v>
      </c>
      <c r="N2562">
        <v>1.0597E-12</v>
      </c>
      <c r="O2562">
        <v>167</v>
      </c>
    </row>
    <row r="2563" spans="1:15" x14ac:dyDescent="0.25">
      <c r="A2563" t="s">
        <v>2576</v>
      </c>
      <c r="B2563">
        <v>396</v>
      </c>
      <c r="C2563" s="1" t="str">
        <f>HYPERLINK("http://www.rosaceae.org/gb/gbrowse/malus_x_domestica/?name=MDP0000194587","MDP0000194587")</f>
        <v>MDP0000194587</v>
      </c>
      <c r="D2563">
        <v>78.709999999999994</v>
      </c>
      <c r="E2563">
        <v>404</v>
      </c>
      <c r="F2563">
        <v>86</v>
      </c>
      <c r="G2563">
        <v>8</v>
      </c>
      <c r="H2563">
        <v>1</v>
      </c>
      <c r="I2563">
        <v>396</v>
      </c>
      <c r="J2563">
        <v>1</v>
      </c>
      <c r="K2563">
        <v>87</v>
      </c>
      <c r="L2563">
        <v>490</v>
      </c>
      <c r="M2563">
        <v>1</v>
      </c>
      <c r="N2563">
        <v>1.783E-180</v>
      </c>
      <c r="O2563">
        <v>1622</v>
      </c>
    </row>
    <row r="2564" spans="1:15" x14ac:dyDescent="0.25">
      <c r="A2564" t="s">
        <v>2577</v>
      </c>
      <c r="B2564">
        <v>499</v>
      </c>
      <c r="C2564" s="1" t="str">
        <f>HYPERLINK("http://www.rosaceae.org/gb/gbrowse/malus_x_domestica/?name=MDP0000281802","MDP0000281802")</f>
        <v>MDP0000281802</v>
      </c>
      <c r="D2564">
        <v>62.62</v>
      </c>
      <c r="E2564">
        <v>511</v>
      </c>
      <c r="F2564">
        <v>191</v>
      </c>
      <c r="G2564">
        <v>72</v>
      </c>
      <c r="H2564">
        <v>1</v>
      </c>
      <c r="I2564">
        <v>481</v>
      </c>
      <c r="J2564">
        <v>1</v>
      </c>
      <c r="K2564">
        <v>1</v>
      </c>
      <c r="L2564">
        <v>469</v>
      </c>
      <c r="M2564">
        <v>1</v>
      </c>
      <c r="N2564">
        <v>1.4375500000000001E-172</v>
      </c>
      <c r="O2564">
        <v>1555</v>
      </c>
    </row>
    <row r="2565" spans="1:15" x14ac:dyDescent="0.25">
      <c r="A2565" t="s">
        <v>2578</v>
      </c>
      <c r="B2565">
        <v>324</v>
      </c>
      <c r="C2565" s="1" t="str">
        <f>HYPERLINK("http://www.rosaceae.org/gb/gbrowse/malus_x_domestica/?name=MDP0000725634","MDP0000725634")</f>
        <v>MDP0000725634</v>
      </c>
      <c r="D2565">
        <v>33.71</v>
      </c>
      <c r="E2565">
        <v>175</v>
      </c>
      <c r="F2565">
        <v>116</v>
      </c>
      <c r="G2565">
        <v>6</v>
      </c>
      <c r="H2565">
        <v>94</v>
      </c>
      <c r="I2565">
        <v>268</v>
      </c>
      <c r="J2565">
        <v>1</v>
      </c>
      <c r="K2565">
        <v>166</v>
      </c>
      <c r="L2565">
        <v>334</v>
      </c>
      <c r="M2565">
        <v>1</v>
      </c>
      <c r="N2565">
        <v>1.8499199999999999E-18</v>
      </c>
      <c r="O2565">
        <v>224</v>
      </c>
    </row>
    <row r="2566" spans="1:15" x14ac:dyDescent="0.25">
      <c r="A2566" t="s">
        <v>2579</v>
      </c>
      <c r="B2566">
        <v>116</v>
      </c>
      <c r="C2566" s="1" t="str">
        <f>HYPERLINK("http://www.rosaceae.org/gb/gbrowse/malus_x_domestica/?name=MDP0000255931","MDP0000255931")</f>
        <v>MDP0000255931</v>
      </c>
      <c r="D2566">
        <v>51.92</v>
      </c>
      <c r="E2566">
        <v>104</v>
      </c>
      <c r="F2566">
        <v>50</v>
      </c>
      <c r="G2566">
        <v>12</v>
      </c>
      <c r="H2566">
        <v>22</v>
      </c>
      <c r="I2566">
        <v>116</v>
      </c>
      <c r="J2566">
        <v>1</v>
      </c>
      <c r="K2566">
        <v>6</v>
      </c>
      <c r="L2566">
        <v>106</v>
      </c>
      <c r="M2566">
        <v>1</v>
      </c>
      <c r="N2566">
        <v>9.0631399999999997E-21</v>
      </c>
      <c r="O2566">
        <v>237</v>
      </c>
    </row>
    <row r="2567" spans="1:15" x14ac:dyDescent="0.25">
      <c r="A2567" t="s">
        <v>2580</v>
      </c>
      <c r="B2567">
        <v>155</v>
      </c>
      <c r="C2567" s="1" t="str">
        <f>HYPERLINK("http://www.rosaceae.org/gb/gbrowse/malus_x_domestica/?name=MDP0000261002","MDP0000261002")</f>
        <v>MDP0000261002</v>
      </c>
      <c r="D2567">
        <v>45.45</v>
      </c>
      <c r="E2567">
        <v>55</v>
      </c>
      <c r="F2567">
        <v>30</v>
      </c>
      <c r="G2567">
        <v>4</v>
      </c>
      <c r="H2567">
        <v>1</v>
      </c>
      <c r="I2567">
        <v>55</v>
      </c>
      <c r="J2567">
        <v>1</v>
      </c>
      <c r="K2567">
        <v>341</v>
      </c>
      <c r="L2567">
        <v>391</v>
      </c>
      <c r="M2567">
        <v>1</v>
      </c>
      <c r="N2567">
        <v>6.3908400000000001E-8</v>
      </c>
      <c r="O2567">
        <v>128</v>
      </c>
    </row>
    <row r="2568" spans="1:15" x14ac:dyDescent="0.25">
      <c r="A2568" t="s">
        <v>2581</v>
      </c>
      <c r="B2568">
        <v>523</v>
      </c>
      <c r="C2568" s="1" t="str">
        <f>HYPERLINK("http://www.rosaceae.org/gb/gbrowse/malus_x_domestica/?name=MDP0000262667","MDP0000262667")</f>
        <v>MDP0000262667</v>
      </c>
      <c r="D2568">
        <v>81</v>
      </c>
      <c r="E2568">
        <v>400</v>
      </c>
      <c r="F2568">
        <v>76</v>
      </c>
      <c r="G2568">
        <v>0</v>
      </c>
      <c r="H2568">
        <v>124</v>
      </c>
      <c r="I2568">
        <v>523</v>
      </c>
      <c r="J2568">
        <v>1</v>
      </c>
      <c r="K2568">
        <v>3</v>
      </c>
      <c r="L2568">
        <v>402</v>
      </c>
      <c r="M2568">
        <v>1</v>
      </c>
      <c r="N2568">
        <v>0</v>
      </c>
      <c r="O2568">
        <v>1724</v>
      </c>
    </row>
    <row r="2569" spans="1:15" x14ac:dyDescent="0.25">
      <c r="A2569" t="s">
        <v>2582</v>
      </c>
      <c r="B2569">
        <v>742</v>
      </c>
      <c r="C2569" s="1" t="str">
        <f>HYPERLINK("http://www.rosaceae.org/gb/gbrowse/malus_x_domestica/?name=MDP0000192728","MDP0000192728")</f>
        <v>MDP0000192728</v>
      </c>
      <c r="D2569">
        <v>54</v>
      </c>
      <c r="E2569">
        <v>700</v>
      </c>
      <c r="F2569">
        <v>322</v>
      </c>
      <c r="G2569">
        <v>26</v>
      </c>
      <c r="H2569">
        <v>22</v>
      </c>
      <c r="I2569">
        <v>709</v>
      </c>
      <c r="J2569">
        <v>1</v>
      </c>
      <c r="K2569">
        <v>20</v>
      </c>
      <c r="L2569">
        <v>705</v>
      </c>
      <c r="M2569">
        <v>1</v>
      </c>
      <c r="N2569">
        <v>0</v>
      </c>
      <c r="O2569">
        <v>1761</v>
      </c>
    </row>
    <row r="2570" spans="1:15" x14ac:dyDescent="0.25">
      <c r="A2570" t="s">
        <v>2583</v>
      </c>
      <c r="B2570">
        <v>310</v>
      </c>
      <c r="C2570" s="1" t="str">
        <f>HYPERLINK("http://www.rosaceae.org/gb/gbrowse/malus_x_domestica/?name=MDP0000305085","MDP0000305085")</f>
        <v>MDP0000305085</v>
      </c>
      <c r="D2570">
        <v>38.46</v>
      </c>
      <c r="E2570">
        <v>91</v>
      </c>
      <c r="F2570">
        <v>56</v>
      </c>
      <c r="G2570">
        <v>0</v>
      </c>
      <c r="H2570">
        <v>114</v>
      </c>
      <c r="I2570">
        <v>204</v>
      </c>
      <c r="J2570">
        <v>1</v>
      </c>
      <c r="K2570">
        <v>9</v>
      </c>
      <c r="L2570">
        <v>99</v>
      </c>
      <c r="M2570">
        <v>1</v>
      </c>
      <c r="N2570">
        <v>5.9138800000000002E-14</v>
      </c>
      <c r="O2570">
        <v>184</v>
      </c>
    </row>
    <row r="2571" spans="1:15" x14ac:dyDescent="0.25">
      <c r="A2571" t="s">
        <v>2584</v>
      </c>
      <c r="B2571">
        <v>352</v>
      </c>
      <c r="C2571" s="1" t="str">
        <f>HYPERLINK("http://www.rosaceae.org/gb/gbrowse/malus_x_domestica/?name=MDP0000310981","MDP0000310981")</f>
        <v>MDP0000310981</v>
      </c>
      <c r="D2571">
        <v>51.77</v>
      </c>
      <c r="E2571">
        <v>394</v>
      </c>
      <c r="F2571">
        <v>190</v>
      </c>
      <c r="G2571">
        <v>68</v>
      </c>
      <c r="H2571">
        <v>1</v>
      </c>
      <c r="I2571">
        <v>352</v>
      </c>
      <c r="J2571">
        <v>1</v>
      </c>
      <c r="K2571">
        <v>4</v>
      </c>
      <c r="L2571">
        <v>371</v>
      </c>
      <c r="M2571">
        <v>1</v>
      </c>
      <c r="N2571">
        <v>2.0387400000000002E-96</v>
      </c>
      <c r="O2571">
        <v>896</v>
      </c>
    </row>
    <row r="2572" spans="1:15" x14ac:dyDescent="0.25">
      <c r="A2572" t="s">
        <v>2585</v>
      </c>
      <c r="B2572">
        <v>1129</v>
      </c>
      <c r="C2572" s="1" t="str">
        <f>HYPERLINK("http://www.rosaceae.org/gb/gbrowse/malus_x_domestica/?name=MDP0000281279","MDP0000281279")</f>
        <v>MDP0000281279</v>
      </c>
      <c r="D2572">
        <v>58.9</v>
      </c>
      <c r="E2572">
        <v>842</v>
      </c>
      <c r="F2572">
        <v>346</v>
      </c>
      <c r="G2572">
        <v>85</v>
      </c>
      <c r="H2572">
        <v>252</v>
      </c>
      <c r="I2572">
        <v>1090</v>
      </c>
      <c r="J2572">
        <v>1</v>
      </c>
      <c r="K2572">
        <v>71</v>
      </c>
      <c r="L2572">
        <v>830</v>
      </c>
      <c r="M2572">
        <v>1</v>
      </c>
      <c r="N2572">
        <v>0</v>
      </c>
      <c r="O2572">
        <v>2344</v>
      </c>
    </row>
    <row r="2573" spans="1:15" x14ac:dyDescent="0.25">
      <c r="A2573" t="s">
        <v>2586</v>
      </c>
      <c r="B2573">
        <v>420</v>
      </c>
      <c r="C2573" s="1" t="str">
        <f>HYPERLINK("http://www.rosaceae.org/gb/gbrowse/malus_x_domestica/?name=MDP0000404948","MDP0000404948")</f>
        <v>MDP0000404948</v>
      </c>
      <c r="D2573">
        <v>83.52</v>
      </c>
      <c r="E2573">
        <v>340</v>
      </c>
      <c r="F2573">
        <v>56</v>
      </c>
      <c r="G2573">
        <v>0</v>
      </c>
      <c r="H2573">
        <v>4</v>
      </c>
      <c r="I2573">
        <v>343</v>
      </c>
      <c r="J2573">
        <v>1</v>
      </c>
      <c r="K2573">
        <v>7</v>
      </c>
      <c r="L2573">
        <v>346</v>
      </c>
      <c r="M2573">
        <v>1</v>
      </c>
      <c r="N2573">
        <v>4.4213800000000001E-171</v>
      </c>
      <c r="O2573">
        <v>1541</v>
      </c>
    </row>
    <row r="2574" spans="1:15" x14ac:dyDescent="0.25">
      <c r="A2574" t="s">
        <v>2587</v>
      </c>
      <c r="B2574">
        <v>390</v>
      </c>
      <c r="C2574" s="1" t="str">
        <f>HYPERLINK("http://www.rosaceae.org/gb/gbrowse/malus_x_domestica/?name=MDP0000271527","MDP0000271527")</f>
        <v>MDP0000271527</v>
      </c>
      <c r="D2574">
        <v>59.44</v>
      </c>
      <c r="E2574">
        <v>180</v>
      </c>
      <c r="F2574">
        <v>73</v>
      </c>
      <c r="G2574">
        <v>9</v>
      </c>
      <c r="H2574">
        <v>213</v>
      </c>
      <c r="I2574">
        <v>387</v>
      </c>
      <c r="J2574">
        <v>1</v>
      </c>
      <c r="K2574">
        <v>246</v>
      </c>
      <c r="L2574">
        <v>421</v>
      </c>
      <c r="M2574">
        <v>1</v>
      </c>
      <c r="N2574">
        <v>1.13447E-52</v>
      </c>
      <c r="O2574">
        <v>520</v>
      </c>
    </row>
    <row r="2575" spans="1:15" x14ac:dyDescent="0.25">
      <c r="A2575" t="s">
        <v>2588</v>
      </c>
      <c r="B2575">
        <v>489</v>
      </c>
      <c r="C2575" s="1" t="str">
        <f>HYPERLINK("http://www.rosaceae.org/gb/gbrowse/malus_x_domestica/?name=MDP0000271182","MDP0000271182")</f>
        <v>MDP0000271182</v>
      </c>
      <c r="D2575">
        <v>74.88</v>
      </c>
      <c r="E2575">
        <v>215</v>
      </c>
      <c r="F2575">
        <v>54</v>
      </c>
      <c r="G2575">
        <v>6</v>
      </c>
      <c r="H2575">
        <v>281</v>
      </c>
      <c r="I2575">
        <v>489</v>
      </c>
      <c r="J2575">
        <v>1</v>
      </c>
      <c r="K2575">
        <v>4</v>
      </c>
      <c r="L2575">
        <v>218</v>
      </c>
      <c r="M2575">
        <v>1</v>
      </c>
      <c r="N2575">
        <v>1.7632500000000001E-91</v>
      </c>
      <c r="O2575">
        <v>855</v>
      </c>
    </row>
    <row r="2576" spans="1:15" x14ac:dyDescent="0.25">
      <c r="A2576" t="s">
        <v>2589</v>
      </c>
      <c r="B2576">
        <v>1859</v>
      </c>
      <c r="C2576" s="1" t="str">
        <f>HYPERLINK("http://www.rosaceae.org/gb/gbrowse/malus_x_domestica/?name=MDP0000207588","MDP0000207588")</f>
        <v>MDP0000207588</v>
      </c>
      <c r="D2576">
        <v>75.83</v>
      </c>
      <c r="E2576">
        <v>1746</v>
      </c>
      <c r="F2576">
        <v>422</v>
      </c>
      <c r="G2576">
        <v>44</v>
      </c>
      <c r="H2576">
        <v>140</v>
      </c>
      <c r="I2576">
        <v>1859</v>
      </c>
      <c r="J2576">
        <v>1</v>
      </c>
      <c r="K2576">
        <v>103</v>
      </c>
      <c r="L2576">
        <v>1830</v>
      </c>
      <c r="M2576">
        <v>1</v>
      </c>
      <c r="N2576">
        <v>0</v>
      </c>
      <c r="O2576">
        <v>6861</v>
      </c>
    </row>
    <row r="2577" spans="1:15" x14ac:dyDescent="0.25">
      <c r="A2577" t="s">
        <v>2590</v>
      </c>
      <c r="B2577">
        <v>614</v>
      </c>
      <c r="C2577" s="1" t="str">
        <f>HYPERLINK("http://www.rosaceae.org/gb/gbrowse/malus_x_domestica/?name=MDP0000828015","MDP0000828015")</f>
        <v>MDP0000828015</v>
      </c>
      <c r="D2577">
        <v>73.34</v>
      </c>
      <c r="E2577">
        <v>439</v>
      </c>
      <c r="F2577">
        <v>117</v>
      </c>
      <c r="G2577">
        <v>11</v>
      </c>
      <c r="H2577">
        <v>158</v>
      </c>
      <c r="I2577">
        <v>596</v>
      </c>
      <c r="J2577">
        <v>1</v>
      </c>
      <c r="K2577">
        <v>12</v>
      </c>
      <c r="L2577">
        <v>439</v>
      </c>
      <c r="M2577">
        <v>1</v>
      </c>
      <c r="N2577">
        <v>0</v>
      </c>
      <c r="O2577">
        <v>1648</v>
      </c>
    </row>
    <row r="2578" spans="1:15" x14ac:dyDescent="0.25">
      <c r="A2578" t="s">
        <v>2591</v>
      </c>
      <c r="B2578">
        <v>257</v>
      </c>
      <c r="C2578" s="1" t="str">
        <f>HYPERLINK("http://www.rosaceae.org/gb/gbrowse/malus_x_domestica/?name=MDP0000807738","MDP0000807738")</f>
        <v>MDP0000807738</v>
      </c>
      <c r="D2578">
        <v>73.510000000000005</v>
      </c>
      <c r="E2578">
        <v>253</v>
      </c>
      <c r="F2578">
        <v>67</v>
      </c>
      <c r="G2578">
        <v>5</v>
      </c>
      <c r="H2578">
        <v>2</v>
      </c>
      <c r="I2578">
        <v>254</v>
      </c>
      <c r="J2578">
        <v>1</v>
      </c>
      <c r="K2578">
        <v>5</v>
      </c>
      <c r="L2578">
        <v>252</v>
      </c>
      <c r="M2578">
        <v>1</v>
      </c>
      <c r="N2578">
        <v>1.89743E-107</v>
      </c>
      <c r="O2578">
        <v>990</v>
      </c>
    </row>
    <row r="2579" spans="1:15" x14ac:dyDescent="0.25">
      <c r="A2579" t="s">
        <v>2592</v>
      </c>
      <c r="B2579">
        <v>355</v>
      </c>
      <c r="C2579" s="1" t="str">
        <f>HYPERLINK("http://www.rosaceae.org/gb/gbrowse/malus_x_domestica/?name=MDP0000903351","MDP0000903351")</f>
        <v>MDP0000903351</v>
      </c>
      <c r="D2579">
        <v>75.36</v>
      </c>
      <c r="E2579">
        <v>207</v>
      </c>
      <c r="F2579">
        <v>51</v>
      </c>
      <c r="G2579">
        <v>1</v>
      </c>
      <c r="H2579">
        <v>7</v>
      </c>
      <c r="I2579">
        <v>213</v>
      </c>
      <c r="J2579">
        <v>1</v>
      </c>
      <c r="K2579">
        <v>3</v>
      </c>
      <c r="L2579">
        <v>208</v>
      </c>
      <c r="M2579">
        <v>1</v>
      </c>
      <c r="N2579">
        <v>2.2155400000000001E-83</v>
      </c>
      <c r="O2579">
        <v>784</v>
      </c>
    </row>
    <row r="2580" spans="1:15" x14ac:dyDescent="0.25">
      <c r="A2580" t="s">
        <v>2593</v>
      </c>
      <c r="B2580">
        <v>182</v>
      </c>
      <c r="C2580" s="1" t="str">
        <f>HYPERLINK("http://www.rosaceae.org/gb/gbrowse/malus_x_domestica/?name=MDP0000187157","MDP0000187157")</f>
        <v>MDP0000187157</v>
      </c>
      <c r="D2580">
        <v>82.89</v>
      </c>
      <c r="E2580">
        <v>76</v>
      </c>
      <c r="F2580">
        <v>13</v>
      </c>
      <c r="G2580">
        <v>2</v>
      </c>
      <c r="H2580">
        <v>16</v>
      </c>
      <c r="I2580">
        <v>89</v>
      </c>
      <c r="J2580">
        <v>1</v>
      </c>
      <c r="K2580">
        <v>15</v>
      </c>
      <c r="L2580">
        <v>90</v>
      </c>
      <c r="M2580">
        <v>1</v>
      </c>
      <c r="N2580">
        <v>5.23449E-31</v>
      </c>
      <c r="O2580">
        <v>328</v>
      </c>
    </row>
    <row r="2581" spans="1:15" x14ac:dyDescent="0.25">
      <c r="A2581" t="s">
        <v>2594</v>
      </c>
      <c r="B2581">
        <v>455</v>
      </c>
      <c r="C2581" s="1" t="str">
        <f>HYPERLINK("http://www.rosaceae.org/gb/gbrowse/malus_x_domestica/?name=MDP0000257271","MDP0000257271")</f>
        <v>MDP0000257271</v>
      </c>
      <c r="D2581">
        <v>66.3</v>
      </c>
      <c r="E2581">
        <v>460</v>
      </c>
      <c r="F2581">
        <v>155</v>
      </c>
      <c r="G2581">
        <v>25</v>
      </c>
      <c r="H2581">
        <v>1</v>
      </c>
      <c r="I2581">
        <v>449</v>
      </c>
      <c r="J2581">
        <v>1</v>
      </c>
      <c r="K2581">
        <v>2</v>
      </c>
      <c r="L2581">
        <v>447</v>
      </c>
      <c r="M2581">
        <v>1</v>
      </c>
      <c r="N2581">
        <v>2.50791E-166</v>
      </c>
      <c r="O2581">
        <v>1500</v>
      </c>
    </row>
    <row r="2582" spans="1:15" x14ac:dyDescent="0.25">
      <c r="A2582" t="s">
        <v>2595</v>
      </c>
      <c r="B2582">
        <v>252</v>
      </c>
      <c r="C2582" s="1" t="str">
        <f>HYPERLINK("http://www.rosaceae.org/gb/gbrowse/malus_x_domestica/?name=MDP0000143705","MDP0000143705")</f>
        <v>MDP0000143705</v>
      </c>
      <c r="D2582">
        <v>39.700000000000003</v>
      </c>
      <c r="E2582">
        <v>68</v>
      </c>
      <c r="F2582">
        <v>41</v>
      </c>
      <c r="G2582">
        <v>1</v>
      </c>
      <c r="H2582">
        <v>184</v>
      </c>
      <c r="I2582">
        <v>251</v>
      </c>
      <c r="J2582">
        <v>1</v>
      </c>
      <c r="K2582">
        <v>10</v>
      </c>
      <c r="L2582">
        <v>76</v>
      </c>
      <c r="M2582">
        <v>1</v>
      </c>
      <c r="N2582">
        <v>1.65436E-7</v>
      </c>
      <c r="O2582">
        <v>128</v>
      </c>
    </row>
    <row r="2583" spans="1:15" x14ac:dyDescent="0.25">
      <c r="A2583" t="s">
        <v>2596</v>
      </c>
      <c r="B2583">
        <v>307</v>
      </c>
      <c r="C2583" s="1" t="str">
        <f>HYPERLINK("http://www.rosaceae.org/gb/gbrowse/malus_x_domestica/?name=MDP0000191584","MDP0000191584")</f>
        <v>MDP0000191584</v>
      </c>
      <c r="D2583">
        <v>81.510000000000005</v>
      </c>
      <c r="E2583">
        <v>303</v>
      </c>
      <c r="F2583">
        <v>56</v>
      </c>
      <c r="G2583">
        <v>19</v>
      </c>
      <c r="H2583">
        <v>21</v>
      </c>
      <c r="I2583">
        <v>307</v>
      </c>
      <c r="J2583">
        <v>1</v>
      </c>
      <c r="K2583">
        <v>663</v>
      </c>
      <c r="L2583">
        <v>962</v>
      </c>
      <c r="M2583">
        <v>1</v>
      </c>
      <c r="N2583">
        <v>3.0079599999999998E-137</v>
      </c>
      <c r="O2583">
        <v>1248</v>
      </c>
    </row>
    <row r="2584" spans="1:15" x14ac:dyDescent="0.25">
      <c r="A2584" t="s">
        <v>2597</v>
      </c>
      <c r="B2584">
        <v>176</v>
      </c>
      <c r="C2584" s="1" t="str">
        <f>HYPERLINK("http://www.rosaceae.org/gb/gbrowse/malus_x_domestica/?name=MDP0000233925","MDP0000233925")</f>
        <v>MDP0000233925</v>
      </c>
      <c r="D2584">
        <v>35.619999999999997</v>
      </c>
      <c r="E2584">
        <v>160</v>
      </c>
      <c r="F2584">
        <v>103</v>
      </c>
      <c r="G2584">
        <v>3</v>
      </c>
      <c r="H2584">
        <v>3</v>
      </c>
      <c r="I2584">
        <v>159</v>
      </c>
      <c r="J2584">
        <v>1</v>
      </c>
      <c r="K2584">
        <v>2</v>
      </c>
      <c r="L2584">
        <v>161</v>
      </c>
      <c r="M2584">
        <v>1</v>
      </c>
      <c r="N2584">
        <v>7.8503499999999998E-21</v>
      </c>
      <c r="O2584">
        <v>240</v>
      </c>
    </row>
    <row r="2585" spans="1:15" x14ac:dyDescent="0.25">
      <c r="A2585" t="s">
        <v>2598</v>
      </c>
      <c r="B2585">
        <v>446</v>
      </c>
      <c r="C2585" s="1" t="str">
        <f>HYPERLINK("http://www.rosaceae.org/gb/gbrowse/malus_x_domestica/?name=MDP0000503044","MDP0000503044")</f>
        <v>MDP0000503044</v>
      </c>
      <c r="D2585">
        <v>64.739999999999995</v>
      </c>
      <c r="E2585">
        <v>417</v>
      </c>
      <c r="F2585">
        <v>147</v>
      </c>
      <c r="G2585">
        <v>3</v>
      </c>
      <c r="H2585">
        <v>21</v>
      </c>
      <c r="I2585">
        <v>435</v>
      </c>
      <c r="J2585">
        <v>1</v>
      </c>
      <c r="K2585">
        <v>25</v>
      </c>
      <c r="L2585">
        <v>440</v>
      </c>
      <c r="M2585">
        <v>1</v>
      </c>
      <c r="N2585">
        <v>7.3622200000000001E-160</v>
      </c>
      <c r="O2585">
        <v>1445</v>
      </c>
    </row>
    <row r="2586" spans="1:15" x14ac:dyDescent="0.25">
      <c r="A2586" t="s">
        <v>2599</v>
      </c>
      <c r="B2586">
        <v>765</v>
      </c>
      <c r="C2586" s="1" t="str">
        <f>HYPERLINK("http://www.rosaceae.org/gb/gbrowse/malus_x_domestica/?name=MDP0000306020","MDP0000306020")</f>
        <v>MDP0000306020</v>
      </c>
      <c r="D2586">
        <v>64.61</v>
      </c>
      <c r="E2586">
        <v>455</v>
      </c>
      <c r="F2586">
        <v>161</v>
      </c>
      <c r="G2586">
        <v>33</v>
      </c>
      <c r="H2586">
        <v>331</v>
      </c>
      <c r="I2586">
        <v>765</v>
      </c>
      <c r="J2586">
        <v>1</v>
      </c>
      <c r="K2586">
        <v>1</v>
      </c>
      <c r="L2586">
        <v>442</v>
      </c>
      <c r="M2586">
        <v>1</v>
      </c>
      <c r="N2586">
        <v>8.3464899999999996E-157</v>
      </c>
      <c r="O2586">
        <v>1421</v>
      </c>
    </row>
    <row r="2587" spans="1:15" x14ac:dyDescent="0.25">
      <c r="A2587" t="s">
        <v>2600</v>
      </c>
      <c r="B2587">
        <v>874</v>
      </c>
      <c r="C2587" s="1" t="str">
        <f>HYPERLINK("http://www.rosaceae.org/gb/gbrowse/malus_x_domestica/?name=MDP0000134875","MDP0000134875")</f>
        <v>MDP0000134875</v>
      </c>
      <c r="D2587">
        <v>68.400000000000006</v>
      </c>
      <c r="E2587">
        <v>918</v>
      </c>
      <c r="F2587">
        <v>290</v>
      </c>
      <c r="G2587">
        <v>60</v>
      </c>
      <c r="H2587">
        <v>2</v>
      </c>
      <c r="I2587">
        <v>863</v>
      </c>
      <c r="J2587">
        <v>1</v>
      </c>
      <c r="K2587">
        <v>84</v>
      </c>
      <c r="L2587">
        <v>997</v>
      </c>
      <c r="M2587">
        <v>1</v>
      </c>
      <c r="N2587">
        <v>0</v>
      </c>
      <c r="O2587">
        <v>3198</v>
      </c>
    </row>
    <row r="2588" spans="1:15" x14ac:dyDescent="0.25">
      <c r="A2588" t="s">
        <v>2601</v>
      </c>
      <c r="B2588">
        <v>450</v>
      </c>
      <c r="C2588" s="1" t="str">
        <f>HYPERLINK("http://www.rosaceae.org/gb/gbrowse/malus_x_domestica/?name=MDP0000146276","MDP0000146276")</f>
        <v>MDP0000146276</v>
      </c>
      <c r="D2588">
        <v>74.819999999999993</v>
      </c>
      <c r="E2588">
        <v>143</v>
      </c>
      <c r="F2588">
        <v>36</v>
      </c>
      <c r="G2588">
        <v>0</v>
      </c>
      <c r="H2588">
        <v>238</v>
      </c>
      <c r="I2588">
        <v>380</v>
      </c>
      <c r="J2588">
        <v>1</v>
      </c>
      <c r="K2588">
        <v>314</v>
      </c>
      <c r="L2588">
        <v>456</v>
      </c>
      <c r="M2588">
        <v>1</v>
      </c>
      <c r="N2588">
        <v>1.0516899999999999E-63</v>
      </c>
      <c r="O2588">
        <v>615</v>
      </c>
    </row>
    <row r="2589" spans="1:15" x14ac:dyDescent="0.25">
      <c r="A2589" t="s">
        <v>2602</v>
      </c>
      <c r="B2589">
        <v>554</v>
      </c>
      <c r="C2589" s="1" t="str">
        <f>HYPERLINK("http://www.rosaceae.org/gb/gbrowse/malus_x_domestica/?name=MDP0000318994","MDP0000318994")</f>
        <v>MDP0000318994</v>
      </c>
      <c r="D2589">
        <v>52.75</v>
      </c>
      <c r="E2589">
        <v>580</v>
      </c>
      <c r="F2589">
        <v>274</v>
      </c>
      <c r="G2589">
        <v>48</v>
      </c>
      <c r="H2589">
        <v>1</v>
      </c>
      <c r="I2589">
        <v>541</v>
      </c>
      <c r="J2589">
        <v>1</v>
      </c>
      <c r="K2589">
        <v>1</v>
      </c>
      <c r="L2589">
        <v>571</v>
      </c>
      <c r="M2589">
        <v>1</v>
      </c>
      <c r="N2589">
        <v>1.8072999999999999E-161</v>
      </c>
      <c r="O2589">
        <v>1459</v>
      </c>
    </row>
    <row r="2590" spans="1:15" x14ac:dyDescent="0.25">
      <c r="A2590" t="s">
        <v>2603</v>
      </c>
      <c r="B2590">
        <v>339</v>
      </c>
      <c r="C2590" s="1" t="str">
        <f>HYPERLINK("http://www.rosaceae.org/gb/gbrowse/malus_x_domestica/?name=MDP0000156902","MDP0000156902")</f>
        <v>MDP0000156902</v>
      </c>
      <c r="D2590">
        <v>59.18</v>
      </c>
      <c r="E2590">
        <v>370</v>
      </c>
      <c r="F2590">
        <v>151</v>
      </c>
      <c r="G2590">
        <v>31</v>
      </c>
      <c r="H2590">
        <v>1</v>
      </c>
      <c r="I2590">
        <v>339</v>
      </c>
      <c r="J2590">
        <v>1</v>
      </c>
      <c r="K2590">
        <v>592</v>
      </c>
      <c r="L2590">
        <v>961</v>
      </c>
      <c r="M2590">
        <v>1</v>
      </c>
      <c r="N2590">
        <v>4.3508900000000001E-116</v>
      </c>
      <c r="O2590">
        <v>1066</v>
      </c>
    </row>
    <row r="2591" spans="1:15" x14ac:dyDescent="0.25">
      <c r="A2591" t="s">
        <v>2604</v>
      </c>
      <c r="B2591">
        <v>632</v>
      </c>
      <c r="C2591" s="1" t="str">
        <f>HYPERLINK("http://www.rosaceae.org/gb/gbrowse/malus_x_domestica/?name=MDP0000260251","MDP0000260251")</f>
        <v>MDP0000260251</v>
      </c>
      <c r="D2591">
        <v>61.66</v>
      </c>
      <c r="E2591">
        <v>527</v>
      </c>
      <c r="F2591">
        <v>202</v>
      </c>
      <c r="G2591">
        <v>10</v>
      </c>
      <c r="H2591">
        <v>105</v>
      </c>
      <c r="I2591">
        <v>630</v>
      </c>
      <c r="J2591">
        <v>1</v>
      </c>
      <c r="K2591">
        <v>144</v>
      </c>
      <c r="L2591">
        <v>661</v>
      </c>
      <c r="M2591">
        <v>1</v>
      </c>
      <c r="N2591">
        <v>0</v>
      </c>
      <c r="O2591">
        <v>1676</v>
      </c>
    </row>
    <row r="2592" spans="1:15" x14ac:dyDescent="0.25">
      <c r="A2592" t="s">
        <v>2605</v>
      </c>
      <c r="B2592">
        <v>262</v>
      </c>
      <c r="C2592" s="1" t="str">
        <f>HYPERLINK("http://www.rosaceae.org/gb/gbrowse/malus_x_domestica/?name=MDP0000129913","MDP0000129913")</f>
        <v>MDP0000129913</v>
      </c>
      <c r="D2592">
        <v>38.46</v>
      </c>
      <c r="E2592">
        <v>156</v>
      </c>
      <c r="F2592">
        <v>96</v>
      </c>
      <c r="G2592">
        <v>3</v>
      </c>
      <c r="H2592">
        <v>27</v>
      </c>
      <c r="I2592">
        <v>182</v>
      </c>
      <c r="J2592">
        <v>1</v>
      </c>
      <c r="K2592">
        <v>150</v>
      </c>
      <c r="L2592">
        <v>302</v>
      </c>
      <c r="M2592">
        <v>1</v>
      </c>
      <c r="N2592">
        <v>5.41258E-25</v>
      </c>
      <c r="O2592">
        <v>279</v>
      </c>
    </row>
    <row r="2593" spans="1:15" x14ac:dyDescent="0.25">
      <c r="A2593" t="s">
        <v>2606</v>
      </c>
      <c r="B2593">
        <v>346</v>
      </c>
      <c r="C2593" s="1" t="str">
        <f>HYPERLINK("http://www.rosaceae.org/gb/gbrowse/malus_x_domestica/?name=MDP0000268577","MDP0000268577")</f>
        <v>MDP0000268577</v>
      </c>
      <c r="D2593">
        <v>73.5</v>
      </c>
      <c r="E2593">
        <v>200</v>
      </c>
      <c r="F2593">
        <v>53</v>
      </c>
      <c r="G2593">
        <v>5</v>
      </c>
      <c r="H2593">
        <v>80</v>
      </c>
      <c r="I2593">
        <v>279</v>
      </c>
      <c r="J2593">
        <v>1</v>
      </c>
      <c r="K2593">
        <v>22</v>
      </c>
      <c r="L2593">
        <v>216</v>
      </c>
      <c r="M2593">
        <v>1</v>
      </c>
      <c r="N2593">
        <v>1.9170000000000001E-80</v>
      </c>
      <c r="O2593">
        <v>758</v>
      </c>
    </row>
    <row r="2594" spans="1:15" x14ac:dyDescent="0.25">
      <c r="A2594" t="s">
        <v>2607</v>
      </c>
      <c r="B2594">
        <v>228</v>
      </c>
      <c r="C2594" s="1" t="str">
        <f>HYPERLINK("http://www.rosaceae.org/gb/gbrowse/malus_x_domestica/?name=MDP0000615948","MDP0000615948")</f>
        <v>MDP0000615948</v>
      </c>
      <c r="D2594">
        <v>56.6</v>
      </c>
      <c r="E2594">
        <v>212</v>
      </c>
      <c r="F2594">
        <v>92</v>
      </c>
      <c r="G2594">
        <v>27</v>
      </c>
      <c r="H2594">
        <v>28</v>
      </c>
      <c r="I2594">
        <v>226</v>
      </c>
      <c r="J2594">
        <v>1</v>
      </c>
      <c r="K2594">
        <v>39</v>
      </c>
      <c r="L2594">
        <v>236</v>
      </c>
      <c r="M2594">
        <v>1</v>
      </c>
      <c r="N2594">
        <v>6.5545099999999997E-54</v>
      </c>
      <c r="O2594">
        <v>527</v>
      </c>
    </row>
    <row r="2595" spans="1:15" x14ac:dyDescent="0.25">
      <c r="A2595" t="s">
        <v>2608</v>
      </c>
      <c r="B2595">
        <v>600</v>
      </c>
      <c r="C2595" s="1" t="str">
        <f>HYPERLINK("http://www.rosaceae.org/gb/gbrowse/malus_x_domestica/?name=MDP0000875405","MDP0000875405")</f>
        <v>MDP0000875405</v>
      </c>
      <c r="D2595">
        <v>81.709999999999994</v>
      </c>
      <c r="E2595">
        <v>547</v>
      </c>
      <c r="F2595">
        <v>100</v>
      </c>
      <c r="G2595">
        <v>2</v>
      </c>
      <c r="H2595">
        <v>54</v>
      </c>
      <c r="I2595">
        <v>599</v>
      </c>
      <c r="J2595">
        <v>1</v>
      </c>
      <c r="K2595">
        <v>53</v>
      </c>
      <c r="L2595">
        <v>598</v>
      </c>
      <c r="M2595">
        <v>1</v>
      </c>
      <c r="N2595">
        <v>0</v>
      </c>
      <c r="O2595">
        <v>2418</v>
      </c>
    </row>
    <row r="2596" spans="1:15" x14ac:dyDescent="0.25">
      <c r="A2596" t="s">
        <v>2609</v>
      </c>
      <c r="B2596">
        <v>634</v>
      </c>
      <c r="C2596" s="1" t="str">
        <f>HYPERLINK("http://www.rosaceae.org/gb/gbrowse/malus_x_domestica/?name=MDP0000133269","MDP0000133269")</f>
        <v>MDP0000133269</v>
      </c>
      <c r="D2596">
        <v>64.23</v>
      </c>
      <c r="E2596">
        <v>604</v>
      </c>
      <c r="F2596">
        <v>216</v>
      </c>
      <c r="G2596">
        <v>27</v>
      </c>
      <c r="H2596">
        <v>43</v>
      </c>
      <c r="I2596">
        <v>634</v>
      </c>
      <c r="J2596">
        <v>1</v>
      </c>
      <c r="K2596">
        <v>99</v>
      </c>
      <c r="L2596">
        <v>687</v>
      </c>
      <c r="M2596">
        <v>1</v>
      </c>
      <c r="N2596">
        <v>0</v>
      </c>
      <c r="O2596">
        <v>1911</v>
      </c>
    </row>
    <row r="2597" spans="1:15" x14ac:dyDescent="0.25">
      <c r="A2597" t="s">
        <v>2610</v>
      </c>
      <c r="B2597">
        <v>204</v>
      </c>
      <c r="C2597" s="1" t="str">
        <f>HYPERLINK("http://www.rosaceae.org/gb/gbrowse/malus_x_domestica/?name=MDP0000812055","MDP0000812055")</f>
        <v>MDP0000812055</v>
      </c>
      <c r="D2597">
        <v>80.3</v>
      </c>
      <c r="E2597">
        <v>66</v>
      </c>
      <c r="F2597">
        <v>13</v>
      </c>
      <c r="G2597">
        <v>0</v>
      </c>
      <c r="H2597">
        <v>136</v>
      </c>
      <c r="I2597">
        <v>201</v>
      </c>
      <c r="J2597">
        <v>1</v>
      </c>
      <c r="K2597">
        <v>36</v>
      </c>
      <c r="L2597">
        <v>101</v>
      </c>
      <c r="M2597">
        <v>1</v>
      </c>
      <c r="N2597">
        <v>6.5990799999999999E-22</v>
      </c>
      <c r="O2597">
        <v>251</v>
      </c>
    </row>
    <row r="2598" spans="1:15" x14ac:dyDescent="0.25">
      <c r="A2598" t="s">
        <v>2611</v>
      </c>
      <c r="B2598">
        <v>393</v>
      </c>
      <c r="C2598" s="1" t="str">
        <f>HYPERLINK("http://www.rosaceae.org/gb/gbrowse/malus_x_domestica/?name=MDP0000535048","MDP0000535048")</f>
        <v>MDP0000535048</v>
      </c>
      <c r="D2598">
        <v>36.92</v>
      </c>
      <c r="E2598">
        <v>371</v>
      </c>
      <c r="F2598">
        <v>234</v>
      </c>
      <c r="G2598">
        <v>24</v>
      </c>
      <c r="H2598">
        <v>37</v>
      </c>
      <c r="I2598">
        <v>393</v>
      </c>
      <c r="J2598">
        <v>1</v>
      </c>
      <c r="K2598">
        <v>32</v>
      </c>
      <c r="L2598">
        <v>392</v>
      </c>
      <c r="M2598">
        <v>1</v>
      </c>
      <c r="N2598">
        <v>2.4864799999999999E-58</v>
      </c>
      <c r="O2598">
        <v>568</v>
      </c>
    </row>
    <row r="2599" spans="1:15" x14ac:dyDescent="0.25">
      <c r="A2599" t="s">
        <v>2612</v>
      </c>
      <c r="B2599">
        <v>719</v>
      </c>
      <c r="C2599" s="1" t="str">
        <f>HYPERLINK("http://www.rosaceae.org/gb/gbrowse/malus_x_domestica/?name=MDP0000232830","MDP0000232830")</f>
        <v>MDP0000232830</v>
      </c>
      <c r="D2599">
        <v>84.23</v>
      </c>
      <c r="E2599">
        <v>723</v>
      </c>
      <c r="F2599">
        <v>114</v>
      </c>
      <c r="G2599">
        <v>24</v>
      </c>
      <c r="H2599">
        <v>1</v>
      </c>
      <c r="I2599">
        <v>704</v>
      </c>
      <c r="J2599">
        <v>1</v>
      </c>
      <c r="K2599">
        <v>34</v>
      </c>
      <c r="L2599">
        <v>751</v>
      </c>
      <c r="M2599">
        <v>1</v>
      </c>
      <c r="N2599">
        <v>0</v>
      </c>
      <c r="O2599">
        <v>3233</v>
      </c>
    </row>
    <row r="2600" spans="1:15" x14ac:dyDescent="0.25">
      <c r="A2600" t="s">
        <v>2613</v>
      </c>
      <c r="B2600">
        <v>833</v>
      </c>
      <c r="C2600" s="1" t="str">
        <f>HYPERLINK("http://www.rosaceae.org/gb/gbrowse/malus_x_domestica/?name=MDP0000076609","MDP0000076609")</f>
        <v>MDP0000076609</v>
      </c>
      <c r="D2600">
        <v>86.41</v>
      </c>
      <c r="E2600">
        <v>832</v>
      </c>
      <c r="F2600">
        <v>113</v>
      </c>
      <c r="G2600">
        <v>43</v>
      </c>
      <c r="H2600">
        <v>1</v>
      </c>
      <c r="I2600">
        <v>832</v>
      </c>
      <c r="J2600">
        <v>1</v>
      </c>
      <c r="K2600">
        <v>1</v>
      </c>
      <c r="L2600">
        <v>789</v>
      </c>
      <c r="M2600">
        <v>1</v>
      </c>
      <c r="N2600">
        <v>0</v>
      </c>
      <c r="O2600">
        <v>3790</v>
      </c>
    </row>
    <row r="2601" spans="1:15" x14ac:dyDescent="0.25">
      <c r="A2601" t="s">
        <v>2614</v>
      </c>
      <c r="B2601">
        <v>1057</v>
      </c>
      <c r="C2601" s="1" t="str">
        <f>HYPERLINK("http://www.rosaceae.org/gb/gbrowse/malus_x_domestica/?name=MDP0000259935","MDP0000259935")</f>
        <v>MDP0000259935</v>
      </c>
      <c r="D2601">
        <v>69.040000000000006</v>
      </c>
      <c r="E2601">
        <v>1053</v>
      </c>
      <c r="F2601">
        <v>326</v>
      </c>
      <c r="G2601">
        <v>103</v>
      </c>
      <c r="H2601">
        <v>18</v>
      </c>
      <c r="I2601">
        <v>1057</v>
      </c>
      <c r="J2601">
        <v>1</v>
      </c>
      <c r="K2601">
        <v>1</v>
      </c>
      <c r="L2601">
        <v>963</v>
      </c>
      <c r="M2601">
        <v>1</v>
      </c>
      <c r="N2601">
        <v>0</v>
      </c>
      <c r="O2601">
        <v>3673</v>
      </c>
    </row>
    <row r="2602" spans="1:15" x14ac:dyDescent="0.25">
      <c r="A2602" t="s">
        <v>2615</v>
      </c>
      <c r="B2602">
        <v>1879</v>
      </c>
      <c r="C2602" s="1" t="str">
        <f>HYPERLINK("http://www.rosaceae.org/gb/gbrowse/malus_x_domestica/?name=MDP0000832627","MDP0000832627")</f>
        <v>MDP0000832627</v>
      </c>
      <c r="D2602">
        <v>48.85</v>
      </c>
      <c r="E2602">
        <v>831</v>
      </c>
      <c r="F2602">
        <v>425</v>
      </c>
      <c r="G2602">
        <v>106</v>
      </c>
      <c r="H2602">
        <v>1065</v>
      </c>
      <c r="I2602">
        <v>1879</v>
      </c>
      <c r="J2602">
        <v>1</v>
      </c>
      <c r="K2602">
        <v>8</v>
      </c>
      <c r="L2602">
        <v>748</v>
      </c>
      <c r="M2602">
        <v>1</v>
      </c>
      <c r="N2602">
        <v>9.3924099999999995E-166</v>
      </c>
      <c r="O2602">
        <v>1501</v>
      </c>
    </row>
    <row r="2603" spans="1:15" x14ac:dyDescent="0.25">
      <c r="A2603" t="s">
        <v>2616</v>
      </c>
      <c r="B2603">
        <v>122</v>
      </c>
      <c r="C2603" s="1" t="str">
        <f>HYPERLINK("http://www.rosaceae.org/gb/gbrowse/malus_x_domestica/?name=MDP0000683186","MDP0000683186")</f>
        <v>MDP0000683186</v>
      </c>
      <c r="D2603">
        <v>50.36</v>
      </c>
      <c r="E2603">
        <v>137</v>
      </c>
      <c r="F2603">
        <v>68</v>
      </c>
      <c r="G2603">
        <v>15</v>
      </c>
      <c r="H2603">
        <v>1</v>
      </c>
      <c r="I2603">
        <v>122</v>
      </c>
      <c r="J2603">
        <v>1</v>
      </c>
      <c r="K2603">
        <v>1</v>
      </c>
      <c r="L2603">
        <v>137</v>
      </c>
      <c r="M2603">
        <v>1</v>
      </c>
      <c r="N2603">
        <v>5.3287999999999998E-28</v>
      </c>
      <c r="O2603">
        <v>299</v>
      </c>
    </row>
    <row r="2604" spans="1:15" x14ac:dyDescent="0.25">
      <c r="A2604" t="s">
        <v>2617</v>
      </c>
      <c r="B2604">
        <v>398</v>
      </c>
      <c r="C2604" s="1" t="str">
        <f>HYPERLINK("http://www.rosaceae.org/gb/gbrowse/malus_x_domestica/?name=MDP0000136086","MDP0000136086")</f>
        <v>MDP0000136086</v>
      </c>
      <c r="D2604">
        <v>64.400000000000006</v>
      </c>
      <c r="E2604">
        <v>309</v>
      </c>
      <c r="F2604">
        <v>110</v>
      </c>
      <c r="G2604">
        <v>40</v>
      </c>
      <c r="H2604">
        <v>89</v>
      </c>
      <c r="I2604">
        <v>357</v>
      </c>
      <c r="J2604">
        <v>1</v>
      </c>
      <c r="K2604">
        <v>105</v>
      </c>
      <c r="L2604">
        <v>413</v>
      </c>
      <c r="M2604">
        <v>1</v>
      </c>
      <c r="N2604">
        <v>3.7624E-103</v>
      </c>
      <c r="O2604">
        <v>955</v>
      </c>
    </row>
    <row r="2605" spans="1:15" x14ac:dyDescent="0.25">
      <c r="A2605" t="s">
        <v>2618</v>
      </c>
      <c r="B2605">
        <v>220</v>
      </c>
      <c r="C2605" s="1" t="str">
        <f>HYPERLINK("http://www.rosaceae.org/gb/gbrowse/malus_x_domestica/?name=MDP0000299718","MDP0000299718")</f>
        <v>MDP0000299718</v>
      </c>
      <c r="D2605">
        <v>82.22</v>
      </c>
      <c r="E2605">
        <v>180</v>
      </c>
      <c r="F2605">
        <v>32</v>
      </c>
      <c r="G2605">
        <v>1</v>
      </c>
      <c r="H2605">
        <v>40</v>
      </c>
      <c r="I2605">
        <v>218</v>
      </c>
      <c r="J2605">
        <v>1</v>
      </c>
      <c r="K2605">
        <v>42</v>
      </c>
      <c r="L2605">
        <v>221</v>
      </c>
      <c r="M2605">
        <v>1</v>
      </c>
      <c r="N2605">
        <v>2.0317000000000001E-85</v>
      </c>
      <c r="O2605">
        <v>799</v>
      </c>
    </row>
    <row r="2606" spans="1:15" x14ac:dyDescent="0.25">
      <c r="A2606" t="s">
        <v>2619</v>
      </c>
      <c r="B2606">
        <v>410</v>
      </c>
      <c r="C2606" s="1" t="str">
        <f>HYPERLINK("http://www.rosaceae.org/gb/gbrowse/malus_x_domestica/?name=MDP0000498882","MDP0000498882")</f>
        <v>MDP0000498882</v>
      </c>
      <c r="D2606">
        <v>38.57</v>
      </c>
      <c r="E2606">
        <v>394</v>
      </c>
      <c r="F2606">
        <v>242</v>
      </c>
      <c r="G2606">
        <v>63</v>
      </c>
      <c r="H2606">
        <v>33</v>
      </c>
      <c r="I2606">
        <v>388</v>
      </c>
      <c r="J2606">
        <v>1</v>
      </c>
      <c r="K2606">
        <v>47</v>
      </c>
      <c r="L2606">
        <v>415</v>
      </c>
      <c r="M2606">
        <v>1</v>
      </c>
      <c r="N2606">
        <v>7.1456099999999998E-44</v>
      </c>
      <c r="O2606">
        <v>444</v>
      </c>
    </row>
    <row r="2607" spans="1:15" x14ac:dyDescent="0.25">
      <c r="A2607" t="s">
        <v>2620</v>
      </c>
      <c r="B2607">
        <v>128</v>
      </c>
      <c r="C2607" s="1" t="str">
        <f>HYPERLINK("http://www.rosaceae.org/gb/gbrowse/malus_x_domestica/?name=MDP0000232052","MDP0000232052")</f>
        <v>MDP0000232052</v>
      </c>
      <c r="D2607">
        <v>43.47</v>
      </c>
      <c r="E2607">
        <v>115</v>
      </c>
      <c r="F2607">
        <v>65</v>
      </c>
      <c r="G2607">
        <v>22</v>
      </c>
      <c r="H2607">
        <v>11</v>
      </c>
      <c r="I2607">
        <v>125</v>
      </c>
      <c r="J2607">
        <v>1</v>
      </c>
      <c r="K2607">
        <v>166</v>
      </c>
      <c r="L2607">
        <v>258</v>
      </c>
      <c r="M2607">
        <v>1</v>
      </c>
      <c r="N2607">
        <v>5.8952200000000002E-21</v>
      </c>
      <c r="O2607">
        <v>239</v>
      </c>
    </row>
    <row r="2608" spans="1:15" x14ac:dyDescent="0.25">
      <c r="A2608" t="s">
        <v>2621</v>
      </c>
      <c r="B2608">
        <v>177</v>
      </c>
      <c r="C2608" s="1" t="str">
        <f>HYPERLINK("http://www.rosaceae.org/gb/gbrowse/malus_x_domestica/?name=MDP0000888428","MDP0000888428")</f>
        <v>MDP0000888428</v>
      </c>
      <c r="D2608">
        <v>75.67</v>
      </c>
      <c r="E2608">
        <v>37</v>
      </c>
      <c r="F2608">
        <v>9</v>
      </c>
      <c r="G2608">
        <v>2</v>
      </c>
      <c r="H2608">
        <v>123</v>
      </c>
      <c r="I2608">
        <v>159</v>
      </c>
      <c r="J2608">
        <v>1</v>
      </c>
      <c r="K2608">
        <v>140</v>
      </c>
      <c r="L2608">
        <v>174</v>
      </c>
      <c r="M2608">
        <v>1</v>
      </c>
      <c r="N2608">
        <v>1.5550899999999999E-8</v>
      </c>
      <c r="O2608">
        <v>134</v>
      </c>
    </row>
    <row r="2609" spans="1:15" x14ac:dyDescent="0.25">
      <c r="A2609" t="s">
        <v>2622</v>
      </c>
      <c r="B2609">
        <v>379</v>
      </c>
      <c r="C2609" s="1" t="str">
        <f>HYPERLINK("http://www.rosaceae.org/gb/gbrowse/malus_x_domestica/?name=MDP0000912251","MDP0000912251")</f>
        <v>MDP0000912251</v>
      </c>
      <c r="D2609">
        <v>80.510000000000005</v>
      </c>
      <c r="E2609">
        <v>385</v>
      </c>
      <c r="F2609">
        <v>75</v>
      </c>
      <c r="G2609">
        <v>12</v>
      </c>
      <c r="H2609">
        <v>1</v>
      </c>
      <c r="I2609">
        <v>379</v>
      </c>
      <c r="J2609">
        <v>1</v>
      </c>
      <c r="K2609">
        <v>1</v>
      </c>
      <c r="L2609">
        <v>379</v>
      </c>
      <c r="M2609">
        <v>1</v>
      </c>
      <c r="N2609">
        <v>4.2010800000000001E-178</v>
      </c>
      <c r="O2609">
        <v>1601</v>
      </c>
    </row>
    <row r="2610" spans="1:15" x14ac:dyDescent="0.25">
      <c r="A2610" t="s">
        <v>2623</v>
      </c>
      <c r="B2610">
        <v>378</v>
      </c>
      <c r="C2610" s="1" t="str">
        <f>HYPERLINK("http://www.rosaceae.org/gb/gbrowse/malus_x_domestica/?name=MDP0000812065","MDP0000812065")</f>
        <v>MDP0000812065</v>
      </c>
      <c r="D2610">
        <v>32.049999999999997</v>
      </c>
      <c r="E2610">
        <v>209</v>
      </c>
      <c r="F2610">
        <v>142</v>
      </c>
      <c r="G2610">
        <v>44</v>
      </c>
      <c r="H2610">
        <v>200</v>
      </c>
      <c r="I2610">
        <v>364</v>
      </c>
      <c r="J2610">
        <v>1</v>
      </c>
      <c r="K2610">
        <v>399</v>
      </c>
      <c r="L2610">
        <v>607</v>
      </c>
      <c r="M2610">
        <v>1</v>
      </c>
      <c r="N2610">
        <v>2.4625299999999999E-22</v>
      </c>
      <c r="O2610">
        <v>258</v>
      </c>
    </row>
    <row r="2611" spans="1:15" x14ac:dyDescent="0.25">
      <c r="A2611" t="s">
        <v>2624</v>
      </c>
      <c r="B2611">
        <v>377</v>
      </c>
      <c r="C2611" s="1" t="str">
        <f>HYPERLINK("http://www.rosaceae.org/gb/gbrowse/malus_x_domestica/?name=MDP0000396817","MDP0000396817")</f>
        <v>MDP0000396817</v>
      </c>
      <c r="D2611">
        <v>49.61</v>
      </c>
      <c r="E2611">
        <v>387</v>
      </c>
      <c r="F2611">
        <v>195</v>
      </c>
      <c r="G2611">
        <v>39</v>
      </c>
      <c r="H2611">
        <v>1</v>
      </c>
      <c r="I2611">
        <v>377</v>
      </c>
      <c r="J2611">
        <v>1</v>
      </c>
      <c r="K2611">
        <v>1</v>
      </c>
      <c r="L2611">
        <v>358</v>
      </c>
      <c r="M2611">
        <v>1</v>
      </c>
      <c r="N2611">
        <v>4.3005599999999999E-72</v>
      </c>
      <c r="O2611">
        <v>687</v>
      </c>
    </row>
    <row r="2612" spans="1:15" x14ac:dyDescent="0.25">
      <c r="A2612" t="s">
        <v>2625</v>
      </c>
      <c r="B2612">
        <v>253</v>
      </c>
      <c r="C2612" s="1" t="str">
        <f>HYPERLINK("http://www.rosaceae.org/gb/gbrowse/malus_x_domestica/?name=MDP0000267275","MDP0000267275")</f>
        <v>MDP0000267275</v>
      </c>
      <c r="D2612">
        <v>51.81</v>
      </c>
      <c r="E2612">
        <v>110</v>
      </c>
      <c r="F2612">
        <v>53</v>
      </c>
      <c r="G2612">
        <v>25</v>
      </c>
      <c r="H2612">
        <v>80</v>
      </c>
      <c r="I2612">
        <v>164</v>
      </c>
      <c r="J2612">
        <v>1</v>
      </c>
      <c r="K2612">
        <v>304</v>
      </c>
      <c r="L2612">
        <v>413</v>
      </c>
      <c r="M2612">
        <v>1</v>
      </c>
      <c r="N2612">
        <v>4.1122699999999999E-26</v>
      </c>
      <c r="O2612">
        <v>288</v>
      </c>
    </row>
    <row r="2613" spans="1:15" x14ac:dyDescent="0.25">
      <c r="A2613" t="s">
        <v>2626</v>
      </c>
      <c r="B2613">
        <v>604</v>
      </c>
      <c r="C2613" s="1" t="str">
        <f>HYPERLINK("http://www.rosaceae.org/gb/gbrowse/malus_x_domestica/?name=MDP0000245124","MDP0000245124")</f>
        <v>MDP0000245124</v>
      </c>
      <c r="D2613">
        <v>73.069999999999993</v>
      </c>
      <c r="E2613">
        <v>494</v>
      </c>
      <c r="F2613">
        <v>133</v>
      </c>
      <c r="G2613">
        <v>16</v>
      </c>
      <c r="H2613">
        <v>1</v>
      </c>
      <c r="I2613">
        <v>479</v>
      </c>
      <c r="J2613">
        <v>1</v>
      </c>
      <c r="K2613">
        <v>1</v>
      </c>
      <c r="L2613">
        <v>493</v>
      </c>
      <c r="M2613">
        <v>1</v>
      </c>
      <c r="N2613">
        <v>0</v>
      </c>
      <c r="O2613">
        <v>1837</v>
      </c>
    </row>
    <row r="2614" spans="1:15" x14ac:dyDescent="0.25">
      <c r="A2614" t="s">
        <v>2627</v>
      </c>
      <c r="B2614">
        <v>241</v>
      </c>
      <c r="C2614" s="1" t="str">
        <f>HYPERLINK("http://www.rosaceae.org/gb/gbrowse/malus_x_domestica/?name=MDP0000271754","MDP0000271754")</f>
        <v>MDP0000271754</v>
      </c>
      <c r="D2614">
        <v>52.12</v>
      </c>
      <c r="E2614">
        <v>259</v>
      </c>
      <c r="F2614">
        <v>124</v>
      </c>
      <c r="G2614">
        <v>19</v>
      </c>
      <c r="H2614">
        <v>1</v>
      </c>
      <c r="I2614">
        <v>240</v>
      </c>
      <c r="J2614">
        <v>1</v>
      </c>
      <c r="K2614">
        <v>274</v>
      </c>
      <c r="L2614">
        <v>532</v>
      </c>
      <c r="M2614">
        <v>1</v>
      </c>
      <c r="N2614">
        <v>2.7917200000000001E-71</v>
      </c>
      <c r="O2614">
        <v>677</v>
      </c>
    </row>
    <row r="2615" spans="1:15" x14ac:dyDescent="0.25">
      <c r="A2615" t="s">
        <v>2628</v>
      </c>
      <c r="B2615">
        <v>380</v>
      </c>
      <c r="C2615" s="1" t="str">
        <f>HYPERLINK("http://www.rosaceae.org/gb/gbrowse/malus_x_domestica/?name=MDP0000852699","MDP0000852699")</f>
        <v>MDP0000852699</v>
      </c>
      <c r="D2615">
        <v>62.28</v>
      </c>
      <c r="E2615">
        <v>236</v>
      </c>
      <c r="F2615">
        <v>89</v>
      </c>
      <c r="G2615">
        <v>14</v>
      </c>
      <c r="H2615">
        <v>91</v>
      </c>
      <c r="I2615">
        <v>314</v>
      </c>
      <c r="J2615">
        <v>1</v>
      </c>
      <c r="K2615">
        <v>107</v>
      </c>
      <c r="L2615">
        <v>340</v>
      </c>
      <c r="M2615">
        <v>1</v>
      </c>
      <c r="N2615">
        <v>2.3228E-76</v>
      </c>
      <c r="O2615">
        <v>724</v>
      </c>
    </row>
    <row r="2616" spans="1:15" x14ac:dyDescent="0.25">
      <c r="A2616" t="s">
        <v>2629</v>
      </c>
      <c r="B2616">
        <v>492</v>
      </c>
      <c r="C2616" s="1" t="str">
        <f>HYPERLINK("http://www.rosaceae.org/gb/gbrowse/malus_x_domestica/?name=MDP0000271744","MDP0000271744")</f>
        <v>MDP0000271744</v>
      </c>
      <c r="D2616">
        <v>25.95</v>
      </c>
      <c r="E2616">
        <v>470</v>
      </c>
      <c r="F2616">
        <v>348</v>
      </c>
      <c r="G2616">
        <v>115</v>
      </c>
      <c r="H2616">
        <v>9</v>
      </c>
      <c r="I2616">
        <v>379</v>
      </c>
      <c r="J2616">
        <v>1</v>
      </c>
      <c r="K2616">
        <v>43</v>
      </c>
      <c r="L2616">
        <v>496</v>
      </c>
      <c r="M2616">
        <v>1</v>
      </c>
      <c r="N2616">
        <v>1.23048E-13</v>
      </c>
      <c r="O2616">
        <v>184</v>
      </c>
    </row>
    <row r="2617" spans="1:15" x14ac:dyDescent="0.25">
      <c r="A2617" t="s">
        <v>2630</v>
      </c>
      <c r="B2617">
        <v>488</v>
      </c>
      <c r="C2617" s="1" t="str">
        <f>HYPERLINK("http://www.rosaceae.org/gb/gbrowse/malus_x_domestica/?name=MDP0000166106","MDP0000166106")</f>
        <v>MDP0000166106</v>
      </c>
      <c r="D2617">
        <v>69.400000000000006</v>
      </c>
      <c r="E2617">
        <v>474</v>
      </c>
      <c r="F2617">
        <v>145</v>
      </c>
      <c r="G2617">
        <v>37</v>
      </c>
      <c r="H2617">
        <v>19</v>
      </c>
      <c r="I2617">
        <v>461</v>
      </c>
      <c r="J2617">
        <v>1</v>
      </c>
      <c r="K2617">
        <v>20</v>
      </c>
      <c r="L2617">
        <v>487</v>
      </c>
      <c r="M2617">
        <v>1</v>
      </c>
      <c r="N2617">
        <v>0</v>
      </c>
      <c r="O2617">
        <v>1659</v>
      </c>
    </row>
    <row r="2618" spans="1:15" x14ac:dyDescent="0.25">
      <c r="A2618" t="s">
        <v>2631</v>
      </c>
      <c r="B2618">
        <v>194</v>
      </c>
      <c r="C2618" s="1" t="str">
        <f>HYPERLINK("http://www.rosaceae.org/gb/gbrowse/malus_x_domestica/?name=MDP0000831145","MDP0000831145")</f>
        <v>MDP0000831145</v>
      </c>
      <c r="D2618">
        <v>92.06</v>
      </c>
      <c r="E2618">
        <v>126</v>
      </c>
      <c r="F2618">
        <v>10</v>
      </c>
      <c r="G2618">
        <v>2</v>
      </c>
      <c r="H2618">
        <v>71</v>
      </c>
      <c r="I2618">
        <v>194</v>
      </c>
      <c r="J2618">
        <v>1</v>
      </c>
      <c r="K2618">
        <v>13</v>
      </c>
      <c r="L2618">
        <v>138</v>
      </c>
      <c r="M2618">
        <v>1</v>
      </c>
      <c r="N2618">
        <v>3.4830199999999998E-59</v>
      </c>
      <c r="O2618">
        <v>572</v>
      </c>
    </row>
    <row r="2619" spans="1:15" x14ac:dyDescent="0.25">
      <c r="A2619" t="s">
        <v>2632</v>
      </c>
      <c r="B2619">
        <v>651</v>
      </c>
      <c r="C2619" s="1" t="str">
        <f>HYPERLINK("http://www.rosaceae.org/gb/gbrowse/malus_x_domestica/?name=MDP0000319772","MDP0000319772")</f>
        <v>MDP0000319772</v>
      </c>
      <c r="D2619">
        <v>75.05</v>
      </c>
      <c r="E2619">
        <v>445</v>
      </c>
      <c r="F2619">
        <v>111</v>
      </c>
      <c r="G2619">
        <v>27</v>
      </c>
      <c r="H2619">
        <v>1</v>
      </c>
      <c r="I2619">
        <v>424</v>
      </c>
      <c r="J2619">
        <v>1</v>
      </c>
      <c r="K2619">
        <v>1</v>
      </c>
      <c r="L2619">
        <v>439</v>
      </c>
      <c r="M2619">
        <v>1</v>
      </c>
      <c r="N2619">
        <v>0</v>
      </c>
      <c r="O2619">
        <v>1681</v>
      </c>
    </row>
    <row r="2620" spans="1:15" x14ac:dyDescent="0.25">
      <c r="A2620" t="s">
        <v>2633</v>
      </c>
      <c r="B2620">
        <v>539</v>
      </c>
      <c r="C2620" s="1" t="str">
        <f>HYPERLINK("http://www.rosaceae.org/gb/gbrowse/malus_x_domestica/?name=MDP0000272351","MDP0000272351")</f>
        <v>MDP0000272351</v>
      </c>
      <c r="D2620">
        <v>49.1</v>
      </c>
      <c r="E2620">
        <v>448</v>
      </c>
      <c r="F2620">
        <v>228</v>
      </c>
      <c r="G2620">
        <v>55</v>
      </c>
      <c r="H2620">
        <v>1</v>
      </c>
      <c r="I2620">
        <v>410</v>
      </c>
      <c r="J2620">
        <v>1</v>
      </c>
      <c r="K2620">
        <v>1</v>
      </c>
      <c r="L2620">
        <v>431</v>
      </c>
      <c r="M2620">
        <v>1</v>
      </c>
      <c r="N2620">
        <v>5.0763799999999996E-99</v>
      </c>
      <c r="O2620">
        <v>921</v>
      </c>
    </row>
    <row r="2621" spans="1:15" x14ac:dyDescent="0.25">
      <c r="A2621" t="s">
        <v>2634</v>
      </c>
      <c r="B2621">
        <v>344</v>
      </c>
      <c r="C2621" s="1" t="str">
        <f>HYPERLINK("http://www.rosaceae.org/gb/gbrowse/malus_x_domestica/?name=MDP0000191774","MDP0000191774")</f>
        <v>MDP0000191774</v>
      </c>
      <c r="D2621">
        <v>56.46</v>
      </c>
      <c r="E2621">
        <v>356</v>
      </c>
      <c r="F2621">
        <v>155</v>
      </c>
      <c r="G2621">
        <v>38</v>
      </c>
      <c r="H2621">
        <v>15</v>
      </c>
      <c r="I2621">
        <v>336</v>
      </c>
      <c r="J2621">
        <v>1</v>
      </c>
      <c r="K2621">
        <v>18</v>
      </c>
      <c r="L2621">
        <v>369</v>
      </c>
      <c r="M2621">
        <v>1</v>
      </c>
      <c r="N2621">
        <v>2.93458E-108</v>
      </c>
      <c r="O2621">
        <v>998</v>
      </c>
    </row>
    <row r="2622" spans="1:15" x14ac:dyDescent="0.25">
      <c r="A2622" t="s">
        <v>2635</v>
      </c>
      <c r="B2622">
        <v>354</v>
      </c>
      <c r="C2622" s="1" t="str">
        <f>HYPERLINK("http://www.rosaceae.org/gb/gbrowse/malus_x_domestica/?name=MDP0000167911","MDP0000167911")</f>
        <v>MDP0000167911</v>
      </c>
      <c r="D2622">
        <v>60.49</v>
      </c>
      <c r="E2622">
        <v>81</v>
      </c>
      <c r="F2622">
        <v>32</v>
      </c>
      <c r="G2622">
        <v>4</v>
      </c>
      <c r="H2622">
        <v>196</v>
      </c>
      <c r="I2622">
        <v>275</v>
      </c>
      <c r="J2622">
        <v>1</v>
      </c>
      <c r="K2622">
        <v>232</v>
      </c>
      <c r="L2622">
        <v>309</v>
      </c>
      <c r="M2622">
        <v>1</v>
      </c>
      <c r="N2622">
        <v>4.6860100000000001E-18</v>
      </c>
      <c r="O2622">
        <v>221</v>
      </c>
    </row>
    <row r="2623" spans="1:15" x14ac:dyDescent="0.25">
      <c r="A2623" t="s">
        <v>2636</v>
      </c>
      <c r="B2623">
        <v>226</v>
      </c>
      <c r="C2623" s="1" t="str">
        <f>HYPERLINK("http://www.rosaceae.org/gb/gbrowse/malus_x_domestica/?name=MDP0000142665","MDP0000142665")</f>
        <v>MDP0000142665</v>
      </c>
      <c r="D2623">
        <v>51.61</v>
      </c>
      <c r="E2623">
        <v>93</v>
      </c>
      <c r="F2623">
        <v>45</v>
      </c>
      <c r="G2623">
        <v>0</v>
      </c>
      <c r="H2623">
        <v>32</v>
      </c>
      <c r="I2623">
        <v>124</v>
      </c>
      <c r="J2623">
        <v>1</v>
      </c>
      <c r="K2623">
        <v>662</v>
      </c>
      <c r="L2623">
        <v>754</v>
      </c>
      <c r="M2623">
        <v>1</v>
      </c>
      <c r="N2623">
        <v>1.0911699999999999E-25</v>
      </c>
      <c r="O2623">
        <v>284</v>
      </c>
    </row>
    <row r="2624" spans="1:15" x14ac:dyDescent="0.25">
      <c r="A2624" t="s">
        <v>2637</v>
      </c>
      <c r="B2624">
        <v>426</v>
      </c>
      <c r="C2624" s="1" t="str">
        <f>HYPERLINK("http://www.rosaceae.org/gb/gbrowse/malus_x_domestica/?name=MDP0000289123","MDP0000289123")</f>
        <v>MDP0000289123</v>
      </c>
      <c r="D2624">
        <v>38.33</v>
      </c>
      <c r="E2624">
        <v>433</v>
      </c>
      <c r="F2624">
        <v>267</v>
      </c>
      <c r="G2624">
        <v>47</v>
      </c>
      <c r="H2624">
        <v>6</v>
      </c>
      <c r="I2624">
        <v>414</v>
      </c>
      <c r="J2624">
        <v>1</v>
      </c>
      <c r="K2624">
        <v>5</v>
      </c>
      <c r="L2624">
        <v>414</v>
      </c>
      <c r="M2624">
        <v>1</v>
      </c>
      <c r="N2624">
        <v>2.06898E-64</v>
      </c>
      <c r="O2624">
        <v>621</v>
      </c>
    </row>
    <row r="2625" spans="1:15" x14ac:dyDescent="0.25">
      <c r="A2625" t="s">
        <v>2638</v>
      </c>
      <c r="B2625">
        <v>1665</v>
      </c>
      <c r="C2625" s="1" t="str">
        <f>HYPERLINK("http://www.rosaceae.org/gb/gbrowse/malus_x_domestica/?name=MDP0000315021","MDP0000315021")</f>
        <v>MDP0000315021</v>
      </c>
      <c r="D2625">
        <v>73.77</v>
      </c>
      <c r="E2625">
        <v>1529</v>
      </c>
      <c r="F2625">
        <v>401</v>
      </c>
      <c r="G2625">
        <v>125</v>
      </c>
      <c r="H2625">
        <v>84</v>
      </c>
      <c r="I2625">
        <v>1568</v>
      </c>
      <c r="J2625">
        <v>1</v>
      </c>
      <c r="K2625">
        <v>478</v>
      </c>
      <c r="L2625">
        <v>1925</v>
      </c>
      <c r="M2625">
        <v>1</v>
      </c>
      <c r="N2625">
        <v>0</v>
      </c>
      <c r="O2625">
        <v>5773</v>
      </c>
    </row>
    <row r="2626" spans="1:15" x14ac:dyDescent="0.25">
      <c r="A2626" t="s">
        <v>2639</v>
      </c>
      <c r="B2626">
        <v>2741</v>
      </c>
      <c r="C2626" s="1" t="str">
        <f>HYPERLINK("http://www.rosaceae.org/gb/gbrowse/malus_x_domestica/?name=MDP0000301510","MDP0000301510")</f>
        <v>MDP0000301510</v>
      </c>
      <c r="D2626">
        <v>73.94</v>
      </c>
      <c r="E2626">
        <v>2372</v>
      </c>
      <c r="F2626">
        <v>618</v>
      </c>
      <c r="G2626">
        <v>88</v>
      </c>
      <c r="H2626">
        <v>411</v>
      </c>
      <c r="I2626">
        <v>2741</v>
      </c>
      <c r="J2626">
        <v>1</v>
      </c>
      <c r="K2626">
        <v>120</v>
      </c>
      <c r="L2626">
        <v>2444</v>
      </c>
      <c r="M2626">
        <v>1</v>
      </c>
      <c r="N2626">
        <v>0</v>
      </c>
      <c r="O2626">
        <v>8916</v>
      </c>
    </row>
    <row r="2627" spans="1:15" x14ac:dyDescent="0.25">
      <c r="A2627" t="s">
        <v>2640</v>
      </c>
      <c r="B2627">
        <v>447</v>
      </c>
      <c r="C2627" s="1" t="str">
        <f>HYPERLINK("http://www.rosaceae.org/gb/gbrowse/malus_x_domestica/?name=MDP0000149801","MDP0000149801")</f>
        <v>MDP0000149801</v>
      </c>
      <c r="D2627">
        <v>71.81</v>
      </c>
      <c r="E2627">
        <v>149</v>
      </c>
      <c r="F2627">
        <v>42</v>
      </c>
      <c r="G2627">
        <v>8</v>
      </c>
      <c r="H2627">
        <v>41</v>
      </c>
      <c r="I2627">
        <v>184</v>
      </c>
      <c r="J2627">
        <v>1</v>
      </c>
      <c r="K2627">
        <v>56</v>
      </c>
      <c r="L2627">
        <v>201</v>
      </c>
      <c r="M2627">
        <v>1</v>
      </c>
      <c r="N2627">
        <v>1.5618700000000001E-50</v>
      </c>
      <c r="O2627">
        <v>502</v>
      </c>
    </row>
    <row r="2628" spans="1:15" x14ac:dyDescent="0.25">
      <c r="A2628" t="s">
        <v>2641</v>
      </c>
      <c r="B2628">
        <v>487</v>
      </c>
      <c r="C2628" s="1" t="str">
        <f>HYPERLINK("http://www.rosaceae.org/gb/gbrowse/malus_x_domestica/?name=MDP0000731082","MDP0000731082")</f>
        <v>MDP0000731082</v>
      </c>
      <c r="D2628">
        <v>35.909999999999997</v>
      </c>
      <c r="E2628">
        <v>465</v>
      </c>
      <c r="F2628">
        <v>298</v>
      </c>
      <c r="G2628">
        <v>69</v>
      </c>
      <c r="H2628">
        <v>42</v>
      </c>
      <c r="I2628">
        <v>481</v>
      </c>
      <c r="J2628">
        <v>1</v>
      </c>
      <c r="K2628">
        <v>4</v>
      </c>
      <c r="L2628">
        <v>424</v>
      </c>
      <c r="M2628">
        <v>1</v>
      </c>
      <c r="N2628">
        <v>8.5077100000000004E-55</v>
      </c>
      <c r="O2628">
        <v>539</v>
      </c>
    </row>
    <row r="2629" spans="1:15" x14ac:dyDescent="0.25">
      <c r="A2629" t="s">
        <v>2642</v>
      </c>
      <c r="B2629">
        <v>276</v>
      </c>
      <c r="C2629" s="1" t="str">
        <f>HYPERLINK("http://www.rosaceae.org/gb/gbrowse/malus_x_domestica/?name=MDP0000312342","MDP0000312342")</f>
        <v>MDP0000312342</v>
      </c>
      <c r="D2629">
        <v>30.14</v>
      </c>
      <c r="E2629">
        <v>272</v>
      </c>
      <c r="F2629">
        <v>190</v>
      </c>
      <c r="G2629">
        <v>16</v>
      </c>
      <c r="H2629">
        <v>13</v>
      </c>
      <c r="I2629">
        <v>272</v>
      </c>
      <c r="J2629">
        <v>1</v>
      </c>
      <c r="K2629">
        <v>95</v>
      </c>
      <c r="L2629">
        <v>362</v>
      </c>
      <c r="M2629">
        <v>1</v>
      </c>
      <c r="N2629">
        <v>3.33227E-25</v>
      </c>
      <c r="O2629">
        <v>281</v>
      </c>
    </row>
    <row r="2630" spans="1:15" x14ac:dyDescent="0.25">
      <c r="A2630" t="s">
        <v>2643</v>
      </c>
      <c r="B2630">
        <v>494</v>
      </c>
      <c r="C2630" s="1" t="str">
        <f>HYPERLINK("http://www.rosaceae.org/gb/gbrowse/malus_x_domestica/?name=MDP0000300756","MDP0000300756")</f>
        <v>MDP0000300756</v>
      </c>
      <c r="D2630">
        <v>60.25</v>
      </c>
      <c r="E2630">
        <v>468</v>
      </c>
      <c r="F2630">
        <v>186</v>
      </c>
      <c r="G2630">
        <v>11</v>
      </c>
      <c r="H2630">
        <v>31</v>
      </c>
      <c r="I2630">
        <v>488</v>
      </c>
      <c r="J2630">
        <v>1</v>
      </c>
      <c r="K2630">
        <v>71</v>
      </c>
      <c r="L2630">
        <v>537</v>
      </c>
      <c r="M2630">
        <v>1</v>
      </c>
      <c r="N2630">
        <v>3.49069E-147</v>
      </c>
      <c r="O2630">
        <v>1336</v>
      </c>
    </row>
    <row r="2631" spans="1:15" x14ac:dyDescent="0.25">
      <c r="A2631" t="s">
        <v>2644</v>
      </c>
      <c r="B2631">
        <v>1950</v>
      </c>
      <c r="C2631" s="1" t="str">
        <f>HYPERLINK("http://www.rosaceae.org/gb/gbrowse/malus_x_domestica/?name=MDP0000642530","MDP0000642530")</f>
        <v>MDP0000642530</v>
      </c>
      <c r="D2631">
        <v>79.73</v>
      </c>
      <c r="E2631">
        <v>676</v>
      </c>
      <c r="F2631">
        <v>137</v>
      </c>
      <c r="G2631">
        <v>5</v>
      </c>
      <c r="H2631">
        <v>1278</v>
      </c>
      <c r="I2631">
        <v>1950</v>
      </c>
      <c r="J2631">
        <v>1</v>
      </c>
      <c r="K2631">
        <v>1</v>
      </c>
      <c r="L2631">
        <v>674</v>
      </c>
      <c r="M2631">
        <v>1</v>
      </c>
      <c r="N2631">
        <v>0</v>
      </c>
      <c r="O2631">
        <v>2945</v>
      </c>
    </row>
    <row r="2632" spans="1:15" x14ac:dyDescent="0.25">
      <c r="A2632" t="s">
        <v>2645</v>
      </c>
      <c r="B2632">
        <v>233</v>
      </c>
      <c r="C2632" s="1" t="str">
        <f>HYPERLINK("http://www.rosaceae.org/gb/gbrowse/malus_x_domestica/?name=MDP0000441962","MDP0000441962")</f>
        <v>MDP0000441962</v>
      </c>
      <c r="D2632">
        <v>67.28</v>
      </c>
      <c r="E2632">
        <v>214</v>
      </c>
      <c r="F2632">
        <v>70</v>
      </c>
      <c r="G2632">
        <v>6</v>
      </c>
      <c r="H2632">
        <v>20</v>
      </c>
      <c r="I2632">
        <v>232</v>
      </c>
      <c r="J2632">
        <v>1</v>
      </c>
      <c r="K2632">
        <v>144</v>
      </c>
      <c r="L2632">
        <v>352</v>
      </c>
      <c r="M2632">
        <v>1</v>
      </c>
      <c r="N2632">
        <v>4.5379000000000003E-73</v>
      </c>
      <c r="O2632">
        <v>693</v>
      </c>
    </row>
    <row r="2633" spans="1:15" x14ac:dyDescent="0.25">
      <c r="A2633" t="s">
        <v>2646</v>
      </c>
      <c r="B2633">
        <v>200</v>
      </c>
      <c r="C2633" s="1" t="str">
        <f>HYPERLINK("http://www.rosaceae.org/gb/gbrowse/malus_x_domestica/?name=MDP0000254568","MDP0000254568")</f>
        <v>MDP0000254568</v>
      </c>
      <c r="D2633">
        <v>73.5</v>
      </c>
      <c r="E2633">
        <v>200</v>
      </c>
      <c r="F2633">
        <v>53</v>
      </c>
      <c r="G2633">
        <v>1</v>
      </c>
      <c r="H2633">
        <v>1</v>
      </c>
      <c r="I2633">
        <v>200</v>
      </c>
      <c r="J2633">
        <v>1</v>
      </c>
      <c r="K2633">
        <v>1</v>
      </c>
      <c r="L2633">
        <v>199</v>
      </c>
      <c r="M2633">
        <v>1</v>
      </c>
      <c r="N2633">
        <v>6.0107899999999999E-84</v>
      </c>
      <c r="O2633">
        <v>786</v>
      </c>
    </row>
    <row r="2634" spans="1:15" x14ac:dyDescent="0.25">
      <c r="A2634" t="s">
        <v>2647</v>
      </c>
      <c r="B2634">
        <v>144</v>
      </c>
      <c r="C2634" s="1" t="str">
        <f>HYPERLINK("http://www.rosaceae.org/gb/gbrowse/malus_x_domestica/?name=MDP0000219706","MDP0000219706")</f>
        <v>MDP0000219706</v>
      </c>
      <c r="D2634">
        <v>28.91</v>
      </c>
      <c r="E2634">
        <v>166</v>
      </c>
      <c r="F2634">
        <v>118</v>
      </c>
      <c r="G2634">
        <v>36</v>
      </c>
      <c r="H2634">
        <v>1</v>
      </c>
      <c r="I2634">
        <v>133</v>
      </c>
      <c r="J2634">
        <v>1</v>
      </c>
      <c r="K2634">
        <v>358</v>
      </c>
      <c r="L2634">
        <v>520</v>
      </c>
      <c r="M2634">
        <v>1</v>
      </c>
      <c r="N2634">
        <v>4.9800000000000001E-16</v>
      </c>
      <c r="O2634">
        <v>197</v>
      </c>
    </row>
    <row r="2635" spans="1:15" x14ac:dyDescent="0.25">
      <c r="A2635" t="s">
        <v>2648</v>
      </c>
      <c r="B2635">
        <v>631</v>
      </c>
      <c r="C2635" s="1" t="str">
        <f>HYPERLINK("http://www.rosaceae.org/gb/gbrowse/malus_x_domestica/?name=MDP0000203826","MDP0000203826")</f>
        <v>MDP0000203826</v>
      </c>
      <c r="D2635">
        <v>79.53</v>
      </c>
      <c r="E2635">
        <v>474</v>
      </c>
      <c r="F2635">
        <v>97</v>
      </c>
      <c r="G2635">
        <v>14</v>
      </c>
      <c r="H2635">
        <v>1</v>
      </c>
      <c r="I2635">
        <v>468</v>
      </c>
      <c r="J2635">
        <v>1</v>
      </c>
      <c r="K2635">
        <v>1</v>
      </c>
      <c r="L2635">
        <v>466</v>
      </c>
      <c r="M2635">
        <v>1</v>
      </c>
      <c r="N2635">
        <v>0</v>
      </c>
      <c r="O2635">
        <v>1870</v>
      </c>
    </row>
    <row r="2636" spans="1:15" x14ac:dyDescent="0.25">
      <c r="A2636" t="s">
        <v>2649</v>
      </c>
      <c r="B2636">
        <v>313</v>
      </c>
      <c r="C2636" s="1" t="str">
        <f>HYPERLINK("http://www.rosaceae.org/gb/gbrowse/malus_x_domestica/?name=MDP0000497680","MDP0000497680")</f>
        <v>MDP0000497680</v>
      </c>
      <c r="D2636">
        <v>43.84</v>
      </c>
      <c r="E2636">
        <v>333</v>
      </c>
      <c r="F2636">
        <v>187</v>
      </c>
      <c r="G2636">
        <v>31</v>
      </c>
      <c r="H2636">
        <v>1</v>
      </c>
      <c r="I2636">
        <v>312</v>
      </c>
      <c r="J2636">
        <v>1</v>
      </c>
      <c r="K2636">
        <v>1</v>
      </c>
      <c r="L2636">
        <v>323</v>
      </c>
      <c r="M2636">
        <v>1</v>
      </c>
      <c r="N2636">
        <v>3.2186799999999999E-61</v>
      </c>
      <c r="O2636">
        <v>592</v>
      </c>
    </row>
    <row r="2637" spans="1:15" x14ac:dyDescent="0.25">
      <c r="A2637" t="s">
        <v>2650</v>
      </c>
      <c r="B2637">
        <v>642</v>
      </c>
      <c r="C2637" s="1" t="str">
        <f>HYPERLINK("http://www.rosaceae.org/gb/gbrowse/malus_x_domestica/?name=MDP0000186402","MDP0000186402")</f>
        <v>MDP0000186402</v>
      </c>
      <c r="D2637">
        <v>26.19</v>
      </c>
      <c r="E2637">
        <v>420</v>
      </c>
      <c r="F2637">
        <v>310</v>
      </c>
      <c r="G2637">
        <v>71</v>
      </c>
      <c r="H2637">
        <v>199</v>
      </c>
      <c r="I2637">
        <v>555</v>
      </c>
      <c r="J2637">
        <v>1</v>
      </c>
      <c r="K2637">
        <v>115</v>
      </c>
      <c r="L2637">
        <v>526</v>
      </c>
      <c r="M2637">
        <v>1</v>
      </c>
      <c r="N2637">
        <v>1.49618E-34</v>
      </c>
      <c r="O2637">
        <v>366</v>
      </c>
    </row>
    <row r="2638" spans="1:15" x14ac:dyDescent="0.25">
      <c r="A2638" t="s">
        <v>2651</v>
      </c>
      <c r="B2638">
        <v>468</v>
      </c>
      <c r="C2638" s="1" t="str">
        <f>HYPERLINK("http://www.rosaceae.org/gb/gbrowse/malus_x_domestica/?name=MDP0000575823","MDP0000575823")</f>
        <v>MDP0000575823</v>
      </c>
      <c r="D2638">
        <v>60.5</v>
      </c>
      <c r="E2638">
        <v>476</v>
      </c>
      <c r="F2638">
        <v>188</v>
      </c>
      <c r="G2638">
        <v>17</v>
      </c>
      <c r="H2638">
        <v>1</v>
      </c>
      <c r="I2638">
        <v>464</v>
      </c>
      <c r="J2638">
        <v>1</v>
      </c>
      <c r="K2638">
        <v>1</v>
      </c>
      <c r="L2638">
        <v>471</v>
      </c>
      <c r="M2638">
        <v>1</v>
      </c>
      <c r="N2638">
        <v>2.0466100000000001E-159</v>
      </c>
      <c r="O2638">
        <v>1441</v>
      </c>
    </row>
    <row r="2639" spans="1:15" x14ac:dyDescent="0.25">
      <c r="A2639" t="s">
        <v>2652</v>
      </c>
      <c r="B2639">
        <v>479</v>
      </c>
      <c r="C2639" s="1" t="str">
        <f>HYPERLINK("http://www.rosaceae.org/gb/gbrowse/malus_x_domestica/?name=MDP0000179740","MDP0000179740")</f>
        <v>MDP0000179740</v>
      </c>
      <c r="D2639">
        <v>73.459999999999994</v>
      </c>
      <c r="E2639">
        <v>343</v>
      </c>
      <c r="F2639">
        <v>91</v>
      </c>
      <c r="G2639">
        <v>30</v>
      </c>
      <c r="H2639">
        <v>41</v>
      </c>
      <c r="I2639">
        <v>383</v>
      </c>
      <c r="J2639">
        <v>1</v>
      </c>
      <c r="K2639">
        <v>1</v>
      </c>
      <c r="L2639">
        <v>313</v>
      </c>
      <c r="M2639">
        <v>1</v>
      </c>
      <c r="N2639">
        <v>6.4385200000000004E-137</v>
      </c>
      <c r="O2639">
        <v>1247</v>
      </c>
    </row>
    <row r="2640" spans="1:15" x14ac:dyDescent="0.25">
      <c r="A2640" t="s">
        <v>2653</v>
      </c>
      <c r="B2640">
        <v>241</v>
      </c>
      <c r="C2640" s="1" t="str">
        <f>HYPERLINK("http://www.rosaceae.org/gb/gbrowse/malus_x_domestica/?name=MDP0000132728","MDP0000132728")</f>
        <v>MDP0000132728</v>
      </c>
      <c r="D2640">
        <v>60.53</v>
      </c>
      <c r="E2640">
        <v>223</v>
      </c>
      <c r="F2640">
        <v>88</v>
      </c>
      <c r="G2640">
        <v>0</v>
      </c>
      <c r="H2640">
        <v>8</v>
      </c>
      <c r="I2640">
        <v>230</v>
      </c>
      <c r="J2640">
        <v>1</v>
      </c>
      <c r="K2640">
        <v>5</v>
      </c>
      <c r="L2640">
        <v>227</v>
      </c>
      <c r="M2640">
        <v>1</v>
      </c>
      <c r="N2640">
        <v>1.85326E-74</v>
      </c>
      <c r="O2640">
        <v>705</v>
      </c>
    </row>
    <row r="2641" spans="1:15" x14ac:dyDescent="0.25">
      <c r="A2641" t="s">
        <v>2654</v>
      </c>
      <c r="B2641">
        <v>360</v>
      </c>
      <c r="C2641" s="1" t="str">
        <f>HYPERLINK("http://www.rosaceae.org/gb/gbrowse/malus_x_domestica/?name=MDP0000222897","MDP0000222897")</f>
        <v>MDP0000222897</v>
      </c>
      <c r="D2641">
        <v>45.45</v>
      </c>
      <c r="E2641">
        <v>132</v>
      </c>
      <c r="F2641">
        <v>72</v>
      </c>
      <c r="G2641">
        <v>18</v>
      </c>
      <c r="H2641">
        <v>1</v>
      </c>
      <c r="I2641">
        <v>116</v>
      </c>
      <c r="J2641">
        <v>1</v>
      </c>
      <c r="K2641">
        <v>49</v>
      </c>
      <c r="L2641">
        <v>178</v>
      </c>
      <c r="M2641">
        <v>1</v>
      </c>
      <c r="N2641">
        <v>7.9078600000000001E-22</v>
      </c>
      <c r="O2641">
        <v>253</v>
      </c>
    </row>
    <row r="2642" spans="1:15" x14ac:dyDescent="0.25">
      <c r="A2642" t="s">
        <v>2655</v>
      </c>
      <c r="B2642">
        <v>680</v>
      </c>
      <c r="C2642" s="1" t="str">
        <f>HYPERLINK("http://www.rosaceae.org/gb/gbrowse/malus_x_domestica/?name=MDP0000129664","MDP0000129664")</f>
        <v>MDP0000129664</v>
      </c>
      <c r="D2642">
        <v>81.69</v>
      </c>
      <c r="E2642">
        <v>459</v>
      </c>
      <c r="F2642">
        <v>84</v>
      </c>
      <c r="G2642">
        <v>1</v>
      </c>
      <c r="H2642">
        <v>223</v>
      </c>
      <c r="I2642">
        <v>680</v>
      </c>
      <c r="J2642">
        <v>1</v>
      </c>
      <c r="K2642">
        <v>1</v>
      </c>
      <c r="L2642">
        <v>459</v>
      </c>
      <c r="M2642">
        <v>1</v>
      </c>
      <c r="N2642">
        <v>0</v>
      </c>
      <c r="O2642">
        <v>1938</v>
      </c>
    </row>
    <row r="2643" spans="1:15" x14ac:dyDescent="0.25">
      <c r="A2643" t="s">
        <v>2656</v>
      </c>
      <c r="B2643">
        <v>478</v>
      </c>
      <c r="C2643" s="1" t="str">
        <f>HYPERLINK("http://www.rosaceae.org/gb/gbrowse/malus_x_domestica/?name=MDP0000326412","MDP0000326412")</f>
        <v>MDP0000326412</v>
      </c>
      <c r="D2643">
        <v>76.599999999999994</v>
      </c>
      <c r="E2643">
        <v>466</v>
      </c>
      <c r="F2643">
        <v>109</v>
      </c>
      <c r="G2643">
        <v>13</v>
      </c>
      <c r="H2643">
        <v>1</v>
      </c>
      <c r="I2643">
        <v>459</v>
      </c>
      <c r="J2643">
        <v>1</v>
      </c>
      <c r="K2643">
        <v>1</v>
      </c>
      <c r="L2643">
        <v>460</v>
      </c>
      <c r="M2643">
        <v>1</v>
      </c>
      <c r="N2643">
        <v>0</v>
      </c>
      <c r="O2643">
        <v>1856</v>
      </c>
    </row>
    <row r="2644" spans="1:15" x14ac:dyDescent="0.25">
      <c r="A2644" t="s">
        <v>2657</v>
      </c>
      <c r="B2644">
        <v>161</v>
      </c>
      <c r="C2644" s="1" t="str">
        <f>HYPERLINK("http://www.rosaceae.org/gb/gbrowse/malus_x_domestica/?name=MDP0000394762","MDP0000394762")</f>
        <v>MDP0000394762</v>
      </c>
      <c r="D2644">
        <v>82.26</v>
      </c>
      <c r="E2644">
        <v>141</v>
      </c>
      <c r="F2644">
        <v>25</v>
      </c>
      <c r="G2644">
        <v>0</v>
      </c>
      <c r="H2644">
        <v>19</v>
      </c>
      <c r="I2644">
        <v>159</v>
      </c>
      <c r="J2644">
        <v>1</v>
      </c>
      <c r="K2644">
        <v>182</v>
      </c>
      <c r="L2644">
        <v>322</v>
      </c>
      <c r="M2644">
        <v>1</v>
      </c>
      <c r="N2644">
        <v>1.01381E-68</v>
      </c>
      <c r="O2644">
        <v>653</v>
      </c>
    </row>
    <row r="2645" spans="1:15" x14ac:dyDescent="0.25">
      <c r="A2645" t="s">
        <v>2658</v>
      </c>
      <c r="B2645">
        <v>684</v>
      </c>
      <c r="C2645" s="1" t="str">
        <f>HYPERLINK("http://www.rosaceae.org/gb/gbrowse/malus_x_domestica/?name=MDP0000722300","MDP0000722300")</f>
        <v>MDP0000722300</v>
      </c>
      <c r="D2645">
        <v>65.319999999999993</v>
      </c>
      <c r="E2645">
        <v>597</v>
      </c>
      <c r="F2645">
        <v>207</v>
      </c>
      <c r="G2645">
        <v>36</v>
      </c>
      <c r="H2645">
        <v>1</v>
      </c>
      <c r="I2645">
        <v>564</v>
      </c>
      <c r="J2645">
        <v>1</v>
      </c>
      <c r="K2645">
        <v>1</v>
      </c>
      <c r="L2645">
        <v>594</v>
      </c>
      <c r="M2645">
        <v>1</v>
      </c>
      <c r="N2645">
        <v>0</v>
      </c>
      <c r="O2645">
        <v>1881</v>
      </c>
    </row>
    <row r="2646" spans="1:15" x14ac:dyDescent="0.25">
      <c r="A2646" t="s">
        <v>2659</v>
      </c>
      <c r="B2646">
        <v>456</v>
      </c>
      <c r="C2646" s="1" t="str">
        <f>HYPERLINK("http://www.rosaceae.org/gb/gbrowse/malus_x_domestica/?name=MDP0000250455","MDP0000250455")</f>
        <v>MDP0000250455</v>
      </c>
      <c r="D2646">
        <v>37.799999999999997</v>
      </c>
      <c r="E2646">
        <v>410</v>
      </c>
      <c r="F2646">
        <v>255</v>
      </c>
      <c r="G2646">
        <v>42</v>
      </c>
      <c r="H2646">
        <v>11</v>
      </c>
      <c r="I2646">
        <v>408</v>
      </c>
      <c r="J2646">
        <v>1</v>
      </c>
      <c r="K2646">
        <v>491</v>
      </c>
      <c r="L2646">
        <v>870</v>
      </c>
      <c r="M2646">
        <v>1</v>
      </c>
      <c r="N2646">
        <v>1.6008900000000001E-55</v>
      </c>
      <c r="O2646">
        <v>545</v>
      </c>
    </row>
    <row r="2647" spans="1:15" x14ac:dyDescent="0.25">
      <c r="A2647" t="s">
        <v>2660</v>
      </c>
      <c r="B2647">
        <v>355</v>
      </c>
      <c r="C2647" s="1" t="str">
        <f>HYPERLINK("http://www.rosaceae.org/gb/gbrowse/malus_x_domestica/?name=MDP0000245846","MDP0000245846")</f>
        <v>MDP0000245846</v>
      </c>
      <c r="D2647">
        <v>27.67</v>
      </c>
      <c r="E2647">
        <v>271</v>
      </c>
      <c r="F2647">
        <v>196</v>
      </c>
      <c r="G2647">
        <v>42</v>
      </c>
      <c r="H2647">
        <v>78</v>
      </c>
      <c r="I2647">
        <v>332</v>
      </c>
      <c r="J2647">
        <v>1</v>
      </c>
      <c r="K2647">
        <v>79</v>
      </c>
      <c r="L2647">
        <v>323</v>
      </c>
      <c r="M2647">
        <v>1</v>
      </c>
      <c r="N2647">
        <v>2.3955599999999998E-15</v>
      </c>
      <c r="O2647">
        <v>197</v>
      </c>
    </row>
    <row r="2648" spans="1:15" x14ac:dyDescent="0.25">
      <c r="A2648" t="s">
        <v>2661</v>
      </c>
      <c r="B2648">
        <v>219</v>
      </c>
      <c r="C2648" s="1" t="str">
        <f>HYPERLINK("http://www.rosaceae.org/gb/gbrowse/malus_x_domestica/?name=MDP0000949790","MDP0000949790")</f>
        <v>MDP0000949790</v>
      </c>
      <c r="D2648">
        <v>75.34</v>
      </c>
      <c r="E2648">
        <v>219</v>
      </c>
      <c r="F2648">
        <v>54</v>
      </c>
      <c r="G2648">
        <v>3</v>
      </c>
      <c r="H2648">
        <v>1</v>
      </c>
      <c r="I2648">
        <v>219</v>
      </c>
      <c r="J2648">
        <v>1</v>
      </c>
      <c r="K2648">
        <v>1</v>
      </c>
      <c r="L2648">
        <v>216</v>
      </c>
      <c r="M2648">
        <v>1</v>
      </c>
      <c r="N2648">
        <v>1.4159699999999999E-93</v>
      </c>
      <c r="O2648">
        <v>869</v>
      </c>
    </row>
    <row r="2649" spans="1:15" x14ac:dyDescent="0.25">
      <c r="A2649" t="s">
        <v>2662</v>
      </c>
      <c r="B2649">
        <v>158</v>
      </c>
      <c r="C2649" s="1" t="str">
        <f>HYPERLINK("http://www.rosaceae.org/gb/gbrowse/malus_x_domestica/?name=MDP0000271346","MDP0000271346")</f>
        <v>MDP0000271346</v>
      </c>
      <c r="D2649">
        <v>68.08</v>
      </c>
      <c r="E2649">
        <v>47</v>
      </c>
      <c r="F2649">
        <v>15</v>
      </c>
      <c r="G2649">
        <v>0</v>
      </c>
      <c r="H2649">
        <v>3</v>
      </c>
      <c r="I2649">
        <v>49</v>
      </c>
      <c r="J2649">
        <v>1</v>
      </c>
      <c r="K2649">
        <v>146</v>
      </c>
      <c r="L2649">
        <v>192</v>
      </c>
      <c r="M2649">
        <v>1</v>
      </c>
      <c r="N2649">
        <v>2.8625800000000001E-11</v>
      </c>
      <c r="O2649">
        <v>157</v>
      </c>
    </row>
    <row r="2650" spans="1:15" x14ac:dyDescent="0.25">
      <c r="A2650" t="s">
        <v>2663</v>
      </c>
      <c r="B2650">
        <v>801</v>
      </c>
      <c r="C2650" s="1" t="str">
        <f>HYPERLINK("http://www.rosaceae.org/gb/gbrowse/malus_x_domestica/?name=MDP0000691953","MDP0000691953")</f>
        <v>MDP0000691953</v>
      </c>
      <c r="D2650">
        <v>54.36</v>
      </c>
      <c r="E2650">
        <v>699</v>
      </c>
      <c r="F2650">
        <v>319</v>
      </c>
      <c r="G2650">
        <v>18</v>
      </c>
      <c r="H2650">
        <v>115</v>
      </c>
      <c r="I2650">
        <v>799</v>
      </c>
      <c r="J2650">
        <v>1</v>
      </c>
      <c r="K2650">
        <v>275</v>
      </c>
      <c r="L2650">
        <v>969</v>
      </c>
      <c r="M2650">
        <v>1</v>
      </c>
      <c r="N2650">
        <v>0</v>
      </c>
      <c r="O2650">
        <v>1631</v>
      </c>
    </row>
    <row r="2651" spans="1:15" x14ac:dyDescent="0.25">
      <c r="A2651" t="s">
        <v>2664</v>
      </c>
      <c r="B2651">
        <v>137</v>
      </c>
      <c r="C2651" s="1" t="str">
        <f>HYPERLINK("http://www.rosaceae.org/gb/gbrowse/malus_x_domestica/?name=MDP0000299726","MDP0000299726")</f>
        <v>MDP0000299726</v>
      </c>
      <c r="D2651">
        <v>42.22</v>
      </c>
      <c r="E2651">
        <v>135</v>
      </c>
      <c r="F2651">
        <v>78</v>
      </c>
      <c r="G2651">
        <v>5</v>
      </c>
      <c r="H2651">
        <v>2</v>
      </c>
      <c r="I2651">
        <v>133</v>
      </c>
      <c r="J2651">
        <v>1</v>
      </c>
      <c r="K2651">
        <v>485</v>
      </c>
      <c r="L2651">
        <v>617</v>
      </c>
      <c r="M2651">
        <v>1</v>
      </c>
      <c r="N2651">
        <v>2.71329E-22</v>
      </c>
      <c r="O2651">
        <v>251</v>
      </c>
    </row>
    <row r="2652" spans="1:15" x14ac:dyDescent="0.25">
      <c r="A2652" t="s">
        <v>2665</v>
      </c>
      <c r="B2652">
        <v>586</v>
      </c>
      <c r="C2652" s="1" t="str">
        <f>HYPERLINK("http://www.rosaceae.org/gb/gbrowse/malus_x_domestica/?name=MDP0000232876","MDP0000232876")</f>
        <v>MDP0000232876</v>
      </c>
      <c r="D2652">
        <v>81.099999999999994</v>
      </c>
      <c r="E2652">
        <v>381</v>
      </c>
      <c r="F2652">
        <v>72</v>
      </c>
      <c r="G2652">
        <v>1</v>
      </c>
      <c r="H2652">
        <v>16</v>
      </c>
      <c r="I2652">
        <v>396</v>
      </c>
      <c r="J2652">
        <v>1</v>
      </c>
      <c r="K2652">
        <v>18</v>
      </c>
      <c r="L2652">
        <v>397</v>
      </c>
      <c r="M2652">
        <v>1</v>
      </c>
      <c r="N2652">
        <v>6.1995099999999999E-178</v>
      </c>
      <c r="O2652">
        <v>1602</v>
      </c>
    </row>
    <row r="2653" spans="1:15" x14ac:dyDescent="0.25">
      <c r="A2653" t="s">
        <v>2666</v>
      </c>
      <c r="B2653">
        <v>282</v>
      </c>
      <c r="C2653" s="1" t="str">
        <f>HYPERLINK("http://www.rosaceae.org/gb/gbrowse/malus_x_domestica/?name=MDP0000256723","MDP0000256723")</f>
        <v>MDP0000256723</v>
      </c>
      <c r="D2653">
        <v>22.75</v>
      </c>
      <c r="E2653">
        <v>312</v>
      </c>
      <c r="F2653">
        <v>241</v>
      </c>
      <c r="G2653">
        <v>51</v>
      </c>
      <c r="H2653">
        <v>4</v>
      </c>
      <c r="I2653">
        <v>271</v>
      </c>
      <c r="J2653">
        <v>1</v>
      </c>
      <c r="K2653">
        <v>320</v>
      </c>
      <c r="L2653">
        <v>624</v>
      </c>
      <c r="M2653">
        <v>1</v>
      </c>
      <c r="N2653">
        <v>1.28162E-13</v>
      </c>
      <c r="O2653">
        <v>181</v>
      </c>
    </row>
    <row r="2654" spans="1:15" x14ac:dyDescent="0.25">
      <c r="A2654" t="s">
        <v>2667</v>
      </c>
      <c r="B2654">
        <v>501</v>
      </c>
      <c r="C2654" s="1" t="str">
        <f>HYPERLINK("http://www.rosaceae.org/gb/gbrowse/malus_x_domestica/?name=MDP0000320156","MDP0000320156")</f>
        <v>MDP0000320156</v>
      </c>
      <c r="D2654">
        <v>45.85</v>
      </c>
      <c r="E2654">
        <v>495</v>
      </c>
      <c r="F2654">
        <v>268</v>
      </c>
      <c r="G2654">
        <v>161</v>
      </c>
      <c r="H2654">
        <v>3</v>
      </c>
      <c r="I2654">
        <v>441</v>
      </c>
      <c r="J2654">
        <v>1</v>
      </c>
      <c r="K2654">
        <v>2</v>
      </c>
      <c r="L2654">
        <v>391</v>
      </c>
      <c r="M2654">
        <v>1</v>
      </c>
      <c r="N2654">
        <v>1.75997E-96</v>
      </c>
      <c r="O2654">
        <v>899</v>
      </c>
    </row>
    <row r="2655" spans="1:15" x14ac:dyDescent="0.25">
      <c r="A2655" t="s">
        <v>2668</v>
      </c>
      <c r="B2655">
        <v>478</v>
      </c>
      <c r="C2655" s="1" t="str">
        <f>HYPERLINK("http://www.rosaceae.org/gb/gbrowse/malus_x_domestica/?name=MDP0000660991","MDP0000660991")</f>
        <v>MDP0000660991</v>
      </c>
      <c r="D2655">
        <v>75.87</v>
      </c>
      <c r="E2655">
        <v>344</v>
      </c>
      <c r="F2655">
        <v>83</v>
      </c>
      <c r="G2655">
        <v>0</v>
      </c>
      <c r="H2655">
        <v>1</v>
      </c>
      <c r="I2655">
        <v>344</v>
      </c>
      <c r="J2655">
        <v>1</v>
      </c>
      <c r="K2655">
        <v>1</v>
      </c>
      <c r="L2655">
        <v>344</v>
      </c>
      <c r="M2655">
        <v>1</v>
      </c>
      <c r="N2655">
        <v>1.47092E-155</v>
      </c>
      <c r="O2655">
        <v>1408</v>
      </c>
    </row>
    <row r="2656" spans="1:15" x14ac:dyDescent="0.25">
      <c r="A2656" t="s">
        <v>2669</v>
      </c>
      <c r="B2656">
        <v>927</v>
      </c>
      <c r="C2656" s="1" t="str">
        <f>HYPERLINK("http://www.rosaceae.org/gb/gbrowse/malus_x_domestica/?name=MDP0000302216","MDP0000302216")</f>
        <v>MDP0000302216</v>
      </c>
      <c r="D2656">
        <v>79.84</v>
      </c>
      <c r="E2656">
        <v>928</v>
      </c>
      <c r="F2656">
        <v>187</v>
      </c>
      <c r="G2656">
        <v>9</v>
      </c>
      <c r="H2656">
        <v>1</v>
      </c>
      <c r="I2656">
        <v>923</v>
      </c>
      <c r="J2656">
        <v>1</v>
      </c>
      <c r="K2656">
        <v>1</v>
      </c>
      <c r="L2656">
        <v>924</v>
      </c>
      <c r="M2656">
        <v>1</v>
      </c>
      <c r="N2656">
        <v>0</v>
      </c>
      <c r="O2656">
        <v>3890</v>
      </c>
    </row>
    <row r="2657" spans="1:15" x14ac:dyDescent="0.25">
      <c r="A2657" t="s">
        <v>2670</v>
      </c>
      <c r="B2657">
        <v>423</v>
      </c>
      <c r="C2657" s="1" t="str">
        <f>HYPERLINK("http://www.rosaceae.org/gb/gbrowse/malus_x_domestica/?name=MDP0000851291","MDP0000851291")</f>
        <v>MDP0000851291</v>
      </c>
      <c r="D2657">
        <v>86.03</v>
      </c>
      <c r="E2657">
        <v>179</v>
      </c>
      <c r="F2657">
        <v>25</v>
      </c>
      <c r="G2657">
        <v>0</v>
      </c>
      <c r="H2657">
        <v>114</v>
      </c>
      <c r="I2657">
        <v>292</v>
      </c>
      <c r="J2657">
        <v>1</v>
      </c>
      <c r="K2657">
        <v>5</v>
      </c>
      <c r="L2657">
        <v>183</v>
      </c>
      <c r="M2657">
        <v>1</v>
      </c>
      <c r="N2657">
        <v>8.8976100000000005E-94</v>
      </c>
      <c r="O2657">
        <v>874</v>
      </c>
    </row>
    <row r="2658" spans="1:15" x14ac:dyDescent="0.25">
      <c r="A2658" t="s">
        <v>2671</v>
      </c>
      <c r="B2658">
        <v>420</v>
      </c>
      <c r="C2658" s="1" t="str">
        <f>HYPERLINK("http://www.rosaceae.org/gb/gbrowse/malus_x_domestica/?name=MDP0000914975","MDP0000914975")</f>
        <v>MDP0000914975</v>
      </c>
      <c r="D2658">
        <v>49.34</v>
      </c>
      <c r="E2658">
        <v>383</v>
      </c>
      <c r="F2658">
        <v>194</v>
      </c>
      <c r="G2658">
        <v>21</v>
      </c>
      <c r="H2658">
        <v>40</v>
      </c>
      <c r="I2658">
        <v>419</v>
      </c>
      <c r="J2658">
        <v>1</v>
      </c>
      <c r="K2658">
        <v>55</v>
      </c>
      <c r="L2658">
        <v>419</v>
      </c>
      <c r="M2658">
        <v>1</v>
      </c>
      <c r="N2658">
        <v>1.1395200000000001E-99</v>
      </c>
      <c r="O2658">
        <v>925</v>
      </c>
    </row>
    <row r="2659" spans="1:15" x14ac:dyDescent="0.25">
      <c r="A2659" t="s">
        <v>2672</v>
      </c>
      <c r="B2659">
        <v>479</v>
      </c>
      <c r="C2659" s="1" t="str">
        <f>HYPERLINK("http://www.rosaceae.org/gb/gbrowse/malus_x_domestica/?name=MDP0000150877","MDP0000150877")</f>
        <v>MDP0000150877</v>
      </c>
      <c r="D2659">
        <v>57.17</v>
      </c>
      <c r="E2659">
        <v>460</v>
      </c>
      <c r="F2659">
        <v>197</v>
      </c>
      <c r="G2659">
        <v>51</v>
      </c>
      <c r="H2659">
        <v>47</v>
      </c>
      <c r="I2659">
        <v>479</v>
      </c>
      <c r="J2659">
        <v>1</v>
      </c>
      <c r="K2659">
        <v>37</v>
      </c>
      <c r="L2659">
        <v>472</v>
      </c>
      <c r="M2659">
        <v>1</v>
      </c>
      <c r="N2659">
        <v>4.6904400000000001E-136</v>
      </c>
      <c r="O2659">
        <v>1240</v>
      </c>
    </row>
    <row r="2660" spans="1:15" x14ac:dyDescent="0.25">
      <c r="A2660" t="s">
        <v>2673</v>
      </c>
      <c r="B2660">
        <v>414</v>
      </c>
      <c r="C2660" s="1" t="str">
        <f>HYPERLINK("http://www.rosaceae.org/gb/gbrowse/malus_x_domestica/?name=MDP0000247149","MDP0000247149")</f>
        <v>MDP0000247149</v>
      </c>
      <c r="D2660">
        <v>76.22</v>
      </c>
      <c r="E2660">
        <v>387</v>
      </c>
      <c r="F2660">
        <v>92</v>
      </c>
      <c r="G2660">
        <v>52</v>
      </c>
      <c r="H2660">
        <v>80</v>
      </c>
      <c r="I2660">
        <v>414</v>
      </c>
      <c r="J2660">
        <v>1</v>
      </c>
      <c r="K2660">
        <v>33</v>
      </c>
      <c r="L2660">
        <v>419</v>
      </c>
      <c r="M2660">
        <v>1</v>
      </c>
      <c r="N2660">
        <v>1.28494E-165</v>
      </c>
      <c r="O2660">
        <v>1494</v>
      </c>
    </row>
    <row r="2661" spans="1:15" x14ac:dyDescent="0.25">
      <c r="A2661" t="s">
        <v>2674</v>
      </c>
      <c r="B2661">
        <v>681</v>
      </c>
      <c r="C2661" s="1" t="str">
        <f>HYPERLINK("http://www.rosaceae.org/gb/gbrowse/malus_x_domestica/?name=MDP0000721019","MDP0000721019")</f>
        <v>MDP0000721019</v>
      </c>
      <c r="D2661">
        <v>51.69</v>
      </c>
      <c r="E2661">
        <v>501</v>
      </c>
      <c r="F2661">
        <v>242</v>
      </c>
      <c r="G2661">
        <v>39</v>
      </c>
      <c r="H2661">
        <v>53</v>
      </c>
      <c r="I2661">
        <v>518</v>
      </c>
      <c r="J2661">
        <v>1</v>
      </c>
      <c r="K2661">
        <v>98</v>
      </c>
      <c r="L2661">
        <v>594</v>
      </c>
      <c r="M2661">
        <v>1</v>
      </c>
      <c r="N2661">
        <v>1.9479199999999998E-145</v>
      </c>
      <c r="O2661">
        <v>1322</v>
      </c>
    </row>
    <row r="2662" spans="1:15" x14ac:dyDescent="0.25">
      <c r="A2662" t="s">
        <v>2675</v>
      </c>
      <c r="B2662">
        <v>459</v>
      </c>
      <c r="C2662" s="1" t="str">
        <f>HYPERLINK("http://www.rosaceae.org/gb/gbrowse/malus_x_domestica/?name=MDP0000235299","MDP0000235299")</f>
        <v>MDP0000235299</v>
      </c>
      <c r="D2662">
        <v>64.61</v>
      </c>
      <c r="E2662">
        <v>342</v>
      </c>
      <c r="F2662">
        <v>121</v>
      </c>
      <c r="G2662">
        <v>10</v>
      </c>
      <c r="H2662">
        <v>121</v>
      </c>
      <c r="I2662">
        <v>459</v>
      </c>
      <c r="J2662">
        <v>1</v>
      </c>
      <c r="K2662">
        <v>18</v>
      </c>
      <c r="L2662">
        <v>352</v>
      </c>
      <c r="M2662">
        <v>1</v>
      </c>
      <c r="N2662">
        <v>3.8914899999999998E-129</v>
      </c>
      <c r="O2662">
        <v>1180</v>
      </c>
    </row>
    <row r="2663" spans="1:15" x14ac:dyDescent="0.25">
      <c r="A2663" t="s">
        <v>2676</v>
      </c>
      <c r="B2663">
        <v>1062</v>
      </c>
      <c r="C2663" s="1" t="str">
        <f>HYPERLINK("http://www.rosaceae.org/gb/gbrowse/malus_x_domestica/?name=MDP0000450710","MDP0000450710")</f>
        <v>MDP0000450710</v>
      </c>
      <c r="D2663">
        <v>80.67</v>
      </c>
      <c r="E2663">
        <v>740</v>
      </c>
      <c r="F2663">
        <v>143</v>
      </c>
      <c r="G2663">
        <v>3</v>
      </c>
      <c r="H2663">
        <v>27</v>
      </c>
      <c r="I2663">
        <v>766</v>
      </c>
      <c r="J2663">
        <v>1</v>
      </c>
      <c r="K2663">
        <v>37</v>
      </c>
      <c r="L2663">
        <v>773</v>
      </c>
      <c r="M2663">
        <v>1</v>
      </c>
      <c r="N2663">
        <v>0</v>
      </c>
      <c r="O2663">
        <v>3164</v>
      </c>
    </row>
    <row r="2664" spans="1:15" x14ac:dyDescent="0.25">
      <c r="A2664" t="s">
        <v>2677</v>
      </c>
      <c r="B2664">
        <v>310</v>
      </c>
      <c r="C2664" s="1" t="str">
        <f>HYPERLINK("http://www.rosaceae.org/gb/gbrowse/malus_x_domestica/?name=MDP0000362615","MDP0000362615")</f>
        <v>MDP0000362615</v>
      </c>
      <c r="D2664">
        <v>59.8</v>
      </c>
      <c r="E2664">
        <v>311</v>
      </c>
      <c r="F2664">
        <v>125</v>
      </c>
      <c r="G2664">
        <v>17</v>
      </c>
      <c r="H2664">
        <v>2</v>
      </c>
      <c r="I2664">
        <v>310</v>
      </c>
      <c r="J2664">
        <v>1</v>
      </c>
      <c r="K2664">
        <v>4</v>
      </c>
      <c r="L2664">
        <v>299</v>
      </c>
      <c r="M2664">
        <v>1</v>
      </c>
      <c r="N2664">
        <v>1.19311E-96</v>
      </c>
      <c r="O2664">
        <v>898</v>
      </c>
    </row>
    <row r="2665" spans="1:15" x14ac:dyDescent="0.25">
      <c r="A2665" t="s">
        <v>2678</v>
      </c>
      <c r="B2665">
        <v>130</v>
      </c>
      <c r="C2665" s="1" t="str">
        <f>HYPERLINK("http://www.rosaceae.org/gb/gbrowse/malus_x_domestica/?name=MDP0000803726","MDP0000803726")</f>
        <v>MDP0000803726</v>
      </c>
      <c r="D2665">
        <v>65.900000000000006</v>
      </c>
      <c r="E2665">
        <v>88</v>
      </c>
      <c r="F2665">
        <v>30</v>
      </c>
      <c r="G2665">
        <v>16</v>
      </c>
      <c r="H2665">
        <v>57</v>
      </c>
      <c r="I2665">
        <v>129</v>
      </c>
      <c r="J2665">
        <v>1</v>
      </c>
      <c r="K2665">
        <v>203</v>
      </c>
      <c r="L2665">
        <v>289</v>
      </c>
      <c r="M2665">
        <v>1</v>
      </c>
      <c r="N2665">
        <v>1.4913999999999999E-22</v>
      </c>
      <c r="O2665">
        <v>253</v>
      </c>
    </row>
    <row r="2666" spans="1:15" x14ac:dyDescent="0.25">
      <c r="A2666" t="s">
        <v>2679</v>
      </c>
      <c r="B2666">
        <v>624</v>
      </c>
      <c r="C2666" s="1" t="str">
        <f>HYPERLINK("http://www.rosaceae.org/gb/gbrowse/malus_x_domestica/?name=MDP0000247921","MDP0000247921")</f>
        <v>MDP0000247921</v>
      </c>
      <c r="D2666">
        <v>23.07</v>
      </c>
      <c r="E2666">
        <v>351</v>
      </c>
      <c r="F2666">
        <v>270</v>
      </c>
      <c r="G2666">
        <v>51</v>
      </c>
      <c r="H2666">
        <v>303</v>
      </c>
      <c r="I2666">
        <v>603</v>
      </c>
      <c r="J2666">
        <v>1</v>
      </c>
      <c r="K2666">
        <v>783</v>
      </c>
      <c r="L2666">
        <v>1132</v>
      </c>
      <c r="M2666">
        <v>1</v>
      </c>
      <c r="N2666">
        <v>1.9280900000000001E-19</v>
      </c>
      <c r="O2666">
        <v>235</v>
      </c>
    </row>
    <row r="2667" spans="1:15" x14ac:dyDescent="0.25">
      <c r="A2667" t="s">
        <v>2680</v>
      </c>
      <c r="B2667">
        <v>852</v>
      </c>
      <c r="C2667" s="1" t="str">
        <f>HYPERLINK("http://www.rosaceae.org/gb/gbrowse/malus_x_domestica/?name=MDP0000153003","MDP0000153003")</f>
        <v>MDP0000153003</v>
      </c>
      <c r="D2667">
        <v>50.94</v>
      </c>
      <c r="E2667">
        <v>477</v>
      </c>
      <c r="F2667">
        <v>234</v>
      </c>
      <c r="G2667">
        <v>66</v>
      </c>
      <c r="H2667">
        <v>287</v>
      </c>
      <c r="I2667">
        <v>700</v>
      </c>
      <c r="J2667">
        <v>1</v>
      </c>
      <c r="K2667">
        <v>6</v>
      </c>
      <c r="L2667">
        <v>479</v>
      </c>
      <c r="M2667">
        <v>1</v>
      </c>
      <c r="N2667">
        <v>1.55307E-125</v>
      </c>
      <c r="O2667">
        <v>1151</v>
      </c>
    </row>
    <row r="2668" spans="1:15" x14ac:dyDescent="0.25">
      <c r="A2668" t="s">
        <v>2681</v>
      </c>
      <c r="B2668">
        <v>579</v>
      </c>
      <c r="C2668" s="1" t="str">
        <f>HYPERLINK("http://www.rosaceae.org/gb/gbrowse/malus_x_domestica/?name=MDP0000313601","MDP0000313601")</f>
        <v>MDP0000313601</v>
      </c>
      <c r="D2668">
        <v>62.07</v>
      </c>
      <c r="E2668">
        <v>385</v>
      </c>
      <c r="F2668">
        <v>146</v>
      </c>
      <c r="G2668">
        <v>9</v>
      </c>
      <c r="H2668">
        <v>89</v>
      </c>
      <c r="I2668">
        <v>473</v>
      </c>
      <c r="J2668">
        <v>1</v>
      </c>
      <c r="K2668">
        <v>195</v>
      </c>
      <c r="L2668">
        <v>570</v>
      </c>
      <c r="M2668">
        <v>1</v>
      </c>
      <c r="N2668">
        <v>2.0425E-129</v>
      </c>
      <c r="O2668">
        <v>1183</v>
      </c>
    </row>
    <row r="2669" spans="1:15" x14ac:dyDescent="0.25">
      <c r="A2669" t="s">
        <v>2682</v>
      </c>
      <c r="B2669">
        <v>346</v>
      </c>
      <c r="C2669" s="1" t="str">
        <f>HYPERLINK("http://www.rosaceae.org/gb/gbrowse/malus_x_domestica/?name=MDP0000211134","MDP0000211134")</f>
        <v>MDP0000211134</v>
      </c>
      <c r="D2669">
        <v>40.17</v>
      </c>
      <c r="E2669">
        <v>346</v>
      </c>
      <c r="F2669">
        <v>207</v>
      </c>
      <c r="G2669">
        <v>32</v>
      </c>
      <c r="H2669">
        <v>10</v>
      </c>
      <c r="I2669">
        <v>344</v>
      </c>
      <c r="J2669">
        <v>1</v>
      </c>
      <c r="K2669">
        <v>47</v>
      </c>
      <c r="L2669">
        <v>371</v>
      </c>
      <c r="M2669">
        <v>1</v>
      </c>
      <c r="N2669">
        <v>9.6522799999999998E-59</v>
      </c>
      <c r="O2669">
        <v>571</v>
      </c>
    </row>
    <row r="2670" spans="1:15" x14ac:dyDescent="0.25">
      <c r="A2670" t="s">
        <v>2683</v>
      </c>
      <c r="B2670">
        <v>197</v>
      </c>
      <c r="C2670" s="1" t="str">
        <f>HYPERLINK("http://www.rosaceae.org/gb/gbrowse/malus_x_domestica/?name=MDP0000259683","MDP0000259683")</f>
        <v>MDP0000259683</v>
      </c>
      <c r="D2670">
        <v>80.739999999999995</v>
      </c>
      <c r="E2670">
        <v>161</v>
      </c>
      <c r="F2670">
        <v>31</v>
      </c>
      <c r="G2670">
        <v>3</v>
      </c>
      <c r="H2670">
        <v>37</v>
      </c>
      <c r="I2670">
        <v>197</v>
      </c>
      <c r="J2670">
        <v>1</v>
      </c>
      <c r="K2670">
        <v>442</v>
      </c>
      <c r="L2670">
        <v>599</v>
      </c>
      <c r="M2670">
        <v>1</v>
      </c>
      <c r="N2670">
        <v>2.39883E-70</v>
      </c>
      <c r="O2670">
        <v>668</v>
      </c>
    </row>
    <row r="2671" spans="1:15" x14ac:dyDescent="0.25">
      <c r="A2671" t="s">
        <v>2684</v>
      </c>
      <c r="B2671">
        <v>113</v>
      </c>
      <c r="C2671" s="1" t="str">
        <f>HYPERLINK("http://www.rosaceae.org/gb/gbrowse/malus_x_domestica/?name=MDP0000162566","MDP0000162566")</f>
        <v>MDP0000162566</v>
      </c>
      <c r="D2671">
        <v>63.46</v>
      </c>
      <c r="E2671">
        <v>52</v>
      </c>
      <c r="F2671">
        <v>19</v>
      </c>
      <c r="G2671">
        <v>0</v>
      </c>
      <c r="H2671">
        <v>41</v>
      </c>
      <c r="I2671">
        <v>92</v>
      </c>
      <c r="J2671">
        <v>1</v>
      </c>
      <c r="K2671">
        <v>322</v>
      </c>
      <c r="L2671">
        <v>373</v>
      </c>
      <c r="M2671">
        <v>1</v>
      </c>
      <c r="N2671">
        <v>3.8220600000000001E-13</v>
      </c>
      <c r="O2671">
        <v>171</v>
      </c>
    </row>
    <row r="2672" spans="1:15" x14ac:dyDescent="0.25">
      <c r="A2672" t="s">
        <v>2685</v>
      </c>
      <c r="B2672">
        <v>358</v>
      </c>
      <c r="C2672" s="1" t="str">
        <f>HYPERLINK("http://www.rosaceae.org/gb/gbrowse/malus_x_domestica/?name=MDP0000147526","MDP0000147526")</f>
        <v>MDP0000147526</v>
      </c>
      <c r="D2672">
        <v>41.88</v>
      </c>
      <c r="E2672">
        <v>382</v>
      </c>
      <c r="F2672">
        <v>222</v>
      </c>
      <c r="G2672">
        <v>48</v>
      </c>
      <c r="H2672">
        <v>10</v>
      </c>
      <c r="I2672">
        <v>355</v>
      </c>
      <c r="J2672">
        <v>1</v>
      </c>
      <c r="K2672">
        <v>4</v>
      </c>
      <c r="L2672">
        <v>373</v>
      </c>
      <c r="M2672">
        <v>1</v>
      </c>
      <c r="N2672">
        <v>5.9243299999999995E-70</v>
      </c>
      <c r="O2672">
        <v>668</v>
      </c>
    </row>
    <row r="2673" spans="1:15" x14ac:dyDescent="0.25">
      <c r="A2673" t="s">
        <v>2686</v>
      </c>
      <c r="B2673">
        <v>93</v>
      </c>
      <c r="C2673" s="1" t="str">
        <f>HYPERLINK("http://www.rosaceae.org/gb/gbrowse/malus_x_domestica/?name=MDP0000534782","MDP0000534782")</f>
        <v>MDP0000534782</v>
      </c>
      <c r="D2673">
        <v>77.17</v>
      </c>
      <c r="E2673">
        <v>92</v>
      </c>
      <c r="F2673">
        <v>21</v>
      </c>
      <c r="G2673">
        <v>0</v>
      </c>
      <c r="H2673">
        <v>1</v>
      </c>
      <c r="I2673">
        <v>92</v>
      </c>
      <c r="J2673">
        <v>1</v>
      </c>
      <c r="K2673">
        <v>1</v>
      </c>
      <c r="L2673">
        <v>92</v>
      </c>
      <c r="M2673">
        <v>1</v>
      </c>
      <c r="N2673">
        <v>5.7323400000000002E-38</v>
      </c>
      <c r="O2673">
        <v>385</v>
      </c>
    </row>
    <row r="2674" spans="1:15" x14ac:dyDescent="0.25">
      <c r="A2674" t="s">
        <v>2687</v>
      </c>
      <c r="B2674">
        <v>111</v>
      </c>
      <c r="C2674" s="1" t="str">
        <f>HYPERLINK("http://www.rosaceae.org/gb/gbrowse/malus_x_domestica/?name=MDP0000135063","MDP0000135063")</f>
        <v>MDP0000135063</v>
      </c>
      <c r="D2674">
        <v>55.88</v>
      </c>
      <c r="E2674">
        <v>102</v>
      </c>
      <c r="F2674">
        <v>45</v>
      </c>
      <c r="G2674">
        <v>7</v>
      </c>
      <c r="H2674">
        <v>5</v>
      </c>
      <c r="I2674">
        <v>100</v>
      </c>
      <c r="J2674">
        <v>1</v>
      </c>
      <c r="K2674">
        <v>32</v>
      </c>
      <c r="L2674">
        <v>132</v>
      </c>
      <c r="M2674">
        <v>1</v>
      </c>
      <c r="N2674">
        <v>2.2913799999999999E-17</v>
      </c>
      <c r="O2674">
        <v>207</v>
      </c>
    </row>
    <row r="2675" spans="1:15" x14ac:dyDescent="0.25">
      <c r="A2675" t="s">
        <v>2688</v>
      </c>
      <c r="B2675">
        <v>251</v>
      </c>
      <c r="C2675" s="1" t="str">
        <f>HYPERLINK("http://www.rosaceae.org/gb/gbrowse/malus_x_domestica/?name=MDP0000126808","MDP0000126808")</f>
        <v>MDP0000126808</v>
      </c>
      <c r="D2675">
        <v>71.36</v>
      </c>
      <c r="E2675">
        <v>234</v>
      </c>
      <c r="F2675">
        <v>67</v>
      </c>
      <c r="G2675">
        <v>0</v>
      </c>
      <c r="H2675">
        <v>18</v>
      </c>
      <c r="I2675">
        <v>251</v>
      </c>
      <c r="J2675">
        <v>1</v>
      </c>
      <c r="K2675">
        <v>17</v>
      </c>
      <c r="L2675">
        <v>250</v>
      </c>
      <c r="M2675">
        <v>1</v>
      </c>
      <c r="N2675">
        <v>1.3561799999999999E-94</v>
      </c>
      <c r="O2675">
        <v>879</v>
      </c>
    </row>
    <row r="2676" spans="1:15" x14ac:dyDescent="0.25">
      <c r="A2676" t="s">
        <v>2689</v>
      </c>
      <c r="B2676">
        <v>388</v>
      </c>
      <c r="C2676" s="1" t="str">
        <f>HYPERLINK("http://www.rosaceae.org/gb/gbrowse/malus_x_domestica/?name=MDP0000302905","MDP0000302905")</f>
        <v>MDP0000302905</v>
      </c>
      <c r="D2676">
        <v>71.94</v>
      </c>
      <c r="E2676">
        <v>385</v>
      </c>
      <c r="F2676">
        <v>108</v>
      </c>
      <c r="G2676">
        <v>3</v>
      </c>
      <c r="H2676">
        <v>1</v>
      </c>
      <c r="I2676">
        <v>382</v>
      </c>
      <c r="J2676">
        <v>1</v>
      </c>
      <c r="K2676">
        <v>1</v>
      </c>
      <c r="L2676">
        <v>385</v>
      </c>
      <c r="M2676">
        <v>1</v>
      </c>
      <c r="N2676">
        <v>4.2112700000000002E-166</v>
      </c>
      <c r="O2676">
        <v>1498</v>
      </c>
    </row>
    <row r="2677" spans="1:15" x14ac:dyDescent="0.25">
      <c r="A2677" t="s">
        <v>2690</v>
      </c>
      <c r="B2677">
        <v>365</v>
      </c>
      <c r="C2677" s="1" t="str">
        <f>HYPERLINK("http://www.rosaceae.org/gb/gbrowse/malus_x_domestica/?name=MDP0000246923","MDP0000246923")</f>
        <v>MDP0000246923</v>
      </c>
      <c r="D2677">
        <v>80.930000000000007</v>
      </c>
      <c r="E2677">
        <v>278</v>
      </c>
      <c r="F2677">
        <v>53</v>
      </c>
      <c r="G2677">
        <v>3</v>
      </c>
      <c r="H2677">
        <v>50</v>
      </c>
      <c r="I2677">
        <v>326</v>
      </c>
      <c r="J2677">
        <v>1</v>
      </c>
      <c r="K2677">
        <v>53</v>
      </c>
      <c r="L2677">
        <v>328</v>
      </c>
      <c r="M2677">
        <v>1</v>
      </c>
      <c r="N2677">
        <v>3.3975000000000001E-125</v>
      </c>
      <c r="O2677">
        <v>1145</v>
      </c>
    </row>
    <row r="2678" spans="1:15" x14ac:dyDescent="0.25">
      <c r="A2678" t="s">
        <v>2691</v>
      </c>
      <c r="B2678">
        <v>634</v>
      </c>
      <c r="C2678" s="1" t="str">
        <f>HYPERLINK("http://www.rosaceae.org/gb/gbrowse/malus_x_domestica/?name=MDP0000314260","MDP0000314260")</f>
        <v>MDP0000314260</v>
      </c>
      <c r="D2678">
        <v>67.41</v>
      </c>
      <c r="E2678">
        <v>577</v>
      </c>
      <c r="F2678">
        <v>188</v>
      </c>
      <c r="G2678">
        <v>6</v>
      </c>
      <c r="H2678">
        <v>1</v>
      </c>
      <c r="I2678">
        <v>572</v>
      </c>
      <c r="J2678">
        <v>1</v>
      </c>
      <c r="K2678">
        <v>142</v>
      </c>
      <c r="L2678">
        <v>717</v>
      </c>
      <c r="M2678">
        <v>1</v>
      </c>
      <c r="N2678">
        <v>0</v>
      </c>
      <c r="O2678">
        <v>1993</v>
      </c>
    </row>
    <row r="2679" spans="1:15" x14ac:dyDescent="0.25">
      <c r="A2679" t="s">
        <v>2692</v>
      </c>
      <c r="B2679">
        <v>528</v>
      </c>
      <c r="C2679" s="1" t="str">
        <f>HYPERLINK("http://www.rosaceae.org/gb/gbrowse/malus_x_domestica/?name=MDP0000151935","MDP0000151935")</f>
        <v>MDP0000151935</v>
      </c>
      <c r="D2679">
        <v>78.53</v>
      </c>
      <c r="E2679">
        <v>452</v>
      </c>
      <c r="F2679">
        <v>97</v>
      </c>
      <c r="G2679">
        <v>43</v>
      </c>
      <c r="H2679">
        <v>63</v>
      </c>
      <c r="I2679">
        <v>476</v>
      </c>
      <c r="J2679">
        <v>1</v>
      </c>
      <c r="K2679">
        <v>1</v>
      </c>
      <c r="L2679">
        <v>447</v>
      </c>
      <c r="M2679">
        <v>1</v>
      </c>
      <c r="N2679">
        <v>0</v>
      </c>
      <c r="O2679">
        <v>1841</v>
      </c>
    </row>
    <row r="2680" spans="1:15" x14ac:dyDescent="0.25">
      <c r="A2680" t="s">
        <v>2693</v>
      </c>
      <c r="B2680">
        <v>389</v>
      </c>
      <c r="C2680" s="1" t="str">
        <f>HYPERLINK("http://www.rosaceae.org/gb/gbrowse/malus_x_domestica/?name=MDP0000233630","MDP0000233630")</f>
        <v>MDP0000233630</v>
      </c>
      <c r="D2680">
        <v>74.739999999999995</v>
      </c>
      <c r="E2680">
        <v>396</v>
      </c>
      <c r="F2680">
        <v>100</v>
      </c>
      <c r="G2680">
        <v>13</v>
      </c>
      <c r="H2680">
        <v>1</v>
      </c>
      <c r="I2680">
        <v>389</v>
      </c>
      <c r="J2680">
        <v>1</v>
      </c>
      <c r="K2680">
        <v>1</v>
      </c>
      <c r="L2680">
        <v>390</v>
      </c>
      <c r="M2680">
        <v>1</v>
      </c>
      <c r="N2680">
        <v>1.01462E-166</v>
      </c>
      <c r="O2680">
        <v>1503</v>
      </c>
    </row>
    <row r="2681" spans="1:15" x14ac:dyDescent="0.25">
      <c r="A2681" t="s">
        <v>2694</v>
      </c>
      <c r="B2681">
        <v>362</v>
      </c>
      <c r="C2681" s="1" t="str">
        <f>HYPERLINK("http://www.rosaceae.org/gb/gbrowse/malus_x_domestica/?name=MDP0000254650","MDP0000254650")</f>
        <v>MDP0000254650</v>
      </c>
      <c r="D2681">
        <v>40.28</v>
      </c>
      <c r="E2681">
        <v>350</v>
      </c>
      <c r="F2681">
        <v>209</v>
      </c>
      <c r="G2681">
        <v>23</v>
      </c>
      <c r="H2681">
        <v>8</v>
      </c>
      <c r="I2681">
        <v>343</v>
      </c>
      <c r="J2681">
        <v>1</v>
      </c>
      <c r="K2681">
        <v>6</v>
      </c>
      <c r="L2681">
        <v>346</v>
      </c>
      <c r="M2681">
        <v>1</v>
      </c>
      <c r="N2681">
        <v>2.4482399999999999E-64</v>
      </c>
      <c r="O2681">
        <v>620</v>
      </c>
    </row>
    <row r="2682" spans="1:15" x14ac:dyDescent="0.25">
      <c r="A2682" t="s">
        <v>2695</v>
      </c>
      <c r="B2682">
        <v>782</v>
      </c>
      <c r="C2682" s="1" t="str">
        <f>HYPERLINK("http://www.rosaceae.org/gb/gbrowse/malus_x_domestica/?name=MDP0000875406","MDP0000875406")</f>
        <v>MDP0000875406</v>
      </c>
      <c r="D2682">
        <v>70.430000000000007</v>
      </c>
      <c r="E2682">
        <v>372</v>
      </c>
      <c r="F2682">
        <v>110</v>
      </c>
      <c r="G2682">
        <v>1</v>
      </c>
      <c r="H2682">
        <v>411</v>
      </c>
      <c r="I2682">
        <v>782</v>
      </c>
      <c r="J2682">
        <v>1</v>
      </c>
      <c r="K2682">
        <v>21</v>
      </c>
      <c r="L2682">
        <v>391</v>
      </c>
      <c r="M2682">
        <v>1</v>
      </c>
      <c r="N2682">
        <v>6.5586999999999999E-156</v>
      </c>
      <c r="O2682">
        <v>1413</v>
      </c>
    </row>
    <row r="2683" spans="1:15" x14ac:dyDescent="0.25">
      <c r="A2683" t="s">
        <v>2696</v>
      </c>
      <c r="B2683">
        <v>856</v>
      </c>
      <c r="C2683" s="1" t="str">
        <f>HYPERLINK("http://www.rosaceae.org/gb/gbrowse/malus_x_domestica/?name=MDP0000315108","MDP0000315108")</f>
        <v>MDP0000315108</v>
      </c>
      <c r="D2683">
        <v>71.05</v>
      </c>
      <c r="E2683">
        <v>418</v>
      </c>
      <c r="F2683">
        <v>121</v>
      </c>
      <c r="G2683">
        <v>0</v>
      </c>
      <c r="H2683">
        <v>294</v>
      </c>
      <c r="I2683">
        <v>711</v>
      </c>
      <c r="J2683">
        <v>1</v>
      </c>
      <c r="K2683">
        <v>620</v>
      </c>
      <c r="L2683">
        <v>1037</v>
      </c>
      <c r="M2683">
        <v>1</v>
      </c>
      <c r="N2683">
        <v>5.6512999999999996E-178</v>
      </c>
      <c r="O2683">
        <v>1604</v>
      </c>
    </row>
    <row r="2684" spans="1:15" x14ac:dyDescent="0.25">
      <c r="A2684" t="s">
        <v>2697</v>
      </c>
      <c r="B2684">
        <v>115</v>
      </c>
      <c r="C2684" s="1" t="str">
        <f>HYPERLINK("http://www.rosaceae.org/gb/gbrowse/malus_x_domestica/?name=MDP0000177485","MDP0000177485")</f>
        <v>MDP0000177485</v>
      </c>
      <c r="D2684">
        <v>42.72</v>
      </c>
      <c r="E2684">
        <v>110</v>
      </c>
      <c r="F2684">
        <v>63</v>
      </c>
      <c r="G2684">
        <v>4</v>
      </c>
      <c r="H2684">
        <v>1</v>
      </c>
      <c r="I2684">
        <v>110</v>
      </c>
      <c r="J2684">
        <v>1</v>
      </c>
      <c r="K2684">
        <v>1</v>
      </c>
      <c r="L2684">
        <v>106</v>
      </c>
      <c r="M2684">
        <v>1</v>
      </c>
      <c r="N2684">
        <v>3.1284800000000001E-18</v>
      </c>
      <c r="O2684">
        <v>215</v>
      </c>
    </row>
    <row r="2685" spans="1:15" x14ac:dyDescent="0.25">
      <c r="A2685" t="s">
        <v>2698</v>
      </c>
      <c r="B2685">
        <v>85</v>
      </c>
      <c r="C2685" s="1" t="str">
        <f>HYPERLINK("http://www.rosaceae.org/gb/gbrowse/malus_x_domestica/?name=MDP0000503228","MDP0000503228")</f>
        <v>MDP0000503228</v>
      </c>
      <c r="D2685">
        <v>51.66</v>
      </c>
      <c r="E2685">
        <v>60</v>
      </c>
      <c r="F2685">
        <v>29</v>
      </c>
      <c r="G2685">
        <v>3</v>
      </c>
      <c r="H2685">
        <v>27</v>
      </c>
      <c r="I2685">
        <v>85</v>
      </c>
      <c r="J2685">
        <v>1</v>
      </c>
      <c r="K2685">
        <v>601</v>
      </c>
      <c r="L2685">
        <v>658</v>
      </c>
      <c r="M2685">
        <v>1</v>
      </c>
      <c r="N2685">
        <v>6.3180699999999999E-8</v>
      </c>
      <c r="O2685">
        <v>126</v>
      </c>
    </row>
    <row r="2686" spans="1:15" x14ac:dyDescent="0.25">
      <c r="A2686" t="s">
        <v>2699</v>
      </c>
      <c r="B2686">
        <v>1186</v>
      </c>
      <c r="C2686" s="1" t="str">
        <f>HYPERLINK("http://www.rosaceae.org/gb/gbrowse/malus_x_domestica/?name=MDP0000273495","MDP0000273495")</f>
        <v>MDP0000273495</v>
      </c>
      <c r="D2686">
        <v>76.680000000000007</v>
      </c>
      <c r="E2686">
        <v>459</v>
      </c>
      <c r="F2686">
        <v>107</v>
      </c>
      <c r="G2686">
        <v>18</v>
      </c>
      <c r="H2686">
        <v>565</v>
      </c>
      <c r="I2686">
        <v>1008</v>
      </c>
      <c r="J2686">
        <v>1</v>
      </c>
      <c r="K2686">
        <v>3</v>
      </c>
      <c r="L2686">
        <v>458</v>
      </c>
      <c r="M2686">
        <v>1</v>
      </c>
      <c r="N2686">
        <v>0</v>
      </c>
      <c r="O2686">
        <v>1855</v>
      </c>
    </row>
    <row r="2687" spans="1:15" x14ac:dyDescent="0.25">
      <c r="A2687" t="s">
        <v>2700</v>
      </c>
      <c r="B2687">
        <v>192</v>
      </c>
      <c r="C2687" s="1" t="str">
        <f>HYPERLINK("http://www.rosaceae.org/gb/gbrowse/malus_x_domestica/?name=MDP0000407382","MDP0000407382")</f>
        <v>MDP0000407382</v>
      </c>
      <c r="D2687">
        <v>83.15</v>
      </c>
      <c r="E2687">
        <v>190</v>
      </c>
      <c r="F2687">
        <v>32</v>
      </c>
      <c r="G2687">
        <v>6</v>
      </c>
      <c r="H2687">
        <v>3</v>
      </c>
      <c r="I2687">
        <v>192</v>
      </c>
      <c r="J2687">
        <v>1</v>
      </c>
      <c r="K2687">
        <v>1</v>
      </c>
      <c r="L2687">
        <v>184</v>
      </c>
      <c r="M2687">
        <v>1</v>
      </c>
      <c r="N2687">
        <v>1.79376E-88</v>
      </c>
      <c r="O2687">
        <v>824</v>
      </c>
    </row>
    <row r="2688" spans="1:15" x14ac:dyDescent="0.25">
      <c r="A2688" t="s">
        <v>2701</v>
      </c>
      <c r="B2688">
        <v>413</v>
      </c>
      <c r="C2688" s="1" t="str">
        <f>HYPERLINK("http://www.rosaceae.org/gb/gbrowse/malus_x_domestica/?name=MDP0000290884","MDP0000290884")</f>
        <v>MDP0000290884</v>
      </c>
      <c r="D2688">
        <v>75.239999999999995</v>
      </c>
      <c r="E2688">
        <v>404</v>
      </c>
      <c r="F2688">
        <v>100</v>
      </c>
      <c r="G2688">
        <v>29</v>
      </c>
      <c r="H2688">
        <v>1</v>
      </c>
      <c r="I2688">
        <v>377</v>
      </c>
      <c r="J2688">
        <v>1</v>
      </c>
      <c r="K2688">
        <v>1</v>
      </c>
      <c r="L2688">
        <v>402</v>
      </c>
      <c r="M2688">
        <v>1</v>
      </c>
      <c r="N2688">
        <v>4.21839E-169</v>
      </c>
      <c r="O2688">
        <v>1524</v>
      </c>
    </row>
    <row r="2689" spans="1:15" x14ac:dyDescent="0.25">
      <c r="A2689" t="s">
        <v>2702</v>
      </c>
      <c r="B2689">
        <v>247</v>
      </c>
      <c r="C2689" s="1" t="str">
        <f>HYPERLINK("http://www.rosaceae.org/gb/gbrowse/malus_x_domestica/?name=MDP0000207225","MDP0000207225")</f>
        <v>MDP0000207225</v>
      </c>
      <c r="D2689">
        <v>78.11</v>
      </c>
      <c r="E2689">
        <v>233</v>
      </c>
      <c r="F2689">
        <v>51</v>
      </c>
      <c r="G2689">
        <v>0</v>
      </c>
      <c r="H2689">
        <v>15</v>
      </c>
      <c r="I2689">
        <v>247</v>
      </c>
      <c r="J2689">
        <v>1</v>
      </c>
      <c r="K2689">
        <v>15</v>
      </c>
      <c r="L2689">
        <v>247</v>
      </c>
      <c r="M2689">
        <v>1</v>
      </c>
      <c r="N2689">
        <v>2.6512700000000002E-106</v>
      </c>
      <c r="O2689">
        <v>980</v>
      </c>
    </row>
    <row r="2690" spans="1:15" x14ac:dyDescent="0.25">
      <c r="A2690" t="s">
        <v>2703</v>
      </c>
      <c r="B2690">
        <v>757</v>
      </c>
      <c r="C2690" s="1" t="str">
        <f>HYPERLINK("http://www.rosaceae.org/gb/gbrowse/malus_x_domestica/?name=MDP0000185125","MDP0000185125")</f>
        <v>MDP0000185125</v>
      </c>
      <c r="D2690">
        <v>32.380000000000003</v>
      </c>
      <c r="E2690">
        <v>210</v>
      </c>
      <c r="F2690">
        <v>142</v>
      </c>
      <c r="G2690">
        <v>6</v>
      </c>
      <c r="H2690">
        <v>515</v>
      </c>
      <c r="I2690">
        <v>724</v>
      </c>
      <c r="J2690">
        <v>1</v>
      </c>
      <c r="K2690">
        <v>8</v>
      </c>
      <c r="L2690">
        <v>211</v>
      </c>
      <c r="M2690">
        <v>1</v>
      </c>
      <c r="N2690">
        <v>2.9696199999999999E-24</v>
      </c>
      <c r="O2690">
        <v>277</v>
      </c>
    </row>
    <row r="2691" spans="1:15" x14ac:dyDescent="0.25">
      <c r="A2691" t="s">
        <v>2704</v>
      </c>
      <c r="B2691">
        <v>587</v>
      </c>
      <c r="C2691" s="1" t="str">
        <f>HYPERLINK("http://www.rosaceae.org/gb/gbrowse/malus_x_domestica/?name=MDP0000291093","MDP0000291093")</f>
        <v>MDP0000291093</v>
      </c>
      <c r="D2691">
        <v>74.150000000000006</v>
      </c>
      <c r="E2691">
        <v>623</v>
      </c>
      <c r="F2691">
        <v>161</v>
      </c>
      <c r="G2691">
        <v>37</v>
      </c>
      <c r="H2691">
        <v>1</v>
      </c>
      <c r="I2691">
        <v>587</v>
      </c>
      <c r="J2691">
        <v>1</v>
      </c>
      <c r="K2691">
        <v>6</v>
      </c>
      <c r="L2691">
        <v>627</v>
      </c>
      <c r="M2691">
        <v>1</v>
      </c>
      <c r="N2691">
        <v>0</v>
      </c>
      <c r="O2691">
        <v>2332</v>
      </c>
    </row>
    <row r="2692" spans="1:15" x14ac:dyDescent="0.25">
      <c r="A2692" t="s">
        <v>2705</v>
      </c>
      <c r="B2692">
        <v>482</v>
      </c>
      <c r="C2692" s="1" t="str">
        <f>HYPERLINK("http://www.rosaceae.org/gb/gbrowse/malus_x_domestica/?name=MDP0000161987","MDP0000161987")</f>
        <v>MDP0000161987</v>
      </c>
      <c r="D2692">
        <v>59.57</v>
      </c>
      <c r="E2692">
        <v>522</v>
      </c>
      <c r="F2692">
        <v>211</v>
      </c>
      <c r="G2692">
        <v>157</v>
      </c>
      <c r="H2692">
        <v>1</v>
      </c>
      <c r="I2692">
        <v>482</v>
      </c>
      <c r="J2692">
        <v>1</v>
      </c>
      <c r="K2692">
        <v>1</v>
      </c>
      <c r="L2692">
        <v>405</v>
      </c>
      <c r="M2692">
        <v>1</v>
      </c>
      <c r="N2692">
        <v>2.7814499999999999E-153</v>
      </c>
      <c r="O2692">
        <v>1388</v>
      </c>
    </row>
    <row r="2693" spans="1:15" x14ac:dyDescent="0.25">
      <c r="A2693" t="s">
        <v>2706</v>
      </c>
      <c r="B2693">
        <v>238</v>
      </c>
      <c r="C2693" s="1" t="str">
        <f>HYPERLINK("http://www.rosaceae.org/gb/gbrowse/malus_x_domestica/?name=MDP0000856758","MDP0000856758")</f>
        <v>MDP0000856758</v>
      </c>
      <c r="D2693">
        <v>84.65</v>
      </c>
      <c r="E2693">
        <v>215</v>
      </c>
      <c r="F2693">
        <v>33</v>
      </c>
      <c r="G2693">
        <v>0</v>
      </c>
      <c r="H2693">
        <v>24</v>
      </c>
      <c r="I2693">
        <v>238</v>
      </c>
      <c r="J2693">
        <v>1</v>
      </c>
      <c r="K2693">
        <v>11</v>
      </c>
      <c r="L2693">
        <v>225</v>
      </c>
      <c r="M2693">
        <v>1</v>
      </c>
      <c r="N2693">
        <v>2.2385800000000001E-105</v>
      </c>
      <c r="O2693">
        <v>971</v>
      </c>
    </row>
    <row r="2694" spans="1:15" x14ac:dyDescent="0.25">
      <c r="A2694" t="s">
        <v>2707</v>
      </c>
      <c r="B2694">
        <v>404</v>
      </c>
      <c r="C2694" s="1" t="str">
        <f>HYPERLINK("http://www.rosaceae.org/gb/gbrowse/malus_x_domestica/?name=MDP0000135922","MDP0000135922")</f>
        <v>MDP0000135922</v>
      </c>
      <c r="D2694">
        <v>76.5</v>
      </c>
      <c r="E2694">
        <v>400</v>
      </c>
      <c r="F2694">
        <v>94</v>
      </c>
      <c r="G2694">
        <v>4</v>
      </c>
      <c r="H2694">
        <v>8</v>
      </c>
      <c r="I2694">
        <v>403</v>
      </c>
      <c r="J2694">
        <v>1</v>
      </c>
      <c r="K2694">
        <v>129</v>
      </c>
      <c r="L2694">
        <v>528</v>
      </c>
      <c r="M2694">
        <v>1</v>
      </c>
      <c r="N2694">
        <v>0</v>
      </c>
      <c r="O2694">
        <v>1634</v>
      </c>
    </row>
    <row r="2695" spans="1:15" x14ac:dyDescent="0.25">
      <c r="A2695" t="s">
        <v>2708</v>
      </c>
      <c r="B2695">
        <v>740</v>
      </c>
      <c r="C2695" s="1" t="str">
        <f>HYPERLINK("http://www.rosaceae.org/gb/gbrowse/malus_x_domestica/?name=MDP0000296317","MDP0000296317")</f>
        <v>MDP0000296317</v>
      </c>
      <c r="D2695">
        <v>33.22</v>
      </c>
      <c r="E2695">
        <v>310</v>
      </c>
      <c r="F2695">
        <v>207</v>
      </c>
      <c r="G2695">
        <v>60</v>
      </c>
      <c r="H2695">
        <v>24</v>
      </c>
      <c r="I2695">
        <v>301</v>
      </c>
      <c r="J2695">
        <v>1</v>
      </c>
      <c r="K2695">
        <v>319</v>
      </c>
      <c r="L2695">
        <v>600</v>
      </c>
      <c r="M2695">
        <v>1</v>
      </c>
      <c r="N2695">
        <v>6.71011E-27</v>
      </c>
      <c r="O2695">
        <v>300</v>
      </c>
    </row>
    <row r="2696" spans="1:15" x14ac:dyDescent="0.25">
      <c r="A2696" t="s">
        <v>2709</v>
      </c>
      <c r="B2696">
        <v>438</v>
      </c>
      <c r="C2696" s="1" t="str">
        <f>HYPERLINK("http://www.rosaceae.org/gb/gbrowse/malus_x_domestica/?name=MDP0000175323","MDP0000175323")</f>
        <v>MDP0000175323</v>
      </c>
      <c r="D2696">
        <v>68.25</v>
      </c>
      <c r="E2696">
        <v>441</v>
      </c>
      <c r="F2696">
        <v>140</v>
      </c>
      <c r="G2696">
        <v>8</v>
      </c>
      <c r="H2696">
        <v>6</v>
      </c>
      <c r="I2696">
        <v>438</v>
      </c>
      <c r="J2696">
        <v>1</v>
      </c>
      <c r="K2696">
        <v>111</v>
      </c>
      <c r="L2696">
        <v>551</v>
      </c>
      <c r="M2696">
        <v>1</v>
      </c>
      <c r="N2696">
        <v>2.33818E-172</v>
      </c>
      <c r="O2696">
        <v>1552</v>
      </c>
    </row>
    <row r="2697" spans="1:15" x14ac:dyDescent="0.25">
      <c r="A2697" t="s">
        <v>2710</v>
      </c>
      <c r="B2697">
        <v>536</v>
      </c>
      <c r="C2697" s="1" t="str">
        <f>HYPERLINK("http://www.rosaceae.org/gb/gbrowse/malus_x_domestica/?name=MDP0000247921","MDP0000247921")</f>
        <v>MDP0000247921</v>
      </c>
      <c r="D2697">
        <v>26.06</v>
      </c>
      <c r="E2697">
        <v>491</v>
      </c>
      <c r="F2697">
        <v>363</v>
      </c>
      <c r="G2697">
        <v>121</v>
      </c>
      <c r="H2697">
        <v>48</v>
      </c>
      <c r="I2697">
        <v>454</v>
      </c>
      <c r="J2697">
        <v>1</v>
      </c>
      <c r="K2697">
        <v>626</v>
      </c>
      <c r="L2697">
        <v>1079</v>
      </c>
      <c r="M2697">
        <v>1</v>
      </c>
      <c r="N2697">
        <v>4.6035499999999998E-38</v>
      </c>
      <c r="O2697">
        <v>395</v>
      </c>
    </row>
    <row r="2698" spans="1:15" x14ac:dyDescent="0.25">
      <c r="A2698" t="s">
        <v>2711</v>
      </c>
      <c r="B2698">
        <v>659</v>
      </c>
      <c r="C2698" s="1" t="str">
        <f>HYPERLINK("http://www.rosaceae.org/gb/gbrowse/malus_x_domestica/?name=MDP0000184562","MDP0000184562")</f>
        <v>MDP0000184562</v>
      </c>
      <c r="D2698">
        <v>71.23</v>
      </c>
      <c r="E2698">
        <v>650</v>
      </c>
      <c r="F2698">
        <v>187</v>
      </c>
      <c r="G2698">
        <v>29</v>
      </c>
      <c r="H2698">
        <v>27</v>
      </c>
      <c r="I2698">
        <v>659</v>
      </c>
      <c r="J2698">
        <v>1</v>
      </c>
      <c r="K2698">
        <v>27</v>
      </c>
      <c r="L2698">
        <v>664</v>
      </c>
      <c r="M2698">
        <v>1</v>
      </c>
      <c r="N2698">
        <v>0</v>
      </c>
      <c r="O2698">
        <v>2411</v>
      </c>
    </row>
    <row r="2699" spans="1:15" x14ac:dyDescent="0.25">
      <c r="A2699" t="s">
        <v>2712</v>
      </c>
      <c r="B2699">
        <v>453</v>
      </c>
      <c r="C2699" s="1" t="str">
        <f>HYPERLINK("http://www.rosaceae.org/gb/gbrowse/malus_x_domestica/?name=MDP0000542871","MDP0000542871")</f>
        <v>MDP0000542871</v>
      </c>
      <c r="D2699">
        <v>79.069999999999993</v>
      </c>
      <c r="E2699">
        <v>325</v>
      </c>
      <c r="F2699">
        <v>68</v>
      </c>
      <c r="G2699">
        <v>37</v>
      </c>
      <c r="H2699">
        <v>162</v>
      </c>
      <c r="I2699">
        <v>449</v>
      </c>
      <c r="J2699">
        <v>1</v>
      </c>
      <c r="K2699">
        <v>23</v>
      </c>
      <c r="L2699">
        <v>347</v>
      </c>
      <c r="M2699">
        <v>1</v>
      </c>
      <c r="N2699">
        <v>4.8889799999999999E-146</v>
      </c>
      <c r="O2699">
        <v>1325</v>
      </c>
    </row>
    <row r="2700" spans="1:15" x14ac:dyDescent="0.25">
      <c r="A2700" t="s">
        <v>2713</v>
      </c>
      <c r="B2700">
        <v>544</v>
      </c>
      <c r="C2700" s="1" t="str">
        <f>HYPERLINK("http://www.rosaceae.org/gb/gbrowse/malus_x_domestica/?name=MDP0000254675","MDP0000254675")</f>
        <v>MDP0000254675</v>
      </c>
      <c r="D2700">
        <v>74.209999999999994</v>
      </c>
      <c r="E2700">
        <v>570</v>
      </c>
      <c r="F2700">
        <v>147</v>
      </c>
      <c r="G2700">
        <v>26</v>
      </c>
      <c r="H2700">
        <v>1</v>
      </c>
      <c r="I2700">
        <v>544</v>
      </c>
      <c r="J2700">
        <v>1</v>
      </c>
      <c r="K2700">
        <v>1</v>
      </c>
      <c r="L2700">
        <v>570</v>
      </c>
      <c r="M2700">
        <v>1</v>
      </c>
      <c r="N2700">
        <v>0</v>
      </c>
      <c r="O2700">
        <v>2148</v>
      </c>
    </row>
    <row r="2701" spans="1:15" x14ac:dyDescent="0.25">
      <c r="A2701" t="s">
        <v>2714</v>
      </c>
      <c r="B2701">
        <v>802</v>
      </c>
      <c r="C2701" s="1" t="str">
        <f>HYPERLINK("http://www.rosaceae.org/gb/gbrowse/malus_x_domestica/?name=MDP0000222790","MDP0000222790")</f>
        <v>MDP0000222790</v>
      </c>
      <c r="D2701">
        <v>40.25</v>
      </c>
      <c r="E2701">
        <v>795</v>
      </c>
      <c r="F2701">
        <v>475</v>
      </c>
      <c r="G2701">
        <v>193</v>
      </c>
      <c r="H2701">
        <v>10</v>
      </c>
      <c r="I2701">
        <v>627</v>
      </c>
      <c r="J2701">
        <v>1</v>
      </c>
      <c r="K2701">
        <v>52</v>
      </c>
      <c r="L2701">
        <v>830</v>
      </c>
      <c r="M2701">
        <v>1</v>
      </c>
      <c r="N2701">
        <v>2.18891E-139</v>
      </c>
      <c r="O2701">
        <v>1271</v>
      </c>
    </row>
    <row r="2702" spans="1:15" x14ac:dyDescent="0.25">
      <c r="A2702" t="s">
        <v>2715</v>
      </c>
      <c r="B2702">
        <v>752</v>
      </c>
      <c r="C2702" s="1" t="str">
        <f>HYPERLINK("http://www.rosaceae.org/gb/gbrowse/malus_x_domestica/?name=MDP0000285475","MDP0000285475")</f>
        <v>MDP0000285475</v>
      </c>
      <c r="D2702">
        <v>29</v>
      </c>
      <c r="E2702">
        <v>200</v>
      </c>
      <c r="F2702">
        <v>142</v>
      </c>
      <c r="G2702">
        <v>4</v>
      </c>
      <c r="H2702">
        <v>9</v>
      </c>
      <c r="I2702">
        <v>205</v>
      </c>
      <c r="J2702">
        <v>1</v>
      </c>
      <c r="K2702">
        <v>86</v>
      </c>
      <c r="L2702">
        <v>284</v>
      </c>
      <c r="M2702">
        <v>1</v>
      </c>
      <c r="N2702">
        <v>7.2683500000000003E-18</v>
      </c>
      <c r="O2702">
        <v>222</v>
      </c>
    </row>
    <row r="2703" spans="1:15" x14ac:dyDescent="0.25">
      <c r="A2703" t="s">
        <v>2716</v>
      </c>
      <c r="B2703">
        <v>309</v>
      </c>
      <c r="C2703" s="1" t="str">
        <f>HYPERLINK("http://www.rosaceae.org/gb/gbrowse/malus_x_domestica/?name=MDP0000293001","MDP0000293001")</f>
        <v>MDP0000293001</v>
      </c>
      <c r="D2703">
        <v>67.67</v>
      </c>
      <c r="E2703">
        <v>232</v>
      </c>
      <c r="F2703">
        <v>75</v>
      </c>
      <c r="G2703">
        <v>3</v>
      </c>
      <c r="H2703">
        <v>1</v>
      </c>
      <c r="I2703">
        <v>230</v>
      </c>
      <c r="J2703">
        <v>1</v>
      </c>
      <c r="K2703">
        <v>1</v>
      </c>
      <c r="L2703">
        <v>231</v>
      </c>
      <c r="M2703">
        <v>1</v>
      </c>
      <c r="N2703">
        <v>1.31657E-85</v>
      </c>
      <c r="O2703">
        <v>802</v>
      </c>
    </row>
    <row r="2704" spans="1:15" x14ac:dyDescent="0.25">
      <c r="A2704" t="s">
        <v>2717</v>
      </c>
      <c r="B2704">
        <v>507</v>
      </c>
      <c r="C2704" s="1" t="str">
        <f>HYPERLINK("http://www.rosaceae.org/gb/gbrowse/malus_x_domestica/?name=MDP0000191620","MDP0000191620")</f>
        <v>MDP0000191620</v>
      </c>
      <c r="D2704">
        <v>79.28</v>
      </c>
      <c r="E2704">
        <v>507</v>
      </c>
      <c r="F2704">
        <v>105</v>
      </c>
      <c r="G2704">
        <v>11</v>
      </c>
      <c r="H2704">
        <v>1</v>
      </c>
      <c r="I2704">
        <v>507</v>
      </c>
      <c r="J2704">
        <v>1</v>
      </c>
      <c r="K2704">
        <v>1</v>
      </c>
      <c r="L2704">
        <v>496</v>
      </c>
      <c r="M2704">
        <v>1</v>
      </c>
      <c r="N2704">
        <v>0</v>
      </c>
      <c r="O2704">
        <v>2033</v>
      </c>
    </row>
    <row r="2705" spans="1:15" x14ac:dyDescent="0.25">
      <c r="A2705" t="s">
        <v>2718</v>
      </c>
      <c r="B2705">
        <v>201</v>
      </c>
      <c r="C2705" s="1" t="str">
        <f>HYPERLINK("http://www.rosaceae.org/gb/gbrowse/malus_x_domestica/?name=MDP0000133758","MDP0000133758")</f>
        <v>MDP0000133758</v>
      </c>
      <c r="D2705">
        <v>46.62</v>
      </c>
      <c r="E2705">
        <v>148</v>
      </c>
      <c r="F2705">
        <v>79</v>
      </c>
      <c r="G2705">
        <v>6</v>
      </c>
      <c r="H2705">
        <v>1</v>
      </c>
      <c r="I2705">
        <v>143</v>
      </c>
      <c r="J2705">
        <v>1</v>
      </c>
      <c r="K2705">
        <v>1</v>
      </c>
      <c r="L2705">
        <v>147</v>
      </c>
      <c r="M2705">
        <v>1</v>
      </c>
      <c r="N2705">
        <v>2.7683700000000002E-29</v>
      </c>
      <c r="O2705">
        <v>314</v>
      </c>
    </row>
    <row r="2706" spans="1:15" x14ac:dyDescent="0.25">
      <c r="A2706" t="s">
        <v>2719</v>
      </c>
      <c r="B2706">
        <v>759</v>
      </c>
      <c r="C2706" s="1" t="str">
        <f>HYPERLINK("http://www.rosaceae.org/gb/gbrowse/malus_x_domestica/?name=MDP0000241814","MDP0000241814")</f>
        <v>MDP0000241814</v>
      </c>
      <c r="D2706">
        <v>56.78</v>
      </c>
      <c r="E2706">
        <v>796</v>
      </c>
      <c r="F2706">
        <v>344</v>
      </c>
      <c r="G2706">
        <v>106</v>
      </c>
      <c r="H2706">
        <v>6</v>
      </c>
      <c r="I2706">
        <v>731</v>
      </c>
      <c r="J2706">
        <v>1</v>
      </c>
      <c r="K2706">
        <v>1</v>
      </c>
      <c r="L2706">
        <v>760</v>
      </c>
      <c r="M2706">
        <v>1</v>
      </c>
      <c r="N2706">
        <v>0</v>
      </c>
      <c r="O2706">
        <v>2146</v>
      </c>
    </row>
    <row r="2707" spans="1:15" x14ac:dyDescent="0.25">
      <c r="A2707" t="s">
        <v>2720</v>
      </c>
      <c r="B2707">
        <v>153</v>
      </c>
      <c r="C2707" s="1" t="str">
        <f>HYPERLINK("http://www.rosaceae.org/gb/gbrowse/malus_x_domestica/?name=MDP0000271764","MDP0000271764")</f>
        <v>MDP0000271764</v>
      </c>
      <c r="D2707">
        <v>87.75</v>
      </c>
      <c r="E2707">
        <v>49</v>
      </c>
      <c r="F2707">
        <v>6</v>
      </c>
      <c r="G2707">
        <v>0</v>
      </c>
      <c r="H2707">
        <v>104</v>
      </c>
      <c r="I2707">
        <v>152</v>
      </c>
      <c r="J2707">
        <v>1</v>
      </c>
      <c r="K2707">
        <v>66</v>
      </c>
      <c r="L2707">
        <v>114</v>
      </c>
      <c r="M2707">
        <v>1</v>
      </c>
      <c r="N2707">
        <v>4.03884E-20</v>
      </c>
      <c r="O2707">
        <v>233</v>
      </c>
    </row>
    <row r="2708" spans="1:15" x14ac:dyDescent="0.25">
      <c r="A2708" t="s">
        <v>2721</v>
      </c>
      <c r="B2708">
        <v>788</v>
      </c>
      <c r="C2708" s="1" t="str">
        <f>HYPERLINK("http://www.rosaceae.org/gb/gbrowse/malus_x_domestica/?name=MDP0000290974","MDP0000290974")</f>
        <v>MDP0000290974</v>
      </c>
      <c r="D2708">
        <v>64.459999999999994</v>
      </c>
      <c r="E2708">
        <v>833</v>
      </c>
      <c r="F2708">
        <v>296</v>
      </c>
      <c r="G2708">
        <v>81</v>
      </c>
      <c r="H2708">
        <v>1</v>
      </c>
      <c r="I2708">
        <v>787</v>
      </c>
      <c r="J2708">
        <v>1</v>
      </c>
      <c r="K2708">
        <v>1</v>
      </c>
      <c r="L2708">
        <v>798</v>
      </c>
      <c r="M2708">
        <v>1</v>
      </c>
      <c r="N2708">
        <v>0</v>
      </c>
      <c r="O2708">
        <v>2677</v>
      </c>
    </row>
    <row r="2709" spans="1:15" x14ac:dyDescent="0.25">
      <c r="A2709" t="s">
        <v>2722</v>
      </c>
      <c r="B2709">
        <v>661</v>
      </c>
      <c r="C2709" s="1" t="str">
        <f>HYPERLINK("http://www.rosaceae.org/gb/gbrowse/malus_x_domestica/?name=MDP0000230233","MDP0000230233")</f>
        <v>MDP0000230233</v>
      </c>
      <c r="D2709">
        <v>71.8</v>
      </c>
      <c r="E2709">
        <v>720</v>
      </c>
      <c r="F2709">
        <v>203</v>
      </c>
      <c r="G2709">
        <v>105</v>
      </c>
      <c r="H2709">
        <v>1</v>
      </c>
      <c r="I2709">
        <v>661</v>
      </c>
      <c r="J2709">
        <v>1</v>
      </c>
      <c r="K2709">
        <v>1</v>
      </c>
      <c r="L2709">
        <v>674</v>
      </c>
      <c r="M2709">
        <v>1</v>
      </c>
      <c r="N2709">
        <v>0</v>
      </c>
      <c r="O2709">
        <v>2574</v>
      </c>
    </row>
    <row r="2710" spans="1:15" x14ac:dyDescent="0.25">
      <c r="A2710" t="s">
        <v>2723</v>
      </c>
      <c r="B2710">
        <v>263</v>
      </c>
      <c r="C2710" s="1" t="str">
        <f>HYPERLINK("http://www.rosaceae.org/gb/gbrowse/malus_x_domestica/?name=MDP0000296534","MDP0000296534")</f>
        <v>MDP0000296534</v>
      </c>
      <c r="D2710">
        <v>46.22</v>
      </c>
      <c r="E2710">
        <v>212</v>
      </c>
      <c r="F2710">
        <v>114</v>
      </c>
      <c r="G2710">
        <v>12</v>
      </c>
      <c r="H2710">
        <v>48</v>
      </c>
      <c r="I2710">
        <v>256</v>
      </c>
      <c r="J2710">
        <v>1</v>
      </c>
      <c r="K2710">
        <v>378</v>
      </c>
      <c r="L2710">
        <v>580</v>
      </c>
      <c r="M2710">
        <v>1</v>
      </c>
      <c r="N2710">
        <v>5.4585000000000002E-46</v>
      </c>
      <c r="O2710">
        <v>460</v>
      </c>
    </row>
    <row r="2711" spans="1:15" x14ac:dyDescent="0.25">
      <c r="A2711" t="s">
        <v>2724</v>
      </c>
      <c r="B2711">
        <v>391</v>
      </c>
      <c r="C2711" s="1" t="str">
        <f>HYPERLINK("http://www.rosaceae.org/gb/gbrowse/malus_x_domestica/?name=MDP0000817710","MDP0000817710")</f>
        <v>MDP0000817710</v>
      </c>
      <c r="D2711">
        <v>53.27</v>
      </c>
      <c r="E2711">
        <v>122</v>
      </c>
      <c r="F2711">
        <v>57</v>
      </c>
      <c r="G2711">
        <v>7</v>
      </c>
      <c r="H2711">
        <v>230</v>
      </c>
      <c r="I2711">
        <v>351</v>
      </c>
      <c r="J2711">
        <v>1</v>
      </c>
      <c r="K2711">
        <v>316</v>
      </c>
      <c r="L2711">
        <v>430</v>
      </c>
      <c r="M2711">
        <v>1</v>
      </c>
      <c r="N2711">
        <v>1.60013E-29</v>
      </c>
      <c r="O2711">
        <v>320</v>
      </c>
    </row>
    <row r="2712" spans="1:15" x14ac:dyDescent="0.25">
      <c r="A2712" t="s">
        <v>2725</v>
      </c>
      <c r="B2712">
        <v>497</v>
      </c>
      <c r="C2712" s="1" t="str">
        <f>HYPERLINK("http://www.rosaceae.org/gb/gbrowse/malus_x_domestica/?name=MDP0000204187","MDP0000204187")</f>
        <v>MDP0000204187</v>
      </c>
      <c r="D2712">
        <v>53.13</v>
      </c>
      <c r="E2712">
        <v>431</v>
      </c>
      <c r="F2712">
        <v>202</v>
      </c>
      <c r="G2712">
        <v>86</v>
      </c>
      <c r="H2712">
        <v>102</v>
      </c>
      <c r="I2712">
        <v>496</v>
      </c>
      <c r="J2712">
        <v>1</v>
      </c>
      <c r="K2712">
        <v>1</v>
      </c>
      <c r="L2712">
        <v>381</v>
      </c>
      <c r="M2712">
        <v>1</v>
      </c>
      <c r="N2712">
        <v>6.0651999999999997E-110</v>
      </c>
      <c r="O2712">
        <v>1015</v>
      </c>
    </row>
    <row r="2713" spans="1:15" x14ac:dyDescent="0.25">
      <c r="A2713" t="s">
        <v>2726</v>
      </c>
      <c r="B2713">
        <v>166</v>
      </c>
      <c r="C2713" s="1" t="str">
        <f>HYPERLINK("http://www.rosaceae.org/gb/gbrowse/malus_x_domestica/?name=MDP0000136726","MDP0000136726")</f>
        <v>MDP0000136726</v>
      </c>
      <c r="D2713">
        <v>60.4</v>
      </c>
      <c r="E2713">
        <v>149</v>
      </c>
      <c r="F2713">
        <v>59</v>
      </c>
      <c r="G2713">
        <v>4</v>
      </c>
      <c r="H2713">
        <v>21</v>
      </c>
      <c r="I2713">
        <v>166</v>
      </c>
      <c r="J2713">
        <v>1</v>
      </c>
      <c r="K2713">
        <v>24</v>
      </c>
      <c r="L2713">
        <v>171</v>
      </c>
      <c r="M2713">
        <v>1</v>
      </c>
      <c r="N2713">
        <v>4.3076299999999997E-46</v>
      </c>
      <c r="O2713">
        <v>458</v>
      </c>
    </row>
    <row r="2714" spans="1:15" x14ac:dyDescent="0.25">
      <c r="A2714" t="s">
        <v>2727</v>
      </c>
      <c r="B2714">
        <v>179</v>
      </c>
      <c r="C2714" s="1" t="str">
        <f>HYPERLINK("http://www.rosaceae.org/gb/gbrowse/malus_x_domestica/?name=MDP0000629143","MDP0000629143")</f>
        <v>MDP0000629143</v>
      </c>
      <c r="D2714">
        <v>84.61</v>
      </c>
      <c r="E2714">
        <v>169</v>
      </c>
      <c r="F2714">
        <v>26</v>
      </c>
      <c r="G2714">
        <v>0</v>
      </c>
      <c r="H2714">
        <v>6</v>
      </c>
      <c r="I2714">
        <v>174</v>
      </c>
      <c r="J2714">
        <v>1</v>
      </c>
      <c r="K2714">
        <v>12</v>
      </c>
      <c r="L2714">
        <v>180</v>
      </c>
      <c r="M2714">
        <v>1</v>
      </c>
      <c r="N2714">
        <v>4.6489499999999998E-86</v>
      </c>
      <c r="O2714">
        <v>803</v>
      </c>
    </row>
    <row r="2715" spans="1:15" x14ac:dyDescent="0.25">
      <c r="A2715" t="s">
        <v>2728</v>
      </c>
      <c r="B2715">
        <v>546</v>
      </c>
      <c r="C2715" s="1" t="str">
        <f>HYPERLINK("http://www.rosaceae.org/gb/gbrowse/malus_x_domestica/?name=MDP0000243825","MDP0000243825")</f>
        <v>MDP0000243825</v>
      </c>
      <c r="D2715">
        <v>74.48</v>
      </c>
      <c r="E2715">
        <v>529</v>
      </c>
      <c r="F2715">
        <v>135</v>
      </c>
      <c r="G2715">
        <v>3</v>
      </c>
      <c r="H2715">
        <v>9</v>
      </c>
      <c r="I2715">
        <v>536</v>
      </c>
      <c r="J2715">
        <v>1</v>
      </c>
      <c r="K2715">
        <v>32</v>
      </c>
      <c r="L2715">
        <v>558</v>
      </c>
      <c r="M2715">
        <v>1</v>
      </c>
      <c r="N2715">
        <v>0</v>
      </c>
      <c r="O2715">
        <v>2089</v>
      </c>
    </row>
    <row r="2716" spans="1:15" x14ac:dyDescent="0.25">
      <c r="A2716" t="s">
        <v>2729</v>
      </c>
      <c r="B2716">
        <v>155</v>
      </c>
      <c r="C2716" s="1" t="str">
        <f>HYPERLINK("http://www.rosaceae.org/gb/gbrowse/malus_x_domestica/?name=MDP0000642530","MDP0000642530")</f>
        <v>MDP0000642530</v>
      </c>
      <c r="D2716">
        <v>70.42</v>
      </c>
      <c r="E2716">
        <v>142</v>
      </c>
      <c r="F2716">
        <v>42</v>
      </c>
      <c r="G2716">
        <v>2</v>
      </c>
      <c r="H2716">
        <v>15</v>
      </c>
      <c r="I2716">
        <v>155</v>
      </c>
      <c r="J2716">
        <v>1</v>
      </c>
      <c r="K2716">
        <v>534</v>
      </c>
      <c r="L2716">
        <v>674</v>
      </c>
      <c r="M2716">
        <v>1</v>
      </c>
      <c r="N2716">
        <v>2.6732200000000001E-50</v>
      </c>
      <c r="O2716">
        <v>493</v>
      </c>
    </row>
    <row r="2717" spans="1:15" x14ac:dyDescent="0.25">
      <c r="A2717" t="s">
        <v>2730</v>
      </c>
      <c r="B2717">
        <v>233</v>
      </c>
      <c r="C2717" s="1" t="str">
        <f>HYPERLINK("http://www.rosaceae.org/gb/gbrowse/malus_x_domestica/?name=MDP0000441962","MDP0000441962")</f>
        <v>MDP0000441962</v>
      </c>
      <c r="D2717">
        <v>62.08</v>
      </c>
      <c r="E2717">
        <v>211</v>
      </c>
      <c r="F2717">
        <v>80</v>
      </c>
      <c r="G2717">
        <v>4</v>
      </c>
      <c r="H2717">
        <v>21</v>
      </c>
      <c r="I2717">
        <v>231</v>
      </c>
      <c r="J2717">
        <v>1</v>
      </c>
      <c r="K2717">
        <v>145</v>
      </c>
      <c r="L2717">
        <v>351</v>
      </c>
      <c r="M2717">
        <v>1</v>
      </c>
      <c r="N2717">
        <v>1.7554499999999999E-68</v>
      </c>
      <c r="O2717">
        <v>653</v>
      </c>
    </row>
    <row r="2718" spans="1:15" x14ac:dyDescent="0.25">
      <c r="A2718" t="s">
        <v>2731</v>
      </c>
      <c r="B2718">
        <v>270</v>
      </c>
      <c r="C2718" s="1" t="str">
        <f>HYPERLINK("http://www.rosaceae.org/gb/gbrowse/malus_x_domestica/?name=MDP0000187872","MDP0000187872")</f>
        <v>MDP0000187872</v>
      </c>
      <c r="D2718">
        <v>54.57</v>
      </c>
      <c r="E2718">
        <v>273</v>
      </c>
      <c r="F2718">
        <v>124</v>
      </c>
      <c r="G2718">
        <v>16</v>
      </c>
      <c r="H2718">
        <v>1</v>
      </c>
      <c r="I2718">
        <v>260</v>
      </c>
      <c r="J2718">
        <v>1</v>
      </c>
      <c r="K2718">
        <v>1</v>
      </c>
      <c r="L2718">
        <v>270</v>
      </c>
      <c r="M2718">
        <v>1</v>
      </c>
      <c r="N2718">
        <v>6.3327100000000003E-78</v>
      </c>
      <c r="O2718">
        <v>735</v>
      </c>
    </row>
    <row r="2719" spans="1:15" x14ac:dyDescent="0.25">
      <c r="A2719" t="s">
        <v>2732</v>
      </c>
      <c r="B2719">
        <v>405</v>
      </c>
      <c r="C2719" s="1" t="str">
        <f>HYPERLINK("http://www.rosaceae.org/gb/gbrowse/malus_x_domestica/?name=MDP0000130897","MDP0000130897")</f>
        <v>MDP0000130897</v>
      </c>
      <c r="D2719">
        <v>36.869999999999997</v>
      </c>
      <c r="E2719">
        <v>179</v>
      </c>
      <c r="F2719">
        <v>113</v>
      </c>
      <c r="G2719">
        <v>34</v>
      </c>
      <c r="H2719">
        <v>96</v>
      </c>
      <c r="I2719">
        <v>241</v>
      </c>
      <c r="J2719">
        <v>1</v>
      </c>
      <c r="K2719">
        <v>13</v>
      </c>
      <c r="L2719">
        <v>190</v>
      </c>
      <c r="M2719">
        <v>1</v>
      </c>
      <c r="N2719">
        <v>6.6659699999999999E-25</v>
      </c>
      <c r="O2719">
        <v>280</v>
      </c>
    </row>
    <row r="2720" spans="1:15" x14ac:dyDescent="0.25">
      <c r="A2720" t="s">
        <v>2733</v>
      </c>
      <c r="B2720">
        <v>446</v>
      </c>
      <c r="C2720" s="1" t="str">
        <f>HYPERLINK("http://www.rosaceae.org/gb/gbrowse/malus_x_domestica/?name=MDP0000142371","MDP0000142371")</f>
        <v>MDP0000142371</v>
      </c>
      <c r="D2720">
        <v>67.430000000000007</v>
      </c>
      <c r="E2720">
        <v>436</v>
      </c>
      <c r="F2720">
        <v>142</v>
      </c>
      <c r="G2720">
        <v>43</v>
      </c>
      <c r="H2720">
        <v>17</v>
      </c>
      <c r="I2720">
        <v>439</v>
      </c>
      <c r="J2720">
        <v>1</v>
      </c>
      <c r="K2720">
        <v>12</v>
      </c>
      <c r="L2720">
        <v>417</v>
      </c>
      <c r="M2720">
        <v>1</v>
      </c>
      <c r="N2720">
        <v>2.8406E-164</v>
      </c>
      <c r="O2720">
        <v>1483</v>
      </c>
    </row>
    <row r="2721" spans="1:15" x14ac:dyDescent="0.25">
      <c r="A2721" t="s">
        <v>2734</v>
      </c>
      <c r="B2721">
        <v>275</v>
      </c>
      <c r="C2721" s="1" t="str">
        <f>HYPERLINK("http://www.rosaceae.org/gb/gbrowse/malus_x_domestica/?name=MDP0000238896","MDP0000238896")</f>
        <v>MDP0000238896</v>
      </c>
      <c r="D2721">
        <v>84.26</v>
      </c>
      <c r="E2721">
        <v>267</v>
      </c>
      <c r="F2721">
        <v>42</v>
      </c>
      <c r="G2721">
        <v>0</v>
      </c>
      <c r="H2721">
        <v>9</v>
      </c>
      <c r="I2721">
        <v>275</v>
      </c>
      <c r="J2721">
        <v>1</v>
      </c>
      <c r="K2721">
        <v>7</v>
      </c>
      <c r="L2721">
        <v>273</v>
      </c>
      <c r="M2721">
        <v>1</v>
      </c>
      <c r="N2721">
        <v>1.11317E-132</v>
      </c>
      <c r="O2721">
        <v>1208</v>
      </c>
    </row>
    <row r="2722" spans="1:15" x14ac:dyDescent="0.25">
      <c r="A2722" t="s">
        <v>2735</v>
      </c>
      <c r="B2722">
        <v>277</v>
      </c>
      <c r="C2722" s="1" t="str">
        <f>HYPERLINK("http://www.rosaceae.org/gb/gbrowse/malus_x_domestica/?name=MDP0000160816","MDP0000160816")</f>
        <v>MDP0000160816</v>
      </c>
      <c r="D2722">
        <v>86.53</v>
      </c>
      <c r="E2722">
        <v>52</v>
      </c>
      <c r="F2722">
        <v>7</v>
      </c>
      <c r="G2722">
        <v>1</v>
      </c>
      <c r="H2722">
        <v>3</v>
      </c>
      <c r="I2722">
        <v>54</v>
      </c>
      <c r="J2722">
        <v>1</v>
      </c>
      <c r="K2722">
        <v>661</v>
      </c>
      <c r="L2722">
        <v>711</v>
      </c>
      <c r="M2722">
        <v>1</v>
      </c>
      <c r="N2722">
        <v>2.5492E-19</v>
      </c>
      <c r="O2722">
        <v>230</v>
      </c>
    </row>
    <row r="2723" spans="1:15" x14ac:dyDescent="0.25">
      <c r="A2723" t="s">
        <v>2736</v>
      </c>
      <c r="B2723">
        <v>515</v>
      </c>
      <c r="C2723" s="1" t="str">
        <f>HYPERLINK("http://www.rosaceae.org/gb/gbrowse/malus_x_domestica/?name=MDP0000876630","MDP0000876630")</f>
        <v>MDP0000876630</v>
      </c>
      <c r="D2723">
        <v>73.319999999999993</v>
      </c>
      <c r="E2723">
        <v>506</v>
      </c>
      <c r="F2723">
        <v>135</v>
      </c>
      <c r="G2723">
        <v>28</v>
      </c>
      <c r="H2723">
        <v>4</v>
      </c>
      <c r="I2723">
        <v>509</v>
      </c>
      <c r="J2723">
        <v>1</v>
      </c>
      <c r="K2723">
        <v>3</v>
      </c>
      <c r="L2723">
        <v>480</v>
      </c>
      <c r="M2723">
        <v>1</v>
      </c>
      <c r="N2723">
        <v>0</v>
      </c>
      <c r="O2723">
        <v>1938</v>
      </c>
    </row>
    <row r="2724" spans="1:15" x14ac:dyDescent="0.25">
      <c r="A2724" t="s">
        <v>2737</v>
      </c>
      <c r="B2724">
        <v>290</v>
      </c>
      <c r="C2724" s="1" t="str">
        <f>HYPERLINK("http://www.rosaceae.org/gb/gbrowse/malus_x_domestica/?name=MDP0000179739","MDP0000179739")</f>
        <v>MDP0000179739</v>
      </c>
      <c r="D2724">
        <v>72.349999999999994</v>
      </c>
      <c r="E2724">
        <v>123</v>
      </c>
      <c r="F2724">
        <v>34</v>
      </c>
      <c r="G2724">
        <v>4</v>
      </c>
      <c r="H2724">
        <v>172</v>
      </c>
      <c r="I2724">
        <v>290</v>
      </c>
      <c r="J2724">
        <v>1</v>
      </c>
      <c r="K2724">
        <v>795</v>
      </c>
      <c r="L2724">
        <v>917</v>
      </c>
      <c r="M2724">
        <v>1</v>
      </c>
      <c r="N2724">
        <v>1.2294300000000001E-45</v>
      </c>
      <c r="O2724">
        <v>457</v>
      </c>
    </row>
    <row r="2725" spans="1:15" x14ac:dyDescent="0.25">
      <c r="A2725" t="s">
        <v>2738</v>
      </c>
      <c r="B2725">
        <v>185</v>
      </c>
      <c r="C2725" s="1" t="str">
        <f>HYPERLINK("http://www.rosaceae.org/gb/gbrowse/malus_x_domestica/?name=MDP0000207132","MDP0000207132")</f>
        <v>MDP0000207132</v>
      </c>
      <c r="D2725">
        <v>35.67</v>
      </c>
      <c r="E2725">
        <v>171</v>
      </c>
      <c r="F2725">
        <v>110</v>
      </c>
      <c r="G2725">
        <v>8</v>
      </c>
      <c r="H2725">
        <v>2</v>
      </c>
      <c r="I2725">
        <v>165</v>
      </c>
      <c r="J2725">
        <v>1</v>
      </c>
      <c r="K2725">
        <v>50</v>
      </c>
      <c r="L2725">
        <v>219</v>
      </c>
      <c r="M2725">
        <v>1</v>
      </c>
      <c r="N2725">
        <v>8.7320299999999997E-26</v>
      </c>
      <c r="O2725">
        <v>283</v>
      </c>
    </row>
    <row r="2726" spans="1:15" x14ac:dyDescent="0.25">
      <c r="A2726" t="s">
        <v>2739</v>
      </c>
      <c r="B2726">
        <v>119</v>
      </c>
      <c r="C2726" s="1" t="str">
        <f>HYPERLINK("http://www.rosaceae.org/gb/gbrowse/malus_x_domestica/?name=MDP0000318293","MDP0000318293")</f>
        <v>MDP0000318293</v>
      </c>
      <c r="D2726">
        <v>58.46</v>
      </c>
      <c r="E2726">
        <v>65</v>
      </c>
      <c r="F2726">
        <v>27</v>
      </c>
      <c r="G2726">
        <v>0</v>
      </c>
      <c r="H2726">
        <v>31</v>
      </c>
      <c r="I2726">
        <v>95</v>
      </c>
      <c r="J2726">
        <v>1</v>
      </c>
      <c r="K2726">
        <v>92</v>
      </c>
      <c r="L2726">
        <v>156</v>
      </c>
      <c r="M2726">
        <v>1</v>
      </c>
      <c r="N2726">
        <v>5.2204099999999998E-17</v>
      </c>
      <c r="O2726">
        <v>204</v>
      </c>
    </row>
    <row r="2727" spans="1:15" x14ac:dyDescent="0.25">
      <c r="A2727" t="s">
        <v>2740</v>
      </c>
      <c r="B2727">
        <v>1264</v>
      </c>
      <c r="C2727" s="1" t="str">
        <f>HYPERLINK("http://www.rosaceae.org/gb/gbrowse/malus_x_domestica/?name=MDP0000248694","MDP0000248694")</f>
        <v>MDP0000248694</v>
      </c>
      <c r="D2727">
        <v>79.819999999999993</v>
      </c>
      <c r="E2727">
        <v>793</v>
      </c>
      <c r="F2727">
        <v>160</v>
      </c>
      <c r="G2727">
        <v>10</v>
      </c>
      <c r="H2727">
        <v>184</v>
      </c>
      <c r="I2727">
        <v>974</v>
      </c>
      <c r="J2727">
        <v>1</v>
      </c>
      <c r="K2727">
        <v>32</v>
      </c>
      <c r="L2727">
        <v>816</v>
      </c>
      <c r="M2727">
        <v>1</v>
      </c>
      <c r="N2727">
        <v>0</v>
      </c>
      <c r="O2727">
        <v>3341</v>
      </c>
    </row>
    <row r="2728" spans="1:15" x14ac:dyDescent="0.25">
      <c r="A2728" t="s">
        <v>2741</v>
      </c>
      <c r="B2728">
        <v>78</v>
      </c>
      <c r="C2728" s="1" t="str">
        <f>HYPERLINK("http://www.rosaceae.org/gb/gbrowse/malus_x_domestica/?name=MDP0000290415","MDP0000290415")</f>
        <v>MDP0000290415</v>
      </c>
      <c r="D2728">
        <v>75</v>
      </c>
      <c r="E2728">
        <v>40</v>
      </c>
      <c r="F2728">
        <v>10</v>
      </c>
      <c r="G2728">
        <v>0</v>
      </c>
      <c r="H2728">
        <v>39</v>
      </c>
      <c r="I2728">
        <v>78</v>
      </c>
      <c r="J2728">
        <v>1</v>
      </c>
      <c r="K2728">
        <v>55</v>
      </c>
      <c r="L2728">
        <v>94</v>
      </c>
      <c r="M2728">
        <v>1</v>
      </c>
      <c r="N2728">
        <v>1.18573E-12</v>
      </c>
      <c r="O2728">
        <v>167</v>
      </c>
    </row>
    <row r="2729" spans="1:15" x14ac:dyDescent="0.25">
      <c r="A2729" t="s">
        <v>2742</v>
      </c>
      <c r="B2729">
        <v>821</v>
      </c>
      <c r="C2729" s="1" t="str">
        <f>HYPERLINK("http://www.rosaceae.org/gb/gbrowse/malus_x_domestica/?name=MDP0000312861","MDP0000312861")</f>
        <v>MDP0000312861</v>
      </c>
      <c r="D2729">
        <v>46.8</v>
      </c>
      <c r="E2729">
        <v>329</v>
      </c>
      <c r="F2729">
        <v>175</v>
      </c>
      <c r="G2729">
        <v>17</v>
      </c>
      <c r="H2729">
        <v>3</v>
      </c>
      <c r="I2729">
        <v>331</v>
      </c>
      <c r="J2729">
        <v>1</v>
      </c>
      <c r="K2729">
        <v>2</v>
      </c>
      <c r="L2729">
        <v>313</v>
      </c>
      <c r="M2729">
        <v>1</v>
      </c>
      <c r="N2729">
        <v>1.2368299999999999E-72</v>
      </c>
      <c r="O2729">
        <v>695</v>
      </c>
    </row>
    <row r="2730" spans="1:15" x14ac:dyDescent="0.25">
      <c r="A2730" t="s">
        <v>2743</v>
      </c>
      <c r="B2730">
        <v>133</v>
      </c>
      <c r="C2730" s="1" t="str">
        <f>HYPERLINK("http://www.rosaceae.org/gb/gbrowse/malus_x_domestica/?name=MDP0000261311","MDP0000261311")</f>
        <v>MDP0000261311</v>
      </c>
      <c r="D2730">
        <v>25.68</v>
      </c>
      <c r="E2730">
        <v>109</v>
      </c>
      <c r="F2730">
        <v>81</v>
      </c>
      <c r="G2730">
        <v>3</v>
      </c>
      <c r="H2730">
        <v>1</v>
      </c>
      <c r="I2730">
        <v>109</v>
      </c>
      <c r="J2730">
        <v>1</v>
      </c>
      <c r="K2730">
        <v>528</v>
      </c>
      <c r="L2730">
        <v>633</v>
      </c>
      <c r="M2730">
        <v>1</v>
      </c>
      <c r="N2730">
        <v>9.6684800000000001E-9</v>
      </c>
      <c r="O2730">
        <v>134</v>
      </c>
    </row>
    <row r="2731" spans="1:15" x14ac:dyDescent="0.25">
      <c r="A2731" t="s">
        <v>2744</v>
      </c>
      <c r="B2731">
        <v>548</v>
      </c>
      <c r="C2731" s="1" t="str">
        <f>HYPERLINK("http://www.rosaceae.org/gb/gbrowse/malus_x_domestica/?name=MDP0000920355","MDP0000920355")</f>
        <v>MDP0000920355</v>
      </c>
      <c r="D2731">
        <v>83.7</v>
      </c>
      <c r="E2731">
        <v>497</v>
      </c>
      <c r="F2731">
        <v>81</v>
      </c>
      <c r="G2731">
        <v>6</v>
      </c>
      <c r="H2731">
        <v>1</v>
      </c>
      <c r="I2731">
        <v>491</v>
      </c>
      <c r="J2731">
        <v>1</v>
      </c>
      <c r="K2731">
        <v>1</v>
      </c>
      <c r="L2731">
        <v>497</v>
      </c>
      <c r="M2731">
        <v>1</v>
      </c>
      <c r="N2731">
        <v>0</v>
      </c>
      <c r="O2731">
        <v>2164</v>
      </c>
    </row>
    <row r="2732" spans="1:15" x14ac:dyDescent="0.25">
      <c r="A2732" t="s">
        <v>2745</v>
      </c>
      <c r="B2732">
        <v>338</v>
      </c>
      <c r="C2732" s="1" t="str">
        <f>HYPERLINK("http://www.rosaceae.org/gb/gbrowse/malus_x_domestica/?name=MDP0000262669","MDP0000262669")</f>
        <v>MDP0000262669</v>
      </c>
      <c r="D2732">
        <v>60.37</v>
      </c>
      <c r="E2732">
        <v>270</v>
      </c>
      <c r="F2732">
        <v>107</v>
      </c>
      <c r="G2732">
        <v>68</v>
      </c>
      <c r="H2732">
        <v>123</v>
      </c>
      <c r="I2732">
        <v>324</v>
      </c>
      <c r="J2732">
        <v>1</v>
      </c>
      <c r="K2732">
        <v>3</v>
      </c>
      <c r="L2732">
        <v>272</v>
      </c>
      <c r="M2732">
        <v>1</v>
      </c>
      <c r="N2732">
        <v>2.28423E-79</v>
      </c>
      <c r="O2732">
        <v>749</v>
      </c>
    </row>
    <row r="2733" spans="1:15" x14ac:dyDescent="0.25">
      <c r="A2733" t="s">
        <v>2746</v>
      </c>
      <c r="B2733">
        <v>710</v>
      </c>
      <c r="C2733" s="1" t="str">
        <f>HYPERLINK("http://www.rosaceae.org/gb/gbrowse/malus_x_domestica/?name=MDP0000251336","MDP0000251336")</f>
        <v>MDP0000251336</v>
      </c>
      <c r="D2733">
        <v>49.78</v>
      </c>
      <c r="E2733">
        <v>691</v>
      </c>
      <c r="F2733">
        <v>347</v>
      </c>
      <c r="G2733">
        <v>28</v>
      </c>
      <c r="H2733">
        <v>18</v>
      </c>
      <c r="I2733">
        <v>692</v>
      </c>
      <c r="J2733">
        <v>1</v>
      </c>
      <c r="K2733">
        <v>16</v>
      </c>
      <c r="L2733">
        <v>694</v>
      </c>
      <c r="M2733">
        <v>1</v>
      </c>
      <c r="N2733">
        <v>8.0715300000000003E-171</v>
      </c>
      <c r="O2733">
        <v>1541</v>
      </c>
    </row>
    <row r="2734" spans="1:15" x14ac:dyDescent="0.25">
      <c r="A2734" t="s">
        <v>2747</v>
      </c>
      <c r="B2734">
        <v>214</v>
      </c>
      <c r="C2734" s="1" t="str">
        <f>HYPERLINK("http://www.rosaceae.org/gb/gbrowse/malus_x_domestica/?name=MDP0000153224","MDP0000153224")</f>
        <v>MDP0000153224</v>
      </c>
      <c r="D2734">
        <v>68.25</v>
      </c>
      <c r="E2734">
        <v>63</v>
      </c>
      <c r="F2734">
        <v>20</v>
      </c>
      <c r="G2734">
        <v>6</v>
      </c>
      <c r="H2734">
        <v>77</v>
      </c>
      <c r="I2734">
        <v>139</v>
      </c>
      <c r="J2734">
        <v>1</v>
      </c>
      <c r="K2734">
        <v>709</v>
      </c>
      <c r="L2734">
        <v>765</v>
      </c>
      <c r="M2734">
        <v>1</v>
      </c>
      <c r="N2734">
        <v>4.9723E-17</v>
      </c>
      <c r="O2734">
        <v>209</v>
      </c>
    </row>
    <row r="2735" spans="1:15" x14ac:dyDescent="0.25">
      <c r="A2735" t="s">
        <v>2748</v>
      </c>
      <c r="B2735">
        <v>346</v>
      </c>
      <c r="C2735" s="1" t="str">
        <f>HYPERLINK("http://www.rosaceae.org/gb/gbrowse/malus_x_domestica/?name=MDP0000185481","MDP0000185481")</f>
        <v>MDP0000185481</v>
      </c>
      <c r="D2735">
        <v>39.520000000000003</v>
      </c>
      <c r="E2735">
        <v>253</v>
      </c>
      <c r="F2735">
        <v>153</v>
      </c>
      <c r="G2735">
        <v>88</v>
      </c>
      <c r="H2735">
        <v>1</v>
      </c>
      <c r="I2735">
        <v>165</v>
      </c>
      <c r="J2735">
        <v>1</v>
      </c>
      <c r="K2735">
        <v>414</v>
      </c>
      <c r="L2735">
        <v>666</v>
      </c>
      <c r="M2735">
        <v>1</v>
      </c>
      <c r="N2735">
        <v>1.78411E-40</v>
      </c>
      <c r="O2735">
        <v>414</v>
      </c>
    </row>
    <row r="2736" spans="1:15" x14ac:dyDescent="0.25">
      <c r="A2736" t="s">
        <v>2749</v>
      </c>
      <c r="B2736">
        <v>490</v>
      </c>
      <c r="C2736" s="1" t="str">
        <f>HYPERLINK("http://www.rosaceae.org/gb/gbrowse/malus_x_domestica/?name=MDP0000192892","MDP0000192892")</f>
        <v>MDP0000192892</v>
      </c>
      <c r="D2736">
        <v>74.760000000000005</v>
      </c>
      <c r="E2736">
        <v>432</v>
      </c>
      <c r="F2736">
        <v>109</v>
      </c>
      <c r="G2736">
        <v>13</v>
      </c>
      <c r="H2736">
        <v>1</v>
      </c>
      <c r="I2736">
        <v>425</v>
      </c>
      <c r="J2736">
        <v>1</v>
      </c>
      <c r="K2736">
        <v>1</v>
      </c>
      <c r="L2736">
        <v>426</v>
      </c>
      <c r="M2736">
        <v>1</v>
      </c>
      <c r="N2736">
        <v>0</v>
      </c>
      <c r="O2736">
        <v>1659</v>
      </c>
    </row>
    <row r="2737" spans="1:15" x14ac:dyDescent="0.25">
      <c r="A2737" t="s">
        <v>2750</v>
      </c>
      <c r="B2737">
        <v>300</v>
      </c>
      <c r="C2737" s="1" t="str">
        <f>HYPERLINK("http://www.rosaceae.org/gb/gbrowse/malus_x_domestica/?name=MDP0000256723","MDP0000256723")</f>
        <v>MDP0000256723</v>
      </c>
      <c r="D2737">
        <v>24.42</v>
      </c>
      <c r="E2737">
        <v>303</v>
      </c>
      <c r="F2737">
        <v>229</v>
      </c>
      <c r="G2737">
        <v>36</v>
      </c>
      <c r="H2737">
        <v>17</v>
      </c>
      <c r="I2737">
        <v>289</v>
      </c>
      <c r="J2737">
        <v>1</v>
      </c>
      <c r="K2737">
        <v>328</v>
      </c>
      <c r="L2737">
        <v>624</v>
      </c>
      <c r="M2737">
        <v>1</v>
      </c>
      <c r="N2737">
        <v>3.1674799999999997E-11</v>
      </c>
      <c r="O2737">
        <v>161</v>
      </c>
    </row>
    <row r="2738" spans="1:15" x14ac:dyDescent="0.25">
      <c r="A2738" t="s">
        <v>2751</v>
      </c>
      <c r="B2738">
        <v>186</v>
      </c>
      <c r="C2738" s="1" t="str">
        <f>HYPERLINK("http://www.rosaceae.org/gb/gbrowse/malus_x_domestica/?name=MDP0000205210","MDP0000205210")</f>
        <v>MDP0000205210</v>
      </c>
      <c r="D2738">
        <v>64.78</v>
      </c>
      <c r="E2738">
        <v>142</v>
      </c>
      <c r="F2738">
        <v>50</v>
      </c>
      <c r="G2738">
        <v>1</v>
      </c>
      <c r="H2738">
        <v>45</v>
      </c>
      <c r="I2738">
        <v>186</v>
      </c>
      <c r="J2738">
        <v>1</v>
      </c>
      <c r="K2738">
        <v>44</v>
      </c>
      <c r="L2738">
        <v>184</v>
      </c>
      <c r="M2738">
        <v>1</v>
      </c>
      <c r="N2738">
        <v>4.2145299999999998E-45</v>
      </c>
      <c r="O2738">
        <v>450</v>
      </c>
    </row>
    <row r="2739" spans="1:15" x14ac:dyDescent="0.25">
      <c r="A2739" t="s">
        <v>2752</v>
      </c>
      <c r="B2739">
        <v>126</v>
      </c>
      <c r="C2739" s="1" t="str">
        <f>HYPERLINK("http://www.rosaceae.org/gb/gbrowse/malus_x_domestica/?name=MDP0000566066","MDP0000566066")</f>
        <v>MDP0000566066</v>
      </c>
      <c r="D2739">
        <v>31.91</v>
      </c>
      <c r="E2739">
        <v>94</v>
      </c>
      <c r="F2739">
        <v>64</v>
      </c>
      <c r="G2739">
        <v>3</v>
      </c>
      <c r="H2739">
        <v>4</v>
      </c>
      <c r="I2739">
        <v>97</v>
      </c>
      <c r="J2739">
        <v>1</v>
      </c>
      <c r="K2739">
        <v>163</v>
      </c>
      <c r="L2739">
        <v>253</v>
      </c>
      <c r="M2739">
        <v>1</v>
      </c>
      <c r="N2739">
        <v>2.6424100000000002E-7</v>
      </c>
      <c r="O2739">
        <v>121</v>
      </c>
    </row>
    <row r="2740" spans="1:15" x14ac:dyDescent="0.25">
      <c r="A2740" t="s">
        <v>2753</v>
      </c>
      <c r="B2740">
        <v>1245</v>
      </c>
      <c r="C2740" s="1" t="str">
        <f>HYPERLINK("http://www.rosaceae.org/gb/gbrowse/malus_x_domestica/?name=MDP0000120381","MDP0000120381")</f>
        <v>MDP0000120381</v>
      </c>
      <c r="D2740">
        <v>63.31</v>
      </c>
      <c r="E2740">
        <v>1115</v>
      </c>
      <c r="F2740">
        <v>409</v>
      </c>
      <c r="G2740">
        <v>31</v>
      </c>
      <c r="H2740">
        <v>138</v>
      </c>
      <c r="I2740">
        <v>1231</v>
      </c>
      <c r="J2740">
        <v>1</v>
      </c>
      <c r="K2740">
        <v>10</v>
      </c>
      <c r="L2740">
        <v>1114</v>
      </c>
      <c r="M2740">
        <v>1</v>
      </c>
      <c r="N2740">
        <v>0</v>
      </c>
      <c r="O2740">
        <v>3346</v>
      </c>
    </row>
    <row r="2741" spans="1:15" x14ac:dyDescent="0.25">
      <c r="A2741" t="s">
        <v>2754</v>
      </c>
      <c r="B2741">
        <v>322</v>
      </c>
      <c r="C2741" s="1" t="str">
        <f>HYPERLINK("http://www.rosaceae.org/gb/gbrowse/malus_x_domestica/?name=MDP0000404722","MDP0000404722")</f>
        <v>MDP0000404722</v>
      </c>
      <c r="D2741">
        <v>71.12</v>
      </c>
      <c r="E2741">
        <v>284</v>
      </c>
      <c r="F2741">
        <v>82</v>
      </c>
      <c r="G2741">
        <v>10</v>
      </c>
      <c r="H2741">
        <v>43</v>
      </c>
      <c r="I2741">
        <v>320</v>
      </c>
      <c r="J2741">
        <v>1</v>
      </c>
      <c r="K2741">
        <v>118</v>
      </c>
      <c r="L2741">
        <v>397</v>
      </c>
      <c r="M2741">
        <v>1</v>
      </c>
      <c r="N2741">
        <v>6.5560400000000001E-112</v>
      </c>
      <c r="O2741">
        <v>1029</v>
      </c>
    </row>
    <row r="2742" spans="1:15" x14ac:dyDescent="0.25">
      <c r="A2742" t="s">
        <v>2755</v>
      </c>
      <c r="B2742">
        <v>323</v>
      </c>
      <c r="C2742" s="1" t="str">
        <f>HYPERLINK("http://www.rosaceae.org/gb/gbrowse/malus_x_domestica/?name=MDP0000247921","MDP0000247921")</f>
        <v>MDP0000247921</v>
      </c>
      <c r="D2742">
        <v>47.27</v>
      </c>
      <c r="E2742">
        <v>55</v>
      </c>
      <c r="F2742">
        <v>29</v>
      </c>
      <c r="G2742">
        <v>1</v>
      </c>
      <c r="H2742">
        <v>97</v>
      </c>
      <c r="I2742">
        <v>151</v>
      </c>
      <c r="J2742">
        <v>1</v>
      </c>
      <c r="K2742">
        <v>728</v>
      </c>
      <c r="L2742">
        <v>781</v>
      </c>
      <c r="M2742">
        <v>1</v>
      </c>
      <c r="N2742">
        <v>1.7719099999999999E-7</v>
      </c>
      <c r="O2742">
        <v>129</v>
      </c>
    </row>
    <row r="2743" spans="1:15" x14ac:dyDescent="0.25">
      <c r="A2743" t="s">
        <v>2756</v>
      </c>
      <c r="B2743">
        <v>250</v>
      </c>
      <c r="C2743" s="1" t="str">
        <f>HYPERLINK("http://www.rosaceae.org/gb/gbrowse/malus_x_domestica/?name=MDP0000156145","MDP0000156145")</f>
        <v>MDP0000156145</v>
      </c>
      <c r="D2743">
        <v>73.44</v>
      </c>
      <c r="E2743">
        <v>177</v>
      </c>
      <c r="F2743">
        <v>47</v>
      </c>
      <c r="G2743">
        <v>10</v>
      </c>
      <c r="H2743">
        <v>2</v>
      </c>
      <c r="I2743">
        <v>168</v>
      </c>
      <c r="J2743">
        <v>1</v>
      </c>
      <c r="K2743">
        <v>3</v>
      </c>
      <c r="L2743">
        <v>179</v>
      </c>
      <c r="M2743">
        <v>1</v>
      </c>
      <c r="N2743">
        <v>7.9528099999999998E-71</v>
      </c>
      <c r="O2743">
        <v>674</v>
      </c>
    </row>
    <row r="2744" spans="1:15" x14ac:dyDescent="0.25">
      <c r="A2744" t="s">
        <v>2757</v>
      </c>
      <c r="B2744">
        <v>147</v>
      </c>
      <c r="C2744" s="1" t="str">
        <f>HYPERLINK("http://www.rosaceae.org/gb/gbrowse/malus_x_domestica/?name=MDP0000272832","MDP0000272832")</f>
        <v>MDP0000272832</v>
      </c>
      <c r="D2744">
        <v>87.5</v>
      </c>
      <c r="E2744">
        <v>128</v>
      </c>
      <c r="F2744">
        <v>16</v>
      </c>
      <c r="G2744">
        <v>0</v>
      </c>
      <c r="H2744">
        <v>20</v>
      </c>
      <c r="I2744">
        <v>147</v>
      </c>
      <c r="J2744">
        <v>1</v>
      </c>
      <c r="K2744">
        <v>959</v>
      </c>
      <c r="L2744">
        <v>1086</v>
      </c>
      <c r="M2744">
        <v>1</v>
      </c>
      <c r="N2744">
        <v>2.5217200000000002E-66</v>
      </c>
      <c r="O2744">
        <v>631</v>
      </c>
    </row>
    <row r="2745" spans="1:15" x14ac:dyDescent="0.25">
      <c r="A2745" t="s">
        <v>2758</v>
      </c>
      <c r="B2745">
        <v>102</v>
      </c>
      <c r="C2745" s="1" t="str">
        <f>HYPERLINK("http://www.rosaceae.org/gb/gbrowse/malus_x_domestica/?name=MDP0000322668","MDP0000322668")</f>
        <v>MDP0000322668</v>
      </c>
      <c r="D2745">
        <v>79.59</v>
      </c>
      <c r="E2745">
        <v>49</v>
      </c>
      <c r="F2745">
        <v>10</v>
      </c>
      <c r="G2745">
        <v>0</v>
      </c>
      <c r="H2745">
        <v>1</v>
      </c>
      <c r="I2745">
        <v>49</v>
      </c>
      <c r="J2745">
        <v>1</v>
      </c>
      <c r="K2745">
        <v>344</v>
      </c>
      <c r="L2745">
        <v>392</v>
      </c>
      <c r="M2745">
        <v>1</v>
      </c>
      <c r="N2745">
        <v>2.13244E-18</v>
      </c>
      <c r="O2745">
        <v>216</v>
      </c>
    </row>
    <row r="2746" spans="1:15" x14ac:dyDescent="0.25">
      <c r="A2746" t="s">
        <v>2759</v>
      </c>
      <c r="B2746">
        <v>155</v>
      </c>
      <c r="C2746" s="1" t="str">
        <f>HYPERLINK("http://www.rosaceae.org/gb/gbrowse/malus_x_domestica/?name=MDP0000382657","MDP0000382657")</f>
        <v>MDP0000382657</v>
      </c>
      <c r="D2746">
        <v>80.55</v>
      </c>
      <c r="E2746">
        <v>36</v>
      </c>
      <c r="F2746">
        <v>7</v>
      </c>
      <c r="G2746">
        <v>0</v>
      </c>
      <c r="H2746">
        <v>97</v>
      </c>
      <c r="I2746">
        <v>132</v>
      </c>
      <c r="J2746">
        <v>1</v>
      </c>
      <c r="K2746">
        <v>1</v>
      </c>
      <c r="L2746">
        <v>36</v>
      </c>
      <c r="M2746">
        <v>1</v>
      </c>
      <c r="N2746">
        <v>3.9696999999999997E-10</v>
      </c>
      <c r="O2746">
        <v>147</v>
      </c>
    </row>
    <row r="2747" spans="1:15" x14ac:dyDescent="0.25">
      <c r="A2747" t="s">
        <v>2760</v>
      </c>
      <c r="B2747">
        <v>124</v>
      </c>
      <c r="C2747" s="1" t="str">
        <f>HYPERLINK("http://www.rosaceae.org/gb/gbrowse/malus_x_domestica/?name=MDP0000342145","MDP0000342145")</f>
        <v>MDP0000342145</v>
      </c>
      <c r="D2747">
        <v>57.81</v>
      </c>
      <c r="E2747">
        <v>64</v>
      </c>
      <c r="F2747">
        <v>27</v>
      </c>
      <c r="G2747">
        <v>2</v>
      </c>
      <c r="H2747">
        <v>63</v>
      </c>
      <c r="I2747">
        <v>124</v>
      </c>
      <c r="J2747">
        <v>1</v>
      </c>
      <c r="K2747">
        <v>13</v>
      </c>
      <c r="L2747">
        <v>76</v>
      </c>
      <c r="M2747">
        <v>1</v>
      </c>
      <c r="N2747">
        <v>2.3105699999999999E-8</v>
      </c>
      <c r="O2747">
        <v>130</v>
      </c>
    </row>
    <row r="2748" spans="1:15" x14ac:dyDescent="0.25">
      <c r="A2748" t="s">
        <v>2761</v>
      </c>
      <c r="B2748">
        <v>250</v>
      </c>
      <c r="C2748" s="1" t="str">
        <f>HYPERLINK("http://www.rosaceae.org/gb/gbrowse/malus_x_domestica/?name=MDP0000186728","MDP0000186728")</f>
        <v>MDP0000186728</v>
      </c>
      <c r="D2748">
        <v>38.630000000000003</v>
      </c>
      <c r="E2748">
        <v>176</v>
      </c>
      <c r="F2748">
        <v>108</v>
      </c>
      <c r="G2748">
        <v>12</v>
      </c>
      <c r="H2748">
        <v>59</v>
      </c>
      <c r="I2748">
        <v>228</v>
      </c>
      <c r="J2748">
        <v>1</v>
      </c>
      <c r="K2748">
        <v>3</v>
      </c>
      <c r="L2748">
        <v>172</v>
      </c>
      <c r="M2748">
        <v>1</v>
      </c>
      <c r="N2748">
        <v>1.0535300000000001E-21</v>
      </c>
      <c r="O2748">
        <v>250</v>
      </c>
    </row>
    <row r="2749" spans="1:15" x14ac:dyDescent="0.25">
      <c r="A2749" t="s">
        <v>2762</v>
      </c>
      <c r="B2749">
        <v>458</v>
      </c>
      <c r="C2749" s="1" t="str">
        <f>HYPERLINK("http://www.rosaceae.org/gb/gbrowse/malus_x_domestica/?name=MDP0000235299","MDP0000235299")</f>
        <v>MDP0000235299</v>
      </c>
      <c r="D2749">
        <v>67.459999999999994</v>
      </c>
      <c r="E2749">
        <v>458</v>
      </c>
      <c r="F2749">
        <v>149</v>
      </c>
      <c r="G2749">
        <v>10</v>
      </c>
      <c r="H2749">
        <v>9</v>
      </c>
      <c r="I2749">
        <v>458</v>
      </c>
      <c r="J2749">
        <v>1</v>
      </c>
      <c r="K2749">
        <v>376</v>
      </c>
      <c r="L2749">
        <v>831</v>
      </c>
      <c r="M2749">
        <v>1</v>
      </c>
      <c r="N2749">
        <v>4.48161E-179</v>
      </c>
      <c r="O2749">
        <v>1610</v>
      </c>
    </row>
    <row r="2750" spans="1:15" x14ac:dyDescent="0.25">
      <c r="A2750" t="s">
        <v>2763</v>
      </c>
      <c r="B2750">
        <v>160</v>
      </c>
      <c r="C2750" s="1" t="str">
        <f>HYPERLINK("http://www.rosaceae.org/gb/gbrowse/malus_x_domestica/?name=MDP0000151829","MDP0000151829")</f>
        <v>MDP0000151829</v>
      </c>
      <c r="D2750">
        <v>80.62</v>
      </c>
      <c r="E2750">
        <v>160</v>
      </c>
      <c r="F2750">
        <v>31</v>
      </c>
      <c r="G2750">
        <v>1</v>
      </c>
      <c r="H2750">
        <v>1</v>
      </c>
      <c r="I2750">
        <v>159</v>
      </c>
      <c r="J2750">
        <v>1</v>
      </c>
      <c r="K2750">
        <v>1</v>
      </c>
      <c r="L2750">
        <v>160</v>
      </c>
      <c r="M2750">
        <v>1</v>
      </c>
      <c r="N2750">
        <v>1.1032799999999999E-69</v>
      </c>
      <c r="O2750">
        <v>661</v>
      </c>
    </row>
    <row r="2751" spans="1:15" x14ac:dyDescent="0.25">
      <c r="A2751" t="s">
        <v>2764</v>
      </c>
      <c r="B2751">
        <v>158</v>
      </c>
      <c r="C2751" s="1" t="str">
        <f>HYPERLINK("http://www.rosaceae.org/gb/gbrowse/malus_x_domestica/?name=MDP0000154566","MDP0000154566")</f>
        <v>MDP0000154566</v>
      </c>
      <c r="D2751">
        <v>56.09</v>
      </c>
      <c r="E2751">
        <v>123</v>
      </c>
      <c r="F2751">
        <v>54</v>
      </c>
      <c r="G2751">
        <v>27</v>
      </c>
      <c r="H2751">
        <v>56</v>
      </c>
      <c r="I2751">
        <v>158</v>
      </c>
      <c r="J2751">
        <v>1</v>
      </c>
      <c r="K2751">
        <v>44</v>
      </c>
      <c r="L2751">
        <v>159</v>
      </c>
      <c r="M2751">
        <v>1</v>
      </c>
      <c r="N2751">
        <v>1.31257E-24</v>
      </c>
      <c r="O2751">
        <v>272</v>
      </c>
    </row>
    <row r="2752" spans="1:15" x14ac:dyDescent="0.25">
      <c r="A2752" t="s">
        <v>2765</v>
      </c>
      <c r="B2752">
        <v>145</v>
      </c>
      <c r="C2752" s="1" t="str">
        <f>HYPERLINK("http://www.rosaceae.org/gb/gbrowse/malus_x_domestica/?name=MDP0000240686","MDP0000240686")</f>
        <v>MDP0000240686</v>
      </c>
      <c r="D2752">
        <v>62.93</v>
      </c>
      <c r="E2752">
        <v>116</v>
      </c>
      <c r="F2752">
        <v>43</v>
      </c>
      <c r="G2752">
        <v>11</v>
      </c>
      <c r="H2752">
        <v>1</v>
      </c>
      <c r="I2752">
        <v>116</v>
      </c>
      <c r="J2752">
        <v>1</v>
      </c>
      <c r="K2752">
        <v>1</v>
      </c>
      <c r="L2752">
        <v>105</v>
      </c>
      <c r="M2752">
        <v>1</v>
      </c>
      <c r="N2752">
        <v>4.3581600000000001E-32</v>
      </c>
      <c r="O2752">
        <v>336</v>
      </c>
    </row>
    <row r="2753" spans="1:15" x14ac:dyDescent="0.25">
      <c r="A2753" t="s">
        <v>2766</v>
      </c>
      <c r="B2753">
        <v>567</v>
      </c>
      <c r="C2753" s="1" t="str">
        <f>HYPERLINK("http://www.rosaceae.org/gb/gbrowse/malus_x_domestica/?name=MDP0000816260","MDP0000816260")</f>
        <v>MDP0000816260</v>
      </c>
      <c r="D2753">
        <v>73.069999999999993</v>
      </c>
      <c r="E2753">
        <v>572</v>
      </c>
      <c r="F2753">
        <v>154</v>
      </c>
      <c r="G2753">
        <v>13</v>
      </c>
      <c r="H2753">
        <v>1</v>
      </c>
      <c r="I2753">
        <v>567</v>
      </c>
      <c r="J2753">
        <v>1</v>
      </c>
      <c r="K2753">
        <v>1</v>
      </c>
      <c r="L2753">
        <v>564</v>
      </c>
      <c r="M2753">
        <v>1</v>
      </c>
      <c r="N2753">
        <v>0</v>
      </c>
      <c r="O2753">
        <v>2021</v>
      </c>
    </row>
    <row r="2754" spans="1:15" x14ac:dyDescent="0.25">
      <c r="A2754" t="s">
        <v>2767</v>
      </c>
      <c r="B2754">
        <v>292</v>
      </c>
      <c r="C2754" s="1" t="str">
        <f>HYPERLINK("http://www.rosaceae.org/gb/gbrowse/malus_x_domestica/?name=MDP0000206461","MDP0000206461")</f>
        <v>MDP0000206461</v>
      </c>
      <c r="D2754">
        <v>65</v>
      </c>
      <c r="E2754">
        <v>300</v>
      </c>
      <c r="F2754">
        <v>105</v>
      </c>
      <c r="G2754">
        <v>13</v>
      </c>
      <c r="H2754">
        <v>1</v>
      </c>
      <c r="I2754">
        <v>292</v>
      </c>
      <c r="J2754">
        <v>1</v>
      </c>
      <c r="K2754">
        <v>1</v>
      </c>
      <c r="L2754">
        <v>295</v>
      </c>
      <c r="M2754">
        <v>1</v>
      </c>
      <c r="N2754">
        <v>2.6085199999999999E-106</v>
      </c>
      <c r="O2754">
        <v>981</v>
      </c>
    </row>
    <row r="2755" spans="1:15" x14ac:dyDescent="0.25">
      <c r="A2755" t="s">
        <v>2768</v>
      </c>
      <c r="B2755">
        <v>595</v>
      </c>
      <c r="C2755" s="1" t="str">
        <f>HYPERLINK("http://www.rosaceae.org/gb/gbrowse/malus_x_domestica/?name=MDP0000153639","MDP0000153639")</f>
        <v>MDP0000153639</v>
      </c>
      <c r="D2755">
        <v>75.790000000000006</v>
      </c>
      <c r="E2755">
        <v>314</v>
      </c>
      <c r="F2755">
        <v>76</v>
      </c>
      <c r="G2755">
        <v>2</v>
      </c>
      <c r="H2755">
        <v>274</v>
      </c>
      <c r="I2755">
        <v>586</v>
      </c>
      <c r="J2755">
        <v>1</v>
      </c>
      <c r="K2755">
        <v>351</v>
      </c>
      <c r="L2755">
        <v>663</v>
      </c>
      <c r="M2755">
        <v>1</v>
      </c>
      <c r="N2755">
        <v>6.5071200000000001E-133</v>
      </c>
      <c r="O2755">
        <v>1213</v>
      </c>
    </row>
    <row r="2756" spans="1:15" x14ac:dyDescent="0.25">
      <c r="A2756" t="s">
        <v>2769</v>
      </c>
      <c r="B2756">
        <v>132</v>
      </c>
      <c r="C2756" s="1" t="str">
        <f>HYPERLINK("http://www.rosaceae.org/gb/gbrowse/malus_x_domestica/?name=MDP0000151829","MDP0000151829")</f>
        <v>MDP0000151829</v>
      </c>
      <c r="D2756">
        <v>65.73</v>
      </c>
      <c r="E2756">
        <v>143</v>
      </c>
      <c r="F2756">
        <v>49</v>
      </c>
      <c r="G2756">
        <v>26</v>
      </c>
      <c r="H2756">
        <v>15</v>
      </c>
      <c r="I2756">
        <v>131</v>
      </c>
      <c r="J2756">
        <v>1</v>
      </c>
      <c r="K2756">
        <v>18</v>
      </c>
      <c r="L2756">
        <v>160</v>
      </c>
      <c r="M2756">
        <v>1</v>
      </c>
      <c r="N2756">
        <v>4.708E-46</v>
      </c>
      <c r="O2756">
        <v>455</v>
      </c>
    </row>
    <row r="2757" spans="1:15" x14ac:dyDescent="0.25">
      <c r="A2757" t="s">
        <v>2770</v>
      </c>
      <c r="B2757">
        <v>1028</v>
      </c>
      <c r="C2757" s="1" t="str">
        <f>HYPERLINK("http://www.rosaceae.org/gb/gbrowse/malus_x_domestica/?name=MDP0000284883","MDP0000284883")</f>
        <v>MDP0000284883</v>
      </c>
      <c r="D2757">
        <v>56.02</v>
      </c>
      <c r="E2757">
        <v>1178</v>
      </c>
      <c r="F2757">
        <v>518</v>
      </c>
      <c r="G2757">
        <v>170</v>
      </c>
      <c r="H2757">
        <v>1</v>
      </c>
      <c r="I2757">
        <v>1028</v>
      </c>
      <c r="J2757">
        <v>1</v>
      </c>
      <c r="K2757">
        <v>1</v>
      </c>
      <c r="L2757">
        <v>1158</v>
      </c>
      <c r="M2757">
        <v>1</v>
      </c>
      <c r="N2757">
        <v>0</v>
      </c>
      <c r="O2757">
        <v>3070</v>
      </c>
    </row>
    <row r="2758" spans="1:15" x14ac:dyDescent="0.25">
      <c r="A2758" t="s">
        <v>2771</v>
      </c>
      <c r="B2758">
        <v>399</v>
      </c>
      <c r="C2758" s="1" t="str">
        <f>HYPERLINK("http://www.rosaceae.org/gb/gbrowse/malus_x_domestica/?name=MDP0000292564","MDP0000292564")</f>
        <v>MDP0000292564</v>
      </c>
      <c r="D2758">
        <v>61.86</v>
      </c>
      <c r="E2758">
        <v>396</v>
      </c>
      <c r="F2758">
        <v>151</v>
      </c>
      <c r="G2758">
        <v>14</v>
      </c>
      <c r="H2758">
        <v>7</v>
      </c>
      <c r="I2758">
        <v>398</v>
      </c>
      <c r="J2758">
        <v>1</v>
      </c>
      <c r="K2758">
        <v>15</v>
      </c>
      <c r="L2758">
        <v>400</v>
      </c>
      <c r="M2758">
        <v>1</v>
      </c>
      <c r="N2758">
        <v>5.2979300000000002E-143</v>
      </c>
      <c r="O2758">
        <v>1299</v>
      </c>
    </row>
    <row r="2759" spans="1:15" x14ac:dyDescent="0.25">
      <c r="A2759" t="s">
        <v>2772</v>
      </c>
      <c r="B2759">
        <v>164</v>
      </c>
      <c r="C2759" s="1" t="str">
        <f>HYPERLINK("http://www.rosaceae.org/gb/gbrowse/malus_x_domestica/?name=MDP0000703851","MDP0000703851")</f>
        <v>MDP0000703851</v>
      </c>
      <c r="D2759">
        <v>76.5</v>
      </c>
      <c r="E2759">
        <v>166</v>
      </c>
      <c r="F2759">
        <v>39</v>
      </c>
      <c r="G2759">
        <v>2</v>
      </c>
      <c r="H2759">
        <v>1</v>
      </c>
      <c r="I2759">
        <v>164</v>
      </c>
      <c r="J2759">
        <v>1</v>
      </c>
      <c r="K2759">
        <v>1</v>
      </c>
      <c r="L2759">
        <v>166</v>
      </c>
      <c r="M2759">
        <v>1</v>
      </c>
      <c r="N2759">
        <v>4.0179799999999997E-71</v>
      </c>
      <c r="O2759">
        <v>673</v>
      </c>
    </row>
    <row r="2760" spans="1:15" x14ac:dyDescent="0.25">
      <c r="A2760" t="s">
        <v>2773</v>
      </c>
      <c r="B2760">
        <v>389</v>
      </c>
      <c r="C2760" s="1" t="str">
        <f>HYPERLINK("http://www.rosaceae.org/gb/gbrowse/malus_x_domestica/?name=MDP0000314371","MDP0000314371")</f>
        <v>MDP0000314371</v>
      </c>
      <c r="D2760">
        <v>21.64</v>
      </c>
      <c r="E2760">
        <v>268</v>
      </c>
      <c r="F2760">
        <v>210</v>
      </c>
      <c r="G2760">
        <v>30</v>
      </c>
      <c r="H2760">
        <v>18</v>
      </c>
      <c r="I2760">
        <v>269</v>
      </c>
      <c r="J2760">
        <v>1</v>
      </c>
      <c r="K2760">
        <v>7</v>
      </c>
      <c r="L2760">
        <v>260</v>
      </c>
      <c r="M2760">
        <v>1</v>
      </c>
      <c r="N2760">
        <v>3.8369300000000002E-10</v>
      </c>
      <c r="O2760">
        <v>153</v>
      </c>
    </row>
    <row r="2761" spans="1:15" x14ac:dyDescent="0.25">
      <c r="A2761" t="s">
        <v>2774</v>
      </c>
      <c r="B2761">
        <v>761</v>
      </c>
      <c r="C2761" s="1" t="str">
        <f>HYPERLINK("http://www.rosaceae.org/gb/gbrowse/malus_x_domestica/?name=MDP0000306022","MDP0000306022")</f>
        <v>MDP0000306022</v>
      </c>
      <c r="D2761">
        <v>59.05</v>
      </c>
      <c r="E2761">
        <v>823</v>
      </c>
      <c r="F2761">
        <v>337</v>
      </c>
      <c r="G2761">
        <v>93</v>
      </c>
      <c r="H2761">
        <v>1</v>
      </c>
      <c r="I2761">
        <v>761</v>
      </c>
      <c r="J2761">
        <v>1</v>
      </c>
      <c r="K2761">
        <v>3</v>
      </c>
      <c r="L2761">
        <v>794</v>
      </c>
      <c r="M2761">
        <v>1</v>
      </c>
      <c r="N2761">
        <v>0</v>
      </c>
      <c r="O2761">
        <v>2284</v>
      </c>
    </row>
    <row r="2762" spans="1:15" x14ac:dyDescent="0.25">
      <c r="A2762" t="s">
        <v>2775</v>
      </c>
      <c r="B2762">
        <v>1591</v>
      </c>
      <c r="C2762" s="1" t="str">
        <f>HYPERLINK("http://www.rosaceae.org/gb/gbrowse/malus_x_domestica/?name=MDP0000434539","MDP0000434539")</f>
        <v>MDP0000434539</v>
      </c>
      <c r="D2762">
        <v>83.84</v>
      </c>
      <c r="E2762">
        <v>1411</v>
      </c>
      <c r="F2762">
        <v>228</v>
      </c>
      <c r="G2762">
        <v>4</v>
      </c>
      <c r="H2762">
        <v>1</v>
      </c>
      <c r="I2762">
        <v>1407</v>
      </c>
      <c r="J2762">
        <v>1</v>
      </c>
      <c r="K2762">
        <v>1</v>
      </c>
      <c r="L2762">
        <v>1411</v>
      </c>
      <c r="M2762">
        <v>1</v>
      </c>
      <c r="N2762">
        <v>0</v>
      </c>
      <c r="O2762">
        <v>6370</v>
      </c>
    </row>
    <row r="2763" spans="1:15" x14ac:dyDescent="0.25">
      <c r="A2763" t="s">
        <v>2776</v>
      </c>
      <c r="B2763">
        <v>392</v>
      </c>
      <c r="C2763" s="1" t="str">
        <f>HYPERLINK("http://www.rosaceae.org/gb/gbrowse/malus_x_domestica/?name=MDP0000136844","MDP0000136844")</f>
        <v>MDP0000136844</v>
      </c>
      <c r="D2763">
        <v>38.28</v>
      </c>
      <c r="E2763">
        <v>269</v>
      </c>
      <c r="F2763">
        <v>166</v>
      </c>
      <c r="G2763">
        <v>48</v>
      </c>
      <c r="H2763">
        <v>148</v>
      </c>
      <c r="I2763">
        <v>374</v>
      </c>
      <c r="J2763">
        <v>1</v>
      </c>
      <c r="K2763">
        <v>578</v>
      </c>
      <c r="L2763">
        <v>840</v>
      </c>
      <c r="M2763">
        <v>1</v>
      </c>
      <c r="N2763">
        <v>5.4149100000000001E-38</v>
      </c>
      <c r="O2763">
        <v>393</v>
      </c>
    </row>
    <row r="2764" spans="1:15" x14ac:dyDescent="0.25">
      <c r="A2764" t="s">
        <v>2777</v>
      </c>
      <c r="B2764">
        <v>292</v>
      </c>
      <c r="C2764" s="1" t="str">
        <f>HYPERLINK("http://www.rosaceae.org/gb/gbrowse/malus_x_domestica/?name=MDP0000287757","MDP0000287757")</f>
        <v>MDP0000287757</v>
      </c>
      <c r="D2764">
        <v>76.47</v>
      </c>
      <c r="E2764">
        <v>289</v>
      </c>
      <c r="F2764">
        <v>68</v>
      </c>
      <c r="G2764">
        <v>16</v>
      </c>
      <c r="H2764">
        <v>12</v>
      </c>
      <c r="I2764">
        <v>284</v>
      </c>
      <c r="J2764">
        <v>1</v>
      </c>
      <c r="K2764">
        <v>53</v>
      </c>
      <c r="L2764">
        <v>341</v>
      </c>
      <c r="M2764">
        <v>1</v>
      </c>
      <c r="N2764">
        <v>2.7430599999999998E-134</v>
      </c>
      <c r="O2764">
        <v>1222</v>
      </c>
    </row>
    <row r="2765" spans="1:15" x14ac:dyDescent="0.25">
      <c r="A2765" t="s">
        <v>2778</v>
      </c>
      <c r="B2765">
        <v>388</v>
      </c>
      <c r="C2765" s="1" t="str">
        <f>HYPERLINK("http://www.rosaceae.org/gb/gbrowse/malus_x_domestica/?name=MDP0000302905","MDP0000302905")</f>
        <v>MDP0000302905</v>
      </c>
      <c r="D2765">
        <v>75</v>
      </c>
      <c r="E2765">
        <v>372</v>
      </c>
      <c r="F2765">
        <v>93</v>
      </c>
      <c r="G2765">
        <v>1</v>
      </c>
      <c r="H2765">
        <v>12</v>
      </c>
      <c r="I2765">
        <v>382</v>
      </c>
      <c r="J2765">
        <v>1</v>
      </c>
      <c r="K2765">
        <v>14</v>
      </c>
      <c r="L2765">
        <v>385</v>
      </c>
      <c r="M2765">
        <v>1</v>
      </c>
      <c r="N2765">
        <v>8.4780299999999999E-170</v>
      </c>
      <c r="O2765">
        <v>1530</v>
      </c>
    </row>
    <row r="2766" spans="1:15" x14ac:dyDescent="0.25">
      <c r="A2766" t="s">
        <v>2779</v>
      </c>
      <c r="B2766">
        <v>201</v>
      </c>
      <c r="C2766" s="1" t="str">
        <f>HYPERLINK("http://www.rosaceae.org/gb/gbrowse/malus_x_domestica/?name=MDP0000286643","MDP0000286643")</f>
        <v>MDP0000286643</v>
      </c>
      <c r="D2766">
        <v>53.57</v>
      </c>
      <c r="E2766">
        <v>252</v>
      </c>
      <c r="F2766">
        <v>117</v>
      </c>
      <c r="G2766">
        <v>56</v>
      </c>
      <c r="H2766">
        <v>1</v>
      </c>
      <c r="I2766">
        <v>198</v>
      </c>
      <c r="J2766">
        <v>1</v>
      </c>
      <c r="K2766">
        <v>1</v>
      </c>
      <c r="L2766">
        <v>250</v>
      </c>
      <c r="M2766">
        <v>1</v>
      </c>
      <c r="N2766">
        <v>3.3509099999999999E-61</v>
      </c>
      <c r="O2766">
        <v>589</v>
      </c>
    </row>
    <row r="2767" spans="1:15" x14ac:dyDescent="0.25">
      <c r="A2767" t="s">
        <v>2780</v>
      </c>
      <c r="B2767">
        <v>551</v>
      </c>
      <c r="C2767" s="1" t="str">
        <f>HYPERLINK("http://www.rosaceae.org/gb/gbrowse/malus_x_domestica/?name=MDP0000289009","MDP0000289009")</f>
        <v>MDP0000289009</v>
      </c>
      <c r="D2767">
        <v>30.05</v>
      </c>
      <c r="E2767">
        <v>549</v>
      </c>
      <c r="F2767">
        <v>384</v>
      </c>
      <c r="G2767">
        <v>58</v>
      </c>
      <c r="H2767">
        <v>1</v>
      </c>
      <c r="I2767">
        <v>510</v>
      </c>
      <c r="J2767">
        <v>1</v>
      </c>
      <c r="K2767">
        <v>574</v>
      </c>
      <c r="L2767">
        <v>1103</v>
      </c>
      <c r="M2767">
        <v>1</v>
      </c>
      <c r="N2767">
        <v>1.3031800000000001E-49</v>
      </c>
      <c r="O2767">
        <v>495</v>
      </c>
    </row>
    <row r="2768" spans="1:15" x14ac:dyDescent="0.25">
      <c r="A2768" t="s">
        <v>2781</v>
      </c>
      <c r="B2768">
        <v>371</v>
      </c>
      <c r="C2768" s="1" t="str">
        <f>HYPERLINK("http://www.rosaceae.org/gb/gbrowse/malus_x_domestica/?name=MDP0000139742","MDP0000139742")</f>
        <v>MDP0000139742</v>
      </c>
      <c r="D2768">
        <v>29.13</v>
      </c>
      <c r="E2768">
        <v>302</v>
      </c>
      <c r="F2768">
        <v>214</v>
      </c>
      <c r="G2768">
        <v>54</v>
      </c>
      <c r="H2768">
        <v>107</v>
      </c>
      <c r="I2768">
        <v>368</v>
      </c>
      <c r="J2768">
        <v>1</v>
      </c>
      <c r="K2768">
        <v>272</v>
      </c>
      <c r="L2768">
        <v>559</v>
      </c>
      <c r="M2768">
        <v>1</v>
      </c>
      <c r="N2768">
        <v>9.9883300000000006E-24</v>
      </c>
      <c r="O2768">
        <v>270</v>
      </c>
    </row>
    <row r="2769" spans="1:15" x14ac:dyDescent="0.25">
      <c r="A2769" t="s">
        <v>2782</v>
      </c>
      <c r="B2769">
        <v>426</v>
      </c>
      <c r="C2769" s="1" t="str">
        <f>HYPERLINK("http://www.rosaceae.org/gb/gbrowse/malus_x_domestica/?name=MDP0000309313","MDP0000309313")</f>
        <v>MDP0000309313</v>
      </c>
      <c r="D2769">
        <v>53.74</v>
      </c>
      <c r="E2769">
        <v>307</v>
      </c>
      <c r="F2769">
        <v>142</v>
      </c>
      <c r="G2769">
        <v>37</v>
      </c>
      <c r="H2769">
        <v>46</v>
      </c>
      <c r="I2769">
        <v>343</v>
      </c>
      <c r="J2769">
        <v>1</v>
      </c>
      <c r="K2769">
        <v>56</v>
      </c>
      <c r="L2769">
        <v>334</v>
      </c>
      <c r="M2769">
        <v>1</v>
      </c>
      <c r="N2769">
        <v>4.8360000000000004E-71</v>
      </c>
      <c r="O2769">
        <v>678</v>
      </c>
    </row>
    <row r="2770" spans="1:15" x14ac:dyDescent="0.25">
      <c r="A2770" t="s">
        <v>2783</v>
      </c>
      <c r="B2770">
        <v>160</v>
      </c>
      <c r="C2770" s="1" t="str">
        <f>HYPERLINK("http://www.rosaceae.org/gb/gbrowse/malus_x_domestica/?name=MDP0000361173","MDP0000361173")</f>
        <v>MDP0000361173</v>
      </c>
      <c r="D2770">
        <v>87.66</v>
      </c>
      <c r="E2770">
        <v>154</v>
      </c>
      <c r="F2770">
        <v>19</v>
      </c>
      <c r="G2770">
        <v>12</v>
      </c>
      <c r="H2770">
        <v>7</v>
      </c>
      <c r="I2770">
        <v>160</v>
      </c>
      <c r="J2770">
        <v>1</v>
      </c>
      <c r="K2770">
        <v>12</v>
      </c>
      <c r="L2770">
        <v>153</v>
      </c>
      <c r="M2770">
        <v>1</v>
      </c>
      <c r="N2770">
        <v>1.24929E-72</v>
      </c>
      <c r="O2770">
        <v>686</v>
      </c>
    </row>
    <row r="2771" spans="1:15" x14ac:dyDescent="0.25">
      <c r="A2771" t="s">
        <v>2784</v>
      </c>
      <c r="B2771">
        <v>882</v>
      </c>
      <c r="C2771" s="1" t="str">
        <f>HYPERLINK("http://www.rosaceae.org/gb/gbrowse/malus_x_domestica/?name=MDP0000300146","MDP0000300146")</f>
        <v>MDP0000300146</v>
      </c>
      <c r="D2771">
        <v>73.52</v>
      </c>
      <c r="E2771">
        <v>457</v>
      </c>
      <c r="F2771">
        <v>121</v>
      </c>
      <c r="G2771">
        <v>7</v>
      </c>
      <c r="H2771">
        <v>1</v>
      </c>
      <c r="I2771">
        <v>455</v>
      </c>
      <c r="J2771">
        <v>1</v>
      </c>
      <c r="K2771">
        <v>88</v>
      </c>
      <c r="L2771">
        <v>539</v>
      </c>
      <c r="M2771">
        <v>1</v>
      </c>
      <c r="N2771">
        <v>0</v>
      </c>
      <c r="O2771">
        <v>1714</v>
      </c>
    </row>
    <row r="2772" spans="1:15" x14ac:dyDescent="0.25">
      <c r="A2772" t="s">
        <v>2785</v>
      </c>
      <c r="B2772">
        <v>783</v>
      </c>
      <c r="C2772" s="1" t="str">
        <f>HYPERLINK("http://www.rosaceae.org/gb/gbrowse/malus_x_domestica/?name=MDP0000125643","MDP0000125643")</f>
        <v>MDP0000125643</v>
      </c>
      <c r="D2772">
        <v>47.7</v>
      </c>
      <c r="E2772">
        <v>457</v>
      </c>
      <c r="F2772">
        <v>239</v>
      </c>
      <c r="G2772">
        <v>65</v>
      </c>
      <c r="H2772">
        <v>185</v>
      </c>
      <c r="I2772">
        <v>587</v>
      </c>
      <c r="J2772">
        <v>1</v>
      </c>
      <c r="K2772">
        <v>744</v>
      </c>
      <c r="L2772">
        <v>1189</v>
      </c>
      <c r="M2772">
        <v>1</v>
      </c>
      <c r="N2772">
        <v>1.9097199999999999E-100</v>
      </c>
      <c r="O2772">
        <v>935</v>
      </c>
    </row>
    <row r="2773" spans="1:15" x14ac:dyDescent="0.25">
      <c r="A2773" t="s">
        <v>2786</v>
      </c>
      <c r="B2773">
        <v>547</v>
      </c>
      <c r="C2773" s="1" t="str">
        <f>HYPERLINK("http://www.rosaceae.org/gb/gbrowse/malus_x_domestica/?name=MDP0000246803","MDP0000246803")</f>
        <v>MDP0000246803</v>
      </c>
      <c r="D2773">
        <v>61.88</v>
      </c>
      <c r="E2773">
        <v>530</v>
      </c>
      <c r="F2773">
        <v>202</v>
      </c>
      <c r="G2773">
        <v>11</v>
      </c>
      <c r="H2773">
        <v>21</v>
      </c>
      <c r="I2773">
        <v>543</v>
      </c>
      <c r="J2773">
        <v>1</v>
      </c>
      <c r="K2773">
        <v>16</v>
      </c>
      <c r="L2773">
        <v>541</v>
      </c>
      <c r="M2773">
        <v>1</v>
      </c>
      <c r="N2773">
        <v>0</v>
      </c>
      <c r="O2773">
        <v>1688</v>
      </c>
    </row>
    <row r="2774" spans="1:15" x14ac:dyDescent="0.25">
      <c r="A2774" t="s">
        <v>2787</v>
      </c>
      <c r="B2774">
        <v>440</v>
      </c>
      <c r="C2774" s="1" t="str">
        <f>HYPERLINK("http://www.rosaceae.org/gb/gbrowse/malus_x_domestica/?name=MDP0000248575","MDP0000248575")</f>
        <v>MDP0000248575</v>
      </c>
      <c r="D2774">
        <v>67.77</v>
      </c>
      <c r="E2774">
        <v>453</v>
      </c>
      <c r="F2774">
        <v>146</v>
      </c>
      <c r="G2774">
        <v>20</v>
      </c>
      <c r="H2774">
        <v>1</v>
      </c>
      <c r="I2774">
        <v>440</v>
      </c>
      <c r="J2774">
        <v>1</v>
      </c>
      <c r="K2774">
        <v>1</v>
      </c>
      <c r="L2774">
        <v>446</v>
      </c>
      <c r="M2774">
        <v>1</v>
      </c>
      <c r="N2774">
        <v>1.05971E-165</v>
      </c>
      <c r="O2774">
        <v>1495</v>
      </c>
    </row>
    <row r="2775" spans="1:15" x14ac:dyDescent="0.25">
      <c r="A2775" t="s">
        <v>2788</v>
      </c>
      <c r="B2775">
        <v>608</v>
      </c>
      <c r="C2775" s="1" t="str">
        <f>HYPERLINK("http://www.rosaceae.org/gb/gbrowse/malus_x_domestica/?name=MDP0000729657","MDP0000729657")</f>
        <v>MDP0000729657</v>
      </c>
      <c r="D2775">
        <v>70.959999999999994</v>
      </c>
      <c r="E2775">
        <v>589</v>
      </c>
      <c r="F2775">
        <v>171</v>
      </c>
      <c r="G2775">
        <v>2</v>
      </c>
      <c r="H2775">
        <v>21</v>
      </c>
      <c r="I2775">
        <v>608</v>
      </c>
      <c r="J2775">
        <v>1</v>
      </c>
      <c r="K2775">
        <v>13</v>
      </c>
      <c r="L2775">
        <v>600</v>
      </c>
      <c r="M2775">
        <v>1</v>
      </c>
      <c r="N2775">
        <v>0</v>
      </c>
      <c r="O2775">
        <v>2179</v>
      </c>
    </row>
    <row r="2776" spans="1:15" x14ac:dyDescent="0.25">
      <c r="A2776" t="s">
        <v>2789</v>
      </c>
      <c r="B2776">
        <v>333</v>
      </c>
      <c r="C2776" s="1" t="str">
        <f>HYPERLINK("http://www.rosaceae.org/gb/gbrowse/malus_x_domestica/?name=MDP0000494976","MDP0000494976")</f>
        <v>MDP0000494976</v>
      </c>
      <c r="D2776">
        <v>81.400000000000006</v>
      </c>
      <c r="E2776">
        <v>328</v>
      </c>
      <c r="F2776">
        <v>61</v>
      </c>
      <c r="G2776">
        <v>0</v>
      </c>
      <c r="H2776">
        <v>3</v>
      </c>
      <c r="I2776">
        <v>330</v>
      </c>
      <c r="J2776">
        <v>1</v>
      </c>
      <c r="K2776">
        <v>1</v>
      </c>
      <c r="L2776">
        <v>328</v>
      </c>
      <c r="M2776">
        <v>1</v>
      </c>
      <c r="N2776">
        <v>5.9822799999999996E-166</v>
      </c>
      <c r="O2776">
        <v>1496</v>
      </c>
    </row>
    <row r="2777" spans="1:15" x14ac:dyDescent="0.25">
      <c r="A2777" t="s">
        <v>2790</v>
      </c>
      <c r="B2777">
        <v>529</v>
      </c>
      <c r="C2777" s="1" t="str">
        <f>HYPERLINK("http://www.rosaceae.org/gb/gbrowse/malus_x_domestica/?name=MDP0000183935","MDP0000183935")</f>
        <v>MDP0000183935</v>
      </c>
      <c r="D2777">
        <v>58.93</v>
      </c>
      <c r="E2777">
        <v>358</v>
      </c>
      <c r="F2777">
        <v>147</v>
      </c>
      <c r="G2777">
        <v>18</v>
      </c>
      <c r="H2777">
        <v>4</v>
      </c>
      <c r="I2777">
        <v>344</v>
      </c>
      <c r="J2777">
        <v>1</v>
      </c>
      <c r="K2777">
        <v>111</v>
      </c>
      <c r="L2777">
        <v>467</v>
      </c>
      <c r="M2777">
        <v>1</v>
      </c>
      <c r="N2777">
        <v>5.4285999999999997E-132</v>
      </c>
      <c r="O2777">
        <v>1205</v>
      </c>
    </row>
    <row r="2778" spans="1:15" x14ac:dyDescent="0.25">
      <c r="A2778" t="s">
        <v>2791</v>
      </c>
      <c r="B2778">
        <v>371</v>
      </c>
      <c r="C2778" s="1" t="str">
        <f>HYPERLINK("http://www.rosaceae.org/gb/gbrowse/malus_x_domestica/?name=MDP0000165292","MDP0000165292")</f>
        <v>MDP0000165292</v>
      </c>
      <c r="D2778">
        <v>75.13</v>
      </c>
      <c r="E2778">
        <v>370</v>
      </c>
      <c r="F2778">
        <v>92</v>
      </c>
      <c r="G2778">
        <v>30</v>
      </c>
      <c r="H2778">
        <v>3</v>
      </c>
      <c r="I2778">
        <v>370</v>
      </c>
      <c r="J2778">
        <v>1</v>
      </c>
      <c r="K2778">
        <v>56</v>
      </c>
      <c r="L2778">
        <v>397</v>
      </c>
      <c r="M2778">
        <v>1</v>
      </c>
      <c r="N2778">
        <v>2.15581E-161</v>
      </c>
      <c r="O2778">
        <v>1457</v>
      </c>
    </row>
    <row r="2779" spans="1:15" x14ac:dyDescent="0.25">
      <c r="A2779" t="s">
        <v>2792</v>
      </c>
      <c r="B2779">
        <v>172</v>
      </c>
      <c r="C2779" s="1" t="str">
        <f>HYPERLINK("http://www.rosaceae.org/gb/gbrowse/malus_x_domestica/?name=MDP0000154807","MDP0000154807")</f>
        <v>MDP0000154807</v>
      </c>
      <c r="D2779">
        <v>61.78</v>
      </c>
      <c r="E2779">
        <v>191</v>
      </c>
      <c r="F2779">
        <v>73</v>
      </c>
      <c r="G2779">
        <v>20</v>
      </c>
      <c r="H2779">
        <v>1</v>
      </c>
      <c r="I2779">
        <v>172</v>
      </c>
      <c r="J2779">
        <v>1</v>
      </c>
      <c r="K2779">
        <v>1</v>
      </c>
      <c r="L2779">
        <v>190</v>
      </c>
      <c r="M2779">
        <v>1</v>
      </c>
      <c r="N2779">
        <v>2.3344500000000001E-54</v>
      </c>
      <c r="O2779">
        <v>529</v>
      </c>
    </row>
    <row r="2780" spans="1:15" x14ac:dyDescent="0.25">
      <c r="A2780" t="s">
        <v>2793</v>
      </c>
      <c r="B2780">
        <v>604</v>
      </c>
      <c r="C2780" s="1" t="str">
        <f>HYPERLINK("http://www.rosaceae.org/gb/gbrowse/malus_x_domestica/?name=MDP0000138698","MDP0000138698")</f>
        <v>MDP0000138698</v>
      </c>
      <c r="D2780">
        <v>45.07</v>
      </c>
      <c r="E2780">
        <v>142</v>
      </c>
      <c r="F2780">
        <v>78</v>
      </c>
      <c r="G2780">
        <v>8</v>
      </c>
      <c r="H2780">
        <v>469</v>
      </c>
      <c r="I2780">
        <v>604</v>
      </c>
      <c r="J2780">
        <v>1</v>
      </c>
      <c r="K2780">
        <v>172</v>
      </c>
      <c r="L2780">
        <v>311</v>
      </c>
      <c r="M2780">
        <v>1</v>
      </c>
      <c r="N2780">
        <v>2.51257E-25</v>
      </c>
      <c r="O2780">
        <v>286</v>
      </c>
    </row>
    <row r="2781" spans="1:15" x14ac:dyDescent="0.25">
      <c r="A2781" t="s">
        <v>2794</v>
      </c>
      <c r="B2781">
        <v>167</v>
      </c>
      <c r="C2781" s="1" t="str">
        <f>HYPERLINK("http://www.rosaceae.org/gb/gbrowse/malus_x_domestica/?name=MDP0000146848","MDP0000146848")</f>
        <v>MDP0000146848</v>
      </c>
      <c r="D2781">
        <v>73.41</v>
      </c>
      <c r="E2781">
        <v>173</v>
      </c>
      <c r="F2781">
        <v>46</v>
      </c>
      <c r="G2781">
        <v>14</v>
      </c>
      <c r="H2781">
        <v>1</v>
      </c>
      <c r="I2781">
        <v>167</v>
      </c>
      <c r="J2781">
        <v>1</v>
      </c>
      <c r="K2781">
        <v>1</v>
      </c>
      <c r="L2781">
        <v>165</v>
      </c>
      <c r="M2781">
        <v>1</v>
      </c>
      <c r="N2781">
        <v>3.36655E-53</v>
      </c>
      <c r="O2781">
        <v>519</v>
      </c>
    </row>
    <row r="2782" spans="1:15" x14ac:dyDescent="0.25">
      <c r="A2782" t="s">
        <v>2795</v>
      </c>
      <c r="B2782">
        <v>245</v>
      </c>
      <c r="C2782" s="1" t="str">
        <f>HYPERLINK("http://www.rosaceae.org/gb/gbrowse/malus_x_domestica/?name=MDP0000911104","MDP0000911104")</f>
        <v>MDP0000911104</v>
      </c>
      <c r="D2782">
        <v>68.849999999999994</v>
      </c>
      <c r="E2782">
        <v>244</v>
      </c>
      <c r="F2782">
        <v>76</v>
      </c>
      <c r="G2782">
        <v>4</v>
      </c>
      <c r="H2782">
        <v>1</v>
      </c>
      <c r="I2782">
        <v>240</v>
      </c>
      <c r="J2782">
        <v>1</v>
      </c>
      <c r="K2782">
        <v>1</v>
      </c>
      <c r="L2782">
        <v>244</v>
      </c>
      <c r="M2782">
        <v>1</v>
      </c>
      <c r="N2782">
        <v>4.22571E-91</v>
      </c>
      <c r="O2782">
        <v>848</v>
      </c>
    </row>
    <row r="2783" spans="1:15" x14ac:dyDescent="0.25">
      <c r="A2783" t="s">
        <v>2796</v>
      </c>
      <c r="B2783">
        <v>543</v>
      </c>
      <c r="C2783" s="1" t="str">
        <f>HYPERLINK("http://www.rosaceae.org/gb/gbrowse/malus_x_domestica/?name=MDP0000233370","MDP0000233370")</f>
        <v>MDP0000233370</v>
      </c>
      <c r="D2783">
        <v>77.02</v>
      </c>
      <c r="E2783">
        <v>505</v>
      </c>
      <c r="F2783">
        <v>116</v>
      </c>
      <c r="G2783">
        <v>3</v>
      </c>
      <c r="H2783">
        <v>38</v>
      </c>
      <c r="I2783">
        <v>542</v>
      </c>
      <c r="J2783">
        <v>1</v>
      </c>
      <c r="K2783">
        <v>344</v>
      </c>
      <c r="L2783">
        <v>845</v>
      </c>
      <c r="M2783">
        <v>1</v>
      </c>
      <c r="N2783">
        <v>0</v>
      </c>
      <c r="O2783">
        <v>2098</v>
      </c>
    </row>
    <row r="2784" spans="1:15" x14ac:dyDescent="0.25">
      <c r="A2784" t="s">
        <v>2797</v>
      </c>
      <c r="B2784">
        <v>678</v>
      </c>
      <c r="C2784" s="1" t="str">
        <f>HYPERLINK("http://www.rosaceae.org/gb/gbrowse/malus_x_domestica/?name=MDP0000268783","MDP0000268783")</f>
        <v>MDP0000268783</v>
      </c>
      <c r="D2784">
        <v>41.13</v>
      </c>
      <c r="E2784">
        <v>547</v>
      </c>
      <c r="F2784">
        <v>322</v>
      </c>
      <c r="G2784">
        <v>40</v>
      </c>
      <c r="H2784">
        <v>151</v>
      </c>
      <c r="I2784">
        <v>678</v>
      </c>
      <c r="J2784">
        <v>1</v>
      </c>
      <c r="K2784">
        <v>61</v>
      </c>
      <c r="L2784">
        <v>586</v>
      </c>
      <c r="M2784">
        <v>1</v>
      </c>
      <c r="N2784">
        <v>6.9741600000000003E-102</v>
      </c>
      <c r="O2784">
        <v>946</v>
      </c>
    </row>
    <row r="2785" spans="1:15" x14ac:dyDescent="0.25">
      <c r="A2785" t="s">
        <v>2798</v>
      </c>
      <c r="B2785">
        <v>477</v>
      </c>
      <c r="C2785" s="1" t="str">
        <f>HYPERLINK("http://www.rosaceae.org/gb/gbrowse/malus_x_domestica/?name=MDP0000221214","MDP0000221214")</f>
        <v>MDP0000221214</v>
      </c>
      <c r="D2785">
        <v>70.14</v>
      </c>
      <c r="E2785">
        <v>469</v>
      </c>
      <c r="F2785">
        <v>140</v>
      </c>
      <c r="G2785">
        <v>85</v>
      </c>
      <c r="H2785">
        <v>52</v>
      </c>
      <c r="I2785">
        <v>477</v>
      </c>
      <c r="J2785">
        <v>1</v>
      </c>
      <c r="K2785">
        <v>1</v>
      </c>
      <c r="L2785">
        <v>427</v>
      </c>
      <c r="M2785">
        <v>1</v>
      </c>
      <c r="N2785">
        <v>2.86359E-179</v>
      </c>
      <c r="O2785">
        <v>1612</v>
      </c>
    </row>
    <row r="2786" spans="1:15" x14ac:dyDescent="0.25">
      <c r="A2786" t="s">
        <v>2799</v>
      </c>
      <c r="B2786">
        <v>399</v>
      </c>
      <c r="C2786" s="1" t="str">
        <f>HYPERLINK("http://www.rosaceae.org/gb/gbrowse/malus_x_domestica/?name=MDP0000207132","MDP0000207132")</f>
        <v>MDP0000207132</v>
      </c>
      <c r="D2786">
        <v>33.020000000000003</v>
      </c>
      <c r="E2786">
        <v>109</v>
      </c>
      <c r="F2786">
        <v>73</v>
      </c>
      <c r="G2786">
        <v>8</v>
      </c>
      <c r="H2786">
        <v>3</v>
      </c>
      <c r="I2786">
        <v>103</v>
      </c>
      <c r="J2786">
        <v>1</v>
      </c>
      <c r="K2786">
        <v>17</v>
      </c>
      <c r="L2786">
        <v>125</v>
      </c>
      <c r="M2786">
        <v>1</v>
      </c>
      <c r="N2786">
        <v>5.3654100000000003E-13</v>
      </c>
      <c r="O2786">
        <v>177</v>
      </c>
    </row>
    <row r="2787" spans="1:15" x14ac:dyDescent="0.25">
      <c r="A2787" t="s">
        <v>2800</v>
      </c>
      <c r="B2787">
        <v>311</v>
      </c>
      <c r="C2787" s="1" t="str">
        <f>HYPERLINK("http://www.rosaceae.org/gb/gbrowse/malus_x_domestica/?name=MDP0000163752","MDP0000163752")</f>
        <v>MDP0000163752</v>
      </c>
      <c r="D2787">
        <v>77.88</v>
      </c>
      <c r="E2787">
        <v>303</v>
      </c>
      <c r="F2787">
        <v>67</v>
      </c>
      <c r="G2787">
        <v>34</v>
      </c>
      <c r="H2787">
        <v>41</v>
      </c>
      <c r="I2787">
        <v>309</v>
      </c>
      <c r="J2787">
        <v>1</v>
      </c>
      <c r="K2787">
        <v>99</v>
      </c>
      <c r="L2787">
        <v>401</v>
      </c>
      <c r="M2787">
        <v>1</v>
      </c>
      <c r="N2787">
        <v>4.0032299999999998E-139</v>
      </c>
      <c r="O2787">
        <v>1264</v>
      </c>
    </row>
    <row r="2788" spans="1:15" x14ac:dyDescent="0.25">
      <c r="A2788" t="s">
        <v>2801</v>
      </c>
      <c r="B2788">
        <v>112</v>
      </c>
      <c r="C2788" s="1" t="str">
        <f>HYPERLINK("http://www.rosaceae.org/gb/gbrowse/malus_x_domestica/?name=MDP0000762895","MDP0000762895")</f>
        <v>MDP0000762895</v>
      </c>
      <c r="D2788">
        <v>82.69</v>
      </c>
      <c r="E2788">
        <v>104</v>
      </c>
      <c r="F2788">
        <v>18</v>
      </c>
      <c r="G2788">
        <v>1</v>
      </c>
      <c r="H2788">
        <v>3</v>
      </c>
      <c r="I2788">
        <v>106</v>
      </c>
      <c r="J2788">
        <v>1</v>
      </c>
      <c r="K2788">
        <v>354</v>
      </c>
      <c r="L2788">
        <v>456</v>
      </c>
      <c r="M2788">
        <v>1</v>
      </c>
      <c r="N2788">
        <v>3.9936699999999997E-46</v>
      </c>
      <c r="O2788">
        <v>455</v>
      </c>
    </row>
    <row r="2789" spans="1:15" x14ac:dyDescent="0.25">
      <c r="A2789" t="s">
        <v>2802</v>
      </c>
      <c r="B2789">
        <v>600</v>
      </c>
      <c r="C2789" s="1" t="str">
        <f>HYPERLINK("http://www.rosaceae.org/gb/gbrowse/malus_x_domestica/?name=MDP0000168285","MDP0000168285")</f>
        <v>MDP0000168285</v>
      </c>
      <c r="D2789">
        <v>84.79</v>
      </c>
      <c r="E2789">
        <v>263</v>
      </c>
      <c r="F2789">
        <v>40</v>
      </c>
      <c r="G2789">
        <v>6</v>
      </c>
      <c r="H2789">
        <v>317</v>
      </c>
      <c r="I2789">
        <v>573</v>
      </c>
      <c r="J2789">
        <v>1</v>
      </c>
      <c r="K2789">
        <v>67</v>
      </c>
      <c r="L2789">
        <v>329</v>
      </c>
      <c r="M2789">
        <v>1</v>
      </c>
      <c r="N2789">
        <v>9.2689999999999997E-128</v>
      </c>
      <c r="O2789">
        <v>1169</v>
      </c>
    </row>
    <row r="2790" spans="1:15" x14ac:dyDescent="0.25">
      <c r="A2790" t="s">
        <v>2803</v>
      </c>
      <c r="B2790">
        <v>305</v>
      </c>
      <c r="C2790" s="1" t="str">
        <f>HYPERLINK("http://www.rosaceae.org/gb/gbrowse/malus_x_domestica/?name=MDP0000711254","MDP0000711254")</f>
        <v>MDP0000711254</v>
      </c>
      <c r="D2790">
        <v>48.18</v>
      </c>
      <c r="E2790">
        <v>110</v>
      </c>
      <c r="F2790">
        <v>57</v>
      </c>
      <c r="G2790">
        <v>33</v>
      </c>
      <c r="H2790">
        <v>117</v>
      </c>
      <c r="I2790">
        <v>205</v>
      </c>
      <c r="J2790">
        <v>1</v>
      </c>
      <c r="K2790">
        <v>72</v>
      </c>
      <c r="L2790">
        <v>169</v>
      </c>
      <c r="M2790">
        <v>1</v>
      </c>
      <c r="N2790">
        <v>2.08349E-17</v>
      </c>
      <c r="O2790">
        <v>214</v>
      </c>
    </row>
    <row r="2791" spans="1:15" x14ac:dyDescent="0.25">
      <c r="A2791" t="s">
        <v>2804</v>
      </c>
      <c r="B2791">
        <v>228</v>
      </c>
      <c r="C2791" s="1" t="str">
        <f>HYPERLINK("http://www.rosaceae.org/gb/gbrowse/malus_x_domestica/?name=MDP0000272351","MDP0000272351")</f>
        <v>MDP0000272351</v>
      </c>
      <c r="D2791">
        <v>68.03</v>
      </c>
      <c r="E2791">
        <v>219</v>
      </c>
      <c r="F2791">
        <v>70</v>
      </c>
      <c r="G2791">
        <v>4</v>
      </c>
      <c r="H2791">
        <v>1</v>
      </c>
      <c r="I2791">
        <v>216</v>
      </c>
      <c r="J2791">
        <v>1</v>
      </c>
      <c r="K2791">
        <v>1</v>
      </c>
      <c r="L2791">
        <v>218</v>
      </c>
      <c r="M2791">
        <v>1</v>
      </c>
      <c r="N2791">
        <v>2.00717E-78</v>
      </c>
      <c r="O2791">
        <v>739</v>
      </c>
    </row>
    <row r="2792" spans="1:15" x14ac:dyDescent="0.25">
      <c r="A2792" t="s">
        <v>2805</v>
      </c>
      <c r="B2792">
        <v>322</v>
      </c>
      <c r="C2792" s="1" t="str">
        <f>HYPERLINK("http://www.rosaceae.org/gb/gbrowse/malus_x_domestica/?name=MDP0000191774","MDP0000191774")</f>
        <v>MDP0000191774</v>
      </c>
      <c r="D2792">
        <v>52.08</v>
      </c>
      <c r="E2792">
        <v>336</v>
      </c>
      <c r="F2792">
        <v>161</v>
      </c>
      <c r="G2792">
        <v>37</v>
      </c>
      <c r="H2792">
        <v>1</v>
      </c>
      <c r="I2792">
        <v>304</v>
      </c>
      <c r="J2792">
        <v>1</v>
      </c>
      <c r="K2792">
        <v>1</v>
      </c>
      <c r="L2792">
        <v>331</v>
      </c>
      <c r="M2792">
        <v>1</v>
      </c>
      <c r="N2792">
        <v>5.5855299999999999E-89</v>
      </c>
      <c r="O2792">
        <v>832</v>
      </c>
    </row>
    <row r="2793" spans="1:15" x14ac:dyDescent="0.25">
      <c r="A2793" t="s">
        <v>2806</v>
      </c>
      <c r="B2793">
        <v>260</v>
      </c>
      <c r="C2793" s="1" t="str">
        <f>HYPERLINK("http://www.rosaceae.org/gb/gbrowse/malus_x_domestica/?name=MDP0000319460","MDP0000319460")</f>
        <v>MDP0000319460</v>
      </c>
      <c r="D2793">
        <v>52.86</v>
      </c>
      <c r="E2793">
        <v>227</v>
      </c>
      <c r="F2793">
        <v>107</v>
      </c>
      <c r="G2793">
        <v>14</v>
      </c>
      <c r="H2793">
        <v>34</v>
      </c>
      <c r="I2793">
        <v>250</v>
      </c>
      <c r="J2793">
        <v>1</v>
      </c>
      <c r="K2793">
        <v>37</v>
      </c>
      <c r="L2793">
        <v>259</v>
      </c>
      <c r="M2793">
        <v>1</v>
      </c>
      <c r="N2793">
        <v>2.5420900000000001E-56</v>
      </c>
      <c r="O2793">
        <v>549</v>
      </c>
    </row>
    <row r="2794" spans="1:15" x14ac:dyDescent="0.25">
      <c r="A2794" t="s">
        <v>2807</v>
      </c>
      <c r="B2794">
        <v>509</v>
      </c>
      <c r="C2794" s="1" t="str">
        <f>HYPERLINK("http://www.rosaceae.org/gb/gbrowse/malus_x_domestica/?name=MDP0000250854","MDP0000250854")</f>
        <v>MDP0000250854</v>
      </c>
      <c r="D2794">
        <v>85.31</v>
      </c>
      <c r="E2794">
        <v>286</v>
      </c>
      <c r="F2794">
        <v>42</v>
      </c>
      <c r="G2794">
        <v>1</v>
      </c>
      <c r="H2794">
        <v>108</v>
      </c>
      <c r="I2794">
        <v>393</v>
      </c>
      <c r="J2794">
        <v>1</v>
      </c>
      <c r="K2794">
        <v>72</v>
      </c>
      <c r="L2794">
        <v>356</v>
      </c>
      <c r="M2794">
        <v>1</v>
      </c>
      <c r="N2794">
        <v>2.94359E-147</v>
      </c>
      <c r="O2794">
        <v>1336</v>
      </c>
    </row>
    <row r="2795" spans="1:15" x14ac:dyDescent="0.25">
      <c r="A2795" t="s">
        <v>2808</v>
      </c>
      <c r="B2795">
        <v>477</v>
      </c>
      <c r="C2795" s="1" t="str">
        <f>HYPERLINK("http://www.rosaceae.org/gb/gbrowse/malus_x_domestica/?name=MDP0000409894","MDP0000409894")</f>
        <v>MDP0000409894</v>
      </c>
      <c r="D2795">
        <v>74.63</v>
      </c>
      <c r="E2795">
        <v>481</v>
      </c>
      <c r="F2795">
        <v>122</v>
      </c>
      <c r="G2795">
        <v>17</v>
      </c>
      <c r="H2795">
        <v>1</v>
      </c>
      <c r="I2795">
        <v>476</v>
      </c>
      <c r="J2795">
        <v>1</v>
      </c>
      <c r="K2795">
        <v>1</v>
      </c>
      <c r="L2795">
        <v>469</v>
      </c>
      <c r="M2795">
        <v>1</v>
      </c>
      <c r="N2795">
        <v>0</v>
      </c>
      <c r="O2795">
        <v>1854</v>
      </c>
    </row>
    <row r="2796" spans="1:15" x14ac:dyDescent="0.25">
      <c r="A2796" t="s">
        <v>2809</v>
      </c>
      <c r="B2796">
        <v>887</v>
      </c>
      <c r="C2796" s="1" t="str">
        <f>HYPERLINK("http://www.rosaceae.org/gb/gbrowse/malus_x_domestica/?name=MDP0000322510","MDP0000322510")</f>
        <v>MDP0000322510</v>
      </c>
      <c r="D2796">
        <v>65.959999999999994</v>
      </c>
      <c r="E2796">
        <v>993</v>
      </c>
      <c r="F2796">
        <v>338</v>
      </c>
      <c r="G2796">
        <v>111</v>
      </c>
      <c r="H2796">
        <v>2</v>
      </c>
      <c r="I2796">
        <v>887</v>
      </c>
      <c r="J2796">
        <v>1</v>
      </c>
      <c r="K2796">
        <v>3</v>
      </c>
      <c r="L2796">
        <v>991</v>
      </c>
      <c r="M2796">
        <v>1</v>
      </c>
      <c r="N2796">
        <v>0</v>
      </c>
      <c r="O2796">
        <v>3200</v>
      </c>
    </row>
    <row r="2797" spans="1:15" x14ac:dyDescent="0.25">
      <c r="A2797" t="s">
        <v>2810</v>
      </c>
      <c r="B2797">
        <v>493</v>
      </c>
      <c r="C2797" s="1" t="str">
        <f>HYPERLINK("http://www.rosaceae.org/gb/gbrowse/malus_x_domestica/?name=MDP0000315021","MDP0000315021")</f>
        <v>MDP0000315021</v>
      </c>
      <c r="D2797">
        <v>89.49</v>
      </c>
      <c r="E2797">
        <v>419</v>
      </c>
      <c r="F2797">
        <v>44</v>
      </c>
      <c r="G2797">
        <v>4</v>
      </c>
      <c r="H2797">
        <v>71</v>
      </c>
      <c r="I2797">
        <v>485</v>
      </c>
      <c r="J2797">
        <v>1</v>
      </c>
      <c r="K2797">
        <v>1</v>
      </c>
      <c r="L2797">
        <v>419</v>
      </c>
      <c r="M2797">
        <v>1</v>
      </c>
      <c r="N2797">
        <v>0</v>
      </c>
      <c r="O2797">
        <v>2024</v>
      </c>
    </row>
    <row r="2798" spans="1:15" x14ac:dyDescent="0.25">
      <c r="A2798" t="s">
        <v>2811</v>
      </c>
      <c r="B2798">
        <v>160</v>
      </c>
      <c r="C2798" s="1" t="str">
        <f>HYPERLINK("http://www.rosaceae.org/gb/gbrowse/malus_x_domestica/?name=MDP0000877136","MDP0000877136")</f>
        <v>MDP0000877136</v>
      </c>
      <c r="D2798">
        <v>77.98</v>
      </c>
      <c r="E2798">
        <v>159</v>
      </c>
      <c r="F2798">
        <v>35</v>
      </c>
      <c r="G2798">
        <v>1</v>
      </c>
      <c r="H2798">
        <v>1</v>
      </c>
      <c r="I2798">
        <v>159</v>
      </c>
      <c r="J2798">
        <v>1</v>
      </c>
      <c r="K2798">
        <v>1</v>
      </c>
      <c r="L2798">
        <v>158</v>
      </c>
      <c r="M2798">
        <v>1</v>
      </c>
      <c r="N2798">
        <v>6.2073400000000003E-68</v>
      </c>
      <c r="O2798">
        <v>646</v>
      </c>
    </row>
    <row r="2799" spans="1:15" x14ac:dyDescent="0.25">
      <c r="A2799" t="s">
        <v>2812</v>
      </c>
      <c r="B2799">
        <v>121</v>
      </c>
      <c r="C2799" s="1" t="str">
        <f>HYPERLINK("http://www.rosaceae.org/gb/gbrowse/malus_x_domestica/?name=MDP0000270745","MDP0000270745")</f>
        <v>MDP0000270745</v>
      </c>
      <c r="D2799">
        <v>71.64</v>
      </c>
      <c r="E2799">
        <v>67</v>
      </c>
      <c r="F2799">
        <v>19</v>
      </c>
      <c r="G2799">
        <v>2</v>
      </c>
      <c r="H2799">
        <v>1</v>
      </c>
      <c r="I2799">
        <v>65</v>
      </c>
      <c r="J2799">
        <v>1</v>
      </c>
      <c r="K2799">
        <v>1</v>
      </c>
      <c r="L2799">
        <v>67</v>
      </c>
      <c r="M2799">
        <v>1</v>
      </c>
      <c r="N2799">
        <v>4.69153E-19</v>
      </c>
      <c r="O2799">
        <v>222</v>
      </c>
    </row>
    <row r="2800" spans="1:15" x14ac:dyDescent="0.25">
      <c r="A2800" t="s">
        <v>2813</v>
      </c>
      <c r="B2800">
        <v>412</v>
      </c>
      <c r="C2800" s="1" t="str">
        <f>HYPERLINK("http://www.rosaceae.org/gb/gbrowse/malus_x_domestica/?name=MDP0000321850","MDP0000321850")</f>
        <v>MDP0000321850</v>
      </c>
      <c r="D2800">
        <v>94.07</v>
      </c>
      <c r="E2800">
        <v>371</v>
      </c>
      <c r="F2800">
        <v>22</v>
      </c>
      <c r="G2800">
        <v>1</v>
      </c>
      <c r="H2800">
        <v>42</v>
      </c>
      <c r="I2800">
        <v>412</v>
      </c>
      <c r="J2800">
        <v>1</v>
      </c>
      <c r="K2800">
        <v>1</v>
      </c>
      <c r="L2800">
        <v>370</v>
      </c>
      <c r="M2800">
        <v>1</v>
      </c>
      <c r="N2800">
        <v>0</v>
      </c>
      <c r="O2800">
        <v>1871</v>
      </c>
    </row>
    <row r="2801" spans="1:15" x14ac:dyDescent="0.25">
      <c r="A2801" t="s">
        <v>2814</v>
      </c>
      <c r="B2801">
        <v>104</v>
      </c>
      <c r="C2801" s="1" t="str">
        <f>HYPERLINK("http://www.rosaceae.org/gb/gbrowse/malus_x_domestica/?name=MDP0000140815","MDP0000140815")</f>
        <v>MDP0000140815</v>
      </c>
      <c r="D2801">
        <v>78.459999999999994</v>
      </c>
      <c r="E2801">
        <v>65</v>
      </c>
      <c r="F2801">
        <v>14</v>
      </c>
      <c r="G2801">
        <v>0</v>
      </c>
      <c r="H2801">
        <v>40</v>
      </c>
      <c r="I2801">
        <v>104</v>
      </c>
      <c r="J2801">
        <v>1</v>
      </c>
      <c r="K2801">
        <v>11</v>
      </c>
      <c r="L2801">
        <v>75</v>
      </c>
      <c r="M2801">
        <v>1</v>
      </c>
      <c r="N2801">
        <v>1.5654999999999999E-25</v>
      </c>
      <c r="O2801">
        <v>278</v>
      </c>
    </row>
    <row r="2802" spans="1:15" x14ac:dyDescent="0.25">
      <c r="A2802" t="s">
        <v>2815</v>
      </c>
      <c r="B2802">
        <v>231</v>
      </c>
      <c r="C2802" s="1" t="str">
        <f>HYPERLINK("http://www.rosaceae.org/gb/gbrowse/malus_x_domestica/?name=MDP0000441962","MDP0000441962")</f>
        <v>MDP0000441962</v>
      </c>
      <c r="D2802">
        <v>54.54</v>
      </c>
      <c r="E2802">
        <v>209</v>
      </c>
      <c r="F2802">
        <v>95</v>
      </c>
      <c r="G2802">
        <v>2</v>
      </c>
      <c r="H2802">
        <v>21</v>
      </c>
      <c r="I2802">
        <v>229</v>
      </c>
      <c r="J2802">
        <v>1</v>
      </c>
      <c r="K2802">
        <v>145</v>
      </c>
      <c r="L2802">
        <v>351</v>
      </c>
      <c r="M2802">
        <v>1</v>
      </c>
      <c r="N2802">
        <v>5.5750900000000004E-59</v>
      </c>
      <c r="O2802">
        <v>571</v>
      </c>
    </row>
    <row r="2803" spans="1:15" x14ac:dyDescent="0.25">
      <c r="A2803" t="s">
        <v>2816</v>
      </c>
      <c r="B2803">
        <v>697</v>
      </c>
      <c r="C2803" s="1" t="str">
        <f>HYPERLINK("http://www.rosaceae.org/gb/gbrowse/malus_x_domestica/?name=MDP0000216956","MDP0000216956")</f>
        <v>MDP0000216956</v>
      </c>
      <c r="D2803">
        <v>34.65</v>
      </c>
      <c r="E2803">
        <v>202</v>
      </c>
      <c r="F2803">
        <v>132</v>
      </c>
      <c r="G2803">
        <v>41</v>
      </c>
      <c r="H2803">
        <v>58</v>
      </c>
      <c r="I2803">
        <v>240</v>
      </c>
      <c r="J2803">
        <v>1</v>
      </c>
      <c r="K2803">
        <v>62</v>
      </c>
      <c r="L2803">
        <v>241</v>
      </c>
      <c r="M2803">
        <v>1</v>
      </c>
      <c r="N2803">
        <v>5.0297200000000003E-19</v>
      </c>
      <c r="O2803">
        <v>232</v>
      </c>
    </row>
    <row r="2804" spans="1:15" x14ac:dyDescent="0.25">
      <c r="A2804" t="s">
        <v>2817</v>
      </c>
      <c r="B2804">
        <v>692</v>
      </c>
      <c r="C2804" s="1" t="str">
        <f>HYPERLINK("http://www.rosaceae.org/gb/gbrowse/malus_x_domestica/?name=MDP0000268868","MDP0000268868")</f>
        <v>MDP0000268868</v>
      </c>
      <c r="D2804">
        <v>62.77</v>
      </c>
      <c r="E2804">
        <v>462</v>
      </c>
      <c r="F2804">
        <v>172</v>
      </c>
      <c r="G2804">
        <v>40</v>
      </c>
      <c r="H2804">
        <v>1</v>
      </c>
      <c r="I2804">
        <v>455</v>
      </c>
      <c r="J2804">
        <v>1</v>
      </c>
      <c r="K2804">
        <v>1</v>
      </c>
      <c r="L2804">
        <v>429</v>
      </c>
      <c r="M2804">
        <v>1</v>
      </c>
      <c r="N2804">
        <v>3.2972000000000003E-151</v>
      </c>
      <c r="O2804">
        <v>1372</v>
      </c>
    </row>
    <row r="2805" spans="1:15" x14ac:dyDescent="0.25">
      <c r="A2805" t="s">
        <v>2818</v>
      </c>
      <c r="B2805">
        <v>239</v>
      </c>
      <c r="C2805" s="1" t="str">
        <f>HYPERLINK("http://www.rosaceae.org/gb/gbrowse/malus_x_domestica/?name=MDP0000307848","MDP0000307848")</f>
        <v>MDP0000307848</v>
      </c>
      <c r="D2805">
        <v>44.57</v>
      </c>
      <c r="E2805">
        <v>249</v>
      </c>
      <c r="F2805">
        <v>138</v>
      </c>
      <c r="G2805">
        <v>14</v>
      </c>
      <c r="H2805">
        <v>1</v>
      </c>
      <c r="I2805">
        <v>239</v>
      </c>
      <c r="J2805">
        <v>1</v>
      </c>
      <c r="K2805">
        <v>3960</v>
      </c>
      <c r="L2805">
        <v>4204</v>
      </c>
      <c r="M2805">
        <v>1</v>
      </c>
      <c r="N2805">
        <v>9.3984900000000003E-45</v>
      </c>
      <c r="O2805">
        <v>449</v>
      </c>
    </row>
    <row r="2806" spans="1:15" x14ac:dyDescent="0.25">
      <c r="A2806" t="s">
        <v>2819</v>
      </c>
      <c r="B2806">
        <v>182</v>
      </c>
      <c r="C2806" s="1" t="str">
        <f>HYPERLINK("http://www.rosaceae.org/gb/gbrowse/malus_x_domestica/?name=MDP0000123466","MDP0000123466")</f>
        <v>MDP0000123466</v>
      </c>
      <c r="D2806">
        <v>54.34</v>
      </c>
      <c r="E2806">
        <v>92</v>
      </c>
      <c r="F2806">
        <v>42</v>
      </c>
      <c r="G2806">
        <v>6</v>
      </c>
      <c r="H2806">
        <v>7</v>
      </c>
      <c r="I2806">
        <v>96</v>
      </c>
      <c r="J2806">
        <v>1</v>
      </c>
      <c r="K2806">
        <v>771</v>
      </c>
      <c r="L2806">
        <v>858</v>
      </c>
      <c r="M2806">
        <v>1</v>
      </c>
      <c r="N2806">
        <v>1.13178E-18</v>
      </c>
      <c r="O2806">
        <v>222</v>
      </c>
    </row>
    <row r="2807" spans="1:15" x14ac:dyDescent="0.25">
      <c r="A2807" t="s">
        <v>2820</v>
      </c>
      <c r="B2807">
        <v>330</v>
      </c>
      <c r="C2807" s="1" t="str">
        <f>HYPERLINK("http://www.rosaceae.org/gb/gbrowse/malus_x_domestica/?name=MDP0000120095","MDP0000120095")</f>
        <v>MDP0000120095</v>
      </c>
      <c r="D2807">
        <v>70.41</v>
      </c>
      <c r="E2807">
        <v>338</v>
      </c>
      <c r="F2807">
        <v>100</v>
      </c>
      <c r="G2807">
        <v>10</v>
      </c>
      <c r="H2807">
        <v>2</v>
      </c>
      <c r="I2807">
        <v>329</v>
      </c>
      <c r="J2807">
        <v>1</v>
      </c>
      <c r="K2807">
        <v>114</v>
      </c>
      <c r="L2807">
        <v>451</v>
      </c>
      <c r="M2807">
        <v>1</v>
      </c>
      <c r="N2807">
        <v>1.56905E-132</v>
      </c>
      <c r="O2807">
        <v>1207</v>
      </c>
    </row>
    <row r="2808" spans="1:15" x14ac:dyDescent="0.25">
      <c r="A2808" t="s">
        <v>2821</v>
      </c>
      <c r="B2808">
        <v>379</v>
      </c>
      <c r="C2808" s="1" t="str">
        <f>HYPERLINK("http://www.rosaceae.org/gb/gbrowse/malus_x_domestica/?name=MDP0000244018","MDP0000244018")</f>
        <v>MDP0000244018</v>
      </c>
      <c r="D2808">
        <v>73.38</v>
      </c>
      <c r="E2808">
        <v>387</v>
      </c>
      <c r="F2808">
        <v>103</v>
      </c>
      <c r="G2808">
        <v>11</v>
      </c>
      <c r="H2808">
        <v>2</v>
      </c>
      <c r="I2808">
        <v>379</v>
      </c>
      <c r="J2808">
        <v>1</v>
      </c>
      <c r="K2808">
        <v>53</v>
      </c>
      <c r="L2808">
        <v>437</v>
      </c>
      <c r="M2808">
        <v>1</v>
      </c>
      <c r="N2808">
        <v>2.09345E-163</v>
      </c>
      <c r="O2808">
        <v>1474</v>
      </c>
    </row>
    <row r="2809" spans="1:15" x14ac:dyDescent="0.25">
      <c r="A2809" t="s">
        <v>2822</v>
      </c>
      <c r="B2809">
        <v>1011</v>
      </c>
      <c r="C2809" s="1" t="str">
        <f>HYPERLINK("http://www.rosaceae.org/gb/gbrowse/malus_x_domestica/?name=MDP0000158780","MDP0000158780")</f>
        <v>MDP0000158780</v>
      </c>
      <c r="D2809">
        <v>80.84</v>
      </c>
      <c r="E2809">
        <v>966</v>
      </c>
      <c r="F2809">
        <v>185</v>
      </c>
      <c r="G2809">
        <v>14</v>
      </c>
      <c r="H2809">
        <v>1</v>
      </c>
      <c r="I2809">
        <v>966</v>
      </c>
      <c r="J2809">
        <v>1</v>
      </c>
      <c r="K2809">
        <v>2</v>
      </c>
      <c r="L2809">
        <v>953</v>
      </c>
      <c r="M2809">
        <v>1</v>
      </c>
      <c r="N2809">
        <v>0</v>
      </c>
      <c r="O2809">
        <v>4003</v>
      </c>
    </row>
    <row r="2810" spans="1:15" x14ac:dyDescent="0.25">
      <c r="A2810" t="s">
        <v>2823</v>
      </c>
      <c r="B2810">
        <v>939</v>
      </c>
      <c r="C2810" s="1" t="str">
        <f>HYPERLINK("http://www.rosaceae.org/gb/gbrowse/malus_x_domestica/?name=MDP0000124724","MDP0000124724")</f>
        <v>MDP0000124724</v>
      </c>
      <c r="D2810">
        <v>56.06</v>
      </c>
      <c r="E2810">
        <v>371</v>
      </c>
      <c r="F2810">
        <v>163</v>
      </c>
      <c r="G2810">
        <v>19</v>
      </c>
      <c r="H2810">
        <v>504</v>
      </c>
      <c r="I2810">
        <v>859</v>
      </c>
      <c r="J2810">
        <v>1</v>
      </c>
      <c r="K2810">
        <v>6</v>
      </c>
      <c r="L2810">
        <v>372</v>
      </c>
      <c r="M2810">
        <v>1</v>
      </c>
      <c r="N2810">
        <v>1.41115E-102</v>
      </c>
      <c r="O2810">
        <v>954</v>
      </c>
    </row>
    <row r="2811" spans="1:15" x14ac:dyDescent="0.25">
      <c r="A2811" t="s">
        <v>2824</v>
      </c>
      <c r="B2811">
        <v>337</v>
      </c>
      <c r="C2811" s="1" t="str">
        <f>HYPERLINK("http://www.rosaceae.org/gb/gbrowse/malus_x_domestica/?name=MDP0000278119","MDP0000278119")</f>
        <v>MDP0000278119</v>
      </c>
      <c r="D2811">
        <v>79.069999999999993</v>
      </c>
      <c r="E2811">
        <v>325</v>
      </c>
      <c r="F2811">
        <v>68</v>
      </c>
      <c r="G2811">
        <v>1</v>
      </c>
      <c r="H2811">
        <v>9</v>
      </c>
      <c r="I2811">
        <v>333</v>
      </c>
      <c r="J2811">
        <v>1</v>
      </c>
      <c r="K2811">
        <v>15</v>
      </c>
      <c r="L2811">
        <v>338</v>
      </c>
      <c r="M2811">
        <v>1</v>
      </c>
      <c r="N2811">
        <v>1.73222E-155</v>
      </c>
      <c r="O2811">
        <v>1405</v>
      </c>
    </row>
    <row r="2812" spans="1:15" x14ac:dyDescent="0.25">
      <c r="A2812" t="s">
        <v>2825</v>
      </c>
      <c r="B2812">
        <v>301</v>
      </c>
      <c r="C2812" s="1" t="str">
        <f>HYPERLINK("http://www.rosaceae.org/gb/gbrowse/malus_x_domestica/?name=MDP0000714834","MDP0000714834")</f>
        <v>MDP0000714834</v>
      </c>
      <c r="D2812">
        <v>55.37</v>
      </c>
      <c r="E2812">
        <v>307</v>
      </c>
      <c r="F2812">
        <v>137</v>
      </c>
      <c r="G2812">
        <v>18</v>
      </c>
      <c r="H2812">
        <v>1</v>
      </c>
      <c r="I2812">
        <v>301</v>
      </c>
      <c r="J2812">
        <v>1</v>
      </c>
      <c r="K2812">
        <v>1</v>
      </c>
      <c r="L2812">
        <v>295</v>
      </c>
      <c r="M2812">
        <v>1</v>
      </c>
      <c r="N2812">
        <v>2.9947399999999998E-78</v>
      </c>
      <c r="O2812">
        <v>739</v>
      </c>
    </row>
    <row r="2813" spans="1:15" x14ac:dyDescent="0.25">
      <c r="A2813" t="s">
        <v>2826</v>
      </c>
      <c r="B2813">
        <v>1186</v>
      </c>
      <c r="C2813" s="1" t="str">
        <f>HYPERLINK("http://www.rosaceae.org/gb/gbrowse/malus_x_domestica/?name=MDP0000313786","MDP0000313786")</f>
        <v>MDP0000313786</v>
      </c>
      <c r="D2813">
        <v>84.32</v>
      </c>
      <c r="E2813">
        <v>855</v>
      </c>
      <c r="F2813">
        <v>134</v>
      </c>
      <c r="G2813">
        <v>2</v>
      </c>
      <c r="H2813">
        <v>332</v>
      </c>
      <c r="I2813">
        <v>1186</v>
      </c>
      <c r="J2813">
        <v>1</v>
      </c>
      <c r="K2813">
        <v>236</v>
      </c>
      <c r="L2813">
        <v>1088</v>
      </c>
      <c r="M2813">
        <v>1</v>
      </c>
      <c r="N2813">
        <v>0</v>
      </c>
      <c r="O2813">
        <v>3879</v>
      </c>
    </row>
    <row r="2814" spans="1:15" x14ac:dyDescent="0.25">
      <c r="A2814" t="s">
        <v>2827</v>
      </c>
      <c r="B2814">
        <v>547</v>
      </c>
      <c r="C2814" s="1" t="str">
        <f>HYPERLINK("http://www.rosaceae.org/gb/gbrowse/malus_x_domestica/?name=MDP0000775116","MDP0000775116")</f>
        <v>MDP0000775116</v>
      </c>
      <c r="D2814">
        <v>39.18</v>
      </c>
      <c r="E2814">
        <v>444</v>
      </c>
      <c r="F2814">
        <v>270</v>
      </c>
      <c r="G2814">
        <v>73</v>
      </c>
      <c r="H2814">
        <v>9</v>
      </c>
      <c r="I2814">
        <v>390</v>
      </c>
      <c r="J2814">
        <v>1</v>
      </c>
      <c r="K2814">
        <v>6</v>
      </c>
      <c r="L2814">
        <v>438</v>
      </c>
      <c r="M2814">
        <v>1</v>
      </c>
      <c r="N2814">
        <v>2.08072E-73</v>
      </c>
      <c r="O2814">
        <v>700</v>
      </c>
    </row>
    <row r="2815" spans="1:15" x14ac:dyDescent="0.25">
      <c r="A2815" t="s">
        <v>2828</v>
      </c>
      <c r="B2815">
        <v>252</v>
      </c>
      <c r="C2815" s="1" t="str">
        <f>HYPERLINK("http://www.rosaceae.org/gb/gbrowse/malus_x_domestica/?name=MDP0000312793","MDP0000312793")</f>
        <v>MDP0000312793</v>
      </c>
      <c r="D2815">
        <v>42.59</v>
      </c>
      <c r="E2815">
        <v>108</v>
      </c>
      <c r="F2815">
        <v>62</v>
      </c>
      <c r="G2815">
        <v>10</v>
      </c>
      <c r="H2815">
        <v>152</v>
      </c>
      <c r="I2815">
        <v>249</v>
      </c>
      <c r="J2815">
        <v>1</v>
      </c>
      <c r="K2815">
        <v>282</v>
      </c>
      <c r="L2815">
        <v>389</v>
      </c>
      <c r="M2815">
        <v>1</v>
      </c>
      <c r="N2815">
        <v>2.6995500000000002E-16</v>
      </c>
      <c r="O2815">
        <v>204</v>
      </c>
    </row>
    <row r="2816" spans="1:15" x14ac:dyDescent="0.25">
      <c r="A2816" t="s">
        <v>2829</v>
      </c>
      <c r="B2816">
        <v>589</v>
      </c>
      <c r="C2816" s="1" t="str">
        <f>HYPERLINK("http://www.rosaceae.org/gb/gbrowse/malus_x_domestica/?name=MDP0000271850","MDP0000271850")</f>
        <v>MDP0000271850</v>
      </c>
      <c r="D2816">
        <v>68.5</v>
      </c>
      <c r="E2816">
        <v>600</v>
      </c>
      <c r="F2816">
        <v>189</v>
      </c>
      <c r="G2816">
        <v>65</v>
      </c>
      <c r="H2816">
        <v>1</v>
      </c>
      <c r="I2816">
        <v>589</v>
      </c>
      <c r="J2816">
        <v>1</v>
      </c>
      <c r="K2816">
        <v>1</v>
      </c>
      <c r="L2816">
        <v>546</v>
      </c>
      <c r="M2816">
        <v>1</v>
      </c>
      <c r="N2816">
        <v>0</v>
      </c>
      <c r="O2816">
        <v>2044</v>
      </c>
    </row>
    <row r="2817" spans="1:15" x14ac:dyDescent="0.25">
      <c r="A2817" t="s">
        <v>2830</v>
      </c>
      <c r="B2817">
        <v>317</v>
      </c>
      <c r="C2817" s="1" t="str">
        <f>HYPERLINK("http://www.rosaceae.org/gb/gbrowse/malus_x_domestica/?name=MDP0000322220","MDP0000322220")</f>
        <v>MDP0000322220</v>
      </c>
      <c r="D2817">
        <v>47.84</v>
      </c>
      <c r="E2817">
        <v>232</v>
      </c>
      <c r="F2817">
        <v>121</v>
      </c>
      <c r="G2817">
        <v>10</v>
      </c>
      <c r="H2817">
        <v>90</v>
      </c>
      <c r="I2817">
        <v>316</v>
      </c>
      <c r="J2817">
        <v>1</v>
      </c>
      <c r="K2817">
        <v>824</v>
      </c>
      <c r="L2817">
        <v>1050</v>
      </c>
      <c r="M2817">
        <v>1</v>
      </c>
      <c r="N2817">
        <v>3.1796899999999998E-53</v>
      </c>
      <c r="O2817">
        <v>523</v>
      </c>
    </row>
    <row r="2818" spans="1:15" x14ac:dyDescent="0.25">
      <c r="A2818" t="s">
        <v>2831</v>
      </c>
      <c r="B2818">
        <v>199</v>
      </c>
      <c r="C2818" s="1" t="str">
        <f>HYPERLINK("http://www.rosaceae.org/gb/gbrowse/malus_x_domestica/?name=MDP0000303142","MDP0000303142")</f>
        <v>MDP0000303142</v>
      </c>
      <c r="D2818">
        <v>74</v>
      </c>
      <c r="E2818">
        <v>200</v>
      </c>
      <c r="F2818">
        <v>52</v>
      </c>
      <c r="G2818">
        <v>11</v>
      </c>
      <c r="H2818">
        <v>1</v>
      </c>
      <c r="I2818">
        <v>199</v>
      </c>
      <c r="J2818">
        <v>1</v>
      </c>
      <c r="K2818">
        <v>1</v>
      </c>
      <c r="L2818">
        <v>190</v>
      </c>
      <c r="M2818">
        <v>1</v>
      </c>
      <c r="N2818">
        <v>8.0581899999999998E-75</v>
      </c>
      <c r="O2818">
        <v>707</v>
      </c>
    </row>
    <row r="2819" spans="1:15" x14ac:dyDescent="0.25">
      <c r="A2819" t="s">
        <v>2832</v>
      </c>
      <c r="B2819">
        <v>83</v>
      </c>
      <c r="C2819" s="1" t="str">
        <f>HYPERLINK("http://www.rosaceae.org/gb/gbrowse/malus_x_domestica/?name=MDP0000333057","MDP0000333057")</f>
        <v>MDP0000333057</v>
      </c>
      <c r="D2819">
        <v>97.22</v>
      </c>
      <c r="E2819">
        <v>72</v>
      </c>
      <c r="F2819">
        <v>2</v>
      </c>
      <c r="G2819">
        <v>0</v>
      </c>
      <c r="H2819">
        <v>1</v>
      </c>
      <c r="I2819">
        <v>72</v>
      </c>
      <c r="J2819">
        <v>1</v>
      </c>
      <c r="K2819">
        <v>13</v>
      </c>
      <c r="L2819">
        <v>84</v>
      </c>
      <c r="M2819">
        <v>1</v>
      </c>
      <c r="N2819">
        <v>4.7475100000000002E-37</v>
      </c>
      <c r="O2819">
        <v>377</v>
      </c>
    </row>
    <row r="2820" spans="1:15" x14ac:dyDescent="0.25">
      <c r="A2820" t="s">
        <v>2833</v>
      </c>
      <c r="B2820">
        <v>241</v>
      </c>
      <c r="C2820" s="1" t="str">
        <f>HYPERLINK("http://www.rosaceae.org/gb/gbrowse/malus_x_domestica/?name=MDP0000240094","MDP0000240094")</f>
        <v>MDP0000240094</v>
      </c>
      <c r="D2820">
        <v>69.599999999999994</v>
      </c>
      <c r="E2820">
        <v>204</v>
      </c>
      <c r="F2820">
        <v>62</v>
      </c>
      <c r="G2820">
        <v>8</v>
      </c>
      <c r="H2820">
        <v>1</v>
      </c>
      <c r="I2820">
        <v>198</v>
      </c>
      <c r="J2820">
        <v>1</v>
      </c>
      <c r="K2820">
        <v>1</v>
      </c>
      <c r="L2820">
        <v>202</v>
      </c>
      <c r="M2820">
        <v>1</v>
      </c>
      <c r="N2820">
        <v>1.5300900000000001E-73</v>
      </c>
      <c r="O2820">
        <v>697</v>
      </c>
    </row>
    <row r="2821" spans="1:15" x14ac:dyDescent="0.25">
      <c r="A2821" t="s">
        <v>2834</v>
      </c>
      <c r="B2821">
        <v>174</v>
      </c>
      <c r="C2821" s="1" t="str">
        <f>HYPERLINK("http://www.rosaceae.org/gb/gbrowse/malus_x_domestica/?name=MDP0000314346","MDP0000314346")</f>
        <v>MDP0000314346</v>
      </c>
      <c r="D2821">
        <v>69</v>
      </c>
      <c r="E2821">
        <v>171</v>
      </c>
      <c r="F2821">
        <v>53</v>
      </c>
      <c r="G2821">
        <v>3</v>
      </c>
      <c r="H2821">
        <v>1</v>
      </c>
      <c r="I2821">
        <v>171</v>
      </c>
      <c r="J2821">
        <v>1</v>
      </c>
      <c r="K2821">
        <v>383</v>
      </c>
      <c r="L2821">
        <v>550</v>
      </c>
      <c r="M2821">
        <v>1</v>
      </c>
      <c r="N2821">
        <v>5.4585000000000004E-63</v>
      </c>
      <c r="O2821">
        <v>604</v>
      </c>
    </row>
    <row r="2822" spans="1:15" x14ac:dyDescent="0.25">
      <c r="A2822" t="s">
        <v>2835</v>
      </c>
      <c r="B2822">
        <v>398</v>
      </c>
      <c r="C2822" s="1" t="str">
        <f>HYPERLINK("http://www.rosaceae.org/gb/gbrowse/malus_x_domestica/?name=MDP0000266624","MDP0000266624")</f>
        <v>MDP0000266624</v>
      </c>
      <c r="D2822">
        <v>28.89</v>
      </c>
      <c r="E2822">
        <v>263</v>
      </c>
      <c r="F2822">
        <v>187</v>
      </c>
      <c r="G2822">
        <v>8</v>
      </c>
      <c r="H2822">
        <v>44</v>
      </c>
      <c r="I2822">
        <v>300</v>
      </c>
      <c r="J2822">
        <v>1</v>
      </c>
      <c r="K2822">
        <v>71</v>
      </c>
      <c r="L2822">
        <v>331</v>
      </c>
      <c r="M2822">
        <v>1</v>
      </c>
      <c r="N2822">
        <v>9.0057399999999994E-28</v>
      </c>
      <c r="O2822">
        <v>305</v>
      </c>
    </row>
    <row r="2823" spans="1:15" x14ac:dyDescent="0.25">
      <c r="A2823" t="s">
        <v>2836</v>
      </c>
      <c r="B2823">
        <v>678</v>
      </c>
      <c r="C2823" s="1" t="str">
        <f>HYPERLINK("http://www.rosaceae.org/gb/gbrowse/malus_x_domestica/?name=MDP0000501232","MDP0000501232")</f>
        <v>MDP0000501232</v>
      </c>
      <c r="D2823">
        <v>55.55</v>
      </c>
      <c r="E2823">
        <v>576</v>
      </c>
      <c r="F2823">
        <v>256</v>
      </c>
      <c r="G2823">
        <v>39</v>
      </c>
      <c r="H2823">
        <v>1</v>
      </c>
      <c r="I2823">
        <v>568</v>
      </c>
      <c r="J2823">
        <v>1</v>
      </c>
      <c r="K2823">
        <v>83</v>
      </c>
      <c r="L2823">
        <v>627</v>
      </c>
      <c r="M2823">
        <v>1</v>
      </c>
      <c r="N2823">
        <v>2.6897499999999998E-165</v>
      </c>
      <c r="O2823">
        <v>1493</v>
      </c>
    </row>
    <row r="2824" spans="1:15" x14ac:dyDescent="0.25">
      <c r="A2824" t="s">
        <v>2837</v>
      </c>
      <c r="B2824">
        <v>229</v>
      </c>
      <c r="C2824" s="1" t="str">
        <f>HYPERLINK("http://www.rosaceae.org/gb/gbrowse/malus_x_domestica/?name=MDP0000256723","MDP0000256723")</f>
        <v>MDP0000256723</v>
      </c>
      <c r="D2824">
        <v>69.819999999999993</v>
      </c>
      <c r="E2824">
        <v>116</v>
      </c>
      <c r="F2824">
        <v>35</v>
      </c>
      <c r="G2824">
        <v>10</v>
      </c>
      <c r="H2824">
        <v>1</v>
      </c>
      <c r="I2824">
        <v>116</v>
      </c>
      <c r="J2824">
        <v>1</v>
      </c>
      <c r="K2824">
        <v>1</v>
      </c>
      <c r="L2824">
        <v>106</v>
      </c>
      <c r="M2824">
        <v>1</v>
      </c>
      <c r="N2824">
        <v>2.7381100000000002E-41</v>
      </c>
      <c r="O2824">
        <v>418</v>
      </c>
    </row>
    <row r="2825" spans="1:15" x14ac:dyDescent="0.25">
      <c r="A2825" t="s">
        <v>2838</v>
      </c>
      <c r="B2825">
        <v>217</v>
      </c>
      <c r="C2825" s="1" t="str">
        <f>HYPERLINK("http://www.rosaceae.org/gb/gbrowse/malus_x_domestica/?name=MDP0000721987","MDP0000721987")</f>
        <v>MDP0000721987</v>
      </c>
      <c r="D2825">
        <v>57.97</v>
      </c>
      <c r="E2825">
        <v>138</v>
      </c>
      <c r="F2825">
        <v>58</v>
      </c>
      <c r="G2825">
        <v>26</v>
      </c>
      <c r="H2825">
        <v>12</v>
      </c>
      <c r="I2825">
        <v>123</v>
      </c>
      <c r="J2825">
        <v>1</v>
      </c>
      <c r="K2825">
        <v>92</v>
      </c>
      <c r="L2825">
        <v>229</v>
      </c>
      <c r="M2825">
        <v>1</v>
      </c>
      <c r="N2825">
        <v>7.6918000000000007E-40</v>
      </c>
      <c r="O2825">
        <v>406</v>
      </c>
    </row>
    <row r="2826" spans="1:15" x14ac:dyDescent="0.25">
      <c r="A2826" t="s">
        <v>2839</v>
      </c>
      <c r="B2826">
        <v>173</v>
      </c>
      <c r="C2826" s="1" t="str">
        <f>HYPERLINK("http://www.rosaceae.org/gb/gbrowse/malus_x_domestica/?name=MDP0000120180","MDP0000120180")</f>
        <v>MDP0000120180</v>
      </c>
      <c r="D2826">
        <v>58.77</v>
      </c>
      <c r="E2826">
        <v>114</v>
      </c>
      <c r="F2826">
        <v>47</v>
      </c>
      <c r="G2826">
        <v>0</v>
      </c>
      <c r="H2826">
        <v>34</v>
      </c>
      <c r="I2826">
        <v>147</v>
      </c>
      <c r="J2826">
        <v>1</v>
      </c>
      <c r="K2826">
        <v>92</v>
      </c>
      <c r="L2826">
        <v>205</v>
      </c>
      <c r="M2826">
        <v>1</v>
      </c>
      <c r="N2826">
        <v>2.9298500000000001E-35</v>
      </c>
      <c r="O2826">
        <v>365</v>
      </c>
    </row>
    <row r="2827" spans="1:15" x14ac:dyDescent="0.25">
      <c r="A2827" t="s">
        <v>2840</v>
      </c>
      <c r="B2827">
        <v>385</v>
      </c>
      <c r="C2827" s="1" t="str">
        <f>HYPERLINK("http://www.rosaceae.org/gb/gbrowse/malus_x_domestica/?name=MDP0000176633","MDP0000176633")</f>
        <v>MDP0000176633</v>
      </c>
      <c r="D2827">
        <v>62.66</v>
      </c>
      <c r="E2827">
        <v>450</v>
      </c>
      <c r="F2827">
        <v>168</v>
      </c>
      <c r="G2827">
        <v>76</v>
      </c>
      <c r="H2827">
        <v>1</v>
      </c>
      <c r="I2827">
        <v>385</v>
      </c>
      <c r="J2827">
        <v>1</v>
      </c>
      <c r="K2827">
        <v>1</v>
      </c>
      <c r="L2827">
        <v>439</v>
      </c>
      <c r="M2827">
        <v>1</v>
      </c>
      <c r="N2827">
        <v>2.54767E-136</v>
      </c>
      <c r="O2827">
        <v>1241</v>
      </c>
    </row>
    <row r="2828" spans="1:15" x14ac:dyDescent="0.25">
      <c r="A2828" t="s">
        <v>2841</v>
      </c>
      <c r="B2828">
        <v>353</v>
      </c>
      <c r="C2828" s="1" t="str">
        <f>HYPERLINK("http://www.rosaceae.org/gb/gbrowse/malus_x_domestica/?name=MDP0000902543","MDP0000902543")</f>
        <v>MDP0000902543</v>
      </c>
      <c r="D2828">
        <v>26.79</v>
      </c>
      <c r="E2828">
        <v>209</v>
      </c>
      <c r="F2828">
        <v>153</v>
      </c>
      <c r="G2828">
        <v>13</v>
      </c>
      <c r="H2828">
        <v>145</v>
      </c>
      <c r="I2828">
        <v>353</v>
      </c>
      <c r="J2828">
        <v>1</v>
      </c>
      <c r="K2828">
        <v>172</v>
      </c>
      <c r="L2828">
        <v>367</v>
      </c>
      <c r="M2828">
        <v>1</v>
      </c>
      <c r="N2828">
        <v>2.10047E-7</v>
      </c>
      <c r="O2828">
        <v>129</v>
      </c>
    </row>
    <row r="2829" spans="1:15" x14ac:dyDescent="0.25">
      <c r="A2829" t="s">
        <v>2842</v>
      </c>
      <c r="B2829">
        <v>713</v>
      </c>
      <c r="C2829" s="1" t="str">
        <f>HYPERLINK("http://www.rosaceae.org/gb/gbrowse/malus_x_domestica/?name=MDP0000825399","MDP0000825399")</f>
        <v>MDP0000825399</v>
      </c>
      <c r="D2829">
        <v>83.21</v>
      </c>
      <c r="E2829">
        <v>685</v>
      </c>
      <c r="F2829">
        <v>115</v>
      </c>
      <c r="G2829">
        <v>7</v>
      </c>
      <c r="H2829">
        <v>35</v>
      </c>
      <c r="I2829">
        <v>713</v>
      </c>
      <c r="J2829">
        <v>1</v>
      </c>
      <c r="K2829">
        <v>1</v>
      </c>
      <c r="L2829">
        <v>684</v>
      </c>
      <c r="M2829">
        <v>1</v>
      </c>
      <c r="N2829">
        <v>0</v>
      </c>
      <c r="O2829">
        <v>3114</v>
      </c>
    </row>
    <row r="2830" spans="1:15" x14ac:dyDescent="0.25">
      <c r="A2830" t="s">
        <v>2843</v>
      </c>
      <c r="B2830">
        <v>167</v>
      </c>
      <c r="C2830" s="1" t="str">
        <f>HYPERLINK("http://www.rosaceae.org/gb/gbrowse/malus_x_domestica/?name=MDP0000132929","MDP0000132929")</f>
        <v>MDP0000132929</v>
      </c>
      <c r="D2830">
        <v>53.1</v>
      </c>
      <c r="E2830">
        <v>177</v>
      </c>
      <c r="F2830">
        <v>83</v>
      </c>
      <c r="G2830">
        <v>13</v>
      </c>
      <c r="H2830">
        <v>3</v>
      </c>
      <c r="I2830">
        <v>166</v>
      </c>
      <c r="J2830">
        <v>1</v>
      </c>
      <c r="K2830">
        <v>2</v>
      </c>
      <c r="L2830">
        <v>178</v>
      </c>
      <c r="M2830">
        <v>1</v>
      </c>
      <c r="N2830">
        <v>2.2803799999999998E-44</v>
      </c>
      <c r="O2830">
        <v>443</v>
      </c>
    </row>
    <row r="2831" spans="1:15" x14ac:dyDescent="0.25">
      <c r="A2831" t="s">
        <v>2844</v>
      </c>
      <c r="B2831">
        <v>482</v>
      </c>
      <c r="C2831" s="1" t="str">
        <f>HYPERLINK("http://www.rosaceae.org/gb/gbrowse/malus_x_domestica/?name=MDP0000302003","MDP0000302003")</f>
        <v>MDP0000302003</v>
      </c>
      <c r="D2831">
        <v>60.86</v>
      </c>
      <c r="E2831">
        <v>437</v>
      </c>
      <c r="F2831">
        <v>171</v>
      </c>
      <c r="G2831">
        <v>68</v>
      </c>
      <c r="H2831">
        <v>25</v>
      </c>
      <c r="I2831">
        <v>448</v>
      </c>
      <c r="J2831">
        <v>1</v>
      </c>
      <c r="K2831">
        <v>21</v>
      </c>
      <c r="L2831">
        <v>402</v>
      </c>
      <c r="M2831">
        <v>1</v>
      </c>
      <c r="N2831">
        <v>2.9676100000000002E-131</v>
      </c>
      <c r="O2831">
        <v>1198</v>
      </c>
    </row>
    <row r="2832" spans="1:15" x14ac:dyDescent="0.25">
      <c r="A2832" t="s">
        <v>2845</v>
      </c>
      <c r="B2832">
        <v>144</v>
      </c>
      <c r="C2832" s="1" t="str">
        <f>HYPERLINK("http://www.rosaceae.org/gb/gbrowse/malus_x_domestica/?name=MDP0000260960","MDP0000260960")</f>
        <v>MDP0000260960</v>
      </c>
      <c r="D2832">
        <v>28.98</v>
      </c>
      <c r="E2832">
        <v>138</v>
      </c>
      <c r="F2832">
        <v>98</v>
      </c>
      <c r="G2832">
        <v>0</v>
      </c>
      <c r="H2832">
        <v>4</v>
      </c>
      <c r="I2832">
        <v>141</v>
      </c>
      <c r="J2832">
        <v>1</v>
      </c>
      <c r="K2832">
        <v>385</v>
      </c>
      <c r="L2832">
        <v>522</v>
      </c>
      <c r="M2832">
        <v>1</v>
      </c>
      <c r="N2832">
        <v>5.5586100000000003E-11</v>
      </c>
      <c r="O2832">
        <v>154</v>
      </c>
    </row>
    <row r="2833" spans="1:15" x14ac:dyDescent="0.25">
      <c r="A2833" t="s">
        <v>2846</v>
      </c>
      <c r="B2833">
        <v>681</v>
      </c>
      <c r="C2833" s="1" t="str">
        <f>HYPERLINK("http://www.rosaceae.org/gb/gbrowse/malus_x_domestica/?name=MDP0000604089","MDP0000604089")</f>
        <v>MDP0000604089</v>
      </c>
      <c r="D2833">
        <v>66.08</v>
      </c>
      <c r="E2833">
        <v>684</v>
      </c>
      <c r="F2833">
        <v>232</v>
      </c>
      <c r="G2833">
        <v>14</v>
      </c>
      <c r="H2833">
        <v>12</v>
      </c>
      <c r="I2833">
        <v>681</v>
      </c>
      <c r="J2833">
        <v>1</v>
      </c>
      <c r="K2833">
        <v>13</v>
      </c>
      <c r="L2833">
        <v>696</v>
      </c>
      <c r="M2833">
        <v>1</v>
      </c>
      <c r="N2833">
        <v>0</v>
      </c>
      <c r="O2833">
        <v>2229</v>
      </c>
    </row>
    <row r="2834" spans="1:15" x14ac:dyDescent="0.25">
      <c r="A2834" t="s">
        <v>2847</v>
      </c>
      <c r="B2834">
        <v>456</v>
      </c>
      <c r="C2834" s="1" t="str">
        <f>HYPERLINK("http://www.rosaceae.org/gb/gbrowse/malus_x_domestica/?name=MDP0000235299","MDP0000235299")</f>
        <v>MDP0000235299</v>
      </c>
      <c r="D2834">
        <v>60.62</v>
      </c>
      <c r="E2834">
        <v>480</v>
      </c>
      <c r="F2834">
        <v>189</v>
      </c>
      <c r="G2834">
        <v>32</v>
      </c>
      <c r="H2834">
        <v>3</v>
      </c>
      <c r="I2834">
        <v>456</v>
      </c>
      <c r="J2834">
        <v>1</v>
      </c>
      <c r="K2834">
        <v>358</v>
      </c>
      <c r="L2834">
        <v>831</v>
      </c>
      <c r="M2834">
        <v>1</v>
      </c>
      <c r="N2834">
        <v>1.3248499999999999E-161</v>
      </c>
      <c r="O2834">
        <v>1460</v>
      </c>
    </row>
    <row r="2835" spans="1:15" x14ac:dyDescent="0.25">
      <c r="A2835" t="s">
        <v>2848</v>
      </c>
      <c r="B2835">
        <v>203</v>
      </c>
      <c r="C2835" s="1" t="str">
        <f>HYPERLINK("http://www.rosaceae.org/gb/gbrowse/malus_x_domestica/?name=MDP0000135652","MDP0000135652")</f>
        <v>MDP0000135652</v>
      </c>
      <c r="D2835">
        <v>49.3</v>
      </c>
      <c r="E2835">
        <v>144</v>
      </c>
      <c r="F2835">
        <v>73</v>
      </c>
      <c r="G2835">
        <v>2</v>
      </c>
      <c r="H2835">
        <v>9</v>
      </c>
      <c r="I2835">
        <v>151</v>
      </c>
      <c r="J2835">
        <v>1</v>
      </c>
      <c r="K2835">
        <v>17</v>
      </c>
      <c r="L2835">
        <v>159</v>
      </c>
      <c r="M2835">
        <v>1</v>
      </c>
      <c r="N2835">
        <v>1.27778E-28</v>
      </c>
      <c r="O2835">
        <v>308</v>
      </c>
    </row>
    <row r="2836" spans="1:15" x14ac:dyDescent="0.25">
      <c r="A2836" t="s">
        <v>2849</v>
      </c>
      <c r="B2836">
        <v>218</v>
      </c>
      <c r="C2836" s="1" t="str">
        <f>HYPERLINK("http://www.rosaceae.org/gb/gbrowse/malus_x_domestica/?name=MDP0000258983","MDP0000258983")</f>
        <v>MDP0000258983</v>
      </c>
      <c r="D2836">
        <v>76.88</v>
      </c>
      <c r="E2836">
        <v>186</v>
      </c>
      <c r="F2836">
        <v>43</v>
      </c>
      <c r="G2836">
        <v>0</v>
      </c>
      <c r="H2836">
        <v>33</v>
      </c>
      <c r="I2836">
        <v>218</v>
      </c>
      <c r="J2836">
        <v>1</v>
      </c>
      <c r="K2836">
        <v>143</v>
      </c>
      <c r="L2836">
        <v>328</v>
      </c>
      <c r="M2836">
        <v>1</v>
      </c>
      <c r="N2836">
        <v>1.6121799999999999E-77</v>
      </c>
      <c r="O2836">
        <v>731</v>
      </c>
    </row>
    <row r="2837" spans="1:15" x14ac:dyDescent="0.25">
      <c r="A2837" t="s">
        <v>2850</v>
      </c>
      <c r="B2837">
        <v>395</v>
      </c>
      <c r="C2837" s="1" t="str">
        <f>HYPERLINK("http://www.rosaceae.org/gb/gbrowse/malus_x_domestica/?name=MDP0000148959","MDP0000148959")</f>
        <v>MDP0000148959</v>
      </c>
      <c r="D2837">
        <v>57.66</v>
      </c>
      <c r="E2837">
        <v>437</v>
      </c>
      <c r="F2837">
        <v>185</v>
      </c>
      <c r="G2837">
        <v>97</v>
      </c>
      <c r="H2837">
        <v>1</v>
      </c>
      <c r="I2837">
        <v>340</v>
      </c>
      <c r="J2837">
        <v>1</v>
      </c>
      <c r="K2837">
        <v>1</v>
      </c>
      <c r="L2837">
        <v>437</v>
      </c>
      <c r="M2837">
        <v>1</v>
      </c>
      <c r="N2837">
        <v>1.04842E-129</v>
      </c>
      <c r="O2837">
        <v>1184</v>
      </c>
    </row>
    <row r="2838" spans="1:15" x14ac:dyDescent="0.25">
      <c r="A2838" t="s">
        <v>2851</v>
      </c>
      <c r="B2838">
        <v>644</v>
      </c>
      <c r="C2838" s="1" t="str">
        <f>HYPERLINK("http://www.rosaceae.org/gb/gbrowse/malus_x_domestica/?name=MDP0000231072","MDP0000231072")</f>
        <v>MDP0000231072</v>
      </c>
      <c r="D2838">
        <v>39.22</v>
      </c>
      <c r="E2838">
        <v>464</v>
      </c>
      <c r="F2838">
        <v>282</v>
      </c>
      <c r="G2838">
        <v>65</v>
      </c>
      <c r="H2838">
        <v>110</v>
      </c>
      <c r="I2838">
        <v>547</v>
      </c>
      <c r="J2838">
        <v>1</v>
      </c>
      <c r="K2838">
        <v>4</v>
      </c>
      <c r="L2838">
        <v>428</v>
      </c>
      <c r="M2838">
        <v>1</v>
      </c>
      <c r="N2838">
        <v>4.4299699999999999E-73</v>
      </c>
      <c r="O2838">
        <v>698</v>
      </c>
    </row>
    <row r="2839" spans="1:15" x14ac:dyDescent="0.25">
      <c r="A2839" t="s">
        <v>2852</v>
      </c>
      <c r="B2839">
        <v>160</v>
      </c>
      <c r="C2839" s="1" t="str">
        <f>HYPERLINK("http://www.rosaceae.org/gb/gbrowse/malus_x_domestica/?name=MDP0000611200","MDP0000611200")</f>
        <v>MDP0000611200</v>
      </c>
      <c r="D2839">
        <v>81.25</v>
      </c>
      <c r="E2839">
        <v>160</v>
      </c>
      <c r="F2839">
        <v>30</v>
      </c>
      <c r="G2839">
        <v>1</v>
      </c>
      <c r="H2839">
        <v>1</v>
      </c>
      <c r="I2839">
        <v>160</v>
      </c>
      <c r="J2839">
        <v>1</v>
      </c>
      <c r="K2839">
        <v>1</v>
      </c>
      <c r="L2839">
        <v>159</v>
      </c>
      <c r="M2839">
        <v>1</v>
      </c>
      <c r="N2839">
        <v>4.59279E-71</v>
      </c>
      <c r="O2839">
        <v>673</v>
      </c>
    </row>
    <row r="2840" spans="1:15" x14ac:dyDescent="0.25">
      <c r="A2840" t="s">
        <v>2853</v>
      </c>
      <c r="B2840">
        <v>245</v>
      </c>
      <c r="C2840" s="1" t="str">
        <f>HYPERLINK("http://www.rosaceae.org/gb/gbrowse/malus_x_domestica/?name=MDP0000434703","MDP0000434703")</f>
        <v>MDP0000434703</v>
      </c>
      <c r="D2840">
        <v>45.88</v>
      </c>
      <c r="E2840">
        <v>170</v>
      </c>
      <c r="F2840">
        <v>92</v>
      </c>
      <c r="G2840">
        <v>4</v>
      </c>
      <c r="H2840">
        <v>3</v>
      </c>
      <c r="I2840">
        <v>169</v>
      </c>
      <c r="J2840">
        <v>1</v>
      </c>
      <c r="K2840">
        <v>2</v>
      </c>
      <c r="L2840">
        <v>170</v>
      </c>
      <c r="M2840">
        <v>1</v>
      </c>
      <c r="N2840">
        <v>8.9501700000000005E-35</v>
      </c>
      <c r="O2840">
        <v>363</v>
      </c>
    </row>
    <row r="2841" spans="1:15" x14ac:dyDescent="0.25">
      <c r="A2841" t="s">
        <v>2854</v>
      </c>
      <c r="B2841">
        <v>1447</v>
      </c>
      <c r="C2841" s="1" t="str">
        <f>HYPERLINK("http://www.rosaceae.org/gb/gbrowse/malus_x_domestica/?name=MDP0000172441","MDP0000172441")</f>
        <v>MDP0000172441</v>
      </c>
      <c r="D2841">
        <v>58.57</v>
      </c>
      <c r="E2841">
        <v>70</v>
      </c>
      <c r="F2841">
        <v>29</v>
      </c>
      <c r="G2841">
        <v>1</v>
      </c>
      <c r="H2841">
        <v>380</v>
      </c>
      <c r="I2841">
        <v>448</v>
      </c>
      <c r="J2841">
        <v>1</v>
      </c>
      <c r="K2841">
        <v>935</v>
      </c>
      <c r="L2841">
        <v>1004</v>
      </c>
      <c r="M2841">
        <v>1</v>
      </c>
      <c r="N2841">
        <v>3.6170199999999998E-15</v>
      </c>
      <c r="O2841">
        <v>202</v>
      </c>
    </row>
    <row r="2842" spans="1:15" x14ac:dyDescent="0.25">
      <c r="A2842" t="s">
        <v>2855</v>
      </c>
      <c r="B2842">
        <v>112</v>
      </c>
      <c r="C2842" s="1" t="str">
        <f>HYPERLINK("http://www.rosaceae.org/gb/gbrowse/malus_x_domestica/?name=MDP0000343332","MDP0000343332")</f>
        <v>MDP0000343332</v>
      </c>
      <c r="D2842">
        <v>82.05</v>
      </c>
      <c r="E2842">
        <v>78</v>
      </c>
      <c r="F2842">
        <v>14</v>
      </c>
      <c r="G2842">
        <v>2</v>
      </c>
      <c r="H2842">
        <v>37</v>
      </c>
      <c r="I2842">
        <v>112</v>
      </c>
      <c r="J2842">
        <v>1</v>
      </c>
      <c r="K2842">
        <v>12</v>
      </c>
      <c r="L2842">
        <v>89</v>
      </c>
      <c r="M2842">
        <v>1</v>
      </c>
      <c r="N2842">
        <v>7.1333199999999998E-31</v>
      </c>
      <c r="O2842">
        <v>324</v>
      </c>
    </row>
    <row r="2843" spans="1:15" x14ac:dyDescent="0.25">
      <c r="A2843" t="s">
        <v>2856</v>
      </c>
      <c r="B2843">
        <v>309</v>
      </c>
      <c r="C2843" s="1" t="str">
        <f>HYPERLINK("http://www.rosaceae.org/gb/gbrowse/malus_x_domestica/?name=MDP0000186796","MDP0000186796")</f>
        <v>MDP0000186796</v>
      </c>
      <c r="D2843">
        <v>78.89</v>
      </c>
      <c r="E2843">
        <v>308</v>
      </c>
      <c r="F2843">
        <v>65</v>
      </c>
      <c r="G2843">
        <v>3</v>
      </c>
      <c r="H2843">
        <v>2</v>
      </c>
      <c r="I2843">
        <v>306</v>
      </c>
      <c r="J2843">
        <v>1</v>
      </c>
      <c r="K2843">
        <v>3</v>
      </c>
      <c r="L2843">
        <v>310</v>
      </c>
      <c r="M2843">
        <v>1</v>
      </c>
      <c r="N2843">
        <v>1.7089500000000001E-135</v>
      </c>
      <c r="O2843">
        <v>1233</v>
      </c>
    </row>
    <row r="2844" spans="1:15" x14ac:dyDescent="0.25">
      <c r="A2844" t="s">
        <v>2857</v>
      </c>
      <c r="B2844">
        <v>504</v>
      </c>
      <c r="C2844" s="1" t="str">
        <f>HYPERLINK("http://www.rosaceae.org/gb/gbrowse/malus_x_domestica/?name=MDP0000568858","MDP0000568858")</f>
        <v>MDP0000568858</v>
      </c>
      <c r="D2844">
        <v>39.799999999999997</v>
      </c>
      <c r="E2844">
        <v>505</v>
      </c>
      <c r="F2844">
        <v>304</v>
      </c>
      <c r="G2844">
        <v>51</v>
      </c>
      <c r="H2844">
        <v>1</v>
      </c>
      <c r="I2844">
        <v>463</v>
      </c>
      <c r="J2844">
        <v>1</v>
      </c>
      <c r="K2844">
        <v>1</v>
      </c>
      <c r="L2844">
        <v>496</v>
      </c>
      <c r="M2844">
        <v>1</v>
      </c>
      <c r="N2844">
        <v>6.2282800000000003E-80</v>
      </c>
      <c r="O2844">
        <v>756</v>
      </c>
    </row>
    <row r="2845" spans="1:15" x14ac:dyDescent="0.25">
      <c r="A2845" t="s">
        <v>2858</v>
      </c>
      <c r="B2845">
        <v>140</v>
      </c>
      <c r="C2845" s="1" t="str">
        <f>HYPERLINK("http://www.rosaceae.org/gb/gbrowse/malus_x_domestica/?name=MDP0000222259","MDP0000222259")</f>
        <v>MDP0000222259</v>
      </c>
      <c r="D2845">
        <v>71.63</v>
      </c>
      <c r="E2845">
        <v>141</v>
      </c>
      <c r="F2845">
        <v>40</v>
      </c>
      <c r="G2845">
        <v>1</v>
      </c>
      <c r="H2845">
        <v>1</v>
      </c>
      <c r="I2845">
        <v>140</v>
      </c>
      <c r="J2845">
        <v>1</v>
      </c>
      <c r="K2845">
        <v>83</v>
      </c>
      <c r="L2845">
        <v>223</v>
      </c>
      <c r="M2845">
        <v>1</v>
      </c>
      <c r="N2845">
        <v>3.4476099999999998E-53</v>
      </c>
      <c r="O2845">
        <v>517</v>
      </c>
    </row>
    <row r="2846" spans="1:15" x14ac:dyDescent="0.25">
      <c r="A2846" t="s">
        <v>2859</v>
      </c>
      <c r="B2846">
        <v>342</v>
      </c>
      <c r="C2846" s="1" t="str">
        <f>HYPERLINK("http://www.rosaceae.org/gb/gbrowse/malus_x_domestica/?name=MDP0000156841","MDP0000156841")</f>
        <v>MDP0000156841</v>
      </c>
      <c r="D2846">
        <v>84.74</v>
      </c>
      <c r="E2846">
        <v>59</v>
      </c>
      <c r="F2846">
        <v>9</v>
      </c>
      <c r="G2846">
        <v>0</v>
      </c>
      <c r="H2846">
        <v>72</v>
      </c>
      <c r="I2846">
        <v>130</v>
      </c>
      <c r="J2846">
        <v>1</v>
      </c>
      <c r="K2846">
        <v>19</v>
      </c>
      <c r="L2846">
        <v>77</v>
      </c>
      <c r="M2846">
        <v>1</v>
      </c>
      <c r="N2846">
        <v>4.16447E-23</v>
      </c>
      <c r="O2846">
        <v>264</v>
      </c>
    </row>
    <row r="2847" spans="1:15" x14ac:dyDescent="0.25">
      <c r="A2847" t="s">
        <v>2860</v>
      </c>
      <c r="B2847">
        <v>154</v>
      </c>
      <c r="C2847" s="1" t="str">
        <f>HYPERLINK("http://www.rosaceae.org/gb/gbrowse/malus_x_domestica/?name=MDP0000151008","MDP0000151008")</f>
        <v>MDP0000151008</v>
      </c>
      <c r="D2847">
        <v>46.09</v>
      </c>
      <c r="E2847">
        <v>128</v>
      </c>
      <c r="F2847">
        <v>69</v>
      </c>
      <c r="G2847">
        <v>15</v>
      </c>
      <c r="H2847">
        <v>15</v>
      </c>
      <c r="I2847">
        <v>132</v>
      </c>
      <c r="J2847">
        <v>1</v>
      </c>
      <c r="K2847">
        <v>20</v>
      </c>
      <c r="L2847">
        <v>142</v>
      </c>
      <c r="M2847">
        <v>1</v>
      </c>
      <c r="N2847">
        <v>1.05873E-21</v>
      </c>
      <c r="O2847">
        <v>247</v>
      </c>
    </row>
    <row r="2848" spans="1:15" x14ac:dyDescent="0.25">
      <c r="A2848" t="s">
        <v>2861</v>
      </c>
      <c r="B2848">
        <v>600</v>
      </c>
      <c r="C2848" s="1" t="str">
        <f>HYPERLINK("http://www.rosaceae.org/gb/gbrowse/malus_x_domestica/?name=MDP0000317873","MDP0000317873")</f>
        <v>MDP0000317873</v>
      </c>
      <c r="D2848">
        <v>60</v>
      </c>
      <c r="E2848">
        <v>380</v>
      </c>
      <c r="F2848">
        <v>152</v>
      </c>
      <c r="G2848">
        <v>15</v>
      </c>
      <c r="H2848">
        <v>1</v>
      </c>
      <c r="I2848">
        <v>373</v>
      </c>
      <c r="J2848">
        <v>1</v>
      </c>
      <c r="K2848">
        <v>1</v>
      </c>
      <c r="L2848">
        <v>372</v>
      </c>
      <c r="M2848">
        <v>1</v>
      </c>
      <c r="N2848">
        <v>6.5364700000000002E-124</v>
      </c>
      <c r="O2848">
        <v>1136</v>
      </c>
    </row>
    <row r="2849" spans="1:15" x14ac:dyDescent="0.25">
      <c r="A2849" t="s">
        <v>2862</v>
      </c>
      <c r="B2849">
        <v>741</v>
      </c>
      <c r="C2849" s="1" t="str">
        <f>HYPERLINK("http://www.rosaceae.org/gb/gbrowse/malus_x_domestica/?name=MDP0000283556","MDP0000283556")</f>
        <v>MDP0000283556</v>
      </c>
      <c r="D2849">
        <v>65.930000000000007</v>
      </c>
      <c r="E2849">
        <v>728</v>
      </c>
      <c r="F2849">
        <v>248</v>
      </c>
      <c r="G2849">
        <v>21</v>
      </c>
      <c r="H2849">
        <v>10</v>
      </c>
      <c r="I2849">
        <v>737</v>
      </c>
      <c r="J2849">
        <v>1</v>
      </c>
      <c r="K2849">
        <v>62</v>
      </c>
      <c r="L2849">
        <v>768</v>
      </c>
      <c r="M2849">
        <v>1</v>
      </c>
      <c r="N2849">
        <v>0</v>
      </c>
      <c r="O2849">
        <v>2511</v>
      </c>
    </row>
    <row r="2850" spans="1:15" x14ac:dyDescent="0.25">
      <c r="A2850" t="s">
        <v>2863</v>
      </c>
      <c r="B2850">
        <v>125</v>
      </c>
      <c r="C2850" s="1" t="str">
        <f>HYPERLINK("http://www.rosaceae.org/gb/gbrowse/malus_x_domestica/?name=MDP0000166195","MDP0000166195")</f>
        <v>MDP0000166195</v>
      </c>
      <c r="D2850">
        <v>55</v>
      </c>
      <c r="E2850">
        <v>80</v>
      </c>
      <c r="F2850">
        <v>36</v>
      </c>
      <c r="G2850">
        <v>4</v>
      </c>
      <c r="H2850">
        <v>46</v>
      </c>
      <c r="I2850">
        <v>125</v>
      </c>
      <c r="J2850">
        <v>1</v>
      </c>
      <c r="K2850">
        <v>349</v>
      </c>
      <c r="L2850">
        <v>424</v>
      </c>
      <c r="M2850">
        <v>1</v>
      </c>
      <c r="N2850">
        <v>2.9478299999999998E-19</v>
      </c>
      <c r="O2850">
        <v>224</v>
      </c>
    </row>
    <row r="2851" spans="1:15" x14ac:dyDescent="0.25">
      <c r="A2851" t="s">
        <v>2864</v>
      </c>
      <c r="B2851">
        <v>142</v>
      </c>
      <c r="C2851" s="1" t="str">
        <f>HYPERLINK("http://www.rosaceae.org/gb/gbrowse/malus_x_domestica/?name=MDP0000286643","MDP0000286643")</f>
        <v>MDP0000286643</v>
      </c>
      <c r="D2851">
        <v>81.91</v>
      </c>
      <c r="E2851">
        <v>94</v>
      </c>
      <c r="F2851">
        <v>17</v>
      </c>
      <c r="G2851">
        <v>1</v>
      </c>
      <c r="H2851">
        <v>1</v>
      </c>
      <c r="I2851">
        <v>94</v>
      </c>
      <c r="J2851">
        <v>1</v>
      </c>
      <c r="K2851">
        <v>1</v>
      </c>
      <c r="L2851">
        <v>93</v>
      </c>
      <c r="M2851">
        <v>1</v>
      </c>
      <c r="N2851">
        <v>1.2407300000000001E-38</v>
      </c>
      <c r="O2851">
        <v>392</v>
      </c>
    </row>
    <row r="2852" spans="1:15" x14ac:dyDescent="0.25">
      <c r="A2852" t="s">
        <v>2865</v>
      </c>
      <c r="B2852">
        <v>452</v>
      </c>
      <c r="C2852" s="1" t="str">
        <f>HYPERLINK("http://www.rosaceae.org/gb/gbrowse/malus_x_domestica/?name=MDP0000171024","MDP0000171024")</f>
        <v>MDP0000171024</v>
      </c>
      <c r="D2852">
        <v>73.56</v>
      </c>
      <c r="E2852">
        <v>314</v>
      </c>
      <c r="F2852">
        <v>83</v>
      </c>
      <c r="G2852">
        <v>9</v>
      </c>
      <c r="H2852">
        <v>139</v>
      </c>
      <c r="I2852">
        <v>452</v>
      </c>
      <c r="J2852">
        <v>1</v>
      </c>
      <c r="K2852">
        <v>67</v>
      </c>
      <c r="L2852">
        <v>371</v>
      </c>
      <c r="M2852">
        <v>1</v>
      </c>
      <c r="N2852">
        <v>5.2809799999999998E-129</v>
      </c>
      <c r="O2852">
        <v>1179</v>
      </c>
    </row>
    <row r="2853" spans="1:15" x14ac:dyDescent="0.25">
      <c r="A2853" t="s">
        <v>2866</v>
      </c>
      <c r="B2853">
        <v>350</v>
      </c>
      <c r="C2853" s="1" t="str">
        <f>HYPERLINK("http://www.rosaceae.org/gb/gbrowse/malus_x_domestica/?name=MDP0000279719","MDP0000279719")</f>
        <v>MDP0000279719</v>
      </c>
      <c r="D2853">
        <v>61.32</v>
      </c>
      <c r="E2853">
        <v>318</v>
      </c>
      <c r="F2853">
        <v>123</v>
      </c>
      <c r="G2853">
        <v>36</v>
      </c>
      <c r="H2853">
        <v>7</v>
      </c>
      <c r="I2853">
        <v>302</v>
      </c>
      <c r="J2853">
        <v>1</v>
      </c>
      <c r="K2853">
        <v>797</v>
      </c>
      <c r="L2853">
        <v>1100</v>
      </c>
      <c r="M2853">
        <v>1</v>
      </c>
      <c r="N2853">
        <v>2.6139500000000001E-103</v>
      </c>
      <c r="O2853">
        <v>956</v>
      </c>
    </row>
    <row r="2854" spans="1:15" x14ac:dyDescent="0.25">
      <c r="A2854" t="s">
        <v>2867</v>
      </c>
      <c r="B2854">
        <v>351</v>
      </c>
      <c r="C2854" s="1" t="str">
        <f>HYPERLINK("http://www.rosaceae.org/gb/gbrowse/malus_x_domestica/?name=MDP0000171771","MDP0000171771")</f>
        <v>MDP0000171771</v>
      </c>
      <c r="D2854">
        <v>36.96</v>
      </c>
      <c r="E2854">
        <v>211</v>
      </c>
      <c r="F2854">
        <v>133</v>
      </c>
      <c r="G2854">
        <v>31</v>
      </c>
      <c r="H2854">
        <v>3</v>
      </c>
      <c r="I2854">
        <v>198</v>
      </c>
      <c r="J2854">
        <v>1</v>
      </c>
      <c r="K2854">
        <v>26</v>
      </c>
      <c r="L2854">
        <v>220</v>
      </c>
      <c r="M2854">
        <v>1</v>
      </c>
      <c r="N2854">
        <v>8.9291600000000003E-24</v>
      </c>
      <c r="O2854">
        <v>270</v>
      </c>
    </row>
    <row r="2855" spans="1:15" x14ac:dyDescent="0.25">
      <c r="A2855" t="s">
        <v>2868</v>
      </c>
      <c r="B2855">
        <v>156</v>
      </c>
      <c r="C2855" s="1" t="str">
        <f>HYPERLINK("http://www.rosaceae.org/gb/gbrowse/malus_x_domestica/?name=MDP0000313791","MDP0000313791")</f>
        <v>MDP0000313791</v>
      </c>
      <c r="D2855">
        <v>57.72</v>
      </c>
      <c r="E2855">
        <v>123</v>
      </c>
      <c r="F2855">
        <v>52</v>
      </c>
      <c r="G2855">
        <v>7</v>
      </c>
      <c r="H2855">
        <v>34</v>
      </c>
      <c r="I2855">
        <v>155</v>
      </c>
      <c r="J2855">
        <v>1</v>
      </c>
      <c r="K2855">
        <v>24</v>
      </c>
      <c r="L2855">
        <v>140</v>
      </c>
      <c r="M2855">
        <v>1</v>
      </c>
      <c r="N2855">
        <v>1.6431899999999998E-30</v>
      </c>
      <c r="O2855">
        <v>323</v>
      </c>
    </row>
    <row r="2856" spans="1:15" x14ac:dyDescent="0.25">
      <c r="A2856" t="s">
        <v>2869</v>
      </c>
      <c r="B2856">
        <v>315</v>
      </c>
      <c r="C2856" s="1" t="str">
        <f>HYPERLINK("http://www.rosaceae.org/gb/gbrowse/malus_x_domestica/?name=MDP0000899819","MDP0000899819")</f>
        <v>MDP0000899819</v>
      </c>
      <c r="D2856">
        <v>58.26</v>
      </c>
      <c r="E2856">
        <v>357</v>
      </c>
      <c r="F2856">
        <v>149</v>
      </c>
      <c r="G2856">
        <v>46</v>
      </c>
      <c r="H2856">
        <v>1</v>
      </c>
      <c r="I2856">
        <v>315</v>
      </c>
      <c r="J2856">
        <v>1</v>
      </c>
      <c r="K2856">
        <v>21</v>
      </c>
      <c r="L2856">
        <v>373</v>
      </c>
      <c r="M2856">
        <v>1</v>
      </c>
      <c r="N2856">
        <v>1.19857E-105</v>
      </c>
      <c r="O2856">
        <v>975</v>
      </c>
    </row>
    <row r="2857" spans="1:15" x14ac:dyDescent="0.25">
      <c r="A2857" t="s">
        <v>2870</v>
      </c>
      <c r="B2857">
        <v>203</v>
      </c>
      <c r="C2857" s="1" t="str">
        <f>HYPERLINK("http://www.rosaceae.org/gb/gbrowse/malus_x_domestica/?name=MDP0000300146","MDP0000300146")</f>
        <v>MDP0000300146</v>
      </c>
      <c r="D2857">
        <v>43.79</v>
      </c>
      <c r="E2857">
        <v>137</v>
      </c>
      <c r="F2857">
        <v>77</v>
      </c>
      <c r="G2857">
        <v>6</v>
      </c>
      <c r="H2857">
        <v>33</v>
      </c>
      <c r="I2857">
        <v>163</v>
      </c>
      <c r="J2857">
        <v>1</v>
      </c>
      <c r="K2857">
        <v>6</v>
      </c>
      <c r="L2857">
        <v>142</v>
      </c>
      <c r="M2857">
        <v>1</v>
      </c>
      <c r="N2857">
        <v>2.8262200000000001E-24</v>
      </c>
      <c r="O2857">
        <v>271</v>
      </c>
    </row>
    <row r="2858" spans="1:15" x14ac:dyDescent="0.25">
      <c r="A2858" t="s">
        <v>2871</v>
      </c>
      <c r="B2858">
        <v>768</v>
      </c>
      <c r="C2858" s="1" t="str">
        <f>HYPERLINK("http://www.rosaceae.org/gb/gbrowse/malus_x_domestica/?name=MDP0000874507","MDP0000874507")</f>
        <v>MDP0000874507</v>
      </c>
      <c r="D2858">
        <v>42.32</v>
      </c>
      <c r="E2858">
        <v>723</v>
      </c>
      <c r="F2858">
        <v>417</v>
      </c>
      <c r="G2858">
        <v>113</v>
      </c>
      <c r="H2858">
        <v>1</v>
      </c>
      <c r="I2858">
        <v>704</v>
      </c>
      <c r="J2858">
        <v>1</v>
      </c>
      <c r="K2858">
        <v>425</v>
      </c>
      <c r="L2858">
        <v>1053</v>
      </c>
      <c r="M2858">
        <v>1</v>
      </c>
      <c r="N2858">
        <v>1.05041E-127</v>
      </c>
      <c r="O2858">
        <v>1170</v>
      </c>
    </row>
    <row r="2859" spans="1:15" x14ac:dyDescent="0.25">
      <c r="A2859" t="s">
        <v>2872</v>
      </c>
      <c r="B2859">
        <v>160</v>
      </c>
      <c r="C2859" s="1" t="str">
        <f>HYPERLINK("http://www.rosaceae.org/gb/gbrowse/malus_x_domestica/?name=MDP0000433058","MDP0000433058")</f>
        <v>MDP0000433058</v>
      </c>
      <c r="D2859">
        <v>74.150000000000006</v>
      </c>
      <c r="E2859">
        <v>89</v>
      </c>
      <c r="F2859">
        <v>23</v>
      </c>
      <c r="G2859">
        <v>5</v>
      </c>
      <c r="H2859">
        <v>46</v>
      </c>
      <c r="I2859">
        <v>131</v>
      </c>
      <c r="J2859">
        <v>1</v>
      </c>
      <c r="K2859">
        <v>58</v>
      </c>
      <c r="L2859">
        <v>144</v>
      </c>
      <c r="M2859">
        <v>1</v>
      </c>
      <c r="N2859">
        <v>4.7655100000000001E-30</v>
      </c>
      <c r="O2859">
        <v>319</v>
      </c>
    </row>
    <row r="2860" spans="1:15" x14ac:dyDescent="0.25">
      <c r="A2860" t="s">
        <v>2873</v>
      </c>
      <c r="B2860">
        <v>267</v>
      </c>
      <c r="C2860" s="1" t="str">
        <f>HYPERLINK("http://www.rosaceae.org/gb/gbrowse/malus_x_domestica/?name=MDP0000143156","MDP0000143156")</f>
        <v>MDP0000143156</v>
      </c>
      <c r="D2860">
        <v>69.52</v>
      </c>
      <c r="E2860">
        <v>233</v>
      </c>
      <c r="F2860">
        <v>71</v>
      </c>
      <c r="G2860">
        <v>14</v>
      </c>
      <c r="H2860">
        <v>36</v>
      </c>
      <c r="I2860">
        <v>267</v>
      </c>
      <c r="J2860">
        <v>1</v>
      </c>
      <c r="K2860">
        <v>38</v>
      </c>
      <c r="L2860">
        <v>257</v>
      </c>
      <c r="M2860">
        <v>1</v>
      </c>
      <c r="N2860">
        <v>1.32782E-80</v>
      </c>
      <c r="O2860">
        <v>758</v>
      </c>
    </row>
    <row r="2861" spans="1:15" x14ac:dyDescent="0.25">
      <c r="A2861" t="s">
        <v>2874</v>
      </c>
      <c r="B2861">
        <v>615</v>
      </c>
      <c r="C2861" s="1" t="str">
        <f>HYPERLINK("http://www.rosaceae.org/gb/gbrowse/malus_x_domestica/?name=MDP0000230602","MDP0000230602")</f>
        <v>MDP0000230602</v>
      </c>
      <c r="D2861">
        <v>36.11</v>
      </c>
      <c r="E2861">
        <v>216</v>
      </c>
      <c r="F2861">
        <v>138</v>
      </c>
      <c r="G2861">
        <v>87</v>
      </c>
      <c r="H2861">
        <v>1</v>
      </c>
      <c r="I2861">
        <v>132</v>
      </c>
      <c r="J2861">
        <v>1</v>
      </c>
      <c r="K2861">
        <v>48</v>
      </c>
      <c r="L2861">
        <v>260</v>
      </c>
      <c r="M2861">
        <v>1</v>
      </c>
      <c r="N2861">
        <v>8.6990299999999997E-19</v>
      </c>
      <c r="O2861">
        <v>229</v>
      </c>
    </row>
    <row r="2862" spans="1:15" x14ac:dyDescent="0.25">
      <c r="A2862" t="s">
        <v>2875</v>
      </c>
      <c r="B2862">
        <v>466</v>
      </c>
      <c r="C2862" s="1" t="str">
        <f>HYPERLINK("http://www.rosaceae.org/gb/gbrowse/malus_x_domestica/?name=MDP0000887568","MDP0000887568")</f>
        <v>MDP0000887568</v>
      </c>
      <c r="D2862">
        <v>44.44</v>
      </c>
      <c r="E2862">
        <v>225</v>
      </c>
      <c r="F2862">
        <v>125</v>
      </c>
      <c r="G2862">
        <v>45</v>
      </c>
      <c r="H2862">
        <v>13</v>
      </c>
      <c r="I2862">
        <v>219</v>
      </c>
      <c r="J2862">
        <v>1</v>
      </c>
      <c r="K2862">
        <v>96</v>
      </c>
      <c r="L2862">
        <v>293</v>
      </c>
      <c r="M2862">
        <v>1</v>
      </c>
      <c r="N2862">
        <v>4.0690699999999998E-43</v>
      </c>
      <c r="O2862">
        <v>438</v>
      </c>
    </row>
    <row r="2863" spans="1:15" x14ac:dyDescent="0.25">
      <c r="A2863" t="s">
        <v>2876</v>
      </c>
      <c r="B2863">
        <v>276</v>
      </c>
      <c r="C2863" s="1" t="str">
        <f>HYPERLINK("http://www.rosaceae.org/gb/gbrowse/malus_x_domestica/?name=MDP0000533067","MDP0000533067")</f>
        <v>MDP0000533067</v>
      </c>
      <c r="D2863">
        <v>39.79</v>
      </c>
      <c r="E2863">
        <v>294</v>
      </c>
      <c r="F2863">
        <v>177</v>
      </c>
      <c r="G2863">
        <v>32</v>
      </c>
      <c r="H2863">
        <v>1</v>
      </c>
      <c r="I2863">
        <v>275</v>
      </c>
      <c r="J2863">
        <v>1</v>
      </c>
      <c r="K2863">
        <v>1</v>
      </c>
      <c r="L2863">
        <v>281</v>
      </c>
      <c r="M2863">
        <v>1</v>
      </c>
      <c r="N2863">
        <v>3.1277700000000002E-42</v>
      </c>
      <c r="O2863">
        <v>428</v>
      </c>
    </row>
    <row r="2864" spans="1:15" x14ac:dyDescent="0.25">
      <c r="A2864" t="s">
        <v>2877</v>
      </c>
      <c r="B2864">
        <v>440</v>
      </c>
      <c r="C2864" s="1" t="str">
        <f>HYPERLINK("http://www.rosaceae.org/gb/gbrowse/malus_x_domestica/?name=MDP0000192847","MDP0000192847")</f>
        <v>MDP0000192847</v>
      </c>
      <c r="D2864">
        <v>76.52</v>
      </c>
      <c r="E2864">
        <v>443</v>
      </c>
      <c r="F2864">
        <v>104</v>
      </c>
      <c r="G2864">
        <v>4</v>
      </c>
      <c r="H2864">
        <v>1</v>
      </c>
      <c r="I2864">
        <v>439</v>
      </c>
      <c r="J2864">
        <v>1</v>
      </c>
      <c r="K2864">
        <v>1</v>
      </c>
      <c r="L2864">
        <v>443</v>
      </c>
      <c r="M2864">
        <v>1</v>
      </c>
      <c r="N2864">
        <v>0</v>
      </c>
      <c r="O2864">
        <v>1797</v>
      </c>
    </row>
    <row r="2865" spans="1:15" x14ac:dyDescent="0.25">
      <c r="A2865" t="s">
        <v>2878</v>
      </c>
      <c r="B2865">
        <v>510</v>
      </c>
      <c r="C2865" s="1" t="str">
        <f>HYPERLINK("http://www.rosaceae.org/gb/gbrowse/malus_x_domestica/?name=MDP0000698835","MDP0000698835")</f>
        <v>MDP0000698835</v>
      </c>
      <c r="D2865">
        <v>94.11</v>
      </c>
      <c r="E2865">
        <v>510</v>
      </c>
      <c r="F2865">
        <v>30</v>
      </c>
      <c r="G2865">
        <v>0</v>
      </c>
      <c r="H2865">
        <v>1</v>
      </c>
      <c r="I2865">
        <v>510</v>
      </c>
      <c r="J2865">
        <v>1</v>
      </c>
      <c r="K2865">
        <v>1</v>
      </c>
      <c r="L2865">
        <v>510</v>
      </c>
      <c r="M2865">
        <v>1</v>
      </c>
      <c r="N2865">
        <v>0</v>
      </c>
      <c r="O2865">
        <v>2607</v>
      </c>
    </row>
    <row r="2866" spans="1:15" x14ac:dyDescent="0.25">
      <c r="A2866" t="s">
        <v>2879</v>
      </c>
      <c r="B2866">
        <v>1193</v>
      </c>
      <c r="C2866" s="1" t="str">
        <f>HYPERLINK("http://www.rosaceae.org/gb/gbrowse/malus_x_domestica/?name=MDP0000125643","MDP0000125643")</f>
        <v>MDP0000125643</v>
      </c>
      <c r="D2866">
        <v>37.65</v>
      </c>
      <c r="E2866">
        <v>733</v>
      </c>
      <c r="F2866">
        <v>457</v>
      </c>
      <c r="G2866">
        <v>86</v>
      </c>
      <c r="H2866">
        <v>138</v>
      </c>
      <c r="I2866">
        <v>792</v>
      </c>
      <c r="J2866">
        <v>1</v>
      </c>
      <c r="K2866">
        <v>365</v>
      </c>
      <c r="L2866">
        <v>1089</v>
      </c>
      <c r="M2866">
        <v>1</v>
      </c>
      <c r="N2866">
        <v>7.8679800000000004E-103</v>
      </c>
      <c r="O2866">
        <v>957</v>
      </c>
    </row>
    <row r="2867" spans="1:15" x14ac:dyDescent="0.25">
      <c r="A2867" t="s">
        <v>2880</v>
      </c>
      <c r="B2867">
        <v>376</v>
      </c>
      <c r="C2867" s="1" t="str">
        <f>HYPERLINK("http://www.rosaceae.org/gb/gbrowse/malus_x_domestica/?name=MDP0000305085","MDP0000305085")</f>
        <v>MDP0000305085</v>
      </c>
      <c r="D2867">
        <v>27.68</v>
      </c>
      <c r="E2867">
        <v>354</v>
      </c>
      <c r="F2867">
        <v>256</v>
      </c>
      <c r="G2867">
        <v>52</v>
      </c>
      <c r="H2867">
        <v>46</v>
      </c>
      <c r="I2867">
        <v>352</v>
      </c>
      <c r="J2867">
        <v>1</v>
      </c>
      <c r="K2867">
        <v>136</v>
      </c>
      <c r="L2867">
        <v>484</v>
      </c>
      <c r="M2867">
        <v>1</v>
      </c>
      <c r="N2867">
        <v>1.83644E-30</v>
      </c>
      <c r="O2867">
        <v>328</v>
      </c>
    </row>
    <row r="2868" spans="1:15" x14ac:dyDescent="0.25">
      <c r="A2868" t="s">
        <v>2881</v>
      </c>
      <c r="B2868">
        <v>581</v>
      </c>
      <c r="C2868" s="1" t="str">
        <f>HYPERLINK("http://www.rosaceae.org/gb/gbrowse/malus_x_domestica/?name=MDP0000308427","MDP0000308427")</f>
        <v>MDP0000308427</v>
      </c>
      <c r="D2868">
        <v>77.62</v>
      </c>
      <c r="E2868">
        <v>505</v>
      </c>
      <c r="F2868">
        <v>113</v>
      </c>
      <c r="G2868">
        <v>33</v>
      </c>
      <c r="H2868">
        <v>19</v>
      </c>
      <c r="I2868">
        <v>490</v>
      </c>
      <c r="J2868">
        <v>1</v>
      </c>
      <c r="K2868">
        <v>119</v>
      </c>
      <c r="L2868">
        <v>623</v>
      </c>
      <c r="M2868">
        <v>1</v>
      </c>
      <c r="N2868">
        <v>0</v>
      </c>
      <c r="O2868">
        <v>2050</v>
      </c>
    </row>
    <row r="2869" spans="1:15" x14ac:dyDescent="0.25">
      <c r="A2869" t="s">
        <v>2882</v>
      </c>
      <c r="B2869">
        <v>1086</v>
      </c>
      <c r="C2869" s="1" t="str">
        <f>HYPERLINK("http://www.rosaceae.org/gb/gbrowse/malus_x_domestica/?name=MDP0000203685","MDP0000203685")</f>
        <v>MDP0000203685</v>
      </c>
      <c r="D2869">
        <v>46.22</v>
      </c>
      <c r="E2869">
        <v>1006</v>
      </c>
      <c r="F2869">
        <v>541</v>
      </c>
      <c r="G2869">
        <v>177</v>
      </c>
      <c r="H2869">
        <v>12</v>
      </c>
      <c r="I2869">
        <v>969</v>
      </c>
      <c r="J2869">
        <v>1</v>
      </c>
      <c r="K2869">
        <v>12</v>
      </c>
      <c r="L2869">
        <v>888</v>
      </c>
      <c r="M2869">
        <v>1</v>
      </c>
      <c r="N2869">
        <v>0</v>
      </c>
      <c r="O2869">
        <v>2046</v>
      </c>
    </row>
    <row r="2870" spans="1:15" x14ac:dyDescent="0.25">
      <c r="A2870" t="s">
        <v>2883</v>
      </c>
      <c r="B2870">
        <v>376</v>
      </c>
      <c r="C2870" s="1" t="str">
        <f>HYPERLINK("http://www.rosaceae.org/gb/gbrowse/malus_x_domestica/?name=MDP0000322627","MDP0000322627")</f>
        <v>MDP0000322627</v>
      </c>
      <c r="D2870">
        <v>80.260000000000005</v>
      </c>
      <c r="E2870">
        <v>380</v>
      </c>
      <c r="F2870">
        <v>75</v>
      </c>
      <c r="G2870">
        <v>9</v>
      </c>
      <c r="H2870">
        <v>1</v>
      </c>
      <c r="I2870">
        <v>372</v>
      </c>
      <c r="J2870">
        <v>1</v>
      </c>
      <c r="K2870">
        <v>1</v>
      </c>
      <c r="L2870">
        <v>379</v>
      </c>
      <c r="M2870">
        <v>1</v>
      </c>
      <c r="N2870">
        <v>3.3169600000000002E-178</v>
      </c>
      <c r="O2870">
        <v>1602</v>
      </c>
    </row>
    <row r="2871" spans="1:15" x14ac:dyDescent="0.25">
      <c r="A2871" t="s">
        <v>2884</v>
      </c>
      <c r="B2871">
        <v>351</v>
      </c>
      <c r="C2871" s="1" t="str">
        <f>HYPERLINK("http://www.rosaceae.org/gb/gbrowse/malus_x_domestica/?name=MDP0000273257","MDP0000273257")</f>
        <v>MDP0000273257</v>
      </c>
      <c r="D2871">
        <v>64.16</v>
      </c>
      <c r="E2871">
        <v>346</v>
      </c>
      <c r="F2871">
        <v>124</v>
      </c>
      <c r="G2871">
        <v>17</v>
      </c>
      <c r="H2871">
        <v>14</v>
      </c>
      <c r="I2871">
        <v>351</v>
      </c>
      <c r="J2871">
        <v>1</v>
      </c>
      <c r="K2871">
        <v>20</v>
      </c>
      <c r="L2871">
        <v>356</v>
      </c>
      <c r="M2871">
        <v>1</v>
      </c>
      <c r="N2871">
        <v>3.49437E-123</v>
      </c>
      <c r="O2871">
        <v>1127</v>
      </c>
    </row>
    <row r="2872" spans="1:15" x14ac:dyDescent="0.25">
      <c r="A2872" t="s">
        <v>2885</v>
      </c>
      <c r="B2872">
        <v>112</v>
      </c>
      <c r="C2872" s="1" t="str">
        <f>HYPERLINK("http://www.rosaceae.org/gb/gbrowse/malus_x_domestica/?name=MDP0000119667","MDP0000119667")</f>
        <v>MDP0000119667</v>
      </c>
      <c r="D2872">
        <v>95.53</v>
      </c>
      <c r="E2872">
        <v>112</v>
      </c>
      <c r="F2872">
        <v>5</v>
      </c>
      <c r="G2872">
        <v>0</v>
      </c>
      <c r="H2872">
        <v>1</v>
      </c>
      <c r="I2872">
        <v>112</v>
      </c>
      <c r="J2872">
        <v>1</v>
      </c>
      <c r="K2872">
        <v>1</v>
      </c>
      <c r="L2872">
        <v>112</v>
      </c>
      <c r="M2872">
        <v>1</v>
      </c>
      <c r="N2872">
        <v>3.3953600000000001E-59</v>
      </c>
      <c r="O2872">
        <v>568</v>
      </c>
    </row>
    <row r="2873" spans="1:15" x14ac:dyDescent="0.25">
      <c r="A2873" t="s">
        <v>2886</v>
      </c>
      <c r="B2873">
        <v>298</v>
      </c>
      <c r="C2873" s="1" t="str">
        <f>HYPERLINK("http://www.rosaceae.org/gb/gbrowse/malus_x_domestica/?name=MDP0000162563","MDP0000162563")</f>
        <v>MDP0000162563</v>
      </c>
      <c r="D2873">
        <v>45.22</v>
      </c>
      <c r="E2873">
        <v>283</v>
      </c>
      <c r="F2873">
        <v>155</v>
      </c>
      <c r="G2873">
        <v>42</v>
      </c>
      <c r="H2873">
        <v>16</v>
      </c>
      <c r="I2873">
        <v>265</v>
      </c>
      <c r="J2873">
        <v>1</v>
      </c>
      <c r="K2873">
        <v>13</v>
      </c>
      <c r="L2873">
        <v>286</v>
      </c>
      <c r="M2873">
        <v>1</v>
      </c>
      <c r="N2873">
        <v>1.10862E-57</v>
      </c>
      <c r="O2873">
        <v>561</v>
      </c>
    </row>
    <row r="2874" spans="1:15" x14ac:dyDescent="0.25">
      <c r="A2874" t="s">
        <v>2887</v>
      </c>
      <c r="B2874">
        <v>164</v>
      </c>
      <c r="C2874" s="1" t="str">
        <f>HYPERLINK("http://www.rosaceae.org/gb/gbrowse/malus_x_domestica/?name=MDP0000136726","MDP0000136726")</f>
        <v>MDP0000136726</v>
      </c>
      <c r="D2874">
        <v>66.66</v>
      </c>
      <c r="E2874">
        <v>150</v>
      </c>
      <c r="F2874">
        <v>50</v>
      </c>
      <c r="G2874">
        <v>4</v>
      </c>
      <c r="H2874">
        <v>18</v>
      </c>
      <c r="I2874">
        <v>164</v>
      </c>
      <c r="J2874">
        <v>1</v>
      </c>
      <c r="K2874">
        <v>1187</v>
      </c>
      <c r="L2874">
        <v>1335</v>
      </c>
      <c r="M2874">
        <v>1</v>
      </c>
      <c r="N2874">
        <v>8.9231800000000001E-53</v>
      </c>
      <c r="O2874">
        <v>515</v>
      </c>
    </row>
    <row r="2875" spans="1:15" x14ac:dyDescent="0.25">
      <c r="A2875" t="s">
        <v>2888</v>
      </c>
      <c r="B2875">
        <v>280</v>
      </c>
      <c r="C2875" s="1" t="str">
        <f>HYPERLINK("http://www.rosaceae.org/gb/gbrowse/malus_x_domestica/?name=MDP0000599819","MDP0000599819")</f>
        <v>MDP0000599819</v>
      </c>
      <c r="D2875">
        <v>53.14</v>
      </c>
      <c r="E2875">
        <v>143</v>
      </c>
      <c r="F2875">
        <v>67</v>
      </c>
      <c r="G2875">
        <v>26</v>
      </c>
      <c r="H2875">
        <v>144</v>
      </c>
      <c r="I2875">
        <v>260</v>
      </c>
      <c r="J2875">
        <v>1</v>
      </c>
      <c r="K2875">
        <v>68</v>
      </c>
      <c r="L2875">
        <v>210</v>
      </c>
      <c r="M2875">
        <v>1</v>
      </c>
      <c r="N2875">
        <v>3.2377199999999997E-30</v>
      </c>
      <c r="O2875">
        <v>324</v>
      </c>
    </row>
    <row r="2876" spans="1:15" x14ac:dyDescent="0.25">
      <c r="A2876" t="s">
        <v>2889</v>
      </c>
      <c r="B2876">
        <v>382</v>
      </c>
      <c r="C2876" s="1" t="str">
        <f>HYPERLINK("http://www.rosaceae.org/gb/gbrowse/malus_x_domestica/?name=MDP0000933677","MDP0000933677")</f>
        <v>MDP0000933677</v>
      </c>
      <c r="D2876">
        <v>52.04</v>
      </c>
      <c r="E2876">
        <v>415</v>
      </c>
      <c r="F2876">
        <v>199</v>
      </c>
      <c r="G2876">
        <v>42</v>
      </c>
      <c r="H2876">
        <v>1</v>
      </c>
      <c r="I2876">
        <v>379</v>
      </c>
      <c r="J2876">
        <v>1</v>
      </c>
      <c r="K2876">
        <v>1</v>
      </c>
      <c r="L2876">
        <v>409</v>
      </c>
      <c r="M2876">
        <v>1</v>
      </c>
      <c r="N2876">
        <v>1.5313700000000001E-99</v>
      </c>
      <c r="O2876">
        <v>924</v>
      </c>
    </row>
    <row r="2877" spans="1:15" x14ac:dyDescent="0.25">
      <c r="A2877" t="s">
        <v>2890</v>
      </c>
      <c r="B2877">
        <v>169</v>
      </c>
      <c r="C2877" s="1" t="str">
        <f>HYPERLINK("http://www.rosaceae.org/gb/gbrowse/malus_x_domestica/?name=MDP0000168272","MDP0000168272")</f>
        <v>MDP0000168272</v>
      </c>
      <c r="D2877">
        <v>82.05</v>
      </c>
      <c r="E2877">
        <v>156</v>
      </c>
      <c r="F2877">
        <v>28</v>
      </c>
      <c r="G2877">
        <v>0</v>
      </c>
      <c r="H2877">
        <v>2</v>
      </c>
      <c r="I2877">
        <v>157</v>
      </c>
      <c r="J2877">
        <v>1</v>
      </c>
      <c r="K2877">
        <v>139</v>
      </c>
      <c r="L2877">
        <v>294</v>
      </c>
      <c r="M2877">
        <v>1</v>
      </c>
      <c r="N2877">
        <v>2.30834E-69</v>
      </c>
      <c r="O2877">
        <v>659</v>
      </c>
    </row>
    <row r="2878" spans="1:15" x14ac:dyDescent="0.25">
      <c r="A2878" t="s">
        <v>2891</v>
      </c>
      <c r="B2878">
        <v>544</v>
      </c>
      <c r="C2878" s="1" t="str">
        <f>HYPERLINK("http://www.rosaceae.org/gb/gbrowse/malus_x_domestica/?name=MDP0000191620","MDP0000191620")</f>
        <v>MDP0000191620</v>
      </c>
      <c r="D2878">
        <v>78.86</v>
      </c>
      <c r="E2878">
        <v>492</v>
      </c>
      <c r="F2878">
        <v>104</v>
      </c>
      <c r="G2878">
        <v>11</v>
      </c>
      <c r="H2878">
        <v>1</v>
      </c>
      <c r="I2878">
        <v>492</v>
      </c>
      <c r="J2878">
        <v>1</v>
      </c>
      <c r="K2878">
        <v>1</v>
      </c>
      <c r="L2878">
        <v>481</v>
      </c>
      <c r="M2878">
        <v>1</v>
      </c>
      <c r="N2878">
        <v>0</v>
      </c>
      <c r="O2878">
        <v>1948</v>
      </c>
    </row>
    <row r="2879" spans="1:15" x14ac:dyDescent="0.25">
      <c r="A2879" t="s">
        <v>2892</v>
      </c>
      <c r="B2879">
        <v>160</v>
      </c>
      <c r="C2879" s="1" t="str">
        <f>HYPERLINK("http://www.rosaceae.org/gb/gbrowse/malus_x_domestica/?name=MDP0000595519","MDP0000595519")</f>
        <v>MDP0000595519</v>
      </c>
      <c r="D2879">
        <v>78.72</v>
      </c>
      <c r="E2879">
        <v>94</v>
      </c>
      <c r="F2879">
        <v>20</v>
      </c>
      <c r="G2879">
        <v>0</v>
      </c>
      <c r="H2879">
        <v>1</v>
      </c>
      <c r="I2879">
        <v>94</v>
      </c>
      <c r="J2879">
        <v>1</v>
      </c>
      <c r="K2879">
        <v>1</v>
      </c>
      <c r="L2879">
        <v>94</v>
      </c>
      <c r="M2879">
        <v>1</v>
      </c>
      <c r="N2879">
        <v>6.6362399999999998E-39</v>
      </c>
      <c r="O2879">
        <v>395</v>
      </c>
    </row>
    <row r="2880" spans="1:15" x14ac:dyDescent="0.25">
      <c r="A2880" t="s">
        <v>2893</v>
      </c>
      <c r="B2880">
        <v>144</v>
      </c>
      <c r="C2880" s="1" t="str">
        <f>HYPERLINK("http://www.rosaceae.org/gb/gbrowse/malus_x_domestica/?name=MDP0000154807","MDP0000154807")</f>
        <v>MDP0000154807</v>
      </c>
      <c r="D2880">
        <v>59.3</v>
      </c>
      <c r="E2880">
        <v>86</v>
      </c>
      <c r="F2880">
        <v>35</v>
      </c>
      <c r="G2880">
        <v>11</v>
      </c>
      <c r="H2880">
        <v>68</v>
      </c>
      <c r="I2880">
        <v>144</v>
      </c>
      <c r="J2880">
        <v>1</v>
      </c>
      <c r="K2880">
        <v>107</v>
      </c>
      <c r="L2880">
        <v>190</v>
      </c>
      <c r="M2880">
        <v>1</v>
      </c>
      <c r="N2880">
        <v>9.7664500000000001E-24</v>
      </c>
      <c r="O2880">
        <v>264</v>
      </c>
    </row>
    <row r="2881" spans="1:15" x14ac:dyDescent="0.25">
      <c r="A2881" t="s">
        <v>2894</v>
      </c>
      <c r="B2881">
        <v>253</v>
      </c>
      <c r="C2881" s="1" t="str">
        <f>HYPERLINK("http://www.rosaceae.org/gb/gbrowse/malus_x_domestica/?name=MDP0000531557","MDP0000531557")</f>
        <v>MDP0000531557</v>
      </c>
      <c r="D2881">
        <v>76.81</v>
      </c>
      <c r="E2881">
        <v>69</v>
      </c>
      <c r="F2881">
        <v>16</v>
      </c>
      <c r="G2881">
        <v>0</v>
      </c>
      <c r="H2881">
        <v>168</v>
      </c>
      <c r="I2881">
        <v>236</v>
      </c>
      <c r="J2881">
        <v>1</v>
      </c>
      <c r="K2881">
        <v>576</v>
      </c>
      <c r="L2881">
        <v>644</v>
      </c>
      <c r="M2881">
        <v>1</v>
      </c>
      <c r="N2881">
        <v>1.2261E-27</v>
      </c>
      <c r="O2881">
        <v>301</v>
      </c>
    </row>
    <row r="2882" spans="1:15" x14ac:dyDescent="0.25">
      <c r="A2882" t="s">
        <v>2895</v>
      </c>
      <c r="B2882">
        <v>135</v>
      </c>
      <c r="C2882" s="1" t="str">
        <f>HYPERLINK("http://www.rosaceae.org/gb/gbrowse/malus_x_domestica/?name=MDP0000294395","MDP0000294395")</f>
        <v>MDP0000294395</v>
      </c>
      <c r="D2882">
        <v>78.400000000000006</v>
      </c>
      <c r="E2882">
        <v>125</v>
      </c>
      <c r="F2882">
        <v>27</v>
      </c>
      <c r="G2882">
        <v>1</v>
      </c>
      <c r="H2882">
        <v>1</v>
      </c>
      <c r="I2882">
        <v>124</v>
      </c>
      <c r="J2882">
        <v>1</v>
      </c>
      <c r="K2882">
        <v>150</v>
      </c>
      <c r="L2882">
        <v>274</v>
      </c>
      <c r="M2882">
        <v>1</v>
      </c>
      <c r="N2882">
        <v>1.35075E-55</v>
      </c>
      <c r="O2882">
        <v>538</v>
      </c>
    </row>
    <row r="2883" spans="1:15" x14ac:dyDescent="0.25">
      <c r="A2883" t="s">
        <v>2896</v>
      </c>
      <c r="B2883">
        <v>573</v>
      </c>
      <c r="C2883" s="1" t="str">
        <f>HYPERLINK("http://www.rosaceae.org/gb/gbrowse/malus_x_domestica/?name=MDP0000297049","MDP0000297049")</f>
        <v>MDP0000297049</v>
      </c>
      <c r="D2883">
        <v>65.03</v>
      </c>
      <c r="E2883">
        <v>592</v>
      </c>
      <c r="F2883">
        <v>207</v>
      </c>
      <c r="G2883">
        <v>27</v>
      </c>
      <c r="H2883">
        <v>3</v>
      </c>
      <c r="I2883">
        <v>572</v>
      </c>
      <c r="J2883">
        <v>1</v>
      </c>
      <c r="K2883">
        <v>26</v>
      </c>
      <c r="L2883">
        <v>612</v>
      </c>
      <c r="M2883">
        <v>1</v>
      </c>
      <c r="N2883">
        <v>0</v>
      </c>
      <c r="O2883">
        <v>1964</v>
      </c>
    </row>
    <row r="2884" spans="1:15" x14ac:dyDescent="0.25">
      <c r="A2884" t="s">
        <v>2897</v>
      </c>
      <c r="B2884">
        <v>92</v>
      </c>
      <c r="C2884" s="1" t="str">
        <f>HYPERLINK("http://www.rosaceae.org/gb/gbrowse/malus_x_domestica/?name=MDP0000121829","MDP0000121829")</f>
        <v>MDP0000121829</v>
      </c>
      <c r="D2884">
        <v>80.430000000000007</v>
      </c>
      <c r="E2884">
        <v>92</v>
      </c>
      <c r="F2884">
        <v>18</v>
      </c>
      <c r="G2884">
        <v>0</v>
      </c>
      <c r="H2884">
        <v>1</v>
      </c>
      <c r="I2884">
        <v>92</v>
      </c>
      <c r="J2884">
        <v>1</v>
      </c>
      <c r="K2884">
        <v>1</v>
      </c>
      <c r="L2884">
        <v>92</v>
      </c>
      <c r="M2884">
        <v>1</v>
      </c>
      <c r="N2884">
        <v>1.10122E-41</v>
      </c>
      <c r="O2884">
        <v>417</v>
      </c>
    </row>
    <row r="2885" spans="1:15" x14ac:dyDescent="0.25">
      <c r="A2885" t="s">
        <v>2898</v>
      </c>
      <c r="B2885">
        <v>86</v>
      </c>
      <c r="C2885" s="1" t="str">
        <f>HYPERLINK("http://www.rosaceae.org/gb/gbrowse/malus_x_domestica/?name=MDP0000829503","MDP0000829503")</f>
        <v>MDP0000829503</v>
      </c>
      <c r="D2885">
        <v>77.349999999999994</v>
      </c>
      <c r="E2885">
        <v>53</v>
      </c>
      <c r="F2885">
        <v>12</v>
      </c>
      <c r="G2885">
        <v>2</v>
      </c>
      <c r="H2885">
        <v>32</v>
      </c>
      <c r="I2885">
        <v>84</v>
      </c>
      <c r="J2885">
        <v>1</v>
      </c>
      <c r="K2885">
        <v>338</v>
      </c>
      <c r="L2885">
        <v>388</v>
      </c>
      <c r="M2885">
        <v>1</v>
      </c>
      <c r="N2885">
        <v>7.5452100000000002E-18</v>
      </c>
      <c r="O2885">
        <v>211</v>
      </c>
    </row>
    <row r="2886" spans="1:15" x14ac:dyDescent="0.25">
      <c r="A2886" t="s">
        <v>2899</v>
      </c>
      <c r="B2886">
        <v>85</v>
      </c>
      <c r="C2886" s="1" t="str">
        <f>HYPERLINK("http://www.rosaceae.org/gb/gbrowse/malus_x_domestica/?name=MDP0000270745","MDP0000270745")</f>
        <v>MDP0000270745</v>
      </c>
      <c r="D2886">
        <v>71.62</v>
      </c>
      <c r="E2886">
        <v>74</v>
      </c>
      <c r="F2886">
        <v>21</v>
      </c>
      <c r="G2886">
        <v>2</v>
      </c>
      <c r="H2886">
        <v>1</v>
      </c>
      <c r="I2886">
        <v>72</v>
      </c>
      <c r="J2886">
        <v>1</v>
      </c>
      <c r="K2886">
        <v>1</v>
      </c>
      <c r="L2886">
        <v>74</v>
      </c>
      <c r="M2886">
        <v>1</v>
      </c>
      <c r="N2886">
        <v>1.14743E-21</v>
      </c>
      <c r="O2886">
        <v>244</v>
      </c>
    </row>
    <row r="2887" spans="1:15" x14ac:dyDescent="0.25">
      <c r="A2887" t="s">
        <v>2900</v>
      </c>
      <c r="B2887">
        <v>676</v>
      </c>
      <c r="C2887" s="1" t="str">
        <f>HYPERLINK("http://www.rosaceae.org/gb/gbrowse/malus_x_domestica/?name=MDP0000199034","MDP0000199034")</f>
        <v>MDP0000199034</v>
      </c>
      <c r="D2887">
        <v>80.739999999999995</v>
      </c>
      <c r="E2887">
        <v>270</v>
      </c>
      <c r="F2887">
        <v>52</v>
      </c>
      <c r="G2887">
        <v>3</v>
      </c>
      <c r="H2887">
        <v>404</v>
      </c>
      <c r="I2887">
        <v>672</v>
      </c>
      <c r="J2887">
        <v>1</v>
      </c>
      <c r="K2887">
        <v>65</v>
      </c>
      <c r="L2887">
        <v>332</v>
      </c>
      <c r="M2887">
        <v>1</v>
      </c>
      <c r="N2887">
        <v>8.0221299999999997E-125</v>
      </c>
      <c r="O2887">
        <v>1144</v>
      </c>
    </row>
    <row r="2888" spans="1:15" x14ac:dyDescent="0.25">
      <c r="A2888" t="s">
        <v>2901</v>
      </c>
      <c r="B2888">
        <v>234</v>
      </c>
      <c r="C2888" s="1" t="str">
        <f>HYPERLINK("http://www.rosaceae.org/gb/gbrowse/malus_x_domestica/?name=MDP0000487037","MDP0000487037")</f>
        <v>MDP0000487037</v>
      </c>
      <c r="D2888">
        <v>52.6</v>
      </c>
      <c r="E2888">
        <v>211</v>
      </c>
      <c r="F2888">
        <v>100</v>
      </c>
      <c r="G2888">
        <v>2</v>
      </c>
      <c r="H2888">
        <v>17</v>
      </c>
      <c r="I2888">
        <v>227</v>
      </c>
      <c r="J2888">
        <v>1</v>
      </c>
      <c r="K2888">
        <v>46</v>
      </c>
      <c r="L2888">
        <v>254</v>
      </c>
      <c r="M2888">
        <v>1</v>
      </c>
      <c r="N2888">
        <v>2.77696E-66</v>
      </c>
      <c r="O2888">
        <v>634</v>
      </c>
    </row>
    <row r="2889" spans="1:15" x14ac:dyDescent="0.25">
      <c r="A2889" t="s">
        <v>2902</v>
      </c>
      <c r="B2889">
        <v>688</v>
      </c>
      <c r="C2889" s="1" t="str">
        <f>HYPERLINK("http://www.rosaceae.org/gb/gbrowse/malus_x_domestica/?name=MDP0000266067","MDP0000266067")</f>
        <v>MDP0000266067</v>
      </c>
      <c r="D2889">
        <v>39.81</v>
      </c>
      <c r="E2889">
        <v>648</v>
      </c>
      <c r="F2889">
        <v>390</v>
      </c>
      <c r="G2889">
        <v>79</v>
      </c>
      <c r="H2889">
        <v>27</v>
      </c>
      <c r="I2889">
        <v>627</v>
      </c>
      <c r="J2889">
        <v>1</v>
      </c>
      <c r="K2889">
        <v>21</v>
      </c>
      <c r="L2889">
        <v>636</v>
      </c>
      <c r="M2889">
        <v>1</v>
      </c>
      <c r="N2889">
        <v>1.1997999999999999E-103</v>
      </c>
      <c r="O2889">
        <v>962</v>
      </c>
    </row>
    <row r="2890" spans="1:15" x14ac:dyDescent="0.25">
      <c r="A2890" t="s">
        <v>2903</v>
      </c>
      <c r="B2890">
        <v>400</v>
      </c>
      <c r="C2890" s="1" t="str">
        <f>HYPERLINK("http://www.rosaceae.org/gb/gbrowse/malus_x_domestica/?name=MDP0000811085","MDP0000811085")</f>
        <v>MDP0000811085</v>
      </c>
      <c r="D2890">
        <v>46.35</v>
      </c>
      <c r="E2890">
        <v>425</v>
      </c>
      <c r="F2890">
        <v>228</v>
      </c>
      <c r="G2890">
        <v>42</v>
      </c>
      <c r="H2890">
        <v>2</v>
      </c>
      <c r="I2890">
        <v>398</v>
      </c>
      <c r="J2890">
        <v>1</v>
      </c>
      <c r="K2890">
        <v>1</v>
      </c>
      <c r="L2890">
        <v>411</v>
      </c>
      <c r="M2890">
        <v>1</v>
      </c>
      <c r="N2890">
        <v>7.9217400000000004E-91</v>
      </c>
      <c r="O2890">
        <v>849</v>
      </c>
    </row>
    <row r="2891" spans="1:15" x14ac:dyDescent="0.25">
      <c r="A2891" t="s">
        <v>2904</v>
      </c>
      <c r="B2891">
        <v>758</v>
      </c>
      <c r="C2891" s="1" t="str">
        <f>HYPERLINK("http://www.rosaceae.org/gb/gbrowse/malus_x_domestica/?name=MDP0000289009","MDP0000289009")</f>
        <v>MDP0000289009</v>
      </c>
      <c r="D2891">
        <v>57.58</v>
      </c>
      <c r="E2891">
        <v>488</v>
      </c>
      <c r="F2891">
        <v>207</v>
      </c>
      <c r="G2891">
        <v>31</v>
      </c>
      <c r="H2891">
        <v>1</v>
      </c>
      <c r="I2891">
        <v>463</v>
      </c>
      <c r="J2891">
        <v>1</v>
      </c>
      <c r="K2891">
        <v>574</v>
      </c>
      <c r="L2891">
        <v>1055</v>
      </c>
      <c r="M2891">
        <v>1</v>
      </c>
      <c r="N2891">
        <v>2.9862300000000003E-154</v>
      </c>
      <c r="O2891">
        <v>1399</v>
      </c>
    </row>
    <row r="2892" spans="1:15" x14ac:dyDescent="0.25">
      <c r="A2892" t="s">
        <v>2905</v>
      </c>
      <c r="B2892">
        <v>674</v>
      </c>
      <c r="C2892" s="1" t="str">
        <f>HYPERLINK("http://www.rosaceae.org/gb/gbrowse/malus_x_domestica/?name=MDP0000123466","MDP0000123466")</f>
        <v>MDP0000123466</v>
      </c>
      <c r="D2892">
        <v>61.83</v>
      </c>
      <c r="E2892">
        <v>676</v>
      </c>
      <c r="F2892">
        <v>258</v>
      </c>
      <c r="G2892">
        <v>59</v>
      </c>
      <c r="H2892">
        <v>6</v>
      </c>
      <c r="I2892">
        <v>643</v>
      </c>
      <c r="J2892">
        <v>1</v>
      </c>
      <c r="K2892">
        <v>24</v>
      </c>
      <c r="L2892">
        <v>678</v>
      </c>
      <c r="M2892">
        <v>1</v>
      </c>
      <c r="N2892">
        <v>0</v>
      </c>
      <c r="O2892">
        <v>2036</v>
      </c>
    </row>
    <row r="2893" spans="1:15" x14ac:dyDescent="0.25">
      <c r="A2893" t="s">
        <v>2906</v>
      </c>
      <c r="B2893">
        <v>1041</v>
      </c>
      <c r="C2893" s="1" t="str">
        <f>HYPERLINK("http://www.rosaceae.org/gb/gbrowse/malus_x_domestica/?name=MDP0000179739","MDP0000179739")</f>
        <v>MDP0000179739</v>
      </c>
      <c r="D2893">
        <v>55.92</v>
      </c>
      <c r="E2893">
        <v>658</v>
      </c>
      <c r="F2893">
        <v>290</v>
      </c>
      <c r="G2893">
        <v>52</v>
      </c>
      <c r="H2893">
        <v>405</v>
      </c>
      <c r="I2893">
        <v>1014</v>
      </c>
      <c r="J2893">
        <v>1</v>
      </c>
      <c r="K2893">
        <v>262</v>
      </c>
      <c r="L2893">
        <v>915</v>
      </c>
      <c r="M2893">
        <v>1</v>
      </c>
      <c r="N2893">
        <v>0</v>
      </c>
      <c r="O2893">
        <v>1820</v>
      </c>
    </row>
    <row r="2894" spans="1:15" x14ac:dyDescent="0.25">
      <c r="A2894" t="s">
        <v>2907</v>
      </c>
      <c r="B2894">
        <v>105</v>
      </c>
      <c r="C2894" s="1" t="str">
        <f>HYPERLINK("http://www.rosaceae.org/gb/gbrowse/malus_x_domestica/?name=MDP0000857799","MDP0000857799")</f>
        <v>MDP0000857799</v>
      </c>
      <c r="D2894">
        <v>66.069999999999993</v>
      </c>
      <c r="E2894">
        <v>112</v>
      </c>
      <c r="F2894">
        <v>38</v>
      </c>
      <c r="G2894">
        <v>7</v>
      </c>
      <c r="H2894">
        <v>1</v>
      </c>
      <c r="I2894">
        <v>105</v>
      </c>
      <c r="J2894">
        <v>1</v>
      </c>
      <c r="K2894">
        <v>1</v>
      </c>
      <c r="L2894">
        <v>112</v>
      </c>
      <c r="M2894">
        <v>1</v>
      </c>
      <c r="N2894">
        <v>5.66537E-38</v>
      </c>
      <c r="O2894">
        <v>385</v>
      </c>
    </row>
    <row r="2895" spans="1:15" x14ac:dyDescent="0.25">
      <c r="A2895" t="s">
        <v>2908</v>
      </c>
      <c r="B2895">
        <v>984</v>
      </c>
      <c r="C2895" s="1" t="str">
        <f>HYPERLINK("http://www.rosaceae.org/gb/gbrowse/malus_x_domestica/?name=MDP0000555986","MDP0000555986")</f>
        <v>MDP0000555986</v>
      </c>
      <c r="D2895">
        <v>56.98</v>
      </c>
      <c r="E2895">
        <v>544</v>
      </c>
      <c r="F2895">
        <v>234</v>
      </c>
      <c r="G2895">
        <v>84</v>
      </c>
      <c r="H2895">
        <v>520</v>
      </c>
      <c r="I2895">
        <v>984</v>
      </c>
      <c r="J2895">
        <v>1</v>
      </c>
      <c r="K2895">
        <v>48</v>
      </c>
      <c r="L2895">
        <v>586</v>
      </c>
      <c r="M2895">
        <v>1</v>
      </c>
      <c r="N2895">
        <v>4.2696800000000001E-150</v>
      </c>
      <c r="O2895">
        <v>1364</v>
      </c>
    </row>
    <row r="2896" spans="1:15" x14ac:dyDescent="0.25">
      <c r="A2896" t="s">
        <v>2909</v>
      </c>
      <c r="B2896">
        <v>626</v>
      </c>
      <c r="C2896" s="1" t="str">
        <f>HYPERLINK("http://www.rosaceae.org/gb/gbrowse/malus_x_domestica/?name=MDP0000319029","MDP0000319029")</f>
        <v>MDP0000319029</v>
      </c>
      <c r="D2896">
        <v>78.459999999999994</v>
      </c>
      <c r="E2896">
        <v>260</v>
      </c>
      <c r="F2896">
        <v>56</v>
      </c>
      <c r="G2896">
        <v>0</v>
      </c>
      <c r="H2896">
        <v>367</v>
      </c>
      <c r="I2896">
        <v>626</v>
      </c>
      <c r="J2896">
        <v>1</v>
      </c>
      <c r="K2896">
        <v>641</v>
      </c>
      <c r="L2896">
        <v>900</v>
      </c>
      <c r="M2896">
        <v>1</v>
      </c>
      <c r="N2896">
        <v>1.17066E-113</v>
      </c>
      <c r="O2896">
        <v>1048</v>
      </c>
    </row>
    <row r="2897" spans="1:15" x14ac:dyDescent="0.25">
      <c r="A2897" t="s">
        <v>2910</v>
      </c>
      <c r="B2897">
        <v>554</v>
      </c>
      <c r="C2897" s="1" t="str">
        <f>HYPERLINK("http://www.rosaceae.org/gb/gbrowse/malus_x_domestica/?name=MDP0000255134","MDP0000255134")</f>
        <v>MDP0000255134</v>
      </c>
      <c r="D2897">
        <v>28.66</v>
      </c>
      <c r="E2897">
        <v>464</v>
      </c>
      <c r="F2897">
        <v>331</v>
      </c>
      <c r="G2897">
        <v>116</v>
      </c>
      <c r="H2897">
        <v>165</v>
      </c>
      <c r="I2897">
        <v>554</v>
      </c>
      <c r="J2897">
        <v>1</v>
      </c>
      <c r="K2897">
        <v>8</v>
      </c>
      <c r="L2897">
        <v>429</v>
      </c>
      <c r="M2897">
        <v>1</v>
      </c>
      <c r="N2897">
        <v>2.8035599999999998E-28</v>
      </c>
      <c r="O2897">
        <v>311</v>
      </c>
    </row>
    <row r="2898" spans="1:15" x14ac:dyDescent="0.25">
      <c r="A2898" t="s">
        <v>2911</v>
      </c>
      <c r="B2898">
        <v>596</v>
      </c>
      <c r="C2898" s="1" t="str">
        <f>HYPERLINK("http://www.rosaceae.org/gb/gbrowse/malus_x_domestica/?name=MDP0000264603","MDP0000264603")</f>
        <v>MDP0000264603</v>
      </c>
      <c r="D2898">
        <v>71.13</v>
      </c>
      <c r="E2898">
        <v>194</v>
      </c>
      <c r="F2898">
        <v>56</v>
      </c>
      <c r="G2898">
        <v>1</v>
      </c>
      <c r="H2898">
        <v>2</v>
      </c>
      <c r="I2898">
        <v>194</v>
      </c>
      <c r="J2898">
        <v>1</v>
      </c>
      <c r="K2898">
        <v>389</v>
      </c>
      <c r="L2898">
        <v>582</v>
      </c>
      <c r="M2898">
        <v>1</v>
      </c>
      <c r="N2898">
        <v>2.0236899999999999E-82</v>
      </c>
      <c r="O2898">
        <v>778</v>
      </c>
    </row>
    <row r="2899" spans="1:15" x14ac:dyDescent="0.25">
      <c r="A2899" t="s">
        <v>2912</v>
      </c>
      <c r="B2899">
        <v>294</v>
      </c>
      <c r="C2899" s="1" t="str">
        <f>HYPERLINK("http://www.rosaceae.org/gb/gbrowse/malus_x_domestica/?name=MDP0000248818","MDP0000248818")</f>
        <v>MDP0000248818</v>
      </c>
      <c r="D2899">
        <v>69.040000000000006</v>
      </c>
      <c r="E2899">
        <v>210</v>
      </c>
      <c r="F2899">
        <v>65</v>
      </c>
      <c r="G2899">
        <v>33</v>
      </c>
      <c r="H2899">
        <v>1</v>
      </c>
      <c r="I2899">
        <v>193</v>
      </c>
      <c r="J2899">
        <v>1</v>
      </c>
      <c r="K2899">
        <v>84</v>
      </c>
      <c r="L2899">
        <v>277</v>
      </c>
      <c r="M2899">
        <v>1</v>
      </c>
      <c r="N2899">
        <v>2.89474E-71</v>
      </c>
      <c r="O2899">
        <v>678</v>
      </c>
    </row>
    <row r="2900" spans="1:15" x14ac:dyDescent="0.25">
      <c r="A2900" t="s">
        <v>2913</v>
      </c>
      <c r="B2900">
        <v>367</v>
      </c>
      <c r="C2900" s="1" t="str">
        <f>HYPERLINK("http://www.rosaceae.org/gb/gbrowse/malus_x_domestica/?name=MDP0000516623","MDP0000516623")</f>
        <v>MDP0000516623</v>
      </c>
      <c r="D2900">
        <v>82.56</v>
      </c>
      <c r="E2900">
        <v>367</v>
      </c>
      <c r="F2900">
        <v>64</v>
      </c>
      <c r="G2900">
        <v>0</v>
      </c>
      <c r="H2900">
        <v>1</v>
      </c>
      <c r="I2900">
        <v>367</v>
      </c>
      <c r="J2900">
        <v>1</v>
      </c>
      <c r="K2900">
        <v>32</v>
      </c>
      <c r="L2900">
        <v>398</v>
      </c>
      <c r="M2900">
        <v>1</v>
      </c>
      <c r="N2900">
        <v>0</v>
      </c>
      <c r="O2900">
        <v>1636</v>
      </c>
    </row>
    <row r="2901" spans="1:15" x14ac:dyDescent="0.25">
      <c r="A2901" t="s">
        <v>2914</v>
      </c>
      <c r="B2901">
        <v>180</v>
      </c>
      <c r="C2901" s="1" t="str">
        <f>HYPERLINK("http://www.rosaceae.org/gb/gbrowse/malus_x_domestica/?name=MDP0000240977","MDP0000240977")</f>
        <v>MDP0000240977</v>
      </c>
      <c r="D2901">
        <v>66.010000000000005</v>
      </c>
      <c r="E2901">
        <v>153</v>
      </c>
      <c r="F2901">
        <v>52</v>
      </c>
      <c r="G2901">
        <v>0</v>
      </c>
      <c r="H2901">
        <v>22</v>
      </c>
      <c r="I2901">
        <v>174</v>
      </c>
      <c r="J2901">
        <v>1</v>
      </c>
      <c r="K2901">
        <v>201</v>
      </c>
      <c r="L2901">
        <v>353</v>
      </c>
      <c r="M2901">
        <v>1</v>
      </c>
      <c r="N2901">
        <v>3.7578100000000002E-56</v>
      </c>
      <c r="O2901">
        <v>545</v>
      </c>
    </row>
    <row r="2902" spans="1:15" x14ac:dyDescent="0.25">
      <c r="A2902" t="s">
        <v>2915</v>
      </c>
      <c r="B2902">
        <v>373</v>
      </c>
      <c r="C2902" s="1" t="str">
        <f>HYPERLINK("http://www.rosaceae.org/gb/gbrowse/malus_x_domestica/?name=MDP0000800581","MDP0000800581")</f>
        <v>MDP0000800581</v>
      </c>
      <c r="D2902">
        <v>63.24</v>
      </c>
      <c r="E2902">
        <v>234</v>
      </c>
      <c r="F2902">
        <v>86</v>
      </c>
      <c r="G2902">
        <v>3</v>
      </c>
      <c r="H2902">
        <v>111</v>
      </c>
      <c r="I2902">
        <v>343</v>
      </c>
      <c r="J2902">
        <v>1</v>
      </c>
      <c r="K2902">
        <v>93</v>
      </c>
      <c r="L2902">
        <v>324</v>
      </c>
      <c r="M2902">
        <v>1</v>
      </c>
      <c r="N2902">
        <v>3.5185500000000001E-80</v>
      </c>
      <c r="O2902">
        <v>757</v>
      </c>
    </row>
    <row r="2903" spans="1:15" x14ac:dyDescent="0.25">
      <c r="A2903" t="s">
        <v>2916</v>
      </c>
      <c r="B2903">
        <v>135</v>
      </c>
      <c r="C2903" s="1" t="str">
        <f>HYPERLINK("http://www.rosaceae.org/gb/gbrowse/malus_x_domestica/?name=MDP0000158644","MDP0000158644")</f>
        <v>MDP0000158644</v>
      </c>
      <c r="D2903">
        <v>76</v>
      </c>
      <c r="E2903">
        <v>125</v>
      </c>
      <c r="F2903">
        <v>30</v>
      </c>
      <c r="G2903">
        <v>0</v>
      </c>
      <c r="H2903">
        <v>1</v>
      </c>
      <c r="I2903">
        <v>125</v>
      </c>
      <c r="J2903">
        <v>1</v>
      </c>
      <c r="K2903">
        <v>320</v>
      </c>
      <c r="L2903">
        <v>444</v>
      </c>
      <c r="M2903">
        <v>1</v>
      </c>
      <c r="N2903">
        <v>1.69304E-53</v>
      </c>
      <c r="O2903">
        <v>520</v>
      </c>
    </row>
    <row r="2904" spans="1:15" x14ac:dyDescent="0.25">
      <c r="A2904" t="s">
        <v>2917</v>
      </c>
      <c r="B2904">
        <v>197</v>
      </c>
      <c r="C2904" s="1" t="str">
        <f>HYPERLINK("http://www.rosaceae.org/gb/gbrowse/malus_x_domestica/?name=MDP0000285037","MDP0000285037")</f>
        <v>MDP0000285037</v>
      </c>
      <c r="D2904">
        <v>70.900000000000006</v>
      </c>
      <c r="E2904">
        <v>55</v>
      </c>
      <c r="F2904">
        <v>16</v>
      </c>
      <c r="G2904">
        <v>0</v>
      </c>
      <c r="H2904">
        <v>1</v>
      </c>
      <c r="I2904">
        <v>55</v>
      </c>
      <c r="J2904">
        <v>1</v>
      </c>
      <c r="K2904">
        <v>318</v>
      </c>
      <c r="L2904">
        <v>372</v>
      </c>
      <c r="M2904">
        <v>1</v>
      </c>
      <c r="N2904">
        <v>1.33628E-16</v>
      </c>
      <c r="O2904">
        <v>205</v>
      </c>
    </row>
    <row r="2905" spans="1:15" x14ac:dyDescent="0.25">
      <c r="A2905" t="s">
        <v>2918</v>
      </c>
      <c r="B2905">
        <v>244</v>
      </c>
      <c r="C2905" s="1" t="str">
        <f>HYPERLINK("http://www.rosaceae.org/gb/gbrowse/malus_x_domestica/?name=MDP0000266107","MDP0000266107")</f>
        <v>MDP0000266107</v>
      </c>
      <c r="D2905">
        <v>64.150000000000006</v>
      </c>
      <c r="E2905">
        <v>212</v>
      </c>
      <c r="F2905">
        <v>76</v>
      </c>
      <c r="G2905">
        <v>6</v>
      </c>
      <c r="H2905">
        <v>38</v>
      </c>
      <c r="I2905">
        <v>244</v>
      </c>
      <c r="J2905">
        <v>1</v>
      </c>
      <c r="K2905">
        <v>492</v>
      </c>
      <c r="L2905">
        <v>702</v>
      </c>
      <c r="M2905">
        <v>1</v>
      </c>
      <c r="N2905">
        <v>8.2254099999999997E-72</v>
      </c>
      <c r="O2905">
        <v>682</v>
      </c>
    </row>
    <row r="2906" spans="1:15" x14ac:dyDescent="0.25">
      <c r="A2906" t="s">
        <v>2919</v>
      </c>
      <c r="B2906">
        <v>1627</v>
      </c>
      <c r="C2906" s="1" t="str">
        <f>HYPERLINK("http://www.rosaceae.org/gb/gbrowse/malus_x_domestica/?name=MDP0000268194","MDP0000268194")</f>
        <v>MDP0000268194</v>
      </c>
      <c r="D2906">
        <v>78.67</v>
      </c>
      <c r="E2906">
        <v>802</v>
      </c>
      <c r="F2906">
        <v>171</v>
      </c>
      <c r="G2906">
        <v>58</v>
      </c>
      <c r="H2906">
        <v>803</v>
      </c>
      <c r="I2906">
        <v>1593</v>
      </c>
      <c r="J2906">
        <v>1</v>
      </c>
      <c r="K2906">
        <v>37</v>
      </c>
      <c r="L2906">
        <v>791</v>
      </c>
      <c r="M2906">
        <v>1</v>
      </c>
      <c r="N2906">
        <v>0</v>
      </c>
      <c r="O2906">
        <v>3273</v>
      </c>
    </row>
    <row r="2907" spans="1:15" x14ac:dyDescent="0.25">
      <c r="A2907" t="s">
        <v>2920</v>
      </c>
      <c r="B2907">
        <v>250</v>
      </c>
      <c r="C2907" s="1" t="str">
        <f>HYPERLINK("http://www.rosaceae.org/gb/gbrowse/malus_x_domestica/?name=MDP0000324718","MDP0000324718")</f>
        <v>MDP0000324718</v>
      </c>
      <c r="D2907">
        <v>38.53</v>
      </c>
      <c r="E2907">
        <v>205</v>
      </c>
      <c r="F2907">
        <v>126</v>
      </c>
      <c r="G2907">
        <v>23</v>
      </c>
      <c r="H2907">
        <v>1</v>
      </c>
      <c r="I2907">
        <v>199</v>
      </c>
      <c r="J2907">
        <v>1</v>
      </c>
      <c r="K2907">
        <v>18</v>
      </c>
      <c r="L2907">
        <v>205</v>
      </c>
      <c r="M2907">
        <v>1</v>
      </c>
      <c r="N2907">
        <v>2.5271200000000001E-25</v>
      </c>
      <c r="O2907">
        <v>281</v>
      </c>
    </row>
    <row r="2908" spans="1:15" x14ac:dyDescent="0.25">
      <c r="A2908" t="s">
        <v>2921</v>
      </c>
      <c r="B2908">
        <v>173</v>
      </c>
      <c r="C2908" s="1" t="str">
        <f>HYPERLINK("http://www.rosaceae.org/gb/gbrowse/malus_x_domestica/?name=MDP0000120180","MDP0000120180")</f>
        <v>MDP0000120180</v>
      </c>
      <c r="D2908">
        <v>59.29</v>
      </c>
      <c r="E2908">
        <v>113</v>
      </c>
      <c r="F2908">
        <v>46</v>
      </c>
      <c r="G2908">
        <v>0</v>
      </c>
      <c r="H2908">
        <v>35</v>
      </c>
      <c r="I2908">
        <v>147</v>
      </c>
      <c r="J2908">
        <v>1</v>
      </c>
      <c r="K2908">
        <v>93</v>
      </c>
      <c r="L2908">
        <v>205</v>
      </c>
      <c r="M2908">
        <v>1</v>
      </c>
      <c r="N2908">
        <v>2.8109499999999998E-34</v>
      </c>
      <c r="O2908">
        <v>356</v>
      </c>
    </row>
    <row r="2909" spans="1:15" x14ac:dyDescent="0.25">
      <c r="A2909" t="s">
        <v>2922</v>
      </c>
      <c r="B2909">
        <v>387</v>
      </c>
      <c r="C2909" s="1" t="str">
        <f>HYPERLINK("http://www.rosaceae.org/gb/gbrowse/malus_x_domestica/?name=MDP0000122690","MDP0000122690")</f>
        <v>MDP0000122690</v>
      </c>
      <c r="D2909">
        <v>73.739999999999995</v>
      </c>
      <c r="E2909">
        <v>259</v>
      </c>
      <c r="F2909">
        <v>68</v>
      </c>
      <c r="G2909">
        <v>1</v>
      </c>
      <c r="H2909">
        <v>23</v>
      </c>
      <c r="I2909">
        <v>280</v>
      </c>
      <c r="J2909">
        <v>1</v>
      </c>
      <c r="K2909">
        <v>36</v>
      </c>
      <c r="L2909">
        <v>294</v>
      </c>
      <c r="M2909">
        <v>1</v>
      </c>
      <c r="N2909">
        <v>1.35984E-110</v>
      </c>
      <c r="O2909">
        <v>1019</v>
      </c>
    </row>
    <row r="2910" spans="1:15" x14ac:dyDescent="0.25">
      <c r="A2910" t="s">
        <v>2923</v>
      </c>
      <c r="B2910">
        <v>385</v>
      </c>
      <c r="C2910" s="1" t="str">
        <f>HYPERLINK("http://www.rosaceae.org/gb/gbrowse/malus_x_domestica/?name=MDP0000278916","MDP0000278916")</f>
        <v>MDP0000278916</v>
      </c>
      <c r="D2910">
        <v>78.010000000000005</v>
      </c>
      <c r="E2910">
        <v>382</v>
      </c>
      <c r="F2910">
        <v>84</v>
      </c>
      <c r="G2910">
        <v>5</v>
      </c>
      <c r="H2910">
        <v>4</v>
      </c>
      <c r="I2910">
        <v>385</v>
      </c>
      <c r="J2910">
        <v>1</v>
      </c>
      <c r="K2910">
        <v>20</v>
      </c>
      <c r="L2910">
        <v>396</v>
      </c>
      <c r="M2910">
        <v>1</v>
      </c>
      <c r="N2910">
        <v>4.1212399999999999E-175</v>
      </c>
      <c r="O2910">
        <v>1575</v>
      </c>
    </row>
    <row r="2911" spans="1:15" x14ac:dyDescent="0.25">
      <c r="A2911" t="s">
        <v>2924</v>
      </c>
      <c r="B2911">
        <v>247</v>
      </c>
      <c r="C2911" s="1" t="str">
        <f>HYPERLINK("http://www.rosaceae.org/gb/gbrowse/malus_x_domestica/?name=MDP0000145220","MDP0000145220")</f>
        <v>MDP0000145220</v>
      </c>
      <c r="D2911">
        <v>86.63</v>
      </c>
      <c r="E2911">
        <v>247</v>
      </c>
      <c r="F2911">
        <v>33</v>
      </c>
      <c r="G2911">
        <v>0</v>
      </c>
      <c r="H2911">
        <v>1</v>
      </c>
      <c r="I2911">
        <v>247</v>
      </c>
      <c r="J2911">
        <v>1</v>
      </c>
      <c r="K2911">
        <v>1</v>
      </c>
      <c r="L2911">
        <v>247</v>
      </c>
      <c r="M2911">
        <v>1</v>
      </c>
      <c r="N2911">
        <v>5.5790500000000003E-130</v>
      </c>
      <c r="O2911">
        <v>1184</v>
      </c>
    </row>
    <row r="2912" spans="1:15" x14ac:dyDescent="0.25">
      <c r="A2912" t="s">
        <v>2925</v>
      </c>
      <c r="B2912">
        <v>393</v>
      </c>
      <c r="C2912" s="1" t="str">
        <f>HYPERLINK("http://www.rosaceae.org/gb/gbrowse/malus_x_domestica/?name=MDP0000748997","MDP0000748997")</f>
        <v>MDP0000748997</v>
      </c>
      <c r="D2912">
        <v>35.65</v>
      </c>
      <c r="E2912">
        <v>129</v>
      </c>
      <c r="F2912">
        <v>83</v>
      </c>
      <c r="G2912">
        <v>10</v>
      </c>
      <c r="H2912">
        <v>34</v>
      </c>
      <c r="I2912">
        <v>152</v>
      </c>
      <c r="J2912">
        <v>1</v>
      </c>
      <c r="K2912">
        <v>180</v>
      </c>
      <c r="L2912">
        <v>308</v>
      </c>
      <c r="M2912">
        <v>1</v>
      </c>
      <c r="N2912">
        <v>1.3148E-11</v>
      </c>
      <c r="O2912">
        <v>165</v>
      </c>
    </row>
    <row r="2913" spans="1:15" x14ac:dyDescent="0.25">
      <c r="A2913" t="s">
        <v>2926</v>
      </c>
      <c r="B2913">
        <v>177</v>
      </c>
      <c r="C2913" s="1" t="str">
        <f>HYPERLINK("http://www.rosaceae.org/gb/gbrowse/malus_x_domestica/?name=MDP0000235367","MDP0000235367")</f>
        <v>MDP0000235367</v>
      </c>
      <c r="D2913">
        <v>65.38</v>
      </c>
      <c r="E2913">
        <v>156</v>
      </c>
      <c r="F2913">
        <v>54</v>
      </c>
      <c r="G2913">
        <v>5</v>
      </c>
      <c r="H2913">
        <v>22</v>
      </c>
      <c r="I2913">
        <v>176</v>
      </c>
      <c r="J2913">
        <v>1</v>
      </c>
      <c r="K2913">
        <v>497</v>
      </c>
      <c r="L2913">
        <v>648</v>
      </c>
      <c r="M2913">
        <v>1</v>
      </c>
      <c r="N2913">
        <v>4.2491199999999998E-52</v>
      </c>
      <c r="O2913">
        <v>510</v>
      </c>
    </row>
    <row r="2914" spans="1:15" x14ac:dyDescent="0.25">
      <c r="A2914" t="s">
        <v>2927</v>
      </c>
      <c r="B2914">
        <v>141</v>
      </c>
      <c r="C2914" s="1" t="str">
        <f>HYPERLINK("http://www.rosaceae.org/gb/gbrowse/malus_x_domestica/?name=MDP0000122193","MDP0000122193")</f>
        <v>MDP0000122193</v>
      </c>
      <c r="D2914">
        <v>58.02</v>
      </c>
      <c r="E2914">
        <v>81</v>
      </c>
      <c r="F2914">
        <v>34</v>
      </c>
      <c r="G2914">
        <v>4</v>
      </c>
      <c r="H2914">
        <v>36</v>
      </c>
      <c r="I2914">
        <v>114</v>
      </c>
      <c r="J2914">
        <v>1</v>
      </c>
      <c r="K2914">
        <v>50</v>
      </c>
      <c r="L2914">
        <v>128</v>
      </c>
      <c r="M2914">
        <v>1</v>
      </c>
      <c r="N2914">
        <v>1.0183500000000001E-15</v>
      </c>
      <c r="O2914">
        <v>194</v>
      </c>
    </row>
    <row r="2915" spans="1:15" x14ac:dyDescent="0.25">
      <c r="A2915" t="s">
        <v>2928</v>
      </c>
      <c r="B2915">
        <v>532</v>
      </c>
      <c r="C2915" s="1" t="str">
        <f>HYPERLINK("http://www.rosaceae.org/gb/gbrowse/malus_x_domestica/?name=MDP0000828015","MDP0000828015")</f>
        <v>MDP0000828015</v>
      </c>
      <c r="D2915">
        <v>73.36</v>
      </c>
      <c r="E2915">
        <v>428</v>
      </c>
      <c r="F2915">
        <v>114</v>
      </c>
      <c r="G2915">
        <v>7</v>
      </c>
      <c r="H2915">
        <v>8</v>
      </c>
      <c r="I2915">
        <v>429</v>
      </c>
      <c r="J2915">
        <v>1</v>
      </c>
      <c r="K2915">
        <v>13</v>
      </c>
      <c r="L2915">
        <v>439</v>
      </c>
      <c r="M2915">
        <v>1</v>
      </c>
      <c r="N2915">
        <v>8.1314500000000003E-173</v>
      </c>
      <c r="O2915">
        <v>1557</v>
      </c>
    </row>
    <row r="2916" spans="1:15" x14ac:dyDescent="0.25">
      <c r="A2916" t="s">
        <v>2929</v>
      </c>
      <c r="B2916">
        <v>327</v>
      </c>
      <c r="C2916" s="1" t="str">
        <f>HYPERLINK("http://www.rosaceae.org/gb/gbrowse/malus_x_domestica/?name=MDP0000560179","MDP0000560179")</f>
        <v>MDP0000560179</v>
      </c>
      <c r="D2916">
        <v>62.34</v>
      </c>
      <c r="E2916">
        <v>332</v>
      </c>
      <c r="F2916">
        <v>125</v>
      </c>
      <c r="G2916">
        <v>13</v>
      </c>
      <c r="H2916">
        <v>1</v>
      </c>
      <c r="I2916">
        <v>325</v>
      </c>
      <c r="J2916">
        <v>1</v>
      </c>
      <c r="K2916">
        <v>1</v>
      </c>
      <c r="L2916">
        <v>326</v>
      </c>
      <c r="M2916">
        <v>1</v>
      </c>
      <c r="N2916">
        <v>9.5320499999999998E-108</v>
      </c>
      <c r="O2916">
        <v>994</v>
      </c>
    </row>
    <row r="2917" spans="1:15" x14ac:dyDescent="0.25">
      <c r="A2917" t="s">
        <v>2930</v>
      </c>
      <c r="B2917">
        <v>405</v>
      </c>
      <c r="C2917" s="1" t="str">
        <f>HYPERLINK("http://www.rosaceae.org/gb/gbrowse/malus_x_domestica/?name=MDP0000164944","MDP0000164944")</f>
        <v>MDP0000164944</v>
      </c>
      <c r="D2917">
        <v>74.81</v>
      </c>
      <c r="E2917">
        <v>409</v>
      </c>
      <c r="F2917">
        <v>103</v>
      </c>
      <c r="G2917">
        <v>25</v>
      </c>
      <c r="H2917">
        <v>1</v>
      </c>
      <c r="I2917">
        <v>405</v>
      </c>
      <c r="J2917">
        <v>1</v>
      </c>
      <c r="K2917">
        <v>1</v>
      </c>
      <c r="L2917">
        <v>388</v>
      </c>
      <c r="M2917">
        <v>1</v>
      </c>
      <c r="N2917">
        <v>8.5666800000000001E-167</v>
      </c>
      <c r="O2917">
        <v>1504</v>
      </c>
    </row>
    <row r="2918" spans="1:15" x14ac:dyDescent="0.25">
      <c r="A2918" t="s">
        <v>2931</v>
      </c>
      <c r="B2918">
        <v>1069</v>
      </c>
      <c r="C2918" s="1" t="str">
        <f>HYPERLINK("http://www.rosaceae.org/gb/gbrowse/malus_x_domestica/?name=MDP0000646610","MDP0000646610")</f>
        <v>MDP0000646610</v>
      </c>
      <c r="D2918">
        <v>82.96</v>
      </c>
      <c r="E2918">
        <v>182</v>
      </c>
      <c r="F2918">
        <v>31</v>
      </c>
      <c r="G2918">
        <v>2</v>
      </c>
      <c r="H2918">
        <v>1</v>
      </c>
      <c r="I2918">
        <v>180</v>
      </c>
      <c r="J2918">
        <v>1</v>
      </c>
      <c r="K2918">
        <v>296</v>
      </c>
      <c r="L2918">
        <v>477</v>
      </c>
      <c r="M2918">
        <v>1</v>
      </c>
      <c r="N2918">
        <v>7.6415700000000003E-87</v>
      </c>
      <c r="O2918">
        <v>819</v>
      </c>
    </row>
    <row r="2919" spans="1:15" x14ac:dyDescent="0.25">
      <c r="A2919" t="s">
        <v>2932</v>
      </c>
      <c r="B2919">
        <v>99</v>
      </c>
      <c r="C2919" s="1" t="str">
        <f>HYPERLINK("http://www.rosaceae.org/gb/gbrowse/malus_x_domestica/?name=MDP0000258391","MDP0000258391")</f>
        <v>MDP0000258391</v>
      </c>
      <c r="D2919">
        <v>93.33</v>
      </c>
      <c r="E2919">
        <v>75</v>
      </c>
      <c r="F2919">
        <v>5</v>
      </c>
      <c r="G2919">
        <v>0</v>
      </c>
      <c r="H2919">
        <v>1</v>
      </c>
      <c r="I2919">
        <v>75</v>
      </c>
      <c r="J2919">
        <v>1</v>
      </c>
      <c r="K2919">
        <v>1</v>
      </c>
      <c r="L2919">
        <v>75</v>
      </c>
      <c r="M2919">
        <v>1</v>
      </c>
      <c r="N2919">
        <v>4.1293200000000004E-37</v>
      </c>
      <c r="O2919">
        <v>377</v>
      </c>
    </row>
    <row r="2920" spans="1:15" x14ac:dyDescent="0.25">
      <c r="A2920" t="s">
        <v>2933</v>
      </c>
      <c r="B2920">
        <v>160</v>
      </c>
      <c r="C2920" s="1" t="str">
        <f>HYPERLINK("http://www.rosaceae.org/gb/gbrowse/malus_x_domestica/?name=MDP0000149794","MDP0000149794")</f>
        <v>MDP0000149794</v>
      </c>
      <c r="D2920">
        <v>82.38</v>
      </c>
      <c r="E2920">
        <v>159</v>
      </c>
      <c r="F2920">
        <v>28</v>
      </c>
      <c r="G2920">
        <v>0</v>
      </c>
      <c r="H2920">
        <v>1</v>
      </c>
      <c r="I2920">
        <v>159</v>
      </c>
      <c r="J2920">
        <v>1</v>
      </c>
      <c r="K2920">
        <v>1</v>
      </c>
      <c r="L2920">
        <v>159</v>
      </c>
      <c r="M2920">
        <v>1</v>
      </c>
      <c r="N2920">
        <v>2.3553700000000002E-72</v>
      </c>
      <c r="O2920">
        <v>684</v>
      </c>
    </row>
    <row r="2921" spans="1:15" x14ac:dyDescent="0.25">
      <c r="A2921" t="s">
        <v>2934</v>
      </c>
      <c r="B2921">
        <v>474</v>
      </c>
      <c r="C2921" s="1" t="str">
        <f>HYPERLINK("http://www.rosaceae.org/gb/gbrowse/malus_x_domestica/?name=MDP0000434703","MDP0000434703")</f>
        <v>MDP0000434703</v>
      </c>
      <c r="D2921">
        <v>30.89</v>
      </c>
      <c r="E2921">
        <v>191</v>
      </c>
      <c r="F2921">
        <v>132</v>
      </c>
      <c r="G2921">
        <v>4</v>
      </c>
      <c r="H2921">
        <v>243</v>
      </c>
      <c r="I2921">
        <v>431</v>
      </c>
      <c r="J2921">
        <v>1</v>
      </c>
      <c r="K2921">
        <v>15</v>
      </c>
      <c r="L2921">
        <v>203</v>
      </c>
      <c r="M2921">
        <v>1</v>
      </c>
      <c r="N2921">
        <v>8.9607499999999995E-15</v>
      </c>
      <c r="O2921">
        <v>194</v>
      </c>
    </row>
    <row r="2922" spans="1:15" x14ac:dyDescent="0.25">
      <c r="A2922" t="s">
        <v>2935</v>
      </c>
      <c r="B2922">
        <v>363</v>
      </c>
      <c r="C2922" s="1" t="str">
        <f>HYPERLINK("http://www.rosaceae.org/gb/gbrowse/malus_x_domestica/?name=MDP0000238655","MDP0000238655")</f>
        <v>MDP0000238655</v>
      </c>
      <c r="D2922">
        <v>89.02</v>
      </c>
      <c r="E2922">
        <v>82</v>
      </c>
      <c r="F2922">
        <v>9</v>
      </c>
      <c r="G2922">
        <v>0</v>
      </c>
      <c r="H2922">
        <v>47</v>
      </c>
      <c r="I2922">
        <v>128</v>
      </c>
      <c r="J2922">
        <v>1</v>
      </c>
      <c r="K2922">
        <v>36</v>
      </c>
      <c r="L2922">
        <v>117</v>
      </c>
      <c r="M2922">
        <v>1</v>
      </c>
      <c r="N2922">
        <v>1.3467500000000001E-38</v>
      </c>
      <c r="O2922">
        <v>398</v>
      </c>
    </row>
    <row r="2923" spans="1:15" x14ac:dyDescent="0.25">
      <c r="A2923" t="s">
        <v>2936</v>
      </c>
      <c r="B2923">
        <v>276</v>
      </c>
      <c r="C2923" s="1" t="str">
        <f>HYPERLINK("http://www.rosaceae.org/gb/gbrowse/malus_x_domestica/?name=MDP0000771589","MDP0000771589")</f>
        <v>MDP0000771589</v>
      </c>
      <c r="D2923">
        <v>67.75</v>
      </c>
      <c r="E2923">
        <v>276</v>
      </c>
      <c r="F2923">
        <v>89</v>
      </c>
      <c r="G2923">
        <v>2</v>
      </c>
      <c r="H2923">
        <v>1</v>
      </c>
      <c r="I2923">
        <v>276</v>
      </c>
      <c r="J2923">
        <v>1</v>
      </c>
      <c r="K2923">
        <v>1</v>
      </c>
      <c r="L2923">
        <v>274</v>
      </c>
      <c r="M2923">
        <v>1</v>
      </c>
      <c r="N2923">
        <v>5.4211099999999997E-102</v>
      </c>
      <c r="O2923">
        <v>943</v>
      </c>
    </row>
    <row r="2924" spans="1:15" x14ac:dyDescent="0.25">
      <c r="A2924" t="s">
        <v>2937</v>
      </c>
      <c r="B2924">
        <v>216</v>
      </c>
      <c r="C2924" s="1" t="str">
        <f>HYPERLINK("http://www.rosaceae.org/gb/gbrowse/malus_x_domestica/?name=MDP0000636541","MDP0000636541")</f>
        <v>MDP0000636541</v>
      </c>
      <c r="D2924">
        <v>33.96</v>
      </c>
      <c r="E2924">
        <v>212</v>
      </c>
      <c r="F2924">
        <v>140</v>
      </c>
      <c r="G2924">
        <v>27</v>
      </c>
      <c r="H2924">
        <v>3</v>
      </c>
      <c r="I2924">
        <v>196</v>
      </c>
      <c r="J2924">
        <v>1</v>
      </c>
      <c r="K2924">
        <v>1</v>
      </c>
      <c r="L2924">
        <v>203</v>
      </c>
      <c r="M2924">
        <v>1</v>
      </c>
      <c r="N2924">
        <v>2.66242E-15</v>
      </c>
      <c r="O2924">
        <v>194</v>
      </c>
    </row>
    <row r="2925" spans="1:15" x14ac:dyDescent="0.25">
      <c r="A2925" t="s">
        <v>2938</v>
      </c>
      <c r="B2925">
        <v>360</v>
      </c>
      <c r="C2925" s="1" t="str">
        <f>HYPERLINK("http://www.rosaceae.org/gb/gbrowse/malus_x_domestica/?name=MDP0000607000","MDP0000607000")</f>
        <v>MDP0000607000</v>
      </c>
      <c r="D2925">
        <v>49.33</v>
      </c>
      <c r="E2925">
        <v>375</v>
      </c>
      <c r="F2925">
        <v>190</v>
      </c>
      <c r="G2925">
        <v>41</v>
      </c>
      <c r="H2925">
        <v>11</v>
      </c>
      <c r="I2925">
        <v>360</v>
      </c>
      <c r="J2925">
        <v>1</v>
      </c>
      <c r="K2925">
        <v>27</v>
      </c>
      <c r="L2925">
        <v>385</v>
      </c>
      <c r="M2925">
        <v>1</v>
      </c>
      <c r="N2925">
        <v>2.4927700000000002E-90</v>
      </c>
      <c r="O2925">
        <v>844</v>
      </c>
    </row>
    <row r="2926" spans="1:15" x14ac:dyDescent="0.25">
      <c r="A2926" t="s">
        <v>2939</v>
      </c>
      <c r="B2926">
        <v>529</v>
      </c>
      <c r="C2926" s="1" t="str">
        <f>HYPERLINK("http://www.rosaceae.org/gb/gbrowse/malus_x_domestica/?name=MDP0000218729","MDP0000218729")</f>
        <v>MDP0000218729</v>
      </c>
      <c r="D2926">
        <v>76.42</v>
      </c>
      <c r="E2926">
        <v>543</v>
      </c>
      <c r="F2926">
        <v>128</v>
      </c>
      <c r="G2926">
        <v>14</v>
      </c>
      <c r="H2926">
        <v>1</v>
      </c>
      <c r="I2926">
        <v>529</v>
      </c>
      <c r="J2926">
        <v>1</v>
      </c>
      <c r="K2926">
        <v>123</v>
      </c>
      <c r="L2926">
        <v>665</v>
      </c>
      <c r="M2926">
        <v>1</v>
      </c>
      <c r="N2926">
        <v>0</v>
      </c>
      <c r="O2926">
        <v>2179</v>
      </c>
    </row>
    <row r="2927" spans="1:15" x14ac:dyDescent="0.25">
      <c r="A2927" t="s">
        <v>2940</v>
      </c>
      <c r="B2927">
        <v>304</v>
      </c>
      <c r="C2927" s="1" t="str">
        <f>HYPERLINK("http://www.rosaceae.org/gb/gbrowse/malus_x_domestica/?name=MDP0000159369","MDP0000159369")</f>
        <v>MDP0000159369</v>
      </c>
      <c r="D2927">
        <v>58.09</v>
      </c>
      <c r="E2927">
        <v>284</v>
      </c>
      <c r="F2927">
        <v>119</v>
      </c>
      <c r="G2927">
        <v>14</v>
      </c>
      <c r="H2927">
        <v>31</v>
      </c>
      <c r="I2927">
        <v>300</v>
      </c>
      <c r="J2927">
        <v>1</v>
      </c>
      <c r="K2927">
        <v>31</v>
      </c>
      <c r="L2927">
        <v>314</v>
      </c>
      <c r="M2927">
        <v>1</v>
      </c>
      <c r="N2927">
        <v>1.3486100000000001E-90</v>
      </c>
      <c r="O2927">
        <v>845</v>
      </c>
    </row>
    <row r="2928" spans="1:15" x14ac:dyDescent="0.25">
      <c r="A2928" t="s">
        <v>2941</v>
      </c>
      <c r="B2928">
        <v>427</v>
      </c>
      <c r="C2928" s="1" t="str">
        <f>HYPERLINK("http://www.rosaceae.org/gb/gbrowse/malus_x_domestica/?name=MDP0000277672","MDP0000277672")</f>
        <v>MDP0000277672</v>
      </c>
      <c r="D2928">
        <v>80.89</v>
      </c>
      <c r="E2928">
        <v>424</v>
      </c>
      <c r="F2928">
        <v>81</v>
      </c>
      <c r="G2928">
        <v>2</v>
      </c>
      <c r="H2928">
        <v>1</v>
      </c>
      <c r="I2928">
        <v>422</v>
      </c>
      <c r="J2928">
        <v>1</v>
      </c>
      <c r="K2928">
        <v>1</v>
      </c>
      <c r="L2928">
        <v>424</v>
      </c>
      <c r="M2928">
        <v>1</v>
      </c>
      <c r="N2928">
        <v>0</v>
      </c>
      <c r="O2928">
        <v>1830</v>
      </c>
    </row>
    <row r="2929" spans="1:15" x14ac:dyDescent="0.25">
      <c r="A2929" t="s">
        <v>2942</v>
      </c>
      <c r="B2929">
        <v>392</v>
      </c>
      <c r="C2929" s="1" t="str">
        <f>HYPERLINK("http://www.rosaceae.org/gb/gbrowse/malus_x_domestica/?name=MDP0000317873","MDP0000317873")</f>
        <v>MDP0000317873</v>
      </c>
      <c r="D2929">
        <v>36.56</v>
      </c>
      <c r="E2929">
        <v>361</v>
      </c>
      <c r="F2929">
        <v>229</v>
      </c>
      <c r="G2929">
        <v>111</v>
      </c>
      <c r="H2929">
        <v>1</v>
      </c>
      <c r="I2929">
        <v>253</v>
      </c>
      <c r="J2929">
        <v>1</v>
      </c>
      <c r="K2929">
        <v>1</v>
      </c>
      <c r="L2929">
        <v>358</v>
      </c>
      <c r="M2929">
        <v>1</v>
      </c>
      <c r="N2929">
        <v>2.30192E-53</v>
      </c>
      <c r="O2929">
        <v>526</v>
      </c>
    </row>
    <row r="2930" spans="1:15" x14ac:dyDescent="0.25">
      <c r="A2930" t="s">
        <v>2943</v>
      </c>
      <c r="B2930">
        <v>267</v>
      </c>
      <c r="C2930" s="1" t="str">
        <f>HYPERLINK("http://www.rosaceae.org/gb/gbrowse/malus_x_domestica/?name=MDP0000692850","MDP0000692850")</f>
        <v>MDP0000692850</v>
      </c>
      <c r="D2930">
        <v>33.33</v>
      </c>
      <c r="E2930">
        <v>183</v>
      </c>
      <c r="F2930">
        <v>122</v>
      </c>
      <c r="G2930">
        <v>0</v>
      </c>
      <c r="H2930">
        <v>23</v>
      </c>
      <c r="I2930">
        <v>205</v>
      </c>
      <c r="J2930">
        <v>1</v>
      </c>
      <c r="K2930">
        <v>215</v>
      </c>
      <c r="L2930">
        <v>397</v>
      </c>
      <c r="M2930">
        <v>1</v>
      </c>
      <c r="N2930">
        <v>5.0375700000000004E-28</v>
      </c>
      <c r="O2930">
        <v>305</v>
      </c>
    </row>
    <row r="2931" spans="1:15" x14ac:dyDescent="0.25">
      <c r="A2931" t="s">
        <v>2944</v>
      </c>
      <c r="B2931">
        <v>93</v>
      </c>
      <c r="C2931" s="1" t="str">
        <f>HYPERLINK("http://www.rosaceae.org/gb/gbrowse/malus_x_domestica/?name=MDP0000287922","MDP0000287922")</f>
        <v>MDP0000287922</v>
      </c>
      <c r="D2931">
        <v>73.8</v>
      </c>
      <c r="E2931">
        <v>84</v>
      </c>
      <c r="F2931">
        <v>22</v>
      </c>
      <c r="G2931">
        <v>1</v>
      </c>
      <c r="H2931">
        <v>6</v>
      </c>
      <c r="I2931">
        <v>88</v>
      </c>
      <c r="J2931">
        <v>1</v>
      </c>
      <c r="K2931">
        <v>139</v>
      </c>
      <c r="L2931">
        <v>222</v>
      </c>
      <c r="M2931">
        <v>1</v>
      </c>
      <c r="N2931">
        <v>2.99619E-31</v>
      </c>
      <c r="O2931">
        <v>327</v>
      </c>
    </row>
    <row r="2932" spans="1:15" x14ac:dyDescent="0.25">
      <c r="A2932" t="s">
        <v>2945</v>
      </c>
      <c r="B2932">
        <v>2100</v>
      </c>
      <c r="C2932" s="1" t="str">
        <f>HYPERLINK("http://www.rosaceae.org/gb/gbrowse/malus_x_domestica/?name=MDP0000141828","MDP0000141828")</f>
        <v>MDP0000141828</v>
      </c>
      <c r="D2932">
        <v>53.44</v>
      </c>
      <c r="E2932">
        <v>2236</v>
      </c>
      <c r="F2932">
        <v>1041</v>
      </c>
      <c r="G2932">
        <v>257</v>
      </c>
      <c r="H2932">
        <v>3</v>
      </c>
      <c r="I2932">
        <v>2099</v>
      </c>
      <c r="J2932">
        <v>1</v>
      </c>
      <c r="K2932">
        <v>2</v>
      </c>
      <c r="L2932">
        <v>2119</v>
      </c>
      <c r="M2932">
        <v>1</v>
      </c>
      <c r="N2932">
        <v>0</v>
      </c>
      <c r="O2932">
        <v>5104</v>
      </c>
    </row>
    <row r="2933" spans="1:15" x14ac:dyDescent="0.25">
      <c r="A2933" t="s">
        <v>2946</v>
      </c>
      <c r="B2933">
        <v>139</v>
      </c>
      <c r="C2933" s="1" t="str">
        <f>HYPERLINK("http://www.rosaceae.org/gb/gbrowse/malus_x_domestica/?name=MDP0000406918","MDP0000406918")</f>
        <v>MDP0000406918</v>
      </c>
      <c r="D2933">
        <v>65.94</v>
      </c>
      <c r="E2933">
        <v>138</v>
      </c>
      <c r="F2933">
        <v>47</v>
      </c>
      <c r="G2933">
        <v>6</v>
      </c>
      <c r="H2933">
        <v>1</v>
      </c>
      <c r="I2933">
        <v>136</v>
      </c>
      <c r="J2933">
        <v>1</v>
      </c>
      <c r="K2933">
        <v>117</v>
      </c>
      <c r="L2933">
        <v>250</v>
      </c>
      <c r="M2933">
        <v>1</v>
      </c>
      <c r="N2933">
        <v>3.64901E-42</v>
      </c>
      <c r="O2933">
        <v>422</v>
      </c>
    </row>
    <row r="2934" spans="1:15" x14ac:dyDescent="0.25">
      <c r="A2934" t="s">
        <v>2947</v>
      </c>
      <c r="B2934">
        <v>134</v>
      </c>
      <c r="C2934" s="1" t="str">
        <f>HYPERLINK("http://www.rosaceae.org/gb/gbrowse/malus_x_domestica/?name=MDP0000417249","MDP0000417249")</f>
        <v>MDP0000417249</v>
      </c>
      <c r="D2934">
        <v>69.11</v>
      </c>
      <c r="E2934">
        <v>136</v>
      </c>
      <c r="F2934">
        <v>42</v>
      </c>
      <c r="G2934">
        <v>3</v>
      </c>
      <c r="H2934">
        <v>1</v>
      </c>
      <c r="I2934">
        <v>134</v>
      </c>
      <c r="J2934">
        <v>1</v>
      </c>
      <c r="K2934">
        <v>3</v>
      </c>
      <c r="L2934">
        <v>137</v>
      </c>
      <c r="M2934">
        <v>1</v>
      </c>
      <c r="N2934">
        <v>3.1794399999999999E-43</v>
      </c>
      <c r="O2934">
        <v>431</v>
      </c>
    </row>
    <row r="2935" spans="1:15" x14ac:dyDescent="0.25">
      <c r="A2935" t="s">
        <v>2948</v>
      </c>
      <c r="B2935">
        <v>152</v>
      </c>
      <c r="C2935" s="1" t="str">
        <f>HYPERLINK("http://www.rosaceae.org/gb/gbrowse/malus_x_domestica/?name=MDP0000242980","MDP0000242980")</f>
        <v>MDP0000242980</v>
      </c>
      <c r="D2935">
        <v>62.5</v>
      </c>
      <c r="E2935">
        <v>32</v>
      </c>
      <c r="F2935">
        <v>12</v>
      </c>
      <c r="G2935">
        <v>0</v>
      </c>
      <c r="H2935">
        <v>18</v>
      </c>
      <c r="I2935">
        <v>49</v>
      </c>
      <c r="J2935">
        <v>1</v>
      </c>
      <c r="K2935">
        <v>793</v>
      </c>
      <c r="L2935">
        <v>824</v>
      </c>
      <c r="M2935">
        <v>1</v>
      </c>
      <c r="N2935">
        <v>1.5139999999999999E-7</v>
      </c>
      <c r="O2935">
        <v>125</v>
      </c>
    </row>
    <row r="2936" spans="1:15" x14ac:dyDescent="0.25">
      <c r="A2936" t="s">
        <v>2949</v>
      </c>
      <c r="B2936">
        <v>610</v>
      </c>
      <c r="C2936" s="1" t="str">
        <f>HYPERLINK("http://www.rosaceae.org/gb/gbrowse/malus_x_domestica/?name=MDP0000309310","MDP0000309310")</f>
        <v>MDP0000309310</v>
      </c>
      <c r="D2936">
        <v>82.12</v>
      </c>
      <c r="E2936">
        <v>470</v>
      </c>
      <c r="F2936">
        <v>84</v>
      </c>
      <c r="G2936">
        <v>6</v>
      </c>
      <c r="H2936">
        <v>140</v>
      </c>
      <c r="I2936">
        <v>605</v>
      </c>
      <c r="J2936">
        <v>1</v>
      </c>
      <c r="K2936">
        <v>182</v>
      </c>
      <c r="L2936">
        <v>649</v>
      </c>
      <c r="M2936">
        <v>1</v>
      </c>
      <c r="N2936">
        <v>0</v>
      </c>
      <c r="O2936">
        <v>2039</v>
      </c>
    </row>
    <row r="2937" spans="1:15" x14ac:dyDescent="0.25">
      <c r="A2937" t="s">
        <v>2950</v>
      </c>
      <c r="B2937">
        <v>160</v>
      </c>
      <c r="C2937" s="1" t="str">
        <f>HYPERLINK("http://www.rosaceae.org/gb/gbrowse/malus_x_domestica/?name=MDP0000300146","MDP0000300146")</f>
        <v>MDP0000300146</v>
      </c>
      <c r="D2937">
        <v>72.72</v>
      </c>
      <c r="E2937">
        <v>66</v>
      </c>
      <c r="F2937">
        <v>18</v>
      </c>
      <c r="G2937">
        <v>0</v>
      </c>
      <c r="H2937">
        <v>5</v>
      </c>
      <c r="I2937">
        <v>70</v>
      </c>
      <c r="J2937">
        <v>1</v>
      </c>
      <c r="K2937">
        <v>6</v>
      </c>
      <c r="L2937">
        <v>71</v>
      </c>
      <c r="M2937">
        <v>1</v>
      </c>
      <c r="N2937">
        <v>1.7989700000000001E-23</v>
      </c>
      <c r="O2937">
        <v>262</v>
      </c>
    </row>
    <row r="2938" spans="1:15" x14ac:dyDescent="0.25">
      <c r="A2938" t="s">
        <v>2951</v>
      </c>
      <c r="B2938">
        <v>225</v>
      </c>
      <c r="C2938" s="1" t="str">
        <f>HYPERLINK("http://www.rosaceae.org/gb/gbrowse/malus_x_domestica/?name=MDP0000874507","MDP0000874507")</f>
        <v>MDP0000874507</v>
      </c>
      <c r="D2938">
        <v>45.22</v>
      </c>
      <c r="E2938">
        <v>157</v>
      </c>
      <c r="F2938">
        <v>86</v>
      </c>
      <c r="G2938">
        <v>14</v>
      </c>
      <c r="H2938">
        <v>1</v>
      </c>
      <c r="I2938">
        <v>146</v>
      </c>
      <c r="J2938">
        <v>1</v>
      </c>
      <c r="K2938">
        <v>929</v>
      </c>
      <c r="L2938">
        <v>1082</v>
      </c>
      <c r="M2938">
        <v>1</v>
      </c>
      <c r="N2938">
        <v>1.4020500000000001E-25</v>
      </c>
      <c r="O2938">
        <v>283</v>
      </c>
    </row>
    <row r="2939" spans="1:15" x14ac:dyDescent="0.25">
      <c r="A2939" t="s">
        <v>2952</v>
      </c>
      <c r="B2939">
        <v>163</v>
      </c>
      <c r="C2939" s="1" t="str">
        <f>HYPERLINK("http://www.rosaceae.org/gb/gbrowse/malus_x_domestica/?name=MDP0000874862","MDP0000874862")</f>
        <v>MDP0000874862</v>
      </c>
      <c r="D2939">
        <v>86.36</v>
      </c>
      <c r="E2939">
        <v>44</v>
      </c>
      <c r="F2939">
        <v>6</v>
      </c>
      <c r="G2939">
        <v>0</v>
      </c>
      <c r="H2939">
        <v>79</v>
      </c>
      <c r="I2939">
        <v>122</v>
      </c>
      <c r="J2939">
        <v>1</v>
      </c>
      <c r="K2939">
        <v>9</v>
      </c>
      <c r="L2939">
        <v>52</v>
      </c>
      <c r="M2939">
        <v>1</v>
      </c>
      <c r="N2939">
        <v>1.8087699999999999E-16</v>
      </c>
      <c r="O2939">
        <v>202</v>
      </c>
    </row>
    <row r="2940" spans="1:15" x14ac:dyDescent="0.25">
      <c r="A2940" t="s">
        <v>2953</v>
      </c>
      <c r="B2940">
        <v>186</v>
      </c>
      <c r="C2940" s="1" t="str">
        <f>HYPERLINK("http://www.rosaceae.org/gb/gbrowse/malus_x_domestica/?name=MDP0000280947","MDP0000280947")</f>
        <v>MDP0000280947</v>
      </c>
      <c r="D2940">
        <v>69.52</v>
      </c>
      <c r="E2940">
        <v>210</v>
      </c>
      <c r="F2940">
        <v>64</v>
      </c>
      <c r="G2940">
        <v>27</v>
      </c>
      <c r="H2940">
        <v>1</v>
      </c>
      <c r="I2940">
        <v>185</v>
      </c>
      <c r="J2940">
        <v>1</v>
      </c>
      <c r="K2940">
        <v>1</v>
      </c>
      <c r="L2940">
        <v>208</v>
      </c>
      <c r="M2940">
        <v>1</v>
      </c>
      <c r="N2940">
        <v>2.1780899999999998E-77</v>
      </c>
      <c r="O2940">
        <v>728</v>
      </c>
    </row>
    <row r="2941" spans="1:15" x14ac:dyDescent="0.25">
      <c r="A2941" t="s">
        <v>2954</v>
      </c>
      <c r="B2941">
        <v>278</v>
      </c>
      <c r="C2941" s="1" t="str">
        <f>HYPERLINK("http://www.rosaceae.org/gb/gbrowse/malus_x_domestica/?name=MDP0000494976","MDP0000494976")</f>
        <v>MDP0000494976</v>
      </c>
      <c r="D2941">
        <v>81.02</v>
      </c>
      <c r="E2941">
        <v>253</v>
      </c>
      <c r="F2941">
        <v>48</v>
      </c>
      <c r="G2941">
        <v>0</v>
      </c>
      <c r="H2941">
        <v>25</v>
      </c>
      <c r="I2941">
        <v>277</v>
      </c>
      <c r="J2941">
        <v>1</v>
      </c>
      <c r="K2941">
        <v>96</v>
      </c>
      <c r="L2941">
        <v>348</v>
      </c>
      <c r="M2941">
        <v>1</v>
      </c>
      <c r="N2941">
        <v>1.96992E-122</v>
      </c>
      <c r="O2941">
        <v>1119</v>
      </c>
    </row>
    <row r="2942" spans="1:15" x14ac:dyDescent="0.25">
      <c r="A2942" t="s">
        <v>2955</v>
      </c>
      <c r="B2942">
        <v>561</v>
      </c>
      <c r="C2942" s="1" t="str">
        <f>HYPERLINK("http://www.rosaceae.org/gb/gbrowse/malus_x_domestica/?name=MDP0000322290","MDP0000322290")</f>
        <v>MDP0000322290</v>
      </c>
      <c r="D2942">
        <v>54.69</v>
      </c>
      <c r="E2942">
        <v>181</v>
      </c>
      <c r="F2942">
        <v>82</v>
      </c>
      <c r="G2942">
        <v>10</v>
      </c>
      <c r="H2942">
        <v>1</v>
      </c>
      <c r="I2942">
        <v>176</v>
      </c>
      <c r="J2942">
        <v>1</v>
      </c>
      <c r="K2942">
        <v>1</v>
      </c>
      <c r="L2942">
        <v>176</v>
      </c>
      <c r="M2942">
        <v>1</v>
      </c>
      <c r="N2942">
        <v>7.9648199999999995E-49</v>
      </c>
      <c r="O2942">
        <v>488</v>
      </c>
    </row>
    <row r="2943" spans="1:15" x14ac:dyDescent="0.25">
      <c r="A2943" t="s">
        <v>2956</v>
      </c>
      <c r="B2943">
        <v>319</v>
      </c>
      <c r="C2943" s="1" t="str">
        <f>HYPERLINK("http://www.rosaceae.org/gb/gbrowse/malus_x_domestica/?name=MDP0000770103","MDP0000770103")</f>
        <v>MDP0000770103</v>
      </c>
      <c r="D2943">
        <v>78.430000000000007</v>
      </c>
      <c r="E2943">
        <v>320</v>
      </c>
      <c r="F2943">
        <v>69</v>
      </c>
      <c r="G2943">
        <v>3</v>
      </c>
      <c r="H2943">
        <v>1</v>
      </c>
      <c r="I2943">
        <v>319</v>
      </c>
      <c r="J2943">
        <v>1</v>
      </c>
      <c r="K2943">
        <v>1</v>
      </c>
      <c r="L2943">
        <v>318</v>
      </c>
      <c r="M2943">
        <v>1</v>
      </c>
      <c r="N2943">
        <v>6.0880900000000003E-147</v>
      </c>
      <c r="O2943">
        <v>1332</v>
      </c>
    </row>
    <row r="2944" spans="1:15" x14ac:dyDescent="0.25">
      <c r="A2944" t="s">
        <v>2957</v>
      </c>
      <c r="B2944">
        <v>478</v>
      </c>
      <c r="C2944" s="1" t="str">
        <f>HYPERLINK("http://www.rosaceae.org/gb/gbrowse/malus_x_domestica/?name=MDP0000386318","MDP0000386318")</f>
        <v>MDP0000386318</v>
      </c>
      <c r="D2944">
        <v>74.89</v>
      </c>
      <c r="E2944">
        <v>478</v>
      </c>
      <c r="F2944">
        <v>120</v>
      </c>
      <c r="G2944">
        <v>2</v>
      </c>
      <c r="H2944">
        <v>1</v>
      </c>
      <c r="I2944">
        <v>478</v>
      </c>
      <c r="J2944">
        <v>1</v>
      </c>
      <c r="K2944">
        <v>1</v>
      </c>
      <c r="L2944">
        <v>476</v>
      </c>
      <c r="M2944">
        <v>1</v>
      </c>
      <c r="N2944">
        <v>0</v>
      </c>
      <c r="O2944">
        <v>1900</v>
      </c>
    </row>
    <row r="2945" spans="1:15" x14ac:dyDescent="0.25">
      <c r="A2945" t="s">
        <v>2958</v>
      </c>
      <c r="B2945">
        <v>589</v>
      </c>
      <c r="C2945" s="1" t="str">
        <f>HYPERLINK("http://www.rosaceae.org/gb/gbrowse/malus_x_domestica/?name=MDP0000132340","MDP0000132340")</f>
        <v>MDP0000132340</v>
      </c>
      <c r="D2945">
        <v>52.87</v>
      </c>
      <c r="E2945">
        <v>435</v>
      </c>
      <c r="F2945">
        <v>205</v>
      </c>
      <c r="G2945">
        <v>42</v>
      </c>
      <c r="H2945">
        <v>2</v>
      </c>
      <c r="I2945">
        <v>398</v>
      </c>
      <c r="J2945">
        <v>1</v>
      </c>
      <c r="K2945">
        <v>11</v>
      </c>
      <c r="L2945">
        <v>441</v>
      </c>
      <c r="M2945">
        <v>1</v>
      </c>
      <c r="N2945">
        <v>8.6019499999999997E-106</v>
      </c>
      <c r="O2945">
        <v>980</v>
      </c>
    </row>
    <row r="2946" spans="1:15" x14ac:dyDescent="0.25">
      <c r="A2946" t="s">
        <v>2959</v>
      </c>
      <c r="B2946">
        <v>380</v>
      </c>
      <c r="C2946" s="1" t="str">
        <f>HYPERLINK("http://www.rosaceae.org/gb/gbrowse/malus_x_domestica/?name=MDP0000262916","MDP0000262916")</f>
        <v>MDP0000262916</v>
      </c>
      <c r="D2946">
        <v>30.63</v>
      </c>
      <c r="E2946">
        <v>111</v>
      </c>
      <c r="F2946">
        <v>77</v>
      </c>
      <c r="G2946">
        <v>2</v>
      </c>
      <c r="H2946">
        <v>147</v>
      </c>
      <c r="I2946">
        <v>257</v>
      </c>
      <c r="J2946">
        <v>1</v>
      </c>
      <c r="K2946">
        <v>2</v>
      </c>
      <c r="L2946">
        <v>110</v>
      </c>
      <c r="M2946">
        <v>1</v>
      </c>
      <c r="N2946">
        <v>6.1861200000000001E-7</v>
      </c>
      <c r="O2946">
        <v>125</v>
      </c>
    </row>
    <row r="2947" spans="1:15" x14ac:dyDescent="0.25">
      <c r="A2947" t="s">
        <v>2960</v>
      </c>
      <c r="B2947">
        <v>207</v>
      </c>
      <c r="C2947" s="1" t="str">
        <f>HYPERLINK("http://www.rosaceae.org/gb/gbrowse/malus_x_domestica/?name=MDP0000943094","MDP0000943094")</f>
        <v>MDP0000943094</v>
      </c>
      <c r="D2947">
        <v>61.69</v>
      </c>
      <c r="E2947">
        <v>201</v>
      </c>
      <c r="F2947">
        <v>77</v>
      </c>
      <c r="G2947">
        <v>15</v>
      </c>
      <c r="H2947">
        <v>17</v>
      </c>
      <c r="I2947">
        <v>206</v>
      </c>
      <c r="J2947">
        <v>1</v>
      </c>
      <c r="K2947">
        <v>14</v>
      </c>
      <c r="L2947">
        <v>210</v>
      </c>
      <c r="M2947">
        <v>1</v>
      </c>
      <c r="N2947">
        <v>2.3869999999999998E-58</v>
      </c>
      <c r="O2947">
        <v>565</v>
      </c>
    </row>
    <row r="2948" spans="1:15" x14ac:dyDescent="0.25">
      <c r="A2948" t="s">
        <v>2961</v>
      </c>
      <c r="B2948">
        <v>296</v>
      </c>
      <c r="C2948" s="1" t="str">
        <f>HYPERLINK("http://www.rosaceae.org/gb/gbrowse/malus_x_domestica/?name=MDP0000711774","MDP0000711774")</f>
        <v>MDP0000711774</v>
      </c>
      <c r="D2948">
        <v>58.79</v>
      </c>
      <c r="E2948">
        <v>216</v>
      </c>
      <c r="F2948">
        <v>89</v>
      </c>
      <c r="G2948">
        <v>27</v>
      </c>
      <c r="H2948">
        <v>14</v>
      </c>
      <c r="I2948">
        <v>204</v>
      </c>
      <c r="J2948">
        <v>1</v>
      </c>
      <c r="K2948">
        <v>12</v>
      </c>
      <c r="L2948">
        <v>225</v>
      </c>
      <c r="M2948">
        <v>1</v>
      </c>
      <c r="N2948">
        <v>6.5485200000000002E-54</v>
      </c>
      <c r="O2948">
        <v>529</v>
      </c>
    </row>
    <row r="2949" spans="1:15" x14ac:dyDescent="0.25">
      <c r="A2949" t="s">
        <v>2962</v>
      </c>
      <c r="B2949">
        <v>633</v>
      </c>
      <c r="C2949" s="1" t="str">
        <f>HYPERLINK("http://www.rosaceae.org/gb/gbrowse/malus_x_domestica/?name=MDP0000235002","MDP0000235002")</f>
        <v>MDP0000235002</v>
      </c>
      <c r="D2949">
        <v>60.47</v>
      </c>
      <c r="E2949">
        <v>635</v>
      </c>
      <c r="F2949">
        <v>251</v>
      </c>
      <c r="G2949">
        <v>17</v>
      </c>
      <c r="H2949">
        <v>1</v>
      </c>
      <c r="I2949">
        <v>620</v>
      </c>
      <c r="J2949">
        <v>1</v>
      </c>
      <c r="K2949">
        <v>1</v>
      </c>
      <c r="L2949">
        <v>633</v>
      </c>
      <c r="M2949">
        <v>1</v>
      </c>
      <c r="N2949">
        <v>0</v>
      </c>
      <c r="O2949">
        <v>1954</v>
      </c>
    </row>
    <row r="2950" spans="1:15" x14ac:dyDescent="0.25">
      <c r="A2950" t="s">
        <v>2963</v>
      </c>
      <c r="B2950">
        <v>440</v>
      </c>
      <c r="C2950" s="1" t="str">
        <f>HYPERLINK("http://www.rosaceae.org/gb/gbrowse/malus_x_domestica/?name=MDP0000139404","MDP0000139404")</f>
        <v>MDP0000139404</v>
      </c>
      <c r="D2950">
        <v>87.94</v>
      </c>
      <c r="E2950">
        <v>282</v>
      </c>
      <c r="F2950">
        <v>34</v>
      </c>
      <c r="G2950">
        <v>10</v>
      </c>
      <c r="H2950">
        <v>151</v>
      </c>
      <c r="I2950">
        <v>422</v>
      </c>
      <c r="J2950">
        <v>1</v>
      </c>
      <c r="K2950">
        <v>1</v>
      </c>
      <c r="L2950">
        <v>282</v>
      </c>
      <c r="M2950">
        <v>1</v>
      </c>
      <c r="N2950">
        <v>1.45179E-144</v>
      </c>
      <c r="O2950">
        <v>1313</v>
      </c>
    </row>
    <row r="2951" spans="1:15" x14ac:dyDescent="0.25">
      <c r="A2951" t="s">
        <v>2964</v>
      </c>
      <c r="B2951">
        <v>310</v>
      </c>
      <c r="C2951" s="1" t="str">
        <f>HYPERLINK("http://www.rosaceae.org/gb/gbrowse/malus_x_domestica/?name=MDP0000282770","MDP0000282770")</f>
        <v>MDP0000282770</v>
      </c>
      <c r="D2951">
        <v>86</v>
      </c>
      <c r="E2951">
        <v>300</v>
      </c>
      <c r="F2951">
        <v>42</v>
      </c>
      <c r="G2951">
        <v>0</v>
      </c>
      <c r="H2951">
        <v>9</v>
      </c>
      <c r="I2951">
        <v>308</v>
      </c>
      <c r="J2951">
        <v>1</v>
      </c>
      <c r="K2951">
        <v>239</v>
      </c>
      <c r="L2951">
        <v>538</v>
      </c>
      <c r="M2951">
        <v>1</v>
      </c>
      <c r="N2951">
        <v>1.5998599999999999E-149</v>
      </c>
      <c r="O2951">
        <v>1354</v>
      </c>
    </row>
    <row r="2952" spans="1:15" x14ac:dyDescent="0.25">
      <c r="A2952" t="s">
        <v>2965</v>
      </c>
      <c r="B2952">
        <v>368</v>
      </c>
      <c r="C2952" s="1" t="str">
        <f>HYPERLINK("http://www.rosaceae.org/gb/gbrowse/malus_x_domestica/?name=MDP0000266454","MDP0000266454")</f>
        <v>MDP0000266454</v>
      </c>
      <c r="D2952">
        <v>65.11</v>
      </c>
      <c r="E2952">
        <v>43</v>
      </c>
      <c r="F2952">
        <v>15</v>
      </c>
      <c r="G2952">
        <v>1</v>
      </c>
      <c r="H2952">
        <v>112</v>
      </c>
      <c r="I2952">
        <v>153</v>
      </c>
      <c r="J2952">
        <v>1</v>
      </c>
      <c r="K2952">
        <v>290</v>
      </c>
      <c r="L2952">
        <v>332</v>
      </c>
      <c r="M2952">
        <v>1</v>
      </c>
      <c r="N2952">
        <v>3.0340599999999998E-8</v>
      </c>
      <c r="O2952">
        <v>136</v>
      </c>
    </row>
    <row r="2953" spans="1:15" x14ac:dyDescent="0.25">
      <c r="A2953" t="s">
        <v>2966</v>
      </c>
      <c r="B2953">
        <v>370</v>
      </c>
      <c r="C2953" s="1" t="str">
        <f>HYPERLINK("http://www.rosaceae.org/gb/gbrowse/malus_x_domestica/?name=MDP0000144730","MDP0000144730")</f>
        <v>MDP0000144730</v>
      </c>
      <c r="D2953">
        <v>57.6</v>
      </c>
      <c r="E2953">
        <v>375</v>
      </c>
      <c r="F2953">
        <v>159</v>
      </c>
      <c r="G2953">
        <v>34</v>
      </c>
      <c r="H2953">
        <v>3</v>
      </c>
      <c r="I2953">
        <v>370</v>
      </c>
      <c r="J2953">
        <v>1</v>
      </c>
      <c r="K2953">
        <v>561</v>
      </c>
      <c r="L2953">
        <v>908</v>
      </c>
      <c r="M2953">
        <v>1</v>
      </c>
      <c r="N2953">
        <v>7.00576E-112</v>
      </c>
      <c r="O2953">
        <v>1030</v>
      </c>
    </row>
    <row r="2954" spans="1:15" x14ac:dyDescent="0.25">
      <c r="A2954" t="s">
        <v>2967</v>
      </c>
      <c r="B2954">
        <v>461</v>
      </c>
      <c r="C2954" s="1" t="str">
        <f>HYPERLINK("http://www.rosaceae.org/gb/gbrowse/malus_x_domestica/?name=MDP0000762895","MDP0000762895")</f>
        <v>MDP0000762895</v>
      </c>
      <c r="D2954">
        <v>82.72</v>
      </c>
      <c r="E2954">
        <v>463</v>
      </c>
      <c r="F2954">
        <v>80</v>
      </c>
      <c r="G2954">
        <v>5</v>
      </c>
      <c r="H2954">
        <v>1</v>
      </c>
      <c r="I2954">
        <v>461</v>
      </c>
      <c r="J2954">
        <v>1</v>
      </c>
      <c r="K2954">
        <v>1</v>
      </c>
      <c r="L2954">
        <v>460</v>
      </c>
      <c r="M2954">
        <v>1</v>
      </c>
      <c r="N2954">
        <v>0</v>
      </c>
      <c r="O2954">
        <v>2048</v>
      </c>
    </row>
    <row r="2955" spans="1:15" x14ac:dyDescent="0.25">
      <c r="A2955" t="s">
        <v>2968</v>
      </c>
      <c r="B2955">
        <v>152</v>
      </c>
      <c r="C2955" s="1" t="str">
        <f>HYPERLINK("http://www.rosaceae.org/gb/gbrowse/malus_x_domestica/?name=MDP0000694976","MDP0000694976")</f>
        <v>MDP0000694976</v>
      </c>
      <c r="D2955">
        <v>35.33</v>
      </c>
      <c r="E2955">
        <v>133</v>
      </c>
      <c r="F2955">
        <v>86</v>
      </c>
      <c r="G2955">
        <v>41</v>
      </c>
      <c r="H2955">
        <v>25</v>
      </c>
      <c r="I2955">
        <v>149</v>
      </c>
      <c r="J2955">
        <v>1</v>
      </c>
      <c r="K2955">
        <v>1</v>
      </c>
      <c r="L2955">
        <v>100</v>
      </c>
      <c r="M2955">
        <v>1</v>
      </c>
      <c r="N2955">
        <v>5.1144800000000001E-10</v>
      </c>
      <c r="O2955">
        <v>146</v>
      </c>
    </row>
    <row r="2956" spans="1:15" x14ac:dyDescent="0.25">
      <c r="A2956" t="s">
        <v>2969</v>
      </c>
      <c r="B2956">
        <v>521</v>
      </c>
      <c r="C2956" s="1" t="str">
        <f>HYPERLINK("http://www.rosaceae.org/gb/gbrowse/malus_x_domestica/?name=MDP0000190369","MDP0000190369")</f>
        <v>MDP0000190369</v>
      </c>
      <c r="D2956">
        <v>39.340000000000003</v>
      </c>
      <c r="E2956">
        <v>305</v>
      </c>
      <c r="F2956">
        <v>185</v>
      </c>
      <c r="G2956">
        <v>60</v>
      </c>
      <c r="H2956">
        <v>208</v>
      </c>
      <c r="I2956">
        <v>458</v>
      </c>
      <c r="J2956">
        <v>1</v>
      </c>
      <c r="K2956">
        <v>685</v>
      </c>
      <c r="L2956">
        <v>983</v>
      </c>
      <c r="M2956">
        <v>1</v>
      </c>
      <c r="N2956">
        <v>1.3456000000000001E-42</v>
      </c>
      <c r="O2956">
        <v>434</v>
      </c>
    </row>
    <row r="2957" spans="1:15" x14ac:dyDescent="0.25">
      <c r="A2957" t="s">
        <v>2970</v>
      </c>
      <c r="B2957">
        <v>161</v>
      </c>
      <c r="C2957" s="1" t="str">
        <f>HYPERLINK("http://www.rosaceae.org/gb/gbrowse/malus_x_domestica/?name=MDP0000168272","MDP0000168272")</f>
        <v>MDP0000168272</v>
      </c>
      <c r="D2957">
        <v>72.25</v>
      </c>
      <c r="E2957">
        <v>155</v>
      </c>
      <c r="F2957">
        <v>43</v>
      </c>
      <c r="G2957">
        <v>1</v>
      </c>
      <c r="H2957">
        <v>5</v>
      </c>
      <c r="I2957">
        <v>158</v>
      </c>
      <c r="J2957">
        <v>1</v>
      </c>
      <c r="K2957">
        <v>141</v>
      </c>
      <c r="L2957">
        <v>295</v>
      </c>
      <c r="M2957">
        <v>1</v>
      </c>
      <c r="N2957">
        <v>1.0779099999999999E-58</v>
      </c>
      <c r="O2957">
        <v>566</v>
      </c>
    </row>
    <row r="2958" spans="1:15" x14ac:dyDescent="0.25">
      <c r="A2958" t="s">
        <v>2971</v>
      </c>
      <c r="B2958">
        <v>270</v>
      </c>
      <c r="C2958" s="1" t="str">
        <f>HYPERLINK("http://www.rosaceae.org/gb/gbrowse/malus_x_domestica/?name=MDP0000290170","MDP0000290170")</f>
        <v>MDP0000290170</v>
      </c>
      <c r="D2958">
        <v>70.98</v>
      </c>
      <c r="E2958">
        <v>255</v>
      </c>
      <c r="F2958">
        <v>74</v>
      </c>
      <c r="G2958">
        <v>5</v>
      </c>
      <c r="H2958">
        <v>14</v>
      </c>
      <c r="I2958">
        <v>266</v>
      </c>
      <c r="J2958">
        <v>1</v>
      </c>
      <c r="K2958">
        <v>21</v>
      </c>
      <c r="L2958">
        <v>272</v>
      </c>
      <c r="M2958">
        <v>1</v>
      </c>
      <c r="N2958">
        <v>5.2356899999999997E-101</v>
      </c>
      <c r="O2958">
        <v>934</v>
      </c>
    </row>
    <row r="2959" spans="1:15" x14ac:dyDescent="0.25">
      <c r="A2959" t="s">
        <v>2972</v>
      </c>
      <c r="B2959">
        <v>283</v>
      </c>
      <c r="C2959" s="1" t="str">
        <f>HYPERLINK("http://www.rosaceae.org/gb/gbrowse/malus_x_domestica/?name=MDP0000319460","MDP0000319460")</f>
        <v>MDP0000319460</v>
      </c>
      <c r="D2959">
        <v>52.41</v>
      </c>
      <c r="E2959">
        <v>248</v>
      </c>
      <c r="F2959">
        <v>118</v>
      </c>
      <c r="G2959">
        <v>15</v>
      </c>
      <c r="H2959">
        <v>31</v>
      </c>
      <c r="I2959">
        <v>269</v>
      </c>
      <c r="J2959">
        <v>1</v>
      </c>
      <c r="K2959">
        <v>31</v>
      </c>
      <c r="L2959">
        <v>272</v>
      </c>
      <c r="M2959">
        <v>1</v>
      </c>
      <c r="N2959">
        <v>1.8671899999999999E-58</v>
      </c>
      <c r="O2959">
        <v>568</v>
      </c>
    </row>
    <row r="2960" spans="1:15" x14ac:dyDescent="0.25">
      <c r="A2960" t="s">
        <v>2973</v>
      </c>
      <c r="B2960">
        <v>246</v>
      </c>
      <c r="C2960" s="1" t="str">
        <f>HYPERLINK("http://www.rosaceae.org/gb/gbrowse/malus_x_domestica/?name=MDP0000148817","MDP0000148817")</f>
        <v>MDP0000148817</v>
      </c>
      <c r="D2960">
        <v>47.82</v>
      </c>
      <c r="E2960">
        <v>253</v>
      </c>
      <c r="F2960">
        <v>132</v>
      </c>
      <c r="G2960">
        <v>52</v>
      </c>
      <c r="H2960">
        <v>4</v>
      </c>
      <c r="I2960">
        <v>246</v>
      </c>
      <c r="J2960">
        <v>1</v>
      </c>
      <c r="K2960">
        <v>3</v>
      </c>
      <c r="L2960">
        <v>213</v>
      </c>
      <c r="M2960">
        <v>1</v>
      </c>
      <c r="N2960">
        <v>6.0570200000000003E-53</v>
      </c>
      <c r="O2960">
        <v>519</v>
      </c>
    </row>
    <row r="2961" spans="1:15" x14ac:dyDescent="0.25">
      <c r="A2961" t="s">
        <v>2974</v>
      </c>
      <c r="B2961">
        <v>147</v>
      </c>
      <c r="C2961" s="1" t="str">
        <f>HYPERLINK("http://www.rosaceae.org/gb/gbrowse/malus_x_domestica/?name=MDP0000546169","MDP0000546169")</f>
        <v>MDP0000546169</v>
      </c>
      <c r="D2961">
        <v>67.64</v>
      </c>
      <c r="E2961">
        <v>170</v>
      </c>
      <c r="F2961">
        <v>55</v>
      </c>
      <c r="G2961">
        <v>25</v>
      </c>
      <c r="H2961">
        <v>1</v>
      </c>
      <c r="I2961">
        <v>145</v>
      </c>
      <c r="J2961">
        <v>1</v>
      </c>
      <c r="K2961">
        <v>1</v>
      </c>
      <c r="L2961">
        <v>170</v>
      </c>
      <c r="M2961">
        <v>1</v>
      </c>
      <c r="N2961">
        <v>8.7726399999999995E-54</v>
      </c>
      <c r="O2961">
        <v>523</v>
      </c>
    </row>
    <row r="2962" spans="1:15" x14ac:dyDescent="0.25">
      <c r="A2962" t="s">
        <v>2975</v>
      </c>
      <c r="B2962">
        <v>268</v>
      </c>
      <c r="C2962" s="1" t="str">
        <f>HYPERLINK("http://www.rosaceae.org/gb/gbrowse/malus_x_domestica/?name=MDP0000272138","MDP0000272138")</f>
        <v>MDP0000272138</v>
      </c>
      <c r="D2962">
        <v>52.43</v>
      </c>
      <c r="E2962">
        <v>82</v>
      </c>
      <c r="F2962">
        <v>39</v>
      </c>
      <c r="G2962">
        <v>3</v>
      </c>
      <c r="H2962">
        <v>190</v>
      </c>
      <c r="I2962">
        <v>268</v>
      </c>
      <c r="J2962">
        <v>1</v>
      </c>
      <c r="K2962">
        <v>199</v>
      </c>
      <c r="L2962">
        <v>280</v>
      </c>
      <c r="M2962">
        <v>1</v>
      </c>
      <c r="N2962">
        <v>1.7641299999999999E-13</v>
      </c>
      <c r="O2962">
        <v>180</v>
      </c>
    </row>
    <row r="2963" spans="1:15" x14ac:dyDescent="0.25">
      <c r="A2963" t="s">
        <v>2976</v>
      </c>
      <c r="B2963">
        <v>203</v>
      </c>
      <c r="C2963" s="1" t="str">
        <f>HYPERLINK("http://www.rosaceae.org/gb/gbrowse/malus_x_domestica/?name=MDP0000297049","MDP0000297049")</f>
        <v>MDP0000297049</v>
      </c>
      <c r="D2963">
        <v>65.92</v>
      </c>
      <c r="E2963">
        <v>179</v>
      </c>
      <c r="F2963">
        <v>61</v>
      </c>
      <c r="G2963">
        <v>9</v>
      </c>
      <c r="H2963">
        <v>10</v>
      </c>
      <c r="I2963">
        <v>179</v>
      </c>
      <c r="J2963">
        <v>1</v>
      </c>
      <c r="K2963">
        <v>385</v>
      </c>
      <c r="L2963">
        <v>563</v>
      </c>
      <c r="M2963">
        <v>1</v>
      </c>
      <c r="N2963">
        <v>2.74501E-67</v>
      </c>
      <c r="O2963">
        <v>642</v>
      </c>
    </row>
    <row r="2964" spans="1:15" x14ac:dyDescent="0.25">
      <c r="A2964" t="s">
        <v>2977</v>
      </c>
      <c r="B2964">
        <v>441</v>
      </c>
      <c r="C2964" s="1" t="str">
        <f>HYPERLINK("http://www.rosaceae.org/gb/gbrowse/malus_x_domestica/?name=MDP0000151511","MDP0000151511")</f>
        <v>MDP0000151511</v>
      </c>
      <c r="D2964">
        <v>91.82</v>
      </c>
      <c r="E2964">
        <v>416</v>
      </c>
      <c r="F2964">
        <v>34</v>
      </c>
      <c r="G2964">
        <v>1</v>
      </c>
      <c r="H2964">
        <v>27</v>
      </c>
      <c r="I2964">
        <v>441</v>
      </c>
      <c r="J2964">
        <v>1</v>
      </c>
      <c r="K2964">
        <v>4</v>
      </c>
      <c r="L2964">
        <v>419</v>
      </c>
      <c r="M2964">
        <v>1</v>
      </c>
      <c r="N2964">
        <v>0</v>
      </c>
      <c r="O2964">
        <v>2043</v>
      </c>
    </row>
    <row r="2965" spans="1:15" x14ac:dyDescent="0.25">
      <c r="A2965" t="s">
        <v>2978</v>
      </c>
      <c r="B2965">
        <v>496</v>
      </c>
      <c r="C2965" s="1" t="str">
        <f>HYPERLINK("http://www.rosaceae.org/gb/gbrowse/malus_x_domestica/?name=MDP0000193684","MDP0000193684")</f>
        <v>MDP0000193684</v>
      </c>
      <c r="D2965">
        <v>51.99</v>
      </c>
      <c r="E2965">
        <v>452</v>
      </c>
      <c r="F2965">
        <v>217</v>
      </c>
      <c r="G2965">
        <v>32</v>
      </c>
      <c r="H2965">
        <v>59</v>
      </c>
      <c r="I2965">
        <v>495</v>
      </c>
      <c r="J2965">
        <v>1</v>
      </c>
      <c r="K2965">
        <v>927</v>
      </c>
      <c r="L2965">
        <v>1361</v>
      </c>
      <c r="M2965">
        <v>1</v>
      </c>
      <c r="N2965">
        <v>1.2347999999999999E-123</v>
      </c>
      <c r="O2965">
        <v>1133</v>
      </c>
    </row>
    <row r="2966" spans="1:15" x14ac:dyDescent="0.25">
      <c r="A2966" t="s">
        <v>2979</v>
      </c>
      <c r="B2966">
        <v>1064</v>
      </c>
      <c r="C2966" s="1" t="str">
        <f>HYPERLINK("http://www.rosaceae.org/gb/gbrowse/malus_x_domestica/?name=MDP0000296717","MDP0000296717")</f>
        <v>MDP0000296717</v>
      </c>
      <c r="D2966">
        <v>66.03</v>
      </c>
      <c r="E2966">
        <v>1107</v>
      </c>
      <c r="F2966">
        <v>376</v>
      </c>
      <c r="G2966">
        <v>167</v>
      </c>
      <c r="H2966">
        <v>25</v>
      </c>
      <c r="I2966">
        <v>1064</v>
      </c>
      <c r="J2966">
        <v>1</v>
      </c>
      <c r="K2966">
        <v>553</v>
      </c>
      <c r="L2966">
        <v>1559</v>
      </c>
      <c r="M2966">
        <v>1</v>
      </c>
      <c r="N2966">
        <v>0</v>
      </c>
      <c r="O2966">
        <v>3507</v>
      </c>
    </row>
    <row r="2967" spans="1:15" x14ac:dyDescent="0.25">
      <c r="A2967" t="s">
        <v>2980</v>
      </c>
      <c r="B2967">
        <v>754</v>
      </c>
      <c r="C2967" s="1" t="str">
        <f>HYPERLINK("http://www.rosaceae.org/gb/gbrowse/malus_x_domestica/?name=MDP0000194307","MDP0000194307")</f>
        <v>MDP0000194307</v>
      </c>
      <c r="D2967">
        <v>79.37</v>
      </c>
      <c r="E2967">
        <v>703</v>
      </c>
      <c r="F2967">
        <v>145</v>
      </c>
      <c r="G2967">
        <v>5</v>
      </c>
      <c r="H2967">
        <v>38</v>
      </c>
      <c r="I2967">
        <v>735</v>
      </c>
      <c r="J2967">
        <v>1</v>
      </c>
      <c r="K2967">
        <v>452</v>
      </c>
      <c r="L2967">
        <v>1154</v>
      </c>
      <c r="M2967">
        <v>1</v>
      </c>
      <c r="N2967">
        <v>0</v>
      </c>
      <c r="O2967">
        <v>3000</v>
      </c>
    </row>
    <row r="2968" spans="1:15" x14ac:dyDescent="0.25">
      <c r="A2968" t="s">
        <v>2981</v>
      </c>
      <c r="B2968">
        <v>365</v>
      </c>
      <c r="C2968" s="1" t="str">
        <f>HYPERLINK("http://www.rosaceae.org/gb/gbrowse/malus_x_domestica/?name=MDP0000165285","MDP0000165285")</f>
        <v>MDP0000165285</v>
      </c>
      <c r="D2968">
        <v>50</v>
      </c>
      <c r="E2968">
        <v>314</v>
      </c>
      <c r="F2968">
        <v>157</v>
      </c>
      <c r="G2968">
        <v>53</v>
      </c>
      <c r="H2968">
        <v>14</v>
      </c>
      <c r="I2968">
        <v>295</v>
      </c>
      <c r="J2968">
        <v>1</v>
      </c>
      <c r="K2968">
        <v>10</v>
      </c>
      <c r="L2968">
        <v>302</v>
      </c>
      <c r="M2968">
        <v>1</v>
      </c>
      <c r="N2968">
        <v>6.9159899999999997E-62</v>
      </c>
      <c r="O2968">
        <v>599</v>
      </c>
    </row>
    <row r="2969" spans="1:15" x14ac:dyDescent="0.25">
      <c r="A2969" t="s">
        <v>2982</v>
      </c>
      <c r="B2969">
        <v>603</v>
      </c>
      <c r="C2969" s="1" t="str">
        <f>HYPERLINK("http://www.rosaceae.org/gb/gbrowse/malus_x_domestica/?name=MDP0000811085","MDP0000811085")</f>
        <v>MDP0000811085</v>
      </c>
      <c r="D2969">
        <v>40.94</v>
      </c>
      <c r="E2969">
        <v>359</v>
      </c>
      <c r="F2969">
        <v>212</v>
      </c>
      <c r="G2969">
        <v>46</v>
      </c>
      <c r="H2969">
        <v>124</v>
      </c>
      <c r="I2969">
        <v>444</v>
      </c>
      <c r="J2969">
        <v>1</v>
      </c>
      <c r="K2969">
        <v>28</v>
      </c>
      <c r="L2969">
        <v>378</v>
      </c>
      <c r="M2969">
        <v>1</v>
      </c>
      <c r="N2969">
        <v>3.8294499999999998E-61</v>
      </c>
      <c r="O2969">
        <v>595</v>
      </c>
    </row>
    <row r="2970" spans="1:15" x14ac:dyDescent="0.25">
      <c r="A2970" t="s">
        <v>2983</v>
      </c>
      <c r="B2970">
        <v>504</v>
      </c>
      <c r="C2970" s="1" t="str">
        <f>HYPERLINK("http://www.rosaceae.org/gb/gbrowse/malus_x_domestica/?name=MDP0000426862","MDP0000426862")</f>
        <v>MDP0000426862</v>
      </c>
      <c r="D2970">
        <v>62.88</v>
      </c>
      <c r="E2970">
        <v>493</v>
      </c>
      <c r="F2970">
        <v>183</v>
      </c>
      <c r="G2970">
        <v>38</v>
      </c>
      <c r="H2970">
        <v>1</v>
      </c>
      <c r="I2970">
        <v>482</v>
      </c>
      <c r="J2970">
        <v>1</v>
      </c>
      <c r="K2970">
        <v>1</v>
      </c>
      <c r="L2970">
        <v>466</v>
      </c>
      <c r="M2970">
        <v>1</v>
      </c>
      <c r="N2970">
        <v>2.3452699999999998E-168</v>
      </c>
      <c r="O2970">
        <v>1518</v>
      </c>
    </row>
    <row r="2971" spans="1:15" x14ac:dyDescent="0.25">
      <c r="A2971" t="s">
        <v>2984</v>
      </c>
      <c r="B2971">
        <v>200</v>
      </c>
      <c r="C2971" s="1" t="str">
        <f>HYPERLINK("http://www.rosaceae.org/gb/gbrowse/malus_x_domestica/?name=MDP0000258167","MDP0000258167")</f>
        <v>MDP0000258167</v>
      </c>
      <c r="D2971">
        <v>95.45</v>
      </c>
      <c r="E2971">
        <v>44</v>
      </c>
      <c r="F2971">
        <v>2</v>
      </c>
      <c r="G2971">
        <v>0</v>
      </c>
      <c r="H2971">
        <v>155</v>
      </c>
      <c r="I2971">
        <v>198</v>
      </c>
      <c r="J2971">
        <v>1</v>
      </c>
      <c r="K2971">
        <v>38</v>
      </c>
      <c r="L2971">
        <v>81</v>
      </c>
      <c r="M2971">
        <v>1</v>
      </c>
      <c r="N2971">
        <v>2.2305000000000001E-21</v>
      </c>
      <c r="O2971">
        <v>246</v>
      </c>
    </row>
    <row r="2972" spans="1:15" x14ac:dyDescent="0.25">
      <c r="A2972" t="s">
        <v>2985</v>
      </c>
      <c r="B2972">
        <v>504</v>
      </c>
      <c r="C2972" s="1" t="str">
        <f>HYPERLINK("http://www.rosaceae.org/gb/gbrowse/malus_x_domestica/?name=MDP0000229348","MDP0000229348")</f>
        <v>MDP0000229348</v>
      </c>
      <c r="D2972">
        <v>89.08</v>
      </c>
      <c r="E2972">
        <v>504</v>
      </c>
      <c r="F2972">
        <v>55</v>
      </c>
      <c r="G2972">
        <v>0</v>
      </c>
      <c r="H2972">
        <v>1</v>
      </c>
      <c r="I2972">
        <v>504</v>
      </c>
      <c r="J2972">
        <v>1</v>
      </c>
      <c r="K2972">
        <v>1</v>
      </c>
      <c r="L2972">
        <v>504</v>
      </c>
      <c r="M2972">
        <v>1</v>
      </c>
      <c r="N2972">
        <v>0</v>
      </c>
      <c r="O2972">
        <v>2355</v>
      </c>
    </row>
    <row r="2973" spans="1:15" x14ac:dyDescent="0.25">
      <c r="A2973" t="s">
        <v>2986</v>
      </c>
      <c r="B2973">
        <v>2218</v>
      </c>
      <c r="C2973" s="1" t="str">
        <f>HYPERLINK("http://www.rosaceae.org/gb/gbrowse/malus_x_domestica/?name=MDP0000291802","MDP0000291802")</f>
        <v>MDP0000291802</v>
      </c>
      <c r="D2973">
        <v>63.51</v>
      </c>
      <c r="E2973">
        <v>1598</v>
      </c>
      <c r="F2973">
        <v>583</v>
      </c>
      <c r="G2973">
        <v>91</v>
      </c>
      <c r="H2973">
        <v>662</v>
      </c>
      <c r="I2973">
        <v>2205</v>
      </c>
      <c r="J2973">
        <v>1</v>
      </c>
      <c r="K2973">
        <v>525</v>
      </c>
      <c r="L2973">
        <v>2085</v>
      </c>
      <c r="M2973">
        <v>1</v>
      </c>
      <c r="N2973">
        <v>0</v>
      </c>
      <c r="O2973">
        <v>4949</v>
      </c>
    </row>
    <row r="2974" spans="1:15" x14ac:dyDescent="0.25">
      <c r="A2974" t="s">
        <v>2987</v>
      </c>
      <c r="B2974">
        <v>316</v>
      </c>
      <c r="C2974" s="1" t="str">
        <f>HYPERLINK("http://www.rosaceae.org/gb/gbrowse/malus_x_domestica/?name=MDP0000167239","MDP0000167239")</f>
        <v>MDP0000167239</v>
      </c>
      <c r="D2974">
        <v>67.8</v>
      </c>
      <c r="E2974">
        <v>323</v>
      </c>
      <c r="F2974">
        <v>104</v>
      </c>
      <c r="G2974">
        <v>30</v>
      </c>
      <c r="H2974">
        <v>5</v>
      </c>
      <c r="I2974">
        <v>316</v>
      </c>
      <c r="J2974">
        <v>1</v>
      </c>
      <c r="K2974">
        <v>11</v>
      </c>
      <c r="L2974">
        <v>314</v>
      </c>
      <c r="M2974">
        <v>1</v>
      </c>
      <c r="N2974">
        <v>8.9794799999999995E-111</v>
      </c>
      <c r="O2974">
        <v>1020</v>
      </c>
    </row>
    <row r="2975" spans="1:15" x14ac:dyDescent="0.25">
      <c r="A2975" t="s">
        <v>2988</v>
      </c>
      <c r="B2975">
        <v>379</v>
      </c>
      <c r="C2975" s="1" t="str">
        <f>HYPERLINK("http://www.rosaceae.org/gb/gbrowse/malus_x_domestica/?name=MDP0000188396","MDP0000188396")</f>
        <v>MDP0000188396</v>
      </c>
      <c r="D2975">
        <v>84.28</v>
      </c>
      <c r="E2975">
        <v>369</v>
      </c>
      <c r="F2975">
        <v>58</v>
      </c>
      <c r="G2975">
        <v>27</v>
      </c>
      <c r="H2975">
        <v>21</v>
      </c>
      <c r="I2975">
        <v>364</v>
      </c>
      <c r="J2975">
        <v>1</v>
      </c>
      <c r="K2975">
        <v>27</v>
      </c>
      <c r="L2975">
        <v>393</v>
      </c>
      <c r="M2975">
        <v>1</v>
      </c>
      <c r="N2975">
        <v>0</v>
      </c>
      <c r="O2975">
        <v>1629</v>
      </c>
    </row>
    <row r="2976" spans="1:15" x14ac:dyDescent="0.25">
      <c r="A2976" t="s">
        <v>2989</v>
      </c>
      <c r="B2976">
        <v>1063</v>
      </c>
      <c r="C2976" s="1" t="str">
        <f>HYPERLINK("http://www.rosaceae.org/gb/gbrowse/malus_x_domestica/?name=MDP0000279573","MDP0000279573")</f>
        <v>MDP0000279573</v>
      </c>
      <c r="D2976">
        <v>66.239999999999995</v>
      </c>
      <c r="E2976">
        <v>951</v>
      </c>
      <c r="F2976">
        <v>321</v>
      </c>
      <c r="G2976">
        <v>35</v>
      </c>
      <c r="H2976">
        <v>107</v>
      </c>
      <c r="I2976">
        <v>1049</v>
      </c>
      <c r="J2976">
        <v>1</v>
      </c>
      <c r="K2976">
        <v>205</v>
      </c>
      <c r="L2976">
        <v>1128</v>
      </c>
      <c r="M2976">
        <v>1</v>
      </c>
      <c r="N2976">
        <v>0</v>
      </c>
      <c r="O2976">
        <v>3313</v>
      </c>
    </row>
    <row r="2977" spans="1:15" x14ac:dyDescent="0.25">
      <c r="A2977" t="s">
        <v>2990</v>
      </c>
      <c r="B2977">
        <v>193</v>
      </c>
      <c r="C2977" s="1" t="str">
        <f>HYPERLINK("http://www.rosaceae.org/gb/gbrowse/malus_x_domestica/?name=MDP0000130786","MDP0000130786")</f>
        <v>MDP0000130786</v>
      </c>
      <c r="D2977">
        <v>54.23</v>
      </c>
      <c r="E2977">
        <v>59</v>
      </c>
      <c r="F2977">
        <v>27</v>
      </c>
      <c r="G2977">
        <v>0</v>
      </c>
      <c r="H2977">
        <v>98</v>
      </c>
      <c r="I2977">
        <v>156</v>
      </c>
      <c r="J2977">
        <v>1</v>
      </c>
      <c r="K2977">
        <v>5</v>
      </c>
      <c r="L2977">
        <v>63</v>
      </c>
      <c r="M2977">
        <v>1</v>
      </c>
      <c r="N2977">
        <v>1.1919399999999999E-9</v>
      </c>
      <c r="O2977">
        <v>145</v>
      </c>
    </row>
    <row r="2978" spans="1:15" x14ac:dyDescent="0.25">
      <c r="A2978" t="s">
        <v>2991</v>
      </c>
      <c r="B2978">
        <v>675</v>
      </c>
      <c r="C2978" s="1" t="str">
        <f>HYPERLINK("http://www.rosaceae.org/gb/gbrowse/malus_x_domestica/?name=MDP0000174264","MDP0000174264")</f>
        <v>MDP0000174264</v>
      </c>
      <c r="D2978">
        <v>80.48</v>
      </c>
      <c r="E2978">
        <v>492</v>
      </c>
      <c r="F2978">
        <v>96</v>
      </c>
      <c r="G2978">
        <v>1</v>
      </c>
      <c r="H2978">
        <v>185</v>
      </c>
      <c r="I2978">
        <v>675</v>
      </c>
      <c r="J2978">
        <v>1</v>
      </c>
      <c r="K2978">
        <v>1</v>
      </c>
      <c r="L2978">
        <v>492</v>
      </c>
      <c r="M2978">
        <v>1</v>
      </c>
      <c r="N2978">
        <v>0</v>
      </c>
      <c r="O2978">
        <v>2062</v>
      </c>
    </row>
    <row r="2979" spans="1:15" x14ac:dyDescent="0.25">
      <c r="A2979" t="s">
        <v>2992</v>
      </c>
      <c r="B2979">
        <v>322</v>
      </c>
      <c r="C2979" s="1" t="str">
        <f>HYPERLINK("http://www.rosaceae.org/gb/gbrowse/malus_x_domestica/?name=MDP0000240113","MDP0000240113")</f>
        <v>MDP0000240113</v>
      </c>
      <c r="D2979">
        <v>39.03</v>
      </c>
      <c r="E2979">
        <v>310</v>
      </c>
      <c r="F2979">
        <v>189</v>
      </c>
      <c r="G2979">
        <v>53</v>
      </c>
      <c r="H2979">
        <v>4</v>
      </c>
      <c r="I2979">
        <v>277</v>
      </c>
      <c r="J2979">
        <v>1</v>
      </c>
      <c r="K2979">
        <v>3</v>
      </c>
      <c r="L2979">
        <v>295</v>
      </c>
      <c r="M2979">
        <v>1</v>
      </c>
      <c r="N2979">
        <v>5.1182399999999998E-45</v>
      </c>
      <c r="O2979">
        <v>453</v>
      </c>
    </row>
    <row r="2980" spans="1:15" x14ac:dyDescent="0.25">
      <c r="A2980" t="s">
        <v>2993</v>
      </c>
      <c r="B2980">
        <v>371</v>
      </c>
      <c r="C2980" s="1" t="str">
        <f>HYPERLINK("http://www.rosaceae.org/gb/gbrowse/malus_x_domestica/?name=MDP0000264603","MDP0000264603")</f>
        <v>MDP0000264603</v>
      </c>
      <c r="D2980">
        <v>74.84</v>
      </c>
      <c r="E2980">
        <v>322</v>
      </c>
      <c r="F2980">
        <v>81</v>
      </c>
      <c r="G2980">
        <v>0</v>
      </c>
      <c r="H2980">
        <v>50</v>
      </c>
      <c r="I2980">
        <v>371</v>
      </c>
      <c r="J2980">
        <v>1</v>
      </c>
      <c r="K2980">
        <v>258</v>
      </c>
      <c r="L2980">
        <v>579</v>
      </c>
      <c r="M2980">
        <v>1</v>
      </c>
      <c r="N2980">
        <v>1.01274E-148</v>
      </c>
      <c r="O2980">
        <v>1348</v>
      </c>
    </row>
    <row r="2981" spans="1:15" x14ac:dyDescent="0.25">
      <c r="A2981" t="s">
        <v>2994</v>
      </c>
      <c r="B2981">
        <v>179</v>
      </c>
      <c r="C2981" s="1" t="str">
        <f>HYPERLINK("http://www.rosaceae.org/gb/gbrowse/malus_x_domestica/?name=MDP0000321866","MDP0000321866")</f>
        <v>MDP0000321866</v>
      </c>
      <c r="D2981">
        <v>31.41</v>
      </c>
      <c r="E2981">
        <v>156</v>
      </c>
      <c r="F2981">
        <v>107</v>
      </c>
      <c r="G2981">
        <v>7</v>
      </c>
      <c r="H2981">
        <v>28</v>
      </c>
      <c r="I2981">
        <v>179</v>
      </c>
      <c r="J2981">
        <v>1</v>
      </c>
      <c r="K2981">
        <v>133</v>
      </c>
      <c r="L2981">
        <v>285</v>
      </c>
      <c r="M2981">
        <v>1</v>
      </c>
      <c r="N2981">
        <v>2.09618E-13</v>
      </c>
      <c r="O2981">
        <v>176</v>
      </c>
    </row>
    <row r="2982" spans="1:15" x14ac:dyDescent="0.25">
      <c r="A2982" t="s">
        <v>2995</v>
      </c>
      <c r="B2982">
        <v>392</v>
      </c>
      <c r="C2982" s="1" t="str">
        <f>HYPERLINK("http://www.rosaceae.org/gb/gbrowse/malus_x_domestica/?name=MDP0000516623","MDP0000516623")</f>
        <v>MDP0000516623</v>
      </c>
      <c r="D2982">
        <v>79.14</v>
      </c>
      <c r="E2982">
        <v>398</v>
      </c>
      <c r="F2982">
        <v>83</v>
      </c>
      <c r="G2982">
        <v>6</v>
      </c>
      <c r="H2982">
        <v>1</v>
      </c>
      <c r="I2982">
        <v>392</v>
      </c>
      <c r="J2982">
        <v>1</v>
      </c>
      <c r="K2982">
        <v>1</v>
      </c>
      <c r="L2982">
        <v>398</v>
      </c>
      <c r="M2982">
        <v>1</v>
      </c>
      <c r="N2982">
        <v>0</v>
      </c>
      <c r="O2982">
        <v>1691</v>
      </c>
    </row>
    <row r="2983" spans="1:15" x14ac:dyDescent="0.25">
      <c r="A2983" t="s">
        <v>2996</v>
      </c>
      <c r="B2983">
        <v>250</v>
      </c>
      <c r="C2983" s="1" t="str">
        <f>HYPERLINK("http://www.rosaceae.org/gb/gbrowse/malus_x_domestica/?name=MDP0000158578","MDP0000158578")</f>
        <v>MDP0000158578</v>
      </c>
      <c r="D2983">
        <v>43.1</v>
      </c>
      <c r="E2983">
        <v>116</v>
      </c>
      <c r="F2983">
        <v>66</v>
      </c>
      <c r="G2983">
        <v>9</v>
      </c>
      <c r="H2983">
        <v>10</v>
      </c>
      <c r="I2983">
        <v>121</v>
      </c>
      <c r="J2983">
        <v>1</v>
      </c>
      <c r="K2983">
        <v>279</v>
      </c>
      <c r="L2983">
        <v>389</v>
      </c>
      <c r="M2983">
        <v>1</v>
      </c>
      <c r="N2983">
        <v>3.0972599999999998E-14</v>
      </c>
      <c r="O2983">
        <v>186</v>
      </c>
    </row>
    <row r="2984" spans="1:15" x14ac:dyDescent="0.25">
      <c r="A2984" t="s">
        <v>2997</v>
      </c>
      <c r="B2984">
        <v>912</v>
      </c>
      <c r="C2984" s="1" t="str">
        <f>HYPERLINK("http://www.rosaceae.org/gb/gbrowse/malus_x_domestica/?name=MDP0000124810","MDP0000124810")</f>
        <v>MDP0000124810</v>
      </c>
      <c r="D2984">
        <v>62.61</v>
      </c>
      <c r="E2984">
        <v>337</v>
      </c>
      <c r="F2984">
        <v>126</v>
      </c>
      <c r="G2984">
        <v>30</v>
      </c>
      <c r="H2984">
        <v>588</v>
      </c>
      <c r="I2984">
        <v>912</v>
      </c>
      <c r="J2984">
        <v>1</v>
      </c>
      <c r="K2984">
        <v>23</v>
      </c>
      <c r="L2984">
        <v>341</v>
      </c>
      <c r="M2984">
        <v>1</v>
      </c>
      <c r="N2984">
        <v>3.6201700000000001E-105</v>
      </c>
      <c r="O2984">
        <v>976</v>
      </c>
    </row>
    <row r="2985" spans="1:15" x14ac:dyDescent="0.25">
      <c r="A2985" t="s">
        <v>2998</v>
      </c>
      <c r="B2985">
        <v>149</v>
      </c>
      <c r="C2985" s="1" t="str">
        <f>HYPERLINK("http://www.rosaceae.org/gb/gbrowse/malus_x_domestica/?name=MDP0000164991","MDP0000164991")</f>
        <v>MDP0000164991</v>
      </c>
      <c r="D2985">
        <v>66.66</v>
      </c>
      <c r="E2985">
        <v>138</v>
      </c>
      <c r="F2985">
        <v>46</v>
      </c>
      <c r="G2985">
        <v>3</v>
      </c>
      <c r="H2985">
        <v>8</v>
      </c>
      <c r="I2985">
        <v>144</v>
      </c>
      <c r="J2985">
        <v>1</v>
      </c>
      <c r="K2985">
        <v>549</v>
      </c>
      <c r="L2985">
        <v>684</v>
      </c>
      <c r="M2985">
        <v>1</v>
      </c>
      <c r="N2985">
        <v>1.04311E-44</v>
      </c>
      <c r="O2985">
        <v>445</v>
      </c>
    </row>
    <row r="2986" spans="1:15" x14ac:dyDescent="0.25">
      <c r="A2986" t="s">
        <v>2999</v>
      </c>
      <c r="B2986">
        <v>186</v>
      </c>
      <c r="C2986" s="1" t="str">
        <f>HYPERLINK("http://www.rosaceae.org/gb/gbrowse/malus_x_domestica/?name=MDP0000182792","MDP0000182792")</f>
        <v>MDP0000182792</v>
      </c>
      <c r="D2986">
        <v>57.77</v>
      </c>
      <c r="E2986">
        <v>45</v>
      </c>
      <c r="F2986">
        <v>19</v>
      </c>
      <c r="G2986">
        <v>0</v>
      </c>
      <c r="H2986">
        <v>142</v>
      </c>
      <c r="I2986">
        <v>186</v>
      </c>
      <c r="J2986">
        <v>1</v>
      </c>
      <c r="K2986">
        <v>498</v>
      </c>
      <c r="L2986">
        <v>542</v>
      </c>
      <c r="M2986">
        <v>1</v>
      </c>
      <c r="N2986">
        <v>1.13077E-7</v>
      </c>
      <c r="O2986">
        <v>127</v>
      </c>
    </row>
    <row r="2987" spans="1:15" x14ac:dyDescent="0.25">
      <c r="A2987" t="s">
        <v>3000</v>
      </c>
      <c r="B2987">
        <v>972</v>
      </c>
      <c r="C2987" s="1" t="str">
        <f>HYPERLINK("http://www.rosaceae.org/gb/gbrowse/malus_x_domestica/?name=MDP0000159783","MDP0000159783")</f>
        <v>MDP0000159783</v>
      </c>
      <c r="D2987">
        <v>74.05</v>
      </c>
      <c r="E2987">
        <v>948</v>
      </c>
      <c r="F2987">
        <v>246</v>
      </c>
      <c r="G2987">
        <v>118</v>
      </c>
      <c r="H2987">
        <v>17</v>
      </c>
      <c r="I2987">
        <v>957</v>
      </c>
      <c r="J2987">
        <v>1</v>
      </c>
      <c r="K2987">
        <v>17</v>
      </c>
      <c r="L2987">
        <v>853</v>
      </c>
      <c r="M2987">
        <v>1</v>
      </c>
      <c r="N2987">
        <v>0</v>
      </c>
      <c r="O2987">
        <v>3436</v>
      </c>
    </row>
    <row r="2988" spans="1:15" x14ac:dyDescent="0.25">
      <c r="A2988" t="s">
        <v>3001</v>
      </c>
      <c r="B2988">
        <v>875</v>
      </c>
      <c r="C2988" s="1" t="str">
        <f>HYPERLINK("http://www.rosaceae.org/gb/gbrowse/malus_x_domestica/?name=MDP0000258781","MDP0000258781")</f>
        <v>MDP0000258781</v>
      </c>
      <c r="D2988">
        <v>87.19</v>
      </c>
      <c r="E2988">
        <v>859</v>
      </c>
      <c r="F2988">
        <v>110</v>
      </c>
      <c r="G2988">
        <v>4</v>
      </c>
      <c r="H2988">
        <v>1</v>
      </c>
      <c r="I2988">
        <v>858</v>
      </c>
      <c r="J2988">
        <v>1</v>
      </c>
      <c r="K2988">
        <v>1</v>
      </c>
      <c r="L2988">
        <v>856</v>
      </c>
      <c r="M2988">
        <v>1</v>
      </c>
      <c r="N2988">
        <v>0</v>
      </c>
      <c r="O2988">
        <v>4050</v>
      </c>
    </row>
    <row r="2989" spans="1:15" x14ac:dyDescent="0.25">
      <c r="A2989" t="s">
        <v>3002</v>
      </c>
      <c r="B2989">
        <v>598</v>
      </c>
      <c r="C2989" s="1" t="str">
        <f>HYPERLINK("http://www.rosaceae.org/gb/gbrowse/malus_x_domestica/?name=MDP0000681724","MDP0000681724")</f>
        <v>MDP0000681724</v>
      </c>
      <c r="D2989">
        <v>77.17</v>
      </c>
      <c r="E2989">
        <v>241</v>
      </c>
      <c r="F2989">
        <v>55</v>
      </c>
      <c r="G2989">
        <v>4</v>
      </c>
      <c r="H2989">
        <v>358</v>
      </c>
      <c r="I2989">
        <v>598</v>
      </c>
      <c r="J2989">
        <v>1</v>
      </c>
      <c r="K2989">
        <v>14</v>
      </c>
      <c r="L2989">
        <v>250</v>
      </c>
      <c r="M2989">
        <v>1</v>
      </c>
      <c r="N2989">
        <v>5.1775399999999997E-108</v>
      </c>
      <c r="O2989">
        <v>999</v>
      </c>
    </row>
    <row r="2990" spans="1:15" x14ac:dyDescent="0.25">
      <c r="A2990" t="s">
        <v>3003</v>
      </c>
      <c r="B2990">
        <v>332</v>
      </c>
      <c r="C2990" s="1" t="str">
        <f>HYPERLINK("http://www.rosaceae.org/gb/gbrowse/malus_x_domestica/?name=MDP0000278916","MDP0000278916")</f>
        <v>MDP0000278916</v>
      </c>
      <c r="D2990">
        <v>72.58</v>
      </c>
      <c r="E2990">
        <v>372</v>
      </c>
      <c r="F2990">
        <v>102</v>
      </c>
      <c r="G2990">
        <v>50</v>
      </c>
      <c r="H2990">
        <v>7</v>
      </c>
      <c r="I2990">
        <v>332</v>
      </c>
      <c r="J2990">
        <v>1</v>
      </c>
      <c r="K2990">
        <v>28</v>
      </c>
      <c r="L2990">
        <v>395</v>
      </c>
      <c r="M2990">
        <v>1</v>
      </c>
      <c r="N2990">
        <v>4.6133699999999997E-155</v>
      </c>
      <c r="O2990">
        <v>1402</v>
      </c>
    </row>
    <row r="2991" spans="1:15" x14ac:dyDescent="0.25">
      <c r="A2991" t="s">
        <v>3004</v>
      </c>
      <c r="B2991">
        <v>304</v>
      </c>
      <c r="C2991" s="1" t="str">
        <f>HYPERLINK("http://www.rosaceae.org/gb/gbrowse/malus_x_domestica/?name=MDP0000231274","MDP0000231274")</f>
        <v>MDP0000231274</v>
      </c>
      <c r="D2991">
        <v>32.71</v>
      </c>
      <c r="E2991">
        <v>217</v>
      </c>
      <c r="F2991">
        <v>146</v>
      </c>
      <c r="G2991">
        <v>33</v>
      </c>
      <c r="H2991">
        <v>46</v>
      </c>
      <c r="I2991">
        <v>234</v>
      </c>
      <c r="J2991">
        <v>1</v>
      </c>
      <c r="K2991">
        <v>129</v>
      </c>
      <c r="L2991">
        <v>340</v>
      </c>
      <c r="M2991">
        <v>1</v>
      </c>
      <c r="N2991">
        <v>2.5139499999999999E-14</v>
      </c>
      <c r="O2991">
        <v>188</v>
      </c>
    </row>
    <row r="2992" spans="1:15" x14ac:dyDescent="0.25">
      <c r="A2992" t="s">
        <v>3005</v>
      </c>
      <c r="B2992">
        <v>123</v>
      </c>
      <c r="C2992" s="1" t="str">
        <f>HYPERLINK("http://www.rosaceae.org/gb/gbrowse/malus_x_domestica/?name=MDP0000316899","MDP0000316899")</f>
        <v>MDP0000316899</v>
      </c>
      <c r="D2992">
        <v>35.33</v>
      </c>
      <c r="E2992">
        <v>150</v>
      </c>
      <c r="F2992">
        <v>97</v>
      </c>
      <c r="G2992">
        <v>46</v>
      </c>
      <c r="H2992">
        <v>17</v>
      </c>
      <c r="I2992">
        <v>120</v>
      </c>
      <c r="J2992">
        <v>1</v>
      </c>
      <c r="K2992">
        <v>563</v>
      </c>
      <c r="L2992">
        <v>712</v>
      </c>
      <c r="M2992">
        <v>1</v>
      </c>
      <c r="N2992">
        <v>3.4548399999999999E-14</v>
      </c>
      <c r="O2992">
        <v>180</v>
      </c>
    </row>
    <row r="2993" spans="1:15" x14ac:dyDescent="0.25">
      <c r="A2993" t="s">
        <v>3006</v>
      </c>
      <c r="B2993">
        <v>223</v>
      </c>
      <c r="C2993" s="1" t="str">
        <f>HYPERLINK("http://www.rosaceae.org/gb/gbrowse/malus_x_domestica/?name=MDP0000146555","MDP0000146555")</f>
        <v>MDP0000146555</v>
      </c>
      <c r="D2993">
        <v>33.92</v>
      </c>
      <c r="E2993">
        <v>112</v>
      </c>
      <c r="F2993">
        <v>74</v>
      </c>
      <c r="G2993">
        <v>3</v>
      </c>
      <c r="H2993">
        <v>28</v>
      </c>
      <c r="I2993">
        <v>139</v>
      </c>
      <c r="J2993">
        <v>1</v>
      </c>
      <c r="K2993">
        <v>187</v>
      </c>
      <c r="L2993">
        <v>295</v>
      </c>
      <c r="M2993">
        <v>1</v>
      </c>
      <c r="N2993">
        <v>7.1697800000000002E-10</v>
      </c>
      <c r="O2993">
        <v>147</v>
      </c>
    </row>
    <row r="2994" spans="1:15" x14ac:dyDescent="0.25">
      <c r="A2994" t="s">
        <v>3007</v>
      </c>
      <c r="B2994">
        <v>306</v>
      </c>
      <c r="C2994" s="1" t="str">
        <f>HYPERLINK("http://www.rosaceae.org/gb/gbrowse/malus_x_domestica/?name=MDP0000318054","MDP0000318054")</f>
        <v>MDP0000318054</v>
      </c>
      <c r="D2994">
        <v>54.44</v>
      </c>
      <c r="E2994">
        <v>281</v>
      </c>
      <c r="F2994">
        <v>128</v>
      </c>
      <c r="G2994">
        <v>27</v>
      </c>
      <c r="H2994">
        <v>12</v>
      </c>
      <c r="I2994">
        <v>265</v>
      </c>
      <c r="J2994">
        <v>1</v>
      </c>
      <c r="K2994">
        <v>122</v>
      </c>
      <c r="L2994">
        <v>402</v>
      </c>
      <c r="M2994">
        <v>1</v>
      </c>
      <c r="N2994">
        <v>2.75316E-80</v>
      </c>
      <c r="O2994">
        <v>756</v>
      </c>
    </row>
    <row r="2995" spans="1:15" x14ac:dyDescent="0.25">
      <c r="A2995" t="s">
        <v>3008</v>
      </c>
      <c r="B2995">
        <v>1415</v>
      </c>
      <c r="C2995" s="1" t="str">
        <f>HYPERLINK("http://www.rosaceae.org/gb/gbrowse/malus_x_domestica/?name=MDP0000412363","MDP0000412363")</f>
        <v>MDP0000412363</v>
      </c>
      <c r="D2995">
        <v>55.59</v>
      </c>
      <c r="E2995">
        <v>608</v>
      </c>
      <c r="F2995">
        <v>270</v>
      </c>
      <c r="G2995">
        <v>101</v>
      </c>
      <c r="H2995">
        <v>439</v>
      </c>
      <c r="I2995">
        <v>967</v>
      </c>
      <c r="J2995">
        <v>1</v>
      </c>
      <c r="K2995">
        <v>446</v>
      </c>
      <c r="L2995">
        <v>1031</v>
      </c>
      <c r="M2995">
        <v>1</v>
      </c>
      <c r="N2995">
        <v>1.2093700000000001E-170</v>
      </c>
      <c r="O2995">
        <v>1542</v>
      </c>
    </row>
    <row r="2996" spans="1:15" x14ac:dyDescent="0.25">
      <c r="A2996" t="s">
        <v>3009</v>
      </c>
      <c r="B2996">
        <v>367</v>
      </c>
      <c r="C2996" s="1" t="str">
        <f>HYPERLINK("http://www.rosaceae.org/gb/gbrowse/malus_x_domestica/?name=MDP0000187697","MDP0000187697")</f>
        <v>MDP0000187697</v>
      </c>
      <c r="D2996">
        <v>31.59</v>
      </c>
      <c r="E2996">
        <v>288</v>
      </c>
      <c r="F2996">
        <v>197</v>
      </c>
      <c r="G2996">
        <v>19</v>
      </c>
      <c r="H2996">
        <v>24</v>
      </c>
      <c r="I2996">
        <v>301</v>
      </c>
      <c r="J2996">
        <v>1</v>
      </c>
      <c r="K2996">
        <v>28</v>
      </c>
      <c r="L2996">
        <v>306</v>
      </c>
      <c r="M2996">
        <v>1</v>
      </c>
      <c r="N2996">
        <v>6.8781799999999995E-21</v>
      </c>
      <c r="O2996">
        <v>245</v>
      </c>
    </row>
    <row r="2997" spans="1:15" x14ac:dyDescent="0.25">
      <c r="A2997" t="s">
        <v>3010</v>
      </c>
      <c r="B2997">
        <v>178</v>
      </c>
      <c r="C2997" s="1" t="str">
        <f>HYPERLINK("http://www.rosaceae.org/gb/gbrowse/malus_x_domestica/?name=MDP0000233503","MDP0000233503")</f>
        <v>MDP0000233503</v>
      </c>
      <c r="D2997">
        <v>71.91</v>
      </c>
      <c r="E2997">
        <v>178</v>
      </c>
      <c r="F2997">
        <v>50</v>
      </c>
      <c r="G2997">
        <v>0</v>
      </c>
      <c r="H2997">
        <v>1</v>
      </c>
      <c r="I2997">
        <v>178</v>
      </c>
      <c r="J2997">
        <v>1</v>
      </c>
      <c r="K2997">
        <v>1</v>
      </c>
      <c r="L2997">
        <v>178</v>
      </c>
      <c r="M2997">
        <v>1</v>
      </c>
      <c r="N2997">
        <v>2.4058599999999998E-71</v>
      </c>
      <c r="O2997">
        <v>676</v>
      </c>
    </row>
    <row r="2998" spans="1:15" x14ac:dyDescent="0.25">
      <c r="A2998" t="s">
        <v>3011</v>
      </c>
      <c r="B2998">
        <v>877</v>
      </c>
      <c r="C2998" s="1" t="str">
        <f>HYPERLINK("http://www.rosaceae.org/gb/gbrowse/malus_x_domestica/?name=MDP0000258781","MDP0000258781")</f>
        <v>MDP0000258781</v>
      </c>
      <c r="D2998">
        <v>62.45</v>
      </c>
      <c r="E2998">
        <v>871</v>
      </c>
      <c r="F2998">
        <v>327</v>
      </c>
      <c r="G2998">
        <v>25</v>
      </c>
      <c r="H2998">
        <v>1</v>
      </c>
      <c r="I2998">
        <v>867</v>
      </c>
      <c r="J2998">
        <v>1</v>
      </c>
      <c r="K2998">
        <v>1</v>
      </c>
      <c r="L2998">
        <v>850</v>
      </c>
      <c r="M2998">
        <v>1</v>
      </c>
      <c r="N2998">
        <v>0</v>
      </c>
      <c r="O2998">
        <v>2933</v>
      </c>
    </row>
    <row r="2999" spans="1:15" x14ac:dyDescent="0.25">
      <c r="A2999" t="s">
        <v>3012</v>
      </c>
      <c r="B2999">
        <v>464</v>
      </c>
      <c r="C2999" s="1" t="str">
        <f>HYPERLINK("http://www.rosaceae.org/gb/gbrowse/malus_x_domestica/?name=MDP0000270038","MDP0000270038")</f>
        <v>MDP0000270038</v>
      </c>
      <c r="D2999">
        <v>64.430000000000007</v>
      </c>
      <c r="E2999">
        <v>388</v>
      </c>
      <c r="F2999">
        <v>138</v>
      </c>
      <c r="G2999">
        <v>8</v>
      </c>
      <c r="H2999">
        <v>77</v>
      </c>
      <c r="I2999">
        <v>463</v>
      </c>
      <c r="J2999">
        <v>1</v>
      </c>
      <c r="K2999">
        <v>45</v>
      </c>
      <c r="L2999">
        <v>425</v>
      </c>
      <c r="M2999">
        <v>1</v>
      </c>
      <c r="N2999">
        <v>2.2115600000000001E-141</v>
      </c>
      <c r="O2999">
        <v>1285</v>
      </c>
    </row>
    <row r="3000" spans="1:15" x14ac:dyDescent="0.25">
      <c r="A3000" t="s">
        <v>3013</v>
      </c>
      <c r="B3000">
        <v>350</v>
      </c>
      <c r="C3000" s="1" t="str">
        <f>HYPERLINK("http://www.rosaceae.org/gb/gbrowse/malus_x_domestica/?name=MDP0000130101","MDP0000130101")</f>
        <v>MDP0000130101</v>
      </c>
      <c r="D3000">
        <v>77.680000000000007</v>
      </c>
      <c r="E3000">
        <v>372</v>
      </c>
      <c r="F3000">
        <v>83</v>
      </c>
      <c r="G3000">
        <v>24</v>
      </c>
      <c r="H3000">
        <v>1</v>
      </c>
      <c r="I3000">
        <v>350</v>
      </c>
      <c r="J3000">
        <v>1</v>
      </c>
      <c r="K3000">
        <v>89</v>
      </c>
      <c r="L3000">
        <v>458</v>
      </c>
      <c r="M3000">
        <v>1</v>
      </c>
      <c r="N3000">
        <v>3.6743599999999999E-166</v>
      </c>
      <c r="O3000">
        <v>1498</v>
      </c>
    </row>
    <row r="3001" spans="1:15" x14ac:dyDescent="0.25">
      <c r="A3001" t="s">
        <v>3014</v>
      </c>
      <c r="B3001">
        <v>587</v>
      </c>
      <c r="C3001" s="1" t="str">
        <f>HYPERLINK("http://www.rosaceae.org/gb/gbrowse/malus_x_domestica/?name=MDP0000296459","MDP0000296459")</f>
        <v>MDP0000296459</v>
      </c>
      <c r="D3001">
        <v>57.16</v>
      </c>
      <c r="E3001">
        <v>558</v>
      </c>
      <c r="F3001">
        <v>239</v>
      </c>
      <c r="G3001">
        <v>65</v>
      </c>
      <c r="H3001">
        <v>67</v>
      </c>
      <c r="I3001">
        <v>568</v>
      </c>
      <c r="J3001">
        <v>1</v>
      </c>
      <c r="K3001">
        <v>214</v>
      </c>
      <c r="L3001">
        <v>762</v>
      </c>
      <c r="M3001">
        <v>1</v>
      </c>
      <c r="N3001">
        <v>0</v>
      </c>
      <c r="O3001">
        <v>1634</v>
      </c>
    </row>
    <row r="3002" spans="1:15" x14ac:dyDescent="0.25">
      <c r="A3002" t="s">
        <v>3015</v>
      </c>
      <c r="B3002">
        <v>1015</v>
      </c>
      <c r="C3002" s="1" t="str">
        <f>HYPERLINK("http://www.rosaceae.org/gb/gbrowse/malus_x_domestica/?name=MDP0000174407","MDP0000174407")</f>
        <v>MDP0000174407</v>
      </c>
      <c r="D3002">
        <v>82.6</v>
      </c>
      <c r="E3002">
        <v>500</v>
      </c>
      <c r="F3002">
        <v>87</v>
      </c>
      <c r="G3002">
        <v>27</v>
      </c>
      <c r="H3002">
        <v>543</v>
      </c>
      <c r="I3002">
        <v>1015</v>
      </c>
      <c r="J3002">
        <v>1</v>
      </c>
      <c r="K3002">
        <v>1</v>
      </c>
      <c r="L3002">
        <v>500</v>
      </c>
      <c r="M3002">
        <v>1</v>
      </c>
      <c r="N3002">
        <v>0</v>
      </c>
      <c r="O3002">
        <v>2169</v>
      </c>
    </row>
    <row r="3003" spans="1:15" x14ac:dyDescent="0.25">
      <c r="A3003" t="s">
        <v>3016</v>
      </c>
      <c r="B3003">
        <v>121</v>
      </c>
      <c r="C3003" s="1" t="str">
        <f>HYPERLINK("http://www.rosaceae.org/gb/gbrowse/malus_x_domestica/?name=MDP0000248682","MDP0000248682")</f>
        <v>MDP0000248682</v>
      </c>
      <c r="D3003">
        <v>49.39</v>
      </c>
      <c r="E3003">
        <v>83</v>
      </c>
      <c r="F3003">
        <v>42</v>
      </c>
      <c r="G3003">
        <v>6</v>
      </c>
      <c r="H3003">
        <v>35</v>
      </c>
      <c r="I3003">
        <v>116</v>
      </c>
      <c r="J3003">
        <v>1</v>
      </c>
      <c r="K3003">
        <v>2</v>
      </c>
      <c r="L3003">
        <v>79</v>
      </c>
      <c r="M3003">
        <v>1</v>
      </c>
      <c r="N3003">
        <v>2.37031E-14</v>
      </c>
      <c r="O3003">
        <v>181</v>
      </c>
    </row>
    <row r="3004" spans="1:15" x14ac:dyDescent="0.25">
      <c r="A3004" t="s">
        <v>3017</v>
      </c>
      <c r="B3004">
        <v>244</v>
      </c>
      <c r="C3004" s="1" t="str">
        <f>HYPERLINK("http://www.rosaceae.org/gb/gbrowse/malus_x_domestica/?name=MDP0000181942","MDP0000181942")</f>
        <v>MDP0000181942</v>
      </c>
      <c r="D3004">
        <v>52.17</v>
      </c>
      <c r="E3004">
        <v>69</v>
      </c>
      <c r="F3004">
        <v>33</v>
      </c>
      <c r="G3004">
        <v>15</v>
      </c>
      <c r="H3004">
        <v>7</v>
      </c>
      <c r="I3004">
        <v>60</v>
      </c>
      <c r="J3004">
        <v>1</v>
      </c>
      <c r="K3004">
        <v>2</v>
      </c>
      <c r="L3004">
        <v>70</v>
      </c>
      <c r="M3004">
        <v>1</v>
      </c>
      <c r="N3004">
        <v>1.8965099999999999E-10</v>
      </c>
      <c r="O3004">
        <v>153</v>
      </c>
    </row>
    <row r="3005" spans="1:15" x14ac:dyDescent="0.25">
      <c r="A3005" t="s">
        <v>3018</v>
      </c>
      <c r="B3005">
        <v>1209</v>
      </c>
      <c r="C3005" s="1" t="str">
        <f>HYPERLINK("http://www.rosaceae.org/gb/gbrowse/malus_x_domestica/?name=MDP0000205635","MDP0000205635")</f>
        <v>MDP0000205635</v>
      </c>
      <c r="D3005">
        <v>29.89</v>
      </c>
      <c r="E3005">
        <v>184</v>
      </c>
      <c r="F3005">
        <v>129</v>
      </c>
      <c r="G3005">
        <v>48</v>
      </c>
      <c r="H3005">
        <v>613</v>
      </c>
      <c r="I3005">
        <v>757</v>
      </c>
      <c r="J3005">
        <v>1</v>
      </c>
      <c r="K3005">
        <v>20</v>
      </c>
      <c r="L3005">
        <v>194</v>
      </c>
      <c r="M3005">
        <v>1</v>
      </c>
      <c r="N3005">
        <v>2.7934599999999998E-13</v>
      </c>
      <c r="O3005">
        <v>185</v>
      </c>
    </row>
    <row r="3006" spans="1:15" x14ac:dyDescent="0.25">
      <c r="A3006" t="s">
        <v>3019</v>
      </c>
      <c r="B3006">
        <v>874</v>
      </c>
      <c r="C3006" s="1" t="str">
        <f>HYPERLINK("http://www.rosaceae.org/gb/gbrowse/malus_x_domestica/?name=MDP0000271450","MDP0000271450")</f>
        <v>MDP0000271450</v>
      </c>
      <c r="D3006">
        <v>59.96</v>
      </c>
      <c r="E3006">
        <v>577</v>
      </c>
      <c r="F3006">
        <v>231</v>
      </c>
      <c r="G3006">
        <v>32</v>
      </c>
      <c r="H3006">
        <v>181</v>
      </c>
      <c r="I3006">
        <v>757</v>
      </c>
      <c r="J3006">
        <v>1</v>
      </c>
      <c r="K3006">
        <v>214</v>
      </c>
      <c r="L3006">
        <v>758</v>
      </c>
      <c r="M3006">
        <v>1</v>
      </c>
      <c r="N3006">
        <v>0</v>
      </c>
      <c r="O3006">
        <v>1851</v>
      </c>
    </row>
    <row r="3007" spans="1:15" x14ac:dyDescent="0.25">
      <c r="A3007" t="s">
        <v>3020</v>
      </c>
      <c r="B3007">
        <v>349</v>
      </c>
      <c r="C3007" s="1" t="str">
        <f>HYPERLINK("http://www.rosaceae.org/gb/gbrowse/malus_x_domestica/?name=MDP0000173611","MDP0000173611")</f>
        <v>MDP0000173611</v>
      </c>
      <c r="D3007">
        <v>64.400000000000006</v>
      </c>
      <c r="E3007">
        <v>354</v>
      </c>
      <c r="F3007">
        <v>126</v>
      </c>
      <c r="G3007">
        <v>14</v>
      </c>
      <c r="H3007">
        <v>3</v>
      </c>
      <c r="I3007">
        <v>342</v>
      </c>
      <c r="J3007">
        <v>1</v>
      </c>
      <c r="K3007">
        <v>7</v>
      </c>
      <c r="L3007">
        <v>360</v>
      </c>
      <c r="M3007">
        <v>1</v>
      </c>
      <c r="N3007">
        <v>8.8906199999999997E-126</v>
      </c>
      <c r="O3007">
        <v>1149</v>
      </c>
    </row>
    <row r="3008" spans="1:15" x14ac:dyDescent="0.25">
      <c r="A3008" t="s">
        <v>3021</v>
      </c>
      <c r="B3008">
        <v>717</v>
      </c>
      <c r="C3008" s="1" t="str">
        <f>HYPERLINK("http://www.rosaceae.org/gb/gbrowse/malus_x_domestica/?name=MDP0000150878","MDP0000150878")</f>
        <v>MDP0000150878</v>
      </c>
      <c r="D3008">
        <v>53.22</v>
      </c>
      <c r="E3008">
        <v>682</v>
      </c>
      <c r="F3008">
        <v>319</v>
      </c>
      <c r="G3008">
        <v>83</v>
      </c>
      <c r="H3008">
        <v>3</v>
      </c>
      <c r="I3008">
        <v>604</v>
      </c>
      <c r="J3008">
        <v>1</v>
      </c>
      <c r="K3008">
        <v>34</v>
      </c>
      <c r="L3008">
        <v>712</v>
      </c>
      <c r="M3008">
        <v>1</v>
      </c>
      <c r="N3008">
        <v>1.6410800000000001E-180</v>
      </c>
      <c r="O3008">
        <v>1625</v>
      </c>
    </row>
    <row r="3009" spans="1:15" x14ac:dyDescent="0.25">
      <c r="A3009" t="s">
        <v>3022</v>
      </c>
      <c r="B3009">
        <v>450</v>
      </c>
      <c r="C3009" s="1" t="str">
        <f>HYPERLINK("http://www.rosaceae.org/gb/gbrowse/malus_x_domestica/?name=MDP0000802237","MDP0000802237")</f>
        <v>MDP0000802237</v>
      </c>
      <c r="D3009">
        <v>66.209999999999994</v>
      </c>
      <c r="E3009">
        <v>373</v>
      </c>
      <c r="F3009">
        <v>126</v>
      </c>
      <c r="G3009">
        <v>14</v>
      </c>
      <c r="H3009">
        <v>86</v>
      </c>
      <c r="I3009">
        <v>444</v>
      </c>
      <c r="J3009">
        <v>1</v>
      </c>
      <c r="K3009">
        <v>5</v>
      </c>
      <c r="L3009">
        <v>377</v>
      </c>
      <c r="M3009">
        <v>1</v>
      </c>
      <c r="N3009">
        <v>1.3313000000000001E-142</v>
      </c>
      <c r="O3009">
        <v>1296</v>
      </c>
    </row>
    <row r="3010" spans="1:15" x14ac:dyDescent="0.25">
      <c r="A3010" t="s">
        <v>3023</v>
      </c>
      <c r="B3010">
        <v>878</v>
      </c>
      <c r="C3010" s="1" t="str">
        <f>HYPERLINK("http://www.rosaceae.org/gb/gbrowse/malus_x_domestica/?name=MDP0000300795","MDP0000300795")</f>
        <v>MDP0000300795</v>
      </c>
      <c r="D3010">
        <v>35.64</v>
      </c>
      <c r="E3010">
        <v>895</v>
      </c>
      <c r="F3010">
        <v>576</v>
      </c>
      <c r="G3010">
        <v>148</v>
      </c>
      <c r="H3010">
        <v>36</v>
      </c>
      <c r="I3010">
        <v>854</v>
      </c>
      <c r="J3010">
        <v>1</v>
      </c>
      <c r="K3010">
        <v>495</v>
      </c>
      <c r="L3010">
        <v>1317</v>
      </c>
      <c r="M3010">
        <v>1</v>
      </c>
      <c r="N3010">
        <v>1.7632000000000001E-123</v>
      </c>
      <c r="O3010">
        <v>1134</v>
      </c>
    </row>
    <row r="3011" spans="1:15" x14ac:dyDescent="0.25">
      <c r="A3011" t="s">
        <v>3024</v>
      </c>
      <c r="B3011">
        <v>158</v>
      </c>
      <c r="C3011" s="1" t="str">
        <f>HYPERLINK("http://www.rosaceae.org/gb/gbrowse/malus_x_domestica/?name=MDP0000287922","MDP0000287922")</f>
        <v>MDP0000287922</v>
      </c>
      <c r="D3011">
        <v>58.18</v>
      </c>
      <c r="E3011">
        <v>165</v>
      </c>
      <c r="F3011">
        <v>69</v>
      </c>
      <c r="G3011">
        <v>29</v>
      </c>
      <c r="H3011">
        <v>1</v>
      </c>
      <c r="I3011">
        <v>146</v>
      </c>
      <c r="J3011">
        <v>1</v>
      </c>
      <c r="K3011">
        <v>1</v>
      </c>
      <c r="L3011">
        <v>155</v>
      </c>
      <c r="M3011">
        <v>1</v>
      </c>
      <c r="N3011">
        <v>6.5874399999999998E-43</v>
      </c>
      <c r="O3011">
        <v>430</v>
      </c>
    </row>
    <row r="3012" spans="1:15" x14ac:dyDescent="0.25">
      <c r="A3012" t="s">
        <v>3025</v>
      </c>
      <c r="B3012">
        <v>335</v>
      </c>
      <c r="C3012" s="1" t="str">
        <f>HYPERLINK("http://www.rosaceae.org/gb/gbrowse/malus_x_domestica/?name=MDP0000949756","MDP0000949756")</f>
        <v>MDP0000949756</v>
      </c>
      <c r="D3012">
        <v>43.76</v>
      </c>
      <c r="E3012">
        <v>313</v>
      </c>
      <c r="F3012">
        <v>176</v>
      </c>
      <c r="G3012">
        <v>21</v>
      </c>
      <c r="H3012">
        <v>13</v>
      </c>
      <c r="I3012">
        <v>318</v>
      </c>
      <c r="J3012">
        <v>1</v>
      </c>
      <c r="K3012">
        <v>8</v>
      </c>
      <c r="L3012">
        <v>306</v>
      </c>
      <c r="M3012">
        <v>1</v>
      </c>
      <c r="N3012">
        <v>5.81597E-63</v>
      </c>
      <c r="O3012">
        <v>608</v>
      </c>
    </row>
    <row r="3013" spans="1:15" x14ac:dyDescent="0.25">
      <c r="A3013" t="s">
        <v>3026</v>
      </c>
      <c r="B3013">
        <v>290</v>
      </c>
      <c r="C3013" s="1" t="str">
        <f>HYPERLINK("http://www.rosaceae.org/gb/gbrowse/malus_x_domestica/?name=MDP0000255063","MDP0000255063")</f>
        <v>MDP0000255063</v>
      </c>
      <c r="D3013">
        <v>57.34</v>
      </c>
      <c r="E3013">
        <v>211</v>
      </c>
      <c r="F3013">
        <v>90</v>
      </c>
      <c r="G3013">
        <v>39</v>
      </c>
      <c r="H3013">
        <v>46</v>
      </c>
      <c r="I3013">
        <v>240</v>
      </c>
      <c r="J3013">
        <v>1</v>
      </c>
      <c r="K3013">
        <v>29</v>
      </c>
      <c r="L3013">
        <v>216</v>
      </c>
      <c r="M3013">
        <v>1</v>
      </c>
      <c r="N3013">
        <v>5.0868600000000003E-68</v>
      </c>
      <c r="O3013">
        <v>650</v>
      </c>
    </row>
    <row r="3014" spans="1:15" x14ac:dyDescent="0.25">
      <c r="A3014" t="s">
        <v>3027</v>
      </c>
      <c r="B3014">
        <v>380</v>
      </c>
      <c r="C3014" s="1" t="str">
        <f>HYPERLINK("http://www.rosaceae.org/gb/gbrowse/malus_x_domestica/?name=MDP0000446336","MDP0000446336")</f>
        <v>MDP0000446336</v>
      </c>
      <c r="D3014">
        <v>42.55</v>
      </c>
      <c r="E3014">
        <v>188</v>
      </c>
      <c r="F3014">
        <v>108</v>
      </c>
      <c r="G3014">
        <v>6</v>
      </c>
      <c r="H3014">
        <v>191</v>
      </c>
      <c r="I3014">
        <v>377</v>
      </c>
      <c r="J3014">
        <v>1</v>
      </c>
      <c r="K3014">
        <v>149</v>
      </c>
      <c r="L3014">
        <v>331</v>
      </c>
      <c r="M3014">
        <v>1</v>
      </c>
      <c r="N3014">
        <v>6.0904099999999997E-32</v>
      </c>
      <c r="O3014">
        <v>341</v>
      </c>
    </row>
    <row r="3015" spans="1:15" x14ac:dyDescent="0.25">
      <c r="A3015" t="s">
        <v>3028</v>
      </c>
      <c r="B3015">
        <v>489</v>
      </c>
      <c r="C3015" s="1" t="str">
        <f>HYPERLINK("http://www.rosaceae.org/gb/gbrowse/malus_x_domestica/?name=MDP0000178684","MDP0000178684")</f>
        <v>MDP0000178684</v>
      </c>
      <c r="D3015">
        <v>62.65</v>
      </c>
      <c r="E3015">
        <v>490</v>
      </c>
      <c r="F3015">
        <v>183</v>
      </c>
      <c r="G3015">
        <v>92</v>
      </c>
      <c r="H3015">
        <v>2</v>
      </c>
      <c r="I3015">
        <v>489</v>
      </c>
      <c r="J3015">
        <v>1</v>
      </c>
      <c r="K3015">
        <v>206</v>
      </c>
      <c r="L3015">
        <v>605</v>
      </c>
      <c r="M3015">
        <v>1</v>
      </c>
      <c r="N3015">
        <v>1.29805E-169</v>
      </c>
      <c r="O3015">
        <v>1529</v>
      </c>
    </row>
    <row r="3016" spans="1:15" x14ac:dyDescent="0.25">
      <c r="A3016" t="s">
        <v>3029</v>
      </c>
      <c r="B3016">
        <v>133</v>
      </c>
      <c r="C3016" s="1" t="str">
        <f>HYPERLINK("http://www.rosaceae.org/gb/gbrowse/malus_x_domestica/?name=MDP0000581631","MDP0000581631")</f>
        <v>MDP0000581631</v>
      </c>
      <c r="D3016">
        <v>87.31</v>
      </c>
      <c r="E3016">
        <v>134</v>
      </c>
      <c r="F3016">
        <v>17</v>
      </c>
      <c r="G3016">
        <v>1</v>
      </c>
      <c r="H3016">
        <v>1</v>
      </c>
      <c r="I3016">
        <v>133</v>
      </c>
      <c r="J3016">
        <v>1</v>
      </c>
      <c r="K3016">
        <v>1</v>
      </c>
      <c r="L3016">
        <v>134</v>
      </c>
      <c r="M3016">
        <v>1</v>
      </c>
      <c r="N3016">
        <v>4.5256099999999998E-66</v>
      </c>
      <c r="O3016">
        <v>628</v>
      </c>
    </row>
    <row r="3017" spans="1:15" x14ac:dyDescent="0.25">
      <c r="A3017" t="s">
        <v>3030</v>
      </c>
      <c r="B3017">
        <v>222</v>
      </c>
      <c r="C3017" s="1" t="str">
        <f>HYPERLINK("http://www.rosaceae.org/gb/gbrowse/malus_x_domestica/?name=MDP0000417095","MDP0000417095")</f>
        <v>MDP0000417095</v>
      </c>
      <c r="D3017">
        <v>84.89</v>
      </c>
      <c r="E3017">
        <v>192</v>
      </c>
      <c r="F3017">
        <v>29</v>
      </c>
      <c r="G3017">
        <v>0</v>
      </c>
      <c r="H3017">
        <v>31</v>
      </c>
      <c r="I3017">
        <v>222</v>
      </c>
      <c r="J3017">
        <v>1</v>
      </c>
      <c r="K3017">
        <v>125</v>
      </c>
      <c r="L3017">
        <v>316</v>
      </c>
      <c r="M3017">
        <v>1</v>
      </c>
      <c r="N3017">
        <v>1.43264E-97</v>
      </c>
      <c r="O3017">
        <v>904</v>
      </c>
    </row>
    <row r="3018" spans="1:15" x14ac:dyDescent="0.25">
      <c r="A3018" t="s">
        <v>3031</v>
      </c>
      <c r="B3018">
        <v>696</v>
      </c>
      <c r="C3018" s="1" t="str">
        <f>HYPERLINK("http://www.rosaceae.org/gb/gbrowse/malus_x_domestica/?name=MDP0000874507","MDP0000874507")</f>
        <v>MDP0000874507</v>
      </c>
      <c r="D3018">
        <v>51.66</v>
      </c>
      <c r="E3018">
        <v>360</v>
      </c>
      <c r="F3018">
        <v>174</v>
      </c>
      <c r="G3018">
        <v>26</v>
      </c>
      <c r="H3018">
        <v>345</v>
      </c>
      <c r="I3018">
        <v>691</v>
      </c>
      <c r="J3018">
        <v>1</v>
      </c>
      <c r="K3018">
        <v>396</v>
      </c>
      <c r="L3018">
        <v>742</v>
      </c>
      <c r="M3018">
        <v>1</v>
      </c>
      <c r="N3018">
        <v>1.2140200000000001E-81</v>
      </c>
      <c r="O3018">
        <v>772</v>
      </c>
    </row>
    <row r="3019" spans="1:15" x14ac:dyDescent="0.25">
      <c r="A3019" t="s">
        <v>3032</v>
      </c>
      <c r="B3019">
        <v>206</v>
      </c>
      <c r="C3019" s="1" t="str">
        <f>HYPERLINK("http://www.rosaceae.org/gb/gbrowse/malus_x_domestica/?name=MDP0000155416","MDP0000155416")</f>
        <v>MDP0000155416</v>
      </c>
      <c r="D3019">
        <v>56.19</v>
      </c>
      <c r="E3019">
        <v>210</v>
      </c>
      <c r="F3019">
        <v>92</v>
      </c>
      <c r="G3019">
        <v>32</v>
      </c>
      <c r="H3019">
        <v>16</v>
      </c>
      <c r="I3019">
        <v>198</v>
      </c>
      <c r="J3019">
        <v>1</v>
      </c>
      <c r="K3019">
        <v>16</v>
      </c>
      <c r="L3019">
        <v>220</v>
      </c>
      <c r="M3019">
        <v>1</v>
      </c>
      <c r="N3019">
        <v>1.0356200000000001E-57</v>
      </c>
      <c r="O3019">
        <v>559</v>
      </c>
    </row>
    <row r="3020" spans="1:15" x14ac:dyDescent="0.25">
      <c r="A3020" t="s">
        <v>3033</v>
      </c>
      <c r="B3020">
        <v>348</v>
      </c>
      <c r="C3020" s="1" t="str">
        <f>HYPERLINK("http://www.rosaceae.org/gb/gbrowse/malus_x_domestica/?name=MDP0000178505","MDP0000178505")</f>
        <v>MDP0000178505</v>
      </c>
      <c r="D3020">
        <v>63.57</v>
      </c>
      <c r="E3020">
        <v>291</v>
      </c>
      <c r="F3020">
        <v>106</v>
      </c>
      <c r="G3020">
        <v>49</v>
      </c>
      <c r="H3020">
        <v>1</v>
      </c>
      <c r="I3020">
        <v>242</v>
      </c>
      <c r="J3020">
        <v>1</v>
      </c>
      <c r="K3020">
        <v>1</v>
      </c>
      <c r="L3020">
        <v>291</v>
      </c>
      <c r="M3020">
        <v>1</v>
      </c>
      <c r="N3020">
        <v>4.2577899999999997E-90</v>
      </c>
      <c r="O3020">
        <v>842</v>
      </c>
    </row>
    <row r="3021" spans="1:15" x14ac:dyDescent="0.25">
      <c r="A3021" t="s">
        <v>3034</v>
      </c>
      <c r="B3021">
        <v>898</v>
      </c>
      <c r="C3021" s="1" t="str">
        <f>HYPERLINK("http://www.rosaceae.org/gb/gbrowse/malus_x_domestica/?name=MDP0000273496","MDP0000273496")</f>
        <v>MDP0000273496</v>
      </c>
      <c r="D3021">
        <v>68.28</v>
      </c>
      <c r="E3021">
        <v>596</v>
      </c>
      <c r="F3021">
        <v>189</v>
      </c>
      <c r="G3021">
        <v>42</v>
      </c>
      <c r="H3021">
        <v>40</v>
      </c>
      <c r="I3021">
        <v>611</v>
      </c>
      <c r="J3021">
        <v>1</v>
      </c>
      <c r="K3021">
        <v>37</v>
      </c>
      <c r="L3021">
        <v>614</v>
      </c>
      <c r="M3021">
        <v>1</v>
      </c>
      <c r="N3021">
        <v>0</v>
      </c>
      <c r="O3021">
        <v>2081</v>
      </c>
    </row>
    <row r="3022" spans="1:15" x14ac:dyDescent="0.25">
      <c r="A3022" t="s">
        <v>3035</v>
      </c>
      <c r="B3022">
        <v>525</v>
      </c>
      <c r="C3022" s="1" t="str">
        <f>HYPERLINK("http://www.rosaceae.org/gb/gbrowse/malus_x_domestica/?name=MDP0000015854","MDP0000015854")</f>
        <v>MDP0000015854</v>
      </c>
      <c r="D3022">
        <v>82.86</v>
      </c>
      <c r="E3022">
        <v>467</v>
      </c>
      <c r="F3022">
        <v>80</v>
      </c>
      <c r="G3022">
        <v>7</v>
      </c>
      <c r="H3022">
        <v>66</v>
      </c>
      <c r="I3022">
        <v>525</v>
      </c>
      <c r="J3022">
        <v>1</v>
      </c>
      <c r="K3022">
        <v>29</v>
      </c>
      <c r="L3022">
        <v>495</v>
      </c>
      <c r="M3022">
        <v>1</v>
      </c>
      <c r="N3022">
        <v>0</v>
      </c>
      <c r="O3022">
        <v>2108</v>
      </c>
    </row>
    <row r="3023" spans="1:15" x14ac:dyDescent="0.25">
      <c r="A3023" t="s">
        <v>3036</v>
      </c>
      <c r="B3023">
        <v>433</v>
      </c>
      <c r="C3023" s="1" t="str">
        <f>HYPERLINK("http://www.rosaceae.org/gb/gbrowse/malus_x_domestica/?name=MDP0000832632","MDP0000832632")</f>
        <v>MDP0000832632</v>
      </c>
      <c r="D3023">
        <v>80.569999999999993</v>
      </c>
      <c r="E3023">
        <v>417</v>
      </c>
      <c r="F3023">
        <v>81</v>
      </c>
      <c r="G3023">
        <v>6</v>
      </c>
      <c r="H3023">
        <v>17</v>
      </c>
      <c r="I3023">
        <v>433</v>
      </c>
      <c r="J3023">
        <v>1</v>
      </c>
      <c r="K3023">
        <v>19</v>
      </c>
      <c r="L3023">
        <v>429</v>
      </c>
      <c r="M3023">
        <v>1</v>
      </c>
      <c r="N3023">
        <v>0</v>
      </c>
      <c r="O3023">
        <v>1814</v>
      </c>
    </row>
    <row r="3024" spans="1:15" x14ac:dyDescent="0.25">
      <c r="A3024" t="s">
        <v>3037</v>
      </c>
      <c r="B3024">
        <v>396</v>
      </c>
      <c r="C3024" s="1" t="str">
        <f>HYPERLINK("http://www.rosaceae.org/gb/gbrowse/malus_x_domestica/?name=MDP0000303653","MDP0000303653")</f>
        <v>MDP0000303653</v>
      </c>
      <c r="D3024">
        <v>51.52</v>
      </c>
      <c r="E3024">
        <v>295</v>
      </c>
      <c r="F3024">
        <v>143</v>
      </c>
      <c r="G3024">
        <v>6</v>
      </c>
      <c r="H3024">
        <v>74</v>
      </c>
      <c r="I3024">
        <v>366</v>
      </c>
      <c r="J3024">
        <v>1</v>
      </c>
      <c r="K3024">
        <v>371</v>
      </c>
      <c r="L3024">
        <v>661</v>
      </c>
      <c r="M3024">
        <v>1</v>
      </c>
      <c r="N3024">
        <v>4.5156299999999999E-83</v>
      </c>
      <c r="O3024">
        <v>782</v>
      </c>
    </row>
    <row r="3025" spans="1:15" x14ac:dyDescent="0.25">
      <c r="A3025" t="s">
        <v>3038</v>
      </c>
      <c r="B3025">
        <v>250</v>
      </c>
      <c r="C3025" s="1" t="str">
        <f>HYPERLINK("http://www.rosaceae.org/gb/gbrowse/malus_x_domestica/?name=MDP0000245558","MDP0000245558")</f>
        <v>MDP0000245558</v>
      </c>
      <c r="D3025">
        <v>89.17</v>
      </c>
      <c r="E3025">
        <v>231</v>
      </c>
      <c r="F3025">
        <v>25</v>
      </c>
      <c r="G3025">
        <v>0</v>
      </c>
      <c r="H3025">
        <v>19</v>
      </c>
      <c r="I3025">
        <v>249</v>
      </c>
      <c r="J3025">
        <v>1</v>
      </c>
      <c r="K3025">
        <v>13</v>
      </c>
      <c r="L3025">
        <v>243</v>
      </c>
      <c r="M3025">
        <v>1</v>
      </c>
      <c r="N3025">
        <v>3.6013999999999999E-127</v>
      </c>
      <c r="O3025">
        <v>1160</v>
      </c>
    </row>
    <row r="3026" spans="1:15" x14ac:dyDescent="0.25">
      <c r="A3026" t="s">
        <v>3039</v>
      </c>
      <c r="B3026">
        <v>494</v>
      </c>
      <c r="C3026" s="1" t="str">
        <f>HYPERLINK("http://www.rosaceae.org/gb/gbrowse/malus_x_domestica/?name=MDP0000236977","MDP0000236977")</f>
        <v>MDP0000236977</v>
      </c>
      <c r="D3026">
        <v>63.84</v>
      </c>
      <c r="E3026">
        <v>354</v>
      </c>
      <c r="F3026">
        <v>128</v>
      </c>
      <c r="G3026">
        <v>43</v>
      </c>
      <c r="H3026">
        <v>124</v>
      </c>
      <c r="I3026">
        <v>468</v>
      </c>
      <c r="J3026">
        <v>1</v>
      </c>
      <c r="K3026">
        <v>36</v>
      </c>
      <c r="L3026">
        <v>355</v>
      </c>
      <c r="M3026">
        <v>1</v>
      </c>
      <c r="N3026">
        <v>1.68676E-123</v>
      </c>
      <c r="O3026">
        <v>1131</v>
      </c>
    </row>
    <row r="3027" spans="1:15" x14ac:dyDescent="0.25">
      <c r="A3027" t="s">
        <v>3040</v>
      </c>
      <c r="B3027">
        <v>1147</v>
      </c>
      <c r="C3027" s="1" t="str">
        <f>HYPERLINK("http://www.rosaceae.org/gb/gbrowse/malus_x_domestica/?name=MDP0000777793","MDP0000777793")</f>
        <v>MDP0000777793</v>
      </c>
      <c r="D3027">
        <v>29.4</v>
      </c>
      <c r="E3027">
        <v>1017</v>
      </c>
      <c r="F3027">
        <v>718</v>
      </c>
      <c r="G3027">
        <v>227</v>
      </c>
      <c r="H3027">
        <v>12</v>
      </c>
      <c r="I3027">
        <v>1006</v>
      </c>
      <c r="J3027">
        <v>1</v>
      </c>
      <c r="K3027">
        <v>18</v>
      </c>
      <c r="L3027">
        <v>829</v>
      </c>
      <c r="M3027">
        <v>1</v>
      </c>
      <c r="N3027">
        <v>1.2965899999999999E-116</v>
      </c>
      <c r="O3027">
        <v>1076</v>
      </c>
    </row>
    <row r="3028" spans="1:15" x14ac:dyDescent="0.25">
      <c r="A3028" t="s">
        <v>3041</v>
      </c>
      <c r="B3028">
        <v>678</v>
      </c>
      <c r="C3028" s="1" t="str">
        <f>HYPERLINK("http://www.rosaceae.org/gb/gbrowse/malus_x_domestica/?name=MDP0000210720","MDP0000210720")</f>
        <v>MDP0000210720</v>
      </c>
      <c r="D3028">
        <v>68.73</v>
      </c>
      <c r="E3028">
        <v>323</v>
      </c>
      <c r="F3028">
        <v>101</v>
      </c>
      <c r="G3028">
        <v>19</v>
      </c>
      <c r="H3028">
        <v>372</v>
      </c>
      <c r="I3028">
        <v>677</v>
      </c>
      <c r="J3028">
        <v>1</v>
      </c>
      <c r="K3028">
        <v>1</v>
      </c>
      <c r="L3028">
        <v>321</v>
      </c>
      <c r="M3028">
        <v>1</v>
      </c>
      <c r="N3028">
        <v>2.74392E-125</v>
      </c>
      <c r="O3028">
        <v>1148</v>
      </c>
    </row>
    <row r="3029" spans="1:15" x14ac:dyDescent="0.25">
      <c r="A3029" t="s">
        <v>3042</v>
      </c>
      <c r="B3029">
        <v>619</v>
      </c>
      <c r="C3029" s="1" t="str">
        <f>HYPERLINK("http://www.rosaceae.org/gb/gbrowse/malus_x_domestica/?name=MDP0000171771","MDP0000171771")</f>
        <v>MDP0000171771</v>
      </c>
      <c r="D3029">
        <v>29.61</v>
      </c>
      <c r="E3029">
        <v>233</v>
      </c>
      <c r="F3029">
        <v>164</v>
      </c>
      <c r="G3029">
        <v>37</v>
      </c>
      <c r="H3029">
        <v>192</v>
      </c>
      <c r="I3029">
        <v>402</v>
      </c>
      <c r="J3029">
        <v>1</v>
      </c>
      <c r="K3029">
        <v>25</v>
      </c>
      <c r="L3029">
        <v>242</v>
      </c>
      <c r="M3029">
        <v>1</v>
      </c>
      <c r="N3029">
        <v>2.8919900000000003E-17</v>
      </c>
      <c r="O3029">
        <v>216</v>
      </c>
    </row>
    <row r="3030" spans="1:15" x14ac:dyDescent="0.25">
      <c r="A3030" t="s">
        <v>3043</v>
      </c>
      <c r="B3030">
        <v>274</v>
      </c>
      <c r="C3030" s="1" t="str">
        <f>HYPERLINK("http://www.rosaceae.org/gb/gbrowse/malus_x_domestica/?name=MDP0000803920","MDP0000803920")</f>
        <v>MDP0000803920</v>
      </c>
      <c r="D3030">
        <v>60.14</v>
      </c>
      <c r="E3030">
        <v>281</v>
      </c>
      <c r="F3030">
        <v>112</v>
      </c>
      <c r="G3030">
        <v>14</v>
      </c>
      <c r="H3030">
        <v>1</v>
      </c>
      <c r="I3030">
        <v>271</v>
      </c>
      <c r="J3030">
        <v>1</v>
      </c>
      <c r="K3030">
        <v>746</v>
      </c>
      <c r="L3030">
        <v>1022</v>
      </c>
      <c r="M3030">
        <v>1</v>
      </c>
      <c r="N3030">
        <v>1.4767E-87</v>
      </c>
      <c r="O3030">
        <v>819</v>
      </c>
    </row>
    <row r="3031" spans="1:15" x14ac:dyDescent="0.25">
      <c r="A3031" t="s">
        <v>3044</v>
      </c>
      <c r="B3031">
        <v>151</v>
      </c>
      <c r="C3031" s="1" t="str">
        <f>HYPERLINK("http://www.rosaceae.org/gb/gbrowse/malus_x_domestica/?name=MDP0000456821","MDP0000456821")</f>
        <v>MDP0000456821</v>
      </c>
      <c r="D3031">
        <v>53.84</v>
      </c>
      <c r="E3031">
        <v>65</v>
      </c>
      <c r="F3031">
        <v>30</v>
      </c>
      <c r="G3031">
        <v>3</v>
      </c>
      <c r="H3031">
        <v>41</v>
      </c>
      <c r="I3031">
        <v>105</v>
      </c>
      <c r="J3031">
        <v>1</v>
      </c>
      <c r="K3031">
        <v>1222</v>
      </c>
      <c r="L3031">
        <v>1283</v>
      </c>
      <c r="M3031">
        <v>1</v>
      </c>
      <c r="N3031">
        <v>1.62951E-10</v>
      </c>
      <c r="O3031">
        <v>150</v>
      </c>
    </row>
    <row r="3032" spans="1:15" x14ac:dyDescent="0.25">
      <c r="A3032" t="s">
        <v>3045</v>
      </c>
      <c r="B3032">
        <v>156</v>
      </c>
      <c r="C3032" s="1" t="str">
        <f>HYPERLINK("http://www.rosaceae.org/gb/gbrowse/malus_x_domestica/?name=MDP0000791550","MDP0000791550")</f>
        <v>MDP0000791550</v>
      </c>
      <c r="D3032">
        <v>76.77</v>
      </c>
      <c r="E3032">
        <v>155</v>
      </c>
      <c r="F3032">
        <v>36</v>
      </c>
      <c r="G3032">
        <v>0</v>
      </c>
      <c r="H3032">
        <v>1</v>
      </c>
      <c r="I3032">
        <v>155</v>
      </c>
      <c r="J3032">
        <v>1</v>
      </c>
      <c r="K3032">
        <v>1</v>
      </c>
      <c r="L3032">
        <v>155</v>
      </c>
      <c r="M3032">
        <v>1</v>
      </c>
      <c r="N3032">
        <v>1.50893E-65</v>
      </c>
      <c r="O3032">
        <v>625</v>
      </c>
    </row>
    <row r="3033" spans="1:15" x14ac:dyDescent="0.25">
      <c r="A3033" t="s">
        <v>3046</v>
      </c>
      <c r="B3033">
        <v>243</v>
      </c>
      <c r="C3033" s="1" t="str">
        <f>HYPERLINK("http://www.rosaceae.org/gb/gbrowse/malus_x_domestica/?name=MDP0000290170","MDP0000290170")</f>
        <v>MDP0000290170</v>
      </c>
      <c r="D3033">
        <v>66.349999999999994</v>
      </c>
      <c r="E3033">
        <v>214</v>
      </c>
      <c r="F3033">
        <v>72</v>
      </c>
      <c r="G3033">
        <v>6</v>
      </c>
      <c r="H3033">
        <v>33</v>
      </c>
      <c r="I3033">
        <v>241</v>
      </c>
      <c r="J3033">
        <v>1</v>
      </c>
      <c r="K3033">
        <v>62</v>
      </c>
      <c r="L3033">
        <v>274</v>
      </c>
      <c r="M3033">
        <v>1</v>
      </c>
      <c r="N3033">
        <v>2.6199099999999998E-80</v>
      </c>
      <c r="O3033">
        <v>755</v>
      </c>
    </row>
    <row r="3034" spans="1:15" x14ac:dyDescent="0.25">
      <c r="A3034" t="s">
        <v>3047</v>
      </c>
      <c r="B3034">
        <v>178</v>
      </c>
      <c r="C3034" s="1" t="str">
        <f>HYPERLINK("http://www.rosaceae.org/gb/gbrowse/malus_x_domestica/?name=MDP0000145032","MDP0000145032")</f>
        <v>MDP0000145032</v>
      </c>
      <c r="D3034">
        <v>75.28</v>
      </c>
      <c r="E3034">
        <v>89</v>
      </c>
      <c r="F3034">
        <v>22</v>
      </c>
      <c r="G3034">
        <v>0</v>
      </c>
      <c r="H3034">
        <v>85</v>
      </c>
      <c r="I3034">
        <v>173</v>
      </c>
      <c r="J3034">
        <v>1</v>
      </c>
      <c r="K3034">
        <v>44</v>
      </c>
      <c r="L3034">
        <v>132</v>
      </c>
      <c r="M3034">
        <v>1</v>
      </c>
      <c r="N3034">
        <v>3.0966299999999999E-35</v>
      </c>
      <c r="O3034">
        <v>365</v>
      </c>
    </row>
    <row r="3035" spans="1:15" x14ac:dyDescent="0.25">
      <c r="A3035" t="s">
        <v>3048</v>
      </c>
      <c r="B3035">
        <v>446</v>
      </c>
      <c r="C3035" s="1" t="str">
        <f>HYPERLINK("http://www.rosaceae.org/gb/gbrowse/malus_x_domestica/?name=MDP0000147201","MDP0000147201")</f>
        <v>MDP0000147201</v>
      </c>
      <c r="D3035">
        <v>80</v>
      </c>
      <c r="E3035">
        <v>330</v>
      </c>
      <c r="F3035">
        <v>66</v>
      </c>
      <c r="G3035">
        <v>1</v>
      </c>
      <c r="H3035">
        <v>68</v>
      </c>
      <c r="I3035">
        <v>396</v>
      </c>
      <c r="J3035">
        <v>1</v>
      </c>
      <c r="K3035">
        <v>76</v>
      </c>
      <c r="L3035">
        <v>405</v>
      </c>
      <c r="M3035">
        <v>1</v>
      </c>
      <c r="N3035">
        <v>2.03866E-157</v>
      </c>
      <c r="O3035">
        <v>1423</v>
      </c>
    </row>
    <row r="3036" spans="1:15" x14ac:dyDescent="0.25">
      <c r="A3036" t="s">
        <v>3049</v>
      </c>
      <c r="B3036">
        <v>263</v>
      </c>
      <c r="C3036" s="1" t="str">
        <f>HYPERLINK("http://www.rosaceae.org/gb/gbrowse/malus_x_domestica/?name=MDP0000213984","MDP0000213984")</f>
        <v>MDP0000213984</v>
      </c>
      <c r="D3036">
        <v>53.48</v>
      </c>
      <c r="E3036">
        <v>43</v>
      </c>
      <c r="F3036">
        <v>20</v>
      </c>
      <c r="G3036">
        <v>0</v>
      </c>
      <c r="H3036">
        <v>197</v>
      </c>
      <c r="I3036">
        <v>239</v>
      </c>
      <c r="J3036">
        <v>1</v>
      </c>
      <c r="K3036">
        <v>137</v>
      </c>
      <c r="L3036">
        <v>179</v>
      </c>
      <c r="M3036">
        <v>1</v>
      </c>
      <c r="N3036">
        <v>1.83458E-8</v>
      </c>
      <c r="O3036">
        <v>136</v>
      </c>
    </row>
    <row r="3037" spans="1:15" x14ac:dyDescent="0.25">
      <c r="A3037" t="s">
        <v>3050</v>
      </c>
      <c r="B3037">
        <v>330</v>
      </c>
      <c r="C3037" s="1" t="str">
        <f>HYPERLINK("http://www.rosaceae.org/gb/gbrowse/malus_x_domestica/?name=MDP0000250536","MDP0000250536")</f>
        <v>MDP0000250536</v>
      </c>
      <c r="D3037">
        <v>37.26</v>
      </c>
      <c r="E3037">
        <v>322</v>
      </c>
      <c r="F3037">
        <v>202</v>
      </c>
      <c r="G3037">
        <v>43</v>
      </c>
      <c r="H3037">
        <v>2</v>
      </c>
      <c r="I3037">
        <v>318</v>
      </c>
      <c r="J3037">
        <v>1</v>
      </c>
      <c r="K3037">
        <v>20</v>
      </c>
      <c r="L3037">
        <v>303</v>
      </c>
      <c r="M3037">
        <v>1</v>
      </c>
      <c r="N3037">
        <v>9.2882599999999994E-42</v>
      </c>
      <c r="O3037">
        <v>425</v>
      </c>
    </row>
    <row r="3038" spans="1:15" x14ac:dyDescent="0.25">
      <c r="A3038" t="s">
        <v>3051</v>
      </c>
      <c r="B3038">
        <v>559</v>
      </c>
      <c r="C3038" s="1" t="str">
        <f>HYPERLINK("http://www.rosaceae.org/gb/gbrowse/malus_x_domestica/?name=MDP0000224653","MDP0000224653")</f>
        <v>MDP0000224653</v>
      </c>
      <c r="D3038">
        <v>45.3</v>
      </c>
      <c r="E3038">
        <v>309</v>
      </c>
      <c r="F3038">
        <v>169</v>
      </c>
      <c r="G3038">
        <v>46</v>
      </c>
      <c r="H3038">
        <v>4</v>
      </c>
      <c r="I3038">
        <v>269</v>
      </c>
      <c r="J3038">
        <v>1</v>
      </c>
      <c r="K3038">
        <v>16</v>
      </c>
      <c r="L3038">
        <v>321</v>
      </c>
      <c r="M3038">
        <v>1</v>
      </c>
      <c r="N3038">
        <v>1.2072300000000001E-66</v>
      </c>
      <c r="O3038">
        <v>642</v>
      </c>
    </row>
    <row r="3039" spans="1:15" x14ac:dyDescent="0.25">
      <c r="A3039" t="s">
        <v>3052</v>
      </c>
      <c r="B3039">
        <v>510</v>
      </c>
      <c r="C3039" s="1" t="str">
        <f>HYPERLINK("http://www.rosaceae.org/gb/gbrowse/malus_x_domestica/?name=MDP0000153786","MDP0000153786")</f>
        <v>MDP0000153786</v>
      </c>
      <c r="D3039">
        <v>86.2</v>
      </c>
      <c r="E3039">
        <v>58</v>
      </c>
      <c r="F3039">
        <v>8</v>
      </c>
      <c r="G3039">
        <v>0</v>
      </c>
      <c r="H3039">
        <v>1</v>
      </c>
      <c r="I3039">
        <v>58</v>
      </c>
      <c r="J3039">
        <v>1</v>
      </c>
      <c r="K3039">
        <v>327</v>
      </c>
      <c r="L3039">
        <v>384</v>
      </c>
      <c r="M3039">
        <v>1</v>
      </c>
      <c r="N3039">
        <v>9.8374199999999998E-23</v>
      </c>
      <c r="O3039">
        <v>263</v>
      </c>
    </row>
    <row r="3040" spans="1:15" x14ac:dyDescent="0.25">
      <c r="A3040" t="s">
        <v>3053</v>
      </c>
      <c r="B3040">
        <v>945</v>
      </c>
      <c r="C3040" s="1" t="str">
        <f>HYPERLINK("http://www.rosaceae.org/gb/gbrowse/malus_x_domestica/?name=MDP0000256558","MDP0000256558")</f>
        <v>MDP0000256558</v>
      </c>
      <c r="D3040">
        <v>57.46</v>
      </c>
      <c r="E3040">
        <v>884</v>
      </c>
      <c r="F3040">
        <v>376</v>
      </c>
      <c r="G3040">
        <v>71</v>
      </c>
      <c r="H3040">
        <v>101</v>
      </c>
      <c r="I3040">
        <v>920</v>
      </c>
      <c r="J3040">
        <v>1</v>
      </c>
      <c r="K3040">
        <v>244</v>
      </c>
      <c r="L3040">
        <v>1120</v>
      </c>
      <c r="M3040">
        <v>1</v>
      </c>
      <c r="N3040">
        <v>0</v>
      </c>
      <c r="O3040">
        <v>2507</v>
      </c>
    </row>
    <row r="3041" spans="1:15" x14ac:dyDescent="0.25">
      <c r="A3041" t="s">
        <v>3054</v>
      </c>
      <c r="B3041">
        <v>132</v>
      </c>
      <c r="C3041" s="1" t="str">
        <f>HYPERLINK("http://www.rosaceae.org/gb/gbrowse/malus_x_domestica/?name=MDP0000194340","MDP0000194340")</f>
        <v>MDP0000194340</v>
      </c>
      <c r="D3041">
        <v>40</v>
      </c>
      <c r="E3041">
        <v>95</v>
      </c>
      <c r="F3041">
        <v>57</v>
      </c>
      <c r="G3041">
        <v>3</v>
      </c>
      <c r="H3041">
        <v>6</v>
      </c>
      <c r="I3041">
        <v>99</v>
      </c>
      <c r="J3041">
        <v>1</v>
      </c>
      <c r="K3041">
        <v>248</v>
      </c>
      <c r="L3041">
        <v>340</v>
      </c>
      <c r="M3041">
        <v>1</v>
      </c>
      <c r="N3041">
        <v>1.41845E-11</v>
      </c>
      <c r="O3041">
        <v>158</v>
      </c>
    </row>
    <row r="3042" spans="1:15" x14ac:dyDescent="0.25">
      <c r="A3042" t="s">
        <v>3055</v>
      </c>
      <c r="B3042">
        <v>606</v>
      </c>
      <c r="C3042" s="1" t="str">
        <f>HYPERLINK("http://www.rosaceae.org/gb/gbrowse/malus_x_domestica/?name=MDP0000144286","MDP0000144286")</f>
        <v>MDP0000144286</v>
      </c>
      <c r="D3042">
        <v>84.77</v>
      </c>
      <c r="E3042">
        <v>611</v>
      </c>
      <c r="F3042">
        <v>93</v>
      </c>
      <c r="G3042">
        <v>7</v>
      </c>
      <c r="H3042">
        <v>1</v>
      </c>
      <c r="I3042">
        <v>606</v>
      </c>
      <c r="J3042">
        <v>1</v>
      </c>
      <c r="K3042">
        <v>1</v>
      </c>
      <c r="L3042">
        <v>609</v>
      </c>
      <c r="M3042">
        <v>1</v>
      </c>
      <c r="N3042">
        <v>0</v>
      </c>
      <c r="O3042">
        <v>2778</v>
      </c>
    </row>
    <row r="3043" spans="1:15" x14ac:dyDescent="0.25">
      <c r="A3043" t="s">
        <v>3056</v>
      </c>
      <c r="B3043">
        <v>662</v>
      </c>
      <c r="C3043" s="1" t="str">
        <f>HYPERLINK("http://www.rosaceae.org/gb/gbrowse/malus_x_domestica/?name=MDP0000260352","MDP0000260352")</f>
        <v>MDP0000260352</v>
      </c>
      <c r="D3043">
        <v>62.79</v>
      </c>
      <c r="E3043">
        <v>344</v>
      </c>
      <c r="F3043">
        <v>128</v>
      </c>
      <c r="G3043">
        <v>8</v>
      </c>
      <c r="H3043">
        <v>323</v>
      </c>
      <c r="I3043">
        <v>661</v>
      </c>
      <c r="J3043">
        <v>1</v>
      </c>
      <c r="K3043">
        <v>22</v>
      </c>
      <c r="L3043">
        <v>362</v>
      </c>
      <c r="M3043">
        <v>1</v>
      </c>
      <c r="N3043">
        <v>1.5512299999999999E-123</v>
      </c>
      <c r="O3043">
        <v>1133</v>
      </c>
    </row>
    <row r="3044" spans="1:15" x14ac:dyDescent="0.25">
      <c r="A3044" t="s">
        <v>3057</v>
      </c>
      <c r="B3044">
        <v>257</v>
      </c>
      <c r="C3044" s="1" t="str">
        <f>HYPERLINK("http://www.rosaceae.org/gb/gbrowse/malus_x_domestica/?name=MDP0000189998","MDP0000189998")</f>
        <v>MDP0000189998</v>
      </c>
      <c r="D3044">
        <v>69.2</v>
      </c>
      <c r="E3044">
        <v>302</v>
      </c>
      <c r="F3044">
        <v>93</v>
      </c>
      <c r="G3044">
        <v>55</v>
      </c>
      <c r="H3044">
        <v>1</v>
      </c>
      <c r="I3044">
        <v>253</v>
      </c>
      <c r="J3044">
        <v>1</v>
      </c>
      <c r="K3044">
        <v>52</v>
      </c>
      <c r="L3044">
        <v>347</v>
      </c>
      <c r="M3044">
        <v>1</v>
      </c>
      <c r="N3044">
        <v>1.03844E-114</v>
      </c>
      <c r="O3044">
        <v>1052</v>
      </c>
    </row>
    <row r="3045" spans="1:15" x14ac:dyDescent="0.25">
      <c r="A3045" t="s">
        <v>3058</v>
      </c>
      <c r="B3045">
        <v>848</v>
      </c>
      <c r="C3045" s="1" t="str">
        <f>HYPERLINK("http://www.rosaceae.org/gb/gbrowse/malus_x_domestica/?name=MDP0000134935","MDP0000134935")</f>
        <v>MDP0000134935</v>
      </c>
      <c r="D3045">
        <v>78.349999999999994</v>
      </c>
      <c r="E3045">
        <v>328</v>
      </c>
      <c r="F3045">
        <v>71</v>
      </c>
      <c r="G3045">
        <v>42</v>
      </c>
      <c r="H3045">
        <v>180</v>
      </c>
      <c r="I3045">
        <v>465</v>
      </c>
      <c r="J3045">
        <v>1</v>
      </c>
      <c r="K3045">
        <v>1</v>
      </c>
      <c r="L3045">
        <v>328</v>
      </c>
      <c r="M3045">
        <v>1</v>
      </c>
      <c r="N3045">
        <v>1.3974199999999999E-154</v>
      </c>
      <c r="O3045">
        <v>1402</v>
      </c>
    </row>
    <row r="3046" spans="1:15" x14ac:dyDescent="0.25">
      <c r="A3046" t="s">
        <v>3059</v>
      </c>
      <c r="B3046">
        <v>486</v>
      </c>
      <c r="C3046" s="1" t="str">
        <f>HYPERLINK("http://www.rosaceae.org/gb/gbrowse/malus_x_domestica/?name=MDP0000258943","MDP0000258943")</f>
        <v>MDP0000258943</v>
      </c>
      <c r="D3046">
        <v>45.54</v>
      </c>
      <c r="E3046">
        <v>617</v>
      </c>
      <c r="F3046">
        <v>336</v>
      </c>
      <c r="G3046">
        <v>140</v>
      </c>
      <c r="H3046">
        <v>1</v>
      </c>
      <c r="I3046">
        <v>484</v>
      </c>
      <c r="J3046">
        <v>1</v>
      </c>
      <c r="K3046">
        <v>1</v>
      </c>
      <c r="L3046">
        <v>610</v>
      </c>
      <c r="M3046">
        <v>1</v>
      </c>
      <c r="N3046">
        <v>2.6972099999999999E-123</v>
      </c>
      <c r="O3046">
        <v>1130</v>
      </c>
    </row>
    <row r="3047" spans="1:15" x14ac:dyDescent="0.25">
      <c r="A3047" t="s">
        <v>3060</v>
      </c>
      <c r="B3047">
        <v>178</v>
      </c>
      <c r="C3047" s="1" t="str">
        <f>HYPERLINK("http://www.rosaceae.org/gb/gbrowse/malus_x_domestica/?name=MDP0000833391","MDP0000833391")</f>
        <v>MDP0000833391</v>
      </c>
      <c r="D3047">
        <v>42.68</v>
      </c>
      <c r="E3047">
        <v>82</v>
      </c>
      <c r="F3047">
        <v>47</v>
      </c>
      <c r="G3047">
        <v>1</v>
      </c>
      <c r="H3047">
        <v>42</v>
      </c>
      <c r="I3047">
        <v>122</v>
      </c>
      <c r="J3047">
        <v>1</v>
      </c>
      <c r="K3047">
        <v>75</v>
      </c>
      <c r="L3047">
        <v>156</v>
      </c>
      <c r="M3047">
        <v>1</v>
      </c>
      <c r="N3047">
        <v>3.3915499999999999E-9</v>
      </c>
      <c r="O3047">
        <v>140</v>
      </c>
    </row>
    <row r="3048" spans="1:15" x14ac:dyDescent="0.25">
      <c r="A3048" t="s">
        <v>3061</v>
      </c>
      <c r="B3048">
        <v>310</v>
      </c>
      <c r="C3048" s="1" t="str">
        <f>HYPERLINK("http://www.rosaceae.org/gb/gbrowse/malus_x_domestica/?name=MDP0000737672","MDP0000737672")</f>
        <v>MDP0000737672</v>
      </c>
      <c r="D3048">
        <v>59.76</v>
      </c>
      <c r="E3048">
        <v>338</v>
      </c>
      <c r="F3048">
        <v>136</v>
      </c>
      <c r="G3048">
        <v>34</v>
      </c>
      <c r="H3048">
        <v>1</v>
      </c>
      <c r="I3048">
        <v>310</v>
      </c>
      <c r="J3048">
        <v>1</v>
      </c>
      <c r="K3048">
        <v>1</v>
      </c>
      <c r="L3048">
        <v>332</v>
      </c>
      <c r="M3048">
        <v>1</v>
      </c>
      <c r="N3048">
        <v>2.9933799999999999E-89</v>
      </c>
      <c r="O3048">
        <v>834</v>
      </c>
    </row>
    <row r="3049" spans="1:15" x14ac:dyDescent="0.25">
      <c r="A3049" t="s">
        <v>3062</v>
      </c>
      <c r="B3049">
        <v>282</v>
      </c>
      <c r="C3049" s="1" t="str">
        <f>HYPERLINK("http://www.rosaceae.org/gb/gbrowse/malus_x_domestica/?name=MDP0000262916","MDP0000262916")</f>
        <v>MDP0000262916</v>
      </c>
      <c r="D3049">
        <v>31.29</v>
      </c>
      <c r="E3049">
        <v>131</v>
      </c>
      <c r="F3049">
        <v>90</v>
      </c>
      <c r="G3049">
        <v>4</v>
      </c>
      <c r="H3049">
        <v>149</v>
      </c>
      <c r="I3049">
        <v>276</v>
      </c>
      <c r="J3049">
        <v>1</v>
      </c>
      <c r="K3049">
        <v>1</v>
      </c>
      <c r="L3049">
        <v>130</v>
      </c>
      <c r="M3049">
        <v>1</v>
      </c>
      <c r="N3049">
        <v>1.8528100000000001E-8</v>
      </c>
      <c r="O3049">
        <v>137</v>
      </c>
    </row>
    <row r="3050" spans="1:15" x14ac:dyDescent="0.25">
      <c r="A3050" t="s">
        <v>3063</v>
      </c>
      <c r="B3050">
        <v>167</v>
      </c>
      <c r="C3050" s="1" t="str">
        <f>HYPERLINK("http://www.rosaceae.org/gb/gbrowse/malus_x_domestica/?name=MDP0000708552","MDP0000708552")</f>
        <v>MDP0000708552</v>
      </c>
      <c r="D3050">
        <v>52.94</v>
      </c>
      <c r="E3050">
        <v>136</v>
      </c>
      <c r="F3050">
        <v>64</v>
      </c>
      <c r="G3050">
        <v>14</v>
      </c>
      <c r="H3050">
        <v>31</v>
      </c>
      <c r="I3050">
        <v>158</v>
      </c>
      <c r="J3050">
        <v>1</v>
      </c>
      <c r="K3050">
        <v>228</v>
      </c>
      <c r="L3050">
        <v>357</v>
      </c>
      <c r="M3050">
        <v>1</v>
      </c>
      <c r="N3050">
        <v>2.0542900000000001E-30</v>
      </c>
      <c r="O3050">
        <v>323</v>
      </c>
    </row>
    <row r="3051" spans="1:15" x14ac:dyDescent="0.25">
      <c r="A3051" t="s">
        <v>3064</v>
      </c>
      <c r="B3051">
        <v>499</v>
      </c>
      <c r="C3051" s="1" t="str">
        <f>HYPERLINK("http://www.rosaceae.org/gb/gbrowse/malus_x_domestica/?name=MDP0000151800","MDP0000151800")</f>
        <v>MDP0000151800</v>
      </c>
      <c r="D3051">
        <v>75.91</v>
      </c>
      <c r="E3051">
        <v>137</v>
      </c>
      <c r="F3051">
        <v>33</v>
      </c>
      <c r="G3051">
        <v>1</v>
      </c>
      <c r="H3051">
        <v>361</v>
      </c>
      <c r="I3051">
        <v>497</v>
      </c>
      <c r="J3051">
        <v>1</v>
      </c>
      <c r="K3051">
        <v>74</v>
      </c>
      <c r="L3051">
        <v>209</v>
      </c>
      <c r="M3051">
        <v>1</v>
      </c>
      <c r="N3051">
        <v>9.1660599999999996E-56</v>
      </c>
      <c r="O3051">
        <v>547</v>
      </c>
    </row>
    <row r="3052" spans="1:15" x14ac:dyDescent="0.25">
      <c r="A3052" t="s">
        <v>3065</v>
      </c>
      <c r="B3052">
        <v>294</v>
      </c>
      <c r="C3052" s="1" t="str">
        <f>HYPERLINK("http://www.rosaceae.org/gb/gbrowse/malus_x_domestica/?name=MDP0000136671","MDP0000136671")</f>
        <v>MDP0000136671</v>
      </c>
      <c r="D3052">
        <v>37.409999999999997</v>
      </c>
      <c r="E3052">
        <v>302</v>
      </c>
      <c r="F3052">
        <v>189</v>
      </c>
      <c r="G3052">
        <v>30</v>
      </c>
      <c r="H3052">
        <v>2</v>
      </c>
      <c r="I3052">
        <v>290</v>
      </c>
      <c r="J3052">
        <v>1</v>
      </c>
      <c r="K3052">
        <v>1</v>
      </c>
      <c r="L3052">
        <v>285</v>
      </c>
      <c r="M3052">
        <v>1</v>
      </c>
      <c r="N3052">
        <v>3.1640100000000002E-52</v>
      </c>
      <c r="O3052">
        <v>514</v>
      </c>
    </row>
    <row r="3053" spans="1:15" x14ac:dyDescent="0.25">
      <c r="A3053" t="s">
        <v>3066</v>
      </c>
      <c r="B3053">
        <v>730</v>
      </c>
      <c r="C3053" s="1" t="str">
        <f>HYPERLINK("http://www.rosaceae.org/gb/gbrowse/malus_x_domestica/?name=MDP0000319798","MDP0000319798")</f>
        <v>MDP0000319798</v>
      </c>
      <c r="D3053">
        <v>88.68</v>
      </c>
      <c r="E3053">
        <v>716</v>
      </c>
      <c r="F3053">
        <v>81</v>
      </c>
      <c r="G3053">
        <v>10</v>
      </c>
      <c r="H3053">
        <v>25</v>
      </c>
      <c r="I3053">
        <v>730</v>
      </c>
      <c r="J3053">
        <v>1</v>
      </c>
      <c r="K3053">
        <v>34</v>
      </c>
      <c r="L3053">
        <v>749</v>
      </c>
      <c r="M3053">
        <v>1</v>
      </c>
      <c r="N3053">
        <v>0</v>
      </c>
      <c r="O3053">
        <v>3410</v>
      </c>
    </row>
    <row r="3054" spans="1:15" x14ac:dyDescent="0.25">
      <c r="A3054" t="s">
        <v>3067</v>
      </c>
      <c r="B3054">
        <v>634</v>
      </c>
      <c r="C3054" s="1" t="str">
        <f>HYPERLINK("http://www.rosaceae.org/gb/gbrowse/malus_x_domestica/?name=MDP0000122199","MDP0000122199")</f>
        <v>MDP0000122199</v>
      </c>
      <c r="D3054">
        <v>82.52</v>
      </c>
      <c r="E3054">
        <v>641</v>
      </c>
      <c r="F3054">
        <v>112</v>
      </c>
      <c r="G3054">
        <v>13</v>
      </c>
      <c r="H3054">
        <v>1</v>
      </c>
      <c r="I3054">
        <v>630</v>
      </c>
      <c r="J3054">
        <v>1</v>
      </c>
      <c r="K3054">
        <v>1</v>
      </c>
      <c r="L3054">
        <v>639</v>
      </c>
      <c r="M3054">
        <v>1</v>
      </c>
      <c r="N3054">
        <v>0</v>
      </c>
      <c r="O3054">
        <v>2772</v>
      </c>
    </row>
    <row r="3055" spans="1:15" x14ac:dyDescent="0.25">
      <c r="A3055" t="s">
        <v>3068</v>
      </c>
      <c r="B3055">
        <v>357</v>
      </c>
      <c r="C3055" s="1" t="str">
        <f>HYPERLINK("http://www.rosaceae.org/gb/gbrowse/malus_x_domestica/?name=MDP0000516623","MDP0000516623")</f>
        <v>MDP0000516623</v>
      </c>
      <c r="D3055">
        <v>80.239999999999995</v>
      </c>
      <c r="E3055">
        <v>329</v>
      </c>
      <c r="F3055">
        <v>65</v>
      </c>
      <c r="G3055">
        <v>0</v>
      </c>
      <c r="H3055">
        <v>29</v>
      </c>
      <c r="I3055">
        <v>357</v>
      </c>
      <c r="J3055">
        <v>1</v>
      </c>
      <c r="K3055">
        <v>31</v>
      </c>
      <c r="L3055">
        <v>359</v>
      </c>
      <c r="M3055">
        <v>1</v>
      </c>
      <c r="N3055">
        <v>1.7299599999999999E-158</v>
      </c>
      <c r="O3055">
        <v>1432</v>
      </c>
    </row>
    <row r="3056" spans="1:15" x14ac:dyDescent="0.25">
      <c r="A3056" t="s">
        <v>3069</v>
      </c>
      <c r="B3056">
        <v>831</v>
      </c>
      <c r="C3056" s="1" t="str">
        <f>HYPERLINK("http://www.rosaceae.org/gb/gbrowse/malus_x_domestica/?name=MDP0000440853","MDP0000440853")</f>
        <v>MDP0000440853</v>
      </c>
      <c r="D3056">
        <v>67.099999999999994</v>
      </c>
      <c r="E3056">
        <v>687</v>
      </c>
      <c r="F3056">
        <v>226</v>
      </c>
      <c r="G3056">
        <v>32</v>
      </c>
      <c r="H3056">
        <v>158</v>
      </c>
      <c r="I3056">
        <v>831</v>
      </c>
      <c r="J3056">
        <v>1</v>
      </c>
      <c r="K3056">
        <v>1</v>
      </c>
      <c r="L3056">
        <v>668</v>
      </c>
      <c r="M3056">
        <v>1</v>
      </c>
      <c r="N3056">
        <v>0</v>
      </c>
      <c r="O3056">
        <v>2251</v>
      </c>
    </row>
    <row r="3057" spans="1:15" x14ac:dyDescent="0.25">
      <c r="A3057" t="s">
        <v>3070</v>
      </c>
      <c r="B3057">
        <v>713</v>
      </c>
      <c r="C3057" s="1" t="str">
        <f>HYPERLINK("http://www.rosaceae.org/gb/gbrowse/malus_x_domestica/?name=MDP0000056491","MDP0000056491")</f>
        <v>MDP0000056491</v>
      </c>
      <c r="D3057">
        <v>65.37</v>
      </c>
      <c r="E3057">
        <v>309</v>
      </c>
      <c r="F3057">
        <v>107</v>
      </c>
      <c r="G3057">
        <v>15</v>
      </c>
      <c r="H3057">
        <v>1</v>
      </c>
      <c r="I3057">
        <v>303</v>
      </c>
      <c r="J3057">
        <v>1</v>
      </c>
      <c r="K3057">
        <v>1</v>
      </c>
      <c r="L3057">
        <v>300</v>
      </c>
      <c r="M3057">
        <v>1</v>
      </c>
      <c r="N3057">
        <v>1.34887E-114</v>
      </c>
      <c r="O3057">
        <v>1056</v>
      </c>
    </row>
    <row r="3058" spans="1:15" x14ac:dyDescent="0.25">
      <c r="A3058" t="s">
        <v>3071</v>
      </c>
      <c r="B3058">
        <v>469</v>
      </c>
      <c r="C3058" s="1" t="str">
        <f>HYPERLINK("http://www.rosaceae.org/gb/gbrowse/malus_x_domestica/?name=MDP0000223149","MDP0000223149")</f>
        <v>MDP0000223149</v>
      </c>
      <c r="D3058">
        <v>37.159999999999997</v>
      </c>
      <c r="E3058">
        <v>113</v>
      </c>
      <c r="F3058">
        <v>71</v>
      </c>
      <c r="G3058">
        <v>4</v>
      </c>
      <c r="H3058">
        <v>182</v>
      </c>
      <c r="I3058">
        <v>290</v>
      </c>
      <c r="J3058">
        <v>1</v>
      </c>
      <c r="K3058">
        <v>323</v>
      </c>
      <c r="L3058">
        <v>435</v>
      </c>
      <c r="M3058">
        <v>1</v>
      </c>
      <c r="N3058">
        <v>7.9393100000000003E-11</v>
      </c>
      <c r="O3058">
        <v>160</v>
      </c>
    </row>
    <row r="3059" spans="1:15" x14ac:dyDescent="0.25">
      <c r="A3059" t="s">
        <v>3072</v>
      </c>
      <c r="B3059">
        <v>48</v>
      </c>
      <c r="C3059" s="1" t="str">
        <f>HYPERLINK("http://www.rosaceae.org/gb/gbrowse/malus_x_domestica/?name=MDP0000333057","MDP0000333057")</f>
        <v>MDP0000333057</v>
      </c>
      <c r="D3059">
        <v>100</v>
      </c>
      <c r="E3059">
        <v>35</v>
      </c>
      <c r="F3059">
        <v>0</v>
      </c>
      <c r="G3059">
        <v>0</v>
      </c>
      <c r="H3059">
        <v>1</v>
      </c>
      <c r="I3059">
        <v>35</v>
      </c>
      <c r="J3059">
        <v>1</v>
      </c>
      <c r="K3059">
        <v>13</v>
      </c>
      <c r="L3059">
        <v>47</v>
      </c>
      <c r="M3059">
        <v>1</v>
      </c>
      <c r="N3059">
        <v>5.7575899999999999E-16</v>
      </c>
      <c r="O3059">
        <v>195</v>
      </c>
    </row>
    <row r="3060" spans="1:15" x14ac:dyDescent="0.25">
      <c r="A3060" t="s">
        <v>3073</v>
      </c>
      <c r="B3060">
        <v>249</v>
      </c>
      <c r="C3060" s="1" t="str">
        <f>HYPERLINK("http://www.rosaceae.org/gb/gbrowse/malus_x_domestica/?name=MDP0000186417","MDP0000186417")</f>
        <v>MDP0000186417</v>
      </c>
      <c r="D3060">
        <v>64.430000000000007</v>
      </c>
      <c r="E3060">
        <v>239</v>
      </c>
      <c r="F3060">
        <v>85</v>
      </c>
      <c r="G3060">
        <v>4</v>
      </c>
      <c r="H3060">
        <v>14</v>
      </c>
      <c r="I3060">
        <v>248</v>
      </c>
      <c r="J3060">
        <v>1</v>
      </c>
      <c r="K3060">
        <v>437</v>
      </c>
      <c r="L3060">
        <v>675</v>
      </c>
      <c r="M3060">
        <v>1</v>
      </c>
      <c r="N3060">
        <v>1.2731300000000001E-93</v>
      </c>
      <c r="O3060">
        <v>870</v>
      </c>
    </row>
    <row r="3061" spans="1:15" x14ac:dyDescent="0.25">
      <c r="A3061" t="s">
        <v>3074</v>
      </c>
      <c r="B3061">
        <v>363</v>
      </c>
      <c r="C3061" s="1" t="str">
        <f>HYPERLINK("http://www.rosaceae.org/gb/gbrowse/malus_x_domestica/?name=MDP0000314346","MDP0000314346")</f>
        <v>MDP0000314346</v>
      </c>
      <c r="D3061">
        <v>76.94</v>
      </c>
      <c r="E3061">
        <v>360</v>
      </c>
      <c r="F3061">
        <v>83</v>
      </c>
      <c r="G3061">
        <v>4</v>
      </c>
      <c r="H3061">
        <v>1</v>
      </c>
      <c r="I3061">
        <v>360</v>
      </c>
      <c r="J3061">
        <v>1</v>
      </c>
      <c r="K3061">
        <v>195</v>
      </c>
      <c r="L3061">
        <v>550</v>
      </c>
      <c r="M3061">
        <v>1</v>
      </c>
      <c r="N3061">
        <v>1.24647E-161</v>
      </c>
      <c r="O3061">
        <v>1459</v>
      </c>
    </row>
    <row r="3062" spans="1:15" x14ac:dyDescent="0.25">
      <c r="A3062" t="s">
        <v>3075</v>
      </c>
      <c r="B3062">
        <v>61</v>
      </c>
      <c r="C3062" s="1" t="str">
        <f>HYPERLINK("http://www.rosaceae.org/gb/gbrowse/malus_x_domestica/?name=MDP0000261705","MDP0000261705")</f>
        <v>MDP0000261705</v>
      </c>
      <c r="D3062">
        <v>88.63</v>
      </c>
      <c r="E3062">
        <v>44</v>
      </c>
      <c r="F3062">
        <v>5</v>
      </c>
      <c r="G3062">
        <v>0</v>
      </c>
      <c r="H3062">
        <v>7</v>
      </c>
      <c r="I3062">
        <v>50</v>
      </c>
      <c r="J3062">
        <v>1</v>
      </c>
      <c r="K3062">
        <v>415</v>
      </c>
      <c r="L3062">
        <v>458</v>
      </c>
      <c r="M3062">
        <v>1</v>
      </c>
      <c r="N3062">
        <v>4.2723800000000001E-19</v>
      </c>
      <c r="O3062">
        <v>222</v>
      </c>
    </row>
    <row r="3063" spans="1:15" x14ac:dyDescent="0.25">
      <c r="A3063" t="s">
        <v>3076</v>
      </c>
      <c r="B3063">
        <v>298</v>
      </c>
      <c r="C3063" s="1" t="str">
        <f>HYPERLINK("http://www.rosaceae.org/gb/gbrowse/malus_x_domestica/?name=MDP0000236134","MDP0000236134")</f>
        <v>MDP0000236134</v>
      </c>
      <c r="D3063">
        <v>34.729999999999997</v>
      </c>
      <c r="E3063">
        <v>167</v>
      </c>
      <c r="F3063">
        <v>109</v>
      </c>
      <c r="G3063">
        <v>8</v>
      </c>
      <c r="H3063">
        <v>1</v>
      </c>
      <c r="I3063">
        <v>161</v>
      </c>
      <c r="J3063">
        <v>1</v>
      </c>
      <c r="K3063">
        <v>421</v>
      </c>
      <c r="L3063">
        <v>585</v>
      </c>
      <c r="M3063">
        <v>1</v>
      </c>
      <c r="N3063">
        <v>1.7144399999999999E-21</v>
      </c>
      <c r="O3063">
        <v>249</v>
      </c>
    </row>
    <row r="3064" spans="1:15" x14ac:dyDescent="0.25">
      <c r="A3064" t="s">
        <v>3077</v>
      </c>
      <c r="B3064">
        <v>151</v>
      </c>
      <c r="C3064" s="1" t="str">
        <f>HYPERLINK("http://www.rosaceae.org/gb/gbrowse/malus_x_domestica/?name=MDP0000247921","MDP0000247921")</f>
        <v>MDP0000247921</v>
      </c>
      <c r="D3064">
        <v>44.82</v>
      </c>
      <c r="E3064">
        <v>145</v>
      </c>
      <c r="F3064">
        <v>80</v>
      </c>
      <c r="G3064">
        <v>5</v>
      </c>
      <c r="H3064">
        <v>5</v>
      </c>
      <c r="I3064">
        <v>149</v>
      </c>
      <c r="J3064">
        <v>1</v>
      </c>
      <c r="K3064">
        <v>587</v>
      </c>
      <c r="L3064">
        <v>726</v>
      </c>
      <c r="M3064">
        <v>1</v>
      </c>
      <c r="N3064">
        <v>1.9137499999999999E-31</v>
      </c>
      <c r="O3064">
        <v>331</v>
      </c>
    </row>
    <row r="3065" spans="1:15" x14ac:dyDescent="0.25">
      <c r="A3065" t="s">
        <v>3078</v>
      </c>
      <c r="B3065">
        <v>485</v>
      </c>
      <c r="C3065" s="1" t="str">
        <f>HYPERLINK("http://www.rosaceae.org/gb/gbrowse/malus_x_domestica/?name=MDP0000258781","MDP0000258781")</f>
        <v>MDP0000258781</v>
      </c>
      <c r="D3065">
        <v>71.180000000000007</v>
      </c>
      <c r="E3065">
        <v>472</v>
      </c>
      <c r="F3065">
        <v>136</v>
      </c>
      <c r="G3065">
        <v>18</v>
      </c>
      <c r="H3065">
        <v>16</v>
      </c>
      <c r="I3065">
        <v>473</v>
      </c>
      <c r="J3065">
        <v>1</v>
      </c>
      <c r="K3065">
        <v>882</v>
      </c>
      <c r="L3065">
        <v>1349</v>
      </c>
      <c r="M3065">
        <v>1</v>
      </c>
      <c r="N3065">
        <v>0</v>
      </c>
      <c r="O3065">
        <v>1661</v>
      </c>
    </row>
    <row r="3066" spans="1:15" x14ac:dyDescent="0.25">
      <c r="A3066" t="s">
        <v>3079</v>
      </c>
      <c r="B3066">
        <v>498</v>
      </c>
      <c r="C3066" s="1" t="str">
        <f>HYPERLINK("http://www.rosaceae.org/gb/gbrowse/malus_x_domestica/?name=MDP0000211492","MDP0000211492")</f>
        <v>MDP0000211492</v>
      </c>
      <c r="D3066">
        <v>75.56</v>
      </c>
      <c r="E3066">
        <v>491</v>
      </c>
      <c r="F3066">
        <v>120</v>
      </c>
      <c r="G3066">
        <v>26</v>
      </c>
      <c r="H3066">
        <v>30</v>
      </c>
      <c r="I3066">
        <v>497</v>
      </c>
      <c r="J3066">
        <v>1</v>
      </c>
      <c r="K3066">
        <v>13</v>
      </c>
      <c r="L3066">
        <v>500</v>
      </c>
      <c r="M3066">
        <v>1</v>
      </c>
      <c r="N3066">
        <v>0</v>
      </c>
      <c r="O3066">
        <v>1921</v>
      </c>
    </row>
    <row r="3067" spans="1:15" x14ac:dyDescent="0.25">
      <c r="A3067" t="s">
        <v>3080</v>
      </c>
      <c r="B3067">
        <v>427</v>
      </c>
      <c r="C3067" s="1" t="str">
        <f>HYPERLINK("http://www.rosaceae.org/gb/gbrowse/malus_x_domestica/?name=MDP0000314698","MDP0000314698")</f>
        <v>MDP0000314698</v>
      </c>
      <c r="D3067">
        <v>88.82</v>
      </c>
      <c r="E3067">
        <v>376</v>
      </c>
      <c r="F3067">
        <v>42</v>
      </c>
      <c r="G3067">
        <v>1</v>
      </c>
      <c r="H3067">
        <v>52</v>
      </c>
      <c r="I3067">
        <v>427</v>
      </c>
      <c r="J3067">
        <v>1</v>
      </c>
      <c r="K3067">
        <v>108</v>
      </c>
      <c r="L3067">
        <v>482</v>
      </c>
      <c r="M3067">
        <v>1</v>
      </c>
      <c r="N3067">
        <v>0</v>
      </c>
      <c r="O3067">
        <v>1786</v>
      </c>
    </row>
    <row r="3068" spans="1:15" x14ac:dyDescent="0.25">
      <c r="A3068" t="s">
        <v>3081</v>
      </c>
      <c r="B3068">
        <v>138</v>
      </c>
      <c r="C3068" s="1" t="str">
        <f>HYPERLINK("http://www.rosaceae.org/gb/gbrowse/malus_x_domestica/?name=MDP0000282820","MDP0000282820")</f>
        <v>MDP0000282820</v>
      </c>
      <c r="D3068">
        <v>42.39</v>
      </c>
      <c r="E3068">
        <v>92</v>
      </c>
      <c r="F3068">
        <v>53</v>
      </c>
      <c r="G3068">
        <v>1</v>
      </c>
      <c r="H3068">
        <v>3</v>
      </c>
      <c r="I3068">
        <v>94</v>
      </c>
      <c r="J3068">
        <v>1</v>
      </c>
      <c r="K3068">
        <v>498</v>
      </c>
      <c r="L3068">
        <v>588</v>
      </c>
      <c r="M3068">
        <v>1</v>
      </c>
      <c r="N3068">
        <v>1.1470699999999999E-15</v>
      </c>
      <c r="O3068">
        <v>194</v>
      </c>
    </row>
    <row r="3069" spans="1:15" x14ac:dyDescent="0.25">
      <c r="A3069" t="s">
        <v>3082</v>
      </c>
      <c r="B3069">
        <v>168</v>
      </c>
      <c r="C3069" s="1" t="str">
        <f>HYPERLINK("http://www.rosaceae.org/gb/gbrowse/malus_x_domestica/?name=MDP0000292325","MDP0000292325")</f>
        <v>MDP0000292325</v>
      </c>
      <c r="D3069">
        <v>33.33</v>
      </c>
      <c r="E3069">
        <v>123</v>
      </c>
      <c r="F3069">
        <v>82</v>
      </c>
      <c r="G3069">
        <v>23</v>
      </c>
      <c r="H3069">
        <v>39</v>
      </c>
      <c r="I3069">
        <v>139</v>
      </c>
      <c r="J3069">
        <v>1</v>
      </c>
      <c r="K3069">
        <v>94</v>
      </c>
      <c r="L3069">
        <v>215</v>
      </c>
      <c r="M3069">
        <v>1</v>
      </c>
      <c r="N3069">
        <v>2.3360800000000001E-9</v>
      </c>
      <c r="O3069">
        <v>141</v>
      </c>
    </row>
    <row r="3070" spans="1:15" x14ac:dyDescent="0.25">
      <c r="A3070" t="s">
        <v>3083</v>
      </c>
      <c r="B3070">
        <v>258</v>
      </c>
      <c r="C3070" s="1" t="str">
        <f>HYPERLINK("http://www.rosaceae.org/gb/gbrowse/malus_x_domestica/?name=MDP0000131330","MDP0000131330")</f>
        <v>MDP0000131330</v>
      </c>
      <c r="D3070">
        <v>71.680000000000007</v>
      </c>
      <c r="E3070">
        <v>219</v>
      </c>
      <c r="F3070">
        <v>62</v>
      </c>
      <c r="G3070">
        <v>2</v>
      </c>
      <c r="H3070">
        <v>38</v>
      </c>
      <c r="I3070">
        <v>256</v>
      </c>
      <c r="J3070">
        <v>1</v>
      </c>
      <c r="K3070">
        <v>6</v>
      </c>
      <c r="L3070">
        <v>222</v>
      </c>
      <c r="M3070">
        <v>1</v>
      </c>
      <c r="N3070">
        <v>4.0025700000000001E-87</v>
      </c>
      <c r="O3070">
        <v>814</v>
      </c>
    </row>
    <row r="3071" spans="1:15" x14ac:dyDescent="0.25">
      <c r="A3071" t="s">
        <v>3084</v>
      </c>
      <c r="B3071">
        <v>172</v>
      </c>
      <c r="C3071" s="1" t="str">
        <f>HYPERLINK("http://www.rosaceae.org/gb/gbrowse/malus_x_domestica/?name=MDP0000290236","MDP0000290236")</f>
        <v>MDP0000290236</v>
      </c>
      <c r="D3071">
        <v>70.94</v>
      </c>
      <c r="E3071">
        <v>179</v>
      </c>
      <c r="F3071">
        <v>52</v>
      </c>
      <c r="G3071">
        <v>17</v>
      </c>
      <c r="H3071">
        <v>4</v>
      </c>
      <c r="I3071">
        <v>168</v>
      </c>
      <c r="J3071">
        <v>1</v>
      </c>
      <c r="K3071">
        <v>8</v>
      </c>
      <c r="L3071">
        <v>183</v>
      </c>
      <c r="M3071">
        <v>1</v>
      </c>
      <c r="N3071">
        <v>2.3506000000000001E-59</v>
      </c>
      <c r="O3071">
        <v>572</v>
      </c>
    </row>
    <row r="3072" spans="1:15" x14ac:dyDescent="0.25">
      <c r="A3072" t="s">
        <v>3085</v>
      </c>
      <c r="B3072">
        <v>382</v>
      </c>
      <c r="C3072" s="1" t="str">
        <f>HYPERLINK("http://www.rosaceae.org/gb/gbrowse/malus_x_domestica/?name=MDP0000125777","MDP0000125777")</f>
        <v>MDP0000125777</v>
      </c>
      <c r="D3072">
        <v>73.569999999999993</v>
      </c>
      <c r="E3072">
        <v>386</v>
      </c>
      <c r="F3072">
        <v>102</v>
      </c>
      <c r="G3072">
        <v>26</v>
      </c>
      <c r="H3072">
        <v>1</v>
      </c>
      <c r="I3072">
        <v>380</v>
      </c>
      <c r="J3072">
        <v>1</v>
      </c>
      <c r="K3072">
        <v>1</v>
      </c>
      <c r="L3072">
        <v>366</v>
      </c>
      <c r="M3072">
        <v>1</v>
      </c>
      <c r="N3072">
        <v>5.2218799999999997E-156</v>
      </c>
      <c r="O3072">
        <v>1411</v>
      </c>
    </row>
    <row r="3073" spans="1:15" x14ac:dyDescent="0.25">
      <c r="A3073" t="s">
        <v>3086</v>
      </c>
      <c r="B3073">
        <v>264</v>
      </c>
      <c r="C3073" s="1" t="str">
        <f>HYPERLINK("http://www.rosaceae.org/gb/gbrowse/malus_x_domestica/?name=MDP0000157816","MDP0000157816")</f>
        <v>MDP0000157816</v>
      </c>
      <c r="D3073">
        <v>52.15</v>
      </c>
      <c r="E3073">
        <v>278</v>
      </c>
      <c r="F3073">
        <v>133</v>
      </c>
      <c r="G3073">
        <v>29</v>
      </c>
      <c r="H3073">
        <v>4</v>
      </c>
      <c r="I3073">
        <v>264</v>
      </c>
      <c r="J3073">
        <v>1</v>
      </c>
      <c r="K3073">
        <v>6</v>
      </c>
      <c r="L3073">
        <v>271</v>
      </c>
      <c r="M3073">
        <v>1</v>
      </c>
      <c r="N3073">
        <v>5.68946E-63</v>
      </c>
      <c r="O3073">
        <v>606</v>
      </c>
    </row>
    <row r="3074" spans="1:15" x14ac:dyDescent="0.25">
      <c r="A3074" t="s">
        <v>3087</v>
      </c>
      <c r="B3074">
        <v>275</v>
      </c>
      <c r="C3074" s="1" t="str">
        <f>HYPERLINK("http://www.rosaceae.org/gb/gbrowse/malus_x_domestica/?name=MDP0000258984","MDP0000258984")</f>
        <v>MDP0000258984</v>
      </c>
      <c r="D3074">
        <v>36.229999999999997</v>
      </c>
      <c r="E3074">
        <v>287</v>
      </c>
      <c r="F3074">
        <v>183</v>
      </c>
      <c r="G3074">
        <v>80</v>
      </c>
      <c r="H3074">
        <v>17</v>
      </c>
      <c r="I3074">
        <v>275</v>
      </c>
      <c r="J3074">
        <v>1</v>
      </c>
      <c r="K3074">
        <v>31</v>
      </c>
      <c r="L3074">
        <v>265</v>
      </c>
      <c r="M3074">
        <v>1</v>
      </c>
      <c r="N3074">
        <v>3.0663199999999998E-33</v>
      </c>
      <c r="O3074">
        <v>350</v>
      </c>
    </row>
    <row r="3075" spans="1:15" x14ac:dyDescent="0.25">
      <c r="A3075" t="s">
        <v>3088</v>
      </c>
      <c r="B3075">
        <v>413</v>
      </c>
      <c r="C3075" s="1" t="str">
        <f>HYPERLINK("http://www.rosaceae.org/gb/gbrowse/malus_x_domestica/?name=MDP0000126323","MDP0000126323")</f>
        <v>MDP0000126323</v>
      </c>
      <c r="D3075">
        <v>63.55</v>
      </c>
      <c r="E3075">
        <v>214</v>
      </c>
      <c r="F3075">
        <v>78</v>
      </c>
      <c r="G3075">
        <v>30</v>
      </c>
      <c r="H3075">
        <v>52</v>
      </c>
      <c r="I3075">
        <v>235</v>
      </c>
      <c r="J3075">
        <v>1</v>
      </c>
      <c r="K3075">
        <v>5</v>
      </c>
      <c r="L3075">
        <v>218</v>
      </c>
      <c r="M3075">
        <v>1</v>
      </c>
      <c r="N3075">
        <v>7.9230399999999995E-67</v>
      </c>
      <c r="O3075">
        <v>642</v>
      </c>
    </row>
    <row r="3076" spans="1:15" x14ac:dyDescent="0.25">
      <c r="A3076" t="s">
        <v>3089</v>
      </c>
      <c r="B3076">
        <v>412</v>
      </c>
      <c r="C3076" s="1" t="str">
        <f>HYPERLINK("http://www.rosaceae.org/gb/gbrowse/malus_x_domestica/?name=MDP0000712530","MDP0000712530")</f>
        <v>MDP0000712530</v>
      </c>
      <c r="D3076">
        <v>81.010000000000005</v>
      </c>
      <c r="E3076">
        <v>353</v>
      </c>
      <c r="F3076">
        <v>67</v>
      </c>
      <c r="G3076">
        <v>0</v>
      </c>
      <c r="H3076">
        <v>58</v>
      </c>
      <c r="I3076">
        <v>410</v>
      </c>
      <c r="J3076">
        <v>1</v>
      </c>
      <c r="K3076">
        <v>69</v>
      </c>
      <c r="L3076">
        <v>421</v>
      </c>
      <c r="M3076">
        <v>1</v>
      </c>
      <c r="N3076">
        <v>3.3575100000000001E-168</v>
      </c>
      <c r="O3076">
        <v>1516</v>
      </c>
    </row>
    <row r="3077" spans="1:15" x14ac:dyDescent="0.25">
      <c r="A3077" t="s">
        <v>3090</v>
      </c>
      <c r="B3077">
        <v>218</v>
      </c>
      <c r="C3077" s="1" t="str">
        <f>HYPERLINK("http://www.rosaceae.org/gb/gbrowse/malus_x_domestica/?name=MDP0000203822","MDP0000203822")</f>
        <v>MDP0000203822</v>
      </c>
      <c r="D3077">
        <v>76.87</v>
      </c>
      <c r="E3077">
        <v>147</v>
      </c>
      <c r="F3077">
        <v>34</v>
      </c>
      <c r="G3077">
        <v>4</v>
      </c>
      <c r="H3077">
        <v>58</v>
      </c>
      <c r="I3077">
        <v>204</v>
      </c>
      <c r="J3077">
        <v>1</v>
      </c>
      <c r="K3077">
        <v>75</v>
      </c>
      <c r="L3077">
        <v>217</v>
      </c>
      <c r="M3077">
        <v>1</v>
      </c>
      <c r="N3077">
        <v>1.9953500000000001E-61</v>
      </c>
      <c r="O3077">
        <v>592</v>
      </c>
    </row>
    <row r="3078" spans="1:15" x14ac:dyDescent="0.25">
      <c r="A3078" t="s">
        <v>3091</v>
      </c>
      <c r="B3078">
        <v>835</v>
      </c>
      <c r="C3078" s="1" t="str">
        <f>HYPERLINK("http://www.rosaceae.org/gb/gbrowse/malus_x_domestica/?name=MDP0000123354","MDP0000123354")</f>
        <v>MDP0000123354</v>
      </c>
      <c r="D3078">
        <v>86.85</v>
      </c>
      <c r="E3078">
        <v>829</v>
      </c>
      <c r="F3078">
        <v>109</v>
      </c>
      <c r="G3078">
        <v>12</v>
      </c>
      <c r="H3078">
        <v>8</v>
      </c>
      <c r="I3078">
        <v>835</v>
      </c>
      <c r="J3078">
        <v>1</v>
      </c>
      <c r="K3078">
        <v>18</v>
      </c>
      <c r="L3078">
        <v>835</v>
      </c>
      <c r="M3078">
        <v>1</v>
      </c>
      <c r="N3078">
        <v>0</v>
      </c>
      <c r="O3078">
        <v>3901</v>
      </c>
    </row>
    <row r="3079" spans="1:15" x14ac:dyDescent="0.25">
      <c r="A3079" t="s">
        <v>3092</v>
      </c>
      <c r="B3079">
        <v>284</v>
      </c>
      <c r="C3079" s="1" t="str">
        <f>HYPERLINK("http://www.rosaceae.org/gb/gbrowse/malus_x_domestica/?name=MDP0000230996","MDP0000230996")</f>
        <v>MDP0000230996</v>
      </c>
      <c r="D3079">
        <v>83.09</v>
      </c>
      <c r="E3079">
        <v>284</v>
      </c>
      <c r="F3079">
        <v>48</v>
      </c>
      <c r="G3079">
        <v>7</v>
      </c>
      <c r="H3079">
        <v>8</v>
      </c>
      <c r="I3079">
        <v>284</v>
      </c>
      <c r="J3079">
        <v>1</v>
      </c>
      <c r="K3079">
        <v>4</v>
      </c>
      <c r="L3079">
        <v>287</v>
      </c>
      <c r="M3079">
        <v>1</v>
      </c>
      <c r="N3079">
        <v>6.46665E-138</v>
      </c>
      <c r="O3079">
        <v>1253</v>
      </c>
    </row>
    <row r="3080" spans="1:15" x14ac:dyDescent="0.25">
      <c r="A3080" t="s">
        <v>3093</v>
      </c>
      <c r="B3080">
        <v>728</v>
      </c>
      <c r="C3080" s="1" t="str">
        <f>HYPERLINK("http://www.rosaceae.org/gb/gbrowse/malus_x_domestica/?name=MDP0000167937","MDP0000167937")</f>
        <v>MDP0000167937</v>
      </c>
      <c r="D3080">
        <v>52.64</v>
      </c>
      <c r="E3080">
        <v>568</v>
      </c>
      <c r="F3080">
        <v>269</v>
      </c>
      <c r="G3080">
        <v>37</v>
      </c>
      <c r="H3080">
        <v>4</v>
      </c>
      <c r="I3080">
        <v>551</v>
      </c>
      <c r="J3080">
        <v>1</v>
      </c>
      <c r="K3080">
        <v>2</v>
      </c>
      <c r="L3080">
        <v>552</v>
      </c>
      <c r="M3080">
        <v>1</v>
      </c>
      <c r="N3080">
        <v>1.7822900000000001E-130</v>
      </c>
      <c r="O3080">
        <v>1193</v>
      </c>
    </row>
    <row r="3081" spans="1:15" x14ac:dyDescent="0.25">
      <c r="A3081" t="s">
        <v>3094</v>
      </c>
      <c r="B3081">
        <v>345</v>
      </c>
      <c r="C3081" s="1" t="str">
        <f>HYPERLINK("http://www.rosaceae.org/gb/gbrowse/malus_x_domestica/?name=MDP0000255970","MDP0000255970")</f>
        <v>MDP0000255970</v>
      </c>
      <c r="D3081">
        <v>71.819999999999993</v>
      </c>
      <c r="E3081">
        <v>252</v>
      </c>
      <c r="F3081">
        <v>71</v>
      </c>
      <c r="G3081">
        <v>5</v>
      </c>
      <c r="H3081">
        <v>94</v>
      </c>
      <c r="I3081">
        <v>345</v>
      </c>
      <c r="J3081">
        <v>1</v>
      </c>
      <c r="K3081">
        <v>374</v>
      </c>
      <c r="L3081">
        <v>620</v>
      </c>
      <c r="M3081">
        <v>1</v>
      </c>
      <c r="N3081">
        <v>2.4024199999999998E-93</v>
      </c>
      <c r="O3081">
        <v>870</v>
      </c>
    </row>
    <row r="3082" spans="1:15" x14ac:dyDescent="0.25">
      <c r="A3082" t="s">
        <v>3095</v>
      </c>
      <c r="B3082">
        <v>363</v>
      </c>
      <c r="C3082" s="1" t="str">
        <f>HYPERLINK("http://www.rosaceae.org/gb/gbrowse/malus_x_domestica/?name=MDP0000173611","MDP0000173611")</f>
        <v>MDP0000173611</v>
      </c>
      <c r="D3082">
        <v>81.86</v>
      </c>
      <c r="E3082">
        <v>364</v>
      </c>
      <c r="F3082">
        <v>66</v>
      </c>
      <c r="G3082">
        <v>1</v>
      </c>
      <c r="H3082">
        <v>1</v>
      </c>
      <c r="I3082">
        <v>363</v>
      </c>
      <c r="J3082">
        <v>1</v>
      </c>
      <c r="K3082">
        <v>367</v>
      </c>
      <c r="L3082">
        <v>730</v>
      </c>
      <c r="M3082">
        <v>1</v>
      </c>
      <c r="N3082">
        <v>1.6749200000000001E-178</v>
      </c>
      <c r="O3082">
        <v>1604</v>
      </c>
    </row>
    <row r="3083" spans="1:15" x14ac:dyDescent="0.25">
      <c r="A3083" t="s">
        <v>3096</v>
      </c>
      <c r="B3083">
        <v>368</v>
      </c>
      <c r="C3083" s="1" t="str">
        <f>HYPERLINK("http://www.rosaceae.org/gb/gbrowse/malus_x_domestica/?name=MDP0000128309","MDP0000128309")</f>
        <v>MDP0000128309</v>
      </c>
      <c r="D3083">
        <v>49.32</v>
      </c>
      <c r="E3083">
        <v>223</v>
      </c>
      <c r="F3083">
        <v>113</v>
      </c>
      <c r="G3083">
        <v>35</v>
      </c>
      <c r="H3083">
        <v>153</v>
      </c>
      <c r="I3083">
        <v>368</v>
      </c>
      <c r="J3083">
        <v>1</v>
      </c>
      <c r="K3083">
        <v>1</v>
      </c>
      <c r="L3083">
        <v>195</v>
      </c>
      <c r="M3083">
        <v>1</v>
      </c>
      <c r="N3083">
        <v>2.2414899999999999E-45</v>
      </c>
      <c r="O3083">
        <v>456</v>
      </c>
    </row>
    <row r="3084" spans="1:15" x14ac:dyDescent="0.25">
      <c r="A3084" t="s">
        <v>3097</v>
      </c>
      <c r="B3084">
        <v>654</v>
      </c>
      <c r="C3084" s="1" t="str">
        <f>HYPERLINK("http://www.rosaceae.org/gb/gbrowse/malus_x_domestica/?name=MDP0000251787","MDP0000251787")</f>
        <v>MDP0000251787</v>
      </c>
      <c r="D3084">
        <v>42.05</v>
      </c>
      <c r="E3084">
        <v>321</v>
      </c>
      <c r="F3084">
        <v>186</v>
      </c>
      <c r="G3084">
        <v>87</v>
      </c>
      <c r="H3084">
        <v>1</v>
      </c>
      <c r="I3084">
        <v>252</v>
      </c>
      <c r="J3084">
        <v>1</v>
      </c>
      <c r="K3084">
        <v>1</v>
      </c>
      <c r="L3084">
        <v>303</v>
      </c>
      <c r="M3084">
        <v>1</v>
      </c>
      <c r="N3084">
        <v>3.34319E-43</v>
      </c>
      <c r="O3084">
        <v>440</v>
      </c>
    </row>
    <row r="3085" spans="1:15" x14ac:dyDescent="0.25">
      <c r="A3085" t="s">
        <v>3098</v>
      </c>
      <c r="B3085">
        <v>483</v>
      </c>
      <c r="C3085" s="1" t="str">
        <f>HYPERLINK("http://www.rosaceae.org/gb/gbrowse/malus_x_domestica/?name=MDP0000317873","MDP0000317873")</f>
        <v>MDP0000317873</v>
      </c>
      <c r="D3085">
        <v>51.92</v>
      </c>
      <c r="E3085">
        <v>312</v>
      </c>
      <c r="F3085">
        <v>150</v>
      </c>
      <c r="G3085">
        <v>10</v>
      </c>
      <c r="H3085">
        <v>1</v>
      </c>
      <c r="I3085">
        <v>304</v>
      </c>
      <c r="J3085">
        <v>1</v>
      </c>
      <c r="K3085">
        <v>1</v>
      </c>
      <c r="L3085">
        <v>310</v>
      </c>
      <c r="M3085">
        <v>1</v>
      </c>
      <c r="N3085">
        <v>8.3476799999999996E-84</v>
      </c>
      <c r="O3085">
        <v>789</v>
      </c>
    </row>
    <row r="3086" spans="1:15" x14ac:dyDescent="0.25">
      <c r="A3086" t="s">
        <v>3099</v>
      </c>
      <c r="B3086">
        <v>330</v>
      </c>
      <c r="C3086" s="1" t="str">
        <f>HYPERLINK("http://www.rosaceae.org/gb/gbrowse/malus_x_domestica/?name=MDP0000156136","MDP0000156136")</f>
        <v>MDP0000156136</v>
      </c>
      <c r="D3086">
        <v>69.44</v>
      </c>
      <c r="E3086">
        <v>288</v>
      </c>
      <c r="F3086">
        <v>88</v>
      </c>
      <c r="G3086">
        <v>0</v>
      </c>
      <c r="H3086">
        <v>43</v>
      </c>
      <c r="I3086">
        <v>330</v>
      </c>
      <c r="J3086">
        <v>1</v>
      </c>
      <c r="K3086">
        <v>31</v>
      </c>
      <c r="L3086">
        <v>318</v>
      </c>
      <c r="M3086">
        <v>1</v>
      </c>
      <c r="N3086">
        <v>2.5115799999999999E-121</v>
      </c>
      <c r="O3086">
        <v>1111</v>
      </c>
    </row>
    <row r="3087" spans="1:15" x14ac:dyDescent="0.25">
      <c r="A3087" t="s">
        <v>3100</v>
      </c>
      <c r="B3087">
        <v>361</v>
      </c>
      <c r="C3087" s="1" t="str">
        <f>HYPERLINK("http://www.rosaceae.org/gb/gbrowse/malus_x_domestica/?name=MDP0000203071","MDP0000203071")</f>
        <v>MDP0000203071</v>
      </c>
      <c r="D3087">
        <v>89.25</v>
      </c>
      <c r="E3087">
        <v>363</v>
      </c>
      <c r="F3087">
        <v>39</v>
      </c>
      <c r="G3087">
        <v>4</v>
      </c>
      <c r="H3087">
        <v>1</v>
      </c>
      <c r="I3087">
        <v>361</v>
      </c>
      <c r="J3087">
        <v>1</v>
      </c>
      <c r="K3087">
        <v>1</v>
      </c>
      <c r="L3087">
        <v>361</v>
      </c>
      <c r="M3087">
        <v>1</v>
      </c>
      <c r="N3087">
        <v>0</v>
      </c>
      <c r="O3087">
        <v>1689</v>
      </c>
    </row>
    <row r="3088" spans="1:15" x14ac:dyDescent="0.25">
      <c r="A3088" t="s">
        <v>3101</v>
      </c>
      <c r="B3088">
        <v>298</v>
      </c>
      <c r="C3088" s="1" t="str">
        <f>HYPERLINK("http://www.rosaceae.org/gb/gbrowse/malus_x_domestica/?name=MDP0000626197","MDP0000626197")</f>
        <v>MDP0000626197</v>
      </c>
      <c r="D3088">
        <v>44.83</v>
      </c>
      <c r="E3088">
        <v>310</v>
      </c>
      <c r="F3088">
        <v>171</v>
      </c>
      <c r="G3088">
        <v>29</v>
      </c>
      <c r="H3088">
        <v>5</v>
      </c>
      <c r="I3088">
        <v>290</v>
      </c>
      <c r="J3088">
        <v>1</v>
      </c>
      <c r="K3088">
        <v>3</v>
      </c>
      <c r="L3088">
        <v>307</v>
      </c>
      <c r="M3088">
        <v>1</v>
      </c>
      <c r="N3088">
        <v>1.2654900000000001E-61</v>
      </c>
      <c r="O3088">
        <v>595</v>
      </c>
    </row>
    <row r="3089" spans="1:15" x14ac:dyDescent="0.25">
      <c r="A3089" t="s">
        <v>3102</v>
      </c>
      <c r="B3089">
        <v>286</v>
      </c>
      <c r="C3089" s="1" t="str">
        <f>HYPERLINK("http://www.rosaceae.org/gb/gbrowse/malus_x_domestica/?name=MDP0000280468","MDP0000280468")</f>
        <v>MDP0000280468</v>
      </c>
      <c r="D3089">
        <v>45.18</v>
      </c>
      <c r="E3089">
        <v>332</v>
      </c>
      <c r="F3089">
        <v>182</v>
      </c>
      <c r="G3089">
        <v>57</v>
      </c>
      <c r="H3089">
        <v>10</v>
      </c>
      <c r="I3089">
        <v>286</v>
      </c>
      <c r="J3089">
        <v>1</v>
      </c>
      <c r="K3089">
        <v>5</v>
      </c>
      <c r="L3089">
        <v>334</v>
      </c>
      <c r="M3089">
        <v>1</v>
      </c>
      <c r="N3089">
        <v>1.00386E-68</v>
      </c>
      <c r="O3089">
        <v>656</v>
      </c>
    </row>
    <row r="3090" spans="1:15" x14ac:dyDescent="0.25">
      <c r="A3090" t="s">
        <v>3103</v>
      </c>
      <c r="B3090">
        <v>693</v>
      </c>
      <c r="C3090" s="1" t="str">
        <f>HYPERLINK("http://www.rosaceae.org/gb/gbrowse/malus_x_domestica/?name=MDP0000217063","MDP0000217063")</f>
        <v>MDP0000217063</v>
      </c>
      <c r="D3090">
        <v>75.28</v>
      </c>
      <c r="E3090">
        <v>696</v>
      </c>
      <c r="F3090">
        <v>172</v>
      </c>
      <c r="G3090">
        <v>29</v>
      </c>
      <c r="H3090">
        <v>1</v>
      </c>
      <c r="I3090">
        <v>693</v>
      </c>
      <c r="J3090">
        <v>1</v>
      </c>
      <c r="K3090">
        <v>1</v>
      </c>
      <c r="L3090">
        <v>670</v>
      </c>
      <c r="M3090">
        <v>1</v>
      </c>
      <c r="N3090">
        <v>0</v>
      </c>
      <c r="O3090">
        <v>2744</v>
      </c>
    </row>
    <row r="3091" spans="1:15" x14ac:dyDescent="0.25">
      <c r="A3091" t="s">
        <v>3104</v>
      </c>
      <c r="B3091">
        <v>628</v>
      </c>
      <c r="C3091" s="1" t="str">
        <f>HYPERLINK("http://www.rosaceae.org/gb/gbrowse/malus_x_domestica/?name=MDP0000710349","MDP0000710349")</f>
        <v>MDP0000710349</v>
      </c>
      <c r="D3091">
        <v>73.989999999999995</v>
      </c>
      <c r="E3091">
        <v>323</v>
      </c>
      <c r="F3091">
        <v>84</v>
      </c>
      <c r="G3091">
        <v>7</v>
      </c>
      <c r="H3091">
        <v>303</v>
      </c>
      <c r="I3091">
        <v>625</v>
      </c>
      <c r="J3091">
        <v>1</v>
      </c>
      <c r="K3091">
        <v>1</v>
      </c>
      <c r="L3091">
        <v>316</v>
      </c>
      <c r="M3091">
        <v>1</v>
      </c>
      <c r="N3091">
        <v>1.15702E-138</v>
      </c>
      <c r="O3091">
        <v>1263</v>
      </c>
    </row>
    <row r="3092" spans="1:15" x14ac:dyDescent="0.25">
      <c r="A3092" t="s">
        <v>3105</v>
      </c>
      <c r="B3092">
        <v>827</v>
      </c>
      <c r="C3092" s="1" t="str">
        <f>HYPERLINK("http://www.rosaceae.org/gb/gbrowse/malus_x_domestica/?name=MDP0000125643","MDP0000125643")</f>
        <v>MDP0000125643</v>
      </c>
      <c r="D3092">
        <v>46.62</v>
      </c>
      <c r="E3092">
        <v>637</v>
      </c>
      <c r="F3092">
        <v>340</v>
      </c>
      <c r="G3092">
        <v>57</v>
      </c>
      <c r="H3092">
        <v>157</v>
      </c>
      <c r="I3092">
        <v>745</v>
      </c>
      <c r="J3092">
        <v>1</v>
      </c>
      <c r="K3092">
        <v>482</v>
      </c>
      <c r="L3092">
        <v>1109</v>
      </c>
      <c r="M3092">
        <v>1</v>
      </c>
      <c r="N3092">
        <v>3.9070799999999999E-134</v>
      </c>
      <c r="O3092">
        <v>1225</v>
      </c>
    </row>
    <row r="3093" spans="1:15" x14ac:dyDescent="0.25">
      <c r="A3093" t="s">
        <v>3106</v>
      </c>
      <c r="B3093">
        <v>566</v>
      </c>
      <c r="C3093" s="1" t="str">
        <f>HYPERLINK("http://www.rosaceae.org/gb/gbrowse/malus_x_domestica/?name=MDP0000222855","MDP0000222855")</f>
        <v>MDP0000222855</v>
      </c>
      <c r="D3093">
        <v>51.47</v>
      </c>
      <c r="E3093">
        <v>476</v>
      </c>
      <c r="F3093">
        <v>231</v>
      </c>
      <c r="G3093">
        <v>21</v>
      </c>
      <c r="H3093">
        <v>1</v>
      </c>
      <c r="I3093">
        <v>456</v>
      </c>
      <c r="J3093">
        <v>1</v>
      </c>
      <c r="K3093">
        <v>174</v>
      </c>
      <c r="L3093">
        <v>648</v>
      </c>
      <c r="M3093">
        <v>1</v>
      </c>
      <c r="N3093">
        <v>2.4571500000000001E-143</v>
      </c>
      <c r="O3093">
        <v>1303</v>
      </c>
    </row>
    <row r="3094" spans="1:15" x14ac:dyDescent="0.25">
      <c r="A3094" t="s">
        <v>3107</v>
      </c>
      <c r="B3094">
        <v>254</v>
      </c>
      <c r="C3094" s="1" t="str">
        <f>HYPERLINK("http://www.rosaceae.org/gb/gbrowse/malus_x_domestica/?name=MDP0000307467","MDP0000307467")</f>
        <v>MDP0000307467</v>
      </c>
      <c r="D3094">
        <v>64.819999999999993</v>
      </c>
      <c r="E3094">
        <v>253</v>
      </c>
      <c r="F3094">
        <v>89</v>
      </c>
      <c r="G3094">
        <v>1</v>
      </c>
      <c r="H3094">
        <v>1</v>
      </c>
      <c r="I3094">
        <v>253</v>
      </c>
      <c r="J3094">
        <v>1</v>
      </c>
      <c r="K3094">
        <v>131</v>
      </c>
      <c r="L3094">
        <v>382</v>
      </c>
      <c r="M3094">
        <v>1</v>
      </c>
      <c r="N3094">
        <v>5.0928600000000002E-88</v>
      </c>
      <c r="O3094">
        <v>822</v>
      </c>
    </row>
    <row r="3095" spans="1:15" x14ac:dyDescent="0.25">
      <c r="A3095" t="s">
        <v>3108</v>
      </c>
      <c r="B3095">
        <v>246</v>
      </c>
      <c r="C3095" s="1" t="str">
        <f>HYPERLINK("http://www.rosaceae.org/gb/gbrowse/malus_x_domestica/?name=MDP0000238184","MDP0000238184")</f>
        <v>MDP0000238184</v>
      </c>
      <c r="D3095">
        <v>41.66</v>
      </c>
      <c r="E3095">
        <v>72</v>
      </c>
      <c r="F3095">
        <v>42</v>
      </c>
      <c r="G3095">
        <v>2</v>
      </c>
      <c r="H3095">
        <v>137</v>
      </c>
      <c r="I3095">
        <v>207</v>
      </c>
      <c r="J3095">
        <v>1</v>
      </c>
      <c r="K3095">
        <v>58</v>
      </c>
      <c r="L3095">
        <v>128</v>
      </c>
      <c r="M3095">
        <v>1</v>
      </c>
      <c r="N3095">
        <v>8.2865999999999996E-8</v>
      </c>
      <c r="O3095">
        <v>130</v>
      </c>
    </row>
    <row r="3096" spans="1:15" x14ac:dyDescent="0.25">
      <c r="A3096" t="s">
        <v>3109</v>
      </c>
      <c r="B3096">
        <v>495</v>
      </c>
      <c r="C3096" s="1" t="str">
        <f>HYPERLINK("http://www.rosaceae.org/gb/gbrowse/malus_x_domestica/?name=MDP0000534116","MDP0000534116")</f>
        <v>MDP0000534116</v>
      </c>
      <c r="D3096">
        <v>57.48</v>
      </c>
      <c r="E3096">
        <v>421</v>
      </c>
      <c r="F3096">
        <v>179</v>
      </c>
      <c r="G3096">
        <v>20</v>
      </c>
      <c r="H3096">
        <v>30</v>
      </c>
      <c r="I3096">
        <v>445</v>
      </c>
      <c r="J3096">
        <v>1</v>
      </c>
      <c r="K3096">
        <v>21</v>
      </c>
      <c r="L3096">
        <v>426</v>
      </c>
      <c r="M3096">
        <v>1</v>
      </c>
      <c r="N3096">
        <v>2.22009E-134</v>
      </c>
      <c r="O3096">
        <v>1225</v>
      </c>
    </row>
    <row r="3097" spans="1:15" x14ac:dyDescent="0.25">
      <c r="A3097" t="s">
        <v>3110</v>
      </c>
      <c r="B3097">
        <v>521</v>
      </c>
      <c r="C3097" s="1" t="str">
        <f>HYPERLINK("http://www.rosaceae.org/gb/gbrowse/malus_x_domestica/?name=MDP0000252369","MDP0000252369")</f>
        <v>MDP0000252369</v>
      </c>
      <c r="D3097">
        <v>77.650000000000006</v>
      </c>
      <c r="E3097">
        <v>564</v>
      </c>
      <c r="F3097">
        <v>126</v>
      </c>
      <c r="G3097">
        <v>56</v>
      </c>
      <c r="H3097">
        <v>1</v>
      </c>
      <c r="I3097">
        <v>521</v>
      </c>
      <c r="J3097">
        <v>1</v>
      </c>
      <c r="K3097">
        <v>1</v>
      </c>
      <c r="L3097">
        <v>551</v>
      </c>
      <c r="M3097">
        <v>1</v>
      </c>
      <c r="N3097">
        <v>0</v>
      </c>
      <c r="O3097">
        <v>2257</v>
      </c>
    </row>
    <row r="3098" spans="1:15" x14ac:dyDescent="0.25">
      <c r="A3098" t="s">
        <v>3111</v>
      </c>
      <c r="B3098">
        <v>282</v>
      </c>
      <c r="C3098" s="1" t="str">
        <f>HYPERLINK("http://www.rosaceae.org/gb/gbrowse/malus_x_domestica/?name=MDP0000533067","MDP0000533067")</f>
        <v>MDP0000533067</v>
      </c>
      <c r="D3098">
        <v>43.35</v>
      </c>
      <c r="E3098">
        <v>286</v>
      </c>
      <c r="F3098">
        <v>162</v>
      </c>
      <c r="G3098">
        <v>17</v>
      </c>
      <c r="H3098">
        <v>6</v>
      </c>
      <c r="I3098">
        <v>280</v>
      </c>
      <c r="J3098">
        <v>1</v>
      </c>
      <c r="K3098">
        <v>4</v>
      </c>
      <c r="L3098">
        <v>283</v>
      </c>
      <c r="M3098">
        <v>1</v>
      </c>
      <c r="N3098">
        <v>1.69797E-50</v>
      </c>
      <c r="O3098">
        <v>499</v>
      </c>
    </row>
    <row r="3099" spans="1:15" x14ac:dyDescent="0.25">
      <c r="A3099" t="s">
        <v>3112</v>
      </c>
      <c r="B3099">
        <v>893</v>
      </c>
      <c r="C3099" s="1" t="str">
        <f>HYPERLINK("http://www.rosaceae.org/gb/gbrowse/malus_x_domestica/?name=MDP0000240646","MDP0000240646")</f>
        <v>MDP0000240646</v>
      </c>
      <c r="D3099">
        <v>88.62</v>
      </c>
      <c r="E3099">
        <v>466</v>
      </c>
      <c r="F3099">
        <v>53</v>
      </c>
      <c r="G3099">
        <v>1</v>
      </c>
      <c r="H3099">
        <v>427</v>
      </c>
      <c r="I3099">
        <v>891</v>
      </c>
      <c r="J3099">
        <v>1</v>
      </c>
      <c r="K3099">
        <v>27</v>
      </c>
      <c r="L3099">
        <v>492</v>
      </c>
      <c r="M3099">
        <v>1</v>
      </c>
      <c r="N3099">
        <v>0</v>
      </c>
      <c r="O3099">
        <v>2204</v>
      </c>
    </row>
    <row r="3100" spans="1:15" x14ac:dyDescent="0.25">
      <c r="A3100" t="s">
        <v>3113</v>
      </c>
      <c r="B3100">
        <v>160</v>
      </c>
      <c r="C3100" s="1" t="str">
        <f>HYPERLINK("http://www.rosaceae.org/gb/gbrowse/malus_x_domestica/?name=MDP0000194017","MDP0000194017")</f>
        <v>MDP0000194017</v>
      </c>
      <c r="D3100">
        <v>95.12</v>
      </c>
      <c r="E3100">
        <v>41</v>
      </c>
      <c r="F3100">
        <v>2</v>
      </c>
      <c r="G3100">
        <v>0</v>
      </c>
      <c r="H3100">
        <v>97</v>
      </c>
      <c r="I3100">
        <v>137</v>
      </c>
      <c r="J3100">
        <v>1</v>
      </c>
      <c r="K3100">
        <v>99</v>
      </c>
      <c r="L3100">
        <v>139</v>
      </c>
      <c r="M3100">
        <v>1</v>
      </c>
      <c r="N3100">
        <v>6.0441399999999996E-16</v>
      </c>
      <c r="O3100">
        <v>197</v>
      </c>
    </row>
    <row r="3101" spans="1:15" x14ac:dyDescent="0.25">
      <c r="A3101" t="s">
        <v>3114</v>
      </c>
      <c r="B3101">
        <v>552</v>
      </c>
      <c r="C3101" s="1" t="str">
        <f>HYPERLINK("http://www.rosaceae.org/gb/gbrowse/malus_x_domestica/?name=MDP0000213283","MDP0000213283")</f>
        <v>MDP0000213283</v>
      </c>
      <c r="D3101">
        <v>57.21</v>
      </c>
      <c r="E3101">
        <v>416</v>
      </c>
      <c r="F3101">
        <v>178</v>
      </c>
      <c r="G3101">
        <v>38</v>
      </c>
      <c r="H3101">
        <v>135</v>
      </c>
      <c r="I3101">
        <v>520</v>
      </c>
      <c r="J3101">
        <v>1</v>
      </c>
      <c r="K3101">
        <v>39</v>
      </c>
      <c r="L3101">
        <v>446</v>
      </c>
      <c r="M3101">
        <v>1</v>
      </c>
      <c r="N3101">
        <v>1.1443299999999999E-131</v>
      </c>
      <c r="O3101">
        <v>1202</v>
      </c>
    </row>
    <row r="3102" spans="1:15" x14ac:dyDescent="0.25">
      <c r="A3102" t="s">
        <v>3115</v>
      </c>
      <c r="B3102">
        <v>850</v>
      </c>
      <c r="C3102" s="1" t="str">
        <f>HYPERLINK("http://www.rosaceae.org/gb/gbrowse/malus_x_domestica/?name=MDP0000290323","MDP0000290323")</f>
        <v>MDP0000290323</v>
      </c>
      <c r="D3102">
        <v>74.41</v>
      </c>
      <c r="E3102">
        <v>860</v>
      </c>
      <c r="F3102">
        <v>220</v>
      </c>
      <c r="G3102">
        <v>26</v>
      </c>
      <c r="H3102">
        <v>4</v>
      </c>
      <c r="I3102">
        <v>850</v>
      </c>
      <c r="J3102">
        <v>1</v>
      </c>
      <c r="K3102">
        <v>3</v>
      </c>
      <c r="L3102">
        <v>849</v>
      </c>
      <c r="M3102">
        <v>1</v>
      </c>
      <c r="N3102">
        <v>0</v>
      </c>
      <c r="O3102">
        <v>3386</v>
      </c>
    </row>
    <row r="3103" spans="1:15" x14ac:dyDescent="0.25">
      <c r="A3103" t="s">
        <v>3116</v>
      </c>
      <c r="B3103">
        <v>121</v>
      </c>
      <c r="C3103" s="1" t="str">
        <f>HYPERLINK("http://www.rosaceae.org/gb/gbrowse/malus_x_domestica/?name=MDP0000725634","MDP0000725634")</f>
        <v>MDP0000725634</v>
      </c>
      <c r="D3103">
        <v>38.53</v>
      </c>
      <c r="E3103">
        <v>109</v>
      </c>
      <c r="F3103">
        <v>67</v>
      </c>
      <c r="G3103">
        <v>3</v>
      </c>
      <c r="H3103">
        <v>1</v>
      </c>
      <c r="I3103">
        <v>106</v>
      </c>
      <c r="J3103">
        <v>1</v>
      </c>
      <c r="K3103">
        <v>301</v>
      </c>
      <c r="L3103">
        <v>409</v>
      </c>
      <c r="M3103">
        <v>1</v>
      </c>
      <c r="N3103">
        <v>3.1487199999999999E-13</v>
      </c>
      <c r="O3103">
        <v>172</v>
      </c>
    </row>
    <row r="3104" spans="1:15" x14ac:dyDescent="0.25">
      <c r="A3104" t="s">
        <v>3117</v>
      </c>
      <c r="B3104">
        <v>610</v>
      </c>
      <c r="C3104" s="1" t="str">
        <f>HYPERLINK("http://www.rosaceae.org/gb/gbrowse/malus_x_domestica/?name=MDP0000235002","MDP0000235002")</f>
        <v>MDP0000235002</v>
      </c>
      <c r="D3104">
        <v>60.79</v>
      </c>
      <c r="E3104">
        <v>630</v>
      </c>
      <c r="F3104">
        <v>247</v>
      </c>
      <c r="G3104">
        <v>20</v>
      </c>
      <c r="H3104">
        <v>1</v>
      </c>
      <c r="I3104">
        <v>610</v>
      </c>
      <c r="J3104">
        <v>1</v>
      </c>
      <c r="K3104">
        <v>1</v>
      </c>
      <c r="L3104">
        <v>630</v>
      </c>
      <c r="M3104">
        <v>1</v>
      </c>
      <c r="N3104">
        <v>0</v>
      </c>
      <c r="O3104">
        <v>1964</v>
      </c>
    </row>
    <row r="3105" spans="1:15" x14ac:dyDescent="0.25">
      <c r="A3105" t="s">
        <v>3118</v>
      </c>
      <c r="B3105">
        <v>863</v>
      </c>
      <c r="C3105" s="1" t="str">
        <f>HYPERLINK("http://www.rosaceae.org/gb/gbrowse/malus_x_domestica/?name=MDP0000253549","MDP0000253549")</f>
        <v>MDP0000253549</v>
      </c>
      <c r="D3105">
        <v>59.67</v>
      </c>
      <c r="E3105">
        <v>672</v>
      </c>
      <c r="F3105">
        <v>271</v>
      </c>
      <c r="G3105">
        <v>49</v>
      </c>
      <c r="H3105">
        <v>236</v>
      </c>
      <c r="I3105">
        <v>863</v>
      </c>
      <c r="J3105">
        <v>1</v>
      </c>
      <c r="K3105">
        <v>363</v>
      </c>
      <c r="L3105">
        <v>1029</v>
      </c>
      <c r="M3105">
        <v>1</v>
      </c>
      <c r="N3105">
        <v>0</v>
      </c>
      <c r="O3105">
        <v>1812</v>
      </c>
    </row>
    <row r="3106" spans="1:15" x14ac:dyDescent="0.25">
      <c r="A3106" t="s">
        <v>3119</v>
      </c>
      <c r="B3106">
        <v>1314</v>
      </c>
      <c r="C3106" s="1" t="str">
        <f>HYPERLINK("http://www.rosaceae.org/gb/gbrowse/malus_x_domestica/?name=MDP0000304705","MDP0000304705")</f>
        <v>MDP0000304705</v>
      </c>
      <c r="D3106">
        <v>45.52</v>
      </c>
      <c r="E3106">
        <v>1397</v>
      </c>
      <c r="F3106">
        <v>761</v>
      </c>
      <c r="G3106">
        <v>118</v>
      </c>
      <c r="H3106">
        <v>5</v>
      </c>
      <c r="I3106">
        <v>1308</v>
      </c>
      <c r="J3106">
        <v>1</v>
      </c>
      <c r="K3106">
        <v>1351</v>
      </c>
      <c r="L3106">
        <v>2722</v>
      </c>
      <c r="M3106">
        <v>1</v>
      </c>
      <c r="N3106">
        <v>0</v>
      </c>
      <c r="O3106">
        <v>2688</v>
      </c>
    </row>
    <row r="3107" spans="1:15" x14ac:dyDescent="0.25">
      <c r="A3107" t="s">
        <v>3120</v>
      </c>
      <c r="B3107">
        <v>260</v>
      </c>
      <c r="C3107" s="1" t="str">
        <f>HYPERLINK("http://www.rosaceae.org/gb/gbrowse/malus_x_domestica/?name=MDP0000761794","MDP0000761794")</f>
        <v>MDP0000761794</v>
      </c>
      <c r="D3107">
        <v>48.91</v>
      </c>
      <c r="E3107">
        <v>276</v>
      </c>
      <c r="F3107">
        <v>141</v>
      </c>
      <c r="G3107">
        <v>55</v>
      </c>
      <c r="H3107">
        <v>4</v>
      </c>
      <c r="I3107">
        <v>238</v>
      </c>
      <c r="J3107">
        <v>1</v>
      </c>
      <c r="K3107">
        <v>1</v>
      </c>
      <c r="L3107">
        <v>262</v>
      </c>
      <c r="M3107">
        <v>1</v>
      </c>
      <c r="N3107">
        <v>1.3789E-65</v>
      </c>
      <c r="O3107">
        <v>629</v>
      </c>
    </row>
    <row r="3108" spans="1:15" x14ac:dyDescent="0.25">
      <c r="A3108" t="s">
        <v>3121</v>
      </c>
      <c r="B3108">
        <v>260</v>
      </c>
      <c r="C3108" s="1" t="str">
        <f>HYPERLINK("http://www.rosaceae.org/gb/gbrowse/malus_x_domestica/?name=MDP0000252251","MDP0000252251")</f>
        <v>MDP0000252251</v>
      </c>
      <c r="D3108">
        <v>34.22</v>
      </c>
      <c r="E3108">
        <v>263</v>
      </c>
      <c r="F3108">
        <v>173</v>
      </c>
      <c r="G3108">
        <v>19</v>
      </c>
      <c r="H3108">
        <v>2</v>
      </c>
      <c r="I3108">
        <v>253</v>
      </c>
      <c r="J3108">
        <v>1</v>
      </c>
      <c r="K3108">
        <v>301</v>
      </c>
      <c r="L3108">
        <v>555</v>
      </c>
      <c r="M3108">
        <v>1</v>
      </c>
      <c r="N3108">
        <v>5.2584099999999999E-24</v>
      </c>
      <c r="O3108">
        <v>270</v>
      </c>
    </row>
    <row r="3109" spans="1:15" x14ac:dyDescent="0.25">
      <c r="A3109" t="s">
        <v>3122</v>
      </c>
      <c r="B3109">
        <v>288</v>
      </c>
      <c r="C3109" s="1" t="str">
        <f>HYPERLINK("http://www.rosaceae.org/gb/gbrowse/malus_x_domestica/?name=MDP0000803920","MDP0000803920")</f>
        <v>MDP0000803920</v>
      </c>
      <c r="D3109">
        <v>60.82</v>
      </c>
      <c r="E3109">
        <v>291</v>
      </c>
      <c r="F3109">
        <v>114</v>
      </c>
      <c r="G3109">
        <v>9</v>
      </c>
      <c r="H3109">
        <v>3</v>
      </c>
      <c r="I3109">
        <v>286</v>
      </c>
      <c r="J3109">
        <v>1</v>
      </c>
      <c r="K3109">
        <v>735</v>
      </c>
      <c r="L3109">
        <v>1023</v>
      </c>
      <c r="M3109">
        <v>1</v>
      </c>
      <c r="N3109">
        <v>1.4911799999999999E-93</v>
      </c>
      <c r="O3109">
        <v>871</v>
      </c>
    </row>
    <row r="3110" spans="1:15" x14ac:dyDescent="0.25">
      <c r="A3110" t="s">
        <v>3123</v>
      </c>
      <c r="B3110">
        <v>114</v>
      </c>
      <c r="C3110" s="1" t="str">
        <f>HYPERLINK("http://www.rosaceae.org/gb/gbrowse/malus_x_domestica/?name=MDP0000145846","MDP0000145846")</f>
        <v>MDP0000145846</v>
      </c>
      <c r="D3110">
        <v>62</v>
      </c>
      <c r="E3110">
        <v>50</v>
      </c>
      <c r="F3110">
        <v>19</v>
      </c>
      <c r="G3110">
        <v>4</v>
      </c>
      <c r="H3110">
        <v>69</v>
      </c>
      <c r="I3110">
        <v>114</v>
      </c>
      <c r="J3110">
        <v>1</v>
      </c>
      <c r="K3110">
        <v>396</v>
      </c>
      <c r="L3110">
        <v>445</v>
      </c>
      <c r="M3110">
        <v>1</v>
      </c>
      <c r="N3110">
        <v>1.9714599999999998E-11</v>
      </c>
      <c r="O3110">
        <v>156</v>
      </c>
    </row>
    <row r="3111" spans="1:15" x14ac:dyDescent="0.25">
      <c r="A3111" t="s">
        <v>3124</v>
      </c>
      <c r="B3111">
        <v>354</v>
      </c>
      <c r="C3111" s="1" t="str">
        <f>HYPERLINK("http://www.rosaceae.org/gb/gbrowse/malus_x_domestica/?name=MDP0000077529","MDP0000077529")</f>
        <v>MDP0000077529</v>
      </c>
      <c r="D3111">
        <v>83.33</v>
      </c>
      <c r="E3111">
        <v>312</v>
      </c>
      <c r="F3111">
        <v>52</v>
      </c>
      <c r="G3111">
        <v>9</v>
      </c>
      <c r="H3111">
        <v>52</v>
      </c>
      <c r="I3111">
        <v>354</v>
      </c>
      <c r="J3111">
        <v>1</v>
      </c>
      <c r="K3111">
        <v>1</v>
      </c>
      <c r="L3111">
        <v>312</v>
      </c>
      <c r="M3111">
        <v>1</v>
      </c>
      <c r="N3111">
        <v>9.5540200000000001E-151</v>
      </c>
      <c r="O3111">
        <v>1365</v>
      </c>
    </row>
    <row r="3112" spans="1:15" x14ac:dyDescent="0.25">
      <c r="A3112" t="s">
        <v>3125</v>
      </c>
      <c r="B3112">
        <v>864</v>
      </c>
      <c r="C3112" s="1" t="str">
        <f>HYPERLINK("http://www.rosaceae.org/gb/gbrowse/malus_x_domestica/?name=MDP0000262910","MDP0000262910")</f>
        <v>MDP0000262910</v>
      </c>
      <c r="D3112">
        <v>85.53</v>
      </c>
      <c r="E3112">
        <v>553</v>
      </c>
      <c r="F3112">
        <v>80</v>
      </c>
      <c r="G3112">
        <v>5</v>
      </c>
      <c r="H3112">
        <v>52</v>
      </c>
      <c r="I3112">
        <v>599</v>
      </c>
      <c r="J3112">
        <v>1</v>
      </c>
      <c r="K3112">
        <v>628</v>
      </c>
      <c r="L3112">
        <v>1180</v>
      </c>
      <c r="M3112">
        <v>1</v>
      </c>
      <c r="N3112">
        <v>0</v>
      </c>
      <c r="O3112">
        <v>2534</v>
      </c>
    </row>
    <row r="3113" spans="1:15" x14ac:dyDescent="0.25">
      <c r="A3113" t="s">
        <v>3126</v>
      </c>
      <c r="B3113">
        <v>704</v>
      </c>
      <c r="C3113" s="1" t="str">
        <f>HYPERLINK("http://www.rosaceae.org/gb/gbrowse/malus_x_domestica/?name=MDP0000123200","MDP0000123200")</f>
        <v>MDP0000123200</v>
      </c>
      <c r="D3113">
        <v>80.12</v>
      </c>
      <c r="E3113">
        <v>478</v>
      </c>
      <c r="F3113">
        <v>95</v>
      </c>
      <c r="G3113">
        <v>5</v>
      </c>
      <c r="H3113">
        <v>1</v>
      </c>
      <c r="I3113">
        <v>475</v>
      </c>
      <c r="J3113">
        <v>1</v>
      </c>
      <c r="K3113">
        <v>26</v>
      </c>
      <c r="L3113">
        <v>501</v>
      </c>
      <c r="M3113">
        <v>1</v>
      </c>
      <c r="N3113">
        <v>0</v>
      </c>
      <c r="O3113">
        <v>2028</v>
      </c>
    </row>
    <row r="3114" spans="1:15" x14ac:dyDescent="0.25">
      <c r="A3114" t="s">
        <v>3127</v>
      </c>
      <c r="B3114">
        <v>425</v>
      </c>
      <c r="C3114" s="1" t="str">
        <f>HYPERLINK("http://www.rosaceae.org/gb/gbrowse/malus_x_domestica/?name=MDP0000279052","MDP0000279052")</f>
        <v>MDP0000279052</v>
      </c>
      <c r="D3114">
        <v>46.18</v>
      </c>
      <c r="E3114">
        <v>262</v>
      </c>
      <c r="F3114">
        <v>141</v>
      </c>
      <c r="G3114">
        <v>55</v>
      </c>
      <c r="H3114">
        <v>212</v>
      </c>
      <c r="I3114">
        <v>420</v>
      </c>
      <c r="J3114">
        <v>1</v>
      </c>
      <c r="K3114">
        <v>671</v>
      </c>
      <c r="L3114">
        <v>930</v>
      </c>
      <c r="M3114">
        <v>1</v>
      </c>
      <c r="N3114">
        <v>2.4266600000000002E-50</v>
      </c>
      <c r="O3114">
        <v>500</v>
      </c>
    </row>
    <row r="3115" spans="1:15" x14ac:dyDescent="0.25">
      <c r="A3115" t="s">
        <v>3128</v>
      </c>
      <c r="B3115">
        <v>246</v>
      </c>
      <c r="C3115" s="1" t="str">
        <f>HYPERLINK("http://www.rosaceae.org/gb/gbrowse/malus_x_domestica/?name=MDP0000232328","MDP0000232328")</f>
        <v>MDP0000232328</v>
      </c>
      <c r="D3115">
        <v>56.69</v>
      </c>
      <c r="E3115">
        <v>321</v>
      </c>
      <c r="F3115">
        <v>139</v>
      </c>
      <c r="G3115">
        <v>77</v>
      </c>
      <c r="H3115">
        <v>1</v>
      </c>
      <c r="I3115">
        <v>246</v>
      </c>
      <c r="J3115">
        <v>1</v>
      </c>
      <c r="K3115">
        <v>1</v>
      </c>
      <c r="L3115">
        <v>319</v>
      </c>
      <c r="M3115">
        <v>1</v>
      </c>
      <c r="N3115">
        <v>3.1783700000000002E-90</v>
      </c>
      <c r="O3115">
        <v>841</v>
      </c>
    </row>
    <row r="3116" spans="1:15" x14ac:dyDescent="0.25">
      <c r="A3116" t="s">
        <v>3129</v>
      </c>
      <c r="B3116">
        <v>212</v>
      </c>
      <c r="C3116" s="1" t="str">
        <f>HYPERLINK("http://www.rosaceae.org/gb/gbrowse/malus_x_domestica/?name=MDP0000259249","MDP0000259249")</f>
        <v>MDP0000259249</v>
      </c>
      <c r="D3116">
        <v>45.76</v>
      </c>
      <c r="E3116">
        <v>177</v>
      </c>
      <c r="F3116">
        <v>96</v>
      </c>
      <c r="G3116">
        <v>6</v>
      </c>
      <c r="H3116">
        <v>14</v>
      </c>
      <c r="I3116">
        <v>185</v>
      </c>
      <c r="J3116">
        <v>1</v>
      </c>
      <c r="K3116">
        <v>22</v>
      </c>
      <c r="L3116">
        <v>197</v>
      </c>
      <c r="M3116">
        <v>1</v>
      </c>
      <c r="N3116">
        <v>1.0909099999999999E-37</v>
      </c>
      <c r="O3116">
        <v>387</v>
      </c>
    </row>
    <row r="3117" spans="1:15" x14ac:dyDescent="0.25">
      <c r="A3117" t="s">
        <v>3130</v>
      </c>
      <c r="B3117">
        <v>100</v>
      </c>
      <c r="C3117" s="1" t="str">
        <f>HYPERLINK("http://www.rosaceae.org/gb/gbrowse/malus_x_domestica/?name=MDP0000316814","MDP0000316814")</f>
        <v>MDP0000316814</v>
      </c>
      <c r="D3117">
        <v>44.26</v>
      </c>
      <c r="E3117">
        <v>61</v>
      </c>
      <c r="F3117">
        <v>34</v>
      </c>
      <c r="G3117">
        <v>0</v>
      </c>
      <c r="H3117">
        <v>22</v>
      </c>
      <c r="I3117">
        <v>82</v>
      </c>
      <c r="J3117">
        <v>1</v>
      </c>
      <c r="K3117">
        <v>260</v>
      </c>
      <c r="L3117">
        <v>320</v>
      </c>
      <c r="M3117">
        <v>1</v>
      </c>
      <c r="N3117">
        <v>7.77674E-10</v>
      </c>
      <c r="O3117">
        <v>142</v>
      </c>
    </row>
    <row r="3118" spans="1:15" x14ac:dyDescent="0.25">
      <c r="A3118" t="s">
        <v>3131</v>
      </c>
      <c r="B3118">
        <v>661</v>
      </c>
      <c r="C3118" s="1" t="str">
        <f>HYPERLINK("http://www.rosaceae.org/gb/gbrowse/malus_x_domestica/?name=MDP0000297049","MDP0000297049")</f>
        <v>MDP0000297049</v>
      </c>
      <c r="D3118">
        <v>58.23</v>
      </c>
      <c r="E3118">
        <v>656</v>
      </c>
      <c r="F3118">
        <v>274</v>
      </c>
      <c r="G3118">
        <v>87</v>
      </c>
      <c r="H3118">
        <v>15</v>
      </c>
      <c r="I3118">
        <v>660</v>
      </c>
      <c r="J3118">
        <v>1</v>
      </c>
      <c r="K3118">
        <v>34</v>
      </c>
      <c r="L3118">
        <v>612</v>
      </c>
      <c r="M3118">
        <v>1</v>
      </c>
      <c r="N3118">
        <v>0</v>
      </c>
      <c r="O3118">
        <v>1863</v>
      </c>
    </row>
    <row r="3119" spans="1:15" x14ac:dyDescent="0.25">
      <c r="A3119" t="s">
        <v>3132</v>
      </c>
      <c r="B3119">
        <v>1010</v>
      </c>
      <c r="C3119" s="1" t="str">
        <f>HYPERLINK("http://www.rosaceae.org/gb/gbrowse/malus_x_domestica/?name=MDP0000144090","MDP0000144090")</f>
        <v>MDP0000144090</v>
      </c>
      <c r="D3119">
        <v>78.06</v>
      </c>
      <c r="E3119">
        <v>921</v>
      </c>
      <c r="F3119">
        <v>202</v>
      </c>
      <c r="G3119">
        <v>70</v>
      </c>
      <c r="H3119">
        <v>111</v>
      </c>
      <c r="I3119">
        <v>1010</v>
      </c>
      <c r="J3119">
        <v>1</v>
      </c>
      <c r="K3119">
        <v>28</v>
      </c>
      <c r="L3119">
        <v>899</v>
      </c>
      <c r="M3119">
        <v>1</v>
      </c>
      <c r="N3119">
        <v>0</v>
      </c>
      <c r="O3119">
        <v>3823</v>
      </c>
    </row>
    <row r="3120" spans="1:15" x14ac:dyDescent="0.25">
      <c r="A3120" t="s">
        <v>3133</v>
      </c>
      <c r="B3120">
        <v>591</v>
      </c>
      <c r="C3120" s="1" t="str">
        <f>HYPERLINK("http://www.rosaceae.org/gb/gbrowse/malus_x_domestica/?name=MDP0000199580","MDP0000199580")</f>
        <v>MDP0000199580</v>
      </c>
      <c r="D3120">
        <v>68.02</v>
      </c>
      <c r="E3120">
        <v>591</v>
      </c>
      <c r="F3120">
        <v>189</v>
      </c>
      <c r="G3120">
        <v>0</v>
      </c>
      <c r="H3120">
        <v>1</v>
      </c>
      <c r="I3120">
        <v>591</v>
      </c>
      <c r="J3120">
        <v>1</v>
      </c>
      <c r="K3120">
        <v>335</v>
      </c>
      <c r="L3120">
        <v>925</v>
      </c>
      <c r="M3120">
        <v>1</v>
      </c>
      <c r="N3120">
        <v>0</v>
      </c>
      <c r="O3120">
        <v>2099</v>
      </c>
    </row>
    <row r="3121" spans="1:15" x14ac:dyDescent="0.25">
      <c r="A3121" t="s">
        <v>3134</v>
      </c>
      <c r="B3121">
        <v>622</v>
      </c>
      <c r="C3121" s="1" t="str">
        <f>HYPERLINK("http://www.rosaceae.org/gb/gbrowse/malus_x_domestica/?name=MDP0000186402","MDP0000186402")</f>
        <v>MDP0000186402</v>
      </c>
      <c r="D3121">
        <v>37.5</v>
      </c>
      <c r="E3121">
        <v>144</v>
      </c>
      <c r="F3121">
        <v>90</v>
      </c>
      <c r="G3121">
        <v>7</v>
      </c>
      <c r="H3121">
        <v>384</v>
      </c>
      <c r="I3121">
        <v>527</v>
      </c>
      <c r="J3121">
        <v>1</v>
      </c>
      <c r="K3121">
        <v>395</v>
      </c>
      <c r="L3121">
        <v>531</v>
      </c>
      <c r="M3121">
        <v>1</v>
      </c>
      <c r="N3121">
        <v>4.7156199999999999E-20</v>
      </c>
      <c r="O3121">
        <v>240</v>
      </c>
    </row>
    <row r="3122" spans="1:15" x14ac:dyDescent="0.25">
      <c r="A3122" t="s">
        <v>3135</v>
      </c>
      <c r="B3122">
        <v>518</v>
      </c>
      <c r="C3122" s="1" t="str">
        <f>HYPERLINK("http://www.rosaceae.org/gb/gbrowse/malus_x_domestica/?name=MDP0000181606","MDP0000181606")</f>
        <v>MDP0000181606</v>
      </c>
      <c r="D3122">
        <v>60.72</v>
      </c>
      <c r="E3122">
        <v>494</v>
      </c>
      <c r="F3122">
        <v>194</v>
      </c>
      <c r="G3122">
        <v>47</v>
      </c>
      <c r="H3122">
        <v>39</v>
      </c>
      <c r="I3122">
        <v>518</v>
      </c>
      <c r="J3122">
        <v>1</v>
      </c>
      <c r="K3122">
        <v>1</v>
      </c>
      <c r="L3122">
        <v>461</v>
      </c>
      <c r="M3122">
        <v>1</v>
      </c>
      <c r="N3122">
        <v>1.71682E-155</v>
      </c>
      <c r="O3122">
        <v>1408</v>
      </c>
    </row>
    <row r="3123" spans="1:15" x14ac:dyDescent="0.25">
      <c r="A3123" t="s">
        <v>3136</v>
      </c>
      <c r="B3123">
        <v>157</v>
      </c>
      <c r="C3123" s="1" t="str">
        <f>HYPERLINK("http://www.rosaceae.org/gb/gbrowse/malus_x_domestica/?name=MDP0000233739","MDP0000233739")</f>
        <v>MDP0000233739</v>
      </c>
      <c r="D3123">
        <v>64.150000000000006</v>
      </c>
      <c r="E3123">
        <v>53</v>
      </c>
      <c r="F3123">
        <v>19</v>
      </c>
      <c r="G3123">
        <v>0</v>
      </c>
      <c r="H3123">
        <v>1</v>
      </c>
      <c r="I3123">
        <v>53</v>
      </c>
      <c r="J3123">
        <v>1</v>
      </c>
      <c r="K3123">
        <v>1</v>
      </c>
      <c r="L3123">
        <v>53</v>
      </c>
      <c r="M3123">
        <v>1</v>
      </c>
      <c r="N3123">
        <v>5.6747E-13</v>
      </c>
      <c r="O3123">
        <v>172</v>
      </c>
    </row>
    <row r="3124" spans="1:15" x14ac:dyDescent="0.25">
      <c r="A3124" t="s">
        <v>3137</v>
      </c>
      <c r="B3124">
        <v>122</v>
      </c>
      <c r="C3124" s="1" t="str">
        <f>HYPERLINK("http://www.rosaceae.org/gb/gbrowse/malus_x_domestica/?name=MDP0000314254","MDP0000314254")</f>
        <v>MDP0000314254</v>
      </c>
      <c r="D3124">
        <v>34.25</v>
      </c>
      <c r="E3124">
        <v>108</v>
      </c>
      <c r="F3124">
        <v>71</v>
      </c>
      <c r="G3124">
        <v>4</v>
      </c>
      <c r="H3124">
        <v>9</v>
      </c>
      <c r="I3124">
        <v>113</v>
      </c>
      <c r="J3124">
        <v>1</v>
      </c>
      <c r="K3124">
        <v>424</v>
      </c>
      <c r="L3124">
        <v>530</v>
      </c>
      <c r="M3124">
        <v>1</v>
      </c>
      <c r="N3124">
        <v>1.6091199999999999E-14</v>
      </c>
      <c r="O3124">
        <v>183</v>
      </c>
    </row>
    <row r="3125" spans="1:15" x14ac:dyDescent="0.25">
      <c r="A3125" t="s">
        <v>3138</v>
      </c>
      <c r="B3125">
        <v>354</v>
      </c>
      <c r="C3125" s="1" t="str">
        <f>HYPERLINK("http://www.rosaceae.org/gb/gbrowse/malus_x_domestica/?name=MDP0000644807","MDP0000644807")</f>
        <v>MDP0000644807</v>
      </c>
      <c r="D3125">
        <v>71.540000000000006</v>
      </c>
      <c r="E3125">
        <v>369</v>
      </c>
      <c r="F3125">
        <v>105</v>
      </c>
      <c r="G3125">
        <v>20</v>
      </c>
      <c r="H3125">
        <v>1</v>
      </c>
      <c r="I3125">
        <v>354</v>
      </c>
      <c r="J3125">
        <v>1</v>
      </c>
      <c r="K3125">
        <v>1</v>
      </c>
      <c r="L3125">
        <v>364</v>
      </c>
      <c r="M3125">
        <v>1</v>
      </c>
      <c r="N3125">
        <v>5.7185099999999998E-137</v>
      </c>
      <c r="O3125">
        <v>1246</v>
      </c>
    </row>
    <row r="3126" spans="1:15" x14ac:dyDescent="0.25">
      <c r="A3126" t="s">
        <v>3139</v>
      </c>
      <c r="B3126">
        <v>592</v>
      </c>
      <c r="C3126" s="1" t="str">
        <f>HYPERLINK("http://www.rosaceae.org/gb/gbrowse/malus_x_domestica/?name=MDP0000854001","MDP0000854001")</f>
        <v>MDP0000854001</v>
      </c>
      <c r="D3126">
        <v>51.76</v>
      </c>
      <c r="E3126">
        <v>452</v>
      </c>
      <c r="F3126">
        <v>218</v>
      </c>
      <c r="G3126">
        <v>44</v>
      </c>
      <c r="H3126">
        <v>132</v>
      </c>
      <c r="I3126">
        <v>571</v>
      </c>
      <c r="J3126">
        <v>1</v>
      </c>
      <c r="K3126">
        <v>85</v>
      </c>
      <c r="L3126">
        <v>504</v>
      </c>
      <c r="M3126">
        <v>1</v>
      </c>
      <c r="N3126">
        <v>7.00572E-116</v>
      </c>
      <c r="O3126">
        <v>1067</v>
      </c>
    </row>
    <row r="3127" spans="1:15" x14ac:dyDescent="0.25">
      <c r="A3127" t="s">
        <v>3140</v>
      </c>
      <c r="B3127">
        <v>400</v>
      </c>
      <c r="C3127" s="1" t="str">
        <f>HYPERLINK("http://www.rosaceae.org/gb/gbrowse/malus_x_domestica/?name=MDP0000282912","MDP0000282912")</f>
        <v>MDP0000282912</v>
      </c>
      <c r="D3127">
        <v>77</v>
      </c>
      <c r="E3127">
        <v>400</v>
      </c>
      <c r="F3127">
        <v>92</v>
      </c>
      <c r="G3127">
        <v>38</v>
      </c>
      <c r="H3127">
        <v>1</v>
      </c>
      <c r="I3127">
        <v>400</v>
      </c>
      <c r="J3127">
        <v>1</v>
      </c>
      <c r="K3127">
        <v>326</v>
      </c>
      <c r="L3127">
        <v>687</v>
      </c>
      <c r="M3127">
        <v>1</v>
      </c>
      <c r="N3127">
        <v>5.4849400000000002E-179</v>
      </c>
      <c r="O3127">
        <v>1609</v>
      </c>
    </row>
    <row r="3128" spans="1:15" x14ac:dyDescent="0.25">
      <c r="A3128" t="s">
        <v>3141</v>
      </c>
      <c r="B3128">
        <v>559</v>
      </c>
      <c r="C3128" s="1" t="str">
        <f>HYPERLINK("http://www.rosaceae.org/gb/gbrowse/malus_x_domestica/?name=MDP0000138852","MDP0000138852")</f>
        <v>MDP0000138852</v>
      </c>
      <c r="D3128">
        <v>56.8</v>
      </c>
      <c r="E3128">
        <v>713</v>
      </c>
      <c r="F3128">
        <v>308</v>
      </c>
      <c r="G3128">
        <v>165</v>
      </c>
      <c r="H3128">
        <v>1</v>
      </c>
      <c r="I3128">
        <v>559</v>
      </c>
      <c r="J3128">
        <v>1</v>
      </c>
      <c r="K3128">
        <v>1</v>
      </c>
      <c r="L3128">
        <v>702</v>
      </c>
      <c r="M3128">
        <v>1</v>
      </c>
      <c r="N3128">
        <v>0</v>
      </c>
      <c r="O3128">
        <v>1751</v>
      </c>
    </row>
    <row r="3129" spans="1:15" x14ac:dyDescent="0.25">
      <c r="A3129" t="s">
        <v>3142</v>
      </c>
      <c r="B3129">
        <v>916</v>
      </c>
      <c r="C3129" s="1" t="str">
        <f>HYPERLINK("http://www.rosaceae.org/gb/gbrowse/malus_x_domestica/?name=MDP0000265425","MDP0000265425")</f>
        <v>MDP0000265425</v>
      </c>
      <c r="D3129">
        <v>46.1</v>
      </c>
      <c r="E3129">
        <v>347</v>
      </c>
      <c r="F3129">
        <v>187</v>
      </c>
      <c r="G3129">
        <v>29</v>
      </c>
      <c r="H3129">
        <v>563</v>
      </c>
      <c r="I3129">
        <v>904</v>
      </c>
      <c r="J3129">
        <v>1</v>
      </c>
      <c r="K3129">
        <v>37</v>
      </c>
      <c r="L3129">
        <v>359</v>
      </c>
      <c r="M3129">
        <v>1</v>
      </c>
      <c r="N3129">
        <v>3.4144500000000001E-65</v>
      </c>
      <c r="O3129">
        <v>631</v>
      </c>
    </row>
    <row r="3130" spans="1:15" x14ac:dyDescent="0.25">
      <c r="A3130" t="s">
        <v>3143</v>
      </c>
      <c r="B3130">
        <v>164</v>
      </c>
      <c r="C3130" s="1" t="str">
        <f>HYPERLINK("http://www.rosaceae.org/gb/gbrowse/malus_x_domestica/?name=MDP0000291805","MDP0000291805")</f>
        <v>MDP0000291805</v>
      </c>
      <c r="D3130">
        <v>56.64</v>
      </c>
      <c r="E3130">
        <v>143</v>
      </c>
      <c r="F3130">
        <v>62</v>
      </c>
      <c r="G3130">
        <v>8</v>
      </c>
      <c r="H3130">
        <v>22</v>
      </c>
      <c r="I3130">
        <v>163</v>
      </c>
      <c r="J3130">
        <v>1</v>
      </c>
      <c r="K3130">
        <v>90</v>
      </c>
      <c r="L3130">
        <v>225</v>
      </c>
      <c r="M3130">
        <v>1</v>
      </c>
      <c r="N3130">
        <v>6.9754600000000006E-39</v>
      </c>
      <c r="O3130">
        <v>395</v>
      </c>
    </row>
    <row r="3131" spans="1:15" x14ac:dyDescent="0.25">
      <c r="A3131" t="s">
        <v>3144</v>
      </c>
      <c r="B3131">
        <v>261</v>
      </c>
      <c r="C3131" s="1" t="str">
        <f>HYPERLINK("http://www.rosaceae.org/gb/gbrowse/malus_x_domestica/?name=MDP0000150391","MDP0000150391")</f>
        <v>MDP0000150391</v>
      </c>
      <c r="D3131">
        <v>32.909999999999997</v>
      </c>
      <c r="E3131">
        <v>79</v>
      </c>
      <c r="F3131">
        <v>53</v>
      </c>
      <c r="G3131">
        <v>1</v>
      </c>
      <c r="H3131">
        <v>24</v>
      </c>
      <c r="I3131">
        <v>101</v>
      </c>
      <c r="J3131">
        <v>1</v>
      </c>
      <c r="K3131">
        <v>84</v>
      </c>
      <c r="L3131">
        <v>162</v>
      </c>
      <c r="M3131">
        <v>1</v>
      </c>
      <c r="N3131">
        <v>2.6383400000000001E-7</v>
      </c>
      <c r="O3131">
        <v>126</v>
      </c>
    </row>
    <row r="3132" spans="1:15" x14ac:dyDescent="0.25">
      <c r="A3132" t="s">
        <v>3145</v>
      </c>
      <c r="B3132">
        <v>492</v>
      </c>
      <c r="C3132" s="1" t="str">
        <f>HYPERLINK("http://www.rosaceae.org/gb/gbrowse/malus_x_domestica/?name=MDP0000208445","MDP0000208445")</f>
        <v>MDP0000208445</v>
      </c>
      <c r="D3132">
        <v>37.83</v>
      </c>
      <c r="E3132">
        <v>111</v>
      </c>
      <c r="F3132">
        <v>69</v>
      </c>
      <c r="G3132">
        <v>31</v>
      </c>
      <c r="H3132">
        <v>276</v>
      </c>
      <c r="I3132">
        <v>356</v>
      </c>
      <c r="J3132">
        <v>1</v>
      </c>
      <c r="K3132">
        <v>417</v>
      </c>
      <c r="L3132">
        <v>526</v>
      </c>
      <c r="M3132">
        <v>1</v>
      </c>
      <c r="N3132">
        <v>6.5302699999999998E-12</v>
      </c>
      <c r="O3132">
        <v>169</v>
      </c>
    </row>
    <row r="3133" spans="1:15" x14ac:dyDescent="0.25">
      <c r="A3133" t="s">
        <v>3146</v>
      </c>
      <c r="B3133">
        <v>218</v>
      </c>
      <c r="C3133" s="1" t="str">
        <f>HYPERLINK("http://www.rosaceae.org/gb/gbrowse/malus_x_domestica/?name=MDP0000145565","MDP0000145565")</f>
        <v>MDP0000145565</v>
      </c>
      <c r="D3133">
        <v>57.2</v>
      </c>
      <c r="E3133">
        <v>243</v>
      </c>
      <c r="F3133">
        <v>104</v>
      </c>
      <c r="G3133">
        <v>31</v>
      </c>
      <c r="H3133">
        <v>1</v>
      </c>
      <c r="I3133">
        <v>216</v>
      </c>
      <c r="J3133">
        <v>1</v>
      </c>
      <c r="K3133">
        <v>1</v>
      </c>
      <c r="L3133">
        <v>239</v>
      </c>
      <c r="M3133">
        <v>1</v>
      </c>
      <c r="N3133">
        <v>3.2104499999999998E-61</v>
      </c>
      <c r="O3133">
        <v>590</v>
      </c>
    </row>
    <row r="3134" spans="1:15" x14ac:dyDescent="0.25">
      <c r="A3134" t="s">
        <v>3147</v>
      </c>
      <c r="B3134">
        <v>727</v>
      </c>
      <c r="C3134" s="1" t="str">
        <f>HYPERLINK("http://www.rosaceae.org/gb/gbrowse/malus_x_domestica/?name=MDP0000298502","MDP0000298502")</f>
        <v>MDP0000298502</v>
      </c>
      <c r="D3134">
        <v>81.2</v>
      </c>
      <c r="E3134">
        <v>729</v>
      </c>
      <c r="F3134">
        <v>137</v>
      </c>
      <c r="G3134">
        <v>34</v>
      </c>
      <c r="H3134">
        <v>1</v>
      </c>
      <c r="I3134">
        <v>727</v>
      </c>
      <c r="J3134">
        <v>1</v>
      </c>
      <c r="K3134">
        <v>194</v>
      </c>
      <c r="L3134">
        <v>890</v>
      </c>
      <c r="M3134">
        <v>1</v>
      </c>
      <c r="N3134">
        <v>0</v>
      </c>
      <c r="O3134">
        <v>2949</v>
      </c>
    </row>
    <row r="3135" spans="1:15" x14ac:dyDescent="0.25">
      <c r="A3135" t="s">
        <v>3148</v>
      </c>
      <c r="B3135">
        <v>344</v>
      </c>
      <c r="C3135" s="1" t="str">
        <f>HYPERLINK("http://www.rosaceae.org/gb/gbrowse/malus_x_domestica/?name=MDP0000269871","MDP0000269871")</f>
        <v>MDP0000269871</v>
      </c>
      <c r="D3135">
        <v>60.29</v>
      </c>
      <c r="E3135">
        <v>267</v>
      </c>
      <c r="F3135">
        <v>106</v>
      </c>
      <c r="G3135">
        <v>1</v>
      </c>
      <c r="H3135">
        <v>60</v>
      </c>
      <c r="I3135">
        <v>326</v>
      </c>
      <c r="J3135">
        <v>1</v>
      </c>
      <c r="K3135">
        <v>59</v>
      </c>
      <c r="L3135">
        <v>324</v>
      </c>
      <c r="M3135">
        <v>1</v>
      </c>
      <c r="N3135">
        <v>1.8648199999999998E-89</v>
      </c>
      <c r="O3135">
        <v>836</v>
      </c>
    </row>
    <row r="3136" spans="1:15" x14ac:dyDescent="0.25">
      <c r="A3136" t="s">
        <v>3149</v>
      </c>
      <c r="B3136">
        <v>558</v>
      </c>
      <c r="C3136" s="1" t="str">
        <f>HYPERLINK("http://www.rosaceae.org/gb/gbrowse/malus_x_domestica/?name=MDP0000324144","MDP0000324144")</f>
        <v>MDP0000324144</v>
      </c>
      <c r="D3136">
        <v>75.94</v>
      </c>
      <c r="E3136">
        <v>582</v>
      </c>
      <c r="F3136">
        <v>140</v>
      </c>
      <c r="G3136">
        <v>27</v>
      </c>
      <c r="H3136">
        <v>1</v>
      </c>
      <c r="I3136">
        <v>558</v>
      </c>
      <c r="J3136">
        <v>1</v>
      </c>
      <c r="K3136">
        <v>2</v>
      </c>
      <c r="L3136">
        <v>580</v>
      </c>
      <c r="M3136">
        <v>1</v>
      </c>
      <c r="N3136">
        <v>0</v>
      </c>
      <c r="O3136">
        <v>2115</v>
      </c>
    </row>
    <row r="3137" spans="1:15" x14ac:dyDescent="0.25">
      <c r="A3137" t="s">
        <v>3150</v>
      </c>
      <c r="B3137">
        <v>199</v>
      </c>
      <c r="C3137" s="1" t="str">
        <f>HYPERLINK("http://www.rosaceae.org/gb/gbrowse/malus_x_domestica/?name=MDP0000157035","MDP0000157035")</f>
        <v>MDP0000157035</v>
      </c>
      <c r="D3137">
        <v>51.3</v>
      </c>
      <c r="E3137">
        <v>230</v>
      </c>
      <c r="F3137">
        <v>112</v>
      </c>
      <c r="G3137">
        <v>37</v>
      </c>
      <c r="H3137">
        <v>1</v>
      </c>
      <c r="I3137">
        <v>198</v>
      </c>
      <c r="J3137">
        <v>1</v>
      </c>
      <c r="K3137">
        <v>1</v>
      </c>
      <c r="L3137">
        <v>225</v>
      </c>
      <c r="M3137">
        <v>1</v>
      </c>
      <c r="N3137">
        <v>9.8339700000000008E-50</v>
      </c>
      <c r="O3137">
        <v>490</v>
      </c>
    </row>
    <row r="3138" spans="1:15" x14ac:dyDescent="0.25">
      <c r="A3138" t="s">
        <v>3151</v>
      </c>
      <c r="B3138">
        <v>442</v>
      </c>
      <c r="C3138" s="1" t="str">
        <f>HYPERLINK("http://www.rosaceae.org/gb/gbrowse/malus_x_domestica/?name=MDP0000250455","MDP0000250455")</f>
        <v>MDP0000250455</v>
      </c>
      <c r="D3138">
        <v>36.130000000000003</v>
      </c>
      <c r="E3138">
        <v>429</v>
      </c>
      <c r="F3138">
        <v>274</v>
      </c>
      <c r="G3138">
        <v>52</v>
      </c>
      <c r="H3138">
        <v>1</v>
      </c>
      <c r="I3138">
        <v>418</v>
      </c>
      <c r="J3138">
        <v>1</v>
      </c>
      <c r="K3138">
        <v>483</v>
      </c>
      <c r="L3138">
        <v>870</v>
      </c>
      <c r="M3138">
        <v>1</v>
      </c>
      <c r="N3138">
        <v>2.8004800000000001E-57</v>
      </c>
      <c r="O3138">
        <v>560</v>
      </c>
    </row>
    <row r="3139" spans="1:15" x14ac:dyDescent="0.25">
      <c r="A3139" t="s">
        <v>3152</v>
      </c>
      <c r="B3139">
        <v>242</v>
      </c>
      <c r="C3139" s="1" t="str">
        <f>HYPERLINK("http://www.rosaceae.org/gb/gbrowse/malus_x_domestica/?name=MDP0000298505","MDP0000298505")</f>
        <v>MDP0000298505</v>
      </c>
      <c r="D3139">
        <v>26.66</v>
      </c>
      <c r="E3139">
        <v>150</v>
      </c>
      <c r="F3139">
        <v>110</v>
      </c>
      <c r="G3139">
        <v>7</v>
      </c>
      <c r="H3139">
        <v>26</v>
      </c>
      <c r="I3139">
        <v>168</v>
      </c>
      <c r="J3139">
        <v>1</v>
      </c>
      <c r="K3139">
        <v>376</v>
      </c>
      <c r="L3139">
        <v>525</v>
      </c>
      <c r="M3139">
        <v>1</v>
      </c>
      <c r="N3139">
        <v>2.4205800000000002E-12</v>
      </c>
      <c r="O3139">
        <v>169</v>
      </c>
    </row>
    <row r="3140" spans="1:15" x14ac:dyDescent="0.25">
      <c r="A3140" t="s">
        <v>3153</v>
      </c>
      <c r="B3140">
        <v>491</v>
      </c>
      <c r="C3140" s="1" t="str">
        <f>HYPERLINK("http://www.rosaceae.org/gb/gbrowse/malus_x_domestica/?name=MDP0000262337","MDP0000262337")</f>
        <v>MDP0000262337</v>
      </c>
      <c r="D3140">
        <v>57.48</v>
      </c>
      <c r="E3140">
        <v>294</v>
      </c>
      <c r="F3140">
        <v>125</v>
      </c>
      <c r="G3140">
        <v>46</v>
      </c>
      <c r="H3140">
        <v>58</v>
      </c>
      <c r="I3140">
        <v>305</v>
      </c>
      <c r="J3140">
        <v>1</v>
      </c>
      <c r="K3140">
        <v>114</v>
      </c>
      <c r="L3140">
        <v>407</v>
      </c>
      <c r="M3140">
        <v>1</v>
      </c>
      <c r="N3140">
        <v>7.1737399999999999E-75</v>
      </c>
      <c r="O3140">
        <v>712</v>
      </c>
    </row>
    <row r="3141" spans="1:15" x14ac:dyDescent="0.25">
      <c r="A3141" t="s">
        <v>3154</v>
      </c>
      <c r="B3141">
        <v>484</v>
      </c>
      <c r="C3141" s="1" t="str">
        <f>HYPERLINK("http://www.rosaceae.org/gb/gbrowse/malus_x_domestica/?name=MDP0000232101","MDP0000232101")</f>
        <v>MDP0000232101</v>
      </c>
      <c r="D3141">
        <v>74.2</v>
      </c>
      <c r="E3141">
        <v>407</v>
      </c>
      <c r="F3141">
        <v>105</v>
      </c>
      <c r="G3141">
        <v>20</v>
      </c>
      <c r="H3141">
        <v>70</v>
      </c>
      <c r="I3141">
        <v>467</v>
      </c>
      <c r="J3141">
        <v>1</v>
      </c>
      <c r="K3141">
        <v>78</v>
      </c>
      <c r="L3141">
        <v>473</v>
      </c>
      <c r="M3141">
        <v>1</v>
      </c>
      <c r="N3141">
        <v>2.2034599999999999E-169</v>
      </c>
      <c r="O3141">
        <v>1527</v>
      </c>
    </row>
    <row r="3142" spans="1:15" x14ac:dyDescent="0.25">
      <c r="A3142" t="s">
        <v>3155</v>
      </c>
      <c r="B3142">
        <v>316</v>
      </c>
      <c r="C3142" s="1" t="str">
        <f>HYPERLINK("http://www.rosaceae.org/gb/gbrowse/malus_x_domestica/?name=MDP0000229815","MDP0000229815")</f>
        <v>MDP0000229815</v>
      </c>
      <c r="D3142">
        <v>62.08</v>
      </c>
      <c r="E3142">
        <v>211</v>
      </c>
      <c r="F3142">
        <v>80</v>
      </c>
      <c r="G3142">
        <v>15</v>
      </c>
      <c r="H3142">
        <v>1</v>
      </c>
      <c r="I3142">
        <v>197</v>
      </c>
      <c r="J3142">
        <v>1</v>
      </c>
      <c r="K3142">
        <v>1</v>
      </c>
      <c r="L3142">
        <v>210</v>
      </c>
      <c r="M3142">
        <v>1</v>
      </c>
      <c r="N3142">
        <v>1.6873000000000001E-64</v>
      </c>
      <c r="O3142">
        <v>620</v>
      </c>
    </row>
    <row r="3143" spans="1:15" x14ac:dyDescent="0.25">
      <c r="A3143" t="s">
        <v>3156</v>
      </c>
      <c r="B3143">
        <v>233</v>
      </c>
      <c r="C3143" s="1" t="str">
        <f>HYPERLINK("http://www.rosaceae.org/gb/gbrowse/malus_x_domestica/?name=MDP0000087056","MDP0000087056")</f>
        <v>MDP0000087056</v>
      </c>
      <c r="D3143">
        <v>85.97</v>
      </c>
      <c r="E3143">
        <v>164</v>
      </c>
      <c r="F3143">
        <v>23</v>
      </c>
      <c r="G3143">
        <v>3</v>
      </c>
      <c r="H3143">
        <v>1</v>
      </c>
      <c r="I3143">
        <v>163</v>
      </c>
      <c r="J3143">
        <v>1</v>
      </c>
      <c r="K3143">
        <v>282</v>
      </c>
      <c r="L3143">
        <v>443</v>
      </c>
      <c r="M3143">
        <v>1</v>
      </c>
      <c r="N3143">
        <v>5.2264199999999996E-75</v>
      </c>
      <c r="O3143">
        <v>709</v>
      </c>
    </row>
    <row r="3144" spans="1:15" x14ac:dyDescent="0.25">
      <c r="A3144" t="s">
        <v>3157</v>
      </c>
      <c r="B3144">
        <v>135</v>
      </c>
      <c r="C3144" s="1" t="str">
        <f>HYPERLINK("http://www.rosaceae.org/gb/gbrowse/malus_x_domestica/?name=MDP0000314572","MDP0000314572")</f>
        <v>MDP0000314572</v>
      </c>
      <c r="D3144">
        <v>43.33</v>
      </c>
      <c r="E3144">
        <v>90</v>
      </c>
      <c r="F3144">
        <v>51</v>
      </c>
      <c r="G3144">
        <v>1</v>
      </c>
      <c r="H3144">
        <v>45</v>
      </c>
      <c r="I3144">
        <v>134</v>
      </c>
      <c r="J3144">
        <v>1</v>
      </c>
      <c r="K3144">
        <v>116</v>
      </c>
      <c r="L3144">
        <v>204</v>
      </c>
      <c r="M3144">
        <v>1</v>
      </c>
      <c r="N3144">
        <v>8.5692000000000005E-14</v>
      </c>
      <c r="O3144">
        <v>177</v>
      </c>
    </row>
    <row r="3145" spans="1:15" x14ac:dyDescent="0.25">
      <c r="A3145" t="s">
        <v>3158</v>
      </c>
      <c r="B3145">
        <v>441</v>
      </c>
      <c r="C3145" s="1" t="str">
        <f>HYPERLINK("http://www.rosaceae.org/gb/gbrowse/malus_x_domestica/?name=MDP0000318339","MDP0000318339")</f>
        <v>MDP0000318339</v>
      </c>
      <c r="D3145">
        <v>55.71</v>
      </c>
      <c r="E3145">
        <v>280</v>
      </c>
      <c r="F3145">
        <v>124</v>
      </c>
      <c r="G3145">
        <v>33</v>
      </c>
      <c r="H3145">
        <v>24</v>
      </c>
      <c r="I3145">
        <v>276</v>
      </c>
      <c r="J3145">
        <v>1</v>
      </c>
      <c r="K3145">
        <v>95</v>
      </c>
      <c r="L3145">
        <v>368</v>
      </c>
      <c r="M3145">
        <v>1</v>
      </c>
      <c r="N3145">
        <v>4.4921499999999996E-86</v>
      </c>
      <c r="O3145">
        <v>808</v>
      </c>
    </row>
    <row r="3146" spans="1:15" x14ac:dyDescent="0.25">
      <c r="A3146" t="s">
        <v>3159</v>
      </c>
      <c r="B3146">
        <v>123</v>
      </c>
      <c r="C3146" s="1" t="str">
        <f>HYPERLINK("http://www.rosaceae.org/gb/gbrowse/malus_x_domestica/?name=MDP0000147875","MDP0000147875")</f>
        <v>MDP0000147875</v>
      </c>
      <c r="D3146">
        <v>57.64</v>
      </c>
      <c r="E3146">
        <v>85</v>
      </c>
      <c r="F3146">
        <v>36</v>
      </c>
      <c r="G3146">
        <v>14</v>
      </c>
      <c r="H3146">
        <v>29</v>
      </c>
      <c r="I3146">
        <v>103</v>
      </c>
      <c r="J3146">
        <v>1</v>
      </c>
      <c r="K3146">
        <v>325</v>
      </c>
      <c r="L3146">
        <v>405</v>
      </c>
      <c r="M3146">
        <v>1</v>
      </c>
      <c r="N3146">
        <v>5.3300499999999999E-15</v>
      </c>
      <c r="O3146">
        <v>187</v>
      </c>
    </row>
    <row r="3147" spans="1:15" x14ac:dyDescent="0.25">
      <c r="A3147" t="s">
        <v>3160</v>
      </c>
      <c r="B3147">
        <v>134</v>
      </c>
      <c r="C3147" s="1" t="str">
        <f>HYPERLINK("http://www.rosaceae.org/gb/gbrowse/malus_x_domestica/?name=MDP0000752795","MDP0000752795")</f>
        <v>MDP0000752795</v>
      </c>
      <c r="D3147">
        <v>76.33</v>
      </c>
      <c r="E3147">
        <v>131</v>
      </c>
      <c r="F3147">
        <v>31</v>
      </c>
      <c r="G3147">
        <v>0</v>
      </c>
      <c r="H3147">
        <v>1</v>
      </c>
      <c r="I3147">
        <v>131</v>
      </c>
      <c r="J3147">
        <v>1</v>
      </c>
      <c r="K3147">
        <v>1</v>
      </c>
      <c r="L3147">
        <v>131</v>
      </c>
      <c r="M3147">
        <v>1</v>
      </c>
      <c r="N3147">
        <v>3.4749799999999998E-53</v>
      </c>
      <c r="O3147">
        <v>517</v>
      </c>
    </row>
    <row r="3148" spans="1:15" x14ac:dyDescent="0.25">
      <c r="A3148" t="s">
        <v>3161</v>
      </c>
      <c r="B3148">
        <v>1769</v>
      </c>
      <c r="C3148" s="1" t="str">
        <f>HYPERLINK("http://www.rosaceae.org/gb/gbrowse/malus_x_domestica/?name=MDP0000233952","MDP0000233952")</f>
        <v>MDP0000233952</v>
      </c>
      <c r="D3148">
        <v>53.2</v>
      </c>
      <c r="E3148">
        <v>1000</v>
      </c>
      <c r="F3148">
        <v>468</v>
      </c>
      <c r="G3148">
        <v>159</v>
      </c>
      <c r="H3148">
        <v>357</v>
      </c>
      <c r="I3148">
        <v>1220</v>
      </c>
      <c r="J3148">
        <v>1</v>
      </c>
      <c r="K3148">
        <v>395</v>
      </c>
      <c r="L3148">
        <v>1371</v>
      </c>
      <c r="M3148">
        <v>1</v>
      </c>
      <c r="N3148">
        <v>0</v>
      </c>
      <c r="O3148">
        <v>2262</v>
      </c>
    </row>
    <row r="3149" spans="1:15" x14ac:dyDescent="0.25">
      <c r="A3149" t="s">
        <v>3162</v>
      </c>
      <c r="B3149">
        <v>88</v>
      </c>
      <c r="C3149" s="1" t="str">
        <f>HYPERLINK("http://www.rosaceae.org/gb/gbrowse/malus_x_domestica/?name=MDP0000124771","MDP0000124771")</f>
        <v>MDP0000124771</v>
      </c>
      <c r="D3149">
        <v>69.89</v>
      </c>
      <c r="E3149">
        <v>93</v>
      </c>
      <c r="F3149">
        <v>28</v>
      </c>
      <c r="G3149">
        <v>5</v>
      </c>
      <c r="H3149">
        <v>1</v>
      </c>
      <c r="I3149">
        <v>88</v>
      </c>
      <c r="J3149">
        <v>1</v>
      </c>
      <c r="K3149">
        <v>1</v>
      </c>
      <c r="L3149">
        <v>93</v>
      </c>
      <c r="M3149">
        <v>1</v>
      </c>
      <c r="N3149">
        <v>2.90938E-31</v>
      </c>
      <c r="O3149">
        <v>327</v>
      </c>
    </row>
    <row r="3150" spans="1:15" x14ac:dyDescent="0.25">
      <c r="A3150" t="s">
        <v>3163</v>
      </c>
      <c r="B3150">
        <v>225</v>
      </c>
      <c r="C3150" s="1" t="str">
        <f>HYPERLINK("http://www.rosaceae.org/gb/gbrowse/malus_x_domestica/?name=MDP0000670228","MDP0000670228")</f>
        <v>MDP0000670228</v>
      </c>
      <c r="D3150">
        <v>37.5</v>
      </c>
      <c r="E3150">
        <v>104</v>
      </c>
      <c r="F3150">
        <v>65</v>
      </c>
      <c r="G3150">
        <v>13</v>
      </c>
      <c r="H3150">
        <v>130</v>
      </c>
      <c r="I3150">
        <v>220</v>
      </c>
      <c r="J3150">
        <v>1</v>
      </c>
      <c r="K3150">
        <v>204</v>
      </c>
      <c r="L3150">
        <v>307</v>
      </c>
      <c r="M3150">
        <v>1</v>
      </c>
      <c r="N3150">
        <v>2.2643800000000001E-12</v>
      </c>
      <c r="O3150">
        <v>169</v>
      </c>
    </row>
    <row r="3151" spans="1:15" x14ac:dyDescent="0.25">
      <c r="A3151" t="s">
        <v>3164</v>
      </c>
      <c r="B3151">
        <v>581</v>
      </c>
      <c r="C3151" s="1" t="str">
        <f>HYPERLINK("http://www.rosaceae.org/gb/gbrowse/malus_x_domestica/?name=MDP0000126623","MDP0000126623")</f>
        <v>MDP0000126623</v>
      </c>
      <c r="D3151">
        <v>93.57</v>
      </c>
      <c r="E3151">
        <v>327</v>
      </c>
      <c r="F3151">
        <v>21</v>
      </c>
      <c r="G3151">
        <v>3</v>
      </c>
      <c r="H3151">
        <v>213</v>
      </c>
      <c r="I3151">
        <v>536</v>
      </c>
      <c r="J3151">
        <v>1</v>
      </c>
      <c r="K3151">
        <v>3</v>
      </c>
      <c r="L3151">
        <v>329</v>
      </c>
      <c r="M3151">
        <v>1</v>
      </c>
      <c r="N3151">
        <v>0</v>
      </c>
      <c r="O3151">
        <v>1670</v>
      </c>
    </row>
    <row r="3152" spans="1:15" x14ac:dyDescent="0.25">
      <c r="A3152" t="s">
        <v>3165</v>
      </c>
      <c r="B3152">
        <v>318</v>
      </c>
      <c r="C3152" s="1" t="str">
        <f>HYPERLINK("http://www.rosaceae.org/gb/gbrowse/malus_x_domestica/?name=MDP0000244249","MDP0000244249")</f>
        <v>MDP0000244249</v>
      </c>
      <c r="D3152">
        <v>67.05</v>
      </c>
      <c r="E3152">
        <v>85</v>
      </c>
      <c r="F3152">
        <v>28</v>
      </c>
      <c r="G3152">
        <v>0</v>
      </c>
      <c r="H3152">
        <v>187</v>
      </c>
      <c r="I3152">
        <v>271</v>
      </c>
      <c r="J3152">
        <v>1</v>
      </c>
      <c r="K3152">
        <v>1</v>
      </c>
      <c r="L3152">
        <v>85</v>
      </c>
      <c r="M3152">
        <v>1</v>
      </c>
      <c r="N3152">
        <v>7.6699800000000003E-25</v>
      </c>
      <c r="O3152">
        <v>279</v>
      </c>
    </row>
    <row r="3153" spans="1:15" x14ac:dyDescent="0.25">
      <c r="A3153" t="s">
        <v>3166</v>
      </c>
      <c r="B3153">
        <v>291</v>
      </c>
      <c r="C3153" s="1" t="str">
        <f>HYPERLINK("http://www.rosaceae.org/gb/gbrowse/malus_x_domestica/?name=MDP0000464286","MDP0000464286")</f>
        <v>MDP0000464286</v>
      </c>
      <c r="D3153">
        <v>49.79</v>
      </c>
      <c r="E3153">
        <v>239</v>
      </c>
      <c r="F3153">
        <v>120</v>
      </c>
      <c r="G3153">
        <v>35</v>
      </c>
      <c r="H3153">
        <v>86</v>
      </c>
      <c r="I3153">
        <v>290</v>
      </c>
      <c r="J3153">
        <v>1</v>
      </c>
      <c r="K3153">
        <v>379</v>
      </c>
      <c r="L3153">
        <v>616</v>
      </c>
      <c r="M3153">
        <v>1</v>
      </c>
      <c r="N3153">
        <v>3.1376799999999998E-55</v>
      </c>
      <c r="O3153">
        <v>540</v>
      </c>
    </row>
    <row r="3154" spans="1:15" x14ac:dyDescent="0.25">
      <c r="A3154" t="s">
        <v>3167</v>
      </c>
      <c r="B3154">
        <v>260</v>
      </c>
      <c r="C3154" s="1" t="str">
        <f>HYPERLINK("http://www.rosaceae.org/gb/gbrowse/malus_x_domestica/?name=MDP0000520489","MDP0000520489")</f>
        <v>MDP0000520489</v>
      </c>
      <c r="D3154">
        <v>69.11</v>
      </c>
      <c r="E3154">
        <v>259</v>
      </c>
      <c r="F3154">
        <v>80</v>
      </c>
      <c r="G3154">
        <v>36</v>
      </c>
      <c r="H3154">
        <v>1</v>
      </c>
      <c r="I3154">
        <v>259</v>
      </c>
      <c r="J3154">
        <v>1</v>
      </c>
      <c r="K3154">
        <v>1</v>
      </c>
      <c r="L3154">
        <v>223</v>
      </c>
      <c r="M3154">
        <v>1</v>
      </c>
      <c r="N3154">
        <v>9.4014499999999993E-92</v>
      </c>
      <c r="O3154">
        <v>854</v>
      </c>
    </row>
    <row r="3155" spans="1:15" x14ac:dyDescent="0.25">
      <c r="A3155" t="s">
        <v>3168</v>
      </c>
      <c r="B3155">
        <v>445</v>
      </c>
      <c r="C3155" s="1" t="str">
        <f>HYPERLINK("http://www.rosaceae.org/gb/gbrowse/malus_x_domestica/?name=MDP0000241070","MDP0000241070")</f>
        <v>MDP0000241070</v>
      </c>
      <c r="D3155">
        <v>71.53</v>
      </c>
      <c r="E3155">
        <v>390</v>
      </c>
      <c r="F3155">
        <v>111</v>
      </c>
      <c r="G3155">
        <v>8</v>
      </c>
      <c r="H3155">
        <v>1</v>
      </c>
      <c r="I3155">
        <v>388</v>
      </c>
      <c r="J3155">
        <v>1</v>
      </c>
      <c r="K3155">
        <v>1</v>
      </c>
      <c r="L3155">
        <v>384</v>
      </c>
      <c r="M3155">
        <v>1</v>
      </c>
      <c r="N3155">
        <v>8.2740100000000005E-150</v>
      </c>
      <c r="O3155">
        <v>1358</v>
      </c>
    </row>
    <row r="3156" spans="1:15" x14ac:dyDescent="0.25">
      <c r="A3156" t="s">
        <v>3169</v>
      </c>
      <c r="B3156">
        <v>1066</v>
      </c>
      <c r="C3156" s="1" t="str">
        <f>HYPERLINK("http://www.rosaceae.org/gb/gbrowse/malus_x_domestica/?name=MDP0000501204","MDP0000501204")</f>
        <v>MDP0000501204</v>
      </c>
      <c r="D3156">
        <v>60.89</v>
      </c>
      <c r="E3156">
        <v>1092</v>
      </c>
      <c r="F3156">
        <v>427</v>
      </c>
      <c r="G3156">
        <v>107</v>
      </c>
      <c r="H3156">
        <v>14</v>
      </c>
      <c r="I3156">
        <v>1064</v>
      </c>
      <c r="J3156">
        <v>1</v>
      </c>
      <c r="K3156">
        <v>14</v>
      </c>
      <c r="L3156">
        <v>1039</v>
      </c>
      <c r="M3156">
        <v>1</v>
      </c>
      <c r="N3156">
        <v>0</v>
      </c>
      <c r="O3156">
        <v>3119</v>
      </c>
    </row>
    <row r="3157" spans="1:15" x14ac:dyDescent="0.25">
      <c r="A3157" t="s">
        <v>3170</v>
      </c>
      <c r="B3157">
        <v>283</v>
      </c>
      <c r="C3157" s="1" t="str">
        <f>HYPERLINK("http://www.rosaceae.org/gb/gbrowse/malus_x_domestica/?name=MDP0000163334","MDP0000163334")</f>
        <v>MDP0000163334</v>
      </c>
      <c r="D3157">
        <v>72.02</v>
      </c>
      <c r="E3157">
        <v>286</v>
      </c>
      <c r="F3157">
        <v>80</v>
      </c>
      <c r="G3157">
        <v>7</v>
      </c>
      <c r="H3157">
        <v>3</v>
      </c>
      <c r="I3157">
        <v>282</v>
      </c>
      <c r="J3157">
        <v>1</v>
      </c>
      <c r="K3157">
        <v>5</v>
      </c>
      <c r="L3157">
        <v>289</v>
      </c>
      <c r="M3157">
        <v>1</v>
      </c>
      <c r="N3157">
        <v>1.5677900000000001E-114</v>
      </c>
      <c r="O3157">
        <v>1051</v>
      </c>
    </row>
    <row r="3158" spans="1:15" x14ac:dyDescent="0.25">
      <c r="A3158" t="s">
        <v>3171</v>
      </c>
      <c r="B3158">
        <v>1094</v>
      </c>
      <c r="C3158" s="1" t="str">
        <f>HYPERLINK("http://www.rosaceae.org/gb/gbrowse/malus_x_domestica/?name=MDP0000238657","MDP0000238657")</f>
        <v>MDP0000238657</v>
      </c>
      <c r="D3158">
        <v>65.06</v>
      </c>
      <c r="E3158">
        <v>893</v>
      </c>
      <c r="F3158">
        <v>312</v>
      </c>
      <c r="G3158">
        <v>123</v>
      </c>
      <c r="H3158">
        <v>283</v>
      </c>
      <c r="I3158">
        <v>1094</v>
      </c>
      <c r="J3158">
        <v>1</v>
      </c>
      <c r="K3158">
        <v>143</v>
      </c>
      <c r="L3158">
        <v>993</v>
      </c>
      <c r="M3158">
        <v>1</v>
      </c>
      <c r="N3158">
        <v>0</v>
      </c>
      <c r="O3158">
        <v>2852</v>
      </c>
    </row>
    <row r="3159" spans="1:15" x14ac:dyDescent="0.25">
      <c r="A3159" t="s">
        <v>3172</v>
      </c>
      <c r="B3159">
        <v>630</v>
      </c>
      <c r="C3159" s="1" t="str">
        <f>HYPERLINK("http://www.rosaceae.org/gb/gbrowse/malus_x_domestica/?name=MDP0000230995","MDP0000230995")</f>
        <v>MDP0000230995</v>
      </c>
      <c r="D3159">
        <v>85.21</v>
      </c>
      <c r="E3159">
        <v>568</v>
      </c>
      <c r="F3159">
        <v>84</v>
      </c>
      <c r="G3159">
        <v>42</v>
      </c>
      <c r="H3159">
        <v>71</v>
      </c>
      <c r="I3159">
        <v>598</v>
      </c>
      <c r="J3159">
        <v>1</v>
      </c>
      <c r="K3159">
        <v>69</v>
      </c>
      <c r="L3159">
        <v>634</v>
      </c>
      <c r="M3159">
        <v>1</v>
      </c>
      <c r="N3159">
        <v>0</v>
      </c>
      <c r="O3159">
        <v>2544</v>
      </c>
    </row>
    <row r="3160" spans="1:15" x14ac:dyDescent="0.25">
      <c r="A3160" t="s">
        <v>3173</v>
      </c>
      <c r="B3160">
        <v>373</v>
      </c>
      <c r="C3160" s="1" t="str">
        <f>HYPERLINK("http://www.rosaceae.org/gb/gbrowse/malus_x_domestica/?name=MDP0000272295","MDP0000272295")</f>
        <v>MDP0000272295</v>
      </c>
      <c r="D3160">
        <v>80.45</v>
      </c>
      <c r="E3160">
        <v>353</v>
      </c>
      <c r="F3160">
        <v>69</v>
      </c>
      <c r="G3160">
        <v>3</v>
      </c>
      <c r="H3160">
        <v>1</v>
      </c>
      <c r="I3160">
        <v>353</v>
      </c>
      <c r="J3160">
        <v>1</v>
      </c>
      <c r="K3160">
        <v>1</v>
      </c>
      <c r="L3160">
        <v>350</v>
      </c>
      <c r="M3160">
        <v>1</v>
      </c>
      <c r="N3160">
        <v>2.4965100000000001E-170</v>
      </c>
      <c r="O3160">
        <v>1534</v>
      </c>
    </row>
    <row r="3161" spans="1:15" x14ac:dyDescent="0.25">
      <c r="A3161" t="s">
        <v>3174</v>
      </c>
      <c r="B3161">
        <v>523</v>
      </c>
      <c r="C3161" s="1" t="str">
        <f>HYPERLINK("http://www.rosaceae.org/gb/gbrowse/malus_x_domestica/?name=MDP0000136686","MDP0000136686")</f>
        <v>MDP0000136686</v>
      </c>
      <c r="D3161">
        <v>73.010000000000005</v>
      </c>
      <c r="E3161">
        <v>415</v>
      </c>
      <c r="F3161">
        <v>112</v>
      </c>
      <c r="G3161">
        <v>2</v>
      </c>
      <c r="H3161">
        <v>62</v>
      </c>
      <c r="I3161">
        <v>475</v>
      </c>
      <c r="J3161">
        <v>1</v>
      </c>
      <c r="K3161">
        <v>68</v>
      </c>
      <c r="L3161">
        <v>481</v>
      </c>
      <c r="M3161">
        <v>1</v>
      </c>
      <c r="N3161">
        <v>1.08217E-177</v>
      </c>
      <c r="O3161">
        <v>1599</v>
      </c>
    </row>
    <row r="3162" spans="1:15" x14ac:dyDescent="0.25">
      <c r="A3162" t="s">
        <v>3175</v>
      </c>
      <c r="B3162">
        <v>398</v>
      </c>
      <c r="C3162" s="1" t="str">
        <f>HYPERLINK("http://www.rosaceae.org/gb/gbrowse/malus_x_domestica/?name=MDP0000173418","MDP0000173418")</f>
        <v>MDP0000173418</v>
      </c>
      <c r="D3162">
        <v>54.94</v>
      </c>
      <c r="E3162">
        <v>435</v>
      </c>
      <c r="F3162">
        <v>196</v>
      </c>
      <c r="G3162">
        <v>72</v>
      </c>
      <c r="H3162">
        <v>1</v>
      </c>
      <c r="I3162">
        <v>367</v>
      </c>
      <c r="J3162">
        <v>1</v>
      </c>
      <c r="K3162">
        <v>1</v>
      </c>
      <c r="L3162">
        <v>431</v>
      </c>
      <c r="M3162">
        <v>1</v>
      </c>
      <c r="N3162">
        <v>1.9857599999999999E-120</v>
      </c>
      <c r="O3162">
        <v>1104</v>
      </c>
    </row>
    <row r="3163" spans="1:15" x14ac:dyDescent="0.25">
      <c r="A3163" t="s">
        <v>3176</v>
      </c>
      <c r="B3163">
        <v>124</v>
      </c>
      <c r="C3163" s="1" t="str">
        <f>HYPERLINK("http://www.rosaceae.org/gb/gbrowse/malus_x_domestica/?name=MDP0000402014","MDP0000402014")</f>
        <v>MDP0000402014</v>
      </c>
      <c r="D3163">
        <v>64.28</v>
      </c>
      <c r="E3163">
        <v>42</v>
      </c>
      <c r="F3163">
        <v>15</v>
      </c>
      <c r="G3163">
        <v>0</v>
      </c>
      <c r="H3163">
        <v>73</v>
      </c>
      <c r="I3163">
        <v>114</v>
      </c>
      <c r="J3163">
        <v>1</v>
      </c>
      <c r="K3163">
        <v>187</v>
      </c>
      <c r="L3163">
        <v>228</v>
      </c>
      <c r="M3163">
        <v>1</v>
      </c>
      <c r="N3163">
        <v>5.5424000000000003E-12</v>
      </c>
      <c r="O3163">
        <v>161</v>
      </c>
    </row>
    <row r="3164" spans="1:15" x14ac:dyDescent="0.25">
      <c r="A3164" t="s">
        <v>3177</v>
      </c>
      <c r="B3164">
        <v>590</v>
      </c>
      <c r="C3164" s="1" t="str">
        <f>HYPERLINK("http://www.rosaceae.org/gb/gbrowse/malus_x_domestica/?name=MDP0000316665","MDP0000316665")</f>
        <v>MDP0000316665</v>
      </c>
      <c r="D3164">
        <v>32.71</v>
      </c>
      <c r="E3164">
        <v>535</v>
      </c>
      <c r="F3164">
        <v>360</v>
      </c>
      <c r="G3164">
        <v>134</v>
      </c>
      <c r="H3164">
        <v>54</v>
      </c>
      <c r="I3164">
        <v>506</v>
      </c>
      <c r="J3164">
        <v>1</v>
      </c>
      <c r="K3164">
        <v>77</v>
      </c>
      <c r="L3164">
        <v>559</v>
      </c>
      <c r="M3164">
        <v>1</v>
      </c>
      <c r="N3164">
        <v>3.3947899999999998E-68</v>
      </c>
      <c r="O3164">
        <v>655</v>
      </c>
    </row>
    <row r="3165" spans="1:15" x14ac:dyDescent="0.25">
      <c r="A3165" t="s">
        <v>3178</v>
      </c>
      <c r="B3165">
        <v>1129</v>
      </c>
      <c r="C3165" s="1" t="str">
        <f>HYPERLINK("http://www.rosaceae.org/gb/gbrowse/malus_x_domestica/?name=MDP0000251786","MDP0000251786")</f>
        <v>MDP0000251786</v>
      </c>
      <c r="D3165">
        <v>66.23</v>
      </c>
      <c r="E3165">
        <v>536</v>
      </c>
      <c r="F3165">
        <v>181</v>
      </c>
      <c r="G3165">
        <v>47</v>
      </c>
      <c r="H3165">
        <v>1</v>
      </c>
      <c r="I3165">
        <v>520</v>
      </c>
      <c r="J3165">
        <v>1</v>
      </c>
      <c r="K3165">
        <v>550</v>
      </c>
      <c r="L3165">
        <v>1054</v>
      </c>
      <c r="M3165">
        <v>1</v>
      </c>
      <c r="N3165">
        <v>0</v>
      </c>
      <c r="O3165">
        <v>1866</v>
      </c>
    </row>
    <row r="3166" spans="1:15" x14ac:dyDescent="0.25">
      <c r="A3166" t="s">
        <v>3179</v>
      </c>
      <c r="B3166">
        <v>685</v>
      </c>
      <c r="C3166" s="1" t="str">
        <f>HYPERLINK("http://www.rosaceae.org/gb/gbrowse/malus_x_domestica/?name=MDP0000274668","MDP0000274668")</f>
        <v>MDP0000274668</v>
      </c>
      <c r="D3166">
        <v>80.48</v>
      </c>
      <c r="E3166">
        <v>497</v>
      </c>
      <c r="F3166">
        <v>97</v>
      </c>
      <c r="G3166">
        <v>5</v>
      </c>
      <c r="H3166">
        <v>6</v>
      </c>
      <c r="I3166">
        <v>501</v>
      </c>
      <c r="J3166">
        <v>1</v>
      </c>
      <c r="K3166">
        <v>23</v>
      </c>
      <c r="L3166">
        <v>515</v>
      </c>
      <c r="M3166">
        <v>1</v>
      </c>
      <c r="N3166">
        <v>0</v>
      </c>
      <c r="O3166">
        <v>2140</v>
      </c>
    </row>
    <row r="3167" spans="1:15" x14ac:dyDescent="0.25">
      <c r="A3167" t="s">
        <v>3180</v>
      </c>
      <c r="B3167">
        <v>844</v>
      </c>
      <c r="C3167" s="1" t="str">
        <f>HYPERLINK("http://www.rosaceae.org/gb/gbrowse/malus_x_domestica/?name=MDP0000250781","MDP0000250781")</f>
        <v>MDP0000250781</v>
      </c>
      <c r="D3167">
        <v>70.540000000000006</v>
      </c>
      <c r="E3167">
        <v>550</v>
      </c>
      <c r="F3167">
        <v>162</v>
      </c>
      <c r="G3167">
        <v>7</v>
      </c>
      <c r="H3167">
        <v>296</v>
      </c>
      <c r="I3167">
        <v>842</v>
      </c>
      <c r="J3167">
        <v>1</v>
      </c>
      <c r="K3167">
        <v>12</v>
      </c>
      <c r="L3167">
        <v>557</v>
      </c>
      <c r="M3167">
        <v>1</v>
      </c>
      <c r="N3167">
        <v>0</v>
      </c>
      <c r="O3167">
        <v>2035</v>
      </c>
    </row>
    <row r="3168" spans="1:15" x14ac:dyDescent="0.25">
      <c r="A3168" t="s">
        <v>3181</v>
      </c>
      <c r="B3168">
        <v>221</v>
      </c>
      <c r="C3168" s="1" t="str">
        <f>HYPERLINK("http://www.rosaceae.org/gb/gbrowse/malus_x_domestica/?name=MDP0000274402","MDP0000274402")</f>
        <v>MDP0000274402</v>
      </c>
      <c r="D3168">
        <v>81.19</v>
      </c>
      <c r="E3168">
        <v>218</v>
      </c>
      <c r="F3168">
        <v>41</v>
      </c>
      <c r="G3168">
        <v>0</v>
      </c>
      <c r="H3168">
        <v>1</v>
      </c>
      <c r="I3168">
        <v>218</v>
      </c>
      <c r="J3168">
        <v>1</v>
      </c>
      <c r="K3168">
        <v>1</v>
      </c>
      <c r="L3168">
        <v>218</v>
      </c>
      <c r="M3168">
        <v>1</v>
      </c>
      <c r="N3168">
        <v>3.1168900000000002E-105</v>
      </c>
      <c r="O3168">
        <v>970</v>
      </c>
    </row>
    <row r="3169" spans="1:15" x14ac:dyDescent="0.25">
      <c r="A3169" t="s">
        <v>3182</v>
      </c>
      <c r="B3169">
        <v>436</v>
      </c>
      <c r="C3169" s="1" t="str">
        <f>HYPERLINK("http://www.rosaceae.org/gb/gbrowse/malus_x_domestica/?name=MDP0000205276","MDP0000205276")</f>
        <v>MDP0000205276</v>
      </c>
      <c r="D3169">
        <v>76.14</v>
      </c>
      <c r="E3169">
        <v>415</v>
      </c>
      <c r="F3169">
        <v>99</v>
      </c>
      <c r="G3169">
        <v>26</v>
      </c>
      <c r="H3169">
        <v>47</v>
      </c>
      <c r="I3169">
        <v>436</v>
      </c>
      <c r="J3169">
        <v>1</v>
      </c>
      <c r="K3169">
        <v>6</v>
      </c>
      <c r="L3169">
        <v>419</v>
      </c>
      <c r="M3169">
        <v>1</v>
      </c>
      <c r="N3169">
        <v>0</v>
      </c>
      <c r="O3169">
        <v>1644</v>
      </c>
    </row>
    <row r="3170" spans="1:15" x14ac:dyDescent="0.25">
      <c r="A3170" t="s">
        <v>3183</v>
      </c>
      <c r="B3170">
        <v>450</v>
      </c>
      <c r="C3170" s="1" t="str">
        <f>HYPERLINK("http://www.rosaceae.org/gb/gbrowse/malus_x_domestica/?name=MDP0000278555","MDP0000278555")</f>
        <v>MDP0000278555</v>
      </c>
      <c r="D3170">
        <v>75.819999999999993</v>
      </c>
      <c r="E3170">
        <v>273</v>
      </c>
      <c r="F3170">
        <v>66</v>
      </c>
      <c r="G3170">
        <v>1</v>
      </c>
      <c r="H3170">
        <v>178</v>
      </c>
      <c r="I3170">
        <v>449</v>
      </c>
      <c r="J3170">
        <v>1</v>
      </c>
      <c r="K3170">
        <v>1</v>
      </c>
      <c r="L3170">
        <v>273</v>
      </c>
      <c r="M3170">
        <v>1</v>
      </c>
      <c r="N3170">
        <v>7.4625300000000005E-125</v>
      </c>
      <c r="O3170">
        <v>1143</v>
      </c>
    </row>
    <row r="3171" spans="1:15" x14ac:dyDescent="0.25">
      <c r="A3171" t="s">
        <v>3184</v>
      </c>
      <c r="B3171">
        <v>776</v>
      </c>
      <c r="C3171" s="1" t="str">
        <f>HYPERLINK("http://www.rosaceae.org/gb/gbrowse/malus_x_domestica/?name=MDP0000684605","MDP0000684605")</f>
        <v>MDP0000684605</v>
      </c>
      <c r="D3171">
        <v>74.13</v>
      </c>
      <c r="E3171">
        <v>781</v>
      </c>
      <c r="F3171">
        <v>202</v>
      </c>
      <c r="G3171">
        <v>13</v>
      </c>
      <c r="H3171">
        <v>1</v>
      </c>
      <c r="I3171">
        <v>772</v>
      </c>
      <c r="J3171">
        <v>1</v>
      </c>
      <c r="K3171">
        <v>1</v>
      </c>
      <c r="L3171">
        <v>777</v>
      </c>
      <c r="M3171">
        <v>1</v>
      </c>
      <c r="N3171">
        <v>0</v>
      </c>
      <c r="O3171">
        <v>3032</v>
      </c>
    </row>
    <row r="3172" spans="1:15" x14ac:dyDescent="0.25">
      <c r="A3172" t="s">
        <v>3185</v>
      </c>
      <c r="B3172">
        <v>589</v>
      </c>
      <c r="C3172" s="1" t="str">
        <f>HYPERLINK("http://www.rosaceae.org/gb/gbrowse/malus_x_domestica/?name=MDP0000257967","MDP0000257967")</f>
        <v>MDP0000257967</v>
      </c>
      <c r="D3172">
        <v>67.959999999999994</v>
      </c>
      <c r="E3172">
        <v>565</v>
      </c>
      <c r="F3172">
        <v>181</v>
      </c>
      <c r="G3172">
        <v>24</v>
      </c>
      <c r="H3172">
        <v>27</v>
      </c>
      <c r="I3172">
        <v>589</v>
      </c>
      <c r="J3172">
        <v>1</v>
      </c>
      <c r="K3172">
        <v>29</v>
      </c>
      <c r="L3172">
        <v>571</v>
      </c>
      <c r="M3172">
        <v>1</v>
      </c>
      <c r="N3172">
        <v>0</v>
      </c>
      <c r="O3172">
        <v>1975</v>
      </c>
    </row>
    <row r="3173" spans="1:15" x14ac:dyDescent="0.25">
      <c r="A3173" t="s">
        <v>3186</v>
      </c>
      <c r="B3173">
        <v>254</v>
      </c>
      <c r="C3173" s="1" t="str">
        <f>HYPERLINK("http://www.rosaceae.org/gb/gbrowse/malus_x_domestica/?name=MDP0000307467","MDP0000307467")</f>
        <v>MDP0000307467</v>
      </c>
      <c r="D3173">
        <v>62.05</v>
      </c>
      <c r="E3173">
        <v>253</v>
      </c>
      <c r="F3173">
        <v>96</v>
      </c>
      <c r="G3173">
        <v>1</v>
      </c>
      <c r="H3173">
        <v>1</v>
      </c>
      <c r="I3173">
        <v>253</v>
      </c>
      <c r="J3173">
        <v>1</v>
      </c>
      <c r="K3173">
        <v>131</v>
      </c>
      <c r="L3173">
        <v>382</v>
      </c>
      <c r="M3173">
        <v>1</v>
      </c>
      <c r="N3173">
        <v>1.9386500000000001E-81</v>
      </c>
      <c r="O3173">
        <v>765</v>
      </c>
    </row>
    <row r="3174" spans="1:15" x14ac:dyDescent="0.25">
      <c r="A3174" t="s">
        <v>3187</v>
      </c>
      <c r="B3174">
        <v>627</v>
      </c>
      <c r="C3174" s="1" t="str">
        <f>HYPERLINK("http://www.rosaceae.org/gb/gbrowse/malus_x_domestica/?name=MDP0000550992","MDP0000550992")</f>
        <v>MDP0000550992</v>
      </c>
      <c r="D3174">
        <v>71.17</v>
      </c>
      <c r="E3174">
        <v>517</v>
      </c>
      <c r="F3174">
        <v>149</v>
      </c>
      <c r="G3174">
        <v>15</v>
      </c>
      <c r="H3174">
        <v>121</v>
      </c>
      <c r="I3174">
        <v>626</v>
      </c>
      <c r="J3174">
        <v>1</v>
      </c>
      <c r="K3174">
        <v>137</v>
      </c>
      <c r="L3174">
        <v>649</v>
      </c>
      <c r="M3174">
        <v>1</v>
      </c>
      <c r="N3174">
        <v>0</v>
      </c>
      <c r="O3174">
        <v>1902</v>
      </c>
    </row>
    <row r="3175" spans="1:15" x14ac:dyDescent="0.25">
      <c r="A3175" t="s">
        <v>3188</v>
      </c>
      <c r="B3175">
        <v>509</v>
      </c>
      <c r="C3175" s="1" t="str">
        <f>HYPERLINK("http://www.rosaceae.org/gb/gbrowse/malus_x_domestica/?name=MDP0000534116","MDP0000534116")</f>
        <v>MDP0000534116</v>
      </c>
      <c r="D3175">
        <v>47.09</v>
      </c>
      <c r="E3175">
        <v>499</v>
      </c>
      <c r="F3175">
        <v>264</v>
      </c>
      <c r="G3175">
        <v>49</v>
      </c>
      <c r="H3175">
        <v>23</v>
      </c>
      <c r="I3175">
        <v>509</v>
      </c>
      <c r="J3175">
        <v>1</v>
      </c>
      <c r="K3175">
        <v>5</v>
      </c>
      <c r="L3175">
        <v>466</v>
      </c>
      <c r="M3175">
        <v>1</v>
      </c>
      <c r="N3175">
        <v>4.8203399999999996E-115</v>
      </c>
      <c r="O3175">
        <v>1059</v>
      </c>
    </row>
    <row r="3176" spans="1:15" x14ac:dyDescent="0.25">
      <c r="A3176" t="s">
        <v>3189</v>
      </c>
      <c r="B3176">
        <v>103</v>
      </c>
      <c r="C3176" s="1" t="str">
        <f>HYPERLINK("http://www.rosaceae.org/gb/gbrowse/malus_x_domestica/?name=MDP0000284776","MDP0000284776")</f>
        <v>MDP0000284776</v>
      </c>
      <c r="D3176">
        <v>79.239999999999995</v>
      </c>
      <c r="E3176">
        <v>106</v>
      </c>
      <c r="F3176">
        <v>22</v>
      </c>
      <c r="G3176">
        <v>3</v>
      </c>
      <c r="H3176">
        <v>1</v>
      </c>
      <c r="I3176">
        <v>103</v>
      </c>
      <c r="J3176">
        <v>1</v>
      </c>
      <c r="K3176">
        <v>1</v>
      </c>
      <c r="L3176">
        <v>106</v>
      </c>
      <c r="M3176">
        <v>1</v>
      </c>
      <c r="N3176">
        <v>4.9790199999999998E-46</v>
      </c>
      <c r="O3176">
        <v>454</v>
      </c>
    </row>
    <row r="3177" spans="1:15" x14ac:dyDescent="0.25">
      <c r="A3177" t="s">
        <v>3190</v>
      </c>
      <c r="B3177">
        <v>348</v>
      </c>
      <c r="C3177" s="1" t="str">
        <f>HYPERLINK("http://www.rosaceae.org/gb/gbrowse/malus_x_domestica/?name=MDP0000292722","MDP0000292722")</f>
        <v>MDP0000292722</v>
      </c>
      <c r="D3177">
        <v>57.35</v>
      </c>
      <c r="E3177">
        <v>68</v>
      </c>
      <c r="F3177">
        <v>29</v>
      </c>
      <c r="G3177">
        <v>1</v>
      </c>
      <c r="H3177">
        <v>212</v>
      </c>
      <c r="I3177">
        <v>278</v>
      </c>
      <c r="J3177">
        <v>1</v>
      </c>
      <c r="K3177">
        <v>328</v>
      </c>
      <c r="L3177">
        <v>395</v>
      </c>
      <c r="M3177">
        <v>1</v>
      </c>
      <c r="N3177">
        <v>1.82712E-15</v>
      </c>
      <c r="O3177">
        <v>198</v>
      </c>
    </row>
    <row r="3178" spans="1:15" x14ac:dyDescent="0.25">
      <c r="A3178" t="s">
        <v>3191</v>
      </c>
      <c r="B3178">
        <v>742</v>
      </c>
      <c r="C3178" s="1" t="str">
        <f>HYPERLINK("http://www.rosaceae.org/gb/gbrowse/malus_x_domestica/?name=MDP0000167955","MDP0000167955")</f>
        <v>MDP0000167955</v>
      </c>
      <c r="D3178">
        <v>77.23</v>
      </c>
      <c r="E3178">
        <v>716</v>
      </c>
      <c r="F3178">
        <v>163</v>
      </c>
      <c r="G3178">
        <v>15</v>
      </c>
      <c r="H3178">
        <v>1</v>
      </c>
      <c r="I3178">
        <v>702</v>
      </c>
      <c r="J3178">
        <v>1</v>
      </c>
      <c r="K3178">
        <v>1</v>
      </c>
      <c r="L3178">
        <v>715</v>
      </c>
      <c r="M3178">
        <v>1</v>
      </c>
      <c r="N3178">
        <v>0</v>
      </c>
      <c r="O3178">
        <v>2862</v>
      </c>
    </row>
    <row r="3179" spans="1:15" x14ac:dyDescent="0.25">
      <c r="A3179" t="s">
        <v>3192</v>
      </c>
      <c r="B3179">
        <v>1118</v>
      </c>
      <c r="C3179" s="1" t="str">
        <f>HYPERLINK("http://www.rosaceae.org/gb/gbrowse/malus_x_domestica/?name=MDP0000214747","MDP0000214747")</f>
        <v>MDP0000214747</v>
      </c>
      <c r="D3179">
        <v>64.23</v>
      </c>
      <c r="E3179">
        <v>1110</v>
      </c>
      <c r="F3179">
        <v>397</v>
      </c>
      <c r="G3179">
        <v>87</v>
      </c>
      <c r="H3179">
        <v>55</v>
      </c>
      <c r="I3179">
        <v>1118</v>
      </c>
      <c r="J3179">
        <v>1</v>
      </c>
      <c r="K3179">
        <v>1</v>
      </c>
      <c r="L3179">
        <v>1069</v>
      </c>
      <c r="M3179">
        <v>1</v>
      </c>
      <c r="N3179">
        <v>0</v>
      </c>
      <c r="O3179">
        <v>3292</v>
      </c>
    </row>
    <row r="3180" spans="1:15" x14ac:dyDescent="0.25">
      <c r="A3180" t="s">
        <v>3193</v>
      </c>
      <c r="B3180">
        <v>199</v>
      </c>
      <c r="C3180" s="1" t="str">
        <f>HYPERLINK("http://www.rosaceae.org/gb/gbrowse/malus_x_domestica/?name=MDP0000264823","MDP0000264823")</f>
        <v>MDP0000264823</v>
      </c>
      <c r="D3180">
        <v>40.24</v>
      </c>
      <c r="E3180">
        <v>82</v>
      </c>
      <c r="F3180">
        <v>49</v>
      </c>
      <c r="G3180">
        <v>9</v>
      </c>
      <c r="H3180">
        <v>12</v>
      </c>
      <c r="I3180">
        <v>93</v>
      </c>
      <c r="J3180">
        <v>1</v>
      </c>
      <c r="K3180">
        <v>895</v>
      </c>
      <c r="L3180">
        <v>967</v>
      </c>
      <c r="M3180">
        <v>1</v>
      </c>
      <c r="N3180">
        <v>1.03785E-7</v>
      </c>
      <c r="O3180">
        <v>128</v>
      </c>
    </row>
    <row r="3181" spans="1:15" x14ac:dyDescent="0.25">
      <c r="A3181" t="s">
        <v>3194</v>
      </c>
      <c r="B3181">
        <v>259</v>
      </c>
      <c r="C3181" s="1" t="str">
        <f>HYPERLINK("http://www.rosaceae.org/gb/gbrowse/malus_x_domestica/?name=MDP0000941515","MDP0000941515")</f>
        <v>MDP0000941515</v>
      </c>
      <c r="D3181">
        <v>87.75</v>
      </c>
      <c r="E3181">
        <v>245</v>
      </c>
      <c r="F3181">
        <v>30</v>
      </c>
      <c r="G3181">
        <v>0</v>
      </c>
      <c r="H3181">
        <v>15</v>
      </c>
      <c r="I3181">
        <v>259</v>
      </c>
      <c r="J3181">
        <v>1</v>
      </c>
      <c r="K3181">
        <v>16</v>
      </c>
      <c r="L3181">
        <v>260</v>
      </c>
      <c r="M3181">
        <v>1</v>
      </c>
      <c r="N3181">
        <v>3.1775699999999999E-128</v>
      </c>
      <c r="O3181">
        <v>1169</v>
      </c>
    </row>
    <row r="3182" spans="1:15" x14ac:dyDescent="0.25">
      <c r="A3182" t="s">
        <v>3195</v>
      </c>
      <c r="B3182">
        <v>461</v>
      </c>
      <c r="C3182" s="1" t="str">
        <f>HYPERLINK("http://www.rosaceae.org/gb/gbrowse/malus_x_domestica/?name=MDP0000303511","MDP0000303511")</f>
        <v>MDP0000303511</v>
      </c>
      <c r="D3182">
        <v>75.05</v>
      </c>
      <c r="E3182">
        <v>445</v>
      </c>
      <c r="F3182">
        <v>111</v>
      </c>
      <c r="G3182">
        <v>24</v>
      </c>
      <c r="H3182">
        <v>3</v>
      </c>
      <c r="I3182">
        <v>429</v>
      </c>
      <c r="J3182">
        <v>1</v>
      </c>
      <c r="K3182">
        <v>1</v>
      </c>
      <c r="L3182">
        <v>439</v>
      </c>
      <c r="M3182">
        <v>1</v>
      </c>
      <c r="N3182">
        <v>0</v>
      </c>
      <c r="O3182">
        <v>1726</v>
      </c>
    </row>
    <row r="3183" spans="1:15" x14ac:dyDescent="0.25">
      <c r="A3183" t="s">
        <v>3196</v>
      </c>
      <c r="B3183">
        <v>868</v>
      </c>
      <c r="C3183" s="1" t="str">
        <f>HYPERLINK("http://www.rosaceae.org/gb/gbrowse/malus_x_domestica/?name=MDP0000184935","MDP0000184935")</f>
        <v>MDP0000184935</v>
      </c>
      <c r="D3183">
        <v>77.66</v>
      </c>
      <c r="E3183">
        <v>873</v>
      </c>
      <c r="F3183">
        <v>195</v>
      </c>
      <c r="G3183">
        <v>11</v>
      </c>
      <c r="H3183">
        <v>1</v>
      </c>
      <c r="I3183">
        <v>868</v>
      </c>
      <c r="J3183">
        <v>1</v>
      </c>
      <c r="K3183">
        <v>1</v>
      </c>
      <c r="L3183">
        <v>867</v>
      </c>
      <c r="M3183">
        <v>1</v>
      </c>
      <c r="N3183">
        <v>0</v>
      </c>
      <c r="O3183">
        <v>3645</v>
      </c>
    </row>
    <row r="3184" spans="1:15" x14ac:dyDescent="0.25">
      <c r="A3184" t="s">
        <v>3197</v>
      </c>
      <c r="B3184">
        <v>445</v>
      </c>
      <c r="C3184" s="1" t="str">
        <f>HYPERLINK("http://www.rosaceae.org/gb/gbrowse/malus_x_domestica/?name=MDP0000204597","MDP0000204597")</f>
        <v>MDP0000204597</v>
      </c>
      <c r="D3184">
        <v>48.17</v>
      </c>
      <c r="E3184">
        <v>411</v>
      </c>
      <c r="F3184">
        <v>213</v>
      </c>
      <c r="G3184">
        <v>23</v>
      </c>
      <c r="H3184">
        <v>51</v>
      </c>
      <c r="I3184">
        <v>442</v>
      </c>
      <c r="J3184">
        <v>1</v>
      </c>
      <c r="K3184">
        <v>55</v>
      </c>
      <c r="L3184">
        <v>461</v>
      </c>
      <c r="M3184">
        <v>1</v>
      </c>
      <c r="N3184">
        <v>5.5489900000000001E-89</v>
      </c>
      <c r="O3184">
        <v>833</v>
      </c>
    </row>
    <row r="3185" spans="1:15" x14ac:dyDescent="0.25">
      <c r="A3185" t="s">
        <v>3198</v>
      </c>
      <c r="B3185">
        <v>177</v>
      </c>
      <c r="C3185" s="1" t="str">
        <f>HYPERLINK("http://www.rosaceae.org/gb/gbrowse/malus_x_domestica/?name=MDP0000252251","MDP0000252251")</f>
        <v>MDP0000252251</v>
      </c>
      <c r="D3185">
        <v>36.58</v>
      </c>
      <c r="E3185">
        <v>164</v>
      </c>
      <c r="F3185">
        <v>104</v>
      </c>
      <c r="G3185">
        <v>12</v>
      </c>
      <c r="H3185">
        <v>22</v>
      </c>
      <c r="I3185">
        <v>174</v>
      </c>
      <c r="J3185">
        <v>1</v>
      </c>
      <c r="K3185">
        <v>384</v>
      </c>
      <c r="L3185">
        <v>546</v>
      </c>
      <c r="M3185">
        <v>1</v>
      </c>
      <c r="N3185">
        <v>1.6301900000000001E-18</v>
      </c>
      <c r="O3185">
        <v>220</v>
      </c>
    </row>
    <row r="3186" spans="1:15" x14ac:dyDescent="0.25">
      <c r="A3186" t="s">
        <v>3199</v>
      </c>
      <c r="B3186">
        <v>155</v>
      </c>
      <c r="C3186" s="1" t="str">
        <f>HYPERLINK("http://www.rosaceae.org/gb/gbrowse/malus_x_domestica/?name=MDP0000566117","MDP0000566117")</f>
        <v>MDP0000566117</v>
      </c>
      <c r="D3186">
        <v>82.27</v>
      </c>
      <c r="E3186">
        <v>79</v>
      </c>
      <c r="F3186">
        <v>14</v>
      </c>
      <c r="G3186">
        <v>0</v>
      </c>
      <c r="H3186">
        <v>76</v>
      </c>
      <c r="I3186">
        <v>154</v>
      </c>
      <c r="J3186">
        <v>1</v>
      </c>
      <c r="K3186">
        <v>299</v>
      </c>
      <c r="L3186">
        <v>377</v>
      </c>
      <c r="M3186">
        <v>1</v>
      </c>
      <c r="N3186">
        <v>1.2357300000000001E-35</v>
      </c>
      <c r="O3186">
        <v>367</v>
      </c>
    </row>
    <row r="3187" spans="1:15" x14ac:dyDescent="0.25">
      <c r="A3187" t="s">
        <v>3200</v>
      </c>
      <c r="B3187">
        <v>414</v>
      </c>
      <c r="C3187" s="1" t="str">
        <f>HYPERLINK("http://www.rosaceae.org/gb/gbrowse/malus_x_domestica/?name=MDP0000253624","MDP0000253624")</f>
        <v>MDP0000253624</v>
      </c>
      <c r="D3187">
        <v>60.65</v>
      </c>
      <c r="E3187">
        <v>427</v>
      </c>
      <c r="F3187">
        <v>168</v>
      </c>
      <c r="G3187">
        <v>36</v>
      </c>
      <c r="H3187">
        <v>1</v>
      </c>
      <c r="I3187">
        <v>406</v>
      </c>
      <c r="J3187">
        <v>1</v>
      </c>
      <c r="K3187">
        <v>708</v>
      </c>
      <c r="L3187">
        <v>1119</v>
      </c>
      <c r="M3187">
        <v>1</v>
      </c>
      <c r="N3187">
        <v>5.1337499999999997E-136</v>
      </c>
      <c r="O3187">
        <v>1239</v>
      </c>
    </row>
    <row r="3188" spans="1:15" x14ac:dyDescent="0.25">
      <c r="A3188" t="s">
        <v>3201</v>
      </c>
      <c r="B3188">
        <v>836</v>
      </c>
      <c r="C3188" s="1" t="str">
        <f>HYPERLINK("http://www.rosaceae.org/gb/gbrowse/malus_x_domestica/?name=MDP0000190369","MDP0000190369")</f>
        <v>MDP0000190369</v>
      </c>
      <c r="D3188">
        <v>52.47</v>
      </c>
      <c r="E3188">
        <v>263</v>
      </c>
      <c r="F3188">
        <v>125</v>
      </c>
      <c r="G3188">
        <v>20</v>
      </c>
      <c r="H3188">
        <v>35</v>
      </c>
      <c r="I3188">
        <v>297</v>
      </c>
      <c r="J3188">
        <v>1</v>
      </c>
      <c r="K3188">
        <v>649</v>
      </c>
      <c r="L3188">
        <v>891</v>
      </c>
      <c r="M3188">
        <v>1</v>
      </c>
      <c r="N3188">
        <v>3.1999199999999999E-60</v>
      </c>
      <c r="O3188">
        <v>588</v>
      </c>
    </row>
    <row r="3189" spans="1:15" x14ac:dyDescent="0.25">
      <c r="A3189" t="s">
        <v>3202</v>
      </c>
      <c r="B3189">
        <v>157</v>
      </c>
      <c r="C3189" s="1" t="str">
        <f>HYPERLINK("http://www.rosaceae.org/gb/gbrowse/malus_x_domestica/?name=MDP0000791550","MDP0000791550")</f>
        <v>MDP0000791550</v>
      </c>
      <c r="D3189">
        <v>75.64</v>
      </c>
      <c r="E3189">
        <v>156</v>
      </c>
      <c r="F3189">
        <v>38</v>
      </c>
      <c r="G3189">
        <v>1</v>
      </c>
      <c r="H3189">
        <v>1</v>
      </c>
      <c r="I3189">
        <v>156</v>
      </c>
      <c r="J3189">
        <v>1</v>
      </c>
      <c r="K3189">
        <v>1</v>
      </c>
      <c r="L3189">
        <v>155</v>
      </c>
      <c r="M3189">
        <v>1</v>
      </c>
      <c r="N3189">
        <v>1.19474E-63</v>
      </c>
      <c r="O3189">
        <v>609</v>
      </c>
    </row>
    <row r="3190" spans="1:15" x14ac:dyDescent="0.25">
      <c r="A3190" t="s">
        <v>3203</v>
      </c>
      <c r="B3190">
        <v>376</v>
      </c>
      <c r="C3190" s="1" t="str">
        <f>HYPERLINK("http://www.rosaceae.org/gb/gbrowse/malus_x_domestica/?name=MDP0000578585","MDP0000578585")</f>
        <v>MDP0000578585</v>
      </c>
      <c r="D3190">
        <v>78.069999999999993</v>
      </c>
      <c r="E3190">
        <v>374</v>
      </c>
      <c r="F3190">
        <v>82</v>
      </c>
      <c r="G3190">
        <v>6</v>
      </c>
      <c r="H3190">
        <v>9</v>
      </c>
      <c r="I3190">
        <v>376</v>
      </c>
      <c r="J3190">
        <v>1</v>
      </c>
      <c r="K3190">
        <v>27</v>
      </c>
      <c r="L3190">
        <v>400</v>
      </c>
      <c r="M3190">
        <v>1</v>
      </c>
      <c r="N3190">
        <v>5.8181400000000003E-168</v>
      </c>
      <c r="O3190">
        <v>1514</v>
      </c>
    </row>
    <row r="3191" spans="1:15" x14ac:dyDescent="0.25">
      <c r="A3191" t="s">
        <v>3204</v>
      </c>
      <c r="B3191">
        <v>286</v>
      </c>
      <c r="C3191" s="1" t="str">
        <f>HYPERLINK("http://www.rosaceae.org/gb/gbrowse/malus_x_domestica/?name=MDP0000230747","MDP0000230747")</f>
        <v>MDP0000230747</v>
      </c>
      <c r="D3191">
        <v>63.09</v>
      </c>
      <c r="E3191">
        <v>317</v>
      </c>
      <c r="F3191">
        <v>117</v>
      </c>
      <c r="G3191">
        <v>45</v>
      </c>
      <c r="H3191">
        <v>1</v>
      </c>
      <c r="I3191">
        <v>275</v>
      </c>
      <c r="J3191">
        <v>1</v>
      </c>
      <c r="K3191">
        <v>1</v>
      </c>
      <c r="L3191">
        <v>314</v>
      </c>
      <c r="M3191">
        <v>1</v>
      </c>
      <c r="N3191">
        <v>7.5432600000000007E-105</v>
      </c>
      <c r="O3191">
        <v>968</v>
      </c>
    </row>
    <row r="3192" spans="1:15" x14ac:dyDescent="0.25">
      <c r="A3192" t="s">
        <v>3205</v>
      </c>
      <c r="B3192">
        <v>531</v>
      </c>
      <c r="C3192" s="1" t="str">
        <f>HYPERLINK("http://www.rosaceae.org/gb/gbrowse/malus_x_domestica/?name=MDP0000012693","MDP0000012693")</f>
        <v>MDP0000012693</v>
      </c>
      <c r="D3192">
        <v>57.72</v>
      </c>
      <c r="E3192">
        <v>537</v>
      </c>
      <c r="F3192">
        <v>227</v>
      </c>
      <c r="G3192">
        <v>28</v>
      </c>
      <c r="H3192">
        <v>1</v>
      </c>
      <c r="I3192">
        <v>520</v>
      </c>
      <c r="J3192">
        <v>1</v>
      </c>
      <c r="K3192">
        <v>1</v>
      </c>
      <c r="L3192">
        <v>526</v>
      </c>
      <c r="M3192">
        <v>1</v>
      </c>
      <c r="N3192">
        <v>2.0635400000000001E-175</v>
      </c>
      <c r="O3192">
        <v>1579</v>
      </c>
    </row>
    <row r="3193" spans="1:15" x14ac:dyDescent="0.25">
      <c r="A3193" t="s">
        <v>3206</v>
      </c>
      <c r="B3193">
        <v>923</v>
      </c>
      <c r="C3193" s="1" t="str">
        <f>HYPERLINK("http://www.rosaceae.org/gb/gbrowse/malus_x_domestica/?name=MDP0000266649","MDP0000266649")</f>
        <v>MDP0000266649</v>
      </c>
      <c r="D3193">
        <v>56.49</v>
      </c>
      <c r="E3193">
        <v>570</v>
      </c>
      <c r="F3193">
        <v>248</v>
      </c>
      <c r="G3193">
        <v>58</v>
      </c>
      <c r="H3193">
        <v>289</v>
      </c>
      <c r="I3193">
        <v>820</v>
      </c>
      <c r="J3193">
        <v>1</v>
      </c>
      <c r="K3193">
        <v>288</v>
      </c>
      <c r="L3193">
        <v>837</v>
      </c>
      <c r="M3193">
        <v>1</v>
      </c>
      <c r="N3193">
        <v>1.8133900000000001E-148</v>
      </c>
      <c r="O3193">
        <v>1349</v>
      </c>
    </row>
    <row r="3194" spans="1:15" x14ac:dyDescent="0.25">
      <c r="A3194" t="s">
        <v>3207</v>
      </c>
      <c r="B3194">
        <v>1214</v>
      </c>
      <c r="C3194" s="1" t="str">
        <f>HYPERLINK("http://www.rosaceae.org/gb/gbrowse/malus_x_domestica/?name=MDP0000206106","MDP0000206106")</f>
        <v>MDP0000206106</v>
      </c>
      <c r="D3194">
        <v>43.86</v>
      </c>
      <c r="E3194">
        <v>326</v>
      </c>
      <c r="F3194">
        <v>183</v>
      </c>
      <c r="G3194">
        <v>41</v>
      </c>
      <c r="H3194">
        <v>640</v>
      </c>
      <c r="I3194">
        <v>950</v>
      </c>
      <c r="J3194">
        <v>1</v>
      </c>
      <c r="K3194">
        <v>9</v>
      </c>
      <c r="L3194">
        <v>308</v>
      </c>
      <c r="M3194">
        <v>1</v>
      </c>
      <c r="N3194">
        <v>8.8465500000000003E-53</v>
      </c>
      <c r="O3194">
        <v>525</v>
      </c>
    </row>
    <row r="3195" spans="1:15" x14ac:dyDescent="0.25">
      <c r="A3195" t="s">
        <v>3208</v>
      </c>
      <c r="B3195">
        <v>2169</v>
      </c>
      <c r="C3195" s="1" t="str">
        <f>HYPERLINK("http://www.rosaceae.org/gb/gbrowse/malus_x_domestica/?name=MDP0000232330","MDP0000232330")</f>
        <v>MDP0000232330</v>
      </c>
      <c r="D3195">
        <v>64.81</v>
      </c>
      <c r="E3195">
        <v>1060</v>
      </c>
      <c r="F3195">
        <v>373</v>
      </c>
      <c r="G3195">
        <v>157</v>
      </c>
      <c r="H3195">
        <v>210</v>
      </c>
      <c r="I3195">
        <v>1127</v>
      </c>
      <c r="J3195">
        <v>1</v>
      </c>
      <c r="K3195">
        <v>3</v>
      </c>
      <c r="L3195">
        <v>1047</v>
      </c>
      <c r="M3195">
        <v>1</v>
      </c>
      <c r="N3195">
        <v>0</v>
      </c>
      <c r="O3195">
        <v>3256</v>
      </c>
    </row>
    <row r="3196" spans="1:15" x14ac:dyDescent="0.25">
      <c r="A3196" t="s">
        <v>3209</v>
      </c>
      <c r="B3196">
        <v>283</v>
      </c>
      <c r="C3196" s="1" t="str">
        <f>HYPERLINK("http://www.rosaceae.org/gb/gbrowse/malus_x_domestica/?name=MDP0000515505","MDP0000515505")</f>
        <v>MDP0000515505</v>
      </c>
      <c r="D3196">
        <v>81.31</v>
      </c>
      <c r="E3196">
        <v>289</v>
      </c>
      <c r="F3196">
        <v>54</v>
      </c>
      <c r="G3196">
        <v>7</v>
      </c>
      <c r="H3196">
        <v>1</v>
      </c>
      <c r="I3196">
        <v>282</v>
      </c>
      <c r="J3196">
        <v>1</v>
      </c>
      <c r="K3196">
        <v>1</v>
      </c>
      <c r="L3196">
        <v>289</v>
      </c>
      <c r="M3196">
        <v>1</v>
      </c>
      <c r="N3196">
        <v>1.84234E-133</v>
      </c>
      <c r="O3196">
        <v>1215</v>
      </c>
    </row>
    <row r="3197" spans="1:15" x14ac:dyDescent="0.25">
      <c r="A3197" t="s">
        <v>3210</v>
      </c>
      <c r="B3197">
        <v>248</v>
      </c>
      <c r="C3197" s="1" t="str">
        <f>HYPERLINK("http://www.rosaceae.org/gb/gbrowse/malus_x_domestica/?name=MDP0000303622","MDP0000303622")</f>
        <v>MDP0000303622</v>
      </c>
      <c r="D3197">
        <v>64.47</v>
      </c>
      <c r="E3197">
        <v>259</v>
      </c>
      <c r="F3197">
        <v>92</v>
      </c>
      <c r="G3197">
        <v>13</v>
      </c>
      <c r="H3197">
        <v>2</v>
      </c>
      <c r="I3197">
        <v>247</v>
      </c>
      <c r="J3197">
        <v>1</v>
      </c>
      <c r="K3197">
        <v>37</v>
      </c>
      <c r="L3197">
        <v>295</v>
      </c>
      <c r="M3197">
        <v>1</v>
      </c>
      <c r="N3197">
        <v>1.16668E-83</v>
      </c>
      <c r="O3197">
        <v>784</v>
      </c>
    </row>
    <row r="3198" spans="1:15" x14ac:dyDescent="0.25">
      <c r="A3198" t="s">
        <v>3211</v>
      </c>
      <c r="B3198">
        <v>591</v>
      </c>
      <c r="C3198" s="1" t="str">
        <f>HYPERLINK("http://www.rosaceae.org/gb/gbrowse/malus_x_domestica/?name=MDP0000137324","MDP0000137324")</f>
        <v>MDP0000137324</v>
      </c>
      <c r="D3198">
        <v>27.34</v>
      </c>
      <c r="E3198">
        <v>128</v>
      </c>
      <c r="F3198">
        <v>93</v>
      </c>
      <c r="G3198">
        <v>2</v>
      </c>
      <c r="H3198">
        <v>322</v>
      </c>
      <c r="I3198">
        <v>448</v>
      </c>
      <c r="J3198">
        <v>1</v>
      </c>
      <c r="K3198">
        <v>287</v>
      </c>
      <c r="L3198">
        <v>413</v>
      </c>
      <c r="M3198">
        <v>1</v>
      </c>
      <c r="N3198">
        <v>2.5413800000000002E-9</v>
      </c>
      <c r="O3198">
        <v>148</v>
      </c>
    </row>
    <row r="3199" spans="1:15" x14ac:dyDescent="0.25">
      <c r="A3199" t="s">
        <v>3212</v>
      </c>
      <c r="B3199">
        <v>357</v>
      </c>
      <c r="C3199" s="1" t="str">
        <f>HYPERLINK("http://www.rosaceae.org/gb/gbrowse/malus_x_domestica/?name=MDP0000545006","MDP0000545006")</f>
        <v>MDP0000545006</v>
      </c>
      <c r="D3199">
        <v>70.58</v>
      </c>
      <c r="E3199">
        <v>34</v>
      </c>
      <c r="F3199">
        <v>10</v>
      </c>
      <c r="G3199">
        <v>0</v>
      </c>
      <c r="H3199">
        <v>34</v>
      </c>
      <c r="I3199">
        <v>67</v>
      </c>
      <c r="J3199">
        <v>1</v>
      </c>
      <c r="K3199">
        <v>400</v>
      </c>
      <c r="L3199">
        <v>433</v>
      </c>
      <c r="M3199">
        <v>1</v>
      </c>
      <c r="N3199">
        <v>5.8107300000000002E-8</v>
      </c>
      <c r="O3199">
        <v>134</v>
      </c>
    </row>
    <row r="3200" spans="1:15" x14ac:dyDescent="0.25">
      <c r="A3200" t="s">
        <v>3213</v>
      </c>
      <c r="B3200">
        <v>611</v>
      </c>
      <c r="C3200" s="1" t="str">
        <f>HYPERLINK("http://www.rosaceae.org/gb/gbrowse/malus_x_domestica/?name=MDP0000179747","MDP0000179747")</f>
        <v>MDP0000179747</v>
      </c>
      <c r="D3200">
        <v>65.59</v>
      </c>
      <c r="E3200">
        <v>558</v>
      </c>
      <c r="F3200">
        <v>192</v>
      </c>
      <c r="G3200">
        <v>32</v>
      </c>
      <c r="H3200">
        <v>78</v>
      </c>
      <c r="I3200">
        <v>604</v>
      </c>
      <c r="J3200">
        <v>1</v>
      </c>
      <c r="K3200">
        <v>64</v>
      </c>
      <c r="L3200">
        <v>620</v>
      </c>
      <c r="M3200">
        <v>1</v>
      </c>
      <c r="N3200">
        <v>0</v>
      </c>
      <c r="O3200">
        <v>1894</v>
      </c>
    </row>
    <row r="3201" spans="1:15" x14ac:dyDescent="0.25">
      <c r="A3201" t="s">
        <v>3214</v>
      </c>
      <c r="B3201">
        <v>659</v>
      </c>
      <c r="C3201" s="1" t="str">
        <f>HYPERLINK("http://www.rosaceae.org/gb/gbrowse/malus_x_domestica/?name=MDP0000270654","MDP0000270654")</f>
        <v>MDP0000270654</v>
      </c>
      <c r="D3201">
        <v>77.98</v>
      </c>
      <c r="E3201">
        <v>436</v>
      </c>
      <c r="F3201">
        <v>96</v>
      </c>
      <c r="G3201">
        <v>1</v>
      </c>
      <c r="H3201">
        <v>1</v>
      </c>
      <c r="I3201">
        <v>436</v>
      </c>
      <c r="J3201">
        <v>1</v>
      </c>
      <c r="K3201">
        <v>1</v>
      </c>
      <c r="L3201">
        <v>435</v>
      </c>
      <c r="M3201">
        <v>1</v>
      </c>
      <c r="N3201">
        <v>0</v>
      </c>
      <c r="O3201">
        <v>1816</v>
      </c>
    </row>
    <row r="3202" spans="1:15" x14ac:dyDescent="0.25">
      <c r="A3202" t="s">
        <v>3215</v>
      </c>
      <c r="B3202">
        <v>338</v>
      </c>
      <c r="C3202" s="1" t="str">
        <f>HYPERLINK("http://www.rosaceae.org/gb/gbrowse/malus_x_domestica/?name=MDP0000202137","MDP0000202137")</f>
        <v>MDP0000202137</v>
      </c>
      <c r="D3202">
        <v>84.91</v>
      </c>
      <c r="E3202">
        <v>338</v>
      </c>
      <c r="F3202">
        <v>51</v>
      </c>
      <c r="G3202">
        <v>1</v>
      </c>
      <c r="H3202">
        <v>1</v>
      </c>
      <c r="I3202">
        <v>337</v>
      </c>
      <c r="J3202">
        <v>1</v>
      </c>
      <c r="K3202">
        <v>50</v>
      </c>
      <c r="L3202">
        <v>387</v>
      </c>
      <c r="M3202">
        <v>1</v>
      </c>
      <c r="N3202">
        <v>9.1897199999999997E-170</v>
      </c>
      <c r="O3202">
        <v>1529</v>
      </c>
    </row>
    <row r="3203" spans="1:15" x14ac:dyDescent="0.25">
      <c r="A3203" t="s">
        <v>3216</v>
      </c>
      <c r="B3203">
        <v>396</v>
      </c>
      <c r="C3203" s="1" t="str">
        <f>HYPERLINK("http://www.rosaceae.org/gb/gbrowse/malus_x_domestica/?name=MDP0000136726","MDP0000136726")</f>
        <v>MDP0000136726</v>
      </c>
      <c r="D3203">
        <v>49.71</v>
      </c>
      <c r="E3203">
        <v>175</v>
      </c>
      <c r="F3203">
        <v>88</v>
      </c>
      <c r="G3203">
        <v>3</v>
      </c>
      <c r="H3203">
        <v>60</v>
      </c>
      <c r="I3203">
        <v>233</v>
      </c>
      <c r="J3203">
        <v>1</v>
      </c>
      <c r="K3203">
        <v>1179</v>
      </c>
      <c r="L3203">
        <v>1351</v>
      </c>
      <c r="M3203">
        <v>1</v>
      </c>
      <c r="N3203">
        <v>3.0615800000000003E-42</v>
      </c>
      <c r="O3203">
        <v>430</v>
      </c>
    </row>
    <row r="3204" spans="1:15" x14ac:dyDescent="0.25">
      <c r="A3204" t="s">
        <v>3217</v>
      </c>
      <c r="B3204">
        <v>455</v>
      </c>
      <c r="C3204" s="1" t="str">
        <f>HYPERLINK("http://www.rosaceae.org/gb/gbrowse/malus_x_domestica/?name=MDP0000260352","MDP0000260352")</f>
        <v>MDP0000260352</v>
      </c>
      <c r="D3204">
        <v>60.33</v>
      </c>
      <c r="E3204">
        <v>358</v>
      </c>
      <c r="F3204">
        <v>142</v>
      </c>
      <c r="G3204">
        <v>22</v>
      </c>
      <c r="H3204">
        <v>102</v>
      </c>
      <c r="I3204">
        <v>454</v>
      </c>
      <c r="J3204">
        <v>1</v>
      </c>
      <c r="K3204">
        <v>22</v>
      </c>
      <c r="L3204">
        <v>362</v>
      </c>
      <c r="M3204">
        <v>1</v>
      </c>
      <c r="N3204">
        <v>2.0441399999999999E-123</v>
      </c>
      <c r="O3204">
        <v>1130</v>
      </c>
    </row>
    <row r="3205" spans="1:15" x14ac:dyDescent="0.25">
      <c r="A3205" t="s">
        <v>3218</v>
      </c>
      <c r="B3205">
        <v>295</v>
      </c>
      <c r="C3205" s="1" t="str">
        <f>HYPERLINK("http://www.rosaceae.org/gb/gbrowse/malus_x_domestica/?name=MDP0000160880","MDP0000160880")</f>
        <v>MDP0000160880</v>
      </c>
      <c r="D3205">
        <v>54.45</v>
      </c>
      <c r="E3205">
        <v>202</v>
      </c>
      <c r="F3205">
        <v>92</v>
      </c>
      <c r="G3205">
        <v>35</v>
      </c>
      <c r="H3205">
        <v>2</v>
      </c>
      <c r="I3205">
        <v>168</v>
      </c>
      <c r="J3205">
        <v>1</v>
      </c>
      <c r="K3205">
        <v>4</v>
      </c>
      <c r="L3205">
        <v>205</v>
      </c>
      <c r="M3205">
        <v>1</v>
      </c>
      <c r="N3205">
        <v>1.8976600000000001E-49</v>
      </c>
      <c r="O3205">
        <v>490</v>
      </c>
    </row>
    <row r="3206" spans="1:15" x14ac:dyDescent="0.25">
      <c r="A3206" t="s">
        <v>3219</v>
      </c>
      <c r="B3206">
        <v>114</v>
      </c>
      <c r="C3206" s="1" t="str">
        <f>HYPERLINK("http://www.rosaceae.org/gb/gbrowse/malus_x_domestica/?name=MDP0000455634","MDP0000455634")</f>
        <v>MDP0000455634</v>
      </c>
      <c r="D3206">
        <v>73.33</v>
      </c>
      <c r="E3206">
        <v>105</v>
      </c>
      <c r="F3206">
        <v>28</v>
      </c>
      <c r="G3206">
        <v>0</v>
      </c>
      <c r="H3206">
        <v>9</v>
      </c>
      <c r="I3206">
        <v>113</v>
      </c>
      <c r="J3206">
        <v>1</v>
      </c>
      <c r="K3206">
        <v>541</v>
      </c>
      <c r="L3206">
        <v>645</v>
      </c>
      <c r="M3206">
        <v>1</v>
      </c>
      <c r="N3206">
        <v>4.6477299999999996E-46</v>
      </c>
      <c r="O3206">
        <v>455</v>
      </c>
    </row>
    <row r="3207" spans="1:15" x14ac:dyDescent="0.25">
      <c r="A3207" t="s">
        <v>3220</v>
      </c>
      <c r="B3207">
        <v>389</v>
      </c>
      <c r="C3207" s="1" t="str">
        <f>HYPERLINK("http://www.rosaceae.org/gb/gbrowse/malus_x_domestica/?name=MDP0000192883","MDP0000192883")</f>
        <v>MDP0000192883</v>
      </c>
      <c r="D3207">
        <v>69.400000000000006</v>
      </c>
      <c r="E3207">
        <v>317</v>
      </c>
      <c r="F3207">
        <v>97</v>
      </c>
      <c r="G3207">
        <v>49</v>
      </c>
      <c r="H3207">
        <v>1</v>
      </c>
      <c r="I3207">
        <v>268</v>
      </c>
      <c r="J3207">
        <v>1</v>
      </c>
      <c r="K3207">
        <v>1</v>
      </c>
      <c r="L3207">
        <v>317</v>
      </c>
      <c r="M3207">
        <v>1</v>
      </c>
      <c r="N3207">
        <v>2.9960500000000001E-115</v>
      </c>
      <c r="O3207">
        <v>1059</v>
      </c>
    </row>
    <row r="3208" spans="1:15" x14ac:dyDescent="0.25">
      <c r="A3208" t="s">
        <v>3221</v>
      </c>
      <c r="B3208">
        <v>381</v>
      </c>
      <c r="C3208" s="1" t="str">
        <f>HYPERLINK("http://www.rosaceae.org/gb/gbrowse/malus_x_domestica/?name=MDP0000208234","MDP0000208234")</f>
        <v>MDP0000208234</v>
      </c>
      <c r="D3208">
        <v>77.98</v>
      </c>
      <c r="E3208">
        <v>377</v>
      </c>
      <c r="F3208">
        <v>83</v>
      </c>
      <c r="G3208">
        <v>2</v>
      </c>
      <c r="H3208">
        <v>5</v>
      </c>
      <c r="I3208">
        <v>381</v>
      </c>
      <c r="J3208">
        <v>1</v>
      </c>
      <c r="K3208">
        <v>7</v>
      </c>
      <c r="L3208">
        <v>381</v>
      </c>
      <c r="M3208">
        <v>1</v>
      </c>
      <c r="N3208">
        <v>4.3116899999999999E-171</v>
      </c>
      <c r="O3208">
        <v>1541</v>
      </c>
    </row>
    <row r="3209" spans="1:15" x14ac:dyDescent="0.25">
      <c r="A3209" t="s">
        <v>3222</v>
      </c>
      <c r="B3209">
        <v>113</v>
      </c>
      <c r="C3209" s="1" t="str">
        <f>HYPERLINK("http://www.rosaceae.org/gb/gbrowse/malus_x_domestica/?name=MDP0000877225","MDP0000877225")</f>
        <v>MDP0000877225</v>
      </c>
      <c r="D3209">
        <v>60.71</v>
      </c>
      <c r="E3209">
        <v>140</v>
      </c>
      <c r="F3209">
        <v>55</v>
      </c>
      <c r="G3209">
        <v>34</v>
      </c>
      <c r="H3209">
        <v>6</v>
      </c>
      <c r="I3209">
        <v>111</v>
      </c>
      <c r="J3209">
        <v>1</v>
      </c>
      <c r="K3209">
        <v>14</v>
      </c>
      <c r="L3209">
        <v>153</v>
      </c>
      <c r="M3209">
        <v>1</v>
      </c>
      <c r="N3209">
        <v>1.5655499999999999E-41</v>
      </c>
      <c r="O3209">
        <v>416</v>
      </c>
    </row>
    <row r="3210" spans="1:15" x14ac:dyDescent="0.25">
      <c r="A3210" t="s">
        <v>3223</v>
      </c>
      <c r="B3210">
        <v>819</v>
      </c>
      <c r="C3210" s="1" t="str">
        <f>HYPERLINK("http://www.rosaceae.org/gb/gbrowse/malus_x_domestica/?name=MDP0000320052","MDP0000320052")</f>
        <v>MDP0000320052</v>
      </c>
      <c r="D3210">
        <v>82.99</v>
      </c>
      <c r="E3210">
        <v>247</v>
      </c>
      <c r="F3210">
        <v>42</v>
      </c>
      <c r="G3210">
        <v>5</v>
      </c>
      <c r="H3210">
        <v>358</v>
      </c>
      <c r="I3210">
        <v>599</v>
      </c>
      <c r="J3210">
        <v>1</v>
      </c>
      <c r="K3210">
        <v>63</v>
      </c>
      <c r="L3210">
        <v>309</v>
      </c>
      <c r="M3210">
        <v>1</v>
      </c>
      <c r="N3210">
        <v>1.1876100000000001E-116</v>
      </c>
      <c r="O3210">
        <v>1075</v>
      </c>
    </row>
    <row r="3211" spans="1:15" x14ac:dyDescent="0.25">
      <c r="A3211" t="s">
        <v>3224</v>
      </c>
      <c r="B3211">
        <v>650</v>
      </c>
      <c r="C3211" s="1" t="str">
        <f>HYPERLINK("http://www.rosaceae.org/gb/gbrowse/malus_x_domestica/?name=MDP0000873667","MDP0000873667")</f>
        <v>MDP0000873667</v>
      </c>
      <c r="D3211">
        <v>78.59</v>
      </c>
      <c r="E3211">
        <v>299</v>
      </c>
      <c r="F3211">
        <v>64</v>
      </c>
      <c r="G3211">
        <v>7</v>
      </c>
      <c r="H3211">
        <v>66</v>
      </c>
      <c r="I3211">
        <v>362</v>
      </c>
      <c r="J3211">
        <v>1</v>
      </c>
      <c r="K3211">
        <v>1</v>
      </c>
      <c r="L3211">
        <v>294</v>
      </c>
      <c r="M3211">
        <v>1</v>
      </c>
      <c r="N3211">
        <v>1.8023700000000001E-134</v>
      </c>
      <c r="O3211">
        <v>1227</v>
      </c>
    </row>
    <row r="3212" spans="1:15" x14ac:dyDescent="0.25">
      <c r="A3212" t="s">
        <v>3225</v>
      </c>
      <c r="B3212">
        <v>934</v>
      </c>
      <c r="C3212" s="1" t="str">
        <f>HYPERLINK("http://www.rosaceae.org/gb/gbrowse/malus_x_domestica/?name=MDP0000226614","MDP0000226614")</f>
        <v>MDP0000226614</v>
      </c>
      <c r="D3212">
        <v>58.36</v>
      </c>
      <c r="E3212">
        <v>622</v>
      </c>
      <c r="F3212">
        <v>259</v>
      </c>
      <c r="G3212">
        <v>63</v>
      </c>
      <c r="H3212">
        <v>323</v>
      </c>
      <c r="I3212">
        <v>934</v>
      </c>
      <c r="J3212">
        <v>1</v>
      </c>
      <c r="K3212">
        <v>15</v>
      </c>
      <c r="L3212">
        <v>583</v>
      </c>
      <c r="M3212">
        <v>1</v>
      </c>
      <c r="N3212">
        <v>0</v>
      </c>
      <c r="O3212">
        <v>1817</v>
      </c>
    </row>
    <row r="3213" spans="1:15" x14ac:dyDescent="0.25">
      <c r="A3213" t="s">
        <v>3226</v>
      </c>
      <c r="B3213">
        <v>915</v>
      </c>
      <c r="C3213" s="1" t="str">
        <f>HYPERLINK("http://www.rosaceae.org/gb/gbrowse/malus_x_domestica/?name=MDP0000136671","MDP0000136671")</f>
        <v>MDP0000136671</v>
      </c>
      <c r="D3213">
        <v>37.32</v>
      </c>
      <c r="E3213">
        <v>284</v>
      </c>
      <c r="F3213">
        <v>178</v>
      </c>
      <c r="G3213">
        <v>38</v>
      </c>
      <c r="H3213">
        <v>602</v>
      </c>
      <c r="I3213">
        <v>855</v>
      </c>
      <c r="J3213">
        <v>1</v>
      </c>
      <c r="K3213">
        <v>3</v>
      </c>
      <c r="L3213">
        <v>278</v>
      </c>
      <c r="M3213">
        <v>1</v>
      </c>
      <c r="N3213">
        <v>5.3808299999999999E-46</v>
      </c>
      <c r="O3213">
        <v>466</v>
      </c>
    </row>
    <row r="3214" spans="1:15" x14ac:dyDescent="0.25">
      <c r="A3214" t="s">
        <v>3227</v>
      </c>
      <c r="B3214">
        <v>149</v>
      </c>
      <c r="C3214" s="1" t="str">
        <f>HYPERLINK("http://www.rosaceae.org/gb/gbrowse/malus_x_domestica/?name=MDP0000277859","MDP0000277859")</f>
        <v>MDP0000277859</v>
      </c>
      <c r="D3214">
        <v>72.91</v>
      </c>
      <c r="E3214">
        <v>144</v>
      </c>
      <c r="F3214">
        <v>39</v>
      </c>
      <c r="G3214">
        <v>0</v>
      </c>
      <c r="H3214">
        <v>6</v>
      </c>
      <c r="I3214">
        <v>149</v>
      </c>
      <c r="J3214">
        <v>1</v>
      </c>
      <c r="K3214">
        <v>144</v>
      </c>
      <c r="L3214">
        <v>287</v>
      </c>
      <c r="M3214">
        <v>1</v>
      </c>
      <c r="N3214">
        <v>8.8631999999999997E-60</v>
      </c>
      <c r="O3214">
        <v>575</v>
      </c>
    </row>
    <row r="3215" spans="1:15" x14ac:dyDescent="0.25">
      <c r="A3215" t="s">
        <v>3228</v>
      </c>
      <c r="B3215">
        <v>508</v>
      </c>
      <c r="C3215" s="1" t="str">
        <f>HYPERLINK("http://www.rosaceae.org/gb/gbrowse/malus_x_domestica/?name=MDP0000255134","MDP0000255134")</f>
        <v>MDP0000255134</v>
      </c>
      <c r="D3215">
        <v>29.38</v>
      </c>
      <c r="E3215">
        <v>456</v>
      </c>
      <c r="F3215">
        <v>322</v>
      </c>
      <c r="G3215">
        <v>108</v>
      </c>
      <c r="H3215">
        <v>131</v>
      </c>
      <c r="I3215">
        <v>508</v>
      </c>
      <c r="J3215">
        <v>1</v>
      </c>
      <c r="K3215">
        <v>4</v>
      </c>
      <c r="L3215">
        <v>429</v>
      </c>
      <c r="M3215">
        <v>1</v>
      </c>
      <c r="N3215">
        <v>3.5035099999999997E-27</v>
      </c>
      <c r="O3215">
        <v>301</v>
      </c>
    </row>
    <row r="3216" spans="1:15" x14ac:dyDescent="0.25">
      <c r="A3216" t="s">
        <v>3229</v>
      </c>
      <c r="B3216">
        <v>319</v>
      </c>
      <c r="C3216" s="1" t="str">
        <f>HYPERLINK("http://www.rosaceae.org/gb/gbrowse/malus_x_domestica/?name=MDP0000264051","MDP0000264051")</f>
        <v>MDP0000264051</v>
      </c>
      <c r="D3216">
        <v>52.49</v>
      </c>
      <c r="E3216">
        <v>261</v>
      </c>
      <c r="F3216">
        <v>124</v>
      </c>
      <c r="G3216">
        <v>20</v>
      </c>
      <c r="H3216">
        <v>19</v>
      </c>
      <c r="I3216">
        <v>279</v>
      </c>
      <c r="J3216">
        <v>1</v>
      </c>
      <c r="K3216">
        <v>19</v>
      </c>
      <c r="L3216">
        <v>259</v>
      </c>
      <c r="M3216">
        <v>1</v>
      </c>
      <c r="N3216">
        <v>4.5418499999999997E-64</v>
      </c>
      <c r="O3216">
        <v>617</v>
      </c>
    </row>
    <row r="3217" spans="1:15" x14ac:dyDescent="0.25">
      <c r="A3217" t="s">
        <v>3230</v>
      </c>
      <c r="B3217">
        <v>408</v>
      </c>
      <c r="C3217" s="1" t="str">
        <f>HYPERLINK("http://www.rosaceae.org/gb/gbrowse/malus_x_domestica/?name=MDP0000775116","MDP0000775116")</f>
        <v>MDP0000775116</v>
      </c>
      <c r="D3217">
        <v>39.31</v>
      </c>
      <c r="E3217">
        <v>440</v>
      </c>
      <c r="F3217">
        <v>267</v>
      </c>
      <c r="G3217">
        <v>68</v>
      </c>
      <c r="H3217">
        <v>3</v>
      </c>
      <c r="I3217">
        <v>384</v>
      </c>
      <c r="J3217">
        <v>1</v>
      </c>
      <c r="K3217">
        <v>10</v>
      </c>
      <c r="L3217">
        <v>439</v>
      </c>
      <c r="M3217">
        <v>1</v>
      </c>
      <c r="N3217">
        <v>1.4920200000000001E-71</v>
      </c>
      <c r="O3217">
        <v>683</v>
      </c>
    </row>
    <row r="3218" spans="1:15" x14ac:dyDescent="0.25">
      <c r="A3218" t="s">
        <v>3231</v>
      </c>
      <c r="B3218">
        <v>146</v>
      </c>
      <c r="C3218" s="1" t="str">
        <f>HYPERLINK("http://www.rosaceae.org/gb/gbrowse/malus_x_domestica/?name=MDP0000228337","MDP0000228337")</f>
        <v>MDP0000228337</v>
      </c>
      <c r="D3218">
        <v>92.5</v>
      </c>
      <c r="E3218">
        <v>120</v>
      </c>
      <c r="F3218">
        <v>9</v>
      </c>
      <c r="G3218">
        <v>0</v>
      </c>
      <c r="H3218">
        <v>1</v>
      </c>
      <c r="I3218">
        <v>120</v>
      </c>
      <c r="J3218">
        <v>1</v>
      </c>
      <c r="K3218">
        <v>1</v>
      </c>
      <c r="L3218">
        <v>120</v>
      </c>
      <c r="M3218">
        <v>1</v>
      </c>
      <c r="N3218">
        <v>1.12119E-62</v>
      </c>
      <c r="O3218">
        <v>600</v>
      </c>
    </row>
    <row r="3219" spans="1:15" x14ac:dyDescent="0.25">
      <c r="A3219" t="s">
        <v>3232</v>
      </c>
      <c r="B3219">
        <v>481</v>
      </c>
      <c r="C3219" s="1" t="str">
        <f>HYPERLINK("http://www.rosaceae.org/gb/gbrowse/malus_x_domestica/?name=MDP0000154720","MDP0000154720")</f>
        <v>MDP0000154720</v>
      </c>
      <c r="D3219">
        <v>76.28</v>
      </c>
      <c r="E3219">
        <v>506</v>
      </c>
      <c r="F3219">
        <v>120</v>
      </c>
      <c r="G3219">
        <v>34</v>
      </c>
      <c r="H3219">
        <v>9</v>
      </c>
      <c r="I3219">
        <v>481</v>
      </c>
      <c r="J3219">
        <v>1</v>
      </c>
      <c r="K3219">
        <v>5</v>
      </c>
      <c r="L3219">
        <v>509</v>
      </c>
      <c r="M3219">
        <v>1</v>
      </c>
      <c r="N3219">
        <v>0</v>
      </c>
      <c r="O3219">
        <v>1977</v>
      </c>
    </row>
    <row r="3220" spans="1:15" x14ac:dyDescent="0.25">
      <c r="A3220" t="s">
        <v>3233</v>
      </c>
      <c r="B3220">
        <v>679</v>
      </c>
      <c r="C3220" s="1" t="str">
        <f>HYPERLINK("http://www.rosaceae.org/gb/gbrowse/malus_x_domestica/?name=MDP0000320489","MDP0000320489")</f>
        <v>MDP0000320489</v>
      </c>
      <c r="D3220">
        <v>81.319999999999993</v>
      </c>
      <c r="E3220">
        <v>664</v>
      </c>
      <c r="F3220">
        <v>124</v>
      </c>
      <c r="G3220">
        <v>17</v>
      </c>
      <c r="H3220">
        <v>16</v>
      </c>
      <c r="I3220">
        <v>679</v>
      </c>
      <c r="J3220">
        <v>1</v>
      </c>
      <c r="K3220">
        <v>17</v>
      </c>
      <c r="L3220">
        <v>663</v>
      </c>
      <c r="M3220">
        <v>1</v>
      </c>
      <c r="N3220">
        <v>0</v>
      </c>
      <c r="O3220">
        <v>2893</v>
      </c>
    </row>
    <row r="3221" spans="1:15" x14ac:dyDescent="0.25">
      <c r="A3221" t="s">
        <v>3234</v>
      </c>
      <c r="B3221">
        <v>1013</v>
      </c>
      <c r="C3221" s="1" t="str">
        <f>HYPERLINK("http://www.rosaceae.org/gb/gbrowse/malus_x_domestica/?name=MDP0000152369","MDP0000152369")</f>
        <v>MDP0000152369</v>
      </c>
      <c r="D3221">
        <v>69.63</v>
      </c>
      <c r="E3221">
        <v>853</v>
      </c>
      <c r="F3221">
        <v>259</v>
      </c>
      <c r="G3221">
        <v>81</v>
      </c>
      <c r="H3221">
        <v>211</v>
      </c>
      <c r="I3221">
        <v>1013</v>
      </c>
      <c r="J3221">
        <v>1</v>
      </c>
      <c r="K3221">
        <v>8</v>
      </c>
      <c r="L3221">
        <v>829</v>
      </c>
      <c r="M3221">
        <v>1</v>
      </c>
      <c r="N3221">
        <v>0</v>
      </c>
      <c r="O3221">
        <v>3075</v>
      </c>
    </row>
    <row r="3222" spans="1:15" x14ac:dyDescent="0.25">
      <c r="A3222" t="s">
        <v>3235</v>
      </c>
      <c r="B3222">
        <v>270</v>
      </c>
      <c r="C3222" s="1" t="str">
        <f>HYPERLINK("http://www.rosaceae.org/gb/gbrowse/malus_x_domestica/?name=MDP0000128857","MDP0000128857")</f>
        <v>MDP0000128857</v>
      </c>
      <c r="D3222">
        <v>25.41</v>
      </c>
      <c r="E3222">
        <v>240</v>
      </c>
      <c r="F3222">
        <v>179</v>
      </c>
      <c r="G3222">
        <v>28</v>
      </c>
      <c r="H3222">
        <v>1</v>
      </c>
      <c r="I3222">
        <v>216</v>
      </c>
      <c r="J3222">
        <v>1</v>
      </c>
      <c r="K3222">
        <v>144</v>
      </c>
      <c r="L3222">
        <v>379</v>
      </c>
      <c r="M3222">
        <v>1</v>
      </c>
      <c r="N3222">
        <v>5.2759699999999998E-17</v>
      </c>
      <c r="O3222">
        <v>210</v>
      </c>
    </row>
    <row r="3223" spans="1:15" x14ac:dyDescent="0.25">
      <c r="A3223" t="s">
        <v>3236</v>
      </c>
      <c r="B3223">
        <v>421</v>
      </c>
      <c r="C3223" s="1" t="str">
        <f>HYPERLINK("http://www.rosaceae.org/gb/gbrowse/malus_x_domestica/?name=MDP0000952113","MDP0000952113")</f>
        <v>MDP0000952113</v>
      </c>
      <c r="D3223">
        <v>23.87</v>
      </c>
      <c r="E3223">
        <v>222</v>
      </c>
      <c r="F3223">
        <v>169</v>
      </c>
      <c r="G3223">
        <v>36</v>
      </c>
      <c r="H3223">
        <v>133</v>
      </c>
      <c r="I3223">
        <v>318</v>
      </c>
      <c r="J3223">
        <v>1</v>
      </c>
      <c r="K3223">
        <v>9</v>
      </c>
      <c r="L3223">
        <v>230</v>
      </c>
      <c r="M3223">
        <v>1</v>
      </c>
      <c r="N3223">
        <v>3.27543E-8</v>
      </c>
      <c r="O3223">
        <v>136</v>
      </c>
    </row>
    <row r="3224" spans="1:15" x14ac:dyDescent="0.25">
      <c r="A3224" t="s">
        <v>3237</v>
      </c>
      <c r="B3224">
        <v>312</v>
      </c>
      <c r="C3224" s="1" t="str">
        <f>HYPERLINK("http://www.rosaceae.org/gb/gbrowse/malus_x_domestica/?name=MDP0000147875","MDP0000147875")</f>
        <v>MDP0000147875</v>
      </c>
      <c r="D3224">
        <v>65.86</v>
      </c>
      <c r="E3224">
        <v>208</v>
      </c>
      <c r="F3224">
        <v>71</v>
      </c>
      <c r="G3224">
        <v>3</v>
      </c>
      <c r="H3224">
        <v>49</v>
      </c>
      <c r="I3224">
        <v>255</v>
      </c>
      <c r="J3224">
        <v>1</v>
      </c>
      <c r="K3224">
        <v>7</v>
      </c>
      <c r="L3224">
        <v>212</v>
      </c>
      <c r="M3224">
        <v>1</v>
      </c>
      <c r="N3224">
        <v>2.2693499999999999E-70</v>
      </c>
      <c r="O3224">
        <v>671</v>
      </c>
    </row>
    <row r="3225" spans="1:15" x14ac:dyDescent="0.25">
      <c r="A3225" t="s">
        <v>3238</v>
      </c>
      <c r="B3225">
        <v>612</v>
      </c>
      <c r="C3225" s="1" t="str">
        <f>HYPERLINK("http://www.rosaceae.org/gb/gbrowse/malus_x_domestica/?name=MDP0000235417","MDP0000235417")</f>
        <v>MDP0000235417</v>
      </c>
      <c r="D3225">
        <v>52.94</v>
      </c>
      <c r="E3225">
        <v>476</v>
      </c>
      <c r="F3225">
        <v>224</v>
      </c>
      <c r="G3225">
        <v>38</v>
      </c>
      <c r="H3225">
        <v>152</v>
      </c>
      <c r="I3225">
        <v>612</v>
      </c>
      <c r="J3225">
        <v>1</v>
      </c>
      <c r="K3225">
        <v>247</v>
      </c>
      <c r="L3225">
        <v>699</v>
      </c>
      <c r="M3225">
        <v>1</v>
      </c>
      <c r="N3225">
        <v>1.7250899999999999E-111</v>
      </c>
      <c r="O3225">
        <v>1029</v>
      </c>
    </row>
    <row r="3226" spans="1:15" x14ac:dyDescent="0.25">
      <c r="A3226" t="s">
        <v>3239</v>
      </c>
      <c r="B3226">
        <v>548</v>
      </c>
      <c r="C3226" s="1" t="str">
        <f>HYPERLINK("http://www.rosaceae.org/gb/gbrowse/malus_x_domestica/?name=MDP0000810883","MDP0000810883")</f>
        <v>MDP0000810883</v>
      </c>
      <c r="D3226">
        <v>84.52</v>
      </c>
      <c r="E3226">
        <v>252</v>
      </c>
      <c r="F3226">
        <v>39</v>
      </c>
      <c r="G3226">
        <v>0</v>
      </c>
      <c r="H3226">
        <v>65</v>
      </c>
      <c r="I3226">
        <v>316</v>
      </c>
      <c r="J3226">
        <v>1</v>
      </c>
      <c r="K3226">
        <v>154</v>
      </c>
      <c r="L3226">
        <v>405</v>
      </c>
      <c r="M3226">
        <v>1</v>
      </c>
      <c r="N3226">
        <v>3.0432899999999998E-122</v>
      </c>
      <c r="O3226">
        <v>1121</v>
      </c>
    </row>
    <row r="3227" spans="1:15" x14ac:dyDescent="0.25">
      <c r="A3227" t="s">
        <v>3240</v>
      </c>
      <c r="B3227">
        <v>262</v>
      </c>
      <c r="C3227" s="1" t="str">
        <f>HYPERLINK("http://www.rosaceae.org/gb/gbrowse/malus_x_domestica/?name=MDP0000321847","MDP0000321847")</f>
        <v>MDP0000321847</v>
      </c>
      <c r="D3227">
        <v>67.459999999999994</v>
      </c>
      <c r="E3227">
        <v>126</v>
      </c>
      <c r="F3227">
        <v>41</v>
      </c>
      <c r="G3227">
        <v>0</v>
      </c>
      <c r="H3227">
        <v>43</v>
      </c>
      <c r="I3227">
        <v>168</v>
      </c>
      <c r="J3227">
        <v>1</v>
      </c>
      <c r="K3227">
        <v>53</v>
      </c>
      <c r="L3227">
        <v>178</v>
      </c>
      <c r="M3227">
        <v>1</v>
      </c>
      <c r="N3227">
        <v>1.8043199999999999E-44</v>
      </c>
      <c r="O3227">
        <v>447</v>
      </c>
    </row>
    <row r="3228" spans="1:15" x14ac:dyDescent="0.25">
      <c r="A3228" t="s">
        <v>3241</v>
      </c>
      <c r="B3228">
        <v>210</v>
      </c>
      <c r="C3228" s="1" t="str">
        <f>HYPERLINK("http://www.rosaceae.org/gb/gbrowse/malus_x_domestica/?name=MDP0000776908","MDP0000776908")</f>
        <v>MDP0000776908</v>
      </c>
      <c r="D3228">
        <v>70.14</v>
      </c>
      <c r="E3228">
        <v>211</v>
      </c>
      <c r="F3228">
        <v>63</v>
      </c>
      <c r="G3228">
        <v>9</v>
      </c>
      <c r="H3228">
        <v>1</v>
      </c>
      <c r="I3228">
        <v>210</v>
      </c>
      <c r="J3228">
        <v>1</v>
      </c>
      <c r="K3228">
        <v>1</v>
      </c>
      <c r="L3228">
        <v>203</v>
      </c>
      <c r="M3228">
        <v>1</v>
      </c>
      <c r="N3228">
        <v>8.9644400000000007E-78</v>
      </c>
      <c r="O3228">
        <v>733</v>
      </c>
    </row>
    <row r="3229" spans="1:15" x14ac:dyDescent="0.25">
      <c r="A3229" t="s">
        <v>3242</v>
      </c>
      <c r="B3229">
        <v>129</v>
      </c>
      <c r="C3229" s="1" t="str">
        <f>HYPERLINK("http://www.rosaceae.org/gb/gbrowse/malus_x_domestica/?name=MDP0000140336","MDP0000140336")</f>
        <v>MDP0000140336</v>
      </c>
      <c r="D3229">
        <v>48.59</v>
      </c>
      <c r="E3229">
        <v>142</v>
      </c>
      <c r="F3229">
        <v>73</v>
      </c>
      <c r="G3229">
        <v>25</v>
      </c>
      <c r="H3229">
        <v>12</v>
      </c>
      <c r="I3229">
        <v>128</v>
      </c>
      <c r="J3229">
        <v>1</v>
      </c>
      <c r="K3229">
        <v>40</v>
      </c>
      <c r="L3229">
        <v>181</v>
      </c>
      <c r="M3229">
        <v>1</v>
      </c>
      <c r="N3229">
        <v>9.157E-33</v>
      </c>
      <c r="O3229">
        <v>341</v>
      </c>
    </row>
    <row r="3230" spans="1:15" x14ac:dyDescent="0.25">
      <c r="A3230" t="s">
        <v>3243</v>
      </c>
      <c r="B3230">
        <v>468</v>
      </c>
      <c r="C3230" s="1" t="str">
        <f>HYPERLINK("http://www.rosaceae.org/gb/gbrowse/malus_x_domestica/?name=MDP0000432072","MDP0000432072")</f>
        <v>MDP0000432072</v>
      </c>
      <c r="D3230">
        <v>27.31</v>
      </c>
      <c r="E3230">
        <v>194</v>
      </c>
      <c r="F3230">
        <v>141</v>
      </c>
      <c r="G3230">
        <v>5</v>
      </c>
      <c r="H3230">
        <v>206</v>
      </c>
      <c r="I3230">
        <v>398</v>
      </c>
      <c r="J3230">
        <v>1</v>
      </c>
      <c r="K3230">
        <v>510</v>
      </c>
      <c r="L3230">
        <v>699</v>
      </c>
      <c r="M3230">
        <v>1</v>
      </c>
      <c r="N3230">
        <v>1.54428E-8</v>
      </c>
      <c r="O3230">
        <v>140</v>
      </c>
    </row>
    <row r="3231" spans="1:15" x14ac:dyDescent="0.25">
      <c r="A3231" t="s">
        <v>3244</v>
      </c>
      <c r="B3231">
        <v>521</v>
      </c>
      <c r="C3231" s="1" t="str">
        <f>HYPERLINK("http://www.rosaceae.org/gb/gbrowse/malus_x_domestica/?name=MDP0000244249","MDP0000244249")</f>
        <v>MDP0000244249</v>
      </c>
      <c r="D3231">
        <v>70.41</v>
      </c>
      <c r="E3231">
        <v>524</v>
      </c>
      <c r="F3231">
        <v>155</v>
      </c>
      <c r="G3231">
        <v>40</v>
      </c>
      <c r="H3231">
        <v>1</v>
      </c>
      <c r="I3231">
        <v>521</v>
      </c>
      <c r="J3231">
        <v>1</v>
      </c>
      <c r="K3231">
        <v>93</v>
      </c>
      <c r="L3231">
        <v>579</v>
      </c>
      <c r="M3231">
        <v>1</v>
      </c>
      <c r="N3231">
        <v>0</v>
      </c>
      <c r="O3231">
        <v>1818</v>
      </c>
    </row>
    <row r="3232" spans="1:15" x14ac:dyDescent="0.25">
      <c r="A3232" t="s">
        <v>3245</v>
      </c>
      <c r="B3232">
        <v>155</v>
      </c>
      <c r="C3232" s="1" t="str">
        <f>HYPERLINK("http://www.rosaceae.org/gb/gbrowse/malus_x_domestica/?name=MDP0000638634","MDP0000638634")</f>
        <v>MDP0000638634</v>
      </c>
      <c r="D3232">
        <v>41.34</v>
      </c>
      <c r="E3232">
        <v>104</v>
      </c>
      <c r="F3232">
        <v>61</v>
      </c>
      <c r="G3232">
        <v>4</v>
      </c>
      <c r="H3232">
        <v>3</v>
      </c>
      <c r="I3232">
        <v>104</v>
      </c>
      <c r="J3232">
        <v>1</v>
      </c>
      <c r="K3232">
        <v>45</v>
      </c>
      <c r="L3232">
        <v>146</v>
      </c>
      <c r="M3232">
        <v>1</v>
      </c>
      <c r="N3232">
        <v>1.4818000000000001E-13</v>
      </c>
      <c r="O3232">
        <v>177</v>
      </c>
    </row>
    <row r="3233" spans="1:15" x14ac:dyDescent="0.25">
      <c r="A3233" t="s">
        <v>3246</v>
      </c>
      <c r="B3233">
        <v>424</v>
      </c>
      <c r="C3233" s="1" t="str">
        <f>HYPERLINK("http://www.rosaceae.org/gb/gbrowse/malus_x_domestica/?name=MDP0000321521","MDP0000321521")</f>
        <v>MDP0000321521</v>
      </c>
      <c r="D3233">
        <v>57.23</v>
      </c>
      <c r="E3233">
        <v>304</v>
      </c>
      <c r="F3233">
        <v>130</v>
      </c>
      <c r="G3233">
        <v>46</v>
      </c>
      <c r="H3233">
        <v>1</v>
      </c>
      <c r="I3233">
        <v>259</v>
      </c>
      <c r="J3233">
        <v>1</v>
      </c>
      <c r="K3233">
        <v>187</v>
      </c>
      <c r="L3233">
        <v>489</v>
      </c>
      <c r="M3233">
        <v>1</v>
      </c>
      <c r="N3233">
        <v>1.4010200000000001E-92</v>
      </c>
      <c r="O3233">
        <v>864</v>
      </c>
    </row>
    <row r="3234" spans="1:15" x14ac:dyDescent="0.25">
      <c r="A3234" t="s">
        <v>3247</v>
      </c>
      <c r="B3234">
        <v>407</v>
      </c>
      <c r="C3234" s="1" t="str">
        <f>HYPERLINK("http://www.rosaceae.org/gb/gbrowse/malus_x_domestica/?name=MDP0000306160","MDP0000306160")</f>
        <v>MDP0000306160</v>
      </c>
      <c r="D3234">
        <v>45.5</v>
      </c>
      <c r="E3234">
        <v>389</v>
      </c>
      <c r="F3234">
        <v>212</v>
      </c>
      <c r="G3234">
        <v>62</v>
      </c>
      <c r="H3234">
        <v>74</v>
      </c>
      <c r="I3234">
        <v>404</v>
      </c>
      <c r="J3234">
        <v>1</v>
      </c>
      <c r="K3234">
        <v>382</v>
      </c>
      <c r="L3234">
        <v>766</v>
      </c>
      <c r="M3234">
        <v>1</v>
      </c>
      <c r="N3234">
        <v>1.8854100000000001E-87</v>
      </c>
      <c r="O3234">
        <v>820</v>
      </c>
    </row>
    <row r="3235" spans="1:15" x14ac:dyDescent="0.25">
      <c r="A3235" t="s">
        <v>3248</v>
      </c>
      <c r="B3235">
        <v>653</v>
      </c>
      <c r="C3235" s="1" t="str">
        <f>HYPERLINK("http://www.rosaceae.org/gb/gbrowse/malus_x_domestica/?name=MDP0000426097","MDP0000426097")</f>
        <v>MDP0000426097</v>
      </c>
      <c r="D3235">
        <v>66.45</v>
      </c>
      <c r="E3235">
        <v>623</v>
      </c>
      <c r="F3235">
        <v>209</v>
      </c>
      <c r="G3235">
        <v>26</v>
      </c>
      <c r="H3235">
        <v>7</v>
      </c>
      <c r="I3235">
        <v>604</v>
      </c>
      <c r="J3235">
        <v>1</v>
      </c>
      <c r="K3235">
        <v>2</v>
      </c>
      <c r="L3235">
        <v>623</v>
      </c>
      <c r="M3235">
        <v>1</v>
      </c>
      <c r="N3235">
        <v>0</v>
      </c>
      <c r="O3235">
        <v>2024</v>
      </c>
    </row>
    <row r="3236" spans="1:15" x14ac:dyDescent="0.25">
      <c r="A3236" t="s">
        <v>3249</v>
      </c>
      <c r="B3236">
        <v>783</v>
      </c>
      <c r="C3236" s="1" t="str">
        <f>HYPERLINK("http://www.rosaceae.org/gb/gbrowse/malus_x_domestica/?name=MDP0000322681","MDP0000322681")</f>
        <v>MDP0000322681</v>
      </c>
      <c r="D3236">
        <v>79.760000000000005</v>
      </c>
      <c r="E3236">
        <v>336</v>
      </c>
      <c r="F3236">
        <v>68</v>
      </c>
      <c r="G3236">
        <v>44</v>
      </c>
      <c r="H3236">
        <v>457</v>
      </c>
      <c r="I3236">
        <v>748</v>
      </c>
      <c r="J3236">
        <v>1</v>
      </c>
      <c r="K3236">
        <v>512</v>
      </c>
      <c r="L3236">
        <v>847</v>
      </c>
      <c r="M3236">
        <v>1</v>
      </c>
      <c r="N3236">
        <v>3.0024200000000001E-151</v>
      </c>
      <c r="O3236">
        <v>1373</v>
      </c>
    </row>
    <row r="3237" spans="1:15" x14ac:dyDescent="0.25">
      <c r="A3237" t="s">
        <v>3250</v>
      </c>
      <c r="B3237">
        <v>322</v>
      </c>
      <c r="C3237" s="1" t="str">
        <f>HYPERLINK("http://www.rosaceae.org/gb/gbrowse/malus_x_domestica/?name=MDP0000310093","MDP0000310093")</f>
        <v>MDP0000310093</v>
      </c>
      <c r="D3237">
        <v>67.92</v>
      </c>
      <c r="E3237">
        <v>318</v>
      </c>
      <c r="F3237">
        <v>102</v>
      </c>
      <c r="G3237">
        <v>10</v>
      </c>
      <c r="H3237">
        <v>9</v>
      </c>
      <c r="I3237">
        <v>318</v>
      </c>
      <c r="J3237">
        <v>1</v>
      </c>
      <c r="K3237">
        <v>10</v>
      </c>
      <c r="L3237">
        <v>325</v>
      </c>
      <c r="M3237">
        <v>1</v>
      </c>
      <c r="N3237">
        <v>5.40811E-114</v>
      </c>
      <c r="O3237">
        <v>1047</v>
      </c>
    </row>
    <row r="3238" spans="1:15" x14ac:dyDescent="0.25">
      <c r="A3238" t="s">
        <v>3251</v>
      </c>
      <c r="B3238">
        <v>125</v>
      </c>
      <c r="C3238" s="1" t="str">
        <f>HYPERLINK("http://www.rosaceae.org/gb/gbrowse/malus_x_domestica/?name=MDP0000321057","MDP0000321057")</f>
        <v>MDP0000321057</v>
      </c>
      <c r="D3238">
        <v>93.02</v>
      </c>
      <c r="E3238">
        <v>86</v>
      </c>
      <c r="F3238">
        <v>6</v>
      </c>
      <c r="G3238">
        <v>1</v>
      </c>
      <c r="H3238">
        <v>1</v>
      </c>
      <c r="I3238">
        <v>85</v>
      </c>
      <c r="J3238">
        <v>1</v>
      </c>
      <c r="K3238">
        <v>1</v>
      </c>
      <c r="L3238">
        <v>86</v>
      </c>
      <c r="M3238">
        <v>1</v>
      </c>
      <c r="N3238">
        <v>5.1613499999999998E-44</v>
      </c>
      <c r="O3238">
        <v>437</v>
      </c>
    </row>
    <row r="3239" spans="1:15" x14ac:dyDescent="0.25">
      <c r="A3239" t="s">
        <v>3252</v>
      </c>
      <c r="B3239">
        <v>207</v>
      </c>
      <c r="C3239" s="1" t="str">
        <f>HYPERLINK("http://www.rosaceae.org/gb/gbrowse/malus_x_domestica/?name=MDP0000258531","MDP0000258531")</f>
        <v>MDP0000258531</v>
      </c>
      <c r="D3239">
        <v>72.97</v>
      </c>
      <c r="E3239">
        <v>37</v>
      </c>
      <c r="F3239">
        <v>10</v>
      </c>
      <c r="G3239">
        <v>0</v>
      </c>
      <c r="H3239">
        <v>57</v>
      </c>
      <c r="I3239">
        <v>93</v>
      </c>
      <c r="J3239">
        <v>1</v>
      </c>
      <c r="K3239">
        <v>11</v>
      </c>
      <c r="L3239">
        <v>47</v>
      </c>
      <c r="M3239">
        <v>1</v>
      </c>
      <c r="N3239">
        <v>1.4667400000000001E-11</v>
      </c>
      <c r="O3239">
        <v>161</v>
      </c>
    </row>
    <row r="3240" spans="1:15" x14ac:dyDescent="0.25">
      <c r="A3240" t="s">
        <v>3253</v>
      </c>
      <c r="B3240">
        <v>302</v>
      </c>
      <c r="C3240" s="1" t="str">
        <f>HYPERLINK("http://www.rosaceae.org/gb/gbrowse/malus_x_domestica/?name=MDP0000153639","MDP0000153639")</f>
        <v>MDP0000153639</v>
      </c>
      <c r="D3240">
        <v>61.34</v>
      </c>
      <c r="E3240">
        <v>119</v>
      </c>
      <c r="F3240">
        <v>46</v>
      </c>
      <c r="G3240">
        <v>5</v>
      </c>
      <c r="H3240">
        <v>181</v>
      </c>
      <c r="I3240">
        <v>296</v>
      </c>
      <c r="J3240">
        <v>1</v>
      </c>
      <c r="K3240">
        <v>146</v>
      </c>
      <c r="L3240">
        <v>262</v>
      </c>
      <c r="M3240">
        <v>1</v>
      </c>
      <c r="N3240">
        <v>1.5643099999999998E-33</v>
      </c>
      <c r="O3240">
        <v>353</v>
      </c>
    </row>
    <row r="3241" spans="1:15" x14ac:dyDescent="0.25">
      <c r="A3241" t="s">
        <v>3254</v>
      </c>
      <c r="B3241">
        <v>271</v>
      </c>
      <c r="C3241" s="1" t="str">
        <f>HYPERLINK("http://www.rosaceae.org/gb/gbrowse/malus_x_domestica/?name=MDP0000251070","MDP0000251070")</f>
        <v>MDP0000251070</v>
      </c>
      <c r="D3241">
        <v>67.010000000000005</v>
      </c>
      <c r="E3241">
        <v>285</v>
      </c>
      <c r="F3241">
        <v>94</v>
      </c>
      <c r="G3241">
        <v>22</v>
      </c>
      <c r="H3241">
        <v>1</v>
      </c>
      <c r="I3241">
        <v>271</v>
      </c>
      <c r="J3241">
        <v>1</v>
      </c>
      <c r="K3241">
        <v>1</v>
      </c>
      <c r="L3241">
        <v>277</v>
      </c>
      <c r="M3241">
        <v>1</v>
      </c>
      <c r="N3241">
        <v>6.8235500000000003E-100</v>
      </c>
      <c r="O3241">
        <v>925</v>
      </c>
    </row>
    <row r="3242" spans="1:15" x14ac:dyDescent="0.25">
      <c r="A3242" t="s">
        <v>3255</v>
      </c>
      <c r="B3242">
        <v>614</v>
      </c>
      <c r="C3242" s="1" t="str">
        <f>HYPERLINK("http://www.rosaceae.org/gb/gbrowse/malus_x_domestica/?name=MDP0000228084","MDP0000228084")</f>
        <v>MDP0000228084</v>
      </c>
      <c r="D3242">
        <v>63.05</v>
      </c>
      <c r="E3242">
        <v>295</v>
      </c>
      <c r="F3242">
        <v>109</v>
      </c>
      <c r="G3242">
        <v>6</v>
      </c>
      <c r="H3242">
        <v>320</v>
      </c>
      <c r="I3242">
        <v>614</v>
      </c>
      <c r="J3242">
        <v>1</v>
      </c>
      <c r="K3242">
        <v>44</v>
      </c>
      <c r="L3242">
        <v>332</v>
      </c>
      <c r="M3242">
        <v>1</v>
      </c>
      <c r="N3242">
        <v>1.3962099999999999E-106</v>
      </c>
      <c r="O3242">
        <v>987</v>
      </c>
    </row>
    <row r="3243" spans="1:15" x14ac:dyDescent="0.25">
      <c r="A3243" t="s">
        <v>3256</v>
      </c>
      <c r="B3243">
        <v>564</v>
      </c>
      <c r="C3243" s="1" t="str">
        <f>HYPERLINK("http://www.rosaceae.org/gb/gbrowse/malus_x_domestica/?name=MDP0000270104","MDP0000270104")</f>
        <v>MDP0000270104</v>
      </c>
      <c r="D3243">
        <v>84.83</v>
      </c>
      <c r="E3243">
        <v>389</v>
      </c>
      <c r="F3243">
        <v>59</v>
      </c>
      <c r="G3243">
        <v>1</v>
      </c>
      <c r="H3243">
        <v>21</v>
      </c>
      <c r="I3243">
        <v>409</v>
      </c>
      <c r="J3243">
        <v>1</v>
      </c>
      <c r="K3243">
        <v>44</v>
      </c>
      <c r="L3243">
        <v>431</v>
      </c>
      <c r="M3243">
        <v>1</v>
      </c>
      <c r="N3243">
        <v>0</v>
      </c>
      <c r="O3243">
        <v>1816</v>
      </c>
    </row>
    <row r="3244" spans="1:15" x14ac:dyDescent="0.25">
      <c r="A3244" t="s">
        <v>3257</v>
      </c>
      <c r="B3244">
        <v>559</v>
      </c>
      <c r="C3244" s="1" t="str">
        <f>HYPERLINK("http://www.rosaceae.org/gb/gbrowse/malus_x_domestica/?name=MDP0000287358","MDP0000287358")</f>
        <v>MDP0000287358</v>
      </c>
      <c r="D3244">
        <v>77.91</v>
      </c>
      <c r="E3244">
        <v>566</v>
      </c>
      <c r="F3244">
        <v>125</v>
      </c>
      <c r="G3244">
        <v>12</v>
      </c>
      <c r="H3244">
        <v>1</v>
      </c>
      <c r="I3244">
        <v>557</v>
      </c>
      <c r="J3244">
        <v>1</v>
      </c>
      <c r="K3244">
        <v>371</v>
      </c>
      <c r="L3244">
        <v>933</v>
      </c>
      <c r="M3244">
        <v>1</v>
      </c>
      <c r="N3244">
        <v>0</v>
      </c>
      <c r="O3244">
        <v>2260</v>
      </c>
    </row>
    <row r="3245" spans="1:15" x14ac:dyDescent="0.25">
      <c r="A3245" t="s">
        <v>3258</v>
      </c>
      <c r="B3245">
        <v>497</v>
      </c>
      <c r="C3245" s="1" t="str">
        <f>HYPERLINK("http://www.rosaceae.org/gb/gbrowse/malus_x_domestica/?name=MDP0000307619","MDP0000307619")</f>
        <v>MDP0000307619</v>
      </c>
      <c r="D3245">
        <v>79.25</v>
      </c>
      <c r="E3245">
        <v>482</v>
      </c>
      <c r="F3245">
        <v>100</v>
      </c>
      <c r="G3245">
        <v>22</v>
      </c>
      <c r="H3245">
        <v>28</v>
      </c>
      <c r="I3245">
        <v>495</v>
      </c>
      <c r="J3245">
        <v>1</v>
      </c>
      <c r="K3245">
        <v>13</v>
      </c>
      <c r="L3245">
        <v>486</v>
      </c>
      <c r="M3245">
        <v>1</v>
      </c>
      <c r="N3245">
        <v>0</v>
      </c>
      <c r="O3245">
        <v>1990</v>
      </c>
    </row>
    <row r="3246" spans="1:15" x14ac:dyDescent="0.25">
      <c r="A3246" t="s">
        <v>3259</v>
      </c>
      <c r="B3246">
        <v>380</v>
      </c>
      <c r="C3246" s="1" t="str">
        <f>HYPERLINK("http://www.rosaceae.org/gb/gbrowse/malus_x_domestica/?name=MDP0000824713","MDP0000824713")</f>
        <v>MDP0000824713</v>
      </c>
      <c r="D3246">
        <v>59.95</v>
      </c>
      <c r="E3246">
        <v>402</v>
      </c>
      <c r="F3246">
        <v>161</v>
      </c>
      <c r="G3246">
        <v>30</v>
      </c>
      <c r="H3246">
        <v>1</v>
      </c>
      <c r="I3246">
        <v>378</v>
      </c>
      <c r="J3246">
        <v>1</v>
      </c>
      <c r="K3246">
        <v>4</v>
      </c>
      <c r="L3246">
        <v>399</v>
      </c>
      <c r="M3246">
        <v>1</v>
      </c>
      <c r="N3246">
        <v>8.6970799999999995E-127</v>
      </c>
      <c r="O3246">
        <v>1159</v>
      </c>
    </row>
    <row r="3247" spans="1:15" x14ac:dyDescent="0.25">
      <c r="A3247" t="s">
        <v>3260</v>
      </c>
      <c r="B3247">
        <v>789</v>
      </c>
      <c r="C3247" s="1" t="str">
        <f>HYPERLINK("http://www.rosaceae.org/gb/gbrowse/malus_x_domestica/?name=MDP0000189874","MDP0000189874")</f>
        <v>MDP0000189874</v>
      </c>
      <c r="D3247">
        <v>87.57</v>
      </c>
      <c r="E3247">
        <v>789</v>
      </c>
      <c r="F3247">
        <v>98</v>
      </c>
      <c r="G3247">
        <v>0</v>
      </c>
      <c r="H3247">
        <v>1</v>
      </c>
      <c r="I3247">
        <v>789</v>
      </c>
      <c r="J3247">
        <v>1</v>
      </c>
      <c r="K3247">
        <v>62</v>
      </c>
      <c r="L3247">
        <v>850</v>
      </c>
      <c r="M3247">
        <v>1</v>
      </c>
      <c r="N3247">
        <v>0</v>
      </c>
      <c r="O3247">
        <v>3671</v>
      </c>
    </row>
    <row r="3248" spans="1:15" x14ac:dyDescent="0.25">
      <c r="A3248" t="s">
        <v>3261</v>
      </c>
      <c r="B3248">
        <v>280</v>
      </c>
      <c r="C3248" s="1" t="str">
        <f>HYPERLINK("http://www.rosaceae.org/gb/gbrowse/malus_x_domestica/?name=MDP0000086654","MDP0000086654")</f>
        <v>MDP0000086654</v>
      </c>
      <c r="D3248">
        <v>54.54</v>
      </c>
      <c r="E3248">
        <v>143</v>
      </c>
      <c r="F3248">
        <v>65</v>
      </c>
      <c r="G3248">
        <v>7</v>
      </c>
      <c r="H3248">
        <v>10</v>
      </c>
      <c r="I3248">
        <v>151</v>
      </c>
      <c r="J3248">
        <v>1</v>
      </c>
      <c r="K3248">
        <v>1</v>
      </c>
      <c r="L3248">
        <v>137</v>
      </c>
      <c r="M3248">
        <v>1</v>
      </c>
      <c r="N3248">
        <v>2.3129199999999999E-39</v>
      </c>
      <c r="O3248">
        <v>403</v>
      </c>
    </row>
    <row r="3249" spans="1:15" x14ac:dyDescent="0.25">
      <c r="A3249" t="s">
        <v>3262</v>
      </c>
      <c r="B3249">
        <v>240</v>
      </c>
      <c r="C3249" s="1" t="str">
        <f>HYPERLINK("http://www.rosaceae.org/gb/gbrowse/malus_x_domestica/?name=MDP0000410437","MDP0000410437")</f>
        <v>MDP0000410437</v>
      </c>
      <c r="D3249">
        <v>58.87</v>
      </c>
      <c r="E3249">
        <v>124</v>
      </c>
      <c r="F3249">
        <v>51</v>
      </c>
      <c r="G3249">
        <v>9</v>
      </c>
      <c r="H3249">
        <v>91</v>
      </c>
      <c r="I3249">
        <v>210</v>
      </c>
      <c r="J3249">
        <v>1</v>
      </c>
      <c r="K3249">
        <v>105</v>
      </c>
      <c r="L3249">
        <v>223</v>
      </c>
      <c r="M3249">
        <v>1</v>
      </c>
      <c r="N3249">
        <v>3.033E-28</v>
      </c>
      <c r="O3249">
        <v>306</v>
      </c>
    </row>
    <row r="3250" spans="1:15" x14ac:dyDescent="0.25">
      <c r="A3250" t="s">
        <v>3263</v>
      </c>
      <c r="B3250">
        <v>372</v>
      </c>
      <c r="C3250" s="1" t="str">
        <f>HYPERLINK("http://www.rosaceae.org/gb/gbrowse/malus_x_domestica/?name=MDP0000029382","MDP0000029382")</f>
        <v>MDP0000029382</v>
      </c>
      <c r="D3250">
        <v>67.72</v>
      </c>
      <c r="E3250">
        <v>443</v>
      </c>
      <c r="F3250">
        <v>143</v>
      </c>
      <c r="G3250">
        <v>71</v>
      </c>
      <c r="H3250">
        <v>1</v>
      </c>
      <c r="I3250">
        <v>372</v>
      </c>
      <c r="J3250">
        <v>1</v>
      </c>
      <c r="K3250">
        <v>1</v>
      </c>
      <c r="L3250">
        <v>443</v>
      </c>
      <c r="M3250">
        <v>1</v>
      </c>
      <c r="N3250">
        <v>6.0876099999999996E-162</v>
      </c>
      <c r="O3250">
        <v>1462</v>
      </c>
    </row>
    <row r="3251" spans="1:15" x14ac:dyDescent="0.25">
      <c r="A3251" t="s">
        <v>3264</v>
      </c>
      <c r="B3251">
        <v>977</v>
      </c>
      <c r="C3251" s="1" t="str">
        <f>HYPERLINK("http://www.rosaceae.org/gb/gbrowse/malus_x_domestica/?name=MDP0000731702","MDP0000731702")</f>
        <v>MDP0000731702</v>
      </c>
      <c r="D3251">
        <v>58.45</v>
      </c>
      <c r="E3251">
        <v>987</v>
      </c>
      <c r="F3251">
        <v>410</v>
      </c>
      <c r="G3251">
        <v>66</v>
      </c>
      <c r="H3251">
        <v>45</v>
      </c>
      <c r="I3251">
        <v>976</v>
      </c>
      <c r="J3251">
        <v>1</v>
      </c>
      <c r="K3251">
        <v>278</v>
      </c>
      <c r="L3251">
        <v>1253</v>
      </c>
      <c r="M3251">
        <v>1</v>
      </c>
      <c r="N3251">
        <v>0</v>
      </c>
      <c r="O3251">
        <v>2703</v>
      </c>
    </row>
    <row r="3252" spans="1:15" x14ac:dyDescent="0.25">
      <c r="A3252" t="s">
        <v>3265</v>
      </c>
      <c r="B3252">
        <v>234</v>
      </c>
      <c r="C3252" s="1" t="str">
        <f>HYPERLINK("http://www.rosaceae.org/gb/gbrowse/malus_x_domestica/?name=MDP0000222340","MDP0000222340")</f>
        <v>MDP0000222340</v>
      </c>
      <c r="D3252">
        <v>45.9</v>
      </c>
      <c r="E3252">
        <v>220</v>
      </c>
      <c r="F3252">
        <v>119</v>
      </c>
      <c r="G3252">
        <v>9</v>
      </c>
      <c r="H3252">
        <v>1</v>
      </c>
      <c r="I3252">
        <v>213</v>
      </c>
      <c r="J3252">
        <v>1</v>
      </c>
      <c r="K3252">
        <v>1</v>
      </c>
      <c r="L3252">
        <v>218</v>
      </c>
      <c r="M3252">
        <v>1</v>
      </c>
      <c r="N3252">
        <v>8.8338800000000006E-46</v>
      </c>
      <c r="O3252">
        <v>457</v>
      </c>
    </row>
    <row r="3253" spans="1:15" x14ac:dyDescent="0.25">
      <c r="A3253" t="s">
        <v>3266</v>
      </c>
      <c r="B3253">
        <v>634</v>
      </c>
      <c r="C3253" s="1" t="str">
        <f>HYPERLINK("http://www.rosaceae.org/gb/gbrowse/malus_x_domestica/?name=MDP0000147190","MDP0000147190")</f>
        <v>MDP0000147190</v>
      </c>
      <c r="D3253">
        <v>42.32</v>
      </c>
      <c r="E3253">
        <v>378</v>
      </c>
      <c r="F3253">
        <v>218</v>
      </c>
      <c r="G3253">
        <v>71</v>
      </c>
      <c r="H3253">
        <v>163</v>
      </c>
      <c r="I3253">
        <v>540</v>
      </c>
      <c r="J3253">
        <v>1</v>
      </c>
      <c r="K3253">
        <v>372</v>
      </c>
      <c r="L3253">
        <v>678</v>
      </c>
      <c r="M3253">
        <v>1</v>
      </c>
      <c r="N3253">
        <v>1.18415E-69</v>
      </c>
      <c r="O3253">
        <v>668</v>
      </c>
    </row>
    <row r="3254" spans="1:15" x14ac:dyDescent="0.25">
      <c r="A3254" t="s">
        <v>3267</v>
      </c>
      <c r="B3254">
        <v>1080</v>
      </c>
      <c r="C3254" s="1" t="str">
        <f>HYPERLINK("http://www.rosaceae.org/gb/gbrowse/malus_x_domestica/?name=MDP0000309094","MDP0000309094")</f>
        <v>MDP0000309094</v>
      </c>
      <c r="D3254">
        <v>78.88</v>
      </c>
      <c r="E3254">
        <v>1099</v>
      </c>
      <c r="F3254">
        <v>232</v>
      </c>
      <c r="G3254">
        <v>25</v>
      </c>
      <c r="H3254">
        <v>1</v>
      </c>
      <c r="I3254">
        <v>1079</v>
      </c>
      <c r="J3254">
        <v>1</v>
      </c>
      <c r="K3254">
        <v>1</v>
      </c>
      <c r="L3254">
        <v>1094</v>
      </c>
      <c r="M3254">
        <v>1</v>
      </c>
      <c r="N3254">
        <v>0</v>
      </c>
      <c r="O3254">
        <v>4529</v>
      </c>
    </row>
    <row r="3255" spans="1:15" x14ac:dyDescent="0.25">
      <c r="A3255" t="s">
        <v>3268</v>
      </c>
      <c r="B3255">
        <v>653</v>
      </c>
      <c r="C3255" s="1" t="str">
        <f>HYPERLINK("http://www.rosaceae.org/gb/gbrowse/malus_x_domestica/?name=MDP0000201859","MDP0000201859")</f>
        <v>MDP0000201859</v>
      </c>
      <c r="D3255">
        <v>41.32</v>
      </c>
      <c r="E3255">
        <v>242</v>
      </c>
      <c r="F3255">
        <v>142</v>
      </c>
      <c r="G3255">
        <v>28</v>
      </c>
      <c r="H3255">
        <v>132</v>
      </c>
      <c r="I3255">
        <v>373</v>
      </c>
      <c r="J3255">
        <v>1</v>
      </c>
      <c r="K3255">
        <v>56</v>
      </c>
      <c r="L3255">
        <v>269</v>
      </c>
      <c r="M3255">
        <v>1</v>
      </c>
      <c r="N3255">
        <v>1.6941999999999999E-50</v>
      </c>
      <c r="O3255">
        <v>503</v>
      </c>
    </row>
    <row r="3256" spans="1:15" x14ac:dyDescent="0.25">
      <c r="A3256" t="s">
        <v>3269</v>
      </c>
      <c r="B3256">
        <v>921</v>
      </c>
      <c r="C3256" s="1" t="str">
        <f>HYPERLINK("http://www.rosaceae.org/gb/gbrowse/malus_x_domestica/?name=MDP0000130422","MDP0000130422")</f>
        <v>MDP0000130422</v>
      </c>
      <c r="D3256">
        <v>77.34</v>
      </c>
      <c r="E3256">
        <v>490</v>
      </c>
      <c r="F3256">
        <v>111</v>
      </c>
      <c r="G3256">
        <v>3</v>
      </c>
      <c r="H3256">
        <v>393</v>
      </c>
      <c r="I3256">
        <v>879</v>
      </c>
      <c r="J3256">
        <v>1</v>
      </c>
      <c r="K3256">
        <v>581</v>
      </c>
      <c r="L3256">
        <v>1070</v>
      </c>
      <c r="M3256">
        <v>1</v>
      </c>
      <c r="N3256">
        <v>0</v>
      </c>
      <c r="O3256">
        <v>1926</v>
      </c>
    </row>
    <row r="3257" spans="1:15" x14ac:dyDescent="0.25">
      <c r="A3257" t="s">
        <v>3270</v>
      </c>
      <c r="B3257">
        <v>493</v>
      </c>
      <c r="C3257" s="1" t="str">
        <f>HYPERLINK("http://www.rosaceae.org/gb/gbrowse/malus_x_domestica/?name=MDP0000300517","MDP0000300517")</f>
        <v>MDP0000300517</v>
      </c>
      <c r="D3257">
        <v>77.77</v>
      </c>
      <c r="E3257">
        <v>495</v>
      </c>
      <c r="F3257">
        <v>110</v>
      </c>
      <c r="G3257">
        <v>11</v>
      </c>
      <c r="H3257">
        <v>1</v>
      </c>
      <c r="I3257">
        <v>491</v>
      </c>
      <c r="J3257">
        <v>1</v>
      </c>
      <c r="K3257">
        <v>1</v>
      </c>
      <c r="L3257">
        <v>488</v>
      </c>
      <c r="M3257">
        <v>1</v>
      </c>
      <c r="N3257">
        <v>0</v>
      </c>
      <c r="O3257">
        <v>1983</v>
      </c>
    </row>
    <row r="3258" spans="1:15" x14ac:dyDescent="0.25">
      <c r="A3258" t="s">
        <v>3271</v>
      </c>
      <c r="B3258">
        <v>283</v>
      </c>
      <c r="C3258" s="1" t="str">
        <f>HYPERLINK("http://www.rosaceae.org/gb/gbrowse/malus_x_domestica/?name=MDP0000278555","MDP0000278555")</f>
        <v>MDP0000278555</v>
      </c>
      <c r="D3258">
        <v>67.239999999999995</v>
      </c>
      <c r="E3258">
        <v>290</v>
      </c>
      <c r="F3258">
        <v>95</v>
      </c>
      <c r="G3258">
        <v>12</v>
      </c>
      <c r="H3258">
        <v>4</v>
      </c>
      <c r="I3258">
        <v>283</v>
      </c>
      <c r="J3258">
        <v>1</v>
      </c>
      <c r="K3258">
        <v>277</v>
      </c>
      <c r="L3258">
        <v>564</v>
      </c>
      <c r="M3258">
        <v>1</v>
      </c>
      <c r="N3258">
        <v>1.6678799999999999E-102</v>
      </c>
      <c r="O3258">
        <v>948</v>
      </c>
    </row>
    <row r="3259" spans="1:15" x14ac:dyDescent="0.25">
      <c r="A3259" t="s">
        <v>3272</v>
      </c>
      <c r="B3259">
        <v>474</v>
      </c>
      <c r="C3259" s="1" t="str">
        <f>HYPERLINK("http://www.rosaceae.org/gb/gbrowse/malus_x_domestica/?name=MDP0000166410","MDP0000166410")</f>
        <v>MDP0000166410</v>
      </c>
      <c r="D3259">
        <v>73.67</v>
      </c>
      <c r="E3259">
        <v>395</v>
      </c>
      <c r="F3259">
        <v>104</v>
      </c>
      <c r="G3259">
        <v>7</v>
      </c>
      <c r="H3259">
        <v>33</v>
      </c>
      <c r="I3259">
        <v>420</v>
      </c>
      <c r="J3259">
        <v>1</v>
      </c>
      <c r="K3259">
        <v>20</v>
      </c>
      <c r="L3259">
        <v>414</v>
      </c>
      <c r="M3259">
        <v>1</v>
      </c>
      <c r="N3259">
        <v>3.3892299999999999E-174</v>
      </c>
      <c r="O3259">
        <v>1568</v>
      </c>
    </row>
    <row r="3260" spans="1:15" x14ac:dyDescent="0.25">
      <c r="A3260" t="s">
        <v>3273</v>
      </c>
      <c r="B3260">
        <v>392</v>
      </c>
      <c r="C3260" s="1" t="str">
        <f>HYPERLINK("http://www.rosaceae.org/gb/gbrowse/malus_x_domestica/?name=MDP0000312830","MDP0000312830")</f>
        <v>MDP0000312830</v>
      </c>
      <c r="D3260">
        <v>35.69</v>
      </c>
      <c r="E3260">
        <v>395</v>
      </c>
      <c r="F3260">
        <v>254</v>
      </c>
      <c r="G3260">
        <v>74</v>
      </c>
      <c r="H3260">
        <v>1</v>
      </c>
      <c r="I3260">
        <v>350</v>
      </c>
      <c r="J3260">
        <v>1</v>
      </c>
      <c r="K3260">
        <v>2</v>
      </c>
      <c r="L3260">
        <v>367</v>
      </c>
      <c r="M3260">
        <v>1</v>
      </c>
      <c r="N3260">
        <v>1.2551600000000001E-44</v>
      </c>
      <c r="O3260">
        <v>450</v>
      </c>
    </row>
    <row r="3261" spans="1:15" x14ac:dyDescent="0.25">
      <c r="A3261" t="s">
        <v>3274</v>
      </c>
      <c r="B3261">
        <v>298</v>
      </c>
      <c r="C3261" s="1" t="str">
        <f>HYPERLINK("http://www.rosaceae.org/gb/gbrowse/malus_x_domestica/?name=MDP0000312744","MDP0000312744")</f>
        <v>MDP0000312744</v>
      </c>
      <c r="D3261">
        <v>43.28</v>
      </c>
      <c r="E3261">
        <v>201</v>
      </c>
      <c r="F3261">
        <v>114</v>
      </c>
      <c r="G3261">
        <v>29</v>
      </c>
      <c r="H3261">
        <v>118</v>
      </c>
      <c r="I3261">
        <v>296</v>
      </c>
      <c r="J3261">
        <v>1</v>
      </c>
      <c r="K3261">
        <v>395</v>
      </c>
      <c r="L3261">
        <v>588</v>
      </c>
      <c r="M3261">
        <v>1</v>
      </c>
      <c r="N3261">
        <v>2.2682400000000002E-34</v>
      </c>
      <c r="O3261">
        <v>360</v>
      </c>
    </row>
    <row r="3262" spans="1:15" x14ac:dyDescent="0.25">
      <c r="A3262" t="s">
        <v>3275</v>
      </c>
      <c r="B3262">
        <v>136</v>
      </c>
      <c r="C3262" s="1" t="str">
        <f>HYPERLINK("http://www.rosaceae.org/gb/gbrowse/malus_x_domestica/?name=MDP0000145506","MDP0000145506")</f>
        <v>MDP0000145506</v>
      </c>
      <c r="D3262">
        <v>78.739999999999995</v>
      </c>
      <c r="E3262">
        <v>127</v>
      </c>
      <c r="F3262">
        <v>27</v>
      </c>
      <c r="G3262">
        <v>1</v>
      </c>
      <c r="H3262">
        <v>1</v>
      </c>
      <c r="I3262">
        <v>126</v>
      </c>
      <c r="J3262">
        <v>1</v>
      </c>
      <c r="K3262">
        <v>85</v>
      </c>
      <c r="L3262">
        <v>211</v>
      </c>
      <c r="M3262">
        <v>1</v>
      </c>
      <c r="N3262">
        <v>7.3967199999999996E-54</v>
      </c>
      <c r="O3262">
        <v>523</v>
      </c>
    </row>
    <row r="3263" spans="1:15" x14ac:dyDescent="0.25">
      <c r="A3263" t="s">
        <v>3276</v>
      </c>
      <c r="B3263">
        <v>1622</v>
      </c>
      <c r="C3263" s="1" t="str">
        <f>HYPERLINK("http://www.rosaceae.org/gb/gbrowse/malus_x_domestica/?name=MDP0000619907","MDP0000619907")</f>
        <v>MDP0000619907</v>
      </c>
      <c r="D3263">
        <v>37.61</v>
      </c>
      <c r="E3263">
        <v>327</v>
      </c>
      <c r="F3263">
        <v>204</v>
      </c>
      <c r="G3263">
        <v>19</v>
      </c>
      <c r="H3263">
        <v>1082</v>
      </c>
      <c r="I3263">
        <v>1402</v>
      </c>
      <c r="J3263">
        <v>1</v>
      </c>
      <c r="K3263">
        <v>1</v>
      </c>
      <c r="L3263">
        <v>314</v>
      </c>
      <c r="M3263">
        <v>1</v>
      </c>
      <c r="N3263">
        <v>5.9196099999999999E-50</v>
      </c>
      <c r="O3263">
        <v>502</v>
      </c>
    </row>
    <row r="3264" spans="1:15" x14ac:dyDescent="0.25">
      <c r="A3264" t="s">
        <v>3277</v>
      </c>
      <c r="B3264">
        <v>454</v>
      </c>
      <c r="C3264" s="1" t="str">
        <f>HYPERLINK("http://www.rosaceae.org/gb/gbrowse/malus_x_domestica/?name=MDP0000194307","MDP0000194307")</f>
        <v>MDP0000194307</v>
      </c>
      <c r="D3264">
        <v>93.96</v>
      </c>
      <c r="E3264">
        <v>414</v>
      </c>
      <c r="F3264">
        <v>25</v>
      </c>
      <c r="G3264">
        <v>1</v>
      </c>
      <c r="H3264">
        <v>1</v>
      </c>
      <c r="I3264">
        <v>414</v>
      </c>
      <c r="J3264">
        <v>1</v>
      </c>
      <c r="K3264">
        <v>1</v>
      </c>
      <c r="L3264">
        <v>413</v>
      </c>
      <c r="M3264">
        <v>1</v>
      </c>
      <c r="N3264">
        <v>0</v>
      </c>
      <c r="O3264">
        <v>2117</v>
      </c>
    </row>
    <row r="3265" spans="1:15" x14ac:dyDescent="0.25">
      <c r="A3265" t="s">
        <v>3278</v>
      </c>
      <c r="B3265">
        <v>804</v>
      </c>
      <c r="C3265" s="1" t="str">
        <f>HYPERLINK("http://www.rosaceae.org/gb/gbrowse/malus_x_domestica/?name=MDP0000314158","MDP0000314158")</f>
        <v>MDP0000314158</v>
      </c>
      <c r="D3265">
        <v>28.63</v>
      </c>
      <c r="E3265">
        <v>234</v>
      </c>
      <c r="F3265">
        <v>167</v>
      </c>
      <c r="G3265">
        <v>13</v>
      </c>
      <c r="H3265">
        <v>403</v>
      </c>
      <c r="I3265">
        <v>632</v>
      </c>
      <c r="J3265">
        <v>1</v>
      </c>
      <c r="K3265">
        <v>312</v>
      </c>
      <c r="L3265">
        <v>536</v>
      </c>
      <c r="M3265">
        <v>1</v>
      </c>
      <c r="N3265">
        <v>1.38931E-19</v>
      </c>
      <c r="O3265">
        <v>237</v>
      </c>
    </row>
    <row r="3266" spans="1:15" x14ac:dyDescent="0.25">
      <c r="A3266" t="s">
        <v>3279</v>
      </c>
      <c r="B3266">
        <v>167</v>
      </c>
      <c r="C3266" s="1" t="str">
        <f>HYPERLINK("http://www.rosaceae.org/gb/gbrowse/malus_x_domestica/?name=MDP0000200426","MDP0000200426")</f>
        <v>MDP0000200426</v>
      </c>
      <c r="D3266">
        <v>63.09</v>
      </c>
      <c r="E3266">
        <v>168</v>
      </c>
      <c r="F3266">
        <v>62</v>
      </c>
      <c r="G3266">
        <v>12</v>
      </c>
      <c r="H3266">
        <v>1</v>
      </c>
      <c r="I3266">
        <v>162</v>
      </c>
      <c r="J3266">
        <v>1</v>
      </c>
      <c r="K3266">
        <v>1</v>
      </c>
      <c r="L3266">
        <v>162</v>
      </c>
      <c r="M3266">
        <v>1</v>
      </c>
      <c r="N3266">
        <v>1.6436300000000001E-51</v>
      </c>
      <c r="O3266">
        <v>504</v>
      </c>
    </row>
    <row r="3267" spans="1:15" x14ac:dyDescent="0.25">
      <c r="A3267" t="s">
        <v>3280</v>
      </c>
      <c r="B3267">
        <v>427</v>
      </c>
      <c r="C3267" s="1" t="str">
        <f>HYPERLINK("http://www.rosaceae.org/gb/gbrowse/malus_x_domestica/?name=MDP0000220114","MDP0000220114")</f>
        <v>MDP0000220114</v>
      </c>
      <c r="D3267">
        <v>55.44</v>
      </c>
      <c r="E3267">
        <v>312</v>
      </c>
      <c r="F3267">
        <v>139</v>
      </c>
      <c r="G3267">
        <v>61</v>
      </c>
      <c r="H3267">
        <v>1</v>
      </c>
      <c r="I3267">
        <v>251</v>
      </c>
      <c r="J3267">
        <v>1</v>
      </c>
      <c r="K3267">
        <v>121</v>
      </c>
      <c r="L3267">
        <v>432</v>
      </c>
      <c r="M3267">
        <v>1</v>
      </c>
      <c r="N3267">
        <v>9.0360400000000004E-84</v>
      </c>
      <c r="O3267">
        <v>788</v>
      </c>
    </row>
    <row r="3268" spans="1:15" x14ac:dyDescent="0.25">
      <c r="A3268" t="s">
        <v>3281</v>
      </c>
      <c r="B3268">
        <v>629</v>
      </c>
      <c r="C3268" s="1" t="str">
        <f>HYPERLINK("http://www.rosaceae.org/gb/gbrowse/malus_x_domestica/?name=MDP0000299040","MDP0000299040")</f>
        <v>MDP0000299040</v>
      </c>
      <c r="D3268">
        <v>69.87</v>
      </c>
      <c r="E3268">
        <v>239</v>
      </c>
      <c r="F3268">
        <v>72</v>
      </c>
      <c r="G3268">
        <v>47</v>
      </c>
      <c r="H3268">
        <v>199</v>
      </c>
      <c r="I3268">
        <v>434</v>
      </c>
      <c r="J3268">
        <v>1</v>
      </c>
      <c r="K3268">
        <v>161</v>
      </c>
      <c r="L3268">
        <v>355</v>
      </c>
      <c r="M3268">
        <v>1</v>
      </c>
      <c r="N3268">
        <v>8.8617900000000002E-87</v>
      </c>
      <c r="O3268">
        <v>816</v>
      </c>
    </row>
    <row r="3269" spans="1:15" x14ac:dyDescent="0.25">
      <c r="A3269" t="s">
        <v>3282</v>
      </c>
      <c r="B3269">
        <v>214</v>
      </c>
      <c r="C3269" s="1" t="str">
        <f>HYPERLINK("http://www.rosaceae.org/gb/gbrowse/malus_x_domestica/?name=MDP0000141887","MDP0000141887")</f>
        <v>MDP0000141887</v>
      </c>
      <c r="D3269">
        <v>62.67</v>
      </c>
      <c r="E3269">
        <v>217</v>
      </c>
      <c r="F3269">
        <v>81</v>
      </c>
      <c r="G3269">
        <v>4</v>
      </c>
      <c r="H3269">
        <v>1</v>
      </c>
      <c r="I3269">
        <v>213</v>
      </c>
      <c r="J3269">
        <v>1</v>
      </c>
      <c r="K3269">
        <v>59</v>
      </c>
      <c r="L3269">
        <v>275</v>
      </c>
      <c r="M3269">
        <v>1</v>
      </c>
      <c r="N3269">
        <v>6.5026199999999998E-70</v>
      </c>
      <c r="O3269">
        <v>665</v>
      </c>
    </row>
    <row r="3270" spans="1:15" x14ac:dyDescent="0.25">
      <c r="A3270" t="s">
        <v>3283</v>
      </c>
      <c r="B3270">
        <v>207</v>
      </c>
      <c r="C3270" s="1" t="str">
        <f>HYPERLINK("http://www.rosaceae.org/gb/gbrowse/malus_x_domestica/?name=MDP0000315378","MDP0000315378")</f>
        <v>MDP0000315378</v>
      </c>
      <c r="D3270">
        <v>68.59</v>
      </c>
      <c r="E3270">
        <v>207</v>
      </c>
      <c r="F3270">
        <v>65</v>
      </c>
      <c r="G3270">
        <v>1</v>
      </c>
      <c r="H3270">
        <v>2</v>
      </c>
      <c r="I3270">
        <v>207</v>
      </c>
      <c r="J3270">
        <v>1</v>
      </c>
      <c r="K3270">
        <v>68</v>
      </c>
      <c r="L3270">
        <v>274</v>
      </c>
      <c r="M3270">
        <v>1</v>
      </c>
      <c r="N3270">
        <v>5.6926500000000006E-82</v>
      </c>
      <c r="O3270">
        <v>769</v>
      </c>
    </row>
    <row r="3271" spans="1:15" x14ac:dyDescent="0.25">
      <c r="A3271" t="s">
        <v>3284</v>
      </c>
      <c r="B3271">
        <v>432</v>
      </c>
      <c r="C3271" s="1" t="str">
        <f>HYPERLINK("http://www.rosaceae.org/gb/gbrowse/malus_x_domestica/?name=MDP0000187272","MDP0000187272")</f>
        <v>MDP0000187272</v>
      </c>
      <c r="D3271">
        <v>80.680000000000007</v>
      </c>
      <c r="E3271">
        <v>466</v>
      </c>
      <c r="F3271">
        <v>90</v>
      </c>
      <c r="G3271">
        <v>41</v>
      </c>
      <c r="H3271">
        <v>2</v>
      </c>
      <c r="I3271">
        <v>431</v>
      </c>
      <c r="J3271">
        <v>1</v>
      </c>
      <c r="K3271">
        <v>1</v>
      </c>
      <c r="L3271">
        <v>461</v>
      </c>
      <c r="M3271">
        <v>1</v>
      </c>
      <c r="N3271">
        <v>0</v>
      </c>
      <c r="O3271">
        <v>1966</v>
      </c>
    </row>
    <row r="3272" spans="1:15" x14ac:dyDescent="0.25">
      <c r="A3272" t="s">
        <v>3285</v>
      </c>
      <c r="B3272">
        <v>402</v>
      </c>
      <c r="C3272" s="1" t="str">
        <f>HYPERLINK("http://www.rosaceae.org/gb/gbrowse/malus_x_domestica/?name=MDP0000188137","MDP0000188137")</f>
        <v>MDP0000188137</v>
      </c>
      <c r="D3272">
        <v>80.709999999999994</v>
      </c>
      <c r="E3272">
        <v>337</v>
      </c>
      <c r="F3272">
        <v>65</v>
      </c>
      <c r="G3272">
        <v>2</v>
      </c>
      <c r="H3272">
        <v>66</v>
      </c>
      <c r="I3272">
        <v>401</v>
      </c>
      <c r="J3272">
        <v>1</v>
      </c>
      <c r="K3272">
        <v>43</v>
      </c>
      <c r="L3272">
        <v>378</v>
      </c>
      <c r="M3272">
        <v>1</v>
      </c>
      <c r="N3272">
        <v>4.3971600000000002E-159</v>
      </c>
      <c r="O3272">
        <v>1437</v>
      </c>
    </row>
    <row r="3273" spans="1:15" x14ac:dyDescent="0.25">
      <c r="A3273" t="s">
        <v>3286</v>
      </c>
      <c r="B3273">
        <v>306</v>
      </c>
      <c r="C3273" s="1" t="str">
        <f>HYPERLINK("http://www.rosaceae.org/gb/gbrowse/malus_x_domestica/?name=MDP0000219552","MDP0000219552")</f>
        <v>MDP0000219552</v>
      </c>
      <c r="D3273">
        <v>65.55</v>
      </c>
      <c r="E3273">
        <v>209</v>
      </c>
      <c r="F3273">
        <v>72</v>
      </c>
      <c r="G3273">
        <v>0</v>
      </c>
      <c r="H3273">
        <v>98</v>
      </c>
      <c r="I3273">
        <v>306</v>
      </c>
      <c r="J3273">
        <v>1</v>
      </c>
      <c r="K3273">
        <v>1</v>
      </c>
      <c r="L3273">
        <v>209</v>
      </c>
      <c r="M3273">
        <v>1</v>
      </c>
      <c r="N3273">
        <v>9.3356000000000006E-70</v>
      </c>
      <c r="O3273">
        <v>666</v>
      </c>
    </row>
    <row r="3274" spans="1:15" x14ac:dyDescent="0.25">
      <c r="A3274" t="s">
        <v>3287</v>
      </c>
      <c r="B3274">
        <v>136</v>
      </c>
      <c r="C3274" s="1" t="str">
        <f>HYPERLINK("http://www.rosaceae.org/gb/gbrowse/malus_x_domestica/?name=MDP0000595447","MDP0000595447")</f>
        <v>MDP0000595447</v>
      </c>
      <c r="D3274">
        <v>47.52</v>
      </c>
      <c r="E3274">
        <v>101</v>
      </c>
      <c r="F3274">
        <v>53</v>
      </c>
      <c r="G3274">
        <v>8</v>
      </c>
      <c r="H3274">
        <v>39</v>
      </c>
      <c r="I3274">
        <v>131</v>
      </c>
      <c r="J3274">
        <v>1</v>
      </c>
      <c r="K3274">
        <v>284</v>
      </c>
      <c r="L3274">
        <v>384</v>
      </c>
      <c r="M3274">
        <v>1</v>
      </c>
      <c r="N3274">
        <v>1.50559E-19</v>
      </c>
      <c r="O3274">
        <v>227</v>
      </c>
    </row>
    <row r="3275" spans="1:15" x14ac:dyDescent="0.25">
      <c r="A3275" t="s">
        <v>3288</v>
      </c>
      <c r="B3275">
        <v>281</v>
      </c>
      <c r="C3275" s="1" t="str">
        <f>HYPERLINK("http://www.rosaceae.org/gb/gbrowse/malus_x_domestica/?name=MDP0000238910","MDP0000238910")</f>
        <v>MDP0000238910</v>
      </c>
      <c r="D3275">
        <v>54.09</v>
      </c>
      <c r="E3275">
        <v>183</v>
      </c>
      <c r="F3275">
        <v>84</v>
      </c>
      <c r="G3275">
        <v>7</v>
      </c>
      <c r="H3275">
        <v>5</v>
      </c>
      <c r="I3275">
        <v>181</v>
      </c>
      <c r="J3275">
        <v>1</v>
      </c>
      <c r="K3275">
        <v>196</v>
      </c>
      <c r="L3275">
        <v>377</v>
      </c>
      <c r="M3275">
        <v>1</v>
      </c>
      <c r="N3275">
        <v>6.8613299999999996E-49</v>
      </c>
      <c r="O3275">
        <v>485</v>
      </c>
    </row>
    <row r="3276" spans="1:15" x14ac:dyDescent="0.25">
      <c r="A3276" t="s">
        <v>3289</v>
      </c>
      <c r="B3276">
        <v>238</v>
      </c>
      <c r="C3276" s="1" t="str">
        <f>HYPERLINK("http://www.rosaceae.org/gb/gbrowse/malus_x_domestica/?name=MDP0000274905","MDP0000274905")</f>
        <v>MDP0000274905</v>
      </c>
      <c r="D3276">
        <v>49.58</v>
      </c>
      <c r="E3276">
        <v>240</v>
      </c>
      <c r="F3276">
        <v>121</v>
      </c>
      <c r="G3276">
        <v>21</v>
      </c>
      <c r="H3276">
        <v>3</v>
      </c>
      <c r="I3276">
        <v>236</v>
      </c>
      <c r="J3276">
        <v>1</v>
      </c>
      <c r="K3276">
        <v>78</v>
      </c>
      <c r="L3276">
        <v>302</v>
      </c>
      <c r="M3276">
        <v>1</v>
      </c>
      <c r="N3276">
        <v>8.5814400000000003E-46</v>
      </c>
      <c r="O3276">
        <v>458</v>
      </c>
    </row>
    <row r="3277" spans="1:15" x14ac:dyDescent="0.25">
      <c r="A3277" t="s">
        <v>3290</v>
      </c>
      <c r="B3277">
        <v>152</v>
      </c>
      <c r="C3277" s="1" t="str">
        <f>HYPERLINK("http://www.rosaceae.org/gb/gbrowse/malus_x_domestica/?name=MDP0000266550","MDP0000266550")</f>
        <v>MDP0000266550</v>
      </c>
      <c r="D3277">
        <v>75.77</v>
      </c>
      <c r="E3277">
        <v>161</v>
      </c>
      <c r="F3277">
        <v>39</v>
      </c>
      <c r="G3277">
        <v>28</v>
      </c>
      <c r="H3277">
        <v>9</v>
      </c>
      <c r="I3277">
        <v>141</v>
      </c>
      <c r="J3277">
        <v>1</v>
      </c>
      <c r="K3277">
        <v>514</v>
      </c>
      <c r="L3277">
        <v>674</v>
      </c>
      <c r="M3277">
        <v>1</v>
      </c>
      <c r="N3277">
        <v>6.5835900000000005E-60</v>
      </c>
      <c r="O3277">
        <v>576</v>
      </c>
    </row>
    <row r="3278" spans="1:15" x14ac:dyDescent="0.25">
      <c r="A3278" t="s">
        <v>3291</v>
      </c>
      <c r="B3278">
        <v>519</v>
      </c>
      <c r="C3278" s="1" t="str">
        <f>HYPERLINK("http://www.rosaceae.org/gb/gbrowse/malus_x_domestica/?name=MDP0000214069","MDP0000214069")</f>
        <v>MDP0000214069</v>
      </c>
      <c r="D3278">
        <v>76.39</v>
      </c>
      <c r="E3278">
        <v>449</v>
      </c>
      <c r="F3278">
        <v>106</v>
      </c>
      <c r="G3278">
        <v>3</v>
      </c>
      <c r="H3278">
        <v>43</v>
      </c>
      <c r="I3278">
        <v>489</v>
      </c>
      <c r="J3278">
        <v>1</v>
      </c>
      <c r="K3278">
        <v>103</v>
      </c>
      <c r="L3278">
        <v>550</v>
      </c>
      <c r="M3278">
        <v>1</v>
      </c>
      <c r="N3278">
        <v>0</v>
      </c>
      <c r="O3278">
        <v>1832</v>
      </c>
    </row>
    <row r="3279" spans="1:15" x14ac:dyDescent="0.25">
      <c r="A3279" t="s">
        <v>3292</v>
      </c>
      <c r="B3279">
        <v>432</v>
      </c>
      <c r="C3279" s="1" t="str">
        <f>HYPERLINK("http://www.rosaceae.org/gb/gbrowse/malus_x_domestica/?name=MDP0000135159","MDP0000135159")</f>
        <v>MDP0000135159</v>
      </c>
      <c r="D3279">
        <v>73.23</v>
      </c>
      <c r="E3279">
        <v>426</v>
      </c>
      <c r="F3279">
        <v>114</v>
      </c>
      <c r="G3279">
        <v>15</v>
      </c>
      <c r="H3279">
        <v>1</v>
      </c>
      <c r="I3279">
        <v>413</v>
      </c>
      <c r="J3279">
        <v>1</v>
      </c>
      <c r="K3279">
        <v>1</v>
      </c>
      <c r="L3279">
        <v>424</v>
      </c>
      <c r="M3279">
        <v>1</v>
      </c>
      <c r="N3279">
        <v>1.05641E-173</v>
      </c>
      <c r="O3279">
        <v>1564</v>
      </c>
    </row>
    <row r="3280" spans="1:15" x14ac:dyDescent="0.25">
      <c r="A3280" t="s">
        <v>3293</v>
      </c>
      <c r="B3280">
        <v>389</v>
      </c>
      <c r="C3280" s="1" t="str">
        <f>HYPERLINK("http://www.rosaceae.org/gb/gbrowse/malus_x_domestica/?name=MDP0000233650","MDP0000233650")</f>
        <v>MDP0000233650</v>
      </c>
      <c r="D3280">
        <v>33.07</v>
      </c>
      <c r="E3280">
        <v>381</v>
      </c>
      <c r="F3280">
        <v>255</v>
      </c>
      <c r="G3280">
        <v>31</v>
      </c>
      <c r="H3280">
        <v>9</v>
      </c>
      <c r="I3280">
        <v>374</v>
      </c>
      <c r="J3280">
        <v>1</v>
      </c>
      <c r="K3280">
        <v>18</v>
      </c>
      <c r="L3280">
        <v>382</v>
      </c>
      <c r="M3280">
        <v>1</v>
      </c>
      <c r="N3280">
        <v>1.96647E-42</v>
      </c>
      <c r="O3280">
        <v>431</v>
      </c>
    </row>
    <row r="3281" spans="1:15" x14ac:dyDescent="0.25">
      <c r="A3281" t="s">
        <v>3294</v>
      </c>
      <c r="B3281">
        <v>373</v>
      </c>
      <c r="C3281" s="1" t="str">
        <f>HYPERLINK("http://www.rosaceae.org/gb/gbrowse/malus_x_domestica/?name=MDP0000244964","MDP0000244964")</f>
        <v>MDP0000244964</v>
      </c>
      <c r="D3281">
        <v>71.64</v>
      </c>
      <c r="E3281">
        <v>335</v>
      </c>
      <c r="F3281">
        <v>95</v>
      </c>
      <c r="G3281">
        <v>6</v>
      </c>
      <c r="H3281">
        <v>43</v>
      </c>
      <c r="I3281">
        <v>372</v>
      </c>
      <c r="J3281">
        <v>1</v>
      </c>
      <c r="K3281">
        <v>38</v>
      </c>
      <c r="L3281">
        <v>371</v>
      </c>
      <c r="M3281">
        <v>1</v>
      </c>
      <c r="N3281">
        <v>5.9580100000000002E-134</v>
      </c>
      <c r="O3281">
        <v>1220</v>
      </c>
    </row>
    <row r="3282" spans="1:15" x14ac:dyDescent="0.25">
      <c r="A3282" t="s">
        <v>3295</v>
      </c>
      <c r="B3282">
        <v>150</v>
      </c>
      <c r="C3282" s="1" t="str">
        <f>HYPERLINK("http://www.rosaceae.org/gb/gbrowse/malus_x_domestica/?name=MDP0000836119","MDP0000836119")</f>
        <v>MDP0000836119</v>
      </c>
      <c r="D3282">
        <v>82.66</v>
      </c>
      <c r="E3282">
        <v>150</v>
      </c>
      <c r="F3282">
        <v>26</v>
      </c>
      <c r="G3282">
        <v>0</v>
      </c>
      <c r="H3282">
        <v>1</v>
      </c>
      <c r="I3282">
        <v>150</v>
      </c>
      <c r="J3282">
        <v>1</v>
      </c>
      <c r="K3282">
        <v>85</v>
      </c>
      <c r="L3282">
        <v>234</v>
      </c>
      <c r="M3282">
        <v>1</v>
      </c>
      <c r="N3282">
        <v>4.5005800000000001E-71</v>
      </c>
      <c r="O3282">
        <v>672</v>
      </c>
    </row>
    <row r="3283" spans="1:15" x14ac:dyDescent="0.25">
      <c r="A3283" t="s">
        <v>3296</v>
      </c>
      <c r="B3283">
        <v>112</v>
      </c>
      <c r="C3283" s="1" t="str">
        <f>HYPERLINK("http://www.rosaceae.org/gb/gbrowse/malus_x_domestica/?name=MDP0000902360","MDP0000902360")</f>
        <v>MDP0000902360</v>
      </c>
      <c r="D3283">
        <v>71.55</v>
      </c>
      <c r="E3283">
        <v>109</v>
      </c>
      <c r="F3283">
        <v>31</v>
      </c>
      <c r="G3283">
        <v>0</v>
      </c>
      <c r="H3283">
        <v>3</v>
      </c>
      <c r="I3283">
        <v>111</v>
      </c>
      <c r="J3283">
        <v>1</v>
      </c>
      <c r="K3283">
        <v>50</v>
      </c>
      <c r="L3283">
        <v>158</v>
      </c>
      <c r="M3283">
        <v>1</v>
      </c>
      <c r="N3283">
        <v>3.2166899999999999E-44</v>
      </c>
      <c r="O3283">
        <v>439</v>
      </c>
    </row>
    <row r="3284" spans="1:15" x14ac:dyDescent="0.25">
      <c r="A3284" t="s">
        <v>3297</v>
      </c>
      <c r="B3284">
        <v>907</v>
      </c>
      <c r="C3284" s="1" t="str">
        <f>HYPERLINK("http://www.rosaceae.org/gb/gbrowse/malus_x_domestica/?name=MDP0000230489","MDP0000230489")</f>
        <v>MDP0000230489</v>
      </c>
      <c r="D3284">
        <v>68.78</v>
      </c>
      <c r="E3284">
        <v>929</v>
      </c>
      <c r="F3284">
        <v>290</v>
      </c>
      <c r="G3284">
        <v>71</v>
      </c>
      <c r="H3284">
        <v>31</v>
      </c>
      <c r="I3284">
        <v>907</v>
      </c>
      <c r="J3284">
        <v>1</v>
      </c>
      <c r="K3284">
        <v>32</v>
      </c>
      <c r="L3284">
        <v>941</v>
      </c>
      <c r="M3284">
        <v>1</v>
      </c>
      <c r="N3284">
        <v>0</v>
      </c>
      <c r="O3284">
        <v>3282</v>
      </c>
    </row>
    <row r="3285" spans="1:15" x14ac:dyDescent="0.25">
      <c r="A3285" t="s">
        <v>3298</v>
      </c>
      <c r="B3285">
        <v>514</v>
      </c>
      <c r="C3285" s="1" t="str">
        <f>HYPERLINK("http://www.rosaceae.org/gb/gbrowse/malus_x_domestica/?name=MDP0000250644","MDP0000250644")</f>
        <v>MDP0000250644</v>
      </c>
      <c r="D3285">
        <v>31.81</v>
      </c>
      <c r="E3285">
        <v>242</v>
      </c>
      <c r="F3285">
        <v>165</v>
      </c>
      <c r="G3285">
        <v>12</v>
      </c>
      <c r="H3285">
        <v>4</v>
      </c>
      <c r="I3285">
        <v>245</v>
      </c>
      <c r="J3285">
        <v>1</v>
      </c>
      <c r="K3285">
        <v>106</v>
      </c>
      <c r="L3285">
        <v>335</v>
      </c>
      <c r="M3285">
        <v>1</v>
      </c>
      <c r="N3285">
        <v>2.6257800000000002E-37</v>
      </c>
      <c r="O3285">
        <v>388</v>
      </c>
    </row>
    <row r="3286" spans="1:15" x14ac:dyDescent="0.25">
      <c r="A3286" t="s">
        <v>3299</v>
      </c>
      <c r="B3286">
        <v>200</v>
      </c>
      <c r="C3286" s="1" t="str">
        <f>HYPERLINK("http://www.rosaceae.org/gb/gbrowse/malus_x_domestica/?name=MDP0000297049","MDP0000297049")</f>
        <v>MDP0000297049</v>
      </c>
      <c r="D3286">
        <v>68.75</v>
      </c>
      <c r="E3286">
        <v>80</v>
      </c>
      <c r="F3286">
        <v>25</v>
      </c>
      <c r="G3286">
        <v>2</v>
      </c>
      <c r="H3286">
        <v>52</v>
      </c>
      <c r="I3286">
        <v>129</v>
      </c>
      <c r="J3286">
        <v>1</v>
      </c>
      <c r="K3286">
        <v>516</v>
      </c>
      <c r="L3286">
        <v>595</v>
      </c>
      <c r="M3286">
        <v>1</v>
      </c>
      <c r="N3286">
        <v>1.1915900000000001E-25</v>
      </c>
      <c r="O3286">
        <v>283</v>
      </c>
    </row>
    <row r="3287" spans="1:15" x14ac:dyDescent="0.25">
      <c r="A3287" t="s">
        <v>3300</v>
      </c>
      <c r="B3287">
        <v>262</v>
      </c>
      <c r="C3287" s="1" t="str">
        <f>HYPERLINK("http://www.rosaceae.org/gb/gbrowse/malus_x_domestica/?name=MDP0000324259","MDP0000324259")</f>
        <v>MDP0000324259</v>
      </c>
      <c r="D3287">
        <v>83.75</v>
      </c>
      <c r="E3287">
        <v>240</v>
      </c>
      <c r="F3287">
        <v>39</v>
      </c>
      <c r="G3287">
        <v>8</v>
      </c>
      <c r="H3287">
        <v>13</v>
      </c>
      <c r="I3287">
        <v>249</v>
      </c>
      <c r="J3287">
        <v>1</v>
      </c>
      <c r="K3287">
        <v>8</v>
      </c>
      <c r="L3287">
        <v>242</v>
      </c>
      <c r="M3287">
        <v>1</v>
      </c>
      <c r="N3287">
        <v>4.9044800000000004E-106</v>
      </c>
      <c r="O3287">
        <v>978</v>
      </c>
    </row>
    <row r="3288" spans="1:15" x14ac:dyDescent="0.25">
      <c r="A3288" t="s">
        <v>3301</v>
      </c>
      <c r="B3288">
        <v>287</v>
      </c>
      <c r="C3288" s="1" t="str">
        <f>HYPERLINK("http://www.rosaceae.org/gb/gbrowse/malus_x_domestica/?name=MDP0000221328","MDP0000221328")</f>
        <v>MDP0000221328</v>
      </c>
      <c r="D3288">
        <v>78.930000000000007</v>
      </c>
      <c r="E3288">
        <v>337</v>
      </c>
      <c r="F3288">
        <v>71</v>
      </c>
      <c r="G3288">
        <v>50</v>
      </c>
      <c r="H3288">
        <v>1</v>
      </c>
      <c r="I3288">
        <v>287</v>
      </c>
      <c r="J3288">
        <v>1</v>
      </c>
      <c r="K3288">
        <v>52</v>
      </c>
      <c r="L3288">
        <v>388</v>
      </c>
      <c r="M3288">
        <v>1</v>
      </c>
      <c r="N3288">
        <v>9.6816799999999995E-155</v>
      </c>
      <c r="O3288">
        <v>1398</v>
      </c>
    </row>
    <row r="3289" spans="1:15" x14ac:dyDescent="0.25">
      <c r="A3289" t="s">
        <v>3302</v>
      </c>
      <c r="B3289">
        <v>337</v>
      </c>
      <c r="C3289" s="1" t="str">
        <f>HYPERLINK("http://www.rosaceae.org/gb/gbrowse/malus_x_domestica/?name=MDP0000771149","MDP0000771149")</f>
        <v>MDP0000771149</v>
      </c>
      <c r="D3289">
        <v>69.14</v>
      </c>
      <c r="E3289">
        <v>94</v>
      </c>
      <c r="F3289">
        <v>29</v>
      </c>
      <c r="G3289">
        <v>9</v>
      </c>
      <c r="H3289">
        <v>35</v>
      </c>
      <c r="I3289">
        <v>127</v>
      </c>
      <c r="J3289">
        <v>1</v>
      </c>
      <c r="K3289">
        <v>1</v>
      </c>
      <c r="L3289">
        <v>86</v>
      </c>
      <c r="M3289">
        <v>1</v>
      </c>
      <c r="N3289">
        <v>1.5703000000000001E-33</v>
      </c>
      <c r="O3289">
        <v>354</v>
      </c>
    </row>
    <row r="3290" spans="1:15" x14ac:dyDescent="0.25">
      <c r="A3290" t="s">
        <v>3303</v>
      </c>
      <c r="B3290">
        <v>624</v>
      </c>
      <c r="C3290" s="1" t="str">
        <f>HYPERLINK("http://www.rosaceae.org/gb/gbrowse/malus_x_domestica/?name=MDP0000137341","MDP0000137341")</f>
        <v>MDP0000137341</v>
      </c>
      <c r="D3290">
        <v>59.59</v>
      </c>
      <c r="E3290">
        <v>599</v>
      </c>
      <c r="F3290">
        <v>242</v>
      </c>
      <c r="G3290">
        <v>39</v>
      </c>
      <c r="H3290">
        <v>47</v>
      </c>
      <c r="I3290">
        <v>624</v>
      </c>
      <c r="J3290">
        <v>1</v>
      </c>
      <c r="K3290">
        <v>15</v>
      </c>
      <c r="L3290">
        <v>595</v>
      </c>
      <c r="M3290">
        <v>1</v>
      </c>
      <c r="N3290">
        <v>1.76651E-177</v>
      </c>
      <c r="O3290">
        <v>1598</v>
      </c>
    </row>
    <row r="3291" spans="1:15" x14ac:dyDescent="0.25">
      <c r="A3291" t="s">
        <v>3304</v>
      </c>
      <c r="B3291">
        <v>590</v>
      </c>
      <c r="C3291" s="1" t="str">
        <f>HYPERLINK("http://www.rosaceae.org/gb/gbrowse/malus_x_domestica/?name=MDP0000446927","MDP0000446927")</f>
        <v>MDP0000446927</v>
      </c>
      <c r="D3291">
        <v>72.709999999999994</v>
      </c>
      <c r="E3291">
        <v>590</v>
      </c>
      <c r="F3291">
        <v>161</v>
      </c>
      <c r="G3291">
        <v>1</v>
      </c>
      <c r="H3291">
        <v>1</v>
      </c>
      <c r="I3291">
        <v>589</v>
      </c>
      <c r="J3291">
        <v>1</v>
      </c>
      <c r="K3291">
        <v>83</v>
      </c>
      <c r="L3291">
        <v>672</v>
      </c>
      <c r="M3291">
        <v>1</v>
      </c>
      <c r="N3291">
        <v>0</v>
      </c>
      <c r="O3291">
        <v>2286</v>
      </c>
    </row>
    <row r="3292" spans="1:15" x14ac:dyDescent="0.25">
      <c r="A3292" t="s">
        <v>3305</v>
      </c>
      <c r="B3292">
        <v>471</v>
      </c>
      <c r="C3292" s="1" t="str">
        <f>HYPERLINK("http://www.rosaceae.org/gb/gbrowse/malus_x_domestica/?name=MDP0000269193","MDP0000269193")</f>
        <v>MDP0000269193</v>
      </c>
      <c r="D3292">
        <v>77.69</v>
      </c>
      <c r="E3292">
        <v>399</v>
      </c>
      <c r="F3292">
        <v>89</v>
      </c>
      <c r="G3292">
        <v>1</v>
      </c>
      <c r="H3292">
        <v>71</v>
      </c>
      <c r="I3292">
        <v>468</v>
      </c>
      <c r="J3292">
        <v>1</v>
      </c>
      <c r="K3292">
        <v>1</v>
      </c>
      <c r="L3292">
        <v>399</v>
      </c>
      <c r="M3292">
        <v>1</v>
      </c>
      <c r="N3292">
        <v>0</v>
      </c>
      <c r="O3292">
        <v>1646</v>
      </c>
    </row>
    <row r="3293" spans="1:15" x14ac:dyDescent="0.25">
      <c r="A3293" t="s">
        <v>3306</v>
      </c>
      <c r="B3293">
        <v>460</v>
      </c>
      <c r="C3293" s="1" t="str">
        <f>HYPERLINK("http://www.rosaceae.org/gb/gbrowse/malus_x_domestica/?name=MDP0000226743","MDP0000226743")</f>
        <v>MDP0000226743</v>
      </c>
      <c r="D3293">
        <v>68.83</v>
      </c>
      <c r="E3293">
        <v>308</v>
      </c>
      <c r="F3293">
        <v>96</v>
      </c>
      <c r="G3293">
        <v>0</v>
      </c>
      <c r="H3293">
        <v>149</v>
      </c>
      <c r="I3293">
        <v>456</v>
      </c>
      <c r="J3293">
        <v>1</v>
      </c>
      <c r="K3293">
        <v>26</v>
      </c>
      <c r="L3293">
        <v>333</v>
      </c>
      <c r="M3293">
        <v>1</v>
      </c>
      <c r="N3293">
        <v>6.5015900000000002E-124</v>
      </c>
      <c r="O3293">
        <v>1135</v>
      </c>
    </row>
    <row r="3294" spans="1:15" x14ac:dyDescent="0.25">
      <c r="A3294" t="s">
        <v>3307</v>
      </c>
      <c r="B3294">
        <v>420</v>
      </c>
      <c r="C3294" s="1" t="str">
        <f>HYPERLINK("http://www.rosaceae.org/gb/gbrowse/malus_x_domestica/?name=MDP0000306020","MDP0000306020")</f>
        <v>MDP0000306020</v>
      </c>
      <c r="D3294">
        <v>62.87</v>
      </c>
      <c r="E3294">
        <v>439</v>
      </c>
      <c r="F3294">
        <v>163</v>
      </c>
      <c r="G3294">
        <v>25</v>
      </c>
      <c r="H3294">
        <v>2</v>
      </c>
      <c r="I3294">
        <v>420</v>
      </c>
      <c r="J3294">
        <v>1</v>
      </c>
      <c r="K3294">
        <v>9</v>
      </c>
      <c r="L3294">
        <v>442</v>
      </c>
      <c r="M3294">
        <v>1</v>
      </c>
      <c r="N3294">
        <v>2.08004E-153</v>
      </c>
      <c r="O3294">
        <v>1389</v>
      </c>
    </row>
    <row r="3295" spans="1:15" x14ac:dyDescent="0.25">
      <c r="A3295" t="s">
        <v>3308</v>
      </c>
      <c r="B3295">
        <v>855</v>
      </c>
      <c r="C3295" s="1" t="str">
        <f>HYPERLINK("http://www.rosaceae.org/gb/gbrowse/malus_x_domestica/?name=MDP0000024936","MDP0000024936")</f>
        <v>MDP0000024936</v>
      </c>
      <c r="D3295">
        <v>81.02</v>
      </c>
      <c r="E3295">
        <v>469</v>
      </c>
      <c r="F3295">
        <v>89</v>
      </c>
      <c r="G3295">
        <v>8</v>
      </c>
      <c r="H3295">
        <v>5</v>
      </c>
      <c r="I3295">
        <v>466</v>
      </c>
      <c r="J3295">
        <v>1</v>
      </c>
      <c r="K3295">
        <v>1</v>
      </c>
      <c r="L3295">
        <v>468</v>
      </c>
      <c r="M3295">
        <v>1</v>
      </c>
      <c r="N3295">
        <v>0</v>
      </c>
      <c r="O3295">
        <v>2023</v>
      </c>
    </row>
    <row r="3296" spans="1:15" x14ac:dyDescent="0.25">
      <c r="A3296" t="s">
        <v>3309</v>
      </c>
      <c r="B3296">
        <v>297</v>
      </c>
      <c r="C3296" s="1" t="str">
        <f>HYPERLINK("http://www.rosaceae.org/gb/gbrowse/malus_x_domestica/?name=MDP0000873667","MDP0000873667")</f>
        <v>MDP0000873667</v>
      </c>
      <c r="D3296">
        <v>83.76</v>
      </c>
      <c r="E3296">
        <v>271</v>
      </c>
      <c r="F3296">
        <v>44</v>
      </c>
      <c r="G3296">
        <v>4</v>
      </c>
      <c r="H3296">
        <v>27</v>
      </c>
      <c r="I3296">
        <v>297</v>
      </c>
      <c r="J3296">
        <v>1</v>
      </c>
      <c r="K3296">
        <v>29</v>
      </c>
      <c r="L3296">
        <v>295</v>
      </c>
      <c r="M3296">
        <v>1</v>
      </c>
      <c r="N3296">
        <v>6.32328E-135</v>
      </c>
      <c r="O3296">
        <v>1227</v>
      </c>
    </row>
    <row r="3297" spans="1:15" x14ac:dyDescent="0.25">
      <c r="A3297" t="s">
        <v>3310</v>
      </c>
      <c r="B3297">
        <v>116</v>
      </c>
      <c r="C3297" s="1" t="str">
        <f>HYPERLINK("http://www.rosaceae.org/gb/gbrowse/malus_x_domestica/?name=MDP0000154013","MDP0000154013")</f>
        <v>MDP0000154013</v>
      </c>
      <c r="D3297">
        <v>61.66</v>
      </c>
      <c r="E3297">
        <v>120</v>
      </c>
      <c r="F3297">
        <v>46</v>
      </c>
      <c r="G3297">
        <v>8</v>
      </c>
      <c r="H3297">
        <v>1</v>
      </c>
      <c r="I3297">
        <v>116</v>
      </c>
      <c r="J3297">
        <v>1</v>
      </c>
      <c r="K3297">
        <v>1</v>
      </c>
      <c r="L3297">
        <v>116</v>
      </c>
      <c r="M3297">
        <v>1</v>
      </c>
      <c r="N3297">
        <v>2.7866700000000002E-31</v>
      </c>
      <c r="O3297">
        <v>327</v>
      </c>
    </row>
    <row r="3298" spans="1:15" x14ac:dyDescent="0.25">
      <c r="A3298" t="s">
        <v>3311</v>
      </c>
      <c r="B3298">
        <v>252</v>
      </c>
      <c r="C3298" s="1" t="str">
        <f>HYPERLINK("http://www.rosaceae.org/gb/gbrowse/malus_x_domestica/?name=MDP0000308224","MDP0000308224")</f>
        <v>MDP0000308224</v>
      </c>
      <c r="D3298">
        <v>69.13</v>
      </c>
      <c r="E3298">
        <v>162</v>
      </c>
      <c r="F3298">
        <v>50</v>
      </c>
      <c r="G3298">
        <v>2</v>
      </c>
      <c r="H3298">
        <v>82</v>
      </c>
      <c r="I3298">
        <v>243</v>
      </c>
      <c r="J3298">
        <v>1</v>
      </c>
      <c r="K3298">
        <v>150</v>
      </c>
      <c r="L3298">
        <v>309</v>
      </c>
      <c r="M3298">
        <v>1</v>
      </c>
      <c r="N3298">
        <v>6.5706600000000002E-56</v>
      </c>
      <c r="O3298">
        <v>545</v>
      </c>
    </row>
    <row r="3299" spans="1:15" x14ac:dyDescent="0.25">
      <c r="A3299" t="s">
        <v>3312</v>
      </c>
      <c r="B3299">
        <v>187</v>
      </c>
      <c r="C3299" s="1" t="str">
        <f>HYPERLINK("http://www.rosaceae.org/gb/gbrowse/malus_x_domestica/?name=MDP0000233571","MDP0000233571")</f>
        <v>MDP0000233571</v>
      </c>
      <c r="D3299">
        <v>93.58</v>
      </c>
      <c r="E3299">
        <v>187</v>
      </c>
      <c r="F3299">
        <v>12</v>
      </c>
      <c r="G3299">
        <v>0</v>
      </c>
      <c r="H3299">
        <v>1</v>
      </c>
      <c r="I3299">
        <v>187</v>
      </c>
      <c r="J3299">
        <v>1</v>
      </c>
      <c r="K3299">
        <v>1</v>
      </c>
      <c r="L3299">
        <v>187</v>
      </c>
      <c r="M3299">
        <v>1</v>
      </c>
      <c r="N3299">
        <v>8.8802999999999995E-103</v>
      </c>
      <c r="O3299">
        <v>947</v>
      </c>
    </row>
    <row r="3300" spans="1:15" x14ac:dyDescent="0.25">
      <c r="A3300" t="s">
        <v>3313</v>
      </c>
      <c r="B3300">
        <v>1028</v>
      </c>
      <c r="C3300" s="1" t="str">
        <f>HYPERLINK("http://www.rosaceae.org/gb/gbrowse/malus_x_domestica/?name=MDP0000301936","MDP0000301936")</f>
        <v>MDP0000301936</v>
      </c>
      <c r="D3300">
        <v>62.51</v>
      </c>
      <c r="E3300">
        <v>995</v>
      </c>
      <c r="F3300">
        <v>373</v>
      </c>
      <c r="G3300">
        <v>20</v>
      </c>
      <c r="H3300">
        <v>21</v>
      </c>
      <c r="I3300">
        <v>1013</v>
      </c>
      <c r="J3300">
        <v>1</v>
      </c>
      <c r="K3300">
        <v>20</v>
      </c>
      <c r="L3300">
        <v>996</v>
      </c>
      <c r="M3300">
        <v>1</v>
      </c>
      <c r="N3300">
        <v>0</v>
      </c>
      <c r="O3300">
        <v>3023</v>
      </c>
    </row>
    <row r="3301" spans="1:15" x14ac:dyDescent="0.25">
      <c r="A3301" t="s">
        <v>3314</v>
      </c>
      <c r="B3301">
        <v>139</v>
      </c>
      <c r="C3301" s="1" t="str">
        <f>HYPERLINK("http://www.rosaceae.org/gb/gbrowse/malus_x_domestica/?name=MDP0000407995","MDP0000407995")</f>
        <v>MDP0000407995</v>
      </c>
      <c r="D3301">
        <v>79.56</v>
      </c>
      <c r="E3301">
        <v>137</v>
      </c>
      <c r="F3301">
        <v>28</v>
      </c>
      <c r="G3301">
        <v>0</v>
      </c>
      <c r="H3301">
        <v>1</v>
      </c>
      <c r="I3301">
        <v>137</v>
      </c>
      <c r="J3301">
        <v>1</v>
      </c>
      <c r="K3301">
        <v>1</v>
      </c>
      <c r="L3301">
        <v>137</v>
      </c>
      <c r="M3301">
        <v>1</v>
      </c>
      <c r="N3301">
        <v>3.6868299999999999E-64</v>
      </c>
      <c r="O3301">
        <v>612</v>
      </c>
    </row>
    <row r="3302" spans="1:15" x14ac:dyDescent="0.25">
      <c r="A3302" t="s">
        <v>3315</v>
      </c>
      <c r="B3302">
        <v>487</v>
      </c>
      <c r="C3302" s="1" t="str">
        <f>HYPERLINK("http://www.rosaceae.org/gb/gbrowse/malus_x_domestica/?name=MDP0000132406","MDP0000132406")</f>
        <v>MDP0000132406</v>
      </c>
      <c r="D3302">
        <v>36.46</v>
      </c>
      <c r="E3302">
        <v>447</v>
      </c>
      <c r="F3302">
        <v>284</v>
      </c>
      <c r="G3302">
        <v>87</v>
      </c>
      <c r="H3302">
        <v>79</v>
      </c>
      <c r="I3302">
        <v>473</v>
      </c>
      <c r="J3302">
        <v>1</v>
      </c>
      <c r="K3302">
        <v>34</v>
      </c>
      <c r="L3302">
        <v>445</v>
      </c>
      <c r="M3302">
        <v>1</v>
      </c>
      <c r="N3302">
        <v>3.1530100000000001E-54</v>
      </c>
      <c r="O3302">
        <v>534</v>
      </c>
    </row>
    <row r="3303" spans="1:15" x14ac:dyDescent="0.25">
      <c r="A3303" t="s">
        <v>3316</v>
      </c>
      <c r="B3303">
        <v>842</v>
      </c>
      <c r="C3303" s="1" t="str">
        <f>HYPERLINK("http://www.rosaceae.org/gb/gbrowse/malus_x_domestica/?name=MDP0000157039","MDP0000157039")</f>
        <v>MDP0000157039</v>
      </c>
      <c r="D3303">
        <v>80.75</v>
      </c>
      <c r="E3303">
        <v>660</v>
      </c>
      <c r="F3303">
        <v>127</v>
      </c>
      <c r="G3303">
        <v>2</v>
      </c>
      <c r="H3303">
        <v>184</v>
      </c>
      <c r="I3303">
        <v>842</v>
      </c>
      <c r="J3303">
        <v>1</v>
      </c>
      <c r="K3303">
        <v>1</v>
      </c>
      <c r="L3303">
        <v>659</v>
      </c>
      <c r="M3303">
        <v>1</v>
      </c>
      <c r="N3303">
        <v>0</v>
      </c>
      <c r="O3303">
        <v>2840</v>
      </c>
    </row>
    <row r="3304" spans="1:15" x14ac:dyDescent="0.25">
      <c r="A3304" t="s">
        <v>3317</v>
      </c>
      <c r="B3304">
        <v>371</v>
      </c>
      <c r="C3304" s="1" t="str">
        <f>HYPERLINK("http://www.rosaceae.org/gb/gbrowse/malus_x_domestica/?name=MDP0000734607","MDP0000734607")</f>
        <v>MDP0000734607</v>
      </c>
      <c r="D3304">
        <v>74.900000000000006</v>
      </c>
      <c r="E3304">
        <v>271</v>
      </c>
      <c r="F3304">
        <v>68</v>
      </c>
      <c r="G3304">
        <v>2</v>
      </c>
      <c r="H3304">
        <v>71</v>
      </c>
      <c r="I3304">
        <v>341</v>
      </c>
      <c r="J3304">
        <v>1</v>
      </c>
      <c r="K3304">
        <v>14</v>
      </c>
      <c r="L3304">
        <v>282</v>
      </c>
      <c r="M3304">
        <v>1</v>
      </c>
      <c r="N3304">
        <v>2.0442799999999999E-114</v>
      </c>
      <c r="O3304">
        <v>1052</v>
      </c>
    </row>
    <row r="3305" spans="1:15" x14ac:dyDescent="0.25">
      <c r="A3305" t="s">
        <v>3318</v>
      </c>
      <c r="B3305">
        <v>99</v>
      </c>
      <c r="C3305" s="1" t="str">
        <f>HYPERLINK("http://www.rosaceae.org/gb/gbrowse/malus_x_domestica/?name=MDP0000228337","MDP0000228337")</f>
        <v>MDP0000228337</v>
      </c>
      <c r="D3305">
        <v>93.97</v>
      </c>
      <c r="E3305">
        <v>83</v>
      </c>
      <c r="F3305">
        <v>5</v>
      </c>
      <c r="G3305">
        <v>0</v>
      </c>
      <c r="H3305">
        <v>17</v>
      </c>
      <c r="I3305">
        <v>99</v>
      </c>
      <c r="J3305">
        <v>1</v>
      </c>
      <c r="K3305">
        <v>272</v>
      </c>
      <c r="L3305">
        <v>354</v>
      </c>
      <c r="M3305">
        <v>1</v>
      </c>
      <c r="N3305">
        <v>6.6879800000000003E-43</v>
      </c>
      <c r="O3305">
        <v>427</v>
      </c>
    </row>
    <row r="3306" spans="1:15" x14ac:dyDescent="0.25">
      <c r="A3306" t="s">
        <v>3319</v>
      </c>
      <c r="B3306">
        <v>163</v>
      </c>
      <c r="C3306" s="1" t="str">
        <f>HYPERLINK("http://www.rosaceae.org/gb/gbrowse/malus_x_domestica/?name=MDP0000849645","MDP0000849645")</f>
        <v>MDP0000849645</v>
      </c>
      <c r="D3306">
        <v>56.55</v>
      </c>
      <c r="E3306">
        <v>122</v>
      </c>
      <c r="F3306">
        <v>53</v>
      </c>
      <c r="G3306">
        <v>4</v>
      </c>
      <c r="H3306">
        <v>42</v>
      </c>
      <c r="I3306">
        <v>163</v>
      </c>
      <c r="J3306">
        <v>1</v>
      </c>
      <c r="K3306">
        <v>76</v>
      </c>
      <c r="L3306">
        <v>193</v>
      </c>
      <c r="M3306">
        <v>1</v>
      </c>
      <c r="N3306">
        <v>1.71199E-33</v>
      </c>
      <c r="O3306">
        <v>349</v>
      </c>
    </row>
    <row r="3307" spans="1:15" x14ac:dyDescent="0.25">
      <c r="A3307" t="s">
        <v>3320</v>
      </c>
      <c r="B3307">
        <v>160</v>
      </c>
      <c r="C3307" s="1" t="str">
        <f>HYPERLINK("http://www.rosaceae.org/gb/gbrowse/malus_x_domestica/?name=MDP0000533638","MDP0000533638")</f>
        <v>MDP0000533638</v>
      </c>
      <c r="D3307">
        <v>83.75</v>
      </c>
      <c r="E3307">
        <v>160</v>
      </c>
      <c r="F3307">
        <v>26</v>
      </c>
      <c r="G3307">
        <v>1</v>
      </c>
      <c r="H3307">
        <v>1</v>
      </c>
      <c r="I3307">
        <v>160</v>
      </c>
      <c r="J3307">
        <v>1</v>
      </c>
      <c r="K3307">
        <v>1</v>
      </c>
      <c r="L3307">
        <v>159</v>
      </c>
      <c r="M3307">
        <v>1</v>
      </c>
      <c r="N3307">
        <v>1.1784099999999999E-72</v>
      </c>
      <c r="O3307">
        <v>686</v>
      </c>
    </row>
    <row r="3308" spans="1:15" x14ac:dyDescent="0.25">
      <c r="A3308" t="s">
        <v>3321</v>
      </c>
      <c r="B3308">
        <v>393</v>
      </c>
      <c r="C3308" s="1" t="str">
        <f>HYPERLINK("http://www.rosaceae.org/gb/gbrowse/malus_x_domestica/?name=MDP0000237883","MDP0000237883")</f>
        <v>MDP0000237883</v>
      </c>
      <c r="D3308">
        <v>79.180000000000007</v>
      </c>
      <c r="E3308">
        <v>370</v>
      </c>
      <c r="F3308">
        <v>77</v>
      </c>
      <c r="G3308">
        <v>3</v>
      </c>
      <c r="H3308">
        <v>27</v>
      </c>
      <c r="I3308">
        <v>393</v>
      </c>
      <c r="J3308">
        <v>1</v>
      </c>
      <c r="K3308">
        <v>26</v>
      </c>
      <c r="L3308">
        <v>395</v>
      </c>
      <c r="M3308">
        <v>1</v>
      </c>
      <c r="N3308">
        <v>2.6628400000000002E-167</v>
      </c>
      <c r="O3308">
        <v>1508</v>
      </c>
    </row>
    <row r="3309" spans="1:15" x14ac:dyDescent="0.25">
      <c r="A3309" t="s">
        <v>3322</v>
      </c>
      <c r="B3309">
        <v>261</v>
      </c>
      <c r="C3309" s="1" t="str">
        <f>HYPERLINK("http://www.rosaceae.org/gb/gbrowse/malus_x_domestica/?name=MDP0000489213","MDP0000489213")</f>
        <v>MDP0000489213</v>
      </c>
      <c r="D3309">
        <v>88.23</v>
      </c>
      <c r="E3309">
        <v>34</v>
      </c>
      <c r="F3309">
        <v>4</v>
      </c>
      <c r="G3309">
        <v>0</v>
      </c>
      <c r="H3309">
        <v>11</v>
      </c>
      <c r="I3309">
        <v>44</v>
      </c>
      <c r="J3309">
        <v>1</v>
      </c>
      <c r="K3309">
        <v>120</v>
      </c>
      <c r="L3309">
        <v>153</v>
      </c>
      <c r="M3309">
        <v>1</v>
      </c>
      <c r="N3309">
        <v>1.21326E-10</v>
      </c>
      <c r="O3309">
        <v>155</v>
      </c>
    </row>
    <row r="3310" spans="1:15" x14ac:dyDescent="0.25">
      <c r="A3310" t="s">
        <v>3323</v>
      </c>
      <c r="B3310">
        <v>142</v>
      </c>
      <c r="C3310" s="1" t="str">
        <f>HYPERLINK("http://www.rosaceae.org/gb/gbrowse/malus_x_domestica/?name=MDP0000691215","MDP0000691215")</f>
        <v>MDP0000691215</v>
      </c>
      <c r="D3310">
        <v>66.27</v>
      </c>
      <c r="E3310">
        <v>172</v>
      </c>
      <c r="F3310">
        <v>58</v>
      </c>
      <c r="G3310">
        <v>39</v>
      </c>
      <c r="H3310">
        <v>6</v>
      </c>
      <c r="I3310">
        <v>138</v>
      </c>
      <c r="J3310">
        <v>1</v>
      </c>
      <c r="K3310">
        <v>79</v>
      </c>
      <c r="L3310">
        <v>250</v>
      </c>
      <c r="M3310">
        <v>1</v>
      </c>
      <c r="N3310">
        <v>2.3270700000000002E-56</v>
      </c>
      <c r="O3310">
        <v>545</v>
      </c>
    </row>
    <row r="3311" spans="1:15" x14ac:dyDescent="0.25">
      <c r="A3311" t="s">
        <v>3324</v>
      </c>
      <c r="B3311">
        <v>581</v>
      </c>
      <c r="C3311" s="1" t="str">
        <f>HYPERLINK("http://www.rosaceae.org/gb/gbrowse/malus_x_domestica/?name=MDP0000266381","MDP0000266381")</f>
        <v>MDP0000266381</v>
      </c>
      <c r="D3311">
        <v>63.32</v>
      </c>
      <c r="E3311">
        <v>379</v>
      </c>
      <c r="F3311">
        <v>139</v>
      </c>
      <c r="G3311">
        <v>26</v>
      </c>
      <c r="H3311">
        <v>59</v>
      </c>
      <c r="I3311">
        <v>430</v>
      </c>
      <c r="J3311">
        <v>1</v>
      </c>
      <c r="K3311">
        <v>72</v>
      </c>
      <c r="L3311">
        <v>431</v>
      </c>
      <c r="M3311">
        <v>1</v>
      </c>
      <c r="N3311">
        <v>6.24217E-118</v>
      </c>
      <c r="O3311">
        <v>1084</v>
      </c>
    </row>
    <row r="3312" spans="1:15" x14ac:dyDescent="0.25">
      <c r="A3312" t="s">
        <v>3325</v>
      </c>
      <c r="B3312">
        <v>870</v>
      </c>
      <c r="C3312" s="1" t="str">
        <f>HYPERLINK("http://www.rosaceae.org/gb/gbrowse/malus_x_domestica/?name=MDP0000136087","MDP0000136087")</f>
        <v>MDP0000136087</v>
      </c>
      <c r="D3312">
        <v>82.06</v>
      </c>
      <c r="E3312">
        <v>842</v>
      </c>
      <c r="F3312">
        <v>151</v>
      </c>
      <c r="G3312">
        <v>13</v>
      </c>
      <c r="H3312">
        <v>12</v>
      </c>
      <c r="I3312">
        <v>840</v>
      </c>
      <c r="J3312">
        <v>1</v>
      </c>
      <c r="K3312">
        <v>11</v>
      </c>
      <c r="L3312">
        <v>852</v>
      </c>
      <c r="M3312">
        <v>1</v>
      </c>
      <c r="N3312">
        <v>0</v>
      </c>
      <c r="O3312">
        <v>3640</v>
      </c>
    </row>
    <row r="3313" spans="1:15" x14ac:dyDescent="0.25">
      <c r="A3313" t="s">
        <v>3326</v>
      </c>
      <c r="B3313">
        <v>307</v>
      </c>
      <c r="C3313" s="1" t="str">
        <f>HYPERLINK("http://www.rosaceae.org/gb/gbrowse/malus_x_domestica/?name=MDP0000119134","MDP0000119134")</f>
        <v>MDP0000119134</v>
      </c>
      <c r="D3313">
        <v>69.599999999999994</v>
      </c>
      <c r="E3313">
        <v>306</v>
      </c>
      <c r="F3313">
        <v>93</v>
      </c>
      <c r="G3313">
        <v>13</v>
      </c>
      <c r="H3313">
        <v>10</v>
      </c>
      <c r="I3313">
        <v>302</v>
      </c>
      <c r="J3313">
        <v>1</v>
      </c>
      <c r="K3313">
        <v>88</v>
      </c>
      <c r="L3313">
        <v>393</v>
      </c>
      <c r="M3313">
        <v>1</v>
      </c>
      <c r="N3313">
        <v>3.0994400000000002E-120</v>
      </c>
      <c r="O3313">
        <v>1101</v>
      </c>
    </row>
    <row r="3314" spans="1:15" x14ac:dyDescent="0.25">
      <c r="A3314" t="s">
        <v>3327</v>
      </c>
      <c r="B3314">
        <v>133</v>
      </c>
      <c r="C3314" s="1" t="str">
        <f>HYPERLINK("http://www.rosaceae.org/gb/gbrowse/malus_x_domestica/?name=MDP0000752795","MDP0000752795")</f>
        <v>MDP0000752795</v>
      </c>
      <c r="D3314">
        <v>84.9</v>
      </c>
      <c r="E3314">
        <v>106</v>
      </c>
      <c r="F3314">
        <v>16</v>
      </c>
      <c r="G3314">
        <v>0</v>
      </c>
      <c r="H3314">
        <v>28</v>
      </c>
      <c r="I3314">
        <v>133</v>
      </c>
      <c r="J3314">
        <v>1</v>
      </c>
      <c r="K3314">
        <v>26</v>
      </c>
      <c r="L3314">
        <v>131</v>
      </c>
      <c r="M3314">
        <v>1</v>
      </c>
      <c r="N3314">
        <v>1.5501300000000001E-49</v>
      </c>
      <c r="O3314">
        <v>485</v>
      </c>
    </row>
    <row r="3315" spans="1:15" x14ac:dyDescent="0.25">
      <c r="A3315" t="s">
        <v>3328</v>
      </c>
      <c r="B3315">
        <v>211</v>
      </c>
      <c r="C3315" s="1" t="str">
        <f>HYPERLINK("http://www.rosaceae.org/gb/gbrowse/malus_x_domestica/?name=MDP0000301166","MDP0000301166")</f>
        <v>MDP0000301166</v>
      </c>
      <c r="D3315">
        <v>72.13</v>
      </c>
      <c r="E3315">
        <v>201</v>
      </c>
      <c r="F3315">
        <v>56</v>
      </c>
      <c r="G3315">
        <v>3</v>
      </c>
      <c r="H3315">
        <v>1</v>
      </c>
      <c r="I3315">
        <v>201</v>
      </c>
      <c r="J3315">
        <v>1</v>
      </c>
      <c r="K3315">
        <v>1</v>
      </c>
      <c r="L3315">
        <v>198</v>
      </c>
      <c r="M3315">
        <v>1</v>
      </c>
      <c r="N3315">
        <v>7.28543E-76</v>
      </c>
      <c r="O3315">
        <v>716</v>
      </c>
    </row>
    <row r="3316" spans="1:15" x14ac:dyDescent="0.25">
      <c r="A3316" t="s">
        <v>3329</v>
      </c>
      <c r="B3316">
        <v>402</v>
      </c>
      <c r="C3316" s="1" t="str">
        <f>HYPERLINK("http://www.rosaceae.org/gb/gbrowse/malus_x_domestica/?name=MDP0000762302","MDP0000762302")</f>
        <v>MDP0000762302</v>
      </c>
      <c r="D3316">
        <v>70</v>
      </c>
      <c r="E3316">
        <v>410</v>
      </c>
      <c r="F3316">
        <v>123</v>
      </c>
      <c r="G3316">
        <v>21</v>
      </c>
      <c r="H3316">
        <v>3</v>
      </c>
      <c r="I3316">
        <v>402</v>
      </c>
      <c r="J3316">
        <v>1</v>
      </c>
      <c r="K3316">
        <v>2</v>
      </c>
      <c r="L3316">
        <v>400</v>
      </c>
      <c r="M3316">
        <v>1</v>
      </c>
      <c r="N3316">
        <v>3.51531E-154</v>
      </c>
      <c r="O3316">
        <v>1395</v>
      </c>
    </row>
    <row r="3317" spans="1:15" x14ac:dyDescent="0.25">
      <c r="A3317" t="s">
        <v>3330</v>
      </c>
      <c r="B3317">
        <v>427</v>
      </c>
      <c r="C3317" s="1" t="str">
        <f>HYPERLINK("http://www.rosaceae.org/gb/gbrowse/malus_x_domestica/?name=MDP0000500222","MDP0000500222")</f>
        <v>MDP0000500222</v>
      </c>
      <c r="D3317">
        <v>39.840000000000003</v>
      </c>
      <c r="E3317">
        <v>379</v>
      </c>
      <c r="F3317">
        <v>228</v>
      </c>
      <c r="G3317">
        <v>62</v>
      </c>
      <c r="H3317">
        <v>48</v>
      </c>
      <c r="I3317">
        <v>420</v>
      </c>
      <c r="J3317">
        <v>1</v>
      </c>
      <c r="K3317">
        <v>62</v>
      </c>
      <c r="L3317">
        <v>384</v>
      </c>
      <c r="M3317">
        <v>1</v>
      </c>
      <c r="N3317">
        <v>1.13101E-57</v>
      </c>
      <c r="O3317">
        <v>563</v>
      </c>
    </row>
    <row r="3318" spans="1:15" x14ac:dyDescent="0.25">
      <c r="A3318" t="s">
        <v>3331</v>
      </c>
      <c r="B3318">
        <v>361</v>
      </c>
      <c r="C3318" s="1" t="str">
        <f>HYPERLINK("http://www.rosaceae.org/gb/gbrowse/malus_x_domestica/?name=MDP0000152179","MDP0000152179")</f>
        <v>MDP0000152179</v>
      </c>
      <c r="D3318">
        <v>30.76</v>
      </c>
      <c r="E3318">
        <v>260</v>
      </c>
      <c r="F3318">
        <v>180</v>
      </c>
      <c r="G3318">
        <v>50</v>
      </c>
      <c r="H3318">
        <v>91</v>
      </c>
      <c r="I3318">
        <v>344</v>
      </c>
      <c r="J3318">
        <v>1</v>
      </c>
      <c r="K3318">
        <v>138</v>
      </c>
      <c r="L3318">
        <v>353</v>
      </c>
      <c r="M3318">
        <v>1</v>
      </c>
      <c r="N3318">
        <v>1.7408400000000001E-18</v>
      </c>
      <c r="O3318">
        <v>224</v>
      </c>
    </row>
    <row r="3319" spans="1:15" x14ac:dyDescent="0.25">
      <c r="A3319" t="s">
        <v>3332</v>
      </c>
      <c r="B3319">
        <v>792</v>
      </c>
      <c r="C3319" s="1" t="str">
        <f>HYPERLINK("http://www.rosaceae.org/gb/gbrowse/malus_x_domestica/?name=MDP0000295212","MDP0000295212")</f>
        <v>MDP0000295212</v>
      </c>
      <c r="D3319">
        <v>69.16</v>
      </c>
      <c r="E3319">
        <v>227</v>
      </c>
      <c r="F3319">
        <v>70</v>
      </c>
      <c r="G3319">
        <v>2</v>
      </c>
      <c r="H3319">
        <v>561</v>
      </c>
      <c r="I3319">
        <v>786</v>
      </c>
      <c r="J3319">
        <v>1</v>
      </c>
      <c r="K3319">
        <v>40</v>
      </c>
      <c r="L3319">
        <v>265</v>
      </c>
      <c r="M3319">
        <v>1</v>
      </c>
      <c r="N3319">
        <v>1.20666E-89</v>
      </c>
      <c r="O3319">
        <v>842</v>
      </c>
    </row>
    <row r="3320" spans="1:15" x14ac:dyDescent="0.25">
      <c r="A3320" t="s">
        <v>3333</v>
      </c>
      <c r="B3320">
        <v>384</v>
      </c>
      <c r="C3320" s="1" t="str">
        <f>HYPERLINK("http://www.rosaceae.org/gb/gbrowse/malus_x_domestica/?name=MDP0000221204","MDP0000221204")</f>
        <v>MDP0000221204</v>
      </c>
      <c r="D3320">
        <v>67.75</v>
      </c>
      <c r="E3320">
        <v>366</v>
      </c>
      <c r="F3320">
        <v>118</v>
      </c>
      <c r="G3320">
        <v>2</v>
      </c>
      <c r="H3320">
        <v>1</v>
      </c>
      <c r="I3320">
        <v>366</v>
      </c>
      <c r="J3320">
        <v>1</v>
      </c>
      <c r="K3320">
        <v>1</v>
      </c>
      <c r="L3320">
        <v>364</v>
      </c>
      <c r="M3320">
        <v>1</v>
      </c>
      <c r="N3320">
        <v>8.1473799999999997E-143</v>
      </c>
      <c r="O3320">
        <v>1297</v>
      </c>
    </row>
    <row r="3321" spans="1:15" x14ac:dyDescent="0.25">
      <c r="A3321" t="s">
        <v>3334</v>
      </c>
      <c r="B3321">
        <v>851</v>
      </c>
      <c r="C3321" s="1" t="str">
        <f>HYPERLINK("http://www.rosaceae.org/gb/gbrowse/malus_x_domestica/?name=MDP0000247367","MDP0000247367")</f>
        <v>MDP0000247367</v>
      </c>
      <c r="D3321">
        <v>58.11</v>
      </c>
      <c r="E3321">
        <v>542</v>
      </c>
      <c r="F3321">
        <v>227</v>
      </c>
      <c r="G3321">
        <v>55</v>
      </c>
      <c r="H3321">
        <v>1</v>
      </c>
      <c r="I3321">
        <v>533</v>
      </c>
      <c r="J3321">
        <v>1</v>
      </c>
      <c r="K3321">
        <v>1</v>
      </c>
      <c r="L3321">
        <v>496</v>
      </c>
      <c r="M3321">
        <v>1</v>
      </c>
      <c r="N3321">
        <v>8.2803300000000005E-161</v>
      </c>
      <c r="O3321">
        <v>1456</v>
      </c>
    </row>
    <row r="3322" spans="1:15" x14ac:dyDescent="0.25">
      <c r="A3322" t="s">
        <v>3335</v>
      </c>
      <c r="B3322">
        <v>333</v>
      </c>
      <c r="C3322" s="1" t="str">
        <f>HYPERLINK("http://www.rosaceae.org/gb/gbrowse/malus_x_domestica/?name=MDP0000808501","MDP0000808501")</f>
        <v>MDP0000808501</v>
      </c>
      <c r="D3322">
        <v>33.159999999999997</v>
      </c>
      <c r="E3322">
        <v>398</v>
      </c>
      <c r="F3322">
        <v>266</v>
      </c>
      <c r="G3322">
        <v>90</v>
      </c>
      <c r="H3322">
        <v>17</v>
      </c>
      <c r="I3322">
        <v>333</v>
      </c>
      <c r="J3322">
        <v>1</v>
      </c>
      <c r="K3322">
        <v>10</v>
      </c>
      <c r="L3322">
        <v>398</v>
      </c>
      <c r="M3322">
        <v>1</v>
      </c>
      <c r="N3322">
        <v>1.1782800000000001E-43</v>
      </c>
      <c r="O3322">
        <v>441</v>
      </c>
    </row>
    <row r="3323" spans="1:15" x14ac:dyDescent="0.25">
      <c r="A3323" t="s">
        <v>3336</v>
      </c>
      <c r="B3323">
        <v>374</v>
      </c>
      <c r="C3323" s="1" t="str">
        <f>HYPERLINK("http://www.rosaceae.org/gb/gbrowse/malus_x_domestica/?name=MDP0000878686","MDP0000878686")</f>
        <v>MDP0000878686</v>
      </c>
      <c r="D3323">
        <v>41.7</v>
      </c>
      <c r="E3323">
        <v>386</v>
      </c>
      <c r="F3323">
        <v>225</v>
      </c>
      <c r="G3323">
        <v>28</v>
      </c>
      <c r="H3323">
        <v>5</v>
      </c>
      <c r="I3323">
        <v>374</v>
      </c>
      <c r="J3323">
        <v>1</v>
      </c>
      <c r="K3323">
        <v>3</v>
      </c>
      <c r="L3323">
        <v>376</v>
      </c>
      <c r="M3323">
        <v>1</v>
      </c>
      <c r="N3323">
        <v>3.26217E-66</v>
      </c>
      <c r="O3323">
        <v>636</v>
      </c>
    </row>
    <row r="3324" spans="1:15" x14ac:dyDescent="0.25">
      <c r="A3324" t="s">
        <v>3337</v>
      </c>
      <c r="B3324">
        <v>535</v>
      </c>
      <c r="C3324" s="1" t="str">
        <f>HYPERLINK("http://www.rosaceae.org/gb/gbrowse/malus_x_domestica/?name=MDP0000857857","MDP0000857857")</f>
        <v>MDP0000857857</v>
      </c>
      <c r="D3324">
        <v>78.58</v>
      </c>
      <c r="E3324">
        <v>579</v>
      </c>
      <c r="F3324">
        <v>124</v>
      </c>
      <c r="G3324">
        <v>57</v>
      </c>
      <c r="H3324">
        <v>13</v>
      </c>
      <c r="I3324">
        <v>534</v>
      </c>
      <c r="J3324">
        <v>1</v>
      </c>
      <c r="K3324">
        <v>14</v>
      </c>
      <c r="L3324">
        <v>592</v>
      </c>
      <c r="M3324">
        <v>1</v>
      </c>
      <c r="N3324">
        <v>0</v>
      </c>
      <c r="O3324">
        <v>2389</v>
      </c>
    </row>
    <row r="3325" spans="1:15" x14ac:dyDescent="0.25">
      <c r="A3325" t="s">
        <v>3338</v>
      </c>
      <c r="B3325">
        <v>433</v>
      </c>
      <c r="C3325" s="1" t="str">
        <f>HYPERLINK("http://www.rosaceae.org/gb/gbrowse/malus_x_domestica/?name=MDP0000843803","MDP0000843803")</f>
        <v>MDP0000843803</v>
      </c>
      <c r="D3325">
        <v>29.34</v>
      </c>
      <c r="E3325">
        <v>184</v>
      </c>
      <c r="F3325">
        <v>130</v>
      </c>
      <c r="G3325">
        <v>26</v>
      </c>
      <c r="H3325">
        <v>25</v>
      </c>
      <c r="I3325">
        <v>203</v>
      </c>
      <c r="J3325">
        <v>1</v>
      </c>
      <c r="K3325">
        <v>36</v>
      </c>
      <c r="L3325">
        <v>198</v>
      </c>
      <c r="M3325">
        <v>1</v>
      </c>
      <c r="N3325">
        <v>1.0753899999999999E-7</v>
      </c>
      <c r="O3325">
        <v>132</v>
      </c>
    </row>
    <row r="3326" spans="1:15" x14ac:dyDescent="0.25">
      <c r="A3326" t="s">
        <v>3339</v>
      </c>
      <c r="B3326">
        <v>195</v>
      </c>
      <c r="C3326" s="1" t="str">
        <f>HYPERLINK("http://www.rosaceae.org/gb/gbrowse/malus_x_domestica/?name=MDP0000202144","MDP0000202144")</f>
        <v>MDP0000202144</v>
      </c>
      <c r="D3326">
        <v>46.89</v>
      </c>
      <c r="E3326">
        <v>177</v>
      </c>
      <c r="F3326">
        <v>94</v>
      </c>
      <c r="G3326">
        <v>4</v>
      </c>
      <c r="H3326">
        <v>7</v>
      </c>
      <c r="I3326">
        <v>179</v>
      </c>
      <c r="J3326">
        <v>1</v>
      </c>
      <c r="K3326">
        <v>19</v>
      </c>
      <c r="L3326">
        <v>195</v>
      </c>
      <c r="M3326">
        <v>1</v>
      </c>
      <c r="N3326">
        <v>2.2338E-44</v>
      </c>
      <c r="O3326">
        <v>444</v>
      </c>
    </row>
    <row r="3327" spans="1:15" x14ac:dyDescent="0.25">
      <c r="A3327" t="s">
        <v>3340</v>
      </c>
      <c r="B3327">
        <v>374</v>
      </c>
      <c r="C3327" s="1" t="str">
        <f>HYPERLINK("http://www.rosaceae.org/gb/gbrowse/malus_x_domestica/?name=MDP0000410417","MDP0000410417")</f>
        <v>MDP0000410417</v>
      </c>
      <c r="D3327">
        <v>69.540000000000006</v>
      </c>
      <c r="E3327">
        <v>348</v>
      </c>
      <c r="F3327">
        <v>106</v>
      </c>
      <c r="G3327">
        <v>10</v>
      </c>
      <c r="H3327">
        <v>32</v>
      </c>
      <c r="I3327">
        <v>374</v>
      </c>
      <c r="J3327">
        <v>1</v>
      </c>
      <c r="K3327">
        <v>43</v>
      </c>
      <c r="L3327">
        <v>385</v>
      </c>
      <c r="M3327">
        <v>1</v>
      </c>
      <c r="N3327">
        <v>5.9339899999999997E-132</v>
      </c>
      <c r="O3327">
        <v>1203</v>
      </c>
    </row>
    <row r="3328" spans="1:15" x14ac:dyDescent="0.25">
      <c r="A3328" t="s">
        <v>3341</v>
      </c>
      <c r="B3328">
        <v>115</v>
      </c>
      <c r="C3328" s="1" t="str">
        <f>HYPERLINK("http://www.rosaceae.org/gb/gbrowse/malus_x_domestica/?name=MDP0000497158","MDP0000497158")</f>
        <v>MDP0000497158</v>
      </c>
      <c r="D3328">
        <v>84.52</v>
      </c>
      <c r="E3328">
        <v>84</v>
      </c>
      <c r="F3328">
        <v>13</v>
      </c>
      <c r="G3328">
        <v>1</v>
      </c>
      <c r="H3328">
        <v>19</v>
      </c>
      <c r="I3328">
        <v>102</v>
      </c>
      <c r="J3328">
        <v>1</v>
      </c>
      <c r="K3328">
        <v>94</v>
      </c>
      <c r="L3328">
        <v>176</v>
      </c>
      <c r="M3328">
        <v>1</v>
      </c>
      <c r="N3328">
        <v>9.3597000000000001E-37</v>
      </c>
      <c r="O3328">
        <v>374</v>
      </c>
    </row>
    <row r="3329" spans="1:15" x14ac:dyDescent="0.25">
      <c r="A3329" t="s">
        <v>3342</v>
      </c>
      <c r="B3329">
        <v>648</v>
      </c>
      <c r="C3329" s="1" t="str">
        <f>HYPERLINK("http://www.rosaceae.org/gb/gbrowse/malus_x_domestica/?name=MDP0000175030","MDP0000175030")</f>
        <v>MDP0000175030</v>
      </c>
      <c r="D3329">
        <v>69.03</v>
      </c>
      <c r="E3329">
        <v>675</v>
      </c>
      <c r="F3329">
        <v>209</v>
      </c>
      <c r="G3329">
        <v>57</v>
      </c>
      <c r="H3329">
        <v>1</v>
      </c>
      <c r="I3329">
        <v>648</v>
      </c>
      <c r="J3329">
        <v>1</v>
      </c>
      <c r="K3329">
        <v>1</v>
      </c>
      <c r="L3329">
        <v>645</v>
      </c>
      <c r="M3329">
        <v>1</v>
      </c>
      <c r="N3329">
        <v>0</v>
      </c>
      <c r="O3329">
        <v>2245</v>
      </c>
    </row>
    <row r="3330" spans="1:15" x14ac:dyDescent="0.25">
      <c r="A3330" t="s">
        <v>3343</v>
      </c>
      <c r="B3330">
        <v>105</v>
      </c>
      <c r="C3330" s="1" t="str">
        <f>HYPERLINK("http://www.rosaceae.org/gb/gbrowse/malus_x_domestica/?name=MDP0000623090","MDP0000623090")</f>
        <v>MDP0000623090</v>
      </c>
      <c r="D3330">
        <v>58.24</v>
      </c>
      <c r="E3330">
        <v>91</v>
      </c>
      <c r="F3330">
        <v>38</v>
      </c>
      <c r="G3330">
        <v>2</v>
      </c>
      <c r="H3330">
        <v>3</v>
      </c>
      <c r="I3330">
        <v>92</v>
      </c>
      <c r="J3330">
        <v>1</v>
      </c>
      <c r="K3330">
        <v>129</v>
      </c>
      <c r="L3330">
        <v>218</v>
      </c>
      <c r="M3330">
        <v>1</v>
      </c>
      <c r="N3330">
        <v>1.7846599999999999E-22</v>
      </c>
      <c r="O3330">
        <v>251</v>
      </c>
    </row>
    <row r="3331" spans="1:15" x14ac:dyDescent="0.25">
      <c r="A3331" t="s">
        <v>3344</v>
      </c>
      <c r="B3331">
        <v>454</v>
      </c>
      <c r="C3331" s="1" t="str">
        <f>HYPERLINK("http://www.rosaceae.org/gb/gbrowse/malus_x_domestica/?name=MDP0000301010","MDP0000301010")</f>
        <v>MDP0000301010</v>
      </c>
      <c r="D3331">
        <v>82.8</v>
      </c>
      <c r="E3331">
        <v>477</v>
      </c>
      <c r="F3331">
        <v>82</v>
      </c>
      <c r="G3331">
        <v>27</v>
      </c>
      <c r="H3331">
        <v>1</v>
      </c>
      <c r="I3331">
        <v>454</v>
      </c>
      <c r="J3331">
        <v>1</v>
      </c>
      <c r="K3331">
        <v>1</v>
      </c>
      <c r="L3331">
        <v>473</v>
      </c>
      <c r="M3331">
        <v>1</v>
      </c>
      <c r="N3331">
        <v>0</v>
      </c>
      <c r="O3331">
        <v>2027</v>
      </c>
    </row>
    <row r="3332" spans="1:15" x14ac:dyDescent="0.25">
      <c r="A3332" t="s">
        <v>3345</v>
      </c>
      <c r="B3332">
        <v>256</v>
      </c>
      <c r="C3332" s="1" t="str">
        <f>HYPERLINK("http://www.rosaceae.org/gb/gbrowse/malus_x_domestica/?name=MDP0000134342","MDP0000134342")</f>
        <v>MDP0000134342</v>
      </c>
      <c r="D3332">
        <v>83.69</v>
      </c>
      <c r="E3332">
        <v>233</v>
      </c>
      <c r="F3332">
        <v>38</v>
      </c>
      <c r="G3332">
        <v>0</v>
      </c>
      <c r="H3332">
        <v>19</v>
      </c>
      <c r="I3332">
        <v>251</v>
      </c>
      <c r="J3332">
        <v>1</v>
      </c>
      <c r="K3332">
        <v>19</v>
      </c>
      <c r="L3332">
        <v>251</v>
      </c>
      <c r="M3332">
        <v>1</v>
      </c>
      <c r="N3332">
        <v>2.0433800000000001E-117</v>
      </c>
      <c r="O3332">
        <v>1076</v>
      </c>
    </row>
    <row r="3333" spans="1:15" x14ac:dyDescent="0.25">
      <c r="A3333" t="s">
        <v>3346</v>
      </c>
      <c r="B3333">
        <v>664</v>
      </c>
      <c r="C3333" s="1" t="str">
        <f>HYPERLINK("http://www.rosaceae.org/gb/gbrowse/malus_x_domestica/?name=MDP0000323883","MDP0000323883")</f>
        <v>MDP0000323883</v>
      </c>
      <c r="D3333">
        <v>88.4</v>
      </c>
      <c r="E3333">
        <v>664</v>
      </c>
      <c r="F3333">
        <v>77</v>
      </c>
      <c r="G3333">
        <v>0</v>
      </c>
      <c r="H3333">
        <v>1</v>
      </c>
      <c r="I3333">
        <v>664</v>
      </c>
      <c r="J3333">
        <v>1</v>
      </c>
      <c r="K3333">
        <v>1</v>
      </c>
      <c r="L3333">
        <v>664</v>
      </c>
      <c r="M3333">
        <v>1</v>
      </c>
      <c r="N3333">
        <v>0</v>
      </c>
      <c r="O3333">
        <v>3234</v>
      </c>
    </row>
    <row r="3334" spans="1:15" x14ac:dyDescent="0.25">
      <c r="A3334" t="s">
        <v>3347</v>
      </c>
      <c r="B3334">
        <v>467</v>
      </c>
      <c r="C3334" s="1" t="str">
        <f>HYPERLINK("http://www.rosaceae.org/gb/gbrowse/malus_x_domestica/?name=MDP0000477923","MDP0000477923")</f>
        <v>MDP0000477923</v>
      </c>
      <c r="D3334">
        <v>35.619999999999997</v>
      </c>
      <c r="E3334">
        <v>306</v>
      </c>
      <c r="F3334">
        <v>197</v>
      </c>
      <c r="G3334">
        <v>47</v>
      </c>
      <c r="H3334">
        <v>38</v>
      </c>
      <c r="I3334">
        <v>308</v>
      </c>
      <c r="J3334">
        <v>1</v>
      </c>
      <c r="K3334">
        <v>31</v>
      </c>
      <c r="L3334">
        <v>324</v>
      </c>
      <c r="M3334">
        <v>1</v>
      </c>
      <c r="N3334">
        <v>1.8921299999999999E-46</v>
      </c>
      <c r="O3334">
        <v>467</v>
      </c>
    </row>
    <row r="3335" spans="1:15" x14ac:dyDescent="0.25">
      <c r="A3335" t="s">
        <v>3348</v>
      </c>
      <c r="B3335">
        <v>145</v>
      </c>
      <c r="C3335" s="1" t="str">
        <f>HYPERLINK("http://www.rosaceae.org/gb/gbrowse/malus_x_domestica/?name=MDP0000167012","MDP0000167012")</f>
        <v>MDP0000167012</v>
      </c>
      <c r="D3335">
        <v>88.51</v>
      </c>
      <c r="E3335">
        <v>148</v>
      </c>
      <c r="F3335">
        <v>17</v>
      </c>
      <c r="G3335">
        <v>3</v>
      </c>
      <c r="H3335">
        <v>1</v>
      </c>
      <c r="I3335">
        <v>145</v>
      </c>
      <c r="J3335">
        <v>1</v>
      </c>
      <c r="K3335">
        <v>496</v>
      </c>
      <c r="L3335">
        <v>643</v>
      </c>
      <c r="M3335">
        <v>1</v>
      </c>
      <c r="N3335">
        <v>5.0508899999999999E-70</v>
      </c>
      <c r="O3335">
        <v>663</v>
      </c>
    </row>
    <row r="3336" spans="1:15" x14ac:dyDescent="0.25">
      <c r="A3336" t="s">
        <v>3349</v>
      </c>
      <c r="B3336">
        <v>446</v>
      </c>
      <c r="C3336" s="1" t="str">
        <f>HYPERLINK("http://www.rosaceae.org/gb/gbrowse/malus_x_domestica/?name=MDP0000266360","MDP0000266360")</f>
        <v>MDP0000266360</v>
      </c>
      <c r="D3336">
        <v>89.01</v>
      </c>
      <c r="E3336">
        <v>446</v>
      </c>
      <c r="F3336">
        <v>49</v>
      </c>
      <c r="G3336">
        <v>5</v>
      </c>
      <c r="H3336">
        <v>1</v>
      </c>
      <c r="I3336">
        <v>446</v>
      </c>
      <c r="J3336">
        <v>1</v>
      </c>
      <c r="K3336">
        <v>1</v>
      </c>
      <c r="L3336">
        <v>441</v>
      </c>
      <c r="M3336">
        <v>1</v>
      </c>
      <c r="N3336">
        <v>0</v>
      </c>
      <c r="O3336">
        <v>2139</v>
      </c>
    </row>
    <row r="3337" spans="1:15" x14ac:dyDescent="0.25">
      <c r="A3337" t="s">
        <v>3350</v>
      </c>
      <c r="B3337">
        <v>187</v>
      </c>
      <c r="C3337" s="1" t="str">
        <f>HYPERLINK("http://www.rosaceae.org/gb/gbrowse/malus_x_domestica/?name=MDP0000700517","MDP0000700517")</f>
        <v>MDP0000700517</v>
      </c>
      <c r="D3337">
        <v>29.65</v>
      </c>
      <c r="E3337">
        <v>145</v>
      </c>
      <c r="F3337">
        <v>102</v>
      </c>
      <c r="G3337">
        <v>7</v>
      </c>
      <c r="H3337">
        <v>1</v>
      </c>
      <c r="I3337">
        <v>138</v>
      </c>
      <c r="J3337">
        <v>1</v>
      </c>
      <c r="K3337">
        <v>183</v>
      </c>
      <c r="L3337">
        <v>327</v>
      </c>
      <c r="M3337">
        <v>1</v>
      </c>
      <c r="N3337">
        <v>6.5247100000000003E-15</v>
      </c>
      <c r="O3337">
        <v>190</v>
      </c>
    </row>
    <row r="3338" spans="1:15" x14ac:dyDescent="0.25">
      <c r="A3338" t="s">
        <v>3351</v>
      </c>
      <c r="B3338">
        <v>177</v>
      </c>
      <c r="C3338" s="1" t="str">
        <f>HYPERLINK("http://www.rosaceae.org/gb/gbrowse/malus_x_domestica/?name=MDP0000128658","MDP0000128658")</f>
        <v>MDP0000128658</v>
      </c>
      <c r="D3338">
        <v>37.659999999999997</v>
      </c>
      <c r="E3338">
        <v>77</v>
      </c>
      <c r="F3338">
        <v>48</v>
      </c>
      <c r="G3338">
        <v>9</v>
      </c>
      <c r="H3338">
        <v>24</v>
      </c>
      <c r="I3338">
        <v>93</v>
      </c>
      <c r="J3338">
        <v>1</v>
      </c>
      <c r="K3338">
        <v>35</v>
      </c>
      <c r="L3338">
        <v>109</v>
      </c>
      <c r="M3338">
        <v>1</v>
      </c>
      <c r="N3338">
        <v>2.8129299999999998E-7</v>
      </c>
      <c r="O3338">
        <v>123</v>
      </c>
    </row>
    <row r="3339" spans="1:15" x14ac:dyDescent="0.25">
      <c r="A3339" t="s">
        <v>3352</v>
      </c>
      <c r="B3339">
        <v>210</v>
      </c>
      <c r="C3339" s="1" t="str">
        <f>HYPERLINK("http://www.rosaceae.org/gb/gbrowse/malus_x_domestica/?name=MDP0000154049","MDP0000154049")</f>
        <v>MDP0000154049</v>
      </c>
      <c r="D3339">
        <v>64.510000000000005</v>
      </c>
      <c r="E3339">
        <v>93</v>
      </c>
      <c r="F3339">
        <v>33</v>
      </c>
      <c r="G3339">
        <v>1</v>
      </c>
      <c r="H3339">
        <v>1</v>
      </c>
      <c r="I3339">
        <v>93</v>
      </c>
      <c r="J3339">
        <v>1</v>
      </c>
      <c r="K3339">
        <v>31</v>
      </c>
      <c r="L3339">
        <v>122</v>
      </c>
      <c r="M3339">
        <v>1</v>
      </c>
      <c r="N3339">
        <v>1.8623999999999999E-30</v>
      </c>
      <c r="O3339">
        <v>325</v>
      </c>
    </row>
    <row r="3340" spans="1:15" x14ac:dyDescent="0.25">
      <c r="A3340" t="s">
        <v>3353</v>
      </c>
      <c r="B3340">
        <v>881</v>
      </c>
      <c r="C3340" s="1" t="str">
        <f>HYPERLINK("http://www.rosaceae.org/gb/gbrowse/malus_x_domestica/?name=MDP0000176292","MDP0000176292")</f>
        <v>MDP0000176292</v>
      </c>
      <c r="D3340">
        <v>55.77</v>
      </c>
      <c r="E3340">
        <v>979</v>
      </c>
      <c r="F3340">
        <v>433</v>
      </c>
      <c r="G3340">
        <v>115</v>
      </c>
      <c r="H3340">
        <v>2</v>
      </c>
      <c r="I3340">
        <v>880</v>
      </c>
      <c r="J3340">
        <v>1</v>
      </c>
      <c r="K3340">
        <v>3</v>
      </c>
      <c r="L3340">
        <v>966</v>
      </c>
      <c r="M3340">
        <v>1</v>
      </c>
      <c r="N3340">
        <v>0</v>
      </c>
      <c r="O3340">
        <v>2537</v>
      </c>
    </row>
    <row r="3341" spans="1:15" x14ac:dyDescent="0.25">
      <c r="A3341" t="s">
        <v>3354</v>
      </c>
      <c r="B3341">
        <v>403</v>
      </c>
      <c r="C3341" s="1" t="str">
        <f>HYPERLINK("http://www.rosaceae.org/gb/gbrowse/malus_x_domestica/?name=MDP0000241711","MDP0000241711")</f>
        <v>MDP0000241711</v>
      </c>
      <c r="D3341">
        <v>59.21</v>
      </c>
      <c r="E3341">
        <v>407</v>
      </c>
      <c r="F3341">
        <v>166</v>
      </c>
      <c r="G3341">
        <v>13</v>
      </c>
      <c r="H3341">
        <v>2</v>
      </c>
      <c r="I3341">
        <v>403</v>
      </c>
      <c r="J3341">
        <v>1</v>
      </c>
      <c r="K3341">
        <v>34</v>
      </c>
      <c r="L3341">
        <v>432</v>
      </c>
      <c r="M3341">
        <v>1</v>
      </c>
      <c r="N3341">
        <v>4.7209700000000001E-127</v>
      </c>
      <c r="O3341">
        <v>1161</v>
      </c>
    </row>
    <row r="3342" spans="1:15" x14ac:dyDescent="0.25">
      <c r="A3342" t="s">
        <v>3355</v>
      </c>
      <c r="B3342">
        <v>164</v>
      </c>
      <c r="C3342" s="1" t="str">
        <f>HYPERLINK("http://www.rosaceae.org/gb/gbrowse/malus_x_domestica/?name=MDP0000183712","MDP0000183712")</f>
        <v>MDP0000183712</v>
      </c>
      <c r="D3342">
        <v>27.82</v>
      </c>
      <c r="E3342">
        <v>115</v>
      </c>
      <c r="F3342">
        <v>83</v>
      </c>
      <c r="G3342">
        <v>10</v>
      </c>
      <c r="H3342">
        <v>32</v>
      </c>
      <c r="I3342">
        <v>136</v>
      </c>
      <c r="J3342">
        <v>1</v>
      </c>
      <c r="K3342">
        <v>47</v>
      </c>
      <c r="L3342">
        <v>161</v>
      </c>
      <c r="M3342">
        <v>1</v>
      </c>
      <c r="N3342">
        <v>2.9810299999999998E-7</v>
      </c>
      <c r="O3342">
        <v>123</v>
      </c>
    </row>
    <row r="3343" spans="1:15" x14ac:dyDescent="0.25">
      <c r="A3343" t="s">
        <v>3356</v>
      </c>
      <c r="B3343">
        <v>377</v>
      </c>
      <c r="C3343" s="1" t="str">
        <f>HYPERLINK("http://www.rosaceae.org/gb/gbrowse/malus_x_domestica/?name=MDP0000274400","MDP0000274400")</f>
        <v>MDP0000274400</v>
      </c>
      <c r="D3343">
        <v>45.87</v>
      </c>
      <c r="E3343">
        <v>436</v>
      </c>
      <c r="F3343">
        <v>236</v>
      </c>
      <c r="G3343">
        <v>96</v>
      </c>
      <c r="H3343">
        <v>7</v>
      </c>
      <c r="I3343">
        <v>367</v>
      </c>
      <c r="J3343">
        <v>1</v>
      </c>
      <c r="K3343">
        <v>4</v>
      </c>
      <c r="L3343">
        <v>418</v>
      </c>
      <c r="M3343">
        <v>1</v>
      </c>
      <c r="N3343">
        <v>1.1778900000000001E-78</v>
      </c>
      <c r="O3343">
        <v>743</v>
      </c>
    </row>
    <row r="3344" spans="1:15" x14ac:dyDescent="0.25">
      <c r="A3344" t="s">
        <v>3357</v>
      </c>
      <c r="B3344">
        <v>310</v>
      </c>
      <c r="C3344" s="1" t="str">
        <f>HYPERLINK("http://www.rosaceae.org/gb/gbrowse/malus_x_domestica/?name=MDP0000208816","MDP0000208816")</f>
        <v>MDP0000208816</v>
      </c>
      <c r="D3344">
        <v>30.2</v>
      </c>
      <c r="E3344">
        <v>245</v>
      </c>
      <c r="F3344">
        <v>171</v>
      </c>
      <c r="G3344">
        <v>40</v>
      </c>
      <c r="H3344">
        <v>3</v>
      </c>
      <c r="I3344">
        <v>222</v>
      </c>
      <c r="J3344">
        <v>1</v>
      </c>
      <c r="K3344">
        <v>32</v>
      </c>
      <c r="L3344">
        <v>261</v>
      </c>
      <c r="M3344">
        <v>1</v>
      </c>
      <c r="N3344">
        <v>2.38589E-8</v>
      </c>
      <c r="O3344">
        <v>136</v>
      </c>
    </row>
    <row r="3345" spans="1:15" x14ac:dyDescent="0.25">
      <c r="A3345" t="s">
        <v>3358</v>
      </c>
      <c r="B3345">
        <v>487</v>
      </c>
      <c r="C3345" s="1" t="str">
        <f>HYPERLINK("http://www.rosaceae.org/gb/gbrowse/malus_x_domestica/?name=MDP0000271120","MDP0000271120")</f>
        <v>MDP0000271120</v>
      </c>
      <c r="D3345">
        <v>72.87</v>
      </c>
      <c r="E3345">
        <v>494</v>
      </c>
      <c r="F3345">
        <v>134</v>
      </c>
      <c r="G3345">
        <v>40</v>
      </c>
      <c r="H3345">
        <v>1</v>
      </c>
      <c r="I3345">
        <v>454</v>
      </c>
      <c r="J3345">
        <v>1</v>
      </c>
      <c r="K3345">
        <v>1</v>
      </c>
      <c r="L3345">
        <v>494</v>
      </c>
      <c r="M3345">
        <v>1</v>
      </c>
      <c r="N3345">
        <v>0</v>
      </c>
      <c r="O3345">
        <v>1919</v>
      </c>
    </row>
    <row r="3346" spans="1:15" x14ac:dyDescent="0.25">
      <c r="A3346" t="s">
        <v>3359</v>
      </c>
      <c r="B3346">
        <v>609</v>
      </c>
      <c r="C3346" s="1" t="str">
        <f>HYPERLINK("http://www.rosaceae.org/gb/gbrowse/malus_x_domestica/?name=MDP0000123604","MDP0000123604")</f>
        <v>MDP0000123604</v>
      </c>
      <c r="D3346">
        <v>68.28</v>
      </c>
      <c r="E3346">
        <v>473</v>
      </c>
      <c r="F3346">
        <v>150</v>
      </c>
      <c r="G3346">
        <v>3</v>
      </c>
      <c r="H3346">
        <v>114</v>
      </c>
      <c r="I3346">
        <v>586</v>
      </c>
      <c r="J3346">
        <v>1</v>
      </c>
      <c r="K3346">
        <v>31</v>
      </c>
      <c r="L3346">
        <v>500</v>
      </c>
      <c r="M3346">
        <v>1</v>
      </c>
      <c r="N3346">
        <v>1.30115E-171</v>
      </c>
      <c r="O3346">
        <v>1547</v>
      </c>
    </row>
    <row r="3347" spans="1:15" x14ac:dyDescent="0.25">
      <c r="A3347" t="s">
        <v>3360</v>
      </c>
      <c r="B3347">
        <v>340</v>
      </c>
      <c r="C3347" s="1" t="str">
        <f>HYPERLINK("http://www.rosaceae.org/gb/gbrowse/malus_x_domestica/?name=MDP0000569149","MDP0000569149")</f>
        <v>MDP0000569149</v>
      </c>
      <c r="D3347">
        <v>66.08</v>
      </c>
      <c r="E3347">
        <v>289</v>
      </c>
      <c r="F3347">
        <v>98</v>
      </c>
      <c r="G3347">
        <v>11</v>
      </c>
      <c r="H3347">
        <v>53</v>
      </c>
      <c r="I3347">
        <v>340</v>
      </c>
      <c r="J3347">
        <v>1</v>
      </c>
      <c r="K3347">
        <v>43</v>
      </c>
      <c r="L3347">
        <v>321</v>
      </c>
      <c r="M3347">
        <v>1</v>
      </c>
      <c r="N3347">
        <v>2.75273E-98</v>
      </c>
      <c r="O3347">
        <v>912</v>
      </c>
    </row>
    <row r="3348" spans="1:15" x14ac:dyDescent="0.25">
      <c r="A3348" t="s">
        <v>3361</v>
      </c>
      <c r="B3348">
        <v>114</v>
      </c>
      <c r="C3348" s="1" t="str">
        <f>HYPERLINK("http://www.rosaceae.org/gb/gbrowse/malus_x_domestica/?name=MDP0000260960","MDP0000260960")</f>
        <v>MDP0000260960</v>
      </c>
      <c r="D3348">
        <v>37.64</v>
      </c>
      <c r="E3348">
        <v>85</v>
      </c>
      <c r="F3348">
        <v>53</v>
      </c>
      <c r="G3348">
        <v>1</v>
      </c>
      <c r="H3348">
        <v>20</v>
      </c>
      <c r="I3348">
        <v>104</v>
      </c>
      <c r="J3348">
        <v>1</v>
      </c>
      <c r="K3348">
        <v>438</v>
      </c>
      <c r="L3348">
        <v>521</v>
      </c>
      <c r="M3348">
        <v>1</v>
      </c>
      <c r="N3348">
        <v>1.79805E-12</v>
      </c>
      <c r="O3348">
        <v>165</v>
      </c>
    </row>
    <row r="3349" spans="1:15" x14ac:dyDescent="0.25">
      <c r="A3349" t="s">
        <v>3362</v>
      </c>
      <c r="B3349">
        <v>363</v>
      </c>
      <c r="C3349" s="1" t="str">
        <f>HYPERLINK("http://www.rosaceae.org/gb/gbrowse/malus_x_domestica/?name=MDP0000169497","MDP0000169497")</f>
        <v>MDP0000169497</v>
      </c>
      <c r="D3349">
        <v>81.33</v>
      </c>
      <c r="E3349">
        <v>284</v>
      </c>
      <c r="F3349">
        <v>53</v>
      </c>
      <c r="G3349">
        <v>1</v>
      </c>
      <c r="H3349">
        <v>80</v>
      </c>
      <c r="I3349">
        <v>363</v>
      </c>
      <c r="J3349">
        <v>1</v>
      </c>
      <c r="K3349">
        <v>6</v>
      </c>
      <c r="L3349">
        <v>288</v>
      </c>
      <c r="M3349">
        <v>1</v>
      </c>
      <c r="N3349">
        <v>2.4517600000000001E-130</v>
      </c>
      <c r="O3349">
        <v>1189</v>
      </c>
    </row>
    <row r="3350" spans="1:15" x14ac:dyDescent="0.25">
      <c r="A3350" t="s">
        <v>3363</v>
      </c>
      <c r="B3350">
        <v>505</v>
      </c>
      <c r="C3350" s="1" t="str">
        <f>HYPERLINK("http://www.rosaceae.org/gb/gbrowse/malus_x_domestica/?name=MDP0000534116","MDP0000534116")</f>
        <v>MDP0000534116</v>
      </c>
      <c r="D3350">
        <v>46.64</v>
      </c>
      <c r="E3350">
        <v>506</v>
      </c>
      <c r="F3350">
        <v>270</v>
      </c>
      <c r="G3350">
        <v>51</v>
      </c>
      <c r="H3350">
        <v>10</v>
      </c>
      <c r="I3350">
        <v>504</v>
      </c>
      <c r="J3350">
        <v>1</v>
      </c>
      <c r="K3350">
        <v>1</v>
      </c>
      <c r="L3350">
        <v>466</v>
      </c>
      <c r="M3350">
        <v>1</v>
      </c>
      <c r="N3350">
        <v>1.08946E-116</v>
      </c>
      <c r="O3350">
        <v>1073</v>
      </c>
    </row>
    <row r="3351" spans="1:15" x14ac:dyDescent="0.25">
      <c r="A3351" t="s">
        <v>3364</v>
      </c>
      <c r="B3351">
        <v>121</v>
      </c>
      <c r="C3351" s="1" t="str">
        <f>HYPERLINK("http://www.rosaceae.org/gb/gbrowse/malus_x_domestica/?name=MDP0000208736","MDP0000208736")</f>
        <v>MDP0000208736</v>
      </c>
      <c r="D3351">
        <v>71.150000000000006</v>
      </c>
      <c r="E3351">
        <v>52</v>
      </c>
      <c r="F3351">
        <v>15</v>
      </c>
      <c r="G3351">
        <v>0</v>
      </c>
      <c r="H3351">
        <v>56</v>
      </c>
      <c r="I3351">
        <v>107</v>
      </c>
      <c r="J3351">
        <v>1</v>
      </c>
      <c r="K3351">
        <v>167</v>
      </c>
      <c r="L3351">
        <v>218</v>
      </c>
      <c r="M3351">
        <v>1</v>
      </c>
      <c r="N3351">
        <v>5.45971E-14</v>
      </c>
      <c r="O3351">
        <v>178</v>
      </c>
    </row>
    <row r="3352" spans="1:15" x14ac:dyDescent="0.25">
      <c r="A3352" t="s">
        <v>3365</v>
      </c>
      <c r="B3352">
        <v>787</v>
      </c>
      <c r="C3352" s="1" t="str">
        <f>HYPERLINK("http://www.rosaceae.org/gb/gbrowse/malus_x_domestica/?name=MDP0000762624","MDP0000762624")</f>
        <v>MDP0000762624</v>
      </c>
      <c r="D3352">
        <v>31.39</v>
      </c>
      <c r="E3352">
        <v>704</v>
      </c>
      <c r="F3352">
        <v>483</v>
      </c>
      <c r="G3352">
        <v>45</v>
      </c>
      <c r="H3352">
        <v>66</v>
      </c>
      <c r="I3352">
        <v>758</v>
      </c>
      <c r="J3352">
        <v>1</v>
      </c>
      <c r="K3352">
        <v>74</v>
      </c>
      <c r="L3352">
        <v>743</v>
      </c>
      <c r="M3352">
        <v>1</v>
      </c>
      <c r="N3352">
        <v>9.3390699999999997E-85</v>
      </c>
      <c r="O3352">
        <v>799</v>
      </c>
    </row>
    <row r="3353" spans="1:15" x14ac:dyDescent="0.25">
      <c r="A3353" t="s">
        <v>3366</v>
      </c>
      <c r="B3353">
        <v>193</v>
      </c>
      <c r="C3353" s="1" t="str">
        <f>HYPERLINK("http://www.rosaceae.org/gb/gbrowse/malus_x_domestica/?name=MDP0000292099","MDP0000292099")</f>
        <v>MDP0000292099</v>
      </c>
      <c r="D3353">
        <v>51.75</v>
      </c>
      <c r="E3353">
        <v>199</v>
      </c>
      <c r="F3353">
        <v>96</v>
      </c>
      <c r="G3353">
        <v>30</v>
      </c>
      <c r="H3353">
        <v>22</v>
      </c>
      <c r="I3353">
        <v>192</v>
      </c>
      <c r="J3353">
        <v>1</v>
      </c>
      <c r="K3353">
        <v>20</v>
      </c>
      <c r="L3353">
        <v>216</v>
      </c>
      <c r="M3353">
        <v>1</v>
      </c>
      <c r="N3353">
        <v>8.1876900000000003E-39</v>
      </c>
      <c r="O3353">
        <v>396</v>
      </c>
    </row>
    <row r="3354" spans="1:15" x14ac:dyDescent="0.25">
      <c r="A3354" t="s">
        <v>3367</v>
      </c>
      <c r="B3354">
        <v>144</v>
      </c>
      <c r="C3354" s="1" t="str">
        <f>HYPERLINK("http://www.rosaceae.org/gb/gbrowse/malus_x_domestica/?name=MDP0000124256","MDP0000124256")</f>
        <v>MDP0000124256</v>
      </c>
      <c r="D3354">
        <v>34.57</v>
      </c>
      <c r="E3354">
        <v>107</v>
      </c>
      <c r="F3354">
        <v>70</v>
      </c>
      <c r="G3354">
        <v>0</v>
      </c>
      <c r="H3354">
        <v>27</v>
      </c>
      <c r="I3354">
        <v>133</v>
      </c>
      <c r="J3354">
        <v>1</v>
      </c>
      <c r="K3354">
        <v>99</v>
      </c>
      <c r="L3354">
        <v>205</v>
      </c>
      <c r="M3354">
        <v>1</v>
      </c>
      <c r="N3354">
        <v>9.9625200000000006E-13</v>
      </c>
      <c r="O3354">
        <v>169</v>
      </c>
    </row>
    <row r="3355" spans="1:15" x14ac:dyDescent="0.25">
      <c r="A3355" t="s">
        <v>3368</v>
      </c>
      <c r="B3355">
        <v>510</v>
      </c>
      <c r="C3355" s="1" t="str">
        <f>HYPERLINK("http://www.rosaceae.org/gb/gbrowse/malus_x_domestica/?name=MDP0000153003","MDP0000153003")</f>
        <v>MDP0000153003</v>
      </c>
      <c r="D3355">
        <v>46.46</v>
      </c>
      <c r="E3355">
        <v>609</v>
      </c>
      <c r="F3355">
        <v>326</v>
      </c>
      <c r="G3355">
        <v>124</v>
      </c>
      <c r="H3355">
        <v>11</v>
      </c>
      <c r="I3355">
        <v>505</v>
      </c>
      <c r="J3355">
        <v>1</v>
      </c>
      <c r="K3355">
        <v>7</v>
      </c>
      <c r="L3355">
        <v>605</v>
      </c>
      <c r="M3355">
        <v>1</v>
      </c>
      <c r="N3355">
        <v>4.4159800000000002E-138</v>
      </c>
      <c r="O3355">
        <v>1257</v>
      </c>
    </row>
    <row r="3356" spans="1:15" x14ac:dyDescent="0.25">
      <c r="A3356" t="s">
        <v>3369</v>
      </c>
      <c r="B3356">
        <v>613</v>
      </c>
      <c r="C3356" s="1" t="str">
        <f>HYPERLINK("http://www.rosaceae.org/gb/gbrowse/malus_x_domestica/?name=MDP0000141888","MDP0000141888")</f>
        <v>MDP0000141888</v>
      </c>
      <c r="D3356">
        <v>72.239999999999995</v>
      </c>
      <c r="E3356">
        <v>598</v>
      </c>
      <c r="F3356">
        <v>166</v>
      </c>
      <c r="G3356">
        <v>0</v>
      </c>
      <c r="H3356">
        <v>16</v>
      </c>
      <c r="I3356">
        <v>613</v>
      </c>
      <c r="J3356">
        <v>1</v>
      </c>
      <c r="K3356">
        <v>16</v>
      </c>
      <c r="L3356">
        <v>613</v>
      </c>
      <c r="M3356">
        <v>1</v>
      </c>
      <c r="N3356">
        <v>0</v>
      </c>
      <c r="O3356">
        <v>2320</v>
      </c>
    </row>
    <row r="3357" spans="1:15" x14ac:dyDescent="0.25">
      <c r="A3357" t="s">
        <v>3370</v>
      </c>
      <c r="B3357">
        <v>391</v>
      </c>
      <c r="C3357" s="1" t="str">
        <f>HYPERLINK("http://www.rosaceae.org/gb/gbrowse/malus_x_domestica/?name=MDP0000140002","MDP0000140002")</f>
        <v>MDP0000140002</v>
      </c>
      <c r="D3357">
        <v>56.35</v>
      </c>
      <c r="E3357">
        <v>291</v>
      </c>
      <c r="F3357">
        <v>127</v>
      </c>
      <c r="G3357">
        <v>21</v>
      </c>
      <c r="H3357">
        <v>1</v>
      </c>
      <c r="I3357">
        <v>282</v>
      </c>
      <c r="J3357">
        <v>1</v>
      </c>
      <c r="K3357">
        <v>1</v>
      </c>
      <c r="L3357">
        <v>279</v>
      </c>
      <c r="M3357">
        <v>1</v>
      </c>
      <c r="N3357">
        <v>9.5735299999999997E-75</v>
      </c>
      <c r="O3357">
        <v>710</v>
      </c>
    </row>
    <row r="3358" spans="1:15" x14ac:dyDescent="0.25">
      <c r="A3358" t="s">
        <v>3371</v>
      </c>
      <c r="B3358">
        <v>141</v>
      </c>
      <c r="C3358" s="1" t="str">
        <f>HYPERLINK("http://www.rosaceae.org/gb/gbrowse/malus_x_domestica/?name=MDP0000133951","MDP0000133951")</f>
        <v>MDP0000133951</v>
      </c>
      <c r="D3358">
        <v>77.55</v>
      </c>
      <c r="E3358">
        <v>147</v>
      </c>
      <c r="F3358">
        <v>33</v>
      </c>
      <c r="G3358">
        <v>12</v>
      </c>
      <c r="H3358">
        <v>1</v>
      </c>
      <c r="I3358">
        <v>136</v>
      </c>
      <c r="J3358">
        <v>1</v>
      </c>
      <c r="K3358">
        <v>58</v>
      </c>
      <c r="L3358">
        <v>203</v>
      </c>
      <c r="M3358">
        <v>1</v>
      </c>
      <c r="N3358">
        <v>2.4173799999999999E-55</v>
      </c>
      <c r="O3358">
        <v>536</v>
      </c>
    </row>
    <row r="3359" spans="1:15" x14ac:dyDescent="0.25">
      <c r="A3359" t="s">
        <v>3372</v>
      </c>
      <c r="B3359">
        <v>292</v>
      </c>
      <c r="C3359" s="1" t="str">
        <f>HYPERLINK("http://www.rosaceae.org/gb/gbrowse/malus_x_domestica/?name=MDP0000271507","MDP0000271507")</f>
        <v>MDP0000271507</v>
      </c>
      <c r="D3359">
        <v>78.81</v>
      </c>
      <c r="E3359">
        <v>288</v>
      </c>
      <c r="F3359">
        <v>61</v>
      </c>
      <c r="G3359">
        <v>12</v>
      </c>
      <c r="H3359">
        <v>1</v>
      </c>
      <c r="I3359">
        <v>283</v>
      </c>
      <c r="J3359">
        <v>1</v>
      </c>
      <c r="K3359">
        <v>1</v>
      </c>
      <c r="L3359">
        <v>281</v>
      </c>
      <c r="M3359">
        <v>1</v>
      </c>
      <c r="N3359">
        <v>1.3528E-126</v>
      </c>
      <c r="O3359">
        <v>1156</v>
      </c>
    </row>
    <row r="3360" spans="1:15" x14ac:dyDescent="0.25">
      <c r="A3360" t="s">
        <v>3373</v>
      </c>
      <c r="B3360">
        <v>198</v>
      </c>
      <c r="C3360" s="1" t="str">
        <f>HYPERLINK("http://www.rosaceae.org/gb/gbrowse/malus_x_domestica/?name=MDP0000323611","MDP0000323611")</f>
        <v>MDP0000323611</v>
      </c>
      <c r="D3360">
        <v>28.33</v>
      </c>
      <c r="E3360">
        <v>180</v>
      </c>
      <c r="F3360">
        <v>129</v>
      </c>
      <c r="G3360">
        <v>21</v>
      </c>
      <c r="H3360">
        <v>30</v>
      </c>
      <c r="I3360">
        <v>191</v>
      </c>
      <c r="J3360">
        <v>1</v>
      </c>
      <c r="K3360">
        <v>98</v>
      </c>
      <c r="L3360">
        <v>274</v>
      </c>
      <c r="M3360">
        <v>1</v>
      </c>
      <c r="N3360">
        <v>1.7351900000000001E-13</v>
      </c>
      <c r="O3360">
        <v>178</v>
      </c>
    </row>
    <row r="3361" spans="1:15" x14ac:dyDescent="0.25">
      <c r="A3361" t="s">
        <v>3374</v>
      </c>
      <c r="B3361">
        <v>281</v>
      </c>
      <c r="C3361" s="1" t="str">
        <f>HYPERLINK("http://www.rosaceae.org/gb/gbrowse/malus_x_domestica/?name=MDP0000238910","MDP0000238910")</f>
        <v>MDP0000238910</v>
      </c>
      <c r="D3361">
        <v>54.69</v>
      </c>
      <c r="E3361">
        <v>181</v>
      </c>
      <c r="F3361">
        <v>82</v>
      </c>
      <c r="G3361">
        <v>7</v>
      </c>
      <c r="H3361">
        <v>7</v>
      </c>
      <c r="I3361">
        <v>181</v>
      </c>
      <c r="J3361">
        <v>1</v>
      </c>
      <c r="K3361">
        <v>198</v>
      </c>
      <c r="L3361">
        <v>377</v>
      </c>
      <c r="M3361">
        <v>1</v>
      </c>
      <c r="N3361">
        <v>3.8938399999999997E-46</v>
      </c>
      <c r="O3361">
        <v>461</v>
      </c>
    </row>
    <row r="3362" spans="1:15" x14ac:dyDescent="0.25">
      <c r="A3362" t="s">
        <v>3375</v>
      </c>
      <c r="B3362">
        <v>851</v>
      </c>
      <c r="C3362" s="1" t="str">
        <f>HYPERLINK("http://www.rosaceae.org/gb/gbrowse/malus_x_domestica/?name=MDP0000188162","MDP0000188162")</f>
        <v>MDP0000188162</v>
      </c>
      <c r="D3362">
        <v>78.83</v>
      </c>
      <c r="E3362">
        <v>633</v>
      </c>
      <c r="F3362">
        <v>134</v>
      </c>
      <c r="G3362">
        <v>65</v>
      </c>
      <c r="H3362">
        <v>1</v>
      </c>
      <c r="I3362">
        <v>572</v>
      </c>
      <c r="J3362">
        <v>1</v>
      </c>
      <c r="K3362">
        <v>8</v>
      </c>
      <c r="L3362">
        <v>636</v>
      </c>
      <c r="M3362">
        <v>1</v>
      </c>
      <c r="N3362">
        <v>0</v>
      </c>
      <c r="O3362">
        <v>2628</v>
      </c>
    </row>
    <row r="3363" spans="1:15" x14ac:dyDescent="0.25">
      <c r="A3363" t="s">
        <v>3376</v>
      </c>
      <c r="B3363">
        <v>254</v>
      </c>
      <c r="C3363" s="1" t="str">
        <f>HYPERLINK("http://www.rosaceae.org/gb/gbrowse/malus_x_domestica/?name=MDP0000214069","MDP0000214069")</f>
        <v>MDP0000214069</v>
      </c>
      <c r="D3363">
        <v>77.59</v>
      </c>
      <c r="E3363">
        <v>241</v>
      </c>
      <c r="F3363">
        <v>54</v>
      </c>
      <c r="G3363">
        <v>2</v>
      </c>
      <c r="H3363">
        <v>9</v>
      </c>
      <c r="I3363">
        <v>249</v>
      </c>
      <c r="J3363">
        <v>1</v>
      </c>
      <c r="K3363">
        <v>5</v>
      </c>
      <c r="L3363">
        <v>243</v>
      </c>
      <c r="M3363">
        <v>1</v>
      </c>
      <c r="N3363">
        <v>1.72381E-112</v>
      </c>
      <c r="O3363">
        <v>1033</v>
      </c>
    </row>
    <row r="3364" spans="1:15" x14ac:dyDescent="0.25">
      <c r="A3364" t="s">
        <v>3377</v>
      </c>
      <c r="B3364">
        <v>206</v>
      </c>
      <c r="C3364" s="1" t="str">
        <f>HYPERLINK("http://www.rosaceae.org/gb/gbrowse/malus_x_domestica/?name=MDP0000284922","MDP0000284922")</f>
        <v>MDP0000284922</v>
      </c>
      <c r="D3364">
        <v>82.48</v>
      </c>
      <c r="E3364">
        <v>137</v>
      </c>
      <c r="F3364">
        <v>24</v>
      </c>
      <c r="G3364">
        <v>1</v>
      </c>
      <c r="H3364">
        <v>70</v>
      </c>
      <c r="I3364">
        <v>206</v>
      </c>
      <c r="J3364">
        <v>1</v>
      </c>
      <c r="K3364">
        <v>517</v>
      </c>
      <c r="L3364">
        <v>652</v>
      </c>
      <c r="M3364">
        <v>1</v>
      </c>
      <c r="N3364">
        <v>9.0514200000000004E-62</v>
      </c>
      <c r="O3364">
        <v>594</v>
      </c>
    </row>
    <row r="3365" spans="1:15" x14ac:dyDescent="0.25">
      <c r="A3365" t="s">
        <v>3378</v>
      </c>
      <c r="B3365">
        <v>679</v>
      </c>
      <c r="C3365" s="1" t="str">
        <f>HYPERLINK("http://www.rosaceae.org/gb/gbrowse/malus_x_domestica/?name=MDP0000774110","MDP0000774110")</f>
        <v>MDP0000774110</v>
      </c>
      <c r="D3365">
        <v>38.76</v>
      </c>
      <c r="E3365">
        <v>730</v>
      </c>
      <c r="F3365">
        <v>447</v>
      </c>
      <c r="G3365">
        <v>144</v>
      </c>
      <c r="H3365">
        <v>1</v>
      </c>
      <c r="I3365">
        <v>616</v>
      </c>
      <c r="J3365">
        <v>1</v>
      </c>
      <c r="K3365">
        <v>1</v>
      </c>
      <c r="L3365">
        <v>700</v>
      </c>
      <c r="M3365">
        <v>1</v>
      </c>
      <c r="N3365">
        <v>1.1305599999999999E-110</v>
      </c>
      <c r="O3365">
        <v>1022</v>
      </c>
    </row>
    <row r="3366" spans="1:15" x14ac:dyDescent="0.25">
      <c r="A3366" t="s">
        <v>3379</v>
      </c>
      <c r="B3366">
        <v>533</v>
      </c>
      <c r="C3366" s="1" t="str">
        <f>HYPERLINK("http://www.rosaceae.org/gb/gbrowse/malus_x_domestica/?name=MDP0000299884","MDP0000299884")</f>
        <v>MDP0000299884</v>
      </c>
      <c r="D3366">
        <v>65.040000000000006</v>
      </c>
      <c r="E3366">
        <v>492</v>
      </c>
      <c r="F3366">
        <v>172</v>
      </c>
      <c r="G3366">
        <v>39</v>
      </c>
      <c r="H3366">
        <v>1</v>
      </c>
      <c r="I3366">
        <v>454</v>
      </c>
      <c r="J3366">
        <v>1</v>
      </c>
      <c r="K3366">
        <v>1</v>
      </c>
      <c r="L3366">
        <v>491</v>
      </c>
      <c r="M3366">
        <v>1</v>
      </c>
      <c r="N3366">
        <v>5.6835399999999997E-179</v>
      </c>
      <c r="O3366">
        <v>1610</v>
      </c>
    </row>
    <row r="3367" spans="1:15" x14ac:dyDescent="0.25">
      <c r="A3367" t="s">
        <v>3380</v>
      </c>
      <c r="B3367">
        <v>273</v>
      </c>
      <c r="C3367" s="1" t="str">
        <f>HYPERLINK("http://www.rosaceae.org/gb/gbrowse/malus_x_domestica/?name=MDP0000191873","MDP0000191873")</f>
        <v>MDP0000191873</v>
      </c>
      <c r="D3367">
        <v>79.72</v>
      </c>
      <c r="E3367">
        <v>217</v>
      </c>
      <c r="F3367">
        <v>44</v>
      </c>
      <c r="G3367">
        <v>4</v>
      </c>
      <c r="H3367">
        <v>20</v>
      </c>
      <c r="I3367">
        <v>232</v>
      </c>
      <c r="J3367">
        <v>1</v>
      </c>
      <c r="K3367">
        <v>33</v>
      </c>
      <c r="L3367">
        <v>249</v>
      </c>
      <c r="M3367">
        <v>1</v>
      </c>
      <c r="N3367">
        <v>2.6924699999999999E-96</v>
      </c>
      <c r="O3367">
        <v>894</v>
      </c>
    </row>
    <row r="3368" spans="1:15" x14ac:dyDescent="0.25">
      <c r="A3368" t="s">
        <v>3381</v>
      </c>
      <c r="B3368">
        <v>548</v>
      </c>
      <c r="C3368" s="1" t="str">
        <f>HYPERLINK("http://www.rosaceae.org/gb/gbrowse/malus_x_domestica/?name=MDP0000266650","MDP0000266650")</f>
        <v>MDP0000266650</v>
      </c>
      <c r="D3368">
        <v>63.16</v>
      </c>
      <c r="E3368">
        <v>486</v>
      </c>
      <c r="F3368">
        <v>179</v>
      </c>
      <c r="G3368">
        <v>54</v>
      </c>
      <c r="H3368">
        <v>68</v>
      </c>
      <c r="I3368">
        <v>546</v>
      </c>
      <c r="J3368">
        <v>1</v>
      </c>
      <c r="K3368">
        <v>301</v>
      </c>
      <c r="L3368">
        <v>739</v>
      </c>
      <c r="M3368">
        <v>1</v>
      </c>
      <c r="N3368">
        <v>1.46995E-157</v>
      </c>
      <c r="O3368">
        <v>1426</v>
      </c>
    </row>
    <row r="3369" spans="1:15" x14ac:dyDescent="0.25">
      <c r="A3369" t="s">
        <v>3382</v>
      </c>
      <c r="B3369">
        <v>689</v>
      </c>
      <c r="C3369" s="1" t="str">
        <f>HYPERLINK("http://www.rosaceae.org/gb/gbrowse/malus_x_domestica/?name=MDP0000313626","MDP0000313626")</f>
        <v>MDP0000313626</v>
      </c>
      <c r="D3369">
        <v>53.22</v>
      </c>
      <c r="E3369">
        <v>295</v>
      </c>
      <c r="F3369">
        <v>138</v>
      </c>
      <c r="G3369">
        <v>3</v>
      </c>
      <c r="H3369">
        <v>17</v>
      </c>
      <c r="I3369">
        <v>311</v>
      </c>
      <c r="J3369">
        <v>1</v>
      </c>
      <c r="K3369">
        <v>225</v>
      </c>
      <c r="L3369">
        <v>516</v>
      </c>
      <c r="M3369">
        <v>1</v>
      </c>
      <c r="N3369">
        <v>1.8027500000000001E-86</v>
      </c>
      <c r="O3369">
        <v>814</v>
      </c>
    </row>
    <row r="3370" spans="1:15" x14ac:dyDescent="0.25">
      <c r="A3370" t="s">
        <v>3383</v>
      </c>
      <c r="B3370">
        <v>186</v>
      </c>
      <c r="C3370" s="1" t="str">
        <f>HYPERLINK("http://www.rosaceae.org/gb/gbrowse/malus_x_domestica/?name=MDP0000182136","MDP0000182136")</f>
        <v>MDP0000182136</v>
      </c>
      <c r="D3370">
        <v>76.06</v>
      </c>
      <c r="E3370">
        <v>188</v>
      </c>
      <c r="F3370">
        <v>45</v>
      </c>
      <c r="G3370">
        <v>2</v>
      </c>
      <c r="H3370">
        <v>1</v>
      </c>
      <c r="I3370">
        <v>186</v>
      </c>
      <c r="J3370">
        <v>1</v>
      </c>
      <c r="K3370">
        <v>1</v>
      </c>
      <c r="L3370">
        <v>188</v>
      </c>
      <c r="M3370">
        <v>1</v>
      </c>
      <c r="N3370">
        <v>6.4383199999999999E-80</v>
      </c>
      <c r="O3370">
        <v>750</v>
      </c>
    </row>
    <row r="3371" spans="1:15" x14ac:dyDescent="0.25">
      <c r="A3371" t="s">
        <v>3384</v>
      </c>
      <c r="B3371">
        <v>840</v>
      </c>
      <c r="C3371" s="1" t="str">
        <f>HYPERLINK("http://www.rosaceae.org/gb/gbrowse/malus_x_domestica/?name=MDP0000272867","MDP0000272867")</f>
        <v>MDP0000272867</v>
      </c>
      <c r="D3371">
        <v>28.89</v>
      </c>
      <c r="E3371">
        <v>218</v>
      </c>
      <c r="F3371">
        <v>155</v>
      </c>
      <c r="G3371">
        <v>22</v>
      </c>
      <c r="H3371">
        <v>418</v>
      </c>
      <c r="I3371">
        <v>635</v>
      </c>
      <c r="J3371">
        <v>1</v>
      </c>
      <c r="K3371">
        <v>916</v>
      </c>
      <c r="L3371">
        <v>1111</v>
      </c>
      <c r="M3371">
        <v>1</v>
      </c>
      <c r="N3371">
        <v>1.7682299999999999E-24</v>
      </c>
      <c r="O3371">
        <v>280</v>
      </c>
    </row>
    <row r="3372" spans="1:15" x14ac:dyDescent="0.25">
      <c r="A3372" t="s">
        <v>3385</v>
      </c>
      <c r="B3372">
        <v>454</v>
      </c>
      <c r="C3372" s="1" t="str">
        <f>HYPERLINK("http://www.rosaceae.org/gb/gbrowse/malus_x_domestica/?name=MDP0000241557","MDP0000241557")</f>
        <v>MDP0000241557</v>
      </c>
      <c r="D3372">
        <v>50.82</v>
      </c>
      <c r="E3372">
        <v>362</v>
      </c>
      <c r="F3372">
        <v>178</v>
      </c>
      <c r="G3372">
        <v>36</v>
      </c>
      <c r="H3372">
        <v>97</v>
      </c>
      <c r="I3372">
        <v>453</v>
      </c>
      <c r="J3372">
        <v>1</v>
      </c>
      <c r="K3372">
        <v>144</v>
      </c>
      <c r="L3372">
        <v>474</v>
      </c>
      <c r="M3372">
        <v>1</v>
      </c>
      <c r="N3372">
        <v>3.0795299999999999E-81</v>
      </c>
      <c r="O3372">
        <v>767</v>
      </c>
    </row>
    <row r="3373" spans="1:15" x14ac:dyDescent="0.25">
      <c r="A3373" t="s">
        <v>3386</v>
      </c>
      <c r="B3373">
        <v>1224</v>
      </c>
      <c r="C3373" s="1" t="str">
        <f>HYPERLINK("http://www.rosaceae.org/gb/gbrowse/malus_x_domestica/?name=MDP0000313235","MDP0000313235")</f>
        <v>MDP0000313235</v>
      </c>
      <c r="D3373">
        <v>69.03</v>
      </c>
      <c r="E3373">
        <v>465</v>
      </c>
      <c r="F3373">
        <v>144</v>
      </c>
      <c r="G3373">
        <v>39</v>
      </c>
      <c r="H3373">
        <v>13</v>
      </c>
      <c r="I3373">
        <v>439</v>
      </c>
      <c r="J3373">
        <v>1</v>
      </c>
      <c r="K3373">
        <v>9</v>
      </c>
      <c r="L3373">
        <v>472</v>
      </c>
      <c r="M3373">
        <v>1</v>
      </c>
      <c r="N3373">
        <v>0</v>
      </c>
      <c r="O3373">
        <v>1677</v>
      </c>
    </row>
    <row r="3374" spans="1:15" x14ac:dyDescent="0.25">
      <c r="A3374" t="s">
        <v>3387</v>
      </c>
      <c r="B3374">
        <v>380</v>
      </c>
      <c r="C3374" s="1" t="str">
        <f>HYPERLINK("http://www.rosaceae.org/gb/gbrowse/malus_x_domestica/?name=MDP0000151924","MDP0000151924")</f>
        <v>MDP0000151924</v>
      </c>
      <c r="D3374">
        <v>80</v>
      </c>
      <c r="E3374">
        <v>395</v>
      </c>
      <c r="F3374">
        <v>79</v>
      </c>
      <c r="G3374">
        <v>15</v>
      </c>
      <c r="H3374">
        <v>1</v>
      </c>
      <c r="I3374">
        <v>380</v>
      </c>
      <c r="J3374">
        <v>1</v>
      </c>
      <c r="K3374">
        <v>1</v>
      </c>
      <c r="L3374">
        <v>395</v>
      </c>
      <c r="M3374">
        <v>1</v>
      </c>
      <c r="N3374">
        <v>0</v>
      </c>
      <c r="O3374">
        <v>1678</v>
      </c>
    </row>
    <row r="3375" spans="1:15" x14ac:dyDescent="0.25">
      <c r="A3375" t="s">
        <v>3388</v>
      </c>
      <c r="B3375">
        <v>746</v>
      </c>
      <c r="C3375" s="1" t="str">
        <f>HYPERLINK("http://www.rosaceae.org/gb/gbrowse/malus_x_domestica/?name=MDP0000916669","MDP0000916669")</f>
        <v>MDP0000916669</v>
      </c>
      <c r="D3375">
        <v>69.06</v>
      </c>
      <c r="E3375">
        <v>750</v>
      </c>
      <c r="F3375">
        <v>232</v>
      </c>
      <c r="G3375">
        <v>32</v>
      </c>
      <c r="H3375">
        <v>1</v>
      </c>
      <c r="I3375">
        <v>745</v>
      </c>
      <c r="J3375">
        <v>1</v>
      </c>
      <c r="K3375">
        <v>1</v>
      </c>
      <c r="L3375">
        <v>723</v>
      </c>
      <c r="M3375">
        <v>1</v>
      </c>
      <c r="N3375">
        <v>0</v>
      </c>
      <c r="O3375">
        <v>2568</v>
      </c>
    </row>
    <row r="3376" spans="1:15" x14ac:dyDescent="0.25">
      <c r="A3376" t="s">
        <v>3389</v>
      </c>
      <c r="B3376">
        <v>445</v>
      </c>
      <c r="C3376" s="1" t="str">
        <f>HYPERLINK("http://www.rosaceae.org/gb/gbrowse/malus_x_domestica/?name=MDP0000446928","MDP0000446928")</f>
        <v>MDP0000446928</v>
      </c>
      <c r="D3376">
        <v>65.03</v>
      </c>
      <c r="E3376">
        <v>409</v>
      </c>
      <c r="F3376">
        <v>143</v>
      </c>
      <c r="G3376">
        <v>6</v>
      </c>
      <c r="H3376">
        <v>16</v>
      </c>
      <c r="I3376">
        <v>424</v>
      </c>
      <c r="J3376">
        <v>1</v>
      </c>
      <c r="K3376">
        <v>1</v>
      </c>
      <c r="L3376">
        <v>403</v>
      </c>
      <c r="M3376">
        <v>1</v>
      </c>
      <c r="N3376">
        <v>8.3530099999999998E-146</v>
      </c>
      <c r="O3376">
        <v>1323</v>
      </c>
    </row>
    <row r="3377" spans="1:15" x14ac:dyDescent="0.25">
      <c r="A3377" t="s">
        <v>3390</v>
      </c>
      <c r="B3377">
        <v>194</v>
      </c>
      <c r="C3377" s="1" t="str">
        <f>HYPERLINK("http://www.rosaceae.org/gb/gbrowse/malus_x_domestica/?name=MDP0000282574","MDP0000282574")</f>
        <v>MDP0000282574</v>
      </c>
      <c r="D3377">
        <v>54.16</v>
      </c>
      <c r="E3377">
        <v>96</v>
      </c>
      <c r="F3377">
        <v>44</v>
      </c>
      <c r="G3377">
        <v>20</v>
      </c>
      <c r="H3377">
        <v>19</v>
      </c>
      <c r="I3377">
        <v>111</v>
      </c>
      <c r="J3377">
        <v>1</v>
      </c>
      <c r="K3377">
        <v>18</v>
      </c>
      <c r="L3377">
        <v>96</v>
      </c>
      <c r="M3377">
        <v>1</v>
      </c>
      <c r="N3377">
        <v>1.23215E-17</v>
      </c>
      <c r="O3377">
        <v>213</v>
      </c>
    </row>
    <row r="3378" spans="1:15" x14ac:dyDescent="0.25">
      <c r="A3378" t="s">
        <v>3391</v>
      </c>
      <c r="B3378">
        <v>322</v>
      </c>
      <c r="C3378" s="1" t="str">
        <f>HYPERLINK("http://www.rosaceae.org/gb/gbrowse/malus_x_domestica/?name=MDP0000152242","MDP0000152242")</f>
        <v>MDP0000152242</v>
      </c>
      <c r="D3378">
        <v>89.72</v>
      </c>
      <c r="E3378">
        <v>253</v>
      </c>
      <c r="F3378">
        <v>26</v>
      </c>
      <c r="G3378">
        <v>0</v>
      </c>
      <c r="H3378">
        <v>70</v>
      </c>
      <c r="I3378">
        <v>322</v>
      </c>
      <c r="J3378">
        <v>1</v>
      </c>
      <c r="K3378">
        <v>1</v>
      </c>
      <c r="L3378">
        <v>253</v>
      </c>
      <c r="M3378">
        <v>1</v>
      </c>
      <c r="N3378">
        <v>1.3137399999999999E-131</v>
      </c>
      <c r="O3378">
        <v>1199</v>
      </c>
    </row>
    <row r="3379" spans="1:15" x14ac:dyDescent="0.25">
      <c r="A3379" t="s">
        <v>3392</v>
      </c>
      <c r="B3379">
        <v>627</v>
      </c>
      <c r="C3379" s="1" t="str">
        <f>HYPERLINK("http://www.rosaceae.org/gb/gbrowse/malus_x_domestica/?name=MDP0000269121","MDP0000269121")</f>
        <v>MDP0000269121</v>
      </c>
      <c r="D3379">
        <v>63.46</v>
      </c>
      <c r="E3379">
        <v>427</v>
      </c>
      <c r="F3379">
        <v>156</v>
      </c>
      <c r="G3379">
        <v>18</v>
      </c>
      <c r="H3379">
        <v>203</v>
      </c>
      <c r="I3379">
        <v>624</v>
      </c>
      <c r="J3379">
        <v>1</v>
      </c>
      <c r="K3379">
        <v>1</v>
      </c>
      <c r="L3379">
        <v>414</v>
      </c>
      <c r="M3379">
        <v>1</v>
      </c>
      <c r="N3379">
        <v>7.1031199999999998E-146</v>
      </c>
      <c r="O3379">
        <v>1325</v>
      </c>
    </row>
    <row r="3380" spans="1:15" x14ac:dyDescent="0.25">
      <c r="A3380" t="s">
        <v>3393</v>
      </c>
      <c r="B3380">
        <v>773</v>
      </c>
      <c r="C3380" s="1" t="str">
        <f>HYPERLINK("http://www.rosaceae.org/gb/gbrowse/malus_x_domestica/?name=MDP0000340822","MDP0000340822")</f>
        <v>MDP0000340822</v>
      </c>
      <c r="D3380">
        <v>80.930000000000007</v>
      </c>
      <c r="E3380">
        <v>278</v>
      </c>
      <c r="F3380">
        <v>53</v>
      </c>
      <c r="G3380">
        <v>0</v>
      </c>
      <c r="H3380">
        <v>473</v>
      </c>
      <c r="I3380">
        <v>750</v>
      </c>
      <c r="J3380">
        <v>1</v>
      </c>
      <c r="K3380">
        <v>114</v>
      </c>
      <c r="L3380">
        <v>391</v>
      </c>
      <c r="M3380">
        <v>1</v>
      </c>
      <c r="N3380">
        <v>2.0057899999999999E-138</v>
      </c>
      <c r="O3380">
        <v>1262</v>
      </c>
    </row>
    <row r="3381" spans="1:15" x14ac:dyDescent="0.25">
      <c r="A3381" t="s">
        <v>3394</v>
      </c>
      <c r="B3381">
        <v>967</v>
      </c>
      <c r="C3381" s="1" t="str">
        <f>HYPERLINK("http://www.rosaceae.org/gb/gbrowse/malus_x_domestica/?name=MDP0000127640","MDP0000127640")</f>
        <v>MDP0000127640</v>
      </c>
      <c r="D3381">
        <v>59.73</v>
      </c>
      <c r="E3381">
        <v>981</v>
      </c>
      <c r="F3381">
        <v>395</v>
      </c>
      <c r="G3381">
        <v>108</v>
      </c>
      <c r="H3381">
        <v>1</v>
      </c>
      <c r="I3381">
        <v>950</v>
      </c>
      <c r="J3381">
        <v>1</v>
      </c>
      <c r="K3381">
        <v>78</v>
      </c>
      <c r="L3381">
        <v>981</v>
      </c>
      <c r="M3381">
        <v>1</v>
      </c>
      <c r="N3381">
        <v>0</v>
      </c>
      <c r="O3381">
        <v>2789</v>
      </c>
    </row>
    <row r="3382" spans="1:15" x14ac:dyDescent="0.25">
      <c r="A3382" t="s">
        <v>3395</v>
      </c>
      <c r="B3382">
        <v>298</v>
      </c>
      <c r="C3382" s="1" t="str">
        <f>HYPERLINK("http://www.rosaceae.org/gb/gbrowse/malus_x_domestica/?name=MDP0000193810","MDP0000193810")</f>
        <v>MDP0000193810</v>
      </c>
      <c r="D3382">
        <v>78.38</v>
      </c>
      <c r="E3382">
        <v>273</v>
      </c>
      <c r="F3382">
        <v>59</v>
      </c>
      <c r="G3382">
        <v>4</v>
      </c>
      <c r="H3382">
        <v>29</v>
      </c>
      <c r="I3382">
        <v>297</v>
      </c>
      <c r="J3382">
        <v>1</v>
      </c>
      <c r="K3382">
        <v>26</v>
      </c>
      <c r="L3382">
        <v>298</v>
      </c>
      <c r="M3382">
        <v>1</v>
      </c>
      <c r="N3382">
        <v>1.04317E-123</v>
      </c>
      <c r="O3382">
        <v>1131</v>
      </c>
    </row>
    <row r="3383" spans="1:15" x14ac:dyDescent="0.25">
      <c r="A3383" t="s">
        <v>3396</v>
      </c>
      <c r="B3383">
        <v>287</v>
      </c>
      <c r="C3383" s="1" t="str">
        <f>HYPERLINK("http://www.rosaceae.org/gb/gbrowse/malus_x_domestica/?name=MDP0000873667","MDP0000873667")</f>
        <v>MDP0000873667</v>
      </c>
      <c r="D3383">
        <v>75.16</v>
      </c>
      <c r="E3383">
        <v>298</v>
      </c>
      <c r="F3383">
        <v>74</v>
      </c>
      <c r="G3383">
        <v>14</v>
      </c>
      <c r="H3383">
        <v>1</v>
      </c>
      <c r="I3383">
        <v>287</v>
      </c>
      <c r="J3383">
        <v>1</v>
      </c>
      <c r="K3383">
        <v>1</v>
      </c>
      <c r="L3383">
        <v>295</v>
      </c>
      <c r="M3383">
        <v>1</v>
      </c>
      <c r="N3383">
        <v>2.1365900000000001E-129</v>
      </c>
      <c r="O3383">
        <v>1180</v>
      </c>
    </row>
    <row r="3384" spans="1:15" x14ac:dyDescent="0.25">
      <c r="A3384" t="s">
        <v>3397</v>
      </c>
      <c r="B3384">
        <v>806</v>
      </c>
      <c r="C3384" s="1" t="str">
        <f>HYPERLINK("http://www.rosaceae.org/gb/gbrowse/malus_x_domestica/?name=MDP0000282472","MDP0000282472")</f>
        <v>MDP0000282472</v>
      </c>
      <c r="D3384">
        <v>60.96</v>
      </c>
      <c r="E3384">
        <v>351</v>
      </c>
      <c r="F3384">
        <v>137</v>
      </c>
      <c r="G3384">
        <v>32</v>
      </c>
      <c r="H3384">
        <v>241</v>
      </c>
      <c r="I3384">
        <v>563</v>
      </c>
      <c r="J3384">
        <v>1</v>
      </c>
      <c r="K3384">
        <v>11</v>
      </c>
      <c r="L3384">
        <v>357</v>
      </c>
      <c r="M3384">
        <v>1</v>
      </c>
      <c r="N3384">
        <v>4.0171700000000001E-108</v>
      </c>
      <c r="O3384">
        <v>1001</v>
      </c>
    </row>
    <row r="3385" spans="1:15" x14ac:dyDescent="0.25">
      <c r="A3385" t="s">
        <v>3398</v>
      </c>
      <c r="B3385">
        <v>202</v>
      </c>
      <c r="C3385" s="1" t="str">
        <f>HYPERLINK("http://www.rosaceae.org/gb/gbrowse/malus_x_domestica/?name=MDP0000308224","MDP0000308224")</f>
        <v>MDP0000308224</v>
      </c>
      <c r="D3385">
        <v>50</v>
      </c>
      <c r="E3385">
        <v>158</v>
      </c>
      <c r="F3385">
        <v>79</v>
      </c>
      <c r="G3385">
        <v>40</v>
      </c>
      <c r="H3385">
        <v>80</v>
      </c>
      <c r="I3385">
        <v>197</v>
      </c>
      <c r="J3385">
        <v>1</v>
      </c>
      <c r="K3385">
        <v>150</v>
      </c>
      <c r="L3385">
        <v>307</v>
      </c>
      <c r="M3385">
        <v>1</v>
      </c>
      <c r="N3385">
        <v>2.65567E-33</v>
      </c>
      <c r="O3385">
        <v>349</v>
      </c>
    </row>
    <row r="3386" spans="1:15" x14ac:dyDescent="0.25">
      <c r="A3386" t="s">
        <v>3399</v>
      </c>
      <c r="B3386">
        <v>367</v>
      </c>
      <c r="C3386" s="1" t="str">
        <f>HYPERLINK("http://www.rosaceae.org/gb/gbrowse/malus_x_domestica/?name=MDP0000774395","MDP0000774395")</f>
        <v>MDP0000774395</v>
      </c>
      <c r="D3386">
        <v>48.01</v>
      </c>
      <c r="E3386">
        <v>227</v>
      </c>
      <c r="F3386">
        <v>118</v>
      </c>
      <c r="G3386">
        <v>24</v>
      </c>
      <c r="H3386">
        <v>21</v>
      </c>
      <c r="I3386">
        <v>242</v>
      </c>
      <c r="J3386">
        <v>1</v>
      </c>
      <c r="K3386">
        <v>24</v>
      </c>
      <c r="L3386">
        <v>231</v>
      </c>
      <c r="M3386">
        <v>1</v>
      </c>
      <c r="N3386">
        <v>1.01044E-46</v>
      </c>
      <c r="O3386">
        <v>468</v>
      </c>
    </row>
    <row r="3387" spans="1:15" x14ac:dyDescent="0.25">
      <c r="A3387" t="s">
        <v>3400</v>
      </c>
      <c r="B3387">
        <v>511</v>
      </c>
      <c r="C3387" s="1" t="str">
        <f>HYPERLINK("http://www.rosaceae.org/gb/gbrowse/malus_x_domestica/?name=MDP0000779624","MDP0000779624")</f>
        <v>MDP0000779624</v>
      </c>
      <c r="D3387">
        <v>84.77</v>
      </c>
      <c r="E3387">
        <v>486</v>
      </c>
      <c r="F3387">
        <v>74</v>
      </c>
      <c r="G3387">
        <v>1</v>
      </c>
      <c r="H3387">
        <v>4</v>
      </c>
      <c r="I3387">
        <v>489</v>
      </c>
      <c r="J3387">
        <v>1</v>
      </c>
      <c r="K3387">
        <v>8</v>
      </c>
      <c r="L3387">
        <v>492</v>
      </c>
      <c r="M3387">
        <v>1</v>
      </c>
      <c r="N3387">
        <v>0</v>
      </c>
      <c r="O3387">
        <v>2311</v>
      </c>
    </row>
    <row r="3388" spans="1:15" x14ac:dyDescent="0.25">
      <c r="A3388" t="s">
        <v>3401</v>
      </c>
      <c r="B3388">
        <v>444</v>
      </c>
      <c r="C3388" s="1" t="str">
        <f>HYPERLINK("http://www.rosaceae.org/gb/gbrowse/malus_x_domestica/?name=MDP0000819132","MDP0000819132")</f>
        <v>MDP0000819132</v>
      </c>
      <c r="D3388">
        <v>66.38</v>
      </c>
      <c r="E3388">
        <v>354</v>
      </c>
      <c r="F3388">
        <v>119</v>
      </c>
      <c r="G3388">
        <v>10</v>
      </c>
      <c r="H3388">
        <v>100</v>
      </c>
      <c r="I3388">
        <v>443</v>
      </c>
      <c r="J3388">
        <v>1</v>
      </c>
      <c r="K3388">
        <v>12</v>
      </c>
      <c r="L3388">
        <v>365</v>
      </c>
      <c r="M3388">
        <v>1</v>
      </c>
      <c r="N3388">
        <v>2.0255900000000002E-130</v>
      </c>
      <c r="O3388">
        <v>1191</v>
      </c>
    </row>
    <row r="3389" spans="1:15" x14ac:dyDescent="0.25">
      <c r="A3389" t="s">
        <v>3402</v>
      </c>
      <c r="B3389">
        <v>740</v>
      </c>
      <c r="C3389" s="1" t="str">
        <f>HYPERLINK("http://www.rosaceae.org/gb/gbrowse/malus_x_domestica/?name=MDP0000186724","MDP0000186724")</f>
        <v>MDP0000186724</v>
      </c>
      <c r="D3389">
        <v>78.3</v>
      </c>
      <c r="E3389">
        <v>719</v>
      </c>
      <c r="F3389">
        <v>156</v>
      </c>
      <c r="G3389">
        <v>12</v>
      </c>
      <c r="H3389">
        <v>19</v>
      </c>
      <c r="I3389">
        <v>734</v>
      </c>
      <c r="J3389">
        <v>1</v>
      </c>
      <c r="K3389">
        <v>21</v>
      </c>
      <c r="L3389">
        <v>730</v>
      </c>
      <c r="M3389">
        <v>1</v>
      </c>
      <c r="N3389">
        <v>0</v>
      </c>
      <c r="O3389">
        <v>2892</v>
      </c>
    </row>
    <row r="3390" spans="1:15" x14ac:dyDescent="0.25">
      <c r="A3390" t="s">
        <v>3403</v>
      </c>
      <c r="B3390">
        <v>108</v>
      </c>
      <c r="C3390" s="1" t="str">
        <f>HYPERLINK("http://www.rosaceae.org/gb/gbrowse/malus_x_domestica/?name=MDP0000751295","MDP0000751295")</f>
        <v>MDP0000751295</v>
      </c>
      <c r="D3390">
        <v>73.14</v>
      </c>
      <c r="E3390">
        <v>108</v>
      </c>
      <c r="F3390">
        <v>29</v>
      </c>
      <c r="G3390">
        <v>0</v>
      </c>
      <c r="H3390">
        <v>1</v>
      </c>
      <c r="I3390">
        <v>108</v>
      </c>
      <c r="J3390">
        <v>1</v>
      </c>
      <c r="K3390">
        <v>1</v>
      </c>
      <c r="L3390">
        <v>108</v>
      </c>
      <c r="M3390">
        <v>1</v>
      </c>
      <c r="N3390">
        <v>1.7008200000000001E-38</v>
      </c>
      <c r="O3390">
        <v>389</v>
      </c>
    </row>
    <row r="3391" spans="1:15" x14ac:dyDescent="0.25">
      <c r="A3391" t="s">
        <v>3404</v>
      </c>
      <c r="B3391">
        <v>191</v>
      </c>
      <c r="C3391" s="1" t="str">
        <f>HYPERLINK("http://www.rosaceae.org/gb/gbrowse/malus_x_domestica/?name=MDP0000849645","MDP0000849645")</f>
        <v>MDP0000849645</v>
      </c>
      <c r="D3391">
        <v>80.92</v>
      </c>
      <c r="E3391">
        <v>194</v>
      </c>
      <c r="F3391">
        <v>37</v>
      </c>
      <c r="G3391">
        <v>4</v>
      </c>
      <c r="H3391">
        <v>1</v>
      </c>
      <c r="I3391">
        <v>191</v>
      </c>
      <c r="J3391">
        <v>1</v>
      </c>
      <c r="K3391">
        <v>1</v>
      </c>
      <c r="L3391">
        <v>193</v>
      </c>
      <c r="M3391">
        <v>1</v>
      </c>
      <c r="N3391">
        <v>3.2953200000000002E-83</v>
      </c>
      <c r="O3391">
        <v>779</v>
      </c>
    </row>
    <row r="3392" spans="1:15" x14ac:dyDescent="0.25">
      <c r="A3392" t="s">
        <v>3405</v>
      </c>
      <c r="B3392">
        <v>501</v>
      </c>
      <c r="C3392" s="1" t="str">
        <f>HYPERLINK("http://www.rosaceae.org/gb/gbrowse/malus_x_domestica/?name=MDP0000209470","MDP0000209470")</f>
        <v>MDP0000209470</v>
      </c>
      <c r="D3392">
        <v>75.84</v>
      </c>
      <c r="E3392">
        <v>530</v>
      </c>
      <c r="F3392">
        <v>128</v>
      </c>
      <c r="G3392">
        <v>42</v>
      </c>
      <c r="H3392">
        <v>1</v>
      </c>
      <c r="I3392">
        <v>489</v>
      </c>
      <c r="J3392">
        <v>1</v>
      </c>
      <c r="K3392">
        <v>1</v>
      </c>
      <c r="L3392">
        <v>529</v>
      </c>
      <c r="M3392">
        <v>1</v>
      </c>
      <c r="N3392">
        <v>0</v>
      </c>
      <c r="O3392">
        <v>2062</v>
      </c>
    </row>
    <row r="3393" spans="1:15" x14ac:dyDescent="0.25">
      <c r="A3393" t="s">
        <v>3406</v>
      </c>
      <c r="B3393">
        <v>329</v>
      </c>
      <c r="C3393" s="1" t="str">
        <f>HYPERLINK("http://www.rosaceae.org/gb/gbrowse/malus_x_domestica/?name=MDP0000168974","MDP0000168974")</f>
        <v>MDP0000168974</v>
      </c>
      <c r="D3393">
        <v>33.840000000000003</v>
      </c>
      <c r="E3393">
        <v>393</v>
      </c>
      <c r="F3393">
        <v>260</v>
      </c>
      <c r="G3393">
        <v>76</v>
      </c>
      <c r="H3393">
        <v>6</v>
      </c>
      <c r="I3393">
        <v>326</v>
      </c>
      <c r="J3393">
        <v>1</v>
      </c>
      <c r="K3393">
        <v>2</v>
      </c>
      <c r="L3393">
        <v>390</v>
      </c>
      <c r="M3393">
        <v>1</v>
      </c>
      <c r="N3393">
        <v>1.50074E-40</v>
      </c>
      <c r="O3393">
        <v>414</v>
      </c>
    </row>
    <row r="3394" spans="1:15" x14ac:dyDescent="0.25">
      <c r="A3394" t="s">
        <v>3407</v>
      </c>
      <c r="B3394">
        <v>158</v>
      </c>
      <c r="C3394" s="1" t="str">
        <f>HYPERLINK("http://www.rosaceae.org/gb/gbrowse/malus_x_domestica/?name=MDP0000327226","MDP0000327226")</f>
        <v>MDP0000327226</v>
      </c>
      <c r="D3394">
        <v>71.02</v>
      </c>
      <c r="E3394">
        <v>107</v>
      </c>
      <c r="F3394">
        <v>31</v>
      </c>
      <c r="G3394">
        <v>26</v>
      </c>
      <c r="H3394">
        <v>37</v>
      </c>
      <c r="I3394">
        <v>117</v>
      </c>
      <c r="J3394">
        <v>1</v>
      </c>
      <c r="K3394">
        <v>1</v>
      </c>
      <c r="L3394">
        <v>107</v>
      </c>
      <c r="M3394">
        <v>1</v>
      </c>
      <c r="N3394">
        <v>6.3329400000000003E-35</v>
      </c>
      <c r="O3394">
        <v>361</v>
      </c>
    </row>
    <row r="3395" spans="1:15" x14ac:dyDescent="0.25">
      <c r="A3395" t="s">
        <v>3408</v>
      </c>
      <c r="B3395">
        <v>444</v>
      </c>
      <c r="C3395" s="1" t="str">
        <f>HYPERLINK("http://www.rosaceae.org/gb/gbrowse/malus_x_domestica/?name=MDP0000371737","MDP0000371737")</f>
        <v>MDP0000371737</v>
      </c>
      <c r="D3395">
        <v>59.6</v>
      </c>
      <c r="E3395">
        <v>458</v>
      </c>
      <c r="F3395">
        <v>185</v>
      </c>
      <c r="G3395">
        <v>31</v>
      </c>
      <c r="H3395">
        <v>1</v>
      </c>
      <c r="I3395">
        <v>444</v>
      </c>
      <c r="J3395">
        <v>1</v>
      </c>
      <c r="K3395">
        <v>1</v>
      </c>
      <c r="L3395">
        <v>441</v>
      </c>
      <c r="M3395">
        <v>1</v>
      </c>
      <c r="N3395">
        <v>1.63377E-152</v>
      </c>
      <c r="O3395">
        <v>1381</v>
      </c>
    </row>
    <row r="3396" spans="1:15" x14ac:dyDescent="0.25">
      <c r="A3396" t="s">
        <v>3409</v>
      </c>
      <c r="B3396">
        <v>99</v>
      </c>
      <c r="C3396" s="1" t="str">
        <f>HYPERLINK("http://www.rosaceae.org/gb/gbrowse/malus_x_domestica/?name=MDP0000219706","MDP0000219706")</f>
        <v>MDP0000219706</v>
      </c>
      <c r="D3396">
        <v>43.39</v>
      </c>
      <c r="E3396">
        <v>53</v>
      </c>
      <c r="F3396">
        <v>30</v>
      </c>
      <c r="G3396">
        <v>0</v>
      </c>
      <c r="H3396">
        <v>39</v>
      </c>
      <c r="I3396">
        <v>91</v>
      </c>
      <c r="J3396">
        <v>1</v>
      </c>
      <c r="K3396">
        <v>470</v>
      </c>
      <c r="L3396">
        <v>522</v>
      </c>
      <c r="M3396">
        <v>1</v>
      </c>
      <c r="N3396">
        <v>7.7211099999999994E-8</v>
      </c>
      <c r="O3396">
        <v>125</v>
      </c>
    </row>
    <row r="3397" spans="1:15" x14ac:dyDescent="0.25">
      <c r="A3397" t="s">
        <v>3410</v>
      </c>
      <c r="B3397">
        <v>403</v>
      </c>
      <c r="C3397" s="1" t="str">
        <f>HYPERLINK("http://www.rosaceae.org/gb/gbrowse/malus_x_domestica/?name=MDP0000166059","MDP0000166059")</f>
        <v>MDP0000166059</v>
      </c>
      <c r="D3397">
        <v>67.06</v>
      </c>
      <c r="E3397">
        <v>167</v>
      </c>
      <c r="F3397">
        <v>55</v>
      </c>
      <c r="G3397">
        <v>0</v>
      </c>
      <c r="H3397">
        <v>55</v>
      </c>
      <c r="I3397">
        <v>221</v>
      </c>
      <c r="J3397">
        <v>1</v>
      </c>
      <c r="K3397">
        <v>50</v>
      </c>
      <c r="L3397">
        <v>216</v>
      </c>
      <c r="M3397">
        <v>1</v>
      </c>
      <c r="N3397">
        <v>3.5913799999999999E-63</v>
      </c>
      <c r="O3397">
        <v>610</v>
      </c>
    </row>
    <row r="3398" spans="1:15" x14ac:dyDescent="0.25">
      <c r="A3398" t="s">
        <v>3411</v>
      </c>
      <c r="B3398">
        <v>367</v>
      </c>
      <c r="C3398" s="1" t="str">
        <f>HYPERLINK("http://www.rosaceae.org/gb/gbrowse/malus_x_domestica/?name=MDP0000889159","MDP0000889159")</f>
        <v>MDP0000889159</v>
      </c>
      <c r="D3398">
        <v>58.62</v>
      </c>
      <c r="E3398">
        <v>377</v>
      </c>
      <c r="F3398">
        <v>156</v>
      </c>
      <c r="G3398">
        <v>29</v>
      </c>
      <c r="H3398">
        <v>1</v>
      </c>
      <c r="I3398">
        <v>367</v>
      </c>
      <c r="J3398">
        <v>1</v>
      </c>
      <c r="K3398">
        <v>1</v>
      </c>
      <c r="L3398">
        <v>358</v>
      </c>
      <c r="M3398">
        <v>1</v>
      </c>
      <c r="N3398">
        <v>1.0878399999999999E-108</v>
      </c>
      <c r="O3398">
        <v>1002</v>
      </c>
    </row>
    <row r="3399" spans="1:15" x14ac:dyDescent="0.25">
      <c r="A3399" t="s">
        <v>3412</v>
      </c>
      <c r="B3399">
        <v>956</v>
      </c>
      <c r="C3399" s="1" t="str">
        <f>HYPERLINK("http://www.rosaceae.org/gb/gbrowse/malus_x_domestica/?name=MDP0000810883","MDP0000810883")</f>
        <v>MDP0000810883</v>
      </c>
      <c r="D3399">
        <v>78.400000000000006</v>
      </c>
      <c r="E3399">
        <v>963</v>
      </c>
      <c r="F3399">
        <v>208</v>
      </c>
      <c r="G3399">
        <v>7</v>
      </c>
      <c r="H3399">
        <v>1</v>
      </c>
      <c r="I3399">
        <v>956</v>
      </c>
      <c r="J3399">
        <v>1</v>
      </c>
      <c r="K3399">
        <v>1</v>
      </c>
      <c r="L3399">
        <v>963</v>
      </c>
      <c r="M3399">
        <v>1</v>
      </c>
      <c r="N3399">
        <v>0</v>
      </c>
      <c r="O3399">
        <v>3977</v>
      </c>
    </row>
    <row r="3400" spans="1:15" x14ac:dyDescent="0.25">
      <c r="A3400" t="s">
        <v>3413</v>
      </c>
      <c r="B3400">
        <v>312</v>
      </c>
      <c r="C3400" s="1" t="str">
        <f>HYPERLINK("http://www.rosaceae.org/gb/gbrowse/malus_x_domestica/?name=MDP0000128505","MDP0000128505")</f>
        <v>MDP0000128505</v>
      </c>
      <c r="D3400">
        <v>61.93</v>
      </c>
      <c r="E3400">
        <v>331</v>
      </c>
      <c r="F3400">
        <v>126</v>
      </c>
      <c r="G3400">
        <v>22</v>
      </c>
      <c r="H3400">
        <v>1</v>
      </c>
      <c r="I3400">
        <v>312</v>
      </c>
      <c r="J3400">
        <v>1</v>
      </c>
      <c r="K3400">
        <v>1</v>
      </c>
      <c r="L3400">
        <v>328</v>
      </c>
      <c r="M3400">
        <v>1</v>
      </c>
      <c r="N3400">
        <v>9.9999999999999997E-106</v>
      </c>
      <c r="O3400">
        <v>976</v>
      </c>
    </row>
    <row r="3401" spans="1:15" x14ac:dyDescent="0.25">
      <c r="A3401" t="s">
        <v>3414</v>
      </c>
      <c r="B3401">
        <v>185</v>
      </c>
      <c r="C3401" s="1" t="str">
        <f>HYPERLINK("http://www.rosaceae.org/gb/gbrowse/malus_x_domestica/?name=MDP0000264585","MDP0000264585")</f>
        <v>MDP0000264585</v>
      </c>
      <c r="D3401">
        <v>71.819999999999993</v>
      </c>
      <c r="E3401">
        <v>181</v>
      </c>
      <c r="F3401">
        <v>51</v>
      </c>
      <c r="G3401">
        <v>1</v>
      </c>
      <c r="H3401">
        <v>5</v>
      </c>
      <c r="I3401">
        <v>185</v>
      </c>
      <c r="J3401">
        <v>1</v>
      </c>
      <c r="K3401">
        <v>95</v>
      </c>
      <c r="L3401">
        <v>274</v>
      </c>
      <c r="M3401">
        <v>1</v>
      </c>
      <c r="N3401">
        <v>3.4087500000000003E-76</v>
      </c>
      <c r="O3401">
        <v>718</v>
      </c>
    </row>
    <row r="3402" spans="1:15" x14ac:dyDescent="0.25">
      <c r="A3402" t="s">
        <v>3415</v>
      </c>
      <c r="B3402">
        <v>701</v>
      </c>
      <c r="C3402" s="1" t="str">
        <f>HYPERLINK("http://www.rosaceae.org/gb/gbrowse/malus_x_domestica/?name=MDP0000811991","MDP0000811991")</f>
        <v>MDP0000811991</v>
      </c>
      <c r="D3402">
        <v>70.569999999999993</v>
      </c>
      <c r="E3402">
        <v>700</v>
      </c>
      <c r="F3402">
        <v>206</v>
      </c>
      <c r="G3402">
        <v>23</v>
      </c>
      <c r="H3402">
        <v>3</v>
      </c>
      <c r="I3402">
        <v>701</v>
      </c>
      <c r="J3402">
        <v>1</v>
      </c>
      <c r="K3402">
        <v>12</v>
      </c>
      <c r="L3402">
        <v>689</v>
      </c>
      <c r="M3402">
        <v>1</v>
      </c>
      <c r="N3402">
        <v>0</v>
      </c>
      <c r="O3402">
        <v>2575</v>
      </c>
    </row>
    <row r="3403" spans="1:15" x14ac:dyDescent="0.25">
      <c r="A3403" t="s">
        <v>3416</v>
      </c>
      <c r="B3403">
        <v>217</v>
      </c>
      <c r="C3403" s="1" t="str">
        <f>HYPERLINK("http://www.rosaceae.org/gb/gbrowse/malus_x_domestica/?name=MDP0000815292","MDP0000815292")</f>
        <v>MDP0000815292</v>
      </c>
      <c r="D3403">
        <v>69.86</v>
      </c>
      <c r="E3403">
        <v>219</v>
      </c>
      <c r="F3403">
        <v>66</v>
      </c>
      <c r="G3403">
        <v>3</v>
      </c>
      <c r="H3403">
        <v>1</v>
      </c>
      <c r="I3403">
        <v>217</v>
      </c>
      <c r="J3403">
        <v>1</v>
      </c>
      <c r="K3403">
        <v>1</v>
      </c>
      <c r="L3403">
        <v>218</v>
      </c>
      <c r="M3403">
        <v>1</v>
      </c>
      <c r="N3403">
        <v>8.1350200000000004E-77</v>
      </c>
      <c r="O3403">
        <v>725</v>
      </c>
    </row>
    <row r="3404" spans="1:15" x14ac:dyDescent="0.25">
      <c r="A3404" t="s">
        <v>3417</v>
      </c>
      <c r="B3404">
        <v>299</v>
      </c>
      <c r="C3404" s="1" t="str">
        <f>HYPERLINK("http://www.rosaceae.org/gb/gbrowse/malus_x_domestica/?name=MDP0000417211","MDP0000417211")</f>
        <v>MDP0000417211</v>
      </c>
      <c r="D3404">
        <v>50</v>
      </c>
      <c r="E3404">
        <v>132</v>
      </c>
      <c r="F3404">
        <v>66</v>
      </c>
      <c r="G3404">
        <v>0</v>
      </c>
      <c r="H3404">
        <v>155</v>
      </c>
      <c r="I3404">
        <v>286</v>
      </c>
      <c r="J3404">
        <v>1</v>
      </c>
      <c r="K3404">
        <v>35</v>
      </c>
      <c r="L3404">
        <v>166</v>
      </c>
      <c r="M3404">
        <v>1</v>
      </c>
      <c r="N3404">
        <v>1.3152300000000001E-32</v>
      </c>
      <c r="O3404">
        <v>345</v>
      </c>
    </row>
    <row r="3405" spans="1:15" x14ac:dyDescent="0.25">
      <c r="A3405" t="s">
        <v>3418</v>
      </c>
      <c r="B3405">
        <v>509</v>
      </c>
      <c r="C3405" s="1" t="str">
        <f>HYPERLINK("http://www.rosaceae.org/gb/gbrowse/malus_x_domestica/?name=MDP0000252114","MDP0000252114")</f>
        <v>MDP0000252114</v>
      </c>
      <c r="D3405">
        <v>63.58</v>
      </c>
      <c r="E3405">
        <v>346</v>
      </c>
      <c r="F3405">
        <v>126</v>
      </c>
      <c r="G3405">
        <v>16</v>
      </c>
      <c r="H3405">
        <v>163</v>
      </c>
      <c r="I3405">
        <v>504</v>
      </c>
      <c r="J3405">
        <v>1</v>
      </c>
      <c r="K3405">
        <v>226</v>
      </c>
      <c r="L3405">
        <v>559</v>
      </c>
      <c r="M3405">
        <v>1</v>
      </c>
      <c r="N3405">
        <v>2.40956E-118</v>
      </c>
      <c r="O3405">
        <v>1087</v>
      </c>
    </row>
    <row r="3406" spans="1:15" x14ac:dyDescent="0.25">
      <c r="A3406" t="s">
        <v>3419</v>
      </c>
      <c r="B3406">
        <v>662</v>
      </c>
      <c r="C3406" s="1" t="str">
        <f>HYPERLINK("http://www.rosaceae.org/gb/gbrowse/malus_x_domestica/?name=MDP0000497581","MDP0000497581")</f>
        <v>MDP0000497581</v>
      </c>
      <c r="D3406">
        <v>85.27</v>
      </c>
      <c r="E3406">
        <v>645</v>
      </c>
      <c r="F3406">
        <v>95</v>
      </c>
      <c r="G3406">
        <v>10</v>
      </c>
      <c r="H3406">
        <v>1</v>
      </c>
      <c r="I3406">
        <v>641</v>
      </c>
      <c r="J3406">
        <v>1</v>
      </c>
      <c r="K3406">
        <v>1</v>
      </c>
      <c r="L3406">
        <v>639</v>
      </c>
      <c r="M3406">
        <v>1</v>
      </c>
      <c r="N3406">
        <v>0</v>
      </c>
      <c r="O3406">
        <v>2814</v>
      </c>
    </row>
    <row r="3407" spans="1:15" x14ac:dyDescent="0.25">
      <c r="A3407" t="s">
        <v>3420</v>
      </c>
      <c r="B3407">
        <v>378</v>
      </c>
      <c r="C3407" s="1" t="str">
        <f>HYPERLINK("http://www.rosaceae.org/gb/gbrowse/malus_x_domestica/?name=MDP0000282761","MDP0000282761")</f>
        <v>MDP0000282761</v>
      </c>
      <c r="D3407">
        <v>37.090000000000003</v>
      </c>
      <c r="E3407">
        <v>124</v>
      </c>
      <c r="F3407">
        <v>78</v>
      </c>
      <c r="G3407">
        <v>10</v>
      </c>
      <c r="H3407">
        <v>235</v>
      </c>
      <c r="I3407">
        <v>354</v>
      </c>
      <c r="J3407">
        <v>1</v>
      </c>
      <c r="K3407">
        <v>66</v>
      </c>
      <c r="L3407">
        <v>183</v>
      </c>
      <c r="M3407">
        <v>1</v>
      </c>
      <c r="N3407">
        <v>2.0220899999999998E-11</v>
      </c>
      <c r="O3407">
        <v>164</v>
      </c>
    </row>
    <row r="3408" spans="1:15" x14ac:dyDescent="0.25">
      <c r="A3408" t="s">
        <v>3421</v>
      </c>
      <c r="B3408">
        <v>302</v>
      </c>
      <c r="C3408" s="1" t="str">
        <f>HYPERLINK("http://www.rosaceae.org/gb/gbrowse/malus_x_domestica/?name=MDP0000283804","MDP0000283804")</f>
        <v>MDP0000283804</v>
      </c>
      <c r="D3408">
        <v>35.9</v>
      </c>
      <c r="E3408">
        <v>337</v>
      </c>
      <c r="F3408">
        <v>216</v>
      </c>
      <c r="G3408">
        <v>85</v>
      </c>
      <c r="H3408">
        <v>18</v>
      </c>
      <c r="I3408">
        <v>277</v>
      </c>
      <c r="J3408">
        <v>1</v>
      </c>
      <c r="K3408">
        <v>80</v>
      </c>
      <c r="L3408">
        <v>408</v>
      </c>
      <c r="M3408">
        <v>1</v>
      </c>
      <c r="N3408">
        <v>5.6866099999999999E-42</v>
      </c>
      <c r="O3408">
        <v>426</v>
      </c>
    </row>
    <row r="3409" spans="1:15" x14ac:dyDescent="0.25">
      <c r="A3409" t="s">
        <v>3422</v>
      </c>
      <c r="B3409">
        <v>118</v>
      </c>
      <c r="C3409" s="1" t="str">
        <f>HYPERLINK("http://www.rosaceae.org/gb/gbrowse/malus_x_domestica/?name=MDP0000204225","MDP0000204225")</f>
        <v>MDP0000204225</v>
      </c>
      <c r="D3409">
        <v>56.81</v>
      </c>
      <c r="E3409">
        <v>44</v>
      </c>
      <c r="F3409">
        <v>19</v>
      </c>
      <c r="G3409">
        <v>0</v>
      </c>
      <c r="H3409">
        <v>21</v>
      </c>
      <c r="I3409">
        <v>64</v>
      </c>
      <c r="J3409">
        <v>1</v>
      </c>
      <c r="K3409">
        <v>1005</v>
      </c>
      <c r="L3409">
        <v>1048</v>
      </c>
      <c r="M3409">
        <v>1</v>
      </c>
      <c r="N3409">
        <v>6.3088599999999997E-9</v>
      </c>
      <c r="O3409">
        <v>134</v>
      </c>
    </row>
    <row r="3410" spans="1:15" x14ac:dyDescent="0.25">
      <c r="A3410" t="s">
        <v>3423</v>
      </c>
      <c r="B3410">
        <v>193</v>
      </c>
      <c r="C3410" s="1" t="str">
        <f>HYPERLINK("http://www.rosaceae.org/gb/gbrowse/malus_x_domestica/?name=MDP0000380299","MDP0000380299")</f>
        <v>MDP0000380299</v>
      </c>
      <c r="D3410">
        <v>86.53</v>
      </c>
      <c r="E3410">
        <v>52</v>
      </c>
      <c r="F3410">
        <v>7</v>
      </c>
      <c r="G3410">
        <v>0</v>
      </c>
      <c r="H3410">
        <v>107</v>
      </c>
      <c r="I3410">
        <v>158</v>
      </c>
      <c r="J3410">
        <v>1</v>
      </c>
      <c r="K3410">
        <v>1</v>
      </c>
      <c r="L3410">
        <v>52</v>
      </c>
      <c r="M3410">
        <v>1</v>
      </c>
      <c r="N3410">
        <v>4.4402100000000002E-20</v>
      </c>
      <c r="O3410">
        <v>234</v>
      </c>
    </row>
    <row r="3411" spans="1:15" x14ac:dyDescent="0.25">
      <c r="A3411" t="s">
        <v>3424</v>
      </c>
      <c r="B3411">
        <v>374</v>
      </c>
      <c r="C3411" s="1" t="str">
        <f>HYPERLINK("http://www.rosaceae.org/gb/gbrowse/malus_x_domestica/?name=MDP0000652004","MDP0000652004")</f>
        <v>MDP0000652004</v>
      </c>
      <c r="D3411">
        <v>69.459999999999994</v>
      </c>
      <c r="E3411">
        <v>393</v>
      </c>
      <c r="F3411">
        <v>120</v>
      </c>
      <c r="G3411">
        <v>23</v>
      </c>
      <c r="H3411">
        <v>1</v>
      </c>
      <c r="I3411">
        <v>374</v>
      </c>
      <c r="J3411">
        <v>1</v>
      </c>
      <c r="K3411">
        <v>1</v>
      </c>
      <c r="L3411">
        <v>389</v>
      </c>
      <c r="M3411">
        <v>1</v>
      </c>
      <c r="N3411">
        <v>2.3569700000000001E-151</v>
      </c>
      <c r="O3411">
        <v>1370</v>
      </c>
    </row>
    <row r="3412" spans="1:15" x14ac:dyDescent="0.25">
      <c r="A3412" t="s">
        <v>3425</v>
      </c>
      <c r="B3412">
        <v>286</v>
      </c>
      <c r="C3412" s="1" t="str">
        <f>HYPERLINK("http://www.rosaceae.org/gb/gbrowse/malus_x_domestica/?name=MDP0000232865","MDP0000232865")</f>
        <v>MDP0000232865</v>
      </c>
      <c r="D3412">
        <v>65.16</v>
      </c>
      <c r="E3412">
        <v>244</v>
      </c>
      <c r="F3412">
        <v>85</v>
      </c>
      <c r="G3412">
        <v>2</v>
      </c>
      <c r="H3412">
        <v>38</v>
      </c>
      <c r="I3412">
        <v>279</v>
      </c>
      <c r="J3412">
        <v>1</v>
      </c>
      <c r="K3412">
        <v>28</v>
      </c>
      <c r="L3412">
        <v>271</v>
      </c>
      <c r="M3412">
        <v>1</v>
      </c>
      <c r="N3412">
        <v>3.37447E-88</v>
      </c>
      <c r="O3412">
        <v>824</v>
      </c>
    </row>
    <row r="3413" spans="1:15" x14ac:dyDescent="0.25">
      <c r="A3413" t="s">
        <v>3426</v>
      </c>
      <c r="B3413">
        <v>406</v>
      </c>
      <c r="C3413" s="1" t="str">
        <f>HYPERLINK("http://www.rosaceae.org/gb/gbrowse/malus_x_domestica/?name=MDP0000289123","MDP0000289123")</f>
        <v>MDP0000289123</v>
      </c>
      <c r="D3413">
        <v>37.549999999999997</v>
      </c>
      <c r="E3413">
        <v>418</v>
      </c>
      <c r="F3413">
        <v>261</v>
      </c>
      <c r="G3413">
        <v>49</v>
      </c>
      <c r="H3413">
        <v>1</v>
      </c>
      <c r="I3413">
        <v>394</v>
      </c>
      <c r="J3413">
        <v>1</v>
      </c>
      <c r="K3413">
        <v>20</v>
      </c>
      <c r="L3413">
        <v>412</v>
      </c>
      <c r="M3413">
        <v>1</v>
      </c>
      <c r="N3413">
        <v>9.3240000000000004E-59</v>
      </c>
      <c r="O3413">
        <v>572</v>
      </c>
    </row>
    <row r="3414" spans="1:15" x14ac:dyDescent="0.25">
      <c r="A3414" t="s">
        <v>3427</v>
      </c>
      <c r="B3414">
        <v>198</v>
      </c>
      <c r="C3414" s="1" t="str">
        <f>HYPERLINK("http://www.rosaceae.org/gb/gbrowse/malus_x_domestica/?name=MDP0000201095","MDP0000201095")</f>
        <v>MDP0000201095</v>
      </c>
      <c r="D3414">
        <v>66.03</v>
      </c>
      <c r="E3414">
        <v>106</v>
      </c>
      <c r="F3414">
        <v>36</v>
      </c>
      <c r="G3414">
        <v>21</v>
      </c>
      <c r="H3414">
        <v>57</v>
      </c>
      <c r="I3414">
        <v>149</v>
      </c>
      <c r="J3414">
        <v>1</v>
      </c>
      <c r="K3414">
        <v>95</v>
      </c>
      <c r="L3414">
        <v>192</v>
      </c>
      <c r="M3414">
        <v>1</v>
      </c>
      <c r="N3414">
        <v>3.7203400000000002E-30</v>
      </c>
      <c r="O3414">
        <v>322</v>
      </c>
    </row>
    <row r="3415" spans="1:15" x14ac:dyDescent="0.25">
      <c r="A3415" t="s">
        <v>3428</v>
      </c>
      <c r="B3415">
        <v>1210</v>
      </c>
      <c r="C3415" s="1" t="str">
        <f>HYPERLINK("http://www.rosaceae.org/gb/gbrowse/malus_x_domestica/?name=MDP0000175028","MDP0000175028")</f>
        <v>MDP0000175028</v>
      </c>
      <c r="D3415">
        <v>82.08</v>
      </c>
      <c r="E3415">
        <v>1111</v>
      </c>
      <c r="F3415">
        <v>199</v>
      </c>
      <c r="G3415">
        <v>45</v>
      </c>
      <c r="H3415">
        <v>142</v>
      </c>
      <c r="I3415">
        <v>1210</v>
      </c>
      <c r="J3415">
        <v>1</v>
      </c>
      <c r="K3415">
        <v>16</v>
      </c>
      <c r="L3415">
        <v>1123</v>
      </c>
      <c r="M3415">
        <v>1</v>
      </c>
      <c r="N3415">
        <v>0</v>
      </c>
      <c r="O3415">
        <v>4910</v>
      </c>
    </row>
    <row r="3416" spans="1:15" x14ac:dyDescent="0.25">
      <c r="A3416" t="s">
        <v>3429</v>
      </c>
      <c r="B3416">
        <v>370</v>
      </c>
      <c r="C3416" s="1" t="str">
        <f>HYPERLINK("http://www.rosaceae.org/gb/gbrowse/malus_x_domestica/?name=MDP0000453207","MDP0000453207")</f>
        <v>MDP0000453207</v>
      </c>
      <c r="D3416">
        <v>44.11</v>
      </c>
      <c r="E3416">
        <v>340</v>
      </c>
      <c r="F3416">
        <v>190</v>
      </c>
      <c r="G3416">
        <v>10</v>
      </c>
      <c r="H3416">
        <v>27</v>
      </c>
      <c r="I3416">
        <v>364</v>
      </c>
      <c r="J3416">
        <v>1</v>
      </c>
      <c r="K3416">
        <v>44</v>
      </c>
      <c r="L3416">
        <v>375</v>
      </c>
      <c r="M3416">
        <v>1</v>
      </c>
      <c r="N3416">
        <v>2.4267700000000001E-85</v>
      </c>
      <c r="O3416">
        <v>801</v>
      </c>
    </row>
    <row r="3417" spans="1:15" x14ac:dyDescent="0.25">
      <c r="A3417" t="s">
        <v>3430</v>
      </c>
      <c r="B3417">
        <v>554</v>
      </c>
      <c r="C3417" s="1" t="str">
        <f>HYPERLINK("http://www.rosaceae.org/gb/gbrowse/malus_x_domestica/?name=MDP0000194070","MDP0000194070")</f>
        <v>MDP0000194070</v>
      </c>
      <c r="D3417">
        <v>74.03</v>
      </c>
      <c r="E3417">
        <v>570</v>
      </c>
      <c r="F3417">
        <v>148</v>
      </c>
      <c r="G3417">
        <v>19</v>
      </c>
      <c r="H3417">
        <v>1</v>
      </c>
      <c r="I3417">
        <v>554</v>
      </c>
      <c r="J3417">
        <v>1</v>
      </c>
      <c r="K3417">
        <v>1</v>
      </c>
      <c r="L3417">
        <v>567</v>
      </c>
      <c r="M3417">
        <v>1</v>
      </c>
      <c r="N3417">
        <v>0</v>
      </c>
      <c r="O3417">
        <v>2208</v>
      </c>
    </row>
    <row r="3418" spans="1:15" x14ac:dyDescent="0.25">
      <c r="A3418" t="s">
        <v>3431</v>
      </c>
      <c r="B3418">
        <v>153</v>
      </c>
      <c r="C3418" s="1" t="str">
        <f>HYPERLINK("http://www.rosaceae.org/gb/gbrowse/malus_x_domestica/?name=MDP0000578301","MDP0000578301")</f>
        <v>MDP0000578301</v>
      </c>
      <c r="D3418">
        <v>58.04</v>
      </c>
      <c r="E3418">
        <v>143</v>
      </c>
      <c r="F3418">
        <v>60</v>
      </c>
      <c r="G3418">
        <v>1</v>
      </c>
      <c r="H3418">
        <v>1</v>
      </c>
      <c r="I3418">
        <v>142</v>
      </c>
      <c r="J3418">
        <v>1</v>
      </c>
      <c r="K3418">
        <v>148</v>
      </c>
      <c r="L3418">
        <v>290</v>
      </c>
      <c r="M3418">
        <v>1</v>
      </c>
      <c r="N3418">
        <v>1.53822E-40</v>
      </c>
      <c r="O3418">
        <v>409</v>
      </c>
    </row>
    <row r="3419" spans="1:15" x14ac:dyDescent="0.25">
      <c r="A3419" t="s">
        <v>3432</v>
      </c>
      <c r="B3419">
        <v>313</v>
      </c>
      <c r="C3419" s="1" t="str">
        <f>HYPERLINK("http://www.rosaceae.org/gb/gbrowse/malus_x_domestica/?name=MDP0000205928","MDP0000205928")</f>
        <v>MDP0000205928</v>
      </c>
      <c r="D3419">
        <v>80.19</v>
      </c>
      <c r="E3419">
        <v>207</v>
      </c>
      <c r="F3419">
        <v>41</v>
      </c>
      <c r="G3419">
        <v>13</v>
      </c>
      <c r="H3419">
        <v>51</v>
      </c>
      <c r="I3419">
        <v>244</v>
      </c>
      <c r="J3419">
        <v>1</v>
      </c>
      <c r="K3419">
        <v>1</v>
      </c>
      <c r="L3419">
        <v>207</v>
      </c>
      <c r="M3419">
        <v>1</v>
      </c>
      <c r="N3419">
        <v>3.7111100000000001E-88</v>
      </c>
      <c r="O3419">
        <v>824</v>
      </c>
    </row>
    <row r="3420" spans="1:15" x14ac:dyDescent="0.25">
      <c r="A3420" t="s">
        <v>3433</v>
      </c>
      <c r="B3420">
        <v>301</v>
      </c>
      <c r="C3420" s="1" t="str">
        <f>HYPERLINK("http://www.rosaceae.org/gb/gbrowse/malus_x_domestica/?name=MDP0000145216","MDP0000145216")</f>
        <v>MDP0000145216</v>
      </c>
      <c r="D3420">
        <v>66.66</v>
      </c>
      <c r="E3420">
        <v>234</v>
      </c>
      <c r="F3420">
        <v>78</v>
      </c>
      <c r="G3420">
        <v>2</v>
      </c>
      <c r="H3420">
        <v>38</v>
      </c>
      <c r="I3420">
        <v>269</v>
      </c>
      <c r="J3420">
        <v>1</v>
      </c>
      <c r="K3420">
        <v>1</v>
      </c>
      <c r="L3420">
        <v>234</v>
      </c>
      <c r="M3420">
        <v>1</v>
      </c>
      <c r="N3420">
        <v>1.9095699999999999E-76</v>
      </c>
      <c r="O3420">
        <v>723</v>
      </c>
    </row>
    <row r="3421" spans="1:15" x14ac:dyDescent="0.25">
      <c r="A3421" t="s">
        <v>3434</v>
      </c>
      <c r="B3421">
        <v>1160</v>
      </c>
      <c r="C3421" s="1" t="str">
        <f>HYPERLINK("http://www.rosaceae.org/gb/gbrowse/malus_x_domestica/?name=MDP0000299025","MDP0000299025")</f>
        <v>MDP0000299025</v>
      </c>
      <c r="D3421">
        <v>66.959999999999994</v>
      </c>
      <c r="E3421">
        <v>1235</v>
      </c>
      <c r="F3421">
        <v>408</v>
      </c>
      <c r="G3421">
        <v>110</v>
      </c>
      <c r="H3421">
        <v>2</v>
      </c>
      <c r="I3421">
        <v>1158</v>
      </c>
      <c r="J3421">
        <v>1</v>
      </c>
      <c r="K3421">
        <v>3</v>
      </c>
      <c r="L3421">
        <v>1205</v>
      </c>
      <c r="M3421">
        <v>1</v>
      </c>
      <c r="N3421">
        <v>0</v>
      </c>
      <c r="O3421">
        <v>4035</v>
      </c>
    </row>
    <row r="3422" spans="1:15" x14ac:dyDescent="0.25">
      <c r="A3422" t="s">
        <v>3435</v>
      </c>
      <c r="B3422">
        <v>976</v>
      </c>
      <c r="C3422" s="1" t="str">
        <f>HYPERLINK("http://www.rosaceae.org/gb/gbrowse/malus_x_domestica/?name=MDP0000242726","MDP0000242726")</f>
        <v>MDP0000242726</v>
      </c>
      <c r="D3422">
        <v>58</v>
      </c>
      <c r="E3422">
        <v>581</v>
      </c>
      <c r="F3422">
        <v>244</v>
      </c>
      <c r="G3422">
        <v>106</v>
      </c>
      <c r="H3422">
        <v>16</v>
      </c>
      <c r="I3422">
        <v>531</v>
      </c>
      <c r="J3422">
        <v>1</v>
      </c>
      <c r="K3422">
        <v>22</v>
      </c>
      <c r="L3422">
        <v>561</v>
      </c>
      <c r="M3422">
        <v>1</v>
      </c>
      <c r="N3422">
        <v>1.29473E-176</v>
      </c>
      <c r="O3422">
        <v>1592</v>
      </c>
    </row>
    <row r="3423" spans="1:15" x14ac:dyDescent="0.25">
      <c r="A3423" t="s">
        <v>3436</v>
      </c>
      <c r="B3423">
        <v>491</v>
      </c>
      <c r="C3423" s="1" t="str">
        <f>HYPERLINK("http://www.rosaceae.org/gb/gbrowse/malus_x_domestica/?name=MDP0000863404","MDP0000863404")</f>
        <v>MDP0000863404</v>
      </c>
      <c r="D3423">
        <v>66.98</v>
      </c>
      <c r="E3423">
        <v>424</v>
      </c>
      <c r="F3423">
        <v>140</v>
      </c>
      <c r="G3423">
        <v>14</v>
      </c>
      <c r="H3423">
        <v>74</v>
      </c>
      <c r="I3423">
        <v>490</v>
      </c>
      <c r="J3423">
        <v>1</v>
      </c>
      <c r="K3423">
        <v>75</v>
      </c>
      <c r="L3423">
        <v>491</v>
      </c>
      <c r="M3423">
        <v>1</v>
      </c>
      <c r="N3423">
        <v>4.9343299999999998E-157</v>
      </c>
      <c r="O3423">
        <v>1421</v>
      </c>
    </row>
    <row r="3424" spans="1:15" x14ac:dyDescent="0.25">
      <c r="A3424" t="s">
        <v>3437</v>
      </c>
      <c r="B3424">
        <v>402</v>
      </c>
      <c r="C3424" s="1" t="str">
        <f>HYPERLINK("http://www.rosaceae.org/gb/gbrowse/malus_x_domestica/?name=MDP0000222340","MDP0000222340")</f>
        <v>MDP0000222340</v>
      </c>
      <c r="D3424">
        <v>49.15</v>
      </c>
      <c r="E3424">
        <v>415</v>
      </c>
      <c r="F3424">
        <v>211</v>
      </c>
      <c r="G3424">
        <v>30</v>
      </c>
      <c r="H3424">
        <v>1</v>
      </c>
      <c r="I3424">
        <v>395</v>
      </c>
      <c r="J3424">
        <v>1</v>
      </c>
      <c r="K3424">
        <v>1</v>
      </c>
      <c r="L3424">
        <v>405</v>
      </c>
      <c r="M3424">
        <v>1</v>
      </c>
      <c r="N3424">
        <v>3.4042999999999998E-92</v>
      </c>
      <c r="O3424">
        <v>861</v>
      </c>
    </row>
    <row r="3425" spans="1:15" x14ac:dyDescent="0.25">
      <c r="A3425" t="s">
        <v>3438</v>
      </c>
      <c r="B3425">
        <v>249</v>
      </c>
      <c r="C3425" s="1" t="str">
        <f>HYPERLINK("http://www.rosaceae.org/gb/gbrowse/malus_x_domestica/?name=MDP0000830613","MDP0000830613")</f>
        <v>MDP0000830613</v>
      </c>
      <c r="D3425">
        <v>39.6</v>
      </c>
      <c r="E3425">
        <v>101</v>
      </c>
      <c r="F3425">
        <v>61</v>
      </c>
      <c r="G3425">
        <v>15</v>
      </c>
      <c r="H3425">
        <v>1</v>
      </c>
      <c r="I3425">
        <v>93</v>
      </c>
      <c r="J3425">
        <v>1</v>
      </c>
      <c r="K3425">
        <v>1</v>
      </c>
      <c r="L3425">
        <v>94</v>
      </c>
      <c r="M3425">
        <v>1</v>
      </c>
      <c r="N3425">
        <v>1.7319100000000001E-10</v>
      </c>
      <c r="O3425">
        <v>153</v>
      </c>
    </row>
    <row r="3426" spans="1:15" x14ac:dyDescent="0.25">
      <c r="A3426" t="s">
        <v>3439</v>
      </c>
      <c r="B3426">
        <v>307</v>
      </c>
      <c r="C3426" s="1" t="str">
        <f>HYPERLINK("http://www.rosaceae.org/gb/gbrowse/malus_x_domestica/?name=MDP0000284229","MDP0000284229")</f>
        <v>MDP0000284229</v>
      </c>
      <c r="D3426">
        <v>59.55</v>
      </c>
      <c r="E3426">
        <v>356</v>
      </c>
      <c r="F3426">
        <v>144</v>
      </c>
      <c r="G3426">
        <v>56</v>
      </c>
      <c r="H3426">
        <v>1</v>
      </c>
      <c r="I3426">
        <v>303</v>
      </c>
      <c r="J3426">
        <v>1</v>
      </c>
      <c r="K3426">
        <v>1</v>
      </c>
      <c r="L3426">
        <v>353</v>
      </c>
      <c r="M3426">
        <v>1</v>
      </c>
      <c r="N3426">
        <v>5.1341099999999997E-106</v>
      </c>
      <c r="O3426">
        <v>978</v>
      </c>
    </row>
    <row r="3427" spans="1:15" x14ac:dyDescent="0.25">
      <c r="A3427" t="s">
        <v>3440</v>
      </c>
      <c r="B3427">
        <v>499</v>
      </c>
      <c r="C3427" s="1" t="str">
        <f>HYPERLINK("http://www.rosaceae.org/gb/gbrowse/malus_x_domestica/?name=MDP0000164342","MDP0000164342")</f>
        <v>MDP0000164342</v>
      </c>
      <c r="D3427">
        <v>73.94</v>
      </c>
      <c r="E3427">
        <v>472</v>
      </c>
      <c r="F3427">
        <v>123</v>
      </c>
      <c r="G3427">
        <v>5</v>
      </c>
      <c r="H3427">
        <v>32</v>
      </c>
      <c r="I3427">
        <v>499</v>
      </c>
      <c r="J3427">
        <v>1</v>
      </c>
      <c r="K3427">
        <v>31</v>
      </c>
      <c r="L3427">
        <v>501</v>
      </c>
      <c r="M3427">
        <v>1</v>
      </c>
      <c r="N3427">
        <v>0</v>
      </c>
      <c r="O3427">
        <v>1796</v>
      </c>
    </row>
    <row r="3428" spans="1:15" x14ac:dyDescent="0.25">
      <c r="A3428" t="s">
        <v>3441</v>
      </c>
      <c r="B3428">
        <v>425</v>
      </c>
      <c r="C3428" s="1" t="str">
        <f>HYPERLINK("http://www.rosaceae.org/gb/gbrowse/malus_x_domestica/?name=MDP0000194132","MDP0000194132")</f>
        <v>MDP0000194132</v>
      </c>
      <c r="D3428">
        <v>55.62</v>
      </c>
      <c r="E3428">
        <v>169</v>
      </c>
      <c r="F3428">
        <v>75</v>
      </c>
      <c r="G3428">
        <v>12</v>
      </c>
      <c r="H3428">
        <v>1</v>
      </c>
      <c r="I3428">
        <v>157</v>
      </c>
      <c r="J3428">
        <v>1</v>
      </c>
      <c r="K3428">
        <v>1</v>
      </c>
      <c r="L3428">
        <v>169</v>
      </c>
      <c r="M3428">
        <v>1</v>
      </c>
      <c r="N3428">
        <v>4.9023199999999999E-42</v>
      </c>
      <c r="O3428">
        <v>428</v>
      </c>
    </row>
    <row r="3429" spans="1:15" x14ac:dyDescent="0.25">
      <c r="A3429" t="s">
        <v>3442</v>
      </c>
      <c r="B3429">
        <v>956</v>
      </c>
      <c r="C3429" s="1" t="str">
        <f>HYPERLINK("http://www.rosaceae.org/gb/gbrowse/malus_x_domestica/?name=MDP0000868764","MDP0000868764")</f>
        <v>MDP0000868764</v>
      </c>
      <c r="D3429">
        <v>67.650000000000006</v>
      </c>
      <c r="E3429">
        <v>813</v>
      </c>
      <c r="F3429">
        <v>263</v>
      </c>
      <c r="G3429">
        <v>65</v>
      </c>
      <c r="H3429">
        <v>119</v>
      </c>
      <c r="I3429">
        <v>895</v>
      </c>
      <c r="J3429">
        <v>1</v>
      </c>
      <c r="K3429">
        <v>1</v>
      </c>
      <c r="L3429">
        <v>784</v>
      </c>
      <c r="M3429">
        <v>1</v>
      </c>
      <c r="N3429">
        <v>0</v>
      </c>
      <c r="O3429">
        <v>2706</v>
      </c>
    </row>
    <row r="3430" spans="1:15" x14ac:dyDescent="0.25">
      <c r="A3430" t="s">
        <v>3443</v>
      </c>
      <c r="B3430">
        <v>194</v>
      </c>
      <c r="C3430" s="1" t="str">
        <f>HYPERLINK("http://www.rosaceae.org/gb/gbrowse/malus_x_domestica/?name=MDP0000136726","MDP0000136726")</f>
        <v>MDP0000136726</v>
      </c>
      <c r="D3430">
        <v>42.85</v>
      </c>
      <c r="E3430">
        <v>168</v>
      </c>
      <c r="F3430">
        <v>96</v>
      </c>
      <c r="G3430">
        <v>18</v>
      </c>
      <c r="H3430">
        <v>12</v>
      </c>
      <c r="I3430">
        <v>165</v>
      </c>
      <c r="J3430">
        <v>1</v>
      </c>
      <c r="K3430">
        <v>955</v>
      </c>
      <c r="L3430">
        <v>1118</v>
      </c>
      <c r="M3430">
        <v>1</v>
      </c>
      <c r="N3430">
        <v>2.1156600000000001E-23</v>
      </c>
      <c r="O3430">
        <v>263</v>
      </c>
    </row>
    <row r="3431" spans="1:15" x14ac:dyDescent="0.25">
      <c r="A3431" t="s">
        <v>3444</v>
      </c>
      <c r="B3431">
        <v>289</v>
      </c>
      <c r="C3431" s="1" t="str">
        <f>HYPERLINK("http://www.rosaceae.org/gb/gbrowse/malus_x_domestica/?name=MDP0000900278","MDP0000900278")</f>
        <v>MDP0000900278</v>
      </c>
      <c r="D3431">
        <v>70.56</v>
      </c>
      <c r="E3431">
        <v>299</v>
      </c>
      <c r="F3431">
        <v>88</v>
      </c>
      <c r="G3431">
        <v>18</v>
      </c>
      <c r="H3431">
        <v>1</v>
      </c>
      <c r="I3431">
        <v>289</v>
      </c>
      <c r="J3431">
        <v>1</v>
      </c>
      <c r="K3431">
        <v>1</v>
      </c>
      <c r="L3431">
        <v>291</v>
      </c>
      <c r="M3431">
        <v>1</v>
      </c>
      <c r="N3431">
        <v>2.3605799999999999E-110</v>
      </c>
      <c r="O3431">
        <v>1015</v>
      </c>
    </row>
    <row r="3432" spans="1:15" x14ac:dyDescent="0.25">
      <c r="A3432" t="s">
        <v>3445</v>
      </c>
      <c r="B3432">
        <v>488</v>
      </c>
      <c r="C3432" s="1" t="str">
        <f>HYPERLINK("http://www.rosaceae.org/gb/gbrowse/malus_x_domestica/?name=MDP0000166406","MDP0000166406")</f>
        <v>MDP0000166406</v>
      </c>
      <c r="D3432">
        <v>79.64</v>
      </c>
      <c r="E3432">
        <v>452</v>
      </c>
      <c r="F3432">
        <v>92</v>
      </c>
      <c r="G3432">
        <v>1</v>
      </c>
      <c r="H3432">
        <v>1</v>
      </c>
      <c r="I3432">
        <v>452</v>
      </c>
      <c r="J3432">
        <v>1</v>
      </c>
      <c r="K3432">
        <v>1</v>
      </c>
      <c r="L3432">
        <v>451</v>
      </c>
      <c r="M3432">
        <v>1</v>
      </c>
      <c r="N3432">
        <v>0</v>
      </c>
      <c r="O3432">
        <v>1937</v>
      </c>
    </row>
    <row r="3433" spans="1:15" x14ac:dyDescent="0.25">
      <c r="A3433" t="s">
        <v>3446</v>
      </c>
      <c r="B3433">
        <v>390</v>
      </c>
      <c r="C3433" s="1" t="str">
        <f>HYPERLINK("http://www.rosaceae.org/gb/gbrowse/malus_x_domestica/?name=MDP0000144888","MDP0000144888")</f>
        <v>MDP0000144888</v>
      </c>
      <c r="D3433">
        <v>56.53</v>
      </c>
      <c r="E3433">
        <v>329</v>
      </c>
      <c r="F3433">
        <v>143</v>
      </c>
      <c r="G3433">
        <v>34</v>
      </c>
      <c r="H3433">
        <v>79</v>
      </c>
      <c r="I3433">
        <v>389</v>
      </c>
      <c r="J3433">
        <v>1</v>
      </c>
      <c r="K3433">
        <v>45</v>
      </c>
      <c r="L3433">
        <v>357</v>
      </c>
      <c r="M3433">
        <v>1</v>
      </c>
      <c r="N3433">
        <v>3.69776E-92</v>
      </c>
      <c r="O3433">
        <v>860</v>
      </c>
    </row>
    <row r="3434" spans="1:15" x14ac:dyDescent="0.25">
      <c r="A3434" t="s">
        <v>3447</v>
      </c>
      <c r="B3434">
        <v>201</v>
      </c>
      <c r="C3434" s="1" t="str">
        <f>HYPERLINK("http://www.rosaceae.org/gb/gbrowse/malus_x_domestica/?name=MDP0000249389","MDP0000249389")</f>
        <v>MDP0000249389</v>
      </c>
      <c r="D3434">
        <v>50.55</v>
      </c>
      <c r="E3434">
        <v>180</v>
      </c>
      <c r="F3434">
        <v>89</v>
      </c>
      <c r="G3434">
        <v>3</v>
      </c>
      <c r="H3434">
        <v>11</v>
      </c>
      <c r="I3434">
        <v>187</v>
      </c>
      <c r="J3434">
        <v>1</v>
      </c>
      <c r="K3434">
        <v>1</v>
      </c>
      <c r="L3434">
        <v>180</v>
      </c>
      <c r="M3434">
        <v>1</v>
      </c>
      <c r="N3434">
        <v>1.6688300000000001E-48</v>
      </c>
      <c r="O3434">
        <v>480</v>
      </c>
    </row>
    <row r="3435" spans="1:15" x14ac:dyDescent="0.25">
      <c r="A3435" t="s">
        <v>3448</v>
      </c>
      <c r="B3435">
        <v>317</v>
      </c>
      <c r="C3435" s="1" t="str">
        <f>HYPERLINK("http://www.rosaceae.org/gb/gbrowse/malus_x_domestica/?name=MDP0000234905","MDP0000234905")</f>
        <v>MDP0000234905</v>
      </c>
      <c r="D3435">
        <v>74.41</v>
      </c>
      <c r="E3435">
        <v>258</v>
      </c>
      <c r="F3435">
        <v>66</v>
      </c>
      <c r="G3435">
        <v>4</v>
      </c>
      <c r="H3435">
        <v>13</v>
      </c>
      <c r="I3435">
        <v>267</v>
      </c>
      <c r="J3435">
        <v>1</v>
      </c>
      <c r="K3435">
        <v>146</v>
      </c>
      <c r="L3435">
        <v>402</v>
      </c>
      <c r="M3435">
        <v>1</v>
      </c>
      <c r="N3435">
        <v>1.8489199999999999E-110</v>
      </c>
      <c r="O3435">
        <v>1017</v>
      </c>
    </row>
    <row r="3436" spans="1:15" x14ac:dyDescent="0.25">
      <c r="A3436" t="s">
        <v>3449</v>
      </c>
      <c r="B3436">
        <v>512</v>
      </c>
      <c r="C3436" s="1" t="str">
        <f>HYPERLINK("http://www.rosaceae.org/gb/gbrowse/malus_x_domestica/?name=MDP0000534116","MDP0000534116")</f>
        <v>MDP0000534116</v>
      </c>
      <c r="D3436">
        <v>49.58</v>
      </c>
      <c r="E3436">
        <v>482</v>
      </c>
      <c r="F3436">
        <v>243</v>
      </c>
      <c r="G3436">
        <v>42</v>
      </c>
      <c r="H3436">
        <v>14</v>
      </c>
      <c r="I3436">
        <v>480</v>
      </c>
      <c r="J3436">
        <v>1</v>
      </c>
      <c r="K3436">
        <v>2</v>
      </c>
      <c r="L3436">
        <v>456</v>
      </c>
      <c r="M3436">
        <v>1</v>
      </c>
      <c r="N3436">
        <v>5.69067E-115</v>
      </c>
      <c r="O3436">
        <v>1058</v>
      </c>
    </row>
    <row r="3437" spans="1:15" x14ac:dyDescent="0.25">
      <c r="A3437" t="s">
        <v>3450</v>
      </c>
      <c r="B3437">
        <v>293</v>
      </c>
      <c r="C3437" s="1" t="str">
        <f>HYPERLINK("http://www.rosaceae.org/gb/gbrowse/malus_x_domestica/?name=MDP0000658449","MDP0000658449")</f>
        <v>MDP0000658449</v>
      </c>
      <c r="D3437">
        <v>33.21</v>
      </c>
      <c r="E3437">
        <v>283</v>
      </c>
      <c r="F3437">
        <v>189</v>
      </c>
      <c r="G3437">
        <v>49</v>
      </c>
      <c r="H3437">
        <v>1</v>
      </c>
      <c r="I3437">
        <v>264</v>
      </c>
      <c r="J3437">
        <v>1</v>
      </c>
      <c r="K3437">
        <v>1</v>
      </c>
      <c r="L3437">
        <v>253</v>
      </c>
      <c r="M3437">
        <v>1</v>
      </c>
      <c r="N3437">
        <v>1.0134400000000001E-18</v>
      </c>
      <c r="O3437">
        <v>225</v>
      </c>
    </row>
    <row r="3438" spans="1:15" x14ac:dyDescent="0.25">
      <c r="A3438" t="s">
        <v>3451</v>
      </c>
      <c r="B3438">
        <v>563</v>
      </c>
      <c r="C3438" s="1" t="str">
        <f>HYPERLINK("http://www.rosaceae.org/gb/gbrowse/malus_x_domestica/?name=MDP0000238213","MDP0000238213")</f>
        <v>MDP0000238213</v>
      </c>
      <c r="D3438">
        <v>82.58</v>
      </c>
      <c r="E3438">
        <v>534</v>
      </c>
      <c r="F3438">
        <v>93</v>
      </c>
      <c r="G3438">
        <v>27</v>
      </c>
      <c r="H3438">
        <v>53</v>
      </c>
      <c r="I3438">
        <v>563</v>
      </c>
      <c r="J3438">
        <v>1</v>
      </c>
      <c r="K3438">
        <v>61</v>
      </c>
      <c r="L3438">
        <v>590</v>
      </c>
      <c r="M3438">
        <v>1</v>
      </c>
      <c r="N3438">
        <v>0</v>
      </c>
      <c r="O3438">
        <v>2289</v>
      </c>
    </row>
    <row r="3439" spans="1:15" x14ac:dyDescent="0.25">
      <c r="A3439" t="s">
        <v>3452</v>
      </c>
      <c r="B3439">
        <v>423</v>
      </c>
      <c r="C3439" s="1" t="str">
        <f>HYPERLINK("http://www.rosaceae.org/gb/gbrowse/malus_x_domestica/?name=MDP0000292164","MDP0000292164")</f>
        <v>MDP0000292164</v>
      </c>
      <c r="D3439">
        <v>90.2</v>
      </c>
      <c r="E3439">
        <v>398</v>
      </c>
      <c r="F3439">
        <v>39</v>
      </c>
      <c r="G3439">
        <v>0</v>
      </c>
      <c r="H3439">
        <v>25</v>
      </c>
      <c r="I3439">
        <v>422</v>
      </c>
      <c r="J3439">
        <v>1</v>
      </c>
      <c r="K3439">
        <v>22</v>
      </c>
      <c r="L3439">
        <v>419</v>
      </c>
      <c r="M3439">
        <v>1</v>
      </c>
      <c r="N3439">
        <v>0</v>
      </c>
      <c r="O3439">
        <v>1991</v>
      </c>
    </row>
    <row r="3440" spans="1:15" x14ac:dyDescent="0.25">
      <c r="A3440" t="s">
        <v>3453</v>
      </c>
      <c r="B3440">
        <v>660</v>
      </c>
      <c r="C3440" s="1" t="str">
        <f>HYPERLINK("http://www.rosaceae.org/gb/gbrowse/malus_x_domestica/?name=MDP0000311618","MDP0000311618")</f>
        <v>MDP0000311618</v>
      </c>
      <c r="D3440">
        <v>50.81</v>
      </c>
      <c r="E3440">
        <v>616</v>
      </c>
      <c r="F3440">
        <v>303</v>
      </c>
      <c r="G3440">
        <v>3</v>
      </c>
      <c r="H3440">
        <v>39</v>
      </c>
      <c r="I3440">
        <v>653</v>
      </c>
      <c r="J3440">
        <v>1</v>
      </c>
      <c r="K3440">
        <v>18</v>
      </c>
      <c r="L3440">
        <v>631</v>
      </c>
      <c r="M3440">
        <v>1</v>
      </c>
      <c r="N3440">
        <v>4.1723900000000002E-180</v>
      </c>
      <c r="O3440">
        <v>1621</v>
      </c>
    </row>
    <row r="3441" spans="1:15" x14ac:dyDescent="0.25">
      <c r="A3441" t="s">
        <v>3454</v>
      </c>
      <c r="B3441">
        <v>457</v>
      </c>
      <c r="C3441" s="1" t="str">
        <f>HYPERLINK("http://www.rosaceae.org/gb/gbrowse/malus_x_domestica/?name=MDP0000228542","MDP0000228542")</f>
        <v>MDP0000228542</v>
      </c>
      <c r="D3441">
        <v>60.31</v>
      </c>
      <c r="E3441">
        <v>446</v>
      </c>
      <c r="F3441">
        <v>177</v>
      </c>
      <c r="G3441">
        <v>62</v>
      </c>
      <c r="H3441">
        <v>30</v>
      </c>
      <c r="I3441">
        <v>457</v>
      </c>
      <c r="J3441">
        <v>1</v>
      </c>
      <c r="K3441">
        <v>1</v>
      </c>
      <c r="L3441">
        <v>402</v>
      </c>
      <c r="M3441">
        <v>1</v>
      </c>
      <c r="N3441">
        <v>3.4625899999999999E-138</v>
      </c>
      <c r="O3441">
        <v>1258</v>
      </c>
    </row>
    <row r="3442" spans="1:15" x14ac:dyDescent="0.25">
      <c r="A3442" t="s">
        <v>3455</v>
      </c>
      <c r="B3442">
        <v>343</v>
      </c>
      <c r="C3442" s="1" t="str">
        <f>HYPERLINK("http://www.rosaceae.org/gb/gbrowse/malus_x_domestica/?name=MDP0000164665","MDP0000164665")</f>
        <v>MDP0000164665</v>
      </c>
      <c r="D3442">
        <v>72.3</v>
      </c>
      <c r="E3442">
        <v>260</v>
      </c>
      <c r="F3442">
        <v>72</v>
      </c>
      <c r="G3442">
        <v>6</v>
      </c>
      <c r="H3442">
        <v>72</v>
      </c>
      <c r="I3442">
        <v>331</v>
      </c>
      <c r="J3442">
        <v>1</v>
      </c>
      <c r="K3442">
        <v>67</v>
      </c>
      <c r="L3442">
        <v>320</v>
      </c>
      <c r="M3442">
        <v>1</v>
      </c>
      <c r="N3442">
        <v>2.3389899999999999E-99</v>
      </c>
      <c r="O3442">
        <v>922</v>
      </c>
    </row>
    <row r="3443" spans="1:15" x14ac:dyDescent="0.25">
      <c r="A3443" t="s">
        <v>3456</v>
      </c>
      <c r="B3443">
        <v>1006</v>
      </c>
      <c r="C3443" s="1" t="str">
        <f>HYPERLINK("http://www.rosaceae.org/gb/gbrowse/malus_x_domestica/?name=MDP0000206559","MDP0000206559")</f>
        <v>MDP0000206559</v>
      </c>
      <c r="D3443">
        <v>33.729999999999997</v>
      </c>
      <c r="E3443">
        <v>495</v>
      </c>
      <c r="F3443">
        <v>328</v>
      </c>
      <c r="G3443">
        <v>87</v>
      </c>
      <c r="H3443">
        <v>78</v>
      </c>
      <c r="I3443">
        <v>529</v>
      </c>
      <c r="J3443">
        <v>1</v>
      </c>
      <c r="K3443">
        <v>74</v>
      </c>
      <c r="L3443">
        <v>524</v>
      </c>
      <c r="M3443">
        <v>1</v>
      </c>
      <c r="N3443">
        <v>2.4999099999999999E-39</v>
      </c>
      <c r="O3443">
        <v>409</v>
      </c>
    </row>
    <row r="3444" spans="1:15" x14ac:dyDescent="0.25">
      <c r="A3444" t="s">
        <v>3457</v>
      </c>
      <c r="B3444">
        <v>419</v>
      </c>
      <c r="C3444" s="1" t="str">
        <f>HYPERLINK("http://www.rosaceae.org/gb/gbrowse/malus_x_domestica/?name=MDP0000295325","MDP0000295325")</f>
        <v>MDP0000295325</v>
      </c>
      <c r="D3444">
        <v>70.87</v>
      </c>
      <c r="E3444">
        <v>436</v>
      </c>
      <c r="F3444">
        <v>127</v>
      </c>
      <c r="G3444">
        <v>25</v>
      </c>
      <c r="H3444">
        <v>1</v>
      </c>
      <c r="I3444">
        <v>415</v>
      </c>
      <c r="J3444">
        <v>1</v>
      </c>
      <c r="K3444">
        <v>1</v>
      </c>
      <c r="L3444">
        <v>432</v>
      </c>
      <c r="M3444">
        <v>1</v>
      </c>
      <c r="N3444">
        <v>0</v>
      </c>
      <c r="O3444">
        <v>1626</v>
      </c>
    </row>
    <row r="3445" spans="1:15" x14ac:dyDescent="0.25">
      <c r="A3445" t="s">
        <v>3458</v>
      </c>
      <c r="B3445">
        <v>231</v>
      </c>
      <c r="C3445" s="1" t="str">
        <f>HYPERLINK("http://www.rosaceae.org/gb/gbrowse/malus_x_domestica/?name=MDP0000311182","MDP0000311182")</f>
        <v>MDP0000311182</v>
      </c>
      <c r="D3445">
        <v>48.03</v>
      </c>
      <c r="E3445">
        <v>229</v>
      </c>
      <c r="F3445">
        <v>119</v>
      </c>
      <c r="G3445">
        <v>22</v>
      </c>
      <c r="H3445">
        <v>8</v>
      </c>
      <c r="I3445">
        <v>231</v>
      </c>
      <c r="J3445">
        <v>1</v>
      </c>
      <c r="K3445">
        <v>3</v>
      </c>
      <c r="L3445">
        <v>214</v>
      </c>
      <c r="M3445">
        <v>1</v>
      </c>
      <c r="N3445">
        <v>6.4489699999999997E-46</v>
      </c>
      <c r="O3445">
        <v>458</v>
      </c>
    </row>
    <row r="3446" spans="1:15" x14ac:dyDescent="0.25">
      <c r="A3446" t="s">
        <v>3459</v>
      </c>
      <c r="B3446">
        <v>1217</v>
      </c>
      <c r="C3446" s="1" t="str">
        <f>HYPERLINK("http://www.rosaceae.org/gb/gbrowse/malus_x_domestica/?name=MDP0000244586","MDP0000244586")</f>
        <v>MDP0000244586</v>
      </c>
      <c r="D3446">
        <v>69.23</v>
      </c>
      <c r="E3446">
        <v>1248</v>
      </c>
      <c r="F3446">
        <v>384</v>
      </c>
      <c r="G3446">
        <v>38</v>
      </c>
      <c r="H3446">
        <v>1</v>
      </c>
      <c r="I3446">
        <v>1217</v>
      </c>
      <c r="J3446">
        <v>1</v>
      </c>
      <c r="K3446">
        <v>1</v>
      </c>
      <c r="L3446">
        <v>1241</v>
      </c>
      <c r="M3446">
        <v>1</v>
      </c>
      <c r="N3446">
        <v>0</v>
      </c>
      <c r="O3446">
        <v>4186</v>
      </c>
    </row>
    <row r="3447" spans="1:15" x14ac:dyDescent="0.25">
      <c r="A3447" t="s">
        <v>3460</v>
      </c>
      <c r="B3447">
        <v>287</v>
      </c>
      <c r="C3447" s="1" t="str">
        <f>HYPERLINK("http://www.rosaceae.org/gb/gbrowse/malus_x_domestica/?name=MDP0000276433","MDP0000276433")</f>
        <v>MDP0000276433</v>
      </c>
      <c r="D3447">
        <v>54.29</v>
      </c>
      <c r="E3447">
        <v>221</v>
      </c>
      <c r="F3447">
        <v>101</v>
      </c>
      <c r="G3447">
        <v>12</v>
      </c>
      <c r="H3447">
        <v>18</v>
      </c>
      <c r="I3447">
        <v>238</v>
      </c>
      <c r="J3447">
        <v>1</v>
      </c>
      <c r="K3447">
        <v>28</v>
      </c>
      <c r="L3447">
        <v>236</v>
      </c>
      <c r="M3447">
        <v>1</v>
      </c>
      <c r="N3447">
        <v>4.9762000000000004E-62</v>
      </c>
      <c r="O3447">
        <v>599</v>
      </c>
    </row>
    <row r="3448" spans="1:15" x14ac:dyDescent="0.25">
      <c r="A3448" t="s">
        <v>3461</v>
      </c>
      <c r="B3448">
        <v>280</v>
      </c>
      <c r="C3448" s="1" t="str">
        <f>HYPERLINK("http://www.rosaceae.org/gb/gbrowse/malus_x_domestica/?name=MDP0000238910","MDP0000238910")</f>
        <v>MDP0000238910</v>
      </c>
      <c r="D3448">
        <v>62.5</v>
      </c>
      <c r="E3448">
        <v>184</v>
      </c>
      <c r="F3448">
        <v>69</v>
      </c>
      <c r="G3448">
        <v>10</v>
      </c>
      <c r="H3448">
        <v>7</v>
      </c>
      <c r="I3448">
        <v>182</v>
      </c>
      <c r="J3448">
        <v>1</v>
      </c>
      <c r="K3448">
        <v>198</v>
      </c>
      <c r="L3448">
        <v>379</v>
      </c>
      <c r="M3448">
        <v>1</v>
      </c>
      <c r="N3448">
        <v>2.1523100000000001E-57</v>
      </c>
      <c r="O3448">
        <v>559</v>
      </c>
    </row>
    <row r="3449" spans="1:15" x14ac:dyDescent="0.25">
      <c r="A3449" t="s">
        <v>3462</v>
      </c>
      <c r="B3449">
        <v>1079</v>
      </c>
      <c r="C3449" s="1" t="str">
        <f>HYPERLINK("http://www.rosaceae.org/gb/gbrowse/malus_x_domestica/?name=MDP0000256469","MDP0000256469")</f>
        <v>MDP0000256469</v>
      </c>
      <c r="D3449">
        <v>83.56</v>
      </c>
      <c r="E3449">
        <v>1004</v>
      </c>
      <c r="F3449">
        <v>165</v>
      </c>
      <c r="G3449">
        <v>37</v>
      </c>
      <c r="H3449">
        <v>81</v>
      </c>
      <c r="I3449">
        <v>1079</v>
      </c>
      <c r="J3449">
        <v>1</v>
      </c>
      <c r="K3449">
        <v>1</v>
      </c>
      <c r="L3449">
        <v>972</v>
      </c>
      <c r="M3449">
        <v>1</v>
      </c>
      <c r="N3449">
        <v>0</v>
      </c>
      <c r="O3449">
        <v>4188</v>
      </c>
    </row>
    <row r="3450" spans="1:15" x14ac:dyDescent="0.25">
      <c r="A3450" t="s">
        <v>3463</v>
      </c>
      <c r="B3450">
        <v>579</v>
      </c>
      <c r="C3450" s="1" t="str">
        <f>HYPERLINK("http://www.rosaceae.org/gb/gbrowse/malus_x_domestica/?name=MDP0000147908","MDP0000147908")</f>
        <v>MDP0000147908</v>
      </c>
      <c r="D3450">
        <v>60.82</v>
      </c>
      <c r="E3450">
        <v>485</v>
      </c>
      <c r="F3450">
        <v>190</v>
      </c>
      <c r="G3450">
        <v>51</v>
      </c>
      <c r="H3450">
        <v>27</v>
      </c>
      <c r="I3450">
        <v>473</v>
      </c>
      <c r="J3450">
        <v>1</v>
      </c>
      <c r="K3450">
        <v>318</v>
      </c>
      <c r="L3450">
        <v>789</v>
      </c>
      <c r="M3450">
        <v>1</v>
      </c>
      <c r="N3450">
        <v>2.4341999999999999E-157</v>
      </c>
      <c r="O3450">
        <v>1424</v>
      </c>
    </row>
    <row r="3451" spans="1:15" x14ac:dyDescent="0.25">
      <c r="A3451" t="s">
        <v>3464</v>
      </c>
      <c r="B3451">
        <v>461</v>
      </c>
      <c r="C3451" s="1" t="str">
        <f>HYPERLINK("http://www.rosaceae.org/gb/gbrowse/malus_x_domestica/?name=MDP0000086296","MDP0000086296")</f>
        <v>MDP0000086296</v>
      </c>
      <c r="D3451">
        <v>69.47</v>
      </c>
      <c r="E3451">
        <v>321</v>
      </c>
      <c r="F3451">
        <v>98</v>
      </c>
      <c r="G3451">
        <v>8</v>
      </c>
      <c r="H3451">
        <v>5</v>
      </c>
      <c r="I3451">
        <v>323</v>
      </c>
      <c r="J3451">
        <v>1</v>
      </c>
      <c r="K3451">
        <v>242</v>
      </c>
      <c r="L3451">
        <v>556</v>
      </c>
      <c r="M3451">
        <v>1</v>
      </c>
      <c r="N3451">
        <v>8.7084899999999995E-133</v>
      </c>
      <c r="O3451">
        <v>1211</v>
      </c>
    </row>
    <row r="3452" spans="1:15" x14ac:dyDescent="0.25">
      <c r="A3452" t="s">
        <v>3465</v>
      </c>
      <c r="B3452">
        <v>398</v>
      </c>
      <c r="C3452" s="1" t="str">
        <f>HYPERLINK("http://www.rosaceae.org/gb/gbrowse/malus_x_domestica/?name=MDP0000807341","MDP0000807341")</f>
        <v>MDP0000807341</v>
      </c>
      <c r="D3452">
        <v>59.54</v>
      </c>
      <c r="E3452">
        <v>393</v>
      </c>
      <c r="F3452">
        <v>159</v>
      </c>
      <c r="G3452">
        <v>25</v>
      </c>
      <c r="H3452">
        <v>26</v>
      </c>
      <c r="I3452">
        <v>398</v>
      </c>
      <c r="J3452">
        <v>1</v>
      </c>
      <c r="K3452">
        <v>25</v>
      </c>
      <c r="L3452">
        <v>412</v>
      </c>
      <c r="M3452">
        <v>1</v>
      </c>
      <c r="N3452">
        <v>9.9262999999999993E-124</v>
      </c>
      <c r="O3452">
        <v>1132</v>
      </c>
    </row>
    <row r="3453" spans="1:15" x14ac:dyDescent="0.25">
      <c r="A3453" t="s">
        <v>3466</v>
      </c>
      <c r="B3453">
        <v>337</v>
      </c>
      <c r="C3453" s="1" t="str">
        <f>HYPERLINK("http://www.rosaceae.org/gb/gbrowse/malus_x_domestica/?name=MDP0000138698","MDP0000138698")</f>
        <v>MDP0000138698</v>
      </c>
      <c r="D3453">
        <v>34.4</v>
      </c>
      <c r="E3453">
        <v>186</v>
      </c>
      <c r="F3453">
        <v>122</v>
      </c>
      <c r="G3453">
        <v>19</v>
      </c>
      <c r="H3453">
        <v>73</v>
      </c>
      <c r="I3453">
        <v>258</v>
      </c>
      <c r="J3453">
        <v>1</v>
      </c>
      <c r="K3453">
        <v>212</v>
      </c>
      <c r="L3453">
        <v>378</v>
      </c>
      <c r="M3453">
        <v>1</v>
      </c>
      <c r="N3453">
        <v>6.7961399999999998E-16</v>
      </c>
      <c r="O3453">
        <v>202</v>
      </c>
    </row>
    <row r="3454" spans="1:15" x14ac:dyDescent="0.25">
      <c r="A3454" t="s">
        <v>3467</v>
      </c>
      <c r="B3454">
        <v>128</v>
      </c>
      <c r="C3454" s="1" t="str">
        <f>HYPERLINK("http://www.rosaceae.org/gb/gbrowse/malus_x_domestica/?name=MDP0000148686","MDP0000148686")</f>
        <v>MDP0000148686</v>
      </c>
      <c r="D3454">
        <v>68.3</v>
      </c>
      <c r="E3454">
        <v>142</v>
      </c>
      <c r="F3454">
        <v>45</v>
      </c>
      <c r="G3454">
        <v>19</v>
      </c>
      <c r="H3454">
        <v>1</v>
      </c>
      <c r="I3454">
        <v>128</v>
      </c>
      <c r="J3454">
        <v>1</v>
      </c>
      <c r="K3454">
        <v>1</v>
      </c>
      <c r="L3454">
        <v>137</v>
      </c>
      <c r="M3454">
        <v>1</v>
      </c>
      <c r="N3454">
        <v>8.5984000000000007E-43</v>
      </c>
      <c r="O3454">
        <v>427</v>
      </c>
    </row>
    <row r="3455" spans="1:15" x14ac:dyDescent="0.25">
      <c r="A3455" t="s">
        <v>3468</v>
      </c>
      <c r="B3455">
        <v>330</v>
      </c>
      <c r="C3455" s="1" t="str">
        <f>HYPERLINK("http://www.rosaceae.org/gb/gbrowse/malus_x_domestica/?name=MDP0000191423","MDP0000191423")</f>
        <v>MDP0000191423</v>
      </c>
      <c r="D3455">
        <v>81.680000000000007</v>
      </c>
      <c r="E3455">
        <v>344</v>
      </c>
      <c r="F3455">
        <v>63</v>
      </c>
      <c r="G3455">
        <v>15</v>
      </c>
      <c r="H3455">
        <v>2</v>
      </c>
      <c r="I3455">
        <v>330</v>
      </c>
      <c r="J3455">
        <v>1</v>
      </c>
      <c r="K3455">
        <v>3</v>
      </c>
      <c r="L3455">
        <v>346</v>
      </c>
      <c r="M3455">
        <v>1</v>
      </c>
      <c r="N3455">
        <v>2.6962999999999999E-164</v>
      </c>
      <c r="O3455">
        <v>1481</v>
      </c>
    </row>
    <row r="3456" spans="1:15" x14ac:dyDescent="0.25">
      <c r="A3456" t="s">
        <v>3469</v>
      </c>
      <c r="B3456">
        <v>508</v>
      </c>
      <c r="C3456" s="1" t="str">
        <f>HYPERLINK("http://www.rosaceae.org/gb/gbrowse/malus_x_domestica/?name=MDP0000153790","MDP0000153790")</f>
        <v>MDP0000153790</v>
      </c>
      <c r="D3456">
        <v>73.36</v>
      </c>
      <c r="E3456">
        <v>428</v>
      </c>
      <c r="F3456">
        <v>114</v>
      </c>
      <c r="G3456">
        <v>7</v>
      </c>
      <c r="H3456">
        <v>82</v>
      </c>
      <c r="I3456">
        <v>507</v>
      </c>
      <c r="J3456">
        <v>1</v>
      </c>
      <c r="K3456">
        <v>54</v>
      </c>
      <c r="L3456">
        <v>476</v>
      </c>
      <c r="M3456">
        <v>1</v>
      </c>
      <c r="N3456">
        <v>9.6731699999999994E-179</v>
      </c>
      <c r="O3456">
        <v>1608</v>
      </c>
    </row>
    <row r="3457" spans="1:15" x14ac:dyDescent="0.25">
      <c r="A3457" t="s">
        <v>3470</v>
      </c>
      <c r="B3457">
        <v>408</v>
      </c>
      <c r="C3457" s="1" t="str">
        <f>HYPERLINK("http://www.rosaceae.org/gb/gbrowse/malus_x_domestica/?name=MDP0000454730","MDP0000454730")</f>
        <v>MDP0000454730</v>
      </c>
      <c r="D3457">
        <v>37.08</v>
      </c>
      <c r="E3457">
        <v>302</v>
      </c>
      <c r="F3457">
        <v>190</v>
      </c>
      <c r="G3457">
        <v>30</v>
      </c>
      <c r="H3457">
        <v>3</v>
      </c>
      <c r="I3457">
        <v>300</v>
      </c>
      <c r="J3457">
        <v>1</v>
      </c>
      <c r="K3457">
        <v>291</v>
      </c>
      <c r="L3457">
        <v>566</v>
      </c>
      <c r="M3457">
        <v>1</v>
      </c>
      <c r="N3457">
        <v>3.2215100000000002E-35</v>
      </c>
      <c r="O3457">
        <v>369</v>
      </c>
    </row>
    <row r="3458" spans="1:15" x14ac:dyDescent="0.25">
      <c r="A3458" t="s">
        <v>3471</v>
      </c>
      <c r="B3458">
        <v>285</v>
      </c>
      <c r="C3458" s="1" t="str">
        <f>HYPERLINK("http://www.rosaceae.org/gb/gbrowse/malus_x_domestica/?name=MDP0000479436","MDP0000479436")</f>
        <v>MDP0000479436</v>
      </c>
      <c r="D3458">
        <v>74.7</v>
      </c>
      <c r="E3458">
        <v>257</v>
      </c>
      <c r="F3458">
        <v>65</v>
      </c>
      <c r="G3458">
        <v>7</v>
      </c>
      <c r="H3458">
        <v>16</v>
      </c>
      <c r="I3458">
        <v>270</v>
      </c>
      <c r="J3458">
        <v>1</v>
      </c>
      <c r="K3458">
        <v>116</v>
      </c>
      <c r="L3458">
        <v>367</v>
      </c>
      <c r="M3458">
        <v>1</v>
      </c>
      <c r="N3458">
        <v>3.6596000000000002E-106</v>
      </c>
      <c r="O3458">
        <v>979</v>
      </c>
    </row>
    <row r="3459" spans="1:15" x14ac:dyDescent="0.25">
      <c r="A3459" t="s">
        <v>3472</v>
      </c>
      <c r="B3459">
        <v>492</v>
      </c>
      <c r="C3459" s="1" t="str">
        <f>HYPERLINK("http://www.rosaceae.org/gb/gbrowse/malus_x_domestica/?name=MDP0000145426","MDP0000145426")</f>
        <v>MDP0000145426</v>
      </c>
      <c r="D3459">
        <v>67.739999999999995</v>
      </c>
      <c r="E3459">
        <v>93</v>
      </c>
      <c r="F3459">
        <v>30</v>
      </c>
      <c r="G3459">
        <v>0</v>
      </c>
      <c r="H3459">
        <v>324</v>
      </c>
      <c r="I3459">
        <v>416</v>
      </c>
      <c r="J3459">
        <v>1</v>
      </c>
      <c r="K3459">
        <v>392</v>
      </c>
      <c r="L3459">
        <v>484</v>
      </c>
      <c r="M3459">
        <v>1</v>
      </c>
      <c r="N3459">
        <v>1.2052199999999999E-27</v>
      </c>
      <c r="O3459">
        <v>305</v>
      </c>
    </row>
    <row r="3460" spans="1:15" x14ac:dyDescent="0.25">
      <c r="A3460" t="s">
        <v>3473</v>
      </c>
      <c r="B3460">
        <v>117</v>
      </c>
      <c r="C3460" s="1" t="str">
        <f>HYPERLINK("http://www.rosaceae.org/gb/gbrowse/malus_x_domestica/?name=MDP0000894066","MDP0000894066")</f>
        <v>MDP0000894066</v>
      </c>
      <c r="D3460">
        <v>54.86</v>
      </c>
      <c r="E3460">
        <v>113</v>
      </c>
      <c r="F3460">
        <v>51</v>
      </c>
      <c r="G3460">
        <v>9</v>
      </c>
      <c r="H3460">
        <v>13</v>
      </c>
      <c r="I3460">
        <v>116</v>
      </c>
      <c r="J3460">
        <v>1</v>
      </c>
      <c r="K3460">
        <v>34</v>
      </c>
      <c r="L3460">
        <v>146</v>
      </c>
      <c r="M3460">
        <v>1</v>
      </c>
      <c r="N3460">
        <v>1.12941E-26</v>
      </c>
      <c r="O3460">
        <v>287</v>
      </c>
    </row>
    <row r="3461" spans="1:15" x14ac:dyDescent="0.25">
      <c r="A3461" t="s">
        <v>3474</v>
      </c>
      <c r="B3461">
        <v>495</v>
      </c>
      <c r="C3461" s="1" t="str">
        <f>HYPERLINK("http://www.rosaceae.org/gb/gbrowse/malus_x_domestica/?name=MDP0000215621","MDP0000215621")</f>
        <v>MDP0000215621</v>
      </c>
      <c r="D3461">
        <v>57.14</v>
      </c>
      <c r="E3461">
        <v>224</v>
      </c>
      <c r="F3461">
        <v>96</v>
      </c>
      <c r="G3461">
        <v>25</v>
      </c>
      <c r="H3461">
        <v>1</v>
      </c>
      <c r="I3461">
        <v>222</v>
      </c>
      <c r="J3461">
        <v>1</v>
      </c>
      <c r="K3461">
        <v>1</v>
      </c>
      <c r="L3461">
        <v>201</v>
      </c>
      <c r="M3461">
        <v>1</v>
      </c>
      <c r="N3461">
        <v>4.4934000000000001E-62</v>
      </c>
      <c r="O3461">
        <v>602</v>
      </c>
    </row>
    <row r="3462" spans="1:15" x14ac:dyDescent="0.25">
      <c r="A3462" t="s">
        <v>3475</v>
      </c>
      <c r="B3462">
        <v>554</v>
      </c>
      <c r="C3462" s="1" t="str">
        <f>HYPERLINK("http://www.rosaceae.org/gb/gbrowse/malus_x_domestica/?name=MDP0000149863","MDP0000149863")</f>
        <v>MDP0000149863</v>
      </c>
      <c r="D3462">
        <v>79.87</v>
      </c>
      <c r="E3462">
        <v>487</v>
      </c>
      <c r="F3462">
        <v>98</v>
      </c>
      <c r="G3462">
        <v>36</v>
      </c>
      <c r="H3462">
        <v>1</v>
      </c>
      <c r="I3462">
        <v>453</v>
      </c>
      <c r="J3462">
        <v>1</v>
      </c>
      <c r="K3462">
        <v>1</v>
      </c>
      <c r="L3462">
        <v>485</v>
      </c>
      <c r="M3462">
        <v>1</v>
      </c>
      <c r="N3462">
        <v>0</v>
      </c>
      <c r="O3462">
        <v>1990</v>
      </c>
    </row>
    <row r="3463" spans="1:15" x14ac:dyDescent="0.25">
      <c r="A3463" t="s">
        <v>3476</v>
      </c>
      <c r="B3463">
        <v>408</v>
      </c>
      <c r="C3463" s="1" t="str">
        <f>HYPERLINK("http://www.rosaceae.org/gb/gbrowse/malus_x_domestica/?name=MDP0000304577","MDP0000304577")</f>
        <v>MDP0000304577</v>
      </c>
      <c r="D3463">
        <v>54.6</v>
      </c>
      <c r="E3463">
        <v>141</v>
      </c>
      <c r="F3463">
        <v>64</v>
      </c>
      <c r="G3463">
        <v>0</v>
      </c>
      <c r="H3463">
        <v>259</v>
      </c>
      <c r="I3463">
        <v>399</v>
      </c>
      <c r="J3463">
        <v>1</v>
      </c>
      <c r="K3463">
        <v>204</v>
      </c>
      <c r="L3463">
        <v>344</v>
      </c>
      <c r="M3463">
        <v>1</v>
      </c>
      <c r="N3463">
        <v>3.4727399999999998E-35</v>
      </c>
      <c r="O3463">
        <v>369</v>
      </c>
    </row>
    <row r="3464" spans="1:15" x14ac:dyDescent="0.25">
      <c r="A3464" t="s">
        <v>3477</v>
      </c>
      <c r="B3464">
        <v>223</v>
      </c>
      <c r="C3464" s="1" t="str">
        <f>HYPERLINK("http://www.rosaceae.org/gb/gbrowse/malus_x_domestica/?name=MDP0000915330","MDP0000915330")</f>
        <v>MDP0000915330</v>
      </c>
      <c r="D3464">
        <v>78.260000000000005</v>
      </c>
      <c r="E3464">
        <v>138</v>
      </c>
      <c r="F3464">
        <v>30</v>
      </c>
      <c r="G3464">
        <v>3</v>
      </c>
      <c r="H3464">
        <v>1</v>
      </c>
      <c r="I3464">
        <v>135</v>
      </c>
      <c r="J3464">
        <v>1</v>
      </c>
      <c r="K3464">
        <v>1</v>
      </c>
      <c r="L3464">
        <v>138</v>
      </c>
      <c r="M3464">
        <v>1</v>
      </c>
      <c r="N3464">
        <v>1.4234600000000001E-61</v>
      </c>
      <c r="O3464">
        <v>593</v>
      </c>
    </row>
    <row r="3465" spans="1:15" x14ac:dyDescent="0.25">
      <c r="A3465" t="s">
        <v>3478</v>
      </c>
      <c r="B3465">
        <v>597</v>
      </c>
      <c r="C3465" s="1" t="str">
        <f>HYPERLINK("http://www.rosaceae.org/gb/gbrowse/malus_x_domestica/?name=MDP0000387697","MDP0000387697")</f>
        <v>MDP0000387697</v>
      </c>
      <c r="D3465">
        <v>68.75</v>
      </c>
      <c r="E3465">
        <v>208</v>
      </c>
      <c r="F3465">
        <v>65</v>
      </c>
      <c r="G3465">
        <v>29</v>
      </c>
      <c r="H3465">
        <v>408</v>
      </c>
      <c r="I3465">
        <v>595</v>
      </c>
      <c r="J3465">
        <v>1</v>
      </c>
      <c r="K3465">
        <v>69</v>
      </c>
      <c r="L3465">
        <v>267</v>
      </c>
      <c r="M3465">
        <v>1</v>
      </c>
      <c r="N3465">
        <v>1.70736E-71</v>
      </c>
      <c r="O3465">
        <v>684</v>
      </c>
    </row>
    <row r="3466" spans="1:15" x14ac:dyDescent="0.25">
      <c r="A3466" t="s">
        <v>3479</v>
      </c>
      <c r="B3466">
        <v>773</v>
      </c>
      <c r="C3466" s="1" t="str">
        <f>HYPERLINK("http://www.rosaceae.org/gb/gbrowse/malus_x_domestica/?name=MDP0000157076","MDP0000157076")</f>
        <v>MDP0000157076</v>
      </c>
      <c r="D3466">
        <v>82.5</v>
      </c>
      <c r="E3466">
        <v>760</v>
      </c>
      <c r="F3466">
        <v>133</v>
      </c>
      <c r="G3466">
        <v>2</v>
      </c>
      <c r="H3466">
        <v>1</v>
      </c>
      <c r="I3466">
        <v>760</v>
      </c>
      <c r="J3466">
        <v>1</v>
      </c>
      <c r="K3466">
        <v>1</v>
      </c>
      <c r="L3466">
        <v>758</v>
      </c>
      <c r="M3466">
        <v>1</v>
      </c>
      <c r="N3466">
        <v>0</v>
      </c>
      <c r="O3466">
        <v>3381</v>
      </c>
    </row>
    <row r="3467" spans="1:15" x14ac:dyDescent="0.25">
      <c r="A3467" t="s">
        <v>3480</v>
      </c>
      <c r="B3467">
        <v>213</v>
      </c>
      <c r="C3467" s="1" t="str">
        <f>HYPERLINK("http://www.rosaceae.org/gb/gbrowse/malus_x_domestica/?name=MDP0000186665","MDP0000186665")</f>
        <v>MDP0000186665</v>
      </c>
      <c r="D3467">
        <v>68.87</v>
      </c>
      <c r="E3467">
        <v>241</v>
      </c>
      <c r="F3467">
        <v>75</v>
      </c>
      <c r="G3467">
        <v>35</v>
      </c>
      <c r="H3467">
        <v>1</v>
      </c>
      <c r="I3467">
        <v>206</v>
      </c>
      <c r="J3467">
        <v>1</v>
      </c>
      <c r="K3467">
        <v>1</v>
      </c>
      <c r="L3467">
        <v>241</v>
      </c>
      <c r="M3467">
        <v>1</v>
      </c>
      <c r="N3467">
        <v>4.3272699999999998E-92</v>
      </c>
      <c r="O3467">
        <v>856</v>
      </c>
    </row>
    <row r="3468" spans="1:15" x14ac:dyDescent="0.25">
      <c r="A3468" t="s">
        <v>3481</v>
      </c>
      <c r="B3468">
        <v>383</v>
      </c>
      <c r="C3468" s="1" t="str">
        <f>HYPERLINK("http://www.rosaceae.org/gb/gbrowse/malus_x_domestica/?name=MDP0000923640","MDP0000923640")</f>
        <v>MDP0000923640</v>
      </c>
      <c r="D3468">
        <v>44.35</v>
      </c>
      <c r="E3468">
        <v>124</v>
      </c>
      <c r="F3468">
        <v>69</v>
      </c>
      <c r="G3468">
        <v>8</v>
      </c>
      <c r="H3468">
        <v>68</v>
      </c>
      <c r="I3468">
        <v>190</v>
      </c>
      <c r="J3468">
        <v>1</v>
      </c>
      <c r="K3468">
        <v>1</v>
      </c>
      <c r="L3468">
        <v>117</v>
      </c>
      <c r="M3468">
        <v>1</v>
      </c>
      <c r="N3468">
        <v>1.9233700000000001E-16</v>
      </c>
      <c r="O3468">
        <v>207</v>
      </c>
    </row>
    <row r="3469" spans="1:15" x14ac:dyDescent="0.25">
      <c r="A3469" t="s">
        <v>3482</v>
      </c>
      <c r="B3469">
        <v>216</v>
      </c>
      <c r="C3469" s="1" t="str">
        <f>HYPERLINK("http://www.rosaceae.org/gb/gbrowse/malus_x_domestica/?name=MDP0000163714","MDP0000163714")</f>
        <v>MDP0000163714</v>
      </c>
      <c r="D3469">
        <v>96.29</v>
      </c>
      <c r="E3469">
        <v>216</v>
      </c>
      <c r="F3469">
        <v>8</v>
      </c>
      <c r="G3469">
        <v>0</v>
      </c>
      <c r="H3469">
        <v>1</v>
      </c>
      <c r="I3469">
        <v>216</v>
      </c>
      <c r="J3469">
        <v>1</v>
      </c>
      <c r="K3469">
        <v>1</v>
      </c>
      <c r="L3469">
        <v>216</v>
      </c>
      <c r="M3469">
        <v>1</v>
      </c>
      <c r="N3469">
        <v>9.02301E-122</v>
      </c>
      <c r="O3469">
        <v>1112</v>
      </c>
    </row>
    <row r="3470" spans="1:15" x14ac:dyDescent="0.25">
      <c r="A3470" t="s">
        <v>3483</v>
      </c>
      <c r="B3470">
        <v>622</v>
      </c>
      <c r="C3470" s="1" t="str">
        <f>HYPERLINK("http://www.rosaceae.org/gb/gbrowse/malus_x_domestica/?name=MDP0000257852","MDP0000257852")</f>
        <v>MDP0000257852</v>
      </c>
      <c r="D3470">
        <v>85.65</v>
      </c>
      <c r="E3470">
        <v>488</v>
      </c>
      <c r="F3470">
        <v>70</v>
      </c>
      <c r="G3470">
        <v>7</v>
      </c>
      <c r="H3470">
        <v>4</v>
      </c>
      <c r="I3470">
        <v>485</v>
      </c>
      <c r="J3470">
        <v>1</v>
      </c>
      <c r="K3470">
        <v>3</v>
      </c>
      <c r="L3470">
        <v>489</v>
      </c>
      <c r="M3470">
        <v>1</v>
      </c>
      <c r="N3470">
        <v>0</v>
      </c>
      <c r="O3470">
        <v>2106</v>
      </c>
    </row>
    <row r="3471" spans="1:15" x14ac:dyDescent="0.25">
      <c r="A3471" t="s">
        <v>3484</v>
      </c>
      <c r="B3471">
        <v>811</v>
      </c>
      <c r="C3471" s="1" t="str">
        <f>HYPERLINK("http://www.rosaceae.org/gb/gbrowse/malus_x_domestica/?name=MDP0000147908","MDP0000147908")</f>
        <v>MDP0000147908</v>
      </c>
      <c r="D3471">
        <v>64.17</v>
      </c>
      <c r="E3471">
        <v>790</v>
      </c>
      <c r="F3471">
        <v>283</v>
      </c>
      <c r="G3471">
        <v>40</v>
      </c>
      <c r="H3471">
        <v>43</v>
      </c>
      <c r="I3471">
        <v>810</v>
      </c>
      <c r="J3471">
        <v>1</v>
      </c>
      <c r="K3471">
        <v>37</v>
      </c>
      <c r="L3471">
        <v>808</v>
      </c>
      <c r="M3471">
        <v>1</v>
      </c>
      <c r="N3471">
        <v>0</v>
      </c>
      <c r="O3471">
        <v>2615</v>
      </c>
    </row>
    <row r="3472" spans="1:15" x14ac:dyDescent="0.25">
      <c r="A3472" t="s">
        <v>3485</v>
      </c>
      <c r="B3472">
        <v>345</v>
      </c>
      <c r="C3472" s="1" t="str">
        <f>HYPERLINK("http://www.rosaceae.org/gb/gbrowse/malus_x_domestica/?name=MDP0000141910","MDP0000141910")</f>
        <v>MDP0000141910</v>
      </c>
      <c r="D3472">
        <v>62.9</v>
      </c>
      <c r="E3472">
        <v>186</v>
      </c>
      <c r="F3472">
        <v>69</v>
      </c>
      <c r="G3472">
        <v>7</v>
      </c>
      <c r="H3472">
        <v>162</v>
      </c>
      <c r="I3472">
        <v>345</v>
      </c>
      <c r="J3472">
        <v>1</v>
      </c>
      <c r="K3472">
        <v>196</v>
      </c>
      <c r="L3472">
        <v>376</v>
      </c>
      <c r="M3472">
        <v>1</v>
      </c>
      <c r="N3472">
        <v>1.9688499999999999E-60</v>
      </c>
      <c r="O3472">
        <v>586</v>
      </c>
    </row>
    <row r="3473" spans="1:15" x14ac:dyDescent="0.25">
      <c r="A3473" t="s">
        <v>3486</v>
      </c>
      <c r="B3473">
        <v>145</v>
      </c>
      <c r="C3473" s="1" t="str">
        <f>HYPERLINK("http://www.rosaceae.org/gb/gbrowse/malus_x_domestica/?name=MDP0000320056","MDP0000320056")</f>
        <v>MDP0000320056</v>
      </c>
      <c r="D3473">
        <v>86.25</v>
      </c>
      <c r="E3473">
        <v>131</v>
      </c>
      <c r="F3473">
        <v>18</v>
      </c>
      <c r="G3473">
        <v>0</v>
      </c>
      <c r="H3473">
        <v>1</v>
      </c>
      <c r="I3473">
        <v>131</v>
      </c>
      <c r="J3473">
        <v>1</v>
      </c>
      <c r="K3473">
        <v>1</v>
      </c>
      <c r="L3473">
        <v>131</v>
      </c>
      <c r="M3473">
        <v>1</v>
      </c>
      <c r="N3473">
        <v>7.4398799999999994E-58</v>
      </c>
      <c r="O3473">
        <v>558</v>
      </c>
    </row>
    <row r="3474" spans="1:15" x14ac:dyDescent="0.25">
      <c r="A3474" t="s">
        <v>3487</v>
      </c>
      <c r="B3474">
        <v>272</v>
      </c>
      <c r="C3474" s="1" t="str">
        <f>HYPERLINK("http://www.rosaceae.org/gb/gbrowse/malus_x_domestica/?name=MDP0000873667","MDP0000873667")</f>
        <v>MDP0000873667</v>
      </c>
      <c r="D3474">
        <v>61.13</v>
      </c>
      <c r="E3474">
        <v>283</v>
      </c>
      <c r="F3474">
        <v>110</v>
      </c>
      <c r="G3474">
        <v>20</v>
      </c>
      <c r="H3474">
        <v>1</v>
      </c>
      <c r="I3474">
        <v>272</v>
      </c>
      <c r="J3474">
        <v>1</v>
      </c>
      <c r="K3474">
        <v>22</v>
      </c>
      <c r="L3474">
        <v>295</v>
      </c>
      <c r="M3474">
        <v>1</v>
      </c>
      <c r="N3474">
        <v>5.80898E-100</v>
      </c>
      <c r="O3474">
        <v>925</v>
      </c>
    </row>
    <row r="3475" spans="1:15" x14ac:dyDescent="0.25">
      <c r="A3475" t="s">
        <v>3488</v>
      </c>
      <c r="B3475">
        <v>232</v>
      </c>
      <c r="C3475" s="1" t="str">
        <f>HYPERLINK("http://www.rosaceae.org/gb/gbrowse/malus_x_domestica/?name=MDP0000319910","MDP0000319910")</f>
        <v>MDP0000319910</v>
      </c>
      <c r="D3475">
        <v>95.4</v>
      </c>
      <c r="E3475">
        <v>174</v>
      </c>
      <c r="F3475">
        <v>8</v>
      </c>
      <c r="G3475">
        <v>0</v>
      </c>
      <c r="H3475">
        <v>37</v>
      </c>
      <c r="I3475">
        <v>210</v>
      </c>
      <c r="J3475">
        <v>1</v>
      </c>
      <c r="K3475">
        <v>62</v>
      </c>
      <c r="L3475">
        <v>235</v>
      </c>
      <c r="M3475">
        <v>1</v>
      </c>
      <c r="N3475">
        <v>1.89264E-99</v>
      </c>
      <c r="O3475">
        <v>920</v>
      </c>
    </row>
    <row r="3476" spans="1:15" x14ac:dyDescent="0.25">
      <c r="A3476" t="s">
        <v>3489</v>
      </c>
      <c r="B3476">
        <v>1112</v>
      </c>
      <c r="C3476" s="1" t="str">
        <f>HYPERLINK("http://www.rosaceae.org/gb/gbrowse/malus_x_domestica/?name=MDP0000162365","MDP0000162365")</f>
        <v>MDP0000162365</v>
      </c>
      <c r="D3476">
        <v>69.94</v>
      </c>
      <c r="E3476">
        <v>752</v>
      </c>
      <c r="F3476">
        <v>226</v>
      </c>
      <c r="G3476">
        <v>55</v>
      </c>
      <c r="H3476">
        <v>402</v>
      </c>
      <c r="I3476">
        <v>1112</v>
      </c>
      <c r="J3476">
        <v>1</v>
      </c>
      <c r="K3476">
        <v>3</v>
      </c>
      <c r="L3476">
        <v>740</v>
      </c>
      <c r="M3476">
        <v>1</v>
      </c>
      <c r="N3476">
        <v>0</v>
      </c>
      <c r="O3476">
        <v>2592</v>
      </c>
    </row>
    <row r="3477" spans="1:15" x14ac:dyDescent="0.25">
      <c r="A3477" t="s">
        <v>3490</v>
      </c>
      <c r="B3477">
        <v>191</v>
      </c>
      <c r="C3477" s="1" t="str">
        <f>HYPERLINK("http://www.rosaceae.org/gb/gbrowse/malus_x_domestica/?name=MDP0000259898","MDP0000259898")</f>
        <v>MDP0000259898</v>
      </c>
      <c r="D3477">
        <v>91.62</v>
      </c>
      <c r="E3477">
        <v>191</v>
      </c>
      <c r="F3477">
        <v>16</v>
      </c>
      <c r="G3477">
        <v>0</v>
      </c>
      <c r="H3477">
        <v>1</v>
      </c>
      <c r="I3477">
        <v>191</v>
      </c>
      <c r="J3477">
        <v>1</v>
      </c>
      <c r="K3477">
        <v>348</v>
      </c>
      <c r="L3477">
        <v>538</v>
      </c>
      <c r="M3477">
        <v>1</v>
      </c>
      <c r="N3477">
        <v>3.4464600000000002E-101</v>
      </c>
      <c r="O3477">
        <v>934</v>
      </c>
    </row>
    <row r="3478" spans="1:15" x14ac:dyDescent="0.25">
      <c r="A3478" t="s">
        <v>3491</v>
      </c>
      <c r="B3478">
        <v>725</v>
      </c>
      <c r="C3478" s="1" t="str">
        <f>HYPERLINK("http://www.rosaceae.org/gb/gbrowse/malus_x_domestica/?name=MDP0000265637","MDP0000265637")</f>
        <v>MDP0000265637</v>
      </c>
      <c r="D3478">
        <v>65.3</v>
      </c>
      <c r="E3478">
        <v>660</v>
      </c>
      <c r="F3478">
        <v>229</v>
      </c>
      <c r="G3478">
        <v>25</v>
      </c>
      <c r="H3478">
        <v>85</v>
      </c>
      <c r="I3478">
        <v>725</v>
      </c>
      <c r="J3478">
        <v>1</v>
      </c>
      <c r="K3478">
        <v>25</v>
      </c>
      <c r="L3478">
        <v>678</v>
      </c>
      <c r="M3478">
        <v>1</v>
      </c>
      <c r="N3478">
        <v>0</v>
      </c>
      <c r="O3478">
        <v>2194</v>
      </c>
    </row>
    <row r="3479" spans="1:15" x14ac:dyDescent="0.25">
      <c r="A3479" t="s">
        <v>3492</v>
      </c>
      <c r="B3479">
        <v>1077</v>
      </c>
      <c r="C3479" s="1" t="str">
        <f>HYPERLINK("http://www.rosaceae.org/gb/gbrowse/malus_x_domestica/?name=MDP0000319167","MDP0000319167")</f>
        <v>MDP0000319167</v>
      </c>
      <c r="D3479">
        <v>79.41</v>
      </c>
      <c r="E3479">
        <v>1064</v>
      </c>
      <c r="F3479">
        <v>219</v>
      </c>
      <c r="G3479">
        <v>34</v>
      </c>
      <c r="H3479">
        <v>1</v>
      </c>
      <c r="I3479">
        <v>1058</v>
      </c>
      <c r="J3479">
        <v>1</v>
      </c>
      <c r="K3479">
        <v>72</v>
      </c>
      <c r="L3479">
        <v>1107</v>
      </c>
      <c r="M3479">
        <v>1</v>
      </c>
      <c r="N3479">
        <v>0</v>
      </c>
      <c r="O3479">
        <v>4254</v>
      </c>
    </row>
    <row r="3480" spans="1:15" x14ac:dyDescent="0.25">
      <c r="A3480" t="s">
        <v>3493</v>
      </c>
      <c r="B3480">
        <v>475</v>
      </c>
      <c r="C3480" s="1" t="str">
        <f>HYPERLINK("http://www.rosaceae.org/gb/gbrowse/malus_x_domestica/?name=MDP0000128265","MDP0000128265")</f>
        <v>MDP0000128265</v>
      </c>
      <c r="D3480">
        <v>77.16</v>
      </c>
      <c r="E3480">
        <v>473</v>
      </c>
      <c r="F3480">
        <v>108</v>
      </c>
      <c r="G3480">
        <v>5</v>
      </c>
      <c r="H3480">
        <v>3</v>
      </c>
      <c r="I3480">
        <v>474</v>
      </c>
      <c r="J3480">
        <v>1</v>
      </c>
      <c r="K3480">
        <v>5</v>
      </c>
      <c r="L3480">
        <v>473</v>
      </c>
      <c r="M3480">
        <v>1</v>
      </c>
      <c r="N3480">
        <v>0</v>
      </c>
      <c r="O3480">
        <v>1897</v>
      </c>
    </row>
    <row r="3481" spans="1:15" x14ac:dyDescent="0.25">
      <c r="A3481" t="s">
        <v>3494</v>
      </c>
      <c r="B3481">
        <v>358</v>
      </c>
      <c r="C3481" s="1" t="str">
        <f>HYPERLINK("http://www.rosaceae.org/gb/gbrowse/malus_x_domestica/?name=MDP0000290415","MDP0000290415")</f>
        <v>MDP0000290415</v>
      </c>
      <c r="D3481">
        <v>80.59</v>
      </c>
      <c r="E3481">
        <v>268</v>
      </c>
      <c r="F3481">
        <v>52</v>
      </c>
      <c r="G3481">
        <v>1</v>
      </c>
      <c r="H3481">
        <v>87</v>
      </c>
      <c r="I3481">
        <v>354</v>
      </c>
      <c r="J3481">
        <v>1</v>
      </c>
      <c r="K3481">
        <v>22</v>
      </c>
      <c r="L3481">
        <v>288</v>
      </c>
      <c r="M3481">
        <v>1</v>
      </c>
      <c r="N3481">
        <v>5.49186E-130</v>
      </c>
      <c r="O3481">
        <v>1186</v>
      </c>
    </row>
    <row r="3482" spans="1:15" x14ac:dyDescent="0.25">
      <c r="A3482" t="s">
        <v>3495</v>
      </c>
      <c r="B3482">
        <v>280</v>
      </c>
      <c r="C3482" s="1" t="str">
        <f>HYPERLINK("http://www.rosaceae.org/gb/gbrowse/malus_x_domestica/?name=MDP0000775116","MDP0000775116")</f>
        <v>MDP0000775116</v>
      </c>
      <c r="D3482">
        <v>31.48</v>
      </c>
      <c r="E3482">
        <v>324</v>
      </c>
      <c r="F3482">
        <v>222</v>
      </c>
      <c r="G3482">
        <v>102</v>
      </c>
      <c r="H3482">
        <v>53</v>
      </c>
      <c r="I3482">
        <v>274</v>
      </c>
      <c r="J3482">
        <v>1</v>
      </c>
      <c r="K3482">
        <v>154</v>
      </c>
      <c r="L3482">
        <v>477</v>
      </c>
      <c r="M3482">
        <v>1</v>
      </c>
      <c r="N3482">
        <v>4.9181299999999997E-27</v>
      </c>
      <c r="O3482">
        <v>297</v>
      </c>
    </row>
    <row r="3483" spans="1:15" x14ac:dyDescent="0.25">
      <c r="A3483" t="s">
        <v>3496</v>
      </c>
      <c r="B3483">
        <v>186</v>
      </c>
      <c r="C3483" s="1" t="str">
        <f>HYPERLINK("http://www.rosaceae.org/gb/gbrowse/malus_x_domestica/?name=MDP0000241847","MDP0000241847")</f>
        <v>MDP0000241847</v>
      </c>
      <c r="D3483">
        <v>80</v>
      </c>
      <c r="E3483">
        <v>165</v>
      </c>
      <c r="F3483">
        <v>33</v>
      </c>
      <c r="G3483">
        <v>0</v>
      </c>
      <c r="H3483">
        <v>22</v>
      </c>
      <c r="I3483">
        <v>186</v>
      </c>
      <c r="J3483">
        <v>1</v>
      </c>
      <c r="K3483">
        <v>21</v>
      </c>
      <c r="L3483">
        <v>185</v>
      </c>
      <c r="M3483">
        <v>1</v>
      </c>
      <c r="N3483">
        <v>5.8282799999999996E-78</v>
      </c>
      <c r="O3483">
        <v>733</v>
      </c>
    </row>
    <row r="3484" spans="1:15" x14ac:dyDescent="0.25">
      <c r="A3484" t="s">
        <v>3497</v>
      </c>
      <c r="B3484">
        <v>1153</v>
      </c>
      <c r="C3484" s="1" t="str">
        <f>HYPERLINK("http://www.rosaceae.org/gb/gbrowse/malus_x_domestica/?name=MDP0000207919","MDP0000207919")</f>
        <v>MDP0000207919</v>
      </c>
      <c r="D3484">
        <v>38.21</v>
      </c>
      <c r="E3484">
        <v>717</v>
      </c>
      <c r="F3484">
        <v>443</v>
      </c>
      <c r="G3484">
        <v>65</v>
      </c>
      <c r="H3484">
        <v>469</v>
      </c>
      <c r="I3484">
        <v>1147</v>
      </c>
      <c r="J3484">
        <v>1</v>
      </c>
      <c r="K3484">
        <v>327</v>
      </c>
      <c r="L3484">
        <v>1016</v>
      </c>
      <c r="M3484">
        <v>1</v>
      </c>
      <c r="N3484">
        <v>1.4779900000000001E-116</v>
      </c>
      <c r="O3484">
        <v>1075</v>
      </c>
    </row>
    <row r="3485" spans="1:15" x14ac:dyDescent="0.25">
      <c r="A3485" t="s">
        <v>3498</v>
      </c>
      <c r="B3485">
        <v>178</v>
      </c>
      <c r="C3485" s="1" t="str">
        <f>HYPERLINK("http://www.rosaceae.org/gb/gbrowse/malus_x_domestica/?name=MDP0000220677","MDP0000220677")</f>
        <v>MDP0000220677</v>
      </c>
      <c r="D3485">
        <v>55.4</v>
      </c>
      <c r="E3485">
        <v>74</v>
      </c>
      <c r="F3485">
        <v>33</v>
      </c>
      <c r="G3485">
        <v>0</v>
      </c>
      <c r="H3485">
        <v>1</v>
      </c>
      <c r="I3485">
        <v>74</v>
      </c>
      <c r="J3485">
        <v>1</v>
      </c>
      <c r="K3485">
        <v>1</v>
      </c>
      <c r="L3485">
        <v>74</v>
      </c>
      <c r="M3485">
        <v>1</v>
      </c>
      <c r="N3485">
        <v>7.0513499999999997E-17</v>
      </c>
      <c r="O3485">
        <v>206</v>
      </c>
    </row>
    <row r="3486" spans="1:15" x14ac:dyDescent="0.25">
      <c r="A3486" t="s">
        <v>3499</v>
      </c>
      <c r="B3486">
        <v>48</v>
      </c>
      <c r="C3486" s="1" t="str">
        <f>HYPERLINK("http://www.rosaceae.org/gb/gbrowse/malus_x_domestica/?name=MDP0000219706","MDP0000219706")</f>
        <v>MDP0000219706</v>
      </c>
      <c r="D3486">
        <v>55</v>
      </c>
      <c r="E3486">
        <v>40</v>
      </c>
      <c r="F3486">
        <v>18</v>
      </c>
      <c r="G3486">
        <v>0</v>
      </c>
      <c r="H3486">
        <v>1</v>
      </c>
      <c r="I3486">
        <v>40</v>
      </c>
      <c r="J3486">
        <v>1</v>
      </c>
      <c r="K3486">
        <v>483</v>
      </c>
      <c r="L3486">
        <v>522</v>
      </c>
      <c r="M3486">
        <v>1</v>
      </c>
      <c r="N3486">
        <v>9.9291199999999996E-7</v>
      </c>
      <c r="O3486">
        <v>115</v>
      </c>
    </row>
    <row r="3487" spans="1:15" x14ac:dyDescent="0.25">
      <c r="A3487" t="s">
        <v>3500</v>
      </c>
      <c r="B3487">
        <v>214</v>
      </c>
      <c r="C3487" s="1" t="str">
        <f>HYPERLINK("http://www.rosaceae.org/gb/gbrowse/malus_x_domestica/?name=MDP0000815376","MDP0000815376")</f>
        <v>MDP0000815376</v>
      </c>
      <c r="D3487">
        <v>67.92</v>
      </c>
      <c r="E3487">
        <v>212</v>
      </c>
      <c r="F3487">
        <v>68</v>
      </c>
      <c r="G3487">
        <v>23</v>
      </c>
      <c r="H3487">
        <v>7</v>
      </c>
      <c r="I3487">
        <v>214</v>
      </c>
      <c r="J3487">
        <v>1</v>
      </c>
      <c r="K3487">
        <v>19</v>
      </c>
      <c r="L3487">
        <v>211</v>
      </c>
      <c r="M3487">
        <v>1</v>
      </c>
      <c r="N3487">
        <v>1.3783E-68</v>
      </c>
      <c r="O3487">
        <v>653</v>
      </c>
    </row>
    <row r="3488" spans="1:15" x14ac:dyDescent="0.25">
      <c r="A3488" t="s">
        <v>3501</v>
      </c>
      <c r="B3488">
        <v>262</v>
      </c>
      <c r="C3488" s="1" t="str">
        <f>HYPERLINK("http://www.rosaceae.org/gb/gbrowse/malus_x_domestica/?name=MDP0000293051","MDP0000293051")</f>
        <v>MDP0000293051</v>
      </c>
      <c r="D3488">
        <v>91.98</v>
      </c>
      <c r="E3488">
        <v>262</v>
      </c>
      <c r="F3488">
        <v>21</v>
      </c>
      <c r="G3488">
        <v>2</v>
      </c>
      <c r="H3488">
        <v>1</v>
      </c>
      <c r="I3488">
        <v>262</v>
      </c>
      <c r="J3488">
        <v>1</v>
      </c>
      <c r="K3488">
        <v>6</v>
      </c>
      <c r="L3488">
        <v>265</v>
      </c>
      <c r="M3488">
        <v>1</v>
      </c>
      <c r="N3488">
        <v>6.0834599999999997E-140</v>
      </c>
      <c r="O3488">
        <v>1270</v>
      </c>
    </row>
    <row r="3489" spans="1:15" x14ac:dyDescent="0.25">
      <c r="A3489" t="s">
        <v>3502</v>
      </c>
      <c r="B3489">
        <v>180</v>
      </c>
      <c r="C3489" s="1" t="str">
        <f>HYPERLINK("http://www.rosaceae.org/gb/gbrowse/malus_x_domestica/?name=MDP0000613377","MDP0000613377")</f>
        <v>MDP0000613377</v>
      </c>
      <c r="D3489">
        <v>44.44</v>
      </c>
      <c r="E3489">
        <v>72</v>
      </c>
      <c r="F3489">
        <v>40</v>
      </c>
      <c r="G3489">
        <v>11</v>
      </c>
      <c r="H3489">
        <v>4</v>
      </c>
      <c r="I3489">
        <v>66</v>
      </c>
      <c r="J3489">
        <v>1</v>
      </c>
      <c r="K3489">
        <v>6</v>
      </c>
      <c r="L3489">
        <v>75</v>
      </c>
      <c r="M3489">
        <v>1</v>
      </c>
      <c r="N3489">
        <v>1.4714900000000001E-9</v>
      </c>
      <c r="O3489">
        <v>143</v>
      </c>
    </row>
    <row r="3490" spans="1:15" x14ac:dyDescent="0.25">
      <c r="A3490" t="s">
        <v>3503</v>
      </c>
      <c r="B3490">
        <v>827</v>
      </c>
      <c r="C3490" s="1" t="str">
        <f>HYPERLINK("http://www.rosaceae.org/gb/gbrowse/malus_x_domestica/?name=MDP0000478356","MDP0000478356")</f>
        <v>MDP0000478356</v>
      </c>
      <c r="D3490">
        <v>80.12</v>
      </c>
      <c r="E3490">
        <v>825</v>
      </c>
      <c r="F3490">
        <v>164</v>
      </c>
      <c r="G3490">
        <v>19</v>
      </c>
      <c r="H3490">
        <v>1</v>
      </c>
      <c r="I3490">
        <v>816</v>
      </c>
      <c r="J3490">
        <v>1</v>
      </c>
      <c r="K3490">
        <v>359</v>
      </c>
      <c r="L3490">
        <v>1173</v>
      </c>
      <c r="M3490">
        <v>1</v>
      </c>
      <c r="N3490">
        <v>0</v>
      </c>
      <c r="O3490">
        <v>3598</v>
      </c>
    </row>
    <row r="3491" spans="1:15" x14ac:dyDescent="0.25">
      <c r="A3491" t="s">
        <v>3504</v>
      </c>
      <c r="B3491">
        <v>143</v>
      </c>
      <c r="C3491" s="1" t="str">
        <f>HYPERLINK("http://www.rosaceae.org/gb/gbrowse/malus_x_domestica/?name=MDP0000163291","MDP0000163291")</f>
        <v>MDP0000163291</v>
      </c>
      <c r="D3491">
        <v>58.74</v>
      </c>
      <c r="E3491">
        <v>143</v>
      </c>
      <c r="F3491">
        <v>59</v>
      </c>
      <c r="G3491">
        <v>6</v>
      </c>
      <c r="H3491">
        <v>1</v>
      </c>
      <c r="I3491">
        <v>143</v>
      </c>
      <c r="J3491">
        <v>1</v>
      </c>
      <c r="K3491">
        <v>1</v>
      </c>
      <c r="L3491">
        <v>137</v>
      </c>
      <c r="M3491">
        <v>1</v>
      </c>
      <c r="N3491">
        <v>1.53256E-41</v>
      </c>
      <c r="O3491">
        <v>417</v>
      </c>
    </row>
    <row r="3492" spans="1:15" x14ac:dyDescent="0.25">
      <c r="A3492" t="s">
        <v>3505</v>
      </c>
      <c r="B3492">
        <v>1643</v>
      </c>
      <c r="C3492" s="1" t="str">
        <f>HYPERLINK("http://www.rosaceae.org/gb/gbrowse/malus_x_domestica/?name=MDP0000211494","MDP0000211494")</f>
        <v>MDP0000211494</v>
      </c>
      <c r="D3492">
        <v>73.430000000000007</v>
      </c>
      <c r="E3492">
        <v>1073</v>
      </c>
      <c r="F3492">
        <v>285</v>
      </c>
      <c r="G3492">
        <v>99</v>
      </c>
      <c r="H3492">
        <v>597</v>
      </c>
      <c r="I3492">
        <v>1643</v>
      </c>
      <c r="J3492">
        <v>1</v>
      </c>
      <c r="K3492">
        <v>14</v>
      </c>
      <c r="L3492">
        <v>1013</v>
      </c>
      <c r="M3492">
        <v>1</v>
      </c>
      <c r="N3492">
        <v>0</v>
      </c>
      <c r="O3492">
        <v>3937</v>
      </c>
    </row>
    <row r="3493" spans="1:15" x14ac:dyDescent="0.25">
      <c r="A3493" t="s">
        <v>3506</v>
      </c>
      <c r="B3493">
        <v>375</v>
      </c>
      <c r="C3493" s="1" t="str">
        <f>HYPERLINK("http://www.rosaceae.org/gb/gbrowse/malus_x_domestica/?name=MDP0000321891","MDP0000321891")</f>
        <v>MDP0000321891</v>
      </c>
      <c r="D3493">
        <v>63.29</v>
      </c>
      <c r="E3493">
        <v>297</v>
      </c>
      <c r="F3493">
        <v>109</v>
      </c>
      <c r="G3493">
        <v>8</v>
      </c>
      <c r="H3493">
        <v>1</v>
      </c>
      <c r="I3493">
        <v>292</v>
      </c>
      <c r="J3493">
        <v>1</v>
      </c>
      <c r="K3493">
        <v>1</v>
      </c>
      <c r="L3493">
        <v>294</v>
      </c>
      <c r="M3493">
        <v>1</v>
      </c>
      <c r="N3493">
        <v>2.7210799999999998E-100</v>
      </c>
      <c r="O3493">
        <v>930</v>
      </c>
    </row>
    <row r="3494" spans="1:15" x14ac:dyDescent="0.25">
      <c r="A3494" t="s">
        <v>3507</v>
      </c>
      <c r="B3494">
        <v>488</v>
      </c>
      <c r="C3494" s="1" t="str">
        <f>HYPERLINK("http://www.rosaceae.org/gb/gbrowse/malus_x_domestica/?name=MDP0000284488","MDP0000284488")</f>
        <v>MDP0000284488</v>
      </c>
      <c r="D3494">
        <v>57.98</v>
      </c>
      <c r="E3494">
        <v>557</v>
      </c>
      <c r="F3494">
        <v>234</v>
      </c>
      <c r="G3494">
        <v>89</v>
      </c>
      <c r="H3494">
        <v>1</v>
      </c>
      <c r="I3494">
        <v>484</v>
      </c>
      <c r="J3494">
        <v>1</v>
      </c>
      <c r="K3494">
        <v>324</v>
      </c>
      <c r="L3494">
        <v>864</v>
      </c>
      <c r="M3494">
        <v>1</v>
      </c>
      <c r="N3494">
        <v>1.2382299999999999E-150</v>
      </c>
      <c r="O3494">
        <v>1365</v>
      </c>
    </row>
    <row r="3495" spans="1:15" x14ac:dyDescent="0.25">
      <c r="A3495" t="s">
        <v>3508</v>
      </c>
      <c r="B3495">
        <v>171</v>
      </c>
      <c r="C3495" s="1" t="str">
        <f>HYPERLINK("http://www.rosaceae.org/gb/gbrowse/malus_x_domestica/?name=MDP0000933146","MDP0000933146")</f>
        <v>MDP0000933146</v>
      </c>
      <c r="D3495">
        <v>65.319999999999993</v>
      </c>
      <c r="E3495">
        <v>124</v>
      </c>
      <c r="F3495">
        <v>43</v>
      </c>
      <c r="G3495">
        <v>8</v>
      </c>
      <c r="H3495">
        <v>1</v>
      </c>
      <c r="I3495">
        <v>124</v>
      </c>
      <c r="J3495">
        <v>1</v>
      </c>
      <c r="K3495">
        <v>39</v>
      </c>
      <c r="L3495">
        <v>154</v>
      </c>
      <c r="M3495">
        <v>1</v>
      </c>
      <c r="N3495">
        <v>1.89279E-41</v>
      </c>
      <c r="O3495">
        <v>418</v>
      </c>
    </row>
    <row r="3496" spans="1:15" x14ac:dyDescent="0.25">
      <c r="A3496" t="s">
        <v>3509</v>
      </c>
      <c r="B3496">
        <v>1188</v>
      </c>
      <c r="C3496" s="1" t="str">
        <f>HYPERLINK("http://www.rosaceae.org/gb/gbrowse/malus_x_domestica/?name=MDP0000216027","MDP0000216027")</f>
        <v>MDP0000216027</v>
      </c>
      <c r="D3496">
        <v>62.06</v>
      </c>
      <c r="E3496">
        <v>783</v>
      </c>
      <c r="F3496">
        <v>297</v>
      </c>
      <c r="G3496">
        <v>73</v>
      </c>
      <c r="H3496">
        <v>3</v>
      </c>
      <c r="I3496">
        <v>753</v>
      </c>
      <c r="J3496">
        <v>1</v>
      </c>
      <c r="K3496">
        <v>10</v>
      </c>
      <c r="L3496">
        <v>751</v>
      </c>
      <c r="M3496">
        <v>1</v>
      </c>
      <c r="N3496">
        <v>0</v>
      </c>
      <c r="O3496">
        <v>2245</v>
      </c>
    </row>
    <row r="3497" spans="1:15" x14ac:dyDescent="0.25">
      <c r="A3497" t="s">
        <v>3510</v>
      </c>
      <c r="B3497">
        <v>213</v>
      </c>
      <c r="C3497" s="1" t="str">
        <f>HYPERLINK("http://www.rosaceae.org/gb/gbrowse/malus_x_domestica/?name=MDP0000303490","MDP0000303490")</f>
        <v>MDP0000303490</v>
      </c>
      <c r="D3497">
        <v>51.07</v>
      </c>
      <c r="E3497">
        <v>139</v>
      </c>
      <c r="F3497">
        <v>68</v>
      </c>
      <c r="G3497">
        <v>2</v>
      </c>
      <c r="H3497">
        <v>71</v>
      </c>
      <c r="I3497">
        <v>207</v>
      </c>
      <c r="J3497">
        <v>1</v>
      </c>
      <c r="K3497">
        <v>742</v>
      </c>
      <c r="L3497">
        <v>880</v>
      </c>
      <c r="M3497">
        <v>1</v>
      </c>
      <c r="N3497">
        <v>2.3401999999999999E-25</v>
      </c>
      <c r="O3497">
        <v>281</v>
      </c>
    </row>
    <row r="3498" spans="1:15" x14ac:dyDescent="0.25">
      <c r="A3498" t="s">
        <v>3511</v>
      </c>
      <c r="B3498">
        <v>119</v>
      </c>
      <c r="C3498" s="1" t="str">
        <f>HYPERLINK("http://www.rosaceae.org/gb/gbrowse/malus_x_domestica/?name=MDP0000941306","MDP0000941306")</f>
        <v>MDP0000941306</v>
      </c>
      <c r="D3498">
        <v>40.74</v>
      </c>
      <c r="E3498">
        <v>108</v>
      </c>
      <c r="F3498">
        <v>64</v>
      </c>
      <c r="G3498">
        <v>10</v>
      </c>
      <c r="H3498">
        <v>2</v>
      </c>
      <c r="I3498">
        <v>100</v>
      </c>
      <c r="J3498">
        <v>1</v>
      </c>
      <c r="K3498">
        <v>111</v>
      </c>
      <c r="L3498">
        <v>217</v>
      </c>
      <c r="M3498">
        <v>1</v>
      </c>
      <c r="N3498">
        <v>5.92501E-12</v>
      </c>
      <c r="O3498">
        <v>160</v>
      </c>
    </row>
    <row r="3499" spans="1:15" x14ac:dyDescent="0.25">
      <c r="A3499" t="s">
        <v>3512</v>
      </c>
      <c r="B3499">
        <v>209</v>
      </c>
      <c r="C3499" s="1" t="str">
        <f>HYPERLINK("http://www.rosaceae.org/gb/gbrowse/malus_x_domestica/?name=MDP0000423445","MDP0000423445")</f>
        <v>MDP0000423445</v>
      </c>
      <c r="D3499">
        <v>66.930000000000007</v>
      </c>
      <c r="E3499">
        <v>124</v>
      </c>
      <c r="F3499">
        <v>41</v>
      </c>
      <c r="G3499">
        <v>6</v>
      </c>
      <c r="H3499">
        <v>55</v>
      </c>
      <c r="I3499">
        <v>178</v>
      </c>
      <c r="J3499">
        <v>1</v>
      </c>
      <c r="K3499">
        <v>140</v>
      </c>
      <c r="L3499">
        <v>257</v>
      </c>
      <c r="M3499">
        <v>1</v>
      </c>
      <c r="N3499">
        <v>1.7489E-43</v>
      </c>
      <c r="O3499">
        <v>437</v>
      </c>
    </row>
    <row r="3500" spans="1:15" x14ac:dyDescent="0.25">
      <c r="A3500" t="s">
        <v>3513</v>
      </c>
      <c r="B3500">
        <v>129</v>
      </c>
      <c r="C3500" s="1" t="str">
        <f>HYPERLINK("http://www.rosaceae.org/gb/gbrowse/malus_x_domestica/?name=MDP0000425687","MDP0000425687")</f>
        <v>MDP0000425687</v>
      </c>
      <c r="D3500">
        <v>44.34</v>
      </c>
      <c r="E3500">
        <v>115</v>
      </c>
      <c r="F3500">
        <v>64</v>
      </c>
      <c r="G3500">
        <v>4</v>
      </c>
      <c r="H3500">
        <v>8</v>
      </c>
      <c r="I3500">
        <v>122</v>
      </c>
      <c r="J3500">
        <v>1</v>
      </c>
      <c r="K3500">
        <v>646</v>
      </c>
      <c r="L3500">
        <v>756</v>
      </c>
      <c r="M3500">
        <v>1</v>
      </c>
      <c r="N3500">
        <v>5.1388700000000002E-11</v>
      </c>
      <c r="O3500">
        <v>153</v>
      </c>
    </row>
    <row r="3501" spans="1:15" x14ac:dyDescent="0.25">
      <c r="A3501" t="s">
        <v>3514</v>
      </c>
      <c r="B3501">
        <v>340</v>
      </c>
      <c r="C3501" s="1" t="str">
        <f>HYPERLINK("http://www.rosaceae.org/gb/gbrowse/malus_x_domestica/?name=MDP0000125781","MDP0000125781")</f>
        <v>MDP0000125781</v>
      </c>
      <c r="D3501">
        <v>66.010000000000005</v>
      </c>
      <c r="E3501">
        <v>359</v>
      </c>
      <c r="F3501">
        <v>122</v>
      </c>
      <c r="G3501">
        <v>72</v>
      </c>
      <c r="H3501">
        <v>28</v>
      </c>
      <c r="I3501">
        <v>340</v>
      </c>
      <c r="J3501">
        <v>1</v>
      </c>
      <c r="K3501">
        <v>52</v>
      </c>
      <c r="L3501">
        <v>384</v>
      </c>
      <c r="M3501">
        <v>1</v>
      </c>
      <c r="N3501">
        <v>9.0738499999999996E-128</v>
      </c>
      <c r="O3501">
        <v>1166</v>
      </c>
    </row>
    <row r="3502" spans="1:15" x14ac:dyDescent="0.25">
      <c r="A3502" t="s">
        <v>3515</v>
      </c>
      <c r="B3502">
        <v>266</v>
      </c>
      <c r="C3502" s="1" t="str">
        <f>HYPERLINK("http://www.rosaceae.org/gb/gbrowse/malus_x_domestica/?name=MDP0000154237","MDP0000154237")</f>
        <v>MDP0000154237</v>
      </c>
      <c r="D3502">
        <v>49.01</v>
      </c>
      <c r="E3502">
        <v>51</v>
      </c>
      <c r="F3502">
        <v>26</v>
      </c>
      <c r="G3502">
        <v>0</v>
      </c>
      <c r="H3502">
        <v>154</v>
      </c>
      <c r="I3502">
        <v>204</v>
      </c>
      <c r="J3502">
        <v>1</v>
      </c>
      <c r="K3502">
        <v>893</v>
      </c>
      <c r="L3502">
        <v>943</v>
      </c>
      <c r="M3502">
        <v>1</v>
      </c>
      <c r="N3502">
        <v>1.2297900000000001E-7</v>
      </c>
      <c r="O3502">
        <v>129</v>
      </c>
    </row>
    <row r="3503" spans="1:15" x14ac:dyDescent="0.25">
      <c r="A3503" t="s">
        <v>3516</v>
      </c>
      <c r="B3503">
        <v>801</v>
      </c>
      <c r="C3503" s="1" t="str">
        <f>HYPERLINK("http://www.rosaceae.org/gb/gbrowse/malus_x_domestica/?name=MDP0000570507","MDP0000570507")</f>
        <v>MDP0000570507</v>
      </c>
      <c r="D3503">
        <v>81.78</v>
      </c>
      <c r="E3503">
        <v>730</v>
      </c>
      <c r="F3503">
        <v>133</v>
      </c>
      <c r="G3503">
        <v>38</v>
      </c>
      <c r="H3503">
        <v>109</v>
      </c>
      <c r="I3503">
        <v>800</v>
      </c>
      <c r="J3503">
        <v>1</v>
      </c>
      <c r="K3503">
        <v>108</v>
      </c>
      <c r="L3503">
        <v>837</v>
      </c>
      <c r="M3503">
        <v>1</v>
      </c>
      <c r="N3503">
        <v>0</v>
      </c>
      <c r="O3503">
        <v>3130</v>
      </c>
    </row>
    <row r="3504" spans="1:15" x14ac:dyDescent="0.25">
      <c r="A3504" t="s">
        <v>3517</v>
      </c>
      <c r="B3504">
        <v>473</v>
      </c>
      <c r="C3504" s="1" t="str">
        <f>HYPERLINK("http://www.rosaceae.org/gb/gbrowse/malus_x_domestica/?name=MDP0000139028","MDP0000139028")</f>
        <v>MDP0000139028</v>
      </c>
      <c r="D3504">
        <v>25.41</v>
      </c>
      <c r="E3504">
        <v>240</v>
      </c>
      <c r="F3504">
        <v>179</v>
      </c>
      <c r="G3504">
        <v>39</v>
      </c>
      <c r="H3504">
        <v>181</v>
      </c>
      <c r="I3504">
        <v>403</v>
      </c>
      <c r="J3504">
        <v>1</v>
      </c>
      <c r="K3504">
        <v>179</v>
      </c>
      <c r="L3504">
        <v>396</v>
      </c>
      <c r="M3504">
        <v>1</v>
      </c>
      <c r="N3504">
        <v>3.1528799999999999E-11</v>
      </c>
      <c r="O3504">
        <v>163</v>
      </c>
    </row>
    <row r="3505" spans="1:15" x14ac:dyDescent="0.25">
      <c r="A3505" t="s">
        <v>3518</v>
      </c>
      <c r="B3505">
        <v>102</v>
      </c>
      <c r="C3505" s="1" t="str">
        <f>HYPERLINK("http://www.rosaceae.org/gb/gbrowse/malus_x_domestica/?name=MDP0000472203","MDP0000472203")</f>
        <v>MDP0000472203</v>
      </c>
      <c r="D3505">
        <v>94.11</v>
      </c>
      <c r="E3505">
        <v>102</v>
      </c>
      <c r="F3505">
        <v>6</v>
      </c>
      <c r="G3505">
        <v>0</v>
      </c>
      <c r="H3505">
        <v>1</v>
      </c>
      <c r="I3505">
        <v>102</v>
      </c>
      <c r="J3505">
        <v>1</v>
      </c>
      <c r="K3505">
        <v>41</v>
      </c>
      <c r="L3505">
        <v>142</v>
      </c>
      <c r="M3505">
        <v>1</v>
      </c>
      <c r="N3505">
        <v>2.22057E-51</v>
      </c>
      <c r="O3505">
        <v>501</v>
      </c>
    </row>
    <row r="3506" spans="1:15" x14ac:dyDescent="0.25">
      <c r="A3506" t="s">
        <v>3519</v>
      </c>
      <c r="B3506">
        <v>490</v>
      </c>
      <c r="C3506" s="1" t="str">
        <f>HYPERLINK("http://www.rosaceae.org/gb/gbrowse/malus_x_domestica/?name=MDP0000137792","MDP0000137792")</f>
        <v>MDP0000137792</v>
      </c>
      <c r="D3506">
        <v>76.64</v>
      </c>
      <c r="E3506">
        <v>441</v>
      </c>
      <c r="F3506">
        <v>103</v>
      </c>
      <c r="G3506">
        <v>1</v>
      </c>
      <c r="H3506">
        <v>48</v>
      </c>
      <c r="I3506">
        <v>488</v>
      </c>
      <c r="J3506">
        <v>1</v>
      </c>
      <c r="K3506">
        <v>15</v>
      </c>
      <c r="L3506">
        <v>454</v>
      </c>
      <c r="M3506">
        <v>1</v>
      </c>
      <c r="N3506">
        <v>0</v>
      </c>
      <c r="O3506">
        <v>1756</v>
      </c>
    </row>
    <row r="3507" spans="1:15" x14ac:dyDescent="0.25">
      <c r="A3507" t="s">
        <v>3520</v>
      </c>
      <c r="B3507">
        <v>265</v>
      </c>
      <c r="C3507" s="1" t="str">
        <f>HYPERLINK("http://www.rosaceae.org/gb/gbrowse/malus_x_domestica/?name=MDP0000789766","MDP0000789766")</f>
        <v>MDP0000789766</v>
      </c>
      <c r="D3507">
        <v>85.66</v>
      </c>
      <c r="E3507">
        <v>265</v>
      </c>
      <c r="F3507">
        <v>38</v>
      </c>
      <c r="G3507">
        <v>0</v>
      </c>
      <c r="H3507">
        <v>1</v>
      </c>
      <c r="I3507">
        <v>265</v>
      </c>
      <c r="J3507">
        <v>1</v>
      </c>
      <c r="K3507">
        <v>1</v>
      </c>
      <c r="L3507">
        <v>265</v>
      </c>
      <c r="M3507">
        <v>1</v>
      </c>
      <c r="N3507">
        <v>3.9843799999999997E-133</v>
      </c>
      <c r="O3507">
        <v>1211</v>
      </c>
    </row>
    <row r="3508" spans="1:15" x14ac:dyDescent="0.25">
      <c r="A3508" t="s">
        <v>3521</v>
      </c>
      <c r="B3508">
        <v>621</v>
      </c>
      <c r="C3508" s="1" t="str">
        <f>HYPERLINK("http://www.rosaceae.org/gb/gbrowse/malus_x_domestica/?name=MDP0000130521","MDP0000130521")</f>
        <v>MDP0000130521</v>
      </c>
      <c r="D3508">
        <v>89.13</v>
      </c>
      <c r="E3508">
        <v>184</v>
      </c>
      <c r="F3508">
        <v>20</v>
      </c>
      <c r="G3508">
        <v>1</v>
      </c>
      <c r="H3508">
        <v>112</v>
      </c>
      <c r="I3508">
        <v>294</v>
      </c>
      <c r="J3508">
        <v>1</v>
      </c>
      <c r="K3508">
        <v>191</v>
      </c>
      <c r="L3508">
        <v>374</v>
      </c>
      <c r="M3508">
        <v>1</v>
      </c>
      <c r="N3508">
        <v>7.2516300000000004E-83</v>
      </c>
      <c r="O3508">
        <v>782</v>
      </c>
    </row>
    <row r="3509" spans="1:15" x14ac:dyDescent="0.25">
      <c r="A3509" t="s">
        <v>3522</v>
      </c>
      <c r="B3509">
        <v>529</v>
      </c>
      <c r="C3509" s="1" t="str">
        <f>HYPERLINK("http://www.rosaceae.org/gb/gbrowse/malus_x_domestica/?name=MDP0000230991","MDP0000230991")</f>
        <v>MDP0000230991</v>
      </c>
      <c r="D3509">
        <v>79.62</v>
      </c>
      <c r="E3509">
        <v>540</v>
      </c>
      <c r="F3509">
        <v>110</v>
      </c>
      <c r="G3509">
        <v>11</v>
      </c>
      <c r="H3509">
        <v>1</v>
      </c>
      <c r="I3509">
        <v>529</v>
      </c>
      <c r="J3509">
        <v>1</v>
      </c>
      <c r="K3509">
        <v>1</v>
      </c>
      <c r="L3509">
        <v>540</v>
      </c>
      <c r="M3509">
        <v>1</v>
      </c>
      <c r="N3509">
        <v>0</v>
      </c>
      <c r="O3509">
        <v>2267</v>
      </c>
    </row>
    <row r="3510" spans="1:15" x14ac:dyDescent="0.25">
      <c r="A3510" t="s">
        <v>3523</v>
      </c>
      <c r="B3510">
        <v>267</v>
      </c>
      <c r="C3510" s="1" t="str">
        <f>HYPERLINK("http://www.rosaceae.org/gb/gbrowse/malus_x_domestica/?name=MDP0000847267","MDP0000847267")</f>
        <v>MDP0000847267</v>
      </c>
      <c r="D3510">
        <v>72.099999999999994</v>
      </c>
      <c r="E3510">
        <v>233</v>
      </c>
      <c r="F3510">
        <v>65</v>
      </c>
      <c r="G3510">
        <v>3</v>
      </c>
      <c r="H3510">
        <v>38</v>
      </c>
      <c r="I3510">
        <v>267</v>
      </c>
      <c r="J3510">
        <v>1</v>
      </c>
      <c r="K3510">
        <v>3</v>
      </c>
      <c r="L3510">
        <v>235</v>
      </c>
      <c r="M3510">
        <v>1</v>
      </c>
      <c r="N3510">
        <v>1.5998899999999999E-99</v>
      </c>
      <c r="O3510">
        <v>922</v>
      </c>
    </row>
    <row r="3511" spans="1:15" x14ac:dyDescent="0.25">
      <c r="A3511" t="s">
        <v>3524</v>
      </c>
      <c r="B3511">
        <v>208</v>
      </c>
      <c r="C3511" s="1" t="str">
        <f>HYPERLINK("http://www.rosaceae.org/gb/gbrowse/malus_x_domestica/?name=MDP0000790788","MDP0000790788")</f>
        <v>MDP0000790788</v>
      </c>
      <c r="D3511">
        <v>65.34</v>
      </c>
      <c r="E3511">
        <v>101</v>
      </c>
      <c r="F3511">
        <v>35</v>
      </c>
      <c r="G3511">
        <v>0</v>
      </c>
      <c r="H3511">
        <v>19</v>
      </c>
      <c r="I3511">
        <v>119</v>
      </c>
      <c r="J3511">
        <v>1</v>
      </c>
      <c r="K3511">
        <v>43</v>
      </c>
      <c r="L3511">
        <v>143</v>
      </c>
      <c r="M3511">
        <v>1</v>
      </c>
      <c r="N3511">
        <v>1.6258100000000002E-33</v>
      </c>
      <c r="O3511">
        <v>351</v>
      </c>
    </row>
    <row r="3512" spans="1:15" x14ac:dyDescent="0.25">
      <c r="A3512" t="s">
        <v>3525</v>
      </c>
      <c r="B3512">
        <v>738</v>
      </c>
      <c r="C3512" s="1" t="str">
        <f>HYPERLINK("http://www.rosaceae.org/gb/gbrowse/malus_x_domestica/?name=MDP0000299027","MDP0000299027")</f>
        <v>MDP0000299027</v>
      </c>
      <c r="D3512">
        <v>88.92</v>
      </c>
      <c r="E3512">
        <v>695</v>
      </c>
      <c r="F3512">
        <v>77</v>
      </c>
      <c r="G3512">
        <v>0</v>
      </c>
      <c r="H3512">
        <v>44</v>
      </c>
      <c r="I3512">
        <v>738</v>
      </c>
      <c r="J3512">
        <v>1</v>
      </c>
      <c r="K3512">
        <v>53</v>
      </c>
      <c r="L3512">
        <v>747</v>
      </c>
      <c r="M3512">
        <v>1</v>
      </c>
      <c r="N3512">
        <v>0</v>
      </c>
      <c r="O3512">
        <v>3307</v>
      </c>
    </row>
    <row r="3513" spans="1:15" x14ac:dyDescent="0.25">
      <c r="A3513" t="s">
        <v>3526</v>
      </c>
      <c r="B3513">
        <v>482</v>
      </c>
      <c r="C3513" s="1" t="str">
        <f>HYPERLINK("http://www.rosaceae.org/gb/gbrowse/malus_x_domestica/?name=MDP0000417211","MDP0000417211")</f>
        <v>MDP0000417211</v>
      </c>
      <c r="D3513">
        <v>45.69</v>
      </c>
      <c r="E3513">
        <v>151</v>
      </c>
      <c r="F3513">
        <v>82</v>
      </c>
      <c r="G3513">
        <v>0</v>
      </c>
      <c r="H3513">
        <v>262</v>
      </c>
      <c r="I3513">
        <v>412</v>
      </c>
      <c r="J3513">
        <v>1</v>
      </c>
      <c r="K3513">
        <v>13</v>
      </c>
      <c r="L3513">
        <v>163</v>
      </c>
      <c r="M3513">
        <v>1</v>
      </c>
      <c r="N3513">
        <v>3.72896E-34</v>
      </c>
      <c r="O3513">
        <v>361</v>
      </c>
    </row>
    <row r="3514" spans="1:15" x14ac:dyDescent="0.25">
      <c r="A3514" t="s">
        <v>3527</v>
      </c>
      <c r="B3514">
        <v>911</v>
      </c>
      <c r="C3514" s="1" t="str">
        <f>HYPERLINK("http://www.rosaceae.org/gb/gbrowse/malus_x_domestica/?name=MDP0000297928","MDP0000297928")</f>
        <v>MDP0000297928</v>
      </c>
      <c r="D3514">
        <v>73.05</v>
      </c>
      <c r="E3514">
        <v>887</v>
      </c>
      <c r="F3514">
        <v>239</v>
      </c>
      <c r="G3514">
        <v>20</v>
      </c>
      <c r="H3514">
        <v>23</v>
      </c>
      <c r="I3514">
        <v>891</v>
      </c>
      <c r="J3514">
        <v>1</v>
      </c>
      <c r="K3514">
        <v>1111</v>
      </c>
      <c r="L3514">
        <v>1995</v>
      </c>
      <c r="M3514">
        <v>1</v>
      </c>
      <c r="N3514">
        <v>0</v>
      </c>
      <c r="O3514">
        <v>3271</v>
      </c>
    </row>
    <row r="3515" spans="1:15" x14ac:dyDescent="0.25">
      <c r="A3515" t="s">
        <v>3528</v>
      </c>
      <c r="B3515">
        <v>1096</v>
      </c>
      <c r="C3515" s="1" t="str">
        <f>HYPERLINK("http://www.rosaceae.org/gb/gbrowse/malus_x_domestica/?name=MDP0000634241","MDP0000634241")</f>
        <v>MDP0000634241</v>
      </c>
      <c r="D3515">
        <v>76.319999999999993</v>
      </c>
      <c r="E3515">
        <v>1094</v>
      </c>
      <c r="F3515">
        <v>259</v>
      </c>
      <c r="G3515">
        <v>4</v>
      </c>
      <c r="H3515">
        <v>1</v>
      </c>
      <c r="I3515">
        <v>1093</v>
      </c>
      <c r="J3515">
        <v>1</v>
      </c>
      <c r="K3515">
        <v>11</v>
      </c>
      <c r="L3515">
        <v>1101</v>
      </c>
      <c r="M3515">
        <v>1</v>
      </c>
      <c r="N3515">
        <v>0</v>
      </c>
      <c r="O3515">
        <v>4310</v>
      </c>
    </row>
    <row r="3516" spans="1:15" x14ac:dyDescent="0.25">
      <c r="A3516" t="s">
        <v>3529</v>
      </c>
      <c r="B3516">
        <v>236</v>
      </c>
      <c r="C3516" s="1" t="str">
        <f>HYPERLINK("http://www.rosaceae.org/gb/gbrowse/malus_x_domestica/?name=MDP0000145448","MDP0000145448")</f>
        <v>MDP0000145448</v>
      </c>
      <c r="D3516">
        <v>66.66</v>
      </c>
      <c r="E3516">
        <v>240</v>
      </c>
      <c r="F3516">
        <v>80</v>
      </c>
      <c r="G3516">
        <v>9</v>
      </c>
      <c r="H3516">
        <v>1</v>
      </c>
      <c r="I3516">
        <v>236</v>
      </c>
      <c r="J3516">
        <v>1</v>
      </c>
      <c r="K3516">
        <v>1</v>
      </c>
      <c r="L3516">
        <v>235</v>
      </c>
      <c r="M3516">
        <v>1</v>
      </c>
      <c r="N3516">
        <v>7.3847000000000001E-82</v>
      </c>
      <c r="O3516">
        <v>769</v>
      </c>
    </row>
    <row r="3517" spans="1:15" x14ac:dyDescent="0.25">
      <c r="A3517" t="s">
        <v>3530</v>
      </c>
      <c r="B3517">
        <v>764</v>
      </c>
      <c r="C3517" s="1" t="str">
        <f>HYPERLINK("http://www.rosaceae.org/gb/gbrowse/malus_x_domestica/?name=MDP0000237182","MDP0000237182")</f>
        <v>MDP0000237182</v>
      </c>
      <c r="D3517">
        <v>26.39</v>
      </c>
      <c r="E3517">
        <v>269</v>
      </c>
      <c r="F3517">
        <v>198</v>
      </c>
      <c r="G3517">
        <v>61</v>
      </c>
      <c r="H3517">
        <v>387</v>
      </c>
      <c r="I3517">
        <v>596</v>
      </c>
      <c r="J3517">
        <v>1</v>
      </c>
      <c r="K3517">
        <v>270</v>
      </c>
      <c r="L3517">
        <v>536</v>
      </c>
      <c r="M3517">
        <v>1</v>
      </c>
      <c r="N3517">
        <v>2.7671100000000001E-17</v>
      </c>
      <c r="O3517">
        <v>217</v>
      </c>
    </row>
    <row r="3518" spans="1:15" x14ac:dyDescent="0.25">
      <c r="A3518" t="s">
        <v>3531</v>
      </c>
      <c r="B3518">
        <v>228</v>
      </c>
      <c r="C3518" s="1" t="str">
        <f>HYPERLINK("http://www.rosaceae.org/gb/gbrowse/malus_x_domestica/?name=MDP0000265970","MDP0000265970")</f>
        <v>MDP0000265970</v>
      </c>
      <c r="D3518">
        <v>39.39</v>
      </c>
      <c r="E3518">
        <v>165</v>
      </c>
      <c r="F3518">
        <v>100</v>
      </c>
      <c r="G3518">
        <v>19</v>
      </c>
      <c r="H3518">
        <v>50</v>
      </c>
      <c r="I3518">
        <v>199</v>
      </c>
      <c r="J3518">
        <v>1</v>
      </c>
      <c r="K3518">
        <v>59</v>
      </c>
      <c r="L3518">
        <v>219</v>
      </c>
      <c r="M3518">
        <v>1</v>
      </c>
      <c r="N3518">
        <v>2.9483500000000002E-18</v>
      </c>
      <c r="O3518">
        <v>220</v>
      </c>
    </row>
    <row r="3519" spans="1:15" x14ac:dyDescent="0.25">
      <c r="A3519" t="s">
        <v>3532</v>
      </c>
      <c r="B3519">
        <v>623</v>
      </c>
      <c r="C3519" s="1" t="str">
        <f>HYPERLINK("http://www.rosaceae.org/gb/gbrowse/malus_x_domestica/?name=MDP0000283732","MDP0000283732")</f>
        <v>MDP0000283732</v>
      </c>
      <c r="D3519">
        <v>71.209999999999994</v>
      </c>
      <c r="E3519">
        <v>615</v>
      </c>
      <c r="F3519">
        <v>177</v>
      </c>
      <c r="G3519">
        <v>15</v>
      </c>
      <c r="H3519">
        <v>22</v>
      </c>
      <c r="I3519">
        <v>623</v>
      </c>
      <c r="J3519">
        <v>1</v>
      </c>
      <c r="K3519">
        <v>76</v>
      </c>
      <c r="L3519">
        <v>688</v>
      </c>
      <c r="M3519">
        <v>1</v>
      </c>
      <c r="N3519">
        <v>0</v>
      </c>
      <c r="O3519">
        <v>2289</v>
      </c>
    </row>
    <row r="3520" spans="1:15" x14ac:dyDescent="0.25">
      <c r="A3520" t="s">
        <v>3533</v>
      </c>
      <c r="B3520">
        <v>578</v>
      </c>
      <c r="C3520" s="1" t="str">
        <f>HYPERLINK("http://www.rosaceae.org/gb/gbrowse/malus_x_domestica/?name=MDP0000399594","MDP0000399594")</f>
        <v>MDP0000399594</v>
      </c>
      <c r="D3520">
        <v>67.52</v>
      </c>
      <c r="E3520">
        <v>351</v>
      </c>
      <c r="F3520">
        <v>114</v>
      </c>
      <c r="G3520">
        <v>29</v>
      </c>
      <c r="H3520">
        <v>88</v>
      </c>
      <c r="I3520">
        <v>409</v>
      </c>
      <c r="J3520">
        <v>1</v>
      </c>
      <c r="K3520">
        <v>28</v>
      </c>
      <c r="L3520">
        <v>378</v>
      </c>
      <c r="M3520">
        <v>1</v>
      </c>
      <c r="N3520">
        <v>2.3065399999999998E-134</v>
      </c>
      <c r="O3520">
        <v>1226</v>
      </c>
    </row>
    <row r="3521" spans="1:15" x14ac:dyDescent="0.25">
      <c r="A3521" t="s">
        <v>3534</v>
      </c>
      <c r="B3521">
        <v>289</v>
      </c>
      <c r="C3521" s="1" t="str">
        <f>HYPERLINK("http://www.rosaceae.org/gb/gbrowse/malus_x_domestica/?name=MDP0000900278","MDP0000900278")</f>
        <v>MDP0000900278</v>
      </c>
      <c r="D3521">
        <v>69.23</v>
      </c>
      <c r="E3521">
        <v>299</v>
      </c>
      <c r="F3521">
        <v>92</v>
      </c>
      <c r="G3521">
        <v>18</v>
      </c>
      <c r="H3521">
        <v>1</v>
      </c>
      <c r="I3521">
        <v>289</v>
      </c>
      <c r="J3521">
        <v>1</v>
      </c>
      <c r="K3521">
        <v>1</v>
      </c>
      <c r="L3521">
        <v>291</v>
      </c>
      <c r="M3521">
        <v>1</v>
      </c>
      <c r="N3521">
        <v>2.6768599999999998E-108</v>
      </c>
      <c r="O3521">
        <v>998</v>
      </c>
    </row>
    <row r="3522" spans="1:15" x14ac:dyDescent="0.25">
      <c r="A3522" t="s">
        <v>3535</v>
      </c>
      <c r="B3522">
        <v>438</v>
      </c>
      <c r="C3522" s="1" t="str">
        <f>HYPERLINK("http://www.rosaceae.org/gb/gbrowse/malus_x_domestica/?name=MDP0000306176","MDP0000306176")</f>
        <v>MDP0000306176</v>
      </c>
      <c r="D3522">
        <v>65.28</v>
      </c>
      <c r="E3522">
        <v>314</v>
      </c>
      <c r="F3522">
        <v>109</v>
      </c>
      <c r="G3522">
        <v>1</v>
      </c>
      <c r="H3522">
        <v>125</v>
      </c>
      <c r="I3522">
        <v>437</v>
      </c>
      <c r="J3522">
        <v>1</v>
      </c>
      <c r="K3522">
        <v>410</v>
      </c>
      <c r="L3522">
        <v>723</v>
      </c>
      <c r="M3522">
        <v>1</v>
      </c>
      <c r="N3522">
        <v>9.8756100000000005E-124</v>
      </c>
      <c r="O3522">
        <v>1133</v>
      </c>
    </row>
    <row r="3523" spans="1:15" x14ac:dyDescent="0.25">
      <c r="A3523" t="s">
        <v>3536</v>
      </c>
      <c r="B3523">
        <v>684</v>
      </c>
      <c r="C3523" s="1" t="str">
        <f>HYPERLINK("http://www.rosaceae.org/gb/gbrowse/malus_x_domestica/?name=MDP0000148186","MDP0000148186")</f>
        <v>MDP0000148186</v>
      </c>
      <c r="D3523">
        <v>89.02</v>
      </c>
      <c r="E3523">
        <v>410</v>
      </c>
      <c r="F3523">
        <v>45</v>
      </c>
      <c r="G3523">
        <v>10</v>
      </c>
      <c r="H3523">
        <v>277</v>
      </c>
      <c r="I3523">
        <v>684</v>
      </c>
      <c r="J3523">
        <v>1</v>
      </c>
      <c r="K3523">
        <v>1</v>
      </c>
      <c r="L3523">
        <v>402</v>
      </c>
      <c r="M3523">
        <v>1</v>
      </c>
      <c r="N3523">
        <v>0</v>
      </c>
      <c r="O3523">
        <v>1904</v>
      </c>
    </row>
    <row r="3524" spans="1:15" x14ac:dyDescent="0.25">
      <c r="A3524" t="s">
        <v>3537</v>
      </c>
      <c r="B3524">
        <v>182</v>
      </c>
      <c r="C3524" s="1" t="str">
        <f>HYPERLINK("http://www.rosaceae.org/gb/gbrowse/malus_x_domestica/?name=MDP0000700267","MDP0000700267")</f>
        <v>MDP0000700267</v>
      </c>
      <c r="D3524">
        <v>68.900000000000006</v>
      </c>
      <c r="E3524">
        <v>164</v>
      </c>
      <c r="F3524">
        <v>51</v>
      </c>
      <c r="G3524">
        <v>6</v>
      </c>
      <c r="H3524">
        <v>19</v>
      </c>
      <c r="I3524">
        <v>182</v>
      </c>
      <c r="J3524">
        <v>1</v>
      </c>
      <c r="K3524">
        <v>480</v>
      </c>
      <c r="L3524">
        <v>637</v>
      </c>
      <c r="M3524">
        <v>1</v>
      </c>
      <c r="N3524">
        <v>3.3116900000000002E-56</v>
      </c>
      <c r="O3524">
        <v>546</v>
      </c>
    </row>
    <row r="3525" spans="1:15" x14ac:dyDescent="0.25">
      <c r="A3525" t="s">
        <v>3538</v>
      </c>
      <c r="B3525">
        <v>363</v>
      </c>
      <c r="C3525" s="1" t="str">
        <f>HYPERLINK("http://www.rosaceae.org/gb/gbrowse/malus_x_domestica/?name=MDP0000822744","MDP0000822744")</f>
        <v>MDP0000822744</v>
      </c>
      <c r="D3525">
        <v>25.32</v>
      </c>
      <c r="E3525">
        <v>229</v>
      </c>
      <c r="F3525">
        <v>171</v>
      </c>
      <c r="G3525">
        <v>62</v>
      </c>
      <c r="H3525">
        <v>27</v>
      </c>
      <c r="I3525">
        <v>198</v>
      </c>
      <c r="J3525">
        <v>1</v>
      </c>
      <c r="K3525">
        <v>102</v>
      </c>
      <c r="L3525">
        <v>325</v>
      </c>
      <c r="M3525">
        <v>1</v>
      </c>
      <c r="N3525">
        <v>3.0021800000000002E-7</v>
      </c>
      <c r="O3525">
        <v>127</v>
      </c>
    </row>
    <row r="3526" spans="1:15" x14ac:dyDescent="0.25">
      <c r="A3526" t="s">
        <v>3539</v>
      </c>
      <c r="B3526">
        <v>490</v>
      </c>
      <c r="C3526" s="1" t="str">
        <f>HYPERLINK("http://www.rosaceae.org/gb/gbrowse/malus_x_domestica/?name=MDP0000405355","MDP0000405355")</f>
        <v>MDP0000405355</v>
      </c>
      <c r="D3526">
        <v>76.510000000000005</v>
      </c>
      <c r="E3526">
        <v>494</v>
      </c>
      <c r="F3526">
        <v>116</v>
      </c>
      <c r="G3526">
        <v>16</v>
      </c>
      <c r="H3526">
        <v>1</v>
      </c>
      <c r="I3526">
        <v>488</v>
      </c>
      <c r="J3526">
        <v>1</v>
      </c>
      <c r="K3526">
        <v>1</v>
      </c>
      <c r="L3526">
        <v>484</v>
      </c>
      <c r="M3526">
        <v>1</v>
      </c>
      <c r="N3526">
        <v>0</v>
      </c>
      <c r="O3526">
        <v>1903</v>
      </c>
    </row>
    <row r="3527" spans="1:15" x14ac:dyDescent="0.25">
      <c r="A3527" t="s">
        <v>3540</v>
      </c>
      <c r="B3527">
        <v>487</v>
      </c>
      <c r="C3527" s="1" t="str">
        <f>HYPERLINK("http://www.rosaceae.org/gb/gbrowse/malus_x_domestica/?name=MDP0000534116","MDP0000534116")</f>
        <v>MDP0000534116</v>
      </c>
      <c r="D3527">
        <v>54.33</v>
      </c>
      <c r="E3527">
        <v>473</v>
      </c>
      <c r="F3527">
        <v>216</v>
      </c>
      <c r="G3527">
        <v>26</v>
      </c>
      <c r="H3527">
        <v>1</v>
      </c>
      <c r="I3527">
        <v>472</v>
      </c>
      <c r="J3527">
        <v>1</v>
      </c>
      <c r="K3527">
        <v>1</v>
      </c>
      <c r="L3527">
        <v>448</v>
      </c>
      <c r="M3527">
        <v>1</v>
      </c>
      <c r="N3527">
        <v>1.59362E-134</v>
      </c>
      <c r="O3527">
        <v>1226</v>
      </c>
    </row>
    <row r="3528" spans="1:15" x14ac:dyDescent="0.25">
      <c r="A3528" t="s">
        <v>3541</v>
      </c>
      <c r="B3528">
        <v>298</v>
      </c>
      <c r="C3528" s="1" t="str">
        <f>HYPERLINK("http://www.rosaceae.org/gb/gbrowse/malus_x_domestica/?name=MDP0000166337","MDP0000166337")</f>
        <v>MDP0000166337</v>
      </c>
      <c r="D3528">
        <v>40.24</v>
      </c>
      <c r="E3528">
        <v>333</v>
      </c>
      <c r="F3528">
        <v>199</v>
      </c>
      <c r="G3528">
        <v>45</v>
      </c>
      <c r="H3528">
        <v>1</v>
      </c>
      <c r="I3528">
        <v>290</v>
      </c>
      <c r="J3528">
        <v>1</v>
      </c>
      <c r="K3528">
        <v>206</v>
      </c>
      <c r="L3528">
        <v>536</v>
      </c>
      <c r="M3528">
        <v>1</v>
      </c>
      <c r="N3528">
        <v>7.2856400000000002E-67</v>
      </c>
      <c r="O3528">
        <v>641</v>
      </c>
    </row>
    <row r="3529" spans="1:15" x14ac:dyDescent="0.25">
      <c r="A3529" t="s">
        <v>3542</v>
      </c>
      <c r="B3529">
        <v>156</v>
      </c>
      <c r="C3529" s="1" t="str">
        <f>HYPERLINK("http://www.rosaceae.org/gb/gbrowse/malus_x_domestica/?name=MDP0000225357","MDP0000225357")</f>
        <v>MDP0000225357</v>
      </c>
      <c r="D3529">
        <v>47.4</v>
      </c>
      <c r="E3529">
        <v>135</v>
      </c>
      <c r="F3529">
        <v>71</v>
      </c>
      <c r="G3529">
        <v>15</v>
      </c>
      <c r="H3529">
        <v>21</v>
      </c>
      <c r="I3529">
        <v>155</v>
      </c>
      <c r="J3529">
        <v>1</v>
      </c>
      <c r="K3529">
        <v>123</v>
      </c>
      <c r="L3529">
        <v>242</v>
      </c>
      <c r="M3529">
        <v>1</v>
      </c>
      <c r="N3529">
        <v>6.1479200000000005E-26</v>
      </c>
      <c r="O3529">
        <v>283</v>
      </c>
    </row>
    <row r="3530" spans="1:15" x14ac:dyDescent="0.25">
      <c r="A3530" t="s">
        <v>3543</v>
      </c>
      <c r="B3530">
        <v>357</v>
      </c>
      <c r="C3530" s="1" t="str">
        <f>HYPERLINK("http://www.rosaceae.org/gb/gbrowse/malus_x_domestica/?name=MDP0000216803","MDP0000216803")</f>
        <v>MDP0000216803</v>
      </c>
      <c r="D3530">
        <v>35.21</v>
      </c>
      <c r="E3530">
        <v>230</v>
      </c>
      <c r="F3530">
        <v>149</v>
      </c>
      <c r="G3530">
        <v>15</v>
      </c>
      <c r="H3530">
        <v>53</v>
      </c>
      <c r="I3530">
        <v>275</v>
      </c>
      <c r="J3530">
        <v>1</v>
      </c>
      <c r="K3530">
        <v>62</v>
      </c>
      <c r="L3530">
        <v>283</v>
      </c>
      <c r="M3530">
        <v>1</v>
      </c>
      <c r="N3530">
        <v>4.4527100000000002E-34</v>
      </c>
      <c r="O3530">
        <v>359</v>
      </c>
    </row>
    <row r="3531" spans="1:15" x14ac:dyDescent="0.25">
      <c r="A3531" t="s">
        <v>3544</v>
      </c>
      <c r="B3531">
        <v>588</v>
      </c>
      <c r="C3531" s="1" t="str">
        <f>HYPERLINK("http://www.rosaceae.org/gb/gbrowse/malus_x_domestica/?name=MDP0000305380","MDP0000305380")</f>
        <v>MDP0000305380</v>
      </c>
      <c r="D3531">
        <v>68.7</v>
      </c>
      <c r="E3531">
        <v>639</v>
      </c>
      <c r="F3531">
        <v>200</v>
      </c>
      <c r="G3531">
        <v>64</v>
      </c>
      <c r="H3531">
        <v>1</v>
      </c>
      <c r="I3531">
        <v>583</v>
      </c>
      <c r="J3531">
        <v>1</v>
      </c>
      <c r="K3531">
        <v>1</v>
      </c>
      <c r="L3531">
        <v>631</v>
      </c>
      <c r="M3531">
        <v>1</v>
      </c>
      <c r="N3531">
        <v>0</v>
      </c>
      <c r="O3531">
        <v>2152</v>
      </c>
    </row>
    <row r="3532" spans="1:15" x14ac:dyDescent="0.25">
      <c r="A3532" t="s">
        <v>3545</v>
      </c>
      <c r="B3532">
        <v>480</v>
      </c>
      <c r="C3532" s="1" t="str">
        <f>HYPERLINK("http://www.rosaceae.org/gb/gbrowse/malus_x_domestica/?name=MDP0000194135","MDP0000194135")</f>
        <v>MDP0000194135</v>
      </c>
      <c r="D3532">
        <v>52.63</v>
      </c>
      <c r="E3532">
        <v>418</v>
      </c>
      <c r="F3532">
        <v>198</v>
      </c>
      <c r="G3532">
        <v>43</v>
      </c>
      <c r="H3532">
        <v>1</v>
      </c>
      <c r="I3532">
        <v>380</v>
      </c>
      <c r="J3532">
        <v>1</v>
      </c>
      <c r="K3532">
        <v>1</v>
      </c>
      <c r="L3532">
        <v>413</v>
      </c>
      <c r="M3532">
        <v>1</v>
      </c>
      <c r="N3532">
        <v>7.57412E-104</v>
      </c>
      <c r="O3532">
        <v>962</v>
      </c>
    </row>
    <row r="3533" spans="1:15" x14ac:dyDescent="0.25">
      <c r="A3533" t="s">
        <v>3546</v>
      </c>
      <c r="B3533">
        <v>331</v>
      </c>
      <c r="C3533" s="1" t="str">
        <f>HYPERLINK("http://www.rosaceae.org/gb/gbrowse/malus_x_domestica/?name=MDP0000903267","MDP0000903267")</f>
        <v>MDP0000903267</v>
      </c>
      <c r="D3533">
        <v>58.65</v>
      </c>
      <c r="E3533">
        <v>358</v>
      </c>
      <c r="F3533">
        <v>148</v>
      </c>
      <c r="G3533">
        <v>27</v>
      </c>
      <c r="H3533">
        <v>1</v>
      </c>
      <c r="I3533">
        <v>331</v>
      </c>
      <c r="J3533">
        <v>1</v>
      </c>
      <c r="K3533">
        <v>40</v>
      </c>
      <c r="L3533">
        <v>397</v>
      </c>
      <c r="M3533">
        <v>1</v>
      </c>
      <c r="N3533">
        <v>8.7862099999999996E-105</v>
      </c>
      <c r="O3533">
        <v>968</v>
      </c>
    </row>
    <row r="3534" spans="1:15" x14ac:dyDescent="0.25">
      <c r="A3534" t="s">
        <v>3547</v>
      </c>
      <c r="B3534">
        <v>402</v>
      </c>
      <c r="C3534" s="1" t="str">
        <f>HYPERLINK("http://www.rosaceae.org/gb/gbrowse/malus_x_domestica/?name=MDP0000230536","MDP0000230536")</f>
        <v>MDP0000230536</v>
      </c>
      <c r="D3534">
        <v>81.400000000000006</v>
      </c>
      <c r="E3534">
        <v>398</v>
      </c>
      <c r="F3534">
        <v>74</v>
      </c>
      <c r="G3534">
        <v>2</v>
      </c>
      <c r="H3534">
        <v>1</v>
      </c>
      <c r="I3534">
        <v>398</v>
      </c>
      <c r="J3534">
        <v>1</v>
      </c>
      <c r="K3534">
        <v>2</v>
      </c>
      <c r="L3534">
        <v>397</v>
      </c>
      <c r="M3534">
        <v>1</v>
      </c>
      <c r="N3534">
        <v>0</v>
      </c>
      <c r="O3534">
        <v>1749</v>
      </c>
    </row>
    <row r="3535" spans="1:15" x14ac:dyDescent="0.25">
      <c r="A3535" t="s">
        <v>3548</v>
      </c>
      <c r="B3535">
        <v>228</v>
      </c>
      <c r="C3535" s="1" t="str">
        <f>HYPERLINK("http://www.rosaceae.org/gb/gbrowse/malus_x_domestica/?name=MDP0000311182","MDP0000311182")</f>
        <v>MDP0000311182</v>
      </c>
      <c r="D3535">
        <v>73.75</v>
      </c>
      <c r="E3535">
        <v>221</v>
      </c>
      <c r="F3535">
        <v>58</v>
      </c>
      <c r="G3535">
        <v>9</v>
      </c>
      <c r="H3535">
        <v>8</v>
      </c>
      <c r="I3535">
        <v>228</v>
      </c>
      <c r="J3535">
        <v>1</v>
      </c>
      <c r="K3535">
        <v>3</v>
      </c>
      <c r="L3535">
        <v>214</v>
      </c>
      <c r="M3535">
        <v>1</v>
      </c>
      <c r="N3535">
        <v>5.2184399999999997E-92</v>
      </c>
      <c r="O3535">
        <v>856</v>
      </c>
    </row>
    <row r="3536" spans="1:15" x14ac:dyDescent="0.25">
      <c r="A3536" t="s">
        <v>3549</v>
      </c>
      <c r="B3536">
        <v>511</v>
      </c>
      <c r="C3536" s="1" t="str">
        <f>HYPERLINK("http://www.rosaceae.org/gb/gbrowse/malus_x_domestica/?name=MDP0000131039","MDP0000131039")</f>
        <v>MDP0000131039</v>
      </c>
      <c r="D3536">
        <v>63.73</v>
      </c>
      <c r="E3536">
        <v>375</v>
      </c>
      <c r="F3536">
        <v>136</v>
      </c>
      <c r="G3536">
        <v>25</v>
      </c>
      <c r="H3536">
        <v>4</v>
      </c>
      <c r="I3536">
        <v>375</v>
      </c>
      <c r="J3536">
        <v>1</v>
      </c>
      <c r="K3536">
        <v>2</v>
      </c>
      <c r="L3536">
        <v>354</v>
      </c>
      <c r="M3536">
        <v>1</v>
      </c>
      <c r="N3536">
        <v>1.04858E-127</v>
      </c>
      <c r="O3536">
        <v>1168</v>
      </c>
    </row>
    <row r="3537" spans="1:15" x14ac:dyDescent="0.25">
      <c r="A3537" t="s">
        <v>3550</v>
      </c>
      <c r="B3537">
        <v>421</v>
      </c>
      <c r="C3537" s="1" t="str">
        <f>HYPERLINK("http://www.rosaceae.org/gb/gbrowse/malus_x_domestica/?name=MDP0000658332","MDP0000658332")</f>
        <v>MDP0000658332</v>
      </c>
      <c r="D3537">
        <v>68.900000000000006</v>
      </c>
      <c r="E3537">
        <v>402</v>
      </c>
      <c r="F3537">
        <v>125</v>
      </c>
      <c r="G3537">
        <v>3</v>
      </c>
      <c r="H3537">
        <v>23</v>
      </c>
      <c r="I3537">
        <v>421</v>
      </c>
      <c r="J3537">
        <v>1</v>
      </c>
      <c r="K3537">
        <v>24</v>
      </c>
      <c r="L3537">
        <v>425</v>
      </c>
      <c r="M3537">
        <v>1</v>
      </c>
      <c r="N3537">
        <v>5.9863900000000001E-144</v>
      </c>
      <c r="O3537">
        <v>1307</v>
      </c>
    </row>
    <row r="3538" spans="1:15" x14ac:dyDescent="0.25">
      <c r="A3538" t="s">
        <v>3551</v>
      </c>
      <c r="B3538">
        <v>665</v>
      </c>
      <c r="C3538" s="1" t="str">
        <f>HYPERLINK("http://www.rosaceae.org/gb/gbrowse/malus_x_domestica/?name=MDP0000308582","MDP0000308582")</f>
        <v>MDP0000308582</v>
      </c>
      <c r="D3538">
        <v>63.38</v>
      </c>
      <c r="E3538">
        <v>366</v>
      </c>
      <c r="F3538">
        <v>134</v>
      </c>
      <c r="G3538">
        <v>67</v>
      </c>
      <c r="H3538">
        <v>1</v>
      </c>
      <c r="I3538">
        <v>322</v>
      </c>
      <c r="J3538">
        <v>1</v>
      </c>
      <c r="K3538">
        <v>1</v>
      </c>
      <c r="L3538">
        <v>343</v>
      </c>
      <c r="M3538">
        <v>1</v>
      </c>
      <c r="N3538">
        <v>4.2891699999999998E-116</v>
      </c>
      <c r="O3538">
        <v>1069</v>
      </c>
    </row>
    <row r="3539" spans="1:15" x14ac:dyDescent="0.25">
      <c r="A3539" t="s">
        <v>3552</v>
      </c>
      <c r="B3539">
        <v>214</v>
      </c>
      <c r="C3539" s="1" t="str">
        <f>HYPERLINK("http://www.rosaceae.org/gb/gbrowse/malus_x_domestica/?name=MDP0000828993","MDP0000828993")</f>
        <v>MDP0000828993</v>
      </c>
      <c r="D3539">
        <v>45.24</v>
      </c>
      <c r="E3539">
        <v>221</v>
      </c>
      <c r="F3539">
        <v>121</v>
      </c>
      <c r="G3539">
        <v>37</v>
      </c>
      <c r="H3539">
        <v>3</v>
      </c>
      <c r="I3539">
        <v>187</v>
      </c>
      <c r="J3539">
        <v>1</v>
      </c>
      <c r="K3539">
        <v>2</v>
      </c>
      <c r="L3539">
        <v>221</v>
      </c>
      <c r="M3539">
        <v>1</v>
      </c>
      <c r="N3539">
        <v>2.4470700000000001E-45</v>
      </c>
      <c r="O3539">
        <v>453</v>
      </c>
    </row>
    <row r="3540" spans="1:15" x14ac:dyDescent="0.25">
      <c r="A3540" t="s">
        <v>3553</v>
      </c>
      <c r="B3540">
        <v>1737</v>
      </c>
      <c r="C3540" s="1" t="str">
        <f>HYPERLINK("http://www.rosaceae.org/gb/gbrowse/malus_x_domestica/?name=MDP0000300945","MDP0000300945")</f>
        <v>MDP0000300945</v>
      </c>
      <c r="D3540">
        <v>26.5</v>
      </c>
      <c r="E3540">
        <v>977</v>
      </c>
      <c r="F3540">
        <v>718</v>
      </c>
      <c r="G3540">
        <v>47</v>
      </c>
      <c r="H3540">
        <v>700</v>
      </c>
      <c r="I3540">
        <v>1630</v>
      </c>
      <c r="J3540">
        <v>1</v>
      </c>
      <c r="K3540">
        <v>49</v>
      </c>
      <c r="L3540">
        <v>1024</v>
      </c>
      <c r="M3540">
        <v>1</v>
      </c>
      <c r="N3540">
        <v>8.83166E-104</v>
      </c>
      <c r="O3540">
        <v>967</v>
      </c>
    </row>
    <row r="3541" spans="1:15" x14ac:dyDescent="0.25">
      <c r="A3541" t="s">
        <v>3554</v>
      </c>
      <c r="B3541">
        <v>243</v>
      </c>
      <c r="C3541" s="1" t="str">
        <f>HYPERLINK("http://www.rosaceae.org/gb/gbrowse/malus_x_domestica/?name=MDP0000197294","MDP0000197294")</f>
        <v>MDP0000197294</v>
      </c>
      <c r="D3541">
        <v>40.54</v>
      </c>
      <c r="E3541">
        <v>74</v>
      </c>
      <c r="F3541">
        <v>44</v>
      </c>
      <c r="G3541">
        <v>3</v>
      </c>
      <c r="H3541">
        <v>164</v>
      </c>
      <c r="I3541">
        <v>237</v>
      </c>
      <c r="J3541">
        <v>1</v>
      </c>
      <c r="K3541">
        <v>98</v>
      </c>
      <c r="L3541">
        <v>168</v>
      </c>
      <c r="M3541">
        <v>1</v>
      </c>
      <c r="N3541">
        <v>1.9321000000000001E-8</v>
      </c>
      <c r="O3541">
        <v>136</v>
      </c>
    </row>
    <row r="3542" spans="1:15" x14ac:dyDescent="0.25">
      <c r="A3542" t="s">
        <v>3555</v>
      </c>
      <c r="B3542">
        <v>1027</v>
      </c>
      <c r="C3542" s="1" t="str">
        <f>HYPERLINK("http://www.rosaceae.org/gb/gbrowse/malus_x_domestica/?name=MDP0000660154","MDP0000660154")</f>
        <v>MDP0000660154</v>
      </c>
      <c r="D3542">
        <v>59.56</v>
      </c>
      <c r="E3542">
        <v>878</v>
      </c>
      <c r="F3542">
        <v>355</v>
      </c>
      <c r="G3542">
        <v>12</v>
      </c>
      <c r="H3542">
        <v>71</v>
      </c>
      <c r="I3542">
        <v>936</v>
      </c>
      <c r="J3542">
        <v>1</v>
      </c>
      <c r="K3542">
        <v>31</v>
      </c>
      <c r="L3542">
        <v>908</v>
      </c>
      <c r="M3542">
        <v>1</v>
      </c>
      <c r="N3542">
        <v>0</v>
      </c>
      <c r="O3542">
        <v>2443</v>
      </c>
    </row>
    <row r="3543" spans="1:15" x14ac:dyDescent="0.25">
      <c r="A3543" t="s">
        <v>3556</v>
      </c>
      <c r="B3543">
        <v>1234</v>
      </c>
      <c r="C3543" s="1" t="str">
        <f>HYPERLINK("http://www.rosaceae.org/gb/gbrowse/malus_x_domestica/?name=MDP0000302737","MDP0000302737")</f>
        <v>MDP0000302737</v>
      </c>
      <c r="D3543">
        <v>75.34</v>
      </c>
      <c r="E3543">
        <v>1314</v>
      </c>
      <c r="F3543">
        <v>324</v>
      </c>
      <c r="G3543">
        <v>124</v>
      </c>
      <c r="H3543">
        <v>3</v>
      </c>
      <c r="I3543">
        <v>1207</v>
      </c>
      <c r="J3543">
        <v>1</v>
      </c>
      <c r="K3543">
        <v>135</v>
      </c>
      <c r="L3543">
        <v>1433</v>
      </c>
      <c r="M3543">
        <v>1</v>
      </c>
      <c r="N3543">
        <v>0</v>
      </c>
      <c r="O3543">
        <v>5019</v>
      </c>
    </row>
    <row r="3544" spans="1:15" x14ac:dyDescent="0.25">
      <c r="A3544" t="s">
        <v>3557</v>
      </c>
      <c r="B3544">
        <v>212</v>
      </c>
      <c r="C3544" s="1" t="str">
        <f>HYPERLINK("http://www.rosaceae.org/gb/gbrowse/malus_x_domestica/?name=MDP0000506266","MDP0000506266")</f>
        <v>MDP0000506266</v>
      </c>
      <c r="D3544">
        <v>63.63</v>
      </c>
      <c r="E3544">
        <v>209</v>
      </c>
      <c r="F3544">
        <v>76</v>
      </c>
      <c r="G3544">
        <v>15</v>
      </c>
      <c r="H3544">
        <v>1</v>
      </c>
      <c r="I3544">
        <v>199</v>
      </c>
      <c r="J3544">
        <v>1</v>
      </c>
      <c r="K3544">
        <v>1</v>
      </c>
      <c r="L3544">
        <v>204</v>
      </c>
      <c r="M3544">
        <v>1</v>
      </c>
      <c r="N3544">
        <v>4.0125999999999998E-63</v>
      </c>
      <c r="O3544">
        <v>606</v>
      </c>
    </row>
    <row r="3545" spans="1:15" x14ac:dyDescent="0.25">
      <c r="A3545" t="s">
        <v>3558</v>
      </c>
      <c r="B3545">
        <v>503</v>
      </c>
      <c r="C3545" s="1" t="str">
        <f>HYPERLINK("http://www.rosaceae.org/gb/gbrowse/malus_x_domestica/?name=MDP0000558147","MDP0000558147")</f>
        <v>MDP0000558147</v>
      </c>
      <c r="D3545">
        <v>26.41</v>
      </c>
      <c r="E3545">
        <v>405</v>
      </c>
      <c r="F3545">
        <v>298</v>
      </c>
      <c r="G3545">
        <v>64</v>
      </c>
      <c r="H3545">
        <v>114</v>
      </c>
      <c r="I3545">
        <v>503</v>
      </c>
      <c r="J3545">
        <v>1</v>
      </c>
      <c r="K3545">
        <v>79</v>
      </c>
      <c r="L3545">
        <v>434</v>
      </c>
      <c r="M3545">
        <v>1</v>
      </c>
      <c r="N3545">
        <v>1.64736E-25</v>
      </c>
      <c r="O3545">
        <v>286</v>
      </c>
    </row>
    <row r="3546" spans="1:15" x14ac:dyDescent="0.25">
      <c r="A3546" t="s">
        <v>3559</v>
      </c>
      <c r="B3546">
        <v>837</v>
      </c>
      <c r="C3546" s="1" t="str">
        <f>HYPERLINK("http://www.rosaceae.org/gb/gbrowse/malus_x_domestica/?name=MDP0000211023","MDP0000211023")</f>
        <v>MDP0000211023</v>
      </c>
      <c r="D3546">
        <v>67.760000000000005</v>
      </c>
      <c r="E3546">
        <v>363</v>
      </c>
      <c r="F3546">
        <v>117</v>
      </c>
      <c r="G3546">
        <v>33</v>
      </c>
      <c r="H3546">
        <v>94</v>
      </c>
      <c r="I3546">
        <v>426</v>
      </c>
      <c r="J3546">
        <v>1</v>
      </c>
      <c r="K3546">
        <v>48</v>
      </c>
      <c r="L3546">
        <v>407</v>
      </c>
      <c r="M3546">
        <v>1</v>
      </c>
      <c r="N3546">
        <v>7.3414499999999998E-136</v>
      </c>
      <c r="O3546">
        <v>1240</v>
      </c>
    </row>
    <row r="3547" spans="1:15" x14ac:dyDescent="0.25">
      <c r="A3547" t="s">
        <v>3560</v>
      </c>
      <c r="B3547">
        <v>303</v>
      </c>
      <c r="C3547" s="1" t="str">
        <f>HYPERLINK("http://www.rosaceae.org/gb/gbrowse/malus_x_domestica/?name=MDP0000775116","MDP0000775116")</f>
        <v>MDP0000775116</v>
      </c>
      <c r="D3547">
        <v>41.87</v>
      </c>
      <c r="E3547">
        <v>320</v>
      </c>
      <c r="F3547">
        <v>186</v>
      </c>
      <c r="G3547">
        <v>28</v>
      </c>
      <c r="H3547">
        <v>2</v>
      </c>
      <c r="I3547">
        <v>302</v>
      </c>
      <c r="J3547">
        <v>1</v>
      </c>
      <c r="K3547">
        <v>6</v>
      </c>
      <c r="L3547">
        <v>316</v>
      </c>
      <c r="M3547">
        <v>1</v>
      </c>
      <c r="N3547">
        <v>7.62909E-53</v>
      </c>
      <c r="O3547">
        <v>520</v>
      </c>
    </row>
    <row r="3548" spans="1:15" x14ac:dyDescent="0.25">
      <c r="A3548" t="s">
        <v>3561</v>
      </c>
      <c r="B3548">
        <v>295</v>
      </c>
      <c r="C3548" s="1" t="str">
        <f>HYPERLINK("http://www.rosaceae.org/gb/gbrowse/malus_x_domestica/?name=MDP0000849489","MDP0000849489")</f>
        <v>MDP0000849489</v>
      </c>
      <c r="D3548">
        <v>68.569999999999993</v>
      </c>
      <c r="E3548">
        <v>280</v>
      </c>
      <c r="F3548">
        <v>88</v>
      </c>
      <c r="G3548">
        <v>48</v>
      </c>
      <c r="H3548">
        <v>27</v>
      </c>
      <c r="I3548">
        <v>258</v>
      </c>
      <c r="J3548">
        <v>1</v>
      </c>
      <c r="K3548">
        <v>32</v>
      </c>
      <c r="L3548">
        <v>311</v>
      </c>
      <c r="M3548">
        <v>1</v>
      </c>
      <c r="N3548">
        <v>3.7598900000000003E-108</v>
      </c>
      <c r="O3548">
        <v>997</v>
      </c>
    </row>
    <row r="3549" spans="1:15" x14ac:dyDescent="0.25">
      <c r="A3549" t="s">
        <v>3562</v>
      </c>
      <c r="B3549">
        <v>703</v>
      </c>
      <c r="C3549" s="1" t="str">
        <f>HYPERLINK("http://www.rosaceae.org/gb/gbrowse/malus_x_domestica/?name=MDP0000296620","MDP0000296620")</f>
        <v>MDP0000296620</v>
      </c>
      <c r="D3549">
        <v>63.95</v>
      </c>
      <c r="E3549">
        <v>172</v>
      </c>
      <c r="F3549">
        <v>62</v>
      </c>
      <c r="G3549">
        <v>0</v>
      </c>
      <c r="H3549">
        <v>27</v>
      </c>
      <c r="I3549">
        <v>198</v>
      </c>
      <c r="J3549">
        <v>1</v>
      </c>
      <c r="K3549">
        <v>418</v>
      </c>
      <c r="L3549">
        <v>589</v>
      </c>
      <c r="M3549">
        <v>1</v>
      </c>
      <c r="N3549">
        <v>1.29234E-60</v>
      </c>
      <c r="O3549">
        <v>591</v>
      </c>
    </row>
    <row r="3550" spans="1:15" x14ac:dyDescent="0.25">
      <c r="A3550" t="s">
        <v>3563</v>
      </c>
      <c r="B3550">
        <v>392</v>
      </c>
      <c r="C3550" s="1" t="str">
        <f>HYPERLINK("http://www.rosaceae.org/gb/gbrowse/malus_x_domestica/?name=MDP0000402536","MDP0000402536")</f>
        <v>MDP0000402536</v>
      </c>
      <c r="D3550">
        <v>42.81</v>
      </c>
      <c r="E3550">
        <v>348</v>
      </c>
      <c r="F3550">
        <v>199</v>
      </c>
      <c r="G3550">
        <v>36</v>
      </c>
      <c r="H3550">
        <v>62</v>
      </c>
      <c r="I3550">
        <v>392</v>
      </c>
      <c r="J3550">
        <v>1</v>
      </c>
      <c r="K3550">
        <v>73</v>
      </c>
      <c r="L3550">
        <v>401</v>
      </c>
      <c r="M3550">
        <v>1</v>
      </c>
      <c r="N3550">
        <v>1.7323499999999999E-55</v>
      </c>
      <c r="O3550">
        <v>544</v>
      </c>
    </row>
    <row r="3551" spans="1:15" x14ac:dyDescent="0.25">
      <c r="A3551" t="s">
        <v>3564</v>
      </c>
      <c r="B3551">
        <v>935</v>
      </c>
      <c r="C3551" s="1" t="str">
        <f>HYPERLINK("http://www.rosaceae.org/gb/gbrowse/malus_x_domestica/?name=MDP0000254380","MDP0000254380")</f>
        <v>MDP0000254380</v>
      </c>
      <c r="D3551">
        <v>51.87</v>
      </c>
      <c r="E3551">
        <v>559</v>
      </c>
      <c r="F3551">
        <v>269</v>
      </c>
      <c r="G3551">
        <v>34</v>
      </c>
      <c r="H3551">
        <v>1</v>
      </c>
      <c r="I3551">
        <v>528</v>
      </c>
      <c r="J3551">
        <v>1</v>
      </c>
      <c r="K3551">
        <v>579</v>
      </c>
      <c r="L3551">
        <v>1134</v>
      </c>
      <c r="M3551">
        <v>1</v>
      </c>
      <c r="N3551">
        <v>8.1497699999999994E-138</v>
      </c>
      <c r="O3551">
        <v>1258</v>
      </c>
    </row>
    <row r="3552" spans="1:15" x14ac:dyDescent="0.25">
      <c r="A3552" t="s">
        <v>3565</v>
      </c>
      <c r="B3552">
        <v>927</v>
      </c>
      <c r="C3552" s="1" t="str">
        <f>HYPERLINK("http://www.rosaceae.org/gb/gbrowse/malus_x_domestica/?name=MDP0000836444","MDP0000836444")</f>
        <v>MDP0000836444</v>
      </c>
      <c r="D3552">
        <v>39.19</v>
      </c>
      <c r="E3552">
        <v>546</v>
      </c>
      <c r="F3552">
        <v>332</v>
      </c>
      <c r="G3552">
        <v>91</v>
      </c>
      <c r="H3552">
        <v>1</v>
      </c>
      <c r="I3552">
        <v>474</v>
      </c>
      <c r="J3552">
        <v>1</v>
      </c>
      <c r="K3552">
        <v>1</v>
      </c>
      <c r="L3552">
        <v>527</v>
      </c>
      <c r="M3552">
        <v>1</v>
      </c>
      <c r="N3552">
        <v>9.8924900000000007E-69</v>
      </c>
      <c r="O3552">
        <v>662</v>
      </c>
    </row>
    <row r="3553" spans="1:15" x14ac:dyDescent="0.25">
      <c r="A3553" t="s">
        <v>3566</v>
      </c>
      <c r="B3553">
        <v>468</v>
      </c>
      <c r="C3553" s="1" t="str">
        <f>HYPERLINK("http://www.rosaceae.org/gb/gbrowse/malus_x_domestica/?name=MDP0000864669","MDP0000864669")</f>
        <v>MDP0000864669</v>
      </c>
      <c r="D3553">
        <v>79.62</v>
      </c>
      <c r="E3553">
        <v>432</v>
      </c>
      <c r="F3553">
        <v>88</v>
      </c>
      <c r="G3553">
        <v>0</v>
      </c>
      <c r="H3553">
        <v>33</v>
      </c>
      <c r="I3553">
        <v>464</v>
      </c>
      <c r="J3553">
        <v>1</v>
      </c>
      <c r="K3553">
        <v>36</v>
      </c>
      <c r="L3553">
        <v>467</v>
      </c>
      <c r="M3553">
        <v>1</v>
      </c>
      <c r="N3553">
        <v>0</v>
      </c>
      <c r="O3553">
        <v>1816</v>
      </c>
    </row>
    <row r="3554" spans="1:15" x14ac:dyDescent="0.25">
      <c r="A3554" t="s">
        <v>3567</v>
      </c>
      <c r="B3554">
        <v>485</v>
      </c>
      <c r="C3554" s="1" t="str">
        <f>HYPERLINK("http://www.rosaceae.org/gb/gbrowse/malus_x_domestica/?name=MDP0000163088","MDP0000163088")</f>
        <v>MDP0000163088</v>
      </c>
      <c r="D3554">
        <v>76.95</v>
      </c>
      <c r="E3554">
        <v>512</v>
      </c>
      <c r="F3554">
        <v>118</v>
      </c>
      <c r="G3554">
        <v>33</v>
      </c>
      <c r="H3554">
        <v>1</v>
      </c>
      <c r="I3554">
        <v>483</v>
      </c>
      <c r="J3554">
        <v>1</v>
      </c>
      <c r="K3554">
        <v>1</v>
      </c>
      <c r="L3554">
        <v>508</v>
      </c>
      <c r="M3554">
        <v>1</v>
      </c>
      <c r="N3554">
        <v>0</v>
      </c>
      <c r="O3554">
        <v>2041</v>
      </c>
    </row>
    <row r="3555" spans="1:15" x14ac:dyDescent="0.25">
      <c r="A3555" t="s">
        <v>3568</v>
      </c>
      <c r="B3555">
        <v>557</v>
      </c>
      <c r="C3555" s="1" t="str">
        <f>HYPERLINK("http://www.rosaceae.org/gb/gbrowse/malus_x_domestica/?name=MDP0000132668","MDP0000132668")</f>
        <v>MDP0000132668</v>
      </c>
      <c r="D3555">
        <v>80.03</v>
      </c>
      <c r="E3555">
        <v>531</v>
      </c>
      <c r="F3555">
        <v>106</v>
      </c>
      <c r="G3555">
        <v>33</v>
      </c>
      <c r="H3555">
        <v>1</v>
      </c>
      <c r="I3555">
        <v>525</v>
      </c>
      <c r="J3555">
        <v>1</v>
      </c>
      <c r="K3555">
        <v>1</v>
      </c>
      <c r="L3555">
        <v>504</v>
      </c>
      <c r="M3555">
        <v>1</v>
      </c>
      <c r="N3555">
        <v>0</v>
      </c>
      <c r="O3555">
        <v>2178</v>
      </c>
    </row>
    <row r="3556" spans="1:15" x14ac:dyDescent="0.25">
      <c r="A3556" t="s">
        <v>3569</v>
      </c>
      <c r="B3556">
        <v>807</v>
      </c>
      <c r="C3556" s="1" t="str">
        <f>HYPERLINK("http://www.rosaceae.org/gb/gbrowse/malus_x_domestica/?name=MDP0000487038","MDP0000487038")</f>
        <v>MDP0000487038</v>
      </c>
      <c r="D3556">
        <v>73.56</v>
      </c>
      <c r="E3556">
        <v>783</v>
      </c>
      <c r="F3556">
        <v>207</v>
      </c>
      <c r="G3556">
        <v>2</v>
      </c>
      <c r="H3556">
        <v>1</v>
      </c>
      <c r="I3556">
        <v>782</v>
      </c>
      <c r="J3556">
        <v>1</v>
      </c>
      <c r="K3556">
        <v>1</v>
      </c>
      <c r="L3556">
        <v>782</v>
      </c>
      <c r="M3556">
        <v>1</v>
      </c>
      <c r="N3556">
        <v>0</v>
      </c>
      <c r="O3556">
        <v>3013</v>
      </c>
    </row>
    <row r="3557" spans="1:15" x14ac:dyDescent="0.25">
      <c r="A3557" t="s">
        <v>3570</v>
      </c>
      <c r="B3557">
        <v>303</v>
      </c>
      <c r="C3557" s="1" t="str">
        <f>HYPERLINK("http://www.rosaceae.org/gb/gbrowse/malus_x_domestica/?name=MDP0000186666","MDP0000186666")</f>
        <v>MDP0000186666</v>
      </c>
      <c r="D3557">
        <v>74.67</v>
      </c>
      <c r="E3557">
        <v>304</v>
      </c>
      <c r="F3557">
        <v>77</v>
      </c>
      <c r="G3557">
        <v>3</v>
      </c>
      <c r="H3557">
        <v>1</v>
      </c>
      <c r="I3557">
        <v>302</v>
      </c>
      <c r="J3557">
        <v>1</v>
      </c>
      <c r="K3557">
        <v>1</v>
      </c>
      <c r="L3557">
        <v>303</v>
      </c>
      <c r="M3557">
        <v>1</v>
      </c>
      <c r="N3557">
        <v>5.7190699999999998E-126</v>
      </c>
      <c r="O3557">
        <v>1150</v>
      </c>
    </row>
    <row r="3558" spans="1:15" x14ac:dyDescent="0.25">
      <c r="A3558" t="s">
        <v>3571</v>
      </c>
      <c r="B3558">
        <v>147</v>
      </c>
      <c r="C3558" s="1" t="str">
        <f>HYPERLINK("http://www.rosaceae.org/gb/gbrowse/malus_x_domestica/?name=MDP0000172694","MDP0000172694")</f>
        <v>MDP0000172694</v>
      </c>
      <c r="D3558">
        <v>63.47</v>
      </c>
      <c r="E3558">
        <v>167</v>
      </c>
      <c r="F3558">
        <v>61</v>
      </c>
      <c r="G3558">
        <v>31</v>
      </c>
      <c r="H3558">
        <v>12</v>
      </c>
      <c r="I3558">
        <v>147</v>
      </c>
      <c r="J3558">
        <v>1</v>
      </c>
      <c r="K3558">
        <v>151</v>
      </c>
      <c r="L3558">
        <v>317</v>
      </c>
      <c r="M3558">
        <v>1</v>
      </c>
      <c r="N3558">
        <v>1.2244800000000001E-54</v>
      </c>
      <c r="O3558">
        <v>530</v>
      </c>
    </row>
    <row r="3559" spans="1:15" x14ac:dyDescent="0.25">
      <c r="A3559" t="s">
        <v>3572</v>
      </c>
      <c r="B3559">
        <v>495</v>
      </c>
      <c r="C3559" s="1" t="str">
        <f>HYPERLINK("http://www.rosaceae.org/gb/gbrowse/malus_x_domestica/?name=MDP0000171553","MDP0000171553")</f>
        <v>MDP0000171553</v>
      </c>
      <c r="D3559">
        <v>52.53</v>
      </c>
      <c r="E3559">
        <v>375</v>
      </c>
      <c r="F3559">
        <v>178</v>
      </c>
      <c r="G3559">
        <v>44</v>
      </c>
      <c r="H3559">
        <v>154</v>
      </c>
      <c r="I3559">
        <v>484</v>
      </c>
      <c r="J3559">
        <v>1</v>
      </c>
      <c r="K3559">
        <v>159</v>
      </c>
      <c r="L3559">
        <v>533</v>
      </c>
      <c r="M3559">
        <v>1</v>
      </c>
      <c r="N3559">
        <v>2.7336199999999997E-107</v>
      </c>
      <c r="O3559">
        <v>992</v>
      </c>
    </row>
    <row r="3560" spans="1:15" x14ac:dyDescent="0.25">
      <c r="A3560" t="s">
        <v>3573</v>
      </c>
      <c r="B3560">
        <v>207</v>
      </c>
      <c r="C3560" s="1" t="str">
        <f>HYPERLINK("http://www.rosaceae.org/gb/gbrowse/malus_x_domestica/?name=MDP0000904688","MDP0000904688")</f>
        <v>MDP0000904688</v>
      </c>
      <c r="D3560">
        <v>54.46</v>
      </c>
      <c r="E3560">
        <v>224</v>
      </c>
      <c r="F3560">
        <v>102</v>
      </c>
      <c r="G3560">
        <v>21</v>
      </c>
      <c r="H3560">
        <v>1</v>
      </c>
      <c r="I3560">
        <v>203</v>
      </c>
      <c r="J3560">
        <v>1</v>
      </c>
      <c r="K3560">
        <v>1</v>
      </c>
      <c r="L3560">
        <v>224</v>
      </c>
      <c r="M3560">
        <v>1</v>
      </c>
      <c r="N3560">
        <v>7.3479100000000002E-65</v>
      </c>
      <c r="O3560">
        <v>621</v>
      </c>
    </row>
    <row r="3561" spans="1:15" x14ac:dyDescent="0.25">
      <c r="A3561" t="s">
        <v>3574</v>
      </c>
      <c r="B3561">
        <v>385</v>
      </c>
      <c r="C3561" s="1" t="str">
        <f>HYPERLINK("http://www.rosaceae.org/gb/gbrowse/malus_x_domestica/?name=MDP0000291807","MDP0000291807")</f>
        <v>MDP0000291807</v>
      </c>
      <c r="D3561">
        <v>86.96</v>
      </c>
      <c r="E3561">
        <v>353</v>
      </c>
      <c r="F3561">
        <v>46</v>
      </c>
      <c r="G3561">
        <v>0</v>
      </c>
      <c r="H3561">
        <v>25</v>
      </c>
      <c r="I3561">
        <v>377</v>
      </c>
      <c r="J3561">
        <v>1</v>
      </c>
      <c r="K3561">
        <v>25</v>
      </c>
      <c r="L3561">
        <v>377</v>
      </c>
      <c r="M3561">
        <v>1</v>
      </c>
      <c r="N3561">
        <v>0</v>
      </c>
      <c r="O3561">
        <v>1694</v>
      </c>
    </row>
    <row r="3562" spans="1:15" x14ac:dyDescent="0.25">
      <c r="A3562" t="s">
        <v>3575</v>
      </c>
      <c r="B3562">
        <v>781</v>
      </c>
      <c r="C3562" s="1" t="str">
        <f>HYPERLINK("http://www.rosaceae.org/gb/gbrowse/malus_x_domestica/?name=MDP0000873667","MDP0000873667")</f>
        <v>MDP0000873667</v>
      </c>
      <c r="D3562">
        <v>53.37</v>
      </c>
      <c r="E3562">
        <v>296</v>
      </c>
      <c r="F3562">
        <v>138</v>
      </c>
      <c r="G3562">
        <v>26</v>
      </c>
      <c r="H3562">
        <v>1</v>
      </c>
      <c r="I3562">
        <v>271</v>
      </c>
      <c r="J3562">
        <v>1</v>
      </c>
      <c r="K3562">
        <v>1</v>
      </c>
      <c r="L3562">
        <v>295</v>
      </c>
      <c r="M3562">
        <v>1</v>
      </c>
      <c r="N3562">
        <v>1.7431100000000001E-88</v>
      </c>
      <c r="O3562">
        <v>832</v>
      </c>
    </row>
    <row r="3563" spans="1:15" x14ac:dyDescent="0.25">
      <c r="A3563" t="s">
        <v>3576</v>
      </c>
      <c r="B3563">
        <v>235</v>
      </c>
      <c r="C3563" s="1" t="str">
        <f>HYPERLINK("http://www.rosaceae.org/gb/gbrowse/malus_x_domestica/?name=MDP0000197803","MDP0000197803")</f>
        <v>MDP0000197803</v>
      </c>
      <c r="D3563">
        <v>37.880000000000003</v>
      </c>
      <c r="E3563">
        <v>161</v>
      </c>
      <c r="F3563">
        <v>100</v>
      </c>
      <c r="G3563">
        <v>6</v>
      </c>
      <c r="H3563">
        <v>73</v>
      </c>
      <c r="I3563">
        <v>228</v>
      </c>
      <c r="J3563">
        <v>1</v>
      </c>
      <c r="K3563">
        <v>456</v>
      </c>
      <c r="L3563">
        <v>615</v>
      </c>
      <c r="M3563">
        <v>1</v>
      </c>
      <c r="N3563">
        <v>2.04475E-25</v>
      </c>
      <c r="O3563">
        <v>282</v>
      </c>
    </row>
    <row r="3564" spans="1:15" x14ac:dyDescent="0.25">
      <c r="A3564" t="s">
        <v>3577</v>
      </c>
      <c r="B3564">
        <v>524</v>
      </c>
      <c r="C3564" s="1" t="str">
        <f>HYPERLINK("http://www.rosaceae.org/gb/gbrowse/malus_x_domestica/?name=MDP0000156977","MDP0000156977")</f>
        <v>MDP0000156977</v>
      </c>
      <c r="D3564">
        <v>61.53</v>
      </c>
      <c r="E3564">
        <v>507</v>
      </c>
      <c r="F3564">
        <v>195</v>
      </c>
      <c r="G3564">
        <v>27</v>
      </c>
      <c r="H3564">
        <v>2</v>
      </c>
      <c r="I3564">
        <v>485</v>
      </c>
      <c r="J3564">
        <v>1</v>
      </c>
      <c r="K3564">
        <v>14</v>
      </c>
      <c r="L3564">
        <v>516</v>
      </c>
      <c r="M3564">
        <v>1</v>
      </c>
      <c r="N3564">
        <v>3.05439E-175</v>
      </c>
      <c r="O3564">
        <v>1578</v>
      </c>
    </row>
    <row r="3565" spans="1:15" x14ac:dyDescent="0.25">
      <c r="A3565" t="s">
        <v>3578</v>
      </c>
      <c r="B3565">
        <v>84</v>
      </c>
      <c r="C3565" s="1" t="str">
        <f>HYPERLINK("http://www.rosaceae.org/gb/gbrowse/malus_x_domestica/?name=MDP0000672487","MDP0000672487")</f>
        <v>MDP0000672487</v>
      </c>
      <c r="D3565">
        <v>84.21</v>
      </c>
      <c r="E3565">
        <v>38</v>
      </c>
      <c r="F3565">
        <v>6</v>
      </c>
      <c r="G3565">
        <v>0</v>
      </c>
      <c r="H3565">
        <v>4</v>
      </c>
      <c r="I3565">
        <v>41</v>
      </c>
      <c r="J3565">
        <v>1</v>
      </c>
      <c r="K3565">
        <v>93</v>
      </c>
      <c r="L3565">
        <v>130</v>
      </c>
      <c r="M3565">
        <v>1</v>
      </c>
      <c r="N3565">
        <v>1.8724E-12</v>
      </c>
      <c r="O3565">
        <v>165</v>
      </c>
    </row>
    <row r="3566" spans="1:15" x14ac:dyDescent="0.25">
      <c r="A3566" t="s">
        <v>3579</v>
      </c>
      <c r="B3566">
        <v>560</v>
      </c>
      <c r="C3566" s="1" t="str">
        <f>HYPERLINK("http://www.rosaceae.org/gb/gbrowse/malus_x_domestica/?name=MDP0000290414","MDP0000290414")</f>
        <v>MDP0000290414</v>
      </c>
      <c r="D3566">
        <v>75.84</v>
      </c>
      <c r="E3566">
        <v>563</v>
      </c>
      <c r="F3566">
        <v>136</v>
      </c>
      <c r="G3566">
        <v>8</v>
      </c>
      <c r="H3566">
        <v>2</v>
      </c>
      <c r="I3566">
        <v>558</v>
      </c>
      <c r="J3566">
        <v>1</v>
      </c>
      <c r="K3566">
        <v>3</v>
      </c>
      <c r="L3566">
        <v>563</v>
      </c>
      <c r="M3566">
        <v>1</v>
      </c>
      <c r="N3566">
        <v>0</v>
      </c>
      <c r="O3566">
        <v>2254</v>
      </c>
    </row>
    <row r="3567" spans="1:15" x14ac:dyDescent="0.25">
      <c r="A3567" t="s">
        <v>3580</v>
      </c>
      <c r="B3567">
        <v>219</v>
      </c>
      <c r="C3567" s="1" t="str">
        <f>HYPERLINK("http://www.rosaceae.org/gb/gbrowse/malus_x_domestica/?name=MDP0000418827","MDP0000418827")</f>
        <v>MDP0000418827</v>
      </c>
      <c r="D3567">
        <v>65.67</v>
      </c>
      <c r="E3567">
        <v>201</v>
      </c>
      <c r="F3567">
        <v>69</v>
      </c>
      <c r="G3567">
        <v>9</v>
      </c>
      <c r="H3567">
        <v>21</v>
      </c>
      <c r="I3567">
        <v>218</v>
      </c>
      <c r="J3567">
        <v>1</v>
      </c>
      <c r="K3567">
        <v>24</v>
      </c>
      <c r="L3567">
        <v>218</v>
      </c>
      <c r="M3567">
        <v>1</v>
      </c>
      <c r="N3567">
        <v>3.45689E-65</v>
      </c>
      <c r="O3567">
        <v>624</v>
      </c>
    </row>
    <row r="3568" spans="1:15" x14ac:dyDescent="0.25">
      <c r="A3568" t="s">
        <v>3581</v>
      </c>
      <c r="B3568">
        <v>388</v>
      </c>
      <c r="C3568" s="1" t="str">
        <f>HYPERLINK("http://www.rosaceae.org/gb/gbrowse/malus_x_domestica/?name=MDP0000250455","MDP0000250455")</f>
        <v>MDP0000250455</v>
      </c>
      <c r="D3568">
        <v>35.369999999999997</v>
      </c>
      <c r="E3568">
        <v>424</v>
      </c>
      <c r="F3568">
        <v>274</v>
      </c>
      <c r="G3568">
        <v>75</v>
      </c>
      <c r="H3568">
        <v>8</v>
      </c>
      <c r="I3568">
        <v>387</v>
      </c>
      <c r="J3568">
        <v>1</v>
      </c>
      <c r="K3568">
        <v>474</v>
      </c>
      <c r="L3568">
        <v>866</v>
      </c>
      <c r="M3568">
        <v>1</v>
      </c>
      <c r="N3568">
        <v>8.9798199999999993E-58</v>
      </c>
      <c r="O3568">
        <v>564</v>
      </c>
    </row>
    <row r="3569" spans="1:15" x14ac:dyDescent="0.25">
      <c r="A3569" t="s">
        <v>3582</v>
      </c>
      <c r="B3569">
        <v>163</v>
      </c>
      <c r="C3569" s="1" t="str">
        <f>HYPERLINK("http://www.rosaceae.org/gb/gbrowse/malus_x_domestica/?name=MDP0000229648","MDP0000229648")</f>
        <v>MDP0000229648</v>
      </c>
      <c r="D3569">
        <v>72.430000000000007</v>
      </c>
      <c r="E3569">
        <v>156</v>
      </c>
      <c r="F3569">
        <v>43</v>
      </c>
      <c r="G3569">
        <v>5</v>
      </c>
      <c r="H3569">
        <v>1</v>
      </c>
      <c r="I3569">
        <v>156</v>
      </c>
      <c r="J3569">
        <v>1</v>
      </c>
      <c r="K3569">
        <v>1</v>
      </c>
      <c r="L3569">
        <v>151</v>
      </c>
      <c r="M3569">
        <v>1</v>
      </c>
      <c r="N3569">
        <v>4.5426999999999997E-63</v>
      </c>
      <c r="O3569">
        <v>604</v>
      </c>
    </row>
    <row r="3570" spans="1:15" x14ac:dyDescent="0.25">
      <c r="A3570" t="s">
        <v>3583</v>
      </c>
      <c r="B3570">
        <v>181</v>
      </c>
      <c r="C3570" s="1" t="str">
        <f>HYPERLINK("http://www.rosaceae.org/gb/gbrowse/malus_x_domestica/?name=MDP0000309523","MDP0000309523")</f>
        <v>MDP0000309523</v>
      </c>
      <c r="D3570">
        <v>79.13</v>
      </c>
      <c r="E3570">
        <v>115</v>
      </c>
      <c r="F3570">
        <v>24</v>
      </c>
      <c r="G3570">
        <v>0</v>
      </c>
      <c r="H3570">
        <v>67</v>
      </c>
      <c r="I3570">
        <v>181</v>
      </c>
      <c r="J3570">
        <v>1</v>
      </c>
      <c r="K3570">
        <v>48</v>
      </c>
      <c r="L3570">
        <v>162</v>
      </c>
      <c r="M3570">
        <v>1</v>
      </c>
      <c r="N3570">
        <v>2.1782500000000001E-50</v>
      </c>
      <c r="O3570">
        <v>495</v>
      </c>
    </row>
    <row r="3571" spans="1:15" x14ac:dyDescent="0.25">
      <c r="A3571" t="s">
        <v>3584</v>
      </c>
      <c r="B3571">
        <v>491</v>
      </c>
      <c r="C3571" s="1" t="str">
        <f>HYPERLINK("http://www.rosaceae.org/gb/gbrowse/malus_x_domestica/?name=MDP0000209470","MDP0000209470")</f>
        <v>MDP0000209470</v>
      </c>
      <c r="D3571">
        <v>79.239999999999995</v>
      </c>
      <c r="E3571">
        <v>530</v>
      </c>
      <c r="F3571">
        <v>110</v>
      </c>
      <c r="G3571">
        <v>40</v>
      </c>
      <c r="H3571">
        <v>1</v>
      </c>
      <c r="I3571">
        <v>491</v>
      </c>
      <c r="J3571">
        <v>1</v>
      </c>
      <c r="K3571">
        <v>1</v>
      </c>
      <c r="L3571">
        <v>529</v>
      </c>
      <c r="M3571">
        <v>1</v>
      </c>
      <c r="N3571">
        <v>0</v>
      </c>
      <c r="O3571">
        <v>2179</v>
      </c>
    </row>
    <row r="3572" spans="1:15" x14ac:dyDescent="0.25">
      <c r="A3572" t="s">
        <v>3585</v>
      </c>
      <c r="B3572">
        <v>284</v>
      </c>
      <c r="C3572" s="1" t="str">
        <f>HYPERLINK("http://www.rosaceae.org/gb/gbrowse/malus_x_domestica/?name=MDP0000238271","MDP0000238271")</f>
        <v>MDP0000238271</v>
      </c>
      <c r="D3572">
        <v>61.11</v>
      </c>
      <c r="E3572">
        <v>108</v>
      </c>
      <c r="F3572">
        <v>42</v>
      </c>
      <c r="G3572">
        <v>0</v>
      </c>
      <c r="H3572">
        <v>85</v>
      </c>
      <c r="I3572">
        <v>192</v>
      </c>
      <c r="J3572">
        <v>1</v>
      </c>
      <c r="K3572">
        <v>353</v>
      </c>
      <c r="L3572">
        <v>460</v>
      </c>
      <c r="M3572">
        <v>1</v>
      </c>
      <c r="N3572">
        <v>5.6825900000000003E-37</v>
      </c>
      <c r="O3572">
        <v>383</v>
      </c>
    </row>
    <row r="3573" spans="1:15" x14ac:dyDescent="0.25">
      <c r="A3573" t="s">
        <v>3586</v>
      </c>
      <c r="B3573">
        <v>652</v>
      </c>
      <c r="C3573" s="1" t="str">
        <f>HYPERLINK("http://www.rosaceae.org/gb/gbrowse/malus_x_domestica/?name=MDP0000734561","MDP0000734561")</f>
        <v>MDP0000734561</v>
      </c>
      <c r="D3573">
        <v>48.17</v>
      </c>
      <c r="E3573">
        <v>685</v>
      </c>
      <c r="F3573">
        <v>355</v>
      </c>
      <c r="G3573">
        <v>76</v>
      </c>
      <c r="H3573">
        <v>1</v>
      </c>
      <c r="I3573">
        <v>618</v>
      </c>
      <c r="J3573">
        <v>1</v>
      </c>
      <c r="K3573">
        <v>359</v>
      </c>
      <c r="L3573">
        <v>1034</v>
      </c>
      <c r="M3573">
        <v>1</v>
      </c>
      <c r="N3573">
        <v>8.9802199999999997E-162</v>
      </c>
      <c r="O3573">
        <v>1463</v>
      </c>
    </row>
    <row r="3574" spans="1:15" x14ac:dyDescent="0.25">
      <c r="A3574" t="s">
        <v>3587</v>
      </c>
      <c r="B3574">
        <v>319</v>
      </c>
      <c r="C3574" s="1" t="str">
        <f>HYPERLINK("http://www.rosaceae.org/gb/gbrowse/malus_x_domestica/?name=MDP0000700517","MDP0000700517")</f>
        <v>MDP0000700517</v>
      </c>
      <c r="D3574">
        <v>28.05</v>
      </c>
      <c r="E3574">
        <v>221</v>
      </c>
      <c r="F3574">
        <v>159</v>
      </c>
      <c r="G3574">
        <v>8</v>
      </c>
      <c r="H3574">
        <v>92</v>
      </c>
      <c r="I3574">
        <v>305</v>
      </c>
      <c r="J3574">
        <v>1</v>
      </c>
      <c r="K3574">
        <v>89</v>
      </c>
      <c r="L3574">
        <v>308</v>
      </c>
      <c r="M3574">
        <v>1</v>
      </c>
      <c r="N3574">
        <v>2.15226E-21</v>
      </c>
      <c r="O3574">
        <v>249</v>
      </c>
    </row>
    <row r="3575" spans="1:15" x14ac:dyDescent="0.25">
      <c r="A3575" t="s">
        <v>3588</v>
      </c>
      <c r="B3575">
        <v>604</v>
      </c>
      <c r="C3575" s="1" t="str">
        <f>HYPERLINK("http://www.rosaceae.org/gb/gbrowse/malus_x_domestica/?name=MDP0000202831","MDP0000202831")</f>
        <v>MDP0000202831</v>
      </c>
      <c r="D3575">
        <v>64.86</v>
      </c>
      <c r="E3575">
        <v>609</v>
      </c>
      <c r="F3575">
        <v>214</v>
      </c>
      <c r="G3575">
        <v>19</v>
      </c>
      <c r="H3575">
        <v>1</v>
      </c>
      <c r="I3575">
        <v>598</v>
      </c>
      <c r="J3575">
        <v>1</v>
      </c>
      <c r="K3575">
        <v>1</v>
      </c>
      <c r="L3575">
        <v>601</v>
      </c>
      <c r="M3575">
        <v>1</v>
      </c>
      <c r="N3575">
        <v>0</v>
      </c>
      <c r="O3575">
        <v>1938</v>
      </c>
    </row>
    <row r="3576" spans="1:15" x14ac:dyDescent="0.25">
      <c r="A3576" t="s">
        <v>3589</v>
      </c>
      <c r="B3576">
        <v>292</v>
      </c>
      <c r="C3576" s="1" t="str">
        <f>HYPERLINK("http://www.rosaceae.org/gb/gbrowse/malus_x_domestica/?name=MDP0000549726","MDP0000549726")</f>
        <v>MDP0000549726</v>
      </c>
      <c r="D3576">
        <v>80.2</v>
      </c>
      <c r="E3576">
        <v>288</v>
      </c>
      <c r="F3576">
        <v>57</v>
      </c>
      <c r="G3576">
        <v>0</v>
      </c>
      <c r="H3576">
        <v>4</v>
      </c>
      <c r="I3576">
        <v>291</v>
      </c>
      <c r="J3576">
        <v>1</v>
      </c>
      <c r="K3576">
        <v>212</v>
      </c>
      <c r="L3576">
        <v>499</v>
      </c>
      <c r="M3576">
        <v>1</v>
      </c>
      <c r="N3576">
        <v>1.06723E-138</v>
      </c>
      <c r="O3576">
        <v>1260</v>
      </c>
    </row>
    <row r="3577" spans="1:15" x14ac:dyDescent="0.25">
      <c r="A3577" t="s">
        <v>3590</v>
      </c>
      <c r="B3577">
        <v>495</v>
      </c>
      <c r="C3577" s="1" t="str">
        <f>HYPERLINK("http://www.rosaceae.org/gb/gbrowse/malus_x_domestica/?name=MDP0000472409","MDP0000472409")</f>
        <v>MDP0000472409</v>
      </c>
      <c r="D3577">
        <v>96.16</v>
      </c>
      <c r="E3577">
        <v>495</v>
      </c>
      <c r="F3577">
        <v>19</v>
      </c>
      <c r="G3577">
        <v>0</v>
      </c>
      <c r="H3577">
        <v>1</v>
      </c>
      <c r="I3577">
        <v>495</v>
      </c>
      <c r="J3577">
        <v>1</v>
      </c>
      <c r="K3577">
        <v>1</v>
      </c>
      <c r="L3577">
        <v>495</v>
      </c>
      <c r="M3577">
        <v>1</v>
      </c>
      <c r="N3577">
        <v>0</v>
      </c>
      <c r="O3577">
        <v>2562</v>
      </c>
    </row>
    <row r="3578" spans="1:15" x14ac:dyDescent="0.25">
      <c r="A3578" t="s">
        <v>3591</v>
      </c>
      <c r="B3578">
        <v>1067</v>
      </c>
      <c r="C3578" s="1" t="str">
        <f>HYPERLINK("http://www.rosaceae.org/gb/gbrowse/malus_x_domestica/?name=MDP0000149663","MDP0000149663")</f>
        <v>MDP0000149663</v>
      </c>
      <c r="D3578">
        <v>74.95</v>
      </c>
      <c r="E3578">
        <v>575</v>
      </c>
      <c r="F3578">
        <v>144</v>
      </c>
      <c r="G3578">
        <v>11</v>
      </c>
      <c r="H3578">
        <v>103</v>
      </c>
      <c r="I3578">
        <v>670</v>
      </c>
      <c r="J3578">
        <v>1</v>
      </c>
      <c r="K3578">
        <v>119</v>
      </c>
      <c r="L3578">
        <v>689</v>
      </c>
      <c r="M3578">
        <v>1</v>
      </c>
      <c r="N3578">
        <v>0</v>
      </c>
      <c r="O3578">
        <v>2356</v>
      </c>
    </row>
    <row r="3579" spans="1:15" x14ac:dyDescent="0.25">
      <c r="A3579" t="s">
        <v>3592</v>
      </c>
      <c r="B3579">
        <v>347</v>
      </c>
      <c r="C3579" s="1" t="str">
        <f>HYPERLINK("http://www.rosaceae.org/gb/gbrowse/malus_x_domestica/?name=MDP0000263146","MDP0000263146")</f>
        <v>MDP0000263146</v>
      </c>
      <c r="D3579">
        <v>62.5</v>
      </c>
      <c r="E3579">
        <v>272</v>
      </c>
      <c r="F3579">
        <v>102</v>
      </c>
      <c r="G3579">
        <v>3</v>
      </c>
      <c r="H3579">
        <v>76</v>
      </c>
      <c r="I3579">
        <v>346</v>
      </c>
      <c r="J3579">
        <v>1</v>
      </c>
      <c r="K3579">
        <v>987</v>
      </c>
      <c r="L3579">
        <v>1256</v>
      </c>
      <c r="M3579">
        <v>1</v>
      </c>
      <c r="N3579">
        <v>2.54893E-90</v>
      </c>
      <c r="O3579">
        <v>844</v>
      </c>
    </row>
    <row r="3580" spans="1:15" x14ac:dyDescent="0.25">
      <c r="A3580" t="s">
        <v>3593</v>
      </c>
      <c r="B3580">
        <v>217</v>
      </c>
      <c r="C3580" s="1" t="str">
        <f>HYPERLINK("http://www.rosaceae.org/gb/gbrowse/malus_x_domestica/?name=MDP0000137492","MDP0000137492")</f>
        <v>MDP0000137492</v>
      </c>
      <c r="D3580">
        <v>68.37</v>
      </c>
      <c r="E3580">
        <v>117</v>
      </c>
      <c r="F3580">
        <v>37</v>
      </c>
      <c r="G3580">
        <v>3</v>
      </c>
      <c r="H3580">
        <v>1</v>
      </c>
      <c r="I3580">
        <v>114</v>
      </c>
      <c r="J3580">
        <v>1</v>
      </c>
      <c r="K3580">
        <v>638</v>
      </c>
      <c r="L3580">
        <v>754</v>
      </c>
      <c r="M3580">
        <v>1</v>
      </c>
      <c r="N3580">
        <v>1.2910600000000001E-37</v>
      </c>
      <c r="O3580">
        <v>386</v>
      </c>
    </row>
    <row r="3581" spans="1:15" x14ac:dyDescent="0.25">
      <c r="A3581" t="s">
        <v>3594</v>
      </c>
      <c r="B3581">
        <v>333</v>
      </c>
      <c r="C3581" s="1" t="str">
        <f>HYPERLINK("http://www.rosaceae.org/gb/gbrowse/malus_x_domestica/?name=MDP0000261354","MDP0000261354")</f>
        <v>MDP0000261354</v>
      </c>
      <c r="D3581">
        <v>55.55</v>
      </c>
      <c r="E3581">
        <v>90</v>
      </c>
      <c r="F3581">
        <v>40</v>
      </c>
      <c r="G3581">
        <v>0</v>
      </c>
      <c r="H3581">
        <v>226</v>
      </c>
      <c r="I3581">
        <v>315</v>
      </c>
      <c r="J3581">
        <v>1</v>
      </c>
      <c r="K3581">
        <v>67</v>
      </c>
      <c r="L3581">
        <v>156</v>
      </c>
      <c r="M3581">
        <v>1</v>
      </c>
      <c r="N3581">
        <v>1.57342E-24</v>
      </c>
      <c r="O3581">
        <v>276</v>
      </c>
    </row>
    <row r="3582" spans="1:15" x14ac:dyDescent="0.25">
      <c r="A3582" t="s">
        <v>3595</v>
      </c>
      <c r="B3582">
        <v>583</v>
      </c>
      <c r="C3582" s="1" t="str">
        <f>HYPERLINK("http://www.rosaceae.org/gb/gbrowse/malus_x_domestica/?name=MDP0000252114","MDP0000252114")</f>
        <v>MDP0000252114</v>
      </c>
      <c r="D3582">
        <v>69.37</v>
      </c>
      <c r="E3582">
        <v>578</v>
      </c>
      <c r="F3582">
        <v>177</v>
      </c>
      <c r="G3582">
        <v>11</v>
      </c>
      <c r="H3582">
        <v>1</v>
      </c>
      <c r="I3582">
        <v>578</v>
      </c>
      <c r="J3582">
        <v>1</v>
      </c>
      <c r="K3582">
        <v>1</v>
      </c>
      <c r="L3582">
        <v>567</v>
      </c>
      <c r="M3582">
        <v>1</v>
      </c>
      <c r="N3582">
        <v>0</v>
      </c>
      <c r="O3582">
        <v>2059</v>
      </c>
    </row>
    <row r="3583" spans="1:15" x14ac:dyDescent="0.25">
      <c r="A3583" t="s">
        <v>3596</v>
      </c>
      <c r="B3583">
        <v>477</v>
      </c>
      <c r="C3583" s="1" t="str">
        <f>HYPERLINK("http://www.rosaceae.org/gb/gbrowse/malus_x_domestica/?name=MDP0000828015","MDP0000828015")</f>
        <v>MDP0000828015</v>
      </c>
      <c r="D3583">
        <v>71.42</v>
      </c>
      <c r="E3583">
        <v>308</v>
      </c>
      <c r="F3583">
        <v>88</v>
      </c>
      <c r="G3583">
        <v>5</v>
      </c>
      <c r="H3583">
        <v>1</v>
      </c>
      <c r="I3583">
        <v>303</v>
      </c>
      <c r="J3583">
        <v>1</v>
      </c>
      <c r="K3583">
        <v>132</v>
      </c>
      <c r="L3583">
        <v>439</v>
      </c>
      <c r="M3583">
        <v>1</v>
      </c>
      <c r="N3583">
        <v>3.3617899999999998E-115</v>
      </c>
      <c r="O3583">
        <v>1060</v>
      </c>
    </row>
    <row r="3584" spans="1:15" x14ac:dyDescent="0.25">
      <c r="A3584" t="s">
        <v>3597</v>
      </c>
      <c r="B3584">
        <v>442</v>
      </c>
      <c r="C3584" s="1" t="str">
        <f>HYPERLINK("http://www.rosaceae.org/gb/gbrowse/malus_x_domestica/?name=MDP0000281711","MDP0000281711")</f>
        <v>MDP0000281711</v>
      </c>
      <c r="D3584">
        <v>83.13</v>
      </c>
      <c r="E3584">
        <v>249</v>
      </c>
      <c r="F3584">
        <v>42</v>
      </c>
      <c r="G3584">
        <v>6</v>
      </c>
      <c r="H3584">
        <v>198</v>
      </c>
      <c r="I3584">
        <v>442</v>
      </c>
      <c r="J3584">
        <v>1</v>
      </c>
      <c r="K3584">
        <v>59</v>
      </c>
      <c r="L3584">
        <v>305</v>
      </c>
      <c r="M3584">
        <v>1</v>
      </c>
      <c r="N3584">
        <v>1.4249100000000001E-114</v>
      </c>
      <c r="O3584">
        <v>1054</v>
      </c>
    </row>
    <row r="3585" spans="1:15" x14ac:dyDescent="0.25">
      <c r="A3585" t="s">
        <v>3598</v>
      </c>
      <c r="B3585">
        <v>325</v>
      </c>
      <c r="C3585" s="1" t="str">
        <f>HYPERLINK("http://www.rosaceae.org/gb/gbrowse/malus_x_domestica/?name=MDP0000332597","MDP0000332597")</f>
        <v>MDP0000332597</v>
      </c>
      <c r="D3585">
        <v>71.2</v>
      </c>
      <c r="E3585">
        <v>191</v>
      </c>
      <c r="F3585">
        <v>55</v>
      </c>
      <c r="G3585">
        <v>22</v>
      </c>
      <c r="H3585">
        <v>137</v>
      </c>
      <c r="I3585">
        <v>325</v>
      </c>
      <c r="J3585">
        <v>1</v>
      </c>
      <c r="K3585">
        <v>345</v>
      </c>
      <c r="L3585">
        <v>515</v>
      </c>
      <c r="M3585">
        <v>1</v>
      </c>
      <c r="N3585">
        <v>1.1773400000000001E-67</v>
      </c>
      <c r="O3585">
        <v>648</v>
      </c>
    </row>
    <row r="3586" spans="1:15" x14ac:dyDescent="0.25">
      <c r="A3586" t="s">
        <v>3599</v>
      </c>
      <c r="B3586">
        <v>2169</v>
      </c>
      <c r="C3586" s="1" t="str">
        <f>HYPERLINK("http://www.rosaceae.org/gb/gbrowse/malus_x_domestica/?name=MDP0000299496","MDP0000299496")</f>
        <v>MDP0000299496</v>
      </c>
      <c r="D3586">
        <v>39.36</v>
      </c>
      <c r="E3586">
        <v>348</v>
      </c>
      <c r="F3586">
        <v>211</v>
      </c>
      <c r="G3586">
        <v>5</v>
      </c>
      <c r="H3586">
        <v>1021</v>
      </c>
      <c r="I3586">
        <v>1364</v>
      </c>
      <c r="J3586">
        <v>1</v>
      </c>
      <c r="K3586">
        <v>445</v>
      </c>
      <c r="L3586">
        <v>791</v>
      </c>
      <c r="M3586">
        <v>1</v>
      </c>
      <c r="N3586">
        <v>2.1461799999999999E-70</v>
      </c>
      <c r="O3586">
        <v>680</v>
      </c>
    </row>
    <row r="3587" spans="1:15" x14ac:dyDescent="0.25">
      <c r="A3587" t="s">
        <v>3600</v>
      </c>
      <c r="B3587">
        <v>738</v>
      </c>
      <c r="C3587" s="1" t="str">
        <f>HYPERLINK("http://www.rosaceae.org/gb/gbrowse/malus_x_domestica/?name=MDP0000228264","MDP0000228264")</f>
        <v>MDP0000228264</v>
      </c>
      <c r="D3587">
        <v>75</v>
      </c>
      <c r="E3587">
        <v>604</v>
      </c>
      <c r="F3587">
        <v>151</v>
      </c>
      <c r="G3587">
        <v>20</v>
      </c>
      <c r="H3587">
        <v>152</v>
      </c>
      <c r="I3587">
        <v>738</v>
      </c>
      <c r="J3587">
        <v>1</v>
      </c>
      <c r="K3587">
        <v>149</v>
      </c>
      <c r="L3587">
        <v>749</v>
      </c>
      <c r="M3587">
        <v>1</v>
      </c>
      <c r="N3587">
        <v>0</v>
      </c>
      <c r="O3587">
        <v>2224</v>
      </c>
    </row>
    <row r="3588" spans="1:15" x14ac:dyDescent="0.25">
      <c r="A3588" t="s">
        <v>3601</v>
      </c>
      <c r="B3588">
        <v>157</v>
      </c>
      <c r="C3588" s="1" t="str">
        <f>HYPERLINK("http://www.rosaceae.org/gb/gbrowse/malus_x_domestica/?name=MDP0000623090","MDP0000623090")</f>
        <v>MDP0000623090</v>
      </c>
      <c r="D3588">
        <v>66.87</v>
      </c>
      <c r="E3588">
        <v>157</v>
      </c>
      <c r="F3588">
        <v>52</v>
      </c>
      <c r="G3588">
        <v>2</v>
      </c>
      <c r="H3588">
        <v>3</v>
      </c>
      <c r="I3588">
        <v>157</v>
      </c>
      <c r="J3588">
        <v>1</v>
      </c>
      <c r="K3588">
        <v>129</v>
      </c>
      <c r="L3588">
        <v>285</v>
      </c>
      <c r="M3588">
        <v>1</v>
      </c>
      <c r="N3588">
        <v>1.07442E-55</v>
      </c>
      <c r="O3588">
        <v>540</v>
      </c>
    </row>
    <row r="3589" spans="1:15" x14ac:dyDescent="0.25">
      <c r="A3589" t="s">
        <v>3602</v>
      </c>
      <c r="B3589">
        <v>190</v>
      </c>
      <c r="C3589" s="1" t="str">
        <f>HYPERLINK("http://www.rosaceae.org/gb/gbrowse/malus_x_domestica/?name=MDP0000304679","MDP0000304679")</f>
        <v>MDP0000304679</v>
      </c>
      <c r="D3589">
        <v>42.37</v>
      </c>
      <c r="E3589">
        <v>118</v>
      </c>
      <c r="F3589">
        <v>68</v>
      </c>
      <c r="G3589">
        <v>12</v>
      </c>
      <c r="H3589">
        <v>81</v>
      </c>
      <c r="I3589">
        <v>190</v>
      </c>
      <c r="J3589">
        <v>1</v>
      </c>
      <c r="K3589">
        <v>190</v>
      </c>
      <c r="L3589">
        <v>303</v>
      </c>
      <c r="M3589">
        <v>1</v>
      </c>
      <c r="N3589">
        <v>6.0556899999999999E-19</v>
      </c>
      <c r="O3589">
        <v>225</v>
      </c>
    </row>
    <row r="3590" spans="1:15" x14ac:dyDescent="0.25">
      <c r="A3590" t="s">
        <v>3603</v>
      </c>
      <c r="B3590">
        <v>132</v>
      </c>
      <c r="C3590" s="1" t="str">
        <f>HYPERLINK("http://www.rosaceae.org/gb/gbrowse/malus_x_domestica/?name=MDP0000847266","MDP0000847266")</f>
        <v>MDP0000847266</v>
      </c>
      <c r="D3590">
        <v>66.91</v>
      </c>
      <c r="E3590">
        <v>133</v>
      </c>
      <c r="F3590">
        <v>44</v>
      </c>
      <c r="G3590">
        <v>2</v>
      </c>
      <c r="H3590">
        <v>1</v>
      </c>
      <c r="I3590">
        <v>132</v>
      </c>
      <c r="J3590">
        <v>1</v>
      </c>
      <c r="K3590">
        <v>1</v>
      </c>
      <c r="L3590">
        <v>132</v>
      </c>
      <c r="M3590">
        <v>1</v>
      </c>
      <c r="N3590">
        <v>1.34676E-46</v>
      </c>
      <c r="O3590">
        <v>460</v>
      </c>
    </row>
    <row r="3591" spans="1:15" x14ac:dyDescent="0.25">
      <c r="A3591" t="s">
        <v>3604</v>
      </c>
      <c r="B3591">
        <v>113</v>
      </c>
      <c r="C3591" s="1" t="str">
        <f>HYPERLINK("http://www.rosaceae.org/gb/gbrowse/malus_x_domestica/?name=MDP0000173425","MDP0000173425")</f>
        <v>MDP0000173425</v>
      </c>
      <c r="D3591">
        <v>80.59</v>
      </c>
      <c r="E3591">
        <v>67</v>
      </c>
      <c r="F3591">
        <v>13</v>
      </c>
      <c r="G3591">
        <v>1</v>
      </c>
      <c r="H3591">
        <v>13</v>
      </c>
      <c r="I3591">
        <v>79</v>
      </c>
      <c r="J3591">
        <v>1</v>
      </c>
      <c r="K3591">
        <v>14</v>
      </c>
      <c r="L3591">
        <v>79</v>
      </c>
      <c r="M3591">
        <v>1</v>
      </c>
      <c r="N3591">
        <v>4.6922099999999997E-25</v>
      </c>
      <c r="O3591">
        <v>274</v>
      </c>
    </row>
    <row r="3592" spans="1:15" x14ac:dyDescent="0.25">
      <c r="A3592" t="s">
        <v>3605</v>
      </c>
      <c r="B3592">
        <v>930</v>
      </c>
      <c r="C3592" s="1" t="str">
        <f>HYPERLINK("http://www.rosaceae.org/gb/gbrowse/malus_x_domestica/?name=MDP0000271579","MDP0000271579")</f>
        <v>MDP0000271579</v>
      </c>
      <c r="D3592">
        <v>67.05</v>
      </c>
      <c r="E3592">
        <v>771</v>
      </c>
      <c r="F3592">
        <v>254</v>
      </c>
      <c r="G3592">
        <v>21</v>
      </c>
      <c r="H3592">
        <v>170</v>
      </c>
      <c r="I3592">
        <v>930</v>
      </c>
      <c r="J3592">
        <v>1</v>
      </c>
      <c r="K3592">
        <v>187</v>
      </c>
      <c r="L3592">
        <v>946</v>
      </c>
      <c r="M3592">
        <v>1</v>
      </c>
      <c r="N3592">
        <v>0</v>
      </c>
      <c r="O3592">
        <v>2464</v>
      </c>
    </row>
    <row r="3593" spans="1:15" x14ac:dyDescent="0.25">
      <c r="A3593" t="s">
        <v>3606</v>
      </c>
      <c r="B3593">
        <v>159</v>
      </c>
      <c r="C3593" s="1" t="str">
        <f>HYPERLINK("http://www.rosaceae.org/gb/gbrowse/malus_x_domestica/?name=MDP0000201872","MDP0000201872")</f>
        <v>MDP0000201872</v>
      </c>
      <c r="D3593">
        <v>97.48</v>
      </c>
      <c r="E3593">
        <v>159</v>
      </c>
      <c r="F3593">
        <v>4</v>
      </c>
      <c r="G3593">
        <v>0</v>
      </c>
      <c r="H3593">
        <v>1</v>
      </c>
      <c r="I3593">
        <v>159</v>
      </c>
      <c r="J3593">
        <v>1</v>
      </c>
      <c r="K3593">
        <v>1</v>
      </c>
      <c r="L3593">
        <v>159</v>
      </c>
      <c r="M3593">
        <v>1</v>
      </c>
      <c r="N3593">
        <v>3.11628E-89</v>
      </c>
      <c r="O3593">
        <v>829</v>
      </c>
    </row>
    <row r="3594" spans="1:15" x14ac:dyDescent="0.25">
      <c r="A3594" t="s">
        <v>3607</v>
      </c>
      <c r="B3594">
        <v>111</v>
      </c>
      <c r="C3594" s="1" t="str">
        <f>HYPERLINK("http://www.rosaceae.org/gb/gbrowse/malus_x_domestica/?name=MDP0000206821","MDP0000206821")</f>
        <v>MDP0000206821</v>
      </c>
      <c r="D3594">
        <v>78.89</v>
      </c>
      <c r="E3594">
        <v>109</v>
      </c>
      <c r="F3594">
        <v>23</v>
      </c>
      <c r="G3594">
        <v>1</v>
      </c>
      <c r="H3594">
        <v>1</v>
      </c>
      <c r="I3594">
        <v>109</v>
      </c>
      <c r="J3594">
        <v>1</v>
      </c>
      <c r="K3594">
        <v>388</v>
      </c>
      <c r="L3594">
        <v>495</v>
      </c>
      <c r="M3594">
        <v>1</v>
      </c>
      <c r="N3594">
        <v>2.1755700000000001E-52</v>
      </c>
      <c r="O3594">
        <v>509</v>
      </c>
    </row>
    <row r="3595" spans="1:15" x14ac:dyDescent="0.25">
      <c r="A3595" t="s">
        <v>3608</v>
      </c>
      <c r="B3595">
        <v>255</v>
      </c>
      <c r="C3595" s="1" t="str">
        <f>HYPERLINK("http://www.rosaceae.org/gb/gbrowse/malus_x_domestica/?name=MDP0000225809","MDP0000225809")</f>
        <v>MDP0000225809</v>
      </c>
      <c r="D3595">
        <v>34.950000000000003</v>
      </c>
      <c r="E3595">
        <v>103</v>
      </c>
      <c r="F3595">
        <v>67</v>
      </c>
      <c r="G3595">
        <v>20</v>
      </c>
      <c r="H3595">
        <v>24</v>
      </c>
      <c r="I3595">
        <v>115</v>
      </c>
      <c r="J3595">
        <v>1</v>
      </c>
      <c r="K3595">
        <v>35</v>
      </c>
      <c r="L3595">
        <v>128</v>
      </c>
      <c r="M3595">
        <v>1</v>
      </c>
      <c r="N3595">
        <v>7.5128699999999997E-7</v>
      </c>
      <c r="O3595">
        <v>122</v>
      </c>
    </row>
    <row r="3596" spans="1:15" x14ac:dyDescent="0.25">
      <c r="A3596" t="s">
        <v>3609</v>
      </c>
      <c r="B3596">
        <v>524</v>
      </c>
      <c r="C3596" s="1" t="str">
        <f>HYPERLINK("http://www.rosaceae.org/gb/gbrowse/malus_x_domestica/?name=MDP0000253171","MDP0000253171")</f>
        <v>MDP0000253171</v>
      </c>
      <c r="D3596">
        <v>70.09</v>
      </c>
      <c r="E3596">
        <v>408</v>
      </c>
      <c r="F3596">
        <v>122</v>
      </c>
      <c r="G3596">
        <v>29</v>
      </c>
      <c r="H3596">
        <v>1</v>
      </c>
      <c r="I3596">
        <v>408</v>
      </c>
      <c r="J3596">
        <v>1</v>
      </c>
      <c r="K3596">
        <v>51</v>
      </c>
      <c r="L3596">
        <v>429</v>
      </c>
      <c r="M3596">
        <v>1</v>
      </c>
      <c r="N3596">
        <v>4.6423300000000002E-170</v>
      </c>
      <c r="O3596">
        <v>1533</v>
      </c>
    </row>
    <row r="3597" spans="1:15" x14ac:dyDescent="0.25">
      <c r="A3597" t="s">
        <v>3610</v>
      </c>
      <c r="B3597">
        <v>542</v>
      </c>
      <c r="C3597" s="1" t="str">
        <f>HYPERLINK("http://www.rosaceae.org/gb/gbrowse/malus_x_domestica/?name=MDP0000154362","MDP0000154362")</f>
        <v>MDP0000154362</v>
      </c>
      <c r="D3597">
        <v>79.959999999999994</v>
      </c>
      <c r="E3597">
        <v>549</v>
      </c>
      <c r="F3597">
        <v>110</v>
      </c>
      <c r="G3597">
        <v>34</v>
      </c>
      <c r="H3597">
        <v>1</v>
      </c>
      <c r="I3597">
        <v>542</v>
      </c>
      <c r="J3597">
        <v>1</v>
      </c>
      <c r="K3597">
        <v>1</v>
      </c>
      <c r="L3597">
        <v>522</v>
      </c>
      <c r="M3597">
        <v>1</v>
      </c>
      <c r="N3597">
        <v>0</v>
      </c>
      <c r="O3597">
        <v>2245</v>
      </c>
    </row>
    <row r="3598" spans="1:15" x14ac:dyDescent="0.25">
      <c r="A3598" t="s">
        <v>3611</v>
      </c>
      <c r="B3598">
        <v>442</v>
      </c>
      <c r="C3598" s="1" t="str">
        <f>HYPERLINK("http://www.rosaceae.org/gb/gbrowse/malus_x_domestica/?name=MDP0000275850","MDP0000275850")</f>
        <v>MDP0000275850</v>
      </c>
      <c r="D3598">
        <v>60.82</v>
      </c>
      <c r="E3598">
        <v>439</v>
      </c>
      <c r="F3598">
        <v>172</v>
      </c>
      <c r="G3598">
        <v>22</v>
      </c>
      <c r="H3598">
        <v>13</v>
      </c>
      <c r="I3598">
        <v>441</v>
      </c>
      <c r="J3598">
        <v>1</v>
      </c>
      <c r="K3598">
        <v>5</v>
      </c>
      <c r="L3598">
        <v>431</v>
      </c>
      <c r="M3598">
        <v>1</v>
      </c>
      <c r="N3598">
        <v>7.60952E-149</v>
      </c>
      <c r="O3598">
        <v>1350</v>
      </c>
    </row>
    <row r="3599" spans="1:15" x14ac:dyDescent="0.25">
      <c r="A3599" t="s">
        <v>3612</v>
      </c>
      <c r="B3599">
        <v>385</v>
      </c>
      <c r="C3599" s="1" t="str">
        <f>HYPERLINK("http://www.rosaceae.org/gb/gbrowse/malus_x_domestica/?name=MDP0000399594","MDP0000399594")</f>
        <v>MDP0000399594</v>
      </c>
      <c r="D3599">
        <v>74.41</v>
      </c>
      <c r="E3599">
        <v>387</v>
      </c>
      <c r="F3599">
        <v>99</v>
      </c>
      <c r="G3599">
        <v>6</v>
      </c>
      <c r="H3599">
        <v>1</v>
      </c>
      <c r="I3599">
        <v>382</v>
      </c>
      <c r="J3599">
        <v>1</v>
      </c>
      <c r="K3599">
        <v>1</v>
      </c>
      <c r="L3599">
        <v>386</v>
      </c>
      <c r="M3599">
        <v>1</v>
      </c>
      <c r="N3599">
        <v>5.4339E-171</v>
      </c>
      <c r="O3599">
        <v>1540</v>
      </c>
    </row>
    <row r="3600" spans="1:15" x14ac:dyDescent="0.25">
      <c r="A3600" t="s">
        <v>3613</v>
      </c>
      <c r="B3600">
        <v>311</v>
      </c>
      <c r="C3600" s="1" t="str">
        <f>HYPERLINK("http://www.rosaceae.org/gb/gbrowse/malus_x_domestica/?name=MDP0000900278","MDP0000900278")</f>
        <v>MDP0000900278</v>
      </c>
      <c r="D3600">
        <v>45.06</v>
      </c>
      <c r="E3600">
        <v>304</v>
      </c>
      <c r="F3600">
        <v>167</v>
      </c>
      <c r="G3600">
        <v>19</v>
      </c>
      <c r="H3600">
        <v>11</v>
      </c>
      <c r="I3600">
        <v>311</v>
      </c>
      <c r="J3600">
        <v>1</v>
      </c>
      <c r="K3600">
        <v>4</v>
      </c>
      <c r="L3600">
        <v>291</v>
      </c>
      <c r="M3600">
        <v>1</v>
      </c>
      <c r="N3600">
        <v>1.99685E-63</v>
      </c>
      <c r="O3600">
        <v>611</v>
      </c>
    </row>
    <row r="3601" spans="1:15" x14ac:dyDescent="0.25">
      <c r="A3601" t="s">
        <v>3614</v>
      </c>
      <c r="B3601">
        <v>511</v>
      </c>
      <c r="C3601" s="1" t="str">
        <f>HYPERLINK("http://www.rosaceae.org/gb/gbrowse/malus_x_domestica/?name=MDP0000306176","MDP0000306176")</f>
        <v>MDP0000306176</v>
      </c>
      <c r="D3601">
        <v>65.819999999999993</v>
      </c>
      <c r="E3601">
        <v>474</v>
      </c>
      <c r="F3601">
        <v>162</v>
      </c>
      <c r="G3601">
        <v>3</v>
      </c>
      <c r="H3601">
        <v>32</v>
      </c>
      <c r="I3601">
        <v>505</v>
      </c>
      <c r="J3601">
        <v>1</v>
      </c>
      <c r="K3601">
        <v>253</v>
      </c>
      <c r="L3601">
        <v>723</v>
      </c>
      <c r="M3601">
        <v>1</v>
      </c>
      <c r="N3601">
        <v>0</v>
      </c>
      <c r="O3601">
        <v>1713</v>
      </c>
    </row>
    <row r="3602" spans="1:15" x14ac:dyDescent="0.25">
      <c r="A3602" t="s">
        <v>3615</v>
      </c>
      <c r="B3602">
        <v>116</v>
      </c>
      <c r="C3602" s="1" t="str">
        <f>HYPERLINK("http://www.rosaceae.org/gb/gbrowse/malus_x_domestica/?name=MDP0000322548","MDP0000322548")</f>
        <v>MDP0000322548</v>
      </c>
      <c r="D3602">
        <v>89.77</v>
      </c>
      <c r="E3602">
        <v>88</v>
      </c>
      <c r="F3602">
        <v>9</v>
      </c>
      <c r="G3602">
        <v>0</v>
      </c>
      <c r="H3602">
        <v>28</v>
      </c>
      <c r="I3602">
        <v>115</v>
      </c>
      <c r="J3602">
        <v>1</v>
      </c>
      <c r="K3602">
        <v>1</v>
      </c>
      <c r="L3602">
        <v>88</v>
      </c>
      <c r="M3602">
        <v>1</v>
      </c>
      <c r="N3602">
        <v>1.5489799999999999E-42</v>
      </c>
      <c r="O3602">
        <v>424</v>
      </c>
    </row>
    <row r="3603" spans="1:15" x14ac:dyDescent="0.25">
      <c r="A3603" t="s">
        <v>3616</v>
      </c>
      <c r="B3603">
        <v>693</v>
      </c>
      <c r="C3603" s="1" t="str">
        <f>HYPERLINK("http://www.rosaceae.org/gb/gbrowse/malus_x_domestica/?name=MDP0000174677","MDP0000174677")</f>
        <v>MDP0000174677</v>
      </c>
      <c r="D3603">
        <v>72.78</v>
      </c>
      <c r="E3603">
        <v>735</v>
      </c>
      <c r="F3603">
        <v>200</v>
      </c>
      <c r="G3603">
        <v>59</v>
      </c>
      <c r="H3603">
        <v>1</v>
      </c>
      <c r="I3603">
        <v>693</v>
      </c>
      <c r="J3603">
        <v>1</v>
      </c>
      <c r="K3603">
        <v>158</v>
      </c>
      <c r="L3603">
        <v>875</v>
      </c>
      <c r="M3603">
        <v>1</v>
      </c>
      <c r="N3603">
        <v>0</v>
      </c>
      <c r="O3603">
        <v>2785</v>
      </c>
    </row>
    <row r="3604" spans="1:15" x14ac:dyDescent="0.25">
      <c r="A3604" t="s">
        <v>3617</v>
      </c>
      <c r="B3604">
        <v>774</v>
      </c>
      <c r="C3604" s="1" t="str">
        <f>HYPERLINK("http://www.rosaceae.org/gb/gbrowse/malus_x_domestica/?name=MDP0000509245","MDP0000509245")</f>
        <v>MDP0000509245</v>
      </c>
      <c r="D3604">
        <v>65.709999999999994</v>
      </c>
      <c r="E3604">
        <v>385</v>
      </c>
      <c r="F3604">
        <v>132</v>
      </c>
      <c r="G3604">
        <v>29</v>
      </c>
      <c r="H3604">
        <v>1</v>
      </c>
      <c r="I3604">
        <v>382</v>
      </c>
      <c r="J3604">
        <v>1</v>
      </c>
      <c r="K3604">
        <v>1</v>
      </c>
      <c r="L3604">
        <v>359</v>
      </c>
      <c r="M3604">
        <v>1</v>
      </c>
      <c r="N3604">
        <v>2.9734000000000001E-138</v>
      </c>
      <c r="O3604">
        <v>1261</v>
      </c>
    </row>
    <row r="3605" spans="1:15" x14ac:dyDescent="0.25">
      <c r="A3605" t="s">
        <v>3618</v>
      </c>
      <c r="B3605">
        <v>545</v>
      </c>
      <c r="C3605" s="1" t="str">
        <f>HYPERLINK("http://www.rosaceae.org/gb/gbrowse/malus_x_domestica/?name=MDP0000889818","MDP0000889818")</f>
        <v>MDP0000889818</v>
      </c>
      <c r="D3605">
        <v>91.22</v>
      </c>
      <c r="E3605">
        <v>285</v>
      </c>
      <c r="F3605">
        <v>25</v>
      </c>
      <c r="G3605">
        <v>0</v>
      </c>
      <c r="H3605">
        <v>1</v>
      </c>
      <c r="I3605">
        <v>285</v>
      </c>
      <c r="J3605">
        <v>1</v>
      </c>
      <c r="K3605">
        <v>1</v>
      </c>
      <c r="L3605">
        <v>285</v>
      </c>
      <c r="M3605">
        <v>1</v>
      </c>
      <c r="N3605">
        <v>1.06448E-153</v>
      </c>
      <c r="O3605">
        <v>1392</v>
      </c>
    </row>
    <row r="3606" spans="1:15" x14ac:dyDescent="0.25">
      <c r="A3606" t="s">
        <v>3619</v>
      </c>
      <c r="B3606">
        <v>613</v>
      </c>
      <c r="C3606" s="1" t="str">
        <f>HYPERLINK("http://www.rosaceae.org/gb/gbrowse/malus_x_domestica/?name=MDP0000201420","MDP0000201420")</f>
        <v>MDP0000201420</v>
      </c>
      <c r="D3606">
        <v>75.52</v>
      </c>
      <c r="E3606">
        <v>625</v>
      </c>
      <c r="F3606">
        <v>153</v>
      </c>
      <c r="G3606">
        <v>61</v>
      </c>
      <c r="H3606">
        <v>1</v>
      </c>
      <c r="I3606">
        <v>613</v>
      </c>
      <c r="J3606">
        <v>1</v>
      </c>
      <c r="K3606">
        <v>9</v>
      </c>
      <c r="L3606">
        <v>584</v>
      </c>
      <c r="M3606">
        <v>1</v>
      </c>
      <c r="N3606">
        <v>0</v>
      </c>
      <c r="O3606">
        <v>2370</v>
      </c>
    </row>
    <row r="3607" spans="1:15" x14ac:dyDescent="0.25">
      <c r="A3607" t="s">
        <v>3620</v>
      </c>
      <c r="B3607">
        <v>1775</v>
      </c>
      <c r="C3607" s="1" t="str">
        <f>HYPERLINK("http://www.rosaceae.org/gb/gbrowse/malus_x_domestica/?name=MDP0000186402","MDP0000186402")</f>
        <v>MDP0000186402</v>
      </c>
      <c r="D3607">
        <v>32.6</v>
      </c>
      <c r="E3607">
        <v>138</v>
      </c>
      <c r="F3607">
        <v>93</v>
      </c>
      <c r="G3607">
        <v>8</v>
      </c>
      <c r="H3607">
        <v>210</v>
      </c>
      <c r="I3607">
        <v>345</v>
      </c>
      <c r="J3607">
        <v>1</v>
      </c>
      <c r="K3607">
        <v>394</v>
      </c>
      <c r="L3607">
        <v>525</v>
      </c>
      <c r="M3607">
        <v>1</v>
      </c>
      <c r="N3607">
        <v>8.8687600000000001E-10</v>
      </c>
      <c r="O3607">
        <v>156</v>
      </c>
    </row>
    <row r="3608" spans="1:15" x14ac:dyDescent="0.25">
      <c r="A3608" t="s">
        <v>3621</v>
      </c>
      <c r="B3608">
        <v>634</v>
      </c>
      <c r="C3608" s="1" t="str">
        <f>HYPERLINK("http://www.rosaceae.org/gb/gbrowse/malus_x_domestica/?name=MDP0000285555","MDP0000285555")</f>
        <v>MDP0000285555</v>
      </c>
      <c r="D3608">
        <v>43.75</v>
      </c>
      <c r="E3608">
        <v>192</v>
      </c>
      <c r="F3608">
        <v>108</v>
      </c>
      <c r="G3608">
        <v>15</v>
      </c>
      <c r="H3608">
        <v>210</v>
      </c>
      <c r="I3608">
        <v>388</v>
      </c>
      <c r="J3608">
        <v>1</v>
      </c>
      <c r="K3608">
        <v>6</v>
      </c>
      <c r="L3608">
        <v>195</v>
      </c>
      <c r="M3608">
        <v>1</v>
      </c>
      <c r="N3608">
        <v>4.2521300000000002E-34</v>
      </c>
      <c r="O3608">
        <v>362</v>
      </c>
    </row>
    <row r="3609" spans="1:15" x14ac:dyDescent="0.25">
      <c r="A3609" t="s">
        <v>3622</v>
      </c>
      <c r="B3609">
        <v>184</v>
      </c>
      <c r="C3609" s="1" t="str">
        <f>HYPERLINK("http://www.rosaceae.org/gb/gbrowse/malus_x_domestica/?name=MDP0000228407","MDP0000228407")</f>
        <v>MDP0000228407</v>
      </c>
      <c r="D3609">
        <v>63.74</v>
      </c>
      <c r="E3609">
        <v>171</v>
      </c>
      <c r="F3609">
        <v>62</v>
      </c>
      <c r="G3609">
        <v>1</v>
      </c>
      <c r="H3609">
        <v>14</v>
      </c>
      <c r="I3609">
        <v>183</v>
      </c>
      <c r="J3609">
        <v>1</v>
      </c>
      <c r="K3609">
        <v>175</v>
      </c>
      <c r="L3609">
        <v>345</v>
      </c>
      <c r="M3609">
        <v>1</v>
      </c>
      <c r="N3609">
        <v>7.4820099999999997E-59</v>
      </c>
      <c r="O3609">
        <v>569</v>
      </c>
    </row>
    <row r="3610" spans="1:15" x14ac:dyDescent="0.25">
      <c r="A3610" t="s">
        <v>3623</v>
      </c>
      <c r="B3610">
        <v>131</v>
      </c>
      <c r="C3610" s="1" t="str">
        <f>HYPERLINK("http://www.rosaceae.org/gb/gbrowse/malus_x_domestica/?name=MDP0000689889","MDP0000689889")</f>
        <v>MDP0000689889</v>
      </c>
      <c r="D3610">
        <v>47.32</v>
      </c>
      <c r="E3610">
        <v>112</v>
      </c>
      <c r="F3610">
        <v>59</v>
      </c>
      <c r="G3610">
        <v>26</v>
      </c>
      <c r="H3610">
        <v>1</v>
      </c>
      <c r="I3610">
        <v>111</v>
      </c>
      <c r="J3610">
        <v>1</v>
      </c>
      <c r="K3610">
        <v>1</v>
      </c>
      <c r="L3610">
        <v>87</v>
      </c>
      <c r="M3610">
        <v>1</v>
      </c>
      <c r="N3610">
        <v>3.75535E-19</v>
      </c>
      <c r="O3610">
        <v>223</v>
      </c>
    </row>
    <row r="3611" spans="1:15" x14ac:dyDescent="0.25">
      <c r="A3611" t="s">
        <v>3624</v>
      </c>
      <c r="B3611">
        <v>401</v>
      </c>
      <c r="C3611" s="1" t="str">
        <f>HYPERLINK("http://www.rosaceae.org/gb/gbrowse/malus_x_domestica/?name=MDP0000230536","MDP0000230536")</f>
        <v>MDP0000230536</v>
      </c>
      <c r="D3611">
        <v>82.41</v>
      </c>
      <c r="E3611">
        <v>398</v>
      </c>
      <c r="F3611">
        <v>70</v>
      </c>
      <c r="G3611">
        <v>1</v>
      </c>
      <c r="H3611">
        <v>1</v>
      </c>
      <c r="I3611">
        <v>398</v>
      </c>
      <c r="J3611">
        <v>1</v>
      </c>
      <c r="K3611">
        <v>1</v>
      </c>
      <c r="L3611">
        <v>397</v>
      </c>
      <c r="M3611">
        <v>1</v>
      </c>
      <c r="N3611">
        <v>0</v>
      </c>
      <c r="O3611">
        <v>1795</v>
      </c>
    </row>
    <row r="3612" spans="1:15" x14ac:dyDescent="0.25">
      <c r="A3612" t="s">
        <v>3625</v>
      </c>
      <c r="B3612">
        <v>752</v>
      </c>
      <c r="C3612" s="1" t="str">
        <f>HYPERLINK("http://www.rosaceae.org/gb/gbrowse/malus_x_domestica/?name=MDP0000219549","MDP0000219549")</f>
        <v>MDP0000219549</v>
      </c>
      <c r="D3612">
        <v>75.77</v>
      </c>
      <c r="E3612">
        <v>743</v>
      </c>
      <c r="F3612">
        <v>180</v>
      </c>
      <c r="G3612">
        <v>5</v>
      </c>
      <c r="H3612">
        <v>3</v>
      </c>
      <c r="I3612">
        <v>745</v>
      </c>
      <c r="J3612">
        <v>1</v>
      </c>
      <c r="K3612">
        <v>2</v>
      </c>
      <c r="L3612">
        <v>739</v>
      </c>
      <c r="M3612">
        <v>1</v>
      </c>
      <c r="N3612">
        <v>0</v>
      </c>
      <c r="O3612">
        <v>2931</v>
      </c>
    </row>
    <row r="3613" spans="1:15" x14ac:dyDescent="0.25">
      <c r="A3613" t="s">
        <v>3626</v>
      </c>
      <c r="B3613">
        <v>446</v>
      </c>
      <c r="C3613" s="1" t="str">
        <f>HYPERLINK("http://www.rosaceae.org/gb/gbrowse/malus_x_domestica/?name=MDP0000165224","MDP0000165224")</f>
        <v>MDP0000165224</v>
      </c>
      <c r="D3613">
        <v>78.959999999999994</v>
      </c>
      <c r="E3613">
        <v>366</v>
      </c>
      <c r="F3613">
        <v>77</v>
      </c>
      <c r="G3613">
        <v>1</v>
      </c>
      <c r="H3613">
        <v>43</v>
      </c>
      <c r="I3613">
        <v>407</v>
      </c>
      <c r="J3613">
        <v>1</v>
      </c>
      <c r="K3613">
        <v>10</v>
      </c>
      <c r="L3613">
        <v>375</v>
      </c>
      <c r="M3613">
        <v>1</v>
      </c>
      <c r="N3613">
        <v>3.8657400000000001E-166</v>
      </c>
      <c r="O3613">
        <v>1499</v>
      </c>
    </row>
    <row r="3614" spans="1:15" x14ac:dyDescent="0.25">
      <c r="A3614" t="s">
        <v>3627</v>
      </c>
      <c r="B3614">
        <v>818</v>
      </c>
      <c r="C3614" s="1" t="str">
        <f>HYPERLINK("http://www.rosaceae.org/gb/gbrowse/malus_x_domestica/?name=MDP0000273872","MDP0000273872")</f>
        <v>MDP0000273872</v>
      </c>
      <c r="D3614">
        <v>70.239999999999995</v>
      </c>
      <c r="E3614">
        <v>484</v>
      </c>
      <c r="F3614">
        <v>144</v>
      </c>
      <c r="G3614">
        <v>13</v>
      </c>
      <c r="H3614">
        <v>23</v>
      </c>
      <c r="I3614">
        <v>495</v>
      </c>
      <c r="J3614">
        <v>1</v>
      </c>
      <c r="K3614">
        <v>26</v>
      </c>
      <c r="L3614">
        <v>507</v>
      </c>
      <c r="M3614">
        <v>1</v>
      </c>
      <c r="N3614">
        <v>0</v>
      </c>
      <c r="O3614">
        <v>1713</v>
      </c>
    </row>
    <row r="3615" spans="1:15" x14ac:dyDescent="0.25">
      <c r="A3615" t="s">
        <v>3628</v>
      </c>
      <c r="B3615">
        <v>535</v>
      </c>
      <c r="C3615" s="1" t="str">
        <f>HYPERLINK("http://www.rosaceae.org/gb/gbrowse/malus_x_domestica/?name=MDP0000279502","MDP0000279502")</f>
        <v>MDP0000279502</v>
      </c>
      <c r="D3615">
        <v>78.430000000000007</v>
      </c>
      <c r="E3615">
        <v>538</v>
      </c>
      <c r="F3615">
        <v>116</v>
      </c>
      <c r="G3615">
        <v>9</v>
      </c>
      <c r="H3615">
        <v>1</v>
      </c>
      <c r="I3615">
        <v>535</v>
      </c>
      <c r="J3615">
        <v>1</v>
      </c>
      <c r="K3615">
        <v>41</v>
      </c>
      <c r="L3615">
        <v>572</v>
      </c>
      <c r="M3615">
        <v>1</v>
      </c>
      <c r="N3615">
        <v>0</v>
      </c>
      <c r="O3615">
        <v>2229</v>
      </c>
    </row>
    <row r="3616" spans="1:15" x14ac:dyDescent="0.25">
      <c r="A3616" t="s">
        <v>3629</v>
      </c>
      <c r="B3616">
        <v>270</v>
      </c>
      <c r="C3616" s="1" t="str">
        <f>HYPERLINK("http://www.rosaceae.org/gb/gbrowse/malus_x_domestica/?name=MDP0000197021","MDP0000197021")</f>
        <v>MDP0000197021</v>
      </c>
      <c r="D3616">
        <v>77.73</v>
      </c>
      <c r="E3616">
        <v>247</v>
      </c>
      <c r="F3616">
        <v>55</v>
      </c>
      <c r="G3616">
        <v>9</v>
      </c>
      <c r="H3616">
        <v>28</v>
      </c>
      <c r="I3616">
        <v>270</v>
      </c>
      <c r="J3616">
        <v>1</v>
      </c>
      <c r="K3616">
        <v>13</v>
      </c>
      <c r="L3616">
        <v>254</v>
      </c>
      <c r="M3616">
        <v>1</v>
      </c>
      <c r="N3616">
        <v>1.07146E-105</v>
      </c>
      <c r="O3616">
        <v>975</v>
      </c>
    </row>
    <row r="3617" spans="1:15" x14ac:dyDescent="0.25">
      <c r="A3617" t="s">
        <v>3630</v>
      </c>
      <c r="B3617">
        <v>1527</v>
      </c>
      <c r="C3617" s="1" t="str">
        <f>HYPERLINK("http://www.rosaceae.org/gb/gbrowse/malus_x_domestica/?name=MDP0000314984","MDP0000314984")</f>
        <v>MDP0000314984</v>
      </c>
      <c r="D3617">
        <v>41.9</v>
      </c>
      <c r="E3617">
        <v>389</v>
      </c>
      <c r="F3617">
        <v>226</v>
      </c>
      <c r="G3617">
        <v>25</v>
      </c>
      <c r="H3617">
        <v>131</v>
      </c>
      <c r="I3617">
        <v>501</v>
      </c>
      <c r="J3617">
        <v>1</v>
      </c>
      <c r="K3617">
        <v>630</v>
      </c>
      <c r="L3617">
        <v>1011</v>
      </c>
      <c r="M3617">
        <v>1</v>
      </c>
      <c r="N3617">
        <v>2.1471399999999998E-71</v>
      </c>
      <c r="O3617">
        <v>687</v>
      </c>
    </row>
    <row r="3618" spans="1:15" x14ac:dyDescent="0.25">
      <c r="A3618" t="s">
        <v>3631</v>
      </c>
      <c r="B3618">
        <v>3778</v>
      </c>
      <c r="C3618" s="1" t="str">
        <f>HYPERLINK("http://www.rosaceae.org/gb/gbrowse/malus_x_domestica/?name=MDP0000206447","MDP0000206447")</f>
        <v>MDP0000206447</v>
      </c>
      <c r="D3618">
        <v>76.599999999999994</v>
      </c>
      <c r="E3618">
        <v>3488</v>
      </c>
      <c r="F3618">
        <v>816</v>
      </c>
      <c r="G3618">
        <v>95</v>
      </c>
      <c r="H3618">
        <v>370</v>
      </c>
      <c r="I3618">
        <v>3778</v>
      </c>
      <c r="J3618">
        <v>1</v>
      </c>
      <c r="K3618">
        <v>213</v>
      </c>
      <c r="L3618">
        <v>3684</v>
      </c>
      <c r="M3618">
        <v>1</v>
      </c>
      <c r="N3618">
        <v>0</v>
      </c>
      <c r="O3618">
        <v>13554</v>
      </c>
    </row>
    <row r="3619" spans="1:15" x14ac:dyDescent="0.25">
      <c r="A3619" t="s">
        <v>3632</v>
      </c>
      <c r="B3619">
        <v>170</v>
      </c>
      <c r="C3619" s="1" t="str">
        <f>HYPERLINK("http://www.rosaceae.org/gb/gbrowse/malus_x_domestica/?name=MDP0000232662","MDP0000232662")</f>
        <v>MDP0000232662</v>
      </c>
      <c r="D3619">
        <v>73.91</v>
      </c>
      <c r="E3619">
        <v>92</v>
      </c>
      <c r="F3619">
        <v>24</v>
      </c>
      <c r="G3619">
        <v>1</v>
      </c>
      <c r="H3619">
        <v>8</v>
      </c>
      <c r="I3619">
        <v>99</v>
      </c>
      <c r="J3619">
        <v>1</v>
      </c>
      <c r="K3619">
        <v>32</v>
      </c>
      <c r="L3619">
        <v>122</v>
      </c>
      <c r="M3619">
        <v>1</v>
      </c>
      <c r="N3619">
        <v>1.6920700000000001E-36</v>
      </c>
      <c r="O3619">
        <v>375</v>
      </c>
    </row>
    <row r="3620" spans="1:15" x14ac:dyDescent="0.25">
      <c r="A3620" t="s">
        <v>3633</v>
      </c>
      <c r="B3620">
        <v>636</v>
      </c>
      <c r="C3620" s="1" t="str">
        <f>HYPERLINK("http://www.rosaceae.org/gb/gbrowse/malus_x_domestica/?name=MDP0000152014","MDP0000152014")</f>
        <v>MDP0000152014</v>
      </c>
      <c r="D3620">
        <v>83.45</v>
      </c>
      <c r="E3620">
        <v>399</v>
      </c>
      <c r="F3620">
        <v>66</v>
      </c>
      <c r="G3620">
        <v>29</v>
      </c>
      <c r="H3620">
        <v>27</v>
      </c>
      <c r="I3620">
        <v>420</v>
      </c>
      <c r="J3620">
        <v>1</v>
      </c>
      <c r="K3620">
        <v>136</v>
      </c>
      <c r="L3620">
        <v>510</v>
      </c>
      <c r="M3620">
        <v>1</v>
      </c>
      <c r="N3620">
        <v>0</v>
      </c>
      <c r="O3620">
        <v>1723</v>
      </c>
    </row>
    <row r="3621" spans="1:15" x14ac:dyDescent="0.25">
      <c r="A3621" t="s">
        <v>3634</v>
      </c>
      <c r="B3621">
        <v>513</v>
      </c>
      <c r="C3621" s="1" t="str">
        <f>HYPERLINK("http://www.rosaceae.org/gb/gbrowse/malus_x_domestica/?name=MDP0000500222","MDP0000500222")</f>
        <v>MDP0000500222</v>
      </c>
      <c r="D3621">
        <v>31.36</v>
      </c>
      <c r="E3621">
        <v>338</v>
      </c>
      <c r="F3621">
        <v>232</v>
      </c>
      <c r="G3621">
        <v>41</v>
      </c>
      <c r="H3621">
        <v>102</v>
      </c>
      <c r="I3621">
        <v>421</v>
      </c>
      <c r="J3621">
        <v>1</v>
      </c>
      <c r="K3621">
        <v>74</v>
      </c>
      <c r="L3621">
        <v>388</v>
      </c>
      <c r="M3621">
        <v>1</v>
      </c>
      <c r="N3621">
        <v>9.1698900000000002E-32</v>
      </c>
      <c r="O3621">
        <v>341</v>
      </c>
    </row>
    <row r="3622" spans="1:15" x14ac:dyDescent="0.25">
      <c r="A3622" t="s">
        <v>3635</v>
      </c>
      <c r="B3622">
        <v>67</v>
      </c>
      <c r="C3622" s="1" t="str">
        <f>HYPERLINK("http://www.rosaceae.org/gb/gbrowse/malus_x_domestica/?name=MDP0000293674","MDP0000293674")</f>
        <v>MDP0000293674</v>
      </c>
      <c r="D3622">
        <v>50</v>
      </c>
      <c r="E3622">
        <v>90</v>
      </c>
      <c r="F3622">
        <v>45</v>
      </c>
      <c r="G3622">
        <v>25</v>
      </c>
      <c r="H3622">
        <v>1</v>
      </c>
      <c r="I3622">
        <v>65</v>
      </c>
      <c r="J3622">
        <v>1</v>
      </c>
      <c r="K3622">
        <v>322</v>
      </c>
      <c r="L3622">
        <v>411</v>
      </c>
      <c r="M3622">
        <v>1</v>
      </c>
      <c r="N3622">
        <v>7.3882400000000004E-17</v>
      </c>
      <c r="O3622">
        <v>203</v>
      </c>
    </row>
    <row r="3623" spans="1:15" x14ac:dyDescent="0.25">
      <c r="A3623" t="s">
        <v>3636</v>
      </c>
      <c r="B3623">
        <v>665</v>
      </c>
      <c r="C3623" s="1" t="str">
        <f>HYPERLINK("http://www.rosaceae.org/gb/gbrowse/malus_x_domestica/?name=MDP0000926531","MDP0000926531")</f>
        <v>MDP0000926531</v>
      </c>
      <c r="D3623">
        <v>68.97</v>
      </c>
      <c r="E3623">
        <v>332</v>
      </c>
      <c r="F3623">
        <v>103</v>
      </c>
      <c r="G3623">
        <v>40</v>
      </c>
      <c r="H3623">
        <v>353</v>
      </c>
      <c r="I3623">
        <v>660</v>
      </c>
      <c r="J3623">
        <v>1</v>
      </c>
      <c r="K3623">
        <v>1</v>
      </c>
      <c r="L3623">
        <v>316</v>
      </c>
      <c r="M3623">
        <v>1</v>
      </c>
      <c r="N3623">
        <v>1.0631500000000001E-121</v>
      </c>
      <c r="O3623">
        <v>1117</v>
      </c>
    </row>
    <row r="3624" spans="1:15" x14ac:dyDescent="0.25">
      <c r="A3624" t="s">
        <v>3637</v>
      </c>
      <c r="B3624">
        <v>131</v>
      </c>
      <c r="C3624" s="1" t="str">
        <f>HYPERLINK("http://www.rosaceae.org/gb/gbrowse/malus_x_domestica/?name=MDP0000563659","MDP0000563659")</f>
        <v>MDP0000563659</v>
      </c>
      <c r="D3624">
        <v>50.34</v>
      </c>
      <c r="E3624">
        <v>145</v>
      </c>
      <c r="F3624">
        <v>72</v>
      </c>
      <c r="G3624">
        <v>14</v>
      </c>
      <c r="H3624">
        <v>1</v>
      </c>
      <c r="I3624">
        <v>131</v>
      </c>
      <c r="J3624">
        <v>1</v>
      </c>
      <c r="K3624">
        <v>42</v>
      </c>
      <c r="L3624">
        <v>186</v>
      </c>
      <c r="M3624">
        <v>1</v>
      </c>
      <c r="N3624">
        <v>2.7713299999999998E-31</v>
      </c>
      <c r="O3624">
        <v>328</v>
      </c>
    </row>
    <row r="3625" spans="1:15" x14ac:dyDescent="0.25">
      <c r="A3625" t="s">
        <v>3638</v>
      </c>
      <c r="B3625">
        <v>219</v>
      </c>
      <c r="C3625" s="1" t="str">
        <f>HYPERLINK("http://www.rosaceae.org/gb/gbrowse/malus_x_domestica/?name=MDP0000159365","MDP0000159365")</f>
        <v>MDP0000159365</v>
      </c>
      <c r="D3625">
        <v>81.73</v>
      </c>
      <c r="E3625">
        <v>219</v>
      </c>
      <c r="F3625">
        <v>40</v>
      </c>
      <c r="G3625">
        <v>0</v>
      </c>
      <c r="H3625">
        <v>1</v>
      </c>
      <c r="I3625">
        <v>219</v>
      </c>
      <c r="J3625">
        <v>1</v>
      </c>
      <c r="K3625">
        <v>65</v>
      </c>
      <c r="L3625">
        <v>283</v>
      </c>
      <c r="M3625">
        <v>1</v>
      </c>
      <c r="N3625">
        <v>2.36638E-106</v>
      </c>
      <c r="O3625">
        <v>979</v>
      </c>
    </row>
    <row r="3626" spans="1:15" x14ac:dyDescent="0.25">
      <c r="A3626" t="s">
        <v>3639</v>
      </c>
      <c r="B3626">
        <v>942</v>
      </c>
      <c r="C3626" s="1" t="str">
        <f>HYPERLINK("http://www.rosaceae.org/gb/gbrowse/malus_x_domestica/?name=MDP0000547261","MDP0000547261")</f>
        <v>MDP0000547261</v>
      </c>
      <c r="D3626">
        <v>58.98</v>
      </c>
      <c r="E3626">
        <v>573</v>
      </c>
      <c r="F3626">
        <v>235</v>
      </c>
      <c r="G3626">
        <v>70</v>
      </c>
      <c r="H3626">
        <v>371</v>
      </c>
      <c r="I3626">
        <v>941</v>
      </c>
      <c r="J3626">
        <v>1</v>
      </c>
      <c r="K3626">
        <v>439</v>
      </c>
      <c r="L3626">
        <v>943</v>
      </c>
      <c r="M3626">
        <v>1</v>
      </c>
      <c r="N3626">
        <v>1.39621E-180</v>
      </c>
      <c r="O3626">
        <v>1627</v>
      </c>
    </row>
    <row r="3627" spans="1:15" x14ac:dyDescent="0.25">
      <c r="A3627" t="s">
        <v>3640</v>
      </c>
      <c r="B3627">
        <v>270</v>
      </c>
      <c r="C3627" s="1" t="str">
        <f>HYPERLINK("http://www.rosaceae.org/gb/gbrowse/malus_x_domestica/?name=MDP0000171612","MDP0000171612")</f>
        <v>MDP0000171612</v>
      </c>
      <c r="D3627">
        <v>50.21</v>
      </c>
      <c r="E3627">
        <v>229</v>
      </c>
      <c r="F3627">
        <v>114</v>
      </c>
      <c r="G3627">
        <v>4</v>
      </c>
      <c r="H3627">
        <v>6</v>
      </c>
      <c r="I3627">
        <v>231</v>
      </c>
      <c r="J3627">
        <v>1</v>
      </c>
      <c r="K3627">
        <v>31</v>
      </c>
      <c r="L3627">
        <v>258</v>
      </c>
      <c r="M3627">
        <v>1</v>
      </c>
      <c r="N3627">
        <v>9.8918999999999994E-65</v>
      </c>
      <c r="O3627">
        <v>622</v>
      </c>
    </row>
    <row r="3628" spans="1:15" x14ac:dyDescent="0.25">
      <c r="A3628" t="s">
        <v>3641</v>
      </c>
      <c r="B3628">
        <v>312</v>
      </c>
      <c r="C3628" s="1" t="str">
        <f>HYPERLINK("http://www.rosaceae.org/gb/gbrowse/malus_x_domestica/?name=MDP0000393956","MDP0000393956")</f>
        <v>MDP0000393956</v>
      </c>
      <c r="D3628">
        <v>42.01</v>
      </c>
      <c r="E3628">
        <v>119</v>
      </c>
      <c r="F3628">
        <v>69</v>
      </c>
      <c r="G3628">
        <v>1</v>
      </c>
      <c r="H3628">
        <v>178</v>
      </c>
      <c r="I3628">
        <v>296</v>
      </c>
      <c r="J3628">
        <v>1</v>
      </c>
      <c r="K3628">
        <v>55</v>
      </c>
      <c r="L3628">
        <v>172</v>
      </c>
      <c r="M3628">
        <v>1</v>
      </c>
      <c r="N3628">
        <v>2.2853399999999999E-17</v>
      </c>
      <c r="O3628">
        <v>214</v>
      </c>
    </row>
    <row r="3629" spans="1:15" x14ac:dyDescent="0.25">
      <c r="A3629" t="s">
        <v>3642</v>
      </c>
      <c r="B3629">
        <v>323</v>
      </c>
      <c r="C3629" s="1" t="str">
        <f>HYPERLINK("http://www.rosaceae.org/gb/gbrowse/malus_x_domestica/?name=MDP0000202119","MDP0000202119")</f>
        <v>MDP0000202119</v>
      </c>
      <c r="D3629">
        <v>76.66</v>
      </c>
      <c r="E3629">
        <v>330</v>
      </c>
      <c r="F3629">
        <v>77</v>
      </c>
      <c r="G3629">
        <v>12</v>
      </c>
      <c r="H3629">
        <v>1</v>
      </c>
      <c r="I3629">
        <v>319</v>
      </c>
      <c r="J3629">
        <v>1</v>
      </c>
      <c r="K3629">
        <v>1</v>
      </c>
      <c r="L3629">
        <v>329</v>
      </c>
      <c r="M3629">
        <v>1</v>
      </c>
      <c r="N3629">
        <v>1.41775E-143</v>
      </c>
      <c r="O3629">
        <v>1303</v>
      </c>
    </row>
    <row r="3630" spans="1:15" x14ac:dyDescent="0.25">
      <c r="A3630" t="s">
        <v>3643</v>
      </c>
      <c r="B3630">
        <v>466</v>
      </c>
      <c r="C3630" s="1" t="str">
        <f>HYPERLINK("http://www.rosaceae.org/gb/gbrowse/malus_x_domestica/?name=MDP0000238469","MDP0000238469")</f>
        <v>MDP0000238469</v>
      </c>
      <c r="D3630">
        <v>84.48</v>
      </c>
      <c r="E3630">
        <v>290</v>
      </c>
      <c r="F3630">
        <v>45</v>
      </c>
      <c r="G3630">
        <v>12</v>
      </c>
      <c r="H3630">
        <v>1</v>
      </c>
      <c r="I3630">
        <v>278</v>
      </c>
      <c r="J3630">
        <v>1</v>
      </c>
      <c r="K3630">
        <v>1</v>
      </c>
      <c r="L3630">
        <v>290</v>
      </c>
      <c r="M3630">
        <v>1</v>
      </c>
      <c r="N3630">
        <v>8.0453399999999995E-138</v>
      </c>
      <c r="O3630">
        <v>1255</v>
      </c>
    </row>
    <row r="3631" spans="1:15" x14ac:dyDescent="0.25">
      <c r="A3631" t="s">
        <v>3644</v>
      </c>
      <c r="B3631">
        <v>1242</v>
      </c>
      <c r="C3631" s="1" t="str">
        <f>HYPERLINK("http://www.rosaceae.org/gb/gbrowse/malus_x_domestica/?name=MDP0000278904","MDP0000278904")</f>
        <v>MDP0000278904</v>
      </c>
      <c r="D3631">
        <v>81.03</v>
      </c>
      <c r="E3631">
        <v>638</v>
      </c>
      <c r="F3631">
        <v>121</v>
      </c>
      <c r="G3631">
        <v>2</v>
      </c>
      <c r="H3631">
        <v>607</v>
      </c>
      <c r="I3631">
        <v>1242</v>
      </c>
      <c r="J3631">
        <v>1</v>
      </c>
      <c r="K3631">
        <v>23</v>
      </c>
      <c r="L3631">
        <v>660</v>
      </c>
      <c r="M3631">
        <v>1</v>
      </c>
      <c r="N3631">
        <v>0</v>
      </c>
      <c r="O3631">
        <v>2857</v>
      </c>
    </row>
    <row r="3632" spans="1:15" x14ac:dyDescent="0.25">
      <c r="A3632" t="s">
        <v>3645</v>
      </c>
      <c r="B3632">
        <v>251</v>
      </c>
      <c r="C3632" s="1" t="str">
        <f>HYPERLINK("http://www.rosaceae.org/gb/gbrowse/malus_x_domestica/?name=MDP0000487037","MDP0000487037")</f>
        <v>MDP0000487037</v>
      </c>
      <c r="D3632">
        <v>47.34</v>
      </c>
      <c r="E3632">
        <v>226</v>
      </c>
      <c r="F3632">
        <v>119</v>
      </c>
      <c r="G3632">
        <v>18</v>
      </c>
      <c r="H3632">
        <v>17</v>
      </c>
      <c r="I3632">
        <v>242</v>
      </c>
      <c r="J3632">
        <v>1</v>
      </c>
      <c r="K3632">
        <v>46</v>
      </c>
      <c r="L3632">
        <v>253</v>
      </c>
      <c r="M3632">
        <v>1</v>
      </c>
      <c r="N3632">
        <v>6.3639400000000005E-57</v>
      </c>
      <c r="O3632">
        <v>554</v>
      </c>
    </row>
    <row r="3633" spans="1:15" x14ac:dyDescent="0.25">
      <c r="A3633" t="s">
        <v>3646</v>
      </c>
      <c r="B3633">
        <v>377</v>
      </c>
      <c r="C3633" s="1" t="str">
        <f>HYPERLINK("http://www.rosaceae.org/gb/gbrowse/malus_x_domestica/?name=MDP0000151904","MDP0000151904")</f>
        <v>MDP0000151904</v>
      </c>
      <c r="D3633">
        <v>68.64</v>
      </c>
      <c r="E3633">
        <v>185</v>
      </c>
      <c r="F3633">
        <v>58</v>
      </c>
      <c r="G3633">
        <v>31</v>
      </c>
      <c r="H3633">
        <v>77</v>
      </c>
      <c r="I3633">
        <v>230</v>
      </c>
      <c r="J3633">
        <v>1</v>
      </c>
      <c r="K3633">
        <v>207</v>
      </c>
      <c r="L3633">
        <v>391</v>
      </c>
      <c r="M3633">
        <v>1</v>
      </c>
      <c r="N3633">
        <v>4.0659900000000003E-64</v>
      </c>
      <c r="O3633">
        <v>618</v>
      </c>
    </row>
    <row r="3634" spans="1:15" x14ac:dyDescent="0.25">
      <c r="A3634" t="s">
        <v>3647</v>
      </c>
      <c r="B3634">
        <v>573</v>
      </c>
      <c r="C3634" s="1" t="str">
        <f>HYPERLINK("http://www.rosaceae.org/gb/gbrowse/malus_x_domestica/?name=MDP0000264806","MDP0000264806")</f>
        <v>MDP0000264806</v>
      </c>
      <c r="D3634">
        <v>74.41</v>
      </c>
      <c r="E3634">
        <v>555</v>
      </c>
      <c r="F3634">
        <v>142</v>
      </c>
      <c r="G3634">
        <v>10</v>
      </c>
      <c r="H3634">
        <v>1</v>
      </c>
      <c r="I3634">
        <v>551</v>
      </c>
      <c r="J3634">
        <v>1</v>
      </c>
      <c r="K3634">
        <v>100</v>
      </c>
      <c r="L3634">
        <v>648</v>
      </c>
      <c r="M3634">
        <v>1</v>
      </c>
      <c r="N3634">
        <v>0</v>
      </c>
      <c r="O3634">
        <v>2086</v>
      </c>
    </row>
    <row r="3635" spans="1:15" x14ac:dyDescent="0.25">
      <c r="A3635" t="s">
        <v>3648</v>
      </c>
      <c r="B3635">
        <v>398</v>
      </c>
      <c r="C3635" s="1" t="str">
        <f>HYPERLINK("http://www.rosaceae.org/gb/gbrowse/malus_x_domestica/?name=MDP0000247921","MDP0000247921")</f>
        <v>MDP0000247921</v>
      </c>
      <c r="D3635">
        <v>32.08</v>
      </c>
      <c r="E3635">
        <v>293</v>
      </c>
      <c r="F3635">
        <v>199</v>
      </c>
      <c r="G3635">
        <v>54</v>
      </c>
      <c r="H3635">
        <v>3</v>
      </c>
      <c r="I3635">
        <v>241</v>
      </c>
      <c r="J3635">
        <v>1</v>
      </c>
      <c r="K3635">
        <v>639</v>
      </c>
      <c r="L3635">
        <v>931</v>
      </c>
      <c r="M3635">
        <v>1</v>
      </c>
      <c r="N3635">
        <v>1.2319200000000001E-40</v>
      </c>
      <c r="O3635">
        <v>416</v>
      </c>
    </row>
    <row r="3636" spans="1:15" x14ac:dyDescent="0.25">
      <c r="A3636" t="s">
        <v>3649</v>
      </c>
      <c r="B3636">
        <v>906</v>
      </c>
      <c r="C3636" s="1" t="str">
        <f>HYPERLINK("http://www.rosaceae.org/gb/gbrowse/malus_x_domestica/?name=MDP0000147908","MDP0000147908")</f>
        <v>MDP0000147908</v>
      </c>
      <c r="D3636">
        <v>67.73</v>
      </c>
      <c r="E3636">
        <v>657</v>
      </c>
      <c r="F3636">
        <v>212</v>
      </c>
      <c r="G3636">
        <v>49</v>
      </c>
      <c r="H3636">
        <v>36</v>
      </c>
      <c r="I3636">
        <v>661</v>
      </c>
      <c r="J3636">
        <v>1</v>
      </c>
      <c r="K3636">
        <v>30</v>
      </c>
      <c r="L3636">
        <v>668</v>
      </c>
      <c r="M3636">
        <v>1</v>
      </c>
      <c r="N3636">
        <v>0</v>
      </c>
      <c r="O3636">
        <v>2322</v>
      </c>
    </row>
    <row r="3637" spans="1:15" x14ac:dyDescent="0.25">
      <c r="A3637" t="s">
        <v>3650</v>
      </c>
      <c r="B3637">
        <v>203</v>
      </c>
      <c r="C3637" s="1" t="str">
        <f>HYPERLINK("http://www.rosaceae.org/gb/gbrowse/malus_x_domestica/?name=MDP0000933400","MDP0000933400")</f>
        <v>MDP0000933400</v>
      </c>
      <c r="D3637">
        <v>73.790000000000006</v>
      </c>
      <c r="E3637">
        <v>145</v>
      </c>
      <c r="F3637">
        <v>38</v>
      </c>
      <c r="G3637">
        <v>2</v>
      </c>
      <c r="H3637">
        <v>1</v>
      </c>
      <c r="I3637">
        <v>143</v>
      </c>
      <c r="J3637">
        <v>1</v>
      </c>
      <c r="K3637">
        <v>1</v>
      </c>
      <c r="L3637">
        <v>145</v>
      </c>
      <c r="M3637">
        <v>1</v>
      </c>
      <c r="N3637">
        <v>4.89025E-61</v>
      </c>
      <c r="O3637">
        <v>588</v>
      </c>
    </row>
    <row r="3638" spans="1:15" x14ac:dyDescent="0.25">
      <c r="A3638" t="s">
        <v>3651</v>
      </c>
      <c r="B3638">
        <v>569</v>
      </c>
      <c r="C3638" s="1" t="str">
        <f>HYPERLINK("http://www.rosaceae.org/gb/gbrowse/malus_x_domestica/?name=MDP0000193812","MDP0000193812")</f>
        <v>MDP0000193812</v>
      </c>
      <c r="D3638">
        <v>59.32</v>
      </c>
      <c r="E3638">
        <v>413</v>
      </c>
      <c r="F3638">
        <v>168</v>
      </c>
      <c r="G3638">
        <v>30</v>
      </c>
      <c r="H3638">
        <v>1</v>
      </c>
      <c r="I3638">
        <v>399</v>
      </c>
      <c r="J3638">
        <v>1</v>
      </c>
      <c r="K3638">
        <v>1</v>
      </c>
      <c r="L3638">
        <v>397</v>
      </c>
      <c r="M3638">
        <v>1</v>
      </c>
      <c r="N3638">
        <v>9.7399999999999994E-135</v>
      </c>
      <c r="O3638">
        <v>1229</v>
      </c>
    </row>
    <row r="3639" spans="1:15" x14ac:dyDescent="0.25">
      <c r="A3639" t="s">
        <v>3652</v>
      </c>
      <c r="B3639">
        <v>770</v>
      </c>
      <c r="C3639" s="1" t="str">
        <f>HYPERLINK("http://www.rosaceae.org/gb/gbrowse/malus_x_domestica/?name=MDP0000555484","MDP0000555484")</f>
        <v>MDP0000555484</v>
      </c>
      <c r="D3639">
        <v>57.53</v>
      </c>
      <c r="E3639">
        <v>405</v>
      </c>
      <c r="F3639">
        <v>172</v>
      </c>
      <c r="G3639">
        <v>41</v>
      </c>
      <c r="H3639">
        <v>22</v>
      </c>
      <c r="I3639">
        <v>417</v>
      </c>
      <c r="J3639">
        <v>1</v>
      </c>
      <c r="K3639">
        <v>24</v>
      </c>
      <c r="L3639">
        <v>396</v>
      </c>
      <c r="M3639">
        <v>1</v>
      </c>
      <c r="N3639">
        <v>5.5245799999999995E-110</v>
      </c>
      <c r="O3639">
        <v>1017</v>
      </c>
    </row>
    <row r="3640" spans="1:15" x14ac:dyDescent="0.25">
      <c r="A3640" t="s">
        <v>3653</v>
      </c>
      <c r="B3640">
        <v>250</v>
      </c>
      <c r="C3640" s="1" t="str">
        <f>HYPERLINK("http://www.rosaceae.org/gb/gbrowse/malus_x_domestica/?name=MDP0000309061","MDP0000309061")</f>
        <v>MDP0000309061</v>
      </c>
      <c r="D3640">
        <v>56.96</v>
      </c>
      <c r="E3640">
        <v>165</v>
      </c>
      <c r="F3640">
        <v>71</v>
      </c>
      <c r="G3640">
        <v>26</v>
      </c>
      <c r="H3640">
        <v>49</v>
      </c>
      <c r="I3640">
        <v>187</v>
      </c>
      <c r="J3640">
        <v>1</v>
      </c>
      <c r="K3640">
        <v>477</v>
      </c>
      <c r="L3640">
        <v>641</v>
      </c>
      <c r="M3640">
        <v>1</v>
      </c>
      <c r="N3640">
        <v>1.15741E-42</v>
      </c>
      <c r="O3640">
        <v>431</v>
      </c>
    </row>
    <row r="3641" spans="1:15" x14ac:dyDescent="0.25">
      <c r="A3641" t="s">
        <v>3654</v>
      </c>
      <c r="B3641">
        <v>653</v>
      </c>
      <c r="C3641" s="1" t="str">
        <f>HYPERLINK("http://www.rosaceae.org/gb/gbrowse/malus_x_domestica/?name=MDP0000877557","MDP0000877557")</f>
        <v>MDP0000877557</v>
      </c>
      <c r="D3641">
        <v>64.760000000000005</v>
      </c>
      <c r="E3641">
        <v>105</v>
      </c>
      <c r="F3641">
        <v>37</v>
      </c>
      <c r="G3641">
        <v>22</v>
      </c>
      <c r="H3641">
        <v>545</v>
      </c>
      <c r="I3641">
        <v>629</v>
      </c>
      <c r="J3641">
        <v>1</v>
      </c>
      <c r="K3641">
        <v>583</v>
      </c>
      <c r="L3641">
        <v>685</v>
      </c>
      <c r="M3641">
        <v>1</v>
      </c>
      <c r="N3641">
        <v>1.6382200000000001E-22</v>
      </c>
      <c r="O3641">
        <v>262</v>
      </c>
    </row>
    <row r="3642" spans="1:15" x14ac:dyDescent="0.25">
      <c r="A3642" t="s">
        <v>3655</v>
      </c>
      <c r="B3642">
        <v>496</v>
      </c>
      <c r="C3642" s="1" t="str">
        <f>HYPERLINK("http://www.rosaceae.org/gb/gbrowse/malus_x_domestica/?name=MDP0000128604","MDP0000128604")</f>
        <v>MDP0000128604</v>
      </c>
      <c r="D3642">
        <v>67.12</v>
      </c>
      <c r="E3642">
        <v>73</v>
      </c>
      <c r="F3642">
        <v>24</v>
      </c>
      <c r="G3642">
        <v>15</v>
      </c>
      <c r="H3642">
        <v>225</v>
      </c>
      <c r="I3642">
        <v>297</v>
      </c>
      <c r="J3642">
        <v>1</v>
      </c>
      <c r="K3642">
        <v>28</v>
      </c>
      <c r="L3642">
        <v>85</v>
      </c>
      <c r="M3642">
        <v>1</v>
      </c>
      <c r="N3642">
        <v>1.7468899999999999E-20</v>
      </c>
      <c r="O3642">
        <v>243</v>
      </c>
    </row>
    <row r="3643" spans="1:15" x14ac:dyDescent="0.25">
      <c r="A3643" t="s">
        <v>3656</v>
      </c>
      <c r="B3643">
        <v>357</v>
      </c>
      <c r="C3643" s="1" t="str">
        <f>HYPERLINK("http://www.rosaceae.org/gb/gbrowse/malus_x_domestica/?name=MDP0000902760","MDP0000902760")</f>
        <v>MDP0000902760</v>
      </c>
      <c r="D3643">
        <v>28.71</v>
      </c>
      <c r="E3643">
        <v>390</v>
      </c>
      <c r="F3643">
        <v>278</v>
      </c>
      <c r="G3643">
        <v>43</v>
      </c>
      <c r="H3643">
        <v>5</v>
      </c>
      <c r="I3643">
        <v>353</v>
      </c>
      <c r="J3643">
        <v>1</v>
      </c>
      <c r="K3643">
        <v>86</v>
      </c>
      <c r="L3643">
        <v>473</v>
      </c>
      <c r="M3643">
        <v>1</v>
      </c>
      <c r="N3643">
        <v>1.7671799999999999E-27</v>
      </c>
      <c r="O3643">
        <v>302</v>
      </c>
    </row>
    <row r="3644" spans="1:15" x14ac:dyDescent="0.25">
      <c r="A3644" t="s">
        <v>3657</v>
      </c>
      <c r="B3644">
        <v>474</v>
      </c>
      <c r="C3644" s="1" t="str">
        <f>HYPERLINK("http://www.rosaceae.org/gb/gbrowse/malus_x_domestica/?name=MDP0000279862","MDP0000279862")</f>
        <v>MDP0000279862</v>
      </c>
      <c r="D3644">
        <v>63.41</v>
      </c>
      <c r="E3644">
        <v>410</v>
      </c>
      <c r="F3644">
        <v>150</v>
      </c>
      <c r="G3644">
        <v>5</v>
      </c>
      <c r="H3644">
        <v>22</v>
      </c>
      <c r="I3644">
        <v>427</v>
      </c>
      <c r="J3644">
        <v>1</v>
      </c>
      <c r="K3644">
        <v>29</v>
      </c>
      <c r="L3644">
        <v>437</v>
      </c>
      <c r="M3644">
        <v>1</v>
      </c>
      <c r="N3644">
        <v>2.6154300000000001E-147</v>
      </c>
      <c r="O3644">
        <v>1337</v>
      </c>
    </row>
    <row r="3645" spans="1:15" x14ac:dyDescent="0.25">
      <c r="A3645" t="s">
        <v>3658</v>
      </c>
      <c r="B3645">
        <v>275</v>
      </c>
      <c r="C3645" s="1" t="str">
        <f>HYPERLINK("http://www.rosaceae.org/gb/gbrowse/malus_x_domestica/?name=MDP0000709727","MDP0000709727")</f>
        <v>MDP0000709727</v>
      </c>
      <c r="D3645">
        <v>73.09</v>
      </c>
      <c r="E3645">
        <v>275</v>
      </c>
      <c r="F3645">
        <v>74</v>
      </c>
      <c r="G3645">
        <v>0</v>
      </c>
      <c r="H3645">
        <v>1</v>
      </c>
      <c r="I3645">
        <v>275</v>
      </c>
      <c r="J3645">
        <v>1</v>
      </c>
      <c r="K3645">
        <v>1</v>
      </c>
      <c r="L3645">
        <v>275</v>
      </c>
      <c r="M3645">
        <v>1</v>
      </c>
      <c r="N3645">
        <v>1.81815E-109</v>
      </c>
      <c r="O3645">
        <v>1008</v>
      </c>
    </row>
    <row r="3646" spans="1:15" x14ac:dyDescent="0.25">
      <c r="A3646" t="s">
        <v>3659</v>
      </c>
      <c r="B3646">
        <v>317</v>
      </c>
      <c r="C3646" s="1" t="str">
        <f>HYPERLINK("http://www.rosaceae.org/gb/gbrowse/malus_x_domestica/?name=MDP0000527695","MDP0000527695")</f>
        <v>MDP0000527695</v>
      </c>
      <c r="D3646">
        <v>92.64</v>
      </c>
      <c r="E3646">
        <v>299</v>
      </c>
      <c r="F3646">
        <v>22</v>
      </c>
      <c r="G3646">
        <v>0</v>
      </c>
      <c r="H3646">
        <v>6</v>
      </c>
      <c r="I3646">
        <v>304</v>
      </c>
      <c r="J3646">
        <v>1</v>
      </c>
      <c r="K3646">
        <v>11</v>
      </c>
      <c r="L3646">
        <v>309</v>
      </c>
      <c r="M3646">
        <v>1</v>
      </c>
      <c r="N3646">
        <v>6.0453400000000004E-168</v>
      </c>
      <c r="O3646">
        <v>1513</v>
      </c>
    </row>
    <row r="3647" spans="1:15" x14ac:dyDescent="0.25">
      <c r="A3647" t="s">
        <v>3660</v>
      </c>
      <c r="B3647">
        <v>185</v>
      </c>
      <c r="C3647" s="1" t="str">
        <f>HYPERLINK("http://www.rosaceae.org/gb/gbrowse/malus_x_domestica/?name=MDP0000228073","MDP0000228073")</f>
        <v>MDP0000228073</v>
      </c>
      <c r="D3647">
        <v>68.489999999999995</v>
      </c>
      <c r="E3647">
        <v>146</v>
      </c>
      <c r="F3647">
        <v>46</v>
      </c>
      <c r="G3647">
        <v>2</v>
      </c>
      <c r="H3647">
        <v>40</v>
      </c>
      <c r="I3647">
        <v>183</v>
      </c>
      <c r="J3647">
        <v>1</v>
      </c>
      <c r="K3647">
        <v>1</v>
      </c>
      <c r="L3647">
        <v>146</v>
      </c>
      <c r="M3647">
        <v>1</v>
      </c>
      <c r="N3647">
        <v>1.4413100000000001E-52</v>
      </c>
      <c r="O3647">
        <v>514</v>
      </c>
    </row>
    <row r="3648" spans="1:15" x14ac:dyDescent="0.25">
      <c r="A3648" t="s">
        <v>3661</v>
      </c>
      <c r="B3648">
        <v>772</v>
      </c>
      <c r="C3648" s="1" t="str">
        <f>HYPERLINK("http://www.rosaceae.org/gb/gbrowse/malus_x_domestica/?name=MDP0000317594","MDP0000317594")</f>
        <v>MDP0000317594</v>
      </c>
      <c r="D3648">
        <v>76.599999999999994</v>
      </c>
      <c r="E3648">
        <v>748</v>
      </c>
      <c r="F3648">
        <v>175</v>
      </c>
      <c r="G3648">
        <v>15</v>
      </c>
      <c r="H3648">
        <v>34</v>
      </c>
      <c r="I3648">
        <v>772</v>
      </c>
      <c r="J3648">
        <v>1</v>
      </c>
      <c r="K3648">
        <v>30</v>
      </c>
      <c r="L3648">
        <v>771</v>
      </c>
      <c r="M3648">
        <v>1</v>
      </c>
      <c r="N3648">
        <v>0</v>
      </c>
      <c r="O3648">
        <v>3016</v>
      </c>
    </row>
    <row r="3649" spans="1:15" x14ac:dyDescent="0.25">
      <c r="A3649" t="s">
        <v>3662</v>
      </c>
      <c r="B3649">
        <v>246</v>
      </c>
      <c r="C3649" s="1" t="str">
        <f>HYPERLINK("http://www.rosaceae.org/gb/gbrowse/malus_x_domestica/?name=MDP0000220190","MDP0000220190")</f>
        <v>MDP0000220190</v>
      </c>
      <c r="D3649">
        <v>68.72</v>
      </c>
      <c r="E3649">
        <v>259</v>
      </c>
      <c r="F3649">
        <v>81</v>
      </c>
      <c r="G3649">
        <v>13</v>
      </c>
      <c r="H3649">
        <v>1</v>
      </c>
      <c r="I3649">
        <v>246</v>
      </c>
      <c r="J3649">
        <v>1</v>
      </c>
      <c r="K3649">
        <v>1</v>
      </c>
      <c r="L3649">
        <v>259</v>
      </c>
      <c r="M3649">
        <v>1</v>
      </c>
      <c r="N3649">
        <v>1.0034900000000001E-95</v>
      </c>
      <c r="O3649">
        <v>888</v>
      </c>
    </row>
    <row r="3650" spans="1:15" x14ac:dyDescent="0.25">
      <c r="A3650" t="s">
        <v>3663</v>
      </c>
      <c r="B3650">
        <v>444</v>
      </c>
      <c r="C3650" s="1" t="str">
        <f>HYPERLINK("http://www.rosaceae.org/gb/gbrowse/malus_x_domestica/?name=MDP0000371737","MDP0000371737")</f>
        <v>MDP0000371737</v>
      </c>
      <c r="D3650">
        <v>59.38</v>
      </c>
      <c r="E3650">
        <v>458</v>
      </c>
      <c r="F3650">
        <v>186</v>
      </c>
      <c r="G3650">
        <v>31</v>
      </c>
      <c r="H3650">
        <v>1</v>
      </c>
      <c r="I3650">
        <v>444</v>
      </c>
      <c r="J3650">
        <v>1</v>
      </c>
      <c r="K3650">
        <v>1</v>
      </c>
      <c r="L3650">
        <v>441</v>
      </c>
      <c r="M3650">
        <v>1</v>
      </c>
      <c r="N3650">
        <v>7.0360399999999997E-152</v>
      </c>
      <c r="O3650">
        <v>1376</v>
      </c>
    </row>
    <row r="3651" spans="1:15" x14ac:dyDescent="0.25">
      <c r="A3651" t="s">
        <v>3664</v>
      </c>
      <c r="B3651">
        <v>584</v>
      </c>
      <c r="C3651" s="1" t="str">
        <f>HYPERLINK("http://www.rosaceae.org/gb/gbrowse/malus_x_domestica/?name=MDP0000140915","MDP0000140915")</f>
        <v>MDP0000140915</v>
      </c>
      <c r="D3651">
        <v>60.85</v>
      </c>
      <c r="E3651">
        <v>562</v>
      </c>
      <c r="F3651">
        <v>220</v>
      </c>
      <c r="G3651">
        <v>7</v>
      </c>
      <c r="H3651">
        <v>23</v>
      </c>
      <c r="I3651">
        <v>580</v>
      </c>
      <c r="J3651">
        <v>1</v>
      </c>
      <c r="K3651">
        <v>48</v>
      </c>
      <c r="L3651">
        <v>606</v>
      </c>
      <c r="M3651">
        <v>1</v>
      </c>
      <c r="N3651">
        <v>0</v>
      </c>
      <c r="O3651">
        <v>1817</v>
      </c>
    </row>
    <row r="3652" spans="1:15" x14ac:dyDescent="0.25">
      <c r="A3652" t="s">
        <v>3665</v>
      </c>
      <c r="B3652">
        <v>166</v>
      </c>
      <c r="C3652" s="1" t="str">
        <f>HYPERLINK("http://www.rosaceae.org/gb/gbrowse/malus_x_domestica/?name=MDP0000223138","MDP0000223138")</f>
        <v>MDP0000223138</v>
      </c>
      <c r="D3652">
        <v>36.89</v>
      </c>
      <c r="E3652">
        <v>103</v>
      </c>
      <c r="F3652">
        <v>65</v>
      </c>
      <c r="G3652">
        <v>5</v>
      </c>
      <c r="H3652">
        <v>7</v>
      </c>
      <c r="I3652">
        <v>105</v>
      </c>
      <c r="J3652">
        <v>1</v>
      </c>
      <c r="K3652">
        <v>74</v>
      </c>
      <c r="L3652">
        <v>175</v>
      </c>
      <c r="M3652">
        <v>1</v>
      </c>
      <c r="N3652">
        <v>1.09963E-7</v>
      </c>
      <c r="O3652">
        <v>126</v>
      </c>
    </row>
    <row r="3653" spans="1:15" x14ac:dyDescent="0.25">
      <c r="A3653" t="s">
        <v>3666</v>
      </c>
      <c r="B3653">
        <v>212</v>
      </c>
      <c r="C3653" s="1" t="str">
        <f>HYPERLINK("http://www.rosaceae.org/gb/gbrowse/malus_x_domestica/?name=MDP0000250703","MDP0000250703")</f>
        <v>MDP0000250703</v>
      </c>
      <c r="D3653">
        <v>28.57</v>
      </c>
      <c r="E3653">
        <v>182</v>
      </c>
      <c r="F3653">
        <v>130</v>
      </c>
      <c r="G3653">
        <v>1</v>
      </c>
      <c r="H3653">
        <v>30</v>
      </c>
      <c r="I3653">
        <v>210</v>
      </c>
      <c r="J3653">
        <v>1</v>
      </c>
      <c r="K3653">
        <v>370</v>
      </c>
      <c r="L3653">
        <v>551</v>
      </c>
      <c r="M3653">
        <v>1</v>
      </c>
      <c r="N3653">
        <v>9.5242199999999994E-17</v>
      </c>
      <c r="O3653">
        <v>206</v>
      </c>
    </row>
    <row r="3654" spans="1:15" x14ac:dyDescent="0.25">
      <c r="A3654" t="s">
        <v>3667</v>
      </c>
      <c r="B3654">
        <v>426</v>
      </c>
      <c r="C3654" s="1" t="str">
        <f>HYPERLINK("http://www.rosaceae.org/gb/gbrowse/malus_x_domestica/?name=MDP0000889163","MDP0000889163")</f>
        <v>MDP0000889163</v>
      </c>
      <c r="D3654">
        <v>62.25</v>
      </c>
      <c r="E3654">
        <v>363</v>
      </c>
      <c r="F3654">
        <v>137</v>
      </c>
      <c r="G3654">
        <v>29</v>
      </c>
      <c r="H3654">
        <v>56</v>
      </c>
      <c r="I3654">
        <v>412</v>
      </c>
      <c r="J3654">
        <v>1</v>
      </c>
      <c r="K3654">
        <v>47</v>
      </c>
      <c r="L3654">
        <v>386</v>
      </c>
      <c r="M3654">
        <v>1</v>
      </c>
      <c r="N3654">
        <v>6.6321399999999996E-104</v>
      </c>
      <c r="O3654">
        <v>962</v>
      </c>
    </row>
    <row r="3655" spans="1:15" x14ac:dyDescent="0.25">
      <c r="A3655" t="s">
        <v>3668</v>
      </c>
      <c r="B3655">
        <v>107</v>
      </c>
      <c r="C3655" s="1" t="str">
        <f>HYPERLINK("http://www.rosaceae.org/gb/gbrowse/malus_x_domestica/?name=MDP0000224106","MDP0000224106")</f>
        <v>MDP0000224106</v>
      </c>
      <c r="D3655">
        <v>72.58</v>
      </c>
      <c r="E3655">
        <v>62</v>
      </c>
      <c r="F3655">
        <v>17</v>
      </c>
      <c r="G3655">
        <v>1</v>
      </c>
      <c r="H3655">
        <v>1</v>
      </c>
      <c r="I3655">
        <v>62</v>
      </c>
      <c r="J3655">
        <v>1</v>
      </c>
      <c r="K3655">
        <v>1</v>
      </c>
      <c r="L3655">
        <v>61</v>
      </c>
      <c r="M3655">
        <v>1</v>
      </c>
      <c r="N3655">
        <v>8.3706600000000001E-21</v>
      </c>
      <c r="O3655">
        <v>237</v>
      </c>
    </row>
    <row r="3656" spans="1:15" x14ac:dyDescent="0.25">
      <c r="A3656" t="s">
        <v>3669</v>
      </c>
      <c r="B3656">
        <v>346</v>
      </c>
      <c r="C3656" s="1" t="str">
        <f>HYPERLINK("http://www.rosaceae.org/gb/gbrowse/malus_x_domestica/?name=MDP0000178186","MDP0000178186")</f>
        <v>MDP0000178186</v>
      </c>
      <c r="D3656">
        <v>77.180000000000007</v>
      </c>
      <c r="E3656">
        <v>149</v>
      </c>
      <c r="F3656">
        <v>34</v>
      </c>
      <c r="G3656">
        <v>1</v>
      </c>
      <c r="H3656">
        <v>1</v>
      </c>
      <c r="I3656">
        <v>148</v>
      </c>
      <c r="J3656">
        <v>1</v>
      </c>
      <c r="K3656">
        <v>1</v>
      </c>
      <c r="L3656">
        <v>149</v>
      </c>
      <c r="M3656">
        <v>1</v>
      </c>
      <c r="N3656">
        <v>2.4488799999999999E-70</v>
      </c>
      <c r="O3656">
        <v>671</v>
      </c>
    </row>
    <row r="3657" spans="1:15" x14ac:dyDescent="0.25">
      <c r="A3657" t="s">
        <v>3670</v>
      </c>
      <c r="B3657">
        <v>628</v>
      </c>
      <c r="C3657" s="1" t="str">
        <f>HYPERLINK("http://www.rosaceae.org/gb/gbrowse/malus_x_domestica/?name=MDP0000302033","MDP0000302033")</f>
        <v>MDP0000302033</v>
      </c>
      <c r="D3657">
        <v>62.69</v>
      </c>
      <c r="E3657">
        <v>579</v>
      </c>
      <c r="F3657">
        <v>216</v>
      </c>
      <c r="G3657">
        <v>28</v>
      </c>
      <c r="H3657">
        <v>28</v>
      </c>
      <c r="I3657">
        <v>602</v>
      </c>
      <c r="J3657">
        <v>1</v>
      </c>
      <c r="K3657">
        <v>42</v>
      </c>
      <c r="L3657">
        <v>596</v>
      </c>
      <c r="M3657">
        <v>1</v>
      </c>
      <c r="N3657">
        <v>0</v>
      </c>
      <c r="O3657">
        <v>1760</v>
      </c>
    </row>
    <row r="3658" spans="1:15" x14ac:dyDescent="0.25">
      <c r="A3658" t="s">
        <v>3671</v>
      </c>
      <c r="B3658">
        <v>270</v>
      </c>
      <c r="C3658" s="1" t="str">
        <f>HYPERLINK("http://www.rosaceae.org/gb/gbrowse/malus_x_domestica/?name=MDP0000222371","MDP0000222371")</f>
        <v>MDP0000222371</v>
      </c>
      <c r="D3658">
        <v>45.23</v>
      </c>
      <c r="E3658">
        <v>126</v>
      </c>
      <c r="F3658">
        <v>69</v>
      </c>
      <c r="G3658">
        <v>35</v>
      </c>
      <c r="H3658">
        <v>71</v>
      </c>
      <c r="I3658">
        <v>161</v>
      </c>
      <c r="J3658">
        <v>1</v>
      </c>
      <c r="K3658">
        <v>26</v>
      </c>
      <c r="L3658">
        <v>151</v>
      </c>
      <c r="M3658">
        <v>1</v>
      </c>
      <c r="N3658">
        <v>6.4382300000000001E-21</v>
      </c>
      <c r="O3658">
        <v>244</v>
      </c>
    </row>
    <row r="3659" spans="1:15" x14ac:dyDescent="0.25">
      <c r="A3659" t="s">
        <v>3672</v>
      </c>
      <c r="B3659">
        <v>789</v>
      </c>
      <c r="C3659" s="1" t="str">
        <f>HYPERLINK("http://www.rosaceae.org/gb/gbrowse/malus_x_domestica/?name=MDP0000677952","MDP0000677952")</f>
        <v>MDP0000677952</v>
      </c>
      <c r="D3659">
        <v>73.459999999999994</v>
      </c>
      <c r="E3659">
        <v>490</v>
      </c>
      <c r="F3659">
        <v>130</v>
      </c>
      <c r="G3659">
        <v>6</v>
      </c>
      <c r="H3659">
        <v>264</v>
      </c>
      <c r="I3659">
        <v>751</v>
      </c>
      <c r="J3659">
        <v>1</v>
      </c>
      <c r="K3659">
        <v>1</v>
      </c>
      <c r="L3659">
        <v>486</v>
      </c>
      <c r="M3659">
        <v>1</v>
      </c>
      <c r="N3659">
        <v>0</v>
      </c>
      <c r="O3659">
        <v>1862</v>
      </c>
    </row>
    <row r="3660" spans="1:15" x14ac:dyDescent="0.25">
      <c r="A3660" t="s">
        <v>3673</v>
      </c>
      <c r="B3660">
        <v>510</v>
      </c>
      <c r="C3660" s="1" t="str">
        <f>HYPERLINK("http://www.rosaceae.org/gb/gbrowse/malus_x_domestica/?name=MDP0000233901","MDP0000233901")</f>
        <v>MDP0000233901</v>
      </c>
      <c r="D3660">
        <v>34.92</v>
      </c>
      <c r="E3660">
        <v>355</v>
      </c>
      <c r="F3660">
        <v>231</v>
      </c>
      <c r="G3660">
        <v>1</v>
      </c>
      <c r="H3660">
        <v>156</v>
      </c>
      <c r="I3660">
        <v>509</v>
      </c>
      <c r="J3660">
        <v>1</v>
      </c>
      <c r="K3660">
        <v>4</v>
      </c>
      <c r="L3660">
        <v>358</v>
      </c>
      <c r="M3660">
        <v>1</v>
      </c>
      <c r="N3660">
        <v>5.1695800000000003E-55</v>
      </c>
      <c r="O3660">
        <v>541</v>
      </c>
    </row>
    <row r="3661" spans="1:15" x14ac:dyDescent="0.25">
      <c r="A3661" t="s">
        <v>3674</v>
      </c>
      <c r="B3661">
        <v>204</v>
      </c>
      <c r="C3661" s="1" t="str">
        <f>HYPERLINK("http://www.rosaceae.org/gb/gbrowse/malus_x_domestica/?name=MDP0000213233","MDP0000213233")</f>
        <v>MDP0000213233</v>
      </c>
      <c r="D3661">
        <v>34.5</v>
      </c>
      <c r="E3661">
        <v>171</v>
      </c>
      <c r="F3661">
        <v>112</v>
      </c>
      <c r="G3661">
        <v>13</v>
      </c>
      <c r="H3661">
        <v>38</v>
      </c>
      <c r="I3661">
        <v>204</v>
      </c>
      <c r="J3661">
        <v>1</v>
      </c>
      <c r="K3661">
        <v>49</v>
      </c>
      <c r="L3661">
        <v>210</v>
      </c>
      <c r="M3661">
        <v>1</v>
      </c>
      <c r="N3661">
        <v>5.1898299999999996E-16</v>
      </c>
      <c r="O3661">
        <v>200</v>
      </c>
    </row>
    <row r="3662" spans="1:15" x14ac:dyDescent="0.25">
      <c r="A3662" t="s">
        <v>3675</v>
      </c>
      <c r="B3662">
        <v>289</v>
      </c>
      <c r="C3662" s="1" t="str">
        <f>HYPERLINK("http://www.rosaceae.org/gb/gbrowse/malus_x_domestica/?name=MDP0000261876","MDP0000261876")</f>
        <v>MDP0000261876</v>
      </c>
      <c r="D3662">
        <v>69.400000000000006</v>
      </c>
      <c r="E3662">
        <v>268</v>
      </c>
      <c r="F3662">
        <v>82</v>
      </c>
      <c r="G3662">
        <v>0</v>
      </c>
      <c r="H3662">
        <v>1</v>
      </c>
      <c r="I3662">
        <v>268</v>
      </c>
      <c r="J3662">
        <v>1</v>
      </c>
      <c r="K3662">
        <v>1</v>
      </c>
      <c r="L3662">
        <v>268</v>
      </c>
      <c r="M3662">
        <v>1</v>
      </c>
      <c r="N3662">
        <v>2.1222300000000001E-103</v>
      </c>
      <c r="O3662">
        <v>955</v>
      </c>
    </row>
    <row r="3663" spans="1:15" x14ac:dyDescent="0.25">
      <c r="A3663" t="s">
        <v>3676</v>
      </c>
      <c r="B3663">
        <v>610</v>
      </c>
      <c r="C3663" s="1" t="str">
        <f>HYPERLINK("http://www.rosaceae.org/gb/gbrowse/malus_x_domestica/?name=MDP0000241811","MDP0000241811")</f>
        <v>MDP0000241811</v>
      </c>
      <c r="D3663">
        <v>93.26</v>
      </c>
      <c r="E3663">
        <v>609</v>
      </c>
      <c r="F3663">
        <v>41</v>
      </c>
      <c r="G3663">
        <v>23</v>
      </c>
      <c r="H3663">
        <v>1</v>
      </c>
      <c r="I3663">
        <v>609</v>
      </c>
      <c r="J3663">
        <v>1</v>
      </c>
      <c r="K3663">
        <v>1</v>
      </c>
      <c r="L3663">
        <v>586</v>
      </c>
      <c r="M3663">
        <v>1</v>
      </c>
      <c r="N3663">
        <v>0</v>
      </c>
      <c r="O3663">
        <v>2968</v>
      </c>
    </row>
    <row r="3664" spans="1:15" x14ac:dyDescent="0.25">
      <c r="A3664" t="s">
        <v>3677</v>
      </c>
      <c r="B3664">
        <v>449</v>
      </c>
      <c r="C3664" s="1" t="str">
        <f>HYPERLINK("http://www.rosaceae.org/gb/gbrowse/malus_x_domestica/?name=MDP0000503044","MDP0000503044")</f>
        <v>MDP0000503044</v>
      </c>
      <c r="D3664">
        <v>74.34</v>
      </c>
      <c r="E3664">
        <v>421</v>
      </c>
      <c r="F3664">
        <v>108</v>
      </c>
      <c r="G3664">
        <v>2</v>
      </c>
      <c r="H3664">
        <v>23</v>
      </c>
      <c r="I3664">
        <v>442</v>
      </c>
      <c r="J3664">
        <v>1</v>
      </c>
      <c r="K3664">
        <v>21</v>
      </c>
      <c r="L3664">
        <v>440</v>
      </c>
      <c r="M3664">
        <v>1</v>
      </c>
      <c r="N3664">
        <v>0</v>
      </c>
      <c r="O3664">
        <v>1677</v>
      </c>
    </row>
    <row r="3665" spans="1:15" x14ac:dyDescent="0.25">
      <c r="A3665" t="s">
        <v>3678</v>
      </c>
      <c r="B3665">
        <v>391</v>
      </c>
      <c r="C3665" s="1" t="str">
        <f>HYPERLINK("http://www.rosaceae.org/gb/gbrowse/malus_x_domestica/?name=MDP0000282761","MDP0000282761")</f>
        <v>MDP0000282761</v>
      </c>
      <c r="D3665">
        <v>31.79</v>
      </c>
      <c r="E3665">
        <v>173</v>
      </c>
      <c r="F3665">
        <v>118</v>
      </c>
      <c r="G3665">
        <v>9</v>
      </c>
      <c r="H3665">
        <v>200</v>
      </c>
      <c r="I3665">
        <v>366</v>
      </c>
      <c r="J3665">
        <v>1</v>
      </c>
      <c r="K3665">
        <v>8</v>
      </c>
      <c r="L3665">
        <v>177</v>
      </c>
      <c r="M3665">
        <v>1</v>
      </c>
      <c r="N3665">
        <v>6.3764100000000003E-9</v>
      </c>
      <c r="O3665">
        <v>142</v>
      </c>
    </row>
    <row r="3666" spans="1:15" x14ac:dyDescent="0.25">
      <c r="A3666" t="s">
        <v>3679</v>
      </c>
      <c r="B3666">
        <v>128</v>
      </c>
      <c r="C3666" s="1" t="str">
        <f>HYPERLINK("http://www.rosaceae.org/gb/gbrowse/malus_x_domestica/?name=MDP0000697244","MDP0000697244")</f>
        <v>MDP0000697244</v>
      </c>
      <c r="D3666">
        <v>58.59</v>
      </c>
      <c r="E3666">
        <v>128</v>
      </c>
      <c r="F3666">
        <v>53</v>
      </c>
      <c r="G3666">
        <v>7</v>
      </c>
      <c r="H3666">
        <v>1</v>
      </c>
      <c r="I3666">
        <v>128</v>
      </c>
      <c r="J3666">
        <v>1</v>
      </c>
      <c r="K3666">
        <v>1</v>
      </c>
      <c r="L3666">
        <v>121</v>
      </c>
      <c r="M3666">
        <v>1</v>
      </c>
      <c r="N3666">
        <v>4.0977200000000002E-38</v>
      </c>
      <c r="O3666">
        <v>387</v>
      </c>
    </row>
    <row r="3667" spans="1:15" x14ac:dyDescent="0.25">
      <c r="A3667" t="s">
        <v>3680</v>
      </c>
      <c r="B3667">
        <v>164</v>
      </c>
      <c r="C3667" s="1" t="str">
        <f>HYPERLINK("http://www.rosaceae.org/gb/gbrowse/malus_x_domestica/?name=MDP0000332597","MDP0000332597")</f>
        <v>MDP0000332597</v>
      </c>
      <c r="D3667">
        <v>87.37</v>
      </c>
      <c r="E3667">
        <v>103</v>
      </c>
      <c r="F3667">
        <v>13</v>
      </c>
      <c r="G3667">
        <v>2</v>
      </c>
      <c r="H3667">
        <v>15</v>
      </c>
      <c r="I3667">
        <v>117</v>
      </c>
      <c r="J3667">
        <v>1</v>
      </c>
      <c r="K3667">
        <v>15</v>
      </c>
      <c r="L3667">
        <v>115</v>
      </c>
      <c r="M3667">
        <v>1</v>
      </c>
      <c r="N3667">
        <v>3.4221899999999996E-49</v>
      </c>
      <c r="O3667">
        <v>484</v>
      </c>
    </row>
    <row r="3668" spans="1:15" x14ac:dyDescent="0.25">
      <c r="A3668" t="s">
        <v>3681</v>
      </c>
      <c r="B3668">
        <v>77</v>
      </c>
      <c r="C3668" s="1" t="str">
        <f>HYPERLINK("http://www.rosaceae.org/gb/gbrowse/malus_x_domestica/?name=MDP0000230038","MDP0000230038")</f>
        <v>MDP0000230038</v>
      </c>
      <c r="D3668">
        <v>69.09</v>
      </c>
      <c r="E3668">
        <v>55</v>
      </c>
      <c r="F3668">
        <v>17</v>
      </c>
      <c r="G3668">
        <v>1</v>
      </c>
      <c r="H3668">
        <v>19</v>
      </c>
      <c r="I3668">
        <v>73</v>
      </c>
      <c r="J3668">
        <v>1</v>
      </c>
      <c r="K3668">
        <v>838</v>
      </c>
      <c r="L3668">
        <v>891</v>
      </c>
      <c r="M3668">
        <v>1</v>
      </c>
      <c r="N3668">
        <v>2.3158600000000001E-16</v>
      </c>
      <c r="O3668">
        <v>199</v>
      </c>
    </row>
    <row r="3669" spans="1:15" x14ac:dyDescent="0.25">
      <c r="A3669" t="s">
        <v>3682</v>
      </c>
      <c r="B3669">
        <v>272</v>
      </c>
      <c r="C3669" s="1" t="str">
        <f>HYPERLINK("http://www.rosaceae.org/gb/gbrowse/malus_x_domestica/?name=MDP0000294894","MDP0000294894")</f>
        <v>MDP0000294894</v>
      </c>
      <c r="D3669">
        <v>52.12</v>
      </c>
      <c r="E3669">
        <v>259</v>
      </c>
      <c r="F3669">
        <v>124</v>
      </c>
      <c r="G3669">
        <v>13</v>
      </c>
      <c r="H3669">
        <v>16</v>
      </c>
      <c r="I3669">
        <v>272</v>
      </c>
      <c r="J3669">
        <v>1</v>
      </c>
      <c r="K3669">
        <v>38</v>
      </c>
      <c r="L3669">
        <v>285</v>
      </c>
      <c r="M3669">
        <v>1</v>
      </c>
      <c r="N3669">
        <v>5.8597200000000004E-70</v>
      </c>
      <c r="O3669">
        <v>667</v>
      </c>
    </row>
    <row r="3670" spans="1:15" x14ac:dyDescent="0.25">
      <c r="A3670" t="s">
        <v>3683</v>
      </c>
      <c r="B3670">
        <v>102</v>
      </c>
      <c r="C3670" s="1" t="str">
        <f>HYPERLINK("http://www.rosaceae.org/gb/gbrowse/malus_x_domestica/?name=MDP0000472203","MDP0000472203")</f>
        <v>MDP0000472203</v>
      </c>
      <c r="D3670">
        <v>82.35</v>
      </c>
      <c r="E3670">
        <v>102</v>
      </c>
      <c r="F3670">
        <v>18</v>
      </c>
      <c r="G3670">
        <v>0</v>
      </c>
      <c r="H3670">
        <v>1</v>
      </c>
      <c r="I3670">
        <v>102</v>
      </c>
      <c r="J3670">
        <v>1</v>
      </c>
      <c r="K3670">
        <v>41</v>
      </c>
      <c r="L3670">
        <v>142</v>
      </c>
      <c r="M3670">
        <v>1</v>
      </c>
      <c r="N3670">
        <v>3.0307199999999998E-43</v>
      </c>
      <c r="O3670">
        <v>430</v>
      </c>
    </row>
    <row r="3671" spans="1:15" x14ac:dyDescent="0.25">
      <c r="A3671" t="s">
        <v>3684</v>
      </c>
      <c r="B3671">
        <v>123</v>
      </c>
      <c r="C3671" s="1" t="str">
        <f>HYPERLINK("http://www.rosaceae.org/gb/gbrowse/malus_x_domestica/?name=MDP0000852204","MDP0000852204")</f>
        <v>MDP0000852204</v>
      </c>
      <c r="D3671">
        <v>75.75</v>
      </c>
      <c r="E3671">
        <v>66</v>
      </c>
      <c r="F3671">
        <v>16</v>
      </c>
      <c r="G3671">
        <v>4</v>
      </c>
      <c r="H3671">
        <v>9</v>
      </c>
      <c r="I3671">
        <v>70</v>
      </c>
      <c r="J3671">
        <v>1</v>
      </c>
      <c r="K3671">
        <v>596</v>
      </c>
      <c r="L3671">
        <v>661</v>
      </c>
      <c r="M3671">
        <v>1</v>
      </c>
      <c r="N3671">
        <v>9.5390500000000006E-22</v>
      </c>
      <c r="O3671">
        <v>245</v>
      </c>
    </row>
    <row r="3672" spans="1:15" x14ac:dyDescent="0.25">
      <c r="A3672" t="s">
        <v>3685</v>
      </c>
      <c r="B3672">
        <v>220</v>
      </c>
      <c r="C3672" s="1" t="str">
        <f>HYPERLINK("http://www.rosaceae.org/gb/gbrowse/malus_x_domestica/?name=MDP0000145686","MDP0000145686")</f>
        <v>MDP0000145686</v>
      </c>
      <c r="D3672">
        <v>53.52</v>
      </c>
      <c r="E3672">
        <v>142</v>
      </c>
      <c r="F3672">
        <v>66</v>
      </c>
      <c r="G3672">
        <v>3</v>
      </c>
      <c r="H3672">
        <v>81</v>
      </c>
      <c r="I3672">
        <v>220</v>
      </c>
      <c r="J3672">
        <v>1</v>
      </c>
      <c r="K3672">
        <v>20</v>
      </c>
      <c r="L3672">
        <v>160</v>
      </c>
      <c r="M3672">
        <v>1</v>
      </c>
      <c r="N3672">
        <v>2.0774299999999999E-37</v>
      </c>
      <c r="O3672">
        <v>385</v>
      </c>
    </row>
    <row r="3673" spans="1:15" x14ac:dyDescent="0.25">
      <c r="A3673" t="s">
        <v>3686</v>
      </c>
      <c r="B3673">
        <v>356</v>
      </c>
      <c r="C3673" s="1" t="str">
        <f>HYPERLINK("http://www.rosaceae.org/gb/gbrowse/malus_x_domestica/?name=MDP0000218159","MDP0000218159")</f>
        <v>MDP0000218159</v>
      </c>
      <c r="D3673">
        <v>75.069999999999993</v>
      </c>
      <c r="E3673">
        <v>313</v>
      </c>
      <c r="F3673">
        <v>78</v>
      </c>
      <c r="G3673">
        <v>21</v>
      </c>
      <c r="H3673">
        <v>1</v>
      </c>
      <c r="I3673">
        <v>292</v>
      </c>
      <c r="J3673">
        <v>1</v>
      </c>
      <c r="K3673">
        <v>48</v>
      </c>
      <c r="L3673">
        <v>360</v>
      </c>
      <c r="M3673">
        <v>1</v>
      </c>
      <c r="N3673">
        <v>6.9440100000000001E-128</v>
      </c>
      <c r="O3673">
        <v>1168</v>
      </c>
    </row>
    <row r="3674" spans="1:15" x14ac:dyDescent="0.25">
      <c r="A3674" t="s">
        <v>3687</v>
      </c>
      <c r="B3674">
        <v>159</v>
      </c>
      <c r="C3674" s="1" t="str">
        <f>HYPERLINK("http://www.rosaceae.org/gb/gbrowse/malus_x_domestica/?name=MDP0000623090","MDP0000623090")</f>
        <v>MDP0000623090</v>
      </c>
      <c r="D3674">
        <v>62.65</v>
      </c>
      <c r="E3674">
        <v>158</v>
      </c>
      <c r="F3674">
        <v>59</v>
      </c>
      <c r="G3674">
        <v>2</v>
      </c>
      <c r="H3674">
        <v>3</v>
      </c>
      <c r="I3674">
        <v>159</v>
      </c>
      <c r="J3674">
        <v>1</v>
      </c>
      <c r="K3674">
        <v>129</v>
      </c>
      <c r="L3674">
        <v>285</v>
      </c>
      <c r="M3674">
        <v>1</v>
      </c>
      <c r="N3674">
        <v>1.6029E-51</v>
      </c>
      <c r="O3674">
        <v>504</v>
      </c>
    </row>
    <row r="3675" spans="1:15" x14ac:dyDescent="0.25">
      <c r="A3675" t="s">
        <v>3688</v>
      </c>
      <c r="B3675">
        <v>134</v>
      </c>
      <c r="C3675" s="1" t="str">
        <f>HYPERLINK("http://www.rosaceae.org/gb/gbrowse/malus_x_domestica/?name=MDP0000641747","MDP0000641747")</f>
        <v>MDP0000641747</v>
      </c>
      <c r="D3675">
        <v>90.97</v>
      </c>
      <c r="E3675">
        <v>133</v>
      </c>
      <c r="F3675">
        <v>12</v>
      </c>
      <c r="G3675">
        <v>0</v>
      </c>
      <c r="H3675">
        <v>1</v>
      </c>
      <c r="I3675">
        <v>133</v>
      </c>
      <c r="J3675">
        <v>1</v>
      </c>
      <c r="K3675">
        <v>65</v>
      </c>
      <c r="L3675">
        <v>197</v>
      </c>
      <c r="M3675">
        <v>1</v>
      </c>
      <c r="N3675">
        <v>1.40592E-66</v>
      </c>
      <c r="O3675">
        <v>632</v>
      </c>
    </row>
    <row r="3676" spans="1:15" x14ac:dyDescent="0.25">
      <c r="A3676" t="s">
        <v>3689</v>
      </c>
      <c r="B3676">
        <v>453</v>
      </c>
      <c r="C3676" s="1" t="str">
        <f>HYPERLINK("http://www.rosaceae.org/gb/gbrowse/malus_x_domestica/?name=MDP0000253143","MDP0000253143")</f>
        <v>MDP0000253143</v>
      </c>
      <c r="D3676">
        <v>78.040000000000006</v>
      </c>
      <c r="E3676">
        <v>378</v>
      </c>
      <c r="F3676">
        <v>83</v>
      </c>
      <c r="G3676">
        <v>8</v>
      </c>
      <c r="H3676">
        <v>71</v>
      </c>
      <c r="I3676">
        <v>448</v>
      </c>
      <c r="J3676">
        <v>1</v>
      </c>
      <c r="K3676">
        <v>145</v>
      </c>
      <c r="L3676">
        <v>514</v>
      </c>
      <c r="M3676">
        <v>1</v>
      </c>
      <c r="N3676">
        <v>3.1687399999999998E-174</v>
      </c>
      <c r="O3676">
        <v>1569</v>
      </c>
    </row>
    <row r="3677" spans="1:15" x14ac:dyDescent="0.25">
      <c r="A3677" t="s">
        <v>3690</v>
      </c>
      <c r="B3677">
        <v>100</v>
      </c>
      <c r="C3677" s="1" t="str">
        <f>HYPERLINK("http://www.rosaceae.org/gb/gbrowse/malus_x_domestica/?name=MDP0000878409","MDP0000878409")</f>
        <v>MDP0000878409</v>
      </c>
      <c r="D3677">
        <v>69.010000000000005</v>
      </c>
      <c r="E3677">
        <v>71</v>
      </c>
      <c r="F3677">
        <v>22</v>
      </c>
      <c r="G3677">
        <v>1</v>
      </c>
      <c r="H3677">
        <v>31</v>
      </c>
      <c r="I3677">
        <v>100</v>
      </c>
      <c r="J3677">
        <v>1</v>
      </c>
      <c r="K3677">
        <v>28</v>
      </c>
      <c r="L3677">
        <v>98</v>
      </c>
      <c r="M3677">
        <v>1</v>
      </c>
      <c r="N3677">
        <v>5.1967200000000001E-19</v>
      </c>
      <c r="O3677">
        <v>221</v>
      </c>
    </row>
    <row r="3678" spans="1:15" x14ac:dyDescent="0.25">
      <c r="A3678" t="s">
        <v>3691</v>
      </c>
      <c r="B3678">
        <v>394</v>
      </c>
      <c r="C3678" s="1" t="str">
        <f>HYPERLINK("http://www.rosaceae.org/gb/gbrowse/malus_x_domestica/?name=MDP0000226253","MDP0000226253")</f>
        <v>MDP0000226253</v>
      </c>
      <c r="D3678">
        <v>63.83</v>
      </c>
      <c r="E3678">
        <v>365</v>
      </c>
      <c r="F3678">
        <v>132</v>
      </c>
      <c r="G3678">
        <v>35</v>
      </c>
      <c r="H3678">
        <v>50</v>
      </c>
      <c r="I3678">
        <v>394</v>
      </c>
      <c r="J3678">
        <v>1</v>
      </c>
      <c r="K3678">
        <v>40</v>
      </c>
      <c r="L3678">
        <v>389</v>
      </c>
      <c r="M3678">
        <v>1</v>
      </c>
      <c r="N3678">
        <v>6.4102099999999996E-117</v>
      </c>
      <c r="O3678">
        <v>1074</v>
      </c>
    </row>
    <row r="3679" spans="1:15" x14ac:dyDescent="0.25">
      <c r="A3679" t="s">
        <v>3692</v>
      </c>
      <c r="B3679">
        <v>371</v>
      </c>
      <c r="C3679" s="1" t="str">
        <f>HYPERLINK("http://www.rosaceae.org/gb/gbrowse/malus_x_domestica/?name=MDP0000250284","MDP0000250284")</f>
        <v>MDP0000250284</v>
      </c>
      <c r="D3679">
        <v>87.65</v>
      </c>
      <c r="E3679">
        <v>324</v>
      </c>
      <c r="F3679">
        <v>40</v>
      </c>
      <c r="G3679">
        <v>0</v>
      </c>
      <c r="H3679">
        <v>47</v>
      </c>
      <c r="I3679">
        <v>370</v>
      </c>
      <c r="J3679">
        <v>1</v>
      </c>
      <c r="K3679">
        <v>1</v>
      </c>
      <c r="L3679">
        <v>324</v>
      </c>
      <c r="M3679">
        <v>1</v>
      </c>
      <c r="N3679">
        <v>2.0154399999999999E-163</v>
      </c>
      <c r="O3679">
        <v>1474</v>
      </c>
    </row>
    <row r="3680" spans="1:15" x14ac:dyDescent="0.25">
      <c r="A3680" t="s">
        <v>3693</v>
      </c>
      <c r="B3680">
        <v>356</v>
      </c>
      <c r="C3680" s="1" t="str">
        <f>HYPERLINK("http://www.rosaceae.org/gb/gbrowse/malus_x_domestica/?name=MDP0000125058","MDP0000125058")</f>
        <v>MDP0000125058</v>
      </c>
      <c r="D3680">
        <v>66.28</v>
      </c>
      <c r="E3680">
        <v>347</v>
      </c>
      <c r="F3680">
        <v>117</v>
      </c>
      <c r="G3680">
        <v>3</v>
      </c>
      <c r="H3680">
        <v>1</v>
      </c>
      <c r="I3680">
        <v>347</v>
      </c>
      <c r="J3680">
        <v>1</v>
      </c>
      <c r="K3680">
        <v>1</v>
      </c>
      <c r="L3680">
        <v>344</v>
      </c>
      <c r="M3680">
        <v>1</v>
      </c>
      <c r="N3680">
        <v>2.33235E-121</v>
      </c>
      <c r="O3680">
        <v>1111</v>
      </c>
    </row>
    <row r="3681" spans="1:15" x14ac:dyDescent="0.25">
      <c r="A3681" t="s">
        <v>3694</v>
      </c>
      <c r="B3681">
        <v>167</v>
      </c>
      <c r="C3681" s="1" t="str">
        <f>HYPERLINK("http://www.rosaceae.org/gb/gbrowse/malus_x_domestica/?name=MDP0000299896","MDP0000299896")</f>
        <v>MDP0000299896</v>
      </c>
      <c r="D3681">
        <v>51.75</v>
      </c>
      <c r="E3681">
        <v>114</v>
      </c>
      <c r="F3681">
        <v>55</v>
      </c>
      <c r="G3681">
        <v>40</v>
      </c>
      <c r="H3681">
        <v>80</v>
      </c>
      <c r="I3681">
        <v>153</v>
      </c>
      <c r="J3681">
        <v>1</v>
      </c>
      <c r="K3681">
        <v>570</v>
      </c>
      <c r="L3681">
        <v>683</v>
      </c>
      <c r="M3681">
        <v>1</v>
      </c>
      <c r="N3681">
        <v>2.7820900000000001E-20</v>
      </c>
      <c r="O3681">
        <v>235</v>
      </c>
    </row>
    <row r="3682" spans="1:15" x14ac:dyDescent="0.25">
      <c r="A3682" t="s">
        <v>3695</v>
      </c>
      <c r="B3682">
        <v>140</v>
      </c>
      <c r="C3682" s="1" t="str">
        <f>HYPERLINK("http://www.rosaceae.org/gb/gbrowse/malus_x_domestica/?name=MDP0000813466","MDP0000813466")</f>
        <v>MDP0000813466</v>
      </c>
      <c r="D3682">
        <v>54.38</v>
      </c>
      <c r="E3682">
        <v>57</v>
      </c>
      <c r="F3682">
        <v>26</v>
      </c>
      <c r="G3682">
        <v>2</v>
      </c>
      <c r="H3682">
        <v>84</v>
      </c>
      <c r="I3682">
        <v>140</v>
      </c>
      <c r="J3682">
        <v>1</v>
      </c>
      <c r="K3682">
        <v>39</v>
      </c>
      <c r="L3682">
        <v>93</v>
      </c>
      <c r="M3682">
        <v>1</v>
      </c>
      <c r="N3682">
        <v>5.8039299999999999E-12</v>
      </c>
      <c r="O3682">
        <v>162</v>
      </c>
    </row>
    <row r="3683" spans="1:15" x14ac:dyDescent="0.25">
      <c r="A3683" t="s">
        <v>3696</v>
      </c>
      <c r="B3683">
        <v>804</v>
      </c>
      <c r="C3683" s="1" t="str">
        <f>HYPERLINK("http://www.rosaceae.org/gb/gbrowse/malus_x_domestica/?name=MDP0000262073","MDP0000262073")</f>
        <v>MDP0000262073</v>
      </c>
      <c r="D3683">
        <v>64.209999999999994</v>
      </c>
      <c r="E3683">
        <v>816</v>
      </c>
      <c r="F3683">
        <v>292</v>
      </c>
      <c r="G3683">
        <v>56</v>
      </c>
      <c r="H3683">
        <v>1</v>
      </c>
      <c r="I3683">
        <v>804</v>
      </c>
      <c r="J3683">
        <v>1</v>
      </c>
      <c r="K3683">
        <v>1</v>
      </c>
      <c r="L3683">
        <v>772</v>
      </c>
      <c r="M3683">
        <v>1</v>
      </c>
      <c r="N3683">
        <v>0</v>
      </c>
      <c r="O3683">
        <v>2490</v>
      </c>
    </row>
    <row r="3684" spans="1:15" x14ac:dyDescent="0.25">
      <c r="A3684" t="s">
        <v>3697</v>
      </c>
      <c r="B3684">
        <v>1220</v>
      </c>
      <c r="C3684" s="1" t="str">
        <f>HYPERLINK("http://www.rosaceae.org/gb/gbrowse/malus_x_domestica/?name=MDP0000325800","MDP0000325800")</f>
        <v>MDP0000325800</v>
      </c>
      <c r="D3684">
        <v>80.489999999999995</v>
      </c>
      <c r="E3684">
        <v>692</v>
      </c>
      <c r="F3684">
        <v>135</v>
      </c>
      <c r="G3684">
        <v>3</v>
      </c>
      <c r="H3684">
        <v>532</v>
      </c>
      <c r="I3684">
        <v>1220</v>
      </c>
      <c r="J3684">
        <v>1</v>
      </c>
      <c r="K3684">
        <v>1</v>
      </c>
      <c r="L3684">
        <v>692</v>
      </c>
      <c r="M3684">
        <v>1</v>
      </c>
      <c r="N3684">
        <v>0</v>
      </c>
      <c r="O3684">
        <v>2903</v>
      </c>
    </row>
    <row r="3685" spans="1:15" x14ac:dyDescent="0.25">
      <c r="A3685" t="s">
        <v>3698</v>
      </c>
      <c r="B3685">
        <v>387</v>
      </c>
      <c r="C3685" s="1" t="str">
        <f>HYPERLINK("http://www.rosaceae.org/gb/gbrowse/malus_x_domestica/?name=MDP0000186231","MDP0000186231")</f>
        <v>MDP0000186231</v>
      </c>
      <c r="D3685">
        <v>76.94</v>
      </c>
      <c r="E3685">
        <v>386</v>
      </c>
      <c r="F3685">
        <v>89</v>
      </c>
      <c r="G3685">
        <v>2</v>
      </c>
      <c r="H3685">
        <v>1</v>
      </c>
      <c r="I3685">
        <v>384</v>
      </c>
      <c r="J3685">
        <v>1</v>
      </c>
      <c r="K3685">
        <v>1</v>
      </c>
      <c r="L3685">
        <v>386</v>
      </c>
      <c r="M3685">
        <v>1</v>
      </c>
      <c r="N3685">
        <v>6.7887199999999996E-176</v>
      </c>
      <c r="O3685">
        <v>1582</v>
      </c>
    </row>
    <row r="3686" spans="1:15" x14ac:dyDescent="0.25">
      <c r="A3686" t="s">
        <v>3699</v>
      </c>
      <c r="B3686">
        <v>138</v>
      </c>
      <c r="C3686" s="1" t="str">
        <f>HYPERLINK("http://www.rosaceae.org/gb/gbrowse/malus_x_domestica/?name=MDP0000300859","MDP0000300859")</f>
        <v>MDP0000300859</v>
      </c>
      <c r="D3686">
        <v>55.55</v>
      </c>
      <c r="E3686">
        <v>63</v>
      </c>
      <c r="F3686">
        <v>28</v>
      </c>
      <c r="G3686">
        <v>7</v>
      </c>
      <c r="H3686">
        <v>8</v>
      </c>
      <c r="I3686">
        <v>64</v>
      </c>
      <c r="J3686">
        <v>1</v>
      </c>
      <c r="K3686">
        <v>938</v>
      </c>
      <c r="L3686">
        <v>999</v>
      </c>
      <c r="M3686">
        <v>1</v>
      </c>
      <c r="N3686">
        <v>6.8498299999999997E-10</v>
      </c>
      <c r="O3686">
        <v>144</v>
      </c>
    </row>
    <row r="3687" spans="1:15" x14ac:dyDescent="0.25">
      <c r="A3687" t="s">
        <v>3700</v>
      </c>
      <c r="B3687">
        <v>292</v>
      </c>
      <c r="C3687" s="1" t="str">
        <f>HYPERLINK("http://www.rosaceae.org/gb/gbrowse/malus_x_domestica/?name=MDP0000412192","MDP0000412192")</f>
        <v>MDP0000412192</v>
      </c>
      <c r="D3687">
        <v>59</v>
      </c>
      <c r="E3687">
        <v>200</v>
      </c>
      <c r="F3687">
        <v>82</v>
      </c>
      <c r="G3687">
        <v>0</v>
      </c>
      <c r="H3687">
        <v>1</v>
      </c>
      <c r="I3687">
        <v>200</v>
      </c>
      <c r="J3687">
        <v>1</v>
      </c>
      <c r="K3687">
        <v>37</v>
      </c>
      <c r="L3687">
        <v>236</v>
      </c>
      <c r="M3687">
        <v>1</v>
      </c>
      <c r="N3687">
        <v>7.8118899999999996E-64</v>
      </c>
      <c r="O3687">
        <v>614</v>
      </c>
    </row>
    <row r="3688" spans="1:15" x14ac:dyDescent="0.25">
      <c r="A3688" t="s">
        <v>3701</v>
      </c>
      <c r="B3688">
        <v>1450</v>
      </c>
      <c r="C3688" s="1" t="str">
        <f>HYPERLINK("http://www.rosaceae.org/gb/gbrowse/malus_x_domestica/?name=MDP0000276711","MDP0000276711")</f>
        <v>MDP0000276711</v>
      </c>
      <c r="D3688">
        <v>74.73</v>
      </c>
      <c r="E3688">
        <v>1223</v>
      </c>
      <c r="F3688">
        <v>309</v>
      </c>
      <c r="G3688">
        <v>65</v>
      </c>
      <c r="H3688">
        <v>3</v>
      </c>
      <c r="I3688">
        <v>1168</v>
      </c>
      <c r="J3688">
        <v>1</v>
      </c>
      <c r="K3688">
        <v>2</v>
      </c>
      <c r="L3688">
        <v>1216</v>
      </c>
      <c r="M3688">
        <v>1</v>
      </c>
      <c r="N3688">
        <v>0</v>
      </c>
      <c r="O3688">
        <v>4763</v>
      </c>
    </row>
    <row r="3689" spans="1:15" x14ac:dyDescent="0.25">
      <c r="A3689" t="s">
        <v>3702</v>
      </c>
      <c r="B3689">
        <v>156</v>
      </c>
      <c r="C3689" s="1" t="str">
        <f>HYPERLINK("http://www.rosaceae.org/gb/gbrowse/malus_x_domestica/?name=MDP0000161193","MDP0000161193")</f>
        <v>MDP0000161193</v>
      </c>
      <c r="D3689">
        <v>44.44</v>
      </c>
      <c r="E3689">
        <v>99</v>
      </c>
      <c r="F3689">
        <v>55</v>
      </c>
      <c r="G3689">
        <v>1</v>
      </c>
      <c r="H3689">
        <v>58</v>
      </c>
      <c r="I3689">
        <v>156</v>
      </c>
      <c r="J3689">
        <v>1</v>
      </c>
      <c r="K3689">
        <v>238</v>
      </c>
      <c r="L3689">
        <v>335</v>
      </c>
      <c r="M3689">
        <v>1</v>
      </c>
      <c r="N3689">
        <v>7.8514E-17</v>
      </c>
      <c r="O3689">
        <v>205</v>
      </c>
    </row>
    <row r="3690" spans="1:15" x14ac:dyDescent="0.25">
      <c r="A3690" t="s">
        <v>3703</v>
      </c>
      <c r="B3690">
        <v>540</v>
      </c>
      <c r="C3690" s="1" t="str">
        <f>HYPERLINK("http://www.rosaceae.org/gb/gbrowse/malus_x_domestica/?name=MDP0000136335","MDP0000136335")</f>
        <v>MDP0000136335</v>
      </c>
      <c r="D3690">
        <v>66.13</v>
      </c>
      <c r="E3690">
        <v>564</v>
      </c>
      <c r="F3690">
        <v>191</v>
      </c>
      <c r="G3690">
        <v>26</v>
      </c>
      <c r="H3690">
        <v>1</v>
      </c>
      <c r="I3690">
        <v>540</v>
      </c>
      <c r="J3690">
        <v>1</v>
      </c>
      <c r="K3690">
        <v>224</v>
      </c>
      <c r="L3690">
        <v>785</v>
      </c>
      <c r="M3690">
        <v>1</v>
      </c>
      <c r="N3690">
        <v>0</v>
      </c>
      <c r="O3690">
        <v>1891</v>
      </c>
    </row>
    <row r="3691" spans="1:15" x14ac:dyDescent="0.25">
      <c r="A3691" t="s">
        <v>3704</v>
      </c>
      <c r="B3691">
        <v>408</v>
      </c>
      <c r="C3691" s="1" t="str">
        <f>HYPERLINK("http://www.rosaceae.org/gb/gbrowse/malus_x_domestica/?name=MDP0000243394","MDP0000243394")</f>
        <v>MDP0000243394</v>
      </c>
      <c r="D3691">
        <v>73.38</v>
      </c>
      <c r="E3691">
        <v>387</v>
      </c>
      <c r="F3691">
        <v>103</v>
      </c>
      <c r="G3691">
        <v>6</v>
      </c>
      <c r="H3691">
        <v>1</v>
      </c>
      <c r="I3691">
        <v>383</v>
      </c>
      <c r="J3691">
        <v>1</v>
      </c>
      <c r="K3691">
        <v>67</v>
      </c>
      <c r="L3691">
        <v>451</v>
      </c>
      <c r="M3691">
        <v>1</v>
      </c>
      <c r="N3691">
        <v>6.1990900000000001E-166</v>
      </c>
      <c r="O3691">
        <v>1497</v>
      </c>
    </row>
    <row r="3692" spans="1:15" x14ac:dyDescent="0.25">
      <c r="A3692" t="s">
        <v>3705</v>
      </c>
      <c r="B3692">
        <v>578</v>
      </c>
      <c r="C3692" s="1" t="str">
        <f>HYPERLINK("http://www.rosaceae.org/gb/gbrowse/malus_x_domestica/?name=MDP0000286646","MDP0000286646")</f>
        <v>MDP0000286646</v>
      </c>
      <c r="D3692">
        <v>75.37</v>
      </c>
      <c r="E3692">
        <v>532</v>
      </c>
      <c r="F3692">
        <v>131</v>
      </c>
      <c r="G3692">
        <v>5</v>
      </c>
      <c r="H3692">
        <v>43</v>
      </c>
      <c r="I3692">
        <v>574</v>
      </c>
      <c r="J3692">
        <v>1</v>
      </c>
      <c r="K3692">
        <v>40</v>
      </c>
      <c r="L3692">
        <v>566</v>
      </c>
      <c r="M3692">
        <v>1</v>
      </c>
      <c r="N3692">
        <v>0</v>
      </c>
      <c r="O3692">
        <v>2216</v>
      </c>
    </row>
    <row r="3693" spans="1:15" x14ac:dyDescent="0.25">
      <c r="A3693" t="s">
        <v>3706</v>
      </c>
      <c r="B3693">
        <v>260</v>
      </c>
      <c r="C3693" s="1" t="str">
        <f>HYPERLINK("http://www.rosaceae.org/gb/gbrowse/malus_x_domestica/?name=MDP0000273501","MDP0000273501")</f>
        <v>MDP0000273501</v>
      </c>
      <c r="D3693">
        <v>45.75</v>
      </c>
      <c r="E3693">
        <v>271</v>
      </c>
      <c r="F3693">
        <v>147</v>
      </c>
      <c r="G3693">
        <v>33</v>
      </c>
      <c r="H3693">
        <v>1</v>
      </c>
      <c r="I3693">
        <v>260</v>
      </c>
      <c r="J3693">
        <v>1</v>
      </c>
      <c r="K3693">
        <v>1</v>
      </c>
      <c r="L3693">
        <v>249</v>
      </c>
      <c r="M3693">
        <v>1</v>
      </c>
      <c r="N3693">
        <v>5.9044499999999999E-56</v>
      </c>
      <c r="O3693">
        <v>546</v>
      </c>
    </row>
    <row r="3694" spans="1:15" x14ac:dyDescent="0.25">
      <c r="A3694" t="s">
        <v>3707</v>
      </c>
      <c r="B3694">
        <v>225</v>
      </c>
      <c r="C3694" s="1" t="str">
        <f>HYPERLINK("http://www.rosaceae.org/gb/gbrowse/malus_x_domestica/?name=MDP0000307662","MDP0000307662")</f>
        <v>MDP0000307662</v>
      </c>
      <c r="D3694">
        <v>38.82</v>
      </c>
      <c r="E3694">
        <v>85</v>
      </c>
      <c r="F3694">
        <v>52</v>
      </c>
      <c r="G3694">
        <v>5</v>
      </c>
      <c r="H3694">
        <v>139</v>
      </c>
      <c r="I3694">
        <v>222</v>
      </c>
      <c r="J3694">
        <v>1</v>
      </c>
      <c r="K3694">
        <v>219</v>
      </c>
      <c r="L3694">
        <v>299</v>
      </c>
      <c r="M3694">
        <v>1</v>
      </c>
      <c r="N3694">
        <v>5.4898300000000003E-8</v>
      </c>
      <c r="O3694">
        <v>131</v>
      </c>
    </row>
    <row r="3695" spans="1:15" x14ac:dyDescent="0.25">
      <c r="A3695" t="s">
        <v>3708</v>
      </c>
      <c r="B3695">
        <v>180</v>
      </c>
      <c r="C3695" s="1" t="str">
        <f>HYPERLINK("http://www.rosaceae.org/gb/gbrowse/malus_x_domestica/?name=MDP0000233329","MDP0000233329")</f>
        <v>MDP0000233329</v>
      </c>
      <c r="D3695">
        <v>31.15</v>
      </c>
      <c r="E3695">
        <v>138</v>
      </c>
      <c r="F3695">
        <v>95</v>
      </c>
      <c r="G3695">
        <v>18</v>
      </c>
      <c r="H3695">
        <v>10</v>
      </c>
      <c r="I3695">
        <v>138</v>
      </c>
      <c r="J3695">
        <v>1</v>
      </c>
      <c r="K3695">
        <v>90</v>
      </c>
      <c r="L3695">
        <v>218</v>
      </c>
      <c r="M3695">
        <v>1</v>
      </c>
      <c r="N3695">
        <v>3.06824E-7</v>
      </c>
      <c r="O3695">
        <v>123</v>
      </c>
    </row>
    <row r="3696" spans="1:15" x14ac:dyDescent="0.25">
      <c r="A3696" t="s">
        <v>3709</v>
      </c>
      <c r="B3696">
        <v>175</v>
      </c>
      <c r="C3696" s="1" t="str">
        <f>HYPERLINK("http://www.rosaceae.org/gb/gbrowse/malus_x_domestica/?name=MDP0000272783","MDP0000272783")</f>
        <v>MDP0000272783</v>
      </c>
      <c r="D3696">
        <v>87.71</v>
      </c>
      <c r="E3696">
        <v>57</v>
      </c>
      <c r="F3696">
        <v>7</v>
      </c>
      <c r="G3696">
        <v>0</v>
      </c>
      <c r="H3696">
        <v>110</v>
      </c>
      <c r="I3696">
        <v>166</v>
      </c>
      <c r="J3696">
        <v>1</v>
      </c>
      <c r="K3696">
        <v>17</v>
      </c>
      <c r="L3696">
        <v>73</v>
      </c>
      <c r="M3696">
        <v>1</v>
      </c>
      <c r="N3696">
        <v>7.2376399999999996E-26</v>
      </c>
      <c r="O3696">
        <v>284</v>
      </c>
    </row>
    <row r="3697" spans="1:15" x14ac:dyDescent="0.25">
      <c r="A3697" t="s">
        <v>3710</v>
      </c>
      <c r="B3697">
        <v>468</v>
      </c>
      <c r="C3697" s="1" t="str">
        <f>HYPERLINK("http://www.rosaceae.org/gb/gbrowse/malus_x_domestica/?name=MDP0000295325","MDP0000295325")</f>
        <v>MDP0000295325</v>
      </c>
      <c r="D3697">
        <v>77.69</v>
      </c>
      <c r="E3697">
        <v>278</v>
      </c>
      <c r="F3697">
        <v>62</v>
      </c>
      <c r="G3697">
        <v>12</v>
      </c>
      <c r="H3697">
        <v>50</v>
      </c>
      <c r="I3697">
        <v>318</v>
      </c>
      <c r="J3697">
        <v>1</v>
      </c>
      <c r="K3697">
        <v>475</v>
      </c>
      <c r="L3697">
        <v>749</v>
      </c>
      <c r="M3697">
        <v>1</v>
      </c>
      <c r="N3697">
        <v>8.3987400000000006E-124</v>
      </c>
      <c r="O3697">
        <v>1134</v>
      </c>
    </row>
    <row r="3698" spans="1:15" x14ac:dyDescent="0.25">
      <c r="A3698" t="s">
        <v>3711</v>
      </c>
      <c r="B3698">
        <v>247</v>
      </c>
      <c r="C3698" s="1" t="str">
        <f>HYPERLINK("http://www.rosaceae.org/gb/gbrowse/malus_x_domestica/?name=MDP0000164473","MDP0000164473")</f>
        <v>MDP0000164473</v>
      </c>
      <c r="D3698">
        <v>88.21</v>
      </c>
      <c r="E3698">
        <v>246</v>
      </c>
      <c r="F3698">
        <v>29</v>
      </c>
      <c r="G3698">
        <v>0</v>
      </c>
      <c r="H3698">
        <v>1</v>
      </c>
      <c r="I3698">
        <v>246</v>
      </c>
      <c r="J3698">
        <v>1</v>
      </c>
      <c r="K3698">
        <v>1</v>
      </c>
      <c r="L3698">
        <v>246</v>
      </c>
      <c r="M3698">
        <v>1</v>
      </c>
      <c r="N3698">
        <v>1.5831300000000001E-129</v>
      </c>
      <c r="O3698">
        <v>1180</v>
      </c>
    </row>
    <row r="3699" spans="1:15" x14ac:dyDescent="0.25">
      <c r="A3699" t="s">
        <v>3712</v>
      </c>
      <c r="B3699">
        <v>841</v>
      </c>
      <c r="C3699" s="1" t="str">
        <f>HYPERLINK("http://www.rosaceae.org/gb/gbrowse/malus_x_domestica/?name=MDP0000929061","MDP0000929061")</f>
        <v>MDP0000929061</v>
      </c>
      <c r="D3699">
        <v>64.73</v>
      </c>
      <c r="E3699">
        <v>553</v>
      </c>
      <c r="F3699">
        <v>195</v>
      </c>
      <c r="G3699">
        <v>80</v>
      </c>
      <c r="H3699">
        <v>308</v>
      </c>
      <c r="I3699">
        <v>825</v>
      </c>
      <c r="J3699">
        <v>1</v>
      </c>
      <c r="K3699">
        <v>13</v>
      </c>
      <c r="L3699">
        <v>520</v>
      </c>
      <c r="M3699">
        <v>1</v>
      </c>
      <c r="N3699">
        <v>0</v>
      </c>
      <c r="O3699">
        <v>1676</v>
      </c>
    </row>
    <row r="3700" spans="1:15" x14ac:dyDescent="0.25">
      <c r="A3700" t="s">
        <v>3713</v>
      </c>
      <c r="B3700">
        <v>537</v>
      </c>
      <c r="C3700" s="1" t="str">
        <f>HYPERLINK("http://www.rosaceae.org/gb/gbrowse/malus_x_domestica/?name=MDP0000828007","MDP0000828007")</f>
        <v>MDP0000828007</v>
      </c>
      <c r="D3700">
        <v>70.2</v>
      </c>
      <c r="E3700">
        <v>537</v>
      </c>
      <c r="F3700">
        <v>160</v>
      </c>
      <c r="G3700">
        <v>38</v>
      </c>
      <c r="H3700">
        <v>1</v>
      </c>
      <c r="I3700">
        <v>516</v>
      </c>
      <c r="J3700">
        <v>1</v>
      </c>
      <c r="K3700">
        <v>31</v>
      </c>
      <c r="L3700">
        <v>550</v>
      </c>
      <c r="M3700">
        <v>1</v>
      </c>
      <c r="N3700">
        <v>0</v>
      </c>
      <c r="O3700">
        <v>1982</v>
      </c>
    </row>
    <row r="3701" spans="1:15" x14ac:dyDescent="0.25">
      <c r="A3701" t="s">
        <v>3714</v>
      </c>
      <c r="B3701">
        <v>433</v>
      </c>
      <c r="C3701" s="1" t="str">
        <f>HYPERLINK("http://www.rosaceae.org/gb/gbrowse/malus_x_domestica/?name=MDP0000235070","MDP0000235070")</f>
        <v>MDP0000235070</v>
      </c>
      <c r="D3701">
        <v>82.5</v>
      </c>
      <c r="E3701">
        <v>463</v>
      </c>
      <c r="F3701">
        <v>81</v>
      </c>
      <c r="G3701">
        <v>36</v>
      </c>
      <c r="H3701">
        <v>1</v>
      </c>
      <c r="I3701">
        <v>430</v>
      </c>
      <c r="J3701">
        <v>1</v>
      </c>
      <c r="K3701">
        <v>1</v>
      </c>
      <c r="L3701">
        <v>460</v>
      </c>
      <c r="M3701">
        <v>1</v>
      </c>
      <c r="N3701">
        <v>0</v>
      </c>
      <c r="O3701">
        <v>1993</v>
      </c>
    </row>
    <row r="3702" spans="1:15" x14ac:dyDescent="0.25">
      <c r="A3702" t="s">
        <v>3715</v>
      </c>
      <c r="B3702">
        <v>454</v>
      </c>
      <c r="C3702" s="1" t="str">
        <f>HYPERLINK("http://www.rosaceae.org/gb/gbrowse/malus_x_domestica/?name=MDP0000209263","MDP0000209263")</f>
        <v>MDP0000209263</v>
      </c>
      <c r="D3702">
        <v>85.43</v>
      </c>
      <c r="E3702">
        <v>412</v>
      </c>
      <c r="F3702">
        <v>60</v>
      </c>
      <c r="G3702">
        <v>0</v>
      </c>
      <c r="H3702">
        <v>43</v>
      </c>
      <c r="I3702">
        <v>454</v>
      </c>
      <c r="J3702">
        <v>1</v>
      </c>
      <c r="K3702">
        <v>50</v>
      </c>
      <c r="L3702">
        <v>461</v>
      </c>
      <c r="M3702">
        <v>1</v>
      </c>
      <c r="N3702">
        <v>0</v>
      </c>
      <c r="O3702">
        <v>1916</v>
      </c>
    </row>
    <row r="3703" spans="1:15" x14ac:dyDescent="0.25">
      <c r="A3703" t="s">
        <v>3716</v>
      </c>
      <c r="B3703">
        <v>369</v>
      </c>
      <c r="C3703" s="1" t="str">
        <f>HYPERLINK("http://www.rosaceae.org/gb/gbrowse/malus_x_domestica/?name=MDP0000296116","MDP0000296116")</f>
        <v>MDP0000296116</v>
      </c>
      <c r="D3703">
        <v>61.97</v>
      </c>
      <c r="E3703">
        <v>355</v>
      </c>
      <c r="F3703">
        <v>135</v>
      </c>
      <c r="G3703">
        <v>13</v>
      </c>
      <c r="H3703">
        <v>1</v>
      </c>
      <c r="I3703">
        <v>350</v>
      </c>
      <c r="J3703">
        <v>1</v>
      </c>
      <c r="K3703">
        <v>1</v>
      </c>
      <c r="L3703">
        <v>347</v>
      </c>
      <c r="M3703">
        <v>1</v>
      </c>
      <c r="N3703">
        <v>3.1283400000000001E-117</v>
      </c>
      <c r="O3703">
        <v>1076</v>
      </c>
    </row>
    <row r="3704" spans="1:15" x14ac:dyDescent="0.25">
      <c r="A3704" t="s">
        <v>3717</v>
      </c>
      <c r="B3704">
        <v>110</v>
      </c>
      <c r="C3704" s="1" t="str">
        <f>HYPERLINK("http://www.rosaceae.org/gb/gbrowse/malus_x_domestica/?name=MDP0000284678","MDP0000284678")</f>
        <v>MDP0000284678</v>
      </c>
      <c r="D3704">
        <v>48.95</v>
      </c>
      <c r="E3704">
        <v>96</v>
      </c>
      <c r="F3704">
        <v>49</v>
      </c>
      <c r="G3704">
        <v>12</v>
      </c>
      <c r="H3704">
        <v>17</v>
      </c>
      <c r="I3704">
        <v>110</v>
      </c>
      <c r="J3704">
        <v>1</v>
      </c>
      <c r="K3704">
        <v>663</v>
      </c>
      <c r="L3704">
        <v>748</v>
      </c>
      <c r="M3704">
        <v>1</v>
      </c>
      <c r="N3704">
        <v>5.16031E-14</v>
      </c>
      <c r="O3704">
        <v>178</v>
      </c>
    </row>
    <row r="3705" spans="1:15" x14ac:dyDescent="0.25">
      <c r="A3705" t="s">
        <v>3718</v>
      </c>
      <c r="B3705">
        <v>210</v>
      </c>
      <c r="C3705" s="1" t="str">
        <f>HYPERLINK("http://www.rosaceae.org/gb/gbrowse/malus_x_domestica/?name=MDP0000337339","MDP0000337339")</f>
        <v>MDP0000337339</v>
      </c>
      <c r="D3705">
        <v>68.63</v>
      </c>
      <c r="E3705">
        <v>220</v>
      </c>
      <c r="F3705">
        <v>69</v>
      </c>
      <c r="G3705">
        <v>11</v>
      </c>
      <c r="H3705">
        <v>1</v>
      </c>
      <c r="I3705">
        <v>210</v>
      </c>
      <c r="J3705">
        <v>1</v>
      </c>
      <c r="K3705">
        <v>1</v>
      </c>
      <c r="L3705">
        <v>219</v>
      </c>
      <c r="M3705">
        <v>1</v>
      </c>
      <c r="N3705">
        <v>5.91864E-71</v>
      </c>
      <c r="O3705">
        <v>674</v>
      </c>
    </row>
    <row r="3706" spans="1:15" x14ac:dyDescent="0.25">
      <c r="A3706" t="s">
        <v>3719</v>
      </c>
      <c r="B3706">
        <v>261</v>
      </c>
      <c r="C3706" s="1" t="str">
        <f>HYPERLINK("http://www.rosaceae.org/gb/gbrowse/malus_x_domestica/?name=MDP0000506266","MDP0000506266")</f>
        <v>MDP0000506266</v>
      </c>
      <c r="D3706">
        <v>48.54</v>
      </c>
      <c r="E3706">
        <v>274</v>
      </c>
      <c r="F3706">
        <v>141</v>
      </c>
      <c r="G3706">
        <v>67</v>
      </c>
      <c r="H3706">
        <v>4</v>
      </c>
      <c r="I3706">
        <v>260</v>
      </c>
      <c r="J3706">
        <v>1</v>
      </c>
      <c r="K3706">
        <v>6</v>
      </c>
      <c r="L3706">
        <v>229</v>
      </c>
      <c r="M3706">
        <v>1</v>
      </c>
      <c r="N3706">
        <v>1.02346E-50</v>
      </c>
      <c r="O3706">
        <v>501</v>
      </c>
    </row>
    <row r="3707" spans="1:15" x14ac:dyDescent="0.25">
      <c r="A3707" t="s">
        <v>3720</v>
      </c>
      <c r="B3707">
        <v>433</v>
      </c>
      <c r="C3707" s="1" t="str">
        <f>HYPERLINK("http://www.rosaceae.org/gb/gbrowse/malus_x_domestica/?name=MDP0000267681","MDP0000267681")</f>
        <v>MDP0000267681</v>
      </c>
      <c r="D3707">
        <v>30.04</v>
      </c>
      <c r="E3707">
        <v>223</v>
      </c>
      <c r="F3707">
        <v>156</v>
      </c>
      <c r="G3707">
        <v>47</v>
      </c>
      <c r="H3707">
        <v>99</v>
      </c>
      <c r="I3707">
        <v>298</v>
      </c>
      <c r="J3707">
        <v>1</v>
      </c>
      <c r="K3707">
        <v>13</v>
      </c>
      <c r="L3707">
        <v>211</v>
      </c>
      <c r="M3707">
        <v>1</v>
      </c>
      <c r="N3707">
        <v>1.6023100000000001E-13</v>
      </c>
      <c r="O3707">
        <v>182</v>
      </c>
    </row>
    <row r="3708" spans="1:15" x14ac:dyDescent="0.25">
      <c r="A3708" t="s">
        <v>3721</v>
      </c>
      <c r="B3708">
        <v>517</v>
      </c>
      <c r="C3708" s="1" t="str">
        <f>HYPERLINK("http://www.rosaceae.org/gb/gbrowse/malus_x_domestica/?name=MDP0000254861","MDP0000254861")</f>
        <v>MDP0000254861</v>
      </c>
      <c r="D3708">
        <v>92.04</v>
      </c>
      <c r="E3708">
        <v>88</v>
      </c>
      <c r="F3708">
        <v>7</v>
      </c>
      <c r="G3708">
        <v>0</v>
      </c>
      <c r="H3708">
        <v>425</v>
      </c>
      <c r="I3708">
        <v>512</v>
      </c>
      <c r="J3708">
        <v>1</v>
      </c>
      <c r="K3708">
        <v>349</v>
      </c>
      <c r="L3708">
        <v>436</v>
      </c>
      <c r="M3708">
        <v>1</v>
      </c>
      <c r="N3708">
        <v>8.4263500000000002E-41</v>
      </c>
      <c r="O3708">
        <v>418</v>
      </c>
    </row>
    <row r="3709" spans="1:15" x14ac:dyDescent="0.25">
      <c r="A3709" t="s">
        <v>3722</v>
      </c>
      <c r="B3709">
        <v>613</v>
      </c>
      <c r="C3709" s="1" t="str">
        <f>HYPERLINK("http://www.rosaceae.org/gb/gbrowse/malus_x_domestica/?name=MDP0000266067","MDP0000266067")</f>
        <v>MDP0000266067</v>
      </c>
      <c r="D3709">
        <v>38.22</v>
      </c>
      <c r="E3709">
        <v>641</v>
      </c>
      <c r="F3709">
        <v>396</v>
      </c>
      <c r="G3709">
        <v>81</v>
      </c>
      <c r="H3709">
        <v>22</v>
      </c>
      <c r="I3709">
        <v>606</v>
      </c>
      <c r="J3709">
        <v>1</v>
      </c>
      <c r="K3709">
        <v>21</v>
      </c>
      <c r="L3709">
        <v>636</v>
      </c>
      <c r="M3709">
        <v>1</v>
      </c>
      <c r="N3709">
        <v>9.2986499999999999E-92</v>
      </c>
      <c r="O3709">
        <v>859</v>
      </c>
    </row>
    <row r="3710" spans="1:15" x14ac:dyDescent="0.25">
      <c r="A3710" t="s">
        <v>3723</v>
      </c>
      <c r="B3710">
        <v>1119</v>
      </c>
      <c r="C3710" s="1" t="str">
        <f>HYPERLINK("http://www.rosaceae.org/gb/gbrowse/malus_x_domestica/?name=MDP0000258120","MDP0000258120")</f>
        <v>MDP0000258120</v>
      </c>
      <c r="D3710">
        <v>20.420000000000002</v>
      </c>
      <c r="E3710">
        <v>700</v>
      </c>
      <c r="F3710">
        <v>557</v>
      </c>
      <c r="G3710">
        <v>125</v>
      </c>
      <c r="H3710">
        <v>10</v>
      </c>
      <c r="I3710">
        <v>658</v>
      </c>
      <c r="J3710">
        <v>1</v>
      </c>
      <c r="K3710">
        <v>9</v>
      </c>
      <c r="L3710">
        <v>634</v>
      </c>
      <c r="M3710">
        <v>1</v>
      </c>
      <c r="N3710">
        <v>4.5043699999999999E-14</v>
      </c>
      <c r="O3710">
        <v>191</v>
      </c>
    </row>
    <row r="3711" spans="1:15" x14ac:dyDescent="0.25">
      <c r="A3711" t="s">
        <v>3724</v>
      </c>
      <c r="B3711">
        <v>411</v>
      </c>
      <c r="C3711" s="1" t="str">
        <f>HYPERLINK("http://www.rosaceae.org/gb/gbrowse/malus_x_domestica/?name=MDP0000303622","MDP0000303622")</f>
        <v>MDP0000303622</v>
      </c>
      <c r="D3711">
        <v>66.95</v>
      </c>
      <c r="E3711">
        <v>348</v>
      </c>
      <c r="F3711">
        <v>115</v>
      </c>
      <c r="G3711">
        <v>29</v>
      </c>
      <c r="H3711">
        <v>71</v>
      </c>
      <c r="I3711">
        <v>407</v>
      </c>
      <c r="J3711">
        <v>1</v>
      </c>
      <c r="K3711">
        <v>58</v>
      </c>
      <c r="L3711">
        <v>387</v>
      </c>
      <c r="M3711">
        <v>1</v>
      </c>
      <c r="N3711">
        <v>3.6801800000000002E-128</v>
      </c>
      <c r="O3711">
        <v>1171</v>
      </c>
    </row>
    <row r="3712" spans="1:15" x14ac:dyDescent="0.25">
      <c r="A3712" t="s">
        <v>3725</v>
      </c>
      <c r="B3712">
        <v>392</v>
      </c>
      <c r="C3712" s="1" t="str">
        <f>HYPERLINK("http://www.rosaceae.org/gb/gbrowse/malus_x_domestica/?name=MDP0000548396","MDP0000548396")</f>
        <v>MDP0000548396</v>
      </c>
      <c r="D3712">
        <v>70.08</v>
      </c>
      <c r="E3712">
        <v>371</v>
      </c>
      <c r="F3712">
        <v>111</v>
      </c>
      <c r="G3712">
        <v>0</v>
      </c>
      <c r="H3712">
        <v>3</v>
      </c>
      <c r="I3712">
        <v>373</v>
      </c>
      <c r="J3712">
        <v>1</v>
      </c>
      <c r="K3712">
        <v>4</v>
      </c>
      <c r="L3712">
        <v>374</v>
      </c>
      <c r="M3712">
        <v>1</v>
      </c>
      <c r="N3712">
        <v>1.50855E-158</v>
      </c>
      <c r="O3712">
        <v>1433</v>
      </c>
    </row>
    <row r="3713" spans="1:15" x14ac:dyDescent="0.25">
      <c r="A3713" t="s">
        <v>3726</v>
      </c>
      <c r="B3713">
        <v>382</v>
      </c>
      <c r="C3713" s="1" t="str">
        <f>HYPERLINK("http://www.rosaceae.org/gb/gbrowse/malus_x_domestica/?name=MDP0000464286","MDP0000464286")</f>
        <v>MDP0000464286</v>
      </c>
      <c r="D3713">
        <v>50.46</v>
      </c>
      <c r="E3713">
        <v>325</v>
      </c>
      <c r="F3713">
        <v>161</v>
      </c>
      <c r="G3713">
        <v>35</v>
      </c>
      <c r="H3713">
        <v>1</v>
      </c>
      <c r="I3713">
        <v>292</v>
      </c>
      <c r="J3713">
        <v>1</v>
      </c>
      <c r="K3713">
        <v>235</v>
      </c>
      <c r="L3713">
        <v>557</v>
      </c>
      <c r="M3713">
        <v>1</v>
      </c>
      <c r="N3713">
        <v>1.31142E-87</v>
      </c>
      <c r="O3713">
        <v>821</v>
      </c>
    </row>
    <row r="3714" spans="1:15" x14ac:dyDescent="0.25">
      <c r="A3714" t="s">
        <v>3727</v>
      </c>
      <c r="B3714">
        <v>144</v>
      </c>
      <c r="C3714" s="1" t="str">
        <f>HYPERLINK("http://www.rosaceae.org/gb/gbrowse/malus_x_domestica/?name=MDP0000670228","MDP0000670228")</f>
        <v>MDP0000670228</v>
      </c>
      <c r="D3714">
        <v>37.770000000000003</v>
      </c>
      <c r="E3714">
        <v>90</v>
      </c>
      <c r="F3714">
        <v>56</v>
      </c>
      <c r="G3714">
        <v>14</v>
      </c>
      <c r="H3714">
        <v>38</v>
      </c>
      <c r="I3714">
        <v>113</v>
      </c>
      <c r="J3714">
        <v>1</v>
      </c>
      <c r="K3714">
        <v>216</v>
      </c>
      <c r="L3714">
        <v>305</v>
      </c>
      <c r="M3714">
        <v>1</v>
      </c>
      <c r="N3714">
        <v>9.2551999999999994E-8</v>
      </c>
      <c r="O3714">
        <v>126</v>
      </c>
    </row>
    <row r="3715" spans="1:15" x14ac:dyDescent="0.25">
      <c r="A3715" t="s">
        <v>3728</v>
      </c>
      <c r="B3715">
        <v>563</v>
      </c>
      <c r="C3715" s="1" t="str">
        <f>HYPERLINK("http://www.rosaceae.org/gb/gbrowse/malus_x_domestica/?name=MDP0000235673","MDP0000235673")</f>
        <v>MDP0000235673</v>
      </c>
      <c r="D3715">
        <v>75.33</v>
      </c>
      <c r="E3715">
        <v>300</v>
      </c>
      <c r="F3715">
        <v>74</v>
      </c>
      <c r="G3715">
        <v>4</v>
      </c>
      <c r="H3715">
        <v>9</v>
      </c>
      <c r="I3715">
        <v>304</v>
      </c>
      <c r="J3715">
        <v>1</v>
      </c>
      <c r="K3715">
        <v>51</v>
      </c>
      <c r="L3715">
        <v>350</v>
      </c>
      <c r="M3715">
        <v>1</v>
      </c>
      <c r="N3715">
        <v>1.8744500000000001E-133</v>
      </c>
      <c r="O3715">
        <v>1218</v>
      </c>
    </row>
    <row r="3716" spans="1:15" x14ac:dyDescent="0.25">
      <c r="A3716" t="s">
        <v>3729</v>
      </c>
      <c r="B3716">
        <v>216</v>
      </c>
      <c r="C3716" s="1" t="str">
        <f>HYPERLINK("http://www.rosaceae.org/gb/gbrowse/malus_x_domestica/?name=MDP0000620349","MDP0000620349")</f>
        <v>MDP0000620349</v>
      </c>
      <c r="D3716">
        <v>56.49</v>
      </c>
      <c r="E3716">
        <v>177</v>
      </c>
      <c r="F3716">
        <v>77</v>
      </c>
      <c r="G3716">
        <v>5</v>
      </c>
      <c r="H3716">
        <v>40</v>
      </c>
      <c r="I3716">
        <v>216</v>
      </c>
      <c r="J3716">
        <v>1</v>
      </c>
      <c r="K3716">
        <v>133</v>
      </c>
      <c r="L3716">
        <v>304</v>
      </c>
      <c r="M3716">
        <v>1</v>
      </c>
      <c r="N3716">
        <v>4.8377199999999996E-56</v>
      </c>
      <c r="O3716">
        <v>545</v>
      </c>
    </row>
    <row r="3717" spans="1:15" x14ac:dyDescent="0.25">
      <c r="A3717" t="s">
        <v>3730</v>
      </c>
      <c r="B3717">
        <v>365</v>
      </c>
      <c r="C3717" s="1" t="str">
        <f>HYPERLINK("http://www.rosaceae.org/gb/gbrowse/malus_x_domestica/?name=MDP0000182439","MDP0000182439")</f>
        <v>MDP0000182439</v>
      </c>
      <c r="D3717">
        <v>69.81</v>
      </c>
      <c r="E3717">
        <v>381</v>
      </c>
      <c r="F3717">
        <v>115</v>
      </c>
      <c r="G3717">
        <v>25</v>
      </c>
      <c r="H3717">
        <v>1</v>
      </c>
      <c r="I3717">
        <v>365</v>
      </c>
      <c r="J3717">
        <v>1</v>
      </c>
      <c r="K3717">
        <v>1</v>
      </c>
      <c r="L3717">
        <v>372</v>
      </c>
      <c r="M3717">
        <v>1</v>
      </c>
      <c r="N3717">
        <v>4.0017299999999999E-136</v>
      </c>
      <c r="O3717">
        <v>1239</v>
      </c>
    </row>
    <row r="3718" spans="1:15" x14ac:dyDescent="0.25">
      <c r="A3718" t="s">
        <v>3731</v>
      </c>
      <c r="B3718">
        <v>232</v>
      </c>
      <c r="C3718" s="1" t="str">
        <f>HYPERLINK("http://www.rosaceae.org/gb/gbrowse/malus_x_domestica/?name=MDP0000487037","MDP0000487037")</f>
        <v>MDP0000487037</v>
      </c>
      <c r="D3718">
        <v>58.17</v>
      </c>
      <c r="E3718">
        <v>208</v>
      </c>
      <c r="F3718">
        <v>87</v>
      </c>
      <c r="G3718">
        <v>1</v>
      </c>
      <c r="H3718">
        <v>17</v>
      </c>
      <c r="I3718">
        <v>224</v>
      </c>
      <c r="J3718">
        <v>1</v>
      </c>
      <c r="K3718">
        <v>46</v>
      </c>
      <c r="L3718">
        <v>252</v>
      </c>
      <c r="M3718">
        <v>1</v>
      </c>
      <c r="N3718">
        <v>1.0388899999999999E-67</v>
      </c>
      <c r="O3718">
        <v>646</v>
      </c>
    </row>
    <row r="3719" spans="1:15" x14ac:dyDescent="0.25">
      <c r="A3719" t="s">
        <v>3732</v>
      </c>
      <c r="B3719">
        <v>275</v>
      </c>
      <c r="C3719" s="1" t="str">
        <f>HYPERLINK("http://www.rosaceae.org/gb/gbrowse/malus_x_domestica/?name=MDP0000162456","MDP0000162456")</f>
        <v>MDP0000162456</v>
      </c>
      <c r="D3719">
        <v>49.56</v>
      </c>
      <c r="E3719">
        <v>343</v>
      </c>
      <c r="F3719">
        <v>173</v>
      </c>
      <c r="G3719">
        <v>68</v>
      </c>
      <c r="H3719">
        <v>1</v>
      </c>
      <c r="I3719">
        <v>275</v>
      </c>
      <c r="J3719">
        <v>1</v>
      </c>
      <c r="K3719">
        <v>1</v>
      </c>
      <c r="L3719">
        <v>343</v>
      </c>
      <c r="M3719">
        <v>1</v>
      </c>
      <c r="N3719">
        <v>7.9393200000000006E-90</v>
      </c>
      <c r="O3719">
        <v>838</v>
      </c>
    </row>
    <row r="3720" spans="1:15" x14ac:dyDescent="0.25">
      <c r="A3720" t="s">
        <v>3733</v>
      </c>
      <c r="B3720">
        <v>160</v>
      </c>
      <c r="C3720" s="1" t="str">
        <f>HYPERLINK("http://www.rosaceae.org/gb/gbrowse/malus_x_domestica/?name=MDP0000326058","MDP0000326058")</f>
        <v>MDP0000326058</v>
      </c>
      <c r="D3720">
        <v>72.180000000000007</v>
      </c>
      <c r="E3720">
        <v>133</v>
      </c>
      <c r="F3720">
        <v>37</v>
      </c>
      <c r="G3720">
        <v>4</v>
      </c>
      <c r="H3720">
        <v>1</v>
      </c>
      <c r="I3720">
        <v>133</v>
      </c>
      <c r="J3720">
        <v>1</v>
      </c>
      <c r="K3720">
        <v>53</v>
      </c>
      <c r="L3720">
        <v>181</v>
      </c>
      <c r="M3720">
        <v>1</v>
      </c>
      <c r="N3720">
        <v>9.7185699999999991E-47</v>
      </c>
      <c r="O3720">
        <v>463</v>
      </c>
    </row>
    <row r="3721" spans="1:15" x14ac:dyDescent="0.25">
      <c r="A3721" t="s">
        <v>3734</v>
      </c>
      <c r="B3721">
        <v>482</v>
      </c>
      <c r="C3721" s="1" t="str">
        <f>HYPERLINK("http://www.rosaceae.org/gb/gbrowse/malus_x_domestica/?name=MDP0000305386","MDP0000305386")</f>
        <v>MDP0000305386</v>
      </c>
      <c r="D3721">
        <v>76.66</v>
      </c>
      <c r="E3721">
        <v>480</v>
      </c>
      <c r="F3721">
        <v>112</v>
      </c>
      <c r="G3721">
        <v>14</v>
      </c>
      <c r="H3721">
        <v>2</v>
      </c>
      <c r="I3721">
        <v>479</v>
      </c>
      <c r="J3721">
        <v>1</v>
      </c>
      <c r="K3721">
        <v>3</v>
      </c>
      <c r="L3721">
        <v>470</v>
      </c>
      <c r="M3721">
        <v>1</v>
      </c>
      <c r="N3721">
        <v>0</v>
      </c>
      <c r="O3721">
        <v>1918</v>
      </c>
    </row>
    <row r="3722" spans="1:15" x14ac:dyDescent="0.25">
      <c r="A3722" t="s">
        <v>3735</v>
      </c>
      <c r="B3722">
        <v>360</v>
      </c>
      <c r="C3722" s="1" t="str">
        <f>HYPERLINK("http://www.rosaceae.org/gb/gbrowse/malus_x_domestica/?name=MDP0000212819","MDP0000212819")</f>
        <v>MDP0000212819</v>
      </c>
      <c r="D3722">
        <v>43.5</v>
      </c>
      <c r="E3722">
        <v>154</v>
      </c>
      <c r="F3722">
        <v>87</v>
      </c>
      <c r="G3722">
        <v>25</v>
      </c>
      <c r="H3722">
        <v>213</v>
      </c>
      <c r="I3722">
        <v>360</v>
      </c>
      <c r="J3722">
        <v>1</v>
      </c>
      <c r="K3722">
        <v>164</v>
      </c>
      <c r="L3722">
        <v>298</v>
      </c>
      <c r="M3722">
        <v>1</v>
      </c>
      <c r="N3722">
        <v>1.9983E-18</v>
      </c>
      <c r="O3722">
        <v>224</v>
      </c>
    </row>
    <row r="3723" spans="1:15" x14ac:dyDescent="0.25">
      <c r="A3723" t="s">
        <v>3736</v>
      </c>
      <c r="B3723">
        <v>99</v>
      </c>
      <c r="C3723" s="1" t="str">
        <f>HYPERLINK("http://www.rosaceae.org/gb/gbrowse/malus_x_domestica/?name=MDP0000853667","MDP0000853667")</f>
        <v>MDP0000853667</v>
      </c>
      <c r="D3723">
        <v>56.17</v>
      </c>
      <c r="E3723">
        <v>89</v>
      </c>
      <c r="F3723">
        <v>39</v>
      </c>
      <c r="G3723">
        <v>1</v>
      </c>
      <c r="H3723">
        <v>1</v>
      </c>
      <c r="I3723">
        <v>89</v>
      </c>
      <c r="J3723">
        <v>1</v>
      </c>
      <c r="K3723">
        <v>88</v>
      </c>
      <c r="L3723">
        <v>175</v>
      </c>
      <c r="M3723">
        <v>1</v>
      </c>
      <c r="N3723">
        <v>6.3946800000000003E-25</v>
      </c>
      <c r="O3723">
        <v>272</v>
      </c>
    </row>
    <row r="3724" spans="1:15" x14ac:dyDescent="0.25">
      <c r="A3724" t="s">
        <v>3737</v>
      </c>
      <c r="B3724">
        <v>367</v>
      </c>
      <c r="C3724" s="1" t="str">
        <f>HYPERLINK("http://www.rosaceae.org/gb/gbrowse/malus_x_domestica/?name=MDP0000211494","MDP0000211494")</f>
        <v>MDP0000211494</v>
      </c>
      <c r="D3724">
        <v>82.1</v>
      </c>
      <c r="E3724">
        <v>95</v>
      </c>
      <c r="F3724">
        <v>17</v>
      </c>
      <c r="G3724">
        <v>1</v>
      </c>
      <c r="H3724">
        <v>17</v>
      </c>
      <c r="I3724">
        <v>110</v>
      </c>
      <c r="J3724">
        <v>1</v>
      </c>
      <c r="K3724">
        <v>662</v>
      </c>
      <c r="L3724">
        <v>756</v>
      </c>
      <c r="M3724">
        <v>1</v>
      </c>
      <c r="N3724">
        <v>1.4866400000000001E-38</v>
      </c>
      <c r="O3724">
        <v>397</v>
      </c>
    </row>
    <row r="3725" spans="1:15" x14ac:dyDescent="0.25">
      <c r="A3725" t="s">
        <v>3738</v>
      </c>
      <c r="B3725">
        <v>107</v>
      </c>
      <c r="C3725" s="1" t="str">
        <f>HYPERLINK("http://www.rosaceae.org/gb/gbrowse/malus_x_domestica/?name=MDP0000164135","MDP0000164135")</f>
        <v>MDP0000164135</v>
      </c>
      <c r="D3725">
        <v>46.91</v>
      </c>
      <c r="E3725">
        <v>81</v>
      </c>
      <c r="F3725">
        <v>43</v>
      </c>
      <c r="G3725">
        <v>0</v>
      </c>
      <c r="H3725">
        <v>27</v>
      </c>
      <c r="I3725">
        <v>107</v>
      </c>
      <c r="J3725">
        <v>1</v>
      </c>
      <c r="K3725">
        <v>151</v>
      </c>
      <c r="L3725">
        <v>231</v>
      </c>
      <c r="M3725">
        <v>1</v>
      </c>
      <c r="N3725">
        <v>1.63458E-14</v>
      </c>
      <c r="O3725">
        <v>183</v>
      </c>
    </row>
    <row r="3726" spans="1:15" x14ac:dyDescent="0.25">
      <c r="A3726" t="s">
        <v>3739</v>
      </c>
      <c r="B3726">
        <v>318</v>
      </c>
      <c r="C3726" s="1" t="str">
        <f>HYPERLINK("http://www.rosaceae.org/gb/gbrowse/malus_x_domestica/?name=MDP0000669078","MDP0000669078")</f>
        <v>MDP0000669078</v>
      </c>
      <c r="D3726">
        <v>74.599999999999994</v>
      </c>
      <c r="E3726">
        <v>252</v>
      </c>
      <c r="F3726">
        <v>64</v>
      </c>
      <c r="G3726">
        <v>21</v>
      </c>
      <c r="H3726">
        <v>1</v>
      </c>
      <c r="I3726">
        <v>245</v>
      </c>
      <c r="J3726">
        <v>1</v>
      </c>
      <c r="K3726">
        <v>1</v>
      </c>
      <c r="L3726">
        <v>238</v>
      </c>
      <c r="M3726">
        <v>1</v>
      </c>
      <c r="N3726">
        <v>3.0540700000000001E-93</v>
      </c>
      <c r="O3726">
        <v>868</v>
      </c>
    </row>
    <row r="3727" spans="1:15" x14ac:dyDescent="0.25">
      <c r="A3727" t="s">
        <v>3740</v>
      </c>
      <c r="B3727">
        <v>561</v>
      </c>
      <c r="C3727" s="1" t="str">
        <f>HYPERLINK("http://www.rosaceae.org/gb/gbrowse/malus_x_domestica/?name=MDP0000283038","MDP0000283038")</f>
        <v>MDP0000283038</v>
      </c>
      <c r="D3727">
        <v>70.22</v>
      </c>
      <c r="E3727">
        <v>524</v>
      </c>
      <c r="F3727">
        <v>156</v>
      </c>
      <c r="G3727">
        <v>3</v>
      </c>
      <c r="H3727">
        <v>32</v>
      </c>
      <c r="I3727">
        <v>555</v>
      </c>
      <c r="J3727">
        <v>1</v>
      </c>
      <c r="K3727">
        <v>83</v>
      </c>
      <c r="L3727">
        <v>603</v>
      </c>
      <c r="M3727">
        <v>1</v>
      </c>
      <c r="N3727">
        <v>0</v>
      </c>
      <c r="O3727">
        <v>1930</v>
      </c>
    </row>
    <row r="3728" spans="1:15" x14ac:dyDescent="0.25">
      <c r="A3728" t="s">
        <v>3741</v>
      </c>
      <c r="B3728">
        <v>436</v>
      </c>
      <c r="C3728" s="1" t="str">
        <f>HYPERLINK("http://www.rosaceae.org/gb/gbrowse/malus_x_domestica/?name=MDP0000320596","MDP0000320596")</f>
        <v>MDP0000320596</v>
      </c>
      <c r="D3728">
        <v>68.69</v>
      </c>
      <c r="E3728">
        <v>329</v>
      </c>
      <c r="F3728">
        <v>103</v>
      </c>
      <c r="G3728">
        <v>9</v>
      </c>
      <c r="H3728">
        <v>115</v>
      </c>
      <c r="I3728">
        <v>434</v>
      </c>
      <c r="J3728">
        <v>1</v>
      </c>
      <c r="K3728">
        <v>157</v>
      </c>
      <c r="L3728">
        <v>485</v>
      </c>
      <c r="M3728">
        <v>1</v>
      </c>
      <c r="N3728">
        <v>1.5005200000000001E-127</v>
      </c>
      <c r="O3728">
        <v>1166</v>
      </c>
    </row>
    <row r="3729" spans="1:15" x14ac:dyDescent="0.25">
      <c r="A3729" t="s">
        <v>3742</v>
      </c>
      <c r="B3729">
        <v>432</v>
      </c>
      <c r="C3729" s="1" t="str">
        <f>HYPERLINK("http://www.rosaceae.org/gb/gbrowse/malus_x_domestica/?name=MDP0000209731","MDP0000209731")</f>
        <v>MDP0000209731</v>
      </c>
      <c r="D3729">
        <v>63.06</v>
      </c>
      <c r="E3729">
        <v>417</v>
      </c>
      <c r="F3729">
        <v>154</v>
      </c>
      <c r="G3729">
        <v>16</v>
      </c>
      <c r="H3729">
        <v>6</v>
      </c>
      <c r="I3729">
        <v>413</v>
      </c>
      <c r="J3729">
        <v>1</v>
      </c>
      <c r="K3729">
        <v>33</v>
      </c>
      <c r="L3729">
        <v>442</v>
      </c>
      <c r="M3729">
        <v>1</v>
      </c>
      <c r="N3729">
        <v>8.7955999999999997E-144</v>
      </c>
      <c r="O3729">
        <v>1306</v>
      </c>
    </row>
    <row r="3730" spans="1:15" x14ac:dyDescent="0.25">
      <c r="A3730" t="s">
        <v>3743</v>
      </c>
      <c r="B3730">
        <v>1056</v>
      </c>
      <c r="C3730" s="1" t="str">
        <f>HYPERLINK("http://www.rosaceae.org/gb/gbrowse/malus_x_domestica/?name=MDP0000227346","MDP0000227346")</f>
        <v>MDP0000227346</v>
      </c>
      <c r="D3730">
        <v>74.73</v>
      </c>
      <c r="E3730">
        <v>839</v>
      </c>
      <c r="F3730">
        <v>212</v>
      </c>
      <c r="G3730">
        <v>0</v>
      </c>
      <c r="H3730">
        <v>26</v>
      </c>
      <c r="I3730">
        <v>864</v>
      </c>
      <c r="J3730">
        <v>1</v>
      </c>
      <c r="K3730">
        <v>25</v>
      </c>
      <c r="L3730">
        <v>863</v>
      </c>
      <c r="M3730">
        <v>1</v>
      </c>
      <c r="N3730">
        <v>0</v>
      </c>
      <c r="O3730">
        <v>3222</v>
      </c>
    </row>
    <row r="3731" spans="1:15" x14ac:dyDescent="0.25">
      <c r="A3731" t="s">
        <v>3744</v>
      </c>
      <c r="B3731">
        <v>136</v>
      </c>
      <c r="C3731" s="1" t="str">
        <f>HYPERLINK("http://www.rosaceae.org/gb/gbrowse/malus_x_domestica/?name=MDP0000891103","MDP0000891103")</f>
        <v>MDP0000891103</v>
      </c>
      <c r="D3731">
        <v>34.44</v>
      </c>
      <c r="E3731">
        <v>90</v>
      </c>
      <c r="F3731">
        <v>59</v>
      </c>
      <c r="G3731">
        <v>0</v>
      </c>
      <c r="H3731">
        <v>9</v>
      </c>
      <c r="I3731">
        <v>98</v>
      </c>
      <c r="J3731">
        <v>1</v>
      </c>
      <c r="K3731">
        <v>10</v>
      </c>
      <c r="L3731">
        <v>99</v>
      </c>
      <c r="M3731">
        <v>1</v>
      </c>
      <c r="N3731">
        <v>7.8785599999999993E-9</v>
      </c>
      <c r="O3731">
        <v>135</v>
      </c>
    </row>
    <row r="3732" spans="1:15" x14ac:dyDescent="0.25">
      <c r="A3732" t="s">
        <v>3745</v>
      </c>
      <c r="B3732">
        <v>803</v>
      </c>
      <c r="C3732" s="1" t="str">
        <f>HYPERLINK("http://www.rosaceae.org/gb/gbrowse/malus_x_domestica/?name=MDP0000895948","MDP0000895948")</f>
        <v>MDP0000895948</v>
      </c>
      <c r="D3732">
        <v>83.37</v>
      </c>
      <c r="E3732">
        <v>722</v>
      </c>
      <c r="F3732">
        <v>120</v>
      </c>
      <c r="G3732">
        <v>0</v>
      </c>
      <c r="H3732">
        <v>67</v>
      </c>
      <c r="I3732">
        <v>788</v>
      </c>
      <c r="J3732">
        <v>1</v>
      </c>
      <c r="K3732">
        <v>111</v>
      </c>
      <c r="L3732">
        <v>832</v>
      </c>
      <c r="M3732">
        <v>1</v>
      </c>
      <c r="N3732">
        <v>0</v>
      </c>
      <c r="O3732">
        <v>3190</v>
      </c>
    </row>
    <row r="3733" spans="1:15" x14ac:dyDescent="0.25">
      <c r="A3733" t="s">
        <v>3746</v>
      </c>
      <c r="B3733">
        <v>331</v>
      </c>
      <c r="C3733" s="1" t="str">
        <f>HYPERLINK("http://www.rosaceae.org/gb/gbrowse/malus_x_domestica/?name=MDP0000320408","MDP0000320408")</f>
        <v>MDP0000320408</v>
      </c>
      <c r="D3733">
        <v>78.27</v>
      </c>
      <c r="E3733">
        <v>336</v>
      </c>
      <c r="F3733">
        <v>73</v>
      </c>
      <c r="G3733">
        <v>43</v>
      </c>
      <c r="H3733">
        <v>34</v>
      </c>
      <c r="I3733">
        <v>331</v>
      </c>
      <c r="J3733">
        <v>1</v>
      </c>
      <c r="K3733">
        <v>5</v>
      </c>
      <c r="L3733">
        <v>335</v>
      </c>
      <c r="M3733">
        <v>1</v>
      </c>
      <c r="N3733">
        <v>1.6745599999999999E-153</v>
      </c>
      <c r="O3733">
        <v>1388</v>
      </c>
    </row>
    <row r="3734" spans="1:15" x14ac:dyDescent="0.25">
      <c r="A3734" t="s">
        <v>3747</v>
      </c>
      <c r="B3734">
        <v>162</v>
      </c>
      <c r="C3734" s="1" t="str">
        <f>HYPERLINK("http://www.rosaceae.org/gb/gbrowse/malus_x_domestica/?name=MDP0000815376","MDP0000815376")</f>
        <v>MDP0000815376</v>
      </c>
      <c r="D3734">
        <v>75.23</v>
      </c>
      <c r="E3734">
        <v>105</v>
      </c>
      <c r="F3734">
        <v>26</v>
      </c>
      <c r="G3734">
        <v>0</v>
      </c>
      <c r="H3734">
        <v>37</v>
      </c>
      <c r="I3734">
        <v>141</v>
      </c>
      <c r="J3734">
        <v>1</v>
      </c>
      <c r="K3734">
        <v>18</v>
      </c>
      <c r="L3734">
        <v>122</v>
      </c>
      <c r="M3734">
        <v>1</v>
      </c>
      <c r="N3734">
        <v>1.1188E-39</v>
      </c>
      <c r="O3734">
        <v>402</v>
      </c>
    </row>
    <row r="3735" spans="1:15" x14ac:dyDescent="0.25">
      <c r="A3735" t="s">
        <v>3748</v>
      </c>
      <c r="B3735">
        <v>595</v>
      </c>
      <c r="C3735" s="1" t="str">
        <f>HYPERLINK("http://www.rosaceae.org/gb/gbrowse/malus_x_domestica/?name=MDP0000319550","MDP0000319550")</f>
        <v>MDP0000319550</v>
      </c>
      <c r="D3735">
        <v>58.71</v>
      </c>
      <c r="E3735">
        <v>574</v>
      </c>
      <c r="F3735">
        <v>237</v>
      </c>
      <c r="G3735">
        <v>17</v>
      </c>
      <c r="H3735">
        <v>12</v>
      </c>
      <c r="I3735">
        <v>574</v>
      </c>
      <c r="J3735">
        <v>1</v>
      </c>
      <c r="K3735">
        <v>21</v>
      </c>
      <c r="L3735">
        <v>588</v>
      </c>
      <c r="M3735">
        <v>1</v>
      </c>
      <c r="N3735">
        <v>0</v>
      </c>
      <c r="O3735">
        <v>1786</v>
      </c>
    </row>
    <row r="3736" spans="1:15" x14ac:dyDescent="0.25">
      <c r="A3736" t="s">
        <v>3749</v>
      </c>
      <c r="B3736">
        <v>238</v>
      </c>
      <c r="C3736" s="1" t="str">
        <f>HYPERLINK("http://www.rosaceae.org/gb/gbrowse/malus_x_domestica/?name=MDP0000128857","MDP0000128857")</f>
        <v>MDP0000128857</v>
      </c>
      <c r="D3736">
        <v>29.3</v>
      </c>
      <c r="E3736">
        <v>215</v>
      </c>
      <c r="F3736">
        <v>152</v>
      </c>
      <c r="G3736">
        <v>10</v>
      </c>
      <c r="H3736">
        <v>3</v>
      </c>
      <c r="I3736">
        <v>216</v>
      </c>
      <c r="J3736">
        <v>1</v>
      </c>
      <c r="K3736">
        <v>507</v>
      </c>
      <c r="L3736">
        <v>712</v>
      </c>
      <c r="M3736">
        <v>1</v>
      </c>
      <c r="N3736">
        <v>2.79906E-25</v>
      </c>
      <c r="O3736">
        <v>281</v>
      </c>
    </row>
    <row r="3737" spans="1:15" x14ac:dyDescent="0.25">
      <c r="A3737" t="s">
        <v>3750</v>
      </c>
      <c r="B3737">
        <v>200</v>
      </c>
      <c r="C3737" s="1" t="str">
        <f>HYPERLINK("http://www.rosaceae.org/gb/gbrowse/malus_x_domestica/?name=MDP0000597996","MDP0000597996")</f>
        <v>MDP0000597996</v>
      </c>
      <c r="D3737">
        <v>80.53</v>
      </c>
      <c r="E3737">
        <v>226</v>
      </c>
      <c r="F3737">
        <v>44</v>
      </c>
      <c r="G3737">
        <v>26</v>
      </c>
      <c r="H3737">
        <v>1</v>
      </c>
      <c r="I3737">
        <v>200</v>
      </c>
      <c r="J3737">
        <v>1</v>
      </c>
      <c r="K3737">
        <v>1</v>
      </c>
      <c r="L3737">
        <v>226</v>
      </c>
      <c r="M3737">
        <v>1</v>
      </c>
      <c r="N3737">
        <v>3.0437000000000001E-100</v>
      </c>
      <c r="O3737">
        <v>926</v>
      </c>
    </row>
    <row r="3738" spans="1:15" x14ac:dyDescent="0.25">
      <c r="A3738" t="s">
        <v>3751</v>
      </c>
      <c r="B3738">
        <v>460</v>
      </c>
      <c r="C3738" s="1" t="str">
        <f>HYPERLINK("http://www.rosaceae.org/gb/gbrowse/malus_x_domestica/?name=MDP0000149769","MDP0000149769")</f>
        <v>MDP0000149769</v>
      </c>
      <c r="D3738">
        <v>57.56</v>
      </c>
      <c r="E3738">
        <v>304</v>
      </c>
      <c r="F3738">
        <v>129</v>
      </c>
      <c r="G3738">
        <v>57</v>
      </c>
      <c r="H3738">
        <v>1</v>
      </c>
      <c r="I3738">
        <v>301</v>
      </c>
      <c r="J3738">
        <v>1</v>
      </c>
      <c r="K3738">
        <v>1</v>
      </c>
      <c r="L3738">
        <v>250</v>
      </c>
      <c r="M3738">
        <v>1</v>
      </c>
      <c r="N3738">
        <v>3.8538200000000001E-86</v>
      </c>
      <c r="O3738">
        <v>809</v>
      </c>
    </row>
    <row r="3739" spans="1:15" x14ac:dyDescent="0.25">
      <c r="A3739" t="s">
        <v>3752</v>
      </c>
      <c r="B3739">
        <v>142</v>
      </c>
      <c r="C3739" s="1" t="str">
        <f>HYPERLINK("http://www.rosaceae.org/gb/gbrowse/malus_x_domestica/?name=MDP0000182631","MDP0000182631")</f>
        <v>MDP0000182631</v>
      </c>
      <c r="D3739">
        <v>48.94</v>
      </c>
      <c r="E3739">
        <v>190</v>
      </c>
      <c r="F3739">
        <v>97</v>
      </c>
      <c r="G3739">
        <v>61</v>
      </c>
      <c r="H3739">
        <v>7</v>
      </c>
      <c r="I3739">
        <v>136</v>
      </c>
      <c r="J3739">
        <v>1</v>
      </c>
      <c r="K3739">
        <v>20</v>
      </c>
      <c r="L3739">
        <v>208</v>
      </c>
      <c r="M3739">
        <v>1</v>
      </c>
      <c r="N3739">
        <v>2.39645E-41</v>
      </c>
      <c r="O3739">
        <v>415</v>
      </c>
    </row>
    <row r="3740" spans="1:15" x14ac:dyDescent="0.25">
      <c r="A3740" t="s">
        <v>3753</v>
      </c>
      <c r="B3740">
        <v>483</v>
      </c>
      <c r="C3740" s="1" t="str">
        <f>HYPERLINK("http://www.rosaceae.org/gb/gbrowse/malus_x_domestica/?name=MDP0000212260","MDP0000212260")</f>
        <v>MDP0000212260</v>
      </c>
      <c r="D3740">
        <v>72.66</v>
      </c>
      <c r="E3740">
        <v>150</v>
      </c>
      <c r="F3740">
        <v>41</v>
      </c>
      <c r="G3740">
        <v>2</v>
      </c>
      <c r="H3740">
        <v>264</v>
      </c>
      <c r="I3740">
        <v>412</v>
      </c>
      <c r="J3740">
        <v>1</v>
      </c>
      <c r="K3740">
        <v>1</v>
      </c>
      <c r="L3740">
        <v>149</v>
      </c>
      <c r="M3740">
        <v>1</v>
      </c>
      <c r="N3740">
        <v>2.4038900000000001E-61</v>
      </c>
      <c r="O3740">
        <v>595</v>
      </c>
    </row>
    <row r="3741" spans="1:15" x14ac:dyDescent="0.25">
      <c r="A3741" t="s">
        <v>3754</v>
      </c>
      <c r="B3741">
        <v>371</v>
      </c>
      <c r="C3741" s="1" t="str">
        <f>HYPERLINK("http://www.rosaceae.org/gb/gbrowse/malus_x_domestica/?name=MDP0000207346","MDP0000207346")</f>
        <v>MDP0000207346</v>
      </c>
      <c r="D3741">
        <v>72</v>
      </c>
      <c r="E3741">
        <v>300</v>
      </c>
      <c r="F3741">
        <v>84</v>
      </c>
      <c r="G3741">
        <v>50</v>
      </c>
      <c r="H3741">
        <v>35</v>
      </c>
      <c r="I3741">
        <v>285</v>
      </c>
      <c r="J3741">
        <v>1</v>
      </c>
      <c r="K3741">
        <v>33</v>
      </c>
      <c r="L3741">
        <v>331</v>
      </c>
      <c r="M3741">
        <v>1</v>
      </c>
      <c r="N3741">
        <v>5.5192400000000001E-113</v>
      </c>
      <c r="O3741">
        <v>1039</v>
      </c>
    </row>
    <row r="3742" spans="1:15" x14ac:dyDescent="0.25">
      <c r="A3742" t="s">
        <v>3755</v>
      </c>
      <c r="B3742">
        <v>474</v>
      </c>
      <c r="C3742" s="1" t="str">
        <f>HYPERLINK("http://www.rosaceae.org/gb/gbrowse/malus_x_domestica/?name=MDP0000261112","MDP0000261112")</f>
        <v>MDP0000261112</v>
      </c>
      <c r="D3742">
        <v>50.68</v>
      </c>
      <c r="E3742">
        <v>363</v>
      </c>
      <c r="F3742">
        <v>179</v>
      </c>
      <c r="G3742">
        <v>55</v>
      </c>
      <c r="H3742">
        <v>117</v>
      </c>
      <c r="I3742">
        <v>452</v>
      </c>
      <c r="J3742">
        <v>1</v>
      </c>
      <c r="K3742">
        <v>5</v>
      </c>
      <c r="L3742">
        <v>339</v>
      </c>
      <c r="M3742">
        <v>1</v>
      </c>
      <c r="N3742">
        <v>1.08268E-81</v>
      </c>
      <c r="O3742">
        <v>771</v>
      </c>
    </row>
    <row r="3743" spans="1:15" x14ac:dyDescent="0.25">
      <c r="A3743" t="s">
        <v>3756</v>
      </c>
      <c r="B3743">
        <v>262</v>
      </c>
      <c r="C3743" s="1" t="str">
        <f>HYPERLINK("http://www.rosaceae.org/gb/gbrowse/malus_x_domestica/?name=MDP0000570901","MDP0000570901")</f>
        <v>MDP0000570901</v>
      </c>
      <c r="D3743">
        <v>73.760000000000005</v>
      </c>
      <c r="E3743">
        <v>263</v>
      </c>
      <c r="F3743">
        <v>69</v>
      </c>
      <c r="G3743">
        <v>17</v>
      </c>
      <c r="H3743">
        <v>12</v>
      </c>
      <c r="I3743">
        <v>262</v>
      </c>
      <c r="J3743">
        <v>1</v>
      </c>
      <c r="K3743">
        <v>36</v>
      </c>
      <c r="L3743">
        <v>293</v>
      </c>
      <c r="M3743">
        <v>1</v>
      </c>
      <c r="N3743">
        <v>2.6680400000000002E-105</v>
      </c>
      <c r="O3743">
        <v>971</v>
      </c>
    </row>
    <row r="3744" spans="1:15" x14ac:dyDescent="0.25">
      <c r="A3744" t="s">
        <v>3757</v>
      </c>
      <c r="B3744">
        <v>387</v>
      </c>
      <c r="C3744" s="1" t="str">
        <f>HYPERLINK("http://www.rosaceae.org/gb/gbrowse/malus_x_domestica/?name=MDP0000492916","MDP0000492916")</f>
        <v>MDP0000492916</v>
      </c>
      <c r="D3744">
        <v>81.23</v>
      </c>
      <c r="E3744">
        <v>341</v>
      </c>
      <c r="F3744">
        <v>64</v>
      </c>
      <c r="G3744">
        <v>0</v>
      </c>
      <c r="H3744">
        <v>42</v>
      </c>
      <c r="I3744">
        <v>382</v>
      </c>
      <c r="J3744">
        <v>1</v>
      </c>
      <c r="K3744">
        <v>64</v>
      </c>
      <c r="L3744">
        <v>404</v>
      </c>
      <c r="M3744">
        <v>1</v>
      </c>
      <c r="N3744">
        <v>1.37185E-166</v>
      </c>
      <c r="O3744">
        <v>1502</v>
      </c>
    </row>
    <row r="3745" spans="1:15" x14ac:dyDescent="0.25">
      <c r="A3745" t="s">
        <v>3758</v>
      </c>
      <c r="B3745">
        <v>132</v>
      </c>
      <c r="C3745" s="1" t="str">
        <f>HYPERLINK("http://www.rosaceae.org/gb/gbrowse/malus_x_domestica/?name=MDP0000418040","MDP0000418040")</f>
        <v>MDP0000418040</v>
      </c>
      <c r="D3745">
        <v>38.630000000000003</v>
      </c>
      <c r="E3745">
        <v>88</v>
      </c>
      <c r="F3745">
        <v>54</v>
      </c>
      <c r="G3745">
        <v>0</v>
      </c>
      <c r="H3745">
        <v>40</v>
      </c>
      <c r="I3745">
        <v>127</v>
      </c>
      <c r="J3745">
        <v>1</v>
      </c>
      <c r="K3745">
        <v>55</v>
      </c>
      <c r="L3745">
        <v>142</v>
      </c>
      <c r="M3745">
        <v>1</v>
      </c>
      <c r="N3745">
        <v>2.43767E-14</v>
      </c>
      <c r="O3745">
        <v>182</v>
      </c>
    </row>
    <row r="3746" spans="1:15" x14ac:dyDescent="0.25">
      <c r="A3746" t="s">
        <v>3759</v>
      </c>
      <c r="B3746">
        <v>362</v>
      </c>
      <c r="C3746" s="1" t="str">
        <f>HYPERLINK("http://www.rosaceae.org/gb/gbrowse/malus_x_domestica/?name=MDP0000131356","MDP0000131356")</f>
        <v>MDP0000131356</v>
      </c>
      <c r="D3746">
        <v>62.84</v>
      </c>
      <c r="E3746">
        <v>393</v>
      </c>
      <c r="F3746">
        <v>146</v>
      </c>
      <c r="G3746">
        <v>44</v>
      </c>
      <c r="H3746">
        <v>4</v>
      </c>
      <c r="I3746">
        <v>362</v>
      </c>
      <c r="J3746">
        <v>1</v>
      </c>
      <c r="K3746">
        <v>3</v>
      </c>
      <c r="L3746">
        <v>385</v>
      </c>
      <c r="M3746">
        <v>1</v>
      </c>
      <c r="N3746">
        <v>9.8387500000000005E-130</v>
      </c>
      <c r="O3746">
        <v>1184</v>
      </c>
    </row>
    <row r="3747" spans="1:15" x14ac:dyDescent="0.25">
      <c r="A3747" t="s">
        <v>3760</v>
      </c>
      <c r="B3747">
        <v>475</v>
      </c>
      <c r="C3747" s="1" t="str">
        <f>HYPERLINK("http://www.rosaceae.org/gb/gbrowse/malus_x_domestica/?name=MDP0000503044","MDP0000503044")</f>
        <v>MDP0000503044</v>
      </c>
      <c r="D3747">
        <v>62.91</v>
      </c>
      <c r="E3747">
        <v>418</v>
      </c>
      <c r="F3747">
        <v>155</v>
      </c>
      <c r="G3747">
        <v>11</v>
      </c>
      <c r="H3747">
        <v>55</v>
      </c>
      <c r="I3747">
        <v>469</v>
      </c>
      <c r="J3747">
        <v>1</v>
      </c>
      <c r="K3747">
        <v>31</v>
      </c>
      <c r="L3747">
        <v>440</v>
      </c>
      <c r="M3747">
        <v>1</v>
      </c>
      <c r="N3747">
        <v>2.1814899999999999E-149</v>
      </c>
      <c r="O3747">
        <v>1355</v>
      </c>
    </row>
    <row r="3748" spans="1:15" x14ac:dyDescent="0.25">
      <c r="A3748" t="s">
        <v>3761</v>
      </c>
      <c r="B3748">
        <v>167</v>
      </c>
      <c r="C3748" s="1" t="str">
        <f>HYPERLINK("http://www.rosaceae.org/gb/gbrowse/malus_x_domestica/?name=MDP0000270463","MDP0000270463")</f>
        <v>MDP0000270463</v>
      </c>
      <c r="D3748">
        <v>46.15</v>
      </c>
      <c r="E3748">
        <v>130</v>
      </c>
      <c r="F3748">
        <v>70</v>
      </c>
      <c r="G3748">
        <v>1</v>
      </c>
      <c r="H3748">
        <v>36</v>
      </c>
      <c r="I3748">
        <v>165</v>
      </c>
      <c r="J3748">
        <v>1</v>
      </c>
      <c r="K3748">
        <v>550</v>
      </c>
      <c r="L3748">
        <v>678</v>
      </c>
      <c r="M3748">
        <v>1</v>
      </c>
      <c r="N3748">
        <v>3.8145299999999998E-25</v>
      </c>
      <c r="O3748">
        <v>277</v>
      </c>
    </row>
    <row r="3749" spans="1:15" x14ac:dyDescent="0.25">
      <c r="A3749" t="s">
        <v>3762</v>
      </c>
      <c r="B3749">
        <v>714</v>
      </c>
      <c r="C3749" s="1" t="str">
        <f>HYPERLINK("http://www.rosaceae.org/gb/gbrowse/malus_x_domestica/?name=MDP0000340322","MDP0000340322")</f>
        <v>MDP0000340322</v>
      </c>
      <c r="D3749">
        <v>85.94</v>
      </c>
      <c r="E3749">
        <v>740</v>
      </c>
      <c r="F3749">
        <v>104</v>
      </c>
      <c r="G3749">
        <v>26</v>
      </c>
      <c r="H3749">
        <v>1</v>
      </c>
      <c r="I3749">
        <v>714</v>
      </c>
      <c r="J3749">
        <v>1</v>
      </c>
      <c r="K3749">
        <v>1</v>
      </c>
      <c r="L3749">
        <v>740</v>
      </c>
      <c r="M3749">
        <v>1</v>
      </c>
      <c r="N3749">
        <v>0</v>
      </c>
      <c r="O3749">
        <v>3366</v>
      </c>
    </row>
    <row r="3750" spans="1:15" x14ac:dyDescent="0.25">
      <c r="A3750" t="s">
        <v>3763</v>
      </c>
      <c r="B3750">
        <v>1105</v>
      </c>
      <c r="C3750" s="1" t="str">
        <f>HYPERLINK("http://www.rosaceae.org/gb/gbrowse/malus_x_domestica/?name=MDP0000226614","MDP0000226614")</f>
        <v>MDP0000226614</v>
      </c>
      <c r="D3750">
        <v>50.3</v>
      </c>
      <c r="E3750">
        <v>485</v>
      </c>
      <c r="F3750">
        <v>241</v>
      </c>
      <c r="G3750">
        <v>74</v>
      </c>
      <c r="H3750">
        <v>208</v>
      </c>
      <c r="I3750">
        <v>629</v>
      </c>
      <c r="J3750">
        <v>1</v>
      </c>
      <c r="K3750">
        <v>14</v>
      </c>
      <c r="L3750">
        <v>487</v>
      </c>
      <c r="M3750">
        <v>1</v>
      </c>
      <c r="N3750">
        <v>1.5174500000000001E-121</v>
      </c>
      <c r="O3750">
        <v>1118</v>
      </c>
    </row>
    <row r="3751" spans="1:15" x14ac:dyDescent="0.25">
      <c r="A3751" t="s">
        <v>3764</v>
      </c>
      <c r="B3751">
        <v>298</v>
      </c>
      <c r="C3751" s="1" t="str">
        <f>HYPERLINK("http://www.rosaceae.org/gb/gbrowse/malus_x_domestica/?name=MDP0000219525","MDP0000219525")</f>
        <v>MDP0000219525</v>
      </c>
      <c r="D3751">
        <v>38.229999999999997</v>
      </c>
      <c r="E3751">
        <v>102</v>
      </c>
      <c r="F3751">
        <v>63</v>
      </c>
      <c r="G3751">
        <v>10</v>
      </c>
      <c r="H3751">
        <v>3</v>
      </c>
      <c r="I3751">
        <v>103</v>
      </c>
      <c r="J3751">
        <v>1</v>
      </c>
      <c r="K3751">
        <v>4</v>
      </c>
      <c r="L3751">
        <v>96</v>
      </c>
      <c r="M3751">
        <v>1</v>
      </c>
      <c r="N3751">
        <v>6.8711799999999998E-10</v>
      </c>
      <c r="O3751">
        <v>149</v>
      </c>
    </row>
    <row r="3752" spans="1:15" x14ac:dyDescent="0.25">
      <c r="A3752" t="s">
        <v>3765</v>
      </c>
      <c r="B3752">
        <v>194</v>
      </c>
      <c r="C3752" s="1" t="str">
        <f>HYPERLINK("http://www.rosaceae.org/gb/gbrowse/malus_x_domestica/?name=MDP0000149621","MDP0000149621")</f>
        <v>MDP0000149621</v>
      </c>
      <c r="D3752">
        <v>77.239999999999995</v>
      </c>
      <c r="E3752">
        <v>145</v>
      </c>
      <c r="F3752">
        <v>33</v>
      </c>
      <c r="G3752">
        <v>4</v>
      </c>
      <c r="H3752">
        <v>1</v>
      </c>
      <c r="I3752">
        <v>145</v>
      </c>
      <c r="J3752">
        <v>1</v>
      </c>
      <c r="K3752">
        <v>316</v>
      </c>
      <c r="L3752">
        <v>456</v>
      </c>
      <c r="M3752">
        <v>1</v>
      </c>
      <c r="N3752">
        <v>4.0126499999999997E-60</v>
      </c>
      <c r="O3752">
        <v>580</v>
      </c>
    </row>
    <row r="3753" spans="1:15" x14ac:dyDescent="0.25">
      <c r="A3753" t="s">
        <v>3766</v>
      </c>
      <c r="B3753">
        <v>102</v>
      </c>
      <c r="C3753" s="1" t="str">
        <f>HYPERLINK("http://www.rosaceae.org/gb/gbrowse/malus_x_domestica/?name=MDP0000472203","MDP0000472203")</f>
        <v>MDP0000472203</v>
      </c>
      <c r="D3753">
        <v>94.11</v>
      </c>
      <c r="E3753">
        <v>102</v>
      </c>
      <c r="F3753">
        <v>6</v>
      </c>
      <c r="G3753">
        <v>0</v>
      </c>
      <c r="H3753">
        <v>1</v>
      </c>
      <c r="I3753">
        <v>102</v>
      </c>
      <c r="J3753">
        <v>1</v>
      </c>
      <c r="K3753">
        <v>41</v>
      </c>
      <c r="L3753">
        <v>142</v>
      </c>
      <c r="M3753">
        <v>1</v>
      </c>
      <c r="N3753">
        <v>1.2696400000000001E-51</v>
      </c>
      <c r="O3753">
        <v>503</v>
      </c>
    </row>
    <row r="3754" spans="1:15" x14ac:dyDescent="0.25">
      <c r="A3754" t="s">
        <v>3767</v>
      </c>
      <c r="B3754">
        <v>305</v>
      </c>
      <c r="C3754" s="1" t="str">
        <f>HYPERLINK("http://www.rosaceae.org/gb/gbrowse/malus_x_domestica/?name=MDP0000201071","MDP0000201071")</f>
        <v>MDP0000201071</v>
      </c>
      <c r="D3754">
        <v>72.97</v>
      </c>
      <c r="E3754">
        <v>74</v>
      </c>
      <c r="F3754">
        <v>20</v>
      </c>
      <c r="G3754">
        <v>0</v>
      </c>
      <c r="H3754">
        <v>5</v>
      </c>
      <c r="I3754">
        <v>78</v>
      </c>
      <c r="J3754">
        <v>1</v>
      </c>
      <c r="K3754">
        <v>25</v>
      </c>
      <c r="L3754">
        <v>98</v>
      </c>
      <c r="M3754">
        <v>1</v>
      </c>
      <c r="N3754">
        <v>1.8484200000000001E-27</v>
      </c>
      <c r="O3754">
        <v>301</v>
      </c>
    </row>
    <row r="3755" spans="1:15" x14ac:dyDescent="0.25">
      <c r="A3755" t="s">
        <v>3768</v>
      </c>
      <c r="B3755">
        <v>202</v>
      </c>
      <c r="C3755" s="1" t="str">
        <f>HYPERLINK("http://www.rosaceae.org/gb/gbrowse/malus_x_domestica/?name=MDP0000711379","MDP0000711379")</f>
        <v>MDP0000711379</v>
      </c>
      <c r="D3755">
        <v>47.5</v>
      </c>
      <c r="E3755">
        <v>80</v>
      </c>
      <c r="F3755">
        <v>42</v>
      </c>
      <c r="G3755">
        <v>1</v>
      </c>
      <c r="H3755">
        <v>21</v>
      </c>
      <c r="I3755">
        <v>100</v>
      </c>
      <c r="J3755">
        <v>1</v>
      </c>
      <c r="K3755">
        <v>19</v>
      </c>
      <c r="L3755">
        <v>97</v>
      </c>
      <c r="M3755">
        <v>1</v>
      </c>
      <c r="N3755">
        <v>3.7551900000000001E-18</v>
      </c>
      <c r="O3755">
        <v>218</v>
      </c>
    </row>
    <row r="3756" spans="1:15" x14ac:dyDescent="0.25">
      <c r="A3756" t="s">
        <v>3769</v>
      </c>
      <c r="B3756">
        <v>307</v>
      </c>
      <c r="C3756" s="1" t="str">
        <f>HYPERLINK("http://www.rosaceae.org/gb/gbrowse/malus_x_domestica/?name=MDP0000123133","MDP0000123133")</f>
        <v>MDP0000123133</v>
      </c>
      <c r="D3756">
        <v>78.569999999999993</v>
      </c>
      <c r="E3756">
        <v>280</v>
      </c>
      <c r="F3756">
        <v>60</v>
      </c>
      <c r="G3756">
        <v>4</v>
      </c>
      <c r="H3756">
        <v>1</v>
      </c>
      <c r="I3756">
        <v>278</v>
      </c>
      <c r="J3756">
        <v>1</v>
      </c>
      <c r="K3756">
        <v>1</v>
      </c>
      <c r="L3756">
        <v>278</v>
      </c>
      <c r="M3756">
        <v>1</v>
      </c>
      <c r="N3756">
        <v>1.61814E-117</v>
      </c>
      <c r="O3756">
        <v>1078</v>
      </c>
    </row>
    <row r="3757" spans="1:15" x14ac:dyDescent="0.25">
      <c r="A3757" t="s">
        <v>3770</v>
      </c>
      <c r="B3757">
        <v>463</v>
      </c>
      <c r="C3757" s="1" t="str">
        <f>HYPERLINK("http://www.rosaceae.org/gb/gbrowse/malus_x_domestica/?name=MDP0000478473","MDP0000478473")</f>
        <v>MDP0000478473</v>
      </c>
      <c r="D3757">
        <v>62.96</v>
      </c>
      <c r="E3757">
        <v>189</v>
      </c>
      <c r="F3757">
        <v>70</v>
      </c>
      <c r="G3757">
        <v>0</v>
      </c>
      <c r="H3757">
        <v>55</v>
      </c>
      <c r="I3757">
        <v>243</v>
      </c>
      <c r="J3757">
        <v>1</v>
      </c>
      <c r="K3757">
        <v>205</v>
      </c>
      <c r="L3757">
        <v>393</v>
      </c>
      <c r="M3757">
        <v>1</v>
      </c>
      <c r="N3757">
        <v>3.4761700000000001E-68</v>
      </c>
      <c r="O3757">
        <v>654</v>
      </c>
    </row>
    <row r="3758" spans="1:15" x14ac:dyDescent="0.25">
      <c r="A3758" t="s">
        <v>3771</v>
      </c>
      <c r="B3758">
        <v>475</v>
      </c>
      <c r="C3758" s="1" t="str">
        <f>HYPERLINK("http://www.rosaceae.org/gb/gbrowse/malus_x_domestica/?name=MDP0000230993","MDP0000230993")</f>
        <v>MDP0000230993</v>
      </c>
      <c r="D3758">
        <v>74.14</v>
      </c>
      <c r="E3758">
        <v>441</v>
      </c>
      <c r="F3758">
        <v>114</v>
      </c>
      <c r="G3758">
        <v>32</v>
      </c>
      <c r="H3758">
        <v>3</v>
      </c>
      <c r="I3758">
        <v>438</v>
      </c>
      <c r="J3758">
        <v>1</v>
      </c>
      <c r="K3758">
        <v>4</v>
      </c>
      <c r="L3758">
        <v>417</v>
      </c>
      <c r="M3758">
        <v>1</v>
      </c>
      <c r="N3758">
        <v>0</v>
      </c>
      <c r="O3758">
        <v>1711</v>
      </c>
    </row>
    <row r="3759" spans="1:15" x14ac:dyDescent="0.25">
      <c r="A3759" t="s">
        <v>3772</v>
      </c>
      <c r="B3759">
        <v>556</v>
      </c>
      <c r="C3759" s="1" t="str">
        <f>HYPERLINK("http://www.rosaceae.org/gb/gbrowse/malus_x_domestica/?name=MDP0000142398","MDP0000142398")</f>
        <v>MDP0000142398</v>
      </c>
      <c r="D3759">
        <v>74.27</v>
      </c>
      <c r="E3759">
        <v>552</v>
      </c>
      <c r="F3759">
        <v>142</v>
      </c>
      <c r="G3759">
        <v>27</v>
      </c>
      <c r="H3759">
        <v>1</v>
      </c>
      <c r="I3759">
        <v>550</v>
      </c>
      <c r="J3759">
        <v>1</v>
      </c>
      <c r="K3759">
        <v>1</v>
      </c>
      <c r="L3759">
        <v>527</v>
      </c>
      <c r="M3759">
        <v>1</v>
      </c>
      <c r="N3759">
        <v>0</v>
      </c>
      <c r="O3759">
        <v>2136</v>
      </c>
    </row>
    <row r="3760" spans="1:15" x14ac:dyDescent="0.25">
      <c r="A3760" t="s">
        <v>3773</v>
      </c>
      <c r="B3760">
        <v>225</v>
      </c>
      <c r="C3760" s="1" t="str">
        <f>HYPERLINK("http://www.rosaceae.org/gb/gbrowse/malus_x_domestica/?name=MDP0000153436","MDP0000153436")</f>
        <v>MDP0000153436</v>
      </c>
      <c r="D3760">
        <v>58.89</v>
      </c>
      <c r="E3760">
        <v>163</v>
      </c>
      <c r="F3760">
        <v>67</v>
      </c>
      <c r="G3760">
        <v>7</v>
      </c>
      <c r="H3760">
        <v>47</v>
      </c>
      <c r="I3760">
        <v>203</v>
      </c>
      <c r="J3760">
        <v>1</v>
      </c>
      <c r="K3760">
        <v>80</v>
      </c>
      <c r="L3760">
        <v>241</v>
      </c>
      <c r="M3760">
        <v>1</v>
      </c>
      <c r="N3760">
        <v>7.4576000000000001E-45</v>
      </c>
      <c r="O3760">
        <v>449</v>
      </c>
    </row>
    <row r="3761" spans="1:15" x14ac:dyDescent="0.25">
      <c r="A3761" t="s">
        <v>3774</v>
      </c>
      <c r="B3761">
        <v>379</v>
      </c>
      <c r="C3761" s="1" t="str">
        <f>HYPERLINK("http://www.rosaceae.org/gb/gbrowse/malus_x_domestica/?name=MDP0000226252","MDP0000226252")</f>
        <v>MDP0000226252</v>
      </c>
      <c r="D3761">
        <v>58.09</v>
      </c>
      <c r="E3761">
        <v>377</v>
      </c>
      <c r="F3761">
        <v>158</v>
      </c>
      <c r="G3761">
        <v>30</v>
      </c>
      <c r="H3761">
        <v>19</v>
      </c>
      <c r="I3761">
        <v>379</v>
      </c>
      <c r="J3761">
        <v>1</v>
      </c>
      <c r="K3761">
        <v>19</v>
      </c>
      <c r="L3761">
        <v>381</v>
      </c>
      <c r="M3761">
        <v>1</v>
      </c>
      <c r="N3761">
        <v>5.5511200000000003E-109</v>
      </c>
      <c r="O3761">
        <v>1005</v>
      </c>
    </row>
    <row r="3762" spans="1:15" x14ac:dyDescent="0.25">
      <c r="A3762" t="s">
        <v>3775</v>
      </c>
      <c r="B3762">
        <v>298</v>
      </c>
      <c r="C3762" s="1" t="str">
        <f>HYPERLINK("http://www.rosaceae.org/gb/gbrowse/malus_x_domestica/?name=MDP0000126455","MDP0000126455")</f>
        <v>MDP0000126455</v>
      </c>
      <c r="D3762">
        <v>67.34</v>
      </c>
      <c r="E3762">
        <v>196</v>
      </c>
      <c r="F3762">
        <v>64</v>
      </c>
      <c r="G3762">
        <v>13</v>
      </c>
      <c r="H3762">
        <v>4</v>
      </c>
      <c r="I3762">
        <v>198</v>
      </c>
      <c r="J3762">
        <v>1</v>
      </c>
      <c r="K3762">
        <v>3</v>
      </c>
      <c r="L3762">
        <v>186</v>
      </c>
      <c r="M3762">
        <v>1</v>
      </c>
      <c r="N3762">
        <v>3.1821400000000002E-75</v>
      </c>
      <c r="O3762">
        <v>713</v>
      </c>
    </row>
    <row r="3763" spans="1:15" x14ac:dyDescent="0.25">
      <c r="A3763" t="s">
        <v>3776</v>
      </c>
      <c r="B3763">
        <v>150</v>
      </c>
      <c r="C3763" s="1" t="str">
        <f>HYPERLINK("http://www.rosaceae.org/gb/gbrowse/malus_x_domestica/?name=MDP0000632432","MDP0000632432")</f>
        <v>MDP0000632432</v>
      </c>
      <c r="D3763">
        <v>79.599999999999994</v>
      </c>
      <c r="E3763">
        <v>152</v>
      </c>
      <c r="F3763">
        <v>31</v>
      </c>
      <c r="G3763">
        <v>4</v>
      </c>
      <c r="H3763">
        <v>1</v>
      </c>
      <c r="I3763">
        <v>150</v>
      </c>
      <c r="J3763">
        <v>1</v>
      </c>
      <c r="K3763">
        <v>1</v>
      </c>
      <c r="L3763">
        <v>150</v>
      </c>
      <c r="M3763">
        <v>1</v>
      </c>
      <c r="N3763">
        <v>5.3780400000000001E-61</v>
      </c>
      <c r="O3763">
        <v>585</v>
      </c>
    </row>
    <row r="3764" spans="1:15" x14ac:dyDescent="0.25">
      <c r="A3764" t="s">
        <v>3777</v>
      </c>
      <c r="B3764">
        <v>965</v>
      </c>
      <c r="C3764" s="1" t="str">
        <f>HYPERLINK("http://www.rosaceae.org/gb/gbrowse/malus_x_domestica/?name=MDP0000251234","MDP0000251234")</f>
        <v>MDP0000251234</v>
      </c>
      <c r="D3764">
        <v>58</v>
      </c>
      <c r="E3764">
        <v>800</v>
      </c>
      <c r="F3764">
        <v>336</v>
      </c>
      <c r="G3764">
        <v>16</v>
      </c>
      <c r="H3764">
        <v>172</v>
      </c>
      <c r="I3764">
        <v>965</v>
      </c>
      <c r="J3764">
        <v>1</v>
      </c>
      <c r="K3764">
        <v>177</v>
      </c>
      <c r="L3764">
        <v>966</v>
      </c>
      <c r="M3764">
        <v>1</v>
      </c>
      <c r="N3764">
        <v>0</v>
      </c>
      <c r="O3764">
        <v>2388</v>
      </c>
    </row>
    <row r="3765" spans="1:15" x14ac:dyDescent="0.25">
      <c r="A3765" t="s">
        <v>3778</v>
      </c>
      <c r="B3765">
        <v>289</v>
      </c>
      <c r="C3765" s="1" t="str">
        <f>HYPERLINK("http://www.rosaceae.org/gb/gbrowse/malus_x_domestica/?name=MDP0000247921","MDP0000247921")</f>
        <v>MDP0000247921</v>
      </c>
      <c r="D3765">
        <v>35.67</v>
      </c>
      <c r="E3765">
        <v>199</v>
      </c>
      <c r="F3765">
        <v>128</v>
      </c>
      <c r="G3765">
        <v>12</v>
      </c>
      <c r="H3765">
        <v>1</v>
      </c>
      <c r="I3765">
        <v>187</v>
      </c>
      <c r="J3765">
        <v>1</v>
      </c>
      <c r="K3765">
        <v>621</v>
      </c>
      <c r="L3765">
        <v>819</v>
      </c>
      <c r="M3765">
        <v>1</v>
      </c>
      <c r="N3765">
        <v>5.1623000000000002E-30</v>
      </c>
      <c r="O3765">
        <v>323</v>
      </c>
    </row>
    <row r="3766" spans="1:15" x14ac:dyDescent="0.25">
      <c r="A3766" t="s">
        <v>3779</v>
      </c>
      <c r="B3766">
        <v>618</v>
      </c>
      <c r="C3766" s="1" t="str">
        <f>HYPERLINK("http://www.rosaceae.org/gb/gbrowse/malus_x_domestica/?name=MDP0000207612","MDP0000207612")</f>
        <v>MDP0000207612</v>
      </c>
      <c r="D3766">
        <v>61.39</v>
      </c>
      <c r="E3766">
        <v>658</v>
      </c>
      <c r="F3766">
        <v>254</v>
      </c>
      <c r="G3766">
        <v>44</v>
      </c>
      <c r="H3766">
        <v>3</v>
      </c>
      <c r="I3766">
        <v>617</v>
      </c>
      <c r="J3766">
        <v>1</v>
      </c>
      <c r="K3766">
        <v>4</v>
      </c>
      <c r="L3766">
        <v>660</v>
      </c>
      <c r="M3766">
        <v>1</v>
      </c>
      <c r="N3766">
        <v>0</v>
      </c>
      <c r="O3766">
        <v>2025</v>
      </c>
    </row>
    <row r="3767" spans="1:15" x14ac:dyDescent="0.25">
      <c r="A3767" t="s">
        <v>3780</v>
      </c>
      <c r="B3767">
        <v>554</v>
      </c>
      <c r="C3767" s="1" t="str">
        <f>HYPERLINK("http://www.rosaceae.org/gb/gbrowse/malus_x_domestica/?name=MDP0000311848","MDP0000311848")</f>
        <v>MDP0000311848</v>
      </c>
      <c r="D3767">
        <v>39.19</v>
      </c>
      <c r="E3767">
        <v>648</v>
      </c>
      <c r="F3767">
        <v>394</v>
      </c>
      <c r="G3767">
        <v>133</v>
      </c>
      <c r="H3767">
        <v>9</v>
      </c>
      <c r="I3767">
        <v>552</v>
      </c>
      <c r="J3767">
        <v>1</v>
      </c>
      <c r="K3767">
        <v>5</v>
      </c>
      <c r="L3767">
        <v>623</v>
      </c>
      <c r="M3767">
        <v>1</v>
      </c>
      <c r="N3767">
        <v>2.68321E-93</v>
      </c>
      <c r="O3767">
        <v>872</v>
      </c>
    </row>
    <row r="3768" spans="1:15" x14ac:dyDescent="0.25">
      <c r="A3768" t="s">
        <v>3781</v>
      </c>
      <c r="B3768">
        <v>1062</v>
      </c>
      <c r="C3768" s="1" t="str">
        <f>HYPERLINK("http://www.rosaceae.org/gb/gbrowse/malus_x_domestica/?name=MDP0000516398","MDP0000516398")</f>
        <v>MDP0000516398</v>
      </c>
      <c r="D3768">
        <v>44.34</v>
      </c>
      <c r="E3768">
        <v>681</v>
      </c>
      <c r="F3768">
        <v>379</v>
      </c>
      <c r="G3768">
        <v>80</v>
      </c>
      <c r="H3768">
        <v>30</v>
      </c>
      <c r="I3768">
        <v>706</v>
      </c>
      <c r="J3768">
        <v>1</v>
      </c>
      <c r="K3768">
        <v>4</v>
      </c>
      <c r="L3768">
        <v>608</v>
      </c>
      <c r="M3768">
        <v>1</v>
      </c>
      <c r="N3768">
        <v>2.18274E-153</v>
      </c>
      <c r="O3768">
        <v>1392</v>
      </c>
    </row>
    <row r="3769" spans="1:15" x14ac:dyDescent="0.25">
      <c r="A3769" t="s">
        <v>3782</v>
      </c>
      <c r="B3769">
        <v>196</v>
      </c>
      <c r="C3769" s="1" t="str">
        <f>HYPERLINK("http://www.rosaceae.org/gb/gbrowse/malus_x_domestica/?name=MDP0000136726","MDP0000136726")</f>
        <v>MDP0000136726</v>
      </c>
      <c r="D3769">
        <v>43.75</v>
      </c>
      <c r="E3769">
        <v>176</v>
      </c>
      <c r="F3769">
        <v>99</v>
      </c>
      <c r="G3769">
        <v>10</v>
      </c>
      <c r="H3769">
        <v>1</v>
      </c>
      <c r="I3769">
        <v>166</v>
      </c>
      <c r="J3769">
        <v>1</v>
      </c>
      <c r="K3769">
        <v>944</v>
      </c>
      <c r="L3769">
        <v>1119</v>
      </c>
      <c r="M3769">
        <v>1</v>
      </c>
      <c r="N3769">
        <v>8.9030499999999999E-30</v>
      </c>
      <c r="O3769">
        <v>318</v>
      </c>
    </row>
    <row r="3770" spans="1:15" x14ac:dyDescent="0.25">
      <c r="A3770" t="s">
        <v>3783</v>
      </c>
      <c r="B3770">
        <v>483</v>
      </c>
      <c r="C3770" s="1" t="str">
        <f>HYPERLINK("http://www.rosaceae.org/gb/gbrowse/malus_x_domestica/?name=MDP0000498460","MDP0000498460")</f>
        <v>MDP0000498460</v>
      </c>
      <c r="D3770">
        <v>59.8</v>
      </c>
      <c r="E3770">
        <v>525</v>
      </c>
      <c r="F3770">
        <v>211</v>
      </c>
      <c r="G3770">
        <v>76</v>
      </c>
      <c r="H3770">
        <v>1</v>
      </c>
      <c r="I3770">
        <v>482</v>
      </c>
      <c r="J3770">
        <v>1</v>
      </c>
      <c r="K3770">
        <v>1</v>
      </c>
      <c r="L3770">
        <v>492</v>
      </c>
      <c r="M3770">
        <v>1</v>
      </c>
      <c r="N3770">
        <v>1.3367300000000001E-157</v>
      </c>
      <c r="O3770">
        <v>1425</v>
      </c>
    </row>
    <row r="3771" spans="1:15" x14ac:dyDescent="0.25">
      <c r="A3771" t="s">
        <v>3784</v>
      </c>
      <c r="B3771">
        <v>161</v>
      </c>
      <c r="C3771" s="1" t="str">
        <f>HYPERLINK("http://www.rosaceae.org/gb/gbrowse/malus_x_domestica/?name=MDP0000160444","MDP0000160444")</f>
        <v>MDP0000160444</v>
      </c>
      <c r="D3771">
        <v>57.74</v>
      </c>
      <c r="E3771">
        <v>71</v>
      </c>
      <c r="F3771">
        <v>30</v>
      </c>
      <c r="G3771">
        <v>0</v>
      </c>
      <c r="H3771">
        <v>27</v>
      </c>
      <c r="I3771">
        <v>97</v>
      </c>
      <c r="J3771">
        <v>1</v>
      </c>
      <c r="K3771">
        <v>28</v>
      </c>
      <c r="L3771">
        <v>98</v>
      </c>
      <c r="M3771">
        <v>1</v>
      </c>
      <c r="N3771">
        <v>2.3672300000000001E-21</v>
      </c>
      <c r="O3771">
        <v>244</v>
      </c>
    </row>
    <row r="3772" spans="1:15" x14ac:dyDescent="0.25">
      <c r="A3772" t="s">
        <v>3785</v>
      </c>
      <c r="B3772">
        <v>527</v>
      </c>
      <c r="C3772" s="1" t="str">
        <f>HYPERLINK("http://www.rosaceae.org/gb/gbrowse/malus_x_domestica/?name=MDP0000144189","MDP0000144189")</f>
        <v>MDP0000144189</v>
      </c>
      <c r="D3772">
        <v>69.64</v>
      </c>
      <c r="E3772">
        <v>56</v>
      </c>
      <c r="F3772">
        <v>17</v>
      </c>
      <c r="G3772">
        <v>0</v>
      </c>
      <c r="H3772">
        <v>88</v>
      </c>
      <c r="I3772">
        <v>143</v>
      </c>
      <c r="J3772">
        <v>1</v>
      </c>
      <c r="K3772">
        <v>124</v>
      </c>
      <c r="L3772">
        <v>179</v>
      </c>
      <c r="M3772">
        <v>1</v>
      </c>
      <c r="N3772">
        <v>3.7125000000000002E-16</v>
      </c>
      <c r="O3772">
        <v>206</v>
      </c>
    </row>
    <row r="3773" spans="1:15" x14ac:dyDescent="0.25">
      <c r="A3773" t="s">
        <v>3786</v>
      </c>
      <c r="B3773">
        <v>526</v>
      </c>
      <c r="C3773" s="1" t="str">
        <f>HYPERLINK("http://www.rosaceae.org/gb/gbrowse/malus_x_domestica/?name=MDP0000267331","MDP0000267331")</f>
        <v>MDP0000267331</v>
      </c>
      <c r="D3773">
        <v>83.73</v>
      </c>
      <c r="E3773">
        <v>504</v>
      </c>
      <c r="F3773">
        <v>82</v>
      </c>
      <c r="G3773">
        <v>10</v>
      </c>
      <c r="H3773">
        <v>25</v>
      </c>
      <c r="I3773">
        <v>519</v>
      </c>
      <c r="J3773">
        <v>1</v>
      </c>
      <c r="K3773">
        <v>32</v>
      </c>
      <c r="L3773">
        <v>534</v>
      </c>
      <c r="M3773">
        <v>1</v>
      </c>
      <c r="N3773">
        <v>0</v>
      </c>
      <c r="O3773">
        <v>2202</v>
      </c>
    </row>
    <row r="3774" spans="1:15" x14ac:dyDescent="0.25">
      <c r="A3774" t="s">
        <v>3787</v>
      </c>
      <c r="B3774">
        <v>501</v>
      </c>
      <c r="C3774" s="1" t="str">
        <f>HYPERLINK("http://www.rosaceae.org/gb/gbrowse/malus_x_domestica/?name=MDP0000195025","MDP0000195025")</f>
        <v>MDP0000195025</v>
      </c>
      <c r="D3774">
        <v>57.97</v>
      </c>
      <c r="E3774">
        <v>464</v>
      </c>
      <c r="F3774">
        <v>195</v>
      </c>
      <c r="G3774">
        <v>20</v>
      </c>
      <c r="H3774">
        <v>1</v>
      </c>
      <c r="I3774">
        <v>448</v>
      </c>
      <c r="J3774">
        <v>1</v>
      </c>
      <c r="K3774">
        <v>1</v>
      </c>
      <c r="L3774">
        <v>460</v>
      </c>
      <c r="M3774">
        <v>1</v>
      </c>
      <c r="N3774">
        <v>3.4048200000000001E-151</v>
      </c>
      <c r="O3774">
        <v>1370</v>
      </c>
    </row>
    <row r="3775" spans="1:15" x14ac:dyDescent="0.25">
      <c r="A3775" t="s">
        <v>3788</v>
      </c>
      <c r="B3775">
        <v>494</v>
      </c>
      <c r="C3775" s="1" t="str">
        <f>HYPERLINK("http://www.rosaceae.org/gb/gbrowse/malus_x_domestica/?name=MDP0000173726","MDP0000173726")</f>
        <v>MDP0000173726</v>
      </c>
      <c r="D3775">
        <v>65.650000000000006</v>
      </c>
      <c r="E3775">
        <v>460</v>
      </c>
      <c r="F3775">
        <v>158</v>
      </c>
      <c r="G3775">
        <v>28</v>
      </c>
      <c r="H3775">
        <v>13</v>
      </c>
      <c r="I3775">
        <v>467</v>
      </c>
      <c r="J3775">
        <v>1</v>
      </c>
      <c r="K3775">
        <v>3</v>
      </c>
      <c r="L3775">
        <v>439</v>
      </c>
      <c r="M3775">
        <v>1</v>
      </c>
      <c r="N3775">
        <v>9.2892999999999996E-167</v>
      </c>
      <c r="O3775">
        <v>1505</v>
      </c>
    </row>
    <row r="3776" spans="1:15" x14ac:dyDescent="0.25">
      <c r="A3776" t="s">
        <v>3789</v>
      </c>
      <c r="B3776">
        <v>1596</v>
      </c>
      <c r="C3776" s="1" t="str">
        <f>HYPERLINK("http://www.rosaceae.org/gb/gbrowse/malus_x_domestica/?name=MDP0000222924","MDP0000222924")</f>
        <v>MDP0000222924</v>
      </c>
      <c r="D3776">
        <v>49.57</v>
      </c>
      <c r="E3776">
        <v>1188</v>
      </c>
      <c r="F3776">
        <v>599</v>
      </c>
      <c r="G3776">
        <v>180</v>
      </c>
      <c r="H3776">
        <v>202</v>
      </c>
      <c r="I3776">
        <v>1376</v>
      </c>
      <c r="J3776">
        <v>1</v>
      </c>
      <c r="K3776">
        <v>166</v>
      </c>
      <c r="L3776">
        <v>1186</v>
      </c>
      <c r="M3776">
        <v>1</v>
      </c>
      <c r="N3776">
        <v>0</v>
      </c>
      <c r="O3776">
        <v>2520</v>
      </c>
    </row>
    <row r="3777" spans="1:15" x14ac:dyDescent="0.25">
      <c r="A3777" t="s">
        <v>3790</v>
      </c>
      <c r="B3777">
        <v>430</v>
      </c>
      <c r="C3777" s="1" t="str">
        <f>HYPERLINK("http://www.rosaceae.org/gb/gbrowse/malus_x_domestica/?name=MDP0000534116","MDP0000534116")</f>
        <v>MDP0000534116</v>
      </c>
      <c r="D3777">
        <v>54.07</v>
      </c>
      <c r="E3777">
        <v>429</v>
      </c>
      <c r="F3777">
        <v>197</v>
      </c>
      <c r="G3777">
        <v>17</v>
      </c>
      <c r="H3777">
        <v>8</v>
      </c>
      <c r="I3777">
        <v>422</v>
      </c>
      <c r="J3777">
        <v>1</v>
      </c>
      <c r="K3777">
        <v>1</v>
      </c>
      <c r="L3777">
        <v>426</v>
      </c>
      <c r="M3777">
        <v>1</v>
      </c>
      <c r="N3777">
        <v>2.7253099999999999E-135</v>
      </c>
      <c r="O3777">
        <v>1233</v>
      </c>
    </row>
    <row r="3778" spans="1:15" x14ac:dyDescent="0.25">
      <c r="A3778" t="s">
        <v>3791</v>
      </c>
      <c r="B3778">
        <v>704</v>
      </c>
      <c r="C3778" s="1" t="str">
        <f>HYPERLINK("http://www.rosaceae.org/gb/gbrowse/malus_x_domestica/?name=MDP0000173092","MDP0000173092")</f>
        <v>MDP0000173092</v>
      </c>
      <c r="D3778">
        <v>92.14</v>
      </c>
      <c r="E3778">
        <v>382</v>
      </c>
      <c r="F3778">
        <v>30</v>
      </c>
      <c r="G3778">
        <v>0</v>
      </c>
      <c r="H3778">
        <v>323</v>
      </c>
      <c r="I3778">
        <v>704</v>
      </c>
      <c r="J3778">
        <v>1</v>
      </c>
      <c r="K3778">
        <v>1</v>
      </c>
      <c r="L3778">
        <v>382</v>
      </c>
      <c r="M3778">
        <v>1</v>
      </c>
      <c r="N3778">
        <v>0</v>
      </c>
      <c r="O3778">
        <v>1893</v>
      </c>
    </row>
    <row r="3779" spans="1:15" x14ac:dyDescent="0.25">
      <c r="A3779" t="s">
        <v>3792</v>
      </c>
      <c r="B3779">
        <v>1221</v>
      </c>
      <c r="C3779" s="1" t="str">
        <f>HYPERLINK("http://www.rosaceae.org/gb/gbrowse/malus_x_domestica/?name=MDP0000143705","MDP0000143705")</f>
        <v>MDP0000143705</v>
      </c>
      <c r="D3779">
        <v>30.13</v>
      </c>
      <c r="E3779">
        <v>219</v>
      </c>
      <c r="F3779">
        <v>153</v>
      </c>
      <c r="G3779">
        <v>29</v>
      </c>
      <c r="H3779">
        <v>1019</v>
      </c>
      <c r="I3779">
        <v>1208</v>
      </c>
      <c r="J3779">
        <v>1</v>
      </c>
      <c r="K3779">
        <v>1068</v>
      </c>
      <c r="L3779">
        <v>1286</v>
      </c>
      <c r="M3779">
        <v>1</v>
      </c>
      <c r="N3779">
        <v>2.0133599999999999E-29</v>
      </c>
      <c r="O3779">
        <v>324</v>
      </c>
    </row>
    <row r="3780" spans="1:15" x14ac:dyDescent="0.25">
      <c r="A3780" t="s">
        <v>3793</v>
      </c>
      <c r="B3780">
        <v>435</v>
      </c>
      <c r="C3780" s="1" t="str">
        <f>HYPERLINK("http://www.rosaceae.org/gb/gbrowse/malus_x_domestica/?name=MDP0000203908","MDP0000203908")</f>
        <v>MDP0000203908</v>
      </c>
      <c r="D3780">
        <v>47.66</v>
      </c>
      <c r="E3780">
        <v>214</v>
      </c>
      <c r="F3780">
        <v>112</v>
      </c>
      <c r="G3780">
        <v>71</v>
      </c>
      <c r="H3780">
        <v>281</v>
      </c>
      <c r="I3780">
        <v>423</v>
      </c>
      <c r="J3780">
        <v>1</v>
      </c>
      <c r="K3780">
        <v>955</v>
      </c>
      <c r="L3780">
        <v>1168</v>
      </c>
      <c r="M3780">
        <v>1</v>
      </c>
      <c r="N3780">
        <v>1.0890699999999999E-42</v>
      </c>
      <c r="O3780">
        <v>434</v>
      </c>
    </row>
    <row r="3781" spans="1:15" x14ac:dyDescent="0.25">
      <c r="A3781" t="s">
        <v>3794</v>
      </c>
      <c r="B3781">
        <v>187</v>
      </c>
      <c r="C3781" s="1" t="str">
        <f>HYPERLINK("http://www.rosaceae.org/gb/gbrowse/malus_x_domestica/?name=MDP0000431807","MDP0000431807")</f>
        <v>MDP0000431807</v>
      </c>
      <c r="D3781">
        <v>70.61</v>
      </c>
      <c r="E3781">
        <v>194</v>
      </c>
      <c r="F3781">
        <v>57</v>
      </c>
      <c r="G3781">
        <v>23</v>
      </c>
      <c r="H3781">
        <v>1</v>
      </c>
      <c r="I3781">
        <v>173</v>
      </c>
      <c r="J3781">
        <v>1</v>
      </c>
      <c r="K3781">
        <v>1</v>
      </c>
      <c r="L3781">
        <v>192</v>
      </c>
      <c r="M3781">
        <v>1</v>
      </c>
      <c r="N3781">
        <v>5.1306899999999999E-67</v>
      </c>
      <c r="O3781">
        <v>639</v>
      </c>
    </row>
    <row r="3782" spans="1:15" x14ac:dyDescent="0.25">
      <c r="A3782" t="s">
        <v>3795</v>
      </c>
      <c r="B3782">
        <v>238</v>
      </c>
      <c r="C3782" s="1" t="str">
        <f>HYPERLINK("http://www.rosaceae.org/gb/gbrowse/malus_x_domestica/?name=MDP0000250703","MDP0000250703")</f>
        <v>MDP0000250703</v>
      </c>
      <c r="D3782">
        <v>32.43</v>
      </c>
      <c r="E3782">
        <v>111</v>
      </c>
      <c r="F3782">
        <v>75</v>
      </c>
      <c r="G3782">
        <v>0</v>
      </c>
      <c r="H3782">
        <v>15</v>
      </c>
      <c r="I3782">
        <v>125</v>
      </c>
      <c r="J3782">
        <v>1</v>
      </c>
      <c r="K3782">
        <v>434</v>
      </c>
      <c r="L3782">
        <v>544</v>
      </c>
      <c r="M3782">
        <v>1</v>
      </c>
      <c r="N3782">
        <v>9.0356499999999998E-12</v>
      </c>
      <c r="O3782">
        <v>164</v>
      </c>
    </row>
    <row r="3783" spans="1:15" x14ac:dyDescent="0.25">
      <c r="A3783" t="s">
        <v>3796</v>
      </c>
      <c r="B3783">
        <v>423</v>
      </c>
      <c r="C3783" s="1" t="str">
        <f>HYPERLINK("http://www.rosaceae.org/gb/gbrowse/malus_x_domestica/?name=MDP0000135305","MDP0000135305")</f>
        <v>MDP0000135305</v>
      </c>
      <c r="D3783">
        <v>91.98</v>
      </c>
      <c r="E3783">
        <v>424</v>
      </c>
      <c r="F3783">
        <v>34</v>
      </c>
      <c r="G3783">
        <v>1</v>
      </c>
      <c r="H3783">
        <v>1</v>
      </c>
      <c r="I3783">
        <v>423</v>
      </c>
      <c r="J3783">
        <v>1</v>
      </c>
      <c r="K3783">
        <v>1</v>
      </c>
      <c r="L3783">
        <v>424</v>
      </c>
      <c r="M3783">
        <v>1</v>
      </c>
      <c r="N3783">
        <v>0</v>
      </c>
      <c r="O3783">
        <v>2099</v>
      </c>
    </row>
    <row r="3784" spans="1:15" x14ac:dyDescent="0.25">
      <c r="A3784" t="s">
        <v>3797</v>
      </c>
      <c r="B3784">
        <v>262</v>
      </c>
      <c r="C3784" s="1" t="str">
        <f>HYPERLINK("http://www.rosaceae.org/gb/gbrowse/malus_x_domestica/?name=MDP0000256647","MDP0000256647")</f>
        <v>MDP0000256647</v>
      </c>
      <c r="D3784">
        <v>78.510000000000005</v>
      </c>
      <c r="E3784">
        <v>256</v>
      </c>
      <c r="F3784">
        <v>55</v>
      </c>
      <c r="G3784">
        <v>4</v>
      </c>
      <c r="H3784">
        <v>5</v>
      </c>
      <c r="I3784">
        <v>258</v>
      </c>
      <c r="J3784">
        <v>1</v>
      </c>
      <c r="K3784">
        <v>4</v>
      </c>
      <c r="L3784">
        <v>257</v>
      </c>
      <c r="M3784">
        <v>1</v>
      </c>
      <c r="N3784">
        <v>5.1413299999999999E-116</v>
      </c>
      <c r="O3784">
        <v>1064</v>
      </c>
    </row>
    <row r="3785" spans="1:15" x14ac:dyDescent="0.25">
      <c r="A3785" t="s">
        <v>3798</v>
      </c>
      <c r="B3785">
        <v>681</v>
      </c>
      <c r="C3785" s="1" t="str">
        <f>HYPERLINK("http://www.rosaceae.org/gb/gbrowse/malus_x_domestica/?name=MDP0000292750","MDP0000292750")</f>
        <v>MDP0000292750</v>
      </c>
      <c r="D3785">
        <v>35.65</v>
      </c>
      <c r="E3785">
        <v>129</v>
      </c>
      <c r="F3785">
        <v>83</v>
      </c>
      <c r="G3785">
        <v>19</v>
      </c>
      <c r="H3785">
        <v>54</v>
      </c>
      <c r="I3785">
        <v>182</v>
      </c>
      <c r="J3785">
        <v>1</v>
      </c>
      <c r="K3785">
        <v>790</v>
      </c>
      <c r="L3785">
        <v>899</v>
      </c>
      <c r="M3785">
        <v>1</v>
      </c>
      <c r="N3785">
        <v>1.003E-17</v>
      </c>
      <c r="O3785">
        <v>221</v>
      </c>
    </row>
    <row r="3786" spans="1:15" x14ac:dyDescent="0.25">
      <c r="A3786" t="s">
        <v>3799</v>
      </c>
      <c r="B3786">
        <v>177</v>
      </c>
      <c r="C3786" s="1" t="str">
        <f>HYPERLINK("http://www.rosaceae.org/gb/gbrowse/malus_x_domestica/?name=MDP0000803920","MDP0000803920")</f>
        <v>MDP0000803920</v>
      </c>
      <c r="D3786">
        <v>62.87</v>
      </c>
      <c r="E3786">
        <v>167</v>
      </c>
      <c r="F3786">
        <v>62</v>
      </c>
      <c r="G3786">
        <v>5</v>
      </c>
      <c r="H3786">
        <v>4</v>
      </c>
      <c r="I3786">
        <v>165</v>
      </c>
      <c r="J3786">
        <v>1</v>
      </c>
      <c r="K3786">
        <v>831</v>
      </c>
      <c r="L3786">
        <v>997</v>
      </c>
      <c r="M3786">
        <v>1</v>
      </c>
      <c r="N3786">
        <v>8.7057599999999999E-53</v>
      </c>
      <c r="O3786">
        <v>516</v>
      </c>
    </row>
    <row r="3787" spans="1:15" x14ac:dyDescent="0.25">
      <c r="A3787" t="s">
        <v>3800</v>
      </c>
      <c r="B3787">
        <v>698</v>
      </c>
      <c r="C3787" s="1" t="str">
        <f>HYPERLINK("http://www.rosaceae.org/gb/gbrowse/malus_x_domestica/?name=MDP0000313728","MDP0000313728")</f>
        <v>MDP0000313728</v>
      </c>
      <c r="D3787">
        <v>70.150000000000006</v>
      </c>
      <c r="E3787">
        <v>727</v>
      </c>
      <c r="F3787">
        <v>217</v>
      </c>
      <c r="G3787">
        <v>33</v>
      </c>
      <c r="H3787">
        <v>1</v>
      </c>
      <c r="I3787">
        <v>697</v>
      </c>
      <c r="J3787">
        <v>1</v>
      </c>
      <c r="K3787">
        <v>323</v>
      </c>
      <c r="L3787">
        <v>1046</v>
      </c>
      <c r="M3787">
        <v>1</v>
      </c>
      <c r="N3787">
        <v>0</v>
      </c>
      <c r="O3787">
        <v>2654</v>
      </c>
    </row>
    <row r="3788" spans="1:15" x14ac:dyDescent="0.25">
      <c r="A3788" t="s">
        <v>3801</v>
      </c>
      <c r="B3788">
        <v>461</v>
      </c>
      <c r="C3788" s="1" t="str">
        <f>HYPERLINK("http://www.rosaceae.org/gb/gbrowse/malus_x_domestica/?name=MDP0000295053","MDP0000295053")</f>
        <v>MDP0000295053</v>
      </c>
      <c r="D3788">
        <v>78.33</v>
      </c>
      <c r="E3788">
        <v>457</v>
      </c>
      <c r="F3788">
        <v>99</v>
      </c>
      <c r="G3788">
        <v>11</v>
      </c>
      <c r="H3788">
        <v>14</v>
      </c>
      <c r="I3788">
        <v>461</v>
      </c>
      <c r="J3788">
        <v>1</v>
      </c>
      <c r="K3788">
        <v>142</v>
      </c>
      <c r="L3788">
        <v>596</v>
      </c>
      <c r="M3788">
        <v>1</v>
      </c>
      <c r="N3788">
        <v>0</v>
      </c>
      <c r="O3788">
        <v>1903</v>
      </c>
    </row>
    <row r="3789" spans="1:15" x14ac:dyDescent="0.25">
      <c r="A3789" t="s">
        <v>3802</v>
      </c>
      <c r="B3789">
        <v>756</v>
      </c>
      <c r="C3789" s="1" t="str">
        <f>HYPERLINK("http://www.rosaceae.org/gb/gbrowse/malus_x_domestica/?name=MDP0000558834","MDP0000558834")</f>
        <v>MDP0000558834</v>
      </c>
      <c r="D3789">
        <v>76.7</v>
      </c>
      <c r="E3789">
        <v>601</v>
      </c>
      <c r="F3789">
        <v>140</v>
      </c>
      <c r="G3789">
        <v>24</v>
      </c>
      <c r="H3789">
        <v>6</v>
      </c>
      <c r="I3789">
        <v>587</v>
      </c>
      <c r="J3789">
        <v>1</v>
      </c>
      <c r="K3789">
        <v>12</v>
      </c>
      <c r="L3789">
        <v>607</v>
      </c>
      <c r="M3789">
        <v>1</v>
      </c>
      <c r="N3789">
        <v>0</v>
      </c>
      <c r="O3789">
        <v>2312</v>
      </c>
    </row>
    <row r="3790" spans="1:15" x14ac:dyDescent="0.25">
      <c r="A3790" t="s">
        <v>3803</v>
      </c>
      <c r="B3790">
        <v>71</v>
      </c>
      <c r="C3790" s="1" t="str">
        <f>HYPERLINK("http://www.rosaceae.org/gb/gbrowse/malus_x_domestica/?name=MDP0000245000","MDP0000245000")</f>
        <v>MDP0000245000</v>
      </c>
      <c r="D3790">
        <v>95.71</v>
      </c>
      <c r="E3790">
        <v>70</v>
      </c>
      <c r="F3790">
        <v>3</v>
      </c>
      <c r="G3790">
        <v>0</v>
      </c>
      <c r="H3790">
        <v>1</v>
      </c>
      <c r="I3790">
        <v>70</v>
      </c>
      <c r="J3790">
        <v>1</v>
      </c>
      <c r="K3790">
        <v>134</v>
      </c>
      <c r="L3790">
        <v>203</v>
      </c>
      <c r="M3790">
        <v>1</v>
      </c>
      <c r="N3790">
        <v>1.5123799999999999E-36</v>
      </c>
      <c r="O3790">
        <v>373</v>
      </c>
    </row>
    <row r="3791" spans="1:15" x14ac:dyDescent="0.25">
      <c r="A3791" t="s">
        <v>3804</v>
      </c>
      <c r="B3791">
        <v>682</v>
      </c>
      <c r="C3791" s="1" t="str">
        <f>HYPERLINK("http://www.rosaceae.org/gb/gbrowse/malus_x_domestica/?name=MDP0000874953","MDP0000874953")</f>
        <v>MDP0000874953</v>
      </c>
      <c r="D3791">
        <v>65.17</v>
      </c>
      <c r="E3791">
        <v>537</v>
      </c>
      <c r="F3791">
        <v>187</v>
      </c>
      <c r="G3791">
        <v>51</v>
      </c>
      <c r="H3791">
        <v>22</v>
      </c>
      <c r="I3791">
        <v>544</v>
      </c>
      <c r="J3791">
        <v>1</v>
      </c>
      <c r="K3791">
        <v>60</v>
      </c>
      <c r="L3791">
        <v>559</v>
      </c>
      <c r="M3791">
        <v>1</v>
      </c>
      <c r="N3791">
        <v>0</v>
      </c>
      <c r="O3791">
        <v>1755</v>
      </c>
    </row>
    <row r="3792" spans="1:15" x14ac:dyDescent="0.25">
      <c r="A3792" t="s">
        <v>3805</v>
      </c>
      <c r="B3792">
        <v>112</v>
      </c>
      <c r="C3792" s="1" t="str">
        <f>HYPERLINK("http://www.rosaceae.org/gb/gbrowse/malus_x_domestica/?name=MDP0000232350","MDP0000232350")</f>
        <v>MDP0000232350</v>
      </c>
      <c r="D3792">
        <v>76</v>
      </c>
      <c r="E3792">
        <v>50</v>
      </c>
      <c r="F3792">
        <v>12</v>
      </c>
      <c r="G3792">
        <v>0</v>
      </c>
      <c r="H3792">
        <v>14</v>
      </c>
      <c r="I3792">
        <v>63</v>
      </c>
      <c r="J3792">
        <v>1</v>
      </c>
      <c r="K3792">
        <v>348</v>
      </c>
      <c r="L3792">
        <v>397</v>
      </c>
      <c r="M3792">
        <v>1</v>
      </c>
      <c r="N3792">
        <v>9.6717700000000004E-17</v>
      </c>
      <c r="O3792">
        <v>202</v>
      </c>
    </row>
    <row r="3793" spans="1:15" x14ac:dyDescent="0.25">
      <c r="A3793" t="s">
        <v>3806</v>
      </c>
      <c r="B3793">
        <v>697</v>
      </c>
      <c r="C3793" s="1" t="str">
        <f>HYPERLINK("http://www.rosaceae.org/gb/gbrowse/malus_x_domestica/?name=MDP0000304795","MDP0000304795")</f>
        <v>MDP0000304795</v>
      </c>
      <c r="D3793">
        <v>78.48</v>
      </c>
      <c r="E3793">
        <v>316</v>
      </c>
      <c r="F3793">
        <v>68</v>
      </c>
      <c r="G3793">
        <v>4</v>
      </c>
      <c r="H3793">
        <v>199</v>
      </c>
      <c r="I3793">
        <v>514</v>
      </c>
      <c r="J3793">
        <v>1</v>
      </c>
      <c r="K3793">
        <v>104</v>
      </c>
      <c r="L3793">
        <v>415</v>
      </c>
      <c r="M3793">
        <v>1</v>
      </c>
      <c r="N3793">
        <v>9.5350100000000006E-144</v>
      </c>
      <c r="O3793">
        <v>1308</v>
      </c>
    </row>
    <row r="3794" spans="1:15" x14ac:dyDescent="0.25">
      <c r="A3794" t="s">
        <v>3807</v>
      </c>
      <c r="B3794">
        <v>282</v>
      </c>
      <c r="C3794" s="1" t="str">
        <f>HYPERLINK("http://www.rosaceae.org/gb/gbrowse/malus_x_domestica/?name=MDP0000296741","MDP0000296741")</f>
        <v>MDP0000296741</v>
      </c>
      <c r="D3794">
        <v>37.549999999999997</v>
      </c>
      <c r="E3794">
        <v>213</v>
      </c>
      <c r="F3794">
        <v>133</v>
      </c>
      <c r="G3794">
        <v>8</v>
      </c>
      <c r="H3794">
        <v>17</v>
      </c>
      <c r="I3794">
        <v>224</v>
      </c>
      <c r="J3794">
        <v>1</v>
      </c>
      <c r="K3794">
        <v>215</v>
      </c>
      <c r="L3794">
        <v>424</v>
      </c>
      <c r="M3794">
        <v>1</v>
      </c>
      <c r="N3794">
        <v>4.7168400000000004E-37</v>
      </c>
      <c r="O3794">
        <v>383</v>
      </c>
    </row>
    <row r="3795" spans="1:15" x14ac:dyDescent="0.25">
      <c r="A3795" t="s">
        <v>3808</v>
      </c>
      <c r="B3795">
        <v>448</v>
      </c>
      <c r="C3795" s="1" t="str">
        <f>HYPERLINK("http://www.rosaceae.org/gb/gbrowse/malus_x_domestica/?name=MDP0000851102","MDP0000851102")</f>
        <v>MDP0000851102</v>
      </c>
      <c r="D3795">
        <v>77.290000000000006</v>
      </c>
      <c r="E3795">
        <v>436</v>
      </c>
      <c r="F3795">
        <v>99</v>
      </c>
      <c r="G3795">
        <v>6</v>
      </c>
      <c r="H3795">
        <v>19</v>
      </c>
      <c r="I3795">
        <v>448</v>
      </c>
      <c r="J3795">
        <v>1</v>
      </c>
      <c r="K3795">
        <v>15</v>
      </c>
      <c r="L3795">
        <v>450</v>
      </c>
      <c r="M3795">
        <v>1</v>
      </c>
      <c r="N3795">
        <v>0</v>
      </c>
      <c r="O3795">
        <v>1774</v>
      </c>
    </row>
    <row r="3796" spans="1:15" x14ac:dyDescent="0.25">
      <c r="A3796" t="s">
        <v>3809</v>
      </c>
      <c r="B3796">
        <v>583</v>
      </c>
      <c r="C3796" s="1" t="str">
        <f>HYPERLINK("http://www.rosaceae.org/gb/gbrowse/malus_x_domestica/?name=MDP0000142134","MDP0000142134")</f>
        <v>MDP0000142134</v>
      </c>
      <c r="D3796">
        <v>79.31</v>
      </c>
      <c r="E3796">
        <v>551</v>
      </c>
      <c r="F3796">
        <v>114</v>
      </c>
      <c r="G3796">
        <v>17</v>
      </c>
      <c r="H3796">
        <v>20</v>
      </c>
      <c r="I3796">
        <v>562</v>
      </c>
      <c r="J3796">
        <v>1</v>
      </c>
      <c r="K3796">
        <v>25</v>
      </c>
      <c r="L3796">
        <v>566</v>
      </c>
      <c r="M3796">
        <v>1</v>
      </c>
      <c r="N3796">
        <v>0</v>
      </c>
      <c r="O3796">
        <v>2352</v>
      </c>
    </row>
    <row r="3797" spans="1:15" x14ac:dyDescent="0.25">
      <c r="A3797" t="s">
        <v>3810</v>
      </c>
      <c r="B3797">
        <v>471</v>
      </c>
      <c r="C3797" s="1" t="str">
        <f>HYPERLINK("http://www.rosaceae.org/gb/gbrowse/malus_x_domestica/?name=MDP0000291352","MDP0000291352")</f>
        <v>MDP0000291352</v>
      </c>
      <c r="D3797">
        <v>88.53</v>
      </c>
      <c r="E3797">
        <v>445</v>
      </c>
      <c r="F3797">
        <v>51</v>
      </c>
      <c r="G3797">
        <v>0</v>
      </c>
      <c r="H3797">
        <v>27</v>
      </c>
      <c r="I3797">
        <v>471</v>
      </c>
      <c r="J3797">
        <v>1</v>
      </c>
      <c r="K3797">
        <v>84</v>
      </c>
      <c r="L3797">
        <v>528</v>
      </c>
      <c r="M3797">
        <v>1</v>
      </c>
      <c r="N3797">
        <v>0</v>
      </c>
      <c r="O3797">
        <v>2046</v>
      </c>
    </row>
    <row r="3798" spans="1:15" x14ac:dyDescent="0.25">
      <c r="A3798" t="s">
        <v>3811</v>
      </c>
      <c r="B3798">
        <v>246</v>
      </c>
      <c r="C3798" s="1" t="str">
        <f>HYPERLINK("http://www.rosaceae.org/gb/gbrowse/malus_x_domestica/?name=MDP0000646963","MDP0000646963")</f>
        <v>MDP0000646963</v>
      </c>
      <c r="D3798">
        <v>31.03</v>
      </c>
      <c r="E3798">
        <v>116</v>
      </c>
      <c r="F3798">
        <v>80</v>
      </c>
      <c r="G3798">
        <v>1</v>
      </c>
      <c r="H3798">
        <v>2</v>
      </c>
      <c r="I3798">
        <v>117</v>
      </c>
      <c r="J3798">
        <v>1</v>
      </c>
      <c r="K3798">
        <v>83</v>
      </c>
      <c r="L3798">
        <v>197</v>
      </c>
      <c r="M3798">
        <v>1</v>
      </c>
      <c r="N3798">
        <v>2.7309000000000002E-9</v>
      </c>
      <c r="O3798">
        <v>143</v>
      </c>
    </row>
    <row r="3799" spans="1:15" x14ac:dyDescent="0.25">
      <c r="A3799" t="s">
        <v>3812</v>
      </c>
      <c r="B3799">
        <v>345</v>
      </c>
      <c r="C3799" s="1" t="str">
        <f>HYPERLINK("http://www.rosaceae.org/gb/gbrowse/malus_x_domestica/?name=MDP0000155698","MDP0000155698")</f>
        <v>MDP0000155698</v>
      </c>
      <c r="D3799">
        <v>72.03</v>
      </c>
      <c r="E3799">
        <v>261</v>
      </c>
      <c r="F3799">
        <v>73</v>
      </c>
      <c r="G3799">
        <v>2</v>
      </c>
      <c r="H3799">
        <v>1</v>
      </c>
      <c r="I3799">
        <v>261</v>
      </c>
      <c r="J3799">
        <v>1</v>
      </c>
      <c r="K3799">
        <v>1</v>
      </c>
      <c r="L3799">
        <v>259</v>
      </c>
      <c r="M3799">
        <v>1</v>
      </c>
      <c r="N3799">
        <v>1.01398E-104</v>
      </c>
      <c r="O3799">
        <v>968</v>
      </c>
    </row>
    <row r="3800" spans="1:15" x14ac:dyDescent="0.25">
      <c r="A3800" t="s">
        <v>3813</v>
      </c>
      <c r="B3800">
        <v>357</v>
      </c>
      <c r="C3800" s="1" t="str">
        <f>HYPERLINK("http://www.rosaceae.org/gb/gbrowse/malus_x_domestica/?name=MDP0000804949","MDP0000804949")</f>
        <v>MDP0000804949</v>
      </c>
      <c r="D3800">
        <v>72.39</v>
      </c>
      <c r="E3800">
        <v>355</v>
      </c>
      <c r="F3800">
        <v>98</v>
      </c>
      <c r="G3800">
        <v>0</v>
      </c>
      <c r="H3800">
        <v>1</v>
      </c>
      <c r="I3800">
        <v>355</v>
      </c>
      <c r="J3800">
        <v>1</v>
      </c>
      <c r="K3800">
        <v>1</v>
      </c>
      <c r="L3800">
        <v>355</v>
      </c>
      <c r="M3800">
        <v>1</v>
      </c>
      <c r="N3800">
        <v>1.7479899999999998E-151</v>
      </c>
      <c r="O3800">
        <v>1371</v>
      </c>
    </row>
    <row r="3801" spans="1:15" x14ac:dyDescent="0.25">
      <c r="A3801" t="s">
        <v>3814</v>
      </c>
      <c r="B3801">
        <v>1019</v>
      </c>
      <c r="C3801" s="1" t="str">
        <f>HYPERLINK("http://www.rosaceae.org/gb/gbrowse/malus_x_domestica/?name=MDP0000287755","MDP0000287755")</f>
        <v>MDP0000287755</v>
      </c>
      <c r="D3801">
        <v>74.44</v>
      </c>
      <c r="E3801">
        <v>943</v>
      </c>
      <c r="F3801">
        <v>241</v>
      </c>
      <c r="G3801">
        <v>8</v>
      </c>
      <c r="H3801">
        <v>72</v>
      </c>
      <c r="I3801">
        <v>1014</v>
      </c>
      <c r="J3801">
        <v>1</v>
      </c>
      <c r="K3801">
        <v>46</v>
      </c>
      <c r="L3801">
        <v>980</v>
      </c>
      <c r="M3801">
        <v>1</v>
      </c>
      <c r="N3801">
        <v>0</v>
      </c>
      <c r="O3801">
        <v>3634</v>
      </c>
    </row>
    <row r="3802" spans="1:15" x14ac:dyDescent="0.25">
      <c r="A3802" t="s">
        <v>3815</v>
      </c>
      <c r="B3802">
        <v>264</v>
      </c>
      <c r="C3802" s="1" t="str">
        <f>HYPERLINK("http://www.rosaceae.org/gb/gbrowse/malus_x_domestica/?name=MDP0000221920","MDP0000221920")</f>
        <v>MDP0000221920</v>
      </c>
      <c r="D3802">
        <v>65.11</v>
      </c>
      <c r="E3802">
        <v>258</v>
      </c>
      <c r="F3802">
        <v>90</v>
      </c>
      <c r="G3802">
        <v>50</v>
      </c>
      <c r="H3802">
        <v>14</v>
      </c>
      <c r="I3802">
        <v>232</v>
      </c>
      <c r="J3802">
        <v>1</v>
      </c>
      <c r="K3802">
        <v>17</v>
      </c>
      <c r="L3802">
        <v>263</v>
      </c>
      <c r="M3802">
        <v>1</v>
      </c>
      <c r="N3802">
        <v>4.0467300000000002E-87</v>
      </c>
      <c r="O3802">
        <v>815</v>
      </c>
    </row>
    <row r="3803" spans="1:15" x14ac:dyDescent="0.25">
      <c r="A3803" t="s">
        <v>3816</v>
      </c>
      <c r="B3803">
        <v>607</v>
      </c>
      <c r="C3803" s="1" t="str">
        <f>HYPERLINK("http://www.rosaceae.org/gb/gbrowse/malus_x_domestica/?name=MDP0000258644","MDP0000258644")</f>
        <v>MDP0000258644</v>
      </c>
      <c r="D3803">
        <v>75.16</v>
      </c>
      <c r="E3803">
        <v>459</v>
      </c>
      <c r="F3803">
        <v>114</v>
      </c>
      <c r="G3803">
        <v>6</v>
      </c>
      <c r="H3803">
        <v>26</v>
      </c>
      <c r="I3803">
        <v>481</v>
      </c>
      <c r="J3803">
        <v>1</v>
      </c>
      <c r="K3803">
        <v>26</v>
      </c>
      <c r="L3803">
        <v>481</v>
      </c>
      <c r="M3803">
        <v>1</v>
      </c>
      <c r="N3803">
        <v>0</v>
      </c>
      <c r="O3803">
        <v>1760</v>
      </c>
    </row>
    <row r="3804" spans="1:15" x14ac:dyDescent="0.25">
      <c r="A3804" t="s">
        <v>3817</v>
      </c>
      <c r="B3804">
        <v>82</v>
      </c>
      <c r="C3804" s="1" t="str">
        <f>HYPERLINK("http://www.rosaceae.org/gb/gbrowse/malus_x_domestica/?name=MDP0000206285","MDP0000206285")</f>
        <v>MDP0000206285</v>
      </c>
      <c r="D3804">
        <v>66.17</v>
      </c>
      <c r="E3804">
        <v>68</v>
      </c>
      <c r="F3804">
        <v>23</v>
      </c>
      <c r="G3804">
        <v>0</v>
      </c>
      <c r="H3804">
        <v>7</v>
      </c>
      <c r="I3804">
        <v>74</v>
      </c>
      <c r="J3804">
        <v>1</v>
      </c>
      <c r="K3804">
        <v>105</v>
      </c>
      <c r="L3804">
        <v>172</v>
      </c>
      <c r="M3804">
        <v>1</v>
      </c>
      <c r="N3804">
        <v>7.2614700000000007E-21</v>
      </c>
      <c r="O3804">
        <v>237</v>
      </c>
    </row>
    <row r="3805" spans="1:15" x14ac:dyDescent="0.25">
      <c r="A3805" t="s">
        <v>3818</v>
      </c>
      <c r="B3805">
        <v>426</v>
      </c>
      <c r="C3805" s="1" t="str">
        <f>HYPERLINK("http://www.rosaceae.org/gb/gbrowse/malus_x_domestica/?name=MDP0000297791","MDP0000297791")</f>
        <v>MDP0000297791</v>
      </c>
      <c r="D3805">
        <v>61.75</v>
      </c>
      <c r="E3805">
        <v>353</v>
      </c>
      <c r="F3805">
        <v>135</v>
      </c>
      <c r="G3805">
        <v>33</v>
      </c>
      <c r="H3805">
        <v>88</v>
      </c>
      <c r="I3805">
        <v>411</v>
      </c>
      <c r="J3805">
        <v>1</v>
      </c>
      <c r="K3805">
        <v>85</v>
      </c>
      <c r="L3805">
        <v>433</v>
      </c>
      <c r="M3805">
        <v>1</v>
      </c>
      <c r="N3805">
        <v>1.65912E-106</v>
      </c>
      <c r="O3805">
        <v>984</v>
      </c>
    </row>
    <row r="3806" spans="1:15" x14ac:dyDescent="0.25">
      <c r="A3806" t="s">
        <v>3819</v>
      </c>
      <c r="B3806">
        <v>276</v>
      </c>
      <c r="C3806" s="1" t="str">
        <f>HYPERLINK("http://www.rosaceae.org/gb/gbrowse/malus_x_domestica/?name=MDP0000296128","MDP0000296128")</f>
        <v>MDP0000296128</v>
      </c>
      <c r="D3806">
        <v>46.78</v>
      </c>
      <c r="E3806">
        <v>109</v>
      </c>
      <c r="F3806">
        <v>58</v>
      </c>
      <c r="G3806">
        <v>9</v>
      </c>
      <c r="H3806">
        <v>175</v>
      </c>
      <c r="I3806">
        <v>274</v>
      </c>
      <c r="J3806">
        <v>1</v>
      </c>
      <c r="K3806">
        <v>237</v>
      </c>
      <c r="L3806">
        <v>345</v>
      </c>
      <c r="M3806">
        <v>1</v>
      </c>
      <c r="N3806">
        <v>1.5105099999999999E-20</v>
      </c>
      <c r="O3806">
        <v>241</v>
      </c>
    </row>
    <row r="3807" spans="1:15" x14ac:dyDescent="0.25">
      <c r="A3807" t="s">
        <v>3820</v>
      </c>
      <c r="B3807">
        <v>330</v>
      </c>
      <c r="C3807" s="1" t="str">
        <f>HYPERLINK("http://www.rosaceae.org/gb/gbrowse/malus_x_domestica/?name=MDP0000138215","MDP0000138215")</f>
        <v>MDP0000138215</v>
      </c>
      <c r="D3807">
        <v>63.07</v>
      </c>
      <c r="E3807">
        <v>306</v>
      </c>
      <c r="F3807">
        <v>113</v>
      </c>
      <c r="G3807">
        <v>10</v>
      </c>
      <c r="H3807">
        <v>1</v>
      </c>
      <c r="I3807">
        <v>306</v>
      </c>
      <c r="J3807">
        <v>1</v>
      </c>
      <c r="K3807">
        <v>1</v>
      </c>
      <c r="L3807">
        <v>296</v>
      </c>
      <c r="M3807">
        <v>1</v>
      </c>
      <c r="N3807">
        <v>2.3699199999999999E-91</v>
      </c>
      <c r="O3807">
        <v>852</v>
      </c>
    </row>
    <row r="3808" spans="1:15" x14ac:dyDescent="0.25">
      <c r="A3808" t="s">
        <v>3821</v>
      </c>
      <c r="B3808">
        <v>137</v>
      </c>
      <c r="C3808" s="1" t="str">
        <f>HYPERLINK("http://www.rosaceae.org/gb/gbrowse/malus_x_domestica/?name=MDP0000125339","MDP0000125339")</f>
        <v>MDP0000125339</v>
      </c>
      <c r="D3808">
        <v>42.2</v>
      </c>
      <c r="E3808">
        <v>109</v>
      </c>
      <c r="F3808">
        <v>63</v>
      </c>
      <c r="G3808">
        <v>5</v>
      </c>
      <c r="H3808">
        <v>4</v>
      </c>
      <c r="I3808">
        <v>109</v>
      </c>
      <c r="J3808">
        <v>1</v>
      </c>
      <c r="K3808">
        <v>222</v>
      </c>
      <c r="L3808">
        <v>328</v>
      </c>
      <c r="M3808">
        <v>1</v>
      </c>
      <c r="N3808">
        <v>6.1623500000000005E-13</v>
      </c>
      <c r="O3808">
        <v>170</v>
      </c>
    </row>
    <row r="3809" spans="1:15" x14ac:dyDescent="0.25">
      <c r="A3809" t="s">
        <v>3822</v>
      </c>
      <c r="B3809">
        <v>916</v>
      </c>
      <c r="C3809" s="1" t="str">
        <f>HYPERLINK("http://www.rosaceae.org/gb/gbrowse/malus_x_domestica/?name=MDP0000128604","MDP0000128604")</f>
        <v>MDP0000128604</v>
      </c>
      <c r="D3809">
        <v>76.86</v>
      </c>
      <c r="E3809">
        <v>938</v>
      </c>
      <c r="F3809">
        <v>217</v>
      </c>
      <c r="G3809">
        <v>47</v>
      </c>
      <c r="H3809">
        <v>1</v>
      </c>
      <c r="I3809">
        <v>916</v>
      </c>
      <c r="J3809">
        <v>1</v>
      </c>
      <c r="K3809">
        <v>1</v>
      </c>
      <c r="L3809">
        <v>913</v>
      </c>
      <c r="M3809">
        <v>1</v>
      </c>
      <c r="N3809">
        <v>0</v>
      </c>
      <c r="O3809">
        <v>3813</v>
      </c>
    </row>
    <row r="3810" spans="1:15" x14ac:dyDescent="0.25">
      <c r="A3810" t="s">
        <v>3823</v>
      </c>
      <c r="B3810">
        <v>280</v>
      </c>
      <c r="C3810" s="1" t="str">
        <f>HYPERLINK("http://www.rosaceae.org/gb/gbrowse/malus_x_domestica/?name=MDP0000669080","MDP0000669080")</f>
        <v>MDP0000669080</v>
      </c>
      <c r="D3810">
        <v>76.400000000000006</v>
      </c>
      <c r="E3810">
        <v>250</v>
      </c>
      <c r="F3810">
        <v>59</v>
      </c>
      <c r="G3810">
        <v>0</v>
      </c>
      <c r="H3810">
        <v>6</v>
      </c>
      <c r="I3810">
        <v>255</v>
      </c>
      <c r="J3810">
        <v>1</v>
      </c>
      <c r="K3810">
        <v>22</v>
      </c>
      <c r="L3810">
        <v>271</v>
      </c>
      <c r="M3810">
        <v>1</v>
      </c>
      <c r="N3810">
        <v>3.8327600000000001E-110</v>
      </c>
      <c r="O3810">
        <v>1013</v>
      </c>
    </row>
    <row r="3811" spans="1:15" x14ac:dyDescent="0.25">
      <c r="A3811" t="s">
        <v>3824</v>
      </c>
      <c r="B3811">
        <v>367</v>
      </c>
      <c r="C3811" s="1" t="str">
        <f>HYPERLINK("http://www.rosaceae.org/gb/gbrowse/malus_x_domestica/?name=MDP0000185720","MDP0000185720")</f>
        <v>MDP0000185720</v>
      </c>
      <c r="D3811">
        <v>79.900000000000006</v>
      </c>
      <c r="E3811">
        <v>214</v>
      </c>
      <c r="F3811">
        <v>43</v>
      </c>
      <c r="G3811">
        <v>3</v>
      </c>
      <c r="H3811">
        <v>1</v>
      </c>
      <c r="I3811">
        <v>211</v>
      </c>
      <c r="J3811">
        <v>1</v>
      </c>
      <c r="K3811">
        <v>87</v>
      </c>
      <c r="L3811">
        <v>300</v>
      </c>
      <c r="M3811">
        <v>1</v>
      </c>
      <c r="N3811">
        <v>2.1298299999999999E-93</v>
      </c>
      <c r="O3811">
        <v>870</v>
      </c>
    </row>
    <row r="3812" spans="1:15" x14ac:dyDescent="0.25">
      <c r="A3812" t="s">
        <v>3825</v>
      </c>
      <c r="B3812">
        <v>255</v>
      </c>
      <c r="C3812" s="1" t="str">
        <f>HYPERLINK("http://www.rosaceae.org/gb/gbrowse/malus_x_domestica/?name=MDP0000417755","MDP0000417755")</f>
        <v>MDP0000417755</v>
      </c>
      <c r="D3812">
        <v>57.6</v>
      </c>
      <c r="E3812">
        <v>276</v>
      </c>
      <c r="F3812">
        <v>117</v>
      </c>
      <c r="G3812">
        <v>35</v>
      </c>
      <c r="H3812">
        <v>1</v>
      </c>
      <c r="I3812">
        <v>255</v>
      </c>
      <c r="J3812">
        <v>1</v>
      </c>
      <c r="K3812">
        <v>1</v>
      </c>
      <c r="L3812">
        <v>262</v>
      </c>
      <c r="M3812">
        <v>1</v>
      </c>
      <c r="N3812">
        <v>3.8049300000000002E-80</v>
      </c>
      <c r="O3812">
        <v>754</v>
      </c>
    </row>
    <row r="3813" spans="1:15" x14ac:dyDescent="0.25">
      <c r="A3813" t="s">
        <v>3826</v>
      </c>
      <c r="B3813">
        <v>141</v>
      </c>
      <c r="C3813" s="1" t="str">
        <f>HYPERLINK("http://www.rosaceae.org/gb/gbrowse/malus_x_domestica/?name=MDP0000135262","MDP0000135262")</f>
        <v>MDP0000135262</v>
      </c>
      <c r="D3813">
        <v>72.41</v>
      </c>
      <c r="E3813">
        <v>87</v>
      </c>
      <c r="F3813">
        <v>24</v>
      </c>
      <c r="G3813">
        <v>1</v>
      </c>
      <c r="H3813">
        <v>41</v>
      </c>
      <c r="I3813">
        <v>127</v>
      </c>
      <c r="J3813">
        <v>1</v>
      </c>
      <c r="K3813">
        <v>40</v>
      </c>
      <c r="L3813">
        <v>125</v>
      </c>
      <c r="M3813">
        <v>1</v>
      </c>
      <c r="N3813">
        <v>2.5161499999999999E-32</v>
      </c>
      <c r="O3813">
        <v>338</v>
      </c>
    </row>
    <row r="3814" spans="1:15" x14ac:dyDescent="0.25">
      <c r="A3814" t="s">
        <v>3827</v>
      </c>
      <c r="B3814">
        <v>874</v>
      </c>
      <c r="C3814" s="1" t="str">
        <f>HYPERLINK("http://www.rosaceae.org/gb/gbrowse/malus_x_domestica/?name=MDP0000484863","MDP0000484863")</f>
        <v>MDP0000484863</v>
      </c>
      <c r="D3814">
        <v>69.8</v>
      </c>
      <c r="E3814">
        <v>626</v>
      </c>
      <c r="F3814">
        <v>189</v>
      </c>
      <c r="G3814">
        <v>2</v>
      </c>
      <c r="H3814">
        <v>7</v>
      </c>
      <c r="I3814">
        <v>630</v>
      </c>
      <c r="J3814">
        <v>1</v>
      </c>
      <c r="K3814">
        <v>45</v>
      </c>
      <c r="L3814">
        <v>670</v>
      </c>
      <c r="M3814">
        <v>1</v>
      </c>
      <c r="N3814">
        <v>0</v>
      </c>
      <c r="O3814">
        <v>2380</v>
      </c>
    </row>
    <row r="3815" spans="1:15" x14ac:dyDescent="0.25">
      <c r="A3815" t="s">
        <v>3828</v>
      </c>
      <c r="B3815">
        <v>804</v>
      </c>
      <c r="C3815" s="1" t="str">
        <f>HYPERLINK("http://www.rosaceae.org/gb/gbrowse/malus_x_domestica/?name=MDP0000413077","MDP0000413077")</f>
        <v>MDP0000413077</v>
      </c>
      <c r="D3815">
        <v>78.05</v>
      </c>
      <c r="E3815">
        <v>802</v>
      </c>
      <c r="F3815">
        <v>176</v>
      </c>
      <c r="G3815">
        <v>3</v>
      </c>
      <c r="H3815">
        <v>1</v>
      </c>
      <c r="I3815">
        <v>799</v>
      </c>
      <c r="J3815">
        <v>1</v>
      </c>
      <c r="K3815">
        <v>1</v>
      </c>
      <c r="L3815">
        <v>802</v>
      </c>
      <c r="M3815">
        <v>1</v>
      </c>
      <c r="N3815">
        <v>0</v>
      </c>
      <c r="O3815">
        <v>3313</v>
      </c>
    </row>
    <row r="3816" spans="1:15" x14ac:dyDescent="0.25">
      <c r="A3816" t="s">
        <v>3829</v>
      </c>
      <c r="B3816">
        <v>678</v>
      </c>
      <c r="C3816" s="1" t="str">
        <f>HYPERLINK("http://www.rosaceae.org/gb/gbrowse/malus_x_domestica/?name=MDP0000421759","MDP0000421759")</f>
        <v>MDP0000421759</v>
      </c>
      <c r="D3816">
        <v>58.7</v>
      </c>
      <c r="E3816">
        <v>293</v>
      </c>
      <c r="F3816">
        <v>121</v>
      </c>
      <c r="G3816">
        <v>27</v>
      </c>
      <c r="H3816">
        <v>1</v>
      </c>
      <c r="I3816">
        <v>270</v>
      </c>
      <c r="J3816">
        <v>1</v>
      </c>
      <c r="K3816">
        <v>1</v>
      </c>
      <c r="L3816">
        <v>289</v>
      </c>
      <c r="M3816">
        <v>1</v>
      </c>
      <c r="N3816">
        <v>2.4992600000000001E-73</v>
      </c>
      <c r="O3816">
        <v>700</v>
      </c>
    </row>
    <row r="3817" spans="1:15" x14ac:dyDescent="0.25">
      <c r="A3817" t="s">
        <v>3830</v>
      </c>
      <c r="B3817">
        <v>94</v>
      </c>
      <c r="C3817" s="1" t="str">
        <f>HYPERLINK("http://www.rosaceae.org/gb/gbrowse/malus_x_domestica/?name=MDP0000232843","MDP0000232843")</f>
        <v>MDP0000232843</v>
      </c>
      <c r="D3817">
        <v>49.18</v>
      </c>
      <c r="E3817">
        <v>61</v>
      </c>
      <c r="F3817">
        <v>31</v>
      </c>
      <c r="G3817">
        <v>0</v>
      </c>
      <c r="H3817">
        <v>34</v>
      </c>
      <c r="I3817">
        <v>94</v>
      </c>
      <c r="J3817">
        <v>1</v>
      </c>
      <c r="K3817">
        <v>164</v>
      </c>
      <c r="L3817">
        <v>224</v>
      </c>
      <c r="M3817">
        <v>1</v>
      </c>
      <c r="N3817">
        <v>5.7537100000000005E-14</v>
      </c>
      <c r="O3817">
        <v>178</v>
      </c>
    </row>
    <row r="3818" spans="1:15" x14ac:dyDescent="0.25">
      <c r="A3818" t="s">
        <v>3831</v>
      </c>
      <c r="B3818">
        <v>523</v>
      </c>
      <c r="C3818" s="1" t="str">
        <f>HYPERLINK("http://www.rosaceae.org/gb/gbrowse/malus_x_domestica/?name=MDP0000700517","MDP0000700517")</f>
        <v>MDP0000700517</v>
      </c>
      <c r="D3818">
        <v>23.82</v>
      </c>
      <c r="E3818">
        <v>277</v>
      </c>
      <c r="F3818">
        <v>211</v>
      </c>
      <c r="G3818">
        <v>34</v>
      </c>
      <c r="H3818">
        <v>146</v>
      </c>
      <c r="I3818">
        <v>395</v>
      </c>
      <c r="J3818">
        <v>1</v>
      </c>
      <c r="K3818">
        <v>94</v>
      </c>
      <c r="L3818">
        <v>363</v>
      </c>
      <c r="M3818">
        <v>1</v>
      </c>
      <c r="N3818">
        <v>7.0533599999999999E-14</v>
      </c>
      <c r="O3818">
        <v>186</v>
      </c>
    </row>
    <row r="3819" spans="1:15" x14ac:dyDescent="0.25">
      <c r="A3819" t="s">
        <v>3832</v>
      </c>
      <c r="B3819">
        <v>184</v>
      </c>
      <c r="C3819" s="1" t="str">
        <f>HYPERLINK("http://www.rosaceae.org/gb/gbrowse/malus_x_domestica/?name=MDP0000319550","MDP0000319550")</f>
        <v>MDP0000319550</v>
      </c>
      <c r="D3819">
        <v>64.67</v>
      </c>
      <c r="E3819">
        <v>184</v>
      </c>
      <c r="F3819">
        <v>65</v>
      </c>
      <c r="G3819">
        <v>0</v>
      </c>
      <c r="H3819">
        <v>1</v>
      </c>
      <c r="I3819">
        <v>184</v>
      </c>
      <c r="J3819">
        <v>1</v>
      </c>
      <c r="K3819">
        <v>396</v>
      </c>
      <c r="L3819">
        <v>579</v>
      </c>
      <c r="M3819">
        <v>1</v>
      </c>
      <c r="N3819">
        <v>1.1322499999999999E-68</v>
      </c>
      <c r="O3819">
        <v>653</v>
      </c>
    </row>
    <row r="3820" spans="1:15" x14ac:dyDescent="0.25">
      <c r="A3820" t="s">
        <v>3833</v>
      </c>
      <c r="B3820">
        <v>528</v>
      </c>
      <c r="C3820" s="1" t="str">
        <f>HYPERLINK("http://www.rosaceae.org/gb/gbrowse/malus_x_domestica/?name=MDP0000299884","MDP0000299884")</f>
        <v>MDP0000299884</v>
      </c>
      <c r="D3820">
        <v>66.66</v>
      </c>
      <c r="E3820">
        <v>573</v>
      </c>
      <c r="F3820">
        <v>191</v>
      </c>
      <c r="G3820">
        <v>46</v>
      </c>
      <c r="H3820">
        <v>1</v>
      </c>
      <c r="I3820">
        <v>528</v>
      </c>
      <c r="J3820">
        <v>1</v>
      </c>
      <c r="K3820">
        <v>1</v>
      </c>
      <c r="L3820">
        <v>572</v>
      </c>
      <c r="M3820">
        <v>1</v>
      </c>
      <c r="N3820">
        <v>0</v>
      </c>
      <c r="O3820">
        <v>1983</v>
      </c>
    </row>
    <row r="3821" spans="1:15" x14ac:dyDescent="0.25">
      <c r="A3821" t="s">
        <v>3834</v>
      </c>
      <c r="B3821">
        <v>360</v>
      </c>
      <c r="C3821" s="1" t="str">
        <f>HYPERLINK("http://www.rosaceae.org/gb/gbrowse/malus_x_domestica/?name=MDP0000301534","MDP0000301534")</f>
        <v>MDP0000301534</v>
      </c>
      <c r="D3821">
        <v>26.73</v>
      </c>
      <c r="E3821">
        <v>374</v>
      </c>
      <c r="F3821">
        <v>274</v>
      </c>
      <c r="G3821">
        <v>57</v>
      </c>
      <c r="H3821">
        <v>14</v>
      </c>
      <c r="I3821">
        <v>356</v>
      </c>
      <c r="J3821">
        <v>1</v>
      </c>
      <c r="K3821">
        <v>11</v>
      </c>
      <c r="L3821">
        <v>358</v>
      </c>
      <c r="M3821">
        <v>1</v>
      </c>
      <c r="N3821">
        <v>4.5461100000000001E-32</v>
      </c>
      <c r="O3821">
        <v>341</v>
      </c>
    </row>
    <row r="3822" spans="1:15" x14ac:dyDescent="0.25">
      <c r="A3822" t="s">
        <v>3835</v>
      </c>
      <c r="B3822">
        <v>662</v>
      </c>
      <c r="C3822" s="1" t="str">
        <f>HYPERLINK("http://www.rosaceae.org/gb/gbrowse/malus_x_domestica/?name=MDP0000149828","MDP0000149828")</f>
        <v>MDP0000149828</v>
      </c>
      <c r="D3822">
        <v>73.31</v>
      </c>
      <c r="E3822">
        <v>622</v>
      </c>
      <c r="F3822">
        <v>166</v>
      </c>
      <c r="G3822">
        <v>31</v>
      </c>
      <c r="H3822">
        <v>12</v>
      </c>
      <c r="I3822">
        <v>604</v>
      </c>
      <c r="J3822">
        <v>1</v>
      </c>
      <c r="K3822">
        <v>13</v>
      </c>
      <c r="L3822">
        <v>632</v>
      </c>
      <c r="M3822">
        <v>1</v>
      </c>
      <c r="N3822">
        <v>0</v>
      </c>
      <c r="O3822">
        <v>2257</v>
      </c>
    </row>
    <row r="3823" spans="1:15" x14ac:dyDescent="0.25">
      <c r="A3823" t="s">
        <v>3836</v>
      </c>
      <c r="B3823">
        <v>286</v>
      </c>
      <c r="C3823" s="1" t="str">
        <f>HYPERLINK("http://www.rosaceae.org/gb/gbrowse/malus_x_domestica/?name=MDP0000190306","MDP0000190306")</f>
        <v>MDP0000190306</v>
      </c>
      <c r="D3823">
        <v>67.69</v>
      </c>
      <c r="E3823">
        <v>291</v>
      </c>
      <c r="F3823">
        <v>94</v>
      </c>
      <c r="G3823">
        <v>6</v>
      </c>
      <c r="H3823">
        <v>1</v>
      </c>
      <c r="I3823">
        <v>286</v>
      </c>
      <c r="J3823">
        <v>1</v>
      </c>
      <c r="K3823">
        <v>16</v>
      </c>
      <c r="L3823">
        <v>305</v>
      </c>
      <c r="M3823">
        <v>1</v>
      </c>
      <c r="N3823">
        <v>4.16776E-108</v>
      </c>
      <c r="O3823">
        <v>996</v>
      </c>
    </row>
    <row r="3824" spans="1:15" x14ac:dyDescent="0.25">
      <c r="A3824" t="s">
        <v>3837</v>
      </c>
      <c r="B3824">
        <v>625</v>
      </c>
      <c r="C3824" s="1" t="str">
        <f>HYPERLINK("http://www.rosaceae.org/gb/gbrowse/malus_x_domestica/?name=MDP0000121166","MDP0000121166")</f>
        <v>MDP0000121166</v>
      </c>
      <c r="D3824">
        <v>69.239999999999995</v>
      </c>
      <c r="E3824">
        <v>439</v>
      </c>
      <c r="F3824">
        <v>135</v>
      </c>
      <c r="G3824">
        <v>18</v>
      </c>
      <c r="H3824">
        <v>193</v>
      </c>
      <c r="I3824">
        <v>615</v>
      </c>
      <c r="J3824">
        <v>1</v>
      </c>
      <c r="K3824">
        <v>93</v>
      </c>
      <c r="L3824">
        <v>529</v>
      </c>
      <c r="M3824">
        <v>1</v>
      </c>
      <c r="N3824">
        <v>1.05663E-172</v>
      </c>
      <c r="O3824">
        <v>1557</v>
      </c>
    </row>
    <row r="3825" spans="1:15" x14ac:dyDescent="0.25">
      <c r="A3825" t="s">
        <v>3838</v>
      </c>
      <c r="B3825">
        <v>520</v>
      </c>
      <c r="C3825" s="1" t="str">
        <f>HYPERLINK("http://www.rosaceae.org/gb/gbrowse/malus_x_domestica/?name=MDP0000646524","MDP0000646524")</f>
        <v>MDP0000646524</v>
      </c>
      <c r="D3825">
        <v>99.47</v>
      </c>
      <c r="E3825">
        <v>383</v>
      </c>
      <c r="F3825">
        <v>2</v>
      </c>
      <c r="G3825">
        <v>0</v>
      </c>
      <c r="H3825">
        <v>138</v>
      </c>
      <c r="I3825">
        <v>520</v>
      </c>
      <c r="J3825">
        <v>1</v>
      </c>
      <c r="K3825">
        <v>462</v>
      </c>
      <c r="L3825">
        <v>844</v>
      </c>
      <c r="M3825">
        <v>1</v>
      </c>
      <c r="N3825">
        <v>0</v>
      </c>
      <c r="O3825">
        <v>1965</v>
      </c>
    </row>
    <row r="3826" spans="1:15" x14ac:dyDescent="0.25">
      <c r="A3826" t="s">
        <v>3839</v>
      </c>
      <c r="B3826">
        <v>436</v>
      </c>
      <c r="C3826" s="1" t="str">
        <f>HYPERLINK("http://www.rosaceae.org/gb/gbrowse/malus_x_domestica/?name=MDP0000319776","MDP0000319776")</f>
        <v>MDP0000319776</v>
      </c>
      <c r="D3826">
        <v>56.29</v>
      </c>
      <c r="E3826">
        <v>135</v>
      </c>
      <c r="F3826">
        <v>59</v>
      </c>
      <c r="G3826">
        <v>1</v>
      </c>
      <c r="H3826">
        <v>275</v>
      </c>
      <c r="I3826">
        <v>408</v>
      </c>
      <c r="J3826">
        <v>1</v>
      </c>
      <c r="K3826">
        <v>81</v>
      </c>
      <c r="L3826">
        <v>215</v>
      </c>
      <c r="M3826">
        <v>1</v>
      </c>
      <c r="N3826">
        <v>5.4700299999999997E-40</v>
      </c>
      <c r="O3826">
        <v>411</v>
      </c>
    </row>
    <row r="3827" spans="1:15" x14ac:dyDescent="0.25">
      <c r="A3827" t="s">
        <v>3840</v>
      </c>
      <c r="B3827">
        <v>499</v>
      </c>
      <c r="C3827" s="1" t="str">
        <f>HYPERLINK("http://www.rosaceae.org/gb/gbrowse/malus_x_domestica/?name=MDP0000849514","MDP0000849514")</f>
        <v>MDP0000849514</v>
      </c>
      <c r="D3827">
        <v>68.25</v>
      </c>
      <c r="E3827">
        <v>504</v>
      </c>
      <c r="F3827">
        <v>160</v>
      </c>
      <c r="G3827">
        <v>39</v>
      </c>
      <c r="H3827">
        <v>26</v>
      </c>
      <c r="I3827">
        <v>499</v>
      </c>
      <c r="J3827">
        <v>1</v>
      </c>
      <c r="K3827">
        <v>32</v>
      </c>
      <c r="L3827">
        <v>526</v>
      </c>
      <c r="M3827">
        <v>1</v>
      </c>
      <c r="N3827">
        <v>0</v>
      </c>
      <c r="O3827">
        <v>1638</v>
      </c>
    </row>
    <row r="3828" spans="1:15" x14ac:dyDescent="0.25">
      <c r="A3828" t="s">
        <v>3841</v>
      </c>
      <c r="B3828">
        <v>281</v>
      </c>
      <c r="C3828" s="1" t="str">
        <f>HYPERLINK("http://www.rosaceae.org/gb/gbrowse/malus_x_domestica/?name=MDP0000289755","MDP0000289755")</f>
        <v>MDP0000289755</v>
      </c>
      <c r="D3828">
        <v>65.31</v>
      </c>
      <c r="E3828">
        <v>173</v>
      </c>
      <c r="F3828">
        <v>60</v>
      </c>
      <c r="G3828">
        <v>14</v>
      </c>
      <c r="H3828">
        <v>39</v>
      </c>
      <c r="I3828">
        <v>211</v>
      </c>
      <c r="J3828">
        <v>1</v>
      </c>
      <c r="K3828">
        <v>26</v>
      </c>
      <c r="L3828">
        <v>184</v>
      </c>
      <c r="M3828">
        <v>1</v>
      </c>
      <c r="N3828">
        <v>1.6009700000000001E-61</v>
      </c>
      <c r="O3828">
        <v>594</v>
      </c>
    </row>
    <row r="3829" spans="1:15" x14ac:dyDescent="0.25">
      <c r="A3829" t="s">
        <v>3842</v>
      </c>
      <c r="B3829">
        <v>580</v>
      </c>
      <c r="C3829" s="1" t="str">
        <f>HYPERLINK("http://www.rosaceae.org/gb/gbrowse/malus_x_domestica/?name=MDP0000219184","MDP0000219184")</f>
        <v>MDP0000219184</v>
      </c>
      <c r="D3829">
        <v>77.13</v>
      </c>
      <c r="E3829">
        <v>363</v>
      </c>
      <c r="F3829">
        <v>83</v>
      </c>
      <c r="G3829">
        <v>3</v>
      </c>
      <c r="H3829">
        <v>24</v>
      </c>
      <c r="I3829">
        <v>386</v>
      </c>
      <c r="J3829">
        <v>1</v>
      </c>
      <c r="K3829">
        <v>26</v>
      </c>
      <c r="L3829">
        <v>385</v>
      </c>
      <c r="M3829">
        <v>1</v>
      </c>
      <c r="N3829">
        <v>5.0746400000000001E-163</v>
      </c>
      <c r="O3829">
        <v>1473</v>
      </c>
    </row>
    <row r="3830" spans="1:15" x14ac:dyDescent="0.25">
      <c r="A3830" t="s">
        <v>3843</v>
      </c>
      <c r="B3830">
        <v>557</v>
      </c>
      <c r="C3830" s="1" t="str">
        <f>HYPERLINK("http://www.rosaceae.org/gb/gbrowse/malus_x_domestica/?name=MDP0000276291","MDP0000276291")</f>
        <v>MDP0000276291</v>
      </c>
      <c r="D3830">
        <v>35.01</v>
      </c>
      <c r="E3830">
        <v>257</v>
      </c>
      <c r="F3830">
        <v>167</v>
      </c>
      <c r="G3830">
        <v>31</v>
      </c>
      <c r="H3830">
        <v>11</v>
      </c>
      <c r="I3830">
        <v>240</v>
      </c>
      <c r="J3830">
        <v>1</v>
      </c>
      <c r="K3830">
        <v>7</v>
      </c>
      <c r="L3830">
        <v>259</v>
      </c>
      <c r="M3830">
        <v>1</v>
      </c>
      <c r="N3830">
        <v>6.1305699999999997E-29</v>
      </c>
      <c r="O3830">
        <v>317</v>
      </c>
    </row>
    <row r="3831" spans="1:15" x14ac:dyDescent="0.25">
      <c r="A3831" t="s">
        <v>3844</v>
      </c>
      <c r="B3831">
        <v>518</v>
      </c>
      <c r="C3831" s="1" t="str">
        <f>HYPERLINK("http://www.rosaceae.org/gb/gbrowse/malus_x_domestica/?name=MDP0000230038","MDP0000230038")</f>
        <v>MDP0000230038</v>
      </c>
      <c r="D3831">
        <v>81.2</v>
      </c>
      <c r="E3831">
        <v>500</v>
      </c>
      <c r="F3831">
        <v>94</v>
      </c>
      <c r="G3831">
        <v>4</v>
      </c>
      <c r="H3831">
        <v>1</v>
      </c>
      <c r="I3831">
        <v>496</v>
      </c>
      <c r="J3831">
        <v>1</v>
      </c>
      <c r="K3831">
        <v>79</v>
      </c>
      <c r="L3831">
        <v>578</v>
      </c>
      <c r="M3831">
        <v>1</v>
      </c>
      <c r="N3831">
        <v>0</v>
      </c>
      <c r="O3831">
        <v>2204</v>
      </c>
    </row>
    <row r="3832" spans="1:15" x14ac:dyDescent="0.25">
      <c r="A3832" t="s">
        <v>3845</v>
      </c>
      <c r="B3832">
        <v>635</v>
      </c>
      <c r="C3832" s="1" t="str">
        <f>HYPERLINK("http://www.rosaceae.org/gb/gbrowse/malus_x_domestica/?name=MDP0000149622","MDP0000149622")</f>
        <v>MDP0000149622</v>
      </c>
      <c r="D3832">
        <v>64.56</v>
      </c>
      <c r="E3832">
        <v>508</v>
      </c>
      <c r="F3832">
        <v>180</v>
      </c>
      <c r="G3832">
        <v>35</v>
      </c>
      <c r="H3832">
        <v>1</v>
      </c>
      <c r="I3832">
        <v>485</v>
      </c>
      <c r="J3832">
        <v>1</v>
      </c>
      <c r="K3832">
        <v>8</v>
      </c>
      <c r="L3832">
        <v>503</v>
      </c>
      <c r="M3832">
        <v>1</v>
      </c>
      <c r="N3832">
        <v>1.3598400000000001E-174</v>
      </c>
      <c r="O3832">
        <v>1573</v>
      </c>
    </row>
    <row r="3833" spans="1:15" x14ac:dyDescent="0.25">
      <c r="A3833" t="s">
        <v>3846</v>
      </c>
      <c r="B3833">
        <v>102</v>
      </c>
      <c r="C3833" s="1" t="str">
        <f>HYPERLINK("http://www.rosaceae.org/gb/gbrowse/malus_x_domestica/?name=MDP0000472203","MDP0000472203")</f>
        <v>MDP0000472203</v>
      </c>
      <c r="D3833">
        <v>95.09</v>
      </c>
      <c r="E3833">
        <v>102</v>
      </c>
      <c r="F3833">
        <v>5</v>
      </c>
      <c r="G3833">
        <v>0</v>
      </c>
      <c r="H3833">
        <v>1</v>
      </c>
      <c r="I3833">
        <v>102</v>
      </c>
      <c r="J3833">
        <v>1</v>
      </c>
      <c r="K3833">
        <v>41</v>
      </c>
      <c r="L3833">
        <v>142</v>
      </c>
      <c r="M3833">
        <v>1</v>
      </c>
      <c r="N3833">
        <v>3.9151299999999998E-52</v>
      </c>
      <c r="O3833">
        <v>507</v>
      </c>
    </row>
    <row r="3834" spans="1:15" x14ac:dyDescent="0.25">
      <c r="A3834" t="s">
        <v>3847</v>
      </c>
      <c r="B3834">
        <v>160</v>
      </c>
      <c r="C3834" s="1" t="str">
        <f>HYPERLINK("http://www.rosaceae.org/gb/gbrowse/malus_x_domestica/?name=MDP0000119517","MDP0000119517")</f>
        <v>MDP0000119517</v>
      </c>
      <c r="D3834">
        <v>90</v>
      </c>
      <c r="E3834">
        <v>160</v>
      </c>
      <c r="F3834">
        <v>16</v>
      </c>
      <c r="G3834">
        <v>0</v>
      </c>
      <c r="H3834">
        <v>1</v>
      </c>
      <c r="I3834">
        <v>160</v>
      </c>
      <c r="J3834">
        <v>1</v>
      </c>
      <c r="K3834">
        <v>1</v>
      </c>
      <c r="L3834">
        <v>160</v>
      </c>
      <c r="M3834">
        <v>1</v>
      </c>
      <c r="N3834">
        <v>1.24603E-81</v>
      </c>
      <c r="O3834">
        <v>764</v>
      </c>
    </row>
    <row r="3835" spans="1:15" x14ac:dyDescent="0.25">
      <c r="A3835" t="s">
        <v>3848</v>
      </c>
      <c r="B3835">
        <v>186</v>
      </c>
      <c r="C3835" s="1" t="str">
        <f>HYPERLINK("http://www.rosaceae.org/gb/gbrowse/malus_x_domestica/?name=MDP0000226575","MDP0000226575")</f>
        <v>MDP0000226575</v>
      </c>
      <c r="D3835">
        <v>50.53</v>
      </c>
      <c r="E3835">
        <v>188</v>
      </c>
      <c r="F3835">
        <v>93</v>
      </c>
      <c r="G3835">
        <v>25</v>
      </c>
      <c r="H3835">
        <v>20</v>
      </c>
      <c r="I3835">
        <v>186</v>
      </c>
      <c r="J3835">
        <v>1</v>
      </c>
      <c r="K3835">
        <v>19</v>
      </c>
      <c r="L3835">
        <v>202</v>
      </c>
      <c r="M3835">
        <v>1</v>
      </c>
      <c r="N3835">
        <v>8.7954799999999996E-40</v>
      </c>
      <c r="O3835">
        <v>404</v>
      </c>
    </row>
    <row r="3836" spans="1:15" x14ac:dyDescent="0.25">
      <c r="A3836" t="s">
        <v>3849</v>
      </c>
      <c r="B3836">
        <v>538</v>
      </c>
      <c r="C3836" s="1" t="str">
        <f>HYPERLINK("http://www.rosaceae.org/gb/gbrowse/malus_x_domestica/?name=MDP0000142397","MDP0000142397")</f>
        <v>MDP0000142397</v>
      </c>
      <c r="D3836">
        <v>84.36</v>
      </c>
      <c r="E3836">
        <v>499</v>
      </c>
      <c r="F3836">
        <v>78</v>
      </c>
      <c r="G3836">
        <v>1</v>
      </c>
      <c r="H3836">
        <v>1</v>
      </c>
      <c r="I3836">
        <v>499</v>
      </c>
      <c r="J3836">
        <v>1</v>
      </c>
      <c r="K3836">
        <v>221</v>
      </c>
      <c r="L3836">
        <v>718</v>
      </c>
      <c r="M3836">
        <v>1</v>
      </c>
      <c r="N3836">
        <v>0</v>
      </c>
      <c r="O3836">
        <v>2278</v>
      </c>
    </row>
    <row r="3837" spans="1:15" x14ac:dyDescent="0.25">
      <c r="A3837" t="s">
        <v>3850</v>
      </c>
      <c r="B3837">
        <v>226</v>
      </c>
      <c r="C3837" s="1" t="str">
        <f>HYPERLINK("http://www.rosaceae.org/gb/gbrowse/malus_x_domestica/?name=MDP0000316244","MDP0000316244")</f>
        <v>MDP0000316244</v>
      </c>
      <c r="D3837">
        <v>55.55</v>
      </c>
      <c r="E3837">
        <v>99</v>
      </c>
      <c r="F3837">
        <v>44</v>
      </c>
      <c r="G3837">
        <v>4</v>
      </c>
      <c r="H3837">
        <v>13</v>
      </c>
      <c r="I3837">
        <v>109</v>
      </c>
      <c r="J3837">
        <v>1</v>
      </c>
      <c r="K3837">
        <v>7</v>
      </c>
      <c r="L3837">
        <v>103</v>
      </c>
      <c r="M3837">
        <v>1</v>
      </c>
      <c r="N3837">
        <v>1.8157699999999998E-24</v>
      </c>
      <c r="O3837">
        <v>273</v>
      </c>
    </row>
    <row r="3838" spans="1:15" x14ac:dyDescent="0.25">
      <c r="A3838" t="s">
        <v>3851</v>
      </c>
      <c r="B3838">
        <v>95</v>
      </c>
      <c r="C3838" s="1" t="str">
        <f>HYPERLINK("http://www.rosaceae.org/gb/gbrowse/malus_x_domestica/?name=MDP0000319405","MDP0000319405")</f>
        <v>MDP0000319405</v>
      </c>
      <c r="D3838">
        <v>75.510000000000005</v>
      </c>
      <c r="E3838">
        <v>98</v>
      </c>
      <c r="F3838">
        <v>24</v>
      </c>
      <c r="G3838">
        <v>3</v>
      </c>
      <c r="H3838">
        <v>1</v>
      </c>
      <c r="I3838">
        <v>95</v>
      </c>
      <c r="J3838">
        <v>1</v>
      </c>
      <c r="K3838">
        <v>1</v>
      </c>
      <c r="L3838">
        <v>98</v>
      </c>
      <c r="M3838">
        <v>1</v>
      </c>
      <c r="N3838">
        <v>2.71183E-36</v>
      </c>
      <c r="O3838">
        <v>370</v>
      </c>
    </row>
    <row r="3839" spans="1:15" x14ac:dyDescent="0.25">
      <c r="A3839" t="s">
        <v>3852</v>
      </c>
      <c r="B3839">
        <v>413</v>
      </c>
      <c r="C3839" s="1" t="str">
        <f>HYPERLINK("http://www.rosaceae.org/gb/gbrowse/malus_x_domestica/?name=MDP0000523838","MDP0000523838")</f>
        <v>MDP0000523838</v>
      </c>
      <c r="D3839">
        <v>62.6</v>
      </c>
      <c r="E3839">
        <v>353</v>
      </c>
      <c r="F3839">
        <v>132</v>
      </c>
      <c r="G3839">
        <v>29</v>
      </c>
      <c r="H3839">
        <v>1</v>
      </c>
      <c r="I3839">
        <v>344</v>
      </c>
      <c r="J3839">
        <v>1</v>
      </c>
      <c r="K3839">
        <v>1</v>
      </c>
      <c r="L3839">
        <v>333</v>
      </c>
      <c r="M3839">
        <v>1</v>
      </c>
      <c r="N3839">
        <v>1.0436199999999999E-123</v>
      </c>
      <c r="O3839">
        <v>1132</v>
      </c>
    </row>
    <row r="3840" spans="1:15" x14ac:dyDescent="0.25">
      <c r="A3840" t="s">
        <v>3853</v>
      </c>
      <c r="B3840">
        <v>362</v>
      </c>
      <c r="C3840" s="1" t="str">
        <f>HYPERLINK("http://www.rosaceae.org/gb/gbrowse/malus_x_domestica/?name=MDP0000271903","MDP0000271903")</f>
        <v>MDP0000271903</v>
      </c>
      <c r="D3840">
        <v>42.28</v>
      </c>
      <c r="E3840">
        <v>201</v>
      </c>
      <c r="F3840">
        <v>116</v>
      </c>
      <c r="G3840">
        <v>16</v>
      </c>
      <c r="H3840">
        <v>2</v>
      </c>
      <c r="I3840">
        <v>192</v>
      </c>
      <c r="J3840">
        <v>1</v>
      </c>
      <c r="K3840">
        <v>145</v>
      </c>
      <c r="L3840">
        <v>339</v>
      </c>
      <c r="M3840">
        <v>1</v>
      </c>
      <c r="N3840">
        <v>2.7756300000000002E-34</v>
      </c>
      <c r="O3840">
        <v>361</v>
      </c>
    </row>
    <row r="3841" spans="1:15" x14ac:dyDescent="0.25">
      <c r="A3841" t="s">
        <v>3854</v>
      </c>
      <c r="B3841">
        <v>287</v>
      </c>
      <c r="C3841" s="1" t="str">
        <f>HYPERLINK("http://www.rosaceae.org/gb/gbrowse/malus_x_domestica/?name=MDP0000138709","MDP0000138709")</f>
        <v>MDP0000138709</v>
      </c>
      <c r="D3841">
        <v>69.400000000000006</v>
      </c>
      <c r="E3841">
        <v>219</v>
      </c>
      <c r="F3841">
        <v>67</v>
      </c>
      <c r="G3841">
        <v>1</v>
      </c>
      <c r="H3841">
        <v>68</v>
      </c>
      <c r="I3841">
        <v>286</v>
      </c>
      <c r="J3841">
        <v>1</v>
      </c>
      <c r="K3841">
        <v>1</v>
      </c>
      <c r="L3841">
        <v>218</v>
      </c>
      <c r="M3841">
        <v>1</v>
      </c>
      <c r="N3841">
        <v>1.12847E-86</v>
      </c>
      <c r="O3841">
        <v>811</v>
      </c>
    </row>
    <row r="3842" spans="1:15" x14ac:dyDescent="0.25">
      <c r="A3842" t="s">
        <v>3855</v>
      </c>
      <c r="B3842">
        <v>203</v>
      </c>
      <c r="C3842" s="1" t="str">
        <f>HYPERLINK("http://www.rosaceae.org/gb/gbrowse/malus_x_domestica/?name=MDP0000230111","MDP0000230111")</f>
        <v>MDP0000230111</v>
      </c>
      <c r="D3842">
        <v>65.73</v>
      </c>
      <c r="E3842">
        <v>178</v>
      </c>
      <c r="F3842">
        <v>61</v>
      </c>
      <c r="G3842">
        <v>14</v>
      </c>
      <c r="H3842">
        <v>21</v>
      </c>
      <c r="I3842">
        <v>194</v>
      </c>
      <c r="J3842">
        <v>1</v>
      </c>
      <c r="K3842">
        <v>19</v>
      </c>
      <c r="L3842">
        <v>186</v>
      </c>
      <c r="M3842">
        <v>1</v>
      </c>
      <c r="N3842">
        <v>6.8574900000000003E-46</v>
      </c>
      <c r="O3842">
        <v>457</v>
      </c>
    </row>
    <row r="3843" spans="1:15" x14ac:dyDescent="0.25">
      <c r="A3843" t="s">
        <v>3856</v>
      </c>
      <c r="B3843">
        <v>237</v>
      </c>
      <c r="C3843" s="1" t="str">
        <f>HYPERLINK("http://www.rosaceae.org/gb/gbrowse/malus_x_domestica/?name=MDP0000147286","MDP0000147286")</f>
        <v>MDP0000147286</v>
      </c>
      <c r="D3843">
        <v>60.92</v>
      </c>
      <c r="E3843">
        <v>151</v>
      </c>
      <c r="F3843">
        <v>59</v>
      </c>
      <c r="G3843">
        <v>0</v>
      </c>
      <c r="H3843">
        <v>86</v>
      </c>
      <c r="I3843">
        <v>236</v>
      </c>
      <c r="J3843">
        <v>1</v>
      </c>
      <c r="K3843">
        <v>1</v>
      </c>
      <c r="L3843">
        <v>151</v>
      </c>
      <c r="M3843">
        <v>1</v>
      </c>
      <c r="N3843">
        <v>5.2102500000000004E-44</v>
      </c>
      <c r="O3843">
        <v>442</v>
      </c>
    </row>
    <row r="3844" spans="1:15" x14ac:dyDescent="0.25">
      <c r="A3844" t="s">
        <v>3857</v>
      </c>
      <c r="B3844">
        <v>686</v>
      </c>
      <c r="C3844" s="1" t="str">
        <f>HYPERLINK("http://www.rosaceae.org/gb/gbrowse/malus_x_domestica/?name=MDP0000434271","MDP0000434271")</f>
        <v>MDP0000434271</v>
      </c>
      <c r="D3844">
        <v>67.400000000000006</v>
      </c>
      <c r="E3844">
        <v>678</v>
      </c>
      <c r="F3844">
        <v>221</v>
      </c>
      <c r="G3844">
        <v>30</v>
      </c>
      <c r="H3844">
        <v>10</v>
      </c>
      <c r="I3844">
        <v>686</v>
      </c>
      <c r="J3844">
        <v>1</v>
      </c>
      <c r="K3844">
        <v>34</v>
      </c>
      <c r="L3844">
        <v>682</v>
      </c>
      <c r="M3844">
        <v>1</v>
      </c>
      <c r="N3844">
        <v>0</v>
      </c>
      <c r="O3844">
        <v>2368</v>
      </c>
    </row>
    <row r="3845" spans="1:15" x14ac:dyDescent="0.25">
      <c r="A3845" t="s">
        <v>3858</v>
      </c>
      <c r="B3845">
        <v>260</v>
      </c>
      <c r="C3845" s="1" t="str">
        <f>HYPERLINK("http://www.rosaceae.org/gb/gbrowse/malus_x_domestica/?name=MDP0000296018","MDP0000296018")</f>
        <v>MDP0000296018</v>
      </c>
      <c r="D3845">
        <v>66.87</v>
      </c>
      <c r="E3845">
        <v>160</v>
      </c>
      <c r="F3845">
        <v>53</v>
      </c>
      <c r="G3845">
        <v>16</v>
      </c>
      <c r="H3845">
        <v>1</v>
      </c>
      <c r="I3845">
        <v>146</v>
      </c>
      <c r="J3845">
        <v>1</v>
      </c>
      <c r="K3845">
        <v>412</v>
      </c>
      <c r="L3845">
        <v>569</v>
      </c>
      <c r="M3845">
        <v>1</v>
      </c>
      <c r="N3845">
        <v>1.64583E-59</v>
      </c>
      <c r="O3845">
        <v>576</v>
      </c>
    </row>
    <row r="3846" spans="1:15" x14ac:dyDescent="0.25">
      <c r="A3846" t="s">
        <v>3859</v>
      </c>
      <c r="B3846">
        <v>742</v>
      </c>
      <c r="C3846" s="1" t="str">
        <f>HYPERLINK("http://www.rosaceae.org/gb/gbrowse/malus_x_domestica/?name=MDP0000399594","MDP0000399594")</f>
        <v>MDP0000399594</v>
      </c>
      <c r="D3846">
        <v>86.25</v>
      </c>
      <c r="E3846">
        <v>371</v>
      </c>
      <c r="F3846">
        <v>51</v>
      </c>
      <c r="G3846">
        <v>0</v>
      </c>
      <c r="H3846">
        <v>372</v>
      </c>
      <c r="I3846">
        <v>742</v>
      </c>
      <c r="J3846">
        <v>1</v>
      </c>
      <c r="K3846">
        <v>28</v>
      </c>
      <c r="L3846">
        <v>398</v>
      </c>
      <c r="M3846">
        <v>1</v>
      </c>
      <c r="N3846">
        <v>0</v>
      </c>
      <c r="O3846">
        <v>1748</v>
      </c>
    </row>
    <row r="3847" spans="1:15" x14ac:dyDescent="0.25">
      <c r="A3847" t="s">
        <v>3860</v>
      </c>
      <c r="B3847">
        <v>349</v>
      </c>
      <c r="C3847" s="1" t="str">
        <f>HYPERLINK("http://www.rosaceae.org/gb/gbrowse/malus_x_domestica/?name=MDP0000299496","MDP0000299496")</f>
        <v>MDP0000299496</v>
      </c>
      <c r="D3847">
        <v>49.31</v>
      </c>
      <c r="E3847">
        <v>146</v>
      </c>
      <c r="F3847">
        <v>74</v>
      </c>
      <c r="G3847">
        <v>0</v>
      </c>
      <c r="H3847">
        <v>122</v>
      </c>
      <c r="I3847">
        <v>267</v>
      </c>
      <c r="J3847">
        <v>1</v>
      </c>
      <c r="K3847">
        <v>442</v>
      </c>
      <c r="L3847">
        <v>587</v>
      </c>
      <c r="M3847">
        <v>1</v>
      </c>
      <c r="N3847">
        <v>3.4369300000000002E-37</v>
      </c>
      <c r="O3847">
        <v>385</v>
      </c>
    </row>
    <row r="3848" spans="1:15" x14ac:dyDescent="0.25">
      <c r="A3848" t="s">
        <v>3861</v>
      </c>
      <c r="B3848">
        <v>202</v>
      </c>
      <c r="C3848" s="1" t="str">
        <f>HYPERLINK("http://www.rosaceae.org/gb/gbrowse/malus_x_domestica/?name=MDP0000284741","MDP0000284741")</f>
        <v>MDP0000284741</v>
      </c>
      <c r="D3848">
        <v>80.64</v>
      </c>
      <c r="E3848">
        <v>62</v>
      </c>
      <c r="F3848">
        <v>12</v>
      </c>
      <c r="G3848">
        <v>0</v>
      </c>
      <c r="H3848">
        <v>141</v>
      </c>
      <c r="I3848">
        <v>202</v>
      </c>
      <c r="J3848">
        <v>1</v>
      </c>
      <c r="K3848">
        <v>81</v>
      </c>
      <c r="L3848">
        <v>142</v>
      </c>
      <c r="M3848">
        <v>1</v>
      </c>
      <c r="N3848">
        <v>2.6864799999999999E-22</v>
      </c>
      <c r="O3848">
        <v>254</v>
      </c>
    </row>
    <row r="3849" spans="1:15" x14ac:dyDescent="0.25">
      <c r="A3849" t="s">
        <v>3862</v>
      </c>
      <c r="B3849">
        <v>595</v>
      </c>
      <c r="C3849" s="1" t="str">
        <f>HYPERLINK("http://www.rosaceae.org/gb/gbrowse/malus_x_domestica/?name=MDP0000306176","MDP0000306176")</f>
        <v>MDP0000306176</v>
      </c>
      <c r="D3849">
        <v>62.28</v>
      </c>
      <c r="E3849">
        <v>472</v>
      </c>
      <c r="F3849">
        <v>178</v>
      </c>
      <c r="G3849">
        <v>1</v>
      </c>
      <c r="H3849">
        <v>119</v>
      </c>
      <c r="I3849">
        <v>589</v>
      </c>
      <c r="J3849">
        <v>1</v>
      </c>
      <c r="K3849">
        <v>252</v>
      </c>
      <c r="L3849">
        <v>723</v>
      </c>
      <c r="M3849">
        <v>1</v>
      </c>
      <c r="N3849">
        <v>2.5666899999999999E-176</v>
      </c>
      <c r="O3849">
        <v>1588</v>
      </c>
    </row>
    <row r="3850" spans="1:15" x14ac:dyDescent="0.25">
      <c r="A3850" t="s">
        <v>3863</v>
      </c>
      <c r="B3850">
        <v>350</v>
      </c>
      <c r="C3850" s="1" t="str">
        <f>HYPERLINK("http://www.rosaceae.org/gb/gbrowse/malus_x_domestica/?name=MDP0000137401","MDP0000137401")</f>
        <v>MDP0000137401</v>
      </c>
      <c r="D3850">
        <v>73.52</v>
      </c>
      <c r="E3850">
        <v>389</v>
      </c>
      <c r="F3850">
        <v>103</v>
      </c>
      <c r="G3850">
        <v>44</v>
      </c>
      <c r="H3850">
        <v>1</v>
      </c>
      <c r="I3850">
        <v>350</v>
      </c>
      <c r="J3850">
        <v>1</v>
      </c>
      <c r="K3850">
        <v>1</v>
      </c>
      <c r="L3850">
        <v>384</v>
      </c>
      <c r="M3850">
        <v>1</v>
      </c>
      <c r="N3850">
        <v>2.4682000000000001E-157</v>
      </c>
      <c r="O3850">
        <v>1422</v>
      </c>
    </row>
    <row r="3851" spans="1:15" x14ac:dyDescent="0.25">
      <c r="A3851" t="s">
        <v>3864</v>
      </c>
      <c r="B3851">
        <v>1028</v>
      </c>
      <c r="C3851" s="1" t="str">
        <f>HYPERLINK("http://www.rosaceae.org/gb/gbrowse/malus_x_domestica/?name=MDP0000139458","MDP0000139458")</f>
        <v>MDP0000139458</v>
      </c>
      <c r="D3851">
        <v>72.19</v>
      </c>
      <c r="E3851">
        <v>1025</v>
      </c>
      <c r="F3851">
        <v>285</v>
      </c>
      <c r="G3851">
        <v>53</v>
      </c>
      <c r="H3851">
        <v>25</v>
      </c>
      <c r="I3851">
        <v>1027</v>
      </c>
      <c r="J3851">
        <v>1</v>
      </c>
      <c r="K3851">
        <v>25</v>
      </c>
      <c r="L3851">
        <v>1018</v>
      </c>
      <c r="M3851">
        <v>1</v>
      </c>
      <c r="N3851">
        <v>0</v>
      </c>
      <c r="O3851">
        <v>3966</v>
      </c>
    </row>
    <row r="3852" spans="1:15" x14ac:dyDescent="0.25">
      <c r="A3852" t="s">
        <v>3865</v>
      </c>
      <c r="B3852">
        <v>689</v>
      </c>
      <c r="C3852" s="1" t="str">
        <f>HYPERLINK("http://www.rosaceae.org/gb/gbrowse/malus_x_domestica/?name=MDP0000881951","MDP0000881951")</f>
        <v>MDP0000881951</v>
      </c>
      <c r="D3852">
        <v>75</v>
      </c>
      <c r="E3852">
        <v>300</v>
      </c>
      <c r="F3852">
        <v>75</v>
      </c>
      <c r="G3852">
        <v>20</v>
      </c>
      <c r="H3852">
        <v>409</v>
      </c>
      <c r="I3852">
        <v>688</v>
      </c>
      <c r="J3852">
        <v>1</v>
      </c>
      <c r="K3852">
        <v>456</v>
      </c>
      <c r="L3852">
        <v>755</v>
      </c>
      <c r="M3852">
        <v>1</v>
      </c>
      <c r="N3852">
        <v>2.52617E-131</v>
      </c>
      <c r="O3852">
        <v>1200</v>
      </c>
    </row>
    <row r="3853" spans="1:15" x14ac:dyDescent="0.25">
      <c r="A3853" t="s">
        <v>3866</v>
      </c>
      <c r="B3853">
        <v>1495</v>
      </c>
      <c r="C3853" s="1" t="str">
        <f>HYPERLINK("http://www.rosaceae.org/gb/gbrowse/malus_x_domestica/?name=MDP0000322453","MDP0000322453")</f>
        <v>MDP0000322453</v>
      </c>
      <c r="D3853">
        <v>68.680000000000007</v>
      </c>
      <c r="E3853">
        <v>610</v>
      </c>
      <c r="F3853">
        <v>191</v>
      </c>
      <c r="G3853">
        <v>7</v>
      </c>
      <c r="H3853">
        <v>885</v>
      </c>
      <c r="I3853">
        <v>1489</v>
      </c>
      <c r="J3853">
        <v>1</v>
      </c>
      <c r="K3853">
        <v>190</v>
      </c>
      <c r="L3853">
        <v>797</v>
      </c>
      <c r="M3853">
        <v>1</v>
      </c>
      <c r="N3853">
        <v>0</v>
      </c>
      <c r="O3853">
        <v>2251</v>
      </c>
    </row>
    <row r="3854" spans="1:15" x14ac:dyDescent="0.25">
      <c r="A3854" t="s">
        <v>3867</v>
      </c>
      <c r="B3854">
        <v>940</v>
      </c>
      <c r="C3854" s="1" t="str">
        <f>HYPERLINK("http://www.rosaceae.org/gb/gbrowse/malus_x_domestica/?name=MDP0000276241","MDP0000276241")</f>
        <v>MDP0000276241</v>
      </c>
      <c r="D3854">
        <v>76.88</v>
      </c>
      <c r="E3854">
        <v>411</v>
      </c>
      <c r="F3854">
        <v>95</v>
      </c>
      <c r="G3854">
        <v>1</v>
      </c>
      <c r="H3854">
        <v>525</v>
      </c>
      <c r="I3854">
        <v>935</v>
      </c>
      <c r="J3854">
        <v>1</v>
      </c>
      <c r="K3854">
        <v>360</v>
      </c>
      <c r="L3854">
        <v>769</v>
      </c>
      <c r="M3854">
        <v>1</v>
      </c>
      <c r="N3854">
        <v>0</v>
      </c>
      <c r="O3854">
        <v>1722</v>
      </c>
    </row>
    <row r="3855" spans="1:15" x14ac:dyDescent="0.25">
      <c r="A3855" t="s">
        <v>3868</v>
      </c>
      <c r="B3855">
        <v>213</v>
      </c>
      <c r="C3855" s="1" t="str">
        <f>HYPERLINK("http://www.rosaceae.org/gb/gbrowse/malus_x_domestica/?name=MDP0000491118","MDP0000491118")</f>
        <v>MDP0000491118</v>
      </c>
      <c r="D3855">
        <v>89.01</v>
      </c>
      <c r="E3855">
        <v>91</v>
      </c>
      <c r="F3855">
        <v>10</v>
      </c>
      <c r="G3855">
        <v>0</v>
      </c>
      <c r="H3855">
        <v>123</v>
      </c>
      <c r="I3855">
        <v>213</v>
      </c>
      <c r="J3855">
        <v>1</v>
      </c>
      <c r="K3855">
        <v>19</v>
      </c>
      <c r="L3855">
        <v>109</v>
      </c>
      <c r="M3855">
        <v>1</v>
      </c>
      <c r="N3855">
        <v>4.39173E-41</v>
      </c>
      <c r="O3855">
        <v>416</v>
      </c>
    </row>
    <row r="3856" spans="1:15" x14ac:dyDescent="0.25">
      <c r="A3856" t="s">
        <v>3869</v>
      </c>
      <c r="B3856">
        <v>652</v>
      </c>
      <c r="C3856" s="1" t="str">
        <f>HYPERLINK("http://www.rosaceae.org/gb/gbrowse/malus_x_domestica/?name=MDP0000198582","MDP0000198582")</f>
        <v>MDP0000198582</v>
      </c>
      <c r="D3856">
        <v>33.630000000000003</v>
      </c>
      <c r="E3856">
        <v>333</v>
      </c>
      <c r="F3856">
        <v>221</v>
      </c>
      <c r="G3856">
        <v>47</v>
      </c>
      <c r="H3856">
        <v>172</v>
      </c>
      <c r="I3856">
        <v>465</v>
      </c>
      <c r="J3856">
        <v>1</v>
      </c>
      <c r="K3856">
        <v>35</v>
      </c>
      <c r="L3856">
        <v>359</v>
      </c>
      <c r="M3856">
        <v>1</v>
      </c>
      <c r="N3856">
        <v>3.9803099999999999E-33</v>
      </c>
      <c r="O3856">
        <v>353</v>
      </c>
    </row>
    <row r="3857" spans="1:15" x14ac:dyDescent="0.25">
      <c r="A3857" t="s">
        <v>3870</v>
      </c>
      <c r="B3857">
        <v>387</v>
      </c>
      <c r="C3857" s="1" t="str">
        <f>HYPERLINK("http://www.rosaceae.org/gb/gbrowse/malus_x_domestica/?name=MDP0000156108","MDP0000156108")</f>
        <v>MDP0000156108</v>
      </c>
      <c r="D3857">
        <v>84.19</v>
      </c>
      <c r="E3857">
        <v>386</v>
      </c>
      <c r="F3857">
        <v>61</v>
      </c>
      <c r="G3857">
        <v>4</v>
      </c>
      <c r="H3857">
        <v>1</v>
      </c>
      <c r="I3857">
        <v>386</v>
      </c>
      <c r="J3857">
        <v>1</v>
      </c>
      <c r="K3857">
        <v>1</v>
      </c>
      <c r="L3857">
        <v>382</v>
      </c>
      <c r="M3857">
        <v>1</v>
      </c>
      <c r="N3857">
        <v>0</v>
      </c>
      <c r="O3857">
        <v>1707</v>
      </c>
    </row>
    <row r="3858" spans="1:15" x14ac:dyDescent="0.25">
      <c r="A3858" t="s">
        <v>3871</v>
      </c>
      <c r="B3858">
        <v>370</v>
      </c>
      <c r="C3858" s="1" t="str">
        <f>HYPERLINK("http://www.rosaceae.org/gb/gbrowse/malus_x_domestica/?name=MDP0000850540","MDP0000850540")</f>
        <v>MDP0000850540</v>
      </c>
      <c r="D3858">
        <v>53.52</v>
      </c>
      <c r="E3858">
        <v>411</v>
      </c>
      <c r="F3858">
        <v>191</v>
      </c>
      <c r="G3858">
        <v>55</v>
      </c>
      <c r="H3858">
        <v>1</v>
      </c>
      <c r="I3858">
        <v>370</v>
      </c>
      <c r="J3858">
        <v>1</v>
      </c>
      <c r="K3858">
        <v>97</v>
      </c>
      <c r="L3858">
        <v>493</v>
      </c>
      <c r="M3858">
        <v>1</v>
      </c>
      <c r="N3858">
        <v>2.3087899999999999E-113</v>
      </c>
      <c r="O3858">
        <v>1043</v>
      </c>
    </row>
    <row r="3859" spans="1:15" x14ac:dyDescent="0.25">
      <c r="A3859" t="s">
        <v>3872</v>
      </c>
      <c r="B3859">
        <v>647</v>
      </c>
      <c r="C3859" s="1" t="str">
        <f>HYPERLINK("http://www.rosaceae.org/gb/gbrowse/malus_x_domestica/?name=MDP0000300969","MDP0000300969")</f>
        <v>MDP0000300969</v>
      </c>
      <c r="D3859">
        <v>67.13</v>
      </c>
      <c r="E3859">
        <v>642</v>
      </c>
      <c r="F3859">
        <v>211</v>
      </c>
      <c r="G3859">
        <v>25</v>
      </c>
      <c r="H3859">
        <v>27</v>
      </c>
      <c r="I3859">
        <v>647</v>
      </c>
      <c r="J3859">
        <v>1</v>
      </c>
      <c r="K3859">
        <v>25</v>
      </c>
      <c r="L3859">
        <v>662</v>
      </c>
      <c r="M3859">
        <v>1</v>
      </c>
      <c r="N3859">
        <v>0</v>
      </c>
      <c r="O3859">
        <v>2268</v>
      </c>
    </row>
    <row r="3860" spans="1:15" x14ac:dyDescent="0.25">
      <c r="A3860" t="s">
        <v>3873</v>
      </c>
      <c r="B3860">
        <v>871</v>
      </c>
      <c r="C3860" s="1" t="str">
        <f>HYPERLINK("http://www.rosaceae.org/gb/gbrowse/malus_x_domestica/?name=MDP0000284145","MDP0000284145")</f>
        <v>MDP0000284145</v>
      </c>
      <c r="D3860">
        <v>69.72</v>
      </c>
      <c r="E3860">
        <v>545</v>
      </c>
      <c r="F3860">
        <v>165</v>
      </c>
      <c r="G3860">
        <v>20</v>
      </c>
      <c r="H3860">
        <v>280</v>
      </c>
      <c r="I3860">
        <v>823</v>
      </c>
      <c r="J3860">
        <v>1</v>
      </c>
      <c r="K3860">
        <v>229</v>
      </c>
      <c r="L3860">
        <v>754</v>
      </c>
      <c r="M3860">
        <v>1</v>
      </c>
      <c r="N3860">
        <v>0</v>
      </c>
      <c r="O3860">
        <v>1953</v>
      </c>
    </row>
    <row r="3861" spans="1:15" x14ac:dyDescent="0.25">
      <c r="A3861" t="s">
        <v>3874</v>
      </c>
      <c r="B3861">
        <v>426</v>
      </c>
      <c r="C3861" s="1" t="str">
        <f>HYPERLINK("http://www.rosaceae.org/gb/gbrowse/malus_x_domestica/?name=MDP0000198482","MDP0000198482")</f>
        <v>MDP0000198482</v>
      </c>
      <c r="D3861">
        <v>74.349999999999994</v>
      </c>
      <c r="E3861">
        <v>425</v>
      </c>
      <c r="F3861">
        <v>109</v>
      </c>
      <c r="G3861">
        <v>7</v>
      </c>
      <c r="H3861">
        <v>2</v>
      </c>
      <c r="I3861">
        <v>426</v>
      </c>
      <c r="J3861">
        <v>1</v>
      </c>
      <c r="K3861">
        <v>5</v>
      </c>
      <c r="L3861">
        <v>422</v>
      </c>
      <c r="M3861">
        <v>1</v>
      </c>
      <c r="N3861">
        <v>5.2284600000000003E-176</v>
      </c>
      <c r="O3861">
        <v>1584</v>
      </c>
    </row>
    <row r="3862" spans="1:15" x14ac:dyDescent="0.25">
      <c r="A3862" t="s">
        <v>3875</v>
      </c>
      <c r="B3862">
        <v>698</v>
      </c>
      <c r="C3862" s="1" t="str">
        <f>HYPERLINK("http://www.rosaceae.org/gb/gbrowse/malus_x_domestica/?name=MDP0000020509","MDP0000020509")</f>
        <v>MDP0000020509</v>
      </c>
      <c r="D3862">
        <v>75.88</v>
      </c>
      <c r="E3862">
        <v>705</v>
      </c>
      <c r="F3862">
        <v>170</v>
      </c>
      <c r="G3862">
        <v>37</v>
      </c>
      <c r="H3862">
        <v>1</v>
      </c>
      <c r="I3862">
        <v>693</v>
      </c>
      <c r="J3862">
        <v>1</v>
      </c>
      <c r="K3862">
        <v>5</v>
      </c>
      <c r="L3862">
        <v>684</v>
      </c>
      <c r="M3862">
        <v>1</v>
      </c>
      <c r="N3862">
        <v>0</v>
      </c>
      <c r="O3862">
        <v>2833</v>
      </c>
    </row>
    <row r="3863" spans="1:15" x14ac:dyDescent="0.25">
      <c r="A3863" t="s">
        <v>3876</v>
      </c>
      <c r="B3863">
        <v>99</v>
      </c>
      <c r="C3863" s="1" t="str">
        <f>HYPERLINK("http://www.rosaceae.org/gb/gbrowse/malus_x_domestica/?name=MDP0000169984","MDP0000169984")</f>
        <v>MDP0000169984</v>
      </c>
      <c r="D3863">
        <v>70.58</v>
      </c>
      <c r="E3863">
        <v>85</v>
      </c>
      <c r="F3863">
        <v>25</v>
      </c>
      <c r="G3863">
        <v>10</v>
      </c>
      <c r="H3863">
        <v>11</v>
      </c>
      <c r="I3863">
        <v>85</v>
      </c>
      <c r="J3863">
        <v>1</v>
      </c>
      <c r="K3863">
        <v>17</v>
      </c>
      <c r="L3863">
        <v>101</v>
      </c>
      <c r="M3863">
        <v>1</v>
      </c>
      <c r="N3863">
        <v>2.0571E-23</v>
      </c>
      <c r="O3863">
        <v>259</v>
      </c>
    </row>
    <row r="3864" spans="1:15" x14ac:dyDescent="0.25">
      <c r="A3864" t="s">
        <v>3877</v>
      </c>
      <c r="B3864">
        <v>113</v>
      </c>
      <c r="C3864" s="1" t="str">
        <f>HYPERLINK("http://www.rosaceae.org/gb/gbrowse/malus_x_domestica/?name=MDP0000459932","MDP0000459932")</f>
        <v>MDP0000459932</v>
      </c>
      <c r="D3864">
        <v>52</v>
      </c>
      <c r="E3864">
        <v>75</v>
      </c>
      <c r="F3864">
        <v>36</v>
      </c>
      <c r="G3864">
        <v>0</v>
      </c>
      <c r="H3864">
        <v>2</v>
      </c>
      <c r="I3864">
        <v>76</v>
      </c>
      <c r="J3864">
        <v>1</v>
      </c>
      <c r="K3864">
        <v>313</v>
      </c>
      <c r="L3864">
        <v>387</v>
      </c>
      <c r="M3864">
        <v>1</v>
      </c>
      <c r="N3864">
        <v>4.6613200000000004E-19</v>
      </c>
      <c r="O3864">
        <v>222</v>
      </c>
    </row>
    <row r="3865" spans="1:15" x14ac:dyDescent="0.25">
      <c r="A3865" t="s">
        <v>3878</v>
      </c>
      <c r="B3865">
        <v>233</v>
      </c>
      <c r="C3865" s="1" t="str">
        <f>HYPERLINK("http://www.rosaceae.org/gb/gbrowse/malus_x_domestica/?name=MDP0000284557","MDP0000284557")</f>
        <v>MDP0000284557</v>
      </c>
      <c r="D3865">
        <v>30.98</v>
      </c>
      <c r="E3865">
        <v>142</v>
      </c>
      <c r="F3865">
        <v>98</v>
      </c>
      <c r="G3865">
        <v>20</v>
      </c>
      <c r="H3865">
        <v>55</v>
      </c>
      <c r="I3865">
        <v>176</v>
      </c>
      <c r="J3865">
        <v>1</v>
      </c>
      <c r="K3865">
        <v>1262</v>
      </c>
      <c r="L3865">
        <v>1403</v>
      </c>
      <c r="M3865">
        <v>1</v>
      </c>
      <c r="N3865">
        <v>9.4742699999999994E-9</v>
      </c>
      <c r="O3865">
        <v>138</v>
      </c>
    </row>
    <row r="3866" spans="1:15" x14ac:dyDescent="0.25">
      <c r="A3866" t="s">
        <v>3879</v>
      </c>
      <c r="B3866">
        <v>477</v>
      </c>
      <c r="C3866" s="1" t="str">
        <f>HYPERLINK("http://www.rosaceae.org/gb/gbrowse/malus_x_domestica/?name=MDP0000575262","MDP0000575262")</f>
        <v>MDP0000575262</v>
      </c>
      <c r="D3866">
        <v>38.96</v>
      </c>
      <c r="E3866">
        <v>308</v>
      </c>
      <c r="F3866">
        <v>188</v>
      </c>
      <c r="G3866">
        <v>33</v>
      </c>
      <c r="H3866">
        <v>11</v>
      </c>
      <c r="I3866">
        <v>287</v>
      </c>
      <c r="J3866">
        <v>1</v>
      </c>
      <c r="K3866">
        <v>313</v>
      </c>
      <c r="L3866">
        <v>618</v>
      </c>
      <c r="M3866">
        <v>1</v>
      </c>
      <c r="N3866">
        <v>1.77209E-50</v>
      </c>
      <c r="O3866">
        <v>502</v>
      </c>
    </row>
    <row r="3867" spans="1:15" x14ac:dyDescent="0.25">
      <c r="A3867" t="s">
        <v>3880</v>
      </c>
      <c r="B3867">
        <v>668</v>
      </c>
      <c r="C3867" s="1" t="str">
        <f>HYPERLINK("http://www.rosaceae.org/gb/gbrowse/malus_x_domestica/?name=MDP0000852204","MDP0000852204")</f>
        <v>MDP0000852204</v>
      </c>
      <c r="D3867">
        <v>72.39</v>
      </c>
      <c r="E3867">
        <v>681</v>
      </c>
      <c r="F3867">
        <v>188</v>
      </c>
      <c r="G3867">
        <v>17</v>
      </c>
      <c r="H3867">
        <v>1</v>
      </c>
      <c r="I3867">
        <v>668</v>
      </c>
      <c r="J3867">
        <v>1</v>
      </c>
      <c r="K3867">
        <v>1</v>
      </c>
      <c r="L3867">
        <v>677</v>
      </c>
      <c r="M3867">
        <v>1</v>
      </c>
      <c r="N3867">
        <v>0</v>
      </c>
      <c r="O3867">
        <v>2587</v>
      </c>
    </row>
    <row r="3868" spans="1:15" x14ac:dyDescent="0.25">
      <c r="A3868" t="s">
        <v>3881</v>
      </c>
      <c r="B3868">
        <v>509</v>
      </c>
      <c r="C3868" s="1" t="str">
        <f>HYPERLINK("http://www.rosaceae.org/gb/gbrowse/malus_x_domestica/?name=MDP0000296115","MDP0000296115")</f>
        <v>MDP0000296115</v>
      </c>
      <c r="D3868">
        <v>58.89</v>
      </c>
      <c r="E3868">
        <v>562</v>
      </c>
      <c r="F3868">
        <v>231</v>
      </c>
      <c r="G3868">
        <v>67</v>
      </c>
      <c r="H3868">
        <v>2</v>
      </c>
      <c r="I3868">
        <v>500</v>
      </c>
      <c r="J3868">
        <v>1</v>
      </c>
      <c r="K3868">
        <v>14</v>
      </c>
      <c r="L3868">
        <v>571</v>
      </c>
      <c r="M3868">
        <v>1</v>
      </c>
      <c r="N3868">
        <v>0</v>
      </c>
      <c r="O3868">
        <v>1633</v>
      </c>
    </row>
    <row r="3869" spans="1:15" x14ac:dyDescent="0.25">
      <c r="A3869" t="s">
        <v>3882</v>
      </c>
      <c r="B3869">
        <v>359</v>
      </c>
      <c r="C3869" s="1" t="str">
        <f>HYPERLINK("http://www.rosaceae.org/gb/gbrowse/malus_x_domestica/?name=MDP0000287899","MDP0000287899")</f>
        <v>MDP0000287899</v>
      </c>
      <c r="D3869">
        <v>52.29</v>
      </c>
      <c r="E3869">
        <v>283</v>
      </c>
      <c r="F3869">
        <v>135</v>
      </c>
      <c r="G3869">
        <v>38</v>
      </c>
      <c r="H3869">
        <v>109</v>
      </c>
      <c r="I3869">
        <v>354</v>
      </c>
      <c r="J3869">
        <v>1</v>
      </c>
      <c r="K3869">
        <v>104</v>
      </c>
      <c r="L3869">
        <v>385</v>
      </c>
      <c r="M3869">
        <v>1</v>
      </c>
      <c r="N3869">
        <v>1.62114E-64</v>
      </c>
      <c r="O3869">
        <v>621</v>
      </c>
    </row>
    <row r="3870" spans="1:15" x14ac:dyDescent="0.25">
      <c r="A3870" t="s">
        <v>3883</v>
      </c>
      <c r="B3870">
        <v>117</v>
      </c>
      <c r="C3870" s="1" t="str">
        <f>HYPERLINK("http://www.rosaceae.org/gb/gbrowse/malus_x_domestica/?name=MDP0000121309","MDP0000121309")</f>
        <v>MDP0000121309</v>
      </c>
      <c r="D3870">
        <v>93.1</v>
      </c>
      <c r="E3870">
        <v>116</v>
      </c>
      <c r="F3870">
        <v>8</v>
      </c>
      <c r="G3870">
        <v>0</v>
      </c>
      <c r="H3870">
        <v>1</v>
      </c>
      <c r="I3870">
        <v>116</v>
      </c>
      <c r="J3870">
        <v>1</v>
      </c>
      <c r="K3870">
        <v>69</v>
      </c>
      <c r="L3870">
        <v>184</v>
      </c>
      <c r="M3870">
        <v>1</v>
      </c>
      <c r="N3870">
        <v>3.3934600000000001E-59</v>
      </c>
      <c r="O3870">
        <v>568</v>
      </c>
    </row>
    <row r="3871" spans="1:15" x14ac:dyDescent="0.25">
      <c r="A3871" t="s">
        <v>3884</v>
      </c>
      <c r="B3871">
        <v>1277</v>
      </c>
      <c r="C3871" s="1" t="str">
        <f>HYPERLINK("http://www.rosaceae.org/gb/gbrowse/malus_x_domestica/?name=MDP0000125741","MDP0000125741")</f>
        <v>MDP0000125741</v>
      </c>
      <c r="D3871">
        <v>74.930000000000007</v>
      </c>
      <c r="E3871">
        <v>802</v>
      </c>
      <c r="F3871">
        <v>201</v>
      </c>
      <c r="G3871">
        <v>16</v>
      </c>
      <c r="H3871">
        <v>59</v>
      </c>
      <c r="I3871">
        <v>846</v>
      </c>
      <c r="J3871">
        <v>1</v>
      </c>
      <c r="K3871">
        <v>70</v>
      </c>
      <c r="L3871">
        <v>869</v>
      </c>
      <c r="M3871">
        <v>1</v>
      </c>
      <c r="N3871">
        <v>0</v>
      </c>
      <c r="O3871">
        <v>3231</v>
      </c>
    </row>
    <row r="3872" spans="1:15" x14ac:dyDescent="0.25">
      <c r="A3872" t="s">
        <v>3885</v>
      </c>
      <c r="B3872">
        <v>272</v>
      </c>
      <c r="C3872" s="1" t="str">
        <f>HYPERLINK("http://www.rosaceae.org/gb/gbrowse/malus_x_domestica/?name=MDP0000130038","MDP0000130038")</f>
        <v>MDP0000130038</v>
      </c>
      <c r="D3872">
        <v>29.03</v>
      </c>
      <c r="E3872">
        <v>124</v>
      </c>
      <c r="F3872">
        <v>88</v>
      </c>
      <c r="G3872">
        <v>25</v>
      </c>
      <c r="H3872">
        <v>58</v>
      </c>
      <c r="I3872">
        <v>163</v>
      </c>
      <c r="J3872">
        <v>1</v>
      </c>
      <c r="K3872">
        <v>19</v>
      </c>
      <c r="L3872">
        <v>135</v>
      </c>
      <c r="M3872">
        <v>1</v>
      </c>
      <c r="N3872">
        <v>4.7230300000000003E-8</v>
      </c>
      <c r="O3872">
        <v>133</v>
      </c>
    </row>
    <row r="3873" spans="1:15" x14ac:dyDescent="0.25">
      <c r="A3873" t="s">
        <v>3886</v>
      </c>
      <c r="B3873">
        <v>96</v>
      </c>
      <c r="C3873" s="1" t="str">
        <f>HYPERLINK("http://www.rosaceae.org/gb/gbrowse/malus_x_domestica/?name=MDP0000487242","MDP0000487242")</f>
        <v>MDP0000487242</v>
      </c>
      <c r="D3873">
        <v>44.64</v>
      </c>
      <c r="E3873">
        <v>56</v>
      </c>
      <c r="F3873">
        <v>31</v>
      </c>
      <c r="G3873">
        <v>0</v>
      </c>
      <c r="H3873">
        <v>10</v>
      </c>
      <c r="I3873">
        <v>65</v>
      </c>
      <c r="J3873">
        <v>1</v>
      </c>
      <c r="K3873">
        <v>1</v>
      </c>
      <c r="L3873">
        <v>56</v>
      </c>
      <c r="M3873">
        <v>1</v>
      </c>
      <c r="N3873">
        <v>3.2459700000000001E-9</v>
      </c>
      <c r="O3873">
        <v>137</v>
      </c>
    </row>
    <row r="3874" spans="1:15" x14ac:dyDescent="0.25">
      <c r="A3874" t="s">
        <v>3887</v>
      </c>
      <c r="B3874">
        <v>629</v>
      </c>
      <c r="C3874" s="1" t="str">
        <f>HYPERLINK("http://www.rosaceae.org/gb/gbrowse/malus_x_domestica/?name=MDP0000138646","MDP0000138646")</f>
        <v>MDP0000138646</v>
      </c>
      <c r="D3874">
        <v>43.6</v>
      </c>
      <c r="E3874">
        <v>571</v>
      </c>
      <c r="F3874">
        <v>322</v>
      </c>
      <c r="G3874">
        <v>62</v>
      </c>
      <c r="H3874">
        <v>6</v>
      </c>
      <c r="I3874">
        <v>530</v>
      </c>
      <c r="J3874">
        <v>1</v>
      </c>
      <c r="K3874">
        <v>36</v>
      </c>
      <c r="L3874">
        <v>590</v>
      </c>
      <c r="M3874">
        <v>1</v>
      </c>
      <c r="N3874">
        <v>3.5452600000000001E-110</v>
      </c>
      <c r="O3874">
        <v>1018</v>
      </c>
    </row>
    <row r="3875" spans="1:15" x14ac:dyDescent="0.25">
      <c r="A3875" t="s">
        <v>3888</v>
      </c>
      <c r="B3875">
        <v>150</v>
      </c>
      <c r="C3875" s="1" t="str">
        <f>HYPERLINK("http://www.rosaceae.org/gb/gbrowse/malus_x_domestica/?name=MDP0000290966","MDP0000290966")</f>
        <v>MDP0000290966</v>
      </c>
      <c r="D3875">
        <v>23.68</v>
      </c>
      <c r="E3875">
        <v>114</v>
      </c>
      <c r="F3875">
        <v>87</v>
      </c>
      <c r="G3875">
        <v>0</v>
      </c>
      <c r="H3875">
        <v>10</v>
      </c>
      <c r="I3875">
        <v>123</v>
      </c>
      <c r="J3875">
        <v>1</v>
      </c>
      <c r="K3875">
        <v>108</v>
      </c>
      <c r="L3875">
        <v>221</v>
      </c>
      <c r="M3875">
        <v>1</v>
      </c>
      <c r="N3875">
        <v>6.5071899999999997E-8</v>
      </c>
      <c r="O3875">
        <v>128</v>
      </c>
    </row>
    <row r="3876" spans="1:15" x14ac:dyDescent="0.25">
      <c r="A3876" t="s">
        <v>3889</v>
      </c>
      <c r="B3876">
        <v>479</v>
      </c>
      <c r="C3876" s="1" t="str">
        <f>HYPERLINK("http://www.rosaceae.org/gb/gbrowse/malus_x_domestica/?name=MDP0000230263","MDP0000230263")</f>
        <v>MDP0000230263</v>
      </c>
      <c r="D3876">
        <v>64.03</v>
      </c>
      <c r="E3876">
        <v>481</v>
      </c>
      <c r="F3876">
        <v>173</v>
      </c>
      <c r="G3876">
        <v>2</v>
      </c>
      <c r="H3876">
        <v>1</v>
      </c>
      <c r="I3876">
        <v>479</v>
      </c>
      <c r="J3876">
        <v>1</v>
      </c>
      <c r="K3876">
        <v>1</v>
      </c>
      <c r="L3876">
        <v>481</v>
      </c>
      <c r="M3876">
        <v>1</v>
      </c>
      <c r="N3876">
        <v>5.3000700000000005E-175</v>
      </c>
      <c r="O3876">
        <v>1575</v>
      </c>
    </row>
    <row r="3877" spans="1:15" x14ac:dyDescent="0.25">
      <c r="A3877" t="s">
        <v>3890</v>
      </c>
      <c r="B3877">
        <v>792</v>
      </c>
      <c r="C3877" s="1" t="str">
        <f>HYPERLINK("http://www.rosaceae.org/gb/gbrowse/malus_x_domestica/?name=MDP0000170302","MDP0000170302")</f>
        <v>MDP0000170302</v>
      </c>
      <c r="D3877">
        <v>79.930000000000007</v>
      </c>
      <c r="E3877">
        <v>643</v>
      </c>
      <c r="F3877">
        <v>129</v>
      </c>
      <c r="G3877">
        <v>16</v>
      </c>
      <c r="H3877">
        <v>79</v>
      </c>
      <c r="I3877">
        <v>705</v>
      </c>
      <c r="J3877">
        <v>1</v>
      </c>
      <c r="K3877">
        <v>67</v>
      </c>
      <c r="L3877">
        <v>709</v>
      </c>
      <c r="M3877">
        <v>1</v>
      </c>
      <c r="N3877">
        <v>0</v>
      </c>
      <c r="O3877">
        <v>2734</v>
      </c>
    </row>
    <row r="3878" spans="1:15" x14ac:dyDescent="0.25">
      <c r="A3878" t="s">
        <v>3891</v>
      </c>
      <c r="B3878">
        <v>260</v>
      </c>
      <c r="C3878" s="1" t="str">
        <f>HYPERLINK("http://www.rosaceae.org/gb/gbrowse/malus_x_domestica/?name=MDP0000155698","MDP0000155698")</f>
        <v>MDP0000155698</v>
      </c>
      <c r="D3878">
        <v>71.180000000000007</v>
      </c>
      <c r="E3878">
        <v>236</v>
      </c>
      <c r="F3878">
        <v>68</v>
      </c>
      <c r="G3878">
        <v>0</v>
      </c>
      <c r="H3878">
        <v>25</v>
      </c>
      <c r="I3878">
        <v>260</v>
      </c>
      <c r="J3878">
        <v>1</v>
      </c>
      <c r="K3878">
        <v>26</v>
      </c>
      <c r="L3878">
        <v>261</v>
      </c>
      <c r="M3878">
        <v>1</v>
      </c>
      <c r="N3878">
        <v>1.46216E-93</v>
      </c>
      <c r="O3878">
        <v>870</v>
      </c>
    </row>
    <row r="3879" spans="1:15" x14ac:dyDescent="0.25">
      <c r="A3879" t="s">
        <v>3892</v>
      </c>
      <c r="B3879">
        <v>532</v>
      </c>
      <c r="C3879" s="1" t="str">
        <f>HYPERLINK("http://www.rosaceae.org/gb/gbrowse/malus_x_domestica/?name=MDP0000487037","MDP0000487037")</f>
        <v>MDP0000487037</v>
      </c>
      <c r="D3879">
        <v>74.41</v>
      </c>
      <c r="E3879">
        <v>215</v>
      </c>
      <c r="F3879">
        <v>55</v>
      </c>
      <c r="G3879">
        <v>2</v>
      </c>
      <c r="H3879">
        <v>313</v>
      </c>
      <c r="I3879">
        <v>527</v>
      </c>
      <c r="J3879">
        <v>1</v>
      </c>
      <c r="K3879">
        <v>45</v>
      </c>
      <c r="L3879">
        <v>257</v>
      </c>
      <c r="M3879">
        <v>1</v>
      </c>
      <c r="N3879">
        <v>1.5690500000000001E-92</v>
      </c>
      <c r="O3879">
        <v>865</v>
      </c>
    </row>
    <row r="3880" spans="1:15" x14ac:dyDescent="0.25">
      <c r="A3880" t="s">
        <v>3893</v>
      </c>
      <c r="B3880">
        <v>76</v>
      </c>
      <c r="C3880" s="1" t="str">
        <f>HYPERLINK("http://www.rosaceae.org/gb/gbrowse/malus_x_domestica/?name=MDP0000652545","MDP0000652545")</f>
        <v>MDP0000652545</v>
      </c>
      <c r="D3880">
        <v>84.5</v>
      </c>
      <c r="E3880">
        <v>71</v>
      </c>
      <c r="F3880">
        <v>11</v>
      </c>
      <c r="G3880">
        <v>0</v>
      </c>
      <c r="H3880">
        <v>6</v>
      </c>
      <c r="I3880">
        <v>76</v>
      </c>
      <c r="J3880">
        <v>1</v>
      </c>
      <c r="K3880">
        <v>193</v>
      </c>
      <c r="L3880">
        <v>263</v>
      </c>
      <c r="M3880">
        <v>1</v>
      </c>
      <c r="N3880">
        <v>1.9974499999999999E-31</v>
      </c>
      <c r="O3880">
        <v>328</v>
      </c>
    </row>
    <row r="3881" spans="1:15" x14ac:dyDescent="0.25">
      <c r="A3881" t="s">
        <v>3894</v>
      </c>
      <c r="B3881">
        <v>448</v>
      </c>
      <c r="C3881" s="1" t="str">
        <f>HYPERLINK("http://www.rosaceae.org/gb/gbrowse/malus_x_domestica/?name=MDP0000543964","MDP0000543964")</f>
        <v>MDP0000543964</v>
      </c>
      <c r="D3881">
        <v>65.12</v>
      </c>
      <c r="E3881">
        <v>433</v>
      </c>
      <c r="F3881">
        <v>151</v>
      </c>
      <c r="G3881">
        <v>6</v>
      </c>
      <c r="H3881">
        <v>19</v>
      </c>
      <c r="I3881">
        <v>446</v>
      </c>
      <c r="J3881">
        <v>1</v>
      </c>
      <c r="K3881">
        <v>21</v>
      </c>
      <c r="L3881">
        <v>452</v>
      </c>
      <c r="M3881">
        <v>1</v>
      </c>
      <c r="N3881">
        <v>2.5160999999999998E-171</v>
      </c>
      <c r="O3881">
        <v>1543</v>
      </c>
    </row>
    <row r="3882" spans="1:15" x14ac:dyDescent="0.25">
      <c r="A3882" t="s">
        <v>3895</v>
      </c>
      <c r="B3882">
        <v>342</v>
      </c>
      <c r="C3882" s="1" t="str">
        <f>HYPERLINK("http://www.rosaceae.org/gb/gbrowse/malus_x_domestica/?name=MDP0000182101","MDP0000182101")</f>
        <v>MDP0000182101</v>
      </c>
      <c r="D3882">
        <v>31.21</v>
      </c>
      <c r="E3882">
        <v>173</v>
      </c>
      <c r="F3882">
        <v>119</v>
      </c>
      <c r="G3882">
        <v>3</v>
      </c>
      <c r="H3882">
        <v>80</v>
      </c>
      <c r="I3882">
        <v>250</v>
      </c>
      <c r="J3882">
        <v>1</v>
      </c>
      <c r="K3882">
        <v>181</v>
      </c>
      <c r="L3882">
        <v>352</v>
      </c>
      <c r="M3882">
        <v>1</v>
      </c>
      <c r="N3882">
        <v>2.4052199999999999E-17</v>
      </c>
      <c r="O3882">
        <v>214</v>
      </c>
    </row>
    <row r="3883" spans="1:15" x14ac:dyDescent="0.25">
      <c r="A3883" t="s">
        <v>3896</v>
      </c>
      <c r="B3883">
        <v>198</v>
      </c>
      <c r="C3883" s="1" t="str">
        <f>HYPERLINK("http://www.rosaceae.org/gb/gbrowse/malus_x_domestica/?name=MDP0000224745","MDP0000224745")</f>
        <v>MDP0000224745</v>
      </c>
      <c r="D3883">
        <v>65.650000000000006</v>
      </c>
      <c r="E3883">
        <v>99</v>
      </c>
      <c r="F3883">
        <v>34</v>
      </c>
      <c r="G3883">
        <v>27</v>
      </c>
      <c r="H3883">
        <v>17</v>
      </c>
      <c r="I3883">
        <v>91</v>
      </c>
      <c r="J3883">
        <v>1</v>
      </c>
      <c r="K3883">
        <v>17</v>
      </c>
      <c r="L3883">
        <v>112</v>
      </c>
      <c r="M3883">
        <v>1</v>
      </c>
      <c r="N3883">
        <v>7.5027500000000003E-28</v>
      </c>
      <c r="O3883">
        <v>302</v>
      </c>
    </row>
    <row r="3884" spans="1:15" x14ac:dyDescent="0.25">
      <c r="A3884" t="s">
        <v>3897</v>
      </c>
      <c r="B3884">
        <v>625</v>
      </c>
      <c r="C3884" s="1" t="str">
        <f>HYPERLINK("http://www.rosaceae.org/gb/gbrowse/malus_x_domestica/?name=MDP0000217651","MDP0000217651")</f>
        <v>MDP0000217651</v>
      </c>
      <c r="D3884">
        <v>65.5</v>
      </c>
      <c r="E3884">
        <v>374</v>
      </c>
      <c r="F3884">
        <v>129</v>
      </c>
      <c r="G3884">
        <v>14</v>
      </c>
      <c r="H3884">
        <v>263</v>
      </c>
      <c r="I3884">
        <v>623</v>
      </c>
      <c r="J3884">
        <v>1</v>
      </c>
      <c r="K3884">
        <v>7</v>
      </c>
      <c r="L3884">
        <v>379</v>
      </c>
      <c r="M3884">
        <v>1</v>
      </c>
      <c r="N3884">
        <v>1.373E-132</v>
      </c>
      <c r="O3884">
        <v>1211</v>
      </c>
    </row>
    <row r="3885" spans="1:15" x14ac:dyDescent="0.25">
      <c r="A3885" t="s">
        <v>3898</v>
      </c>
      <c r="B3885">
        <v>292</v>
      </c>
      <c r="C3885" s="1" t="str">
        <f>HYPERLINK("http://www.rosaceae.org/gb/gbrowse/malus_x_domestica/?name=MDP0000244612","MDP0000244612")</f>
        <v>MDP0000244612</v>
      </c>
      <c r="D3885">
        <v>64.540000000000006</v>
      </c>
      <c r="E3885">
        <v>251</v>
      </c>
      <c r="F3885">
        <v>89</v>
      </c>
      <c r="G3885">
        <v>19</v>
      </c>
      <c r="H3885">
        <v>60</v>
      </c>
      <c r="I3885">
        <v>292</v>
      </c>
      <c r="J3885">
        <v>1</v>
      </c>
      <c r="K3885">
        <v>55</v>
      </c>
      <c r="L3885">
        <v>304</v>
      </c>
      <c r="M3885">
        <v>1</v>
      </c>
      <c r="N3885">
        <v>5.5181600000000002E-83</v>
      </c>
      <c r="O3885">
        <v>779</v>
      </c>
    </row>
    <row r="3886" spans="1:15" x14ac:dyDescent="0.25">
      <c r="A3886" t="s">
        <v>3899</v>
      </c>
      <c r="B3886">
        <v>715</v>
      </c>
      <c r="C3886" s="1" t="str">
        <f>HYPERLINK("http://www.rosaceae.org/gb/gbrowse/malus_x_domestica/?name=MDP0000262878","MDP0000262878")</f>
        <v>MDP0000262878</v>
      </c>
      <c r="D3886">
        <v>43.23</v>
      </c>
      <c r="E3886">
        <v>599</v>
      </c>
      <c r="F3886">
        <v>340</v>
      </c>
      <c r="G3886">
        <v>121</v>
      </c>
      <c r="H3886">
        <v>230</v>
      </c>
      <c r="I3886">
        <v>713</v>
      </c>
      <c r="J3886">
        <v>1</v>
      </c>
      <c r="K3886">
        <v>323</v>
      </c>
      <c r="L3886">
        <v>915</v>
      </c>
      <c r="M3886">
        <v>1</v>
      </c>
      <c r="N3886">
        <v>2.2507499999999999E-115</v>
      </c>
      <c r="O3886">
        <v>1063</v>
      </c>
    </row>
    <row r="3887" spans="1:15" x14ac:dyDescent="0.25">
      <c r="A3887" t="s">
        <v>3900</v>
      </c>
      <c r="B3887">
        <v>293</v>
      </c>
      <c r="C3887" s="1" t="str">
        <f>HYPERLINK("http://www.rosaceae.org/gb/gbrowse/malus_x_domestica/?name=MDP0000296128","MDP0000296128")</f>
        <v>MDP0000296128</v>
      </c>
      <c r="D3887">
        <v>44.03</v>
      </c>
      <c r="E3887">
        <v>109</v>
      </c>
      <c r="F3887">
        <v>61</v>
      </c>
      <c r="G3887">
        <v>9</v>
      </c>
      <c r="H3887">
        <v>192</v>
      </c>
      <c r="I3887">
        <v>291</v>
      </c>
      <c r="J3887">
        <v>1</v>
      </c>
      <c r="K3887">
        <v>237</v>
      </c>
      <c r="L3887">
        <v>345</v>
      </c>
      <c r="M3887">
        <v>1</v>
      </c>
      <c r="N3887">
        <v>7.5071299999999999E-18</v>
      </c>
      <c r="O3887">
        <v>218</v>
      </c>
    </row>
    <row r="3888" spans="1:15" x14ac:dyDescent="0.25">
      <c r="A3888" t="s">
        <v>3901</v>
      </c>
      <c r="B3888">
        <v>143</v>
      </c>
      <c r="C3888" s="1" t="str">
        <f>HYPERLINK("http://www.rosaceae.org/gb/gbrowse/malus_x_domestica/?name=MDP0000138216","MDP0000138216")</f>
        <v>MDP0000138216</v>
      </c>
      <c r="D3888">
        <v>48.83</v>
      </c>
      <c r="E3888">
        <v>129</v>
      </c>
      <c r="F3888">
        <v>66</v>
      </c>
      <c r="G3888">
        <v>24</v>
      </c>
      <c r="H3888">
        <v>12</v>
      </c>
      <c r="I3888">
        <v>129</v>
      </c>
      <c r="J3888">
        <v>1</v>
      </c>
      <c r="K3888">
        <v>15</v>
      </c>
      <c r="L3888">
        <v>130</v>
      </c>
      <c r="M3888">
        <v>1</v>
      </c>
      <c r="N3888">
        <v>1.0598599999999999E-18</v>
      </c>
      <c r="O3888">
        <v>220</v>
      </c>
    </row>
    <row r="3889" spans="1:15" x14ac:dyDescent="0.25">
      <c r="A3889" t="s">
        <v>3902</v>
      </c>
      <c r="B3889">
        <v>336</v>
      </c>
      <c r="C3889" s="1" t="str">
        <f>HYPERLINK("http://www.rosaceae.org/gb/gbrowse/malus_x_domestica/?name=MDP0000253499","MDP0000253499")</f>
        <v>MDP0000253499</v>
      </c>
      <c r="D3889">
        <v>61.83</v>
      </c>
      <c r="E3889">
        <v>338</v>
      </c>
      <c r="F3889">
        <v>129</v>
      </c>
      <c r="G3889">
        <v>6</v>
      </c>
      <c r="H3889">
        <v>1</v>
      </c>
      <c r="I3889">
        <v>336</v>
      </c>
      <c r="J3889">
        <v>1</v>
      </c>
      <c r="K3889">
        <v>23</v>
      </c>
      <c r="L3889">
        <v>356</v>
      </c>
      <c r="M3889">
        <v>1</v>
      </c>
      <c r="N3889">
        <v>2.0464299999999999E-112</v>
      </c>
      <c r="O3889">
        <v>1034</v>
      </c>
    </row>
    <row r="3890" spans="1:15" x14ac:dyDescent="0.25">
      <c r="A3890" t="s">
        <v>3903</v>
      </c>
      <c r="B3890">
        <v>130</v>
      </c>
      <c r="C3890" s="1" t="str">
        <f>HYPERLINK("http://www.rosaceae.org/gb/gbrowse/malus_x_domestica/?name=MDP0000284229","MDP0000284229")</f>
        <v>MDP0000284229</v>
      </c>
      <c r="D3890">
        <v>61.53</v>
      </c>
      <c r="E3890">
        <v>91</v>
      </c>
      <c r="F3890">
        <v>35</v>
      </c>
      <c r="G3890">
        <v>2</v>
      </c>
      <c r="H3890">
        <v>33</v>
      </c>
      <c r="I3890">
        <v>122</v>
      </c>
      <c r="J3890">
        <v>1</v>
      </c>
      <c r="K3890">
        <v>58</v>
      </c>
      <c r="L3890">
        <v>147</v>
      </c>
      <c r="M3890">
        <v>1</v>
      </c>
      <c r="N3890">
        <v>2.6977299999999999E-21</v>
      </c>
      <c r="O3890">
        <v>242</v>
      </c>
    </row>
    <row r="3891" spans="1:15" x14ac:dyDescent="0.25">
      <c r="A3891" t="s">
        <v>3904</v>
      </c>
      <c r="B3891">
        <v>496</v>
      </c>
      <c r="C3891" s="1" t="str">
        <f>HYPERLINK("http://www.rosaceae.org/gb/gbrowse/malus_x_domestica/?name=MDP0000300208","MDP0000300208")</f>
        <v>MDP0000300208</v>
      </c>
      <c r="D3891">
        <v>89.36</v>
      </c>
      <c r="E3891">
        <v>489</v>
      </c>
      <c r="F3891">
        <v>52</v>
      </c>
      <c r="G3891">
        <v>0</v>
      </c>
      <c r="H3891">
        <v>1</v>
      </c>
      <c r="I3891">
        <v>489</v>
      </c>
      <c r="J3891">
        <v>1</v>
      </c>
      <c r="K3891">
        <v>203</v>
      </c>
      <c r="L3891">
        <v>691</v>
      </c>
      <c r="M3891">
        <v>1</v>
      </c>
      <c r="N3891">
        <v>0</v>
      </c>
      <c r="O3891">
        <v>2390</v>
      </c>
    </row>
    <row r="3892" spans="1:15" x14ac:dyDescent="0.25">
      <c r="A3892" t="s">
        <v>3905</v>
      </c>
      <c r="B3892">
        <v>278</v>
      </c>
      <c r="C3892" s="1" t="str">
        <f>HYPERLINK("http://www.rosaceae.org/gb/gbrowse/malus_x_domestica/?name=MDP0000290189","MDP0000290189")</f>
        <v>MDP0000290189</v>
      </c>
      <c r="D3892">
        <v>56.29</v>
      </c>
      <c r="E3892">
        <v>286</v>
      </c>
      <c r="F3892">
        <v>125</v>
      </c>
      <c r="G3892">
        <v>29</v>
      </c>
      <c r="H3892">
        <v>1</v>
      </c>
      <c r="I3892">
        <v>278</v>
      </c>
      <c r="J3892">
        <v>1</v>
      </c>
      <c r="K3892">
        <v>1</v>
      </c>
      <c r="L3892">
        <v>265</v>
      </c>
      <c r="M3892">
        <v>1</v>
      </c>
      <c r="N3892">
        <v>5.8742099999999995E-66</v>
      </c>
      <c r="O3892">
        <v>632</v>
      </c>
    </row>
    <row r="3893" spans="1:15" x14ac:dyDescent="0.25">
      <c r="A3893" t="s">
        <v>3906</v>
      </c>
      <c r="B3893">
        <v>1141</v>
      </c>
      <c r="C3893" s="1" t="str">
        <f>HYPERLINK("http://www.rosaceae.org/gb/gbrowse/malus_x_domestica/?name=MDP0000394762","MDP0000394762")</f>
        <v>MDP0000394762</v>
      </c>
      <c r="D3893">
        <v>58.52</v>
      </c>
      <c r="E3893">
        <v>757</v>
      </c>
      <c r="F3893">
        <v>314</v>
      </c>
      <c r="G3893">
        <v>83</v>
      </c>
      <c r="H3893">
        <v>103</v>
      </c>
      <c r="I3893">
        <v>818</v>
      </c>
      <c r="J3893">
        <v>1</v>
      </c>
      <c r="K3893">
        <v>110</v>
      </c>
      <c r="L3893">
        <v>824</v>
      </c>
      <c r="M3893">
        <v>1</v>
      </c>
      <c r="N3893">
        <v>0</v>
      </c>
      <c r="O3893">
        <v>2102</v>
      </c>
    </row>
    <row r="3894" spans="1:15" x14ac:dyDescent="0.25">
      <c r="A3894" t="s">
        <v>3907</v>
      </c>
      <c r="B3894">
        <v>692</v>
      </c>
      <c r="C3894" s="1" t="str">
        <f>HYPERLINK("http://www.rosaceae.org/gb/gbrowse/malus_x_domestica/?name=MDP0000159550","MDP0000159550")</f>
        <v>MDP0000159550</v>
      </c>
      <c r="D3894">
        <v>65.040000000000006</v>
      </c>
      <c r="E3894">
        <v>678</v>
      </c>
      <c r="F3894">
        <v>237</v>
      </c>
      <c r="G3894">
        <v>35</v>
      </c>
      <c r="H3894">
        <v>38</v>
      </c>
      <c r="I3894">
        <v>692</v>
      </c>
      <c r="J3894">
        <v>1</v>
      </c>
      <c r="K3894">
        <v>37</v>
      </c>
      <c r="L3894">
        <v>702</v>
      </c>
      <c r="M3894">
        <v>1</v>
      </c>
      <c r="N3894">
        <v>0</v>
      </c>
      <c r="O3894">
        <v>2094</v>
      </c>
    </row>
    <row r="3895" spans="1:15" x14ac:dyDescent="0.25">
      <c r="A3895" t="s">
        <v>3908</v>
      </c>
      <c r="B3895">
        <v>311</v>
      </c>
      <c r="C3895" s="1" t="str">
        <f>HYPERLINK("http://www.rosaceae.org/gb/gbrowse/malus_x_domestica/?name=MDP0000138032","MDP0000138032")</f>
        <v>MDP0000138032</v>
      </c>
      <c r="D3895">
        <v>77.38</v>
      </c>
      <c r="E3895">
        <v>314</v>
      </c>
      <c r="F3895">
        <v>71</v>
      </c>
      <c r="G3895">
        <v>30</v>
      </c>
      <c r="H3895">
        <v>1</v>
      </c>
      <c r="I3895">
        <v>311</v>
      </c>
      <c r="J3895">
        <v>1</v>
      </c>
      <c r="K3895">
        <v>1</v>
      </c>
      <c r="L3895">
        <v>287</v>
      </c>
      <c r="M3895">
        <v>1</v>
      </c>
      <c r="N3895">
        <v>6.5006899999999998E-136</v>
      </c>
      <c r="O3895">
        <v>1236</v>
      </c>
    </row>
    <row r="3896" spans="1:15" x14ac:dyDescent="0.25">
      <c r="A3896" t="s">
        <v>3909</v>
      </c>
      <c r="B3896">
        <v>559</v>
      </c>
      <c r="C3896" s="1" t="str">
        <f>HYPERLINK("http://www.rosaceae.org/gb/gbrowse/malus_x_domestica/?name=MDP0000287232","MDP0000287232")</f>
        <v>MDP0000287232</v>
      </c>
      <c r="D3896">
        <v>42.01</v>
      </c>
      <c r="E3896">
        <v>238</v>
      </c>
      <c r="F3896">
        <v>138</v>
      </c>
      <c r="G3896">
        <v>55</v>
      </c>
      <c r="H3896">
        <v>5</v>
      </c>
      <c r="I3896">
        <v>227</v>
      </c>
      <c r="J3896">
        <v>1</v>
      </c>
      <c r="K3896">
        <v>23</v>
      </c>
      <c r="L3896">
        <v>220</v>
      </c>
      <c r="M3896">
        <v>1</v>
      </c>
      <c r="N3896">
        <v>3.5127199999999999E-37</v>
      </c>
      <c r="O3896">
        <v>388</v>
      </c>
    </row>
    <row r="3897" spans="1:15" x14ac:dyDescent="0.25">
      <c r="A3897" t="s">
        <v>3910</v>
      </c>
      <c r="B3897">
        <v>747</v>
      </c>
      <c r="C3897" s="1" t="str">
        <f>HYPERLINK("http://www.rosaceae.org/gb/gbrowse/malus_x_domestica/?name=MDP0000691953","MDP0000691953")</f>
        <v>MDP0000691953</v>
      </c>
      <c r="D3897">
        <v>57.24</v>
      </c>
      <c r="E3897">
        <v>704</v>
      </c>
      <c r="F3897">
        <v>301</v>
      </c>
      <c r="G3897">
        <v>17</v>
      </c>
      <c r="H3897">
        <v>52</v>
      </c>
      <c r="I3897">
        <v>742</v>
      </c>
      <c r="J3897">
        <v>1</v>
      </c>
      <c r="K3897">
        <v>267</v>
      </c>
      <c r="L3897">
        <v>966</v>
      </c>
      <c r="M3897">
        <v>1</v>
      </c>
      <c r="N3897">
        <v>0</v>
      </c>
      <c r="O3897">
        <v>1909</v>
      </c>
    </row>
    <row r="3898" spans="1:15" x14ac:dyDescent="0.25">
      <c r="A3898" t="s">
        <v>3911</v>
      </c>
      <c r="B3898">
        <v>377</v>
      </c>
      <c r="C3898" s="1" t="str">
        <f>HYPERLINK("http://www.rosaceae.org/gb/gbrowse/malus_x_domestica/?name=MDP0000203952","MDP0000203952")</f>
        <v>MDP0000203952</v>
      </c>
      <c r="D3898">
        <v>83.33</v>
      </c>
      <c r="E3898">
        <v>186</v>
      </c>
      <c r="F3898">
        <v>31</v>
      </c>
      <c r="G3898">
        <v>17</v>
      </c>
      <c r="H3898">
        <v>207</v>
      </c>
      <c r="I3898">
        <v>375</v>
      </c>
      <c r="J3898">
        <v>1</v>
      </c>
      <c r="K3898">
        <v>388</v>
      </c>
      <c r="L3898">
        <v>573</v>
      </c>
      <c r="M3898">
        <v>1</v>
      </c>
      <c r="N3898">
        <v>2.6820100000000001E-89</v>
      </c>
      <c r="O3898">
        <v>835</v>
      </c>
    </row>
    <row r="3899" spans="1:15" x14ac:dyDescent="0.25">
      <c r="A3899" t="s">
        <v>3912</v>
      </c>
      <c r="B3899">
        <v>103</v>
      </c>
      <c r="C3899" s="1" t="str">
        <f>HYPERLINK("http://www.rosaceae.org/gb/gbrowse/malus_x_domestica/?name=MDP0000703915","MDP0000703915")</f>
        <v>MDP0000703915</v>
      </c>
      <c r="D3899">
        <v>79.78</v>
      </c>
      <c r="E3899">
        <v>94</v>
      </c>
      <c r="F3899">
        <v>19</v>
      </c>
      <c r="G3899">
        <v>3</v>
      </c>
      <c r="H3899">
        <v>9</v>
      </c>
      <c r="I3899">
        <v>102</v>
      </c>
      <c r="J3899">
        <v>1</v>
      </c>
      <c r="K3899">
        <v>62</v>
      </c>
      <c r="L3899">
        <v>152</v>
      </c>
      <c r="M3899">
        <v>1</v>
      </c>
      <c r="N3899">
        <v>5.7033400000000004E-38</v>
      </c>
      <c r="O3899">
        <v>385</v>
      </c>
    </row>
    <row r="3900" spans="1:15" x14ac:dyDescent="0.25">
      <c r="A3900" t="s">
        <v>3913</v>
      </c>
      <c r="B3900">
        <v>1389</v>
      </c>
      <c r="C3900" s="1" t="str">
        <f>HYPERLINK("http://www.rosaceae.org/gb/gbrowse/malus_x_domestica/?name=MDP0000180405","MDP0000180405")</f>
        <v>MDP0000180405</v>
      </c>
      <c r="D3900">
        <v>59.37</v>
      </c>
      <c r="E3900">
        <v>1472</v>
      </c>
      <c r="F3900">
        <v>598</v>
      </c>
      <c r="G3900">
        <v>115</v>
      </c>
      <c r="H3900">
        <v>33</v>
      </c>
      <c r="I3900">
        <v>1389</v>
      </c>
      <c r="J3900">
        <v>1</v>
      </c>
      <c r="K3900">
        <v>15</v>
      </c>
      <c r="L3900">
        <v>1486</v>
      </c>
      <c r="M3900">
        <v>1</v>
      </c>
      <c r="N3900">
        <v>0</v>
      </c>
      <c r="O3900">
        <v>4707</v>
      </c>
    </row>
    <row r="3901" spans="1:15" x14ac:dyDescent="0.25">
      <c r="A3901" t="s">
        <v>3914</v>
      </c>
      <c r="B3901">
        <v>132</v>
      </c>
      <c r="C3901" s="1" t="str">
        <f>HYPERLINK("http://www.rosaceae.org/gb/gbrowse/malus_x_domestica/?name=MDP0000432471","MDP0000432471")</f>
        <v>MDP0000432471</v>
      </c>
      <c r="D3901">
        <v>64.06</v>
      </c>
      <c r="E3901">
        <v>128</v>
      </c>
      <c r="F3901">
        <v>46</v>
      </c>
      <c r="G3901">
        <v>4</v>
      </c>
      <c r="H3901">
        <v>5</v>
      </c>
      <c r="I3901">
        <v>132</v>
      </c>
      <c r="J3901">
        <v>1</v>
      </c>
      <c r="K3901">
        <v>4</v>
      </c>
      <c r="L3901">
        <v>127</v>
      </c>
      <c r="M3901">
        <v>1</v>
      </c>
      <c r="N3901">
        <v>2.3399500000000002E-40</v>
      </c>
      <c r="O3901">
        <v>406</v>
      </c>
    </row>
    <row r="3902" spans="1:15" x14ac:dyDescent="0.25">
      <c r="A3902" t="s">
        <v>3915</v>
      </c>
      <c r="B3902">
        <v>312</v>
      </c>
      <c r="C3902" s="1" t="str">
        <f>HYPERLINK("http://www.rosaceae.org/gb/gbrowse/malus_x_domestica/?name=MDP0000322577","MDP0000322577")</f>
        <v>MDP0000322577</v>
      </c>
      <c r="D3902">
        <v>58.55</v>
      </c>
      <c r="E3902">
        <v>333</v>
      </c>
      <c r="F3902">
        <v>138</v>
      </c>
      <c r="G3902">
        <v>54</v>
      </c>
      <c r="H3902">
        <v>28</v>
      </c>
      <c r="I3902">
        <v>312</v>
      </c>
      <c r="J3902">
        <v>1</v>
      </c>
      <c r="K3902">
        <v>30</v>
      </c>
      <c r="L3902">
        <v>356</v>
      </c>
      <c r="M3902">
        <v>1</v>
      </c>
      <c r="N3902">
        <v>9.5393600000000003E-96</v>
      </c>
      <c r="O3902">
        <v>890</v>
      </c>
    </row>
    <row r="3903" spans="1:15" x14ac:dyDescent="0.25">
      <c r="A3903" t="s">
        <v>3916</v>
      </c>
      <c r="B3903">
        <v>818</v>
      </c>
      <c r="C3903" s="1" t="str">
        <f>HYPERLINK("http://www.rosaceae.org/gb/gbrowse/malus_x_domestica/?name=MDP0000265164","MDP0000265164")</f>
        <v>MDP0000265164</v>
      </c>
      <c r="D3903">
        <v>44.31</v>
      </c>
      <c r="E3903">
        <v>88</v>
      </c>
      <c r="F3903">
        <v>49</v>
      </c>
      <c r="G3903">
        <v>4</v>
      </c>
      <c r="H3903">
        <v>195</v>
      </c>
      <c r="I3903">
        <v>282</v>
      </c>
      <c r="J3903">
        <v>1</v>
      </c>
      <c r="K3903">
        <v>588</v>
      </c>
      <c r="L3903">
        <v>671</v>
      </c>
      <c r="M3903">
        <v>1</v>
      </c>
      <c r="N3903">
        <v>6.17152E-10</v>
      </c>
      <c r="O3903">
        <v>154</v>
      </c>
    </row>
    <row r="3904" spans="1:15" x14ac:dyDescent="0.25">
      <c r="A3904" t="s">
        <v>3917</v>
      </c>
      <c r="B3904">
        <v>178</v>
      </c>
      <c r="C3904" s="1" t="str">
        <f>HYPERLINK("http://www.rosaceae.org/gb/gbrowse/malus_x_domestica/?name=MDP0000167808","MDP0000167808")</f>
        <v>MDP0000167808</v>
      </c>
      <c r="D3904">
        <v>38.46</v>
      </c>
      <c r="E3904">
        <v>78</v>
      </c>
      <c r="F3904">
        <v>48</v>
      </c>
      <c r="G3904">
        <v>4</v>
      </c>
      <c r="H3904">
        <v>85</v>
      </c>
      <c r="I3904">
        <v>158</v>
      </c>
      <c r="J3904">
        <v>1</v>
      </c>
      <c r="K3904">
        <v>11</v>
      </c>
      <c r="L3904">
        <v>88</v>
      </c>
      <c r="M3904">
        <v>1</v>
      </c>
      <c r="N3904">
        <v>4.2497500000000001E-8</v>
      </c>
      <c r="O3904">
        <v>131</v>
      </c>
    </row>
    <row r="3905" spans="1:15" x14ac:dyDescent="0.25">
      <c r="A3905" t="s">
        <v>3918</v>
      </c>
      <c r="B3905">
        <v>553</v>
      </c>
      <c r="C3905" s="1" t="str">
        <f>HYPERLINK("http://www.rosaceae.org/gb/gbrowse/malus_x_domestica/?name=MDP0000213319","MDP0000213319")</f>
        <v>MDP0000213319</v>
      </c>
      <c r="D3905">
        <v>40.36</v>
      </c>
      <c r="E3905">
        <v>332</v>
      </c>
      <c r="F3905">
        <v>198</v>
      </c>
      <c r="G3905">
        <v>29</v>
      </c>
      <c r="H3905">
        <v>229</v>
      </c>
      <c r="I3905">
        <v>551</v>
      </c>
      <c r="J3905">
        <v>1</v>
      </c>
      <c r="K3905">
        <v>8</v>
      </c>
      <c r="L3905">
        <v>319</v>
      </c>
      <c r="M3905">
        <v>1</v>
      </c>
      <c r="N3905">
        <v>1.1664100000000001E-52</v>
      </c>
      <c r="O3905">
        <v>521</v>
      </c>
    </row>
    <row r="3906" spans="1:15" x14ac:dyDescent="0.25">
      <c r="A3906" t="s">
        <v>3919</v>
      </c>
      <c r="B3906">
        <v>580</v>
      </c>
      <c r="C3906" s="1" t="str">
        <f>HYPERLINK("http://www.rosaceae.org/gb/gbrowse/malus_x_domestica/?name=MDP0000277562","MDP0000277562")</f>
        <v>MDP0000277562</v>
      </c>
      <c r="D3906">
        <v>75.81</v>
      </c>
      <c r="E3906">
        <v>583</v>
      </c>
      <c r="F3906">
        <v>141</v>
      </c>
      <c r="G3906">
        <v>3</v>
      </c>
      <c r="H3906">
        <v>1</v>
      </c>
      <c r="I3906">
        <v>580</v>
      </c>
      <c r="J3906">
        <v>1</v>
      </c>
      <c r="K3906">
        <v>1</v>
      </c>
      <c r="L3906">
        <v>583</v>
      </c>
      <c r="M3906">
        <v>1</v>
      </c>
      <c r="N3906">
        <v>0</v>
      </c>
      <c r="O3906">
        <v>2368</v>
      </c>
    </row>
    <row r="3907" spans="1:15" x14ac:dyDescent="0.25">
      <c r="A3907" t="s">
        <v>3920</v>
      </c>
      <c r="B3907">
        <v>501</v>
      </c>
      <c r="C3907" s="1" t="str">
        <f>HYPERLINK("http://www.rosaceae.org/gb/gbrowse/malus_x_domestica/?name=MDP0000159251","MDP0000159251")</f>
        <v>MDP0000159251</v>
      </c>
      <c r="D3907">
        <v>71.2</v>
      </c>
      <c r="E3907">
        <v>514</v>
      </c>
      <c r="F3907">
        <v>148</v>
      </c>
      <c r="G3907">
        <v>27</v>
      </c>
      <c r="H3907">
        <v>1</v>
      </c>
      <c r="I3907">
        <v>501</v>
      </c>
      <c r="J3907">
        <v>1</v>
      </c>
      <c r="K3907">
        <v>1</v>
      </c>
      <c r="L3907">
        <v>500</v>
      </c>
      <c r="M3907">
        <v>1</v>
      </c>
      <c r="N3907">
        <v>0</v>
      </c>
      <c r="O3907">
        <v>1882</v>
      </c>
    </row>
    <row r="3908" spans="1:15" x14ac:dyDescent="0.25">
      <c r="A3908" t="s">
        <v>3921</v>
      </c>
      <c r="B3908">
        <v>452</v>
      </c>
      <c r="C3908" s="1" t="str">
        <f>HYPERLINK("http://www.rosaceae.org/gb/gbrowse/malus_x_domestica/?name=MDP0000364685","MDP0000364685")</f>
        <v>MDP0000364685</v>
      </c>
      <c r="D3908">
        <v>53.62</v>
      </c>
      <c r="E3908">
        <v>69</v>
      </c>
      <c r="F3908">
        <v>32</v>
      </c>
      <c r="G3908">
        <v>1</v>
      </c>
      <c r="H3908">
        <v>384</v>
      </c>
      <c r="I3908">
        <v>452</v>
      </c>
      <c r="J3908">
        <v>1</v>
      </c>
      <c r="K3908">
        <v>161</v>
      </c>
      <c r="L3908">
        <v>228</v>
      </c>
      <c r="M3908">
        <v>1</v>
      </c>
      <c r="N3908">
        <v>7.1928299999999996E-13</v>
      </c>
      <c r="O3908">
        <v>177</v>
      </c>
    </row>
    <row r="3909" spans="1:15" x14ac:dyDescent="0.25">
      <c r="A3909" t="s">
        <v>3922</v>
      </c>
      <c r="B3909">
        <v>159</v>
      </c>
      <c r="C3909" s="1" t="str">
        <f>HYPERLINK("http://www.rosaceae.org/gb/gbrowse/malus_x_domestica/?name=MDP0000566354","MDP0000566354")</f>
        <v>MDP0000566354</v>
      </c>
      <c r="D3909">
        <v>63.8</v>
      </c>
      <c r="E3909">
        <v>163</v>
      </c>
      <c r="F3909">
        <v>59</v>
      </c>
      <c r="G3909">
        <v>7</v>
      </c>
      <c r="H3909">
        <v>1</v>
      </c>
      <c r="I3909">
        <v>157</v>
      </c>
      <c r="J3909">
        <v>1</v>
      </c>
      <c r="K3909">
        <v>3</v>
      </c>
      <c r="L3909">
        <v>164</v>
      </c>
      <c r="M3909">
        <v>1</v>
      </c>
      <c r="N3909">
        <v>3.6039299999999999E-48</v>
      </c>
      <c r="O3909">
        <v>475</v>
      </c>
    </row>
    <row r="3910" spans="1:15" x14ac:dyDescent="0.25">
      <c r="A3910" t="s">
        <v>3923</v>
      </c>
      <c r="B3910">
        <v>660</v>
      </c>
      <c r="C3910" s="1" t="str">
        <f>HYPERLINK("http://www.rosaceae.org/gb/gbrowse/malus_x_domestica/?name=MDP0000177779","MDP0000177779")</f>
        <v>MDP0000177779</v>
      </c>
      <c r="D3910">
        <v>29.48</v>
      </c>
      <c r="E3910">
        <v>234</v>
      </c>
      <c r="F3910">
        <v>165</v>
      </c>
      <c r="G3910">
        <v>30</v>
      </c>
      <c r="H3910">
        <v>260</v>
      </c>
      <c r="I3910">
        <v>484</v>
      </c>
      <c r="J3910">
        <v>1</v>
      </c>
      <c r="K3910">
        <v>17</v>
      </c>
      <c r="L3910">
        <v>229</v>
      </c>
      <c r="M3910">
        <v>1</v>
      </c>
      <c r="N3910">
        <v>6.5384099999999998E-12</v>
      </c>
      <c r="O3910">
        <v>170</v>
      </c>
    </row>
    <row r="3911" spans="1:15" x14ac:dyDescent="0.25">
      <c r="A3911" t="s">
        <v>3924</v>
      </c>
      <c r="B3911">
        <v>562</v>
      </c>
      <c r="C3911" s="1" t="str">
        <f>HYPERLINK("http://www.rosaceae.org/gb/gbrowse/malus_x_domestica/?name=MDP0000236404","MDP0000236404")</f>
        <v>MDP0000236404</v>
      </c>
      <c r="D3911">
        <v>78.459999999999994</v>
      </c>
      <c r="E3911">
        <v>418</v>
      </c>
      <c r="F3911">
        <v>90</v>
      </c>
      <c r="G3911">
        <v>15</v>
      </c>
      <c r="H3911">
        <v>145</v>
      </c>
      <c r="I3911">
        <v>547</v>
      </c>
      <c r="J3911">
        <v>1</v>
      </c>
      <c r="K3911">
        <v>30</v>
      </c>
      <c r="L3911">
        <v>447</v>
      </c>
      <c r="M3911">
        <v>1</v>
      </c>
      <c r="N3911">
        <v>0</v>
      </c>
      <c r="O3911">
        <v>1777</v>
      </c>
    </row>
    <row r="3912" spans="1:15" x14ac:dyDescent="0.25">
      <c r="A3912" t="s">
        <v>3925</v>
      </c>
      <c r="B3912">
        <v>102</v>
      </c>
      <c r="C3912" s="1" t="str">
        <f>HYPERLINK("http://www.rosaceae.org/gb/gbrowse/malus_x_domestica/?name=MDP0000472203","MDP0000472203")</f>
        <v>MDP0000472203</v>
      </c>
      <c r="D3912">
        <v>88.23</v>
      </c>
      <c r="E3912">
        <v>102</v>
      </c>
      <c r="F3912">
        <v>12</v>
      </c>
      <c r="G3912">
        <v>0</v>
      </c>
      <c r="H3912">
        <v>1</v>
      </c>
      <c r="I3912">
        <v>102</v>
      </c>
      <c r="J3912">
        <v>1</v>
      </c>
      <c r="K3912">
        <v>41</v>
      </c>
      <c r="L3912">
        <v>142</v>
      </c>
      <c r="M3912">
        <v>1</v>
      </c>
      <c r="N3912">
        <v>7.0271400000000001E-49</v>
      </c>
      <c r="O3912">
        <v>479</v>
      </c>
    </row>
    <row r="3913" spans="1:15" x14ac:dyDescent="0.25">
      <c r="A3913" t="s">
        <v>3926</v>
      </c>
      <c r="B3913">
        <v>163</v>
      </c>
      <c r="C3913" s="1" t="str">
        <f>HYPERLINK("http://www.rosaceae.org/gb/gbrowse/malus_x_domestica/?name=MDP0000140191","MDP0000140191")</f>
        <v>MDP0000140191</v>
      </c>
      <c r="D3913">
        <v>90.18</v>
      </c>
      <c r="E3913">
        <v>163</v>
      </c>
      <c r="F3913">
        <v>16</v>
      </c>
      <c r="G3913">
        <v>0</v>
      </c>
      <c r="H3913">
        <v>1</v>
      </c>
      <c r="I3913">
        <v>163</v>
      </c>
      <c r="J3913">
        <v>1</v>
      </c>
      <c r="K3913">
        <v>1</v>
      </c>
      <c r="L3913">
        <v>163</v>
      </c>
      <c r="M3913">
        <v>1</v>
      </c>
      <c r="N3913">
        <v>1.8331200000000001E-85</v>
      </c>
      <c r="O3913">
        <v>797</v>
      </c>
    </row>
    <row r="3914" spans="1:15" x14ac:dyDescent="0.25">
      <c r="A3914" t="s">
        <v>3927</v>
      </c>
      <c r="B3914">
        <v>1196</v>
      </c>
      <c r="C3914" s="1" t="str">
        <f>HYPERLINK("http://www.rosaceae.org/gb/gbrowse/malus_x_domestica/?name=MDP0000237571","MDP0000237571")</f>
        <v>MDP0000237571</v>
      </c>
      <c r="D3914">
        <v>73.709999999999994</v>
      </c>
      <c r="E3914">
        <v>175</v>
      </c>
      <c r="F3914">
        <v>46</v>
      </c>
      <c r="G3914">
        <v>1</v>
      </c>
      <c r="H3914">
        <v>939</v>
      </c>
      <c r="I3914">
        <v>1112</v>
      </c>
      <c r="J3914">
        <v>1</v>
      </c>
      <c r="K3914">
        <v>21</v>
      </c>
      <c r="L3914">
        <v>195</v>
      </c>
      <c r="M3914">
        <v>1</v>
      </c>
      <c r="N3914">
        <v>4.7118000000000001E-68</v>
      </c>
      <c r="O3914">
        <v>657</v>
      </c>
    </row>
    <row r="3915" spans="1:15" x14ac:dyDescent="0.25">
      <c r="A3915" t="s">
        <v>3928</v>
      </c>
      <c r="B3915">
        <v>518</v>
      </c>
      <c r="C3915" s="1" t="str">
        <f>HYPERLINK("http://www.rosaceae.org/gb/gbrowse/malus_x_domestica/?name=MDP0000168556","MDP0000168556")</f>
        <v>MDP0000168556</v>
      </c>
      <c r="D3915">
        <v>54.22</v>
      </c>
      <c r="E3915">
        <v>544</v>
      </c>
      <c r="F3915">
        <v>249</v>
      </c>
      <c r="G3915">
        <v>68</v>
      </c>
      <c r="H3915">
        <v>6</v>
      </c>
      <c r="I3915">
        <v>518</v>
      </c>
      <c r="J3915">
        <v>1</v>
      </c>
      <c r="K3915">
        <v>2</v>
      </c>
      <c r="L3915">
        <v>508</v>
      </c>
      <c r="M3915">
        <v>1</v>
      </c>
      <c r="N3915">
        <v>7.7602699999999995E-132</v>
      </c>
      <c r="O3915">
        <v>1204</v>
      </c>
    </row>
    <row r="3916" spans="1:15" x14ac:dyDescent="0.25">
      <c r="A3916" t="s">
        <v>3929</v>
      </c>
      <c r="B3916">
        <v>356</v>
      </c>
      <c r="C3916" s="1" t="str">
        <f>HYPERLINK("http://www.rosaceae.org/gb/gbrowse/malus_x_domestica/?name=MDP0000230986","MDP0000230986")</f>
        <v>MDP0000230986</v>
      </c>
      <c r="D3916">
        <v>45.07</v>
      </c>
      <c r="E3916">
        <v>264</v>
      </c>
      <c r="F3916">
        <v>145</v>
      </c>
      <c r="G3916">
        <v>27</v>
      </c>
      <c r="H3916">
        <v>113</v>
      </c>
      <c r="I3916">
        <v>356</v>
      </c>
      <c r="J3916">
        <v>1</v>
      </c>
      <c r="K3916">
        <v>6</v>
      </c>
      <c r="L3916">
        <v>262</v>
      </c>
      <c r="M3916">
        <v>1</v>
      </c>
      <c r="N3916">
        <v>1.5081399999999999E-42</v>
      </c>
      <c r="O3916">
        <v>432</v>
      </c>
    </row>
    <row r="3917" spans="1:15" x14ac:dyDescent="0.25">
      <c r="A3917" t="s">
        <v>3930</v>
      </c>
      <c r="B3917">
        <v>287</v>
      </c>
      <c r="C3917" s="1" t="str">
        <f>HYPERLINK("http://www.rosaceae.org/gb/gbrowse/malus_x_domestica/?name=MDP0000802153","MDP0000802153")</f>
        <v>MDP0000802153</v>
      </c>
      <c r="D3917">
        <v>78.040000000000006</v>
      </c>
      <c r="E3917">
        <v>287</v>
      </c>
      <c r="F3917">
        <v>63</v>
      </c>
      <c r="G3917">
        <v>0</v>
      </c>
      <c r="H3917">
        <v>1</v>
      </c>
      <c r="I3917">
        <v>287</v>
      </c>
      <c r="J3917">
        <v>1</v>
      </c>
      <c r="K3917">
        <v>1</v>
      </c>
      <c r="L3917">
        <v>287</v>
      </c>
      <c r="M3917">
        <v>1</v>
      </c>
      <c r="N3917">
        <v>9.1934999999999999E-132</v>
      </c>
      <c r="O3917">
        <v>1200</v>
      </c>
    </row>
    <row r="3918" spans="1:15" x14ac:dyDescent="0.25">
      <c r="A3918" t="s">
        <v>3931</v>
      </c>
      <c r="B3918">
        <v>166</v>
      </c>
      <c r="C3918" s="1" t="str">
        <f>HYPERLINK("http://www.rosaceae.org/gb/gbrowse/malus_x_domestica/?name=MDP0000155446","MDP0000155446")</f>
        <v>MDP0000155446</v>
      </c>
      <c r="D3918">
        <v>82.35</v>
      </c>
      <c r="E3918">
        <v>85</v>
      </c>
      <c r="F3918">
        <v>15</v>
      </c>
      <c r="G3918">
        <v>0</v>
      </c>
      <c r="H3918">
        <v>82</v>
      </c>
      <c r="I3918">
        <v>166</v>
      </c>
      <c r="J3918">
        <v>1</v>
      </c>
      <c r="K3918">
        <v>53</v>
      </c>
      <c r="L3918">
        <v>137</v>
      </c>
      <c r="M3918">
        <v>1</v>
      </c>
      <c r="N3918">
        <v>1.9231099999999999E-36</v>
      </c>
      <c r="O3918">
        <v>374</v>
      </c>
    </row>
    <row r="3919" spans="1:15" x14ac:dyDescent="0.25">
      <c r="A3919" t="s">
        <v>3932</v>
      </c>
      <c r="B3919">
        <v>219</v>
      </c>
      <c r="C3919" s="1" t="str">
        <f>HYPERLINK("http://www.rosaceae.org/gb/gbrowse/malus_x_domestica/?name=MDP0000319404","MDP0000319404")</f>
        <v>MDP0000319404</v>
      </c>
      <c r="D3919">
        <v>77.77</v>
      </c>
      <c r="E3919">
        <v>216</v>
      </c>
      <c r="F3919">
        <v>48</v>
      </c>
      <c r="G3919">
        <v>6</v>
      </c>
      <c r="H3919">
        <v>1</v>
      </c>
      <c r="I3919">
        <v>213</v>
      </c>
      <c r="J3919">
        <v>1</v>
      </c>
      <c r="K3919">
        <v>1</v>
      </c>
      <c r="L3919">
        <v>213</v>
      </c>
      <c r="M3919">
        <v>1</v>
      </c>
      <c r="N3919">
        <v>1.88044E-93</v>
      </c>
      <c r="O3919">
        <v>868</v>
      </c>
    </row>
    <row r="3920" spans="1:15" x14ac:dyDescent="0.25">
      <c r="A3920" t="s">
        <v>3933</v>
      </c>
      <c r="B3920">
        <v>466</v>
      </c>
      <c r="C3920" s="1" t="str">
        <f>HYPERLINK("http://www.rosaceae.org/gb/gbrowse/malus_x_domestica/?name=MDP0000131218","MDP0000131218")</f>
        <v>MDP0000131218</v>
      </c>
      <c r="D3920">
        <v>59.95</v>
      </c>
      <c r="E3920">
        <v>462</v>
      </c>
      <c r="F3920">
        <v>185</v>
      </c>
      <c r="G3920">
        <v>52</v>
      </c>
      <c r="H3920">
        <v>18</v>
      </c>
      <c r="I3920">
        <v>466</v>
      </c>
      <c r="J3920">
        <v>1</v>
      </c>
      <c r="K3920">
        <v>61</v>
      </c>
      <c r="L3920">
        <v>483</v>
      </c>
      <c r="M3920">
        <v>1</v>
      </c>
      <c r="N3920">
        <v>1.20808E-145</v>
      </c>
      <c r="O3920">
        <v>1322</v>
      </c>
    </row>
    <row r="3921" spans="1:15" x14ac:dyDescent="0.25">
      <c r="A3921" t="s">
        <v>3934</v>
      </c>
      <c r="B3921">
        <v>183</v>
      </c>
      <c r="C3921" s="1" t="str">
        <f>HYPERLINK("http://www.rosaceae.org/gb/gbrowse/malus_x_domestica/?name=MDP0000230111","MDP0000230111")</f>
        <v>MDP0000230111</v>
      </c>
      <c r="D3921">
        <v>65.94</v>
      </c>
      <c r="E3921">
        <v>185</v>
      </c>
      <c r="F3921">
        <v>63</v>
      </c>
      <c r="G3921">
        <v>3</v>
      </c>
      <c r="H3921">
        <v>1</v>
      </c>
      <c r="I3921">
        <v>183</v>
      </c>
      <c r="J3921">
        <v>1</v>
      </c>
      <c r="K3921">
        <v>229</v>
      </c>
      <c r="L3921">
        <v>412</v>
      </c>
      <c r="M3921">
        <v>1</v>
      </c>
      <c r="N3921">
        <v>3.8646400000000001E-53</v>
      </c>
      <c r="O3921">
        <v>519</v>
      </c>
    </row>
    <row r="3922" spans="1:15" x14ac:dyDescent="0.25">
      <c r="A3922" t="s">
        <v>3935</v>
      </c>
      <c r="B3922">
        <v>219</v>
      </c>
      <c r="C3922" s="1" t="str">
        <f>HYPERLINK("http://www.rosaceae.org/gb/gbrowse/malus_x_domestica/?name=MDP0000833352","MDP0000833352")</f>
        <v>MDP0000833352</v>
      </c>
      <c r="D3922">
        <v>75.45</v>
      </c>
      <c r="E3922">
        <v>220</v>
      </c>
      <c r="F3922">
        <v>54</v>
      </c>
      <c r="G3922">
        <v>11</v>
      </c>
      <c r="H3922">
        <v>1</v>
      </c>
      <c r="I3922">
        <v>219</v>
      </c>
      <c r="J3922">
        <v>1</v>
      </c>
      <c r="K3922">
        <v>1</v>
      </c>
      <c r="L3922">
        <v>210</v>
      </c>
      <c r="M3922">
        <v>1</v>
      </c>
      <c r="N3922">
        <v>3.0791500000000001E-90</v>
      </c>
      <c r="O3922">
        <v>840</v>
      </c>
    </row>
    <row r="3923" spans="1:15" x14ac:dyDescent="0.25">
      <c r="A3923" t="s">
        <v>3936</v>
      </c>
      <c r="B3923">
        <v>754</v>
      </c>
      <c r="C3923" s="1" t="str">
        <f>HYPERLINK("http://www.rosaceae.org/gb/gbrowse/malus_x_domestica/?name=MDP0000805690","MDP0000805690")</f>
        <v>MDP0000805690</v>
      </c>
      <c r="D3923">
        <v>74.47</v>
      </c>
      <c r="E3923">
        <v>427</v>
      </c>
      <c r="F3923">
        <v>109</v>
      </c>
      <c r="G3923">
        <v>9</v>
      </c>
      <c r="H3923">
        <v>334</v>
      </c>
      <c r="I3923">
        <v>754</v>
      </c>
      <c r="J3923">
        <v>1</v>
      </c>
      <c r="K3923">
        <v>48</v>
      </c>
      <c r="L3923">
        <v>471</v>
      </c>
      <c r="M3923">
        <v>1</v>
      </c>
      <c r="N3923">
        <v>0</v>
      </c>
      <c r="O3923">
        <v>1669</v>
      </c>
    </row>
    <row r="3924" spans="1:15" x14ac:dyDescent="0.25">
      <c r="A3924" t="s">
        <v>3937</v>
      </c>
      <c r="B3924">
        <v>494</v>
      </c>
      <c r="C3924" s="1" t="str">
        <f>HYPERLINK("http://www.rosaceae.org/gb/gbrowse/malus_x_domestica/?name=MDP0000309120","MDP0000309120")</f>
        <v>MDP0000309120</v>
      </c>
      <c r="D3924">
        <v>67.28</v>
      </c>
      <c r="E3924">
        <v>486</v>
      </c>
      <c r="F3924">
        <v>159</v>
      </c>
      <c r="G3924">
        <v>41</v>
      </c>
      <c r="H3924">
        <v>23</v>
      </c>
      <c r="I3924">
        <v>491</v>
      </c>
      <c r="J3924">
        <v>1</v>
      </c>
      <c r="K3924">
        <v>773</v>
      </c>
      <c r="L3924">
        <v>1234</v>
      </c>
      <c r="M3924">
        <v>1</v>
      </c>
      <c r="N3924">
        <v>3.7594000000000001E-179</v>
      </c>
      <c r="O3924">
        <v>1611</v>
      </c>
    </row>
    <row r="3925" spans="1:15" x14ac:dyDescent="0.25">
      <c r="A3925" t="s">
        <v>3938</v>
      </c>
      <c r="B3925">
        <v>763</v>
      </c>
      <c r="C3925" s="1" t="str">
        <f>HYPERLINK("http://www.rosaceae.org/gb/gbrowse/malus_x_domestica/?name=MDP0000262290","MDP0000262290")</f>
        <v>MDP0000262290</v>
      </c>
      <c r="D3925">
        <v>79.400000000000006</v>
      </c>
      <c r="E3925">
        <v>767</v>
      </c>
      <c r="F3925">
        <v>158</v>
      </c>
      <c r="G3925">
        <v>16</v>
      </c>
      <c r="H3925">
        <v>1</v>
      </c>
      <c r="I3925">
        <v>762</v>
      </c>
      <c r="J3925">
        <v>1</v>
      </c>
      <c r="K3925">
        <v>1</v>
      </c>
      <c r="L3925">
        <v>756</v>
      </c>
      <c r="M3925">
        <v>1</v>
      </c>
      <c r="N3925">
        <v>0</v>
      </c>
      <c r="O3925">
        <v>3217</v>
      </c>
    </row>
    <row r="3926" spans="1:15" x14ac:dyDescent="0.25">
      <c r="A3926" t="s">
        <v>3939</v>
      </c>
      <c r="B3926">
        <v>227</v>
      </c>
      <c r="C3926" s="1" t="str">
        <f>HYPERLINK("http://www.rosaceae.org/gb/gbrowse/malus_x_domestica/?name=MDP0000282861","MDP0000282861")</f>
        <v>MDP0000282861</v>
      </c>
      <c r="D3926">
        <v>43.08</v>
      </c>
      <c r="E3926">
        <v>253</v>
      </c>
      <c r="F3926">
        <v>144</v>
      </c>
      <c r="G3926">
        <v>51</v>
      </c>
      <c r="H3926">
        <v>1</v>
      </c>
      <c r="I3926">
        <v>203</v>
      </c>
      <c r="J3926">
        <v>1</v>
      </c>
      <c r="K3926">
        <v>165</v>
      </c>
      <c r="L3926">
        <v>416</v>
      </c>
      <c r="M3926">
        <v>1</v>
      </c>
      <c r="N3926">
        <v>2.3539900000000001E-48</v>
      </c>
      <c r="O3926">
        <v>479</v>
      </c>
    </row>
    <row r="3927" spans="1:15" x14ac:dyDescent="0.25">
      <c r="A3927" t="s">
        <v>3940</v>
      </c>
      <c r="B3927">
        <v>551</v>
      </c>
      <c r="C3927" s="1" t="str">
        <f>HYPERLINK("http://www.rosaceae.org/gb/gbrowse/malus_x_domestica/?name=MDP0000787216","MDP0000787216")</f>
        <v>MDP0000787216</v>
      </c>
      <c r="D3927">
        <v>75.09</v>
      </c>
      <c r="E3927">
        <v>554</v>
      </c>
      <c r="F3927">
        <v>138</v>
      </c>
      <c r="G3927">
        <v>12</v>
      </c>
      <c r="H3927">
        <v>1</v>
      </c>
      <c r="I3927">
        <v>551</v>
      </c>
      <c r="J3927">
        <v>1</v>
      </c>
      <c r="K3927">
        <v>1</v>
      </c>
      <c r="L3927">
        <v>545</v>
      </c>
      <c r="M3927">
        <v>1</v>
      </c>
      <c r="N3927">
        <v>0</v>
      </c>
      <c r="O3927">
        <v>2142</v>
      </c>
    </row>
    <row r="3928" spans="1:15" x14ac:dyDescent="0.25">
      <c r="A3928" t="s">
        <v>3941</v>
      </c>
      <c r="B3928">
        <v>599</v>
      </c>
      <c r="C3928" s="1" t="str">
        <f>HYPERLINK("http://www.rosaceae.org/gb/gbrowse/malus_x_domestica/?name=MDP0000306176","MDP0000306176")</f>
        <v>MDP0000306176</v>
      </c>
      <c r="D3928">
        <v>63.46</v>
      </c>
      <c r="E3928">
        <v>490</v>
      </c>
      <c r="F3928">
        <v>179</v>
      </c>
      <c r="G3928">
        <v>3</v>
      </c>
      <c r="H3928">
        <v>107</v>
      </c>
      <c r="I3928">
        <v>593</v>
      </c>
      <c r="J3928">
        <v>1</v>
      </c>
      <c r="K3928">
        <v>234</v>
      </c>
      <c r="L3928">
        <v>723</v>
      </c>
      <c r="M3928">
        <v>1</v>
      </c>
      <c r="N3928">
        <v>0</v>
      </c>
      <c r="O3928">
        <v>1745</v>
      </c>
    </row>
    <row r="3929" spans="1:15" x14ac:dyDescent="0.25">
      <c r="A3929" t="s">
        <v>3942</v>
      </c>
      <c r="B3929">
        <v>948</v>
      </c>
      <c r="C3929" s="1" t="str">
        <f>HYPERLINK("http://www.rosaceae.org/gb/gbrowse/malus_x_domestica/?name=MDP0000585239","MDP0000585239")</f>
        <v>MDP0000585239</v>
      </c>
      <c r="D3929">
        <v>67.75</v>
      </c>
      <c r="E3929">
        <v>949</v>
      </c>
      <c r="F3929">
        <v>306</v>
      </c>
      <c r="G3929">
        <v>9</v>
      </c>
      <c r="H3929">
        <v>1</v>
      </c>
      <c r="I3929">
        <v>948</v>
      </c>
      <c r="J3929">
        <v>1</v>
      </c>
      <c r="K3929">
        <v>1</v>
      </c>
      <c r="L3929">
        <v>941</v>
      </c>
      <c r="M3929">
        <v>1</v>
      </c>
      <c r="N3929">
        <v>0</v>
      </c>
      <c r="O3929">
        <v>3247</v>
      </c>
    </row>
    <row r="3930" spans="1:15" x14ac:dyDescent="0.25">
      <c r="A3930" t="s">
        <v>3943</v>
      </c>
      <c r="B3930">
        <v>355</v>
      </c>
      <c r="C3930" s="1" t="str">
        <f>HYPERLINK("http://www.rosaceae.org/gb/gbrowse/malus_x_domestica/?name=MDP0000668135","MDP0000668135")</f>
        <v>MDP0000668135</v>
      </c>
      <c r="D3930">
        <v>82.81</v>
      </c>
      <c r="E3930">
        <v>355</v>
      </c>
      <c r="F3930">
        <v>61</v>
      </c>
      <c r="G3930">
        <v>0</v>
      </c>
      <c r="H3930">
        <v>1</v>
      </c>
      <c r="I3930">
        <v>355</v>
      </c>
      <c r="J3930">
        <v>1</v>
      </c>
      <c r="K3930">
        <v>1</v>
      </c>
      <c r="L3930">
        <v>355</v>
      </c>
      <c r="M3930">
        <v>1</v>
      </c>
      <c r="N3930">
        <v>5.0149000000000002E-172</v>
      </c>
      <c r="O3930">
        <v>1548</v>
      </c>
    </row>
    <row r="3931" spans="1:15" x14ac:dyDescent="0.25">
      <c r="A3931" t="s">
        <v>3944</v>
      </c>
      <c r="B3931">
        <v>450</v>
      </c>
      <c r="C3931" s="1" t="str">
        <f>HYPERLINK("http://www.rosaceae.org/gb/gbrowse/malus_x_domestica/?name=MDP0000310693","MDP0000310693")</f>
        <v>MDP0000310693</v>
      </c>
      <c r="D3931">
        <v>25.35</v>
      </c>
      <c r="E3931">
        <v>422</v>
      </c>
      <c r="F3931">
        <v>315</v>
      </c>
      <c r="G3931">
        <v>87</v>
      </c>
      <c r="H3931">
        <v>4</v>
      </c>
      <c r="I3931">
        <v>352</v>
      </c>
      <c r="J3931">
        <v>1</v>
      </c>
      <c r="K3931">
        <v>124</v>
      </c>
      <c r="L3931">
        <v>531</v>
      </c>
      <c r="M3931">
        <v>1</v>
      </c>
      <c r="N3931">
        <v>2.8307300000000001E-15</v>
      </c>
      <c r="O3931">
        <v>198</v>
      </c>
    </row>
    <row r="3932" spans="1:15" x14ac:dyDescent="0.25">
      <c r="A3932" t="s">
        <v>3945</v>
      </c>
      <c r="B3932">
        <v>205</v>
      </c>
      <c r="C3932" s="1" t="str">
        <f>HYPERLINK("http://www.rosaceae.org/gb/gbrowse/malus_x_domestica/?name=MDP0000232453","MDP0000232453")</f>
        <v>MDP0000232453</v>
      </c>
      <c r="D3932">
        <v>47.79</v>
      </c>
      <c r="E3932">
        <v>159</v>
      </c>
      <c r="F3932">
        <v>83</v>
      </c>
      <c r="G3932">
        <v>26</v>
      </c>
      <c r="H3932">
        <v>33</v>
      </c>
      <c r="I3932">
        <v>168</v>
      </c>
      <c r="J3932">
        <v>1</v>
      </c>
      <c r="K3932">
        <v>27</v>
      </c>
      <c r="L3932">
        <v>182</v>
      </c>
      <c r="M3932">
        <v>1</v>
      </c>
      <c r="N3932">
        <v>3.79912E-31</v>
      </c>
      <c r="O3932">
        <v>330</v>
      </c>
    </row>
    <row r="3933" spans="1:15" x14ac:dyDescent="0.25">
      <c r="A3933" t="s">
        <v>3946</v>
      </c>
      <c r="B3933">
        <v>441</v>
      </c>
      <c r="C3933" s="1" t="str">
        <f>HYPERLINK("http://www.rosaceae.org/gb/gbrowse/malus_x_domestica/?name=MDP0000444794","MDP0000444794")</f>
        <v>MDP0000444794</v>
      </c>
      <c r="D3933">
        <v>50.11</v>
      </c>
      <c r="E3933">
        <v>449</v>
      </c>
      <c r="F3933">
        <v>224</v>
      </c>
      <c r="G3933">
        <v>82</v>
      </c>
      <c r="H3933">
        <v>1</v>
      </c>
      <c r="I3933">
        <v>439</v>
      </c>
      <c r="J3933">
        <v>1</v>
      </c>
      <c r="K3933">
        <v>1</v>
      </c>
      <c r="L3933">
        <v>377</v>
      </c>
      <c r="M3933">
        <v>1</v>
      </c>
      <c r="N3933">
        <v>4.3909899999999999E-107</v>
      </c>
      <c r="O3933">
        <v>989</v>
      </c>
    </row>
    <row r="3934" spans="1:15" x14ac:dyDescent="0.25">
      <c r="A3934" t="s">
        <v>3947</v>
      </c>
      <c r="B3934">
        <v>229</v>
      </c>
      <c r="C3934" s="1" t="str">
        <f>HYPERLINK("http://www.rosaceae.org/gb/gbrowse/malus_x_domestica/?name=MDP0000254554","MDP0000254554")</f>
        <v>MDP0000254554</v>
      </c>
      <c r="D3934">
        <v>47.38</v>
      </c>
      <c r="E3934">
        <v>249</v>
      </c>
      <c r="F3934">
        <v>131</v>
      </c>
      <c r="G3934">
        <v>39</v>
      </c>
      <c r="H3934">
        <v>1</v>
      </c>
      <c r="I3934">
        <v>220</v>
      </c>
      <c r="J3934">
        <v>1</v>
      </c>
      <c r="K3934">
        <v>1</v>
      </c>
      <c r="L3934">
        <v>239</v>
      </c>
      <c r="M3934">
        <v>1</v>
      </c>
      <c r="N3934">
        <v>1.32455E-42</v>
      </c>
      <c r="O3934">
        <v>430</v>
      </c>
    </row>
    <row r="3935" spans="1:15" x14ac:dyDescent="0.25">
      <c r="A3935" t="s">
        <v>3948</v>
      </c>
      <c r="B3935">
        <v>99</v>
      </c>
      <c r="C3935" s="1" t="str">
        <f>HYPERLINK("http://www.rosaceae.org/gb/gbrowse/malus_x_domestica/?name=MDP0000135569","MDP0000135569")</f>
        <v>MDP0000135569</v>
      </c>
      <c r="D3935">
        <v>83.33</v>
      </c>
      <c r="E3935">
        <v>72</v>
      </c>
      <c r="F3935">
        <v>12</v>
      </c>
      <c r="G3935">
        <v>0</v>
      </c>
      <c r="H3935">
        <v>28</v>
      </c>
      <c r="I3935">
        <v>99</v>
      </c>
      <c r="J3935">
        <v>1</v>
      </c>
      <c r="K3935">
        <v>107</v>
      </c>
      <c r="L3935">
        <v>178</v>
      </c>
      <c r="M3935">
        <v>1</v>
      </c>
      <c r="N3935">
        <v>6.9390500000000002E-31</v>
      </c>
      <c r="O3935">
        <v>324</v>
      </c>
    </row>
    <row r="3936" spans="1:15" x14ac:dyDescent="0.25">
      <c r="A3936" t="s">
        <v>3949</v>
      </c>
      <c r="B3936">
        <v>1328</v>
      </c>
      <c r="C3936" s="1" t="str">
        <f>HYPERLINK("http://www.rosaceae.org/gb/gbrowse/malus_x_domestica/?name=MDP0000156156","MDP0000156156")</f>
        <v>MDP0000156156</v>
      </c>
      <c r="D3936">
        <v>69.010000000000005</v>
      </c>
      <c r="E3936">
        <v>1349</v>
      </c>
      <c r="F3936">
        <v>418</v>
      </c>
      <c r="G3936">
        <v>98</v>
      </c>
      <c r="H3936">
        <v>1</v>
      </c>
      <c r="I3936">
        <v>1328</v>
      </c>
      <c r="J3936">
        <v>1</v>
      </c>
      <c r="K3936">
        <v>1</v>
      </c>
      <c r="L3936">
        <v>1272</v>
      </c>
      <c r="M3936">
        <v>1</v>
      </c>
      <c r="N3936">
        <v>0</v>
      </c>
      <c r="O3936">
        <v>4643</v>
      </c>
    </row>
    <row r="3937" spans="1:15" x14ac:dyDescent="0.25">
      <c r="A3937" t="s">
        <v>3950</v>
      </c>
      <c r="B3937">
        <v>191</v>
      </c>
      <c r="C3937" s="1" t="str">
        <f>HYPERLINK("http://www.rosaceae.org/gb/gbrowse/malus_x_domestica/?name=MDP0000807498","MDP0000807498")</f>
        <v>MDP0000807498</v>
      </c>
      <c r="D3937">
        <v>63.15</v>
      </c>
      <c r="E3937">
        <v>57</v>
      </c>
      <c r="F3937">
        <v>21</v>
      </c>
      <c r="G3937">
        <v>0</v>
      </c>
      <c r="H3937">
        <v>1</v>
      </c>
      <c r="I3937">
        <v>57</v>
      </c>
      <c r="J3937">
        <v>1</v>
      </c>
      <c r="K3937">
        <v>1</v>
      </c>
      <c r="L3937">
        <v>57</v>
      </c>
      <c r="M3937">
        <v>1</v>
      </c>
      <c r="N3937">
        <v>1.1644799999999999E-16</v>
      </c>
      <c r="O3937">
        <v>205</v>
      </c>
    </row>
    <row r="3938" spans="1:15" x14ac:dyDescent="0.25">
      <c r="A3938" t="s">
        <v>3951</v>
      </c>
      <c r="B3938">
        <v>583</v>
      </c>
      <c r="C3938" s="1" t="str">
        <f>HYPERLINK("http://www.rosaceae.org/gb/gbrowse/malus_x_domestica/?name=MDP0000223893","MDP0000223893")</f>
        <v>MDP0000223893</v>
      </c>
      <c r="D3938">
        <v>63.01</v>
      </c>
      <c r="E3938">
        <v>338</v>
      </c>
      <c r="F3938">
        <v>125</v>
      </c>
      <c r="G3938">
        <v>0</v>
      </c>
      <c r="H3938">
        <v>197</v>
      </c>
      <c r="I3938">
        <v>534</v>
      </c>
      <c r="J3938">
        <v>1</v>
      </c>
      <c r="K3938">
        <v>29</v>
      </c>
      <c r="L3938">
        <v>366</v>
      </c>
      <c r="M3938">
        <v>1</v>
      </c>
      <c r="N3938">
        <v>1.7129500000000001E-132</v>
      </c>
      <c r="O3938">
        <v>1210</v>
      </c>
    </row>
    <row r="3939" spans="1:15" x14ac:dyDescent="0.25">
      <c r="A3939" t="s">
        <v>3952</v>
      </c>
      <c r="B3939">
        <v>110</v>
      </c>
      <c r="C3939" s="1" t="str">
        <f>HYPERLINK("http://www.rosaceae.org/gb/gbrowse/malus_x_domestica/?name=MDP0000641167","MDP0000641167")</f>
        <v>MDP0000641167</v>
      </c>
      <c r="D3939">
        <v>58.06</v>
      </c>
      <c r="E3939">
        <v>62</v>
      </c>
      <c r="F3939">
        <v>26</v>
      </c>
      <c r="G3939">
        <v>0</v>
      </c>
      <c r="H3939">
        <v>2</v>
      </c>
      <c r="I3939">
        <v>63</v>
      </c>
      <c r="J3939">
        <v>1</v>
      </c>
      <c r="K3939">
        <v>110</v>
      </c>
      <c r="L3939">
        <v>171</v>
      </c>
      <c r="M3939">
        <v>1</v>
      </c>
      <c r="N3939">
        <v>2.9008000000000001E-15</v>
      </c>
      <c r="O3939">
        <v>189</v>
      </c>
    </row>
    <row r="3940" spans="1:15" x14ac:dyDescent="0.25">
      <c r="A3940" t="s">
        <v>3953</v>
      </c>
      <c r="B3940">
        <v>833</v>
      </c>
      <c r="C3940" s="1" t="str">
        <f>HYPERLINK("http://www.rosaceae.org/gb/gbrowse/malus_x_domestica/?name=MDP0000119090","MDP0000119090")</f>
        <v>MDP0000119090</v>
      </c>
      <c r="D3940">
        <v>89.83</v>
      </c>
      <c r="E3940">
        <v>433</v>
      </c>
      <c r="F3940">
        <v>44</v>
      </c>
      <c r="G3940">
        <v>14</v>
      </c>
      <c r="H3940">
        <v>415</v>
      </c>
      <c r="I3940">
        <v>833</v>
      </c>
      <c r="J3940">
        <v>1</v>
      </c>
      <c r="K3940">
        <v>62</v>
      </c>
      <c r="L3940">
        <v>494</v>
      </c>
      <c r="M3940">
        <v>1</v>
      </c>
      <c r="N3940">
        <v>0</v>
      </c>
      <c r="O3940">
        <v>2048</v>
      </c>
    </row>
    <row r="3941" spans="1:15" x14ac:dyDescent="0.25">
      <c r="A3941" t="s">
        <v>3954</v>
      </c>
      <c r="B3941">
        <v>281</v>
      </c>
      <c r="C3941" s="1" t="str">
        <f>HYPERLINK("http://www.rosaceae.org/gb/gbrowse/malus_x_domestica/?name=MDP0000282229","MDP0000282229")</f>
        <v>MDP0000282229</v>
      </c>
      <c r="D3941">
        <v>42.98</v>
      </c>
      <c r="E3941">
        <v>335</v>
      </c>
      <c r="F3941">
        <v>191</v>
      </c>
      <c r="G3941">
        <v>89</v>
      </c>
      <c r="H3941">
        <v>2</v>
      </c>
      <c r="I3941">
        <v>249</v>
      </c>
      <c r="J3941">
        <v>1</v>
      </c>
      <c r="K3941">
        <v>3</v>
      </c>
      <c r="L3941">
        <v>335</v>
      </c>
      <c r="M3941">
        <v>1</v>
      </c>
      <c r="N3941">
        <v>7.8185799999999997E-59</v>
      </c>
      <c r="O3941">
        <v>571</v>
      </c>
    </row>
    <row r="3942" spans="1:15" x14ac:dyDescent="0.25">
      <c r="A3942" t="s">
        <v>3955</v>
      </c>
      <c r="B3942">
        <v>472</v>
      </c>
      <c r="C3942" s="1" t="str">
        <f>HYPERLINK("http://www.rosaceae.org/gb/gbrowse/malus_x_domestica/?name=MDP0000230149","MDP0000230149")</f>
        <v>MDP0000230149</v>
      </c>
      <c r="D3942">
        <v>31.65</v>
      </c>
      <c r="E3942">
        <v>139</v>
      </c>
      <c r="F3942">
        <v>95</v>
      </c>
      <c r="G3942">
        <v>24</v>
      </c>
      <c r="H3942">
        <v>152</v>
      </c>
      <c r="I3942">
        <v>275</v>
      </c>
      <c r="J3942">
        <v>1</v>
      </c>
      <c r="K3942">
        <v>313</v>
      </c>
      <c r="L3942">
        <v>442</v>
      </c>
      <c r="M3942">
        <v>1</v>
      </c>
      <c r="N3942">
        <v>1.0114799999999999E-9</v>
      </c>
      <c r="O3942">
        <v>150</v>
      </c>
    </row>
    <row r="3943" spans="1:15" x14ac:dyDescent="0.25">
      <c r="A3943" t="s">
        <v>3956</v>
      </c>
      <c r="B3943">
        <v>317</v>
      </c>
      <c r="C3943" s="1" t="str">
        <f>HYPERLINK("http://www.rosaceae.org/gb/gbrowse/malus_x_domestica/?name=MDP0000169985","MDP0000169985")</f>
        <v>MDP0000169985</v>
      </c>
      <c r="D3943">
        <v>82.95</v>
      </c>
      <c r="E3943">
        <v>311</v>
      </c>
      <c r="F3943">
        <v>53</v>
      </c>
      <c r="G3943">
        <v>0</v>
      </c>
      <c r="H3943">
        <v>1</v>
      </c>
      <c r="I3943">
        <v>311</v>
      </c>
      <c r="J3943">
        <v>1</v>
      </c>
      <c r="K3943">
        <v>49</v>
      </c>
      <c r="L3943">
        <v>359</v>
      </c>
      <c r="M3943">
        <v>1</v>
      </c>
      <c r="N3943">
        <v>1.8397200000000001E-156</v>
      </c>
      <c r="O3943">
        <v>1414</v>
      </c>
    </row>
    <row r="3944" spans="1:15" x14ac:dyDescent="0.25">
      <c r="A3944" t="s">
        <v>3957</v>
      </c>
      <c r="B3944">
        <v>959</v>
      </c>
      <c r="C3944" s="1" t="str">
        <f>HYPERLINK("http://www.rosaceae.org/gb/gbrowse/malus_x_domestica/?name=MDP0000731702","MDP0000731702")</f>
        <v>MDP0000731702</v>
      </c>
      <c r="D3944">
        <v>58.04</v>
      </c>
      <c r="E3944">
        <v>1013</v>
      </c>
      <c r="F3944">
        <v>425</v>
      </c>
      <c r="G3944">
        <v>89</v>
      </c>
      <c r="H3944">
        <v>17</v>
      </c>
      <c r="I3944">
        <v>958</v>
      </c>
      <c r="J3944">
        <v>1</v>
      </c>
      <c r="K3944">
        <v>259</v>
      </c>
      <c r="L3944">
        <v>1253</v>
      </c>
      <c r="M3944">
        <v>1</v>
      </c>
      <c r="N3944">
        <v>0</v>
      </c>
      <c r="O3944">
        <v>2830</v>
      </c>
    </row>
    <row r="3945" spans="1:15" x14ac:dyDescent="0.25">
      <c r="A3945" t="s">
        <v>3958</v>
      </c>
      <c r="B3945">
        <v>349</v>
      </c>
      <c r="C3945" s="1" t="str">
        <f>HYPERLINK("http://www.rosaceae.org/gb/gbrowse/malus_x_domestica/?name=MDP0000221735","MDP0000221735")</f>
        <v>MDP0000221735</v>
      </c>
      <c r="D3945">
        <v>59.73</v>
      </c>
      <c r="E3945">
        <v>298</v>
      </c>
      <c r="F3945">
        <v>120</v>
      </c>
      <c r="G3945">
        <v>8</v>
      </c>
      <c r="H3945">
        <v>58</v>
      </c>
      <c r="I3945">
        <v>348</v>
      </c>
      <c r="J3945">
        <v>1</v>
      </c>
      <c r="K3945">
        <v>584</v>
      </c>
      <c r="L3945">
        <v>880</v>
      </c>
      <c r="M3945">
        <v>1</v>
      </c>
      <c r="N3945">
        <v>1.4584400000000001E-87</v>
      </c>
      <c r="O3945">
        <v>820</v>
      </c>
    </row>
    <row r="3946" spans="1:15" x14ac:dyDescent="0.25">
      <c r="A3946" t="s">
        <v>3959</v>
      </c>
      <c r="B3946">
        <v>1299</v>
      </c>
      <c r="C3946" s="1" t="str">
        <f>HYPERLINK("http://www.rosaceae.org/gb/gbrowse/malus_x_domestica/?name=MDP0000254701","MDP0000254701")</f>
        <v>MDP0000254701</v>
      </c>
      <c r="D3946">
        <v>45.85</v>
      </c>
      <c r="E3946">
        <v>205</v>
      </c>
      <c r="F3946">
        <v>111</v>
      </c>
      <c r="G3946">
        <v>2</v>
      </c>
      <c r="H3946">
        <v>1047</v>
      </c>
      <c r="I3946">
        <v>1251</v>
      </c>
      <c r="J3946">
        <v>1</v>
      </c>
      <c r="K3946">
        <v>1</v>
      </c>
      <c r="L3946">
        <v>203</v>
      </c>
      <c r="M3946">
        <v>1</v>
      </c>
      <c r="N3946">
        <v>8.8540999999999997E-48</v>
      </c>
      <c r="O3946">
        <v>483</v>
      </c>
    </row>
    <row r="3947" spans="1:15" x14ac:dyDescent="0.25">
      <c r="A3947" t="s">
        <v>3960</v>
      </c>
      <c r="B3947">
        <v>112</v>
      </c>
      <c r="C3947" s="1" t="str">
        <f>HYPERLINK("http://www.rosaceae.org/gb/gbrowse/malus_x_domestica/?name=MDP0000290560","MDP0000290560")</f>
        <v>MDP0000290560</v>
      </c>
      <c r="D3947">
        <v>94.64</v>
      </c>
      <c r="E3947">
        <v>112</v>
      </c>
      <c r="F3947">
        <v>6</v>
      </c>
      <c r="G3947">
        <v>0</v>
      </c>
      <c r="H3947">
        <v>1</v>
      </c>
      <c r="I3947">
        <v>112</v>
      </c>
      <c r="J3947">
        <v>1</v>
      </c>
      <c r="K3947">
        <v>1</v>
      </c>
      <c r="L3947">
        <v>112</v>
      </c>
      <c r="M3947">
        <v>1</v>
      </c>
      <c r="N3947">
        <v>1.41426E-58</v>
      </c>
      <c r="O3947">
        <v>563</v>
      </c>
    </row>
    <row r="3948" spans="1:15" x14ac:dyDescent="0.25">
      <c r="A3948" t="s">
        <v>3961</v>
      </c>
      <c r="B3948">
        <v>332</v>
      </c>
      <c r="C3948" s="1" t="str">
        <f>HYPERLINK("http://www.rosaceae.org/gb/gbrowse/malus_x_domestica/?name=MDP0000188633","MDP0000188633")</f>
        <v>MDP0000188633</v>
      </c>
      <c r="D3948">
        <v>52.17</v>
      </c>
      <c r="E3948">
        <v>322</v>
      </c>
      <c r="F3948">
        <v>154</v>
      </c>
      <c r="G3948">
        <v>30</v>
      </c>
      <c r="H3948">
        <v>11</v>
      </c>
      <c r="I3948">
        <v>308</v>
      </c>
      <c r="J3948">
        <v>1</v>
      </c>
      <c r="K3948">
        <v>19</v>
      </c>
      <c r="L3948">
        <v>334</v>
      </c>
      <c r="M3948">
        <v>1</v>
      </c>
      <c r="N3948">
        <v>1.9866100000000002E-68</v>
      </c>
      <c r="O3948">
        <v>655</v>
      </c>
    </row>
    <row r="3949" spans="1:15" x14ac:dyDescent="0.25">
      <c r="A3949" t="s">
        <v>3962</v>
      </c>
      <c r="B3949">
        <v>434</v>
      </c>
      <c r="C3949" s="1" t="str">
        <f>HYPERLINK("http://www.rosaceae.org/gb/gbrowse/malus_x_domestica/?name=MDP0000171771","MDP0000171771")</f>
        <v>MDP0000171771</v>
      </c>
      <c r="D3949">
        <v>22.64</v>
      </c>
      <c r="E3949">
        <v>234</v>
      </c>
      <c r="F3949">
        <v>181</v>
      </c>
      <c r="G3949">
        <v>38</v>
      </c>
      <c r="H3949">
        <v>46</v>
      </c>
      <c r="I3949">
        <v>266</v>
      </c>
      <c r="J3949">
        <v>1</v>
      </c>
      <c r="K3949">
        <v>7</v>
      </c>
      <c r="L3949">
        <v>215</v>
      </c>
      <c r="M3949">
        <v>1</v>
      </c>
      <c r="N3949">
        <v>4.1631400000000003E-11</v>
      </c>
      <c r="O3949">
        <v>162</v>
      </c>
    </row>
    <row r="3950" spans="1:15" x14ac:dyDescent="0.25">
      <c r="A3950" t="s">
        <v>3963</v>
      </c>
      <c r="B3950">
        <v>555</v>
      </c>
      <c r="C3950" s="1" t="str">
        <f>HYPERLINK("http://www.rosaceae.org/gb/gbrowse/malus_x_domestica/?name=MDP0000492623","MDP0000492623")</f>
        <v>MDP0000492623</v>
      </c>
      <c r="D3950">
        <v>74.89</v>
      </c>
      <c r="E3950">
        <v>458</v>
      </c>
      <c r="F3950">
        <v>115</v>
      </c>
      <c r="G3950">
        <v>0</v>
      </c>
      <c r="H3950">
        <v>83</v>
      </c>
      <c r="I3950">
        <v>540</v>
      </c>
      <c r="J3950">
        <v>1</v>
      </c>
      <c r="K3950">
        <v>1</v>
      </c>
      <c r="L3950">
        <v>458</v>
      </c>
      <c r="M3950">
        <v>1</v>
      </c>
      <c r="N3950">
        <v>0</v>
      </c>
      <c r="O3950">
        <v>1855</v>
      </c>
    </row>
    <row r="3951" spans="1:15" x14ac:dyDescent="0.25">
      <c r="A3951" t="s">
        <v>3964</v>
      </c>
      <c r="B3951">
        <v>264</v>
      </c>
      <c r="C3951" s="1" t="str">
        <f>HYPERLINK("http://www.rosaceae.org/gb/gbrowse/malus_x_domestica/?name=MDP0000285581","MDP0000285581")</f>
        <v>MDP0000285581</v>
      </c>
      <c r="D3951">
        <v>68.88</v>
      </c>
      <c r="E3951">
        <v>90</v>
      </c>
      <c r="F3951">
        <v>28</v>
      </c>
      <c r="G3951">
        <v>0</v>
      </c>
      <c r="H3951">
        <v>106</v>
      </c>
      <c r="I3951">
        <v>195</v>
      </c>
      <c r="J3951">
        <v>1</v>
      </c>
      <c r="K3951">
        <v>155</v>
      </c>
      <c r="L3951">
        <v>244</v>
      </c>
      <c r="M3951">
        <v>1</v>
      </c>
      <c r="N3951">
        <v>2.7588200000000001E-27</v>
      </c>
      <c r="O3951">
        <v>299</v>
      </c>
    </row>
    <row r="3952" spans="1:15" x14ac:dyDescent="0.25">
      <c r="A3952" t="s">
        <v>3965</v>
      </c>
      <c r="B3952">
        <v>253</v>
      </c>
      <c r="C3952" s="1" t="str">
        <f>HYPERLINK("http://www.rosaceae.org/gb/gbrowse/malus_x_domestica/?name=MDP0000274746","MDP0000274746")</f>
        <v>MDP0000274746</v>
      </c>
      <c r="D3952">
        <v>68.05</v>
      </c>
      <c r="E3952">
        <v>144</v>
      </c>
      <c r="F3952">
        <v>46</v>
      </c>
      <c r="G3952">
        <v>14</v>
      </c>
      <c r="H3952">
        <v>8</v>
      </c>
      <c r="I3952">
        <v>137</v>
      </c>
      <c r="J3952">
        <v>1</v>
      </c>
      <c r="K3952">
        <v>70</v>
      </c>
      <c r="L3952">
        <v>213</v>
      </c>
      <c r="M3952">
        <v>1</v>
      </c>
      <c r="N3952">
        <v>3.6639700000000002E-50</v>
      </c>
      <c r="O3952">
        <v>496</v>
      </c>
    </row>
    <row r="3953" spans="1:15" x14ac:dyDescent="0.25">
      <c r="A3953" t="s">
        <v>3966</v>
      </c>
      <c r="B3953">
        <v>1830</v>
      </c>
      <c r="C3953" s="1" t="str">
        <f>HYPERLINK("http://www.rosaceae.org/gb/gbrowse/malus_x_domestica/?name=MDP0000198120","MDP0000198120")</f>
        <v>MDP0000198120</v>
      </c>
      <c r="D3953">
        <v>44.92</v>
      </c>
      <c r="E3953">
        <v>808</v>
      </c>
      <c r="F3953">
        <v>445</v>
      </c>
      <c r="G3953">
        <v>53</v>
      </c>
      <c r="H3953">
        <v>1034</v>
      </c>
      <c r="I3953">
        <v>1820</v>
      </c>
      <c r="J3953">
        <v>1</v>
      </c>
      <c r="K3953">
        <v>778</v>
      </c>
      <c r="L3953">
        <v>1553</v>
      </c>
      <c r="M3953">
        <v>1</v>
      </c>
      <c r="N3953">
        <v>2.5710200000000001E-163</v>
      </c>
      <c r="O3953">
        <v>1480</v>
      </c>
    </row>
    <row r="3954" spans="1:15" x14ac:dyDescent="0.25">
      <c r="A3954" t="s">
        <v>3967</v>
      </c>
      <c r="B3954">
        <v>233</v>
      </c>
      <c r="C3954" s="1" t="str">
        <f>HYPERLINK("http://www.rosaceae.org/gb/gbrowse/malus_x_domestica/?name=MDP0000192409","MDP0000192409")</f>
        <v>MDP0000192409</v>
      </c>
      <c r="D3954">
        <v>52.84</v>
      </c>
      <c r="E3954">
        <v>246</v>
      </c>
      <c r="F3954">
        <v>116</v>
      </c>
      <c r="G3954">
        <v>20</v>
      </c>
      <c r="H3954">
        <v>1</v>
      </c>
      <c r="I3954">
        <v>233</v>
      </c>
      <c r="J3954">
        <v>1</v>
      </c>
      <c r="K3954">
        <v>1</v>
      </c>
      <c r="L3954">
        <v>239</v>
      </c>
      <c r="M3954">
        <v>1</v>
      </c>
      <c r="N3954">
        <v>6.2042900000000004E-59</v>
      </c>
      <c r="O3954">
        <v>571</v>
      </c>
    </row>
    <row r="3955" spans="1:15" x14ac:dyDescent="0.25">
      <c r="A3955" t="s">
        <v>3968</v>
      </c>
      <c r="B3955">
        <v>451</v>
      </c>
      <c r="C3955" s="1" t="str">
        <f>HYPERLINK("http://www.rosaceae.org/gb/gbrowse/malus_x_domestica/?name=MDP0000283399","MDP0000283399")</f>
        <v>MDP0000283399</v>
      </c>
      <c r="D3955">
        <v>74.45</v>
      </c>
      <c r="E3955">
        <v>415</v>
      </c>
      <c r="F3955">
        <v>106</v>
      </c>
      <c r="G3955">
        <v>28</v>
      </c>
      <c r="H3955">
        <v>33</v>
      </c>
      <c r="I3955">
        <v>447</v>
      </c>
      <c r="J3955">
        <v>1</v>
      </c>
      <c r="K3955">
        <v>445</v>
      </c>
      <c r="L3955">
        <v>831</v>
      </c>
      <c r="M3955">
        <v>1</v>
      </c>
      <c r="N3955">
        <v>0</v>
      </c>
      <c r="O3955">
        <v>1627</v>
      </c>
    </row>
    <row r="3956" spans="1:15" x14ac:dyDescent="0.25">
      <c r="A3956" t="s">
        <v>3969</v>
      </c>
      <c r="B3956">
        <v>603</v>
      </c>
      <c r="C3956" s="1" t="str">
        <f>HYPERLINK("http://www.rosaceae.org/gb/gbrowse/malus_x_domestica/?name=MDP0000169750","MDP0000169750")</f>
        <v>MDP0000169750</v>
      </c>
      <c r="D3956">
        <v>58.23</v>
      </c>
      <c r="E3956">
        <v>601</v>
      </c>
      <c r="F3956">
        <v>251</v>
      </c>
      <c r="G3956">
        <v>21</v>
      </c>
      <c r="H3956">
        <v>1</v>
      </c>
      <c r="I3956">
        <v>594</v>
      </c>
      <c r="J3956">
        <v>1</v>
      </c>
      <c r="K3956">
        <v>180</v>
      </c>
      <c r="L3956">
        <v>766</v>
      </c>
      <c r="M3956">
        <v>1</v>
      </c>
      <c r="N3956">
        <v>1.08701E-174</v>
      </c>
      <c r="O3956">
        <v>1574</v>
      </c>
    </row>
    <row r="3957" spans="1:15" x14ac:dyDescent="0.25">
      <c r="A3957" t="s">
        <v>3970</v>
      </c>
      <c r="B3957">
        <v>348</v>
      </c>
      <c r="C3957" s="1" t="str">
        <f>HYPERLINK("http://www.rosaceae.org/gb/gbrowse/malus_x_domestica/?name=MDP0000433094","MDP0000433094")</f>
        <v>MDP0000433094</v>
      </c>
      <c r="D3957">
        <v>68.39</v>
      </c>
      <c r="E3957">
        <v>348</v>
      </c>
      <c r="F3957">
        <v>110</v>
      </c>
      <c r="G3957">
        <v>6</v>
      </c>
      <c r="H3957">
        <v>5</v>
      </c>
      <c r="I3957">
        <v>348</v>
      </c>
      <c r="J3957">
        <v>1</v>
      </c>
      <c r="K3957">
        <v>5</v>
      </c>
      <c r="L3957">
        <v>350</v>
      </c>
      <c r="M3957">
        <v>1</v>
      </c>
      <c r="N3957">
        <v>2.58803E-138</v>
      </c>
      <c r="O3957">
        <v>1258</v>
      </c>
    </row>
    <row r="3958" spans="1:15" x14ac:dyDescent="0.25">
      <c r="A3958" t="s">
        <v>3971</v>
      </c>
      <c r="B3958">
        <v>729</v>
      </c>
      <c r="C3958" s="1" t="str">
        <f>HYPERLINK("http://www.rosaceae.org/gb/gbrowse/malus_x_domestica/?name=MDP0000597667","MDP0000597667")</f>
        <v>MDP0000597667</v>
      </c>
      <c r="D3958">
        <v>92.05</v>
      </c>
      <c r="E3958">
        <v>705</v>
      </c>
      <c r="F3958">
        <v>56</v>
      </c>
      <c r="G3958">
        <v>0</v>
      </c>
      <c r="H3958">
        <v>1</v>
      </c>
      <c r="I3958">
        <v>705</v>
      </c>
      <c r="J3958">
        <v>1</v>
      </c>
      <c r="K3958">
        <v>1</v>
      </c>
      <c r="L3958">
        <v>705</v>
      </c>
      <c r="M3958">
        <v>1</v>
      </c>
      <c r="N3958">
        <v>0</v>
      </c>
      <c r="O3958">
        <v>3577</v>
      </c>
    </row>
    <row r="3959" spans="1:15" x14ac:dyDescent="0.25">
      <c r="A3959" t="s">
        <v>3972</v>
      </c>
      <c r="B3959">
        <v>213</v>
      </c>
      <c r="C3959" s="1" t="str">
        <f>HYPERLINK("http://www.rosaceae.org/gb/gbrowse/malus_x_domestica/?name=MDP0000863249","MDP0000863249")</f>
        <v>MDP0000863249</v>
      </c>
      <c r="D3959">
        <v>75.67</v>
      </c>
      <c r="E3959">
        <v>74</v>
      </c>
      <c r="F3959">
        <v>18</v>
      </c>
      <c r="G3959">
        <v>0</v>
      </c>
      <c r="H3959">
        <v>131</v>
      </c>
      <c r="I3959">
        <v>204</v>
      </c>
      <c r="J3959">
        <v>1</v>
      </c>
      <c r="K3959">
        <v>1</v>
      </c>
      <c r="L3959">
        <v>74</v>
      </c>
      <c r="M3959">
        <v>1</v>
      </c>
      <c r="N3959">
        <v>1.09522E-25</v>
      </c>
      <c r="O3959">
        <v>283</v>
      </c>
    </row>
    <row r="3960" spans="1:15" x14ac:dyDescent="0.25">
      <c r="A3960" t="s">
        <v>3973</v>
      </c>
      <c r="B3960">
        <v>263</v>
      </c>
      <c r="C3960" s="1" t="str">
        <f>HYPERLINK("http://www.rosaceae.org/gb/gbrowse/malus_x_domestica/?name=MDP0000155698","MDP0000155698")</f>
        <v>MDP0000155698</v>
      </c>
      <c r="D3960">
        <v>71.099999999999994</v>
      </c>
      <c r="E3960">
        <v>263</v>
      </c>
      <c r="F3960">
        <v>76</v>
      </c>
      <c r="G3960">
        <v>2</v>
      </c>
      <c r="H3960">
        <v>1</v>
      </c>
      <c r="I3960">
        <v>263</v>
      </c>
      <c r="J3960">
        <v>1</v>
      </c>
      <c r="K3960">
        <v>1</v>
      </c>
      <c r="L3960">
        <v>261</v>
      </c>
      <c r="M3960">
        <v>1</v>
      </c>
      <c r="N3960">
        <v>3.6598299999999998E-101</v>
      </c>
      <c r="O3960">
        <v>936</v>
      </c>
    </row>
    <row r="3961" spans="1:15" x14ac:dyDescent="0.25">
      <c r="A3961" t="s">
        <v>3974</v>
      </c>
      <c r="B3961">
        <v>133</v>
      </c>
      <c r="C3961" s="1" t="str">
        <f>HYPERLINK("http://www.rosaceae.org/gb/gbrowse/malus_x_domestica/?name=MDP0000388226","MDP0000388226")</f>
        <v>MDP0000388226</v>
      </c>
      <c r="D3961">
        <v>83.33</v>
      </c>
      <c r="E3961">
        <v>120</v>
      </c>
      <c r="F3961">
        <v>20</v>
      </c>
      <c r="G3961">
        <v>0</v>
      </c>
      <c r="H3961">
        <v>14</v>
      </c>
      <c r="I3961">
        <v>133</v>
      </c>
      <c r="J3961">
        <v>1</v>
      </c>
      <c r="K3961">
        <v>1</v>
      </c>
      <c r="L3961">
        <v>120</v>
      </c>
      <c r="M3961">
        <v>1</v>
      </c>
      <c r="N3961">
        <v>6.3443300000000001E-52</v>
      </c>
      <c r="O3961">
        <v>506</v>
      </c>
    </row>
    <row r="3962" spans="1:15" x14ac:dyDescent="0.25">
      <c r="A3962" t="s">
        <v>3975</v>
      </c>
      <c r="B3962">
        <v>517</v>
      </c>
      <c r="C3962" s="1" t="str">
        <f>HYPERLINK("http://www.rosaceae.org/gb/gbrowse/malus_x_domestica/?name=MDP0000267866","MDP0000267866")</f>
        <v>MDP0000267866</v>
      </c>
      <c r="D3962">
        <v>26.13</v>
      </c>
      <c r="E3962">
        <v>199</v>
      </c>
      <c r="F3962">
        <v>147</v>
      </c>
      <c r="G3962">
        <v>36</v>
      </c>
      <c r="H3962">
        <v>75</v>
      </c>
      <c r="I3962">
        <v>269</v>
      </c>
      <c r="J3962">
        <v>1</v>
      </c>
      <c r="K3962">
        <v>669</v>
      </c>
      <c r="L3962">
        <v>835</v>
      </c>
      <c r="M3962">
        <v>1</v>
      </c>
      <c r="N3962">
        <v>2.29552E-8</v>
      </c>
      <c r="O3962">
        <v>139</v>
      </c>
    </row>
    <row r="3963" spans="1:15" x14ac:dyDescent="0.25">
      <c r="A3963" t="s">
        <v>3976</v>
      </c>
      <c r="B3963">
        <v>306</v>
      </c>
      <c r="C3963" s="1" t="str">
        <f>HYPERLINK("http://www.rosaceae.org/gb/gbrowse/malus_x_domestica/?name=MDP0000379414","MDP0000379414")</f>
        <v>MDP0000379414</v>
      </c>
      <c r="D3963">
        <v>53</v>
      </c>
      <c r="E3963">
        <v>100</v>
      </c>
      <c r="F3963">
        <v>47</v>
      </c>
      <c r="G3963">
        <v>7</v>
      </c>
      <c r="H3963">
        <v>213</v>
      </c>
      <c r="I3963">
        <v>306</v>
      </c>
      <c r="J3963">
        <v>1</v>
      </c>
      <c r="K3963">
        <v>82</v>
      </c>
      <c r="L3963">
        <v>180</v>
      </c>
      <c r="M3963">
        <v>1</v>
      </c>
      <c r="N3963">
        <v>2.12472E-24</v>
      </c>
      <c r="O3963">
        <v>274</v>
      </c>
    </row>
    <row r="3964" spans="1:15" x14ac:dyDescent="0.25">
      <c r="A3964" t="s">
        <v>3977</v>
      </c>
      <c r="B3964">
        <v>965</v>
      </c>
      <c r="C3964" s="1" t="str">
        <f>HYPERLINK("http://www.rosaceae.org/gb/gbrowse/malus_x_domestica/?name=MDP0000122376","MDP0000122376")</f>
        <v>MDP0000122376</v>
      </c>
      <c r="D3964">
        <v>83.5</v>
      </c>
      <c r="E3964">
        <v>946</v>
      </c>
      <c r="F3964">
        <v>156</v>
      </c>
      <c r="G3964">
        <v>6</v>
      </c>
      <c r="H3964">
        <v>21</v>
      </c>
      <c r="I3964">
        <v>965</v>
      </c>
      <c r="J3964">
        <v>1</v>
      </c>
      <c r="K3964">
        <v>23</v>
      </c>
      <c r="L3964">
        <v>963</v>
      </c>
      <c r="M3964">
        <v>1</v>
      </c>
      <c r="N3964">
        <v>0</v>
      </c>
      <c r="O3964">
        <v>4154</v>
      </c>
    </row>
    <row r="3965" spans="1:15" x14ac:dyDescent="0.25">
      <c r="A3965" t="s">
        <v>3978</v>
      </c>
      <c r="B3965">
        <v>370</v>
      </c>
      <c r="C3965" s="1" t="str">
        <f>HYPERLINK("http://www.rosaceae.org/gb/gbrowse/malus_x_domestica/?name=MDP0000315095","MDP0000315095")</f>
        <v>MDP0000315095</v>
      </c>
      <c r="D3965">
        <v>70.44</v>
      </c>
      <c r="E3965">
        <v>335</v>
      </c>
      <c r="F3965">
        <v>99</v>
      </c>
      <c r="G3965">
        <v>3</v>
      </c>
      <c r="H3965">
        <v>1</v>
      </c>
      <c r="I3965">
        <v>332</v>
      </c>
      <c r="J3965">
        <v>1</v>
      </c>
      <c r="K3965">
        <v>1</v>
      </c>
      <c r="L3965">
        <v>335</v>
      </c>
      <c r="M3965">
        <v>1</v>
      </c>
      <c r="N3965">
        <v>5.2780699999999997E-139</v>
      </c>
      <c r="O3965">
        <v>1264</v>
      </c>
    </row>
    <row r="3966" spans="1:15" x14ac:dyDescent="0.25">
      <c r="A3966" t="s">
        <v>3979</v>
      </c>
      <c r="B3966">
        <v>477</v>
      </c>
      <c r="C3966" s="1" t="str">
        <f>HYPERLINK("http://www.rosaceae.org/gb/gbrowse/malus_x_domestica/?name=MDP0000175549","MDP0000175549")</f>
        <v>MDP0000175549</v>
      </c>
      <c r="D3966">
        <v>79.2</v>
      </c>
      <c r="E3966">
        <v>404</v>
      </c>
      <c r="F3966">
        <v>84</v>
      </c>
      <c r="G3966">
        <v>15</v>
      </c>
      <c r="H3966">
        <v>88</v>
      </c>
      <c r="I3966">
        <v>477</v>
      </c>
      <c r="J3966">
        <v>1</v>
      </c>
      <c r="K3966">
        <v>58</v>
      </c>
      <c r="L3966">
        <v>460</v>
      </c>
      <c r="M3966">
        <v>1</v>
      </c>
      <c r="N3966">
        <v>0</v>
      </c>
      <c r="O3966">
        <v>1728</v>
      </c>
    </row>
    <row r="3967" spans="1:15" x14ac:dyDescent="0.25">
      <c r="A3967" t="s">
        <v>3980</v>
      </c>
      <c r="B3967">
        <v>900</v>
      </c>
      <c r="C3967" s="1" t="str">
        <f>HYPERLINK("http://www.rosaceae.org/gb/gbrowse/malus_x_domestica/?name=MDP0000292543","MDP0000292543")</f>
        <v>MDP0000292543</v>
      </c>
      <c r="D3967">
        <v>28.34</v>
      </c>
      <c r="E3967">
        <v>508</v>
      </c>
      <c r="F3967">
        <v>364</v>
      </c>
      <c r="G3967">
        <v>83</v>
      </c>
      <c r="H3967">
        <v>352</v>
      </c>
      <c r="I3967">
        <v>783</v>
      </c>
      <c r="J3967">
        <v>1</v>
      </c>
      <c r="K3967">
        <v>657</v>
      </c>
      <c r="L3967">
        <v>1157</v>
      </c>
      <c r="M3967">
        <v>1</v>
      </c>
      <c r="N3967">
        <v>4.7033300000000001E-31</v>
      </c>
      <c r="O3967">
        <v>337</v>
      </c>
    </row>
    <row r="3968" spans="1:15" x14ac:dyDescent="0.25">
      <c r="A3968" t="s">
        <v>3981</v>
      </c>
      <c r="B3968">
        <v>667</v>
      </c>
      <c r="C3968" s="1" t="str">
        <f>HYPERLINK("http://www.rosaceae.org/gb/gbrowse/malus_x_domestica/?name=MDP0000185801","MDP0000185801")</f>
        <v>MDP0000185801</v>
      </c>
      <c r="D3968">
        <v>55.09</v>
      </c>
      <c r="E3968">
        <v>314</v>
      </c>
      <c r="F3968">
        <v>141</v>
      </c>
      <c r="G3968">
        <v>28</v>
      </c>
      <c r="H3968">
        <v>321</v>
      </c>
      <c r="I3968">
        <v>629</v>
      </c>
      <c r="J3968">
        <v>1</v>
      </c>
      <c r="K3968">
        <v>86</v>
      </c>
      <c r="L3968">
        <v>376</v>
      </c>
      <c r="M3968">
        <v>1</v>
      </c>
      <c r="N3968">
        <v>7.1802300000000005E-78</v>
      </c>
      <c r="O3968">
        <v>739</v>
      </c>
    </row>
    <row r="3969" spans="1:15" x14ac:dyDescent="0.25">
      <c r="A3969" t="s">
        <v>3982</v>
      </c>
      <c r="B3969">
        <v>477</v>
      </c>
      <c r="C3969" s="1" t="str">
        <f>HYPERLINK("http://www.rosaceae.org/gb/gbrowse/malus_x_domestica/?name=MDP0000142804","MDP0000142804")</f>
        <v>MDP0000142804</v>
      </c>
      <c r="D3969">
        <v>74.040000000000006</v>
      </c>
      <c r="E3969">
        <v>339</v>
      </c>
      <c r="F3969">
        <v>88</v>
      </c>
      <c r="G3969">
        <v>34</v>
      </c>
      <c r="H3969">
        <v>52</v>
      </c>
      <c r="I3969">
        <v>356</v>
      </c>
      <c r="J3969">
        <v>1</v>
      </c>
      <c r="K3969">
        <v>8</v>
      </c>
      <c r="L3969">
        <v>346</v>
      </c>
      <c r="M3969">
        <v>1</v>
      </c>
      <c r="N3969">
        <v>2.6429300000000001E-139</v>
      </c>
      <c r="O3969">
        <v>1268</v>
      </c>
    </row>
    <row r="3970" spans="1:15" x14ac:dyDescent="0.25">
      <c r="A3970" t="s">
        <v>3983</v>
      </c>
      <c r="B3970">
        <v>494</v>
      </c>
      <c r="C3970" s="1" t="str">
        <f>HYPERLINK("http://www.rosaceae.org/gb/gbrowse/malus_x_domestica/?name=MDP0000155332","MDP0000155332")</f>
        <v>MDP0000155332</v>
      </c>
      <c r="D3970">
        <v>48.34</v>
      </c>
      <c r="E3970">
        <v>302</v>
      </c>
      <c r="F3970">
        <v>156</v>
      </c>
      <c r="G3970">
        <v>26</v>
      </c>
      <c r="H3970">
        <v>207</v>
      </c>
      <c r="I3970">
        <v>494</v>
      </c>
      <c r="J3970">
        <v>1</v>
      </c>
      <c r="K3970">
        <v>194</v>
      </c>
      <c r="L3970">
        <v>483</v>
      </c>
      <c r="M3970">
        <v>1</v>
      </c>
      <c r="N3970">
        <v>2.5042500000000001E-55</v>
      </c>
      <c r="O3970">
        <v>544</v>
      </c>
    </row>
    <row r="3971" spans="1:15" x14ac:dyDescent="0.25">
      <c r="A3971" t="s">
        <v>3984</v>
      </c>
      <c r="B3971">
        <v>566</v>
      </c>
      <c r="C3971" s="1" t="str">
        <f>HYPERLINK("http://www.rosaceae.org/gb/gbrowse/malus_x_domestica/?name=MDP0000314471","MDP0000314471")</f>
        <v>MDP0000314471</v>
      </c>
      <c r="D3971">
        <v>53.04</v>
      </c>
      <c r="E3971">
        <v>230</v>
      </c>
      <c r="F3971">
        <v>108</v>
      </c>
      <c r="G3971">
        <v>35</v>
      </c>
      <c r="H3971">
        <v>337</v>
      </c>
      <c r="I3971">
        <v>552</v>
      </c>
      <c r="J3971">
        <v>1</v>
      </c>
      <c r="K3971">
        <v>235</v>
      </c>
      <c r="L3971">
        <v>443</v>
      </c>
      <c r="M3971">
        <v>1</v>
      </c>
      <c r="N3971">
        <v>1.7073900000000001E-46</v>
      </c>
      <c r="O3971">
        <v>468</v>
      </c>
    </row>
    <row r="3972" spans="1:15" x14ac:dyDescent="0.25">
      <c r="A3972" t="s">
        <v>3985</v>
      </c>
      <c r="B3972">
        <v>729</v>
      </c>
      <c r="C3972" s="1" t="str">
        <f>HYPERLINK("http://www.rosaceae.org/gb/gbrowse/malus_x_domestica/?name=MDP0000414288","MDP0000414288")</f>
        <v>MDP0000414288</v>
      </c>
      <c r="D3972">
        <v>80.45</v>
      </c>
      <c r="E3972">
        <v>307</v>
      </c>
      <c r="F3972">
        <v>60</v>
      </c>
      <c r="G3972">
        <v>0</v>
      </c>
      <c r="H3972">
        <v>423</v>
      </c>
      <c r="I3972">
        <v>729</v>
      </c>
      <c r="J3972">
        <v>1</v>
      </c>
      <c r="K3972">
        <v>125</v>
      </c>
      <c r="L3972">
        <v>431</v>
      </c>
      <c r="M3972">
        <v>1</v>
      </c>
      <c r="N3972">
        <v>5.4841699999999998E-144</v>
      </c>
      <c r="O3972">
        <v>1310</v>
      </c>
    </row>
    <row r="3973" spans="1:15" x14ac:dyDescent="0.25">
      <c r="A3973" t="s">
        <v>3986</v>
      </c>
      <c r="B3973">
        <v>565</v>
      </c>
      <c r="C3973" s="1" t="str">
        <f>HYPERLINK("http://www.rosaceae.org/gb/gbrowse/malus_x_domestica/?name=MDP0000320600","MDP0000320600")</f>
        <v>MDP0000320600</v>
      </c>
      <c r="D3973">
        <v>72.23</v>
      </c>
      <c r="E3973">
        <v>569</v>
      </c>
      <c r="F3973">
        <v>158</v>
      </c>
      <c r="G3973">
        <v>12</v>
      </c>
      <c r="H3973">
        <v>1</v>
      </c>
      <c r="I3973">
        <v>559</v>
      </c>
      <c r="J3973">
        <v>1</v>
      </c>
      <c r="K3973">
        <v>1</v>
      </c>
      <c r="L3973">
        <v>567</v>
      </c>
      <c r="M3973">
        <v>1</v>
      </c>
      <c r="N3973">
        <v>0</v>
      </c>
      <c r="O3973">
        <v>2167</v>
      </c>
    </row>
    <row r="3974" spans="1:15" x14ac:dyDescent="0.25">
      <c r="A3974" t="s">
        <v>3987</v>
      </c>
      <c r="B3974">
        <v>949</v>
      </c>
      <c r="C3974" s="1" t="str">
        <f>HYPERLINK("http://www.rosaceae.org/gb/gbrowse/malus_x_domestica/?name=MDP0000394762","MDP0000394762")</f>
        <v>MDP0000394762</v>
      </c>
      <c r="D3974">
        <v>68.73</v>
      </c>
      <c r="E3974">
        <v>806</v>
      </c>
      <c r="F3974">
        <v>252</v>
      </c>
      <c r="G3974">
        <v>50</v>
      </c>
      <c r="H3974">
        <v>145</v>
      </c>
      <c r="I3974">
        <v>949</v>
      </c>
      <c r="J3974">
        <v>1</v>
      </c>
      <c r="K3974">
        <v>93</v>
      </c>
      <c r="L3974">
        <v>849</v>
      </c>
      <c r="M3974">
        <v>1</v>
      </c>
      <c r="N3974">
        <v>0</v>
      </c>
      <c r="O3974">
        <v>2948</v>
      </c>
    </row>
    <row r="3975" spans="1:15" x14ac:dyDescent="0.25">
      <c r="A3975" t="s">
        <v>3988</v>
      </c>
      <c r="B3975">
        <v>164</v>
      </c>
      <c r="C3975" s="1" t="str">
        <f>HYPERLINK("http://www.rosaceae.org/gb/gbrowse/malus_x_domestica/?name=MDP0000167950","MDP0000167950")</f>
        <v>MDP0000167950</v>
      </c>
      <c r="D3975">
        <v>74.680000000000007</v>
      </c>
      <c r="E3975">
        <v>79</v>
      </c>
      <c r="F3975">
        <v>20</v>
      </c>
      <c r="G3975">
        <v>0</v>
      </c>
      <c r="H3975">
        <v>3</v>
      </c>
      <c r="I3975">
        <v>81</v>
      </c>
      <c r="J3975">
        <v>1</v>
      </c>
      <c r="K3975">
        <v>10</v>
      </c>
      <c r="L3975">
        <v>88</v>
      </c>
      <c r="M3975">
        <v>1</v>
      </c>
      <c r="N3975">
        <v>2.91053E-32</v>
      </c>
      <c r="O3975">
        <v>338</v>
      </c>
    </row>
    <row r="3976" spans="1:15" x14ac:dyDescent="0.25">
      <c r="A3976" t="s">
        <v>3989</v>
      </c>
      <c r="B3976">
        <v>117</v>
      </c>
      <c r="C3976" s="1" t="str">
        <f>HYPERLINK("http://www.rosaceae.org/gb/gbrowse/malus_x_domestica/?name=MDP0000296689","MDP0000296689")</f>
        <v>MDP0000296689</v>
      </c>
      <c r="D3976">
        <v>88.03</v>
      </c>
      <c r="E3976">
        <v>117</v>
      </c>
      <c r="F3976">
        <v>14</v>
      </c>
      <c r="G3976">
        <v>0</v>
      </c>
      <c r="H3976">
        <v>1</v>
      </c>
      <c r="I3976">
        <v>117</v>
      </c>
      <c r="J3976">
        <v>1</v>
      </c>
      <c r="K3976">
        <v>1</v>
      </c>
      <c r="L3976">
        <v>117</v>
      </c>
      <c r="M3976">
        <v>1</v>
      </c>
      <c r="N3976">
        <v>6.8395800000000002E-59</v>
      </c>
      <c r="O3976">
        <v>565</v>
      </c>
    </row>
    <row r="3977" spans="1:15" x14ac:dyDescent="0.25">
      <c r="A3977" t="s">
        <v>3990</v>
      </c>
      <c r="B3977">
        <v>589</v>
      </c>
      <c r="C3977" s="1" t="str">
        <f>HYPERLINK("http://www.rosaceae.org/gb/gbrowse/malus_x_domestica/?name=MDP0000319119","MDP0000319119")</f>
        <v>MDP0000319119</v>
      </c>
      <c r="D3977">
        <v>56.4</v>
      </c>
      <c r="E3977">
        <v>328</v>
      </c>
      <c r="F3977">
        <v>143</v>
      </c>
      <c r="G3977">
        <v>84</v>
      </c>
      <c r="H3977">
        <v>77</v>
      </c>
      <c r="I3977">
        <v>404</v>
      </c>
      <c r="J3977">
        <v>1</v>
      </c>
      <c r="K3977">
        <v>18</v>
      </c>
      <c r="L3977">
        <v>261</v>
      </c>
      <c r="M3977">
        <v>1</v>
      </c>
      <c r="N3977">
        <v>1.1116E-84</v>
      </c>
      <c r="O3977">
        <v>797</v>
      </c>
    </row>
    <row r="3978" spans="1:15" x14ac:dyDescent="0.25">
      <c r="A3978" t="s">
        <v>3991</v>
      </c>
      <c r="B3978">
        <v>107</v>
      </c>
      <c r="C3978" s="1" t="str">
        <f>HYPERLINK("http://www.rosaceae.org/gb/gbrowse/malus_x_domestica/?name=MDP0000707034","MDP0000707034")</f>
        <v>MDP0000707034</v>
      </c>
      <c r="D3978">
        <v>92.3</v>
      </c>
      <c r="E3978">
        <v>52</v>
      </c>
      <c r="F3978">
        <v>4</v>
      </c>
      <c r="G3978">
        <v>0</v>
      </c>
      <c r="H3978">
        <v>1</v>
      </c>
      <c r="I3978">
        <v>52</v>
      </c>
      <c r="J3978">
        <v>1</v>
      </c>
      <c r="K3978">
        <v>216</v>
      </c>
      <c r="L3978">
        <v>267</v>
      </c>
      <c r="M3978">
        <v>1</v>
      </c>
      <c r="N3978">
        <v>2.1298800000000002E-22</v>
      </c>
      <c r="O3978">
        <v>251</v>
      </c>
    </row>
    <row r="3979" spans="1:15" x14ac:dyDescent="0.25">
      <c r="A3979" t="s">
        <v>3992</v>
      </c>
      <c r="B3979">
        <v>578</v>
      </c>
      <c r="C3979" s="1" t="str">
        <f>HYPERLINK("http://www.rosaceae.org/gb/gbrowse/malus_x_domestica/?name=MDP0000140915","MDP0000140915")</f>
        <v>MDP0000140915</v>
      </c>
      <c r="D3979">
        <v>57.33</v>
      </c>
      <c r="E3979">
        <v>586</v>
      </c>
      <c r="F3979">
        <v>250</v>
      </c>
      <c r="G3979">
        <v>36</v>
      </c>
      <c r="H3979">
        <v>25</v>
      </c>
      <c r="I3979">
        <v>577</v>
      </c>
      <c r="J3979">
        <v>1</v>
      </c>
      <c r="K3979">
        <v>28</v>
      </c>
      <c r="L3979">
        <v>610</v>
      </c>
      <c r="M3979">
        <v>1</v>
      </c>
      <c r="N3979">
        <v>0</v>
      </c>
      <c r="O3979">
        <v>1737</v>
      </c>
    </row>
    <row r="3980" spans="1:15" x14ac:dyDescent="0.25">
      <c r="A3980" t="s">
        <v>3993</v>
      </c>
      <c r="B3980">
        <v>104</v>
      </c>
      <c r="C3980" s="1" t="str">
        <f>HYPERLINK("http://www.rosaceae.org/gb/gbrowse/malus_x_domestica/?name=MDP0000302995","MDP0000302995")</f>
        <v>MDP0000302995</v>
      </c>
      <c r="D3980">
        <v>66.66</v>
      </c>
      <c r="E3980">
        <v>33</v>
      </c>
      <c r="F3980">
        <v>11</v>
      </c>
      <c r="G3980">
        <v>0</v>
      </c>
      <c r="H3980">
        <v>12</v>
      </c>
      <c r="I3980">
        <v>44</v>
      </c>
      <c r="J3980">
        <v>1</v>
      </c>
      <c r="K3980">
        <v>60</v>
      </c>
      <c r="L3980">
        <v>92</v>
      </c>
      <c r="M3980">
        <v>1</v>
      </c>
      <c r="N3980">
        <v>7.6808900000000002E-7</v>
      </c>
      <c r="O3980">
        <v>116</v>
      </c>
    </row>
    <row r="3981" spans="1:15" x14ac:dyDescent="0.25">
      <c r="A3981" t="s">
        <v>3994</v>
      </c>
      <c r="B3981">
        <v>353</v>
      </c>
      <c r="C3981" s="1" t="str">
        <f>HYPERLINK("http://www.rosaceae.org/gb/gbrowse/malus_x_domestica/?name=MDP0000819203","MDP0000819203")</f>
        <v>MDP0000819203</v>
      </c>
      <c r="D3981">
        <v>85.52</v>
      </c>
      <c r="E3981">
        <v>297</v>
      </c>
      <c r="F3981">
        <v>43</v>
      </c>
      <c r="G3981">
        <v>1</v>
      </c>
      <c r="H3981">
        <v>57</v>
      </c>
      <c r="I3981">
        <v>353</v>
      </c>
      <c r="J3981">
        <v>1</v>
      </c>
      <c r="K3981">
        <v>1</v>
      </c>
      <c r="L3981">
        <v>296</v>
      </c>
      <c r="M3981">
        <v>1</v>
      </c>
      <c r="N3981">
        <v>1.3618400000000001E-149</v>
      </c>
      <c r="O3981">
        <v>1355</v>
      </c>
    </row>
    <row r="3982" spans="1:15" x14ac:dyDescent="0.25">
      <c r="A3982" t="s">
        <v>3995</v>
      </c>
      <c r="B3982">
        <v>1058</v>
      </c>
      <c r="C3982" s="1" t="str">
        <f>HYPERLINK("http://www.rosaceae.org/gb/gbrowse/malus_x_domestica/?name=MDP0000180405","MDP0000180405")</f>
        <v>MDP0000180405</v>
      </c>
      <c r="D3982">
        <v>59.92</v>
      </c>
      <c r="E3982">
        <v>776</v>
      </c>
      <c r="F3982">
        <v>311</v>
      </c>
      <c r="G3982">
        <v>51</v>
      </c>
      <c r="H3982">
        <v>332</v>
      </c>
      <c r="I3982">
        <v>1056</v>
      </c>
      <c r="J3982">
        <v>1</v>
      </c>
      <c r="K3982">
        <v>479</v>
      </c>
      <c r="L3982">
        <v>1254</v>
      </c>
      <c r="M3982">
        <v>1</v>
      </c>
      <c r="N3982">
        <v>0</v>
      </c>
      <c r="O3982">
        <v>2490</v>
      </c>
    </row>
    <row r="3983" spans="1:15" x14ac:dyDescent="0.25">
      <c r="A3983" t="s">
        <v>3996</v>
      </c>
      <c r="B3983">
        <v>448</v>
      </c>
      <c r="C3983" s="1" t="str">
        <f>HYPERLINK("http://www.rosaceae.org/gb/gbrowse/malus_x_domestica/?name=MDP0000154794","MDP0000154794")</f>
        <v>MDP0000154794</v>
      </c>
      <c r="D3983">
        <v>79.930000000000007</v>
      </c>
      <c r="E3983">
        <v>299</v>
      </c>
      <c r="F3983">
        <v>60</v>
      </c>
      <c r="G3983">
        <v>10</v>
      </c>
      <c r="H3983">
        <v>157</v>
      </c>
      <c r="I3983">
        <v>445</v>
      </c>
      <c r="J3983">
        <v>1</v>
      </c>
      <c r="K3983">
        <v>297</v>
      </c>
      <c r="L3983">
        <v>595</v>
      </c>
      <c r="M3983">
        <v>1</v>
      </c>
      <c r="N3983">
        <v>1.3016299999999999E-142</v>
      </c>
      <c r="O3983">
        <v>1296</v>
      </c>
    </row>
    <row r="3984" spans="1:15" x14ac:dyDescent="0.25">
      <c r="A3984" t="s">
        <v>3997</v>
      </c>
      <c r="B3984">
        <v>252</v>
      </c>
      <c r="C3984" s="1" t="str">
        <f>HYPERLINK("http://www.rosaceae.org/gb/gbrowse/malus_x_domestica/?name=MDP0000299496","MDP0000299496")</f>
        <v>MDP0000299496</v>
      </c>
      <c r="D3984">
        <v>42.41</v>
      </c>
      <c r="E3984">
        <v>224</v>
      </c>
      <c r="F3984">
        <v>129</v>
      </c>
      <c r="G3984">
        <v>0</v>
      </c>
      <c r="H3984">
        <v>5</v>
      </c>
      <c r="I3984">
        <v>228</v>
      </c>
      <c r="J3984">
        <v>1</v>
      </c>
      <c r="K3984">
        <v>568</v>
      </c>
      <c r="L3984">
        <v>791</v>
      </c>
      <c r="M3984">
        <v>1</v>
      </c>
      <c r="N3984">
        <v>4.3707300000000002E-52</v>
      </c>
      <c r="O3984">
        <v>512</v>
      </c>
    </row>
    <row r="3985" spans="1:15" x14ac:dyDescent="0.25">
      <c r="A3985" t="s">
        <v>3998</v>
      </c>
      <c r="B3985">
        <v>358</v>
      </c>
      <c r="C3985" s="1" t="str">
        <f>HYPERLINK("http://www.rosaceae.org/gb/gbrowse/malus_x_domestica/?name=MDP0000140845","MDP0000140845")</f>
        <v>MDP0000140845</v>
      </c>
      <c r="D3985">
        <v>38.11</v>
      </c>
      <c r="E3985">
        <v>265</v>
      </c>
      <c r="F3985">
        <v>164</v>
      </c>
      <c r="G3985">
        <v>60</v>
      </c>
      <c r="H3985">
        <v>43</v>
      </c>
      <c r="I3985">
        <v>267</v>
      </c>
      <c r="J3985">
        <v>1</v>
      </c>
      <c r="K3985">
        <v>9</v>
      </c>
      <c r="L3985">
        <v>253</v>
      </c>
      <c r="M3985">
        <v>1</v>
      </c>
      <c r="N3985">
        <v>5.40671E-40</v>
      </c>
      <c r="O3985">
        <v>410</v>
      </c>
    </row>
    <row r="3986" spans="1:15" x14ac:dyDescent="0.25">
      <c r="A3986" t="s">
        <v>3999</v>
      </c>
      <c r="B3986">
        <v>591</v>
      </c>
      <c r="C3986" s="1" t="str">
        <f>HYPERLINK("http://www.rosaceae.org/gb/gbrowse/malus_x_domestica/?name=MDP0000679722","MDP0000679722")</f>
        <v>MDP0000679722</v>
      </c>
      <c r="D3986">
        <v>39.69</v>
      </c>
      <c r="E3986">
        <v>388</v>
      </c>
      <c r="F3986">
        <v>234</v>
      </c>
      <c r="G3986">
        <v>63</v>
      </c>
      <c r="H3986">
        <v>246</v>
      </c>
      <c r="I3986">
        <v>578</v>
      </c>
      <c r="J3986">
        <v>1</v>
      </c>
      <c r="K3986">
        <v>10</v>
      </c>
      <c r="L3986">
        <v>389</v>
      </c>
      <c r="M3986">
        <v>1</v>
      </c>
      <c r="N3986">
        <v>2.9528400000000001E-67</v>
      </c>
      <c r="O3986">
        <v>647</v>
      </c>
    </row>
    <row r="3987" spans="1:15" x14ac:dyDescent="0.25">
      <c r="A3987" t="s">
        <v>4000</v>
      </c>
      <c r="B3987">
        <v>422</v>
      </c>
      <c r="C3987" s="1" t="str">
        <f>HYPERLINK("http://www.rosaceae.org/gb/gbrowse/malus_x_domestica/?name=MDP0000277561","MDP0000277561")</f>
        <v>MDP0000277561</v>
      </c>
      <c r="D3987">
        <v>65.06</v>
      </c>
      <c r="E3987">
        <v>83</v>
      </c>
      <c r="F3987">
        <v>29</v>
      </c>
      <c r="G3987">
        <v>1</v>
      </c>
      <c r="H3987">
        <v>49</v>
      </c>
      <c r="I3987">
        <v>130</v>
      </c>
      <c r="J3987">
        <v>1</v>
      </c>
      <c r="K3987">
        <v>207</v>
      </c>
      <c r="L3987">
        <v>289</v>
      </c>
      <c r="M3987">
        <v>1</v>
      </c>
      <c r="N3987">
        <v>1.30626E-24</v>
      </c>
      <c r="O3987">
        <v>278</v>
      </c>
    </row>
    <row r="3988" spans="1:15" x14ac:dyDescent="0.25">
      <c r="A3988" t="s">
        <v>4001</v>
      </c>
      <c r="B3988">
        <v>231</v>
      </c>
      <c r="C3988" s="1" t="str">
        <f>HYPERLINK("http://www.rosaceae.org/gb/gbrowse/malus_x_domestica/?name=MDP0000282761","MDP0000282761")</f>
        <v>MDP0000282761</v>
      </c>
      <c r="D3988">
        <v>35.61</v>
      </c>
      <c r="E3988">
        <v>146</v>
      </c>
      <c r="F3988">
        <v>94</v>
      </c>
      <c r="G3988">
        <v>10</v>
      </c>
      <c r="H3988">
        <v>26</v>
      </c>
      <c r="I3988">
        <v>164</v>
      </c>
      <c r="J3988">
        <v>1</v>
      </c>
      <c r="K3988">
        <v>22</v>
      </c>
      <c r="L3988">
        <v>164</v>
      </c>
      <c r="M3988">
        <v>1</v>
      </c>
      <c r="N3988">
        <v>1.3792600000000001E-13</v>
      </c>
      <c r="O3988">
        <v>180</v>
      </c>
    </row>
    <row r="3989" spans="1:15" x14ac:dyDescent="0.25">
      <c r="A3989" t="s">
        <v>4002</v>
      </c>
      <c r="B3989">
        <v>685</v>
      </c>
      <c r="C3989" s="1" t="str">
        <f>HYPERLINK("http://www.rosaceae.org/gb/gbrowse/malus_x_domestica/?name=MDP0000265706","MDP0000265706")</f>
        <v>MDP0000265706</v>
      </c>
      <c r="D3989">
        <v>68.180000000000007</v>
      </c>
      <c r="E3989">
        <v>638</v>
      </c>
      <c r="F3989">
        <v>203</v>
      </c>
      <c r="G3989">
        <v>37</v>
      </c>
      <c r="H3989">
        <v>1</v>
      </c>
      <c r="I3989">
        <v>611</v>
      </c>
      <c r="J3989">
        <v>1</v>
      </c>
      <c r="K3989">
        <v>1</v>
      </c>
      <c r="L3989">
        <v>628</v>
      </c>
      <c r="M3989">
        <v>1</v>
      </c>
      <c r="N3989">
        <v>0</v>
      </c>
      <c r="O3989">
        <v>2155</v>
      </c>
    </row>
    <row r="3990" spans="1:15" x14ac:dyDescent="0.25">
      <c r="A3990" t="s">
        <v>4003</v>
      </c>
      <c r="B3990">
        <v>566</v>
      </c>
      <c r="C3990" s="1" t="str">
        <f>HYPERLINK("http://www.rosaceae.org/gb/gbrowse/malus_x_domestica/?name=MDP0000567216","MDP0000567216")</f>
        <v>MDP0000567216</v>
      </c>
      <c r="D3990">
        <v>72.5</v>
      </c>
      <c r="E3990">
        <v>560</v>
      </c>
      <c r="F3990">
        <v>154</v>
      </c>
      <c r="G3990">
        <v>5</v>
      </c>
      <c r="H3990">
        <v>1</v>
      </c>
      <c r="I3990">
        <v>555</v>
      </c>
      <c r="J3990">
        <v>1</v>
      </c>
      <c r="K3990">
        <v>1</v>
      </c>
      <c r="L3990">
        <v>560</v>
      </c>
      <c r="M3990">
        <v>1</v>
      </c>
      <c r="N3990">
        <v>0</v>
      </c>
      <c r="O3990">
        <v>2090</v>
      </c>
    </row>
    <row r="3991" spans="1:15" x14ac:dyDescent="0.25">
      <c r="A3991" t="s">
        <v>4004</v>
      </c>
      <c r="B3991">
        <v>693</v>
      </c>
      <c r="C3991" s="1" t="str">
        <f>HYPERLINK("http://www.rosaceae.org/gb/gbrowse/malus_x_domestica/?name=MDP0000285839","MDP0000285839")</f>
        <v>MDP0000285839</v>
      </c>
      <c r="D3991">
        <v>50.08</v>
      </c>
      <c r="E3991">
        <v>621</v>
      </c>
      <c r="F3991">
        <v>310</v>
      </c>
      <c r="G3991">
        <v>46</v>
      </c>
      <c r="H3991">
        <v>68</v>
      </c>
      <c r="I3991">
        <v>684</v>
      </c>
      <c r="J3991">
        <v>1</v>
      </c>
      <c r="K3991">
        <v>7</v>
      </c>
      <c r="L3991">
        <v>585</v>
      </c>
      <c r="M3991">
        <v>1</v>
      </c>
      <c r="N3991">
        <v>2.5565999999999998E-171</v>
      </c>
      <c r="O3991">
        <v>1545</v>
      </c>
    </row>
    <row r="3992" spans="1:15" x14ac:dyDescent="0.25">
      <c r="A3992" t="s">
        <v>4005</v>
      </c>
      <c r="B3992">
        <v>409</v>
      </c>
      <c r="C3992" s="1" t="str">
        <f>HYPERLINK("http://www.rosaceae.org/gb/gbrowse/malus_x_domestica/?name=MDP0000500222","MDP0000500222")</f>
        <v>MDP0000500222</v>
      </c>
      <c r="D3992">
        <v>29.93</v>
      </c>
      <c r="E3992">
        <v>314</v>
      </c>
      <c r="F3992">
        <v>220</v>
      </c>
      <c r="G3992">
        <v>36</v>
      </c>
      <c r="H3992">
        <v>13</v>
      </c>
      <c r="I3992">
        <v>310</v>
      </c>
      <c r="J3992">
        <v>1</v>
      </c>
      <c r="K3992">
        <v>65</v>
      </c>
      <c r="L3992">
        <v>358</v>
      </c>
      <c r="M3992">
        <v>1</v>
      </c>
      <c r="N3992">
        <v>1.0769099999999999E-27</v>
      </c>
      <c r="O3992">
        <v>304</v>
      </c>
    </row>
    <row r="3993" spans="1:15" x14ac:dyDescent="0.25">
      <c r="A3993" t="s">
        <v>4006</v>
      </c>
      <c r="B3993">
        <v>268</v>
      </c>
      <c r="C3993" s="1" t="str">
        <f>HYPERLINK("http://www.rosaceae.org/gb/gbrowse/malus_x_domestica/?name=MDP0000931355","MDP0000931355")</f>
        <v>MDP0000931355</v>
      </c>
      <c r="D3993">
        <v>87.87</v>
      </c>
      <c r="E3993">
        <v>132</v>
      </c>
      <c r="F3993">
        <v>16</v>
      </c>
      <c r="G3993">
        <v>0</v>
      </c>
      <c r="H3993">
        <v>137</v>
      </c>
      <c r="I3993">
        <v>268</v>
      </c>
      <c r="J3993">
        <v>1</v>
      </c>
      <c r="K3993">
        <v>2</v>
      </c>
      <c r="L3993">
        <v>133</v>
      </c>
      <c r="M3993">
        <v>1</v>
      </c>
      <c r="N3993">
        <v>5.35703E-67</v>
      </c>
      <c r="O3993">
        <v>641</v>
      </c>
    </row>
    <row r="3994" spans="1:15" x14ac:dyDescent="0.25">
      <c r="A3994" t="s">
        <v>4007</v>
      </c>
      <c r="B3994">
        <v>192</v>
      </c>
      <c r="C3994" s="1" t="str">
        <f>HYPERLINK("http://www.rosaceae.org/gb/gbrowse/malus_x_domestica/?name=MDP0000893382","MDP0000893382")</f>
        <v>MDP0000893382</v>
      </c>
      <c r="D3994">
        <v>87.31</v>
      </c>
      <c r="E3994">
        <v>134</v>
      </c>
      <c r="F3994">
        <v>17</v>
      </c>
      <c r="G3994">
        <v>0</v>
      </c>
      <c r="H3994">
        <v>59</v>
      </c>
      <c r="I3994">
        <v>192</v>
      </c>
      <c r="J3994">
        <v>1</v>
      </c>
      <c r="K3994">
        <v>7</v>
      </c>
      <c r="L3994">
        <v>140</v>
      </c>
      <c r="M3994">
        <v>1</v>
      </c>
      <c r="N3994">
        <v>2.3180200000000002E-67</v>
      </c>
      <c r="O3994">
        <v>642</v>
      </c>
    </row>
    <row r="3995" spans="1:15" x14ac:dyDescent="0.25">
      <c r="A3995" t="s">
        <v>4008</v>
      </c>
      <c r="B3995">
        <v>942</v>
      </c>
      <c r="C3995" s="1" t="str">
        <f>HYPERLINK("http://www.rosaceae.org/gb/gbrowse/malus_x_domestica/?name=MDP0000225842","MDP0000225842")</f>
        <v>MDP0000225842</v>
      </c>
      <c r="D3995">
        <v>57.79</v>
      </c>
      <c r="E3995">
        <v>853</v>
      </c>
      <c r="F3995">
        <v>360</v>
      </c>
      <c r="G3995">
        <v>83</v>
      </c>
      <c r="H3995">
        <v>1</v>
      </c>
      <c r="I3995">
        <v>809</v>
      </c>
      <c r="J3995">
        <v>1</v>
      </c>
      <c r="K3995">
        <v>1</v>
      </c>
      <c r="L3995">
        <v>814</v>
      </c>
      <c r="M3995">
        <v>1</v>
      </c>
      <c r="N3995">
        <v>0</v>
      </c>
      <c r="O3995">
        <v>2275</v>
      </c>
    </row>
    <row r="3996" spans="1:15" x14ac:dyDescent="0.25">
      <c r="A3996" t="s">
        <v>4009</v>
      </c>
      <c r="B3996">
        <v>709</v>
      </c>
      <c r="C3996" s="1" t="str">
        <f>HYPERLINK("http://www.rosaceae.org/gb/gbrowse/malus_x_domestica/?name=MDP0000088036","MDP0000088036")</f>
        <v>MDP0000088036</v>
      </c>
      <c r="D3996">
        <v>81.36</v>
      </c>
      <c r="E3996">
        <v>703</v>
      </c>
      <c r="F3996">
        <v>131</v>
      </c>
      <c r="G3996">
        <v>6</v>
      </c>
      <c r="H3996">
        <v>13</v>
      </c>
      <c r="I3996">
        <v>709</v>
      </c>
      <c r="J3996">
        <v>1</v>
      </c>
      <c r="K3996">
        <v>1</v>
      </c>
      <c r="L3996">
        <v>703</v>
      </c>
      <c r="M3996">
        <v>1</v>
      </c>
      <c r="N3996">
        <v>0</v>
      </c>
      <c r="O3996">
        <v>3013</v>
      </c>
    </row>
    <row r="3997" spans="1:15" x14ac:dyDescent="0.25">
      <c r="A3997" t="s">
        <v>4010</v>
      </c>
      <c r="B3997">
        <v>212</v>
      </c>
      <c r="C3997" s="1" t="str">
        <f>HYPERLINK("http://www.rosaceae.org/gb/gbrowse/malus_x_domestica/?name=MDP0000294396","MDP0000294396")</f>
        <v>MDP0000294396</v>
      </c>
      <c r="D3997">
        <v>71.03</v>
      </c>
      <c r="E3997">
        <v>145</v>
      </c>
      <c r="F3997">
        <v>42</v>
      </c>
      <c r="G3997">
        <v>0</v>
      </c>
      <c r="H3997">
        <v>65</v>
      </c>
      <c r="I3997">
        <v>209</v>
      </c>
      <c r="J3997">
        <v>1</v>
      </c>
      <c r="K3997">
        <v>87</v>
      </c>
      <c r="L3997">
        <v>231</v>
      </c>
      <c r="M3997">
        <v>1</v>
      </c>
      <c r="N3997">
        <v>3.4880300000000001E-57</v>
      </c>
      <c r="O3997">
        <v>555</v>
      </c>
    </row>
    <row r="3998" spans="1:15" x14ac:dyDescent="0.25">
      <c r="A3998" t="s">
        <v>4011</v>
      </c>
      <c r="B3998">
        <v>393</v>
      </c>
      <c r="C3998" s="1" t="str">
        <f>HYPERLINK("http://www.rosaceae.org/gb/gbrowse/malus_x_domestica/?name=MDP0000267622","MDP0000267622")</f>
        <v>MDP0000267622</v>
      </c>
      <c r="D3998">
        <v>55.34</v>
      </c>
      <c r="E3998">
        <v>374</v>
      </c>
      <c r="F3998">
        <v>167</v>
      </c>
      <c r="G3998">
        <v>30</v>
      </c>
      <c r="H3998">
        <v>18</v>
      </c>
      <c r="I3998">
        <v>391</v>
      </c>
      <c r="J3998">
        <v>1</v>
      </c>
      <c r="K3998">
        <v>860</v>
      </c>
      <c r="L3998">
        <v>1203</v>
      </c>
      <c r="M3998">
        <v>1</v>
      </c>
      <c r="N3998">
        <v>8.9269400000000001E-110</v>
      </c>
      <c r="O3998">
        <v>1012</v>
      </c>
    </row>
    <row r="3999" spans="1:15" x14ac:dyDescent="0.25">
      <c r="A3999" t="s">
        <v>4012</v>
      </c>
      <c r="B3999">
        <v>162</v>
      </c>
      <c r="C3999" s="1" t="str">
        <f>HYPERLINK("http://www.rosaceae.org/gb/gbrowse/malus_x_domestica/?name=MDP0000292270","MDP0000292270")</f>
        <v>MDP0000292270</v>
      </c>
      <c r="D3999">
        <v>85.18</v>
      </c>
      <c r="E3999">
        <v>162</v>
      </c>
      <c r="F3999">
        <v>24</v>
      </c>
      <c r="G3999">
        <v>0</v>
      </c>
      <c r="H3999">
        <v>1</v>
      </c>
      <c r="I3999">
        <v>162</v>
      </c>
      <c r="J3999">
        <v>1</v>
      </c>
      <c r="K3999">
        <v>438</v>
      </c>
      <c r="L3999">
        <v>599</v>
      </c>
      <c r="M3999">
        <v>1</v>
      </c>
      <c r="N3999">
        <v>1.7788500000000001E-80</v>
      </c>
      <c r="O3999">
        <v>754</v>
      </c>
    </row>
    <row r="4000" spans="1:15" x14ac:dyDescent="0.25">
      <c r="A4000" t="s">
        <v>4013</v>
      </c>
      <c r="B4000">
        <v>464</v>
      </c>
      <c r="C4000" s="1" t="str">
        <f>HYPERLINK("http://www.rosaceae.org/gb/gbrowse/malus_x_domestica/?name=MDP0000908448","MDP0000908448")</f>
        <v>MDP0000908448</v>
      </c>
      <c r="D4000">
        <v>56.65</v>
      </c>
      <c r="E4000">
        <v>443</v>
      </c>
      <c r="F4000">
        <v>192</v>
      </c>
      <c r="G4000">
        <v>15</v>
      </c>
      <c r="H4000">
        <v>1</v>
      </c>
      <c r="I4000">
        <v>436</v>
      </c>
      <c r="J4000">
        <v>1</v>
      </c>
      <c r="K4000">
        <v>1</v>
      </c>
      <c r="L4000">
        <v>435</v>
      </c>
      <c r="M4000">
        <v>1</v>
      </c>
      <c r="N4000">
        <v>1.0488500000000001E-124</v>
      </c>
      <c r="O4000">
        <v>1142</v>
      </c>
    </row>
    <row r="4001" spans="1:15" x14ac:dyDescent="0.25">
      <c r="A4001" t="s">
        <v>4014</v>
      </c>
      <c r="B4001">
        <v>154</v>
      </c>
      <c r="C4001" s="1" t="str">
        <f>HYPERLINK("http://www.rosaceae.org/gb/gbrowse/malus_x_domestica/?name=MDP0000312561","MDP0000312561")</f>
        <v>MDP0000312561</v>
      </c>
      <c r="D4001">
        <v>67.319999999999993</v>
      </c>
      <c r="E4001">
        <v>153</v>
      </c>
      <c r="F4001">
        <v>50</v>
      </c>
      <c r="G4001">
        <v>4</v>
      </c>
      <c r="H4001">
        <v>1</v>
      </c>
      <c r="I4001">
        <v>149</v>
      </c>
      <c r="J4001">
        <v>1</v>
      </c>
      <c r="K4001">
        <v>1</v>
      </c>
      <c r="L4001">
        <v>153</v>
      </c>
      <c r="M4001">
        <v>1</v>
      </c>
      <c r="N4001">
        <v>3.2655000000000001E-50</v>
      </c>
      <c r="O4001">
        <v>493</v>
      </c>
    </row>
    <row r="4002" spans="1:15" x14ac:dyDescent="0.25">
      <c r="A4002" t="s">
        <v>4015</v>
      </c>
      <c r="B4002">
        <v>745</v>
      </c>
      <c r="C4002" s="1" t="str">
        <f>HYPERLINK("http://www.rosaceae.org/gb/gbrowse/malus_x_domestica/?name=MDP0000216857","MDP0000216857")</f>
        <v>MDP0000216857</v>
      </c>
      <c r="D4002">
        <v>63.79</v>
      </c>
      <c r="E4002">
        <v>812</v>
      </c>
      <c r="F4002">
        <v>294</v>
      </c>
      <c r="G4002">
        <v>76</v>
      </c>
      <c r="H4002">
        <v>1</v>
      </c>
      <c r="I4002">
        <v>744</v>
      </c>
      <c r="J4002">
        <v>1</v>
      </c>
      <c r="K4002">
        <v>1</v>
      </c>
      <c r="L4002">
        <v>804</v>
      </c>
      <c r="M4002">
        <v>1</v>
      </c>
      <c r="N4002">
        <v>0</v>
      </c>
      <c r="O4002">
        <v>2588</v>
      </c>
    </row>
    <row r="4003" spans="1:15" x14ac:dyDescent="0.25">
      <c r="A4003" t="s">
        <v>4016</v>
      </c>
      <c r="B4003">
        <v>107</v>
      </c>
      <c r="C4003" s="1" t="str">
        <f>HYPERLINK("http://www.rosaceae.org/gb/gbrowse/malus_x_domestica/?name=MDP0000276483","MDP0000276483")</f>
        <v>MDP0000276483</v>
      </c>
      <c r="D4003">
        <v>85.04</v>
      </c>
      <c r="E4003">
        <v>107</v>
      </c>
      <c r="F4003">
        <v>16</v>
      </c>
      <c r="G4003">
        <v>1</v>
      </c>
      <c r="H4003">
        <v>1</v>
      </c>
      <c r="I4003">
        <v>106</v>
      </c>
      <c r="J4003">
        <v>1</v>
      </c>
      <c r="K4003">
        <v>274</v>
      </c>
      <c r="L4003">
        <v>380</v>
      </c>
      <c r="M4003">
        <v>1</v>
      </c>
      <c r="N4003">
        <v>1.2817099999999999E-47</v>
      </c>
      <c r="O4003">
        <v>468</v>
      </c>
    </row>
    <row r="4004" spans="1:15" x14ac:dyDescent="0.25">
      <c r="A4004" t="s">
        <v>4017</v>
      </c>
      <c r="B4004">
        <v>454</v>
      </c>
      <c r="C4004" s="1" t="str">
        <f>HYPERLINK("http://www.rosaceae.org/gb/gbrowse/malus_x_domestica/?name=MDP0000684216","MDP0000684216")</f>
        <v>MDP0000684216</v>
      </c>
      <c r="D4004">
        <v>69.56</v>
      </c>
      <c r="E4004">
        <v>460</v>
      </c>
      <c r="F4004">
        <v>140</v>
      </c>
      <c r="G4004">
        <v>12</v>
      </c>
      <c r="H4004">
        <v>1</v>
      </c>
      <c r="I4004">
        <v>453</v>
      </c>
      <c r="J4004">
        <v>1</v>
      </c>
      <c r="K4004">
        <v>1</v>
      </c>
      <c r="L4004">
        <v>455</v>
      </c>
      <c r="M4004">
        <v>1</v>
      </c>
      <c r="N4004">
        <v>0</v>
      </c>
      <c r="O4004">
        <v>1656</v>
      </c>
    </row>
    <row r="4005" spans="1:15" x14ac:dyDescent="0.25">
      <c r="A4005" t="s">
        <v>4018</v>
      </c>
      <c r="B4005">
        <v>298</v>
      </c>
      <c r="C4005" s="1" t="str">
        <f>HYPERLINK("http://www.rosaceae.org/gb/gbrowse/malus_x_domestica/?name=MDP0000287519","MDP0000287519")</f>
        <v>MDP0000287519</v>
      </c>
      <c r="D4005">
        <v>50.87</v>
      </c>
      <c r="E4005">
        <v>57</v>
      </c>
      <c r="F4005">
        <v>28</v>
      </c>
      <c r="G4005">
        <v>0</v>
      </c>
      <c r="H4005">
        <v>66</v>
      </c>
      <c r="I4005">
        <v>122</v>
      </c>
      <c r="J4005">
        <v>1</v>
      </c>
      <c r="K4005">
        <v>643</v>
      </c>
      <c r="L4005">
        <v>699</v>
      </c>
      <c r="M4005">
        <v>1</v>
      </c>
      <c r="N4005">
        <v>4.34241E-10</v>
      </c>
      <c r="O4005">
        <v>151</v>
      </c>
    </row>
    <row r="4006" spans="1:15" x14ac:dyDescent="0.25">
      <c r="A4006" t="s">
        <v>4019</v>
      </c>
      <c r="B4006">
        <v>429</v>
      </c>
      <c r="C4006" s="1" t="str">
        <f>HYPERLINK("http://www.rosaceae.org/gb/gbrowse/malus_x_domestica/?name=MDP0000293457","MDP0000293457")</f>
        <v>MDP0000293457</v>
      </c>
      <c r="D4006">
        <v>74</v>
      </c>
      <c r="E4006">
        <v>404</v>
      </c>
      <c r="F4006">
        <v>105</v>
      </c>
      <c r="G4006">
        <v>28</v>
      </c>
      <c r="H4006">
        <v>1</v>
      </c>
      <c r="I4006">
        <v>376</v>
      </c>
      <c r="J4006">
        <v>1</v>
      </c>
      <c r="K4006">
        <v>269</v>
      </c>
      <c r="L4006">
        <v>672</v>
      </c>
      <c r="M4006">
        <v>1</v>
      </c>
      <c r="N4006">
        <v>2.7331400000000002E-172</v>
      </c>
      <c r="O4006">
        <v>1552</v>
      </c>
    </row>
    <row r="4007" spans="1:15" x14ac:dyDescent="0.25">
      <c r="A4007" t="s">
        <v>4020</v>
      </c>
      <c r="B4007">
        <v>220</v>
      </c>
      <c r="C4007" s="1" t="str">
        <f>HYPERLINK("http://www.rosaceae.org/gb/gbrowse/malus_x_domestica/?name=MDP0000138709","MDP0000138709")</f>
        <v>MDP0000138709</v>
      </c>
      <c r="D4007">
        <v>65.290000000000006</v>
      </c>
      <c r="E4007">
        <v>219</v>
      </c>
      <c r="F4007">
        <v>76</v>
      </c>
      <c r="G4007">
        <v>1</v>
      </c>
      <c r="H4007">
        <v>1</v>
      </c>
      <c r="I4007">
        <v>219</v>
      </c>
      <c r="J4007">
        <v>1</v>
      </c>
      <c r="K4007">
        <v>1</v>
      </c>
      <c r="L4007">
        <v>218</v>
      </c>
      <c r="M4007">
        <v>1</v>
      </c>
      <c r="N4007">
        <v>9.84535E-81</v>
      </c>
      <c r="O4007">
        <v>758</v>
      </c>
    </row>
    <row r="4008" spans="1:15" x14ac:dyDescent="0.25">
      <c r="A4008" t="s">
        <v>4021</v>
      </c>
      <c r="B4008">
        <v>130</v>
      </c>
      <c r="C4008" s="1" t="str">
        <f>HYPERLINK("http://www.rosaceae.org/gb/gbrowse/malus_x_domestica/?name=MDP0000230112","MDP0000230112")</f>
        <v>MDP0000230112</v>
      </c>
      <c r="D4008">
        <v>72.3</v>
      </c>
      <c r="E4008">
        <v>130</v>
      </c>
      <c r="F4008">
        <v>36</v>
      </c>
      <c r="G4008">
        <v>6</v>
      </c>
      <c r="H4008">
        <v>3</v>
      </c>
      <c r="I4008">
        <v>130</v>
      </c>
      <c r="J4008">
        <v>1</v>
      </c>
      <c r="K4008">
        <v>2</v>
      </c>
      <c r="L4008">
        <v>127</v>
      </c>
      <c r="M4008">
        <v>1</v>
      </c>
      <c r="N4008">
        <v>6.7561199999999998E-49</v>
      </c>
      <c r="O4008">
        <v>480</v>
      </c>
    </row>
    <row r="4009" spans="1:15" x14ac:dyDescent="0.25">
      <c r="A4009" t="s">
        <v>4022</v>
      </c>
      <c r="B4009">
        <v>724</v>
      </c>
      <c r="C4009" s="1" t="str">
        <f>HYPERLINK("http://www.rosaceae.org/gb/gbrowse/malus_x_domestica/?name=MDP0000217128","MDP0000217128")</f>
        <v>MDP0000217128</v>
      </c>
      <c r="D4009">
        <v>88.09</v>
      </c>
      <c r="E4009">
        <v>42</v>
      </c>
      <c r="F4009">
        <v>5</v>
      </c>
      <c r="G4009">
        <v>0</v>
      </c>
      <c r="H4009">
        <v>539</v>
      </c>
      <c r="I4009">
        <v>580</v>
      </c>
      <c r="J4009">
        <v>1</v>
      </c>
      <c r="K4009">
        <v>91</v>
      </c>
      <c r="L4009">
        <v>132</v>
      </c>
      <c r="M4009">
        <v>1</v>
      </c>
      <c r="N4009">
        <v>1.23758E-13</v>
      </c>
      <c r="O4009">
        <v>186</v>
      </c>
    </row>
    <row r="4010" spans="1:15" x14ac:dyDescent="0.25">
      <c r="A4010" t="s">
        <v>4023</v>
      </c>
      <c r="B4010">
        <v>731</v>
      </c>
      <c r="C4010" s="1" t="str">
        <f>HYPERLINK("http://www.rosaceae.org/gb/gbrowse/malus_x_domestica/?name=MDP0000128688","MDP0000128688")</f>
        <v>MDP0000128688</v>
      </c>
      <c r="D4010">
        <v>77.38</v>
      </c>
      <c r="E4010">
        <v>703</v>
      </c>
      <c r="F4010">
        <v>159</v>
      </c>
      <c r="G4010">
        <v>9</v>
      </c>
      <c r="H4010">
        <v>1</v>
      </c>
      <c r="I4010">
        <v>700</v>
      </c>
      <c r="J4010">
        <v>1</v>
      </c>
      <c r="K4010">
        <v>38</v>
      </c>
      <c r="L4010">
        <v>734</v>
      </c>
      <c r="M4010">
        <v>1</v>
      </c>
      <c r="N4010">
        <v>0</v>
      </c>
      <c r="O4010">
        <v>2868</v>
      </c>
    </row>
    <row r="4011" spans="1:15" x14ac:dyDescent="0.25">
      <c r="A4011" t="s">
        <v>4024</v>
      </c>
      <c r="B4011">
        <v>254</v>
      </c>
      <c r="C4011" s="1" t="str">
        <f>HYPERLINK("http://www.rosaceae.org/gb/gbrowse/malus_x_domestica/?name=MDP0000148178","MDP0000148178")</f>
        <v>MDP0000148178</v>
      </c>
      <c r="D4011">
        <v>66.069999999999993</v>
      </c>
      <c r="E4011">
        <v>227</v>
      </c>
      <c r="F4011">
        <v>77</v>
      </c>
      <c r="G4011">
        <v>22</v>
      </c>
      <c r="H4011">
        <v>48</v>
      </c>
      <c r="I4011">
        <v>254</v>
      </c>
      <c r="J4011">
        <v>1</v>
      </c>
      <c r="K4011">
        <v>54</v>
      </c>
      <c r="L4011">
        <v>278</v>
      </c>
      <c r="M4011">
        <v>1</v>
      </c>
      <c r="N4011">
        <v>3.8538799999999997E-71</v>
      </c>
      <c r="O4011">
        <v>677</v>
      </c>
    </row>
    <row r="4012" spans="1:15" x14ac:dyDescent="0.25">
      <c r="A4012" t="s">
        <v>4025</v>
      </c>
      <c r="B4012">
        <v>925</v>
      </c>
      <c r="C4012" s="1" t="str">
        <f>HYPERLINK("http://www.rosaceae.org/gb/gbrowse/malus_x_domestica/?name=MDP0000773444","MDP0000773444")</f>
        <v>MDP0000773444</v>
      </c>
      <c r="D4012">
        <v>61.78</v>
      </c>
      <c r="E4012">
        <v>950</v>
      </c>
      <c r="F4012">
        <v>363</v>
      </c>
      <c r="G4012">
        <v>60</v>
      </c>
      <c r="H4012">
        <v>1</v>
      </c>
      <c r="I4012">
        <v>912</v>
      </c>
      <c r="J4012">
        <v>1</v>
      </c>
      <c r="K4012">
        <v>33</v>
      </c>
      <c r="L4012">
        <v>960</v>
      </c>
      <c r="M4012">
        <v>1</v>
      </c>
      <c r="N4012">
        <v>0</v>
      </c>
      <c r="O4012">
        <v>2785</v>
      </c>
    </row>
    <row r="4013" spans="1:15" x14ac:dyDescent="0.25">
      <c r="A4013" t="s">
        <v>4026</v>
      </c>
      <c r="B4013">
        <v>577</v>
      </c>
      <c r="C4013" s="1" t="str">
        <f>HYPERLINK("http://www.rosaceae.org/gb/gbrowse/malus_x_domestica/?name=MDP0000576756","MDP0000576756")</f>
        <v>MDP0000576756</v>
      </c>
      <c r="D4013">
        <v>60.65</v>
      </c>
      <c r="E4013">
        <v>338</v>
      </c>
      <c r="F4013">
        <v>133</v>
      </c>
      <c r="G4013">
        <v>5</v>
      </c>
      <c r="H4013">
        <v>1</v>
      </c>
      <c r="I4013">
        <v>333</v>
      </c>
      <c r="J4013">
        <v>1</v>
      </c>
      <c r="K4013">
        <v>1</v>
      </c>
      <c r="L4013">
        <v>338</v>
      </c>
      <c r="M4013">
        <v>1</v>
      </c>
      <c r="N4013">
        <v>3.5777700000000001E-109</v>
      </c>
      <c r="O4013">
        <v>1009</v>
      </c>
    </row>
    <row r="4014" spans="1:15" x14ac:dyDescent="0.25">
      <c r="A4014" t="s">
        <v>4027</v>
      </c>
      <c r="B4014">
        <v>368</v>
      </c>
      <c r="C4014" s="1" t="str">
        <f>HYPERLINK("http://www.rosaceae.org/gb/gbrowse/malus_x_domestica/?name=MDP0000239791","MDP0000239791")</f>
        <v>MDP0000239791</v>
      </c>
      <c r="D4014">
        <v>69.8</v>
      </c>
      <c r="E4014">
        <v>361</v>
      </c>
      <c r="F4014">
        <v>109</v>
      </c>
      <c r="G4014">
        <v>44</v>
      </c>
      <c r="H4014">
        <v>21</v>
      </c>
      <c r="I4014">
        <v>368</v>
      </c>
      <c r="J4014">
        <v>1</v>
      </c>
      <c r="K4014">
        <v>1</v>
      </c>
      <c r="L4014">
        <v>330</v>
      </c>
      <c r="M4014">
        <v>1</v>
      </c>
      <c r="N4014">
        <v>1.05363E-145</v>
      </c>
      <c r="O4014">
        <v>1322</v>
      </c>
    </row>
    <row r="4015" spans="1:15" x14ac:dyDescent="0.25">
      <c r="A4015" t="s">
        <v>4028</v>
      </c>
      <c r="B4015">
        <v>1109</v>
      </c>
      <c r="C4015" s="1" t="str">
        <f>HYPERLINK("http://www.rosaceae.org/gb/gbrowse/malus_x_domestica/?name=MDP0000306176","MDP0000306176")</f>
        <v>MDP0000306176</v>
      </c>
      <c r="D4015">
        <v>61.25</v>
      </c>
      <c r="E4015">
        <v>524</v>
      </c>
      <c r="F4015">
        <v>203</v>
      </c>
      <c r="G4015">
        <v>7</v>
      </c>
      <c r="H4015">
        <v>585</v>
      </c>
      <c r="I4015">
        <v>1103</v>
      </c>
      <c r="J4015">
        <v>1</v>
      </c>
      <c r="K4015">
        <v>202</v>
      </c>
      <c r="L4015">
        <v>723</v>
      </c>
      <c r="M4015">
        <v>1</v>
      </c>
      <c r="N4015">
        <v>0</v>
      </c>
      <c r="O4015">
        <v>1727</v>
      </c>
    </row>
    <row r="4016" spans="1:15" x14ac:dyDescent="0.25">
      <c r="A4016" t="s">
        <v>4029</v>
      </c>
      <c r="B4016">
        <v>945</v>
      </c>
      <c r="C4016" s="1" t="str">
        <f>HYPERLINK("http://www.rosaceae.org/gb/gbrowse/malus_x_domestica/?name=MDP0000585239","MDP0000585239")</f>
        <v>MDP0000585239</v>
      </c>
      <c r="D4016">
        <v>68.760000000000005</v>
      </c>
      <c r="E4016">
        <v>951</v>
      </c>
      <c r="F4016">
        <v>297</v>
      </c>
      <c r="G4016">
        <v>16</v>
      </c>
      <c r="H4016">
        <v>1</v>
      </c>
      <c r="I4016">
        <v>945</v>
      </c>
      <c r="J4016">
        <v>1</v>
      </c>
      <c r="K4016">
        <v>1</v>
      </c>
      <c r="L4016">
        <v>941</v>
      </c>
      <c r="M4016">
        <v>1</v>
      </c>
      <c r="N4016">
        <v>0</v>
      </c>
      <c r="O4016">
        <v>3316</v>
      </c>
    </row>
    <row r="4017" spans="1:15" x14ac:dyDescent="0.25">
      <c r="A4017" t="s">
        <v>4030</v>
      </c>
      <c r="B4017">
        <v>422</v>
      </c>
      <c r="C4017" s="1" t="str">
        <f>HYPERLINK("http://www.rosaceae.org/gb/gbrowse/malus_x_domestica/?name=MDP0000162202","MDP0000162202")</f>
        <v>MDP0000162202</v>
      </c>
      <c r="D4017">
        <v>69.62</v>
      </c>
      <c r="E4017">
        <v>79</v>
      </c>
      <c r="F4017">
        <v>24</v>
      </c>
      <c r="G4017">
        <v>0</v>
      </c>
      <c r="H4017">
        <v>196</v>
      </c>
      <c r="I4017">
        <v>274</v>
      </c>
      <c r="J4017">
        <v>1</v>
      </c>
      <c r="K4017">
        <v>1</v>
      </c>
      <c r="L4017">
        <v>79</v>
      </c>
      <c r="M4017">
        <v>1</v>
      </c>
      <c r="N4017">
        <v>9.5105300000000002E-26</v>
      </c>
      <c r="O4017">
        <v>288</v>
      </c>
    </row>
    <row r="4018" spans="1:15" x14ac:dyDescent="0.25">
      <c r="A4018" t="s">
        <v>4031</v>
      </c>
      <c r="B4018">
        <v>495</v>
      </c>
      <c r="C4018" s="1" t="str">
        <f>HYPERLINK("http://www.rosaceae.org/gb/gbrowse/malus_x_domestica/?name=MDP0000136726","MDP0000136726")</f>
        <v>MDP0000136726</v>
      </c>
      <c r="D4018">
        <v>42.9</v>
      </c>
      <c r="E4018">
        <v>289</v>
      </c>
      <c r="F4018">
        <v>165</v>
      </c>
      <c r="G4018">
        <v>11</v>
      </c>
      <c r="H4018">
        <v>24</v>
      </c>
      <c r="I4018">
        <v>302</v>
      </c>
      <c r="J4018">
        <v>1</v>
      </c>
      <c r="K4018">
        <v>820</v>
      </c>
      <c r="L4018">
        <v>1107</v>
      </c>
      <c r="M4018">
        <v>1</v>
      </c>
      <c r="N4018">
        <v>6.5580100000000003E-53</v>
      </c>
      <c r="O4018">
        <v>523</v>
      </c>
    </row>
    <row r="4019" spans="1:15" x14ac:dyDescent="0.25">
      <c r="A4019" t="s">
        <v>4032</v>
      </c>
      <c r="B4019">
        <v>276</v>
      </c>
      <c r="C4019" s="1" t="str">
        <f>HYPERLINK("http://www.rosaceae.org/gb/gbrowse/malus_x_domestica/?name=MDP0000232453","MDP0000232453")</f>
        <v>MDP0000232453</v>
      </c>
      <c r="D4019">
        <v>80.25</v>
      </c>
      <c r="E4019">
        <v>233</v>
      </c>
      <c r="F4019">
        <v>46</v>
      </c>
      <c r="G4019">
        <v>6</v>
      </c>
      <c r="H4019">
        <v>1</v>
      </c>
      <c r="I4019">
        <v>228</v>
      </c>
      <c r="J4019">
        <v>1</v>
      </c>
      <c r="K4019">
        <v>232</v>
      </c>
      <c r="L4019">
        <v>463</v>
      </c>
      <c r="M4019">
        <v>1</v>
      </c>
      <c r="N4019">
        <v>5.2916899999999997E-99</v>
      </c>
      <c r="O4019">
        <v>917</v>
      </c>
    </row>
    <row r="4020" spans="1:15" x14ac:dyDescent="0.25">
      <c r="A4020" t="s">
        <v>4033</v>
      </c>
      <c r="B4020">
        <v>1465</v>
      </c>
      <c r="C4020" s="1" t="str">
        <f>HYPERLINK("http://www.rosaceae.org/gb/gbrowse/malus_x_domestica/?name=MDP0000144321","MDP0000144321")</f>
        <v>MDP0000144321</v>
      </c>
      <c r="D4020">
        <v>72.75</v>
      </c>
      <c r="E4020">
        <v>1549</v>
      </c>
      <c r="F4020">
        <v>422</v>
      </c>
      <c r="G4020">
        <v>182</v>
      </c>
      <c r="H4020">
        <v>1</v>
      </c>
      <c r="I4020">
        <v>1454</v>
      </c>
      <c r="J4020">
        <v>1</v>
      </c>
      <c r="K4020">
        <v>1</v>
      </c>
      <c r="L4020">
        <v>1462</v>
      </c>
      <c r="M4020">
        <v>1</v>
      </c>
      <c r="N4020">
        <v>0</v>
      </c>
      <c r="O4020">
        <v>5746</v>
      </c>
    </row>
    <row r="4021" spans="1:15" x14ac:dyDescent="0.25">
      <c r="A4021" t="s">
        <v>4034</v>
      </c>
      <c r="B4021">
        <v>1088</v>
      </c>
      <c r="C4021" s="1" t="str">
        <f>HYPERLINK("http://www.rosaceae.org/gb/gbrowse/malus_x_domestica/?name=MDP0000431092","MDP0000431092")</f>
        <v>MDP0000431092</v>
      </c>
      <c r="D4021">
        <v>76.17</v>
      </c>
      <c r="E4021">
        <v>403</v>
      </c>
      <c r="F4021">
        <v>96</v>
      </c>
      <c r="G4021">
        <v>0</v>
      </c>
      <c r="H4021">
        <v>686</v>
      </c>
      <c r="I4021">
        <v>1088</v>
      </c>
      <c r="J4021">
        <v>1</v>
      </c>
      <c r="K4021">
        <v>54</v>
      </c>
      <c r="L4021">
        <v>456</v>
      </c>
      <c r="M4021">
        <v>1</v>
      </c>
      <c r="N4021">
        <v>0</v>
      </c>
      <c r="O4021">
        <v>1674</v>
      </c>
    </row>
    <row r="4022" spans="1:15" x14ac:dyDescent="0.25">
      <c r="A4022" t="s">
        <v>4035</v>
      </c>
      <c r="B4022">
        <v>183</v>
      </c>
      <c r="C4022" s="1" t="str">
        <f>HYPERLINK("http://www.rosaceae.org/gb/gbrowse/malus_x_domestica/?name=MDP0000293049","MDP0000293049")</f>
        <v>MDP0000293049</v>
      </c>
      <c r="D4022">
        <v>80.239999999999995</v>
      </c>
      <c r="E4022">
        <v>81</v>
      </c>
      <c r="F4022">
        <v>16</v>
      </c>
      <c r="G4022">
        <v>0</v>
      </c>
      <c r="H4022">
        <v>33</v>
      </c>
      <c r="I4022">
        <v>113</v>
      </c>
      <c r="J4022">
        <v>1</v>
      </c>
      <c r="K4022">
        <v>28</v>
      </c>
      <c r="L4022">
        <v>108</v>
      </c>
      <c r="M4022">
        <v>1</v>
      </c>
      <c r="N4022">
        <v>1.3933000000000001E-32</v>
      </c>
      <c r="O4022">
        <v>342</v>
      </c>
    </row>
    <row r="4023" spans="1:15" x14ac:dyDescent="0.25">
      <c r="A4023" t="s">
        <v>4036</v>
      </c>
      <c r="B4023">
        <v>534</v>
      </c>
      <c r="C4023" s="1" t="str">
        <f>HYPERLINK("http://www.rosaceae.org/gb/gbrowse/malus_x_domestica/?name=MDP0000231072","MDP0000231072")</f>
        <v>MDP0000231072</v>
      </c>
      <c r="D4023">
        <v>36.909999999999997</v>
      </c>
      <c r="E4023">
        <v>447</v>
      </c>
      <c r="F4023">
        <v>282</v>
      </c>
      <c r="G4023">
        <v>43</v>
      </c>
      <c r="H4023">
        <v>21</v>
      </c>
      <c r="I4023">
        <v>447</v>
      </c>
      <c r="J4023">
        <v>1</v>
      </c>
      <c r="K4023">
        <v>4</v>
      </c>
      <c r="L4023">
        <v>427</v>
      </c>
      <c r="M4023">
        <v>1</v>
      </c>
      <c r="N4023">
        <v>2.9706700000000001E-65</v>
      </c>
      <c r="O4023">
        <v>630</v>
      </c>
    </row>
    <row r="4024" spans="1:15" x14ac:dyDescent="0.25">
      <c r="A4024" t="s">
        <v>4037</v>
      </c>
      <c r="B4024">
        <v>731</v>
      </c>
      <c r="C4024" s="1" t="str">
        <f>HYPERLINK("http://www.rosaceae.org/gb/gbrowse/malus_x_domestica/?name=MDP0000207668","MDP0000207668")</f>
        <v>MDP0000207668</v>
      </c>
      <c r="D4024">
        <v>72.349999999999994</v>
      </c>
      <c r="E4024">
        <v>651</v>
      </c>
      <c r="F4024">
        <v>180</v>
      </c>
      <c r="G4024">
        <v>21</v>
      </c>
      <c r="H4024">
        <v>91</v>
      </c>
      <c r="I4024">
        <v>729</v>
      </c>
      <c r="J4024">
        <v>1</v>
      </c>
      <c r="K4024">
        <v>23</v>
      </c>
      <c r="L4024">
        <v>664</v>
      </c>
      <c r="M4024">
        <v>1</v>
      </c>
      <c r="N4024">
        <v>0</v>
      </c>
      <c r="O4024">
        <v>2475</v>
      </c>
    </row>
    <row r="4025" spans="1:15" x14ac:dyDescent="0.25">
      <c r="A4025" t="s">
        <v>4038</v>
      </c>
      <c r="B4025">
        <v>1088</v>
      </c>
      <c r="C4025" s="1" t="str">
        <f>HYPERLINK("http://www.rosaceae.org/gb/gbrowse/malus_x_domestica/?name=MDP0000230669","MDP0000230669")</f>
        <v>MDP0000230669</v>
      </c>
      <c r="D4025">
        <v>52.94</v>
      </c>
      <c r="E4025">
        <v>797</v>
      </c>
      <c r="F4025">
        <v>375</v>
      </c>
      <c r="G4025">
        <v>14</v>
      </c>
      <c r="H4025">
        <v>18</v>
      </c>
      <c r="I4025">
        <v>812</v>
      </c>
      <c r="J4025">
        <v>1</v>
      </c>
      <c r="K4025">
        <v>11</v>
      </c>
      <c r="L4025">
        <v>795</v>
      </c>
      <c r="M4025">
        <v>1</v>
      </c>
      <c r="N4025">
        <v>0</v>
      </c>
      <c r="O4025">
        <v>2247</v>
      </c>
    </row>
    <row r="4026" spans="1:15" x14ac:dyDescent="0.25">
      <c r="A4026" t="s">
        <v>4039</v>
      </c>
      <c r="B4026">
        <v>273</v>
      </c>
      <c r="C4026" s="1" t="str">
        <f>HYPERLINK("http://www.rosaceae.org/gb/gbrowse/malus_x_domestica/?name=MDP0000020509","MDP0000020509")</f>
        <v>MDP0000020509</v>
      </c>
      <c r="D4026">
        <v>61.88</v>
      </c>
      <c r="E4026">
        <v>223</v>
      </c>
      <c r="F4026">
        <v>85</v>
      </c>
      <c r="G4026">
        <v>20</v>
      </c>
      <c r="H4026">
        <v>51</v>
      </c>
      <c r="I4026">
        <v>270</v>
      </c>
      <c r="J4026">
        <v>1</v>
      </c>
      <c r="K4026">
        <v>479</v>
      </c>
      <c r="L4026">
        <v>684</v>
      </c>
      <c r="M4026">
        <v>1</v>
      </c>
      <c r="N4026">
        <v>5.29137E-68</v>
      </c>
      <c r="O4026">
        <v>650</v>
      </c>
    </row>
    <row r="4027" spans="1:15" x14ac:dyDescent="0.25">
      <c r="A4027" t="s">
        <v>4040</v>
      </c>
      <c r="B4027">
        <v>264</v>
      </c>
      <c r="C4027" s="1" t="str">
        <f>HYPERLINK("http://www.rosaceae.org/gb/gbrowse/malus_x_domestica/?name=MDP0000233325","MDP0000233325")</f>
        <v>MDP0000233325</v>
      </c>
      <c r="D4027">
        <v>58.02</v>
      </c>
      <c r="E4027">
        <v>293</v>
      </c>
      <c r="F4027">
        <v>123</v>
      </c>
      <c r="G4027">
        <v>35</v>
      </c>
      <c r="H4027">
        <v>6</v>
      </c>
      <c r="I4027">
        <v>263</v>
      </c>
      <c r="J4027">
        <v>1</v>
      </c>
      <c r="K4027">
        <v>3</v>
      </c>
      <c r="L4027">
        <v>295</v>
      </c>
      <c r="M4027">
        <v>1</v>
      </c>
      <c r="N4027">
        <v>1.9888000000000001E-91</v>
      </c>
      <c r="O4027">
        <v>852</v>
      </c>
    </row>
    <row r="4028" spans="1:15" x14ac:dyDescent="0.25">
      <c r="A4028" t="s">
        <v>4041</v>
      </c>
      <c r="B4028">
        <v>515</v>
      </c>
      <c r="C4028" s="1" t="str">
        <f>HYPERLINK("http://www.rosaceae.org/gb/gbrowse/malus_x_domestica/?name=MDP0000841490","MDP0000841490")</f>
        <v>MDP0000841490</v>
      </c>
      <c r="D4028">
        <v>81.16</v>
      </c>
      <c r="E4028">
        <v>515</v>
      </c>
      <c r="F4028">
        <v>97</v>
      </c>
      <c r="G4028">
        <v>29</v>
      </c>
      <c r="H4028">
        <v>1</v>
      </c>
      <c r="I4028">
        <v>515</v>
      </c>
      <c r="J4028">
        <v>1</v>
      </c>
      <c r="K4028">
        <v>1</v>
      </c>
      <c r="L4028">
        <v>486</v>
      </c>
      <c r="M4028">
        <v>1</v>
      </c>
      <c r="N4028">
        <v>0</v>
      </c>
      <c r="O4028">
        <v>2210</v>
      </c>
    </row>
    <row r="4029" spans="1:15" x14ac:dyDescent="0.25">
      <c r="A4029" t="s">
        <v>4042</v>
      </c>
      <c r="B4029">
        <v>808</v>
      </c>
      <c r="C4029" s="1" t="str">
        <f>HYPERLINK("http://www.rosaceae.org/gb/gbrowse/malus_x_domestica/?name=MDP0000147908","MDP0000147908")</f>
        <v>MDP0000147908</v>
      </c>
      <c r="D4029">
        <v>63.15</v>
      </c>
      <c r="E4029">
        <v>798</v>
      </c>
      <c r="F4029">
        <v>294</v>
      </c>
      <c r="G4029">
        <v>44</v>
      </c>
      <c r="H4029">
        <v>33</v>
      </c>
      <c r="I4029">
        <v>808</v>
      </c>
      <c r="J4029">
        <v>1</v>
      </c>
      <c r="K4029">
        <v>34</v>
      </c>
      <c r="L4029">
        <v>809</v>
      </c>
      <c r="M4029">
        <v>1</v>
      </c>
      <c r="N4029">
        <v>0</v>
      </c>
      <c r="O4029">
        <v>2602</v>
      </c>
    </row>
    <row r="4030" spans="1:15" x14ac:dyDescent="0.25">
      <c r="A4030" t="s">
        <v>4043</v>
      </c>
      <c r="B4030">
        <v>388</v>
      </c>
      <c r="C4030" s="1" t="str">
        <f>HYPERLINK("http://www.rosaceae.org/gb/gbrowse/malus_x_domestica/?name=MDP0000878404","MDP0000878404")</f>
        <v>MDP0000878404</v>
      </c>
      <c r="D4030">
        <v>99.01</v>
      </c>
      <c r="E4030">
        <v>306</v>
      </c>
      <c r="F4030">
        <v>3</v>
      </c>
      <c r="G4030">
        <v>0</v>
      </c>
      <c r="H4030">
        <v>83</v>
      </c>
      <c r="I4030">
        <v>388</v>
      </c>
      <c r="J4030">
        <v>1</v>
      </c>
      <c r="K4030">
        <v>1</v>
      </c>
      <c r="L4030">
        <v>306</v>
      </c>
      <c r="M4030">
        <v>1</v>
      </c>
      <c r="N4030">
        <v>3.6156E-174</v>
      </c>
      <c r="O4030">
        <v>1567</v>
      </c>
    </row>
    <row r="4031" spans="1:15" x14ac:dyDescent="0.25">
      <c r="A4031" t="s">
        <v>4044</v>
      </c>
      <c r="B4031">
        <v>237</v>
      </c>
      <c r="C4031" s="1" t="str">
        <f>HYPERLINK("http://www.rosaceae.org/gb/gbrowse/malus_x_domestica/?name=MDP0000436496","MDP0000436496")</f>
        <v>MDP0000436496</v>
      </c>
      <c r="D4031">
        <v>75.83</v>
      </c>
      <c r="E4031">
        <v>149</v>
      </c>
      <c r="F4031">
        <v>36</v>
      </c>
      <c r="G4031">
        <v>0</v>
      </c>
      <c r="H4031">
        <v>45</v>
      </c>
      <c r="I4031">
        <v>193</v>
      </c>
      <c r="J4031">
        <v>1</v>
      </c>
      <c r="K4031">
        <v>86</v>
      </c>
      <c r="L4031">
        <v>234</v>
      </c>
      <c r="M4031">
        <v>1</v>
      </c>
      <c r="N4031">
        <v>6.0752900000000001E-61</v>
      </c>
      <c r="O4031">
        <v>588</v>
      </c>
    </row>
    <row r="4032" spans="1:15" x14ac:dyDescent="0.25">
      <c r="A4032" t="s">
        <v>4045</v>
      </c>
      <c r="B4032">
        <v>377</v>
      </c>
      <c r="C4032" s="1" t="str">
        <f>HYPERLINK("http://www.rosaceae.org/gb/gbrowse/malus_x_domestica/?name=MDP0000213111","MDP0000213111")</f>
        <v>MDP0000213111</v>
      </c>
      <c r="D4032">
        <v>68.849999999999994</v>
      </c>
      <c r="E4032">
        <v>289</v>
      </c>
      <c r="F4032">
        <v>90</v>
      </c>
      <c r="G4032">
        <v>2</v>
      </c>
      <c r="H4032">
        <v>1</v>
      </c>
      <c r="I4032">
        <v>289</v>
      </c>
      <c r="J4032">
        <v>1</v>
      </c>
      <c r="K4032">
        <v>2</v>
      </c>
      <c r="L4032">
        <v>288</v>
      </c>
      <c r="M4032">
        <v>1</v>
      </c>
      <c r="N4032">
        <v>8.7647300000000006E-120</v>
      </c>
      <c r="O4032">
        <v>1098</v>
      </c>
    </row>
    <row r="4033" spans="1:15" x14ac:dyDescent="0.25">
      <c r="A4033" t="s">
        <v>4046</v>
      </c>
      <c r="B4033">
        <v>132</v>
      </c>
      <c r="C4033" s="1" t="str">
        <f>HYPERLINK("http://www.rosaceae.org/gb/gbrowse/malus_x_domestica/?name=MDP0000255843","MDP0000255843")</f>
        <v>MDP0000255843</v>
      </c>
      <c r="D4033">
        <v>44.44</v>
      </c>
      <c r="E4033">
        <v>126</v>
      </c>
      <c r="F4033">
        <v>70</v>
      </c>
      <c r="G4033">
        <v>14</v>
      </c>
      <c r="H4033">
        <v>1</v>
      </c>
      <c r="I4033">
        <v>113</v>
      </c>
      <c r="J4033">
        <v>1</v>
      </c>
      <c r="K4033">
        <v>166</v>
      </c>
      <c r="L4033">
        <v>290</v>
      </c>
      <c r="M4033">
        <v>1</v>
      </c>
      <c r="N4033">
        <v>1.9292400000000002E-15</v>
      </c>
      <c r="O4033">
        <v>191</v>
      </c>
    </row>
    <row r="4034" spans="1:15" x14ac:dyDescent="0.25">
      <c r="A4034" t="s">
        <v>4047</v>
      </c>
      <c r="B4034">
        <v>357</v>
      </c>
      <c r="C4034" s="1" t="str">
        <f>HYPERLINK("http://www.rosaceae.org/gb/gbrowse/malus_x_domestica/?name=MDP0000227061","MDP0000227061")</f>
        <v>MDP0000227061</v>
      </c>
      <c r="D4034">
        <v>54.81</v>
      </c>
      <c r="E4034">
        <v>239</v>
      </c>
      <c r="F4034">
        <v>108</v>
      </c>
      <c r="G4034">
        <v>52</v>
      </c>
      <c r="H4034">
        <v>152</v>
      </c>
      <c r="I4034">
        <v>357</v>
      </c>
      <c r="J4034">
        <v>1</v>
      </c>
      <c r="K4034">
        <v>624</v>
      </c>
      <c r="L4034">
        <v>843</v>
      </c>
      <c r="M4034">
        <v>1</v>
      </c>
      <c r="N4034">
        <v>2.3636200000000001E-60</v>
      </c>
      <c r="O4034">
        <v>585</v>
      </c>
    </row>
    <row r="4035" spans="1:15" x14ac:dyDescent="0.25">
      <c r="A4035" t="s">
        <v>4048</v>
      </c>
      <c r="B4035">
        <v>1432</v>
      </c>
      <c r="C4035" s="1" t="str">
        <f>HYPERLINK("http://www.rosaceae.org/gb/gbrowse/malus_x_domestica/?name=MDP0000153224","MDP0000153224")</f>
        <v>MDP0000153224</v>
      </c>
      <c r="D4035">
        <v>77.81</v>
      </c>
      <c r="E4035">
        <v>1208</v>
      </c>
      <c r="F4035">
        <v>268</v>
      </c>
      <c r="G4035">
        <v>108</v>
      </c>
      <c r="H4035">
        <v>155</v>
      </c>
      <c r="I4035">
        <v>1334</v>
      </c>
      <c r="J4035">
        <v>1</v>
      </c>
      <c r="K4035">
        <v>50</v>
      </c>
      <c r="L4035">
        <v>1177</v>
      </c>
      <c r="M4035">
        <v>1</v>
      </c>
      <c r="N4035">
        <v>0</v>
      </c>
      <c r="O4035">
        <v>4952</v>
      </c>
    </row>
    <row r="4036" spans="1:15" x14ac:dyDescent="0.25">
      <c r="A4036" t="s">
        <v>4049</v>
      </c>
      <c r="B4036">
        <v>398</v>
      </c>
      <c r="C4036" s="1" t="str">
        <f>HYPERLINK("http://www.rosaceae.org/gb/gbrowse/malus_x_domestica/?name=MDP0000767304","MDP0000767304")</f>
        <v>MDP0000767304</v>
      </c>
      <c r="D4036">
        <v>80</v>
      </c>
      <c r="E4036">
        <v>195</v>
      </c>
      <c r="F4036">
        <v>39</v>
      </c>
      <c r="G4036">
        <v>7</v>
      </c>
      <c r="H4036">
        <v>199</v>
      </c>
      <c r="I4036">
        <v>387</v>
      </c>
      <c r="J4036">
        <v>1</v>
      </c>
      <c r="K4036">
        <v>1</v>
      </c>
      <c r="L4036">
        <v>194</v>
      </c>
      <c r="M4036">
        <v>1</v>
      </c>
      <c r="N4036">
        <v>6.0852599999999995E-85</v>
      </c>
      <c r="O4036">
        <v>798</v>
      </c>
    </row>
    <row r="4037" spans="1:15" x14ac:dyDescent="0.25">
      <c r="A4037" t="s">
        <v>4050</v>
      </c>
      <c r="B4037">
        <v>510</v>
      </c>
      <c r="C4037" s="1" t="str">
        <f>HYPERLINK("http://www.rosaceae.org/gb/gbrowse/malus_x_domestica/?name=MDP0000251956","MDP0000251956")</f>
        <v>MDP0000251956</v>
      </c>
      <c r="D4037">
        <v>66.31</v>
      </c>
      <c r="E4037">
        <v>472</v>
      </c>
      <c r="F4037">
        <v>159</v>
      </c>
      <c r="G4037">
        <v>53</v>
      </c>
      <c r="H4037">
        <v>18</v>
      </c>
      <c r="I4037">
        <v>461</v>
      </c>
      <c r="J4037">
        <v>1</v>
      </c>
      <c r="K4037">
        <v>30</v>
      </c>
      <c r="L4037">
        <v>476</v>
      </c>
      <c r="M4037">
        <v>1</v>
      </c>
      <c r="N4037">
        <v>0</v>
      </c>
      <c r="O4037">
        <v>1651</v>
      </c>
    </row>
    <row r="4038" spans="1:15" x14ac:dyDescent="0.25">
      <c r="A4038" t="s">
        <v>4051</v>
      </c>
      <c r="B4038">
        <v>103</v>
      </c>
      <c r="C4038" s="1" t="str">
        <f>HYPERLINK("http://www.rosaceae.org/gb/gbrowse/malus_x_domestica/?name=MDP0000146990","MDP0000146990")</f>
        <v>MDP0000146990</v>
      </c>
      <c r="D4038">
        <v>85.43</v>
      </c>
      <c r="E4038">
        <v>103</v>
      </c>
      <c r="F4038">
        <v>15</v>
      </c>
      <c r="G4038">
        <v>0</v>
      </c>
      <c r="H4038">
        <v>1</v>
      </c>
      <c r="I4038">
        <v>103</v>
      </c>
      <c r="J4038">
        <v>1</v>
      </c>
      <c r="K4038">
        <v>1</v>
      </c>
      <c r="L4038">
        <v>103</v>
      </c>
      <c r="M4038">
        <v>1</v>
      </c>
      <c r="N4038">
        <v>6.50091E-47</v>
      </c>
      <c r="O4038">
        <v>462</v>
      </c>
    </row>
    <row r="4039" spans="1:15" x14ac:dyDescent="0.25">
      <c r="A4039" t="s">
        <v>4052</v>
      </c>
      <c r="B4039">
        <v>174</v>
      </c>
      <c r="C4039" s="1" t="str">
        <f>HYPERLINK("http://www.rosaceae.org/gb/gbrowse/malus_x_domestica/?name=MDP0000129670","MDP0000129670")</f>
        <v>MDP0000129670</v>
      </c>
      <c r="D4039">
        <v>67.849999999999994</v>
      </c>
      <c r="E4039">
        <v>168</v>
      </c>
      <c r="F4039">
        <v>54</v>
      </c>
      <c r="G4039">
        <v>2</v>
      </c>
      <c r="H4039">
        <v>9</v>
      </c>
      <c r="I4039">
        <v>174</v>
      </c>
      <c r="J4039">
        <v>1</v>
      </c>
      <c r="K4039">
        <v>140</v>
      </c>
      <c r="L4039">
        <v>307</v>
      </c>
      <c r="M4039">
        <v>1</v>
      </c>
      <c r="N4039">
        <v>1.2769700000000001E-66</v>
      </c>
      <c r="O4039">
        <v>635</v>
      </c>
    </row>
    <row r="4040" spans="1:15" x14ac:dyDescent="0.25">
      <c r="A4040" t="s">
        <v>4053</v>
      </c>
      <c r="B4040">
        <v>232</v>
      </c>
      <c r="C4040" s="1" t="str">
        <f>HYPERLINK("http://www.rosaceae.org/gb/gbrowse/malus_x_domestica/?name=MDP0000133792","MDP0000133792")</f>
        <v>MDP0000133792</v>
      </c>
      <c r="D4040">
        <v>39.799999999999997</v>
      </c>
      <c r="E4040">
        <v>103</v>
      </c>
      <c r="F4040">
        <v>62</v>
      </c>
      <c r="G4040">
        <v>0</v>
      </c>
      <c r="H4040">
        <v>1</v>
      </c>
      <c r="I4040">
        <v>103</v>
      </c>
      <c r="J4040">
        <v>1</v>
      </c>
      <c r="K4040">
        <v>196</v>
      </c>
      <c r="L4040">
        <v>298</v>
      </c>
      <c r="M4040">
        <v>1</v>
      </c>
      <c r="N4040">
        <v>4.7342200000000004E-16</v>
      </c>
      <c r="O4040">
        <v>201</v>
      </c>
    </row>
    <row r="4041" spans="1:15" x14ac:dyDescent="0.25">
      <c r="A4041" t="s">
        <v>4054</v>
      </c>
      <c r="B4041">
        <v>601</v>
      </c>
      <c r="C4041" s="1" t="str">
        <f>HYPERLINK("http://www.rosaceae.org/gb/gbrowse/malus_x_domestica/?name=MDP0000257436","MDP0000257436")</f>
        <v>MDP0000257436</v>
      </c>
      <c r="D4041">
        <v>65.22</v>
      </c>
      <c r="E4041">
        <v>624</v>
      </c>
      <c r="F4041">
        <v>217</v>
      </c>
      <c r="G4041">
        <v>72</v>
      </c>
      <c r="H4041">
        <v>3</v>
      </c>
      <c r="I4041">
        <v>555</v>
      </c>
      <c r="J4041">
        <v>1</v>
      </c>
      <c r="K4041">
        <v>1</v>
      </c>
      <c r="L4041">
        <v>623</v>
      </c>
      <c r="M4041">
        <v>1</v>
      </c>
      <c r="N4041">
        <v>0</v>
      </c>
      <c r="O4041">
        <v>2038</v>
      </c>
    </row>
    <row r="4042" spans="1:15" x14ac:dyDescent="0.25">
      <c r="A4042" t="s">
        <v>4055</v>
      </c>
      <c r="B4042">
        <v>191</v>
      </c>
      <c r="C4042" s="1" t="str">
        <f>HYPERLINK("http://www.rosaceae.org/gb/gbrowse/malus_x_domestica/?name=MDP0000260483","MDP0000260483")</f>
        <v>MDP0000260483</v>
      </c>
      <c r="D4042">
        <v>32.47</v>
      </c>
      <c r="E4042">
        <v>117</v>
      </c>
      <c r="F4042">
        <v>79</v>
      </c>
      <c r="G4042">
        <v>6</v>
      </c>
      <c r="H4042">
        <v>39</v>
      </c>
      <c r="I4042">
        <v>152</v>
      </c>
      <c r="J4042">
        <v>1</v>
      </c>
      <c r="K4042">
        <v>177</v>
      </c>
      <c r="L4042">
        <v>290</v>
      </c>
      <c r="M4042">
        <v>1</v>
      </c>
      <c r="N4042">
        <v>1.02013E-12</v>
      </c>
      <c r="O4042">
        <v>171</v>
      </c>
    </row>
    <row r="4043" spans="1:15" x14ac:dyDescent="0.25">
      <c r="A4043" t="s">
        <v>4056</v>
      </c>
      <c r="B4043">
        <v>494</v>
      </c>
      <c r="C4043" s="1" t="str">
        <f>HYPERLINK("http://www.rosaceae.org/gb/gbrowse/malus_x_domestica/?name=MDP0000122734","MDP0000122734")</f>
        <v>MDP0000122734</v>
      </c>
      <c r="D4043">
        <v>73.91</v>
      </c>
      <c r="E4043">
        <v>230</v>
      </c>
      <c r="F4043">
        <v>60</v>
      </c>
      <c r="G4043">
        <v>5</v>
      </c>
      <c r="H4043">
        <v>23</v>
      </c>
      <c r="I4043">
        <v>248</v>
      </c>
      <c r="J4043">
        <v>1</v>
      </c>
      <c r="K4043">
        <v>7</v>
      </c>
      <c r="L4043">
        <v>235</v>
      </c>
      <c r="M4043">
        <v>1</v>
      </c>
      <c r="N4043">
        <v>1.99379E-93</v>
      </c>
      <c r="O4043">
        <v>872</v>
      </c>
    </row>
    <row r="4044" spans="1:15" x14ac:dyDescent="0.25">
      <c r="A4044" t="s">
        <v>4057</v>
      </c>
      <c r="B4044">
        <v>239</v>
      </c>
      <c r="C4044" s="1" t="str">
        <f>HYPERLINK("http://www.rosaceae.org/gb/gbrowse/malus_x_domestica/?name=MDP0000739957","MDP0000739957")</f>
        <v>MDP0000739957</v>
      </c>
      <c r="D4044">
        <v>66.66</v>
      </c>
      <c r="E4044">
        <v>72</v>
      </c>
      <c r="F4044">
        <v>24</v>
      </c>
      <c r="G4044">
        <v>2</v>
      </c>
      <c r="H4044">
        <v>4</v>
      </c>
      <c r="I4044">
        <v>75</v>
      </c>
      <c r="J4044">
        <v>1</v>
      </c>
      <c r="K4044">
        <v>74</v>
      </c>
      <c r="L4044">
        <v>143</v>
      </c>
      <c r="M4044">
        <v>1</v>
      </c>
      <c r="N4044">
        <v>5.7416799999999998E-18</v>
      </c>
      <c r="O4044">
        <v>218</v>
      </c>
    </row>
    <row r="4045" spans="1:15" x14ac:dyDescent="0.25">
      <c r="A4045" t="s">
        <v>4058</v>
      </c>
      <c r="B4045">
        <v>131</v>
      </c>
      <c r="C4045" s="1" t="str">
        <f>HYPERLINK("http://www.rosaceae.org/gb/gbrowse/malus_x_domestica/?name=MDP0000408630","MDP0000408630")</f>
        <v>MDP0000408630</v>
      </c>
      <c r="D4045">
        <v>82.44</v>
      </c>
      <c r="E4045">
        <v>131</v>
      </c>
      <c r="F4045">
        <v>23</v>
      </c>
      <c r="G4045">
        <v>0</v>
      </c>
      <c r="H4045">
        <v>1</v>
      </c>
      <c r="I4045">
        <v>131</v>
      </c>
      <c r="J4045">
        <v>1</v>
      </c>
      <c r="K4045">
        <v>1</v>
      </c>
      <c r="L4045">
        <v>131</v>
      </c>
      <c r="M4045">
        <v>1</v>
      </c>
      <c r="N4045">
        <v>4.92824E-60</v>
      </c>
      <c r="O4045">
        <v>576</v>
      </c>
    </row>
    <row r="4046" spans="1:15" x14ac:dyDescent="0.25">
      <c r="A4046" t="s">
        <v>4059</v>
      </c>
      <c r="B4046">
        <v>471</v>
      </c>
      <c r="C4046" s="1" t="str">
        <f>HYPERLINK("http://www.rosaceae.org/gb/gbrowse/malus_x_domestica/?name=MDP0000312016","MDP0000312016")</f>
        <v>MDP0000312016</v>
      </c>
      <c r="D4046">
        <v>78.260000000000005</v>
      </c>
      <c r="E4046">
        <v>322</v>
      </c>
      <c r="F4046">
        <v>70</v>
      </c>
      <c r="G4046">
        <v>17</v>
      </c>
      <c r="H4046">
        <v>86</v>
      </c>
      <c r="I4046">
        <v>407</v>
      </c>
      <c r="J4046">
        <v>1</v>
      </c>
      <c r="K4046">
        <v>118</v>
      </c>
      <c r="L4046">
        <v>422</v>
      </c>
      <c r="M4046">
        <v>1</v>
      </c>
      <c r="N4046">
        <v>1.1939300000000001E-147</v>
      </c>
      <c r="O4046">
        <v>1340</v>
      </c>
    </row>
    <row r="4047" spans="1:15" x14ac:dyDescent="0.25">
      <c r="A4047" t="s">
        <v>4060</v>
      </c>
      <c r="B4047">
        <v>485</v>
      </c>
      <c r="C4047" s="1" t="str">
        <f>HYPERLINK("http://www.rosaceae.org/gb/gbrowse/malus_x_domestica/?name=MDP0000012541","MDP0000012541")</f>
        <v>MDP0000012541</v>
      </c>
      <c r="D4047">
        <v>64.040000000000006</v>
      </c>
      <c r="E4047">
        <v>484</v>
      </c>
      <c r="F4047">
        <v>174</v>
      </c>
      <c r="G4047">
        <v>18</v>
      </c>
      <c r="H4047">
        <v>3</v>
      </c>
      <c r="I4047">
        <v>480</v>
      </c>
      <c r="J4047">
        <v>1</v>
      </c>
      <c r="K4047">
        <v>1</v>
      </c>
      <c r="L4047">
        <v>472</v>
      </c>
      <c r="M4047">
        <v>1</v>
      </c>
      <c r="N4047">
        <v>0</v>
      </c>
      <c r="O4047">
        <v>1645</v>
      </c>
    </row>
    <row r="4048" spans="1:15" x14ac:dyDescent="0.25">
      <c r="A4048" t="s">
        <v>4061</v>
      </c>
      <c r="B4048">
        <v>172</v>
      </c>
      <c r="C4048" s="1" t="str">
        <f>HYPERLINK("http://www.rosaceae.org/gb/gbrowse/malus_x_domestica/?name=MDP0000676131","MDP0000676131")</f>
        <v>MDP0000676131</v>
      </c>
      <c r="D4048">
        <v>49</v>
      </c>
      <c r="E4048">
        <v>100</v>
      </c>
      <c r="F4048">
        <v>51</v>
      </c>
      <c r="G4048">
        <v>1</v>
      </c>
      <c r="H4048">
        <v>72</v>
      </c>
      <c r="I4048">
        <v>170</v>
      </c>
      <c r="J4048">
        <v>1</v>
      </c>
      <c r="K4048">
        <v>369</v>
      </c>
      <c r="L4048">
        <v>468</v>
      </c>
      <c r="M4048">
        <v>1</v>
      </c>
      <c r="N4048">
        <v>1.8950500000000001E-25</v>
      </c>
      <c r="O4048">
        <v>280</v>
      </c>
    </row>
    <row r="4049" spans="1:15" x14ac:dyDescent="0.25">
      <c r="A4049" t="s">
        <v>4062</v>
      </c>
      <c r="B4049">
        <v>354</v>
      </c>
      <c r="C4049" s="1" t="str">
        <f>HYPERLINK("http://www.rosaceae.org/gb/gbrowse/malus_x_domestica/?name=MDP0000268133","MDP0000268133")</f>
        <v>MDP0000268133</v>
      </c>
      <c r="D4049">
        <v>72.650000000000006</v>
      </c>
      <c r="E4049">
        <v>395</v>
      </c>
      <c r="F4049">
        <v>108</v>
      </c>
      <c r="G4049">
        <v>44</v>
      </c>
      <c r="H4049">
        <v>2</v>
      </c>
      <c r="I4049">
        <v>354</v>
      </c>
      <c r="J4049">
        <v>1</v>
      </c>
      <c r="K4049">
        <v>546</v>
      </c>
      <c r="L4049">
        <v>938</v>
      </c>
      <c r="M4049">
        <v>1</v>
      </c>
      <c r="N4049">
        <v>3.3901900000000002E-156</v>
      </c>
      <c r="O4049">
        <v>1412</v>
      </c>
    </row>
    <row r="4050" spans="1:15" x14ac:dyDescent="0.25">
      <c r="A4050" t="s">
        <v>4063</v>
      </c>
      <c r="B4050">
        <v>311</v>
      </c>
      <c r="C4050" s="1" t="str">
        <f>HYPERLINK("http://www.rosaceae.org/gb/gbrowse/malus_x_domestica/?name=MDP0000312211","MDP0000312211")</f>
        <v>MDP0000312211</v>
      </c>
      <c r="D4050">
        <v>64.08</v>
      </c>
      <c r="E4050">
        <v>323</v>
      </c>
      <c r="F4050">
        <v>116</v>
      </c>
      <c r="G4050">
        <v>31</v>
      </c>
      <c r="H4050">
        <v>1</v>
      </c>
      <c r="I4050">
        <v>308</v>
      </c>
      <c r="J4050">
        <v>1</v>
      </c>
      <c r="K4050">
        <v>51</v>
      </c>
      <c r="L4050">
        <v>357</v>
      </c>
      <c r="M4050">
        <v>1</v>
      </c>
      <c r="N4050">
        <v>2.7055299999999999E-109</v>
      </c>
      <c r="O4050">
        <v>1007</v>
      </c>
    </row>
    <row r="4051" spans="1:15" x14ac:dyDescent="0.25">
      <c r="A4051" t="s">
        <v>4064</v>
      </c>
      <c r="B4051">
        <v>545</v>
      </c>
      <c r="C4051" s="1" t="str">
        <f>HYPERLINK("http://www.rosaceae.org/gb/gbrowse/malus_x_domestica/?name=MDP0000733033","MDP0000733033")</f>
        <v>MDP0000733033</v>
      </c>
      <c r="D4051">
        <v>69.040000000000006</v>
      </c>
      <c r="E4051">
        <v>323</v>
      </c>
      <c r="F4051">
        <v>100</v>
      </c>
      <c r="G4051">
        <v>0</v>
      </c>
      <c r="H4051">
        <v>223</v>
      </c>
      <c r="I4051">
        <v>545</v>
      </c>
      <c r="J4051">
        <v>1</v>
      </c>
      <c r="K4051">
        <v>4</v>
      </c>
      <c r="L4051">
        <v>326</v>
      </c>
      <c r="M4051">
        <v>1</v>
      </c>
      <c r="N4051">
        <v>1.51176E-123</v>
      </c>
      <c r="O4051">
        <v>1132</v>
      </c>
    </row>
    <row r="4052" spans="1:15" x14ac:dyDescent="0.25">
      <c r="A4052" t="s">
        <v>4065</v>
      </c>
      <c r="B4052">
        <v>857</v>
      </c>
      <c r="C4052" s="1" t="str">
        <f>HYPERLINK("http://www.rosaceae.org/gb/gbrowse/malus_x_domestica/?name=MDP0000250639","MDP0000250639")</f>
        <v>MDP0000250639</v>
      </c>
      <c r="D4052">
        <v>83.22</v>
      </c>
      <c r="E4052">
        <v>632</v>
      </c>
      <c r="F4052">
        <v>106</v>
      </c>
      <c r="G4052">
        <v>11</v>
      </c>
      <c r="H4052">
        <v>232</v>
      </c>
      <c r="I4052">
        <v>857</v>
      </c>
      <c r="J4052">
        <v>1</v>
      </c>
      <c r="K4052">
        <v>1</v>
      </c>
      <c r="L4052">
        <v>627</v>
      </c>
      <c r="M4052">
        <v>1</v>
      </c>
      <c r="N4052">
        <v>0</v>
      </c>
      <c r="O4052">
        <v>2786</v>
      </c>
    </row>
    <row r="4053" spans="1:15" x14ac:dyDescent="0.25">
      <c r="A4053" t="s">
        <v>4066</v>
      </c>
      <c r="B4053">
        <v>271</v>
      </c>
      <c r="C4053" s="1" t="str">
        <f>HYPERLINK("http://www.rosaceae.org/gb/gbrowse/malus_x_domestica/?name=MDP0000253171","MDP0000253171")</f>
        <v>MDP0000253171</v>
      </c>
      <c r="D4053">
        <v>65.09</v>
      </c>
      <c r="E4053">
        <v>255</v>
      </c>
      <c r="F4053">
        <v>89</v>
      </c>
      <c r="G4053">
        <v>25</v>
      </c>
      <c r="H4053">
        <v>39</v>
      </c>
      <c r="I4053">
        <v>268</v>
      </c>
      <c r="J4053">
        <v>1</v>
      </c>
      <c r="K4053">
        <v>126</v>
      </c>
      <c r="L4053">
        <v>380</v>
      </c>
      <c r="M4053">
        <v>1</v>
      </c>
      <c r="N4053">
        <v>7.3030299999999999E-96</v>
      </c>
      <c r="O4053">
        <v>890</v>
      </c>
    </row>
    <row r="4054" spans="1:15" x14ac:dyDescent="0.25">
      <c r="A4054" t="s">
        <v>4067</v>
      </c>
      <c r="B4054">
        <v>275</v>
      </c>
      <c r="C4054" s="1" t="str">
        <f>HYPERLINK("http://www.rosaceae.org/gb/gbrowse/malus_x_domestica/?name=MDP0000295390","MDP0000295390")</f>
        <v>MDP0000295390</v>
      </c>
      <c r="D4054">
        <v>85.62</v>
      </c>
      <c r="E4054">
        <v>167</v>
      </c>
      <c r="F4054">
        <v>24</v>
      </c>
      <c r="G4054">
        <v>0</v>
      </c>
      <c r="H4054">
        <v>109</v>
      </c>
      <c r="I4054">
        <v>275</v>
      </c>
      <c r="J4054">
        <v>1</v>
      </c>
      <c r="K4054">
        <v>20</v>
      </c>
      <c r="L4054">
        <v>186</v>
      </c>
      <c r="M4054">
        <v>1</v>
      </c>
      <c r="N4054">
        <v>3.33658E-87</v>
      </c>
      <c r="O4054">
        <v>816</v>
      </c>
    </row>
    <row r="4055" spans="1:15" x14ac:dyDescent="0.25">
      <c r="A4055" t="s">
        <v>4068</v>
      </c>
      <c r="B4055">
        <v>345</v>
      </c>
      <c r="C4055" s="1" t="str">
        <f>HYPERLINK("http://www.rosaceae.org/gb/gbrowse/malus_x_domestica/?name=MDP0000204867","MDP0000204867")</f>
        <v>MDP0000204867</v>
      </c>
      <c r="D4055">
        <v>57.54</v>
      </c>
      <c r="E4055">
        <v>358</v>
      </c>
      <c r="F4055">
        <v>152</v>
      </c>
      <c r="G4055">
        <v>42</v>
      </c>
      <c r="H4055">
        <v>28</v>
      </c>
      <c r="I4055">
        <v>343</v>
      </c>
      <c r="J4055">
        <v>1</v>
      </c>
      <c r="K4055">
        <v>174</v>
      </c>
      <c r="L4055">
        <v>531</v>
      </c>
      <c r="M4055">
        <v>1</v>
      </c>
      <c r="N4055">
        <v>1.9472800000000001E-98</v>
      </c>
      <c r="O4055">
        <v>914</v>
      </c>
    </row>
    <row r="4056" spans="1:15" x14ac:dyDescent="0.25">
      <c r="A4056" t="s">
        <v>4069</v>
      </c>
      <c r="B4056">
        <v>476</v>
      </c>
      <c r="C4056" s="1" t="str">
        <f>HYPERLINK("http://www.rosaceae.org/gb/gbrowse/malus_x_domestica/?name=MDP0000944409","MDP0000944409")</f>
        <v>MDP0000944409</v>
      </c>
      <c r="D4056">
        <v>84.53</v>
      </c>
      <c r="E4056">
        <v>472</v>
      </c>
      <c r="F4056">
        <v>73</v>
      </c>
      <c r="G4056">
        <v>5</v>
      </c>
      <c r="H4056">
        <v>4</v>
      </c>
      <c r="I4056">
        <v>475</v>
      </c>
      <c r="J4056">
        <v>1</v>
      </c>
      <c r="K4056">
        <v>6</v>
      </c>
      <c r="L4056">
        <v>472</v>
      </c>
      <c r="M4056">
        <v>1</v>
      </c>
      <c r="N4056">
        <v>0</v>
      </c>
      <c r="O4056">
        <v>2144</v>
      </c>
    </row>
    <row r="4057" spans="1:15" x14ac:dyDescent="0.25">
      <c r="A4057" t="s">
        <v>4070</v>
      </c>
      <c r="B4057">
        <v>802</v>
      </c>
      <c r="C4057" s="1" t="str">
        <f>HYPERLINK("http://www.rosaceae.org/gb/gbrowse/malus_x_domestica/?name=MDP0000479094","MDP0000479094")</f>
        <v>MDP0000479094</v>
      </c>
      <c r="D4057">
        <v>76.13</v>
      </c>
      <c r="E4057">
        <v>746</v>
      </c>
      <c r="F4057">
        <v>178</v>
      </c>
      <c r="G4057">
        <v>19</v>
      </c>
      <c r="H4057">
        <v>73</v>
      </c>
      <c r="I4057">
        <v>802</v>
      </c>
      <c r="J4057">
        <v>1</v>
      </c>
      <c r="K4057">
        <v>1</v>
      </c>
      <c r="L4057">
        <v>743</v>
      </c>
      <c r="M4057">
        <v>1</v>
      </c>
      <c r="N4057">
        <v>0</v>
      </c>
      <c r="O4057">
        <v>3051</v>
      </c>
    </row>
    <row r="4058" spans="1:15" x14ac:dyDescent="0.25">
      <c r="A4058" t="s">
        <v>4071</v>
      </c>
      <c r="B4058">
        <v>443</v>
      </c>
      <c r="C4058" s="1" t="str">
        <f>HYPERLINK("http://www.rosaceae.org/gb/gbrowse/malus_x_domestica/?name=MDP0000233598","MDP0000233598")</f>
        <v>MDP0000233598</v>
      </c>
      <c r="D4058">
        <v>24.46</v>
      </c>
      <c r="E4058">
        <v>188</v>
      </c>
      <c r="F4058">
        <v>142</v>
      </c>
      <c r="G4058">
        <v>18</v>
      </c>
      <c r="H4058">
        <v>43</v>
      </c>
      <c r="I4058">
        <v>222</v>
      </c>
      <c r="J4058">
        <v>1</v>
      </c>
      <c r="K4058">
        <v>282</v>
      </c>
      <c r="L4058">
        <v>459</v>
      </c>
      <c r="M4058">
        <v>1</v>
      </c>
      <c r="N4058">
        <v>2.0928899999999999E-7</v>
      </c>
      <c r="O4058">
        <v>130</v>
      </c>
    </row>
    <row r="4059" spans="1:15" x14ac:dyDescent="0.25">
      <c r="A4059" t="s">
        <v>4072</v>
      </c>
      <c r="B4059">
        <v>369</v>
      </c>
      <c r="C4059" s="1" t="str">
        <f>HYPERLINK("http://www.rosaceae.org/gb/gbrowse/malus_x_domestica/?name=MDP0000145533","MDP0000145533")</f>
        <v>MDP0000145533</v>
      </c>
      <c r="D4059">
        <v>74.3</v>
      </c>
      <c r="E4059">
        <v>393</v>
      </c>
      <c r="F4059">
        <v>101</v>
      </c>
      <c r="G4059">
        <v>30</v>
      </c>
      <c r="H4059">
        <v>1</v>
      </c>
      <c r="I4059">
        <v>363</v>
      </c>
      <c r="J4059">
        <v>1</v>
      </c>
      <c r="K4059">
        <v>1</v>
      </c>
      <c r="L4059">
        <v>393</v>
      </c>
      <c r="M4059">
        <v>1</v>
      </c>
      <c r="N4059">
        <v>2.76397E-170</v>
      </c>
      <c r="O4059">
        <v>1534</v>
      </c>
    </row>
    <row r="4060" spans="1:15" x14ac:dyDescent="0.25">
      <c r="A4060" t="s">
        <v>4073</v>
      </c>
      <c r="B4060">
        <v>186</v>
      </c>
      <c r="C4060" s="1" t="str">
        <f>HYPERLINK("http://www.rosaceae.org/gb/gbrowse/malus_x_domestica/?name=MDP0000616265","MDP0000616265")</f>
        <v>MDP0000616265</v>
      </c>
      <c r="D4060">
        <v>63.63</v>
      </c>
      <c r="E4060">
        <v>165</v>
      </c>
      <c r="F4060">
        <v>60</v>
      </c>
      <c r="G4060">
        <v>4</v>
      </c>
      <c r="H4060">
        <v>4</v>
      </c>
      <c r="I4060">
        <v>164</v>
      </c>
      <c r="J4060">
        <v>1</v>
      </c>
      <c r="K4060">
        <v>3</v>
      </c>
      <c r="L4060">
        <v>167</v>
      </c>
      <c r="M4060">
        <v>1</v>
      </c>
      <c r="N4060">
        <v>1.5827E-56</v>
      </c>
      <c r="O4060">
        <v>549</v>
      </c>
    </row>
    <row r="4061" spans="1:15" x14ac:dyDescent="0.25">
      <c r="A4061" t="s">
        <v>4074</v>
      </c>
      <c r="B4061">
        <v>625</v>
      </c>
      <c r="C4061" s="1" t="str">
        <f>HYPERLINK("http://www.rosaceae.org/gb/gbrowse/malus_x_domestica/?name=MDP0000188344","MDP0000188344")</f>
        <v>MDP0000188344</v>
      </c>
      <c r="D4061">
        <v>50.78</v>
      </c>
      <c r="E4061">
        <v>191</v>
      </c>
      <c r="F4061">
        <v>94</v>
      </c>
      <c r="G4061">
        <v>11</v>
      </c>
      <c r="H4061">
        <v>1</v>
      </c>
      <c r="I4061">
        <v>187</v>
      </c>
      <c r="J4061">
        <v>1</v>
      </c>
      <c r="K4061">
        <v>1</v>
      </c>
      <c r="L4061">
        <v>184</v>
      </c>
      <c r="M4061">
        <v>1</v>
      </c>
      <c r="N4061">
        <v>2.2675099999999999E-42</v>
      </c>
      <c r="O4061">
        <v>433</v>
      </c>
    </row>
    <row r="4062" spans="1:15" x14ac:dyDescent="0.25">
      <c r="A4062" t="s">
        <v>4075</v>
      </c>
      <c r="B4062">
        <v>285</v>
      </c>
      <c r="C4062" s="1" t="str">
        <f>HYPERLINK("http://www.rosaceae.org/gb/gbrowse/malus_x_domestica/?name=MDP0000140915","MDP0000140915")</f>
        <v>MDP0000140915</v>
      </c>
      <c r="D4062">
        <v>56.68</v>
      </c>
      <c r="E4062">
        <v>314</v>
      </c>
      <c r="F4062">
        <v>136</v>
      </c>
      <c r="G4062">
        <v>31</v>
      </c>
      <c r="H4062">
        <v>1</v>
      </c>
      <c r="I4062">
        <v>283</v>
      </c>
      <c r="J4062">
        <v>1</v>
      </c>
      <c r="K4062">
        <v>295</v>
      </c>
      <c r="L4062">
        <v>608</v>
      </c>
      <c r="M4062">
        <v>1</v>
      </c>
      <c r="N4062">
        <v>7.0341300000000003E-97</v>
      </c>
      <c r="O4062">
        <v>899</v>
      </c>
    </row>
    <row r="4063" spans="1:15" x14ac:dyDescent="0.25">
      <c r="A4063" t="s">
        <v>4076</v>
      </c>
      <c r="B4063">
        <v>302</v>
      </c>
      <c r="C4063" s="1" t="str">
        <f>HYPERLINK("http://www.rosaceae.org/gb/gbrowse/malus_x_domestica/?name=MDP0000320310","MDP0000320310")</f>
        <v>MDP0000320310</v>
      </c>
      <c r="D4063">
        <v>69.77</v>
      </c>
      <c r="E4063">
        <v>225</v>
      </c>
      <c r="F4063">
        <v>68</v>
      </c>
      <c r="G4063">
        <v>18</v>
      </c>
      <c r="H4063">
        <v>63</v>
      </c>
      <c r="I4063">
        <v>287</v>
      </c>
      <c r="J4063">
        <v>1</v>
      </c>
      <c r="K4063">
        <v>95</v>
      </c>
      <c r="L4063">
        <v>301</v>
      </c>
      <c r="M4063">
        <v>1</v>
      </c>
      <c r="N4063">
        <v>8.2677299999999997E-75</v>
      </c>
      <c r="O4063">
        <v>709</v>
      </c>
    </row>
    <row r="4064" spans="1:15" x14ac:dyDescent="0.25">
      <c r="A4064" t="s">
        <v>4077</v>
      </c>
      <c r="B4064">
        <v>418</v>
      </c>
      <c r="C4064" s="1" t="str">
        <f>HYPERLINK("http://www.rosaceae.org/gb/gbrowse/malus_x_domestica/?name=MDP0000211456","MDP0000211456")</f>
        <v>MDP0000211456</v>
      </c>
      <c r="D4064">
        <v>70.33</v>
      </c>
      <c r="E4064">
        <v>472</v>
      </c>
      <c r="F4064">
        <v>140</v>
      </c>
      <c r="G4064">
        <v>68</v>
      </c>
      <c r="H4064">
        <v>1</v>
      </c>
      <c r="I4064">
        <v>418</v>
      </c>
      <c r="J4064">
        <v>1</v>
      </c>
      <c r="K4064">
        <v>1</v>
      </c>
      <c r="L4064">
        <v>458</v>
      </c>
      <c r="M4064">
        <v>1</v>
      </c>
      <c r="N4064">
        <v>8.0734000000000006E-173</v>
      </c>
      <c r="O4064">
        <v>1556</v>
      </c>
    </row>
    <row r="4065" spans="1:15" x14ac:dyDescent="0.25">
      <c r="A4065" t="s">
        <v>4078</v>
      </c>
      <c r="B4065">
        <v>154</v>
      </c>
      <c r="C4065" s="1" t="str">
        <f>HYPERLINK("http://www.rosaceae.org/gb/gbrowse/malus_x_domestica/?name=MDP0000276262","MDP0000276262")</f>
        <v>MDP0000276262</v>
      </c>
      <c r="D4065">
        <v>76.819999999999993</v>
      </c>
      <c r="E4065">
        <v>151</v>
      </c>
      <c r="F4065">
        <v>35</v>
      </c>
      <c r="G4065">
        <v>2</v>
      </c>
      <c r="H4065">
        <v>1</v>
      </c>
      <c r="I4065">
        <v>151</v>
      </c>
      <c r="J4065">
        <v>1</v>
      </c>
      <c r="K4065">
        <v>1</v>
      </c>
      <c r="L4065">
        <v>149</v>
      </c>
      <c r="M4065">
        <v>1</v>
      </c>
      <c r="N4065">
        <v>2.6906100000000001E-56</v>
      </c>
      <c r="O4065">
        <v>545</v>
      </c>
    </row>
    <row r="4066" spans="1:15" x14ac:dyDescent="0.25">
      <c r="A4066" t="s">
        <v>4079</v>
      </c>
      <c r="B4066">
        <v>509</v>
      </c>
      <c r="C4066" s="1" t="str">
        <f>HYPERLINK("http://www.rosaceae.org/gb/gbrowse/malus_x_domestica/?name=MDP0000230054","MDP0000230054")</f>
        <v>MDP0000230054</v>
      </c>
      <c r="D4066">
        <v>57.7</v>
      </c>
      <c r="E4066">
        <v>532</v>
      </c>
      <c r="F4066">
        <v>225</v>
      </c>
      <c r="G4066">
        <v>59</v>
      </c>
      <c r="H4066">
        <v>33</v>
      </c>
      <c r="I4066">
        <v>508</v>
      </c>
      <c r="J4066">
        <v>1</v>
      </c>
      <c r="K4066">
        <v>15</v>
      </c>
      <c r="L4066">
        <v>543</v>
      </c>
      <c r="M4066">
        <v>1</v>
      </c>
      <c r="N4066">
        <v>7.0603899999999999E-180</v>
      </c>
      <c r="O4066">
        <v>1618</v>
      </c>
    </row>
    <row r="4067" spans="1:15" x14ac:dyDescent="0.25">
      <c r="A4067" t="s">
        <v>4080</v>
      </c>
      <c r="B4067">
        <v>437</v>
      </c>
      <c r="C4067" s="1" t="str">
        <f>HYPERLINK("http://www.rosaceae.org/gb/gbrowse/malus_x_domestica/?name=MDP0000910561","MDP0000910561")</f>
        <v>MDP0000910561</v>
      </c>
      <c r="D4067">
        <v>82.91</v>
      </c>
      <c r="E4067">
        <v>398</v>
      </c>
      <c r="F4067">
        <v>68</v>
      </c>
      <c r="G4067">
        <v>0</v>
      </c>
      <c r="H4067">
        <v>20</v>
      </c>
      <c r="I4067">
        <v>417</v>
      </c>
      <c r="J4067">
        <v>1</v>
      </c>
      <c r="K4067">
        <v>24</v>
      </c>
      <c r="L4067">
        <v>421</v>
      </c>
      <c r="M4067">
        <v>1</v>
      </c>
      <c r="N4067">
        <v>0</v>
      </c>
      <c r="O4067">
        <v>1746</v>
      </c>
    </row>
    <row r="4068" spans="1:15" x14ac:dyDescent="0.25">
      <c r="A4068" t="s">
        <v>4081</v>
      </c>
      <c r="B4068">
        <v>194</v>
      </c>
      <c r="C4068" s="1" t="str">
        <f>HYPERLINK("http://www.rosaceae.org/gb/gbrowse/malus_x_domestica/?name=MDP0000142111","MDP0000142111")</f>
        <v>MDP0000142111</v>
      </c>
      <c r="D4068">
        <v>56.79</v>
      </c>
      <c r="E4068">
        <v>81</v>
      </c>
      <c r="F4068">
        <v>35</v>
      </c>
      <c r="G4068">
        <v>2</v>
      </c>
      <c r="H4068">
        <v>18</v>
      </c>
      <c r="I4068">
        <v>98</v>
      </c>
      <c r="J4068">
        <v>1</v>
      </c>
      <c r="K4068">
        <v>63</v>
      </c>
      <c r="L4068">
        <v>141</v>
      </c>
      <c r="M4068">
        <v>1</v>
      </c>
      <c r="N4068">
        <v>2.03157E-19</v>
      </c>
      <c r="O4068">
        <v>229</v>
      </c>
    </row>
    <row r="4069" spans="1:15" x14ac:dyDescent="0.25">
      <c r="A4069" t="s">
        <v>4082</v>
      </c>
      <c r="B4069">
        <v>588</v>
      </c>
      <c r="C4069" s="1" t="str">
        <f>HYPERLINK("http://www.rosaceae.org/gb/gbrowse/malus_x_domestica/?name=MDP0000252680","MDP0000252680")</f>
        <v>MDP0000252680</v>
      </c>
      <c r="D4069">
        <v>58.73</v>
      </c>
      <c r="E4069">
        <v>475</v>
      </c>
      <c r="F4069">
        <v>196</v>
      </c>
      <c r="G4069">
        <v>37</v>
      </c>
      <c r="H4069">
        <v>22</v>
      </c>
      <c r="I4069">
        <v>486</v>
      </c>
      <c r="J4069">
        <v>1</v>
      </c>
      <c r="K4069">
        <v>21</v>
      </c>
      <c r="L4069">
        <v>468</v>
      </c>
      <c r="M4069">
        <v>1</v>
      </c>
      <c r="N4069">
        <v>1.0666099999999999E-133</v>
      </c>
      <c r="O4069">
        <v>1220</v>
      </c>
    </row>
    <row r="4070" spans="1:15" x14ac:dyDescent="0.25">
      <c r="A4070" t="s">
        <v>4083</v>
      </c>
      <c r="B4070">
        <v>277</v>
      </c>
      <c r="C4070" s="1" t="str">
        <f>HYPERLINK("http://www.rosaceae.org/gb/gbrowse/malus_x_domestica/?name=MDP0000239645","MDP0000239645")</f>
        <v>MDP0000239645</v>
      </c>
      <c r="D4070">
        <v>75.75</v>
      </c>
      <c r="E4070">
        <v>132</v>
      </c>
      <c r="F4070">
        <v>32</v>
      </c>
      <c r="G4070">
        <v>0</v>
      </c>
      <c r="H4070">
        <v>1</v>
      </c>
      <c r="I4070">
        <v>132</v>
      </c>
      <c r="J4070">
        <v>1</v>
      </c>
      <c r="K4070">
        <v>1</v>
      </c>
      <c r="L4070">
        <v>132</v>
      </c>
      <c r="M4070">
        <v>1</v>
      </c>
      <c r="N4070">
        <v>3.7019699999999999E-56</v>
      </c>
      <c r="O4070">
        <v>548</v>
      </c>
    </row>
    <row r="4071" spans="1:15" x14ac:dyDescent="0.25">
      <c r="A4071" t="s">
        <v>4084</v>
      </c>
      <c r="B4071">
        <v>1324</v>
      </c>
      <c r="C4071" s="1" t="str">
        <f>HYPERLINK("http://www.rosaceae.org/gb/gbrowse/malus_x_domestica/?name=MDP0000863169","MDP0000863169")</f>
        <v>MDP0000863169</v>
      </c>
      <c r="D4071">
        <v>81.94</v>
      </c>
      <c r="E4071">
        <v>1268</v>
      </c>
      <c r="F4071">
        <v>229</v>
      </c>
      <c r="G4071">
        <v>23</v>
      </c>
      <c r="H4071">
        <v>1</v>
      </c>
      <c r="I4071">
        <v>1266</v>
      </c>
      <c r="J4071">
        <v>1</v>
      </c>
      <c r="K4071">
        <v>1</v>
      </c>
      <c r="L4071">
        <v>1247</v>
      </c>
      <c r="M4071">
        <v>1</v>
      </c>
      <c r="N4071">
        <v>0</v>
      </c>
      <c r="O4071">
        <v>5437</v>
      </c>
    </row>
    <row r="4072" spans="1:15" x14ac:dyDescent="0.25">
      <c r="A4072" t="s">
        <v>4085</v>
      </c>
      <c r="B4072">
        <v>297</v>
      </c>
      <c r="C4072" s="1" t="str">
        <f>HYPERLINK("http://www.rosaceae.org/gb/gbrowse/malus_x_domestica/?name=MDP0000603684","MDP0000603684")</f>
        <v>MDP0000603684</v>
      </c>
      <c r="D4072">
        <v>50.47</v>
      </c>
      <c r="E4072">
        <v>313</v>
      </c>
      <c r="F4072">
        <v>155</v>
      </c>
      <c r="G4072">
        <v>41</v>
      </c>
      <c r="H4072">
        <v>19</v>
      </c>
      <c r="I4072">
        <v>290</v>
      </c>
      <c r="J4072">
        <v>1</v>
      </c>
      <c r="K4072">
        <v>19</v>
      </c>
      <c r="L4072">
        <v>331</v>
      </c>
      <c r="M4072">
        <v>1</v>
      </c>
      <c r="N4072">
        <v>7.3510399999999997E-76</v>
      </c>
      <c r="O4072">
        <v>718</v>
      </c>
    </row>
    <row r="4073" spans="1:15" x14ac:dyDescent="0.25">
      <c r="A4073" t="s">
        <v>4086</v>
      </c>
      <c r="B4073">
        <v>1106</v>
      </c>
      <c r="C4073" s="1" t="str">
        <f>HYPERLINK("http://www.rosaceae.org/gb/gbrowse/malus_x_domestica/?name=MDP0000157412","MDP0000157412")</f>
        <v>MDP0000157412</v>
      </c>
      <c r="D4073">
        <v>77.61</v>
      </c>
      <c r="E4073">
        <v>478</v>
      </c>
      <c r="F4073">
        <v>107</v>
      </c>
      <c r="G4073">
        <v>10</v>
      </c>
      <c r="H4073">
        <v>23</v>
      </c>
      <c r="I4073">
        <v>490</v>
      </c>
      <c r="J4073">
        <v>1</v>
      </c>
      <c r="K4073">
        <v>144</v>
      </c>
      <c r="L4073">
        <v>621</v>
      </c>
      <c r="M4073">
        <v>1</v>
      </c>
      <c r="N4073">
        <v>0</v>
      </c>
      <c r="O4073">
        <v>1981</v>
      </c>
    </row>
    <row r="4074" spans="1:15" x14ac:dyDescent="0.25">
      <c r="A4074" t="s">
        <v>4087</v>
      </c>
      <c r="B4074">
        <v>988</v>
      </c>
      <c r="C4074" s="1" t="str">
        <f>HYPERLINK("http://www.rosaceae.org/gb/gbrowse/malus_x_domestica/?name=MDP0000223879","MDP0000223879")</f>
        <v>MDP0000223879</v>
      </c>
      <c r="D4074">
        <v>85.89</v>
      </c>
      <c r="E4074">
        <v>468</v>
      </c>
      <c r="F4074">
        <v>66</v>
      </c>
      <c r="G4074">
        <v>1</v>
      </c>
      <c r="H4074">
        <v>336</v>
      </c>
      <c r="I4074">
        <v>802</v>
      </c>
      <c r="J4074">
        <v>1</v>
      </c>
      <c r="K4074">
        <v>33</v>
      </c>
      <c r="L4074">
        <v>500</v>
      </c>
      <c r="M4074">
        <v>1</v>
      </c>
      <c r="N4074">
        <v>0</v>
      </c>
      <c r="O4074">
        <v>2164</v>
      </c>
    </row>
    <row r="4075" spans="1:15" x14ac:dyDescent="0.25">
      <c r="A4075" t="s">
        <v>4088</v>
      </c>
      <c r="B4075">
        <v>186</v>
      </c>
      <c r="C4075" s="1" t="str">
        <f>HYPERLINK("http://www.rosaceae.org/gb/gbrowse/malus_x_domestica/?name=MDP0000186728","MDP0000186728")</f>
        <v>MDP0000186728</v>
      </c>
      <c r="D4075">
        <v>41.17</v>
      </c>
      <c r="E4075">
        <v>170</v>
      </c>
      <c r="F4075">
        <v>100</v>
      </c>
      <c r="G4075">
        <v>12</v>
      </c>
      <c r="H4075">
        <v>1</v>
      </c>
      <c r="I4075">
        <v>164</v>
      </c>
      <c r="J4075">
        <v>1</v>
      </c>
      <c r="K4075">
        <v>9</v>
      </c>
      <c r="L4075">
        <v>172</v>
      </c>
      <c r="M4075">
        <v>1</v>
      </c>
      <c r="N4075">
        <v>5.8239500000000001E-23</v>
      </c>
      <c r="O4075">
        <v>259</v>
      </c>
    </row>
    <row r="4076" spans="1:15" x14ac:dyDescent="0.25">
      <c r="A4076" t="s">
        <v>4089</v>
      </c>
      <c r="B4076">
        <v>745</v>
      </c>
      <c r="C4076" s="1" t="str">
        <f>HYPERLINK("http://www.rosaceae.org/gb/gbrowse/malus_x_domestica/?name=MDP0000311558","MDP0000311558")</f>
        <v>MDP0000311558</v>
      </c>
      <c r="D4076">
        <v>47.28</v>
      </c>
      <c r="E4076">
        <v>332</v>
      </c>
      <c r="F4076">
        <v>175</v>
      </c>
      <c r="G4076">
        <v>13</v>
      </c>
      <c r="H4076">
        <v>1</v>
      </c>
      <c r="I4076">
        <v>320</v>
      </c>
      <c r="J4076">
        <v>1</v>
      </c>
      <c r="K4076">
        <v>1</v>
      </c>
      <c r="L4076">
        <v>331</v>
      </c>
      <c r="M4076">
        <v>1</v>
      </c>
      <c r="N4076">
        <v>7.9565500000000002E-71</v>
      </c>
      <c r="O4076">
        <v>679</v>
      </c>
    </row>
    <row r="4077" spans="1:15" x14ac:dyDescent="0.25">
      <c r="A4077" t="s">
        <v>4090</v>
      </c>
      <c r="B4077">
        <v>184</v>
      </c>
      <c r="C4077" s="1" t="str">
        <f>HYPERLINK("http://www.rosaceae.org/gb/gbrowse/malus_x_domestica/?name=MDP0000289755","MDP0000289755")</f>
        <v>MDP0000289755</v>
      </c>
      <c r="D4077">
        <v>66.959999999999994</v>
      </c>
      <c r="E4077">
        <v>112</v>
      </c>
      <c r="F4077">
        <v>37</v>
      </c>
      <c r="G4077">
        <v>15</v>
      </c>
      <c r="H4077">
        <v>1</v>
      </c>
      <c r="I4077">
        <v>112</v>
      </c>
      <c r="J4077">
        <v>1</v>
      </c>
      <c r="K4077">
        <v>63</v>
      </c>
      <c r="L4077">
        <v>159</v>
      </c>
      <c r="M4077">
        <v>1</v>
      </c>
      <c r="N4077">
        <v>1.33873E-37</v>
      </c>
      <c r="O4077">
        <v>385</v>
      </c>
    </row>
    <row r="4078" spans="1:15" x14ac:dyDescent="0.25">
      <c r="A4078" t="s">
        <v>4091</v>
      </c>
      <c r="B4078">
        <v>246</v>
      </c>
      <c r="C4078" s="1" t="str">
        <f>HYPERLINK("http://www.rosaceae.org/gb/gbrowse/malus_x_domestica/?name=MDP0000641719","MDP0000641719")</f>
        <v>MDP0000641719</v>
      </c>
      <c r="D4078">
        <v>95.72</v>
      </c>
      <c r="E4078">
        <v>117</v>
      </c>
      <c r="F4078">
        <v>5</v>
      </c>
      <c r="G4078">
        <v>0</v>
      </c>
      <c r="H4078">
        <v>1</v>
      </c>
      <c r="I4078">
        <v>117</v>
      </c>
      <c r="J4078">
        <v>1</v>
      </c>
      <c r="K4078">
        <v>1</v>
      </c>
      <c r="L4078">
        <v>117</v>
      </c>
      <c r="M4078">
        <v>1</v>
      </c>
      <c r="N4078">
        <v>1.2274699999999999E-62</v>
      </c>
      <c r="O4078">
        <v>603</v>
      </c>
    </row>
    <row r="4079" spans="1:15" x14ac:dyDescent="0.25">
      <c r="A4079" t="s">
        <v>4092</v>
      </c>
      <c r="B4079">
        <v>301</v>
      </c>
      <c r="C4079" s="1" t="str">
        <f>HYPERLINK("http://www.rosaceae.org/gb/gbrowse/malus_x_domestica/?name=MDP0000266172","MDP0000266172")</f>
        <v>MDP0000266172</v>
      </c>
      <c r="D4079">
        <v>45.76</v>
      </c>
      <c r="E4079">
        <v>118</v>
      </c>
      <c r="F4079">
        <v>64</v>
      </c>
      <c r="G4079">
        <v>9</v>
      </c>
      <c r="H4079">
        <v>68</v>
      </c>
      <c r="I4079">
        <v>185</v>
      </c>
      <c r="J4079">
        <v>1</v>
      </c>
      <c r="K4079">
        <v>641</v>
      </c>
      <c r="L4079">
        <v>749</v>
      </c>
      <c r="M4079">
        <v>1</v>
      </c>
      <c r="N4079">
        <v>2.1261499999999999E-22</v>
      </c>
      <c r="O4079">
        <v>257</v>
      </c>
    </row>
    <row r="4080" spans="1:15" x14ac:dyDescent="0.25">
      <c r="A4080" t="s">
        <v>4093</v>
      </c>
      <c r="B4080">
        <v>143</v>
      </c>
      <c r="C4080" s="1" t="str">
        <f>HYPERLINK("http://www.rosaceae.org/gb/gbrowse/malus_x_domestica/?name=MDP0000182955","MDP0000182955")</f>
        <v>MDP0000182955</v>
      </c>
      <c r="D4080">
        <v>95.09</v>
      </c>
      <c r="E4080">
        <v>102</v>
      </c>
      <c r="F4080">
        <v>5</v>
      </c>
      <c r="G4080">
        <v>0</v>
      </c>
      <c r="H4080">
        <v>18</v>
      </c>
      <c r="I4080">
        <v>119</v>
      </c>
      <c r="J4080">
        <v>1</v>
      </c>
      <c r="K4080">
        <v>239</v>
      </c>
      <c r="L4080">
        <v>340</v>
      </c>
      <c r="M4080">
        <v>1</v>
      </c>
      <c r="N4080">
        <v>2.6711100000000002E-53</v>
      </c>
      <c r="O4080">
        <v>519</v>
      </c>
    </row>
    <row r="4081" spans="1:15" x14ac:dyDescent="0.25">
      <c r="A4081" t="s">
        <v>4094</v>
      </c>
      <c r="B4081">
        <v>139</v>
      </c>
      <c r="C4081" s="1" t="str">
        <f>HYPERLINK("http://www.rosaceae.org/gb/gbrowse/malus_x_domestica/?name=MDP0000893382","MDP0000893382")</f>
        <v>MDP0000893382</v>
      </c>
      <c r="D4081">
        <v>41.21</v>
      </c>
      <c r="E4081">
        <v>148</v>
      </c>
      <c r="F4081">
        <v>87</v>
      </c>
      <c r="G4081">
        <v>28</v>
      </c>
      <c r="H4081">
        <v>1</v>
      </c>
      <c r="I4081">
        <v>136</v>
      </c>
      <c r="J4081">
        <v>1</v>
      </c>
      <c r="K4081">
        <v>1</v>
      </c>
      <c r="L4081">
        <v>132</v>
      </c>
      <c r="M4081">
        <v>1</v>
      </c>
      <c r="N4081">
        <v>2.8378599999999998E-17</v>
      </c>
      <c r="O4081">
        <v>208</v>
      </c>
    </row>
    <row r="4082" spans="1:15" x14ac:dyDescent="0.25">
      <c r="A4082" t="s">
        <v>4095</v>
      </c>
      <c r="B4082">
        <v>776</v>
      </c>
      <c r="C4082" s="1" t="str">
        <f>HYPERLINK("http://www.rosaceae.org/gb/gbrowse/malus_x_domestica/?name=MDP0000296691","MDP0000296691")</f>
        <v>MDP0000296691</v>
      </c>
      <c r="D4082">
        <v>25.19</v>
      </c>
      <c r="E4082">
        <v>385</v>
      </c>
      <c r="F4082">
        <v>288</v>
      </c>
      <c r="G4082">
        <v>76</v>
      </c>
      <c r="H4082">
        <v>109</v>
      </c>
      <c r="I4082">
        <v>485</v>
      </c>
      <c r="J4082">
        <v>1</v>
      </c>
      <c r="K4082">
        <v>376</v>
      </c>
      <c r="L4082">
        <v>692</v>
      </c>
      <c r="M4082">
        <v>1</v>
      </c>
      <c r="N4082">
        <v>1.0773E-24</v>
      </c>
      <c r="O4082">
        <v>281</v>
      </c>
    </row>
    <row r="4083" spans="1:15" x14ac:dyDescent="0.25">
      <c r="A4083" t="s">
        <v>4096</v>
      </c>
      <c r="B4083">
        <v>137</v>
      </c>
      <c r="C4083" s="1" t="str">
        <f>HYPERLINK("http://www.rosaceae.org/gb/gbrowse/malus_x_domestica/?name=MDP0000174218","MDP0000174218")</f>
        <v>MDP0000174218</v>
      </c>
      <c r="D4083">
        <v>65.3</v>
      </c>
      <c r="E4083">
        <v>49</v>
      </c>
      <c r="F4083">
        <v>17</v>
      </c>
      <c r="G4083">
        <v>0</v>
      </c>
      <c r="H4083">
        <v>87</v>
      </c>
      <c r="I4083">
        <v>135</v>
      </c>
      <c r="J4083">
        <v>1</v>
      </c>
      <c r="K4083">
        <v>8</v>
      </c>
      <c r="L4083">
        <v>56</v>
      </c>
      <c r="M4083">
        <v>1</v>
      </c>
      <c r="N4083">
        <v>1.00039E-10</v>
      </c>
      <c r="O4083">
        <v>151</v>
      </c>
    </row>
    <row r="4084" spans="1:15" x14ac:dyDescent="0.25">
      <c r="A4084" t="s">
        <v>4097</v>
      </c>
      <c r="B4084">
        <v>717</v>
      </c>
      <c r="C4084" s="1" t="str">
        <f>HYPERLINK("http://www.rosaceae.org/gb/gbrowse/malus_x_domestica/?name=MDP0000186866","MDP0000186866")</f>
        <v>MDP0000186866</v>
      </c>
      <c r="D4084">
        <v>85.53</v>
      </c>
      <c r="E4084">
        <v>546</v>
      </c>
      <c r="F4084">
        <v>79</v>
      </c>
      <c r="G4084">
        <v>27</v>
      </c>
      <c r="H4084">
        <v>1</v>
      </c>
      <c r="I4084">
        <v>520</v>
      </c>
      <c r="J4084">
        <v>1</v>
      </c>
      <c r="K4084">
        <v>17</v>
      </c>
      <c r="L4084">
        <v>561</v>
      </c>
      <c r="M4084">
        <v>1</v>
      </c>
      <c r="N4084">
        <v>0</v>
      </c>
      <c r="O4084">
        <v>2498</v>
      </c>
    </row>
    <row r="4085" spans="1:15" x14ac:dyDescent="0.25">
      <c r="A4085" t="s">
        <v>4098</v>
      </c>
      <c r="B4085">
        <v>586</v>
      </c>
      <c r="C4085" s="1" t="str">
        <f>HYPERLINK("http://www.rosaceae.org/gb/gbrowse/malus_x_domestica/?name=MDP0000285644","MDP0000285644")</f>
        <v>MDP0000285644</v>
      </c>
      <c r="D4085">
        <v>69.34</v>
      </c>
      <c r="E4085">
        <v>561</v>
      </c>
      <c r="F4085">
        <v>172</v>
      </c>
      <c r="G4085">
        <v>2</v>
      </c>
      <c r="H4085">
        <v>20</v>
      </c>
      <c r="I4085">
        <v>580</v>
      </c>
      <c r="J4085">
        <v>1</v>
      </c>
      <c r="K4085">
        <v>4</v>
      </c>
      <c r="L4085">
        <v>562</v>
      </c>
      <c r="M4085">
        <v>1</v>
      </c>
      <c r="N4085">
        <v>0</v>
      </c>
      <c r="O4085">
        <v>2104</v>
      </c>
    </row>
    <row r="4086" spans="1:15" x14ac:dyDescent="0.25">
      <c r="A4086" t="s">
        <v>4099</v>
      </c>
      <c r="B4086">
        <v>117</v>
      </c>
      <c r="C4086" s="1" t="str">
        <f>HYPERLINK("http://www.rosaceae.org/gb/gbrowse/malus_x_domestica/?name=MDP0000142394","MDP0000142394")</f>
        <v>MDP0000142394</v>
      </c>
      <c r="D4086">
        <v>52.72</v>
      </c>
      <c r="E4086">
        <v>110</v>
      </c>
      <c r="F4086">
        <v>52</v>
      </c>
      <c r="G4086">
        <v>7</v>
      </c>
      <c r="H4086">
        <v>1</v>
      </c>
      <c r="I4086">
        <v>108</v>
      </c>
      <c r="J4086">
        <v>1</v>
      </c>
      <c r="K4086">
        <v>1</v>
      </c>
      <c r="L4086">
        <v>105</v>
      </c>
      <c r="M4086">
        <v>1</v>
      </c>
      <c r="N4086">
        <v>4.0774699999999998E-30</v>
      </c>
      <c r="O4086">
        <v>317</v>
      </c>
    </row>
    <row r="4087" spans="1:15" x14ac:dyDescent="0.25">
      <c r="A4087" t="s">
        <v>4100</v>
      </c>
      <c r="B4087">
        <v>229</v>
      </c>
      <c r="C4087" s="1" t="str">
        <f>HYPERLINK("http://www.rosaceae.org/gb/gbrowse/malus_x_domestica/?name=MDP0000133817","MDP0000133817")</f>
        <v>MDP0000133817</v>
      </c>
      <c r="D4087">
        <v>69.260000000000005</v>
      </c>
      <c r="E4087">
        <v>218</v>
      </c>
      <c r="F4087">
        <v>67</v>
      </c>
      <c r="G4087">
        <v>17</v>
      </c>
      <c r="H4087">
        <v>1</v>
      </c>
      <c r="I4087">
        <v>218</v>
      </c>
      <c r="J4087">
        <v>1</v>
      </c>
      <c r="K4087">
        <v>1</v>
      </c>
      <c r="L4087">
        <v>201</v>
      </c>
      <c r="M4087">
        <v>1</v>
      </c>
      <c r="N4087">
        <v>1.20551E-79</v>
      </c>
      <c r="O4087">
        <v>749</v>
      </c>
    </row>
    <row r="4088" spans="1:15" x14ac:dyDescent="0.25">
      <c r="A4088" t="s">
        <v>4101</v>
      </c>
      <c r="B4088">
        <v>327</v>
      </c>
      <c r="C4088" s="1" t="str">
        <f>HYPERLINK("http://www.rosaceae.org/gb/gbrowse/malus_x_domestica/?name=MDP0000316244","MDP0000316244")</f>
        <v>MDP0000316244</v>
      </c>
      <c r="D4088">
        <v>70.23</v>
      </c>
      <c r="E4088">
        <v>252</v>
      </c>
      <c r="F4088">
        <v>75</v>
      </c>
      <c r="G4088">
        <v>4</v>
      </c>
      <c r="H4088">
        <v>17</v>
      </c>
      <c r="I4088">
        <v>266</v>
      </c>
      <c r="J4088">
        <v>1</v>
      </c>
      <c r="K4088">
        <v>265</v>
      </c>
      <c r="L4088">
        <v>514</v>
      </c>
      <c r="M4088">
        <v>1</v>
      </c>
      <c r="N4088">
        <v>9.9698699999999995E-97</v>
      </c>
      <c r="O4088">
        <v>899</v>
      </c>
    </row>
    <row r="4089" spans="1:15" x14ac:dyDescent="0.25">
      <c r="A4089" t="s">
        <v>4102</v>
      </c>
      <c r="B4089">
        <v>565</v>
      </c>
      <c r="C4089" s="1" t="str">
        <f>HYPERLINK("http://www.rosaceae.org/gb/gbrowse/malus_x_domestica/?name=MDP0000310791","MDP0000310791")</f>
        <v>MDP0000310791</v>
      </c>
      <c r="D4089">
        <v>71.45</v>
      </c>
      <c r="E4089">
        <v>592</v>
      </c>
      <c r="F4089">
        <v>169</v>
      </c>
      <c r="G4089">
        <v>33</v>
      </c>
      <c r="H4089">
        <v>1</v>
      </c>
      <c r="I4089">
        <v>565</v>
      </c>
      <c r="J4089">
        <v>1</v>
      </c>
      <c r="K4089">
        <v>1</v>
      </c>
      <c r="L4089">
        <v>586</v>
      </c>
      <c r="M4089">
        <v>1</v>
      </c>
      <c r="N4089">
        <v>0</v>
      </c>
      <c r="O4089">
        <v>2134</v>
      </c>
    </row>
    <row r="4090" spans="1:15" x14ac:dyDescent="0.25">
      <c r="A4090" t="s">
        <v>4103</v>
      </c>
      <c r="B4090">
        <v>305</v>
      </c>
      <c r="C4090" s="1" t="str">
        <f>HYPERLINK("http://www.rosaceae.org/gb/gbrowse/malus_x_domestica/?name=MDP0000809773","MDP0000809773")</f>
        <v>MDP0000809773</v>
      </c>
      <c r="D4090">
        <v>72.61</v>
      </c>
      <c r="E4090">
        <v>325</v>
      </c>
      <c r="F4090">
        <v>89</v>
      </c>
      <c r="G4090">
        <v>24</v>
      </c>
      <c r="H4090">
        <v>1</v>
      </c>
      <c r="I4090">
        <v>305</v>
      </c>
      <c r="J4090">
        <v>1</v>
      </c>
      <c r="K4090">
        <v>1</v>
      </c>
      <c r="L4090">
        <v>321</v>
      </c>
      <c r="M4090">
        <v>1</v>
      </c>
      <c r="N4090">
        <v>4.1323499999999998E-130</v>
      </c>
      <c r="O4090">
        <v>1186</v>
      </c>
    </row>
    <row r="4091" spans="1:15" x14ac:dyDescent="0.25">
      <c r="A4091" t="s">
        <v>4104</v>
      </c>
      <c r="B4091">
        <v>249</v>
      </c>
      <c r="C4091" s="1" t="str">
        <f>HYPERLINK("http://www.rosaceae.org/gb/gbrowse/malus_x_domestica/?name=MDP0000155066","MDP0000155066")</f>
        <v>MDP0000155066</v>
      </c>
      <c r="D4091">
        <v>59.91</v>
      </c>
      <c r="E4091">
        <v>247</v>
      </c>
      <c r="F4091">
        <v>99</v>
      </c>
      <c r="G4091">
        <v>3</v>
      </c>
      <c r="H4091">
        <v>1</v>
      </c>
      <c r="I4091">
        <v>245</v>
      </c>
      <c r="J4091">
        <v>1</v>
      </c>
      <c r="K4091">
        <v>1</v>
      </c>
      <c r="L4091">
        <v>246</v>
      </c>
      <c r="M4091">
        <v>1</v>
      </c>
      <c r="N4091">
        <v>3.8833699999999998E-74</v>
      </c>
      <c r="O4091">
        <v>702</v>
      </c>
    </row>
    <row r="4092" spans="1:15" x14ac:dyDescent="0.25">
      <c r="A4092" t="s">
        <v>4105</v>
      </c>
      <c r="B4092">
        <v>143</v>
      </c>
      <c r="C4092" s="1" t="str">
        <f>HYPERLINK("http://www.rosaceae.org/gb/gbrowse/malus_x_domestica/?name=MDP0000146555","MDP0000146555")</f>
        <v>MDP0000146555</v>
      </c>
      <c r="D4092">
        <v>39</v>
      </c>
      <c r="E4092">
        <v>100</v>
      </c>
      <c r="F4092">
        <v>61</v>
      </c>
      <c r="G4092">
        <v>6</v>
      </c>
      <c r="H4092">
        <v>23</v>
      </c>
      <c r="I4092">
        <v>116</v>
      </c>
      <c r="J4092">
        <v>1</v>
      </c>
      <c r="K4092">
        <v>234</v>
      </c>
      <c r="L4092">
        <v>333</v>
      </c>
      <c r="M4092">
        <v>1</v>
      </c>
      <c r="N4092">
        <v>2.3455899999999999E-12</v>
      </c>
      <c r="O4092">
        <v>166</v>
      </c>
    </row>
    <row r="4093" spans="1:15" x14ac:dyDescent="0.25">
      <c r="A4093" t="s">
        <v>4106</v>
      </c>
      <c r="B4093">
        <v>291</v>
      </c>
      <c r="C4093" s="1" t="str">
        <f>HYPERLINK("http://www.rosaceae.org/gb/gbrowse/malus_x_domestica/?name=MDP0000934489","MDP0000934489")</f>
        <v>MDP0000934489</v>
      </c>
      <c r="D4093">
        <v>58.5</v>
      </c>
      <c r="E4093">
        <v>294</v>
      </c>
      <c r="F4093">
        <v>122</v>
      </c>
      <c r="G4093">
        <v>7</v>
      </c>
      <c r="H4093">
        <v>1</v>
      </c>
      <c r="I4093">
        <v>291</v>
      </c>
      <c r="J4093">
        <v>1</v>
      </c>
      <c r="K4093">
        <v>1</v>
      </c>
      <c r="L4093">
        <v>290</v>
      </c>
      <c r="M4093">
        <v>1</v>
      </c>
      <c r="N4093">
        <v>1.27713E-76</v>
      </c>
      <c r="O4093">
        <v>725</v>
      </c>
    </row>
    <row r="4094" spans="1:15" x14ac:dyDescent="0.25">
      <c r="A4094" t="s">
        <v>4107</v>
      </c>
      <c r="B4094">
        <v>712</v>
      </c>
      <c r="C4094" s="1" t="str">
        <f>HYPERLINK("http://www.rosaceae.org/gb/gbrowse/malus_x_domestica/?name=MDP0000223167","MDP0000223167")</f>
        <v>MDP0000223167</v>
      </c>
      <c r="D4094">
        <v>63.31</v>
      </c>
      <c r="E4094">
        <v>169</v>
      </c>
      <c r="F4094">
        <v>62</v>
      </c>
      <c r="G4094">
        <v>4</v>
      </c>
      <c r="H4094">
        <v>534</v>
      </c>
      <c r="I4094">
        <v>699</v>
      </c>
      <c r="J4094">
        <v>1</v>
      </c>
      <c r="K4094">
        <v>209</v>
      </c>
      <c r="L4094">
        <v>376</v>
      </c>
      <c r="M4094">
        <v>1</v>
      </c>
      <c r="N4094">
        <v>3.1299999999999999E-54</v>
      </c>
      <c r="O4094">
        <v>536</v>
      </c>
    </row>
    <row r="4095" spans="1:15" x14ac:dyDescent="0.25">
      <c r="A4095" t="s">
        <v>4108</v>
      </c>
      <c r="B4095">
        <v>382</v>
      </c>
      <c r="C4095" s="1" t="str">
        <f>HYPERLINK("http://www.rosaceae.org/gb/gbrowse/malus_x_domestica/?name=MDP0000267409","MDP0000267409")</f>
        <v>MDP0000267409</v>
      </c>
      <c r="D4095">
        <v>34.950000000000003</v>
      </c>
      <c r="E4095">
        <v>103</v>
      </c>
      <c r="F4095">
        <v>67</v>
      </c>
      <c r="G4095">
        <v>7</v>
      </c>
      <c r="H4095">
        <v>9</v>
      </c>
      <c r="I4095">
        <v>108</v>
      </c>
      <c r="J4095">
        <v>1</v>
      </c>
      <c r="K4095">
        <v>543</v>
      </c>
      <c r="L4095">
        <v>641</v>
      </c>
      <c r="M4095">
        <v>1</v>
      </c>
      <c r="N4095">
        <v>9.9308300000000005E-11</v>
      </c>
      <c r="O4095">
        <v>158</v>
      </c>
    </row>
    <row r="4096" spans="1:15" x14ac:dyDescent="0.25">
      <c r="A4096" t="s">
        <v>4109</v>
      </c>
      <c r="B4096">
        <v>209</v>
      </c>
      <c r="C4096" s="1" t="str">
        <f>HYPERLINK("http://www.rosaceae.org/gb/gbrowse/malus_x_domestica/?name=MDP0000397306","MDP0000397306")</f>
        <v>MDP0000397306</v>
      </c>
      <c r="D4096">
        <v>79.900000000000006</v>
      </c>
      <c r="E4096">
        <v>209</v>
      </c>
      <c r="F4096">
        <v>42</v>
      </c>
      <c r="G4096">
        <v>0</v>
      </c>
      <c r="H4096">
        <v>1</v>
      </c>
      <c r="I4096">
        <v>209</v>
      </c>
      <c r="J4096">
        <v>1</v>
      </c>
      <c r="K4096">
        <v>1</v>
      </c>
      <c r="L4096">
        <v>209</v>
      </c>
      <c r="M4096">
        <v>1</v>
      </c>
      <c r="N4096">
        <v>6.3975199999999996E-88</v>
      </c>
      <c r="O4096">
        <v>820</v>
      </c>
    </row>
    <row r="4097" spans="1:15" x14ac:dyDescent="0.25">
      <c r="A4097" t="s">
        <v>4110</v>
      </c>
      <c r="B4097">
        <v>195</v>
      </c>
      <c r="C4097" s="1" t="str">
        <f>HYPERLINK("http://www.rosaceae.org/gb/gbrowse/malus_x_domestica/?name=MDP0000136726","MDP0000136726")</f>
        <v>MDP0000136726</v>
      </c>
      <c r="D4097">
        <v>37.96</v>
      </c>
      <c r="E4097">
        <v>187</v>
      </c>
      <c r="F4097">
        <v>116</v>
      </c>
      <c r="G4097">
        <v>34</v>
      </c>
      <c r="H4097">
        <v>4</v>
      </c>
      <c r="I4097">
        <v>167</v>
      </c>
      <c r="J4097">
        <v>1</v>
      </c>
      <c r="K4097">
        <v>944</v>
      </c>
      <c r="L4097">
        <v>1119</v>
      </c>
      <c r="M4097">
        <v>1</v>
      </c>
      <c r="N4097">
        <v>2.30441E-23</v>
      </c>
      <c r="O4097">
        <v>263</v>
      </c>
    </row>
    <row r="4098" spans="1:15" x14ac:dyDescent="0.25">
      <c r="A4098" t="s">
        <v>4111</v>
      </c>
      <c r="B4098">
        <v>375</v>
      </c>
      <c r="C4098" s="1" t="str">
        <f>HYPERLINK("http://www.rosaceae.org/gb/gbrowse/malus_x_domestica/?name=MDP0000140292","MDP0000140292")</f>
        <v>MDP0000140292</v>
      </c>
      <c r="D4098">
        <v>53.95</v>
      </c>
      <c r="E4098">
        <v>367</v>
      </c>
      <c r="F4098">
        <v>169</v>
      </c>
      <c r="G4098">
        <v>11</v>
      </c>
      <c r="H4098">
        <v>8</v>
      </c>
      <c r="I4098">
        <v>373</v>
      </c>
      <c r="J4098">
        <v>1</v>
      </c>
      <c r="K4098">
        <v>6</v>
      </c>
      <c r="L4098">
        <v>362</v>
      </c>
      <c r="M4098">
        <v>1</v>
      </c>
      <c r="N4098">
        <v>1.19983E-104</v>
      </c>
      <c r="O4098">
        <v>968</v>
      </c>
    </row>
    <row r="4099" spans="1:15" x14ac:dyDescent="0.25">
      <c r="A4099" t="s">
        <v>4112</v>
      </c>
      <c r="B4099">
        <v>527</v>
      </c>
      <c r="C4099" s="1" t="str">
        <f>HYPERLINK("http://www.rosaceae.org/gb/gbrowse/malus_x_domestica/?name=MDP0000306176","MDP0000306176")</f>
        <v>MDP0000306176</v>
      </c>
      <c r="D4099">
        <v>58.5</v>
      </c>
      <c r="E4099">
        <v>535</v>
      </c>
      <c r="F4099">
        <v>222</v>
      </c>
      <c r="G4099">
        <v>37</v>
      </c>
      <c r="H4099">
        <v>1</v>
      </c>
      <c r="I4099">
        <v>526</v>
      </c>
      <c r="J4099">
        <v>1</v>
      </c>
      <c r="K4099">
        <v>217</v>
      </c>
      <c r="L4099">
        <v>723</v>
      </c>
      <c r="M4099">
        <v>1</v>
      </c>
      <c r="N4099">
        <v>1.1486899999999999E-177</v>
      </c>
      <c r="O4099">
        <v>1599</v>
      </c>
    </row>
    <row r="4100" spans="1:15" x14ac:dyDescent="0.25">
      <c r="A4100" t="s">
        <v>4113</v>
      </c>
      <c r="B4100">
        <v>951</v>
      </c>
      <c r="C4100" s="1" t="str">
        <f>HYPERLINK("http://www.rosaceae.org/gb/gbrowse/malus_x_domestica/?name=MDP0000585239","MDP0000585239")</f>
        <v>MDP0000585239</v>
      </c>
      <c r="D4100">
        <v>71.14</v>
      </c>
      <c r="E4100">
        <v>953</v>
      </c>
      <c r="F4100">
        <v>275</v>
      </c>
      <c r="G4100">
        <v>14</v>
      </c>
      <c r="H4100">
        <v>1</v>
      </c>
      <c r="I4100">
        <v>951</v>
      </c>
      <c r="J4100">
        <v>1</v>
      </c>
      <c r="K4100">
        <v>1</v>
      </c>
      <c r="L4100">
        <v>941</v>
      </c>
      <c r="M4100">
        <v>1</v>
      </c>
      <c r="N4100">
        <v>0</v>
      </c>
      <c r="O4100">
        <v>3413</v>
      </c>
    </row>
    <row r="4101" spans="1:15" x14ac:dyDescent="0.25">
      <c r="A4101" t="s">
        <v>4114</v>
      </c>
      <c r="B4101">
        <v>355</v>
      </c>
      <c r="C4101" s="1" t="str">
        <f>HYPERLINK("http://www.rosaceae.org/gb/gbrowse/malus_x_domestica/?name=MDP0000851580","MDP0000851580")</f>
        <v>MDP0000851580</v>
      </c>
      <c r="D4101">
        <v>83.38</v>
      </c>
      <c r="E4101">
        <v>355</v>
      </c>
      <c r="F4101">
        <v>59</v>
      </c>
      <c r="G4101">
        <v>0</v>
      </c>
      <c r="H4101">
        <v>1</v>
      </c>
      <c r="I4101">
        <v>355</v>
      </c>
      <c r="J4101">
        <v>1</v>
      </c>
      <c r="K4101">
        <v>1</v>
      </c>
      <c r="L4101">
        <v>355</v>
      </c>
      <c r="M4101">
        <v>1</v>
      </c>
      <c r="N4101">
        <v>9.5231099999999998E-176</v>
      </c>
      <c r="O4101">
        <v>1580</v>
      </c>
    </row>
    <row r="4102" spans="1:15" x14ac:dyDescent="0.25">
      <c r="A4102" t="s">
        <v>4115</v>
      </c>
      <c r="B4102">
        <v>1892</v>
      </c>
      <c r="C4102" s="1" t="str">
        <f>HYPERLINK("http://www.rosaceae.org/gb/gbrowse/malus_x_domestica/?name=MDP0000218838","MDP0000218838")</f>
        <v>MDP0000218838</v>
      </c>
      <c r="D4102">
        <v>69.13</v>
      </c>
      <c r="E4102">
        <v>392</v>
      </c>
      <c r="F4102">
        <v>121</v>
      </c>
      <c r="G4102">
        <v>44</v>
      </c>
      <c r="H4102">
        <v>1200</v>
      </c>
      <c r="I4102">
        <v>1547</v>
      </c>
      <c r="J4102">
        <v>1</v>
      </c>
      <c r="K4102">
        <v>293</v>
      </c>
      <c r="L4102">
        <v>684</v>
      </c>
      <c r="M4102">
        <v>1</v>
      </c>
      <c r="N4102">
        <v>1.00892E-145</v>
      </c>
      <c r="O4102">
        <v>1329</v>
      </c>
    </row>
    <row r="4103" spans="1:15" x14ac:dyDescent="0.25">
      <c r="A4103" t="s">
        <v>4116</v>
      </c>
      <c r="B4103">
        <v>704</v>
      </c>
      <c r="C4103" s="1" t="str">
        <f>HYPERLINK("http://www.rosaceae.org/gb/gbrowse/malus_x_domestica/?name=MDP0000136726","MDP0000136726")</f>
        <v>MDP0000136726</v>
      </c>
      <c r="D4103">
        <v>46.28</v>
      </c>
      <c r="E4103">
        <v>605</v>
      </c>
      <c r="F4103">
        <v>325</v>
      </c>
      <c r="G4103">
        <v>77</v>
      </c>
      <c r="H4103">
        <v>1</v>
      </c>
      <c r="I4103">
        <v>533</v>
      </c>
      <c r="J4103">
        <v>1</v>
      </c>
      <c r="K4103">
        <v>504</v>
      </c>
      <c r="L4103">
        <v>1103</v>
      </c>
      <c r="M4103">
        <v>1</v>
      </c>
      <c r="N4103">
        <v>1.9447200000000001E-124</v>
      </c>
      <c r="O4103">
        <v>1141</v>
      </c>
    </row>
    <row r="4104" spans="1:15" x14ac:dyDescent="0.25">
      <c r="A4104" t="s">
        <v>4117</v>
      </c>
      <c r="B4104">
        <v>516</v>
      </c>
      <c r="C4104" s="1" t="str">
        <f>HYPERLINK("http://www.rosaceae.org/gb/gbrowse/malus_x_domestica/?name=MDP0000563385","MDP0000563385")</f>
        <v>MDP0000563385</v>
      </c>
      <c r="D4104">
        <v>83.96</v>
      </c>
      <c r="E4104">
        <v>474</v>
      </c>
      <c r="F4104">
        <v>76</v>
      </c>
      <c r="G4104">
        <v>1</v>
      </c>
      <c r="H4104">
        <v>44</v>
      </c>
      <c r="I4104">
        <v>516</v>
      </c>
      <c r="J4104">
        <v>1</v>
      </c>
      <c r="K4104">
        <v>44</v>
      </c>
      <c r="L4104">
        <v>517</v>
      </c>
      <c r="M4104">
        <v>1</v>
      </c>
      <c r="N4104">
        <v>0</v>
      </c>
      <c r="O4104">
        <v>2117</v>
      </c>
    </row>
    <row r="4105" spans="1:15" x14ac:dyDescent="0.25">
      <c r="A4105" t="s">
        <v>4118</v>
      </c>
      <c r="B4105">
        <v>459</v>
      </c>
      <c r="C4105" s="1" t="str">
        <f>HYPERLINK("http://www.rosaceae.org/gb/gbrowse/malus_x_domestica/?name=MDP0000242601","MDP0000242601")</f>
        <v>MDP0000242601</v>
      </c>
      <c r="D4105">
        <v>76.87</v>
      </c>
      <c r="E4105">
        <v>454</v>
      </c>
      <c r="F4105">
        <v>105</v>
      </c>
      <c r="G4105">
        <v>6</v>
      </c>
      <c r="H4105">
        <v>6</v>
      </c>
      <c r="I4105">
        <v>459</v>
      </c>
      <c r="J4105">
        <v>1</v>
      </c>
      <c r="K4105">
        <v>223</v>
      </c>
      <c r="L4105">
        <v>670</v>
      </c>
      <c r="M4105">
        <v>1</v>
      </c>
      <c r="N4105">
        <v>0</v>
      </c>
      <c r="O4105">
        <v>1886</v>
      </c>
    </row>
    <row r="4106" spans="1:15" x14ac:dyDescent="0.25">
      <c r="A4106" t="s">
        <v>4119</v>
      </c>
      <c r="B4106">
        <v>1055</v>
      </c>
      <c r="C4106" s="1" t="str">
        <f>HYPERLINK("http://www.rosaceae.org/gb/gbrowse/malus_x_domestica/?name=MDP0000144320","MDP0000144320")</f>
        <v>MDP0000144320</v>
      </c>
      <c r="D4106">
        <v>76.790000000000006</v>
      </c>
      <c r="E4106">
        <v>1017</v>
      </c>
      <c r="F4106">
        <v>236</v>
      </c>
      <c r="G4106">
        <v>56</v>
      </c>
      <c r="H4106">
        <v>59</v>
      </c>
      <c r="I4106">
        <v>1042</v>
      </c>
      <c r="J4106">
        <v>1</v>
      </c>
      <c r="K4106">
        <v>3</v>
      </c>
      <c r="L4106">
        <v>996</v>
      </c>
      <c r="M4106">
        <v>1</v>
      </c>
      <c r="N4106">
        <v>0</v>
      </c>
      <c r="O4106">
        <v>3977</v>
      </c>
    </row>
    <row r="4107" spans="1:15" x14ac:dyDescent="0.25">
      <c r="A4107" t="s">
        <v>4120</v>
      </c>
      <c r="B4107">
        <v>409</v>
      </c>
      <c r="C4107" s="1" t="str">
        <f>HYPERLINK("http://www.rosaceae.org/gb/gbrowse/malus_x_domestica/?name=MDP0000213302","MDP0000213302")</f>
        <v>MDP0000213302</v>
      </c>
      <c r="D4107">
        <v>58.85</v>
      </c>
      <c r="E4107">
        <v>418</v>
      </c>
      <c r="F4107">
        <v>172</v>
      </c>
      <c r="G4107">
        <v>86</v>
      </c>
      <c r="H4107">
        <v>1</v>
      </c>
      <c r="I4107">
        <v>408</v>
      </c>
      <c r="J4107">
        <v>1</v>
      </c>
      <c r="K4107">
        <v>164</v>
      </c>
      <c r="L4107">
        <v>505</v>
      </c>
      <c r="M4107">
        <v>1</v>
      </c>
      <c r="N4107">
        <v>2.64665E-120</v>
      </c>
      <c r="O4107">
        <v>1103</v>
      </c>
    </row>
    <row r="4108" spans="1:15" x14ac:dyDescent="0.25">
      <c r="A4108" t="s">
        <v>4121</v>
      </c>
      <c r="B4108">
        <v>1018</v>
      </c>
      <c r="C4108" s="1" t="str">
        <f>HYPERLINK("http://www.rosaceae.org/gb/gbrowse/malus_x_domestica/?name=MDP0000580952","MDP0000580952")</f>
        <v>MDP0000580952</v>
      </c>
      <c r="D4108">
        <v>66.56</v>
      </c>
      <c r="E4108">
        <v>1023</v>
      </c>
      <c r="F4108">
        <v>342</v>
      </c>
      <c r="G4108">
        <v>25</v>
      </c>
      <c r="H4108">
        <v>4</v>
      </c>
      <c r="I4108">
        <v>1018</v>
      </c>
      <c r="J4108">
        <v>1</v>
      </c>
      <c r="K4108">
        <v>605</v>
      </c>
      <c r="L4108">
        <v>1610</v>
      </c>
      <c r="M4108">
        <v>1</v>
      </c>
      <c r="N4108">
        <v>0</v>
      </c>
      <c r="O4108">
        <v>3511</v>
      </c>
    </row>
    <row r="4109" spans="1:15" x14ac:dyDescent="0.25">
      <c r="A4109" t="s">
        <v>4122</v>
      </c>
      <c r="B4109">
        <v>213</v>
      </c>
      <c r="C4109" s="1" t="str">
        <f>HYPERLINK("http://www.rosaceae.org/gb/gbrowse/malus_x_domestica/?name=MDP0000311023","MDP0000311023")</f>
        <v>MDP0000311023</v>
      </c>
      <c r="D4109">
        <v>56.94</v>
      </c>
      <c r="E4109">
        <v>216</v>
      </c>
      <c r="F4109">
        <v>93</v>
      </c>
      <c r="G4109">
        <v>12</v>
      </c>
      <c r="H4109">
        <v>1</v>
      </c>
      <c r="I4109">
        <v>213</v>
      </c>
      <c r="J4109">
        <v>1</v>
      </c>
      <c r="K4109">
        <v>1</v>
      </c>
      <c r="L4109">
        <v>207</v>
      </c>
      <c r="M4109">
        <v>1</v>
      </c>
      <c r="N4109">
        <v>1.4406199999999999E-58</v>
      </c>
      <c r="O4109">
        <v>567</v>
      </c>
    </row>
    <row r="4110" spans="1:15" x14ac:dyDescent="0.25">
      <c r="A4110" t="s">
        <v>4123</v>
      </c>
      <c r="B4110">
        <v>494</v>
      </c>
      <c r="C4110" s="1" t="str">
        <f>HYPERLINK("http://www.rosaceae.org/gb/gbrowse/malus_x_domestica/?name=MDP0000247921","MDP0000247921")</f>
        <v>MDP0000247921</v>
      </c>
      <c r="D4110">
        <v>23.14</v>
      </c>
      <c r="E4110">
        <v>566</v>
      </c>
      <c r="F4110">
        <v>435</v>
      </c>
      <c r="G4110">
        <v>102</v>
      </c>
      <c r="H4110">
        <v>19</v>
      </c>
      <c r="I4110">
        <v>485</v>
      </c>
      <c r="J4110">
        <v>1</v>
      </c>
      <c r="K4110">
        <v>565</v>
      </c>
      <c r="L4110">
        <v>1127</v>
      </c>
      <c r="M4110">
        <v>1</v>
      </c>
      <c r="N4110">
        <v>2.2065899999999998E-31</v>
      </c>
      <c r="O4110">
        <v>337</v>
      </c>
    </row>
    <row r="4111" spans="1:15" x14ac:dyDescent="0.25">
      <c r="A4111" t="s">
        <v>4124</v>
      </c>
      <c r="B4111">
        <v>798</v>
      </c>
      <c r="C4111" s="1" t="str">
        <f>HYPERLINK("http://www.rosaceae.org/gb/gbrowse/malus_x_domestica/?name=MDP0000338365","MDP0000338365")</f>
        <v>MDP0000338365</v>
      </c>
      <c r="D4111">
        <v>80.78</v>
      </c>
      <c r="E4111">
        <v>307</v>
      </c>
      <c r="F4111">
        <v>59</v>
      </c>
      <c r="G4111">
        <v>0</v>
      </c>
      <c r="H4111">
        <v>492</v>
      </c>
      <c r="I4111">
        <v>798</v>
      </c>
      <c r="J4111">
        <v>1</v>
      </c>
      <c r="K4111">
        <v>1</v>
      </c>
      <c r="L4111">
        <v>307</v>
      </c>
      <c r="M4111">
        <v>1</v>
      </c>
      <c r="N4111">
        <v>6.4197499999999997E-149</v>
      </c>
      <c r="O4111">
        <v>1353</v>
      </c>
    </row>
    <row r="4112" spans="1:15" x14ac:dyDescent="0.25">
      <c r="A4112" t="s">
        <v>4125</v>
      </c>
      <c r="B4112">
        <v>462</v>
      </c>
      <c r="C4112" s="1" t="str">
        <f>HYPERLINK("http://www.rosaceae.org/gb/gbrowse/malus_x_domestica/?name=MDP0000768256","MDP0000768256")</f>
        <v>MDP0000768256</v>
      </c>
      <c r="D4112">
        <v>76.27</v>
      </c>
      <c r="E4112">
        <v>59</v>
      </c>
      <c r="F4112">
        <v>14</v>
      </c>
      <c r="G4112">
        <v>0</v>
      </c>
      <c r="H4112">
        <v>388</v>
      </c>
      <c r="I4112">
        <v>446</v>
      </c>
      <c r="J4112">
        <v>1</v>
      </c>
      <c r="K4112">
        <v>290</v>
      </c>
      <c r="L4112">
        <v>348</v>
      </c>
      <c r="M4112">
        <v>1</v>
      </c>
      <c r="N4112">
        <v>9.0239199999999997E-20</v>
      </c>
      <c r="O4112">
        <v>237</v>
      </c>
    </row>
    <row r="4113" spans="1:15" x14ac:dyDescent="0.25">
      <c r="A4113" t="s">
        <v>4126</v>
      </c>
      <c r="B4113">
        <v>641</v>
      </c>
      <c r="C4113" s="1" t="str">
        <f>HYPERLINK("http://www.rosaceae.org/gb/gbrowse/malus_x_domestica/?name=MDP0000285672","MDP0000285672")</f>
        <v>MDP0000285672</v>
      </c>
      <c r="D4113">
        <v>52.26</v>
      </c>
      <c r="E4113">
        <v>685</v>
      </c>
      <c r="F4113">
        <v>327</v>
      </c>
      <c r="G4113">
        <v>92</v>
      </c>
      <c r="H4113">
        <v>2</v>
      </c>
      <c r="I4113">
        <v>638</v>
      </c>
      <c r="J4113">
        <v>1</v>
      </c>
      <c r="K4113">
        <v>268</v>
      </c>
      <c r="L4113">
        <v>908</v>
      </c>
      <c r="M4113">
        <v>1</v>
      </c>
      <c r="N4113">
        <v>0</v>
      </c>
      <c r="O4113">
        <v>1663</v>
      </c>
    </row>
    <row r="4114" spans="1:15" x14ac:dyDescent="0.25">
      <c r="A4114" t="s">
        <v>4127</v>
      </c>
      <c r="B4114">
        <v>967</v>
      </c>
      <c r="C4114" s="1" t="str">
        <f>HYPERLINK("http://www.rosaceae.org/gb/gbrowse/malus_x_domestica/?name=MDP0000262843","MDP0000262843")</f>
        <v>MDP0000262843</v>
      </c>
      <c r="D4114">
        <v>71.75</v>
      </c>
      <c r="E4114">
        <v>1002</v>
      </c>
      <c r="F4114">
        <v>283</v>
      </c>
      <c r="G4114">
        <v>106</v>
      </c>
      <c r="H4114">
        <v>1</v>
      </c>
      <c r="I4114">
        <v>967</v>
      </c>
      <c r="J4114">
        <v>1</v>
      </c>
      <c r="K4114">
        <v>1</v>
      </c>
      <c r="L4114">
        <v>931</v>
      </c>
      <c r="M4114">
        <v>1</v>
      </c>
      <c r="N4114">
        <v>0</v>
      </c>
      <c r="O4114">
        <v>3565</v>
      </c>
    </row>
    <row r="4115" spans="1:15" x14ac:dyDescent="0.25">
      <c r="A4115" t="s">
        <v>4128</v>
      </c>
      <c r="B4115">
        <v>294</v>
      </c>
      <c r="C4115" s="1" t="str">
        <f>HYPERLINK("http://www.rosaceae.org/gb/gbrowse/malus_x_domestica/?name=MDP0000841489","MDP0000841489")</f>
        <v>MDP0000841489</v>
      </c>
      <c r="D4115">
        <v>86.1</v>
      </c>
      <c r="E4115">
        <v>295</v>
      </c>
      <c r="F4115">
        <v>41</v>
      </c>
      <c r="G4115">
        <v>1</v>
      </c>
      <c r="H4115">
        <v>1</v>
      </c>
      <c r="I4115">
        <v>294</v>
      </c>
      <c r="J4115">
        <v>1</v>
      </c>
      <c r="K4115">
        <v>1</v>
      </c>
      <c r="L4115">
        <v>295</v>
      </c>
      <c r="M4115">
        <v>1</v>
      </c>
      <c r="N4115">
        <v>1.9114E-150</v>
      </c>
      <c r="O4115">
        <v>1361</v>
      </c>
    </row>
    <row r="4116" spans="1:15" x14ac:dyDescent="0.25">
      <c r="A4116" t="s">
        <v>4129</v>
      </c>
      <c r="B4116">
        <v>174</v>
      </c>
      <c r="C4116" s="1" t="str">
        <f>HYPERLINK("http://www.rosaceae.org/gb/gbrowse/malus_x_domestica/?name=MDP0000656428","MDP0000656428")</f>
        <v>MDP0000656428</v>
      </c>
      <c r="D4116">
        <v>95.97</v>
      </c>
      <c r="E4116">
        <v>174</v>
      </c>
      <c r="F4116">
        <v>7</v>
      </c>
      <c r="G4116">
        <v>0</v>
      </c>
      <c r="H4116">
        <v>1</v>
      </c>
      <c r="I4116">
        <v>174</v>
      </c>
      <c r="J4116">
        <v>1</v>
      </c>
      <c r="K4116">
        <v>1</v>
      </c>
      <c r="L4116">
        <v>174</v>
      </c>
      <c r="M4116">
        <v>1</v>
      </c>
      <c r="N4116">
        <v>4.8871599999999997E-99</v>
      </c>
      <c r="O4116">
        <v>915</v>
      </c>
    </row>
    <row r="4117" spans="1:15" x14ac:dyDescent="0.25">
      <c r="A4117" t="s">
        <v>4130</v>
      </c>
      <c r="B4117">
        <v>1020</v>
      </c>
      <c r="C4117" s="1" t="str">
        <f>HYPERLINK("http://www.rosaceae.org/gb/gbrowse/malus_x_domestica/?name=MDP0000322294","MDP0000322294")</f>
        <v>MDP0000322294</v>
      </c>
      <c r="D4117">
        <v>75.45</v>
      </c>
      <c r="E4117">
        <v>982</v>
      </c>
      <c r="F4117">
        <v>241</v>
      </c>
      <c r="G4117">
        <v>13</v>
      </c>
      <c r="H4117">
        <v>50</v>
      </c>
      <c r="I4117">
        <v>1020</v>
      </c>
      <c r="J4117">
        <v>1</v>
      </c>
      <c r="K4117">
        <v>56</v>
      </c>
      <c r="L4117">
        <v>1035</v>
      </c>
      <c r="M4117">
        <v>1</v>
      </c>
      <c r="N4117">
        <v>0</v>
      </c>
      <c r="O4117">
        <v>3783</v>
      </c>
    </row>
    <row r="4118" spans="1:15" x14ac:dyDescent="0.25">
      <c r="A4118" t="s">
        <v>4131</v>
      </c>
      <c r="B4118">
        <v>569</v>
      </c>
      <c r="C4118" s="1" t="str">
        <f>HYPERLINK("http://www.rosaceae.org/gb/gbrowse/malus_x_domestica/?name=MDP0000462161","MDP0000462161")</f>
        <v>MDP0000462161</v>
      </c>
      <c r="D4118">
        <v>81.83</v>
      </c>
      <c r="E4118">
        <v>490</v>
      </c>
      <c r="F4118">
        <v>89</v>
      </c>
      <c r="G4118">
        <v>0</v>
      </c>
      <c r="H4118">
        <v>80</v>
      </c>
      <c r="I4118">
        <v>569</v>
      </c>
      <c r="J4118">
        <v>1</v>
      </c>
      <c r="K4118">
        <v>219</v>
      </c>
      <c r="L4118">
        <v>708</v>
      </c>
      <c r="M4118">
        <v>1</v>
      </c>
      <c r="N4118">
        <v>0</v>
      </c>
      <c r="O4118">
        <v>2191</v>
      </c>
    </row>
    <row r="4119" spans="1:15" x14ac:dyDescent="0.25">
      <c r="A4119" t="s">
        <v>4132</v>
      </c>
      <c r="B4119">
        <v>543</v>
      </c>
      <c r="C4119" s="1" t="str">
        <f>HYPERLINK("http://www.rosaceae.org/gb/gbrowse/malus_x_domestica/?name=MDP0000320322","MDP0000320322")</f>
        <v>MDP0000320322</v>
      </c>
      <c r="D4119">
        <v>57.09</v>
      </c>
      <c r="E4119">
        <v>324</v>
      </c>
      <c r="F4119">
        <v>139</v>
      </c>
      <c r="G4119">
        <v>28</v>
      </c>
      <c r="H4119">
        <v>219</v>
      </c>
      <c r="I4119">
        <v>514</v>
      </c>
      <c r="J4119">
        <v>1</v>
      </c>
      <c r="K4119">
        <v>216</v>
      </c>
      <c r="L4119">
        <v>539</v>
      </c>
      <c r="M4119">
        <v>1</v>
      </c>
      <c r="N4119">
        <v>2.2585000000000001E-104</v>
      </c>
      <c r="O4119">
        <v>967</v>
      </c>
    </row>
    <row r="4120" spans="1:15" x14ac:dyDescent="0.25">
      <c r="A4120" t="s">
        <v>4133</v>
      </c>
      <c r="B4120">
        <v>380</v>
      </c>
      <c r="C4120" s="1" t="str">
        <f>HYPERLINK("http://www.rosaceae.org/gb/gbrowse/malus_x_domestica/?name=MDP0000394116","MDP0000394116")</f>
        <v>MDP0000394116</v>
      </c>
      <c r="D4120">
        <v>26.5</v>
      </c>
      <c r="E4120">
        <v>200</v>
      </c>
      <c r="F4120">
        <v>147</v>
      </c>
      <c r="G4120">
        <v>34</v>
      </c>
      <c r="H4120">
        <v>19</v>
      </c>
      <c r="I4120">
        <v>205</v>
      </c>
      <c r="J4120">
        <v>1</v>
      </c>
      <c r="K4120">
        <v>31</v>
      </c>
      <c r="L4120">
        <v>209</v>
      </c>
      <c r="M4120">
        <v>1</v>
      </c>
      <c r="N4120">
        <v>2.57221E-12</v>
      </c>
      <c r="O4120">
        <v>171</v>
      </c>
    </row>
    <row r="4121" spans="1:15" x14ac:dyDescent="0.25">
      <c r="A4121" t="s">
        <v>4134</v>
      </c>
      <c r="B4121">
        <v>388</v>
      </c>
      <c r="C4121" s="1" t="str">
        <f>HYPERLINK("http://www.rosaceae.org/gb/gbrowse/malus_x_domestica/?name=MDP0000920203","MDP0000920203")</f>
        <v>MDP0000920203</v>
      </c>
      <c r="D4121">
        <v>91.81</v>
      </c>
      <c r="E4121">
        <v>232</v>
      </c>
      <c r="F4121">
        <v>19</v>
      </c>
      <c r="G4121">
        <v>0</v>
      </c>
      <c r="H4121">
        <v>136</v>
      </c>
      <c r="I4121">
        <v>367</v>
      </c>
      <c r="J4121">
        <v>1</v>
      </c>
      <c r="K4121">
        <v>21</v>
      </c>
      <c r="L4121">
        <v>252</v>
      </c>
      <c r="M4121">
        <v>1</v>
      </c>
      <c r="N4121">
        <v>1.7436800000000001E-128</v>
      </c>
      <c r="O4121">
        <v>1173</v>
      </c>
    </row>
    <row r="4122" spans="1:15" x14ac:dyDescent="0.25">
      <c r="A4122" t="s">
        <v>4135</v>
      </c>
      <c r="B4122">
        <v>624</v>
      </c>
      <c r="C4122" s="1" t="str">
        <f>HYPERLINK("http://www.rosaceae.org/gb/gbrowse/malus_x_domestica/?name=MDP0000332597","MDP0000332597")</f>
        <v>MDP0000332597</v>
      </c>
      <c r="D4122">
        <v>74.77</v>
      </c>
      <c r="E4122">
        <v>440</v>
      </c>
      <c r="F4122">
        <v>111</v>
      </c>
      <c r="G4122">
        <v>43</v>
      </c>
      <c r="H4122">
        <v>188</v>
      </c>
      <c r="I4122">
        <v>624</v>
      </c>
      <c r="J4122">
        <v>1</v>
      </c>
      <c r="K4122">
        <v>116</v>
      </c>
      <c r="L4122">
        <v>515</v>
      </c>
      <c r="M4122">
        <v>1</v>
      </c>
      <c r="N4122">
        <v>3.9672100000000002E-178</v>
      </c>
      <c r="O4122">
        <v>1604</v>
      </c>
    </row>
    <row r="4123" spans="1:15" x14ac:dyDescent="0.25">
      <c r="A4123" t="s">
        <v>4136</v>
      </c>
      <c r="B4123">
        <v>453</v>
      </c>
      <c r="C4123" s="1" t="str">
        <f>HYPERLINK("http://www.rosaceae.org/gb/gbrowse/malus_x_domestica/?name=MDP0000260375","MDP0000260375")</f>
        <v>MDP0000260375</v>
      </c>
      <c r="D4123">
        <v>78.78</v>
      </c>
      <c r="E4123">
        <v>330</v>
      </c>
      <c r="F4123">
        <v>70</v>
      </c>
      <c r="G4123">
        <v>1</v>
      </c>
      <c r="H4123">
        <v>78</v>
      </c>
      <c r="I4123">
        <v>406</v>
      </c>
      <c r="J4123">
        <v>1</v>
      </c>
      <c r="K4123">
        <v>1</v>
      </c>
      <c r="L4123">
        <v>330</v>
      </c>
      <c r="M4123">
        <v>1</v>
      </c>
      <c r="N4123">
        <v>3.7648899999999997E-155</v>
      </c>
      <c r="O4123">
        <v>1404</v>
      </c>
    </row>
    <row r="4124" spans="1:15" x14ac:dyDescent="0.25">
      <c r="A4124" t="s">
        <v>4137</v>
      </c>
      <c r="B4124">
        <v>392</v>
      </c>
      <c r="C4124" s="1" t="str">
        <f>HYPERLINK("http://www.rosaceae.org/gb/gbrowse/malus_x_domestica/?name=MDP0000261959","MDP0000261959")</f>
        <v>MDP0000261959</v>
      </c>
      <c r="D4124">
        <v>45.86</v>
      </c>
      <c r="E4124">
        <v>375</v>
      </c>
      <c r="F4124">
        <v>203</v>
      </c>
      <c r="G4124">
        <v>79</v>
      </c>
      <c r="H4124">
        <v>10</v>
      </c>
      <c r="I4124">
        <v>306</v>
      </c>
      <c r="J4124">
        <v>1</v>
      </c>
      <c r="K4124">
        <v>253</v>
      </c>
      <c r="L4124">
        <v>626</v>
      </c>
      <c r="M4124">
        <v>1</v>
      </c>
      <c r="N4124">
        <v>8.3917799999999996E-81</v>
      </c>
      <c r="O4124">
        <v>762</v>
      </c>
    </row>
    <row r="4125" spans="1:15" x14ac:dyDescent="0.25">
      <c r="A4125" t="s">
        <v>4138</v>
      </c>
      <c r="B4125">
        <v>402</v>
      </c>
      <c r="C4125" s="1" t="str">
        <f>HYPERLINK("http://www.rosaceae.org/gb/gbrowse/malus_x_domestica/?name=MDP0000559909","MDP0000559909")</f>
        <v>MDP0000559909</v>
      </c>
      <c r="D4125">
        <v>58.86</v>
      </c>
      <c r="E4125">
        <v>406</v>
      </c>
      <c r="F4125">
        <v>167</v>
      </c>
      <c r="G4125">
        <v>6</v>
      </c>
      <c r="H4125">
        <v>1</v>
      </c>
      <c r="I4125">
        <v>402</v>
      </c>
      <c r="J4125">
        <v>1</v>
      </c>
      <c r="K4125">
        <v>1</v>
      </c>
      <c r="L4125">
        <v>404</v>
      </c>
      <c r="M4125">
        <v>1</v>
      </c>
      <c r="N4125">
        <v>7.5357699999999996E-114</v>
      </c>
      <c r="O4125">
        <v>1047</v>
      </c>
    </row>
    <row r="4126" spans="1:15" x14ac:dyDescent="0.25">
      <c r="A4126" t="s">
        <v>4139</v>
      </c>
      <c r="B4126">
        <v>138</v>
      </c>
      <c r="C4126" s="1" t="str">
        <f>HYPERLINK("http://www.rosaceae.org/gb/gbrowse/malus_x_domestica/?name=MDP0000251234","MDP0000251234")</f>
        <v>MDP0000251234</v>
      </c>
      <c r="D4126">
        <v>50</v>
      </c>
      <c r="E4126">
        <v>138</v>
      </c>
      <c r="F4126">
        <v>69</v>
      </c>
      <c r="G4126">
        <v>2</v>
      </c>
      <c r="H4126">
        <v>1</v>
      </c>
      <c r="I4126">
        <v>138</v>
      </c>
      <c r="J4126">
        <v>1</v>
      </c>
      <c r="K4126">
        <v>657</v>
      </c>
      <c r="L4126">
        <v>792</v>
      </c>
      <c r="M4126">
        <v>1</v>
      </c>
      <c r="N4126">
        <v>4.9128799999999999E-34</v>
      </c>
      <c r="O4126">
        <v>352</v>
      </c>
    </row>
    <row r="4127" spans="1:15" x14ac:dyDescent="0.25">
      <c r="A4127" t="s">
        <v>4140</v>
      </c>
      <c r="B4127">
        <v>364</v>
      </c>
      <c r="C4127" s="1" t="str">
        <f>HYPERLINK("http://www.rosaceae.org/gb/gbrowse/malus_x_domestica/?name=MDP0000254372","MDP0000254372")</f>
        <v>MDP0000254372</v>
      </c>
      <c r="D4127">
        <v>78.41</v>
      </c>
      <c r="E4127">
        <v>366</v>
      </c>
      <c r="F4127">
        <v>79</v>
      </c>
      <c r="G4127">
        <v>7</v>
      </c>
      <c r="H4127">
        <v>1</v>
      </c>
      <c r="I4127">
        <v>363</v>
      </c>
      <c r="J4127">
        <v>1</v>
      </c>
      <c r="K4127">
        <v>1</v>
      </c>
      <c r="L4127">
        <v>362</v>
      </c>
      <c r="M4127">
        <v>1</v>
      </c>
      <c r="N4127">
        <v>3.4818699999999998E-171</v>
      </c>
      <c r="O4127">
        <v>1541</v>
      </c>
    </row>
    <row r="4128" spans="1:15" x14ac:dyDescent="0.25">
      <c r="A4128" t="s">
        <v>4141</v>
      </c>
      <c r="B4128">
        <v>314</v>
      </c>
      <c r="C4128" s="1" t="str">
        <f>HYPERLINK("http://www.rosaceae.org/gb/gbrowse/malus_x_domestica/?name=MDP0000139731","MDP0000139731")</f>
        <v>MDP0000139731</v>
      </c>
      <c r="D4128">
        <v>45.6</v>
      </c>
      <c r="E4128">
        <v>125</v>
      </c>
      <c r="F4128">
        <v>68</v>
      </c>
      <c r="G4128">
        <v>29</v>
      </c>
      <c r="H4128">
        <v>31</v>
      </c>
      <c r="I4128">
        <v>126</v>
      </c>
      <c r="J4128">
        <v>1</v>
      </c>
      <c r="K4128">
        <v>994</v>
      </c>
      <c r="L4128">
        <v>1118</v>
      </c>
      <c r="M4128">
        <v>1</v>
      </c>
      <c r="N4128">
        <v>4.9697800000000001E-18</v>
      </c>
      <c r="O4128">
        <v>220</v>
      </c>
    </row>
    <row r="4129" spans="1:15" x14ac:dyDescent="0.25">
      <c r="A4129" t="s">
        <v>4142</v>
      </c>
      <c r="B4129">
        <v>186</v>
      </c>
      <c r="C4129" s="1" t="str">
        <f>HYPERLINK("http://www.rosaceae.org/gb/gbrowse/malus_x_domestica/?name=MDP0000256238","MDP0000256238")</f>
        <v>MDP0000256238</v>
      </c>
      <c r="D4129">
        <v>55.12</v>
      </c>
      <c r="E4129">
        <v>78</v>
      </c>
      <c r="F4129">
        <v>35</v>
      </c>
      <c r="G4129">
        <v>6</v>
      </c>
      <c r="H4129">
        <v>114</v>
      </c>
      <c r="I4129">
        <v>185</v>
      </c>
      <c r="J4129">
        <v>1</v>
      </c>
      <c r="K4129">
        <v>381</v>
      </c>
      <c r="L4129">
        <v>458</v>
      </c>
      <c r="M4129">
        <v>1</v>
      </c>
      <c r="N4129">
        <v>3.5979400000000002E-15</v>
      </c>
      <c r="O4129">
        <v>192</v>
      </c>
    </row>
    <row r="4130" spans="1:15" x14ac:dyDescent="0.25">
      <c r="A4130" t="s">
        <v>4143</v>
      </c>
      <c r="B4130">
        <v>377</v>
      </c>
      <c r="C4130" s="1" t="str">
        <f>HYPERLINK("http://www.rosaceae.org/gb/gbrowse/malus_x_domestica/?name=MDP0000388228","MDP0000388228")</f>
        <v>MDP0000388228</v>
      </c>
      <c r="D4130">
        <v>82.4</v>
      </c>
      <c r="E4130">
        <v>375</v>
      </c>
      <c r="F4130">
        <v>66</v>
      </c>
      <c r="G4130">
        <v>3</v>
      </c>
      <c r="H4130">
        <v>1</v>
      </c>
      <c r="I4130">
        <v>374</v>
      </c>
      <c r="J4130">
        <v>1</v>
      </c>
      <c r="K4130">
        <v>1</v>
      </c>
      <c r="L4130">
        <v>373</v>
      </c>
      <c r="M4130">
        <v>1</v>
      </c>
      <c r="N4130">
        <v>0</v>
      </c>
      <c r="O4130">
        <v>1639</v>
      </c>
    </row>
    <row r="4131" spans="1:15" x14ac:dyDescent="0.25">
      <c r="A4131" t="s">
        <v>4144</v>
      </c>
      <c r="B4131">
        <v>135</v>
      </c>
      <c r="C4131" s="1" t="str">
        <f>HYPERLINK("http://www.rosaceae.org/gb/gbrowse/malus_x_domestica/?name=MDP0000835932","MDP0000835932")</f>
        <v>MDP0000835932</v>
      </c>
      <c r="D4131">
        <v>44.44</v>
      </c>
      <c r="E4131">
        <v>63</v>
      </c>
      <c r="F4131">
        <v>35</v>
      </c>
      <c r="G4131">
        <v>1</v>
      </c>
      <c r="H4131">
        <v>40</v>
      </c>
      <c r="I4131">
        <v>101</v>
      </c>
      <c r="J4131">
        <v>1</v>
      </c>
      <c r="K4131">
        <v>6</v>
      </c>
      <c r="L4131">
        <v>68</v>
      </c>
      <c r="M4131">
        <v>1</v>
      </c>
      <c r="N4131">
        <v>4.4048399999999999E-7</v>
      </c>
      <c r="O4131">
        <v>119</v>
      </c>
    </row>
    <row r="4132" spans="1:15" x14ac:dyDescent="0.25">
      <c r="A4132" t="s">
        <v>4145</v>
      </c>
      <c r="B4132">
        <v>541</v>
      </c>
      <c r="C4132" s="1" t="str">
        <f>HYPERLINK("http://www.rosaceae.org/gb/gbrowse/malus_x_domestica/?name=MDP0000148702","MDP0000148702")</f>
        <v>MDP0000148702</v>
      </c>
      <c r="D4132">
        <v>66.83</v>
      </c>
      <c r="E4132">
        <v>600</v>
      </c>
      <c r="F4132">
        <v>199</v>
      </c>
      <c r="G4132">
        <v>61</v>
      </c>
      <c r="H4132">
        <v>1</v>
      </c>
      <c r="I4132">
        <v>541</v>
      </c>
      <c r="J4132">
        <v>1</v>
      </c>
      <c r="K4132">
        <v>1</v>
      </c>
      <c r="L4132">
        <v>598</v>
      </c>
      <c r="M4132">
        <v>1</v>
      </c>
      <c r="N4132">
        <v>0</v>
      </c>
      <c r="O4132">
        <v>2071</v>
      </c>
    </row>
    <row r="4133" spans="1:15" x14ac:dyDescent="0.25">
      <c r="A4133" t="s">
        <v>4146</v>
      </c>
      <c r="B4133">
        <v>222</v>
      </c>
      <c r="C4133" s="1" t="str">
        <f>HYPERLINK("http://www.rosaceae.org/gb/gbrowse/malus_x_domestica/?name=MDP0000252378","MDP0000252378")</f>
        <v>MDP0000252378</v>
      </c>
      <c r="D4133">
        <v>52.32</v>
      </c>
      <c r="E4133">
        <v>86</v>
      </c>
      <c r="F4133">
        <v>41</v>
      </c>
      <c r="G4133">
        <v>1</v>
      </c>
      <c r="H4133">
        <v>5</v>
      </c>
      <c r="I4133">
        <v>89</v>
      </c>
      <c r="J4133">
        <v>1</v>
      </c>
      <c r="K4133">
        <v>6</v>
      </c>
      <c r="L4133">
        <v>91</v>
      </c>
      <c r="M4133">
        <v>1</v>
      </c>
      <c r="N4133">
        <v>8.1739000000000005E-19</v>
      </c>
      <c r="O4133">
        <v>224</v>
      </c>
    </row>
    <row r="4134" spans="1:15" x14ac:dyDescent="0.25">
      <c r="A4134" t="s">
        <v>4147</v>
      </c>
      <c r="B4134">
        <v>1532</v>
      </c>
      <c r="C4134" s="1" t="str">
        <f>HYPERLINK("http://www.rosaceae.org/gb/gbrowse/malus_x_domestica/?name=MDP0000129609","MDP0000129609")</f>
        <v>MDP0000129609</v>
      </c>
      <c r="D4134">
        <v>58.87</v>
      </c>
      <c r="E4134">
        <v>1476</v>
      </c>
      <c r="F4134">
        <v>607</v>
      </c>
      <c r="G4134">
        <v>169</v>
      </c>
      <c r="H4134">
        <v>135</v>
      </c>
      <c r="I4134">
        <v>1532</v>
      </c>
      <c r="J4134">
        <v>1</v>
      </c>
      <c r="K4134">
        <v>205</v>
      </c>
      <c r="L4134">
        <v>1589</v>
      </c>
      <c r="M4134">
        <v>1</v>
      </c>
      <c r="N4134">
        <v>0</v>
      </c>
      <c r="O4134">
        <v>3991</v>
      </c>
    </row>
    <row r="4135" spans="1:15" x14ac:dyDescent="0.25">
      <c r="A4135" t="s">
        <v>4148</v>
      </c>
      <c r="B4135">
        <v>165</v>
      </c>
      <c r="C4135" s="1" t="str">
        <f>HYPERLINK("http://www.rosaceae.org/gb/gbrowse/malus_x_domestica/?name=MDP0000286477","MDP0000286477")</f>
        <v>MDP0000286477</v>
      </c>
      <c r="D4135">
        <v>45.37</v>
      </c>
      <c r="E4135">
        <v>119</v>
      </c>
      <c r="F4135">
        <v>65</v>
      </c>
      <c r="G4135">
        <v>2</v>
      </c>
      <c r="H4135">
        <v>6</v>
      </c>
      <c r="I4135">
        <v>122</v>
      </c>
      <c r="J4135">
        <v>1</v>
      </c>
      <c r="K4135">
        <v>7</v>
      </c>
      <c r="L4135">
        <v>125</v>
      </c>
      <c r="M4135">
        <v>1</v>
      </c>
      <c r="N4135">
        <v>3.3790400000000001E-28</v>
      </c>
      <c r="O4135">
        <v>303</v>
      </c>
    </row>
    <row r="4136" spans="1:15" x14ac:dyDescent="0.25">
      <c r="A4136" t="s">
        <v>4149</v>
      </c>
      <c r="B4136">
        <v>855</v>
      </c>
      <c r="C4136" s="1" t="str">
        <f>HYPERLINK("http://www.rosaceae.org/gb/gbrowse/malus_x_domestica/?name=MDP0000459932","MDP0000459932")</f>
        <v>MDP0000459932</v>
      </c>
      <c r="D4136">
        <v>36.11</v>
      </c>
      <c r="E4136">
        <v>144</v>
      </c>
      <c r="F4136">
        <v>92</v>
      </c>
      <c r="G4136">
        <v>5</v>
      </c>
      <c r="H4136">
        <v>279</v>
      </c>
      <c r="I4136">
        <v>418</v>
      </c>
      <c r="J4136">
        <v>1</v>
      </c>
      <c r="K4136">
        <v>101</v>
      </c>
      <c r="L4136">
        <v>243</v>
      </c>
      <c r="M4136">
        <v>1</v>
      </c>
      <c r="N4136">
        <v>1.1610400000000001E-20</v>
      </c>
      <c r="O4136">
        <v>247</v>
      </c>
    </row>
    <row r="4137" spans="1:15" x14ac:dyDescent="0.25">
      <c r="A4137" t="s">
        <v>4150</v>
      </c>
      <c r="B4137">
        <v>302</v>
      </c>
      <c r="C4137" s="1" t="str">
        <f>HYPERLINK("http://www.rosaceae.org/gb/gbrowse/malus_x_domestica/?name=MDP0000302389","MDP0000302389")</f>
        <v>MDP0000302389</v>
      </c>
      <c r="D4137">
        <v>54.76</v>
      </c>
      <c r="E4137">
        <v>336</v>
      </c>
      <c r="F4137">
        <v>152</v>
      </c>
      <c r="G4137">
        <v>38</v>
      </c>
      <c r="H4137">
        <v>1</v>
      </c>
      <c r="I4137">
        <v>301</v>
      </c>
      <c r="J4137">
        <v>1</v>
      </c>
      <c r="K4137">
        <v>5</v>
      </c>
      <c r="L4137">
        <v>337</v>
      </c>
      <c r="M4137">
        <v>1</v>
      </c>
      <c r="N4137">
        <v>7.5816700000000003E-86</v>
      </c>
      <c r="O4137">
        <v>804</v>
      </c>
    </row>
    <row r="4138" spans="1:15" x14ac:dyDescent="0.25">
      <c r="A4138" t="s">
        <v>4151</v>
      </c>
      <c r="B4138">
        <v>932</v>
      </c>
      <c r="C4138" s="1" t="str">
        <f>HYPERLINK("http://www.rosaceae.org/gb/gbrowse/malus_x_domestica/?name=MDP0000223679","MDP0000223679")</f>
        <v>MDP0000223679</v>
      </c>
      <c r="D4138">
        <v>79.23</v>
      </c>
      <c r="E4138">
        <v>761</v>
      </c>
      <c r="F4138">
        <v>158</v>
      </c>
      <c r="G4138">
        <v>36</v>
      </c>
      <c r="H4138">
        <v>208</v>
      </c>
      <c r="I4138">
        <v>932</v>
      </c>
      <c r="J4138">
        <v>1</v>
      </c>
      <c r="K4138">
        <v>1</v>
      </c>
      <c r="L4138">
        <v>761</v>
      </c>
      <c r="M4138">
        <v>1</v>
      </c>
      <c r="N4138">
        <v>0</v>
      </c>
      <c r="O4138">
        <v>3051</v>
      </c>
    </row>
    <row r="4139" spans="1:15" x14ac:dyDescent="0.25">
      <c r="A4139" t="s">
        <v>4152</v>
      </c>
      <c r="B4139">
        <v>150</v>
      </c>
      <c r="C4139" s="1" t="str">
        <f>HYPERLINK("http://www.rosaceae.org/gb/gbrowse/malus_x_domestica/?name=MDP0000284229","MDP0000284229")</f>
        <v>MDP0000284229</v>
      </c>
      <c r="D4139">
        <v>44.66</v>
      </c>
      <c r="E4139">
        <v>150</v>
      </c>
      <c r="F4139">
        <v>83</v>
      </c>
      <c r="G4139">
        <v>11</v>
      </c>
      <c r="H4139">
        <v>1</v>
      </c>
      <c r="I4139">
        <v>142</v>
      </c>
      <c r="J4139">
        <v>1</v>
      </c>
      <c r="K4139">
        <v>1</v>
      </c>
      <c r="L4139">
        <v>147</v>
      </c>
      <c r="M4139">
        <v>1</v>
      </c>
      <c r="N4139">
        <v>2.1016699999999999E-21</v>
      </c>
      <c r="O4139">
        <v>244</v>
      </c>
    </row>
    <row r="4140" spans="1:15" x14ac:dyDescent="0.25">
      <c r="A4140" t="s">
        <v>4153</v>
      </c>
      <c r="B4140">
        <v>171</v>
      </c>
      <c r="C4140" s="1" t="str">
        <f>HYPERLINK("http://www.rosaceae.org/gb/gbrowse/malus_x_domestica/?name=MDP0000885454","MDP0000885454")</f>
        <v>MDP0000885454</v>
      </c>
      <c r="D4140">
        <v>71.34</v>
      </c>
      <c r="E4140">
        <v>171</v>
      </c>
      <c r="F4140">
        <v>49</v>
      </c>
      <c r="G4140">
        <v>2</v>
      </c>
      <c r="H4140">
        <v>1</v>
      </c>
      <c r="I4140">
        <v>171</v>
      </c>
      <c r="J4140">
        <v>1</v>
      </c>
      <c r="K4140">
        <v>3</v>
      </c>
      <c r="L4140">
        <v>171</v>
      </c>
      <c r="M4140">
        <v>1</v>
      </c>
      <c r="N4140">
        <v>1.02195E-66</v>
      </c>
      <c r="O4140">
        <v>636</v>
      </c>
    </row>
    <row r="4141" spans="1:15" x14ac:dyDescent="0.25">
      <c r="A4141" t="s">
        <v>4154</v>
      </c>
      <c r="B4141">
        <v>377</v>
      </c>
      <c r="C4141" s="1" t="str">
        <f>HYPERLINK("http://www.rosaceae.org/gb/gbrowse/malus_x_domestica/?name=MDP0000241680","MDP0000241680")</f>
        <v>MDP0000241680</v>
      </c>
      <c r="D4141">
        <v>53.51</v>
      </c>
      <c r="E4141">
        <v>370</v>
      </c>
      <c r="F4141">
        <v>172</v>
      </c>
      <c r="G4141">
        <v>75</v>
      </c>
      <c r="H4141">
        <v>1</v>
      </c>
      <c r="I4141">
        <v>342</v>
      </c>
      <c r="J4141">
        <v>1</v>
      </c>
      <c r="K4141">
        <v>1</v>
      </c>
      <c r="L4141">
        <v>323</v>
      </c>
      <c r="M4141">
        <v>1</v>
      </c>
      <c r="N4141">
        <v>2.0481899999999999E-98</v>
      </c>
      <c r="O4141">
        <v>914</v>
      </c>
    </row>
    <row r="4142" spans="1:15" x14ac:dyDescent="0.25">
      <c r="A4142" t="s">
        <v>4155</v>
      </c>
      <c r="B4142">
        <v>556</v>
      </c>
      <c r="C4142" s="1" t="str">
        <f>HYPERLINK("http://www.rosaceae.org/gb/gbrowse/malus_x_domestica/?name=MDP0000138182","MDP0000138182")</f>
        <v>MDP0000138182</v>
      </c>
      <c r="D4142">
        <v>68.61</v>
      </c>
      <c r="E4142">
        <v>497</v>
      </c>
      <c r="F4142">
        <v>156</v>
      </c>
      <c r="G4142">
        <v>29</v>
      </c>
      <c r="H4142">
        <v>46</v>
      </c>
      <c r="I4142">
        <v>513</v>
      </c>
      <c r="J4142">
        <v>1</v>
      </c>
      <c r="K4142">
        <v>11</v>
      </c>
      <c r="L4142">
        <v>507</v>
      </c>
      <c r="M4142">
        <v>1</v>
      </c>
      <c r="N4142">
        <v>0</v>
      </c>
      <c r="O4142">
        <v>1668</v>
      </c>
    </row>
    <row r="4143" spans="1:15" x14ac:dyDescent="0.25">
      <c r="A4143" t="s">
        <v>4156</v>
      </c>
      <c r="B4143">
        <v>504</v>
      </c>
      <c r="C4143" s="1" t="str">
        <f>HYPERLINK("http://www.rosaceae.org/gb/gbrowse/malus_x_domestica/?name=MDP0000293970","MDP0000293970")</f>
        <v>MDP0000293970</v>
      </c>
      <c r="D4143">
        <v>31.45</v>
      </c>
      <c r="E4143">
        <v>124</v>
      </c>
      <c r="F4143">
        <v>85</v>
      </c>
      <c r="G4143">
        <v>2</v>
      </c>
      <c r="H4143">
        <v>132</v>
      </c>
      <c r="I4143">
        <v>255</v>
      </c>
      <c r="J4143">
        <v>1</v>
      </c>
      <c r="K4143">
        <v>4</v>
      </c>
      <c r="L4143">
        <v>125</v>
      </c>
      <c r="M4143">
        <v>1</v>
      </c>
      <c r="N4143">
        <v>3.0986300000000002E-13</v>
      </c>
      <c r="O4143">
        <v>181</v>
      </c>
    </row>
    <row r="4144" spans="1:15" x14ac:dyDescent="0.25">
      <c r="A4144" t="s">
        <v>4157</v>
      </c>
      <c r="B4144">
        <v>311</v>
      </c>
      <c r="C4144" s="1" t="str">
        <f>HYPERLINK("http://www.rosaceae.org/gb/gbrowse/malus_x_domestica/?name=MDP0000465400","MDP0000465400")</f>
        <v>MDP0000465400</v>
      </c>
      <c r="D4144">
        <v>44.09</v>
      </c>
      <c r="E4144">
        <v>254</v>
      </c>
      <c r="F4144">
        <v>142</v>
      </c>
      <c r="G4144">
        <v>4</v>
      </c>
      <c r="H4144">
        <v>1</v>
      </c>
      <c r="I4144">
        <v>252</v>
      </c>
      <c r="J4144">
        <v>1</v>
      </c>
      <c r="K4144">
        <v>1</v>
      </c>
      <c r="L4144">
        <v>252</v>
      </c>
      <c r="M4144">
        <v>1</v>
      </c>
      <c r="N4144">
        <v>1.1147899999999999E-59</v>
      </c>
      <c r="O4144">
        <v>579</v>
      </c>
    </row>
    <row r="4145" spans="1:15" x14ac:dyDescent="0.25">
      <c r="A4145" t="s">
        <v>4158</v>
      </c>
      <c r="B4145">
        <v>573</v>
      </c>
      <c r="C4145" s="1" t="str">
        <f>HYPERLINK("http://www.rosaceae.org/gb/gbrowse/malus_x_domestica/?name=MDP0000261668","MDP0000261668")</f>
        <v>MDP0000261668</v>
      </c>
      <c r="D4145">
        <v>69.3</v>
      </c>
      <c r="E4145">
        <v>492</v>
      </c>
      <c r="F4145">
        <v>151</v>
      </c>
      <c r="G4145">
        <v>5</v>
      </c>
      <c r="H4145">
        <v>22</v>
      </c>
      <c r="I4145">
        <v>513</v>
      </c>
      <c r="J4145">
        <v>1</v>
      </c>
      <c r="K4145">
        <v>37</v>
      </c>
      <c r="L4145">
        <v>523</v>
      </c>
      <c r="M4145">
        <v>1</v>
      </c>
      <c r="N4145">
        <v>0</v>
      </c>
      <c r="O4145">
        <v>1772</v>
      </c>
    </row>
    <row r="4146" spans="1:15" x14ac:dyDescent="0.25">
      <c r="A4146" t="s">
        <v>4159</v>
      </c>
      <c r="B4146">
        <v>616</v>
      </c>
      <c r="C4146" s="1" t="str">
        <f>HYPERLINK("http://www.rosaceae.org/gb/gbrowse/malus_x_domestica/?name=MDP0000162605","MDP0000162605")</f>
        <v>MDP0000162605</v>
      </c>
      <c r="D4146">
        <v>84.97</v>
      </c>
      <c r="E4146">
        <v>446</v>
      </c>
      <c r="F4146">
        <v>67</v>
      </c>
      <c r="G4146">
        <v>5</v>
      </c>
      <c r="H4146">
        <v>176</v>
      </c>
      <c r="I4146">
        <v>616</v>
      </c>
      <c r="J4146">
        <v>1</v>
      </c>
      <c r="K4146">
        <v>131</v>
      </c>
      <c r="L4146">
        <v>576</v>
      </c>
      <c r="M4146">
        <v>1</v>
      </c>
      <c r="N4146">
        <v>0</v>
      </c>
      <c r="O4146">
        <v>2000</v>
      </c>
    </row>
    <row r="4147" spans="1:15" x14ac:dyDescent="0.25">
      <c r="A4147" t="s">
        <v>4160</v>
      </c>
      <c r="B4147">
        <v>246</v>
      </c>
      <c r="C4147" s="1" t="str">
        <f>HYPERLINK("http://www.rosaceae.org/gb/gbrowse/malus_x_domestica/?name=MDP0000220190","MDP0000220190")</f>
        <v>MDP0000220190</v>
      </c>
      <c r="D4147">
        <v>68.72</v>
      </c>
      <c r="E4147">
        <v>259</v>
      </c>
      <c r="F4147">
        <v>81</v>
      </c>
      <c r="G4147">
        <v>13</v>
      </c>
      <c r="H4147">
        <v>1</v>
      </c>
      <c r="I4147">
        <v>246</v>
      </c>
      <c r="J4147">
        <v>1</v>
      </c>
      <c r="K4147">
        <v>1</v>
      </c>
      <c r="L4147">
        <v>259</v>
      </c>
      <c r="M4147">
        <v>1</v>
      </c>
      <c r="N4147">
        <v>4.6186199999999997E-96</v>
      </c>
      <c r="O4147">
        <v>891</v>
      </c>
    </row>
    <row r="4148" spans="1:15" x14ac:dyDescent="0.25">
      <c r="A4148" t="s">
        <v>4161</v>
      </c>
      <c r="B4148">
        <v>550</v>
      </c>
      <c r="C4148" s="1" t="str">
        <f>HYPERLINK("http://www.rosaceae.org/gb/gbrowse/malus_x_domestica/?name=MDP0000145320","MDP0000145320")</f>
        <v>MDP0000145320</v>
      </c>
      <c r="D4148">
        <v>60.36</v>
      </c>
      <c r="E4148">
        <v>217</v>
      </c>
      <c r="F4148">
        <v>86</v>
      </c>
      <c r="G4148">
        <v>9</v>
      </c>
      <c r="H4148">
        <v>1</v>
      </c>
      <c r="I4148">
        <v>217</v>
      </c>
      <c r="J4148">
        <v>1</v>
      </c>
      <c r="K4148">
        <v>261</v>
      </c>
      <c r="L4148">
        <v>468</v>
      </c>
      <c r="M4148">
        <v>1</v>
      </c>
      <c r="N4148">
        <v>2.06386E-67</v>
      </c>
      <c r="O4148">
        <v>648</v>
      </c>
    </row>
    <row r="4149" spans="1:15" x14ac:dyDescent="0.25">
      <c r="A4149" t="s">
        <v>4162</v>
      </c>
      <c r="B4149">
        <v>62</v>
      </c>
      <c r="C4149" s="1" t="str">
        <f>HYPERLINK("http://www.rosaceae.org/gb/gbrowse/malus_x_domestica/?name=MDP0000287519","MDP0000287519")</f>
        <v>MDP0000287519</v>
      </c>
      <c r="D4149">
        <v>43.85</v>
      </c>
      <c r="E4149">
        <v>57</v>
      </c>
      <c r="F4149">
        <v>32</v>
      </c>
      <c r="G4149">
        <v>0</v>
      </c>
      <c r="H4149">
        <v>1</v>
      </c>
      <c r="I4149">
        <v>57</v>
      </c>
      <c r="J4149">
        <v>1</v>
      </c>
      <c r="K4149">
        <v>111</v>
      </c>
      <c r="L4149">
        <v>167</v>
      </c>
      <c r="M4149">
        <v>1</v>
      </c>
      <c r="N4149">
        <v>9.2793300000000005E-10</v>
      </c>
      <c r="O4149">
        <v>142</v>
      </c>
    </row>
    <row r="4150" spans="1:15" x14ac:dyDescent="0.25">
      <c r="A4150" t="s">
        <v>4163</v>
      </c>
      <c r="B4150">
        <v>980</v>
      </c>
      <c r="C4150" s="1" t="str">
        <f>HYPERLINK("http://www.rosaceae.org/gb/gbrowse/malus_x_domestica/?name=MDP0000208103","MDP0000208103")</f>
        <v>MDP0000208103</v>
      </c>
      <c r="D4150">
        <v>30.18</v>
      </c>
      <c r="E4150">
        <v>159</v>
      </c>
      <c r="F4150">
        <v>111</v>
      </c>
      <c r="G4150">
        <v>53</v>
      </c>
      <c r="H4150">
        <v>619</v>
      </c>
      <c r="I4150">
        <v>724</v>
      </c>
      <c r="J4150">
        <v>1</v>
      </c>
      <c r="K4150">
        <v>11</v>
      </c>
      <c r="L4150">
        <v>169</v>
      </c>
      <c r="M4150">
        <v>1</v>
      </c>
      <c r="N4150">
        <v>2.9628499999999998E-13</v>
      </c>
      <c r="O4150">
        <v>184</v>
      </c>
    </row>
    <row r="4151" spans="1:15" x14ac:dyDescent="0.25">
      <c r="A4151" t="s">
        <v>4164</v>
      </c>
      <c r="B4151">
        <v>453</v>
      </c>
      <c r="C4151" s="1" t="str">
        <f>HYPERLINK("http://www.rosaceae.org/gb/gbrowse/malus_x_domestica/?name=MDP0000320309","MDP0000320309")</f>
        <v>MDP0000320309</v>
      </c>
      <c r="D4151">
        <v>68.36</v>
      </c>
      <c r="E4151">
        <v>452</v>
      </c>
      <c r="F4151">
        <v>143</v>
      </c>
      <c r="G4151">
        <v>19</v>
      </c>
      <c r="H4151">
        <v>1</v>
      </c>
      <c r="I4151">
        <v>452</v>
      </c>
      <c r="J4151">
        <v>1</v>
      </c>
      <c r="K4151">
        <v>1</v>
      </c>
      <c r="L4151">
        <v>433</v>
      </c>
      <c r="M4151">
        <v>1</v>
      </c>
      <c r="N4151">
        <v>0</v>
      </c>
      <c r="O4151">
        <v>1645</v>
      </c>
    </row>
    <row r="4152" spans="1:15" x14ac:dyDescent="0.25">
      <c r="A4152" t="s">
        <v>4165</v>
      </c>
      <c r="B4152">
        <v>247</v>
      </c>
      <c r="C4152" s="1" t="str">
        <f>HYPERLINK("http://www.rosaceae.org/gb/gbrowse/malus_x_domestica/?name=MDP0000305034","MDP0000305034")</f>
        <v>MDP0000305034</v>
      </c>
      <c r="D4152">
        <v>42.18</v>
      </c>
      <c r="E4152">
        <v>256</v>
      </c>
      <c r="F4152">
        <v>148</v>
      </c>
      <c r="G4152">
        <v>26</v>
      </c>
      <c r="H4152">
        <v>1</v>
      </c>
      <c r="I4152">
        <v>242</v>
      </c>
      <c r="J4152">
        <v>1</v>
      </c>
      <c r="K4152">
        <v>1</v>
      </c>
      <c r="L4152">
        <v>244</v>
      </c>
      <c r="M4152">
        <v>1</v>
      </c>
      <c r="N4152">
        <v>8.5472600000000002E-40</v>
      </c>
      <c r="O4152">
        <v>406</v>
      </c>
    </row>
    <row r="4153" spans="1:15" x14ac:dyDescent="0.25">
      <c r="A4153" t="s">
        <v>4166</v>
      </c>
      <c r="B4153">
        <v>757</v>
      </c>
      <c r="C4153" s="1" t="str">
        <f>HYPERLINK("http://www.rosaceae.org/gb/gbrowse/malus_x_domestica/?name=MDP0000280087","MDP0000280087")</f>
        <v>MDP0000280087</v>
      </c>
      <c r="D4153">
        <v>82.31</v>
      </c>
      <c r="E4153">
        <v>588</v>
      </c>
      <c r="F4153">
        <v>104</v>
      </c>
      <c r="G4153">
        <v>7</v>
      </c>
      <c r="H4153">
        <v>1</v>
      </c>
      <c r="I4153">
        <v>588</v>
      </c>
      <c r="J4153">
        <v>1</v>
      </c>
      <c r="K4153">
        <v>366</v>
      </c>
      <c r="L4153">
        <v>946</v>
      </c>
      <c r="M4153">
        <v>1</v>
      </c>
      <c r="N4153">
        <v>0</v>
      </c>
      <c r="O4153">
        <v>2664</v>
      </c>
    </row>
    <row r="4154" spans="1:15" x14ac:dyDescent="0.25">
      <c r="A4154" t="s">
        <v>4167</v>
      </c>
      <c r="B4154">
        <v>239</v>
      </c>
      <c r="C4154" s="1" t="str">
        <f>HYPERLINK("http://www.rosaceae.org/gb/gbrowse/malus_x_domestica/?name=MDP0000163273","MDP0000163273")</f>
        <v>MDP0000163273</v>
      </c>
      <c r="D4154">
        <v>77.23</v>
      </c>
      <c r="E4154">
        <v>224</v>
      </c>
      <c r="F4154">
        <v>51</v>
      </c>
      <c r="G4154">
        <v>23</v>
      </c>
      <c r="H4154">
        <v>10</v>
      </c>
      <c r="I4154">
        <v>210</v>
      </c>
      <c r="J4154">
        <v>1</v>
      </c>
      <c r="K4154">
        <v>16</v>
      </c>
      <c r="L4154">
        <v>239</v>
      </c>
      <c r="M4154">
        <v>1</v>
      </c>
      <c r="N4154">
        <v>3.2672700000000001E-92</v>
      </c>
      <c r="O4154">
        <v>858</v>
      </c>
    </row>
    <row r="4155" spans="1:15" x14ac:dyDescent="0.25">
      <c r="A4155" t="s">
        <v>4168</v>
      </c>
      <c r="B4155">
        <v>496</v>
      </c>
      <c r="C4155" s="1" t="str">
        <f>HYPERLINK("http://www.rosaceae.org/gb/gbrowse/malus_x_domestica/?name=MDP0000740981","MDP0000740981")</f>
        <v>MDP0000740981</v>
      </c>
      <c r="D4155">
        <v>54.31</v>
      </c>
      <c r="E4155">
        <v>464</v>
      </c>
      <c r="F4155">
        <v>212</v>
      </c>
      <c r="G4155">
        <v>4</v>
      </c>
      <c r="H4155">
        <v>27</v>
      </c>
      <c r="I4155">
        <v>487</v>
      </c>
      <c r="J4155">
        <v>1</v>
      </c>
      <c r="K4155">
        <v>21</v>
      </c>
      <c r="L4155">
        <v>483</v>
      </c>
      <c r="M4155">
        <v>1</v>
      </c>
      <c r="N4155">
        <v>9.3136900000000005E-147</v>
      </c>
      <c r="O4155">
        <v>1332</v>
      </c>
    </row>
    <row r="4156" spans="1:15" x14ac:dyDescent="0.25">
      <c r="A4156" t="s">
        <v>4169</v>
      </c>
      <c r="B4156">
        <v>364</v>
      </c>
      <c r="C4156" s="1" t="str">
        <f>HYPERLINK("http://www.rosaceae.org/gb/gbrowse/malus_x_domestica/?name=MDP0000211661","MDP0000211661")</f>
        <v>MDP0000211661</v>
      </c>
      <c r="D4156">
        <v>47.44</v>
      </c>
      <c r="E4156">
        <v>215</v>
      </c>
      <c r="F4156">
        <v>113</v>
      </c>
      <c r="G4156">
        <v>30</v>
      </c>
      <c r="H4156">
        <v>10</v>
      </c>
      <c r="I4156">
        <v>198</v>
      </c>
      <c r="J4156">
        <v>1</v>
      </c>
      <c r="K4156">
        <v>17</v>
      </c>
      <c r="L4156">
        <v>227</v>
      </c>
      <c r="M4156">
        <v>1</v>
      </c>
      <c r="N4156">
        <v>1.16209E-42</v>
      </c>
      <c r="O4156">
        <v>433</v>
      </c>
    </row>
    <row r="4157" spans="1:15" x14ac:dyDescent="0.25">
      <c r="A4157" t="s">
        <v>4170</v>
      </c>
      <c r="B4157">
        <v>1020</v>
      </c>
      <c r="C4157" s="1" t="str">
        <f>HYPERLINK("http://www.rosaceae.org/gb/gbrowse/malus_x_domestica/?name=MDP0000193568","MDP0000193568")</f>
        <v>MDP0000193568</v>
      </c>
      <c r="D4157">
        <v>73.55</v>
      </c>
      <c r="E4157">
        <v>1002</v>
      </c>
      <c r="F4157">
        <v>265</v>
      </c>
      <c r="G4157">
        <v>96</v>
      </c>
      <c r="H4157">
        <v>58</v>
      </c>
      <c r="I4157">
        <v>1020</v>
      </c>
      <c r="J4157">
        <v>1</v>
      </c>
      <c r="K4157">
        <v>135</v>
      </c>
      <c r="L4157">
        <v>1079</v>
      </c>
      <c r="M4157">
        <v>1</v>
      </c>
      <c r="N4157">
        <v>0</v>
      </c>
      <c r="O4157">
        <v>3761</v>
      </c>
    </row>
    <row r="4158" spans="1:15" x14ac:dyDescent="0.25">
      <c r="A4158" t="s">
        <v>4171</v>
      </c>
      <c r="B4158">
        <v>202</v>
      </c>
      <c r="C4158" s="1" t="str">
        <f>HYPERLINK("http://www.rosaceae.org/gb/gbrowse/malus_x_domestica/?name=MDP0000285753","MDP0000285753")</f>
        <v>MDP0000285753</v>
      </c>
      <c r="D4158">
        <v>69.349999999999994</v>
      </c>
      <c r="E4158">
        <v>186</v>
      </c>
      <c r="F4158">
        <v>57</v>
      </c>
      <c r="G4158">
        <v>3</v>
      </c>
      <c r="H4158">
        <v>15</v>
      </c>
      <c r="I4158">
        <v>198</v>
      </c>
      <c r="J4158">
        <v>1</v>
      </c>
      <c r="K4158">
        <v>120</v>
      </c>
      <c r="L4158">
        <v>304</v>
      </c>
      <c r="M4158">
        <v>1</v>
      </c>
      <c r="N4158">
        <v>5.08348E-67</v>
      </c>
      <c r="O4158">
        <v>640</v>
      </c>
    </row>
    <row r="4159" spans="1:15" x14ac:dyDescent="0.25">
      <c r="A4159" t="s">
        <v>4172</v>
      </c>
      <c r="B4159">
        <v>481</v>
      </c>
      <c r="C4159" s="1" t="str">
        <f>HYPERLINK("http://www.rosaceae.org/gb/gbrowse/malus_x_domestica/?name=MDP0000188175","MDP0000188175")</f>
        <v>MDP0000188175</v>
      </c>
      <c r="D4159">
        <v>29.52</v>
      </c>
      <c r="E4159">
        <v>359</v>
      </c>
      <c r="F4159">
        <v>253</v>
      </c>
      <c r="G4159">
        <v>25</v>
      </c>
      <c r="H4159">
        <v>141</v>
      </c>
      <c r="I4159">
        <v>481</v>
      </c>
      <c r="J4159">
        <v>1</v>
      </c>
      <c r="K4159">
        <v>94</v>
      </c>
      <c r="L4159">
        <v>445</v>
      </c>
      <c r="M4159">
        <v>1</v>
      </c>
      <c r="N4159">
        <v>8.2730899999999997E-39</v>
      </c>
      <c r="O4159">
        <v>401</v>
      </c>
    </row>
    <row r="4160" spans="1:15" x14ac:dyDescent="0.25">
      <c r="A4160" t="s">
        <v>4173</v>
      </c>
      <c r="B4160">
        <v>711</v>
      </c>
      <c r="C4160" s="1" t="str">
        <f>HYPERLINK("http://www.rosaceae.org/gb/gbrowse/malus_x_domestica/?name=MDP0000509245","MDP0000509245")</f>
        <v>MDP0000509245</v>
      </c>
      <c r="D4160">
        <v>58.28</v>
      </c>
      <c r="E4160">
        <v>326</v>
      </c>
      <c r="F4160">
        <v>136</v>
      </c>
      <c r="G4160">
        <v>25</v>
      </c>
      <c r="H4160">
        <v>328</v>
      </c>
      <c r="I4160">
        <v>642</v>
      </c>
      <c r="J4160">
        <v>1</v>
      </c>
      <c r="K4160">
        <v>20</v>
      </c>
      <c r="L4160">
        <v>331</v>
      </c>
      <c r="M4160">
        <v>1</v>
      </c>
      <c r="N4160">
        <v>2.13966E-94</v>
      </c>
      <c r="O4160">
        <v>882</v>
      </c>
    </row>
    <row r="4161" spans="1:15" x14ac:dyDescent="0.25">
      <c r="A4161" t="s">
        <v>4174</v>
      </c>
      <c r="B4161">
        <v>151</v>
      </c>
      <c r="C4161" s="1" t="str">
        <f>HYPERLINK("http://www.rosaceae.org/gb/gbrowse/malus_x_domestica/?name=MDP0000159247","MDP0000159247")</f>
        <v>MDP0000159247</v>
      </c>
      <c r="D4161">
        <v>78.67</v>
      </c>
      <c r="E4161">
        <v>136</v>
      </c>
      <c r="F4161">
        <v>29</v>
      </c>
      <c r="G4161">
        <v>4</v>
      </c>
      <c r="H4161">
        <v>1</v>
      </c>
      <c r="I4161">
        <v>132</v>
      </c>
      <c r="J4161">
        <v>1</v>
      </c>
      <c r="K4161">
        <v>409</v>
      </c>
      <c r="L4161">
        <v>544</v>
      </c>
      <c r="M4161">
        <v>1</v>
      </c>
      <c r="N4161">
        <v>1.04162E-57</v>
      </c>
      <c r="O4161">
        <v>557</v>
      </c>
    </row>
    <row r="4162" spans="1:15" x14ac:dyDescent="0.25">
      <c r="A4162" t="s">
        <v>4175</v>
      </c>
      <c r="B4162">
        <v>286</v>
      </c>
      <c r="C4162" s="1" t="str">
        <f>HYPERLINK("http://www.rosaceae.org/gb/gbrowse/malus_x_domestica/?name=MDP0000268617","MDP0000268617")</f>
        <v>MDP0000268617</v>
      </c>
      <c r="D4162">
        <v>50</v>
      </c>
      <c r="E4162">
        <v>146</v>
      </c>
      <c r="F4162">
        <v>73</v>
      </c>
      <c r="G4162">
        <v>10</v>
      </c>
      <c r="H4162">
        <v>8</v>
      </c>
      <c r="I4162">
        <v>153</v>
      </c>
      <c r="J4162">
        <v>1</v>
      </c>
      <c r="K4162">
        <v>587</v>
      </c>
      <c r="L4162">
        <v>722</v>
      </c>
      <c r="M4162">
        <v>1</v>
      </c>
      <c r="N4162">
        <v>5.7914999999999999E-38</v>
      </c>
      <c r="O4162">
        <v>391</v>
      </c>
    </row>
    <row r="4163" spans="1:15" x14ac:dyDescent="0.25">
      <c r="A4163" t="s">
        <v>4176</v>
      </c>
      <c r="B4163">
        <v>719</v>
      </c>
      <c r="C4163" s="1" t="str">
        <f>HYPERLINK("http://www.rosaceae.org/gb/gbrowse/malus_x_domestica/?name=MDP0000277095","MDP0000277095")</f>
        <v>MDP0000277095</v>
      </c>
      <c r="D4163">
        <v>67.7</v>
      </c>
      <c r="E4163">
        <v>737</v>
      </c>
      <c r="F4163">
        <v>238</v>
      </c>
      <c r="G4163">
        <v>49</v>
      </c>
      <c r="H4163">
        <v>1</v>
      </c>
      <c r="I4163">
        <v>700</v>
      </c>
      <c r="J4163">
        <v>1</v>
      </c>
      <c r="K4163">
        <v>1</v>
      </c>
      <c r="L4163">
        <v>725</v>
      </c>
      <c r="M4163">
        <v>1</v>
      </c>
      <c r="N4163">
        <v>0</v>
      </c>
      <c r="O4163">
        <v>2568</v>
      </c>
    </row>
    <row r="4164" spans="1:15" x14ac:dyDescent="0.25">
      <c r="A4164" t="s">
        <v>4177</v>
      </c>
      <c r="B4164">
        <v>546</v>
      </c>
      <c r="C4164" s="1" t="str">
        <f>HYPERLINK("http://www.rosaceae.org/gb/gbrowse/malus_x_domestica/?name=MDP0000413933","MDP0000413933")</f>
        <v>MDP0000413933</v>
      </c>
      <c r="D4164">
        <v>66.66</v>
      </c>
      <c r="E4164">
        <v>474</v>
      </c>
      <c r="F4164">
        <v>158</v>
      </c>
      <c r="G4164">
        <v>15</v>
      </c>
      <c r="H4164">
        <v>69</v>
      </c>
      <c r="I4164">
        <v>542</v>
      </c>
      <c r="J4164">
        <v>1</v>
      </c>
      <c r="K4164">
        <v>203</v>
      </c>
      <c r="L4164">
        <v>661</v>
      </c>
      <c r="M4164">
        <v>1</v>
      </c>
      <c r="N4164">
        <v>0</v>
      </c>
      <c r="O4164">
        <v>1710</v>
      </c>
    </row>
    <row r="4165" spans="1:15" x14ac:dyDescent="0.25">
      <c r="A4165" t="s">
        <v>4178</v>
      </c>
      <c r="B4165">
        <v>165</v>
      </c>
      <c r="C4165" s="1" t="str">
        <f>HYPERLINK("http://www.rosaceae.org/gb/gbrowse/malus_x_domestica/?name=MDP0000774306","MDP0000774306")</f>
        <v>MDP0000774306</v>
      </c>
      <c r="D4165">
        <v>37.14</v>
      </c>
      <c r="E4165">
        <v>175</v>
      </c>
      <c r="F4165">
        <v>110</v>
      </c>
      <c r="G4165">
        <v>29</v>
      </c>
      <c r="H4165">
        <v>15</v>
      </c>
      <c r="I4165">
        <v>163</v>
      </c>
      <c r="J4165">
        <v>1</v>
      </c>
      <c r="K4165">
        <v>112</v>
      </c>
      <c r="L4165">
        <v>283</v>
      </c>
      <c r="M4165">
        <v>1</v>
      </c>
      <c r="N4165">
        <v>2.7303299999999999E-15</v>
      </c>
      <c r="O4165">
        <v>192</v>
      </c>
    </row>
    <row r="4166" spans="1:15" x14ac:dyDescent="0.25">
      <c r="A4166" t="s">
        <v>4179</v>
      </c>
      <c r="B4166">
        <v>379</v>
      </c>
      <c r="C4166" s="1" t="str">
        <f>HYPERLINK("http://www.rosaceae.org/gb/gbrowse/malus_x_domestica/?name=MDP0000452772","MDP0000452772")</f>
        <v>MDP0000452772</v>
      </c>
      <c r="D4166">
        <v>62.01</v>
      </c>
      <c r="E4166">
        <v>358</v>
      </c>
      <c r="F4166">
        <v>136</v>
      </c>
      <c r="G4166">
        <v>9</v>
      </c>
      <c r="H4166">
        <v>1</v>
      </c>
      <c r="I4166">
        <v>354</v>
      </c>
      <c r="J4166">
        <v>1</v>
      </c>
      <c r="K4166">
        <v>6</v>
      </c>
      <c r="L4166">
        <v>358</v>
      </c>
      <c r="M4166">
        <v>1</v>
      </c>
      <c r="N4166">
        <v>2.1033199999999999E-118</v>
      </c>
      <c r="O4166">
        <v>1086</v>
      </c>
    </row>
    <row r="4167" spans="1:15" x14ac:dyDescent="0.25">
      <c r="A4167" t="s">
        <v>4180</v>
      </c>
      <c r="B4167">
        <v>186</v>
      </c>
      <c r="C4167" s="1" t="str">
        <f>HYPERLINK("http://www.rosaceae.org/gb/gbrowse/malus_x_domestica/?name=MDP0000851342","MDP0000851342")</f>
        <v>MDP0000851342</v>
      </c>
      <c r="D4167">
        <v>46.89</v>
      </c>
      <c r="E4167">
        <v>177</v>
      </c>
      <c r="F4167">
        <v>94</v>
      </c>
      <c r="G4167">
        <v>15</v>
      </c>
      <c r="H4167">
        <v>1</v>
      </c>
      <c r="I4167">
        <v>176</v>
      </c>
      <c r="J4167">
        <v>1</v>
      </c>
      <c r="K4167">
        <v>1</v>
      </c>
      <c r="L4167">
        <v>163</v>
      </c>
      <c r="M4167">
        <v>1</v>
      </c>
      <c r="N4167">
        <v>5.6099699999999996E-37</v>
      </c>
      <c r="O4167">
        <v>380</v>
      </c>
    </row>
    <row r="4168" spans="1:15" x14ac:dyDescent="0.25">
      <c r="A4168" t="s">
        <v>4181</v>
      </c>
      <c r="B4168">
        <v>561</v>
      </c>
      <c r="C4168" s="1" t="str">
        <f>HYPERLINK("http://www.rosaceae.org/gb/gbrowse/malus_x_domestica/?name=MDP0000230483","MDP0000230483")</f>
        <v>MDP0000230483</v>
      </c>
      <c r="D4168">
        <v>74.28</v>
      </c>
      <c r="E4168">
        <v>556</v>
      </c>
      <c r="F4168">
        <v>143</v>
      </c>
      <c r="G4168">
        <v>45</v>
      </c>
      <c r="H4168">
        <v>1</v>
      </c>
      <c r="I4168">
        <v>533</v>
      </c>
      <c r="J4168">
        <v>1</v>
      </c>
      <c r="K4168">
        <v>1</v>
      </c>
      <c r="L4168">
        <v>534</v>
      </c>
      <c r="M4168">
        <v>1</v>
      </c>
      <c r="N4168">
        <v>0</v>
      </c>
      <c r="O4168">
        <v>2104</v>
      </c>
    </row>
    <row r="4169" spans="1:15" x14ac:dyDescent="0.25">
      <c r="A4169" t="s">
        <v>4182</v>
      </c>
      <c r="B4169">
        <v>270</v>
      </c>
      <c r="C4169" s="1" t="str">
        <f>HYPERLINK("http://www.rosaceae.org/gb/gbrowse/malus_x_domestica/?name=MDP0000942516","MDP0000942516")</f>
        <v>MDP0000942516</v>
      </c>
      <c r="D4169">
        <v>78.12</v>
      </c>
      <c r="E4169">
        <v>160</v>
      </c>
      <c r="F4169">
        <v>35</v>
      </c>
      <c r="G4169">
        <v>1</v>
      </c>
      <c r="H4169">
        <v>111</v>
      </c>
      <c r="I4169">
        <v>270</v>
      </c>
      <c r="J4169">
        <v>1</v>
      </c>
      <c r="K4169">
        <v>1</v>
      </c>
      <c r="L4169">
        <v>159</v>
      </c>
      <c r="M4169">
        <v>1</v>
      </c>
      <c r="N4169">
        <v>1.89473E-67</v>
      </c>
      <c r="O4169">
        <v>645</v>
      </c>
    </row>
    <row r="4170" spans="1:15" x14ac:dyDescent="0.25">
      <c r="A4170" t="s">
        <v>4183</v>
      </c>
      <c r="B4170">
        <v>770</v>
      </c>
      <c r="C4170" s="1" t="str">
        <f>HYPERLINK("http://www.rosaceae.org/gb/gbrowse/malus_x_domestica/?name=MDP0000153762","MDP0000153762")</f>
        <v>MDP0000153762</v>
      </c>
      <c r="D4170">
        <v>75.78</v>
      </c>
      <c r="E4170">
        <v>768</v>
      </c>
      <c r="F4170">
        <v>186</v>
      </c>
      <c r="G4170">
        <v>11</v>
      </c>
      <c r="H4170">
        <v>5</v>
      </c>
      <c r="I4170">
        <v>769</v>
      </c>
      <c r="J4170">
        <v>1</v>
      </c>
      <c r="K4170">
        <v>3</v>
      </c>
      <c r="L4170">
        <v>762</v>
      </c>
      <c r="M4170">
        <v>1</v>
      </c>
      <c r="N4170">
        <v>0</v>
      </c>
      <c r="O4170">
        <v>3086</v>
      </c>
    </row>
    <row r="4171" spans="1:15" x14ac:dyDescent="0.25">
      <c r="A4171" t="s">
        <v>4184</v>
      </c>
      <c r="B4171">
        <v>549</v>
      </c>
      <c r="C4171" s="1" t="str">
        <f>HYPERLINK("http://www.rosaceae.org/gb/gbrowse/malus_x_domestica/?name=MDP0000205935","MDP0000205935")</f>
        <v>MDP0000205935</v>
      </c>
      <c r="D4171">
        <v>75.39</v>
      </c>
      <c r="E4171">
        <v>508</v>
      </c>
      <c r="F4171">
        <v>125</v>
      </c>
      <c r="G4171">
        <v>16</v>
      </c>
      <c r="H4171">
        <v>43</v>
      </c>
      <c r="I4171">
        <v>549</v>
      </c>
      <c r="J4171">
        <v>1</v>
      </c>
      <c r="K4171">
        <v>5</v>
      </c>
      <c r="L4171">
        <v>497</v>
      </c>
      <c r="M4171">
        <v>1</v>
      </c>
      <c r="N4171">
        <v>0</v>
      </c>
      <c r="O4171">
        <v>1962</v>
      </c>
    </row>
    <row r="4172" spans="1:15" x14ac:dyDescent="0.25">
      <c r="A4172" t="s">
        <v>4185</v>
      </c>
      <c r="B4172">
        <v>529</v>
      </c>
      <c r="C4172" s="1" t="str">
        <f>HYPERLINK("http://www.rosaceae.org/gb/gbrowse/malus_x_domestica/?name=MDP0000142394","MDP0000142394")</f>
        <v>MDP0000142394</v>
      </c>
      <c r="D4172">
        <v>82.34</v>
      </c>
      <c r="E4172">
        <v>538</v>
      </c>
      <c r="F4172">
        <v>95</v>
      </c>
      <c r="G4172">
        <v>12</v>
      </c>
      <c r="H4172">
        <v>3</v>
      </c>
      <c r="I4172">
        <v>529</v>
      </c>
      <c r="J4172">
        <v>1</v>
      </c>
      <c r="K4172">
        <v>148</v>
      </c>
      <c r="L4172">
        <v>684</v>
      </c>
      <c r="M4172">
        <v>1</v>
      </c>
      <c r="N4172">
        <v>0</v>
      </c>
      <c r="O4172">
        <v>2365</v>
      </c>
    </row>
    <row r="4173" spans="1:15" x14ac:dyDescent="0.25">
      <c r="A4173" t="s">
        <v>4186</v>
      </c>
      <c r="B4173">
        <v>496</v>
      </c>
      <c r="C4173" s="1" t="str">
        <f>HYPERLINK("http://www.rosaceae.org/gb/gbrowse/malus_x_domestica/?name=MDP0000205654","MDP0000205654")</f>
        <v>MDP0000205654</v>
      </c>
      <c r="D4173">
        <v>73.47</v>
      </c>
      <c r="E4173">
        <v>475</v>
      </c>
      <c r="F4173">
        <v>126</v>
      </c>
      <c r="G4173">
        <v>6</v>
      </c>
      <c r="H4173">
        <v>1</v>
      </c>
      <c r="I4173">
        <v>470</v>
      </c>
      <c r="J4173">
        <v>1</v>
      </c>
      <c r="K4173">
        <v>37</v>
      </c>
      <c r="L4173">
        <v>510</v>
      </c>
      <c r="M4173">
        <v>1</v>
      </c>
      <c r="N4173">
        <v>0</v>
      </c>
      <c r="O4173">
        <v>1790</v>
      </c>
    </row>
    <row r="4174" spans="1:15" x14ac:dyDescent="0.25">
      <c r="A4174" t="s">
        <v>4187</v>
      </c>
      <c r="B4174">
        <v>515</v>
      </c>
      <c r="C4174" s="1" t="str">
        <f>HYPERLINK("http://www.rosaceae.org/gb/gbrowse/malus_x_domestica/?name=MDP0000319401","MDP0000319401")</f>
        <v>MDP0000319401</v>
      </c>
      <c r="D4174">
        <v>74</v>
      </c>
      <c r="E4174">
        <v>554</v>
      </c>
      <c r="F4174">
        <v>144</v>
      </c>
      <c r="G4174">
        <v>48</v>
      </c>
      <c r="H4174">
        <v>1</v>
      </c>
      <c r="I4174">
        <v>515</v>
      </c>
      <c r="J4174">
        <v>1</v>
      </c>
      <c r="K4174">
        <v>1</v>
      </c>
      <c r="L4174">
        <v>545</v>
      </c>
      <c r="M4174">
        <v>1</v>
      </c>
      <c r="N4174">
        <v>0</v>
      </c>
      <c r="O4174">
        <v>2029</v>
      </c>
    </row>
    <row r="4175" spans="1:15" x14ac:dyDescent="0.25">
      <c r="A4175" t="s">
        <v>4188</v>
      </c>
      <c r="B4175">
        <v>318</v>
      </c>
      <c r="C4175" s="1" t="str">
        <f>HYPERLINK("http://www.rosaceae.org/gb/gbrowse/malus_x_domestica/?name=MDP0000285103","MDP0000285103")</f>
        <v>MDP0000285103</v>
      </c>
      <c r="D4175">
        <v>28.91</v>
      </c>
      <c r="E4175">
        <v>377</v>
      </c>
      <c r="F4175">
        <v>268</v>
      </c>
      <c r="G4175">
        <v>107</v>
      </c>
      <c r="H4175">
        <v>10</v>
      </c>
      <c r="I4175">
        <v>318</v>
      </c>
      <c r="J4175">
        <v>1</v>
      </c>
      <c r="K4175">
        <v>12</v>
      </c>
      <c r="L4175">
        <v>349</v>
      </c>
      <c r="M4175">
        <v>1</v>
      </c>
      <c r="N4175">
        <v>1.14413E-26</v>
      </c>
      <c r="O4175">
        <v>294</v>
      </c>
    </row>
    <row r="4176" spans="1:15" x14ac:dyDescent="0.25">
      <c r="A4176" t="s">
        <v>4189</v>
      </c>
      <c r="B4176">
        <v>575</v>
      </c>
      <c r="C4176" s="1" t="str">
        <f>HYPERLINK("http://www.rosaceae.org/gb/gbrowse/malus_x_domestica/?name=MDP0000598262","MDP0000598262")</f>
        <v>MDP0000598262</v>
      </c>
      <c r="D4176">
        <v>79.959999999999994</v>
      </c>
      <c r="E4176">
        <v>574</v>
      </c>
      <c r="F4176">
        <v>115</v>
      </c>
      <c r="G4176">
        <v>1</v>
      </c>
      <c r="H4176">
        <v>2</v>
      </c>
      <c r="I4176">
        <v>575</v>
      </c>
      <c r="J4176">
        <v>1</v>
      </c>
      <c r="K4176">
        <v>1</v>
      </c>
      <c r="L4176">
        <v>573</v>
      </c>
      <c r="M4176">
        <v>1</v>
      </c>
      <c r="N4176">
        <v>0</v>
      </c>
      <c r="O4176">
        <v>2361</v>
      </c>
    </row>
    <row r="4177" spans="1:15" x14ac:dyDescent="0.25">
      <c r="A4177" t="s">
        <v>4190</v>
      </c>
      <c r="B4177">
        <v>219</v>
      </c>
      <c r="C4177" s="1" t="str">
        <f>HYPERLINK("http://www.rosaceae.org/gb/gbrowse/malus_x_domestica/?name=MDP0000138709","MDP0000138709")</f>
        <v>MDP0000138709</v>
      </c>
      <c r="D4177">
        <v>84.93</v>
      </c>
      <c r="E4177">
        <v>219</v>
      </c>
      <c r="F4177">
        <v>33</v>
      </c>
      <c r="G4177">
        <v>0</v>
      </c>
      <c r="H4177">
        <v>1</v>
      </c>
      <c r="I4177">
        <v>219</v>
      </c>
      <c r="J4177">
        <v>1</v>
      </c>
      <c r="K4177">
        <v>1</v>
      </c>
      <c r="L4177">
        <v>219</v>
      </c>
      <c r="M4177">
        <v>1</v>
      </c>
      <c r="N4177">
        <v>5.5391600000000001E-108</v>
      </c>
      <c r="O4177">
        <v>993</v>
      </c>
    </row>
    <row r="4178" spans="1:15" x14ac:dyDescent="0.25">
      <c r="A4178" t="s">
        <v>4191</v>
      </c>
      <c r="B4178">
        <v>635</v>
      </c>
      <c r="C4178" s="1" t="str">
        <f>HYPERLINK("http://www.rosaceae.org/gb/gbrowse/malus_x_domestica/?name=MDP0000223167","MDP0000223167")</f>
        <v>MDP0000223167</v>
      </c>
      <c r="D4178">
        <v>59.46</v>
      </c>
      <c r="E4178">
        <v>671</v>
      </c>
      <c r="F4178">
        <v>272</v>
      </c>
      <c r="G4178">
        <v>41</v>
      </c>
      <c r="H4178">
        <v>1</v>
      </c>
      <c r="I4178">
        <v>635</v>
      </c>
      <c r="J4178">
        <v>1</v>
      </c>
      <c r="K4178">
        <v>452</v>
      </c>
      <c r="L4178">
        <v>1117</v>
      </c>
      <c r="M4178">
        <v>1</v>
      </c>
      <c r="N4178">
        <v>0</v>
      </c>
      <c r="O4178">
        <v>1991</v>
      </c>
    </row>
    <row r="4179" spans="1:15" x14ac:dyDescent="0.25">
      <c r="A4179" t="s">
        <v>4192</v>
      </c>
      <c r="B4179">
        <v>365</v>
      </c>
      <c r="C4179" s="1" t="str">
        <f>HYPERLINK("http://www.rosaceae.org/gb/gbrowse/malus_x_domestica/?name=MDP0000915707","MDP0000915707")</f>
        <v>MDP0000915707</v>
      </c>
      <c r="D4179">
        <v>86.25</v>
      </c>
      <c r="E4179">
        <v>291</v>
      </c>
      <c r="F4179">
        <v>40</v>
      </c>
      <c r="G4179">
        <v>0</v>
      </c>
      <c r="H4179">
        <v>75</v>
      </c>
      <c r="I4179">
        <v>365</v>
      </c>
      <c r="J4179">
        <v>1</v>
      </c>
      <c r="K4179">
        <v>1</v>
      </c>
      <c r="L4179">
        <v>291</v>
      </c>
      <c r="M4179">
        <v>1</v>
      </c>
      <c r="N4179">
        <v>1.0080100000000001E-143</v>
      </c>
      <c r="O4179">
        <v>1304</v>
      </c>
    </row>
    <row r="4180" spans="1:15" x14ac:dyDescent="0.25">
      <c r="A4180" t="s">
        <v>4193</v>
      </c>
      <c r="B4180">
        <v>964</v>
      </c>
      <c r="C4180" s="1" t="str">
        <f>HYPERLINK("http://www.rosaceae.org/gb/gbrowse/malus_x_domestica/?name=MDP0000201701","MDP0000201701")</f>
        <v>MDP0000201701</v>
      </c>
      <c r="D4180">
        <v>70.239999999999995</v>
      </c>
      <c r="E4180">
        <v>1035</v>
      </c>
      <c r="F4180">
        <v>308</v>
      </c>
      <c r="G4180">
        <v>81</v>
      </c>
      <c r="H4180">
        <v>1</v>
      </c>
      <c r="I4180">
        <v>964</v>
      </c>
      <c r="J4180">
        <v>1</v>
      </c>
      <c r="K4180">
        <v>1</v>
      </c>
      <c r="L4180">
        <v>1025</v>
      </c>
      <c r="M4180">
        <v>1</v>
      </c>
      <c r="N4180">
        <v>0</v>
      </c>
      <c r="O4180">
        <v>3648</v>
      </c>
    </row>
    <row r="4181" spans="1:15" x14ac:dyDescent="0.25">
      <c r="A4181" t="s">
        <v>4194</v>
      </c>
      <c r="B4181">
        <v>209</v>
      </c>
      <c r="C4181" s="1" t="str">
        <f>HYPERLINK("http://www.rosaceae.org/gb/gbrowse/malus_x_domestica/?name=MDP0000397306","MDP0000397306")</f>
        <v>MDP0000397306</v>
      </c>
      <c r="D4181">
        <v>83.73</v>
      </c>
      <c r="E4181">
        <v>209</v>
      </c>
      <c r="F4181">
        <v>34</v>
      </c>
      <c r="G4181">
        <v>0</v>
      </c>
      <c r="H4181">
        <v>1</v>
      </c>
      <c r="I4181">
        <v>209</v>
      </c>
      <c r="J4181">
        <v>1</v>
      </c>
      <c r="K4181">
        <v>1</v>
      </c>
      <c r="L4181">
        <v>209</v>
      </c>
      <c r="M4181">
        <v>1</v>
      </c>
      <c r="N4181">
        <v>5.1825E-95</v>
      </c>
      <c r="O4181">
        <v>881</v>
      </c>
    </row>
    <row r="4182" spans="1:15" x14ac:dyDescent="0.25">
      <c r="A4182" t="s">
        <v>4195</v>
      </c>
      <c r="B4182">
        <v>128</v>
      </c>
      <c r="C4182" s="1" t="str">
        <f>HYPERLINK("http://www.rosaceae.org/gb/gbrowse/malus_x_domestica/?name=MDP0000236750","MDP0000236750")</f>
        <v>MDP0000236750</v>
      </c>
      <c r="D4182">
        <v>36.979999999999997</v>
      </c>
      <c r="E4182">
        <v>73</v>
      </c>
      <c r="F4182">
        <v>46</v>
      </c>
      <c r="G4182">
        <v>3</v>
      </c>
      <c r="H4182">
        <v>2</v>
      </c>
      <c r="I4182">
        <v>74</v>
      </c>
      <c r="J4182">
        <v>1</v>
      </c>
      <c r="K4182">
        <v>28</v>
      </c>
      <c r="L4182">
        <v>97</v>
      </c>
      <c r="M4182">
        <v>1</v>
      </c>
      <c r="N4182">
        <v>2.6570099999999998E-7</v>
      </c>
      <c r="O4182">
        <v>121</v>
      </c>
    </row>
    <row r="4183" spans="1:15" x14ac:dyDescent="0.25">
      <c r="A4183" t="s">
        <v>4196</v>
      </c>
      <c r="B4183">
        <v>365</v>
      </c>
      <c r="C4183" s="1" t="str">
        <f>HYPERLINK("http://www.rosaceae.org/gb/gbrowse/malus_x_domestica/?name=MDP0000140292","MDP0000140292")</f>
        <v>MDP0000140292</v>
      </c>
      <c r="D4183">
        <v>54.76</v>
      </c>
      <c r="E4183">
        <v>367</v>
      </c>
      <c r="F4183">
        <v>166</v>
      </c>
      <c r="G4183">
        <v>6</v>
      </c>
      <c r="H4183">
        <v>1</v>
      </c>
      <c r="I4183">
        <v>364</v>
      </c>
      <c r="J4183">
        <v>1</v>
      </c>
      <c r="K4183">
        <v>1</v>
      </c>
      <c r="L4183">
        <v>364</v>
      </c>
      <c r="M4183">
        <v>1</v>
      </c>
      <c r="N4183">
        <v>4.9302200000000002E-107</v>
      </c>
      <c r="O4183">
        <v>988</v>
      </c>
    </row>
    <row r="4184" spans="1:15" x14ac:dyDescent="0.25">
      <c r="A4184" t="s">
        <v>4197</v>
      </c>
      <c r="B4184">
        <v>552</v>
      </c>
      <c r="C4184" s="1" t="str">
        <f>HYPERLINK("http://www.rosaceae.org/gb/gbrowse/malus_x_domestica/?name=MDP0000306176","MDP0000306176")</f>
        <v>MDP0000306176</v>
      </c>
      <c r="D4184">
        <v>51.86</v>
      </c>
      <c r="E4184">
        <v>482</v>
      </c>
      <c r="F4184">
        <v>232</v>
      </c>
      <c r="G4184">
        <v>64</v>
      </c>
      <c r="H4184">
        <v>78</v>
      </c>
      <c r="I4184">
        <v>551</v>
      </c>
      <c r="J4184">
        <v>1</v>
      </c>
      <c r="K4184">
        <v>298</v>
      </c>
      <c r="L4184">
        <v>723</v>
      </c>
      <c r="M4184">
        <v>1</v>
      </c>
      <c r="N4184">
        <v>1.9329099999999999E-136</v>
      </c>
      <c r="O4184">
        <v>1244</v>
      </c>
    </row>
    <row r="4185" spans="1:15" x14ac:dyDescent="0.25">
      <c r="A4185" t="s">
        <v>4198</v>
      </c>
      <c r="B4185">
        <v>95</v>
      </c>
      <c r="C4185" s="1" t="str">
        <f>HYPERLINK("http://www.rosaceae.org/gb/gbrowse/malus_x_domestica/?name=MDP0000291140","MDP0000291140")</f>
        <v>MDP0000291140</v>
      </c>
      <c r="D4185">
        <v>83.9</v>
      </c>
      <c r="E4185">
        <v>87</v>
      </c>
      <c r="F4185">
        <v>14</v>
      </c>
      <c r="G4185">
        <v>0</v>
      </c>
      <c r="H4185">
        <v>2</v>
      </c>
      <c r="I4185">
        <v>88</v>
      </c>
      <c r="J4185">
        <v>1</v>
      </c>
      <c r="K4185">
        <v>3</v>
      </c>
      <c r="L4185">
        <v>89</v>
      </c>
      <c r="M4185">
        <v>1</v>
      </c>
      <c r="N4185">
        <v>2.8749399999999999E-36</v>
      </c>
      <c r="O4185">
        <v>370</v>
      </c>
    </row>
    <row r="4186" spans="1:15" x14ac:dyDescent="0.25">
      <c r="A4186" t="s">
        <v>4199</v>
      </c>
      <c r="B4186">
        <v>469</v>
      </c>
      <c r="C4186" s="1" t="str">
        <f>HYPERLINK("http://www.rosaceae.org/gb/gbrowse/malus_x_domestica/?name=MDP0000307205","MDP0000307205")</f>
        <v>MDP0000307205</v>
      </c>
      <c r="D4186">
        <v>63.51</v>
      </c>
      <c r="E4186">
        <v>307</v>
      </c>
      <c r="F4186">
        <v>112</v>
      </c>
      <c r="G4186">
        <v>34</v>
      </c>
      <c r="H4186">
        <v>1</v>
      </c>
      <c r="I4186">
        <v>307</v>
      </c>
      <c r="J4186">
        <v>1</v>
      </c>
      <c r="K4186">
        <v>1</v>
      </c>
      <c r="L4186">
        <v>273</v>
      </c>
      <c r="M4186">
        <v>1</v>
      </c>
      <c r="N4186">
        <v>5.3967400000000004E-105</v>
      </c>
      <c r="O4186">
        <v>972</v>
      </c>
    </row>
    <row r="4187" spans="1:15" x14ac:dyDescent="0.25">
      <c r="A4187" t="s">
        <v>4200</v>
      </c>
      <c r="B4187">
        <v>1991</v>
      </c>
      <c r="C4187" s="1" t="str">
        <f>HYPERLINK("http://www.rosaceae.org/gb/gbrowse/malus_x_domestica/?name=MDP0000316095","MDP0000316095")</f>
        <v>MDP0000316095</v>
      </c>
      <c r="D4187">
        <v>72.16</v>
      </c>
      <c r="E4187">
        <v>1103</v>
      </c>
      <c r="F4187">
        <v>307</v>
      </c>
      <c r="G4187">
        <v>56</v>
      </c>
      <c r="H4187">
        <v>1</v>
      </c>
      <c r="I4187">
        <v>1068</v>
      </c>
      <c r="J4187">
        <v>1</v>
      </c>
      <c r="K4187">
        <v>1</v>
      </c>
      <c r="L4187">
        <v>1082</v>
      </c>
      <c r="M4187">
        <v>1</v>
      </c>
      <c r="N4187">
        <v>0</v>
      </c>
      <c r="O4187">
        <v>4214</v>
      </c>
    </row>
    <row r="4188" spans="1:15" x14ac:dyDescent="0.25">
      <c r="A4188" t="s">
        <v>4201</v>
      </c>
      <c r="B4188">
        <v>1355</v>
      </c>
      <c r="C4188" s="1" t="str">
        <f>HYPERLINK("http://www.rosaceae.org/gb/gbrowse/malus_x_domestica/?name=MDP0000139458","MDP0000139458")</f>
        <v>MDP0000139458</v>
      </c>
      <c r="D4188">
        <v>77</v>
      </c>
      <c r="E4188">
        <v>996</v>
      </c>
      <c r="F4188">
        <v>229</v>
      </c>
      <c r="G4188">
        <v>74</v>
      </c>
      <c r="H4188">
        <v>56</v>
      </c>
      <c r="I4188">
        <v>990</v>
      </c>
      <c r="J4188">
        <v>1</v>
      </c>
      <c r="K4188">
        <v>31</v>
      </c>
      <c r="L4188">
        <v>1013</v>
      </c>
      <c r="M4188">
        <v>1</v>
      </c>
      <c r="N4188">
        <v>0</v>
      </c>
      <c r="O4188">
        <v>4043</v>
      </c>
    </row>
    <row r="4189" spans="1:15" x14ac:dyDescent="0.25">
      <c r="A4189" t="s">
        <v>4202</v>
      </c>
      <c r="B4189">
        <v>545</v>
      </c>
      <c r="C4189" s="1" t="str">
        <f>HYPERLINK("http://www.rosaceae.org/gb/gbrowse/malus_x_domestica/?name=MDP0000210109","MDP0000210109")</f>
        <v>MDP0000210109</v>
      </c>
      <c r="D4189">
        <v>69.180000000000007</v>
      </c>
      <c r="E4189">
        <v>477</v>
      </c>
      <c r="F4189">
        <v>147</v>
      </c>
      <c r="G4189">
        <v>52</v>
      </c>
      <c r="H4189">
        <v>1</v>
      </c>
      <c r="I4189">
        <v>429</v>
      </c>
      <c r="J4189">
        <v>1</v>
      </c>
      <c r="K4189">
        <v>1</v>
      </c>
      <c r="L4189">
        <v>473</v>
      </c>
      <c r="M4189">
        <v>1</v>
      </c>
      <c r="N4189">
        <v>6.0965099999999997E-177</v>
      </c>
      <c r="O4189">
        <v>1593</v>
      </c>
    </row>
    <row r="4190" spans="1:15" x14ac:dyDescent="0.25">
      <c r="A4190" t="s">
        <v>4203</v>
      </c>
      <c r="B4190">
        <v>938</v>
      </c>
      <c r="C4190" s="1" t="str">
        <f>HYPERLINK("http://www.rosaceae.org/gb/gbrowse/malus_x_domestica/?name=MDP0000242151","MDP0000242151")</f>
        <v>MDP0000242151</v>
      </c>
      <c r="D4190">
        <v>76.5</v>
      </c>
      <c r="E4190">
        <v>864</v>
      </c>
      <c r="F4190">
        <v>203</v>
      </c>
      <c r="G4190">
        <v>43</v>
      </c>
      <c r="H4190">
        <v>61</v>
      </c>
      <c r="I4190">
        <v>909</v>
      </c>
      <c r="J4190">
        <v>1</v>
      </c>
      <c r="K4190">
        <v>5</v>
      </c>
      <c r="L4190">
        <v>840</v>
      </c>
      <c r="M4190">
        <v>1</v>
      </c>
      <c r="N4190">
        <v>0</v>
      </c>
      <c r="O4190">
        <v>3229</v>
      </c>
    </row>
    <row r="4191" spans="1:15" x14ac:dyDescent="0.25">
      <c r="A4191" t="s">
        <v>4204</v>
      </c>
      <c r="B4191">
        <v>264</v>
      </c>
      <c r="C4191" s="1" t="str">
        <f>HYPERLINK("http://www.rosaceae.org/gb/gbrowse/malus_x_domestica/?name=MDP0000145448","MDP0000145448")</f>
        <v>MDP0000145448</v>
      </c>
      <c r="D4191">
        <v>37.17</v>
      </c>
      <c r="E4191">
        <v>269</v>
      </c>
      <c r="F4191">
        <v>169</v>
      </c>
      <c r="G4191">
        <v>39</v>
      </c>
      <c r="H4191">
        <v>1</v>
      </c>
      <c r="I4191">
        <v>264</v>
      </c>
      <c r="J4191">
        <v>1</v>
      </c>
      <c r="K4191">
        <v>1</v>
      </c>
      <c r="L4191">
        <v>235</v>
      </c>
      <c r="M4191">
        <v>1</v>
      </c>
      <c r="N4191">
        <v>1.6838300000000001E-32</v>
      </c>
      <c r="O4191">
        <v>344</v>
      </c>
    </row>
    <row r="4192" spans="1:15" x14ac:dyDescent="0.25">
      <c r="A4192" t="s">
        <v>4205</v>
      </c>
      <c r="B4192">
        <v>870</v>
      </c>
      <c r="C4192" s="1" t="str">
        <f>HYPERLINK("http://www.rosaceae.org/gb/gbrowse/malus_x_domestica/?name=MDP0000232807","MDP0000232807")</f>
        <v>MDP0000232807</v>
      </c>
      <c r="D4192">
        <v>66.989999999999995</v>
      </c>
      <c r="E4192">
        <v>309</v>
      </c>
      <c r="F4192">
        <v>102</v>
      </c>
      <c r="G4192">
        <v>15</v>
      </c>
      <c r="H4192">
        <v>557</v>
      </c>
      <c r="I4192">
        <v>864</v>
      </c>
      <c r="J4192">
        <v>1</v>
      </c>
      <c r="K4192">
        <v>286</v>
      </c>
      <c r="L4192">
        <v>580</v>
      </c>
      <c r="M4192">
        <v>1</v>
      </c>
      <c r="N4192">
        <v>1.3936499999999999E-121</v>
      </c>
      <c r="O4192">
        <v>1117</v>
      </c>
    </row>
    <row r="4193" spans="1:15" x14ac:dyDescent="0.25">
      <c r="A4193" t="s">
        <v>4206</v>
      </c>
      <c r="B4193">
        <v>117</v>
      </c>
      <c r="C4193" s="1" t="str">
        <f>HYPERLINK("http://www.rosaceae.org/gb/gbrowse/malus_x_domestica/?name=MDP0000193159","MDP0000193159")</f>
        <v>MDP0000193159</v>
      </c>
      <c r="D4193">
        <v>67.849999999999994</v>
      </c>
      <c r="E4193">
        <v>56</v>
      </c>
      <c r="F4193">
        <v>18</v>
      </c>
      <c r="G4193">
        <v>0</v>
      </c>
      <c r="H4193">
        <v>1</v>
      </c>
      <c r="I4193">
        <v>56</v>
      </c>
      <c r="J4193">
        <v>1</v>
      </c>
      <c r="K4193">
        <v>31</v>
      </c>
      <c r="L4193">
        <v>86</v>
      </c>
      <c r="M4193">
        <v>1</v>
      </c>
      <c r="N4193">
        <v>2.2438800000000002E-18</v>
      </c>
      <c r="O4193">
        <v>216</v>
      </c>
    </row>
    <row r="4194" spans="1:15" x14ac:dyDescent="0.25">
      <c r="A4194" t="s">
        <v>4207</v>
      </c>
      <c r="B4194">
        <v>556</v>
      </c>
      <c r="C4194" s="1" t="str">
        <f>HYPERLINK("http://www.rosaceae.org/gb/gbrowse/malus_x_domestica/?name=MDP0000770666","MDP0000770666")</f>
        <v>MDP0000770666</v>
      </c>
      <c r="D4194">
        <v>78.819999999999993</v>
      </c>
      <c r="E4194">
        <v>529</v>
      </c>
      <c r="F4194">
        <v>112</v>
      </c>
      <c r="G4194">
        <v>18</v>
      </c>
      <c r="H4194">
        <v>29</v>
      </c>
      <c r="I4194">
        <v>556</v>
      </c>
      <c r="J4194">
        <v>1</v>
      </c>
      <c r="K4194">
        <v>35</v>
      </c>
      <c r="L4194">
        <v>546</v>
      </c>
      <c r="M4194">
        <v>1</v>
      </c>
      <c r="N4194">
        <v>0</v>
      </c>
      <c r="O4194">
        <v>2195</v>
      </c>
    </row>
    <row r="4195" spans="1:15" x14ac:dyDescent="0.25">
      <c r="A4195" t="s">
        <v>4208</v>
      </c>
      <c r="B4195">
        <v>287</v>
      </c>
      <c r="C4195" s="1" t="str">
        <f>HYPERLINK("http://www.rosaceae.org/gb/gbrowse/malus_x_domestica/?name=MDP0000221663","MDP0000221663")</f>
        <v>MDP0000221663</v>
      </c>
      <c r="D4195">
        <v>52.3</v>
      </c>
      <c r="E4195">
        <v>304</v>
      </c>
      <c r="F4195">
        <v>145</v>
      </c>
      <c r="G4195">
        <v>58</v>
      </c>
      <c r="H4195">
        <v>18</v>
      </c>
      <c r="I4195">
        <v>264</v>
      </c>
      <c r="J4195">
        <v>1</v>
      </c>
      <c r="K4195">
        <v>35</v>
      </c>
      <c r="L4195">
        <v>337</v>
      </c>
      <c r="M4195">
        <v>1</v>
      </c>
      <c r="N4195">
        <v>9.3304399999999999E-81</v>
      </c>
      <c r="O4195">
        <v>760</v>
      </c>
    </row>
    <row r="4196" spans="1:15" x14ac:dyDescent="0.25">
      <c r="A4196" t="s">
        <v>4209</v>
      </c>
      <c r="B4196">
        <v>482</v>
      </c>
      <c r="C4196" s="1" t="str">
        <f>HYPERLINK("http://www.rosaceae.org/gb/gbrowse/malus_x_domestica/?name=MDP0000222287","MDP0000222287")</f>
        <v>MDP0000222287</v>
      </c>
      <c r="D4196">
        <v>68.42</v>
      </c>
      <c r="E4196">
        <v>475</v>
      </c>
      <c r="F4196">
        <v>150</v>
      </c>
      <c r="G4196">
        <v>0</v>
      </c>
      <c r="H4196">
        <v>1</v>
      </c>
      <c r="I4196">
        <v>475</v>
      </c>
      <c r="J4196">
        <v>1</v>
      </c>
      <c r="K4196">
        <v>1</v>
      </c>
      <c r="L4196">
        <v>475</v>
      </c>
      <c r="M4196">
        <v>1</v>
      </c>
      <c r="N4196">
        <v>0</v>
      </c>
      <c r="O4196">
        <v>1835</v>
      </c>
    </row>
    <row r="4197" spans="1:15" x14ac:dyDescent="0.25">
      <c r="A4197" t="s">
        <v>4210</v>
      </c>
      <c r="B4197">
        <v>310</v>
      </c>
      <c r="C4197" s="1" t="str">
        <f>HYPERLINK("http://www.rosaceae.org/gb/gbrowse/malus_x_domestica/?name=MDP0000176550","MDP0000176550")</f>
        <v>MDP0000176550</v>
      </c>
      <c r="D4197">
        <v>64.83</v>
      </c>
      <c r="E4197">
        <v>310</v>
      </c>
      <c r="F4197">
        <v>109</v>
      </c>
      <c r="G4197">
        <v>4</v>
      </c>
      <c r="H4197">
        <v>1</v>
      </c>
      <c r="I4197">
        <v>310</v>
      </c>
      <c r="J4197">
        <v>1</v>
      </c>
      <c r="K4197">
        <v>50</v>
      </c>
      <c r="L4197">
        <v>355</v>
      </c>
      <c r="M4197">
        <v>1</v>
      </c>
      <c r="N4197">
        <v>9.9815500000000001E-108</v>
      </c>
      <c r="O4197">
        <v>993</v>
      </c>
    </row>
    <row r="4198" spans="1:15" x14ac:dyDescent="0.25">
      <c r="A4198" t="s">
        <v>4211</v>
      </c>
      <c r="B4198">
        <v>365</v>
      </c>
      <c r="C4198" s="1" t="str">
        <f>HYPERLINK("http://www.rosaceae.org/gb/gbrowse/malus_x_domestica/?name=MDP0000183229","MDP0000183229")</f>
        <v>MDP0000183229</v>
      </c>
      <c r="D4198">
        <v>45.29</v>
      </c>
      <c r="E4198">
        <v>223</v>
      </c>
      <c r="F4198">
        <v>122</v>
      </c>
      <c r="G4198">
        <v>16</v>
      </c>
      <c r="H4198">
        <v>92</v>
      </c>
      <c r="I4198">
        <v>303</v>
      </c>
      <c r="J4198">
        <v>1</v>
      </c>
      <c r="K4198">
        <v>141</v>
      </c>
      <c r="L4198">
        <v>358</v>
      </c>
      <c r="M4198">
        <v>1</v>
      </c>
      <c r="N4198">
        <v>1.9069099999999999E-45</v>
      </c>
      <c r="O4198">
        <v>457</v>
      </c>
    </row>
    <row r="4199" spans="1:15" x14ac:dyDescent="0.25">
      <c r="A4199" t="s">
        <v>4212</v>
      </c>
      <c r="B4199">
        <v>253</v>
      </c>
      <c r="C4199" s="1" t="str">
        <f>HYPERLINK("http://www.rosaceae.org/gb/gbrowse/malus_x_domestica/?name=MDP0000169202","MDP0000169202")</f>
        <v>MDP0000169202</v>
      </c>
      <c r="D4199">
        <v>47.85</v>
      </c>
      <c r="E4199">
        <v>140</v>
      </c>
      <c r="F4199">
        <v>73</v>
      </c>
      <c r="G4199">
        <v>9</v>
      </c>
      <c r="H4199">
        <v>6</v>
      </c>
      <c r="I4199">
        <v>139</v>
      </c>
      <c r="J4199">
        <v>1</v>
      </c>
      <c r="K4199">
        <v>10</v>
      </c>
      <c r="L4199">
        <v>146</v>
      </c>
      <c r="M4199">
        <v>1</v>
      </c>
      <c r="N4199">
        <v>7.6775899999999996E-31</v>
      </c>
      <c r="O4199">
        <v>329</v>
      </c>
    </row>
    <row r="4200" spans="1:15" x14ac:dyDescent="0.25">
      <c r="A4200" t="s">
        <v>4213</v>
      </c>
      <c r="B4200">
        <v>415</v>
      </c>
      <c r="C4200" s="1" t="str">
        <f>HYPERLINK("http://www.rosaceae.org/gb/gbrowse/malus_x_domestica/?name=MDP0000198484","MDP0000198484")</f>
        <v>MDP0000198484</v>
      </c>
      <c r="D4200">
        <v>67.7</v>
      </c>
      <c r="E4200">
        <v>418</v>
      </c>
      <c r="F4200">
        <v>135</v>
      </c>
      <c r="G4200">
        <v>10</v>
      </c>
      <c r="H4200">
        <v>1</v>
      </c>
      <c r="I4200">
        <v>408</v>
      </c>
      <c r="J4200">
        <v>1</v>
      </c>
      <c r="K4200">
        <v>1</v>
      </c>
      <c r="L4200">
        <v>418</v>
      </c>
      <c r="M4200">
        <v>1</v>
      </c>
      <c r="N4200">
        <v>8.4038099999999991E-174</v>
      </c>
      <c r="O4200">
        <v>1564</v>
      </c>
    </row>
    <row r="4201" spans="1:15" x14ac:dyDescent="0.25">
      <c r="A4201" t="s">
        <v>4214</v>
      </c>
      <c r="B4201">
        <v>272</v>
      </c>
      <c r="C4201" s="1" t="str">
        <f>HYPERLINK("http://www.rosaceae.org/gb/gbrowse/malus_x_domestica/?name=MDP0000625880","MDP0000625880")</f>
        <v>MDP0000625880</v>
      </c>
      <c r="D4201">
        <v>66.53</v>
      </c>
      <c r="E4201">
        <v>257</v>
      </c>
      <c r="F4201">
        <v>86</v>
      </c>
      <c r="G4201">
        <v>4</v>
      </c>
      <c r="H4201">
        <v>16</v>
      </c>
      <c r="I4201">
        <v>268</v>
      </c>
      <c r="J4201">
        <v>1</v>
      </c>
      <c r="K4201">
        <v>237</v>
      </c>
      <c r="L4201">
        <v>493</v>
      </c>
      <c r="M4201">
        <v>1</v>
      </c>
      <c r="N4201">
        <v>1.59565E-96</v>
      </c>
      <c r="O4201">
        <v>896</v>
      </c>
    </row>
    <row r="4202" spans="1:15" x14ac:dyDescent="0.25">
      <c r="A4202" t="s">
        <v>4215</v>
      </c>
      <c r="B4202">
        <v>325</v>
      </c>
      <c r="C4202" s="1" t="str">
        <f>HYPERLINK("http://www.rosaceae.org/gb/gbrowse/malus_x_domestica/?name=MDP0000291250","MDP0000291250")</f>
        <v>MDP0000291250</v>
      </c>
      <c r="D4202">
        <v>90.64</v>
      </c>
      <c r="E4202">
        <v>171</v>
      </c>
      <c r="F4202">
        <v>16</v>
      </c>
      <c r="G4202">
        <v>0</v>
      </c>
      <c r="H4202">
        <v>155</v>
      </c>
      <c r="I4202">
        <v>325</v>
      </c>
      <c r="J4202">
        <v>1</v>
      </c>
      <c r="K4202">
        <v>163</v>
      </c>
      <c r="L4202">
        <v>333</v>
      </c>
      <c r="M4202">
        <v>1</v>
      </c>
      <c r="N4202">
        <v>1.66083E-89</v>
      </c>
      <c r="O4202">
        <v>836</v>
      </c>
    </row>
    <row r="4203" spans="1:15" x14ac:dyDescent="0.25">
      <c r="A4203" t="s">
        <v>4216</v>
      </c>
      <c r="B4203">
        <v>213</v>
      </c>
      <c r="C4203" s="1" t="str">
        <f>HYPERLINK("http://www.rosaceae.org/gb/gbrowse/malus_x_domestica/?name=MDP0000841488","MDP0000841488")</f>
        <v>MDP0000841488</v>
      </c>
      <c r="D4203">
        <v>70.56</v>
      </c>
      <c r="E4203">
        <v>214</v>
      </c>
      <c r="F4203">
        <v>63</v>
      </c>
      <c r="G4203">
        <v>1</v>
      </c>
      <c r="H4203">
        <v>1</v>
      </c>
      <c r="I4203">
        <v>213</v>
      </c>
      <c r="J4203">
        <v>1</v>
      </c>
      <c r="K4203">
        <v>1</v>
      </c>
      <c r="L4203">
        <v>214</v>
      </c>
      <c r="M4203">
        <v>1</v>
      </c>
      <c r="N4203">
        <v>4.4192700000000002E-77</v>
      </c>
      <c r="O4203">
        <v>727</v>
      </c>
    </row>
    <row r="4204" spans="1:15" x14ac:dyDescent="0.25">
      <c r="A4204" t="s">
        <v>4217</v>
      </c>
      <c r="B4204">
        <v>415</v>
      </c>
      <c r="C4204" s="1" t="str">
        <f>HYPERLINK("http://www.rosaceae.org/gb/gbrowse/malus_x_domestica/?name=MDP0000204515","MDP0000204515")</f>
        <v>MDP0000204515</v>
      </c>
      <c r="D4204">
        <v>61.19</v>
      </c>
      <c r="E4204">
        <v>420</v>
      </c>
      <c r="F4204">
        <v>163</v>
      </c>
      <c r="G4204">
        <v>9</v>
      </c>
      <c r="H4204">
        <v>1</v>
      </c>
      <c r="I4204">
        <v>415</v>
      </c>
      <c r="J4204">
        <v>1</v>
      </c>
      <c r="K4204">
        <v>1</v>
      </c>
      <c r="L4204">
        <v>416</v>
      </c>
      <c r="M4204">
        <v>1</v>
      </c>
      <c r="N4204">
        <v>1.16569E-138</v>
      </c>
      <c r="O4204">
        <v>1261</v>
      </c>
    </row>
    <row r="4205" spans="1:15" x14ac:dyDescent="0.25">
      <c r="A4205" t="s">
        <v>4218</v>
      </c>
      <c r="B4205">
        <v>763</v>
      </c>
      <c r="C4205" s="1" t="str">
        <f>HYPERLINK("http://www.rosaceae.org/gb/gbrowse/malus_x_domestica/?name=MDP0000295064","MDP0000295064")</f>
        <v>MDP0000295064</v>
      </c>
      <c r="D4205">
        <v>69.13</v>
      </c>
      <c r="E4205">
        <v>742</v>
      </c>
      <c r="F4205">
        <v>229</v>
      </c>
      <c r="G4205">
        <v>79</v>
      </c>
      <c r="H4205">
        <v>1</v>
      </c>
      <c r="I4205">
        <v>668</v>
      </c>
      <c r="J4205">
        <v>1</v>
      </c>
      <c r="K4205">
        <v>1</v>
      </c>
      <c r="L4205">
        <v>737</v>
      </c>
      <c r="M4205">
        <v>1</v>
      </c>
      <c r="N4205">
        <v>0</v>
      </c>
      <c r="O4205">
        <v>2545</v>
      </c>
    </row>
    <row r="4206" spans="1:15" x14ac:dyDescent="0.25">
      <c r="A4206" t="s">
        <v>4219</v>
      </c>
      <c r="B4206">
        <v>512</v>
      </c>
      <c r="C4206" s="1" t="str">
        <f>HYPERLINK("http://www.rosaceae.org/gb/gbrowse/malus_x_domestica/?name=MDP0000195139","MDP0000195139")</f>
        <v>MDP0000195139</v>
      </c>
      <c r="D4206">
        <v>42.6</v>
      </c>
      <c r="E4206">
        <v>392</v>
      </c>
      <c r="F4206">
        <v>225</v>
      </c>
      <c r="G4206">
        <v>18</v>
      </c>
      <c r="H4206">
        <v>125</v>
      </c>
      <c r="I4206">
        <v>505</v>
      </c>
      <c r="J4206">
        <v>1</v>
      </c>
      <c r="K4206">
        <v>566</v>
      </c>
      <c r="L4206">
        <v>950</v>
      </c>
      <c r="M4206">
        <v>1</v>
      </c>
      <c r="N4206">
        <v>2.2894899999999999E-61</v>
      </c>
      <c r="O4206">
        <v>596</v>
      </c>
    </row>
    <row r="4207" spans="1:15" x14ac:dyDescent="0.25">
      <c r="A4207" t="s">
        <v>4220</v>
      </c>
      <c r="B4207">
        <v>410</v>
      </c>
      <c r="C4207" s="1" t="str">
        <f>HYPERLINK("http://www.rosaceae.org/gb/gbrowse/malus_x_domestica/?name=MDP0000188627","MDP0000188627")</f>
        <v>MDP0000188627</v>
      </c>
      <c r="D4207">
        <v>49.21</v>
      </c>
      <c r="E4207">
        <v>319</v>
      </c>
      <c r="F4207">
        <v>162</v>
      </c>
      <c r="G4207">
        <v>6</v>
      </c>
      <c r="H4207">
        <v>47</v>
      </c>
      <c r="I4207">
        <v>360</v>
      </c>
      <c r="J4207">
        <v>1</v>
      </c>
      <c r="K4207">
        <v>44</v>
      </c>
      <c r="L4207">
        <v>361</v>
      </c>
      <c r="M4207">
        <v>1</v>
      </c>
      <c r="N4207">
        <v>3.7875899999999999E-75</v>
      </c>
      <c r="O4207">
        <v>714</v>
      </c>
    </row>
    <row r="4208" spans="1:15" x14ac:dyDescent="0.25">
      <c r="A4208" t="s">
        <v>4221</v>
      </c>
      <c r="B4208">
        <v>480</v>
      </c>
      <c r="C4208" s="1" t="str">
        <f>HYPERLINK("http://www.rosaceae.org/gb/gbrowse/malus_x_domestica/?name=MDP0000462161","MDP0000462161")</f>
        <v>MDP0000462161</v>
      </c>
      <c r="D4208">
        <v>80.459999999999994</v>
      </c>
      <c r="E4208">
        <v>476</v>
      </c>
      <c r="F4208">
        <v>93</v>
      </c>
      <c r="G4208">
        <v>0</v>
      </c>
      <c r="H4208">
        <v>2</v>
      </c>
      <c r="I4208">
        <v>477</v>
      </c>
      <c r="J4208">
        <v>1</v>
      </c>
      <c r="K4208">
        <v>230</v>
      </c>
      <c r="L4208">
        <v>705</v>
      </c>
      <c r="M4208">
        <v>1</v>
      </c>
      <c r="N4208">
        <v>0</v>
      </c>
      <c r="O4208">
        <v>2099</v>
      </c>
    </row>
    <row r="4209" spans="1:15" x14ac:dyDescent="0.25">
      <c r="A4209" t="s">
        <v>4222</v>
      </c>
      <c r="B4209">
        <v>1385</v>
      </c>
      <c r="C4209" s="1" t="str">
        <f>HYPERLINK("http://www.rosaceae.org/gb/gbrowse/malus_x_domestica/?name=MDP0000230933","MDP0000230933")</f>
        <v>MDP0000230933</v>
      </c>
      <c r="D4209">
        <v>61.2</v>
      </c>
      <c r="E4209">
        <v>1281</v>
      </c>
      <c r="F4209">
        <v>497</v>
      </c>
      <c r="G4209">
        <v>56</v>
      </c>
      <c r="H4209">
        <v>133</v>
      </c>
      <c r="I4209">
        <v>1384</v>
      </c>
      <c r="J4209">
        <v>1</v>
      </c>
      <c r="K4209">
        <v>1</v>
      </c>
      <c r="L4209">
        <v>1254</v>
      </c>
      <c r="M4209">
        <v>1</v>
      </c>
      <c r="N4209">
        <v>0</v>
      </c>
      <c r="O4209">
        <v>3721</v>
      </c>
    </row>
    <row r="4210" spans="1:15" x14ac:dyDescent="0.25">
      <c r="A4210" t="s">
        <v>4223</v>
      </c>
      <c r="B4210">
        <v>1249</v>
      </c>
      <c r="C4210" s="1" t="str">
        <f>HYPERLINK("http://www.rosaceae.org/gb/gbrowse/malus_x_domestica/?name=MDP0000227061","MDP0000227061")</f>
        <v>MDP0000227061</v>
      </c>
      <c r="D4210">
        <v>67.36</v>
      </c>
      <c r="E4210">
        <v>239</v>
      </c>
      <c r="F4210">
        <v>78</v>
      </c>
      <c r="G4210">
        <v>19</v>
      </c>
      <c r="H4210">
        <v>642</v>
      </c>
      <c r="I4210">
        <v>871</v>
      </c>
      <c r="J4210">
        <v>1</v>
      </c>
      <c r="K4210">
        <v>398</v>
      </c>
      <c r="L4210">
        <v>626</v>
      </c>
      <c r="M4210">
        <v>1</v>
      </c>
      <c r="N4210">
        <v>2.59612E-73</v>
      </c>
      <c r="O4210">
        <v>703</v>
      </c>
    </row>
    <row r="4211" spans="1:15" x14ac:dyDescent="0.25">
      <c r="A4211" t="s">
        <v>4224</v>
      </c>
      <c r="B4211">
        <v>190</v>
      </c>
      <c r="C4211" s="1" t="str">
        <f>HYPERLINK("http://www.rosaceae.org/gb/gbrowse/malus_x_domestica/?name=MDP0000202697","MDP0000202697")</f>
        <v>MDP0000202697</v>
      </c>
      <c r="D4211">
        <v>90.58</v>
      </c>
      <c r="E4211">
        <v>170</v>
      </c>
      <c r="F4211">
        <v>16</v>
      </c>
      <c r="G4211">
        <v>0</v>
      </c>
      <c r="H4211">
        <v>21</v>
      </c>
      <c r="I4211">
        <v>190</v>
      </c>
      <c r="J4211">
        <v>1</v>
      </c>
      <c r="K4211">
        <v>20</v>
      </c>
      <c r="L4211">
        <v>189</v>
      </c>
      <c r="M4211">
        <v>1</v>
      </c>
      <c r="N4211">
        <v>1.7121899999999999E-88</v>
      </c>
      <c r="O4211">
        <v>824</v>
      </c>
    </row>
    <row r="4212" spans="1:15" x14ac:dyDescent="0.25">
      <c r="A4212" t="s">
        <v>4225</v>
      </c>
      <c r="B4212">
        <v>169</v>
      </c>
      <c r="C4212" s="1" t="str">
        <f>HYPERLINK("http://www.rosaceae.org/gb/gbrowse/malus_x_domestica/?name=MDP0000570507","MDP0000570507")</f>
        <v>MDP0000570507</v>
      </c>
      <c r="D4212">
        <v>68.930000000000007</v>
      </c>
      <c r="E4212">
        <v>132</v>
      </c>
      <c r="F4212">
        <v>41</v>
      </c>
      <c r="G4212">
        <v>21</v>
      </c>
      <c r="H4212">
        <v>19</v>
      </c>
      <c r="I4212">
        <v>129</v>
      </c>
      <c r="J4212">
        <v>1</v>
      </c>
      <c r="K4212">
        <v>598</v>
      </c>
      <c r="L4212">
        <v>729</v>
      </c>
      <c r="M4212">
        <v>1</v>
      </c>
      <c r="N4212">
        <v>5.0532699999999996E-43</v>
      </c>
      <c r="O4212">
        <v>431</v>
      </c>
    </row>
    <row r="4213" spans="1:15" x14ac:dyDescent="0.25">
      <c r="A4213" t="s">
        <v>4226</v>
      </c>
      <c r="B4213">
        <v>1147</v>
      </c>
      <c r="C4213" s="1" t="str">
        <f>HYPERLINK("http://www.rosaceae.org/gb/gbrowse/malus_x_domestica/?name=MDP0000262250","MDP0000262250")</f>
        <v>MDP0000262250</v>
      </c>
      <c r="D4213">
        <v>54.79</v>
      </c>
      <c r="E4213">
        <v>73</v>
      </c>
      <c r="F4213">
        <v>33</v>
      </c>
      <c r="G4213">
        <v>2</v>
      </c>
      <c r="H4213">
        <v>451</v>
      </c>
      <c r="I4213">
        <v>523</v>
      </c>
      <c r="J4213">
        <v>1</v>
      </c>
      <c r="K4213">
        <v>83</v>
      </c>
      <c r="L4213">
        <v>153</v>
      </c>
      <c r="M4213">
        <v>1</v>
      </c>
      <c r="N4213">
        <v>1.29092E-16</v>
      </c>
      <c r="O4213">
        <v>213</v>
      </c>
    </row>
    <row r="4214" spans="1:15" x14ac:dyDescent="0.25">
      <c r="A4214" t="s">
        <v>4227</v>
      </c>
      <c r="B4214">
        <v>92</v>
      </c>
      <c r="C4214" s="1" t="str">
        <f>HYPERLINK("http://www.rosaceae.org/gb/gbrowse/malus_x_domestica/?name=MDP0000593675","MDP0000593675")</f>
        <v>MDP0000593675</v>
      </c>
      <c r="D4214">
        <v>66.989999999999995</v>
      </c>
      <c r="E4214">
        <v>103</v>
      </c>
      <c r="F4214">
        <v>34</v>
      </c>
      <c r="G4214">
        <v>13</v>
      </c>
      <c r="H4214">
        <v>3</v>
      </c>
      <c r="I4214">
        <v>92</v>
      </c>
      <c r="J4214">
        <v>1</v>
      </c>
      <c r="K4214">
        <v>2</v>
      </c>
      <c r="L4214">
        <v>104</v>
      </c>
      <c r="M4214">
        <v>1</v>
      </c>
      <c r="N4214">
        <v>7.2896400000000004E-26</v>
      </c>
      <c r="O4214">
        <v>280</v>
      </c>
    </row>
    <row r="4215" spans="1:15" x14ac:dyDescent="0.25">
      <c r="A4215" t="s">
        <v>4228</v>
      </c>
      <c r="B4215">
        <v>235</v>
      </c>
      <c r="C4215" s="1" t="str">
        <f>HYPERLINK("http://www.rosaceae.org/gb/gbrowse/malus_x_domestica/?name=MDP0000266097","MDP0000266097")</f>
        <v>MDP0000266097</v>
      </c>
      <c r="D4215">
        <v>80.7</v>
      </c>
      <c r="E4215">
        <v>228</v>
      </c>
      <c r="F4215">
        <v>44</v>
      </c>
      <c r="G4215">
        <v>0</v>
      </c>
      <c r="H4215">
        <v>1</v>
      </c>
      <c r="I4215">
        <v>228</v>
      </c>
      <c r="J4215">
        <v>1</v>
      </c>
      <c r="K4215">
        <v>314</v>
      </c>
      <c r="L4215">
        <v>541</v>
      </c>
      <c r="M4215">
        <v>1</v>
      </c>
      <c r="N4215">
        <v>2.0823800000000001E-106</v>
      </c>
      <c r="O4215">
        <v>980</v>
      </c>
    </row>
    <row r="4216" spans="1:15" x14ac:dyDescent="0.25">
      <c r="A4216" t="s">
        <v>4229</v>
      </c>
      <c r="B4216">
        <v>945</v>
      </c>
      <c r="C4216" s="1" t="str">
        <f>HYPERLINK("http://www.rosaceae.org/gb/gbrowse/malus_x_domestica/?name=MDP0000290781","MDP0000290781")</f>
        <v>MDP0000290781</v>
      </c>
      <c r="D4216">
        <v>63.41</v>
      </c>
      <c r="E4216">
        <v>1014</v>
      </c>
      <c r="F4216">
        <v>371</v>
      </c>
      <c r="G4216">
        <v>102</v>
      </c>
      <c r="H4216">
        <v>30</v>
      </c>
      <c r="I4216">
        <v>945</v>
      </c>
      <c r="J4216">
        <v>1</v>
      </c>
      <c r="K4216">
        <v>31</v>
      </c>
      <c r="L4216">
        <v>1040</v>
      </c>
      <c r="M4216">
        <v>1</v>
      </c>
      <c r="N4216">
        <v>0</v>
      </c>
      <c r="O4216">
        <v>3147</v>
      </c>
    </row>
    <row r="4217" spans="1:15" x14ac:dyDescent="0.25">
      <c r="A4217" t="s">
        <v>4230</v>
      </c>
      <c r="B4217">
        <v>611</v>
      </c>
      <c r="C4217" s="1" t="str">
        <f>HYPERLINK("http://www.rosaceae.org/gb/gbrowse/malus_x_domestica/?name=MDP0000121903","MDP0000121903")</f>
        <v>MDP0000121903</v>
      </c>
      <c r="D4217">
        <v>71.52</v>
      </c>
      <c r="E4217">
        <v>576</v>
      </c>
      <c r="F4217">
        <v>164</v>
      </c>
      <c r="G4217">
        <v>8</v>
      </c>
      <c r="H4217">
        <v>39</v>
      </c>
      <c r="I4217">
        <v>607</v>
      </c>
      <c r="J4217">
        <v>1</v>
      </c>
      <c r="K4217">
        <v>85</v>
      </c>
      <c r="L4217">
        <v>659</v>
      </c>
      <c r="M4217">
        <v>1</v>
      </c>
      <c r="N4217">
        <v>0</v>
      </c>
      <c r="O4217">
        <v>2176</v>
      </c>
    </row>
    <row r="4218" spans="1:15" x14ac:dyDescent="0.25">
      <c r="A4218" t="s">
        <v>4231</v>
      </c>
      <c r="B4218">
        <v>905</v>
      </c>
      <c r="C4218" s="1" t="str">
        <f>HYPERLINK("http://www.rosaceae.org/gb/gbrowse/malus_x_domestica/?name=MDP0000319265","MDP0000319265")</f>
        <v>MDP0000319265</v>
      </c>
      <c r="D4218">
        <v>72.5</v>
      </c>
      <c r="E4218">
        <v>771</v>
      </c>
      <c r="F4218">
        <v>212</v>
      </c>
      <c r="G4218">
        <v>85</v>
      </c>
      <c r="H4218">
        <v>175</v>
      </c>
      <c r="I4218">
        <v>894</v>
      </c>
      <c r="J4218">
        <v>1</v>
      </c>
      <c r="K4218">
        <v>1</v>
      </c>
      <c r="L4218">
        <v>737</v>
      </c>
      <c r="M4218">
        <v>1</v>
      </c>
      <c r="N4218">
        <v>0</v>
      </c>
      <c r="O4218">
        <v>2919</v>
      </c>
    </row>
    <row r="4219" spans="1:15" x14ac:dyDescent="0.25">
      <c r="A4219" t="s">
        <v>4232</v>
      </c>
      <c r="B4219">
        <v>916</v>
      </c>
      <c r="C4219" s="1" t="str">
        <f>HYPERLINK("http://www.rosaceae.org/gb/gbrowse/malus_x_domestica/?name=MDP0000211834","MDP0000211834")</f>
        <v>MDP0000211834</v>
      </c>
      <c r="D4219">
        <v>84.31</v>
      </c>
      <c r="E4219">
        <v>867</v>
      </c>
      <c r="F4219">
        <v>136</v>
      </c>
      <c r="G4219">
        <v>0</v>
      </c>
      <c r="H4219">
        <v>1</v>
      </c>
      <c r="I4219">
        <v>867</v>
      </c>
      <c r="J4219">
        <v>1</v>
      </c>
      <c r="K4219">
        <v>1</v>
      </c>
      <c r="L4219">
        <v>867</v>
      </c>
      <c r="M4219">
        <v>1</v>
      </c>
      <c r="N4219">
        <v>0</v>
      </c>
      <c r="O4219">
        <v>3988</v>
      </c>
    </row>
    <row r="4220" spans="1:15" x14ac:dyDescent="0.25">
      <c r="A4220" t="s">
        <v>4233</v>
      </c>
      <c r="B4220">
        <v>616</v>
      </c>
      <c r="C4220" s="1" t="str">
        <f>HYPERLINK("http://www.rosaceae.org/gb/gbrowse/malus_x_domestica/?name=MDP0000593502","MDP0000593502")</f>
        <v>MDP0000593502</v>
      </c>
      <c r="D4220">
        <v>86.82</v>
      </c>
      <c r="E4220">
        <v>372</v>
      </c>
      <c r="F4220">
        <v>49</v>
      </c>
      <c r="G4220">
        <v>9</v>
      </c>
      <c r="H4220">
        <v>252</v>
      </c>
      <c r="I4220">
        <v>614</v>
      </c>
      <c r="J4220">
        <v>1</v>
      </c>
      <c r="K4220">
        <v>1</v>
      </c>
      <c r="L4220">
        <v>372</v>
      </c>
      <c r="M4220">
        <v>1</v>
      </c>
      <c r="N4220">
        <v>0</v>
      </c>
      <c r="O4220">
        <v>1747</v>
      </c>
    </row>
    <row r="4221" spans="1:15" x14ac:dyDescent="0.25">
      <c r="A4221" t="s">
        <v>4234</v>
      </c>
      <c r="B4221">
        <v>212</v>
      </c>
      <c r="C4221" s="1" t="str">
        <f>HYPERLINK("http://www.rosaceae.org/gb/gbrowse/malus_x_domestica/?name=MDP0000250658","MDP0000250658")</f>
        <v>MDP0000250658</v>
      </c>
      <c r="D4221">
        <v>82.14</v>
      </c>
      <c r="E4221">
        <v>56</v>
      </c>
      <c r="F4221">
        <v>10</v>
      </c>
      <c r="G4221">
        <v>0</v>
      </c>
      <c r="H4221">
        <v>90</v>
      </c>
      <c r="I4221">
        <v>145</v>
      </c>
      <c r="J4221">
        <v>1</v>
      </c>
      <c r="K4221">
        <v>76</v>
      </c>
      <c r="L4221">
        <v>131</v>
      </c>
      <c r="M4221">
        <v>1</v>
      </c>
      <c r="N4221">
        <v>3.2434099999999997E-20</v>
      </c>
      <c r="O4221">
        <v>236</v>
      </c>
    </row>
    <row r="4222" spans="1:15" x14ac:dyDescent="0.25">
      <c r="A4222" t="s">
        <v>4235</v>
      </c>
      <c r="B4222">
        <v>358</v>
      </c>
      <c r="C4222" s="1" t="str">
        <f>HYPERLINK("http://www.rosaceae.org/gb/gbrowse/malus_x_domestica/?name=MDP0000149535","MDP0000149535")</f>
        <v>MDP0000149535</v>
      </c>
      <c r="D4222">
        <v>77.73</v>
      </c>
      <c r="E4222">
        <v>238</v>
      </c>
      <c r="F4222">
        <v>53</v>
      </c>
      <c r="G4222">
        <v>20</v>
      </c>
      <c r="H4222">
        <v>1</v>
      </c>
      <c r="I4222">
        <v>221</v>
      </c>
      <c r="J4222">
        <v>1</v>
      </c>
      <c r="K4222">
        <v>1</v>
      </c>
      <c r="L4222">
        <v>235</v>
      </c>
      <c r="M4222">
        <v>1</v>
      </c>
      <c r="N4222">
        <v>6.4971600000000002E-97</v>
      </c>
      <c r="O4222">
        <v>901</v>
      </c>
    </row>
    <row r="4223" spans="1:15" x14ac:dyDescent="0.25">
      <c r="A4223" t="s">
        <v>4236</v>
      </c>
      <c r="B4223">
        <v>380</v>
      </c>
      <c r="C4223" s="1" t="str">
        <f>HYPERLINK("http://www.rosaceae.org/gb/gbrowse/malus_x_domestica/?name=MDP0000165209","MDP0000165209")</f>
        <v>MDP0000165209</v>
      </c>
      <c r="D4223">
        <v>66.44</v>
      </c>
      <c r="E4223">
        <v>307</v>
      </c>
      <c r="F4223">
        <v>103</v>
      </c>
      <c r="G4223">
        <v>29</v>
      </c>
      <c r="H4223">
        <v>31</v>
      </c>
      <c r="I4223">
        <v>311</v>
      </c>
      <c r="J4223">
        <v>1</v>
      </c>
      <c r="K4223">
        <v>27</v>
      </c>
      <c r="L4223">
        <v>330</v>
      </c>
      <c r="M4223">
        <v>1</v>
      </c>
      <c r="N4223">
        <v>2.7578400000000001E-117</v>
      </c>
      <c r="O4223">
        <v>1077</v>
      </c>
    </row>
    <row r="4224" spans="1:15" x14ac:dyDescent="0.25">
      <c r="A4224" t="s">
        <v>4237</v>
      </c>
      <c r="B4224">
        <v>494</v>
      </c>
      <c r="C4224" s="1" t="str">
        <f>HYPERLINK("http://www.rosaceae.org/gb/gbrowse/malus_x_domestica/?name=MDP0000676131","MDP0000676131")</f>
        <v>MDP0000676131</v>
      </c>
      <c r="D4224">
        <v>72.010000000000005</v>
      </c>
      <c r="E4224">
        <v>461</v>
      </c>
      <c r="F4224">
        <v>129</v>
      </c>
      <c r="G4224">
        <v>15</v>
      </c>
      <c r="H4224">
        <v>38</v>
      </c>
      <c r="I4224">
        <v>494</v>
      </c>
      <c r="J4224">
        <v>1</v>
      </c>
      <c r="K4224">
        <v>21</v>
      </c>
      <c r="L4224">
        <v>470</v>
      </c>
      <c r="M4224">
        <v>1</v>
      </c>
      <c r="N4224">
        <v>0</v>
      </c>
      <c r="O4224">
        <v>1758</v>
      </c>
    </row>
    <row r="4225" spans="1:15" x14ac:dyDescent="0.25">
      <c r="A4225" t="s">
        <v>4238</v>
      </c>
      <c r="B4225">
        <v>451</v>
      </c>
      <c r="C4225" s="1" t="str">
        <f>HYPERLINK("http://www.rosaceae.org/gb/gbrowse/malus_x_domestica/?name=MDP0000151904","MDP0000151904")</f>
        <v>MDP0000151904</v>
      </c>
      <c r="D4225">
        <v>95.83</v>
      </c>
      <c r="E4225">
        <v>432</v>
      </c>
      <c r="F4225">
        <v>18</v>
      </c>
      <c r="G4225">
        <v>0</v>
      </c>
      <c r="H4225">
        <v>1</v>
      </c>
      <c r="I4225">
        <v>432</v>
      </c>
      <c r="J4225">
        <v>1</v>
      </c>
      <c r="K4225">
        <v>1</v>
      </c>
      <c r="L4225">
        <v>432</v>
      </c>
      <c r="M4225">
        <v>1</v>
      </c>
      <c r="N4225">
        <v>0</v>
      </c>
      <c r="O4225">
        <v>2229</v>
      </c>
    </row>
    <row r="4226" spans="1:15" x14ac:dyDescent="0.25">
      <c r="A4226" t="s">
        <v>4239</v>
      </c>
      <c r="B4226">
        <v>526</v>
      </c>
      <c r="C4226" s="1" t="str">
        <f>HYPERLINK("http://www.rosaceae.org/gb/gbrowse/malus_x_domestica/?name=MDP0000291473","MDP0000291473")</f>
        <v>MDP0000291473</v>
      </c>
      <c r="D4226">
        <v>74.930000000000007</v>
      </c>
      <c r="E4226">
        <v>383</v>
      </c>
      <c r="F4226">
        <v>96</v>
      </c>
      <c r="G4226">
        <v>3</v>
      </c>
      <c r="H4226">
        <v>1</v>
      </c>
      <c r="I4226">
        <v>381</v>
      </c>
      <c r="J4226">
        <v>1</v>
      </c>
      <c r="K4226">
        <v>26</v>
      </c>
      <c r="L4226">
        <v>407</v>
      </c>
      <c r="M4226">
        <v>1</v>
      </c>
      <c r="N4226">
        <v>2.3378299999999999E-164</v>
      </c>
      <c r="O4226">
        <v>1484</v>
      </c>
    </row>
    <row r="4227" spans="1:15" x14ac:dyDescent="0.25">
      <c r="A4227" t="s">
        <v>4240</v>
      </c>
      <c r="B4227">
        <v>378</v>
      </c>
      <c r="C4227" s="1" t="str">
        <f>HYPERLINK("http://www.rosaceae.org/gb/gbrowse/malus_x_domestica/?name=MDP0000183055","MDP0000183055")</f>
        <v>MDP0000183055</v>
      </c>
      <c r="D4227">
        <v>78.489999999999995</v>
      </c>
      <c r="E4227">
        <v>386</v>
      </c>
      <c r="F4227">
        <v>83</v>
      </c>
      <c r="G4227">
        <v>8</v>
      </c>
      <c r="H4227">
        <v>1</v>
      </c>
      <c r="I4227">
        <v>378</v>
      </c>
      <c r="J4227">
        <v>1</v>
      </c>
      <c r="K4227">
        <v>1</v>
      </c>
      <c r="L4227">
        <v>386</v>
      </c>
      <c r="M4227">
        <v>1</v>
      </c>
      <c r="N4227">
        <v>4.4850700000000001E-170</v>
      </c>
      <c r="O4227">
        <v>1532</v>
      </c>
    </row>
    <row r="4228" spans="1:15" x14ac:dyDescent="0.25">
      <c r="A4228" t="s">
        <v>4241</v>
      </c>
      <c r="B4228">
        <v>349</v>
      </c>
      <c r="C4228" s="1" t="str">
        <f>HYPERLINK("http://www.rosaceae.org/gb/gbrowse/malus_x_domestica/?name=MDP0000196563","MDP0000196563")</f>
        <v>MDP0000196563</v>
      </c>
      <c r="D4228">
        <v>74.92</v>
      </c>
      <c r="E4228">
        <v>351</v>
      </c>
      <c r="F4228">
        <v>88</v>
      </c>
      <c r="G4228">
        <v>20</v>
      </c>
      <c r="H4228">
        <v>4</v>
      </c>
      <c r="I4228">
        <v>345</v>
      </c>
      <c r="J4228">
        <v>1</v>
      </c>
      <c r="K4228">
        <v>3</v>
      </c>
      <c r="L4228">
        <v>342</v>
      </c>
      <c r="M4228">
        <v>1</v>
      </c>
      <c r="N4228">
        <v>2.2259E-154</v>
      </c>
      <c r="O4228">
        <v>1396</v>
      </c>
    </row>
    <row r="4229" spans="1:15" x14ac:dyDescent="0.25">
      <c r="A4229" t="s">
        <v>4242</v>
      </c>
      <c r="B4229">
        <v>312</v>
      </c>
      <c r="C4229" s="1" t="str">
        <f>HYPERLINK("http://www.rosaceae.org/gb/gbrowse/malus_x_domestica/?name=MDP0000157627","MDP0000157627")</f>
        <v>MDP0000157627</v>
      </c>
      <c r="D4229">
        <v>64.67</v>
      </c>
      <c r="E4229">
        <v>218</v>
      </c>
      <c r="F4229">
        <v>77</v>
      </c>
      <c r="G4229">
        <v>19</v>
      </c>
      <c r="H4229">
        <v>99</v>
      </c>
      <c r="I4229">
        <v>312</v>
      </c>
      <c r="J4229">
        <v>1</v>
      </c>
      <c r="K4229">
        <v>232</v>
      </c>
      <c r="L4229">
        <v>434</v>
      </c>
      <c r="M4229">
        <v>1</v>
      </c>
      <c r="N4229">
        <v>9.60039E-74</v>
      </c>
      <c r="O4229">
        <v>700</v>
      </c>
    </row>
    <row r="4230" spans="1:15" x14ac:dyDescent="0.25">
      <c r="A4230" t="s">
        <v>4243</v>
      </c>
      <c r="B4230">
        <v>440</v>
      </c>
      <c r="C4230" s="1" t="str">
        <f>HYPERLINK("http://www.rosaceae.org/gb/gbrowse/malus_x_domestica/?name=MDP0000646963","MDP0000646963")</f>
        <v>MDP0000646963</v>
      </c>
      <c r="D4230">
        <v>34.159999999999997</v>
      </c>
      <c r="E4230">
        <v>120</v>
      </c>
      <c r="F4230">
        <v>79</v>
      </c>
      <c r="G4230">
        <v>20</v>
      </c>
      <c r="H4230">
        <v>2</v>
      </c>
      <c r="I4230">
        <v>101</v>
      </c>
      <c r="J4230">
        <v>1</v>
      </c>
      <c r="K4230">
        <v>129</v>
      </c>
      <c r="L4230">
        <v>248</v>
      </c>
      <c r="M4230">
        <v>1</v>
      </c>
      <c r="N4230">
        <v>3.6570700000000001E-8</v>
      </c>
      <c r="O4230">
        <v>136</v>
      </c>
    </row>
    <row r="4231" spans="1:15" x14ac:dyDescent="0.25">
      <c r="A4231" t="s">
        <v>4244</v>
      </c>
      <c r="B4231">
        <v>309</v>
      </c>
      <c r="C4231" s="1" t="str">
        <f>HYPERLINK("http://www.rosaceae.org/gb/gbrowse/malus_x_domestica/?name=MDP0000192108","MDP0000192108")</f>
        <v>MDP0000192108</v>
      </c>
      <c r="D4231">
        <v>60.93</v>
      </c>
      <c r="E4231">
        <v>215</v>
      </c>
      <c r="F4231">
        <v>84</v>
      </c>
      <c r="G4231">
        <v>23</v>
      </c>
      <c r="H4231">
        <v>43</v>
      </c>
      <c r="I4231">
        <v>234</v>
      </c>
      <c r="J4231">
        <v>1</v>
      </c>
      <c r="K4231">
        <v>244</v>
      </c>
      <c r="L4231">
        <v>458</v>
      </c>
      <c r="M4231">
        <v>1</v>
      </c>
      <c r="N4231">
        <v>7.7656100000000008E-65</v>
      </c>
      <c r="O4231">
        <v>623</v>
      </c>
    </row>
    <row r="4232" spans="1:15" x14ac:dyDescent="0.25">
      <c r="A4232" t="s">
        <v>4245</v>
      </c>
      <c r="B4232">
        <v>63</v>
      </c>
      <c r="C4232" s="1" t="str">
        <f>HYPERLINK("http://www.rosaceae.org/gb/gbrowse/malus_x_domestica/?name=MDP0000906105","MDP0000906105")</f>
        <v>MDP0000906105</v>
      </c>
      <c r="D4232">
        <v>57.14</v>
      </c>
      <c r="E4232">
        <v>63</v>
      </c>
      <c r="F4232">
        <v>27</v>
      </c>
      <c r="G4232">
        <v>0</v>
      </c>
      <c r="H4232">
        <v>1</v>
      </c>
      <c r="I4232">
        <v>63</v>
      </c>
      <c r="J4232">
        <v>1</v>
      </c>
      <c r="K4232">
        <v>1</v>
      </c>
      <c r="L4232">
        <v>63</v>
      </c>
      <c r="M4232">
        <v>1</v>
      </c>
      <c r="N4232">
        <v>2.7495400000000001E-14</v>
      </c>
      <c r="O4232">
        <v>181</v>
      </c>
    </row>
    <row r="4233" spans="1:15" x14ac:dyDescent="0.25">
      <c r="A4233" t="s">
        <v>4246</v>
      </c>
      <c r="B4233">
        <v>124</v>
      </c>
      <c r="C4233" s="1" t="str">
        <f>HYPERLINK("http://www.rosaceae.org/gb/gbrowse/malus_x_domestica/?name=MDP0000880181","MDP0000880181")</f>
        <v>MDP0000880181</v>
      </c>
      <c r="D4233">
        <v>48.43</v>
      </c>
      <c r="E4233">
        <v>128</v>
      </c>
      <c r="F4233">
        <v>66</v>
      </c>
      <c r="G4233">
        <v>10</v>
      </c>
      <c r="H4233">
        <v>3</v>
      </c>
      <c r="I4233">
        <v>122</v>
      </c>
      <c r="J4233">
        <v>1</v>
      </c>
      <c r="K4233">
        <v>1</v>
      </c>
      <c r="L4233">
        <v>126</v>
      </c>
      <c r="M4233">
        <v>1</v>
      </c>
      <c r="N4233">
        <v>1.0757200000000001E-26</v>
      </c>
      <c r="O4233">
        <v>288</v>
      </c>
    </row>
    <row r="4234" spans="1:15" x14ac:dyDescent="0.25">
      <c r="A4234" t="s">
        <v>4247</v>
      </c>
      <c r="B4234">
        <v>205</v>
      </c>
      <c r="C4234" s="1" t="str">
        <f>HYPERLINK("http://www.rosaceae.org/gb/gbrowse/malus_x_domestica/?name=MDP0000862504","MDP0000862504")</f>
        <v>MDP0000862504</v>
      </c>
      <c r="D4234">
        <v>59.37</v>
      </c>
      <c r="E4234">
        <v>192</v>
      </c>
      <c r="F4234">
        <v>78</v>
      </c>
      <c r="G4234">
        <v>10</v>
      </c>
      <c r="H4234">
        <v>1</v>
      </c>
      <c r="I4234">
        <v>187</v>
      </c>
      <c r="J4234">
        <v>1</v>
      </c>
      <c r="K4234">
        <v>1</v>
      </c>
      <c r="L4234">
        <v>187</v>
      </c>
      <c r="M4234">
        <v>1</v>
      </c>
      <c r="N4234">
        <v>1.05561E-45</v>
      </c>
      <c r="O4234">
        <v>456</v>
      </c>
    </row>
    <row r="4235" spans="1:15" x14ac:dyDescent="0.25">
      <c r="A4235" t="s">
        <v>4248</v>
      </c>
      <c r="B4235">
        <v>1155</v>
      </c>
      <c r="C4235" s="1" t="str">
        <f>HYPERLINK("http://www.rosaceae.org/gb/gbrowse/malus_x_domestica/?name=MDP0000174964","MDP0000174964")</f>
        <v>MDP0000174964</v>
      </c>
      <c r="D4235">
        <v>63.94</v>
      </c>
      <c r="E4235">
        <v>269</v>
      </c>
      <c r="F4235">
        <v>97</v>
      </c>
      <c r="G4235">
        <v>27</v>
      </c>
      <c r="H4235">
        <v>1</v>
      </c>
      <c r="I4235">
        <v>268</v>
      </c>
      <c r="J4235">
        <v>1</v>
      </c>
      <c r="K4235">
        <v>1</v>
      </c>
      <c r="L4235">
        <v>243</v>
      </c>
      <c r="M4235">
        <v>1</v>
      </c>
      <c r="N4235">
        <v>2.5479899999999999E-86</v>
      </c>
      <c r="O4235">
        <v>814</v>
      </c>
    </row>
    <row r="4236" spans="1:15" x14ac:dyDescent="0.25">
      <c r="A4236" t="s">
        <v>4249</v>
      </c>
      <c r="B4236">
        <v>586</v>
      </c>
      <c r="C4236" s="1" t="str">
        <f>HYPERLINK("http://www.rosaceae.org/gb/gbrowse/malus_x_domestica/?name=MDP0000298446","MDP0000298446")</f>
        <v>MDP0000298446</v>
      </c>
      <c r="D4236">
        <v>71.72</v>
      </c>
      <c r="E4236">
        <v>527</v>
      </c>
      <c r="F4236">
        <v>149</v>
      </c>
      <c r="G4236">
        <v>18</v>
      </c>
      <c r="H4236">
        <v>69</v>
      </c>
      <c r="I4236">
        <v>586</v>
      </c>
      <c r="J4236">
        <v>1</v>
      </c>
      <c r="K4236">
        <v>1</v>
      </c>
      <c r="L4236">
        <v>518</v>
      </c>
      <c r="M4236">
        <v>1</v>
      </c>
      <c r="N4236">
        <v>0</v>
      </c>
      <c r="O4236">
        <v>1890</v>
      </c>
    </row>
    <row r="4237" spans="1:15" x14ac:dyDescent="0.25">
      <c r="A4237" t="s">
        <v>4250</v>
      </c>
      <c r="B4237">
        <v>295</v>
      </c>
      <c r="C4237" s="1" t="str">
        <f>HYPERLINK("http://www.rosaceae.org/gb/gbrowse/malus_x_domestica/?name=MDP0000223999","MDP0000223999")</f>
        <v>MDP0000223999</v>
      </c>
      <c r="D4237">
        <v>57.99</v>
      </c>
      <c r="E4237">
        <v>269</v>
      </c>
      <c r="F4237">
        <v>113</v>
      </c>
      <c r="G4237">
        <v>1</v>
      </c>
      <c r="H4237">
        <v>26</v>
      </c>
      <c r="I4237">
        <v>294</v>
      </c>
      <c r="J4237">
        <v>1</v>
      </c>
      <c r="K4237">
        <v>30</v>
      </c>
      <c r="L4237">
        <v>297</v>
      </c>
      <c r="M4237">
        <v>1</v>
      </c>
      <c r="N4237">
        <v>4.4326999999999997E-87</v>
      </c>
      <c r="O4237">
        <v>815</v>
      </c>
    </row>
    <row r="4238" spans="1:15" x14ac:dyDescent="0.25">
      <c r="A4238" t="s">
        <v>4251</v>
      </c>
      <c r="B4238">
        <v>303</v>
      </c>
      <c r="C4238" s="1" t="str">
        <f>HYPERLINK("http://www.rosaceae.org/gb/gbrowse/malus_x_domestica/?name=MDP0000182852","MDP0000182852")</f>
        <v>MDP0000182852</v>
      </c>
      <c r="D4238">
        <v>85.13</v>
      </c>
      <c r="E4238">
        <v>148</v>
      </c>
      <c r="F4238">
        <v>22</v>
      </c>
      <c r="G4238">
        <v>0</v>
      </c>
      <c r="H4238">
        <v>156</v>
      </c>
      <c r="I4238">
        <v>303</v>
      </c>
      <c r="J4238">
        <v>1</v>
      </c>
      <c r="K4238">
        <v>75</v>
      </c>
      <c r="L4238">
        <v>222</v>
      </c>
      <c r="M4238">
        <v>1</v>
      </c>
      <c r="N4238">
        <v>1.10509E-69</v>
      </c>
      <c r="O4238">
        <v>665</v>
      </c>
    </row>
    <row r="4239" spans="1:15" x14ac:dyDescent="0.25">
      <c r="A4239" t="s">
        <v>4252</v>
      </c>
      <c r="B4239">
        <v>1077</v>
      </c>
      <c r="C4239" s="1" t="str">
        <f>HYPERLINK("http://www.rosaceae.org/gb/gbrowse/malus_x_domestica/?name=MDP0000237389","MDP0000237389")</f>
        <v>MDP0000237389</v>
      </c>
      <c r="D4239">
        <v>44.44</v>
      </c>
      <c r="E4239">
        <v>198</v>
      </c>
      <c r="F4239">
        <v>110</v>
      </c>
      <c r="G4239">
        <v>44</v>
      </c>
      <c r="H4239">
        <v>18</v>
      </c>
      <c r="I4239">
        <v>185</v>
      </c>
      <c r="J4239">
        <v>1</v>
      </c>
      <c r="K4239">
        <v>228</v>
      </c>
      <c r="L4239">
        <v>411</v>
      </c>
      <c r="M4239">
        <v>1</v>
      </c>
      <c r="N4239">
        <v>6.5032200000000002E-39</v>
      </c>
      <c r="O4239">
        <v>405</v>
      </c>
    </row>
    <row r="4240" spans="1:15" x14ac:dyDescent="0.25">
      <c r="A4240" t="s">
        <v>4253</v>
      </c>
      <c r="B4240">
        <v>116</v>
      </c>
      <c r="C4240" s="1" t="str">
        <f>HYPERLINK("http://www.rosaceae.org/gb/gbrowse/malus_x_domestica/?name=MDP0000234247","MDP0000234247")</f>
        <v>MDP0000234247</v>
      </c>
      <c r="D4240">
        <v>67.81</v>
      </c>
      <c r="E4240">
        <v>87</v>
      </c>
      <c r="F4240">
        <v>28</v>
      </c>
      <c r="G4240">
        <v>0</v>
      </c>
      <c r="H4240">
        <v>3</v>
      </c>
      <c r="I4240">
        <v>89</v>
      </c>
      <c r="J4240">
        <v>1</v>
      </c>
      <c r="K4240">
        <v>248</v>
      </c>
      <c r="L4240">
        <v>334</v>
      </c>
      <c r="M4240">
        <v>1</v>
      </c>
      <c r="N4240">
        <v>1.55483E-29</v>
      </c>
      <c r="O4240">
        <v>312</v>
      </c>
    </row>
    <row r="4241" spans="1:15" x14ac:dyDescent="0.25">
      <c r="A4241" t="s">
        <v>4254</v>
      </c>
      <c r="B4241">
        <v>315</v>
      </c>
      <c r="C4241" s="1" t="str">
        <f>HYPERLINK("http://www.rosaceae.org/gb/gbrowse/malus_x_domestica/?name=MDP0000311548","MDP0000311548")</f>
        <v>MDP0000311548</v>
      </c>
      <c r="D4241">
        <v>42.2</v>
      </c>
      <c r="E4241">
        <v>109</v>
      </c>
      <c r="F4241">
        <v>63</v>
      </c>
      <c r="G4241">
        <v>3</v>
      </c>
      <c r="H4241">
        <v>88</v>
      </c>
      <c r="I4241">
        <v>196</v>
      </c>
      <c r="J4241">
        <v>1</v>
      </c>
      <c r="K4241">
        <v>44</v>
      </c>
      <c r="L4241">
        <v>149</v>
      </c>
      <c r="M4241">
        <v>1</v>
      </c>
      <c r="N4241">
        <v>4.2982399999999997E-17</v>
      </c>
      <c r="O4241">
        <v>212</v>
      </c>
    </row>
    <row r="4242" spans="1:15" x14ac:dyDescent="0.25">
      <c r="A4242" t="s">
        <v>4255</v>
      </c>
      <c r="B4242">
        <v>487</v>
      </c>
      <c r="C4242" s="1" t="str">
        <f>HYPERLINK("http://www.rosaceae.org/gb/gbrowse/malus_x_domestica/?name=MDP0000700517","MDP0000700517")</f>
        <v>MDP0000700517</v>
      </c>
      <c r="D4242">
        <v>24.33</v>
      </c>
      <c r="E4242">
        <v>226</v>
      </c>
      <c r="F4242">
        <v>171</v>
      </c>
      <c r="G4242">
        <v>37</v>
      </c>
      <c r="H4242">
        <v>94</v>
      </c>
      <c r="I4242">
        <v>311</v>
      </c>
      <c r="J4242">
        <v>1</v>
      </c>
      <c r="K4242">
        <v>96</v>
      </c>
      <c r="L4242">
        <v>292</v>
      </c>
      <c r="M4242">
        <v>1</v>
      </c>
      <c r="N4242">
        <v>7.3536600000000001E-11</v>
      </c>
      <c r="O4242">
        <v>160</v>
      </c>
    </row>
    <row r="4243" spans="1:15" x14ac:dyDescent="0.25">
      <c r="A4243" t="s">
        <v>4256</v>
      </c>
      <c r="B4243">
        <v>76</v>
      </c>
      <c r="C4243" s="1" t="str">
        <f>HYPERLINK("http://www.rosaceae.org/gb/gbrowse/malus_x_domestica/?name=MDP0000386667","MDP0000386667")</f>
        <v>MDP0000386667</v>
      </c>
      <c r="D4243">
        <v>50</v>
      </c>
      <c r="E4243">
        <v>80</v>
      </c>
      <c r="F4243">
        <v>40</v>
      </c>
      <c r="G4243">
        <v>25</v>
      </c>
      <c r="H4243">
        <v>1</v>
      </c>
      <c r="I4243">
        <v>55</v>
      </c>
      <c r="J4243">
        <v>1</v>
      </c>
      <c r="K4243">
        <v>523</v>
      </c>
      <c r="L4243">
        <v>602</v>
      </c>
      <c r="M4243">
        <v>1</v>
      </c>
      <c r="N4243">
        <v>2.2580100000000001E-11</v>
      </c>
      <c r="O4243">
        <v>155</v>
      </c>
    </row>
    <row r="4244" spans="1:15" x14ac:dyDescent="0.25">
      <c r="A4244" t="s">
        <v>4257</v>
      </c>
      <c r="B4244">
        <v>874</v>
      </c>
      <c r="C4244" s="1" t="str">
        <f>HYPERLINK("http://www.rosaceae.org/gb/gbrowse/malus_x_domestica/?name=MDP0000252655","MDP0000252655")</f>
        <v>MDP0000252655</v>
      </c>
      <c r="D4244">
        <v>64.09</v>
      </c>
      <c r="E4244">
        <v>493</v>
      </c>
      <c r="F4244">
        <v>177</v>
      </c>
      <c r="G4244">
        <v>49</v>
      </c>
      <c r="H4244">
        <v>389</v>
      </c>
      <c r="I4244">
        <v>848</v>
      </c>
      <c r="J4244">
        <v>1</v>
      </c>
      <c r="K4244">
        <v>485</v>
      </c>
      <c r="L4244">
        <v>961</v>
      </c>
      <c r="M4244">
        <v>1</v>
      </c>
      <c r="N4244">
        <v>3.1697600000000003E-154</v>
      </c>
      <c r="O4244">
        <v>1399</v>
      </c>
    </row>
    <row r="4245" spans="1:15" x14ac:dyDescent="0.25">
      <c r="A4245" t="s">
        <v>4258</v>
      </c>
      <c r="B4245">
        <v>231</v>
      </c>
      <c r="C4245" s="1" t="str">
        <f>HYPERLINK("http://www.rosaceae.org/gb/gbrowse/malus_x_domestica/?name=MDP0000840868","MDP0000840868")</f>
        <v>MDP0000840868</v>
      </c>
      <c r="D4245">
        <v>75.52</v>
      </c>
      <c r="E4245">
        <v>192</v>
      </c>
      <c r="F4245">
        <v>47</v>
      </c>
      <c r="G4245">
        <v>28</v>
      </c>
      <c r="H4245">
        <v>65</v>
      </c>
      <c r="I4245">
        <v>231</v>
      </c>
      <c r="J4245">
        <v>1</v>
      </c>
      <c r="K4245">
        <v>2</v>
      </c>
      <c r="L4245">
        <v>190</v>
      </c>
      <c r="M4245">
        <v>1</v>
      </c>
      <c r="N4245">
        <v>1.0811299999999999E-76</v>
      </c>
      <c r="O4245">
        <v>724</v>
      </c>
    </row>
    <row r="4246" spans="1:15" x14ac:dyDescent="0.25">
      <c r="A4246" t="s">
        <v>4259</v>
      </c>
      <c r="B4246">
        <v>111</v>
      </c>
      <c r="C4246" s="1" t="str">
        <f>HYPERLINK("http://www.rosaceae.org/gb/gbrowse/malus_x_domestica/?name=MDP0000940026","MDP0000940026")</f>
        <v>MDP0000940026</v>
      </c>
      <c r="D4246">
        <v>36.630000000000003</v>
      </c>
      <c r="E4246">
        <v>101</v>
      </c>
      <c r="F4246">
        <v>64</v>
      </c>
      <c r="G4246">
        <v>6</v>
      </c>
      <c r="H4246">
        <v>11</v>
      </c>
      <c r="I4246">
        <v>106</v>
      </c>
      <c r="J4246">
        <v>1</v>
      </c>
      <c r="K4246">
        <v>11</v>
      </c>
      <c r="L4246">
        <v>110</v>
      </c>
      <c r="M4246">
        <v>1</v>
      </c>
      <c r="N4246">
        <v>5.3344999999999997E-9</v>
      </c>
      <c r="O4246">
        <v>135</v>
      </c>
    </row>
    <row r="4247" spans="1:15" x14ac:dyDescent="0.25">
      <c r="A4247" t="s">
        <v>4260</v>
      </c>
      <c r="B4247">
        <v>67</v>
      </c>
      <c r="C4247" s="1" t="str">
        <f>HYPERLINK("http://www.rosaceae.org/gb/gbrowse/malus_x_domestica/?name=MDP0000416003","MDP0000416003")</f>
        <v>MDP0000416003</v>
      </c>
      <c r="D4247">
        <v>75.510000000000005</v>
      </c>
      <c r="E4247">
        <v>49</v>
      </c>
      <c r="F4247">
        <v>12</v>
      </c>
      <c r="G4247">
        <v>1</v>
      </c>
      <c r="H4247">
        <v>1</v>
      </c>
      <c r="I4247">
        <v>48</v>
      </c>
      <c r="J4247">
        <v>1</v>
      </c>
      <c r="K4247">
        <v>279</v>
      </c>
      <c r="L4247">
        <v>327</v>
      </c>
      <c r="M4247">
        <v>1</v>
      </c>
      <c r="N4247">
        <v>3.6071100000000003E-15</v>
      </c>
      <c r="O4247">
        <v>188</v>
      </c>
    </row>
    <row r="4248" spans="1:15" x14ac:dyDescent="0.25">
      <c r="A4248" t="s">
        <v>4261</v>
      </c>
      <c r="B4248">
        <v>351</v>
      </c>
      <c r="C4248" s="1" t="str">
        <f>HYPERLINK("http://www.rosaceae.org/gb/gbrowse/malus_x_domestica/?name=MDP0000163274","MDP0000163274")</f>
        <v>MDP0000163274</v>
      </c>
      <c r="D4248">
        <v>77.45</v>
      </c>
      <c r="E4248">
        <v>346</v>
      </c>
      <c r="F4248">
        <v>78</v>
      </c>
      <c r="G4248">
        <v>44</v>
      </c>
      <c r="H4248">
        <v>29</v>
      </c>
      <c r="I4248">
        <v>344</v>
      </c>
      <c r="J4248">
        <v>1</v>
      </c>
      <c r="K4248">
        <v>41</v>
      </c>
      <c r="L4248">
        <v>372</v>
      </c>
      <c r="M4248">
        <v>1</v>
      </c>
      <c r="N4248">
        <v>3.7353399999999999E-152</v>
      </c>
      <c r="O4248">
        <v>1377</v>
      </c>
    </row>
    <row r="4249" spans="1:15" x14ac:dyDescent="0.25">
      <c r="A4249" t="s">
        <v>4262</v>
      </c>
      <c r="B4249">
        <v>583</v>
      </c>
      <c r="C4249" s="1" t="str">
        <f>HYPERLINK("http://www.rosaceae.org/gb/gbrowse/malus_x_domestica/?name=MDP0000286698","MDP0000286698")</f>
        <v>MDP0000286698</v>
      </c>
      <c r="D4249">
        <v>80.69</v>
      </c>
      <c r="E4249">
        <v>347</v>
      </c>
      <c r="F4249">
        <v>67</v>
      </c>
      <c r="G4249">
        <v>5</v>
      </c>
      <c r="H4249">
        <v>27</v>
      </c>
      <c r="I4249">
        <v>371</v>
      </c>
      <c r="J4249">
        <v>1</v>
      </c>
      <c r="K4249">
        <v>29</v>
      </c>
      <c r="L4249">
        <v>372</v>
      </c>
      <c r="M4249">
        <v>1</v>
      </c>
      <c r="N4249">
        <v>1.97158E-165</v>
      </c>
      <c r="O4249">
        <v>1494</v>
      </c>
    </row>
    <row r="4250" spans="1:15" x14ac:dyDescent="0.25">
      <c r="A4250" t="s">
        <v>4263</v>
      </c>
      <c r="B4250">
        <v>244</v>
      </c>
      <c r="C4250" s="1" t="str">
        <f>HYPERLINK("http://www.rosaceae.org/gb/gbrowse/malus_x_domestica/?name=MDP0000920615","MDP0000920615")</f>
        <v>MDP0000920615</v>
      </c>
      <c r="D4250">
        <v>48.54</v>
      </c>
      <c r="E4250">
        <v>206</v>
      </c>
      <c r="F4250">
        <v>106</v>
      </c>
      <c r="G4250">
        <v>10</v>
      </c>
      <c r="H4250">
        <v>1</v>
      </c>
      <c r="I4250">
        <v>201</v>
      </c>
      <c r="J4250">
        <v>1</v>
      </c>
      <c r="K4250">
        <v>15</v>
      </c>
      <c r="L4250">
        <v>215</v>
      </c>
      <c r="M4250">
        <v>1</v>
      </c>
      <c r="N4250">
        <v>6.24242E-45</v>
      </c>
      <c r="O4250">
        <v>450</v>
      </c>
    </row>
    <row r="4251" spans="1:15" x14ac:dyDescent="0.25">
      <c r="A4251" t="s">
        <v>4264</v>
      </c>
      <c r="B4251">
        <v>528</v>
      </c>
      <c r="C4251" s="1" t="str">
        <f>HYPERLINK("http://www.rosaceae.org/gb/gbrowse/malus_x_domestica/?name=MDP0000286595","MDP0000286595")</f>
        <v>MDP0000286595</v>
      </c>
      <c r="D4251">
        <v>76.7</v>
      </c>
      <c r="E4251">
        <v>498</v>
      </c>
      <c r="F4251">
        <v>116</v>
      </c>
      <c r="G4251">
        <v>9</v>
      </c>
      <c r="H4251">
        <v>40</v>
      </c>
      <c r="I4251">
        <v>528</v>
      </c>
      <c r="J4251">
        <v>1</v>
      </c>
      <c r="K4251">
        <v>40</v>
      </c>
      <c r="L4251">
        <v>537</v>
      </c>
      <c r="M4251">
        <v>1</v>
      </c>
      <c r="N4251">
        <v>0</v>
      </c>
      <c r="O4251">
        <v>2014</v>
      </c>
    </row>
    <row r="4252" spans="1:15" x14ac:dyDescent="0.25">
      <c r="A4252" t="s">
        <v>4265</v>
      </c>
      <c r="B4252">
        <v>986</v>
      </c>
      <c r="C4252" s="1" t="str">
        <f>HYPERLINK("http://www.rosaceae.org/gb/gbrowse/malus_x_domestica/?name=MDP0000169530","MDP0000169530")</f>
        <v>MDP0000169530</v>
      </c>
      <c r="D4252">
        <v>41.67</v>
      </c>
      <c r="E4252">
        <v>967</v>
      </c>
      <c r="F4252">
        <v>564</v>
      </c>
      <c r="G4252">
        <v>50</v>
      </c>
      <c r="H4252">
        <v>40</v>
      </c>
      <c r="I4252">
        <v>980</v>
      </c>
      <c r="J4252">
        <v>1</v>
      </c>
      <c r="K4252">
        <v>36</v>
      </c>
      <c r="L4252">
        <v>978</v>
      </c>
      <c r="M4252">
        <v>1</v>
      </c>
      <c r="N4252">
        <v>0</v>
      </c>
      <c r="O4252">
        <v>1795</v>
      </c>
    </row>
    <row r="4253" spans="1:15" x14ac:dyDescent="0.25">
      <c r="A4253" t="s">
        <v>4266</v>
      </c>
      <c r="B4253">
        <v>177</v>
      </c>
      <c r="C4253" s="1" t="str">
        <f>HYPERLINK("http://www.rosaceae.org/gb/gbrowse/malus_x_domestica/?name=MDP0000132050","MDP0000132050")</f>
        <v>MDP0000132050</v>
      </c>
      <c r="D4253">
        <v>80.36</v>
      </c>
      <c r="E4253">
        <v>163</v>
      </c>
      <c r="F4253">
        <v>32</v>
      </c>
      <c r="G4253">
        <v>1</v>
      </c>
      <c r="H4253">
        <v>5</v>
      </c>
      <c r="I4253">
        <v>167</v>
      </c>
      <c r="J4253">
        <v>1</v>
      </c>
      <c r="K4253">
        <v>3</v>
      </c>
      <c r="L4253">
        <v>164</v>
      </c>
      <c r="M4253">
        <v>1</v>
      </c>
      <c r="N4253">
        <v>1.7570899999999999E-76</v>
      </c>
      <c r="O4253">
        <v>720</v>
      </c>
    </row>
    <row r="4254" spans="1:15" x14ac:dyDescent="0.25">
      <c r="A4254" t="s">
        <v>4267</v>
      </c>
      <c r="B4254">
        <v>211</v>
      </c>
      <c r="C4254" s="1" t="str">
        <f>HYPERLINK("http://www.rosaceae.org/gb/gbrowse/malus_x_domestica/?name=MDP0000289755","MDP0000289755")</f>
        <v>MDP0000289755</v>
      </c>
      <c r="D4254">
        <v>57.47</v>
      </c>
      <c r="E4254">
        <v>214</v>
      </c>
      <c r="F4254">
        <v>91</v>
      </c>
      <c r="G4254">
        <v>21</v>
      </c>
      <c r="H4254">
        <v>2</v>
      </c>
      <c r="I4254">
        <v>210</v>
      </c>
      <c r="J4254">
        <v>1</v>
      </c>
      <c r="K4254">
        <v>7</v>
      </c>
      <c r="L4254">
        <v>204</v>
      </c>
      <c r="M4254">
        <v>1</v>
      </c>
      <c r="N4254">
        <v>1.89316E-62</v>
      </c>
      <c r="O4254">
        <v>600</v>
      </c>
    </row>
    <row r="4255" spans="1:15" x14ac:dyDescent="0.25">
      <c r="A4255" t="s">
        <v>4268</v>
      </c>
      <c r="B4255">
        <v>468</v>
      </c>
      <c r="C4255" s="1" t="str">
        <f>HYPERLINK("http://www.rosaceae.org/gb/gbrowse/malus_x_domestica/?name=MDP0000151294","MDP0000151294")</f>
        <v>MDP0000151294</v>
      </c>
      <c r="D4255">
        <v>80.37</v>
      </c>
      <c r="E4255">
        <v>270</v>
      </c>
      <c r="F4255">
        <v>53</v>
      </c>
      <c r="G4255">
        <v>3</v>
      </c>
      <c r="H4255">
        <v>200</v>
      </c>
      <c r="I4255">
        <v>468</v>
      </c>
      <c r="J4255">
        <v>1</v>
      </c>
      <c r="K4255">
        <v>1</v>
      </c>
      <c r="L4255">
        <v>268</v>
      </c>
      <c r="M4255">
        <v>1</v>
      </c>
      <c r="N4255">
        <v>3.0122000000000002E-121</v>
      </c>
      <c r="O4255">
        <v>1112</v>
      </c>
    </row>
    <row r="4256" spans="1:15" x14ac:dyDescent="0.25">
      <c r="A4256" t="s">
        <v>4269</v>
      </c>
      <c r="B4256">
        <v>363</v>
      </c>
      <c r="C4256" s="1" t="str">
        <f>HYPERLINK("http://www.rosaceae.org/gb/gbrowse/malus_x_domestica/?name=MDP0000322479","MDP0000322479")</f>
        <v>MDP0000322479</v>
      </c>
      <c r="D4256">
        <v>61.85</v>
      </c>
      <c r="E4256">
        <v>388</v>
      </c>
      <c r="F4256">
        <v>148</v>
      </c>
      <c r="G4256">
        <v>37</v>
      </c>
      <c r="H4256">
        <v>1</v>
      </c>
      <c r="I4256">
        <v>360</v>
      </c>
      <c r="J4256">
        <v>1</v>
      </c>
      <c r="K4256">
        <v>1</v>
      </c>
      <c r="L4256">
        <v>379</v>
      </c>
      <c r="M4256">
        <v>1</v>
      </c>
      <c r="N4256">
        <v>3.05547E-119</v>
      </c>
      <c r="O4256">
        <v>1093</v>
      </c>
    </row>
    <row r="4257" spans="1:15" x14ac:dyDescent="0.25">
      <c r="A4257" t="s">
        <v>4270</v>
      </c>
      <c r="B4257">
        <v>121</v>
      </c>
      <c r="C4257" s="1" t="str">
        <f>HYPERLINK("http://www.rosaceae.org/gb/gbrowse/malus_x_domestica/?name=MDP0000812560","MDP0000812560")</f>
        <v>MDP0000812560</v>
      </c>
      <c r="D4257">
        <v>68.040000000000006</v>
      </c>
      <c r="E4257">
        <v>97</v>
      </c>
      <c r="F4257">
        <v>31</v>
      </c>
      <c r="G4257">
        <v>5</v>
      </c>
      <c r="H4257">
        <v>28</v>
      </c>
      <c r="I4257">
        <v>121</v>
      </c>
      <c r="J4257">
        <v>1</v>
      </c>
      <c r="K4257">
        <v>1</v>
      </c>
      <c r="L4257">
        <v>95</v>
      </c>
      <c r="M4257">
        <v>1</v>
      </c>
      <c r="N4257">
        <v>1.15188E-28</v>
      </c>
      <c r="O4257">
        <v>305</v>
      </c>
    </row>
    <row r="4258" spans="1:15" x14ac:dyDescent="0.25">
      <c r="A4258" t="s">
        <v>4271</v>
      </c>
      <c r="B4258">
        <v>1707</v>
      </c>
      <c r="C4258" s="1" t="str">
        <f>HYPERLINK("http://www.rosaceae.org/gb/gbrowse/malus_x_domestica/?name=MDP0000199269","MDP0000199269")</f>
        <v>MDP0000199269</v>
      </c>
      <c r="D4258">
        <v>85.59</v>
      </c>
      <c r="E4258">
        <v>1624</v>
      </c>
      <c r="F4258">
        <v>234</v>
      </c>
      <c r="G4258">
        <v>33</v>
      </c>
      <c r="H4258">
        <v>1</v>
      </c>
      <c r="I4258">
        <v>1608</v>
      </c>
      <c r="J4258">
        <v>1</v>
      </c>
      <c r="K4258">
        <v>1</v>
      </c>
      <c r="L4258">
        <v>1607</v>
      </c>
      <c r="M4258">
        <v>1</v>
      </c>
      <c r="N4258">
        <v>0</v>
      </c>
      <c r="O4258">
        <v>7406</v>
      </c>
    </row>
    <row r="4259" spans="1:15" x14ac:dyDescent="0.25">
      <c r="A4259" t="s">
        <v>4272</v>
      </c>
      <c r="B4259">
        <v>174</v>
      </c>
      <c r="C4259" s="1" t="str">
        <f>HYPERLINK("http://www.rosaceae.org/gb/gbrowse/malus_x_domestica/?name=MDP0000851342","MDP0000851342")</f>
        <v>MDP0000851342</v>
      </c>
      <c r="D4259">
        <v>41.47</v>
      </c>
      <c r="E4259">
        <v>176</v>
      </c>
      <c r="F4259">
        <v>103</v>
      </c>
      <c r="G4259">
        <v>6</v>
      </c>
      <c r="H4259">
        <v>1</v>
      </c>
      <c r="I4259">
        <v>174</v>
      </c>
      <c r="J4259">
        <v>1</v>
      </c>
      <c r="K4259">
        <v>1</v>
      </c>
      <c r="L4259">
        <v>172</v>
      </c>
      <c r="M4259">
        <v>1</v>
      </c>
      <c r="N4259">
        <v>2.1833800000000001E-29</v>
      </c>
      <c r="O4259">
        <v>314</v>
      </c>
    </row>
    <row r="4260" spans="1:15" x14ac:dyDescent="0.25">
      <c r="A4260" t="s">
        <v>4273</v>
      </c>
      <c r="B4260">
        <v>513</v>
      </c>
      <c r="C4260" s="1" t="str">
        <f>HYPERLINK("http://www.rosaceae.org/gb/gbrowse/malus_x_domestica/?name=MDP0000195207","MDP0000195207")</f>
        <v>MDP0000195207</v>
      </c>
      <c r="D4260">
        <v>77.37</v>
      </c>
      <c r="E4260">
        <v>464</v>
      </c>
      <c r="F4260">
        <v>105</v>
      </c>
      <c r="G4260">
        <v>16</v>
      </c>
      <c r="H4260">
        <v>1</v>
      </c>
      <c r="I4260">
        <v>463</v>
      </c>
      <c r="J4260">
        <v>1</v>
      </c>
      <c r="K4260">
        <v>1</v>
      </c>
      <c r="L4260">
        <v>449</v>
      </c>
      <c r="M4260">
        <v>1</v>
      </c>
      <c r="N4260">
        <v>0</v>
      </c>
      <c r="O4260">
        <v>1825</v>
      </c>
    </row>
    <row r="4261" spans="1:15" x14ac:dyDescent="0.25">
      <c r="A4261" t="s">
        <v>4274</v>
      </c>
      <c r="B4261">
        <v>161</v>
      </c>
      <c r="C4261" s="1" t="str">
        <f>HYPERLINK("http://www.rosaceae.org/gb/gbrowse/malus_x_domestica/?name=MDP0000151829","MDP0000151829")</f>
        <v>MDP0000151829</v>
      </c>
      <c r="D4261">
        <v>74.53</v>
      </c>
      <c r="E4261">
        <v>161</v>
      </c>
      <c r="F4261">
        <v>41</v>
      </c>
      <c r="G4261">
        <v>0</v>
      </c>
      <c r="H4261">
        <v>1</v>
      </c>
      <c r="I4261">
        <v>161</v>
      </c>
      <c r="J4261">
        <v>1</v>
      </c>
      <c r="K4261">
        <v>1</v>
      </c>
      <c r="L4261">
        <v>161</v>
      </c>
      <c r="M4261">
        <v>1</v>
      </c>
      <c r="N4261">
        <v>1.9141899999999999E-63</v>
      </c>
      <c r="O4261">
        <v>607</v>
      </c>
    </row>
    <row r="4262" spans="1:15" x14ac:dyDescent="0.25">
      <c r="A4262" t="s">
        <v>4275</v>
      </c>
      <c r="B4262">
        <v>342</v>
      </c>
      <c r="C4262" s="1" t="str">
        <f>HYPERLINK("http://www.rosaceae.org/gb/gbrowse/malus_x_domestica/?name=MDP0000207158","MDP0000207158")</f>
        <v>MDP0000207158</v>
      </c>
      <c r="D4262">
        <v>48.23</v>
      </c>
      <c r="E4262">
        <v>396</v>
      </c>
      <c r="F4262">
        <v>205</v>
      </c>
      <c r="G4262">
        <v>57</v>
      </c>
      <c r="H4262">
        <v>2</v>
      </c>
      <c r="I4262">
        <v>342</v>
      </c>
      <c r="J4262">
        <v>1</v>
      </c>
      <c r="K4262">
        <v>1</v>
      </c>
      <c r="L4262">
        <v>394</v>
      </c>
      <c r="M4262">
        <v>1</v>
      </c>
      <c r="N4262">
        <v>3.6101499999999998E-84</v>
      </c>
      <c r="O4262">
        <v>791</v>
      </c>
    </row>
    <row r="4263" spans="1:15" x14ac:dyDescent="0.25">
      <c r="A4263" t="s">
        <v>4276</v>
      </c>
      <c r="B4263">
        <v>211</v>
      </c>
      <c r="C4263" s="1" t="str">
        <f>HYPERLINK("http://www.rosaceae.org/gb/gbrowse/malus_x_domestica/?name=MDP0000289950","MDP0000289950")</f>
        <v>MDP0000289950</v>
      </c>
      <c r="D4263">
        <v>56.45</v>
      </c>
      <c r="E4263">
        <v>209</v>
      </c>
      <c r="F4263">
        <v>91</v>
      </c>
      <c r="G4263">
        <v>20</v>
      </c>
      <c r="H4263">
        <v>4</v>
      </c>
      <c r="I4263">
        <v>211</v>
      </c>
      <c r="J4263">
        <v>1</v>
      </c>
      <c r="K4263">
        <v>8</v>
      </c>
      <c r="L4263">
        <v>197</v>
      </c>
      <c r="M4263">
        <v>1</v>
      </c>
      <c r="N4263">
        <v>2.2215999999999999E-57</v>
      </c>
      <c r="O4263">
        <v>557</v>
      </c>
    </row>
    <row r="4264" spans="1:15" x14ac:dyDescent="0.25">
      <c r="A4264" t="s">
        <v>4277</v>
      </c>
      <c r="B4264">
        <v>395</v>
      </c>
      <c r="C4264" s="1" t="str">
        <f>HYPERLINK("http://www.rosaceae.org/gb/gbrowse/malus_x_domestica/?name=MDP0000192060","MDP0000192060")</f>
        <v>MDP0000192060</v>
      </c>
      <c r="D4264">
        <v>65.239999999999995</v>
      </c>
      <c r="E4264">
        <v>282</v>
      </c>
      <c r="F4264">
        <v>98</v>
      </c>
      <c r="G4264">
        <v>7</v>
      </c>
      <c r="H4264">
        <v>112</v>
      </c>
      <c r="I4264">
        <v>388</v>
      </c>
      <c r="J4264">
        <v>1</v>
      </c>
      <c r="K4264">
        <v>242</v>
      </c>
      <c r="L4264">
        <v>521</v>
      </c>
      <c r="M4264">
        <v>1</v>
      </c>
      <c r="N4264">
        <v>2.8088700000000002E-97</v>
      </c>
      <c r="O4264">
        <v>904</v>
      </c>
    </row>
    <row r="4265" spans="1:15" x14ac:dyDescent="0.25">
      <c r="A4265" t="s">
        <v>4278</v>
      </c>
      <c r="B4265">
        <v>123</v>
      </c>
      <c r="C4265" s="1" t="str">
        <f>HYPERLINK("http://www.rosaceae.org/gb/gbrowse/malus_x_domestica/?name=MDP0000740657","MDP0000740657")</f>
        <v>MDP0000740657</v>
      </c>
      <c r="D4265">
        <v>75.3</v>
      </c>
      <c r="E4265">
        <v>81</v>
      </c>
      <c r="F4265">
        <v>20</v>
      </c>
      <c r="G4265">
        <v>0</v>
      </c>
      <c r="H4265">
        <v>41</v>
      </c>
      <c r="I4265">
        <v>121</v>
      </c>
      <c r="J4265">
        <v>1</v>
      </c>
      <c r="K4265">
        <v>109</v>
      </c>
      <c r="L4265">
        <v>189</v>
      </c>
      <c r="M4265">
        <v>1</v>
      </c>
      <c r="N4265">
        <v>7.9186699999999994E-31</v>
      </c>
      <c r="O4265">
        <v>323</v>
      </c>
    </row>
    <row r="4266" spans="1:15" x14ac:dyDescent="0.25">
      <c r="A4266" t="s">
        <v>4279</v>
      </c>
      <c r="B4266">
        <v>354</v>
      </c>
      <c r="C4266" s="1" t="str">
        <f>HYPERLINK("http://www.rosaceae.org/gb/gbrowse/malus_x_domestica/?name=MDP0000199969","MDP0000199969")</f>
        <v>MDP0000199969</v>
      </c>
      <c r="D4266">
        <v>40.299999999999997</v>
      </c>
      <c r="E4266">
        <v>392</v>
      </c>
      <c r="F4266">
        <v>234</v>
      </c>
      <c r="G4266">
        <v>71</v>
      </c>
      <c r="H4266">
        <v>1</v>
      </c>
      <c r="I4266">
        <v>354</v>
      </c>
      <c r="J4266">
        <v>1</v>
      </c>
      <c r="K4266">
        <v>1</v>
      </c>
      <c r="L4266">
        <v>359</v>
      </c>
      <c r="M4266">
        <v>1</v>
      </c>
      <c r="N4266">
        <v>5.34563E-53</v>
      </c>
      <c r="O4266">
        <v>522</v>
      </c>
    </row>
    <row r="4267" spans="1:15" x14ac:dyDescent="0.25">
      <c r="A4267" t="s">
        <v>4280</v>
      </c>
      <c r="B4267">
        <v>339</v>
      </c>
      <c r="C4267" s="1" t="str">
        <f>HYPERLINK("http://www.rosaceae.org/gb/gbrowse/malus_x_domestica/?name=MDP0000166657","MDP0000166657")</f>
        <v>MDP0000166657</v>
      </c>
      <c r="D4267">
        <v>44.98</v>
      </c>
      <c r="E4267">
        <v>309</v>
      </c>
      <c r="F4267">
        <v>170</v>
      </c>
      <c r="G4267">
        <v>7</v>
      </c>
      <c r="H4267">
        <v>28</v>
      </c>
      <c r="I4267">
        <v>334</v>
      </c>
      <c r="J4267">
        <v>1</v>
      </c>
      <c r="K4267">
        <v>22</v>
      </c>
      <c r="L4267">
        <v>325</v>
      </c>
      <c r="M4267">
        <v>1</v>
      </c>
      <c r="N4267">
        <v>3.28785E-75</v>
      </c>
      <c r="O4267">
        <v>713</v>
      </c>
    </row>
    <row r="4268" spans="1:15" x14ac:dyDescent="0.25">
      <c r="A4268" t="s">
        <v>4281</v>
      </c>
      <c r="B4268">
        <v>221</v>
      </c>
      <c r="C4268" s="1" t="str">
        <f>HYPERLINK("http://www.rosaceae.org/gb/gbrowse/malus_x_domestica/?name=MDP0000307702","MDP0000307702")</f>
        <v>MDP0000307702</v>
      </c>
      <c r="D4268">
        <v>72.19</v>
      </c>
      <c r="E4268">
        <v>223</v>
      </c>
      <c r="F4268">
        <v>62</v>
      </c>
      <c r="G4268">
        <v>10</v>
      </c>
      <c r="H4268">
        <v>2</v>
      </c>
      <c r="I4268">
        <v>221</v>
      </c>
      <c r="J4268">
        <v>1</v>
      </c>
      <c r="K4268">
        <v>37</v>
      </c>
      <c r="L4268">
        <v>252</v>
      </c>
      <c r="M4268">
        <v>1</v>
      </c>
      <c r="N4268">
        <v>2.13514E-86</v>
      </c>
      <c r="O4268">
        <v>807</v>
      </c>
    </row>
    <row r="4269" spans="1:15" x14ac:dyDescent="0.25">
      <c r="A4269" t="s">
        <v>4282</v>
      </c>
      <c r="B4269">
        <v>218</v>
      </c>
      <c r="C4269" s="1" t="str">
        <f>HYPERLINK("http://www.rosaceae.org/gb/gbrowse/malus_x_domestica/?name=MDP0000755113","MDP0000755113")</f>
        <v>MDP0000755113</v>
      </c>
      <c r="D4269">
        <v>83.56</v>
      </c>
      <c r="E4269">
        <v>219</v>
      </c>
      <c r="F4269">
        <v>36</v>
      </c>
      <c r="G4269">
        <v>1</v>
      </c>
      <c r="H4269">
        <v>1</v>
      </c>
      <c r="I4269">
        <v>218</v>
      </c>
      <c r="J4269">
        <v>1</v>
      </c>
      <c r="K4269">
        <v>1</v>
      </c>
      <c r="L4269">
        <v>219</v>
      </c>
      <c r="M4269">
        <v>1</v>
      </c>
      <c r="N4269">
        <v>3.04024E-105</v>
      </c>
      <c r="O4269">
        <v>970</v>
      </c>
    </row>
    <row r="4270" spans="1:15" x14ac:dyDescent="0.25">
      <c r="A4270" t="s">
        <v>4283</v>
      </c>
      <c r="B4270">
        <v>648</v>
      </c>
      <c r="C4270" s="1" t="str">
        <f>HYPERLINK("http://www.rosaceae.org/gb/gbrowse/malus_x_domestica/?name=MDP0000095336","MDP0000095336")</f>
        <v>MDP0000095336</v>
      </c>
      <c r="D4270">
        <v>48.71</v>
      </c>
      <c r="E4270">
        <v>390</v>
      </c>
      <c r="F4270">
        <v>200</v>
      </c>
      <c r="G4270">
        <v>49</v>
      </c>
      <c r="H4270">
        <v>295</v>
      </c>
      <c r="I4270">
        <v>644</v>
      </c>
      <c r="J4270">
        <v>1</v>
      </c>
      <c r="K4270">
        <v>3</v>
      </c>
      <c r="L4270">
        <v>383</v>
      </c>
      <c r="M4270">
        <v>1</v>
      </c>
      <c r="N4270">
        <v>1.0832500000000001E-93</v>
      </c>
      <c r="O4270">
        <v>876</v>
      </c>
    </row>
    <row r="4271" spans="1:15" x14ac:dyDescent="0.25">
      <c r="A4271" t="s">
        <v>4284</v>
      </c>
      <c r="B4271">
        <v>1081</v>
      </c>
      <c r="C4271" s="1" t="str">
        <f>HYPERLINK("http://www.rosaceae.org/gb/gbrowse/malus_x_domestica/?name=MDP0000223167","MDP0000223167")</f>
        <v>MDP0000223167</v>
      </c>
      <c r="D4271">
        <v>54.76</v>
      </c>
      <c r="E4271">
        <v>650</v>
      </c>
      <c r="F4271">
        <v>294</v>
      </c>
      <c r="G4271">
        <v>50</v>
      </c>
      <c r="H4271">
        <v>423</v>
      </c>
      <c r="I4271">
        <v>1030</v>
      </c>
      <c r="J4271">
        <v>1</v>
      </c>
      <c r="K4271">
        <v>476</v>
      </c>
      <c r="L4271">
        <v>1117</v>
      </c>
      <c r="M4271">
        <v>1</v>
      </c>
      <c r="N4271">
        <v>0</v>
      </c>
      <c r="O4271">
        <v>1718</v>
      </c>
    </row>
    <row r="4272" spans="1:15" x14ac:dyDescent="0.25">
      <c r="A4272" t="s">
        <v>4285</v>
      </c>
      <c r="B4272">
        <v>174</v>
      </c>
      <c r="C4272" s="1" t="str">
        <f>HYPERLINK("http://www.rosaceae.org/gb/gbrowse/malus_x_domestica/?name=MDP0000140550","MDP0000140550")</f>
        <v>MDP0000140550</v>
      </c>
      <c r="D4272">
        <v>43.2</v>
      </c>
      <c r="E4272">
        <v>162</v>
      </c>
      <c r="F4272">
        <v>92</v>
      </c>
      <c r="G4272">
        <v>1</v>
      </c>
      <c r="H4272">
        <v>8</v>
      </c>
      <c r="I4272">
        <v>169</v>
      </c>
      <c r="J4272">
        <v>1</v>
      </c>
      <c r="K4272">
        <v>7</v>
      </c>
      <c r="L4272">
        <v>167</v>
      </c>
      <c r="M4272">
        <v>1</v>
      </c>
      <c r="N4272">
        <v>2.4525000000000002E-31</v>
      </c>
      <c r="O4272">
        <v>331</v>
      </c>
    </row>
    <row r="4273" spans="1:15" x14ac:dyDescent="0.25">
      <c r="A4273" t="s">
        <v>4286</v>
      </c>
      <c r="B4273">
        <v>840</v>
      </c>
      <c r="C4273" s="1" t="str">
        <f>HYPERLINK("http://www.rosaceae.org/gb/gbrowse/malus_x_domestica/?name=MDP0000158858","MDP0000158858")</f>
        <v>MDP0000158858</v>
      </c>
      <c r="D4273">
        <v>83.56</v>
      </c>
      <c r="E4273">
        <v>779</v>
      </c>
      <c r="F4273">
        <v>128</v>
      </c>
      <c r="G4273">
        <v>2</v>
      </c>
      <c r="H4273">
        <v>64</v>
      </c>
      <c r="I4273">
        <v>840</v>
      </c>
      <c r="J4273">
        <v>1</v>
      </c>
      <c r="K4273">
        <v>1</v>
      </c>
      <c r="L4273">
        <v>779</v>
      </c>
      <c r="M4273">
        <v>1</v>
      </c>
      <c r="N4273">
        <v>0</v>
      </c>
      <c r="O4273">
        <v>3379</v>
      </c>
    </row>
    <row r="4274" spans="1:15" x14ac:dyDescent="0.25">
      <c r="A4274" t="s">
        <v>4287</v>
      </c>
      <c r="B4274">
        <v>211</v>
      </c>
      <c r="C4274" s="1" t="str">
        <f>HYPERLINK("http://www.rosaceae.org/gb/gbrowse/malus_x_domestica/?name=MDP0000397306","MDP0000397306")</f>
        <v>MDP0000397306</v>
      </c>
      <c r="D4274">
        <v>74.069999999999993</v>
      </c>
      <c r="E4274">
        <v>189</v>
      </c>
      <c r="F4274">
        <v>49</v>
      </c>
      <c r="G4274">
        <v>0</v>
      </c>
      <c r="H4274">
        <v>23</v>
      </c>
      <c r="I4274">
        <v>211</v>
      </c>
      <c r="J4274">
        <v>1</v>
      </c>
      <c r="K4274">
        <v>237</v>
      </c>
      <c r="L4274">
        <v>425</v>
      </c>
      <c r="M4274">
        <v>1</v>
      </c>
      <c r="N4274">
        <v>3.4351799999999999E-79</v>
      </c>
      <c r="O4274">
        <v>745</v>
      </c>
    </row>
    <row r="4275" spans="1:15" x14ac:dyDescent="0.25">
      <c r="A4275" t="s">
        <v>4288</v>
      </c>
      <c r="B4275">
        <v>216</v>
      </c>
      <c r="C4275" s="1" t="str">
        <f>HYPERLINK("http://www.rosaceae.org/gb/gbrowse/malus_x_domestica/?name=MDP0000136726","MDP0000136726")</f>
        <v>MDP0000136726</v>
      </c>
      <c r="D4275">
        <v>36.57</v>
      </c>
      <c r="E4275">
        <v>175</v>
      </c>
      <c r="F4275">
        <v>111</v>
      </c>
      <c r="G4275">
        <v>39</v>
      </c>
      <c r="H4275">
        <v>10</v>
      </c>
      <c r="I4275">
        <v>145</v>
      </c>
      <c r="J4275">
        <v>1</v>
      </c>
      <c r="K4275">
        <v>945</v>
      </c>
      <c r="L4275">
        <v>1119</v>
      </c>
      <c r="M4275">
        <v>1</v>
      </c>
      <c r="N4275">
        <v>3.52857E-22</v>
      </c>
      <c r="O4275">
        <v>253</v>
      </c>
    </row>
    <row r="4276" spans="1:15" x14ac:dyDescent="0.25">
      <c r="A4276" t="s">
        <v>4289</v>
      </c>
      <c r="B4276">
        <v>1077</v>
      </c>
      <c r="C4276" s="1" t="str">
        <f>HYPERLINK("http://www.rosaceae.org/gb/gbrowse/malus_x_domestica/?name=MDP0000284618","MDP0000284618")</f>
        <v>MDP0000284618</v>
      </c>
      <c r="D4276">
        <v>63.09</v>
      </c>
      <c r="E4276">
        <v>355</v>
      </c>
      <c r="F4276">
        <v>131</v>
      </c>
      <c r="G4276">
        <v>12</v>
      </c>
      <c r="H4276">
        <v>293</v>
      </c>
      <c r="I4276">
        <v>644</v>
      </c>
      <c r="J4276">
        <v>1</v>
      </c>
      <c r="K4276">
        <v>21</v>
      </c>
      <c r="L4276">
        <v>366</v>
      </c>
      <c r="M4276">
        <v>1</v>
      </c>
      <c r="N4276">
        <v>5.0171999999999997E-128</v>
      </c>
      <c r="O4276">
        <v>1174</v>
      </c>
    </row>
    <row r="4277" spans="1:15" x14ac:dyDescent="0.25">
      <c r="A4277" t="s">
        <v>4290</v>
      </c>
      <c r="B4277">
        <v>351</v>
      </c>
      <c r="C4277" s="1" t="str">
        <f>HYPERLINK("http://www.rosaceae.org/gb/gbrowse/malus_x_domestica/?name=MDP0000306176","MDP0000306176")</f>
        <v>MDP0000306176</v>
      </c>
      <c r="D4277">
        <v>59.15</v>
      </c>
      <c r="E4277">
        <v>333</v>
      </c>
      <c r="F4277">
        <v>136</v>
      </c>
      <c r="G4277">
        <v>32</v>
      </c>
      <c r="H4277">
        <v>49</v>
      </c>
      <c r="I4277">
        <v>350</v>
      </c>
      <c r="J4277">
        <v>1</v>
      </c>
      <c r="K4277">
        <v>392</v>
      </c>
      <c r="L4277">
        <v>723</v>
      </c>
      <c r="M4277">
        <v>1</v>
      </c>
      <c r="N4277">
        <v>5.3648800000000001E-112</v>
      </c>
      <c r="O4277">
        <v>1031</v>
      </c>
    </row>
    <row r="4278" spans="1:15" x14ac:dyDescent="0.25">
      <c r="A4278" t="s">
        <v>4291</v>
      </c>
      <c r="B4278">
        <v>913</v>
      </c>
      <c r="C4278" s="1" t="str">
        <f>HYPERLINK("http://www.rosaceae.org/gb/gbrowse/malus_x_domestica/?name=MDP0000811127","MDP0000811127")</f>
        <v>MDP0000811127</v>
      </c>
      <c r="D4278">
        <v>74.75</v>
      </c>
      <c r="E4278">
        <v>915</v>
      </c>
      <c r="F4278">
        <v>231</v>
      </c>
      <c r="G4278">
        <v>11</v>
      </c>
      <c r="H4278">
        <v>1</v>
      </c>
      <c r="I4278">
        <v>913</v>
      </c>
      <c r="J4278">
        <v>1</v>
      </c>
      <c r="K4278">
        <v>41</v>
      </c>
      <c r="L4278">
        <v>946</v>
      </c>
      <c r="M4278">
        <v>1</v>
      </c>
      <c r="N4278">
        <v>0</v>
      </c>
      <c r="O4278">
        <v>3574</v>
      </c>
    </row>
    <row r="4279" spans="1:15" x14ac:dyDescent="0.25">
      <c r="A4279" t="s">
        <v>4292</v>
      </c>
      <c r="B4279">
        <v>525</v>
      </c>
      <c r="C4279" s="1" t="str">
        <f>HYPERLINK("http://www.rosaceae.org/gb/gbrowse/malus_x_domestica/?name=MDP0000257103","MDP0000257103")</f>
        <v>MDP0000257103</v>
      </c>
      <c r="D4279">
        <v>62.99</v>
      </c>
      <c r="E4279">
        <v>508</v>
      </c>
      <c r="F4279">
        <v>188</v>
      </c>
      <c r="G4279">
        <v>16</v>
      </c>
      <c r="H4279">
        <v>20</v>
      </c>
      <c r="I4279">
        <v>522</v>
      </c>
      <c r="J4279">
        <v>1</v>
      </c>
      <c r="K4279">
        <v>27</v>
      </c>
      <c r="L4279">
        <v>523</v>
      </c>
      <c r="M4279">
        <v>1</v>
      </c>
      <c r="N4279">
        <v>0</v>
      </c>
      <c r="O4279">
        <v>1655</v>
      </c>
    </row>
    <row r="4280" spans="1:15" x14ac:dyDescent="0.25">
      <c r="A4280" t="s">
        <v>4293</v>
      </c>
      <c r="B4280">
        <v>327</v>
      </c>
      <c r="C4280" s="1" t="str">
        <f>HYPERLINK("http://www.rosaceae.org/gb/gbrowse/malus_x_domestica/?name=MDP0000534716","MDP0000534716")</f>
        <v>MDP0000534716</v>
      </c>
      <c r="D4280">
        <v>64.569999999999993</v>
      </c>
      <c r="E4280">
        <v>271</v>
      </c>
      <c r="F4280">
        <v>96</v>
      </c>
      <c r="G4280">
        <v>6</v>
      </c>
      <c r="H4280">
        <v>3</v>
      </c>
      <c r="I4280">
        <v>270</v>
      </c>
      <c r="J4280">
        <v>1</v>
      </c>
      <c r="K4280">
        <v>111</v>
      </c>
      <c r="L4280">
        <v>378</v>
      </c>
      <c r="M4280">
        <v>1</v>
      </c>
      <c r="N4280">
        <v>1.17976E-91</v>
      </c>
      <c r="O4280">
        <v>855</v>
      </c>
    </row>
    <row r="4281" spans="1:15" x14ac:dyDescent="0.25">
      <c r="A4281" t="s">
        <v>4294</v>
      </c>
      <c r="B4281">
        <v>432</v>
      </c>
      <c r="C4281" s="1" t="str">
        <f>HYPERLINK("http://www.rosaceae.org/gb/gbrowse/malus_x_domestica/?name=MDP0000220844","MDP0000220844")</f>
        <v>MDP0000220844</v>
      </c>
      <c r="D4281">
        <v>62.75</v>
      </c>
      <c r="E4281">
        <v>341</v>
      </c>
      <c r="F4281">
        <v>127</v>
      </c>
      <c r="G4281">
        <v>40</v>
      </c>
      <c r="H4281">
        <v>1</v>
      </c>
      <c r="I4281">
        <v>320</v>
      </c>
      <c r="J4281">
        <v>1</v>
      </c>
      <c r="K4281">
        <v>84</v>
      </c>
      <c r="L4281">
        <v>405</v>
      </c>
      <c r="M4281">
        <v>1</v>
      </c>
      <c r="N4281">
        <v>3.6189100000000002E-99</v>
      </c>
      <c r="O4281">
        <v>921</v>
      </c>
    </row>
    <row r="4282" spans="1:15" x14ac:dyDescent="0.25">
      <c r="A4282" t="s">
        <v>4295</v>
      </c>
      <c r="B4282">
        <v>372</v>
      </c>
      <c r="C4282" s="1" t="str">
        <f>HYPERLINK("http://www.rosaceae.org/gb/gbrowse/malus_x_domestica/?name=MDP0000210110","MDP0000210110")</f>
        <v>MDP0000210110</v>
      </c>
      <c r="D4282">
        <v>88.7</v>
      </c>
      <c r="E4282">
        <v>372</v>
      </c>
      <c r="F4282">
        <v>42</v>
      </c>
      <c r="G4282">
        <v>0</v>
      </c>
      <c r="H4282">
        <v>1</v>
      </c>
      <c r="I4282">
        <v>372</v>
      </c>
      <c r="J4282">
        <v>1</v>
      </c>
      <c r="K4282">
        <v>1</v>
      </c>
      <c r="L4282">
        <v>372</v>
      </c>
      <c r="M4282">
        <v>1</v>
      </c>
      <c r="N4282">
        <v>0</v>
      </c>
      <c r="O4282">
        <v>1772</v>
      </c>
    </row>
    <row r="4283" spans="1:15" x14ac:dyDescent="0.25">
      <c r="A4283" t="s">
        <v>4296</v>
      </c>
      <c r="B4283">
        <v>245</v>
      </c>
      <c r="C4283" s="1" t="str">
        <f>HYPERLINK("http://www.rosaceae.org/gb/gbrowse/malus_x_domestica/?name=MDP0000242152","MDP0000242152")</f>
        <v>MDP0000242152</v>
      </c>
      <c r="D4283">
        <v>68.11</v>
      </c>
      <c r="E4283">
        <v>254</v>
      </c>
      <c r="F4283">
        <v>81</v>
      </c>
      <c r="G4283">
        <v>16</v>
      </c>
      <c r="H4283">
        <v>1</v>
      </c>
      <c r="I4283">
        <v>245</v>
      </c>
      <c r="J4283">
        <v>1</v>
      </c>
      <c r="K4283">
        <v>1</v>
      </c>
      <c r="L4283">
        <v>247</v>
      </c>
      <c r="M4283">
        <v>1</v>
      </c>
      <c r="N4283">
        <v>2.9825499999999999E-84</v>
      </c>
      <c r="O4283">
        <v>789</v>
      </c>
    </row>
    <row r="4284" spans="1:15" x14ac:dyDescent="0.25">
      <c r="A4284" t="s">
        <v>4297</v>
      </c>
      <c r="B4284">
        <v>237</v>
      </c>
      <c r="C4284" s="1" t="str">
        <f>HYPERLINK("http://www.rosaceae.org/gb/gbrowse/malus_x_domestica/?name=MDP0000300215","MDP0000300215")</f>
        <v>MDP0000300215</v>
      </c>
      <c r="D4284">
        <v>28.38</v>
      </c>
      <c r="E4284">
        <v>155</v>
      </c>
      <c r="F4284">
        <v>111</v>
      </c>
      <c r="G4284">
        <v>23</v>
      </c>
      <c r="H4284">
        <v>53</v>
      </c>
      <c r="I4284">
        <v>207</v>
      </c>
      <c r="J4284">
        <v>1</v>
      </c>
      <c r="K4284">
        <v>236</v>
      </c>
      <c r="L4284">
        <v>367</v>
      </c>
      <c r="M4284">
        <v>1</v>
      </c>
      <c r="N4284">
        <v>3.6450099999999999E-10</v>
      </c>
      <c r="O4284">
        <v>150</v>
      </c>
    </row>
    <row r="4285" spans="1:15" x14ac:dyDescent="0.25">
      <c r="A4285" t="s">
        <v>4298</v>
      </c>
      <c r="B4285">
        <v>472</v>
      </c>
      <c r="C4285" s="1" t="str">
        <f>HYPERLINK("http://www.rosaceae.org/gb/gbrowse/malus_x_domestica/?name=MDP0000300491","MDP0000300491")</f>
        <v>MDP0000300491</v>
      </c>
      <c r="D4285">
        <v>50.42</v>
      </c>
      <c r="E4285">
        <v>119</v>
      </c>
      <c r="F4285">
        <v>59</v>
      </c>
      <c r="G4285">
        <v>5</v>
      </c>
      <c r="H4285">
        <v>169</v>
      </c>
      <c r="I4285">
        <v>284</v>
      </c>
      <c r="J4285">
        <v>1</v>
      </c>
      <c r="K4285">
        <v>745</v>
      </c>
      <c r="L4285">
        <v>861</v>
      </c>
      <c r="M4285">
        <v>1</v>
      </c>
      <c r="N4285">
        <v>9.51053E-21</v>
      </c>
      <c r="O4285">
        <v>245</v>
      </c>
    </row>
    <row r="4286" spans="1:15" x14ac:dyDescent="0.25">
      <c r="A4286" t="s">
        <v>4299</v>
      </c>
      <c r="B4286">
        <v>567</v>
      </c>
      <c r="C4286" s="1" t="str">
        <f>HYPERLINK("http://www.rosaceae.org/gb/gbrowse/malus_x_domestica/?name=MDP0000298345","MDP0000298345")</f>
        <v>MDP0000298345</v>
      </c>
      <c r="D4286">
        <v>78.41</v>
      </c>
      <c r="E4286">
        <v>579</v>
      </c>
      <c r="F4286">
        <v>125</v>
      </c>
      <c r="G4286">
        <v>27</v>
      </c>
      <c r="H4286">
        <v>15</v>
      </c>
      <c r="I4286">
        <v>566</v>
      </c>
      <c r="J4286">
        <v>1</v>
      </c>
      <c r="K4286">
        <v>6</v>
      </c>
      <c r="L4286">
        <v>584</v>
      </c>
      <c r="M4286">
        <v>1</v>
      </c>
      <c r="N4286">
        <v>0</v>
      </c>
      <c r="O4286">
        <v>2390</v>
      </c>
    </row>
    <row r="4287" spans="1:15" x14ac:dyDescent="0.25">
      <c r="A4287" t="s">
        <v>4300</v>
      </c>
      <c r="B4287">
        <v>1562</v>
      </c>
      <c r="C4287" s="1" t="str">
        <f>HYPERLINK("http://www.rosaceae.org/gb/gbrowse/malus_x_domestica/?name=MDP0000311461","MDP0000311461")</f>
        <v>MDP0000311461</v>
      </c>
      <c r="D4287">
        <v>70.900000000000006</v>
      </c>
      <c r="E4287">
        <v>811</v>
      </c>
      <c r="F4287">
        <v>236</v>
      </c>
      <c r="G4287">
        <v>45</v>
      </c>
      <c r="H4287">
        <v>222</v>
      </c>
      <c r="I4287">
        <v>999</v>
      </c>
      <c r="J4287">
        <v>1</v>
      </c>
      <c r="K4287">
        <v>211</v>
      </c>
      <c r="L4287">
        <v>1009</v>
      </c>
      <c r="M4287">
        <v>1</v>
      </c>
      <c r="N4287">
        <v>0</v>
      </c>
      <c r="O4287">
        <v>2994</v>
      </c>
    </row>
    <row r="4288" spans="1:15" x14ac:dyDescent="0.25">
      <c r="A4288" t="s">
        <v>4301</v>
      </c>
      <c r="B4288">
        <v>271</v>
      </c>
      <c r="C4288" s="1" t="str">
        <f>HYPERLINK("http://www.rosaceae.org/gb/gbrowse/malus_x_domestica/?name=MDP0000290170","MDP0000290170")</f>
        <v>MDP0000290170</v>
      </c>
      <c r="D4288">
        <v>61.38</v>
      </c>
      <c r="E4288">
        <v>259</v>
      </c>
      <c r="F4288">
        <v>100</v>
      </c>
      <c r="G4288">
        <v>13</v>
      </c>
      <c r="H4288">
        <v>15</v>
      </c>
      <c r="I4288">
        <v>267</v>
      </c>
      <c r="J4288">
        <v>1</v>
      </c>
      <c r="K4288">
        <v>21</v>
      </c>
      <c r="L4288">
        <v>272</v>
      </c>
      <c r="M4288">
        <v>1</v>
      </c>
      <c r="N4288">
        <v>1.0220099999999999E-87</v>
      </c>
      <c r="O4288">
        <v>820</v>
      </c>
    </row>
    <row r="4289" spans="1:15" x14ac:dyDescent="0.25">
      <c r="A4289" t="s">
        <v>4302</v>
      </c>
      <c r="B4289">
        <v>275</v>
      </c>
      <c r="C4289" s="1" t="str">
        <f>HYPERLINK("http://www.rosaceae.org/gb/gbrowse/malus_x_domestica/?name=MDP0000311020","MDP0000311020")</f>
        <v>MDP0000311020</v>
      </c>
      <c r="D4289">
        <v>46.46</v>
      </c>
      <c r="E4289">
        <v>269</v>
      </c>
      <c r="F4289">
        <v>144</v>
      </c>
      <c r="G4289">
        <v>23</v>
      </c>
      <c r="H4289">
        <v>21</v>
      </c>
      <c r="I4289">
        <v>272</v>
      </c>
      <c r="J4289">
        <v>1</v>
      </c>
      <c r="K4289">
        <v>135</v>
      </c>
      <c r="L4289">
        <v>397</v>
      </c>
      <c r="M4289">
        <v>1</v>
      </c>
      <c r="N4289">
        <v>3.2254000000000002E-60</v>
      </c>
      <c r="O4289">
        <v>583</v>
      </c>
    </row>
    <row r="4290" spans="1:15" x14ac:dyDescent="0.25">
      <c r="A4290" t="s">
        <v>4303</v>
      </c>
      <c r="B4290">
        <v>321</v>
      </c>
      <c r="C4290" s="1" t="str">
        <f>HYPERLINK("http://www.rosaceae.org/gb/gbrowse/malus_x_domestica/?name=MDP0000281982","MDP0000281982")</f>
        <v>MDP0000281982</v>
      </c>
      <c r="D4290">
        <v>57.46</v>
      </c>
      <c r="E4290">
        <v>134</v>
      </c>
      <c r="F4290">
        <v>57</v>
      </c>
      <c r="G4290">
        <v>4</v>
      </c>
      <c r="H4290">
        <v>190</v>
      </c>
      <c r="I4290">
        <v>320</v>
      </c>
      <c r="J4290">
        <v>1</v>
      </c>
      <c r="K4290">
        <v>302</v>
      </c>
      <c r="L4290">
        <v>434</v>
      </c>
      <c r="M4290">
        <v>1</v>
      </c>
      <c r="N4290">
        <v>4.8950900000000001E-39</v>
      </c>
      <c r="O4290">
        <v>401</v>
      </c>
    </row>
    <row r="4291" spans="1:15" x14ac:dyDescent="0.25">
      <c r="A4291" t="s">
        <v>4304</v>
      </c>
      <c r="B4291">
        <v>579</v>
      </c>
      <c r="C4291" s="1" t="str">
        <f>HYPERLINK("http://www.rosaceae.org/gb/gbrowse/malus_x_domestica/?name=MDP0000201304","MDP0000201304")</f>
        <v>MDP0000201304</v>
      </c>
      <c r="D4291">
        <v>74.260000000000005</v>
      </c>
      <c r="E4291">
        <v>579</v>
      </c>
      <c r="F4291">
        <v>149</v>
      </c>
      <c r="G4291">
        <v>39</v>
      </c>
      <c r="H4291">
        <v>1</v>
      </c>
      <c r="I4291">
        <v>579</v>
      </c>
      <c r="J4291">
        <v>1</v>
      </c>
      <c r="K4291">
        <v>1</v>
      </c>
      <c r="L4291">
        <v>540</v>
      </c>
      <c r="M4291">
        <v>1</v>
      </c>
      <c r="N4291">
        <v>0</v>
      </c>
      <c r="O4291">
        <v>2293</v>
      </c>
    </row>
    <row r="4292" spans="1:15" x14ac:dyDescent="0.25">
      <c r="A4292" t="s">
        <v>4305</v>
      </c>
      <c r="B4292">
        <v>208</v>
      </c>
      <c r="C4292" s="1" t="str">
        <f>HYPERLINK("http://www.rosaceae.org/gb/gbrowse/malus_x_domestica/?name=MDP0000128721","MDP0000128721")</f>
        <v>MDP0000128721</v>
      </c>
      <c r="D4292">
        <v>49.57</v>
      </c>
      <c r="E4292">
        <v>236</v>
      </c>
      <c r="F4292">
        <v>119</v>
      </c>
      <c r="G4292">
        <v>30</v>
      </c>
      <c r="H4292">
        <v>3</v>
      </c>
      <c r="I4292">
        <v>208</v>
      </c>
      <c r="J4292">
        <v>1</v>
      </c>
      <c r="K4292">
        <v>61</v>
      </c>
      <c r="L4292">
        <v>296</v>
      </c>
      <c r="M4292">
        <v>1</v>
      </c>
      <c r="N4292">
        <v>2.7970699999999999E-61</v>
      </c>
      <c r="O4292">
        <v>590</v>
      </c>
    </row>
    <row r="4293" spans="1:15" x14ac:dyDescent="0.25">
      <c r="A4293" t="s">
        <v>4306</v>
      </c>
      <c r="B4293">
        <v>219</v>
      </c>
      <c r="C4293" s="1" t="str">
        <f>HYPERLINK("http://www.rosaceae.org/gb/gbrowse/malus_x_domestica/?name=MDP0000291249","MDP0000291249")</f>
        <v>MDP0000291249</v>
      </c>
      <c r="D4293">
        <v>70.430000000000007</v>
      </c>
      <c r="E4293">
        <v>230</v>
      </c>
      <c r="F4293">
        <v>68</v>
      </c>
      <c r="G4293">
        <v>32</v>
      </c>
      <c r="H4293">
        <v>1</v>
      </c>
      <c r="I4293">
        <v>219</v>
      </c>
      <c r="J4293">
        <v>1</v>
      </c>
      <c r="K4293">
        <v>1</v>
      </c>
      <c r="L4293">
        <v>209</v>
      </c>
      <c r="M4293">
        <v>1</v>
      </c>
      <c r="N4293">
        <v>4.4170199999999999E-83</v>
      </c>
      <c r="O4293">
        <v>779</v>
      </c>
    </row>
    <row r="4294" spans="1:15" x14ac:dyDescent="0.25">
      <c r="A4294" t="s">
        <v>4307</v>
      </c>
      <c r="B4294">
        <v>387</v>
      </c>
      <c r="C4294" s="1" t="str">
        <f>HYPERLINK("http://www.rosaceae.org/gb/gbrowse/malus_x_domestica/?name=MDP0000186929","MDP0000186929")</f>
        <v>MDP0000186929</v>
      </c>
      <c r="D4294">
        <v>52</v>
      </c>
      <c r="E4294">
        <v>400</v>
      </c>
      <c r="F4294">
        <v>192</v>
      </c>
      <c r="G4294">
        <v>43</v>
      </c>
      <c r="H4294">
        <v>16</v>
      </c>
      <c r="I4294">
        <v>378</v>
      </c>
      <c r="J4294">
        <v>1</v>
      </c>
      <c r="K4294">
        <v>24</v>
      </c>
      <c r="L4294">
        <v>417</v>
      </c>
      <c r="M4294">
        <v>1</v>
      </c>
      <c r="N4294">
        <v>7.6004399999999999E-103</v>
      </c>
      <c r="O4294">
        <v>952</v>
      </c>
    </row>
    <row r="4295" spans="1:15" x14ac:dyDescent="0.25">
      <c r="A4295" t="s">
        <v>4308</v>
      </c>
      <c r="B4295">
        <v>667</v>
      </c>
      <c r="C4295" s="1" t="str">
        <f>HYPERLINK("http://www.rosaceae.org/gb/gbrowse/malus_x_domestica/?name=MDP0000236134","MDP0000236134")</f>
        <v>MDP0000236134</v>
      </c>
      <c r="D4295">
        <v>61.94</v>
      </c>
      <c r="E4295">
        <v>360</v>
      </c>
      <c r="F4295">
        <v>137</v>
      </c>
      <c r="G4295">
        <v>46</v>
      </c>
      <c r="H4295">
        <v>283</v>
      </c>
      <c r="I4295">
        <v>641</v>
      </c>
      <c r="J4295">
        <v>1</v>
      </c>
      <c r="K4295">
        <v>528</v>
      </c>
      <c r="L4295">
        <v>842</v>
      </c>
      <c r="M4295">
        <v>1</v>
      </c>
      <c r="N4295">
        <v>5.80103E-123</v>
      </c>
      <c r="O4295">
        <v>1128</v>
      </c>
    </row>
    <row r="4296" spans="1:15" x14ac:dyDescent="0.25">
      <c r="A4296" t="s">
        <v>4309</v>
      </c>
      <c r="B4296">
        <v>168</v>
      </c>
      <c r="C4296" s="1" t="str">
        <f>HYPERLINK("http://www.rosaceae.org/gb/gbrowse/malus_x_domestica/?name=MDP0000913740","MDP0000913740")</f>
        <v>MDP0000913740</v>
      </c>
      <c r="D4296">
        <v>75.48</v>
      </c>
      <c r="E4296">
        <v>155</v>
      </c>
      <c r="F4296">
        <v>38</v>
      </c>
      <c r="G4296">
        <v>1</v>
      </c>
      <c r="H4296">
        <v>15</v>
      </c>
      <c r="I4296">
        <v>168</v>
      </c>
      <c r="J4296">
        <v>1</v>
      </c>
      <c r="K4296">
        <v>17</v>
      </c>
      <c r="L4296">
        <v>171</v>
      </c>
      <c r="M4296">
        <v>1</v>
      </c>
      <c r="N4296">
        <v>2.18496E-67</v>
      </c>
      <c r="O4296">
        <v>641</v>
      </c>
    </row>
    <row r="4297" spans="1:15" x14ac:dyDescent="0.25">
      <c r="A4297" t="s">
        <v>4310</v>
      </c>
      <c r="B4297">
        <v>343</v>
      </c>
      <c r="C4297" s="1" t="str">
        <f>HYPERLINK("http://www.rosaceae.org/gb/gbrowse/malus_x_domestica/?name=MDP0000295064","MDP0000295064")</f>
        <v>MDP0000295064</v>
      </c>
      <c r="D4297">
        <v>73.03</v>
      </c>
      <c r="E4297">
        <v>267</v>
      </c>
      <c r="F4297">
        <v>72</v>
      </c>
      <c r="G4297">
        <v>16</v>
      </c>
      <c r="H4297">
        <v>70</v>
      </c>
      <c r="I4297">
        <v>324</v>
      </c>
      <c r="J4297">
        <v>1</v>
      </c>
      <c r="K4297">
        <v>897</v>
      </c>
      <c r="L4297">
        <v>1159</v>
      </c>
      <c r="M4297">
        <v>1</v>
      </c>
      <c r="N4297">
        <v>9.7871799999999991E-112</v>
      </c>
      <c r="O4297">
        <v>1028</v>
      </c>
    </row>
    <row r="4298" spans="1:15" x14ac:dyDescent="0.25">
      <c r="A4298" t="s">
        <v>4311</v>
      </c>
      <c r="B4298">
        <v>240</v>
      </c>
      <c r="C4298" s="1" t="str">
        <f>HYPERLINK("http://www.rosaceae.org/gb/gbrowse/malus_x_domestica/?name=MDP0000237828","MDP0000237828")</f>
        <v>MDP0000237828</v>
      </c>
      <c r="D4298">
        <v>65.349999999999994</v>
      </c>
      <c r="E4298">
        <v>153</v>
      </c>
      <c r="F4298">
        <v>53</v>
      </c>
      <c r="G4298">
        <v>12</v>
      </c>
      <c r="H4298">
        <v>1</v>
      </c>
      <c r="I4298">
        <v>152</v>
      </c>
      <c r="J4298">
        <v>1</v>
      </c>
      <c r="K4298">
        <v>947</v>
      </c>
      <c r="L4298">
        <v>1088</v>
      </c>
      <c r="M4298">
        <v>1</v>
      </c>
      <c r="N4298">
        <v>7.6794199999999999E-47</v>
      </c>
      <c r="O4298">
        <v>467</v>
      </c>
    </row>
    <row r="4299" spans="1:15" x14ac:dyDescent="0.25">
      <c r="A4299" t="s">
        <v>4312</v>
      </c>
      <c r="B4299">
        <v>427</v>
      </c>
      <c r="C4299" s="1" t="str">
        <f>HYPERLINK("http://www.rosaceae.org/gb/gbrowse/malus_x_domestica/?name=MDP0000188626","MDP0000188626")</f>
        <v>MDP0000188626</v>
      </c>
      <c r="D4299">
        <v>32.96</v>
      </c>
      <c r="E4299">
        <v>273</v>
      </c>
      <c r="F4299">
        <v>183</v>
      </c>
      <c r="G4299">
        <v>84</v>
      </c>
      <c r="H4299">
        <v>163</v>
      </c>
      <c r="I4299">
        <v>427</v>
      </c>
      <c r="J4299">
        <v>1</v>
      </c>
      <c r="K4299">
        <v>121</v>
      </c>
      <c r="L4299">
        <v>317</v>
      </c>
      <c r="M4299">
        <v>1</v>
      </c>
      <c r="N4299">
        <v>2.4838400000000001E-20</v>
      </c>
      <c r="O4299">
        <v>241</v>
      </c>
    </row>
    <row r="4300" spans="1:15" x14ac:dyDescent="0.25">
      <c r="A4300" t="s">
        <v>4313</v>
      </c>
      <c r="B4300">
        <v>200</v>
      </c>
      <c r="C4300" s="1" t="str">
        <f>HYPERLINK("http://www.rosaceae.org/gb/gbrowse/malus_x_domestica/?name=MDP0000302340","MDP0000302340")</f>
        <v>MDP0000302340</v>
      </c>
      <c r="D4300">
        <v>88.77</v>
      </c>
      <c r="E4300">
        <v>98</v>
      </c>
      <c r="F4300">
        <v>11</v>
      </c>
      <c r="G4300">
        <v>0</v>
      </c>
      <c r="H4300">
        <v>66</v>
      </c>
      <c r="I4300">
        <v>163</v>
      </c>
      <c r="J4300">
        <v>1</v>
      </c>
      <c r="K4300">
        <v>309</v>
      </c>
      <c r="L4300">
        <v>406</v>
      </c>
      <c r="M4300">
        <v>1</v>
      </c>
      <c r="N4300">
        <v>3.9415300000000002E-43</v>
      </c>
      <c r="O4300">
        <v>434</v>
      </c>
    </row>
    <row r="4301" spans="1:15" x14ac:dyDescent="0.25">
      <c r="A4301" t="s">
        <v>4314</v>
      </c>
      <c r="B4301">
        <v>242</v>
      </c>
      <c r="C4301" s="1" t="str">
        <f>HYPERLINK("http://www.rosaceae.org/gb/gbrowse/malus_x_domestica/?name=MDP0000217236","MDP0000217236")</f>
        <v>MDP0000217236</v>
      </c>
      <c r="D4301">
        <v>68.75</v>
      </c>
      <c r="E4301">
        <v>32</v>
      </c>
      <c r="F4301">
        <v>10</v>
      </c>
      <c r="G4301">
        <v>0</v>
      </c>
      <c r="H4301">
        <v>5</v>
      </c>
      <c r="I4301">
        <v>36</v>
      </c>
      <c r="J4301">
        <v>1</v>
      </c>
      <c r="K4301">
        <v>4</v>
      </c>
      <c r="L4301">
        <v>35</v>
      </c>
      <c r="M4301">
        <v>1</v>
      </c>
      <c r="N4301">
        <v>3.93296E-7</v>
      </c>
      <c r="O4301">
        <v>124</v>
      </c>
    </row>
    <row r="4302" spans="1:15" x14ac:dyDescent="0.25">
      <c r="A4302" t="s">
        <v>4315</v>
      </c>
      <c r="B4302">
        <v>917</v>
      </c>
      <c r="C4302" s="1" t="str">
        <f>HYPERLINK("http://www.rosaceae.org/gb/gbrowse/malus_x_domestica/?name=MDP0000123082","MDP0000123082")</f>
        <v>MDP0000123082</v>
      </c>
      <c r="D4302">
        <v>63.18</v>
      </c>
      <c r="E4302">
        <v>603</v>
      </c>
      <c r="F4302">
        <v>222</v>
      </c>
      <c r="G4302">
        <v>31</v>
      </c>
      <c r="H4302">
        <v>1</v>
      </c>
      <c r="I4302">
        <v>576</v>
      </c>
      <c r="J4302">
        <v>1</v>
      </c>
      <c r="K4302">
        <v>1</v>
      </c>
      <c r="L4302">
        <v>599</v>
      </c>
      <c r="M4302">
        <v>1</v>
      </c>
      <c r="N4302">
        <v>0</v>
      </c>
      <c r="O4302">
        <v>1739</v>
      </c>
    </row>
    <row r="4303" spans="1:15" x14ac:dyDescent="0.25">
      <c r="A4303" t="s">
        <v>4316</v>
      </c>
      <c r="B4303">
        <v>484</v>
      </c>
      <c r="C4303" s="1" t="str">
        <f>HYPERLINK("http://www.rosaceae.org/gb/gbrowse/malus_x_domestica/?name=MDP0000261154","MDP0000261154")</f>
        <v>MDP0000261154</v>
      </c>
      <c r="D4303">
        <v>29</v>
      </c>
      <c r="E4303">
        <v>131</v>
      </c>
      <c r="F4303">
        <v>93</v>
      </c>
      <c r="G4303">
        <v>25</v>
      </c>
      <c r="H4303">
        <v>353</v>
      </c>
      <c r="I4303">
        <v>482</v>
      </c>
      <c r="J4303">
        <v>1</v>
      </c>
      <c r="K4303">
        <v>15</v>
      </c>
      <c r="L4303">
        <v>121</v>
      </c>
      <c r="M4303">
        <v>1</v>
      </c>
      <c r="N4303">
        <v>3.14286E-9</v>
      </c>
      <c r="O4303">
        <v>146</v>
      </c>
    </row>
    <row r="4304" spans="1:15" x14ac:dyDescent="0.25">
      <c r="A4304" t="s">
        <v>4317</v>
      </c>
      <c r="B4304">
        <v>189</v>
      </c>
      <c r="C4304" s="1" t="str">
        <f>HYPERLINK("http://www.rosaceae.org/gb/gbrowse/malus_x_domestica/?name=MDP0000319067","MDP0000319067")</f>
        <v>MDP0000319067</v>
      </c>
      <c r="D4304">
        <v>45.45</v>
      </c>
      <c r="E4304">
        <v>99</v>
      </c>
      <c r="F4304">
        <v>54</v>
      </c>
      <c r="G4304">
        <v>21</v>
      </c>
      <c r="H4304">
        <v>111</v>
      </c>
      <c r="I4304">
        <v>188</v>
      </c>
      <c r="J4304">
        <v>1</v>
      </c>
      <c r="K4304">
        <v>1</v>
      </c>
      <c r="L4304">
        <v>99</v>
      </c>
      <c r="M4304">
        <v>1</v>
      </c>
      <c r="N4304">
        <v>3.8513700000000002E-17</v>
      </c>
      <c r="O4304">
        <v>209</v>
      </c>
    </row>
    <row r="4305" spans="1:15" x14ac:dyDescent="0.25">
      <c r="A4305" t="s">
        <v>4318</v>
      </c>
      <c r="B4305">
        <v>244</v>
      </c>
      <c r="C4305" s="1" t="str">
        <f>HYPERLINK("http://www.rosaceae.org/gb/gbrowse/malus_x_domestica/?name=MDP0000169760","MDP0000169760")</f>
        <v>MDP0000169760</v>
      </c>
      <c r="D4305">
        <v>39.770000000000003</v>
      </c>
      <c r="E4305">
        <v>264</v>
      </c>
      <c r="F4305">
        <v>159</v>
      </c>
      <c r="G4305">
        <v>34</v>
      </c>
      <c r="H4305">
        <v>1</v>
      </c>
      <c r="I4305">
        <v>238</v>
      </c>
      <c r="J4305">
        <v>1</v>
      </c>
      <c r="K4305">
        <v>1</v>
      </c>
      <c r="L4305">
        <v>256</v>
      </c>
      <c r="M4305">
        <v>1</v>
      </c>
      <c r="N4305">
        <v>3.8188800000000001E-42</v>
      </c>
      <c r="O4305">
        <v>426</v>
      </c>
    </row>
    <row r="4306" spans="1:15" x14ac:dyDescent="0.25">
      <c r="A4306" t="s">
        <v>4319</v>
      </c>
      <c r="B4306">
        <v>175</v>
      </c>
      <c r="C4306" s="1" t="str">
        <f>HYPERLINK("http://www.rosaceae.org/gb/gbrowse/malus_x_domestica/?name=MDP0000320789","MDP0000320789")</f>
        <v>MDP0000320789</v>
      </c>
      <c r="D4306">
        <v>74.17</v>
      </c>
      <c r="E4306">
        <v>151</v>
      </c>
      <c r="F4306">
        <v>39</v>
      </c>
      <c r="G4306">
        <v>0</v>
      </c>
      <c r="H4306">
        <v>12</v>
      </c>
      <c r="I4306">
        <v>162</v>
      </c>
      <c r="J4306">
        <v>1</v>
      </c>
      <c r="K4306">
        <v>272</v>
      </c>
      <c r="L4306">
        <v>422</v>
      </c>
      <c r="M4306">
        <v>1</v>
      </c>
      <c r="N4306">
        <v>7.9715400000000005E-67</v>
      </c>
      <c r="O4306">
        <v>637</v>
      </c>
    </row>
    <row r="4307" spans="1:15" x14ac:dyDescent="0.25">
      <c r="A4307" t="s">
        <v>4320</v>
      </c>
      <c r="B4307">
        <v>573</v>
      </c>
      <c r="C4307" s="1" t="str">
        <f>HYPERLINK("http://www.rosaceae.org/gb/gbrowse/malus_x_domestica/?name=MDP0000207601","MDP0000207601")</f>
        <v>MDP0000207601</v>
      </c>
      <c r="D4307">
        <v>52.9</v>
      </c>
      <c r="E4307">
        <v>586</v>
      </c>
      <c r="F4307">
        <v>276</v>
      </c>
      <c r="G4307">
        <v>35</v>
      </c>
      <c r="H4307">
        <v>1</v>
      </c>
      <c r="I4307">
        <v>572</v>
      </c>
      <c r="J4307">
        <v>1</v>
      </c>
      <c r="K4307">
        <v>94</v>
      </c>
      <c r="L4307">
        <v>658</v>
      </c>
      <c r="M4307">
        <v>1</v>
      </c>
      <c r="N4307">
        <v>1.48375E-151</v>
      </c>
      <c r="O4307">
        <v>1374</v>
      </c>
    </row>
    <row r="4308" spans="1:15" x14ac:dyDescent="0.25">
      <c r="A4308" t="s">
        <v>4321</v>
      </c>
      <c r="B4308">
        <v>452</v>
      </c>
      <c r="C4308" s="1" t="str">
        <f>HYPERLINK("http://www.rosaceae.org/gb/gbrowse/malus_x_domestica/?name=MDP0000251002","MDP0000251002")</f>
        <v>MDP0000251002</v>
      </c>
      <c r="D4308">
        <v>81.510000000000005</v>
      </c>
      <c r="E4308">
        <v>395</v>
      </c>
      <c r="F4308">
        <v>73</v>
      </c>
      <c r="G4308">
        <v>1</v>
      </c>
      <c r="H4308">
        <v>2</v>
      </c>
      <c r="I4308">
        <v>395</v>
      </c>
      <c r="J4308">
        <v>1</v>
      </c>
      <c r="K4308">
        <v>302</v>
      </c>
      <c r="L4308">
        <v>696</v>
      </c>
      <c r="M4308">
        <v>1</v>
      </c>
      <c r="N4308">
        <v>0</v>
      </c>
      <c r="O4308">
        <v>1779</v>
      </c>
    </row>
    <row r="4309" spans="1:15" x14ac:dyDescent="0.25">
      <c r="A4309" t="s">
        <v>4322</v>
      </c>
      <c r="B4309">
        <v>542</v>
      </c>
      <c r="C4309" s="1" t="str">
        <f>HYPERLINK("http://www.rosaceae.org/gb/gbrowse/malus_x_domestica/?name=MDP0000193684","MDP0000193684")</f>
        <v>MDP0000193684</v>
      </c>
      <c r="D4309">
        <v>74.59</v>
      </c>
      <c r="E4309">
        <v>496</v>
      </c>
      <c r="F4309">
        <v>126</v>
      </c>
      <c r="G4309">
        <v>5</v>
      </c>
      <c r="H4309">
        <v>51</v>
      </c>
      <c r="I4309">
        <v>542</v>
      </c>
      <c r="J4309">
        <v>1</v>
      </c>
      <c r="K4309">
        <v>901</v>
      </c>
      <c r="L4309">
        <v>1395</v>
      </c>
      <c r="M4309">
        <v>1</v>
      </c>
      <c r="N4309">
        <v>0</v>
      </c>
      <c r="O4309">
        <v>2008</v>
      </c>
    </row>
    <row r="4310" spans="1:15" x14ac:dyDescent="0.25">
      <c r="A4310" t="s">
        <v>4323</v>
      </c>
      <c r="B4310">
        <v>307</v>
      </c>
      <c r="C4310" s="1" t="str">
        <f>HYPERLINK("http://www.rosaceae.org/gb/gbrowse/malus_x_domestica/?name=MDP0000237964","MDP0000237964")</f>
        <v>MDP0000237964</v>
      </c>
      <c r="D4310">
        <v>75.47</v>
      </c>
      <c r="E4310">
        <v>212</v>
      </c>
      <c r="F4310">
        <v>52</v>
      </c>
      <c r="G4310">
        <v>5</v>
      </c>
      <c r="H4310">
        <v>1</v>
      </c>
      <c r="I4310">
        <v>212</v>
      </c>
      <c r="J4310">
        <v>1</v>
      </c>
      <c r="K4310">
        <v>46</v>
      </c>
      <c r="L4310">
        <v>252</v>
      </c>
      <c r="M4310">
        <v>1</v>
      </c>
      <c r="N4310">
        <v>7.0174100000000004E-93</v>
      </c>
      <c r="O4310">
        <v>865</v>
      </c>
    </row>
    <row r="4311" spans="1:15" x14ac:dyDescent="0.25">
      <c r="A4311" t="s">
        <v>4324</v>
      </c>
      <c r="B4311">
        <v>121</v>
      </c>
      <c r="C4311" s="1" t="str">
        <f>HYPERLINK("http://www.rosaceae.org/gb/gbrowse/malus_x_domestica/?name=MDP0000197825","MDP0000197825")</f>
        <v>MDP0000197825</v>
      </c>
      <c r="D4311">
        <v>39.020000000000003</v>
      </c>
      <c r="E4311">
        <v>123</v>
      </c>
      <c r="F4311">
        <v>75</v>
      </c>
      <c r="G4311">
        <v>6</v>
      </c>
      <c r="H4311">
        <v>1</v>
      </c>
      <c r="I4311">
        <v>119</v>
      </c>
      <c r="J4311">
        <v>1</v>
      </c>
      <c r="K4311">
        <v>1</v>
      </c>
      <c r="L4311">
        <v>121</v>
      </c>
      <c r="M4311">
        <v>1</v>
      </c>
      <c r="N4311">
        <v>1.7548E-15</v>
      </c>
      <c r="O4311">
        <v>191</v>
      </c>
    </row>
    <row r="4312" spans="1:15" x14ac:dyDescent="0.25">
      <c r="A4312" t="s">
        <v>4325</v>
      </c>
      <c r="B4312">
        <v>472</v>
      </c>
      <c r="C4312" s="1" t="str">
        <f>HYPERLINK("http://www.rosaceae.org/gb/gbrowse/malus_x_domestica/?name=MDP0000203813","MDP0000203813")</f>
        <v>MDP0000203813</v>
      </c>
      <c r="D4312">
        <v>70.84</v>
      </c>
      <c r="E4312">
        <v>487</v>
      </c>
      <c r="F4312">
        <v>142</v>
      </c>
      <c r="G4312">
        <v>27</v>
      </c>
      <c r="H4312">
        <v>1</v>
      </c>
      <c r="I4312">
        <v>469</v>
      </c>
      <c r="J4312">
        <v>1</v>
      </c>
      <c r="K4312">
        <v>6</v>
      </c>
      <c r="L4312">
        <v>483</v>
      </c>
      <c r="M4312">
        <v>1</v>
      </c>
      <c r="N4312">
        <v>0</v>
      </c>
      <c r="O4312">
        <v>1713</v>
      </c>
    </row>
    <row r="4313" spans="1:15" x14ac:dyDescent="0.25">
      <c r="A4313" t="s">
        <v>4326</v>
      </c>
      <c r="B4313">
        <v>232</v>
      </c>
      <c r="C4313" s="1" t="str">
        <f>HYPERLINK("http://www.rosaceae.org/gb/gbrowse/malus_x_domestica/?name=MDP0000878476","MDP0000878476")</f>
        <v>MDP0000878476</v>
      </c>
      <c r="D4313">
        <v>84.36</v>
      </c>
      <c r="E4313">
        <v>211</v>
      </c>
      <c r="F4313">
        <v>33</v>
      </c>
      <c r="G4313">
        <v>7</v>
      </c>
      <c r="H4313">
        <v>23</v>
      </c>
      <c r="I4313">
        <v>232</v>
      </c>
      <c r="J4313">
        <v>1</v>
      </c>
      <c r="K4313">
        <v>23</v>
      </c>
      <c r="L4313">
        <v>227</v>
      </c>
      <c r="M4313">
        <v>1</v>
      </c>
      <c r="N4313">
        <v>2.2177700000000002E-99</v>
      </c>
      <c r="O4313">
        <v>920</v>
      </c>
    </row>
    <row r="4314" spans="1:15" x14ac:dyDescent="0.25">
      <c r="A4314" t="s">
        <v>4327</v>
      </c>
      <c r="B4314">
        <v>483</v>
      </c>
      <c r="C4314" s="1" t="str">
        <f>HYPERLINK("http://www.rosaceae.org/gb/gbrowse/malus_x_domestica/?name=MDP0000133269","MDP0000133269")</f>
        <v>MDP0000133269</v>
      </c>
      <c r="D4314">
        <v>74.19</v>
      </c>
      <c r="E4314">
        <v>62</v>
      </c>
      <c r="F4314">
        <v>16</v>
      </c>
      <c r="G4314">
        <v>0</v>
      </c>
      <c r="H4314">
        <v>41</v>
      </c>
      <c r="I4314">
        <v>102</v>
      </c>
      <c r="J4314">
        <v>1</v>
      </c>
      <c r="K4314">
        <v>99</v>
      </c>
      <c r="L4314">
        <v>160</v>
      </c>
      <c r="M4314">
        <v>1</v>
      </c>
      <c r="N4314">
        <v>2.4943E-20</v>
      </c>
      <c r="O4314">
        <v>242</v>
      </c>
    </row>
    <row r="4315" spans="1:15" x14ac:dyDescent="0.25">
      <c r="A4315" t="s">
        <v>4328</v>
      </c>
      <c r="B4315">
        <v>529</v>
      </c>
      <c r="C4315" s="1" t="str">
        <f>HYPERLINK("http://www.rosaceae.org/gb/gbrowse/malus_x_domestica/?name=MDP0000248328","MDP0000248328")</f>
        <v>MDP0000248328</v>
      </c>
      <c r="D4315">
        <v>60.22</v>
      </c>
      <c r="E4315">
        <v>533</v>
      </c>
      <c r="F4315">
        <v>212</v>
      </c>
      <c r="G4315">
        <v>10</v>
      </c>
      <c r="H4315">
        <v>1</v>
      </c>
      <c r="I4315">
        <v>525</v>
      </c>
      <c r="J4315">
        <v>1</v>
      </c>
      <c r="K4315">
        <v>1</v>
      </c>
      <c r="L4315">
        <v>531</v>
      </c>
      <c r="M4315">
        <v>1</v>
      </c>
      <c r="N4315">
        <v>9.2457799999999995E-166</v>
      </c>
      <c r="O4315">
        <v>1496</v>
      </c>
    </row>
    <row r="4316" spans="1:15" x14ac:dyDescent="0.25">
      <c r="A4316" t="s">
        <v>4329</v>
      </c>
      <c r="B4316">
        <v>650</v>
      </c>
      <c r="C4316" s="1" t="str">
        <f>HYPERLINK("http://www.rosaceae.org/gb/gbrowse/malus_x_domestica/?name=MDP0000193734","MDP0000193734")</f>
        <v>MDP0000193734</v>
      </c>
      <c r="D4316">
        <v>60.22</v>
      </c>
      <c r="E4316">
        <v>714</v>
      </c>
      <c r="F4316">
        <v>284</v>
      </c>
      <c r="G4316">
        <v>70</v>
      </c>
      <c r="H4316">
        <v>4</v>
      </c>
      <c r="I4316">
        <v>650</v>
      </c>
      <c r="J4316">
        <v>1</v>
      </c>
      <c r="K4316">
        <v>7</v>
      </c>
      <c r="L4316">
        <v>717</v>
      </c>
      <c r="M4316">
        <v>1</v>
      </c>
      <c r="N4316">
        <v>0</v>
      </c>
      <c r="O4316">
        <v>2063</v>
      </c>
    </row>
    <row r="4317" spans="1:15" x14ac:dyDescent="0.25">
      <c r="A4317" t="s">
        <v>4330</v>
      </c>
      <c r="B4317">
        <v>216</v>
      </c>
      <c r="C4317" s="1" t="str">
        <f>HYPERLINK("http://www.rosaceae.org/gb/gbrowse/malus_x_domestica/?name=MDP0000120467","MDP0000120467")</f>
        <v>MDP0000120467</v>
      </c>
      <c r="D4317">
        <v>47.22</v>
      </c>
      <c r="E4317">
        <v>72</v>
      </c>
      <c r="F4317">
        <v>38</v>
      </c>
      <c r="G4317">
        <v>0</v>
      </c>
      <c r="H4317">
        <v>1</v>
      </c>
      <c r="I4317">
        <v>72</v>
      </c>
      <c r="J4317">
        <v>1</v>
      </c>
      <c r="K4317">
        <v>1</v>
      </c>
      <c r="L4317">
        <v>72</v>
      </c>
      <c r="M4317">
        <v>1</v>
      </c>
      <c r="N4317">
        <v>3.5367700000000002E-14</v>
      </c>
      <c r="O4317">
        <v>184</v>
      </c>
    </row>
    <row r="4318" spans="1:15" x14ac:dyDescent="0.25">
      <c r="A4318" t="s">
        <v>4331</v>
      </c>
      <c r="B4318">
        <v>545</v>
      </c>
      <c r="C4318" s="1" t="str">
        <f>HYPERLINK("http://www.rosaceae.org/gb/gbrowse/malus_x_domestica/?name=MDP0000157627","MDP0000157627")</f>
        <v>MDP0000157627</v>
      </c>
      <c r="D4318">
        <v>38.909999999999997</v>
      </c>
      <c r="E4318">
        <v>609</v>
      </c>
      <c r="F4318">
        <v>372</v>
      </c>
      <c r="G4318">
        <v>109</v>
      </c>
      <c r="H4318">
        <v>2</v>
      </c>
      <c r="I4318">
        <v>512</v>
      </c>
      <c r="J4318">
        <v>1</v>
      </c>
      <c r="K4318">
        <v>433</v>
      </c>
      <c r="L4318">
        <v>1030</v>
      </c>
      <c r="M4318">
        <v>1</v>
      </c>
      <c r="N4318">
        <v>2.0801400000000002E-87</v>
      </c>
      <c r="O4318">
        <v>821</v>
      </c>
    </row>
    <row r="4319" spans="1:15" x14ac:dyDescent="0.25">
      <c r="A4319" t="s">
        <v>4332</v>
      </c>
      <c r="B4319">
        <v>358</v>
      </c>
      <c r="C4319" s="1" t="str">
        <f>HYPERLINK("http://www.rosaceae.org/gb/gbrowse/malus_x_domestica/?name=MDP0000133792","MDP0000133792")</f>
        <v>MDP0000133792</v>
      </c>
      <c r="D4319">
        <v>43.58</v>
      </c>
      <c r="E4319">
        <v>234</v>
      </c>
      <c r="F4319">
        <v>132</v>
      </c>
      <c r="G4319">
        <v>11</v>
      </c>
      <c r="H4319">
        <v>6</v>
      </c>
      <c r="I4319">
        <v>239</v>
      </c>
      <c r="J4319">
        <v>1</v>
      </c>
      <c r="K4319">
        <v>22</v>
      </c>
      <c r="L4319">
        <v>244</v>
      </c>
      <c r="M4319">
        <v>1</v>
      </c>
      <c r="N4319">
        <v>3.4663500000000003E-48</v>
      </c>
      <c r="O4319">
        <v>480</v>
      </c>
    </row>
    <row r="4320" spans="1:15" x14ac:dyDescent="0.25">
      <c r="A4320" t="s">
        <v>4333</v>
      </c>
      <c r="B4320">
        <v>357</v>
      </c>
      <c r="C4320" s="1" t="str">
        <f>HYPERLINK("http://www.rosaceae.org/gb/gbrowse/malus_x_domestica/?name=MDP0000317408","MDP0000317408")</f>
        <v>MDP0000317408</v>
      </c>
      <c r="D4320">
        <v>71.790000000000006</v>
      </c>
      <c r="E4320">
        <v>195</v>
      </c>
      <c r="F4320">
        <v>55</v>
      </c>
      <c r="G4320">
        <v>23</v>
      </c>
      <c r="H4320">
        <v>163</v>
      </c>
      <c r="I4320">
        <v>357</v>
      </c>
      <c r="J4320">
        <v>1</v>
      </c>
      <c r="K4320">
        <v>389</v>
      </c>
      <c r="L4320">
        <v>560</v>
      </c>
      <c r="M4320">
        <v>1</v>
      </c>
      <c r="N4320">
        <v>3.1524100000000002E-74</v>
      </c>
      <c r="O4320">
        <v>705</v>
      </c>
    </row>
    <row r="4321" spans="1:15" x14ac:dyDescent="0.25">
      <c r="A4321" t="s">
        <v>4334</v>
      </c>
      <c r="B4321">
        <v>119</v>
      </c>
      <c r="C4321" s="1" t="str">
        <f>HYPERLINK("http://www.rosaceae.org/gb/gbrowse/malus_x_domestica/?name=MDP0000258743","MDP0000258743")</f>
        <v>MDP0000258743</v>
      </c>
      <c r="D4321">
        <v>75.67</v>
      </c>
      <c r="E4321">
        <v>37</v>
      </c>
      <c r="F4321">
        <v>9</v>
      </c>
      <c r="G4321">
        <v>0</v>
      </c>
      <c r="H4321">
        <v>1</v>
      </c>
      <c r="I4321">
        <v>37</v>
      </c>
      <c r="J4321">
        <v>1</v>
      </c>
      <c r="K4321">
        <v>124</v>
      </c>
      <c r="L4321">
        <v>160</v>
      </c>
      <c r="M4321">
        <v>1</v>
      </c>
      <c r="N4321">
        <v>2.0032799999999998E-11</v>
      </c>
      <c r="O4321">
        <v>156</v>
      </c>
    </row>
    <row r="4322" spans="1:15" x14ac:dyDescent="0.25">
      <c r="A4322" t="s">
        <v>4335</v>
      </c>
      <c r="B4322">
        <v>377</v>
      </c>
      <c r="C4322" s="1" t="str">
        <f>HYPERLINK("http://www.rosaceae.org/gb/gbrowse/malus_x_domestica/?name=MDP0000139529","MDP0000139529")</f>
        <v>MDP0000139529</v>
      </c>
      <c r="D4322">
        <v>60.36</v>
      </c>
      <c r="E4322">
        <v>381</v>
      </c>
      <c r="F4322">
        <v>151</v>
      </c>
      <c r="G4322">
        <v>15</v>
      </c>
      <c r="H4322">
        <v>2</v>
      </c>
      <c r="I4322">
        <v>370</v>
      </c>
      <c r="J4322">
        <v>1</v>
      </c>
      <c r="K4322">
        <v>3</v>
      </c>
      <c r="L4322">
        <v>380</v>
      </c>
      <c r="M4322">
        <v>1</v>
      </c>
      <c r="N4322">
        <v>5.0592E-116</v>
      </c>
      <c r="O4322">
        <v>1066</v>
      </c>
    </row>
    <row r="4323" spans="1:15" x14ac:dyDescent="0.25">
      <c r="A4323" t="s">
        <v>4336</v>
      </c>
      <c r="B4323">
        <v>222</v>
      </c>
      <c r="C4323" s="1" t="str">
        <f>HYPERLINK("http://www.rosaceae.org/gb/gbrowse/malus_x_domestica/?name=MDP0000923120","MDP0000923120")</f>
        <v>MDP0000923120</v>
      </c>
      <c r="D4323">
        <v>38.17</v>
      </c>
      <c r="E4323">
        <v>186</v>
      </c>
      <c r="F4323">
        <v>115</v>
      </c>
      <c r="G4323">
        <v>24</v>
      </c>
      <c r="H4323">
        <v>25</v>
      </c>
      <c r="I4323">
        <v>191</v>
      </c>
      <c r="J4323">
        <v>1</v>
      </c>
      <c r="K4323">
        <v>26</v>
      </c>
      <c r="L4323">
        <v>206</v>
      </c>
      <c r="M4323">
        <v>1</v>
      </c>
      <c r="N4323">
        <v>2.1872299999999998E-19</v>
      </c>
      <c r="O4323">
        <v>229</v>
      </c>
    </row>
    <row r="4324" spans="1:15" x14ac:dyDescent="0.25">
      <c r="A4324" t="s">
        <v>4337</v>
      </c>
      <c r="B4324">
        <v>569</v>
      </c>
      <c r="C4324" s="1" t="str">
        <f>HYPERLINK("http://www.rosaceae.org/gb/gbrowse/malus_x_domestica/?name=MDP0000120885","MDP0000120885")</f>
        <v>MDP0000120885</v>
      </c>
      <c r="D4324">
        <v>50.71</v>
      </c>
      <c r="E4324">
        <v>491</v>
      </c>
      <c r="F4324">
        <v>242</v>
      </c>
      <c r="G4324">
        <v>35</v>
      </c>
      <c r="H4324">
        <v>55</v>
      </c>
      <c r="I4324">
        <v>521</v>
      </c>
      <c r="J4324">
        <v>1</v>
      </c>
      <c r="K4324">
        <v>47</v>
      </c>
      <c r="L4324">
        <v>526</v>
      </c>
      <c r="M4324">
        <v>1</v>
      </c>
      <c r="N4324">
        <v>3.7558500000000002E-141</v>
      </c>
      <c r="O4324">
        <v>1284</v>
      </c>
    </row>
    <row r="4325" spans="1:15" x14ac:dyDescent="0.25">
      <c r="A4325" t="s">
        <v>4338</v>
      </c>
      <c r="B4325">
        <v>791</v>
      </c>
      <c r="C4325" s="1" t="str">
        <f>HYPERLINK("http://www.rosaceae.org/gb/gbrowse/malus_x_domestica/?name=MDP0000210434","MDP0000210434")</f>
        <v>MDP0000210434</v>
      </c>
      <c r="D4325">
        <v>75.64</v>
      </c>
      <c r="E4325">
        <v>809</v>
      </c>
      <c r="F4325">
        <v>197</v>
      </c>
      <c r="G4325">
        <v>56</v>
      </c>
      <c r="H4325">
        <v>1</v>
      </c>
      <c r="I4325">
        <v>759</v>
      </c>
      <c r="J4325">
        <v>1</v>
      </c>
      <c r="K4325">
        <v>1</v>
      </c>
      <c r="L4325">
        <v>803</v>
      </c>
      <c r="M4325">
        <v>1</v>
      </c>
      <c r="N4325">
        <v>0</v>
      </c>
      <c r="O4325">
        <v>3107</v>
      </c>
    </row>
    <row r="4326" spans="1:15" x14ac:dyDescent="0.25">
      <c r="A4326" t="s">
        <v>4339</v>
      </c>
      <c r="B4326">
        <v>311</v>
      </c>
      <c r="C4326" s="1" t="str">
        <f>HYPERLINK("http://www.rosaceae.org/gb/gbrowse/malus_x_domestica/?name=MDP0000188297","MDP0000188297")</f>
        <v>MDP0000188297</v>
      </c>
      <c r="D4326">
        <v>63.63</v>
      </c>
      <c r="E4326">
        <v>363</v>
      </c>
      <c r="F4326">
        <v>132</v>
      </c>
      <c r="G4326">
        <v>53</v>
      </c>
      <c r="H4326">
        <v>2</v>
      </c>
      <c r="I4326">
        <v>311</v>
      </c>
      <c r="J4326">
        <v>1</v>
      </c>
      <c r="K4326">
        <v>76</v>
      </c>
      <c r="L4326">
        <v>438</v>
      </c>
      <c r="M4326">
        <v>1</v>
      </c>
      <c r="N4326">
        <v>7.4399099999999998E-131</v>
      </c>
      <c r="O4326">
        <v>1193</v>
      </c>
    </row>
    <row r="4327" spans="1:15" x14ac:dyDescent="0.25">
      <c r="A4327" t="s">
        <v>4340</v>
      </c>
      <c r="B4327">
        <v>1192</v>
      </c>
      <c r="C4327" s="1" t="str">
        <f>HYPERLINK("http://www.rosaceae.org/gb/gbrowse/malus_x_domestica/?name=MDP0000247868","MDP0000247868")</f>
        <v>MDP0000247868</v>
      </c>
      <c r="D4327">
        <v>72.599999999999994</v>
      </c>
      <c r="E4327">
        <v>1084</v>
      </c>
      <c r="F4327">
        <v>297</v>
      </c>
      <c r="G4327">
        <v>76</v>
      </c>
      <c r="H4327">
        <v>185</v>
      </c>
      <c r="I4327">
        <v>1192</v>
      </c>
      <c r="J4327">
        <v>1</v>
      </c>
      <c r="K4327">
        <v>412</v>
      </c>
      <c r="L4327">
        <v>1495</v>
      </c>
      <c r="M4327">
        <v>1</v>
      </c>
      <c r="N4327">
        <v>0</v>
      </c>
      <c r="O4327">
        <v>4111</v>
      </c>
    </row>
    <row r="4328" spans="1:15" x14ac:dyDescent="0.25">
      <c r="A4328" t="s">
        <v>4341</v>
      </c>
      <c r="B4328">
        <v>527</v>
      </c>
      <c r="C4328" s="1" t="str">
        <f>HYPERLINK("http://www.rosaceae.org/gb/gbrowse/malus_x_domestica/?name=MDP0000252789","MDP0000252789")</f>
        <v>MDP0000252789</v>
      </c>
      <c r="D4328">
        <v>37.64</v>
      </c>
      <c r="E4328">
        <v>340</v>
      </c>
      <c r="F4328">
        <v>212</v>
      </c>
      <c r="G4328">
        <v>15</v>
      </c>
      <c r="H4328">
        <v>2</v>
      </c>
      <c r="I4328">
        <v>330</v>
      </c>
      <c r="J4328">
        <v>1</v>
      </c>
      <c r="K4328">
        <v>1</v>
      </c>
      <c r="L4328">
        <v>336</v>
      </c>
      <c r="M4328">
        <v>1</v>
      </c>
      <c r="N4328">
        <v>3.2213400000000002E-45</v>
      </c>
      <c r="O4328">
        <v>457</v>
      </c>
    </row>
    <row r="4329" spans="1:15" x14ac:dyDescent="0.25">
      <c r="A4329" t="s">
        <v>4342</v>
      </c>
      <c r="B4329">
        <v>576</v>
      </c>
      <c r="C4329" s="1" t="str">
        <f>HYPERLINK("http://www.rosaceae.org/gb/gbrowse/malus_x_domestica/?name=MDP0000287232","MDP0000287232")</f>
        <v>MDP0000287232</v>
      </c>
      <c r="D4329">
        <v>41.27</v>
      </c>
      <c r="E4329">
        <v>235</v>
      </c>
      <c r="F4329">
        <v>138</v>
      </c>
      <c r="G4329">
        <v>48</v>
      </c>
      <c r="H4329">
        <v>22</v>
      </c>
      <c r="I4329">
        <v>244</v>
      </c>
      <c r="J4329">
        <v>1</v>
      </c>
      <c r="K4329">
        <v>22</v>
      </c>
      <c r="L4329">
        <v>220</v>
      </c>
      <c r="M4329">
        <v>1</v>
      </c>
      <c r="N4329">
        <v>2.7450099999999998E-37</v>
      </c>
      <c r="O4329">
        <v>389</v>
      </c>
    </row>
    <row r="4330" spans="1:15" x14ac:dyDescent="0.25">
      <c r="A4330" t="s">
        <v>4343</v>
      </c>
      <c r="B4330">
        <v>65</v>
      </c>
      <c r="C4330" s="1" t="str">
        <f>HYPERLINK("http://www.rosaceae.org/gb/gbrowse/malus_x_domestica/?name=MDP0000470590","MDP0000470590")</f>
        <v>MDP0000470590</v>
      </c>
      <c r="D4330">
        <v>69.44</v>
      </c>
      <c r="E4330">
        <v>36</v>
      </c>
      <c r="F4330">
        <v>11</v>
      </c>
      <c r="G4330">
        <v>0</v>
      </c>
      <c r="H4330">
        <v>22</v>
      </c>
      <c r="I4330">
        <v>57</v>
      </c>
      <c r="J4330">
        <v>1</v>
      </c>
      <c r="K4330">
        <v>25</v>
      </c>
      <c r="L4330">
        <v>60</v>
      </c>
      <c r="M4330">
        <v>1</v>
      </c>
      <c r="N4330">
        <v>2.8057800000000001E-10</v>
      </c>
      <c r="O4330">
        <v>146</v>
      </c>
    </row>
    <row r="4331" spans="1:15" x14ac:dyDescent="0.25">
      <c r="A4331" t="s">
        <v>4344</v>
      </c>
      <c r="B4331">
        <v>143</v>
      </c>
      <c r="C4331" s="1" t="str">
        <f>HYPERLINK("http://www.rosaceae.org/gb/gbrowse/malus_x_domestica/?name=MDP0000299726","MDP0000299726")</f>
        <v>MDP0000299726</v>
      </c>
      <c r="D4331">
        <v>38.880000000000003</v>
      </c>
      <c r="E4331">
        <v>144</v>
      </c>
      <c r="F4331">
        <v>88</v>
      </c>
      <c r="G4331">
        <v>18</v>
      </c>
      <c r="H4331">
        <v>3</v>
      </c>
      <c r="I4331">
        <v>130</v>
      </c>
      <c r="J4331">
        <v>1</v>
      </c>
      <c r="K4331">
        <v>486</v>
      </c>
      <c r="L4331">
        <v>627</v>
      </c>
      <c r="M4331">
        <v>1</v>
      </c>
      <c r="N4331">
        <v>4.8347700000000002E-21</v>
      </c>
      <c r="O4331">
        <v>240</v>
      </c>
    </row>
    <row r="4332" spans="1:15" x14ac:dyDescent="0.25">
      <c r="A4332" t="s">
        <v>4345</v>
      </c>
      <c r="B4332">
        <v>1133</v>
      </c>
      <c r="C4332" s="1" t="str">
        <f>HYPERLINK("http://www.rosaceae.org/gb/gbrowse/malus_x_domestica/?name=MDP0000128560","MDP0000128560")</f>
        <v>MDP0000128560</v>
      </c>
      <c r="D4332">
        <v>44.65</v>
      </c>
      <c r="E4332">
        <v>1178</v>
      </c>
      <c r="F4332">
        <v>652</v>
      </c>
      <c r="G4332">
        <v>107</v>
      </c>
      <c r="H4332">
        <v>20</v>
      </c>
      <c r="I4332">
        <v>1121</v>
      </c>
      <c r="J4332">
        <v>1</v>
      </c>
      <c r="K4332">
        <v>19</v>
      </c>
      <c r="L4332">
        <v>1165</v>
      </c>
      <c r="M4332">
        <v>1</v>
      </c>
      <c r="N4332">
        <v>0</v>
      </c>
      <c r="O4332">
        <v>2300</v>
      </c>
    </row>
    <row r="4333" spans="1:15" x14ac:dyDescent="0.25">
      <c r="A4333" t="s">
        <v>4346</v>
      </c>
      <c r="B4333">
        <v>447</v>
      </c>
      <c r="C4333" s="1" t="str">
        <f>HYPERLINK("http://www.rosaceae.org/gb/gbrowse/malus_x_domestica/?name=MDP0000624481","MDP0000624481")</f>
        <v>MDP0000624481</v>
      </c>
      <c r="D4333">
        <v>71.56</v>
      </c>
      <c r="E4333">
        <v>102</v>
      </c>
      <c r="F4333">
        <v>29</v>
      </c>
      <c r="G4333">
        <v>4</v>
      </c>
      <c r="H4333">
        <v>345</v>
      </c>
      <c r="I4333">
        <v>446</v>
      </c>
      <c r="J4333">
        <v>1</v>
      </c>
      <c r="K4333">
        <v>51</v>
      </c>
      <c r="L4333">
        <v>148</v>
      </c>
      <c r="M4333">
        <v>1</v>
      </c>
      <c r="N4333">
        <v>6.6937600000000004E-38</v>
      </c>
      <c r="O4333">
        <v>393</v>
      </c>
    </row>
    <row r="4334" spans="1:15" x14ac:dyDescent="0.25">
      <c r="A4334" t="s">
        <v>4347</v>
      </c>
      <c r="B4334">
        <v>533</v>
      </c>
      <c r="C4334" s="1" t="str">
        <f>HYPERLINK("http://www.rosaceae.org/gb/gbrowse/malus_x_domestica/?name=MDP0000218729","MDP0000218729")</f>
        <v>MDP0000218729</v>
      </c>
      <c r="D4334">
        <v>89.5</v>
      </c>
      <c r="E4334">
        <v>543</v>
      </c>
      <c r="F4334">
        <v>57</v>
      </c>
      <c r="G4334">
        <v>10</v>
      </c>
      <c r="H4334">
        <v>1</v>
      </c>
      <c r="I4334">
        <v>533</v>
      </c>
      <c r="J4334">
        <v>1</v>
      </c>
      <c r="K4334">
        <v>123</v>
      </c>
      <c r="L4334">
        <v>665</v>
      </c>
      <c r="M4334">
        <v>1</v>
      </c>
      <c r="N4334">
        <v>0</v>
      </c>
      <c r="O4334">
        <v>2584</v>
      </c>
    </row>
    <row r="4335" spans="1:15" x14ac:dyDescent="0.25">
      <c r="A4335" t="s">
        <v>4348</v>
      </c>
      <c r="B4335">
        <v>918</v>
      </c>
      <c r="C4335" s="1" t="str">
        <f>HYPERLINK("http://www.rosaceae.org/gb/gbrowse/malus_x_domestica/?name=MDP0000507277","MDP0000507277")</f>
        <v>MDP0000507277</v>
      </c>
      <c r="D4335">
        <v>41.89</v>
      </c>
      <c r="E4335">
        <v>327</v>
      </c>
      <c r="F4335">
        <v>190</v>
      </c>
      <c r="G4335">
        <v>6</v>
      </c>
      <c r="H4335">
        <v>7</v>
      </c>
      <c r="I4335">
        <v>328</v>
      </c>
      <c r="J4335">
        <v>1</v>
      </c>
      <c r="K4335">
        <v>25</v>
      </c>
      <c r="L4335">
        <v>350</v>
      </c>
      <c r="M4335">
        <v>1</v>
      </c>
      <c r="N4335">
        <v>2.77931E-64</v>
      </c>
      <c r="O4335">
        <v>623</v>
      </c>
    </row>
    <row r="4336" spans="1:15" x14ac:dyDescent="0.25">
      <c r="A4336" t="s">
        <v>4349</v>
      </c>
      <c r="B4336">
        <v>645</v>
      </c>
      <c r="C4336" s="1" t="str">
        <f>HYPERLINK("http://www.rosaceae.org/gb/gbrowse/malus_x_domestica/?name=MDP0000488588","MDP0000488588")</f>
        <v>MDP0000488588</v>
      </c>
      <c r="D4336">
        <v>61.38</v>
      </c>
      <c r="E4336">
        <v>593</v>
      </c>
      <c r="F4336">
        <v>229</v>
      </c>
      <c r="G4336">
        <v>52</v>
      </c>
      <c r="H4336">
        <v>101</v>
      </c>
      <c r="I4336">
        <v>643</v>
      </c>
      <c r="J4336">
        <v>1</v>
      </c>
      <c r="K4336">
        <v>127</v>
      </c>
      <c r="L4336">
        <v>717</v>
      </c>
      <c r="M4336">
        <v>1</v>
      </c>
      <c r="N4336">
        <v>0</v>
      </c>
      <c r="O4336">
        <v>1669</v>
      </c>
    </row>
    <row r="4337" spans="1:15" x14ac:dyDescent="0.25">
      <c r="A4337" t="s">
        <v>4350</v>
      </c>
      <c r="B4337">
        <v>457</v>
      </c>
      <c r="C4337" s="1" t="str">
        <f>HYPERLINK("http://www.rosaceae.org/gb/gbrowse/malus_x_domestica/?name=MDP0000145289","MDP0000145289")</f>
        <v>MDP0000145289</v>
      </c>
      <c r="D4337">
        <v>81.739999999999995</v>
      </c>
      <c r="E4337">
        <v>356</v>
      </c>
      <c r="F4337">
        <v>65</v>
      </c>
      <c r="G4337">
        <v>4</v>
      </c>
      <c r="H4337">
        <v>1</v>
      </c>
      <c r="I4337">
        <v>353</v>
      </c>
      <c r="J4337">
        <v>1</v>
      </c>
      <c r="K4337">
        <v>4</v>
      </c>
      <c r="L4337">
        <v>358</v>
      </c>
      <c r="M4337">
        <v>1</v>
      </c>
      <c r="N4337">
        <v>2.5588300000000001E-174</v>
      </c>
      <c r="O4337">
        <v>1569</v>
      </c>
    </row>
    <row r="4338" spans="1:15" x14ac:dyDescent="0.25">
      <c r="A4338" t="s">
        <v>4351</v>
      </c>
      <c r="B4338">
        <v>269</v>
      </c>
      <c r="C4338" s="1" t="str">
        <f>HYPERLINK("http://www.rosaceae.org/gb/gbrowse/malus_x_domestica/?name=MDP0000134838","MDP0000134838")</f>
        <v>MDP0000134838</v>
      </c>
      <c r="D4338">
        <v>86.61</v>
      </c>
      <c r="E4338">
        <v>269</v>
      </c>
      <c r="F4338">
        <v>36</v>
      </c>
      <c r="G4338">
        <v>0</v>
      </c>
      <c r="H4338">
        <v>1</v>
      </c>
      <c r="I4338">
        <v>269</v>
      </c>
      <c r="J4338">
        <v>1</v>
      </c>
      <c r="K4338">
        <v>1</v>
      </c>
      <c r="L4338">
        <v>269</v>
      </c>
      <c r="M4338">
        <v>1</v>
      </c>
      <c r="N4338">
        <v>3.4836999999999998E-133</v>
      </c>
      <c r="O4338">
        <v>1212</v>
      </c>
    </row>
    <row r="4339" spans="1:15" x14ac:dyDescent="0.25">
      <c r="A4339" t="s">
        <v>4352</v>
      </c>
      <c r="B4339">
        <v>332</v>
      </c>
      <c r="C4339" s="1" t="str">
        <f>HYPERLINK("http://www.rosaceae.org/gb/gbrowse/malus_x_domestica/?name=MDP0000195025","MDP0000195025")</f>
        <v>MDP0000195025</v>
      </c>
      <c r="D4339">
        <v>29.95</v>
      </c>
      <c r="E4339">
        <v>444</v>
      </c>
      <c r="F4339">
        <v>311</v>
      </c>
      <c r="G4339">
        <v>139</v>
      </c>
      <c r="H4339">
        <v>9</v>
      </c>
      <c r="I4339">
        <v>318</v>
      </c>
      <c r="J4339">
        <v>1</v>
      </c>
      <c r="K4339">
        <v>22</v>
      </c>
      <c r="L4339">
        <v>460</v>
      </c>
      <c r="M4339">
        <v>1</v>
      </c>
      <c r="N4339">
        <v>1.5357199999999999E-35</v>
      </c>
      <c r="O4339">
        <v>371</v>
      </c>
    </row>
    <row r="4340" spans="1:15" x14ac:dyDescent="0.25">
      <c r="A4340" t="s">
        <v>4353</v>
      </c>
      <c r="B4340">
        <v>44</v>
      </c>
      <c r="C4340" s="1" t="str">
        <f>HYPERLINK("http://www.rosaceae.org/gb/gbrowse/malus_x_domestica/?name=MDP0000855206","MDP0000855206")</f>
        <v>MDP0000855206</v>
      </c>
      <c r="D4340">
        <v>96.96</v>
      </c>
      <c r="E4340">
        <v>33</v>
      </c>
      <c r="F4340">
        <v>1</v>
      </c>
      <c r="G4340">
        <v>0</v>
      </c>
      <c r="H4340">
        <v>1</v>
      </c>
      <c r="I4340">
        <v>33</v>
      </c>
      <c r="J4340">
        <v>1</v>
      </c>
      <c r="K4340">
        <v>100</v>
      </c>
      <c r="L4340">
        <v>132</v>
      </c>
      <c r="M4340">
        <v>1</v>
      </c>
      <c r="N4340">
        <v>5.2292599999999999E-13</v>
      </c>
      <c r="O4340">
        <v>170</v>
      </c>
    </row>
    <row r="4341" spans="1:15" x14ac:dyDescent="0.25">
      <c r="A4341" t="s">
        <v>4354</v>
      </c>
      <c r="B4341">
        <v>223</v>
      </c>
      <c r="C4341" s="1" t="str">
        <f>HYPERLINK("http://www.rosaceae.org/gb/gbrowse/malus_x_domestica/?name=MDP0000339766","MDP0000339766")</f>
        <v>MDP0000339766</v>
      </c>
      <c r="D4341">
        <v>85.77</v>
      </c>
      <c r="E4341">
        <v>225</v>
      </c>
      <c r="F4341">
        <v>32</v>
      </c>
      <c r="G4341">
        <v>2</v>
      </c>
      <c r="H4341">
        <v>1</v>
      </c>
      <c r="I4341">
        <v>223</v>
      </c>
      <c r="J4341">
        <v>1</v>
      </c>
      <c r="K4341">
        <v>97</v>
      </c>
      <c r="L4341">
        <v>321</v>
      </c>
      <c r="M4341">
        <v>1</v>
      </c>
      <c r="N4341">
        <v>7.8415499999999995E-104</v>
      </c>
      <c r="O4341">
        <v>958</v>
      </c>
    </row>
    <row r="4342" spans="1:15" x14ac:dyDescent="0.25">
      <c r="A4342" t="s">
        <v>4355</v>
      </c>
      <c r="B4342">
        <v>969</v>
      </c>
      <c r="C4342" s="1" t="str">
        <f>HYPERLINK("http://www.rosaceae.org/gb/gbrowse/malus_x_domestica/?name=MDP0000322245","MDP0000322245")</f>
        <v>MDP0000322245</v>
      </c>
      <c r="D4342">
        <v>85.11</v>
      </c>
      <c r="E4342">
        <v>524</v>
      </c>
      <c r="F4342">
        <v>78</v>
      </c>
      <c r="G4342">
        <v>2</v>
      </c>
      <c r="H4342">
        <v>1</v>
      </c>
      <c r="I4342">
        <v>524</v>
      </c>
      <c r="J4342">
        <v>1</v>
      </c>
      <c r="K4342">
        <v>1</v>
      </c>
      <c r="L4342">
        <v>522</v>
      </c>
      <c r="M4342">
        <v>1</v>
      </c>
      <c r="N4342">
        <v>0</v>
      </c>
      <c r="O4342">
        <v>2344</v>
      </c>
    </row>
    <row r="4343" spans="1:15" x14ac:dyDescent="0.25">
      <c r="A4343" t="s">
        <v>4356</v>
      </c>
      <c r="B4343">
        <v>183</v>
      </c>
      <c r="C4343" s="1" t="str">
        <f>HYPERLINK("http://www.rosaceae.org/gb/gbrowse/malus_x_domestica/?name=MDP0000638634","MDP0000638634")</f>
        <v>MDP0000638634</v>
      </c>
      <c r="D4343">
        <v>36.06</v>
      </c>
      <c r="E4343">
        <v>183</v>
      </c>
      <c r="F4343">
        <v>117</v>
      </c>
      <c r="G4343">
        <v>15</v>
      </c>
      <c r="H4343">
        <v>2</v>
      </c>
      <c r="I4343">
        <v>181</v>
      </c>
      <c r="J4343">
        <v>1</v>
      </c>
      <c r="K4343">
        <v>34</v>
      </c>
      <c r="L4343">
        <v>204</v>
      </c>
      <c r="M4343">
        <v>1</v>
      </c>
      <c r="N4343">
        <v>2.59242E-20</v>
      </c>
      <c r="O4343">
        <v>236</v>
      </c>
    </row>
    <row r="4344" spans="1:15" x14ac:dyDescent="0.25">
      <c r="A4344" t="s">
        <v>4357</v>
      </c>
      <c r="B4344">
        <v>149</v>
      </c>
      <c r="C4344" s="1" t="str">
        <f>HYPERLINK("http://www.rosaceae.org/gb/gbrowse/malus_x_domestica/?name=MDP0000147542","MDP0000147542")</f>
        <v>MDP0000147542</v>
      </c>
      <c r="D4344">
        <v>92.85</v>
      </c>
      <c r="E4344">
        <v>84</v>
      </c>
      <c r="F4344">
        <v>6</v>
      </c>
      <c r="G4344">
        <v>0</v>
      </c>
      <c r="H4344">
        <v>35</v>
      </c>
      <c r="I4344">
        <v>118</v>
      </c>
      <c r="J4344">
        <v>1</v>
      </c>
      <c r="K4344">
        <v>150</v>
      </c>
      <c r="L4344">
        <v>233</v>
      </c>
      <c r="M4344">
        <v>1</v>
      </c>
      <c r="N4344">
        <v>4.7269999999999997E-41</v>
      </c>
      <c r="O4344">
        <v>413</v>
      </c>
    </row>
    <row r="4345" spans="1:15" x14ac:dyDescent="0.25">
      <c r="A4345" t="s">
        <v>4358</v>
      </c>
      <c r="B4345">
        <v>421</v>
      </c>
      <c r="C4345" s="1" t="str">
        <f>HYPERLINK("http://www.rosaceae.org/gb/gbrowse/malus_x_domestica/?name=MDP0000380530","MDP0000380530")</f>
        <v>MDP0000380530</v>
      </c>
      <c r="D4345">
        <v>85.07</v>
      </c>
      <c r="E4345">
        <v>355</v>
      </c>
      <c r="F4345">
        <v>53</v>
      </c>
      <c r="G4345">
        <v>0</v>
      </c>
      <c r="H4345">
        <v>61</v>
      </c>
      <c r="I4345">
        <v>415</v>
      </c>
      <c r="J4345">
        <v>1</v>
      </c>
      <c r="K4345">
        <v>63</v>
      </c>
      <c r="L4345">
        <v>417</v>
      </c>
      <c r="M4345">
        <v>1</v>
      </c>
      <c r="N4345">
        <v>5.3644699999999997E-177</v>
      </c>
      <c r="O4345">
        <v>1592</v>
      </c>
    </row>
    <row r="4346" spans="1:15" x14ac:dyDescent="0.25">
      <c r="A4346" t="s">
        <v>4359</v>
      </c>
      <c r="B4346">
        <v>170</v>
      </c>
      <c r="C4346" s="1" t="str">
        <f>HYPERLINK("http://www.rosaceae.org/gb/gbrowse/malus_x_domestica/?name=MDP0000848959","MDP0000848959")</f>
        <v>MDP0000848959</v>
      </c>
      <c r="D4346">
        <v>83.13</v>
      </c>
      <c r="E4346">
        <v>172</v>
      </c>
      <c r="F4346">
        <v>29</v>
      </c>
      <c r="G4346">
        <v>2</v>
      </c>
      <c r="H4346">
        <v>1</v>
      </c>
      <c r="I4346">
        <v>170</v>
      </c>
      <c r="J4346">
        <v>1</v>
      </c>
      <c r="K4346">
        <v>1</v>
      </c>
      <c r="L4346">
        <v>172</v>
      </c>
      <c r="M4346">
        <v>1</v>
      </c>
      <c r="N4346">
        <v>6.6207199999999998E-79</v>
      </c>
      <c r="O4346">
        <v>741</v>
      </c>
    </row>
    <row r="4347" spans="1:15" x14ac:dyDescent="0.25">
      <c r="A4347" t="s">
        <v>4360</v>
      </c>
      <c r="B4347">
        <v>515</v>
      </c>
      <c r="C4347" s="1" t="str">
        <f>HYPERLINK("http://www.rosaceae.org/gb/gbrowse/malus_x_domestica/?name=MDP0000251002","MDP0000251002")</f>
        <v>MDP0000251002</v>
      </c>
      <c r="D4347">
        <v>57.55</v>
      </c>
      <c r="E4347">
        <v>417</v>
      </c>
      <c r="F4347">
        <v>177</v>
      </c>
      <c r="G4347">
        <v>2</v>
      </c>
      <c r="H4347">
        <v>20</v>
      </c>
      <c r="I4347">
        <v>436</v>
      </c>
      <c r="J4347">
        <v>1</v>
      </c>
      <c r="K4347">
        <v>282</v>
      </c>
      <c r="L4347">
        <v>696</v>
      </c>
      <c r="M4347">
        <v>1</v>
      </c>
      <c r="N4347">
        <v>1.6964800000000001E-142</v>
      </c>
      <c r="O4347">
        <v>1295</v>
      </c>
    </row>
    <row r="4348" spans="1:15" x14ac:dyDescent="0.25">
      <c r="A4348" t="s">
        <v>4361</v>
      </c>
      <c r="B4348">
        <v>169</v>
      </c>
      <c r="C4348" s="1" t="str">
        <f>HYPERLINK("http://www.rosaceae.org/gb/gbrowse/malus_x_domestica/?name=MDP0000851342","MDP0000851342")</f>
        <v>MDP0000851342</v>
      </c>
      <c r="D4348">
        <v>50.28</v>
      </c>
      <c r="E4348">
        <v>173</v>
      </c>
      <c r="F4348">
        <v>86</v>
      </c>
      <c r="G4348">
        <v>16</v>
      </c>
      <c r="H4348">
        <v>1</v>
      </c>
      <c r="I4348">
        <v>169</v>
      </c>
      <c r="J4348">
        <v>1</v>
      </c>
      <c r="K4348">
        <v>1</v>
      </c>
      <c r="L4348">
        <v>161</v>
      </c>
      <c r="M4348">
        <v>1</v>
      </c>
      <c r="N4348">
        <v>2.3118299999999999E-35</v>
      </c>
      <c r="O4348">
        <v>365</v>
      </c>
    </row>
    <row r="4349" spans="1:15" x14ac:dyDescent="0.25">
      <c r="A4349" t="s">
        <v>4362</v>
      </c>
      <c r="B4349">
        <v>509</v>
      </c>
      <c r="C4349" s="1" t="str">
        <f>HYPERLINK("http://www.rosaceae.org/gb/gbrowse/malus_x_domestica/?name=MDP0000832263","MDP0000832263")</f>
        <v>MDP0000832263</v>
      </c>
      <c r="D4349">
        <v>65.31</v>
      </c>
      <c r="E4349">
        <v>418</v>
      </c>
      <c r="F4349">
        <v>145</v>
      </c>
      <c r="G4349">
        <v>10</v>
      </c>
      <c r="H4349">
        <v>4</v>
      </c>
      <c r="I4349">
        <v>419</v>
      </c>
      <c r="J4349">
        <v>1</v>
      </c>
      <c r="K4349">
        <v>5</v>
      </c>
      <c r="L4349">
        <v>414</v>
      </c>
      <c r="M4349">
        <v>1</v>
      </c>
      <c r="N4349">
        <v>6.1164400000000001E-157</v>
      </c>
      <c r="O4349">
        <v>1420</v>
      </c>
    </row>
    <row r="4350" spans="1:15" x14ac:dyDescent="0.25">
      <c r="A4350" t="s">
        <v>4363</v>
      </c>
      <c r="B4350">
        <v>159</v>
      </c>
      <c r="C4350" s="1" t="str">
        <f>HYPERLINK("http://www.rosaceae.org/gb/gbrowse/malus_x_domestica/?name=MDP0000295540","MDP0000295540")</f>
        <v>MDP0000295540</v>
      </c>
      <c r="D4350">
        <v>82.38</v>
      </c>
      <c r="E4350">
        <v>159</v>
      </c>
      <c r="F4350">
        <v>28</v>
      </c>
      <c r="G4350">
        <v>0</v>
      </c>
      <c r="H4350">
        <v>1</v>
      </c>
      <c r="I4350">
        <v>159</v>
      </c>
      <c r="J4350">
        <v>1</v>
      </c>
      <c r="K4350">
        <v>1</v>
      </c>
      <c r="L4350">
        <v>159</v>
      </c>
      <c r="M4350">
        <v>1</v>
      </c>
      <c r="N4350">
        <v>2.6725600000000002E-72</v>
      </c>
      <c r="O4350">
        <v>683</v>
      </c>
    </row>
    <row r="4351" spans="1:15" x14ac:dyDescent="0.25">
      <c r="A4351" t="s">
        <v>4364</v>
      </c>
      <c r="B4351">
        <v>113</v>
      </c>
      <c r="C4351" s="1" t="str">
        <f>HYPERLINK("http://www.rosaceae.org/gb/gbrowse/malus_x_domestica/?name=MDP0000153224","MDP0000153224")</f>
        <v>MDP0000153224</v>
      </c>
      <c r="D4351">
        <v>96</v>
      </c>
      <c r="E4351">
        <v>25</v>
      </c>
      <c r="F4351">
        <v>1</v>
      </c>
      <c r="G4351">
        <v>0</v>
      </c>
      <c r="H4351">
        <v>84</v>
      </c>
      <c r="I4351">
        <v>108</v>
      </c>
      <c r="J4351">
        <v>1</v>
      </c>
      <c r="K4351">
        <v>502</v>
      </c>
      <c r="L4351">
        <v>526</v>
      </c>
      <c r="M4351">
        <v>1</v>
      </c>
      <c r="N4351">
        <v>2.8565900000000002E-10</v>
      </c>
      <c r="O4351">
        <v>146</v>
      </c>
    </row>
    <row r="4352" spans="1:15" x14ac:dyDescent="0.25">
      <c r="A4352" t="s">
        <v>4365</v>
      </c>
      <c r="B4352">
        <v>561</v>
      </c>
      <c r="C4352" s="1" t="str">
        <f>HYPERLINK("http://www.rosaceae.org/gb/gbrowse/malus_x_domestica/?name=MDP0000240772","MDP0000240772")</f>
        <v>MDP0000240772</v>
      </c>
      <c r="D4352">
        <v>59.61</v>
      </c>
      <c r="E4352">
        <v>572</v>
      </c>
      <c r="F4352">
        <v>231</v>
      </c>
      <c r="G4352">
        <v>40</v>
      </c>
      <c r="H4352">
        <v>22</v>
      </c>
      <c r="I4352">
        <v>561</v>
      </c>
      <c r="J4352">
        <v>1</v>
      </c>
      <c r="K4352">
        <v>189</v>
      </c>
      <c r="L4352">
        <v>752</v>
      </c>
      <c r="M4352">
        <v>1</v>
      </c>
      <c r="N4352">
        <v>0</v>
      </c>
      <c r="O4352">
        <v>1837</v>
      </c>
    </row>
    <row r="4353" spans="1:15" x14ac:dyDescent="0.25">
      <c r="A4353" t="s">
        <v>4366</v>
      </c>
      <c r="B4353">
        <v>266</v>
      </c>
      <c r="C4353" s="1" t="str">
        <f>HYPERLINK("http://www.rosaceae.org/gb/gbrowse/malus_x_domestica/?name=MDP0000740656","MDP0000740656")</f>
        <v>MDP0000740656</v>
      </c>
      <c r="D4353">
        <v>52</v>
      </c>
      <c r="E4353">
        <v>275</v>
      </c>
      <c r="F4353">
        <v>132</v>
      </c>
      <c r="G4353">
        <v>34</v>
      </c>
      <c r="H4353">
        <v>1</v>
      </c>
      <c r="I4353">
        <v>264</v>
      </c>
      <c r="J4353">
        <v>1</v>
      </c>
      <c r="K4353">
        <v>1</v>
      </c>
      <c r="L4353">
        <v>252</v>
      </c>
      <c r="M4353">
        <v>1</v>
      </c>
      <c r="N4353">
        <v>8.6864100000000006E-56</v>
      </c>
      <c r="O4353">
        <v>544</v>
      </c>
    </row>
    <row r="4354" spans="1:15" x14ac:dyDescent="0.25">
      <c r="A4354" t="s">
        <v>4367</v>
      </c>
      <c r="B4354">
        <v>260</v>
      </c>
      <c r="C4354" s="1" t="str">
        <f>HYPERLINK("http://www.rosaceae.org/gb/gbrowse/malus_x_domestica/?name=MDP0000302894","MDP0000302894")</f>
        <v>MDP0000302894</v>
      </c>
      <c r="D4354">
        <v>73.8</v>
      </c>
      <c r="E4354">
        <v>271</v>
      </c>
      <c r="F4354">
        <v>71</v>
      </c>
      <c r="G4354">
        <v>35</v>
      </c>
      <c r="H4354">
        <v>1</v>
      </c>
      <c r="I4354">
        <v>236</v>
      </c>
      <c r="J4354">
        <v>1</v>
      </c>
      <c r="K4354">
        <v>68</v>
      </c>
      <c r="L4354">
        <v>338</v>
      </c>
      <c r="M4354">
        <v>1</v>
      </c>
      <c r="N4354">
        <v>5.9139800000000001E-108</v>
      </c>
      <c r="O4354">
        <v>994</v>
      </c>
    </row>
    <row r="4355" spans="1:15" x14ac:dyDescent="0.25">
      <c r="A4355" t="s">
        <v>4368</v>
      </c>
      <c r="B4355">
        <v>425</v>
      </c>
      <c r="C4355" s="1" t="str">
        <f>HYPERLINK("http://www.rosaceae.org/gb/gbrowse/malus_x_domestica/?name=MDP0000279279","MDP0000279279")</f>
        <v>MDP0000279279</v>
      </c>
      <c r="D4355">
        <v>60.11</v>
      </c>
      <c r="E4355">
        <v>356</v>
      </c>
      <c r="F4355">
        <v>142</v>
      </c>
      <c r="G4355">
        <v>37</v>
      </c>
      <c r="H4355">
        <v>73</v>
      </c>
      <c r="I4355">
        <v>418</v>
      </c>
      <c r="J4355">
        <v>1</v>
      </c>
      <c r="K4355">
        <v>1129</v>
      </c>
      <c r="L4355">
        <v>1457</v>
      </c>
      <c r="M4355">
        <v>1</v>
      </c>
      <c r="N4355">
        <v>1.5342799999999999E-106</v>
      </c>
      <c r="O4355">
        <v>985</v>
      </c>
    </row>
    <row r="4356" spans="1:15" x14ac:dyDescent="0.25">
      <c r="A4356" t="s">
        <v>4369</v>
      </c>
      <c r="B4356">
        <v>325</v>
      </c>
      <c r="C4356" s="1" t="str">
        <f>HYPERLINK("http://www.rosaceae.org/gb/gbrowse/malus_x_domestica/?name=MDP0000501768","MDP0000501768")</f>
        <v>MDP0000501768</v>
      </c>
      <c r="D4356">
        <v>47.23</v>
      </c>
      <c r="E4356">
        <v>307</v>
      </c>
      <c r="F4356">
        <v>162</v>
      </c>
      <c r="G4356">
        <v>2</v>
      </c>
      <c r="H4356">
        <v>16</v>
      </c>
      <c r="I4356">
        <v>322</v>
      </c>
      <c r="J4356">
        <v>1</v>
      </c>
      <c r="K4356">
        <v>22</v>
      </c>
      <c r="L4356">
        <v>326</v>
      </c>
      <c r="M4356">
        <v>1</v>
      </c>
      <c r="N4356">
        <v>2.7274500000000001E-76</v>
      </c>
      <c r="O4356">
        <v>722</v>
      </c>
    </row>
    <row r="4357" spans="1:15" x14ac:dyDescent="0.25">
      <c r="A4357" t="s">
        <v>4370</v>
      </c>
      <c r="B4357">
        <v>838</v>
      </c>
      <c r="C4357" s="1" t="str">
        <f>HYPERLINK("http://www.rosaceae.org/gb/gbrowse/malus_x_domestica/?name=MDP0000307703","MDP0000307703")</f>
        <v>MDP0000307703</v>
      </c>
      <c r="D4357">
        <v>75.23</v>
      </c>
      <c r="E4357">
        <v>844</v>
      </c>
      <c r="F4357">
        <v>209</v>
      </c>
      <c r="G4357">
        <v>21</v>
      </c>
      <c r="H4357">
        <v>3</v>
      </c>
      <c r="I4357">
        <v>838</v>
      </c>
      <c r="J4357">
        <v>1</v>
      </c>
      <c r="K4357">
        <v>1</v>
      </c>
      <c r="L4357">
        <v>831</v>
      </c>
      <c r="M4357">
        <v>1</v>
      </c>
      <c r="N4357">
        <v>0</v>
      </c>
      <c r="O4357">
        <v>3299</v>
      </c>
    </row>
    <row r="4358" spans="1:15" x14ac:dyDescent="0.25">
      <c r="A4358" t="s">
        <v>4371</v>
      </c>
      <c r="B4358">
        <v>145</v>
      </c>
      <c r="C4358" s="1" t="str">
        <f>HYPERLINK("http://www.rosaceae.org/gb/gbrowse/malus_x_domestica/?name=MDP0000227442","MDP0000227442")</f>
        <v>MDP0000227442</v>
      </c>
      <c r="D4358">
        <v>46.66</v>
      </c>
      <c r="E4358">
        <v>165</v>
      </c>
      <c r="F4358">
        <v>88</v>
      </c>
      <c r="G4358">
        <v>35</v>
      </c>
      <c r="H4358">
        <v>3</v>
      </c>
      <c r="I4358">
        <v>134</v>
      </c>
      <c r="J4358">
        <v>1</v>
      </c>
      <c r="K4358">
        <v>542</v>
      </c>
      <c r="L4358">
        <v>704</v>
      </c>
      <c r="M4358">
        <v>1</v>
      </c>
      <c r="N4358">
        <v>1.05477E-33</v>
      </c>
      <c r="O4358">
        <v>350</v>
      </c>
    </row>
    <row r="4359" spans="1:15" x14ac:dyDescent="0.25">
      <c r="A4359" t="s">
        <v>4372</v>
      </c>
      <c r="B4359">
        <v>350</v>
      </c>
      <c r="C4359" s="1" t="str">
        <f>HYPERLINK("http://www.rosaceae.org/gb/gbrowse/malus_x_domestica/?name=MDP0000317741","MDP0000317741")</f>
        <v>MDP0000317741</v>
      </c>
      <c r="D4359">
        <v>52.94</v>
      </c>
      <c r="E4359">
        <v>51</v>
      </c>
      <c r="F4359">
        <v>24</v>
      </c>
      <c r="G4359">
        <v>0</v>
      </c>
      <c r="H4359">
        <v>108</v>
      </c>
      <c r="I4359">
        <v>158</v>
      </c>
      <c r="J4359">
        <v>1</v>
      </c>
      <c r="K4359">
        <v>173</v>
      </c>
      <c r="L4359">
        <v>223</v>
      </c>
      <c r="M4359">
        <v>1</v>
      </c>
      <c r="N4359">
        <v>5.5051099999999998E-9</v>
      </c>
      <c r="O4359">
        <v>142</v>
      </c>
    </row>
    <row r="4360" spans="1:15" x14ac:dyDescent="0.25">
      <c r="A4360" t="s">
        <v>4373</v>
      </c>
      <c r="B4360">
        <v>460</v>
      </c>
      <c r="C4360" s="1" t="str">
        <f>HYPERLINK("http://www.rosaceae.org/gb/gbrowse/malus_x_domestica/?name=MDP0000234893","MDP0000234893")</f>
        <v>MDP0000234893</v>
      </c>
      <c r="D4360">
        <v>73.75</v>
      </c>
      <c r="E4360">
        <v>442</v>
      </c>
      <c r="F4360">
        <v>116</v>
      </c>
      <c r="G4360">
        <v>8</v>
      </c>
      <c r="H4360">
        <v>22</v>
      </c>
      <c r="I4360">
        <v>460</v>
      </c>
      <c r="J4360">
        <v>1</v>
      </c>
      <c r="K4360">
        <v>22</v>
      </c>
      <c r="L4360">
        <v>458</v>
      </c>
      <c r="M4360">
        <v>1</v>
      </c>
      <c r="N4360">
        <v>0</v>
      </c>
      <c r="O4360">
        <v>1673</v>
      </c>
    </row>
    <row r="4361" spans="1:15" x14ac:dyDescent="0.25">
      <c r="A4361" t="s">
        <v>4374</v>
      </c>
      <c r="B4361">
        <v>628</v>
      </c>
      <c r="C4361" s="1" t="str">
        <f>HYPERLINK("http://www.rosaceae.org/gb/gbrowse/malus_x_domestica/?name=MDP0000221561","MDP0000221561")</f>
        <v>MDP0000221561</v>
      </c>
      <c r="D4361">
        <v>84.67</v>
      </c>
      <c r="E4361">
        <v>548</v>
      </c>
      <c r="F4361">
        <v>84</v>
      </c>
      <c r="G4361">
        <v>5</v>
      </c>
      <c r="H4361">
        <v>13</v>
      </c>
      <c r="I4361">
        <v>560</v>
      </c>
      <c r="J4361">
        <v>1</v>
      </c>
      <c r="K4361">
        <v>8</v>
      </c>
      <c r="L4361">
        <v>550</v>
      </c>
      <c r="M4361">
        <v>1</v>
      </c>
      <c r="N4361">
        <v>0</v>
      </c>
      <c r="O4361">
        <v>2515</v>
      </c>
    </row>
    <row r="4362" spans="1:15" x14ac:dyDescent="0.25">
      <c r="A4362" t="s">
        <v>4375</v>
      </c>
      <c r="B4362">
        <v>228</v>
      </c>
      <c r="C4362" s="1" t="str">
        <f>HYPERLINK("http://www.rosaceae.org/gb/gbrowse/malus_x_domestica/?name=MDP0000140550","MDP0000140550")</f>
        <v>MDP0000140550</v>
      </c>
      <c r="D4362">
        <v>47.9</v>
      </c>
      <c r="E4362">
        <v>167</v>
      </c>
      <c r="F4362">
        <v>87</v>
      </c>
      <c r="G4362">
        <v>0</v>
      </c>
      <c r="H4362">
        <v>6</v>
      </c>
      <c r="I4362">
        <v>172</v>
      </c>
      <c r="J4362">
        <v>1</v>
      </c>
      <c r="K4362">
        <v>5</v>
      </c>
      <c r="L4362">
        <v>171</v>
      </c>
      <c r="M4362">
        <v>1</v>
      </c>
      <c r="N4362">
        <v>1.8519699999999999E-39</v>
      </c>
      <c r="O4362">
        <v>403</v>
      </c>
    </row>
    <row r="4363" spans="1:15" x14ac:dyDescent="0.25">
      <c r="A4363" t="s">
        <v>4376</v>
      </c>
      <c r="B4363">
        <v>608</v>
      </c>
      <c r="C4363" s="1" t="str">
        <f>HYPERLINK("http://www.rosaceae.org/gb/gbrowse/malus_x_domestica/?name=MDP0000297803","MDP0000297803")</f>
        <v>MDP0000297803</v>
      </c>
      <c r="D4363">
        <v>67.260000000000005</v>
      </c>
      <c r="E4363">
        <v>611</v>
      </c>
      <c r="F4363">
        <v>200</v>
      </c>
      <c r="G4363">
        <v>6</v>
      </c>
      <c r="H4363">
        <v>1</v>
      </c>
      <c r="I4363">
        <v>606</v>
      </c>
      <c r="J4363">
        <v>1</v>
      </c>
      <c r="K4363">
        <v>448</v>
      </c>
      <c r="L4363">
        <v>1057</v>
      </c>
      <c r="M4363">
        <v>1</v>
      </c>
      <c r="N4363">
        <v>0</v>
      </c>
      <c r="O4363">
        <v>1930</v>
      </c>
    </row>
    <row r="4364" spans="1:15" x14ac:dyDescent="0.25">
      <c r="A4364" t="s">
        <v>4377</v>
      </c>
      <c r="B4364">
        <v>173</v>
      </c>
      <c r="C4364" s="1" t="str">
        <f>HYPERLINK("http://www.rosaceae.org/gb/gbrowse/malus_x_domestica/?name=MDP0000307313","MDP0000307313")</f>
        <v>MDP0000307313</v>
      </c>
      <c r="D4364">
        <v>38.270000000000003</v>
      </c>
      <c r="E4364">
        <v>162</v>
      </c>
      <c r="F4364">
        <v>100</v>
      </c>
      <c r="G4364">
        <v>8</v>
      </c>
      <c r="H4364">
        <v>3</v>
      </c>
      <c r="I4364">
        <v>163</v>
      </c>
      <c r="J4364">
        <v>1</v>
      </c>
      <c r="K4364">
        <v>782</v>
      </c>
      <c r="L4364">
        <v>936</v>
      </c>
      <c r="M4364">
        <v>1</v>
      </c>
      <c r="N4364">
        <v>6.3458000000000002E-17</v>
      </c>
      <c r="O4364">
        <v>206</v>
      </c>
    </row>
    <row r="4365" spans="1:15" x14ac:dyDescent="0.25">
      <c r="A4365" t="s">
        <v>4378</v>
      </c>
      <c r="B4365">
        <v>173</v>
      </c>
      <c r="C4365" s="1" t="str">
        <f>HYPERLINK("http://www.rosaceae.org/gb/gbrowse/malus_x_domestica/?name=MDP0000397306","MDP0000397306")</f>
        <v>MDP0000397306</v>
      </c>
      <c r="D4365">
        <v>68.930000000000007</v>
      </c>
      <c r="E4365">
        <v>132</v>
      </c>
      <c r="F4365">
        <v>41</v>
      </c>
      <c r="G4365">
        <v>0</v>
      </c>
      <c r="H4365">
        <v>21</v>
      </c>
      <c r="I4365">
        <v>152</v>
      </c>
      <c r="J4365">
        <v>1</v>
      </c>
      <c r="K4365">
        <v>20</v>
      </c>
      <c r="L4365">
        <v>151</v>
      </c>
      <c r="M4365">
        <v>1</v>
      </c>
      <c r="N4365">
        <v>1.16474E-51</v>
      </c>
      <c r="O4365">
        <v>506</v>
      </c>
    </row>
    <row r="4366" spans="1:15" x14ac:dyDescent="0.25">
      <c r="A4366" t="s">
        <v>4379</v>
      </c>
      <c r="B4366">
        <v>856</v>
      </c>
      <c r="C4366" s="1" t="str">
        <f>HYPERLINK("http://www.rosaceae.org/gb/gbrowse/malus_x_domestica/?name=MDP0000236750","MDP0000236750")</f>
        <v>MDP0000236750</v>
      </c>
      <c r="D4366">
        <v>26.89</v>
      </c>
      <c r="E4366">
        <v>435</v>
      </c>
      <c r="F4366">
        <v>318</v>
      </c>
      <c r="G4366">
        <v>73</v>
      </c>
      <c r="H4366">
        <v>373</v>
      </c>
      <c r="I4366">
        <v>790</v>
      </c>
      <c r="J4366">
        <v>1</v>
      </c>
      <c r="K4366">
        <v>166</v>
      </c>
      <c r="L4366">
        <v>544</v>
      </c>
      <c r="M4366">
        <v>1</v>
      </c>
      <c r="N4366">
        <v>4.0864100000000003E-30</v>
      </c>
      <c r="O4366">
        <v>329</v>
      </c>
    </row>
    <row r="4367" spans="1:15" x14ac:dyDescent="0.25">
      <c r="A4367" t="s">
        <v>4380</v>
      </c>
      <c r="B4367">
        <v>723</v>
      </c>
      <c r="C4367" s="1" t="str">
        <f>HYPERLINK("http://www.rosaceae.org/gb/gbrowse/malus_x_domestica/?name=MDP0000152721","MDP0000152721")</f>
        <v>MDP0000152721</v>
      </c>
      <c r="D4367">
        <v>47.32</v>
      </c>
      <c r="E4367">
        <v>393</v>
      </c>
      <c r="F4367">
        <v>207</v>
      </c>
      <c r="G4367">
        <v>37</v>
      </c>
      <c r="H4367">
        <v>338</v>
      </c>
      <c r="I4367">
        <v>703</v>
      </c>
      <c r="J4367">
        <v>1</v>
      </c>
      <c r="K4367">
        <v>23</v>
      </c>
      <c r="L4367">
        <v>405</v>
      </c>
      <c r="M4367">
        <v>1</v>
      </c>
      <c r="N4367">
        <v>8.4402000000000004E-91</v>
      </c>
      <c r="O4367">
        <v>851</v>
      </c>
    </row>
    <row r="4368" spans="1:15" x14ac:dyDescent="0.25">
      <c r="A4368" t="s">
        <v>4381</v>
      </c>
      <c r="B4368">
        <v>952</v>
      </c>
      <c r="C4368" s="1" t="str">
        <f>HYPERLINK("http://www.rosaceae.org/gb/gbrowse/malus_x_domestica/?name=MDP0000442056","MDP0000442056")</f>
        <v>MDP0000442056</v>
      </c>
      <c r="D4368">
        <v>82.66</v>
      </c>
      <c r="E4368">
        <v>952</v>
      </c>
      <c r="F4368">
        <v>165</v>
      </c>
      <c r="G4368">
        <v>4</v>
      </c>
      <c r="H4368">
        <v>1</v>
      </c>
      <c r="I4368">
        <v>952</v>
      </c>
      <c r="J4368">
        <v>1</v>
      </c>
      <c r="K4368">
        <v>1</v>
      </c>
      <c r="L4368">
        <v>948</v>
      </c>
      <c r="M4368">
        <v>1</v>
      </c>
      <c r="N4368">
        <v>0</v>
      </c>
      <c r="O4368">
        <v>4203</v>
      </c>
    </row>
    <row r="4369" spans="1:15" x14ac:dyDescent="0.25">
      <c r="A4369" t="s">
        <v>4382</v>
      </c>
      <c r="B4369">
        <v>275</v>
      </c>
      <c r="C4369" s="1" t="str">
        <f>HYPERLINK("http://www.rosaceae.org/gb/gbrowse/malus_x_domestica/?name=MDP0000534716","MDP0000534716")</f>
        <v>MDP0000534716</v>
      </c>
      <c r="D4369">
        <v>70.95</v>
      </c>
      <c r="E4369">
        <v>272</v>
      </c>
      <c r="F4369">
        <v>79</v>
      </c>
      <c r="G4369">
        <v>0</v>
      </c>
      <c r="H4369">
        <v>1</v>
      </c>
      <c r="I4369">
        <v>272</v>
      </c>
      <c r="J4369">
        <v>1</v>
      </c>
      <c r="K4369">
        <v>385</v>
      </c>
      <c r="L4369">
        <v>656</v>
      </c>
      <c r="M4369">
        <v>1</v>
      </c>
      <c r="N4369">
        <v>4.5457E-114</v>
      </c>
      <c r="O4369">
        <v>1047</v>
      </c>
    </row>
    <row r="4370" spans="1:15" x14ac:dyDescent="0.25">
      <c r="A4370" t="s">
        <v>4383</v>
      </c>
      <c r="B4370">
        <v>171</v>
      </c>
      <c r="C4370" s="1" t="str">
        <f>HYPERLINK("http://www.rosaceae.org/gb/gbrowse/malus_x_domestica/?name=MDP0000521934","MDP0000521934")</f>
        <v>MDP0000521934</v>
      </c>
      <c r="D4370">
        <v>71.599999999999994</v>
      </c>
      <c r="E4370">
        <v>162</v>
      </c>
      <c r="F4370">
        <v>46</v>
      </c>
      <c r="G4370">
        <v>18</v>
      </c>
      <c r="H4370">
        <v>11</v>
      </c>
      <c r="I4370">
        <v>171</v>
      </c>
      <c r="J4370">
        <v>1</v>
      </c>
      <c r="K4370">
        <v>12</v>
      </c>
      <c r="L4370">
        <v>156</v>
      </c>
      <c r="M4370">
        <v>1</v>
      </c>
      <c r="N4370">
        <v>4.20204E-53</v>
      </c>
      <c r="O4370">
        <v>518</v>
      </c>
    </row>
    <row r="4371" spans="1:15" x14ac:dyDescent="0.25">
      <c r="A4371" t="s">
        <v>4384</v>
      </c>
      <c r="B4371">
        <v>117</v>
      </c>
      <c r="C4371" s="1" t="str">
        <f>HYPERLINK("http://www.rosaceae.org/gb/gbrowse/malus_x_domestica/?name=MDP0000241544","MDP0000241544")</f>
        <v>MDP0000241544</v>
      </c>
      <c r="D4371">
        <v>56.03</v>
      </c>
      <c r="E4371">
        <v>116</v>
      </c>
      <c r="F4371">
        <v>51</v>
      </c>
      <c r="G4371">
        <v>0</v>
      </c>
      <c r="H4371">
        <v>1</v>
      </c>
      <c r="I4371">
        <v>116</v>
      </c>
      <c r="J4371">
        <v>1</v>
      </c>
      <c r="K4371">
        <v>65</v>
      </c>
      <c r="L4371">
        <v>180</v>
      </c>
      <c r="M4371">
        <v>1</v>
      </c>
      <c r="N4371">
        <v>2.4517399999999999E-29</v>
      </c>
      <c r="O4371">
        <v>310</v>
      </c>
    </row>
    <row r="4372" spans="1:15" x14ac:dyDescent="0.25">
      <c r="A4372" t="s">
        <v>4385</v>
      </c>
      <c r="B4372">
        <v>583</v>
      </c>
      <c r="C4372" s="1" t="str">
        <f>HYPERLINK("http://www.rosaceae.org/gb/gbrowse/malus_x_domestica/?name=MDP0000307056","MDP0000307056")</f>
        <v>MDP0000307056</v>
      </c>
      <c r="D4372">
        <v>58.89</v>
      </c>
      <c r="E4372">
        <v>253</v>
      </c>
      <c r="F4372">
        <v>104</v>
      </c>
      <c r="G4372">
        <v>2</v>
      </c>
      <c r="H4372">
        <v>332</v>
      </c>
      <c r="I4372">
        <v>582</v>
      </c>
      <c r="J4372">
        <v>1</v>
      </c>
      <c r="K4372">
        <v>702</v>
      </c>
      <c r="L4372">
        <v>954</v>
      </c>
      <c r="M4372">
        <v>1</v>
      </c>
      <c r="N4372">
        <v>1.2136600000000001E-83</v>
      </c>
      <c r="O4372">
        <v>788</v>
      </c>
    </row>
    <row r="4373" spans="1:15" x14ac:dyDescent="0.25">
      <c r="A4373" t="s">
        <v>4386</v>
      </c>
      <c r="B4373">
        <v>138</v>
      </c>
      <c r="C4373" s="1" t="str">
        <f>HYPERLINK("http://www.rosaceae.org/gb/gbrowse/malus_x_domestica/?name=MDP0000247366","MDP0000247366")</f>
        <v>MDP0000247366</v>
      </c>
      <c r="D4373">
        <v>58.82</v>
      </c>
      <c r="E4373">
        <v>136</v>
      </c>
      <c r="F4373">
        <v>56</v>
      </c>
      <c r="G4373">
        <v>18</v>
      </c>
      <c r="H4373">
        <v>1</v>
      </c>
      <c r="I4373">
        <v>136</v>
      </c>
      <c r="J4373">
        <v>1</v>
      </c>
      <c r="K4373">
        <v>1</v>
      </c>
      <c r="L4373">
        <v>118</v>
      </c>
      <c r="M4373">
        <v>1</v>
      </c>
      <c r="N4373">
        <v>3.9536200000000002E-35</v>
      </c>
      <c r="O4373">
        <v>362</v>
      </c>
    </row>
    <row r="4374" spans="1:15" x14ac:dyDescent="0.25">
      <c r="A4374" t="s">
        <v>4387</v>
      </c>
      <c r="B4374">
        <v>1017</v>
      </c>
      <c r="C4374" s="1" t="str">
        <f>HYPERLINK("http://www.rosaceae.org/gb/gbrowse/malus_x_domestica/?name=MDP0000194908","MDP0000194908")</f>
        <v>MDP0000194908</v>
      </c>
      <c r="D4374">
        <v>82.18</v>
      </c>
      <c r="E4374">
        <v>623</v>
      </c>
      <c r="F4374">
        <v>111</v>
      </c>
      <c r="G4374">
        <v>4</v>
      </c>
      <c r="H4374">
        <v>1</v>
      </c>
      <c r="I4374">
        <v>619</v>
      </c>
      <c r="J4374">
        <v>1</v>
      </c>
      <c r="K4374">
        <v>1</v>
      </c>
      <c r="L4374">
        <v>623</v>
      </c>
      <c r="M4374">
        <v>1</v>
      </c>
      <c r="N4374">
        <v>0</v>
      </c>
      <c r="O4374">
        <v>2671</v>
      </c>
    </row>
    <row r="4375" spans="1:15" x14ac:dyDescent="0.25">
      <c r="A4375" t="s">
        <v>4388</v>
      </c>
      <c r="B4375">
        <v>263</v>
      </c>
      <c r="C4375" s="1" t="str">
        <f>HYPERLINK("http://www.rosaceae.org/gb/gbrowse/malus_x_domestica/?name=MDP0000311020","MDP0000311020")</f>
        <v>MDP0000311020</v>
      </c>
      <c r="D4375">
        <v>51.37</v>
      </c>
      <c r="E4375">
        <v>255</v>
      </c>
      <c r="F4375">
        <v>124</v>
      </c>
      <c r="G4375">
        <v>9</v>
      </c>
      <c r="H4375">
        <v>6</v>
      </c>
      <c r="I4375">
        <v>255</v>
      </c>
      <c r="J4375">
        <v>1</v>
      </c>
      <c r="K4375">
        <v>136</v>
      </c>
      <c r="L4375">
        <v>386</v>
      </c>
      <c r="M4375">
        <v>1</v>
      </c>
      <c r="N4375">
        <v>3.5737200000000002E-68</v>
      </c>
      <c r="O4375">
        <v>651</v>
      </c>
    </row>
    <row r="4376" spans="1:15" x14ac:dyDescent="0.25">
      <c r="A4376" t="s">
        <v>4389</v>
      </c>
      <c r="B4376">
        <v>1221</v>
      </c>
      <c r="C4376" s="1" t="str">
        <f>HYPERLINK("http://www.rosaceae.org/gb/gbrowse/malus_x_domestica/?name=MDP0000288970","MDP0000288970")</f>
        <v>MDP0000288970</v>
      </c>
      <c r="D4376">
        <v>70.569999999999993</v>
      </c>
      <c r="E4376">
        <v>1254</v>
      </c>
      <c r="F4376">
        <v>369</v>
      </c>
      <c r="G4376">
        <v>76</v>
      </c>
      <c r="H4376">
        <v>1</v>
      </c>
      <c r="I4376">
        <v>1221</v>
      </c>
      <c r="J4376">
        <v>1</v>
      </c>
      <c r="K4376">
        <v>16</v>
      </c>
      <c r="L4376">
        <v>1226</v>
      </c>
      <c r="M4376">
        <v>1</v>
      </c>
      <c r="N4376">
        <v>0</v>
      </c>
      <c r="O4376">
        <v>4443</v>
      </c>
    </row>
    <row r="4377" spans="1:15" x14ac:dyDescent="0.25">
      <c r="A4377" t="s">
        <v>4390</v>
      </c>
      <c r="B4377">
        <v>868</v>
      </c>
      <c r="C4377" s="1" t="str">
        <f>HYPERLINK("http://www.rosaceae.org/gb/gbrowse/malus_x_domestica/?name=MDP0000147154","MDP0000147154")</f>
        <v>MDP0000147154</v>
      </c>
      <c r="D4377">
        <v>71.36</v>
      </c>
      <c r="E4377">
        <v>936</v>
      </c>
      <c r="F4377">
        <v>268</v>
      </c>
      <c r="G4377">
        <v>92</v>
      </c>
      <c r="H4377">
        <v>1</v>
      </c>
      <c r="I4377">
        <v>868</v>
      </c>
      <c r="J4377">
        <v>1</v>
      </c>
      <c r="K4377">
        <v>1</v>
      </c>
      <c r="L4377">
        <v>912</v>
      </c>
      <c r="M4377">
        <v>1</v>
      </c>
      <c r="N4377">
        <v>0</v>
      </c>
      <c r="O4377">
        <v>3363</v>
      </c>
    </row>
    <row r="4378" spans="1:15" x14ac:dyDescent="0.25">
      <c r="A4378" t="s">
        <v>4391</v>
      </c>
      <c r="B4378">
        <v>146</v>
      </c>
      <c r="C4378" s="1" t="str">
        <f>HYPERLINK("http://www.rosaceae.org/gb/gbrowse/malus_x_domestica/?name=MDP0000933400","MDP0000933400")</f>
        <v>MDP0000933400</v>
      </c>
      <c r="D4378">
        <v>75.34</v>
      </c>
      <c r="E4378">
        <v>146</v>
      </c>
      <c r="F4378">
        <v>36</v>
      </c>
      <c r="G4378">
        <v>1</v>
      </c>
      <c r="H4378">
        <v>1</v>
      </c>
      <c r="I4378">
        <v>145</v>
      </c>
      <c r="J4378">
        <v>1</v>
      </c>
      <c r="K4378">
        <v>1</v>
      </c>
      <c r="L4378">
        <v>146</v>
      </c>
      <c r="M4378">
        <v>1</v>
      </c>
      <c r="N4378">
        <v>3.6663900000000002E-62</v>
      </c>
      <c r="O4378">
        <v>595</v>
      </c>
    </row>
    <row r="4379" spans="1:15" x14ac:dyDescent="0.25">
      <c r="A4379" t="s">
        <v>4392</v>
      </c>
      <c r="B4379">
        <v>318</v>
      </c>
      <c r="C4379" s="1" t="str">
        <f>HYPERLINK("http://www.rosaceae.org/gb/gbrowse/malus_x_domestica/?name=MDP0000314272","MDP0000314272")</f>
        <v>MDP0000314272</v>
      </c>
      <c r="D4379">
        <v>71.55</v>
      </c>
      <c r="E4379">
        <v>348</v>
      </c>
      <c r="F4379">
        <v>99</v>
      </c>
      <c r="G4379">
        <v>39</v>
      </c>
      <c r="H4379">
        <v>1</v>
      </c>
      <c r="I4379">
        <v>315</v>
      </c>
      <c r="J4379">
        <v>1</v>
      </c>
      <c r="K4379">
        <v>413</v>
      </c>
      <c r="L4379">
        <v>754</v>
      </c>
      <c r="M4379">
        <v>1</v>
      </c>
      <c r="N4379">
        <v>1.2231600000000001E-141</v>
      </c>
      <c r="O4379">
        <v>1286</v>
      </c>
    </row>
    <row r="4380" spans="1:15" x14ac:dyDescent="0.25">
      <c r="A4380" t="s">
        <v>4393</v>
      </c>
      <c r="B4380">
        <v>304</v>
      </c>
      <c r="C4380" s="1" t="str">
        <f>HYPERLINK("http://www.rosaceae.org/gb/gbrowse/malus_x_domestica/?name=MDP0000256005","MDP0000256005")</f>
        <v>MDP0000256005</v>
      </c>
      <c r="D4380">
        <v>80.08</v>
      </c>
      <c r="E4380">
        <v>236</v>
      </c>
      <c r="F4380">
        <v>47</v>
      </c>
      <c r="G4380">
        <v>7</v>
      </c>
      <c r="H4380">
        <v>26</v>
      </c>
      <c r="I4380">
        <v>261</v>
      </c>
      <c r="J4380">
        <v>1</v>
      </c>
      <c r="K4380">
        <v>26</v>
      </c>
      <c r="L4380">
        <v>254</v>
      </c>
      <c r="M4380">
        <v>1</v>
      </c>
      <c r="N4380">
        <v>2.1107200000000001E-99</v>
      </c>
      <c r="O4380">
        <v>921</v>
      </c>
    </row>
    <row r="4381" spans="1:15" x14ac:dyDescent="0.25">
      <c r="A4381" t="s">
        <v>4394</v>
      </c>
      <c r="B4381">
        <v>200</v>
      </c>
      <c r="C4381" s="1" t="str">
        <f>HYPERLINK("http://www.rosaceae.org/gb/gbrowse/malus_x_domestica/?name=MDP0000290562","MDP0000290562")</f>
        <v>MDP0000290562</v>
      </c>
      <c r="D4381">
        <v>97.25</v>
      </c>
      <c r="E4381">
        <v>182</v>
      </c>
      <c r="F4381">
        <v>5</v>
      </c>
      <c r="G4381">
        <v>1</v>
      </c>
      <c r="H4381">
        <v>1</v>
      </c>
      <c r="I4381">
        <v>181</v>
      </c>
      <c r="J4381">
        <v>1</v>
      </c>
      <c r="K4381">
        <v>1</v>
      </c>
      <c r="L4381">
        <v>182</v>
      </c>
      <c r="M4381">
        <v>1</v>
      </c>
      <c r="N4381">
        <v>7.6802400000000004E-102</v>
      </c>
      <c r="O4381">
        <v>940</v>
      </c>
    </row>
    <row r="4382" spans="1:15" x14ac:dyDescent="0.25">
      <c r="A4382" t="s">
        <v>4395</v>
      </c>
      <c r="B4382">
        <v>1024</v>
      </c>
      <c r="C4382" s="1" t="str">
        <f>HYPERLINK("http://www.rosaceae.org/gb/gbrowse/malus_x_domestica/?name=MDP0000294788","MDP0000294788")</f>
        <v>MDP0000294788</v>
      </c>
      <c r="D4382">
        <v>63.53</v>
      </c>
      <c r="E4382">
        <v>1053</v>
      </c>
      <c r="F4382">
        <v>384</v>
      </c>
      <c r="G4382">
        <v>92</v>
      </c>
      <c r="H4382">
        <v>1</v>
      </c>
      <c r="I4382">
        <v>1001</v>
      </c>
      <c r="J4382">
        <v>1</v>
      </c>
      <c r="K4382">
        <v>1</v>
      </c>
      <c r="L4382">
        <v>1013</v>
      </c>
      <c r="M4382">
        <v>1</v>
      </c>
      <c r="N4382">
        <v>0</v>
      </c>
      <c r="O4382">
        <v>3410</v>
      </c>
    </row>
    <row r="4383" spans="1:15" x14ac:dyDescent="0.25">
      <c r="A4383" t="s">
        <v>4396</v>
      </c>
      <c r="B4383">
        <v>320</v>
      </c>
      <c r="C4383" s="1" t="str">
        <f>HYPERLINK("http://www.rosaceae.org/gb/gbrowse/malus_x_domestica/?name=MDP0000740787","MDP0000740787")</f>
        <v>MDP0000740787</v>
      </c>
      <c r="D4383">
        <v>55.68</v>
      </c>
      <c r="E4383">
        <v>334</v>
      </c>
      <c r="F4383">
        <v>148</v>
      </c>
      <c r="G4383">
        <v>46</v>
      </c>
      <c r="H4383">
        <v>2</v>
      </c>
      <c r="I4383">
        <v>310</v>
      </c>
      <c r="J4383">
        <v>1</v>
      </c>
      <c r="K4383">
        <v>155</v>
      </c>
      <c r="L4383">
        <v>467</v>
      </c>
      <c r="M4383">
        <v>1</v>
      </c>
      <c r="N4383">
        <v>8.3488600000000003E-81</v>
      </c>
      <c r="O4383">
        <v>761</v>
      </c>
    </row>
    <row r="4384" spans="1:15" x14ac:dyDescent="0.25">
      <c r="A4384" t="s">
        <v>4397</v>
      </c>
      <c r="B4384">
        <v>641</v>
      </c>
      <c r="C4384" s="1" t="str">
        <f>HYPERLINK("http://www.rosaceae.org/gb/gbrowse/malus_x_domestica/?name=MDP0000776958","MDP0000776958")</f>
        <v>MDP0000776958</v>
      </c>
      <c r="D4384">
        <v>55.35</v>
      </c>
      <c r="E4384">
        <v>392</v>
      </c>
      <c r="F4384">
        <v>175</v>
      </c>
      <c r="G4384">
        <v>80</v>
      </c>
      <c r="H4384">
        <v>264</v>
      </c>
      <c r="I4384">
        <v>641</v>
      </c>
      <c r="J4384">
        <v>1</v>
      </c>
      <c r="K4384">
        <v>14</v>
      </c>
      <c r="L4384">
        <v>339</v>
      </c>
      <c r="M4384">
        <v>1</v>
      </c>
      <c r="N4384">
        <v>6.4488299999999997E-111</v>
      </c>
      <c r="O4384">
        <v>1024</v>
      </c>
    </row>
    <row r="4385" spans="1:15" x14ac:dyDescent="0.25">
      <c r="A4385" t="s">
        <v>4398</v>
      </c>
      <c r="B4385">
        <v>686</v>
      </c>
      <c r="C4385" s="1" t="str">
        <f>HYPERLINK("http://www.rosaceae.org/gb/gbrowse/malus_x_domestica/?name=MDP0000132385","MDP0000132385")</f>
        <v>MDP0000132385</v>
      </c>
      <c r="D4385">
        <v>74.849999999999994</v>
      </c>
      <c r="E4385">
        <v>692</v>
      </c>
      <c r="F4385">
        <v>174</v>
      </c>
      <c r="G4385">
        <v>13</v>
      </c>
      <c r="H4385">
        <v>1</v>
      </c>
      <c r="I4385">
        <v>685</v>
      </c>
      <c r="J4385">
        <v>1</v>
      </c>
      <c r="K4385">
        <v>172</v>
      </c>
      <c r="L4385">
        <v>857</v>
      </c>
      <c r="M4385">
        <v>1</v>
      </c>
      <c r="N4385">
        <v>0</v>
      </c>
      <c r="O4385">
        <v>2678</v>
      </c>
    </row>
    <row r="4386" spans="1:15" x14ac:dyDescent="0.25">
      <c r="A4386" t="s">
        <v>4399</v>
      </c>
      <c r="B4386">
        <v>328</v>
      </c>
      <c r="C4386" s="1" t="str">
        <f>HYPERLINK("http://www.rosaceae.org/gb/gbrowse/malus_x_domestica/?name=MDP0000697378","MDP0000697378")</f>
        <v>MDP0000697378</v>
      </c>
      <c r="D4386">
        <v>75.680000000000007</v>
      </c>
      <c r="E4386">
        <v>329</v>
      </c>
      <c r="F4386">
        <v>80</v>
      </c>
      <c r="G4386">
        <v>3</v>
      </c>
      <c r="H4386">
        <v>1</v>
      </c>
      <c r="I4386">
        <v>328</v>
      </c>
      <c r="J4386">
        <v>1</v>
      </c>
      <c r="K4386">
        <v>1</v>
      </c>
      <c r="L4386">
        <v>327</v>
      </c>
      <c r="M4386">
        <v>1</v>
      </c>
      <c r="N4386">
        <v>3.3661900000000002E-145</v>
      </c>
      <c r="O4386">
        <v>1317</v>
      </c>
    </row>
    <row r="4387" spans="1:15" x14ac:dyDescent="0.25">
      <c r="A4387" t="s">
        <v>4400</v>
      </c>
      <c r="B4387">
        <v>334</v>
      </c>
      <c r="C4387" s="1" t="str">
        <f>HYPERLINK("http://www.rosaceae.org/gb/gbrowse/malus_x_domestica/?name=MDP0000241581","MDP0000241581")</f>
        <v>MDP0000241581</v>
      </c>
      <c r="D4387">
        <v>51.75</v>
      </c>
      <c r="E4387">
        <v>228</v>
      </c>
      <c r="F4387">
        <v>110</v>
      </c>
      <c r="G4387">
        <v>18</v>
      </c>
      <c r="H4387">
        <v>1</v>
      </c>
      <c r="I4387">
        <v>220</v>
      </c>
      <c r="J4387">
        <v>1</v>
      </c>
      <c r="K4387">
        <v>4</v>
      </c>
      <c r="L4387">
        <v>221</v>
      </c>
      <c r="M4387">
        <v>1</v>
      </c>
      <c r="N4387">
        <v>1.3831099999999999E-52</v>
      </c>
      <c r="O4387">
        <v>518</v>
      </c>
    </row>
    <row r="4388" spans="1:15" x14ac:dyDescent="0.25">
      <c r="A4388" t="s">
        <v>4401</v>
      </c>
      <c r="B4388">
        <v>247</v>
      </c>
      <c r="C4388" s="1" t="str">
        <f>HYPERLINK("http://www.rosaceae.org/gb/gbrowse/malus_x_domestica/?name=MDP0000251002","MDP0000251002")</f>
        <v>MDP0000251002</v>
      </c>
      <c r="D4388">
        <v>86.59</v>
      </c>
      <c r="E4388">
        <v>97</v>
      </c>
      <c r="F4388">
        <v>13</v>
      </c>
      <c r="G4388">
        <v>0</v>
      </c>
      <c r="H4388">
        <v>35</v>
      </c>
      <c r="I4388">
        <v>131</v>
      </c>
      <c r="J4388">
        <v>1</v>
      </c>
      <c r="K4388">
        <v>38</v>
      </c>
      <c r="L4388">
        <v>134</v>
      </c>
      <c r="M4388">
        <v>1</v>
      </c>
      <c r="N4388">
        <v>3.26569E-49</v>
      </c>
      <c r="O4388">
        <v>487</v>
      </c>
    </row>
    <row r="4389" spans="1:15" x14ac:dyDescent="0.25">
      <c r="A4389" t="s">
        <v>4402</v>
      </c>
      <c r="B4389">
        <v>205</v>
      </c>
      <c r="C4389" s="1" t="str">
        <f>HYPERLINK("http://www.rosaceae.org/gb/gbrowse/malus_x_domestica/?name=MDP0000709523","MDP0000709523")</f>
        <v>MDP0000709523</v>
      </c>
      <c r="D4389">
        <v>54.54</v>
      </c>
      <c r="E4389">
        <v>77</v>
      </c>
      <c r="F4389">
        <v>35</v>
      </c>
      <c r="G4389">
        <v>2</v>
      </c>
      <c r="H4389">
        <v>1</v>
      </c>
      <c r="I4389">
        <v>76</v>
      </c>
      <c r="J4389">
        <v>1</v>
      </c>
      <c r="K4389">
        <v>1</v>
      </c>
      <c r="L4389">
        <v>76</v>
      </c>
      <c r="M4389">
        <v>1</v>
      </c>
      <c r="N4389">
        <v>1.58887E-16</v>
      </c>
      <c r="O4389">
        <v>204</v>
      </c>
    </row>
    <row r="4390" spans="1:15" x14ac:dyDescent="0.25">
      <c r="A4390" t="s">
        <v>4403</v>
      </c>
      <c r="B4390">
        <v>142</v>
      </c>
      <c r="C4390" s="1" t="str">
        <f>HYPERLINK("http://www.rosaceae.org/gb/gbrowse/malus_x_domestica/?name=MDP0000438181","MDP0000438181")</f>
        <v>MDP0000438181</v>
      </c>
      <c r="D4390">
        <v>91.37</v>
      </c>
      <c r="E4390">
        <v>58</v>
      </c>
      <c r="F4390">
        <v>5</v>
      </c>
      <c r="G4390">
        <v>0</v>
      </c>
      <c r="H4390">
        <v>31</v>
      </c>
      <c r="I4390">
        <v>88</v>
      </c>
      <c r="J4390">
        <v>1</v>
      </c>
      <c r="K4390">
        <v>29</v>
      </c>
      <c r="L4390">
        <v>86</v>
      </c>
      <c r="M4390">
        <v>1</v>
      </c>
      <c r="N4390">
        <v>4.3876600000000003E-27</v>
      </c>
      <c r="O4390">
        <v>292</v>
      </c>
    </row>
    <row r="4391" spans="1:15" x14ac:dyDescent="0.25">
      <c r="A4391" t="s">
        <v>4404</v>
      </c>
      <c r="B4391">
        <v>376</v>
      </c>
      <c r="C4391" s="1" t="str">
        <f>HYPERLINK("http://www.rosaceae.org/gb/gbrowse/malus_x_domestica/?name=MDP0000272852","MDP0000272852")</f>
        <v>MDP0000272852</v>
      </c>
      <c r="D4391">
        <v>84.61</v>
      </c>
      <c r="E4391">
        <v>312</v>
      </c>
      <c r="F4391">
        <v>48</v>
      </c>
      <c r="G4391">
        <v>3</v>
      </c>
      <c r="H4391">
        <v>44</v>
      </c>
      <c r="I4391">
        <v>352</v>
      </c>
      <c r="J4391">
        <v>1</v>
      </c>
      <c r="K4391">
        <v>1</v>
      </c>
      <c r="L4391">
        <v>312</v>
      </c>
      <c r="M4391">
        <v>1</v>
      </c>
      <c r="N4391">
        <v>3.6897299999999998E-156</v>
      </c>
      <c r="O4391">
        <v>1412</v>
      </c>
    </row>
    <row r="4392" spans="1:15" x14ac:dyDescent="0.25">
      <c r="A4392" t="s">
        <v>4405</v>
      </c>
      <c r="B4392">
        <v>540</v>
      </c>
      <c r="C4392" s="1" t="str">
        <f>HYPERLINK("http://www.rosaceae.org/gb/gbrowse/malus_x_domestica/?name=MDP0000148702","MDP0000148702")</f>
        <v>MDP0000148702</v>
      </c>
      <c r="D4392">
        <v>69.11</v>
      </c>
      <c r="E4392">
        <v>599</v>
      </c>
      <c r="F4392">
        <v>185</v>
      </c>
      <c r="G4392">
        <v>60</v>
      </c>
      <c r="H4392">
        <v>1</v>
      </c>
      <c r="I4392">
        <v>540</v>
      </c>
      <c r="J4392">
        <v>1</v>
      </c>
      <c r="K4392">
        <v>1</v>
      </c>
      <c r="L4392">
        <v>598</v>
      </c>
      <c r="M4392">
        <v>1</v>
      </c>
      <c r="N4392">
        <v>0</v>
      </c>
      <c r="O4392">
        <v>2136</v>
      </c>
    </row>
    <row r="4393" spans="1:15" x14ac:dyDescent="0.25">
      <c r="A4393" t="s">
        <v>4406</v>
      </c>
      <c r="B4393">
        <v>743</v>
      </c>
      <c r="C4393" s="1" t="str">
        <f>HYPERLINK("http://www.rosaceae.org/gb/gbrowse/malus_x_domestica/?name=MDP0000312734","MDP0000312734")</f>
        <v>MDP0000312734</v>
      </c>
      <c r="D4393">
        <v>51.08</v>
      </c>
      <c r="E4393">
        <v>370</v>
      </c>
      <c r="F4393">
        <v>181</v>
      </c>
      <c r="G4393">
        <v>41</v>
      </c>
      <c r="H4393">
        <v>3</v>
      </c>
      <c r="I4393">
        <v>345</v>
      </c>
      <c r="J4393">
        <v>1</v>
      </c>
      <c r="K4393">
        <v>1</v>
      </c>
      <c r="L4393">
        <v>356</v>
      </c>
      <c r="M4393">
        <v>1</v>
      </c>
      <c r="N4393">
        <v>1.3401E-74</v>
      </c>
      <c r="O4393">
        <v>712</v>
      </c>
    </row>
    <row r="4394" spans="1:15" x14ac:dyDescent="0.25">
      <c r="A4394" t="s">
        <v>4407</v>
      </c>
      <c r="B4394">
        <v>250</v>
      </c>
      <c r="C4394" s="1" t="str">
        <f>HYPERLINK("http://www.rosaceae.org/gb/gbrowse/malus_x_domestica/?name=MDP0000750535","MDP0000750535")</f>
        <v>MDP0000750535</v>
      </c>
      <c r="D4394">
        <v>69.16</v>
      </c>
      <c r="E4394">
        <v>253</v>
      </c>
      <c r="F4394">
        <v>78</v>
      </c>
      <c r="G4394">
        <v>3</v>
      </c>
      <c r="H4394">
        <v>1</v>
      </c>
      <c r="I4394">
        <v>250</v>
      </c>
      <c r="J4394">
        <v>1</v>
      </c>
      <c r="K4394">
        <v>1</v>
      </c>
      <c r="L4394">
        <v>253</v>
      </c>
      <c r="M4394">
        <v>1</v>
      </c>
      <c r="N4394">
        <v>1.4783499999999999E-90</v>
      </c>
      <c r="O4394">
        <v>844</v>
      </c>
    </row>
    <row r="4395" spans="1:15" x14ac:dyDescent="0.25">
      <c r="A4395" t="s">
        <v>4408</v>
      </c>
      <c r="B4395">
        <v>329</v>
      </c>
      <c r="C4395" s="1" t="str">
        <f>HYPERLINK("http://www.rosaceae.org/gb/gbrowse/malus_x_domestica/?name=MDP0000193733","MDP0000193733")</f>
        <v>MDP0000193733</v>
      </c>
      <c r="D4395">
        <v>87</v>
      </c>
      <c r="E4395">
        <v>277</v>
      </c>
      <c r="F4395">
        <v>36</v>
      </c>
      <c r="G4395">
        <v>0</v>
      </c>
      <c r="H4395">
        <v>53</v>
      </c>
      <c r="I4395">
        <v>329</v>
      </c>
      <c r="J4395">
        <v>1</v>
      </c>
      <c r="K4395">
        <v>140</v>
      </c>
      <c r="L4395">
        <v>416</v>
      </c>
      <c r="M4395">
        <v>1</v>
      </c>
      <c r="N4395">
        <v>8.2566500000000005E-145</v>
      </c>
      <c r="O4395">
        <v>1313</v>
      </c>
    </row>
    <row r="4396" spans="1:15" x14ac:dyDescent="0.25">
      <c r="A4396" t="s">
        <v>4409</v>
      </c>
      <c r="B4396">
        <v>92</v>
      </c>
      <c r="C4396" s="1" t="str">
        <f>HYPERLINK("http://www.rosaceae.org/gb/gbrowse/malus_x_domestica/?name=MDP0000168485","MDP0000168485")</f>
        <v>MDP0000168485</v>
      </c>
      <c r="D4396">
        <v>68.510000000000005</v>
      </c>
      <c r="E4396">
        <v>54</v>
      </c>
      <c r="F4396">
        <v>17</v>
      </c>
      <c r="G4396">
        <v>2</v>
      </c>
      <c r="H4396">
        <v>16</v>
      </c>
      <c r="I4396">
        <v>69</v>
      </c>
      <c r="J4396">
        <v>1</v>
      </c>
      <c r="K4396">
        <v>294</v>
      </c>
      <c r="L4396">
        <v>345</v>
      </c>
      <c r="M4396">
        <v>1</v>
      </c>
      <c r="N4396">
        <v>1.4991699999999999E-13</v>
      </c>
      <c r="O4396">
        <v>174</v>
      </c>
    </row>
    <row r="4397" spans="1:15" x14ac:dyDescent="0.25">
      <c r="A4397" t="s">
        <v>4410</v>
      </c>
      <c r="B4397">
        <v>432</v>
      </c>
      <c r="C4397" s="1" t="str">
        <f>HYPERLINK("http://www.rosaceae.org/gb/gbrowse/malus_x_domestica/?name=MDP0000274498","MDP0000274498")</f>
        <v>MDP0000274498</v>
      </c>
      <c r="D4397">
        <v>93.05</v>
      </c>
      <c r="E4397">
        <v>317</v>
      </c>
      <c r="F4397">
        <v>22</v>
      </c>
      <c r="G4397">
        <v>0</v>
      </c>
      <c r="H4397">
        <v>116</v>
      </c>
      <c r="I4397">
        <v>432</v>
      </c>
      <c r="J4397">
        <v>1</v>
      </c>
      <c r="K4397">
        <v>1</v>
      </c>
      <c r="L4397">
        <v>317</v>
      </c>
      <c r="M4397">
        <v>1</v>
      </c>
      <c r="N4397">
        <v>1.74079E-177</v>
      </c>
      <c r="O4397">
        <v>1596</v>
      </c>
    </row>
    <row r="4398" spans="1:15" x14ac:dyDescent="0.25">
      <c r="A4398" t="s">
        <v>4411</v>
      </c>
      <c r="B4398">
        <v>388</v>
      </c>
      <c r="C4398" s="1" t="str">
        <f>HYPERLINK("http://www.rosaceae.org/gb/gbrowse/malus_x_domestica/?name=MDP0000311272","MDP0000311272")</f>
        <v>MDP0000311272</v>
      </c>
      <c r="D4398">
        <v>80.680000000000007</v>
      </c>
      <c r="E4398">
        <v>409</v>
      </c>
      <c r="F4398">
        <v>79</v>
      </c>
      <c r="G4398">
        <v>28</v>
      </c>
      <c r="H4398">
        <v>1</v>
      </c>
      <c r="I4398">
        <v>388</v>
      </c>
      <c r="J4398">
        <v>1</v>
      </c>
      <c r="K4398">
        <v>673</v>
      </c>
      <c r="L4398">
        <v>1074</v>
      </c>
      <c r="M4398">
        <v>1</v>
      </c>
      <c r="N4398">
        <v>0</v>
      </c>
      <c r="O4398">
        <v>1652</v>
      </c>
    </row>
    <row r="4399" spans="1:15" x14ac:dyDescent="0.25">
      <c r="A4399" t="s">
        <v>4412</v>
      </c>
      <c r="B4399">
        <v>814</v>
      </c>
      <c r="C4399" s="1" t="str">
        <f>HYPERLINK("http://www.rosaceae.org/gb/gbrowse/malus_x_domestica/?name=MDP0000217490","MDP0000217490")</f>
        <v>MDP0000217490</v>
      </c>
      <c r="D4399">
        <v>64.86</v>
      </c>
      <c r="E4399">
        <v>760</v>
      </c>
      <c r="F4399">
        <v>267</v>
      </c>
      <c r="G4399">
        <v>63</v>
      </c>
      <c r="H4399">
        <v>1</v>
      </c>
      <c r="I4399">
        <v>705</v>
      </c>
      <c r="J4399">
        <v>1</v>
      </c>
      <c r="K4399">
        <v>168</v>
      </c>
      <c r="L4399">
        <v>919</v>
      </c>
      <c r="M4399">
        <v>1</v>
      </c>
      <c r="N4399">
        <v>0</v>
      </c>
      <c r="O4399">
        <v>2477</v>
      </c>
    </row>
    <row r="4400" spans="1:15" x14ac:dyDescent="0.25">
      <c r="A4400" t="s">
        <v>4413</v>
      </c>
      <c r="B4400">
        <v>356</v>
      </c>
      <c r="C4400" s="1" t="str">
        <f>HYPERLINK("http://www.rosaceae.org/gb/gbrowse/malus_x_domestica/?name=MDP0000151581","MDP0000151581")</f>
        <v>MDP0000151581</v>
      </c>
      <c r="D4400">
        <v>78.94</v>
      </c>
      <c r="E4400">
        <v>95</v>
      </c>
      <c r="F4400">
        <v>20</v>
      </c>
      <c r="G4400">
        <v>2</v>
      </c>
      <c r="H4400">
        <v>31</v>
      </c>
      <c r="I4400">
        <v>125</v>
      </c>
      <c r="J4400">
        <v>1</v>
      </c>
      <c r="K4400">
        <v>1</v>
      </c>
      <c r="L4400">
        <v>93</v>
      </c>
      <c r="M4400">
        <v>1</v>
      </c>
      <c r="N4400">
        <v>9.4655499999999996E-38</v>
      </c>
      <c r="O4400">
        <v>390</v>
      </c>
    </row>
    <row r="4401" spans="1:15" x14ac:dyDescent="0.25">
      <c r="A4401" t="s">
        <v>4414</v>
      </c>
      <c r="B4401">
        <v>323</v>
      </c>
      <c r="C4401" s="1" t="str">
        <f>HYPERLINK("http://www.rosaceae.org/gb/gbrowse/malus_x_domestica/?name=MDP0000639526","MDP0000639526")</f>
        <v>MDP0000639526</v>
      </c>
      <c r="D4401">
        <v>75.58</v>
      </c>
      <c r="E4401">
        <v>258</v>
      </c>
      <c r="F4401">
        <v>63</v>
      </c>
      <c r="G4401">
        <v>6</v>
      </c>
      <c r="H4401">
        <v>66</v>
      </c>
      <c r="I4401">
        <v>322</v>
      </c>
      <c r="J4401">
        <v>1</v>
      </c>
      <c r="K4401">
        <v>35</v>
      </c>
      <c r="L4401">
        <v>287</v>
      </c>
      <c r="M4401">
        <v>1</v>
      </c>
      <c r="N4401">
        <v>6.2178599999999998E-109</v>
      </c>
      <c r="O4401">
        <v>1004</v>
      </c>
    </row>
    <row r="4402" spans="1:15" x14ac:dyDescent="0.25">
      <c r="A4402" t="s">
        <v>4415</v>
      </c>
      <c r="B4402">
        <v>251</v>
      </c>
      <c r="C4402" s="1" t="str">
        <f>HYPERLINK("http://www.rosaceae.org/gb/gbrowse/malus_x_domestica/?name=MDP0000315959","MDP0000315959")</f>
        <v>MDP0000315959</v>
      </c>
      <c r="D4402">
        <v>92.68</v>
      </c>
      <c r="E4402">
        <v>82</v>
      </c>
      <c r="F4402">
        <v>6</v>
      </c>
      <c r="G4402">
        <v>0</v>
      </c>
      <c r="H4402">
        <v>170</v>
      </c>
      <c r="I4402">
        <v>251</v>
      </c>
      <c r="J4402">
        <v>1</v>
      </c>
      <c r="K4402">
        <v>206</v>
      </c>
      <c r="L4402">
        <v>287</v>
      </c>
      <c r="M4402">
        <v>1</v>
      </c>
      <c r="N4402">
        <v>3.3379100000000001E-38</v>
      </c>
      <c r="O4402">
        <v>392</v>
      </c>
    </row>
    <row r="4403" spans="1:15" x14ac:dyDescent="0.25">
      <c r="A4403" t="s">
        <v>4416</v>
      </c>
      <c r="B4403">
        <v>739</v>
      </c>
      <c r="C4403" s="1" t="str">
        <f>HYPERLINK("http://www.rosaceae.org/gb/gbrowse/malus_x_domestica/?name=MDP0000417845","MDP0000417845")</f>
        <v>MDP0000417845</v>
      </c>
      <c r="D4403">
        <v>59.42</v>
      </c>
      <c r="E4403">
        <v>594</v>
      </c>
      <c r="F4403">
        <v>241</v>
      </c>
      <c r="G4403">
        <v>82</v>
      </c>
      <c r="H4403">
        <v>104</v>
      </c>
      <c r="I4403">
        <v>625</v>
      </c>
      <c r="J4403">
        <v>1</v>
      </c>
      <c r="K4403">
        <v>104</v>
      </c>
      <c r="L4403">
        <v>687</v>
      </c>
      <c r="M4403">
        <v>1</v>
      </c>
      <c r="N4403">
        <v>3.8568799999999998E-176</v>
      </c>
      <c r="O4403">
        <v>1587</v>
      </c>
    </row>
    <row r="4404" spans="1:15" x14ac:dyDescent="0.25">
      <c r="A4404" t="s">
        <v>4417</v>
      </c>
      <c r="B4404">
        <v>1032</v>
      </c>
      <c r="C4404" s="1" t="str">
        <f>HYPERLINK("http://www.rosaceae.org/gb/gbrowse/malus_x_domestica/?name=MDP0000314542","MDP0000314542")</f>
        <v>MDP0000314542</v>
      </c>
      <c r="D4404">
        <v>73.33</v>
      </c>
      <c r="E4404">
        <v>1084</v>
      </c>
      <c r="F4404">
        <v>289</v>
      </c>
      <c r="G4404">
        <v>53</v>
      </c>
      <c r="H4404">
        <v>1</v>
      </c>
      <c r="I4404">
        <v>1031</v>
      </c>
      <c r="J4404">
        <v>1</v>
      </c>
      <c r="K4404">
        <v>414</v>
      </c>
      <c r="L4404">
        <v>1497</v>
      </c>
      <c r="M4404">
        <v>1</v>
      </c>
      <c r="N4404">
        <v>0</v>
      </c>
      <c r="O4404">
        <v>4192</v>
      </c>
    </row>
    <row r="4405" spans="1:15" x14ac:dyDescent="0.25">
      <c r="A4405" t="s">
        <v>4418</v>
      </c>
      <c r="B4405">
        <v>103</v>
      </c>
      <c r="C4405" s="1" t="str">
        <f>HYPERLINK("http://www.rosaceae.org/gb/gbrowse/malus_x_domestica/?name=MDP0000190369","MDP0000190369")</f>
        <v>MDP0000190369</v>
      </c>
      <c r="D4405">
        <v>79.8</v>
      </c>
      <c r="E4405">
        <v>104</v>
      </c>
      <c r="F4405">
        <v>21</v>
      </c>
      <c r="G4405">
        <v>3</v>
      </c>
      <c r="H4405">
        <v>1</v>
      </c>
      <c r="I4405">
        <v>102</v>
      </c>
      <c r="J4405">
        <v>1</v>
      </c>
      <c r="K4405">
        <v>95</v>
      </c>
      <c r="L4405">
        <v>197</v>
      </c>
      <c r="M4405">
        <v>1</v>
      </c>
      <c r="N4405">
        <v>7.1382199999999997E-41</v>
      </c>
      <c r="O4405">
        <v>410</v>
      </c>
    </row>
    <row r="4406" spans="1:15" x14ac:dyDescent="0.25">
      <c r="A4406" t="s">
        <v>4419</v>
      </c>
      <c r="B4406">
        <v>181</v>
      </c>
      <c r="C4406" s="1" t="str">
        <f>HYPERLINK("http://www.rosaceae.org/gb/gbrowse/malus_x_domestica/?name=MDP0000161378","MDP0000161378")</f>
        <v>MDP0000161378</v>
      </c>
      <c r="D4406">
        <v>68.7</v>
      </c>
      <c r="E4406">
        <v>131</v>
      </c>
      <c r="F4406">
        <v>41</v>
      </c>
      <c r="G4406">
        <v>0</v>
      </c>
      <c r="H4406">
        <v>2</v>
      </c>
      <c r="I4406">
        <v>132</v>
      </c>
      <c r="J4406">
        <v>1</v>
      </c>
      <c r="K4406">
        <v>329</v>
      </c>
      <c r="L4406">
        <v>459</v>
      </c>
      <c r="M4406">
        <v>1</v>
      </c>
      <c r="N4406">
        <v>8.9228300000000007E-50</v>
      </c>
      <c r="O4406">
        <v>490</v>
      </c>
    </row>
    <row r="4407" spans="1:15" x14ac:dyDescent="0.25">
      <c r="A4407" t="s">
        <v>4420</v>
      </c>
      <c r="B4407">
        <v>127</v>
      </c>
      <c r="C4407" s="1" t="str">
        <f>HYPERLINK("http://www.rosaceae.org/gb/gbrowse/malus_x_domestica/?name=MDP0000206285","MDP0000206285")</f>
        <v>MDP0000206285</v>
      </c>
      <c r="D4407">
        <v>54.41</v>
      </c>
      <c r="E4407">
        <v>136</v>
      </c>
      <c r="F4407">
        <v>62</v>
      </c>
      <c r="G4407">
        <v>10</v>
      </c>
      <c r="H4407">
        <v>1</v>
      </c>
      <c r="I4407">
        <v>126</v>
      </c>
      <c r="J4407">
        <v>1</v>
      </c>
      <c r="K4407">
        <v>47</v>
      </c>
      <c r="L4407">
        <v>182</v>
      </c>
      <c r="M4407">
        <v>1</v>
      </c>
      <c r="N4407">
        <v>2.4609399999999998E-33</v>
      </c>
      <c r="O4407">
        <v>345</v>
      </c>
    </row>
    <row r="4408" spans="1:15" x14ac:dyDescent="0.25">
      <c r="A4408" t="s">
        <v>4421</v>
      </c>
      <c r="B4408">
        <v>205</v>
      </c>
      <c r="C4408" s="1" t="str">
        <f>HYPERLINK("http://www.rosaceae.org/gb/gbrowse/malus_x_domestica/?name=MDP0000182792","MDP0000182792")</f>
        <v>MDP0000182792</v>
      </c>
      <c r="D4408">
        <v>52.77</v>
      </c>
      <c r="E4408">
        <v>108</v>
      </c>
      <c r="F4408">
        <v>51</v>
      </c>
      <c r="G4408">
        <v>9</v>
      </c>
      <c r="H4408">
        <v>106</v>
      </c>
      <c r="I4408">
        <v>205</v>
      </c>
      <c r="J4408">
        <v>1</v>
      </c>
      <c r="K4408">
        <v>436</v>
      </c>
      <c r="L4408">
        <v>542</v>
      </c>
      <c r="M4408">
        <v>1</v>
      </c>
      <c r="N4408">
        <v>4.7304700000000001E-23</v>
      </c>
      <c r="O4408">
        <v>260</v>
      </c>
    </row>
    <row r="4409" spans="1:15" x14ac:dyDescent="0.25">
      <c r="A4409" t="s">
        <v>4422</v>
      </c>
      <c r="B4409">
        <v>320</v>
      </c>
      <c r="C4409" s="1" t="str">
        <f>HYPERLINK("http://www.rosaceae.org/gb/gbrowse/malus_x_domestica/?name=MDP0000531361","MDP0000531361")</f>
        <v>MDP0000531361</v>
      </c>
      <c r="D4409">
        <v>43.53</v>
      </c>
      <c r="E4409">
        <v>317</v>
      </c>
      <c r="F4409">
        <v>179</v>
      </c>
      <c r="G4409">
        <v>32</v>
      </c>
      <c r="H4409">
        <v>15</v>
      </c>
      <c r="I4409">
        <v>320</v>
      </c>
      <c r="J4409">
        <v>1</v>
      </c>
      <c r="K4409">
        <v>34</v>
      </c>
      <c r="L4409">
        <v>329</v>
      </c>
      <c r="M4409">
        <v>1</v>
      </c>
      <c r="N4409">
        <v>3.2475299999999997E-57</v>
      </c>
      <c r="O4409">
        <v>558</v>
      </c>
    </row>
    <row r="4410" spans="1:15" x14ac:dyDescent="0.25">
      <c r="A4410" t="s">
        <v>4423</v>
      </c>
      <c r="B4410">
        <v>216</v>
      </c>
      <c r="C4410" s="1" t="str">
        <f>HYPERLINK("http://www.rosaceae.org/gb/gbrowse/malus_x_domestica/?name=MDP0000128309","MDP0000128309")</f>
        <v>MDP0000128309</v>
      </c>
      <c r="D4410">
        <v>42.3</v>
      </c>
      <c r="E4410">
        <v>208</v>
      </c>
      <c r="F4410">
        <v>120</v>
      </c>
      <c r="G4410">
        <v>30</v>
      </c>
      <c r="H4410">
        <v>26</v>
      </c>
      <c r="I4410">
        <v>216</v>
      </c>
      <c r="J4410">
        <v>1</v>
      </c>
      <c r="K4410">
        <v>1</v>
      </c>
      <c r="L4410">
        <v>195</v>
      </c>
      <c r="M4410">
        <v>1</v>
      </c>
      <c r="N4410">
        <v>6.8545700000000002E-34</v>
      </c>
      <c r="O4410">
        <v>354</v>
      </c>
    </row>
    <row r="4411" spans="1:15" x14ac:dyDescent="0.25">
      <c r="A4411" t="s">
        <v>4424</v>
      </c>
      <c r="B4411">
        <v>296</v>
      </c>
      <c r="C4411" s="1" t="str">
        <f>HYPERLINK("http://www.rosaceae.org/gb/gbrowse/malus_x_domestica/?name=MDP0000222184","MDP0000222184")</f>
        <v>MDP0000222184</v>
      </c>
      <c r="D4411">
        <v>59.64</v>
      </c>
      <c r="E4411">
        <v>57</v>
      </c>
      <c r="F4411">
        <v>23</v>
      </c>
      <c r="G4411">
        <v>0</v>
      </c>
      <c r="H4411">
        <v>19</v>
      </c>
      <c r="I4411">
        <v>75</v>
      </c>
      <c r="J4411">
        <v>1</v>
      </c>
      <c r="K4411">
        <v>23</v>
      </c>
      <c r="L4411">
        <v>79</v>
      </c>
      <c r="M4411">
        <v>1</v>
      </c>
      <c r="N4411">
        <v>3.9515300000000002E-12</v>
      </c>
      <c r="O4411">
        <v>168</v>
      </c>
    </row>
    <row r="4412" spans="1:15" x14ac:dyDescent="0.25">
      <c r="A4412" t="s">
        <v>4425</v>
      </c>
      <c r="B4412">
        <v>766</v>
      </c>
      <c r="C4412" s="1" t="str">
        <f>HYPERLINK("http://www.rosaceae.org/gb/gbrowse/malus_x_domestica/?name=MDP0000296400","MDP0000296400")</f>
        <v>MDP0000296400</v>
      </c>
      <c r="D4412">
        <v>66.44</v>
      </c>
      <c r="E4412">
        <v>736</v>
      </c>
      <c r="F4412">
        <v>247</v>
      </c>
      <c r="G4412">
        <v>59</v>
      </c>
      <c r="H4412">
        <v>65</v>
      </c>
      <c r="I4412">
        <v>757</v>
      </c>
      <c r="J4412">
        <v>1</v>
      </c>
      <c r="K4412">
        <v>1</v>
      </c>
      <c r="L4412">
        <v>720</v>
      </c>
      <c r="M4412">
        <v>1</v>
      </c>
      <c r="N4412">
        <v>0</v>
      </c>
      <c r="O4412">
        <v>2389</v>
      </c>
    </row>
    <row r="4413" spans="1:15" x14ac:dyDescent="0.25">
      <c r="A4413" t="s">
        <v>4426</v>
      </c>
      <c r="B4413">
        <v>438</v>
      </c>
      <c r="C4413" s="1" t="str">
        <f>HYPERLINK("http://www.rosaceae.org/gb/gbrowse/malus_x_domestica/?name=MDP0000603546","MDP0000603546")</f>
        <v>MDP0000603546</v>
      </c>
      <c r="D4413">
        <v>54.52</v>
      </c>
      <c r="E4413">
        <v>464</v>
      </c>
      <c r="F4413">
        <v>211</v>
      </c>
      <c r="G4413">
        <v>62</v>
      </c>
      <c r="H4413">
        <v>27</v>
      </c>
      <c r="I4413">
        <v>435</v>
      </c>
      <c r="J4413">
        <v>1</v>
      </c>
      <c r="K4413">
        <v>22</v>
      </c>
      <c r="L4413">
        <v>478</v>
      </c>
      <c r="M4413">
        <v>1</v>
      </c>
      <c r="N4413">
        <v>1.6119500000000001E-131</v>
      </c>
      <c r="O4413">
        <v>1200</v>
      </c>
    </row>
    <row r="4414" spans="1:15" x14ac:dyDescent="0.25">
      <c r="A4414" t="s">
        <v>4427</v>
      </c>
      <c r="B4414">
        <v>316</v>
      </c>
      <c r="C4414" s="1" t="str">
        <f>HYPERLINK("http://www.rosaceae.org/gb/gbrowse/malus_x_domestica/?name=MDP0000214672","MDP0000214672")</f>
        <v>MDP0000214672</v>
      </c>
      <c r="D4414">
        <v>57.83</v>
      </c>
      <c r="E4414">
        <v>268</v>
      </c>
      <c r="F4414">
        <v>113</v>
      </c>
      <c r="G4414">
        <v>7</v>
      </c>
      <c r="H4414">
        <v>46</v>
      </c>
      <c r="I4414">
        <v>312</v>
      </c>
      <c r="J4414">
        <v>1</v>
      </c>
      <c r="K4414">
        <v>51</v>
      </c>
      <c r="L4414">
        <v>312</v>
      </c>
      <c r="M4414">
        <v>1</v>
      </c>
      <c r="N4414">
        <v>3.64057E-88</v>
      </c>
      <c r="O4414">
        <v>825</v>
      </c>
    </row>
    <row r="4415" spans="1:15" x14ac:dyDescent="0.25">
      <c r="A4415" t="s">
        <v>4428</v>
      </c>
      <c r="B4415">
        <v>431</v>
      </c>
      <c r="C4415" s="1" t="str">
        <f>HYPERLINK("http://www.rosaceae.org/gb/gbrowse/malus_x_domestica/?name=MDP0000309451","MDP0000309451")</f>
        <v>MDP0000309451</v>
      </c>
      <c r="D4415">
        <v>45.74</v>
      </c>
      <c r="E4415">
        <v>341</v>
      </c>
      <c r="F4415">
        <v>185</v>
      </c>
      <c r="G4415">
        <v>26</v>
      </c>
      <c r="H4415">
        <v>1</v>
      </c>
      <c r="I4415">
        <v>321</v>
      </c>
      <c r="J4415">
        <v>1</v>
      </c>
      <c r="K4415">
        <v>1</v>
      </c>
      <c r="L4415">
        <v>335</v>
      </c>
      <c r="M4415">
        <v>1</v>
      </c>
      <c r="N4415">
        <v>1.9092699999999999E-78</v>
      </c>
      <c r="O4415">
        <v>742</v>
      </c>
    </row>
    <row r="4416" spans="1:15" x14ac:dyDescent="0.25">
      <c r="A4416" t="s">
        <v>4429</v>
      </c>
      <c r="B4416">
        <v>202</v>
      </c>
      <c r="C4416" s="1" t="str">
        <f>HYPERLINK("http://www.rosaceae.org/gb/gbrowse/malus_x_domestica/?name=MDP0000670935","MDP0000670935")</f>
        <v>MDP0000670935</v>
      </c>
      <c r="D4416">
        <v>43</v>
      </c>
      <c r="E4416">
        <v>193</v>
      </c>
      <c r="F4416">
        <v>110</v>
      </c>
      <c r="G4416">
        <v>56</v>
      </c>
      <c r="H4416">
        <v>7</v>
      </c>
      <c r="I4416">
        <v>145</v>
      </c>
      <c r="J4416">
        <v>1</v>
      </c>
      <c r="K4416">
        <v>171</v>
      </c>
      <c r="L4416">
        <v>361</v>
      </c>
      <c r="M4416">
        <v>1</v>
      </c>
      <c r="N4416">
        <v>4.7995600000000001E-35</v>
      </c>
      <c r="O4416">
        <v>364</v>
      </c>
    </row>
    <row r="4417" spans="1:15" x14ac:dyDescent="0.25">
      <c r="A4417" t="s">
        <v>4430</v>
      </c>
      <c r="B4417">
        <v>392</v>
      </c>
      <c r="C4417" s="1" t="str">
        <f>HYPERLINK("http://www.rosaceae.org/gb/gbrowse/malus_x_domestica/?name=MDP0000822226","MDP0000822226")</f>
        <v>MDP0000822226</v>
      </c>
      <c r="D4417">
        <v>57.7</v>
      </c>
      <c r="E4417">
        <v>357</v>
      </c>
      <c r="F4417">
        <v>151</v>
      </c>
      <c r="G4417">
        <v>28</v>
      </c>
      <c r="H4417">
        <v>2</v>
      </c>
      <c r="I4417">
        <v>331</v>
      </c>
      <c r="J4417">
        <v>1</v>
      </c>
      <c r="K4417">
        <v>6</v>
      </c>
      <c r="L4417">
        <v>361</v>
      </c>
      <c r="M4417">
        <v>1</v>
      </c>
      <c r="N4417">
        <v>5.4735000000000004E-116</v>
      </c>
      <c r="O4417">
        <v>1066</v>
      </c>
    </row>
    <row r="4418" spans="1:15" x14ac:dyDescent="0.25">
      <c r="A4418" t="s">
        <v>4431</v>
      </c>
      <c r="B4418">
        <v>864</v>
      </c>
      <c r="C4418" s="1" t="str">
        <f>HYPERLINK("http://www.rosaceae.org/gb/gbrowse/malus_x_domestica/?name=MDP0000281346","MDP0000281346")</f>
        <v>MDP0000281346</v>
      </c>
      <c r="D4418">
        <v>47.78</v>
      </c>
      <c r="E4418">
        <v>948</v>
      </c>
      <c r="F4418">
        <v>495</v>
      </c>
      <c r="G4418">
        <v>161</v>
      </c>
      <c r="H4418">
        <v>1</v>
      </c>
      <c r="I4418">
        <v>853</v>
      </c>
      <c r="J4418">
        <v>1</v>
      </c>
      <c r="K4418">
        <v>876</v>
      </c>
      <c r="L4418">
        <v>1757</v>
      </c>
      <c r="M4418">
        <v>1</v>
      </c>
      <c r="N4418">
        <v>0</v>
      </c>
      <c r="O4418">
        <v>1767</v>
      </c>
    </row>
    <row r="4419" spans="1:15" x14ac:dyDescent="0.25">
      <c r="A4419" t="s">
        <v>4432</v>
      </c>
      <c r="B4419">
        <v>134</v>
      </c>
      <c r="C4419" s="1" t="str">
        <f>HYPERLINK("http://www.rosaceae.org/gb/gbrowse/malus_x_domestica/?name=MDP0000226816","MDP0000226816")</f>
        <v>MDP0000226816</v>
      </c>
      <c r="D4419">
        <v>53.84</v>
      </c>
      <c r="E4419">
        <v>65</v>
      </c>
      <c r="F4419">
        <v>30</v>
      </c>
      <c r="G4419">
        <v>1</v>
      </c>
      <c r="H4419">
        <v>70</v>
      </c>
      <c r="I4419">
        <v>134</v>
      </c>
      <c r="J4419">
        <v>1</v>
      </c>
      <c r="K4419">
        <v>318</v>
      </c>
      <c r="L4419">
        <v>381</v>
      </c>
      <c r="M4419">
        <v>1</v>
      </c>
      <c r="N4419">
        <v>6.8549699999999998E-12</v>
      </c>
      <c r="O4419">
        <v>161</v>
      </c>
    </row>
    <row r="4420" spans="1:15" x14ac:dyDescent="0.25">
      <c r="A4420" t="s">
        <v>4433</v>
      </c>
      <c r="B4420">
        <v>502</v>
      </c>
      <c r="C4420" s="1" t="str">
        <f>HYPERLINK("http://www.rosaceae.org/gb/gbrowse/malus_x_domestica/?name=MDP0000147542","MDP0000147542")</f>
        <v>MDP0000147542</v>
      </c>
      <c r="D4420">
        <v>85.07</v>
      </c>
      <c r="E4420">
        <v>489</v>
      </c>
      <c r="F4420">
        <v>73</v>
      </c>
      <c r="G4420">
        <v>4</v>
      </c>
      <c r="H4420">
        <v>17</v>
      </c>
      <c r="I4420">
        <v>502</v>
      </c>
      <c r="J4420">
        <v>1</v>
      </c>
      <c r="K4420">
        <v>408</v>
      </c>
      <c r="L4420">
        <v>895</v>
      </c>
      <c r="M4420">
        <v>1</v>
      </c>
      <c r="N4420">
        <v>0</v>
      </c>
      <c r="O4420">
        <v>2230</v>
      </c>
    </row>
    <row r="4421" spans="1:15" x14ac:dyDescent="0.25">
      <c r="A4421" t="s">
        <v>4434</v>
      </c>
      <c r="B4421">
        <v>241</v>
      </c>
      <c r="C4421" s="1" t="str">
        <f>HYPERLINK("http://www.rosaceae.org/gb/gbrowse/malus_x_domestica/?name=MDP0000727250","MDP0000727250")</f>
        <v>MDP0000727250</v>
      </c>
      <c r="D4421">
        <v>34.96</v>
      </c>
      <c r="E4421">
        <v>163</v>
      </c>
      <c r="F4421">
        <v>106</v>
      </c>
      <c r="G4421">
        <v>8</v>
      </c>
      <c r="H4421">
        <v>3</v>
      </c>
      <c r="I4421">
        <v>164</v>
      </c>
      <c r="J4421">
        <v>1</v>
      </c>
      <c r="K4421">
        <v>313</v>
      </c>
      <c r="L4421">
        <v>468</v>
      </c>
      <c r="M4421">
        <v>1</v>
      </c>
      <c r="N4421">
        <v>1.97914E-20</v>
      </c>
      <c r="O4421">
        <v>239</v>
      </c>
    </row>
    <row r="4422" spans="1:15" x14ac:dyDescent="0.25">
      <c r="A4422" t="s">
        <v>4435</v>
      </c>
      <c r="B4422">
        <v>212</v>
      </c>
      <c r="C4422" s="1" t="str">
        <f>HYPERLINK("http://www.rosaceae.org/gb/gbrowse/malus_x_domestica/?name=MDP0000851342","MDP0000851342")</f>
        <v>MDP0000851342</v>
      </c>
      <c r="D4422">
        <v>46.28</v>
      </c>
      <c r="E4422">
        <v>175</v>
      </c>
      <c r="F4422">
        <v>94</v>
      </c>
      <c r="G4422">
        <v>35</v>
      </c>
      <c r="H4422">
        <v>1</v>
      </c>
      <c r="I4422">
        <v>161</v>
      </c>
      <c r="J4422">
        <v>1</v>
      </c>
      <c r="K4422">
        <v>1</v>
      </c>
      <c r="L4422">
        <v>154</v>
      </c>
      <c r="M4422">
        <v>1</v>
      </c>
      <c r="N4422">
        <v>2.6228499999999999E-33</v>
      </c>
      <c r="O4422">
        <v>349</v>
      </c>
    </row>
    <row r="4423" spans="1:15" x14ac:dyDescent="0.25">
      <c r="A4423" t="s">
        <v>4436</v>
      </c>
      <c r="B4423">
        <v>305</v>
      </c>
      <c r="C4423" s="1" t="str">
        <f>HYPERLINK("http://www.rosaceae.org/gb/gbrowse/malus_x_domestica/?name=MDP0000152754","MDP0000152754")</f>
        <v>MDP0000152754</v>
      </c>
      <c r="D4423">
        <v>63.67</v>
      </c>
      <c r="E4423">
        <v>256</v>
      </c>
      <c r="F4423">
        <v>93</v>
      </c>
      <c r="G4423">
        <v>2</v>
      </c>
      <c r="H4423">
        <v>11</v>
      </c>
      <c r="I4423">
        <v>264</v>
      </c>
      <c r="J4423">
        <v>1</v>
      </c>
      <c r="K4423">
        <v>9</v>
      </c>
      <c r="L4423">
        <v>264</v>
      </c>
      <c r="M4423">
        <v>1</v>
      </c>
      <c r="N4423">
        <v>5.5550700000000001E-88</v>
      </c>
      <c r="O4423">
        <v>823</v>
      </c>
    </row>
    <row r="4424" spans="1:15" x14ac:dyDescent="0.25">
      <c r="A4424" t="s">
        <v>4437</v>
      </c>
      <c r="B4424">
        <v>160</v>
      </c>
      <c r="C4424" s="1" t="str">
        <f>HYPERLINK("http://www.rosaceae.org/gb/gbrowse/malus_x_domestica/?name=MDP0000313454","MDP0000313454")</f>
        <v>MDP0000313454</v>
      </c>
      <c r="D4424">
        <v>75</v>
      </c>
      <c r="E4424">
        <v>160</v>
      </c>
      <c r="F4424">
        <v>40</v>
      </c>
      <c r="G4424">
        <v>0</v>
      </c>
      <c r="H4424">
        <v>1</v>
      </c>
      <c r="I4424">
        <v>160</v>
      </c>
      <c r="J4424">
        <v>1</v>
      </c>
      <c r="K4424">
        <v>1</v>
      </c>
      <c r="L4424">
        <v>160</v>
      </c>
      <c r="M4424">
        <v>1</v>
      </c>
      <c r="N4424">
        <v>4.22635E-70</v>
      </c>
      <c r="O4424">
        <v>664</v>
      </c>
    </row>
    <row r="4425" spans="1:15" x14ac:dyDescent="0.25">
      <c r="A4425" t="s">
        <v>4438</v>
      </c>
      <c r="B4425">
        <v>129</v>
      </c>
      <c r="C4425" s="1" t="str">
        <f>HYPERLINK("http://www.rosaceae.org/gb/gbrowse/malus_x_domestica/?name=MDP0000306320","MDP0000306320")</f>
        <v>MDP0000306320</v>
      </c>
      <c r="D4425">
        <v>63.56</v>
      </c>
      <c r="E4425">
        <v>129</v>
      </c>
      <c r="F4425">
        <v>47</v>
      </c>
      <c r="G4425">
        <v>0</v>
      </c>
      <c r="H4425">
        <v>1</v>
      </c>
      <c r="I4425">
        <v>129</v>
      </c>
      <c r="J4425">
        <v>1</v>
      </c>
      <c r="K4425">
        <v>1</v>
      </c>
      <c r="L4425">
        <v>129</v>
      </c>
      <c r="M4425">
        <v>1</v>
      </c>
      <c r="N4425">
        <v>5.8320900000000002E-35</v>
      </c>
      <c r="O4425">
        <v>359</v>
      </c>
    </row>
    <row r="4426" spans="1:15" x14ac:dyDescent="0.25">
      <c r="A4426" t="s">
        <v>4439</v>
      </c>
      <c r="B4426">
        <v>365</v>
      </c>
      <c r="C4426" s="1" t="str">
        <f>HYPERLINK("http://www.rosaceae.org/gb/gbrowse/malus_x_domestica/?name=MDP0000207157","MDP0000207157")</f>
        <v>MDP0000207157</v>
      </c>
      <c r="D4426">
        <v>35.76</v>
      </c>
      <c r="E4426">
        <v>397</v>
      </c>
      <c r="F4426">
        <v>255</v>
      </c>
      <c r="G4426">
        <v>88</v>
      </c>
      <c r="H4426">
        <v>4</v>
      </c>
      <c r="I4426">
        <v>364</v>
      </c>
      <c r="J4426">
        <v>1</v>
      </c>
      <c r="K4426">
        <v>2</v>
      </c>
      <c r="L4426">
        <v>346</v>
      </c>
      <c r="M4426">
        <v>1</v>
      </c>
      <c r="N4426">
        <v>3.6810200000000002E-50</v>
      </c>
      <c r="O4426">
        <v>498</v>
      </c>
    </row>
    <row r="4427" spans="1:15" x14ac:dyDescent="0.25">
      <c r="A4427" t="s">
        <v>4440</v>
      </c>
      <c r="B4427">
        <v>464</v>
      </c>
      <c r="C4427" s="1" t="str">
        <f>HYPERLINK("http://www.rosaceae.org/gb/gbrowse/malus_x_domestica/?name=MDP0000209471","MDP0000209471")</f>
        <v>MDP0000209471</v>
      </c>
      <c r="D4427">
        <v>73.459999999999994</v>
      </c>
      <c r="E4427">
        <v>309</v>
      </c>
      <c r="F4427">
        <v>82</v>
      </c>
      <c r="G4427">
        <v>18</v>
      </c>
      <c r="H4427">
        <v>168</v>
      </c>
      <c r="I4427">
        <v>464</v>
      </c>
      <c r="J4427">
        <v>1</v>
      </c>
      <c r="K4427">
        <v>1</v>
      </c>
      <c r="L4427">
        <v>303</v>
      </c>
      <c r="M4427">
        <v>1</v>
      </c>
      <c r="N4427">
        <v>2.80901E-122</v>
      </c>
      <c r="O4427">
        <v>1121</v>
      </c>
    </row>
    <row r="4428" spans="1:15" x14ac:dyDescent="0.25">
      <c r="A4428" t="s">
        <v>4441</v>
      </c>
      <c r="B4428">
        <v>679</v>
      </c>
      <c r="C4428" s="1" t="str">
        <f>HYPERLINK("http://www.rosaceae.org/gb/gbrowse/malus_x_domestica/?name=MDP0000282499","MDP0000282499")</f>
        <v>MDP0000282499</v>
      </c>
      <c r="D4428">
        <v>47.15</v>
      </c>
      <c r="E4428">
        <v>299</v>
      </c>
      <c r="F4428">
        <v>158</v>
      </c>
      <c r="G4428">
        <v>27</v>
      </c>
      <c r="H4428">
        <v>1</v>
      </c>
      <c r="I4428">
        <v>288</v>
      </c>
      <c r="J4428">
        <v>1</v>
      </c>
      <c r="K4428">
        <v>686</v>
      </c>
      <c r="L4428">
        <v>968</v>
      </c>
      <c r="M4428">
        <v>1</v>
      </c>
      <c r="N4428">
        <v>6.0699499999999999E-69</v>
      </c>
      <c r="O4428">
        <v>662</v>
      </c>
    </row>
    <row r="4429" spans="1:15" x14ac:dyDescent="0.25">
      <c r="A4429" t="s">
        <v>4442</v>
      </c>
      <c r="B4429">
        <v>775</v>
      </c>
      <c r="C4429" s="1" t="str">
        <f>HYPERLINK("http://www.rosaceae.org/gb/gbrowse/malus_x_domestica/?name=MDP0000478473","MDP0000478473")</f>
        <v>MDP0000478473</v>
      </c>
      <c r="D4429">
        <v>50.83</v>
      </c>
      <c r="E4429">
        <v>478</v>
      </c>
      <c r="F4429">
        <v>235</v>
      </c>
      <c r="G4429">
        <v>28</v>
      </c>
      <c r="H4429">
        <v>30</v>
      </c>
      <c r="I4429">
        <v>502</v>
      </c>
      <c r="J4429">
        <v>1</v>
      </c>
      <c r="K4429">
        <v>19</v>
      </c>
      <c r="L4429">
        <v>473</v>
      </c>
      <c r="M4429">
        <v>1</v>
      </c>
      <c r="N4429">
        <v>1.7021499999999999E-139</v>
      </c>
      <c r="O4429">
        <v>1271</v>
      </c>
    </row>
    <row r="4430" spans="1:15" x14ac:dyDescent="0.25">
      <c r="A4430" t="s">
        <v>4443</v>
      </c>
      <c r="B4430">
        <v>378</v>
      </c>
      <c r="C4430" s="1" t="str">
        <f>HYPERLINK("http://www.rosaceae.org/gb/gbrowse/malus_x_domestica/?name=MDP0000168023","MDP0000168023")</f>
        <v>MDP0000168023</v>
      </c>
      <c r="D4430">
        <v>67</v>
      </c>
      <c r="E4430">
        <v>294</v>
      </c>
      <c r="F4430">
        <v>97</v>
      </c>
      <c r="G4430">
        <v>23</v>
      </c>
      <c r="H4430">
        <v>93</v>
      </c>
      <c r="I4430">
        <v>378</v>
      </c>
      <c r="J4430">
        <v>1</v>
      </c>
      <c r="K4430">
        <v>1</v>
      </c>
      <c r="L4430">
        <v>279</v>
      </c>
      <c r="M4430">
        <v>1</v>
      </c>
      <c r="N4430">
        <v>2.01877E-103</v>
      </c>
      <c r="O4430">
        <v>957</v>
      </c>
    </row>
    <row r="4431" spans="1:15" x14ac:dyDescent="0.25">
      <c r="A4431" t="s">
        <v>4444</v>
      </c>
      <c r="B4431">
        <v>501</v>
      </c>
      <c r="C4431" s="1" t="str">
        <f>HYPERLINK("http://www.rosaceae.org/gb/gbrowse/malus_x_domestica/?name=MDP0000176307","MDP0000176307")</f>
        <v>MDP0000176307</v>
      </c>
      <c r="D4431">
        <v>29.32</v>
      </c>
      <c r="E4431">
        <v>266</v>
      </c>
      <c r="F4431">
        <v>188</v>
      </c>
      <c r="G4431">
        <v>65</v>
      </c>
      <c r="H4431">
        <v>1</v>
      </c>
      <c r="I4431">
        <v>227</v>
      </c>
      <c r="J4431">
        <v>1</v>
      </c>
      <c r="K4431">
        <v>76</v>
      </c>
      <c r="L4431">
        <v>315</v>
      </c>
      <c r="M4431">
        <v>1</v>
      </c>
      <c r="N4431">
        <v>4.0186100000000003E-11</v>
      </c>
      <c r="O4431">
        <v>162</v>
      </c>
    </row>
    <row r="4432" spans="1:15" x14ac:dyDescent="0.25">
      <c r="A4432" t="s">
        <v>4445</v>
      </c>
      <c r="B4432">
        <v>366</v>
      </c>
      <c r="C4432" s="1" t="str">
        <f>HYPERLINK("http://www.rosaceae.org/gb/gbrowse/malus_x_domestica/?name=MDP0000317741","MDP0000317741")</f>
        <v>MDP0000317741</v>
      </c>
      <c r="D4432">
        <v>41.83</v>
      </c>
      <c r="E4432">
        <v>98</v>
      </c>
      <c r="F4432">
        <v>57</v>
      </c>
      <c r="G4432">
        <v>2</v>
      </c>
      <c r="H4432">
        <v>230</v>
      </c>
      <c r="I4432">
        <v>327</v>
      </c>
      <c r="J4432">
        <v>1</v>
      </c>
      <c r="K4432">
        <v>175</v>
      </c>
      <c r="L4432">
        <v>270</v>
      </c>
      <c r="M4432">
        <v>1</v>
      </c>
      <c r="N4432">
        <v>2.9070899999999998E-14</v>
      </c>
      <c r="O4432">
        <v>188</v>
      </c>
    </row>
    <row r="4433" spans="1:15" x14ac:dyDescent="0.25">
      <c r="A4433" t="s">
        <v>4446</v>
      </c>
      <c r="B4433">
        <v>336</v>
      </c>
      <c r="C4433" s="1" t="str">
        <f>HYPERLINK("http://www.rosaceae.org/gb/gbrowse/malus_x_domestica/?name=MDP0000132504","MDP0000132504")</f>
        <v>MDP0000132504</v>
      </c>
      <c r="D4433">
        <v>80.66</v>
      </c>
      <c r="E4433">
        <v>331</v>
      </c>
      <c r="F4433">
        <v>64</v>
      </c>
      <c r="G4433">
        <v>0</v>
      </c>
      <c r="H4433">
        <v>1</v>
      </c>
      <c r="I4433">
        <v>331</v>
      </c>
      <c r="J4433">
        <v>1</v>
      </c>
      <c r="K4433">
        <v>1</v>
      </c>
      <c r="L4433">
        <v>331</v>
      </c>
      <c r="M4433">
        <v>1</v>
      </c>
      <c r="N4433">
        <v>6.4771300000000002E-167</v>
      </c>
      <c r="O4433">
        <v>1504</v>
      </c>
    </row>
    <row r="4434" spans="1:15" x14ac:dyDescent="0.25">
      <c r="A4434" t="s">
        <v>4447</v>
      </c>
      <c r="B4434">
        <v>397</v>
      </c>
      <c r="C4434" s="1" t="str">
        <f>HYPERLINK("http://www.rosaceae.org/gb/gbrowse/malus_x_domestica/?name=MDP0000140550","MDP0000140550")</f>
        <v>MDP0000140550</v>
      </c>
      <c r="D4434">
        <v>43.82</v>
      </c>
      <c r="E4434">
        <v>162</v>
      </c>
      <c r="F4434">
        <v>91</v>
      </c>
      <c r="G4434">
        <v>6</v>
      </c>
      <c r="H4434">
        <v>159</v>
      </c>
      <c r="I4434">
        <v>315</v>
      </c>
      <c r="J4434">
        <v>1</v>
      </c>
      <c r="K4434">
        <v>2</v>
      </c>
      <c r="L4434">
        <v>162</v>
      </c>
      <c r="M4434">
        <v>1</v>
      </c>
      <c r="N4434">
        <v>1.9810600000000001E-30</v>
      </c>
      <c r="O4434">
        <v>328</v>
      </c>
    </row>
    <row r="4435" spans="1:15" x14ac:dyDescent="0.25">
      <c r="A4435" t="s">
        <v>4448</v>
      </c>
      <c r="B4435">
        <v>336</v>
      </c>
      <c r="C4435" s="1" t="str">
        <f>HYPERLINK("http://www.rosaceae.org/gb/gbrowse/malus_x_domestica/?name=MDP0000812055","MDP0000812055")</f>
        <v>MDP0000812055</v>
      </c>
      <c r="D4435">
        <v>82.98</v>
      </c>
      <c r="E4435">
        <v>335</v>
      </c>
      <c r="F4435">
        <v>57</v>
      </c>
      <c r="G4435">
        <v>5</v>
      </c>
      <c r="H4435">
        <v>5</v>
      </c>
      <c r="I4435">
        <v>336</v>
      </c>
      <c r="J4435">
        <v>1</v>
      </c>
      <c r="K4435">
        <v>7</v>
      </c>
      <c r="L4435">
        <v>339</v>
      </c>
      <c r="M4435">
        <v>1</v>
      </c>
      <c r="N4435">
        <v>5.0285399999999998E-148</v>
      </c>
      <c r="O4435">
        <v>1341</v>
      </c>
    </row>
    <row r="4436" spans="1:15" x14ac:dyDescent="0.25">
      <c r="A4436" t="s">
        <v>4449</v>
      </c>
      <c r="B4436">
        <v>280</v>
      </c>
      <c r="C4436" s="1" t="str">
        <f>HYPERLINK("http://www.rosaceae.org/gb/gbrowse/malus_x_domestica/?name=MDP0000302532","MDP0000302532")</f>
        <v>MDP0000302532</v>
      </c>
      <c r="D4436">
        <v>30.74</v>
      </c>
      <c r="E4436">
        <v>270</v>
      </c>
      <c r="F4436">
        <v>187</v>
      </c>
      <c r="G4436">
        <v>31</v>
      </c>
      <c r="H4436">
        <v>4</v>
      </c>
      <c r="I4436">
        <v>253</v>
      </c>
      <c r="J4436">
        <v>1</v>
      </c>
      <c r="K4436">
        <v>6</v>
      </c>
      <c r="L4436">
        <v>264</v>
      </c>
      <c r="M4436">
        <v>1</v>
      </c>
      <c r="N4436">
        <v>3.61495E-24</v>
      </c>
      <c r="O4436">
        <v>272</v>
      </c>
    </row>
    <row r="4437" spans="1:15" x14ac:dyDescent="0.25">
      <c r="A4437" t="s">
        <v>4450</v>
      </c>
      <c r="B4437">
        <v>388</v>
      </c>
      <c r="C4437" s="1" t="str">
        <f>HYPERLINK("http://www.rosaceae.org/gb/gbrowse/malus_x_domestica/?name=MDP0000152391","MDP0000152391")</f>
        <v>MDP0000152391</v>
      </c>
      <c r="D4437">
        <v>44.95</v>
      </c>
      <c r="E4437">
        <v>416</v>
      </c>
      <c r="F4437">
        <v>229</v>
      </c>
      <c r="G4437">
        <v>52</v>
      </c>
      <c r="H4437">
        <v>8</v>
      </c>
      <c r="I4437">
        <v>386</v>
      </c>
      <c r="J4437">
        <v>1</v>
      </c>
      <c r="K4437">
        <v>5</v>
      </c>
      <c r="L4437">
        <v>405</v>
      </c>
      <c r="M4437">
        <v>1</v>
      </c>
      <c r="N4437">
        <v>4.0005900000000001E-84</v>
      </c>
      <c r="O4437">
        <v>791</v>
      </c>
    </row>
    <row r="4438" spans="1:15" x14ac:dyDescent="0.25">
      <c r="A4438" t="s">
        <v>4451</v>
      </c>
      <c r="B4438">
        <v>881</v>
      </c>
      <c r="C4438" s="1" t="str">
        <f>HYPERLINK("http://www.rosaceae.org/gb/gbrowse/malus_x_domestica/?name=MDP0000318224","MDP0000318224")</f>
        <v>MDP0000318224</v>
      </c>
      <c r="D4438">
        <v>57.67</v>
      </c>
      <c r="E4438">
        <v>241</v>
      </c>
      <c r="F4438">
        <v>102</v>
      </c>
      <c r="G4438">
        <v>24</v>
      </c>
      <c r="H4438">
        <v>75</v>
      </c>
      <c r="I4438">
        <v>313</v>
      </c>
      <c r="J4438">
        <v>1</v>
      </c>
      <c r="K4438">
        <v>164</v>
      </c>
      <c r="L4438">
        <v>382</v>
      </c>
      <c r="M4438">
        <v>1</v>
      </c>
      <c r="N4438">
        <v>1.4696E-74</v>
      </c>
      <c r="O4438">
        <v>712</v>
      </c>
    </row>
    <row r="4439" spans="1:15" x14ac:dyDescent="0.25">
      <c r="A4439" t="s">
        <v>4452</v>
      </c>
      <c r="B4439">
        <v>468</v>
      </c>
      <c r="C4439" s="1" t="str">
        <f>HYPERLINK("http://www.rosaceae.org/gb/gbrowse/malus_x_domestica/?name=MDP0000172342","MDP0000172342")</f>
        <v>MDP0000172342</v>
      </c>
      <c r="D4439">
        <v>73.09</v>
      </c>
      <c r="E4439">
        <v>472</v>
      </c>
      <c r="F4439">
        <v>127</v>
      </c>
      <c r="G4439">
        <v>10</v>
      </c>
      <c r="H4439">
        <v>1</v>
      </c>
      <c r="I4439">
        <v>468</v>
      </c>
      <c r="J4439">
        <v>1</v>
      </c>
      <c r="K4439">
        <v>1</v>
      </c>
      <c r="L4439">
        <v>466</v>
      </c>
      <c r="M4439">
        <v>1</v>
      </c>
      <c r="N4439">
        <v>0</v>
      </c>
      <c r="O4439">
        <v>1817</v>
      </c>
    </row>
    <row r="4440" spans="1:15" x14ac:dyDescent="0.25">
      <c r="A4440" t="s">
        <v>4453</v>
      </c>
      <c r="B4440">
        <v>1104</v>
      </c>
      <c r="C4440" s="1" t="str">
        <f>HYPERLINK("http://www.rosaceae.org/gb/gbrowse/malus_x_domestica/?name=MDP0000534716","MDP0000534716")</f>
        <v>MDP0000534716</v>
      </c>
      <c r="D4440">
        <v>68.12</v>
      </c>
      <c r="E4440">
        <v>549</v>
      </c>
      <c r="F4440">
        <v>175</v>
      </c>
      <c r="G4440">
        <v>22</v>
      </c>
      <c r="H4440">
        <v>10</v>
      </c>
      <c r="I4440">
        <v>536</v>
      </c>
      <c r="J4440">
        <v>1</v>
      </c>
      <c r="K4440">
        <v>113</v>
      </c>
      <c r="L4440">
        <v>661</v>
      </c>
      <c r="M4440">
        <v>1</v>
      </c>
      <c r="N4440">
        <v>0</v>
      </c>
      <c r="O4440">
        <v>1916</v>
      </c>
    </row>
    <row r="4441" spans="1:15" x14ac:dyDescent="0.25">
      <c r="A4441" t="s">
        <v>4454</v>
      </c>
      <c r="B4441">
        <v>981</v>
      </c>
      <c r="C4441" s="1" t="str">
        <f>HYPERLINK("http://www.rosaceae.org/gb/gbrowse/malus_x_domestica/?name=MDP0000203695","MDP0000203695")</f>
        <v>MDP0000203695</v>
      </c>
      <c r="D4441">
        <v>74.8</v>
      </c>
      <c r="E4441">
        <v>385</v>
      </c>
      <c r="F4441">
        <v>97</v>
      </c>
      <c r="G4441">
        <v>3</v>
      </c>
      <c r="H4441">
        <v>577</v>
      </c>
      <c r="I4441">
        <v>960</v>
      </c>
      <c r="J4441">
        <v>1</v>
      </c>
      <c r="K4441">
        <v>54</v>
      </c>
      <c r="L4441">
        <v>436</v>
      </c>
      <c r="M4441">
        <v>1</v>
      </c>
      <c r="N4441">
        <v>4.20984E-158</v>
      </c>
      <c r="O4441">
        <v>1433</v>
      </c>
    </row>
    <row r="4442" spans="1:15" x14ac:dyDescent="0.25">
      <c r="A4442" t="s">
        <v>4455</v>
      </c>
      <c r="B4442">
        <v>596</v>
      </c>
      <c r="C4442" s="1" t="str">
        <f>HYPERLINK("http://www.rosaceae.org/gb/gbrowse/malus_x_domestica/?name=MDP0000583744","MDP0000583744")</f>
        <v>MDP0000583744</v>
      </c>
      <c r="D4442">
        <v>62.67</v>
      </c>
      <c r="E4442">
        <v>643</v>
      </c>
      <c r="F4442">
        <v>240</v>
      </c>
      <c r="G4442">
        <v>53</v>
      </c>
      <c r="H4442">
        <v>1</v>
      </c>
      <c r="I4442">
        <v>595</v>
      </c>
      <c r="J4442">
        <v>1</v>
      </c>
      <c r="K4442">
        <v>1</v>
      </c>
      <c r="L4442">
        <v>638</v>
      </c>
      <c r="M4442">
        <v>1</v>
      </c>
      <c r="N4442">
        <v>0</v>
      </c>
      <c r="O4442">
        <v>1786</v>
      </c>
    </row>
    <row r="4443" spans="1:15" x14ac:dyDescent="0.25">
      <c r="A4443" t="s">
        <v>4456</v>
      </c>
      <c r="B4443">
        <v>211</v>
      </c>
      <c r="C4443" s="1" t="str">
        <f>HYPERLINK("http://www.rosaceae.org/gb/gbrowse/malus_x_domestica/?name=MDP0000210114","MDP0000210114")</f>
        <v>MDP0000210114</v>
      </c>
      <c r="D4443">
        <v>91.94</v>
      </c>
      <c r="E4443">
        <v>211</v>
      </c>
      <c r="F4443">
        <v>17</v>
      </c>
      <c r="G4443">
        <v>0</v>
      </c>
      <c r="H4443">
        <v>1</v>
      </c>
      <c r="I4443">
        <v>211</v>
      </c>
      <c r="J4443">
        <v>1</v>
      </c>
      <c r="K4443">
        <v>558</v>
      </c>
      <c r="L4443">
        <v>768</v>
      </c>
      <c r="M4443">
        <v>1</v>
      </c>
      <c r="N4443">
        <v>5.5139399999999997E-116</v>
      </c>
      <c r="O4443">
        <v>1062</v>
      </c>
    </row>
    <row r="4444" spans="1:15" x14ac:dyDescent="0.25">
      <c r="A4444" t="s">
        <v>4457</v>
      </c>
      <c r="B4444">
        <v>223</v>
      </c>
      <c r="C4444" s="1" t="str">
        <f>HYPERLINK("http://www.rosaceae.org/gb/gbrowse/malus_x_domestica/?name=MDP0000241545","MDP0000241545")</f>
        <v>MDP0000241545</v>
      </c>
      <c r="D4444">
        <v>70</v>
      </c>
      <c r="E4444">
        <v>210</v>
      </c>
      <c r="F4444">
        <v>63</v>
      </c>
      <c r="G4444">
        <v>7</v>
      </c>
      <c r="H4444">
        <v>21</v>
      </c>
      <c r="I4444">
        <v>223</v>
      </c>
      <c r="J4444">
        <v>1</v>
      </c>
      <c r="K4444">
        <v>24</v>
      </c>
      <c r="L4444">
        <v>233</v>
      </c>
      <c r="M4444">
        <v>1</v>
      </c>
      <c r="N4444">
        <v>7.5648800000000003E-84</v>
      </c>
      <c r="O4444">
        <v>785</v>
      </c>
    </row>
    <row r="4445" spans="1:15" x14ac:dyDescent="0.25">
      <c r="A4445" t="s">
        <v>4458</v>
      </c>
      <c r="B4445">
        <v>257</v>
      </c>
      <c r="C4445" s="1" t="str">
        <f>HYPERLINK("http://www.rosaceae.org/gb/gbrowse/malus_x_domestica/?name=MDP0000327940","MDP0000327940")</f>
        <v>MDP0000327940</v>
      </c>
      <c r="D4445">
        <v>80.69</v>
      </c>
      <c r="E4445">
        <v>259</v>
      </c>
      <c r="F4445">
        <v>50</v>
      </c>
      <c r="G4445">
        <v>2</v>
      </c>
      <c r="H4445">
        <v>1</v>
      </c>
      <c r="I4445">
        <v>257</v>
      </c>
      <c r="J4445">
        <v>1</v>
      </c>
      <c r="K4445">
        <v>37</v>
      </c>
      <c r="L4445">
        <v>295</v>
      </c>
      <c r="M4445">
        <v>1</v>
      </c>
      <c r="N4445">
        <v>1.41238E-118</v>
      </c>
      <c r="O4445">
        <v>1086</v>
      </c>
    </row>
    <row r="4446" spans="1:15" x14ac:dyDescent="0.25">
      <c r="A4446" t="s">
        <v>4459</v>
      </c>
      <c r="B4446">
        <v>95</v>
      </c>
      <c r="C4446" s="1" t="str">
        <f>HYPERLINK("http://www.rosaceae.org/gb/gbrowse/malus_x_domestica/?name=MDP0000619821","MDP0000619821")</f>
        <v>MDP0000619821</v>
      </c>
      <c r="D4446">
        <v>33.979999999999997</v>
      </c>
      <c r="E4446">
        <v>103</v>
      </c>
      <c r="F4446">
        <v>68</v>
      </c>
      <c r="G4446">
        <v>16</v>
      </c>
      <c r="H4446">
        <v>2</v>
      </c>
      <c r="I4446">
        <v>88</v>
      </c>
      <c r="J4446">
        <v>1</v>
      </c>
      <c r="K4446">
        <v>281</v>
      </c>
      <c r="L4446">
        <v>383</v>
      </c>
      <c r="M4446">
        <v>1</v>
      </c>
      <c r="N4446">
        <v>1.7134200000000001E-8</v>
      </c>
      <c r="O4446">
        <v>131</v>
      </c>
    </row>
    <row r="4447" spans="1:15" x14ac:dyDescent="0.25">
      <c r="A4447" t="s">
        <v>4460</v>
      </c>
      <c r="B4447">
        <v>274</v>
      </c>
      <c r="C4447" s="1" t="str">
        <f>HYPERLINK("http://www.rosaceae.org/gb/gbrowse/malus_x_domestica/?name=MDP0000141531","MDP0000141531")</f>
        <v>MDP0000141531</v>
      </c>
      <c r="D4447">
        <v>42.79</v>
      </c>
      <c r="E4447">
        <v>222</v>
      </c>
      <c r="F4447">
        <v>127</v>
      </c>
      <c r="G4447">
        <v>12</v>
      </c>
      <c r="H4447">
        <v>31</v>
      </c>
      <c r="I4447">
        <v>247</v>
      </c>
      <c r="J4447">
        <v>1</v>
      </c>
      <c r="K4447">
        <v>21</v>
      </c>
      <c r="L4447">
        <v>235</v>
      </c>
      <c r="M4447">
        <v>1</v>
      </c>
      <c r="N4447">
        <v>1.13665E-40</v>
      </c>
      <c r="O4447">
        <v>414</v>
      </c>
    </row>
    <row r="4448" spans="1:15" x14ac:dyDescent="0.25">
      <c r="A4448" t="s">
        <v>4461</v>
      </c>
      <c r="B4448">
        <v>504</v>
      </c>
      <c r="C4448" s="1" t="str">
        <f>HYPERLINK("http://www.rosaceae.org/gb/gbrowse/malus_x_domestica/?name=MDP0000742908","MDP0000742908")</f>
        <v>MDP0000742908</v>
      </c>
      <c r="D4448">
        <v>92.04</v>
      </c>
      <c r="E4448">
        <v>503</v>
      </c>
      <c r="F4448">
        <v>40</v>
      </c>
      <c r="G4448">
        <v>0</v>
      </c>
      <c r="H4448">
        <v>1</v>
      </c>
      <c r="I4448">
        <v>503</v>
      </c>
      <c r="J4448">
        <v>1</v>
      </c>
      <c r="K4448">
        <v>120</v>
      </c>
      <c r="L4448">
        <v>622</v>
      </c>
      <c r="M4448">
        <v>1</v>
      </c>
      <c r="N4448">
        <v>0</v>
      </c>
      <c r="O4448">
        <v>2440</v>
      </c>
    </row>
    <row r="4449" spans="1:15" x14ac:dyDescent="0.25">
      <c r="A4449" t="s">
        <v>4462</v>
      </c>
      <c r="B4449">
        <v>228</v>
      </c>
      <c r="C4449" s="1" t="str">
        <f>HYPERLINK("http://www.rosaceae.org/gb/gbrowse/malus_x_domestica/?name=MDP0000292604","MDP0000292604")</f>
        <v>MDP0000292604</v>
      </c>
      <c r="D4449">
        <v>72.760000000000005</v>
      </c>
      <c r="E4449">
        <v>257</v>
      </c>
      <c r="F4449">
        <v>70</v>
      </c>
      <c r="G4449">
        <v>29</v>
      </c>
      <c r="H4449">
        <v>1</v>
      </c>
      <c r="I4449">
        <v>228</v>
      </c>
      <c r="J4449">
        <v>1</v>
      </c>
      <c r="K4449">
        <v>1</v>
      </c>
      <c r="L4449">
        <v>257</v>
      </c>
      <c r="M4449">
        <v>1</v>
      </c>
      <c r="N4449">
        <v>5.1511300000000004E-108</v>
      </c>
      <c r="O4449">
        <v>994</v>
      </c>
    </row>
    <row r="4450" spans="1:15" x14ac:dyDescent="0.25">
      <c r="A4450" t="s">
        <v>4463</v>
      </c>
      <c r="B4450">
        <v>470</v>
      </c>
      <c r="C4450" s="1" t="str">
        <f>HYPERLINK("http://www.rosaceae.org/gb/gbrowse/malus_x_domestica/?name=MDP0000671158","MDP0000671158")</f>
        <v>MDP0000671158</v>
      </c>
      <c r="D4450">
        <v>46.52</v>
      </c>
      <c r="E4450">
        <v>273</v>
      </c>
      <c r="F4450">
        <v>146</v>
      </c>
      <c r="G4450">
        <v>5</v>
      </c>
      <c r="H4450">
        <v>193</v>
      </c>
      <c r="I4450">
        <v>462</v>
      </c>
      <c r="J4450">
        <v>1</v>
      </c>
      <c r="K4450">
        <v>1</v>
      </c>
      <c r="L4450">
        <v>271</v>
      </c>
      <c r="M4450">
        <v>1</v>
      </c>
      <c r="N4450">
        <v>3.8275999999999998E-62</v>
      </c>
      <c r="O4450">
        <v>602</v>
      </c>
    </row>
    <row r="4451" spans="1:15" x14ac:dyDescent="0.25">
      <c r="A4451" t="s">
        <v>4464</v>
      </c>
      <c r="B4451">
        <v>889</v>
      </c>
      <c r="C4451" s="1" t="str">
        <f>HYPERLINK("http://www.rosaceae.org/gb/gbrowse/malus_x_domestica/?name=MDP0000194474","MDP0000194474")</f>
        <v>MDP0000194474</v>
      </c>
      <c r="D4451">
        <v>52.96</v>
      </c>
      <c r="E4451">
        <v>472</v>
      </c>
      <c r="F4451">
        <v>222</v>
      </c>
      <c r="G4451">
        <v>58</v>
      </c>
      <c r="H4451">
        <v>152</v>
      </c>
      <c r="I4451">
        <v>606</v>
      </c>
      <c r="J4451">
        <v>1</v>
      </c>
      <c r="K4451">
        <v>91</v>
      </c>
      <c r="L4451">
        <v>521</v>
      </c>
      <c r="M4451">
        <v>1</v>
      </c>
      <c r="N4451">
        <v>5.6320599999999994E-138</v>
      </c>
      <c r="O4451">
        <v>1259</v>
      </c>
    </row>
    <row r="4452" spans="1:15" x14ac:dyDescent="0.25">
      <c r="A4452" t="s">
        <v>4465</v>
      </c>
      <c r="B4452">
        <v>527</v>
      </c>
      <c r="C4452" s="1" t="str">
        <f>HYPERLINK("http://www.rosaceae.org/gb/gbrowse/malus_x_domestica/?name=MDP0000214215","MDP0000214215")</f>
        <v>MDP0000214215</v>
      </c>
      <c r="D4452">
        <v>59.85</v>
      </c>
      <c r="E4452">
        <v>543</v>
      </c>
      <c r="F4452">
        <v>218</v>
      </c>
      <c r="G4452">
        <v>27</v>
      </c>
      <c r="H4452">
        <v>3</v>
      </c>
      <c r="I4452">
        <v>521</v>
      </c>
      <c r="J4452">
        <v>1</v>
      </c>
      <c r="K4452">
        <v>4</v>
      </c>
      <c r="L4452">
        <v>543</v>
      </c>
      <c r="M4452">
        <v>1</v>
      </c>
      <c r="N4452">
        <v>0</v>
      </c>
      <c r="O4452">
        <v>1647</v>
      </c>
    </row>
    <row r="4453" spans="1:15" x14ac:dyDescent="0.25">
      <c r="A4453" t="s">
        <v>4466</v>
      </c>
      <c r="B4453">
        <v>540</v>
      </c>
      <c r="C4453" s="1" t="str">
        <f>HYPERLINK("http://www.rosaceae.org/gb/gbrowse/malus_x_domestica/?name=MDP0000242829","MDP0000242829")</f>
        <v>MDP0000242829</v>
      </c>
      <c r="D4453">
        <v>79.59</v>
      </c>
      <c r="E4453">
        <v>549</v>
      </c>
      <c r="F4453">
        <v>112</v>
      </c>
      <c r="G4453">
        <v>14</v>
      </c>
      <c r="H4453">
        <v>1</v>
      </c>
      <c r="I4453">
        <v>540</v>
      </c>
      <c r="J4453">
        <v>1</v>
      </c>
      <c r="K4453">
        <v>1</v>
      </c>
      <c r="L4453">
        <v>544</v>
      </c>
      <c r="M4453">
        <v>1</v>
      </c>
      <c r="N4453">
        <v>0</v>
      </c>
      <c r="O4453">
        <v>2231</v>
      </c>
    </row>
    <row r="4454" spans="1:15" x14ac:dyDescent="0.25">
      <c r="A4454" t="s">
        <v>4467</v>
      </c>
      <c r="B4454">
        <v>267</v>
      </c>
      <c r="C4454" s="1" t="str">
        <f>HYPERLINK("http://www.rosaceae.org/gb/gbrowse/malus_x_domestica/?name=MDP0000424873","MDP0000424873")</f>
        <v>MDP0000424873</v>
      </c>
      <c r="D4454">
        <v>77.45</v>
      </c>
      <c r="E4454">
        <v>102</v>
      </c>
      <c r="F4454">
        <v>23</v>
      </c>
      <c r="G4454">
        <v>0</v>
      </c>
      <c r="H4454">
        <v>165</v>
      </c>
      <c r="I4454">
        <v>266</v>
      </c>
      <c r="J4454">
        <v>1</v>
      </c>
      <c r="K4454">
        <v>7</v>
      </c>
      <c r="L4454">
        <v>108</v>
      </c>
      <c r="M4454">
        <v>1</v>
      </c>
      <c r="N4454">
        <v>4.2095599999999999E-43</v>
      </c>
      <c r="O4454">
        <v>435</v>
      </c>
    </row>
    <row r="4455" spans="1:15" x14ac:dyDescent="0.25">
      <c r="A4455" t="s">
        <v>4468</v>
      </c>
      <c r="B4455">
        <v>325</v>
      </c>
      <c r="C4455" s="1" t="str">
        <f>HYPERLINK("http://www.rosaceae.org/gb/gbrowse/malus_x_domestica/?name=MDP0000128721","MDP0000128721")</f>
        <v>MDP0000128721</v>
      </c>
      <c r="D4455">
        <v>70.900000000000006</v>
      </c>
      <c r="E4455">
        <v>299</v>
      </c>
      <c r="F4455">
        <v>87</v>
      </c>
      <c r="G4455">
        <v>3</v>
      </c>
      <c r="H4455">
        <v>27</v>
      </c>
      <c r="I4455">
        <v>325</v>
      </c>
      <c r="J4455">
        <v>1</v>
      </c>
      <c r="K4455">
        <v>1</v>
      </c>
      <c r="L4455">
        <v>296</v>
      </c>
      <c r="M4455">
        <v>1</v>
      </c>
      <c r="N4455">
        <v>4.7070499999999999E-122</v>
      </c>
      <c r="O4455">
        <v>1117</v>
      </c>
    </row>
    <row r="4456" spans="1:15" x14ac:dyDescent="0.25">
      <c r="A4456" t="s">
        <v>4469</v>
      </c>
      <c r="B4456">
        <v>604</v>
      </c>
      <c r="C4456" s="1" t="str">
        <f>HYPERLINK("http://www.rosaceae.org/gb/gbrowse/malus_x_domestica/?name=MDP0000125269","MDP0000125269")</f>
        <v>MDP0000125269</v>
      </c>
      <c r="D4456">
        <v>43.2</v>
      </c>
      <c r="E4456">
        <v>287</v>
      </c>
      <c r="F4456">
        <v>163</v>
      </c>
      <c r="G4456">
        <v>32</v>
      </c>
      <c r="H4456">
        <v>298</v>
      </c>
      <c r="I4456">
        <v>565</v>
      </c>
      <c r="J4456">
        <v>1</v>
      </c>
      <c r="K4456">
        <v>293</v>
      </c>
      <c r="L4456">
        <v>566</v>
      </c>
      <c r="M4456">
        <v>1</v>
      </c>
      <c r="N4456">
        <v>2.2967399999999998E-47</v>
      </c>
      <c r="O4456">
        <v>476</v>
      </c>
    </row>
    <row r="4457" spans="1:15" x14ac:dyDescent="0.25">
      <c r="A4457" t="s">
        <v>4470</v>
      </c>
      <c r="B4457">
        <v>669</v>
      </c>
      <c r="C4457" s="1" t="str">
        <f>HYPERLINK("http://www.rosaceae.org/gb/gbrowse/malus_x_domestica/?name=MDP0000828007","MDP0000828007")</f>
        <v>MDP0000828007</v>
      </c>
      <c r="D4457">
        <v>63.95</v>
      </c>
      <c r="E4457">
        <v>724</v>
      </c>
      <c r="F4457">
        <v>261</v>
      </c>
      <c r="G4457">
        <v>63</v>
      </c>
      <c r="H4457">
        <v>1</v>
      </c>
      <c r="I4457">
        <v>665</v>
      </c>
      <c r="J4457">
        <v>1</v>
      </c>
      <c r="K4457">
        <v>13</v>
      </c>
      <c r="L4457">
        <v>732</v>
      </c>
      <c r="M4457">
        <v>1</v>
      </c>
      <c r="N4457">
        <v>0</v>
      </c>
      <c r="O4457">
        <v>2304</v>
      </c>
    </row>
    <row r="4458" spans="1:15" x14ac:dyDescent="0.25">
      <c r="A4458" t="s">
        <v>4471</v>
      </c>
      <c r="B4458">
        <v>411</v>
      </c>
      <c r="C4458" s="1" t="str">
        <f>HYPERLINK("http://www.rosaceae.org/gb/gbrowse/malus_x_domestica/?name=MDP0000303666","MDP0000303666")</f>
        <v>MDP0000303666</v>
      </c>
      <c r="D4458">
        <v>60.47</v>
      </c>
      <c r="E4458">
        <v>334</v>
      </c>
      <c r="F4458">
        <v>132</v>
      </c>
      <c r="G4458">
        <v>8</v>
      </c>
      <c r="H4458">
        <v>78</v>
      </c>
      <c r="I4458">
        <v>411</v>
      </c>
      <c r="J4458">
        <v>1</v>
      </c>
      <c r="K4458">
        <v>392</v>
      </c>
      <c r="L4458">
        <v>717</v>
      </c>
      <c r="M4458">
        <v>1</v>
      </c>
      <c r="N4458">
        <v>9.2411999999999993E-118</v>
      </c>
      <c r="O4458">
        <v>1081</v>
      </c>
    </row>
    <row r="4459" spans="1:15" x14ac:dyDescent="0.25">
      <c r="A4459" t="s">
        <v>4472</v>
      </c>
      <c r="B4459">
        <v>525</v>
      </c>
      <c r="C4459" s="1" t="str">
        <f>HYPERLINK("http://www.rosaceae.org/gb/gbrowse/malus_x_domestica/?name=MDP0000243622","MDP0000243622")</f>
        <v>MDP0000243622</v>
      </c>
      <c r="D4459">
        <v>75.77</v>
      </c>
      <c r="E4459">
        <v>516</v>
      </c>
      <c r="F4459">
        <v>125</v>
      </c>
      <c r="G4459">
        <v>10</v>
      </c>
      <c r="H4459">
        <v>11</v>
      </c>
      <c r="I4459">
        <v>524</v>
      </c>
      <c r="J4459">
        <v>1</v>
      </c>
      <c r="K4459">
        <v>1</v>
      </c>
      <c r="L4459">
        <v>508</v>
      </c>
      <c r="M4459">
        <v>1</v>
      </c>
      <c r="N4459">
        <v>0</v>
      </c>
      <c r="O4459">
        <v>1967</v>
      </c>
    </row>
    <row r="4460" spans="1:15" x14ac:dyDescent="0.25">
      <c r="A4460" t="s">
        <v>4473</v>
      </c>
      <c r="B4460">
        <v>274</v>
      </c>
      <c r="C4460" s="1" t="str">
        <f>HYPERLINK("http://www.rosaceae.org/gb/gbrowse/malus_x_domestica/?name=MDP0000256006","MDP0000256006")</f>
        <v>MDP0000256006</v>
      </c>
      <c r="D4460">
        <v>76.92</v>
      </c>
      <c r="E4460">
        <v>234</v>
      </c>
      <c r="F4460">
        <v>54</v>
      </c>
      <c r="G4460">
        <v>7</v>
      </c>
      <c r="H4460">
        <v>1</v>
      </c>
      <c r="I4460">
        <v>234</v>
      </c>
      <c r="J4460">
        <v>1</v>
      </c>
      <c r="K4460">
        <v>1</v>
      </c>
      <c r="L4460">
        <v>227</v>
      </c>
      <c r="M4460">
        <v>1</v>
      </c>
      <c r="N4460">
        <v>1.32068E-98</v>
      </c>
      <c r="O4460">
        <v>914</v>
      </c>
    </row>
    <row r="4461" spans="1:15" x14ac:dyDescent="0.25">
      <c r="A4461" t="s">
        <v>4474</v>
      </c>
      <c r="B4461">
        <v>577</v>
      </c>
      <c r="C4461" s="1" t="str">
        <f>HYPERLINK("http://www.rosaceae.org/gb/gbrowse/malus_x_domestica/?name=MDP0000192127","MDP0000192127")</f>
        <v>MDP0000192127</v>
      </c>
      <c r="D4461">
        <v>68.91</v>
      </c>
      <c r="E4461">
        <v>444</v>
      </c>
      <c r="F4461">
        <v>138</v>
      </c>
      <c r="G4461">
        <v>27</v>
      </c>
      <c r="H4461">
        <v>60</v>
      </c>
      <c r="I4461">
        <v>476</v>
      </c>
      <c r="J4461">
        <v>1</v>
      </c>
      <c r="K4461">
        <v>1</v>
      </c>
      <c r="L4461">
        <v>444</v>
      </c>
      <c r="M4461">
        <v>1</v>
      </c>
      <c r="N4461">
        <v>1.20881E-168</v>
      </c>
      <c r="O4461">
        <v>1521</v>
      </c>
    </row>
    <row r="4462" spans="1:15" x14ac:dyDescent="0.25">
      <c r="A4462" t="s">
        <v>4475</v>
      </c>
      <c r="B4462">
        <v>514</v>
      </c>
      <c r="C4462" s="1" t="str">
        <f>HYPERLINK("http://www.rosaceae.org/gb/gbrowse/malus_x_domestica/?name=MDP0000891985","MDP0000891985")</f>
        <v>MDP0000891985</v>
      </c>
      <c r="D4462">
        <v>75.150000000000006</v>
      </c>
      <c r="E4462">
        <v>491</v>
      </c>
      <c r="F4462">
        <v>122</v>
      </c>
      <c r="G4462">
        <v>11</v>
      </c>
      <c r="H4462">
        <v>26</v>
      </c>
      <c r="I4462">
        <v>512</v>
      </c>
      <c r="J4462">
        <v>1</v>
      </c>
      <c r="K4462">
        <v>21</v>
      </c>
      <c r="L4462">
        <v>504</v>
      </c>
      <c r="M4462">
        <v>1</v>
      </c>
      <c r="N4462">
        <v>0</v>
      </c>
      <c r="O4462">
        <v>1871</v>
      </c>
    </row>
    <row r="4463" spans="1:15" x14ac:dyDescent="0.25">
      <c r="A4463" t="s">
        <v>4476</v>
      </c>
      <c r="B4463">
        <v>370</v>
      </c>
      <c r="C4463" s="1" t="str">
        <f>HYPERLINK("http://www.rosaceae.org/gb/gbrowse/malus_x_domestica/?name=MDP0000306587","MDP0000306587")</f>
        <v>MDP0000306587</v>
      </c>
      <c r="D4463">
        <v>35.869999999999997</v>
      </c>
      <c r="E4463">
        <v>131</v>
      </c>
      <c r="F4463">
        <v>84</v>
      </c>
      <c r="G4463">
        <v>15</v>
      </c>
      <c r="H4463">
        <v>194</v>
      </c>
      <c r="I4463">
        <v>319</v>
      </c>
      <c r="J4463">
        <v>1</v>
      </c>
      <c r="K4463">
        <v>289</v>
      </c>
      <c r="L4463">
        <v>409</v>
      </c>
      <c r="M4463">
        <v>1</v>
      </c>
      <c r="N4463">
        <v>5.2071199999999995E-13</v>
      </c>
      <c r="O4463">
        <v>177</v>
      </c>
    </row>
    <row r="4464" spans="1:15" x14ac:dyDescent="0.25">
      <c r="A4464" t="s">
        <v>4477</v>
      </c>
      <c r="B4464">
        <v>1356</v>
      </c>
      <c r="C4464" s="1" t="str">
        <f>HYPERLINK("http://www.rosaceae.org/gb/gbrowse/malus_x_domestica/?name=MDP0000267764","MDP0000267764")</f>
        <v>MDP0000267764</v>
      </c>
      <c r="D4464">
        <v>49.27</v>
      </c>
      <c r="E4464">
        <v>138</v>
      </c>
      <c r="F4464">
        <v>70</v>
      </c>
      <c r="G4464">
        <v>3</v>
      </c>
      <c r="H4464">
        <v>521</v>
      </c>
      <c r="I4464">
        <v>658</v>
      </c>
      <c r="J4464">
        <v>1</v>
      </c>
      <c r="K4464">
        <v>392</v>
      </c>
      <c r="L4464">
        <v>526</v>
      </c>
      <c r="M4464">
        <v>1</v>
      </c>
      <c r="N4464">
        <v>5.9240300000000005E-26</v>
      </c>
      <c r="O4464">
        <v>294</v>
      </c>
    </row>
    <row r="4465" spans="1:15" x14ac:dyDescent="0.25">
      <c r="A4465" t="s">
        <v>4478</v>
      </c>
      <c r="B4465">
        <v>533</v>
      </c>
      <c r="C4465" s="1" t="str">
        <f>HYPERLINK("http://www.rosaceae.org/gb/gbrowse/malus_x_domestica/?name=MDP0000431628","MDP0000431628")</f>
        <v>MDP0000431628</v>
      </c>
      <c r="D4465">
        <v>71.16</v>
      </c>
      <c r="E4465">
        <v>541</v>
      </c>
      <c r="F4465">
        <v>156</v>
      </c>
      <c r="G4465">
        <v>28</v>
      </c>
      <c r="H4465">
        <v>7</v>
      </c>
      <c r="I4465">
        <v>533</v>
      </c>
      <c r="J4465">
        <v>1</v>
      </c>
      <c r="K4465">
        <v>5</v>
      </c>
      <c r="L4465">
        <v>531</v>
      </c>
      <c r="M4465">
        <v>1</v>
      </c>
      <c r="N4465">
        <v>0</v>
      </c>
      <c r="O4465">
        <v>1901</v>
      </c>
    </row>
    <row r="4466" spans="1:15" x14ac:dyDescent="0.25">
      <c r="A4466" t="s">
        <v>4479</v>
      </c>
      <c r="B4466">
        <v>841</v>
      </c>
      <c r="C4466" s="1" t="str">
        <f>HYPERLINK("http://www.rosaceae.org/gb/gbrowse/malus_x_domestica/?name=MDP0000877937","MDP0000877937")</f>
        <v>MDP0000877937</v>
      </c>
      <c r="D4466">
        <v>83.49</v>
      </c>
      <c r="E4466">
        <v>715</v>
      </c>
      <c r="F4466">
        <v>118</v>
      </c>
      <c r="G4466">
        <v>7</v>
      </c>
      <c r="H4466">
        <v>1</v>
      </c>
      <c r="I4466">
        <v>712</v>
      </c>
      <c r="J4466">
        <v>1</v>
      </c>
      <c r="K4466">
        <v>1</v>
      </c>
      <c r="L4466">
        <v>711</v>
      </c>
      <c r="M4466">
        <v>1</v>
      </c>
      <c r="N4466">
        <v>0</v>
      </c>
      <c r="O4466">
        <v>3176</v>
      </c>
    </row>
    <row r="4467" spans="1:15" x14ac:dyDescent="0.25">
      <c r="A4467" t="s">
        <v>4480</v>
      </c>
      <c r="B4467">
        <v>945</v>
      </c>
      <c r="C4467" s="1" t="str">
        <f>HYPERLINK("http://www.rosaceae.org/gb/gbrowse/malus_x_domestica/?name=MDP0000173014","MDP0000173014")</f>
        <v>MDP0000173014</v>
      </c>
      <c r="D4467">
        <v>52.18</v>
      </c>
      <c r="E4467">
        <v>960</v>
      </c>
      <c r="F4467">
        <v>459</v>
      </c>
      <c r="G4467">
        <v>62</v>
      </c>
      <c r="H4467">
        <v>1</v>
      </c>
      <c r="I4467">
        <v>924</v>
      </c>
      <c r="J4467">
        <v>1</v>
      </c>
      <c r="K4467">
        <v>1</v>
      </c>
      <c r="L4467">
        <v>934</v>
      </c>
      <c r="M4467">
        <v>1</v>
      </c>
      <c r="N4467">
        <v>0</v>
      </c>
      <c r="O4467">
        <v>2243</v>
      </c>
    </row>
    <row r="4468" spans="1:15" x14ac:dyDescent="0.25">
      <c r="A4468" t="s">
        <v>4481</v>
      </c>
      <c r="B4468">
        <v>423</v>
      </c>
      <c r="C4468" s="1" t="str">
        <f>HYPERLINK("http://www.rosaceae.org/gb/gbrowse/malus_x_domestica/?name=MDP0000232355","MDP0000232355")</f>
        <v>MDP0000232355</v>
      </c>
      <c r="D4468">
        <v>57.9</v>
      </c>
      <c r="E4468">
        <v>449</v>
      </c>
      <c r="F4468">
        <v>189</v>
      </c>
      <c r="G4468">
        <v>39</v>
      </c>
      <c r="H4468">
        <v>1</v>
      </c>
      <c r="I4468">
        <v>423</v>
      </c>
      <c r="J4468">
        <v>1</v>
      </c>
      <c r="K4468">
        <v>21</v>
      </c>
      <c r="L4468">
        <v>456</v>
      </c>
      <c r="M4468">
        <v>1</v>
      </c>
      <c r="N4468">
        <v>1.76354E-122</v>
      </c>
      <c r="O4468">
        <v>1122</v>
      </c>
    </row>
    <row r="4469" spans="1:15" x14ac:dyDescent="0.25">
      <c r="A4469" t="s">
        <v>4482</v>
      </c>
      <c r="B4469">
        <v>688</v>
      </c>
      <c r="C4469" s="1" t="str">
        <f>HYPERLINK("http://www.rosaceae.org/gb/gbrowse/malus_x_domestica/?name=MDP0000228398","MDP0000228398")</f>
        <v>MDP0000228398</v>
      </c>
      <c r="D4469">
        <v>59.97</v>
      </c>
      <c r="E4469">
        <v>682</v>
      </c>
      <c r="F4469">
        <v>273</v>
      </c>
      <c r="G4469">
        <v>98</v>
      </c>
      <c r="H4469">
        <v>15</v>
      </c>
      <c r="I4469">
        <v>677</v>
      </c>
      <c r="J4469">
        <v>1</v>
      </c>
      <c r="K4469">
        <v>14</v>
      </c>
      <c r="L4469">
        <v>616</v>
      </c>
      <c r="M4469">
        <v>1</v>
      </c>
      <c r="N4469">
        <v>0</v>
      </c>
      <c r="O4469">
        <v>1920</v>
      </c>
    </row>
    <row r="4470" spans="1:15" x14ac:dyDescent="0.25">
      <c r="A4470" t="s">
        <v>4483</v>
      </c>
      <c r="B4470">
        <v>211</v>
      </c>
      <c r="C4470" s="1" t="str">
        <f>HYPERLINK("http://www.rosaceae.org/gb/gbrowse/malus_x_domestica/?name=MDP0000319912","MDP0000319912")</f>
        <v>MDP0000319912</v>
      </c>
      <c r="D4470">
        <v>62.03</v>
      </c>
      <c r="E4470">
        <v>216</v>
      </c>
      <c r="F4470">
        <v>82</v>
      </c>
      <c r="G4470">
        <v>41</v>
      </c>
      <c r="H4470">
        <v>1</v>
      </c>
      <c r="I4470">
        <v>193</v>
      </c>
      <c r="J4470">
        <v>1</v>
      </c>
      <c r="K4470">
        <v>54</v>
      </c>
      <c r="L4470">
        <v>251</v>
      </c>
      <c r="M4470">
        <v>1</v>
      </c>
      <c r="N4470">
        <v>3.2600799999999999E-58</v>
      </c>
      <c r="O4470">
        <v>564</v>
      </c>
    </row>
    <row r="4471" spans="1:15" x14ac:dyDescent="0.25">
      <c r="A4471" t="s">
        <v>4484</v>
      </c>
      <c r="B4471">
        <v>525</v>
      </c>
      <c r="C4471" s="1" t="str">
        <f>HYPERLINK("http://www.rosaceae.org/gb/gbrowse/malus_x_domestica/?name=MDP0000266669","MDP0000266669")</f>
        <v>MDP0000266669</v>
      </c>
      <c r="D4471">
        <v>27.33</v>
      </c>
      <c r="E4471">
        <v>461</v>
      </c>
      <c r="F4471">
        <v>335</v>
      </c>
      <c r="G4471">
        <v>31</v>
      </c>
      <c r="H4471">
        <v>79</v>
      </c>
      <c r="I4471">
        <v>524</v>
      </c>
      <c r="J4471">
        <v>1</v>
      </c>
      <c r="K4471">
        <v>117</v>
      </c>
      <c r="L4471">
        <v>561</v>
      </c>
      <c r="M4471">
        <v>1</v>
      </c>
      <c r="N4471">
        <v>1.4662800000000001E-38</v>
      </c>
      <c r="O4471">
        <v>399</v>
      </c>
    </row>
    <row r="4472" spans="1:15" x14ac:dyDescent="0.25">
      <c r="A4472" t="s">
        <v>4485</v>
      </c>
      <c r="B4472">
        <v>383</v>
      </c>
      <c r="C4472" s="1" t="str">
        <f>HYPERLINK("http://www.rosaceae.org/gb/gbrowse/malus_x_domestica/?name=MDP0000272376","MDP0000272376")</f>
        <v>MDP0000272376</v>
      </c>
      <c r="D4472">
        <v>70.38</v>
      </c>
      <c r="E4472">
        <v>341</v>
      </c>
      <c r="F4472">
        <v>101</v>
      </c>
      <c r="G4472">
        <v>7</v>
      </c>
      <c r="H4472">
        <v>1</v>
      </c>
      <c r="I4472">
        <v>336</v>
      </c>
      <c r="J4472">
        <v>1</v>
      </c>
      <c r="K4472">
        <v>1</v>
      </c>
      <c r="L4472">
        <v>339</v>
      </c>
      <c r="M4472">
        <v>1</v>
      </c>
      <c r="N4472">
        <v>2.3069799999999998E-137</v>
      </c>
      <c r="O4472">
        <v>1250</v>
      </c>
    </row>
    <row r="4473" spans="1:15" x14ac:dyDescent="0.25">
      <c r="A4473" t="s">
        <v>4486</v>
      </c>
      <c r="B4473">
        <v>210</v>
      </c>
      <c r="C4473" s="1" t="str">
        <f>HYPERLINK("http://www.rosaceae.org/gb/gbrowse/malus_x_domestica/?name=MDP0000296877","MDP0000296877")</f>
        <v>MDP0000296877</v>
      </c>
      <c r="D4473">
        <v>48.92</v>
      </c>
      <c r="E4473">
        <v>139</v>
      </c>
      <c r="F4473">
        <v>71</v>
      </c>
      <c r="G4473">
        <v>35</v>
      </c>
      <c r="H4473">
        <v>1</v>
      </c>
      <c r="I4473">
        <v>104</v>
      </c>
      <c r="J4473">
        <v>1</v>
      </c>
      <c r="K4473">
        <v>39</v>
      </c>
      <c r="L4473">
        <v>177</v>
      </c>
      <c r="M4473">
        <v>1</v>
      </c>
      <c r="N4473">
        <v>2.8055E-27</v>
      </c>
      <c r="O4473">
        <v>297</v>
      </c>
    </row>
    <row r="4474" spans="1:15" x14ac:dyDescent="0.25">
      <c r="A4474" t="s">
        <v>4487</v>
      </c>
      <c r="B4474">
        <v>100</v>
      </c>
      <c r="C4474" s="1" t="str">
        <f>HYPERLINK("http://www.rosaceae.org/gb/gbrowse/malus_x_domestica/?name=MDP0000229958","MDP0000229958")</f>
        <v>MDP0000229958</v>
      </c>
      <c r="D4474">
        <v>70.37</v>
      </c>
      <c r="E4474">
        <v>108</v>
      </c>
      <c r="F4474">
        <v>32</v>
      </c>
      <c r="G4474">
        <v>8</v>
      </c>
      <c r="H4474">
        <v>1</v>
      </c>
      <c r="I4474">
        <v>100</v>
      </c>
      <c r="J4474">
        <v>1</v>
      </c>
      <c r="K4474">
        <v>1</v>
      </c>
      <c r="L4474">
        <v>108</v>
      </c>
      <c r="M4474">
        <v>1</v>
      </c>
      <c r="N4474">
        <v>2.4048900000000001E-29</v>
      </c>
      <c r="O4474">
        <v>311</v>
      </c>
    </row>
    <row r="4475" spans="1:15" x14ac:dyDescent="0.25">
      <c r="A4475" t="s">
        <v>4488</v>
      </c>
      <c r="B4475">
        <v>155</v>
      </c>
      <c r="C4475" s="1" t="str">
        <f>HYPERLINK("http://www.rosaceae.org/gb/gbrowse/malus_x_domestica/?name=MDP0000928106","MDP0000928106")</f>
        <v>MDP0000928106</v>
      </c>
      <c r="D4475">
        <v>49.28</v>
      </c>
      <c r="E4475">
        <v>140</v>
      </c>
      <c r="F4475">
        <v>71</v>
      </c>
      <c r="G4475">
        <v>2</v>
      </c>
      <c r="H4475">
        <v>10</v>
      </c>
      <c r="I4475">
        <v>149</v>
      </c>
      <c r="J4475">
        <v>1</v>
      </c>
      <c r="K4475">
        <v>9</v>
      </c>
      <c r="L4475">
        <v>146</v>
      </c>
      <c r="M4475">
        <v>1</v>
      </c>
      <c r="N4475">
        <v>3.1742999999999999E-33</v>
      </c>
      <c r="O4475">
        <v>346</v>
      </c>
    </row>
    <row r="4476" spans="1:15" x14ac:dyDescent="0.25">
      <c r="A4476" t="s">
        <v>4489</v>
      </c>
      <c r="B4476">
        <v>357</v>
      </c>
      <c r="C4476" s="1" t="str">
        <f>HYPERLINK("http://www.rosaceae.org/gb/gbrowse/malus_x_domestica/?name=MDP0000320945","MDP0000320945")</f>
        <v>MDP0000320945</v>
      </c>
      <c r="D4476">
        <v>85.54</v>
      </c>
      <c r="E4476">
        <v>256</v>
      </c>
      <c r="F4476">
        <v>37</v>
      </c>
      <c r="G4476">
        <v>2</v>
      </c>
      <c r="H4476">
        <v>1</v>
      </c>
      <c r="I4476">
        <v>255</v>
      </c>
      <c r="J4476">
        <v>1</v>
      </c>
      <c r="K4476">
        <v>370</v>
      </c>
      <c r="L4476">
        <v>624</v>
      </c>
      <c r="M4476">
        <v>1</v>
      </c>
      <c r="N4476">
        <v>3.2347100000000002E-129</v>
      </c>
      <c r="O4476">
        <v>1179</v>
      </c>
    </row>
    <row r="4477" spans="1:15" x14ac:dyDescent="0.25">
      <c r="A4477" t="s">
        <v>4490</v>
      </c>
      <c r="B4477">
        <v>813</v>
      </c>
      <c r="C4477" s="1" t="str">
        <f>HYPERLINK("http://www.rosaceae.org/gb/gbrowse/malus_x_domestica/?name=MDP0000135472","MDP0000135472")</f>
        <v>MDP0000135472</v>
      </c>
      <c r="D4477">
        <v>84.57</v>
      </c>
      <c r="E4477">
        <v>402</v>
      </c>
      <c r="F4477">
        <v>62</v>
      </c>
      <c r="G4477">
        <v>6</v>
      </c>
      <c r="H4477">
        <v>368</v>
      </c>
      <c r="I4477">
        <v>763</v>
      </c>
      <c r="J4477">
        <v>1</v>
      </c>
      <c r="K4477">
        <v>23</v>
      </c>
      <c r="L4477">
        <v>424</v>
      </c>
      <c r="M4477">
        <v>1</v>
      </c>
      <c r="N4477">
        <v>0</v>
      </c>
      <c r="O4477">
        <v>1857</v>
      </c>
    </row>
    <row r="4478" spans="1:15" x14ac:dyDescent="0.25">
      <c r="A4478" t="s">
        <v>4491</v>
      </c>
      <c r="B4478">
        <v>503</v>
      </c>
      <c r="C4478" s="1" t="str">
        <f>HYPERLINK("http://www.rosaceae.org/gb/gbrowse/malus_x_domestica/?name=MDP0000928355","MDP0000928355")</f>
        <v>MDP0000928355</v>
      </c>
      <c r="D4478">
        <v>32.9</v>
      </c>
      <c r="E4478">
        <v>310</v>
      </c>
      <c r="F4478">
        <v>208</v>
      </c>
      <c r="G4478">
        <v>32</v>
      </c>
      <c r="H4478">
        <v>21</v>
      </c>
      <c r="I4478">
        <v>319</v>
      </c>
      <c r="J4478">
        <v>1</v>
      </c>
      <c r="K4478">
        <v>5</v>
      </c>
      <c r="L4478">
        <v>293</v>
      </c>
      <c r="M4478">
        <v>1</v>
      </c>
      <c r="N4478">
        <v>5.4116800000000001E-38</v>
      </c>
      <c r="O4478">
        <v>394</v>
      </c>
    </row>
    <row r="4479" spans="1:15" x14ac:dyDescent="0.25">
      <c r="A4479" t="s">
        <v>4492</v>
      </c>
      <c r="B4479">
        <v>622</v>
      </c>
      <c r="C4479" s="1" t="str">
        <f>HYPERLINK("http://www.rosaceae.org/gb/gbrowse/malus_x_domestica/?name=MDP0000874088","MDP0000874088")</f>
        <v>MDP0000874088</v>
      </c>
      <c r="D4479">
        <v>80.27</v>
      </c>
      <c r="E4479">
        <v>507</v>
      </c>
      <c r="F4479">
        <v>100</v>
      </c>
      <c r="G4479">
        <v>12</v>
      </c>
      <c r="H4479">
        <v>124</v>
      </c>
      <c r="I4479">
        <v>622</v>
      </c>
      <c r="J4479">
        <v>1</v>
      </c>
      <c r="K4479">
        <v>13</v>
      </c>
      <c r="L4479">
        <v>515</v>
      </c>
      <c r="M4479">
        <v>1</v>
      </c>
      <c r="N4479">
        <v>0</v>
      </c>
      <c r="O4479">
        <v>2064</v>
      </c>
    </row>
    <row r="4480" spans="1:15" x14ac:dyDescent="0.25">
      <c r="A4480" t="s">
        <v>4493</v>
      </c>
      <c r="B4480">
        <v>214</v>
      </c>
      <c r="C4480" s="1" t="str">
        <f>HYPERLINK("http://www.rosaceae.org/gb/gbrowse/malus_x_domestica/?name=MDP0000893879","MDP0000893879")</f>
        <v>MDP0000893879</v>
      </c>
      <c r="D4480">
        <v>75.36</v>
      </c>
      <c r="E4480">
        <v>203</v>
      </c>
      <c r="F4480">
        <v>50</v>
      </c>
      <c r="G4480">
        <v>2</v>
      </c>
      <c r="H4480">
        <v>1</v>
      </c>
      <c r="I4480">
        <v>202</v>
      </c>
      <c r="J4480">
        <v>1</v>
      </c>
      <c r="K4480">
        <v>1</v>
      </c>
      <c r="L4480">
        <v>202</v>
      </c>
      <c r="M4480">
        <v>1</v>
      </c>
      <c r="N4480">
        <v>1.1043700000000001E-84</v>
      </c>
      <c r="O4480">
        <v>792</v>
      </c>
    </row>
    <row r="4481" spans="1:15" x14ac:dyDescent="0.25">
      <c r="A4481" t="s">
        <v>4494</v>
      </c>
      <c r="B4481">
        <v>1130</v>
      </c>
      <c r="C4481" s="1" t="str">
        <f>HYPERLINK("http://www.rosaceae.org/gb/gbrowse/malus_x_domestica/?name=MDP0000138501","MDP0000138501")</f>
        <v>MDP0000138501</v>
      </c>
      <c r="D4481">
        <v>60.25</v>
      </c>
      <c r="E4481">
        <v>317</v>
      </c>
      <c r="F4481">
        <v>126</v>
      </c>
      <c r="G4481">
        <v>17</v>
      </c>
      <c r="H4481">
        <v>231</v>
      </c>
      <c r="I4481">
        <v>530</v>
      </c>
      <c r="J4481">
        <v>1</v>
      </c>
      <c r="K4481">
        <v>66</v>
      </c>
      <c r="L4481">
        <v>382</v>
      </c>
      <c r="M4481">
        <v>1</v>
      </c>
      <c r="N4481">
        <v>3.4312500000000001E-98</v>
      </c>
      <c r="O4481">
        <v>917</v>
      </c>
    </row>
    <row r="4482" spans="1:15" x14ac:dyDescent="0.25">
      <c r="A4482" t="s">
        <v>4495</v>
      </c>
      <c r="B4482">
        <v>708</v>
      </c>
      <c r="C4482" s="1" t="str">
        <f>HYPERLINK("http://www.rosaceae.org/gb/gbrowse/malus_x_domestica/?name=MDP0000263022","MDP0000263022")</f>
        <v>MDP0000263022</v>
      </c>
      <c r="D4482">
        <v>24.13</v>
      </c>
      <c r="E4482">
        <v>522</v>
      </c>
      <c r="F4482">
        <v>396</v>
      </c>
      <c r="G4482">
        <v>48</v>
      </c>
      <c r="H4482">
        <v>188</v>
      </c>
      <c r="I4482">
        <v>684</v>
      </c>
      <c r="J4482">
        <v>1</v>
      </c>
      <c r="K4482">
        <v>119</v>
      </c>
      <c r="L4482">
        <v>617</v>
      </c>
      <c r="M4482">
        <v>1</v>
      </c>
      <c r="N4482">
        <v>1.7615100000000001E-28</v>
      </c>
      <c r="O4482">
        <v>314</v>
      </c>
    </row>
    <row r="4483" spans="1:15" x14ac:dyDescent="0.25">
      <c r="A4483" t="s">
        <v>4496</v>
      </c>
      <c r="B4483">
        <v>532</v>
      </c>
      <c r="C4483" s="1" t="str">
        <f>HYPERLINK("http://www.rosaceae.org/gb/gbrowse/malus_x_domestica/?name=MDP0000261127","MDP0000261127")</f>
        <v>MDP0000261127</v>
      </c>
      <c r="D4483">
        <v>73.77</v>
      </c>
      <c r="E4483">
        <v>530</v>
      </c>
      <c r="F4483">
        <v>139</v>
      </c>
      <c r="G4483">
        <v>12</v>
      </c>
      <c r="H4483">
        <v>12</v>
      </c>
      <c r="I4483">
        <v>531</v>
      </c>
      <c r="J4483">
        <v>1</v>
      </c>
      <c r="K4483">
        <v>12</v>
      </c>
      <c r="L4483">
        <v>539</v>
      </c>
      <c r="M4483">
        <v>1</v>
      </c>
      <c r="N4483">
        <v>0</v>
      </c>
      <c r="O4483">
        <v>2050</v>
      </c>
    </row>
    <row r="4484" spans="1:15" x14ac:dyDescent="0.25">
      <c r="A4484" t="s">
        <v>4497</v>
      </c>
      <c r="B4484">
        <v>348</v>
      </c>
      <c r="C4484" s="1" t="str">
        <f>HYPERLINK("http://www.rosaceae.org/gb/gbrowse/malus_x_domestica/?name=MDP0000288274","MDP0000288274")</f>
        <v>MDP0000288274</v>
      </c>
      <c r="D4484">
        <v>70.44</v>
      </c>
      <c r="E4484">
        <v>335</v>
      </c>
      <c r="F4484">
        <v>99</v>
      </c>
      <c r="G4484">
        <v>7</v>
      </c>
      <c r="H4484">
        <v>6</v>
      </c>
      <c r="I4484">
        <v>340</v>
      </c>
      <c r="J4484">
        <v>1</v>
      </c>
      <c r="K4484">
        <v>4</v>
      </c>
      <c r="L4484">
        <v>331</v>
      </c>
      <c r="M4484">
        <v>1</v>
      </c>
      <c r="N4484">
        <v>1.6940199999999999E-132</v>
      </c>
      <c r="O4484">
        <v>1207</v>
      </c>
    </row>
    <row r="4485" spans="1:15" x14ac:dyDescent="0.25">
      <c r="A4485" t="s">
        <v>4498</v>
      </c>
      <c r="B4485">
        <v>523</v>
      </c>
      <c r="C4485" s="1" t="str">
        <f>HYPERLINK("http://www.rosaceae.org/gb/gbrowse/malus_x_domestica/?name=MDP0000321704","MDP0000321704")</f>
        <v>MDP0000321704</v>
      </c>
      <c r="D4485">
        <v>63.76</v>
      </c>
      <c r="E4485">
        <v>69</v>
      </c>
      <c r="F4485">
        <v>25</v>
      </c>
      <c r="G4485">
        <v>1</v>
      </c>
      <c r="H4485">
        <v>317</v>
      </c>
      <c r="I4485">
        <v>384</v>
      </c>
      <c r="J4485">
        <v>1</v>
      </c>
      <c r="K4485">
        <v>444</v>
      </c>
      <c r="L4485">
        <v>512</v>
      </c>
      <c r="M4485">
        <v>1</v>
      </c>
      <c r="N4485">
        <v>1.4933E-16</v>
      </c>
      <c r="O4485">
        <v>209</v>
      </c>
    </row>
    <row r="4486" spans="1:15" x14ac:dyDescent="0.25">
      <c r="A4486" t="s">
        <v>4499</v>
      </c>
      <c r="B4486">
        <v>855</v>
      </c>
      <c r="C4486" s="1" t="str">
        <f>HYPERLINK("http://www.rosaceae.org/gb/gbrowse/malus_x_domestica/?name=MDP0000139530","MDP0000139530")</f>
        <v>MDP0000139530</v>
      </c>
      <c r="D4486">
        <v>68.569999999999993</v>
      </c>
      <c r="E4486">
        <v>245</v>
      </c>
      <c r="F4486">
        <v>77</v>
      </c>
      <c r="G4486">
        <v>11</v>
      </c>
      <c r="H4486">
        <v>1</v>
      </c>
      <c r="I4486">
        <v>242</v>
      </c>
      <c r="J4486">
        <v>1</v>
      </c>
      <c r="K4486">
        <v>1</v>
      </c>
      <c r="L4486">
        <v>237</v>
      </c>
      <c r="M4486">
        <v>1</v>
      </c>
      <c r="N4486">
        <v>1.45169E-84</v>
      </c>
      <c r="O4486">
        <v>798</v>
      </c>
    </row>
    <row r="4487" spans="1:15" x14ac:dyDescent="0.25">
      <c r="A4487" t="s">
        <v>4500</v>
      </c>
      <c r="B4487">
        <v>1027</v>
      </c>
      <c r="C4487" s="1" t="str">
        <f>HYPERLINK("http://www.rosaceae.org/gb/gbrowse/malus_x_domestica/?name=MDP0000318116","MDP0000318116")</f>
        <v>MDP0000318116</v>
      </c>
      <c r="D4487">
        <v>76.73</v>
      </c>
      <c r="E4487">
        <v>907</v>
      </c>
      <c r="F4487">
        <v>211</v>
      </c>
      <c r="G4487">
        <v>31</v>
      </c>
      <c r="H4487">
        <v>119</v>
      </c>
      <c r="I4487">
        <v>997</v>
      </c>
      <c r="J4487">
        <v>1</v>
      </c>
      <c r="K4487">
        <v>25</v>
      </c>
      <c r="L4487">
        <v>928</v>
      </c>
      <c r="M4487">
        <v>1</v>
      </c>
      <c r="N4487">
        <v>0</v>
      </c>
      <c r="O4487">
        <v>3562</v>
      </c>
    </row>
    <row r="4488" spans="1:15" x14ac:dyDescent="0.25">
      <c r="A4488" t="s">
        <v>4501</v>
      </c>
      <c r="B4488">
        <v>335</v>
      </c>
      <c r="C4488" s="1" t="str">
        <f>HYPERLINK("http://www.rosaceae.org/gb/gbrowse/malus_x_domestica/?name=MDP0000187983","MDP0000187983")</f>
        <v>MDP0000187983</v>
      </c>
      <c r="D4488">
        <v>85.86</v>
      </c>
      <c r="E4488">
        <v>276</v>
      </c>
      <c r="F4488">
        <v>39</v>
      </c>
      <c r="G4488">
        <v>0</v>
      </c>
      <c r="H4488">
        <v>60</v>
      </c>
      <c r="I4488">
        <v>335</v>
      </c>
      <c r="J4488">
        <v>1</v>
      </c>
      <c r="K4488">
        <v>424</v>
      </c>
      <c r="L4488">
        <v>699</v>
      </c>
      <c r="M4488">
        <v>1</v>
      </c>
      <c r="N4488">
        <v>7.9386699999999995E-141</v>
      </c>
      <c r="O4488">
        <v>1279</v>
      </c>
    </row>
    <row r="4489" spans="1:15" x14ac:dyDescent="0.25">
      <c r="A4489" t="s">
        <v>4502</v>
      </c>
      <c r="B4489">
        <v>235</v>
      </c>
      <c r="C4489" s="1" t="str">
        <f>HYPERLINK("http://www.rosaceae.org/gb/gbrowse/malus_x_domestica/?name=MDP0000573302","MDP0000573302")</f>
        <v>MDP0000573302</v>
      </c>
      <c r="D4489">
        <v>48.55</v>
      </c>
      <c r="E4489">
        <v>243</v>
      </c>
      <c r="F4489">
        <v>125</v>
      </c>
      <c r="G4489">
        <v>43</v>
      </c>
      <c r="H4489">
        <v>1</v>
      </c>
      <c r="I4489">
        <v>210</v>
      </c>
      <c r="J4489">
        <v>1</v>
      </c>
      <c r="K4489">
        <v>1</v>
      </c>
      <c r="L4489">
        <v>233</v>
      </c>
      <c r="M4489">
        <v>1</v>
      </c>
      <c r="N4489">
        <v>1.6200499999999999E-51</v>
      </c>
      <c r="O4489">
        <v>507</v>
      </c>
    </row>
    <row r="4490" spans="1:15" x14ac:dyDescent="0.25">
      <c r="A4490" t="s">
        <v>4503</v>
      </c>
      <c r="B4490">
        <v>533</v>
      </c>
      <c r="C4490" s="1" t="str">
        <f>HYPERLINK("http://www.rosaceae.org/gb/gbrowse/malus_x_domestica/?name=MDP0000817038","MDP0000817038")</f>
        <v>MDP0000817038</v>
      </c>
      <c r="D4490">
        <v>56.32</v>
      </c>
      <c r="E4490">
        <v>332</v>
      </c>
      <c r="F4490">
        <v>145</v>
      </c>
      <c r="G4490">
        <v>22</v>
      </c>
      <c r="H4490">
        <v>1</v>
      </c>
      <c r="I4490">
        <v>310</v>
      </c>
      <c r="J4490">
        <v>1</v>
      </c>
      <c r="K4490">
        <v>1</v>
      </c>
      <c r="L4490">
        <v>332</v>
      </c>
      <c r="M4490">
        <v>1</v>
      </c>
      <c r="N4490">
        <v>1.16942E-78</v>
      </c>
      <c r="O4490">
        <v>745</v>
      </c>
    </row>
    <row r="4491" spans="1:15" x14ac:dyDescent="0.25">
      <c r="A4491" t="s">
        <v>4504</v>
      </c>
      <c r="B4491">
        <v>619</v>
      </c>
      <c r="C4491" s="1" t="str">
        <f>HYPERLINK("http://www.rosaceae.org/gb/gbrowse/malus_x_domestica/?name=MDP0000322220","MDP0000322220")</f>
        <v>MDP0000322220</v>
      </c>
      <c r="D4491">
        <v>67.37</v>
      </c>
      <c r="E4491">
        <v>616</v>
      </c>
      <c r="F4491">
        <v>201</v>
      </c>
      <c r="G4491">
        <v>7</v>
      </c>
      <c r="H4491">
        <v>3</v>
      </c>
      <c r="I4491">
        <v>614</v>
      </c>
      <c r="J4491">
        <v>1</v>
      </c>
      <c r="K4491">
        <v>437</v>
      </c>
      <c r="L4491">
        <v>1049</v>
      </c>
      <c r="M4491">
        <v>1</v>
      </c>
      <c r="N4491">
        <v>0</v>
      </c>
      <c r="O4491">
        <v>2144</v>
      </c>
    </row>
    <row r="4492" spans="1:15" x14ac:dyDescent="0.25">
      <c r="A4492" t="s">
        <v>4505</v>
      </c>
      <c r="B4492">
        <v>427</v>
      </c>
      <c r="C4492" s="1" t="str">
        <f>HYPERLINK("http://www.rosaceae.org/gb/gbrowse/malus_x_domestica/?name=MDP0000220190","MDP0000220190")</f>
        <v>MDP0000220190</v>
      </c>
      <c r="D4492">
        <v>77.27</v>
      </c>
      <c r="E4492">
        <v>264</v>
      </c>
      <c r="F4492">
        <v>60</v>
      </c>
      <c r="G4492">
        <v>2</v>
      </c>
      <c r="H4492">
        <v>1</v>
      </c>
      <c r="I4492">
        <v>262</v>
      </c>
      <c r="J4492">
        <v>1</v>
      </c>
      <c r="K4492">
        <v>1</v>
      </c>
      <c r="L4492">
        <v>264</v>
      </c>
      <c r="M4492">
        <v>1</v>
      </c>
      <c r="N4492">
        <v>5.2048999999999996E-116</v>
      </c>
      <c r="O4492">
        <v>1066</v>
      </c>
    </row>
    <row r="4493" spans="1:15" x14ac:dyDescent="0.25">
      <c r="A4493" t="s">
        <v>4506</v>
      </c>
      <c r="B4493">
        <v>182</v>
      </c>
      <c r="C4493" s="1" t="str">
        <f>HYPERLINK("http://www.rosaceae.org/gb/gbrowse/malus_x_domestica/?name=MDP0000423776","MDP0000423776")</f>
        <v>MDP0000423776</v>
      </c>
      <c r="D4493">
        <v>67.099999999999994</v>
      </c>
      <c r="E4493">
        <v>76</v>
      </c>
      <c r="F4493">
        <v>25</v>
      </c>
      <c r="G4493">
        <v>0</v>
      </c>
      <c r="H4493">
        <v>81</v>
      </c>
      <c r="I4493">
        <v>156</v>
      </c>
      <c r="J4493">
        <v>1</v>
      </c>
      <c r="K4493">
        <v>139</v>
      </c>
      <c r="L4493">
        <v>214</v>
      </c>
      <c r="M4493">
        <v>1</v>
      </c>
      <c r="N4493">
        <v>2.1634399999999999E-28</v>
      </c>
      <c r="O4493">
        <v>306</v>
      </c>
    </row>
    <row r="4494" spans="1:15" x14ac:dyDescent="0.25">
      <c r="A4494" t="s">
        <v>4507</v>
      </c>
      <c r="B4494">
        <v>208</v>
      </c>
      <c r="C4494" s="1" t="str">
        <f>HYPERLINK("http://www.rosaceae.org/gb/gbrowse/malus_x_domestica/?name=MDP0000145582","MDP0000145582")</f>
        <v>MDP0000145582</v>
      </c>
      <c r="D4494">
        <v>45.68</v>
      </c>
      <c r="E4494">
        <v>197</v>
      </c>
      <c r="F4494">
        <v>107</v>
      </c>
      <c r="G4494">
        <v>53</v>
      </c>
      <c r="H4494">
        <v>1</v>
      </c>
      <c r="I4494">
        <v>144</v>
      </c>
      <c r="J4494">
        <v>1</v>
      </c>
      <c r="K4494">
        <v>305</v>
      </c>
      <c r="L4494">
        <v>501</v>
      </c>
      <c r="M4494">
        <v>1</v>
      </c>
      <c r="N4494">
        <v>1.1621E-40</v>
      </c>
      <c r="O4494">
        <v>412</v>
      </c>
    </row>
    <row r="4495" spans="1:15" x14ac:dyDescent="0.25">
      <c r="A4495" t="s">
        <v>4508</v>
      </c>
      <c r="B4495">
        <v>129</v>
      </c>
      <c r="C4495" s="1" t="str">
        <f>HYPERLINK("http://www.rosaceae.org/gb/gbrowse/malus_x_domestica/?name=MDP0000878992","MDP0000878992")</f>
        <v>MDP0000878992</v>
      </c>
      <c r="D4495">
        <v>44</v>
      </c>
      <c r="E4495">
        <v>125</v>
      </c>
      <c r="F4495">
        <v>70</v>
      </c>
      <c r="G4495">
        <v>2</v>
      </c>
      <c r="H4495">
        <v>6</v>
      </c>
      <c r="I4495">
        <v>129</v>
      </c>
      <c r="J4495">
        <v>1</v>
      </c>
      <c r="K4495">
        <v>21</v>
      </c>
      <c r="L4495">
        <v>144</v>
      </c>
      <c r="M4495">
        <v>1</v>
      </c>
      <c r="N4495">
        <v>4.0517499999999998E-25</v>
      </c>
      <c r="O4495">
        <v>275</v>
      </c>
    </row>
    <row r="4496" spans="1:15" x14ac:dyDescent="0.25">
      <c r="A4496" t="s">
        <v>4509</v>
      </c>
      <c r="B4496">
        <v>403</v>
      </c>
      <c r="C4496" s="1" t="str">
        <f>HYPERLINK("http://www.rosaceae.org/gb/gbrowse/malus_x_domestica/?name=MDP0000252069","MDP0000252069")</f>
        <v>MDP0000252069</v>
      </c>
      <c r="D4496">
        <v>55.74</v>
      </c>
      <c r="E4496">
        <v>409</v>
      </c>
      <c r="F4496">
        <v>181</v>
      </c>
      <c r="G4496">
        <v>8</v>
      </c>
      <c r="H4496">
        <v>1</v>
      </c>
      <c r="I4496">
        <v>403</v>
      </c>
      <c r="J4496">
        <v>1</v>
      </c>
      <c r="K4496">
        <v>1</v>
      </c>
      <c r="L4496">
        <v>407</v>
      </c>
      <c r="M4496">
        <v>1</v>
      </c>
      <c r="N4496">
        <v>2.1766500000000001E-121</v>
      </c>
      <c r="O4496">
        <v>1112</v>
      </c>
    </row>
    <row r="4497" spans="1:15" x14ac:dyDescent="0.25">
      <c r="A4497" t="s">
        <v>4510</v>
      </c>
      <c r="B4497">
        <v>708</v>
      </c>
      <c r="C4497" s="1" t="str">
        <f>HYPERLINK("http://www.rosaceae.org/gb/gbrowse/malus_x_domestica/?name=MDP0000813339","MDP0000813339")</f>
        <v>MDP0000813339</v>
      </c>
      <c r="D4497">
        <v>80.099999999999994</v>
      </c>
      <c r="E4497">
        <v>729</v>
      </c>
      <c r="F4497">
        <v>145</v>
      </c>
      <c r="G4497">
        <v>24</v>
      </c>
      <c r="H4497">
        <v>1</v>
      </c>
      <c r="I4497">
        <v>706</v>
      </c>
      <c r="J4497">
        <v>1</v>
      </c>
      <c r="K4497">
        <v>1</v>
      </c>
      <c r="L4497">
        <v>728</v>
      </c>
      <c r="M4497">
        <v>1</v>
      </c>
      <c r="N4497">
        <v>0</v>
      </c>
      <c r="O4497">
        <v>3027</v>
      </c>
    </row>
    <row r="4498" spans="1:15" x14ac:dyDescent="0.25">
      <c r="A4498" t="s">
        <v>4511</v>
      </c>
      <c r="B4498">
        <v>170</v>
      </c>
      <c r="C4498" s="1" t="str">
        <f>HYPERLINK("http://www.rosaceae.org/gb/gbrowse/malus_x_domestica/?name=MDP0000218726","MDP0000218726")</f>
        <v>MDP0000218726</v>
      </c>
      <c r="D4498">
        <v>76.78</v>
      </c>
      <c r="E4498">
        <v>112</v>
      </c>
      <c r="F4498">
        <v>26</v>
      </c>
      <c r="G4498">
        <v>0</v>
      </c>
      <c r="H4498">
        <v>59</v>
      </c>
      <c r="I4498">
        <v>170</v>
      </c>
      <c r="J4498">
        <v>1</v>
      </c>
      <c r="K4498">
        <v>57</v>
      </c>
      <c r="L4498">
        <v>168</v>
      </c>
      <c r="M4498">
        <v>1</v>
      </c>
      <c r="N4498">
        <v>1.03035E-49</v>
      </c>
      <c r="O4498">
        <v>489</v>
      </c>
    </row>
    <row r="4499" spans="1:15" x14ac:dyDescent="0.25">
      <c r="A4499" t="s">
        <v>4512</v>
      </c>
      <c r="B4499">
        <v>303</v>
      </c>
      <c r="C4499" s="1" t="str">
        <f>HYPERLINK("http://www.rosaceae.org/gb/gbrowse/malus_x_domestica/?name=MDP0000376563","MDP0000376563")</f>
        <v>MDP0000376563</v>
      </c>
      <c r="D4499">
        <v>86.69</v>
      </c>
      <c r="E4499">
        <v>278</v>
      </c>
      <c r="F4499">
        <v>37</v>
      </c>
      <c r="G4499">
        <v>0</v>
      </c>
      <c r="H4499">
        <v>1</v>
      </c>
      <c r="I4499">
        <v>278</v>
      </c>
      <c r="J4499">
        <v>1</v>
      </c>
      <c r="K4499">
        <v>61</v>
      </c>
      <c r="L4499">
        <v>338</v>
      </c>
      <c r="M4499">
        <v>1</v>
      </c>
      <c r="N4499">
        <v>1.7408199999999999E-142</v>
      </c>
      <c r="O4499">
        <v>1293</v>
      </c>
    </row>
    <row r="4500" spans="1:15" x14ac:dyDescent="0.25">
      <c r="A4500" t="s">
        <v>4513</v>
      </c>
      <c r="B4500">
        <v>417</v>
      </c>
      <c r="C4500" s="1" t="str">
        <f>HYPERLINK("http://www.rosaceae.org/gb/gbrowse/malus_x_domestica/?name=MDP0000270559","MDP0000270559")</f>
        <v>MDP0000270559</v>
      </c>
      <c r="D4500">
        <v>39.200000000000003</v>
      </c>
      <c r="E4500">
        <v>329</v>
      </c>
      <c r="F4500">
        <v>200</v>
      </c>
      <c r="G4500">
        <v>6</v>
      </c>
      <c r="H4500">
        <v>7</v>
      </c>
      <c r="I4500">
        <v>332</v>
      </c>
      <c r="J4500">
        <v>1</v>
      </c>
      <c r="K4500">
        <v>19</v>
      </c>
      <c r="L4500">
        <v>344</v>
      </c>
      <c r="M4500">
        <v>1</v>
      </c>
      <c r="N4500">
        <v>6.2167800000000004E-56</v>
      </c>
      <c r="O4500">
        <v>548</v>
      </c>
    </row>
    <row r="4501" spans="1:15" x14ac:dyDescent="0.25">
      <c r="A4501" t="s">
        <v>4514</v>
      </c>
      <c r="B4501">
        <v>786</v>
      </c>
      <c r="C4501" s="1" t="str">
        <f>HYPERLINK("http://www.rosaceae.org/gb/gbrowse/malus_x_domestica/?name=MDP0000248636","MDP0000248636")</f>
        <v>MDP0000248636</v>
      </c>
      <c r="D4501">
        <v>79.08</v>
      </c>
      <c r="E4501">
        <v>746</v>
      </c>
      <c r="F4501">
        <v>156</v>
      </c>
      <c r="G4501">
        <v>2</v>
      </c>
      <c r="H4501">
        <v>28</v>
      </c>
      <c r="I4501">
        <v>773</v>
      </c>
      <c r="J4501">
        <v>1</v>
      </c>
      <c r="K4501">
        <v>177</v>
      </c>
      <c r="L4501">
        <v>920</v>
      </c>
      <c r="M4501">
        <v>1</v>
      </c>
      <c r="N4501">
        <v>0</v>
      </c>
      <c r="O4501">
        <v>3239</v>
      </c>
    </row>
    <row r="4502" spans="1:15" x14ac:dyDescent="0.25">
      <c r="A4502" t="s">
        <v>4515</v>
      </c>
      <c r="B4502">
        <v>273</v>
      </c>
      <c r="C4502" s="1" t="str">
        <f>HYPERLINK("http://www.rosaceae.org/gb/gbrowse/malus_x_domestica/?name=MDP0000933146","MDP0000933146")</f>
        <v>MDP0000933146</v>
      </c>
      <c r="D4502">
        <v>52.23</v>
      </c>
      <c r="E4502">
        <v>134</v>
      </c>
      <c r="F4502">
        <v>64</v>
      </c>
      <c r="G4502">
        <v>1</v>
      </c>
      <c r="H4502">
        <v>30</v>
      </c>
      <c r="I4502">
        <v>163</v>
      </c>
      <c r="J4502">
        <v>1</v>
      </c>
      <c r="K4502">
        <v>25</v>
      </c>
      <c r="L4502">
        <v>157</v>
      </c>
      <c r="M4502">
        <v>1</v>
      </c>
      <c r="N4502">
        <v>1.19836E-39</v>
      </c>
      <c r="O4502">
        <v>405</v>
      </c>
    </row>
    <row r="4503" spans="1:15" x14ac:dyDescent="0.25">
      <c r="A4503" t="s">
        <v>4516</v>
      </c>
      <c r="B4503">
        <v>313</v>
      </c>
      <c r="C4503" s="1" t="str">
        <f>HYPERLINK("http://www.rosaceae.org/gb/gbrowse/malus_x_domestica/?name=MDP0000232549","MDP0000232549")</f>
        <v>MDP0000232549</v>
      </c>
      <c r="D4503">
        <v>51.68</v>
      </c>
      <c r="E4503">
        <v>327</v>
      </c>
      <c r="F4503">
        <v>158</v>
      </c>
      <c r="G4503">
        <v>79</v>
      </c>
      <c r="H4503">
        <v>27</v>
      </c>
      <c r="I4503">
        <v>294</v>
      </c>
      <c r="J4503">
        <v>1</v>
      </c>
      <c r="K4503">
        <v>34</v>
      </c>
      <c r="L4503">
        <v>340</v>
      </c>
      <c r="M4503">
        <v>1</v>
      </c>
      <c r="N4503">
        <v>1.7584800000000001E-74</v>
      </c>
      <c r="O4503">
        <v>707</v>
      </c>
    </row>
    <row r="4504" spans="1:15" x14ac:dyDescent="0.25">
      <c r="A4504" t="s">
        <v>4517</v>
      </c>
      <c r="B4504">
        <v>186</v>
      </c>
      <c r="C4504" s="1" t="str">
        <f>HYPERLINK("http://www.rosaceae.org/gb/gbrowse/malus_x_domestica/?name=MDP0000552970","MDP0000552970")</f>
        <v>MDP0000552970</v>
      </c>
      <c r="D4504">
        <v>97.84</v>
      </c>
      <c r="E4504">
        <v>186</v>
      </c>
      <c r="F4504">
        <v>4</v>
      </c>
      <c r="G4504">
        <v>0</v>
      </c>
      <c r="H4504">
        <v>1</v>
      </c>
      <c r="I4504">
        <v>186</v>
      </c>
      <c r="J4504">
        <v>1</v>
      </c>
      <c r="K4504">
        <v>1</v>
      </c>
      <c r="L4504">
        <v>186</v>
      </c>
      <c r="M4504">
        <v>1</v>
      </c>
      <c r="N4504">
        <v>1.5474099999999999E-105</v>
      </c>
      <c r="O4504">
        <v>971</v>
      </c>
    </row>
    <row r="4505" spans="1:15" x14ac:dyDescent="0.25">
      <c r="A4505" t="s">
        <v>4518</v>
      </c>
      <c r="B4505">
        <v>582</v>
      </c>
      <c r="C4505" s="1" t="str">
        <f>HYPERLINK("http://www.rosaceae.org/gb/gbrowse/malus_x_domestica/?name=MDP0000303061","MDP0000303061")</f>
        <v>MDP0000303061</v>
      </c>
      <c r="D4505">
        <v>81.290000000000006</v>
      </c>
      <c r="E4505">
        <v>604</v>
      </c>
      <c r="F4505">
        <v>113</v>
      </c>
      <c r="G4505">
        <v>28</v>
      </c>
      <c r="H4505">
        <v>2</v>
      </c>
      <c r="I4505">
        <v>582</v>
      </c>
      <c r="J4505">
        <v>1</v>
      </c>
      <c r="K4505">
        <v>3</v>
      </c>
      <c r="L4505">
        <v>601</v>
      </c>
      <c r="M4505">
        <v>1</v>
      </c>
      <c r="N4505">
        <v>0</v>
      </c>
      <c r="O4505">
        <v>2460</v>
      </c>
    </row>
    <row r="4506" spans="1:15" x14ac:dyDescent="0.25">
      <c r="A4506" t="s">
        <v>4519</v>
      </c>
      <c r="B4506">
        <v>204</v>
      </c>
      <c r="C4506" s="1" t="str">
        <f>HYPERLINK("http://www.rosaceae.org/gb/gbrowse/malus_x_domestica/?name=MDP0000852699","MDP0000852699")</f>
        <v>MDP0000852699</v>
      </c>
      <c r="D4506">
        <v>54.24</v>
      </c>
      <c r="E4506">
        <v>153</v>
      </c>
      <c r="F4506">
        <v>70</v>
      </c>
      <c r="G4506">
        <v>14</v>
      </c>
      <c r="H4506">
        <v>21</v>
      </c>
      <c r="I4506">
        <v>159</v>
      </c>
      <c r="J4506">
        <v>1</v>
      </c>
      <c r="K4506">
        <v>33</v>
      </c>
      <c r="L4506">
        <v>185</v>
      </c>
      <c r="M4506">
        <v>1</v>
      </c>
      <c r="N4506">
        <v>5.9496100000000003E-34</v>
      </c>
      <c r="O4506">
        <v>354</v>
      </c>
    </row>
    <row r="4507" spans="1:15" x14ac:dyDescent="0.25">
      <c r="A4507" t="s">
        <v>4520</v>
      </c>
      <c r="B4507">
        <v>345</v>
      </c>
      <c r="C4507" s="1" t="str">
        <f>HYPERLINK("http://www.rosaceae.org/gb/gbrowse/malus_x_domestica/?name=MDP0000281346","MDP0000281346")</f>
        <v>MDP0000281346</v>
      </c>
      <c r="D4507">
        <v>78.88</v>
      </c>
      <c r="E4507">
        <v>251</v>
      </c>
      <c r="F4507">
        <v>53</v>
      </c>
      <c r="G4507">
        <v>2</v>
      </c>
      <c r="H4507">
        <v>95</v>
      </c>
      <c r="I4507">
        <v>344</v>
      </c>
      <c r="J4507">
        <v>1</v>
      </c>
      <c r="K4507">
        <v>606</v>
      </c>
      <c r="L4507">
        <v>855</v>
      </c>
      <c r="M4507">
        <v>1</v>
      </c>
      <c r="N4507">
        <v>1.4120199999999999E-113</v>
      </c>
      <c r="O4507">
        <v>1044</v>
      </c>
    </row>
    <row r="4508" spans="1:15" x14ac:dyDescent="0.25">
      <c r="A4508" t="s">
        <v>4521</v>
      </c>
      <c r="B4508">
        <v>1019</v>
      </c>
      <c r="C4508" s="1" t="str">
        <f>HYPERLINK("http://www.rosaceae.org/gb/gbrowse/malus_x_domestica/?name=MDP0000159246","MDP0000159246")</f>
        <v>MDP0000159246</v>
      </c>
      <c r="D4508">
        <v>79.94</v>
      </c>
      <c r="E4508">
        <v>1027</v>
      </c>
      <c r="F4508">
        <v>206</v>
      </c>
      <c r="G4508">
        <v>11</v>
      </c>
      <c r="H4508">
        <v>1</v>
      </c>
      <c r="I4508">
        <v>1019</v>
      </c>
      <c r="J4508">
        <v>1</v>
      </c>
      <c r="K4508">
        <v>1</v>
      </c>
      <c r="L4508">
        <v>1024</v>
      </c>
      <c r="M4508">
        <v>1</v>
      </c>
      <c r="N4508">
        <v>0</v>
      </c>
      <c r="O4508">
        <v>4340</v>
      </c>
    </row>
    <row r="4509" spans="1:15" x14ac:dyDescent="0.25">
      <c r="A4509" t="s">
        <v>4522</v>
      </c>
      <c r="B4509">
        <v>402</v>
      </c>
      <c r="C4509" s="1" t="str">
        <f>HYPERLINK("http://www.rosaceae.org/gb/gbrowse/malus_x_domestica/?name=MDP0000205197","MDP0000205197")</f>
        <v>MDP0000205197</v>
      </c>
      <c r="D4509">
        <v>51.58</v>
      </c>
      <c r="E4509">
        <v>411</v>
      </c>
      <c r="F4509">
        <v>199</v>
      </c>
      <c r="G4509">
        <v>31</v>
      </c>
      <c r="H4509">
        <v>19</v>
      </c>
      <c r="I4509">
        <v>398</v>
      </c>
      <c r="J4509">
        <v>1</v>
      </c>
      <c r="K4509">
        <v>19</v>
      </c>
      <c r="L4509">
        <v>429</v>
      </c>
      <c r="M4509">
        <v>1</v>
      </c>
      <c r="N4509">
        <v>2.7968499999999999E-108</v>
      </c>
      <c r="O4509">
        <v>999</v>
      </c>
    </row>
    <row r="4510" spans="1:15" x14ac:dyDescent="0.25">
      <c r="A4510" t="s">
        <v>4523</v>
      </c>
      <c r="B4510">
        <v>1087</v>
      </c>
      <c r="C4510" s="1" t="str">
        <f>HYPERLINK("http://www.rosaceae.org/gb/gbrowse/malus_x_domestica/?name=MDP0000253645","MDP0000253645")</f>
        <v>MDP0000253645</v>
      </c>
      <c r="D4510">
        <v>61.13</v>
      </c>
      <c r="E4510">
        <v>1078</v>
      </c>
      <c r="F4510">
        <v>419</v>
      </c>
      <c r="G4510">
        <v>36</v>
      </c>
      <c r="H4510">
        <v>1</v>
      </c>
      <c r="I4510">
        <v>1066</v>
      </c>
      <c r="J4510">
        <v>1</v>
      </c>
      <c r="K4510">
        <v>1</v>
      </c>
      <c r="L4510">
        <v>1054</v>
      </c>
      <c r="M4510">
        <v>1</v>
      </c>
      <c r="N4510">
        <v>0</v>
      </c>
      <c r="O4510">
        <v>3062</v>
      </c>
    </row>
    <row r="4511" spans="1:15" x14ac:dyDescent="0.25">
      <c r="A4511" t="s">
        <v>4524</v>
      </c>
      <c r="B4511">
        <v>128</v>
      </c>
      <c r="C4511" s="1" t="str">
        <f>HYPERLINK("http://www.rosaceae.org/gb/gbrowse/malus_x_domestica/?name=MDP0000345477","MDP0000345477")</f>
        <v>MDP0000345477</v>
      </c>
      <c r="D4511">
        <v>67.959999999999994</v>
      </c>
      <c r="E4511">
        <v>128</v>
      </c>
      <c r="F4511">
        <v>41</v>
      </c>
      <c r="G4511">
        <v>0</v>
      </c>
      <c r="H4511">
        <v>1</v>
      </c>
      <c r="I4511">
        <v>128</v>
      </c>
      <c r="J4511">
        <v>1</v>
      </c>
      <c r="K4511">
        <v>46</v>
      </c>
      <c r="L4511">
        <v>173</v>
      </c>
      <c r="M4511">
        <v>1</v>
      </c>
      <c r="N4511">
        <v>5.2074000000000002E-46</v>
      </c>
      <c r="O4511">
        <v>455</v>
      </c>
    </row>
    <row r="4512" spans="1:15" x14ac:dyDescent="0.25">
      <c r="A4512" t="s">
        <v>4525</v>
      </c>
      <c r="B4512">
        <v>464</v>
      </c>
      <c r="C4512" s="1" t="str">
        <f>HYPERLINK("http://www.rosaceae.org/gb/gbrowse/malus_x_domestica/?name=MDP0000312405","MDP0000312405")</f>
        <v>MDP0000312405</v>
      </c>
      <c r="D4512">
        <v>74.760000000000005</v>
      </c>
      <c r="E4512">
        <v>432</v>
      </c>
      <c r="F4512">
        <v>109</v>
      </c>
      <c r="G4512">
        <v>0</v>
      </c>
      <c r="H4512">
        <v>32</v>
      </c>
      <c r="I4512">
        <v>463</v>
      </c>
      <c r="J4512">
        <v>1</v>
      </c>
      <c r="K4512">
        <v>1</v>
      </c>
      <c r="L4512">
        <v>432</v>
      </c>
      <c r="M4512">
        <v>1</v>
      </c>
      <c r="N4512">
        <v>0</v>
      </c>
      <c r="O4512">
        <v>1789</v>
      </c>
    </row>
    <row r="4513" spans="1:15" x14ac:dyDescent="0.25">
      <c r="A4513" t="s">
        <v>4526</v>
      </c>
      <c r="B4513">
        <v>175</v>
      </c>
      <c r="C4513" s="1" t="str">
        <f>HYPERLINK("http://www.rosaceae.org/gb/gbrowse/malus_x_domestica/?name=MDP0000750556","MDP0000750556")</f>
        <v>MDP0000750556</v>
      </c>
      <c r="D4513">
        <v>80.62</v>
      </c>
      <c r="E4513">
        <v>160</v>
      </c>
      <c r="F4513">
        <v>31</v>
      </c>
      <c r="G4513">
        <v>1</v>
      </c>
      <c r="H4513">
        <v>16</v>
      </c>
      <c r="I4513">
        <v>175</v>
      </c>
      <c r="J4513">
        <v>1</v>
      </c>
      <c r="K4513">
        <v>1</v>
      </c>
      <c r="L4513">
        <v>159</v>
      </c>
      <c r="M4513">
        <v>1</v>
      </c>
      <c r="N4513">
        <v>4.9089999999999999E-70</v>
      </c>
      <c r="O4513">
        <v>665</v>
      </c>
    </row>
    <row r="4514" spans="1:15" x14ac:dyDescent="0.25">
      <c r="A4514" t="s">
        <v>4527</v>
      </c>
      <c r="B4514">
        <v>313</v>
      </c>
      <c r="C4514" s="1" t="str">
        <f>HYPERLINK("http://www.rosaceae.org/gb/gbrowse/malus_x_domestica/?name=MDP0000275280","MDP0000275280")</f>
        <v>MDP0000275280</v>
      </c>
      <c r="D4514">
        <v>74.52</v>
      </c>
      <c r="E4514">
        <v>318</v>
      </c>
      <c r="F4514">
        <v>81</v>
      </c>
      <c r="G4514">
        <v>5</v>
      </c>
      <c r="H4514">
        <v>1</v>
      </c>
      <c r="I4514">
        <v>313</v>
      </c>
      <c r="J4514">
        <v>1</v>
      </c>
      <c r="K4514">
        <v>1</v>
      </c>
      <c r="L4514">
        <v>318</v>
      </c>
      <c r="M4514">
        <v>1</v>
      </c>
      <c r="N4514">
        <v>6.6523900000000002E-147</v>
      </c>
      <c r="O4514">
        <v>1331</v>
      </c>
    </row>
    <row r="4515" spans="1:15" x14ac:dyDescent="0.25">
      <c r="A4515" t="s">
        <v>4528</v>
      </c>
      <c r="B4515">
        <v>848</v>
      </c>
      <c r="C4515" s="1" t="str">
        <f>HYPERLINK("http://www.rosaceae.org/gb/gbrowse/malus_x_domestica/?name=MDP0000237026","MDP0000237026")</f>
        <v>MDP0000237026</v>
      </c>
      <c r="D4515">
        <v>72.63</v>
      </c>
      <c r="E4515">
        <v>190</v>
      </c>
      <c r="F4515">
        <v>52</v>
      </c>
      <c r="G4515">
        <v>13</v>
      </c>
      <c r="H4515">
        <v>552</v>
      </c>
      <c r="I4515">
        <v>728</v>
      </c>
      <c r="J4515">
        <v>1</v>
      </c>
      <c r="K4515">
        <v>839</v>
      </c>
      <c r="L4515">
        <v>1028</v>
      </c>
      <c r="M4515">
        <v>1</v>
      </c>
      <c r="N4515">
        <v>2.9067599999999998E-74</v>
      </c>
      <c r="O4515">
        <v>709</v>
      </c>
    </row>
    <row r="4516" spans="1:15" x14ac:dyDescent="0.25">
      <c r="A4516" t="s">
        <v>4529</v>
      </c>
      <c r="B4516">
        <v>1879</v>
      </c>
      <c r="C4516" s="1" t="str">
        <f>HYPERLINK("http://www.rosaceae.org/gb/gbrowse/malus_x_domestica/?name=MDP0000194876","MDP0000194876")</f>
        <v>MDP0000194876</v>
      </c>
      <c r="D4516">
        <v>81.45</v>
      </c>
      <c r="E4516">
        <v>577</v>
      </c>
      <c r="F4516">
        <v>107</v>
      </c>
      <c r="G4516">
        <v>0</v>
      </c>
      <c r="H4516">
        <v>1289</v>
      </c>
      <c r="I4516">
        <v>1865</v>
      </c>
      <c r="J4516">
        <v>1</v>
      </c>
      <c r="K4516">
        <v>78</v>
      </c>
      <c r="L4516">
        <v>654</v>
      </c>
      <c r="M4516">
        <v>1</v>
      </c>
      <c r="N4516">
        <v>0</v>
      </c>
      <c r="O4516">
        <v>2689</v>
      </c>
    </row>
    <row r="4517" spans="1:15" x14ac:dyDescent="0.25">
      <c r="A4517" t="s">
        <v>4530</v>
      </c>
      <c r="B4517">
        <v>551</v>
      </c>
      <c r="C4517" s="1" t="str">
        <f>HYPERLINK("http://www.rosaceae.org/gb/gbrowse/malus_x_domestica/?name=MDP0000233110","MDP0000233110")</f>
        <v>MDP0000233110</v>
      </c>
      <c r="D4517">
        <v>77.02</v>
      </c>
      <c r="E4517">
        <v>370</v>
      </c>
      <c r="F4517">
        <v>85</v>
      </c>
      <c r="G4517">
        <v>5</v>
      </c>
      <c r="H4517">
        <v>180</v>
      </c>
      <c r="I4517">
        <v>546</v>
      </c>
      <c r="J4517">
        <v>1</v>
      </c>
      <c r="K4517">
        <v>375</v>
      </c>
      <c r="L4517">
        <v>742</v>
      </c>
      <c r="M4517">
        <v>1</v>
      </c>
      <c r="N4517">
        <v>9.7204799999999998E-169</v>
      </c>
      <c r="O4517">
        <v>1522</v>
      </c>
    </row>
    <row r="4518" spans="1:15" x14ac:dyDescent="0.25">
      <c r="A4518" t="s">
        <v>4531</v>
      </c>
      <c r="B4518">
        <v>885</v>
      </c>
      <c r="C4518" s="1" t="str">
        <f>HYPERLINK("http://www.rosaceae.org/gb/gbrowse/malus_x_domestica/?name=MDP0000307704","MDP0000307704")</f>
        <v>MDP0000307704</v>
      </c>
      <c r="D4518">
        <v>42.95</v>
      </c>
      <c r="E4518">
        <v>859</v>
      </c>
      <c r="F4518">
        <v>490</v>
      </c>
      <c r="G4518">
        <v>156</v>
      </c>
      <c r="H4518">
        <v>1</v>
      </c>
      <c r="I4518">
        <v>852</v>
      </c>
      <c r="J4518">
        <v>1</v>
      </c>
      <c r="K4518">
        <v>1</v>
      </c>
      <c r="L4518">
        <v>710</v>
      </c>
      <c r="M4518">
        <v>1</v>
      </c>
      <c r="N4518">
        <v>2.54043E-161</v>
      </c>
      <c r="O4518">
        <v>1460</v>
      </c>
    </row>
    <row r="4519" spans="1:15" x14ac:dyDescent="0.25">
      <c r="A4519" t="s">
        <v>4532</v>
      </c>
      <c r="B4519">
        <v>687</v>
      </c>
      <c r="C4519" s="1" t="str">
        <f>HYPERLINK("http://www.rosaceae.org/gb/gbrowse/malus_x_domestica/?name=MDP0000552558","MDP0000552558")</f>
        <v>MDP0000552558</v>
      </c>
      <c r="D4519">
        <v>78.37</v>
      </c>
      <c r="E4519">
        <v>689</v>
      </c>
      <c r="F4519">
        <v>149</v>
      </c>
      <c r="G4519">
        <v>51</v>
      </c>
      <c r="H4519">
        <v>1</v>
      </c>
      <c r="I4519">
        <v>687</v>
      </c>
      <c r="J4519">
        <v>1</v>
      </c>
      <c r="K4519">
        <v>1</v>
      </c>
      <c r="L4519">
        <v>640</v>
      </c>
      <c r="M4519">
        <v>1</v>
      </c>
      <c r="N4519">
        <v>0</v>
      </c>
      <c r="O4519">
        <v>2803</v>
      </c>
    </row>
    <row r="4520" spans="1:15" x14ac:dyDescent="0.25">
      <c r="A4520" t="s">
        <v>4533</v>
      </c>
      <c r="B4520">
        <v>159</v>
      </c>
      <c r="C4520" s="1" t="str">
        <f>HYPERLINK("http://www.rosaceae.org/gb/gbrowse/malus_x_domestica/?name=MDP0000755113","MDP0000755113")</f>
        <v>MDP0000755113</v>
      </c>
      <c r="D4520">
        <v>48.84</v>
      </c>
      <c r="E4520">
        <v>217</v>
      </c>
      <c r="F4520">
        <v>111</v>
      </c>
      <c r="G4520">
        <v>62</v>
      </c>
      <c r="H4520">
        <v>4</v>
      </c>
      <c r="I4520">
        <v>158</v>
      </c>
      <c r="J4520">
        <v>1</v>
      </c>
      <c r="K4520">
        <v>3</v>
      </c>
      <c r="L4520">
        <v>219</v>
      </c>
      <c r="M4520">
        <v>1</v>
      </c>
      <c r="N4520">
        <v>6.0962999999999998E-48</v>
      </c>
      <c r="O4520">
        <v>473</v>
      </c>
    </row>
    <row r="4521" spans="1:15" x14ac:dyDescent="0.25">
      <c r="A4521" t="s">
        <v>4534</v>
      </c>
      <c r="B4521">
        <v>2173</v>
      </c>
      <c r="C4521" s="1" t="str">
        <f>HYPERLINK("http://www.rosaceae.org/gb/gbrowse/malus_x_domestica/?name=MDP0000135666","MDP0000135666")</f>
        <v>MDP0000135666</v>
      </c>
      <c r="D4521">
        <v>22.75</v>
      </c>
      <c r="E4521">
        <v>378</v>
      </c>
      <c r="F4521">
        <v>292</v>
      </c>
      <c r="G4521">
        <v>93</v>
      </c>
      <c r="H4521">
        <v>1882</v>
      </c>
      <c r="I4521">
        <v>2169</v>
      </c>
      <c r="J4521">
        <v>1</v>
      </c>
      <c r="K4521">
        <v>245</v>
      </c>
      <c r="L4521">
        <v>619</v>
      </c>
      <c r="M4521">
        <v>1</v>
      </c>
      <c r="N4521">
        <v>1.6734300000000001E-14</v>
      </c>
      <c r="O4521">
        <v>198</v>
      </c>
    </row>
    <row r="4522" spans="1:15" x14ac:dyDescent="0.25">
      <c r="A4522" t="s">
        <v>4535</v>
      </c>
      <c r="B4522">
        <v>441</v>
      </c>
      <c r="C4522" s="1" t="str">
        <f>HYPERLINK("http://www.rosaceae.org/gb/gbrowse/malus_x_domestica/?name=MDP0000285108","MDP0000285108")</f>
        <v>MDP0000285108</v>
      </c>
      <c r="D4522">
        <v>24.59</v>
      </c>
      <c r="E4522">
        <v>183</v>
      </c>
      <c r="F4522">
        <v>138</v>
      </c>
      <c r="G4522">
        <v>6</v>
      </c>
      <c r="H4522">
        <v>263</v>
      </c>
      <c r="I4522">
        <v>441</v>
      </c>
      <c r="J4522">
        <v>1</v>
      </c>
      <c r="K4522">
        <v>770</v>
      </c>
      <c r="L4522">
        <v>950</v>
      </c>
      <c r="M4522">
        <v>1</v>
      </c>
      <c r="N4522">
        <v>7.0765699999999997E-15</v>
      </c>
      <c r="O4522">
        <v>194</v>
      </c>
    </row>
    <row r="4523" spans="1:15" x14ac:dyDescent="0.25">
      <c r="A4523" t="s">
        <v>4536</v>
      </c>
      <c r="B4523">
        <v>205</v>
      </c>
      <c r="C4523" s="1" t="str">
        <f>HYPERLINK("http://www.rosaceae.org/gb/gbrowse/malus_x_domestica/?name=MDP0000233098","MDP0000233098")</f>
        <v>MDP0000233098</v>
      </c>
      <c r="D4523">
        <v>40</v>
      </c>
      <c r="E4523">
        <v>90</v>
      </c>
      <c r="F4523">
        <v>54</v>
      </c>
      <c r="G4523">
        <v>12</v>
      </c>
      <c r="H4523">
        <v>115</v>
      </c>
      <c r="I4523">
        <v>192</v>
      </c>
      <c r="J4523">
        <v>1</v>
      </c>
      <c r="K4523">
        <v>102</v>
      </c>
      <c r="L4523">
        <v>191</v>
      </c>
      <c r="M4523">
        <v>1</v>
      </c>
      <c r="N4523">
        <v>3.3726599999999998E-10</v>
      </c>
      <c r="O4523">
        <v>150</v>
      </c>
    </row>
    <row r="4524" spans="1:15" x14ac:dyDescent="0.25">
      <c r="A4524" t="s">
        <v>4537</v>
      </c>
      <c r="B4524">
        <v>1062</v>
      </c>
      <c r="C4524" s="1" t="str">
        <f>HYPERLINK("http://www.rosaceae.org/gb/gbrowse/malus_x_domestica/?name=MDP0000295766","MDP0000295766")</f>
        <v>MDP0000295766</v>
      </c>
      <c r="D4524">
        <v>66.44</v>
      </c>
      <c r="E4524">
        <v>1064</v>
      </c>
      <c r="F4524">
        <v>357</v>
      </c>
      <c r="G4524">
        <v>62</v>
      </c>
      <c r="H4524">
        <v>7</v>
      </c>
      <c r="I4524">
        <v>1039</v>
      </c>
      <c r="J4524">
        <v>1</v>
      </c>
      <c r="K4524">
        <v>4</v>
      </c>
      <c r="L4524">
        <v>1036</v>
      </c>
      <c r="M4524">
        <v>1</v>
      </c>
      <c r="N4524">
        <v>0</v>
      </c>
      <c r="O4524">
        <v>3688</v>
      </c>
    </row>
    <row r="4525" spans="1:15" x14ac:dyDescent="0.25">
      <c r="A4525" t="s">
        <v>4538</v>
      </c>
      <c r="B4525">
        <v>146</v>
      </c>
      <c r="C4525" s="1" t="str">
        <f>HYPERLINK("http://www.rosaceae.org/gb/gbrowse/malus_x_domestica/?name=MDP0000133148","MDP0000133148")</f>
        <v>MDP0000133148</v>
      </c>
      <c r="D4525">
        <v>52.77</v>
      </c>
      <c r="E4525">
        <v>144</v>
      </c>
      <c r="F4525">
        <v>68</v>
      </c>
      <c r="G4525">
        <v>0</v>
      </c>
      <c r="H4525">
        <v>1</v>
      </c>
      <c r="I4525">
        <v>144</v>
      </c>
      <c r="J4525">
        <v>1</v>
      </c>
      <c r="K4525">
        <v>206</v>
      </c>
      <c r="L4525">
        <v>349</v>
      </c>
      <c r="M4525">
        <v>1</v>
      </c>
      <c r="N4525">
        <v>4.9913200000000001E-34</v>
      </c>
      <c r="O4525">
        <v>353</v>
      </c>
    </row>
    <row r="4526" spans="1:15" x14ac:dyDescent="0.25">
      <c r="A4526" t="s">
        <v>4539</v>
      </c>
      <c r="B4526">
        <v>311</v>
      </c>
      <c r="C4526" s="1" t="str">
        <f>HYPERLINK("http://www.rosaceae.org/gb/gbrowse/malus_x_domestica/?name=MDP0000300517","MDP0000300517")</f>
        <v>MDP0000300517</v>
      </c>
      <c r="D4526">
        <v>92.01</v>
      </c>
      <c r="E4526">
        <v>313</v>
      </c>
      <c r="F4526">
        <v>25</v>
      </c>
      <c r="G4526">
        <v>9</v>
      </c>
      <c r="H4526">
        <v>8</v>
      </c>
      <c r="I4526">
        <v>311</v>
      </c>
      <c r="J4526">
        <v>1</v>
      </c>
      <c r="K4526">
        <v>571</v>
      </c>
      <c r="L4526">
        <v>883</v>
      </c>
      <c r="M4526">
        <v>1</v>
      </c>
      <c r="N4526">
        <v>2.1945999999999999E-169</v>
      </c>
      <c r="O4526">
        <v>1525</v>
      </c>
    </row>
    <row r="4527" spans="1:15" x14ac:dyDescent="0.25">
      <c r="A4527" t="s">
        <v>4540</v>
      </c>
      <c r="B4527">
        <v>401</v>
      </c>
      <c r="C4527" s="1" t="str">
        <f>HYPERLINK("http://www.rosaceae.org/gb/gbrowse/malus_x_domestica/?name=MDP0000213797","MDP0000213797")</f>
        <v>MDP0000213797</v>
      </c>
      <c r="D4527">
        <v>28.53</v>
      </c>
      <c r="E4527">
        <v>431</v>
      </c>
      <c r="F4527">
        <v>308</v>
      </c>
      <c r="G4527">
        <v>88</v>
      </c>
      <c r="H4527">
        <v>18</v>
      </c>
      <c r="I4527">
        <v>399</v>
      </c>
      <c r="J4527">
        <v>1</v>
      </c>
      <c r="K4527">
        <v>4</v>
      </c>
      <c r="L4527">
        <v>395</v>
      </c>
      <c r="M4527">
        <v>1</v>
      </c>
      <c r="N4527">
        <v>7.7021400000000001E-27</v>
      </c>
      <c r="O4527">
        <v>297</v>
      </c>
    </row>
    <row r="4528" spans="1:15" x14ac:dyDescent="0.25">
      <c r="A4528" t="s">
        <v>4541</v>
      </c>
      <c r="B4528">
        <v>628</v>
      </c>
      <c r="C4528" s="1" t="str">
        <f>HYPERLINK("http://www.rosaceae.org/gb/gbrowse/malus_x_domestica/?name=MDP0000318224","MDP0000318224")</f>
        <v>MDP0000318224</v>
      </c>
      <c r="D4528">
        <v>34.86</v>
      </c>
      <c r="E4528">
        <v>218</v>
      </c>
      <c r="F4528">
        <v>142</v>
      </c>
      <c r="G4528">
        <v>67</v>
      </c>
      <c r="H4528">
        <v>106</v>
      </c>
      <c r="I4528">
        <v>259</v>
      </c>
      <c r="J4528">
        <v>1</v>
      </c>
      <c r="K4528">
        <v>168</v>
      </c>
      <c r="L4528">
        <v>382</v>
      </c>
      <c r="M4528">
        <v>1</v>
      </c>
      <c r="N4528">
        <v>1.6978000000000002E-24</v>
      </c>
      <c r="O4528">
        <v>279</v>
      </c>
    </row>
    <row r="4529" spans="1:15" x14ac:dyDescent="0.25">
      <c r="A4529" t="s">
        <v>4542</v>
      </c>
      <c r="B4529">
        <v>955</v>
      </c>
      <c r="C4529" s="1" t="str">
        <f>HYPERLINK("http://www.rosaceae.org/gb/gbrowse/malus_x_domestica/?name=MDP0000906293","MDP0000906293")</f>
        <v>MDP0000906293</v>
      </c>
      <c r="D4529">
        <v>77.08</v>
      </c>
      <c r="E4529">
        <v>960</v>
      </c>
      <c r="F4529">
        <v>220</v>
      </c>
      <c r="G4529">
        <v>16</v>
      </c>
      <c r="H4529">
        <v>1</v>
      </c>
      <c r="I4529">
        <v>955</v>
      </c>
      <c r="J4529">
        <v>1</v>
      </c>
      <c r="K4529">
        <v>1</v>
      </c>
      <c r="L4529">
        <v>949</v>
      </c>
      <c r="M4529">
        <v>1</v>
      </c>
      <c r="N4529">
        <v>0</v>
      </c>
      <c r="O4529">
        <v>3795</v>
      </c>
    </row>
    <row r="4530" spans="1:15" x14ac:dyDescent="0.25">
      <c r="A4530" t="s">
        <v>4543</v>
      </c>
      <c r="B4530">
        <v>253</v>
      </c>
      <c r="C4530" s="1" t="str">
        <f>HYPERLINK("http://www.rosaceae.org/gb/gbrowse/malus_x_domestica/?name=MDP0000302532","MDP0000302532")</f>
        <v>MDP0000302532</v>
      </c>
      <c r="D4530">
        <v>38.51</v>
      </c>
      <c r="E4530">
        <v>296</v>
      </c>
      <c r="F4530">
        <v>182</v>
      </c>
      <c r="G4530">
        <v>45</v>
      </c>
      <c r="H4530">
        <v>1</v>
      </c>
      <c r="I4530">
        <v>253</v>
      </c>
      <c r="J4530">
        <v>1</v>
      </c>
      <c r="K4530">
        <v>1</v>
      </c>
      <c r="L4530">
        <v>294</v>
      </c>
      <c r="M4530">
        <v>1</v>
      </c>
      <c r="N4530">
        <v>8.0320499999999994E-48</v>
      </c>
      <c r="O4530">
        <v>475</v>
      </c>
    </row>
    <row r="4531" spans="1:15" x14ac:dyDescent="0.25">
      <c r="A4531" t="s">
        <v>4544</v>
      </c>
      <c r="B4531">
        <v>202</v>
      </c>
      <c r="C4531" s="1" t="str">
        <f>HYPERLINK("http://www.rosaceae.org/gb/gbrowse/malus_x_domestica/?name=MDP0000319447","MDP0000319447")</f>
        <v>MDP0000319447</v>
      </c>
      <c r="D4531">
        <v>26.75</v>
      </c>
      <c r="E4531">
        <v>157</v>
      </c>
      <c r="F4531">
        <v>115</v>
      </c>
      <c r="G4531">
        <v>12</v>
      </c>
      <c r="H4531">
        <v>43</v>
      </c>
      <c r="I4531">
        <v>199</v>
      </c>
      <c r="J4531">
        <v>1</v>
      </c>
      <c r="K4531">
        <v>1100</v>
      </c>
      <c r="L4531">
        <v>1244</v>
      </c>
      <c r="M4531">
        <v>1</v>
      </c>
      <c r="N4531">
        <v>4.9115500000000004E-13</v>
      </c>
      <c r="O4531">
        <v>174</v>
      </c>
    </row>
    <row r="4532" spans="1:15" x14ac:dyDescent="0.25">
      <c r="A4532" t="s">
        <v>4545</v>
      </c>
      <c r="B4532">
        <v>498</v>
      </c>
      <c r="C4532" s="1" t="str">
        <f>HYPERLINK("http://www.rosaceae.org/gb/gbrowse/malus_x_domestica/?name=MDP0000299304","MDP0000299304")</f>
        <v>MDP0000299304</v>
      </c>
      <c r="D4532">
        <v>55.23</v>
      </c>
      <c r="E4532">
        <v>478</v>
      </c>
      <c r="F4532">
        <v>214</v>
      </c>
      <c r="G4532">
        <v>59</v>
      </c>
      <c r="H4532">
        <v>1</v>
      </c>
      <c r="I4532">
        <v>473</v>
      </c>
      <c r="J4532">
        <v>1</v>
      </c>
      <c r="K4532">
        <v>1</v>
      </c>
      <c r="L4532">
        <v>424</v>
      </c>
      <c r="M4532">
        <v>1</v>
      </c>
      <c r="N4532">
        <v>8.2083899999999998E-140</v>
      </c>
      <c r="O4532">
        <v>1272</v>
      </c>
    </row>
    <row r="4533" spans="1:15" x14ac:dyDescent="0.25">
      <c r="A4533" t="s">
        <v>4546</v>
      </c>
      <c r="B4533">
        <v>415</v>
      </c>
      <c r="C4533" s="1" t="str">
        <f>HYPERLINK("http://www.rosaceae.org/gb/gbrowse/malus_x_domestica/?name=MDP0000836903","MDP0000836903")</f>
        <v>MDP0000836903</v>
      </c>
      <c r="D4533">
        <v>72.77</v>
      </c>
      <c r="E4533">
        <v>404</v>
      </c>
      <c r="F4533">
        <v>110</v>
      </c>
      <c r="G4533">
        <v>6</v>
      </c>
      <c r="H4533">
        <v>17</v>
      </c>
      <c r="I4533">
        <v>415</v>
      </c>
      <c r="J4533">
        <v>1</v>
      </c>
      <c r="K4533">
        <v>27</v>
      </c>
      <c r="L4533">
        <v>429</v>
      </c>
      <c r="M4533">
        <v>1</v>
      </c>
      <c r="N4533">
        <v>1.83173E-162</v>
      </c>
      <c r="O4533">
        <v>1467</v>
      </c>
    </row>
    <row r="4534" spans="1:15" x14ac:dyDescent="0.25">
      <c r="A4534" t="s">
        <v>4547</v>
      </c>
      <c r="B4534">
        <v>245</v>
      </c>
      <c r="C4534" s="1" t="str">
        <f>HYPERLINK("http://www.rosaceae.org/gb/gbrowse/malus_x_domestica/?name=MDP0000238097","MDP0000238097")</f>
        <v>MDP0000238097</v>
      </c>
      <c r="D4534">
        <v>59.36</v>
      </c>
      <c r="E4534">
        <v>283</v>
      </c>
      <c r="F4534">
        <v>115</v>
      </c>
      <c r="G4534">
        <v>51</v>
      </c>
      <c r="H4534">
        <v>1</v>
      </c>
      <c r="I4534">
        <v>245</v>
      </c>
      <c r="J4534">
        <v>1</v>
      </c>
      <c r="K4534">
        <v>1</v>
      </c>
      <c r="L4534">
        <v>270</v>
      </c>
      <c r="M4534">
        <v>1</v>
      </c>
      <c r="N4534">
        <v>1.0265800000000001E-79</v>
      </c>
      <c r="O4534">
        <v>750</v>
      </c>
    </row>
    <row r="4535" spans="1:15" x14ac:dyDescent="0.25">
      <c r="A4535" t="s">
        <v>4548</v>
      </c>
      <c r="B4535">
        <v>441</v>
      </c>
      <c r="C4535" s="1" t="str">
        <f>HYPERLINK("http://www.rosaceae.org/gb/gbrowse/malus_x_domestica/?name=MDP0000281059","MDP0000281059")</f>
        <v>MDP0000281059</v>
      </c>
      <c r="D4535">
        <v>80.86</v>
      </c>
      <c r="E4535">
        <v>277</v>
      </c>
      <c r="F4535">
        <v>53</v>
      </c>
      <c r="G4535">
        <v>3</v>
      </c>
      <c r="H4535">
        <v>13</v>
      </c>
      <c r="I4535">
        <v>286</v>
      </c>
      <c r="J4535">
        <v>1</v>
      </c>
      <c r="K4535">
        <v>16</v>
      </c>
      <c r="L4535">
        <v>292</v>
      </c>
      <c r="M4535">
        <v>1</v>
      </c>
      <c r="N4535">
        <v>1.48754E-128</v>
      </c>
      <c r="O4535">
        <v>1175</v>
      </c>
    </row>
    <row r="4536" spans="1:15" x14ac:dyDescent="0.25">
      <c r="A4536" t="s">
        <v>4549</v>
      </c>
      <c r="B4536">
        <v>281</v>
      </c>
      <c r="C4536" s="1" t="str">
        <f>HYPERLINK("http://www.rosaceae.org/gb/gbrowse/malus_x_domestica/?name=MDP0000167875","MDP0000167875")</f>
        <v>MDP0000167875</v>
      </c>
      <c r="D4536">
        <v>47.15</v>
      </c>
      <c r="E4536">
        <v>246</v>
      </c>
      <c r="F4536">
        <v>130</v>
      </c>
      <c r="G4536">
        <v>21</v>
      </c>
      <c r="H4536">
        <v>22</v>
      </c>
      <c r="I4536">
        <v>260</v>
      </c>
      <c r="J4536">
        <v>1</v>
      </c>
      <c r="K4536">
        <v>24</v>
      </c>
      <c r="L4536">
        <v>255</v>
      </c>
      <c r="M4536">
        <v>1</v>
      </c>
      <c r="N4536">
        <v>1.0841300000000001E-53</v>
      </c>
      <c r="O4536">
        <v>527</v>
      </c>
    </row>
    <row r="4537" spans="1:15" x14ac:dyDescent="0.25">
      <c r="A4537" t="s">
        <v>4550</v>
      </c>
      <c r="B4537">
        <v>148</v>
      </c>
      <c r="C4537" s="1" t="str">
        <f>HYPERLINK("http://www.rosaceae.org/gb/gbrowse/malus_x_domestica/?name=MDP0000451863","MDP0000451863")</f>
        <v>MDP0000451863</v>
      </c>
      <c r="D4537">
        <v>92.68</v>
      </c>
      <c r="E4537">
        <v>41</v>
      </c>
      <c r="F4537">
        <v>3</v>
      </c>
      <c r="G4537">
        <v>0</v>
      </c>
      <c r="H4537">
        <v>43</v>
      </c>
      <c r="I4537">
        <v>83</v>
      </c>
      <c r="J4537">
        <v>1</v>
      </c>
      <c r="K4537">
        <v>41</v>
      </c>
      <c r="L4537">
        <v>81</v>
      </c>
      <c r="M4537">
        <v>1</v>
      </c>
      <c r="N4537">
        <v>1.5401699999999999E-18</v>
      </c>
      <c r="O4537">
        <v>219</v>
      </c>
    </row>
    <row r="4538" spans="1:15" x14ac:dyDescent="0.25">
      <c r="A4538" t="s">
        <v>4551</v>
      </c>
      <c r="B4538">
        <v>684</v>
      </c>
      <c r="C4538" s="1" t="str">
        <f>HYPERLINK("http://www.rosaceae.org/gb/gbrowse/malus_x_domestica/?name=MDP0000125644","MDP0000125644")</f>
        <v>MDP0000125644</v>
      </c>
      <c r="D4538">
        <v>26.3</v>
      </c>
      <c r="E4538">
        <v>422</v>
      </c>
      <c r="F4538">
        <v>311</v>
      </c>
      <c r="G4538">
        <v>146</v>
      </c>
      <c r="H4538">
        <v>281</v>
      </c>
      <c r="I4538">
        <v>684</v>
      </c>
      <c r="J4538">
        <v>1</v>
      </c>
      <c r="K4538">
        <v>1</v>
      </c>
      <c r="L4538">
        <v>294</v>
      </c>
      <c r="M4538">
        <v>1</v>
      </c>
      <c r="N4538">
        <v>6.8669500000000001E-19</v>
      </c>
      <c r="O4538">
        <v>231</v>
      </c>
    </row>
    <row r="4539" spans="1:15" x14ac:dyDescent="0.25">
      <c r="A4539" t="s">
        <v>4552</v>
      </c>
      <c r="B4539">
        <v>100</v>
      </c>
      <c r="C4539" s="1" t="str">
        <f>HYPERLINK("http://www.rosaceae.org/gb/gbrowse/malus_x_domestica/?name=MDP0000261220","MDP0000261220")</f>
        <v>MDP0000261220</v>
      </c>
      <c r="D4539">
        <v>88.65</v>
      </c>
      <c r="E4539">
        <v>97</v>
      </c>
      <c r="F4539">
        <v>11</v>
      </c>
      <c r="G4539">
        <v>2</v>
      </c>
      <c r="H4539">
        <v>1</v>
      </c>
      <c r="I4539">
        <v>97</v>
      </c>
      <c r="J4539">
        <v>1</v>
      </c>
      <c r="K4539">
        <v>81</v>
      </c>
      <c r="L4539">
        <v>175</v>
      </c>
      <c r="M4539">
        <v>1</v>
      </c>
      <c r="N4539">
        <v>2.0946099999999999E-45</v>
      </c>
      <c r="O4539">
        <v>449</v>
      </c>
    </row>
    <row r="4540" spans="1:15" x14ac:dyDescent="0.25">
      <c r="A4540" t="s">
        <v>4553</v>
      </c>
      <c r="B4540">
        <v>210</v>
      </c>
      <c r="C4540" s="1" t="str">
        <f>HYPERLINK("http://www.rosaceae.org/gb/gbrowse/malus_x_domestica/?name=MDP0000422721","MDP0000422721")</f>
        <v>MDP0000422721</v>
      </c>
      <c r="D4540">
        <v>68.98</v>
      </c>
      <c r="E4540">
        <v>158</v>
      </c>
      <c r="F4540">
        <v>49</v>
      </c>
      <c r="G4540">
        <v>1</v>
      </c>
      <c r="H4540">
        <v>53</v>
      </c>
      <c r="I4540">
        <v>209</v>
      </c>
      <c r="J4540">
        <v>1</v>
      </c>
      <c r="K4540">
        <v>161</v>
      </c>
      <c r="L4540">
        <v>318</v>
      </c>
      <c r="M4540">
        <v>1</v>
      </c>
      <c r="N4540">
        <v>2.96716E-64</v>
      </c>
      <c r="O4540">
        <v>616</v>
      </c>
    </row>
    <row r="4541" spans="1:15" x14ac:dyDescent="0.25">
      <c r="A4541" t="s">
        <v>4554</v>
      </c>
      <c r="B4541">
        <v>513</v>
      </c>
      <c r="C4541" s="1" t="str">
        <f>HYPERLINK("http://www.rosaceae.org/gb/gbrowse/malus_x_domestica/?name=MDP0000284145","MDP0000284145")</f>
        <v>MDP0000284145</v>
      </c>
      <c r="D4541">
        <v>67.459999999999994</v>
      </c>
      <c r="E4541">
        <v>461</v>
      </c>
      <c r="F4541">
        <v>150</v>
      </c>
      <c r="G4541">
        <v>57</v>
      </c>
      <c r="H4541">
        <v>7</v>
      </c>
      <c r="I4541">
        <v>411</v>
      </c>
      <c r="J4541">
        <v>1</v>
      </c>
      <c r="K4541">
        <v>296</v>
      </c>
      <c r="L4541">
        <v>755</v>
      </c>
      <c r="M4541">
        <v>1</v>
      </c>
      <c r="N4541">
        <v>4.1208400000000002E-172</v>
      </c>
      <c r="O4541">
        <v>1551</v>
      </c>
    </row>
    <row r="4542" spans="1:15" x14ac:dyDescent="0.25">
      <c r="A4542" t="s">
        <v>4555</v>
      </c>
      <c r="B4542">
        <v>284</v>
      </c>
      <c r="C4542" s="1" t="str">
        <f>HYPERLINK("http://www.rosaceae.org/gb/gbrowse/malus_x_domestica/?name=MDP0000190029","MDP0000190029")</f>
        <v>MDP0000190029</v>
      </c>
      <c r="D4542">
        <v>78.48</v>
      </c>
      <c r="E4542">
        <v>237</v>
      </c>
      <c r="F4542">
        <v>51</v>
      </c>
      <c r="G4542">
        <v>1</v>
      </c>
      <c r="H4542">
        <v>26</v>
      </c>
      <c r="I4542">
        <v>261</v>
      </c>
      <c r="J4542">
        <v>1</v>
      </c>
      <c r="K4542">
        <v>19</v>
      </c>
      <c r="L4542">
        <v>255</v>
      </c>
      <c r="M4542">
        <v>1</v>
      </c>
      <c r="N4542">
        <v>2.9062999999999998E-105</v>
      </c>
      <c r="O4542">
        <v>971</v>
      </c>
    </row>
    <row r="4543" spans="1:15" x14ac:dyDescent="0.25">
      <c r="A4543" t="s">
        <v>4556</v>
      </c>
      <c r="B4543">
        <v>628</v>
      </c>
      <c r="C4543" s="1" t="str">
        <f>HYPERLINK("http://www.rosaceae.org/gb/gbrowse/malus_x_domestica/?name=MDP0000125870","MDP0000125870")</f>
        <v>MDP0000125870</v>
      </c>
      <c r="D4543">
        <v>76.12</v>
      </c>
      <c r="E4543">
        <v>645</v>
      </c>
      <c r="F4543">
        <v>154</v>
      </c>
      <c r="G4543">
        <v>31</v>
      </c>
      <c r="H4543">
        <v>15</v>
      </c>
      <c r="I4543">
        <v>628</v>
      </c>
      <c r="J4543">
        <v>1</v>
      </c>
      <c r="K4543">
        <v>62</v>
      </c>
      <c r="L4543">
        <v>706</v>
      </c>
      <c r="M4543">
        <v>1</v>
      </c>
      <c r="N4543">
        <v>0</v>
      </c>
      <c r="O4543">
        <v>2532</v>
      </c>
    </row>
    <row r="4544" spans="1:15" x14ac:dyDescent="0.25">
      <c r="A4544" t="s">
        <v>4557</v>
      </c>
      <c r="B4544">
        <v>281</v>
      </c>
      <c r="C4544" s="1" t="str">
        <f>HYPERLINK("http://www.rosaceae.org/gb/gbrowse/malus_x_domestica/?name=MDP0000225215","MDP0000225215")</f>
        <v>MDP0000225215</v>
      </c>
      <c r="D4544">
        <v>65.81</v>
      </c>
      <c r="E4544">
        <v>196</v>
      </c>
      <c r="F4544">
        <v>67</v>
      </c>
      <c r="G4544">
        <v>20</v>
      </c>
      <c r="H4544">
        <v>76</v>
      </c>
      <c r="I4544">
        <v>251</v>
      </c>
      <c r="J4544">
        <v>1</v>
      </c>
      <c r="K4544">
        <v>26</v>
      </c>
      <c r="L4544">
        <v>221</v>
      </c>
      <c r="M4544">
        <v>1</v>
      </c>
      <c r="N4544">
        <v>1.05304E-67</v>
      </c>
      <c r="O4544">
        <v>647</v>
      </c>
    </row>
    <row r="4545" spans="1:15" x14ac:dyDescent="0.25">
      <c r="A4545" t="s">
        <v>4558</v>
      </c>
      <c r="B4545">
        <v>315</v>
      </c>
      <c r="C4545" s="1" t="str">
        <f>HYPERLINK("http://www.rosaceae.org/gb/gbrowse/malus_x_domestica/?name=MDP0000148366","MDP0000148366")</f>
        <v>MDP0000148366</v>
      </c>
      <c r="D4545">
        <v>69.599999999999994</v>
      </c>
      <c r="E4545">
        <v>329</v>
      </c>
      <c r="F4545">
        <v>100</v>
      </c>
      <c r="G4545">
        <v>27</v>
      </c>
      <c r="H4545">
        <v>1</v>
      </c>
      <c r="I4545">
        <v>315</v>
      </c>
      <c r="J4545">
        <v>1</v>
      </c>
      <c r="K4545">
        <v>1</v>
      </c>
      <c r="L4545">
        <v>316</v>
      </c>
      <c r="M4545">
        <v>1</v>
      </c>
      <c r="N4545">
        <v>5.6757000000000002E-123</v>
      </c>
      <c r="O4545">
        <v>1125</v>
      </c>
    </row>
    <row r="4546" spans="1:15" x14ac:dyDescent="0.25">
      <c r="A4546" t="s">
        <v>4559</v>
      </c>
      <c r="B4546">
        <v>392</v>
      </c>
      <c r="C4546" s="1" t="str">
        <f>HYPERLINK("http://www.rosaceae.org/gb/gbrowse/malus_x_domestica/?name=MDP0000873928","MDP0000873928")</f>
        <v>MDP0000873928</v>
      </c>
      <c r="D4546">
        <v>70.95</v>
      </c>
      <c r="E4546">
        <v>334</v>
      </c>
      <c r="F4546">
        <v>97</v>
      </c>
      <c r="G4546">
        <v>8</v>
      </c>
      <c r="H4546">
        <v>52</v>
      </c>
      <c r="I4546">
        <v>382</v>
      </c>
      <c r="J4546">
        <v>1</v>
      </c>
      <c r="K4546">
        <v>48</v>
      </c>
      <c r="L4546">
        <v>376</v>
      </c>
      <c r="M4546">
        <v>1</v>
      </c>
      <c r="N4546">
        <v>1.0510799999999999E-138</v>
      </c>
      <c r="O4546">
        <v>1262</v>
      </c>
    </row>
    <row r="4547" spans="1:15" x14ac:dyDescent="0.25">
      <c r="A4547" t="s">
        <v>4560</v>
      </c>
      <c r="B4547">
        <v>364</v>
      </c>
      <c r="C4547" s="1" t="str">
        <f>HYPERLINK("http://www.rosaceae.org/gb/gbrowse/malus_x_domestica/?name=MDP0000197764","MDP0000197764")</f>
        <v>MDP0000197764</v>
      </c>
      <c r="D4547">
        <v>65.22</v>
      </c>
      <c r="E4547">
        <v>371</v>
      </c>
      <c r="F4547">
        <v>129</v>
      </c>
      <c r="G4547">
        <v>37</v>
      </c>
      <c r="H4547">
        <v>1</v>
      </c>
      <c r="I4547">
        <v>336</v>
      </c>
      <c r="J4547">
        <v>1</v>
      </c>
      <c r="K4547">
        <v>480</v>
      </c>
      <c r="L4547">
        <v>848</v>
      </c>
      <c r="M4547">
        <v>1</v>
      </c>
      <c r="N4547">
        <v>4.5978400000000003E-133</v>
      </c>
      <c r="O4547">
        <v>1212</v>
      </c>
    </row>
    <row r="4548" spans="1:15" x14ac:dyDescent="0.25">
      <c r="A4548" t="s">
        <v>4561</v>
      </c>
      <c r="B4548">
        <v>256</v>
      </c>
      <c r="C4548" s="1" t="str">
        <f>HYPERLINK("http://www.rosaceae.org/gb/gbrowse/malus_x_domestica/?name=MDP0000740787","MDP0000740787")</f>
        <v>MDP0000740787</v>
      </c>
      <c r="D4548">
        <v>56.69</v>
      </c>
      <c r="E4548">
        <v>127</v>
      </c>
      <c r="F4548">
        <v>55</v>
      </c>
      <c r="G4548">
        <v>15</v>
      </c>
      <c r="H4548">
        <v>4</v>
      </c>
      <c r="I4548">
        <v>122</v>
      </c>
      <c r="J4548">
        <v>1</v>
      </c>
      <c r="K4548">
        <v>161</v>
      </c>
      <c r="L4548">
        <v>280</v>
      </c>
      <c r="M4548">
        <v>1</v>
      </c>
      <c r="N4548">
        <v>1.33583E-29</v>
      </c>
      <c r="O4548">
        <v>318</v>
      </c>
    </row>
    <row r="4549" spans="1:15" x14ac:dyDescent="0.25">
      <c r="A4549" t="s">
        <v>4562</v>
      </c>
      <c r="B4549">
        <v>290</v>
      </c>
      <c r="C4549" s="1" t="str">
        <f>HYPERLINK("http://www.rosaceae.org/gb/gbrowse/malus_x_domestica/?name=MDP0000216139","MDP0000216139")</f>
        <v>MDP0000216139</v>
      </c>
      <c r="D4549">
        <v>42.16</v>
      </c>
      <c r="E4549">
        <v>185</v>
      </c>
      <c r="F4549">
        <v>107</v>
      </c>
      <c r="G4549">
        <v>46</v>
      </c>
      <c r="H4549">
        <v>65</v>
      </c>
      <c r="I4549">
        <v>206</v>
      </c>
      <c r="J4549">
        <v>1</v>
      </c>
      <c r="K4549">
        <v>42</v>
      </c>
      <c r="L4549">
        <v>223</v>
      </c>
      <c r="M4549">
        <v>1</v>
      </c>
      <c r="N4549">
        <v>8.4096499999999996E-32</v>
      </c>
      <c r="O4549">
        <v>338</v>
      </c>
    </row>
    <row r="4550" spans="1:15" x14ac:dyDescent="0.25">
      <c r="A4550" t="s">
        <v>4563</v>
      </c>
      <c r="B4550">
        <v>232</v>
      </c>
      <c r="C4550" s="1" t="str">
        <f>HYPERLINK("http://www.rosaceae.org/gb/gbrowse/malus_x_domestica/?name=MDP0000776953","MDP0000776953")</f>
        <v>MDP0000776953</v>
      </c>
      <c r="D4550">
        <v>76.25</v>
      </c>
      <c r="E4550">
        <v>240</v>
      </c>
      <c r="F4550">
        <v>57</v>
      </c>
      <c r="G4550">
        <v>13</v>
      </c>
      <c r="H4550">
        <v>1</v>
      </c>
      <c r="I4550">
        <v>232</v>
      </c>
      <c r="J4550">
        <v>1</v>
      </c>
      <c r="K4550">
        <v>23</v>
      </c>
      <c r="L4550">
        <v>257</v>
      </c>
      <c r="M4550">
        <v>1</v>
      </c>
      <c r="N4550">
        <v>2.00589E-100</v>
      </c>
      <c r="O4550">
        <v>929</v>
      </c>
    </row>
    <row r="4551" spans="1:15" x14ac:dyDescent="0.25">
      <c r="A4551" t="s">
        <v>4564</v>
      </c>
      <c r="B4551">
        <v>485</v>
      </c>
      <c r="C4551" s="1" t="str">
        <f>HYPERLINK("http://www.rosaceae.org/gb/gbrowse/malus_x_domestica/?name=MDP0000795650","MDP0000795650")</f>
        <v>MDP0000795650</v>
      </c>
      <c r="D4551">
        <v>88.04</v>
      </c>
      <c r="E4551">
        <v>485</v>
      </c>
      <c r="F4551">
        <v>58</v>
      </c>
      <c r="G4551">
        <v>9</v>
      </c>
      <c r="H4551">
        <v>1</v>
      </c>
      <c r="I4551">
        <v>485</v>
      </c>
      <c r="J4551">
        <v>1</v>
      </c>
      <c r="K4551">
        <v>1</v>
      </c>
      <c r="L4551">
        <v>476</v>
      </c>
      <c r="M4551">
        <v>1</v>
      </c>
      <c r="N4551">
        <v>0</v>
      </c>
      <c r="O4551">
        <v>2258</v>
      </c>
    </row>
    <row r="4552" spans="1:15" x14ac:dyDescent="0.25">
      <c r="A4552" t="s">
        <v>4565</v>
      </c>
      <c r="B4552">
        <v>166</v>
      </c>
      <c r="C4552" s="1" t="str">
        <f>HYPERLINK("http://www.rosaceae.org/gb/gbrowse/malus_x_domestica/?name=MDP0000443333","MDP0000443333")</f>
        <v>MDP0000443333</v>
      </c>
      <c r="D4552">
        <v>52.25</v>
      </c>
      <c r="E4552">
        <v>155</v>
      </c>
      <c r="F4552">
        <v>74</v>
      </c>
      <c r="G4552">
        <v>4</v>
      </c>
      <c r="H4552">
        <v>1</v>
      </c>
      <c r="I4552">
        <v>155</v>
      </c>
      <c r="J4552">
        <v>1</v>
      </c>
      <c r="K4552">
        <v>1</v>
      </c>
      <c r="L4552">
        <v>151</v>
      </c>
      <c r="M4552">
        <v>1</v>
      </c>
      <c r="N4552">
        <v>3.0377299999999997E-42</v>
      </c>
      <c r="O4552">
        <v>424</v>
      </c>
    </row>
    <row r="4553" spans="1:15" x14ac:dyDescent="0.25">
      <c r="A4553" t="s">
        <v>4566</v>
      </c>
      <c r="B4553">
        <v>679</v>
      </c>
      <c r="C4553" s="1" t="str">
        <f>HYPERLINK("http://www.rosaceae.org/gb/gbrowse/malus_x_domestica/?name=MDP0000636593","MDP0000636593")</f>
        <v>MDP0000636593</v>
      </c>
      <c r="D4553">
        <v>71.34</v>
      </c>
      <c r="E4553">
        <v>670</v>
      </c>
      <c r="F4553">
        <v>192</v>
      </c>
      <c r="G4553">
        <v>19</v>
      </c>
      <c r="H4553">
        <v>17</v>
      </c>
      <c r="I4553">
        <v>675</v>
      </c>
      <c r="J4553">
        <v>1</v>
      </c>
      <c r="K4553">
        <v>1</v>
      </c>
      <c r="L4553">
        <v>662</v>
      </c>
      <c r="M4553">
        <v>1</v>
      </c>
      <c r="N4553">
        <v>0</v>
      </c>
      <c r="O4553">
        <v>2438</v>
      </c>
    </row>
    <row r="4554" spans="1:15" x14ac:dyDescent="0.25">
      <c r="A4554" t="s">
        <v>4567</v>
      </c>
      <c r="B4554">
        <v>367</v>
      </c>
      <c r="C4554" s="1" t="str">
        <f>HYPERLINK("http://www.rosaceae.org/gb/gbrowse/malus_x_domestica/?name=MDP0000146076","MDP0000146076")</f>
        <v>MDP0000146076</v>
      </c>
      <c r="D4554">
        <v>73.67</v>
      </c>
      <c r="E4554">
        <v>433</v>
      </c>
      <c r="F4554">
        <v>114</v>
      </c>
      <c r="G4554">
        <v>66</v>
      </c>
      <c r="H4554">
        <v>1</v>
      </c>
      <c r="I4554">
        <v>367</v>
      </c>
      <c r="J4554">
        <v>1</v>
      </c>
      <c r="K4554">
        <v>1</v>
      </c>
      <c r="L4554">
        <v>433</v>
      </c>
      <c r="M4554">
        <v>1</v>
      </c>
      <c r="N4554">
        <v>4.9517E-176</v>
      </c>
      <c r="O4554">
        <v>1583</v>
      </c>
    </row>
    <row r="4555" spans="1:15" x14ac:dyDescent="0.25">
      <c r="A4555" t="s">
        <v>4568</v>
      </c>
      <c r="B4555">
        <v>155</v>
      </c>
      <c r="C4555" s="1" t="str">
        <f>HYPERLINK("http://www.rosaceae.org/gb/gbrowse/malus_x_domestica/?name=MDP0000197825","MDP0000197825")</f>
        <v>MDP0000197825</v>
      </c>
      <c r="D4555">
        <v>39.39</v>
      </c>
      <c r="E4555">
        <v>99</v>
      </c>
      <c r="F4555">
        <v>60</v>
      </c>
      <c r="G4555">
        <v>4</v>
      </c>
      <c r="H4555">
        <v>4</v>
      </c>
      <c r="I4555">
        <v>98</v>
      </c>
      <c r="J4555">
        <v>1</v>
      </c>
      <c r="K4555">
        <v>20</v>
      </c>
      <c r="L4555">
        <v>118</v>
      </c>
      <c r="M4555">
        <v>1</v>
      </c>
      <c r="N4555">
        <v>3.8704499999999999E-11</v>
      </c>
      <c r="O4555">
        <v>156</v>
      </c>
    </row>
    <row r="4556" spans="1:15" x14ac:dyDescent="0.25">
      <c r="A4556" t="s">
        <v>4569</v>
      </c>
      <c r="B4556">
        <v>490</v>
      </c>
      <c r="C4556" s="1" t="str">
        <f>HYPERLINK("http://www.rosaceae.org/gb/gbrowse/malus_x_domestica/?name=MDP0000266169","MDP0000266169")</f>
        <v>MDP0000266169</v>
      </c>
      <c r="D4556">
        <v>76.819999999999993</v>
      </c>
      <c r="E4556">
        <v>492</v>
      </c>
      <c r="F4556">
        <v>114</v>
      </c>
      <c r="G4556">
        <v>7</v>
      </c>
      <c r="H4556">
        <v>1</v>
      </c>
      <c r="I4556">
        <v>486</v>
      </c>
      <c r="J4556">
        <v>1</v>
      </c>
      <c r="K4556">
        <v>1</v>
      </c>
      <c r="L4556">
        <v>491</v>
      </c>
      <c r="M4556">
        <v>1</v>
      </c>
      <c r="N4556">
        <v>0</v>
      </c>
      <c r="O4556">
        <v>1955</v>
      </c>
    </row>
    <row r="4557" spans="1:15" x14ac:dyDescent="0.25">
      <c r="A4557" t="s">
        <v>4570</v>
      </c>
      <c r="B4557">
        <v>175</v>
      </c>
      <c r="C4557" s="1" t="str">
        <f>HYPERLINK("http://www.rosaceae.org/gb/gbrowse/malus_x_domestica/?name=MDP0000174754","MDP0000174754")</f>
        <v>MDP0000174754</v>
      </c>
      <c r="D4557">
        <v>54.45</v>
      </c>
      <c r="E4557">
        <v>101</v>
      </c>
      <c r="F4557">
        <v>46</v>
      </c>
      <c r="G4557">
        <v>7</v>
      </c>
      <c r="H4557">
        <v>9</v>
      </c>
      <c r="I4557">
        <v>102</v>
      </c>
      <c r="J4557">
        <v>1</v>
      </c>
      <c r="K4557">
        <v>421</v>
      </c>
      <c r="L4557">
        <v>521</v>
      </c>
      <c r="M4557">
        <v>1</v>
      </c>
      <c r="N4557">
        <v>8.5718999999999998E-18</v>
      </c>
      <c r="O4557">
        <v>214</v>
      </c>
    </row>
    <row r="4558" spans="1:15" x14ac:dyDescent="0.25">
      <c r="A4558" t="s">
        <v>4571</v>
      </c>
      <c r="B4558">
        <v>275</v>
      </c>
      <c r="C4558" s="1" t="str">
        <f>HYPERLINK("http://www.rosaceae.org/gb/gbrowse/malus_x_domestica/?name=MDP0000560008","MDP0000560008")</f>
        <v>MDP0000560008</v>
      </c>
      <c r="D4558">
        <v>70.650000000000006</v>
      </c>
      <c r="E4558">
        <v>276</v>
      </c>
      <c r="F4558">
        <v>81</v>
      </c>
      <c r="G4558">
        <v>15</v>
      </c>
      <c r="H4558">
        <v>12</v>
      </c>
      <c r="I4558">
        <v>273</v>
      </c>
      <c r="J4558">
        <v>1</v>
      </c>
      <c r="K4558">
        <v>1</v>
      </c>
      <c r="L4558">
        <v>275</v>
      </c>
      <c r="M4558">
        <v>1</v>
      </c>
      <c r="N4558">
        <v>5.1622300000000003E-107</v>
      </c>
      <c r="O4558">
        <v>986</v>
      </c>
    </row>
    <row r="4559" spans="1:15" x14ac:dyDescent="0.25">
      <c r="A4559" t="s">
        <v>4572</v>
      </c>
      <c r="B4559">
        <v>224</v>
      </c>
      <c r="C4559" s="1" t="str">
        <f>HYPERLINK("http://www.rosaceae.org/gb/gbrowse/malus_x_domestica/?name=MDP0000248334","MDP0000248334")</f>
        <v>MDP0000248334</v>
      </c>
      <c r="D4559">
        <v>57.65</v>
      </c>
      <c r="E4559">
        <v>222</v>
      </c>
      <c r="F4559">
        <v>94</v>
      </c>
      <c r="G4559">
        <v>6</v>
      </c>
      <c r="H4559">
        <v>1</v>
      </c>
      <c r="I4559">
        <v>222</v>
      </c>
      <c r="J4559">
        <v>1</v>
      </c>
      <c r="K4559">
        <v>54</v>
      </c>
      <c r="L4559">
        <v>269</v>
      </c>
      <c r="M4559">
        <v>1</v>
      </c>
      <c r="N4559">
        <v>3.0076899999999997E-70</v>
      </c>
      <c r="O4559">
        <v>668</v>
      </c>
    </row>
    <row r="4560" spans="1:15" x14ac:dyDescent="0.25">
      <c r="A4560" t="s">
        <v>4573</v>
      </c>
      <c r="B4560">
        <v>581</v>
      </c>
      <c r="C4560" s="1" t="str">
        <f>HYPERLINK("http://www.rosaceae.org/gb/gbrowse/malus_x_domestica/?name=MDP0000185169","MDP0000185169")</f>
        <v>MDP0000185169</v>
      </c>
      <c r="D4560">
        <v>74.77</v>
      </c>
      <c r="E4560">
        <v>452</v>
      </c>
      <c r="F4560">
        <v>114</v>
      </c>
      <c r="G4560">
        <v>14</v>
      </c>
      <c r="H4560">
        <v>1</v>
      </c>
      <c r="I4560">
        <v>440</v>
      </c>
      <c r="J4560">
        <v>1</v>
      </c>
      <c r="K4560">
        <v>1</v>
      </c>
      <c r="L4560">
        <v>450</v>
      </c>
      <c r="M4560">
        <v>1</v>
      </c>
      <c r="N4560">
        <v>0</v>
      </c>
      <c r="O4560">
        <v>1774</v>
      </c>
    </row>
    <row r="4561" spans="1:15" x14ac:dyDescent="0.25">
      <c r="A4561" t="s">
        <v>4574</v>
      </c>
      <c r="B4561">
        <v>536</v>
      </c>
      <c r="C4561" s="1" t="str">
        <f>HYPERLINK("http://www.rosaceae.org/gb/gbrowse/malus_x_domestica/?name=MDP0000893876","MDP0000893876")</f>
        <v>MDP0000893876</v>
      </c>
      <c r="D4561">
        <v>73.19</v>
      </c>
      <c r="E4561">
        <v>541</v>
      </c>
      <c r="F4561">
        <v>145</v>
      </c>
      <c r="G4561">
        <v>5</v>
      </c>
      <c r="H4561">
        <v>1</v>
      </c>
      <c r="I4561">
        <v>536</v>
      </c>
      <c r="J4561">
        <v>1</v>
      </c>
      <c r="K4561">
        <v>22</v>
      </c>
      <c r="L4561">
        <v>562</v>
      </c>
      <c r="M4561">
        <v>1</v>
      </c>
      <c r="N4561">
        <v>0</v>
      </c>
      <c r="O4561">
        <v>1992</v>
      </c>
    </row>
    <row r="4562" spans="1:15" x14ac:dyDescent="0.25">
      <c r="A4562" t="s">
        <v>4575</v>
      </c>
      <c r="B4562">
        <v>696</v>
      </c>
      <c r="C4562" s="1" t="str">
        <f>HYPERLINK("http://www.rosaceae.org/gb/gbrowse/malus_x_domestica/?name=MDP0000185801","MDP0000185801")</f>
        <v>MDP0000185801</v>
      </c>
      <c r="D4562">
        <v>57.32</v>
      </c>
      <c r="E4562">
        <v>314</v>
      </c>
      <c r="F4562">
        <v>134</v>
      </c>
      <c r="G4562">
        <v>28</v>
      </c>
      <c r="H4562">
        <v>350</v>
      </c>
      <c r="I4562">
        <v>658</v>
      </c>
      <c r="J4562">
        <v>1</v>
      </c>
      <c r="K4562">
        <v>86</v>
      </c>
      <c r="L4562">
        <v>376</v>
      </c>
      <c r="M4562">
        <v>1</v>
      </c>
      <c r="N4562">
        <v>3.1664100000000001E-84</v>
      </c>
      <c r="O4562">
        <v>794</v>
      </c>
    </row>
    <row r="4563" spans="1:15" x14ac:dyDescent="0.25">
      <c r="A4563" t="s">
        <v>4576</v>
      </c>
      <c r="B4563">
        <v>203</v>
      </c>
      <c r="C4563" s="1" t="str">
        <f>HYPERLINK("http://www.rosaceae.org/gb/gbrowse/malus_x_domestica/?name=MDP0000244108","MDP0000244108")</f>
        <v>MDP0000244108</v>
      </c>
      <c r="D4563">
        <v>80.900000000000006</v>
      </c>
      <c r="E4563">
        <v>199</v>
      </c>
      <c r="F4563">
        <v>38</v>
      </c>
      <c r="G4563">
        <v>0</v>
      </c>
      <c r="H4563">
        <v>4</v>
      </c>
      <c r="I4563">
        <v>202</v>
      </c>
      <c r="J4563">
        <v>1</v>
      </c>
      <c r="K4563">
        <v>153</v>
      </c>
      <c r="L4563">
        <v>351</v>
      </c>
      <c r="M4563">
        <v>1</v>
      </c>
      <c r="N4563">
        <v>1.37326E-96</v>
      </c>
      <c r="O4563">
        <v>895</v>
      </c>
    </row>
    <row r="4564" spans="1:15" x14ac:dyDescent="0.25">
      <c r="A4564" t="s">
        <v>4577</v>
      </c>
      <c r="B4564">
        <v>280</v>
      </c>
      <c r="C4564" s="1" t="str">
        <f>HYPERLINK("http://www.rosaceae.org/gb/gbrowse/malus_x_domestica/?name=MDP0000153096","MDP0000153096")</f>
        <v>MDP0000153096</v>
      </c>
      <c r="D4564">
        <v>36.04</v>
      </c>
      <c r="E4564">
        <v>197</v>
      </c>
      <c r="F4564">
        <v>126</v>
      </c>
      <c r="G4564">
        <v>39</v>
      </c>
      <c r="H4564">
        <v>53</v>
      </c>
      <c r="I4564">
        <v>244</v>
      </c>
      <c r="J4564">
        <v>1</v>
      </c>
      <c r="K4564">
        <v>323</v>
      </c>
      <c r="L4564">
        <v>485</v>
      </c>
      <c r="M4564">
        <v>1</v>
      </c>
      <c r="N4564">
        <v>1.59721E-21</v>
      </c>
      <c r="O4564">
        <v>249</v>
      </c>
    </row>
    <row r="4565" spans="1:15" x14ac:dyDescent="0.25">
      <c r="A4565" t="s">
        <v>4578</v>
      </c>
      <c r="B4565">
        <v>400</v>
      </c>
      <c r="C4565" s="1" t="str">
        <f>HYPERLINK("http://www.rosaceae.org/gb/gbrowse/malus_x_domestica/?name=MDP0000665532","MDP0000665532")</f>
        <v>MDP0000665532</v>
      </c>
      <c r="D4565">
        <v>57.84</v>
      </c>
      <c r="E4565">
        <v>102</v>
      </c>
      <c r="F4565">
        <v>43</v>
      </c>
      <c r="G4565">
        <v>0</v>
      </c>
      <c r="H4565">
        <v>268</v>
      </c>
      <c r="I4565">
        <v>369</v>
      </c>
      <c r="J4565">
        <v>1</v>
      </c>
      <c r="K4565">
        <v>16</v>
      </c>
      <c r="L4565">
        <v>117</v>
      </c>
      <c r="M4565">
        <v>1</v>
      </c>
      <c r="N4565">
        <v>1.42244E-28</v>
      </c>
      <c r="O4565">
        <v>312</v>
      </c>
    </row>
    <row r="4566" spans="1:15" x14ac:dyDescent="0.25">
      <c r="A4566" t="s">
        <v>4579</v>
      </c>
      <c r="B4566">
        <v>120</v>
      </c>
      <c r="C4566" s="1" t="str">
        <f>HYPERLINK("http://www.rosaceae.org/gb/gbrowse/malus_x_domestica/?name=MDP0000301092","MDP0000301092")</f>
        <v>MDP0000301092</v>
      </c>
      <c r="D4566">
        <v>34.71</v>
      </c>
      <c r="E4566">
        <v>121</v>
      </c>
      <c r="F4566">
        <v>79</v>
      </c>
      <c r="G4566">
        <v>14</v>
      </c>
      <c r="H4566">
        <v>1</v>
      </c>
      <c r="I4566">
        <v>118</v>
      </c>
      <c r="J4566">
        <v>1</v>
      </c>
      <c r="K4566">
        <v>19</v>
      </c>
      <c r="L4566">
        <v>128</v>
      </c>
      <c r="M4566">
        <v>1</v>
      </c>
      <c r="N4566">
        <v>2.2998100000000001E-12</v>
      </c>
      <c r="O4566">
        <v>164</v>
      </c>
    </row>
    <row r="4567" spans="1:15" x14ac:dyDescent="0.25">
      <c r="A4567" t="s">
        <v>4580</v>
      </c>
      <c r="B4567">
        <v>517</v>
      </c>
      <c r="C4567" s="1" t="str">
        <f>HYPERLINK("http://www.rosaceae.org/gb/gbrowse/malus_x_domestica/?name=MDP0000846265","MDP0000846265")</f>
        <v>MDP0000846265</v>
      </c>
      <c r="D4567">
        <v>65.77</v>
      </c>
      <c r="E4567">
        <v>526</v>
      </c>
      <c r="F4567">
        <v>180</v>
      </c>
      <c r="G4567">
        <v>11</v>
      </c>
      <c r="H4567">
        <v>1</v>
      </c>
      <c r="I4567">
        <v>517</v>
      </c>
      <c r="J4567">
        <v>1</v>
      </c>
      <c r="K4567">
        <v>1</v>
      </c>
      <c r="L4567">
        <v>524</v>
      </c>
      <c r="M4567">
        <v>1</v>
      </c>
      <c r="N4567">
        <v>0</v>
      </c>
      <c r="O4567">
        <v>1682</v>
      </c>
    </row>
    <row r="4568" spans="1:15" x14ac:dyDescent="0.25">
      <c r="A4568" t="s">
        <v>4581</v>
      </c>
      <c r="B4568">
        <v>154</v>
      </c>
      <c r="C4568" s="1" t="str">
        <f>HYPERLINK("http://www.rosaceae.org/gb/gbrowse/malus_x_domestica/?name=MDP0000183620","MDP0000183620")</f>
        <v>MDP0000183620</v>
      </c>
      <c r="D4568">
        <v>75.16</v>
      </c>
      <c r="E4568">
        <v>153</v>
      </c>
      <c r="F4568">
        <v>38</v>
      </c>
      <c r="G4568">
        <v>7</v>
      </c>
      <c r="H4568">
        <v>2</v>
      </c>
      <c r="I4568">
        <v>154</v>
      </c>
      <c r="J4568">
        <v>1</v>
      </c>
      <c r="K4568">
        <v>43</v>
      </c>
      <c r="L4568">
        <v>188</v>
      </c>
      <c r="M4568">
        <v>1</v>
      </c>
      <c r="N4568">
        <v>1.8303499999999998E-61</v>
      </c>
      <c r="O4568">
        <v>590</v>
      </c>
    </row>
    <row r="4569" spans="1:15" x14ac:dyDescent="0.25">
      <c r="A4569" t="s">
        <v>4582</v>
      </c>
      <c r="B4569">
        <v>287</v>
      </c>
      <c r="C4569" s="1" t="str">
        <f>HYPERLINK("http://www.rosaceae.org/gb/gbrowse/malus_x_domestica/?name=MDP0000187983","MDP0000187983")</f>
        <v>MDP0000187983</v>
      </c>
      <c r="D4569">
        <v>71.73</v>
      </c>
      <c r="E4569">
        <v>283</v>
      </c>
      <c r="F4569">
        <v>80</v>
      </c>
      <c r="G4569">
        <v>3</v>
      </c>
      <c r="H4569">
        <v>7</v>
      </c>
      <c r="I4569">
        <v>287</v>
      </c>
      <c r="J4569">
        <v>1</v>
      </c>
      <c r="K4569">
        <v>418</v>
      </c>
      <c r="L4569">
        <v>699</v>
      </c>
      <c r="M4569">
        <v>1</v>
      </c>
      <c r="N4569">
        <v>7.7584800000000004E-113</v>
      </c>
      <c r="O4569">
        <v>1037</v>
      </c>
    </row>
    <row r="4570" spans="1:15" x14ac:dyDescent="0.25">
      <c r="A4570" t="s">
        <v>4583</v>
      </c>
      <c r="B4570">
        <v>1164</v>
      </c>
      <c r="C4570" s="1" t="str">
        <f>HYPERLINK("http://www.rosaceae.org/gb/gbrowse/malus_x_domestica/?name=MDP0000247868","MDP0000247868")</f>
        <v>MDP0000247868</v>
      </c>
      <c r="D4570">
        <v>74.19</v>
      </c>
      <c r="E4570">
        <v>1023</v>
      </c>
      <c r="F4570">
        <v>264</v>
      </c>
      <c r="G4570">
        <v>74</v>
      </c>
      <c r="H4570">
        <v>215</v>
      </c>
      <c r="I4570">
        <v>1163</v>
      </c>
      <c r="J4570">
        <v>1</v>
      </c>
      <c r="K4570">
        <v>468</v>
      </c>
      <c r="L4570">
        <v>1490</v>
      </c>
      <c r="M4570">
        <v>1</v>
      </c>
      <c r="N4570">
        <v>0</v>
      </c>
      <c r="O4570">
        <v>3989</v>
      </c>
    </row>
    <row r="4571" spans="1:15" x14ac:dyDescent="0.25">
      <c r="A4571" t="s">
        <v>4584</v>
      </c>
      <c r="B4571">
        <v>506</v>
      </c>
      <c r="C4571" s="1" t="str">
        <f>HYPERLINK("http://www.rosaceae.org/gb/gbrowse/malus_x_domestica/?name=MDP0000216060","MDP0000216060")</f>
        <v>MDP0000216060</v>
      </c>
      <c r="D4571">
        <v>75.81</v>
      </c>
      <c r="E4571">
        <v>488</v>
      </c>
      <c r="F4571">
        <v>118</v>
      </c>
      <c r="G4571">
        <v>6</v>
      </c>
      <c r="H4571">
        <v>1</v>
      </c>
      <c r="I4571">
        <v>488</v>
      </c>
      <c r="J4571">
        <v>1</v>
      </c>
      <c r="K4571">
        <v>1</v>
      </c>
      <c r="L4571">
        <v>482</v>
      </c>
      <c r="M4571">
        <v>1</v>
      </c>
      <c r="N4571">
        <v>0</v>
      </c>
      <c r="O4571">
        <v>1818</v>
      </c>
    </row>
    <row r="4572" spans="1:15" x14ac:dyDescent="0.25">
      <c r="A4572" t="s">
        <v>4585</v>
      </c>
      <c r="B4572">
        <v>274</v>
      </c>
      <c r="C4572" s="1" t="str">
        <f>HYPERLINK("http://www.rosaceae.org/gb/gbrowse/malus_x_domestica/?name=MDP0000167324","MDP0000167324")</f>
        <v>MDP0000167324</v>
      </c>
      <c r="D4572">
        <v>78.98</v>
      </c>
      <c r="E4572">
        <v>257</v>
      </c>
      <c r="F4572">
        <v>54</v>
      </c>
      <c r="G4572">
        <v>4</v>
      </c>
      <c r="H4572">
        <v>1</v>
      </c>
      <c r="I4572">
        <v>253</v>
      </c>
      <c r="J4572">
        <v>1</v>
      </c>
      <c r="K4572">
        <v>1</v>
      </c>
      <c r="L4572">
        <v>257</v>
      </c>
      <c r="M4572">
        <v>1</v>
      </c>
      <c r="N4572">
        <v>3.1065000000000001E-112</v>
      </c>
      <c r="O4572">
        <v>1031</v>
      </c>
    </row>
    <row r="4573" spans="1:15" x14ac:dyDescent="0.25">
      <c r="A4573" t="s">
        <v>4586</v>
      </c>
      <c r="B4573">
        <v>161</v>
      </c>
      <c r="C4573" s="1" t="str">
        <f>HYPERLINK("http://www.rosaceae.org/gb/gbrowse/malus_x_domestica/?name=MDP0000544533","MDP0000544533")</f>
        <v>MDP0000544533</v>
      </c>
      <c r="D4573">
        <v>27.67</v>
      </c>
      <c r="E4573">
        <v>159</v>
      </c>
      <c r="F4573">
        <v>115</v>
      </c>
      <c r="G4573">
        <v>17</v>
      </c>
      <c r="H4573">
        <v>1</v>
      </c>
      <c r="I4573">
        <v>142</v>
      </c>
      <c r="J4573">
        <v>1</v>
      </c>
      <c r="K4573">
        <v>1</v>
      </c>
      <c r="L4573">
        <v>159</v>
      </c>
      <c r="M4573">
        <v>1</v>
      </c>
      <c r="N4573">
        <v>1.03964E-10</v>
      </c>
      <c r="O4573">
        <v>152</v>
      </c>
    </row>
    <row r="4574" spans="1:15" x14ac:dyDescent="0.25">
      <c r="A4574" t="s">
        <v>4587</v>
      </c>
      <c r="B4574">
        <v>574</v>
      </c>
      <c r="C4574" s="1" t="str">
        <f>HYPERLINK("http://www.rosaceae.org/gb/gbrowse/malus_x_domestica/?name=MDP0000280682","MDP0000280682")</f>
        <v>MDP0000280682</v>
      </c>
      <c r="D4574">
        <v>65.739999999999995</v>
      </c>
      <c r="E4574">
        <v>327</v>
      </c>
      <c r="F4574">
        <v>112</v>
      </c>
      <c r="G4574">
        <v>1</v>
      </c>
      <c r="H4574">
        <v>78</v>
      </c>
      <c r="I4574">
        <v>403</v>
      </c>
      <c r="J4574">
        <v>1</v>
      </c>
      <c r="K4574">
        <v>330</v>
      </c>
      <c r="L4574">
        <v>656</v>
      </c>
      <c r="M4574">
        <v>1</v>
      </c>
      <c r="N4574">
        <v>5.6914999999999997E-126</v>
      </c>
      <c r="O4574">
        <v>1153</v>
      </c>
    </row>
    <row r="4575" spans="1:15" x14ac:dyDescent="0.25">
      <c r="A4575" t="s">
        <v>4588</v>
      </c>
      <c r="B4575">
        <v>362</v>
      </c>
      <c r="C4575" s="1" t="str">
        <f>HYPERLINK("http://www.rosaceae.org/gb/gbrowse/malus_x_domestica/?name=MDP0000302737","MDP0000302737")</f>
        <v>MDP0000302737</v>
      </c>
      <c r="D4575">
        <v>54.94</v>
      </c>
      <c r="E4575">
        <v>91</v>
      </c>
      <c r="F4575">
        <v>41</v>
      </c>
      <c r="G4575">
        <v>5</v>
      </c>
      <c r="H4575">
        <v>1</v>
      </c>
      <c r="I4575">
        <v>91</v>
      </c>
      <c r="J4575">
        <v>1</v>
      </c>
      <c r="K4575">
        <v>973</v>
      </c>
      <c r="L4575">
        <v>1058</v>
      </c>
      <c r="M4575">
        <v>1</v>
      </c>
      <c r="N4575">
        <v>3.2423100000000001E-16</v>
      </c>
      <c r="O4575">
        <v>205</v>
      </c>
    </row>
    <row r="4576" spans="1:15" x14ac:dyDescent="0.25">
      <c r="A4576" t="s">
        <v>4589</v>
      </c>
      <c r="B4576">
        <v>400</v>
      </c>
      <c r="C4576" s="1" t="str">
        <f>HYPERLINK("http://www.rosaceae.org/gb/gbrowse/malus_x_domestica/?name=MDP0000188175","MDP0000188175")</f>
        <v>MDP0000188175</v>
      </c>
      <c r="D4576">
        <v>28.53</v>
      </c>
      <c r="E4576">
        <v>375</v>
      </c>
      <c r="F4576">
        <v>268</v>
      </c>
      <c r="G4576">
        <v>38</v>
      </c>
      <c r="H4576">
        <v>32</v>
      </c>
      <c r="I4576">
        <v>397</v>
      </c>
      <c r="J4576">
        <v>1</v>
      </c>
      <c r="K4576">
        <v>100</v>
      </c>
      <c r="L4576">
        <v>445</v>
      </c>
      <c r="M4576">
        <v>1</v>
      </c>
      <c r="N4576">
        <v>4.6918300000000001E-27</v>
      </c>
      <c r="O4576">
        <v>299</v>
      </c>
    </row>
    <row r="4577" spans="1:15" x14ac:dyDescent="0.25">
      <c r="A4577" t="s">
        <v>4590</v>
      </c>
      <c r="B4577">
        <v>309</v>
      </c>
      <c r="C4577" s="1" t="str">
        <f>HYPERLINK("http://www.rosaceae.org/gb/gbrowse/malus_x_domestica/?name=MDP0000158563","MDP0000158563")</f>
        <v>MDP0000158563</v>
      </c>
      <c r="D4577">
        <v>51.21</v>
      </c>
      <c r="E4577">
        <v>123</v>
      </c>
      <c r="F4577">
        <v>60</v>
      </c>
      <c r="G4577">
        <v>3</v>
      </c>
      <c r="H4577">
        <v>181</v>
      </c>
      <c r="I4577">
        <v>303</v>
      </c>
      <c r="J4577">
        <v>1</v>
      </c>
      <c r="K4577">
        <v>181</v>
      </c>
      <c r="L4577">
        <v>300</v>
      </c>
      <c r="M4577">
        <v>1</v>
      </c>
      <c r="N4577">
        <v>3.3523399999999998E-27</v>
      </c>
      <c r="O4577">
        <v>299</v>
      </c>
    </row>
    <row r="4578" spans="1:15" x14ac:dyDescent="0.25">
      <c r="A4578" t="s">
        <v>4591</v>
      </c>
      <c r="B4578">
        <v>99</v>
      </c>
      <c r="C4578" s="1" t="str">
        <f>HYPERLINK("http://www.rosaceae.org/gb/gbrowse/malus_x_domestica/?name=MDP0000202831","MDP0000202831")</f>
        <v>MDP0000202831</v>
      </c>
      <c r="D4578">
        <v>68.36</v>
      </c>
      <c r="E4578">
        <v>98</v>
      </c>
      <c r="F4578">
        <v>31</v>
      </c>
      <c r="G4578">
        <v>2</v>
      </c>
      <c r="H4578">
        <v>1</v>
      </c>
      <c r="I4578">
        <v>96</v>
      </c>
      <c r="J4578">
        <v>1</v>
      </c>
      <c r="K4578">
        <v>1</v>
      </c>
      <c r="L4578">
        <v>98</v>
      </c>
      <c r="M4578">
        <v>1</v>
      </c>
      <c r="N4578">
        <v>4.7259200000000001E-32</v>
      </c>
      <c r="O4578">
        <v>334</v>
      </c>
    </row>
    <row r="4579" spans="1:15" x14ac:dyDescent="0.25">
      <c r="A4579" t="s">
        <v>4592</v>
      </c>
      <c r="B4579">
        <v>86</v>
      </c>
      <c r="C4579" s="1" t="str">
        <f>HYPERLINK("http://www.rosaceae.org/gb/gbrowse/malus_x_domestica/?name=MDP0000379288","MDP0000379288")</f>
        <v>MDP0000379288</v>
      </c>
      <c r="D4579">
        <v>73.62</v>
      </c>
      <c r="E4579">
        <v>91</v>
      </c>
      <c r="F4579">
        <v>24</v>
      </c>
      <c r="G4579">
        <v>10</v>
      </c>
      <c r="H4579">
        <v>1</v>
      </c>
      <c r="I4579">
        <v>81</v>
      </c>
      <c r="J4579">
        <v>1</v>
      </c>
      <c r="K4579">
        <v>1</v>
      </c>
      <c r="L4579">
        <v>91</v>
      </c>
      <c r="M4579">
        <v>1</v>
      </c>
      <c r="N4579">
        <v>4.7902400000000002E-31</v>
      </c>
      <c r="O4579">
        <v>325</v>
      </c>
    </row>
    <row r="4580" spans="1:15" x14ac:dyDescent="0.25">
      <c r="A4580" t="s">
        <v>4593</v>
      </c>
      <c r="B4580">
        <v>1213</v>
      </c>
      <c r="C4580" s="1" t="str">
        <f>HYPERLINK("http://www.rosaceae.org/gb/gbrowse/malus_x_domestica/?name=MDP0000497906","MDP0000497906")</f>
        <v>MDP0000497906</v>
      </c>
      <c r="D4580">
        <v>86.21</v>
      </c>
      <c r="E4580">
        <v>595</v>
      </c>
      <c r="F4580">
        <v>82</v>
      </c>
      <c r="G4580">
        <v>0</v>
      </c>
      <c r="H4580">
        <v>619</v>
      </c>
      <c r="I4580">
        <v>1213</v>
      </c>
      <c r="J4580">
        <v>1</v>
      </c>
      <c r="K4580">
        <v>83</v>
      </c>
      <c r="L4580">
        <v>677</v>
      </c>
      <c r="M4580">
        <v>1</v>
      </c>
      <c r="N4580">
        <v>0</v>
      </c>
      <c r="O4580">
        <v>2819</v>
      </c>
    </row>
    <row r="4581" spans="1:15" x14ac:dyDescent="0.25">
      <c r="A4581" t="s">
        <v>4594</v>
      </c>
      <c r="B4581">
        <v>603</v>
      </c>
      <c r="C4581" s="1" t="str">
        <f>HYPERLINK("http://www.rosaceae.org/gb/gbrowse/malus_x_domestica/?name=MDP0000165395","MDP0000165395")</f>
        <v>MDP0000165395</v>
      </c>
      <c r="D4581">
        <v>83.92</v>
      </c>
      <c r="E4581">
        <v>392</v>
      </c>
      <c r="F4581">
        <v>63</v>
      </c>
      <c r="G4581">
        <v>25</v>
      </c>
      <c r="H4581">
        <v>1</v>
      </c>
      <c r="I4581">
        <v>375</v>
      </c>
      <c r="J4581">
        <v>1</v>
      </c>
      <c r="K4581">
        <v>63</v>
      </c>
      <c r="L4581">
        <v>446</v>
      </c>
      <c r="M4581">
        <v>1</v>
      </c>
      <c r="N4581">
        <v>0</v>
      </c>
      <c r="O4581">
        <v>1706</v>
      </c>
    </row>
    <row r="4582" spans="1:15" x14ac:dyDescent="0.25">
      <c r="A4582" t="s">
        <v>4595</v>
      </c>
      <c r="B4582">
        <v>532</v>
      </c>
      <c r="C4582" s="1" t="str">
        <f>HYPERLINK("http://www.rosaceae.org/gb/gbrowse/malus_x_domestica/?name=MDP0000762034","MDP0000762034")</f>
        <v>MDP0000762034</v>
      </c>
      <c r="D4582">
        <v>69.87</v>
      </c>
      <c r="E4582">
        <v>541</v>
      </c>
      <c r="F4582">
        <v>163</v>
      </c>
      <c r="G4582">
        <v>13</v>
      </c>
      <c r="H4582">
        <v>1</v>
      </c>
      <c r="I4582">
        <v>531</v>
      </c>
      <c r="J4582">
        <v>1</v>
      </c>
      <c r="K4582">
        <v>1</v>
      </c>
      <c r="L4582">
        <v>538</v>
      </c>
      <c r="M4582">
        <v>1</v>
      </c>
      <c r="N4582">
        <v>0</v>
      </c>
      <c r="O4582">
        <v>2018</v>
      </c>
    </row>
    <row r="4583" spans="1:15" x14ac:dyDescent="0.25">
      <c r="A4583" t="s">
        <v>4596</v>
      </c>
      <c r="B4583">
        <v>367</v>
      </c>
      <c r="C4583" s="1" t="str">
        <f>HYPERLINK("http://www.rosaceae.org/gb/gbrowse/malus_x_domestica/?name=MDP0000318455","MDP0000318455")</f>
        <v>MDP0000318455</v>
      </c>
      <c r="D4583">
        <v>61.69</v>
      </c>
      <c r="E4583">
        <v>389</v>
      </c>
      <c r="F4583">
        <v>149</v>
      </c>
      <c r="G4583">
        <v>29</v>
      </c>
      <c r="H4583">
        <v>4</v>
      </c>
      <c r="I4583">
        <v>366</v>
      </c>
      <c r="J4583">
        <v>1</v>
      </c>
      <c r="K4583">
        <v>63</v>
      </c>
      <c r="L4583">
        <v>448</v>
      </c>
      <c r="M4583">
        <v>1</v>
      </c>
      <c r="N4583">
        <v>2.6471800000000001E-120</v>
      </c>
      <c r="O4583">
        <v>1102</v>
      </c>
    </row>
    <row r="4584" spans="1:15" x14ac:dyDescent="0.25">
      <c r="A4584" t="s">
        <v>4597</v>
      </c>
      <c r="B4584">
        <v>201</v>
      </c>
      <c r="C4584" s="1" t="str">
        <f>HYPERLINK("http://www.rosaceae.org/gb/gbrowse/malus_x_domestica/?name=MDP0000677448","MDP0000677448")</f>
        <v>MDP0000677448</v>
      </c>
      <c r="D4584">
        <v>96.23</v>
      </c>
      <c r="E4584">
        <v>186</v>
      </c>
      <c r="F4584">
        <v>7</v>
      </c>
      <c r="G4584">
        <v>0</v>
      </c>
      <c r="H4584">
        <v>1</v>
      </c>
      <c r="I4584">
        <v>186</v>
      </c>
      <c r="J4584">
        <v>1</v>
      </c>
      <c r="K4584">
        <v>86</v>
      </c>
      <c r="L4584">
        <v>271</v>
      </c>
      <c r="M4584">
        <v>1</v>
      </c>
      <c r="N4584">
        <v>1.4040900000000001E-97</v>
      </c>
      <c r="O4584">
        <v>903</v>
      </c>
    </row>
    <row r="4585" spans="1:15" x14ac:dyDescent="0.25">
      <c r="A4585" t="s">
        <v>4598</v>
      </c>
      <c r="B4585">
        <v>172</v>
      </c>
      <c r="C4585" s="1" t="str">
        <f>HYPERLINK("http://www.rosaceae.org/gb/gbrowse/malus_x_domestica/?name=MDP0000398980","MDP0000398980")</f>
        <v>MDP0000398980</v>
      </c>
      <c r="D4585">
        <v>30.31</v>
      </c>
      <c r="E4585">
        <v>188</v>
      </c>
      <c r="F4585">
        <v>131</v>
      </c>
      <c r="G4585">
        <v>24</v>
      </c>
      <c r="H4585">
        <v>1</v>
      </c>
      <c r="I4585">
        <v>167</v>
      </c>
      <c r="J4585">
        <v>1</v>
      </c>
      <c r="K4585">
        <v>1</v>
      </c>
      <c r="L4585">
        <v>185</v>
      </c>
      <c r="M4585">
        <v>1</v>
      </c>
      <c r="N4585">
        <v>3.3528500000000002E-14</v>
      </c>
      <c r="O4585">
        <v>183</v>
      </c>
    </row>
    <row r="4586" spans="1:15" x14ac:dyDescent="0.25">
      <c r="A4586" t="s">
        <v>4599</v>
      </c>
      <c r="B4586">
        <v>717</v>
      </c>
      <c r="C4586" s="1" t="str">
        <f>HYPERLINK("http://www.rosaceae.org/gb/gbrowse/malus_x_domestica/?name=MDP0000295452","MDP0000295452")</f>
        <v>MDP0000295452</v>
      </c>
      <c r="D4586">
        <v>55.08</v>
      </c>
      <c r="E4586">
        <v>472</v>
      </c>
      <c r="F4586">
        <v>212</v>
      </c>
      <c r="G4586">
        <v>17</v>
      </c>
      <c r="H4586">
        <v>7</v>
      </c>
      <c r="I4586">
        <v>470</v>
      </c>
      <c r="J4586">
        <v>1</v>
      </c>
      <c r="K4586">
        <v>21</v>
      </c>
      <c r="L4586">
        <v>483</v>
      </c>
      <c r="M4586">
        <v>1</v>
      </c>
      <c r="N4586">
        <v>1.80259E-144</v>
      </c>
      <c r="O4586">
        <v>1314</v>
      </c>
    </row>
    <row r="4587" spans="1:15" x14ac:dyDescent="0.25">
      <c r="A4587" t="s">
        <v>4600</v>
      </c>
      <c r="B4587">
        <v>679</v>
      </c>
      <c r="C4587" s="1" t="str">
        <f>HYPERLINK("http://www.rosaceae.org/gb/gbrowse/malus_x_domestica/?name=MDP0000145668","MDP0000145668")</f>
        <v>MDP0000145668</v>
      </c>
      <c r="D4587">
        <v>79.75</v>
      </c>
      <c r="E4587">
        <v>662</v>
      </c>
      <c r="F4587">
        <v>134</v>
      </c>
      <c r="G4587">
        <v>31</v>
      </c>
      <c r="H4587">
        <v>27</v>
      </c>
      <c r="I4587">
        <v>662</v>
      </c>
      <c r="J4587">
        <v>1</v>
      </c>
      <c r="K4587">
        <v>42</v>
      </c>
      <c r="L4587">
        <v>698</v>
      </c>
      <c r="M4587">
        <v>1</v>
      </c>
      <c r="N4587">
        <v>0</v>
      </c>
      <c r="O4587">
        <v>2758</v>
      </c>
    </row>
    <row r="4588" spans="1:15" x14ac:dyDescent="0.25">
      <c r="A4588" t="s">
        <v>4601</v>
      </c>
      <c r="B4588">
        <v>603</v>
      </c>
      <c r="C4588" s="1" t="str">
        <f>HYPERLINK("http://www.rosaceae.org/gb/gbrowse/malus_x_domestica/?name=MDP0000281346","MDP0000281346")</f>
        <v>MDP0000281346</v>
      </c>
      <c r="D4588">
        <v>82.27</v>
      </c>
      <c r="E4588">
        <v>598</v>
      </c>
      <c r="F4588">
        <v>106</v>
      </c>
      <c r="G4588">
        <v>0</v>
      </c>
      <c r="H4588">
        <v>1</v>
      </c>
      <c r="I4588">
        <v>598</v>
      </c>
      <c r="J4588">
        <v>1</v>
      </c>
      <c r="K4588">
        <v>3</v>
      </c>
      <c r="L4588">
        <v>600</v>
      </c>
      <c r="M4588">
        <v>1</v>
      </c>
      <c r="N4588">
        <v>0</v>
      </c>
      <c r="O4588">
        <v>2703</v>
      </c>
    </row>
    <row r="4589" spans="1:15" x14ac:dyDescent="0.25">
      <c r="A4589" t="s">
        <v>4602</v>
      </c>
      <c r="B4589">
        <v>669</v>
      </c>
      <c r="C4589" s="1" t="str">
        <f>HYPERLINK("http://www.rosaceae.org/gb/gbrowse/malus_x_domestica/?name=MDP0000849502","MDP0000849502")</f>
        <v>MDP0000849502</v>
      </c>
      <c r="D4589">
        <v>60.7</v>
      </c>
      <c r="E4589">
        <v>710</v>
      </c>
      <c r="F4589">
        <v>279</v>
      </c>
      <c r="G4589">
        <v>60</v>
      </c>
      <c r="H4589">
        <v>1</v>
      </c>
      <c r="I4589">
        <v>655</v>
      </c>
      <c r="J4589">
        <v>1</v>
      </c>
      <c r="K4589">
        <v>1</v>
      </c>
      <c r="L4589">
        <v>705</v>
      </c>
      <c r="M4589">
        <v>1</v>
      </c>
      <c r="N4589">
        <v>0</v>
      </c>
      <c r="O4589">
        <v>2061</v>
      </c>
    </row>
    <row r="4590" spans="1:15" x14ac:dyDescent="0.25">
      <c r="A4590" t="s">
        <v>4603</v>
      </c>
      <c r="B4590">
        <v>623</v>
      </c>
      <c r="C4590" s="1" t="str">
        <f>HYPERLINK("http://www.rosaceae.org/gb/gbrowse/malus_x_domestica/?name=MDP0000208220","MDP0000208220")</f>
        <v>MDP0000208220</v>
      </c>
      <c r="D4590">
        <v>78.7</v>
      </c>
      <c r="E4590">
        <v>620</v>
      </c>
      <c r="F4590">
        <v>132</v>
      </c>
      <c r="G4590">
        <v>11</v>
      </c>
      <c r="H4590">
        <v>11</v>
      </c>
      <c r="I4590">
        <v>623</v>
      </c>
      <c r="J4590">
        <v>1</v>
      </c>
      <c r="K4590">
        <v>12</v>
      </c>
      <c r="L4590">
        <v>627</v>
      </c>
      <c r="M4590">
        <v>1</v>
      </c>
      <c r="N4590">
        <v>0</v>
      </c>
      <c r="O4590">
        <v>2489</v>
      </c>
    </row>
    <row r="4591" spans="1:15" x14ac:dyDescent="0.25">
      <c r="A4591" t="s">
        <v>4604</v>
      </c>
      <c r="B4591">
        <v>136</v>
      </c>
      <c r="C4591" s="1" t="str">
        <f>HYPERLINK("http://www.rosaceae.org/gb/gbrowse/malus_x_domestica/?name=MDP0000210048","MDP0000210048")</f>
        <v>MDP0000210048</v>
      </c>
      <c r="D4591">
        <v>57.77</v>
      </c>
      <c r="E4591">
        <v>180</v>
      </c>
      <c r="F4591">
        <v>76</v>
      </c>
      <c r="G4591">
        <v>64</v>
      </c>
      <c r="H4591">
        <v>3</v>
      </c>
      <c r="I4591">
        <v>118</v>
      </c>
      <c r="J4591">
        <v>1</v>
      </c>
      <c r="K4591">
        <v>30</v>
      </c>
      <c r="L4591">
        <v>209</v>
      </c>
      <c r="M4591">
        <v>1</v>
      </c>
      <c r="N4591">
        <v>2.15649E-46</v>
      </c>
      <c r="O4591">
        <v>459</v>
      </c>
    </row>
    <row r="4592" spans="1:15" x14ac:dyDescent="0.25">
      <c r="A4592" t="s">
        <v>4605</v>
      </c>
      <c r="B4592">
        <v>214</v>
      </c>
      <c r="C4592" s="1" t="str">
        <f>HYPERLINK("http://www.rosaceae.org/gb/gbrowse/malus_x_domestica/?name=MDP0000123418","MDP0000123418")</f>
        <v>MDP0000123418</v>
      </c>
      <c r="D4592">
        <v>82.89</v>
      </c>
      <c r="E4592">
        <v>152</v>
      </c>
      <c r="F4592">
        <v>26</v>
      </c>
      <c r="G4592">
        <v>1</v>
      </c>
      <c r="H4592">
        <v>64</v>
      </c>
      <c r="I4592">
        <v>214</v>
      </c>
      <c r="J4592">
        <v>1</v>
      </c>
      <c r="K4592">
        <v>63</v>
      </c>
      <c r="L4592">
        <v>214</v>
      </c>
      <c r="M4592">
        <v>1</v>
      </c>
      <c r="N4592">
        <v>1.2567E-70</v>
      </c>
      <c r="O4592">
        <v>671</v>
      </c>
    </row>
    <row r="4593" spans="1:15" x14ac:dyDescent="0.25">
      <c r="A4593" t="s">
        <v>4606</v>
      </c>
      <c r="B4593">
        <v>580</v>
      </c>
      <c r="C4593" s="1" t="str">
        <f>HYPERLINK("http://www.rosaceae.org/gb/gbrowse/malus_x_domestica/?name=MDP0000230482","MDP0000230482")</f>
        <v>MDP0000230482</v>
      </c>
      <c r="D4593">
        <v>79.69</v>
      </c>
      <c r="E4593">
        <v>527</v>
      </c>
      <c r="F4593">
        <v>107</v>
      </c>
      <c r="G4593">
        <v>56</v>
      </c>
      <c r="H4593">
        <v>88</v>
      </c>
      <c r="I4593">
        <v>571</v>
      </c>
      <c r="J4593">
        <v>1</v>
      </c>
      <c r="K4593">
        <v>1</v>
      </c>
      <c r="L4593">
        <v>514</v>
      </c>
      <c r="M4593">
        <v>1</v>
      </c>
      <c r="N4593">
        <v>0</v>
      </c>
      <c r="O4593">
        <v>2142</v>
      </c>
    </row>
    <row r="4594" spans="1:15" x14ac:dyDescent="0.25">
      <c r="A4594" t="s">
        <v>4607</v>
      </c>
      <c r="B4594">
        <v>159</v>
      </c>
      <c r="C4594" s="1" t="str">
        <f>HYPERLINK("http://www.rosaceae.org/gb/gbrowse/malus_x_domestica/?name=MDP0000611200","MDP0000611200")</f>
        <v>MDP0000611200</v>
      </c>
      <c r="D4594">
        <v>80.5</v>
      </c>
      <c r="E4594">
        <v>159</v>
      </c>
      <c r="F4594">
        <v>31</v>
      </c>
      <c r="G4594">
        <v>0</v>
      </c>
      <c r="H4594">
        <v>1</v>
      </c>
      <c r="I4594">
        <v>159</v>
      </c>
      <c r="J4594">
        <v>1</v>
      </c>
      <c r="K4594">
        <v>1</v>
      </c>
      <c r="L4594">
        <v>159</v>
      </c>
      <c r="M4594">
        <v>1</v>
      </c>
      <c r="N4594">
        <v>5.1679899999999999E-71</v>
      </c>
      <c r="O4594">
        <v>672</v>
      </c>
    </row>
    <row r="4595" spans="1:15" x14ac:dyDescent="0.25">
      <c r="A4595" t="s">
        <v>4608</v>
      </c>
      <c r="B4595">
        <v>802</v>
      </c>
      <c r="C4595" s="1" t="str">
        <f>HYPERLINK("http://www.rosaceae.org/gb/gbrowse/malus_x_domestica/?name=MDP0000291677","MDP0000291677")</f>
        <v>MDP0000291677</v>
      </c>
      <c r="D4595">
        <v>43.65</v>
      </c>
      <c r="E4595">
        <v>820</v>
      </c>
      <c r="F4595">
        <v>462</v>
      </c>
      <c r="G4595">
        <v>72</v>
      </c>
      <c r="H4595">
        <v>3</v>
      </c>
      <c r="I4595">
        <v>800</v>
      </c>
      <c r="J4595">
        <v>1</v>
      </c>
      <c r="K4595">
        <v>771</v>
      </c>
      <c r="L4595">
        <v>1540</v>
      </c>
      <c r="M4595">
        <v>1</v>
      </c>
      <c r="N4595">
        <v>0</v>
      </c>
      <c r="O4595">
        <v>1651</v>
      </c>
    </row>
    <row r="4596" spans="1:15" x14ac:dyDescent="0.25">
      <c r="A4596" t="s">
        <v>4609</v>
      </c>
      <c r="B4596">
        <v>580</v>
      </c>
      <c r="C4596" s="1" t="str">
        <f>HYPERLINK("http://www.rosaceae.org/gb/gbrowse/malus_x_domestica/?name=MDP0000188276","MDP0000188276")</f>
        <v>MDP0000188276</v>
      </c>
      <c r="D4596">
        <v>65.5</v>
      </c>
      <c r="E4596">
        <v>258</v>
      </c>
      <c r="F4596">
        <v>89</v>
      </c>
      <c r="G4596">
        <v>20</v>
      </c>
      <c r="H4596">
        <v>118</v>
      </c>
      <c r="I4596">
        <v>355</v>
      </c>
      <c r="J4596">
        <v>1</v>
      </c>
      <c r="K4596">
        <v>5</v>
      </c>
      <c r="L4596">
        <v>262</v>
      </c>
      <c r="M4596">
        <v>1</v>
      </c>
      <c r="N4596">
        <v>2.65891E-90</v>
      </c>
      <c r="O4596">
        <v>846</v>
      </c>
    </row>
    <row r="4597" spans="1:15" x14ac:dyDescent="0.25">
      <c r="A4597" t="s">
        <v>4610</v>
      </c>
      <c r="B4597">
        <v>820</v>
      </c>
      <c r="C4597" s="1" t="str">
        <f>HYPERLINK("http://www.rosaceae.org/gb/gbrowse/malus_x_domestica/?name=MDP0000148820","MDP0000148820")</f>
        <v>MDP0000148820</v>
      </c>
      <c r="D4597">
        <v>72.89</v>
      </c>
      <c r="E4597">
        <v>830</v>
      </c>
      <c r="F4597">
        <v>225</v>
      </c>
      <c r="G4597">
        <v>24</v>
      </c>
      <c r="H4597">
        <v>4</v>
      </c>
      <c r="I4597">
        <v>819</v>
      </c>
      <c r="J4597">
        <v>1</v>
      </c>
      <c r="K4597">
        <v>84</v>
      </c>
      <c r="L4597">
        <v>903</v>
      </c>
      <c r="M4597">
        <v>1</v>
      </c>
      <c r="N4597">
        <v>0</v>
      </c>
      <c r="O4597">
        <v>2910</v>
      </c>
    </row>
    <row r="4598" spans="1:15" x14ac:dyDescent="0.25">
      <c r="A4598" t="s">
        <v>4611</v>
      </c>
      <c r="B4598">
        <v>77</v>
      </c>
      <c r="C4598" s="1" t="str">
        <f>HYPERLINK("http://www.rosaceae.org/gb/gbrowse/malus_x_domestica/?name=MDP0000321236","MDP0000321236")</f>
        <v>MDP0000321236</v>
      </c>
      <c r="D4598">
        <v>68.11</v>
      </c>
      <c r="E4598">
        <v>69</v>
      </c>
      <c r="F4598">
        <v>22</v>
      </c>
      <c r="G4598">
        <v>6</v>
      </c>
      <c r="H4598">
        <v>10</v>
      </c>
      <c r="I4598">
        <v>75</v>
      </c>
      <c r="J4598">
        <v>1</v>
      </c>
      <c r="K4598">
        <v>685</v>
      </c>
      <c r="L4598">
        <v>750</v>
      </c>
      <c r="M4598">
        <v>1</v>
      </c>
      <c r="N4598">
        <v>9.8028300000000007E-18</v>
      </c>
      <c r="O4598">
        <v>210</v>
      </c>
    </row>
    <row r="4599" spans="1:15" x14ac:dyDescent="0.25">
      <c r="A4599" t="s">
        <v>4612</v>
      </c>
      <c r="B4599">
        <v>301</v>
      </c>
      <c r="C4599" s="1" t="str">
        <f>HYPERLINK("http://www.rosaceae.org/gb/gbrowse/malus_x_domestica/?name=MDP0000200569","MDP0000200569")</f>
        <v>MDP0000200569</v>
      </c>
      <c r="D4599">
        <v>78.8</v>
      </c>
      <c r="E4599">
        <v>302</v>
      </c>
      <c r="F4599">
        <v>64</v>
      </c>
      <c r="G4599">
        <v>4</v>
      </c>
      <c r="H4599">
        <v>1</v>
      </c>
      <c r="I4599">
        <v>301</v>
      </c>
      <c r="J4599">
        <v>1</v>
      </c>
      <c r="K4599">
        <v>1</v>
      </c>
      <c r="L4599">
        <v>299</v>
      </c>
      <c r="M4599">
        <v>1</v>
      </c>
      <c r="N4599">
        <v>2.57978E-132</v>
      </c>
      <c r="O4599">
        <v>1205</v>
      </c>
    </row>
    <row r="4600" spans="1:15" x14ac:dyDescent="0.25">
      <c r="A4600" t="s">
        <v>4613</v>
      </c>
      <c r="B4600">
        <v>458</v>
      </c>
      <c r="C4600" s="1" t="str">
        <f>HYPERLINK("http://www.rosaceae.org/gb/gbrowse/malus_x_domestica/?name=MDP0000282499","MDP0000282499")</f>
        <v>MDP0000282499</v>
      </c>
      <c r="D4600">
        <v>43.38</v>
      </c>
      <c r="E4600">
        <v>325</v>
      </c>
      <c r="F4600">
        <v>184</v>
      </c>
      <c r="G4600">
        <v>53</v>
      </c>
      <c r="H4600">
        <v>114</v>
      </c>
      <c r="I4600">
        <v>428</v>
      </c>
      <c r="J4600">
        <v>1</v>
      </c>
      <c r="K4600">
        <v>687</v>
      </c>
      <c r="L4600">
        <v>968</v>
      </c>
      <c r="M4600">
        <v>1</v>
      </c>
      <c r="N4600">
        <v>9.8098800000000003E-67</v>
      </c>
      <c r="O4600">
        <v>642</v>
      </c>
    </row>
    <row r="4601" spans="1:15" x14ac:dyDescent="0.25">
      <c r="A4601" t="s">
        <v>4614</v>
      </c>
      <c r="B4601">
        <v>672</v>
      </c>
      <c r="C4601" s="1" t="str">
        <f>HYPERLINK("http://www.rosaceae.org/gb/gbrowse/malus_x_domestica/?name=MDP0000275533","MDP0000275533")</f>
        <v>MDP0000275533</v>
      </c>
      <c r="D4601">
        <v>71.83</v>
      </c>
      <c r="E4601">
        <v>497</v>
      </c>
      <c r="F4601">
        <v>140</v>
      </c>
      <c r="G4601">
        <v>10</v>
      </c>
      <c r="H4601">
        <v>1</v>
      </c>
      <c r="I4601">
        <v>495</v>
      </c>
      <c r="J4601">
        <v>1</v>
      </c>
      <c r="K4601">
        <v>1</v>
      </c>
      <c r="L4601">
        <v>489</v>
      </c>
      <c r="M4601">
        <v>1</v>
      </c>
      <c r="N4601">
        <v>0</v>
      </c>
      <c r="O4601">
        <v>1772</v>
      </c>
    </row>
    <row r="4602" spans="1:15" x14ac:dyDescent="0.25">
      <c r="A4602" t="s">
        <v>4615</v>
      </c>
      <c r="B4602">
        <v>236</v>
      </c>
      <c r="C4602" s="1" t="str">
        <f>HYPERLINK("http://www.rosaceae.org/gb/gbrowse/malus_x_domestica/?name=MDP0000299726","MDP0000299726")</f>
        <v>MDP0000299726</v>
      </c>
      <c r="D4602">
        <v>44.11</v>
      </c>
      <c r="E4602">
        <v>68</v>
      </c>
      <c r="F4602">
        <v>38</v>
      </c>
      <c r="G4602">
        <v>2</v>
      </c>
      <c r="H4602">
        <v>159</v>
      </c>
      <c r="I4602">
        <v>226</v>
      </c>
      <c r="J4602">
        <v>1</v>
      </c>
      <c r="K4602">
        <v>555</v>
      </c>
      <c r="L4602">
        <v>620</v>
      </c>
      <c r="M4602">
        <v>1</v>
      </c>
      <c r="N4602">
        <v>2.6596199999999998E-7</v>
      </c>
      <c r="O4602">
        <v>126</v>
      </c>
    </row>
    <row r="4603" spans="1:15" x14ac:dyDescent="0.25">
      <c r="A4603" t="s">
        <v>4616</v>
      </c>
      <c r="B4603">
        <v>355</v>
      </c>
      <c r="C4603" s="1" t="str">
        <f>HYPERLINK("http://www.rosaceae.org/gb/gbrowse/malus_x_domestica/?name=MDP0000320004","MDP0000320004")</f>
        <v>MDP0000320004</v>
      </c>
      <c r="D4603">
        <v>72.08</v>
      </c>
      <c r="E4603">
        <v>326</v>
      </c>
      <c r="F4603">
        <v>91</v>
      </c>
      <c r="G4603">
        <v>2</v>
      </c>
      <c r="H4603">
        <v>31</v>
      </c>
      <c r="I4603">
        <v>355</v>
      </c>
      <c r="J4603">
        <v>1</v>
      </c>
      <c r="K4603">
        <v>1172</v>
      </c>
      <c r="L4603">
        <v>1496</v>
      </c>
      <c r="M4603">
        <v>1</v>
      </c>
      <c r="N4603">
        <v>2.8965700000000001E-137</v>
      </c>
      <c r="O4603">
        <v>1249</v>
      </c>
    </row>
    <row r="4604" spans="1:15" x14ac:dyDescent="0.25">
      <c r="A4604" t="s">
        <v>4617</v>
      </c>
      <c r="B4604">
        <v>218</v>
      </c>
      <c r="C4604" s="1" t="str">
        <f>HYPERLINK("http://www.rosaceae.org/gb/gbrowse/malus_x_domestica/?name=MDP0000755113","MDP0000755113")</f>
        <v>MDP0000755113</v>
      </c>
      <c r="D4604">
        <v>71.02</v>
      </c>
      <c r="E4604">
        <v>214</v>
      </c>
      <c r="F4604">
        <v>62</v>
      </c>
      <c r="G4604">
        <v>0</v>
      </c>
      <c r="H4604">
        <v>1</v>
      </c>
      <c r="I4604">
        <v>214</v>
      </c>
      <c r="J4604">
        <v>1</v>
      </c>
      <c r="K4604">
        <v>1</v>
      </c>
      <c r="L4604">
        <v>214</v>
      </c>
      <c r="M4604">
        <v>1</v>
      </c>
      <c r="N4604">
        <v>7.1579099999999998E-87</v>
      </c>
      <c r="O4604">
        <v>811</v>
      </c>
    </row>
    <row r="4605" spans="1:15" x14ac:dyDescent="0.25">
      <c r="A4605" t="s">
        <v>4618</v>
      </c>
      <c r="B4605">
        <v>237</v>
      </c>
      <c r="C4605" s="1" t="str">
        <f>HYPERLINK("http://www.rosaceae.org/gb/gbrowse/malus_x_domestica/?name=MDP0000257754","MDP0000257754")</f>
        <v>MDP0000257754</v>
      </c>
      <c r="D4605">
        <v>53.78</v>
      </c>
      <c r="E4605">
        <v>238</v>
      </c>
      <c r="F4605">
        <v>110</v>
      </c>
      <c r="G4605">
        <v>27</v>
      </c>
      <c r="H4605">
        <v>1</v>
      </c>
      <c r="I4605">
        <v>222</v>
      </c>
      <c r="J4605">
        <v>1</v>
      </c>
      <c r="K4605">
        <v>1</v>
      </c>
      <c r="L4605">
        <v>227</v>
      </c>
      <c r="M4605">
        <v>1</v>
      </c>
      <c r="N4605">
        <v>1.8466899999999999E-53</v>
      </c>
      <c r="O4605">
        <v>524</v>
      </c>
    </row>
    <row r="4606" spans="1:15" x14ac:dyDescent="0.25">
      <c r="A4606" t="s">
        <v>4619</v>
      </c>
      <c r="B4606">
        <v>975</v>
      </c>
      <c r="C4606" s="1" t="str">
        <f>HYPERLINK("http://www.rosaceae.org/gb/gbrowse/malus_x_domestica/?name=MDP0000247921","MDP0000247921")</f>
        <v>MDP0000247921</v>
      </c>
      <c r="D4606">
        <v>29.26</v>
      </c>
      <c r="E4606">
        <v>369</v>
      </c>
      <c r="F4606">
        <v>261</v>
      </c>
      <c r="G4606">
        <v>91</v>
      </c>
      <c r="H4606">
        <v>141</v>
      </c>
      <c r="I4606">
        <v>418</v>
      </c>
      <c r="J4606">
        <v>1</v>
      </c>
      <c r="K4606">
        <v>563</v>
      </c>
      <c r="L4606">
        <v>931</v>
      </c>
      <c r="M4606">
        <v>1</v>
      </c>
      <c r="N4606">
        <v>1.3674799999999999E-41</v>
      </c>
      <c r="O4606">
        <v>428</v>
      </c>
    </row>
    <row r="4607" spans="1:15" x14ac:dyDescent="0.25">
      <c r="A4607" t="s">
        <v>4620</v>
      </c>
      <c r="B4607">
        <v>185</v>
      </c>
      <c r="C4607" s="1" t="str">
        <f>HYPERLINK("http://www.rosaceae.org/gb/gbrowse/malus_x_domestica/?name=MDP0000295766","MDP0000295766")</f>
        <v>MDP0000295766</v>
      </c>
      <c r="D4607">
        <v>51.94</v>
      </c>
      <c r="E4607">
        <v>77</v>
      </c>
      <c r="F4607">
        <v>37</v>
      </c>
      <c r="G4607">
        <v>5</v>
      </c>
      <c r="H4607">
        <v>1</v>
      </c>
      <c r="I4607">
        <v>72</v>
      </c>
      <c r="J4607">
        <v>1</v>
      </c>
      <c r="K4607">
        <v>1051</v>
      </c>
      <c r="L4607">
        <v>1127</v>
      </c>
      <c r="M4607">
        <v>1</v>
      </c>
      <c r="N4607">
        <v>5.9747000000000001E-11</v>
      </c>
      <c r="O4607">
        <v>155</v>
      </c>
    </row>
    <row r="4608" spans="1:15" x14ac:dyDescent="0.25">
      <c r="A4608" t="s">
        <v>4621</v>
      </c>
      <c r="B4608">
        <v>205</v>
      </c>
      <c r="C4608" s="1" t="str">
        <f>HYPERLINK("http://www.rosaceae.org/gb/gbrowse/malus_x_domestica/?name=MDP0000302246","MDP0000302246")</f>
        <v>MDP0000302246</v>
      </c>
      <c r="D4608">
        <v>72.97</v>
      </c>
      <c r="E4608">
        <v>37</v>
      </c>
      <c r="F4608">
        <v>10</v>
      </c>
      <c r="G4608">
        <v>0</v>
      </c>
      <c r="H4608">
        <v>166</v>
      </c>
      <c r="I4608">
        <v>202</v>
      </c>
      <c r="J4608">
        <v>1</v>
      </c>
      <c r="K4608">
        <v>23</v>
      </c>
      <c r="L4608">
        <v>59</v>
      </c>
      <c r="M4608">
        <v>1</v>
      </c>
      <c r="N4608">
        <v>1.2823500000000001E-7</v>
      </c>
      <c r="O4608">
        <v>127</v>
      </c>
    </row>
    <row r="4609" spans="1:15" x14ac:dyDescent="0.25">
      <c r="A4609" t="s">
        <v>4622</v>
      </c>
      <c r="B4609">
        <v>227</v>
      </c>
      <c r="C4609" s="1" t="str">
        <f>HYPERLINK("http://www.rosaceae.org/gb/gbrowse/malus_x_domestica/?name=MDP0000162019","MDP0000162019")</f>
        <v>MDP0000162019</v>
      </c>
      <c r="D4609">
        <v>38.979999999999997</v>
      </c>
      <c r="E4609">
        <v>118</v>
      </c>
      <c r="F4609">
        <v>72</v>
      </c>
      <c r="G4609">
        <v>29</v>
      </c>
      <c r="H4609">
        <v>25</v>
      </c>
      <c r="I4609">
        <v>115</v>
      </c>
      <c r="J4609">
        <v>1</v>
      </c>
      <c r="K4609">
        <v>223</v>
      </c>
      <c r="L4609">
        <v>338</v>
      </c>
      <c r="M4609">
        <v>1</v>
      </c>
      <c r="N4609">
        <v>5.9011500000000001E-15</v>
      </c>
      <c r="O4609">
        <v>191</v>
      </c>
    </row>
    <row r="4610" spans="1:15" x14ac:dyDescent="0.25">
      <c r="A4610" t="s">
        <v>4623</v>
      </c>
      <c r="B4610">
        <v>436</v>
      </c>
      <c r="C4610" s="1" t="str">
        <f>HYPERLINK("http://www.rosaceae.org/gb/gbrowse/malus_x_domestica/?name=MDP0000397306","MDP0000397306")</f>
        <v>MDP0000397306</v>
      </c>
      <c r="D4610">
        <v>50.8</v>
      </c>
      <c r="E4610">
        <v>187</v>
      </c>
      <c r="F4610">
        <v>92</v>
      </c>
      <c r="G4610">
        <v>4</v>
      </c>
      <c r="H4610">
        <v>250</v>
      </c>
      <c r="I4610">
        <v>436</v>
      </c>
      <c r="J4610">
        <v>1</v>
      </c>
      <c r="K4610">
        <v>243</v>
      </c>
      <c r="L4610">
        <v>425</v>
      </c>
      <c r="M4610">
        <v>1</v>
      </c>
      <c r="N4610">
        <v>6.5569699999999998E-48</v>
      </c>
      <c r="O4610">
        <v>479</v>
      </c>
    </row>
    <row r="4611" spans="1:15" x14ac:dyDescent="0.25">
      <c r="A4611" t="s">
        <v>4624</v>
      </c>
      <c r="B4611">
        <v>231</v>
      </c>
      <c r="C4611" s="1" t="str">
        <f>HYPERLINK("http://www.rosaceae.org/gb/gbrowse/malus_x_domestica/?name=MDP0000207557","MDP0000207557")</f>
        <v>MDP0000207557</v>
      </c>
      <c r="D4611">
        <v>67.599999999999994</v>
      </c>
      <c r="E4611">
        <v>250</v>
      </c>
      <c r="F4611">
        <v>81</v>
      </c>
      <c r="G4611">
        <v>19</v>
      </c>
      <c r="H4611">
        <v>1</v>
      </c>
      <c r="I4611">
        <v>231</v>
      </c>
      <c r="J4611">
        <v>1</v>
      </c>
      <c r="K4611">
        <v>1</v>
      </c>
      <c r="L4611">
        <v>250</v>
      </c>
      <c r="M4611">
        <v>1</v>
      </c>
      <c r="N4611">
        <v>5.3071299999999995E-85</v>
      </c>
      <c r="O4611">
        <v>796</v>
      </c>
    </row>
    <row r="4612" spans="1:15" x14ac:dyDescent="0.25">
      <c r="A4612" t="s">
        <v>4625</v>
      </c>
      <c r="B4612">
        <v>579</v>
      </c>
      <c r="C4612" s="1" t="str">
        <f>HYPERLINK("http://www.rosaceae.org/gb/gbrowse/malus_x_domestica/?name=MDP0000721019","MDP0000721019")</f>
        <v>MDP0000721019</v>
      </c>
      <c r="D4612">
        <v>44.3</v>
      </c>
      <c r="E4612">
        <v>544</v>
      </c>
      <c r="F4612">
        <v>303</v>
      </c>
      <c r="G4612">
        <v>24</v>
      </c>
      <c r="H4612">
        <v>1</v>
      </c>
      <c r="I4612">
        <v>528</v>
      </c>
      <c r="J4612">
        <v>1</v>
      </c>
      <c r="K4612">
        <v>123</v>
      </c>
      <c r="L4612">
        <v>658</v>
      </c>
      <c r="M4612">
        <v>1</v>
      </c>
      <c r="N4612">
        <v>5.3380699999999997E-125</v>
      </c>
      <c r="O4612">
        <v>1145</v>
      </c>
    </row>
    <row r="4613" spans="1:15" x14ac:dyDescent="0.25">
      <c r="A4613" t="s">
        <v>4626</v>
      </c>
      <c r="B4613">
        <v>122</v>
      </c>
      <c r="C4613" s="1" t="str">
        <f>HYPERLINK("http://www.rosaceae.org/gb/gbrowse/malus_x_domestica/?name=MDP0000306486","MDP0000306486")</f>
        <v>MDP0000306486</v>
      </c>
      <c r="D4613">
        <v>51.66</v>
      </c>
      <c r="E4613">
        <v>120</v>
      </c>
      <c r="F4613">
        <v>58</v>
      </c>
      <c r="G4613">
        <v>1</v>
      </c>
      <c r="H4613">
        <v>1</v>
      </c>
      <c r="I4613">
        <v>119</v>
      </c>
      <c r="J4613">
        <v>1</v>
      </c>
      <c r="K4613">
        <v>1</v>
      </c>
      <c r="L4613">
        <v>120</v>
      </c>
      <c r="M4613">
        <v>1</v>
      </c>
      <c r="N4613">
        <v>2.2556300000000001E-29</v>
      </c>
      <c r="O4613">
        <v>311</v>
      </c>
    </row>
    <row r="4614" spans="1:15" x14ac:dyDescent="0.25">
      <c r="A4614" t="s">
        <v>4627</v>
      </c>
      <c r="B4614">
        <v>130</v>
      </c>
      <c r="C4614" s="1" t="str">
        <f>HYPERLINK("http://www.rosaceae.org/gb/gbrowse/malus_x_domestica/?name=MDP0000597812","MDP0000597812")</f>
        <v>MDP0000597812</v>
      </c>
      <c r="D4614">
        <v>81.569999999999993</v>
      </c>
      <c r="E4614">
        <v>38</v>
      </c>
      <c r="F4614">
        <v>7</v>
      </c>
      <c r="G4614">
        <v>1</v>
      </c>
      <c r="H4614">
        <v>1</v>
      </c>
      <c r="I4614">
        <v>37</v>
      </c>
      <c r="J4614">
        <v>1</v>
      </c>
      <c r="K4614">
        <v>288</v>
      </c>
      <c r="L4614">
        <v>325</v>
      </c>
      <c r="M4614">
        <v>1</v>
      </c>
      <c r="N4614">
        <v>4.3883599999999997E-12</v>
      </c>
      <c r="O4614">
        <v>162</v>
      </c>
    </row>
    <row r="4615" spans="1:15" x14ac:dyDescent="0.25">
      <c r="A4615" t="s">
        <v>4628</v>
      </c>
      <c r="B4615">
        <v>299</v>
      </c>
      <c r="C4615" s="1" t="str">
        <f>HYPERLINK("http://www.rosaceae.org/gb/gbrowse/malus_x_domestica/?name=MDP0000830051","MDP0000830051")</f>
        <v>MDP0000830051</v>
      </c>
      <c r="D4615">
        <v>57.74</v>
      </c>
      <c r="E4615">
        <v>310</v>
      </c>
      <c r="F4615">
        <v>131</v>
      </c>
      <c r="G4615">
        <v>12</v>
      </c>
      <c r="H4615">
        <v>1</v>
      </c>
      <c r="I4615">
        <v>299</v>
      </c>
      <c r="J4615">
        <v>1</v>
      </c>
      <c r="K4615">
        <v>1</v>
      </c>
      <c r="L4615">
        <v>309</v>
      </c>
      <c r="M4615">
        <v>1</v>
      </c>
      <c r="N4615">
        <v>9.8287000000000003E-88</v>
      </c>
      <c r="O4615">
        <v>821</v>
      </c>
    </row>
    <row r="4616" spans="1:15" x14ac:dyDescent="0.25">
      <c r="A4616" t="s">
        <v>4629</v>
      </c>
      <c r="B4616">
        <v>338</v>
      </c>
      <c r="C4616" s="1" t="str">
        <f>HYPERLINK("http://www.rosaceae.org/gb/gbrowse/malus_x_domestica/?name=MDP0000576756","MDP0000576756")</f>
        <v>MDP0000576756</v>
      </c>
      <c r="D4616">
        <v>58.3</v>
      </c>
      <c r="E4616">
        <v>343</v>
      </c>
      <c r="F4616">
        <v>143</v>
      </c>
      <c r="G4616">
        <v>6</v>
      </c>
      <c r="H4616">
        <v>1</v>
      </c>
      <c r="I4616">
        <v>337</v>
      </c>
      <c r="J4616">
        <v>1</v>
      </c>
      <c r="K4616">
        <v>1</v>
      </c>
      <c r="L4616">
        <v>343</v>
      </c>
      <c r="M4616">
        <v>1</v>
      </c>
      <c r="N4616">
        <v>1.1145000000000001E-108</v>
      </c>
      <c r="O4616">
        <v>1002</v>
      </c>
    </row>
    <row r="4617" spans="1:15" x14ac:dyDescent="0.25">
      <c r="A4617" t="s">
        <v>4630</v>
      </c>
      <c r="B4617">
        <v>808</v>
      </c>
      <c r="C4617" s="1" t="str">
        <f>HYPERLINK("http://www.rosaceae.org/gb/gbrowse/malus_x_domestica/?name=MDP0000312162","MDP0000312162")</f>
        <v>MDP0000312162</v>
      </c>
      <c r="D4617">
        <v>44.08</v>
      </c>
      <c r="E4617">
        <v>862</v>
      </c>
      <c r="F4617">
        <v>482</v>
      </c>
      <c r="G4617">
        <v>181</v>
      </c>
      <c r="H4617">
        <v>1</v>
      </c>
      <c r="I4617">
        <v>741</v>
      </c>
      <c r="J4617">
        <v>1</v>
      </c>
      <c r="K4617">
        <v>1</v>
      </c>
      <c r="L4617">
        <v>802</v>
      </c>
      <c r="M4617">
        <v>1</v>
      </c>
      <c r="N4617">
        <v>5.8184499999999998E-164</v>
      </c>
      <c r="O4617">
        <v>1483</v>
      </c>
    </row>
    <row r="4618" spans="1:15" x14ac:dyDescent="0.25">
      <c r="A4618" t="s">
        <v>4631</v>
      </c>
      <c r="B4618">
        <v>339</v>
      </c>
      <c r="C4618" s="1" t="str">
        <f>HYPERLINK("http://www.rosaceae.org/gb/gbrowse/malus_x_domestica/?name=MDP0000139325","MDP0000139325")</f>
        <v>MDP0000139325</v>
      </c>
      <c r="D4618">
        <v>53.63</v>
      </c>
      <c r="E4618">
        <v>330</v>
      </c>
      <c r="F4618">
        <v>153</v>
      </c>
      <c r="G4618">
        <v>86</v>
      </c>
      <c r="H4618">
        <v>1</v>
      </c>
      <c r="I4618">
        <v>322</v>
      </c>
      <c r="J4618">
        <v>1</v>
      </c>
      <c r="K4618">
        <v>1</v>
      </c>
      <c r="L4618">
        <v>252</v>
      </c>
      <c r="M4618">
        <v>1</v>
      </c>
      <c r="N4618">
        <v>7.3033699999999996E-85</v>
      </c>
      <c r="O4618">
        <v>796</v>
      </c>
    </row>
    <row r="4619" spans="1:15" x14ac:dyDescent="0.25">
      <c r="A4619" t="s">
        <v>4632</v>
      </c>
      <c r="B4619">
        <v>1009</v>
      </c>
      <c r="C4619" s="1" t="str">
        <f>HYPERLINK("http://www.rosaceae.org/gb/gbrowse/malus_x_domestica/?name=MDP0000122624","MDP0000122624")</f>
        <v>MDP0000122624</v>
      </c>
      <c r="D4619">
        <v>76.930000000000007</v>
      </c>
      <c r="E4619">
        <v>1010</v>
      </c>
      <c r="F4619">
        <v>233</v>
      </c>
      <c r="G4619">
        <v>15</v>
      </c>
      <c r="H4619">
        <v>1</v>
      </c>
      <c r="I4619">
        <v>1004</v>
      </c>
      <c r="J4619">
        <v>1</v>
      </c>
      <c r="K4619">
        <v>1</v>
      </c>
      <c r="L4619">
        <v>1001</v>
      </c>
      <c r="M4619">
        <v>1</v>
      </c>
      <c r="N4619">
        <v>0</v>
      </c>
      <c r="O4619">
        <v>3937</v>
      </c>
    </row>
    <row r="4620" spans="1:15" x14ac:dyDescent="0.25">
      <c r="A4620" t="s">
        <v>4633</v>
      </c>
      <c r="B4620">
        <v>619</v>
      </c>
      <c r="C4620" s="1" t="str">
        <f>HYPERLINK("http://www.rosaceae.org/gb/gbrowse/malus_x_domestica/?name=MDP0000676216","MDP0000676216")</f>
        <v>MDP0000676216</v>
      </c>
      <c r="D4620">
        <v>62.72</v>
      </c>
      <c r="E4620">
        <v>169</v>
      </c>
      <c r="F4620">
        <v>63</v>
      </c>
      <c r="G4620">
        <v>8</v>
      </c>
      <c r="H4620">
        <v>403</v>
      </c>
      <c r="I4620">
        <v>566</v>
      </c>
      <c r="J4620">
        <v>1</v>
      </c>
      <c r="K4620">
        <v>71</v>
      </c>
      <c r="L4620">
        <v>236</v>
      </c>
      <c r="M4620">
        <v>1</v>
      </c>
      <c r="N4620">
        <v>9.6848899999999999E-50</v>
      </c>
      <c r="O4620">
        <v>496</v>
      </c>
    </row>
    <row r="4621" spans="1:15" x14ac:dyDescent="0.25">
      <c r="A4621" t="s">
        <v>4634</v>
      </c>
      <c r="B4621">
        <v>944</v>
      </c>
      <c r="C4621" s="1" t="str">
        <f>HYPERLINK("http://www.rosaceae.org/gb/gbrowse/malus_x_domestica/?name=MDP0000613111","MDP0000613111")</f>
        <v>MDP0000613111</v>
      </c>
      <c r="D4621">
        <v>36.26</v>
      </c>
      <c r="E4621">
        <v>899</v>
      </c>
      <c r="F4621">
        <v>573</v>
      </c>
      <c r="G4621">
        <v>147</v>
      </c>
      <c r="H4621">
        <v>83</v>
      </c>
      <c r="I4621">
        <v>929</v>
      </c>
      <c r="J4621">
        <v>1</v>
      </c>
      <c r="K4621">
        <v>57</v>
      </c>
      <c r="L4621">
        <v>860</v>
      </c>
      <c r="M4621">
        <v>1</v>
      </c>
      <c r="N4621">
        <v>2.4951200000000002E-114</v>
      </c>
      <c r="O4621">
        <v>1055</v>
      </c>
    </row>
    <row r="4622" spans="1:15" x14ac:dyDescent="0.25">
      <c r="A4622" t="s">
        <v>4635</v>
      </c>
      <c r="B4622">
        <v>350</v>
      </c>
      <c r="C4622" s="1" t="str">
        <f>HYPERLINK("http://www.rosaceae.org/gb/gbrowse/malus_x_domestica/?name=MDP0000141531","MDP0000141531")</f>
        <v>MDP0000141531</v>
      </c>
      <c r="D4622">
        <v>42.32</v>
      </c>
      <c r="E4622">
        <v>352</v>
      </c>
      <c r="F4622">
        <v>203</v>
      </c>
      <c r="G4622">
        <v>36</v>
      </c>
      <c r="H4622">
        <v>7</v>
      </c>
      <c r="I4622">
        <v>332</v>
      </c>
      <c r="J4622">
        <v>1</v>
      </c>
      <c r="K4622">
        <v>30</v>
      </c>
      <c r="L4622">
        <v>371</v>
      </c>
      <c r="M4622">
        <v>1</v>
      </c>
      <c r="N4622">
        <v>2.8498400000000001E-64</v>
      </c>
      <c r="O4622">
        <v>619</v>
      </c>
    </row>
    <row r="4623" spans="1:15" x14ac:dyDescent="0.25">
      <c r="A4623" t="s">
        <v>4636</v>
      </c>
      <c r="B4623">
        <v>714</v>
      </c>
      <c r="C4623" s="1" t="str">
        <f>HYPERLINK("http://www.rosaceae.org/gb/gbrowse/malus_x_domestica/?name=MDP0000125644","MDP0000125644")</f>
        <v>MDP0000125644</v>
      </c>
      <c r="D4623">
        <v>36.01</v>
      </c>
      <c r="E4623">
        <v>361</v>
      </c>
      <c r="F4623">
        <v>231</v>
      </c>
      <c r="G4623">
        <v>79</v>
      </c>
      <c r="H4623">
        <v>68</v>
      </c>
      <c r="I4623">
        <v>394</v>
      </c>
      <c r="J4623">
        <v>1</v>
      </c>
      <c r="K4623">
        <v>2</v>
      </c>
      <c r="L4623">
        <v>317</v>
      </c>
      <c r="M4623">
        <v>1</v>
      </c>
      <c r="N4623">
        <v>1.5266699999999999E-38</v>
      </c>
      <c r="O4623">
        <v>400</v>
      </c>
    </row>
    <row r="4624" spans="1:15" x14ac:dyDescent="0.25">
      <c r="A4624" t="s">
        <v>4637</v>
      </c>
      <c r="B4624">
        <v>215</v>
      </c>
      <c r="C4624" s="1" t="str">
        <f>HYPERLINK("http://www.rosaceae.org/gb/gbrowse/malus_x_domestica/?name=MDP0000023025","MDP0000023025")</f>
        <v>MDP0000023025</v>
      </c>
      <c r="D4624">
        <v>84.18</v>
      </c>
      <c r="E4624">
        <v>215</v>
      </c>
      <c r="F4624">
        <v>34</v>
      </c>
      <c r="G4624">
        <v>0</v>
      </c>
      <c r="H4624">
        <v>1</v>
      </c>
      <c r="I4624">
        <v>215</v>
      </c>
      <c r="J4624">
        <v>1</v>
      </c>
      <c r="K4624">
        <v>1</v>
      </c>
      <c r="L4624">
        <v>215</v>
      </c>
      <c r="M4624">
        <v>1</v>
      </c>
      <c r="N4624">
        <v>1.84139E-106</v>
      </c>
      <c r="O4624">
        <v>980</v>
      </c>
    </row>
    <row r="4625" spans="1:15" x14ac:dyDescent="0.25">
      <c r="A4625" t="s">
        <v>4638</v>
      </c>
      <c r="B4625">
        <v>362</v>
      </c>
      <c r="C4625" s="1" t="str">
        <f>HYPERLINK("http://www.rosaceae.org/gb/gbrowse/malus_x_domestica/?name=MDP0000247921","MDP0000247921")</f>
        <v>MDP0000247921</v>
      </c>
      <c r="D4625">
        <v>33.590000000000003</v>
      </c>
      <c r="E4625">
        <v>128</v>
      </c>
      <c r="F4625">
        <v>85</v>
      </c>
      <c r="G4625">
        <v>34</v>
      </c>
      <c r="H4625">
        <v>33</v>
      </c>
      <c r="I4625">
        <v>127</v>
      </c>
      <c r="J4625">
        <v>1</v>
      </c>
      <c r="K4625">
        <v>663</v>
      </c>
      <c r="L4625">
        <v>789</v>
      </c>
      <c r="M4625">
        <v>1</v>
      </c>
      <c r="N4625">
        <v>4.8506100000000003E-8</v>
      </c>
      <c r="O4625">
        <v>134</v>
      </c>
    </row>
    <row r="4626" spans="1:15" x14ac:dyDescent="0.25">
      <c r="A4626" t="s">
        <v>4639</v>
      </c>
      <c r="B4626">
        <v>731</v>
      </c>
      <c r="C4626" s="1" t="str">
        <f>HYPERLINK("http://www.rosaceae.org/gb/gbrowse/malus_x_domestica/?name=MDP0000172088","MDP0000172088")</f>
        <v>MDP0000172088</v>
      </c>
      <c r="D4626">
        <v>67.900000000000006</v>
      </c>
      <c r="E4626">
        <v>701</v>
      </c>
      <c r="F4626">
        <v>225</v>
      </c>
      <c r="G4626">
        <v>12</v>
      </c>
      <c r="H4626">
        <v>2</v>
      </c>
      <c r="I4626">
        <v>696</v>
      </c>
      <c r="J4626">
        <v>1</v>
      </c>
      <c r="K4626">
        <v>6</v>
      </c>
      <c r="L4626">
        <v>700</v>
      </c>
      <c r="M4626">
        <v>1</v>
      </c>
      <c r="N4626">
        <v>0</v>
      </c>
      <c r="O4626">
        <v>2491</v>
      </c>
    </row>
    <row r="4627" spans="1:15" x14ac:dyDescent="0.25">
      <c r="A4627" t="s">
        <v>4640</v>
      </c>
      <c r="B4627">
        <v>229</v>
      </c>
      <c r="C4627" s="1" t="str">
        <f>HYPERLINK("http://www.rosaceae.org/gb/gbrowse/malus_x_domestica/?name=MDP0000289755","MDP0000289755")</f>
        <v>MDP0000289755</v>
      </c>
      <c r="D4627">
        <v>57.8</v>
      </c>
      <c r="E4627">
        <v>173</v>
      </c>
      <c r="F4627">
        <v>73</v>
      </c>
      <c r="G4627">
        <v>16</v>
      </c>
      <c r="H4627">
        <v>16</v>
      </c>
      <c r="I4627">
        <v>188</v>
      </c>
      <c r="J4627">
        <v>1</v>
      </c>
      <c r="K4627">
        <v>24</v>
      </c>
      <c r="L4627">
        <v>180</v>
      </c>
      <c r="M4627">
        <v>1</v>
      </c>
      <c r="N4627">
        <v>1.8907100000000001E-52</v>
      </c>
      <c r="O4627">
        <v>515</v>
      </c>
    </row>
    <row r="4628" spans="1:15" x14ac:dyDescent="0.25">
      <c r="A4628" t="s">
        <v>4641</v>
      </c>
      <c r="B4628">
        <v>124</v>
      </c>
      <c r="C4628" s="1" t="str">
        <f>HYPERLINK("http://www.rosaceae.org/gb/gbrowse/malus_x_domestica/?name=MDP0000453139","MDP0000453139")</f>
        <v>MDP0000453139</v>
      </c>
      <c r="D4628">
        <v>93.75</v>
      </c>
      <c r="E4628">
        <v>48</v>
      </c>
      <c r="F4628">
        <v>3</v>
      </c>
      <c r="G4628">
        <v>0</v>
      </c>
      <c r="H4628">
        <v>54</v>
      </c>
      <c r="I4628">
        <v>101</v>
      </c>
      <c r="J4628">
        <v>1</v>
      </c>
      <c r="K4628">
        <v>16</v>
      </c>
      <c r="L4628">
        <v>63</v>
      </c>
      <c r="M4628">
        <v>1</v>
      </c>
      <c r="N4628">
        <v>3.7964200000000002E-22</v>
      </c>
      <c r="O4628">
        <v>249</v>
      </c>
    </row>
    <row r="4629" spans="1:15" x14ac:dyDescent="0.25">
      <c r="A4629" t="s">
        <v>4642</v>
      </c>
      <c r="B4629">
        <v>236</v>
      </c>
      <c r="C4629" s="1" t="str">
        <f>HYPERLINK("http://www.rosaceae.org/gb/gbrowse/malus_x_domestica/?name=MDP0000185742","MDP0000185742")</f>
        <v>MDP0000185742</v>
      </c>
      <c r="D4629">
        <v>72.06</v>
      </c>
      <c r="E4629">
        <v>179</v>
      </c>
      <c r="F4629">
        <v>50</v>
      </c>
      <c r="G4629">
        <v>2</v>
      </c>
      <c r="H4629">
        <v>44</v>
      </c>
      <c r="I4629">
        <v>220</v>
      </c>
      <c r="J4629">
        <v>1</v>
      </c>
      <c r="K4629">
        <v>44</v>
      </c>
      <c r="L4629">
        <v>222</v>
      </c>
      <c r="M4629">
        <v>1</v>
      </c>
      <c r="N4629">
        <v>8.4737100000000003E-68</v>
      </c>
      <c r="O4629">
        <v>647</v>
      </c>
    </row>
    <row r="4630" spans="1:15" x14ac:dyDescent="0.25">
      <c r="A4630" t="s">
        <v>4643</v>
      </c>
      <c r="B4630">
        <v>446</v>
      </c>
      <c r="C4630" s="1" t="str">
        <f>HYPERLINK("http://www.rosaceae.org/gb/gbrowse/malus_x_domestica/?name=MDP0000138294","MDP0000138294")</f>
        <v>MDP0000138294</v>
      </c>
      <c r="D4630">
        <v>56.18</v>
      </c>
      <c r="E4630">
        <v>283</v>
      </c>
      <c r="F4630">
        <v>124</v>
      </c>
      <c r="G4630">
        <v>24</v>
      </c>
      <c r="H4630">
        <v>2</v>
      </c>
      <c r="I4630">
        <v>262</v>
      </c>
      <c r="J4630">
        <v>1</v>
      </c>
      <c r="K4630">
        <v>55</v>
      </c>
      <c r="L4630">
        <v>335</v>
      </c>
      <c r="M4630">
        <v>1</v>
      </c>
      <c r="N4630">
        <v>1.06725E-87</v>
      </c>
      <c r="O4630">
        <v>822</v>
      </c>
    </row>
    <row r="4631" spans="1:15" x14ac:dyDescent="0.25">
      <c r="A4631" t="s">
        <v>4644</v>
      </c>
      <c r="B4631">
        <v>2488</v>
      </c>
      <c r="C4631" s="1" t="str">
        <f>HYPERLINK("http://www.rosaceae.org/gb/gbrowse/malus_x_domestica/?name=MDP0000278144","MDP0000278144")</f>
        <v>MDP0000278144</v>
      </c>
      <c r="D4631">
        <v>64.400000000000006</v>
      </c>
      <c r="E4631">
        <v>59</v>
      </c>
      <c r="F4631">
        <v>21</v>
      </c>
      <c r="G4631">
        <v>0</v>
      </c>
      <c r="H4631">
        <v>1918</v>
      </c>
      <c r="I4631">
        <v>1976</v>
      </c>
      <c r="J4631">
        <v>1</v>
      </c>
      <c r="K4631">
        <v>533</v>
      </c>
      <c r="L4631">
        <v>591</v>
      </c>
      <c r="M4631">
        <v>1</v>
      </c>
      <c r="N4631">
        <v>7.1730399999999992E-18</v>
      </c>
      <c r="O4631">
        <v>227</v>
      </c>
    </row>
    <row r="4632" spans="1:15" x14ac:dyDescent="0.25">
      <c r="A4632" t="s">
        <v>4645</v>
      </c>
      <c r="B4632">
        <v>119</v>
      </c>
      <c r="C4632" s="1" t="str">
        <f>HYPERLINK("http://www.rosaceae.org/gb/gbrowse/malus_x_domestica/?name=MDP0000185793","MDP0000185793")</f>
        <v>MDP0000185793</v>
      </c>
      <c r="D4632">
        <v>93.87</v>
      </c>
      <c r="E4632">
        <v>98</v>
      </c>
      <c r="F4632">
        <v>6</v>
      </c>
      <c r="G4632">
        <v>0</v>
      </c>
      <c r="H4632">
        <v>10</v>
      </c>
      <c r="I4632">
        <v>107</v>
      </c>
      <c r="J4632">
        <v>1</v>
      </c>
      <c r="K4632">
        <v>25</v>
      </c>
      <c r="L4632">
        <v>122</v>
      </c>
      <c r="M4632">
        <v>1</v>
      </c>
      <c r="N4632">
        <v>2.3607700000000001E-49</v>
      </c>
      <c r="O4632">
        <v>483</v>
      </c>
    </row>
    <row r="4633" spans="1:15" x14ac:dyDescent="0.25">
      <c r="A4633" t="s">
        <v>4646</v>
      </c>
      <c r="B4633">
        <v>239</v>
      </c>
      <c r="C4633" s="1" t="str">
        <f>HYPERLINK("http://www.rosaceae.org/gb/gbrowse/malus_x_domestica/?name=MDP0000216343","MDP0000216343")</f>
        <v>MDP0000216343</v>
      </c>
      <c r="D4633">
        <v>70.75</v>
      </c>
      <c r="E4633">
        <v>106</v>
      </c>
      <c r="F4633">
        <v>31</v>
      </c>
      <c r="G4633">
        <v>2</v>
      </c>
      <c r="H4633">
        <v>75</v>
      </c>
      <c r="I4633">
        <v>178</v>
      </c>
      <c r="J4633">
        <v>1</v>
      </c>
      <c r="K4633">
        <v>291</v>
      </c>
      <c r="L4633">
        <v>396</v>
      </c>
      <c r="M4633">
        <v>1</v>
      </c>
      <c r="N4633">
        <v>4.2972500000000001E-39</v>
      </c>
      <c r="O4633">
        <v>400</v>
      </c>
    </row>
    <row r="4634" spans="1:15" x14ac:dyDescent="0.25">
      <c r="A4634" t="s">
        <v>4647</v>
      </c>
      <c r="B4634">
        <v>315</v>
      </c>
      <c r="C4634" s="1" t="str">
        <f>HYPERLINK("http://www.rosaceae.org/gb/gbrowse/malus_x_domestica/?name=MDP0000294785","MDP0000294785")</f>
        <v>MDP0000294785</v>
      </c>
      <c r="D4634">
        <v>77.06</v>
      </c>
      <c r="E4634">
        <v>279</v>
      </c>
      <c r="F4634">
        <v>64</v>
      </c>
      <c r="G4634">
        <v>0</v>
      </c>
      <c r="H4634">
        <v>37</v>
      </c>
      <c r="I4634">
        <v>315</v>
      </c>
      <c r="J4634">
        <v>1</v>
      </c>
      <c r="K4634">
        <v>1221</v>
      </c>
      <c r="L4634">
        <v>1499</v>
      </c>
      <c r="M4634">
        <v>1</v>
      </c>
      <c r="N4634">
        <v>2.82892E-136</v>
      </c>
      <c r="O4634">
        <v>1239</v>
      </c>
    </row>
    <row r="4635" spans="1:15" x14ac:dyDescent="0.25">
      <c r="A4635" t="s">
        <v>4648</v>
      </c>
      <c r="B4635">
        <v>411</v>
      </c>
      <c r="C4635" s="1" t="str">
        <f>HYPERLINK("http://www.rosaceae.org/gb/gbrowse/malus_x_domestica/?name=MDP0000128968","MDP0000128968")</f>
        <v>MDP0000128968</v>
      </c>
      <c r="D4635">
        <v>59.12</v>
      </c>
      <c r="E4635">
        <v>433</v>
      </c>
      <c r="F4635">
        <v>177</v>
      </c>
      <c r="G4635">
        <v>25</v>
      </c>
      <c r="H4635">
        <v>1</v>
      </c>
      <c r="I4635">
        <v>411</v>
      </c>
      <c r="J4635">
        <v>1</v>
      </c>
      <c r="K4635">
        <v>4</v>
      </c>
      <c r="L4635">
        <v>433</v>
      </c>
      <c r="M4635">
        <v>1</v>
      </c>
      <c r="N4635">
        <v>1.9485699999999999E-134</v>
      </c>
      <c r="O4635">
        <v>1225</v>
      </c>
    </row>
    <row r="4636" spans="1:15" x14ac:dyDescent="0.25">
      <c r="A4636" t="s">
        <v>4649</v>
      </c>
      <c r="B4636">
        <v>505</v>
      </c>
      <c r="C4636" s="1" t="str">
        <f>HYPERLINK("http://www.rosaceae.org/gb/gbrowse/malus_x_domestica/?name=MDP0000254701","MDP0000254701")</f>
        <v>MDP0000254701</v>
      </c>
      <c r="D4636">
        <v>80.290000000000006</v>
      </c>
      <c r="E4636">
        <v>477</v>
      </c>
      <c r="F4636">
        <v>94</v>
      </c>
      <c r="G4636">
        <v>31</v>
      </c>
      <c r="H4636">
        <v>59</v>
      </c>
      <c r="I4636">
        <v>505</v>
      </c>
      <c r="J4636">
        <v>1</v>
      </c>
      <c r="K4636">
        <v>324</v>
      </c>
      <c r="L4636">
        <v>799</v>
      </c>
      <c r="M4636">
        <v>1</v>
      </c>
      <c r="N4636">
        <v>0</v>
      </c>
      <c r="O4636">
        <v>1935</v>
      </c>
    </row>
    <row r="4637" spans="1:15" x14ac:dyDescent="0.25">
      <c r="A4637" t="s">
        <v>4650</v>
      </c>
      <c r="B4637">
        <v>193</v>
      </c>
      <c r="C4637" s="1" t="str">
        <f>HYPERLINK("http://www.rosaceae.org/gb/gbrowse/malus_x_domestica/?name=MDP0000150794","MDP0000150794")</f>
        <v>MDP0000150794</v>
      </c>
      <c r="D4637">
        <v>58.46</v>
      </c>
      <c r="E4637">
        <v>195</v>
      </c>
      <c r="F4637">
        <v>81</v>
      </c>
      <c r="G4637">
        <v>3</v>
      </c>
      <c r="H4637">
        <v>1</v>
      </c>
      <c r="I4637">
        <v>193</v>
      </c>
      <c r="J4637">
        <v>1</v>
      </c>
      <c r="K4637">
        <v>82</v>
      </c>
      <c r="L4637">
        <v>275</v>
      </c>
      <c r="M4637">
        <v>1</v>
      </c>
      <c r="N4637">
        <v>8.1545199999999996E-53</v>
      </c>
      <c r="O4637">
        <v>517</v>
      </c>
    </row>
    <row r="4638" spans="1:15" x14ac:dyDescent="0.25">
      <c r="A4638" t="s">
        <v>4651</v>
      </c>
      <c r="B4638">
        <v>622</v>
      </c>
      <c r="C4638" s="1" t="str">
        <f>HYPERLINK("http://www.rosaceae.org/gb/gbrowse/malus_x_domestica/?name=MDP0000296416","MDP0000296416")</f>
        <v>MDP0000296416</v>
      </c>
      <c r="D4638">
        <v>74.75</v>
      </c>
      <c r="E4638">
        <v>519</v>
      </c>
      <c r="F4638">
        <v>131</v>
      </c>
      <c r="G4638">
        <v>63</v>
      </c>
      <c r="H4638">
        <v>81</v>
      </c>
      <c r="I4638">
        <v>583</v>
      </c>
      <c r="J4638">
        <v>1</v>
      </c>
      <c r="K4638">
        <v>203</v>
      </c>
      <c r="L4638">
        <v>674</v>
      </c>
      <c r="M4638">
        <v>1</v>
      </c>
      <c r="N4638">
        <v>0</v>
      </c>
      <c r="O4638">
        <v>2045</v>
      </c>
    </row>
    <row r="4639" spans="1:15" x14ac:dyDescent="0.25">
      <c r="A4639" t="s">
        <v>4652</v>
      </c>
      <c r="B4639">
        <v>94</v>
      </c>
      <c r="C4639" s="1" t="str">
        <f>HYPERLINK("http://www.rosaceae.org/gb/gbrowse/malus_x_domestica/?name=MDP0000283329","MDP0000283329")</f>
        <v>MDP0000283329</v>
      </c>
      <c r="D4639">
        <v>50.84</v>
      </c>
      <c r="E4639">
        <v>59</v>
      </c>
      <c r="F4639">
        <v>29</v>
      </c>
      <c r="G4639">
        <v>0</v>
      </c>
      <c r="H4639">
        <v>36</v>
      </c>
      <c r="I4639">
        <v>94</v>
      </c>
      <c r="J4639">
        <v>1</v>
      </c>
      <c r="K4639">
        <v>51</v>
      </c>
      <c r="L4639">
        <v>109</v>
      </c>
      <c r="M4639">
        <v>1</v>
      </c>
      <c r="N4639">
        <v>2.1335899999999999E-11</v>
      </c>
      <c r="O4639">
        <v>156</v>
      </c>
    </row>
    <row r="4640" spans="1:15" x14ac:dyDescent="0.25">
      <c r="A4640" t="s">
        <v>4653</v>
      </c>
      <c r="B4640">
        <v>227</v>
      </c>
      <c r="C4640" s="1" t="str">
        <f>HYPERLINK("http://www.rosaceae.org/gb/gbrowse/malus_x_domestica/?name=MDP0000890849","MDP0000890849")</f>
        <v>MDP0000890849</v>
      </c>
      <c r="D4640">
        <v>79.900000000000006</v>
      </c>
      <c r="E4640">
        <v>209</v>
      </c>
      <c r="F4640">
        <v>42</v>
      </c>
      <c r="G4640">
        <v>1</v>
      </c>
      <c r="H4640">
        <v>1</v>
      </c>
      <c r="I4640">
        <v>209</v>
      </c>
      <c r="J4640">
        <v>1</v>
      </c>
      <c r="K4640">
        <v>1</v>
      </c>
      <c r="L4640">
        <v>208</v>
      </c>
      <c r="M4640">
        <v>1</v>
      </c>
      <c r="N4640">
        <v>2.42738E-86</v>
      </c>
      <c r="O4640">
        <v>807</v>
      </c>
    </row>
    <row r="4641" spans="1:15" x14ac:dyDescent="0.25">
      <c r="A4641" t="s">
        <v>4654</v>
      </c>
      <c r="B4641">
        <v>449</v>
      </c>
      <c r="C4641" s="1" t="str">
        <f>HYPERLINK("http://www.rosaceae.org/gb/gbrowse/malus_x_domestica/?name=MDP0000791730","MDP0000791730")</f>
        <v>MDP0000791730</v>
      </c>
      <c r="D4641">
        <v>88.5</v>
      </c>
      <c r="E4641">
        <v>374</v>
      </c>
      <c r="F4641">
        <v>43</v>
      </c>
      <c r="G4641">
        <v>5</v>
      </c>
      <c r="H4641">
        <v>76</v>
      </c>
      <c r="I4641">
        <v>449</v>
      </c>
      <c r="J4641">
        <v>1</v>
      </c>
      <c r="K4641">
        <v>132</v>
      </c>
      <c r="L4641">
        <v>500</v>
      </c>
      <c r="M4641">
        <v>1</v>
      </c>
      <c r="N4641">
        <v>0</v>
      </c>
      <c r="O4641">
        <v>1783</v>
      </c>
    </row>
    <row r="4642" spans="1:15" x14ac:dyDescent="0.25">
      <c r="A4642" t="s">
        <v>4655</v>
      </c>
      <c r="B4642">
        <v>768</v>
      </c>
      <c r="C4642" s="1" t="str">
        <f>HYPERLINK("http://www.rosaceae.org/gb/gbrowse/malus_x_domestica/?name=MDP0000185661","MDP0000185661")</f>
        <v>MDP0000185661</v>
      </c>
      <c r="D4642">
        <v>74.86</v>
      </c>
      <c r="E4642">
        <v>358</v>
      </c>
      <c r="F4642">
        <v>90</v>
      </c>
      <c r="G4642">
        <v>18</v>
      </c>
      <c r="H4642">
        <v>427</v>
      </c>
      <c r="I4642">
        <v>768</v>
      </c>
      <c r="J4642">
        <v>1</v>
      </c>
      <c r="K4642">
        <v>22</v>
      </c>
      <c r="L4642">
        <v>377</v>
      </c>
      <c r="M4642">
        <v>1</v>
      </c>
      <c r="N4642">
        <v>2.3177800000000002E-160</v>
      </c>
      <c r="O4642">
        <v>1451</v>
      </c>
    </row>
    <row r="4643" spans="1:15" x14ac:dyDescent="0.25">
      <c r="A4643" t="s">
        <v>4656</v>
      </c>
      <c r="B4643">
        <v>541</v>
      </c>
      <c r="C4643" s="1" t="str">
        <f>HYPERLINK("http://www.rosaceae.org/gb/gbrowse/malus_x_domestica/?name=MDP0000328000","MDP0000328000")</f>
        <v>MDP0000328000</v>
      </c>
      <c r="D4643">
        <v>71.790000000000006</v>
      </c>
      <c r="E4643">
        <v>546</v>
      </c>
      <c r="F4643">
        <v>154</v>
      </c>
      <c r="G4643">
        <v>16</v>
      </c>
      <c r="H4643">
        <v>1</v>
      </c>
      <c r="I4643">
        <v>540</v>
      </c>
      <c r="J4643">
        <v>1</v>
      </c>
      <c r="K4643">
        <v>1</v>
      </c>
      <c r="L4643">
        <v>536</v>
      </c>
      <c r="M4643">
        <v>1</v>
      </c>
      <c r="N4643">
        <v>0</v>
      </c>
      <c r="O4643">
        <v>2053</v>
      </c>
    </row>
    <row r="4644" spans="1:15" x14ac:dyDescent="0.25">
      <c r="A4644" t="s">
        <v>4657</v>
      </c>
      <c r="B4644">
        <v>253</v>
      </c>
      <c r="C4644" s="1" t="str">
        <f>HYPERLINK("http://www.rosaceae.org/gb/gbrowse/malus_x_domestica/?name=MDP0000132855","MDP0000132855")</f>
        <v>MDP0000132855</v>
      </c>
      <c r="D4644">
        <v>68.5</v>
      </c>
      <c r="E4644">
        <v>254</v>
      </c>
      <c r="F4644">
        <v>80</v>
      </c>
      <c r="G4644">
        <v>1</v>
      </c>
      <c r="H4644">
        <v>1</v>
      </c>
      <c r="I4644">
        <v>253</v>
      </c>
      <c r="J4644">
        <v>1</v>
      </c>
      <c r="K4644">
        <v>1</v>
      </c>
      <c r="L4644">
        <v>254</v>
      </c>
      <c r="M4644">
        <v>1</v>
      </c>
      <c r="N4644">
        <v>6.7774599999999996E-87</v>
      </c>
      <c r="O4644">
        <v>812</v>
      </c>
    </row>
    <row r="4645" spans="1:15" x14ac:dyDescent="0.25">
      <c r="A4645" t="s">
        <v>4658</v>
      </c>
      <c r="B4645">
        <v>430</v>
      </c>
      <c r="C4645" s="1" t="str">
        <f>HYPERLINK("http://www.rosaceae.org/gb/gbrowse/malus_x_domestica/?name=MDP0000270233","MDP0000270233")</f>
        <v>MDP0000270233</v>
      </c>
      <c r="D4645">
        <v>72.58</v>
      </c>
      <c r="E4645">
        <v>434</v>
      </c>
      <c r="F4645">
        <v>119</v>
      </c>
      <c r="G4645">
        <v>12</v>
      </c>
      <c r="H4645">
        <v>1</v>
      </c>
      <c r="I4645">
        <v>430</v>
      </c>
      <c r="J4645">
        <v>1</v>
      </c>
      <c r="K4645">
        <v>1</v>
      </c>
      <c r="L4645">
        <v>426</v>
      </c>
      <c r="M4645">
        <v>1</v>
      </c>
      <c r="N4645">
        <v>1.22958E-175</v>
      </c>
      <c r="O4645">
        <v>1580</v>
      </c>
    </row>
    <row r="4646" spans="1:15" x14ac:dyDescent="0.25">
      <c r="A4646" t="s">
        <v>4659</v>
      </c>
      <c r="B4646">
        <v>1067</v>
      </c>
      <c r="C4646" s="1" t="str">
        <f>HYPERLINK("http://www.rosaceae.org/gb/gbrowse/malus_x_domestica/?name=MDP0000302440","MDP0000302440")</f>
        <v>MDP0000302440</v>
      </c>
      <c r="D4646">
        <v>96.02</v>
      </c>
      <c r="E4646">
        <v>377</v>
      </c>
      <c r="F4646">
        <v>15</v>
      </c>
      <c r="G4646">
        <v>0</v>
      </c>
      <c r="H4646">
        <v>691</v>
      </c>
      <c r="I4646">
        <v>1067</v>
      </c>
      <c r="J4646">
        <v>1</v>
      </c>
      <c r="K4646">
        <v>1</v>
      </c>
      <c r="L4646">
        <v>377</v>
      </c>
      <c r="M4646">
        <v>1</v>
      </c>
      <c r="N4646">
        <v>0</v>
      </c>
      <c r="O4646">
        <v>1956</v>
      </c>
    </row>
    <row r="4647" spans="1:15" x14ac:dyDescent="0.25">
      <c r="A4647" t="s">
        <v>4660</v>
      </c>
      <c r="B4647">
        <v>518</v>
      </c>
      <c r="C4647" s="1" t="str">
        <f>HYPERLINK("http://www.rosaceae.org/gb/gbrowse/malus_x_domestica/?name=MDP0000303453","MDP0000303453")</f>
        <v>MDP0000303453</v>
      </c>
      <c r="D4647">
        <v>82.59</v>
      </c>
      <c r="E4647">
        <v>494</v>
      </c>
      <c r="F4647">
        <v>86</v>
      </c>
      <c r="G4647">
        <v>19</v>
      </c>
      <c r="H4647">
        <v>44</v>
      </c>
      <c r="I4647">
        <v>518</v>
      </c>
      <c r="J4647">
        <v>1</v>
      </c>
      <c r="K4647">
        <v>3</v>
      </c>
      <c r="L4647">
        <v>496</v>
      </c>
      <c r="M4647">
        <v>1</v>
      </c>
      <c r="N4647">
        <v>0</v>
      </c>
      <c r="O4647">
        <v>2086</v>
      </c>
    </row>
    <row r="4648" spans="1:15" x14ac:dyDescent="0.25">
      <c r="A4648" t="s">
        <v>4661</v>
      </c>
      <c r="B4648">
        <v>288</v>
      </c>
      <c r="C4648" s="1" t="str">
        <f>HYPERLINK("http://www.rosaceae.org/gb/gbrowse/malus_x_domestica/?name=MDP0000209089","MDP0000209089")</f>
        <v>MDP0000209089</v>
      </c>
      <c r="D4648">
        <v>62.89</v>
      </c>
      <c r="E4648">
        <v>318</v>
      </c>
      <c r="F4648">
        <v>118</v>
      </c>
      <c r="G4648">
        <v>36</v>
      </c>
      <c r="H4648">
        <v>1</v>
      </c>
      <c r="I4648">
        <v>288</v>
      </c>
      <c r="J4648">
        <v>1</v>
      </c>
      <c r="K4648">
        <v>1</v>
      </c>
      <c r="L4648">
        <v>312</v>
      </c>
      <c r="M4648">
        <v>1</v>
      </c>
      <c r="N4648">
        <v>5.3882300000000005E-94</v>
      </c>
      <c r="O4648">
        <v>874</v>
      </c>
    </row>
    <row r="4649" spans="1:15" x14ac:dyDescent="0.25">
      <c r="A4649" t="s">
        <v>4662</v>
      </c>
      <c r="B4649">
        <v>150</v>
      </c>
      <c r="C4649" s="1" t="str">
        <f>HYPERLINK("http://www.rosaceae.org/gb/gbrowse/malus_x_domestica/?name=MDP0000310856","MDP0000310856")</f>
        <v>MDP0000310856</v>
      </c>
      <c r="D4649">
        <v>38.729999999999997</v>
      </c>
      <c r="E4649">
        <v>111</v>
      </c>
      <c r="F4649">
        <v>68</v>
      </c>
      <c r="G4649">
        <v>5</v>
      </c>
      <c r="H4649">
        <v>1</v>
      </c>
      <c r="I4649">
        <v>107</v>
      </c>
      <c r="J4649">
        <v>1</v>
      </c>
      <c r="K4649">
        <v>42</v>
      </c>
      <c r="L4649">
        <v>151</v>
      </c>
      <c r="M4649">
        <v>1</v>
      </c>
      <c r="N4649">
        <v>5.77637E-16</v>
      </c>
      <c r="O4649">
        <v>197</v>
      </c>
    </row>
    <row r="4650" spans="1:15" x14ac:dyDescent="0.25">
      <c r="A4650" t="s">
        <v>4663</v>
      </c>
      <c r="B4650">
        <v>435</v>
      </c>
      <c r="C4650" s="1" t="str">
        <f>HYPERLINK("http://www.rosaceae.org/gb/gbrowse/malus_x_domestica/?name=MDP0000193729","MDP0000193729")</f>
        <v>MDP0000193729</v>
      </c>
      <c r="D4650">
        <v>88.06</v>
      </c>
      <c r="E4650">
        <v>352</v>
      </c>
      <c r="F4650">
        <v>42</v>
      </c>
      <c r="G4650">
        <v>0</v>
      </c>
      <c r="H4650">
        <v>84</v>
      </c>
      <c r="I4650">
        <v>435</v>
      </c>
      <c r="J4650">
        <v>1</v>
      </c>
      <c r="K4650">
        <v>52</v>
      </c>
      <c r="L4650">
        <v>403</v>
      </c>
      <c r="M4650">
        <v>1</v>
      </c>
      <c r="N4650">
        <v>0</v>
      </c>
      <c r="O4650">
        <v>1677</v>
      </c>
    </row>
    <row r="4651" spans="1:15" x14ac:dyDescent="0.25">
      <c r="A4651" t="s">
        <v>4664</v>
      </c>
      <c r="B4651">
        <v>871</v>
      </c>
      <c r="C4651" s="1" t="str">
        <f>HYPERLINK("http://www.rosaceae.org/gb/gbrowse/malus_x_domestica/?name=MDP0000138501","MDP0000138501")</f>
        <v>MDP0000138501</v>
      </c>
      <c r="D4651">
        <v>67.36</v>
      </c>
      <c r="E4651">
        <v>913</v>
      </c>
      <c r="F4651">
        <v>298</v>
      </c>
      <c r="G4651">
        <v>56</v>
      </c>
      <c r="H4651">
        <v>1</v>
      </c>
      <c r="I4651">
        <v>858</v>
      </c>
      <c r="J4651">
        <v>1</v>
      </c>
      <c r="K4651">
        <v>71</v>
      </c>
      <c r="L4651">
        <v>982</v>
      </c>
      <c r="M4651">
        <v>1</v>
      </c>
      <c r="N4651">
        <v>0</v>
      </c>
      <c r="O4651">
        <v>3134</v>
      </c>
    </row>
    <row r="4652" spans="1:15" x14ac:dyDescent="0.25">
      <c r="A4652" t="s">
        <v>4665</v>
      </c>
      <c r="B4652">
        <v>216</v>
      </c>
      <c r="C4652" s="1" t="str">
        <f>HYPERLINK("http://www.rosaceae.org/gb/gbrowse/malus_x_domestica/?name=MDP0000536534","MDP0000536534")</f>
        <v>MDP0000536534</v>
      </c>
      <c r="D4652">
        <v>87.5</v>
      </c>
      <c r="E4652">
        <v>120</v>
      </c>
      <c r="F4652">
        <v>15</v>
      </c>
      <c r="G4652">
        <v>0</v>
      </c>
      <c r="H4652">
        <v>59</v>
      </c>
      <c r="I4652">
        <v>178</v>
      </c>
      <c r="J4652">
        <v>1</v>
      </c>
      <c r="K4652">
        <v>31</v>
      </c>
      <c r="L4652">
        <v>150</v>
      </c>
      <c r="M4652">
        <v>1</v>
      </c>
      <c r="N4652">
        <v>1.85266E-57</v>
      </c>
      <c r="O4652">
        <v>558</v>
      </c>
    </row>
    <row r="4653" spans="1:15" x14ac:dyDescent="0.25">
      <c r="A4653" t="s">
        <v>4666</v>
      </c>
      <c r="B4653">
        <v>249</v>
      </c>
      <c r="C4653" s="1" t="str">
        <f>HYPERLINK("http://www.rosaceae.org/gb/gbrowse/malus_x_domestica/?name=MDP0000311086","MDP0000311086")</f>
        <v>MDP0000311086</v>
      </c>
      <c r="D4653">
        <v>59.09</v>
      </c>
      <c r="E4653">
        <v>132</v>
      </c>
      <c r="F4653">
        <v>54</v>
      </c>
      <c r="G4653">
        <v>31</v>
      </c>
      <c r="H4653">
        <v>146</v>
      </c>
      <c r="I4653">
        <v>246</v>
      </c>
      <c r="J4653">
        <v>1</v>
      </c>
      <c r="K4653">
        <v>160</v>
      </c>
      <c r="L4653">
        <v>291</v>
      </c>
      <c r="M4653">
        <v>1</v>
      </c>
      <c r="N4653">
        <v>2.7183200000000001E-38</v>
      </c>
      <c r="O4653">
        <v>393</v>
      </c>
    </row>
    <row r="4654" spans="1:15" x14ac:dyDescent="0.25">
      <c r="A4654" t="s">
        <v>4667</v>
      </c>
      <c r="B4654">
        <v>197</v>
      </c>
      <c r="C4654" s="1" t="str">
        <f>HYPERLINK("http://www.rosaceae.org/gb/gbrowse/malus_x_domestica/?name=MDP0000840536","MDP0000840536")</f>
        <v>MDP0000840536</v>
      </c>
      <c r="D4654">
        <v>73.599999999999994</v>
      </c>
      <c r="E4654">
        <v>197</v>
      </c>
      <c r="F4654">
        <v>52</v>
      </c>
      <c r="G4654">
        <v>4</v>
      </c>
      <c r="H4654">
        <v>1</v>
      </c>
      <c r="I4654">
        <v>197</v>
      </c>
      <c r="J4654">
        <v>1</v>
      </c>
      <c r="K4654">
        <v>1</v>
      </c>
      <c r="L4654">
        <v>193</v>
      </c>
      <c r="M4654">
        <v>1</v>
      </c>
      <c r="N4654">
        <v>3.57939E-71</v>
      </c>
      <c r="O4654">
        <v>675</v>
      </c>
    </row>
    <row r="4655" spans="1:15" x14ac:dyDescent="0.25">
      <c r="A4655" t="s">
        <v>4668</v>
      </c>
      <c r="B4655">
        <v>199</v>
      </c>
      <c r="C4655" s="1" t="str">
        <f>HYPERLINK("http://www.rosaceae.org/gb/gbrowse/malus_x_domestica/?name=MDP0000880188","MDP0000880188")</f>
        <v>MDP0000880188</v>
      </c>
      <c r="D4655">
        <v>55.67</v>
      </c>
      <c r="E4655">
        <v>194</v>
      </c>
      <c r="F4655">
        <v>86</v>
      </c>
      <c r="G4655">
        <v>22</v>
      </c>
      <c r="H4655">
        <v>15</v>
      </c>
      <c r="I4655">
        <v>199</v>
      </c>
      <c r="J4655">
        <v>1</v>
      </c>
      <c r="K4655">
        <v>21</v>
      </c>
      <c r="L4655">
        <v>201</v>
      </c>
      <c r="M4655">
        <v>1</v>
      </c>
      <c r="N4655">
        <v>4.8904600000000002E-42</v>
      </c>
      <c r="O4655">
        <v>424</v>
      </c>
    </row>
    <row r="4656" spans="1:15" x14ac:dyDescent="0.25">
      <c r="A4656" t="s">
        <v>4669</v>
      </c>
      <c r="B4656">
        <v>235</v>
      </c>
      <c r="C4656" s="1" t="str">
        <f>HYPERLINK("http://www.rosaceae.org/gb/gbrowse/malus_x_domestica/?name=MDP0000909034","MDP0000909034")</f>
        <v>MDP0000909034</v>
      </c>
      <c r="D4656">
        <v>67.209999999999994</v>
      </c>
      <c r="E4656">
        <v>183</v>
      </c>
      <c r="F4656">
        <v>60</v>
      </c>
      <c r="G4656">
        <v>3</v>
      </c>
      <c r="H4656">
        <v>1</v>
      </c>
      <c r="I4656">
        <v>180</v>
      </c>
      <c r="J4656">
        <v>1</v>
      </c>
      <c r="K4656">
        <v>1</v>
      </c>
      <c r="L4656">
        <v>183</v>
      </c>
      <c r="M4656">
        <v>1</v>
      </c>
      <c r="N4656">
        <v>1.5480100000000001E-64</v>
      </c>
      <c r="O4656">
        <v>619</v>
      </c>
    </row>
    <row r="4657" spans="1:15" x14ac:dyDescent="0.25">
      <c r="A4657" t="s">
        <v>4670</v>
      </c>
      <c r="B4657">
        <v>572</v>
      </c>
      <c r="C4657" s="1" t="str">
        <f>HYPERLINK("http://www.rosaceae.org/gb/gbrowse/malus_x_domestica/?name=MDP0000120885","MDP0000120885")</f>
        <v>MDP0000120885</v>
      </c>
      <c r="D4657">
        <v>72.08</v>
      </c>
      <c r="E4657">
        <v>523</v>
      </c>
      <c r="F4657">
        <v>146</v>
      </c>
      <c r="G4657">
        <v>3</v>
      </c>
      <c r="H4657">
        <v>49</v>
      </c>
      <c r="I4657">
        <v>571</v>
      </c>
      <c r="J4657">
        <v>1</v>
      </c>
      <c r="K4657">
        <v>22</v>
      </c>
      <c r="L4657">
        <v>541</v>
      </c>
      <c r="M4657">
        <v>1</v>
      </c>
      <c r="N4657">
        <v>0</v>
      </c>
      <c r="O4657">
        <v>2004</v>
      </c>
    </row>
    <row r="4658" spans="1:15" x14ac:dyDescent="0.25">
      <c r="A4658" t="s">
        <v>4671</v>
      </c>
      <c r="B4658">
        <v>326</v>
      </c>
      <c r="C4658" s="1" t="str">
        <f>HYPERLINK("http://www.rosaceae.org/gb/gbrowse/malus_x_domestica/?name=MDP0000138552","MDP0000138552")</f>
        <v>MDP0000138552</v>
      </c>
      <c r="D4658">
        <v>58.56</v>
      </c>
      <c r="E4658">
        <v>181</v>
      </c>
      <c r="F4658">
        <v>75</v>
      </c>
      <c r="G4658">
        <v>12</v>
      </c>
      <c r="H4658">
        <v>154</v>
      </c>
      <c r="I4658">
        <v>326</v>
      </c>
      <c r="J4658">
        <v>1</v>
      </c>
      <c r="K4658">
        <v>270</v>
      </c>
      <c r="L4658">
        <v>446</v>
      </c>
      <c r="M4658">
        <v>1</v>
      </c>
      <c r="N4658">
        <v>2.4576E-48</v>
      </c>
      <c r="O4658">
        <v>481</v>
      </c>
    </row>
    <row r="4659" spans="1:15" x14ac:dyDescent="0.25">
      <c r="A4659" t="s">
        <v>4672</v>
      </c>
      <c r="B4659">
        <v>1081</v>
      </c>
      <c r="C4659" s="1" t="str">
        <f>HYPERLINK("http://www.rosaceae.org/gb/gbrowse/malus_x_domestica/?name=MDP0000247868","MDP0000247868")</f>
        <v>MDP0000247868</v>
      </c>
      <c r="D4659">
        <v>77.680000000000007</v>
      </c>
      <c r="E4659">
        <v>1062</v>
      </c>
      <c r="F4659">
        <v>237</v>
      </c>
      <c r="G4659">
        <v>8</v>
      </c>
      <c r="H4659">
        <v>26</v>
      </c>
      <c r="I4659">
        <v>1079</v>
      </c>
      <c r="J4659">
        <v>1</v>
      </c>
      <c r="K4659">
        <v>431</v>
      </c>
      <c r="L4659">
        <v>1492</v>
      </c>
      <c r="M4659">
        <v>1</v>
      </c>
      <c r="N4659">
        <v>0</v>
      </c>
      <c r="O4659">
        <v>4397</v>
      </c>
    </row>
    <row r="4660" spans="1:15" x14ac:dyDescent="0.25">
      <c r="A4660" t="s">
        <v>4673</v>
      </c>
      <c r="B4660">
        <v>309</v>
      </c>
      <c r="C4660" s="1" t="str">
        <f>HYPERLINK("http://www.rosaceae.org/gb/gbrowse/malus_x_domestica/?name=MDP0000890692","MDP0000890692")</f>
        <v>MDP0000890692</v>
      </c>
      <c r="D4660">
        <v>66.66</v>
      </c>
      <c r="E4660">
        <v>315</v>
      </c>
      <c r="F4660">
        <v>105</v>
      </c>
      <c r="G4660">
        <v>11</v>
      </c>
      <c r="H4660">
        <v>1</v>
      </c>
      <c r="I4660">
        <v>309</v>
      </c>
      <c r="J4660">
        <v>1</v>
      </c>
      <c r="K4660">
        <v>1</v>
      </c>
      <c r="L4660">
        <v>310</v>
      </c>
      <c r="M4660">
        <v>1</v>
      </c>
      <c r="N4660">
        <v>6.1259700000000002E-106</v>
      </c>
      <c r="O4660">
        <v>978</v>
      </c>
    </row>
    <row r="4661" spans="1:15" x14ac:dyDescent="0.25">
      <c r="A4661" t="s">
        <v>4674</v>
      </c>
      <c r="B4661">
        <v>402</v>
      </c>
      <c r="C4661" s="1" t="str">
        <f>HYPERLINK("http://www.rosaceae.org/gb/gbrowse/malus_x_domestica/?name=MDP0000152642","MDP0000152642")</f>
        <v>MDP0000152642</v>
      </c>
      <c r="D4661">
        <v>37.380000000000003</v>
      </c>
      <c r="E4661">
        <v>444</v>
      </c>
      <c r="F4661">
        <v>278</v>
      </c>
      <c r="G4661">
        <v>108</v>
      </c>
      <c r="H4661">
        <v>4</v>
      </c>
      <c r="I4661">
        <v>398</v>
      </c>
      <c r="J4661">
        <v>1</v>
      </c>
      <c r="K4661">
        <v>2</v>
      </c>
      <c r="L4661">
        <v>386</v>
      </c>
      <c r="M4661">
        <v>1</v>
      </c>
      <c r="N4661">
        <v>1.2508900000000001E-63</v>
      </c>
      <c r="O4661">
        <v>614</v>
      </c>
    </row>
    <row r="4662" spans="1:15" x14ac:dyDescent="0.25">
      <c r="A4662" t="s">
        <v>4675</v>
      </c>
      <c r="B4662">
        <v>115</v>
      </c>
      <c r="C4662" s="1" t="str">
        <f>HYPERLINK("http://www.rosaceae.org/gb/gbrowse/malus_x_domestica/?name=MDP0000485762","MDP0000485762")</f>
        <v>MDP0000485762</v>
      </c>
      <c r="D4662">
        <v>52.08</v>
      </c>
      <c r="E4662">
        <v>48</v>
      </c>
      <c r="F4662">
        <v>23</v>
      </c>
      <c r="G4662">
        <v>0</v>
      </c>
      <c r="H4662">
        <v>45</v>
      </c>
      <c r="I4662">
        <v>92</v>
      </c>
      <c r="J4662">
        <v>1</v>
      </c>
      <c r="K4662">
        <v>17</v>
      </c>
      <c r="L4662">
        <v>64</v>
      </c>
      <c r="M4662">
        <v>1</v>
      </c>
      <c r="N4662">
        <v>3.11239E-7</v>
      </c>
      <c r="O4662">
        <v>120</v>
      </c>
    </row>
    <row r="4663" spans="1:15" x14ac:dyDescent="0.25">
      <c r="A4663" t="s">
        <v>4676</v>
      </c>
      <c r="B4663">
        <v>1378</v>
      </c>
      <c r="C4663" s="1" t="str">
        <f>HYPERLINK("http://www.rosaceae.org/gb/gbrowse/malus_x_domestica/?name=MDP0000130897","MDP0000130897")</f>
        <v>MDP0000130897</v>
      </c>
      <c r="D4663">
        <v>42.21</v>
      </c>
      <c r="E4663">
        <v>199</v>
      </c>
      <c r="F4663">
        <v>115</v>
      </c>
      <c r="G4663">
        <v>2</v>
      </c>
      <c r="H4663">
        <v>621</v>
      </c>
      <c r="I4663">
        <v>819</v>
      </c>
      <c r="J4663">
        <v>1</v>
      </c>
      <c r="K4663">
        <v>8</v>
      </c>
      <c r="L4663">
        <v>204</v>
      </c>
      <c r="M4663">
        <v>1</v>
      </c>
      <c r="N4663">
        <v>5.0381399999999996E-41</v>
      </c>
      <c r="O4663">
        <v>425</v>
      </c>
    </row>
    <row r="4664" spans="1:15" x14ac:dyDescent="0.25">
      <c r="A4664" t="s">
        <v>4677</v>
      </c>
      <c r="B4664">
        <v>415</v>
      </c>
      <c r="C4664" s="1" t="str">
        <f>HYPERLINK("http://www.rosaceae.org/gb/gbrowse/malus_x_domestica/?name=MDP0000185481","MDP0000185481")</f>
        <v>MDP0000185481</v>
      </c>
      <c r="D4664">
        <v>67.959999999999994</v>
      </c>
      <c r="E4664">
        <v>412</v>
      </c>
      <c r="F4664">
        <v>132</v>
      </c>
      <c r="G4664">
        <v>0</v>
      </c>
      <c r="H4664">
        <v>3</v>
      </c>
      <c r="I4664">
        <v>414</v>
      </c>
      <c r="J4664">
        <v>1</v>
      </c>
      <c r="K4664">
        <v>496</v>
      </c>
      <c r="L4664">
        <v>907</v>
      </c>
      <c r="M4664">
        <v>1</v>
      </c>
      <c r="N4664">
        <v>1.32977E-173</v>
      </c>
      <c r="O4664">
        <v>1563</v>
      </c>
    </row>
    <row r="4665" spans="1:15" x14ac:dyDescent="0.25">
      <c r="A4665" t="s">
        <v>4678</v>
      </c>
      <c r="B4665">
        <v>145</v>
      </c>
      <c r="C4665" s="1" t="str">
        <f>HYPERLINK("http://www.rosaceae.org/gb/gbrowse/malus_x_domestica/?name=MDP0000225483","MDP0000225483")</f>
        <v>MDP0000225483</v>
      </c>
      <c r="D4665">
        <v>94.54</v>
      </c>
      <c r="E4665">
        <v>55</v>
      </c>
      <c r="F4665">
        <v>3</v>
      </c>
      <c r="G4665">
        <v>0</v>
      </c>
      <c r="H4665">
        <v>1</v>
      </c>
      <c r="I4665">
        <v>55</v>
      </c>
      <c r="J4665">
        <v>1</v>
      </c>
      <c r="K4665">
        <v>275</v>
      </c>
      <c r="L4665">
        <v>329</v>
      </c>
      <c r="M4665">
        <v>1</v>
      </c>
      <c r="N4665">
        <v>2.6250800000000001E-25</v>
      </c>
      <c r="O4665">
        <v>277</v>
      </c>
    </row>
    <row r="4666" spans="1:15" x14ac:dyDescent="0.25">
      <c r="A4666" t="s">
        <v>4679</v>
      </c>
      <c r="B4666">
        <v>359</v>
      </c>
      <c r="C4666" s="1" t="str">
        <f>HYPERLINK("http://www.rosaceae.org/gb/gbrowse/malus_x_domestica/?name=MDP0000620877","MDP0000620877")</f>
        <v>MDP0000620877</v>
      </c>
      <c r="D4666">
        <v>79.099999999999994</v>
      </c>
      <c r="E4666">
        <v>335</v>
      </c>
      <c r="F4666">
        <v>70</v>
      </c>
      <c r="G4666">
        <v>1</v>
      </c>
      <c r="H4666">
        <v>22</v>
      </c>
      <c r="I4666">
        <v>356</v>
      </c>
      <c r="J4666">
        <v>1</v>
      </c>
      <c r="K4666">
        <v>56</v>
      </c>
      <c r="L4666">
        <v>389</v>
      </c>
      <c r="M4666">
        <v>1</v>
      </c>
      <c r="N4666">
        <v>1.54965E-162</v>
      </c>
      <c r="O4666">
        <v>1467</v>
      </c>
    </row>
    <row r="4667" spans="1:15" x14ac:dyDescent="0.25">
      <c r="A4667" t="s">
        <v>4680</v>
      </c>
      <c r="B4667">
        <v>1061</v>
      </c>
      <c r="C4667" s="1" t="str">
        <f>HYPERLINK("http://www.rosaceae.org/gb/gbrowse/malus_x_domestica/?name=MDP0000125254","MDP0000125254")</f>
        <v>MDP0000125254</v>
      </c>
      <c r="D4667">
        <v>69.06</v>
      </c>
      <c r="E4667">
        <v>569</v>
      </c>
      <c r="F4667">
        <v>176</v>
      </c>
      <c r="G4667">
        <v>48</v>
      </c>
      <c r="H4667">
        <v>439</v>
      </c>
      <c r="I4667">
        <v>978</v>
      </c>
      <c r="J4667">
        <v>1</v>
      </c>
      <c r="K4667">
        <v>413</v>
      </c>
      <c r="L4667">
        <v>962</v>
      </c>
      <c r="M4667">
        <v>1</v>
      </c>
      <c r="N4667">
        <v>0</v>
      </c>
      <c r="O4667">
        <v>2011</v>
      </c>
    </row>
    <row r="4668" spans="1:15" x14ac:dyDescent="0.25">
      <c r="A4668" t="s">
        <v>4681</v>
      </c>
      <c r="B4668">
        <v>459</v>
      </c>
      <c r="C4668" s="1" t="str">
        <f>HYPERLINK("http://www.rosaceae.org/gb/gbrowse/malus_x_domestica/?name=MDP0000202831","MDP0000202831")</f>
        <v>MDP0000202831</v>
      </c>
      <c r="D4668">
        <v>55.72</v>
      </c>
      <c r="E4668">
        <v>402</v>
      </c>
      <c r="F4668">
        <v>178</v>
      </c>
      <c r="G4668">
        <v>55</v>
      </c>
      <c r="H4668">
        <v>46</v>
      </c>
      <c r="I4668">
        <v>398</v>
      </c>
      <c r="J4668">
        <v>1</v>
      </c>
      <c r="K4668">
        <v>191</v>
      </c>
      <c r="L4668">
        <v>586</v>
      </c>
      <c r="M4668">
        <v>1</v>
      </c>
      <c r="N4668">
        <v>1.1005E-111</v>
      </c>
      <c r="O4668">
        <v>1029</v>
      </c>
    </row>
    <row r="4669" spans="1:15" x14ac:dyDescent="0.25">
      <c r="A4669" t="s">
        <v>4682</v>
      </c>
      <c r="B4669">
        <v>345</v>
      </c>
      <c r="C4669" s="1" t="str">
        <f>HYPERLINK("http://www.rosaceae.org/gb/gbrowse/malus_x_domestica/?name=MDP0000231873","MDP0000231873")</f>
        <v>MDP0000231873</v>
      </c>
      <c r="D4669">
        <v>73.39</v>
      </c>
      <c r="E4669">
        <v>327</v>
      </c>
      <c r="F4669">
        <v>87</v>
      </c>
      <c r="G4669">
        <v>8</v>
      </c>
      <c r="H4669">
        <v>21</v>
      </c>
      <c r="I4669">
        <v>345</v>
      </c>
      <c r="J4669">
        <v>1</v>
      </c>
      <c r="K4669">
        <v>21</v>
      </c>
      <c r="L4669">
        <v>341</v>
      </c>
      <c r="M4669">
        <v>1</v>
      </c>
      <c r="N4669">
        <v>1.4645099999999999E-131</v>
      </c>
      <c r="O4669">
        <v>1199</v>
      </c>
    </row>
    <row r="4670" spans="1:15" x14ac:dyDescent="0.25">
      <c r="A4670" t="s">
        <v>4683</v>
      </c>
      <c r="B4670">
        <v>278</v>
      </c>
      <c r="C4670" s="1" t="str">
        <f>HYPERLINK("http://www.rosaceae.org/gb/gbrowse/malus_x_domestica/?name=MDP0000257953","MDP0000257953")</f>
        <v>MDP0000257953</v>
      </c>
      <c r="D4670">
        <v>86.36</v>
      </c>
      <c r="E4670">
        <v>264</v>
      </c>
      <c r="F4670">
        <v>36</v>
      </c>
      <c r="G4670">
        <v>6</v>
      </c>
      <c r="H4670">
        <v>1</v>
      </c>
      <c r="I4670">
        <v>258</v>
      </c>
      <c r="J4670">
        <v>1</v>
      </c>
      <c r="K4670">
        <v>111</v>
      </c>
      <c r="L4670">
        <v>374</v>
      </c>
      <c r="M4670">
        <v>1</v>
      </c>
      <c r="N4670">
        <v>5.7628799999999994E-132</v>
      </c>
      <c r="O4670">
        <v>1202</v>
      </c>
    </row>
    <row r="4671" spans="1:15" x14ac:dyDescent="0.25">
      <c r="A4671" t="s">
        <v>4684</v>
      </c>
      <c r="B4671">
        <v>431</v>
      </c>
      <c r="C4671" s="1" t="str">
        <f>HYPERLINK("http://www.rosaceae.org/gb/gbrowse/malus_x_domestica/?name=MDP0000123687","MDP0000123687")</f>
        <v>MDP0000123687</v>
      </c>
      <c r="D4671">
        <v>80.97</v>
      </c>
      <c r="E4671">
        <v>431</v>
      </c>
      <c r="F4671">
        <v>82</v>
      </c>
      <c r="G4671">
        <v>3</v>
      </c>
      <c r="H4671">
        <v>1</v>
      </c>
      <c r="I4671">
        <v>431</v>
      </c>
      <c r="J4671">
        <v>1</v>
      </c>
      <c r="K4671">
        <v>1</v>
      </c>
      <c r="L4671">
        <v>428</v>
      </c>
      <c r="M4671">
        <v>1</v>
      </c>
      <c r="N4671">
        <v>0</v>
      </c>
      <c r="O4671">
        <v>1856</v>
      </c>
    </row>
    <row r="4672" spans="1:15" x14ac:dyDescent="0.25">
      <c r="A4672" t="s">
        <v>4685</v>
      </c>
      <c r="B4672">
        <v>601</v>
      </c>
      <c r="C4672" s="1" t="str">
        <f>HYPERLINK("http://www.rosaceae.org/gb/gbrowse/malus_x_domestica/?name=MDP0000805520","MDP0000805520")</f>
        <v>MDP0000805520</v>
      </c>
      <c r="D4672">
        <v>85.53</v>
      </c>
      <c r="E4672">
        <v>629</v>
      </c>
      <c r="F4672">
        <v>91</v>
      </c>
      <c r="G4672">
        <v>28</v>
      </c>
      <c r="H4672">
        <v>1</v>
      </c>
      <c r="I4672">
        <v>601</v>
      </c>
      <c r="J4672">
        <v>1</v>
      </c>
      <c r="K4672">
        <v>1</v>
      </c>
      <c r="L4672">
        <v>629</v>
      </c>
      <c r="M4672">
        <v>1</v>
      </c>
      <c r="N4672">
        <v>0</v>
      </c>
      <c r="O4672">
        <v>2672</v>
      </c>
    </row>
    <row r="4673" spans="1:15" x14ac:dyDescent="0.25">
      <c r="A4673" t="s">
        <v>4686</v>
      </c>
      <c r="B4673">
        <v>871</v>
      </c>
      <c r="C4673" s="1" t="str">
        <f>HYPERLINK("http://www.rosaceae.org/gb/gbrowse/malus_x_domestica/?name=MDP0000155799","MDP0000155799")</f>
        <v>MDP0000155799</v>
      </c>
      <c r="D4673">
        <v>85.84</v>
      </c>
      <c r="E4673">
        <v>445</v>
      </c>
      <c r="F4673">
        <v>63</v>
      </c>
      <c r="G4673">
        <v>2</v>
      </c>
      <c r="H4673">
        <v>427</v>
      </c>
      <c r="I4673">
        <v>871</v>
      </c>
      <c r="J4673">
        <v>1</v>
      </c>
      <c r="K4673">
        <v>15</v>
      </c>
      <c r="L4673">
        <v>457</v>
      </c>
      <c r="M4673">
        <v>1</v>
      </c>
      <c r="N4673">
        <v>0</v>
      </c>
      <c r="O4673">
        <v>2026</v>
      </c>
    </row>
    <row r="4674" spans="1:15" x14ac:dyDescent="0.25">
      <c r="A4674" t="s">
        <v>4687</v>
      </c>
      <c r="B4674">
        <v>414</v>
      </c>
      <c r="C4674" s="1" t="str">
        <f>HYPERLINK("http://www.rosaceae.org/gb/gbrowse/malus_x_domestica/?name=MDP0000694976","MDP0000694976")</f>
        <v>MDP0000694976</v>
      </c>
      <c r="D4674">
        <v>32.119999999999997</v>
      </c>
      <c r="E4674">
        <v>277</v>
      </c>
      <c r="F4674">
        <v>188</v>
      </c>
      <c r="G4674">
        <v>84</v>
      </c>
      <c r="H4674">
        <v>178</v>
      </c>
      <c r="I4674">
        <v>376</v>
      </c>
      <c r="J4674">
        <v>1</v>
      </c>
      <c r="K4674">
        <v>19</v>
      </c>
      <c r="L4674">
        <v>289</v>
      </c>
      <c r="M4674">
        <v>1</v>
      </c>
      <c r="N4674">
        <v>1.63674E-21</v>
      </c>
      <c r="O4674">
        <v>251</v>
      </c>
    </row>
    <row r="4675" spans="1:15" x14ac:dyDescent="0.25">
      <c r="A4675" t="s">
        <v>4688</v>
      </c>
      <c r="B4675">
        <v>255</v>
      </c>
      <c r="C4675" s="1" t="str">
        <f>HYPERLINK("http://www.rosaceae.org/gb/gbrowse/malus_x_domestica/?name=MDP0000320551","MDP0000320551")</f>
        <v>MDP0000320551</v>
      </c>
      <c r="D4675">
        <v>59.3</v>
      </c>
      <c r="E4675">
        <v>258</v>
      </c>
      <c r="F4675">
        <v>105</v>
      </c>
      <c r="G4675">
        <v>13</v>
      </c>
      <c r="H4675">
        <v>1</v>
      </c>
      <c r="I4675">
        <v>245</v>
      </c>
      <c r="J4675">
        <v>1</v>
      </c>
      <c r="K4675">
        <v>1</v>
      </c>
      <c r="L4675">
        <v>258</v>
      </c>
      <c r="M4675">
        <v>1</v>
      </c>
      <c r="N4675">
        <v>4.9352499999999998E-75</v>
      </c>
      <c r="O4675">
        <v>710</v>
      </c>
    </row>
    <row r="4676" spans="1:15" x14ac:dyDescent="0.25">
      <c r="A4676" t="s">
        <v>4689</v>
      </c>
      <c r="B4676">
        <v>72</v>
      </c>
      <c r="C4676" s="1" t="str">
        <f>HYPERLINK("http://www.rosaceae.org/gb/gbrowse/malus_x_domestica/?name=MDP0000402401","MDP0000402401")</f>
        <v>MDP0000402401</v>
      </c>
      <c r="D4676">
        <v>87.5</v>
      </c>
      <c r="E4676">
        <v>72</v>
      </c>
      <c r="F4676">
        <v>9</v>
      </c>
      <c r="G4676">
        <v>0</v>
      </c>
      <c r="H4676">
        <v>1</v>
      </c>
      <c r="I4676">
        <v>72</v>
      </c>
      <c r="J4676">
        <v>1</v>
      </c>
      <c r="K4676">
        <v>8</v>
      </c>
      <c r="L4676">
        <v>79</v>
      </c>
      <c r="M4676">
        <v>1</v>
      </c>
      <c r="N4676">
        <v>4.9819999999999999E-29</v>
      </c>
      <c r="O4676">
        <v>308</v>
      </c>
    </row>
    <row r="4677" spans="1:15" x14ac:dyDescent="0.25">
      <c r="A4677" t="s">
        <v>4690</v>
      </c>
      <c r="B4677">
        <v>137</v>
      </c>
      <c r="C4677" s="1" t="str">
        <f>HYPERLINK("http://www.rosaceae.org/gb/gbrowse/malus_x_domestica/?name=MDP0000646524","MDP0000646524")</f>
        <v>MDP0000646524</v>
      </c>
      <c r="D4677">
        <v>94.89</v>
      </c>
      <c r="E4677">
        <v>137</v>
      </c>
      <c r="F4677">
        <v>7</v>
      </c>
      <c r="G4677">
        <v>0</v>
      </c>
      <c r="H4677">
        <v>1</v>
      </c>
      <c r="I4677">
        <v>137</v>
      </c>
      <c r="J4677">
        <v>1</v>
      </c>
      <c r="K4677">
        <v>464</v>
      </c>
      <c r="L4677">
        <v>600</v>
      </c>
      <c r="M4677">
        <v>1</v>
      </c>
      <c r="N4677">
        <v>1.09578E-70</v>
      </c>
      <c r="O4677">
        <v>668</v>
      </c>
    </row>
    <row r="4678" spans="1:15" x14ac:dyDescent="0.25">
      <c r="A4678" t="s">
        <v>4691</v>
      </c>
      <c r="B4678">
        <v>386</v>
      </c>
      <c r="C4678" s="1" t="str">
        <f>HYPERLINK("http://www.rosaceae.org/gb/gbrowse/malus_x_domestica/?name=MDP0000290695","MDP0000290695")</f>
        <v>MDP0000290695</v>
      </c>
      <c r="D4678">
        <v>89.09</v>
      </c>
      <c r="E4678">
        <v>385</v>
      </c>
      <c r="F4678">
        <v>42</v>
      </c>
      <c r="G4678">
        <v>1</v>
      </c>
      <c r="H4678">
        <v>1</v>
      </c>
      <c r="I4678">
        <v>385</v>
      </c>
      <c r="J4678">
        <v>1</v>
      </c>
      <c r="K4678">
        <v>1</v>
      </c>
      <c r="L4678">
        <v>384</v>
      </c>
      <c r="M4678">
        <v>1</v>
      </c>
      <c r="N4678">
        <v>0</v>
      </c>
      <c r="O4678">
        <v>1840</v>
      </c>
    </row>
    <row r="4679" spans="1:15" x14ac:dyDescent="0.25">
      <c r="A4679" t="s">
        <v>4692</v>
      </c>
      <c r="B4679">
        <v>472</v>
      </c>
      <c r="C4679" s="1" t="str">
        <f>HYPERLINK("http://www.rosaceae.org/gb/gbrowse/malus_x_domestica/?name=MDP0000208046","MDP0000208046")</f>
        <v>MDP0000208046</v>
      </c>
      <c r="D4679">
        <v>72.53</v>
      </c>
      <c r="E4679">
        <v>477</v>
      </c>
      <c r="F4679">
        <v>131</v>
      </c>
      <c r="G4679">
        <v>47</v>
      </c>
      <c r="H4679">
        <v>1</v>
      </c>
      <c r="I4679">
        <v>472</v>
      </c>
      <c r="J4679">
        <v>1</v>
      </c>
      <c r="K4679">
        <v>1</v>
      </c>
      <c r="L4679">
        <v>435</v>
      </c>
      <c r="M4679">
        <v>1</v>
      </c>
      <c r="N4679">
        <v>0</v>
      </c>
      <c r="O4679">
        <v>1788</v>
      </c>
    </row>
    <row r="4680" spans="1:15" x14ac:dyDescent="0.25">
      <c r="A4680" t="s">
        <v>4693</v>
      </c>
      <c r="B4680">
        <v>320</v>
      </c>
      <c r="C4680" s="1" t="str">
        <f>HYPERLINK("http://www.rosaceae.org/gb/gbrowse/malus_x_domestica/?name=MDP0000196554","MDP0000196554")</f>
        <v>MDP0000196554</v>
      </c>
      <c r="D4680">
        <v>80.66</v>
      </c>
      <c r="E4680">
        <v>269</v>
      </c>
      <c r="F4680">
        <v>52</v>
      </c>
      <c r="G4680">
        <v>1</v>
      </c>
      <c r="H4680">
        <v>52</v>
      </c>
      <c r="I4680">
        <v>320</v>
      </c>
      <c r="J4680">
        <v>1</v>
      </c>
      <c r="K4680">
        <v>86</v>
      </c>
      <c r="L4680">
        <v>353</v>
      </c>
      <c r="M4680">
        <v>1</v>
      </c>
      <c r="N4680">
        <v>8.8704400000000002E-131</v>
      </c>
      <c r="O4680">
        <v>1192</v>
      </c>
    </row>
    <row r="4681" spans="1:15" x14ac:dyDescent="0.25">
      <c r="A4681" t="s">
        <v>4694</v>
      </c>
      <c r="B4681">
        <v>654</v>
      </c>
      <c r="C4681" s="1" t="str">
        <f>HYPERLINK("http://www.rosaceae.org/gb/gbrowse/malus_x_domestica/?name=MDP0000291524","MDP0000291524")</f>
        <v>MDP0000291524</v>
      </c>
      <c r="D4681">
        <v>78.28</v>
      </c>
      <c r="E4681">
        <v>654</v>
      </c>
      <c r="F4681">
        <v>142</v>
      </c>
      <c r="G4681">
        <v>5</v>
      </c>
      <c r="H4681">
        <v>1</v>
      </c>
      <c r="I4681">
        <v>654</v>
      </c>
      <c r="J4681">
        <v>1</v>
      </c>
      <c r="K4681">
        <v>1</v>
      </c>
      <c r="L4681">
        <v>649</v>
      </c>
      <c r="M4681">
        <v>1</v>
      </c>
      <c r="N4681">
        <v>0</v>
      </c>
      <c r="O4681">
        <v>2659</v>
      </c>
    </row>
    <row r="4682" spans="1:15" x14ac:dyDescent="0.25">
      <c r="A4682" t="s">
        <v>4695</v>
      </c>
      <c r="B4682">
        <v>327</v>
      </c>
      <c r="C4682" s="1" t="str">
        <f>HYPERLINK("http://www.rosaceae.org/gb/gbrowse/malus_x_domestica/?name=MDP0000759860","MDP0000759860")</f>
        <v>MDP0000759860</v>
      </c>
      <c r="D4682">
        <v>71.069999999999993</v>
      </c>
      <c r="E4682">
        <v>325</v>
      </c>
      <c r="F4682">
        <v>94</v>
      </c>
      <c r="G4682">
        <v>0</v>
      </c>
      <c r="H4682">
        <v>1</v>
      </c>
      <c r="I4682">
        <v>325</v>
      </c>
      <c r="J4682">
        <v>1</v>
      </c>
      <c r="K4682">
        <v>1</v>
      </c>
      <c r="L4682">
        <v>325</v>
      </c>
      <c r="M4682">
        <v>1</v>
      </c>
      <c r="N4682">
        <v>3.1647099999999997E-141</v>
      </c>
      <c r="O4682">
        <v>1282</v>
      </c>
    </row>
    <row r="4683" spans="1:15" x14ac:dyDescent="0.25">
      <c r="A4683" t="s">
        <v>4696</v>
      </c>
      <c r="B4683">
        <v>509</v>
      </c>
      <c r="C4683" s="1" t="str">
        <f>HYPERLINK("http://www.rosaceae.org/gb/gbrowse/malus_x_domestica/?name=MDP0000310992","MDP0000310992")</f>
        <v>MDP0000310992</v>
      </c>
      <c r="D4683">
        <v>79.58</v>
      </c>
      <c r="E4683">
        <v>480</v>
      </c>
      <c r="F4683">
        <v>98</v>
      </c>
      <c r="G4683">
        <v>16</v>
      </c>
      <c r="H4683">
        <v>31</v>
      </c>
      <c r="I4683">
        <v>509</v>
      </c>
      <c r="J4683">
        <v>1</v>
      </c>
      <c r="K4683">
        <v>43</v>
      </c>
      <c r="L4683">
        <v>507</v>
      </c>
      <c r="M4683">
        <v>1</v>
      </c>
      <c r="N4683">
        <v>0</v>
      </c>
      <c r="O4683">
        <v>2076</v>
      </c>
    </row>
    <row r="4684" spans="1:15" x14ac:dyDescent="0.25">
      <c r="A4684" t="s">
        <v>4697</v>
      </c>
      <c r="B4684">
        <v>1063</v>
      </c>
      <c r="C4684" s="1" t="str">
        <f>HYPERLINK("http://www.rosaceae.org/gb/gbrowse/malus_x_domestica/?name=MDP0000317926","MDP0000317926")</f>
        <v>MDP0000317926</v>
      </c>
      <c r="D4684">
        <v>82.91</v>
      </c>
      <c r="E4684">
        <v>644</v>
      </c>
      <c r="F4684">
        <v>110</v>
      </c>
      <c r="G4684">
        <v>9</v>
      </c>
      <c r="H4684">
        <v>420</v>
      </c>
      <c r="I4684">
        <v>1063</v>
      </c>
      <c r="J4684">
        <v>1</v>
      </c>
      <c r="K4684">
        <v>1</v>
      </c>
      <c r="L4684">
        <v>635</v>
      </c>
      <c r="M4684">
        <v>1</v>
      </c>
      <c r="N4684">
        <v>0</v>
      </c>
      <c r="O4684">
        <v>2867</v>
      </c>
    </row>
    <row r="4685" spans="1:15" x14ac:dyDescent="0.25">
      <c r="A4685" t="s">
        <v>4698</v>
      </c>
      <c r="B4685">
        <v>234</v>
      </c>
      <c r="C4685" s="1" t="str">
        <f>HYPERLINK("http://www.rosaceae.org/gb/gbrowse/malus_x_domestica/?name=MDP0000123418","MDP0000123418")</f>
        <v>MDP0000123418</v>
      </c>
      <c r="D4685">
        <v>64.39</v>
      </c>
      <c r="E4685">
        <v>191</v>
      </c>
      <c r="F4685">
        <v>68</v>
      </c>
      <c r="G4685">
        <v>9</v>
      </c>
      <c r="H4685">
        <v>46</v>
      </c>
      <c r="I4685">
        <v>234</v>
      </c>
      <c r="J4685">
        <v>1</v>
      </c>
      <c r="K4685">
        <v>31</v>
      </c>
      <c r="L4685">
        <v>214</v>
      </c>
      <c r="M4685">
        <v>1</v>
      </c>
      <c r="N4685">
        <v>3.6019100000000002E-61</v>
      </c>
      <c r="O4685">
        <v>590</v>
      </c>
    </row>
    <row r="4686" spans="1:15" x14ac:dyDescent="0.25">
      <c r="A4686" t="s">
        <v>4699</v>
      </c>
      <c r="B4686">
        <v>537</v>
      </c>
      <c r="C4686" s="1" t="str">
        <f>HYPERLINK("http://www.rosaceae.org/gb/gbrowse/malus_x_domestica/?name=MDP0000221184","MDP0000221184")</f>
        <v>MDP0000221184</v>
      </c>
      <c r="D4686">
        <v>59.81</v>
      </c>
      <c r="E4686">
        <v>438</v>
      </c>
      <c r="F4686">
        <v>176</v>
      </c>
      <c r="G4686">
        <v>21</v>
      </c>
      <c r="H4686">
        <v>94</v>
      </c>
      <c r="I4686">
        <v>513</v>
      </c>
      <c r="J4686">
        <v>1</v>
      </c>
      <c r="K4686">
        <v>126</v>
      </c>
      <c r="L4686">
        <v>560</v>
      </c>
      <c r="M4686">
        <v>1</v>
      </c>
      <c r="N4686">
        <v>5.0933599999999999E-129</v>
      </c>
      <c r="O4686">
        <v>1179</v>
      </c>
    </row>
    <row r="4687" spans="1:15" x14ac:dyDescent="0.25">
      <c r="A4687" t="s">
        <v>4700</v>
      </c>
      <c r="B4687">
        <v>373</v>
      </c>
      <c r="C4687" s="1" t="str">
        <f>HYPERLINK("http://www.rosaceae.org/gb/gbrowse/malus_x_domestica/?name=MDP0000317624","MDP0000317624")</f>
        <v>MDP0000317624</v>
      </c>
      <c r="D4687">
        <v>76.28</v>
      </c>
      <c r="E4687">
        <v>350</v>
      </c>
      <c r="F4687">
        <v>83</v>
      </c>
      <c r="G4687">
        <v>15</v>
      </c>
      <c r="H4687">
        <v>26</v>
      </c>
      <c r="I4687">
        <v>369</v>
      </c>
      <c r="J4687">
        <v>1</v>
      </c>
      <c r="K4687">
        <v>26</v>
      </c>
      <c r="L4687">
        <v>366</v>
      </c>
      <c r="M4687">
        <v>1</v>
      </c>
      <c r="N4687">
        <v>9.6106900000000002E-154</v>
      </c>
      <c r="O4687">
        <v>1391</v>
      </c>
    </row>
    <row r="4688" spans="1:15" x14ac:dyDescent="0.25">
      <c r="A4688" t="s">
        <v>4701</v>
      </c>
      <c r="B4688">
        <v>160</v>
      </c>
      <c r="C4688" s="1" t="str">
        <f>HYPERLINK("http://www.rosaceae.org/gb/gbrowse/malus_x_domestica/?name=MDP0000149794","MDP0000149794")</f>
        <v>MDP0000149794</v>
      </c>
      <c r="D4688">
        <v>81.760000000000005</v>
      </c>
      <c r="E4688">
        <v>159</v>
      </c>
      <c r="F4688">
        <v>29</v>
      </c>
      <c r="G4688">
        <v>0</v>
      </c>
      <c r="H4688">
        <v>1</v>
      </c>
      <c r="I4688">
        <v>159</v>
      </c>
      <c r="J4688">
        <v>1</v>
      </c>
      <c r="K4688">
        <v>1</v>
      </c>
      <c r="L4688">
        <v>159</v>
      </c>
      <c r="M4688">
        <v>1</v>
      </c>
      <c r="N4688">
        <v>1.3471E-71</v>
      </c>
      <c r="O4688">
        <v>677</v>
      </c>
    </row>
    <row r="4689" spans="1:15" x14ac:dyDescent="0.25">
      <c r="A4689" t="s">
        <v>4702</v>
      </c>
      <c r="B4689">
        <v>170</v>
      </c>
      <c r="C4689" s="1" t="str">
        <f>HYPERLINK("http://www.rosaceae.org/gb/gbrowse/malus_x_domestica/?name=MDP0000278543","MDP0000278543")</f>
        <v>MDP0000278543</v>
      </c>
      <c r="D4689">
        <v>67.56</v>
      </c>
      <c r="E4689">
        <v>148</v>
      </c>
      <c r="F4689">
        <v>48</v>
      </c>
      <c r="G4689">
        <v>0</v>
      </c>
      <c r="H4689">
        <v>23</v>
      </c>
      <c r="I4689">
        <v>170</v>
      </c>
      <c r="J4689">
        <v>1</v>
      </c>
      <c r="K4689">
        <v>268</v>
      </c>
      <c r="L4689">
        <v>415</v>
      </c>
      <c r="M4689">
        <v>1</v>
      </c>
      <c r="N4689">
        <v>5.1017399999999997E-57</v>
      </c>
      <c r="O4689">
        <v>552</v>
      </c>
    </row>
    <row r="4690" spans="1:15" x14ac:dyDescent="0.25">
      <c r="A4690" t="s">
        <v>4703</v>
      </c>
      <c r="B4690">
        <v>571</v>
      </c>
      <c r="C4690" s="1" t="str">
        <f>HYPERLINK("http://www.rosaceae.org/gb/gbrowse/malus_x_domestica/?name=MDP0000162515","MDP0000162515")</f>
        <v>MDP0000162515</v>
      </c>
      <c r="D4690">
        <v>67.5</v>
      </c>
      <c r="E4690">
        <v>560</v>
      </c>
      <c r="F4690">
        <v>182</v>
      </c>
      <c r="G4690">
        <v>38</v>
      </c>
      <c r="H4690">
        <v>13</v>
      </c>
      <c r="I4690">
        <v>565</v>
      </c>
      <c r="J4690">
        <v>1</v>
      </c>
      <c r="K4690">
        <v>11</v>
      </c>
      <c r="L4690">
        <v>539</v>
      </c>
      <c r="M4690">
        <v>1</v>
      </c>
      <c r="N4690">
        <v>0</v>
      </c>
      <c r="O4690">
        <v>1917</v>
      </c>
    </row>
    <row r="4691" spans="1:15" x14ac:dyDescent="0.25">
      <c r="A4691" t="s">
        <v>4704</v>
      </c>
      <c r="B4691">
        <v>776</v>
      </c>
      <c r="C4691" s="1" t="str">
        <f>HYPERLINK("http://www.rosaceae.org/gb/gbrowse/malus_x_domestica/?name=MDP0000204310","MDP0000204310")</f>
        <v>MDP0000204310</v>
      </c>
      <c r="D4691">
        <v>94.33</v>
      </c>
      <c r="E4691">
        <v>653</v>
      </c>
      <c r="F4691">
        <v>37</v>
      </c>
      <c r="G4691">
        <v>3</v>
      </c>
      <c r="H4691">
        <v>1</v>
      </c>
      <c r="I4691">
        <v>653</v>
      </c>
      <c r="J4691">
        <v>1</v>
      </c>
      <c r="K4691">
        <v>1</v>
      </c>
      <c r="L4691">
        <v>650</v>
      </c>
      <c r="M4691">
        <v>1</v>
      </c>
      <c r="N4691">
        <v>0</v>
      </c>
      <c r="O4691">
        <v>3332</v>
      </c>
    </row>
    <row r="4692" spans="1:15" x14ac:dyDescent="0.25">
      <c r="A4692" t="s">
        <v>4705</v>
      </c>
      <c r="B4692">
        <v>298</v>
      </c>
      <c r="C4692" s="1" t="str">
        <f>HYPERLINK("http://www.rosaceae.org/gb/gbrowse/malus_x_domestica/?name=MDP0000861504","MDP0000861504")</f>
        <v>MDP0000861504</v>
      </c>
      <c r="D4692">
        <v>38.11</v>
      </c>
      <c r="E4692">
        <v>307</v>
      </c>
      <c r="F4692">
        <v>190</v>
      </c>
      <c r="G4692">
        <v>59</v>
      </c>
      <c r="H4692">
        <v>1</v>
      </c>
      <c r="I4692">
        <v>291</v>
      </c>
      <c r="J4692">
        <v>1</v>
      </c>
      <c r="K4692">
        <v>278</v>
      </c>
      <c r="L4692">
        <v>541</v>
      </c>
      <c r="M4692">
        <v>1</v>
      </c>
      <c r="N4692">
        <v>1.1048400000000001E-40</v>
      </c>
      <c r="O4692">
        <v>415</v>
      </c>
    </row>
    <row r="4693" spans="1:15" x14ac:dyDescent="0.25">
      <c r="A4693" t="s">
        <v>4706</v>
      </c>
      <c r="B4693">
        <v>355</v>
      </c>
      <c r="C4693" s="1" t="str">
        <f>HYPERLINK("http://www.rosaceae.org/gb/gbrowse/malus_x_domestica/?name=MDP0000253134","MDP0000253134")</f>
        <v>MDP0000253134</v>
      </c>
      <c r="D4693">
        <v>90.7</v>
      </c>
      <c r="E4693">
        <v>355</v>
      </c>
      <c r="F4693">
        <v>33</v>
      </c>
      <c r="G4693">
        <v>0</v>
      </c>
      <c r="H4693">
        <v>1</v>
      </c>
      <c r="I4693">
        <v>355</v>
      </c>
      <c r="J4693">
        <v>1</v>
      </c>
      <c r="K4693">
        <v>1</v>
      </c>
      <c r="L4693">
        <v>355</v>
      </c>
      <c r="M4693">
        <v>1</v>
      </c>
      <c r="N4693">
        <v>0</v>
      </c>
      <c r="O4693">
        <v>1765</v>
      </c>
    </row>
    <row r="4694" spans="1:15" x14ac:dyDescent="0.25">
      <c r="A4694" t="s">
        <v>4707</v>
      </c>
      <c r="B4694">
        <v>860</v>
      </c>
      <c r="C4694" s="1" t="str">
        <f>HYPERLINK("http://www.rosaceae.org/gb/gbrowse/malus_x_domestica/?name=MDP0000269687","MDP0000269687")</f>
        <v>MDP0000269687</v>
      </c>
      <c r="D4694">
        <v>67.72</v>
      </c>
      <c r="E4694">
        <v>536</v>
      </c>
      <c r="F4694">
        <v>173</v>
      </c>
      <c r="G4694">
        <v>56</v>
      </c>
      <c r="H4694">
        <v>1</v>
      </c>
      <c r="I4694">
        <v>480</v>
      </c>
      <c r="J4694">
        <v>1</v>
      </c>
      <c r="K4694">
        <v>1</v>
      </c>
      <c r="L4694">
        <v>536</v>
      </c>
      <c r="M4694">
        <v>1</v>
      </c>
      <c r="N4694">
        <v>0</v>
      </c>
      <c r="O4694">
        <v>1783</v>
      </c>
    </row>
    <row r="4695" spans="1:15" x14ac:dyDescent="0.25">
      <c r="A4695" t="s">
        <v>4708</v>
      </c>
      <c r="B4695">
        <v>159</v>
      </c>
      <c r="C4695" s="1" t="str">
        <f>HYPERLINK("http://www.rosaceae.org/gb/gbrowse/malus_x_domestica/?name=MDP0000320366","MDP0000320366")</f>
        <v>MDP0000320366</v>
      </c>
      <c r="D4695">
        <v>68.180000000000007</v>
      </c>
      <c r="E4695">
        <v>44</v>
      </c>
      <c r="F4695">
        <v>14</v>
      </c>
      <c r="G4695">
        <v>3</v>
      </c>
      <c r="H4695">
        <v>52</v>
      </c>
      <c r="I4695">
        <v>92</v>
      </c>
      <c r="J4695">
        <v>1</v>
      </c>
      <c r="K4695">
        <v>182</v>
      </c>
      <c r="L4695">
        <v>225</v>
      </c>
      <c r="M4695">
        <v>1</v>
      </c>
      <c r="N4695">
        <v>4.8405100000000003E-9</v>
      </c>
      <c r="O4695">
        <v>138</v>
      </c>
    </row>
    <row r="4696" spans="1:15" x14ac:dyDescent="0.25">
      <c r="A4696" t="s">
        <v>4709</v>
      </c>
      <c r="B4696">
        <v>159</v>
      </c>
      <c r="C4696" s="1" t="str">
        <f>HYPERLINK("http://www.rosaceae.org/gb/gbrowse/malus_x_domestica/?name=MDP0000226648","MDP0000226648")</f>
        <v>MDP0000226648</v>
      </c>
      <c r="D4696">
        <v>50.81</v>
      </c>
      <c r="E4696">
        <v>61</v>
      </c>
      <c r="F4696">
        <v>30</v>
      </c>
      <c r="G4696">
        <v>0</v>
      </c>
      <c r="H4696">
        <v>81</v>
      </c>
      <c r="I4696">
        <v>141</v>
      </c>
      <c r="J4696">
        <v>1</v>
      </c>
      <c r="K4696">
        <v>11</v>
      </c>
      <c r="L4696">
        <v>71</v>
      </c>
      <c r="M4696">
        <v>1</v>
      </c>
      <c r="N4696">
        <v>2.2465499999999999E-9</v>
      </c>
      <c r="O4696">
        <v>141</v>
      </c>
    </row>
    <row r="4697" spans="1:15" x14ac:dyDescent="0.25">
      <c r="A4697" t="s">
        <v>4710</v>
      </c>
      <c r="B4697">
        <v>719</v>
      </c>
      <c r="C4697" s="1" t="str">
        <f>HYPERLINK("http://www.rosaceae.org/gb/gbrowse/malus_x_domestica/?name=MDP0000134757","MDP0000134757")</f>
        <v>MDP0000134757</v>
      </c>
      <c r="D4697">
        <v>77.08</v>
      </c>
      <c r="E4697">
        <v>733</v>
      </c>
      <c r="F4697">
        <v>168</v>
      </c>
      <c r="G4697">
        <v>22</v>
      </c>
      <c r="H4697">
        <v>1</v>
      </c>
      <c r="I4697">
        <v>716</v>
      </c>
      <c r="J4697">
        <v>1</v>
      </c>
      <c r="K4697">
        <v>1</v>
      </c>
      <c r="L4697">
        <v>728</v>
      </c>
      <c r="M4697">
        <v>1</v>
      </c>
      <c r="N4697">
        <v>0</v>
      </c>
      <c r="O4697">
        <v>2919</v>
      </c>
    </row>
    <row r="4698" spans="1:15" x14ac:dyDescent="0.25">
      <c r="A4698" t="s">
        <v>4711</v>
      </c>
      <c r="B4698">
        <v>165</v>
      </c>
      <c r="C4698" s="1" t="str">
        <f>HYPERLINK("http://www.rosaceae.org/gb/gbrowse/malus_x_domestica/?name=MDP0000192671","MDP0000192671")</f>
        <v>MDP0000192671</v>
      </c>
      <c r="D4698">
        <v>54.94</v>
      </c>
      <c r="E4698">
        <v>91</v>
      </c>
      <c r="F4698">
        <v>41</v>
      </c>
      <c r="G4698">
        <v>1</v>
      </c>
      <c r="H4698">
        <v>76</v>
      </c>
      <c r="I4698">
        <v>165</v>
      </c>
      <c r="J4698">
        <v>1</v>
      </c>
      <c r="K4698">
        <v>90</v>
      </c>
      <c r="L4698">
        <v>180</v>
      </c>
      <c r="M4698">
        <v>1</v>
      </c>
      <c r="N4698">
        <v>1.6252499999999999E-20</v>
      </c>
      <c r="O4698">
        <v>237</v>
      </c>
    </row>
    <row r="4699" spans="1:15" x14ac:dyDescent="0.25">
      <c r="A4699" t="s">
        <v>4712</v>
      </c>
      <c r="B4699">
        <v>360</v>
      </c>
      <c r="C4699" s="1" t="str">
        <f>HYPERLINK("http://www.rosaceae.org/gb/gbrowse/malus_x_domestica/?name=MDP0000167283","MDP0000167283")</f>
        <v>MDP0000167283</v>
      </c>
      <c r="D4699">
        <v>63.61</v>
      </c>
      <c r="E4699">
        <v>360</v>
      </c>
      <c r="F4699">
        <v>131</v>
      </c>
      <c r="G4699">
        <v>29</v>
      </c>
      <c r="H4699">
        <v>1</v>
      </c>
      <c r="I4699">
        <v>360</v>
      </c>
      <c r="J4699">
        <v>1</v>
      </c>
      <c r="K4699">
        <v>233</v>
      </c>
      <c r="L4699">
        <v>563</v>
      </c>
      <c r="M4699">
        <v>1</v>
      </c>
      <c r="N4699">
        <v>4.1370400000000001E-127</v>
      </c>
      <c r="O4699">
        <v>1161</v>
      </c>
    </row>
    <row r="4700" spans="1:15" x14ac:dyDescent="0.25">
      <c r="A4700" t="s">
        <v>4713</v>
      </c>
      <c r="B4700">
        <v>121</v>
      </c>
      <c r="C4700" s="1" t="str">
        <f>HYPERLINK("http://www.rosaceae.org/gb/gbrowse/malus_x_domestica/?name=MDP0000233098","MDP0000233098")</f>
        <v>MDP0000233098</v>
      </c>
      <c r="D4700">
        <v>44.8</v>
      </c>
      <c r="E4700">
        <v>125</v>
      </c>
      <c r="F4700">
        <v>69</v>
      </c>
      <c r="G4700">
        <v>11</v>
      </c>
      <c r="H4700">
        <v>1</v>
      </c>
      <c r="I4700">
        <v>117</v>
      </c>
      <c r="J4700">
        <v>1</v>
      </c>
      <c r="K4700">
        <v>74</v>
      </c>
      <c r="L4700">
        <v>195</v>
      </c>
      <c r="M4700">
        <v>1</v>
      </c>
      <c r="N4700">
        <v>1.32022E-18</v>
      </c>
      <c r="O4700">
        <v>218</v>
      </c>
    </row>
    <row r="4701" spans="1:15" x14ac:dyDescent="0.25">
      <c r="A4701" t="s">
        <v>4714</v>
      </c>
      <c r="B4701">
        <v>873</v>
      </c>
      <c r="C4701" s="1" t="str">
        <f>HYPERLINK("http://www.rosaceae.org/gb/gbrowse/malus_x_domestica/?name=MDP0000509016","MDP0000509016")</f>
        <v>MDP0000509016</v>
      </c>
      <c r="D4701">
        <v>78.58</v>
      </c>
      <c r="E4701">
        <v>593</v>
      </c>
      <c r="F4701">
        <v>127</v>
      </c>
      <c r="G4701">
        <v>34</v>
      </c>
      <c r="H4701">
        <v>315</v>
      </c>
      <c r="I4701">
        <v>873</v>
      </c>
      <c r="J4701">
        <v>1</v>
      </c>
      <c r="K4701">
        <v>414</v>
      </c>
      <c r="L4701">
        <v>1006</v>
      </c>
      <c r="M4701">
        <v>1</v>
      </c>
      <c r="N4701">
        <v>0</v>
      </c>
      <c r="O4701">
        <v>2400</v>
      </c>
    </row>
    <row r="4702" spans="1:15" x14ac:dyDescent="0.25">
      <c r="A4702" t="s">
        <v>4715</v>
      </c>
      <c r="B4702">
        <v>137</v>
      </c>
      <c r="C4702" s="1" t="str">
        <f>HYPERLINK("http://www.rosaceae.org/gb/gbrowse/malus_x_domestica/?name=MDP0000210968","MDP0000210968")</f>
        <v>MDP0000210968</v>
      </c>
      <c r="D4702">
        <v>58.33</v>
      </c>
      <c r="E4702">
        <v>48</v>
      </c>
      <c r="F4702">
        <v>20</v>
      </c>
      <c r="G4702">
        <v>0</v>
      </c>
      <c r="H4702">
        <v>90</v>
      </c>
      <c r="I4702">
        <v>137</v>
      </c>
      <c r="J4702">
        <v>1</v>
      </c>
      <c r="K4702">
        <v>39</v>
      </c>
      <c r="L4702">
        <v>86</v>
      </c>
      <c r="M4702">
        <v>1</v>
      </c>
      <c r="N4702">
        <v>4.4175200000000002E-10</v>
      </c>
      <c r="O4702">
        <v>146</v>
      </c>
    </row>
    <row r="4703" spans="1:15" x14ac:dyDescent="0.25">
      <c r="A4703" t="s">
        <v>4716</v>
      </c>
      <c r="B4703">
        <v>213</v>
      </c>
      <c r="C4703" s="1" t="str">
        <f>HYPERLINK("http://www.rosaceae.org/gb/gbrowse/malus_x_domestica/?name=MDP0000397306","MDP0000397306")</f>
        <v>MDP0000397306</v>
      </c>
      <c r="D4703">
        <v>50.24</v>
      </c>
      <c r="E4703">
        <v>207</v>
      </c>
      <c r="F4703">
        <v>103</v>
      </c>
      <c r="G4703">
        <v>4</v>
      </c>
      <c r="H4703">
        <v>7</v>
      </c>
      <c r="I4703">
        <v>213</v>
      </c>
      <c r="J4703">
        <v>1</v>
      </c>
      <c r="K4703">
        <v>7</v>
      </c>
      <c r="L4703">
        <v>209</v>
      </c>
      <c r="M4703">
        <v>1</v>
      </c>
      <c r="N4703">
        <v>4.1964299999999998E-54</v>
      </c>
      <c r="O4703">
        <v>529</v>
      </c>
    </row>
    <row r="4704" spans="1:15" x14ac:dyDescent="0.25">
      <c r="A4704" t="s">
        <v>4717</v>
      </c>
      <c r="B4704">
        <v>460</v>
      </c>
      <c r="C4704" s="1" t="str">
        <f>HYPERLINK("http://www.rosaceae.org/gb/gbrowse/malus_x_domestica/?name=MDP0000300519","MDP0000300519")</f>
        <v>MDP0000300519</v>
      </c>
      <c r="D4704">
        <v>86.84</v>
      </c>
      <c r="E4704">
        <v>441</v>
      </c>
      <c r="F4704">
        <v>58</v>
      </c>
      <c r="G4704">
        <v>0</v>
      </c>
      <c r="H4704">
        <v>1</v>
      </c>
      <c r="I4704">
        <v>441</v>
      </c>
      <c r="J4704">
        <v>1</v>
      </c>
      <c r="K4704">
        <v>1</v>
      </c>
      <c r="L4704">
        <v>441</v>
      </c>
      <c r="M4704">
        <v>1</v>
      </c>
      <c r="N4704">
        <v>0</v>
      </c>
      <c r="O4704">
        <v>2030</v>
      </c>
    </row>
    <row r="4705" spans="1:15" x14ac:dyDescent="0.25">
      <c r="A4705" t="s">
        <v>4718</v>
      </c>
      <c r="B4705">
        <v>389</v>
      </c>
      <c r="C4705" s="1" t="str">
        <f>HYPERLINK("http://www.rosaceae.org/gb/gbrowse/malus_x_domestica/?name=MDP0000208815","MDP0000208815")</f>
        <v>MDP0000208815</v>
      </c>
      <c r="D4705">
        <v>44.52</v>
      </c>
      <c r="E4705">
        <v>402</v>
      </c>
      <c r="F4705">
        <v>223</v>
      </c>
      <c r="G4705">
        <v>32</v>
      </c>
      <c r="H4705">
        <v>5</v>
      </c>
      <c r="I4705">
        <v>379</v>
      </c>
      <c r="J4705">
        <v>1</v>
      </c>
      <c r="K4705">
        <v>6</v>
      </c>
      <c r="L4705">
        <v>402</v>
      </c>
      <c r="M4705">
        <v>1</v>
      </c>
      <c r="N4705">
        <v>1.36095E-74</v>
      </c>
      <c r="O4705">
        <v>709</v>
      </c>
    </row>
    <row r="4706" spans="1:15" x14ac:dyDescent="0.25">
      <c r="A4706" t="s">
        <v>4719</v>
      </c>
      <c r="B4706">
        <v>680</v>
      </c>
      <c r="C4706" s="1" t="str">
        <f>HYPERLINK("http://www.rosaceae.org/gb/gbrowse/malus_x_domestica/?name=MDP0000297215","MDP0000297215")</f>
        <v>MDP0000297215</v>
      </c>
      <c r="D4706">
        <v>68</v>
      </c>
      <c r="E4706">
        <v>50</v>
      </c>
      <c r="F4706">
        <v>16</v>
      </c>
      <c r="G4706">
        <v>2</v>
      </c>
      <c r="H4706">
        <v>594</v>
      </c>
      <c r="I4706">
        <v>641</v>
      </c>
      <c r="J4706">
        <v>1</v>
      </c>
      <c r="K4706">
        <v>1</v>
      </c>
      <c r="L4706">
        <v>50</v>
      </c>
      <c r="M4706">
        <v>1</v>
      </c>
      <c r="N4706">
        <v>3.5356199999999998E-11</v>
      </c>
      <c r="O4706">
        <v>164</v>
      </c>
    </row>
    <row r="4707" spans="1:15" x14ac:dyDescent="0.25">
      <c r="A4707" t="s">
        <v>4720</v>
      </c>
      <c r="B4707">
        <v>939</v>
      </c>
      <c r="C4707" s="1" t="str">
        <f>HYPERLINK("http://www.rosaceae.org/gb/gbrowse/malus_x_domestica/?name=MDP0000442056","MDP0000442056")</f>
        <v>MDP0000442056</v>
      </c>
      <c r="D4707">
        <v>69.08</v>
      </c>
      <c r="E4707">
        <v>938</v>
      </c>
      <c r="F4707">
        <v>290</v>
      </c>
      <c r="G4707">
        <v>8</v>
      </c>
      <c r="H4707">
        <v>1</v>
      </c>
      <c r="I4707">
        <v>937</v>
      </c>
      <c r="J4707">
        <v>1</v>
      </c>
      <c r="K4707">
        <v>1</v>
      </c>
      <c r="L4707">
        <v>931</v>
      </c>
      <c r="M4707">
        <v>1</v>
      </c>
      <c r="N4707">
        <v>0</v>
      </c>
      <c r="O4707">
        <v>3444</v>
      </c>
    </row>
    <row r="4708" spans="1:15" x14ac:dyDescent="0.25">
      <c r="A4708" t="s">
        <v>4721</v>
      </c>
      <c r="B4708">
        <v>252</v>
      </c>
      <c r="C4708" s="1" t="str">
        <f>HYPERLINK("http://www.rosaceae.org/gb/gbrowse/malus_x_domestica/?name=MDP0000739591","MDP0000739591")</f>
        <v>MDP0000739591</v>
      </c>
      <c r="D4708">
        <v>51.42</v>
      </c>
      <c r="E4708">
        <v>245</v>
      </c>
      <c r="F4708">
        <v>119</v>
      </c>
      <c r="G4708">
        <v>25</v>
      </c>
      <c r="H4708">
        <v>1</v>
      </c>
      <c r="I4708">
        <v>235</v>
      </c>
      <c r="J4708">
        <v>1</v>
      </c>
      <c r="K4708">
        <v>1</v>
      </c>
      <c r="L4708">
        <v>230</v>
      </c>
      <c r="M4708">
        <v>1</v>
      </c>
      <c r="N4708">
        <v>1.8069699999999999E-48</v>
      </c>
      <c r="O4708">
        <v>481</v>
      </c>
    </row>
    <row r="4709" spans="1:15" x14ac:dyDescent="0.25">
      <c r="A4709" t="s">
        <v>4722</v>
      </c>
      <c r="B4709">
        <v>244</v>
      </c>
      <c r="C4709" s="1" t="str">
        <f>HYPERLINK("http://www.rosaceae.org/gb/gbrowse/malus_x_domestica/?name=MDP0000121362","MDP0000121362")</f>
        <v>MDP0000121362</v>
      </c>
      <c r="D4709">
        <v>47.5</v>
      </c>
      <c r="E4709">
        <v>80</v>
      </c>
      <c r="F4709">
        <v>42</v>
      </c>
      <c r="G4709">
        <v>0</v>
      </c>
      <c r="H4709">
        <v>51</v>
      </c>
      <c r="I4709">
        <v>130</v>
      </c>
      <c r="J4709">
        <v>1</v>
      </c>
      <c r="K4709">
        <v>293</v>
      </c>
      <c r="L4709">
        <v>372</v>
      </c>
      <c r="M4709">
        <v>1</v>
      </c>
      <c r="N4709">
        <v>4.7008500000000003E-16</v>
      </c>
      <c r="O4709">
        <v>201</v>
      </c>
    </row>
    <row r="4710" spans="1:15" x14ac:dyDescent="0.25">
      <c r="A4710" t="s">
        <v>4723</v>
      </c>
      <c r="B4710">
        <v>232</v>
      </c>
      <c r="C4710" s="1" t="str">
        <f>HYPERLINK("http://www.rosaceae.org/gb/gbrowse/malus_x_domestica/?name=MDP0000315938","MDP0000315938")</f>
        <v>MDP0000315938</v>
      </c>
      <c r="D4710">
        <v>54.71</v>
      </c>
      <c r="E4710">
        <v>265</v>
      </c>
      <c r="F4710">
        <v>120</v>
      </c>
      <c r="G4710">
        <v>66</v>
      </c>
      <c r="H4710">
        <v>1</v>
      </c>
      <c r="I4710">
        <v>232</v>
      </c>
      <c r="J4710">
        <v>1</v>
      </c>
      <c r="K4710">
        <v>1</v>
      </c>
      <c r="L4710">
        <v>232</v>
      </c>
      <c r="M4710">
        <v>1</v>
      </c>
      <c r="N4710">
        <v>2.4713000000000001E-71</v>
      </c>
      <c r="O4710">
        <v>678</v>
      </c>
    </row>
    <row r="4711" spans="1:15" x14ac:dyDescent="0.25">
      <c r="A4711" t="s">
        <v>4724</v>
      </c>
      <c r="B4711">
        <v>236</v>
      </c>
      <c r="C4711" s="1" t="str">
        <f>HYPERLINK("http://www.rosaceae.org/gb/gbrowse/malus_x_domestica/?name=MDP0000787137","MDP0000787137")</f>
        <v>MDP0000787137</v>
      </c>
      <c r="D4711">
        <v>80.91</v>
      </c>
      <c r="E4711">
        <v>241</v>
      </c>
      <c r="F4711">
        <v>46</v>
      </c>
      <c r="G4711">
        <v>6</v>
      </c>
      <c r="H4711">
        <v>1</v>
      </c>
      <c r="I4711">
        <v>236</v>
      </c>
      <c r="J4711">
        <v>1</v>
      </c>
      <c r="K4711">
        <v>1</v>
      </c>
      <c r="L4711">
        <v>240</v>
      </c>
      <c r="M4711">
        <v>1</v>
      </c>
      <c r="N4711">
        <v>1.03872E-113</v>
      </c>
      <c r="O4711">
        <v>1043</v>
      </c>
    </row>
    <row r="4712" spans="1:15" x14ac:dyDescent="0.25">
      <c r="A4712" t="s">
        <v>4725</v>
      </c>
      <c r="B4712">
        <v>218</v>
      </c>
      <c r="C4712" s="1" t="str">
        <f>HYPERLINK("http://www.rosaceae.org/gb/gbrowse/malus_x_domestica/?name=MDP0000306514","MDP0000306514")</f>
        <v>MDP0000306514</v>
      </c>
      <c r="D4712">
        <v>93.11</v>
      </c>
      <c r="E4712">
        <v>218</v>
      </c>
      <c r="F4712">
        <v>15</v>
      </c>
      <c r="G4712">
        <v>0</v>
      </c>
      <c r="H4712">
        <v>1</v>
      </c>
      <c r="I4712">
        <v>218</v>
      </c>
      <c r="J4712">
        <v>1</v>
      </c>
      <c r="K4712">
        <v>194</v>
      </c>
      <c r="L4712">
        <v>411</v>
      </c>
      <c r="M4712">
        <v>1</v>
      </c>
      <c r="N4712">
        <v>4.2629999999999998E-119</v>
      </c>
      <c r="O4712">
        <v>1089</v>
      </c>
    </row>
    <row r="4713" spans="1:15" x14ac:dyDescent="0.25">
      <c r="A4713" t="s">
        <v>4726</v>
      </c>
      <c r="B4713">
        <v>128</v>
      </c>
      <c r="C4713" s="1" t="str">
        <f>HYPERLINK("http://www.rosaceae.org/gb/gbrowse/malus_x_domestica/?name=MDP0000003514","MDP0000003514")</f>
        <v>MDP0000003514</v>
      </c>
      <c r="D4713">
        <v>74.069999999999993</v>
      </c>
      <c r="E4713">
        <v>81</v>
      </c>
      <c r="F4713">
        <v>21</v>
      </c>
      <c r="G4713">
        <v>1</v>
      </c>
      <c r="H4713">
        <v>3</v>
      </c>
      <c r="I4713">
        <v>83</v>
      </c>
      <c r="J4713">
        <v>1</v>
      </c>
      <c r="K4713">
        <v>2</v>
      </c>
      <c r="L4713">
        <v>81</v>
      </c>
      <c r="M4713">
        <v>1</v>
      </c>
      <c r="N4713">
        <v>5.8815600000000001E-29</v>
      </c>
      <c r="O4713">
        <v>308</v>
      </c>
    </row>
    <row r="4714" spans="1:15" x14ac:dyDescent="0.25">
      <c r="A4714" t="s">
        <v>4727</v>
      </c>
      <c r="B4714">
        <v>139</v>
      </c>
      <c r="C4714" s="1" t="str">
        <f>HYPERLINK("http://www.rosaceae.org/gb/gbrowse/malus_x_domestica/?name=MDP0000261327","MDP0000261327")</f>
        <v>MDP0000261327</v>
      </c>
      <c r="D4714">
        <v>48.51</v>
      </c>
      <c r="E4714">
        <v>101</v>
      </c>
      <c r="F4714">
        <v>52</v>
      </c>
      <c r="G4714">
        <v>2</v>
      </c>
      <c r="H4714">
        <v>31</v>
      </c>
      <c r="I4714">
        <v>129</v>
      </c>
      <c r="J4714">
        <v>1</v>
      </c>
      <c r="K4714">
        <v>1852</v>
      </c>
      <c r="L4714">
        <v>1952</v>
      </c>
      <c r="M4714">
        <v>1</v>
      </c>
      <c r="N4714">
        <v>1.2012399999999999E-18</v>
      </c>
      <c r="O4714">
        <v>219</v>
      </c>
    </row>
    <row r="4715" spans="1:15" x14ac:dyDescent="0.25">
      <c r="A4715" t="s">
        <v>4728</v>
      </c>
      <c r="B4715">
        <v>409</v>
      </c>
      <c r="C4715" s="1" t="str">
        <f>HYPERLINK("http://www.rosaceae.org/gb/gbrowse/malus_x_domestica/?name=MDP0000211661","MDP0000211661")</f>
        <v>MDP0000211661</v>
      </c>
      <c r="D4715">
        <v>50.81</v>
      </c>
      <c r="E4715">
        <v>122</v>
      </c>
      <c r="F4715">
        <v>60</v>
      </c>
      <c r="G4715">
        <v>5</v>
      </c>
      <c r="H4715">
        <v>3</v>
      </c>
      <c r="I4715">
        <v>124</v>
      </c>
      <c r="J4715">
        <v>1</v>
      </c>
      <c r="K4715">
        <v>16</v>
      </c>
      <c r="L4715">
        <v>132</v>
      </c>
      <c r="M4715">
        <v>1</v>
      </c>
      <c r="N4715">
        <v>7.9772999999999998E-27</v>
      </c>
      <c r="O4715">
        <v>297</v>
      </c>
    </row>
    <row r="4716" spans="1:15" x14ac:dyDescent="0.25">
      <c r="A4716" t="s">
        <v>4729</v>
      </c>
      <c r="B4716">
        <v>846</v>
      </c>
      <c r="C4716" s="1" t="str">
        <f>HYPERLINK("http://www.rosaceae.org/gb/gbrowse/malus_x_domestica/?name=MDP0000190552","MDP0000190552")</f>
        <v>MDP0000190552</v>
      </c>
      <c r="D4716">
        <v>83.09</v>
      </c>
      <c r="E4716">
        <v>840</v>
      </c>
      <c r="F4716">
        <v>142</v>
      </c>
      <c r="G4716">
        <v>4</v>
      </c>
      <c r="H4716">
        <v>1</v>
      </c>
      <c r="I4716">
        <v>836</v>
      </c>
      <c r="J4716">
        <v>1</v>
      </c>
      <c r="K4716">
        <v>1</v>
      </c>
      <c r="L4716">
        <v>840</v>
      </c>
      <c r="M4716">
        <v>1</v>
      </c>
      <c r="N4716">
        <v>0</v>
      </c>
      <c r="O4716">
        <v>3759</v>
      </c>
    </row>
    <row r="4717" spans="1:15" x14ac:dyDescent="0.25">
      <c r="A4717" t="s">
        <v>4730</v>
      </c>
      <c r="B4717">
        <v>392</v>
      </c>
      <c r="C4717" s="1" t="str">
        <f>HYPERLINK("http://www.rosaceae.org/gb/gbrowse/malus_x_domestica/?name=MDP0000194906","MDP0000194906")</f>
        <v>MDP0000194906</v>
      </c>
      <c r="D4717">
        <v>89.06</v>
      </c>
      <c r="E4717">
        <v>311</v>
      </c>
      <c r="F4717">
        <v>34</v>
      </c>
      <c r="G4717">
        <v>1</v>
      </c>
      <c r="H4717">
        <v>18</v>
      </c>
      <c r="I4717">
        <v>328</v>
      </c>
      <c r="J4717">
        <v>1</v>
      </c>
      <c r="K4717">
        <v>179</v>
      </c>
      <c r="L4717">
        <v>488</v>
      </c>
      <c r="M4717">
        <v>1</v>
      </c>
      <c r="N4717">
        <v>4.1342000000000001E-163</v>
      </c>
      <c r="O4717">
        <v>1472</v>
      </c>
    </row>
    <row r="4718" spans="1:15" x14ac:dyDescent="0.25">
      <c r="A4718" t="s">
        <v>4731</v>
      </c>
      <c r="B4718">
        <v>299</v>
      </c>
      <c r="C4718" s="1" t="str">
        <f>HYPERLINK("http://www.rosaceae.org/gb/gbrowse/malus_x_domestica/?name=MDP0000304290","MDP0000304290")</f>
        <v>MDP0000304290</v>
      </c>
      <c r="D4718">
        <v>69.959999999999994</v>
      </c>
      <c r="E4718">
        <v>283</v>
      </c>
      <c r="F4718">
        <v>85</v>
      </c>
      <c r="G4718">
        <v>11</v>
      </c>
      <c r="H4718">
        <v>21</v>
      </c>
      <c r="I4718">
        <v>299</v>
      </c>
      <c r="J4718">
        <v>1</v>
      </c>
      <c r="K4718">
        <v>65</v>
      </c>
      <c r="L4718">
        <v>340</v>
      </c>
      <c r="M4718">
        <v>1</v>
      </c>
      <c r="N4718">
        <v>8.6148100000000005E-111</v>
      </c>
      <c r="O4718">
        <v>1019</v>
      </c>
    </row>
    <row r="4719" spans="1:15" x14ac:dyDescent="0.25">
      <c r="A4719" t="s">
        <v>4732</v>
      </c>
      <c r="B4719">
        <v>239</v>
      </c>
      <c r="C4719" s="1" t="str">
        <f>HYPERLINK("http://www.rosaceae.org/gb/gbrowse/malus_x_domestica/?name=MDP0000212312","MDP0000212312")</f>
        <v>MDP0000212312</v>
      </c>
      <c r="D4719">
        <v>44.09</v>
      </c>
      <c r="E4719">
        <v>161</v>
      </c>
      <c r="F4719">
        <v>90</v>
      </c>
      <c r="G4719">
        <v>11</v>
      </c>
      <c r="H4719">
        <v>3</v>
      </c>
      <c r="I4719">
        <v>157</v>
      </c>
      <c r="J4719">
        <v>1</v>
      </c>
      <c r="K4719">
        <v>31</v>
      </c>
      <c r="L4719">
        <v>186</v>
      </c>
      <c r="M4719">
        <v>1</v>
      </c>
      <c r="N4719">
        <v>7.7309199999999998E-28</v>
      </c>
      <c r="O4719">
        <v>303</v>
      </c>
    </row>
    <row r="4720" spans="1:15" x14ac:dyDescent="0.25">
      <c r="A4720" t="s">
        <v>4733</v>
      </c>
      <c r="B4720">
        <v>522</v>
      </c>
      <c r="C4720" s="1" t="str">
        <f>HYPERLINK("http://www.rosaceae.org/gb/gbrowse/malus_x_domestica/?name=MDP0000256650","MDP0000256650")</f>
        <v>MDP0000256650</v>
      </c>
      <c r="D4720">
        <v>78.86</v>
      </c>
      <c r="E4720">
        <v>369</v>
      </c>
      <c r="F4720">
        <v>78</v>
      </c>
      <c r="G4720">
        <v>8</v>
      </c>
      <c r="H4720">
        <v>97</v>
      </c>
      <c r="I4720">
        <v>457</v>
      </c>
      <c r="J4720">
        <v>1</v>
      </c>
      <c r="K4720">
        <v>59</v>
      </c>
      <c r="L4720">
        <v>427</v>
      </c>
      <c r="M4720">
        <v>1</v>
      </c>
      <c r="N4720">
        <v>1.1698400000000001E-159</v>
      </c>
      <c r="O4720">
        <v>1444</v>
      </c>
    </row>
    <row r="4721" spans="1:15" x14ac:dyDescent="0.25">
      <c r="A4721" t="s">
        <v>4734</v>
      </c>
      <c r="B4721">
        <v>270</v>
      </c>
      <c r="C4721" s="1" t="str">
        <f>HYPERLINK("http://www.rosaceae.org/gb/gbrowse/malus_x_domestica/?name=MDP0000691040","MDP0000691040")</f>
        <v>MDP0000691040</v>
      </c>
      <c r="D4721">
        <v>56.58</v>
      </c>
      <c r="E4721">
        <v>258</v>
      </c>
      <c r="F4721">
        <v>112</v>
      </c>
      <c r="G4721">
        <v>6</v>
      </c>
      <c r="H4721">
        <v>12</v>
      </c>
      <c r="I4721">
        <v>269</v>
      </c>
      <c r="J4721">
        <v>1</v>
      </c>
      <c r="K4721">
        <v>5</v>
      </c>
      <c r="L4721">
        <v>256</v>
      </c>
      <c r="M4721">
        <v>1</v>
      </c>
      <c r="N4721">
        <v>1.57652E-68</v>
      </c>
      <c r="O4721">
        <v>654</v>
      </c>
    </row>
    <row r="4722" spans="1:15" x14ac:dyDescent="0.25">
      <c r="A4722" t="s">
        <v>4735</v>
      </c>
      <c r="B4722">
        <v>132</v>
      </c>
      <c r="C4722" s="1" t="str">
        <f>HYPERLINK("http://www.rosaceae.org/gb/gbrowse/malus_x_domestica/?name=MDP0000133254","MDP0000133254")</f>
        <v>MDP0000133254</v>
      </c>
      <c r="D4722">
        <v>43.15</v>
      </c>
      <c r="E4722">
        <v>146</v>
      </c>
      <c r="F4722">
        <v>83</v>
      </c>
      <c r="G4722">
        <v>16</v>
      </c>
      <c r="H4722">
        <v>3</v>
      </c>
      <c r="I4722">
        <v>132</v>
      </c>
      <c r="J4722">
        <v>1</v>
      </c>
      <c r="K4722">
        <v>5</v>
      </c>
      <c r="L4722">
        <v>150</v>
      </c>
      <c r="M4722">
        <v>1</v>
      </c>
      <c r="N4722">
        <v>6.43873E-31</v>
      </c>
      <c r="O4722">
        <v>325</v>
      </c>
    </row>
    <row r="4723" spans="1:15" x14ac:dyDescent="0.25">
      <c r="A4723" t="s">
        <v>4736</v>
      </c>
      <c r="B4723">
        <v>1929</v>
      </c>
      <c r="C4723" s="1" t="str">
        <f>HYPERLINK("http://www.rosaceae.org/gb/gbrowse/malus_x_domestica/?name=MDP0000203957","MDP0000203957")</f>
        <v>MDP0000203957</v>
      </c>
      <c r="D4723">
        <v>67.34</v>
      </c>
      <c r="E4723">
        <v>346</v>
      </c>
      <c r="F4723">
        <v>113</v>
      </c>
      <c r="G4723">
        <v>6</v>
      </c>
      <c r="H4723">
        <v>914</v>
      </c>
      <c r="I4723">
        <v>1253</v>
      </c>
      <c r="J4723">
        <v>1</v>
      </c>
      <c r="K4723">
        <v>947</v>
      </c>
      <c r="L4723">
        <v>1292</v>
      </c>
      <c r="M4723">
        <v>1</v>
      </c>
      <c r="N4723">
        <v>1.2212500000000001E-133</v>
      </c>
      <c r="O4723">
        <v>1225</v>
      </c>
    </row>
    <row r="4724" spans="1:15" x14ac:dyDescent="0.25">
      <c r="A4724" t="s">
        <v>4737</v>
      </c>
      <c r="B4724">
        <v>540</v>
      </c>
      <c r="C4724" s="1" t="str">
        <f>HYPERLINK("http://www.rosaceae.org/gb/gbrowse/malus_x_domestica/?name=MDP0000255134","MDP0000255134")</f>
        <v>MDP0000255134</v>
      </c>
      <c r="D4724">
        <v>29.02</v>
      </c>
      <c r="E4724">
        <v>441</v>
      </c>
      <c r="F4724">
        <v>313</v>
      </c>
      <c r="G4724">
        <v>104</v>
      </c>
      <c r="H4724">
        <v>174</v>
      </c>
      <c r="I4724">
        <v>540</v>
      </c>
      <c r="J4724">
        <v>1</v>
      </c>
      <c r="K4724">
        <v>19</v>
      </c>
      <c r="L4724">
        <v>429</v>
      </c>
      <c r="M4724">
        <v>1</v>
      </c>
      <c r="N4724">
        <v>3.9791899999999999E-26</v>
      </c>
      <c r="O4724">
        <v>292</v>
      </c>
    </row>
    <row r="4725" spans="1:15" x14ac:dyDescent="0.25">
      <c r="A4725" t="s">
        <v>4738</v>
      </c>
      <c r="B4725">
        <v>1188</v>
      </c>
      <c r="C4725" s="1" t="str">
        <f>HYPERLINK("http://www.rosaceae.org/gb/gbrowse/malus_x_domestica/?name=MDP0000197761","MDP0000197761")</f>
        <v>MDP0000197761</v>
      </c>
      <c r="D4725">
        <v>58.79</v>
      </c>
      <c r="E4725">
        <v>432</v>
      </c>
      <c r="F4725">
        <v>178</v>
      </c>
      <c r="G4725">
        <v>71</v>
      </c>
      <c r="H4725">
        <v>1</v>
      </c>
      <c r="I4725">
        <v>363</v>
      </c>
      <c r="J4725">
        <v>1</v>
      </c>
      <c r="K4725">
        <v>1</v>
      </c>
      <c r="L4725">
        <v>430</v>
      </c>
      <c r="M4725">
        <v>1</v>
      </c>
      <c r="N4725">
        <v>5.3075000000000002E-121</v>
      </c>
      <c r="O4725">
        <v>1114</v>
      </c>
    </row>
    <row r="4726" spans="1:15" x14ac:dyDescent="0.25">
      <c r="A4726" t="s">
        <v>4739</v>
      </c>
      <c r="B4726">
        <v>443</v>
      </c>
      <c r="C4726" s="1" t="str">
        <f>HYPERLINK("http://www.rosaceae.org/gb/gbrowse/malus_x_domestica/?name=MDP0000896319","MDP0000896319")</f>
        <v>MDP0000896319</v>
      </c>
      <c r="D4726">
        <v>80.930000000000007</v>
      </c>
      <c r="E4726">
        <v>320</v>
      </c>
      <c r="F4726">
        <v>61</v>
      </c>
      <c r="G4726">
        <v>5</v>
      </c>
      <c r="H4726">
        <v>129</v>
      </c>
      <c r="I4726">
        <v>443</v>
      </c>
      <c r="J4726">
        <v>1</v>
      </c>
      <c r="K4726">
        <v>39</v>
      </c>
      <c r="L4726">
        <v>358</v>
      </c>
      <c r="M4726">
        <v>1</v>
      </c>
      <c r="N4726">
        <v>2.1433900000000001E-155</v>
      </c>
      <c r="O4726">
        <v>1406</v>
      </c>
    </row>
    <row r="4727" spans="1:15" x14ac:dyDescent="0.25">
      <c r="A4727" t="s">
        <v>4740</v>
      </c>
      <c r="B4727">
        <v>384</v>
      </c>
      <c r="C4727" s="1" t="str">
        <f>HYPERLINK("http://www.rosaceae.org/gb/gbrowse/malus_x_domestica/?name=MDP0000237182","MDP0000237182")</f>
        <v>MDP0000237182</v>
      </c>
      <c r="D4727">
        <v>28.84</v>
      </c>
      <c r="E4727">
        <v>156</v>
      </c>
      <c r="F4727">
        <v>111</v>
      </c>
      <c r="G4727">
        <v>4</v>
      </c>
      <c r="H4727">
        <v>216</v>
      </c>
      <c r="I4727">
        <v>371</v>
      </c>
      <c r="J4727">
        <v>1</v>
      </c>
      <c r="K4727">
        <v>272</v>
      </c>
      <c r="L4727">
        <v>423</v>
      </c>
      <c r="M4727">
        <v>1</v>
      </c>
      <c r="N4727">
        <v>9.6685999999999998E-13</v>
      </c>
      <c r="O4727">
        <v>175</v>
      </c>
    </row>
    <row r="4728" spans="1:15" x14ac:dyDescent="0.25">
      <c r="A4728" t="s">
        <v>4741</v>
      </c>
      <c r="B4728">
        <v>506</v>
      </c>
      <c r="C4728" s="1" t="str">
        <f>HYPERLINK("http://www.rosaceae.org/gb/gbrowse/malus_x_domestica/?name=MDP0000253325","MDP0000253325")</f>
        <v>MDP0000253325</v>
      </c>
      <c r="D4728">
        <v>91.14</v>
      </c>
      <c r="E4728">
        <v>429</v>
      </c>
      <c r="F4728">
        <v>38</v>
      </c>
      <c r="G4728">
        <v>1</v>
      </c>
      <c r="H4728">
        <v>1</v>
      </c>
      <c r="I4728">
        <v>428</v>
      </c>
      <c r="J4728">
        <v>1</v>
      </c>
      <c r="K4728">
        <v>1</v>
      </c>
      <c r="L4728">
        <v>429</v>
      </c>
      <c r="M4728">
        <v>1</v>
      </c>
      <c r="N4728">
        <v>0</v>
      </c>
      <c r="O4728">
        <v>2108</v>
      </c>
    </row>
    <row r="4729" spans="1:15" x14ac:dyDescent="0.25">
      <c r="A4729" t="s">
        <v>4742</v>
      </c>
      <c r="B4729">
        <v>289</v>
      </c>
      <c r="C4729" s="1" t="str">
        <f>HYPERLINK("http://www.rosaceae.org/gb/gbrowse/malus_x_domestica/?name=MDP0000310520","MDP0000310520")</f>
        <v>MDP0000310520</v>
      </c>
      <c r="D4729">
        <v>90.27</v>
      </c>
      <c r="E4729">
        <v>216</v>
      </c>
      <c r="F4729">
        <v>21</v>
      </c>
      <c r="G4729">
        <v>0</v>
      </c>
      <c r="H4729">
        <v>14</v>
      </c>
      <c r="I4729">
        <v>229</v>
      </c>
      <c r="J4729">
        <v>1</v>
      </c>
      <c r="K4729">
        <v>398</v>
      </c>
      <c r="L4729">
        <v>613</v>
      </c>
      <c r="M4729">
        <v>1</v>
      </c>
      <c r="N4729">
        <v>8.4563999999999991E-112</v>
      </c>
      <c r="O4729">
        <v>1028</v>
      </c>
    </row>
    <row r="4730" spans="1:15" x14ac:dyDescent="0.25">
      <c r="A4730" t="s">
        <v>4743</v>
      </c>
      <c r="B4730">
        <v>393</v>
      </c>
      <c r="C4730" s="1" t="str">
        <f>HYPERLINK("http://www.rosaceae.org/gb/gbrowse/malus_x_domestica/?name=MDP0000163774","MDP0000163774")</f>
        <v>MDP0000163774</v>
      </c>
      <c r="D4730">
        <v>29.05</v>
      </c>
      <c r="E4730">
        <v>296</v>
      </c>
      <c r="F4730">
        <v>210</v>
      </c>
      <c r="G4730">
        <v>56</v>
      </c>
      <c r="H4730">
        <v>51</v>
      </c>
      <c r="I4730">
        <v>337</v>
      </c>
      <c r="J4730">
        <v>1</v>
      </c>
      <c r="K4730">
        <v>449</v>
      </c>
      <c r="L4730">
        <v>697</v>
      </c>
      <c r="M4730">
        <v>1</v>
      </c>
      <c r="N4730">
        <v>5.4511400000000001E-27</v>
      </c>
      <c r="O4730">
        <v>298</v>
      </c>
    </row>
    <row r="4731" spans="1:15" x14ac:dyDescent="0.25">
      <c r="A4731" t="s">
        <v>4744</v>
      </c>
      <c r="B4731">
        <v>532</v>
      </c>
      <c r="C4731" s="1" t="str">
        <f>HYPERLINK("http://www.rosaceae.org/gb/gbrowse/malus_x_domestica/?name=MDP0000128444","MDP0000128444")</f>
        <v>MDP0000128444</v>
      </c>
      <c r="D4731">
        <v>71.02</v>
      </c>
      <c r="E4731">
        <v>459</v>
      </c>
      <c r="F4731">
        <v>133</v>
      </c>
      <c r="G4731">
        <v>6</v>
      </c>
      <c r="H4731">
        <v>75</v>
      </c>
      <c r="I4731">
        <v>531</v>
      </c>
      <c r="J4731">
        <v>1</v>
      </c>
      <c r="K4731">
        <v>86</v>
      </c>
      <c r="L4731">
        <v>540</v>
      </c>
      <c r="M4731">
        <v>1</v>
      </c>
      <c r="N4731">
        <v>1.3974199999999999E-175</v>
      </c>
      <c r="O4731">
        <v>1581</v>
      </c>
    </row>
    <row r="4732" spans="1:15" x14ac:dyDescent="0.25">
      <c r="A4732" t="s">
        <v>4745</v>
      </c>
      <c r="B4732">
        <v>745</v>
      </c>
      <c r="C4732" s="1" t="str">
        <f>HYPERLINK("http://www.rosaceae.org/gb/gbrowse/malus_x_domestica/?name=MDP0000146310","MDP0000146310")</f>
        <v>MDP0000146310</v>
      </c>
      <c r="D4732">
        <v>73.89</v>
      </c>
      <c r="E4732">
        <v>475</v>
      </c>
      <c r="F4732">
        <v>124</v>
      </c>
      <c r="G4732">
        <v>28</v>
      </c>
      <c r="H4732">
        <v>275</v>
      </c>
      <c r="I4732">
        <v>744</v>
      </c>
      <c r="J4732">
        <v>1</v>
      </c>
      <c r="K4732">
        <v>1</v>
      </c>
      <c r="L4732">
        <v>452</v>
      </c>
      <c r="M4732">
        <v>1</v>
      </c>
      <c r="N4732">
        <v>0</v>
      </c>
      <c r="O4732">
        <v>1809</v>
      </c>
    </row>
    <row r="4733" spans="1:15" x14ac:dyDescent="0.25">
      <c r="A4733" t="s">
        <v>4746</v>
      </c>
      <c r="B4733">
        <v>478</v>
      </c>
      <c r="C4733" s="1" t="str">
        <f>HYPERLINK("http://www.rosaceae.org/gb/gbrowse/malus_x_domestica/?name=MDP0000252674","MDP0000252674")</f>
        <v>MDP0000252674</v>
      </c>
      <c r="D4733">
        <v>77.680000000000007</v>
      </c>
      <c r="E4733">
        <v>484</v>
      </c>
      <c r="F4733">
        <v>108</v>
      </c>
      <c r="G4733">
        <v>9</v>
      </c>
      <c r="H4733">
        <v>1</v>
      </c>
      <c r="I4733">
        <v>477</v>
      </c>
      <c r="J4733">
        <v>1</v>
      </c>
      <c r="K4733">
        <v>1</v>
      </c>
      <c r="L4733">
        <v>482</v>
      </c>
      <c r="M4733">
        <v>1</v>
      </c>
      <c r="N4733">
        <v>0</v>
      </c>
      <c r="O4733">
        <v>1992</v>
      </c>
    </row>
    <row r="4734" spans="1:15" x14ac:dyDescent="0.25">
      <c r="A4734" t="s">
        <v>4747</v>
      </c>
      <c r="B4734">
        <v>939</v>
      </c>
      <c r="C4734" s="1" t="str">
        <f>HYPERLINK("http://www.rosaceae.org/gb/gbrowse/malus_x_domestica/?name=MDP0000900186","MDP0000900186")</f>
        <v>MDP0000900186</v>
      </c>
      <c r="D4734">
        <v>77.900000000000006</v>
      </c>
      <c r="E4734">
        <v>679</v>
      </c>
      <c r="F4734">
        <v>150</v>
      </c>
      <c r="G4734">
        <v>10</v>
      </c>
      <c r="H4734">
        <v>2</v>
      </c>
      <c r="I4734">
        <v>670</v>
      </c>
      <c r="J4734">
        <v>1</v>
      </c>
      <c r="K4734">
        <v>1</v>
      </c>
      <c r="L4734">
        <v>679</v>
      </c>
      <c r="M4734">
        <v>1</v>
      </c>
      <c r="N4734">
        <v>0</v>
      </c>
      <c r="O4734">
        <v>2898</v>
      </c>
    </row>
    <row r="4735" spans="1:15" x14ac:dyDescent="0.25">
      <c r="A4735" t="s">
        <v>4748</v>
      </c>
      <c r="B4735">
        <v>951</v>
      </c>
      <c r="C4735" s="1" t="str">
        <f>HYPERLINK("http://www.rosaceae.org/gb/gbrowse/malus_x_domestica/?name=MDP0000132856","MDP0000132856")</f>
        <v>MDP0000132856</v>
      </c>
      <c r="D4735">
        <v>70.989999999999995</v>
      </c>
      <c r="E4735">
        <v>993</v>
      </c>
      <c r="F4735">
        <v>288</v>
      </c>
      <c r="G4735">
        <v>55</v>
      </c>
      <c r="H4735">
        <v>1</v>
      </c>
      <c r="I4735">
        <v>949</v>
      </c>
      <c r="J4735">
        <v>1</v>
      </c>
      <c r="K4735">
        <v>1</v>
      </c>
      <c r="L4735">
        <v>982</v>
      </c>
      <c r="M4735">
        <v>1</v>
      </c>
      <c r="N4735">
        <v>0</v>
      </c>
      <c r="O4735">
        <v>3506</v>
      </c>
    </row>
    <row r="4736" spans="1:15" x14ac:dyDescent="0.25">
      <c r="A4736" t="s">
        <v>4749</v>
      </c>
      <c r="B4736">
        <v>565</v>
      </c>
      <c r="C4736" s="1" t="str">
        <f>HYPERLINK("http://www.rosaceae.org/gb/gbrowse/malus_x_domestica/?name=MDP0000319620","MDP0000319620")</f>
        <v>MDP0000319620</v>
      </c>
      <c r="D4736">
        <v>83.26</v>
      </c>
      <c r="E4736">
        <v>508</v>
      </c>
      <c r="F4736">
        <v>85</v>
      </c>
      <c r="G4736">
        <v>65</v>
      </c>
      <c r="H4736">
        <v>1</v>
      </c>
      <c r="I4736">
        <v>494</v>
      </c>
      <c r="J4736">
        <v>1</v>
      </c>
      <c r="K4736">
        <v>1</v>
      </c>
      <c r="L4736">
        <v>457</v>
      </c>
      <c r="M4736">
        <v>1</v>
      </c>
      <c r="N4736">
        <v>0</v>
      </c>
      <c r="O4736">
        <v>2143</v>
      </c>
    </row>
    <row r="4737" spans="1:15" x14ac:dyDescent="0.25">
      <c r="A4737" t="s">
        <v>4750</v>
      </c>
      <c r="B4737">
        <v>407</v>
      </c>
      <c r="C4737" s="1" t="str">
        <f>HYPERLINK("http://www.rosaceae.org/gb/gbrowse/malus_x_domestica/?name=MDP0000165726","MDP0000165726")</f>
        <v>MDP0000165726</v>
      </c>
      <c r="D4737">
        <v>69.92</v>
      </c>
      <c r="E4737">
        <v>409</v>
      </c>
      <c r="F4737">
        <v>123</v>
      </c>
      <c r="G4737">
        <v>18</v>
      </c>
      <c r="H4737">
        <v>1</v>
      </c>
      <c r="I4737">
        <v>402</v>
      </c>
      <c r="J4737">
        <v>1</v>
      </c>
      <c r="K4737">
        <v>1</v>
      </c>
      <c r="L4737">
        <v>398</v>
      </c>
      <c r="M4737">
        <v>1</v>
      </c>
      <c r="N4737">
        <v>1.67102E-158</v>
      </c>
      <c r="O4737">
        <v>1432</v>
      </c>
    </row>
    <row r="4738" spans="1:15" x14ac:dyDescent="0.25">
      <c r="A4738" t="s">
        <v>4751</v>
      </c>
      <c r="B4738">
        <v>292</v>
      </c>
      <c r="C4738" s="1" t="str">
        <f>HYPERLINK("http://www.rosaceae.org/gb/gbrowse/malus_x_domestica/?name=MDP0000159868","MDP0000159868")</f>
        <v>MDP0000159868</v>
      </c>
      <c r="D4738">
        <v>68.84</v>
      </c>
      <c r="E4738">
        <v>321</v>
      </c>
      <c r="F4738">
        <v>100</v>
      </c>
      <c r="G4738">
        <v>35</v>
      </c>
      <c r="H4738">
        <v>1</v>
      </c>
      <c r="I4738">
        <v>292</v>
      </c>
      <c r="J4738">
        <v>1</v>
      </c>
      <c r="K4738">
        <v>1</v>
      </c>
      <c r="L4738">
        <v>315</v>
      </c>
      <c r="M4738">
        <v>1</v>
      </c>
      <c r="N4738">
        <v>9.47708E-117</v>
      </c>
      <c r="O4738">
        <v>1071</v>
      </c>
    </row>
    <row r="4739" spans="1:15" x14ac:dyDescent="0.25">
      <c r="A4739" t="s">
        <v>4752</v>
      </c>
      <c r="B4739">
        <v>673</v>
      </c>
      <c r="C4739" s="1" t="str">
        <f>HYPERLINK("http://www.rosaceae.org/gb/gbrowse/malus_x_domestica/?name=MDP0000045645","MDP0000045645")</f>
        <v>MDP0000045645</v>
      </c>
      <c r="D4739">
        <v>78.930000000000007</v>
      </c>
      <c r="E4739">
        <v>674</v>
      </c>
      <c r="F4739">
        <v>142</v>
      </c>
      <c r="G4739">
        <v>16</v>
      </c>
      <c r="H4739">
        <v>1</v>
      </c>
      <c r="I4739">
        <v>670</v>
      </c>
      <c r="J4739">
        <v>1</v>
      </c>
      <c r="K4739">
        <v>1</v>
      </c>
      <c r="L4739">
        <v>662</v>
      </c>
      <c r="M4739">
        <v>1</v>
      </c>
      <c r="N4739">
        <v>0</v>
      </c>
      <c r="O4739">
        <v>2950</v>
      </c>
    </row>
    <row r="4740" spans="1:15" x14ac:dyDescent="0.25">
      <c r="A4740" t="s">
        <v>4753</v>
      </c>
      <c r="B4740">
        <v>265</v>
      </c>
      <c r="C4740" s="1" t="str">
        <f>HYPERLINK("http://www.rosaceae.org/gb/gbrowse/malus_x_domestica/?name=MDP0000274883","MDP0000274883")</f>
        <v>MDP0000274883</v>
      </c>
      <c r="D4740">
        <v>44.44</v>
      </c>
      <c r="E4740">
        <v>288</v>
      </c>
      <c r="F4740">
        <v>160</v>
      </c>
      <c r="G4740">
        <v>34</v>
      </c>
      <c r="H4740">
        <v>1</v>
      </c>
      <c r="I4740">
        <v>263</v>
      </c>
      <c r="J4740">
        <v>1</v>
      </c>
      <c r="K4740">
        <v>537</v>
      </c>
      <c r="L4740">
        <v>815</v>
      </c>
      <c r="M4740">
        <v>1</v>
      </c>
      <c r="N4740">
        <v>8.7838100000000003E-54</v>
      </c>
      <c r="O4740">
        <v>527</v>
      </c>
    </row>
    <row r="4741" spans="1:15" x14ac:dyDescent="0.25">
      <c r="A4741" t="s">
        <v>4754</v>
      </c>
      <c r="B4741">
        <v>599</v>
      </c>
      <c r="C4741" s="1" t="str">
        <f>HYPERLINK("http://www.rosaceae.org/gb/gbrowse/malus_x_domestica/?name=MDP0000258801","MDP0000258801")</f>
        <v>MDP0000258801</v>
      </c>
      <c r="D4741">
        <v>59.1</v>
      </c>
      <c r="E4741">
        <v>648</v>
      </c>
      <c r="F4741">
        <v>265</v>
      </c>
      <c r="G4741">
        <v>65</v>
      </c>
      <c r="H4741">
        <v>1</v>
      </c>
      <c r="I4741">
        <v>586</v>
      </c>
      <c r="J4741">
        <v>1</v>
      </c>
      <c r="K4741">
        <v>142</v>
      </c>
      <c r="L4741">
        <v>786</v>
      </c>
      <c r="M4741">
        <v>1</v>
      </c>
      <c r="N4741">
        <v>0</v>
      </c>
      <c r="O4741">
        <v>1748</v>
      </c>
    </row>
    <row r="4742" spans="1:15" x14ac:dyDescent="0.25">
      <c r="A4742" t="s">
        <v>4755</v>
      </c>
      <c r="B4742">
        <v>307</v>
      </c>
      <c r="C4742" s="1" t="str">
        <f>HYPERLINK("http://www.rosaceae.org/gb/gbrowse/malus_x_domestica/?name=MDP0000815541","MDP0000815541")</f>
        <v>MDP0000815541</v>
      </c>
      <c r="D4742">
        <v>80.849999999999994</v>
      </c>
      <c r="E4742">
        <v>94</v>
      </c>
      <c r="F4742">
        <v>18</v>
      </c>
      <c r="G4742">
        <v>1</v>
      </c>
      <c r="H4742">
        <v>215</v>
      </c>
      <c r="I4742">
        <v>307</v>
      </c>
      <c r="J4742">
        <v>1</v>
      </c>
      <c r="K4742">
        <v>17</v>
      </c>
      <c r="L4742">
        <v>110</v>
      </c>
      <c r="M4742">
        <v>1</v>
      </c>
      <c r="N4742">
        <v>9.0040499999999996E-39</v>
      </c>
      <c r="O4742">
        <v>398</v>
      </c>
    </row>
    <row r="4743" spans="1:15" x14ac:dyDescent="0.25">
      <c r="A4743" t="s">
        <v>4756</v>
      </c>
      <c r="B4743">
        <v>349</v>
      </c>
      <c r="C4743" s="1" t="str">
        <f>HYPERLINK("http://www.rosaceae.org/gb/gbrowse/malus_x_domestica/?name=MDP0000291748","MDP0000291748")</f>
        <v>MDP0000291748</v>
      </c>
      <c r="D4743">
        <v>66.569999999999993</v>
      </c>
      <c r="E4743">
        <v>356</v>
      </c>
      <c r="F4743">
        <v>119</v>
      </c>
      <c r="G4743">
        <v>10</v>
      </c>
      <c r="H4743">
        <v>1</v>
      </c>
      <c r="I4743">
        <v>347</v>
      </c>
      <c r="J4743">
        <v>1</v>
      </c>
      <c r="K4743">
        <v>1</v>
      </c>
      <c r="L4743">
        <v>355</v>
      </c>
      <c r="M4743">
        <v>1</v>
      </c>
      <c r="N4743">
        <v>3.8944200000000003E-124</v>
      </c>
      <c r="O4743">
        <v>1135</v>
      </c>
    </row>
    <row r="4744" spans="1:15" x14ac:dyDescent="0.25">
      <c r="A4744" t="s">
        <v>4757</v>
      </c>
      <c r="B4744">
        <v>971</v>
      </c>
      <c r="C4744" s="1" t="str">
        <f>HYPERLINK("http://www.rosaceae.org/gb/gbrowse/malus_x_domestica/?name=MDP0000138501","MDP0000138501")</f>
        <v>MDP0000138501</v>
      </c>
      <c r="D4744">
        <v>64.599999999999994</v>
      </c>
      <c r="E4744">
        <v>743</v>
      </c>
      <c r="F4744">
        <v>263</v>
      </c>
      <c r="G4744">
        <v>56</v>
      </c>
      <c r="H4744">
        <v>107</v>
      </c>
      <c r="I4744">
        <v>795</v>
      </c>
      <c r="J4744">
        <v>1</v>
      </c>
      <c r="K4744">
        <v>242</v>
      </c>
      <c r="L4744">
        <v>982</v>
      </c>
      <c r="M4744">
        <v>1</v>
      </c>
      <c r="N4744">
        <v>0</v>
      </c>
      <c r="O4744">
        <v>2434</v>
      </c>
    </row>
    <row r="4745" spans="1:15" x14ac:dyDescent="0.25">
      <c r="A4745" t="s">
        <v>4758</v>
      </c>
      <c r="B4745">
        <v>650</v>
      </c>
      <c r="C4745" s="1" t="str">
        <f>HYPERLINK("http://www.rosaceae.org/gb/gbrowse/malus_x_domestica/?name=MDP0000854208","MDP0000854208")</f>
        <v>MDP0000854208</v>
      </c>
      <c r="D4745">
        <v>86.42</v>
      </c>
      <c r="E4745">
        <v>619</v>
      </c>
      <c r="F4745">
        <v>84</v>
      </c>
      <c r="G4745">
        <v>11</v>
      </c>
      <c r="H4745">
        <v>32</v>
      </c>
      <c r="I4745">
        <v>650</v>
      </c>
      <c r="J4745">
        <v>1</v>
      </c>
      <c r="K4745">
        <v>7</v>
      </c>
      <c r="L4745">
        <v>614</v>
      </c>
      <c r="M4745">
        <v>1</v>
      </c>
      <c r="N4745">
        <v>0</v>
      </c>
      <c r="O4745">
        <v>2836</v>
      </c>
    </row>
    <row r="4746" spans="1:15" x14ac:dyDescent="0.25">
      <c r="A4746" t="s">
        <v>4759</v>
      </c>
      <c r="B4746">
        <v>517</v>
      </c>
      <c r="C4746" s="1" t="str">
        <f>HYPERLINK("http://www.rosaceae.org/gb/gbrowse/malus_x_domestica/?name=MDP0000261125","MDP0000261125")</f>
        <v>MDP0000261125</v>
      </c>
      <c r="D4746">
        <v>80.040000000000006</v>
      </c>
      <c r="E4746">
        <v>496</v>
      </c>
      <c r="F4746">
        <v>99</v>
      </c>
      <c r="G4746">
        <v>0</v>
      </c>
      <c r="H4746">
        <v>1</v>
      </c>
      <c r="I4746">
        <v>496</v>
      </c>
      <c r="J4746">
        <v>1</v>
      </c>
      <c r="K4746">
        <v>34</v>
      </c>
      <c r="L4746">
        <v>529</v>
      </c>
      <c r="M4746">
        <v>1</v>
      </c>
      <c r="N4746">
        <v>0</v>
      </c>
      <c r="O4746">
        <v>2178</v>
      </c>
    </row>
    <row r="4747" spans="1:15" x14ac:dyDescent="0.25">
      <c r="A4747" t="s">
        <v>4760</v>
      </c>
      <c r="B4747">
        <v>284</v>
      </c>
      <c r="C4747" s="1" t="str">
        <f>HYPERLINK("http://www.rosaceae.org/gb/gbrowse/malus_x_domestica/?name=MDP0000542944","MDP0000542944")</f>
        <v>MDP0000542944</v>
      </c>
      <c r="D4747">
        <v>90.24</v>
      </c>
      <c r="E4747">
        <v>82</v>
      </c>
      <c r="F4747">
        <v>8</v>
      </c>
      <c r="G4747">
        <v>0</v>
      </c>
      <c r="H4747">
        <v>1</v>
      </c>
      <c r="I4747">
        <v>82</v>
      </c>
      <c r="J4747">
        <v>1</v>
      </c>
      <c r="K4747">
        <v>104</v>
      </c>
      <c r="L4747">
        <v>185</v>
      </c>
      <c r="M4747">
        <v>1</v>
      </c>
      <c r="N4747">
        <v>2.42695E-36</v>
      </c>
      <c r="O4747">
        <v>377</v>
      </c>
    </row>
    <row r="4748" spans="1:15" x14ac:dyDescent="0.25">
      <c r="A4748" t="s">
        <v>4761</v>
      </c>
      <c r="B4748">
        <v>341</v>
      </c>
      <c r="C4748" s="1" t="str">
        <f>HYPERLINK("http://www.rosaceae.org/gb/gbrowse/malus_x_domestica/?name=MDP0000543445","MDP0000543445")</f>
        <v>MDP0000543445</v>
      </c>
      <c r="D4748">
        <v>41.04</v>
      </c>
      <c r="E4748">
        <v>363</v>
      </c>
      <c r="F4748">
        <v>214</v>
      </c>
      <c r="G4748">
        <v>51</v>
      </c>
      <c r="H4748">
        <v>2</v>
      </c>
      <c r="I4748">
        <v>313</v>
      </c>
      <c r="J4748">
        <v>1</v>
      </c>
      <c r="K4748">
        <v>32</v>
      </c>
      <c r="L4748">
        <v>394</v>
      </c>
      <c r="M4748">
        <v>1</v>
      </c>
      <c r="N4748">
        <v>3.2489000000000001E-59</v>
      </c>
      <c r="O4748">
        <v>575</v>
      </c>
    </row>
    <row r="4749" spans="1:15" x14ac:dyDescent="0.25">
      <c r="A4749" t="s">
        <v>4762</v>
      </c>
      <c r="B4749">
        <v>391</v>
      </c>
      <c r="C4749" s="1" t="str">
        <f>HYPERLINK("http://www.rosaceae.org/gb/gbrowse/malus_x_domestica/?name=MDP0000792734","MDP0000792734")</f>
        <v>MDP0000792734</v>
      </c>
      <c r="D4749">
        <v>66.239999999999995</v>
      </c>
      <c r="E4749">
        <v>391</v>
      </c>
      <c r="F4749">
        <v>132</v>
      </c>
      <c r="G4749">
        <v>5</v>
      </c>
      <c r="H4749">
        <v>5</v>
      </c>
      <c r="I4749">
        <v>391</v>
      </c>
      <c r="J4749">
        <v>1</v>
      </c>
      <c r="K4749">
        <v>14</v>
      </c>
      <c r="L4749">
        <v>403</v>
      </c>
      <c r="M4749">
        <v>1</v>
      </c>
      <c r="N4749">
        <v>2.9372599999999999E-150</v>
      </c>
      <c r="O4749">
        <v>1361</v>
      </c>
    </row>
    <row r="4750" spans="1:15" x14ac:dyDescent="0.25">
      <c r="A4750" t="s">
        <v>4763</v>
      </c>
      <c r="B4750">
        <v>354</v>
      </c>
      <c r="C4750" s="1" t="str">
        <f>HYPERLINK("http://www.rosaceae.org/gb/gbrowse/malus_x_domestica/?name=MDP0000189368","MDP0000189368")</f>
        <v>MDP0000189368</v>
      </c>
      <c r="D4750">
        <v>70.67</v>
      </c>
      <c r="E4750">
        <v>283</v>
      </c>
      <c r="F4750">
        <v>83</v>
      </c>
      <c r="G4750">
        <v>5</v>
      </c>
      <c r="H4750">
        <v>22</v>
      </c>
      <c r="I4750">
        <v>299</v>
      </c>
      <c r="J4750">
        <v>1</v>
      </c>
      <c r="K4750">
        <v>7</v>
      </c>
      <c r="L4750">
        <v>289</v>
      </c>
      <c r="M4750">
        <v>1</v>
      </c>
      <c r="N4750">
        <v>1.6079200000000001E-110</v>
      </c>
      <c r="O4750">
        <v>1018</v>
      </c>
    </row>
    <row r="4751" spans="1:15" x14ac:dyDescent="0.25">
      <c r="A4751" t="s">
        <v>4764</v>
      </c>
      <c r="B4751">
        <v>333</v>
      </c>
      <c r="C4751" s="1" t="str">
        <f>HYPERLINK("http://www.rosaceae.org/gb/gbrowse/malus_x_domestica/?name=MDP0000164384","MDP0000164384")</f>
        <v>MDP0000164384</v>
      </c>
      <c r="D4751">
        <v>86.5</v>
      </c>
      <c r="E4751">
        <v>252</v>
      </c>
      <c r="F4751">
        <v>34</v>
      </c>
      <c r="G4751">
        <v>5</v>
      </c>
      <c r="H4751">
        <v>86</v>
      </c>
      <c r="I4751">
        <v>333</v>
      </c>
      <c r="J4751">
        <v>1</v>
      </c>
      <c r="K4751">
        <v>4</v>
      </c>
      <c r="L4751">
        <v>254</v>
      </c>
      <c r="M4751">
        <v>1</v>
      </c>
      <c r="N4751">
        <v>2.8817099999999998E-124</v>
      </c>
      <c r="O4751">
        <v>1136</v>
      </c>
    </row>
    <row r="4752" spans="1:15" x14ac:dyDescent="0.25">
      <c r="A4752" t="s">
        <v>4765</v>
      </c>
      <c r="B4752">
        <v>543</v>
      </c>
      <c r="C4752" s="1" t="str">
        <f>HYPERLINK("http://www.rosaceae.org/gb/gbrowse/malus_x_domestica/?name=MDP0000173449","MDP0000173449")</f>
        <v>MDP0000173449</v>
      </c>
      <c r="D4752">
        <v>70.150000000000006</v>
      </c>
      <c r="E4752">
        <v>583</v>
      </c>
      <c r="F4752">
        <v>174</v>
      </c>
      <c r="G4752">
        <v>44</v>
      </c>
      <c r="H4752">
        <v>4</v>
      </c>
      <c r="I4752">
        <v>543</v>
      </c>
      <c r="J4752">
        <v>1</v>
      </c>
      <c r="K4752">
        <v>2</v>
      </c>
      <c r="L4752">
        <v>583</v>
      </c>
      <c r="M4752">
        <v>1</v>
      </c>
      <c r="N4752">
        <v>0</v>
      </c>
      <c r="O4752">
        <v>2052</v>
      </c>
    </row>
    <row r="4753" spans="1:15" x14ac:dyDescent="0.25">
      <c r="A4753" t="s">
        <v>4766</v>
      </c>
      <c r="B4753">
        <v>421</v>
      </c>
      <c r="C4753" s="1" t="str">
        <f>HYPERLINK("http://www.rosaceae.org/gb/gbrowse/malus_x_domestica/?name=MDP0000304623","MDP0000304623")</f>
        <v>MDP0000304623</v>
      </c>
      <c r="D4753">
        <v>62.16</v>
      </c>
      <c r="E4753">
        <v>111</v>
      </c>
      <c r="F4753">
        <v>42</v>
      </c>
      <c r="G4753">
        <v>14</v>
      </c>
      <c r="H4753">
        <v>168</v>
      </c>
      <c r="I4753">
        <v>264</v>
      </c>
      <c r="J4753">
        <v>1</v>
      </c>
      <c r="K4753">
        <v>195</v>
      </c>
      <c r="L4753">
        <v>305</v>
      </c>
      <c r="M4753">
        <v>1</v>
      </c>
      <c r="N4753">
        <v>5.5482899999999999E-32</v>
      </c>
      <c r="O4753">
        <v>341</v>
      </c>
    </row>
    <row r="4754" spans="1:15" x14ac:dyDescent="0.25">
      <c r="A4754" t="s">
        <v>4767</v>
      </c>
      <c r="B4754">
        <v>248</v>
      </c>
      <c r="C4754" s="1" t="str">
        <f>HYPERLINK("http://www.rosaceae.org/gb/gbrowse/malus_x_domestica/?name=MDP0000195482","MDP0000195482")</f>
        <v>MDP0000195482</v>
      </c>
      <c r="D4754">
        <v>66.86</v>
      </c>
      <c r="E4754">
        <v>172</v>
      </c>
      <c r="F4754">
        <v>57</v>
      </c>
      <c r="G4754">
        <v>36</v>
      </c>
      <c r="H4754">
        <v>1</v>
      </c>
      <c r="I4754">
        <v>160</v>
      </c>
      <c r="J4754">
        <v>1</v>
      </c>
      <c r="K4754">
        <v>1</v>
      </c>
      <c r="L4754">
        <v>148</v>
      </c>
      <c r="M4754">
        <v>1</v>
      </c>
      <c r="N4754">
        <v>1.6979099999999998E-55</v>
      </c>
      <c r="O4754">
        <v>541</v>
      </c>
    </row>
    <row r="4755" spans="1:15" x14ac:dyDescent="0.25">
      <c r="A4755" t="s">
        <v>4768</v>
      </c>
      <c r="B4755">
        <v>738</v>
      </c>
      <c r="C4755" s="1" t="str">
        <f>HYPERLINK("http://www.rosaceae.org/gb/gbrowse/malus_x_domestica/?name=MDP0000315917","MDP0000315917")</f>
        <v>MDP0000315917</v>
      </c>
      <c r="D4755">
        <v>71.540000000000006</v>
      </c>
      <c r="E4755">
        <v>731</v>
      </c>
      <c r="F4755">
        <v>208</v>
      </c>
      <c r="G4755">
        <v>24</v>
      </c>
      <c r="H4755">
        <v>31</v>
      </c>
      <c r="I4755">
        <v>738</v>
      </c>
      <c r="J4755">
        <v>1</v>
      </c>
      <c r="K4755">
        <v>102</v>
      </c>
      <c r="L4755">
        <v>831</v>
      </c>
      <c r="M4755">
        <v>1</v>
      </c>
      <c r="N4755">
        <v>0</v>
      </c>
      <c r="O4755">
        <v>2597</v>
      </c>
    </row>
    <row r="4756" spans="1:15" x14ac:dyDescent="0.25">
      <c r="A4756" t="s">
        <v>4769</v>
      </c>
      <c r="B4756">
        <v>463</v>
      </c>
      <c r="C4756" s="1" t="str">
        <f>HYPERLINK("http://www.rosaceae.org/gb/gbrowse/malus_x_domestica/?name=MDP0000870956","MDP0000870956")</f>
        <v>MDP0000870956</v>
      </c>
      <c r="D4756">
        <v>54.25</v>
      </c>
      <c r="E4756">
        <v>400</v>
      </c>
      <c r="F4756">
        <v>183</v>
      </c>
      <c r="G4756">
        <v>27</v>
      </c>
      <c r="H4756">
        <v>49</v>
      </c>
      <c r="I4756">
        <v>425</v>
      </c>
      <c r="J4756">
        <v>1</v>
      </c>
      <c r="K4756">
        <v>21</v>
      </c>
      <c r="L4756">
        <v>416</v>
      </c>
      <c r="M4756">
        <v>1</v>
      </c>
      <c r="N4756">
        <v>1.21822E-116</v>
      </c>
      <c r="O4756">
        <v>1072</v>
      </c>
    </row>
    <row r="4757" spans="1:15" x14ac:dyDescent="0.25">
      <c r="A4757" t="s">
        <v>4770</v>
      </c>
      <c r="B4757">
        <v>46</v>
      </c>
      <c r="C4757" s="1" t="str">
        <f>HYPERLINK("http://www.rosaceae.org/gb/gbrowse/malus_x_domestica/?name=MDP0000555752","MDP0000555752")</f>
        <v>MDP0000555752</v>
      </c>
      <c r="D4757">
        <v>75.67</v>
      </c>
      <c r="E4757">
        <v>37</v>
      </c>
      <c r="F4757">
        <v>9</v>
      </c>
      <c r="G4757">
        <v>0</v>
      </c>
      <c r="H4757">
        <v>8</v>
      </c>
      <c r="I4757">
        <v>44</v>
      </c>
      <c r="J4757">
        <v>1</v>
      </c>
      <c r="K4757">
        <v>42</v>
      </c>
      <c r="L4757">
        <v>78</v>
      </c>
      <c r="M4757">
        <v>1</v>
      </c>
      <c r="N4757">
        <v>1.03991E-10</v>
      </c>
      <c r="O4757">
        <v>150</v>
      </c>
    </row>
    <row r="4758" spans="1:15" x14ac:dyDescent="0.25">
      <c r="A4758" t="s">
        <v>4771</v>
      </c>
      <c r="B4758">
        <v>454</v>
      </c>
      <c r="C4758" s="1" t="str">
        <f>HYPERLINK("http://www.rosaceae.org/gb/gbrowse/malus_x_domestica/?name=MDP0000371737","MDP0000371737")</f>
        <v>MDP0000371737</v>
      </c>
      <c r="D4758">
        <v>57.86</v>
      </c>
      <c r="E4758">
        <v>458</v>
      </c>
      <c r="F4758">
        <v>193</v>
      </c>
      <c r="G4758">
        <v>21</v>
      </c>
      <c r="H4758">
        <v>1</v>
      </c>
      <c r="I4758">
        <v>454</v>
      </c>
      <c r="J4758">
        <v>1</v>
      </c>
      <c r="K4758">
        <v>1</v>
      </c>
      <c r="L4758">
        <v>441</v>
      </c>
      <c r="M4758">
        <v>1</v>
      </c>
      <c r="N4758">
        <v>1.7559499999999998E-148</v>
      </c>
      <c r="O4758">
        <v>1347</v>
      </c>
    </row>
    <row r="4759" spans="1:15" x14ac:dyDescent="0.25">
      <c r="A4759" t="s">
        <v>4772</v>
      </c>
      <c r="B4759">
        <v>324</v>
      </c>
      <c r="C4759" s="1" t="str">
        <f>HYPERLINK("http://www.rosaceae.org/gb/gbrowse/malus_x_domestica/?name=MDP0000581417","MDP0000581417")</f>
        <v>MDP0000581417</v>
      </c>
      <c r="D4759">
        <v>74.28</v>
      </c>
      <c r="E4759">
        <v>245</v>
      </c>
      <c r="F4759">
        <v>63</v>
      </c>
      <c r="G4759">
        <v>0</v>
      </c>
      <c r="H4759">
        <v>40</v>
      </c>
      <c r="I4759">
        <v>284</v>
      </c>
      <c r="J4759">
        <v>1</v>
      </c>
      <c r="K4759">
        <v>476</v>
      </c>
      <c r="L4759">
        <v>720</v>
      </c>
      <c r="M4759">
        <v>1</v>
      </c>
      <c r="N4759">
        <v>1.1668500000000001E-111</v>
      </c>
      <c r="O4759">
        <v>1027</v>
      </c>
    </row>
    <row r="4760" spans="1:15" x14ac:dyDescent="0.25">
      <c r="A4760" t="s">
        <v>4773</v>
      </c>
      <c r="B4760">
        <v>615</v>
      </c>
      <c r="C4760" s="1" t="str">
        <f>HYPERLINK("http://www.rosaceae.org/gb/gbrowse/malus_x_domestica/?name=MDP0000220135","MDP0000220135")</f>
        <v>MDP0000220135</v>
      </c>
      <c r="D4760">
        <v>38.82</v>
      </c>
      <c r="E4760">
        <v>170</v>
      </c>
      <c r="F4760">
        <v>104</v>
      </c>
      <c r="G4760">
        <v>8</v>
      </c>
      <c r="H4760">
        <v>299</v>
      </c>
      <c r="I4760">
        <v>461</v>
      </c>
      <c r="J4760">
        <v>1</v>
      </c>
      <c r="K4760">
        <v>107</v>
      </c>
      <c r="L4760">
        <v>275</v>
      </c>
      <c r="M4760">
        <v>1</v>
      </c>
      <c r="N4760">
        <v>2.4415700000000001E-27</v>
      </c>
      <c r="O4760">
        <v>303</v>
      </c>
    </row>
    <row r="4761" spans="1:15" x14ac:dyDescent="0.25">
      <c r="A4761" t="s">
        <v>4774</v>
      </c>
      <c r="B4761">
        <v>156</v>
      </c>
      <c r="C4761" s="1" t="str">
        <f>HYPERLINK("http://www.rosaceae.org/gb/gbrowse/malus_x_domestica/?name=MDP0000242697","MDP0000242697")</f>
        <v>MDP0000242697</v>
      </c>
      <c r="D4761">
        <v>61.98</v>
      </c>
      <c r="E4761">
        <v>121</v>
      </c>
      <c r="F4761">
        <v>46</v>
      </c>
      <c r="G4761">
        <v>5</v>
      </c>
      <c r="H4761">
        <v>29</v>
      </c>
      <c r="I4761">
        <v>149</v>
      </c>
      <c r="J4761">
        <v>1</v>
      </c>
      <c r="K4761">
        <v>364</v>
      </c>
      <c r="L4761">
        <v>479</v>
      </c>
      <c r="M4761">
        <v>1</v>
      </c>
      <c r="N4761">
        <v>1.7240500000000001E-37</v>
      </c>
      <c r="O4761">
        <v>383</v>
      </c>
    </row>
    <row r="4762" spans="1:15" x14ac:dyDescent="0.25">
      <c r="A4762" t="s">
        <v>4775</v>
      </c>
      <c r="B4762">
        <v>453</v>
      </c>
      <c r="C4762" s="1" t="str">
        <f>HYPERLINK("http://www.rosaceae.org/gb/gbrowse/malus_x_domestica/?name=MDP0000870113","MDP0000870113")</f>
        <v>MDP0000870113</v>
      </c>
      <c r="D4762">
        <v>66.849999999999994</v>
      </c>
      <c r="E4762">
        <v>362</v>
      </c>
      <c r="F4762">
        <v>120</v>
      </c>
      <c r="G4762">
        <v>10</v>
      </c>
      <c r="H4762">
        <v>1</v>
      </c>
      <c r="I4762">
        <v>361</v>
      </c>
      <c r="J4762">
        <v>1</v>
      </c>
      <c r="K4762">
        <v>1</v>
      </c>
      <c r="L4762">
        <v>353</v>
      </c>
      <c r="M4762">
        <v>1</v>
      </c>
      <c r="N4762">
        <v>1.32455E-132</v>
      </c>
      <c r="O4762">
        <v>1210</v>
      </c>
    </row>
    <row r="4763" spans="1:15" x14ac:dyDescent="0.25">
      <c r="A4763" t="s">
        <v>4776</v>
      </c>
      <c r="B4763">
        <v>320</v>
      </c>
      <c r="C4763" s="1" t="str">
        <f>HYPERLINK("http://www.rosaceae.org/gb/gbrowse/malus_x_domestica/?name=MDP0000273211","MDP0000273211")</f>
        <v>MDP0000273211</v>
      </c>
      <c r="D4763">
        <v>72.69</v>
      </c>
      <c r="E4763">
        <v>315</v>
      </c>
      <c r="F4763">
        <v>86</v>
      </c>
      <c r="G4763">
        <v>7</v>
      </c>
      <c r="H4763">
        <v>1</v>
      </c>
      <c r="I4763">
        <v>313</v>
      </c>
      <c r="J4763">
        <v>1</v>
      </c>
      <c r="K4763">
        <v>1</v>
      </c>
      <c r="L4763">
        <v>310</v>
      </c>
      <c r="M4763">
        <v>1</v>
      </c>
      <c r="N4763">
        <v>7.0914700000000005E-126</v>
      </c>
      <c r="O4763">
        <v>1150</v>
      </c>
    </row>
    <row r="4764" spans="1:15" x14ac:dyDescent="0.25">
      <c r="A4764" t="s">
        <v>4777</v>
      </c>
      <c r="B4764">
        <v>916</v>
      </c>
      <c r="C4764" s="1" t="str">
        <f>HYPERLINK("http://www.rosaceae.org/gb/gbrowse/malus_x_domestica/?name=MDP0000274485","MDP0000274485")</f>
        <v>MDP0000274485</v>
      </c>
      <c r="D4764">
        <v>36.840000000000003</v>
      </c>
      <c r="E4764">
        <v>114</v>
      </c>
      <c r="F4764">
        <v>72</v>
      </c>
      <c r="G4764">
        <v>0</v>
      </c>
      <c r="H4764">
        <v>760</v>
      </c>
      <c r="I4764">
        <v>873</v>
      </c>
      <c r="J4764">
        <v>1</v>
      </c>
      <c r="K4764">
        <v>25</v>
      </c>
      <c r="L4764">
        <v>138</v>
      </c>
      <c r="M4764">
        <v>1</v>
      </c>
      <c r="N4764">
        <v>6.1663199999999999E-12</v>
      </c>
      <c r="O4764">
        <v>172</v>
      </c>
    </row>
    <row r="4765" spans="1:15" x14ac:dyDescent="0.25">
      <c r="A4765" t="s">
        <v>4778</v>
      </c>
      <c r="B4765">
        <v>399</v>
      </c>
      <c r="C4765" s="1" t="str">
        <f>HYPERLINK("http://www.rosaceae.org/gb/gbrowse/malus_x_domestica/?name=MDP0000296526","MDP0000296526")</f>
        <v>MDP0000296526</v>
      </c>
      <c r="D4765">
        <v>63.52</v>
      </c>
      <c r="E4765">
        <v>425</v>
      </c>
      <c r="F4765">
        <v>155</v>
      </c>
      <c r="G4765">
        <v>95</v>
      </c>
      <c r="H4765">
        <v>1</v>
      </c>
      <c r="I4765">
        <v>399</v>
      </c>
      <c r="J4765">
        <v>1</v>
      </c>
      <c r="K4765">
        <v>31</v>
      </c>
      <c r="L4765">
        <v>386</v>
      </c>
      <c r="M4765">
        <v>1</v>
      </c>
      <c r="N4765">
        <v>7.0337100000000004E-144</v>
      </c>
      <c r="O4765">
        <v>1306</v>
      </c>
    </row>
    <row r="4766" spans="1:15" x14ac:dyDescent="0.25">
      <c r="A4766" t="s">
        <v>4779</v>
      </c>
      <c r="B4766">
        <v>1093</v>
      </c>
      <c r="C4766" s="1" t="str">
        <f>HYPERLINK("http://www.rosaceae.org/gb/gbrowse/malus_x_domestica/?name=MDP0000264307","MDP0000264307")</f>
        <v>MDP0000264307</v>
      </c>
      <c r="D4766">
        <v>71.41</v>
      </c>
      <c r="E4766">
        <v>1151</v>
      </c>
      <c r="F4766">
        <v>329</v>
      </c>
      <c r="G4766">
        <v>120</v>
      </c>
      <c r="H4766">
        <v>1</v>
      </c>
      <c r="I4766">
        <v>1093</v>
      </c>
      <c r="J4766">
        <v>1</v>
      </c>
      <c r="K4766">
        <v>1</v>
      </c>
      <c r="L4766">
        <v>1089</v>
      </c>
      <c r="M4766">
        <v>1</v>
      </c>
      <c r="N4766">
        <v>0</v>
      </c>
      <c r="O4766">
        <v>4130</v>
      </c>
    </row>
    <row r="4767" spans="1:15" x14ac:dyDescent="0.25">
      <c r="A4767" t="s">
        <v>4780</v>
      </c>
      <c r="B4767">
        <v>153</v>
      </c>
      <c r="C4767" s="1" t="str">
        <f>HYPERLINK("http://www.rosaceae.org/gb/gbrowse/malus_x_domestica/?name=MDP0000923330","MDP0000923330")</f>
        <v>MDP0000923330</v>
      </c>
      <c r="D4767">
        <v>84.76</v>
      </c>
      <c r="E4767">
        <v>151</v>
      </c>
      <c r="F4767">
        <v>23</v>
      </c>
      <c r="G4767">
        <v>1</v>
      </c>
      <c r="H4767">
        <v>3</v>
      </c>
      <c r="I4767">
        <v>152</v>
      </c>
      <c r="J4767">
        <v>1</v>
      </c>
      <c r="K4767">
        <v>7</v>
      </c>
      <c r="L4767">
        <v>157</v>
      </c>
      <c r="M4767">
        <v>1</v>
      </c>
      <c r="N4767">
        <v>7.4406199999999994E-71</v>
      </c>
      <c r="O4767">
        <v>671</v>
      </c>
    </row>
    <row r="4768" spans="1:15" x14ac:dyDescent="0.25">
      <c r="A4768" t="s">
        <v>4781</v>
      </c>
      <c r="B4768">
        <v>390</v>
      </c>
      <c r="C4768" s="1" t="str">
        <f>HYPERLINK("http://www.rosaceae.org/gb/gbrowse/malus_x_domestica/?name=MDP0000291473","MDP0000291473")</f>
        <v>MDP0000291473</v>
      </c>
      <c r="D4768">
        <v>73.790000000000006</v>
      </c>
      <c r="E4768">
        <v>393</v>
      </c>
      <c r="F4768">
        <v>103</v>
      </c>
      <c r="G4768">
        <v>8</v>
      </c>
      <c r="H4768">
        <v>1</v>
      </c>
      <c r="I4768">
        <v>390</v>
      </c>
      <c r="J4768">
        <v>1</v>
      </c>
      <c r="K4768">
        <v>26</v>
      </c>
      <c r="L4768">
        <v>413</v>
      </c>
      <c r="M4768">
        <v>1</v>
      </c>
      <c r="N4768">
        <v>1.66483E-168</v>
      </c>
      <c r="O4768">
        <v>1518</v>
      </c>
    </row>
    <row r="4769" spans="1:15" x14ac:dyDescent="0.25">
      <c r="A4769" t="s">
        <v>4782</v>
      </c>
      <c r="B4769">
        <v>230</v>
      </c>
      <c r="C4769" s="1" t="str">
        <f>HYPERLINK("http://www.rosaceae.org/gb/gbrowse/malus_x_domestica/?name=MDP0000232179","MDP0000232179")</f>
        <v>MDP0000232179</v>
      </c>
      <c r="D4769">
        <v>69.19</v>
      </c>
      <c r="E4769">
        <v>237</v>
      </c>
      <c r="F4769">
        <v>73</v>
      </c>
      <c r="G4769">
        <v>12</v>
      </c>
      <c r="H4769">
        <v>1</v>
      </c>
      <c r="I4769">
        <v>230</v>
      </c>
      <c r="J4769">
        <v>1</v>
      </c>
      <c r="K4769">
        <v>1</v>
      </c>
      <c r="L4769">
        <v>232</v>
      </c>
      <c r="M4769">
        <v>1</v>
      </c>
      <c r="N4769">
        <v>1.7326299999999999E-92</v>
      </c>
      <c r="O4769">
        <v>860</v>
      </c>
    </row>
    <row r="4770" spans="1:15" x14ac:dyDescent="0.25">
      <c r="A4770" t="s">
        <v>4783</v>
      </c>
      <c r="B4770">
        <v>199</v>
      </c>
      <c r="C4770" s="1" t="str">
        <f>HYPERLINK("http://www.rosaceae.org/gb/gbrowse/malus_x_domestica/?name=MDP0000192308","MDP0000192308")</f>
        <v>MDP0000192308</v>
      </c>
      <c r="D4770">
        <v>47.58</v>
      </c>
      <c r="E4770">
        <v>124</v>
      </c>
      <c r="F4770">
        <v>65</v>
      </c>
      <c r="G4770">
        <v>4</v>
      </c>
      <c r="H4770">
        <v>46</v>
      </c>
      <c r="I4770">
        <v>166</v>
      </c>
      <c r="J4770">
        <v>1</v>
      </c>
      <c r="K4770">
        <v>475</v>
      </c>
      <c r="L4770">
        <v>597</v>
      </c>
      <c r="M4770">
        <v>1</v>
      </c>
      <c r="N4770">
        <v>5.4761000000000002E-26</v>
      </c>
      <c r="O4770">
        <v>286</v>
      </c>
    </row>
    <row r="4771" spans="1:15" x14ac:dyDescent="0.25">
      <c r="A4771" t="s">
        <v>4784</v>
      </c>
      <c r="B4771">
        <v>173</v>
      </c>
      <c r="C4771" s="1" t="str">
        <f>HYPERLINK("http://www.rosaceae.org/gb/gbrowse/malus_x_domestica/?name=MDP0000362168","MDP0000362168")</f>
        <v>MDP0000362168</v>
      </c>
      <c r="D4771">
        <v>94.69</v>
      </c>
      <c r="E4771">
        <v>113</v>
      </c>
      <c r="F4771">
        <v>6</v>
      </c>
      <c r="G4771">
        <v>0</v>
      </c>
      <c r="H4771">
        <v>61</v>
      </c>
      <c r="I4771">
        <v>173</v>
      </c>
      <c r="J4771">
        <v>1</v>
      </c>
      <c r="K4771">
        <v>1</v>
      </c>
      <c r="L4771">
        <v>113</v>
      </c>
      <c r="M4771">
        <v>1</v>
      </c>
      <c r="N4771">
        <v>3.2974500000000001E-59</v>
      </c>
      <c r="O4771">
        <v>571</v>
      </c>
    </row>
    <row r="4772" spans="1:15" x14ac:dyDescent="0.25">
      <c r="A4772" t="s">
        <v>4785</v>
      </c>
      <c r="B4772">
        <v>97</v>
      </c>
      <c r="C4772" s="1" t="str">
        <f>HYPERLINK("http://www.rosaceae.org/gb/gbrowse/malus_x_domestica/?name=MDP0000190008","MDP0000190008")</f>
        <v>MDP0000190008</v>
      </c>
      <c r="D4772">
        <v>90.72</v>
      </c>
      <c r="E4772">
        <v>97</v>
      </c>
      <c r="F4772">
        <v>9</v>
      </c>
      <c r="G4772">
        <v>0</v>
      </c>
      <c r="H4772">
        <v>1</v>
      </c>
      <c r="I4772">
        <v>97</v>
      </c>
      <c r="J4772">
        <v>1</v>
      </c>
      <c r="K4772">
        <v>1</v>
      </c>
      <c r="L4772">
        <v>97</v>
      </c>
      <c r="M4772">
        <v>1</v>
      </c>
      <c r="N4772">
        <v>1.08223E-45</v>
      </c>
      <c r="O4772">
        <v>451</v>
      </c>
    </row>
    <row r="4773" spans="1:15" x14ac:dyDescent="0.25">
      <c r="A4773" t="s">
        <v>4786</v>
      </c>
      <c r="B4773">
        <v>180</v>
      </c>
      <c r="C4773" s="1" t="str">
        <f>HYPERLINK("http://www.rosaceae.org/gb/gbrowse/malus_x_domestica/?name=MDP0000923711","MDP0000923711")</f>
        <v>MDP0000923711</v>
      </c>
      <c r="D4773">
        <v>68.66</v>
      </c>
      <c r="E4773">
        <v>150</v>
      </c>
      <c r="F4773">
        <v>47</v>
      </c>
      <c r="G4773">
        <v>1</v>
      </c>
      <c r="H4773">
        <v>30</v>
      </c>
      <c r="I4773">
        <v>179</v>
      </c>
      <c r="J4773">
        <v>1</v>
      </c>
      <c r="K4773">
        <v>22</v>
      </c>
      <c r="L4773">
        <v>170</v>
      </c>
      <c r="M4773">
        <v>1</v>
      </c>
      <c r="N4773">
        <v>1.39105E-59</v>
      </c>
      <c r="O4773">
        <v>575</v>
      </c>
    </row>
    <row r="4774" spans="1:15" x14ac:dyDescent="0.25">
      <c r="A4774" t="s">
        <v>4787</v>
      </c>
      <c r="B4774">
        <v>172</v>
      </c>
      <c r="C4774" s="1" t="str">
        <f>HYPERLINK("http://www.rosaceae.org/gb/gbrowse/malus_x_domestica/?name=MDP0000320561","MDP0000320561")</f>
        <v>MDP0000320561</v>
      </c>
      <c r="D4774">
        <v>27.94</v>
      </c>
      <c r="E4774">
        <v>136</v>
      </c>
      <c r="F4774">
        <v>98</v>
      </c>
      <c r="G4774">
        <v>16</v>
      </c>
      <c r="H4774">
        <v>4</v>
      </c>
      <c r="I4774">
        <v>124</v>
      </c>
      <c r="J4774">
        <v>1</v>
      </c>
      <c r="K4774">
        <v>3</v>
      </c>
      <c r="L4774">
        <v>137</v>
      </c>
      <c r="M4774">
        <v>1</v>
      </c>
      <c r="N4774">
        <v>2.0027600000000001E-7</v>
      </c>
      <c r="O4774">
        <v>125</v>
      </c>
    </row>
    <row r="4775" spans="1:15" x14ac:dyDescent="0.25">
      <c r="A4775" t="s">
        <v>4788</v>
      </c>
      <c r="B4775">
        <v>387</v>
      </c>
      <c r="C4775" s="1" t="str">
        <f>HYPERLINK("http://www.rosaceae.org/gb/gbrowse/malus_x_domestica/?name=MDP0000146469","MDP0000146469")</f>
        <v>MDP0000146469</v>
      </c>
      <c r="D4775">
        <v>47.21</v>
      </c>
      <c r="E4775">
        <v>269</v>
      </c>
      <c r="F4775">
        <v>142</v>
      </c>
      <c r="G4775">
        <v>29</v>
      </c>
      <c r="H4775">
        <v>69</v>
      </c>
      <c r="I4775">
        <v>332</v>
      </c>
      <c r="J4775">
        <v>1</v>
      </c>
      <c r="K4775">
        <v>1</v>
      </c>
      <c r="L4775">
        <v>245</v>
      </c>
      <c r="M4775">
        <v>1</v>
      </c>
      <c r="N4775">
        <v>4.2606699999999998E-56</v>
      </c>
      <c r="O4775">
        <v>549</v>
      </c>
    </row>
    <row r="4776" spans="1:15" x14ac:dyDescent="0.25">
      <c r="A4776" t="s">
        <v>4789</v>
      </c>
      <c r="B4776">
        <v>1155</v>
      </c>
      <c r="C4776" s="1" t="str">
        <f>HYPERLINK("http://www.rosaceae.org/gb/gbrowse/malus_x_domestica/?name=MDP0000261025","MDP0000261025")</f>
        <v>MDP0000261025</v>
      </c>
      <c r="D4776">
        <v>56.77</v>
      </c>
      <c r="E4776">
        <v>775</v>
      </c>
      <c r="F4776">
        <v>335</v>
      </c>
      <c r="G4776">
        <v>41</v>
      </c>
      <c r="H4776">
        <v>367</v>
      </c>
      <c r="I4776">
        <v>1118</v>
      </c>
      <c r="J4776">
        <v>1</v>
      </c>
      <c r="K4776">
        <v>250</v>
      </c>
      <c r="L4776">
        <v>1006</v>
      </c>
      <c r="M4776">
        <v>1</v>
      </c>
      <c r="N4776">
        <v>0</v>
      </c>
      <c r="O4776">
        <v>2011</v>
      </c>
    </row>
    <row r="4777" spans="1:15" x14ac:dyDescent="0.25">
      <c r="A4777" t="s">
        <v>4790</v>
      </c>
      <c r="B4777">
        <v>306</v>
      </c>
      <c r="C4777" s="1" t="str">
        <f>HYPERLINK("http://www.rosaceae.org/gb/gbrowse/malus_x_domestica/?name=MDP0000123418","MDP0000123418")</f>
        <v>MDP0000123418</v>
      </c>
      <c r="D4777">
        <v>65.45</v>
      </c>
      <c r="E4777">
        <v>110</v>
      </c>
      <c r="F4777">
        <v>38</v>
      </c>
      <c r="G4777">
        <v>0</v>
      </c>
      <c r="H4777">
        <v>172</v>
      </c>
      <c r="I4777">
        <v>281</v>
      </c>
      <c r="J4777">
        <v>1</v>
      </c>
      <c r="K4777">
        <v>74</v>
      </c>
      <c r="L4777">
        <v>183</v>
      </c>
      <c r="M4777">
        <v>1</v>
      </c>
      <c r="N4777">
        <v>9.1106799999999998E-39</v>
      </c>
      <c r="O4777">
        <v>398</v>
      </c>
    </row>
    <row r="4778" spans="1:15" x14ac:dyDescent="0.25">
      <c r="A4778" t="s">
        <v>4791</v>
      </c>
      <c r="B4778">
        <v>626</v>
      </c>
      <c r="C4778" s="1" t="str">
        <f>HYPERLINK("http://www.rosaceae.org/gb/gbrowse/malus_x_domestica/?name=MDP0000197497","MDP0000197497")</f>
        <v>MDP0000197497</v>
      </c>
      <c r="D4778">
        <v>54.03</v>
      </c>
      <c r="E4778">
        <v>607</v>
      </c>
      <c r="F4778">
        <v>279</v>
      </c>
      <c r="G4778">
        <v>45</v>
      </c>
      <c r="H4778">
        <v>3</v>
      </c>
      <c r="I4778">
        <v>571</v>
      </c>
      <c r="J4778">
        <v>1</v>
      </c>
      <c r="K4778">
        <v>6</v>
      </c>
      <c r="L4778">
        <v>605</v>
      </c>
      <c r="M4778">
        <v>1</v>
      </c>
      <c r="N4778">
        <v>1.1611300000000001E-170</v>
      </c>
      <c r="O4778">
        <v>1539</v>
      </c>
    </row>
    <row r="4779" spans="1:15" x14ac:dyDescent="0.25">
      <c r="A4779" t="s">
        <v>4792</v>
      </c>
      <c r="B4779">
        <v>118</v>
      </c>
      <c r="C4779" s="1" t="str">
        <f>HYPERLINK("http://www.rosaceae.org/gb/gbrowse/malus_x_domestica/?name=MDP0000150438","MDP0000150438")</f>
        <v>MDP0000150438</v>
      </c>
      <c r="D4779">
        <v>50.81</v>
      </c>
      <c r="E4779">
        <v>122</v>
      </c>
      <c r="F4779">
        <v>60</v>
      </c>
      <c r="G4779">
        <v>14</v>
      </c>
      <c r="H4779">
        <v>1</v>
      </c>
      <c r="I4779">
        <v>111</v>
      </c>
      <c r="J4779">
        <v>1</v>
      </c>
      <c r="K4779">
        <v>262</v>
      </c>
      <c r="L4779">
        <v>380</v>
      </c>
      <c r="M4779">
        <v>1</v>
      </c>
      <c r="N4779">
        <v>2.7737699999999998E-23</v>
      </c>
      <c r="O4779">
        <v>258</v>
      </c>
    </row>
    <row r="4780" spans="1:15" x14ac:dyDescent="0.25">
      <c r="A4780" t="s">
        <v>4793</v>
      </c>
      <c r="B4780">
        <v>194</v>
      </c>
      <c r="C4780" s="1" t="str">
        <f>HYPERLINK("http://www.rosaceae.org/gb/gbrowse/malus_x_domestica/?name=MDP0000611200","MDP0000611200")</f>
        <v>MDP0000611200</v>
      </c>
      <c r="D4780">
        <v>81.87</v>
      </c>
      <c r="E4780">
        <v>160</v>
      </c>
      <c r="F4780">
        <v>29</v>
      </c>
      <c r="G4780">
        <v>1</v>
      </c>
      <c r="H4780">
        <v>35</v>
      </c>
      <c r="I4780">
        <v>194</v>
      </c>
      <c r="J4780">
        <v>1</v>
      </c>
      <c r="K4780">
        <v>1</v>
      </c>
      <c r="L4780">
        <v>159</v>
      </c>
      <c r="M4780">
        <v>1</v>
      </c>
      <c r="N4780">
        <v>1.79546E-71</v>
      </c>
      <c r="O4780">
        <v>678</v>
      </c>
    </row>
    <row r="4781" spans="1:15" x14ac:dyDescent="0.25">
      <c r="A4781" t="s">
        <v>4794</v>
      </c>
      <c r="B4781">
        <v>1355</v>
      </c>
      <c r="C4781" s="1" t="str">
        <f>HYPERLINK("http://www.rosaceae.org/gb/gbrowse/malus_x_domestica/?name=MDP0000664357","MDP0000664357")</f>
        <v>MDP0000664357</v>
      </c>
      <c r="D4781">
        <v>30.44</v>
      </c>
      <c r="E4781">
        <v>1406</v>
      </c>
      <c r="F4781">
        <v>978</v>
      </c>
      <c r="G4781">
        <v>169</v>
      </c>
      <c r="H4781">
        <v>25</v>
      </c>
      <c r="I4781">
        <v>1348</v>
      </c>
      <c r="J4781">
        <v>1</v>
      </c>
      <c r="K4781">
        <v>40</v>
      </c>
      <c r="L4781">
        <v>1358</v>
      </c>
      <c r="M4781">
        <v>1</v>
      </c>
      <c r="N4781">
        <v>2.0992699999999999E-148</v>
      </c>
      <c r="O4781">
        <v>1350</v>
      </c>
    </row>
    <row r="4782" spans="1:15" x14ac:dyDescent="0.25">
      <c r="A4782" t="s">
        <v>4795</v>
      </c>
      <c r="B4782">
        <v>731</v>
      </c>
      <c r="C4782" s="1" t="str">
        <f>HYPERLINK("http://www.rosaceae.org/gb/gbrowse/malus_x_domestica/?name=MDP0000233110","MDP0000233110")</f>
        <v>MDP0000233110</v>
      </c>
      <c r="D4782">
        <v>68.510000000000005</v>
      </c>
      <c r="E4782">
        <v>756</v>
      </c>
      <c r="F4782">
        <v>238</v>
      </c>
      <c r="G4782">
        <v>42</v>
      </c>
      <c r="H4782">
        <v>1</v>
      </c>
      <c r="I4782">
        <v>727</v>
      </c>
      <c r="J4782">
        <v>1</v>
      </c>
      <c r="K4782">
        <v>1</v>
      </c>
      <c r="L4782">
        <v>743</v>
      </c>
      <c r="M4782">
        <v>1</v>
      </c>
      <c r="N4782">
        <v>0</v>
      </c>
      <c r="O4782">
        <v>2685</v>
      </c>
    </row>
    <row r="4783" spans="1:15" x14ac:dyDescent="0.25">
      <c r="A4783" t="s">
        <v>4796</v>
      </c>
      <c r="B4783">
        <v>249</v>
      </c>
      <c r="C4783" s="1" t="str">
        <f>HYPERLINK("http://www.rosaceae.org/gb/gbrowse/malus_x_domestica/?name=MDP0000150383","MDP0000150383")</f>
        <v>MDP0000150383</v>
      </c>
      <c r="D4783">
        <v>59.79</v>
      </c>
      <c r="E4783">
        <v>97</v>
      </c>
      <c r="F4783">
        <v>39</v>
      </c>
      <c r="G4783">
        <v>0</v>
      </c>
      <c r="H4783">
        <v>3</v>
      </c>
      <c r="I4783">
        <v>99</v>
      </c>
      <c r="J4783">
        <v>1</v>
      </c>
      <c r="K4783">
        <v>4</v>
      </c>
      <c r="L4783">
        <v>100</v>
      </c>
      <c r="M4783">
        <v>1</v>
      </c>
      <c r="N4783">
        <v>2.59234E-29</v>
      </c>
      <c r="O4783">
        <v>316</v>
      </c>
    </row>
    <row r="4784" spans="1:15" x14ac:dyDescent="0.25">
      <c r="A4784" t="s">
        <v>4797</v>
      </c>
      <c r="B4784">
        <v>316</v>
      </c>
      <c r="C4784" s="1" t="str">
        <f>HYPERLINK("http://www.rosaceae.org/gb/gbrowse/malus_x_domestica/?name=MDP0000184887","MDP0000184887")</f>
        <v>MDP0000184887</v>
      </c>
      <c r="D4784">
        <v>64.010000000000005</v>
      </c>
      <c r="E4784">
        <v>239</v>
      </c>
      <c r="F4784">
        <v>86</v>
      </c>
      <c r="G4784">
        <v>27</v>
      </c>
      <c r="H4784">
        <v>13</v>
      </c>
      <c r="I4784">
        <v>236</v>
      </c>
      <c r="J4784">
        <v>1</v>
      </c>
      <c r="K4784">
        <v>29</v>
      </c>
      <c r="L4784">
        <v>255</v>
      </c>
      <c r="M4784">
        <v>1</v>
      </c>
      <c r="N4784">
        <v>2.2362199999999998E-71</v>
      </c>
      <c r="O4784">
        <v>680</v>
      </c>
    </row>
    <row r="4785" spans="1:15" x14ac:dyDescent="0.25">
      <c r="A4785" t="s">
        <v>4798</v>
      </c>
      <c r="B4785">
        <v>339</v>
      </c>
      <c r="C4785" s="1" t="str">
        <f>HYPERLINK("http://www.rosaceae.org/gb/gbrowse/malus_x_domestica/?name=MDP0000321089","MDP0000321089")</f>
        <v>MDP0000321089</v>
      </c>
      <c r="D4785">
        <v>71.42</v>
      </c>
      <c r="E4785">
        <v>56</v>
      </c>
      <c r="F4785">
        <v>16</v>
      </c>
      <c r="G4785">
        <v>0</v>
      </c>
      <c r="H4785">
        <v>46</v>
      </c>
      <c r="I4785">
        <v>101</v>
      </c>
      <c r="J4785">
        <v>1</v>
      </c>
      <c r="K4785">
        <v>56</v>
      </c>
      <c r="L4785">
        <v>111</v>
      </c>
      <c r="M4785">
        <v>1</v>
      </c>
      <c r="N4785">
        <v>9.6363800000000003E-21</v>
      </c>
      <c r="O4785">
        <v>243</v>
      </c>
    </row>
    <row r="4786" spans="1:15" x14ac:dyDescent="0.25">
      <c r="A4786" t="s">
        <v>4799</v>
      </c>
      <c r="B4786">
        <v>309</v>
      </c>
      <c r="C4786" s="1" t="str">
        <f>HYPERLINK("http://www.rosaceae.org/gb/gbrowse/malus_x_domestica/?name=MDP0000265164","MDP0000265164")</f>
        <v>MDP0000265164</v>
      </c>
      <c r="D4786">
        <v>49</v>
      </c>
      <c r="E4786">
        <v>100</v>
      </c>
      <c r="F4786">
        <v>51</v>
      </c>
      <c r="G4786">
        <v>14</v>
      </c>
      <c r="H4786">
        <v>1</v>
      </c>
      <c r="I4786">
        <v>93</v>
      </c>
      <c r="J4786">
        <v>1</v>
      </c>
      <c r="K4786">
        <v>603</v>
      </c>
      <c r="L4786">
        <v>695</v>
      </c>
      <c r="M4786">
        <v>1</v>
      </c>
      <c r="N4786">
        <v>1.24637E-15</v>
      </c>
      <c r="O4786">
        <v>199</v>
      </c>
    </row>
    <row r="4787" spans="1:15" x14ac:dyDescent="0.25">
      <c r="A4787" t="s">
        <v>4800</v>
      </c>
      <c r="B4787">
        <v>251</v>
      </c>
      <c r="C4787" s="1" t="str">
        <f>HYPERLINK("http://www.rosaceae.org/gb/gbrowse/malus_x_domestica/?name=MDP0000167283","MDP0000167283")</f>
        <v>MDP0000167283</v>
      </c>
      <c r="D4787">
        <v>63.05</v>
      </c>
      <c r="E4787">
        <v>203</v>
      </c>
      <c r="F4787">
        <v>75</v>
      </c>
      <c r="G4787">
        <v>4</v>
      </c>
      <c r="H4787">
        <v>24</v>
      </c>
      <c r="I4787">
        <v>222</v>
      </c>
      <c r="J4787">
        <v>1</v>
      </c>
      <c r="K4787">
        <v>24</v>
      </c>
      <c r="L4787">
        <v>226</v>
      </c>
      <c r="M4787">
        <v>1</v>
      </c>
      <c r="N4787">
        <v>1.03846E-65</v>
      </c>
      <c r="O4787">
        <v>630</v>
      </c>
    </row>
    <row r="4788" spans="1:15" x14ac:dyDescent="0.25">
      <c r="A4788" t="s">
        <v>4801</v>
      </c>
      <c r="B4788">
        <v>450</v>
      </c>
      <c r="C4788" s="1" t="str">
        <f>HYPERLINK("http://www.rosaceae.org/gb/gbrowse/malus_x_domestica/?name=MDP0000437033","MDP0000437033")</f>
        <v>MDP0000437033</v>
      </c>
      <c r="D4788">
        <v>81.95</v>
      </c>
      <c r="E4788">
        <v>338</v>
      </c>
      <c r="F4788">
        <v>61</v>
      </c>
      <c r="G4788">
        <v>16</v>
      </c>
      <c r="H4788">
        <v>127</v>
      </c>
      <c r="I4788">
        <v>449</v>
      </c>
      <c r="J4788">
        <v>1</v>
      </c>
      <c r="K4788">
        <v>54</v>
      </c>
      <c r="L4788">
        <v>390</v>
      </c>
      <c r="M4788">
        <v>1</v>
      </c>
      <c r="N4788">
        <v>7.4555699999999998E-157</v>
      </c>
      <c r="O4788">
        <v>1419</v>
      </c>
    </row>
    <row r="4789" spans="1:15" x14ac:dyDescent="0.25">
      <c r="A4789" t="s">
        <v>4802</v>
      </c>
      <c r="B4789">
        <v>125</v>
      </c>
      <c r="C4789" s="1" t="str">
        <f>HYPERLINK("http://www.rosaceae.org/gb/gbrowse/malus_x_domestica/?name=MDP0000295767","MDP0000295767")</f>
        <v>MDP0000295767</v>
      </c>
      <c r="D4789">
        <v>42.57</v>
      </c>
      <c r="E4789">
        <v>101</v>
      </c>
      <c r="F4789">
        <v>58</v>
      </c>
      <c r="G4789">
        <v>9</v>
      </c>
      <c r="H4789">
        <v>19</v>
      </c>
      <c r="I4789">
        <v>119</v>
      </c>
      <c r="J4789">
        <v>1</v>
      </c>
      <c r="K4789">
        <v>136</v>
      </c>
      <c r="L4789">
        <v>227</v>
      </c>
      <c r="M4789">
        <v>1</v>
      </c>
      <c r="N4789">
        <v>1.0484500000000001E-16</v>
      </c>
      <c r="O4789">
        <v>202</v>
      </c>
    </row>
    <row r="4790" spans="1:15" x14ac:dyDescent="0.25">
      <c r="A4790" t="s">
        <v>4803</v>
      </c>
      <c r="B4790">
        <v>213</v>
      </c>
      <c r="C4790" s="1" t="str">
        <f>HYPERLINK("http://www.rosaceae.org/gb/gbrowse/malus_x_domestica/?name=MDP0000658885","MDP0000658885")</f>
        <v>MDP0000658885</v>
      </c>
      <c r="D4790">
        <v>31.72</v>
      </c>
      <c r="E4790">
        <v>186</v>
      </c>
      <c r="F4790">
        <v>127</v>
      </c>
      <c r="G4790">
        <v>22</v>
      </c>
      <c r="H4790">
        <v>21</v>
      </c>
      <c r="I4790">
        <v>206</v>
      </c>
      <c r="J4790">
        <v>1</v>
      </c>
      <c r="K4790">
        <v>178</v>
      </c>
      <c r="L4790">
        <v>341</v>
      </c>
      <c r="M4790">
        <v>1</v>
      </c>
      <c r="N4790">
        <v>3.2188900000000002E-19</v>
      </c>
      <c r="O4790">
        <v>228</v>
      </c>
    </row>
    <row r="4791" spans="1:15" x14ac:dyDescent="0.25">
      <c r="A4791" t="s">
        <v>4804</v>
      </c>
      <c r="B4791">
        <v>339</v>
      </c>
      <c r="C4791" s="1" t="str">
        <f>HYPERLINK("http://www.rosaceae.org/gb/gbrowse/malus_x_domestica/?name=MDP0000946515","MDP0000946515")</f>
        <v>MDP0000946515</v>
      </c>
      <c r="D4791">
        <v>37.56</v>
      </c>
      <c r="E4791">
        <v>378</v>
      </c>
      <c r="F4791">
        <v>236</v>
      </c>
      <c r="G4791">
        <v>84</v>
      </c>
      <c r="H4791">
        <v>1</v>
      </c>
      <c r="I4791">
        <v>318</v>
      </c>
      <c r="J4791">
        <v>1</v>
      </c>
      <c r="K4791">
        <v>1</v>
      </c>
      <c r="L4791">
        <v>354</v>
      </c>
      <c r="M4791">
        <v>1</v>
      </c>
      <c r="N4791">
        <v>2.1318799999999999E-44</v>
      </c>
      <c r="O4791">
        <v>447</v>
      </c>
    </row>
    <row r="4792" spans="1:15" x14ac:dyDescent="0.25">
      <c r="A4792" t="s">
        <v>4805</v>
      </c>
      <c r="B4792">
        <v>216</v>
      </c>
      <c r="C4792" s="1" t="str">
        <f>HYPERLINK("http://www.rosaceae.org/gb/gbrowse/malus_x_domestica/?name=MDP0000397302","MDP0000397302")</f>
        <v>MDP0000397302</v>
      </c>
      <c r="D4792">
        <v>93.54</v>
      </c>
      <c r="E4792">
        <v>217</v>
      </c>
      <c r="F4792">
        <v>14</v>
      </c>
      <c r="G4792">
        <v>1</v>
      </c>
      <c r="H4792">
        <v>1</v>
      </c>
      <c r="I4792">
        <v>216</v>
      </c>
      <c r="J4792">
        <v>1</v>
      </c>
      <c r="K4792">
        <v>1</v>
      </c>
      <c r="L4792">
        <v>217</v>
      </c>
      <c r="M4792">
        <v>1</v>
      </c>
      <c r="N4792">
        <v>5.9009699999999997E-119</v>
      </c>
      <c r="O4792">
        <v>1088</v>
      </c>
    </row>
    <row r="4793" spans="1:15" x14ac:dyDescent="0.25">
      <c r="A4793" t="s">
        <v>4806</v>
      </c>
      <c r="B4793">
        <v>648</v>
      </c>
      <c r="C4793" s="1" t="str">
        <f>HYPERLINK("http://www.rosaceae.org/gb/gbrowse/malus_x_domestica/?name=MDP0000819495","MDP0000819495")</f>
        <v>MDP0000819495</v>
      </c>
      <c r="D4793">
        <v>51.15</v>
      </c>
      <c r="E4793">
        <v>565</v>
      </c>
      <c r="F4793">
        <v>276</v>
      </c>
      <c r="G4793">
        <v>17</v>
      </c>
      <c r="H4793">
        <v>42</v>
      </c>
      <c r="I4793">
        <v>593</v>
      </c>
      <c r="J4793">
        <v>1</v>
      </c>
      <c r="K4793">
        <v>40</v>
      </c>
      <c r="L4793">
        <v>600</v>
      </c>
      <c r="M4793">
        <v>1</v>
      </c>
      <c r="N4793">
        <v>1.65424E-158</v>
      </c>
      <c r="O4793">
        <v>1435</v>
      </c>
    </row>
    <row r="4794" spans="1:15" x14ac:dyDescent="0.25">
      <c r="A4794" t="s">
        <v>4807</v>
      </c>
      <c r="B4794">
        <v>405</v>
      </c>
      <c r="C4794" s="1" t="str">
        <f>HYPERLINK("http://www.rosaceae.org/gb/gbrowse/malus_x_domestica/?name=MDP0000699270","MDP0000699270")</f>
        <v>MDP0000699270</v>
      </c>
      <c r="D4794">
        <v>76.430000000000007</v>
      </c>
      <c r="E4794">
        <v>157</v>
      </c>
      <c r="F4794">
        <v>37</v>
      </c>
      <c r="G4794">
        <v>1</v>
      </c>
      <c r="H4794">
        <v>239</v>
      </c>
      <c r="I4794">
        <v>394</v>
      </c>
      <c r="J4794">
        <v>1</v>
      </c>
      <c r="K4794">
        <v>44</v>
      </c>
      <c r="L4794">
        <v>200</v>
      </c>
      <c r="M4794">
        <v>1</v>
      </c>
      <c r="N4794">
        <v>2.3007500000000001E-68</v>
      </c>
      <c r="O4794">
        <v>655</v>
      </c>
    </row>
    <row r="4795" spans="1:15" x14ac:dyDescent="0.25">
      <c r="A4795" t="s">
        <v>4808</v>
      </c>
      <c r="B4795">
        <v>699</v>
      </c>
      <c r="C4795" s="1" t="str">
        <f>HYPERLINK("http://www.rosaceae.org/gb/gbrowse/malus_x_domestica/?name=MDP0000244806","MDP0000244806")</f>
        <v>MDP0000244806</v>
      </c>
      <c r="D4795">
        <v>48.76</v>
      </c>
      <c r="E4795">
        <v>646</v>
      </c>
      <c r="F4795">
        <v>331</v>
      </c>
      <c r="G4795">
        <v>133</v>
      </c>
      <c r="H4795">
        <v>107</v>
      </c>
      <c r="I4795">
        <v>684</v>
      </c>
      <c r="J4795">
        <v>1</v>
      </c>
      <c r="K4795">
        <v>122</v>
      </c>
      <c r="L4795">
        <v>702</v>
      </c>
      <c r="M4795">
        <v>1</v>
      </c>
      <c r="N4795">
        <v>1.22327E-130</v>
      </c>
      <c r="O4795">
        <v>1195</v>
      </c>
    </row>
    <row r="4796" spans="1:15" x14ac:dyDescent="0.25">
      <c r="A4796" t="s">
        <v>4809</v>
      </c>
      <c r="B4796">
        <v>251</v>
      </c>
      <c r="C4796" s="1" t="str">
        <f>HYPERLINK("http://www.rosaceae.org/gb/gbrowse/malus_x_domestica/?name=MDP0000150144","MDP0000150144")</f>
        <v>MDP0000150144</v>
      </c>
      <c r="D4796">
        <v>72.849999999999994</v>
      </c>
      <c r="E4796">
        <v>221</v>
      </c>
      <c r="F4796">
        <v>60</v>
      </c>
      <c r="G4796">
        <v>9</v>
      </c>
      <c r="H4796">
        <v>36</v>
      </c>
      <c r="I4796">
        <v>251</v>
      </c>
      <c r="J4796">
        <v>1</v>
      </c>
      <c r="K4796">
        <v>596</v>
      </c>
      <c r="L4796">
        <v>812</v>
      </c>
      <c r="M4796">
        <v>1</v>
      </c>
      <c r="N4796">
        <v>4.2243699999999997E-89</v>
      </c>
      <c r="O4796">
        <v>831</v>
      </c>
    </row>
    <row r="4797" spans="1:15" x14ac:dyDescent="0.25">
      <c r="A4797" t="s">
        <v>4810</v>
      </c>
      <c r="B4797">
        <v>356</v>
      </c>
      <c r="C4797" s="1" t="str">
        <f>HYPERLINK("http://www.rosaceae.org/gb/gbrowse/malus_x_domestica/?name=MDP0000157644","MDP0000157644")</f>
        <v>MDP0000157644</v>
      </c>
      <c r="D4797">
        <v>53.42</v>
      </c>
      <c r="E4797">
        <v>73</v>
      </c>
      <c r="F4797">
        <v>34</v>
      </c>
      <c r="G4797">
        <v>0</v>
      </c>
      <c r="H4797">
        <v>280</v>
      </c>
      <c r="I4797">
        <v>352</v>
      </c>
      <c r="J4797">
        <v>1</v>
      </c>
      <c r="K4797">
        <v>357</v>
      </c>
      <c r="L4797">
        <v>429</v>
      </c>
      <c r="M4797">
        <v>1</v>
      </c>
      <c r="N4797">
        <v>1.5186700000000001E-18</v>
      </c>
      <c r="O4797">
        <v>225</v>
      </c>
    </row>
    <row r="4798" spans="1:15" x14ac:dyDescent="0.25">
      <c r="A4798" t="s">
        <v>4811</v>
      </c>
      <c r="B4798">
        <v>478</v>
      </c>
      <c r="C4798" s="1" t="str">
        <f>HYPERLINK("http://www.rosaceae.org/gb/gbrowse/malus_x_domestica/?name=MDP0000312093","MDP0000312093")</f>
        <v>MDP0000312093</v>
      </c>
      <c r="D4798">
        <v>69.87</v>
      </c>
      <c r="E4798">
        <v>478</v>
      </c>
      <c r="F4798">
        <v>144</v>
      </c>
      <c r="G4798">
        <v>11</v>
      </c>
      <c r="H4798">
        <v>1</v>
      </c>
      <c r="I4798">
        <v>478</v>
      </c>
      <c r="J4798">
        <v>1</v>
      </c>
      <c r="K4798">
        <v>1</v>
      </c>
      <c r="L4798">
        <v>467</v>
      </c>
      <c r="M4798">
        <v>1</v>
      </c>
      <c r="N4798">
        <v>0</v>
      </c>
      <c r="O4798">
        <v>1675</v>
      </c>
    </row>
    <row r="4799" spans="1:15" x14ac:dyDescent="0.25">
      <c r="A4799" t="s">
        <v>4812</v>
      </c>
      <c r="B4799">
        <v>174</v>
      </c>
      <c r="C4799" s="1" t="str">
        <f>HYPERLINK("http://www.rosaceae.org/gb/gbrowse/malus_x_domestica/?name=MDP0000608081","MDP0000608081")</f>
        <v>MDP0000608081</v>
      </c>
      <c r="D4799">
        <v>67.81</v>
      </c>
      <c r="E4799">
        <v>174</v>
      </c>
      <c r="F4799">
        <v>56</v>
      </c>
      <c r="G4799">
        <v>1</v>
      </c>
      <c r="H4799">
        <v>1</v>
      </c>
      <c r="I4799">
        <v>174</v>
      </c>
      <c r="J4799">
        <v>1</v>
      </c>
      <c r="K4799">
        <v>112</v>
      </c>
      <c r="L4799">
        <v>284</v>
      </c>
      <c r="M4799">
        <v>1</v>
      </c>
      <c r="N4799">
        <v>3.0176500000000001E-64</v>
      </c>
      <c r="O4799">
        <v>615</v>
      </c>
    </row>
    <row r="4800" spans="1:15" x14ac:dyDescent="0.25">
      <c r="A4800" t="s">
        <v>4813</v>
      </c>
      <c r="B4800">
        <v>157</v>
      </c>
      <c r="C4800" s="1" t="str">
        <f>HYPERLINK("http://www.rosaceae.org/gb/gbrowse/malus_x_domestica/?name=MDP0000215288","MDP0000215288")</f>
        <v>MDP0000215288</v>
      </c>
      <c r="D4800">
        <v>80.760000000000005</v>
      </c>
      <c r="E4800">
        <v>52</v>
      </c>
      <c r="F4800">
        <v>10</v>
      </c>
      <c r="G4800">
        <v>0</v>
      </c>
      <c r="H4800">
        <v>34</v>
      </c>
      <c r="I4800">
        <v>85</v>
      </c>
      <c r="J4800">
        <v>1</v>
      </c>
      <c r="K4800">
        <v>149</v>
      </c>
      <c r="L4800">
        <v>200</v>
      </c>
      <c r="M4800">
        <v>1</v>
      </c>
      <c r="N4800">
        <v>6.4776500000000003E-17</v>
      </c>
      <c r="O4800">
        <v>206</v>
      </c>
    </row>
    <row r="4801" spans="1:15" x14ac:dyDescent="0.25">
      <c r="A4801" t="s">
        <v>4814</v>
      </c>
      <c r="B4801">
        <v>474</v>
      </c>
      <c r="C4801" s="1" t="str">
        <f>HYPERLINK("http://www.rosaceae.org/gb/gbrowse/malus_x_domestica/?name=MDP0000619821","MDP0000619821")</f>
        <v>MDP0000619821</v>
      </c>
      <c r="D4801">
        <v>32.75</v>
      </c>
      <c r="E4801">
        <v>174</v>
      </c>
      <c r="F4801">
        <v>117</v>
      </c>
      <c r="G4801">
        <v>14</v>
      </c>
      <c r="H4801">
        <v>242</v>
      </c>
      <c r="I4801">
        <v>415</v>
      </c>
      <c r="J4801">
        <v>1</v>
      </c>
      <c r="K4801">
        <v>319</v>
      </c>
      <c r="L4801">
        <v>478</v>
      </c>
      <c r="M4801">
        <v>1</v>
      </c>
      <c r="N4801">
        <v>1.1055199999999999E-9</v>
      </c>
      <c r="O4801">
        <v>150</v>
      </c>
    </row>
    <row r="4802" spans="1:15" x14ac:dyDescent="0.25">
      <c r="A4802" t="s">
        <v>4815</v>
      </c>
      <c r="B4802">
        <v>369</v>
      </c>
      <c r="C4802" s="1" t="str">
        <f>HYPERLINK("http://www.rosaceae.org/gb/gbrowse/malus_x_domestica/?name=MDP0000337790","MDP0000337790")</f>
        <v>MDP0000337790</v>
      </c>
      <c r="D4802">
        <v>58.33</v>
      </c>
      <c r="E4802">
        <v>324</v>
      </c>
      <c r="F4802">
        <v>135</v>
      </c>
      <c r="G4802">
        <v>31</v>
      </c>
      <c r="H4802">
        <v>2</v>
      </c>
      <c r="I4802">
        <v>311</v>
      </c>
      <c r="J4802">
        <v>1</v>
      </c>
      <c r="K4802">
        <v>3</v>
      </c>
      <c r="L4802">
        <v>309</v>
      </c>
      <c r="M4802">
        <v>1</v>
      </c>
      <c r="N4802">
        <v>1.1201E-91</v>
      </c>
      <c r="O4802">
        <v>856</v>
      </c>
    </row>
    <row r="4803" spans="1:15" x14ac:dyDescent="0.25">
      <c r="A4803" t="s">
        <v>4816</v>
      </c>
      <c r="B4803">
        <v>158</v>
      </c>
      <c r="C4803" s="1" t="str">
        <f>HYPERLINK("http://www.rosaceae.org/gb/gbrowse/malus_x_domestica/?name=MDP0000194905","MDP0000194905")</f>
        <v>MDP0000194905</v>
      </c>
      <c r="D4803">
        <v>54.46</v>
      </c>
      <c r="E4803">
        <v>213</v>
      </c>
      <c r="F4803">
        <v>97</v>
      </c>
      <c r="G4803">
        <v>56</v>
      </c>
      <c r="H4803">
        <v>1</v>
      </c>
      <c r="I4803">
        <v>158</v>
      </c>
      <c r="J4803">
        <v>1</v>
      </c>
      <c r="K4803">
        <v>1</v>
      </c>
      <c r="L4803">
        <v>212</v>
      </c>
      <c r="M4803">
        <v>1</v>
      </c>
      <c r="N4803">
        <v>5.5572399999999999E-54</v>
      </c>
      <c r="O4803">
        <v>525</v>
      </c>
    </row>
    <row r="4804" spans="1:15" x14ac:dyDescent="0.25">
      <c r="A4804" t="s">
        <v>4817</v>
      </c>
      <c r="B4804">
        <v>565</v>
      </c>
      <c r="C4804" s="1" t="str">
        <f>HYPERLINK("http://www.rosaceae.org/gb/gbrowse/malus_x_domestica/?name=MDP0000304291","MDP0000304291")</f>
        <v>MDP0000304291</v>
      </c>
      <c r="D4804">
        <v>79.22</v>
      </c>
      <c r="E4804">
        <v>544</v>
      </c>
      <c r="F4804">
        <v>113</v>
      </c>
      <c r="G4804">
        <v>25</v>
      </c>
      <c r="H4804">
        <v>27</v>
      </c>
      <c r="I4804">
        <v>565</v>
      </c>
      <c r="J4804">
        <v>1</v>
      </c>
      <c r="K4804">
        <v>28</v>
      </c>
      <c r="L4804">
        <v>551</v>
      </c>
      <c r="M4804">
        <v>1</v>
      </c>
      <c r="N4804">
        <v>0</v>
      </c>
      <c r="O4804">
        <v>2342</v>
      </c>
    </row>
    <row r="4805" spans="1:15" x14ac:dyDescent="0.25">
      <c r="A4805" t="s">
        <v>4818</v>
      </c>
      <c r="B4805">
        <v>1018</v>
      </c>
      <c r="C4805" s="1" t="str">
        <f>HYPERLINK("http://www.rosaceae.org/gb/gbrowse/malus_x_domestica/?name=MDP0000768370","MDP0000768370")</f>
        <v>MDP0000768370</v>
      </c>
      <c r="D4805">
        <v>74.61</v>
      </c>
      <c r="E4805">
        <v>1036</v>
      </c>
      <c r="F4805">
        <v>263</v>
      </c>
      <c r="G4805">
        <v>22</v>
      </c>
      <c r="H4805">
        <v>3</v>
      </c>
      <c r="I4805">
        <v>1018</v>
      </c>
      <c r="J4805">
        <v>1</v>
      </c>
      <c r="K4805">
        <v>2</v>
      </c>
      <c r="L4805">
        <v>1035</v>
      </c>
      <c r="M4805">
        <v>1</v>
      </c>
      <c r="N4805">
        <v>0</v>
      </c>
      <c r="O4805">
        <v>4044</v>
      </c>
    </row>
    <row r="4806" spans="1:15" x14ac:dyDescent="0.25">
      <c r="A4806" t="s">
        <v>4819</v>
      </c>
      <c r="B4806">
        <v>184</v>
      </c>
      <c r="C4806" s="1" t="str">
        <f>HYPERLINK("http://www.rosaceae.org/gb/gbrowse/malus_x_domestica/?name=MDP0000212312","MDP0000212312")</f>
        <v>MDP0000212312</v>
      </c>
      <c r="D4806">
        <v>42.1</v>
      </c>
      <c r="E4806">
        <v>190</v>
      </c>
      <c r="F4806">
        <v>110</v>
      </c>
      <c r="G4806">
        <v>8</v>
      </c>
      <c r="H4806">
        <v>1</v>
      </c>
      <c r="I4806">
        <v>182</v>
      </c>
      <c r="J4806">
        <v>1</v>
      </c>
      <c r="K4806">
        <v>1</v>
      </c>
      <c r="L4806">
        <v>190</v>
      </c>
      <c r="M4806">
        <v>1</v>
      </c>
      <c r="N4806">
        <v>6.7558699999999996E-37</v>
      </c>
      <c r="O4806">
        <v>379</v>
      </c>
    </row>
    <row r="4807" spans="1:15" x14ac:dyDescent="0.25">
      <c r="A4807" t="s">
        <v>4820</v>
      </c>
      <c r="B4807">
        <v>763</v>
      </c>
      <c r="C4807" s="1" t="str">
        <f>HYPERLINK("http://www.rosaceae.org/gb/gbrowse/malus_x_domestica/?name=MDP0000456401","MDP0000456401")</f>
        <v>MDP0000456401</v>
      </c>
      <c r="D4807">
        <v>49.14</v>
      </c>
      <c r="E4807">
        <v>757</v>
      </c>
      <c r="F4807">
        <v>385</v>
      </c>
      <c r="G4807">
        <v>68</v>
      </c>
      <c r="H4807">
        <v>1</v>
      </c>
      <c r="I4807">
        <v>748</v>
      </c>
      <c r="J4807">
        <v>1</v>
      </c>
      <c r="K4807">
        <v>341</v>
      </c>
      <c r="L4807">
        <v>1038</v>
      </c>
      <c r="M4807">
        <v>1</v>
      </c>
      <c r="N4807">
        <v>0</v>
      </c>
      <c r="O4807">
        <v>1684</v>
      </c>
    </row>
    <row r="4808" spans="1:15" x14ac:dyDescent="0.25">
      <c r="A4808" t="s">
        <v>4821</v>
      </c>
      <c r="B4808">
        <v>359</v>
      </c>
      <c r="C4808" s="1" t="str">
        <f>HYPERLINK("http://www.rosaceae.org/gb/gbrowse/malus_x_domestica/?name=MDP0000907555","MDP0000907555")</f>
        <v>MDP0000907555</v>
      </c>
      <c r="D4808">
        <v>83.09</v>
      </c>
      <c r="E4808">
        <v>278</v>
      </c>
      <c r="F4808">
        <v>47</v>
      </c>
      <c r="G4808">
        <v>0</v>
      </c>
      <c r="H4808">
        <v>63</v>
      </c>
      <c r="I4808">
        <v>340</v>
      </c>
      <c r="J4808">
        <v>1</v>
      </c>
      <c r="K4808">
        <v>1</v>
      </c>
      <c r="L4808">
        <v>278</v>
      </c>
      <c r="M4808">
        <v>1</v>
      </c>
      <c r="N4808">
        <v>1.7977600000000001E-139</v>
      </c>
      <c r="O4808">
        <v>1268</v>
      </c>
    </row>
    <row r="4809" spans="1:15" x14ac:dyDescent="0.25">
      <c r="A4809" t="s">
        <v>4822</v>
      </c>
      <c r="B4809">
        <v>303</v>
      </c>
      <c r="C4809" s="1" t="str">
        <f>HYPERLINK("http://www.rosaceae.org/gb/gbrowse/malus_x_domestica/?name=MDP0000138294","MDP0000138294")</f>
        <v>MDP0000138294</v>
      </c>
      <c r="D4809">
        <v>61.9</v>
      </c>
      <c r="E4809">
        <v>168</v>
      </c>
      <c r="F4809">
        <v>64</v>
      </c>
      <c r="G4809">
        <v>0</v>
      </c>
      <c r="H4809">
        <v>56</v>
      </c>
      <c r="I4809">
        <v>223</v>
      </c>
      <c r="J4809">
        <v>1</v>
      </c>
      <c r="K4809">
        <v>317</v>
      </c>
      <c r="L4809">
        <v>484</v>
      </c>
      <c r="M4809">
        <v>1</v>
      </c>
      <c r="N4809">
        <v>1.32169E-56</v>
      </c>
      <c r="O4809">
        <v>552</v>
      </c>
    </row>
    <row r="4810" spans="1:15" x14ac:dyDescent="0.25">
      <c r="A4810" t="s">
        <v>4823</v>
      </c>
      <c r="B4810">
        <v>2162</v>
      </c>
      <c r="C4810" s="1" t="str">
        <f>HYPERLINK("http://www.rosaceae.org/gb/gbrowse/malus_x_domestica/?name=MDP0000271642","MDP0000271642")</f>
        <v>MDP0000271642</v>
      </c>
      <c r="D4810">
        <v>68.44</v>
      </c>
      <c r="E4810">
        <v>1369</v>
      </c>
      <c r="F4810">
        <v>432</v>
      </c>
      <c r="G4810">
        <v>70</v>
      </c>
      <c r="H4810">
        <v>836</v>
      </c>
      <c r="I4810">
        <v>2162</v>
      </c>
      <c r="J4810">
        <v>1</v>
      </c>
      <c r="K4810">
        <v>57</v>
      </c>
      <c r="L4810">
        <v>1397</v>
      </c>
      <c r="M4810">
        <v>1</v>
      </c>
      <c r="N4810">
        <v>0</v>
      </c>
      <c r="O4810">
        <v>4600</v>
      </c>
    </row>
    <row r="4811" spans="1:15" x14ac:dyDescent="0.25">
      <c r="A4811" t="s">
        <v>4824</v>
      </c>
      <c r="B4811">
        <v>229</v>
      </c>
      <c r="C4811" s="1" t="str">
        <f>HYPERLINK("http://www.rosaceae.org/gb/gbrowse/malus_x_domestica/?name=MDP0000127146","MDP0000127146")</f>
        <v>MDP0000127146</v>
      </c>
      <c r="D4811">
        <v>50.6</v>
      </c>
      <c r="E4811">
        <v>247</v>
      </c>
      <c r="F4811">
        <v>122</v>
      </c>
      <c r="G4811">
        <v>28</v>
      </c>
      <c r="H4811">
        <v>1</v>
      </c>
      <c r="I4811">
        <v>229</v>
      </c>
      <c r="J4811">
        <v>1</v>
      </c>
      <c r="K4811">
        <v>1</v>
      </c>
      <c r="L4811">
        <v>237</v>
      </c>
      <c r="M4811">
        <v>1</v>
      </c>
      <c r="N4811">
        <v>1.30974E-52</v>
      </c>
      <c r="O4811">
        <v>516</v>
      </c>
    </row>
    <row r="4812" spans="1:15" x14ac:dyDescent="0.25">
      <c r="A4812" t="s">
        <v>4825</v>
      </c>
      <c r="B4812">
        <v>193</v>
      </c>
      <c r="C4812" s="1" t="str">
        <f>HYPERLINK("http://www.rosaceae.org/gb/gbrowse/malus_x_domestica/?name=MDP0000683912","MDP0000683912")</f>
        <v>MDP0000683912</v>
      </c>
      <c r="D4812">
        <v>73.19</v>
      </c>
      <c r="E4812">
        <v>194</v>
      </c>
      <c r="F4812">
        <v>52</v>
      </c>
      <c r="G4812">
        <v>23</v>
      </c>
      <c r="H4812">
        <v>1</v>
      </c>
      <c r="I4812">
        <v>193</v>
      </c>
      <c r="J4812">
        <v>1</v>
      </c>
      <c r="K4812">
        <v>1</v>
      </c>
      <c r="L4812">
        <v>172</v>
      </c>
      <c r="M4812">
        <v>1</v>
      </c>
      <c r="N4812">
        <v>2.3609400000000001E-69</v>
      </c>
      <c r="O4812">
        <v>659</v>
      </c>
    </row>
    <row r="4813" spans="1:15" x14ac:dyDescent="0.25">
      <c r="A4813" t="s">
        <v>4826</v>
      </c>
      <c r="B4813">
        <v>157</v>
      </c>
      <c r="C4813" s="1" t="str">
        <f>HYPERLINK("http://www.rosaceae.org/gb/gbrowse/malus_x_domestica/?name=MDP0000295695","MDP0000295695")</f>
        <v>MDP0000295695</v>
      </c>
      <c r="D4813">
        <v>69.040000000000006</v>
      </c>
      <c r="E4813">
        <v>42</v>
      </c>
      <c r="F4813">
        <v>13</v>
      </c>
      <c r="G4813">
        <v>3</v>
      </c>
      <c r="H4813">
        <v>109</v>
      </c>
      <c r="I4813">
        <v>150</v>
      </c>
      <c r="J4813">
        <v>1</v>
      </c>
      <c r="K4813">
        <v>428</v>
      </c>
      <c r="L4813">
        <v>466</v>
      </c>
      <c r="M4813">
        <v>1</v>
      </c>
      <c r="N4813">
        <v>1.6251700000000001E-9</v>
      </c>
      <c r="O4813">
        <v>142</v>
      </c>
    </row>
    <row r="4814" spans="1:15" x14ac:dyDescent="0.25">
      <c r="A4814" t="s">
        <v>4827</v>
      </c>
      <c r="B4814">
        <v>253</v>
      </c>
      <c r="C4814" s="1" t="str">
        <f>HYPERLINK("http://www.rosaceae.org/gb/gbrowse/malus_x_domestica/?name=MDP0000375092","MDP0000375092")</f>
        <v>MDP0000375092</v>
      </c>
      <c r="D4814">
        <v>85.95</v>
      </c>
      <c r="E4814">
        <v>242</v>
      </c>
      <c r="F4814">
        <v>34</v>
      </c>
      <c r="G4814">
        <v>0</v>
      </c>
      <c r="H4814">
        <v>1</v>
      </c>
      <c r="I4814">
        <v>242</v>
      </c>
      <c r="J4814">
        <v>1</v>
      </c>
      <c r="K4814">
        <v>1</v>
      </c>
      <c r="L4814">
        <v>242</v>
      </c>
      <c r="M4814">
        <v>1</v>
      </c>
      <c r="N4814">
        <v>8.4091200000000003E-120</v>
      </c>
      <c r="O4814">
        <v>1096</v>
      </c>
    </row>
    <row r="4815" spans="1:15" x14ac:dyDescent="0.25">
      <c r="A4815" t="s">
        <v>4828</v>
      </c>
      <c r="B4815">
        <v>1851</v>
      </c>
      <c r="C4815" s="1" t="str">
        <f>HYPERLINK("http://www.rosaceae.org/gb/gbrowse/malus_x_domestica/?name=MDP0000316445","MDP0000316445")</f>
        <v>MDP0000316445</v>
      </c>
      <c r="D4815">
        <v>80.260000000000005</v>
      </c>
      <c r="E4815">
        <v>1378</v>
      </c>
      <c r="F4815">
        <v>272</v>
      </c>
      <c r="G4815">
        <v>29</v>
      </c>
      <c r="H4815">
        <v>1</v>
      </c>
      <c r="I4815">
        <v>1359</v>
      </c>
      <c r="J4815">
        <v>1</v>
      </c>
      <c r="K4815">
        <v>1</v>
      </c>
      <c r="L4815">
        <v>1368</v>
      </c>
      <c r="M4815">
        <v>1</v>
      </c>
      <c r="N4815">
        <v>0</v>
      </c>
      <c r="O4815">
        <v>5843</v>
      </c>
    </row>
    <row r="4816" spans="1:15" x14ac:dyDescent="0.25">
      <c r="A4816" t="s">
        <v>4829</v>
      </c>
      <c r="B4816">
        <v>230</v>
      </c>
      <c r="C4816" s="1" t="str">
        <f>HYPERLINK("http://www.rosaceae.org/gb/gbrowse/malus_x_domestica/?name=MDP0000603582","MDP0000603582")</f>
        <v>MDP0000603582</v>
      </c>
      <c r="D4816">
        <v>62.55</v>
      </c>
      <c r="E4816">
        <v>235</v>
      </c>
      <c r="F4816">
        <v>88</v>
      </c>
      <c r="G4816">
        <v>28</v>
      </c>
      <c r="H4816">
        <v>24</v>
      </c>
      <c r="I4816">
        <v>230</v>
      </c>
      <c r="J4816">
        <v>1</v>
      </c>
      <c r="K4816">
        <v>45</v>
      </c>
      <c r="L4816">
        <v>279</v>
      </c>
      <c r="M4816">
        <v>1</v>
      </c>
      <c r="N4816">
        <v>1.92288E-78</v>
      </c>
      <c r="O4816">
        <v>739</v>
      </c>
    </row>
    <row r="4817" spans="1:15" x14ac:dyDescent="0.25">
      <c r="A4817" t="s">
        <v>4830</v>
      </c>
      <c r="B4817">
        <v>162</v>
      </c>
      <c r="C4817" s="1" t="str">
        <f>HYPERLINK("http://www.rosaceae.org/gb/gbrowse/malus_x_domestica/?name=MDP0000296288","MDP0000296288")</f>
        <v>MDP0000296288</v>
      </c>
      <c r="D4817">
        <v>86.66</v>
      </c>
      <c r="E4817">
        <v>150</v>
      </c>
      <c r="F4817">
        <v>20</v>
      </c>
      <c r="G4817">
        <v>0</v>
      </c>
      <c r="H4817">
        <v>1</v>
      </c>
      <c r="I4817">
        <v>150</v>
      </c>
      <c r="J4817">
        <v>1</v>
      </c>
      <c r="K4817">
        <v>53</v>
      </c>
      <c r="L4817">
        <v>202</v>
      </c>
      <c r="M4817">
        <v>1</v>
      </c>
      <c r="N4817">
        <v>1.90329E-77</v>
      </c>
      <c r="O4817">
        <v>728</v>
      </c>
    </row>
    <row r="4818" spans="1:15" x14ac:dyDescent="0.25">
      <c r="A4818" t="s">
        <v>4831</v>
      </c>
      <c r="B4818">
        <v>347</v>
      </c>
      <c r="C4818" s="1" t="str">
        <f>HYPERLINK("http://www.rosaceae.org/gb/gbrowse/malus_x_domestica/?name=MDP0000811085","MDP0000811085")</f>
        <v>MDP0000811085</v>
      </c>
      <c r="D4818">
        <v>41.11</v>
      </c>
      <c r="E4818">
        <v>304</v>
      </c>
      <c r="F4818">
        <v>179</v>
      </c>
      <c r="G4818">
        <v>25</v>
      </c>
      <c r="H4818">
        <v>4</v>
      </c>
      <c r="I4818">
        <v>292</v>
      </c>
      <c r="J4818">
        <v>1</v>
      </c>
      <c r="K4818">
        <v>53</v>
      </c>
      <c r="L4818">
        <v>346</v>
      </c>
      <c r="M4818">
        <v>1</v>
      </c>
      <c r="N4818">
        <v>5.7413299999999999E-52</v>
      </c>
      <c r="O4818">
        <v>513</v>
      </c>
    </row>
    <row r="4819" spans="1:15" x14ac:dyDescent="0.25">
      <c r="A4819" t="s">
        <v>4832</v>
      </c>
      <c r="B4819">
        <v>370</v>
      </c>
      <c r="C4819" s="1" t="str">
        <f>HYPERLINK("http://www.rosaceae.org/gb/gbrowse/malus_x_domestica/?name=MDP0000256027","MDP0000256027")</f>
        <v>MDP0000256027</v>
      </c>
      <c r="D4819">
        <v>50.38</v>
      </c>
      <c r="E4819">
        <v>260</v>
      </c>
      <c r="F4819">
        <v>129</v>
      </c>
      <c r="G4819">
        <v>44</v>
      </c>
      <c r="H4819">
        <v>152</v>
      </c>
      <c r="I4819">
        <v>370</v>
      </c>
      <c r="J4819">
        <v>1</v>
      </c>
      <c r="K4819">
        <v>357</v>
      </c>
      <c r="L4819">
        <v>613</v>
      </c>
      <c r="M4819">
        <v>1</v>
      </c>
      <c r="N4819">
        <v>4.81334E-54</v>
      </c>
      <c r="O4819">
        <v>531</v>
      </c>
    </row>
    <row r="4820" spans="1:15" x14ac:dyDescent="0.25">
      <c r="A4820" t="s">
        <v>4833</v>
      </c>
      <c r="B4820">
        <v>69</v>
      </c>
      <c r="C4820" s="1" t="str">
        <f>HYPERLINK("http://www.rosaceae.org/gb/gbrowse/malus_x_domestica/?name=MDP0000276291","MDP0000276291")</f>
        <v>MDP0000276291</v>
      </c>
      <c r="D4820">
        <v>79.709999999999994</v>
      </c>
      <c r="E4820">
        <v>69</v>
      </c>
      <c r="F4820">
        <v>14</v>
      </c>
      <c r="G4820">
        <v>1</v>
      </c>
      <c r="H4820">
        <v>1</v>
      </c>
      <c r="I4820">
        <v>68</v>
      </c>
      <c r="J4820">
        <v>1</v>
      </c>
      <c r="K4820">
        <v>294</v>
      </c>
      <c r="L4820">
        <v>362</v>
      </c>
      <c r="M4820">
        <v>1</v>
      </c>
      <c r="N4820">
        <v>4.44122E-25</v>
      </c>
      <c r="O4820">
        <v>274</v>
      </c>
    </row>
    <row r="4821" spans="1:15" x14ac:dyDescent="0.25">
      <c r="A4821" t="s">
        <v>4834</v>
      </c>
      <c r="B4821">
        <v>146</v>
      </c>
      <c r="C4821" s="1" t="str">
        <f>HYPERLINK("http://www.rosaceae.org/gb/gbrowse/malus_x_domestica/?name=MDP0000211947","MDP0000211947")</f>
        <v>MDP0000211947</v>
      </c>
      <c r="D4821">
        <v>68.91</v>
      </c>
      <c r="E4821">
        <v>74</v>
      </c>
      <c r="F4821">
        <v>23</v>
      </c>
      <c r="G4821">
        <v>6</v>
      </c>
      <c r="H4821">
        <v>6</v>
      </c>
      <c r="I4821">
        <v>74</v>
      </c>
      <c r="J4821">
        <v>1</v>
      </c>
      <c r="K4821">
        <v>27</v>
      </c>
      <c r="L4821">
        <v>99</v>
      </c>
      <c r="M4821">
        <v>1</v>
      </c>
      <c r="N4821">
        <v>5.7737000000000002E-21</v>
      </c>
      <c r="O4821">
        <v>240</v>
      </c>
    </row>
    <row r="4822" spans="1:15" x14ac:dyDescent="0.25">
      <c r="A4822" t="s">
        <v>4835</v>
      </c>
      <c r="B4822">
        <v>205</v>
      </c>
      <c r="C4822" s="1" t="str">
        <f>HYPERLINK("http://www.rosaceae.org/gb/gbrowse/malus_x_domestica/?name=MDP0000278168","MDP0000278168")</f>
        <v>MDP0000278168</v>
      </c>
      <c r="D4822">
        <v>50.56</v>
      </c>
      <c r="E4822">
        <v>176</v>
      </c>
      <c r="F4822">
        <v>87</v>
      </c>
      <c r="G4822">
        <v>3</v>
      </c>
      <c r="H4822">
        <v>16</v>
      </c>
      <c r="I4822">
        <v>189</v>
      </c>
      <c r="J4822">
        <v>1</v>
      </c>
      <c r="K4822">
        <v>351</v>
      </c>
      <c r="L4822">
        <v>525</v>
      </c>
      <c r="M4822">
        <v>1</v>
      </c>
      <c r="N4822">
        <v>1.18847E-39</v>
      </c>
      <c r="O4822">
        <v>404</v>
      </c>
    </row>
    <row r="4823" spans="1:15" x14ac:dyDescent="0.25">
      <c r="A4823" t="s">
        <v>4836</v>
      </c>
      <c r="B4823">
        <v>235</v>
      </c>
      <c r="C4823" s="1" t="str">
        <f>HYPERLINK("http://www.rosaceae.org/gb/gbrowse/malus_x_domestica/?name=MDP0000122512","MDP0000122512")</f>
        <v>MDP0000122512</v>
      </c>
      <c r="D4823">
        <v>39.89</v>
      </c>
      <c r="E4823">
        <v>188</v>
      </c>
      <c r="F4823">
        <v>113</v>
      </c>
      <c r="G4823">
        <v>78</v>
      </c>
      <c r="H4823">
        <v>4</v>
      </c>
      <c r="I4823">
        <v>113</v>
      </c>
      <c r="J4823">
        <v>1</v>
      </c>
      <c r="K4823">
        <v>405</v>
      </c>
      <c r="L4823">
        <v>592</v>
      </c>
      <c r="M4823">
        <v>1</v>
      </c>
      <c r="N4823">
        <v>1.3249800000000001E-25</v>
      </c>
      <c r="O4823">
        <v>283</v>
      </c>
    </row>
    <row r="4824" spans="1:15" x14ac:dyDescent="0.25">
      <c r="A4824" t="s">
        <v>4837</v>
      </c>
      <c r="B4824">
        <v>170</v>
      </c>
      <c r="C4824" s="1" t="str">
        <f>HYPERLINK("http://www.rosaceae.org/gb/gbrowse/malus_x_domestica/?name=MDP0000668523","MDP0000668523")</f>
        <v>MDP0000668523</v>
      </c>
      <c r="D4824">
        <v>73.91</v>
      </c>
      <c r="E4824">
        <v>46</v>
      </c>
      <c r="F4824">
        <v>12</v>
      </c>
      <c r="G4824">
        <v>0</v>
      </c>
      <c r="H4824">
        <v>44</v>
      </c>
      <c r="I4824">
        <v>89</v>
      </c>
      <c r="J4824">
        <v>1</v>
      </c>
      <c r="K4824">
        <v>50</v>
      </c>
      <c r="L4824">
        <v>95</v>
      </c>
      <c r="M4824">
        <v>1</v>
      </c>
      <c r="N4824">
        <v>1.39427E-13</v>
      </c>
      <c r="O4824">
        <v>178</v>
      </c>
    </row>
    <row r="4825" spans="1:15" x14ac:dyDescent="0.25">
      <c r="A4825" t="s">
        <v>4838</v>
      </c>
      <c r="B4825">
        <v>676</v>
      </c>
      <c r="C4825" s="1" t="str">
        <f>HYPERLINK("http://www.rosaceae.org/gb/gbrowse/malus_x_domestica/?name=MDP0000305272","MDP0000305272")</f>
        <v>MDP0000305272</v>
      </c>
      <c r="D4825">
        <v>75.86</v>
      </c>
      <c r="E4825">
        <v>580</v>
      </c>
      <c r="F4825">
        <v>140</v>
      </c>
      <c r="G4825">
        <v>24</v>
      </c>
      <c r="H4825">
        <v>94</v>
      </c>
      <c r="I4825">
        <v>652</v>
      </c>
      <c r="J4825">
        <v>1</v>
      </c>
      <c r="K4825">
        <v>19</v>
      </c>
      <c r="L4825">
        <v>595</v>
      </c>
      <c r="M4825">
        <v>1</v>
      </c>
      <c r="N4825">
        <v>0</v>
      </c>
      <c r="O4825">
        <v>2313</v>
      </c>
    </row>
    <row r="4826" spans="1:15" x14ac:dyDescent="0.25">
      <c r="A4826" t="s">
        <v>4839</v>
      </c>
      <c r="B4826">
        <v>218</v>
      </c>
      <c r="C4826" s="1" t="str">
        <f>HYPERLINK("http://www.rosaceae.org/gb/gbrowse/malus_x_domestica/?name=MDP0000159869","MDP0000159869")</f>
        <v>MDP0000159869</v>
      </c>
      <c r="D4826">
        <v>62.29</v>
      </c>
      <c r="E4826">
        <v>183</v>
      </c>
      <c r="F4826">
        <v>69</v>
      </c>
      <c r="G4826">
        <v>4</v>
      </c>
      <c r="H4826">
        <v>17</v>
      </c>
      <c r="I4826">
        <v>196</v>
      </c>
      <c r="J4826">
        <v>1</v>
      </c>
      <c r="K4826">
        <v>20</v>
      </c>
      <c r="L4826">
        <v>201</v>
      </c>
      <c r="M4826">
        <v>1</v>
      </c>
      <c r="N4826">
        <v>3.1328999999999998E-59</v>
      </c>
      <c r="O4826">
        <v>573</v>
      </c>
    </row>
    <row r="4827" spans="1:15" x14ac:dyDescent="0.25">
      <c r="A4827" t="s">
        <v>4840</v>
      </c>
      <c r="B4827">
        <v>549</v>
      </c>
      <c r="C4827" s="1" t="str">
        <f>HYPERLINK("http://www.rosaceae.org/gb/gbrowse/malus_x_domestica/?name=MDP0000165214","MDP0000165214")</f>
        <v>MDP0000165214</v>
      </c>
      <c r="D4827">
        <v>57.76</v>
      </c>
      <c r="E4827">
        <v>412</v>
      </c>
      <c r="F4827">
        <v>174</v>
      </c>
      <c r="G4827">
        <v>11</v>
      </c>
      <c r="H4827">
        <v>1</v>
      </c>
      <c r="I4827">
        <v>404</v>
      </c>
      <c r="J4827">
        <v>1</v>
      </c>
      <c r="K4827">
        <v>7</v>
      </c>
      <c r="L4827">
        <v>415</v>
      </c>
      <c r="M4827">
        <v>1</v>
      </c>
      <c r="N4827">
        <v>8.63782E-129</v>
      </c>
      <c r="O4827">
        <v>1178</v>
      </c>
    </row>
    <row r="4828" spans="1:15" x14ac:dyDescent="0.25">
      <c r="A4828" t="s">
        <v>4841</v>
      </c>
      <c r="B4828">
        <v>183</v>
      </c>
      <c r="C4828" s="1" t="str">
        <f>HYPERLINK("http://www.rosaceae.org/gb/gbrowse/malus_x_domestica/?name=MDP0000297511","MDP0000297511")</f>
        <v>MDP0000297511</v>
      </c>
      <c r="D4828">
        <v>63.96</v>
      </c>
      <c r="E4828">
        <v>111</v>
      </c>
      <c r="F4828">
        <v>40</v>
      </c>
      <c r="G4828">
        <v>2</v>
      </c>
      <c r="H4828">
        <v>72</v>
      </c>
      <c r="I4828">
        <v>180</v>
      </c>
      <c r="J4828">
        <v>1</v>
      </c>
      <c r="K4828">
        <v>654</v>
      </c>
      <c r="L4828">
        <v>764</v>
      </c>
      <c r="M4828">
        <v>1</v>
      </c>
      <c r="N4828">
        <v>1.9769099999999998E-34</v>
      </c>
      <c r="O4828">
        <v>358</v>
      </c>
    </row>
    <row r="4829" spans="1:15" x14ac:dyDescent="0.25">
      <c r="A4829" t="s">
        <v>4842</v>
      </c>
      <c r="B4829">
        <v>71</v>
      </c>
      <c r="C4829" s="1" t="str">
        <f>HYPERLINK("http://www.rosaceae.org/gb/gbrowse/malus_x_domestica/?name=MDP0000697771","MDP0000697771")</f>
        <v>MDP0000697771</v>
      </c>
      <c r="D4829">
        <v>82.08</v>
      </c>
      <c r="E4829">
        <v>67</v>
      </c>
      <c r="F4829">
        <v>12</v>
      </c>
      <c r="G4829">
        <v>0</v>
      </c>
      <c r="H4829">
        <v>4</v>
      </c>
      <c r="I4829">
        <v>70</v>
      </c>
      <c r="J4829">
        <v>1</v>
      </c>
      <c r="K4829">
        <v>25</v>
      </c>
      <c r="L4829">
        <v>91</v>
      </c>
      <c r="M4829">
        <v>1</v>
      </c>
      <c r="N4829">
        <v>1.19114E-25</v>
      </c>
      <c r="O4829">
        <v>279</v>
      </c>
    </row>
    <row r="4830" spans="1:15" x14ac:dyDescent="0.25">
      <c r="A4830" t="s">
        <v>4843</v>
      </c>
      <c r="B4830">
        <v>502</v>
      </c>
      <c r="C4830" s="1" t="str">
        <f>HYPERLINK("http://www.rosaceae.org/gb/gbrowse/malus_x_domestica/?name=MDP0000151195","MDP0000151195")</f>
        <v>MDP0000151195</v>
      </c>
      <c r="D4830">
        <v>53.48</v>
      </c>
      <c r="E4830">
        <v>344</v>
      </c>
      <c r="F4830">
        <v>160</v>
      </c>
      <c r="G4830">
        <v>59</v>
      </c>
      <c r="H4830">
        <v>1</v>
      </c>
      <c r="I4830">
        <v>286</v>
      </c>
      <c r="J4830">
        <v>1</v>
      </c>
      <c r="K4830">
        <v>23</v>
      </c>
      <c r="L4830">
        <v>365</v>
      </c>
      <c r="M4830">
        <v>1</v>
      </c>
      <c r="N4830">
        <v>1.8009100000000002E-83</v>
      </c>
      <c r="O4830">
        <v>786</v>
      </c>
    </row>
    <row r="4831" spans="1:15" x14ac:dyDescent="0.25">
      <c r="A4831" t="s">
        <v>4844</v>
      </c>
      <c r="B4831">
        <v>213</v>
      </c>
      <c r="C4831" s="1" t="str">
        <f>HYPERLINK("http://www.rosaceae.org/gb/gbrowse/malus_x_domestica/?name=MDP0000291747","MDP0000291747")</f>
        <v>MDP0000291747</v>
      </c>
      <c r="D4831">
        <v>42.02</v>
      </c>
      <c r="E4831">
        <v>188</v>
      </c>
      <c r="F4831">
        <v>109</v>
      </c>
      <c r="G4831">
        <v>18</v>
      </c>
      <c r="H4831">
        <v>44</v>
      </c>
      <c r="I4831">
        <v>213</v>
      </c>
      <c r="J4831">
        <v>1</v>
      </c>
      <c r="K4831">
        <v>214</v>
      </c>
      <c r="L4831">
        <v>401</v>
      </c>
      <c r="M4831">
        <v>1</v>
      </c>
      <c r="N4831">
        <v>1.3707599999999999E-28</v>
      </c>
      <c r="O4831">
        <v>309</v>
      </c>
    </row>
    <row r="4832" spans="1:15" x14ac:dyDescent="0.25">
      <c r="A4832" t="s">
        <v>4845</v>
      </c>
      <c r="B4832">
        <v>429</v>
      </c>
      <c r="C4832" s="1" t="str">
        <f>HYPERLINK("http://www.rosaceae.org/gb/gbrowse/malus_x_domestica/?name=MDP0000155527","MDP0000155527")</f>
        <v>MDP0000155527</v>
      </c>
      <c r="D4832">
        <v>74.94</v>
      </c>
      <c r="E4832">
        <v>451</v>
      </c>
      <c r="F4832">
        <v>113</v>
      </c>
      <c r="G4832">
        <v>29</v>
      </c>
      <c r="H4832">
        <v>5</v>
      </c>
      <c r="I4832">
        <v>429</v>
      </c>
      <c r="J4832">
        <v>1</v>
      </c>
      <c r="K4832">
        <v>252</v>
      </c>
      <c r="L4832">
        <v>699</v>
      </c>
      <c r="M4832">
        <v>1</v>
      </c>
      <c r="N4832">
        <v>0</v>
      </c>
      <c r="O4832">
        <v>1784</v>
      </c>
    </row>
    <row r="4833" spans="1:15" x14ac:dyDescent="0.25">
      <c r="A4833" t="s">
        <v>4846</v>
      </c>
      <c r="B4833">
        <v>266</v>
      </c>
      <c r="C4833" s="1" t="str">
        <f>HYPERLINK("http://www.rosaceae.org/gb/gbrowse/malus_x_domestica/?name=MDP0000311088","MDP0000311088")</f>
        <v>MDP0000311088</v>
      </c>
      <c r="D4833">
        <v>72.87</v>
      </c>
      <c r="E4833">
        <v>247</v>
      </c>
      <c r="F4833">
        <v>67</v>
      </c>
      <c r="G4833">
        <v>3</v>
      </c>
      <c r="H4833">
        <v>1</v>
      </c>
      <c r="I4833">
        <v>247</v>
      </c>
      <c r="J4833">
        <v>1</v>
      </c>
      <c r="K4833">
        <v>755</v>
      </c>
      <c r="L4833">
        <v>998</v>
      </c>
      <c r="M4833">
        <v>1</v>
      </c>
      <c r="N4833">
        <v>2.13012E-98</v>
      </c>
      <c r="O4833">
        <v>912</v>
      </c>
    </row>
    <row r="4834" spans="1:15" x14ac:dyDescent="0.25">
      <c r="A4834" t="s">
        <v>4847</v>
      </c>
      <c r="B4834">
        <v>772</v>
      </c>
      <c r="C4834" s="1" t="str">
        <f>HYPERLINK("http://www.rosaceae.org/gb/gbrowse/malus_x_domestica/?name=MDP0000145279","MDP0000145279")</f>
        <v>MDP0000145279</v>
      </c>
      <c r="D4834">
        <v>70.97</v>
      </c>
      <c r="E4834">
        <v>534</v>
      </c>
      <c r="F4834">
        <v>155</v>
      </c>
      <c r="G4834">
        <v>53</v>
      </c>
      <c r="H4834">
        <v>1</v>
      </c>
      <c r="I4834">
        <v>483</v>
      </c>
      <c r="J4834">
        <v>1</v>
      </c>
      <c r="K4834">
        <v>1</v>
      </c>
      <c r="L4834">
        <v>532</v>
      </c>
      <c r="M4834">
        <v>1</v>
      </c>
      <c r="N4834">
        <v>0</v>
      </c>
      <c r="O4834">
        <v>1911</v>
      </c>
    </row>
    <row r="4835" spans="1:15" x14ac:dyDescent="0.25">
      <c r="A4835" t="s">
        <v>4848</v>
      </c>
      <c r="B4835">
        <v>163</v>
      </c>
      <c r="C4835" s="1" t="str">
        <f>HYPERLINK("http://www.rosaceae.org/gb/gbrowse/malus_x_domestica/?name=MDP0000185125","MDP0000185125")</f>
        <v>MDP0000185125</v>
      </c>
      <c r="D4835">
        <v>36.53</v>
      </c>
      <c r="E4835">
        <v>104</v>
      </c>
      <c r="F4835">
        <v>66</v>
      </c>
      <c r="G4835">
        <v>0</v>
      </c>
      <c r="H4835">
        <v>13</v>
      </c>
      <c r="I4835">
        <v>116</v>
      </c>
      <c r="J4835">
        <v>1</v>
      </c>
      <c r="K4835">
        <v>101</v>
      </c>
      <c r="L4835">
        <v>204</v>
      </c>
      <c r="M4835">
        <v>1</v>
      </c>
      <c r="N4835">
        <v>1.85677E-12</v>
      </c>
      <c r="O4835">
        <v>168</v>
      </c>
    </row>
    <row r="4836" spans="1:15" x14ac:dyDescent="0.25">
      <c r="A4836" t="s">
        <v>4849</v>
      </c>
      <c r="B4836">
        <v>149</v>
      </c>
      <c r="C4836" s="1" t="str">
        <f>HYPERLINK("http://www.rosaceae.org/gb/gbrowse/malus_x_domestica/?name=MDP0000361567","MDP0000361567")</f>
        <v>MDP0000361567</v>
      </c>
      <c r="D4836">
        <v>100</v>
      </c>
      <c r="E4836">
        <v>149</v>
      </c>
      <c r="F4836">
        <v>0</v>
      </c>
      <c r="G4836">
        <v>0</v>
      </c>
      <c r="H4836">
        <v>1</v>
      </c>
      <c r="I4836">
        <v>149</v>
      </c>
      <c r="J4836">
        <v>1</v>
      </c>
      <c r="K4836">
        <v>30</v>
      </c>
      <c r="L4836">
        <v>178</v>
      </c>
      <c r="M4836">
        <v>1</v>
      </c>
      <c r="N4836">
        <v>3.0017199999999998E-82</v>
      </c>
      <c r="O4836">
        <v>769</v>
      </c>
    </row>
    <row r="4837" spans="1:15" x14ac:dyDescent="0.25">
      <c r="A4837" t="s">
        <v>4850</v>
      </c>
      <c r="B4837">
        <v>724</v>
      </c>
      <c r="C4837" s="1" t="str">
        <f>HYPERLINK("http://www.rosaceae.org/gb/gbrowse/malus_x_domestica/?name=MDP0000216343","MDP0000216343")</f>
        <v>MDP0000216343</v>
      </c>
      <c r="D4837">
        <v>77.56</v>
      </c>
      <c r="E4837">
        <v>740</v>
      </c>
      <c r="F4837">
        <v>166</v>
      </c>
      <c r="G4837">
        <v>17</v>
      </c>
      <c r="H4837">
        <v>2</v>
      </c>
      <c r="I4837">
        <v>724</v>
      </c>
      <c r="J4837">
        <v>1</v>
      </c>
      <c r="K4837">
        <v>7</v>
      </c>
      <c r="L4837">
        <v>746</v>
      </c>
      <c r="M4837">
        <v>1</v>
      </c>
      <c r="N4837">
        <v>0</v>
      </c>
      <c r="O4837">
        <v>3091</v>
      </c>
    </row>
    <row r="4838" spans="1:15" x14ac:dyDescent="0.25">
      <c r="A4838" t="s">
        <v>4851</v>
      </c>
      <c r="B4838">
        <v>723</v>
      </c>
      <c r="C4838" s="1" t="str">
        <f>HYPERLINK("http://www.rosaceae.org/gb/gbrowse/malus_x_domestica/?name=MDP0000292294","MDP0000292294")</f>
        <v>MDP0000292294</v>
      </c>
      <c r="D4838">
        <v>62.41</v>
      </c>
      <c r="E4838">
        <v>596</v>
      </c>
      <c r="F4838">
        <v>224</v>
      </c>
      <c r="G4838">
        <v>45</v>
      </c>
      <c r="H4838">
        <v>12</v>
      </c>
      <c r="I4838">
        <v>576</v>
      </c>
      <c r="J4838">
        <v>1</v>
      </c>
      <c r="K4838">
        <v>29</v>
      </c>
      <c r="L4838">
        <v>610</v>
      </c>
      <c r="M4838">
        <v>1</v>
      </c>
      <c r="N4838">
        <v>0</v>
      </c>
      <c r="O4838">
        <v>1800</v>
      </c>
    </row>
    <row r="4839" spans="1:15" x14ac:dyDescent="0.25">
      <c r="A4839" t="s">
        <v>4852</v>
      </c>
      <c r="B4839">
        <v>146</v>
      </c>
      <c r="C4839" s="1" t="str">
        <f>HYPERLINK("http://www.rosaceae.org/gb/gbrowse/malus_x_domestica/?name=MDP0000740071","MDP0000740071")</f>
        <v>MDP0000740071</v>
      </c>
      <c r="D4839">
        <v>45.2</v>
      </c>
      <c r="E4839">
        <v>73</v>
      </c>
      <c r="F4839">
        <v>40</v>
      </c>
      <c r="G4839">
        <v>7</v>
      </c>
      <c r="H4839">
        <v>80</v>
      </c>
      <c r="I4839">
        <v>146</v>
      </c>
      <c r="J4839">
        <v>1</v>
      </c>
      <c r="K4839">
        <v>415</v>
      </c>
      <c r="L4839">
        <v>486</v>
      </c>
      <c r="M4839">
        <v>1</v>
      </c>
      <c r="N4839">
        <v>2.4510500000000001E-12</v>
      </c>
      <c r="O4839">
        <v>165</v>
      </c>
    </row>
    <row r="4840" spans="1:15" x14ac:dyDescent="0.25">
      <c r="A4840" t="s">
        <v>4853</v>
      </c>
      <c r="B4840">
        <v>918</v>
      </c>
      <c r="C4840" s="1" t="str">
        <f>HYPERLINK("http://www.rosaceae.org/gb/gbrowse/malus_x_domestica/?name=MDP0000198205","MDP0000198205")</f>
        <v>MDP0000198205</v>
      </c>
      <c r="D4840">
        <v>76.16</v>
      </c>
      <c r="E4840">
        <v>1011</v>
      </c>
      <c r="F4840">
        <v>241</v>
      </c>
      <c r="G4840">
        <v>105</v>
      </c>
      <c r="H4840">
        <v>1</v>
      </c>
      <c r="I4840">
        <v>918</v>
      </c>
      <c r="J4840">
        <v>1</v>
      </c>
      <c r="K4840">
        <v>1</v>
      </c>
      <c r="L4840">
        <v>999</v>
      </c>
      <c r="M4840">
        <v>1</v>
      </c>
      <c r="N4840">
        <v>0</v>
      </c>
      <c r="O4840">
        <v>3846</v>
      </c>
    </row>
    <row r="4841" spans="1:15" x14ac:dyDescent="0.25">
      <c r="A4841" t="s">
        <v>4854</v>
      </c>
      <c r="B4841">
        <v>176</v>
      </c>
      <c r="C4841" s="1" t="str">
        <f>HYPERLINK("http://www.rosaceae.org/gb/gbrowse/malus_x_domestica/?name=MDP0000603266","MDP0000603266")</f>
        <v>MDP0000603266</v>
      </c>
      <c r="D4841">
        <v>53.17</v>
      </c>
      <c r="E4841">
        <v>173</v>
      </c>
      <c r="F4841">
        <v>81</v>
      </c>
      <c r="G4841">
        <v>3</v>
      </c>
      <c r="H4841">
        <v>1</v>
      </c>
      <c r="I4841">
        <v>173</v>
      </c>
      <c r="J4841">
        <v>1</v>
      </c>
      <c r="K4841">
        <v>1</v>
      </c>
      <c r="L4841">
        <v>170</v>
      </c>
      <c r="M4841">
        <v>1</v>
      </c>
      <c r="N4841">
        <v>3.9273400000000002E-50</v>
      </c>
      <c r="O4841">
        <v>493</v>
      </c>
    </row>
    <row r="4842" spans="1:15" x14ac:dyDescent="0.25">
      <c r="A4842" t="s">
        <v>4855</v>
      </c>
      <c r="B4842">
        <v>467</v>
      </c>
      <c r="C4842" s="1" t="str">
        <f>HYPERLINK("http://www.rosaceae.org/gb/gbrowse/malus_x_domestica/?name=MDP0000237605","MDP0000237605")</f>
        <v>MDP0000237605</v>
      </c>
      <c r="D4842">
        <v>55.39</v>
      </c>
      <c r="E4842">
        <v>538</v>
      </c>
      <c r="F4842">
        <v>240</v>
      </c>
      <c r="G4842">
        <v>109</v>
      </c>
      <c r="H4842">
        <v>1</v>
      </c>
      <c r="I4842">
        <v>443</v>
      </c>
      <c r="J4842">
        <v>1</v>
      </c>
      <c r="K4842">
        <v>1</v>
      </c>
      <c r="L4842">
        <v>524</v>
      </c>
      <c r="M4842">
        <v>1</v>
      </c>
      <c r="N4842">
        <v>3.4975100000000001E-143</v>
      </c>
      <c r="O4842">
        <v>1301</v>
      </c>
    </row>
    <row r="4843" spans="1:15" x14ac:dyDescent="0.25">
      <c r="A4843" t="s">
        <v>4856</v>
      </c>
      <c r="B4843">
        <v>643</v>
      </c>
      <c r="C4843" s="1" t="str">
        <f>HYPERLINK("http://www.rosaceae.org/gb/gbrowse/malus_x_domestica/?name=MDP0000140915","MDP0000140915")</f>
        <v>MDP0000140915</v>
      </c>
      <c r="D4843">
        <v>56.25</v>
      </c>
      <c r="E4843">
        <v>560</v>
      </c>
      <c r="F4843">
        <v>245</v>
      </c>
      <c r="G4843">
        <v>28</v>
      </c>
      <c r="H4843">
        <v>24</v>
      </c>
      <c r="I4843">
        <v>557</v>
      </c>
      <c r="J4843">
        <v>1</v>
      </c>
      <c r="K4843">
        <v>44</v>
      </c>
      <c r="L4843">
        <v>601</v>
      </c>
      <c r="M4843">
        <v>1</v>
      </c>
      <c r="N4843">
        <v>3.2287700000000001E-179</v>
      </c>
      <c r="O4843">
        <v>1613</v>
      </c>
    </row>
    <row r="4844" spans="1:15" x14ac:dyDescent="0.25">
      <c r="A4844" t="s">
        <v>4857</v>
      </c>
      <c r="B4844">
        <v>325</v>
      </c>
      <c r="C4844" s="1" t="str">
        <f>HYPERLINK("http://www.rosaceae.org/gb/gbrowse/malus_x_domestica/?name=MDP0000242698","MDP0000242698")</f>
        <v>MDP0000242698</v>
      </c>
      <c r="D4844">
        <v>72.98</v>
      </c>
      <c r="E4844">
        <v>359</v>
      </c>
      <c r="F4844">
        <v>97</v>
      </c>
      <c r="G4844">
        <v>35</v>
      </c>
      <c r="H4844">
        <v>1</v>
      </c>
      <c r="I4844">
        <v>325</v>
      </c>
      <c r="J4844">
        <v>1</v>
      </c>
      <c r="K4844">
        <v>1</v>
      </c>
      <c r="L4844">
        <v>358</v>
      </c>
      <c r="M4844">
        <v>1</v>
      </c>
      <c r="N4844">
        <v>3.2333799999999998E-151</v>
      </c>
      <c r="O4844">
        <v>1368</v>
      </c>
    </row>
    <row r="4845" spans="1:15" x14ac:dyDescent="0.25">
      <c r="A4845" t="s">
        <v>4858</v>
      </c>
      <c r="B4845">
        <v>500</v>
      </c>
      <c r="C4845" s="1" t="str">
        <f>HYPERLINK("http://www.rosaceae.org/gb/gbrowse/malus_x_domestica/?name=MDP0000124626","MDP0000124626")</f>
        <v>MDP0000124626</v>
      </c>
      <c r="D4845">
        <v>43.96</v>
      </c>
      <c r="E4845">
        <v>489</v>
      </c>
      <c r="F4845">
        <v>274</v>
      </c>
      <c r="G4845">
        <v>14</v>
      </c>
      <c r="H4845">
        <v>1</v>
      </c>
      <c r="I4845">
        <v>486</v>
      </c>
      <c r="J4845">
        <v>1</v>
      </c>
      <c r="K4845">
        <v>1</v>
      </c>
      <c r="L4845">
        <v>478</v>
      </c>
      <c r="M4845">
        <v>1</v>
      </c>
      <c r="N4845">
        <v>8.5875599999999999E-117</v>
      </c>
      <c r="O4845">
        <v>1074</v>
      </c>
    </row>
    <row r="4846" spans="1:15" x14ac:dyDescent="0.25">
      <c r="A4846" t="s">
        <v>4859</v>
      </c>
      <c r="B4846">
        <v>1079</v>
      </c>
      <c r="C4846" s="1" t="str">
        <f>HYPERLINK("http://www.rosaceae.org/gb/gbrowse/malus_x_domestica/?name=MDP0000209079","MDP0000209079")</f>
        <v>MDP0000209079</v>
      </c>
      <c r="D4846">
        <v>76.77</v>
      </c>
      <c r="E4846">
        <v>887</v>
      </c>
      <c r="F4846">
        <v>206</v>
      </c>
      <c r="G4846">
        <v>28</v>
      </c>
      <c r="H4846">
        <v>193</v>
      </c>
      <c r="I4846">
        <v>1079</v>
      </c>
      <c r="J4846">
        <v>1</v>
      </c>
      <c r="K4846">
        <v>30</v>
      </c>
      <c r="L4846">
        <v>888</v>
      </c>
      <c r="M4846">
        <v>1</v>
      </c>
      <c r="N4846">
        <v>0</v>
      </c>
      <c r="O4846">
        <v>3684</v>
      </c>
    </row>
    <row r="4847" spans="1:15" x14ac:dyDescent="0.25">
      <c r="A4847" t="s">
        <v>4860</v>
      </c>
      <c r="B4847">
        <v>441</v>
      </c>
      <c r="C4847" s="1" t="str">
        <f>HYPERLINK("http://www.rosaceae.org/gb/gbrowse/malus_x_domestica/?name=MDP0000253288","MDP0000253288")</f>
        <v>MDP0000253288</v>
      </c>
      <c r="D4847">
        <v>85</v>
      </c>
      <c r="E4847">
        <v>40</v>
      </c>
      <c r="F4847">
        <v>6</v>
      </c>
      <c r="G4847">
        <v>0</v>
      </c>
      <c r="H4847">
        <v>1</v>
      </c>
      <c r="I4847">
        <v>40</v>
      </c>
      <c r="J4847">
        <v>1</v>
      </c>
      <c r="K4847">
        <v>457</v>
      </c>
      <c r="L4847">
        <v>496</v>
      </c>
      <c r="M4847">
        <v>1</v>
      </c>
      <c r="N4847">
        <v>4.43634E-14</v>
      </c>
      <c r="O4847">
        <v>187</v>
      </c>
    </row>
    <row r="4848" spans="1:15" x14ac:dyDescent="0.25">
      <c r="A4848" t="s">
        <v>4861</v>
      </c>
      <c r="B4848">
        <v>815</v>
      </c>
      <c r="C4848" s="1" t="str">
        <f>HYPERLINK("http://www.rosaceae.org/gb/gbrowse/malus_x_domestica/?name=MDP0000186402","MDP0000186402")</f>
        <v>MDP0000186402</v>
      </c>
      <c r="D4848">
        <v>27.8</v>
      </c>
      <c r="E4848">
        <v>205</v>
      </c>
      <c r="F4848">
        <v>148</v>
      </c>
      <c r="G4848">
        <v>8</v>
      </c>
      <c r="H4848">
        <v>87</v>
      </c>
      <c r="I4848">
        <v>288</v>
      </c>
      <c r="J4848">
        <v>1</v>
      </c>
      <c r="K4848">
        <v>112</v>
      </c>
      <c r="L4848">
        <v>311</v>
      </c>
      <c r="M4848">
        <v>1</v>
      </c>
      <c r="N4848">
        <v>2.3124500000000001E-14</v>
      </c>
      <c r="O4848">
        <v>192</v>
      </c>
    </row>
    <row r="4849" spans="1:15" x14ac:dyDescent="0.25">
      <c r="A4849" t="s">
        <v>4862</v>
      </c>
      <c r="B4849">
        <v>661</v>
      </c>
      <c r="C4849" s="1" t="str">
        <f>HYPERLINK("http://www.rosaceae.org/gb/gbrowse/malus_x_domestica/?name=MDP0000320631","MDP0000320631")</f>
        <v>MDP0000320631</v>
      </c>
      <c r="D4849">
        <v>75.040000000000006</v>
      </c>
      <c r="E4849">
        <v>569</v>
      </c>
      <c r="F4849">
        <v>142</v>
      </c>
      <c r="G4849">
        <v>58</v>
      </c>
      <c r="H4849">
        <v>1</v>
      </c>
      <c r="I4849">
        <v>512</v>
      </c>
      <c r="J4849">
        <v>1</v>
      </c>
      <c r="K4849">
        <v>1</v>
      </c>
      <c r="L4849">
        <v>568</v>
      </c>
      <c r="M4849">
        <v>1</v>
      </c>
      <c r="N4849">
        <v>0</v>
      </c>
      <c r="O4849">
        <v>2201</v>
      </c>
    </row>
    <row r="4850" spans="1:15" x14ac:dyDescent="0.25">
      <c r="A4850" t="s">
        <v>4863</v>
      </c>
      <c r="B4850">
        <v>71</v>
      </c>
      <c r="C4850" s="1" t="str">
        <f>HYPERLINK("http://www.rosaceae.org/gb/gbrowse/malus_x_domestica/?name=MDP0000268929","MDP0000268929")</f>
        <v>MDP0000268929</v>
      </c>
      <c r="D4850">
        <v>89.13</v>
      </c>
      <c r="E4850">
        <v>46</v>
      </c>
      <c r="F4850">
        <v>5</v>
      </c>
      <c r="G4850">
        <v>0</v>
      </c>
      <c r="H4850">
        <v>1</v>
      </c>
      <c r="I4850">
        <v>46</v>
      </c>
      <c r="J4850">
        <v>1</v>
      </c>
      <c r="K4850">
        <v>95</v>
      </c>
      <c r="L4850">
        <v>140</v>
      </c>
      <c r="M4850">
        <v>1</v>
      </c>
      <c r="N4850">
        <v>3.14185E-18</v>
      </c>
      <c r="O4850">
        <v>215</v>
      </c>
    </row>
    <row r="4851" spans="1:15" x14ac:dyDescent="0.25">
      <c r="A4851" t="s">
        <v>4864</v>
      </c>
      <c r="B4851">
        <v>1038</v>
      </c>
      <c r="C4851" s="1" t="str">
        <f>HYPERLINK("http://www.rosaceae.org/gb/gbrowse/malus_x_domestica/?name=MDP0000320813","MDP0000320813")</f>
        <v>MDP0000320813</v>
      </c>
      <c r="D4851">
        <v>54.62</v>
      </c>
      <c r="E4851">
        <v>487</v>
      </c>
      <c r="F4851">
        <v>221</v>
      </c>
      <c r="G4851">
        <v>61</v>
      </c>
      <c r="H4851">
        <v>165</v>
      </c>
      <c r="I4851">
        <v>599</v>
      </c>
      <c r="J4851">
        <v>1</v>
      </c>
      <c r="K4851">
        <v>412</v>
      </c>
      <c r="L4851">
        <v>889</v>
      </c>
      <c r="M4851">
        <v>1</v>
      </c>
      <c r="N4851">
        <v>3.2984500000000002E-137</v>
      </c>
      <c r="O4851">
        <v>1253</v>
      </c>
    </row>
    <row r="4852" spans="1:15" x14ac:dyDescent="0.25">
      <c r="A4852" t="s">
        <v>4865</v>
      </c>
      <c r="B4852">
        <v>369</v>
      </c>
      <c r="C4852" s="1" t="str">
        <f>HYPERLINK("http://www.rosaceae.org/gb/gbrowse/malus_x_domestica/?name=MDP0000180208","MDP0000180208")</f>
        <v>MDP0000180208</v>
      </c>
      <c r="D4852">
        <v>38.549999999999997</v>
      </c>
      <c r="E4852">
        <v>236</v>
      </c>
      <c r="F4852">
        <v>145</v>
      </c>
      <c r="G4852">
        <v>40</v>
      </c>
      <c r="H4852">
        <v>25</v>
      </c>
      <c r="I4852">
        <v>256</v>
      </c>
      <c r="J4852">
        <v>1</v>
      </c>
      <c r="K4852">
        <v>49</v>
      </c>
      <c r="L4852">
        <v>248</v>
      </c>
      <c r="M4852">
        <v>1</v>
      </c>
      <c r="N4852">
        <v>1.5262899999999999E-31</v>
      </c>
      <c r="O4852">
        <v>337</v>
      </c>
    </row>
    <row r="4853" spans="1:15" x14ac:dyDescent="0.25">
      <c r="A4853" t="s">
        <v>4866</v>
      </c>
      <c r="B4853">
        <v>361</v>
      </c>
      <c r="C4853" s="1" t="str">
        <f>HYPERLINK("http://www.rosaceae.org/gb/gbrowse/malus_x_domestica/?name=MDP0000549646","MDP0000549646")</f>
        <v>MDP0000549646</v>
      </c>
      <c r="D4853">
        <v>87.34</v>
      </c>
      <c r="E4853">
        <v>332</v>
      </c>
      <c r="F4853">
        <v>42</v>
      </c>
      <c r="G4853">
        <v>5</v>
      </c>
      <c r="H4853">
        <v>16</v>
      </c>
      <c r="I4853">
        <v>345</v>
      </c>
      <c r="J4853">
        <v>1</v>
      </c>
      <c r="K4853">
        <v>16</v>
      </c>
      <c r="L4853">
        <v>344</v>
      </c>
      <c r="M4853">
        <v>1</v>
      </c>
      <c r="N4853">
        <v>7.1822899999999995E-166</v>
      </c>
      <c r="O4853">
        <v>1495</v>
      </c>
    </row>
    <row r="4854" spans="1:15" x14ac:dyDescent="0.25">
      <c r="A4854" t="s">
        <v>4867</v>
      </c>
      <c r="B4854">
        <v>924</v>
      </c>
      <c r="C4854" s="1" t="str">
        <f>HYPERLINK("http://www.rosaceae.org/gb/gbrowse/malus_x_domestica/?name=MDP0000516935","MDP0000516935")</f>
        <v>MDP0000516935</v>
      </c>
      <c r="D4854">
        <v>50.19</v>
      </c>
      <c r="E4854">
        <v>1006</v>
      </c>
      <c r="F4854">
        <v>501</v>
      </c>
      <c r="G4854">
        <v>141</v>
      </c>
      <c r="H4854">
        <v>8</v>
      </c>
      <c r="I4854">
        <v>909</v>
      </c>
      <c r="J4854">
        <v>1</v>
      </c>
      <c r="K4854">
        <v>57</v>
      </c>
      <c r="L4854">
        <v>1025</v>
      </c>
      <c r="M4854">
        <v>1</v>
      </c>
      <c r="N4854">
        <v>0</v>
      </c>
      <c r="O4854">
        <v>2180</v>
      </c>
    </row>
    <row r="4855" spans="1:15" x14ac:dyDescent="0.25">
      <c r="A4855" t="s">
        <v>4868</v>
      </c>
      <c r="B4855">
        <v>159</v>
      </c>
      <c r="C4855" s="1" t="str">
        <f>HYPERLINK("http://www.rosaceae.org/gb/gbrowse/malus_x_domestica/?name=MDP0000185340","MDP0000185340")</f>
        <v>MDP0000185340</v>
      </c>
      <c r="D4855">
        <v>50</v>
      </c>
      <c r="E4855">
        <v>98</v>
      </c>
      <c r="F4855">
        <v>49</v>
      </c>
      <c r="G4855">
        <v>5</v>
      </c>
      <c r="H4855">
        <v>54</v>
      </c>
      <c r="I4855">
        <v>146</v>
      </c>
      <c r="J4855">
        <v>1</v>
      </c>
      <c r="K4855">
        <v>30</v>
      </c>
      <c r="L4855">
        <v>127</v>
      </c>
      <c r="M4855">
        <v>1</v>
      </c>
      <c r="N4855">
        <v>8.7253900000000001E-20</v>
      </c>
      <c r="O4855">
        <v>230</v>
      </c>
    </row>
    <row r="4856" spans="1:15" x14ac:dyDescent="0.25">
      <c r="A4856" t="s">
        <v>4869</v>
      </c>
      <c r="B4856">
        <v>831</v>
      </c>
      <c r="C4856" s="1" t="str">
        <f>HYPERLINK("http://www.rosaceae.org/gb/gbrowse/malus_x_domestica/?name=MDP0000273839","MDP0000273839")</f>
        <v>MDP0000273839</v>
      </c>
      <c r="D4856">
        <v>57.17</v>
      </c>
      <c r="E4856">
        <v>495</v>
      </c>
      <c r="F4856">
        <v>212</v>
      </c>
      <c r="G4856">
        <v>14</v>
      </c>
      <c r="H4856">
        <v>28</v>
      </c>
      <c r="I4856">
        <v>515</v>
      </c>
      <c r="J4856">
        <v>1</v>
      </c>
      <c r="K4856">
        <v>23</v>
      </c>
      <c r="L4856">
        <v>510</v>
      </c>
      <c r="M4856">
        <v>1</v>
      </c>
      <c r="N4856">
        <v>3.3181299999999996E-170</v>
      </c>
      <c r="O4856">
        <v>1537</v>
      </c>
    </row>
    <row r="4857" spans="1:15" x14ac:dyDescent="0.25">
      <c r="A4857" t="s">
        <v>4870</v>
      </c>
      <c r="B4857">
        <v>173</v>
      </c>
      <c r="C4857" s="1" t="str">
        <f>HYPERLINK("http://www.rosaceae.org/gb/gbrowse/malus_x_domestica/?name=MDP0000125807","MDP0000125807")</f>
        <v>MDP0000125807</v>
      </c>
      <c r="D4857">
        <v>74.03</v>
      </c>
      <c r="E4857">
        <v>104</v>
      </c>
      <c r="F4857">
        <v>27</v>
      </c>
      <c r="G4857">
        <v>0</v>
      </c>
      <c r="H4857">
        <v>22</v>
      </c>
      <c r="I4857">
        <v>125</v>
      </c>
      <c r="J4857">
        <v>1</v>
      </c>
      <c r="K4857">
        <v>22</v>
      </c>
      <c r="L4857">
        <v>125</v>
      </c>
      <c r="M4857">
        <v>1</v>
      </c>
      <c r="N4857">
        <v>9.7980600000000006E-44</v>
      </c>
      <c r="O4857">
        <v>438</v>
      </c>
    </row>
    <row r="4858" spans="1:15" x14ac:dyDescent="0.25">
      <c r="A4858" t="s">
        <v>4871</v>
      </c>
      <c r="B4858">
        <v>260</v>
      </c>
      <c r="C4858" s="1" t="str">
        <f>HYPERLINK("http://www.rosaceae.org/gb/gbrowse/malus_x_domestica/?name=MDP0000320561","MDP0000320561")</f>
        <v>MDP0000320561</v>
      </c>
      <c r="D4858">
        <v>80.52</v>
      </c>
      <c r="E4858">
        <v>190</v>
      </c>
      <c r="F4858">
        <v>37</v>
      </c>
      <c r="G4858">
        <v>20</v>
      </c>
      <c r="H4858">
        <v>91</v>
      </c>
      <c r="I4858">
        <v>260</v>
      </c>
      <c r="J4858">
        <v>1</v>
      </c>
      <c r="K4858">
        <v>219</v>
      </c>
      <c r="L4858">
        <v>408</v>
      </c>
      <c r="M4858">
        <v>1</v>
      </c>
      <c r="N4858">
        <v>1.43057E-82</v>
      </c>
      <c r="O4858">
        <v>775</v>
      </c>
    </row>
    <row r="4859" spans="1:15" x14ac:dyDescent="0.25">
      <c r="A4859" t="s">
        <v>4872</v>
      </c>
      <c r="B4859">
        <v>501</v>
      </c>
      <c r="C4859" s="1" t="str">
        <f>HYPERLINK("http://www.rosaceae.org/gb/gbrowse/malus_x_domestica/?name=MDP0000247921","MDP0000247921")</f>
        <v>MDP0000247921</v>
      </c>
      <c r="D4859">
        <v>35.380000000000003</v>
      </c>
      <c r="E4859">
        <v>195</v>
      </c>
      <c r="F4859">
        <v>126</v>
      </c>
      <c r="G4859">
        <v>7</v>
      </c>
      <c r="H4859">
        <v>182</v>
      </c>
      <c r="I4859">
        <v>372</v>
      </c>
      <c r="J4859">
        <v>1</v>
      </c>
      <c r="K4859">
        <v>731</v>
      </c>
      <c r="L4859">
        <v>922</v>
      </c>
      <c r="M4859">
        <v>1</v>
      </c>
      <c r="N4859">
        <v>8.1319999999999997E-26</v>
      </c>
      <c r="O4859">
        <v>289</v>
      </c>
    </row>
    <row r="4860" spans="1:15" x14ac:dyDescent="0.25">
      <c r="A4860" t="s">
        <v>4873</v>
      </c>
      <c r="B4860">
        <v>147</v>
      </c>
      <c r="C4860" s="1" t="str">
        <f>HYPERLINK("http://www.rosaceae.org/gb/gbrowse/malus_x_domestica/?name=MDP0000199273","MDP0000199273")</f>
        <v>MDP0000199273</v>
      </c>
      <c r="D4860">
        <v>57.5</v>
      </c>
      <c r="E4860">
        <v>120</v>
      </c>
      <c r="F4860">
        <v>51</v>
      </c>
      <c r="G4860">
        <v>16</v>
      </c>
      <c r="H4860">
        <v>34</v>
      </c>
      <c r="I4860">
        <v>138</v>
      </c>
      <c r="J4860">
        <v>1</v>
      </c>
      <c r="K4860">
        <v>587</v>
      </c>
      <c r="L4860">
        <v>705</v>
      </c>
      <c r="M4860">
        <v>1</v>
      </c>
      <c r="N4860">
        <v>3.08368E-34</v>
      </c>
      <c r="O4860">
        <v>354</v>
      </c>
    </row>
    <row r="4861" spans="1:15" x14ac:dyDescent="0.25">
      <c r="A4861" t="s">
        <v>4874</v>
      </c>
      <c r="B4861">
        <v>260</v>
      </c>
      <c r="C4861" s="1" t="str">
        <f>HYPERLINK("http://www.rosaceae.org/gb/gbrowse/malus_x_domestica/?name=MDP0000662186","MDP0000662186")</f>
        <v>MDP0000662186</v>
      </c>
      <c r="D4861">
        <v>45.45</v>
      </c>
      <c r="E4861">
        <v>143</v>
      </c>
      <c r="F4861">
        <v>78</v>
      </c>
      <c r="G4861">
        <v>9</v>
      </c>
      <c r="H4861">
        <v>117</v>
      </c>
      <c r="I4861">
        <v>259</v>
      </c>
      <c r="J4861">
        <v>1</v>
      </c>
      <c r="K4861">
        <v>95</v>
      </c>
      <c r="L4861">
        <v>228</v>
      </c>
      <c r="M4861">
        <v>1</v>
      </c>
      <c r="N4861">
        <v>3.7017700000000002E-26</v>
      </c>
      <c r="O4861">
        <v>289</v>
      </c>
    </row>
    <row r="4862" spans="1:15" x14ac:dyDescent="0.25">
      <c r="A4862" t="s">
        <v>4875</v>
      </c>
      <c r="B4862">
        <v>416</v>
      </c>
      <c r="C4862" s="1" t="str">
        <f>HYPERLINK("http://www.rosaceae.org/gb/gbrowse/malus_x_domestica/?name=MDP0000230479","MDP0000230479")</f>
        <v>MDP0000230479</v>
      </c>
      <c r="D4862">
        <v>80.89</v>
      </c>
      <c r="E4862">
        <v>246</v>
      </c>
      <c r="F4862">
        <v>47</v>
      </c>
      <c r="G4862">
        <v>0</v>
      </c>
      <c r="H4862">
        <v>171</v>
      </c>
      <c r="I4862">
        <v>416</v>
      </c>
      <c r="J4862">
        <v>1</v>
      </c>
      <c r="K4862">
        <v>195</v>
      </c>
      <c r="L4862">
        <v>440</v>
      </c>
      <c r="M4862">
        <v>1</v>
      </c>
      <c r="N4862">
        <v>1.0393899999999999E-113</v>
      </c>
      <c r="O4862">
        <v>1046</v>
      </c>
    </row>
    <row r="4863" spans="1:15" x14ac:dyDescent="0.25">
      <c r="A4863" t="s">
        <v>4876</v>
      </c>
      <c r="B4863">
        <v>160</v>
      </c>
      <c r="C4863" s="1" t="str">
        <f>HYPERLINK("http://www.rosaceae.org/gb/gbrowse/malus_x_domestica/?name=MDP0000149794","MDP0000149794")</f>
        <v>MDP0000149794</v>
      </c>
      <c r="D4863">
        <v>82.38</v>
      </c>
      <c r="E4863">
        <v>159</v>
      </c>
      <c r="F4863">
        <v>28</v>
      </c>
      <c r="G4863">
        <v>0</v>
      </c>
      <c r="H4863">
        <v>1</v>
      </c>
      <c r="I4863">
        <v>159</v>
      </c>
      <c r="J4863">
        <v>1</v>
      </c>
      <c r="K4863">
        <v>1</v>
      </c>
      <c r="L4863">
        <v>159</v>
      </c>
      <c r="M4863">
        <v>1</v>
      </c>
      <c r="N4863">
        <v>9.02277E-73</v>
      </c>
      <c r="O4863">
        <v>687</v>
      </c>
    </row>
    <row r="4864" spans="1:15" x14ac:dyDescent="0.25">
      <c r="A4864" t="s">
        <v>4877</v>
      </c>
      <c r="B4864">
        <v>318</v>
      </c>
      <c r="C4864" s="1" t="str">
        <f>HYPERLINK("http://www.rosaceae.org/gb/gbrowse/malus_x_domestica/?name=MDP0000193489","MDP0000193489")</f>
        <v>MDP0000193489</v>
      </c>
      <c r="D4864">
        <v>85.44</v>
      </c>
      <c r="E4864">
        <v>323</v>
      </c>
      <c r="F4864">
        <v>47</v>
      </c>
      <c r="G4864">
        <v>6</v>
      </c>
      <c r="H4864">
        <v>1</v>
      </c>
      <c r="I4864">
        <v>318</v>
      </c>
      <c r="J4864">
        <v>1</v>
      </c>
      <c r="K4864">
        <v>55</v>
      </c>
      <c r="L4864">
        <v>376</v>
      </c>
      <c r="M4864">
        <v>1</v>
      </c>
      <c r="N4864">
        <v>2.8540199999999999E-154</v>
      </c>
      <c r="O4864">
        <v>1395</v>
      </c>
    </row>
    <row r="4865" spans="1:15" x14ac:dyDescent="0.25">
      <c r="A4865" t="s">
        <v>4878</v>
      </c>
      <c r="B4865">
        <v>445</v>
      </c>
      <c r="C4865" s="1" t="str">
        <f>HYPERLINK("http://www.rosaceae.org/gb/gbrowse/malus_x_domestica/?name=MDP0000321236","MDP0000321236")</f>
        <v>MDP0000321236</v>
      </c>
      <c r="D4865">
        <v>91.68</v>
      </c>
      <c r="E4865">
        <v>421</v>
      </c>
      <c r="F4865">
        <v>35</v>
      </c>
      <c r="G4865">
        <v>0</v>
      </c>
      <c r="H4865">
        <v>23</v>
      </c>
      <c r="I4865">
        <v>443</v>
      </c>
      <c r="J4865">
        <v>1</v>
      </c>
      <c r="K4865">
        <v>330</v>
      </c>
      <c r="L4865">
        <v>750</v>
      </c>
      <c r="M4865">
        <v>1</v>
      </c>
      <c r="N4865">
        <v>0</v>
      </c>
      <c r="O4865">
        <v>2038</v>
      </c>
    </row>
    <row r="4866" spans="1:15" x14ac:dyDescent="0.25">
      <c r="A4866" t="s">
        <v>4879</v>
      </c>
      <c r="B4866">
        <v>450</v>
      </c>
      <c r="C4866" s="1" t="str">
        <f>HYPERLINK("http://www.rosaceae.org/gb/gbrowse/malus_x_domestica/?name=MDP0000142389","MDP0000142389")</f>
        <v>MDP0000142389</v>
      </c>
      <c r="D4866">
        <v>71.28</v>
      </c>
      <c r="E4866">
        <v>397</v>
      </c>
      <c r="F4866">
        <v>114</v>
      </c>
      <c r="G4866">
        <v>41</v>
      </c>
      <c r="H4866">
        <v>1</v>
      </c>
      <c r="I4866">
        <v>396</v>
      </c>
      <c r="J4866">
        <v>1</v>
      </c>
      <c r="K4866">
        <v>1</v>
      </c>
      <c r="L4866">
        <v>357</v>
      </c>
      <c r="M4866">
        <v>1</v>
      </c>
      <c r="N4866">
        <v>9.3610899999999993E-149</v>
      </c>
      <c r="O4866">
        <v>1349</v>
      </c>
    </row>
    <row r="4867" spans="1:15" x14ac:dyDescent="0.25">
      <c r="A4867" t="s">
        <v>4880</v>
      </c>
      <c r="B4867">
        <v>331</v>
      </c>
      <c r="C4867" s="1" t="str">
        <f>HYPERLINK("http://www.rosaceae.org/gb/gbrowse/malus_x_domestica/?name=MDP0000801476","MDP0000801476")</f>
        <v>MDP0000801476</v>
      </c>
      <c r="D4867">
        <v>57.81</v>
      </c>
      <c r="E4867">
        <v>211</v>
      </c>
      <c r="F4867">
        <v>89</v>
      </c>
      <c r="G4867">
        <v>21</v>
      </c>
      <c r="H4867">
        <v>93</v>
      </c>
      <c r="I4867">
        <v>300</v>
      </c>
      <c r="J4867">
        <v>1</v>
      </c>
      <c r="K4867">
        <v>134</v>
      </c>
      <c r="L4867">
        <v>326</v>
      </c>
      <c r="M4867">
        <v>1</v>
      </c>
      <c r="N4867">
        <v>2.24681E-60</v>
      </c>
      <c r="O4867">
        <v>585</v>
      </c>
    </row>
    <row r="4868" spans="1:15" x14ac:dyDescent="0.25">
      <c r="A4868" t="s">
        <v>4881</v>
      </c>
      <c r="B4868">
        <v>287</v>
      </c>
      <c r="C4868" s="1" t="str">
        <f>HYPERLINK("http://www.rosaceae.org/gb/gbrowse/malus_x_domestica/?name=MDP0000282709","MDP0000282709")</f>
        <v>MDP0000282709</v>
      </c>
      <c r="D4868">
        <v>71.62</v>
      </c>
      <c r="E4868">
        <v>222</v>
      </c>
      <c r="F4868">
        <v>63</v>
      </c>
      <c r="G4868">
        <v>8</v>
      </c>
      <c r="H4868">
        <v>2</v>
      </c>
      <c r="I4868">
        <v>216</v>
      </c>
      <c r="J4868">
        <v>1</v>
      </c>
      <c r="K4868">
        <v>1</v>
      </c>
      <c r="L4868">
        <v>221</v>
      </c>
      <c r="M4868">
        <v>1</v>
      </c>
      <c r="N4868">
        <v>1.1274899999999999E-89</v>
      </c>
      <c r="O4868">
        <v>837</v>
      </c>
    </row>
    <row r="4869" spans="1:15" x14ac:dyDescent="0.25">
      <c r="A4869" t="s">
        <v>4882</v>
      </c>
      <c r="B4869">
        <v>262</v>
      </c>
      <c r="C4869" s="1" t="str">
        <f>HYPERLINK("http://www.rosaceae.org/gb/gbrowse/malus_x_domestica/?name=MDP0000298785","MDP0000298785")</f>
        <v>MDP0000298785</v>
      </c>
      <c r="D4869">
        <v>52.67</v>
      </c>
      <c r="E4869">
        <v>262</v>
      </c>
      <c r="F4869">
        <v>124</v>
      </c>
      <c r="G4869">
        <v>10</v>
      </c>
      <c r="H4869">
        <v>1</v>
      </c>
      <c r="I4869">
        <v>257</v>
      </c>
      <c r="J4869">
        <v>1</v>
      </c>
      <c r="K4869">
        <v>1</v>
      </c>
      <c r="L4869">
        <v>257</v>
      </c>
      <c r="M4869">
        <v>1</v>
      </c>
      <c r="N4869">
        <v>3.5282800000000001E-62</v>
      </c>
      <c r="O4869">
        <v>599</v>
      </c>
    </row>
    <row r="4870" spans="1:15" x14ac:dyDescent="0.25">
      <c r="A4870" t="s">
        <v>4883</v>
      </c>
      <c r="B4870">
        <v>298</v>
      </c>
      <c r="C4870" s="1" t="str">
        <f>HYPERLINK("http://www.rosaceae.org/gb/gbrowse/malus_x_domestica/?name=MDP0000589422","MDP0000589422")</f>
        <v>MDP0000589422</v>
      </c>
      <c r="D4870">
        <v>37.18</v>
      </c>
      <c r="E4870">
        <v>320</v>
      </c>
      <c r="F4870">
        <v>201</v>
      </c>
      <c r="G4870">
        <v>72</v>
      </c>
      <c r="H4870">
        <v>1</v>
      </c>
      <c r="I4870">
        <v>288</v>
      </c>
      <c r="J4870">
        <v>1</v>
      </c>
      <c r="K4870">
        <v>1</v>
      </c>
      <c r="L4870">
        <v>280</v>
      </c>
      <c r="M4870">
        <v>1</v>
      </c>
      <c r="N4870">
        <v>1.4554800000000001E-39</v>
      </c>
      <c r="O4870">
        <v>405</v>
      </c>
    </row>
    <row r="4871" spans="1:15" x14ac:dyDescent="0.25">
      <c r="A4871" t="s">
        <v>4884</v>
      </c>
      <c r="B4871">
        <v>400</v>
      </c>
      <c r="C4871" s="1" t="str">
        <f>HYPERLINK("http://www.rosaceae.org/gb/gbrowse/malus_x_domestica/?name=MDP0000295664","MDP0000295664")</f>
        <v>MDP0000295664</v>
      </c>
      <c r="D4871">
        <v>74.5</v>
      </c>
      <c r="E4871">
        <v>302</v>
      </c>
      <c r="F4871">
        <v>77</v>
      </c>
      <c r="G4871">
        <v>3</v>
      </c>
      <c r="H4871">
        <v>7</v>
      </c>
      <c r="I4871">
        <v>308</v>
      </c>
      <c r="J4871">
        <v>1</v>
      </c>
      <c r="K4871">
        <v>8</v>
      </c>
      <c r="L4871">
        <v>306</v>
      </c>
      <c r="M4871">
        <v>1</v>
      </c>
      <c r="N4871">
        <v>3.6806199999999998E-116</v>
      </c>
      <c r="O4871">
        <v>1067</v>
      </c>
    </row>
    <row r="4872" spans="1:15" x14ac:dyDescent="0.25">
      <c r="A4872" t="s">
        <v>4885</v>
      </c>
      <c r="B4872">
        <v>534</v>
      </c>
      <c r="C4872" s="1" t="str">
        <f>HYPERLINK("http://www.rosaceae.org/gb/gbrowse/malus_x_domestica/?name=MDP0000308680","MDP0000308680")</f>
        <v>MDP0000308680</v>
      </c>
      <c r="D4872">
        <v>34.090000000000003</v>
      </c>
      <c r="E4872">
        <v>264</v>
      </c>
      <c r="F4872">
        <v>174</v>
      </c>
      <c r="G4872">
        <v>22</v>
      </c>
      <c r="H4872">
        <v>267</v>
      </c>
      <c r="I4872">
        <v>522</v>
      </c>
      <c r="J4872">
        <v>1</v>
      </c>
      <c r="K4872">
        <v>48</v>
      </c>
      <c r="L4872">
        <v>297</v>
      </c>
      <c r="M4872">
        <v>1</v>
      </c>
      <c r="N4872">
        <v>1.8034000000000001E-31</v>
      </c>
      <c r="O4872">
        <v>338</v>
      </c>
    </row>
    <row r="4873" spans="1:15" x14ac:dyDescent="0.25">
      <c r="A4873" t="s">
        <v>4886</v>
      </c>
      <c r="B4873">
        <v>1199</v>
      </c>
      <c r="C4873" s="1" t="str">
        <f>HYPERLINK("http://www.rosaceae.org/gb/gbrowse/malus_x_domestica/?name=MDP0000840325","MDP0000840325")</f>
        <v>MDP0000840325</v>
      </c>
      <c r="D4873">
        <v>80.56</v>
      </c>
      <c r="E4873">
        <v>674</v>
      </c>
      <c r="F4873">
        <v>131</v>
      </c>
      <c r="G4873">
        <v>5</v>
      </c>
      <c r="H4873">
        <v>530</v>
      </c>
      <c r="I4873">
        <v>1199</v>
      </c>
      <c r="J4873">
        <v>1</v>
      </c>
      <c r="K4873">
        <v>1</v>
      </c>
      <c r="L4873">
        <v>673</v>
      </c>
      <c r="M4873">
        <v>1</v>
      </c>
      <c r="N4873">
        <v>0</v>
      </c>
      <c r="O4873">
        <v>2862</v>
      </c>
    </row>
    <row r="4874" spans="1:15" x14ac:dyDescent="0.25">
      <c r="A4874" t="s">
        <v>4887</v>
      </c>
      <c r="B4874">
        <v>144</v>
      </c>
      <c r="C4874" s="1" t="str">
        <f>HYPERLINK("http://www.rosaceae.org/gb/gbrowse/malus_x_domestica/?name=MDP0000152155","MDP0000152155")</f>
        <v>MDP0000152155</v>
      </c>
      <c r="D4874">
        <v>41.72</v>
      </c>
      <c r="E4874">
        <v>139</v>
      </c>
      <c r="F4874">
        <v>81</v>
      </c>
      <c r="G4874">
        <v>1</v>
      </c>
      <c r="H4874">
        <v>3</v>
      </c>
      <c r="I4874">
        <v>141</v>
      </c>
      <c r="J4874">
        <v>1</v>
      </c>
      <c r="K4874">
        <v>2</v>
      </c>
      <c r="L4874">
        <v>139</v>
      </c>
      <c r="M4874">
        <v>1</v>
      </c>
      <c r="N4874">
        <v>2.56863E-26</v>
      </c>
      <c r="O4874">
        <v>286</v>
      </c>
    </row>
    <row r="4875" spans="1:15" x14ac:dyDescent="0.25">
      <c r="A4875" t="s">
        <v>4888</v>
      </c>
      <c r="B4875">
        <v>120</v>
      </c>
      <c r="C4875" s="1" t="str">
        <f>HYPERLINK("http://www.rosaceae.org/gb/gbrowse/malus_x_domestica/?name=MDP0000295767","MDP0000295767")</f>
        <v>MDP0000295767</v>
      </c>
      <c r="D4875">
        <v>38.770000000000003</v>
      </c>
      <c r="E4875">
        <v>98</v>
      </c>
      <c r="F4875">
        <v>60</v>
      </c>
      <c r="G4875">
        <v>7</v>
      </c>
      <c r="H4875">
        <v>22</v>
      </c>
      <c r="I4875">
        <v>119</v>
      </c>
      <c r="J4875">
        <v>1</v>
      </c>
      <c r="K4875">
        <v>142</v>
      </c>
      <c r="L4875">
        <v>232</v>
      </c>
      <c r="M4875">
        <v>1</v>
      </c>
      <c r="N4875">
        <v>4.36727E-16</v>
      </c>
      <c r="O4875">
        <v>196</v>
      </c>
    </row>
    <row r="4876" spans="1:15" x14ac:dyDescent="0.25">
      <c r="A4876" t="s">
        <v>4889</v>
      </c>
      <c r="B4876">
        <v>760</v>
      </c>
      <c r="C4876" s="1" t="str">
        <f>HYPERLINK("http://www.rosaceae.org/gb/gbrowse/malus_x_domestica/?name=MDP0000138828","MDP0000138828")</f>
        <v>MDP0000138828</v>
      </c>
      <c r="D4876">
        <v>76.23</v>
      </c>
      <c r="E4876">
        <v>749</v>
      </c>
      <c r="F4876">
        <v>178</v>
      </c>
      <c r="G4876">
        <v>11</v>
      </c>
      <c r="H4876">
        <v>1</v>
      </c>
      <c r="I4876">
        <v>744</v>
      </c>
      <c r="J4876">
        <v>1</v>
      </c>
      <c r="K4876">
        <v>1</v>
      </c>
      <c r="L4876">
        <v>743</v>
      </c>
      <c r="M4876">
        <v>1</v>
      </c>
      <c r="N4876">
        <v>0</v>
      </c>
      <c r="O4876">
        <v>3064</v>
      </c>
    </row>
    <row r="4877" spans="1:15" x14ac:dyDescent="0.25">
      <c r="A4877" t="s">
        <v>4890</v>
      </c>
      <c r="B4877">
        <v>328</v>
      </c>
      <c r="C4877" s="1" t="str">
        <f>HYPERLINK("http://www.rosaceae.org/gb/gbrowse/malus_x_domestica/?name=MDP0000244589","MDP0000244589")</f>
        <v>MDP0000244589</v>
      </c>
      <c r="D4877">
        <v>84.15</v>
      </c>
      <c r="E4877">
        <v>284</v>
      </c>
      <c r="F4877">
        <v>45</v>
      </c>
      <c r="G4877">
        <v>5</v>
      </c>
      <c r="H4877">
        <v>49</v>
      </c>
      <c r="I4877">
        <v>328</v>
      </c>
      <c r="J4877">
        <v>1</v>
      </c>
      <c r="K4877">
        <v>21</v>
      </c>
      <c r="L4877">
        <v>303</v>
      </c>
      <c r="M4877">
        <v>1</v>
      </c>
      <c r="N4877">
        <v>3.8547699999999999E-138</v>
      </c>
      <c r="O4877">
        <v>1256</v>
      </c>
    </row>
    <row r="4878" spans="1:15" x14ac:dyDescent="0.25">
      <c r="A4878" t="s">
        <v>4891</v>
      </c>
      <c r="B4878">
        <v>689</v>
      </c>
      <c r="C4878" s="1" t="str">
        <f>HYPERLINK("http://www.rosaceae.org/gb/gbrowse/malus_x_domestica/?name=MDP0000186226","MDP0000186226")</f>
        <v>MDP0000186226</v>
      </c>
      <c r="D4878">
        <v>61.12</v>
      </c>
      <c r="E4878">
        <v>638</v>
      </c>
      <c r="F4878">
        <v>248</v>
      </c>
      <c r="G4878">
        <v>124</v>
      </c>
      <c r="H4878">
        <v>22</v>
      </c>
      <c r="I4878">
        <v>644</v>
      </c>
      <c r="J4878">
        <v>1</v>
      </c>
      <c r="K4878">
        <v>5</v>
      </c>
      <c r="L4878">
        <v>533</v>
      </c>
      <c r="M4878">
        <v>1</v>
      </c>
      <c r="N4878">
        <v>0</v>
      </c>
      <c r="O4878">
        <v>1881</v>
      </c>
    </row>
    <row r="4879" spans="1:15" x14ac:dyDescent="0.25">
      <c r="A4879" t="s">
        <v>4892</v>
      </c>
      <c r="B4879">
        <v>1830</v>
      </c>
      <c r="C4879" s="1" t="str">
        <f>HYPERLINK("http://www.rosaceae.org/gb/gbrowse/malus_x_domestica/?name=MDP0000204347","MDP0000204347")</f>
        <v>MDP0000204347</v>
      </c>
      <c r="D4879">
        <v>68.59</v>
      </c>
      <c r="E4879">
        <v>207</v>
      </c>
      <c r="F4879">
        <v>65</v>
      </c>
      <c r="G4879">
        <v>10</v>
      </c>
      <c r="H4879">
        <v>739</v>
      </c>
      <c r="I4879">
        <v>939</v>
      </c>
      <c r="J4879">
        <v>1</v>
      </c>
      <c r="K4879">
        <v>85</v>
      </c>
      <c r="L4879">
        <v>287</v>
      </c>
      <c r="M4879">
        <v>1</v>
      </c>
      <c r="N4879">
        <v>1.33214E-71</v>
      </c>
      <c r="O4879">
        <v>689</v>
      </c>
    </row>
    <row r="4880" spans="1:15" x14ac:dyDescent="0.25">
      <c r="A4880" t="s">
        <v>4893</v>
      </c>
      <c r="B4880">
        <v>660</v>
      </c>
      <c r="C4880" s="1" t="str">
        <f>HYPERLINK("http://www.rosaceae.org/gb/gbrowse/malus_x_domestica/?name=MDP0000819495","MDP0000819495")</f>
        <v>MDP0000819495</v>
      </c>
      <c r="D4880">
        <v>75</v>
      </c>
      <c r="E4880">
        <v>708</v>
      </c>
      <c r="F4880">
        <v>177</v>
      </c>
      <c r="G4880">
        <v>53</v>
      </c>
      <c r="H4880">
        <v>4</v>
      </c>
      <c r="I4880">
        <v>660</v>
      </c>
      <c r="J4880">
        <v>1</v>
      </c>
      <c r="K4880">
        <v>8</v>
      </c>
      <c r="L4880">
        <v>713</v>
      </c>
      <c r="M4880">
        <v>1</v>
      </c>
      <c r="N4880">
        <v>0</v>
      </c>
      <c r="O4880">
        <v>2710</v>
      </c>
    </row>
    <row r="4881" spans="1:15" x14ac:dyDescent="0.25">
      <c r="A4881" t="s">
        <v>4894</v>
      </c>
      <c r="B4881">
        <v>78</v>
      </c>
      <c r="C4881" s="1" t="str">
        <f>HYPERLINK("http://www.rosaceae.org/gb/gbrowse/malus_x_domestica/?name=MDP0000217043","MDP0000217043")</f>
        <v>MDP0000217043</v>
      </c>
      <c r="D4881">
        <v>87.5</v>
      </c>
      <c r="E4881">
        <v>72</v>
      </c>
      <c r="F4881">
        <v>9</v>
      </c>
      <c r="G4881">
        <v>0</v>
      </c>
      <c r="H4881">
        <v>7</v>
      </c>
      <c r="I4881">
        <v>78</v>
      </c>
      <c r="J4881">
        <v>1</v>
      </c>
      <c r="K4881">
        <v>630</v>
      </c>
      <c r="L4881">
        <v>701</v>
      </c>
      <c r="M4881">
        <v>1</v>
      </c>
      <c r="N4881">
        <v>2.6254900000000001E-33</v>
      </c>
      <c r="O4881">
        <v>345</v>
      </c>
    </row>
    <row r="4882" spans="1:15" x14ac:dyDescent="0.25">
      <c r="A4882" t="s">
        <v>4895</v>
      </c>
      <c r="B4882">
        <v>151</v>
      </c>
      <c r="C4882" s="1" t="str">
        <f>HYPERLINK("http://www.rosaceae.org/gb/gbrowse/malus_x_domestica/?name=MDP0000232790","MDP0000232790")</f>
        <v>MDP0000232790</v>
      </c>
      <c r="D4882">
        <v>71.64</v>
      </c>
      <c r="E4882">
        <v>134</v>
      </c>
      <c r="F4882">
        <v>38</v>
      </c>
      <c r="G4882">
        <v>1</v>
      </c>
      <c r="H4882">
        <v>18</v>
      </c>
      <c r="I4882">
        <v>151</v>
      </c>
      <c r="J4882">
        <v>1</v>
      </c>
      <c r="K4882">
        <v>17</v>
      </c>
      <c r="L4882">
        <v>149</v>
      </c>
      <c r="M4882">
        <v>1</v>
      </c>
      <c r="N4882">
        <v>2.8670100000000002E-47</v>
      </c>
      <c r="O4882">
        <v>467</v>
      </c>
    </row>
    <row r="4883" spans="1:15" x14ac:dyDescent="0.25">
      <c r="A4883" t="s">
        <v>4896</v>
      </c>
      <c r="B4883">
        <v>141</v>
      </c>
      <c r="C4883" s="1" t="str">
        <f>HYPERLINK("http://www.rosaceae.org/gb/gbrowse/malus_x_domestica/?name=MDP0000463119","MDP0000463119")</f>
        <v>MDP0000463119</v>
      </c>
      <c r="D4883">
        <v>82.64</v>
      </c>
      <c r="E4883">
        <v>121</v>
      </c>
      <c r="F4883">
        <v>21</v>
      </c>
      <c r="G4883">
        <v>0</v>
      </c>
      <c r="H4883">
        <v>21</v>
      </c>
      <c r="I4883">
        <v>141</v>
      </c>
      <c r="J4883">
        <v>1</v>
      </c>
      <c r="K4883">
        <v>73</v>
      </c>
      <c r="L4883">
        <v>193</v>
      </c>
      <c r="M4883">
        <v>1</v>
      </c>
      <c r="N4883">
        <v>2.8375900000000001E-49</v>
      </c>
      <c r="O4883">
        <v>484</v>
      </c>
    </row>
    <row r="4884" spans="1:15" x14ac:dyDescent="0.25">
      <c r="A4884" t="s">
        <v>4897</v>
      </c>
      <c r="B4884">
        <v>660</v>
      </c>
      <c r="C4884" s="1" t="str">
        <f>HYPERLINK("http://www.rosaceae.org/gb/gbrowse/malus_x_domestica/?name=MDP0000625181","MDP0000625181")</f>
        <v>MDP0000625181</v>
      </c>
      <c r="D4884">
        <v>63.96</v>
      </c>
      <c r="E4884">
        <v>505</v>
      </c>
      <c r="F4884">
        <v>182</v>
      </c>
      <c r="G4884">
        <v>21</v>
      </c>
      <c r="H4884">
        <v>17</v>
      </c>
      <c r="I4884">
        <v>514</v>
      </c>
      <c r="J4884">
        <v>1</v>
      </c>
      <c r="K4884">
        <v>6</v>
      </c>
      <c r="L4884">
        <v>496</v>
      </c>
      <c r="M4884">
        <v>1</v>
      </c>
      <c r="N4884">
        <v>0</v>
      </c>
      <c r="O4884">
        <v>1691</v>
      </c>
    </row>
    <row r="4885" spans="1:15" x14ac:dyDescent="0.25">
      <c r="A4885" t="s">
        <v>4898</v>
      </c>
      <c r="B4885">
        <v>504</v>
      </c>
      <c r="C4885" s="1" t="str">
        <f>HYPERLINK("http://www.rosaceae.org/gb/gbrowse/malus_x_domestica/?name=MDP0000310693","MDP0000310693")</f>
        <v>MDP0000310693</v>
      </c>
      <c r="D4885">
        <v>30.27</v>
      </c>
      <c r="E4885">
        <v>370</v>
      </c>
      <c r="F4885">
        <v>258</v>
      </c>
      <c r="G4885">
        <v>35</v>
      </c>
      <c r="H4885">
        <v>16</v>
      </c>
      <c r="I4885">
        <v>372</v>
      </c>
      <c r="J4885">
        <v>1</v>
      </c>
      <c r="K4885">
        <v>184</v>
      </c>
      <c r="L4885">
        <v>531</v>
      </c>
      <c r="M4885">
        <v>1</v>
      </c>
      <c r="N4885">
        <v>3.3286799999999998E-25</v>
      </c>
      <c r="O4885">
        <v>284</v>
      </c>
    </row>
    <row r="4886" spans="1:15" x14ac:dyDescent="0.25">
      <c r="A4886" t="s">
        <v>4899</v>
      </c>
      <c r="B4886">
        <v>119</v>
      </c>
      <c r="C4886" s="1" t="str">
        <f>HYPERLINK("http://www.rosaceae.org/gb/gbrowse/malus_x_domestica/?name=MDP0000308856","MDP0000308856")</f>
        <v>MDP0000308856</v>
      </c>
      <c r="D4886">
        <v>68.13</v>
      </c>
      <c r="E4886">
        <v>91</v>
      </c>
      <c r="F4886">
        <v>29</v>
      </c>
      <c r="G4886">
        <v>1</v>
      </c>
      <c r="H4886">
        <v>28</v>
      </c>
      <c r="I4886">
        <v>118</v>
      </c>
      <c r="J4886">
        <v>1</v>
      </c>
      <c r="K4886">
        <v>1</v>
      </c>
      <c r="L4886">
        <v>90</v>
      </c>
      <c r="M4886">
        <v>1</v>
      </c>
      <c r="N4886">
        <v>2.9471900000000002E-32</v>
      </c>
      <c r="O4886">
        <v>336</v>
      </c>
    </row>
    <row r="4887" spans="1:15" x14ac:dyDescent="0.25">
      <c r="A4887" t="s">
        <v>4900</v>
      </c>
      <c r="B4887">
        <v>926</v>
      </c>
      <c r="C4887" s="1" t="str">
        <f>HYPERLINK("http://www.rosaceae.org/gb/gbrowse/malus_x_domestica/?name=MDP0000304104","MDP0000304104")</f>
        <v>MDP0000304104</v>
      </c>
      <c r="D4887">
        <v>62.78</v>
      </c>
      <c r="E4887">
        <v>935</v>
      </c>
      <c r="F4887">
        <v>348</v>
      </c>
      <c r="G4887">
        <v>97</v>
      </c>
      <c r="H4887">
        <v>1</v>
      </c>
      <c r="I4887">
        <v>926</v>
      </c>
      <c r="J4887">
        <v>1</v>
      </c>
      <c r="K4887">
        <v>1</v>
      </c>
      <c r="L4887">
        <v>847</v>
      </c>
      <c r="M4887">
        <v>1</v>
      </c>
      <c r="N4887">
        <v>0</v>
      </c>
      <c r="O4887">
        <v>2805</v>
      </c>
    </row>
    <row r="4888" spans="1:15" x14ac:dyDescent="0.25">
      <c r="A4888" t="s">
        <v>4901</v>
      </c>
      <c r="B4888">
        <v>147</v>
      </c>
      <c r="C4888" s="1" t="str">
        <f>HYPERLINK("http://www.rosaceae.org/gb/gbrowse/malus_x_domestica/?name=MDP0000215213","MDP0000215213")</f>
        <v>MDP0000215213</v>
      </c>
      <c r="D4888">
        <v>78.430000000000007</v>
      </c>
      <c r="E4888">
        <v>102</v>
      </c>
      <c r="F4888">
        <v>22</v>
      </c>
      <c r="G4888">
        <v>0</v>
      </c>
      <c r="H4888">
        <v>1</v>
      </c>
      <c r="I4888">
        <v>102</v>
      </c>
      <c r="J4888">
        <v>1</v>
      </c>
      <c r="K4888">
        <v>412</v>
      </c>
      <c r="L4888">
        <v>513</v>
      </c>
      <c r="M4888">
        <v>1</v>
      </c>
      <c r="N4888">
        <v>4.0505700000000004E-43</v>
      </c>
      <c r="O4888">
        <v>431</v>
      </c>
    </row>
    <row r="4889" spans="1:15" x14ac:dyDescent="0.25">
      <c r="A4889" t="s">
        <v>4902</v>
      </c>
      <c r="B4889">
        <v>423</v>
      </c>
      <c r="C4889" s="1" t="str">
        <f>HYPERLINK("http://www.rosaceae.org/gb/gbrowse/malus_x_domestica/?name=MDP0000337873","MDP0000337873")</f>
        <v>MDP0000337873</v>
      </c>
      <c r="D4889">
        <v>33.33</v>
      </c>
      <c r="E4889">
        <v>207</v>
      </c>
      <c r="F4889">
        <v>138</v>
      </c>
      <c r="G4889">
        <v>9</v>
      </c>
      <c r="H4889">
        <v>184</v>
      </c>
      <c r="I4889">
        <v>386</v>
      </c>
      <c r="J4889">
        <v>1</v>
      </c>
      <c r="K4889">
        <v>140</v>
      </c>
      <c r="L4889">
        <v>341</v>
      </c>
      <c r="M4889">
        <v>1</v>
      </c>
      <c r="N4889">
        <v>6.2322500000000002E-27</v>
      </c>
      <c r="O4889">
        <v>298</v>
      </c>
    </row>
    <row r="4890" spans="1:15" x14ac:dyDescent="0.25">
      <c r="A4890" t="s">
        <v>4903</v>
      </c>
      <c r="B4890">
        <v>660</v>
      </c>
      <c r="C4890" s="1" t="str">
        <f>HYPERLINK("http://www.rosaceae.org/gb/gbrowse/malus_x_domestica/?name=MDP0000261327","MDP0000261327")</f>
        <v>MDP0000261327</v>
      </c>
      <c r="D4890">
        <v>45.97</v>
      </c>
      <c r="E4890">
        <v>298</v>
      </c>
      <c r="F4890">
        <v>161</v>
      </c>
      <c r="G4890">
        <v>9</v>
      </c>
      <c r="H4890">
        <v>331</v>
      </c>
      <c r="I4890">
        <v>624</v>
      </c>
      <c r="J4890">
        <v>1</v>
      </c>
      <c r="K4890">
        <v>1662</v>
      </c>
      <c r="L4890">
        <v>1954</v>
      </c>
      <c r="M4890">
        <v>1</v>
      </c>
      <c r="N4890">
        <v>1.21323E-66</v>
      </c>
      <c r="O4890">
        <v>642</v>
      </c>
    </row>
    <row r="4891" spans="1:15" x14ac:dyDescent="0.25">
      <c r="A4891" t="s">
        <v>4904</v>
      </c>
      <c r="B4891">
        <v>508</v>
      </c>
      <c r="C4891" s="1" t="str">
        <f>HYPERLINK("http://www.rosaceae.org/gb/gbrowse/malus_x_domestica/?name=MDP0000572721","MDP0000572721")</f>
        <v>MDP0000572721</v>
      </c>
      <c r="D4891">
        <v>77.66</v>
      </c>
      <c r="E4891">
        <v>506</v>
      </c>
      <c r="F4891">
        <v>113</v>
      </c>
      <c r="G4891">
        <v>3</v>
      </c>
      <c r="H4891">
        <v>1</v>
      </c>
      <c r="I4891">
        <v>506</v>
      </c>
      <c r="J4891">
        <v>1</v>
      </c>
      <c r="K4891">
        <v>1</v>
      </c>
      <c r="L4891">
        <v>503</v>
      </c>
      <c r="M4891">
        <v>1</v>
      </c>
      <c r="N4891">
        <v>0</v>
      </c>
      <c r="O4891">
        <v>1997</v>
      </c>
    </row>
    <row r="4892" spans="1:15" x14ac:dyDescent="0.25">
      <c r="A4892" t="s">
        <v>4905</v>
      </c>
      <c r="B4892">
        <v>378</v>
      </c>
      <c r="C4892" s="1" t="str">
        <f>HYPERLINK("http://www.rosaceae.org/gb/gbrowse/malus_x_domestica/?name=MDP0000243374","MDP0000243374")</f>
        <v>MDP0000243374</v>
      </c>
      <c r="D4892">
        <v>49.24</v>
      </c>
      <c r="E4892">
        <v>264</v>
      </c>
      <c r="F4892">
        <v>134</v>
      </c>
      <c r="G4892">
        <v>49</v>
      </c>
      <c r="H4892">
        <v>113</v>
      </c>
      <c r="I4892">
        <v>346</v>
      </c>
      <c r="J4892">
        <v>1</v>
      </c>
      <c r="K4892">
        <v>96</v>
      </c>
      <c r="L4892">
        <v>340</v>
      </c>
      <c r="M4892">
        <v>1</v>
      </c>
      <c r="N4892">
        <v>4.0435100000000002E-67</v>
      </c>
      <c r="O4892">
        <v>644</v>
      </c>
    </row>
    <row r="4893" spans="1:15" x14ac:dyDescent="0.25">
      <c r="A4893" t="s">
        <v>4906</v>
      </c>
      <c r="B4893">
        <v>488</v>
      </c>
      <c r="C4893" s="1" t="str">
        <f>HYPERLINK("http://www.rosaceae.org/gb/gbrowse/malus_x_domestica/?name=MDP0000125644","MDP0000125644")</f>
        <v>MDP0000125644</v>
      </c>
      <c r="D4893">
        <v>26.62</v>
      </c>
      <c r="E4893">
        <v>447</v>
      </c>
      <c r="F4893">
        <v>328</v>
      </c>
      <c r="G4893">
        <v>155</v>
      </c>
      <c r="H4893">
        <v>65</v>
      </c>
      <c r="I4893">
        <v>486</v>
      </c>
      <c r="J4893">
        <v>1</v>
      </c>
      <c r="K4893">
        <v>1</v>
      </c>
      <c r="L4893">
        <v>317</v>
      </c>
      <c r="M4893">
        <v>1</v>
      </c>
      <c r="N4893">
        <v>1.57177E-18</v>
      </c>
      <c r="O4893">
        <v>226</v>
      </c>
    </row>
    <row r="4894" spans="1:15" x14ac:dyDescent="0.25">
      <c r="A4894" t="s">
        <v>4907</v>
      </c>
      <c r="B4894">
        <v>354</v>
      </c>
      <c r="C4894" s="1" t="str">
        <f>HYPERLINK("http://www.rosaceae.org/gb/gbrowse/malus_x_domestica/?name=MDP0000189446","MDP0000189446")</f>
        <v>MDP0000189446</v>
      </c>
      <c r="D4894">
        <v>45.09</v>
      </c>
      <c r="E4894">
        <v>377</v>
      </c>
      <c r="F4894">
        <v>207</v>
      </c>
      <c r="G4894">
        <v>37</v>
      </c>
      <c r="H4894">
        <v>1</v>
      </c>
      <c r="I4894">
        <v>354</v>
      </c>
      <c r="J4894">
        <v>1</v>
      </c>
      <c r="K4894">
        <v>1</v>
      </c>
      <c r="L4894">
        <v>363</v>
      </c>
      <c r="M4894">
        <v>1</v>
      </c>
      <c r="N4894">
        <v>7.67667E-71</v>
      </c>
      <c r="O4894">
        <v>676</v>
      </c>
    </row>
    <row r="4895" spans="1:15" x14ac:dyDescent="0.25">
      <c r="A4895" t="s">
        <v>4908</v>
      </c>
      <c r="B4895">
        <v>1149</v>
      </c>
      <c r="C4895" s="1" t="str">
        <f>HYPERLINK("http://www.rosaceae.org/gb/gbrowse/malus_x_domestica/?name=MDP0000313004","MDP0000313004")</f>
        <v>MDP0000313004</v>
      </c>
      <c r="D4895">
        <v>73.36</v>
      </c>
      <c r="E4895">
        <v>1085</v>
      </c>
      <c r="F4895">
        <v>289</v>
      </c>
      <c r="G4895">
        <v>78</v>
      </c>
      <c r="H4895">
        <v>4</v>
      </c>
      <c r="I4895">
        <v>1038</v>
      </c>
      <c r="J4895">
        <v>1</v>
      </c>
      <c r="K4895">
        <v>5</v>
      </c>
      <c r="L4895">
        <v>1061</v>
      </c>
      <c r="M4895">
        <v>1</v>
      </c>
      <c r="N4895">
        <v>0</v>
      </c>
      <c r="O4895">
        <v>3875</v>
      </c>
    </row>
    <row r="4896" spans="1:15" x14ac:dyDescent="0.25">
      <c r="A4896" t="s">
        <v>4909</v>
      </c>
      <c r="B4896">
        <v>204</v>
      </c>
      <c r="C4896" s="1" t="str">
        <f>HYPERLINK("http://www.rosaceae.org/gb/gbrowse/malus_x_domestica/?name=MDP0000237150","MDP0000237150")</f>
        <v>MDP0000237150</v>
      </c>
      <c r="D4896">
        <v>59.11</v>
      </c>
      <c r="E4896">
        <v>159</v>
      </c>
      <c r="F4896">
        <v>65</v>
      </c>
      <c r="G4896">
        <v>11</v>
      </c>
      <c r="H4896">
        <v>54</v>
      </c>
      <c r="I4896">
        <v>204</v>
      </c>
      <c r="J4896">
        <v>1</v>
      </c>
      <c r="K4896">
        <v>595</v>
      </c>
      <c r="L4896">
        <v>750</v>
      </c>
      <c r="M4896">
        <v>1</v>
      </c>
      <c r="N4896">
        <v>7.9992899999999998E-49</v>
      </c>
      <c r="O4896">
        <v>483</v>
      </c>
    </row>
    <row r="4897" spans="1:15" x14ac:dyDescent="0.25">
      <c r="A4897" t="s">
        <v>4910</v>
      </c>
      <c r="B4897">
        <v>316</v>
      </c>
      <c r="C4897" s="1" t="str">
        <f>HYPERLINK("http://www.rosaceae.org/gb/gbrowse/malus_x_domestica/?name=MDP0000275619","MDP0000275619")</f>
        <v>MDP0000275619</v>
      </c>
      <c r="D4897">
        <v>83.07</v>
      </c>
      <c r="E4897">
        <v>319</v>
      </c>
      <c r="F4897">
        <v>54</v>
      </c>
      <c r="G4897">
        <v>7</v>
      </c>
      <c r="H4897">
        <v>2</v>
      </c>
      <c r="I4897">
        <v>315</v>
      </c>
      <c r="J4897">
        <v>1</v>
      </c>
      <c r="K4897">
        <v>3</v>
      </c>
      <c r="L4897">
        <v>319</v>
      </c>
      <c r="M4897">
        <v>1</v>
      </c>
      <c r="N4897">
        <v>9.1825099999999995E-149</v>
      </c>
      <c r="O4897">
        <v>1347</v>
      </c>
    </row>
    <row r="4898" spans="1:15" x14ac:dyDescent="0.25">
      <c r="A4898" t="s">
        <v>4911</v>
      </c>
      <c r="B4898">
        <v>420</v>
      </c>
      <c r="C4898" s="1" t="str">
        <f>HYPERLINK("http://www.rosaceae.org/gb/gbrowse/malus_x_domestica/?name=MDP0000322005","MDP0000322005")</f>
        <v>MDP0000322005</v>
      </c>
      <c r="D4898">
        <v>69.489999999999995</v>
      </c>
      <c r="E4898">
        <v>413</v>
      </c>
      <c r="F4898">
        <v>126</v>
      </c>
      <c r="G4898">
        <v>22</v>
      </c>
      <c r="H4898">
        <v>1</v>
      </c>
      <c r="I4898">
        <v>393</v>
      </c>
      <c r="J4898">
        <v>1</v>
      </c>
      <c r="K4898">
        <v>1</v>
      </c>
      <c r="L4898">
        <v>411</v>
      </c>
      <c r="M4898">
        <v>1</v>
      </c>
      <c r="N4898">
        <v>2.9250800000000001E-157</v>
      </c>
      <c r="O4898">
        <v>1422</v>
      </c>
    </row>
    <row r="4899" spans="1:15" x14ac:dyDescent="0.25">
      <c r="A4899" t="s">
        <v>4912</v>
      </c>
      <c r="B4899">
        <v>296</v>
      </c>
      <c r="C4899" s="1" t="str">
        <f>HYPERLINK("http://www.rosaceae.org/gb/gbrowse/malus_x_domestica/?name=MDP0000147908","MDP0000147908")</f>
        <v>MDP0000147908</v>
      </c>
      <c r="D4899">
        <v>56.29</v>
      </c>
      <c r="E4899">
        <v>302</v>
      </c>
      <c r="F4899">
        <v>132</v>
      </c>
      <c r="G4899">
        <v>21</v>
      </c>
      <c r="H4899">
        <v>1</v>
      </c>
      <c r="I4899">
        <v>296</v>
      </c>
      <c r="J4899">
        <v>1</v>
      </c>
      <c r="K4899">
        <v>523</v>
      </c>
      <c r="L4899">
        <v>809</v>
      </c>
      <c r="M4899">
        <v>1</v>
      </c>
      <c r="N4899">
        <v>1.2864100000000001E-84</v>
      </c>
      <c r="O4899">
        <v>794</v>
      </c>
    </row>
    <row r="4900" spans="1:15" x14ac:dyDescent="0.25">
      <c r="A4900" t="s">
        <v>4913</v>
      </c>
      <c r="B4900">
        <v>445</v>
      </c>
      <c r="C4900" s="1" t="str">
        <f>HYPERLINK("http://www.rosaceae.org/gb/gbrowse/malus_x_domestica/?name=MDP0000271642","MDP0000271642")</f>
        <v>MDP0000271642</v>
      </c>
      <c r="D4900">
        <v>80.86</v>
      </c>
      <c r="E4900">
        <v>439</v>
      </c>
      <c r="F4900">
        <v>84</v>
      </c>
      <c r="G4900">
        <v>2</v>
      </c>
      <c r="H4900">
        <v>1</v>
      </c>
      <c r="I4900">
        <v>439</v>
      </c>
      <c r="J4900">
        <v>1</v>
      </c>
      <c r="K4900">
        <v>1408</v>
      </c>
      <c r="L4900">
        <v>1844</v>
      </c>
      <c r="M4900">
        <v>1</v>
      </c>
      <c r="N4900">
        <v>0</v>
      </c>
      <c r="O4900">
        <v>1936</v>
      </c>
    </row>
    <row r="4901" spans="1:15" x14ac:dyDescent="0.25">
      <c r="A4901" t="s">
        <v>4914</v>
      </c>
      <c r="B4901">
        <v>185</v>
      </c>
      <c r="C4901" s="1" t="str">
        <f>HYPERLINK("http://www.rosaceae.org/gb/gbrowse/malus_x_domestica/?name=MDP0000319664","MDP0000319664")</f>
        <v>MDP0000319664</v>
      </c>
      <c r="D4901">
        <v>89.13</v>
      </c>
      <c r="E4901">
        <v>184</v>
      </c>
      <c r="F4901">
        <v>20</v>
      </c>
      <c r="G4901">
        <v>0</v>
      </c>
      <c r="H4901">
        <v>1</v>
      </c>
      <c r="I4901">
        <v>184</v>
      </c>
      <c r="J4901">
        <v>1</v>
      </c>
      <c r="K4901">
        <v>1</v>
      </c>
      <c r="L4901">
        <v>184</v>
      </c>
      <c r="M4901">
        <v>1</v>
      </c>
      <c r="N4901">
        <v>3.1159400000000002E-98</v>
      </c>
      <c r="O4901">
        <v>908</v>
      </c>
    </row>
    <row r="4902" spans="1:15" x14ac:dyDescent="0.25">
      <c r="A4902" t="s">
        <v>4915</v>
      </c>
      <c r="B4902">
        <v>394</v>
      </c>
      <c r="C4902" s="1" t="str">
        <f>HYPERLINK("http://www.rosaceae.org/gb/gbrowse/malus_x_domestica/?name=MDP0000725634","MDP0000725634")</f>
        <v>MDP0000725634</v>
      </c>
      <c r="D4902">
        <v>33.090000000000003</v>
      </c>
      <c r="E4902">
        <v>284</v>
      </c>
      <c r="F4902">
        <v>190</v>
      </c>
      <c r="G4902">
        <v>12</v>
      </c>
      <c r="H4902">
        <v>105</v>
      </c>
      <c r="I4902">
        <v>384</v>
      </c>
      <c r="J4902">
        <v>1</v>
      </c>
      <c r="K4902">
        <v>142</v>
      </c>
      <c r="L4902">
        <v>417</v>
      </c>
      <c r="M4902">
        <v>1</v>
      </c>
      <c r="N4902">
        <v>1.90774E-38</v>
      </c>
      <c r="O4902">
        <v>397</v>
      </c>
    </row>
    <row r="4903" spans="1:15" x14ac:dyDescent="0.25">
      <c r="A4903" t="s">
        <v>4916</v>
      </c>
      <c r="B4903">
        <v>343</v>
      </c>
      <c r="C4903" s="1" t="str">
        <f>HYPERLINK("http://www.rosaceae.org/gb/gbrowse/malus_x_domestica/?name=MDP0000224586","MDP0000224586")</f>
        <v>MDP0000224586</v>
      </c>
      <c r="D4903">
        <v>53.59</v>
      </c>
      <c r="E4903">
        <v>306</v>
      </c>
      <c r="F4903">
        <v>142</v>
      </c>
      <c r="G4903">
        <v>3</v>
      </c>
      <c r="H4903">
        <v>11</v>
      </c>
      <c r="I4903">
        <v>313</v>
      </c>
      <c r="J4903">
        <v>1</v>
      </c>
      <c r="K4903">
        <v>11</v>
      </c>
      <c r="L4903">
        <v>316</v>
      </c>
      <c r="M4903">
        <v>1</v>
      </c>
      <c r="N4903">
        <v>3.9373499999999998E-87</v>
      </c>
      <c r="O4903">
        <v>816</v>
      </c>
    </row>
    <row r="4904" spans="1:15" x14ac:dyDescent="0.25">
      <c r="A4904" t="s">
        <v>4917</v>
      </c>
      <c r="B4904">
        <v>431</v>
      </c>
      <c r="C4904" s="1" t="str">
        <f>HYPERLINK("http://www.rosaceae.org/gb/gbrowse/malus_x_domestica/?name=MDP0000319422","MDP0000319422")</f>
        <v>MDP0000319422</v>
      </c>
      <c r="D4904">
        <v>78.87</v>
      </c>
      <c r="E4904">
        <v>213</v>
      </c>
      <c r="F4904">
        <v>45</v>
      </c>
      <c r="G4904">
        <v>3</v>
      </c>
      <c r="H4904">
        <v>37</v>
      </c>
      <c r="I4904">
        <v>249</v>
      </c>
      <c r="J4904">
        <v>1</v>
      </c>
      <c r="K4904">
        <v>507</v>
      </c>
      <c r="L4904">
        <v>716</v>
      </c>
      <c r="M4904">
        <v>1</v>
      </c>
      <c r="N4904">
        <v>3.18985E-92</v>
      </c>
      <c r="O4904">
        <v>861</v>
      </c>
    </row>
    <row r="4905" spans="1:15" x14ac:dyDescent="0.25">
      <c r="A4905" t="s">
        <v>4918</v>
      </c>
      <c r="B4905">
        <v>388</v>
      </c>
      <c r="C4905" s="1" t="str">
        <f>HYPERLINK("http://www.rosaceae.org/gb/gbrowse/malus_x_domestica/?name=MDP0000162508","MDP0000162508")</f>
        <v>MDP0000162508</v>
      </c>
      <c r="D4905">
        <v>69.709999999999994</v>
      </c>
      <c r="E4905">
        <v>284</v>
      </c>
      <c r="F4905">
        <v>86</v>
      </c>
      <c r="G4905">
        <v>9</v>
      </c>
      <c r="H4905">
        <v>20</v>
      </c>
      <c r="I4905">
        <v>297</v>
      </c>
      <c r="J4905">
        <v>1</v>
      </c>
      <c r="K4905">
        <v>107</v>
      </c>
      <c r="L4905">
        <v>387</v>
      </c>
      <c r="M4905">
        <v>1</v>
      </c>
      <c r="N4905">
        <v>2.1761899999999999E-112</v>
      </c>
      <c r="O4905">
        <v>1035</v>
      </c>
    </row>
    <row r="4906" spans="1:15" x14ac:dyDescent="0.25">
      <c r="A4906" t="s">
        <v>4919</v>
      </c>
      <c r="B4906">
        <v>294</v>
      </c>
      <c r="C4906" s="1" t="str">
        <f>HYPERLINK("http://www.rosaceae.org/gb/gbrowse/malus_x_domestica/?name=MDP0000248869","MDP0000248869")</f>
        <v>MDP0000248869</v>
      </c>
      <c r="D4906">
        <v>58.58</v>
      </c>
      <c r="E4906">
        <v>268</v>
      </c>
      <c r="F4906">
        <v>111</v>
      </c>
      <c r="G4906">
        <v>15</v>
      </c>
      <c r="H4906">
        <v>4</v>
      </c>
      <c r="I4906">
        <v>260</v>
      </c>
      <c r="J4906">
        <v>1</v>
      </c>
      <c r="K4906">
        <v>2</v>
      </c>
      <c r="L4906">
        <v>265</v>
      </c>
      <c r="M4906">
        <v>1</v>
      </c>
      <c r="N4906">
        <v>1.3974799999999999E-79</v>
      </c>
      <c r="O4906">
        <v>750</v>
      </c>
    </row>
    <row r="4907" spans="1:15" x14ac:dyDescent="0.25">
      <c r="A4907" t="s">
        <v>4920</v>
      </c>
      <c r="B4907">
        <v>4237</v>
      </c>
      <c r="C4907" s="1" t="str">
        <f>HYPERLINK("http://www.rosaceae.org/gb/gbrowse/malus_x_domestica/?name=MDP0000213066","MDP0000213066")</f>
        <v>MDP0000213066</v>
      </c>
      <c r="D4907">
        <v>74.09</v>
      </c>
      <c r="E4907">
        <v>3822</v>
      </c>
      <c r="F4907">
        <v>990</v>
      </c>
      <c r="G4907">
        <v>221</v>
      </c>
      <c r="H4907">
        <v>505</v>
      </c>
      <c r="I4907">
        <v>4214</v>
      </c>
      <c r="J4907">
        <v>1</v>
      </c>
      <c r="K4907">
        <v>7</v>
      </c>
      <c r="L4907">
        <v>3719</v>
      </c>
      <c r="M4907">
        <v>1</v>
      </c>
      <c r="N4907">
        <v>0</v>
      </c>
      <c r="O4907">
        <v>14862</v>
      </c>
    </row>
    <row r="4908" spans="1:15" x14ac:dyDescent="0.25">
      <c r="A4908" t="s">
        <v>4921</v>
      </c>
      <c r="B4908">
        <v>457</v>
      </c>
      <c r="C4908" s="1" t="str">
        <f>HYPERLINK("http://www.rosaceae.org/gb/gbrowse/malus_x_domestica/?name=MDP0000312875","MDP0000312875")</f>
        <v>MDP0000312875</v>
      </c>
      <c r="D4908">
        <v>78.989999999999995</v>
      </c>
      <c r="E4908">
        <v>476</v>
      </c>
      <c r="F4908">
        <v>100</v>
      </c>
      <c r="G4908">
        <v>22</v>
      </c>
      <c r="H4908">
        <v>1</v>
      </c>
      <c r="I4908">
        <v>455</v>
      </c>
      <c r="J4908">
        <v>1</v>
      </c>
      <c r="K4908">
        <v>2</v>
      </c>
      <c r="L4908">
        <v>476</v>
      </c>
      <c r="M4908">
        <v>1</v>
      </c>
      <c r="N4908">
        <v>0</v>
      </c>
      <c r="O4908">
        <v>1976</v>
      </c>
    </row>
    <row r="4909" spans="1:15" x14ac:dyDescent="0.25">
      <c r="A4909" t="s">
        <v>4922</v>
      </c>
      <c r="B4909">
        <v>304</v>
      </c>
      <c r="C4909" s="1" t="str">
        <f>HYPERLINK("http://www.rosaceae.org/gb/gbrowse/malus_x_domestica/?name=MDP0000152969","MDP0000152969")</f>
        <v>MDP0000152969</v>
      </c>
      <c r="D4909">
        <v>51.64</v>
      </c>
      <c r="E4909">
        <v>213</v>
      </c>
      <c r="F4909">
        <v>103</v>
      </c>
      <c r="G4909">
        <v>8</v>
      </c>
      <c r="H4909">
        <v>5</v>
      </c>
      <c r="I4909">
        <v>216</v>
      </c>
      <c r="J4909">
        <v>1</v>
      </c>
      <c r="K4909">
        <v>21</v>
      </c>
      <c r="L4909">
        <v>226</v>
      </c>
      <c r="M4909">
        <v>1</v>
      </c>
      <c r="N4909">
        <v>1.3848900000000001E-56</v>
      </c>
      <c r="O4909">
        <v>552</v>
      </c>
    </row>
    <row r="4910" spans="1:15" x14ac:dyDescent="0.25">
      <c r="A4910" t="s">
        <v>4923</v>
      </c>
      <c r="B4910">
        <v>346</v>
      </c>
      <c r="C4910" s="1" t="str">
        <f>HYPERLINK("http://www.rosaceae.org/gb/gbrowse/malus_x_domestica/?name=MDP0000146312","MDP0000146312")</f>
        <v>MDP0000146312</v>
      </c>
      <c r="D4910">
        <v>65.599999999999994</v>
      </c>
      <c r="E4910">
        <v>346</v>
      </c>
      <c r="F4910">
        <v>119</v>
      </c>
      <c r="G4910">
        <v>30</v>
      </c>
      <c r="H4910">
        <v>1</v>
      </c>
      <c r="I4910">
        <v>346</v>
      </c>
      <c r="J4910">
        <v>1</v>
      </c>
      <c r="K4910">
        <v>60</v>
      </c>
      <c r="L4910">
        <v>375</v>
      </c>
      <c r="M4910">
        <v>1</v>
      </c>
      <c r="N4910">
        <v>8.7766699999999999E-128</v>
      </c>
      <c r="O4910">
        <v>1167</v>
      </c>
    </row>
    <row r="4911" spans="1:15" x14ac:dyDescent="0.25">
      <c r="A4911" t="s">
        <v>4924</v>
      </c>
      <c r="B4911">
        <v>472</v>
      </c>
      <c r="C4911" s="1" t="str">
        <f>HYPERLINK("http://www.rosaceae.org/gb/gbrowse/malus_x_domestica/?name=MDP0000791730","MDP0000791730")</f>
        <v>MDP0000791730</v>
      </c>
      <c r="D4911">
        <v>92.3</v>
      </c>
      <c r="E4911">
        <v>455</v>
      </c>
      <c r="F4911">
        <v>35</v>
      </c>
      <c r="G4911">
        <v>0</v>
      </c>
      <c r="H4911">
        <v>18</v>
      </c>
      <c r="I4911">
        <v>472</v>
      </c>
      <c r="J4911">
        <v>1</v>
      </c>
      <c r="K4911">
        <v>47</v>
      </c>
      <c r="L4911">
        <v>501</v>
      </c>
      <c r="M4911">
        <v>1</v>
      </c>
      <c r="N4911">
        <v>0</v>
      </c>
      <c r="O4911">
        <v>2276</v>
      </c>
    </row>
    <row r="4912" spans="1:15" x14ac:dyDescent="0.25">
      <c r="A4912" t="s">
        <v>4925</v>
      </c>
      <c r="B4912">
        <v>702</v>
      </c>
      <c r="C4912" s="1" t="str">
        <f>HYPERLINK("http://www.rosaceae.org/gb/gbrowse/malus_x_domestica/?name=MDP0000130897","MDP0000130897")</f>
        <v>MDP0000130897</v>
      </c>
      <c r="D4912">
        <v>35.22</v>
      </c>
      <c r="E4912">
        <v>159</v>
      </c>
      <c r="F4912">
        <v>103</v>
      </c>
      <c r="G4912">
        <v>7</v>
      </c>
      <c r="H4912">
        <v>549</v>
      </c>
      <c r="I4912">
        <v>701</v>
      </c>
      <c r="J4912">
        <v>1</v>
      </c>
      <c r="K4912">
        <v>430</v>
      </c>
      <c r="L4912">
        <v>587</v>
      </c>
      <c r="M4912">
        <v>1</v>
      </c>
      <c r="N4912">
        <v>1.42455E-25</v>
      </c>
      <c r="O4912">
        <v>289</v>
      </c>
    </row>
    <row r="4913" spans="1:15" x14ac:dyDescent="0.25">
      <c r="A4913" t="s">
        <v>4926</v>
      </c>
      <c r="B4913">
        <v>325</v>
      </c>
      <c r="C4913" s="1" t="str">
        <f>HYPERLINK("http://www.rosaceae.org/gb/gbrowse/malus_x_domestica/?name=MDP0000288587","MDP0000288587")</f>
        <v>MDP0000288587</v>
      </c>
      <c r="D4913">
        <v>62.5</v>
      </c>
      <c r="E4913">
        <v>144</v>
      </c>
      <c r="F4913">
        <v>54</v>
      </c>
      <c r="G4913">
        <v>6</v>
      </c>
      <c r="H4913">
        <v>177</v>
      </c>
      <c r="I4913">
        <v>320</v>
      </c>
      <c r="J4913">
        <v>1</v>
      </c>
      <c r="K4913">
        <v>1643</v>
      </c>
      <c r="L4913">
        <v>1780</v>
      </c>
      <c r="M4913">
        <v>1</v>
      </c>
      <c r="N4913">
        <v>2.7528699999999999E-44</v>
      </c>
      <c r="O4913">
        <v>446</v>
      </c>
    </row>
    <row r="4914" spans="1:15" x14ac:dyDescent="0.25">
      <c r="A4914" t="s">
        <v>4927</v>
      </c>
      <c r="B4914">
        <v>264</v>
      </c>
      <c r="C4914" s="1" t="str">
        <f>HYPERLINK("http://www.rosaceae.org/gb/gbrowse/malus_x_domestica/?name=MDP0000322240","MDP0000322240")</f>
        <v>MDP0000322240</v>
      </c>
      <c r="D4914">
        <v>73.33</v>
      </c>
      <c r="E4914">
        <v>135</v>
      </c>
      <c r="F4914">
        <v>36</v>
      </c>
      <c r="G4914">
        <v>4</v>
      </c>
      <c r="H4914">
        <v>134</v>
      </c>
      <c r="I4914">
        <v>264</v>
      </c>
      <c r="J4914">
        <v>1</v>
      </c>
      <c r="K4914">
        <v>1</v>
      </c>
      <c r="L4914">
        <v>135</v>
      </c>
      <c r="M4914">
        <v>1</v>
      </c>
      <c r="N4914">
        <v>6.2599099999999998E-50</v>
      </c>
      <c r="O4914">
        <v>494</v>
      </c>
    </row>
    <row r="4915" spans="1:15" x14ac:dyDescent="0.25">
      <c r="A4915" t="s">
        <v>4928</v>
      </c>
      <c r="B4915">
        <v>404</v>
      </c>
      <c r="C4915" s="1" t="str">
        <f>HYPERLINK("http://www.rosaceae.org/gb/gbrowse/malus_x_domestica/?name=MDP0000322089","MDP0000322089")</f>
        <v>MDP0000322089</v>
      </c>
      <c r="D4915">
        <v>27.71</v>
      </c>
      <c r="E4915">
        <v>285</v>
      </c>
      <c r="F4915">
        <v>206</v>
      </c>
      <c r="G4915">
        <v>48</v>
      </c>
      <c r="H4915">
        <v>44</v>
      </c>
      <c r="I4915">
        <v>326</v>
      </c>
      <c r="J4915">
        <v>1</v>
      </c>
      <c r="K4915">
        <v>646</v>
      </c>
      <c r="L4915">
        <v>884</v>
      </c>
      <c r="M4915">
        <v>1</v>
      </c>
      <c r="N4915">
        <v>8.0702199999999998E-16</v>
      </c>
      <c r="O4915">
        <v>202</v>
      </c>
    </row>
    <row r="4916" spans="1:15" x14ac:dyDescent="0.25">
      <c r="A4916" t="s">
        <v>4929</v>
      </c>
      <c r="B4916">
        <v>347</v>
      </c>
      <c r="C4916" s="1" t="str">
        <f>HYPERLINK("http://www.rosaceae.org/gb/gbrowse/malus_x_domestica/?name=MDP0000266172","MDP0000266172")</f>
        <v>MDP0000266172</v>
      </c>
      <c r="D4916">
        <v>49.39</v>
      </c>
      <c r="E4916">
        <v>328</v>
      </c>
      <c r="F4916">
        <v>166</v>
      </c>
      <c r="G4916">
        <v>29</v>
      </c>
      <c r="H4916">
        <v>11</v>
      </c>
      <c r="I4916">
        <v>332</v>
      </c>
      <c r="J4916">
        <v>1</v>
      </c>
      <c r="K4916">
        <v>20</v>
      </c>
      <c r="L4916">
        <v>324</v>
      </c>
      <c r="M4916">
        <v>1</v>
      </c>
      <c r="N4916">
        <v>3.96219E-65</v>
      </c>
      <c r="O4916">
        <v>626</v>
      </c>
    </row>
    <row r="4917" spans="1:15" x14ac:dyDescent="0.25">
      <c r="A4917" t="s">
        <v>4930</v>
      </c>
      <c r="B4917">
        <v>391</v>
      </c>
      <c r="C4917" s="1" t="str">
        <f>HYPERLINK("http://www.rosaceae.org/gb/gbrowse/malus_x_domestica/?name=MDP0000165214","MDP0000165214")</f>
        <v>MDP0000165214</v>
      </c>
      <c r="D4917">
        <v>40.97</v>
      </c>
      <c r="E4917">
        <v>493</v>
      </c>
      <c r="F4917">
        <v>291</v>
      </c>
      <c r="G4917">
        <v>119</v>
      </c>
      <c r="H4917">
        <v>1</v>
      </c>
      <c r="I4917">
        <v>378</v>
      </c>
      <c r="J4917">
        <v>1</v>
      </c>
      <c r="K4917">
        <v>1</v>
      </c>
      <c r="L4917">
        <v>489</v>
      </c>
      <c r="M4917">
        <v>1</v>
      </c>
      <c r="N4917">
        <v>3.4791899999999999E-84</v>
      </c>
      <c r="O4917">
        <v>791</v>
      </c>
    </row>
    <row r="4918" spans="1:15" x14ac:dyDescent="0.25">
      <c r="A4918" t="s">
        <v>4931</v>
      </c>
      <c r="B4918">
        <v>189</v>
      </c>
      <c r="C4918" s="1" t="str">
        <f>HYPERLINK("http://www.rosaceae.org/gb/gbrowse/malus_x_domestica/?name=MDP0000174011","MDP0000174011")</f>
        <v>MDP0000174011</v>
      </c>
      <c r="D4918">
        <v>64.03</v>
      </c>
      <c r="E4918">
        <v>114</v>
      </c>
      <c r="F4918">
        <v>41</v>
      </c>
      <c r="G4918">
        <v>2</v>
      </c>
      <c r="H4918">
        <v>76</v>
      </c>
      <c r="I4918">
        <v>187</v>
      </c>
      <c r="J4918">
        <v>1</v>
      </c>
      <c r="K4918">
        <v>290</v>
      </c>
      <c r="L4918">
        <v>403</v>
      </c>
      <c r="M4918">
        <v>1</v>
      </c>
      <c r="N4918">
        <v>2.5237199999999999E-36</v>
      </c>
      <c r="O4918">
        <v>374</v>
      </c>
    </row>
    <row r="4919" spans="1:15" x14ac:dyDescent="0.25">
      <c r="A4919" t="s">
        <v>4932</v>
      </c>
      <c r="B4919">
        <v>1115</v>
      </c>
      <c r="C4919" s="1" t="str">
        <f>HYPERLINK("http://www.rosaceae.org/gb/gbrowse/malus_x_domestica/?name=MDP0000256021","MDP0000256021")</f>
        <v>MDP0000256021</v>
      </c>
      <c r="D4919">
        <v>59.89</v>
      </c>
      <c r="E4919">
        <v>581</v>
      </c>
      <c r="F4919">
        <v>233</v>
      </c>
      <c r="G4919">
        <v>82</v>
      </c>
      <c r="H4919">
        <v>581</v>
      </c>
      <c r="I4919">
        <v>1115</v>
      </c>
      <c r="J4919">
        <v>1</v>
      </c>
      <c r="K4919">
        <v>31</v>
      </c>
      <c r="L4919">
        <v>575</v>
      </c>
      <c r="M4919">
        <v>1</v>
      </c>
      <c r="N4919">
        <v>0</v>
      </c>
      <c r="O4919">
        <v>1673</v>
      </c>
    </row>
    <row r="4920" spans="1:15" x14ac:dyDescent="0.25">
      <c r="A4920" t="s">
        <v>4933</v>
      </c>
      <c r="B4920">
        <v>915</v>
      </c>
      <c r="C4920" s="1" t="str">
        <f>HYPERLINK("http://www.rosaceae.org/gb/gbrowse/malus_x_domestica/?name=MDP0000214838","MDP0000214838")</f>
        <v>MDP0000214838</v>
      </c>
      <c r="D4920">
        <v>73.53</v>
      </c>
      <c r="E4920">
        <v>956</v>
      </c>
      <c r="F4920">
        <v>253</v>
      </c>
      <c r="G4920">
        <v>55</v>
      </c>
      <c r="H4920">
        <v>1</v>
      </c>
      <c r="I4920">
        <v>915</v>
      </c>
      <c r="J4920">
        <v>1</v>
      </c>
      <c r="K4920">
        <v>1</v>
      </c>
      <c r="L4920">
        <v>942</v>
      </c>
      <c r="M4920">
        <v>1</v>
      </c>
      <c r="N4920">
        <v>0</v>
      </c>
      <c r="O4920">
        <v>3563</v>
      </c>
    </row>
    <row r="4921" spans="1:15" x14ac:dyDescent="0.25">
      <c r="A4921" t="s">
        <v>4934</v>
      </c>
      <c r="B4921">
        <v>865</v>
      </c>
      <c r="C4921" s="1" t="str">
        <f>HYPERLINK("http://www.rosaceae.org/gb/gbrowse/malus_x_domestica/?name=MDP0000138501","MDP0000138501")</f>
        <v>MDP0000138501</v>
      </c>
      <c r="D4921">
        <v>78.5</v>
      </c>
      <c r="E4921">
        <v>749</v>
      </c>
      <c r="F4921">
        <v>161</v>
      </c>
      <c r="G4921">
        <v>37</v>
      </c>
      <c r="H4921">
        <v>111</v>
      </c>
      <c r="I4921">
        <v>857</v>
      </c>
      <c r="J4921">
        <v>1</v>
      </c>
      <c r="K4921">
        <v>66</v>
      </c>
      <c r="L4921">
        <v>779</v>
      </c>
      <c r="M4921">
        <v>1</v>
      </c>
      <c r="N4921">
        <v>0</v>
      </c>
      <c r="O4921">
        <v>3154</v>
      </c>
    </row>
    <row r="4922" spans="1:15" x14ac:dyDescent="0.25">
      <c r="A4922" t="s">
        <v>4935</v>
      </c>
      <c r="B4922">
        <v>489</v>
      </c>
      <c r="C4922" s="1" t="str">
        <f>HYPERLINK("http://www.rosaceae.org/gb/gbrowse/malus_x_domestica/?name=MDP0000322575","MDP0000322575")</f>
        <v>MDP0000322575</v>
      </c>
      <c r="D4922">
        <v>68.53</v>
      </c>
      <c r="E4922">
        <v>464</v>
      </c>
      <c r="F4922">
        <v>146</v>
      </c>
      <c r="G4922">
        <v>68</v>
      </c>
      <c r="H4922">
        <v>30</v>
      </c>
      <c r="I4922">
        <v>489</v>
      </c>
      <c r="J4922">
        <v>1</v>
      </c>
      <c r="K4922">
        <v>421</v>
      </c>
      <c r="L4922">
        <v>820</v>
      </c>
      <c r="M4922">
        <v>1</v>
      </c>
      <c r="N4922">
        <v>1.45931E-168</v>
      </c>
      <c r="O4922">
        <v>1520</v>
      </c>
    </row>
    <row r="4923" spans="1:15" x14ac:dyDescent="0.25">
      <c r="A4923" t="s">
        <v>4936</v>
      </c>
      <c r="B4923">
        <v>924</v>
      </c>
      <c r="C4923" s="1" t="str">
        <f>HYPERLINK("http://www.rosaceae.org/gb/gbrowse/malus_x_domestica/?name=MDP0000261953","MDP0000261953")</f>
        <v>MDP0000261953</v>
      </c>
      <c r="D4923">
        <v>55.08</v>
      </c>
      <c r="E4923">
        <v>855</v>
      </c>
      <c r="F4923">
        <v>384</v>
      </c>
      <c r="G4923">
        <v>110</v>
      </c>
      <c r="H4923">
        <v>92</v>
      </c>
      <c r="I4923">
        <v>901</v>
      </c>
      <c r="J4923">
        <v>1</v>
      </c>
      <c r="K4923">
        <v>1</v>
      </c>
      <c r="L4923">
        <v>790</v>
      </c>
      <c r="M4923">
        <v>1</v>
      </c>
      <c r="N4923">
        <v>0</v>
      </c>
      <c r="O4923">
        <v>2013</v>
      </c>
    </row>
    <row r="4924" spans="1:15" x14ac:dyDescent="0.25">
      <c r="A4924" t="s">
        <v>4937</v>
      </c>
      <c r="B4924">
        <v>682</v>
      </c>
      <c r="C4924" s="1" t="str">
        <f>HYPERLINK("http://www.rosaceae.org/gb/gbrowse/malus_x_domestica/?name=MDP0000228175","MDP0000228175")</f>
        <v>MDP0000228175</v>
      </c>
      <c r="D4924">
        <v>71.12</v>
      </c>
      <c r="E4924">
        <v>703</v>
      </c>
      <c r="F4924">
        <v>203</v>
      </c>
      <c r="G4924">
        <v>80</v>
      </c>
      <c r="H4924">
        <v>2</v>
      </c>
      <c r="I4924">
        <v>667</v>
      </c>
      <c r="J4924">
        <v>1</v>
      </c>
      <c r="K4924">
        <v>11</v>
      </c>
      <c r="L4924">
        <v>670</v>
      </c>
      <c r="M4924">
        <v>1</v>
      </c>
      <c r="N4924">
        <v>0</v>
      </c>
      <c r="O4924">
        <v>2482</v>
      </c>
    </row>
    <row r="4925" spans="1:15" x14ac:dyDescent="0.25">
      <c r="A4925" t="s">
        <v>4938</v>
      </c>
      <c r="B4925">
        <v>134</v>
      </c>
      <c r="C4925" s="1" t="str">
        <f>HYPERLINK("http://www.rosaceae.org/gb/gbrowse/malus_x_domestica/?name=MDP0000301092","MDP0000301092")</f>
        <v>MDP0000301092</v>
      </c>
      <c r="D4925">
        <v>35.29</v>
      </c>
      <c r="E4925">
        <v>119</v>
      </c>
      <c r="F4925">
        <v>77</v>
      </c>
      <c r="G4925">
        <v>16</v>
      </c>
      <c r="H4925">
        <v>1</v>
      </c>
      <c r="I4925">
        <v>117</v>
      </c>
      <c r="J4925">
        <v>1</v>
      </c>
      <c r="K4925">
        <v>20</v>
      </c>
      <c r="L4925">
        <v>124</v>
      </c>
      <c r="M4925">
        <v>1</v>
      </c>
      <c r="N4925">
        <v>2.2991099999999999E-10</v>
      </c>
      <c r="O4925">
        <v>148</v>
      </c>
    </row>
    <row r="4926" spans="1:15" x14ac:dyDescent="0.25">
      <c r="A4926" t="s">
        <v>4939</v>
      </c>
      <c r="B4926">
        <v>396</v>
      </c>
      <c r="C4926" s="1" t="str">
        <f>HYPERLINK("http://www.rosaceae.org/gb/gbrowse/malus_x_domestica/?name=MDP0000144682","MDP0000144682")</f>
        <v>MDP0000144682</v>
      </c>
      <c r="D4926">
        <v>68.88</v>
      </c>
      <c r="E4926">
        <v>180</v>
      </c>
      <c r="F4926">
        <v>56</v>
      </c>
      <c r="G4926">
        <v>2</v>
      </c>
      <c r="H4926">
        <v>204</v>
      </c>
      <c r="I4926">
        <v>383</v>
      </c>
      <c r="J4926">
        <v>1</v>
      </c>
      <c r="K4926">
        <v>65</v>
      </c>
      <c r="L4926">
        <v>242</v>
      </c>
      <c r="M4926">
        <v>1</v>
      </c>
      <c r="N4926">
        <v>1.39975E-65</v>
      </c>
      <c r="O4926">
        <v>631</v>
      </c>
    </row>
    <row r="4927" spans="1:15" x14ac:dyDescent="0.25">
      <c r="A4927" t="s">
        <v>4940</v>
      </c>
      <c r="B4927">
        <v>329</v>
      </c>
      <c r="C4927" s="1" t="str">
        <f>HYPERLINK("http://www.rosaceae.org/gb/gbrowse/malus_x_domestica/?name=MDP0000241681","MDP0000241681")</f>
        <v>MDP0000241681</v>
      </c>
      <c r="D4927">
        <v>45.31</v>
      </c>
      <c r="E4927">
        <v>331</v>
      </c>
      <c r="F4927">
        <v>181</v>
      </c>
      <c r="G4927">
        <v>75</v>
      </c>
      <c r="H4927">
        <v>40</v>
      </c>
      <c r="I4927">
        <v>308</v>
      </c>
      <c r="J4927">
        <v>1</v>
      </c>
      <c r="K4927">
        <v>150</v>
      </c>
      <c r="L4927">
        <v>467</v>
      </c>
      <c r="M4927">
        <v>1</v>
      </c>
      <c r="N4927">
        <v>9.4349300000000001E-59</v>
      </c>
      <c r="O4927">
        <v>571</v>
      </c>
    </row>
    <row r="4928" spans="1:15" x14ac:dyDescent="0.25">
      <c r="A4928" t="s">
        <v>4941</v>
      </c>
      <c r="B4928">
        <v>272</v>
      </c>
      <c r="C4928" s="1" t="str">
        <f>HYPERLINK("http://www.rosaceae.org/gb/gbrowse/malus_x_domestica/?name=MDP0000169903","MDP0000169903")</f>
        <v>MDP0000169903</v>
      </c>
      <c r="D4928">
        <v>57.95</v>
      </c>
      <c r="E4928">
        <v>264</v>
      </c>
      <c r="F4928">
        <v>111</v>
      </c>
      <c r="G4928">
        <v>13</v>
      </c>
      <c r="H4928">
        <v>7</v>
      </c>
      <c r="I4928">
        <v>266</v>
      </c>
      <c r="J4928">
        <v>1</v>
      </c>
      <c r="K4928">
        <v>6</v>
      </c>
      <c r="L4928">
        <v>260</v>
      </c>
      <c r="M4928">
        <v>1</v>
      </c>
      <c r="N4928">
        <v>5.2001100000000002E-79</v>
      </c>
      <c r="O4928">
        <v>745</v>
      </c>
    </row>
    <row r="4929" spans="1:15" x14ac:dyDescent="0.25">
      <c r="A4929" t="s">
        <v>4942</v>
      </c>
      <c r="B4929">
        <v>691</v>
      </c>
      <c r="C4929" s="1" t="str">
        <f>HYPERLINK("http://www.rosaceae.org/gb/gbrowse/malus_x_domestica/?name=MDP0000134422","MDP0000134422")</f>
        <v>MDP0000134422</v>
      </c>
      <c r="D4929">
        <v>51.28</v>
      </c>
      <c r="E4929">
        <v>117</v>
      </c>
      <c r="F4929">
        <v>57</v>
      </c>
      <c r="G4929">
        <v>1</v>
      </c>
      <c r="H4929">
        <v>318</v>
      </c>
      <c r="I4929">
        <v>433</v>
      </c>
      <c r="J4929">
        <v>1</v>
      </c>
      <c r="K4929">
        <v>565</v>
      </c>
      <c r="L4929">
        <v>681</v>
      </c>
      <c r="M4929">
        <v>1</v>
      </c>
      <c r="N4929">
        <v>1.2850499999999999E-28</v>
      </c>
      <c r="O4929">
        <v>315</v>
      </c>
    </row>
    <row r="4930" spans="1:15" x14ac:dyDescent="0.25">
      <c r="A4930" t="s">
        <v>4943</v>
      </c>
      <c r="B4930">
        <v>344</v>
      </c>
      <c r="C4930" s="1" t="str">
        <f>HYPERLINK("http://www.rosaceae.org/gb/gbrowse/malus_x_domestica/?name=MDP0000255134","MDP0000255134")</f>
        <v>MDP0000255134</v>
      </c>
      <c r="D4930">
        <v>33.799999999999997</v>
      </c>
      <c r="E4930">
        <v>210</v>
      </c>
      <c r="F4930">
        <v>139</v>
      </c>
      <c r="G4930">
        <v>48</v>
      </c>
      <c r="H4930">
        <v>148</v>
      </c>
      <c r="I4930">
        <v>329</v>
      </c>
      <c r="J4930">
        <v>1</v>
      </c>
      <c r="K4930">
        <v>19</v>
      </c>
      <c r="L4930">
        <v>208</v>
      </c>
      <c r="M4930">
        <v>1</v>
      </c>
      <c r="N4930">
        <v>1.4566999999999999E-20</v>
      </c>
      <c r="O4930">
        <v>242</v>
      </c>
    </row>
    <row r="4931" spans="1:15" x14ac:dyDescent="0.25">
      <c r="A4931" t="s">
        <v>4944</v>
      </c>
      <c r="B4931">
        <v>63</v>
      </c>
      <c r="C4931" s="1" t="str">
        <f>HYPERLINK("http://www.rosaceae.org/gb/gbrowse/malus_x_domestica/?name=MDP0000287519","MDP0000287519")</f>
        <v>MDP0000287519</v>
      </c>
      <c r="D4931">
        <v>46.29</v>
      </c>
      <c r="E4931">
        <v>54</v>
      </c>
      <c r="F4931">
        <v>29</v>
      </c>
      <c r="G4931">
        <v>3</v>
      </c>
      <c r="H4931">
        <v>4</v>
      </c>
      <c r="I4931">
        <v>54</v>
      </c>
      <c r="J4931">
        <v>1</v>
      </c>
      <c r="K4931">
        <v>645</v>
      </c>
      <c r="L4931">
        <v>698</v>
      </c>
      <c r="M4931">
        <v>1</v>
      </c>
      <c r="N4931">
        <v>5.3691699999999999E-8</v>
      </c>
      <c r="O4931">
        <v>126</v>
      </c>
    </row>
    <row r="4932" spans="1:15" x14ac:dyDescent="0.25">
      <c r="A4932" t="s">
        <v>4945</v>
      </c>
      <c r="B4932">
        <v>110</v>
      </c>
      <c r="C4932" s="1" t="str">
        <f>HYPERLINK("http://www.rosaceae.org/gb/gbrowse/malus_x_domestica/?name=MDP0000288370","MDP0000288370")</f>
        <v>MDP0000288370</v>
      </c>
      <c r="D4932">
        <v>53.03</v>
      </c>
      <c r="E4932">
        <v>66</v>
      </c>
      <c r="F4932">
        <v>31</v>
      </c>
      <c r="G4932">
        <v>2</v>
      </c>
      <c r="H4932">
        <v>1</v>
      </c>
      <c r="I4932">
        <v>66</v>
      </c>
      <c r="J4932">
        <v>1</v>
      </c>
      <c r="K4932">
        <v>984</v>
      </c>
      <c r="L4932">
        <v>1047</v>
      </c>
      <c r="M4932">
        <v>1</v>
      </c>
      <c r="N4932">
        <v>3.4295900000000001E-13</v>
      </c>
      <c r="O4932">
        <v>171</v>
      </c>
    </row>
    <row r="4933" spans="1:15" x14ac:dyDescent="0.25">
      <c r="A4933" t="s">
        <v>4946</v>
      </c>
      <c r="B4933">
        <v>230</v>
      </c>
      <c r="C4933" s="1" t="str">
        <f>HYPERLINK("http://www.rosaceae.org/gb/gbrowse/malus_x_domestica/?name=MDP0000494888","MDP0000494888")</f>
        <v>MDP0000494888</v>
      </c>
      <c r="D4933">
        <v>90.13</v>
      </c>
      <c r="E4933">
        <v>223</v>
      </c>
      <c r="F4933">
        <v>22</v>
      </c>
      <c r="G4933">
        <v>0</v>
      </c>
      <c r="H4933">
        <v>1</v>
      </c>
      <c r="I4933">
        <v>223</v>
      </c>
      <c r="J4933">
        <v>1</v>
      </c>
      <c r="K4933">
        <v>1</v>
      </c>
      <c r="L4933">
        <v>223</v>
      </c>
      <c r="M4933">
        <v>1</v>
      </c>
      <c r="N4933">
        <v>2.6783200000000001E-115</v>
      </c>
      <c r="O4933">
        <v>1057</v>
      </c>
    </row>
    <row r="4934" spans="1:15" x14ac:dyDescent="0.25">
      <c r="A4934" t="s">
        <v>4947</v>
      </c>
      <c r="B4934">
        <v>138</v>
      </c>
      <c r="C4934" s="1" t="str">
        <f>HYPERLINK("http://www.rosaceae.org/gb/gbrowse/malus_x_domestica/?name=MDP0000762517","MDP0000762517")</f>
        <v>MDP0000762517</v>
      </c>
      <c r="D4934">
        <v>88.13</v>
      </c>
      <c r="E4934">
        <v>59</v>
      </c>
      <c r="F4934">
        <v>7</v>
      </c>
      <c r="G4934">
        <v>1</v>
      </c>
      <c r="H4934">
        <v>80</v>
      </c>
      <c r="I4934">
        <v>138</v>
      </c>
      <c r="J4934">
        <v>1</v>
      </c>
      <c r="K4934">
        <v>1</v>
      </c>
      <c r="L4934">
        <v>58</v>
      </c>
      <c r="M4934">
        <v>1</v>
      </c>
      <c r="N4934">
        <v>1.61074E-24</v>
      </c>
      <c r="O4934">
        <v>270</v>
      </c>
    </row>
    <row r="4935" spans="1:15" x14ac:dyDescent="0.25">
      <c r="A4935" t="s">
        <v>4948</v>
      </c>
      <c r="B4935">
        <v>497</v>
      </c>
      <c r="C4935" s="1" t="str">
        <f>HYPERLINK("http://www.rosaceae.org/gb/gbrowse/malus_x_domestica/?name=MDP0000870956","MDP0000870956")</f>
        <v>MDP0000870956</v>
      </c>
      <c r="D4935">
        <v>39.43</v>
      </c>
      <c r="E4935">
        <v>459</v>
      </c>
      <c r="F4935">
        <v>278</v>
      </c>
      <c r="G4935">
        <v>69</v>
      </c>
      <c r="H4935">
        <v>20</v>
      </c>
      <c r="I4935">
        <v>468</v>
      </c>
      <c r="J4935">
        <v>1</v>
      </c>
      <c r="K4935">
        <v>17</v>
      </c>
      <c r="L4935">
        <v>416</v>
      </c>
      <c r="M4935">
        <v>1</v>
      </c>
      <c r="N4935">
        <v>2.11734E-85</v>
      </c>
      <c r="O4935">
        <v>803</v>
      </c>
    </row>
    <row r="4936" spans="1:15" x14ac:dyDescent="0.25">
      <c r="A4936" t="s">
        <v>4949</v>
      </c>
      <c r="B4936">
        <v>223</v>
      </c>
      <c r="C4936" s="1" t="str">
        <f>HYPERLINK("http://www.rosaceae.org/gb/gbrowse/malus_x_domestica/?name=MDP0000298660","MDP0000298660")</f>
        <v>MDP0000298660</v>
      </c>
      <c r="D4936">
        <v>47.52</v>
      </c>
      <c r="E4936">
        <v>242</v>
      </c>
      <c r="F4936">
        <v>127</v>
      </c>
      <c r="G4936">
        <v>25</v>
      </c>
      <c r="H4936">
        <v>3</v>
      </c>
      <c r="I4936">
        <v>222</v>
      </c>
      <c r="J4936">
        <v>1</v>
      </c>
      <c r="K4936">
        <v>564</v>
      </c>
      <c r="L4936">
        <v>802</v>
      </c>
      <c r="M4936">
        <v>1</v>
      </c>
      <c r="N4936">
        <v>7.5587799999999995E-58</v>
      </c>
      <c r="O4936">
        <v>561</v>
      </c>
    </row>
    <row r="4937" spans="1:15" x14ac:dyDescent="0.25">
      <c r="A4937" t="s">
        <v>4950</v>
      </c>
      <c r="B4937">
        <v>48</v>
      </c>
      <c r="C4937" s="1" t="str">
        <f>HYPERLINK("http://www.rosaceae.org/gb/gbrowse/malus_x_domestica/?name=MDP0000238881","MDP0000238881")</f>
        <v>MDP0000238881</v>
      </c>
      <c r="D4937">
        <v>87.8</v>
      </c>
      <c r="E4937">
        <v>41</v>
      </c>
      <c r="F4937">
        <v>5</v>
      </c>
      <c r="G4937">
        <v>0</v>
      </c>
      <c r="H4937">
        <v>1</v>
      </c>
      <c r="I4937">
        <v>41</v>
      </c>
      <c r="J4937">
        <v>1</v>
      </c>
      <c r="K4937">
        <v>320</v>
      </c>
      <c r="L4937">
        <v>360</v>
      </c>
      <c r="M4937">
        <v>1</v>
      </c>
      <c r="N4937">
        <v>4.5593699999999998E-15</v>
      </c>
      <c r="O4937">
        <v>187</v>
      </c>
    </row>
    <row r="4938" spans="1:15" x14ac:dyDescent="0.25">
      <c r="A4938" t="s">
        <v>4951</v>
      </c>
      <c r="B4938">
        <v>753</v>
      </c>
      <c r="C4938" s="1" t="str">
        <f>HYPERLINK("http://www.rosaceae.org/gb/gbrowse/malus_x_domestica/?name=MDP0000482564","MDP0000482564")</f>
        <v>MDP0000482564</v>
      </c>
      <c r="D4938">
        <v>53.85</v>
      </c>
      <c r="E4938">
        <v>752</v>
      </c>
      <c r="F4938">
        <v>347</v>
      </c>
      <c r="G4938">
        <v>13</v>
      </c>
      <c r="H4938">
        <v>1</v>
      </c>
      <c r="I4938">
        <v>750</v>
      </c>
      <c r="J4938">
        <v>1</v>
      </c>
      <c r="K4938">
        <v>5</v>
      </c>
      <c r="L4938">
        <v>745</v>
      </c>
      <c r="M4938">
        <v>1</v>
      </c>
      <c r="N4938">
        <v>0</v>
      </c>
      <c r="O4938">
        <v>1901</v>
      </c>
    </row>
    <row r="4939" spans="1:15" x14ac:dyDescent="0.25">
      <c r="A4939" t="s">
        <v>4952</v>
      </c>
      <c r="B4939">
        <v>347</v>
      </c>
      <c r="C4939" s="1" t="str">
        <f>HYPERLINK("http://www.rosaceae.org/gb/gbrowse/malus_x_domestica/?name=MDP0000620877","MDP0000620877")</f>
        <v>MDP0000620877</v>
      </c>
      <c r="D4939">
        <v>77.900000000000006</v>
      </c>
      <c r="E4939">
        <v>344</v>
      </c>
      <c r="F4939">
        <v>76</v>
      </c>
      <c r="G4939">
        <v>1</v>
      </c>
      <c r="H4939">
        <v>1</v>
      </c>
      <c r="I4939">
        <v>344</v>
      </c>
      <c r="J4939">
        <v>1</v>
      </c>
      <c r="K4939">
        <v>47</v>
      </c>
      <c r="L4939">
        <v>389</v>
      </c>
      <c r="M4939">
        <v>1</v>
      </c>
      <c r="N4939">
        <v>2.9992499999999999E-162</v>
      </c>
      <c r="O4939">
        <v>1464</v>
      </c>
    </row>
    <row r="4940" spans="1:15" x14ac:dyDescent="0.25">
      <c r="A4940" t="s">
        <v>4953</v>
      </c>
      <c r="B4940">
        <v>493</v>
      </c>
      <c r="C4940" s="1" t="str">
        <f>HYPERLINK("http://www.rosaceae.org/gb/gbrowse/malus_x_domestica/?name=MDP0000124626","MDP0000124626")</f>
        <v>MDP0000124626</v>
      </c>
      <c r="D4940">
        <v>44.64</v>
      </c>
      <c r="E4940">
        <v>495</v>
      </c>
      <c r="F4940">
        <v>274</v>
      </c>
      <c r="G4940">
        <v>24</v>
      </c>
      <c r="H4940">
        <v>1</v>
      </c>
      <c r="I4940">
        <v>485</v>
      </c>
      <c r="J4940">
        <v>1</v>
      </c>
      <c r="K4940">
        <v>1</v>
      </c>
      <c r="L4940">
        <v>481</v>
      </c>
      <c r="M4940">
        <v>1</v>
      </c>
      <c r="N4940">
        <v>1.9288099999999999E-112</v>
      </c>
      <c r="O4940">
        <v>1036</v>
      </c>
    </row>
    <row r="4941" spans="1:15" x14ac:dyDescent="0.25">
      <c r="A4941" t="s">
        <v>4954</v>
      </c>
      <c r="B4941">
        <v>699</v>
      </c>
      <c r="C4941" s="1" t="str">
        <f>HYPERLINK("http://www.rosaceae.org/gb/gbrowse/malus_x_domestica/?name=MDP0000134135","MDP0000134135")</f>
        <v>MDP0000134135</v>
      </c>
      <c r="D4941">
        <v>66.55</v>
      </c>
      <c r="E4941">
        <v>308</v>
      </c>
      <c r="F4941">
        <v>103</v>
      </c>
      <c r="G4941">
        <v>15</v>
      </c>
      <c r="H4941">
        <v>6</v>
      </c>
      <c r="I4941">
        <v>307</v>
      </c>
      <c r="J4941">
        <v>1</v>
      </c>
      <c r="K4941">
        <v>3</v>
      </c>
      <c r="L4941">
        <v>301</v>
      </c>
      <c r="M4941">
        <v>1</v>
      </c>
      <c r="N4941">
        <v>1.5713000000000001E-101</v>
      </c>
      <c r="O4941">
        <v>944</v>
      </c>
    </row>
    <row r="4942" spans="1:15" x14ac:dyDescent="0.25">
      <c r="A4942" t="s">
        <v>4955</v>
      </c>
      <c r="B4942">
        <v>219</v>
      </c>
      <c r="C4942" s="1" t="str">
        <f>HYPERLINK("http://www.rosaceae.org/gb/gbrowse/malus_x_domestica/?name=MDP0000312312","MDP0000312312")</f>
        <v>MDP0000312312</v>
      </c>
      <c r="D4942">
        <v>75.3</v>
      </c>
      <c r="E4942">
        <v>166</v>
      </c>
      <c r="F4942">
        <v>41</v>
      </c>
      <c r="G4942">
        <v>1</v>
      </c>
      <c r="H4942">
        <v>52</v>
      </c>
      <c r="I4942">
        <v>216</v>
      </c>
      <c r="J4942">
        <v>1</v>
      </c>
      <c r="K4942">
        <v>147</v>
      </c>
      <c r="L4942">
        <v>312</v>
      </c>
      <c r="M4942">
        <v>1</v>
      </c>
      <c r="N4942">
        <v>4.7794599999999997E-70</v>
      </c>
      <c r="O4942">
        <v>666</v>
      </c>
    </row>
    <row r="4943" spans="1:15" x14ac:dyDescent="0.25">
      <c r="A4943" t="s">
        <v>4956</v>
      </c>
      <c r="B4943">
        <v>313</v>
      </c>
      <c r="C4943" s="1" t="str">
        <f>HYPERLINK("http://www.rosaceae.org/gb/gbrowse/malus_x_domestica/?name=MDP0000140853","MDP0000140853")</f>
        <v>MDP0000140853</v>
      </c>
      <c r="D4943">
        <v>53.21</v>
      </c>
      <c r="E4943">
        <v>171</v>
      </c>
      <c r="F4943">
        <v>80</v>
      </c>
      <c r="G4943">
        <v>0</v>
      </c>
      <c r="H4943">
        <v>1</v>
      </c>
      <c r="I4943">
        <v>171</v>
      </c>
      <c r="J4943">
        <v>1</v>
      </c>
      <c r="K4943">
        <v>1</v>
      </c>
      <c r="L4943">
        <v>171</v>
      </c>
      <c r="M4943">
        <v>1</v>
      </c>
      <c r="N4943">
        <v>2.6491300000000001E-42</v>
      </c>
      <c r="O4943">
        <v>429</v>
      </c>
    </row>
    <row r="4944" spans="1:15" x14ac:dyDescent="0.25">
      <c r="A4944" t="s">
        <v>4957</v>
      </c>
      <c r="B4944">
        <v>107</v>
      </c>
      <c r="C4944" s="1" t="str">
        <f>HYPERLINK("http://www.rosaceae.org/gb/gbrowse/malus_x_domestica/?name=MDP0000239147","MDP0000239147")</f>
        <v>MDP0000239147</v>
      </c>
      <c r="D4944">
        <v>46.37</v>
      </c>
      <c r="E4944">
        <v>69</v>
      </c>
      <c r="F4944">
        <v>37</v>
      </c>
      <c r="G4944">
        <v>0</v>
      </c>
      <c r="H4944">
        <v>1</v>
      </c>
      <c r="I4944">
        <v>69</v>
      </c>
      <c r="J4944">
        <v>1</v>
      </c>
      <c r="K4944">
        <v>153</v>
      </c>
      <c r="L4944">
        <v>221</v>
      </c>
      <c r="M4944">
        <v>1</v>
      </c>
      <c r="N4944">
        <v>2.6073800000000002E-15</v>
      </c>
      <c r="O4944">
        <v>189</v>
      </c>
    </row>
    <row r="4945" spans="1:15" x14ac:dyDescent="0.25">
      <c r="A4945" t="s">
        <v>4958</v>
      </c>
      <c r="B4945">
        <v>117</v>
      </c>
      <c r="C4945" s="1" t="str">
        <f>HYPERLINK("http://www.rosaceae.org/gb/gbrowse/malus_x_domestica/?name=MDP0000325739","MDP0000325739")</f>
        <v>MDP0000325739</v>
      </c>
      <c r="D4945">
        <v>77.959999999999994</v>
      </c>
      <c r="E4945">
        <v>59</v>
      </c>
      <c r="F4945">
        <v>13</v>
      </c>
      <c r="G4945">
        <v>0</v>
      </c>
      <c r="H4945">
        <v>1</v>
      </c>
      <c r="I4945">
        <v>59</v>
      </c>
      <c r="J4945">
        <v>1</v>
      </c>
      <c r="K4945">
        <v>21</v>
      </c>
      <c r="L4945">
        <v>79</v>
      </c>
      <c r="M4945">
        <v>1</v>
      </c>
      <c r="N4945">
        <v>6.5776700000000003E-21</v>
      </c>
      <c r="O4945">
        <v>238</v>
      </c>
    </row>
    <row r="4946" spans="1:15" x14ac:dyDescent="0.25">
      <c r="A4946" t="s">
        <v>4959</v>
      </c>
      <c r="B4946">
        <v>566</v>
      </c>
      <c r="C4946" s="1" t="str">
        <f>HYPERLINK("http://www.rosaceae.org/gb/gbrowse/malus_x_domestica/?name=MDP0000138059","MDP0000138059")</f>
        <v>MDP0000138059</v>
      </c>
      <c r="D4946">
        <v>74.31</v>
      </c>
      <c r="E4946">
        <v>584</v>
      </c>
      <c r="F4946">
        <v>150</v>
      </c>
      <c r="G4946">
        <v>18</v>
      </c>
      <c r="H4946">
        <v>1</v>
      </c>
      <c r="I4946">
        <v>566</v>
      </c>
      <c r="J4946">
        <v>1</v>
      </c>
      <c r="K4946">
        <v>1</v>
      </c>
      <c r="L4946">
        <v>584</v>
      </c>
      <c r="M4946">
        <v>1</v>
      </c>
      <c r="N4946">
        <v>0</v>
      </c>
      <c r="O4946">
        <v>2250</v>
      </c>
    </row>
    <row r="4947" spans="1:15" x14ac:dyDescent="0.25">
      <c r="A4947" t="s">
        <v>4960</v>
      </c>
      <c r="B4947">
        <v>261</v>
      </c>
      <c r="C4947" s="1" t="str">
        <f>HYPERLINK("http://www.rosaceae.org/gb/gbrowse/malus_x_domestica/?name=MDP0000320813","MDP0000320813")</f>
        <v>MDP0000320813</v>
      </c>
      <c r="D4947">
        <v>66.930000000000007</v>
      </c>
      <c r="E4947">
        <v>251</v>
      </c>
      <c r="F4947">
        <v>83</v>
      </c>
      <c r="G4947">
        <v>15</v>
      </c>
      <c r="H4947">
        <v>1</v>
      </c>
      <c r="I4947">
        <v>236</v>
      </c>
      <c r="J4947">
        <v>1</v>
      </c>
      <c r="K4947">
        <v>125</v>
      </c>
      <c r="L4947">
        <v>375</v>
      </c>
      <c r="M4947">
        <v>1</v>
      </c>
      <c r="N4947">
        <v>2.6189600000000001E-90</v>
      </c>
      <c r="O4947">
        <v>842</v>
      </c>
    </row>
    <row r="4948" spans="1:15" x14ac:dyDescent="0.25">
      <c r="A4948" t="s">
        <v>4961</v>
      </c>
      <c r="B4948">
        <v>505</v>
      </c>
      <c r="C4948" s="1" t="str">
        <f>HYPERLINK("http://www.rosaceae.org/gb/gbrowse/malus_x_domestica/?name=MDP0000320547","MDP0000320547")</f>
        <v>MDP0000320547</v>
      </c>
      <c r="D4948">
        <v>64.05</v>
      </c>
      <c r="E4948">
        <v>523</v>
      </c>
      <c r="F4948">
        <v>188</v>
      </c>
      <c r="G4948">
        <v>86</v>
      </c>
      <c r="H4948">
        <v>1</v>
      </c>
      <c r="I4948">
        <v>489</v>
      </c>
      <c r="J4948">
        <v>1</v>
      </c>
      <c r="K4948">
        <v>1</v>
      </c>
      <c r="L4948">
        <v>471</v>
      </c>
      <c r="M4948">
        <v>1</v>
      </c>
      <c r="N4948">
        <v>0</v>
      </c>
      <c r="O4948">
        <v>1631</v>
      </c>
    </row>
    <row r="4949" spans="1:15" x14ac:dyDescent="0.25">
      <c r="A4949" t="s">
        <v>4962</v>
      </c>
      <c r="B4949">
        <v>298</v>
      </c>
      <c r="C4949" s="1" t="str">
        <f>HYPERLINK("http://www.rosaceae.org/gb/gbrowse/malus_x_domestica/?name=MDP0000224737","MDP0000224737")</f>
        <v>MDP0000224737</v>
      </c>
      <c r="D4949">
        <v>63.5</v>
      </c>
      <c r="E4949">
        <v>285</v>
      </c>
      <c r="F4949">
        <v>104</v>
      </c>
      <c r="G4949">
        <v>1</v>
      </c>
      <c r="H4949">
        <v>1</v>
      </c>
      <c r="I4949">
        <v>285</v>
      </c>
      <c r="J4949">
        <v>1</v>
      </c>
      <c r="K4949">
        <v>1</v>
      </c>
      <c r="L4949">
        <v>284</v>
      </c>
      <c r="M4949">
        <v>1</v>
      </c>
      <c r="N4949">
        <v>1.2760099999999999E-90</v>
      </c>
      <c r="O4949">
        <v>845</v>
      </c>
    </row>
    <row r="4950" spans="1:15" x14ac:dyDescent="0.25">
      <c r="A4950" t="s">
        <v>4963</v>
      </c>
      <c r="B4950">
        <v>402</v>
      </c>
      <c r="C4950" s="1" t="str">
        <f>HYPERLINK("http://www.rosaceae.org/gb/gbrowse/malus_x_domestica/?name=MDP0000822921","MDP0000822921")</f>
        <v>MDP0000822921</v>
      </c>
      <c r="D4950">
        <v>92.2</v>
      </c>
      <c r="E4950">
        <v>77</v>
      </c>
      <c r="F4950">
        <v>6</v>
      </c>
      <c r="G4950">
        <v>0</v>
      </c>
      <c r="H4950">
        <v>55</v>
      </c>
      <c r="I4950">
        <v>131</v>
      </c>
      <c r="J4950">
        <v>1</v>
      </c>
      <c r="K4950">
        <v>227</v>
      </c>
      <c r="L4950">
        <v>303</v>
      </c>
      <c r="M4950">
        <v>1</v>
      </c>
      <c r="N4950">
        <v>9.3280000000000008E-40</v>
      </c>
      <c r="O4950">
        <v>408</v>
      </c>
    </row>
    <row r="4951" spans="1:15" x14ac:dyDescent="0.25">
      <c r="A4951" t="s">
        <v>4964</v>
      </c>
      <c r="B4951">
        <v>306</v>
      </c>
      <c r="C4951" s="1" t="str">
        <f>HYPERLINK("http://www.rosaceae.org/gb/gbrowse/malus_x_domestica/?name=MDP0000144307","MDP0000144307")</f>
        <v>MDP0000144307</v>
      </c>
      <c r="D4951">
        <v>72.72</v>
      </c>
      <c r="E4951">
        <v>55</v>
      </c>
      <c r="F4951">
        <v>15</v>
      </c>
      <c r="G4951">
        <v>0</v>
      </c>
      <c r="H4951">
        <v>85</v>
      </c>
      <c r="I4951">
        <v>139</v>
      </c>
      <c r="J4951">
        <v>1</v>
      </c>
      <c r="K4951">
        <v>88</v>
      </c>
      <c r="L4951">
        <v>142</v>
      </c>
      <c r="M4951">
        <v>1</v>
      </c>
      <c r="N4951">
        <v>1.4133399999999998E-20</v>
      </c>
      <c r="O4951">
        <v>242</v>
      </c>
    </row>
    <row r="4952" spans="1:15" x14ac:dyDescent="0.25">
      <c r="A4952" t="s">
        <v>4965</v>
      </c>
      <c r="B4952">
        <v>231</v>
      </c>
      <c r="C4952" s="1" t="str">
        <f>HYPERLINK("http://www.rosaceae.org/gb/gbrowse/malus_x_domestica/?name=MDP0000520489","MDP0000520489")</f>
        <v>MDP0000520489</v>
      </c>
      <c r="D4952">
        <v>57.7</v>
      </c>
      <c r="E4952">
        <v>227</v>
      </c>
      <c r="F4952">
        <v>96</v>
      </c>
      <c r="G4952">
        <v>5</v>
      </c>
      <c r="H4952">
        <v>1</v>
      </c>
      <c r="I4952">
        <v>227</v>
      </c>
      <c r="J4952">
        <v>1</v>
      </c>
      <c r="K4952">
        <v>1</v>
      </c>
      <c r="L4952">
        <v>222</v>
      </c>
      <c r="M4952">
        <v>1</v>
      </c>
      <c r="N4952">
        <v>4.3367499999999999E-62</v>
      </c>
      <c r="O4952">
        <v>598</v>
      </c>
    </row>
    <row r="4953" spans="1:15" x14ac:dyDescent="0.25">
      <c r="A4953" t="s">
        <v>4966</v>
      </c>
      <c r="B4953">
        <v>457</v>
      </c>
      <c r="C4953" s="1" t="str">
        <f>HYPERLINK("http://www.rosaceae.org/gb/gbrowse/malus_x_domestica/?name=MDP0000320298","MDP0000320298")</f>
        <v>MDP0000320298</v>
      </c>
      <c r="D4953">
        <v>83.79</v>
      </c>
      <c r="E4953">
        <v>432</v>
      </c>
      <c r="F4953">
        <v>70</v>
      </c>
      <c r="G4953">
        <v>24</v>
      </c>
      <c r="H4953">
        <v>16</v>
      </c>
      <c r="I4953">
        <v>423</v>
      </c>
      <c r="J4953">
        <v>1</v>
      </c>
      <c r="K4953">
        <v>62</v>
      </c>
      <c r="L4953">
        <v>493</v>
      </c>
      <c r="M4953">
        <v>1</v>
      </c>
      <c r="N4953">
        <v>0</v>
      </c>
      <c r="O4953">
        <v>1839</v>
      </c>
    </row>
    <row r="4954" spans="1:15" x14ac:dyDescent="0.25">
      <c r="A4954" t="s">
        <v>4967</v>
      </c>
      <c r="B4954">
        <v>358</v>
      </c>
      <c r="C4954" s="1" t="str">
        <f>HYPERLINK("http://www.rosaceae.org/gb/gbrowse/malus_x_domestica/?name=MDP0000308165","MDP0000308165")</f>
        <v>MDP0000308165</v>
      </c>
      <c r="D4954">
        <v>42.57</v>
      </c>
      <c r="E4954">
        <v>357</v>
      </c>
      <c r="F4954">
        <v>205</v>
      </c>
      <c r="G4954">
        <v>57</v>
      </c>
      <c r="H4954">
        <v>37</v>
      </c>
      <c r="I4954">
        <v>358</v>
      </c>
      <c r="J4954">
        <v>1</v>
      </c>
      <c r="K4954">
        <v>59</v>
      </c>
      <c r="L4954">
        <v>393</v>
      </c>
      <c r="M4954">
        <v>1</v>
      </c>
      <c r="N4954">
        <v>7.09787E-51</v>
      </c>
      <c r="O4954">
        <v>504</v>
      </c>
    </row>
    <row r="4955" spans="1:15" x14ac:dyDescent="0.25">
      <c r="A4955" t="s">
        <v>4968</v>
      </c>
      <c r="B4955">
        <v>196</v>
      </c>
      <c r="C4955" s="1" t="str">
        <f>HYPERLINK("http://www.rosaceae.org/gb/gbrowse/malus_x_domestica/?name=MDP0000123418","MDP0000123418")</f>
        <v>MDP0000123418</v>
      </c>
      <c r="D4955">
        <v>65.12</v>
      </c>
      <c r="E4955">
        <v>195</v>
      </c>
      <c r="F4955">
        <v>68</v>
      </c>
      <c r="G4955">
        <v>18</v>
      </c>
      <c r="H4955">
        <v>14</v>
      </c>
      <c r="I4955">
        <v>196</v>
      </c>
      <c r="J4955">
        <v>1</v>
      </c>
      <c r="K4955">
        <v>26</v>
      </c>
      <c r="L4955">
        <v>214</v>
      </c>
      <c r="M4955">
        <v>1</v>
      </c>
      <c r="N4955">
        <v>8.0402899999999995E-65</v>
      </c>
      <c r="O4955">
        <v>620</v>
      </c>
    </row>
    <row r="4956" spans="1:15" x14ac:dyDescent="0.25">
      <c r="A4956" t="s">
        <v>4969</v>
      </c>
      <c r="B4956">
        <v>321</v>
      </c>
      <c r="C4956" s="1" t="str">
        <f>HYPERLINK("http://www.rosaceae.org/gb/gbrowse/malus_x_domestica/?name=MDP0000176768","MDP0000176768")</f>
        <v>MDP0000176768</v>
      </c>
      <c r="D4956">
        <v>39.25</v>
      </c>
      <c r="E4956">
        <v>242</v>
      </c>
      <c r="F4956">
        <v>147</v>
      </c>
      <c r="G4956">
        <v>18</v>
      </c>
      <c r="H4956">
        <v>10</v>
      </c>
      <c r="I4956">
        <v>245</v>
      </c>
      <c r="J4956">
        <v>1</v>
      </c>
      <c r="K4956">
        <v>233</v>
      </c>
      <c r="L4956">
        <v>462</v>
      </c>
      <c r="M4956">
        <v>1</v>
      </c>
      <c r="N4956">
        <v>1.5238899999999999E-35</v>
      </c>
      <c r="O4956">
        <v>371</v>
      </c>
    </row>
    <row r="4957" spans="1:15" x14ac:dyDescent="0.25">
      <c r="A4957" t="s">
        <v>4970</v>
      </c>
      <c r="B4957">
        <v>285</v>
      </c>
      <c r="C4957" s="1" t="str">
        <f>HYPERLINK("http://www.rosaceae.org/gb/gbrowse/malus_x_domestica/?name=MDP0000230479","MDP0000230479")</f>
        <v>MDP0000230479</v>
      </c>
      <c r="D4957">
        <v>69.53</v>
      </c>
      <c r="E4957">
        <v>151</v>
      </c>
      <c r="F4957">
        <v>46</v>
      </c>
      <c r="G4957">
        <v>11</v>
      </c>
      <c r="H4957">
        <v>1</v>
      </c>
      <c r="I4957">
        <v>151</v>
      </c>
      <c r="J4957">
        <v>1</v>
      </c>
      <c r="K4957">
        <v>480</v>
      </c>
      <c r="L4957">
        <v>619</v>
      </c>
      <c r="M4957">
        <v>1</v>
      </c>
      <c r="N4957">
        <v>4.8899999999999999E-56</v>
      </c>
      <c r="O4957">
        <v>547</v>
      </c>
    </row>
    <row r="4958" spans="1:15" x14ac:dyDescent="0.25">
      <c r="A4958" t="s">
        <v>4971</v>
      </c>
      <c r="B4958">
        <v>419</v>
      </c>
      <c r="C4958" s="1" t="str">
        <f>HYPERLINK("http://www.rosaceae.org/gb/gbrowse/malus_x_domestica/?name=MDP0000890198","MDP0000890198")</f>
        <v>MDP0000890198</v>
      </c>
      <c r="D4958">
        <v>34.270000000000003</v>
      </c>
      <c r="E4958">
        <v>388</v>
      </c>
      <c r="F4958">
        <v>255</v>
      </c>
      <c r="G4958">
        <v>55</v>
      </c>
      <c r="H4958">
        <v>24</v>
      </c>
      <c r="I4958">
        <v>399</v>
      </c>
      <c r="J4958">
        <v>1</v>
      </c>
      <c r="K4958">
        <v>23</v>
      </c>
      <c r="L4958">
        <v>367</v>
      </c>
      <c r="M4958">
        <v>1</v>
      </c>
      <c r="N4958">
        <v>2.5689299999999999E-47</v>
      </c>
      <c r="O4958">
        <v>474</v>
      </c>
    </row>
    <row r="4959" spans="1:15" x14ac:dyDescent="0.25">
      <c r="A4959" t="s">
        <v>4972</v>
      </c>
      <c r="B4959">
        <v>623</v>
      </c>
      <c r="C4959" s="1" t="str">
        <f>HYPERLINK("http://www.rosaceae.org/gb/gbrowse/malus_x_domestica/?name=MDP0000119414","MDP0000119414")</f>
        <v>MDP0000119414</v>
      </c>
      <c r="D4959">
        <v>87.37</v>
      </c>
      <c r="E4959">
        <v>602</v>
      </c>
      <c r="F4959">
        <v>76</v>
      </c>
      <c r="G4959">
        <v>1</v>
      </c>
      <c r="H4959">
        <v>22</v>
      </c>
      <c r="I4959">
        <v>622</v>
      </c>
      <c r="J4959">
        <v>1</v>
      </c>
      <c r="K4959">
        <v>26</v>
      </c>
      <c r="L4959">
        <v>627</v>
      </c>
      <c r="M4959">
        <v>1</v>
      </c>
      <c r="N4959">
        <v>0</v>
      </c>
      <c r="O4959">
        <v>2815</v>
      </c>
    </row>
    <row r="4960" spans="1:15" x14ac:dyDescent="0.25">
      <c r="A4960" t="s">
        <v>4973</v>
      </c>
      <c r="B4960">
        <v>97</v>
      </c>
      <c r="C4960" s="1" t="str">
        <f>HYPERLINK("http://www.rosaceae.org/gb/gbrowse/malus_x_domestica/?name=MDP0000162566","MDP0000162566")</f>
        <v>MDP0000162566</v>
      </c>
      <c r="D4960">
        <v>47.16</v>
      </c>
      <c r="E4960">
        <v>106</v>
      </c>
      <c r="F4960">
        <v>56</v>
      </c>
      <c r="G4960">
        <v>23</v>
      </c>
      <c r="H4960">
        <v>1</v>
      </c>
      <c r="I4960">
        <v>87</v>
      </c>
      <c r="J4960">
        <v>1</v>
      </c>
      <c r="K4960">
        <v>494</v>
      </c>
      <c r="L4960">
        <v>595</v>
      </c>
      <c r="M4960">
        <v>1</v>
      </c>
      <c r="N4960">
        <v>1.42412E-19</v>
      </c>
      <c r="O4960">
        <v>226</v>
      </c>
    </row>
    <row r="4961" spans="1:15" x14ac:dyDescent="0.25">
      <c r="A4961" t="s">
        <v>4974</v>
      </c>
      <c r="B4961">
        <v>438</v>
      </c>
      <c r="C4961" s="1" t="str">
        <f>HYPERLINK("http://www.rosaceae.org/gb/gbrowse/malus_x_domestica/?name=MDP0000326734","MDP0000326734")</f>
        <v>MDP0000326734</v>
      </c>
      <c r="D4961">
        <v>52.33</v>
      </c>
      <c r="E4961">
        <v>407</v>
      </c>
      <c r="F4961">
        <v>194</v>
      </c>
      <c r="G4961">
        <v>32</v>
      </c>
      <c r="H4961">
        <v>34</v>
      </c>
      <c r="I4961">
        <v>436</v>
      </c>
      <c r="J4961">
        <v>1</v>
      </c>
      <c r="K4961">
        <v>82</v>
      </c>
      <c r="L4961">
        <v>460</v>
      </c>
      <c r="M4961">
        <v>1</v>
      </c>
      <c r="N4961">
        <v>6.2234599999999999E-105</v>
      </c>
      <c r="O4961">
        <v>971</v>
      </c>
    </row>
    <row r="4962" spans="1:15" x14ac:dyDescent="0.25">
      <c r="A4962" t="s">
        <v>4975</v>
      </c>
      <c r="B4962">
        <v>843</v>
      </c>
      <c r="C4962" s="1" t="str">
        <f>HYPERLINK("http://www.rosaceae.org/gb/gbrowse/malus_x_domestica/?name=MDP0000847249","MDP0000847249")</f>
        <v>MDP0000847249</v>
      </c>
      <c r="D4962">
        <v>80.16</v>
      </c>
      <c r="E4962">
        <v>837</v>
      </c>
      <c r="F4962">
        <v>166</v>
      </c>
      <c r="G4962">
        <v>14</v>
      </c>
      <c r="H4962">
        <v>20</v>
      </c>
      <c r="I4962">
        <v>843</v>
      </c>
      <c r="J4962">
        <v>1</v>
      </c>
      <c r="K4962">
        <v>12</v>
      </c>
      <c r="L4962">
        <v>847</v>
      </c>
      <c r="M4962">
        <v>1</v>
      </c>
      <c r="N4962">
        <v>0</v>
      </c>
      <c r="O4962">
        <v>3636</v>
      </c>
    </row>
    <row r="4963" spans="1:15" x14ac:dyDescent="0.25">
      <c r="A4963" t="s">
        <v>4976</v>
      </c>
      <c r="B4963">
        <v>555</v>
      </c>
      <c r="C4963" s="1" t="str">
        <f>HYPERLINK("http://www.rosaceae.org/gb/gbrowse/malus_x_domestica/?name=MDP0000124834","MDP0000124834")</f>
        <v>MDP0000124834</v>
      </c>
      <c r="D4963">
        <v>72.099999999999994</v>
      </c>
      <c r="E4963">
        <v>190</v>
      </c>
      <c r="F4963">
        <v>53</v>
      </c>
      <c r="G4963">
        <v>15</v>
      </c>
      <c r="H4963">
        <v>1</v>
      </c>
      <c r="I4963">
        <v>190</v>
      </c>
      <c r="J4963">
        <v>1</v>
      </c>
      <c r="K4963">
        <v>191</v>
      </c>
      <c r="L4963">
        <v>365</v>
      </c>
      <c r="M4963">
        <v>1</v>
      </c>
      <c r="N4963">
        <v>1.21311E-76</v>
      </c>
      <c r="O4963">
        <v>728</v>
      </c>
    </row>
    <row r="4964" spans="1:15" x14ac:dyDescent="0.25">
      <c r="A4964" t="s">
        <v>4977</v>
      </c>
      <c r="B4964">
        <v>871</v>
      </c>
      <c r="C4964" s="1" t="str">
        <f>HYPERLINK("http://www.rosaceae.org/gb/gbrowse/malus_x_domestica/?name=MDP0000285083","MDP0000285083")</f>
        <v>MDP0000285083</v>
      </c>
      <c r="D4964">
        <v>67.400000000000006</v>
      </c>
      <c r="E4964">
        <v>859</v>
      </c>
      <c r="F4964">
        <v>280</v>
      </c>
      <c r="G4964">
        <v>35</v>
      </c>
      <c r="H4964">
        <v>1</v>
      </c>
      <c r="I4964">
        <v>858</v>
      </c>
      <c r="J4964">
        <v>1</v>
      </c>
      <c r="K4964">
        <v>1</v>
      </c>
      <c r="L4964">
        <v>825</v>
      </c>
      <c r="M4964">
        <v>1</v>
      </c>
      <c r="N4964">
        <v>0</v>
      </c>
      <c r="O4964">
        <v>2785</v>
      </c>
    </row>
    <row r="4965" spans="1:15" x14ac:dyDescent="0.25">
      <c r="A4965" t="s">
        <v>4978</v>
      </c>
      <c r="B4965">
        <v>383</v>
      </c>
      <c r="C4965" s="1" t="str">
        <f>HYPERLINK("http://www.rosaceae.org/gb/gbrowse/malus_x_domestica/?name=MDP0000626626","MDP0000626626")</f>
        <v>MDP0000626626</v>
      </c>
      <c r="D4965">
        <v>72.23</v>
      </c>
      <c r="E4965">
        <v>407</v>
      </c>
      <c r="F4965">
        <v>113</v>
      </c>
      <c r="G4965">
        <v>37</v>
      </c>
      <c r="H4965">
        <v>1</v>
      </c>
      <c r="I4965">
        <v>381</v>
      </c>
      <c r="J4965">
        <v>1</v>
      </c>
      <c r="K4965">
        <v>1</v>
      </c>
      <c r="L4965">
        <v>396</v>
      </c>
      <c r="M4965">
        <v>1</v>
      </c>
      <c r="N4965">
        <v>3.1720800000000002E-161</v>
      </c>
      <c r="O4965">
        <v>1456</v>
      </c>
    </row>
    <row r="4966" spans="1:15" x14ac:dyDescent="0.25">
      <c r="A4966" t="s">
        <v>4979</v>
      </c>
      <c r="B4966">
        <v>110</v>
      </c>
      <c r="C4966" s="1" t="str">
        <f>HYPERLINK("http://www.rosaceae.org/gb/gbrowse/malus_x_domestica/?name=MDP0000249144","MDP0000249144")</f>
        <v>MDP0000249144</v>
      </c>
      <c r="D4966">
        <v>63.93</v>
      </c>
      <c r="E4966">
        <v>61</v>
      </c>
      <c r="F4966">
        <v>22</v>
      </c>
      <c r="G4966">
        <v>0</v>
      </c>
      <c r="H4966">
        <v>13</v>
      </c>
      <c r="I4966">
        <v>73</v>
      </c>
      <c r="J4966">
        <v>1</v>
      </c>
      <c r="K4966">
        <v>2</v>
      </c>
      <c r="L4966">
        <v>62</v>
      </c>
      <c r="M4966">
        <v>1</v>
      </c>
      <c r="N4966">
        <v>5.0239899999999998E-20</v>
      </c>
      <c r="O4966">
        <v>230</v>
      </c>
    </row>
    <row r="4967" spans="1:15" x14ac:dyDescent="0.25">
      <c r="A4967" t="s">
        <v>4980</v>
      </c>
      <c r="B4967">
        <v>1197</v>
      </c>
      <c r="C4967" s="1" t="str">
        <f>HYPERLINK("http://www.rosaceae.org/gb/gbrowse/malus_x_domestica/?name=MDP0000260433","MDP0000260433")</f>
        <v>MDP0000260433</v>
      </c>
      <c r="D4967">
        <v>78.11</v>
      </c>
      <c r="E4967">
        <v>1275</v>
      </c>
      <c r="F4967">
        <v>279</v>
      </c>
      <c r="G4967">
        <v>87</v>
      </c>
      <c r="H4967">
        <v>1</v>
      </c>
      <c r="I4967">
        <v>1195</v>
      </c>
      <c r="J4967">
        <v>1</v>
      </c>
      <c r="K4967">
        <v>1</v>
      </c>
      <c r="L4967">
        <v>1268</v>
      </c>
      <c r="M4967">
        <v>1</v>
      </c>
      <c r="N4967">
        <v>0</v>
      </c>
      <c r="O4967">
        <v>5132</v>
      </c>
    </row>
    <row r="4968" spans="1:15" x14ac:dyDescent="0.25">
      <c r="A4968" t="s">
        <v>4981</v>
      </c>
      <c r="B4968">
        <v>168</v>
      </c>
      <c r="C4968" s="1" t="str">
        <f>HYPERLINK("http://www.rosaceae.org/gb/gbrowse/malus_x_domestica/?name=MDP0000392904","MDP0000392904")</f>
        <v>MDP0000392904</v>
      </c>
      <c r="D4968">
        <v>66.25</v>
      </c>
      <c r="E4968">
        <v>160</v>
      </c>
      <c r="F4968">
        <v>54</v>
      </c>
      <c r="G4968">
        <v>4</v>
      </c>
      <c r="H4968">
        <v>11</v>
      </c>
      <c r="I4968">
        <v>166</v>
      </c>
      <c r="J4968">
        <v>1</v>
      </c>
      <c r="K4968">
        <v>4</v>
      </c>
      <c r="L4968">
        <v>163</v>
      </c>
      <c r="M4968">
        <v>1</v>
      </c>
      <c r="N4968">
        <v>1.3164600000000001E-59</v>
      </c>
      <c r="O4968">
        <v>574</v>
      </c>
    </row>
    <row r="4969" spans="1:15" x14ac:dyDescent="0.25">
      <c r="A4969" t="s">
        <v>4982</v>
      </c>
      <c r="B4969">
        <v>849</v>
      </c>
      <c r="C4969" s="1" t="str">
        <f>HYPERLINK("http://www.rosaceae.org/gb/gbrowse/malus_x_domestica/?name=MDP0000286047","MDP0000286047")</f>
        <v>MDP0000286047</v>
      </c>
      <c r="D4969">
        <v>58.29</v>
      </c>
      <c r="E4969">
        <v>633</v>
      </c>
      <c r="F4969">
        <v>264</v>
      </c>
      <c r="G4969">
        <v>74</v>
      </c>
      <c r="H4969">
        <v>276</v>
      </c>
      <c r="I4969">
        <v>849</v>
      </c>
      <c r="J4969">
        <v>1</v>
      </c>
      <c r="K4969">
        <v>338</v>
      </c>
      <c r="L4969">
        <v>955</v>
      </c>
      <c r="M4969">
        <v>1</v>
      </c>
      <c r="N4969">
        <v>0</v>
      </c>
      <c r="O4969">
        <v>1738</v>
      </c>
    </row>
    <row r="4970" spans="1:15" x14ac:dyDescent="0.25">
      <c r="A4970" t="s">
        <v>4983</v>
      </c>
      <c r="B4970">
        <v>311</v>
      </c>
      <c r="C4970" s="1" t="str">
        <f>HYPERLINK("http://www.rosaceae.org/gb/gbrowse/malus_x_domestica/?name=MDP0000256190","MDP0000256190")</f>
        <v>MDP0000256190</v>
      </c>
      <c r="D4970">
        <v>83.98</v>
      </c>
      <c r="E4970">
        <v>256</v>
      </c>
      <c r="F4970">
        <v>41</v>
      </c>
      <c r="G4970">
        <v>3</v>
      </c>
      <c r="H4970">
        <v>7</v>
      </c>
      <c r="I4970">
        <v>259</v>
      </c>
      <c r="J4970">
        <v>1</v>
      </c>
      <c r="K4970">
        <v>176</v>
      </c>
      <c r="L4970">
        <v>431</v>
      </c>
      <c r="M4970">
        <v>1</v>
      </c>
      <c r="N4970">
        <v>8.3666300000000006E-129</v>
      </c>
      <c r="O4970">
        <v>1175</v>
      </c>
    </row>
    <row r="4971" spans="1:15" x14ac:dyDescent="0.25">
      <c r="A4971" t="s">
        <v>4984</v>
      </c>
      <c r="B4971">
        <v>486</v>
      </c>
      <c r="C4971" s="1" t="str">
        <f>HYPERLINK("http://www.rosaceae.org/gb/gbrowse/malus_x_domestica/?name=MDP0000828513","MDP0000828513")</f>
        <v>MDP0000828513</v>
      </c>
      <c r="D4971">
        <v>76.680000000000007</v>
      </c>
      <c r="E4971">
        <v>489</v>
      </c>
      <c r="F4971">
        <v>114</v>
      </c>
      <c r="G4971">
        <v>4</v>
      </c>
      <c r="H4971">
        <v>1</v>
      </c>
      <c r="I4971">
        <v>486</v>
      </c>
      <c r="J4971">
        <v>1</v>
      </c>
      <c r="K4971">
        <v>1</v>
      </c>
      <c r="L4971">
        <v>488</v>
      </c>
      <c r="M4971">
        <v>1</v>
      </c>
      <c r="N4971">
        <v>0</v>
      </c>
      <c r="O4971">
        <v>2047</v>
      </c>
    </row>
    <row r="4972" spans="1:15" x14ac:dyDescent="0.25">
      <c r="A4972" t="s">
        <v>4985</v>
      </c>
      <c r="B4972">
        <v>364</v>
      </c>
      <c r="C4972" s="1" t="str">
        <f>HYPERLINK("http://www.rosaceae.org/gb/gbrowse/malus_x_domestica/?name=MDP0000232788","MDP0000232788")</f>
        <v>MDP0000232788</v>
      </c>
      <c r="D4972">
        <v>88.09</v>
      </c>
      <c r="E4972">
        <v>336</v>
      </c>
      <c r="F4972">
        <v>40</v>
      </c>
      <c r="G4972">
        <v>0</v>
      </c>
      <c r="H4972">
        <v>29</v>
      </c>
      <c r="I4972">
        <v>364</v>
      </c>
      <c r="J4972">
        <v>1</v>
      </c>
      <c r="K4972">
        <v>51</v>
      </c>
      <c r="L4972">
        <v>386</v>
      </c>
      <c r="M4972">
        <v>1</v>
      </c>
      <c r="N4972">
        <v>8.3568699999999999E-173</v>
      </c>
      <c r="O4972">
        <v>1555</v>
      </c>
    </row>
    <row r="4973" spans="1:15" x14ac:dyDescent="0.25">
      <c r="A4973" t="s">
        <v>4986</v>
      </c>
      <c r="B4973">
        <v>187</v>
      </c>
      <c r="C4973" s="1" t="str">
        <f>HYPERLINK("http://www.rosaceae.org/gb/gbrowse/malus_x_domestica/?name=MDP0000625459","MDP0000625459")</f>
        <v>MDP0000625459</v>
      </c>
      <c r="D4973">
        <v>80.95</v>
      </c>
      <c r="E4973">
        <v>168</v>
      </c>
      <c r="F4973">
        <v>32</v>
      </c>
      <c r="G4973">
        <v>5</v>
      </c>
      <c r="H4973">
        <v>1</v>
      </c>
      <c r="I4973">
        <v>164</v>
      </c>
      <c r="J4973">
        <v>1</v>
      </c>
      <c r="K4973">
        <v>1</v>
      </c>
      <c r="L4973">
        <v>167</v>
      </c>
      <c r="M4973">
        <v>1</v>
      </c>
      <c r="N4973">
        <v>5.0370099999999999E-73</v>
      </c>
      <c r="O4973">
        <v>691</v>
      </c>
    </row>
    <row r="4974" spans="1:15" x14ac:dyDescent="0.25">
      <c r="A4974" t="s">
        <v>4987</v>
      </c>
      <c r="B4974">
        <v>927</v>
      </c>
      <c r="C4974" s="1" t="str">
        <f>HYPERLINK("http://www.rosaceae.org/gb/gbrowse/malus_x_domestica/?name=MDP0000273964","MDP0000273964")</f>
        <v>MDP0000273964</v>
      </c>
      <c r="D4974">
        <v>77.8</v>
      </c>
      <c r="E4974">
        <v>766</v>
      </c>
      <c r="F4974">
        <v>170</v>
      </c>
      <c r="G4974">
        <v>52</v>
      </c>
      <c r="H4974">
        <v>168</v>
      </c>
      <c r="I4974">
        <v>915</v>
      </c>
      <c r="J4974">
        <v>1</v>
      </c>
      <c r="K4974">
        <v>21</v>
      </c>
      <c r="L4974">
        <v>752</v>
      </c>
      <c r="M4974">
        <v>1</v>
      </c>
      <c r="N4974">
        <v>0</v>
      </c>
      <c r="O4974">
        <v>3145</v>
      </c>
    </row>
    <row r="4975" spans="1:15" x14ac:dyDescent="0.25">
      <c r="A4975" t="s">
        <v>4988</v>
      </c>
      <c r="B4975">
        <v>386</v>
      </c>
      <c r="C4975" s="1" t="str">
        <f>HYPERLINK("http://www.rosaceae.org/gb/gbrowse/malus_x_domestica/?name=MDP0000308856","MDP0000308856")</f>
        <v>MDP0000308856</v>
      </c>
      <c r="D4975">
        <v>73.81</v>
      </c>
      <c r="E4975">
        <v>359</v>
      </c>
      <c r="F4975">
        <v>94</v>
      </c>
      <c r="G4975">
        <v>0</v>
      </c>
      <c r="H4975">
        <v>10</v>
      </c>
      <c r="I4975">
        <v>368</v>
      </c>
      <c r="J4975">
        <v>1</v>
      </c>
      <c r="K4975">
        <v>108</v>
      </c>
      <c r="L4975">
        <v>466</v>
      </c>
      <c r="M4975">
        <v>1</v>
      </c>
      <c r="N4975">
        <v>9.55985E-163</v>
      </c>
      <c r="O4975">
        <v>1469</v>
      </c>
    </row>
    <row r="4976" spans="1:15" x14ac:dyDescent="0.25">
      <c r="A4976" t="s">
        <v>4989</v>
      </c>
      <c r="B4976">
        <v>384</v>
      </c>
      <c r="C4976" s="1" t="str">
        <f>HYPERLINK("http://www.rosaceae.org/gb/gbrowse/malus_x_domestica/?name=MDP0000274485","MDP0000274485")</f>
        <v>MDP0000274485</v>
      </c>
      <c r="D4976">
        <v>35.53</v>
      </c>
      <c r="E4976">
        <v>121</v>
      </c>
      <c r="F4976">
        <v>78</v>
      </c>
      <c r="G4976">
        <v>0</v>
      </c>
      <c r="H4976">
        <v>226</v>
      </c>
      <c r="I4976">
        <v>346</v>
      </c>
      <c r="J4976">
        <v>1</v>
      </c>
      <c r="K4976">
        <v>18</v>
      </c>
      <c r="L4976">
        <v>138</v>
      </c>
      <c r="M4976">
        <v>1</v>
      </c>
      <c r="N4976">
        <v>5.7653200000000003E-12</v>
      </c>
      <c r="O4976">
        <v>168</v>
      </c>
    </row>
    <row r="4977" spans="1:15" x14ac:dyDescent="0.25">
      <c r="A4977" t="s">
        <v>4990</v>
      </c>
      <c r="B4977">
        <v>392</v>
      </c>
      <c r="C4977" s="1" t="str">
        <f>HYPERLINK("http://www.rosaceae.org/gb/gbrowse/malus_x_domestica/?name=MDP0000136709","MDP0000136709")</f>
        <v>MDP0000136709</v>
      </c>
      <c r="D4977">
        <v>69.12</v>
      </c>
      <c r="E4977">
        <v>149</v>
      </c>
      <c r="F4977">
        <v>46</v>
      </c>
      <c r="G4977">
        <v>18</v>
      </c>
      <c r="H4977">
        <v>135</v>
      </c>
      <c r="I4977">
        <v>265</v>
      </c>
      <c r="J4977">
        <v>1</v>
      </c>
      <c r="K4977">
        <v>366</v>
      </c>
      <c r="L4977">
        <v>514</v>
      </c>
      <c r="M4977">
        <v>1</v>
      </c>
      <c r="N4977">
        <v>8.46018E-53</v>
      </c>
      <c r="O4977">
        <v>521</v>
      </c>
    </row>
    <row r="4978" spans="1:15" x14ac:dyDescent="0.25">
      <c r="A4978" t="s">
        <v>4991</v>
      </c>
      <c r="B4978">
        <v>260</v>
      </c>
      <c r="C4978" s="1" t="str">
        <f>HYPERLINK("http://www.rosaceae.org/gb/gbrowse/malus_x_domestica/?name=MDP0000221871","MDP0000221871")</f>
        <v>MDP0000221871</v>
      </c>
      <c r="D4978">
        <v>46.88</v>
      </c>
      <c r="E4978">
        <v>209</v>
      </c>
      <c r="F4978">
        <v>111</v>
      </c>
      <c r="G4978">
        <v>67</v>
      </c>
      <c r="H4978">
        <v>73</v>
      </c>
      <c r="I4978">
        <v>214</v>
      </c>
      <c r="J4978">
        <v>1</v>
      </c>
      <c r="K4978">
        <v>168</v>
      </c>
      <c r="L4978">
        <v>376</v>
      </c>
      <c r="M4978">
        <v>1</v>
      </c>
      <c r="N4978">
        <v>2.6216899999999999E-36</v>
      </c>
      <c r="O4978">
        <v>376</v>
      </c>
    </row>
    <row r="4979" spans="1:15" x14ac:dyDescent="0.25">
      <c r="A4979" t="s">
        <v>4992</v>
      </c>
      <c r="B4979">
        <v>743</v>
      </c>
      <c r="C4979" s="1" t="str">
        <f>HYPERLINK("http://www.rosaceae.org/gb/gbrowse/malus_x_domestica/?name=MDP0000613111","MDP0000613111")</f>
        <v>MDP0000613111</v>
      </c>
      <c r="D4979">
        <v>36.549999999999997</v>
      </c>
      <c r="E4979">
        <v>870</v>
      </c>
      <c r="F4979">
        <v>552</v>
      </c>
      <c r="G4979">
        <v>143</v>
      </c>
      <c r="H4979">
        <v>1</v>
      </c>
      <c r="I4979">
        <v>739</v>
      </c>
      <c r="J4979">
        <v>1</v>
      </c>
      <c r="K4979">
        <v>1</v>
      </c>
      <c r="L4979">
        <v>858</v>
      </c>
      <c r="M4979">
        <v>1</v>
      </c>
      <c r="N4979">
        <v>4.5356499999999998E-128</v>
      </c>
      <c r="O4979">
        <v>1173</v>
      </c>
    </row>
    <row r="4980" spans="1:15" x14ac:dyDescent="0.25">
      <c r="A4980" t="s">
        <v>4993</v>
      </c>
      <c r="B4980">
        <v>153</v>
      </c>
      <c r="C4980" s="1" t="str">
        <f>HYPERLINK("http://www.rosaceae.org/gb/gbrowse/malus_x_domestica/?name=MDP0000572721","MDP0000572721")</f>
        <v>MDP0000572721</v>
      </c>
      <c r="D4980">
        <v>71.55</v>
      </c>
      <c r="E4980">
        <v>116</v>
      </c>
      <c r="F4980">
        <v>33</v>
      </c>
      <c r="G4980">
        <v>0</v>
      </c>
      <c r="H4980">
        <v>36</v>
      </c>
      <c r="I4980">
        <v>151</v>
      </c>
      <c r="J4980">
        <v>1</v>
      </c>
      <c r="K4980">
        <v>388</v>
      </c>
      <c r="L4980">
        <v>503</v>
      </c>
      <c r="M4980">
        <v>1</v>
      </c>
      <c r="N4980">
        <v>3.3642400000000001E-46</v>
      </c>
      <c r="O4980">
        <v>458</v>
      </c>
    </row>
    <row r="4981" spans="1:15" x14ac:dyDescent="0.25">
      <c r="A4981" t="s">
        <v>4994</v>
      </c>
      <c r="B4981">
        <v>144</v>
      </c>
      <c r="C4981" s="1" t="str">
        <f>HYPERLINK("http://www.rosaceae.org/gb/gbrowse/malus_x_domestica/?name=MDP0000124256","MDP0000124256")</f>
        <v>MDP0000124256</v>
      </c>
      <c r="D4981">
        <v>42.96</v>
      </c>
      <c r="E4981">
        <v>135</v>
      </c>
      <c r="F4981">
        <v>77</v>
      </c>
      <c r="G4981">
        <v>1</v>
      </c>
      <c r="H4981">
        <v>2</v>
      </c>
      <c r="I4981">
        <v>136</v>
      </c>
      <c r="J4981">
        <v>1</v>
      </c>
      <c r="K4981">
        <v>48</v>
      </c>
      <c r="L4981">
        <v>181</v>
      </c>
      <c r="M4981">
        <v>1</v>
      </c>
      <c r="N4981">
        <v>3.4716100000000001E-23</v>
      </c>
      <c r="O4981">
        <v>259</v>
      </c>
    </row>
    <row r="4982" spans="1:15" x14ac:dyDescent="0.25">
      <c r="A4982" t="s">
        <v>4995</v>
      </c>
      <c r="B4982">
        <v>250</v>
      </c>
      <c r="C4982" s="1" t="str">
        <f>HYPERLINK("http://www.rosaceae.org/gb/gbrowse/malus_x_domestica/?name=MDP0000259616","MDP0000259616")</f>
        <v>MDP0000259616</v>
      </c>
      <c r="D4982">
        <v>75</v>
      </c>
      <c r="E4982">
        <v>160</v>
      </c>
      <c r="F4982">
        <v>40</v>
      </c>
      <c r="G4982">
        <v>0</v>
      </c>
      <c r="H4982">
        <v>88</v>
      </c>
      <c r="I4982">
        <v>247</v>
      </c>
      <c r="J4982">
        <v>1</v>
      </c>
      <c r="K4982">
        <v>1</v>
      </c>
      <c r="L4982">
        <v>160</v>
      </c>
      <c r="M4982">
        <v>1</v>
      </c>
      <c r="N4982">
        <v>1.19696E-70</v>
      </c>
      <c r="O4982">
        <v>672</v>
      </c>
    </row>
    <row r="4983" spans="1:15" x14ac:dyDescent="0.25">
      <c r="A4983" t="s">
        <v>4996</v>
      </c>
      <c r="B4983">
        <v>174</v>
      </c>
      <c r="C4983" s="1" t="str">
        <f>HYPERLINK("http://www.rosaceae.org/gb/gbrowse/malus_x_domestica/?name=MDP0000237150","MDP0000237150")</f>
        <v>MDP0000237150</v>
      </c>
      <c r="D4983">
        <v>61.84</v>
      </c>
      <c r="E4983">
        <v>173</v>
      </c>
      <c r="F4983">
        <v>66</v>
      </c>
      <c r="G4983">
        <v>11</v>
      </c>
      <c r="H4983">
        <v>10</v>
      </c>
      <c r="I4983">
        <v>174</v>
      </c>
      <c r="J4983">
        <v>1</v>
      </c>
      <c r="K4983">
        <v>581</v>
      </c>
      <c r="L4983">
        <v>750</v>
      </c>
      <c r="M4983">
        <v>1</v>
      </c>
      <c r="N4983">
        <v>3.8894500000000002E-52</v>
      </c>
      <c r="O4983">
        <v>510</v>
      </c>
    </row>
    <row r="4984" spans="1:15" x14ac:dyDescent="0.25">
      <c r="A4984" t="s">
        <v>4997</v>
      </c>
      <c r="B4984">
        <v>160</v>
      </c>
      <c r="C4984" s="1" t="str">
        <f>HYPERLINK("http://www.rosaceae.org/gb/gbrowse/malus_x_domestica/?name=MDP0000150245","MDP0000150245")</f>
        <v>MDP0000150245</v>
      </c>
      <c r="D4984">
        <v>33.85</v>
      </c>
      <c r="E4984">
        <v>127</v>
      </c>
      <c r="F4984">
        <v>84</v>
      </c>
      <c r="G4984">
        <v>4</v>
      </c>
      <c r="H4984">
        <v>8</v>
      </c>
      <c r="I4984">
        <v>130</v>
      </c>
      <c r="J4984">
        <v>1</v>
      </c>
      <c r="K4984">
        <v>12</v>
      </c>
      <c r="L4984">
        <v>138</v>
      </c>
      <c r="M4984">
        <v>1</v>
      </c>
      <c r="N4984">
        <v>3.3966499999999999E-18</v>
      </c>
      <c r="O4984">
        <v>217</v>
      </c>
    </row>
    <row r="4985" spans="1:15" x14ac:dyDescent="0.25">
      <c r="A4985" t="s">
        <v>4998</v>
      </c>
      <c r="B4985">
        <v>326</v>
      </c>
      <c r="C4985" s="1" t="str">
        <f>HYPERLINK("http://www.rosaceae.org/gb/gbrowse/malus_x_domestica/?name=MDP0000280317","MDP0000280317")</f>
        <v>MDP0000280317</v>
      </c>
      <c r="D4985">
        <v>47.36</v>
      </c>
      <c r="E4985">
        <v>171</v>
      </c>
      <c r="F4985">
        <v>90</v>
      </c>
      <c r="G4985">
        <v>17</v>
      </c>
      <c r="H4985">
        <v>121</v>
      </c>
      <c r="I4985">
        <v>274</v>
      </c>
      <c r="J4985">
        <v>1</v>
      </c>
      <c r="K4985">
        <v>205</v>
      </c>
      <c r="L4985">
        <v>375</v>
      </c>
      <c r="M4985">
        <v>1</v>
      </c>
      <c r="N4985">
        <v>3.6189600000000001E-37</v>
      </c>
      <c r="O4985">
        <v>385</v>
      </c>
    </row>
    <row r="4986" spans="1:15" x14ac:dyDescent="0.25">
      <c r="A4986" t="s">
        <v>4999</v>
      </c>
      <c r="B4986">
        <v>1787</v>
      </c>
      <c r="C4986" s="1" t="str">
        <f>HYPERLINK("http://www.rosaceae.org/gb/gbrowse/malus_x_domestica/?name=MDP0000122337","MDP0000122337")</f>
        <v>MDP0000122337</v>
      </c>
      <c r="D4986">
        <v>72.61</v>
      </c>
      <c r="E4986">
        <v>504</v>
      </c>
      <c r="F4986">
        <v>138</v>
      </c>
      <c r="G4986">
        <v>8</v>
      </c>
      <c r="H4986">
        <v>46</v>
      </c>
      <c r="I4986">
        <v>544</v>
      </c>
      <c r="J4986">
        <v>1</v>
      </c>
      <c r="K4986">
        <v>149</v>
      </c>
      <c r="L4986">
        <v>649</v>
      </c>
      <c r="M4986">
        <v>1</v>
      </c>
      <c r="N4986">
        <v>0</v>
      </c>
      <c r="O4986">
        <v>1908</v>
      </c>
    </row>
    <row r="4987" spans="1:15" x14ac:dyDescent="0.25">
      <c r="A4987" t="s">
        <v>5000</v>
      </c>
      <c r="B4987">
        <v>124</v>
      </c>
      <c r="C4987" s="1" t="str">
        <f>HYPERLINK("http://www.rosaceae.org/gb/gbrowse/malus_x_domestica/?name=MDP0000213755","MDP0000213755")</f>
        <v>MDP0000213755</v>
      </c>
      <c r="D4987">
        <v>88</v>
      </c>
      <c r="E4987">
        <v>125</v>
      </c>
      <c r="F4987">
        <v>15</v>
      </c>
      <c r="G4987">
        <v>1</v>
      </c>
      <c r="H4987">
        <v>1</v>
      </c>
      <c r="I4987">
        <v>124</v>
      </c>
      <c r="J4987">
        <v>1</v>
      </c>
      <c r="K4987">
        <v>1</v>
      </c>
      <c r="L4987">
        <v>125</v>
      </c>
      <c r="M4987">
        <v>1</v>
      </c>
      <c r="N4987">
        <v>2.5360199999999998E-61</v>
      </c>
      <c r="O4987">
        <v>586</v>
      </c>
    </row>
    <row r="4988" spans="1:15" x14ac:dyDescent="0.25">
      <c r="A4988" t="s">
        <v>5001</v>
      </c>
      <c r="B4988">
        <v>395</v>
      </c>
      <c r="C4988" s="1" t="str">
        <f>HYPERLINK("http://www.rosaceae.org/gb/gbrowse/malus_x_domestica/?name=MDP0000228573","MDP0000228573")</f>
        <v>MDP0000228573</v>
      </c>
      <c r="D4988">
        <v>35.53</v>
      </c>
      <c r="E4988">
        <v>242</v>
      </c>
      <c r="F4988">
        <v>156</v>
      </c>
      <c r="G4988">
        <v>14</v>
      </c>
      <c r="H4988">
        <v>13</v>
      </c>
      <c r="I4988">
        <v>245</v>
      </c>
      <c r="J4988">
        <v>1</v>
      </c>
      <c r="K4988">
        <v>10</v>
      </c>
      <c r="L4988">
        <v>246</v>
      </c>
      <c r="M4988">
        <v>1</v>
      </c>
      <c r="N4988">
        <v>2.2188E-47</v>
      </c>
      <c r="O4988">
        <v>474</v>
      </c>
    </row>
    <row r="4989" spans="1:15" x14ac:dyDescent="0.25">
      <c r="A4989" t="s">
        <v>5002</v>
      </c>
      <c r="B4989">
        <v>254</v>
      </c>
      <c r="C4989" s="1" t="str">
        <f>HYPERLINK("http://www.rosaceae.org/gb/gbrowse/malus_x_domestica/?name=MDP0000298785","MDP0000298785")</f>
        <v>MDP0000298785</v>
      </c>
      <c r="D4989">
        <v>62.2</v>
      </c>
      <c r="E4989">
        <v>254</v>
      </c>
      <c r="F4989">
        <v>96</v>
      </c>
      <c r="G4989">
        <v>5</v>
      </c>
      <c r="H4989">
        <v>3</v>
      </c>
      <c r="I4989">
        <v>252</v>
      </c>
      <c r="J4989">
        <v>1</v>
      </c>
      <c r="K4989">
        <v>5</v>
      </c>
      <c r="L4989">
        <v>257</v>
      </c>
      <c r="M4989">
        <v>1</v>
      </c>
      <c r="N4989">
        <v>1.1663699999999999E-78</v>
      </c>
      <c r="O4989">
        <v>741</v>
      </c>
    </row>
    <row r="4990" spans="1:15" x14ac:dyDescent="0.25">
      <c r="A4990" t="s">
        <v>5003</v>
      </c>
      <c r="B4990">
        <v>402</v>
      </c>
      <c r="C4990" s="1" t="str">
        <f>HYPERLINK("http://www.rosaceae.org/gb/gbrowse/malus_x_domestica/?name=MDP0000319421","MDP0000319421")</f>
        <v>MDP0000319421</v>
      </c>
      <c r="D4990">
        <v>62.43</v>
      </c>
      <c r="E4990">
        <v>402</v>
      </c>
      <c r="F4990">
        <v>151</v>
      </c>
      <c r="G4990">
        <v>7</v>
      </c>
      <c r="H4990">
        <v>5</v>
      </c>
      <c r="I4990">
        <v>402</v>
      </c>
      <c r="J4990">
        <v>1</v>
      </c>
      <c r="K4990">
        <v>1</v>
      </c>
      <c r="L4990">
        <v>399</v>
      </c>
      <c r="M4990">
        <v>1</v>
      </c>
      <c r="N4990">
        <v>5.0485300000000001E-143</v>
      </c>
      <c r="O4990">
        <v>1299</v>
      </c>
    </row>
    <row r="4991" spans="1:15" x14ac:dyDescent="0.25">
      <c r="A4991" t="s">
        <v>5004</v>
      </c>
      <c r="B4991">
        <v>776</v>
      </c>
      <c r="C4991" s="1" t="str">
        <f>HYPERLINK("http://www.rosaceae.org/gb/gbrowse/malus_x_domestica/?name=MDP0000162509","MDP0000162509")</f>
        <v>MDP0000162509</v>
      </c>
      <c r="D4991">
        <v>78</v>
      </c>
      <c r="E4991">
        <v>773</v>
      </c>
      <c r="F4991">
        <v>170</v>
      </c>
      <c r="G4991">
        <v>17</v>
      </c>
      <c r="H4991">
        <v>21</v>
      </c>
      <c r="I4991">
        <v>776</v>
      </c>
      <c r="J4991">
        <v>1</v>
      </c>
      <c r="K4991">
        <v>30</v>
      </c>
      <c r="L4991">
        <v>802</v>
      </c>
      <c r="M4991">
        <v>1</v>
      </c>
      <c r="N4991">
        <v>0</v>
      </c>
      <c r="O4991">
        <v>3279</v>
      </c>
    </row>
    <row r="4992" spans="1:15" x14ac:dyDescent="0.25">
      <c r="A4992" t="s">
        <v>5005</v>
      </c>
      <c r="B4992">
        <v>389</v>
      </c>
      <c r="C4992" s="1" t="str">
        <f>HYPERLINK("http://www.rosaceae.org/gb/gbrowse/malus_x_domestica/?name=MDP0000217236","MDP0000217236")</f>
        <v>MDP0000217236</v>
      </c>
      <c r="D4992">
        <v>64.39</v>
      </c>
      <c r="E4992">
        <v>382</v>
      </c>
      <c r="F4992">
        <v>136</v>
      </c>
      <c r="G4992">
        <v>38</v>
      </c>
      <c r="H4992">
        <v>3</v>
      </c>
      <c r="I4992">
        <v>370</v>
      </c>
      <c r="J4992">
        <v>1</v>
      </c>
      <c r="K4992">
        <v>2</v>
      </c>
      <c r="L4992">
        <v>359</v>
      </c>
      <c r="M4992">
        <v>1</v>
      </c>
      <c r="N4992">
        <v>2.0987599999999999E-134</v>
      </c>
      <c r="O4992">
        <v>1224</v>
      </c>
    </row>
    <row r="4993" spans="1:15" x14ac:dyDescent="0.25">
      <c r="A4993" t="s">
        <v>5006</v>
      </c>
      <c r="B4993">
        <v>168</v>
      </c>
      <c r="C4993" s="1" t="str">
        <f>HYPERLINK("http://www.rosaceae.org/gb/gbrowse/malus_x_domestica/?name=MDP0000389795","MDP0000389795")</f>
        <v>MDP0000389795</v>
      </c>
      <c r="D4993">
        <v>69.709999999999994</v>
      </c>
      <c r="E4993">
        <v>142</v>
      </c>
      <c r="F4993">
        <v>43</v>
      </c>
      <c r="G4993">
        <v>6</v>
      </c>
      <c r="H4993">
        <v>23</v>
      </c>
      <c r="I4993">
        <v>162</v>
      </c>
      <c r="J4993">
        <v>1</v>
      </c>
      <c r="K4993">
        <v>27</v>
      </c>
      <c r="L4993">
        <v>164</v>
      </c>
      <c r="M4993">
        <v>1</v>
      </c>
      <c r="N4993">
        <v>3.2500800000000001E-50</v>
      </c>
      <c r="O4993">
        <v>493</v>
      </c>
    </row>
    <row r="4994" spans="1:15" x14ac:dyDescent="0.25">
      <c r="A4994" t="s">
        <v>5007</v>
      </c>
      <c r="B4994">
        <v>788</v>
      </c>
      <c r="C4994" s="1" t="str">
        <f>HYPERLINK("http://www.rosaceae.org/gb/gbrowse/malus_x_domestica/?name=MDP0000295279","MDP0000295279")</f>
        <v>MDP0000295279</v>
      </c>
      <c r="D4994">
        <v>50</v>
      </c>
      <c r="E4994">
        <v>532</v>
      </c>
      <c r="F4994">
        <v>266</v>
      </c>
      <c r="G4994">
        <v>24</v>
      </c>
      <c r="H4994">
        <v>15</v>
      </c>
      <c r="I4994">
        <v>536</v>
      </c>
      <c r="J4994">
        <v>1</v>
      </c>
      <c r="K4994">
        <v>37</v>
      </c>
      <c r="L4994">
        <v>554</v>
      </c>
      <c r="M4994">
        <v>1</v>
      </c>
      <c r="N4994">
        <v>8.3086399999999996E-148</v>
      </c>
      <c r="O4994">
        <v>1343</v>
      </c>
    </row>
    <row r="4995" spans="1:15" x14ac:dyDescent="0.25">
      <c r="A4995" t="s">
        <v>5008</v>
      </c>
      <c r="B4995">
        <v>424</v>
      </c>
      <c r="C4995" s="1" t="str">
        <f>HYPERLINK("http://www.rosaceae.org/gb/gbrowse/malus_x_domestica/?name=MDP0000312874","MDP0000312874")</f>
        <v>MDP0000312874</v>
      </c>
      <c r="D4995">
        <v>73.61</v>
      </c>
      <c r="E4995">
        <v>398</v>
      </c>
      <c r="F4995">
        <v>105</v>
      </c>
      <c r="G4995">
        <v>40</v>
      </c>
      <c r="H4995">
        <v>49</v>
      </c>
      <c r="I4995">
        <v>412</v>
      </c>
      <c r="J4995">
        <v>1</v>
      </c>
      <c r="K4995">
        <v>371</v>
      </c>
      <c r="L4995">
        <v>762</v>
      </c>
      <c r="M4995">
        <v>1</v>
      </c>
      <c r="N4995">
        <v>2.6516800000000001E-165</v>
      </c>
      <c r="O4995">
        <v>1491</v>
      </c>
    </row>
    <row r="4996" spans="1:15" x14ac:dyDescent="0.25">
      <c r="A4996" t="s">
        <v>5009</v>
      </c>
      <c r="B4996">
        <v>286</v>
      </c>
      <c r="C4996" s="1" t="str">
        <f>HYPERLINK("http://www.rosaceae.org/gb/gbrowse/malus_x_domestica/?name=MDP0000169760","MDP0000169760")</f>
        <v>MDP0000169760</v>
      </c>
      <c r="D4996">
        <v>56.81</v>
      </c>
      <c r="E4996">
        <v>264</v>
      </c>
      <c r="F4996">
        <v>114</v>
      </c>
      <c r="G4996">
        <v>28</v>
      </c>
      <c r="H4996">
        <v>1</v>
      </c>
      <c r="I4996">
        <v>244</v>
      </c>
      <c r="J4996">
        <v>1</v>
      </c>
      <c r="K4996">
        <v>1</v>
      </c>
      <c r="L4996">
        <v>256</v>
      </c>
      <c r="M4996">
        <v>1</v>
      </c>
      <c r="N4996">
        <v>1.0207499999999999E-68</v>
      </c>
      <c r="O4996">
        <v>656</v>
      </c>
    </row>
    <row r="4997" spans="1:15" x14ac:dyDescent="0.25">
      <c r="A4997" t="s">
        <v>5010</v>
      </c>
      <c r="B4997">
        <v>967</v>
      </c>
      <c r="C4997" s="1" t="str">
        <f>HYPERLINK("http://www.rosaceae.org/gb/gbrowse/malus_x_domestica/?name=MDP0000871812","MDP0000871812")</f>
        <v>MDP0000871812</v>
      </c>
      <c r="D4997">
        <v>73.28</v>
      </c>
      <c r="E4997">
        <v>378</v>
      </c>
      <c r="F4997">
        <v>101</v>
      </c>
      <c r="G4997">
        <v>5</v>
      </c>
      <c r="H4997">
        <v>20</v>
      </c>
      <c r="I4997">
        <v>396</v>
      </c>
      <c r="J4997">
        <v>1</v>
      </c>
      <c r="K4997">
        <v>1</v>
      </c>
      <c r="L4997">
        <v>374</v>
      </c>
      <c r="M4997">
        <v>1</v>
      </c>
      <c r="N4997">
        <v>7.9336000000000005E-161</v>
      </c>
      <c r="O4997">
        <v>1456</v>
      </c>
    </row>
    <row r="4998" spans="1:15" x14ac:dyDescent="0.25">
      <c r="A4998" t="s">
        <v>5011</v>
      </c>
      <c r="B4998">
        <v>333</v>
      </c>
      <c r="C4998" s="1" t="str">
        <f>HYPERLINK("http://www.rosaceae.org/gb/gbrowse/malus_x_domestica/?name=MDP0000158237","MDP0000158237")</f>
        <v>MDP0000158237</v>
      </c>
      <c r="D4998">
        <v>43.54</v>
      </c>
      <c r="E4998">
        <v>62</v>
      </c>
      <c r="F4998">
        <v>35</v>
      </c>
      <c r="G4998">
        <v>7</v>
      </c>
      <c r="H4998">
        <v>25</v>
      </c>
      <c r="I4998">
        <v>79</v>
      </c>
      <c r="J4998">
        <v>1</v>
      </c>
      <c r="K4998">
        <v>51</v>
      </c>
      <c r="L4998">
        <v>112</v>
      </c>
      <c r="M4998">
        <v>1</v>
      </c>
      <c r="N4998">
        <v>3.9589999999999999E-7</v>
      </c>
      <c r="O4998">
        <v>126</v>
      </c>
    </row>
    <row r="4999" spans="1:15" x14ac:dyDescent="0.25">
      <c r="A4999" t="s">
        <v>5012</v>
      </c>
      <c r="B4999">
        <v>553</v>
      </c>
      <c r="C4999" s="1" t="str">
        <f>HYPERLINK("http://www.rosaceae.org/gb/gbrowse/malus_x_domestica/?name=MDP0000739019","MDP0000739019")</f>
        <v>MDP0000739019</v>
      </c>
      <c r="D4999">
        <v>81.63</v>
      </c>
      <c r="E4999">
        <v>550</v>
      </c>
      <c r="F4999">
        <v>101</v>
      </c>
      <c r="G4999">
        <v>10</v>
      </c>
      <c r="H4999">
        <v>14</v>
      </c>
      <c r="I4999">
        <v>553</v>
      </c>
      <c r="J4999">
        <v>1</v>
      </c>
      <c r="K4999">
        <v>11</v>
      </c>
      <c r="L4999">
        <v>560</v>
      </c>
      <c r="M4999">
        <v>1</v>
      </c>
      <c r="N4999">
        <v>0</v>
      </c>
      <c r="O4999">
        <v>2413</v>
      </c>
    </row>
    <row r="5000" spans="1:15" x14ac:dyDescent="0.25">
      <c r="A5000" t="s">
        <v>5013</v>
      </c>
      <c r="B5000">
        <v>662</v>
      </c>
      <c r="C5000" s="1" t="str">
        <f>HYPERLINK("http://www.rosaceae.org/gb/gbrowse/malus_x_domestica/?name=MDP0000191360","MDP0000191360")</f>
        <v>MDP0000191360</v>
      </c>
      <c r="D5000">
        <v>34.880000000000003</v>
      </c>
      <c r="E5000">
        <v>536</v>
      </c>
      <c r="F5000">
        <v>349</v>
      </c>
      <c r="G5000">
        <v>81</v>
      </c>
      <c r="H5000">
        <v>192</v>
      </c>
      <c r="I5000">
        <v>662</v>
      </c>
      <c r="J5000">
        <v>1</v>
      </c>
      <c r="K5000">
        <v>7</v>
      </c>
      <c r="L5000">
        <v>526</v>
      </c>
      <c r="M5000">
        <v>1</v>
      </c>
      <c r="N5000">
        <v>8.3720999999999993E-64</v>
      </c>
      <c r="O5000">
        <v>618</v>
      </c>
    </row>
    <row r="5001" spans="1:15" x14ac:dyDescent="0.25">
      <c r="A5001" t="s">
        <v>5014</v>
      </c>
      <c r="B5001">
        <v>771</v>
      </c>
      <c r="C5001" s="1" t="str">
        <f>HYPERLINK("http://www.rosaceae.org/gb/gbrowse/malus_x_domestica/?name=MDP0000201281","MDP0000201281")</f>
        <v>MDP0000201281</v>
      </c>
      <c r="D5001">
        <v>76.849999999999994</v>
      </c>
      <c r="E5001">
        <v>769</v>
      </c>
      <c r="F5001">
        <v>178</v>
      </c>
      <c r="G5001">
        <v>18</v>
      </c>
      <c r="H5001">
        <v>21</v>
      </c>
      <c r="I5001">
        <v>771</v>
      </c>
      <c r="J5001">
        <v>1</v>
      </c>
      <c r="K5001">
        <v>21</v>
      </c>
      <c r="L5001">
        <v>789</v>
      </c>
      <c r="M5001">
        <v>1</v>
      </c>
      <c r="N5001">
        <v>0</v>
      </c>
      <c r="O5001">
        <v>3063</v>
      </c>
    </row>
    <row r="5002" spans="1:15" x14ac:dyDescent="0.25">
      <c r="A5002" t="s">
        <v>5015</v>
      </c>
      <c r="B5002">
        <v>643</v>
      </c>
      <c r="C5002" s="1" t="str">
        <f>HYPERLINK("http://www.rosaceae.org/gb/gbrowse/malus_x_domestica/?name=MDP0000266172","MDP0000266172")</f>
        <v>MDP0000266172</v>
      </c>
      <c r="D5002">
        <v>72.349999999999994</v>
      </c>
      <c r="E5002">
        <v>604</v>
      </c>
      <c r="F5002">
        <v>167</v>
      </c>
      <c r="G5002">
        <v>9</v>
      </c>
      <c r="H5002">
        <v>49</v>
      </c>
      <c r="I5002">
        <v>643</v>
      </c>
      <c r="J5002">
        <v>1</v>
      </c>
      <c r="K5002">
        <v>334</v>
      </c>
      <c r="L5002">
        <v>937</v>
      </c>
      <c r="M5002">
        <v>1</v>
      </c>
      <c r="N5002">
        <v>0</v>
      </c>
      <c r="O5002">
        <v>2388</v>
      </c>
    </row>
    <row r="5003" spans="1:15" x14ac:dyDescent="0.25">
      <c r="A5003" t="s">
        <v>5016</v>
      </c>
      <c r="B5003">
        <v>422</v>
      </c>
      <c r="C5003" s="1" t="str">
        <f>HYPERLINK("http://www.rosaceae.org/gb/gbrowse/malus_x_domestica/?name=MDP0000203818","MDP0000203818")</f>
        <v>MDP0000203818</v>
      </c>
      <c r="D5003">
        <v>65.45</v>
      </c>
      <c r="E5003">
        <v>411</v>
      </c>
      <c r="F5003">
        <v>142</v>
      </c>
      <c r="G5003">
        <v>17</v>
      </c>
      <c r="H5003">
        <v>1</v>
      </c>
      <c r="I5003">
        <v>402</v>
      </c>
      <c r="J5003">
        <v>1</v>
      </c>
      <c r="K5003">
        <v>1</v>
      </c>
      <c r="L5003">
        <v>403</v>
      </c>
      <c r="M5003">
        <v>1</v>
      </c>
      <c r="N5003">
        <v>2.4438200000000002E-137</v>
      </c>
      <c r="O5003">
        <v>1250</v>
      </c>
    </row>
    <row r="5004" spans="1:15" x14ac:dyDescent="0.25">
      <c r="A5004" t="s">
        <v>5017</v>
      </c>
      <c r="B5004">
        <v>154</v>
      </c>
      <c r="C5004" s="1" t="str">
        <f>HYPERLINK("http://www.rosaceae.org/gb/gbrowse/malus_x_domestica/?name=MDP0000274883","MDP0000274883")</f>
        <v>MDP0000274883</v>
      </c>
      <c r="D5004">
        <v>80.819999999999993</v>
      </c>
      <c r="E5004">
        <v>73</v>
      </c>
      <c r="F5004">
        <v>14</v>
      </c>
      <c r="G5004">
        <v>1</v>
      </c>
      <c r="H5004">
        <v>75</v>
      </c>
      <c r="I5004">
        <v>147</v>
      </c>
      <c r="J5004">
        <v>1</v>
      </c>
      <c r="K5004">
        <v>535</v>
      </c>
      <c r="L5004">
        <v>606</v>
      </c>
      <c r="M5004">
        <v>1</v>
      </c>
      <c r="N5004">
        <v>1.7566899999999999E-30</v>
      </c>
      <c r="O5004">
        <v>322</v>
      </c>
    </row>
    <row r="5005" spans="1:15" x14ac:dyDescent="0.25">
      <c r="A5005" t="s">
        <v>5018</v>
      </c>
      <c r="B5005">
        <v>169</v>
      </c>
      <c r="C5005" s="1" t="str">
        <f>HYPERLINK("http://www.rosaceae.org/gb/gbrowse/malus_x_domestica/?name=MDP0000317970","MDP0000317970")</f>
        <v>MDP0000317970</v>
      </c>
      <c r="D5005">
        <v>64.28</v>
      </c>
      <c r="E5005">
        <v>126</v>
      </c>
      <c r="F5005">
        <v>45</v>
      </c>
      <c r="G5005">
        <v>27</v>
      </c>
      <c r="H5005">
        <v>67</v>
      </c>
      <c r="I5005">
        <v>165</v>
      </c>
      <c r="J5005">
        <v>1</v>
      </c>
      <c r="K5005">
        <v>526</v>
      </c>
      <c r="L5005">
        <v>651</v>
      </c>
      <c r="M5005">
        <v>1</v>
      </c>
      <c r="N5005">
        <v>1.65485E-37</v>
      </c>
      <c r="O5005">
        <v>384</v>
      </c>
    </row>
    <row r="5006" spans="1:15" x14ac:dyDescent="0.25">
      <c r="A5006" t="s">
        <v>5019</v>
      </c>
      <c r="B5006">
        <v>320</v>
      </c>
      <c r="C5006" s="1" t="str">
        <f>HYPERLINK("http://www.rosaceae.org/gb/gbrowse/malus_x_domestica/?name=MDP0000946670","MDP0000946670")</f>
        <v>MDP0000946670</v>
      </c>
      <c r="D5006">
        <v>45.66</v>
      </c>
      <c r="E5006">
        <v>219</v>
      </c>
      <c r="F5006">
        <v>119</v>
      </c>
      <c r="G5006">
        <v>33</v>
      </c>
      <c r="H5006">
        <v>2</v>
      </c>
      <c r="I5006">
        <v>188</v>
      </c>
      <c r="J5006">
        <v>1</v>
      </c>
      <c r="K5006">
        <v>4</v>
      </c>
      <c r="L5006">
        <v>221</v>
      </c>
      <c r="M5006">
        <v>1</v>
      </c>
      <c r="N5006">
        <v>1.51643E-36</v>
      </c>
      <c r="O5006">
        <v>379</v>
      </c>
    </row>
    <row r="5007" spans="1:15" x14ac:dyDescent="0.25">
      <c r="A5007" t="s">
        <v>5020</v>
      </c>
      <c r="B5007">
        <v>193</v>
      </c>
      <c r="C5007" s="1" t="str">
        <f>HYPERLINK("http://www.rosaceae.org/gb/gbrowse/malus_x_domestica/?name=MDP0000138501","MDP0000138501")</f>
        <v>MDP0000138501</v>
      </c>
      <c r="D5007">
        <v>72.77</v>
      </c>
      <c r="E5007">
        <v>191</v>
      </c>
      <c r="F5007">
        <v>52</v>
      </c>
      <c r="G5007">
        <v>0</v>
      </c>
      <c r="H5007">
        <v>1</v>
      </c>
      <c r="I5007">
        <v>191</v>
      </c>
      <c r="J5007">
        <v>1</v>
      </c>
      <c r="K5007">
        <v>794</v>
      </c>
      <c r="L5007">
        <v>984</v>
      </c>
      <c r="M5007">
        <v>1</v>
      </c>
      <c r="N5007">
        <v>1.08255E-82</v>
      </c>
      <c r="O5007">
        <v>774</v>
      </c>
    </row>
    <row r="5008" spans="1:15" x14ac:dyDescent="0.25">
      <c r="A5008" t="s">
        <v>5021</v>
      </c>
      <c r="B5008">
        <v>474</v>
      </c>
      <c r="C5008" s="1" t="str">
        <f>HYPERLINK("http://www.rosaceae.org/gb/gbrowse/malus_x_domestica/?name=MDP0000665252","MDP0000665252")</f>
        <v>MDP0000665252</v>
      </c>
      <c r="D5008">
        <v>50.1</v>
      </c>
      <c r="E5008">
        <v>467</v>
      </c>
      <c r="F5008">
        <v>233</v>
      </c>
      <c r="G5008">
        <v>69</v>
      </c>
      <c r="H5008">
        <v>27</v>
      </c>
      <c r="I5008">
        <v>443</v>
      </c>
      <c r="J5008">
        <v>1</v>
      </c>
      <c r="K5008">
        <v>42</v>
      </c>
      <c r="L5008">
        <v>489</v>
      </c>
      <c r="M5008">
        <v>1</v>
      </c>
      <c r="N5008">
        <v>7.1105799999999997E-122</v>
      </c>
      <c r="O5008">
        <v>1117</v>
      </c>
    </row>
    <row r="5009" spans="1:15" x14ac:dyDescent="0.25">
      <c r="A5009" t="s">
        <v>5022</v>
      </c>
      <c r="B5009">
        <v>254</v>
      </c>
      <c r="C5009" s="1" t="str">
        <f>HYPERLINK("http://www.rosaceae.org/gb/gbrowse/malus_x_domestica/?name=MDP0000272843","MDP0000272843")</f>
        <v>MDP0000272843</v>
      </c>
      <c r="D5009">
        <v>52.98</v>
      </c>
      <c r="E5009">
        <v>251</v>
      </c>
      <c r="F5009">
        <v>118</v>
      </c>
      <c r="G5009">
        <v>66</v>
      </c>
      <c r="H5009">
        <v>43</v>
      </c>
      <c r="I5009">
        <v>227</v>
      </c>
      <c r="J5009">
        <v>1</v>
      </c>
      <c r="K5009">
        <v>579</v>
      </c>
      <c r="L5009">
        <v>829</v>
      </c>
      <c r="M5009">
        <v>1</v>
      </c>
      <c r="N5009">
        <v>8.44591E-70</v>
      </c>
      <c r="O5009">
        <v>665</v>
      </c>
    </row>
    <row r="5010" spans="1:15" x14ac:dyDescent="0.25">
      <c r="A5010" t="s">
        <v>5023</v>
      </c>
      <c r="B5010">
        <v>123</v>
      </c>
      <c r="C5010" s="1" t="str">
        <f>HYPERLINK("http://www.rosaceae.org/gb/gbrowse/malus_x_domestica/?name=MDP0000848515","MDP0000848515")</f>
        <v>MDP0000848515</v>
      </c>
      <c r="D5010">
        <v>41.11</v>
      </c>
      <c r="E5010">
        <v>90</v>
      </c>
      <c r="F5010">
        <v>53</v>
      </c>
      <c r="G5010">
        <v>6</v>
      </c>
      <c r="H5010">
        <v>32</v>
      </c>
      <c r="I5010">
        <v>121</v>
      </c>
      <c r="J5010">
        <v>1</v>
      </c>
      <c r="K5010">
        <v>49</v>
      </c>
      <c r="L5010">
        <v>132</v>
      </c>
      <c r="M5010">
        <v>1</v>
      </c>
      <c r="N5010">
        <v>2.2987900000000001E-9</v>
      </c>
      <c r="O5010">
        <v>138</v>
      </c>
    </row>
    <row r="5011" spans="1:15" x14ac:dyDescent="0.25">
      <c r="A5011" t="s">
        <v>5024</v>
      </c>
      <c r="B5011">
        <v>237</v>
      </c>
      <c r="C5011" s="1" t="str">
        <f>HYPERLINK("http://www.rosaceae.org/gb/gbrowse/malus_x_domestica/?name=MDP0000134946","MDP0000134946")</f>
        <v>MDP0000134946</v>
      </c>
      <c r="D5011">
        <v>72.48</v>
      </c>
      <c r="E5011">
        <v>149</v>
      </c>
      <c r="F5011">
        <v>41</v>
      </c>
      <c r="G5011">
        <v>0</v>
      </c>
      <c r="H5011">
        <v>3</v>
      </c>
      <c r="I5011">
        <v>151</v>
      </c>
      <c r="J5011">
        <v>1</v>
      </c>
      <c r="K5011">
        <v>35</v>
      </c>
      <c r="L5011">
        <v>183</v>
      </c>
      <c r="M5011">
        <v>1</v>
      </c>
      <c r="N5011">
        <v>5.7405999999999999E-55</v>
      </c>
      <c r="O5011">
        <v>537</v>
      </c>
    </row>
    <row r="5012" spans="1:15" x14ac:dyDescent="0.25">
      <c r="A5012" t="s">
        <v>5025</v>
      </c>
      <c r="B5012">
        <v>228</v>
      </c>
      <c r="C5012" s="1" t="str">
        <f>HYPERLINK("http://www.rosaceae.org/gb/gbrowse/malus_x_domestica/?name=MDP0000169903","MDP0000169903")</f>
        <v>MDP0000169903</v>
      </c>
      <c r="D5012">
        <v>51.07</v>
      </c>
      <c r="E5012">
        <v>233</v>
      </c>
      <c r="F5012">
        <v>114</v>
      </c>
      <c r="G5012">
        <v>26</v>
      </c>
      <c r="H5012">
        <v>8</v>
      </c>
      <c r="I5012">
        <v>218</v>
      </c>
      <c r="J5012">
        <v>1</v>
      </c>
      <c r="K5012">
        <v>28</v>
      </c>
      <c r="L5012">
        <v>256</v>
      </c>
      <c r="M5012">
        <v>1</v>
      </c>
      <c r="N5012">
        <v>1.0888099999999999E-58</v>
      </c>
      <c r="O5012">
        <v>569</v>
      </c>
    </row>
    <row r="5013" spans="1:15" x14ac:dyDescent="0.25">
      <c r="A5013" t="s">
        <v>5026</v>
      </c>
      <c r="B5013">
        <v>165</v>
      </c>
      <c r="C5013" s="1" t="str">
        <f>HYPERLINK("http://www.rosaceae.org/gb/gbrowse/malus_x_domestica/?name=MDP0000177714","MDP0000177714")</f>
        <v>MDP0000177714</v>
      </c>
      <c r="D5013">
        <v>95.73</v>
      </c>
      <c r="E5013">
        <v>164</v>
      </c>
      <c r="F5013">
        <v>7</v>
      </c>
      <c r="G5013">
        <v>0</v>
      </c>
      <c r="H5013">
        <v>1</v>
      </c>
      <c r="I5013">
        <v>164</v>
      </c>
      <c r="J5013">
        <v>1</v>
      </c>
      <c r="K5013">
        <v>1</v>
      </c>
      <c r="L5013">
        <v>164</v>
      </c>
      <c r="M5013">
        <v>1</v>
      </c>
      <c r="N5013">
        <v>1.54077E-89</v>
      </c>
      <c r="O5013">
        <v>832</v>
      </c>
    </row>
    <row r="5014" spans="1:15" x14ac:dyDescent="0.25">
      <c r="A5014" t="s">
        <v>5027</v>
      </c>
      <c r="B5014">
        <v>139</v>
      </c>
      <c r="C5014" s="1" t="str">
        <f>HYPERLINK("http://www.rosaceae.org/gb/gbrowse/malus_x_domestica/?name=MDP0000299658","MDP0000299658")</f>
        <v>MDP0000299658</v>
      </c>
      <c r="D5014">
        <v>42.66</v>
      </c>
      <c r="E5014">
        <v>150</v>
      </c>
      <c r="F5014">
        <v>86</v>
      </c>
      <c r="G5014">
        <v>36</v>
      </c>
      <c r="H5014">
        <v>21</v>
      </c>
      <c r="I5014">
        <v>139</v>
      </c>
      <c r="J5014">
        <v>1</v>
      </c>
      <c r="K5014">
        <v>20</v>
      </c>
      <c r="L5014">
        <v>164</v>
      </c>
      <c r="M5014">
        <v>1</v>
      </c>
      <c r="N5014">
        <v>4.9604699999999997E-19</v>
      </c>
      <c r="O5014">
        <v>223</v>
      </c>
    </row>
    <row r="5015" spans="1:15" x14ac:dyDescent="0.25">
      <c r="A5015" t="s">
        <v>5028</v>
      </c>
      <c r="B5015">
        <v>1033</v>
      </c>
      <c r="C5015" s="1" t="str">
        <f>HYPERLINK("http://www.rosaceae.org/gb/gbrowse/malus_x_domestica/?name=MDP0000425449","MDP0000425449")</f>
        <v>MDP0000425449</v>
      </c>
      <c r="D5015">
        <v>73.34</v>
      </c>
      <c r="E5015">
        <v>439</v>
      </c>
      <c r="F5015">
        <v>117</v>
      </c>
      <c r="G5015">
        <v>5</v>
      </c>
      <c r="H5015">
        <v>31</v>
      </c>
      <c r="I5015">
        <v>469</v>
      </c>
      <c r="J5015">
        <v>1</v>
      </c>
      <c r="K5015">
        <v>826</v>
      </c>
      <c r="L5015">
        <v>1259</v>
      </c>
      <c r="M5015">
        <v>1</v>
      </c>
      <c r="N5015">
        <v>0</v>
      </c>
      <c r="O5015">
        <v>1764</v>
      </c>
    </row>
    <row r="5016" spans="1:15" x14ac:dyDescent="0.25">
      <c r="A5016" t="s">
        <v>5029</v>
      </c>
      <c r="B5016">
        <v>346</v>
      </c>
      <c r="C5016" s="1" t="str">
        <f>HYPERLINK("http://www.rosaceae.org/gb/gbrowse/malus_x_domestica/?name=MDP0000829982","MDP0000829982")</f>
        <v>MDP0000829982</v>
      </c>
      <c r="D5016">
        <v>89.85</v>
      </c>
      <c r="E5016">
        <v>207</v>
      </c>
      <c r="F5016">
        <v>21</v>
      </c>
      <c r="G5016">
        <v>0</v>
      </c>
      <c r="H5016">
        <v>139</v>
      </c>
      <c r="I5016">
        <v>345</v>
      </c>
      <c r="J5016">
        <v>1</v>
      </c>
      <c r="K5016">
        <v>268</v>
      </c>
      <c r="L5016">
        <v>474</v>
      </c>
      <c r="M5016">
        <v>1</v>
      </c>
      <c r="N5016">
        <v>5.5437700000000001E-101</v>
      </c>
      <c r="O5016">
        <v>936</v>
      </c>
    </row>
    <row r="5017" spans="1:15" x14ac:dyDescent="0.25">
      <c r="A5017" t="s">
        <v>5030</v>
      </c>
      <c r="B5017">
        <v>364</v>
      </c>
      <c r="C5017" s="1" t="str">
        <f>HYPERLINK("http://www.rosaceae.org/gb/gbrowse/malus_x_domestica/?name=MDP0000239688","MDP0000239688")</f>
        <v>MDP0000239688</v>
      </c>
      <c r="D5017">
        <v>67.05</v>
      </c>
      <c r="E5017">
        <v>346</v>
      </c>
      <c r="F5017">
        <v>114</v>
      </c>
      <c r="G5017">
        <v>27</v>
      </c>
      <c r="H5017">
        <v>1</v>
      </c>
      <c r="I5017">
        <v>320</v>
      </c>
      <c r="J5017">
        <v>1</v>
      </c>
      <c r="K5017">
        <v>1</v>
      </c>
      <c r="L5017">
        <v>345</v>
      </c>
      <c r="M5017">
        <v>1</v>
      </c>
      <c r="N5017">
        <v>5.6626399999999998E-134</v>
      </c>
      <c r="O5017">
        <v>1220</v>
      </c>
    </row>
    <row r="5018" spans="1:15" x14ac:dyDescent="0.25">
      <c r="A5018" t="s">
        <v>5031</v>
      </c>
      <c r="B5018">
        <v>500</v>
      </c>
      <c r="C5018" s="1" t="str">
        <f>HYPERLINK("http://www.rosaceae.org/gb/gbrowse/malus_x_domestica/?name=MDP0000254328","MDP0000254328")</f>
        <v>MDP0000254328</v>
      </c>
      <c r="D5018">
        <v>84.06</v>
      </c>
      <c r="E5018">
        <v>320</v>
      </c>
      <c r="F5018">
        <v>51</v>
      </c>
      <c r="G5018">
        <v>0</v>
      </c>
      <c r="H5018">
        <v>76</v>
      </c>
      <c r="I5018">
        <v>395</v>
      </c>
      <c r="J5018">
        <v>1</v>
      </c>
      <c r="K5018">
        <v>190</v>
      </c>
      <c r="L5018">
        <v>509</v>
      </c>
      <c r="M5018">
        <v>1</v>
      </c>
      <c r="N5018">
        <v>4.43167E-154</v>
      </c>
      <c r="O5018">
        <v>1395</v>
      </c>
    </row>
    <row r="5019" spans="1:15" x14ac:dyDescent="0.25">
      <c r="A5019" t="s">
        <v>5032</v>
      </c>
      <c r="B5019">
        <v>505</v>
      </c>
      <c r="C5019" s="1" t="str">
        <f>HYPERLINK("http://www.rosaceae.org/gb/gbrowse/malus_x_domestica/?name=MDP0000870956","MDP0000870956")</f>
        <v>MDP0000870956</v>
      </c>
      <c r="D5019">
        <v>39.75</v>
      </c>
      <c r="E5019">
        <v>488</v>
      </c>
      <c r="F5019">
        <v>294</v>
      </c>
      <c r="G5019">
        <v>82</v>
      </c>
      <c r="H5019">
        <v>28</v>
      </c>
      <c r="I5019">
        <v>502</v>
      </c>
      <c r="J5019">
        <v>1</v>
      </c>
      <c r="K5019">
        <v>23</v>
      </c>
      <c r="L5019">
        <v>441</v>
      </c>
      <c r="M5019">
        <v>1</v>
      </c>
      <c r="N5019">
        <v>8.4097200000000006E-89</v>
      </c>
      <c r="O5019">
        <v>832</v>
      </c>
    </row>
    <row r="5020" spans="1:15" x14ac:dyDescent="0.25">
      <c r="A5020" t="s">
        <v>5033</v>
      </c>
      <c r="B5020">
        <v>1487</v>
      </c>
      <c r="C5020" s="1" t="str">
        <f>HYPERLINK("http://www.rosaceae.org/gb/gbrowse/malus_x_domestica/?name=MDP0000734561","MDP0000734561")</f>
        <v>MDP0000734561</v>
      </c>
      <c r="D5020">
        <v>48.19</v>
      </c>
      <c r="E5020">
        <v>969</v>
      </c>
      <c r="F5020">
        <v>502</v>
      </c>
      <c r="G5020">
        <v>39</v>
      </c>
      <c r="H5020">
        <v>373</v>
      </c>
      <c r="I5020">
        <v>1323</v>
      </c>
      <c r="J5020">
        <v>1</v>
      </c>
      <c r="K5020">
        <v>166</v>
      </c>
      <c r="L5020">
        <v>1113</v>
      </c>
      <c r="M5020">
        <v>1</v>
      </c>
      <c r="N5020">
        <v>0</v>
      </c>
      <c r="O5020">
        <v>2167</v>
      </c>
    </row>
    <row r="5021" spans="1:15" x14ac:dyDescent="0.25">
      <c r="A5021" t="s">
        <v>5034</v>
      </c>
      <c r="B5021">
        <v>351</v>
      </c>
      <c r="C5021" s="1" t="str">
        <f>HYPERLINK("http://www.rosaceae.org/gb/gbrowse/malus_x_domestica/?name=MDP0000188175","MDP0000188175")</f>
        <v>MDP0000188175</v>
      </c>
      <c r="D5021">
        <v>31.07</v>
      </c>
      <c r="E5021">
        <v>354</v>
      </c>
      <c r="F5021">
        <v>244</v>
      </c>
      <c r="G5021">
        <v>23</v>
      </c>
      <c r="H5021">
        <v>1</v>
      </c>
      <c r="I5021">
        <v>344</v>
      </c>
      <c r="J5021">
        <v>1</v>
      </c>
      <c r="K5021">
        <v>105</v>
      </c>
      <c r="L5021">
        <v>445</v>
      </c>
      <c r="M5021">
        <v>1</v>
      </c>
      <c r="N5021">
        <v>2.0828599999999999E-37</v>
      </c>
      <c r="O5021">
        <v>387</v>
      </c>
    </row>
    <row r="5022" spans="1:15" x14ac:dyDescent="0.25">
      <c r="A5022" t="s">
        <v>5035</v>
      </c>
      <c r="B5022">
        <v>529</v>
      </c>
      <c r="C5022" s="1" t="str">
        <f>HYPERLINK("http://www.rosaceae.org/gb/gbrowse/malus_x_domestica/?name=MDP0000124626","MDP0000124626")</f>
        <v>MDP0000124626</v>
      </c>
      <c r="D5022">
        <v>45.55</v>
      </c>
      <c r="E5022">
        <v>472</v>
      </c>
      <c r="F5022">
        <v>257</v>
      </c>
      <c r="G5022">
        <v>17</v>
      </c>
      <c r="H5022">
        <v>1</v>
      </c>
      <c r="I5022">
        <v>464</v>
      </c>
      <c r="J5022">
        <v>1</v>
      </c>
      <c r="K5022">
        <v>16</v>
      </c>
      <c r="L5022">
        <v>478</v>
      </c>
      <c r="M5022">
        <v>1</v>
      </c>
      <c r="N5022">
        <v>6.0264299999999999E-117</v>
      </c>
      <c r="O5022">
        <v>1075</v>
      </c>
    </row>
    <row r="5023" spans="1:15" x14ac:dyDescent="0.25">
      <c r="A5023" t="s">
        <v>5036</v>
      </c>
      <c r="B5023">
        <v>522</v>
      </c>
      <c r="C5023" s="1" t="str">
        <f>HYPERLINK("http://www.rosaceae.org/gb/gbrowse/malus_x_domestica/?name=MDP0000786706","MDP0000786706")</f>
        <v>MDP0000786706</v>
      </c>
      <c r="D5023">
        <v>82.9</v>
      </c>
      <c r="E5023">
        <v>509</v>
      </c>
      <c r="F5023">
        <v>87</v>
      </c>
      <c r="G5023">
        <v>0</v>
      </c>
      <c r="H5023">
        <v>14</v>
      </c>
      <c r="I5023">
        <v>522</v>
      </c>
      <c r="J5023">
        <v>1</v>
      </c>
      <c r="K5023">
        <v>8</v>
      </c>
      <c r="L5023">
        <v>516</v>
      </c>
      <c r="M5023">
        <v>1</v>
      </c>
      <c r="N5023">
        <v>0</v>
      </c>
      <c r="O5023">
        <v>2363</v>
      </c>
    </row>
    <row r="5024" spans="1:15" x14ac:dyDescent="0.25">
      <c r="A5024" t="s">
        <v>5037</v>
      </c>
      <c r="B5024">
        <v>173</v>
      </c>
      <c r="C5024" s="1" t="str">
        <f>HYPERLINK("http://www.rosaceae.org/gb/gbrowse/malus_x_domestica/?name=MDP0000254177","MDP0000254177")</f>
        <v>MDP0000254177</v>
      </c>
      <c r="D5024">
        <v>88.69</v>
      </c>
      <c r="E5024">
        <v>115</v>
      </c>
      <c r="F5024">
        <v>13</v>
      </c>
      <c r="G5024">
        <v>0</v>
      </c>
      <c r="H5024">
        <v>58</v>
      </c>
      <c r="I5024">
        <v>172</v>
      </c>
      <c r="J5024">
        <v>1</v>
      </c>
      <c r="K5024">
        <v>471</v>
      </c>
      <c r="L5024">
        <v>585</v>
      </c>
      <c r="M5024">
        <v>1</v>
      </c>
      <c r="N5024">
        <v>3.6447E-59</v>
      </c>
      <c r="O5024">
        <v>571</v>
      </c>
    </row>
    <row r="5025" spans="1:15" x14ac:dyDescent="0.25">
      <c r="A5025" t="s">
        <v>5038</v>
      </c>
      <c r="B5025">
        <v>273</v>
      </c>
      <c r="C5025" s="1" t="str">
        <f>HYPERLINK("http://www.rosaceae.org/gb/gbrowse/malus_x_domestica/?name=MDP0000252008","MDP0000252008")</f>
        <v>MDP0000252008</v>
      </c>
      <c r="D5025">
        <v>86.51</v>
      </c>
      <c r="E5025">
        <v>215</v>
      </c>
      <c r="F5025">
        <v>29</v>
      </c>
      <c r="G5025">
        <v>7</v>
      </c>
      <c r="H5025">
        <v>63</v>
      </c>
      <c r="I5025">
        <v>271</v>
      </c>
      <c r="J5025">
        <v>1</v>
      </c>
      <c r="K5025">
        <v>4</v>
      </c>
      <c r="L5025">
        <v>217</v>
      </c>
      <c r="M5025">
        <v>1</v>
      </c>
      <c r="N5025">
        <v>3.09471E-105</v>
      </c>
      <c r="O5025">
        <v>971</v>
      </c>
    </row>
    <row r="5026" spans="1:15" x14ac:dyDescent="0.25">
      <c r="A5026" t="s">
        <v>5039</v>
      </c>
      <c r="B5026">
        <v>419</v>
      </c>
      <c r="C5026" s="1" t="str">
        <f>HYPERLINK("http://www.rosaceae.org/gb/gbrowse/malus_x_domestica/?name=MDP0000470756","MDP0000470756")</f>
        <v>MDP0000470756</v>
      </c>
      <c r="D5026">
        <v>89.18</v>
      </c>
      <c r="E5026">
        <v>407</v>
      </c>
      <c r="F5026">
        <v>44</v>
      </c>
      <c r="G5026">
        <v>2</v>
      </c>
      <c r="H5026">
        <v>6</v>
      </c>
      <c r="I5026">
        <v>412</v>
      </c>
      <c r="J5026">
        <v>1</v>
      </c>
      <c r="K5026">
        <v>12</v>
      </c>
      <c r="L5026">
        <v>416</v>
      </c>
      <c r="M5026">
        <v>1</v>
      </c>
      <c r="N5026">
        <v>0</v>
      </c>
      <c r="O5026">
        <v>1985</v>
      </c>
    </row>
    <row r="5027" spans="1:15" x14ac:dyDescent="0.25">
      <c r="A5027" t="s">
        <v>5040</v>
      </c>
      <c r="B5027">
        <v>530</v>
      </c>
      <c r="C5027" s="1" t="str">
        <f>HYPERLINK("http://www.rosaceae.org/gb/gbrowse/malus_x_domestica/?name=MDP0000849985","MDP0000849985")</f>
        <v>MDP0000849985</v>
      </c>
      <c r="D5027">
        <v>77.83</v>
      </c>
      <c r="E5027">
        <v>537</v>
      </c>
      <c r="F5027">
        <v>119</v>
      </c>
      <c r="G5027">
        <v>18</v>
      </c>
      <c r="H5027">
        <v>1</v>
      </c>
      <c r="I5027">
        <v>530</v>
      </c>
      <c r="J5027">
        <v>1</v>
      </c>
      <c r="K5027">
        <v>1</v>
      </c>
      <c r="L5027">
        <v>526</v>
      </c>
      <c r="M5027">
        <v>1</v>
      </c>
      <c r="N5027">
        <v>0</v>
      </c>
      <c r="O5027">
        <v>2110</v>
      </c>
    </row>
    <row r="5028" spans="1:15" x14ac:dyDescent="0.25">
      <c r="A5028" t="s">
        <v>5041</v>
      </c>
      <c r="B5028">
        <v>465</v>
      </c>
      <c r="C5028" s="1" t="str">
        <f>HYPERLINK("http://www.rosaceae.org/gb/gbrowse/malus_x_domestica/?name=MDP0000197321","MDP0000197321")</f>
        <v>MDP0000197321</v>
      </c>
      <c r="D5028">
        <v>78.61</v>
      </c>
      <c r="E5028">
        <v>463</v>
      </c>
      <c r="F5028">
        <v>99</v>
      </c>
      <c r="G5028">
        <v>9</v>
      </c>
      <c r="H5028">
        <v>1</v>
      </c>
      <c r="I5028">
        <v>463</v>
      </c>
      <c r="J5028">
        <v>1</v>
      </c>
      <c r="K5028">
        <v>1</v>
      </c>
      <c r="L5028">
        <v>454</v>
      </c>
      <c r="M5028">
        <v>1</v>
      </c>
      <c r="N5028">
        <v>0</v>
      </c>
      <c r="O5028">
        <v>1956</v>
      </c>
    </row>
    <row r="5029" spans="1:15" x14ac:dyDescent="0.25">
      <c r="A5029" t="s">
        <v>5042</v>
      </c>
      <c r="B5029">
        <v>321</v>
      </c>
      <c r="C5029" s="1" t="str">
        <f>HYPERLINK("http://www.rosaceae.org/gb/gbrowse/malus_x_domestica/?name=MDP0000184571","MDP0000184571")</f>
        <v>MDP0000184571</v>
      </c>
      <c r="D5029">
        <v>68.8</v>
      </c>
      <c r="E5029">
        <v>375</v>
      </c>
      <c r="F5029">
        <v>117</v>
      </c>
      <c r="G5029">
        <v>55</v>
      </c>
      <c r="H5029">
        <v>1</v>
      </c>
      <c r="I5029">
        <v>321</v>
      </c>
      <c r="J5029">
        <v>1</v>
      </c>
      <c r="K5029">
        <v>1</v>
      </c>
      <c r="L5029">
        <v>374</v>
      </c>
      <c r="M5029">
        <v>1</v>
      </c>
      <c r="N5029">
        <v>4.7648800000000003E-132</v>
      </c>
      <c r="O5029">
        <v>1203</v>
      </c>
    </row>
    <row r="5030" spans="1:15" x14ac:dyDescent="0.25">
      <c r="A5030" t="s">
        <v>5043</v>
      </c>
      <c r="B5030">
        <v>64</v>
      </c>
      <c r="C5030" s="1" t="str">
        <f>HYPERLINK("http://www.rosaceae.org/gb/gbrowse/malus_x_domestica/?name=MDP0000785092","MDP0000785092")</f>
        <v>MDP0000785092</v>
      </c>
      <c r="D5030">
        <v>91.93</v>
      </c>
      <c r="E5030">
        <v>62</v>
      </c>
      <c r="F5030">
        <v>5</v>
      </c>
      <c r="G5030">
        <v>0</v>
      </c>
      <c r="H5030">
        <v>3</v>
      </c>
      <c r="I5030">
        <v>64</v>
      </c>
      <c r="J5030">
        <v>1</v>
      </c>
      <c r="K5030">
        <v>34</v>
      </c>
      <c r="L5030">
        <v>95</v>
      </c>
      <c r="M5030">
        <v>1</v>
      </c>
      <c r="N5030">
        <v>1.3550300000000001E-27</v>
      </c>
      <c r="O5030">
        <v>295</v>
      </c>
    </row>
    <row r="5031" spans="1:15" x14ac:dyDescent="0.25">
      <c r="A5031" t="s">
        <v>5044</v>
      </c>
      <c r="B5031">
        <v>681</v>
      </c>
      <c r="C5031" s="1" t="str">
        <f>HYPERLINK("http://www.rosaceae.org/gb/gbrowse/malus_x_domestica/?name=MDP0000236092","MDP0000236092")</f>
        <v>MDP0000236092</v>
      </c>
      <c r="D5031">
        <v>71.58</v>
      </c>
      <c r="E5031">
        <v>623</v>
      </c>
      <c r="F5031">
        <v>177</v>
      </c>
      <c r="G5031">
        <v>3</v>
      </c>
      <c r="H5031">
        <v>61</v>
      </c>
      <c r="I5031">
        <v>681</v>
      </c>
      <c r="J5031">
        <v>1</v>
      </c>
      <c r="K5031">
        <v>583</v>
      </c>
      <c r="L5031">
        <v>1204</v>
      </c>
      <c r="M5031">
        <v>1</v>
      </c>
      <c r="N5031">
        <v>0</v>
      </c>
      <c r="O5031">
        <v>2504</v>
      </c>
    </row>
    <row r="5032" spans="1:15" x14ac:dyDescent="0.25">
      <c r="A5032" t="s">
        <v>5045</v>
      </c>
      <c r="B5032">
        <v>552</v>
      </c>
      <c r="C5032" s="1" t="str">
        <f>HYPERLINK("http://www.rosaceae.org/gb/gbrowse/malus_x_domestica/?name=MDP0000278575","MDP0000278575")</f>
        <v>MDP0000278575</v>
      </c>
      <c r="D5032">
        <v>69.239999999999995</v>
      </c>
      <c r="E5032">
        <v>426</v>
      </c>
      <c r="F5032">
        <v>131</v>
      </c>
      <c r="G5032">
        <v>27</v>
      </c>
      <c r="H5032">
        <v>27</v>
      </c>
      <c r="I5032">
        <v>450</v>
      </c>
      <c r="J5032">
        <v>1</v>
      </c>
      <c r="K5032">
        <v>289</v>
      </c>
      <c r="L5032">
        <v>689</v>
      </c>
      <c r="M5032">
        <v>1</v>
      </c>
      <c r="N5032">
        <v>7.9081700000000001E-169</v>
      </c>
      <c r="O5032">
        <v>1523</v>
      </c>
    </row>
    <row r="5033" spans="1:15" x14ac:dyDescent="0.25">
      <c r="A5033" t="s">
        <v>5046</v>
      </c>
      <c r="B5033">
        <v>206</v>
      </c>
      <c r="C5033" s="1" t="str">
        <f>HYPERLINK("http://www.rosaceae.org/gb/gbrowse/malus_x_domestica/?name=MDP0000147323","MDP0000147323")</f>
        <v>MDP0000147323</v>
      </c>
      <c r="D5033">
        <v>62.86</v>
      </c>
      <c r="E5033">
        <v>237</v>
      </c>
      <c r="F5033">
        <v>88</v>
      </c>
      <c r="G5033">
        <v>43</v>
      </c>
      <c r="H5033">
        <v>10</v>
      </c>
      <c r="I5033">
        <v>203</v>
      </c>
      <c r="J5033">
        <v>1</v>
      </c>
      <c r="K5033">
        <v>28</v>
      </c>
      <c r="L5033">
        <v>264</v>
      </c>
      <c r="M5033">
        <v>1</v>
      </c>
      <c r="N5033">
        <v>2.12845E-76</v>
      </c>
      <c r="O5033">
        <v>721</v>
      </c>
    </row>
    <row r="5034" spans="1:15" x14ac:dyDescent="0.25">
      <c r="A5034" t="s">
        <v>5047</v>
      </c>
      <c r="B5034">
        <v>882</v>
      </c>
      <c r="C5034" s="1" t="str">
        <f>HYPERLINK("http://www.rosaceae.org/gb/gbrowse/malus_x_domestica/?name=MDP0000136554","MDP0000136554")</f>
        <v>MDP0000136554</v>
      </c>
      <c r="D5034">
        <v>75.3</v>
      </c>
      <c r="E5034">
        <v>247</v>
      </c>
      <c r="F5034">
        <v>61</v>
      </c>
      <c r="G5034">
        <v>22</v>
      </c>
      <c r="H5034">
        <v>314</v>
      </c>
      <c r="I5034">
        <v>539</v>
      </c>
      <c r="J5034">
        <v>1</v>
      </c>
      <c r="K5034">
        <v>1</v>
      </c>
      <c r="L5034">
        <v>246</v>
      </c>
      <c r="M5034">
        <v>1</v>
      </c>
      <c r="N5034">
        <v>4.3207999999999999E-100</v>
      </c>
      <c r="O5034">
        <v>932</v>
      </c>
    </row>
    <row r="5035" spans="1:15" x14ac:dyDescent="0.25">
      <c r="A5035" t="s">
        <v>5048</v>
      </c>
      <c r="B5035">
        <v>212</v>
      </c>
      <c r="C5035" s="1" t="str">
        <f>HYPERLINK("http://www.rosaceae.org/gb/gbrowse/malus_x_domestica/?name=MDP0000231867","MDP0000231867")</f>
        <v>MDP0000231867</v>
      </c>
      <c r="D5035">
        <v>64.31</v>
      </c>
      <c r="E5035">
        <v>241</v>
      </c>
      <c r="F5035">
        <v>86</v>
      </c>
      <c r="G5035">
        <v>49</v>
      </c>
      <c r="H5035">
        <v>21</v>
      </c>
      <c r="I5035">
        <v>212</v>
      </c>
      <c r="J5035">
        <v>1</v>
      </c>
      <c r="K5035">
        <v>21</v>
      </c>
      <c r="L5035">
        <v>261</v>
      </c>
      <c r="M5035">
        <v>1</v>
      </c>
      <c r="N5035">
        <v>5.85423E-84</v>
      </c>
      <c r="O5035">
        <v>786</v>
      </c>
    </row>
    <row r="5036" spans="1:15" x14ac:dyDescent="0.25">
      <c r="A5036" t="s">
        <v>5049</v>
      </c>
      <c r="B5036">
        <v>277</v>
      </c>
      <c r="C5036" s="1" t="str">
        <f>HYPERLINK("http://www.rosaceae.org/gb/gbrowse/malus_x_domestica/?name=MDP0000423445","MDP0000423445")</f>
        <v>MDP0000423445</v>
      </c>
      <c r="D5036">
        <v>67</v>
      </c>
      <c r="E5036">
        <v>294</v>
      </c>
      <c r="F5036">
        <v>97</v>
      </c>
      <c r="G5036">
        <v>22</v>
      </c>
      <c r="H5036">
        <v>1</v>
      </c>
      <c r="I5036">
        <v>277</v>
      </c>
      <c r="J5036">
        <v>1</v>
      </c>
      <c r="K5036">
        <v>1</v>
      </c>
      <c r="L5036">
        <v>289</v>
      </c>
      <c r="M5036">
        <v>1</v>
      </c>
      <c r="N5036">
        <v>5.5953300000000004E-99</v>
      </c>
      <c r="O5036">
        <v>917</v>
      </c>
    </row>
    <row r="5037" spans="1:15" x14ac:dyDescent="0.25">
      <c r="A5037" t="s">
        <v>5050</v>
      </c>
      <c r="B5037">
        <v>147</v>
      </c>
      <c r="C5037" s="1" t="str">
        <f>HYPERLINK("http://www.rosaceae.org/gb/gbrowse/malus_x_domestica/?name=MDP0000199273","MDP0000199273")</f>
        <v>MDP0000199273</v>
      </c>
      <c r="D5037">
        <v>61.7</v>
      </c>
      <c r="E5037">
        <v>47</v>
      </c>
      <c r="F5037">
        <v>18</v>
      </c>
      <c r="G5037">
        <v>0</v>
      </c>
      <c r="H5037">
        <v>100</v>
      </c>
      <c r="I5037">
        <v>146</v>
      </c>
      <c r="J5037">
        <v>1</v>
      </c>
      <c r="K5037">
        <v>667</v>
      </c>
      <c r="L5037">
        <v>713</v>
      </c>
      <c r="M5037">
        <v>1</v>
      </c>
      <c r="N5037">
        <v>4.4046000000000002E-13</v>
      </c>
      <c r="O5037">
        <v>172</v>
      </c>
    </row>
    <row r="5038" spans="1:15" x14ac:dyDescent="0.25">
      <c r="A5038" t="s">
        <v>5051</v>
      </c>
      <c r="B5038">
        <v>348</v>
      </c>
      <c r="C5038" s="1" t="str">
        <f>HYPERLINK("http://www.rosaceae.org/gb/gbrowse/malus_x_domestica/?name=MDP0000906098","MDP0000906098")</f>
        <v>MDP0000906098</v>
      </c>
      <c r="D5038">
        <v>67.33</v>
      </c>
      <c r="E5038">
        <v>349</v>
      </c>
      <c r="F5038">
        <v>114</v>
      </c>
      <c r="G5038">
        <v>1</v>
      </c>
      <c r="H5038">
        <v>1</v>
      </c>
      <c r="I5038">
        <v>348</v>
      </c>
      <c r="J5038">
        <v>1</v>
      </c>
      <c r="K5038">
        <v>1</v>
      </c>
      <c r="L5038">
        <v>349</v>
      </c>
      <c r="M5038">
        <v>1</v>
      </c>
      <c r="N5038">
        <v>7.0966399999999997E-141</v>
      </c>
      <c r="O5038">
        <v>1280</v>
      </c>
    </row>
    <row r="5039" spans="1:15" x14ac:dyDescent="0.25">
      <c r="A5039" t="s">
        <v>5052</v>
      </c>
      <c r="B5039">
        <v>328</v>
      </c>
      <c r="C5039" s="1" t="str">
        <f>HYPERLINK("http://www.rosaceae.org/gb/gbrowse/malus_x_domestica/?name=MDP0000778140","MDP0000778140")</f>
        <v>MDP0000778140</v>
      </c>
      <c r="D5039">
        <v>56.86</v>
      </c>
      <c r="E5039">
        <v>306</v>
      </c>
      <c r="F5039">
        <v>132</v>
      </c>
      <c r="G5039">
        <v>41</v>
      </c>
      <c r="H5039">
        <v>4</v>
      </c>
      <c r="I5039">
        <v>301</v>
      </c>
      <c r="J5039">
        <v>1</v>
      </c>
      <c r="K5039">
        <v>36</v>
      </c>
      <c r="L5039">
        <v>308</v>
      </c>
      <c r="M5039">
        <v>1</v>
      </c>
      <c r="N5039">
        <v>1.6333199999999999E-78</v>
      </c>
      <c r="O5039">
        <v>742</v>
      </c>
    </row>
    <row r="5040" spans="1:15" x14ac:dyDescent="0.25">
      <c r="A5040" t="s">
        <v>5053</v>
      </c>
      <c r="B5040">
        <v>375</v>
      </c>
      <c r="C5040" s="1" t="str">
        <f>HYPERLINK("http://www.rosaceae.org/gb/gbrowse/malus_x_domestica/?name=MDP0000269947","MDP0000269947")</f>
        <v>MDP0000269947</v>
      </c>
      <c r="D5040">
        <v>70.5</v>
      </c>
      <c r="E5040">
        <v>339</v>
      </c>
      <c r="F5040">
        <v>100</v>
      </c>
      <c r="G5040">
        <v>8</v>
      </c>
      <c r="H5040">
        <v>41</v>
      </c>
      <c r="I5040">
        <v>373</v>
      </c>
      <c r="J5040">
        <v>1</v>
      </c>
      <c r="K5040">
        <v>117</v>
      </c>
      <c r="L5040">
        <v>453</v>
      </c>
      <c r="M5040">
        <v>1</v>
      </c>
      <c r="N5040">
        <v>3.3422999999999998E-139</v>
      </c>
      <c r="O5040">
        <v>1266</v>
      </c>
    </row>
    <row r="5041" spans="1:15" x14ac:dyDescent="0.25">
      <c r="A5041" t="s">
        <v>5054</v>
      </c>
      <c r="B5041">
        <v>493</v>
      </c>
      <c r="C5041" s="1" t="str">
        <f>HYPERLINK("http://www.rosaceae.org/gb/gbrowse/malus_x_domestica/?name=MDP0000285977","MDP0000285977")</f>
        <v>MDP0000285977</v>
      </c>
      <c r="D5041">
        <v>73.709999999999994</v>
      </c>
      <c r="E5041">
        <v>449</v>
      </c>
      <c r="F5041">
        <v>118</v>
      </c>
      <c r="G5041">
        <v>5</v>
      </c>
      <c r="H5041">
        <v>44</v>
      </c>
      <c r="I5041">
        <v>489</v>
      </c>
      <c r="J5041">
        <v>1</v>
      </c>
      <c r="K5041">
        <v>161</v>
      </c>
      <c r="L5041">
        <v>607</v>
      </c>
      <c r="M5041">
        <v>1</v>
      </c>
      <c r="N5041">
        <v>0</v>
      </c>
      <c r="O5041">
        <v>1766</v>
      </c>
    </row>
    <row r="5042" spans="1:15" x14ac:dyDescent="0.25">
      <c r="A5042" t="s">
        <v>5055</v>
      </c>
      <c r="B5042">
        <v>907</v>
      </c>
      <c r="C5042" s="1" t="str">
        <f>HYPERLINK("http://www.rosaceae.org/gb/gbrowse/malus_x_domestica/?name=MDP0000272685","MDP0000272685")</f>
        <v>MDP0000272685</v>
      </c>
      <c r="D5042">
        <v>65.88</v>
      </c>
      <c r="E5042">
        <v>642</v>
      </c>
      <c r="F5042">
        <v>219</v>
      </c>
      <c r="G5042">
        <v>29</v>
      </c>
      <c r="H5042">
        <v>19</v>
      </c>
      <c r="I5042">
        <v>650</v>
      </c>
      <c r="J5042">
        <v>1</v>
      </c>
      <c r="K5042">
        <v>9</v>
      </c>
      <c r="L5042">
        <v>631</v>
      </c>
      <c r="M5042">
        <v>1</v>
      </c>
      <c r="N5042">
        <v>0</v>
      </c>
      <c r="O5042">
        <v>2310</v>
      </c>
    </row>
    <row r="5043" spans="1:15" x14ac:dyDescent="0.25">
      <c r="A5043" t="s">
        <v>5056</v>
      </c>
      <c r="B5043">
        <v>602</v>
      </c>
      <c r="C5043" s="1" t="str">
        <f>HYPERLINK("http://www.rosaceae.org/gb/gbrowse/malus_x_domestica/?name=MDP0000286762","MDP0000286762")</f>
        <v>MDP0000286762</v>
      </c>
      <c r="D5043">
        <v>50.52</v>
      </c>
      <c r="E5043">
        <v>576</v>
      </c>
      <c r="F5043">
        <v>285</v>
      </c>
      <c r="G5043">
        <v>80</v>
      </c>
      <c r="H5043">
        <v>10</v>
      </c>
      <c r="I5043">
        <v>581</v>
      </c>
      <c r="J5043">
        <v>1</v>
      </c>
      <c r="K5043">
        <v>17</v>
      </c>
      <c r="L5043">
        <v>516</v>
      </c>
      <c r="M5043">
        <v>1</v>
      </c>
      <c r="N5043">
        <v>9.4600200000000002E-158</v>
      </c>
      <c r="O5043">
        <v>1428</v>
      </c>
    </row>
    <row r="5044" spans="1:15" x14ac:dyDescent="0.25">
      <c r="A5044" t="s">
        <v>5057</v>
      </c>
      <c r="B5044">
        <v>167</v>
      </c>
      <c r="C5044" s="1" t="str">
        <f>HYPERLINK("http://www.rosaceae.org/gb/gbrowse/malus_x_domestica/?name=MDP0000740648","MDP0000740648")</f>
        <v>MDP0000740648</v>
      </c>
      <c r="D5044">
        <v>68.260000000000005</v>
      </c>
      <c r="E5044">
        <v>167</v>
      </c>
      <c r="F5044">
        <v>53</v>
      </c>
      <c r="G5044">
        <v>1</v>
      </c>
      <c r="H5044">
        <v>1</v>
      </c>
      <c r="I5044">
        <v>167</v>
      </c>
      <c r="J5044">
        <v>1</v>
      </c>
      <c r="K5044">
        <v>1</v>
      </c>
      <c r="L5044">
        <v>166</v>
      </c>
      <c r="M5044">
        <v>1</v>
      </c>
      <c r="N5044">
        <v>3.2252399999999998E-57</v>
      </c>
      <c r="O5044">
        <v>554</v>
      </c>
    </row>
    <row r="5045" spans="1:15" x14ac:dyDescent="0.25">
      <c r="A5045" t="s">
        <v>5058</v>
      </c>
      <c r="B5045">
        <v>483</v>
      </c>
      <c r="C5045" s="1" t="str">
        <f>HYPERLINK("http://www.rosaceae.org/gb/gbrowse/malus_x_domestica/?name=MDP0000124834","MDP0000124834")</f>
        <v>MDP0000124834</v>
      </c>
      <c r="D5045">
        <v>74.45</v>
      </c>
      <c r="E5045">
        <v>274</v>
      </c>
      <c r="F5045">
        <v>70</v>
      </c>
      <c r="G5045">
        <v>16</v>
      </c>
      <c r="H5045">
        <v>10</v>
      </c>
      <c r="I5045">
        <v>283</v>
      </c>
      <c r="J5045">
        <v>1</v>
      </c>
      <c r="K5045">
        <v>105</v>
      </c>
      <c r="L5045">
        <v>362</v>
      </c>
      <c r="M5045">
        <v>1</v>
      </c>
      <c r="N5045">
        <v>3.5854399999999998E-121</v>
      </c>
      <c r="O5045">
        <v>1111</v>
      </c>
    </row>
    <row r="5046" spans="1:15" x14ac:dyDescent="0.25">
      <c r="A5046" t="s">
        <v>5059</v>
      </c>
      <c r="B5046">
        <v>658</v>
      </c>
      <c r="C5046" s="1" t="str">
        <f>HYPERLINK("http://www.rosaceae.org/gb/gbrowse/malus_x_domestica/?name=MDP0000298567","MDP0000298567")</f>
        <v>MDP0000298567</v>
      </c>
      <c r="D5046">
        <v>44.78</v>
      </c>
      <c r="E5046">
        <v>326</v>
      </c>
      <c r="F5046">
        <v>180</v>
      </c>
      <c r="G5046">
        <v>47</v>
      </c>
      <c r="H5046">
        <v>266</v>
      </c>
      <c r="I5046">
        <v>546</v>
      </c>
      <c r="J5046">
        <v>1</v>
      </c>
      <c r="K5046">
        <v>42</v>
      </c>
      <c r="L5046">
        <v>365</v>
      </c>
      <c r="M5046">
        <v>1</v>
      </c>
      <c r="N5046">
        <v>2.07921E-66</v>
      </c>
      <c r="O5046">
        <v>640</v>
      </c>
    </row>
    <row r="5047" spans="1:15" x14ac:dyDescent="0.25">
      <c r="A5047" t="s">
        <v>5060</v>
      </c>
      <c r="B5047">
        <v>1442</v>
      </c>
      <c r="C5047" s="1" t="str">
        <f>HYPERLINK("http://www.rosaceae.org/gb/gbrowse/malus_x_domestica/?name=MDP0000220242","MDP0000220242")</f>
        <v>MDP0000220242</v>
      </c>
      <c r="D5047">
        <v>78.13</v>
      </c>
      <c r="E5047">
        <v>814</v>
      </c>
      <c r="F5047">
        <v>178</v>
      </c>
      <c r="G5047">
        <v>65</v>
      </c>
      <c r="H5047">
        <v>32</v>
      </c>
      <c r="I5047">
        <v>845</v>
      </c>
      <c r="J5047">
        <v>1</v>
      </c>
      <c r="K5047">
        <v>27</v>
      </c>
      <c r="L5047">
        <v>775</v>
      </c>
      <c r="M5047">
        <v>1</v>
      </c>
      <c r="N5047">
        <v>0</v>
      </c>
      <c r="O5047">
        <v>3343</v>
      </c>
    </row>
    <row r="5048" spans="1:15" x14ac:dyDescent="0.25">
      <c r="A5048" t="s">
        <v>5061</v>
      </c>
      <c r="B5048">
        <v>180</v>
      </c>
      <c r="C5048" s="1" t="str">
        <f>HYPERLINK("http://www.rosaceae.org/gb/gbrowse/malus_x_domestica/?name=MDP0000136756","MDP0000136756")</f>
        <v>MDP0000136756</v>
      </c>
      <c r="D5048">
        <v>50</v>
      </c>
      <c r="E5048">
        <v>96</v>
      </c>
      <c r="F5048">
        <v>48</v>
      </c>
      <c r="G5048">
        <v>3</v>
      </c>
      <c r="H5048">
        <v>31</v>
      </c>
      <c r="I5048">
        <v>126</v>
      </c>
      <c r="J5048">
        <v>1</v>
      </c>
      <c r="K5048">
        <v>36</v>
      </c>
      <c r="L5048">
        <v>128</v>
      </c>
      <c r="M5048">
        <v>1</v>
      </c>
      <c r="N5048">
        <v>1.1804E-21</v>
      </c>
      <c r="O5048">
        <v>248</v>
      </c>
    </row>
    <row r="5049" spans="1:15" x14ac:dyDescent="0.25">
      <c r="A5049" t="s">
        <v>5062</v>
      </c>
      <c r="B5049">
        <v>397</v>
      </c>
      <c r="C5049" s="1" t="str">
        <f>HYPERLINK("http://www.rosaceae.org/gb/gbrowse/malus_x_domestica/?name=MDP0000188275","MDP0000188275")</f>
        <v>MDP0000188275</v>
      </c>
      <c r="D5049">
        <v>61.81</v>
      </c>
      <c r="E5049">
        <v>55</v>
      </c>
      <c r="F5049">
        <v>21</v>
      </c>
      <c r="G5049">
        <v>0</v>
      </c>
      <c r="H5049">
        <v>1</v>
      </c>
      <c r="I5049">
        <v>55</v>
      </c>
      <c r="J5049">
        <v>1</v>
      </c>
      <c r="K5049">
        <v>120</v>
      </c>
      <c r="L5049">
        <v>174</v>
      </c>
      <c r="M5049">
        <v>1</v>
      </c>
      <c r="N5049">
        <v>2.5585800000000001E-11</v>
      </c>
      <c r="O5049">
        <v>163</v>
      </c>
    </row>
    <row r="5050" spans="1:15" x14ac:dyDescent="0.25">
      <c r="A5050" t="s">
        <v>5063</v>
      </c>
      <c r="B5050">
        <v>239</v>
      </c>
      <c r="C5050" s="1" t="str">
        <f>HYPERLINK("http://www.rosaceae.org/gb/gbrowse/malus_x_domestica/?name=MDP0000257754","MDP0000257754")</f>
        <v>MDP0000257754</v>
      </c>
      <c r="D5050">
        <v>57.21</v>
      </c>
      <c r="E5050">
        <v>201</v>
      </c>
      <c r="F5050">
        <v>86</v>
      </c>
      <c r="G5050">
        <v>17</v>
      </c>
      <c r="H5050">
        <v>31</v>
      </c>
      <c r="I5050">
        <v>224</v>
      </c>
      <c r="J5050">
        <v>1</v>
      </c>
      <c r="K5050">
        <v>37</v>
      </c>
      <c r="L5050">
        <v>227</v>
      </c>
      <c r="M5050">
        <v>1</v>
      </c>
      <c r="N5050">
        <v>6.0795799999999998E-51</v>
      </c>
      <c r="O5050">
        <v>502</v>
      </c>
    </row>
    <row r="5051" spans="1:15" x14ac:dyDescent="0.25">
      <c r="A5051" t="s">
        <v>5064</v>
      </c>
      <c r="B5051">
        <v>246</v>
      </c>
      <c r="C5051" s="1" t="str">
        <f>HYPERLINK("http://www.rosaceae.org/gb/gbrowse/malus_x_domestica/?name=MDP0000135063","MDP0000135063")</f>
        <v>MDP0000135063</v>
      </c>
      <c r="D5051">
        <v>61.72</v>
      </c>
      <c r="E5051">
        <v>243</v>
      </c>
      <c r="F5051">
        <v>93</v>
      </c>
      <c r="G5051">
        <v>17</v>
      </c>
      <c r="H5051">
        <v>1</v>
      </c>
      <c r="I5051">
        <v>237</v>
      </c>
      <c r="J5051">
        <v>1</v>
      </c>
      <c r="K5051">
        <v>1</v>
      </c>
      <c r="L5051">
        <v>232</v>
      </c>
      <c r="M5051">
        <v>1</v>
      </c>
      <c r="N5051">
        <v>1.33196E-68</v>
      </c>
      <c r="O5051">
        <v>654</v>
      </c>
    </row>
    <row r="5052" spans="1:15" x14ac:dyDescent="0.25">
      <c r="A5052" t="s">
        <v>5065</v>
      </c>
      <c r="B5052">
        <v>526</v>
      </c>
      <c r="C5052" s="1" t="str">
        <f>HYPERLINK("http://www.rosaceae.org/gb/gbrowse/malus_x_domestica/?name=MDP0000244993","MDP0000244993")</f>
        <v>MDP0000244993</v>
      </c>
      <c r="D5052">
        <v>78.17</v>
      </c>
      <c r="E5052">
        <v>527</v>
      </c>
      <c r="F5052">
        <v>115</v>
      </c>
      <c r="G5052">
        <v>9</v>
      </c>
      <c r="H5052">
        <v>1</v>
      </c>
      <c r="I5052">
        <v>519</v>
      </c>
      <c r="J5052">
        <v>1</v>
      </c>
      <c r="K5052">
        <v>1</v>
      </c>
      <c r="L5052">
        <v>526</v>
      </c>
      <c r="M5052">
        <v>1</v>
      </c>
      <c r="N5052">
        <v>0</v>
      </c>
      <c r="O5052">
        <v>2160</v>
      </c>
    </row>
    <row r="5053" spans="1:15" x14ac:dyDescent="0.25">
      <c r="A5053" t="s">
        <v>5066</v>
      </c>
      <c r="B5053">
        <v>873</v>
      </c>
      <c r="C5053" s="1" t="str">
        <f>HYPERLINK("http://www.rosaceae.org/gb/gbrowse/malus_x_domestica/?name=MDP0000473844","MDP0000473844")</f>
        <v>MDP0000473844</v>
      </c>
      <c r="D5053">
        <v>57.55</v>
      </c>
      <c r="E5053">
        <v>966</v>
      </c>
      <c r="F5053">
        <v>410</v>
      </c>
      <c r="G5053">
        <v>116</v>
      </c>
      <c r="H5053">
        <v>3</v>
      </c>
      <c r="I5053">
        <v>860</v>
      </c>
      <c r="J5053">
        <v>1</v>
      </c>
      <c r="K5053">
        <v>6</v>
      </c>
      <c r="L5053">
        <v>963</v>
      </c>
      <c r="M5053">
        <v>1</v>
      </c>
      <c r="N5053">
        <v>0</v>
      </c>
      <c r="O5053">
        <v>2677</v>
      </c>
    </row>
    <row r="5054" spans="1:15" x14ac:dyDescent="0.25">
      <c r="A5054" t="s">
        <v>5067</v>
      </c>
      <c r="B5054">
        <v>783</v>
      </c>
      <c r="C5054" s="1" t="str">
        <f>HYPERLINK("http://www.rosaceae.org/gb/gbrowse/malus_x_domestica/?name=MDP0000202551","MDP0000202551")</f>
        <v>MDP0000202551</v>
      </c>
      <c r="D5054">
        <v>68.16</v>
      </c>
      <c r="E5054">
        <v>801</v>
      </c>
      <c r="F5054">
        <v>255</v>
      </c>
      <c r="G5054">
        <v>30</v>
      </c>
      <c r="H5054">
        <v>1</v>
      </c>
      <c r="I5054">
        <v>783</v>
      </c>
      <c r="J5054">
        <v>1</v>
      </c>
      <c r="K5054">
        <v>1</v>
      </c>
      <c r="L5054">
        <v>789</v>
      </c>
      <c r="M5054">
        <v>1</v>
      </c>
      <c r="N5054">
        <v>0</v>
      </c>
      <c r="O5054">
        <v>2828</v>
      </c>
    </row>
    <row r="5055" spans="1:15" x14ac:dyDescent="0.25">
      <c r="A5055" t="s">
        <v>5068</v>
      </c>
      <c r="B5055">
        <v>135</v>
      </c>
      <c r="C5055" s="1" t="str">
        <f>HYPERLINK("http://www.rosaceae.org/gb/gbrowse/malus_x_domestica/?name=MDP0000656610","MDP0000656610")</f>
        <v>MDP0000656610</v>
      </c>
      <c r="D5055">
        <v>75</v>
      </c>
      <c r="E5055">
        <v>116</v>
      </c>
      <c r="F5055">
        <v>29</v>
      </c>
      <c r="G5055">
        <v>1</v>
      </c>
      <c r="H5055">
        <v>4</v>
      </c>
      <c r="I5055">
        <v>119</v>
      </c>
      <c r="J5055">
        <v>1</v>
      </c>
      <c r="K5055">
        <v>28</v>
      </c>
      <c r="L5055">
        <v>142</v>
      </c>
      <c r="M5055">
        <v>1</v>
      </c>
      <c r="N5055">
        <v>1.91167E-37</v>
      </c>
      <c r="O5055">
        <v>381</v>
      </c>
    </row>
    <row r="5056" spans="1:15" x14ac:dyDescent="0.25">
      <c r="A5056" t="s">
        <v>5069</v>
      </c>
      <c r="B5056">
        <v>671</v>
      </c>
      <c r="C5056" s="1" t="str">
        <f>HYPERLINK("http://www.rosaceae.org/gb/gbrowse/malus_x_domestica/?name=MDP0000196883","MDP0000196883")</f>
        <v>MDP0000196883</v>
      </c>
      <c r="D5056">
        <v>61.67</v>
      </c>
      <c r="E5056">
        <v>655</v>
      </c>
      <c r="F5056">
        <v>251</v>
      </c>
      <c r="G5056">
        <v>48</v>
      </c>
      <c r="H5056">
        <v>48</v>
      </c>
      <c r="I5056">
        <v>671</v>
      </c>
      <c r="J5056">
        <v>1</v>
      </c>
      <c r="K5056">
        <v>24</v>
      </c>
      <c r="L5056">
        <v>661</v>
      </c>
      <c r="M5056">
        <v>1</v>
      </c>
      <c r="N5056">
        <v>0</v>
      </c>
      <c r="O5056">
        <v>2001</v>
      </c>
    </row>
    <row r="5057" spans="1:15" x14ac:dyDescent="0.25">
      <c r="A5057" t="s">
        <v>5070</v>
      </c>
      <c r="B5057">
        <v>379</v>
      </c>
      <c r="C5057" s="1" t="str">
        <f>HYPERLINK("http://www.rosaceae.org/gb/gbrowse/malus_x_domestica/?name=MDP0000276291","MDP0000276291")</f>
        <v>MDP0000276291</v>
      </c>
      <c r="D5057">
        <v>37</v>
      </c>
      <c r="E5057">
        <v>227</v>
      </c>
      <c r="F5057">
        <v>143</v>
      </c>
      <c r="G5057">
        <v>37</v>
      </c>
      <c r="H5057">
        <v>12</v>
      </c>
      <c r="I5057">
        <v>203</v>
      </c>
      <c r="J5057">
        <v>1</v>
      </c>
      <c r="K5057">
        <v>7</v>
      </c>
      <c r="L5057">
        <v>231</v>
      </c>
      <c r="M5057">
        <v>1</v>
      </c>
      <c r="N5057">
        <v>8.4215899999999995E-24</v>
      </c>
      <c r="O5057">
        <v>270</v>
      </c>
    </row>
    <row r="5058" spans="1:15" x14ac:dyDescent="0.25">
      <c r="A5058" t="s">
        <v>5071</v>
      </c>
      <c r="B5058">
        <v>427</v>
      </c>
      <c r="C5058" s="1" t="str">
        <f>HYPERLINK("http://www.rosaceae.org/gb/gbrowse/malus_x_domestica/?name=MDP0000256191","MDP0000256191")</f>
        <v>MDP0000256191</v>
      </c>
      <c r="D5058">
        <v>51.92</v>
      </c>
      <c r="E5058">
        <v>337</v>
      </c>
      <c r="F5058">
        <v>162</v>
      </c>
      <c r="G5058">
        <v>35</v>
      </c>
      <c r="H5058">
        <v>39</v>
      </c>
      <c r="I5058">
        <v>359</v>
      </c>
      <c r="J5058">
        <v>1</v>
      </c>
      <c r="K5058">
        <v>113</v>
      </c>
      <c r="L5058">
        <v>430</v>
      </c>
      <c r="M5058">
        <v>1</v>
      </c>
      <c r="N5058">
        <v>3.2407600000000002E-81</v>
      </c>
      <c r="O5058">
        <v>766</v>
      </c>
    </row>
    <row r="5059" spans="1:15" x14ac:dyDescent="0.25">
      <c r="A5059" t="s">
        <v>5072</v>
      </c>
      <c r="B5059">
        <v>486</v>
      </c>
      <c r="C5059" s="1" t="str">
        <f>HYPERLINK("http://www.rosaceae.org/gb/gbrowse/malus_x_domestica/?name=MDP0000306176","MDP0000306176")</f>
        <v>MDP0000306176</v>
      </c>
      <c r="D5059">
        <v>60.5</v>
      </c>
      <c r="E5059">
        <v>476</v>
      </c>
      <c r="F5059">
        <v>188</v>
      </c>
      <c r="G5059">
        <v>17</v>
      </c>
      <c r="H5059">
        <v>26</v>
      </c>
      <c r="I5059">
        <v>485</v>
      </c>
      <c r="J5059">
        <v>1</v>
      </c>
      <c r="K5059">
        <v>249</v>
      </c>
      <c r="L5059">
        <v>723</v>
      </c>
      <c r="M5059">
        <v>1</v>
      </c>
      <c r="N5059">
        <v>2.98953E-171</v>
      </c>
      <c r="O5059">
        <v>1543</v>
      </c>
    </row>
    <row r="5060" spans="1:15" x14ac:dyDescent="0.25">
      <c r="A5060" t="s">
        <v>5073</v>
      </c>
      <c r="B5060">
        <v>860</v>
      </c>
      <c r="C5060" s="1" t="str">
        <f>HYPERLINK("http://www.rosaceae.org/gb/gbrowse/malus_x_domestica/?name=MDP0000268271","MDP0000268271")</f>
        <v>MDP0000268271</v>
      </c>
      <c r="D5060">
        <v>57.93</v>
      </c>
      <c r="E5060">
        <v>889</v>
      </c>
      <c r="F5060">
        <v>374</v>
      </c>
      <c r="G5060">
        <v>53</v>
      </c>
      <c r="H5060">
        <v>7</v>
      </c>
      <c r="I5060">
        <v>860</v>
      </c>
      <c r="J5060">
        <v>1</v>
      </c>
      <c r="K5060">
        <v>286</v>
      </c>
      <c r="L5060">
        <v>1156</v>
      </c>
      <c r="M5060">
        <v>1</v>
      </c>
      <c r="N5060">
        <v>0</v>
      </c>
      <c r="O5060">
        <v>2557</v>
      </c>
    </row>
    <row r="5061" spans="1:15" x14ac:dyDescent="0.25">
      <c r="A5061" t="s">
        <v>5074</v>
      </c>
      <c r="B5061">
        <v>1061</v>
      </c>
      <c r="C5061" s="1" t="str">
        <f>HYPERLINK("http://www.rosaceae.org/gb/gbrowse/malus_x_domestica/?name=MDP0000290099","MDP0000290099")</f>
        <v>MDP0000290099</v>
      </c>
      <c r="D5061">
        <v>76.02</v>
      </c>
      <c r="E5061">
        <v>1026</v>
      </c>
      <c r="F5061">
        <v>246</v>
      </c>
      <c r="G5061">
        <v>13</v>
      </c>
      <c r="H5061">
        <v>24</v>
      </c>
      <c r="I5061">
        <v>1045</v>
      </c>
      <c r="J5061">
        <v>1</v>
      </c>
      <c r="K5061">
        <v>139</v>
      </c>
      <c r="L5061">
        <v>1155</v>
      </c>
      <c r="M5061">
        <v>1</v>
      </c>
      <c r="N5061">
        <v>0</v>
      </c>
      <c r="O5061">
        <v>4103</v>
      </c>
    </row>
    <row r="5062" spans="1:15" x14ac:dyDescent="0.25">
      <c r="A5062" t="s">
        <v>5075</v>
      </c>
      <c r="B5062">
        <v>573</v>
      </c>
      <c r="C5062" s="1" t="str">
        <f>HYPERLINK("http://www.rosaceae.org/gb/gbrowse/malus_x_domestica/?name=MDP0000273963","MDP0000273963")</f>
        <v>MDP0000273963</v>
      </c>
      <c r="D5062">
        <v>57.78</v>
      </c>
      <c r="E5062">
        <v>469</v>
      </c>
      <c r="F5062">
        <v>198</v>
      </c>
      <c r="G5062">
        <v>7</v>
      </c>
      <c r="H5062">
        <v>50</v>
      </c>
      <c r="I5062">
        <v>514</v>
      </c>
      <c r="J5062">
        <v>1</v>
      </c>
      <c r="K5062">
        <v>26</v>
      </c>
      <c r="L5062">
        <v>491</v>
      </c>
      <c r="M5062">
        <v>1</v>
      </c>
      <c r="N5062">
        <v>1.07255E-148</v>
      </c>
      <c r="O5062">
        <v>1349</v>
      </c>
    </row>
    <row r="5063" spans="1:15" x14ac:dyDescent="0.25">
      <c r="A5063" t="s">
        <v>5076</v>
      </c>
      <c r="B5063">
        <v>399</v>
      </c>
      <c r="C5063" s="1" t="str">
        <f>HYPERLINK("http://www.rosaceae.org/gb/gbrowse/malus_x_domestica/?name=MDP0000304106","MDP0000304106")</f>
        <v>MDP0000304106</v>
      </c>
      <c r="D5063">
        <v>62.76</v>
      </c>
      <c r="E5063">
        <v>427</v>
      </c>
      <c r="F5063">
        <v>159</v>
      </c>
      <c r="G5063">
        <v>42</v>
      </c>
      <c r="H5063">
        <v>2</v>
      </c>
      <c r="I5063">
        <v>399</v>
      </c>
      <c r="J5063">
        <v>1</v>
      </c>
      <c r="K5063">
        <v>26</v>
      </c>
      <c r="L5063">
        <v>439</v>
      </c>
      <c r="M5063">
        <v>1</v>
      </c>
      <c r="N5063">
        <v>2.1159499999999998E-143</v>
      </c>
      <c r="O5063">
        <v>1302</v>
      </c>
    </row>
    <row r="5064" spans="1:15" x14ac:dyDescent="0.25">
      <c r="A5064" t="s">
        <v>5077</v>
      </c>
      <c r="B5064">
        <v>153</v>
      </c>
      <c r="C5064" s="1" t="str">
        <f>HYPERLINK("http://www.rosaceae.org/gb/gbrowse/malus_x_domestica/?name=MDP0000945806","MDP0000945806")</f>
        <v>MDP0000945806</v>
      </c>
      <c r="D5064">
        <v>47.28</v>
      </c>
      <c r="E5064">
        <v>129</v>
      </c>
      <c r="F5064">
        <v>68</v>
      </c>
      <c r="G5064">
        <v>5</v>
      </c>
      <c r="H5064">
        <v>20</v>
      </c>
      <c r="I5064">
        <v>148</v>
      </c>
      <c r="J5064">
        <v>1</v>
      </c>
      <c r="K5064">
        <v>21</v>
      </c>
      <c r="L5064">
        <v>144</v>
      </c>
      <c r="M5064">
        <v>1</v>
      </c>
      <c r="N5064">
        <v>4.2035899999999999E-26</v>
      </c>
      <c r="O5064">
        <v>285</v>
      </c>
    </row>
    <row r="5065" spans="1:15" x14ac:dyDescent="0.25">
      <c r="A5065" t="s">
        <v>5078</v>
      </c>
      <c r="B5065">
        <v>134</v>
      </c>
      <c r="C5065" s="1" t="str">
        <f>HYPERLINK("http://www.rosaceae.org/gb/gbrowse/malus_x_domestica/?name=MDP0000566907","MDP0000566907")</f>
        <v>MDP0000566907</v>
      </c>
      <c r="D5065">
        <v>32.72</v>
      </c>
      <c r="E5065">
        <v>110</v>
      </c>
      <c r="F5065">
        <v>74</v>
      </c>
      <c r="G5065">
        <v>1</v>
      </c>
      <c r="H5065">
        <v>20</v>
      </c>
      <c r="I5065">
        <v>129</v>
      </c>
      <c r="J5065">
        <v>1</v>
      </c>
      <c r="K5065">
        <v>182</v>
      </c>
      <c r="L5065">
        <v>290</v>
      </c>
      <c r="M5065">
        <v>1</v>
      </c>
      <c r="N5065">
        <v>1.4400699999999999E-12</v>
      </c>
      <c r="O5065">
        <v>167</v>
      </c>
    </row>
    <row r="5066" spans="1:15" x14ac:dyDescent="0.25">
      <c r="A5066" t="s">
        <v>5079</v>
      </c>
      <c r="B5066">
        <v>501</v>
      </c>
      <c r="C5066" s="1" t="str">
        <f>HYPERLINK("http://www.rosaceae.org/gb/gbrowse/malus_x_domestica/?name=MDP0000240766","MDP0000240766")</f>
        <v>MDP0000240766</v>
      </c>
      <c r="D5066">
        <v>55.1</v>
      </c>
      <c r="E5066">
        <v>49</v>
      </c>
      <c r="F5066">
        <v>22</v>
      </c>
      <c r="G5066">
        <v>1</v>
      </c>
      <c r="H5066">
        <v>445</v>
      </c>
      <c r="I5066">
        <v>493</v>
      </c>
      <c r="J5066">
        <v>1</v>
      </c>
      <c r="K5066">
        <v>1266</v>
      </c>
      <c r="L5066">
        <v>1313</v>
      </c>
      <c r="M5066">
        <v>1</v>
      </c>
      <c r="N5066">
        <v>7.0325399999999998E-9</v>
      </c>
      <c r="O5066">
        <v>143</v>
      </c>
    </row>
    <row r="5067" spans="1:15" x14ac:dyDescent="0.25">
      <c r="A5067" t="s">
        <v>5080</v>
      </c>
      <c r="B5067">
        <v>339</v>
      </c>
      <c r="C5067" s="1" t="str">
        <f>HYPERLINK("http://www.rosaceae.org/gb/gbrowse/malus_x_domestica/?name=MDP0000128531","MDP0000128531")</f>
        <v>MDP0000128531</v>
      </c>
      <c r="D5067">
        <v>41.83</v>
      </c>
      <c r="E5067">
        <v>98</v>
      </c>
      <c r="F5067">
        <v>57</v>
      </c>
      <c r="G5067">
        <v>12</v>
      </c>
      <c r="H5067">
        <v>13</v>
      </c>
      <c r="I5067">
        <v>110</v>
      </c>
      <c r="J5067">
        <v>1</v>
      </c>
      <c r="K5067">
        <v>143</v>
      </c>
      <c r="L5067">
        <v>228</v>
      </c>
      <c r="M5067">
        <v>1</v>
      </c>
      <c r="N5067">
        <v>2.98275E-8</v>
      </c>
      <c r="O5067">
        <v>136</v>
      </c>
    </row>
    <row r="5068" spans="1:15" x14ac:dyDescent="0.25">
      <c r="A5068" t="s">
        <v>5081</v>
      </c>
      <c r="B5068">
        <v>630</v>
      </c>
      <c r="C5068" s="1" t="str">
        <f>HYPERLINK("http://www.rosaceae.org/gb/gbrowse/malus_x_domestica/?name=MDP0000684382","MDP0000684382")</f>
        <v>MDP0000684382</v>
      </c>
      <c r="D5068">
        <v>49.27</v>
      </c>
      <c r="E5068">
        <v>69</v>
      </c>
      <c r="F5068">
        <v>35</v>
      </c>
      <c r="G5068">
        <v>16</v>
      </c>
      <c r="H5068">
        <v>446</v>
      </c>
      <c r="I5068">
        <v>514</v>
      </c>
      <c r="J5068">
        <v>1</v>
      </c>
      <c r="K5068">
        <v>1</v>
      </c>
      <c r="L5068">
        <v>53</v>
      </c>
      <c r="M5068">
        <v>1</v>
      </c>
      <c r="N5068">
        <v>1.16685E-7</v>
      </c>
      <c r="O5068">
        <v>134</v>
      </c>
    </row>
    <row r="5069" spans="1:15" x14ac:dyDescent="0.25">
      <c r="A5069" t="s">
        <v>5082</v>
      </c>
      <c r="B5069">
        <v>172</v>
      </c>
      <c r="C5069" s="1" t="str">
        <f>HYPERLINK("http://www.rosaceae.org/gb/gbrowse/malus_x_domestica/?name=MDP0000212312","MDP0000212312")</f>
        <v>MDP0000212312</v>
      </c>
      <c r="D5069">
        <v>71.77</v>
      </c>
      <c r="E5069">
        <v>163</v>
      </c>
      <c r="F5069">
        <v>46</v>
      </c>
      <c r="G5069">
        <v>0</v>
      </c>
      <c r="H5069">
        <v>10</v>
      </c>
      <c r="I5069">
        <v>172</v>
      </c>
      <c r="J5069">
        <v>1</v>
      </c>
      <c r="K5069">
        <v>28</v>
      </c>
      <c r="L5069">
        <v>190</v>
      </c>
      <c r="M5069">
        <v>1</v>
      </c>
      <c r="N5069">
        <v>1.16422E-65</v>
      </c>
      <c r="O5069">
        <v>627</v>
      </c>
    </row>
    <row r="5070" spans="1:15" x14ac:dyDescent="0.25">
      <c r="A5070" t="s">
        <v>5083</v>
      </c>
      <c r="B5070">
        <v>382</v>
      </c>
      <c r="C5070" s="1" t="str">
        <f>HYPERLINK("http://www.rosaceae.org/gb/gbrowse/malus_x_domestica/?name=MDP0000188133","MDP0000188133")</f>
        <v>MDP0000188133</v>
      </c>
      <c r="D5070">
        <v>39.630000000000003</v>
      </c>
      <c r="E5070">
        <v>386</v>
      </c>
      <c r="F5070">
        <v>233</v>
      </c>
      <c r="G5070">
        <v>52</v>
      </c>
      <c r="H5070">
        <v>1</v>
      </c>
      <c r="I5070">
        <v>368</v>
      </c>
      <c r="J5070">
        <v>1</v>
      </c>
      <c r="K5070">
        <v>227</v>
      </c>
      <c r="L5070">
        <v>578</v>
      </c>
      <c r="M5070">
        <v>1</v>
      </c>
      <c r="N5070">
        <v>5.9757400000000002E-65</v>
      </c>
      <c r="O5070">
        <v>625</v>
      </c>
    </row>
    <row r="5071" spans="1:15" x14ac:dyDescent="0.25">
      <c r="A5071" t="s">
        <v>5084</v>
      </c>
      <c r="B5071">
        <v>277</v>
      </c>
      <c r="C5071" s="1" t="str">
        <f>HYPERLINK("http://www.rosaceae.org/gb/gbrowse/malus_x_domestica/?name=MDP0000139607","MDP0000139607")</f>
        <v>MDP0000139607</v>
      </c>
      <c r="D5071">
        <v>40.74</v>
      </c>
      <c r="E5071">
        <v>243</v>
      </c>
      <c r="F5071">
        <v>144</v>
      </c>
      <c r="G5071">
        <v>36</v>
      </c>
      <c r="H5071">
        <v>35</v>
      </c>
      <c r="I5071">
        <v>272</v>
      </c>
      <c r="J5071">
        <v>1</v>
      </c>
      <c r="K5071">
        <v>41</v>
      </c>
      <c r="L5071">
        <v>252</v>
      </c>
      <c r="M5071">
        <v>1</v>
      </c>
      <c r="N5071">
        <v>1.9383199999999998E-43</v>
      </c>
      <c r="O5071">
        <v>438</v>
      </c>
    </row>
    <row r="5072" spans="1:15" x14ac:dyDescent="0.25">
      <c r="A5072" t="s">
        <v>5085</v>
      </c>
      <c r="B5072">
        <v>559</v>
      </c>
      <c r="C5072" s="1" t="str">
        <f>HYPERLINK("http://www.rosaceae.org/gb/gbrowse/malus_x_domestica/?name=MDP0000228370","MDP0000228370")</f>
        <v>MDP0000228370</v>
      </c>
      <c r="D5072">
        <v>72.81</v>
      </c>
      <c r="E5072">
        <v>309</v>
      </c>
      <c r="F5072">
        <v>84</v>
      </c>
      <c r="G5072">
        <v>4</v>
      </c>
      <c r="H5072">
        <v>252</v>
      </c>
      <c r="I5072">
        <v>559</v>
      </c>
      <c r="J5072">
        <v>1</v>
      </c>
      <c r="K5072">
        <v>26</v>
      </c>
      <c r="L5072">
        <v>331</v>
      </c>
      <c r="M5072">
        <v>1</v>
      </c>
      <c r="N5072">
        <v>1.6823799999999999E-130</v>
      </c>
      <c r="O5072">
        <v>1192</v>
      </c>
    </row>
    <row r="5073" spans="1:15" x14ac:dyDescent="0.25">
      <c r="A5073" t="s">
        <v>5086</v>
      </c>
      <c r="B5073">
        <v>395</v>
      </c>
      <c r="C5073" s="1" t="str">
        <f>HYPERLINK("http://www.rosaceae.org/gb/gbrowse/malus_x_domestica/?name=MDP0000819523","MDP0000819523")</f>
        <v>MDP0000819523</v>
      </c>
      <c r="D5073">
        <v>71.489999999999995</v>
      </c>
      <c r="E5073">
        <v>442</v>
      </c>
      <c r="F5073">
        <v>126</v>
      </c>
      <c r="G5073">
        <v>48</v>
      </c>
      <c r="H5073">
        <v>1</v>
      </c>
      <c r="I5073">
        <v>395</v>
      </c>
      <c r="J5073">
        <v>1</v>
      </c>
      <c r="K5073">
        <v>1</v>
      </c>
      <c r="L5073">
        <v>441</v>
      </c>
      <c r="M5073">
        <v>1</v>
      </c>
      <c r="N5073">
        <v>0</v>
      </c>
      <c r="O5073">
        <v>1627</v>
      </c>
    </row>
    <row r="5074" spans="1:15" x14ac:dyDescent="0.25">
      <c r="A5074" t="s">
        <v>5087</v>
      </c>
      <c r="B5074">
        <v>651</v>
      </c>
      <c r="C5074" s="1" t="str">
        <f>HYPERLINK("http://www.rosaceae.org/gb/gbrowse/malus_x_domestica/?name=MDP0000020509","MDP0000020509")</f>
        <v>MDP0000020509</v>
      </c>
      <c r="D5074">
        <v>52.99</v>
      </c>
      <c r="E5074">
        <v>468</v>
      </c>
      <c r="F5074">
        <v>220</v>
      </c>
      <c r="G5074">
        <v>69</v>
      </c>
      <c r="H5074">
        <v>2</v>
      </c>
      <c r="I5074">
        <v>404</v>
      </c>
      <c r="J5074">
        <v>1</v>
      </c>
      <c r="K5074">
        <v>161</v>
      </c>
      <c r="L5074">
        <v>624</v>
      </c>
      <c r="M5074">
        <v>1</v>
      </c>
      <c r="N5074">
        <v>5.53634E-126</v>
      </c>
      <c r="O5074">
        <v>1154</v>
      </c>
    </row>
    <row r="5075" spans="1:15" x14ac:dyDescent="0.25">
      <c r="A5075" t="s">
        <v>5088</v>
      </c>
      <c r="B5075">
        <v>618</v>
      </c>
      <c r="C5075" s="1" t="str">
        <f>HYPERLINK("http://www.rosaceae.org/gb/gbrowse/malus_x_domestica/?name=MDP0000575262","MDP0000575262")</f>
        <v>MDP0000575262</v>
      </c>
      <c r="D5075">
        <v>38.28</v>
      </c>
      <c r="E5075">
        <v>303</v>
      </c>
      <c r="F5075">
        <v>187</v>
      </c>
      <c r="G5075">
        <v>34</v>
      </c>
      <c r="H5075">
        <v>184</v>
      </c>
      <c r="I5075">
        <v>453</v>
      </c>
      <c r="J5075">
        <v>1</v>
      </c>
      <c r="K5075">
        <v>318</v>
      </c>
      <c r="L5075">
        <v>619</v>
      </c>
      <c r="M5075">
        <v>1</v>
      </c>
      <c r="N5075">
        <v>8.5337399999999995E-48</v>
      </c>
      <c r="O5075">
        <v>480</v>
      </c>
    </row>
    <row r="5076" spans="1:15" x14ac:dyDescent="0.25">
      <c r="A5076" t="s">
        <v>5089</v>
      </c>
      <c r="B5076">
        <v>554</v>
      </c>
      <c r="C5076" s="1" t="str">
        <f>HYPERLINK("http://www.rosaceae.org/gb/gbrowse/malus_x_domestica/?name=MDP0000182395","MDP0000182395")</f>
        <v>MDP0000182395</v>
      </c>
      <c r="D5076">
        <v>73.489999999999995</v>
      </c>
      <c r="E5076">
        <v>547</v>
      </c>
      <c r="F5076">
        <v>145</v>
      </c>
      <c r="G5076">
        <v>33</v>
      </c>
      <c r="H5076">
        <v>1</v>
      </c>
      <c r="I5076">
        <v>529</v>
      </c>
      <c r="J5076">
        <v>1</v>
      </c>
      <c r="K5076">
        <v>1</v>
      </c>
      <c r="L5076">
        <v>532</v>
      </c>
      <c r="M5076">
        <v>1</v>
      </c>
      <c r="N5076">
        <v>0</v>
      </c>
      <c r="O5076">
        <v>1974</v>
      </c>
    </row>
    <row r="5077" spans="1:15" x14ac:dyDescent="0.25">
      <c r="A5077" t="s">
        <v>5090</v>
      </c>
      <c r="B5077">
        <v>471</v>
      </c>
      <c r="C5077" s="1" t="str">
        <f>HYPERLINK("http://www.rosaceae.org/gb/gbrowse/malus_x_domestica/?name=MDP0000651056","MDP0000651056")</f>
        <v>MDP0000651056</v>
      </c>
      <c r="D5077">
        <v>59.32</v>
      </c>
      <c r="E5077">
        <v>472</v>
      </c>
      <c r="F5077">
        <v>192</v>
      </c>
      <c r="G5077">
        <v>25</v>
      </c>
      <c r="H5077">
        <v>1</v>
      </c>
      <c r="I5077">
        <v>470</v>
      </c>
      <c r="J5077">
        <v>1</v>
      </c>
      <c r="K5077">
        <v>360</v>
      </c>
      <c r="L5077">
        <v>808</v>
      </c>
      <c r="M5077">
        <v>1</v>
      </c>
      <c r="N5077">
        <v>9.8767899999999996E-169</v>
      </c>
      <c r="O5077">
        <v>1521</v>
      </c>
    </row>
    <row r="5078" spans="1:15" x14ac:dyDescent="0.25">
      <c r="A5078" t="s">
        <v>5091</v>
      </c>
      <c r="B5078">
        <v>530</v>
      </c>
      <c r="C5078" s="1" t="str">
        <f>HYPERLINK("http://www.rosaceae.org/gb/gbrowse/malus_x_domestica/?name=MDP0000224586","MDP0000224586")</f>
        <v>MDP0000224586</v>
      </c>
      <c r="D5078">
        <v>50.15</v>
      </c>
      <c r="E5078">
        <v>327</v>
      </c>
      <c r="F5078">
        <v>163</v>
      </c>
      <c r="G5078">
        <v>22</v>
      </c>
      <c r="H5078">
        <v>175</v>
      </c>
      <c r="I5078">
        <v>500</v>
      </c>
      <c r="J5078">
        <v>1</v>
      </c>
      <c r="K5078">
        <v>11</v>
      </c>
      <c r="L5078">
        <v>316</v>
      </c>
      <c r="M5078">
        <v>1</v>
      </c>
      <c r="N5078">
        <v>3.3696799999999999E-87</v>
      </c>
      <c r="O5078">
        <v>819</v>
      </c>
    </row>
    <row r="5079" spans="1:15" x14ac:dyDescent="0.25">
      <c r="A5079" t="s">
        <v>5092</v>
      </c>
      <c r="B5079">
        <v>80</v>
      </c>
      <c r="C5079" s="1" t="str">
        <f>HYPERLINK("http://www.rosaceae.org/gb/gbrowse/malus_x_domestica/?name=MDP0000125671","MDP0000125671")</f>
        <v>MDP0000125671</v>
      </c>
      <c r="D5079">
        <v>51.06</v>
      </c>
      <c r="E5079">
        <v>47</v>
      </c>
      <c r="F5079">
        <v>23</v>
      </c>
      <c r="G5079">
        <v>0</v>
      </c>
      <c r="H5079">
        <v>11</v>
      </c>
      <c r="I5079">
        <v>57</v>
      </c>
      <c r="J5079">
        <v>1</v>
      </c>
      <c r="K5079">
        <v>262</v>
      </c>
      <c r="L5079">
        <v>308</v>
      </c>
      <c r="M5079">
        <v>1</v>
      </c>
      <c r="N5079">
        <v>1.44174E-7</v>
      </c>
      <c r="O5079">
        <v>123</v>
      </c>
    </row>
    <row r="5080" spans="1:15" x14ac:dyDescent="0.25">
      <c r="A5080" t="s">
        <v>5093</v>
      </c>
      <c r="B5080">
        <v>531</v>
      </c>
      <c r="C5080" s="1" t="str">
        <f>HYPERLINK("http://www.rosaceae.org/gb/gbrowse/malus_x_domestica/?name=MDP0000142665","MDP0000142665")</f>
        <v>MDP0000142665</v>
      </c>
      <c r="D5080">
        <v>63.97</v>
      </c>
      <c r="E5080">
        <v>136</v>
      </c>
      <c r="F5080">
        <v>49</v>
      </c>
      <c r="G5080">
        <v>16</v>
      </c>
      <c r="H5080">
        <v>201</v>
      </c>
      <c r="I5080">
        <v>334</v>
      </c>
      <c r="J5080">
        <v>1</v>
      </c>
      <c r="K5080">
        <v>298</v>
      </c>
      <c r="L5080">
        <v>419</v>
      </c>
      <c r="M5080">
        <v>1</v>
      </c>
      <c r="N5080">
        <v>1.24832E-38</v>
      </c>
      <c r="O5080">
        <v>400</v>
      </c>
    </row>
    <row r="5081" spans="1:15" x14ac:dyDescent="0.25">
      <c r="A5081" t="s">
        <v>5094</v>
      </c>
      <c r="B5081">
        <v>475</v>
      </c>
      <c r="C5081" s="1" t="str">
        <f>HYPERLINK("http://www.rosaceae.org/gb/gbrowse/malus_x_domestica/?name=MDP0000735095","MDP0000735095")</f>
        <v>MDP0000735095</v>
      </c>
      <c r="D5081">
        <v>63.17</v>
      </c>
      <c r="E5081">
        <v>497</v>
      </c>
      <c r="F5081">
        <v>183</v>
      </c>
      <c r="G5081">
        <v>33</v>
      </c>
      <c r="H5081">
        <v>1</v>
      </c>
      <c r="I5081">
        <v>475</v>
      </c>
      <c r="J5081">
        <v>1</v>
      </c>
      <c r="K5081">
        <v>1</v>
      </c>
      <c r="L5081">
        <v>486</v>
      </c>
      <c r="M5081">
        <v>1</v>
      </c>
      <c r="N5081">
        <v>8.3682800000000005E-174</v>
      </c>
      <c r="O5081">
        <v>1565</v>
      </c>
    </row>
    <row r="5082" spans="1:15" x14ac:dyDescent="0.25">
      <c r="A5082" t="s">
        <v>5095</v>
      </c>
      <c r="B5082">
        <v>812</v>
      </c>
      <c r="C5082" s="1" t="str">
        <f>HYPERLINK("http://www.rosaceae.org/gb/gbrowse/malus_x_domestica/?name=MDP0000267609","MDP0000267609")</f>
        <v>MDP0000267609</v>
      </c>
      <c r="D5082">
        <v>58.05</v>
      </c>
      <c r="E5082">
        <v>844</v>
      </c>
      <c r="F5082">
        <v>354</v>
      </c>
      <c r="G5082">
        <v>60</v>
      </c>
      <c r="H5082">
        <v>1</v>
      </c>
      <c r="I5082">
        <v>802</v>
      </c>
      <c r="J5082">
        <v>1</v>
      </c>
      <c r="K5082">
        <v>1</v>
      </c>
      <c r="L5082">
        <v>826</v>
      </c>
      <c r="M5082">
        <v>1</v>
      </c>
      <c r="N5082">
        <v>0</v>
      </c>
      <c r="O5082">
        <v>2403</v>
      </c>
    </row>
    <row r="5083" spans="1:15" x14ac:dyDescent="0.25">
      <c r="A5083" t="s">
        <v>5096</v>
      </c>
      <c r="B5083">
        <v>262</v>
      </c>
      <c r="C5083" s="1" t="str">
        <f>HYPERLINK("http://www.rosaceae.org/gb/gbrowse/malus_x_domestica/?name=MDP0000198624","MDP0000198624")</f>
        <v>MDP0000198624</v>
      </c>
      <c r="D5083">
        <v>53.21</v>
      </c>
      <c r="E5083">
        <v>171</v>
      </c>
      <c r="F5083">
        <v>80</v>
      </c>
      <c r="G5083">
        <v>15</v>
      </c>
      <c r="H5083">
        <v>25</v>
      </c>
      <c r="I5083">
        <v>194</v>
      </c>
      <c r="J5083">
        <v>1</v>
      </c>
      <c r="K5083">
        <v>20</v>
      </c>
      <c r="L5083">
        <v>176</v>
      </c>
      <c r="M5083">
        <v>1</v>
      </c>
      <c r="N5083">
        <v>6.7468700000000002E-42</v>
      </c>
      <c r="O5083">
        <v>425</v>
      </c>
    </row>
    <row r="5084" spans="1:15" x14ac:dyDescent="0.25">
      <c r="A5084" t="s">
        <v>5097</v>
      </c>
      <c r="B5084">
        <v>147</v>
      </c>
      <c r="C5084" s="1" t="str">
        <f>HYPERLINK("http://www.rosaceae.org/gb/gbrowse/malus_x_domestica/?name=MDP0000763731","MDP0000763731")</f>
        <v>MDP0000763731</v>
      </c>
      <c r="D5084">
        <v>47.65</v>
      </c>
      <c r="E5084">
        <v>149</v>
      </c>
      <c r="F5084">
        <v>78</v>
      </c>
      <c r="G5084">
        <v>44</v>
      </c>
      <c r="H5084">
        <v>42</v>
      </c>
      <c r="I5084">
        <v>146</v>
      </c>
      <c r="J5084">
        <v>1</v>
      </c>
      <c r="K5084">
        <v>586</v>
      </c>
      <c r="L5084">
        <v>734</v>
      </c>
      <c r="M5084">
        <v>1</v>
      </c>
      <c r="N5084">
        <v>1.14482E-27</v>
      </c>
      <c r="O5084">
        <v>298</v>
      </c>
    </row>
    <row r="5085" spans="1:15" x14ac:dyDescent="0.25">
      <c r="A5085" t="s">
        <v>5098</v>
      </c>
      <c r="B5085">
        <v>614</v>
      </c>
      <c r="C5085" s="1" t="str">
        <f>HYPERLINK("http://www.rosaceae.org/gb/gbrowse/malus_x_domestica/?name=MDP0000286803","MDP0000286803")</f>
        <v>MDP0000286803</v>
      </c>
      <c r="D5085">
        <v>88.72</v>
      </c>
      <c r="E5085">
        <v>275</v>
      </c>
      <c r="F5085">
        <v>31</v>
      </c>
      <c r="G5085">
        <v>1</v>
      </c>
      <c r="H5085">
        <v>1</v>
      </c>
      <c r="I5085">
        <v>275</v>
      </c>
      <c r="J5085">
        <v>1</v>
      </c>
      <c r="K5085">
        <v>1</v>
      </c>
      <c r="L5085">
        <v>274</v>
      </c>
      <c r="M5085">
        <v>1</v>
      </c>
      <c r="N5085">
        <v>1.67208E-146</v>
      </c>
      <c r="O5085">
        <v>1331</v>
      </c>
    </row>
    <row r="5086" spans="1:15" x14ac:dyDescent="0.25">
      <c r="A5086" t="s">
        <v>5099</v>
      </c>
      <c r="B5086">
        <v>448</v>
      </c>
      <c r="C5086" s="1" t="str">
        <f>HYPERLINK("http://www.rosaceae.org/gb/gbrowse/malus_x_domestica/?name=MDP0000137432","MDP0000137432")</f>
        <v>MDP0000137432</v>
      </c>
      <c r="D5086">
        <v>65.040000000000006</v>
      </c>
      <c r="E5086">
        <v>472</v>
      </c>
      <c r="F5086">
        <v>165</v>
      </c>
      <c r="G5086">
        <v>29</v>
      </c>
      <c r="H5086">
        <v>1</v>
      </c>
      <c r="I5086">
        <v>447</v>
      </c>
      <c r="J5086">
        <v>1</v>
      </c>
      <c r="K5086">
        <v>56</v>
      </c>
      <c r="L5086">
        <v>523</v>
      </c>
      <c r="M5086">
        <v>1</v>
      </c>
      <c r="N5086">
        <v>7.4266800000000003E-179</v>
      </c>
      <c r="O5086">
        <v>1608</v>
      </c>
    </row>
    <row r="5087" spans="1:15" x14ac:dyDescent="0.25">
      <c r="A5087" t="s">
        <v>5100</v>
      </c>
      <c r="B5087">
        <v>253</v>
      </c>
      <c r="C5087" s="1" t="str">
        <f>HYPERLINK("http://www.rosaceae.org/gb/gbrowse/malus_x_domestica/?name=MDP0000182248","MDP0000182248")</f>
        <v>MDP0000182248</v>
      </c>
      <c r="D5087">
        <v>57.38</v>
      </c>
      <c r="E5087">
        <v>298</v>
      </c>
      <c r="F5087">
        <v>127</v>
      </c>
      <c r="G5087">
        <v>62</v>
      </c>
      <c r="H5087">
        <v>15</v>
      </c>
      <c r="I5087">
        <v>253</v>
      </c>
      <c r="J5087">
        <v>1</v>
      </c>
      <c r="K5087">
        <v>17</v>
      </c>
      <c r="L5087">
        <v>311</v>
      </c>
      <c r="M5087">
        <v>1</v>
      </c>
      <c r="N5087">
        <v>3.8897300000000001E-74</v>
      </c>
      <c r="O5087">
        <v>702</v>
      </c>
    </row>
    <row r="5088" spans="1:15" x14ac:dyDescent="0.25">
      <c r="A5088" t="s">
        <v>5101</v>
      </c>
      <c r="B5088">
        <v>489</v>
      </c>
      <c r="C5088" s="1" t="str">
        <f>HYPERLINK("http://www.rosaceae.org/gb/gbrowse/malus_x_domestica/?name=MDP0000071318","MDP0000071318")</f>
        <v>MDP0000071318</v>
      </c>
      <c r="D5088">
        <v>82.83</v>
      </c>
      <c r="E5088">
        <v>466</v>
      </c>
      <c r="F5088">
        <v>80</v>
      </c>
      <c r="G5088">
        <v>11</v>
      </c>
      <c r="H5088">
        <v>24</v>
      </c>
      <c r="I5088">
        <v>485</v>
      </c>
      <c r="J5088">
        <v>1</v>
      </c>
      <c r="K5088">
        <v>21</v>
      </c>
      <c r="L5088">
        <v>479</v>
      </c>
      <c r="M5088">
        <v>1</v>
      </c>
      <c r="N5088">
        <v>0</v>
      </c>
      <c r="O5088">
        <v>2052</v>
      </c>
    </row>
    <row r="5089" spans="1:15" x14ac:dyDescent="0.25">
      <c r="A5089" t="s">
        <v>5102</v>
      </c>
      <c r="B5089">
        <v>601</v>
      </c>
      <c r="C5089" s="1" t="str">
        <f>HYPERLINK("http://www.rosaceae.org/gb/gbrowse/malus_x_domestica/?name=MDP0000305272","MDP0000305272")</f>
        <v>MDP0000305272</v>
      </c>
      <c r="D5089">
        <v>83.03</v>
      </c>
      <c r="E5089">
        <v>566</v>
      </c>
      <c r="F5089">
        <v>96</v>
      </c>
      <c r="G5089">
        <v>14</v>
      </c>
      <c r="H5089">
        <v>1</v>
      </c>
      <c r="I5089">
        <v>554</v>
      </c>
      <c r="J5089">
        <v>1</v>
      </c>
      <c r="K5089">
        <v>1</v>
      </c>
      <c r="L5089">
        <v>564</v>
      </c>
      <c r="M5089">
        <v>1</v>
      </c>
      <c r="N5089">
        <v>0</v>
      </c>
      <c r="O5089">
        <v>2494</v>
      </c>
    </row>
    <row r="5090" spans="1:15" x14ac:dyDescent="0.25">
      <c r="A5090" t="s">
        <v>5103</v>
      </c>
      <c r="B5090">
        <v>410</v>
      </c>
      <c r="C5090" s="1" t="str">
        <f>HYPERLINK("http://www.rosaceae.org/gb/gbrowse/malus_x_domestica/?name=MDP0000426029","MDP0000426029")</f>
        <v>MDP0000426029</v>
      </c>
      <c r="D5090">
        <v>86.95</v>
      </c>
      <c r="E5090">
        <v>414</v>
      </c>
      <c r="F5090">
        <v>54</v>
      </c>
      <c r="G5090">
        <v>5</v>
      </c>
      <c r="H5090">
        <v>1</v>
      </c>
      <c r="I5090">
        <v>410</v>
      </c>
      <c r="J5090">
        <v>1</v>
      </c>
      <c r="K5090">
        <v>1</v>
      </c>
      <c r="L5090">
        <v>413</v>
      </c>
      <c r="M5090">
        <v>1</v>
      </c>
      <c r="N5090">
        <v>0</v>
      </c>
      <c r="O5090">
        <v>1853</v>
      </c>
    </row>
    <row r="5091" spans="1:15" x14ac:dyDescent="0.25">
      <c r="A5091" t="s">
        <v>5104</v>
      </c>
      <c r="B5091">
        <v>271</v>
      </c>
      <c r="C5091" s="1" t="str">
        <f>HYPERLINK("http://www.rosaceae.org/gb/gbrowse/malus_x_domestica/?name=MDP0000169903","MDP0000169903")</f>
        <v>MDP0000169903</v>
      </c>
      <c r="D5091">
        <v>49.01</v>
      </c>
      <c r="E5091">
        <v>255</v>
      </c>
      <c r="F5091">
        <v>130</v>
      </c>
      <c r="G5091">
        <v>0</v>
      </c>
      <c r="H5091">
        <v>12</v>
      </c>
      <c r="I5091">
        <v>266</v>
      </c>
      <c r="J5091">
        <v>1</v>
      </c>
      <c r="K5091">
        <v>8</v>
      </c>
      <c r="L5091">
        <v>262</v>
      </c>
      <c r="M5091">
        <v>1</v>
      </c>
      <c r="N5091">
        <v>5.3144000000000002E-70</v>
      </c>
      <c r="O5091">
        <v>667</v>
      </c>
    </row>
    <row r="5092" spans="1:15" x14ac:dyDescent="0.25">
      <c r="A5092" t="s">
        <v>5105</v>
      </c>
      <c r="B5092">
        <v>141</v>
      </c>
      <c r="C5092" s="1" t="str">
        <f>HYPERLINK("http://www.rosaceae.org/gb/gbrowse/malus_x_domestica/?name=MDP0000496604","MDP0000496604")</f>
        <v>MDP0000496604</v>
      </c>
      <c r="D5092">
        <v>74.319999999999993</v>
      </c>
      <c r="E5092">
        <v>74</v>
      </c>
      <c r="F5092">
        <v>19</v>
      </c>
      <c r="G5092">
        <v>4</v>
      </c>
      <c r="H5092">
        <v>1</v>
      </c>
      <c r="I5092">
        <v>70</v>
      </c>
      <c r="J5092">
        <v>1</v>
      </c>
      <c r="K5092">
        <v>1</v>
      </c>
      <c r="L5092">
        <v>74</v>
      </c>
      <c r="M5092">
        <v>1</v>
      </c>
      <c r="N5092">
        <v>7.2101499999999998E-27</v>
      </c>
      <c r="O5092">
        <v>291</v>
      </c>
    </row>
    <row r="5093" spans="1:15" x14ac:dyDescent="0.25">
      <c r="A5093" t="s">
        <v>5106</v>
      </c>
      <c r="B5093">
        <v>147</v>
      </c>
      <c r="C5093" s="1" t="str">
        <f>HYPERLINK("http://www.rosaceae.org/gb/gbrowse/malus_x_domestica/?name=MDP0000192308","MDP0000192308")</f>
        <v>MDP0000192308</v>
      </c>
      <c r="D5093">
        <v>35.96</v>
      </c>
      <c r="E5093">
        <v>114</v>
      </c>
      <c r="F5093">
        <v>73</v>
      </c>
      <c r="G5093">
        <v>0</v>
      </c>
      <c r="H5093">
        <v>1</v>
      </c>
      <c r="I5093">
        <v>114</v>
      </c>
      <c r="J5093">
        <v>1</v>
      </c>
      <c r="K5093">
        <v>486</v>
      </c>
      <c r="L5093">
        <v>599</v>
      </c>
      <c r="M5093">
        <v>1</v>
      </c>
      <c r="N5093">
        <v>1.9589999999999999E-16</v>
      </c>
      <c r="O5093">
        <v>201</v>
      </c>
    </row>
    <row r="5094" spans="1:15" x14ac:dyDescent="0.25">
      <c r="A5094" t="s">
        <v>5107</v>
      </c>
      <c r="B5094">
        <v>123</v>
      </c>
      <c r="C5094" s="1" t="str">
        <f>HYPERLINK("http://www.rosaceae.org/gb/gbrowse/malus_x_domestica/?name=MDP0000143517","MDP0000143517")</f>
        <v>MDP0000143517</v>
      </c>
      <c r="D5094">
        <v>36.6</v>
      </c>
      <c r="E5094">
        <v>112</v>
      </c>
      <c r="F5094">
        <v>71</v>
      </c>
      <c r="G5094">
        <v>15</v>
      </c>
      <c r="H5094">
        <v>1</v>
      </c>
      <c r="I5094">
        <v>110</v>
      </c>
      <c r="J5094">
        <v>1</v>
      </c>
      <c r="K5094">
        <v>1</v>
      </c>
      <c r="L5094">
        <v>99</v>
      </c>
      <c r="M5094">
        <v>1</v>
      </c>
      <c r="N5094">
        <v>1.0239000000000001E-7</v>
      </c>
      <c r="O5094">
        <v>124</v>
      </c>
    </row>
    <row r="5095" spans="1:15" x14ac:dyDescent="0.25">
      <c r="A5095" t="s">
        <v>5108</v>
      </c>
      <c r="B5095">
        <v>690</v>
      </c>
      <c r="C5095" s="1" t="str">
        <f>HYPERLINK("http://www.rosaceae.org/gb/gbrowse/malus_x_domestica/?name=MDP0000208207","MDP0000208207")</f>
        <v>MDP0000208207</v>
      </c>
      <c r="D5095">
        <v>68.239999999999995</v>
      </c>
      <c r="E5095">
        <v>592</v>
      </c>
      <c r="F5095">
        <v>188</v>
      </c>
      <c r="G5095">
        <v>2</v>
      </c>
      <c r="H5095">
        <v>71</v>
      </c>
      <c r="I5095">
        <v>662</v>
      </c>
      <c r="J5095">
        <v>1</v>
      </c>
      <c r="K5095">
        <v>25</v>
      </c>
      <c r="L5095">
        <v>614</v>
      </c>
      <c r="M5095">
        <v>1</v>
      </c>
      <c r="N5095">
        <v>0</v>
      </c>
      <c r="O5095">
        <v>2200</v>
      </c>
    </row>
    <row r="5096" spans="1:15" x14ac:dyDescent="0.25">
      <c r="A5096" t="s">
        <v>5109</v>
      </c>
      <c r="B5096">
        <v>211</v>
      </c>
      <c r="C5096" s="1" t="str">
        <f>HYPERLINK("http://www.rosaceae.org/gb/gbrowse/malus_x_domestica/?name=MDP0000228494","MDP0000228494")</f>
        <v>MDP0000228494</v>
      </c>
      <c r="D5096">
        <v>97.05</v>
      </c>
      <c r="E5096">
        <v>204</v>
      </c>
      <c r="F5096">
        <v>6</v>
      </c>
      <c r="G5096">
        <v>0</v>
      </c>
      <c r="H5096">
        <v>8</v>
      </c>
      <c r="I5096">
        <v>211</v>
      </c>
      <c r="J5096">
        <v>1</v>
      </c>
      <c r="K5096">
        <v>51</v>
      </c>
      <c r="L5096">
        <v>254</v>
      </c>
      <c r="M5096">
        <v>1</v>
      </c>
      <c r="N5096">
        <v>1.81768E-116</v>
      </c>
      <c r="O5096">
        <v>1066</v>
      </c>
    </row>
    <row r="5097" spans="1:15" x14ac:dyDescent="0.25">
      <c r="A5097" t="s">
        <v>5110</v>
      </c>
      <c r="B5097">
        <v>403</v>
      </c>
      <c r="C5097" s="1" t="str">
        <f>HYPERLINK("http://www.rosaceae.org/gb/gbrowse/malus_x_domestica/?name=MDP0000769247","MDP0000769247")</f>
        <v>MDP0000769247</v>
      </c>
      <c r="D5097">
        <v>64.099999999999994</v>
      </c>
      <c r="E5097">
        <v>404</v>
      </c>
      <c r="F5097">
        <v>145</v>
      </c>
      <c r="G5097">
        <v>11</v>
      </c>
      <c r="H5097">
        <v>3</v>
      </c>
      <c r="I5097">
        <v>401</v>
      </c>
      <c r="J5097">
        <v>1</v>
      </c>
      <c r="K5097">
        <v>2</v>
      </c>
      <c r="L5097">
        <v>399</v>
      </c>
      <c r="M5097">
        <v>1</v>
      </c>
      <c r="N5097">
        <v>1.00525E-138</v>
      </c>
      <c r="O5097">
        <v>1262</v>
      </c>
    </row>
    <row r="5098" spans="1:15" x14ac:dyDescent="0.25">
      <c r="A5098" t="s">
        <v>5111</v>
      </c>
      <c r="B5098">
        <v>1022</v>
      </c>
      <c r="C5098" s="1" t="str">
        <f>HYPERLINK("http://www.rosaceae.org/gb/gbrowse/malus_x_domestica/?name=MDP0000230504","MDP0000230504")</f>
        <v>MDP0000230504</v>
      </c>
      <c r="D5098">
        <v>57.71</v>
      </c>
      <c r="E5098">
        <v>149</v>
      </c>
      <c r="F5098">
        <v>63</v>
      </c>
      <c r="G5098">
        <v>10</v>
      </c>
      <c r="H5098">
        <v>882</v>
      </c>
      <c r="I5098">
        <v>1020</v>
      </c>
      <c r="J5098">
        <v>1</v>
      </c>
      <c r="K5098">
        <v>287</v>
      </c>
      <c r="L5098">
        <v>435</v>
      </c>
      <c r="M5098">
        <v>1</v>
      </c>
      <c r="N5098">
        <v>4.6709799999999998E-45</v>
      </c>
      <c r="O5098">
        <v>458</v>
      </c>
    </row>
    <row r="5099" spans="1:15" x14ac:dyDescent="0.25">
      <c r="A5099" t="s">
        <v>5112</v>
      </c>
      <c r="B5099">
        <v>265</v>
      </c>
      <c r="C5099" s="1" t="str">
        <f>HYPERLINK("http://www.rosaceae.org/gb/gbrowse/malus_x_domestica/?name=MDP0000169903","MDP0000169903")</f>
        <v>MDP0000169903</v>
      </c>
      <c r="D5099">
        <v>55.21</v>
      </c>
      <c r="E5099">
        <v>259</v>
      </c>
      <c r="F5099">
        <v>116</v>
      </c>
      <c r="G5099">
        <v>9</v>
      </c>
      <c r="H5099">
        <v>7</v>
      </c>
      <c r="I5099">
        <v>260</v>
      </c>
      <c r="J5099">
        <v>1</v>
      </c>
      <c r="K5099">
        <v>6</v>
      </c>
      <c r="L5099">
        <v>260</v>
      </c>
      <c r="M5099">
        <v>1</v>
      </c>
      <c r="N5099">
        <v>9.4168100000000004E-73</v>
      </c>
      <c r="O5099">
        <v>691</v>
      </c>
    </row>
    <row r="5100" spans="1:15" x14ac:dyDescent="0.25">
      <c r="A5100" t="s">
        <v>5113</v>
      </c>
      <c r="B5100">
        <v>284</v>
      </c>
      <c r="C5100" s="1" t="str">
        <f>HYPERLINK("http://www.rosaceae.org/gb/gbrowse/malus_x_domestica/?name=MDP0000602739","MDP0000602739")</f>
        <v>MDP0000602739</v>
      </c>
      <c r="D5100">
        <v>87.59</v>
      </c>
      <c r="E5100">
        <v>129</v>
      </c>
      <c r="F5100">
        <v>16</v>
      </c>
      <c r="G5100">
        <v>0</v>
      </c>
      <c r="H5100">
        <v>1</v>
      </c>
      <c r="I5100">
        <v>129</v>
      </c>
      <c r="J5100">
        <v>1</v>
      </c>
      <c r="K5100">
        <v>1</v>
      </c>
      <c r="L5100">
        <v>129</v>
      </c>
      <c r="M5100">
        <v>1</v>
      </c>
      <c r="N5100">
        <v>2.5294500000000001E-66</v>
      </c>
      <c r="O5100">
        <v>636</v>
      </c>
    </row>
    <row r="5101" spans="1:15" x14ac:dyDescent="0.25">
      <c r="A5101" t="s">
        <v>5114</v>
      </c>
      <c r="B5101">
        <v>348</v>
      </c>
      <c r="C5101" s="1" t="str">
        <f>HYPERLINK("http://www.rosaceae.org/gb/gbrowse/malus_x_domestica/?name=MDP0000425449","MDP0000425449")</f>
        <v>MDP0000425449</v>
      </c>
      <c r="D5101">
        <v>68.84</v>
      </c>
      <c r="E5101">
        <v>337</v>
      </c>
      <c r="F5101">
        <v>105</v>
      </c>
      <c r="G5101">
        <v>2</v>
      </c>
      <c r="H5101">
        <v>1</v>
      </c>
      <c r="I5101">
        <v>337</v>
      </c>
      <c r="J5101">
        <v>1</v>
      </c>
      <c r="K5101">
        <v>937</v>
      </c>
      <c r="L5101">
        <v>1271</v>
      </c>
      <c r="M5101">
        <v>1</v>
      </c>
      <c r="N5101">
        <v>1.09454E-142</v>
      </c>
      <c r="O5101">
        <v>1295</v>
      </c>
    </row>
    <row r="5102" spans="1:15" x14ac:dyDescent="0.25">
      <c r="A5102" t="s">
        <v>5115</v>
      </c>
      <c r="B5102">
        <v>531</v>
      </c>
      <c r="C5102" s="1" t="str">
        <f>HYPERLINK("http://www.rosaceae.org/gb/gbrowse/malus_x_domestica/?name=MDP0000807190","MDP0000807190")</f>
        <v>MDP0000807190</v>
      </c>
      <c r="D5102">
        <v>56.36</v>
      </c>
      <c r="E5102">
        <v>385</v>
      </c>
      <c r="F5102">
        <v>168</v>
      </c>
      <c r="G5102">
        <v>46</v>
      </c>
      <c r="H5102">
        <v>193</v>
      </c>
      <c r="I5102">
        <v>531</v>
      </c>
      <c r="J5102">
        <v>1</v>
      </c>
      <c r="K5102">
        <v>321</v>
      </c>
      <c r="L5102">
        <v>705</v>
      </c>
      <c r="M5102">
        <v>1</v>
      </c>
      <c r="N5102">
        <v>2.0578299999999998E-127</v>
      </c>
      <c r="O5102">
        <v>1166</v>
      </c>
    </row>
    <row r="5103" spans="1:15" x14ac:dyDescent="0.25">
      <c r="A5103" t="s">
        <v>5116</v>
      </c>
      <c r="B5103">
        <v>481</v>
      </c>
      <c r="C5103" s="1" t="str">
        <f>HYPERLINK("http://www.rosaceae.org/gb/gbrowse/malus_x_domestica/?name=MDP0000783818","MDP0000783818")</f>
        <v>MDP0000783818</v>
      </c>
      <c r="D5103">
        <v>50.26</v>
      </c>
      <c r="E5103">
        <v>187</v>
      </c>
      <c r="F5103">
        <v>93</v>
      </c>
      <c r="G5103">
        <v>24</v>
      </c>
      <c r="H5103">
        <v>303</v>
      </c>
      <c r="I5103">
        <v>475</v>
      </c>
      <c r="J5103">
        <v>1</v>
      </c>
      <c r="K5103">
        <v>9</v>
      </c>
      <c r="L5103">
        <v>185</v>
      </c>
      <c r="M5103">
        <v>1</v>
      </c>
      <c r="N5103">
        <v>5.3194500000000002E-37</v>
      </c>
      <c r="O5103">
        <v>385</v>
      </c>
    </row>
    <row r="5104" spans="1:15" x14ac:dyDescent="0.25">
      <c r="A5104" t="s">
        <v>5117</v>
      </c>
      <c r="B5104">
        <v>318</v>
      </c>
      <c r="C5104" s="1" t="str">
        <f>HYPERLINK("http://www.rosaceae.org/gb/gbrowse/malus_x_domestica/?name=MDP0000321098","MDP0000321098")</f>
        <v>MDP0000321098</v>
      </c>
      <c r="D5104">
        <v>26.76</v>
      </c>
      <c r="E5104">
        <v>340</v>
      </c>
      <c r="F5104">
        <v>249</v>
      </c>
      <c r="G5104">
        <v>53</v>
      </c>
      <c r="H5104">
        <v>6</v>
      </c>
      <c r="I5104">
        <v>308</v>
      </c>
      <c r="J5104">
        <v>1</v>
      </c>
      <c r="K5104">
        <v>9</v>
      </c>
      <c r="L5104">
        <v>332</v>
      </c>
      <c r="M5104">
        <v>1</v>
      </c>
      <c r="N5104">
        <v>1.1953000000000001E-19</v>
      </c>
      <c r="O5104">
        <v>234</v>
      </c>
    </row>
    <row r="5105" spans="1:15" x14ac:dyDescent="0.25">
      <c r="A5105" t="s">
        <v>5118</v>
      </c>
      <c r="B5105">
        <v>54</v>
      </c>
      <c r="C5105" s="1" t="str">
        <f>HYPERLINK("http://www.rosaceae.org/gb/gbrowse/malus_x_domestica/?name=MDP0000173822","MDP0000173822")</f>
        <v>MDP0000173822</v>
      </c>
      <c r="D5105">
        <v>79.41</v>
      </c>
      <c r="E5105">
        <v>34</v>
      </c>
      <c r="F5105">
        <v>7</v>
      </c>
      <c r="G5105">
        <v>0</v>
      </c>
      <c r="H5105">
        <v>12</v>
      </c>
      <c r="I5105">
        <v>45</v>
      </c>
      <c r="J5105">
        <v>1</v>
      </c>
      <c r="K5105">
        <v>195</v>
      </c>
      <c r="L5105">
        <v>228</v>
      </c>
      <c r="M5105">
        <v>1</v>
      </c>
      <c r="N5105">
        <v>2.7173499999999999E-10</v>
      </c>
      <c r="O5105">
        <v>146</v>
      </c>
    </row>
    <row r="5106" spans="1:15" x14ac:dyDescent="0.25">
      <c r="A5106" t="s">
        <v>5119</v>
      </c>
      <c r="B5106">
        <v>323</v>
      </c>
      <c r="C5106" s="1" t="str">
        <f>HYPERLINK("http://www.rosaceae.org/gb/gbrowse/malus_x_domestica/?name=MDP0000295606","MDP0000295606")</f>
        <v>MDP0000295606</v>
      </c>
      <c r="D5106">
        <v>31.81</v>
      </c>
      <c r="E5106">
        <v>330</v>
      </c>
      <c r="F5106">
        <v>225</v>
      </c>
      <c r="G5106">
        <v>20</v>
      </c>
      <c r="H5106">
        <v>1</v>
      </c>
      <c r="I5106">
        <v>318</v>
      </c>
      <c r="J5106">
        <v>1</v>
      </c>
      <c r="K5106">
        <v>1</v>
      </c>
      <c r="L5106">
        <v>322</v>
      </c>
      <c r="M5106">
        <v>1</v>
      </c>
      <c r="N5106">
        <v>3.3453500000000002E-31</v>
      </c>
      <c r="O5106">
        <v>333</v>
      </c>
    </row>
    <row r="5107" spans="1:15" x14ac:dyDescent="0.25">
      <c r="A5107" t="s">
        <v>5120</v>
      </c>
      <c r="B5107">
        <v>885</v>
      </c>
      <c r="C5107" s="1" t="str">
        <f>HYPERLINK("http://www.rosaceae.org/gb/gbrowse/malus_x_domestica/?name=MDP0000734561","MDP0000734561")</f>
        <v>MDP0000734561</v>
      </c>
      <c r="D5107">
        <v>47.76</v>
      </c>
      <c r="E5107">
        <v>896</v>
      </c>
      <c r="F5107">
        <v>468</v>
      </c>
      <c r="G5107">
        <v>32</v>
      </c>
      <c r="H5107">
        <v>1</v>
      </c>
      <c r="I5107">
        <v>882</v>
      </c>
      <c r="J5107">
        <v>1</v>
      </c>
      <c r="K5107">
        <v>226</v>
      </c>
      <c r="L5107">
        <v>1103</v>
      </c>
      <c r="M5107">
        <v>1</v>
      </c>
      <c r="N5107">
        <v>0</v>
      </c>
      <c r="O5107">
        <v>1909</v>
      </c>
    </row>
    <row r="5108" spans="1:15" x14ac:dyDescent="0.25">
      <c r="A5108" t="s">
        <v>5121</v>
      </c>
      <c r="B5108">
        <v>186</v>
      </c>
      <c r="C5108" s="1" t="str">
        <f>HYPERLINK("http://www.rosaceae.org/gb/gbrowse/malus_x_domestica/?name=MDP0000210287","MDP0000210287")</f>
        <v>MDP0000210287</v>
      </c>
      <c r="D5108">
        <v>60</v>
      </c>
      <c r="E5108">
        <v>40</v>
      </c>
      <c r="F5108">
        <v>16</v>
      </c>
      <c r="G5108">
        <v>0</v>
      </c>
      <c r="H5108">
        <v>16</v>
      </c>
      <c r="I5108">
        <v>55</v>
      </c>
      <c r="J5108">
        <v>1</v>
      </c>
      <c r="K5108">
        <v>32</v>
      </c>
      <c r="L5108">
        <v>71</v>
      </c>
      <c r="M5108">
        <v>1</v>
      </c>
      <c r="N5108">
        <v>2.31542E-10</v>
      </c>
      <c r="O5108">
        <v>150</v>
      </c>
    </row>
    <row r="5109" spans="1:15" x14ac:dyDescent="0.25">
      <c r="A5109" t="s">
        <v>5122</v>
      </c>
      <c r="B5109">
        <v>178</v>
      </c>
      <c r="C5109" s="1" t="str">
        <f>HYPERLINK("http://www.rosaceae.org/gb/gbrowse/malus_x_domestica/?name=MDP0000316207","MDP0000316207")</f>
        <v>MDP0000316207</v>
      </c>
      <c r="D5109">
        <v>63</v>
      </c>
      <c r="E5109">
        <v>100</v>
      </c>
      <c r="F5109">
        <v>37</v>
      </c>
      <c r="G5109">
        <v>2</v>
      </c>
      <c r="H5109">
        <v>47</v>
      </c>
      <c r="I5109">
        <v>144</v>
      </c>
      <c r="J5109">
        <v>1</v>
      </c>
      <c r="K5109">
        <v>122</v>
      </c>
      <c r="L5109">
        <v>221</v>
      </c>
      <c r="M5109">
        <v>1</v>
      </c>
      <c r="N5109">
        <v>8.94531E-31</v>
      </c>
      <c r="O5109">
        <v>326</v>
      </c>
    </row>
    <row r="5110" spans="1:15" x14ac:dyDescent="0.25">
      <c r="A5110" t="s">
        <v>5123</v>
      </c>
      <c r="B5110">
        <v>368</v>
      </c>
      <c r="C5110" s="1" t="str">
        <f>HYPERLINK("http://www.rosaceae.org/gb/gbrowse/malus_x_domestica/?name=MDP0000188175","MDP0000188175")</f>
        <v>MDP0000188175</v>
      </c>
      <c r="D5110">
        <v>25.06</v>
      </c>
      <c r="E5110">
        <v>371</v>
      </c>
      <c r="F5110">
        <v>278</v>
      </c>
      <c r="G5110">
        <v>36</v>
      </c>
      <c r="H5110">
        <v>1</v>
      </c>
      <c r="I5110">
        <v>365</v>
      </c>
      <c r="J5110">
        <v>1</v>
      </c>
      <c r="K5110">
        <v>105</v>
      </c>
      <c r="L5110">
        <v>445</v>
      </c>
      <c r="M5110">
        <v>1</v>
      </c>
      <c r="N5110">
        <v>3.2025800000000003E-23</v>
      </c>
      <c r="O5110">
        <v>265</v>
      </c>
    </row>
    <row r="5111" spans="1:15" x14ac:dyDescent="0.25">
      <c r="A5111" t="s">
        <v>5124</v>
      </c>
      <c r="B5111">
        <v>1248</v>
      </c>
      <c r="C5111" s="1" t="str">
        <f>HYPERLINK("http://www.rosaceae.org/gb/gbrowse/malus_x_domestica/?name=MDP0000378491","MDP0000378491")</f>
        <v>MDP0000378491</v>
      </c>
      <c r="D5111">
        <v>93.14</v>
      </c>
      <c r="E5111">
        <v>277</v>
      </c>
      <c r="F5111">
        <v>19</v>
      </c>
      <c r="G5111">
        <v>0</v>
      </c>
      <c r="H5111">
        <v>972</v>
      </c>
      <c r="I5111">
        <v>1248</v>
      </c>
      <c r="J5111">
        <v>1</v>
      </c>
      <c r="K5111">
        <v>1</v>
      </c>
      <c r="L5111">
        <v>277</v>
      </c>
      <c r="M5111">
        <v>1</v>
      </c>
      <c r="N5111">
        <v>1.1963699999999999E-152</v>
      </c>
      <c r="O5111">
        <v>1387</v>
      </c>
    </row>
    <row r="5112" spans="1:15" x14ac:dyDescent="0.25">
      <c r="A5112" t="s">
        <v>5125</v>
      </c>
      <c r="B5112">
        <v>431</v>
      </c>
      <c r="C5112" s="1" t="str">
        <f>HYPERLINK("http://www.rosaceae.org/gb/gbrowse/malus_x_domestica/?name=MDP0000254177","MDP0000254177")</f>
        <v>MDP0000254177</v>
      </c>
      <c r="D5112">
        <v>61.22</v>
      </c>
      <c r="E5112">
        <v>472</v>
      </c>
      <c r="F5112">
        <v>183</v>
      </c>
      <c r="G5112">
        <v>76</v>
      </c>
      <c r="H5112">
        <v>1</v>
      </c>
      <c r="I5112">
        <v>399</v>
      </c>
      <c r="J5112">
        <v>1</v>
      </c>
      <c r="K5112">
        <v>1</v>
      </c>
      <c r="L5112">
        <v>469</v>
      </c>
      <c r="M5112">
        <v>1</v>
      </c>
      <c r="N5112">
        <v>7.2854399999999995E-150</v>
      </c>
      <c r="O5112">
        <v>1358</v>
      </c>
    </row>
    <row r="5113" spans="1:15" x14ac:dyDescent="0.25">
      <c r="A5113" t="s">
        <v>5126</v>
      </c>
      <c r="B5113">
        <v>2197</v>
      </c>
      <c r="C5113" s="1" t="str">
        <f>HYPERLINK("http://www.rosaceae.org/gb/gbrowse/malus_x_domestica/?name=MDP0000077683","MDP0000077683")</f>
        <v>MDP0000077683</v>
      </c>
      <c r="D5113">
        <v>84.55</v>
      </c>
      <c r="E5113">
        <v>2013</v>
      </c>
      <c r="F5113">
        <v>311</v>
      </c>
      <c r="G5113">
        <v>9</v>
      </c>
      <c r="H5113">
        <v>193</v>
      </c>
      <c r="I5113">
        <v>2196</v>
      </c>
      <c r="J5113">
        <v>1</v>
      </c>
      <c r="K5113">
        <v>149</v>
      </c>
      <c r="L5113">
        <v>2161</v>
      </c>
      <c r="M5113">
        <v>1</v>
      </c>
      <c r="N5113">
        <v>0</v>
      </c>
      <c r="O5113">
        <v>8933</v>
      </c>
    </row>
    <row r="5114" spans="1:15" x14ac:dyDescent="0.25">
      <c r="A5114" t="s">
        <v>5127</v>
      </c>
      <c r="B5114">
        <v>663</v>
      </c>
      <c r="C5114" s="1" t="str">
        <f>HYPERLINK("http://www.rosaceae.org/gb/gbrowse/malus_x_domestica/?name=MDP0000301119","MDP0000301119")</f>
        <v>MDP0000301119</v>
      </c>
      <c r="D5114">
        <v>77.989999999999995</v>
      </c>
      <c r="E5114">
        <v>677</v>
      </c>
      <c r="F5114">
        <v>149</v>
      </c>
      <c r="G5114">
        <v>15</v>
      </c>
      <c r="H5114">
        <v>1</v>
      </c>
      <c r="I5114">
        <v>663</v>
      </c>
      <c r="J5114">
        <v>1</v>
      </c>
      <c r="K5114">
        <v>1</v>
      </c>
      <c r="L5114">
        <v>676</v>
      </c>
      <c r="M5114">
        <v>1</v>
      </c>
      <c r="N5114">
        <v>0</v>
      </c>
      <c r="O5114">
        <v>2752</v>
      </c>
    </row>
    <row r="5115" spans="1:15" x14ac:dyDescent="0.25">
      <c r="A5115" t="s">
        <v>5128</v>
      </c>
      <c r="B5115">
        <v>431</v>
      </c>
      <c r="C5115" s="1" t="str">
        <f>HYPERLINK("http://www.rosaceae.org/gb/gbrowse/malus_x_domestica/?name=MDP0000706016","MDP0000706016")</f>
        <v>MDP0000706016</v>
      </c>
      <c r="D5115">
        <v>82.07</v>
      </c>
      <c r="E5115">
        <v>318</v>
      </c>
      <c r="F5115">
        <v>57</v>
      </c>
      <c r="G5115">
        <v>6</v>
      </c>
      <c r="H5115">
        <v>1</v>
      </c>
      <c r="I5115">
        <v>316</v>
      </c>
      <c r="J5115">
        <v>1</v>
      </c>
      <c r="K5115">
        <v>1</v>
      </c>
      <c r="L5115">
        <v>314</v>
      </c>
      <c r="M5115">
        <v>1</v>
      </c>
      <c r="N5115">
        <v>7.7280999999999998E-148</v>
      </c>
      <c r="O5115">
        <v>1341</v>
      </c>
    </row>
    <row r="5116" spans="1:15" x14ac:dyDescent="0.25">
      <c r="A5116" t="s">
        <v>5129</v>
      </c>
      <c r="B5116">
        <v>1380</v>
      </c>
      <c r="C5116" s="1" t="str">
        <f>HYPERLINK("http://www.rosaceae.org/gb/gbrowse/malus_x_domestica/?name=MDP0000156301","MDP0000156301")</f>
        <v>MDP0000156301</v>
      </c>
      <c r="D5116">
        <v>92.17</v>
      </c>
      <c r="E5116">
        <v>1380</v>
      </c>
      <c r="F5116">
        <v>108</v>
      </c>
      <c r="G5116">
        <v>0</v>
      </c>
      <c r="H5116">
        <v>1</v>
      </c>
      <c r="I5116">
        <v>1380</v>
      </c>
      <c r="J5116">
        <v>1</v>
      </c>
      <c r="K5116">
        <v>1</v>
      </c>
      <c r="L5116">
        <v>1380</v>
      </c>
      <c r="M5116">
        <v>1</v>
      </c>
      <c r="N5116">
        <v>0</v>
      </c>
      <c r="O5116">
        <v>6901</v>
      </c>
    </row>
    <row r="5117" spans="1:15" x14ac:dyDescent="0.25">
      <c r="A5117" t="s">
        <v>5130</v>
      </c>
      <c r="B5117">
        <v>314</v>
      </c>
      <c r="C5117" s="1" t="str">
        <f>HYPERLINK("http://www.rosaceae.org/gb/gbrowse/malus_x_domestica/?name=MDP0000206285","MDP0000206285")</f>
        <v>MDP0000206285</v>
      </c>
      <c r="D5117">
        <v>71.680000000000007</v>
      </c>
      <c r="E5117">
        <v>113</v>
      </c>
      <c r="F5117">
        <v>32</v>
      </c>
      <c r="G5117">
        <v>0</v>
      </c>
      <c r="H5117">
        <v>24</v>
      </c>
      <c r="I5117">
        <v>136</v>
      </c>
      <c r="J5117">
        <v>1</v>
      </c>
      <c r="K5117">
        <v>116</v>
      </c>
      <c r="L5117">
        <v>228</v>
      </c>
      <c r="M5117">
        <v>1</v>
      </c>
      <c r="N5117">
        <v>1.52188E-42</v>
      </c>
      <c r="O5117">
        <v>431</v>
      </c>
    </row>
    <row r="5118" spans="1:15" x14ac:dyDescent="0.25">
      <c r="A5118" t="s">
        <v>5131</v>
      </c>
      <c r="B5118">
        <v>455</v>
      </c>
      <c r="C5118" s="1" t="str">
        <f>HYPERLINK("http://www.rosaceae.org/gb/gbrowse/malus_x_domestica/?name=MDP0000279491","MDP0000279491")</f>
        <v>MDP0000279491</v>
      </c>
      <c r="D5118">
        <v>75.81</v>
      </c>
      <c r="E5118">
        <v>397</v>
      </c>
      <c r="F5118">
        <v>96</v>
      </c>
      <c r="G5118">
        <v>24</v>
      </c>
      <c r="H5118">
        <v>71</v>
      </c>
      <c r="I5118">
        <v>444</v>
      </c>
      <c r="J5118">
        <v>1</v>
      </c>
      <c r="K5118">
        <v>242</v>
      </c>
      <c r="L5118">
        <v>637</v>
      </c>
      <c r="M5118">
        <v>1</v>
      </c>
      <c r="N5118">
        <v>1.5192900000000001E-168</v>
      </c>
      <c r="O5118">
        <v>1520</v>
      </c>
    </row>
    <row r="5119" spans="1:15" x14ac:dyDescent="0.25">
      <c r="A5119" t="s">
        <v>5132</v>
      </c>
      <c r="B5119">
        <v>475</v>
      </c>
      <c r="C5119" s="1" t="str">
        <f>HYPERLINK("http://www.rosaceae.org/gb/gbrowse/malus_x_domestica/?name=MDP0000231207","MDP0000231207")</f>
        <v>MDP0000231207</v>
      </c>
      <c r="D5119">
        <v>73.64</v>
      </c>
      <c r="E5119">
        <v>406</v>
      </c>
      <c r="F5119">
        <v>107</v>
      </c>
      <c r="G5119">
        <v>6</v>
      </c>
      <c r="H5119">
        <v>1</v>
      </c>
      <c r="I5119">
        <v>402</v>
      </c>
      <c r="J5119">
        <v>1</v>
      </c>
      <c r="K5119">
        <v>1</v>
      </c>
      <c r="L5119">
        <v>404</v>
      </c>
      <c r="M5119">
        <v>1</v>
      </c>
      <c r="N5119">
        <v>1.9419899999999999E-176</v>
      </c>
      <c r="O5119">
        <v>1588</v>
      </c>
    </row>
    <row r="5120" spans="1:15" x14ac:dyDescent="0.25">
      <c r="A5120" t="s">
        <v>5133</v>
      </c>
      <c r="B5120">
        <v>618</v>
      </c>
      <c r="C5120" s="1" t="str">
        <f>HYPERLINK("http://www.rosaceae.org/gb/gbrowse/malus_x_domestica/?name=MDP0000181464","MDP0000181464")</f>
        <v>MDP0000181464</v>
      </c>
      <c r="D5120">
        <v>82.35</v>
      </c>
      <c r="E5120">
        <v>102</v>
      </c>
      <c r="F5120">
        <v>18</v>
      </c>
      <c r="G5120">
        <v>2</v>
      </c>
      <c r="H5120">
        <v>304</v>
      </c>
      <c r="I5120">
        <v>405</v>
      </c>
      <c r="J5120">
        <v>1</v>
      </c>
      <c r="K5120">
        <v>572</v>
      </c>
      <c r="L5120">
        <v>671</v>
      </c>
      <c r="M5120">
        <v>1</v>
      </c>
      <c r="N5120">
        <v>1.05283E-42</v>
      </c>
      <c r="O5120">
        <v>436</v>
      </c>
    </row>
    <row r="5121" spans="1:15" x14ac:dyDescent="0.25">
      <c r="A5121" t="s">
        <v>5134</v>
      </c>
      <c r="B5121">
        <v>425</v>
      </c>
      <c r="C5121" s="1" t="str">
        <f>HYPERLINK("http://www.rosaceae.org/gb/gbrowse/malus_x_domestica/?name=MDP0000251949","MDP0000251949")</f>
        <v>MDP0000251949</v>
      </c>
      <c r="D5121">
        <v>74.67</v>
      </c>
      <c r="E5121">
        <v>312</v>
      </c>
      <c r="F5121">
        <v>79</v>
      </c>
      <c r="G5121">
        <v>1</v>
      </c>
      <c r="H5121">
        <v>1</v>
      </c>
      <c r="I5121">
        <v>312</v>
      </c>
      <c r="J5121">
        <v>1</v>
      </c>
      <c r="K5121">
        <v>1</v>
      </c>
      <c r="L5121">
        <v>311</v>
      </c>
      <c r="M5121">
        <v>1</v>
      </c>
      <c r="N5121">
        <v>5.09097E-142</v>
      </c>
      <c r="O5121">
        <v>1290</v>
      </c>
    </row>
    <row r="5122" spans="1:15" x14ac:dyDescent="0.25">
      <c r="A5122" t="s">
        <v>5135</v>
      </c>
      <c r="B5122">
        <v>292</v>
      </c>
      <c r="C5122" s="1" t="str">
        <f>HYPERLINK("http://www.rosaceae.org/gb/gbrowse/malus_x_domestica/?name=MDP0000310152","MDP0000310152")</f>
        <v>MDP0000310152</v>
      </c>
      <c r="D5122">
        <v>91.28</v>
      </c>
      <c r="E5122">
        <v>264</v>
      </c>
      <c r="F5122">
        <v>23</v>
      </c>
      <c r="G5122">
        <v>0</v>
      </c>
      <c r="H5122">
        <v>29</v>
      </c>
      <c r="I5122">
        <v>292</v>
      </c>
      <c r="J5122">
        <v>1</v>
      </c>
      <c r="K5122">
        <v>292</v>
      </c>
      <c r="L5122">
        <v>555</v>
      </c>
      <c r="M5122">
        <v>1</v>
      </c>
      <c r="N5122">
        <v>1.46116E-148</v>
      </c>
      <c r="O5122">
        <v>1345</v>
      </c>
    </row>
    <row r="5123" spans="1:15" x14ac:dyDescent="0.25">
      <c r="A5123" t="s">
        <v>5136</v>
      </c>
      <c r="B5123">
        <v>240</v>
      </c>
      <c r="C5123" s="1" t="str">
        <f>HYPERLINK("http://www.rosaceae.org/gb/gbrowse/malus_x_domestica/?name=MDP0000829157","MDP0000829157")</f>
        <v>MDP0000829157</v>
      </c>
      <c r="D5123">
        <v>63.07</v>
      </c>
      <c r="E5123">
        <v>241</v>
      </c>
      <c r="F5123">
        <v>89</v>
      </c>
      <c r="G5123">
        <v>6</v>
      </c>
      <c r="H5123">
        <v>1</v>
      </c>
      <c r="I5123">
        <v>238</v>
      </c>
      <c r="J5123">
        <v>1</v>
      </c>
      <c r="K5123">
        <v>1</v>
      </c>
      <c r="L5123">
        <v>238</v>
      </c>
      <c r="M5123">
        <v>1</v>
      </c>
      <c r="N5123">
        <v>1.97082E-76</v>
      </c>
      <c r="O5123">
        <v>722</v>
      </c>
    </row>
    <row r="5124" spans="1:15" x14ac:dyDescent="0.25">
      <c r="A5124" t="s">
        <v>5137</v>
      </c>
      <c r="B5124">
        <v>496</v>
      </c>
      <c r="C5124" s="1" t="str">
        <f>HYPERLINK("http://www.rosaceae.org/gb/gbrowse/malus_x_domestica/?name=MDP0000199273","MDP0000199273")</f>
        <v>MDP0000199273</v>
      </c>
      <c r="D5124">
        <v>87.11</v>
      </c>
      <c r="E5124">
        <v>489</v>
      </c>
      <c r="F5124">
        <v>63</v>
      </c>
      <c r="G5124">
        <v>3</v>
      </c>
      <c r="H5124">
        <v>1</v>
      </c>
      <c r="I5124">
        <v>486</v>
      </c>
      <c r="J5124">
        <v>1</v>
      </c>
      <c r="K5124">
        <v>1</v>
      </c>
      <c r="L5124">
        <v>489</v>
      </c>
      <c r="M5124">
        <v>1</v>
      </c>
      <c r="N5124">
        <v>0</v>
      </c>
      <c r="O5124">
        <v>2225</v>
      </c>
    </row>
    <row r="5125" spans="1:15" x14ac:dyDescent="0.25">
      <c r="A5125" t="s">
        <v>5138</v>
      </c>
      <c r="B5125">
        <v>147</v>
      </c>
      <c r="C5125" s="1" t="str">
        <f>HYPERLINK("http://www.rosaceae.org/gb/gbrowse/malus_x_domestica/?name=MDP0000248643","MDP0000248643")</f>
        <v>MDP0000248643</v>
      </c>
      <c r="D5125">
        <v>51.57</v>
      </c>
      <c r="E5125">
        <v>95</v>
      </c>
      <c r="F5125">
        <v>46</v>
      </c>
      <c r="G5125">
        <v>0</v>
      </c>
      <c r="H5125">
        <v>13</v>
      </c>
      <c r="I5125">
        <v>107</v>
      </c>
      <c r="J5125">
        <v>1</v>
      </c>
      <c r="K5125">
        <v>61</v>
      </c>
      <c r="L5125">
        <v>155</v>
      </c>
      <c r="M5125">
        <v>1</v>
      </c>
      <c r="N5125">
        <v>8.1337899999999994E-27</v>
      </c>
      <c r="O5125">
        <v>290</v>
      </c>
    </row>
    <row r="5126" spans="1:15" x14ac:dyDescent="0.25">
      <c r="A5126" t="s">
        <v>5139</v>
      </c>
      <c r="B5126">
        <v>605</v>
      </c>
      <c r="C5126" s="1" t="str">
        <f>HYPERLINK("http://www.rosaceae.org/gb/gbrowse/malus_x_domestica/?name=MDP0000319251","MDP0000319251")</f>
        <v>MDP0000319251</v>
      </c>
      <c r="D5126">
        <v>74.819999999999993</v>
      </c>
      <c r="E5126">
        <v>425</v>
      </c>
      <c r="F5126">
        <v>107</v>
      </c>
      <c r="G5126">
        <v>7</v>
      </c>
      <c r="H5126">
        <v>131</v>
      </c>
      <c r="I5126">
        <v>551</v>
      </c>
      <c r="J5126">
        <v>1</v>
      </c>
      <c r="K5126">
        <v>1</v>
      </c>
      <c r="L5126">
        <v>422</v>
      </c>
      <c r="M5126">
        <v>1</v>
      </c>
      <c r="N5126">
        <v>9.4653000000000008E-177</v>
      </c>
      <c r="O5126">
        <v>1592</v>
      </c>
    </row>
    <row r="5127" spans="1:15" x14ac:dyDescent="0.25">
      <c r="A5127" t="s">
        <v>5140</v>
      </c>
      <c r="B5127">
        <v>101</v>
      </c>
      <c r="C5127" s="1" t="str">
        <f>HYPERLINK("http://www.rosaceae.org/gb/gbrowse/malus_x_domestica/?name=MDP0000269947","MDP0000269947")</f>
        <v>MDP0000269947</v>
      </c>
      <c r="D5127">
        <v>45</v>
      </c>
      <c r="E5127">
        <v>60</v>
      </c>
      <c r="F5127">
        <v>33</v>
      </c>
      <c r="G5127">
        <v>3</v>
      </c>
      <c r="H5127">
        <v>1</v>
      </c>
      <c r="I5127">
        <v>57</v>
      </c>
      <c r="J5127">
        <v>1</v>
      </c>
      <c r="K5127">
        <v>459</v>
      </c>
      <c r="L5127">
        <v>518</v>
      </c>
      <c r="M5127">
        <v>1</v>
      </c>
      <c r="N5127">
        <v>1.1010500000000001E-7</v>
      </c>
      <c r="O5127">
        <v>124</v>
      </c>
    </row>
    <row r="5128" spans="1:15" x14ac:dyDescent="0.25">
      <c r="A5128" t="s">
        <v>5141</v>
      </c>
      <c r="B5128">
        <v>325</v>
      </c>
      <c r="C5128" s="1" t="str">
        <f>HYPERLINK("http://www.rosaceae.org/gb/gbrowse/malus_x_domestica/?name=MDP0000275844","MDP0000275844")</f>
        <v>MDP0000275844</v>
      </c>
      <c r="D5128">
        <v>69.010000000000005</v>
      </c>
      <c r="E5128">
        <v>255</v>
      </c>
      <c r="F5128">
        <v>79</v>
      </c>
      <c r="G5128">
        <v>6</v>
      </c>
      <c r="H5128">
        <v>25</v>
      </c>
      <c r="I5128">
        <v>273</v>
      </c>
      <c r="J5128">
        <v>1</v>
      </c>
      <c r="K5128">
        <v>96</v>
      </c>
      <c r="L5128">
        <v>350</v>
      </c>
      <c r="M5128">
        <v>1</v>
      </c>
      <c r="N5128">
        <v>2.0081099999999999E-96</v>
      </c>
      <c r="O5128">
        <v>896</v>
      </c>
    </row>
    <row r="5129" spans="1:15" x14ac:dyDescent="0.25">
      <c r="A5129" t="s">
        <v>5142</v>
      </c>
      <c r="B5129">
        <v>129</v>
      </c>
      <c r="C5129" s="1" t="str">
        <f>HYPERLINK("http://www.rosaceae.org/gb/gbrowse/malus_x_domestica/?name=MDP0000275922","MDP0000275922")</f>
        <v>MDP0000275922</v>
      </c>
      <c r="D5129">
        <v>72.88</v>
      </c>
      <c r="E5129">
        <v>118</v>
      </c>
      <c r="F5129">
        <v>32</v>
      </c>
      <c r="G5129">
        <v>3</v>
      </c>
      <c r="H5129">
        <v>12</v>
      </c>
      <c r="I5129">
        <v>128</v>
      </c>
      <c r="J5129">
        <v>1</v>
      </c>
      <c r="K5129">
        <v>737</v>
      </c>
      <c r="L5129">
        <v>852</v>
      </c>
      <c r="M5129">
        <v>1</v>
      </c>
      <c r="N5129">
        <v>1.3738100000000001E-43</v>
      </c>
      <c r="O5129">
        <v>434</v>
      </c>
    </row>
    <row r="5130" spans="1:15" x14ac:dyDescent="0.25">
      <c r="A5130" t="s">
        <v>5143</v>
      </c>
      <c r="B5130">
        <v>306</v>
      </c>
      <c r="C5130" s="1" t="str">
        <f>HYPERLINK("http://www.rosaceae.org/gb/gbrowse/malus_x_domestica/?name=MDP0000260618","MDP0000260618")</f>
        <v>MDP0000260618</v>
      </c>
      <c r="D5130">
        <v>85.23</v>
      </c>
      <c r="E5130">
        <v>237</v>
      </c>
      <c r="F5130">
        <v>35</v>
      </c>
      <c r="G5130">
        <v>1</v>
      </c>
      <c r="H5130">
        <v>43</v>
      </c>
      <c r="I5130">
        <v>279</v>
      </c>
      <c r="J5130">
        <v>1</v>
      </c>
      <c r="K5130">
        <v>24</v>
      </c>
      <c r="L5130">
        <v>259</v>
      </c>
      <c r="M5130">
        <v>1</v>
      </c>
      <c r="N5130">
        <v>3.9049800000000002E-112</v>
      </c>
      <c r="O5130">
        <v>1031</v>
      </c>
    </row>
    <row r="5131" spans="1:15" x14ac:dyDescent="0.25">
      <c r="A5131" t="s">
        <v>5144</v>
      </c>
      <c r="B5131">
        <v>324</v>
      </c>
      <c r="C5131" s="1" t="str">
        <f>HYPERLINK("http://www.rosaceae.org/gb/gbrowse/malus_x_domestica/?name=MDP0000238679","MDP0000238679")</f>
        <v>MDP0000238679</v>
      </c>
      <c r="D5131">
        <v>69.180000000000007</v>
      </c>
      <c r="E5131">
        <v>318</v>
      </c>
      <c r="F5131">
        <v>98</v>
      </c>
      <c r="G5131">
        <v>8</v>
      </c>
      <c r="H5131">
        <v>1</v>
      </c>
      <c r="I5131">
        <v>312</v>
      </c>
      <c r="J5131">
        <v>1</v>
      </c>
      <c r="K5131">
        <v>1</v>
      </c>
      <c r="L5131">
        <v>316</v>
      </c>
      <c r="M5131">
        <v>1</v>
      </c>
      <c r="N5131">
        <v>2.7502299999999999E-118</v>
      </c>
      <c r="O5131">
        <v>1084</v>
      </c>
    </row>
    <row r="5132" spans="1:15" x14ac:dyDescent="0.25">
      <c r="A5132" t="s">
        <v>5145</v>
      </c>
      <c r="B5132">
        <v>557</v>
      </c>
      <c r="C5132" s="1" t="str">
        <f>HYPERLINK("http://www.rosaceae.org/gb/gbrowse/malus_x_domestica/?name=MDP0000253129","MDP0000253129")</f>
        <v>MDP0000253129</v>
      </c>
      <c r="D5132">
        <v>62.04</v>
      </c>
      <c r="E5132">
        <v>527</v>
      </c>
      <c r="F5132">
        <v>200</v>
      </c>
      <c r="G5132">
        <v>75</v>
      </c>
      <c r="H5132">
        <v>87</v>
      </c>
      <c r="I5132">
        <v>554</v>
      </c>
      <c r="J5132">
        <v>1</v>
      </c>
      <c r="K5132">
        <v>1</v>
      </c>
      <c r="L5132">
        <v>511</v>
      </c>
      <c r="M5132">
        <v>1</v>
      </c>
      <c r="N5132">
        <v>3.0128299999999999E-177</v>
      </c>
      <c r="O5132">
        <v>1596</v>
      </c>
    </row>
    <row r="5133" spans="1:15" x14ac:dyDescent="0.25">
      <c r="A5133" t="s">
        <v>5146</v>
      </c>
      <c r="B5133">
        <v>103</v>
      </c>
      <c r="C5133" s="1" t="str">
        <f>HYPERLINK("http://www.rosaceae.org/gb/gbrowse/malus_x_domestica/?name=MDP0000128695","MDP0000128695")</f>
        <v>MDP0000128695</v>
      </c>
      <c r="D5133">
        <v>63.15</v>
      </c>
      <c r="E5133">
        <v>95</v>
      </c>
      <c r="F5133">
        <v>35</v>
      </c>
      <c r="G5133">
        <v>4</v>
      </c>
      <c r="H5133">
        <v>1</v>
      </c>
      <c r="I5133">
        <v>91</v>
      </c>
      <c r="J5133">
        <v>1</v>
      </c>
      <c r="K5133">
        <v>1</v>
      </c>
      <c r="L5133">
        <v>95</v>
      </c>
      <c r="M5133">
        <v>1</v>
      </c>
      <c r="N5133">
        <v>1.1243500000000001E-27</v>
      </c>
      <c r="O5133">
        <v>296</v>
      </c>
    </row>
    <row r="5134" spans="1:15" x14ac:dyDescent="0.25">
      <c r="A5134" t="s">
        <v>5147</v>
      </c>
      <c r="B5134">
        <v>505</v>
      </c>
      <c r="C5134" s="1" t="str">
        <f>HYPERLINK("http://www.rosaceae.org/gb/gbrowse/malus_x_domestica/?name=MDP0000324559","MDP0000324559")</f>
        <v>MDP0000324559</v>
      </c>
      <c r="D5134">
        <v>86.02</v>
      </c>
      <c r="E5134">
        <v>501</v>
      </c>
      <c r="F5134">
        <v>70</v>
      </c>
      <c r="G5134">
        <v>0</v>
      </c>
      <c r="H5134">
        <v>1</v>
      </c>
      <c r="I5134">
        <v>501</v>
      </c>
      <c r="J5134">
        <v>1</v>
      </c>
      <c r="K5134">
        <v>1</v>
      </c>
      <c r="L5134">
        <v>501</v>
      </c>
      <c r="M5134">
        <v>1</v>
      </c>
      <c r="N5134">
        <v>0</v>
      </c>
      <c r="O5134">
        <v>2332</v>
      </c>
    </row>
    <row r="5135" spans="1:15" x14ac:dyDescent="0.25">
      <c r="A5135" t="s">
        <v>5148</v>
      </c>
      <c r="B5135">
        <v>253</v>
      </c>
      <c r="C5135" s="1" t="str">
        <f>HYPERLINK("http://www.rosaceae.org/gb/gbrowse/malus_x_domestica/?name=MDP0000460051","MDP0000460051")</f>
        <v>MDP0000460051</v>
      </c>
      <c r="D5135">
        <v>75.790000000000006</v>
      </c>
      <c r="E5135">
        <v>252</v>
      </c>
      <c r="F5135">
        <v>61</v>
      </c>
      <c r="G5135">
        <v>0</v>
      </c>
      <c r="H5135">
        <v>1</v>
      </c>
      <c r="I5135">
        <v>252</v>
      </c>
      <c r="J5135">
        <v>1</v>
      </c>
      <c r="K5135">
        <v>49</v>
      </c>
      <c r="L5135">
        <v>300</v>
      </c>
      <c r="M5135">
        <v>1</v>
      </c>
      <c r="N5135">
        <v>6.5736099999999997E-106</v>
      </c>
      <c r="O5135">
        <v>976</v>
      </c>
    </row>
    <row r="5136" spans="1:15" x14ac:dyDescent="0.25">
      <c r="A5136" t="s">
        <v>5149</v>
      </c>
      <c r="B5136">
        <v>357</v>
      </c>
      <c r="C5136" s="1" t="str">
        <f>HYPERLINK("http://www.rosaceae.org/gb/gbrowse/malus_x_domestica/?name=MDP0000136755","MDP0000136755")</f>
        <v>MDP0000136755</v>
      </c>
      <c r="D5136">
        <v>89.76</v>
      </c>
      <c r="E5136">
        <v>303</v>
      </c>
      <c r="F5136">
        <v>31</v>
      </c>
      <c r="G5136">
        <v>0</v>
      </c>
      <c r="H5136">
        <v>55</v>
      </c>
      <c r="I5136">
        <v>357</v>
      </c>
      <c r="J5136">
        <v>1</v>
      </c>
      <c r="K5136">
        <v>319</v>
      </c>
      <c r="L5136">
        <v>621</v>
      </c>
      <c r="M5136">
        <v>1</v>
      </c>
      <c r="N5136">
        <v>1.3249600000000001E-157</v>
      </c>
      <c r="O5136">
        <v>1424</v>
      </c>
    </row>
    <row r="5137" spans="1:15" x14ac:dyDescent="0.25">
      <c r="A5137" t="s">
        <v>5150</v>
      </c>
      <c r="B5137">
        <v>851</v>
      </c>
      <c r="C5137" s="1" t="str">
        <f>HYPERLINK("http://www.rosaceae.org/gb/gbrowse/malus_x_domestica/?name=MDP0000295666","MDP0000295666")</f>
        <v>MDP0000295666</v>
      </c>
      <c r="D5137">
        <v>50</v>
      </c>
      <c r="E5137">
        <v>724</v>
      </c>
      <c r="F5137">
        <v>362</v>
      </c>
      <c r="G5137">
        <v>88</v>
      </c>
      <c r="H5137">
        <v>36</v>
      </c>
      <c r="I5137">
        <v>723</v>
      </c>
      <c r="J5137">
        <v>1</v>
      </c>
      <c r="K5137">
        <v>113</v>
      </c>
      <c r="L5137">
        <v>784</v>
      </c>
      <c r="M5137">
        <v>1</v>
      </c>
      <c r="N5137">
        <v>0</v>
      </c>
      <c r="O5137">
        <v>1669</v>
      </c>
    </row>
    <row r="5138" spans="1:15" x14ac:dyDescent="0.25">
      <c r="A5138" t="s">
        <v>5151</v>
      </c>
      <c r="B5138">
        <v>184</v>
      </c>
      <c r="C5138" s="1" t="str">
        <f>HYPERLINK("http://www.rosaceae.org/gb/gbrowse/malus_x_domestica/?name=MDP0000167286","MDP0000167286")</f>
        <v>MDP0000167286</v>
      </c>
      <c r="D5138">
        <v>95.93</v>
      </c>
      <c r="E5138">
        <v>172</v>
      </c>
      <c r="F5138">
        <v>7</v>
      </c>
      <c r="G5138">
        <v>0</v>
      </c>
      <c r="H5138">
        <v>1</v>
      </c>
      <c r="I5138">
        <v>172</v>
      </c>
      <c r="J5138">
        <v>1</v>
      </c>
      <c r="K5138">
        <v>265</v>
      </c>
      <c r="L5138">
        <v>436</v>
      </c>
      <c r="M5138">
        <v>1</v>
      </c>
      <c r="N5138">
        <v>1.0091099999999999E-91</v>
      </c>
      <c r="O5138">
        <v>852</v>
      </c>
    </row>
    <row r="5139" spans="1:15" x14ac:dyDescent="0.25">
      <c r="A5139" t="s">
        <v>5152</v>
      </c>
      <c r="B5139">
        <v>382</v>
      </c>
      <c r="C5139" s="1" t="str">
        <f>HYPERLINK("http://www.rosaceae.org/gb/gbrowse/malus_x_domestica/?name=MDP0000265189","MDP0000265189")</f>
        <v>MDP0000265189</v>
      </c>
      <c r="D5139">
        <v>68.400000000000006</v>
      </c>
      <c r="E5139">
        <v>345</v>
      </c>
      <c r="F5139">
        <v>109</v>
      </c>
      <c r="G5139">
        <v>5</v>
      </c>
      <c r="H5139">
        <v>38</v>
      </c>
      <c r="I5139">
        <v>380</v>
      </c>
      <c r="J5139">
        <v>1</v>
      </c>
      <c r="K5139">
        <v>37</v>
      </c>
      <c r="L5139">
        <v>378</v>
      </c>
      <c r="M5139">
        <v>1</v>
      </c>
      <c r="N5139">
        <v>1.1126200000000001E-136</v>
      </c>
      <c r="O5139">
        <v>1244</v>
      </c>
    </row>
    <row r="5140" spans="1:15" x14ac:dyDescent="0.25">
      <c r="A5140" t="s">
        <v>5153</v>
      </c>
      <c r="B5140">
        <v>150</v>
      </c>
      <c r="C5140" s="1" t="str">
        <f>HYPERLINK("http://www.rosaceae.org/gb/gbrowse/malus_x_domestica/?name=MDP0000295767","MDP0000295767")</f>
        <v>MDP0000295767</v>
      </c>
      <c r="D5140">
        <v>47.14</v>
      </c>
      <c r="E5140">
        <v>70</v>
      </c>
      <c r="F5140">
        <v>37</v>
      </c>
      <c r="G5140">
        <v>1</v>
      </c>
      <c r="H5140">
        <v>51</v>
      </c>
      <c r="I5140">
        <v>120</v>
      </c>
      <c r="J5140">
        <v>1</v>
      </c>
      <c r="K5140">
        <v>142</v>
      </c>
      <c r="L5140">
        <v>210</v>
      </c>
      <c r="M5140">
        <v>1</v>
      </c>
      <c r="N5140">
        <v>1.8133100000000001E-12</v>
      </c>
      <c r="O5140">
        <v>167</v>
      </c>
    </row>
    <row r="5141" spans="1:15" x14ac:dyDescent="0.25">
      <c r="A5141" t="s">
        <v>5154</v>
      </c>
      <c r="B5141">
        <v>369</v>
      </c>
      <c r="C5141" s="1" t="str">
        <f>HYPERLINK("http://www.rosaceae.org/gb/gbrowse/malus_x_domestica/?name=MDP0000138826","MDP0000138826")</f>
        <v>MDP0000138826</v>
      </c>
      <c r="D5141">
        <v>41.06</v>
      </c>
      <c r="E5141">
        <v>375</v>
      </c>
      <c r="F5141">
        <v>221</v>
      </c>
      <c r="G5141">
        <v>38</v>
      </c>
      <c r="H5141">
        <v>19</v>
      </c>
      <c r="I5141">
        <v>368</v>
      </c>
      <c r="J5141">
        <v>1</v>
      </c>
      <c r="K5141">
        <v>87</v>
      </c>
      <c r="L5141">
        <v>448</v>
      </c>
      <c r="M5141">
        <v>1</v>
      </c>
      <c r="N5141">
        <v>7.1654399999999999E-50</v>
      </c>
      <c r="O5141">
        <v>495</v>
      </c>
    </row>
    <row r="5142" spans="1:15" x14ac:dyDescent="0.25">
      <c r="A5142" t="s">
        <v>5155</v>
      </c>
      <c r="B5142">
        <v>341</v>
      </c>
      <c r="C5142" s="1" t="str">
        <f>HYPERLINK("http://www.rosaceae.org/gb/gbrowse/malus_x_domestica/?name=MDP0000323076","MDP0000323076")</f>
        <v>MDP0000323076</v>
      </c>
      <c r="D5142">
        <v>75.64</v>
      </c>
      <c r="E5142">
        <v>349</v>
      </c>
      <c r="F5142">
        <v>85</v>
      </c>
      <c r="G5142">
        <v>11</v>
      </c>
      <c r="H5142">
        <v>1</v>
      </c>
      <c r="I5142">
        <v>341</v>
      </c>
      <c r="J5142">
        <v>1</v>
      </c>
      <c r="K5142">
        <v>1</v>
      </c>
      <c r="L5142">
        <v>346</v>
      </c>
      <c r="M5142">
        <v>1</v>
      </c>
      <c r="N5142">
        <v>7.0432199999999999E-153</v>
      </c>
      <c r="O5142">
        <v>1383</v>
      </c>
    </row>
    <row r="5143" spans="1:15" x14ac:dyDescent="0.25">
      <c r="A5143" t="s">
        <v>5156</v>
      </c>
      <c r="B5143">
        <v>287</v>
      </c>
      <c r="C5143" s="1" t="str">
        <f>HYPERLINK("http://www.rosaceae.org/gb/gbrowse/malus_x_domestica/?name=MDP0000136718","MDP0000136718")</f>
        <v>MDP0000136718</v>
      </c>
      <c r="D5143">
        <v>56.12</v>
      </c>
      <c r="E5143">
        <v>253</v>
      </c>
      <c r="F5143">
        <v>111</v>
      </c>
      <c r="G5143">
        <v>2</v>
      </c>
      <c r="H5143">
        <v>4</v>
      </c>
      <c r="I5143">
        <v>255</v>
      </c>
      <c r="J5143">
        <v>1</v>
      </c>
      <c r="K5143">
        <v>130</v>
      </c>
      <c r="L5143">
        <v>381</v>
      </c>
      <c r="M5143">
        <v>1</v>
      </c>
      <c r="N5143">
        <v>1.1898499999999999E-76</v>
      </c>
      <c r="O5143">
        <v>725</v>
      </c>
    </row>
    <row r="5144" spans="1:15" x14ac:dyDescent="0.25">
      <c r="A5144" t="s">
        <v>5157</v>
      </c>
      <c r="B5144">
        <v>375</v>
      </c>
      <c r="C5144" s="1" t="str">
        <f>HYPERLINK("http://www.rosaceae.org/gb/gbrowse/malus_x_domestica/?name=MDP0000312342","MDP0000312342")</f>
        <v>MDP0000312342</v>
      </c>
      <c r="D5144">
        <v>28.04</v>
      </c>
      <c r="E5144">
        <v>328</v>
      </c>
      <c r="F5144">
        <v>236</v>
      </c>
      <c r="G5144">
        <v>58</v>
      </c>
      <c r="H5144">
        <v>7</v>
      </c>
      <c r="I5144">
        <v>307</v>
      </c>
      <c r="J5144">
        <v>1</v>
      </c>
      <c r="K5144">
        <v>5</v>
      </c>
      <c r="L5144">
        <v>301</v>
      </c>
      <c r="M5144">
        <v>1</v>
      </c>
      <c r="N5144">
        <v>9.4838699999999995E-24</v>
      </c>
      <c r="O5144">
        <v>270</v>
      </c>
    </row>
    <row r="5145" spans="1:15" x14ac:dyDescent="0.25">
      <c r="A5145" t="s">
        <v>5158</v>
      </c>
      <c r="B5145">
        <v>749</v>
      </c>
      <c r="C5145" s="1" t="str">
        <f>HYPERLINK("http://www.rosaceae.org/gb/gbrowse/malus_x_domestica/?name=MDP0000435782","MDP0000435782")</f>
        <v>MDP0000435782</v>
      </c>
      <c r="D5145">
        <v>53.88</v>
      </c>
      <c r="E5145">
        <v>746</v>
      </c>
      <c r="F5145">
        <v>344</v>
      </c>
      <c r="G5145">
        <v>42</v>
      </c>
      <c r="H5145">
        <v>1</v>
      </c>
      <c r="I5145">
        <v>707</v>
      </c>
      <c r="J5145">
        <v>1</v>
      </c>
      <c r="K5145">
        <v>64</v>
      </c>
      <c r="L5145">
        <v>806</v>
      </c>
      <c r="M5145">
        <v>1</v>
      </c>
      <c r="N5145">
        <v>0</v>
      </c>
      <c r="O5145">
        <v>1936</v>
      </c>
    </row>
    <row r="5146" spans="1:15" x14ac:dyDescent="0.25">
      <c r="A5146" t="s">
        <v>5159</v>
      </c>
      <c r="B5146">
        <v>318</v>
      </c>
      <c r="C5146" s="1" t="str">
        <f>HYPERLINK("http://www.rosaceae.org/gb/gbrowse/malus_x_domestica/?name=MDP0000273963","MDP0000273963")</f>
        <v>MDP0000273963</v>
      </c>
      <c r="D5146">
        <v>73.16</v>
      </c>
      <c r="E5146">
        <v>272</v>
      </c>
      <c r="F5146">
        <v>73</v>
      </c>
      <c r="G5146">
        <v>21</v>
      </c>
      <c r="H5146">
        <v>29</v>
      </c>
      <c r="I5146">
        <v>299</v>
      </c>
      <c r="J5146">
        <v>1</v>
      </c>
      <c r="K5146">
        <v>491</v>
      </c>
      <c r="L5146">
        <v>742</v>
      </c>
      <c r="M5146">
        <v>1</v>
      </c>
      <c r="N5146">
        <v>1.8137399999999999E-106</v>
      </c>
      <c r="O5146">
        <v>982</v>
      </c>
    </row>
    <row r="5147" spans="1:15" x14ac:dyDescent="0.25">
      <c r="A5147" t="s">
        <v>5160</v>
      </c>
      <c r="B5147">
        <v>837</v>
      </c>
      <c r="C5147" s="1" t="str">
        <f>HYPERLINK("http://www.rosaceae.org/gb/gbrowse/malus_x_domestica/?name=MDP0000781809","MDP0000781809")</f>
        <v>MDP0000781809</v>
      </c>
      <c r="D5147">
        <v>69.540000000000006</v>
      </c>
      <c r="E5147">
        <v>417</v>
      </c>
      <c r="F5147">
        <v>127</v>
      </c>
      <c r="G5147">
        <v>52</v>
      </c>
      <c r="H5147">
        <v>1</v>
      </c>
      <c r="I5147">
        <v>367</v>
      </c>
      <c r="J5147">
        <v>1</v>
      </c>
      <c r="K5147">
        <v>1</v>
      </c>
      <c r="L5147">
        <v>415</v>
      </c>
      <c r="M5147">
        <v>1</v>
      </c>
      <c r="N5147">
        <v>7.7267999999999995E-161</v>
      </c>
      <c r="O5147">
        <v>1456</v>
      </c>
    </row>
    <row r="5148" spans="1:15" x14ac:dyDescent="0.25">
      <c r="A5148" t="s">
        <v>5161</v>
      </c>
      <c r="B5148">
        <v>662</v>
      </c>
      <c r="C5148" s="1" t="str">
        <f>HYPERLINK("http://www.rosaceae.org/gb/gbrowse/malus_x_domestica/?name=MDP0000204889","MDP0000204889")</f>
        <v>MDP0000204889</v>
      </c>
      <c r="D5148">
        <v>64.39</v>
      </c>
      <c r="E5148">
        <v>615</v>
      </c>
      <c r="F5148">
        <v>219</v>
      </c>
      <c r="G5148">
        <v>56</v>
      </c>
      <c r="H5148">
        <v>1</v>
      </c>
      <c r="I5148">
        <v>596</v>
      </c>
      <c r="J5148">
        <v>1</v>
      </c>
      <c r="K5148">
        <v>1</v>
      </c>
      <c r="L5148">
        <v>578</v>
      </c>
      <c r="M5148">
        <v>1</v>
      </c>
      <c r="N5148">
        <v>0</v>
      </c>
      <c r="O5148">
        <v>1845</v>
      </c>
    </row>
    <row r="5149" spans="1:15" x14ac:dyDescent="0.25">
      <c r="A5149" t="s">
        <v>5162</v>
      </c>
      <c r="B5149">
        <v>370</v>
      </c>
      <c r="C5149" s="1" t="str">
        <f>HYPERLINK("http://www.rosaceae.org/gb/gbrowse/malus_x_domestica/?name=MDP0000287423","MDP0000287423")</f>
        <v>MDP0000287423</v>
      </c>
      <c r="D5149">
        <v>73.36</v>
      </c>
      <c r="E5149">
        <v>368</v>
      </c>
      <c r="F5149">
        <v>98</v>
      </c>
      <c r="G5149">
        <v>1</v>
      </c>
      <c r="H5149">
        <v>3</v>
      </c>
      <c r="I5149">
        <v>370</v>
      </c>
      <c r="J5149">
        <v>1</v>
      </c>
      <c r="K5149">
        <v>2</v>
      </c>
      <c r="L5149">
        <v>368</v>
      </c>
      <c r="M5149">
        <v>1</v>
      </c>
      <c r="N5149">
        <v>2.9745699999999998E-160</v>
      </c>
      <c r="O5149">
        <v>1447</v>
      </c>
    </row>
    <row r="5150" spans="1:15" x14ac:dyDescent="0.25">
      <c r="A5150" t="s">
        <v>5163</v>
      </c>
      <c r="B5150">
        <v>137</v>
      </c>
      <c r="C5150" s="1" t="str">
        <f>HYPERLINK("http://www.rosaceae.org/gb/gbrowse/malus_x_domestica/?name=MDP0000209866","MDP0000209866")</f>
        <v>MDP0000209866</v>
      </c>
      <c r="D5150">
        <v>42.27</v>
      </c>
      <c r="E5150">
        <v>123</v>
      </c>
      <c r="F5150">
        <v>71</v>
      </c>
      <c r="G5150">
        <v>9</v>
      </c>
      <c r="H5150">
        <v>23</v>
      </c>
      <c r="I5150">
        <v>137</v>
      </c>
      <c r="J5150">
        <v>1</v>
      </c>
      <c r="K5150">
        <v>20</v>
      </c>
      <c r="L5150">
        <v>141</v>
      </c>
      <c r="M5150">
        <v>1</v>
      </c>
      <c r="N5150">
        <v>7.14645E-20</v>
      </c>
      <c r="O5150">
        <v>230</v>
      </c>
    </row>
    <row r="5151" spans="1:15" x14ac:dyDescent="0.25">
      <c r="A5151" t="s">
        <v>5164</v>
      </c>
      <c r="B5151">
        <v>376</v>
      </c>
      <c r="C5151" s="1" t="str">
        <f>HYPERLINK("http://www.rosaceae.org/gb/gbrowse/malus_x_domestica/?name=MDP0000613111","MDP0000613111")</f>
        <v>MDP0000613111</v>
      </c>
      <c r="D5151">
        <v>44.52</v>
      </c>
      <c r="E5151">
        <v>137</v>
      </c>
      <c r="F5151">
        <v>76</v>
      </c>
      <c r="G5151">
        <v>0</v>
      </c>
      <c r="H5151">
        <v>169</v>
      </c>
      <c r="I5151">
        <v>305</v>
      </c>
      <c r="J5151">
        <v>1</v>
      </c>
      <c r="K5151">
        <v>692</v>
      </c>
      <c r="L5151">
        <v>828</v>
      </c>
      <c r="M5151">
        <v>1</v>
      </c>
      <c r="N5151">
        <v>5.3034499999999999E-27</v>
      </c>
      <c r="O5151">
        <v>298</v>
      </c>
    </row>
    <row r="5152" spans="1:15" x14ac:dyDescent="0.25">
      <c r="A5152" t="s">
        <v>5165</v>
      </c>
      <c r="B5152">
        <v>186</v>
      </c>
      <c r="C5152" s="1" t="str">
        <f>HYPERLINK("http://www.rosaceae.org/gb/gbrowse/malus_x_domestica/?name=MDP0000252251","MDP0000252251")</f>
        <v>MDP0000252251</v>
      </c>
      <c r="D5152">
        <v>36.19</v>
      </c>
      <c r="E5152">
        <v>163</v>
      </c>
      <c r="F5152">
        <v>104</v>
      </c>
      <c r="G5152">
        <v>13</v>
      </c>
      <c r="H5152">
        <v>7</v>
      </c>
      <c r="I5152">
        <v>161</v>
      </c>
      <c r="J5152">
        <v>1</v>
      </c>
      <c r="K5152">
        <v>387</v>
      </c>
      <c r="L5152">
        <v>544</v>
      </c>
      <c r="M5152">
        <v>1</v>
      </c>
      <c r="N5152">
        <v>1.7550699999999999E-16</v>
      </c>
      <c r="O5152">
        <v>203</v>
      </c>
    </row>
    <row r="5153" spans="1:15" x14ac:dyDescent="0.25">
      <c r="A5153" t="s">
        <v>5166</v>
      </c>
      <c r="B5153">
        <v>758</v>
      </c>
      <c r="C5153" s="1" t="str">
        <f>HYPERLINK("http://www.rosaceae.org/gb/gbrowse/malus_x_domestica/?name=MDP0000157382","MDP0000157382")</f>
        <v>MDP0000157382</v>
      </c>
      <c r="D5153">
        <v>34.67</v>
      </c>
      <c r="E5153">
        <v>545</v>
      </c>
      <c r="F5153">
        <v>356</v>
      </c>
      <c r="G5153">
        <v>75</v>
      </c>
      <c r="H5153">
        <v>226</v>
      </c>
      <c r="I5153">
        <v>740</v>
      </c>
      <c r="J5153">
        <v>1</v>
      </c>
      <c r="K5153">
        <v>86</v>
      </c>
      <c r="L5153">
        <v>585</v>
      </c>
      <c r="M5153">
        <v>1</v>
      </c>
      <c r="N5153">
        <v>7.6479499999999998E-76</v>
      </c>
      <c r="O5153">
        <v>722</v>
      </c>
    </row>
    <row r="5154" spans="1:15" x14ac:dyDescent="0.25">
      <c r="A5154" t="s">
        <v>5167</v>
      </c>
      <c r="B5154">
        <v>739</v>
      </c>
      <c r="C5154" s="1" t="str">
        <f>HYPERLINK("http://www.rosaceae.org/gb/gbrowse/malus_x_domestica/?name=MDP0000174358","MDP0000174358")</f>
        <v>MDP0000174358</v>
      </c>
      <c r="D5154">
        <v>87.03</v>
      </c>
      <c r="E5154">
        <v>324</v>
      </c>
      <c r="F5154">
        <v>42</v>
      </c>
      <c r="G5154">
        <v>2</v>
      </c>
      <c r="H5154">
        <v>51</v>
      </c>
      <c r="I5154">
        <v>372</v>
      </c>
      <c r="J5154">
        <v>1</v>
      </c>
      <c r="K5154">
        <v>1</v>
      </c>
      <c r="L5154">
        <v>324</v>
      </c>
      <c r="M5154">
        <v>1</v>
      </c>
      <c r="N5154">
        <v>2.4693E-160</v>
      </c>
      <c r="O5154">
        <v>1451</v>
      </c>
    </row>
    <row r="5155" spans="1:15" x14ac:dyDescent="0.25">
      <c r="A5155" t="s">
        <v>5168</v>
      </c>
      <c r="B5155">
        <v>654</v>
      </c>
      <c r="C5155" s="1" t="str">
        <f>HYPERLINK("http://www.rosaceae.org/gb/gbrowse/malus_x_domestica/?name=MDP0000262766","MDP0000262766")</f>
        <v>MDP0000262766</v>
      </c>
      <c r="D5155">
        <v>59.76</v>
      </c>
      <c r="E5155">
        <v>604</v>
      </c>
      <c r="F5155">
        <v>243</v>
      </c>
      <c r="G5155">
        <v>58</v>
      </c>
      <c r="H5155">
        <v>3</v>
      </c>
      <c r="I5155">
        <v>566</v>
      </c>
      <c r="J5155">
        <v>1</v>
      </c>
      <c r="K5155">
        <v>20</v>
      </c>
      <c r="L5155">
        <v>605</v>
      </c>
      <c r="M5155">
        <v>1</v>
      </c>
      <c r="N5155">
        <v>0</v>
      </c>
      <c r="O5155">
        <v>1700</v>
      </c>
    </row>
    <row r="5156" spans="1:15" x14ac:dyDescent="0.25">
      <c r="A5156" t="s">
        <v>5169</v>
      </c>
      <c r="B5156">
        <v>632</v>
      </c>
      <c r="C5156" s="1" t="str">
        <f>HYPERLINK("http://www.rosaceae.org/gb/gbrowse/malus_x_domestica/?name=MDP0000775682","MDP0000775682")</f>
        <v>MDP0000775682</v>
      </c>
      <c r="D5156">
        <v>63.88</v>
      </c>
      <c r="E5156">
        <v>504</v>
      </c>
      <c r="F5156">
        <v>182</v>
      </c>
      <c r="G5156">
        <v>56</v>
      </c>
      <c r="H5156">
        <v>147</v>
      </c>
      <c r="I5156">
        <v>597</v>
      </c>
      <c r="J5156">
        <v>1</v>
      </c>
      <c r="K5156">
        <v>1</v>
      </c>
      <c r="L5156">
        <v>501</v>
      </c>
      <c r="M5156">
        <v>1</v>
      </c>
      <c r="N5156">
        <v>1.16284E-176</v>
      </c>
      <c r="O5156">
        <v>1591</v>
      </c>
    </row>
    <row r="5157" spans="1:15" x14ac:dyDescent="0.25">
      <c r="A5157" t="s">
        <v>5170</v>
      </c>
      <c r="B5157">
        <v>488</v>
      </c>
      <c r="C5157" s="1" t="str">
        <f>HYPERLINK("http://www.rosaceae.org/gb/gbrowse/malus_x_domestica/?name=MDP0000186402","MDP0000186402")</f>
        <v>MDP0000186402</v>
      </c>
      <c r="D5157">
        <v>27.06</v>
      </c>
      <c r="E5157">
        <v>399</v>
      </c>
      <c r="F5157">
        <v>291</v>
      </c>
      <c r="G5157">
        <v>80</v>
      </c>
      <c r="H5157">
        <v>54</v>
      </c>
      <c r="I5157">
        <v>380</v>
      </c>
      <c r="J5157">
        <v>1</v>
      </c>
      <c r="K5157">
        <v>115</v>
      </c>
      <c r="L5157">
        <v>505</v>
      </c>
      <c r="M5157">
        <v>1</v>
      </c>
      <c r="N5157">
        <v>1.3603600000000001E-27</v>
      </c>
      <c r="O5157">
        <v>304</v>
      </c>
    </row>
    <row r="5158" spans="1:15" x14ac:dyDescent="0.25">
      <c r="A5158" t="s">
        <v>5171</v>
      </c>
      <c r="B5158">
        <v>698</v>
      </c>
      <c r="C5158" s="1" t="str">
        <f>HYPERLINK("http://www.rosaceae.org/gb/gbrowse/malus_x_domestica/?name=MDP0000252034","MDP0000252034")</f>
        <v>MDP0000252034</v>
      </c>
      <c r="D5158">
        <v>62.32</v>
      </c>
      <c r="E5158">
        <v>706</v>
      </c>
      <c r="F5158">
        <v>266</v>
      </c>
      <c r="G5158">
        <v>60</v>
      </c>
      <c r="H5158">
        <v>20</v>
      </c>
      <c r="I5158">
        <v>698</v>
      </c>
      <c r="J5158">
        <v>1</v>
      </c>
      <c r="K5158">
        <v>83</v>
      </c>
      <c r="L5158">
        <v>755</v>
      </c>
      <c r="M5158">
        <v>1</v>
      </c>
      <c r="N5158">
        <v>0</v>
      </c>
      <c r="O5158">
        <v>1913</v>
      </c>
    </row>
    <row r="5159" spans="1:15" x14ac:dyDescent="0.25">
      <c r="A5159" t="s">
        <v>5172</v>
      </c>
      <c r="B5159">
        <v>464</v>
      </c>
      <c r="C5159" s="1" t="str">
        <f>HYPERLINK("http://www.rosaceae.org/gb/gbrowse/malus_x_domestica/?name=MDP0000128380","MDP0000128380")</f>
        <v>MDP0000128380</v>
      </c>
      <c r="D5159">
        <v>80.290000000000006</v>
      </c>
      <c r="E5159">
        <v>472</v>
      </c>
      <c r="F5159">
        <v>93</v>
      </c>
      <c r="G5159">
        <v>10</v>
      </c>
      <c r="H5159">
        <v>1</v>
      </c>
      <c r="I5159">
        <v>462</v>
      </c>
      <c r="J5159">
        <v>1</v>
      </c>
      <c r="K5159">
        <v>1</v>
      </c>
      <c r="L5159">
        <v>472</v>
      </c>
      <c r="M5159">
        <v>1</v>
      </c>
      <c r="N5159">
        <v>0</v>
      </c>
      <c r="O5159">
        <v>2089</v>
      </c>
    </row>
    <row r="5160" spans="1:15" x14ac:dyDescent="0.25">
      <c r="A5160" t="s">
        <v>5173</v>
      </c>
      <c r="B5160">
        <v>304</v>
      </c>
      <c r="C5160" s="1" t="str">
        <f>HYPERLINK("http://www.rosaceae.org/gb/gbrowse/malus_x_domestica/?name=MDP0000228370","MDP0000228370")</f>
        <v>MDP0000228370</v>
      </c>
      <c r="D5160">
        <v>51.5</v>
      </c>
      <c r="E5160">
        <v>332</v>
      </c>
      <c r="F5160">
        <v>161</v>
      </c>
      <c r="G5160">
        <v>38</v>
      </c>
      <c r="H5160">
        <v>1</v>
      </c>
      <c r="I5160">
        <v>295</v>
      </c>
      <c r="J5160">
        <v>1</v>
      </c>
      <c r="K5160">
        <v>1</v>
      </c>
      <c r="L5160">
        <v>331</v>
      </c>
      <c r="M5160">
        <v>1</v>
      </c>
      <c r="N5160">
        <v>3.3805800000000001E-86</v>
      </c>
      <c r="O5160">
        <v>807</v>
      </c>
    </row>
    <row r="5161" spans="1:15" x14ac:dyDescent="0.25">
      <c r="A5161" t="s">
        <v>5174</v>
      </c>
      <c r="B5161">
        <v>439</v>
      </c>
      <c r="C5161" s="1" t="str">
        <f>HYPERLINK("http://www.rosaceae.org/gb/gbrowse/malus_x_domestica/?name=MDP0000213757","MDP0000213757")</f>
        <v>MDP0000213757</v>
      </c>
      <c r="D5161">
        <v>84.44</v>
      </c>
      <c r="E5161">
        <v>315</v>
      </c>
      <c r="F5161">
        <v>49</v>
      </c>
      <c r="G5161">
        <v>7</v>
      </c>
      <c r="H5161">
        <v>113</v>
      </c>
      <c r="I5161">
        <v>421</v>
      </c>
      <c r="J5161">
        <v>1</v>
      </c>
      <c r="K5161">
        <v>23</v>
      </c>
      <c r="L5161">
        <v>336</v>
      </c>
      <c r="M5161">
        <v>1</v>
      </c>
      <c r="N5161">
        <v>3.2073499999999997E-157</v>
      </c>
      <c r="O5161">
        <v>1422</v>
      </c>
    </row>
    <row r="5162" spans="1:15" x14ac:dyDescent="0.25">
      <c r="A5162" t="s">
        <v>5175</v>
      </c>
      <c r="B5162">
        <v>583</v>
      </c>
      <c r="C5162" s="1" t="str">
        <f>HYPERLINK("http://www.rosaceae.org/gb/gbrowse/malus_x_domestica/?name=MDP0000658711","MDP0000658711")</f>
        <v>MDP0000658711</v>
      </c>
      <c r="D5162">
        <v>78.14</v>
      </c>
      <c r="E5162">
        <v>581</v>
      </c>
      <c r="F5162">
        <v>127</v>
      </c>
      <c r="G5162">
        <v>0</v>
      </c>
      <c r="H5162">
        <v>3</v>
      </c>
      <c r="I5162">
        <v>583</v>
      </c>
      <c r="J5162">
        <v>1</v>
      </c>
      <c r="K5162">
        <v>22</v>
      </c>
      <c r="L5162">
        <v>602</v>
      </c>
      <c r="M5162">
        <v>1</v>
      </c>
      <c r="N5162">
        <v>0</v>
      </c>
      <c r="O5162">
        <v>2469</v>
      </c>
    </row>
    <row r="5163" spans="1:15" x14ac:dyDescent="0.25">
      <c r="A5163" t="s">
        <v>5176</v>
      </c>
      <c r="B5163">
        <v>308</v>
      </c>
      <c r="C5163" s="1" t="str">
        <f>HYPERLINK("http://www.rosaceae.org/gb/gbrowse/malus_x_domestica/?name=MDP0000238339","MDP0000238339")</f>
        <v>MDP0000238339</v>
      </c>
      <c r="D5163">
        <v>70.62</v>
      </c>
      <c r="E5163">
        <v>320</v>
      </c>
      <c r="F5163">
        <v>94</v>
      </c>
      <c r="G5163">
        <v>15</v>
      </c>
      <c r="H5163">
        <v>1</v>
      </c>
      <c r="I5163">
        <v>306</v>
      </c>
      <c r="J5163">
        <v>1</v>
      </c>
      <c r="K5163">
        <v>1</v>
      </c>
      <c r="L5163">
        <v>319</v>
      </c>
      <c r="M5163">
        <v>1</v>
      </c>
      <c r="N5163">
        <v>3.8982399999999998E-123</v>
      </c>
      <c r="O5163">
        <v>1126</v>
      </c>
    </row>
    <row r="5164" spans="1:15" x14ac:dyDescent="0.25">
      <c r="A5164" t="s">
        <v>5177</v>
      </c>
      <c r="B5164">
        <v>353</v>
      </c>
      <c r="C5164" s="1" t="str">
        <f>HYPERLINK("http://www.rosaceae.org/gb/gbrowse/malus_x_domestica/?name=MDP0000157163","MDP0000157163")</f>
        <v>MDP0000157163</v>
      </c>
      <c r="D5164">
        <v>48.46</v>
      </c>
      <c r="E5164">
        <v>196</v>
      </c>
      <c r="F5164">
        <v>101</v>
      </c>
      <c r="G5164">
        <v>13</v>
      </c>
      <c r="H5164">
        <v>10</v>
      </c>
      <c r="I5164">
        <v>203</v>
      </c>
      <c r="J5164">
        <v>1</v>
      </c>
      <c r="K5164">
        <v>15</v>
      </c>
      <c r="L5164">
        <v>199</v>
      </c>
      <c r="M5164">
        <v>1</v>
      </c>
      <c r="N5164">
        <v>2.8077599999999999E-42</v>
      </c>
      <c r="O5164">
        <v>429</v>
      </c>
    </row>
    <row r="5165" spans="1:15" x14ac:dyDescent="0.25">
      <c r="A5165" t="s">
        <v>5178</v>
      </c>
      <c r="B5165">
        <v>198</v>
      </c>
      <c r="C5165" s="1" t="str">
        <f>HYPERLINK("http://www.rosaceae.org/gb/gbrowse/malus_x_domestica/?name=MDP0000296877","MDP0000296877")</f>
        <v>MDP0000296877</v>
      </c>
      <c r="D5165">
        <v>48.4</v>
      </c>
      <c r="E5165">
        <v>188</v>
      </c>
      <c r="F5165">
        <v>97</v>
      </c>
      <c r="G5165">
        <v>15</v>
      </c>
      <c r="H5165">
        <v>25</v>
      </c>
      <c r="I5165">
        <v>197</v>
      </c>
      <c r="J5165">
        <v>1</v>
      </c>
      <c r="K5165">
        <v>45</v>
      </c>
      <c r="L5165">
        <v>232</v>
      </c>
      <c r="M5165">
        <v>1</v>
      </c>
      <c r="N5165">
        <v>3.5253600000000002E-43</v>
      </c>
      <c r="O5165">
        <v>434</v>
      </c>
    </row>
    <row r="5166" spans="1:15" x14ac:dyDescent="0.25">
      <c r="A5166" t="s">
        <v>5179</v>
      </c>
      <c r="B5166">
        <v>351</v>
      </c>
      <c r="C5166" s="1" t="str">
        <f>HYPERLINK("http://www.rosaceae.org/gb/gbrowse/malus_x_domestica/?name=MDP0000235197","MDP0000235197")</f>
        <v>MDP0000235197</v>
      </c>
      <c r="D5166">
        <v>70.650000000000006</v>
      </c>
      <c r="E5166">
        <v>351</v>
      </c>
      <c r="F5166">
        <v>103</v>
      </c>
      <c r="G5166">
        <v>40</v>
      </c>
      <c r="H5166">
        <v>1</v>
      </c>
      <c r="I5166">
        <v>351</v>
      </c>
      <c r="J5166">
        <v>1</v>
      </c>
      <c r="K5166">
        <v>643</v>
      </c>
      <c r="L5166">
        <v>953</v>
      </c>
      <c r="M5166">
        <v>1</v>
      </c>
      <c r="N5166">
        <v>4.3444399999999996E-149</v>
      </c>
      <c r="O5166">
        <v>1351</v>
      </c>
    </row>
    <row r="5167" spans="1:15" x14ac:dyDescent="0.25">
      <c r="A5167" t="s">
        <v>5180</v>
      </c>
      <c r="B5167">
        <v>153</v>
      </c>
      <c r="C5167" s="1" t="str">
        <f>HYPERLINK("http://www.rosaceae.org/gb/gbrowse/malus_x_domestica/?name=MDP0000130824","MDP0000130824")</f>
        <v>MDP0000130824</v>
      </c>
      <c r="D5167">
        <v>69.44</v>
      </c>
      <c r="E5167">
        <v>144</v>
      </c>
      <c r="F5167">
        <v>44</v>
      </c>
      <c r="G5167">
        <v>4</v>
      </c>
      <c r="H5167">
        <v>1</v>
      </c>
      <c r="I5167">
        <v>142</v>
      </c>
      <c r="J5167">
        <v>1</v>
      </c>
      <c r="K5167">
        <v>1</v>
      </c>
      <c r="L5167">
        <v>142</v>
      </c>
      <c r="M5167">
        <v>1</v>
      </c>
      <c r="N5167">
        <v>1.54617E-51</v>
      </c>
      <c r="O5167">
        <v>504</v>
      </c>
    </row>
    <row r="5168" spans="1:15" x14ac:dyDescent="0.25">
      <c r="A5168" t="s">
        <v>5181</v>
      </c>
      <c r="B5168">
        <v>324</v>
      </c>
      <c r="C5168" s="1" t="str">
        <f>HYPERLINK("http://www.rosaceae.org/gb/gbrowse/malus_x_domestica/?name=MDP0000142666","MDP0000142666")</f>
        <v>MDP0000142666</v>
      </c>
      <c r="D5168">
        <v>44.6</v>
      </c>
      <c r="E5168">
        <v>139</v>
      </c>
      <c r="F5168">
        <v>77</v>
      </c>
      <c r="G5168">
        <v>5</v>
      </c>
      <c r="H5168">
        <v>133</v>
      </c>
      <c r="I5168">
        <v>266</v>
      </c>
      <c r="J5168">
        <v>1</v>
      </c>
      <c r="K5168">
        <v>11</v>
      </c>
      <c r="L5168">
        <v>149</v>
      </c>
      <c r="M5168">
        <v>1</v>
      </c>
      <c r="N5168">
        <v>8.4265599999999997E-26</v>
      </c>
      <c r="O5168">
        <v>287</v>
      </c>
    </row>
    <row r="5169" spans="1:15" x14ac:dyDescent="0.25">
      <c r="A5169" t="s">
        <v>5182</v>
      </c>
      <c r="B5169">
        <v>498</v>
      </c>
      <c r="C5169" s="1" t="str">
        <f>HYPERLINK("http://www.rosaceae.org/gb/gbrowse/malus_x_domestica/?name=MDP0000735095","MDP0000735095")</f>
        <v>MDP0000735095</v>
      </c>
      <c r="D5169">
        <v>59.38</v>
      </c>
      <c r="E5169">
        <v>517</v>
      </c>
      <c r="F5169">
        <v>210</v>
      </c>
      <c r="G5169">
        <v>56</v>
      </c>
      <c r="H5169">
        <v>1</v>
      </c>
      <c r="I5169">
        <v>495</v>
      </c>
      <c r="J5169">
        <v>1</v>
      </c>
      <c r="K5169">
        <v>1</v>
      </c>
      <c r="L5169">
        <v>483</v>
      </c>
      <c r="M5169">
        <v>1</v>
      </c>
      <c r="N5169">
        <v>2.3689700000000001E-167</v>
      </c>
      <c r="O5169">
        <v>1510</v>
      </c>
    </row>
    <row r="5170" spans="1:15" x14ac:dyDescent="0.25">
      <c r="A5170" t="s">
        <v>5183</v>
      </c>
      <c r="B5170">
        <v>990</v>
      </c>
      <c r="C5170" s="1" t="str">
        <f>HYPERLINK("http://www.rosaceae.org/gb/gbrowse/malus_x_domestica/?name=MDP0000319415","MDP0000319415")</f>
        <v>MDP0000319415</v>
      </c>
      <c r="D5170">
        <v>75.44</v>
      </c>
      <c r="E5170">
        <v>778</v>
      </c>
      <c r="F5170">
        <v>191</v>
      </c>
      <c r="G5170">
        <v>28</v>
      </c>
      <c r="H5170">
        <v>223</v>
      </c>
      <c r="I5170">
        <v>990</v>
      </c>
      <c r="J5170">
        <v>1</v>
      </c>
      <c r="K5170">
        <v>184</v>
      </c>
      <c r="L5170">
        <v>943</v>
      </c>
      <c r="M5170">
        <v>1</v>
      </c>
      <c r="N5170">
        <v>0</v>
      </c>
      <c r="O5170">
        <v>3102</v>
      </c>
    </row>
    <row r="5171" spans="1:15" x14ac:dyDescent="0.25">
      <c r="A5171" t="s">
        <v>5184</v>
      </c>
      <c r="B5171">
        <v>229</v>
      </c>
      <c r="C5171" s="1" t="str">
        <f>HYPERLINK("http://www.rosaceae.org/gb/gbrowse/malus_x_domestica/?name=MDP0000169759","MDP0000169759")</f>
        <v>MDP0000169759</v>
      </c>
      <c r="D5171">
        <v>37.909999999999997</v>
      </c>
      <c r="E5171">
        <v>240</v>
      </c>
      <c r="F5171">
        <v>149</v>
      </c>
      <c r="G5171">
        <v>26</v>
      </c>
      <c r="H5171">
        <v>1</v>
      </c>
      <c r="I5171">
        <v>229</v>
      </c>
      <c r="J5171">
        <v>1</v>
      </c>
      <c r="K5171">
        <v>1</v>
      </c>
      <c r="L5171">
        <v>225</v>
      </c>
      <c r="M5171">
        <v>1</v>
      </c>
      <c r="N5171">
        <v>1.32003E-25</v>
      </c>
      <c r="O5171">
        <v>283</v>
      </c>
    </row>
    <row r="5172" spans="1:15" x14ac:dyDescent="0.25">
      <c r="A5172" t="s">
        <v>5185</v>
      </c>
      <c r="B5172">
        <v>326</v>
      </c>
      <c r="C5172" s="1" t="str">
        <f>HYPERLINK("http://www.rosaceae.org/gb/gbrowse/malus_x_domestica/?name=MDP0000862126","MDP0000862126")</f>
        <v>MDP0000862126</v>
      </c>
      <c r="D5172">
        <v>79.14</v>
      </c>
      <c r="E5172">
        <v>326</v>
      </c>
      <c r="F5172">
        <v>68</v>
      </c>
      <c r="G5172">
        <v>0</v>
      </c>
      <c r="H5172">
        <v>1</v>
      </c>
      <c r="I5172">
        <v>326</v>
      </c>
      <c r="J5172">
        <v>1</v>
      </c>
      <c r="K5172">
        <v>1</v>
      </c>
      <c r="L5172">
        <v>326</v>
      </c>
      <c r="M5172">
        <v>1</v>
      </c>
      <c r="N5172">
        <v>8.6090399999999995E-156</v>
      </c>
      <c r="O5172">
        <v>1408</v>
      </c>
    </row>
    <row r="5173" spans="1:15" x14ac:dyDescent="0.25">
      <c r="A5173" t="s">
        <v>5186</v>
      </c>
      <c r="B5173">
        <v>526</v>
      </c>
      <c r="C5173" s="1" t="str">
        <f>HYPERLINK("http://www.rosaceae.org/gb/gbrowse/malus_x_domestica/?name=MDP0000286804","MDP0000286804")</f>
        <v>MDP0000286804</v>
      </c>
      <c r="D5173">
        <v>75.400000000000006</v>
      </c>
      <c r="E5173">
        <v>305</v>
      </c>
      <c r="F5173">
        <v>75</v>
      </c>
      <c r="G5173">
        <v>4</v>
      </c>
      <c r="H5173">
        <v>209</v>
      </c>
      <c r="I5173">
        <v>509</v>
      </c>
      <c r="J5173">
        <v>1</v>
      </c>
      <c r="K5173">
        <v>517</v>
      </c>
      <c r="L5173">
        <v>821</v>
      </c>
      <c r="M5173">
        <v>1</v>
      </c>
      <c r="N5173">
        <v>4.12931E-130</v>
      </c>
      <c r="O5173">
        <v>1189</v>
      </c>
    </row>
    <row r="5174" spans="1:15" x14ac:dyDescent="0.25">
      <c r="A5174" t="s">
        <v>5187</v>
      </c>
      <c r="B5174">
        <v>309</v>
      </c>
      <c r="C5174" s="1" t="str">
        <f>HYPERLINK("http://www.rosaceae.org/gb/gbrowse/malus_x_domestica/?name=MDP0000823458","MDP0000823458")</f>
        <v>MDP0000823458</v>
      </c>
      <c r="D5174">
        <v>51.21</v>
      </c>
      <c r="E5174">
        <v>205</v>
      </c>
      <c r="F5174">
        <v>100</v>
      </c>
      <c r="G5174">
        <v>24</v>
      </c>
      <c r="H5174">
        <v>106</v>
      </c>
      <c r="I5174">
        <v>309</v>
      </c>
      <c r="J5174">
        <v>1</v>
      </c>
      <c r="K5174">
        <v>109</v>
      </c>
      <c r="L5174">
        <v>290</v>
      </c>
      <c r="M5174">
        <v>1</v>
      </c>
      <c r="N5174">
        <v>5.8411100000000003E-40</v>
      </c>
      <c r="O5174">
        <v>409</v>
      </c>
    </row>
    <row r="5175" spans="1:15" x14ac:dyDescent="0.25">
      <c r="A5175" t="s">
        <v>5188</v>
      </c>
      <c r="B5175">
        <v>409</v>
      </c>
      <c r="C5175" s="1" t="str">
        <f>HYPERLINK("http://www.rosaceae.org/gb/gbrowse/malus_x_domestica/?name=MDP0000297656","MDP0000297656")</f>
        <v>MDP0000297656</v>
      </c>
      <c r="D5175">
        <v>63.7</v>
      </c>
      <c r="E5175">
        <v>383</v>
      </c>
      <c r="F5175">
        <v>139</v>
      </c>
      <c r="G5175">
        <v>59</v>
      </c>
      <c r="H5175">
        <v>1</v>
      </c>
      <c r="I5175">
        <v>368</v>
      </c>
      <c r="J5175">
        <v>1</v>
      </c>
      <c r="K5175">
        <v>1</v>
      </c>
      <c r="L5175">
        <v>339</v>
      </c>
      <c r="M5175">
        <v>1</v>
      </c>
      <c r="N5175">
        <v>2.2657099999999999E-138</v>
      </c>
      <c r="O5175">
        <v>1259</v>
      </c>
    </row>
    <row r="5176" spans="1:15" x14ac:dyDescent="0.25">
      <c r="A5176" t="s">
        <v>5189</v>
      </c>
      <c r="B5176">
        <v>267</v>
      </c>
      <c r="C5176" s="1" t="str">
        <f>HYPERLINK("http://www.rosaceae.org/gb/gbrowse/malus_x_domestica/?name=MDP0000612763","MDP0000612763")</f>
        <v>MDP0000612763</v>
      </c>
      <c r="D5176">
        <v>69.89</v>
      </c>
      <c r="E5176">
        <v>299</v>
      </c>
      <c r="F5176">
        <v>90</v>
      </c>
      <c r="G5176">
        <v>32</v>
      </c>
      <c r="H5176">
        <v>1</v>
      </c>
      <c r="I5176">
        <v>267</v>
      </c>
      <c r="J5176">
        <v>1</v>
      </c>
      <c r="K5176">
        <v>1</v>
      </c>
      <c r="L5176">
        <v>299</v>
      </c>
      <c r="M5176">
        <v>1</v>
      </c>
      <c r="N5176">
        <v>2.1678299999999999E-116</v>
      </c>
      <c r="O5176">
        <v>1067</v>
      </c>
    </row>
    <row r="5177" spans="1:15" x14ac:dyDescent="0.25">
      <c r="A5177" t="s">
        <v>5190</v>
      </c>
      <c r="B5177">
        <v>501</v>
      </c>
      <c r="C5177" s="1" t="str">
        <f>HYPERLINK("http://www.rosaceae.org/gb/gbrowse/malus_x_domestica/?name=MDP0000285709","MDP0000285709")</f>
        <v>MDP0000285709</v>
      </c>
      <c r="D5177">
        <v>64.73</v>
      </c>
      <c r="E5177">
        <v>241</v>
      </c>
      <c r="F5177">
        <v>85</v>
      </c>
      <c r="G5177">
        <v>6</v>
      </c>
      <c r="H5177">
        <v>12</v>
      </c>
      <c r="I5177">
        <v>249</v>
      </c>
      <c r="J5177">
        <v>1</v>
      </c>
      <c r="K5177">
        <v>337</v>
      </c>
      <c r="L5177">
        <v>574</v>
      </c>
      <c r="M5177">
        <v>1</v>
      </c>
      <c r="N5177">
        <v>8.0797799999999996E-77</v>
      </c>
      <c r="O5177">
        <v>729</v>
      </c>
    </row>
    <row r="5178" spans="1:15" x14ac:dyDescent="0.25">
      <c r="A5178" t="s">
        <v>5191</v>
      </c>
      <c r="B5178">
        <v>482</v>
      </c>
      <c r="C5178" s="1" t="str">
        <f>HYPERLINK("http://www.rosaceae.org/gb/gbrowse/malus_x_domestica/?name=MDP0000823956","MDP0000823956")</f>
        <v>MDP0000823956</v>
      </c>
      <c r="D5178">
        <v>72.069999999999993</v>
      </c>
      <c r="E5178">
        <v>505</v>
      </c>
      <c r="F5178">
        <v>141</v>
      </c>
      <c r="G5178">
        <v>31</v>
      </c>
      <c r="H5178">
        <v>1</v>
      </c>
      <c r="I5178">
        <v>482</v>
      </c>
      <c r="J5178">
        <v>1</v>
      </c>
      <c r="K5178">
        <v>1</v>
      </c>
      <c r="L5178">
        <v>497</v>
      </c>
      <c r="M5178">
        <v>1</v>
      </c>
      <c r="N5178">
        <v>0</v>
      </c>
      <c r="O5178">
        <v>1850</v>
      </c>
    </row>
    <row r="5179" spans="1:15" x14ac:dyDescent="0.25">
      <c r="A5179" t="s">
        <v>5192</v>
      </c>
      <c r="B5179">
        <v>587</v>
      </c>
      <c r="C5179" s="1" t="str">
        <f>HYPERLINK("http://www.rosaceae.org/gb/gbrowse/malus_x_domestica/?name=MDP0000261201","MDP0000261201")</f>
        <v>MDP0000261201</v>
      </c>
      <c r="D5179">
        <v>83.23</v>
      </c>
      <c r="E5179">
        <v>513</v>
      </c>
      <c r="F5179">
        <v>86</v>
      </c>
      <c r="G5179">
        <v>12</v>
      </c>
      <c r="H5179">
        <v>82</v>
      </c>
      <c r="I5179">
        <v>585</v>
      </c>
      <c r="J5179">
        <v>1</v>
      </c>
      <c r="K5179">
        <v>39</v>
      </c>
      <c r="L5179">
        <v>548</v>
      </c>
      <c r="M5179">
        <v>1</v>
      </c>
      <c r="N5179">
        <v>0</v>
      </c>
      <c r="O5179">
        <v>2224</v>
      </c>
    </row>
    <row r="5180" spans="1:15" x14ac:dyDescent="0.25">
      <c r="A5180" t="s">
        <v>5193</v>
      </c>
      <c r="B5180">
        <v>259</v>
      </c>
      <c r="C5180" s="1" t="str">
        <f>HYPERLINK("http://www.rosaceae.org/gb/gbrowse/malus_x_domestica/?name=MDP0000271384","MDP0000271384")</f>
        <v>MDP0000271384</v>
      </c>
      <c r="D5180">
        <v>41.4</v>
      </c>
      <c r="E5180">
        <v>285</v>
      </c>
      <c r="F5180">
        <v>167</v>
      </c>
      <c r="G5180">
        <v>61</v>
      </c>
      <c r="H5180">
        <v>25</v>
      </c>
      <c r="I5180">
        <v>257</v>
      </c>
      <c r="J5180">
        <v>1</v>
      </c>
      <c r="K5180">
        <v>14</v>
      </c>
      <c r="L5180">
        <v>289</v>
      </c>
      <c r="M5180">
        <v>1</v>
      </c>
      <c r="N5180">
        <v>8.2299999999999998E-40</v>
      </c>
      <c r="O5180">
        <v>406</v>
      </c>
    </row>
    <row r="5181" spans="1:15" x14ac:dyDescent="0.25">
      <c r="A5181" t="s">
        <v>5194</v>
      </c>
      <c r="B5181">
        <v>226</v>
      </c>
      <c r="C5181" s="1" t="str">
        <f>HYPERLINK("http://www.rosaceae.org/gb/gbrowse/malus_x_domestica/?name=MDP0000565238","MDP0000565238")</f>
        <v>MDP0000565238</v>
      </c>
      <c r="D5181">
        <v>84.45</v>
      </c>
      <c r="E5181">
        <v>148</v>
      </c>
      <c r="F5181">
        <v>23</v>
      </c>
      <c r="G5181">
        <v>4</v>
      </c>
      <c r="H5181">
        <v>82</v>
      </c>
      <c r="I5181">
        <v>225</v>
      </c>
      <c r="J5181">
        <v>1</v>
      </c>
      <c r="K5181">
        <v>377</v>
      </c>
      <c r="L5181">
        <v>524</v>
      </c>
      <c r="M5181">
        <v>1</v>
      </c>
      <c r="N5181">
        <v>1.0961000000000001E-67</v>
      </c>
      <c r="O5181">
        <v>646</v>
      </c>
    </row>
    <row r="5182" spans="1:15" x14ac:dyDescent="0.25">
      <c r="A5182" t="s">
        <v>5195</v>
      </c>
      <c r="B5182">
        <v>558</v>
      </c>
      <c r="C5182" s="1" t="str">
        <f>HYPERLINK("http://www.rosaceae.org/gb/gbrowse/malus_x_domestica/?name=MDP0000259589","MDP0000259589")</f>
        <v>MDP0000259589</v>
      </c>
      <c r="D5182">
        <v>44.58</v>
      </c>
      <c r="E5182">
        <v>545</v>
      </c>
      <c r="F5182">
        <v>302</v>
      </c>
      <c r="G5182">
        <v>49</v>
      </c>
      <c r="H5182">
        <v>10</v>
      </c>
      <c r="I5182">
        <v>552</v>
      </c>
      <c r="J5182">
        <v>1</v>
      </c>
      <c r="K5182">
        <v>8</v>
      </c>
      <c r="L5182">
        <v>505</v>
      </c>
      <c r="M5182">
        <v>1</v>
      </c>
      <c r="N5182">
        <v>2.6685399999999999E-114</v>
      </c>
      <c r="O5182">
        <v>1053</v>
      </c>
    </row>
    <row r="5183" spans="1:15" x14ac:dyDescent="0.25">
      <c r="A5183" t="s">
        <v>5196</v>
      </c>
      <c r="B5183">
        <v>750</v>
      </c>
      <c r="C5183" s="1" t="str">
        <f>HYPERLINK("http://www.rosaceae.org/gb/gbrowse/malus_x_domestica/?name=MDP0000320684","MDP0000320684")</f>
        <v>MDP0000320684</v>
      </c>
      <c r="D5183">
        <v>74.11</v>
      </c>
      <c r="E5183">
        <v>452</v>
      </c>
      <c r="F5183">
        <v>117</v>
      </c>
      <c r="G5183">
        <v>0</v>
      </c>
      <c r="H5183">
        <v>49</v>
      </c>
      <c r="I5183">
        <v>500</v>
      </c>
      <c r="J5183">
        <v>1</v>
      </c>
      <c r="K5183">
        <v>50</v>
      </c>
      <c r="L5183">
        <v>501</v>
      </c>
      <c r="M5183">
        <v>1</v>
      </c>
      <c r="N5183">
        <v>0</v>
      </c>
      <c r="O5183">
        <v>1836</v>
      </c>
    </row>
    <row r="5184" spans="1:15" x14ac:dyDescent="0.25">
      <c r="A5184" t="s">
        <v>5197</v>
      </c>
      <c r="B5184">
        <v>255</v>
      </c>
      <c r="C5184" s="1" t="str">
        <f>HYPERLINK("http://www.rosaceae.org/gb/gbrowse/malus_x_domestica/?name=MDP0000095486","MDP0000095486")</f>
        <v>MDP0000095486</v>
      </c>
      <c r="D5184">
        <v>76.92</v>
      </c>
      <c r="E5184">
        <v>130</v>
      </c>
      <c r="F5184">
        <v>30</v>
      </c>
      <c r="G5184">
        <v>4</v>
      </c>
      <c r="H5184">
        <v>126</v>
      </c>
      <c r="I5184">
        <v>255</v>
      </c>
      <c r="J5184">
        <v>1</v>
      </c>
      <c r="K5184">
        <v>224</v>
      </c>
      <c r="L5184">
        <v>349</v>
      </c>
      <c r="M5184">
        <v>1</v>
      </c>
      <c r="N5184">
        <v>4.4575599999999998E-52</v>
      </c>
      <c r="O5184">
        <v>512</v>
      </c>
    </row>
    <row r="5185" spans="1:15" x14ac:dyDescent="0.25">
      <c r="A5185" t="s">
        <v>5198</v>
      </c>
      <c r="B5185">
        <v>1194</v>
      </c>
      <c r="C5185" s="1" t="str">
        <f>HYPERLINK("http://www.rosaceae.org/gb/gbrowse/malus_x_domestica/?name=MDP0000119406","MDP0000119406")</f>
        <v>MDP0000119406</v>
      </c>
      <c r="D5185">
        <v>72.47</v>
      </c>
      <c r="E5185">
        <v>603</v>
      </c>
      <c r="F5185">
        <v>166</v>
      </c>
      <c r="G5185">
        <v>25</v>
      </c>
      <c r="H5185">
        <v>1</v>
      </c>
      <c r="I5185">
        <v>581</v>
      </c>
      <c r="J5185">
        <v>1</v>
      </c>
      <c r="K5185">
        <v>1</v>
      </c>
      <c r="L5185">
        <v>600</v>
      </c>
      <c r="M5185">
        <v>1</v>
      </c>
      <c r="N5185">
        <v>0</v>
      </c>
      <c r="O5185">
        <v>2260</v>
      </c>
    </row>
    <row r="5186" spans="1:15" x14ac:dyDescent="0.25">
      <c r="A5186" t="s">
        <v>5199</v>
      </c>
      <c r="B5186">
        <v>352</v>
      </c>
      <c r="C5186" s="1" t="str">
        <f>HYPERLINK("http://www.rosaceae.org/gb/gbrowse/malus_x_domestica/?name=MDP0000121541","MDP0000121541")</f>
        <v>MDP0000121541</v>
      </c>
      <c r="D5186">
        <v>59.37</v>
      </c>
      <c r="E5186">
        <v>160</v>
      </c>
      <c r="F5186">
        <v>65</v>
      </c>
      <c r="G5186">
        <v>4</v>
      </c>
      <c r="H5186">
        <v>193</v>
      </c>
      <c r="I5186">
        <v>352</v>
      </c>
      <c r="J5186">
        <v>1</v>
      </c>
      <c r="K5186">
        <v>118</v>
      </c>
      <c r="L5186">
        <v>273</v>
      </c>
      <c r="M5186">
        <v>1</v>
      </c>
      <c r="N5186">
        <v>9.4386399999999999E-48</v>
      </c>
      <c r="O5186">
        <v>477</v>
      </c>
    </row>
    <row r="5187" spans="1:15" x14ac:dyDescent="0.25">
      <c r="A5187" t="s">
        <v>5200</v>
      </c>
      <c r="B5187">
        <v>732</v>
      </c>
      <c r="C5187" s="1" t="str">
        <f>HYPERLINK("http://www.rosaceae.org/gb/gbrowse/malus_x_domestica/?name=MDP0000228175","MDP0000228175")</f>
        <v>MDP0000228175</v>
      </c>
      <c r="D5187">
        <v>80.239999999999995</v>
      </c>
      <c r="E5187">
        <v>739</v>
      </c>
      <c r="F5187">
        <v>146</v>
      </c>
      <c r="G5187">
        <v>33</v>
      </c>
      <c r="H5187">
        <v>2</v>
      </c>
      <c r="I5187">
        <v>720</v>
      </c>
      <c r="J5187">
        <v>1</v>
      </c>
      <c r="K5187">
        <v>11</v>
      </c>
      <c r="L5187">
        <v>736</v>
      </c>
      <c r="M5187">
        <v>1</v>
      </c>
      <c r="N5187">
        <v>0</v>
      </c>
      <c r="O5187">
        <v>3094</v>
      </c>
    </row>
    <row r="5188" spans="1:15" x14ac:dyDescent="0.25">
      <c r="A5188" t="s">
        <v>5201</v>
      </c>
      <c r="B5188">
        <v>718</v>
      </c>
      <c r="C5188" s="1" t="str">
        <f>HYPERLINK("http://www.rosaceae.org/gb/gbrowse/malus_x_domestica/?name=MDP0000686221","MDP0000686221")</f>
        <v>MDP0000686221</v>
      </c>
      <c r="D5188">
        <v>65.64</v>
      </c>
      <c r="E5188">
        <v>553</v>
      </c>
      <c r="F5188">
        <v>190</v>
      </c>
      <c r="G5188">
        <v>0</v>
      </c>
      <c r="H5188">
        <v>162</v>
      </c>
      <c r="I5188">
        <v>714</v>
      </c>
      <c r="J5188">
        <v>1</v>
      </c>
      <c r="K5188">
        <v>206</v>
      </c>
      <c r="L5188">
        <v>758</v>
      </c>
      <c r="M5188">
        <v>1</v>
      </c>
      <c r="N5188">
        <v>0</v>
      </c>
      <c r="O5188">
        <v>1675</v>
      </c>
    </row>
    <row r="5189" spans="1:15" x14ac:dyDescent="0.25">
      <c r="A5189" t="s">
        <v>5202</v>
      </c>
      <c r="B5189">
        <v>272</v>
      </c>
      <c r="C5189" s="1" t="str">
        <f>HYPERLINK("http://www.rosaceae.org/gb/gbrowse/malus_x_domestica/?name=MDP0000280809","MDP0000280809")</f>
        <v>MDP0000280809</v>
      </c>
      <c r="D5189">
        <v>41.47</v>
      </c>
      <c r="E5189">
        <v>217</v>
      </c>
      <c r="F5189">
        <v>127</v>
      </c>
      <c r="G5189">
        <v>32</v>
      </c>
      <c r="H5189">
        <v>15</v>
      </c>
      <c r="I5189">
        <v>199</v>
      </c>
      <c r="J5189">
        <v>1</v>
      </c>
      <c r="K5189">
        <v>65</v>
      </c>
      <c r="L5189">
        <v>281</v>
      </c>
      <c r="M5189">
        <v>1</v>
      </c>
      <c r="N5189">
        <v>3.24624E-35</v>
      </c>
      <c r="O5189">
        <v>367</v>
      </c>
    </row>
    <row r="5190" spans="1:15" x14ac:dyDescent="0.25">
      <c r="A5190" t="s">
        <v>5203</v>
      </c>
      <c r="B5190">
        <v>238</v>
      </c>
      <c r="C5190" s="1" t="str">
        <f>HYPERLINK("http://www.rosaceae.org/gb/gbrowse/malus_x_domestica/?name=MDP0000919072","MDP0000919072")</f>
        <v>MDP0000919072</v>
      </c>
      <c r="D5190">
        <v>67.02</v>
      </c>
      <c r="E5190">
        <v>94</v>
      </c>
      <c r="F5190">
        <v>31</v>
      </c>
      <c r="G5190">
        <v>4</v>
      </c>
      <c r="H5190">
        <v>1</v>
      </c>
      <c r="I5190">
        <v>92</v>
      </c>
      <c r="J5190">
        <v>1</v>
      </c>
      <c r="K5190">
        <v>1</v>
      </c>
      <c r="L5190">
        <v>92</v>
      </c>
      <c r="M5190">
        <v>1</v>
      </c>
      <c r="N5190">
        <v>2.0373299999999999E-27</v>
      </c>
      <c r="O5190">
        <v>299</v>
      </c>
    </row>
    <row r="5191" spans="1:15" x14ac:dyDescent="0.25">
      <c r="A5191" t="s">
        <v>5204</v>
      </c>
      <c r="B5191">
        <v>1773</v>
      </c>
      <c r="C5191" s="1" t="str">
        <f>HYPERLINK("http://www.rosaceae.org/gb/gbrowse/malus_x_domestica/?name=MDP0000302737","MDP0000302737")</f>
        <v>MDP0000302737</v>
      </c>
      <c r="D5191">
        <v>81.16</v>
      </c>
      <c r="E5191">
        <v>1099</v>
      </c>
      <c r="F5191">
        <v>207</v>
      </c>
      <c r="G5191">
        <v>26</v>
      </c>
      <c r="H5191">
        <v>593</v>
      </c>
      <c r="I5191">
        <v>1677</v>
      </c>
      <c r="J5191">
        <v>1</v>
      </c>
      <c r="K5191">
        <v>237</v>
      </c>
      <c r="L5191">
        <v>1323</v>
      </c>
      <c r="M5191">
        <v>1</v>
      </c>
      <c r="N5191">
        <v>0</v>
      </c>
      <c r="O5191">
        <v>4663</v>
      </c>
    </row>
    <row r="5192" spans="1:15" x14ac:dyDescent="0.25">
      <c r="A5192" t="s">
        <v>5205</v>
      </c>
      <c r="B5192">
        <v>452</v>
      </c>
      <c r="C5192" s="1" t="str">
        <f>HYPERLINK("http://www.rosaceae.org/gb/gbrowse/malus_x_domestica/?name=MDP0000372160","MDP0000372160")</f>
        <v>MDP0000372160</v>
      </c>
      <c r="D5192">
        <v>66.849999999999994</v>
      </c>
      <c r="E5192">
        <v>362</v>
      </c>
      <c r="F5192">
        <v>120</v>
      </c>
      <c r="G5192">
        <v>57</v>
      </c>
      <c r="H5192">
        <v>86</v>
      </c>
      <c r="I5192">
        <v>446</v>
      </c>
      <c r="J5192">
        <v>1</v>
      </c>
      <c r="K5192">
        <v>65</v>
      </c>
      <c r="L5192">
        <v>370</v>
      </c>
      <c r="M5192">
        <v>1</v>
      </c>
      <c r="N5192">
        <v>3.9412600000000001E-131</v>
      </c>
      <c r="O5192">
        <v>1197</v>
      </c>
    </row>
    <row r="5193" spans="1:15" x14ac:dyDescent="0.25">
      <c r="A5193" t="s">
        <v>5206</v>
      </c>
      <c r="B5193">
        <v>406</v>
      </c>
      <c r="C5193" s="1" t="str">
        <f>HYPERLINK("http://www.rosaceae.org/gb/gbrowse/malus_x_domestica/?name=MDP0000217401","MDP0000217401")</f>
        <v>MDP0000217401</v>
      </c>
      <c r="D5193">
        <v>56.81</v>
      </c>
      <c r="E5193">
        <v>396</v>
      </c>
      <c r="F5193">
        <v>171</v>
      </c>
      <c r="G5193">
        <v>12</v>
      </c>
      <c r="H5193">
        <v>11</v>
      </c>
      <c r="I5193">
        <v>406</v>
      </c>
      <c r="J5193">
        <v>1</v>
      </c>
      <c r="K5193">
        <v>230</v>
      </c>
      <c r="L5193">
        <v>613</v>
      </c>
      <c r="M5193">
        <v>1</v>
      </c>
      <c r="N5193">
        <v>2.6539199999999998E-105</v>
      </c>
      <c r="O5193">
        <v>974</v>
      </c>
    </row>
    <row r="5194" spans="1:15" x14ac:dyDescent="0.25">
      <c r="A5194" t="s">
        <v>5207</v>
      </c>
      <c r="B5194">
        <v>375</v>
      </c>
      <c r="C5194" s="1" t="str">
        <f>HYPERLINK("http://www.rosaceae.org/gb/gbrowse/malus_x_domestica/?name=MDP0000694976","MDP0000694976")</f>
        <v>MDP0000694976</v>
      </c>
      <c r="D5194">
        <v>39.79</v>
      </c>
      <c r="E5194">
        <v>387</v>
      </c>
      <c r="F5194">
        <v>233</v>
      </c>
      <c r="G5194">
        <v>52</v>
      </c>
      <c r="H5194">
        <v>13</v>
      </c>
      <c r="I5194">
        <v>375</v>
      </c>
      <c r="J5194">
        <v>1</v>
      </c>
      <c r="K5194">
        <v>2</v>
      </c>
      <c r="L5194">
        <v>360</v>
      </c>
      <c r="M5194">
        <v>1</v>
      </c>
      <c r="N5194">
        <v>5.5563899999999999E-55</v>
      </c>
      <c r="O5194">
        <v>539</v>
      </c>
    </row>
    <row r="5195" spans="1:15" x14ac:dyDescent="0.25">
      <c r="A5195" t="s">
        <v>5208</v>
      </c>
      <c r="B5195">
        <v>295</v>
      </c>
      <c r="C5195" s="1" t="str">
        <f>HYPERLINK("http://www.rosaceae.org/gb/gbrowse/malus_x_domestica/?name=MDP0000236852","MDP0000236852")</f>
        <v>MDP0000236852</v>
      </c>
      <c r="D5195">
        <v>65.62</v>
      </c>
      <c r="E5195">
        <v>288</v>
      </c>
      <c r="F5195">
        <v>99</v>
      </c>
      <c r="G5195">
        <v>10</v>
      </c>
      <c r="H5195">
        <v>1</v>
      </c>
      <c r="I5195">
        <v>279</v>
      </c>
      <c r="J5195">
        <v>1</v>
      </c>
      <c r="K5195">
        <v>1</v>
      </c>
      <c r="L5195">
        <v>287</v>
      </c>
      <c r="M5195">
        <v>1</v>
      </c>
      <c r="N5195">
        <v>6.5307800000000001E-103</v>
      </c>
      <c r="O5195">
        <v>951</v>
      </c>
    </row>
    <row r="5196" spans="1:15" x14ac:dyDescent="0.25">
      <c r="A5196" t="s">
        <v>5209</v>
      </c>
      <c r="B5196">
        <v>272</v>
      </c>
      <c r="C5196" s="1" t="str">
        <f>HYPERLINK("http://www.rosaceae.org/gb/gbrowse/malus_x_domestica/?name=MDP0000152642","MDP0000152642")</f>
        <v>MDP0000152642</v>
      </c>
      <c r="D5196">
        <v>41.14</v>
      </c>
      <c r="E5196">
        <v>209</v>
      </c>
      <c r="F5196">
        <v>123</v>
      </c>
      <c r="G5196">
        <v>42</v>
      </c>
      <c r="H5196">
        <v>8</v>
      </c>
      <c r="I5196">
        <v>208</v>
      </c>
      <c r="J5196">
        <v>1</v>
      </c>
      <c r="K5196">
        <v>5</v>
      </c>
      <c r="L5196">
        <v>179</v>
      </c>
      <c r="M5196">
        <v>1</v>
      </c>
      <c r="N5196">
        <v>1.54482E-35</v>
      </c>
      <c r="O5196">
        <v>370</v>
      </c>
    </row>
    <row r="5197" spans="1:15" x14ac:dyDescent="0.25">
      <c r="A5197" t="s">
        <v>5210</v>
      </c>
      <c r="B5197">
        <v>545</v>
      </c>
      <c r="C5197" s="1" t="str">
        <f>HYPERLINK("http://www.rosaceae.org/gb/gbrowse/malus_x_domestica/?name=MDP0000380205","MDP0000380205")</f>
        <v>MDP0000380205</v>
      </c>
      <c r="D5197">
        <v>30.27</v>
      </c>
      <c r="E5197">
        <v>469</v>
      </c>
      <c r="F5197">
        <v>327</v>
      </c>
      <c r="G5197">
        <v>32</v>
      </c>
      <c r="H5197">
        <v>35</v>
      </c>
      <c r="I5197">
        <v>474</v>
      </c>
      <c r="J5197">
        <v>1</v>
      </c>
      <c r="K5197">
        <v>32</v>
      </c>
      <c r="L5197">
        <v>497</v>
      </c>
      <c r="M5197">
        <v>1</v>
      </c>
      <c r="N5197">
        <v>1.32079E-42</v>
      </c>
      <c r="O5197">
        <v>434</v>
      </c>
    </row>
    <row r="5198" spans="1:15" x14ac:dyDescent="0.25">
      <c r="A5198" t="s">
        <v>5211</v>
      </c>
      <c r="B5198">
        <v>277</v>
      </c>
      <c r="C5198" s="1" t="str">
        <f>HYPERLINK("http://www.rosaceae.org/gb/gbrowse/malus_x_domestica/?name=MDP0000700517","MDP0000700517")</f>
        <v>MDP0000700517</v>
      </c>
      <c r="D5198">
        <v>21.81</v>
      </c>
      <c r="E5198">
        <v>275</v>
      </c>
      <c r="F5198">
        <v>215</v>
      </c>
      <c r="G5198">
        <v>59</v>
      </c>
      <c r="H5198">
        <v>13</v>
      </c>
      <c r="I5198">
        <v>230</v>
      </c>
      <c r="J5198">
        <v>1</v>
      </c>
      <c r="K5198">
        <v>89</v>
      </c>
      <c r="L5198">
        <v>361</v>
      </c>
      <c r="M5198">
        <v>1</v>
      </c>
      <c r="N5198">
        <v>9.00965E-10</v>
      </c>
      <c r="O5198">
        <v>148</v>
      </c>
    </row>
    <row r="5199" spans="1:15" x14ac:dyDescent="0.25">
      <c r="A5199" t="s">
        <v>5212</v>
      </c>
      <c r="B5199">
        <v>154</v>
      </c>
      <c r="C5199" s="1" t="str">
        <f>HYPERLINK("http://www.rosaceae.org/gb/gbrowse/malus_x_domestica/?name=MDP0000220135","MDP0000220135")</f>
        <v>MDP0000220135</v>
      </c>
      <c r="D5199">
        <v>46.57</v>
      </c>
      <c r="E5199">
        <v>73</v>
      </c>
      <c r="F5199">
        <v>39</v>
      </c>
      <c r="G5199">
        <v>0</v>
      </c>
      <c r="H5199">
        <v>80</v>
      </c>
      <c r="I5199">
        <v>152</v>
      </c>
      <c r="J5199">
        <v>1</v>
      </c>
      <c r="K5199">
        <v>107</v>
      </c>
      <c r="L5199">
        <v>179</v>
      </c>
      <c r="M5199">
        <v>1</v>
      </c>
      <c r="N5199">
        <v>5.9705299999999996E-12</v>
      </c>
      <c r="O5199">
        <v>163</v>
      </c>
    </row>
    <row r="5200" spans="1:15" x14ac:dyDescent="0.25">
      <c r="A5200" t="s">
        <v>5213</v>
      </c>
      <c r="B5200">
        <v>431</v>
      </c>
      <c r="C5200" s="1" t="str">
        <f>HYPERLINK("http://www.rosaceae.org/gb/gbrowse/malus_x_domestica/?name=MDP0000188175","MDP0000188175")</f>
        <v>MDP0000188175</v>
      </c>
      <c r="D5200">
        <v>31.57</v>
      </c>
      <c r="E5200">
        <v>456</v>
      </c>
      <c r="F5200">
        <v>312</v>
      </c>
      <c r="G5200">
        <v>39</v>
      </c>
      <c r="H5200">
        <v>1</v>
      </c>
      <c r="I5200">
        <v>428</v>
      </c>
      <c r="J5200">
        <v>1</v>
      </c>
      <c r="K5200">
        <v>1</v>
      </c>
      <c r="L5200">
        <v>445</v>
      </c>
      <c r="M5200">
        <v>1</v>
      </c>
      <c r="N5200">
        <v>8.4437000000000004E-44</v>
      </c>
      <c r="O5200">
        <v>444</v>
      </c>
    </row>
    <row r="5201" spans="1:15" x14ac:dyDescent="0.25">
      <c r="A5201" t="s">
        <v>5214</v>
      </c>
      <c r="B5201">
        <v>131</v>
      </c>
      <c r="C5201" s="1" t="str">
        <f>HYPERLINK("http://www.rosaceae.org/gb/gbrowse/malus_x_domestica/?name=MDP0000380229","MDP0000380229")</f>
        <v>MDP0000380229</v>
      </c>
      <c r="D5201">
        <v>91.48</v>
      </c>
      <c r="E5201">
        <v>47</v>
      </c>
      <c r="F5201">
        <v>4</v>
      </c>
      <c r="G5201">
        <v>0</v>
      </c>
      <c r="H5201">
        <v>24</v>
      </c>
      <c r="I5201">
        <v>70</v>
      </c>
      <c r="J5201">
        <v>1</v>
      </c>
      <c r="K5201">
        <v>29</v>
      </c>
      <c r="L5201">
        <v>75</v>
      </c>
      <c r="M5201">
        <v>1</v>
      </c>
      <c r="N5201">
        <v>1.0733100000000001E-22</v>
      </c>
      <c r="O5201">
        <v>254</v>
      </c>
    </row>
    <row r="5202" spans="1:15" x14ac:dyDescent="0.25">
      <c r="A5202" t="s">
        <v>5215</v>
      </c>
      <c r="B5202">
        <v>472</v>
      </c>
      <c r="C5202" s="1" t="str">
        <f>HYPERLINK("http://www.rosaceae.org/gb/gbrowse/malus_x_domestica/?name=MDP0000134621","MDP0000134621")</f>
        <v>MDP0000134621</v>
      </c>
      <c r="D5202">
        <v>79.37</v>
      </c>
      <c r="E5202">
        <v>451</v>
      </c>
      <c r="F5202">
        <v>93</v>
      </c>
      <c r="G5202">
        <v>1</v>
      </c>
      <c r="H5202">
        <v>4</v>
      </c>
      <c r="I5202">
        <v>453</v>
      </c>
      <c r="J5202">
        <v>1</v>
      </c>
      <c r="K5202">
        <v>3</v>
      </c>
      <c r="L5202">
        <v>453</v>
      </c>
      <c r="M5202">
        <v>1</v>
      </c>
      <c r="N5202">
        <v>0</v>
      </c>
      <c r="O5202">
        <v>1929</v>
      </c>
    </row>
    <row r="5203" spans="1:15" x14ac:dyDescent="0.25">
      <c r="A5203" t="s">
        <v>5216</v>
      </c>
      <c r="B5203">
        <v>527</v>
      </c>
      <c r="C5203" s="1" t="str">
        <f>HYPERLINK("http://www.rosaceae.org/gb/gbrowse/malus_x_domestica/?name=MDP0000150749","MDP0000150749")</f>
        <v>MDP0000150749</v>
      </c>
      <c r="D5203">
        <v>71.67</v>
      </c>
      <c r="E5203">
        <v>519</v>
      </c>
      <c r="F5203">
        <v>147</v>
      </c>
      <c r="G5203">
        <v>47</v>
      </c>
      <c r="H5203">
        <v>43</v>
      </c>
      <c r="I5203">
        <v>527</v>
      </c>
      <c r="J5203">
        <v>1</v>
      </c>
      <c r="K5203">
        <v>27</v>
      </c>
      <c r="L5203">
        <v>532</v>
      </c>
      <c r="M5203">
        <v>1</v>
      </c>
      <c r="N5203">
        <v>0</v>
      </c>
      <c r="O5203">
        <v>1910</v>
      </c>
    </row>
    <row r="5204" spans="1:15" x14ac:dyDescent="0.25">
      <c r="A5204" t="s">
        <v>5217</v>
      </c>
      <c r="B5204">
        <v>247</v>
      </c>
      <c r="C5204" s="1" t="str">
        <f>HYPERLINK("http://www.rosaceae.org/gb/gbrowse/malus_x_domestica/?name=MDP0000540373","MDP0000540373")</f>
        <v>MDP0000540373</v>
      </c>
      <c r="D5204">
        <v>64.06</v>
      </c>
      <c r="E5204">
        <v>231</v>
      </c>
      <c r="F5204">
        <v>83</v>
      </c>
      <c r="G5204">
        <v>8</v>
      </c>
      <c r="H5204">
        <v>1</v>
      </c>
      <c r="I5204">
        <v>223</v>
      </c>
      <c r="J5204">
        <v>1</v>
      </c>
      <c r="K5204">
        <v>1</v>
      </c>
      <c r="L5204">
        <v>231</v>
      </c>
      <c r="M5204">
        <v>1</v>
      </c>
      <c r="N5204">
        <v>2.2856600000000001E-71</v>
      </c>
      <c r="O5204">
        <v>678</v>
      </c>
    </row>
    <row r="5205" spans="1:15" x14ac:dyDescent="0.25">
      <c r="A5205" t="s">
        <v>5218</v>
      </c>
      <c r="B5205">
        <v>315</v>
      </c>
      <c r="C5205" s="1" t="str">
        <f>HYPERLINK("http://www.rosaceae.org/gb/gbrowse/malus_x_domestica/?name=MDP0000706020","MDP0000706020")</f>
        <v>MDP0000706020</v>
      </c>
      <c r="D5205">
        <v>70.47</v>
      </c>
      <c r="E5205">
        <v>315</v>
      </c>
      <c r="F5205">
        <v>93</v>
      </c>
      <c r="G5205">
        <v>16</v>
      </c>
      <c r="H5205">
        <v>1</v>
      </c>
      <c r="I5205">
        <v>315</v>
      </c>
      <c r="J5205">
        <v>1</v>
      </c>
      <c r="K5205">
        <v>1</v>
      </c>
      <c r="L5205">
        <v>299</v>
      </c>
      <c r="M5205">
        <v>1</v>
      </c>
      <c r="N5205">
        <v>2.15177E-130</v>
      </c>
      <c r="O5205">
        <v>1189</v>
      </c>
    </row>
    <row r="5206" spans="1:15" x14ac:dyDescent="0.25">
      <c r="A5206" t="s">
        <v>5219</v>
      </c>
      <c r="B5206">
        <v>758</v>
      </c>
      <c r="C5206" s="1" t="str">
        <f>HYPERLINK("http://www.rosaceae.org/gb/gbrowse/malus_x_domestica/?name=MDP0000694227","MDP0000694227")</f>
        <v>MDP0000694227</v>
      </c>
      <c r="D5206">
        <v>67.400000000000006</v>
      </c>
      <c r="E5206">
        <v>681</v>
      </c>
      <c r="F5206">
        <v>222</v>
      </c>
      <c r="G5206">
        <v>27</v>
      </c>
      <c r="H5206">
        <v>103</v>
      </c>
      <c r="I5206">
        <v>757</v>
      </c>
      <c r="J5206">
        <v>1</v>
      </c>
      <c r="K5206">
        <v>233</v>
      </c>
      <c r="L5206">
        <v>912</v>
      </c>
      <c r="M5206">
        <v>1</v>
      </c>
      <c r="N5206">
        <v>0</v>
      </c>
      <c r="O5206">
        <v>2454</v>
      </c>
    </row>
    <row r="5207" spans="1:15" x14ac:dyDescent="0.25">
      <c r="A5207" t="s">
        <v>5220</v>
      </c>
      <c r="B5207">
        <v>398</v>
      </c>
      <c r="C5207" s="1" t="str">
        <f>HYPERLINK("http://www.rosaceae.org/gb/gbrowse/malus_x_domestica/?name=MDP0000010841","MDP0000010841")</f>
        <v>MDP0000010841</v>
      </c>
      <c r="D5207">
        <v>80.150000000000006</v>
      </c>
      <c r="E5207">
        <v>257</v>
      </c>
      <c r="F5207">
        <v>51</v>
      </c>
      <c r="G5207">
        <v>8</v>
      </c>
      <c r="H5207">
        <v>1</v>
      </c>
      <c r="I5207">
        <v>257</v>
      </c>
      <c r="J5207">
        <v>1</v>
      </c>
      <c r="K5207">
        <v>1</v>
      </c>
      <c r="L5207">
        <v>249</v>
      </c>
      <c r="M5207">
        <v>1</v>
      </c>
      <c r="N5207">
        <v>3.27412E-122</v>
      </c>
      <c r="O5207">
        <v>1119</v>
      </c>
    </row>
    <row r="5208" spans="1:15" x14ac:dyDescent="0.25">
      <c r="A5208" t="s">
        <v>5221</v>
      </c>
      <c r="B5208">
        <v>298</v>
      </c>
      <c r="C5208" s="1" t="str">
        <f>HYPERLINK("http://www.rosaceae.org/gb/gbrowse/malus_x_domestica/?name=MDP0000163774","MDP0000163774")</f>
        <v>MDP0000163774</v>
      </c>
      <c r="D5208">
        <v>29</v>
      </c>
      <c r="E5208">
        <v>131</v>
      </c>
      <c r="F5208">
        <v>93</v>
      </c>
      <c r="G5208">
        <v>5</v>
      </c>
      <c r="H5208">
        <v>6</v>
      </c>
      <c r="I5208">
        <v>131</v>
      </c>
      <c r="J5208">
        <v>1</v>
      </c>
      <c r="K5208">
        <v>433</v>
      </c>
      <c r="L5208">
        <v>563</v>
      </c>
      <c r="M5208">
        <v>1</v>
      </c>
      <c r="N5208">
        <v>1.7333199999999999E-12</v>
      </c>
      <c r="O5208">
        <v>172</v>
      </c>
    </row>
    <row r="5209" spans="1:15" x14ac:dyDescent="0.25">
      <c r="A5209" t="s">
        <v>5222</v>
      </c>
      <c r="B5209">
        <v>328</v>
      </c>
      <c r="C5209" s="1" t="str">
        <f>HYPERLINK("http://www.rosaceae.org/gb/gbrowse/malus_x_domestica/?name=MDP0000588503","MDP0000588503")</f>
        <v>MDP0000588503</v>
      </c>
      <c r="D5209">
        <v>72.72</v>
      </c>
      <c r="E5209">
        <v>154</v>
      </c>
      <c r="F5209">
        <v>42</v>
      </c>
      <c r="G5209">
        <v>7</v>
      </c>
      <c r="H5209">
        <v>1</v>
      </c>
      <c r="I5209">
        <v>150</v>
      </c>
      <c r="J5209">
        <v>1</v>
      </c>
      <c r="K5209">
        <v>1</v>
      </c>
      <c r="L5209">
        <v>151</v>
      </c>
      <c r="M5209">
        <v>1</v>
      </c>
      <c r="N5209">
        <v>3.57141E-56</v>
      </c>
      <c r="O5209">
        <v>549</v>
      </c>
    </row>
    <row r="5210" spans="1:15" x14ac:dyDescent="0.25">
      <c r="A5210" t="s">
        <v>5223</v>
      </c>
      <c r="B5210">
        <v>519</v>
      </c>
      <c r="C5210" s="1" t="str">
        <f>HYPERLINK("http://www.rosaceae.org/gb/gbrowse/malus_x_domestica/?name=MDP0000179145","MDP0000179145")</f>
        <v>MDP0000179145</v>
      </c>
      <c r="D5210">
        <v>67.16</v>
      </c>
      <c r="E5210">
        <v>539</v>
      </c>
      <c r="F5210">
        <v>177</v>
      </c>
      <c r="G5210">
        <v>31</v>
      </c>
      <c r="H5210">
        <v>1</v>
      </c>
      <c r="I5210">
        <v>519</v>
      </c>
      <c r="J5210">
        <v>1</v>
      </c>
      <c r="K5210">
        <v>1</v>
      </c>
      <c r="L5210">
        <v>528</v>
      </c>
      <c r="M5210">
        <v>1</v>
      </c>
      <c r="N5210">
        <v>0</v>
      </c>
      <c r="O5210">
        <v>1673</v>
      </c>
    </row>
    <row r="5211" spans="1:15" x14ac:dyDescent="0.25">
      <c r="A5211" t="s">
        <v>5224</v>
      </c>
      <c r="B5211">
        <v>500</v>
      </c>
      <c r="C5211" s="1" t="str">
        <f>HYPERLINK("http://www.rosaceae.org/gb/gbrowse/malus_x_domestica/?name=MDP0000269105","MDP0000269105")</f>
        <v>MDP0000269105</v>
      </c>
      <c r="D5211">
        <v>83.96</v>
      </c>
      <c r="E5211">
        <v>499</v>
      </c>
      <c r="F5211">
        <v>80</v>
      </c>
      <c r="G5211">
        <v>2</v>
      </c>
      <c r="H5211">
        <v>1</v>
      </c>
      <c r="I5211">
        <v>498</v>
      </c>
      <c r="J5211">
        <v>1</v>
      </c>
      <c r="K5211">
        <v>1</v>
      </c>
      <c r="L5211">
        <v>498</v>
      </c>
      <c r="M5211">
        <v>1</v>
      </c>
      <c r="N5211">
        <v>0</v>
      </c>
      <c r="O5211">
        <v>2247</v>
      </c>
    </row>
    <row r="5212" spans="1:15" x14ac:dyDescent="0.25">
      <c r="A5212" t="s">
        <v>5225</v>
      </c>
      <c r="B5212">
        <v>292</v>
      </c>
      <c r="C5212" s="1" t="str">
        <f>HYPERLINK("http://www.rosaceae.org/gb/gbrowse/malus_x_domestica/?name=MDP0000340616","MDP0000340616")</f>
        <v>MDP0000340616</v>
      </c>
      <c r="D5212">
        <v>55.2</v>
      </c>
      <c r="E5212">
        <v>96</v>
      </c>
      <c r="F5212">
        <v>43</v>
      </c>
      <c r="G5212">
        <v>4</v>
      </c>
      <c r="H5212">
        <v>1</v>
      </c>
      <c r="I5212">
        <v>93</v>
      </c>
      <c r="J5212">
        <v>1</v>
      </c>
      <c r="K5212">
        <v>56</v>
      </c>
      <c r="L5212">
        <v>150</v>
      </c>
      <c r="M5212">
        <v>1</v>
      </c>
      <c r="N5212">
        <v>3.8640299999999999E-17</v>
      </c>
      <c r="O5212">
        <v>212</v>
      </c>
    </row>
    <row r="5213" spans="1:15" x14ac:dyDescent="0.25">
      <c r="A5213" t="s">
        <v>5226</v>
      </c>
      <c r="B5213">
        <v>153</v>
      </c>
      <c r="C5213" s="1" t="str">
        <f>HYPERLINK("http://www.rosaceae.org/gb/gbrowse/malus_x_domestica/?name=MDP0000365135","MDP0000365135")</f>
        <v>MDP0000365135</v>
      </c>
      <c r="D5213">
        <v>84.76</v>
      </c>
      <c r="E5213">
        <v>151</v>
      </c>
      <c r="F5213">
        <v>23</v>
      </c>
      <c r="G5213">
        <v>0</v>
      </c>
      <c r="H5213">
        <v>3</v>
      </c>
      <c r="I5213">
        <v>153</v>
      </c>
      <c r="J5213">
        <v>1</v>
      </c>
      <c r="K5213">
        <v>57</v>
      </c>
      <c r="L5213">
        <v>207</v>
      </c>
      <c r="M5213">
        <v>1</v>
      </c>
      <c r="N5213">
        <v>1.2786999999999999E-73</v>
      </c>
      <c r="O5213">
        <v>694</v>
      </c>
    </row>
    <row r="5214" spans="1:15" x14ac:dyDescent="0.25">
      <c r="A5214" t="s">
        <v>5227</v>
      </c>
      <c r="B5214">
        <v>576</v>
      </c>
      <c r="C5214" s="1" t="str">
        <f>HYPERLINK("http://www.rosaceae.org/gb/gbrowse/malus_x_domestica/?name=MDP0000310277","MDP0000310277")</f>
        <v>MDP0000310277</v>
      </c>
      <c r="D5214">
        <v>66.38</v>
      </c>
      <c r="E5214">
        <v>476</v>
      </c>
      <c r="F5214">
        <v>160</v>
      </c>
      <c r="G5214">
        <v>28</v>
      </c>
      <c r="H5214">
        <v>93</v>
      </c>
      <c r="I5214">
        <v>562</v>
      </c>
      <c r="J5214">
        <v>1</v>
      </c>
      <c r="K5214">
        <v>9</v>
      </c>
      <c r="L5214">
        <v>462</v>
      </c>
      <c r="M5214">
        <v>1</v>
      </c>
      <c r="N5214">
        <v>7.6846700000000003E-170</v>
      </c>
      <c r="O5214">
        <v>1532</v>
      </c>
    </row>
    <row r="5215" spans="1:15" x14ac:dyDescent="0.25">
      <c r="A5215" t="s">
        <v>5228</v>
      </c>
      <c r="B5215">
        <v>201</v>
      </c>
      <c r="C5215" s="1" t="str">
        <f>HYPERLINK("http://www.rosaceae.org/gb/gbrowse/malus_x_domestica/?name=MDP0000629985","MDP0000629985")</f>
        <v>MDP0000629985</v>
      </c>
      <c r="D5215">
        <v>57.36</v>
      </c>
      <c r="E5215">
        <v>190</v>
      </c>
      <c r="F5215">
        <v>81</v>
      </c>
      <c r="G5215">
        <v>14</v>
      </c>
      <c r="H5215">
        <v>21</v>
      </c>
      <c r="I5215">
        <v>200</v>
      </c>
      <c r="J5215">
        <v>1</v>
      </c>
      <c r="K5215">
        <v>26</v>
      </c>
      <c r="L5215">
        <v>211</v>
      </c>
      <c r="M5215">
        <v>1</v>
      </c>
      <c r="N5215">
        <v>6.22577E-54</v>
      </c>
      <c r="O5215">
        <v>527</v>
      </c>
    </row>
    <row r="5216" spans="1:15" x14ac:dyDescent="0.25">
      <c r="A5216" t="s">
        <v>5229</v>
      </c>
      <c r="B5216">
        <v>546</v>
      </c>
      <c r="C5216" s="1" t="str">
        <f>HYPERLINK("http://www.rosaceae.org/gb/gbrowse/malus_x_domestica/?name=MDP0000148522","MDP0000148522")</f>
        <v>MDP0000148522</v>
      </c>
      <c r="D5216">
        <v>72.650000000000006</v>
      </c>
      <c r="E5216">
        <v>362</v>
      </c>
      <c r="F5216">
        <v>99</v>
      </c>
      <c r="G5216">
        <v>22</v>
      </c>
      <c r="H5216">
        <v>203</v>
      </c>
      <c r="I5216">
        <v>546</v>
      </c>
      <c r="J5216">
        <v>1</v>
      </c>
      <c r="K5216">
        <v>185</v>
      </c>
      <c r="L5216">
        <v>542</v>
      </c>
      <c r="M5216">
        <v>1</v>
      </c>
      <c r="N5216">
        <v>3.9999200000000002E-142</v>
      </c>
      <c r="O5216">
        <v>1293</v>
      </c>
    </row>
    <row r="5217" spans="1:15" x14ac:dyDescent="0.25">
      <c r="A5217" t="s">
        <v>5230</v>
      </c>
      <c r="B5217">
        <v>312</v>
      </c>
      <c r="C5217" s="1" t="str">
        <f>HYPERLINK("http://www.rosaceae.org/gb/gbrowse/malus_x_domestica/?name=MDP0000301760","MDP0000301760")</f>
        <v>MDP0000301760</v>
      </c>
      <c r="D5217">
        <v>67.819999999999993</v>
      </c>
      <c r="E5217">
        <v>258</v>
      </c>
      <c r="F5217">
        <v>83</v>
      </c>
      <c r="G5217">
        <v>2</v>
      </c>
      <c r="H5217">
        <v>54</v>
      </c>
      <c r="I5217">
        <v>311</v>
      </c>
      <c r="J5217">
        <v>1</v>
      </c>
      <c r="K5217">
        <v>1</v>
      </c>
      <c r="L5217">
        <v>256</v>
      </c>
      <c r="M5217">
        <v>1</v>
      </c>
      <c r="N5217">
        <v>1.9544600000000002E-96</v>
      </c>
      <c r="O5217">
        <v>896</v>
      </c>
    </row>
    <row r="5218" spans="1:15" x14ac:dyDescent="0.25">
      <c r="A5218" t="s">
        <v>5231</v>
      </c>
      <c r="B5218">
        <v>896</v>
      </c>
      <c r="C5218" s="1" t="str">
        <f>HYPERLINK("http://www.rosaceae.org/gb/gbrowse/malus_x_domestica/?name=MDP0000275922","MDP0000275922")</f>
        <v>MDP0000275922</v>
      </c>
      <c r="D5218">
        <v>76.87</v>
      </c>
      <c r="E5218">
        <v>692</v>
      </c>
      <c r="F5218">
        <v>160</v>
      </c>
      <c r="G5218">
        <v>40</v>
      </c>
      <c r="H5218">
        <v>1</v>
      </c>
      <c r="I5218">
        <v>665</v>
      </c>
      <c r="J5218">
        <v>1</v>
      </c>
      <c r="K5218">
        <v>1</v>
      </c>
      <c r="L5218">
        <v>679</v>
      </c>
      <c r="M5218">
        <v>1</v>
      </c>
      <c r="N5218">
        <v>0</v>
      </c>
      <c r="O5218">
        <v>2695</v>
      </c>
    </row>
    <row r="5219" spans="1:15" x14ac:dyDescent="0.25">
      <c r="A5219" t="s">
        <v>5232</v>
      </c>
      <c r="B5219">
        <v>465</v>
      </c>
      <c r="C5219" s="1" t="str">
        <f>HYPERLINK("http://www.rosaceae.org/gb/gbrowse/malus_x_domestica/?name=MDP0000286762","MDP0000286762")</f>
        <v>MDP0000286762</v>
      </c>
      <c r="D5219">
        <v>49.88</v>
      </c>
      <c r="E5219">
        <v>453</v>
      </c>
      <c r="F5219">
        <v>227</v>
      </c>
      <c r="G5219">
        <v>84</v>
      </c>
      <c r="H5219">
        <v>10</v>
      </c>
      <c r="I5219">
        <v>458</v>
      </c>
      <c r="J5219">
        <v>1</v>
      </c>
      <c r="K5219">
        <v>17</v>
      </c>
      <c r="L5219">
        <v>389</v>
      </c>
      <c r="M5219">
        <v>1</v>
      </c>
      <c r="N5219">
        <v>1.8927500000000001E-112</v>
      </c>
      <c r="O5219">
        <v>1036</v>
      </c>
    </row>
    <row r="5220" spans="1:15" x14ac:dyDescent="0.25">
      <c r="A5220" t="s">
        <v>5233</v>
      </c>
      <c r="B5220">
        <v>146</v>
      </c>
      <c r="C5220" s="1" t="str">
        <f>HYPERLINK("http://www.rosaceae.org/gb/gbrowse/malus_x_domestica/?name=MDP0000265696","MDP0000265696")</f>
        <v>MDP0000265696</v>
      </c>
      <c r="D5220">
        <v>65.099999999999994</v>
      </c>
      <c r="E5220">
        <v>149</v>
      </c>
      <c r="F5220">
        <v>52</v>
      </c>
      <c r="G5220">
        <v>10</v>
      </c>
      <c r="H5220">
        <v>1</v>
      </c>
      <c r="I5220">
        <v>146</v>
      </c>
      <c r="J5220">
        <v>1</v>
      </c>
      <c r="K5220">
        <v>8</v>
      </c>
      <c r="L5220">
        <v>149</v>
      </c>
      <c r="M5220">
        <v>1</v>
      </c>
      <c r="N5220">
        <v>1.9442100000000002E-34</v>
      </c>
      <c r="O5220">
        <v>356</v>
      </c>
    </row>
    <row r="5221" spans="1:15" x14ac:dyDescent="0.25">
      <c r="A5221" t="s">
        <v>5234</v>
      </c>
      <c r="B5221">
        <v>691</v>
      </c>
      <c r="C5221" s="1" t="str">
        <f>HYPERLINK("http://www.rosaceae.org/gb/gbrowse/malus_x_domestica/?name=MDP0000768339","MDP0000768339")</f>
        <v>MDP0000768339</v>
      </c>
      <c r="D5221">
        <v>64.94</v>
      </c>
      <c r="E5221">
        <v>716</v>
      </c>
      <c r="F5221">
        <v>251</v>
      </c>
      <c r="G5221">
        <v>58</v>
      </c>
      <c r="H5221">
        <v>23</v>
      </c>
      <c r="I5221">
        <v>685</v>
      </c>
      <c r="J5221">
        <v>1</v>
      </c>
      <c r="K5221">
        <v>48</v>
      </c>
      <c r="L5221">
        <v>758</v>
      </c>
      <c r="M5221">
        <v>1</v>
      </c>
      <c r="N5221">
        <v>0</v>
      </c>
      <c r="O5221">
        <v>2321</v>
      </c>
    </row>
    <row r="5222" spans="1:15" x14ac:dyDescent="0.25">
      <c r="A5222" t="s">
        <v>5235</v>
      </c>
      <c r="B5222">
        <v>743</v>
      </c>
      <c r="C5222" s="1" t="str">
        <f>HYPERLINK("http://www.rosaceae.org/gb/gbrowse/malus_x_domestica/?name=MDP0000238881","MDP0000238881")</f>
        <v>MDP0000238881</v>
      </c>
      <c r="D5222">
        <v>72.510000000000005</v>
      </c>
      <c r="E5222">
        <v>382</v>
      </c>
      <c r="F5222">
        <v>105</v>
      </c>
      <c r="G5222">
        <v>20</v>
      </c>
      <c r="H5222">
        <v>1</v>
      </c>
      <c r="I5222">
        <v>375</v>
      </c>
      <c r="J5222">
        <v>1</v>
      </c>
      <c r="K5222">
        <v>1</v>
      </c>
      <c r="L5222">
        <v>369</v>
      </c>
      <c r="M5222">
        <v>1</v>
      </c>
      <c r="N5222">
        <v>9.6075799999999998E-158</v>
      </c>
      <c r="O5222">
        <v>1429</v>
      </c>
    </row>
    <row r="5223" spans="1:15" x14ac:dyDescent="0.25">
      <c r="A5223" t="s">
        <v>5236</v>
      </c>
      <c r="B5223">
        <v>378</v>
      </c>
      <c r="C5223" s="1" t="str">
        <f>HYPERLINK("http://www.rosaceae.org/gb/gbrowse/malus_x_domestica/?name=MDP0000323050","MDP0000323050")</f>
        <v>MDP0000323050</v>
      </c>
      <c r="D5223">
        <v>80.72</v>
      </c>
      <c r="E5223">
        <v>415</v>
      </c>
      <c r="F5223">
        <v>80</v>
      </c>
      <c r="G5223">
        <v>37</v>
      </c>
      <c r="H5223">
        <v>1</v>
      </c>
      <c r="I5223">
        <v>378</v>
      </c>
      <c r="J5223">
        <v>1</v>
      </c>
      <c r="K5223">
        <v>1</v>
      </c>
      <c r="L5223">
        <v>415</v>
      </c>
      <c r="M5223">
        <v>1</v>
      </c>
      <c r="N5223">
        <v>0</v>
      </c>
      <c r="O5223">
        <v>1755</v>
      </c>
    </row>
    <row r="5224" spans="1:15" x14ac:dyDescent="0.25">
      <c r="A5224" t="s">
        <v>5237</v>
      </c>
      <c r="B5224">
        <v>470</v>
      </c>
      <c r="C5224" s="1" t="str">
        <f>HYPERLINK("http://www.rosaceae.org/gb/gbrowse/malus_x_domestica/?name=MDP0000221114","MDP0000221114")</f>
        <v>MDP0000221114</v>
      </c>
      <c r="D5224">
        <v>65.06</v>
      </c>
      <c r="E5224">
        <v>438</v>
      </c>
      <c r="F5224">
        <v>153</v>
      </c>
      <c r="G5224">
        <v>8</v>
      </c>
      <c r="H5224">
        <v>38</v>
      </c>
      <c r="I5224">
        <v>468</v>
      </c>
      <c r="J5224">
        <v>1</v>
      </c>
      <c r="K5224">
        <v>37</v>
      </c>
      <c r="L5224">
        <v>473</v>
      </c>
      <c r="M5224">
        <v>1</v>
      </c>
      <c r="N5224">
        <v>1.4059799999999999E-178</v>
      </c>
      <c r="O5224">
        <v>1606</v>
      </c>
    </row>
    <row r="5225" spans="1:15" x14ac:dyDescent="0.25">
      <c r="A5225" t="s">
        <v>5238</v>
      </c>
      <c r="B5225">
        <v>434</v>
      </c>
      <c r="C5225" s="1" t="str">
        <f>HYPERLINK("http://www.rosaceae.org/gb/gbrowse/malus_x_domestica/?name=MDP0000418633","MDP0000418633")</f>
        <v>MDP0000418633</v>
      </c>
      <c r="D5225">
        <v>79.430000000000007</v>
      </c>
      <c r="E5225">
        <v>462</v>
      </c>
      <c r="F5225">
        <v>95</v>
      </c>
      <c r="G5225">
        <v>35</v>
      </c>
      <c r="H5225">
        <v>2</v>
      </c>
      <c r="I5225">
        <v>434</v>
      </c>
      <c r="J5225">
        <v>1</v>
      </c>
      <c r="K5225">
        <v>7</v>
      </c>
      <c r="L5225">
        <v>462</v>
      </c>
      <c r="M5225">
        <v>1</v>
      </c>
      <c r="N5225">
        <v>0</v>
      </c>
      <c r="O5225">
        <v>1931</v>
      </c>
    </row>
    <row r="5226" spans="1:15" x14ac:dyDescent="0.25">
      <c r="A5226" t="s">
        <v>5239</v>
      </c>
      <c r="B5226">
        <v>149</v>
      </c>
      <c r="C5226" s="1" t="str">
        <f>HYPERLINK("http://www.rosaceae.org/gb/gbrowse/malus_x_domestica/?name=MDP0000840330","MDP0000840330")</f>
        <v>MDP0000840330</v>
      </c>
      <c r="D5226">
        <v>63.63</v>
      </c>
      <c r="E5226">
        <v>132</v>
      </c>
      <c r="F5226">
        <v>48</v>
      </c>
      <c r="G5226">
        <v>13</v>
      </c>
      <c r="H5226">
        <v>14</v>
      </c>
      <c r="I5226">
        <v>140</v>
      </c>
      <c r="J5226">
        <v>1</v>
      </c>
      <c r="K5226">
        <v>19</v>
      </c>
      <c r="L5226">
        <v>142</v>
      </c>
      <c r="M5226">
        <v>1</v>
      </c>
      <c r="N5226">
        <v>3.8106600000000003E-36</v>
      </c>
      <c r="O5226">
        <v>371</v>
      </c>
    </row>
    <row r="5227" spans="1:15" x14ac:dyDescent="0.25">
      <c r="A5227" t="s">
        <v>5240</v>
      </c>
      <c r="B5227">
        <v>400</v>
      </c>
      <c r="C5227" s="1" t="str">
        <f>HYPERLINK("http://www.rosaceae.org/gb/gbrowse/malus_x_domestica/?name=MDP0000271593","MDP0000271593")</f>
        <v>MDP0000271593</v>
      </c>
      <c r="D5227">
        <v>71.11</v>
      </c>
      <c r="E5227">
        <v>90</v>
      </c>
      <c r="F5227">
        <v>26</v>
      </c>
      <c r="G5227">
        <v>3</v>
      </c>
      <c r="H5227">
        <v>303</v>
      </c>
      <c r="I5227">
        <v>392</v>
      </c>
      <c r="J5227">
        <v>1</v>
      </c>
      <c r="K5227">
        <v>27</v>
      </c>
      <c r="L5227">
        <v>113</v>
      </c>
      <c r="M5227">
        <v>1</v>
      </c>
      <c r="N5227">
        <v>2.1377799999999999E-33</v>
      </c>
      <c r="O5227">
        <v>353</v>
      </c>
    </row>
    <row r="5228" spans="1:15" x14ac:dyDescent="0.25">
      <c r="A5228" t="s">
        <v>5241</v>
      </c>
      <c r="B5228">
        <v>518</v>
      </c>
      <c r="C5228" s="1" t="str">
        <f>HYPERLINK("http://www.rosaceae.org/gb/gbrowse/malus_x_domestica/?name=MDP0000182101","MDP0000182101")</f>
        <v>MDP0000182101</v>
      </c>
      <c r="D5228">
        <v>29.68</v>
      </c>
      <c r="E5228">
        <v>128</v>
      </c>
      <c r="F5228">
        <v>90</v>
      </c>
      <c r="G5228">
        <v>1</v>
      </c>
      <c r="H5228">
        <v>385</v>
      </c>
      <c r="I5228">
        <v>511</v>
      </c>
      <c r="J5228">
        <v>1</v>
      </c>
      <c r="K5228">
        <v>206</v>
      </c>
      <c r="L5228">
        <v>333</v>
      </c>
      <c r="M5228">
        <v>1</v>
      </c>
      <c r="N5228">
        <v>2.60567E-11</v>
      </c>
      <c r="O5228">
        <v>164</v>
      </c>
    </row>
    <row r="5229" spans="1:15" x14ac:dyDescent="0.25">
      <c r="A5229" t="s">
        <v>5242</v>
      </c>
      <c r="B5229">
        <v>586</v>
      </c>
      <c r="C5229" s="1" t="str">
        <f>HYPERLINK("http://www.rosaceae.org/gb/gbrowse/malus_x_domestica/?name=MDP0000306176","MDP0000306176")</f>
        <v>MDP0000306176</v>
      </c>
      <c r="D5229">
        <v>60.96</v>
      </c>
      <c r="E5229">
        <v>479</v>
      </c>
      <c r="F5229">
        <v>187</v>
      </c>
      <c r="G5229">
        <v>2</v>
      </c>
      <c r="H5229">
        <v>108</v>
      </c>
      <c r="I5229">
        <v>585</v>
      </c>
      <c r="J5229">
        <v>1</v>
      </c>
      <c r="K5229">
        <v>246</v>
      </c>
      <c r="L5229">
        <v>723</v>
      </c>
      <c r="M5229">
        <v>1</v>
      </c>
      <c r="N5229">
        <v>5.1643400000000001E-175</v>
      </c>
      <c r="O5229">
        <v>1576</v>
      </c>
    </row>
    <row r="5230" spans="1:15" x14ac:dyDescent="0.25">
      <c r="A5230" t="s">
        <v>5243</v>
      </c>
      <c r="B5230">
        <v>625</v>
      </c>
      <c r="C5230" s="1" t="str">
        <f>HYPERLINK("http://www.rosaceae.org/gb/gbrowse/malus_x_domestica/?name=MDP0000145463","MDP0000145463")</f>
        <v>MDP0000145463</v>
      </c>
      <c r="D5230">
        <v>71.569999999999993</v>
      </c>
      <c r="E5230">
        <v>570</v>
      </c>
      <c r="F5230">
        <v>162</v>
      </c>
      <c r="G5230">
        <v>9</v>
      </c>
      <c r="H5230">
        <v>35</v>
      </c>
      <c r="I5230">
        <v>602</v>
      </c>
      <c r="J5230">
        <v>1</v>
      </c>
      <c r="K5230">
        <v>41</v>
      </c>
      <c r="L5230">
        <v>603</v>
      </c>
      <c r="M5230">
        <v>1</v>
      </c>
      <c r="N5230">
        <v>0</v>
      </c>
      <c r="O5230">
        <v>2145</v>
      </c>
    </row>
    <row r="5231" spans="1:15" x14ac:dyDescent="0.25">
      <c r="A5231" t="s">
        <v>5244</v>
      </c>
      <c r="B5231">
        <v>377</v>
      </c>
      <c r="C5231" s="1" t="str">
        <f>HYPERLINK("http://www.rosaceae.org/gb/gbrowse/malus_x_domestica/?name=MDP0000124752","MDP0000124752")</f>
        <v>MDP0000124752</v>
      </c>
      <c r="D5231">
        <v>72.58</v>
      </c>
      <c r="E5231">
        <v>248</v>
      </c>
      <c r="F5231">
        <v>68</v>
      </c>
      <c r="G5231">
        <v>3</v>
      </c>
      <c r="H5231">
        <v>70</v>
      </c>
      <c r="I5231">
        <v>317</v>
      </c>
      <c r="J5231">
        <v>1</v>
      </c>
      <c r="K5231">
        <v>1</v>
      </c>
      <c r="L5231">
        <v>245</v>
      </c>
      <c r="M5231">
        <v>1</v>
      </c>
      <c r="N5231">
        <v>6.7479799999999995E-101</v>
      </c>
      <c r="O5231">
        <v>935</v>
      </c>
    </row>
    <row r="5232" spans="1:15" x14ac:dyDescent="0.25">
      <c r="A5232" t="s">
        <v>5245</v>
      </c>
      <c r="B5232">
        <v>617</v>
      </c>
      <c r="C5232" s="1" t="str">
        <f>HYPERLINK("http://www.rosaceae.org/gb/gbrowse/malus_x_domestica/?name=MDP0000259885","MDP0000259885")</f>
        <v>MDP0000259885</v>
      </c>
      <c r="D5232">
        <v>80.900000000000006</v>
      </c>
      <c r="E5232">
        <v>618</v>
      </c>
      <c r="F5232">
        <v>118</v>
      </c>
      <c r="G5232">
        <v>16</v>
      </c>
      <c r="H5232">
        <v>13</v>
      </c>
      <c r="I5232">
        <v>617</v>
      </c>
      <c r="J5232">
        <v>1</v>
      </c>
      <c r="K5232">
        <v>14</v>
      </c>
      <c r="L5232">
        <v>628</v>
      </c>
      <c r="M5232">
        <v>1</v>
      </c>
      <c r="N5232">
        <v>0</v>
      </c>
      <c r="O5232">
        <v>2571</v>
      </c>
    </row>
    <row r="5233" spans="1:15" x14ac:dyDescent="0.25">
      <c r="A5233" t="s">
        <v>5246</v>
      </c>
      <c r="B5233">
        <v>553</v>
      </c>
      <c r="C5233" s="1" t="str">
        <f>HYPERLINK("http://www.rosaceae.org/gb/gbrowse/malus_x_domestica/?name=MDP0000236849","MDP0000236849")</f>
        <v>MDP0000236849</v>
      </c>
      <c r="D5233">
        <v>84.13</v>
      </c>
      <c r="E5233">
        <v>145</v>
      </c>
      <c r="F5233">
        <v>23</v>
      </c>
      <c r="G5233">
        <v>0</v>
      </c>
      <c r="H5233">
        <v>17</v>
      </c>
      <c r="I5233">
        <v>161</v>
      </c>
      <c r="J5233">
        <v>1</v>
      </c>
      <c r="K5233">
        <v>17</v>
      </c>
      <c r="L5233">
        <v>161</v>
      </c>
      <c r="M5233">
        <v>1</v>
      </c>
      <c r="N5233">
        <v>1.00631E-72</v>
      </c>
      <c r="O5233">
        <v>694</v>
      </c>
    </row>
    <row r="5234" spans="1:15" x14ac:dyDescent="0.25">
      <c r="A5234" t="s">
        <v>5247</v>
      </c>
      <c r="B5234">
        <v>977</v>
      </c>
      <c r="C5234" s="1" t="str">
        <f>HYPERLINK("http://www.rosaceae.org/gb/gbrowse/malus_x_domestica/?name=MDP0000309706","MDP0000309706")</f>
        <v>MDP0000309706</v>
      </c>
      <c r="D5234">
        <v>39.090000000000003</v>
      </c>
      <c r="E5234">
        <v>798</v>
      </c>
      <c r="F5234">
        <v>486</v>
      </c>
      <c r="G5234">
        <v>75</v>
      </c>
      <c r="H5234">
        <v>173</v>
      </c>
      <c r="I5234">
        <v>961</v>
      </c>
      <c r="J5234">
        <v>1</v>
      </c>
      <c r="K5234">
        <v>147</v>
      </c>
      <c r="L5234">
        <v>878</v>
      </c>
      <c r="M5234">
        <v>1</v>
      </c>
      <c r="N5234">
        <v>6.5043999999999997E-138</v>
      </c>
      <c r="O5234">
        <v>1259</v>
      </c>
    </row>
    <row r="5235" spans="1:15" x14ac:dyDescent="0.25">
      <c r="A5235" t="s">
        <v>5248</v>
      </c>
      <c r="B5235">
        <v>424</v>
      </c>
      <c r="C5235" s="1" t="str">
        <f>HYPERLINK("http://www.rosaceae.org/gb/gbrowse/malus_x_domestica/?name=MDP0000206198","MDP0000206198")</f>
        <v>MDP0000206198</v>
      </c>
      <c r="D5235">
        <v>76.44</v>
      </c>
      <c r="E5235">
        <v>433</v>
      </c>
      <c r="F5235">
        <v>102</v>
      </c>
      <c r="G5235">
        <v>26</v>
      </c>
      <c r="H5235">
        <v>16</v>
      </c>
      <c r="I5235">
        <v>423</v>
      </c>
      <c r="J5235">
        <v>1</v>
      </c>
      <c r="K5235">
        <v>32</v>
      </c>
      <c r="L5235">
        <v>463</v>
      </c>
      <c r="M5235">
        <v>1</v>
      </c>
      <c r="N5235">
        <v>0</v>
      </c>
      <c r="O5235">
        <v>1730</v>
      </c>
    </row>
    <row r="5236" spans="1:15" x14ac:dyDescent="0.25">
      <c r="A5236" t="s">
        <v>5249</v>
      </c>
      <c r="B5236">
        <v>740</v>
      </c>
      <c r="C5236" s="1" t="str">
        <f>HYPERLINK("http://www.rosaceae.org/gb/gbrowse/malus_x_domestica/?name=MDP0000143891","MDP0000143891")</f>
        <v>MDP0000143891</v>
      </c>
      <c r="D5236">
        <v>61.03</v>
      </c>
      <c r="E5236">
        <v>213</v>
      </c>
      <c r="F5236">
        <v>83</v>
      </c>
      <c r="G5236">
        <v>8</v>
      </c>
      <c r="H5236">
        <v>512</v>
      </c>
      <c r="I5236">
        <v>724</v>
      </c>
      <c r="J5236">
        <v>1</v>
      </c>
      <c r="K5236">
        <v>6</v>
      </c>
      <c r="L5236">
        <v>210</v>
      </c>
      <c r="M5236">
        <v>1</v>
      </c>
      <c r="N5236">
        <v>7.3142499999999996E-75</v>
      </c>
      <c r="O5236">
        <v>714</v>
      </c>
    </row>
    <row r="5237" spans="1:15" x14ac:dyDescent="0.25">
      <c r="A5237" t="s">
        <v>5250</v>
      </c>
      <c r="B5237">
        <v>522</v>
      </c>
      <c r="C5237" s="1" t="str">
        <f>HYPERLINK("http://www.rosaceae.org/gb/gbrowse/malus_x_domestica/?name=MDP0000223787","MDP0000223787")</f>
        <v>MDP0000223787</v>
      </c>
      <c r="D5237">
        <v>67.180000000000007</v>
      </c>
      <c r="E5237">
        <v>448</v>
      </c>
      <c r="F5237">
        <v>147</v>
      </c>
      <c r="G5237">
        <v>7</v>
      </c>
      <c r="H5237">
        <v>79</v>
      </c>
      <c r="I5237">
        <v>521</v>
      </c>
      <c r="J5237">
        <v>1</v>
      </c>
      <c r="K5237">
        <v>43</v>
      </c>
      <c r="L5237">
        <v>488</v>
      </c>
      <c r="M5237">
        <v>1</v>
      </c>
      <c r="N5237">
        <v>9.3225099999999998E-166</v>
      </c>
      <c r="O5237">
        <v>1496</v>
      </c>
    </row>
    <row r="5238" spans="1:15" x14ac:dyDescent="0.25">
      <c r="A5238" t="s">
        <v>5251</v>
      </c>
      <c r="B5238">
        <v>2182</v>
      </c>
      <c r="C5238" s="1" t="str">
        <f>HYPERLINK("http://www.rosaceae.org/gb/gbrowse/malus_x_domestica/?name=MDP0000250529","MDP0000250529")</f>
        <v>MDP0000250529</v>
      </c>
      <c r="D5238">
        <v>64.349999999999994</v>
      </c>
      <c r="E5238">
        <v>2017</v>
      </c>
      <c r="F5238">
        <v>719</v>
      </c>
      <c r="G5238">
        <v>101</v>
      </c>
      <c r="H5238">
        <v>187</v>
      </c>
      <c r="I5238">
        <v>2112</v>
      </c>
      <c r="J5238">
        <v>1</v>
      </c>
      <c r="K5238">
        <v>1</v>
      </c>
      <c r="L5238">
        <v>2007</v>
      </c>
      <c r="M5238">
        <v>1</v>
      </c>
      <c r="N5238">
        <v>0</v>
      </c>
      <c r="O5238">
        <v>6242</v>
      </c>
    </row>
    <row r="5239" spans="1:15" x14ac:dyDescent="0.25">
      <c r="A5239" t="s">
        <v>5252</v>
      </c>
      <c r="B5239">
        <v>245</v>
      </c>
      <c r="C5239" s="1" t="str">
        <f>HYPERLINK("http://www.rosaceae.org/gb/gbrowse/malus_x_domestica/?name=MDP0000197534","MDP0000197534")</f>
        <v>MDP0000197534</v>
      </c>
      <c r="D5239">
        <v>45.26</v>
      </c>
      <c r="E5239">
        <v>243</v>
      </c>
      <c r="F5239">
        <v>133</v>
      </c>
      <c r="G5239">
        <v>10</v>
      </c>
      <c r="H5239">
        <v>11</v>
      </c>
      <c r="I5239">
        <v>245</v>
      </c>
      <c r="J5239">
        <v>1</v>
      </c>
      <c r="K5239">
        <v>37</v>
      </c>
      <c r="L5239">
        <v>277</v>
      </c>
      <c r="M5239">
        <v>1</v>
      </c>
      <c r="N5239">
        <v>1.60867E-55</v>
      </c>
      <c r="O5239">
        <v>542</v>
      </c>
    </row>
    <row r="5240" spans="1:15" x14ac:dyDescent="0.25">
      <c r="A5240" t="s">
        <v>5253</v>
      </c>
      <c r="B5240">
        <v>406</v>
      </c>
      <c r="C5240" s="1" t="str">
        <f>HYPERLINK("http://www.rosaceae.org/gb/gbrowse/malus_x_domestica/?name=MDP0000218652","MDP0000218652")</f>
        <v>MDP0000218652</v>
      </c>
      <c r="D5240">
        <v>55.78</v>
      </c>
      <c r="E5240">
        <v>346</v>
      </c>
      <c r="F5240">
        <v>153</v>
      </c>
      <c r="G5240">
        <v>29</v>
      </c>
      <c r="H5240">
        <v>46</v>
      </c>
      <c r="I5240">
        <v>384</v>
      </c>
      <c r="J5240">
        <v>1</v>
      </c>
      <c r="K5240">
        <v>6</v>
      </c>
      <c r="L5240">
        <v>329</v>
      </c>
      <c r="M5240">
        <v>1</v>
      </c>
      <c r="N5240">
        <v>4.2272300000000001E-111</v>
      </c>
      <c r="O5240">
        <v>1024</v>
      </c>
    </row>
    <row r="5241" spans="1:15" x14ac:dyDescent="0.25">
      <c r="A5241" t="s">
        <v>5254</v>
      </c>
      <c r="B5241">
        <v>297</v>
      </c>
      <c r="C5241" s="1" t="str">
        <f>HYPERLINK("http://www.rosaceae.org/gb/gbrowse/malus_x_domestica/?name=MDP0000184509","MDP0000184509")</f>
        <v>MDP0000184509</v>
      </c>
      <c r="D5241">
        <v>79.62</v>
      </c>
      <c r="E5241">
        <v>324</v>
      </c>
      <c r="F5241">
        <v>66</v>
      </c>
      <c r="G5241">
        <v>27</v>
      </c>
      <c r="H5241">
        <v>1</v>
      </c>
      <c r="I5241">
        <v>297</v>
      </c>
      <c r="J5241">
        <v>1</v>
      </c>
      <c r="K5241">
        <v>1</v>
      </c>
      <c r="L5241">
        <v>324</v>
      </c>
      <c r="M5241">
        <v>1</v>
      </c>
      <c r="N5241">
        <v>1.1673599999999999E-149</v>
      </c>
      <c r="O5241">
        <v>1355</v>
      </c>
    </row>
    <row r="5242" spans="1:15" x14ac:dyDescent="0.25">
      <c r="A5242" t="s">
        <v>5255</v>
      </c>
      <c r="B5242">
        <v>696</v>
      </c>
      <c r="C5242" s="1" t="str">
        <f>HYPERLINK("http://www.rosaceae.org/gb/gbrowse/malus_x_domestica/?name=MDP0000488472","MDP0000488472")</f>
        <v>MDP0000488472</v>
      </c>
      <c r="D5242">
        <v>78.989999999999995</v>
      </c>
      <c r="E5242">
        <v>695</v>
      </c>
      <c r="F5242">
        <v>146</v>
      </c>
      <c r="G5242">
        <v>0</v>
      </c>
      <c r="H5242">
        <v>1</v>
      </c>
      <c r="I5242">
        <v>695</v>
      </c>
      <c r="J5242">
        <v>1</v>
      </c>
      <c r="K5242">
        <v>1</v>
      </c>
      <c r="L5242">
        <v>695</v>
      </c>
      <c r="M5242">
        <v>1</v>
      </c>
      <c r="N5242">
        <v>0</v>
      </c>
      <c r="O5242">
        <v>2952</v>
      </c>
    </row>
    <row r="5243" spans="1:15" x14ac:dyDescent="0.25">
      <c r="A5243" t="s">
        <v>5256</v>
      </c>
      <c r="B5243">
        <v>239</v>
      </c>
      <c r="C5243" s="1" t="str">
        <f>HYPERLINK("http://www.rosaceae.org/gb/gbrowse/malus_x_domestica/?name=MDP0000259057","MDP0000259057")</f>
        <v>MDP0000259057</v>
      </c>
      <c r="D5243">
        <v>64.44</v>
      </c>
      <c r="E5243">
        <v>45</v>
      </c>
      <c r="F5243">
        <v>16</v>
      </c>
      <c r="G5243">
        <v>0</v>
      </c>
      <c r="H5243">
        <v>20</v>
      </c>
      <c r="I5243">
        <v>64</v>
      </c>
      <c r="J5243">
        <v>1</v>
      </c>
      <c r="K5243">
        <v>95</v>
      </c>
      <c r="L5243">
        <v>139</v>
      </c>
      <c r="M5243">
        <v>1</v>
      </c>
      <c r="N5243">
        <v>2.8801099999999999E-9</v>
      </c>
      <c r="O5243">
        <v>143</v>
      </c>
    </row>
    <row r="5244" spans="1:15" x14ac:dyDescent="0.25">
      <c r="A5244" t="s">
        <v>5257</v>
      </c>
      <c r="B5244">
        <v>241</v>
      </c>
      <c r="C5244" s="1" t="str">
        <f>HYPERLINK("http://www.rosaceae.org/gb/gbrowse/malus_x_domestica/?name=MDP0000283174","MDP0000283174")</f>
        <v>MDP0000283174</v>
      </c>
      <c r="D5244">
        <v>47.58</v>
      </c>
      <c r="E5244">
        <v>124</v>
      </c>
      <c r="F5244">
        <v>65</v>
      </c>
      <c r="G5244">
        <v>11</v>
      </c>
      <c r="H5244">
        <v>99</v>
      </c>
      <c r="I5244">
        <v>214</v>
      </c>
      <c r="J5244">
        <v>1</v>
      </c>
      <c r="K5244">
        <v>477</v>
      </c>
      <c r="L5244">
        <v>597</v>
      </c>
      <c r="M5244">
        <v>1</v>
      </c>
      <c r="N5244">
        <v>1.19038E-18</v>
      </c>
      <c r="O5244">
        <v>224</v>
      </c>
    </row>
    <row r="5245" spans="1:15" x14ac:dyDescent="0.25">
      <c r="A5245" t="s">
        <v>5258</v>
      </c>
      <c r="B5245">
        <v>593</v>
      </c>
      <c r="C5245" s="1" t="str">
        <f>HYPERLINK("http://www.rosaceae.org/gb/gbrowse/malus_x_domestica/?name=MDP0000147030","MDP0000147030")</f>
        <v>MDP0000147030</v>
      </c>
      <c r="D5245">
        <v>80.23</v>
      </c>
      <c r="E5245">
        <v>511</v>
      </c>
      <c r="F5245">
        <v>101</v>
      </c>
      <c r="G5245">
        <v>30</v>
      </c>
      <c r="H5245">
        <v>1</v>
      </c>
      <c r="I5245">
        <v>511</v>
      </c>
      <c r="J5245">
        <v>1</v>
      </c>
      <c r="K5245">
        <v>46</v>
      </c>
      <c r="L5245">
        <v>526</v>
      </c>
      <c r="M5245">
        <v>1</v>
      </c>
      <c r="N5245">
        <v>0</v>
      </c>
      <c r="O5245">
        <v>2142</v>
      </c>
    </row>
    <row r="5246" spans="1:15" x14ac:dyDescent="0.25">
      <c r="A5246" t="s">
        <v>5259</v>
      </c>
      <c r="B5246">
        <v>1407</v>
      </c>
      <c r="C5246" s="1" t="str">
        <f>HYPERLINK("http://www.rosaceae.org/gb/gbrowse/malus_x_domestica/?name=MDP0000276517","MDP0000276517")</f>
        <v>MDP0000276517</v>
      </c>
      <c r="D5246">
        <v>67.13</v>
      </c>
      <c r="E5246">
        <v>788</v>
      </c>
      <c r="F5246">
        <v>259</v>
      </c>
      <c r="G5246">
        <v>7</v>
      </c>
      <c r="H5246">
        <v>627</v>
      </c>
      <c r="I5246">
        <v>1407</v>
      </c>
      <c r="J5246">
        <v>1</v>
      </c>
      <c r="K5246">
        <v>20</v>
      </c>
      <c r="L5246">
        <v>807</v>
      </c>
      <c r="M5246">
        <v>1</v>
      </c>
      <c r="N5246">
        <v>0</v>
      </c>
      <c r="O5246">
        <v>2839</v>
      </c>
    </row>
    <row r="5247" spans="1:15" x14ac:dyDescent="0.25">
      <c r="A5247" t="s">
        <v>5260</v>
      </c>
      <c r="B5247">
        <v>213</v>
      </c>
      <c r="C5247" s="1" t="str">
        <f>HYPERLINK("http://www.rosaceae.org/gb/gbrowse/malus_x_domestica/?name=MDP0000248991","MDP0000248991")</f>
        <v>MDP0000248991</v>
      </c>
      <c r="D5247">
        <v>54.62</v>
      </c>
      <c r="E5247">
        <v>216</v>
      </c>
      <c r="F5247">
        <v>98</v>
      </c>
      <c r="G5247">
        <v>9</v>
      </c>
      <c r="H5247">
        <v>1</v>
      </c>
      <c r="I5247">
        <v>213</v>
      </c>
      <c r="J5247">
        <v>1</v>
      </c>
      <c r="K5247">
        <v>1</v>
      </c>
      <c r="L5247">
        <v>210</v>
      </c>
      <c r="M5247">
        <v>1</v>
      </c>
      <c r="N5247">
        <v>4.7985600000000002E-52</v>
      </c>
      <c r="O5247">
        <v>511</v>
      </c>
    </row>
    <row r="5248" spans="1:15" x14ac:dyDescent="0.25">
      <c r="A5248" t="s">
        <v>5261</v>
      </c>
      <c r="B5248">
        <v>748</v>
      </c>
      <c r="C5248" s="1" t="str">
        <f>HYPERLINK("http://www.rosaceae.org/gb/gbrowse/malus_x_domestica/?name=MDP0000310854","MDP0000310854")</f>
        <v>MDP0000310854</v>
      </c>
      <c r="D5248">
        <v>54.3</v>
      </c>
      <c r="E5248">
        <v>755</v>
      </c>
      <c r="F5248">
        <v>345</v>
      </c>
      <c r="G5248">
        <v>56</v>
      </c>
      <c r="H5248">
        <v>33</v>
      </c>
      <c r="I5248">
        <v>748</v>
      </c>
      <c r="J5248">
        <v>1</v>
      </c>
      <c r="K5248">
        <v>22</v>
      </c>
      <c r="L5248">
        <v>759</v>
      </c>
      <c r="M5248">
        <v>1</v>
      </c>
      <c r="N5248">
        <v>0</v>
      </c>
      <c r="O5248">
        <v>1956</v>
      </c>
    </row>
    <row r="5249" spans="1:15" x14ac:dyDescent="0.25">
      <c r="A5249" t="s">
        <v>5262</v>
      </c>
      <c r="B5249">
        <v>1002</v>
      </c>
      <c r="C5249" s="1" t="str">
        <f>HYPERLINK("http://www.rosaceae.org/gb/gbrowse/malus_x_domestica/?name=MDP0000124995","MDP0000124995")</f>
        <v>MDP0000124995</v>
      </c>
      <c r="D5249">
        <v>48.46</v>
      </c>
      <c r="E5249">
        <v>912</v>
      </c>
      <c r="F5249">
        <v>470</v>
      </c>
      <c r="G5249">
        <v>45</v>
      </c>
      <c r="H5249">
        <v>5</v>
      </c>
      <c r="I5249">
        <v>900</v>
      </c>
      <c r="J5249">
        <v>1</v>
      </c>
      <c r="K5249">
        <v>18</v>
      </c>
      <c r="L5249">
        <v>900</v>
      </c>
      <c r="M5249">
        <v>1</v>
      </c>
      <c r="N5249">
        <v>0</v>
      </c>
      <c r="O5249">
        <v>1859</v>
      </c>
    </row>
    <row r="5250" spans="1:15" x14ac:dyDescent="0.25">
      <c r="A5250" t="s">
        <v>5263</v>
      </c>
      <c r="B5250">
        <v>374</v>
      </c>
      <c r="C5250" s="1" t="str">
        <f>HYPERLINK("http://www.rosaceae.org/gb/gbrowse/malus_x_domestica/?name=MDP0000130824","MDP0000130824")</f>
        <v>MDP0000130824</v>
      </c>
      <c r="D5250">
        <v>74.540000000000006</v>
      </c>
      <c r="E5250">
        <v>385</v>
      </c>
      <c r="F5250">
        <v>98</v>
      </c>
      <c r="G5250">
        <v>51</v>
      </c>
      <c r="H5250">
        <v>17</v>
      </c>
      <c r="I5250">
        <v>371</v>
      </c>
      <c r="J5250">
        <v>1</v>
      </c>
      <c r="K5250">
        <v>167</v>
      </c>
      <c r="L5250">
        <v>530</v>
      </c>
      <c r="M5250">
        <v>1</v>
      </c>
      <c r="N5250">
        <v>1.61213E-166</v>
      </c>
      <c r="O5250">
        <v>1501</v>
      </c>
    </row>
    <row r="5251" spans="1:15" x14ac:dyDescent="0.25">
      <c r="A5251" t="s">
        <v>5264</v>
      </c>
      <c r="B5251">
        <v>164</v>
      </c>
      <c r="C5251" s="1" t="str">
        <f>HYPERLINK("http://www.rosaceae.org/gb/gbrowse/malus_x_domestica/?name=MDP0000220469","MDP0000220469")</f>
        <v>MDP0000220469</v>
      </c>
      <c r="D5251">
        <v>49.64</v>
      </c>
      <c r="E5251">
        <v>139</v>
      </c>
      <c r="F5251">
        <v>70</v>
      </c>
      <c r="G5251">
        <v>19</v>
      </c>
      <c r="H5251">
        <v>19</v>
      </c>
      <c r="I5251">
        <v>139</v>
      </c>
      <c r="J5251">
        <v>1</v>
      </c>
      <c r="K5251">
        <v>21</v>
      </c>
      <c r="L5251">
        <v>158</v>
      </c>
      <c r="M5251">
        <v>1</v>
      </c>
      <c r="N5251">
        <v>4.3130700000000002E-28</v>
      </c>
      <c r="O5251">
        <v>302</v>
      </c>
    </row>
    <row r="5252" spans="1:15" x14ac:dyDescent="0.25">
      <c r="A5252" t="s">
        <v>5265</v>
      </c>
      <c r="B5252">
        <v>157</v>
      </c>
      <c r="C5252" s="1" t="str">
        <f>HYPERLINK("http://www.rosaceae.org/gb/gbrowse/malus_x_domestica/?name=MDP0000141893","MDP0000141893")</f>
        <v>MDP0000141893</v>
      </c>
      <c r="D5252">
        <v>86.77</v>
      </c>
      <c r="E5252">
        <v>121</v>
      </c>
      <c r="F5252">
        <v>16</v>
      </c>
      <c r="G5252">
        <v>4</v>
      </c>
      <c r="H5252">
        <v>1</v>
      </c>
      <c r="I5252">
        <v>119</v>
      </c>
      <c r="J5252">
        <v>1</v>
      </c>
      <c r="K5252">
        <v>1</v>
      </c>
      <c r="L5252">
        <v>119</v>
      </c>
      <c r="M5252">
        <v>1</v>
      </c>
      <c r="N5252">
        <v>1.8501799999999999E-51</v>
      </c>
      <c r="O5252">
        <v>504</v>
      </c>
    </row>
    <row r="5253" spans="1:15" x14ac:dyDescent="0.25">
      <c r="A5253" t="s">
        <v>5266</v>
      </c>
      <c r="B5253">
        <v>215</v>
      </c>
      <c r="C5253" s="1" t="str">
        <f>HYPERLINK("http://www.rosaceae.org/gb/gbrowse/malus_x_domestica/?name=MDP0000674744","MDP0000674744")</f>
        <v>MDP0000674744</v>
      </c>
      <c r="D5253">
        <v>57.97</v>
      </c>
      <c r="E5253">
        <v>69</v>
      </c>
      <c r="F5253">
        <v>29</v>
      </c>
      <c r="G5253">
        <v>5</v>
      </c>
      <c r="H5253">
        <v>93</v>
      </c>
      <c r="I5253">
        <v>158</v>
      </c>
      <c r="J5253">
        <v>1</v>
      </c>
      <c r="K5253">
        <v>70</v>
      </c>
      <c r="L5253">
        <v>136</v>
      </c>
      <c r="M5253">
        <v>1</v>
      </c>
      <c r="N5253">
        <v>3.1244799999999999E-9</v>
      </c>
      <c r="O5253">
        <v>142</v>
      </c>
    </row>
    <row r="5254" spans="1:15" x14ac:dyDescent="0.25">
      <c r="A5254" t="s">
        <v>5267</v>
      </c>
      <c r="B5254">
        <v>310</v>
      </c>
      <c r="C5254" s="1" t="str">
        <f>HYPERLINK("http://www.rosaceae.org/gb/gbrowse/malus_x_domestica/?name=MDP0000169760","MDP0000169760")</f>
        <v>MDP0000169760</v>
      </c>
      <c r="D5254">
        <v>47.76</v>
      </c>
      <c r="E5254">
        <v>268</v>
      </c>
      <c r="F5254">
        <v>140</v>
      </c>
      <c r="G5254">
        <v>26</v>
      </c>
      <c r="H5254">
        <v>1</v>
      </c>
      <c r="I5254">
        <v>256</v>
      </c>
      <c r="J5254">
        <v>1</v>
      </c>
      <c r="K5254">
        <v>1</v>
      </c>
      <c r="L5254">
        <v>254</v>
      </c>
      <c r="M5254">
        <v>1</v>
      </c>
      <c r="N5254">
        <v>5.29334E-51</v>
      </c>
      <c r="O5254">
        <v>504</v>
      </c>
    </row>
    <row r="5255" spans="1:15" x14ac:dyDescent="0.25">
      <c r="A5255" t="s">
        <v>5268</v>
      </c>
      <c r="B5255">
        <v>590</v>
      </c>
      <c r="C5255" s="1" t="str">
        <f>HYPERLINK("http://www.rosaceae.org/gb/gbrowse/malus_x_domestica/?name=MDP0000755159","MDP0000755159")</f>
        <v>MDP0000755159</v>
      </c>
      <c r="D5255">
        <v>59.22</v>
      </c>
      <c r="E5255">
        <v>206</v>
      </c>
      <c r="F5255">
        <v>84</v>
      </c>
      <c r="G5255">
        <v>1</v>
      </c>
      <c r="H5255">
        <v>250</v>
      </c>
      <c r="I5255">
        <v>455</v>
      </c>
      <c r="J5255">
        <v>1</v>
      </c>
      <c r="K5255">
        <v>766</v>
      </c>
      <c r="L5255">
        <v>970</v>
      </c>
      <c r="M5255">
        <v>1</v>
      </c>
      <c r="N5255">
        <v>1.84891E-63</v>
      </c>
      <c r="O5255">
        <v>614</v>
      </c>
    </row>
    <row r="5256" spans="1:15" x14ac:dyDescent="0.25">
      <c r="A5256" t="s">
        <v>5269</v>
      </c>
      <c r="B5256">
        <v>201</v>
      </c>
      <c r="C5256" s="1" t="str">
        <f>HYPERLINK("http://www.rosaceae.org/gb/gbrowse/malus_x_domestica/?name=MDP0000495488","MDP0000495488")</f>
        <v>MDP0000495488</v>
      </c>
      <c r="D5256">
        <v>69.89</v>
      </c>
      <c r="E5256">
        <v>196</v>
      </c>
      <c r="F5256">
        <v>59</v>
      </c>
      <c r="G5256">
        <v>12</v>
      </c>
      <c r="H5256">
        <v>11</v>
      </c>
      <c r="I5256">
        <v>201</v>
      </c>
      <c r="J5256">
        <v>1</v>
      </c>
      <c r="K5256">
        <v>15</v>
      </c>
      <c r="L5256">
        <v>203</v>
      </c>
      <c r="M5256">
        <v>1</v>
      </c>
      <c r="N5256">
        <v>2.2834999999999999E-60</v>
      </c>
      <c r="O5256">
        <v>582</v>
      </c>
    </row>
    <row r="5257" spans="1:15" x14ac:dyDescent="0.25">
      <c r="A5257" t="s">
        <v>5270</v>
      </c>
      <c r="B5257">
        <v>300</v>
      </c>
      <c r="C5257" s="1" t="str">
        <f>HYPERLINK("http://www.rosaceae.org/gb/gbrowse/malus_x_domestica/?name=MDP0000321688","MDP0000321688")</f>
        <v>MDP0000321688</v>
      </c>
      <c r="D5257">
        <v>69.02</v>
      </c>
      <c r="E5257">
        <v>268</v>
      </c>
      <c r="F5257">
        <v>83</v>
      </c>
      <c r="G5257">
        <v>33</v>
      </c>
      <c r="H5257">
        <v>54</v>
      </c>
      <c r="I5257">
        <v>300</v>
      </c>
      <c r="J5257">
        <v>1</v>
      </c>
      <c r="K5257">
        <v>33</v>
      </c>
      <c r="L5257">
        <v>288</v>
      </c>
      <c r="M5257">
        <v>1</v>
      </c>
      <c r="N5257">
        <v>1.14332E-101</v>
      </c>
      <c r="O5257">
        <v>941</v>
      </c>
    </row>
    <row r="5258" spans="1:15" x14ac:dyDescent="0.25">
      <c r="A5258" t="s">
        <v>5271</v>
      </c>
      <c r="B5258">
        <v>175</v>
      </c>
      <c r="C5258" s="1" t="str">
        <f>HYPERLINK("http://www.rosaceae.org/gb/gbrowse/malus_x_domestica/?name=MDP0000125339","MDP0000125339")</f>
        <v>MDP0000125339</v>
      </c>
      <c r="D5258">
        <v>29.23</v>
      </c>
      <c r="E5258">
        <v>171</v>
      </c>
      <c r="F5258">
        <v>121</v>
      </c>
      <c r="G5258">
        <v>10</v>
      </c>
      <c r="H5258">
        <v>5</v>
      </c>
      <c r="I5258">
        <v>170</v>
      </c>
      <c r="J5258">
        <v>1</v>
      </c>
      <c r="K5258">
        <v>384</v>
      </c>
      <c r="L5258">
        <v>549</v>
      </c>
      <c r="M5258">
        <v>1</v>
      </c>
      <c r="N5258">
        <v>2.37639E-11</v>
      </c>
      <c r="O5258">
        <v>159</v>
      </c>
    </row>
    <row r="5259" spans="1:15" x14ac:dyDescent="0.25">
      <c r="A5259" t="s">
        <v>5272</v>
      </c>
      <c r="B5259">
        <v>368</v>
      </c>
      <c r="C5259" s="1" t="str">
        <f>HYPERLINK("http://www.rosaceae.org/gb/gbrowse/malus_x_domestica/?name=MDP0000660239","MDP0000660239")</f>
        <v>MDP0000660239</v>
      </c>
      <c r="D5259">
        <v>76.05</v>
      </c>
      <c r="E5259">
        <v>380</v>
      </c>
      <c r="F5259">
        <v>91</v>
      </c>
      <c r="G5259">
        <v>29</v>
      </c>
      <c r="H5259">
        <v>1</v>
      </c>
      <c r="I5259">
        <v>351</v>
      </c>
      <c r="J5259">
        <v>1</v>
      </c>
      <c r="K5259">
        <v>1</v>
      </c>
      <c r="L5259">
        <v>380</v>
      </c>
      <c r="M5259">
        <v>1</v>
      </c>
      <c r="N5259">
        <v>9.5512500000000005E-168</v>
      </c>
      <c r="O5259">
        <v>1512</v>
      </c>
    </row>
    <row r="5260" spans="1:15" x14ac:dyDescent="0.25">
      <c r="A5260" t="s">
        <v>5273</v>
      </c>
      <c r="B5260">
        <v>496</v>
      </c>
      <c r="C5260" s="1" t="str">
        <f>HYPERLINK("http://www.rosaceae.org/gb/gbrowse/malus_x_domestica/?name=MDP0000230325","MDP0000230325")</f>
        <v>MDP0000230325</v>
      </c>
      <c r="D5260">
        <v>57.25</v>
      </c>
      <c r="E5260">
        <v>531</v>
      </c>
      <c r="F5260">
        <v>227</v>
      </c>
      <c r="G5260">
        <v>55</v>
      </c>
      <c r="H5260">
        <v>3</v>
      </c>
      <c r="I5260">
        <v>481</v>
      </c>
      <c r="J5260">
        <v>1</v>
      </c>
      <c r="K5260">
        <v>6</v>
      </c>
      <c r="L5260">
        <v>533</v>
      </c>
      <c r="M5260">
        <v>1</v>
      </c>
      <c r="N5260">
        <v>5.4709499999999998E-169</v>
      </c>
      <c r="O5260">
        <v>1524</v>
      </c>
    </row>
    <row r="5261" spans="1:15" x14ac:dyDescent="0.25">
      <c r="A5261" t="s">
        <v>5274</v>
      </c>
      <c r="B5261">
        <v>532</v>
      </c>
      <c r="C5261" s="1" t="str">
        <f>HYPERLINK("http://www.rosaceae.org/gb/gbrowse/malus_x_domestica/?name=MDP0000319792","MDP0000319792")</f>
        <v>MDP0000319792</v>
      </c>
      <c r="D5261">
        <v>30.76</v>
      </c>
      <c r="E5261">
        <v>273</v>
      </c>
      <c r="F5261">
        <v>189</v>
      </c>
      <c r="G5261">
        <v>27</v>
      </c>
      <c r="H5261">
        <v>275</v>
      </c>
      <c r="I5261">
        <v>524</v>
      </c>
      <c r="J5261">
        <v>1</v>
      </c>
      <c r="K5261">
        <v>330</v>
      </c>
      <c r="L5261">
        <v>598</v>
      </c>
      <c r="M5261">
        <v>1</v>
      </c>
      <c r="N5261">
        <v>2.84927E-20</v>
      </c>
      <c r="O5261">
        <v>242</v>
      </c>
    </row>
    <row r="5262" spans="1:15" x14ac:dyDescent="0.25">
      <c r="A5262" t="s">
        <v>5275</v>
      </c>
      <c r="B5262">
        <v>752</v>
      </c>
      <c r="C5262" s="1" t="str">
        <f>HYPERLINK("http://www.rosaceae.org/gb/gbrowse/malus_x_domestica/?name=MDP0000258683","MDP0000258683")</f>
        <v>MDP0000258683</v>
      </c>
      <c r="D5262">
        <v>87.35</v>
      </c>
      <c r="E5262">
        <v>427</v>
      </c>
      <c r="F5262">
        <v>54</v>
      </c>
      <c r="G5262">
        <v>5</v>
      </c>
      <c r="H5262">
        <v>327</v>
      </c>
      <c r="I5262">
        <v>752</v>
      </c>
      <c r="J5262">
        <v>1</v>
      </c>
      <c r="K5262">
        <v>17</v>
      </c>
      <c r="L5262">
        <v>439</v>
      </c>
      <c r="M5262">
        <v>1</v>
      </c>
      <c r="N5262">
        <v>0</v>
      </c>
      <c r="O5262">
        <v>1948</v>
      </c>
    </row>
    <row r="5263" spans="1:15" x14ac:dyDescent="0.25">
      <c r="A5263" t="s">
        <v>5276</v>
      </c>
      <c r="B5263">
        <v>223</v>
      </c>
      <c r="C5263" s="1" t="str">
        <f>HYPERLINK("http://www.rosaceae.org/gb/gbrowse/malus_x_domestica/?name=MDP0000255931","MDP0000255931")</f>
        <v>MDP0000255931</v>
      </c>
      <c r="D5263">
        <v>54.62</v>
      </c>
      <c r="E5263">
        <v>108</v>
      </c>
      <c r="F5263">
        <v>49</v>
      </c>
      <c r="G5263">
        <v>13</v>
      </c>
      <c r="H5263">
        <v>1</v>
      </c>
      <c r="I5263">
        <v>97</v>
      </c>
      <c r="J5263">
        <v>1</v>
      </c>
      <c r="K5263">
        <v>1</v>
      </c>
      <c r="L5263">
        <v>106</v>
      </c>
      <c r="M5263">
        <v>1</v>
      </c>
      <c r="N5263">
        <v>2.6909300000000002E-23</v>
      </c>
      <c r="O5263">
        <v>263</v>
      </c>
    </row>
    <row r="5264" spans="1:15" x14ac:dyDescent="0.25">
      <c r="A5264" t="s">
        <v>5277</v>
      </c>
      <c r="B5264">
        <v>707</v>
      </c>
      <c r="C5264" s="1" t="str">
        <f>HYPERLINK("http://www.rosaceae.org/gb/gbrowse/malus_x_domestica/?name=MDP0000216549","MDP0000216549")</f>
        <v>MDP0000216549</v>
      </c>
      <c r="D5264">
        <v>40.28</v>
      </c>
      <c r="E5264">
        <v>571</v>
      </c>
      <c r="F5264">
        <v>341</v>
      </c>
      <c r="G5264">
        <v>102</v>
      </c>
      <c r="H5264">
        <v>159</v>
      </c>
      <c r="I5264">
        <v>706</v>
      </c>
      <c r="J5264">
        <v>1</v>
      </c>
      <c r="K5264">
        <v>291</v>
      </c>
      <c r="L5264">
        <v>782</v>
      </c>
      <c r="M5264">
        <v>1</v>
      </c>
      <c r="N5264">
        <v>3.2809099999999999E-93</v>
      </c>
      <c r="O5264">
        <v>872</v>
      </c>
    </row>
    <row r="5265" spans="1:15" x14ac:dyDescent="0.25">
      <c r="A5265" t="s">
        <v>5278</v>
      </c>
      <c r="B5265">
        <v>368</v>
      </c>
      <c r="C5265" s="1" t="str">
        <f>HYPERLINK("http://www.rosaceae.org/gb/gbrowse/malus_x_domestica/?name=MDP0000257129","MDP0000257129")</f>
        <v>MDP0000257129</v>
      </c>
      <c r="D5265">
        <v>53.42</v>
      </c>
      <c r="E5265">
        <v>380</v>
      </c>
      <c r="F5265">
        <v>177</v>
      </c>
      <c r="G5265">
        <v>30</v>
      </c>
      <c r="H5265">
        <v>1</v>
      </c>
      <c r="I5265">
        <v>366</v>
      </c>
      <c r="J5265">
        <v>1</v>
      </c>
      <c r="K5265">
        <v>1</v>
      </c>
      <c r="L5265">
        <v>364</v>
      </c>
      <c r="M5265">
        <v>1</v>
      </c>
      <c r="N5265">
        <v>3.0143800000000002E-88</v>
      </c>
      <c r="O5265">
        <v>826</v>
      </c>
    </row>
    <row r="5266" spans="1:15" x14ac:dyDescent="0.25">
      <c r="A5266" t="s">
        <v>5279</v>
      </c>
      <c r="B5266">
        <v>119</v>
      </c>
      <c r="C5266" s="1" t="str">
        <f>HYPERLINK("http://www.rosaceae.org/gb/gbrowse/malus_x_domestica/?name=MDP0000569022","MDP0000569022")</f>
        <v>MDP0000569022</v>
      </c>
      <c r="D5266">
        <v>66.31</v>
      </c>
      <c r="E5266">
        <v>95</v>
      </c>
      <c r="F5266">
        <v>32</v>
      </c>
      <c r="G5266">
        <v>0</v>
      </c>
      <c r="H5266">
        <v>11</v>
      </c>
      <c r="I5266">
        <v>105</v>
      </c>
      <c r="J5266">
        <v>1</v>
      </c>
      <c r="K5266">
        <v>321</v>
      </c>
      <c r="L5266">
        <v>415</v>
      </c>
      <c r="M5266">
        <v>1</v>
      </c>
      <c r="N5266">
        <v>2.7568899999999999E-32</v>
      </c>
      <c r="O5266">
        <v>336</v>
      </c>
    </row>
    <row r="5267" spans="1:15" x14ac:dyDescent="0.25">
      <c r="A5267" t="s">
        <v>5280</v>
      </c>
      <c r="B5267">
        <v>1110</v>
      </c>
      <c r="C5267" s="1" t="str">
        <f>HYPERLINK("http://www.rosaceae.org/gb/gbrowse/malus_x_domestica/?name=MDP0000291954","MDP0000291954")</f>
        <v>MDP0000291954</v>
      </c>
      <c r="D5267">
        <v>73.92</v>
      </c>
      <c r="E5267">
        <v>1043</v>
      </c>
      <c r="F5267">
        <v>272</v>
      </c>
      <c r="G5267">
        <v>84</v>
      </c>
      <c r="H5267">
        <v>17</v>
      </c>
      <c r="I5267">
        <v>1042</v>
      </c>
      <c r="J5267">
        <v>1</v>
      </c>
      <c r="K5267">
        <v>1</v>
      </c>
      <c r="L5267">
        <v>976</v>
      </c>
      <c r="M5267">
        <v>1</v>
      </c>
      <c r="N5267">
        <v>0</v>
      </c>
      <c r="O5267">
        <v>3938</v>
      </c>
    </row>
    <row r="5268" spans="1:15" x14ac:dyDescent="0.25">
      <c r="A5268" t="s">
        <v>5281</v>
      </c>
      <c r="B5268">
        <v>205</v>
      </c>
      <c r="C5268" s="1" t="str">
        <f>HYPERLINK("http://www.rosaceae.org/gb/gbrowse/malus_x_domestica/?name=MDP0000950137","MDP0000950137")</f>
        <v>MDP0000950137</v>
      </c>
      <c r="D5268">
        <v>73.17</v>
      </c>
      <c r="E5268">
        <v>82</v>
      </c>
      <c r="F5268">
        <v>22</v>
      </c>
      <c r="G5268">
        <v>5</v>
      </c>
      <c r="H5268">
        <v>119</v>
      </c>
      <c r="I5268">
        <v>198</v>
      </c>
      <c r="J5268">
        <v>1</v>
      </c>
      <c r="K5268">
        <v>263</v>
      </c>
      <c r="L5268">
        <v>341</v>
      </c>
      <c r="M5268">
        <v>1</v>
      </c>
      <c r="N5268">
        <v>1.48369E-22</v>
      </c>
      <c r="O5268">
        <v>256</v>
      </c>
    </row>
    <row r="5269" spans="1:15" x14ac:dyDescent="0.25">
      <c r="A5269" t="s">
        <v>5282</v>
      </c>
      <c r="B5269">
        <v>264</v>
      </c>
      <c r="C5269" s="1" t="str">
        <f>HYPERLINK("http://www.rosaceae.org/gb/gbrowse/malus_x_domestica/?name=MDP0000291707","MDP0000291707")</f>
        <v>MDP0000291707</v>
      </c>
      <c r="D5269">
        <v>69.33</v>
      </c>
      <c r="E5269">
        <v>150</v>
      </c>
      <c r="F5269">
        <v>46</v>
      </c>
      <c r="G5269">
        <v>2</v>
      </c>
      <c r="H5269">
        <v>70</v>
      </c>
      <c r="I5269">
        <v>219</v>
      </c>
      <c r="J5269">
        <v>1</v>
      </c>
      <c r="K5269">
        <v>30</v>
      </c>
      <c r="L5269">
        <v>177</v>
      </c>
      <c r="M5269">
        <v>1</v>
      </c>
      <c r="N5269">
        <v>1.0586E-50</v>
      </c>
      <c r="O5269">
        <v>500</v>
      </c>
    </row>
    <row r="5270" spans="1:15" x14ac:dyDescent="0.25">
      <c r="A5270" t="s">
        <v>5283</v>
      </c>
      <c r="B5270">
        <v>186</v>
      </c>
      <c r="C5270" s="1" t="str">
        <f>HYPERLINK("http://www.rosaceae.org/gb/gbrowse/malus_x_domestica/?name=MDP0000255994","MDP0000255994")</f>
        <v>MDP0000255994</v>
      </c>
      <c r="D5270">
        <v>94.28</v>
      </c>
      <c r="E5270">
        <v>105</v>
      </c>
      <c r="F5270">
        <v>6</v>
      </c>
      <c r="G5270">
        <v>0</v>
      </c>
      <c r="H5270">
        <v>38</v>
      </c>
      <c r="I5270">
        <v>142</v>
      </c>
      <c r="J5270">
        <v>1</v>
      </c>
      <c r="K5270">
        <v>33</v>
      </c>
      <c r="L5270">
        <v>137</v>
      </c>
      <c r="M5270">
        <v>1</v>
      </c>
      <c r="N5270">
        <v>7.17225E-53</v>
      </c>
      <c r="O5270">
        <v>517</v>
      </c>
    </row>
    <row r="5271" spans="1:15" x14ac:dyDescent="0.25">
      <c r="A5271" t="s">
        <v>5284</v>
      </c>
      <c r="B5271">
        <v>826</v>
      </c>
      <c r="C5271" s="1" t="str">
        <f>HYPERLINK("http://www.rosaceae.org/gb/gbrowse/malus_x_domestica/?name=MDP0000204150","MDP0000204150")</f>
        <v>MDP0000204150</v>
      </c>
      <c r="D5271">
        <v>61.44</v>
      </c>
      <c r="E5271">
        <v>708</v>
      </c>
      <c r="F5271">
        <v>273</v>
      </c>
      <c r="G5271">
        <v>45</v>
      </c>
      <c r="H5271">
        <v>101</v>
      </c>
      <c r="I5271">
        <v>781</v>
      </c>
      <c r="J5271">
        <v>1</v>
      </c>
      <c r="K5271">
        <v>1</v>
      </c>
      <c r="L5271">
        <v>690</v>
      </c>
      <c r="M5271">
        <v>1</v>
      </c>
      <c r="N5271">
        <v>0</v>
      </c>
      <c r="O5271">
        <v>1973</v>
      </c>
    </row>
    <row r="5272" spans="1:15" x14ac:dyDescent="0.25">
      <c r="A5272" t="s">
        <v>5285</v>
      </c>
      <c r="B5272">
        <v>1062</v>
      </c>
      <c r="C5272" s="1" t="str">
        <f>HYPERLINK("http://www.rosaceae.org/gb/gbrowse/malus_x_domestica/?name=MDP0000306580","MDP0000306580")</f>
        <v>MDP0000306580</v>
      </c>
      <c r="D5272">
        <v>79.56</v>
      </c>
      <c r="E5272">
        <v>1096</v>
      </c>
      <c r="F5272">
        <v>224</v>
      </c>
      <c r="G5272">
        <v>43</v>
      </c>
      <c r="H5272">
        <v>7</v>
      </c>
      <c r="I5272">
        <v>1062</v>
      </c>
      <c r="J5272">
        <v>1</v>
      </c>
      <c r="K5272">
        <v>2</v>
      </c>
      <c r="L5272">
        <v>1094</v>
      </c>
      <c r="M5272">
        <v>1</v>
      </c>
      <c r="N5272">
        <v>0</v>
      </c>
      <c r="O5272">
        <v>4593</v>
      </c>
    </row>
    <row r="5273" spans="1:15" x14ac:dyDescent="0.25">
      <c r="A5273" t="s">
        <v>5286</v>
      </c>
      <c r="B5273">
        <v>573</v>
      </c>
      <c r="C5273" s="1" t="str">
        <f>HYPERLINK("http://www.rosaceae.org/gb/gbrowse/malus_x_domestica/?name=MDP0000157213","MDP0000157213")</f>
        <v>MDP0000157213</v>
      </c>
      <c r="D5273">
        <v>43.11</v>
      </c>
      <c r="E5273">
        <v>603</v>
      </c>
      <c r="F5273">
        <v>343</v>
      </c>
      <c r="G5273">
        <v>106</v>
      </c>
      <c r="H5273">
        <v>1</v>
      </c>
      <c r="I5273">
        <v>573</v>
      </c>
      <c r="J5273">
        <v>1</v>
      </c>
      <c r="K5273">
        <v>1</v>
      </c>
      <c r="L5273">
        <v>527</v>
      </c>
      <c r="M5273">
        <v>1</v>
      </c>
      <c r="N5273">
        <v>5.5710700000000005E-106</v>
      </c>
      <c r="O5273">
        <v>981</v>
      </c>
    </row>
    <row r="5274" spans="1:15" x14ac:dyDescent="0.25">
      <c r="A5274" t="s">
        <v>5287</v>
      </c>
      <c r="B5274">
        <v>113</v>
      </c>
      <c r="C5274" s="1" t="str">
        <f>HYPERLINK("http://www.rosaceae.org/gb/gbrowse/malus_x_domestica/?name=MDP0000185125","MDP0000185125")</f>
        <v>MDP0000185125</v>
      </c>
      <c r="D5274">
        <v>35.950000000000003</v>
      </c>
      <c r="E5274">
        <v>89</v>
      </c>
      <c r="F5274">
        <v>57</v>
      </c>
      <c r="G5274">
        <v>1</v>
      </c>
      <c r="H5274">
        <v>25</v>
      </c>
      <c r="I5274">
        <v>113</v>
      </c>
      <c r="J5274">
        <v>1</v>
      </c>
      <c r="K5274">
        <v>100</v>
      </c>
      <c r="L5274">
        <v>187</v>
      </c>
      <c r="M5274">
        <v>1</v>
      </c>
      <c r="N5274">
        <v>9.9030800000000005E-10</v>
      </c>
      <c r="O5274">
        <v>141</v>
      </c>
    </row>
    <row r="5275" spans="1:15" x14ac:dyDescent="0.25">
      <c r="A5275" t="s">
        <v>5288</v>
      </c>
      <c r="B5275">
        <v>262</v>
      </c>
      <c r="C5275" s="1" t="str">
        <f>HYPERLINK("http://www.rosaceae.org/gb/gbrowse/malus_x_domestica/?name=MDP0000386314","MDP0000386314")</f>
        <v>MDP0000386314</v>
      </c>
      <c r="D5275">
        <v>52.83</v>
      </c>
      <c r="E5275">
        <v>282</v>
      </c>
      <c r="F5275">
        <v>133</v>
      </c>
      <c r="G5275">
        <v>25</v>
      </c>
      <c r="H5275">
        <v>1</v>
      </c>
      <c r="I5275">
        <v>258</v>
      </c>
      <c r="J5275">
        <v>1</v>
      </c>
      <c r="K5275">
        <v>1</v>
      </c>
      <c r="L5275">
        <v>281</v>
      </c>
      <c r="M5275">
        <v>1</v>
      </c>
      <c r="N5275">
        <v>3.2663999999999998E-69</v>
      </c>
      <c r="O5275">
        <v>660</v>
      </c>
    </row>
    <row r="5276" spans="1:15" x14ac:dyDescent="0.25">
      <c r="A5276" t="s">
        <v>5289</v>
      </c>
      <c r="B5276">
        <v>885</v>
      </c>
      <c r="C5276" s="1" t="str">
        <f>HYPERLINK("http://www.rosaceae.org/gb/gbrowse/malus_x_domestica/?name=MDP0000812001","MDP0000812001")</f>
        <v>MDP0000812001</v>
      </c>
      <c r="D5276">
        <v>80.45</v>
      </c>
      <c r="E5276">
        <v>885</v>
      </c>
      <c r="F5276">
        <v>173</v>
      </c>
      <c r="G5276">
        <v>1</v>
      </c>
      <c r="H5276">
        <v>1</v>
      </c>
      <c r="I5276">
        <v>884</v>
      </c>
      <c r="J5276">
        <v>1</v>
      </c>
      <c r="K5276">
        <v>1</v>
      </c>
      <c r="L5276">
        <v>885</v>
      </c>
      <c r="M5276">
        <v>1</v>
      </c>
      <c r="N5276">
        <v>0</v>
      </c>
      <c r="O5276">
        <v>3749</v>
      </c>
    </row>
    <row r="5277" spans="1:15" x14ac:dyDescent="0.25">
      <c r="A5277" t="s">
        <v>5290</v>
      </c>
      <c r="B5277">
        <v>290</v>
      </c>
      <c r="C5277" s="1" t="str">
        <f>HYPERLINK("http://www.rosaceae.org/gb/gbrowse/malus_x_domestica/?name=MDP0000603266","MDP0000603266")</f>
        <v>MDP0000603266</v>
      </c>
      <c r="D5277">
        <v>80.680000000000007</v>
      </c>
      <c r="E5277">
        <v>176</v>
      </c>
      <c r="F5277">
        <v>34</v>
      </c>
      <c r="G5277">
        <v>0</v>
      </c>
      <c r="H5277">
        <v>1</v>
      </c>
      <c r="I5277">
        <v>176</v>
      </c>
      <c r="J5277">
        <v>1</v>
      </c>
      <c r="K5277">
        <v>1</v>
      </c>
      <c r="L5277">
        <v>176</v>
      </c>
      <c r="M5277">
        <v>1</v>
      </c>
      <c r="N5277">
        <v>6.2900000000000005E-84</v>
      </c>
      <c r="O5277">
        <v>788</v>
      </c>
    </row>
    <row r="5278" spans="1:15" x14ac:dyDescent="0.25">
      <c r="A5278" t="s">
        <v>5291</v>
      </c>
      <c r="B5278">
        <v>152</v>
      </c>
      <c r="C5278" s="1" t="str">
        <f>HYPERLINK("http://www.rosaceae.org/gb/gbrowse/malus_x_domestica/?name=MDP0000508747","MDP0000508747")</f>
        <v>MDP0000508747</v>
      </c>
      <c r="D5278">
        <v>44.61</v>
      </c>
      <c r="E5278">
        <v>65</v>
      </c>
      <c r="F5278">
        <v>36</v>
      </c>
      <c r="G5278">
        <v>0</v>
      </c>
      <c r="H5278">
        <v>78</v>
      </c>
      <c r="I5278">
        <v>142</v>
      </c>
      <c r="J5278">
        <v>1</v>
      </c>
      <c r="K5278">
        <v>157</v>
      </c>
      <c r="L5278">
        <v>221</v>
      </c>
      <c r="M5278">
        <v>1</v>
      </c>
      <c r="N5278">
        <v>1.3115E-13</v>
      </c>
      <c r="O5278">
        <v>177</v>
      </c>
    </row>
    <row r="5279" spans="1:15" x14ac:dyDescent="0.25">
      <c r="A5279" t="s">
        <v>5292</v>
      </c>
      <c r="B5279">
        <v>98</v>
      </c>
      <c r="C5279" s="1" t="str">
        <f>HYPERLINK("http://www.rosaceae.org/gb/gbrowse/malus_x_domestica/?name=MDP0000167145","MDP0000167145")</f>
        <v>MDP0000167145</v>
      </c>
      <c r="D5279">
        <v>50</v>
      </c>
      <c r="E5279">
        <v>52</v>
      </c>
      <c r="F5279">
        <v>26</v>
      </c>
      <c r="G5279">
        <v>2</v>
      </c>
      <c r="H5279">
        <v>36</v>
      </c>
      <c r="I5279">
        <v>85</v>
      </c>
      <c r="J5279">
        <v>1</v>
      </c>
      <c r="K5279">
        <v>64</v>
      </c>
      <c r="L5279">
        <v>115</v>
      </c>
      <c r="M5279">
        <v>1</v>
      </c>
      <c r="N5279">
        <v>9.0045100000000002E-7</v>
      </c>
      <c r="O5279">
        <v>116</v>
      </c>
    </row>
    <row r="5280" spans="1:15" x14ac:dyDescent="0.25">
      <c r="A5280" t="s">
        <v>5293</v>
      </c>
      <c r="B5280">
        <v>413</v>
      </c>
      <c r="C5280" s="1" t="str">
        <f>HYPERLINK("http://www.rosaceae.org/gb/gbrowse/malus_x_domestica/?name=MDP0000285776","MDP0000285776")</f>
        <v>MDP0000285776</v>
      </c>
      <c r="D5280">
        <v>58.79</v>
      </c>
      <c r="E5280">
        <v>415</v>
      </c>
      <c r="F5280">
        <v>171</v>
      </c>
      <c r="G5280">
        <v>17</v>
      </c>
      <c r="H5280">
        <v>1</v>
      </c>
      <c r="I5280">
        <v>413</v>
      </c>
      <c r="J5280">
        <v>1</v>
      </c>
      <c r="K5280">
        <v>225</v>
      </c>
      <c r="L5280">
        <v>624</v>
      </c>
      <c r="M5280">
        <v>1</v>
      </c>
      <c r="N5280">
        <v>1.2327900000000001E-124</v>
      </c>
      <c r="O5280">
        <v>1140</v>
      </c>
    </row>
    <row r="5281" spans="1:15" x14ac:dyDescent="0.25">
      <c r="A5281" t="s">
        <v>5294</v>
      </c>
      <c r="B5281">
        <v>369</v>
      </c>
      <c r="C5281" s="1" t="str">
        <f>HYPERLINK("http://www.rosaceae.org/gb/gbrowse/malus_x_domestica/?name=MDP0000186631","MDP0000186631")</f>
        <v>MDP0000186631</v>
      </c>
      <c r="D5281">
        <v>37.700000000000003</v>
      </c>
      <c r="E5281">
        <v>122</v>
      </c>
      <c r="F5281">
        <v>76</v>
      </c>
      <c r="G5281">
        <v>14</v>
      </c>
      <c r="H5281">
        <v>6</v>
      </c>
      <c r="I5281">
        <v>127</v>
      </c>
      <c r="J5281">
        <v>1</v>
      </c>
      <c r="K5281">
        <v>54</v>
      </c>
      <c r="L5281">
        <v>161</v>
      </c>
      <c r="M5281">
        <v>1</v>
      </c>
      <c r="N5281">
        <v>7.6761099999999997E-14</v>
      </c>
      <c r="O5281">
        <v>184</v>
      </c>
    </row>
    <row r="5282" spans="1:15" x14ac:dyDescent="0.25">
      <c r="A5282" t="s">
        <v>5295</v>
      </c>
      <c r="B5282">
        <v>342</v>
      </c>
      <c r="C5282" s="1" t="str">
        <f>HYPERLINK("http://www.rosaceae.org/gb/gbrowse/malus_x_domestica/?name=MDP0000700517","MDP0000700517")</f>
        <v>MDP0000700517</v>
      </c>
      <c r="D5282">
        <v>31.54</v>
      </c>
      <c r="E5282">
        <v>149</v>
      </c>
      <c r="F5282">
        <v>102</v>
      </c>
      <c r="G5282">
        <v>10</v>
      </c>
      <c r="H5282">
        <v>101</v>
      </c>
      <c r="I5282">
        <v>242</v>
      </c>
      <c r="J5282">
        <v>1</v>
      </c>
      <c r="K5282">
        <v>221</v>
      </c>
      <c r="L5282">
        <v>366</v>
      </c>
      <c r="M5282">
        <v>1</v>
      </c>
      <c r="N5282">
        <v>4.28118E-14</v>
      </c>
      <c r="O5282">
        <v>186</v>
      </c>
    </row>
    <row r="5283" spans="1:15" x14ac:dyDescent="0.25">
      <c r="A5283" t="s">
        <v>5296</v>
      </c>
      <c r="B5283">
        <v>441</v>
      </c>
      <c r="C5283" s="1" t="str">
        <f>HYPERLINK("http://www.rosaceae.org/gb/gbrowse/malus_x_domestica/?name=MDP0000316485","MDP0000316485")</f>
        <v>MDP0000316485</v>
      </c>
      <c r="D5283">
        <v>67.06</v>
      </c>
      <c r="E5283">
        <v>419</v>
      </c>
      <c r="F5283">
        <v>138</v>
      </c>
      <c r="G5283">
        <v>5</v>
      </c>
      <c r="H5283">
        <v>1</v>
      </c>
      <c r="I5283">
        <v>416</v>
      </c>
      <c r="J5283">
        <v>1</v>
      </c>
      <c r="K5283">
        <v>1</v>
      </c>
      <c r="L5283">
        <v>417</v>
      </c>
      <c r="M5283">
        <v>1</v>
      </c>
      <c r="N5283">
        <v>4.7479400000000003E-154</v>
      </c>
      <c r="O5283">
        <v>1394</v>
      </c>
    </row>
    <row r="5284" spans="1:15" x14ac:dyDescent="0.25">
      <c r="A5284" t="s">
        <v>5297</v>
      </c>
      <c r="B5284">
        <v>334</v>
      </c>
      <c r="C5284" s="1" t="str">
        <f>HYPERLINK("http://www.rosaceae.org/gb/gbrowse/malus_x_domestica/?name=MDP0000700517","MDP0000700517")</f>
        <v>MDP0000700517</v>
      </c>
      <c r="D5284">
        <v>33.06</v>
      </c>
      <c r="E5284">
        <v>124</v>
      </c>
      <c r="F5284">
        <v>83</v>
      </c>
      <c r="G5284">
        <v>4</v>
      </c>
      <c r="H5284">
        <v>97</v>
      </c>
      <c r="I5284">
        <v>216</v>
      </c>
      <c r="J5284">
        <v>1</v>
      </c>
      <c r="K5284">
        <v>245</v>
      </c>
      <c r="L5284">
        <v>368</v>
      </c>
      <c r="M5284">
        <v>1</v>
      </c>
      <c r="N5284">
        <v>6.39031E-11</v>
      </c>
      <c r="O5284">
        <v>159</v>
      </c>
    </row>
    <row r="5285" spans="1:15" x14ac:dyDescent="0.25">
      <c r="A5285" t="s">
        <v>5298</v>
      </c>
      <c r="B5285">
        <v>102</v>
      </c>
      <c r="C5285" s="1" t="str">
        <f>HYPERLINK("http://www.rosaceae.org/gb/gbrowse/malus_x_domestica/?name=MDP0000478311","MDP0000478311")</f>
        <v>MDP0000478311</v>
      </c>
      <c r="D5285">
        <v>62.22</v>
      </c>
      <c r="E5285">
        <v>90</v>
      </c>
      <c r="F5285">
        <v>34</v>
      </c>
      <c r="G5285">
        <v>2</v>
      </c>
      <c r="H5285">
        <v>1</v>
      </c>
      <c r="I5285">
        <v>88</v>
      </c>
      <c r="J5285">
        <v>1</v>
      </c>
      <c r="K5285">
        <v>165</v>
      </c>
      <c r="L5285">
        <v>254</v>
      </c>
      <c r="M5285">
        <v>1</v>
      </c>
      <c r="N5285">
        <v>9.7162499999999994E-25</v>
      </c>
      <c r="O5285">
        <v>271</v>
      </c>
    </row>
    <row r="5286" spans="1:15" x14ac:dyDescent="0.25">
      <c r="A5286" t="s">
        <v>5299</v>
      </c>
      <c r="B5286">
        <v>502</v>
      </c>
      <c r="C5286" s="1" t="str">
        <f>HYPERLINK("http://www.rosaceae.org/gb/gbrowse/malus_x_domestica/?name=MDP0000254177","MDP0000254177")</f>
        <v>MDP0000254177</v>
      </c>
      <c r="D5286">
        <v>80.430000000000007</v>
      </c>
      <c r="E5286">
        <v>465</v>
      </c>
      <c r="F5286">
        <v>91</v>
      </c>
      <c r="G5286">
        <v>3</v>
      </c>
      <c r="H5286">
        <v>1</v>
      </c>
      <c r="I5286">
        <v>464</v>
      </c>
      <c r="J5286">
        <v>1</v>
      </c>
      <c r="K5286">
        <v>1</v>
      </c>
      <c r="L5286">
        <v>463</v>
      </c>
      <c r="M5286">
        <v>1</v>
      </c>
      <c r="N5286">
        <v>0</v>
      </c>
      <c r="O5286">
        <v>1954</v>
      </c>
    </row>
    <row r="5287" spans="1:15" x14ac:dyDescent="0.25">
      <c r="A5287" t="s">
        <v>5300</v>
      </c>
      <c r="B5287">
        <v>529</v>
      </c>
      <c r="C5287" s="1" t="str">
        <f>HYPERLINK("http://www.rosaceae.org/gb/gbrowse/malus_x_domestica/?name=MDP0000676693","MDP0000676693")</f>
        <v>MDP0000676693</v>
      </c>
      <c r="D5287">
        <v>71.86</v>
      </c>
      <c r="E5287">
        <v>462</v>
      </c>
      <c r="F5287">
        <v>130</v>
      </c>
      <c r="G5287">
        <v>11</v>
      </c>
      <c r="H5287">
        <v>3</v>
      </c>
      <c r="I5287">
        <v>459</v>
      </c>
      <c r="J5287">
        <v>1</v>
      </c>
      <c r="K5287">
        <v>53</v>
      </c>
      <c r="L5287">
        <v>508</v>
      </c>
      <c r="M5287">
        <v>1</v>
      </c>
      <c r="N5287">
        <v>0</v>
      </c>
      <c r="O5287">
        <v>1735</v>
      </c>
    </row>
    <row r="5288" spans="1:15" x14ac:dyDescent="0.25">
      <c r="A5288" t="s">
        <v>5301</v>
      </c>
      <c r="B5288">
        <v>427</v>
      </c>
      <c r="C5288" s="1" t="str">
        <f>HYPERLINK("http://www.rosaceae.org/gb/gbrowse/malus_x_domestica/?name=MDP0000237182","MDP0000237182")</f>
        <v>MDP0000237182</v>
      </c>
      <c r="D5288">
        <v>29.09</v>
      </c>
      <c r="E5288">
        <v>244</v>
      </c>
      <c r="F5288">
        <v>173</v>
      </c>
      <c r="G5288">
        <v>5</v>
      </c>
      <c r="H5288">
        <v>38</v>
      </c>
      <c r="I5288">
        <v>279</v>
      </c>
      <c r="J5288">
        <v>1</v>
      </c>
      <c r="K5288">
        <v>273</v>
      </c>
      <c r="L5288">
        <v>513</v>
      </c>
      <c r="M5288">
        <v>1</v>
      </c>
      <c r="N5288">
        <v>5.5700899999999996E-26</v>
      </c>
      <c r="O5288">
        <v>290</v>
      </c>
    </row>
    <row r="5289" spans="1:15" x14ac:dyDescent="0.25">
      <c r="A5289" t="s">
        <v>5302</v>
      </c>
      <c r="B5289">
        <v>716</v>
      </c>
      <c r="C5289" s="1" t="str">
        <f>HYPERLINK("http://www.rosaceae.org/gb/gbrowse/malus_x_domestica/?name=MDP0000207323","MDP0000207323")</f>
        <v>MDP0000207323</v>
      </c>
      <c r="D5289">
        <v>71.84</v>
      </c>
      <c r="E5289">
        <v>689</v>
      </c>
      <c r="F5289">
        <v>194</v>
      </c>
      <c r="G5289">
        <v>19</v>
      </c>
      <c r="H5289">
        <v>25</v>
      </c>
      <c r="I5289">
        <v>698</v>
      </c>
      <c r="J5289">
        <v>1</v>
      </c>
      <c r="K5289">
        <v>160</v>
      </c>
      <c r="L5289">
        <v>844</v>
      </c>
      <c r="M5289">
        <v>1</v>
      </c>
      <c r="N5289">
        <v>0</v>
      </c>
      <c r="O5289">
        <v>2532</v>
      </c>
    </row>
    <row r="5290" spans="1:15" x14ac:dyDescent="0.25">
      <c r="A5290" t="s">
        <v>5303</v>
      </c>
      <c r="B5290">
        <v>311</v>
      </c>
      <c r="C5290" s="1" t="str">
        <f>HYPERLINK("http://www.rosaceae.org/gb/gbrowse/malus_x_domestica/?name=MDP0000273229","MDP0000273229")</f>
        <v>MDP0000273229</v>
      </c>
      <c r="D5290">
        <v>49.74</v>
      </c>
      <c r="E5290">
        <v>390</v>
      </c>
      <c r="F5290">
        <v>196</v>
      </c>
      <c r="G5290">
        <v>88</v>
      </c>
      <c r="H5290">
        <v>1</v>
      </c>
      <c r="I5290">
        <v>303</v>
      </c>
      <c r="J5290">
        <v>1</v>
      </c>
      <c r="K5290">
        <v>151</v>
      </c>
      <c r="L5290">
        <v>539</v>
      </c>
      <c r="M5290">
        <v>1</v>
      </c>
      <c r="N5290">
        <v>2.9266899999999998E-97</v>
      </c>
      <c r="O5290">
        <v>903</v>
      </c>
    </row>
    <row r="5291" spans="1:15" x14ac:dyDescent="0.25">
      <c r="A5291" t="s">
        <v>5304</v>
      </c>
      <c r="B5291">
        <v>163</v>
      </c>
      <c r="C5291" s="1" t="str">
        <f>HYPERLINK("http://www.rosaceae.org/gb/gbrowse/malus_x_domestica/?name=MDP0000269352","MDP0000269352")</f>
        <v>MDP0000269352</v>
      </c>
      <c r="D5291">
        <v>69.36</v>
      </c>
      <c r="E5291">
        <v>111</v>
      </c>
      <c r="F5291">
        <v>34</v>
      </c>
      <c r="G5291">
        <v>0</v>
      </c>
      <c r="H5291">
        <v>26</v>
      </c>
      <c r="I5291">
        <v>136</v>
      </c>
      <c r="J5291">
        <v>1</v>
      </c>
      <c r="K5291">
        <v>199</v>
      </c>
      <c r="L5291">
        <v>309</v>
      </c>
      <c r="M5291">
        <v>1</v>
      </c>
      <c r="N5291">
        <v>2.7261099999999999E-40</v>
      </c>
      <c r="O5291">
        <v>408</v>
      </c>
    </row>
    <row r="5292" spans="1:15" x14ac:dyDescent="0.25">
      <c r="A5292" t="s">
        <v>5305</v>
      </c>
      <c r="B5292">
        <v>195</v>
      </c>
      <c r="C5292" s="1" t="str">
        <f>HYPERLINK("http://www.rosaceae.org/gb/gbrowse/malus_x_domestica/?name=MDP0000951420","MDP0000951420")</f>
        <v>MDP0000951420</v>
      </c>
      <c r="D5292">
        <v>77.47</v>
      </c>
      <c r="E5292">
        <v>111</v>
      </c>
      <c r="F5292">
        <v>25</v>
      </c>
      <c r="G5292">
        <v>5</v>
      </c>
      <c r="H5292">
        <v>20</v>
      </c>
      <c r="I5292">
        <v>125</v>
      </c>
      <c r="J5292">
        <v>1</v>
      </c>
      <c r="K5292">
        <v>26</v>
      </c>
      <c r="L5292">
        <v>136</v>
      </c>
      <c r="M5292">
        <v>1</v>
      </c>
      <c r="N5292">
        <v>2.0877400000000001E-47</v>
      </c>
      <c r="O5292">
        <v>470</v>
      </c>
    </row>
    <row r="5293" spans="1:15" x14ac:dyDescent="0.25">
      <c r="A5293" t="s">
        <v>5306</v>
      </c>
      <c r="B5293">
        <v>653</v>
      </c>
      <c r="C5293" s="1" t="str">
        <f>HYPERLINK("http://www.rosaceae.org/gb/gbrowse/malus_x_domestica/?name=MDP0000296691","MDP0000296691")</f>
        <v>MDP0000296691</v>
      </c>
      <c r="D5293">
        <v>37.369999999999997</v>
      </c>
      <c r="E5293">
        <v>99</v>
      </c>
      <c r="F5293">
        <v>62</v>
      </c>
      <c r="G5293">
        <v>20</v>
      </c>
      <c r="H5293">
        <v>455</v>
      </c>
      <c r="I5293">
        <v>553</v>
      </c>
      <c r="J5293">
        <v>1</v>
      </c>
      <c r="K5293">
        <v>374</v>
      </c>
      <c r="L5293">
        <v>452</v>
      </c>
      <c r="M5293">
        <v>1</v>
      </c>
      <c r="N5293">
        <v>2.82925E-8</v>
      </c>
      <c r="O5293">
        <v>139</v>
      </c>
    </row>
    <row r="5294" spans="1:15" x14ac:dyDescent="0.25">
      <c r="A5294" t="s">
        <v>5307</v>
      </c>
      <c r="B5294">
        <v>575</v>
      </c>
      <c r="C5294" s="1" t="str">
        <f>HYPERLINK("http://www.rosaceae.org/gb/gbrowse/malus_x_domestica/?name=MDP0000322688","MDP0000322688")</f>
        <v>MDP0000322688</v>
      </c>
      <c r="D5294">
        <v>55.25</v>
      </c>
      <c r="E5294">
        <v>409</v>
      </c>
      <c r="F5294">
        <v>183</v>
      </c>
      <c r="G5294">
        <v>60</v>
      </c>
      <c r="H5294">
        <v>10</v>
      </c>
      <c r="I5294">
        <v>378</v>
      </c>
      <c r="J5294">
        <v>1</v>
      </c>
      <c r="K5294">
        <v>8</v>
      </c>
      <c r="L5294">
        <v>396</v>
      </c>
      <c r="M5294">
        <v>1</v>
      </c>
      <c r="N5294">
        <v>9.4480200000000003E-112</v>
      </c>
      <c r="O5294">
        <v>1031</v>
      </c>
    </row>
    <row r="5295" spans="1:15" x14ac:dyDescent="0.25">
      <c r="A5295" t="s">
        <v>5308</v>
      </c>
      <c r="B5295">
        <v>161</v>
      </c>
      <c r="C5295" s="1" t="str">
        <f>HYPERLINK("http://www.rosaceae.org/gb/gbrowse/malus_x_domestica/?name=MDP0000277802","MDP0000277802")</f>
        <v>MDP0000277802</v>
      </c>
      <c r="D5295">
        <v>69.37</v>
      </c>
      <c r="E5295">
        <v>160</v>
      </c>
      <c r="F5295">
        <v>49</v>
      </c>
      <c r="G5295">
        <v>5</v>
      </c>
      <c r="H5295">
        <v>1</v>
      </c>
      <c r="I5295">
        <v>159</v>
      </c>
      <c r="J5295">
        <v>1</v>
      </c>
      <c r="K5295">
        <v>1</v>
      </c>
      <c r="L5295">
        <v>156</v>
      </c>
      <c r="M5295">
        <v>1</v>
      </c>
      <c r="N5295">
        <v>2.79047E-58</v>
      </c>
      <c r="O5295">
        <v>563</v>
      </c>
    </row>
    <row r="5296" spans="1:15" x14ac:dyDescent="0.25">
      <c r="A5296" t="s">
        <v>5309</v>
      </c>
      <c r="B5296">
        <v>1207</v>
      </c>
      <c r="C5296" s="1" t="str">
        <f>HYPERLINK("http://www.rosaceae.org/gb/gbrowse/malus_x_domestica/?name=MDP0000242596","MDP0000242596")</f>
        <v>MDP0000242596</v>
      </c>
      <c r="D5296">
        <v>73.86</v>
      </c>
      <c r="E5296">
        <v>593</v>
      </c>
      <c r="F5296">
        <v>155</v>
      </c>
      <c r="G5296">
        <v>24</v>
      </c>
      <c r="H5296">
        <v>123</v>
      </c>
      <c r="I5296">
        <v>697</v>
      </c>
      <c r="J5296">
        <v>1</v>
      </c>
      <c r="K5296">
        <v>643</v>
      </c>
      <c r="L5296">
        <v>1229</v>
      </c>
      <c r="M5296">
        <v>1</v>
      </c>
      <c r="N5296">
        <v>0</v>
      </c>
      <c r="O5296">
        <v>2236</v>
      </c>
    </row>
    <row r="5297" spans="1:15" x14ac:dyDescent="0.25">
      <c r="A5297" t="s">
        <v>5310</v>
      </c>
      <c r="B5297">
        <v>213</v>
      </c>
      <c r="C5297" s="1" t="str">
        <f>HYPERLINK("http://www.rosaceae.org/gb/gbrowse/malus_x_domestica/?name=MDP0000269104","MDP0000269104")</f>
        <v>MDP0000269104</v>
      </c>
      <c r="D5297">
        <v>80.48</v>
      </c>
      <c r="E5297">
        <v>205</v>
      </c>
      <c r="F5297">
        <v>40</v>
      </c>
      <c r="G5297">
        <v>0</v>
      </c>
      <c r="H5297">
        <v>8</v>
      </c>
      <c r="I5297">
        <v>212</v>
      </c>
      <c r="J5297">
        <v>1</v>
      </c>
      <c r="K5297">
        <v>313</v>
      </c>
      <c r="L5297">
        <v>517</v>
      </c>
      <c r="M5297">
        <v>1</v>
      </c>
      <c r="N5297">
        <v>2.82508E-95</v>
      </c>
      <c r="O5297">
        <v>884</v>
      </c>
    </row>
    <row r="5298" spans="1:15" x14ac:dyDescent="0.25">
      <c r="A5298" t="s">
        <v>5311</v>
      </c>
      <c r="B5298">
        <v>362</v>
      </c>
      <c r="C5298" s="1" t="str">
        <f>HYPERLINK("http://www.rosaceae.org/gb/gbrowse/malus_x_domestica/?name=MDP0000812209","MDP0000812209")</f>
        <v>MDP0000812209</v>
      </c>
      <c r="D5298">
        <v>57</v>
      </c>
      <c r="E5298">
        <v>307</v>
      </c>
      <c r="F5298">
        <v>132</v>
      </c>
      <c r="G5298">
        <v>8</v>
      </c>
      <c r="H5298">
        <v>29</v>
      </c>
      <c r="I5298">
        <v>331</v>
      </c>
      <c r="J5298">
        <v>1</v>
      </c>
      <c r="K5298">
        <v>1</v>
      </c>
      <c r="L5298">
        <v>303</v>
      </c>
      <c r="M5298">
        <v>1</v>
      </c>
      <c r="N5298">
        <v>9.2919300000000002E-97</v>
      </c>
      <c r="O5298">
        <v>899</v>
      </c>
    </row>
    <row r="5299" spans="1:15" x14ac:dyDescent="0.25">
      <c r="A5299" t="s">
        <v>5312</v>
      </c>
      <c r="B5299">
        <v>613</v>
      </c>
      <c r="C5299" s="1" t="str">
        <f>HYPERLINK("http://www.rosaceae.org/gb/gbrowse/malus_x_domestica/?name=MDP0000207066","MDP0000207066")</f>
        <v>MDP0000207066</v>
      </c>
      <c r="D5299">
        <v>46.38</v>
      </c>
      <c r="E5299">
        <v>595</v>
      </c>
      <c r="F5299">
        <v>319</v>
      </c>
      <c r="G5299">
        <v>45</v>
      </c>
      <c r="H5299">
        <v>38</v>
      </c>
      <c r="I5299">
        <v>613</v>
      </c>
      <c r="J5299">
        <v>1</v>
      </c>
      <c r="K5299">
        <v>35</v>
      </c>
      <c r="L5299">
        <v>603</v>
      </c>
      <c r="M5299">
        <v>1</v>
      </c>
      <c r="N5299">
        <v>4.2596999999999999E-137</v>
      </c>
      <c r="O5299">
        <v>1250</v>
      </c>
    </row>
    <row r="5300" spans="1:15" x14ac:dyDescent="0.25">
      <c r="A5300" t="s">
        <v>5313</v>
      </c>
      <c r="B5300">
        <v>749</v>
      </c>
      <c r="C5300" s="1" t="str">
        <f>HYPERLINK("http://www.rosaceae.org/gb/gbrowse/malus_x_domestica/?name=MDP0000786851","MDP0000786851")</f>
        <v>MDP0000786851</v>
      </c>
      <c r="D5300">
        <v>83.53</v>
      </c>
      <c r="E5300">
        <v>729</v>
      </c>
      <c r="F5300">
        <v>120</v>
      </c>
      <c r="G5300">
        <v>35</v>
      </c>
      <c r="H5300">
        <v>26</v>
      </c>
      <c r="I5300">
        <v>749</v>
      </c>
      <c r="J5300">
        <v>1</v>
      </c>
      <c r="K5300">
        <v>1</v>
      </c>
      <c r="L5300">
        <v>699</v>
      </c>
      <c r="M5300">
        <v>1</v>
      </c>
      <c r="N5300">
        <v>0</v>
      </c>
      <c r="O5300">
        <v>3093</v>
      </c>
    </row>
    <row r="5301" spans="1:15" x14ac:dyDescent="0.25">
      <c r="A5301" t="s">
        <v>5314</v>
      </c>
      <c r="B5301">
        <v>203</v>
      </c>
      <c r="C5301" s="1" t="str">
        <f>HYPERLINK("http://www.rosaceae.org/gb/gbrowse/malus_x_domestica/?name=MDP0000815791","MDP0000815791")</f>
        <v>MDP0000815791</v>
      </c>
      <c r="D5301">
        <v>65.19</v>
      </c>
      <c r="E5301">
        <v>181</v>
      </c>
      <c r="F5301">
        <v>63</v>
      </c>
      <c r="G5301">
        <v>6</v>
      </c>
      <c r="H5301">
        <v>27</v>
      </c>
      <c r="I5301">
        <v>201</v>
      </c>
      <c r="J5301">
        <v>1</v>
      </c>
      <c r="K5301">
        <v>28</v>
      </c>
      <c r="L5301">
        <v>208</v>
      </c>
      <c r="M5301">
        <v>1</v>
      </c>
      <c r="N5301">
        <v>6.9987700000000003E-62</v>
      </c>
      <c r="O5301">
        <v>595</v>
      </c>
    </row>
    <row r="5302" spans="1:15" x14ac:dyDescent="0.25">
      <c r="A5302" t="s">
        <v>5315</v>
      </c>
      <c r="B5302">
        <v>156</v>
      </c>
      <c r="C5302" s="1" t="str">
        <f>HYPERLINK("http://www.rosaceae.org/gb/gbrowse/malus_x_domestica/?name=MDP0000908013","MDP0000908013")</f>
        <v>MDP0000908013</v>
      </c>
      <c r="D5302">
        <v>52.42</v>
      </c>
      <c r="E5302">
        <v>103</v>
      </c>
      <c r="F5302">
        <v>49</v>
      </c>
      <c r="G5302">
        <v>4</v>
      </c>
      <c r="H5302">
        <v>39</v>
      </c>
      <c r="I5302">
        <v>141</v>
      </c>
      <c r="J5302">
        <v>1</v>
      </c>
      <c r="K5302">
        <v>4</v>
      </c>
      <c r="L5302">
        <v>102</v>
      </c>
      <c r="M5302">
        <v>1</v>
      </c>
      <c r="N5302">
        <v>4.67089E-24</v>
      </c>
      <c r="O5302">
        <v>267</v>
      </c>
    </row>
    <row r="5303" spans="1:15" x14ac:dyDescent="0.25">
      <c r="A5303" t="s">
        <v>5316</v>
      </c>
      <c r="B5303">
        <v>1149</v>
      </c>
      <c r="C5303" s="1" t="str">
        <f>HYPERLINK("http://www.rosaceae.org/gb/gbrowse/malus_x_domestica/?name=MDP0000170311","MDP0000170311")</f>
        <v>MDP0000170311</v>
      </c>
      <c r="D5303">
        <v>53.34</v>
      </c>
      <c r="E5303">
        <v>1196</v>
      </c>
      <c r="F5303">
        <v>558</v>
      </c>
      <c r="G5303">
        <v>179</v>
      </c>
      <c r="H5303">
        <v>64</v>
      </c>
      <c r="I5303">
        <v>1149</v>
      </c>
      <c r="J5303">
        <v>1</v>
      </c>
      <c r="K5303">
        <v>1</v>
      </c>
      <c r="L5303">
        <v>1127</v>
      </c>
      <c r="M5303">
        <v>1</v>
      </c>
      <c r="N5303">
        <v>0</v>
      </c>
      <c r="O5303">
        <v>2840</v>
      </c>
    </row>
    <row r="5304" spans="1:15" x14ac:dyDescent="0.25">
      <c r="A5304" t="s">
        <v>5317</v>
      </c>
      <c r="B5304">
        <v>678</v>
      </c>
      <c r="C5304" s="1" t="str">
        <f>HYPERLINK("http://www.rosaceae.org/gb/gbrowse/malus_x_domestica/?name=MDP0000237200","MDP0000237200")</f>
        <v>MDP0000237200</v>
      </c>
      <c r="D5304">
        <v>69.290000000000006</v>
      </c>
      <c r="E5304">
        <v>635</v>
      </c>
      <c r="F5304">
        <v>195</v>
      </c>
      <c r="G5304">
        <v>6</v>
      </c>
      <c r="H5304">
        <v>34</v>
      </c>
      <c r="I5304">
        <v>664</v>
      </c>
      <c r="J5304">
        <v>1</v>
      </c>
      <c r="K5304">
        <v>22</v>
      </c>
      <c r="L5304">
        <v>654</v>
      </c>
      <c r="M5304">
        <v>1</v>
      </c>
      <c r="N5304">
        <v>0</v>
      </c>
      <c r="O5304">
        <v>2183</v>
      </c>
    </row>
    <row r="5305" spans="1:15" x14ac:dyDescent="0.25">
      <c r="A5305" t="s">
        <v>5318</v>
      </c>
      <c r="B5305">
        <v>463</v>
      </c>
      <c r="C5305" s="1" t="str">
        <f>HYPERLINK("http://www.rosaceae.org/gb/gbrowse/malus_x_domestica/?name=MDP0000206705","MDP0000206705")</f>
        <v>MDP0000206705</v>
      </c>
      <c r="D5305">
        <v>65.38</v>
      </c>
      <c r="E5305">
        <v>156</v>
      </c>
      <c r="F5305">
        <v>54</v>
      </c>
      <c r="G5305">
        <v>6</v>
      </c>
      <c r="H5305">
        <v>15</v>
      </c>
      <c r="I5305">
        <v>169</v>
      </c>
      <c r="J5305">
        <v>1</v>
      </c>
      <c r="K5305">
        <v>1</v>
      </c>
      <c r="L5305">
        <v>151</v>
      </c>
      <c r="M5305">
        <v>1</v>
      </c>
      <c r="N5305">
        <v>2.3601E-51</v>
      </c>
      <c r="O5305">
        <v>509</v>
      </c>
    </row>
    <row r="5306" spans="1:15" x14ac:dyDescent="0.25">
      <c r="A5306" t="s">
        <v>5319</v>
      </c>
      <c r="B5306">
        <v>1188</v>
      </c>
      <c r="C5306" s="1" t="str">
        <f>HYPERLINK("http://www.rosaceae.org/gb/gbrowse/malus_x_domestica/?name=MDP0000224754","MDP0000224754")</f>
        <v>MDP0000224754</v>
      </c>
      <c r="D5306">
        <v>80.81</v>
      </c>
      <c r="E5306">
        <v>1126</v>
      </c>
      <c r="F5306">
        <v>216</v>
      </c>
      <c r="G5306">
        <v>24</v>
      </c>
      <c r="H5306">
        <v>1</v>
      </c>
      <c r="I5306">
        <v>1112</v>
      </c>
      <c r="J5306">
        <v>1</v>
      </c>
      <c r="K5306">
        <v>1</v>
      </c>
      <c r="L5306">
        <v>1116</v>
      </c>
      <c r="M5306">
        <v>1</v>
      </c>
      <c r="N5306">
        <v>0</v>
      </c>
      <c r="O5306">
        <v>4746</v>
      </c>
    </row>
    <row r="5307" spans="1:15" x14ac:dyDescent="0.25">
      <c r="A5307" t="s">
        <v>5320</v>
      </c>
      <c r="B5307">
        <v>731</v>
      </c>
      <c r="C5307" s="1" t="str">
        <f>HYPERLINK("http://www.rosaceae.org/gb/gbrowse/malus_x_domestica/?name=MDP0000169210","MDP0000169210")</f>
        <v>MDP0000169210</v>
      </c>
      <c r="D5307">
        <v>65.760000000000005</v>
      </c>
      <c r="E5307">
        <v>777</v>
      </c>
      <c r="F5307">
        <v>266</v>
      </c>
      <c r="G5307">
        <v>64</v>
      </c>
      <c r="H5307">
        <v>18</v>
      </c>
      <c r="I5307">
        <v>731</v>
      </c>
      <c r="J5307">
        <v>1</v>
      </c>
      <c r="K5307">
        <v>18</v>
      </c>
      <c r="L5307">
        <v>793</v>
      </c>
      <c r="M5307">
        <v>1</v>
      </c>
      <c r="N5307">
        <v>0</v>
      </c>
      <c r="O5307">
        <v>2571</v>
      </c>
    </row>
    <row r="5308" spans="1:15" x14ac:dyDescent="0.25">
      <c r="A5308" t="s">
        <v>5321</v>
      </c>
      <c r="B5308">
        <v>179</v>
      </c>
      <c r="C5308" s="1" t="str">
        <f>HYPERLINK("http://www.rosaceae.org/gb/gbrowse/malus_x_domestica/?name=MDP0000315009","MDP0000315009")</f>
        <v>MDP0000315009</v>
      </c>
      <c r="D5308">
        <v>59.25</v>
      </c>
      <c r="E5308">
        <v>189</v>
      </c>
      <c r="F5308">
        <v>77</v>
      </c>
      <c r="G5308">
        <v>15</v>
      </c>
      <c r="H5308">
        <v>1</v>
      </c>
      <c r="I5308">
        <v>174</v>
      </c>
      <c r="J5308">
        <v>1</v>
      </c>
      <c r="K5308">
        <v>757</v>
      </c>
      <c r="L5308">
        <v>945</v>
      </c>
      <c r="M5308">
        <v>1</v>
      </c>
      <c r="N5308">
        <v>3.6913000000000001E-47</v>
      </c>
      <c r="O5308">
        <v>467</v>
      </c>
    </row>
    <row r="5309" spans="1:15" x14ac:dyDescent="0.25">
      <c r="A5309" t="s">
        <v>5322</v>
      </c>
      <c r="B5309">
        <v>139</v>
      </c>
      <c r="C5309" s="1" t="str">
        <f>HYPERLINK("http://www.rosaceae.org/gb/gbrowse/malus_x_domestica/?name=MDP0000255080","MDP0000255080")</f>
        <v>MDP0000255080</v>
      </c>
      <c r="D5309">
        <v>40</v>
      </c>
      <c r="E5309">
        <v>95</v>
      </c>
      <c r="F5309">
        <v>57</v>
      </c>
      <c r="G5309">
        <v>10</v>
      </c>
      <c r="H5309">
        <v>4</v>
      </c>
      <c r="I5309">
        <v>93</v>
      </c>
      <c r="J5309">
        <v>1</v>
      </c>
      <c r="K5309">
        <v>203</v>
      </c>
      <c r="L5309">
        <v>292</v>
      </c>
      <c r="M5309">
        <v>1</v>
      </c>
      <c r="N5309">
        <v>2.0191899999999998E-11</v>
      </c>
      <c r="O5309">
        <v>157</v>
      </c>
    </row>
    <row r="5310" spans="1:15" x14ac:dyDescent="0.25">
      <c r="A5310" t="s">
        <v>5323</v>
      </c>
      <c r="B5310">
        <v>414</v>
      </c>
      <c r="C5310" s="1" t="str">
        <f>HYPERLINK("http://www.rosaceae.org/gb/gbrowse/malus_x_domestica/?name=MDP0000734535","MDP0000734535")</f>
        <v>MDP0000734535</v>
      </c>
      <c r="D5310">
        <v>63.81</v>
      </c>
      <c r="E5310">
        <v>398</v>
      </c>
      <c r="F5310">
        <v>144</v>
      </c>
      <c r="G5310">
        <v>65</v>
      </c>
      <c r="H5310">
        <v>19</v>
      </c>
      <c r="I5310">
        <v>413</v>
      </c>
      <c r="J5310">
        <v>1</v>
      </c>
      <c r="K5310">
        <v>23</v>
      </c>
      <c r="L5310">
        <v>358</v>
      </c>
      <c r="M5310">
        <v>1</v>
      </c>
      <c r="N5310">
        <v>1.1074199999999999E-131</v>
      </c>
      <c r="O5310">
        <v>1201</v>
      </c>
    </row>
    <row r="5311" spans="1:15" x14ac:dyDescent="0.25">
      <c r="A5311" t="s">
        <v>5324</v>
      </c>
      <c r="B5311">
        <v>456</v>
      </c>
      <c r="C5311" s="1" t="str">
        <f>HYPERLINK("http://www.rosaceae.org/gb/gbrowse/malus_x_domestica/?name=MDP0000289123","MDP0000289123")</f>
        <v>MDP0000289123</v>
      </c>
      <c r="D5311">
        <v>30.93</v>
      </c>
      <c r="E5311">
        <v>472</v>
      </c>
      <c r="F5311">
        <v>326</v>
      </c>
      <c r="G5311">
        <v>87</v>
      </c>
      <c r="H5311">
        <v>3</v>
      </c>
      <c r="I5311">
        <v>448</v>
      </c>
      <c r="J5311">
        <v>1</v>
      </c>
      <c r="K5311">
        <v>5</v>
      </c>
      <c r="L5311">
        <v>415</v>
      </c>
      <c r="M5311">
        <v>1</v>
      </c>
      <c r="N5311">
        <v>1.2205200000000001E-41</v>
      </c>
      <c r="O5311">
        <v>425</v>
      </c>
    </row>
    <row r="5312" spans="1:15" x14ac:dyDescent="0.25">
      <c r="A5312" t="s">
        <v>5325</v>
      </c>
      <c r="B5312">
        <v>369</v>
      </c>
      <c r="C5312" s="1" t="str">
        <f>HYPERLINK("http://www.rosaceae.org/gb/gbrowse/malus_x_domestica/?name=MDP0000314213","MDP0000314213")</f>
        <v>MDP0000314213</v>
      </c>
      <c r="D5312">
        <v>75.930000000000007</v>
      </c>
      <c r="E5312">
        <v>349</v>
      </c>
      <c r="F5312">
        <v>84</v>
      </c>
      <c r="G5312">
        <v>2</v>
      </c>
      <c r="H5312">
        <v>18</v>
      </c>
      <c r="I5312">
        <v>364</v>
      </c>
      <c r="J5312">
        <v>1</v>
      </c>
      <c r="K5312">
        <v>150</v>
      </c>
      <c r="L5312">
        <v>498</v>
      </c>
      <c r="M5312">
        <v>1</v>
      </c>
      <c r="N5312">
        <v>1.9905799999999999E-151</v>
      </c>
      <c r="O5312">
        <v>1371</v>
      </c>
    </row>
    <row r="5313" spans="1:15" x14ac:dyDescent="0.25">
      <c r="A5313" t="s">
        <v>5326</v>
      </c>
      <c r="B5313">
        <v>233</v>
      </c>
      <c r="C5313" s="1" t="str">
        <f>HYPERLINK("http://www.rosaceae.org/gb/gbrowse/malus_x_domestica/?name=MDP0000135062","MDP0000135062")</f>
        <v>MDP0000135062</v>
      </c>
      <c r="D5313">
        <v>45.76</v>
      </c>
      <c r="E5313">
        <v>260</v>
      </c>
      <c r="F5313">
        <v>141</v>
      </c>
      <c r="G5313">
        <v>35</v>
      </c>
      <c r="H5313">
        <v>1</v>
      </c>
      <c r="I5313">
        <v>233</v>
      </c>
      <c r="J5313">
        <v>1</v>
      </c>
      <c r="K5313">
        <v>53</v>
      </c>
      <c r="L5313">
        <v>304</v>
      </c>
      <c r="M5313">
        <v>1</v>
      </c>
      <c r="N5313">
        <v>2.4745100000000003E-35</v>
      </c>
      <c r="O5313">
        <v>367</v>
      </c>
    </row>
    <row r="5314" spans="1:15" x14ac:dyDescent="0.25">
      <c r="A5314" t="s">
        <v>5327</v>
      </c>
      <c r="B5314">
        <v>499</v>
      </c>
      <c r="C5314" s="1" t="str">
        <f>HYPERLINK("http://www.rosaceae.org/gb/gbrowse/malus_x_domestica/?name=MDP0000289917","MDP0000289917")</f>
        <v>MDP0000289917</v>
      </c>
      <c r="D5314">
        <v>78.680000000000007</v>
      </c>
      <c r="E5314">
        <v>516</v>
      </c>
      <c r="F5314">
        <v>110</v>
      </c>
      <c r="G5314">
        <v>21</v>
      </c>
      <c r="H5314">
        <v>4</v>
      </c>
      <c r="I5314">
        <v>498</v>
      </c>
      <c r="J5314">
        <v>1</v>
      </c>
      <c r="K5314">
        <v>2</v>
      </c>
      <c r="L5314">
        <v>517</v>
      </c>
      <c r="M5314">
        <v>1</v>
      </c>
      <c r="N5314">
        <v>0</v>
      </c>
      <c r="O5314">
        <v>2200</v>
      </c>
    </row>
    <row r="5315" spans="1:15" x14ac:dyDescent="0.25">
      <c r="A5315" t="s">
        <v>5328</v>
      </c>
      <c r="B5315">
        <v>125</v>
      </c>
      <c r="C5315" s="1" t="str">
        <f>HYPERLINK("http://www.rosaceae.org/gb/gbrowse/malus_x_domestica/?name=MDP0000277302","MDP0000277302")</f>
        <v>MDP0000277302</v>
      </c>
      <c r="D5315">
        <v>36.08</v>
      </c>
      <c r="E5315">
        <v>97</v>
      </c>
      <c r="F5315">
        <v>62</v>
      </c>
      <c r="G5315">
        <v>3</v>
      </c>
      <c r="H5315">
        <v>26</v>
      </c>
      <c r="I5315">
        <v>121</v>
      </c>
      <c r="J5315">
        <v>1</v>
      </c>
      <c r="K5315">
        <v>601</v>
      </c>
      <c r="L5315">
        <v>695</v>
      </c>
      <c r="M5315">
        <v>1</v>
      </c>
      <c r="N5315">
        <v>1.40607E-11</v>
      </c>
      <c r="O5315">
        <v>157</v>
      </c>
    </row>
    <row r="5316" spans="1:15" x14ac:dyDescent="0.25">
      <c r="A5316" t="s">
        <v>5329</v>
      </c>
      <c r="B5316">
        <v>392</v>
      </c>
      <c r="C5316" s="1" t="str">
        <f>HYPERLINK("http://www.rosaceae.org/gb/gbrowse/malus_x_domestica/?name=MDP0000287433","MDP0000287433")</f>
        <v>MDP0000287433</v>
      </c>
      <c r="D5316">
        <v>50.96</v>
      </c>
      <c r="E5316">
        <v>361</v>
      </c>
      <c r="F5316">
        <v>177</v>
      </c>
      <c r="G5316">
        <v>15</v>
      </c>
      <c r="H5316">
        <v>15</v>
      </c>
      <c r="I5316">
        <v>361</v>
      </c>
      <c r="J5316">
        <v>1</v>
      </c>
      <c r="K5316">
        <v>14</v>
      </c>
      <c r="L5316">
        <v>373</v>
      </c>
      <c r="M5316">
        <v>1</v>
      </c>
      <c r="N5316">
        <v>1.55013E-93</v>
      </c>
      <c r="O5316">
        <v>872</v>
      </c>
    </row>
    <row r="5317" spans="1:15" x14ac:dyDescent="0.25">
      <c r="A5317" t="s">
        <v>5330</v>
      </c>
      <c r="B5317">
        <v>907</v>
      </c>
      <c r="C5317" s="1" t="str">
        <f>HYPERLINK("http://www.rosaceae.org/gb/gbrowse/malus_x_domestica/?name=MDP0000274090","MDP0000274090")</f>
        <v>MDP0000274090</v>
      </c>
      <c r="D5317">
        <v>55.04</v>
      </c>
      <c r="E5317">
        <v>416</v>
      </c>
      <c r="F5317">
        <v>187</v>
      </c>
      <c r="G5317">
        <v>55</v>
      </c>
      <c r="H5317">
        <v>187</v>
      </c>
      <c r="I5317">
        <v>556</v>
      </c>
      <c r="J5317">
        <v>1</v>
      </c>
      <c r="K5317">
        <v>11</v>
      </c>
      <c r="L5317">
        <v>417</v>
      </c>
      <c r="M5317">
        <v>1</v>
      </c>
      <c r="N5317">
        <v>1.1682599999999999E-128</v>
      </c>
      <c r="O5317">
        <v>1179</v>
      </c>
    </row>
    <row r="5318" spans="1:15" x14ac:dyDescent="0.25">
      <c r="A5318" t="s">
        <v>5331</v>
      </c>
      <c r="B5318">
        <v>421</v>
      </c>
      <c r="C5318" s="1" t="str">
        <f>HYPERLINK("http://www.rosaceae.org/gb/gbrowse/malus_x_domestica/?name=MDP0000321732","MDP0000321732")</f>
        <v>MDP0000321732</v>
      </c>
      <c r="D5318">
        <v>66</v>
      </c>
      <c r="E5318">
        <v>203</v>
      </c>
      <c r="F5318">
        <v>69</v>
      </c>
      <c r="G5318">
        <v>17</v>
      </c>
      <c r="H5318">
        <v>1</v>
      </c>
      <c r="I5318">
        <v>199</v>
      </c>
      <c r="J5318">
        <v>1</v>
      </c>
      <c r="K5318">
        <v>1</v>
      </c>
      <c r="L5318">
        <v>190</v>
      </c>
      <c r="M5318">
        <v>1</v>
      </c>
      <c r="N5318">
        <v>4.12971E-72</v>
      </c>
      <c r="O5318">
        <v>688</v>
      </c>
    </row>
    <row r="5319" spans="1:15" x14ac:dyDescent="0.25">
      <c r="A5319" t="s">
        <v>5332</v>
      </c>
      <c r="B5319">
        <v>331</v>
      </c>
      <c r="C5319" s="1" t="str">
        <f>HYPERLINK("http://www.rosaceae.org/gb/gbrowse/malus_x_domestica/?name=MDP0000190280","MDP0000190280")</f>
        <v>MDP0000190280</v>
      </c>
      <c r="D5319">
        <v>40.25</v>
      </c>
      <c r="E5319">
        <v>77</v>
      </c>
      <c r="F5319">
        <v>46</v>
      </c>
      <c r="G5319">
        <v>0</v>
      </c>
      <c r="H5319">
        <v>4</v>
      </c>
      <c r="I5319">
        <v>80</v>
      </c>
      <c r="J5319">
        <v>1</v>
      </c>
      <c r="K5319">
        <v>3</v>
      </c>
      <c r="L5319">
        <v>79</v>
      </c>
      <c r="M5319">
        <v>1</v>
      </c>
      <c r="N5319">
        <v>7.6456700000000001E-9</v>
      </c>
      <c r="O5319">
        <v>141</v>
      </c>
    </row>
    <row r="5320" spans="1:15" x14ac:dyDescent="0.25">
      <c r="A5320" t="s">
        <v>5333</v>
      </c>
      <c r="B5320">
        <v>347</v>
      </c>
      <c r="C5320" s="1" t="str">
        <f>HYPERLINK("http://www.rosaceae.org/gb/gbrowse/malus_x_domestica/?name=MDP0000256194","MDP0000256194")</f>
        <v>MDP0000256194</v>
      </c>
      <c r="D5320">
        <v>83.06</v>
      </c>
      <c r="E5320">
        <v>313</v>
      </c>
      <c r="F5320">
        <v>53</v>
      </c>
      <c r="G5320">
        <v>7</v>
      </c>
      <c r="H5320">
        <v>1</v>
      </c>
      <c r="I5320">
        <v>312</v>
      </c>
      <c r="J5320">
        <v>1</v>
      </c>
      <c r="K5320">
        <v>43</v>
      </c>
      <c r="L5320">
        <v>349</v>
      </c>
      <c r="M5320">
        <v>1</v>
      </c>
      <c r="N5320">
        <v>3.6801799999999999E-147</v>
      </c>
      <c r="O5320">
        <v>1334</v>
      </c>
    </row>
    <row r="5321" spans="1:15" x14ac:dyDescent="0.25">
      <c r="A5321" t="s">
        <v>5334</v>
      </c>
      <c r="B5321">
        <v>532</v>
      </c>
      <c r="C5321" s="1" t="str">
        <f>HYPERLINK("http://www.rosaceae.org/gb/gbrowse/malus_x_domestica/?name=MDP0000306176","MDP0000306176")</f>
        <v>MDP0000306176</v>
      </c>
      <c r="D5321">
        <v>61.31</v>
      </c>
      <c r="E5321">
        <v>473</v>
      </c>
      <c r="F5321">
        <v>183</v>
      </c>
      <c r="G5321">
        <v>2</v>
      </c>
      <c r="H5321">
        <v>60</v>
      </c>
      <c r="I5321">
        <v>531</v>
      </c>
      <c r="J5321">
        <v>1</v>
      </c>
      <c r="K5321">
        <v>252</v>
      </c>
      <c r="L5321">
        <v>723</v>
      </c>
      <c r="M5321">
        <v>1</v>
      </c>
      <c r="N5321">
        <v>1.4819000000000001E-174</v>
      </c>
      <c r="O5321">
        <v>1572</v>
      </c>
    </row>
    <row r="5322" spans="1:15" x14ac:dyDescent="0.25">
      <c r="A5322" t="s">
        <v>5335</v>
      </c>
      <c r="B5322">
        <v>241</v>
      </c>
      <c r="C5322" s="1" t="str">
        <f>HYPERLINK("http://www.rosaceae.org/gb/gbrowse/malus_x_domestica/?name=MDP0000786101","MDP0000786101")</f>
        <v>MDP0000786101</v>
      </c>
      <c r="D5322">
        <v>41.89</v>
      </c>
      <c r="E5322">
        <v>179</v>
      </c>
      <c r="F5322">
        <v>104</v>
      </c>
      <c r="G5322">
        <v>5</v>
      </c>
      <c r="H5322">
        <v>14</v>
      </c>
      <c r="I5322">
        <v>192</v>
      </c>
      <c r="J5322">
        <v>1</v>
      </c>
      <c r="K5322">
        <v>17</v>
      </c>
      <c r="L5322">
        <v>190</v>
      </c>
      <c r="M5322">
        <v>1</v>
      </c>
      <c r="N5322">
        <v>8.1326099999999997E-38</v>
      </c>
      <c r="O5322">
        <v>389</v>
      </c>
    </row>
    <row r="5323" spans="1:15" x14ac:dyDescent="0.25">
      <c r="A5323" t="s">
        <v>5336</v>
      </c>
      <c r="B5323">
        <v>363</v>
      </c>
      <c r="C5323" s="1" t="str">
        <f>HYPERLINK("http://www.rosaceae.org/gb/gbrowse/malus_x_domestica/?name=MDP0000282105","MDP0000282105")</f>
        <v>MDP0000282105</v>
      </c>
      <c r="D5323">
        <v>76</v>
      </c>
      <c r="E5323">
        <v>200</v>
      </c>
      <c r="F5323">
        <v>48</v>
      </c>
      <c r="G5323">
        <v>5</v>
      </c>
      <c r="H5323">
        <v>168</v>
      </c>
      <c r="I5323">
        <v>363</v>
      </c>
      <c r="J5323">
        <v>1</v>
      </c>
      <c r="K5323">
        <v>271</v>
      </c>
      <c r="L5323">
        <v>469</v>
      </c>
      <c r="M5323">
        <v>1</v>
      </c>
      <c r="N5323">
        <v>6.1640900000000004E-87</v>
      </c>
      <c r="O5323">
        <v>815</v>
      </c>
    </row>
    <row r="5324" spans="1:15" x14ac:dyDescent="0.25">
      <c r="A5324" t="s">
        <v>5337</v>
      </c>
      <c r="B5324">
        <v>296</v>
      </c>
      <c r="C5324" s="1" t="str">
        <f>HYPERLINK("http://www.rosaceae.org/gb/gbrowse/malus_x_domestica/?name=MDP0000253231","MDP0000253231")</f>
        <v>MDP0000253231</v>
      </c>
      <c r="D5324">
        <v>68.680000000000007</v>
      </c>
      <c r="E5324">
        <v>297</v>
      </c>
      <c r="F5324">
        <v>93</v>
      </c>
      <c r="G5324">
        <v>7</v>
      </c>
      <c r="H5324">
        <v>1</v>
      </c>
      <c r="I5324">
        <v>296</v>
      </c>
      <c r="J5324">
        <v>1</v>
      </c>
      <c r="K5324">
        <v>5</v>
      </c>
      <c r="L5324">
        <v>295</v>
      </c>
      <c r="M5324">
        <v>1</v>
      </c>
      <c r="N5324">
        <v>1.1369800000000001E-107</v>
      </c>
      <c r="O5324">
        <v>992</v>
      </c>
    </row>
    <row r="5325" spans="1:15" x14ac:dyDescent="0.25">
      <c r="A5325" t="s">
        <v>5338</v>
      </c>
      <c r="B5325">
        <v>441</v>
      </c>
      <c r="C5325" s="1" t="str">
        <f>HYPERLINK("http://www.rosaceae.org/gb/gbrowse/malus_x_domestica/?name=MDP0000250917","MDP0000250917")</f>
        <v>MDP0000250917</v>
      </c>
      <c r="D5325">
        <v>82.7</v>
      </c>
      <c r="E5325">
        <v>237</v>
      </c>
      <c r="F5325">
        <v>41</v>
      </c>
      <c r="G5325">
        <v>1</v>
      </c>
      <c r="H5325">
        <v>4</v>
      </c>
      <c r="I5325">
        <v>240</v>
      </c>
      <c r="J5325">
        <v>1</v>
      </c>
      <c r="K5325">
        <v>5</v>
      </c>
      <c r="L5325">
        <v>240</v>
      </c>
      <c r="M5325">
        <v>1</v>
      </c>
      <c r="N5325">
        <v>1.2549800000000001E-110</v>
      </c>
      <c r="O5325">
        <v>1020</v>
      </c>
    </row>
    <row r="5326" spans="1:15" x14ac:dyDescent="0.25">
      <c r="A5326" t="s">
        <v>5339</v>
      </c>
      <c r="B5326">
        <v>369</v>
      </c>
      <c r="C5326" s="1" t="str">
        <f>HYPERLINK("http://www.rosaceae.org/gb/gbrowse/malus_x_domestica/?name=MDP0000287423","MDP0000287423")</f>
        <v>MDP0000287423</v>
      </c>
      <c r="D5326">
        <v>73.09</v>
      </c>
      <c r="E5326">
        <v>368</v>
      </c>
      <c r="F5326">
        <v>99</v>
      </c>
      <c r="G5326">
        <v>3</v>
      </c>
      <c r="H5326">
        <v>1</v>
      </c>
      <c r="I5326">
        <v>366</v>
      </c>
      <c r="J5326">
        <v>1</v>
      </c>
      <c r="K5326">
        <v>1</v>
      </c>
      <c r="L5326">
        <v>367</v>
      </c>
      <c r="M5326">
        <v>1</v>
      </c>
      <c r="N5326">
        <v>9.0672599999999997E-159</v>
      </c>
      <c r="O5326">
        <v>1434</v>
      </c>
    </row>
    <row r="5327" spans="1:15" x14ac:dyDescent="0.25">
      <c r="A5327" t="s">
        <v>5340</v>
      </c>
      <c r="B5327">
        <v>994</v>
      </c>
      <c r="C5327" s="1" t="str">
        <f>HYPERLINK("http://www.rosaceae.org/gb/gbrowse/malus_x_domestica/?name=MDP0000316086","MDP0000316086")</f>
        <v>MDP0000316086</v>
      </c>
      <c r="D5327">
        <v>68.25</v>
      </c>
      <c r="E5327">
        <v>1008</v>
      </c>
      <c r="F5327">
        <v>320</v>
      </c>
      <c r="G5327">
        <v>41</v>
      </c>
      <c r="H5327">
        <v>1</v>
      </c>
      <c r="I5327">
        <v>994</v>
      </c>
      <c r="J5327">
        <v>1</v>
      </c>
      <c r="K5327">
        <v>1</v>
      </c>
      <c r="L5327">
        <v>981</v>
      </c>
      <c r="M5327">
        <v>1</v>
      </c>
      <c r="N5327">
        <v>0</v>
      </c>
      <c r="O5327">
        <v>3506</v>
      </c>
    </row>
    <row r="5328" spans="1:15" x14ac:dyDescent="0.25">
      <c r="A5328" t="s">
        <v>5341</v>
      </c>
      <c r="B5328">
        <v>964</v>
      </c>
      <c r="C5328" s="1" t="str">
        <f>HYPERLINK("http://www.rosaceae.org/gb/gbrowse/malus_x_domestica/?name=MDP0000261327","MDP0000261327")</f>
        <v>MDP0000261327</v>
      </c>
      <c r="D5328">
        <v>44.56</v>
      </c>
      <c r="E5328">
        <v>671</v>
      </c>
      <c r="F5328">
        <v>372</v>
      </c>
      <c r="G5328">
        <v>58</v>
      </c>
      <c r="H5328">
        <v>183</v>
      </c>
      <c r="I5328">
        <v>820</v>
      </c>
      <c r="J5328">
        <v>1</v>
      </c>
      <c r="K5328">
        <v>1319</v>
      </c>
      <c r="L5328">
        <v>1964</v>
      </c>
      <c r="M5328">
        <v>1</v>
      </c>
      <c r="N5328">
        <v>4.0744100000000002E-145</v>
      </c>
      <c r="O5328">
        <v>1321</v>
      </c>
    </row>
    <row r="5329" spans="1:15" x14ac:dyDescent="0.25">
      <c r="A5329" t="s">
        <v>5342</v>
      </c>
      <c r="B5329">
        <v>2620</v>
      </c>
      <c r="C5329" s="1" t="str">
        <f>HYPERLINK("http://www.rosaceae.org/gb/gbrowse/malus_x_domestica/?name=MDP0000291992","MDP0000291992")</f>
        <v>MDP0000291992</v>
      </c>
      <c r="D5329">
        <v>80.650000000000006</v>
      </c>
      <c r="E5329">
        <v>2641</v>
      </c>
      <c r="F5329">
        <v>511</v>
      </c>
      <c r="G5329">
        <v>97</v>
      </c>
      <c r="H5329">
        <v>1</v>
      </c>
      <c r="I5329">
        <v>2604</v>
      </c>
      <c r="J5329">
        <v>1</v>
      </c>
      <c r="K5329">
        <v>1</v>
      </c>
      <c r="L5329">
        <v>2581</v>
      </c>
      <c r="M5329">
        <v>1</v>
      </c>
      <c r="N5329">
        <v>0</v>
      </c>
      <c r="O5329">
        <v>11024</v>
      </c>
    </row>
    <row r="5330" spans="1:15" x14ac:dyDescent="0.25">
      <c r="A5330" t="s">
        <v>5343</v>
      </c>
      <c r="B5330">
        <v>431</v>
      </c>
      <c r="C5330" s="1" t="str">
        <f>HYPERLINK("http://www.rosaceae.org/gb/gbrowse/malus_x_domestica/?name=MDP0000270654","MDP0000270654")</f>
        <v>MDP0000270654</v>
      </c>
      <c r="D5330">
        <v>79.349999999999994</v>
      </c>
      <c r="E5330">
        <v>431</v>
      </c>
      <c r="F5330">
        <v>89</v>
      </c>
      <c r="G5330">
        <v>1</v>
      </c>
      <c r="H5330">
        <v>1</v>
      </c>
      <c r="I5330">
        <v>430</v>
      </c>
      <c r="J5330">
        <v>1</v>
      </c>
      <c r="K5330">
        <v>1</v>
      </c>
      <c r="L5330">
        <v>431</v>
      </c>
      <c r="M5330">
        <v>1</v>
      </c>
      <c r="N5330">
        <v>0</v>
      </c>
      <c r="O5330">
        <v>1836</v>
      </c>
    </row>
    <row r="5331" spans="1:15" x14ac:dyDescent="0.25">
      <c r="A5331" t="s">
        <v>5344</v>
      </c>
      <c r="B5331">
        <v>650</v>
      </c>
      <c r="C5331" s="1" t="str">
        <f>HYPERLINK("http://www.rosaceae.org/gb/gbrowse/malus_x_domestica/?name=MDP0000472519","MDP0000472519")</f>
        <v>MDP0000472519</v>
      </c>
      <c r="D5331">
        <v>70.72</v>
      </c>
      <c r="E5331">
        <v>649</v>
      </c>
      <c r="F5331">
        <v>190</v>
      </c>
      <c r="G5331">
        <v>10</v>
      </c>
      <c r="H5331">
        <v>1</v>
      </c>
      <c r="I5331">
        <v>645</v>
      </c>
      <c r="J5331">
        <v>1</v>
      </c>
      <c r="K5331">
        <v>1</v>
      </c>
      <c r="L5331">
        <v>643</v>
      </c>
      <c r="M5331">
        <v>1</v>
      </c>
      <c r="N5331">
        <v>0</v>
      </c>
      <c r="O5331">
        <v>2275</v>
      </c>
    </row>
    <row r="5332" spans="1:15" x14ac:dyDescent="0.25">
      <c r="A5332" t="s">
        <v>5345</v>
      </c>
      <c r="B5332">
        <v>138</v>
      </c>
      <c r="C5332" s="1" t="str">
        <f>HYPERLINK("http://www.rosaceae.org/gb/gbrowse/malus_x_domestica/?name=MDP0000281545","MDP0000281545")</f>
        <v>MDP0000281545</v>
      </c>
      <c r="D5332">
        <v>61.9</v>
      </c>
      <c r="E5332">
        <v>105</v>
      </c>
      <c r="F5332">
        <v>40</v>
      </c>
      <c r="G5332">
        <v>2</v>
      </c>
      <c r="H5332">
        <v>18</v>
      </c>
      <c r="I5332">
        <v>121</v>
      </c>
      <c r="J5332">
        <v>1</v>
      </c>
      <c r="K5332">
        <v>20</v>
      </c>
      <c r="L5332">
        <v>123</v>
      </c>
      <c r="M5332">
        <v>1</v>
      </c>
      <c r="N5332">
        <v>1.4783699999999999E-32</v>
      </c>
      <c r="O5332">
        <v>339</v>
      </c>
    </row>
    <row r="5333" spans="1:15" x14ac:dyDescent="0.25">
      <c r="A5333" t="s">
        <v>5346</v>
      </c>
      <c r="B5333">
        <v>521</v>
      </c>
      <c r="C5333" s="1" t="str">
        <f>HYPERLINK("http://www.rosaceae.org/gb/gbrowse/malus_x_domestica/?name=MDP0000264311","MDP0000264311")</f>
        <v>MDP0000264311</v>
      </c>
      <c r="D5333">
        <v>65.59</v>
      </c>
      <c r="E5333">
        <v>529</v>
      </c>
      <c r="F5333">
        <v>182</v>
      </c>
      <c r="G5333">
        <v>29</v>
      </c>
      <c r="H5333">
        <v>18</v>
      </c>
      <c r="I5333">
        <v>520</v>
      </c>
      <c r="J5333">
        <v>1</v>
      </c>
      <c r="K5333">
        <v>16</v>
      </c>
      <c r="L5333">
        <v>541</v>
      </c>
      <c r="M5333">
        <v>1</v>
      </c>
      <c r="N5333">
        <v>0</v>
      </c>
      <c r="O5333">
        <v>1663</v>
      </c>
    </row>
    <row r="5334" spans="1:15" x14ac:dyDescent="0.25">
      <c r="A5334" t="s">
        <v>5347</v>
      </c>
      <c r="B5334">
        <v>245</v>
      </c>
      <c r="C5334" s="1" t="str">
        <f>HYPERLINK("http://www.rosaceae.org/gb/gbrowse/malus_x_domestica/?name=MDP0000252894","MDP0000252894")</f>
        <v>MDP0000252894</v>
      </c>
      <c r="D5334">
        <v>59.3</v>
      </c>
      <c r="E5334">
        <v>231</v>
      </c>
      <c r="F5334">
        <v>94</v>
      </c>
      <c r="G5334">
        <v>33</v>
      </c>
      <c r="H5334">
        <v>15</v>
      </c>
      <c r="I5334">
        <v>244</v>
      </c>
      <c r="J5334">
        <v>1</v>
      </c>
      <c r="K5334">
        <v>154</v>
      </c>
      <c r="L5334">
        <v>352</v>
      </c>
      <c r="M5334">
        <v>1</v>
      </c>
      <c r="N5334">
        <v>8.23079E-65</v>
      </c>
      <c r="O5334">
        <v>622</v>
      </c>
    </row>
    <row r="5335" spans="1:15" x14ac:dyDescent="0.25">
      <c r="A5335" t="s">
        <v>5348</v>
      </c>
      <c r="B5335">
        <v>1031</v>
      </c>
      <c r="C5335" s="1" t="str">
        <f>HYPERLINK("http://www.rosaceae.org/gb/gbrowse/malus_x_domestica/?name=MDP0000154727","MDP0000154727")</f>
        <v>MDP0000154727</v>
      </c>
      <c r="D5335">
        <v>82.1</v>
      </c>
      <c r="E5335">
        <v>1017</v>
      </c>
      <c r="F5335">
        <v>182</v>
      </c>
      <c r="G5335">
        <v>24</v>
      </c>
      <c r="H5335">
        <v>1</v>
      </c>
      <c r="I5335">
        <v>993</v>
      </c>
      <c r="J5335">
        <v>1</v>
      </c>
      <c r="K5335">
        <v>1</v>
      </c>
      <c r="L5335">
        <v>1017</v>
      </c>
      <c r="M5335">
        <v>1</v>
      </c>
      <c r="N5335">
        <v>0</v>
      </c>
      <c r="O5335">
        <v>4403</v>
      </c>
    </row>
    <row r="5336" spans="1:15" x14ac:dyDescent="0.25">
      <c r="A5336" t="s">
        <v>5349</v>
      </c>
      <c r="B5336">
        <v>255</v>
      </c>
      <c r="C5336" s="1" t="str">
        <f>HYPERLINK("http://www.rosaceae.org/gb/gbrowse/malus_x_domestica/?name=MDP0000285644","MDP0000285644")</f>
        <v>MDP0000285644</v>
      </c>
      <c r="D5336">
        <v>48.06</v>
      </c>
      <c r="E5336">
        <v>129</v>
      </c>
      <c r="F5336">
        <v>67</v>
      </c>
      <c r="G5336">
        <v>42</v>
      </c>
      <c r="H5336">
        <v>1</v>
      </c>
      <c r="I5336">
        <v>129</v>
      </c>
      <c r="J5336">
        <v>1</v>
      </c>
      <c r="K5336">
        <v>570</v>
      </c>
      <c r="L5336">
        <v>656</v>
      </c>
      <c r="M5336">
        <v>1</v>
      </c>
      <c r="N5336">
        <v>1.7651199999999999E-24</v>
      </c>
      <c r="O5336">
        <v>274</v>
      </c>
    </row>
    <row r="5337" spans="1:15" x14ac:dyDescent="0.25">
      <c r="A5337" t="s">
        <v>5350</v>
      </c>
      <c r="B5337">
        <v>316</v>
      </c>
      <c r="C5337" s="1" t="str">
        <f>HYPERLINK("http://www.rosaceae.org/gb/gbrowse/malus_x_domestica/?name=MDP0000228370","MDP0000228370")</f>
        <v>MDP0000228370</v>
      </c>
      <c r="D5337">
        <v>50.45</v>
      </c>
      <c r="E5337">
        <v>331</v>
      </c>
      <c r="F5337">
        <v>164</v>
      </c>
      <c r="G5337">
        <v>15</v>
      </c>
      <c r="H5337">
        <v>1</v>
      </c>
      <c r="I5337">
        <v>316</v>
      </c>
      <c r="J5337">
        <v>1</v>
      </c>
      <c r="K5337">
        <v>1</v>
      </c>
      <c r="L5337">
        <v>331</v>
      </c>
      <c r="M5337">
        <v>1</v>
      </c>
      <c r="N5337">
        <v>1.5286599999999999E-88</v>
      </c>
      <c r="O5337">
        <v>828</v>
      </c>
    </row>
    <row r="5338" spans="1:15" x14ac:dyDescent="0.25">
      <c r="A5338" t="s">
        <v>5351</v>
      </c>
      <c r="B5338">
        <v>362</v>
      </c>
      <c r="C5338" s="1" t="str">
        <f>HYPERLINK("http://www.rosaceae.org/gb/gbrowse/malus_x_domestica/?name=MDP0000229587","MDP0000229587")</f>
        <v>MDP0000229587</v>
      </c>
      <c r="D5338">
        <v>82.01</v>
      </c>
      <c r="E5338">
        <v>367</v>
      </c>
      <c r="F5338">
        <v>66</v>
      </c>
      <c r="G5338">
        <v>17</v>
      </c>
      <c r="H5338">
        <v>1</v>
      </c>
      <c r="I5338">
        <v>362</v>
      </c>
      <c r="J5338">
        <v>1</v>
      </c>
      <c r="K5338">
        <v>1</v>
      </c>
      <c r="L5338">
        <v>355</v>
      </c>
      <c r="M5338">
        <v>1</v>
      </c>
      <c r="N5338">
        <v>7.7704000000000003E-167</v>
      </c>
      <c r="O5338">
        <v>1504</v>
      </c>
    </row>
    <row r="5339" spans="1:15" x14ac:dyDescent="0.25">
      <c r="A5339" t="s">
        <v>5352</v>
      </c>
      <c r="B5339">
        <v>753</v>
      </c>
      <c r="C5339" s="1" t="str">
        <f>HYPERLINK("http://www.rosaceae.org/gb/gbrowse/malus_x_domestica/?name=MDP0000276517","MDP0000276517")</f>
        <v>MDP0000276517</v>
      </c>
      <c r="D5339">
        <v>76.55</v>
      </c>
      <c r="E5339">
        <v>789</v>
      </c>
      <c r="F5339">
        <v>185</v>
      </c>
      <c r="G5339">
        <v>45</v>
      </c>
      <c r="H5339">
        <v>9</v>
      </c>
      <c r="I5339">
        <v>753</v>
      </c>
      <c r="J5339">
        <v>1</v>
      </c>
      <c r="K5339">
        <v>20</v>
      </c>
      <c r="L5339">
        <v>807</v>
      </c>
      <c r="M5339">
        <v>1</v>
      </c>
      <c r="N5339">
        <v>0</v>
      </c>
      <c r="O5339">
        <v>3175</v>
      </c>
    </row>
    <row r="5340" spans="1:15" x14ac:dyDescent="0.25">
      <c r="A5340" t="s">
        <v>5353</v>
      </c>
      <c r="B5340">
        <v>278</v>
      </c>
      <c r="C5340" s="1" t="str">
        <f>HYPERLINK("http://www.rosaceae.org/gb/gbrowse/malus_x_domestica/?name=MDP0000188194","MDP0000188194")</f>
        <v>MDP0000188194</v>
      </c>
      <c r="D5340">
        <v>63.76</v>
      </c>
      <c r="E5340">
        <v>287</v>
      </c>
      <c r="F5340">
        <v>104</v>
      </c>
      <c r="G5340">
        <v>26</v>
      </c>
      <c r="H5340">
        <v>1</v>
      </c>
      <c r="I5340">
        <v>278</v>
      </c>
      <c r="J5340">
        <v>1</v>
      </c>
      <c r="K5340">
        <v>1</v>
      </c>
      <c r="L5340">
        <v>270</v>
      </c>
      <c r="M5340">
        <v>1</v>
      </c>
      <c r="N5340">
        <v>4.5957099999999996E-78</v>
      </c>
      <c r="O5340">
        <v>737</v>
      </c>
    </row>
    <row r="5341" spans="1:15" x14ac:dyDescent="0.25">
      <c r="A5341" t="s">
        <v>5354</v>
      </c>
      <c r="B5341">
        <v>359</v>
      </c>
      <c r="C5341" s="1" t="str">
        <f>HYPERLINK("http://www.rosaceae.org/gb/gbrowse/malus_x_domestica/?name=MDP0000215110","MDP0000215110")</f>
        <v>MDP0000215110</v>
      </c>
      <c r="D5341">
        <v>60</v>
      </c>
      <c r="E5341">
        <v>150</v>
      </c>
      <c r="F5341">
        <v>60</v>
      </c>
      <c r="G5341">
        <v>31</v>
      </c>
      <c r="H5341">
        <v>209</v>
      </c>
      <c r="I5341">
        <v>327</v>
      </c>
      <c r="J5341">
        <v>1</v>
      </c>
      <c r="K5341">
        <v>358</v>
      </c>
      <c r="L5341">
        <v>507</v>
      </c>
      <c r="M5341">
        <v>1</v>
      </c>
      <c r="N5341">
        <v>2.5808600000000002E-43</v>
      </c>
      <c r="O5341">
        <v>438</v>
      </c>
    </row>
    <row r="5342" spans="1:15" x14ac:dyDescent="0.25">
      <c r="A5342" t="s">
        <v>5355</v>
      </c>
      <c r="B5342">
        <v>556</v>
      </c>
      <c r="C5342" s="1" t="str">
        <f>HYPERLINK("http://www.rosaceae.org/gb/gbrowse/malus_x_domestica/?name=MDP0000277811","MDP0000277811")</f>
        <v>MDP0000277811</v>
      </c>
      <c r="D5342">
        <v>76.849999999999994</v>
      </c>
      <c r="E5342">
        <v>605</v>
      </c>
      <c r="F5342">
        <v>140</v>
      </c>
      <c r="G5342">
        <v>63</v>
      </c>
      <c r="H5342">
        <v>1</v>
      </c>
      <c r="I5342">
        <v>547</v>
      </c>
      <c r="J5342">
        <v>1</v>
      </c>
      <c r="K5342">
        <v>1</v>
      </c>
      <c r="L5342">
        <v>600</v>
      </c>
      <c r="M5342">
        <v>1</v>
      </c>
      <c r="N5342">
        <v>0</v>
      </c>
      <c r="O5342">
        <v>2389</v>
      </c>
    </row>
    <row r="5343" spans="1:15" x14ac:dyDescent="0.25">
      <c r="A5343" t="s">
        <v>5356</v>
      </c>
      <c r="B5343">
        <v>527</v>
      </c>
      <c r="C5343" s="1" t="str">
        <f>HYPERLINK("http://www.rosaceae.org/gb/gbrowse/malus_x_domestica/?name=MDP0000252267","MDP0000252267")</f>
        <v>MDP0000252267</v>
      </c>
      <c r="D5343">
        <v>68.39</v>
      </c>
      <c r="E5343">
        <v>560</v>
      </c>
      <c r="F5343">
        <v>177</v>
      </c>
      <c r="G5343">
        <v>43</v>
      </c>
      <c r="H5343">
        <v>1</v>
      </c>
      <c r="I5343">
        <v>527</v>
      </c>
      <c r="J5343">
        <v>1</v>
      </c>
      <c r="K5343">
        <v>1</v>
      </c>
      <c r="L5343">
        <v>550</v>
      </c>
      <c r="M5343">
        <v>1</v>
      </c>
      <c r="N5343">
        <v>0</v>
      </c>
      <c r="O5343">
        <v>1968</v>
      </c>
    </row>
    <row r="5344" spans="1:15" x14ac:dyDescent="0.25">
      <c r="A5344" t="s">
        <v>5357</v>
      </c>
      <c r="B5344">
        <v>1179</v>
      </c>
      <c r="C5344" s="1" t="str">
        <f>HYPERLINK("http://www.rosaceae.org/gb/gbrowse/malus_x_domestica/?name=MDP0000238726","MDP0000238726")</f>
        <v>MDP0000238726</v>
      </c>
      <c r="D5344">
        <v>71.709999999999994</v>
      </c>
      <c r="E5344">
        <v>739</v>
      </c>
      <c r="F5344">
        <v>209</v>
      </c>
      <c r="G5344">
        <v>64</v>
      </c>
      <c r="H5344">
        <v>452</v>
      </c>
      <c r="I5344">
        <v>1174</v>
      </c>
      <c r="J5344">
        <v>1</v>
      </c>
      <c r="K5344">
        <v>328</v>
      </c>
      <c r="L5344">
        <v>1018</v>
      </c>
      <c r="M5344">
        <v>1</v>
      </c>
      <c r="N5344">
        <v>0</v>
      </c>
      <c r="O5344">
        <v>2753</v>
      </c>
    </row>
    <row r="5345" spans="1:15" x14ac:dyDescent="0.25">
      <c r="A5345" t="s">
        <v>5358</v>
      </c>
      <c r="B5345">
        <v>940</v>
      </c>
      <c r="C5345" s="1" t="str">
        <f>HYPERLINK("http://www.rosaceae.org/gb/gbrowse/malus_x_domestica/?name=MDP0000287354","MDP0000287354")</f>
        <v>MDP0000287354</v>
      </c>
      <c r="D5345">
        <v>50.91</v>
      </c>
      <c r="E5345">
        <v>328</v>
      </c>
      <c r="F5345">
        <v>161</v>
      </c>
      <c r="G5345">
        <v>48</v>
      </c>
      <c r="H5345">
        <v>22</v>
      </c>
      <c r="I5345">
        <v>348</v>
      </c>
      <c r="J5345">
        <v>1</v>
      </c>
      <c r="K5345">
        <v>21</v>
      </c>
      <c r="L5345">
        <v>301</v>
      </c>
      <c r="M5345">
        <v>1</v>
      </c>
      <c r="N5345">
        <v>6.1129600000000002E-86</v>
      </c>
      <c r="O5345">
        <v>810</v>
      </c>
    </row>
    <row r="5346" spans="1:15" x14ac:dyDescent="0.25">
      <c r="A5346" t="s">
        <v>5359</v>
      </c>
      <c r="B5346">
        <v>284</v>
      </c>
      <c r="C5346" s="1" t="str">
        <f>HYPERLINK("http://www.rosaceae.org/gb/gbrowse/malus_x_domestica/?name=MDP0000311868","MDP0000311868")</f>
        <v>MDP0000311868</v>
      </c>
      <c r="D5346">
        <v>51.36</v>
      </c>
      <c r="E5346">
        <v>257</v>
      </c>
      <c r="F5346">
        <v>125</v>
      </c>
      <c r="G5346">
        <v>35</v>
      </c>
      <c r="H5346">
        <v>54</v>
      </c>
      <c r="I5346">
        <v>282</v>
      </c>
      <c r="J5346">
        <v>1</v>
      </c>
      <c r="K5346">
        <v>55</v>
      </c>
      <c r="L5346">
        <v>304</v>
      </c>
      <c r="M5346">
        <v>1</v>
      </c>
      <c r="N5346">
        <v>3.04616E-58</v>
      </c>
      <c r="O5346">
        <v>566</v>
      </c>
    </row>
    <row r="5347" spans="1:15" x14ac:dyDescent="0.25">
      <c r="A5347" t="s">
        <v>5360</v>
      </c>
      <c r="B5347">
        <v>226</v>
      </c>
      <c r="C5347" s="1" t="str">
        <f>HYPERLINK("http://www.rosaceae.org/gb/gbrowse/malus_x_domestica/?name=MDP0000428283","MDP0000428283")</f>
        <v>MDP0000428283</v>
      </c>
      <c r="D5347">
        <v>48.24</v>
      </c>
      <c r="E5347">
        <v>228</v>
      </c>
      <c r="F5347">
        <v>118</v>
      </c>
      <c r="G5347">
        <v>12</v>
      </c>
      <c r="H5347">
        <v>1</v>
      </c>
      <c r="I5347">
        <v>226</v>
      </c>
      <c r="J5347">
        <v>1</v>
      </c>
      <c r="K5347">
        <v>4</v>
      </c>
      <c r="L5347">
        <v>221</v>
      </c>
      <c r="M5347">
        <v>1</v>
      </c>
      <c r="N5347">
        <v>1.6479100000000001E-42</v>
      </c>
      <c r="O5347">
        <v>429</v>
      </c>
    </row>
    <row r="5348" spans="1:15" x14ac:dyDescent="0.25">
      <c r="A5348" t="s">
        <v>5361</v>
      </c>
      <c r="B5348">
        <v>327</v>
      </c>
      <c r="C5348" s="1" t="str">
        <f>HYPERLINK("http://www.rosaceae.org/gb/gbrowse/malus_x_domestica/?name=MDP0000175043","MDP0000175043")</f>
        <v>MDP0000175043</v>
      </c>
      <c r="D5348">
        <v>79.27</v>
      </c>
      <c r="E5348">
        <v>304</v>
      </c>
      <c r="F5348">
        <v>63</v>
      </c>
      <c r="G5348">
        <v>0</v>
      </c>
      <c r="H5348">
        <v>24</v>
      </c>
      <c r="I5348">
        <v>327</v>
      </c>
      <c r="J5348">
        <v>1</v>
      </c>
      <c r="K5348">
        <v>24</v>
      </c>
      <c r="L5348">
        <v>327</v>
      </c>
      <c r="M5348">
        <v>1</v>
      </c>
      <c r="N5348">
        <v>4.9190799999999998E-145</v>
      </c>
      <c r="O5348">
        <v>1315</v>
      </c>
    </row>
    <row r="5349" spans="1:15" x14ac:dyDescent="0.25">
      <c r="A5349" t="s">
        <v>5362</v>
      </c>
      <c r="B5349">
        <v>243</v>
      </c>
      <c r="C5349" s="1" t="str">
        <f>HYPERLINK("http://www.rosaceae.org/gb/gbrowse/malus_x_domestica/?name=MDP0000122493","MDP0000122493")</f>
        <v>MDP0000122493</v>
      </c>
      <c r="D5349">
        <v>79.83</v>
      </c>
      <c r="E5349">
        <v>238</v>
      </c>
      <c r="F5349">
        <v>48</v>
      </c>
      <c r="G5349">
        <v>0</v>
      </c>
      <c r="H5349">
        <v>1</v>
      </c>
      <c r="I5349">
        <v>238</v>
      </c>
      <c r="J5349">
        <v>1</v>
      </c>
      <c r="K5349">
        <v>355</v>
      </c>
      <c r="L5349">
        <v>592</v>
      </c>
      <c r="M5349">
        <v>1</v>
      </c>
      <c r="N5349">
        <v>7.4852900000000006E-114</v>
      </c>
      <c r="O5349">
        <v>1045</v>
      </c>
    </row>
    <row r="5350" spans="1:15" x14ac:dyDescent="0.25">
      <c r="A5350" t="s">
        <v>5363</v>
      </c>
      <c r="B5350">
        <v>218</v>
      </c>
      <c r="C5350" s="1" t="str">
        <f>HYPERLINK("http://www.rosaceae.org/gb/gbrowse/malus_x_domestica/?name=MDP0000205579","MDP0000205579")</f>
        <v>MDP0000205579</v>
      </c>
      <c r="D5350">
        <v>74.09</v>
      </c>
      <c r="E5350">
        <v>220</v>
      </c>
      <c r="F5350">
        <v>57</v>
      </c>
      <c r="G5350">
        <v>13</v>
      </c>
      <c r="H5350">
        <v>12</v>
      </c>
      <c r="I5350">
        <v>218</v>
      </c>
      <c r="J5350">
        <v>1</v>
      </c>
      <c r="K5350">
        <v>13</v>
      </c>
      <c r="L5350">
        <v>232</v>
      </c>
      <c r="M5350">
        <v>1</v>
      </c>
      <c r="N5350">
        <v>5.3451399999999998E-87</v>
      </c>
      <c r="O5350">
        <v>812</v>
      </c>
    </row>
    <row r="5351" spans="1:15" x14ac:dyDescent="0.25">
      <c r="A5351" t="s">
        <v>5364</v>
      </c>
      <c r="B5351">
        <v>1035</v>
      </c>
      <c r="C5351" s="1" t="str">
        <f>HYPERLINK("http://www.rosaceae.org/gb/gbrowse/malus_x_domestica/?name=MDP0000221052","MDP0000221052")</f>
        <v>MDP0000221052</v>
      </c>
      <c r="D5351">
        <v>52.05</v>
      </c>
      <c r="E5351">
        <v>926</v>
      </c>
      <c r="F5351">
        <v>444</v>
      </c>
      <c r="G5351">
        <v>20</v>
      </c>
      <c r="H5351">
        <v>31</v>
      </c>
      <c r="I5351">
        <v>944</v>
      </c>
      <c r="J5351">
        <v>1</v>
      </c>
      <c r="K5351">
        <v>43</v>
      </c>
      <c r="L5351">
        <v>960</v>
      </c>
      <c r="M5351">
        <v>1</v>
      </c>
      <c r="N5351">
        <v>0</v>
      </c>
      <c r="O5351">
        <v>2247</v>
      </c>
    </row>
    <row r="5352" spans="1:15" x14ac:dyDescent="0.25">
      <c r="A5352" t="s">
        <v>5365</v>
      </c>
      <c r="B5352">
        <v>181</v>
      </c>
      <c r="C5352" s="1" t="str">
        <f>HYPERLINK("http://www.rosaceae.org/gb/gbrowse/malus_x_domestica/?name=MDP0000259063","MDP0000259063")</f>
        <v>MDP0000259063</v>
      </c>
      <c r="D5352">
        <v>57.83</v>
      </c>
      <c r="E5352">
        <v>185</v>
      </c>
      <c r="F5352">
        <v>78</v>
      </c>
      <c r="G5352">
        <v>15</v>
      </c>
      <c r="H5352">
        <v>1</v>
      </c>
      <c r="I5352">
        <v>179</v>
      </c>
      <c r="J5352">
        <v>1</v>
      </c>
      <c r="K5352">
        <v>88</v>
      </c>
      <c r="L5352">
        <v>263</v>
      </c>
      <c r="M5352">
        <v>1</v>
      </c>
      <c r="N5352">
        <v>7.3690399999999999E-48</v>
      </c>
      <c r="O5352">
        <v>474</v>
      </c>
    </row>
    <row r="5353" spans="1:15" x14ac:dyDescent="0.25">
      <c r="A5353" t="s">
        <v>5366</v>
      </c>
      <c r="B5353">
        <v>95</v>
      </c>
      <c r="C5353" s="1" t="str">
        <f>HYPERLINK("http://www.rosaceae.org/gb/gbrowse/malus_x_domestica/?name=MDP0000563233","MDP0000563233")</f>
        <v>MDP0000563233</v>
      </c>
      <c r="D5353">
        <v>70.58</v>
      </c>
      <c r="E5353">
        <v>34</v>
      </c>
      <c r="F5353">
        <v>10</v>
      </c>
      <c r="G5353">
        <v>0</v>
      </c>
      <c r="H5353">
        <v>26</v>
      </c>
      <c r="I5353">
        <v>59</v>
      </c>
      <c r="J5353">
        <v>1</v>
      </c>
      <c r="K5353">
        <v>94</v>
      </c>
      <c r="L5353">
        <v>127</v>
      </c>
      <c r="M5353">
        <v>1</v>
      </c>
      <c r="N5353">
        <v>9.4778799999999994E-8</v>
      </c>
      <c r="O5353">
        <v>124</v>
      </c>
    </row>
    <row r="5354" spans="1:15" x14ac:dyDescent="0.25">
      <c r="A5354" t="s">
        <v>5367</v>
      </c>
      <c r="B5354">
        <v>291</v>
      </c>
      <c r="C5354" s="1" t="str">
        <f>HYPERLINK("http://www.rosaceae.org/gb/gbrowse/malus_x_domestica/?name=MDP0000125339","MDP0000125339")</f>
        <v>MDP0000125339</v>
      </c>
      <c r="D5354">
        <v>33.03</v>
      </c>
      <c r="E5354">
        <v>224</v>
      </c>
      <c r="F5354">
        <v>150</v>
      </c>
      <c r="G5354">
        <v>25</v>
      </c>
      <c r="H5354">
        <v>69</v>
      </c>
      <c r="I5354">
        <v>284</v>
      </c>
      <c r="J5354">
        <v>1</v>
      </c>
      <c r="K5354">
        <v>119</v>
      </c>
      <c r="L5354">
        <v>325</v>
      </c>
      <c r="M5354">
        <v>1</v>
      </c>
      <c r="N5354">
        <v>9.0749800000000004E-18</v>
      </c>
      <c r="O5354">
        <v>217</v>
      </c>
    </row>
    <row r="5355" spans="1:15" x14ac:dyDescent="0.25">
      <c r="A5355" t="s">
        <v>5368</v>
      </c>
      <c r="B5355">
        <v>356</v>
      </c>
      <c r="C5355" s="1" t="str">
        <f>HYPERLINK("http://www.rosaceae.org/gb/gbrowse/malus_x_domestica/?name=MDP0000340822","MDP0000340822")</f>
        <v>MDP0000340822</v>
      </c>
      <c r="D5355">
        <v>59.36</v>
      </c>
      <c r="E5355">
        <v>315</v>
      </c>
      <c r="F5355">
        <v>128</v>
      </c>
      <c r="G5355">
        <v>23</v>
      </c>
      <c r="H5355">
        <v>52</v>
      </c>
      <c r="I5355">
        <v>351</v>
      </c>
      <c r="J5355">
        <v>1</v>
      </c>
      <c r="K5355">
        <v>77</v>
      </c>
      <c r="L5355">
        <v>383</v>
      </c>
      <c r="M5355">
        <v>1</v>
      </c>
      <c r="N5355">
        <v>3.3304700000000001E-101</v>
      </c>
      <c r="O5355">
        <v>938</v>
      </c>
    </row>
    <row r="5356" spans="1:15" x14ac:dyDescent="0.25">
      <c r="A5356" t="s">
        <v>5369</v>
      </c>
      <c r="B5356">
        <v>248</v>
      </c>
      <c r="C5356" s="1" t="str">
        <f>HYPERLINK("http://www.rosaceae.org/gb/gbrowse/malus_x_domestica/?name=MDP0000608081","MDP0000608081")</f>
        <v>MDP0000608081</v>
      </c>
      <c r="D5356">
        <v>61.94</v>
      </c>
      <c r="E5356">
        <v>247</v>
      </c>
      <c r="F5356">
        <v>94</v>
      </c>
      <c r="G5356">
        <v>6</v>
      </c>
      <c r="H5356">
        <v>1</v>
      </c>
      <c r="I5356">
        <v>243</v>
      </c>
      <c r="J5356">
        <v>1</v>
      </c>
      <c r="K5356">
        <v>112</v>
      </c>
      <c r="L5356">
        <v>356</v>
      </c>
      <c r="M5356">
        <v>1</v>
      </c>
      <c r="N5356">
        <v>4.8609300000000003E-82</v>
      </c>
      <c r="O5356">
        <v>770</v>
      </c>
    </row>
    <row r="5357" spans="1:15" x14ac:dyDescent="0.25">
      <c r="A5357" t="s">
        <v>5370</v>
      </c>
      <c r="B5357">
        <v>879</v>
      </c>
      <c r="C5357" s="1" t="str">
        <f>HYPERLINK("http://www.rosaceae.org/gb/gbrowse/malus_x_domestica/?name=MDP0000217508","MDP0000217508")</f>
        <v>MDP0000217508</v>
      </c>
      <c r="D5357">
        <v>78.569999999999993</v>
      </c>
      <c r="E5357">
        <v>714</v>
      </c>
      <c r="F5357">
        <v>153</v>
      </c>
      <c r="G5357">
        <v>1</v>
      </c>
      <c r="H5357">
        <v>1</v>
      </c>
      <c r="I5357">
        <v>714</v>
      </c>
      <c r="J5357">
        <v>1</v>
      </c>
      <c r="K5357">
        <v>153</v>
      </c>
      <c r="L5357">
        <v>865</v>
      </c>
      <c r="M5357">
        <v>1</v>
      </c>
      <c r="N5357">
        <v>0</v>
      </c>
      <c r="O5357">
        <v>2974</v>
      </c>
    </row>
    <row r="5358" spans="1:15" x14ac:dyDescent="0.25">
      <c r="A5358" t="s">
        <v>5371</v>
      </c>
      <c r="B5358">
        <v>143</v>
      </c>
      <c r="C5358" s="1" t="str">
        <f>HYPERLINK("http://www.rosaceae.org/gb/gbrowse/malus_x_domestica/?name=MDP0000301743","MDP0000301743")</f>
        <v>MDP0000301743</v>
      </c>
      <c r="D5358">
        <v>47.4</v>
      </c>
      <c r="E5358">
        <v>154</v>
      </c>
      <c r="F5358">
        <v>81</v>
      </c>
      <c r="G5358">
        <v>12</v>
      </c>
      <c r="H5358">
        <v>1</v>
      </c>
      <c r="I5358">
        <v>142</v>
      </c>
      <c r="J5358">
        <v>1</v>
      </c>
      <c r="K5358">
        <v>302</v>
      </c>
      <c r="L5358">
        <v>455</v>
      </c>
      <c r="M5358">
        <v>1</v>
      </c>
      <c r="N5358">
        <v>4.5813899999999998E-34</v>
      </c>
      <c r="O5358">
        <v>353</v>
      </c>
    </row>
    <row r="5359" spans="1:15" x14ac:dyDescent="0.25">
      <c r="A5359" t="s">
        <v>5372</v>
      </c>
      <c r="B5359">
        <v>381</v>
      </c>
      <c r="C5359" s="1" t="str">
        <f>HYPERLINK("http://www.rosaceae.org/gb/gbrowse/malus_x_domestica/?name=MDP0000317897","MDP0000317897")</f>
        <v>MDP0000317897</v>
      </c>
      <c r="D5359">
        <v>51.42</v>
      </c>
      <c r="E5359">
        <v>385</v>
      </c>
      <c r="F5359">
        <v>187</v>
      </c>
      <c r="G5359">
        <v>18</v>
      </c>
      <c r="H5359">
        <v>1</v>
      </c>
      <c r="I5359">
        <v>373</v>
      </c>
      <c r="J5359">
        <v>1</v>
      </c>
      <c r="K5359">
        <v>1</v>
      </c>
      <c r="L5359">
        <v>379</v>
      </c>
      <c r="M5359">
        <v>1</v>
      </c>
      <c r="N5359">
        <v>3.8215299999999999E-98</v>
      </c>
      <c r="O5359">
        <v>912</v>
      </c>
    </row>
    <row r="5360" spans="1:15" x14ac:dyDescent="0.25">
      <c r="A5360" t="s">
        <v>5373</v>
      </c>
      <c r="B5360">
        <v>573</v>
      </c>
      <c r="C5360" s="1" t="str">
        <f>HYPERLINK("http://www.rosaceae.org/gb/gbrowse/malus_x_domestica/?name=MDP0000457389","MDP0000457389")</f>
        <v>MDP0000457389</v>
      </c>
      <c r="D5360">
        <v>78.209999999999994</v>
      </c>
      <c r="E5360">
        <v>560</v>
      </c>
      <c r="F5360">
        <v>122</v>
      </c>
      <c r="G5360">
        <v>8</v>
      </c>
      <c r="H5360">
        <v>1</v>
      </c>
      <c r="I5360">
        <v>553</v>
      </c>
      <c r="J5360">
        <v>1</v>
      </c>
      <c r="K5360">
        <v>30</v>
      </c>
      <c r="L5360">
        <v>588</v>
      </c>
      <c r="M5360">
        <v>1</v>
      </c>
      <c r="N5360">
        <v>0</v>
      </c>
      <c r="O5360">
        <v>2298</v>
      </c>
    </row>
    <row r="5361" spans="1:15" x14ac:dyDescent="0.25">
      <c r="A5361" t="s">
        <v>5374</v>
      </c>
      <c r="B5361">
        <v>267</v>
      </c>
      <c r="C5361" s="1" t="str">
        <f>HYPERLINK("http://www.rosaceae.org/gb/gbrowse/malus_x_domestica/?name=MDP0000859563","MDP0000859563")</f>
        <v>MDP0000859563</v>
      </c>
      <c r="D5361">
        <v>48.95</v>
      </c>
      <c r="E5361">
        <v>288</v>
      </c>
      <c r="F5361">
        <v>147</v>
      </c>
      <c r="G5361">
        <v>32</v>
      </c>
      <c r="H5361">
        <v>1</v>
      </c>
      <c r="I5361">
        <v>265</v>
      </c>
      <c r="J5361">
        <v>1</v>
      </c>
      <c r="K5361">
        <v>1</v>
      </c>
      <c r="L5361">
        <v>279</v>
      </c>
      <c r="M5361">
        <v>1</v>
      </c>
      <c r="N5361">
        <v>1.3359300000000001E-59</v>
      </c>
      <c r="O5361">
        <v>577</v>
      </c>
    </row>
    <row r="5362" spans="1:15" x14ac:dyDescent="0.25">
      <c r="A5362" t="s">
        <v>5375</v>
      </c>
      <c r="B5362">
        <v>509</v>
      </c>
      <c r="C5362" s="1" t="str">
        <f>HYPERLINK("http://www.rosaceae.org/gb/gbrowse/malus_x_domestica/?name=MDP0000723251","MDP0000723251")</f>
        <v>MDP0000723251</v>
      </c>
      <c r="D5362">
        <v>76.25</v>
      </c>
      <c r="E5362">
        <v>560</v>
      </c>
      <c r="F5362">
        <v>133</v>
      </c>
      <c r="G5362">
        <v>52</v>
      </c>
      <c r="H5362">
        <v>1</v>
      </c>
      <c r="I5362">
        <v>508</v>
      </c>
      <c r="J5362">
        <v>1</v>
      </c>
      <c r="K5362">
        <v>47</v>
      </c>
      <c r="L5362">
        <v>606</v>
      </c>
      <c r="M5362">
        <v>1</v>
      </c>
      <c r="N5362">
        <v>0</v>
      </c>
      <c r="O5362">
        <v>2158</v>
      </c>
    </row>
    <row r="5363" spans="1:15" x14ac:dyDescent="0.25">
      <c r="A5363" t="s">
        <v>5376</v>
      </c>
      <c r="B5363">
        <v>485</v>
      </c>
      <c r="C5363" s="1" t="str">
        <f>HYPERLINK("http://www.rosaceae.org/gb/gbrowse/malus_x_domestica/?name=MDP0000478473","MDP0000478473")</f>
        <v>MDP0000478473</v>
      </c>
      <c r="D5363">
        <v>84.85</v>
      </c>
      <c r="E5363">
        <v>482</v>
      </c>
      <c r="F5363">
        <v>73</v>
      </c>
      <c r="G5363">
        <v>2</v>
      </c>
      <c r="H5363">
        <v>4</v>
      </c>
      <c r="I5363">
        <v>485</v>
      </c>
      <c r="J5363">
        <v>1</v>
      </c>
      <c r="K5363">
        <v>3</v>
      </c>
      <c r="L5363">
        <v>482</v>
      </c>
      <c r="M5363">
        <v>1</v>
      </c>
      <c r="N5363">
        <v>0</v>
      </c>
      <c r="O5363">
        <v>2223</v>
      </c>
    </row>
    <row r="5364" spans="1:15" x14ac:dyDescent="0.25">
      <c r="A5364" t="s">
        <v>5377</v>
      </c>
      <c r="B5364">
        <v>149</v>
      </c>
      <c r="C5364" s="1" t="str">
        <f>HYPERLINK("http://www.rosaceae.org/gb/gbrowse/malus_x_domestica/?name=MDP0000135121","MDP0000135121")</f>
        <v>MDP0000135121</v>
      </c>
      <c r="D5364">
        <v>43.63</v>
      </c>
      <c r="E5364">
        <v>55</v>
      </c>
      <c r="F5364">
        <v>31</v>
      </c>
      <c r="G5364">
        <v>2</v>
      </c>
      <c r="H5364">
        <v>2</v>
      </c>
      <c r="I5364">
        <v>56</v>
      </c>
      <c r="J5364">
        <v>1</v>
      </c>
      <c r="K5364">
        <v>454</v>
      </c>
      <c r="L5364">
        <v>506</v>
      </c>
      <c r="M5364">
        <v>1</v>
      </c>
      <c r="N5364">
        <v>1.754E-7</v>
      </c>
      <c r="O5364">
        <v>124</v>
      </c>
    </row>
    <row r="5365" spans="1:15" x14ac:dyDescent="0.25">
      <c r="A5365" t="s">
        <v>5378</v>
      </c>
      <c r="B5365">
        <v>160</v>
      </c>
      <c r="C5365" s="1" t="str">
        <f>HYPERLINK("http://www.rosaceae.org/gb/gbrowse/malus_x_domestica/?name=MDP0000325964","MDP0000325964")</f>
        <v>MDP0000325964</v>
      </c>
      <c r="D5365">
        <v>85.53</v>
      </c>
      <c r="E5365">
        <v>159</v>
      </c>
      <c r="F5365">
        <v>23</v>
      </c>
      <c r="G5365">
        <v>1</v>
      </c>
      <c r="H5365">
        <v>1</v>
      </c>
      <c r="I5365">
        <v>159</v>
      </c>
      <c r="J5365">
        <v>1</v>
      </c>
      <c r="K5365">
        <v>18</v>
      </c>
      <c r="L5365">
        <v>175</v>
      </c>
      <c r="M5365">
        <v>1</v>
      </c>
      <c r="N5365">
        <v>9.09309E-75</v>
      </c>
      <c r="O5365">
        <v>705</v>
      </c>
    </row>
    <row r="5366" spans="1:15" x14ac:dyDescent="0.25">
      <c r="A5366" t="s">
        <v>5379</v>
      </c>
      <c r="B5366">
        <v>403</v>
      </c>
      <c r="C5366" s="1" t="str">
        <f>HYPERLINK("http://www.rosaceae.org/gb/gbrowse/malus_x_domestica/?name=MDP0000436829","MDP0000436829")</f>
        <v>MDP0000436829</v>
      </c>
      <c r="D5366">
        <v>50.81</v>
      </c>
      <c r="E5366">
        <v>246</v>
      </c>
      <c r="F5366">
        <v>121</v>
      </c>
      <c r="G5366">
        <v>19</v>
      </c>
      <c r="H5366">
        <v>149</v>
      </c>
      <c r="I5366">
        <v>383</v>
      </c>
      <c r="J5366">
        <v>1</v>
      </c>
      <c r="K5366">
        <v>975</v>
      </c>
      <c r="L5366">
        <v>1212</v>
      </c>
      <c r="M5366">
        <v>1</v>
      </c>
      <c r="N5366">
        <v>1.3333000000000001E-56</v>
      </c>
      <c r="O5366">
        <v>554</v>
      </c>
    </row>
    <row r="5367" spans="1:15" x14ac:dyDescent="0.25">
      <c r="A5367" t="s">
        <v>5380</v>
      </c>
      <c r="B5367">
        <v>2194</v>
      </c>
      <c r="C5367" s="1" t="str">
        <f>HYPERLINK("http://www.rosaceae.org/gb/gbrowse/malus_x_domestica/?name=MDP0000721561","MDP0000721561")</f>
        <v>MDP0000721561</v>
      </c>
      <c r="D5367">
        <v>88.54</v>
      </c>
      <c r="E5367">
        <v>2147</v>
      </c>
      <c r="F5367">
        <v>246</v>
      </c>
      <c r="G5367">
        <v>2</v>
      </c>
      <c r="H5367">
        <v>43</v>
      </c>
      <c r="I5367">
        <v>2187</v>
      </c>
      <c r="J5367">
        <v>1</v>
      </c>
      <c r="K5367">
        <v>1</v>
      </c>
      <c r="L5367">
        <v>2147</v>
      </c>
      <c r="M5367">
        <v>1</v>
      </c>
      <c r="N5367">
        <v>0</v>
      </c>
      <c r="O5367">
        <v>9693</v>
      </c>
    </row>
    <row r="5368" spans="1:15" x14ac:dyDescent="0.25">
      <c r="A5368" t="s">
        <v>5381</v>
      </c>
      <c r="B5368">
        <v>347</v>
      </c>
      <c r="C5368" s="1" t="str">
        <f>HYPERLINK("http://www.rosaceae.org/gb/gbrowse/malus_x_domestica/?name=MDP0000266930","MDP0000266930")</f>
        <v>MDP0000266930</v>
      </c>
      <c r="D5368">
        <v>84.19</v>
      </c>
      <c r="E5368">
        <v>348</v>
      </c>
      <c r="F5368">
        <v>55</v>
      </c>
      <c r="G5368">
        <v>2</v>
      </c>
      <c r="H5368">
        <v>1</v>
      </c>
      <c r="I5368">
        <v>347</v>
      </c>
      <c r="J5368">
        <v>1</v>
      </c>
      <c r="K5368">
        <v>84</v>
      </c>
      <c r="L5368">
        <v>430</v>
      </c>
      <c r="M5368">
        <v>1</v>
      </c>
      <c r="N5368">
        <v>8.8425200000000007E-174</v>
      </c>
      <c r="O5368">
        <v>1563</v>
      </c>
    </row>
    <row r="5369" spans="1:15" x14ac:dyDescent="0.25">
      <c r="A5369" t="s">
        <v>5382</v>
      </c>
      <c r="B5369">
        <v>535</v>
      </c>
      <c r="C5369" s="1" t="str">
        <f>HYPERLINK("http://www.rosaceae.org/gb/gbrowse/malus_x_domestica/?name=MDP0000166535","MDP0000166535")</f>
        <v>MDP0000166535</v>
      </c>
      <c r="D5369">
        <v>80.23</v>
      </c>
      <c r="E5369">
        <v>430</v>
      </c>
      <c r="F5369">
        <v>85</v>
      </c>
      <c r="G5369">
        <v>0</v>
      </c>
      <c r="H5369">
        <v>105</v>
      </c>
      <c r="I5369">
        <v>534</v>
      </c>
      <c r="J5369">
        <v>1</v>
      </c>
      <c r="K5369">
        <v>232</v>
      </c>
      <c r="L5369">
        <v>661</v>
      </c>
      <c r="M5369">
        <v>1</v>
      </c>
      <c r="N5369">
        <v>0</v>
      </c>
      <c r="O5369">
        <v>1843</v>
      </c>
    </row>
    <row r="5370" spans="1:15" x14ac:dyDescent="0.25">
      <c r="A5370" t="s">
        <v>5383</v>
      </c>
      <c r="B5370">
        <v>166</v>
      </c>
      <c r="C5370" s="1" t="str">
        <f>HYPERLINK("http://www.rosaceae.org/gb/gbrowse/malus_x_domestica/?name=MDP0000206198","MDP0000206198")</f>
        <v>MDP0000206198</v>
      </c>
      <c r="D5370">
        <v>33.33</v>
      </c>
      <c r="E5370">
        <v>129</v>
      </c>
      <c r="F5370">
        <v>86</v>
      </c>
      <c r="G5370">
        <v>17</v>
      </c>
      <c r="H5370">
        <v>46</v>
      </c>
      <c r="I5370">
        <v>162</v>
      </c>
      <c r="J5370">
        <v>1</v>
      </c>
      <c r="K5370">
        <v>339</v>
      </c>
      <c r="L5370">
        <v>462</v>
      </c>
      <c r="M5370">
        <v>1</v>
      </c>
      <c r="N5370">
        <v>5.4526699999999999E-10</v>
      </c>
      <c r="O5370">
        <v>146</v>
      </c>
    </row>
    <row r="5371" spans="1:15" x14ac:dyDescent="0.25">
      <c r="A5371" t="s">
        <v>5384</v>
      </c>
      <c r="B5371">
        <v>332</v>
      </c>
      <c r="C5371" s="1" t="str">
        <f>HYPERLINK("http://www.rosaceae.org/gb/gbrowse/malus_x_domestica/?name=MDP0000316899","MDP0000316899")</f>
        <v>MDP0000316899</v>
      </c>
      <c r="D5371">
        <v>30.58</v>
      </c>
      <c r="E5371">
        <v>291</v>
      </c>
      <c r="F5371">
        <v>202</v>
      </c>
      <c r="G5371">
        <v>43</v>
      </c>
      <c r="H5371">
        <v>1</v>
      </c>
      <c r="I5371">
        <v>289</v>
      </c>
      <c r="J5371">
        <v>1</v>
      </c>
      <c r="K5371">
        <v>453</v>
      </c>
      <c r="L5371">
        <v>702</v>
      </c>
      <c r="M5371">
        <v>1</v>
      </c>
      <c r="N5371">
        <v>1.9105399999999999E-30</v>
      </c>
      <c r="O5371">
        <v>327</v>
      </c>
    </row>
    <row r="5372" spans="1:15" x14ac:dyDescent="0.25">
      <c r="A5372" t="s">
        <v>5385</v>
      </c>
      <c r="B5372">
        <v>295</v>
      </c>
      <c r="C5372" s="1" t="str">
        <f>HYPERLINK("http://www.rosaceae.org/gb/gbrowse/malus_x_domestica/?name=MDP0000167145","MDP0000167145")</f>
        <v>MDP0000167145</v>
      </c>
      <c r="D5372">
        <v>30.58</v>
      </c>
      <c r="E5372">
        <v>170</v>
      </c>
      <c r="F5372">
        <v>118</v>
      </c>
      <c r="G5372">
        <v>12</v>
      </c>
      <c r="H5372">
        <v>29</v>
      </c>
      <c r="I5372">
        <v>187</v>
      </c>
      <c r="J5372">
        <v>1</v>
      </c>
      <c r="K5372">
        <v>229</v>
      </c>
      <c r="L5372">
        <v>397</v>
      </c>
      <c r="M5372">
        <v>1</v>
      </c>
      <c r="N5372">
        <v>2.0677099999999999E-12</v>
      </c>
      <c r="O5372">
        <v>171</v>
      </c>
    </row>
    <row r="5373" spans="1:15" x14ac:dyDescent="0.25">
      <c r="A5373" t="s">
        <v>5386</v>
      </c>
      <c r="B5373">
        <v>611</v>
      </c>
      <c r="C5373" s="1" t="str">
        <f>HYPERLINK("http://www.rosaceae.org/gb/gbrowse/malus_x_domestica/?name=MDP0000311548","MDP0000311548")</f>
        <v>MDP0000311548</v>
      </c>
      <c r="D5373">
        <v>34.159999999999997</v>
      </c>
      <c r="E5373">
        <v>161</v>
      </c>
      <c r="F5373">
        <v>106</v>
      </c>
      <c r="G5373">
        <v>11</v>
      </c>
      <c r="H5373">
        <v>408</v>
      </c>
      <c r="I5373">
        <v>568</v>
      </c>
      <c r="J5373">
        <v>1</v>
      </c>
      <c r="K5373">
        <v>2</v>
      </c>
      <c r="L5373">
        <v>151</v>
      </c>
      <c r="M5373">
        <v>1</v>
      </c>
      <c r="N5373">
        <v>1.47253E-17</v>
      </c>
      <c r="O5373">
        <v>219</v>
      </c>
    </row>
    <row r="5374" spans="1:15" x14ac:dyDescent="0.25">
      <c r="A5374" t="s">
        <v>5387</v>
      </c>
      <c r="B5374">
        <v>219</v>
      </c>
      <c r="C5374" s="1" t="str">
        <f>HYPERLINK("http://www.rosaceae.org/gb/gbrowse/malus_x_domestica/?name=MDP0000432072","MDP0000432072")</f>
        <v>MDP0000432072</v>
      </c>
      <c r="D5374">
        <v>44.9</v>
      </c>
      <c r="E5374">
        <v>265</v>
      </c>
      <c r="F5374">
        <v>146</v>
      </c>
      <c r="G5374">
        <v>64</v>
      </c>
      <c r="H5374">
        <v>1</v>
      </c>
      <c r="I5374">
        <v>219</v>
      </c>
      <c r="J5374">
        <v>1</v>
      </c>
      <c r="K5374">
        <v>583</v>
      </c>
      <c r="L5374">
        <v>829</v>
      </c>
      <c r="M5374">
        <v>1</v>
      </c>
      <c r="N5374">
        <v>7.0461999999999999E-55</v>
      </c>
      <c r="O5374">
        <v>535</v>
      </c>
    </row>
    <row r="5375" spans="1:15" x14ac:dyDescent="0.25">
      <c r="A5375" t="s">
        <v>5388</v>
      </c>
      <c r="B5375">
        <v>313</v>
      </c>
      <c r="C5375" s="1" t="str">
        <f>HYPERLINK("http://www.rosaceae.org/gb/gbrowse/malus_x_domestica/?name=MDP0000478311","MDP0000478311")</f>
        <v>MDP0000478311</v>
      </c>
      <c r="D5375">
        <v>61.32</v>
      </c>
      <c r="E5375">
        <v>318</v>
      </c>
      <c r="F5375">
        <v>123</v>
      </c>
      <c r="G5375">
        <v>9</v>
      </c>
      <c r="H5375">
        <v>1</v>
      </c>
      <c r="I5375">
        <v>313</v>
      </c>
      <c r="J5375">
        <v>1</v>
      </c>
      <c r="K5375">
        <v>55</v>
      </c>
      <c r="L5375">
        <v>368</v>
      </c>
      <c r="M5375">
        <v>1</v>
      </c>
      <c r="N5375">
        <v>2.3950300000000001E-102</v>
      </c>
      <c r="O5375">
        <v>947</v>
      </c>
    </row>
    <row r="5376" spans="1:15" x14ac:dyDescent="0.25">
      <c r="A5376" t="s">
        <v>5389</v>
      </c>
      <c r="B5376">
        <v>199</v>
      </c>
      <c r="C5376" s="1" t="str">
        <f>HYPERLINK("http://www.rosaceae.org/gb/gbrowse/malus_x_domestica/?name=MDP0000203298","MDP0000203298")</f>
        <v>MDP0000203298</v>
      </c>
      <c r="D5376">
        <v>78.41</v>
      </c>
      <c r="E5376">
        <v>139</v>
      </c>
      <c r="F5376">
        <v>30</v>
      </c>
      <c r="G5376">
        <v>3</v>
      </c>
      <c r="H5376">
        <v>2</v>
      </c>
      <c r="I5376">
        <v>137</v>
      </c>
      <c r="J5376">
        <v>1</v>
      </c>
      <c r="K5376">
        <v>4</v>
      </c>
      <c r="L5376">
        <v>142</v>
      </c>
      <c r="M5376">
        <v>1</v>
      </c>
      <c r="N5376">
        <v>1.5258899999999999E-59</v>
      </c>
      <c r="O5376">
        <v>575</v>
      </c>
    </row>
    <row r="5377" spans="1:15" x14ac:dyDescent="0.25">
      <c r="A5377" t="s">
        <v>5390</v>
      </c>
      <c r="B5377">
        <v>380</v>
      </c>
      <c r="C5377" s="1" t="str">
        <f>HYPERLINK("http://www.rosaceae.org/gb/gbrowse/malus_x_domestica/?name=MDP0000024364","MDP0000024364")</f>
        <v>MDP0000024364</v>
      </c>
      <c r="D5377">
        <v>73.819999999999993</v>
      </c>
      <c r="E5377">
        <v>298</v>
      </c>
      <c r="F5377">
        <v>78</v>
      </c>
      <c r="G5377">
        <v>3</v>
      </c>
      <c r="H5377">
        <v>1</v>
      </c>
      <c r="I5377">
        <v>295</v>
      </c>
      <c r="J5377">
        <v>1</v>
      </c>
      <c r="K5377">
        <v>1</v>
      </c>
      <c r="L5377">
        <v>298</v>
      </c>
      <c r="M5377">
        <v>1</v>
      </c>
      <c r="N5377">
        <v>1.7503699999999999E-131</v>
      </c>
      <c r="O5377">
        <v>1199</v>
      </c>
    </row>
    <row r="5378" spans="1:15" x14ac:dyDescent="0.25">
      <c r="A5378" t="s">
        <v>5391</v>
      </c>
      <c r="B5378">
        <v>470</v>
      </c>
      <c r="C5378" s="1" t="str">
        <f>HYPERLINK("http://www.rosaceae.org/gb/gbrowse/malus_x_domestica/?name=MDP0000450042","MDP0000450042")</f>
        <v>MDP0000450042</v>
      </c>
      <c r="D5378">
        <v>41.26</v>
      </c>
      <c r="E5378">
        <v>395</v>
      </c>
      <c r="F5378">
        <v>232</v>
      </c>
      <c r="G5378">
        <v>29</v>
      </c>
      <c r="H5378">
        <v>62</v>
      </c>
      <c r="I5378">
        <v>454</v>
      </c>
      <c r="J5378">
        <v>1</v>
      </c>
      <c r="K5378">
        <v>44</v>
      </c>
      <c r="L5378">
        <v>411</v>
      </c>
      <c r="M5378">
        <v>1</v>
      </c>
      <c r="N5378">
        <v>3.7189400000000002E-75</v>
      </c>
      <c r="O5378">
        <v>714</v>
      </c>
    </row>
    <row r="5379" spans="1:15" x14ac:dyDescent="0.25">
      <c r="A5379" t="s">
        <v>5392</v>
      </c>
      <c r="B5379">
        <v>268</v>
      </c>
      <c r="C5379" s="1" t="str">
        <f>HYPERLINK("http://www.rosaceae.org/gb/gbrowse/malus_x_domestica/?name=MDP0000207323","MDP0000207323")</f>
        <v>MDP0000207323</v>
      </c>
      <c r="D5379">
        <v>60.5</v>
      </c>
      <c r="E5379">
        <v>238</v>
      </c>
      <c r="F5379">
        <v>94</v>
      </c>
      <c r="G5379">
        <v>21</v>
      </c>
      <c r="H5379">
        <v>35</v>
      </c>
      <c r="I5379">
        <v>268</v>
      </c>
      <c r="J5379">
        <v>1</v>
      </c>
      <c r="K5379">
        <v>961</v>
      </c>
      <c r="L5379">
        <v>1181</v>
      </c>
      <c r="M5379">
        <v>1</v>
      </c>
      <c r="N5379">
        <v>4.5979700000000003E-76</v>
      </c>
      <c r="O5379">
        <v>719</v>
      </c>
    </row>
    <row r="5380" spans="1:15" x14ac:dyDescent="0.25">
      <c r="A5380" t="s">
        <v>5393</v>
      </c>
      <c r="B5380">
        <v>479</v>
      </c>
      <c r="C5380" s="1" t="str">
        <f>HYPERLINK("http://www.rosaceae.org/gb/gbrowse/malus_x_domestica/?name=MDP0000143707","MDP0000143707")</f>
        <v>MDP0000143707</v>
      </c>
      <c r="D5380">
        <v>76.84</v>
      </c>
      <c r="E5380">
        <v>475</v>
      </c>
      <c r="F5380">
        <v>110</v>
      </c>
      <c r="G5380">
        <v>34</v>
      </c>
      <c r="H5380">
        <v>15</v>
      </c>
      <c r="I5380">
        <v>456</v>
      </c>
      <c r="J5380">
        <v>1</v>
      </c>
      <c r="K5380">
        <v>21</v>
      </c>
      <c r="L5380">
        <v>494</v>
      </c>
      <c r="M5380">
        <v>1</v>
      </c>
      <c r="N5380">
        <v>0</v>
      </c>
      <c r="O5380">
        <v>1934</v>
      </c>
    </row>
    <row r="5381" spans="1:15" x14ac:dyDescent="0.25">
      <c r="A5381" t="s">
        <v>5394</v>
      </c>
      <c r="B5381">
        <v>348</v>
      </c>
      <c r="C5381" s="1" t="str">
        <f>HYPERLINK("http://www.rosaceae.org/gb/gbrowse/malus_x_domestica/?name=MDP0000207630","MDP0000207630")</f>
        <v>MDP0000207630</v>
      </c>
      <c r="D5381">
        <v>67.41</v>
      </c>
      <c r="E5381">
        <v>313</v>
      </c>
      <c r="F5381">
        <v>102</v>
      </c>
      <c r="G5381">
        <v>0</v>
      </c>
      <c r="H5381">
        <v>23</v>
      </c>
      <c r="I5381">
        <v>335</v>
      </c>
      <c r="J5381">
        <v>1</v>
      </c>
      <c r="K5381">
        <v>19</v>
      </c>
      <c r="L5381">
        <v>331</v>
      </c>
      <c r="M5381">
        <v>1</v>
      </c>
      <c r="N5381">
        <v>1.6211400000000001E-111</v>
      </c>
      <c r="O5381">
        <v>1026</v>
      </c>
    </row>
    <row r="5382" spans="1:15" x14ac:dyDescent="0.25">
      <c r="A5382" t="s">
        <v>5395</v>
      </c>
      <c r="B5382">
        <v>216</v>
      </c>
      <c r="C5382" s="1" t="str">
        <f>HYPERLINK("http://www.rosaceae.org/gb/gbrowse/malus_x_domestica/?name=MDP0000144205","MDP0000144205")</f>
        <v>MDP0000144205</v>
      </c>
      <c r="D5382">
        <v>60.98</v>
      </c>
      <c r="E5382">
        <v>223</v>
      </c>
      <c r="F5382">
        <v>87</v>
      </c>
      <c r="G5382">
        <v>38</v>
      </c>
      <c r="H5382">
        <v>8</v>
      </c>
      <c r="I5382">
        <v>215</v>
      </c>
      <c r="J5382">
        <v>1</v>
      </c>
      <c r="K5382">
        <v>13</v>
      </c>
      <c r="L5382">
        <v>212</v>
      </c>
      <c r="M5382">
        <v>1</v>
      </c>
      <c r="N5382">
        <v>8.6529199999999996E-65</v>
      </c>
      <c r="O5382">
        <v>621</v>
      </c>
    </row>
    <row r="5383" spans="1:15" x14ac:dyDescent="0.25">
      <c r="A5383" t="s">
        <v>5396</v>
      </c>
      <c r="B5383">
        <v>746</v>
      </c>
      <c r="C5383" s="1" t="str">
        <f>HYPERLINK("http://www.rosaceae.org/gb/gbrowse/malus_x_domestica/?name=MDP0000149241","MDP0000149241")</f>
        <v>MDP0000149241</v>
      </c>
      <c r="D5383">
        <v>65.52</v>
      </c>
      <c r="E5383">
        <v>673</v>
      </c>
      <c r="F5383">
        <v>232</v>
      </c>
      <c r="G5383">
        <v>20</v>
      </c>
      <c r="H5383">
        <v>75</v>
      </c>
      <c r="I5383">
        <v>746</v>
      </c>
      <c r="J5383">
        <v>1</v>
      </c>
      <c r="K5383">
        <v>12</v>
      </c>
      <c r="L5383">
        <v>665</v>
      </c>
      <c r="M5383">
        <v>1</v>
      </c>
      <c r="N5383">
        <v>0</v>
      </c>
      <c r="O5383">
        <v>2387</v>
      </c>
    </row>
    <row r="5384" spans="1:15" x14ac:dyDescent="0.25">
      <c r="A5384" t="s">
        <v>5397</v>
      </c>
      <c r="B5384">
        <v>252</v>
      </c>
      <c r="C5384" s="1" t="str">
        <f>HYPERLINK("http://www.rosaceae.org/gb/gbrowse/malus_x_domestica/?name=MDP0000269104","MDP0000269104")</f>
        <v>MDP0000269104</v>
      </c>
      <c r="D5384">
        <v>74.040000000000006</v>
      </c>
      <c r="E5384">
        <v>235</v>
      </c>
      <c r="F5384">
        <v>61</v>
      </c>
      <c r="G5384">
        <v>30</v>
      </c>
      <c r="H5384">
        <v>48</v>
      </c>
      <c r="I5384">
        <v>252</v>
      </c>
      <c r="J5384">
        <v>1</v>
      </c>
      <c r="K5384">
        <v>40</v>
      </c>
      <c r="L5384">
        <v>274</v>
      </c>
      <c r="M5384">
        <v>1</v>
      </c>
      <c r="N5384">
        <v>4.8139200000000003E-93</v>
      </c>
      <c r="O5384">
        <v>865</v>
      </c>
    </row>
    <row r="5385" spans="1:15" x14ac:dyDescent="0.25">
      <c r="A5385" t="s">
        <v>5398</v>
      </c>
      <c r="B5385">
        <v>148</v>
      </c>
      <c r="C5385" s="1" t="str">
        <f>HYPERLINK("http://www.rosaceae.org/gb/gbrowse/malus_x_domestica/?name=MDP0000287424","MDP0000287424")</f>
        <v>MDP0000287424</v>
      </c>
      <c r="D5385">
        <v>38.83</v>
      </c>
      <c r="E5385">
        <v>103</v>
      </c>
      <c r="F5385">
        <v>63</v>
      </c>
      <c r="G5385">
        <v>0</v>
      </c>
      <c r="H5385">
        <v>16</v>
      </c>
      <c r="I5385">
        <v>118</v>
      </c>
      <c r="J5385">
        <v>1</v>
      </c>
      <c r="K5385">
        <v>219</v>
      </c>
      <c r="L5385">
        <v>321</v>
      </c>
      <c r="M5385">
        <v>1</v>
      </c>
      <c r="N5385">
        <v>3.5496400000000002E-16</v>
      </c>
      <c r="O5385">
        <v>199</v>
      </c>
    </row>
    <row r="5386" spans="1:15" x14ac:dyDescent="0.25">
      <c r="A5386" t="s">
        <v>5399</v>
      </c>
      <c r="B5386">
        <v>650</v>
      </c>
      <c r="C5386" s="1" t="str">
        <f>HYPERLINK("http://www.rosaceae.org/gb/gbrowse/malus_x_domestica/?name=MDP0000281635","MDP0000281635")</f>
        <v>MDP0000281635</v>
      </c>
      <c r="D5386">
        <v>72.98</v>
      </c>
      <c r="E5386">
        <v>322</v>
      </c>
      <c r="F5386">
        <v>87</v>
      </c>
      <c r="G5386">
        <v>3</v>
      </c>
      <c r="H5386">
        <v>1</v>
      </c>
      <c r="I5386">
        <v>322</v>
      </c>
      <c r="J5386">
        <v>1</v>
      </c>
      <c r="K5386">
        <v>1</v>
      </c>
      <c r="L5386">
        <v>319</v>
      </c>
      <c r="M5386">
        <v>1</v>
      </c>
      <c r="N5386">
        <v>4.6995800000000001E-138</v>
      </c>
      <c r="O5386">
        <v>1258</v>
      </c>
    </row>
    <row r="5387" spans="1:15" x14ac:dyDescent="0.25">
      <c r="A5387" t="s">
        <v>5400</v>
      </c>
      <c r="B5387">
        <v>548</v>
      </c>
      <c r="C5387" s="1" t="str">
        <f>HYPERLINK("http://www.rosaceae.org/gb/gbrowse/malus_x_domestica/?name=MDP0000276688","MDP0000276688")</f>
        <v>MDP0000276688</v>
      </c>
      <c r="D5387">
        <v>71.56</v>
      </c>
      <c r="E5387">
        <v>524</v>
      </c>
      <c r="F5387">
        <v>149</v>
      </c>
      <c r="G5387">
        <v>16</v>
      </c>
      <c r="H5387">
        <v>8</v>
      </c>
      <c r="I5387">
        <v>527</v>
      </c>
      <c r="J5387">
        <v>1</v>
      </c>
      <c r="K5387">
        <v>5</v>
      </c>
      <c r="L5387">
        <v>516</v>
      </c>
      <c r="M5387">
        <v>1</v>
      </c>
      <c r="N5387">
        <v>0</v>
      </c>
      <c r="O5387">
        <v>1916</v>
      </c>
    </row>
    <row r="5388" spans="1:15" x14ac:dyDescent="0.25">
      <c r="A5388" t="s">
        <v>5401</v>
      </c>
      <c r="B5388">
        <v>355</v>
      </c>
      <c r="C5388" s="1" t="str">
        <f>HYPERLINK("http://www.rosaceae.org/gb/gbrowse/malus_x_domestica/?name=MDP0000441144","MDP0000441144")</f>
        <v>MDP0000441144</v>
      </c>
      <c r="D5388">
        <v>79.599999999999994</v>
      </c>
      <c r="E5388">
        <v>353</v>
      </c>
      <c r="F5388">
        <v>72</v>
      </c>
      <c r="G5388">
        <v>9</v>
      </c>
      <c r="H5388">
        <v>1</v>
      </c>
      <c r="I5388">
        <v>346</v>
      </c>
      <c r="J5388">
        <v>1</v>
      </c>
      <c r="K5388">
        <v>1</v>
      </c>
      <c r="L5388">
        <v>351</v>
      </c>
      <c r="M5388">
        <v>1</v>
      </c>
      <c r="N5388">
        <v>9.1817799999999994E-158</v>
      </c>
      <c r="O5388">
        <v>1425</v>
      </c>
    </row>
    <row r="5389" spans="1:15" x14ac:dyDescent="0.25">
      <c r="A5389" t="s">
        <v>5402</v>
      </c>
      <c r="B5389">
        <v>1291</v>
      </c>
      <c r="C5389" s="1" t="str">
        <f>HYPERLINK("http://www.rosaceae.org/gb/gbrowse/malus_x_domestica/?name=MDP0000269950","MDP0000269950")</f>
        <v>MDP0000269950</v>
      </c>
      <c r="D5389">
        <v>67.19</v>
      </c>
      <c r="E5389">
        <v>689</v>
      </c>
      <c r="F5389">
        <v>226</v>
      </c>
      <c r="G5389">
        <v>110</v>
      </c>
      <c r="H5389">
        <v>11</v>
      </c>
      <c r="I5389">
        <v>641</v>
      </c>
      <c r="J5389">
        <v>1</v>
      </c>
      <c r="K5389">
        <v>1</v>
      </c>
      <c r="L5389">
        <v>637</v>
      </c>
      <c r="M5389">
        <v>1</v>
      </c>
      <c r="N5389">
        <v>0</v>
      </c>
      <c r="O5389">
        <v>2272</v>
      </c>
    </row>
    <row r="5390" spans="1:15" x14ac:dyDescent="0.25">
      <c r="A5390" t="s">
        <v>5403</v>
      </c>
      <c r="B5390">
        <v>1984</v>
      </c>
      <c r="C5390" s="1" t="str">
        <f>HYPERLINK("http://www.rosaceae.org/gb/gbrowse/malus_x_domestica/?name=MDP0000251679","MDP0000251679")</f>
        <v>MDP0000251679</v>
      </c>
      <c r="D5390">
        <v>68.16</v>
      </c>
      <c r="E5390">
        <v>1976</v>
      </c>
      <c r="F5390">
        <v>629</v>
      </c>
      <c r="G5390">
        <v>164</v>
      </c>
      <c r="H5390">
        <v>3</v>
      </c>
      <c r="I5390">
        <v>1956</v>
      </c>
      <c r="J5390">
        <v>1</v>
      </c>
      <c r="K5390">
        <v>6</v>
      </c>
      <c r="L5390">
        <v>1839</v>
      </c>
      <c r="M5390">
        <v>1</v>
      </c>
      <c r="N5390">
        <v>0</v>
      </c>
      <c r="O5390">
        <v>6801</v>
      </c>
    </row>
    <row r="5391" spans="1:15" x14ac:dyDescent="0.25">
      <c r="A5391" t="s">
        <v>5404</v>
      </c>
      <c r="B5391">
        <v>167</v>
      </c>
      <c r="C5391" s="1" t="str">
        <f>HYPERLINK("http://www.rosaceae.org/gb/gbrowse/malus_x_domestica/?name=MDP0000155847","MDP0000155847")</f>
        <v>MDP0000155847</v>
      </c>
      <c r="D5391">
        <v>58.43</v>
      </c>
      <c r="E5391">
        <v>166</v>
      </c>
      <c r="F5391">
        <v>69</v>
      </c>
      <c r="G5391">
        <v>45</v>
      </c>
      <c r="H5391">
        <v>41</v>
      </c>
      <c r="I5391">
        <v>162</v>
      </c>
      <c r="J5391">
        <v>1</v>
      </c>
      <c r="K5391">
        <v>31</v>
      </c>
      <c r="L5391">
        <v>195</v>
      </c>
      <c r="M5391">
        <v>1</v>
      </c>
      <c r="N5391">
        <v>1.11333E-42</v>
      </c>
      <c r="O5391">
        <v>428</v>
      </c>
    </row>
    <row r="5392" spans="1:15" x14ac:dyDescent="0.25">
      <c r="A5392" t="s">
        <v>5405</v>
      </c>
      <c r="B5392">
        <v>235</v>
      </c>
      <c r="C5392" s="1" t="str">
        <f>HYPERLINK("http://www.rosaceae.org/gb/gbrowse/malus_x_domestica/?name=MDP0000293505","MDP0000293505")</f>
        <v>MDP0000293505</v>
      </c>
      <c r="D5392">
        <v>80.87</v>
      </c>
      <c r="E5392">
        <v>183</v>
      </c>
      <c r="F5392">
        <v>35</v>
      </c>
      <c r="G5392">
        <v>1</v>
      </c>
      <c r="H5392">
        <v>53</v>
      </c>
      <c r="I5392">
        <v>234</v>
      </c>
      <c r="J5392">
        <v>1</v>
      </c>
      <c r="K5392">
        <v>1</v>
      </c>
      <c r="L5392">
        <v>183</v>
      </c>
      <c r="M5392">
        <v>1</v>
      </c>
      <c r="N5392">
        <v>2.80482E-86</v>
      </c>
      <c r="O5392">
        <v>807</v>
      </c>
    </row>
    <row r="5393" spans="1:15" x14ac:dyDescent="0.25">
      <c r="A5393" t="s">
        <v>5406</v>
      </c>
      <c r="B5393">
        <v>441</v>
      </c>
      <c r="C5393" s="1" t="str">
        <f>HYPERLINK("http://www.rosaceae.org/gb/gbrowse/malus_x_domestica/?name=MDP0000326734","MDP0000326734")</f>
        <v>MDP0000326734</v>
      </c>
      <c r="D5393">
        <v>67.66</v>
      </c>
      <c r="E5393">
        <v>436</v>
      </c>
      <c r="F5393">
        <v>141</v>
      </c>
      <c r="G5393">
        <v>26</v>
      </c>
      <c r="H5393">
        <v>27</v>
      </c>
      <c r="I5393">
        <v>440</v>
      </c>
      <c r="J5393">
        <v>1</v>
      </c>
      <c r="K5393">
        <v>29</v>
      </c>
      <c r="L5393">
        <v>460</v>
      </c>
      <c r="M5393">
        <v>1</v>
      </c>
      <c r="N5393">
        <v>1.0807700000000001E-165</v>
      </c>
      <c r="O5393">
        <v>1495</v>
      </c>
    </row>
    <row r="5394" spans="1:15" x14ac:dyDescent="0.25">
      <c r="A5394" t="s">
        <v>5407</v>
      </c>
      <c r="B5394">
        <v>377</v>
      </c>
      <c r="C5394" s="1" t="str">
        <f>HYPERLINK("http://www.rosaceae.org/gb/gbrowse/malus_x_domestica/?name=MDP0000315009","MDP0000315009")</f>
        <v>MDP0000315009</v>
      </c>
      <c r="D5394">
        <v>74.48</v>
      </c>
      <c r="E5394">
        <v>196</v>
      </c>
      <c r="F5394">
        <v>50</v>
      </c>
      <c r="G5394">
        <v>21</v>
      </c>
      <c r="H5394">
        <v>1</v>
      </c>
      <c r="I5394">
        <v>196</v>
      </c>
      <c r="J5394">
        <v>1</v>
      </c>
      <c r="K5394">
        <v>964</v>
      </c>
      <c r="L5394">
        <v>1138</v>
      </c>
      <c r="M5394">
        <v>1</v>
      </c>
      <c r="N5394">
        <v>3.36846E-80</v>
      </c>
      <c r="O5394">
        <v>757</v>
      </c>
    </row>
    <row r="5395" spans="1:15" x14ac:dyDescent="0.25">
      <c r="A5395" t="s">
        <v>5408</v>
      </c>
      <c r="B5395">
        <v>438</v>
      </c>
      <c r="C5395" s="1" t="str">
        <f>HYPERLINK("http://www.rosaceae.org/gb/gbrowse/malus_x_domestica/?name=MDP0000307795","MDP0000307795")</f>
        <v>MDP0000307795</v>
      </c>
      <c r="D5395">
        <v>53.28</v>
      </c>
      <c r="E5395">
        <v>426</v>
      </c>
      <c r="F5395">
        <v>199</v>
      </c>
      <c r="G5395">
        <v>1</v>
      </c>
      <c r="H5395">
        <v>1</v>
      </c>
      <c r="I5395">
        <v>425</v>
      </c>
      <c r="J5395">
        <v>1</v>
      </c>
      <c r="K5395">
        <v>1</v>
      </c>
      <c r="L5395">
        <v>426</v>
      </c>
      <c r="M5395">
        <v>1</v>
      </c>
      <c r="N5395">
        <v>1.40325E-120</v>
      </c>
      <c r="O5395">
        <v>1106</v>
      </c>
    </row>
    <row r="5396" spans="1:15" x14ac:dyDescent="0.25">
      <c r="A5396" t="s">
        <v>5409</v>
      </c>
      <c r="B5396">
        <v>489</v>
      </c>
      <c r="C5396" s="1" t="str">
        <f>HYPERLINK("http://www.rosaceae.org/gb/gbrowse/malus_x_domestica/?name=MDP0000734533","MDP0000734533")</f>
        <v>MDP0000734533</v>
      </c>
      <c r="D5396">
        <v>80.77</v>
      </c>
      <c r="E5396">
        <v>489</v>
      </c>
      <c r="F5396">
        <v>94</v>
      </c>
      <c r="G5396">
        <v>2</v>
      </c>
      <c r="H5396">
        <v>1</v>
      </c>
      <c r="I5396">
        <v>489</v>
      </c>
      <c r="J5396">
        <v>1</v>
      </c>
      <c r="K5396">
        <v>1</v>
      </c>
      <c r="L5396">
        <v>487</v>
      </c>
      <c r="M5396">
        <v>1</v>
      </c>
      <c r="N5396">
        <v>0</v>
      </c>
      <c r="O5396">
        <v>2152</v>
      </c>
    </row>
    <row r="5397" spans="1:15" x14ac:dyDescent="0.25">
      <c r="A5397" t="s">
        <v>5410</v>
      </c>
      <c r="B5397">
        <v>903</v>
      </c>
      <c r="C5397" s="1" t="str">
        <f>HYPERLINK("http://www.rosaceae.org/gb/gbrowse/malus_x_domestica/?name=MDP0000137231","MDP0000137231")</f>
        <v>MDP0000137231</v>
      </c>
      <c r="D5397">
        <v>71.42</v>
      </c>
      <c r="E5397">
        <v>721</v>
      </c>
      <c r="F5397">
        <v>206</v>
      </c>
      <c r="G5397">
        <v>16</v>
      </c>
      <c r="H5397">
        <v>183</v>
      </c>
      <c r="I5397">
        <v>896</v>
      </c>
      <c r="J5397">
        <v>1</v>
      </c>
      <c r="K5397">
        <v>12</v>
      </c>
      <c r="L5397">
        <v>723</v>
      </c>
      <c r="M5397">
        <v>1</v>
      </c>
      <c r="N5397">
        <v>0</v>
      </c>
      <c r="O5397">
        <v>2613</v>
      </c>
    </row>
    <row r="5398" spans="1:15" x14ac:dyDescent="0.25">
      <c r="A5398" t="s">
        <v>5411</v>
      </c>
      <c r="B5398">
        <v>1063</v>
      </c>
      <c r="C5398" s="1" t="str">
        <f>HYPERLINK("http://www.rosaceae.org/gb/gbrowse/malus_x_domestica/?name=MDP0000167289","MDP0000167289")</f>
        <v>MDP0000167289</v>
      </c>
      <c r="D5398">
        <v>72.45</v>
      </c>
      <c r="E5398">
        <v>657</v>
      </c>
      <c r="F5398">
        <v>181</v>
      </c>
      <c r="G5398">
        <v>8</v>
      </c>
      <c r="H5398">
        <v>8</v>
      </c>
      <c r="I5398">
        <v>656</v>
      </c>
      <c r="J5398">
        <v>1</v>
      </c>
      <c r="K5398">
        <v>34</v>
      </c>
      <c r="L5398">
        <v>690</v>
      </c>
      <c r="M5398">
        <v>1</v>
      </c>
      <c r="N5398">
        <v>0</v>
      </c>
      <c r="O5398">
        <v>2369</v>
      </c>
    </row>
    <row r="5399" spans="1:15" x14ac:dyDescent="0.25">
      <c r="A5399" t="s">
        <v>5412</v>
      </c>
      <c r="B5399">
        <v>155</v>
      </c>
      <c r="C5399" s="1" t="str">
        <f>HYPERLINK("http://www.rosaceae.org/gb/gbrowse/malus_x_domestica/?name=MDP0000406918","MDP0000406918")</f>
        <v>MDP0000406918</v>
      </c>
      <c r="D5399">
        <v>68.08</v>
      </c>
      <c r="E5399">
        <v>141</v>
      </c>
      <c r="F5399">
        <v>45</v>
      </c>
      <c r="G5399">
        <v>7</v>
      </c>
      <c r="H5399">
        <v>1</v>
      </c>
      <c r="I5399">
        <v>138</v>
      </c>
      <c r="J5399">
        <v>1</v>
      </c>
      <c r="K5399">
        <v>112</v>
      </c>
      <c r="L5399">
        <v>248</v>
      </c>
      <c r="M5399">
        <v>1</v>
      </c>
      <c r="N5399">
        <v>6.0156599999999996E-44</v>
      </c>
      <c r="O5399">
        <v>439</v>
      </c>
    </row>
    <row r="5400" spans="1:15" x14ac:dyDescent="0.25">
      <c r="A5400" t="s">
        <v>5413</v>
      </c>
      <c r="B5400">
        <v>569</v>
      </c>
      <c r="C5400" s="1" t="str">
        <f>HYPERLINK("http://www.rosaceae.org/gb/gbrowse/malus_x_domestica/?name=MDP0000199066","MDP0000199066")</f>
        <v>MDP0000199066</v>
      </c>
      <c r="D5400">
        <v>63.81</v>
      </c>
      <c r="E5400">
        <v>503</v>
      </c>
      <c r="F5400">
        <v>182</v>
      </c>
      <c r="G5400">
        <v>64</v>
      </c>
      <c r="H5400">
        <v>95</v>
      </c>
      <c r="I5400">
        <v>568</v>
      </c>
      <c r="J5400">
        <v>1</v>
      </c>
      <c r="K5400">
        <v>35</v>
      </c>
      <c r="L5400">
        <v>502</v>
      </c>
      <c r="M5400">
        <v>1</v>
      </c>
      <c r="N5400">
        <v>1.45949E-178</v>
      </c>
      <c r="O5400">
        <v>1607</v>
      </c>
    </row>
    <row r="5401" spans="1:15" x14ac:dyDescent="0.25">
      <c r="A5401" t="s">
        <v>5414</v>
      </c>
      <c r="B5401">
        <v>431</v>
      </c>
      <c r="C5401" s="1" t="str">
        <f>HYPERLINK("http://www.rosaceae.org/gb/gbrowse/malus_x_domestica/?name=MDP0000293661","MDP0000293661")</f>
        <v>MDP0000293661</v>
      </c>
      <c r="D5401">
        <v>82.96</v>
      </c>
      <c r="E5401">
        <v>405</v>
      </c>
      <c r="F5401">
        <v>69</v>
      </c>
      <c r="G5401">
        <v>6</v>
      </c>
      <c r="H5401">
        <v>14</v>
      </c>
      <c r="I5401">
        <v>415</v>
      </c>
      <c r="J5401">
        <v>1</v>
      </c>
      <c r="K5401">
        <v>17</v>
      </c>
      <c r="L5401">
        <v>418</v>
      </c>
      <c r="M5401">
        <v>1</v>
      </c>
      <c r="N5401">
        <v>0</v>
      </c>
      <c r="O5401">
        <v>1716</v>
      </c>
    </row>
    <row r="5402" spans="1:15" x14ac:dyDescent="0.25">
      <c r="A5402" t="s">
        <v>5415</v>
      </c>
      <c r="B5402">
        <v>286</v>
      </c>
      <c r="C5402" s="1" t="str">
        <f>HYPERLINK("http://www.rosaceae.org/gb/gbrowse/malus_x_domestica/?name=MDP0000287503","MDP0000287503")</f>
        <v>MDP0000287503</v>
      </c>
      <c r="D5402">
        <v>53.13</v>
      </c>
      <c r="E5402">
        <v>303</v>
      </c>
      <c r="F5402">
        <v>142</v>
      </c>
      <c r="G5402">
        <v>28</v>
      </c>
      <c r="H5402">
        <v>7</v>
      </c>
      <c r="I5402">
        <v>282</v>
      </c>
      <c r="J5402">
        <v>1</v>
      </c>
      <c r="K5402">
        <v>3</v>
      </c>
      <c r="L5402">
        <v>304</v>
      </c>
      <c r="M5402">
        <v>1</v>
      </c>
      <c r="N5402">
        <v>1.4798600000000001E-82</v>
      </c>
      <c r="O5402">
        <v>776</v>
      </c>
    </row>
    <row r="5403" spans="1:15" x14ac:dyDescent="0.25">
      <c r="A5403" t="s">
        <v>5416</v>
      </c>
      <c r="B5403">
        <v>1034</v>
      </c>
      <c r="C5403" s="1" t="str">
        <f>HYPERLINK("http://www.rosaceae.org/gb/gbrowse/malus_x_domestica/?name=MDP0000322409","MDP0000322409")</f>
        <v>MDP0000322409</v>
      </c>
      <c r="D5403">
        <v>74.78</v>
      </c>
      <c r="E5403">
        <v>571</v>
      </c>
      <c r="F5403">
        <v>144</v>
      </c>
      <c r="G5403">
        <v>37</v>
      </c>
      <c r="H5403">
        <v>492</v>
      </c>
      <c r="I5403">
        <v>1034</v>
      </c>
      <c r="J5403">
        <v>1</v>
      </c>
      <c r="K5403">
        <v>2739</v>
      </c>
      <c r="L5403">
        <v>3300</v>
      </c>
      <c r="M5403">
        <v>1</v>
      </c>
      <c r="N5403">
        <v>0</v>
      </c>
      <c r="O5403">
        <v>2220</v>
      </c>
    </row>
    <row r="5404" spans="1:15" x14ac:dyDescent="0.25">
      <c r="A5404" t="s">
        <v>5417</v>
      </c>
      <c r="B5404">
        <v>1586</v>
      </c>
      <c r="C5404" s="1" t="str">
        <f>HYPERLINK("http://www.rosaceae.org/gb/gbrowse/malus_x_domestica/?name=MDP0000303694","MDP0000303694")</f>
        <v>MDP0000303694</v>
      </c>
      <c r="D5404">
        <v>42.85</v>
      </c>
      <c r="E5404">
        <v>1288</v>
      </c>
      <c r="F5404">
        <v>736</v>
      </c>
      <c r="G5404">
        <v>91</v>
      </c>
      <c r="H5404">
        <v>6</v>
      </c>
      <c r="I5404">
        <v>1267</v>
      </c>
      <c r="J5404">
        <v>1</v>
      </c>
      <c r="K5404">
        <v>2</v>
      </c>
      <c r="L5404">
        <v>1224</v>
      </c>
      <c r="M5404">
        <v>1</v>
      </c>
      <c r="N5404">
        <v>0</v>
      </c>
      <c r="O5404">
        <v>2315</v>
      </c>
    </row>
    <row r="5405" spans="1:15" x14ac:dyDescent="0.25">
      <c r="A5405" t="s">
        <v>5418</v>
      </c>
      <c r="B5405">
        <v>484</v>
      </c>
      <c r="C5405" s="1" t="str">
        <f>HYPERLINK("http://www.rosaceae.org/gb/gbrowse/malus_x_domestica/?name=MDP0000306176","MDP0000306176")</f>
        <v>MDP0000306176</v>
      </c>
      <c r="D5405">
        <v>60.79</v>
      </c>
      <c r="E5405">
        <v>477</v>
      </c>
      <c r="F5405">
        <v>187</v>
      </c>
      <c r="G5405">
        <v>4</v>
      </c>
      <c r="H5405">
        <v>9</v>
      </c>
      <c r="I5405">
        <v>483</v>
      </c>
      <c r="J5405">
        <v>1</v>
      </c>
      <c r="K5405">
        <v>249</v>
      </c>
      <c r="L5405">
        <v>723</v>
      </c>
      <c r="M5405">
        <v>1</v>
      </c>
      <c r="N5405">
        <v>4.8666000000000003E-170</v>
      </c>
      <c r="O5405">
        <v>1533</v>
      </c>
    </row>
    <row r="5406" spans="1:15" x14ac:dyDescent="0.25">
      <c r="A5406" t="s">
        <v>5419</v>
      </c>
      <c r="B5406">
        <v>571</v>
      </c>
      <c r="C5406" s="1" t="str">
        <f>HYPERLINK("http://www.rosaceae.org/gb/gbrowse/malus_x_domestica/?name=MDP0000130391","MDP0000130391")</f>
        <v>MDP0000130391</v>
      </c>
      <c r="D5406">
        <v>74.75</v>
      </c>
      <c r="E5406">
        <v>507</v>
      </c>
      <c r="F5406">
        <v>128</v>
      </c>
      <c r="G5406">
        <v>18</v>
      </c>
      <c r="H5406">
        <v>70</v>
      </c>
      <c r="I5406">
        <v>558</v>
      </c>
      <c r="J5406">
        <v>1</v>
      </c>
      <c r="K5406">
        <v>22</v>
      </c>
      <c r="L5406">
        <v>528</v>
      </c>
      <c r="M5406">
        <v>1</v>
      </c>
      <c r="N5406">
        <v>0</v>
      </c>
      <c r="O5406">
        <v>1894</v>
      </c>
    </row>
    <row r="5407" spans="1:15" x14ac:dyDescent="0.25">
      <c r="A5407" t="s">
        <v>5420</v>
      </c>
      <c r="B5407">
        <v>293</v>
      </c>
      <c r="C5407" s="1" t="str">
        <f>HYPERLINK("http://www.rosaceae.org/gb/gbrowse/malus_x_domestica/?name=MDP0000180877","MDP0000180877")</f>
        <v>MDP0000180877</v>
      </c>
      <c r="D5407">
        <v>78.77</v>
      </c>
      <c r="E5407">
        <v>212</v>
      </c>
      <c r="F5407">
        <v>45</v>
      </c>
      <c r="G5407">
        <v>1</v>
      </c>
      <c r="H5407">
        <v>5</v>
      </c>
      <c r="I5407">
        <v>215</v>
      </c>
      <c r="J5407">
        <v>1</v>
      </c>
      <c r="K5407">
        <v>65</v>
      </c>
      <c r="L5407">
        <v>276</v>
      </c>
      <c r="M5407">
        <v>1</v>
      </c>
      <c r="N5407">
        <v>3.0826199999999999E-95</v>
      </c>
      <c r="O5407">
        <v>885</v>
      </c>
    </row>
    <row r="5408" spans="1:15" x14ac:dyDescent="0.25">
      <c r="A5408" t="s">
        <v>5421</v>
      </c>
      <c r="B5408">
        <v>1285</v>
      </c>
      <c r="C5408" s="1" t="str">
        <f>HYPERLINK("http://www.rosaceae.org/gb/gbrowse/malus_x_domestica/?name=MDP0000299236","MDP0000299236")</f>
        <v>MDP0000299236</v>
      </c>
      <c r="D5408">
        <v>66</v>
      </c>
      <c r="E5408">
        <v>150</v>
      </c>
      <c r="F5408">
        <v>51</v>
      </c>
      <c r="G5408">
        <v>4</v>
      </c>
      <c r="H5408">
        <v>74</v>
      </c>
      <c r="I5408">
        <v>223</v>
      </c>
      <c r="J5408">
        <v>1</v>
      </c>
      <c r="K5408">
        <v>139</v>
      </c>
      <c r="L5408">
        <v>284</v>
      </c>
      <c r="M5408">
        <v>1</v>
      </c>
      <c r="N5408">
        <v>8.7544799999999999E-46</v>
      </c>
      <c r="O5408">
        <v>465</v>
      </c>
    </row>
    <row r="5409" spans="1:15" x14ac:dyDescent="0.25">
      <c r="A5409" t="s">
        <v>5422</v>
      </c>
      <c r="B5409">
        <v>256</v>
      </c>
      <c r="C5409" s="1" t="str">
        <f>HYPERLINK("http://www.rosaceae.org/gb/gbrowse/malus_x_domestica/?name=MDP0000121628","MDP0000121628")</f>
        <v>MDP0000121628</v>
      </c>
      <c r="D5409">
        <v>44.78</v>
      </c>
      <c r="E5409">
        <v>259</v>
      </c>
      <c r="F5409">
        <v>143</v>
      </c>
      <c r="G5409">
        <v>9</v>
      </c>
      <c r="H5409">
        <v>1</v>
      </c>
      <c r="I5409">
        <v>254</v>
      </c>
      <c r="J5409">
        <v>1</v>
      </c>
      <c r="K5409">
        <v>1</v>
      </c>
      <c r="L5409">
        <v>255</v>
      </c>
      <c r="M5409">
        <v>1</v>
      </c>
      <c r="N5409">
        <v>1.66804E-40</v>
      </c>
      <c r="O5409">
        <v>412</v>
      </c>
    </row>
    <row r="5410" spans="1:15" x14ac:dyDescent="0.25">
      <c r="A5410" t="s">
        <v>5423</v>
      </c>
      <c r="B5410">
        <v>641</v>
      </c>
      <c r="C5410" s="1" t="str">
        <f>HYPERLINK("http://www.rosaceae.org/gb/gbrowse/malus_x_domestica/?name=MDP0000242569","MDP0000242569")</f>
        <v>MDP0000242569</v>
      </c>
      <c r="D5410">
        <v>82.56</v>
      </c>
      <c r="E5410">
        <v>453</v>
      </c>
      <c r="F5410">
        <v>79</v>
      </c>
      <c r="G5410">
        <v>9</v>
      </c>
      <c r="H5410">
        <v>136</v>
      </c>
      <c r="I5410">
        <v>581</v>
      </c>
      <c r="J5410">
        <v>1</v>
      </c>
      <c r="K5410">
        <v>73</v>
      </c>
      <c r="L5410">
        <v>523</v>
      </c>
      <c r="M5410">
        <v>1</v>
      </c>
      <c r="N5410">
        <v>0</v>
      </c>
      <c r="O5410">
        <v>1978</v>
      </c>
    </row>
    <row r="5411" spans="1:15" x14ac:dyDescent="0.25">
      <c r="A5411" t="s">
        <v>5424</v>
      </c>
      <c r="B5411">
        <v>299</v>
      </c>
      <c r="C5411" s="1" t="str">
        <f>HYPERLINK("http://www.rosaceae.org/gb/gbrowse/malus_x_domestica/?name=MDP0000226816","MDP0000226816")</f>
        <v>MDP0000226816</v>
      </c>
      <c r="D5411">
        <v>43.47</v>
      </c>
      <c r="E5411">
        <v>92</v>
      </c>
      <c r="F5411">
        <v>52</v>
      </c>
      <c r="G5411">
        <v>9</v>
      </c>
      <c r="H5411">
        <v>65</v>
      </c>
      <c r="I5411">
        <v>148</v>
      </c>
      <c r="J5411">
        <v>1</v>
      </c>
      <c r="K5411">
        <v>319</v>
      </c>
      <c r="L5411">
        <v>409</v>
      </c>
      <c r="M5411">
        <v>1</v>
      </c>
      <c r="N5411">
        <v>1.97506E-11</v>
      </c>
      <c r="O5411">
        <v>163</v>
      </c>
    </row>
    <row r="5412" spans="1:15" x14ac:dyDescent="0.25">
      <c r="A5412" t="s">
        <v>5425</v>
      </c>
      <c r="B5412">
        <v>107</v>
      </c>
      <c r="C5412" s="1" t="str">
        <f>HYPERLINK("http://www.rosaceae.org/gb/gbrowse/malus_x_domestica/?name=MDP0000469508","MDP0000469508")</f>
        <v>MDP0000469508</v>
      </c>
      <c r="D5412">
        <v>62.22</v>
      </c>
      <c r="E5412">
        <v>45</v>
      </c>
      <c r="F5412">
        <v>17</v>
      </c>
      <c r="G5412">
        <v>0</v>
      </c>
      <c r="H5412">
        <v>62</v>
      </c>
      <c r="I5412">
        <v>106</v>
      </c>
      <c r="J5412">
        <v>1</v>
      </c>
      <c r="K5412">
        <v>107</v>
      </c>
      <c r="L5412">
        <v>151</v>
      </c>
      <c r="M5412">
        <v>1</v>
      </c>
      <c r="N5412">
        <v>6.5378500000000003E-10</v>
      </c>
      <c r="O5412">
        <v>143</v>
      </c>
    </row>
    <row r="5413" spans="1:15" x14ac:dyDescent="0.25">
      <c r="A5413" t="s">
        <v>5426</v>
      </c>
      <c r="B5413">
        <v>628</v>
      </c>
      <c r="C5413" s="1" t="str">
        <f>HYPERLINK("http://www.rosaceae.org/gb/gbrowse/malus_x_domestica/?name=MDP0000285555","MDP0000285555")</f>
        <v>MDP0000285555</v>
      </c>
      <c r="D5413">
        <v>40.29</v>
      </c>
      <c r="E5413">
        <v>201</v>
      </c>
      <c r="F5413">
        <v>120</v>
      </c>
      <c r="G5413">
        <v>17</v>
      </c>
      <c r="H5413">
        <v>7</v>
      </c>
      <c r="I5413">
        <v>191</v>
      </c>
      <c r="J5413">
        <v>1</v>
      </c>
      <c r="K5413">
        <v>2</v>
      </c>
      <c r="L5413">
        <v>201</v>
      </c>
      <c r="M5413">
        <v>1</v>
      </c>
      <c r="N5413">
        <v>2.6389799999999998E-28</v>
      </c>
      <c r="O5413">
        <v>312</v>
      </c>
    </row>
    <row r="5414" spans="1:15" x14ac:dyDescent="0.25">
      <c r="A5414" t="s">
        <v>5427</v>
      </c>
      <c r="B5414">
        <v>695</v>
      </c>
      <c r="C5414" s="1" t="str">
        <f>HYPERLINK("http://www.rosaceae.org/gb/gbrowse/malus_x_domestica/?name=MDP0000306387","MDP0000306387")</f>
        <v>MDP0000306387</v>
      </c>
      <c r="D5414">
        <v>60</v>
      </c>
      <c r="E5414">
        <v>725</v>
      </c>
      <c r="F5414">
        <v>290</v>
      </c>
      <c r="G5414">
        <v>34</v>
      </c>
      <c r="H5414">
        <v>4</v>
      </c>
      <c r="I5414">
        <v>695</v>
      </c>
      <c r="J5414">
        <v>1</v>
      </c>
      <c r="K5414">
        <v>899</v>
      </c>
      <c r="L5414">
        <v>1622</v>
      </c>
      <c r="M5414">
        <v>1</v>
      </c>
      <c r="N5414">
        <v>0</v>
      </c>
      <c r="O5414">
        <v>2164</v>
      </c>
    </row>
    <row r="5415" spans="1:15" x14ac:dyDescent="0.25">
      <c r="A5415" t="s">
        <v>5428</v>
      </c>
      <c r="B5415">
        <v>1963</v>
      </c>
      <c r="C5415" s="1" t="str">
        <f>HYPERLINK("http://www.rosaceae.org/gb/gbrowse/malus_x_domestica/?name=MDP0000260771","MDP0000260771")</f>
        <v>MDP0000260771</v>
      </c>
      <c r="D5415">
        <v>86.72</v>
      </c>
      <c r="E5415">
        <v>1168</v>
      </c>
      <c r="F5415">
        <v>155</v>
      </c>
      <c r="G5415">
        <v>53</v>
      </c>
      <c r="H5415">
        <v>805</v>
      </c>
      <c r="I5415">
        <v>1963</v>
      </c>
      <c r="J5415">
        <v>1</v>
      </c>
      <c r="K5415">
        <v>773</v>
      </c>
      <c r="L5415">
        <v>1896</v>
      </c>
      <c r="M5415">
        <v>1</v>
      </c>
      <c r="N5415">
        <v>0</v>
      </c>
      <c r="O5415">
        <v>5308</v>
      </c>
    </row>
    <row r="5416" spans="1:15" x14ac:dyDescent="0.25">
      <c r="A5416" t="s">
        <v>5429</v>
      </c>
      <c r="B5416">
        <v>563</v>
      </c>
      <c r="C5416" s="1" t="str">
        <f>HYPERLINK("http://www.rosaceae.org/gb/gbrowse/malus_x_domestica/?name=MDP0000285644","MDP0000285644")</f>
        <v>MDP0000285644</v>
      </c>
      <c r="D5416">
        <v>77.36</v>
      </c>
      <c r="E5416">
        <v>561</v>
      </c>
      <c r="F5416">
        <v>127</v>
      </c>
      <c r="G5416">
        <v>4</v>
      </c>
      <c r="H5416">
        <v>3</v>
      </c>
      <c r="I5416">
        <v>559</v>
      </c>
      <c r="J5416">
        <v>1</v>
      </c>
      <c r="K5416">
        <v>2</v>
      </c>
      <c r="L5416">
        <v>562</v>
      </c>
      <c r="M5416">
        <v>1</v>
      </c>
      <c r="N5416">
        <v>0</v>
      </c>
      <c r="O5416">
        <v>2391</v>
      </c>
    </row>
    <row r="5417" spans="1:15" x14ac:dyDescent="0.25">
      <c r="A5417" t="s">
        <v>5430</v>
      </c>
      <c r="B5417">
        <v>170</v>
      </c>
      <c r="C5417" s="1" t="str">
        <f>HYPERLINK("http://www.rosaceae.org/gb/gbrowse/malus_x_domestica/?name=MDP0000128380","MDP0000128380")</f>
        <v>MDP0000128380</v>
      </c>
      <c r="D5417">
        <v>41.13</v>
      </c>
      <c r="E5417">
        <v>141</v>
      </c>
      <c r="F5417">
        <v>83</v>
      </c>
      <c r="G5417">
        <v>21</v>
      </c>
      <c r="H5417">
        <v>1</v>
      </c>
      <c r="I5417">
        <v>141</v>
      </c>
      <c r="J5417">
        <v>1</v>
      </c>
      <c r="K5417">
        <v>570</v>
      </c>
      <c r="L5417">
        <v>689</v>
      </c>
      <c r="M5417">
        <v>1</v>
      </c>
      <c r="N5417">
        <v>7.7658200000000002E-18</v>
      </c>
      <c r="O5417">
        <v>214</v>
      </c>
    </row>
    <row r="5418" spans="1:15" x14ac:dyDescent="0.25">
      <c r="A5418" t="s">
        <v>5431</v>
      </c>
      <c r="B5418">
        <v>394</v>
      </c>
      <c r="C5418" s="1" t="str">
        <f>HYPERLINK("http://www.rosaceae.org/gb/gbrowse/malus_x_domestica/?name=MDP0000420727","MDP0000420727")</f>
        <v>MDP0000420727</v>
      </c>
      <c r="D5418">
        <v>52.57</v>
      </c>
      <c r="E5418">
        <v>369</v>
      </c>
      <c r="F5418">
        <v>175</v>
      </c>
      <c r="G5418">
        <v>13</v>
      </c>
      <c r="H5418">
        <v>17</v>
      </c>
      <c r="I5418">
        <v>384</v>
      </c>
      <c r="J5418">
        <v>1</v>
      </c>
      <c r="K5418">
        <v>150</v>
      </c>
      <c r="L5418">
        <v>506</v>
      </c>
      <c r="M5418">
        <v>1</v>
      </c>
      <c r="N5418">
        <v>3.3245899999999999E-108</v>
      </c>
      <c r="O5418">
        <v>998</v>
      </c>
    </row>
    <row r="5419" spans="1:15" x14ac:dyDescent="0.25">
      <c r="A5419" t="s">
        <v>5432</v>
      </c>
      <c r="B5419">
        <v>430</v>
      </c>
      <c r="C5419" s="1" t="str">
        <f>HYPERLINK("http://www.rosaceae.org/gb/gbrowse/malus_x_domestica/?name=MDP0000210595","MDP0000210595")</f>
        <v>MDP0000210595</v>
      </c>
      <c r="D5419">
        <v>70.52</v>
      </c>
      <c r="E5419">
        <v>492</v>
      </c>
      <c r="F5419">
        <v>145</v>
      </c>
      <c r="G5419">
        <v>65</v>
      </c>
      <c r="H5419">
        <v>1</v>
      </c>
      <c r="I5419">
        <v>430</v>
      </c>
      <c r="J5419">
        <v>1</v>
      </c>
      <c r="K5419">
        <v>1</v>
      </c>
      <c r="L5419">
        <v>489</v>
      </c>
      <c r="M5419">
        <v>1</v>
      </c>
      <c r="N5419">
        <v>2.09795E-174</v>
      </c>
      <c r="O5419">
        <v>1570</v>
      </c>
    </row>
    <row r="5420" spans="1:15" x14ac:dyDescent="0.25">
      <c r="A5420" t="s">
        <v>5433</v>
      </c>
      <c r="B5420">
        <v>362</v>
      </c>
      <c r="C5420" s="1" t="str">
        <f>HYPERLINK("http://www.rosaceae.org/gb/gbrowse/malus_x_domestica/?name=MDP0000313728","MDP0000313728")</f>
        <v>MDP0000313728</v>
      </c>
      <c r="D5420">
        <v>59.51</v>
      </c>
      <c r="E5420">
        <v>289</v>
      </c>
      <c r="F5420">
        <v>117</v>
      </c>
      <c r="G5420">
        <v>59</v>
      </c>
      <c r="H5420">
        <v>90</v>
      </c>
      <c r="I5420">
        <v>361</v>
      </c>
      <c r="J5420">
        <v>1</v>
      </c>
      <c r="K5420">
        <v>1</v>
      </c>
      <c r="L5420">
        <v>247</v>
      </c>
      <c r="M5420">
        <v>1</v>
      </c>
      <c r="N5420">
        <v>2.0605799999999999E-83</v>
      </c>
      <c r="O5420">
        <v>784</v>
      </c>
    </row>
    <row r="5421" spans="1:15" x14ac:dyDescent="0.25">
      <c r="A5421" t="s">
        <v>5434</v>
      </c>
      <c r="B5421">
        <v>556</v>
      </c>
      <c r="C5421" s="1" t="str">
        <f>HYPERLINK("http://www.rosaceae.org/gb/gbrowse/malus_x_domestica/?name=MDP0000240772","MDP0000240772")</f>
        <v>MDP0000240772</v>
      </c>
      <c r="D5421">
        <v>56.27</v>
      </c>
      <c r="E5421">
        <v>558</v>
      </c>
      <c r="F5421">
        <v>244</v>
      </c>
      <c r="G5421">
        <v>34</v>
      </c>
      <c r="H5421">
        <v>33</v>
      </c>
      <c r="I5421">
        <v>556</v>
      </c>
      <c r="J5421">
        <v>1</v>
      </c>
      <c r="K5421">
        <v>195</v>
      </c>
      <c r="L5421">
        <v>752</v>
      </c>
      <c r="M5421">
        <v>1</v>
      </c>
      <c r="N5421">
        <v>0</v>
      </c>
      <c r="O5421">
        <v>1716</v>
      </c>
    </row>
    <row r="5422" spans="1:15" x14ac:dyDescent="0.25">
      <c r="A5422" t="s">
        <v>5435</v>
      </c>
      <c r="B5422">
        <v>729</v>
      </c>
      <c r="C5422" s="1" t="str">
        <f>HYPERLINK("http://www.rosaceae.org/gb/gbrowse/malus_x_domestica/?name=MDP0000150262","MDP0000150262")</f>
        <v>MDP0000150262</v>
      </c>
      <c r="D5422">
        <v>74.8</v>
      </c>
      <c r="E5422">
        <v>262</v>
      </c>
      <c r="F5422">
        <v>66</v>
      </c>
      <c r="G5422">
        <v>33</v>
      </c>
      <c r="H5422">
        <v>382</v>
      </c>
      <c r="I5422">
        <v>611</v>
      </c>
      <c r="J5422">
        <v>1</v>
      </c>
      <c r="K5422">
        <v>1</v>
      </c>
      <c r="L5422">
        <v>261</v>
      </c>
      <c r="M5422">
        <v>1</v>
      </c>
      <c r="N5422">
        <v>2.40591E-108</v>
      </c>
      <c r="O5422">
        <v>1002</v>
      </c>
    </row>
    <row r="5423" spans="1:15" x14ac:dyDescent="0.25">
      <c r="A5423" t="s">
        <v>5436</v>
      </c>
      <c r="B5423">
        <v>1059</v>
      </c>
      <c r="C5423" s="1" t="str">
        <f>HYPERLINK("http://www.rosaceae.org/gb/gbrowse/malus_x_domestica/?name=MDP0000242384","MDP0000242384")</f>
        <v>MDP0000242384</v>
      </c>
      <c r="D5423">
        <v>80.25</v>
      </c>
      <c r="E5423">
        <v>1008</v>
      </c>
      <c r="F5423">
        <v>199</v>
      </c>
      <c r="G5423">
        <v>39</v>
      </c>
      <c r="H5423">
        <v>73</v>
      </c>
      <c r="I5423">
        <v>1059</v>
      </c>
      <c r="J5423">
        <v>1</v>
      </c>
      <c r="K5423">
        <v>137</v>
      </c>
      <c r="L5423">
        <v>1126</v>
      </c>
      <c r="M5423">
        <v>1</v>
      </c>
      <c r="N5423">
        <v>0</v>
      </c>
      <c r="O5423">
        <v>4236</v>
      </c>
    </row>
    <row r="5424" spans="1:15" x14ac:dyDescent="0.25">
      <c r="A5424" t="s">
        <v>5437</v>
      </c>
      <c r="B5424">
        <v>99</v>
      </c>
      <c r="C5424" s="1" t="str">
        <f>HYPERLINK("http://www.rosaceae.org/gb/gbrowse/malus_x_domestica/?name=MDP0000299819","MDP0000299819")</f>
        <v>MDP0000299819</v>
      </c>
      <c r="D5424">
        <v>67.459999999999994</v>
      </c>
      <c r="E5424">
        <v>83</v>
      </c>
      <c r="F5424">
        <v>27</v>
      </c>
      <c r="G5424">
        <v>4</v>
      </c>
      <c r="H5424">
        <v>1</v>
      </c>
      <c r="I5424">
        <v>83</v>
      </c>
      <c r="J5424">
        <v>1</v>
      </c>
      <c r="K5424">
        <v>1</v>
      </c>
      <c r="L5424">
        <v>79</v>
      </c>
      <c r="M5424">
        <v>1</v>
      </c>
      <c r="N5424">
        <v>1.3113100000000001E-22</v>
      </c>
      <c r="O5424">
        <v>252</v>
      </c>
    </row>
    <row r="5425" spans="1:15" x14ac:dyDescent="0.25">
      <c r="A5425" t="s">
        <v>5438</v>
      </c>
      <c r="B5425">
        <v>381</v>
      </c>
      <c r="C5425" s="1" t="str">
        <f>HYPERLINK("http://www.rosaceae.org/gb/gbrowse/malus_x_domestica/?name=MDP0000420088","MDP0000420088")</f>
        <v>MDP0000420088</v>
      </c>
      <c r="D5425">
        <v>66.86</v>
      </c>
      <c r="E5425">
        <v>335</v>
      </c>
      <c r="F5425">
        <v>111</v>
      </c>
      <c r="G5425">
        <v>28</v>
      </c>
      <c r="H5425">
        <v>60</v>
      </c>
      <c r="I5425">
        <v>381</v>
      </c>
      <c r="J5425">
        <v>1</v>
      </c>
      <c r="K5425">
        <v>407</v>
      </c>
      <c r="L5425">
        <v>726</v>
      </c>
      <c r="M5425">
        <v>1</v>
      </c>
      <c r="N5425">
        <v>6.2590400000000006E-123</v>
      </c>
      <c r="O5425">
        <v>1125</v>
      </c>
    </row>
    <row r="5426" spans="1:15" x14ac:dyDescent="0.25">
      <c r="A5426" t="s">
        <v>5439</v>
      </c>
      <c r="B5426">
        <v>269</v>
      </c>
      <c r="C5426" s="1" t="str">
        <f>HYPERLINK("http://www.rosaceae.org/gb/gbrowse/malus_x_domestica/?name=MDP0000166019","MDP0000166019")</f>
        <v>MDP0000166019</v>
      </c>
      <c r="D5426">
        <v>87.5</v>
      </c>
      <c r="E5426">
        <v>80</v>
      </c>
      <c r="F5426">
        <v>10</v>
      </c>
      <c r="G5426">
        <v>0</v>
      </c>
      <c r="H5426">
        <v>139</v>
      </c>
      <c r="I5426">
        <v>218</v>
      </c>
      <c r="J5426">
        <v>1</v>
      </c>
      <c r="K5426">
        <v>213</v>
      </c>
      <c r="L5426">
        <v>292</v>
      </c>
      <c r="M5426">
        <v>1</v>
      </c>
      <c r="N5426">
        <v>1.7473E-38</v>
      </c>
      <c r="O5426">
        <v>395</v>
      </c>
    </row>
    <row r="5427" spans="1:15" x14ac:dyDescent="0.25">
      <c r="A5427" t="s">
        <v>5440</v>
      </c>
      <c r="B5427">
        <v>191</v>
      </c>
      <c r="C5427" s="1" t="str">
        <f>HYPERLINK("http://www.rosaceae.org/gb/gbrowse/malus_x_domestica/?name=MDP0000428283","MDP0000428283")</f>
        <v>MDP0000428283</v>
      </c>
      <c r="D5427">
        <v>45.45</v>
      </c>
      <c r="E5427">
        <v>154</v>
      </c>
      <c r="F5427">
        <v>84</v>
      </c>
      <c r="G5427">
        <v>20</v>
      </c>
      <c r="H5427">
        <v>1</v>
      </c>
      <c r="I5427">
        <v>135</v>
      </c>
      <c r="J5427">
        <v>1</v>
      </c>
      <c r="K5427">
        <v>4</v>
      </c>
      <c r="L5427">
        <v>156</v>
      </c>
      <c r="M5427">
        <v>1</v>
      </c>
      <c r="N5427">
        <v>4.5593000000000004E-28</v>
      </c>
      <c r="O5427">
        <v>303</v>
      </c>
    </row>
    <row r="5428" spans="1:15" x14ac:dyDescent="0.25">
      <c r="A5428" t="s">
        <v>5441</v>
      </c>
      <c r="B5428">
        <v>458</v>
      </c>
      <c r="C5428" s="1" t="str">
        <f>HYPERLINK("http://www.rosaceae.org/gb/gbrowse/malus_x_domestica/?name=MDP0000281079","MDP0000281079")</f>
        <v>MDP0000281079</v>
      </c>
      <c r="D5428">
        <v>51</v>
      </c>
      <c r="E5428">
        <v>496</v>
      </c>
      <c r="F5428">
        <v>243</v>
      </c>
      <c r="G5428">
        <v>63</v>
      </c>
      <c r="H5428">
        <v>1</v>
      </c>
      <c r="I5428">
        <v>457</v>
      </c>
      <c r="J5428">
        <v>1</v>
      </c>
      <c r="K5428">
        <v>1</v>
      </c>
      <c r="L5428">
        <v>472</v>
      </c>
      <c r="M5428">
        <v>1</v>
      </c>
      <c r="N5428">
        <v>1.0690000000000001E-115</v>
      </c>
      <c r="O5428">
        <v>1064</v>
      </c>
    </row>
    <row r="5429" spans="1:15" x14ac:dyDescent="0.25">
      <c r="A5429" t="s">
        <v>5442</v>
      </c>
      <c r="B5429">
        <v>301</v>
      </c>
      <c r="C5429" s="1" t="str">
        <f>HYPERLINK("http://www.rosaceae.org/gb/gbrowse/malus_x_domestica/?name=MDP0000183686","MDP0000183686")</f>
        <v>MDP0000183686</v>
      </c>
      <c r="D5429">
        <v>47.55</v>
      </c>
      <c r="E5429">
        <v>143</v>
      </c>
      <c r="F5429">
        <v>75</v>
      </c>
      <c r="G5429">
        <v>13</v>
      </c>
      <c r="H5429">
        <v>8</v>
      </c>
      <c r="I5429">
        <v>143</v>
      </c>
      <c r="J5429">
        <v>1</v>
      </c>
      <c r="K5429">
        <v>14</v>
      </c>
      <c r="L5429">
        <v>150</v>
      </c>
      <c r="M5429">
        <v>1</v>
      </c>
      <c r="N5429">
        <v>1.9402600000000001E-21</v>
      </c>
      <c r="O5429">
        <v>249</v>
      </c>
    </row>
    <row r="5430" spans="1:15" x14ac:dyDescent="0.25">
      <c r="A5430" t="s">
        <v>5443</v>
      </c>
      <c r="B5430">
        <v>252</v>
      </c>
      <c r="C5430" s="1" t="str">
        <f>HYPERLINK("http://www.rosaceae.org/gb/gbrowse/malus_x_domestica/?name=MDP0000648839","MDP0000648839")</f>
        <v>MDP0000648839</v>
      </c>
      <c r="D5430">
        <v>58.75</v>
      </c>
      <c r="E5430">
        <v>240</v>
      </c>
      <c r="F5430">
        <v>99</v>
      </c>
      <c r="G5430">
        <v>5</v>
      </c>
      <c r="H5430">
        <v>12</v>
      </c>
      <c r="I5430">
        <v>246</v>
      </c>
      <c r="J5430">
        <v>1</v>
      </c>
      <c r="K5430">
        <v>131</v>
      </c>
      <c r="L5430">
        <v>370</v>
      </c>
      <c r="M5430">
        <v>1</v>
      </c>
      <c r="N5430">
        <v>4.6521599999999998E-67</v>
      </c>
      <c r="O5430">
        <v>641</v>
      </c>
    </row>
    <row r="5431" spans="1:15" x14ac:dyDescent="0.25">
      <c r="A5431" t="s">
        <v>5444</v>
      </c>
      <c r="B5431">
        <v>327</v>
      </c>
      <c r="C5431" s="1" t="str">
        <f>HYPERLINK("http://www.rosaceae.org/gb/gbrowse/malus_x_domestica/?name=MDP0000122493","MDP0000122493")</f>
        <v>MDP0000122493</v>
      </c>
      <c r="D5431">
        <v>76.11</v>
      </c>
      <c r="E5431">
        <v>335</v>
      </c>
      <c r="F5431">
        <v>80</v>
      </c>
      <c r="G5431">
        <v>20</v>
      </c>
      <c r="H5431">
        <v>5</v>
      </c>
      <c r="I5431">
        <v>319</v>
      </c>
      <c r="J5431">
        <v>1</v>
      </c>
      <c r="K5431">
        <v>10</v>
      </c>
      <c r="L5431">
        <v>344</v>
      </c>
      <c r="M5431">
        <v>1</v>
      </c>
      <c r="N5431">
        <v>1.10472E-145</v>
      </c>
      <c r="O5431">
        <v>1321</v>
      </c>
    </row>
    <row r="5432" spans="1:15" x14ac:dyDescent="0.25">
      <c r="A5432" t="s">
        <v>5445</v>
      </c>
      <c r="B5432">
        <v>387</v>
      </c>
      <c r="C5432" s="1" t="str">
        <f>HYPERLINK("http://www.rosaceae.org/gb/gbrowse/malus_x_domestica/?name=MDP0000227677","MDP0000227677")</f>
        <v>MDP0000227677</v>
      </c>
      <c r="D5432">
        <v>78.69</v>
      </c>
      <c r="E5432">
        <v>399</v>
      </c>
      <c r="F5432">
        <v>85</v>
      </c>
      <c r="G5432">
        <v>16</v>
      </c>
      <c r="H5432">
        <v>1</v>
      </c>
      <c r="I5432">
        <v>387</v>
      </c>
      <c r="J5432">
        <v>1</v>
      </c>
      <c r="K5432">
        <v>1</v>
      </c>
      <c r="L5432">
        <v>395</v>
      </c>
      <c r="M5432">
        <v>1</v>
      </c>
      <c r="N5432">
        <v>5.1562399999999996E-175</v>
      </c>
      <c r="O5432">
        <v>1575</v>
      </c>
    </row>
    <row r="5433" spans="1:15" x14ac:dyDescent="0.25">
      <c r="A5433" t="s">
        <v>5446</v>
      </c>
      <c r="B5433">
        <v>441</v>
      </c>
      <c r="C5433" s="1" t="str">
        <f>HYPERLINK("http://www.rosaceae.org/gb/gbrowse/malus_x_domestica/?name=MDP0000184748","MDP0000184748")</f>
        <v>MDP0000184748</v>
      </c>
      <c r="D5433">
        <v>95.71</v>
      </c>
      <c r="E5433">
        <v>373</v>
      </c>
      <c r="F5433">
        <v>16</v>
      </c>
      <c r="G5433">
        <v>7</v>
      </c>
      <c r="H5433">
        <v>1</v>
      </c>
      <c r="I5433">
        <v>366</v>
      </c>
      <c r="J5433">
        <v>1</v>
      </c>
      <c r="K5433">
        <v>1</v>
      </c>
      <c r="L5433">
        <v>373</v>
      </c>
      <c r="M5433">
        <v>1</v>
      </c>
      <c r="N5433">
        <v>0</v>
      </c>
      <c r="O5433">
        <v>1895</v>
      </c>
    </row>
    <row r="5434" spans="1:15" x14ac:dyDescent="0.25">
      <c r="A5434" t="s">
        <v>5447</v>
      </c>
      <c r="B5434">
        <v>186</v>
      </c>
      <c r="C5434" s="1" t="str">
        <f>HYPERLINK("http://www.rosaceae.org/gb/gbrowse/malus_x_domestica/?name=MDP0000273164","MDP0000273164")</f>
        <v>MDP0000273164</v>
      </c>
      <c r="D5434">
        <v>41.89</v>
      </c>
      <c r="E5434">
        <v>179</v>
      </c>
      <c r="F5434">
        <v>104</v>
      </c>
      <c r="G5434">
        <v>18</v>
      </c>
      <c r="H5434">
        <v>1</v>
      </c>
      <c r="I5434">
        <v>173</v>
      </c>
      <c r="J5434">
        <v>1</v>
      </c>
      <c r="K5434">
        <v>10</v>
      </c>
      <c r="L5434">
        <v>176</v>
      </c>
      <c r="M5434">
        <v>1</v>
      </c>
      <c r="N5434">
        <v>4.9245600000000001E-26</v>
      </c>
      <c r="O5434">
        <v>286</v>
      </c>
    </row>
    <row r="5435" spans="1:15" x14ac:dyDescent="0.25">
      <c r="A5435" t="s">
        <v>5448</v>
      </c>
      <c r="B5435">
        <v>780</v>
      </c>
      <c r="C5435" s="1" t="str">
        <f>HYPERLINK("http://www.rosaceae.org/gb/gbrowse/malus_x_domestica/?name=MDP0000071677","MDP0000071677")</f>
        <v>MDP0000071677</v>
      </c>
      <c r="D5435">
        <v>60.78</v>
      </c>
      <c r="E5435">
        <v>408</v>
      </c>
      <c r="F5435">
        <v>160</v>
      </c>
      <c r="G5435">
        <v>2</v>
      </c>
      <c r="H5435">
        <v>370</v>
      </c>
      <c r="I5435">
        <v>777</v>
      </c>
      <c r="J5435">
        <v>1</v>
      </c>
      <c r="K5435">
        <v>70</v>
      </c>
      <c r="L5435">
        <v>475</v>
      </c>
      <c r="M5435">
        <v>1</v>
      </c>
      <c r="N5435">
        <v>1.7372600000000001E-152</v>
      </c>
      <c r="O5435">
        <v>1383</v>
      </c>
    </row>
    <row r="5436" spans="1:15" x14ac:dyDescent="0.25">
      <c r="A5436" t="s">
        <v>5449</v>
      </c>
      <c r="B5436">
        <v>534</v>
      </c>
      <c r="C5436" s="1" t="str">
        <f>HYPERLINK("http://www.rosaceae.org/gb/gbrowse/malus_x_domestica/?name=MDP0000125339","MDP0000125339")</f>
        <v>MDP0000125339</v>
      </c>
      <c r="D5436">
        <v>29.38</v>
      </c>
      <c r="E5436">
        <v>456</v>
      </c>
      <c r="F5436">
        <v>322</v>
      </c>
      <c r="G5436">
        <v>43</v>
      </c>
      <c r="H5436">
        <v>93</v>
      </c>
      <c r="I5436">
        <v>530</v>
      </c>
      <c r="J5436">
        <v>1</v>
      </c>
      <c r="K5436">
        <v>119</v>
      </c>
      <c r="L5436">
        <v>549</v>
      </c>
      <c r="M5436">
        <v>1</v>
      </c>
      <c r="N5436">
        <v>1.5372300000000001E-35</v>
      </c>
      <c r="O5436">
        <v>373</v>
      </c>
    </row>
    <row r="5437" spans="1:15" x14ac:dyDescent="0.25">
      <c r="A5437" t="s">
        <v>5450</v>
      </c>
      <c r="B5437">
        <v>143</v>
      </c>
      <c r="C5437" s="1" t="str">
        <f>HYPERLINK("http://www.rosaceae.org/gb/gbrowse/malus_x_domestica/?name=MDP0000285142","MDP0000285142")</f>
        <v>MDP0000285142</v>
      </c>
      <c r="D5437">
        <v>41.34</v>
      </c>
      <c r="E5437">
        <v>104</v>
      </c>
      <c r="F5437">
        <v>61</v>
      </c>
      <c r="G5437">
        <v>35</v>
      </c>
      <c r="H5437">
        <v>73</v>
      </c>
      <c r="I5437">
        <v>143</v>
      </c>
      <c r="J5437">
        <v>1</v>
      </c>
      <c r="K5437">
        <v>19</v>
      </c>
      <c r="L5437">
        <v>120</v>
      </c>
      <c r="M5437">
        <v>1</v>
      </c>
      <c r="N5437">
        <v>3.9974900000000002E-15</v>
      </c>
      <c r="O5437">
        <v>189</v>
      </c>
    </row>
    <row r="5438" spans="1:15" x14ac:dyDescent="0.25">
      <c r="A5438" t="s">
        <v>5451</v>
      </c>
      <c r="B5438">
        <v>500</v>
      </c>
      <c r="C5438" s="1" t="str">
        <f>HYPERLINK("http://www.rosaceae.org/gb/gbrowse/malus_x_domestica/?name=MDP0000230325","MDP0000230325")</f>
        <v>MDP0000230325</v>
      </c>
      <c r="D5438">
        <v>54.18</v>
      </c>
      <c r="E5438">
        <v>478</v>
      </c>
      <c r="F5438">
        <v>219</v>
      </c>
      <c r="G5438">
        <v>66</v>
      </c>
      <c r="H5438">
        <v>67</v>
      </c>
      <c r="I5438">
        <v>498</v>
      </c>
      <c r="J5438">
        <v>1</v>
      </c>
      <c r="K5438">
        <v>91</v>
      </c>
      <c r="L5438">
        <v>548</v>
      </c>
      <c r="M5438">
        <v>1</v>
      </c>
      <c r="N5438">
        <v>1.57895E-145</v>
      </c>
      <c r="O5438">
        <v>1321</v>
      </c>
    </row>
    <row r="5439" spans="1:15" x14ac:dyDescent="0.25">
      <c r="A5439" t="s">
        <v>5452</v>
      </c>
      <c r="B5439">
        <v>284</v>
      </c>
      <c r="C5439" s="1" t="str">
        <f>HYPERLINK("http://www.rosaceae.org/gb/gbrowse/malus_x_domestica/?name=MDP0000738476","MDP0000738476")</f>
        <v>MDP0000738476</v>
      </c>
      <c r="D5439">
        <v>79.45</v>
      </c>
      <c r="E5439">
        <v>73</v>
      </c>
      <c r="F5439">
        <v>15</v>
      </c>
      <c r="G5439">
        <v>2</v>
      </c>
      <c r="H5439">
        <v>187</v>
      </c>
      <c r="I5439">
        <v>259</v>
      </c>
      <c r="J5439">
        <v>1</v>
      </c>
      <c r="K5439">
        <v>7</v>
      </c>
      <c r="L5439">
        <v>77</v>
      </c>
      <c r="M5439">
        <v>1</v>
      </c>
      <c r="N5439">
        <v>3.6919000000000001E-28</v>
      </c>
      <c r="O5439">
        <v>307</v>
      </c>
    </row>
    <row r="5440" spans="1:15" x14ac:dyDescent="0.25">
      <c r="A5440" t="s">
        <v>5453</v>
      </c>
      <c r="B5440">
        <v>621</v>
      </c>
      <c r="C5440" s="1" t="str">
        <f>HYPERLINK("http://www.rosaceae.org/gb/gbrowse/malus_x_domestica/?name=MDP0000286029","MDP0000286029")</f>
        <v>MDP0000286029</v>
      </c>
      <c r="D5440">
        <v>75.86</v>
      </c>
      <c r="E5440">
        <v>232</v>
      </c>
      <c r="F5440">
        <v>56</v>
      </c>
      <c r="G5440">
        <v>23</v>
      </c>
      <c r="H5440">
        <v>120</v>
      </c>
      <c r="I5440">
        <v>328</v>
      </c>
      <c r="J5440">
        <v>1</v>
      </c>
      <c r="K5440">
        <v>303</v>
      </c>
      <c r="L5440">
        <v>534</v>
      </c>
      <c r="M5440">
        <v>1</v>
      </c>
      <c r="N5440">
        <v>1.0171099999999999E-95</v>
      </c>
      <c r="O5440">
        <v>893</v>
      </c>
    </row>
    <row r="5441" spans="1:15" x14ac:dyDescent="0.25">
      <c r="A5441" t="s">
        <v>5454</v>
      </c>
      <c r="B5441">
        <v>479</v>
      </c>
      <c r="C5441" s="1" t="str">
        <f>HYPERLINK("http://www.rosaceae.org/gb/gbrowse/malus_x_domestica/?name=MDP0000329476","MDP0000329476")</f>
        <v>MDP0000329476</v>
      </c>
      <c r="D5441">
        <v>55.27</v>
      </c>
      <c r="E5441">
        <v>275</v>
      </c>
      <c r="F5441">
        <v>123</v>
      </c>
      <c r="G5441">
        <v>11</v>
      </c>
      <c r="H5441">
        <v>60</v>
      </c>
      <c r="I5441">
        <v>326</v>
      </c>
      <c r="J5441">
        <v>1</v>
      </c>
      <c r="K5441">
        <v>2</v>
      </c>
      <c r="L5441">
        <v>273</v>
      </c>
      <c r="M5441">
        <v>1</v>
      </c>
      <c r="N5441">
        <v>1.4836499999999999E-77</v>
      </c>
      <c r="O5441">
        <v>735</v>
      </c>
    </row>
    <row r="5442" spans="1:15" x14ac:dyDescent="0.25">
      <c r="A5442" t="s">
        <v>5455</v>
      </c>
      <c r="B5442">
        <v>632</v>
      </c>
      <c r="C5442" s="1" t="str">
        <f>HYPERLINK("http://www.rosaceae.org/gb/gbrowse/malus_x_domestica/?name=MDP0000168293","MDP0000168293")</f>
        <v>MDP0000168293</v>
      </c>
      <c r="D5442">
        <v>62.04</v>
      </c>
      <c r="E5442">
        <v>519</v>
      </c>
      <c r="F5442">
        <v>197</v>
      </c>
      <c r="G5442">
        <v>5</v>
      </c>
      <c r="H5442">
        <v>24</v>
      </c>
      <c r="I5442">
        <v>539</v>
      </c>
      <c r="J5442">
        <v>1</v>
      </c>
      <c r="K5442">
        <v>27</v>
      </c>
      <c r="L5442">
        <v>543</v>
      </c>
      <c r="M5442">
        <v>1</v>
      </c>
      <c r="N5442">
        <v>0</v>
      </c>
      <c r="O5442">
        <v>1743</v>
      </c>
    </row>
    <row r="5443" spans="1:15" x14ac:dyDescent="0.25">
      <c r="A5443" t="s">
        <v>5456</v>
      </c>
      <c r="B5443">
        <v>386</v>
      </c>
      <c r="C5443" s="1" t="str">
        <f>HYPERLINK("http://www.rosaceae.org/gb/gbrowse/malus_x_domestica/?name=MDP0000156202","MDP0000156202")</f>
        <v>MDP0000156202</v>
      </c>
      <c r="D5443">
        <v>51.06</v>
      </c>
      <c r="E5443">
        <v>421</v>
      </c>
      <c r="F5443">
        <v>206</v>
      </c>
      <c r="G5443">
        <v>76</v>
      </c>
      <c r="H5443">
        <v>1</v>
      </c>
      <c r="I5443">
        <v>386</v>
      </c>
      <c r="J5443">
        <v>1</v>
      </c>
      <c r="K5443">
        <v>1</v>
      </c>
      <c r="L5443">
        <v>380</v>
      </c>
      <c r="M5443">
        <v>1</v>
      </c>
      <c r="N5443">
        <v>9.6803799999999996E-91</v>
      </c>
      <c r="O5443">
        <v>848</v>
      </c>
    </row>
    <row r="5444" spans="1:15" x14ac:dyDescent="0.25">
      <c r="A5444" t="s">
        <v>5457</v>
      </c>
      <c r="B5444">
        <v>1194</v>
      </c>
      <c r="C5444" s="1" t="str">
        <f>HYPERLINK("http://www.rosaceae.org/gb/gbrowse/malus_x_domestica/?name=MDP0000207352","MDP0000207352")</f>
        <v>MDP0000207352</v>
      </c>
      <c r="D5444">
        <v>79.88</v>
      </c>
      <c r="E5444">
        <v>1198</v>
      </c>
      <c r="F5444">
        <v>241</v>
      </c>
      <c r="G5444">
        <v>15</v>
      </c>
      <c r="H5444">
        <v>1</v>
      </c>
      <c r="I5444">
        <v>1193</v>
      </c>
      <c r="J5444">
        <v>1</v>
      </c>
      <c r="K5444">
        <v>1</v>
      </c>
      <c r="L5444">
        <v>1188</v>
      </c>
      <c r="M5444">
        <v>1</v>
      </c>
      <c r="N5444">
        <v>0</v>
      </c>
      <c r="O5444">
        <v>5134</v>
      </c>
    </row>
    <row r="5445" spans="1:15" x14ac:dyDescent="0.25">
      <c r="A5445" t="s">
        <v>5458</v>
      </c>
      <c r="B5445">
        <v>113</v>
      </c>
      <c r="C5445" s="1" t="str">
        <f>HYPERLINK("http://www.rosaceae.org/gb/gbrowse/malus_x_domestica/?name=MDP0000717264","MDP0000717264")</f>
        <v>MDP0000717264</v>
      </c>
      <c r="D5445">
        <v>44.26</v>
      </c>
      <c r="E5445">
        <v>61</v>
      </c>
      <c r="F5445">
        <v>34</v>
      </c>
      <c r="G5445">
        <v>5</v>
      </c>
      <c r="H5445">
        <v>50</v>
      </c>
      <c r="I5445">
        <v>110</v>
      </c>
      <c r="J5445">
        <v>1</v>
      </c>
      <c r="K5445">
        <v>138</v>
      </c>
      <c r="L5445">
        <v>193</v>
      </c>
      <c r="M5445">
        <v>1</v>
      </c>
      <c r="N5445">
        <v>1.1415599999999999E-8</v>
      </c>
      <c r="O5445">
        <v>132</v>
      </c>
    </row>
    <row r="5446" spans="1:15" x14ac:dyDescent="0.25">
      <c r="A5446" t="s">
        <v>5459</v>
      </c>
      <c r="B5446">
        <v>765</v>
      </c>
      <c r="C5446" s="1" t="str">
        <f>HYPERLINK("http://www.rosaceae.org/gb/gbrowse/malus_x_domestica/?name=MDP0000878684","MDP0000878684")</f>
        <v>MDP0000878684</v>
      </c>
      <c r="D5446">
        <v>30.14</v>
      </c>
      <c r="E5446">
        <v>418</v>
      </c>
      <c r="F5446">
        <v>292</v>
      </c>
      <c r="G5446">
        <v>110</v>
      </c>
      <c r="H5446">
        <v>367</v>
      </c>
      <c r="I5446">
        <v>744</v>
      </c>
      <c r="J5446">
        <v>1</v>
      </c>
      <c r="K5446">
        <v>5</v>
      </c>
      <c r="L5446">
        <v>352</v>
      </c>
      <c r="M5446">
        <v>1</v>
      </c>
      <c r="N5446">
        <v>3.9467699999999999E-35</v>
      </c>
      <c r="O5446">
        <v>371</v>
      </c>
    </row>
    <row r="5447" spans="1:15" x14ac:dyDescent="0.25">
      <c r="A5447" t="s">
        <v>5460</v>
      </c>
      <c r="B5447">
        <v>177</v>
      </c>
      <c r="C5447" s="1" t="str">
        <f>HYPERLINK("http://www.rosaceae.org/gb/gbrowse/malus_x_domestica/?name=MDP0000316899","MDP0000316899")</f>
        <v>MDP0000316899</v>
      </c>
      <c r="D5447">
        <v>50.34</v>
      </c>
      <c r="E5447">
        <v>145</v>
      </c>
      <c r="F5447">
        <v>72</v>
      </c>
      <c r="G5447">
        <v>12</v>
      </c>
      <c r="H5447">
        <v>10</v>
      </c>
      <c r="I5447">
        <v>150</v>
      </c>
      <c r="J5447">
        <v>1</v>
      </c>
      <c r="K5447">
        <v>441</v>
      </c>
      <c r="L5447">
        <v>577</v>
      </c>
      <c r="M5447">
        <v>1</v>
      </c>
      <c r="N5447">
        <v>1.74918E-34</v>
      </c>
      <c r="O5447">
        <v>358</v>
      </c>
    </row>
    <row r="5448" spans="1:15" x14ac:dyDescent="0.25">
      <c r="A5448" t="s">
        <v>5461</v>
      </c>
      <c r="B5448">
        <v>319</v>
      </c>
      <c r="C5448" s="1" t="str">
        <f>HYPERLINK("http://www.rosaceae.org/gb/gbrowse/malus_x_domestica/?name=MDP0000271854","MDP0000271854")</f>
        <v>MDP0000271854</v>
      </c>
      <c r="D5448">
        <v>76.66</v>
      </c>
      <c r="E5448">
        <v>120</v>
      </c>
      <c r="F5448">
        <v>28</v>
      </c>
      <c r="G5448">
        <v>3</v>
      </c>
      <c r="H5448">
        <v>159</v>
      </c>
      <c r="I5448">
        <v>275</v>
      </c>
      <c r="J5448">
        <v>1</v>
      </c>
      <c r="K5448">
        <v>216</v>
      </c>
      <c r="L5448">
        <v>335</v>
      </c>
      <c r="M5448">
        <v>1</v>
      </c>
      <c r="N5448">
        <v>1.06964E-44</v>
      </c>
      <c r="O5448">
        <v>450</v>
      </c>
    </row>
    <row r="5449" spans="1:15" x14ac:dyDescent="0.25">
      <c r="A5449" t="s">
        <v>5462</v>
      </c>
      <c r="B5449">
        <v>648</v>
      </c>
      <c r="C5449" s="1" t="str">
        <f>HYPERLINK("http://www.rosaceae.org/gb/gbrowse/malus_x_domestica/?name=MDP0000308680","MDP0000308680")</f>
        <v>MDP0000308680</v>
      </c>
      <c r="D5449">
        <v>31.73</v>
      </c>
      <c r="E5449">
        <v>167</v>
      </c>
      <c r="F5449">
        <v>114</v>
      </c>
      <c r="G5449">
        <v>1</v>
      </c>
      <c r="H5449">
        <v>471</v>
      </c>
      <c r="I5449">
        <v>636</v>
      </c>
      <c r="J5449">
        <v>1</v>
      </c>
      <c r="K5449">
        <v>131</v>
      </c>
      <c r="L5449">
        <v>297</v>
      </c>
      <c r="M5449">
        <v>1</v>
      </c>
      <c r="N5449">
        <v>5.9244699999999994E-17</v>
      </c>
      <c r="O5449">
        <v>214</v>
      </c>
    </row>
    <row r="5450" spans="1:15" x14ac:dyDescent="0.25">
      <c r="A5450" t="s">
        <v>5463</v>
      </c>
      <c r="B5450">
        <v>220</v>
      </c>
      <c r="C5450" s="1" t="str">
        <f>HYPERLINK("http://www.rosaceae.org/gb/gbrowse/malus_x_domestica/?name=MDP0000283684","MDP0000283684")</f>
        <v>MDP0000283684</v>
      </c>
      <c r="D5450">
        <v>76.55</v>
      </c>
      <c r="E5450">
        <v>209</v>
      </c>
      <c r="F5450">
        <v>49</v>
      </c>
      <c r="G5450">
        <v>1</v>
      </c>
      <c r="H5450">
        <v>12</v>
      </c>
      <c r="I5450">
        <v>219</v>
      </c>
      <c r="J5450">
        <v>1</v>
      </c>
      <c r="K5450">
        <v>310</v>
      </c>
      <c r="L5450">
        <v>518</v>
      </c>
      <c r="M5450">
        <v>1</v>
      </c>
      <c r="N5450">
        <v>1.5263300000000001E-93</v>
      </c>
      <c r="O5450">
        <v>869</v>
      </c>
    </row>
    <row r="5451" spans="1:15" x14ac:dyDescent="0.25">
      <c r="A5451" t="s">
        <v>5464</v>
      </c>
      <c r="B5451">
        <v>531</v>
      </c>
      <c r="C5451" s="1" t="str">
        <f>HYPERLINK("http://www.rosaceae.org/gb/gbrowse/malus_x_domestica/?name=MDP0000587459","MDP0000587459")</f>
        <v>MDP0000587459</v>
      </c>
      <c r="D5451">
        <v>83.45</v>
      </c>
      <c r="E5451">
        <v>532</v>
      </c>
      <c r="F5451">
        <v>88</v>
      </c>
      <c r="G5451">
        <v>32</v>
      </c>
      <c r="H5451">
        <v>1</v>
      </c>
      <c r="I5451">
        <v>531</v>
      </c>
      <c r="J5451">
        <v>1</v>
      </c>
      <c r="K5451">
        <v>1</v>
      </c>
      <c r="L5451">
        <v>501</v>
      </c>
      <c r="M5451">
        <v>1</v>
      </c>
      <c r="N5451">
        <v>0</v>
      </c>
      <c r="O5451">
        <v>2332</v>
      </c>
    </row>
    <row r="5452" spans="1:15" x14ac:dyDescent="0.25">
      <c r="A5452" t="s">
        <v>5465</v>
      </c>
      <c r="B5452">
        <v>386</v>
      </c>
      <c r="C5452" s="1" t="str">
        <f>HYPERLINK("http://www.rosaceae.org/gb/gbrowse/malus_x_domestica/?name=MDP0000191016","MDP0000191016")</f>
        <v>MDP0000191016</v>
      </c>
      <c r="D5452">
        <v>81.92</v>
      </c>
      <c r="E5452">
        <v>343</v>
      </c>
      <c r="F5452">
        <v>62</v>
      </c>
      <c r="G5452">
        <v>2</v>
      </c>
      <c r="H5452">
        <v>5</v>
      </c>
      <c r="I5452">
        <v>346</v>
      </c>
      <c r="J5452">
        <v>1</v>
      </c>
      <c r="K5452">
        <v>41</v>
      </c>
      <c r="L5452">
        <v>382</v>
      </c>
      <c r="M5452">
        <v>1</v>
      </c>
      <c r="N5452">
        <v>5.0225799999999998E-167</v>
      </c>
      <c r="O5452">
        <v>1506</v>
      </c>
    </row>
    <row r="5453" spans="1:15" x14ac:dyDescent="0.25">
      <c r="A5453" t="s">
        <v>5466</v>
      </c>
      <c r="B5453">
        <v>832</v>
      </c>
      <c r="C5453" s="1" t="str">
        <f>HYPERLINK("http://www.rosaceae.org/gb/gbrowse/malus_x_domestica/?name=MDP0000161797","MDP0000161797")</f>
        <v>MDP0000161797</v>
      </c>
      <c r="D5453">
        <v>55.68</v>
      </c>
      <c r="E5453">
        <v>765</v>
      </c>
      <c r="F5453">
        <v>339</v>
      </c>
      <c r="G5453">
        <v>125</v>
      </c>
      <c r="H5453">
        <v>41</v>
      </c>
      <c r="I5453">
        <v>737</v>
      </c>
      <c r="J5453">
        <v>1</v>
      </c>
      <c r="K5453">
        <v>282</v>
      </c>
      <c r="L5453">
        <v>989</v>
      </c>
      <c r="M5453">
        <v>1</v>
      </c>
      <c r="N5453">
        <v>0</v>
      </c>
      <c r="O5453">
        <v>1888</v>
      </c>
    </row>
    <row r="5454" spans="1:15" x14ac:dyDescent="0.25">
      <c r="A5454" t="s">
        <v>5467</v>
      </c>
      <c r="B5454">
        <v>878</v>
      </c>
      <c r="C5454" s="1" t="str">
        <f>HYPERLINK("http://www.rosaceae.org/gb/gbrowse/malus_x_domestica/?name=MDP0000803333","MDP0000803333")</f>
        <v>MDP0000803333</v>
      </c>
      <c r="D5454">
        <v>29.91</v>
      </c>
      <c r="E5454">
        <v>448</v>
      </c>
      <c r="F5454">
        <v>314</v>
      </c>
      <c r="G5454">
        <v>100</v>
      </c>
      <c r="H5454">
        <v>490</v>
      </c>
      <c r="I5454">
        <v>878</v>
      </c>
      <c r="J5454">
        <v>1</v>
      </c>
      <c r="K5454">
        <v>614</v>
      </c>
      <c r="L5454">
        <v>1020</v>
      </c>
      <c r="M5454">
        <v>1</v>
      </c>
      <c r="N5454">
        <v>8.5731500000000004E-21</v>
      </c>
      <c r="O5454">
        <v>248</v>
      </c>
    </row>
    <row r="5455" spans="1:15" x14ac:dyDescent="0.25">
      <c r="A5455" t="s">
        <v>5468</v>
      </c>
      <c r="B5455">
        <v>533</v>
      </c>
      <c r="C5455" s="1" t="str">
        <f>HYPERLINK("http://www.rosaceae.org/gb/gbrowse/malus_x_domestica/?name=MDP0000150999","MDP0000150999")</f>
        <v>MDP0000150999</v>
      </c>
      <c r="D5455">
        <v>31.04</v>
      </c>
      <c r="E5455">
        <v>364</v>
      </c>
      <c r="F5455">
        <v>251</v>
      </c>
      <c r="G5455">
        <v>29</v>
      </c>
      <c r="H5455">
        <v>115</v>
      </c>
      <c r="I5455">
        <v>459</v>
      </c>
      <c r="J5455">
        <v>1</v>
      </c>
      <c r="K5455">
        <v>83</v>
      </c>
      <c r="L5455">
        <v>436</v>
      </c>
      <c r="M5455">
        <v>1</v>
      </c>
      <c r="N5455">
        <v>5.1511300000000001E-29</v>
      </c>
      <c r="O5455">
        <v>317</v>
      </c>
    </row>
    <row r="5456" spans="1:15" x14ac:dyDescent="0.25">
      <c r="A5456" t="s">
        <v>5469</v>
      </c>
      <c r="B5456">
        <v>272</v>
      </c>
      <c r="C5456" s="1" t="str">
        <f>HYPERLINK("http://www.rosaceae.org/gb/gbrowse/malus_x_domestica/?name=MDP0000386314","MDP0000386314")</f>
        <v>MDP0000386314</v>
      </c>
      <c r="D5456">
        <v>48.29</v>
      </c>
      <c r="E5456">
        <v>234</v>
      </c>
      <c r="F5456">
        <v>121</v>
      </c>
      <c r="G5456">
        <v>39</v>
      </c>
      <c r="H5456">
        <v>72</v>
      </c>
      <c r="I5456">
        <v>268</v>
      </c>
      <c r="J5456">
        <v>1</v>
      </c>
      <c r="K5456">
        <v>50</v>
      </c>
      <c r="L5456">
        <v>281</v>
      </c>
      <c r="M5456">
        <v>1</v>
      </c>
      <c r="N5456">
        <v>2.53677E-51</v>
      </c>
      <c r="O5456">
        <v>506</v>
      </c>
    </row>
    <row r="5457" spans="1:15" x14ac:dyDescent="0.25">
      <c r="A5457" t="s">
        <v>5470</v>
      </c>
      <c r="B5457">
        <v>486</v>
      </c>
      <c r="C5457" s="1" t="str">
        <f>HYPERLINK("http://www.rosaceae.org/gb/gbrowse/malus_x_domestica/?name=MDP0000218601","MDP0000218601")</f>
        <v>MDP0000218601</v>
      </c>
      <c r="D5457">
        <v>62.26</v>
      </c>
      <c r="E5457">
        <v>522</v>
      </c>
      <c r="F5457">
        <v>197</v>
      </c>
      <c r="G5457">
        <v>63</v>
      </c>
      <c r="H5457">
        <v>11</v>
      </c>
      <c r="I5457">
        <v>478</v>
      </c>
      <c r="J5457">
        <v>1</v>
      </c>
      <c r="K5457">
        <v>9</v>
      </c>
      <c r="L5457">
        <v>521</v>
      </c>
      <c r="M5457">
        <v>1</v>
      </c>
      <c r="N5457">
        <v>3.0697499999999998E-166</v>
      </c>
      <c r="O5457">
        <v>1500</v>
      </c>
    </row>
    <row r="5458" spans="1:15" x14ac:dyDescent="0.25">
      <c r="A5458" t="s">
        <v>5471</v>
      </c>
      <c r="B5458">
        <v>99</v>
      </c>
      <c r="C5458" s="1" t="str">
        <f>HYPERLINK("http://www.rosaceae.org/gb/gbrowse/malus_x_domestica/?name=MDP0000615109","MDP0000615109")</f>
        <v>MDP0000615109</v>
      </c>
      <c r="D5458">
        <v>81.81</v>
      </c>
      <c r="E5458">
        <v>44</v>
      </c>
      <c r="F5458">
        <v>8</v>
      </c>
      <c r="G5458">
        <v>0</v>
      </c>
      <c r="H5458">
        <v>37</v>
      </c>
      <c r="I5458">
        <v>80</v>
      </c>
      <c r="J5458">
        <v>1</v>
      </c>
      <c r="K5458">
        <v>94</v>
      </c>
      <c r="L5458">
        <v>137</v>
      </c>
      <c r="M5458">
        <v>1</v>
      </c>
      <c r="N5458">
        <v>1.3030499999999999E-15</v>
      </c>
      <c r="O5458">
        <v>192</v>
      </c>
    </row>
    <row r="5459" spans="1:15" x14ac:dyDescent="0.25">
      <c r="A5459" t="s">
        <v>5472</v>
      </c>
      <c r="B5459">
        <v>55</v>
      </c>
      <c r="C5459" s="1" t="str">
        <f>HYPERLINK("http://www.rosaceae.org/gb/gbrowse/malus_x_domestica/?name=MDP0000267951","MDP0000267951")</f>
        <v>MDP0000267951</v>
      </c>
      <c r="D5459">
        <v>76.59</v>
      </c>
      <c r="E5459">
        <v>47</v>
      </c>
      <c r="F5459">
        <v>11</v>
      </c>
      <c r="G5459">
        <v>0</v>
      </c>
      <c r="H5459">
        <v>8</v>
      </c>
      <c r="I5459">
        <v>54</v>
      </c>
      <c r="J5459">
        <v>1</v>
      </c>
      <c r="K5459">
        <v>653</v>
      </c>
      <c r="L5459">
        <v>699</v>
      </c>
      <c r="M5459">
        <v>1</v>
      </c>
      <c r="N5459">
        <v>2.5528100000000001E-14</v>
      </c>
      <c r="O5459">
        <v>181</v>
      </c>
    </row>
    <row r="5460" spans="1:15" x14ac:dyDescent="0.25">
      <c r="A5460" t="s">
        <v>5473</v>
      </c>
      <c r="B5460">
        <v>167</v>
      </c>
      <c r="C5460" s="1" t="str">
        <f>HYPERLINK("http://www.rosaceae.org/gb/gbrowse/malus_x_domestica/?name=MDP0000130897","MDP0000130897")</f>
        <v>MDP0000130897</v>
      </c>
      <c r="D5460">
        <v>50</v>
      </c>
      <c r="E5460">
        <v>56</v>
      </c>
      <c r="F5460">
        <v>28</v>
      </c>
      <c r="G5460">
        <v>0</v>
      </c>
      <c r="H5460">
        <v>2</v>
      </c>
      <c r="I5460">
        <v>57</v>
      </c>
      <c r="J5460">
        <v>1</v>
      </c>
      <c r="K5460">
        <v>107</v>
      </c>
      <c r="L5460">
        <v>162</v>
      </c>
      <c r="M5460">
        <v>1</v>
      </c>
      <c r="N5460">
        <v>1.0781099999999999E-9</v>
      </c>
      <c r="O5460">
        <v>144</v>
      </c>
    </row>
    <row r="5461" spans="1:15" x14ac:dyDescent="0.25">
      <c r="A5461" t="s">
        <v>5474</v>
      </c>
      <c r="B5461">
        <v>477</v>
      </c>
      <c r="C5461" s="1" t="str">
        <f>HYPERLINK("http://www.rosaceae.org/gb/gbrowse/malus_x_domestica/?name=MDP0000411286","MDP0000411286")</f>
        <v>MDP0000411286</v>
      </c>
      <c r="D5461">
        <v>62.6</v>
      </c>
      <c r="E5461">
        <v>123</v>
      </c>
      <c r="F5461">
        <v>46</v>
      </c>
      <c r="G5461">
        <v>0</v>
      </c>
      <c r="H5461">
        <v>220</v>
      </c>
      <c r="I5461">
        <v>342</v>
      </c>
      <c r="J5461">
        <v>1</v>
      </c>
      <c r="K5461">
        <v>565</v>
      </c>
      <c r="L5461">
        <v>687</v>
      </c>
      <c r="M5461">
        <v>1</v>
      </c>
      <c r="N5461">
        <v>9.58785E-40</v>
      </c>
      <c r="O5461">
        <v>409</v>
      </c>
    </row>
    <row r="5462" spans="1:15" x14ac:dyDescent="0.25">
      <c r="A5462" t="s">
        <v>5475</v>
      </c>
      <c r="B5462">
        <v>599</v>
      </c>
      <c r="C5462" s="1" t="str">
        <f>HYPERLINK("http://www.rosaceae.org/gb/gbrowse/malus_x_domestica/?name=MDP0000130897","MDP0000130897")</f>
        <v>MDP0000130897</v>
      </c>
      <c r="D5462">
        <v>39.25</v>
      </c>
      <c r="E5462">
        <v>135</v>
      </c>
      <c r="F5462">
        <v>82</v>
      </c>
      <c r="G5462">
        <v>25</v>
      </c>
      <c r="H5462">
        <v>14</v>
      </c>
      <c r="I5462">
        <v>123</v>
      </c>
      <c r="J5462">
        <v>1</v>
      </c>
      <c r="K5462">
        <v>11</v>
      </c>
      <c r="L5462">
        <v>145</v>
      </c>
      <c r="M5462">
        <v>1</v>
      </c>
      <c r="N5462">
        <v>7.7473599999999998E-20</v>
      </c>
      <c r="O5462">
        <v>238</v>
      </c>
    </row>
    <row r="5463" spans="1:15" x14ac:dyDescent="0.25">
      <c r="A5463" t="s">
        <v>5476</v>
      </c>
      <c r="B5463">
        <v>416</v>
      </c>
      <c r="C5463" s="1" t="str">
        <f>HYPERLINK("http://www.rosaceae.org/gb/gbrowse/malus_x_domestica/?name=MDP0000864594","MDP0000864594")</f>
        <v>MDP0000864594</v>
      </c>
      <c r="D5463">
        <v>56.26</v>
      </c>
      <c r="E5463">
        <v>439</v>
      </c>
      <c r="F5463">
        <v>192</v>
      </c>
      <c r="G5463">
        <v>42</v>
      </c>
      <c r="H5463">
        <v>1</v>
      </c>
      <c r="I5463">
        <v>414</v>
      </c>
      <c r="J5463">
        <v>1</v>
      </c>
      <c r="K5463">
        <v>1</v>
      </c>
      <c r="L5463">
        <v>422</v>
      </c>
      <c r="M5463">
        <v>1</v>
      </c>
      <c r="N5463">
        <v>1.18268E-128</v>
      </c>
      <c r="O5463">
        <v>1175</v>
      </c>
    </row>
    <row r="5464" spans="1:15" x14ac:dyDescent="0.25">
      <c r="A5464" t="s">
        <v>5477</v>
      </c>
      <c r="B5464">
        <v>492</v>
      </c>
      <c r="C5464" s="1" t="str">
        <f>HYPERLINK("http://www.rosaceae.org/gb/gbrowse/malus_x_domestica/?name=MDP0000295839","MDP0000295839")</f>
        <v>MDP0000295839</v>
      </c>
      <c r="D5464">
        <v>64.17</v>
      </c>
      <c r="E5464">
        <v>402</v>
      </c>
      <c r="F5464">
        <v>144</v>
      </c>
      <c r="G5464">
        <v>48</v>
      </c>
      <c r="H5464">
        <v>1</v>
      </c>
      <c r="I5464">
        <v>400</v>
      </c>
      <c r="J5464">
        <v>1</v>
      </c>
      <c r="K5464">
        <v>1</v>
      </c>
      <c r="L5464">
        <v>356</v>
      </c>
      <c r="M5464">
        <v>1</v>
      </c>
      <c r="N5464">
        <v>1.8896499999999999E-145</v>
      </c>
      <c r="O5464">
        <v>1321</v>
      </c>
    </row>
    <row r="5465" spans="1:15" x14ac:dyDescent="0.25">
      <c r="A5465" t="s">
        <v>5478</v>
      </c>
      <c r="B5465">
        <v>315</v>
      </c>
      <c r="C5465" s="1" t="str">
        <f>HYPERLINK("http://www.rosaceae.org/gb/gbrowse/malus_x_domestica/?name=MDP0000207324","MDP0000207324")</f>
        <v>MDP0000207324</v>
      </c>
      <c r="D5465">
        <v>63.97</v>
      </c>
      <c r="E5465">
        <v>322</v>
      </c>
      <c r="F5465">
        <v>116</v>
      </c>
      <c r="G5465">
        <v>9</v>
      </c>
      <c r="H5465">
        <v>1</v>
      </c>
      <c r="I5465">
        <v>313</v>
      </c>
      <c r="J5465">
        <v>1</v>
      </c>
      <c r="K5465">
        <v>1</v>
      </c>
      <c r="L5465">
        <v>322</v>
      </c>
      <c r="M5465">
        <v>1</v>
      </c>
      <c r="N5465">
        <v>6.4123499999999999E-105</v>
      </c>
      <c r="O5465">
        <v>969</v>
      </c>
    </row>
    <row r="5466" spans="1:15" x14ac:dyDescent="0.25">
      <c r="A5466" t="s">
        <v>5479</v>
      </c>
      <c r="B5466">
        <v>210</v>
      </c>
      <c r="C5466" s="1" t="str">
        <f>HYPERLINK("http://www.rosaceae.org/gb/gbrowse/malus_x_domestica/?name=MDP0000320817","MDP0000320817")</f>
        <v>MDP0000320817</v>
      </c>
      <c r="D5466">
        <v>68.42</v>
      </c>
      <c r="E5466">
        <v>152</v>
      </c>
      <c r="F5466">
        <v>48</v>
      </c>
      <c r="G5466">
        <v>2</v>
      </c>
      <c r="H5466">
        <v>5</v>
      </c>
      <c r="I5466">
        <v>156</v>
      </c>
      <c r="J5466">
        <v>1</v>
      </c>
      <c r="K5466">
        <v>80</v>
      </c>
      <c r="L5466">
        <v>229</v>
      </c>
      <c r="M5466">
        <v>1</v>
      </c>
      <c r="N5466">
        <v>2.3174799999999999E-53</v>
      </c>
      <c r="O5466">
        <v>522</v>
      </c>
    </row>
    <row r="5467" spans="1:15" x14ac:dyDescent="0.25">
      <c r="A5467" t="s">
        <v>5480</v>
      </c>
      <c r="B5467">
        <v>255</v>
      </c>
      <c r="C5467" s="1" t="str">
        <f>HYPERLINK("http://www.rosaceae.org/gb/gbrowse/malus_x_domestica/?name=MDP0000239808","MDP0000239808")</f>
        <v>MDP0000239808</v>
      </c>
      <c r="D5467">
        <v>36.97</v>
      </c>
      <c r="E5467">
        <v>238</v>
      </c>
      <c r="F5467">
        <v>150</v>
      </c>
      <c r="G5467">
        <v>35</v>
      </c>
      <c r="H5467">
        <v>1</v>
      </c>
      <c r="I5467">
        <v>232</v>
      </c>
      <c r="J5467">
        <v>1</v>
      </c>
      <c r="K5467">
        <v>3</v>
      </c>
      <c r="L5467">
        <v>211</v>
      </c>
      <c r="M5467">
        <v>1</v>
      </c>
      <c r="N5467">
        <v>4.6880599999999998E-22</v>
      </c>
      <c r="O5467">
        <v>253</v>
      </c>
    </row>
    <row r="5468" spans="1:15" x14ac:dyDescent="0.25">
      <c r="A5468" t="s">
        <v>5481</v>
      </c>
      <c r="B5468">
        <v>559</v>
      </c>
      <c r="C5468" s="1" t="str">
        <f>HYPERLINK("http://www.rosaceae.org/gb/gbrowse/malus_x_domestica/?name=MDP0000143706","MDP0000143706")</f>
        <v>MDP0000143706</v>
      </c>
      <c r="D5468">
        <v>77.03</v>
      </c>
      <c r="E5468">
        <v>344</v>
      </c>
      <c r="F5468">
        <v>79</v>
      </c>
      <c r="G5468">
        <v>0</v>
      </c>
      <c r="H5468">
        <v>205</v>
      </c>
      <c r="I5468">
        <v>548</v>
      </c>
      <c r="J5468">
        <v>1</v>
      </c>
      <c r="K5468">
        <v>112</v>
      </c>
      <c r="L5468">
        <v>455</v>
      </c>
      <c r="M5468">
        <v>1</v>
      </c>
      <c r="N5468">
        <v>8.7980499999999998E-151</v>
      </c>
      <c r="O5468">
        <v>1367</v>
      </c>
    </row>
    <row r="5469" spans="1:15" x14ac:dyDescent="0.25">
      <c r="A5469" t="s">
        <v>5482</v>
      </c>
      <c r="B5469">
        <v>142</v>
      </c>
      <c r="C5469" s="1" t="str">
        <f>HYPERLINK("http://www.rosaceae.org/gb/gbrowse/malus_x_domestica/?name=MDP0000246831","MDP0000246831")</f>
        <v>MDP0000246831</v>
      </c>
      <c r="D5469">
        <v>54.54</v>
      </c>
      <c r="E5469">
        <v>77</v>
      </c>
      <c r="F5469">
        <v>35</v>
      </c>
      <c r="G5469">
        <v>0</v>
      </c>
      <c r="H5469">
        <v>62</v>
      </c>
      <c r="I5469">
        <v>138</v>
      </c>
      <c r="J5469">
        <v>1</v>
      </c>
      <c r="K5469">
        <v>88</v>
      </c>
      <c r="L5469">
        <v>164</v>
      </c>
      <c r="M5469">
        <v>1</v>
      </c>
      <c r="N5469">
        <v>5.4633100000000002E-19</v>
      </c>
      <c r="O5469">
        <v>223</v>
      </c>
    </row>
    <row r="5470" spans="1:15" x14ac:dyDescent="0.25">
      <c r="A5470" t="s">
        <v>5483</v>
      </c>
      <c r="B5470">
        <v>470</v>
      </c>
      <c r="C5470" s="1" t="str">
        <f>HYPERLINK("http://www.rosaceae.org/gb/gbrowse/malus_x_domestica/?name=MDP0000230879","MDP0000230879")</f>
        <v>MDP0000230879</v>
      </c>
      <c r="D5470">
        <v>74.709999999999994</v>
      </c>
      <c r="E5470">
        <v>348</v>
      </c>
      <c r="F5470">
        <v>88</v>
      </c>
      <c r="G5470">
        <v>0</v>
      </c>
      <c r="H5470">
        <v>118</v>
      </c>
      <c r="I5470">
        <v>465</v>
      </c>
      <c r="J5470">
        <v>1</v>
      </c>
      <c r="K5470">
        <v>170</v>
      </c>
      <c r="L5470">
        <v>517</v>
      </c>
      <c r="M5470">
        <v>1</v>
      </c>
      <c r="N5470">
        <v>1.4600299999999999E-163</v>
      </c>
      <c r="O5470">
        <v>1477</v>
      </c>
    </row>
    <row r="5471" spans="1:15" x14ac:dyDescent="0.25">
      <c r="A5471" t="s">
        <v>5484</v>
      </c>
      <c r="B5471">
        <v>118</v>
      </c>
      <c r="C5471" s="1" t="str">
        <f>HYPERLINK("http://www.rosaceae.org/gb/gbrowse/malus_x_domestica/?name=MDP0000286764","MDP0000286764")</f>
        <v>MDP0000286764</v>
      </c>
      <c r="D5471">
        <v>66.66</v>
      </c>
      <c r="E5471">
        <v>108</v>
      </c>
      <c r="F5471">
        <v>36</v>
      </c>
      <c r="G5471">
        <v>11</v>
      </c>
      <c r="H5471">
        <v>18</v>
      </c>
      <c r="I5471">
        <v>116</v>
      </c>
      <c r="J5471">
        <v>1</v>
      </c>
      <c r="K5471">
        <v>276</v>
      </c>
      <c r="L5471">
        <v>381</v>
      </c>
      <c r="M5471">
        <v>1</v>
      </c>
      <c r="N5471">
        <v>7.6541499999999996E-33</v>
      </c>
      <c r="O5471">
        <v>341</v>
      </c>
    </row>
    <row r="5472" spans="1:15" x14ac:dyDescent="0.25">
      <c r="A5472" t="s">
        <v>5485</v>
      </c>
      <c r="B5472">
        <v>549</v>
      </c>
      <c r="C5472" s="1" t="str">
        <f>HYPERLINK("http://www.rosaceae.org/gb/gbrowse/malus_x_domestica/?name=MDP0000231210","MDP0000231210")</f>
        <v>MDP0000231210</v>
      </c>
      <c r="D5472">
        <v>66.989999999999995</v>
      </c>
      <c r="E5472">
        <v>603</v>
      </c>
      <c r="F5472">
        <v>199</v>
      </c>
      <c r="G5472">
        <v>70</v>
      </c>
      <c r="H5472">
        <v>1</v>
      </c>
      <c r="I5472">
        <v>549</v>
      </c>
      <c r="J5472">
        <v>1</v>
      </c>
      <c r="K5472">
        <v>1</v>
      </c>
      <c r="L5472">
        <v>587</v>
      </c>
      <c r="M5472">
        <v>1</v>
      </c>
      <c r="N5472">
        <v>0</v>
      </c>
      <c r="O5472">
        <v>2014</v>
      </c>
    </row>
    <row r="5473" spans="1:15" x14ac:dyDescent="0.25">
      <c r="A5473" t="s">
        <v>5486</v>
      </c>
      <c r="B5473">
        <v>338</v>
      </c>
      <c r="C5473" s="1" t="str">
        <f>HYPERLINK("http://www.rosaceae.org/gb/gbrowse/malus_x_domestica/?name=MDP0000151581","MDP0000151581")</f>
        <v>MDP0000151581</v>
      </c>
      <c r="D5473">
        <v>78.94</v>
      </c>
      <c r="E5473">
        <v>95</v>
      </c>
      <c r="F5473">
        <v>20</v>
      </c>
      <c r="G5473">
        <v>2</v>
      </c>
      <c r="H5473">
        <v>13</v>
      </c>
      <c r="I5473">
        <v>107</v>
      </c>
      <c r="J5473">
        <v>1</v>
      </c>
      <c r="K5473">
        <v>1</v>
      </c>
      <c r="L5473">
        <v>93</v>
      </c>
      <c r="M5473">
        <v>1</v>
      </c>
      <c r="N5473">
        <v>3.2544000000000001E-38</v>
      </c>
      <c r="O5473">
        <v>394</v>
      </c>
    </row>
    <row r="5474" spans="1:15" x14ac:dyDescent="0.25">
      <c r="A5474" t="s">
        <v>5487</v>
      </c>
      <c r="B5474">
        <v>176</v>
      </c>
      <c r="C5474" s="1" t="str">
        <f>HYPERLINK("http://www.rosaceae.org/gb/gbrowse/malus_x_domestica/?name=MDP0000251947","MDP0000251947")</f>
        <v>MDP0000251947</v>
      </c>
      <c r="D5474">
        <v>82.03</v>
      </c>
      <c r="E5474">
        <v>167</v>
      </c>
      <c r="F5474">
        <v>30</v>
      </c>
      <c r="G5474">
        <v>0</v>
      </c>
      <c r="H5474">
        <v>1</v>
      </c>
      <c r="I5474">
        <v>167</v>
      </c>
      <c r="J5474">
        <v>1</v>
      </c>
      <c r="K5474">
        <v>1</v>
      </c>
      <c r="L5474">
        <v>167</v>
      </c>
      <c r="M5474">
        <v>1</v>
      </c>
      <c r="N5474">
        <v>1.01841E-72</v>
      </c>
      <c r="O5474">
        <v>688</v>
      </c>
    </row>
    <row r="5475" spans="1:15" x14ac:dyDescent="0.25">
      <c r="A5475" t="s">
        <v>5488</v>
      </c>
      <c r="B5475">
        <v>99</v>
      </c>
      <c r="C5475" s="1" t="str">
        <f>HYPERLINK("http://www.rosaceae.org/gb/gbrowse/malus_x_domestica/?name=MDP0000218959","MDP0000218959")</f>
        <v>MDP0000218959</v>
      </c>
      <c r="D5475">
        <v>38.46</v>
      </c>
      <c r="E5475">
        <v>78</v>
      </c>
      <c r="F5475">
        <v>48</v>
      </c>
      <c r="G5475">
        <v>4</v>
      </c>
      <c r="H5475">
        <v>26</v>
      </c>
      <c r="I5475">
        <v>99</v>
      </c>
      <c r="J5475">
        <v>1</v>
      </c>
      <c r="K5475">
        <v>52</v>
      </c>
      <c r="L5475">
        <v>129</v>
      </c>
      <c r="M5475">
        <v>1</v>
      </c>
      <c r="N5475">
        <v>1.4785000000000001E-11</v>
      </c>
      <c r="O5475">
        <v>157</v>
      </c>
    </row>
    <row r="5476" spans="1:15" x14ac:dyDescent="0.25">
      <c r="A5476" t="s">
        <v>5489</v>
      </c>
      <c r="B5476">
        <v>325</v>
      </c>
      <c r="C5476" s="1" t="str">
        <f>HYPERLINK("http://www.rosaceae.org/gb/gbrowse/malus_x_domestica/?name=MDP0000594621","MDP0000594621")</f>
        <v>MDP0000594621</v>
      </c>
      <c r="D5476">
        <v>69.930000000000007</v>
      </c>
      <c r="E5476">
        <v>326</v>
      </c>
      <c r="F5476">
        <v>98</v>
      </c>
      <c r="G5476">
        <v>4</v>
      </c>
      <c r="H5476">
        <v>4</v>
      </c>
      <c r="I5476">
        <v>325</v>
      </c>
      <c r="J5476">
        <v>1</v>
      </c>
      <c r="K5476">
        <v>2</v>
      </c>
      <c r="L5476">
        <v>327</v>
      </c>
      <c r="M5476">
        <v>1</v>
      </c>
      <c r="N5476">
        <v>3.8428000000000001E-131</v>
      </c>
      <c r="O5476">
        <v>1195</v>
      </c>
    </row>
    <row r="5477" spans="1:15" x14ac:dyDescent="0.25">
      <c r="A5477" t="s">
        <v>5490</v>
      </c>
      <c r="B5477">
        <v>613</v>
      </c>
      <c r="C5477" s="1" t="str">
        <f>HYPERLINK("http://www.rosaceae.org/gb/gbrowse/malus_x_domestica/?name=MDP0000321541","MDP0000321541")</f>
        <v>MDP0000321541</v>
      </c>
      <c r="D5477">
        <v>86.3</v>
      </c>
      <c r="E5477">
        <v>577</v>
      </c>
      <c r="F5477">
        <v>79</v>
      </c>
      <c r="G5477">
        <v>1</v>
      </c>
      <c r="H5477">
        <v>38</v>
      </c>
      <c r="I5477">
        <v>613</v>
      </c>
      <c r="J5477">
        <v>1</v>
      </c>
      <c r="K5477">
        <v>6</v>
      </c>
      <c r="L5477">
        <v>582</v>
      </c>
      <c r="M5477">
        <v>1</v>
      </c>
      <c r="N5477">
        <v>0</v>
      </c>
      <c r="O5477">
        <v>2673</v>
      </c>
    </row>
    <row r="5478" spans="1:15" x14ac:dyDescent="0.25">
      <c r="A5478" t="s">
        <v>5491</v>
      </c>
      <c r="B5478">
        <v>404</v>
      </c>
      <c r="C5478" s="1" t="str">
        <f>HYPERLINK("http://www.rosaceae.org/gb/gbrowse/malus_x_domestica/?name=MDP0000337954","MDP0000337954")</f>
        <v>MDP0000337954</v>
      </c>
      <c r="D5478">
        <v>74.510000000000005</v>
      </c>
      <c r="E5478">
        <v>412</v>
      </c>
      <c r="F5478">
        <v>105</v>
      </c>
      <c r="G5478">
        <v>8</v>
      </c>
      <c r="H5478">
        <v>1</v>
      </c>
      <c r="I5478">
        <v>404</v>
      </c>
      <c r="J5478">
        <v>1</v>
      </c>
      <c r="K5478">
        <v>1</v>
      </c>
      <c r="L5478">
        <v>412</v>
      </c>
      <c r="M5478">
        <v>1</v>
      </c>
      <c r="N5478">
        <v>2.47915E-173</v>
      </c>
      <c r="O5478">
        <v>1560</v>
      </c>
    </row>
    <row r="5479" spans="1:15" x14ac:dyDescent="0.25">
      <c r="A5479" t="s">
        <v>5492</v>
      </c>
      <c r="B5479">
        <v>514</v>
      </c>
      <c r="C5479" s="1" t="str">
        <f>HYPERLINK("http://www.rosaceae.org/gb/gbrowse/malus_x_domestica/?name=MDP0000805014","MDP0000805014")</f>
        <v>MDP0000805014</v>
      </c>
      <c r="D5479">
        <v>77.64</v>
      </c>
      <c r="E5479">
        <v>510</v>
      </c>
      <c r="F5479">
        <v>114</v>
      </c>
      <c r="G5479">
        <v>8</v>
      </c>
      <c r="H5479">
        <v>1</v>
      </c>
      <c r="I5479">
        <v>510</v>
      </c>
      <c r="J5479">
        <v>1</v>
      </c>
      <c r="K5479">
        <v>1</v>
      </c>
      <c r="L5479">
        <v>502</v>
      </c>
      <c r="M5479">
        <v>1</v>
      </c>
      <c r="N5479">
        <v>0</v>
      </c>
      <c r="O5479">
        <v>2059</v>
      </c>
    </row>
    <row r="5480" spans="1:15" x14ac:dyDescent="0.25">
      <c r="A5480" t="s">
        <v>5493</v>
      </c>
      <c r="B5480">
        <v>174</v>
      </c>
      <c r="C5480" s="1" t="str">
        <f>HYPERLINK("http://www.rosaceae.org/gb/gbrowse/malus_x_domestica/?name=MDP0000251679","MDP0000251679")</f>
        <v>MDP0000251679</v>
      </c>
      <c r="D5480">
        <v>88.02</v>
      </c>
      <c r="E5480">
        <v>142</v>
      </c>
      <c r="F5480">
        <v>17</v>
      </c>
      <c r="G5480">
        <v>0</v>
      </c>
      <c r="H5480">
        <v>32</v>
      </c>
      <c r="I5480">
        <v>173</v>
      </c>
      <c r="J5480">
        <v>1</v>
      </c>
      <c r="K5480">
        <v>1849</v>
      </c>
      <c r="L5480">
        <v>1990</v>
      </c>
      <c r="M5480">
        <v>1</v>
      </c>
      <c r="N5480">
        <v>3.2991000000000002E-73</v>
      </c>
      <c r="O5480">
        <v>692</v>
      </c>
    </row>
    <row r="5481" spans="1:15" x14ac:dyDescent="0.25">
      <c r="A5481" t="s">
        <v>5494</v>
      </c>
      <c r="B5481">
        <v>730</v>
      </c>
      <c r="C5481" s="1" t="str">
        <f>HYPERLINK("http://www.rosaceae.org/gb/gbrowse/malus_x_domestica/?name=MDP0000398616","MDP0000398616")</f>
        <v>MDP0000398616</v>
      </c>
      <c r="D5481">
        <v>69.569999999999993</v>
      </c>
      <c r="E5481">
        <v>470</v>
      </c>
      <c r="F5481">
        <v>143</v>
      </c>
      <c r="G5481">
        <v>19</v>
      </c>
      <c r="H5481">
        <v>36</v>
      </c>
      <c r="I5481">
        <v>486</v>
      </c>
      <c r="J5481">
        <v>1</v>
      </c>
      <c r="K5481">
        <v>40</v>
      </c>
      <c r="L5481">
        <v>509</v>
      </c>
      <c r="M5481">
        <v>1</v>
      </c>
      <c r="N5481">
        <v>0</v>
      </c>
      <c r="O5481">
        <v>1684</v>
      </c>
    </row>
    <row r="5482" spans="1:15" x14ac:dyDescent="0.25">
      <c r="A5482" t="s">
        <v>5495</v>
      </c>
      <c r="B5482">
        <v>359</v>
      </c>
      <c r="C5482" s="1" t="str">
        <f>HYPERLINK("http://www.rosaceae.org/gb/gbrowse/malus_x_domestica/?name=MDP0000530864","MDP0000530864")</f>
        <v>MDP0000530864</v>
      </c>
      <c r="D5482">
        <v>58.04</v>
      </c>
      <c r="E5482">
        <v>317</v>
      </c>
      <c r="F5482">
        <v>133</v>
      </c>
      <c r="G5482">
        <v>34</v>
      </c>
      <c r="H5482">
        <v>16</v>
      </c>
      <c r="I5482">
        <v>321</v>
      </c>
      <c r="J5482">
        <v>1</v>
      </c>
      <c r="K5482">
        <v>11</v>
      </c>
      <c r="L5482">
        <v>304</v>
      </c>
      <c r="M5482">
        <v>1</v>
      </c>
      <c r="N5482">
        <v>6.8125600000000004E-91</v>
      </c>
      <c r="O5482">
        <v>849</v>
      </c>
    </row>
    <row r="5483" spans="1:15" x14ac:dyDescent="0.25">
      <c r="A5483" t="s">
        <v>5496</v>
      </c>
      <c r="B5483">
        <v>444</v>
      </c>
      <c r="C5483" s="1" t="str">
        <f>HYPERLINK("http://www.rosaceae.org/gb/gbrowse/malus_x_domestica/?name=MDP0000216106","MDP0000216106")</f>
        <v>MDP0000216106</v>
      </c>
      <c r="D5483">
        <v>56.42</v>
      </c>
      <c r="E5483">
        <v>319</v>
      </c>
      <c r="F5483">
        <v>139</v>
      </c>
      <c r="G5483">
        <v>14</v>
      </c>
      <c r="H5483">
        <v>95</v>
      </c>
      <c r="I5483">
        <v>409</v>
      </c>
      <c r="J5483">
        <v>1</v>
      </c>
      <c r="K5483">
        <v>244</v>
      </c>
      <c r="L5483">
        <v>552</v>
      </c>
      <c r="M5483">
        <v>1</v>
      </c>
      <c r="N5483">
        <v>8.3124700000000003E-95</v>
      </c>
      <c r="O5483">
        <v>884</v>
      </c>
    </row>
    <row r="5484" spans="1:15" x14ac:dyDescent="0.25">
      <c r="A5484" t="s">
        <v>5497</v>
      </c>
      <c r="B5484">
        <v>566</v>
      </c>
      <c r="C5484" s="1" t="str">
        <f>HYPERLINK("http://www.rosaceae.org/gb/gbrowse/malus_x_domestica/?name=MDP0000506915","MDP0000506915")</f>
        <v>MDP0000506915</v>
      </c>
      <c r="D5484">
        <v>88.3</v>
      </c>
      <c r="E5484">
        <v>419</v>
      </c>
      <c r="F5484">
        <v>49</v>
      </c>
      <c r="G5484">
        <v>0</v>
      </c>
      <c r="H5484">
        <v>104</v>
      </c>
      <c r="I5484">
        <v>522</v>
      </c>
      <c r="J5484">
        <v>1</v>
      </c>
      <c r="K5484">
        <v>53</v>
      </c>
      <c r="L5484">
        <v>471</v>
      </c>
      <c r="M5484">
        <v>1</v>
      </c>
      <c r="N5484">
        <v>0</v>
      </c>
      <c r="O5484">
        <v>2031</v>
      </c>
    </row>
    <row r="5485" spans="1:15" x14ac:dyDescent="0.25">
      <c r="A5485" t="s">
        <v>5498</v>
      </c>
      <c r="B5485">
        <v>582</v>
      </c>
      <c r="C5485" s="1" t="str">
        <f>HYPERLINK("http://www.rosaceae.org/gb/gbrowse/malus_x_domestica/?name=MDP0000086382","MDP0000086382")</f>
        <v>MDP0000086382</v>
      </c>
      <c r="D5485">
        <v>78.209999999999994</v>
      </c>
      <c r="E5485">
        <v>583</v>
      </c>
      <c r="F5485">
        <v>127</v>
      </c>
      <c r="G5485">
        <v>6</v>
      </c>
      <c r="H5485">
        <v>1</v>
      </c>
      <c r="I5485">
        <v>582</v>
      </c>
      <c r="J5485">
        <v>1</v>
      </c>
      <c r="K5485">
        <v>1</v>
      </c>
      <c r="L5485">
        <v>578</v>
      </c>
      <c r="M5485">
        <v>1</v>
      </c>
      <c r="N5485">
        <v>0</v>
      </c>
      <c r="O5485">
        <v>2474</v>
      </c>
    </row>
    <row r="5486" spans="1:15" x14ac:dyDescent="0.25">
      <c r="A5486" t="s">
        <v>5499</v>
      </c>
      <c r="B5486">
        <v>195</v>
      </c>
      <c r="C5486" s="1" t="str">
        <f>HYPERLINK("http://www.rosaceae.org/gb/gbrowse/malus_x_domestica/?name=MDP0000271405","MDP0000271405")</f>
        <v>MDP0000271405</v>
      </c>
      <c r="D5486">
        <v>61.78</v>
      </c>
      <c r="E5486">
        <v>191</v>
      </c>
      <c r="F5486">
        <v>73</v>
      </c>
      <c r="G5486">
        <v>6</v>
      </c>
      <c r="H5486">
        <v>1</v>
      </c>
      <c r="I5486">
        <v>191</v>
      </c>
      <c r="J5486">
        <v>1</v>
      </c>
      <c r="K5486">
        <v>389</v>
      </c>
      <c r="L5486">
        <v>573</v>
      </c>
      <c r="M5486">
        <v>1</v>
      </c>
      <c r="N5486">
        <v>5.1793699999999997E-50</v>
      </c>
      <c r="O5486">
        <v>493</v>
      </c>
    </row>
    <row r="5487" spans="1:15" x14ac:dyDescent="0.25">
      <c r="A5487" t="s">
        <v>5500</v>
      </c>
      <c r="B5487">
        <v>380</v>
      </c>
      <c r="C5487" s="1" t="str">
        <f>HYPERLINK("http://www.rosaceae.org/gb/gbrowse/malus_x_domestica/?name=MDP0000195272","MDP0000195272")</f>
        <v>MDP0000195272</v>
      </c>
      <c r="D5487">
        <v>76.84</v>
      </c>
      <c r="E5487">
        <v>380</v>
      </c>
      <c r="F5487">
        <v>88</v>
      </c>
      <c r="G5487">
        <v>0</v>
      </c>
      <c r="H5487">
        <v>1</v>
      </c>
      <c r="I5487">
        <v>380</v>
      </c>
      <c r="J5487">
        <v>1</v>
      </c>
      <c r="K5487">
        <v>766</v>
      </c>
      <c r="L5487">
        <v>1145</v>
      </c>
      <c r="M5487">
        <v>1</v>
      </c>
      <c r="N5487">
        <v>1.11023E-176</v>
      </c>
      <c r="O5487">
        <v>1589</v>
      </c>
    </row>
    <row r="5488" spans="1:15" x14ac:dyDescent="0.25">
      <c r="A5488" t="s">
        <v>5501</v>
      </c>
      <c r="B5488">
        <v>657</v>
      </c>
      <c r="C5488" s="1" t="str">
        <f>HYPERLINK("http://www.rosaceae.org/gb/gbrowse/malus_x_domestica/?name=MDP0000235232","MDP0000235232")</f>
        <v>MDP0000235232</v>
      </c>
      <c r="D5488">
        <v>61.12</v>
      </c>
      <c r="E5488">
        <v>692</v>
      </c>
      <c r="F5488">
        <v>269</v>
      </c>
      <c r="G5488">
        <v>60</v>
      </c>
      <c r="H5488">
        <v>1</v>
      </c>
      <c r="I5488">
        <v>651</v>
      </c>
      <c r="J5488">
        <v>1</v>
      </c>
      <c r="K5488">
        <v>1</v>
      </c>
      <c r="L5488">
        <v>673</v>
      </c>
      <c r="M5488">
        <v>1</v>
      </c>
      <c r="N5488">
        <v>0</v>
      </c>
      <c r="O5488">
        <v>1963</v>
      </c>
    </row>
    <row r="5489" spans="1:15" x14ac:dyDescent="0.25">
      <c r="A5489" t="s">
        <v>5502</v>
      </c>
      <c r="B5489">
        <v>552</v>
      </c>
      <c r="C5489" s="1" t="str">
        <f>HYPERLINK("http://www.rosaceae.org/gb/gbrowse/malus_x_domestica/?name=MDP0000861205","MDP0000861205")</f>
        <v>MDP0000861205</v>
      </c>
      <c r="D5489">
        <v>81.27</v>
      </c>
      <c r="E5489">
        <v>566</v>
      </c>
      <c r="F5489">
        <v>106</v>
      </c>
      <c r="G5489">
        <v>17</v>
      </c>
      <c r="H5489">
        <v>1</v>
      </c>
      <c r="I5489">
        <v>552</v>
      </c>
      <c r="J5489">
        <v>1</v>
      </c>
      <c r="K5489">
        <v>1</v>
      </c>
      <c r="L5489">
        <v>563</v>
      </c>
      <c r="M5489">
        <v>1</v>
      </c>
      <c r="N5489">
        <v>0</v>
      </c>
      <c r="O5489">
        <v>2465</v>
      </c>
    </row>
    <row r="5490" spans="1:15" x14ac:dyDescent="0.25">
      <c r="A5490" t="s">
        <v>5503</v>
      </c>
      <c r="B5490">
        <v>180</v>
      </c>
      <c r="C5490" s="1" t="str">
        <f>HYPERLINK("http://www.rosaceae.org/gb/gbrowse/malus_x_domestica/?name=MDP0000318832","MDP0000318832")</f>
        <v>MDP0000318832</v>
      </c>
      <c r="D5490">
        <v>94.73</v>
      </c>
      <c r="E5490">
        <v>76</v>
      </c>
      <c r="F5490">
        <v>4</v>
      </c>
      <c r="G5490">
        <v>0</v>
      </c>
      <c r="H5490">
        <v>105</v>
      </c>
      <c r="I5490">
        <v>180</v>
      </c>
      <c r="J5490">
        <v>1</v>
      </c>
      <c r="K5490">
        <v>157</v>
      </c>
      <c r="L5490">
        <v>232</v>
      </c>
      <c r="M5490">
        <v>1</v>
      </c>
      <c r="N5490">
        <v>3.5304799999999999E-41</v>
      </c>
      <c r="O5490">
        <v>416</v>
      </c>
    </row>
    <row r="5491" spans="1:15" x14ac:dyDescent="0.25">
      <c r="A5491" t="s">
        <v>5504</v>
      </c>
      <c r="B5491">
        <v>804</v>
      </c>
      <c r="C5491" s="1" t="str">
        <f>HYPERLINK("http://www.rosaceae.org/gb/gbrowse/malus_x_domestica/?name=MDP0000196294","MDP0000196294")</f>
        <v>MDP0000196294</v>
      </c>
      <c r="D5491">
        <v>76.900000000000006</v>
      </c>
      <c r="E5491">
        <v>788</v>
      </c>
      <c r="F5491">
        <v>182</v>
      </c>
      <c r="G5491">
        <v>15</v>
      </c>
      <c r="H5491">
        <v>1</v>
      </c>
      <c r="I5491">
        <v>782</v>
      </c>
      <c r="J5491">
        <v>1</v>
      </c>
      <c r="K5491">
        <v>42</v>
      </c>
      <c r="L5491">
        <v>820</v>
      </c>
      <c r="M5491">
        <v>1</v>
      </c>
      <c r="N5491">
        <v>0</v>
      </c>
      <c r="O5491">
        <v>3192</v>
      </c>
    </row>
    <row r="5492" spans="1:15" x14ac:dyDescent="0.25">
      <c r="A5492" t="s">
        <v>5505</v>
      </c>
      <c r="B5492">
        <v>254</v>
      </c>
      <c r="C5492" s="1" t="str">
        <f>HYPERLINK("http://www.rosaceae.org/gb/gbrowse/malus_x_domestica/?name=MDP0000188138","MDP0000188138")</f>
        <v>MDP0000188138</v>
      </c>
      <c r="D5492">
        <v>47.77</v>
      </c>
      <c r="E5492">
        <v>247</v>
      </c>
      <c r="F5492">
        <v>129</v>
      </c>
      <c r="G5492">
        <v>12</v>
      </c>
      <c r="H5492">
        <v>1</v>
      </c>
      <c r="I5492">
        <v>239</v>
      </c>
      <c r="J5492">
        <v>1</v>
      </c>
      <c r="K5492">
        <v>1</v>
      </c>
      <c r="L5492">
        <v>243</v>
      </c>
      <c r="M5492">
        <v>1</v>
      </c>
      <c r="N5492">
        <v>4.59088E-43</v>
      </c>
      <c r="O5492">
        <v>434</v>
      </c>
    </row>
    <row r="5493" spans="1:15" x14ac:dyDescent="0.25">
      <c r="A5493" t="s">
        <v>5506</v>
      </c>
      <c r="B5493">
        <v>232</v>
      </c>
      <c r="C5493" s="1" t="str">
        <f>HYPERLINK("http://www.rosaceae.org/gb/gbrowse/malus_x_domestica/?name=MDP0000120164","MDP0000120164")</f>
        <v>MDP0000120164</v>
      </c>
      <c r="D5493">
        <v>86.85</v>
      </c>
      <c r="E5493">
        <v>175</v>
      </c>
      <c r="F5493">
        <v>23</v>
      </c>
      <c r="G5493">
        <v>0</v>
      </c>
      <c r="H5493">
        <v>58</v>
      </c>
      <c r="I5493">
        <v>232</v>
      </c>
      <c r="J5493">
        <v>1</v>
      </c>
      <c r="K5493">
        <v>62</v>
      </c>
      <c r="L5493">
        <v>236</v>
      </c>
      <c r="M5493">
        <v>1</v>
      </c>
      <c r="N5493">
        <v>1.20096E-85</v>
      </c>
      <c r="O5493">
        <v>801</v>
      </c>
    </row>
    <row r="5494" spans="1:15" x14ac:dyDescent="0.25">
      <c r="A5494" t="s">
        <v>5507</v>
      </c>
      <c r="B5494">
        <v>53</v>
      </c>
      <c r="C5494" s="1" t="str">
        <f>HYPERLINK("http://www.rosaceae.org/gb/gbrowse/malus_x_domestica/?name=MDP0000275611","MDP0000275611")</f>
        <v>MDP0000275611</v>
      </c>
      <c r="D5494">
        <v>53.84</v>
      </c>
      <c r="E5494">
        <v>52</v>
      </c>
      <c r="F5494">
        <v>24</v>
      </c>
      <c r="G5494">
        <v>0</v>
      </c>
      <c r="H5494">
        <v>1</v>
      </c>
      <c r="I5494">
        <v>52</v>
      </c>
      <c r="J5494">
        <v>1</v>
      </c>
      <c r="K5494">
        <v>72</v>
      </c>
      <c r="L5494">
        <v>123</v>
      </c>
      <c r="M5494">
        <v>1</v>
      </c>
      <c r="N5494">
        <v>6.7647699999999997E-11</v>
      </c>
      <c r="O5494">
        <v>151</v>
      </c>
    </row>
    <row r="5495" spans="1:15" x14ac:dyDescent="0.25">
      <c r="A5495" t="s">
        <v>5508</v>
      </c>
      <c r="B5495">
        <v>278</v>
      </c>
      <c r="C5495" s="1" t="str">
        <f>HYPERLINK("http://www.rosaceae.org/gb/gbrowse/malus_x_domestica/?name=MDP0000261294","MDP0000261294")</f>
        <v>MDP0000261294</v>
      </c>
      <c r="D5495">
        <v>59.7</v>
      </c>
      <c r="E5495">
        <v>67</v>
      </c>
      <c r="F5495">
        <v>27</v>
      </c>
      <c r="G5495">
        <v>13</v>
      </c>
      <c r="H5495">
        <v>212</v>
      </c>
      <c r="I5495">
        <v>267</v>
      </c>
      <c r="J5495">
        <v>1</v>
      </c>
      <c r="K5495">
        <v>142</v>
      </c>
      <c r="L5495">
        <v>206</v>
      </c>
      <c r="M5495">
        <v>1</v>
      </c>
      <c r="N5495">
        <v>2.8641400000000001E-11</v>
      </c>
      <c r="O5495">
        <v>161</v>
      </c>
    </row>
    <row r="5496" spans="1:15" x14ac:dyDescent="0.25">
      <c r="A5496" t="s">
        <v>5509</v>
      </c>
      <c r="B5496">
        <v>363</v>
      </c>
      <c r="C5496" s="1" t="str">
        <f>HYPERLINK("http://www.rosaceae.org/gb/gbrowse/malus_x_domestica/?name=MDP0000811918","MDP0000811918")</f>
        <v>MDP0000811918</v>
      </c>
      <c r="D5496">
        <v>91.2</v>
      </c>
      <c r="E5496">
        <v>364</v>
      </c>
      <c r="F5496">
        <v>32</v>
      </c>
      <c r="G5496">
        <v>2</v>
      </c>
      <c r="H5496">
        <v>1</v>
      </c>
      <c r="I5496">
        <v>363</v>
      </c>
      <c r="J5496">
        <v>1</v>
      </c>
      <c r="K5496">
        <v>1</v>
      </c>
      <c r="L5496">
        <v>363</v>
      </c>
      <c r="M5496">
        <v>1</v>
      </c>
      <c r="N5496">
        <v>0</v>
      </c>
      <c r="O5496">
        <v>1714</v>
      </c>
    </row>
    <row r="5497" spans="1:15" x14ac:dyDescent="0.25">
      <c r="A5497" t="s">
        <v>5510</v>
      </c>
      <c r="B5497">
        <v>430</v>
      </c>
      <c r="C5497" s="1" t="str">
        <f>HYPERLINK("http://www.rosaceae.org/gb/gbrowse/malus_x_domestica/?name=MDP0000823602","MDP0000823602")</f>
        <v>MDP0000823602</v>
      </c>
      <c r="D5497">
        <v>76.27</v>
      </c>
      <c r="E5497">
        <v>354</v>
      </c>
      <c r="F5497">
        <v>84</v>
      </c>
      <c r="G5497">
        <v>9</v>
      </c>
      <c r="H5497">
        <v>81</v>
      </c>
      <c r="I5497">
        <v>429</v>
      </c>
      <c r="J5497">
        <v>1</v>
      </c>
      <c r="K5497">
        <v>26</v>
      </c>
      <c r="L5497">
        <v>375</v>
      </c>
      <c r="M5497">
        <v>1</v>
      </c>
      <c r="N5497">
        <v>9.2647200000000002E-145</v>
      </c>
      <c r="O5497">
        <v>1314</v>
      </c>
    </row>
    <row r="5498" spans="1:15" x14ac:dyDescent="0.25">
      <c r="A5498" t="s">
        <v>5511</v>
      </c>
      <c r="B5498">
        <v>831</v>
      </c>
      <c r="C5498" s="1" t="str">
        <f>HYPERLINK("http://www.rosaceae.org/gb/gbrowse/malus_x_domestica/?name=MDP0000154458","MDP0000154458")</f>
        <v>MDP0000154458</v>
      </c>
      <c r="D5498">
        <v>44.51</v>
      </c>
      <c r="E5498">
        <v>155</v>
      </c>
      <c r="F5498">
        <v>86</v>
      </c>
      <c r="G5498">
        <v>1</v>
      </c>
      <c r="H5498">
        <v>190</v>
      </c>
      <c r="I5498">
        <v>344</v>
      </c>
      <c r="J5498">
        <v>1</v>
      </c>
      <c r="K5498">
        <v>4</v>
      </c>
      <c r="L5498">
        <v>157</v>
      </c>
      <c r="M5498">
        <v>1</v>
      </c>
      <c r="N5498">
        <v>2.7768300000000001E-36</v>
      </c>
      <c r="O5498">
        <v>382</v>
      </c>
    </row>
    <row r="5499" spans="1:15" x14ac:dyDescent="0.25">
      <c r="A5499" t="s">
        <v>5512</v>
      </c>
      <c r="B5499">
        <v>935</v>
      </c>
      <c r="C5499" s="1" t="str">
        <f>HYPERLINK("http://www.rosaceae.org/gb/gbrowse/malus_x_domestica/?name=MDP0000163774","MDP0000163774")</f>
        <v>MDP0000163774</v>
      </c>
      <c r="D5499">
        <v>30.07</v>
      </c>
      <c r="E5499">
        <v>389</v>
      </c>
      <c r="F5499">
        <v>272</v>
      </c>
      <c r="G5499">
        <v>124</v>
      </c>
      <c r="H5499">
        <v>407</v>
      </c>
      <c r="I5499">
        <v>734</v>
      </c>
      <c r="J5499">
        <v>1</v>
      </c>
      <c r="K5499">
        <v>205</v>
      </c>
      <c r="L5499">
        <v>530</v>
      </c>
      <c r="M5499">
        <v>1</v>
      </c>
      <c r="N5499">
        <v>2.6305700000000002E-38</v>
      </c>
      <c r="O5499">
        <v>400</v>
      </c>
    </row>
    <row r="5500" spans="1:15" x14ac:dyDescent="0.25">
      <c r="A5500" t="s">
        <v>5513</v>
      </c>
      <c r="B5500">
        <v>299</v>
      </c>
      <c r="C5500" s="1" t="str">
        <f>HYPERLINK("http://www.rosaceae.org/gb/gbrowse/malus_x_domestica/?name=MDP0000180375","MDP0000180375")</f>
        <v>MDP0000180375</v>
      </c>
      <c r="D5500">
        <v>44.8</v>
      </c>
      <c r="E5500">
        <v>250</v>
      </c>
      <c r="F5500">
        <v>138</v>
      </c>
      <c r="G5500">
        <v>23</v>
      </c>
      <c r="H5500">
        <v>4</v>
      </c>
      <c r="I5500">
        <v>236</v>
      </c>
      <c r="J5500">
        <v>1</v>
      </c>
      <c r="K5500">
        <v>3</v>
      </c>
      <c r="L5500">
        <v>246</v>
      </c>
      <c r="M5500">
        <v>1</v>
      </c>
      <c r="N5500">
        <v>6.6257200000000003E-38</v>
      </c>
      <c r="O5500">
        <v>391</v>
      </c>
    </row>
    <row r="5501" spans="1:15" x14ac:dyDescent="0.25">
      <c r="A5501" t="s">
        <v>5514</v>
      </c>
      <c r="B5501">
        <v>477</v>
      </c>
      <c r="C5501" s="1" t="str">
        <f>HYPERLINK("http://www.rosaceae.org/gb/gbrowse/malus_x_domestica/?name=MDP0000795160","MDP0000795160")</f>
        <v>MDP0000795160</v>
      </c>
      <c r="D5501">
        <v>81.09</v>
      </c>
      <c r="E5501">
        <v>476</v>
      </c>
      <c r="F5501">
        <v>90</v>
      </c>
      <c r="G5501">
        <v>0</v>
      </c>
      <c r="H5501">
        <v>1</v>
      </c>
      <c r="I5501">
        <v>476</v>
      </c>
      <c r="J5501">
        <v>1</v>
      </c>
      <c r="K5501">
        <v>1</v>
      </c>
      <c r="L5501">
        <v>476</v>
      </c>
      <c r="M5501">
        <v>1</v>
      </c>
      <c r="N5501">
        <v>0</v>
      </c>
      <c r="O5501">
        <v>2134</v>
      </c>
    </row>
    <row r="5502" spans="1:15" x14ac:dyDescent="0.25">
      <c r="A5502" t="s">
        <v>5515</v>
      </c>
      <c r="B5502">
        <v>559</v>
      </c>
      <c r="C5502" s="1" t="str">
        <f>HYPERLINK("http://www.rosaceae.org/gb/gbrowse/malus_x_domestica/?name=MDP0000193639","MDP0000193639")</f>
        <v>MDP0000193639</v>
      </c>
      <c r="D5502">
        <v>69.23</v>
      </c>
      <c r="E5502">
        <v>559</v>
      </c>
      <c r="F5502">
        <v>172</v>
      </c>
      <c r="G5502">
        <v>18</v>
      </c>
      <c r="H5502">
        <v>1</v>
      </c>
      <c r="I5502">
        <v>556</v>
      </c>
      <c r="J5502">
        <v>1</v>
      </c>
      <c r="K5502">
        <v>1</v>
      </c>
      <c r="L5502">
        <v>544</v>
      </c>
      <c r="M5502">
        <v>1</v>
      </c>
      <c r="N5502">
        <v>0</v>
      </c>
      <c r="O5502">
        <v>1783</v>
      </c>
    </row>
    <row r="5503" spans="1:15" x14ac:dyDescent="0.25">
      <c r="A5503" t="s">
        <v>5516</v>
      </c>
      <c r="B5503">
        <v>144</v>
      </c>
      <c r="C5503" s="1" t="str">
        <f>HYPERLINK("http://www.rosaceae.org/gb/gbrowse/malus_x_domestica/?name=MDP0000281545","MDP0000281545")</f>
        <v>MDP0000281545</v>
      </c>
      <c r="D5503">
        <v>68.75</v>
      </c>
      <c r="E5503">
        <v>96</v>
      </c>
      <c r="F5503">
        <v>30</v>
      </c>
      <c r="G5503">
        <v>1</v>
      </c>
      <c r="H5503">
        <v>19</v>
      </c>
      <c r="I5503">
        <v>113</v>
      </c>
      <c r="J5503">
        <v>1</v>
      </c>
      <c r="K5503">
        <v>21</v>
      </c>
      <c r="L5503">
        <v>116</v>
      </c>
      <c r="M5503">
        <v>1</v>
      </c>
      <c r="N5503">
        <v>5.4271399999999998E-36</v>
      </c>
      <c r="O5503">
        <v>369</v>
      </c>
    </row>
    <row r="5504" spans="1:15" x14ac:dyDescent="0.25">
      <c r="A5504" t="s">
        <v>5517</v>
      </c>
      <c r="B5504">
        <v>214</v>
      </c>
      <c r="C5504" s="1" t="str">
        <f>HYPERLINK("http://www.rosaceae.org/gb/gbrowse/malus_x_domestica/?name=MDP0000912258","MDP0000912258")</f>
        <v>MDP0000912258</v>
      </c>
      <c r="D5504">
        <v>52.04</v>
      </c>
      <c r="E5504">
        <v>98</v>
      </c>
      <c r="F5504">
        <v>47</v>
      </c>
      <c r="G5504">
        <v>5</v>
      </c>
      <c r="H5504">
        <v>118</v>
      </c>
      <c r="I5504">
        <v>210</v>
      </c>
      <c r="J5504">
        <v>1</v>
      </c>
      <c r="K5504">
        <v>14</v>
      </c>
      <c r="L5504">
        <v>111</v>
      </c>
      <c r="M5504">
        <v>1</v>
      </c>
      <c r="N5504">
        <v>4.53231E-20</v>
      </c>
      <c r="O5504">
        <v>235</v>
      </c>
    </row>
    <row r="5505" spans="1:15" x14ac:dyDescent="0.25">
      <c r="A5505" t="s">
        <v>5518</v>
      </c>
      <c r="B5505">
        <v>678</v>
      </c>
      <c r="C5505" s="1" t="str">
        <f>HYPERLINK("http://www.rosaceae.org/gb/gbrowse/malus_x_domestica/?name=MDP0000127586","MDP0000127586")</f>
        <v>MDP0000127586</v>
      </c>
      <c r="D5505">
        <v>65.14</v>
      </c>
      <c r="E5505">
        <v>284</v>
      </c>
      <c r="F5505">
        <v>99</v>
      </c>
      <c r="G5505">
        <v>14</v>
      </c>
      <c r="H5505">
        <v>3</v>
      </c>
      <c r="I5505">
        <v>282</v>
      </c>
      <c r="J5505">
        <v>1</v>
      </c>
      <c r="K5505">
        <v>77</v>
      </c>
      <c r="L5505">
        <v>350</v>
      </c>
      <c r="M5505">
        <v>1</v>
      </c>
      <c r="N5505">
        <v>9.2564399999999999E-104</v>
      </c>
      <c r="O5505">
        <v>963</v>
      </c>
    </row>
    <row r="5506" spans="1:15" x14ac:dyDescent="0.25">
      <c r="A5506" t="s">
        <v>5519</v>
      </c>
      <c r="B5506">
        <v>571</v>
      </c>
      <c r="C5506" s="1" t="str">
        <f>HYPERLINK("http://www.rosaceae.org/gb/gbrowse/malus_x_domestica/?name=MDP0000285644","MDP0000285644")</f>
        <v>MDP0000285644</v>
      </c>
      <c r="D5506">
        <v>68.55</v>
      </c>
      <c r="E5506">
        <v>566</v>
      </c>
      <c r="F5506">
        <v>178</v>
      </c>
      <c r="G5506">
        <v>2</v>
      </c>
      <c r="H5506">
        <v>5</v>
      </c>
      <c r="I5506">
        <v>570</v>
      </c>
      <c r="J5506">
        <v>1</v>
      </c>
      <c r="K5506">
        <v>4</v>
      </c>
      <c r="L5506">
        <v>567</v>
      </c>
      <c r="M5506">
        <v>1</v>
      </c>
      <c r="N5506">
        <v>0</v>
      </c>
      <c r="O5506">
        <v>2105</v>
      </c>
    </row>
    <row r="5507" spans="1:15" x14ac:dyDescent="0.25">
      <c r="A5507" t="s">
        <v>5520</v>
      </c>
      <c r="B5507">
        <v>484</v>
      </c>
      <c r="C5507" s="1" t="str">
        <f>HYPERLINK("http://www.rosaceae.org/gb/gbrowse/malus_x_domestica/?name=MDP0000242522","MDP0000242522")</f>
        <v>MDP0000242522</v>
      </c>
      <c r="D5507">
        <v>80.150000000000006</v>
      </c>
      <c r="E5507">
        <v>126</v>
      </c>
      <c r="F5507">
        <v>25</v>
      </c>
      <c r="G5507">
        <v>0</v>
      </c>
      <c r="H5507">
        <v>1</v>
      </c>
      <c r="I5507">
        <v>126</v>
      </c>
      <c r="J5507">
        <v>1</v>
      </c>
      <c r="K5507">
        <v>1</v>
      </c>
      <c r="L5507">
        <v>126</v>
      </c>
      <c r="M5507">
        <v>1</v>
      </c>
      <c r="N5507">
        <v>4.5903399999999998E-55</v>
      </c>
      <c r="O5507">
        <v>541</v>
      </c>
    </row>
    <row r="5508" spans="1:15" x14ac:dyDescent="0.25">
      <c r="A5508" t="s">
        <v>5521</v>
      </c>
      <c r="B5508">
        <v>363</v>
      </c>
      <c r="C5508" s="1" t="str">
        <f>HYPERLINK("http://www.rosaceae.org/gb/gbrowse/malus_x_domestica/?name=MDP0000049282","MDP0000049282")</f>
        <v>MDP0000049282</v>
      </c>
      <c r="D5508">
        <v>56.62</v>
      </c>
      <c r="E5508">
        <v>362</v>
      </c>
      <c r="F5508">
        <v>157</v>
      </c>
      <c r="G5508">
        <v>63</v>
      </c>
      <c r="H5508">
        <v>1</v>
      </c>
      <c r="I5508">
        <v>362</v>
      </c>
      <c r="J5508">
        <v>1</v>
      </c>
      <c r="K5508">
        <v>8</v>
      </c>
      <c r="L5508">
        <v>306</v>
      </c>
      <c r="M5508">
        <v>1</v>
      </c>
      <c r="N5508">
        <v>1.01922E-107</v>
      </c>
      <c r="O5508">
        <v>994</v>
      </c>
    </row>
    <row r="5509" spans="1:15" x14ac:dyDescent="0.25">
      <c r="A5509" t="s">
        <v>5522</v>
      </c>
      <c r="B5509">
        <v>519</v>
      </c>
      <c r="C5509" s="1" t="str">
        <f>HYPERLINK("http://www.rosaceae.org/gb/gbrowse/malus_x_domestica/?name=MDP0000093999","MDP0000093999")</f>
        <v>MDP0000093999</v>
      </c>
      <c r="D5509">
        <v>72.63</v>
      </c>
      <c r="E5509">
        <v>519</v>
      </c>
      <c r="F5509">
        <v>142</v>
      </c>
      <c r="G5509">
        <v>6</v>
      </c>
      <c r="H5509">
        <v>1</v>
      </c>
      <c r="I5509">
        <v>518</v>
      </c>
      <c r="J5509">
        <v>1</v>
      </c>
      <c r="K5509">
        <v>1</v>
      </c>
      <c r="L5509">
        <v>514</v>
      </c>
      <c r="M5509">
        <v>1</v>
      </c>
      <c r="N5509">
        <v>0</v>
      </c>
      <c r="O5509">
        <v>1808</v>
      </c>
    </row>
    <row r="5510" spans="1:15" x14ac:dyDescent="0.25">
      <c r="A5510" t="s">
        <v>5523</v>
      </c>
      <c r="B5510">
        <v>296</v>
      </c>
      <c r="C5510" s="1" t="str">
        <f>HYPERLINK("http://www.rosaceae.org/gb/gbrowse/malus_x_domestica/?name=MDP0000269546","MDP0000269546")</f>
        <v>MDP0000269546</v>
      </c>
      <c r="D5510">
        <v>84.32</v>
      </c>
      <c r="E5510">
        <v>287</v>
      </c>
      <c r="F5510">
        <v>45</v>
      </c>
      <c r="G5510">
        <v>1</v>
      </c>
      <c r="H5510">
        <v>1</v>
      </c>
      <c r="I5510">
        <v>286</v>
      </c>
      <c r="J5510">
        <v>1</v>
      </c>
      <c r="K5510">
        <v>1</v>
      </c>
      <c r="L5510">
        <v>287</v>
      </c>
      <c r="M5510">
        <v>1</v>
      </c>
      <c r="N5510">
        <v>4.0042100000000002E-139</v>
      </c>
      <c r="O5510">
        <v>1264</v>
      </c>
    </row>
    <row r="5511" spans="1:15" x14ac:dyDescent="0.25">
      <c r="A5511" t="s">
        <v>5524</v>
      </c>
      <c r="B5511">
        <v>187</v>
      </c>
      <c r="C5511" s="1" t="str">
        <f>HYPERLINK("http://www.rosaceae.org/gb/gbrowse/malus_x_domestica/?name=MDP0000211134","MDP0000211134")</f>
        <v>MDP0000211134</v>
      </c>
      <c r="D5511">
        <v>42.85</v>
      </c>
      <c r="E5511">
        <v>189</v>
      </c>
      <c r="F5511">
        <v>108</v>
      </c>
      <c r="G5511">
        <v>11</v>
      </c>
      <c r="H5511">
        <v>1</v>
      </c>
      <c r="I5511">
        <v>182</v>
      </c>
      <c r="J5511">
        <v>1</v>
      </c>
      <c r="K5511">
        <v>186</v>
      </c>
      <c r="L5511">
        <v>370</v>
      </c>
      <c r="M5511">
        <v>1</v>
      </c>
      <c r="N5511">
        <v>7.5991799999999994E-36</v>
      </c>
      <c r="O5511">
        <v>370</v>
      </c>
    </row>
    <row r="5512" spans="1:15" x14ac:dyDescent="0.25">
      <c r="A5512" t="s">
        <v>5525</v>
      </c>
      <c r="B5512">
        <v>202</v>
      </c>
      <c r="C5512" s="1" t="str">
        <f>HYPERLINK("http://www.rosaceae.org/gb/gbrowse/malus_x_domestica/?name=MDP0000317978","MDP0000317978")</f>
        <v>MDP0000317978</v>
      </c>
      <c r="D5512">
        <v>34.69</v>
      </c>
      <c r="E5512">
        <v>196</v>
      </c>
      <c r="F5512">
        <v>128</v>
      </c>
      <c r="G5512">
        <v>34</v>
      </c>
      <c r="H5512">
        <v>1</v>
      </c>
      <c r="I5512">
        <v>162</v>
      </c>
      <c r="J5512">
        <v>1</v>
      </c>
      <c r="K5512">
        <v>345</v>
      </c>
      <c r="L5512">
        <v>540</v>
      </c>
      <c r="M5512">
        <v>1</v>
      </c>
      <c r="N5512">
        <v>7.7447600000000004E-25</v>
      </c>
      <c r="O5512">
        <v>276</v>
      </c>
    </row>
    <row r="5513" spans="1:15" x14ac:dyDescent="0.25">
      <c r="A5513" t="s">
        <v>5526</v>
      </c>
      <c r="B5513">
        <v>295</v>
      </c>
      <c r="C5513" s="1" t="str">
        <f>HYPERLINK("http://www.rosaceae.org/gb/gbrowse/malus_x_domestica/?name=MDP0000809640","MDP0000809640")</f>
        <v>MDP0000809640</v>
      </c>
      <c r="D5513">
        <v>62.83</v>
      </c>
      <c r="E5513">
        <v>296</v>
      </c>
      <c r="F5513">
        <v>110</v>
      </c>
      <c r="G5513">
        <v>20</v>
      </c>
      <c r="H5513">
        <v>1</v>
      </c>
      <c r="I5513">
        <v>295</v>
      </c>
      <c r="J5513">
        <v>1</v>
      </c>
      <c r="K5513">
        <v>10</v>
      </c>
      <c r="L5513">
        <v>286</v>
      </c>
      <c r="M5513">
        <v>1</v>
      </c>
      <c r="N5513">
        <v>3.8697499999999998E-95</v>
      </c>
      <c r="O5513">
        <v>884</v>
      </c>
    </row>
    <row r="5514" spans="1:15" x14ac:dyDescent="0.25">
      <c r="A5514" t="s">
        <v>5527</v>
      </c>
      <c r="B5514">
        <v>747</v>
      </c>
      <c r="C5514" s="1" t="str">
        <f>HYPERLINK("http://www.rosaceae.org/gb/gbrowse/malus_x_domestica/?name=MDP0000147846","MDP0000147846")</f>
        <v>MDP0000147846</v>
      </c>
      <c r="D5514">
        <v>37.93</v>
      </c>
      <c r="E5514">
        <v>232</v>
      </c>
      <c r="F5514">
        <v>144</v>
      </c>
      <c r="G5514">
        <v>42</v>
      </c>
      <c r="H5514">
        <v>1</v>
      </c>
      <c r="I5514">
        <v>195</v>
      </c>
      <c r="J5514">
        <v>1</v>
      </c>
      <c r="K5514">
        <v>185</v>
      </c>
      <c r="L5514">
        <v>411</v>
      </c>
      <c r="M5514">
        <v>1</v>
      </c>
      <c r="N5514">
        <v>2.0946199999999999E-23</v>
      </c>
      <c r="O5514">
        <v>270</v>
      </c>
    </row>
    <row r="5515" spans="1:15" x14ac:dyDescent="0.25">
      <c r="A5515" t="s">
        <v>5528</v>
      </c>
      <c r="B5515">
        <v>229</v>
      </c>
      <c r="C5515" s="1" t="str">
        <f>HYPERLINK("http://www.rosaceae.org/gb/gbrowse/malus_x_domestica/?name=MDP0000277694","MDP0000277694")</f>
        <v>MDP0000277694</v>
      </c>
      <c r="D5515">
        <v>53.16</v>
      </c>
      <c r="E5515">
        <v>237</v>
      </c>
      <c r="F5515">
        <v>111</v>
      </c>
      <c r="G5515">
        <v>36</v>
      </c>
      <c r="H5515">
        <v>13</v>
      </c>
      <c r="I5515">
        <v>223</v>
      </c>
      <c r="J5515">
        <v>1</v>
      </c>
      <c r="K5515">
        <v>13</v>
      </c>
      <c r="L5515">
        <v>239</v>
      </c>
      <c r="M5515">
        <v>1</v>
      </c>
      <c r="N5515">
        <v>1.8108299999999999E-57</v>
      </c>
      <c r="O5515">
        <v>558</v>
      </c>
    </row>
    <row r="5516" spans="1:15" x14ac:dyDescent="0.25">
      <c r="A5516" t="s">
        <v>5529</v>
      </c>
      <c r="B5516">
        <v>170</v>
      </c>
      <c r="C5516" s="1" t="str">
        <f>HYPERLINK("http://www.rosaceae.org/gb/gbrowse/malus_x_domestica/?name=MDP0000233357","MDP0000233357")</f>
        <v>MDP0000233357</v>
      </c>
      <c r="D5516">
        <v>63.15</v>
      </c>
      <c r="E5516">
        <v>38</v>
      </c>
      <c r="F5516">
        <v>14</v>
      </c>
      <c r="G5516">
        <v>0</v>
      </c>
      <c r="H5516">
        <v>1</v>
      </c>
      <c r="I5516">
        <v>38</v>
      </c>
      <c r="J5516">
        <v>1</v>
      </c>
      <c r="K5516">
        <v>189</v>
      </c>
      <c r="L5516">
        <v>226</v>
      </c>
      <c r="M5516">
        <v>1</v>
      </c>
      <c r="N5516">
        <v>3.9953500000000001E-8</v>
      </c>
      <c r="O5516">
        <v>130</v>
      </c>
    </row>
    <row r="5517" spans="1:15" x14ac:dyDescent="0.25">
      <c r="A5517" t="s">
        <v>5530</v>
      </c>
      <c r="B5517">
        <v>1149</v>
      </c>
      <c r="C5517" s="1" t="str">
        <f>HYPERLINK("http://www.rosaceae.org/gb/gbrowse/malus_x_domestica/?name=MDP0000300606","MDP0000300606")</f>
        <v>MDP0000300606</v>
      </c>
      <c r="D5517">
        <v>64.319999999999993</v>
      </c>
      <c r="E5517">
        <v>370</v>
      </c>
      <c r="F5517">
        <v>132</v>
      </c>
      <c r="G5517">
        <v>15</v>
      </c>
      <c r="H5517">
        <v>519</v>
      </c>
      <c r="I5517">
        <v>875</v>
      </c>
      <c r="J5517">
        <v>1</v>
      </c>
      <c r="K5517">
        <v>91</v>
      </c>
      <c r="L5517">
        <v>458</v>
      </c>
      <c r="M5517">
        <v>1</v>
      </c>
      <c r="N5517">
        <v>8.1648900000000001E-136</v>
      </c>
      <c r="O5517">
        <v>1241</v>
      </c>
    </row>
    <row r="5518" spans="1:15" x14ac:dyDescent="0.25">
      <c r="A5518" t="s">
        <v>5531</v>
      </c>
      <c r="B5518">
        <v>315</v>
      </c>
      <c r="C5518" s="1" t="str">
        <f>HYPERLINK("http://www.rosaceae.org/gb/gbrowse/malus_x_domestica/?name=MDP0000251626","MDP0000251626")</f>
        <v>MDP0000251626</v>
      </c>
      <c r="D5518">
        <v>60.46</v>
      </c>
      <c r="E5518">
        <v>86</v>
      </c>
      <c r="F5518">
        <v>34</v>
      </c>
      <c r="G5518">
        <v>0</v>
      </c>
      <c r="H5518">
        <v>230</v>
      </c>
      <c r="I5518">
        <v>315</v>
      </c>
      <c r="J5518">
        <v>1</v>
      </c>
      <c r="K5518">
        <v>157</v>
      </c>
      <c r="L5518">
        <v>242</v>
      </c>
      <c r="M5518">
        <v>1</v>
      </c>
      <c r="N5518">
        <v>1.3465600000000001E-20</v>
      </c>
      <c r="O5518">
        <v>242</v>
      </c>
    </row>
    <row r="5519" spans="1:15" x14ac:dyDescent="0.25">
      <c r="A5519" t="s">
        <v>5532</v>
      </c>
      <c r="B5519">
        <v>515</v>
      </c>
      <c r="C5519" s="1" t="str">
        <f>HYPERLINK("http://www.rosaceae.org/gb/gbrowse/malus_x_domestica/?name=MDP0000295279","MDP0000295279")</f>
        <v>MDP0000295279</v>
      </c>
      <c r="D5519">
        <v>44.74</v>
      </c>
      <c r="E5519">
        <v>523</v>
      </c>
      <c r="F5519">
        <v>289</v>
      </c>
      <c r="G5519">
        <v>31</v>
      </c>
      <c r="H5519">
        <v>17</v>
      </c>
      <c r="I5519">
        <v>515</v>
      </c>
      <c r="J5519">
        <v>1</v>
      </c>
      <c r="K5519">
        <v>44</v>
      </c>
      <c r="L5519">
        <v>559</v>
      </c>
      <c r="M5519">
        <v>1</v>
      </c>
      <c r="N5519">
        <v>2.2498399999999999E-118</v>
      </c>
      <c r="O5519">
        <v>1087</v>
      </c>
    </row>
    <row r="5520" spans="1:15" x14ac:dyDescent="0.25">
      <c r="A5520" t="s">
        <v>5533</v>
      </c>
      <c r="B5520">
        <v>442</v>
      </c>
      <c r="C5520" s="1" t="str">
        <f>HYPERLINK("http://www.rosaceae.org/gb/gbrowse/malus_x_domestica/?name=MDP0000555752","MDP0000555752")</f>
        <v>MDP0000555752</v>
      </c>
      <c r="D5520">
        <v>64.66</v>
      </c>
      <c r="E5520">
        <v>133</v>
      </c>
      <c r="F5520">
        <v>47</v>
      </c>
      <c r="G5520">
        <v>0</v>
      </c>
      <c r="H5520">
        <v>270</v>
      </c>
      <c r="I5520">
        <v>402</v>
      </c>
      <c r="J5520">
        <v>1</v>
      </c>
      <c r="K5520">
        <v>1</v>
      </c>
      <c r="L5520">
        <v>133</v>
      </c>
      <c r="M5520">
        <v>1</v>
      </c>
      <c r="N5520">
        <v>4.8295000000000003E-48</v>
      </c>
      <c r="O5520">
        <v>480</v>
      </c>
    </row>
    <row r="5521" spans="1:15" x14ac:dyDescent="0.25">
      <c r="A5521" t="s">
        <v>5534</v>
      </c>
      <c r="B5521">
        <v>433</v>
      </c>
      <c r="C5521" s="1" t="str">
        <f>HYPERLINK("http://www.rosaceae.org/gb/gbrowse/malus_x_domestica/?name=MDP0000240321","MDP0000240321")</f>
        <v>MDP0000240321</v>
      </c>
      <c r="D5521">
        <v>49.01</v>
      </c>
      <c r="E5521">
        <v>408</v>
      </c>
      <c r="F5521">
        <v>208</v>
      </c>
      <c r="G5521">
        <v>53</v>
      </c>
      <c r="H5521">
        <v>11</v>
      </c>
      <c r="I5521">
        <v>386</v>
      </c>
      <c r="J5521">
        <v>1</v>
      </c>
      <c r="K5521">
        <v>1</v>
      </c>
      <c r="L5521">
        <v>387</v>
      </c>
      <c r="M5521">
        <v>1</v>
      </c>
      <c r="N5521">
        <v>2.7659099999999998E-87</v>
      </c>
      <c r="O5521">
        <v>819</v>
      </c>
    </row>
    <row r="5522" spans="1:15" x14ac:dyDescent="0.25">
      <c r="A5522" t="s">
        <v>5535</v>
      </c>
      <c r="B5522">
        <v>348</v>
      </c>
      <c r="C5522" s="1" t="str">
        <f>HYPERLINK("http://www.rosaceae.org/gb/gbrowse/malus_x_domestica/?name=MDP0000268315","MDP0000268315")</f>
        <v>MDP0000268315</v>
      </c>
      <c r="D5522">
        <v>76.63</v>
      </c>
      <c r="E5522">
        <v>321</v>
      </c>
      <c r="F5522">
        <v>75</v>
      </c>
      <c r="G5522">
        <v>3</v>
      </c>
      <c r="H5522">
        <v>1</v>
      </c>
      <c r="I5522">
        <v>321</v>
      </c>
      <c r="J5522">
        <v>1</v>
      </c>
      <c r="K5522">
        <v>1</v>
      </c>
      <c r="L5522">
        <v>318</v>
      </c>
      <c r="M5522">
        <v>1</v>
      </c>
      <c r="N5522">
        <v>5.2886400000000003E-148</v>
      </c>
      <c r="O5522">
        <v>1341</v>
      </c>
    </row>
    <row r="5523" spans="1:15" x14ac:dyDescent="0.25">
      <c r="A5523" t="s">
        <v>5536</v>
      </c>
      <c r="B5523">
        <v>241</v>
      </c>
      <c r="C5523" s="1" t="str">
        <f>HYPERLINK("http://www.rosaceae.org/gb/gbrowse/malus_x_domestica/?name=MDP0000193206","MDP0000193206")</f>
        <v>MDP0000193206</v>
      </c>
      <c r="D5523">
        <v>55.94</v>
      </c>
      <c r="E5523">
        <v>143</v>
      </c>
      <c r="F5523">
        <v>63</v>
      </c>
      <c r="G5523">
        <v>17</v>
      </c>
      <c r="H5523">
        <v>3</v>
      </c>
      <c r="I5523">
        <v>140</v>
      </c>
      <c r="J5523">
        <v>1</v>
      </c>
      <c r="K5523">
        <v>11</v>
      </c>
      <c r="L5523">
        <v>141</v>
      </c>
      <c r="M5523">
        <v>1</v>
      </c>
      <c r="N5523">
        <v>1.44473E-12</v>
      </c>
      <c r="O5523">
        <v>171</v>
      </c>
    </row>
    <row r="5524" spans="1:15" x14ac:dyDescent="0.25">
      <c r="A5524" t="s">
        <v>5537</v>
      </c>
      <c r="B5524">
        <v>732</v>
      </c>
      <c r="C5524" s="1" t="str">
        <f>HYPERLINK("http://www.rosaceae.org/gb/gbrowse/malus_x_domestica/?name=MDP0000185280","MDP0000185280")</f>
        <v>MDP0000185280</v>
      </c>
      <c r="D5524">
        <v>70.430000000000007</v>
      </c>
      <c r="E5524">
        <v>707</v>
      </c>
      <c r="F5524">
        <v>209</v>
      </c>
      <c r="G5524">
        <v>3</v>
      </c>
      <c r="H5524">
        <v>9</v>
      </c>
      <c r="I5524">
        <v>714</v>
      </c>
      <c r="J5524">
        <v>1</v>
      </c>
      <c r="K5524">
        <v>11</v>
      </c>
      <c r="L5524">
        <v>715</v>
      </c>
      <c r="M5524">
        <v>1</v>
      </c>
      <c r="N5524">
        <v>0</v>
      </c>
      <c r="O5524">
        <v>2723</v>
      </c>
    </row>
    <row r="5525" spans="1:15" x14ac:dyDescent="0.25">
      <c r="A5525" t="s">
        <v>5538</v>
      </c>
      <c r="B5525">
        <v>400</v>
      </c>
      <c r="C5525" s="1" t="str">
        <f>HYPERLINK("http://www.rosaceae.org/gb/gbrowse/malus_x_domestica/?name=MDP0000241635","MDP0000241635")</f>
        <v>MDP0000241635</v>
      </c>
      <c r="D5525">
        <v>46.27</v>
      </c>
      <c r="E5525">
        <v>430</v>
      </c>
      <c r="F5525">
        <v>231</v>
      </c>
      <c r="G5525">
        <v>58</v>
      </c>
      <c r="H5525">
        <v>1</v>
      </c>
      <c r="I5525">
        <v>395</v>
      </c>
      <c r="J5525">
        <v>1</v>
      </c>
      <c r="K5525">
        <v>58</v>
      </c>
      <c r="L5525">
        <v>464</v>
      </c>
      <c r="M5525">
        <v>1</v>
      </c>
      <c r="N5525">
        <v>2.1785300000000001E-83</v>
      </c>
      <c r="O5525">
        <v>785</v>
      </c>
    </row>
    <row r="5526" spans="1:15" x14ac:dyDescent="0.25">
      <c r="A5526" t="s">
        <v>5539</v>
      </c>
      <c r="B5526">
        <v>151</v>
      </c>
      <c r="C5526" s="1" t="str">
        <f>HYPERLINK("http://www.rosaceae.org/gb/gbrowse/malus_x_domestica/?name=MDP0000139081","MDP0000139081")</f>
        <v>MDP0000139081</v>
      </c>
      <c r="D5526">
        <v>64.55</v>
      </c>
      <c r="E5526">
        <v>79</v>
      </c>
      <c r="F5526">
        <v>28</v>
      </c>
      <c r="G5526">
        <v>0</v>
      </c>
      <c r="H5526">
        <v>73</v>
      </c>
      <c r="I5526">
        <v>151</v>
      </c>
      <c r="J5526">
        <v>1</v>
      </c>
      <c r="K5526">
        <v>1035</v>
      </c>
      <c r="L5526">
        <v>1113</v>
      </c>
      <c r="M5526">
        <v>1</v>
      </c>
      <c r="N5526">
        <v>3.7988600000000002E-26</v>
      </c>
      <c r="O5526">
        <v>285</v>
      </c>
    </row>
    <row r="5527" spans="1:15" x14ac:dyDescent="0.25">
      <c r="A5527" t="s">
        <v>5540</v>
      </c>
      <c r="B5527">
        <v>462</v>
      </c>
      <c r="C5527" s="1" t="str">
        <f>HYPERLINK("http://www.rosaceae.org/gb/gbrowse/malus_x_domestica/?name=MDP0000728083","MDP0000728083")</f>
        <v>MDP0000728083</v>
      </c>
      <c r="D5527">
        <v>67.86</v>
      </c>
      <c r="E5527">
        <v>473</v>
      </c>
      <c r="F5527">
        <v>152</v>
      </c>
      <c r="G5527">
        <v>19</v>
      </c>
      <c r="H5527">
        <v>2</v>
      </c>
      <c r="I5527">
        <v>462</v>
      </c>
      <c r="J5527">
        <v>1</v>
      </c>
      <c r="K5527">
        <v>1</v>
      </c>
      <c r="L5527">
        <v>466</v>
      </c>
      <c r="M5527">
        <v>1</v>
      </c>
      <c r="N5527">
        <v>3.5026800000000003E-176</v>
      </c>
      <c r="O5527">
        <v>1585</v>
      </c>
    </row>
    <row r="5528" spans="1:15" x14ac:dyDescent="0.25">
      <c r="A5528" t="s">
        <v>5541</v>
      </c>
      <c r="B5528">
        <v>210</v>
      </c>
      <c r="C5528" s="1" t="str">
        <f>HYPERLINK("http://www.rosaceae.org/gb/gbrowse/malus_x_domestica/?name=MDP0000151267","MDP0000151267")</f>
        <v>MDP0000151267</v>
      </c>
      <c r="D5528">
        <v>55.88</v>
      </c>
      <c r="E5528">
        <v>204</v>
      </c>
      <c r="F5528">
        <v>90</v>
      </c>
      <c r="G5528">
        <v>55</v>
      </c>
      <c r="H5528">
        <v>1</v>
      </c>
      <c r="I5528">
        <v>149</v>
      </c>
      <c r="J5528">
        <v>1</v>
      </c>
      <c r="K5528">
        <v>1</v>
      </c>
      <c r="L5528">
        <v>204</v>
      </c>
      <c r="M5528">
        <v>1</v>
      </c>
      <c r="N5528">
        <v>5.5767399999999999E-46</v>
      </c>
      <c r="O5528">
        <v>458</v>
      </c>
    </row>
    <row r="5529" spans="1:15" x14ac:dyDescent="0.25">
      <c r="A5529" t="s">
        <v>5542</v>
      </c>
      <c r="B5529">
        <v>593</v>
      </c>
      <c r="C5529" s="1" t="str">
        <f>HYPERLINK("http://www.rosaceae.org/gb/gbrowse/malus_x_domestica/?name=MDP0000565238","MDP0000565238")</f>
        <v>MDP0000565238</v>
      </c>
      <c r="D5529">
        <v>64.459999999999994</v>
      </c>
      <c r="E5529">
        <v>529</v>
      </c>
      <c r="F5529">
        <v>188</v>
      </c>
      <c r="G5529">
        <v>20</v>
      </c>
      <c r="H5529">
        <v>1</v>
      </c>
      <c r="I5529">
        <v>526</v>
      </c>
      <c r="J5529">
        <v>1</v>
      </c>
      <c r="K5529">
        <v>1</v>
      </c>
      <c r="L5529">
        <v>512</v>
      </c>
      <c r="M5529">
        <v>1</v>
      </c>
      <c r="N5529">
        <v>0</v>
      </c>
      <c r="O5529">
        <v>1787</v>
      </c>
    </row>
    <row r="5530" spans="1:15" x14ac:dyDescent="0.25">
      <c r="A5530" t="s">
        <v>5543</v>
      </c>
      <c r="B5530">
        <v>224</v>
      </c>
      <c r="C5530" s="1" t="str">
        <f>HYPERLINK("http://www.rosaceae.org/gb/gbrowse/malus_x_domestica/?name=MDP0000177288","MDP0000177288")</f>
        <v>MDP0000177288</v>
      </c>
      <c r="D5530">
        <v>48.33</v>
      </c>
      <c r="E5530">
        <v>60</v>
      </c>
      <c r="F5530">
        <v>31</v>
      </c>
      <c r="G5530">
        <v>1</v>
      </c>
      <c r="H5530">
        <v>4</v>
      </c>
      <c r="I5530">
        <v>63</v>
      </c>
      <c r="J5530">
        <v>1</v>
      </c>
      <c r="K5530">
        <v>842</v>
      </c>
      <c r="L5530">
        <v>900</v>
      </c>
      <c r="M5530">
        <v>1</v>
      </c>
      <c r="N5530">
        <v>2.7936899999999999E-8</v>
      </c>
      <c r="O5530">
        <v>134</v>
      </c>
    </row>
    <row r="5531" spans="1:15" x14ac:dyDescent="0.25">
      <c r="A5531" t="s">
        <v>5544</v>
      </c>
      <c r="B5531">
        <v>610</v>
      </c>
      <c r="C5531" s="1" t="str">
        <f>HYPERLINK("http://www.rosaceae.org/gb/gbrowse/malus_x_domestica/?name=MDP0000811021","MDP0000811021")</f>
        <v>MDP0000811021</v>
      </c>
      <c r="D5531">
        <v>73.849999999999994</v>
      </c>
      <c r="E5531">
        <v>612</v>
      </c>
      <c r="F5531">
        <v>160</v>
      </c>
      <c r="G5531">
        <v>6</v>
      </c>
      <c r="H5531">
        <v>1</v>
      </c>
      <c r="I5531">
        <v>610</v>
      </c>
      <c r="J5531">
        <v>1</v>
      </c>
      <c r="K5531">
        <v>1</v>
      </c>
      <c r="L5531">
        <v>608</v>
      </c>
      <c r="M5531">
        <v>1</v>
      </c>
      <c r="N5531">
        <v>0</v>
      </c>
      <c r="O5531">
        <v>2327</v>
      </c>
    </row>
    <row r="5532" spans="1:15" x14ac:dyDescent="0.25">
      <c r="A5532" t="s">
        <v>5545</v>
      </c>
      <c r="B5532">
        <v>652</v>
      </c>
      <c r="C5532" s="1" t="str">
        <f>HYPERLINK("http://www.rosaceae.org/gb/gbrowse/malus_x_domestica/?name=MDP0000168293","MDP0000168293")</f>
        <v>MDP0000168293</v>
      </c>
      <c r="D5532">
        <v>65.62</v>
      </c>
      <c r="E5532">
        <v>544</v>
      </c>
      <c r="F5532">
        <v>187</v>
      </c>
      <c r="G5532">
        <v>3</v>
      </c>
      <c r="H5532">
        <v>26</v>
      </c>
      <c r="I5532">
        <v>567</v>
      </c>
      <c r="J5532">
        <v>1</v>
      </c>
      <c r="K5532">
        <v>27</v>
      </c>
      <c r="L5532">
        <v>569</v>
      </c>
      <c r="M5532">
        <v>1</v>
      </c>
      <c r="N5532">
        <v>0</v>
      </c>
      <c r="O5532">
        <v>1946</v>
      </c>
    </row>
    <row r="5533" spans="1:15" x14ac:dyDescent="0.25">
      <c r="A5533" t="s">
        <v>5546</v>
      </c>
      <c r="B5533">
        <v>605</v>
      </c>
      <c r="C5533" s="1" t="str">
        <f>HYPERLINK("http://www.rosaceae.org/gb/gbrowse/malus_x_domestica/?name=MDP0000231072","MDP0000231072")</f>
        <v>MDP0000231072</v>
      </c>
      <c r="D5533">
        <v>36.049999999999997</v>
      </c>
      <c r="E5533">
        <v>477</v>
      </c>
      <c r="F5533">
        <v>305</v>
      </c>
      <c r="G5533">
        <v>102</v>
      </c>
      <c r="H5533">
        <v>59</v>
      </c>
      <c r="I5533">
        <v>484</v>
      </c>
      <c r="J5533">
        <v>1</v>
      </c>
      <c r="K5533">
        <v>4</v>
      </c>
      <c r="L5533">
        <v>429</v>
      </c>
      <c r="M5533">
        <v>1</v>
      </c>
      <c r="N5533">
        <v>1.11871E-60</v>
      </c>
      <c r="O5533">
        <v>591</v>
      </c>
    </row>
    <row r="5534" spans="1:15" x14ac:dyDescent="0.25">
      <c r="A5534" t="s">
        <v>5547</v>
      </c>
      <c r="B5534">
        <v>482</v>
      </c>
      <c r="C5534" s="1" t="str">
        <f>HYPERLINK("http://www.rosaceae.org/gb/gbrowse/malus_x_domestica/?name=MDP0000317741","MDP0000317741")</f>
        <v>MDP0000317741</v>
      </c>
      <c r="D5534">
        <v>63.23</v>
      </c>
      <c r="E5534">
        <v>68</v>
      </c>
      <c r="F5534">
        <v>25</v>
      </c>
      <c r="G5534">
        <v>0</v>
      </c>
      <c r="H5534">
        <v>134</v>
      </c>
      <c r="I5534">
        <v>201</v>
      </c>
      <c r="J5534">
        <v>1</v>
      </c>
      <c r="K5534">
        <v>27</v>
      </c>
      <c r="L5534">
        <v>94</v>
      </c>
      <c r="M5534">
        <v>1</v>
      </c>
      <c r="N5534">
        <v>6.3315999999999997E-21</v>
      </c>
      <c r="O5534">
        <v>247</v>
      </c>
    </row>
    <row r="5535" spans="1:15" x14ac:dyDescent="0.25">
      <c r="A5535" t="s">
        <v>5548</v>
      </c>
      <c r="B5535">
        <v>400</v>
      </c>
      <c r="C5535" s="1" t="str">
        <f>HYPERLINK("http://www.rosaceae.org/gb/gbrowse/malus_x_domestica/?name=MDP0000878686","MDP0000878686")</f>
        <v>MDP0000878686</v>
      </c>
      <c r="D5535">
        <v>26.9</v>
      </c>
      <c r="E5535">
        <v>394</v>
      </c>
      <c r="F5535">
        <v>288</v>
      </c>
      <c r="G5535">
        <v>101</v>
      </c>
      <c r="H5535">
        <v>36</v>
      </c>
      <c r="I5535">
        <v>400</v>
      </c>
      <c r="J5535">
        <v>1</v>
      </c>
      <c r="K5535">
        <v>55</v>
      </c>
      <c r="L5535">
        <v>376</v>
      </c>
      <c r="M5535">
        <v>1</v>
      </c>
      <c r="N5535">
        <v>1.37855E-21</v>
      </c>
      <c r="O5535">
        <v>252</v>
      </c>
    </row>
    <row r="5536" spans="1:15" x14ac:dyDescent="0.25">
      <c r="A5536" t="s">
        <v>5549</v>
      </c>
      <c r="B5536">
        <v>118</v>
      </c>
      <c r="C5536" s="1" t="str">
        <f>HYPERLINK("http://www.rosaceae.org/gb/gbrowse/malus_x_domestica/?name=MDP0000729863","MDP0000729863")</f>
        <v>MDP0000729863</v>
      </c>
      <c r="D5536">
        <v>53.01</v>
      </c>
      <c r="E5536">
        <v>83</v>
      </c>
      <c r="F5536">
        <v>39</v>
      </c>
      <c r="G5536">
        <v>2</v>
      </c>
      <c r="H5536">
        <v>35</v>
      </c>
      <c r="I5536">
        <v>117</v>
      </c>
      <c r="J5536">
        <v>1</v>
      </c>
      <c r="K5536">
        <v>22</v>
      </c>
      <c r="L5536">
        <v>102</v>
      </c>
      <c r="M5536">
        <v>1</v>
      </c>
      <c r="N5536">
        <v>2.4327600000000001E-15</v>
      </c>
      <c r="O5536">
        <v>190</v>
      </c>
    </row>
    <row r="5537" spans="1:15" x14ac:dyDescent="0.25">
      <c r="A5537" t="s">
        <v>5550</v>
      </c>
      <c r="B5537">
        <v>179</v>
      </c>
      <c r="C5537" s="1" t="str">
        <f>HYPERLINK("http://www.rosaceae.org/gb/gbrowse/malus_x_domestica/?name=MDP0000950137","MDP0000950137")</f>
        <v>MDP0000950137</v>
      </c>
      <c r="D5537">
        <v>67.34</v>
      </c>
      <c r="E5537">
        <v>98</v>
      </c>
      <c r="F5537">
        <v>32</v>
      </c>
      <c r="G5537">
        <v>10</v>
      </c>
      <c r="H5537">
        <v>47</v>
      </c>
      <c r="I5537">
        <v>134</v>
      </c>
      <c r="J5537">
        <v>1</v>
      </c>
      <c r="K5537">
        <v>263</v>
      </c>
      <c r="L5537">
        <v>360</v>
      </c>
      <c r="M5537">
        <v>1</v>
      </c>
      <c r="N5537">
        <v>9.7732799999999996E-27</v>
      </c>
      <c r="O5537">
        <v>291</v>
      </c>
    </row>
    <row r="5538" spans="1:15" x14ac:dyDescent="0.25">
      <c r="A5538" t="s">
        <v>5551</v>
      </c>
      <c r="B5538">
        <v>245</v>
      </c>
      <c r="C5538" s="1" t="str">
        <f>HYPERLINK("http://www.rosaceae.org/gb/gbrowse/malus_x_domestica/?name=MDP0000182230","MDP0000182230")</f>
        <v>MDP0000182230</v>
      </c>
      <c r="D5538">
        <v>70.040000000000006</v>
      </c>
      <c r="E5538">
        <v>247</v>
      </c>
      <c r="F5538">
        <v>74</v>
      </c>
      <c r="G5538">
        <v>5</v>
      </c>
      <c r="H5538">
        <v>1</v>
      </c>
      <c r="I5538">
        <v>243</v>
      </c>
      <c r="J5538">
        <v>1</v>
      </c>
      <c r="K5538">
        <v>1</v>
      </c>
      <c r="L5538">
        <v>246</v>
      </c>
      <c r="M5538">
        <v>1</v>
      </c>
      <c r="N5538">
        <v>2.1092600000000001E-99</v>
      </c>
      <c r="O5538">
        <v>920</v>
      </c>
    </row>
    <row r="5539" spans="1:15" x14ac:dyDescent="0.25">
      <c r="A5539" t="s">
        <v>5552</v>
      </c>
      <c r="B5539">
        <v>170</v>
      </c>
      <c r="C5539" s="1" t="str">
        <f>HYPERLINK("http://www.rosaceae.org/gb/gbrowse/malus_x_domestica/?name=MDP0000142005","MDP0000142005")</f>
        <v>MDP0000142005</v>
      </c>
      <c r="D5539">
        <v>56.47</v>
      </c>
      <c r="E5539">
        <v>170</v>
      </c>
      <c r="F5539">
        <v>74</v>
      </c>
      <c r="G5539">
        <v>17</v>
      </c>
      <c r="H5539">
        <v>1</v>
      </c>
      <c r="I5539">
        <v>170</v>
      </c>
      <c r="J5539">
        <v>1</v>
      </c>
      <c r="K5539">
        <v>1</v>
      </c>
      <c r="L5539">
        <v>153</v>
      </c>
      <c r="M5539">
        <v>1</v>
      </c>
      <c r="N5539">
        <v>8.2395399999999995E-44</v>
      </c>
      <c r="O5539">
        <v>438</v>
      </c>
    </row>
    <row r="5540" spans="1:15" x14ac:dyDescent="0.25">
      <c r="A5540" t="s">
        <v>5553</v>
      </c>
      <c r="B5540">
        <v>559</v>
      </c>
      <c r="C5540" s="1" t="str">
        <f>HYPERLINK("http://www.rosaceae.org/gb/gbrowse/malus_x_domestica/?name=MDP0000289712","MDP0000289712")</f>
        <v>MDP0000289712</v>
      </c>
      <c r="D5540">
        <v>73.22</v>
      </c>
      <c r="E5540">
        <v>437</v>
      </c>
      <c r="F5540">
        <v>117</v>
      </c>
      <c r="G5540">
        <v>0</v>
      </c>
      <c r="H5540">
        <v>116</v>
      </c>
      <c r="I5540">
        <v>552</v>
      </c>
      <c r="J5540">
        <v>1</v>
      </c>
      <c r="K5540">
        <v>956</v>
      </c>
      <c r="L5540">
        <v>1392</v>
      </c>
      <c r="M5540">
        <v>1</v>
      </c>
      <c r="N5540">
        <v>3.23425E-178</v>
      </c>
      <c r="O5540">
        <v>1604</v>
      </c>
    </row>
    <row r="5541" spans="1:15" x14ac:dyDescent="0.25">
      <c r="A5541" t="s">
        <v>5554</v>
      </c>
      <c r="B5541">
        <v>487</v>
      </c>
      <c r="C5541" s="1" t="str">
        <f>HYPERLINK("http://www.rosaceae.org/gb/gbrowse/malus_x_domestica/?name=MDP0000223760","MDP0000223760")</f>
        <v>MDP0000223760</v>
      </c>
      <c r="D5541">
        <v>69.64</v>
      </c>
      <c r="E5541">
        <v>514</v>
      </c>
      <c r="F5541">
        <v>156</v>
      </c>
      <c r="G5541">
        <v>47</v>
      </c>
      <c r="H5541">
        <v>19</v>
      </c>
      <c r="I5541">
        <v>487</v>
      </c>
      <c r="J5541">
        <v>1</v>
      </c>
      <c r="K5541">
        <v>135</v>
      </c>
      <c r="L5541">
        <v>646</v>
      </c>
      <c r="M5541">
        <v>1</v>
      </c>
      <c r="N5541">
        <v>0</v>
      </c>
      <c r="O5541">
        <v>1819</v>
      </c>
    </row>
    <row r="5542" spans="1:15" x14ac:dyDescent="0.25">
      <c r="A5542" t="s">
        <v>5555</v>
      </c>
      <c r="B5542">
        <v>1036</v>
      </c>
      <c r="C5542" s="1" t="str">
        <f>HYPERLINK("http://www.rosaceae.org/gb/gbrowse/malus_x_domestica/?name=MDP0000139392","MDP0000139392")</f>
        <v>MDP0000139392</v>
      </c>
      <c r="D5542">
        <v>79.75</v>
      </c>
      <c r="E5542">
        <v>1042</v>
      </c>
      <c r="F5542">
        <v>211</v>
      </c>
      <c r="G5542">
        <v>16</v>
      </c>
      <c r="H5542">
        <v>3</v>
      </c>
      <c r="I5542">
        <v>1036</v>
      </c>
      <c r="J5542">
        <v>1</v>
      </c>
      <c r="K5542">
        <v>5</v>
      </c>
      <c r="L5542">
        <v>1038</v>
      </c>
      <c r="M5542">
        <v>1</v>
      </c>
      <c r="N5542">
        <v>0</v>
      </c>
      <c r="O5542">
        <v>4303</v>
      </c>
    </row>
    <row r="5543" spans="1:15" x14ac:dyDescent="0.25">
      <c r="A5543" t="s">
        <v>5556</v>
      </c>
      <c r="B5543">
        <v>152</v>
      </c>
      <c r="C5543" s="1" t="str">
        <f>HYPERLINK("http://www.rosaceae.org/gb/gbrowse/malus_x_domestica/?name=MDP0000168116","MDP0000168116")</f>
        <v>MDP0000168116</v>
      </c>
      <c r="D5543">
        <v>81.040000000000006</v>
      </c>
      <c r="E5543">
        <v>153</v>
      </c>
      <c r="F5543">
        <v>29</v>
      </c>
      <c r="G5543">
        <v>1</v>
      </c>
      <c r="H5543">
        <v>1</v>
      </c>
      <c r="I5543">
        <v>152</v>
      </c>
      <c r="J5543">
        <v>1</v>
      </c>
      <c r="K5543">
        <v>42</v>
      </c>
      <c r="L5543">
        <v>194</v>
      </c>
      <c r="M5543">
        <v>1</v>
      </c>
      <c r="N5543">
        <v>2.4532400000000002E-69</v>
      </c>
      <c r="O5543">
        <v>657</v>
      </c>
    </row>
    <row r="5544" spans="1:15" x14ac:dyDescent="0.25">
      <c r="A5544" t="s">
        <v>5557</v>
      </c>
      <c r="B5544">
        <v>298</v>
      </c>
      <c r="C5544" s="1" t="str">
        <f>HYPERLINK("http://www.rosaceae.org/gb/gbrowse/malus_x_domestica/?name=MDP0000239688","MDP0000239688")</f>
        <v>MDP0000239688</v>
      </c>
      <c r="D5544">
        <v>89.09</v>
      </c>
      <c r="E5544">
        <v>266</v>
      </c>
      <c r="F5544">
        <v>29</v>
      </c>
      <c r="G5544">
        <v>1</v>
      </c>
      <c r="H5544">
        <v>33</v>
      </c>
      <c r="I5544">
        <v>298</v>
      </c>
      <c r="J5544">
        <v>1</v>
      </c>
      <c r="K5544">
        <v>590</v>
      </c>
      <c r="L5544">
        <v>854</v>
      </c>
      <c r="M5544">
        <v>1</v>
      </c>
      <c r="N5544">
        <v>2.89515E-142</v>
      </c>
      <c r="O5544">
        <v>1291</v>
      </c>
    </row>
    <row r="5545" spans="1:15" x14ac:dyDescent="0.25">
      <c r="A5545" t="s">
        <v>5558</v>
      </c>
      <c r="B5545">
        <v>565</v>
      </c>
      <c r="C5545" s="1" t="str">
        <f>HYPERLINK("http://www.rosaceae.org/gb/gbrowse/malus_x_domestica/?name=MDP0000413940","MDP0000413940")</f>
        <v>MDP0000413940</v>
      </c>
      <c r="D5545">
        <v>70.19</v>
      </c>
      <c r="E5545">
        <v>567</v>
      </c>
      <c r="F5545">
        <v>169</v>
      </c>
      <c r="G5545">
        <v>12</v>
      </c>
      <c r="H5545">
        <v>1</v>
      </c>
      <c r="I5545">
        <v>562</v>
      </c>
      <c r="J5545">
        <v>1</v>
      </c>
      <c r="K5545">
        <v>1</v>
      </c>
      <c r="L5545">
        <v>560</v>
      </c>
      <c r="M5545">
        <v>1</v>
      </c>
      <c r="N5545">
        <v>0</v>
      </c>
      <c r="O5545">
        <v>1942</v>
      </c>
    </row>
    <row r="5546" spans="1:15" x14ac:dyDescent="0.25">
      <c r="A5546" t="s">
        <v>5559</v>
      </c>
      <c r="B5546">
        <v>227</v>
      </c>
      <c r="C5546" s="1" t="str">
        <f>HYPERLINK("http://www.rosaceae.org/gb/gbrowse/malus_x_domestica/?name=MDP0000946822","MDP0000946822")</f>
        <v>MDP0000946822</v>
      </c>
      <c r="D5546">
        <v>69.69</v>
      </c>
      <c r="E5546">
        <v>231</v>
      </c>
      <c r="F5546">
        <v>70</v>
      </c>
      <c r="G5546">
        <v>7</v>
      </c>
      <c r="H5546">
        <v>1</v>
      </c>
      <c r="I5546">
        <v>227</v>
      </c>
      <c r="J5546">
        <v>1</v>
      </c>
      <c r="K5546">
        <v>36</v>
      </c>
      <c r="L5546">
        <v>263</v>
      </c>
      <c r="M5546">
        <v>1</v>
      </c>
      <c r="N5546">
        <v>9.23207E-83</v>
      </c>
      <c r="O5546">
        <v>776</v>
      </c>
    </row>
    <row r="5547" spans="1:15" x14ac:dyDescent="0.25">
      <c r="A5547" t="s">
        <v>5560</v>
      </c>
      <c r="B5547">
        <v>132</v>
      </c>
      <c r="C5547" s="1" t="str">
        <f>HYPERLINK("http://www.rosaceae.org/gb/gbrowse/malus_x_domestica/?name=MDP0000900582","MDP0000900582")</f>
        <v>MDP0000900582</v>
      </c>
      <c r="D5547">
        <v>41.73</v>
      </c>
      <c r="E5547">
        <v>115</v>
      </c>
      <c r="F5547">
        <v>67</v>
      </c>
      <c r="G5547">
        <v>21</v>
      </c>
      <c r="H5547">
        <v>24</v>
      </c>
      <c r="I5547">
        <v>132</v>
      </c>
      <c r="J5547">
        <v>1</v>
      </c>
      <c r="K5547">
        <v>259</v>
      </c>
      <c r="L5547">
        <v>358</v>
      </c>
      <c r="M5547">
        <v>1</v>
      </c>
      <c r="N5547">
        <v>6.4112000000000005E-17</v>
      </c>
      <c r="O5547">
        <v>204</v>
      </c>
    </row>
    <row r="5548" spans="1:15" x14ac:dyDescent="0.25">
      <c r="A5548" t="s">
        <v>5561</v>
      </c>
      <c r="B5548">
        <v>209</v>
      </c>
      <c r="C5548" s="1" t="str">
        <f>HYPERLINK("http://www.rosaceae.org/gb/gbrowse/malus_x_domestica/?name=MDP0000614624","MDP0000614624")</f>
        <v>MDP0000614624</v>
      </c>
      <c r="D5548">
        <v>100</v>
      </c>
      <c r="E5548">
        <v>38</v>
      </c>
      <c r="F5548">
        <v>0</v>
      </c>
      <c r="G5548">
        <v>0</v>
      </c>
      <c r="H5548">
        <v>114</v>
      </c>
      <c r="I5548">
        <v>151</v>
      </c>
      <c r="J5548">
        <v>1</v>
      </c>
      <c r="K5548">
        <v>1</v>
      </c>
      <c r="L5548">
        <v>38</v>
      </c>
      <c r="M5548">
        <v>1</v>
      </c>
      <c r="N5548">
        <v>1.0081099999999999E-15</v>
      </c>
      <c r="O5548">
        <v>197</v>
      </c>
    </row>
    <row r="5549" spans="1:15" x14ac:dyDescent="0.25">
      <c r="A5549" t="s">
        <v>5562</v>
      </c>
      <c r="B5549">
        <v>125</v>
      </c>
      <c r="C5549" s="1" t="str">
        <f>HYPERLINK("http://www.rosaceae.org/gb/gbrowse/malus_x_domestica/?name=MDP0000485715","MDP0000485715")</f>
        <v>MDP0000485715</v>
      </c>
      <c r="D5549">
        <v>42.3</v>
      </c>
      <c r="E5549">
        <v>78</v>
      </c>
      <c r="F5549">
        <v>45</v>
      </c>
      <c r="G5549">
        <v>0</v>
      </c>
      <c r="H5549">
        <v>2</v>
      </c>
      <c r="I5549">
        <v>79</v>
      </c>
      <c r="J5549">
        <v>1</v>
      </c>
      <c r="K5549">
        <v>212</v>
      </c>
      <c r="L5549">
        <v>289</v>
      </c>
      <c r="M5549">
        <v>1</v>
      </c>
      <c r="N5549">
        <v>1.37051E-13</v>
      </c>
      <c r="O5549">
        <v>175</v>
      </c>
    </row>
    <row r="5550" spans="1:15" x14ac:dyDescent="0.25">
      <c r="A5550" t="s">
        <v>5563</v>
      </c>
      <c r="B5550">
        <v>405</v>
      </c>
      <c r="C5550" s="1" t="str">
        <f>HYPERLINK("http://www.rosaceae.org/gb/gbrowse/malus_x_domestica/?name=MDP0000130897","MDP0000130897")</f>
        <v>MDP0000130897</v>
      </c>
      <c r="D5550">
        <v>30.76</v>
      </c>
      <c r="E5550">
        <v>182</v>
      </c>
      <c r="F5550">
        <v>126</v>
      </c>
      <c r="G5550">
        <v>7</v>
      </c>
      <c r="H5550">
        <v>230</v>
      </c>
      <c r="I5550">
        <v>404</v>
      </c>
      <c r="J5550">
        <v>1</v>
      </c>
      <c r="K5550">
        <v>406</v>
      </c>
      <c r="L5550">
        <v>587</v>
      </c>
      <c r="M5550">
        <v>1</v>
      </c>
      <c r="N5550">
        <v>9.6284300000000002E-23</v>
      </c>
      <c r="O5550">
        <v>262</v>
      </c>
    </row>
    <row r="5551" spans="1:15" x14ac:dyDescent="0.25">
      <c r="A5551" t="s">
        <v>5564</v>
      </c>
      <c r="B5551">
        <v>391</v>
      </c>
      <c r="C5551" s="1" t="str">
        <f>HYPERLINK("http://www.rosaceae.org/gb/gbrowse/malus_x_domestica/?name=MDP0000322119","MDP0000322119")</f>
        <v>MDP0000322119</v>
      </c>
      <c r="D5551">
        <v>57.46</v>
      </c>
      <c r="E5551">
        <v>355</v>
      </c>
      <c r="F5551">
        <v>151</v>
      </c>
      <c r="G5551">
        <v>5</v>
      </c>
      <c r="H5551">
        <v>36</v>
      </c>
      <c r="I5551">
        <v>387</v>
      </c>
      <c r="J5551">
        <v>1</v>
      </c>
      <c r="K5551">
        <v>43</v>
      </c>
      <c r="L5551">
        <v>395</v>
      </c>
      <c r="M5551">
        <v>1</v>
      </c>
      <c r="N5551">
        <v>2.7493700000000001E-119</v>
      </c>
      <c r="O5551">
        <v>1094</v>
      </c>
    </row>
    <row r="5552" spans="1:15" x14ac:dyDescent="0.25">
      <c r="A5552" t="s">
        <v>5565</v>
      </c>
      <c r="B5552">
        <v>271</v>
      </c>
      <c r="C5552" s="1" t="str">
        <f>HYPERLINK("http://www.rosaceae.org/gb/gbrowse/malus_x_domestica/?name=MDP0000940026","MDP0000940026")</f>
        <v>MDP0000940026</v>
      </c>
      <c r="D5552">
        <v>42.66</v>
      </c>
      <c r="E5552">
        <v>150</v>
      </c>
      <c r="F5552">
        <v>86</v>
      </c>
      <c r="G5552">
        <v>7</v>
      </c>
      <c r="H5552">
        <v>5</v>
      </c>
      <c r="I5552">
        <v>154</v>
      </c>
      <c r="J5552">
        <v>1</v>
      </c>
      <c r="K5552">
        <v>22</v>
      </c>
      <c r="L5552">
        <v>164</v>
      </c>
      <c r="M5552">
        <v>1</v>
      </c>
      <c r="N5552">
        <v>5.5604600000000005E-29</v>
      </c>
      <c r="O5552">
        <v>313</v>
      </c>
    </row>
    <row r="5553" spans="1:15" x14ac:dyDescent="0.25">
      <c r="A5553" t="s">
        <v>5566</v>
      </c>
      <c r="B5553">
        <v>533</v>
      </c>
      <c r="C5553" s="1" t="str">
        <f>HYPERLINK("http://www.rosaceae.org/gb/gbrowse/malus_x_domestica/?name=MDP0000024364","MDP0000024364")</f>
        <v>MDP0000024364</v>
      </c>
      <c r="D5553">
        <v>74.22</v>
      </c>
      <c r="E5553">
        <v>454</v>
      </c>
      <c r="F5553">
        <v>117</v>
      </c>
      <c r="G5553">
        <v>5</v>
      </c>
      <c r="H5553">
        <v>1</v>
      </c>
      <c r="I5553">
        <v>451</v>
      </c>
      <c r="J5553">
        <v>1</v>
      </c>
      <c r="K5553">
        <v>1</v>
      </c>
      <c r="L5553">
        <v>452</v>
      </c>
      <c r="M5553">
        <v>1</v>
      </c>
      <c r="N5553">
        <v>0</v>
      </c>
      <c r="O5553">
        <v>1805</v>
      </c>
    </row>
    <row r="5554" spans="1:15" x14ac:dyDescent="0.25">
      <c r="A5554" t="s">
        <v>5567</v>
      </c>
      <c r="B5554">
        <v>239</v>
      </c>
      <c r="C5554" s="1" t="str">
        <f>HYPERLINK("http://www.rosaceae.org/gb/gbrowse/malus_x_domestica/?name=MDP0000298638","MDP0000298638")</f>
        <v>MDP0000298638</v>
      </c>
      <c r="D5554">
        <v>30.12</v>
      </c>
      <c r="E5554">
        <v>239</v>
      </c>
      <c r="F5554">
        <v>167</v>
      </c>
      <c r="G5554">
        <v>31</v>
      </c>
      <c r="H5554">
        <v>5</v>
      </c>
      <c r="I5554">
        <v>228</v>
      </c>
      <c r="J5554">
        <v>1</v>
      </c>
      <c r="K5554">
        <v>26</v>
      </c>
      <c r="L5554">
        <v>248</v>
      </c>
      <c r="M5554">
        <v>1</v>
      </c>
      <c r="N5554">
        <v>9.4860899999999996E-13</v>
      </c>
      <c r="O5554">
        <v>173</v>
      </c>
    </row>
    <row r="5555" spans="1:15" x14ac:dyDescent="0.25">
      <c r="A5555" t="s">
        <v>5568</v>
      </c>
      <c r="B5555">
        <v>361</v>
      </c>
      <c r="C5555" s="1" t="str">
        <f>HYPERLINK("http://www.rosaceae.org/gb/gbrowse/malus_x_domestica/?name=MDP0000844205","MDP0000844205")</f>
        <v>MDP0000844205</v>
      </c>
      <c r="D5555">
        <v>87.39</v>
      </c>
      <c r="E5555">
        <v>341</v>
      </c>
      <c r="F5555">
        <v>43</v>
      </c>
      <c r="G5555">
        <v>7</v>
      </c>
      <c r="H5555">
        <v>15</v>
      </c>
      <c r="I5555">
        <v>349</v>
      </c>
      <c r="J5555">
        <v>1</v>
      </c>
      <c r="K5555">
        <v>12</v>
      </c>
      <c r="L5555">
        <v>351</v>
      </c>
      <c r="M5555">
        <v>1</v>
      </c>
      <c r="N5555">
        <v>4.2678800000000003E-177</v>
      </c>
      <c r="O5555">
        <v>1592</v>
      </c>
    </row>
    <row r="5556" spans="1:15" x14ac:dyDescent="0.25">
      <c r="A5556" t="s">
        <v>5569</v>
      </c>
      <c r="B5556">
        <v>321</v>
      </c>
      <c r="C5556" s="1" t="str">
        <f>HYPERLINK("http://www.rosaceae.org/gb/gbrowse/malus_x_domestica/?name=MDP0000320817","MDP0000320817")</f>
        <v>MDP0000320817</v>
      </c>
      <c r="D5556">
        <v>65.319999999999993</v>
      </c>
      <c r="E5556">
        <v>199</v>
      </c>
      <c r="F5556">
        <v>69</v>
      </c>
      <c r="G5556">
        <v>11</v>
      </c>
      <c r="H5556">
        <v>101</v>
      </c>
      <c r="I5556">
        <v>290</v>
      </c>
      <c r="J5556">
        <v>1</v>
      </c>
      <c r="K5556">
        <v>423</v>
      </c>
      <c r="L5556">
        <v>619</v>
      </c>
      <c r="M5556">
        <v>1</v>
      </c>
      <c r="N5556">
        <v>6.0859099999999999E-65</v>
      </c>
      <c r="O5556">
        <v>624</v>
      </c>
    </row>
    <row r="5557" spans="1:15" x14ac:dyDescent="0.25">
      <c r="A5557" t="s">
        <v>5570</v>
      </c>
      <c r="B5557">
        <v>330</v>
      </c>
      <c r="C5557" s="1" t="str">
        <f>HYPERLINK("http://www.rosaceae.org/gb/gbrowse/malus_x_domestica/?name=MDP0000284559","MDP0000284559")</f>
        <v>MDP0000284559</v>
      </c>
      <c r="D5557">
        <v>73.33</v>
      </c>
      <c r="E5557">
        <v>90</v>
      </c>
      <c r="F5557">
        <v>24</v>
      </c>
      <c r="G5557">
        <v>2</v>
      </c>
      <c r="H5557">
        <v>31</v>
      </c>
      <c r="I5557">
        <v>118</v>
      </c>
      <c r="J5557">
        <v>1</v>
      </c>
      <c r="K5557">
        <v>341</v>
      </c>
      <c r="L5557">
        <v>430</v>
      </c>
      <c r="M5557">
        <v>1</v>
      </c>
      <c r="N5557">
        <v>8.2882400000000003E-32</v>
      </c>
      <c r="O5557">
        <v>339</v>
      </c>
    </row>
    <row r="5558" spans="1:15" x14ac:dyDescent="0.25">
      <c r="A5558" t="s">
        <v>5571</v>
      </c>
      <c r="B5558">
        <v>235</v>
      </c>
      <c r="C5558" s="1" t="str">
        <f>HYPERLINK("http://www.rosaceae.org/gb/gbrowse/malus_x_domestica/?name=MDP0000311548","MDP0000311548")</f>
        <v>MDP0000311548</v>
      </c>
      <c r="D5558">
        <v>41.44</v>
      </c>
      <c r="E5558">
        <v>152</v>
      </c>
      <c r="F5558">
        <v>89</v>
      </c>
      <c r="G5558">
        <v>17</v>
      </c>
      <c r="H5558">
        <v>22</v>
      </c>
      <c r="I5558">
        <v>159</v>
      </c>
      <c r="J5558">
        <v>1</v>
      </c>
      <c r="K5558">
        <v>1</v>
      </c>
      <c r="L5558">
        <v>149</v>
      </c>
      <c r="M5558">
        <v>1</v>
      </c>
      <c r="N5558">
        <v>4.2232299999999998E-27</v>
      </c>
      <c r="O5558">
        <v>296</v>
      </c>
    </row>
    <row r="5559" spans="1:15" x14ac:dyDescent="0.25">
      <c r="A5559" t="s">
        <v>5572</v>
      </c>
      <c r="B5559">
        <v>170</v>
      </c>
      <c r="C5559" s="1" t="str">
        <f>HYPERLINK("http://www.rosaceae.org/gb/gbrowse/malus_x_domestica/?name=MDP0000143147","MDP0000143147")</f>
        <v>MDP0000143147</v>
      </c>
      <c r="D5559">
        <v>64.17</v>
      </c>
      <c r="E5559">
        <v>67</v>
      </c>
      <c r="F5559">
        <v>24</v>
      </c>
      <c r="G5559">
        <v>2</v>
      </c>
      <c r="H5559">
        <v>38</v>
      </c>
      <c r="I5559">
        <v>102</v>
      </c>
      <c r="J5559">
        <v>1</v>
      </c>
      <c r="K5559">
        <v>12</v>
      </c>
      <c r="L5559">
        <v>78</v>
      </c>
      <c r="M5559">
        <v>1</v>
      </c>
      <c r="N5559">
        <v>6.3546800000000003E-19</v>
      </c>
      <c r="O5559">
        <v>224</v>
      </c>
    </row>
    <row r="5560" spans="1:15" x14ac:dyDescent="0.25">
      <c r="A5560" t="s">
        <v>5573</v>
      </c>
      <c r="B5560">
        <v>516</v>
      </c>
      <c r="C5560" s="1" t="str">
        <f>HYPERLINK("http://www.rosaceae.org/gb/gbrowse/malus_x_domestica/?name=MDP0000186097","MDP0000186097")</f>
        <v>MDP0000186097</v>
      </c>
      <c r="D5560">
        <v>41.1</v>
      </c>
      <c r="E5560">
        <v>433</v>
      </c>
      <c r="F5560">
        <v>255</v>
      </c>
      <c r="G5560">
        <v>38</v>
      </c>
      <c r="H5560">
        <v>46</v>
      </c>
      <c r="I5560">
        <v>454</v>
      </c>
      <c r="J5560">
        <v>1</v>
      </c>
      <c r="K5560">
        <v>26</v>
      </c>
      <c r="L5560">
        <v>444</v>
      </c>
      <c r="M5560">
        <v>1</v>
      </c>
      <c r="N5560">
        <v>4.7699999999999997E-67</v>
      </c>
      <c r="O5560">
        <v>645</v>
      </c>
    </row>
    <row r="5561" spans="1:15" x14ac:dyDescent="0.25">
      <c r="A5561" t="s">
        <v>5574</v>
      </c>
      <c r="B5561">
        <v>153</v>
      </c>
      <c r="C5561" s="1" t="str">
        <f>HYPERLINK("http://www.rosaceae.org/gb/gbrowse/malus_x_domestica/?name=MDP0000187841","MDP0000187841")</f>
        <v>MDP0000187841</v>
      </c>
      <c r="D5561">
        <v>71.52</v>
      </c>
      <c r="E5561">
        <v>151</v>
      </c>
      <c r="F5561">
        <v>43</v>
      </c>
      <c r="G5561">
        <v>0</v>
      </c>
      <c r="H5561">
        <v>1</v>
      </c>
      <c r="I5561">
        <v>151</v>
      </c>
      <c r="J5561">
        <v>1</v>
      </c>
      <c r="K5561">
        <v>1</v>
      </c>
      <c r="L5561">
        <v>151</v>
      </c>
      <c r="M5561">
        <v>1</v>
      </c>
      <c r="N5561">
        <v>4.99813E-62</v>
      </c>
      <c r="O5561">
        <v>594</v>
      </c>
    </row>
    <row r="5562" spans="1:15" x14ac:dyDescent="0.25">
      <c r="A5562" t="s">
        <v>5575</v>
      </c>
      <c r="B5562">
        <v>717</v>
      </c>
      <c r="C5562" s="1" t="str">
        <f>HYPERLINK("http://www.rosaceae.org/gb/gbrowse/malus_x_domestica/?name=MDP0000257931","MDP0000257931")</f>
        <v>MDP0000257931</v>
      </c>
      <c r="D5562">
        <v>31.49</v>
      </c>
      <c r="E5562">
        <v>362</v>
      </c>
      <c r="F5562">
        <v>248</v>
      </c>
      <c r="G5562">
        <v>60</v>
      </c>
      <c r="H5562">
        <v>361</v>
      </c>
      <c r="I5562">
        <v>713</v>
      </c>
      <c r="J5562">
        <v>1</v>
      </c>
      <c r="K5562">
        <v>4</v>
      </c>
      <c r="L5562">
        <v>314</v>
      </c>
      <c r="M5562">
        <v>1</v>
      </c>
      <c r="N5562">
        <v>7.7718399999999996E-25</v>
      </c>
      <c r="O5562">
        <v>282</v>
      </c>
    </row>
    <row r="5563" spans="1:15" x14ac:dyDescent="0.25">
      <c r="A5563" t="s">
        <v>5576</v>
      </c>
      <c r="B5563">
        <v>376</v>
      </c>
      <c r="C5563" s="1" t="str">
        <f>HYPERLINK("http://www.rosaceae.org/gb/gbrowse/malus_x_domestica/?name=MDP0000500222","MDP0000500222")</f>
        <v>MDP0000500222</v>
      </c>
      <c r="D5563">
        <v>31.03</v>
      </c>
      <c r="E5563">
        <v>319</v>
      </c>
      <c r="F5563">
        <v>220</v>
      </c>
      <c r="G5563">
        <v>70</v>
      </c>
      <c r="H5563">
        <v>7</v>
      </c>
      <c r="I5563">
        <v>264</v>
      </c>
      <c r="J5563">
        <v>1</v>
      </c>
      <c r="K5563">
        <v>73</v>
      </c>
      <c r="L5563">
        <v>382</v>
      </c>
      <c r="M5563">
        <v>1</v>
      </c>
      <c r="N5563">
        <v>8.5995899999999995E-29</v>
      </c>
      <c r="O5563">
        <v>313</v>
      </c>
    </row>
    <row r="5564" spans="1:15" x14ac:dyDescent="0.25">
      <c r="A5564" t="s">
        <v>5577</v>
      </c>
      <c r="B5564">
        <v>731</v>
      </c>
      <c r="C5564" s="1" t="str">
        <f>HYPERLINK("http://www.rosaceae.org/gb/gbrowse/malus_x_domestica/?name=MDP0000929403","MDP0000929403")</f>
        <v>MDP0000929403</v>
      </c>
      <c r="D5564">
        <v>80.8</v>
      </c>
      <c r="E5564">
        <v>745</v>
      </c>
      <c r="F5564">
        <v>143</v>
      </c>
      <c r="G5564">
        <v>16</v>
      </c>
      <c r="H5564">
        <v>1</v>
      </c>
      <c r="I5564">
        <v>730</v>
      </c>
      <c r="J5564">
        <v>1</v>
      </c>
      <c r="K5564">
        <v>1</v>
      </c>
      <c r="L5564">
        <v>744</v>
      </c>
      <c r="M5564">
        <v>1</v>
      </c>
      <c r="N5564">
        <v>0</v>
      </c>
      <c r="O5564">
        <v>3207</v>
      </c>
    </row>
    <row r="5565" spans="1:15" x14ac:dyDescent="0.25">
      <c r="A5565" t="s">
        <v>5578</v>
      </c>
      <c r="B5565">
        <v>237</v>
      </c>
      <c r="C5565" s="1" t="str">
        <f>HYPERLINK("http://www.rosaceae.org/gb/gbrowse/malus_x_domestica/?name=MDP0000314543","MDP0000314543")</f>
        <v>MDP0000314543</v>
      </c>
      <c r="D5565">
        <v>83.44</v>
      </c>
      <c r="E5565">
        <v>151</v>
      </c>
      <c r="F5565">
        <v>25</v>
      </c>
      <c r="G5565">
        <v>3</v>
      </c>
      <c r="H5565">
        <v>20</v>
      </c>
      <c r="I5565">
        <v>167</v>
      </c>
      <c r="J5565">
        <v>1</v>
      </c>
      <c r="K5565">
        <v>368</v>
      </c>
      <c r="L5565">
        <v>518</v>
      </c>
      <c r="M5565">
        <v>1</v>
      </c>
      <c r="N5565">
        <v>3.76714E-69</v>
      </c>
      <c r="O5565">
        <v>659</v>
      </c>
    </row>
    <row r="5566" spans="1:15" x14ac:dyDescent="0.25">
      <c r="A5566" t="s">
        <v>5579</v>
      </c>
      <c r="B5566">
        <v>1088</v>
      </c>
      <c r="C5566" s="1" t="str">
        <f>HYPERLINK("http://www.rosaceae.org/gb/gbrowse/malus_x_domestica/?name=MDP0000237026","MDP0000237026")</f>
        <v>MDP0000237026</v>
      </c>
      <c r="D5566">
        <v>56.98</v>
      </c>
      <c r="E5566">
        <v>1002</v>
      </c>
      <c r="F5566">
        <v>431</v>
      </c>
      <c r="G5566">
        <v>133</v>
      </c>
      <c r="H5566">
        <v>63</v>
      </c>
      <c r="I5566">
        <v>934</v>
      </c>
      <c r="J5566">
        <v>1</v>
      </c>
      <c r="K5566">
        <v>1</v>
      </c>
      <c r="L5566">
        <v>999</v>
      </c>
      <c r="M5566">
        <v>1</v>
      </c>
      <c r="N5566">
        <v>0</v>
      </c>
      <c r="O5566">
        <v>2581</v>
      </c>
    </row>
    <row r="5567" spans="1:15" x14ac:dyDescent="0.25">
      <c r="A5567" t="s">
        <v>5580</v>
      </c>
      <c r="B5567">
        <v>292</v>
      </c>
      <c r="C5567" s="1" t="str">
        <f>HYPERLINK("http://www.rosaceae.org/gb/gbrowse/malus_x_domestica/?name=MDP0000322036","MDP0000322036")</f>
        <v>MDP0000322036</v>
      </c>
      <c r="D5567">
        <v>50.37</v>
      </c>
      <c r="E5567">
        <v>264</v>
      </c>
      <c r="F5567">
        <v>131</v>
      </c>
      <c r="G5567">
        <v>7</v>
      </c>
      <c r="H5567">
        <v>1</v>
      </c>
      <c r="I5567">
        <v>264</v>
      </c>
      <c r="J5567">
        <v>1</v>
      </c>
      <c r="K5567">
        <v>92</v>
      </c>
      <c r="L5567">
        <v>348</v>
      </c>
      <c r="M5567">
        <v>1</v>
      </c>
      <c r="N5567">
        <v>1.36549E-65</v>
      </c>
      <c r="O5567">
        <v>629</v>
      </c>
    </row>
    <row r="5568" spans="1:15" x14ac:dyDescent="0.25">
      <c r="A5568" t="s">
        <v>5581</v>
      </c>
      <c r="B5568">
        <v>193</v>
      </c>
      <c r="C5568" s="1" t="str">
        <f>HYPERLINK("http://www.rosaceae.org/gb/gbrowse/malus_x_domestica/?name=MDP0000168263","MDP0000168263")</f>
        <v>MDP0000168263</v>
      </c>
      <c r="D5568">
        <v>73.040000000000006</v>
      </c>
      <c r="E5568">
        <v>115</v>
      </c>
      <c r="F5568">
        <v>31</v>
      </c>
      <c r="G5568">
        <v>0</v>
      </c>
      <c r="H5568">
        <v>35</v>
      </c>
      <c r="I5568">
        <v>149</v>
      </c>
      <c r="J5568">
        <v>1</v>
      </c>
      <c r="K5568">
        <v>1</v>
      </c>
      <c r="L5568">
        <v>115</v>
      </c>
      <c r="M5568">
        <v>1</v>
      </c>
      <c r="N5568">
        <v>1.9326100000000001E-40</v>
      </c>
      <c r="O5568">
        <v>410</v>
      </c>
    </row>
    <row r="5569" spans="1:15" x14ac:dyDescent="0.25">
      <c r="A5569" t="s">
        <v>5582</v>
      </c>
      <c r="B5569">
        <v>437</v>
      </c>
      <c r="C5569" s="1" t="str">
        <f>HYPERLINK("http://www.rosaceae.org/gb/gbrowse/malus_x_domestica/?name=MDP0000319893","MDP0000319893")</f>
        <v>MDP0000319893</v>
      </c>
      <c r="D5569">
        <v>70.42</v>
      </c>
      <c r="E5569">
        <v>443</v>
      </c>
      <c r="F5569">
        <v>131</v>
      </c>
      <c r="G5569">
        <v>18</v>
      </c>
      <c r="H5569">
        <v>1</v>
      </c>
      <c r="I5569">
        <v>436</v>
      </c>
      <c r="J5569">
        <v>1</v>
      </c>
      <c r="K5569">
        <v>3</v>
      </c>
      <c r="L5569">
        <v>434</v>
      </c>
      <c r="M5569">
        <v>1</v>
      </c>
      <c r="N5569">
        <v>0</v>
      </c>
      <c r="O5569">
        <v>1643</v>
      </c>
    </row>
    <row r="5570" spans="1:15" x14ac:dyDescent="0.25">
      <c r="A5570" t="s">
        <v>5583</v>
      </c>
      <c r="B5570">
        <v>159</v>
      </c>
      <c r="C5570" s="1" t="str">
        <f>HYPERLINK("http://www.rosaceae.org/gb/gbrowse/malus_x_domestica/?name=MDP0000186866","MDP0000186866")</f>
        <v>MDP0000186866</v>
      </c>
      <c r="D5570">
        <v>73.680000000000007</v>
      </c>
      <c r="E5570">
        <v>38</v>
      </c>
      <c r="F5570">
        <v>10</v>
      </c>
      <c r="G5570">
        <v>0</v>
      </c>
      <c r="H5570">
        <v>102</v>
      </c>
      <c r="I5570">
        <v>139</v>
      </c>
      <c r="J5570">
        <v>1</v>
      </c>
      <c r="K5570">
        <v>547</v>
      </c>
      <c r="L5570">
        <v>584</v>
      </c>
      <c r="M5570">
        <v>1</v>
      </c>
      <c r="N5570">
        <v>1.6085899999999999E-10</v>
      </c>
      <c r="O5570">
        <v>151</v>
      </c>
    </row>
    <row r="5571" spans="1:15" x14ac:dyDescent="0.25">
      <c r="A5571" t="s">
        <v>5584</v>
      </c>
      <c r="B5571">
        <v>131</v>
      </c>
      <c r="C5571" s="1" t="str">
        <f>HYPERLINK("http://www.rosaceae.org/gb/gbrowse/malus_x_domestica/?name=MDP0000381157","MDP0000381157")</f>
        <v>MDP0000381157</v>
      </c>
      <c r="D5571">
        <v>66.66</v>
      </c>
      <c r="E5571">
        <v>57</v>
      </c>
      <c r="F5571">
        <v>19</v>
      </c>
      <c r="G5571">
        <v>0</v>
      </c>
      <c r="H5571">
        <v>72</v>
      </c>
      <c r="I5571">
        <v>128</v>
      </c>
      <c r="J5571">
        <v>1</v>
      </c>
      <c r="K5571">
        <v>1</v>
      </c>
      <c r="L5571">
        <v>57</v>
      </c>
      <c r="M5571">
        <v>1</v>
      </c>
      <c r="N5571">
        <v>1.7008100000000001E-17</v>
      </c>
      <c r="O5571">
        <v>209</v>
      </c>
    </row>
    <row r="5572" spans="1:15" x14ac:dyDescent="0.25">
      <c r="A5572" t="s">
        <v>5585</v>
      </c>
      <c r="B5572">
        <v>252</v>
      </c>
      <c r="C5572" s="1" t="str">
        <f>HYPERLINK("http://www.rosaceae.org/gb/gbrowse/malus_x_domestica/?name=MDP0000299780","MDP0000299780")</f>
        <v>MDP0000299780</v>
      </c>
      <c r="D5572">
        <v>45.26</v>
      </c>
      <c r="E5572">
        <v>95</v>
      </c>
      <c r="F5572">
        <v>52</v>
      </c>
      <c r="G5572">
        <v>3</v>
      </c>
      <c r="H5572">
        <v>1</v>
      </c>
      <c r="I5572">
        <v>95</v>
      </c>
      <c r="J5572">
        <v>1</v>
      </c>
      <c r="K5572">
        <v>1</v>
      </c>
      <c r="L5572">
        <v>92</v>
      </c>
      <c r="M5572">
        <v>1</v>
      </c>
      <c r="N5572">
        <v>2.9624800000000001E-12</v>
      </c>
      <c r="O5572">
        <v>169</v>
      </c>
    </row>
    <row r="5573" spans="1:15" x14ac:dyDescent="0.25">
      <c r="A5573" t="s">
        <v>5586</v>
      </c>
      <c r="B5573">
        <v>458</v>
      </c>
      <c r="C5573" s="1" t="str">
        <f>HYPERLINK("http://www.rosaceae.org/gb/gbrowse/malus_x_domestica/?name=MDP0000170851","MDP0000170851")</f>
        <v>MDP0000170851</v>
      </c>
      <c r="D5573">
        <v>33.4</v>
      </c>
      <c r="E5573">
        <v>449</v>
      </c>
      <c r="F5573">
        <v>299</v>
      </c>
      <c r="G5573">
        <v>81</v>
      </c>
      <c r="H5573">
        <v>4</v>
      </c>
      <c r="I5573">
        <v>442</v>
      </c>
      <c r="J5573">
        <v>1</v>
      </c>
      <c r="K5573">
        <v>26</v>
      </c>
      <c r="L5573">
        <v>403</v>
      </c>
      <c r="M5573">
        <v>1</v>
      </c>
      <c r="N5573">
        <v>3.7161199999999999E-48</v>
      </c>
      <c r="O5573">
        <v>481</v>
      </c>
    </row>
    <row r="5574" spans="1:15" x14ac:dyDescent="0.25">
      <c r="A5574" t="s">
        <v>5587</v>
      </c>
      <c r="B5574">
        <v>206</v>
      </c>
      <c r="C5574" s="1" t="str">
        <f>HYPERLINK("http://www.rosaceae.org/gb/gbrowse/malus_x_domestica/?name=MDP0000167255","MDP0000167255")</f>
        <v>MDP0000167255</v>
      </c>
      <c r="D5574">
        <v>71.290000000000006</v>
      </c>
      <c r="E5574">
        <v>209</v>
      </c>
      <c r="F5574">
        <v>60</v>
      </c>
      <c r="G5574">
        <v>10</v>
      </c>
      <c r="H5574">
        <v>8</v>
      </c>
      <c r="I5574">
        <v>206</v>
      </c>
      <c r="J5574">
        <v>1</v>
      </c>
      <c r="K5574">
        <v>173</v>
      </c>
      <c r="L5574">
        <v>381</v>
      </c>
      <c r="M5574">
        <v>1</v>
      </c>
      <c r="N5574">
        <v>1.8581400000000001E-84</v>
      </c>
      <c r="O5574">
        <v>790</v>
      </c>
    </row>
    <row r="5575" spans="1:15" x14ac:dyDescent="0.25">
      <c r="A5575" t="s">
        <v>5588</v>
      </c>
      <c r="B5575">
        <v>492</v>
      </c>
      <c r="C5575" s="1" t="str">
        <f>HYPERLINK("http://www.rosaceae.org/gb/gbrowse/malus_x_domestica/?name=MDP0000234914","MDP0000234914")</f>
        <v>MDP0000234914</v>
      </c>
      <c r="D5575">
        <v>61.61</v>
      </c>
      <c r="E5575">
        <v>409</v>
      </c>
      <c r="F5575">
        <v>157</v>
      </c>
      <c r="G5575">
        <v>51</v>
      </c>
      <c r="H5575">
        <v>130</v>
      </c>
      <c r="I5575">
        <v>492</v>
      </c>
      <c r="J5575">
        <v>1</v>
      </c>
      <c r="K5575">
        <v>1</v>
      </c>
      <c r="L5575">
        <v>404</v>
      </c>
      <c r="M5575">
        <v>1</v>
      </c>
      <c r="N5575">
        <v>1.0583099999999999E-130</v>
      </c>
      <c r="O5575">
        <v>1194</v>
      </c>
    </row>
    <row r="5576" spans="1:15" x14ac:dyDescent="0.25">
      <c r="A5576" t="s">
        <v>5589</v>
      </c>
      <c r="B5576">
        <v>159</v>
      </c>
      <c r="C5576" s="1" t="str">
        <f>HYPERLINK("http://www.rosaceae.org/gb/gbrowse/malus_x_domestica/?name=MDP0000301813","MDP0000301813")</f>
        <v>MDP0000301813</v>
      </c>
      <c r="D5576">
        <v>78.16</v>
      </c>
      <c r="E5576">
        <v>87</v>
      </c>
      <c r="F5576">
        <v>19</v>
      </c>
      <c r="G5576">
        <v>0</v>
      </c>
      <c r="H5576">
        <v>73</v>
      </c>
      <c r="I5576">
        <v>159</v>
      </c>
      <c r="J5576">
        <v>1</v>
      </c>
      <c r="K5576">
        <v>425</v>
      </c>
      <c r="L5576">
        <v>511</v>
      </c>
      <c r="M5576">
        <v>1</v>
      </c>
      <c r="N5576">
        <v>6.6440999999999999E-39</v>
      </c>
      <c r="O5576">
        <v>395</v>
      </c>
    </row>
    <row r="5577" spans="1:15" x14ac:dyDescent="0.25">
      <c r="A5577" t="s">
        <v>5590</v>
      </c>
      <c r="B5577">
        <v>573</v>
      </c>
      <c r="C5577" s="1" t="str">
        <f>HYPERLINK("http://www.rosaceae.org/gb/gbrowse/malus_x_domestica/?name=MDP0000308222","MDP0000308222")</f>
        <v>MDP0000308222</v>
      </c>
      <c r="D5577">
        <v>40.1</v>
      </c>
      <c r="E5577">
        <v>369</v>
      </c>
      <c r="F5577">
        <v>221</v>
      </c>
      <c r="G5577">
        <v>42</v>
      </c>
      <c r="H5577">
        <v>56</v>
      </c>
      <c r="I5577">
        <v>405</v>
      </c>
      <c r="J5577">
        <v>1</v>
      </c>
      <c r="K5577">
        <v>90</v>
      </c>
      <c r="L5577">
        <v>435</v>
      </c>
      <c r="M5577">
        <v>1</v>
      </c>
      <c r="N5577">
        <v>4.4401699999999998E-54</v>
      </c>
      <c r="O5577">
        <v>533</v>
      </c>
    </row>
    <row r="5578" spans="1:15" x14ac:dyDescent="0.25">
      <c r="A5578" t="s">
        <v>5591</v>
      </c>
      <c r="B5578">
        <v>788</v>
      </c>
      <c r="C5578" s="1" t="str">
        <f>HYPERLINK("http://www.rosaceae.org/gb/gbrowse/malus_x_domestica/?name=MDP0000162784","MDP0000162784")</f>
        <v>MDP0000162784</v>
      </c>
      <c r="D5578">
        <v>49.18</v>
      </c>
      <c r="E5578">
        <v>307</v>
      </c>
      <c r="F5578">
        <v>156</v>
      </c>
      <c r="G5578">
        <v>13</v>
      </c>
      <c r="H5578">
        <v>117</v>
      </c>
      <c r="I5578">
        <v>411</v>
      </c>
      <c r="J5578">
        <v>1</v>
      </c>
      <c r="K5578">
        <v>640</v>
      </c>
      <c r="L5578">
        <v>945</v>
      </c>
      <c r="M5578">
        <v>1</v>
      </c>
      <c r="N5578">
        <v>8.4256000000000001E-71</v>
      </c>
      <c r="O5578">
        <v>679</v>
      </c>
    </row>
    <row r="5579" spans="1:15" x14ac:dyDescent="0.25">
      <c r="A5579" t="s">
        <v>5592</v>
      </c>
      <c r="B5579">
        <v>452</v>
      </c>
      <c r="C5579" s="1" t="str">
        <f>HYPERLINK("http://www.rosaceae.org/gb/gbrowse/malus_x_domestica/?name=MDP0000291148","MDP0000291148")</f>
        <v>MDP0000291148</v>
      </c>
      <c r="D5579">
        <v>94.44</v>
      </c>
      <c r="E5579">
        <v>432</v>
      </c>
      <c r="F5579">
        <v>24</v>
      </c>
      <c r="G5579">
        <v>0</v>
      </c>
      <c r="H5579">
        <v>1</v>
      </c>
      <c r="I5579">
        <v>432</v>
      </c>
      <c r="J5579">
        <v>1</v>
      </c>
      <c r="K5579">
        <v>1</v>
      </c>
      <c r="L5579">
        <v>432</v>
      </c>
      <c r="M5579">
        <v>1</v>
      </c>
      <c r="N5579">
        <v>0</v>
      </c>
      <c r="O5579">
        <v>2181</v>
      </c>
    </row>
    <row r="5580" spans="1:15" x14ac:dyDescent="0.25">
      <c r="A5580" t="s">
        <v>5593</v>
      </c>
      <c r="B5580">
        <v>2243</v>
      </c>
      <c r="C5580" s="1" t="str">
        <f>HYPERLINK("http://www.rosaceae.org/gb/gbrowse/malus_x_domestica/?name=MDP0000167291","MDP0000167291")</f>
        <v>MDP0000167291</v>
      </c>
      <c r="D5580">
        <v>51.72</v>
      </c>
      <c r="E5580">
        <v>1678</v>
      </c>
      <c r="F5580">
        <v>810</v>
      </c>
      <c r="G5580">
        <v>150</v>
      </c>
      <c r="H5580">
        <v>235</v>
      </c>
      <c r="I5580">
        <v>1853</v>
      </c>
      <c r="J5580">
        <v>1</v>
      </c>
      <c r="K5580">
        <v>165</v>
      </c>
      <c r="L5580">
        <v>1751</v>
      </c>
      <c r="M5580">
        <v>1</v>
      </c>
      <c r="N5580">
        <v>0</v>
      </c>
      <c r="O5580">
        <v>3814</v>
      </c>
    </row>
    <row r="5581" spans="1:15" x14ac:dyDescent="0.25">
      <c r="A5581" t="s">
        <v>5594</v>
      </c>
      <c r="B5581">
        <v>211</v>
      </c>
      <c r="C5581" s="1" t="str">
        <f>HYPERLINK("http://www.rosaceae.org/gb/gbrowse/malus_x_domestica/?name=MDP0000309673","MDP0000309673")</f>
        <v>MDP0000309673</v>
      </c>
      <c r="D5581">
        <v>53.5</v>
      </c>
      <c r="E5581">
        <v>228</v>
      </c>
      <c r="F5581">
        <v>106</v>
      </c>
      <c r="G5581">
        <v>17</v>
      </c>
      <c r="H5581">
        <v>1</v>
      </c>
      <c r="I5581">
        <v>211</v>
      </c>
      <c r="J5581">
        <v>1</v>
      </c>
      <c r="K5581">
        <v>1</v>
      </c>
      <c r="L5581">
        <v>228</v>
      </c>
      <c r="M5581">
        <v>1</v>
      </c>
      <c r="N5581">
        <v>6.1375499999999999E-63</v>
      </c>
      <c r="O5581">
        <v>605</v>
      </c>
    </row>
    <row r="5582" spans="1:15" x14ac:dyDescent="0.25">
      <c r="A5582" t="s">
        <v>5595</v>
      </c>
      <c r="B5582">
        <v>321</v>
      </c>
      <c r="C5582" s="1" t="str">
        <f>HYPERLINK("http://www.rosaceae.org/gb/gbrowse/malus_x_domestica/?name=MDP0000199066","MDP0000199066")</f>
        <v>MDP0000199066</v>
      </c>
      <c r="D5582">
        <v>75.680000000000007</v>
      </c>
      <c r="E5582">
        <v>255</v>
      </c>
      <c r="F5582">
        <v>62</v>
      </c>
      <c r="G5582">
        <v>5</v>
      </c>
      <c r="H5582">
        <v>67</v>
      </c>
      <c r="I5582">
        <v>320</v>
      </c>
      <c r="J5582">
        <v>1</v>
      </c>
      <c r="K5582">
        <v>252</v>
      </c>
      <c r="L5582">
        <v>502</v>
      </c>
      <c r="M5582">
        <v>1</v>
      </c>
      <c r="N5582">
        <v>6.8689499999999998E-108</v>
      </c>
      <c r="O5582">
        <v>995</v>
      </c>
    </row>
    <row r="5583" spans="1:15" x14ac:dyDescent="0.25">
      <c r="A5583" t="s">
        <v>5596</v>
      </c>
      <c r="B5583">
        <v>136</v>
      </c>
      <c r="C5583" s="1" t="str">
        <f>HYPERLINK("http://www.rosaceae.org/gb/gbrowse/malus_x_domestica/?name=MDP0000121016","MDP0000121016")</f>
        <v>MDP0000121016</v>
      </c>
      <c r="D5583">
        <v>100</v>
      </c>
      <c r="E5583">
        <v>136</v>
      </c>
      <c r="F5583">
        <v>0</v>
      </c>
      <c r="G5583">
        <v>0</v>
      </c>
      <c r="H5583">
        <v>1</v>
      </c>
      <c r="I5583">
        <v>136</v>
      </c>
      <c r="J5583">
        <v>1</v>
      </c>
      <c r="K5583">
        <v>20</v>
      </c>
      <c r="L5583">
        <v>155</v>
      </c>
      <c r="M5583">
        <v>1</v>
      </c>
      <c r="N5583">
        <v>1.2128699999999999E-74</v>
      </c>
      <c r="O5583">
        <v>702</v>
      </c>
    </row>
    <row r="5584" spans="1:15" x14ac:dyDescent="0.25">
      <c r="A5584" t="s">
        <v>5597</v>
      </c>
      <c r="B5584">
        <v>366</v>
      </c>
      <c r="C5584" s="1" t="str">
        <f>HYPERLINK("http://www.rosaceae.org/gb/gbrowse/malus_x_domestica/?name=MDP0000189780","MDP0000189780")</f>
        <v>MDP0000189780</v>
      </c>
      <c r="D5584">
        <v>56.16</v>
      </c>
      <c r="E5584">
        <v>365</v>
      </c>
      <c r="F5584">
        <v>160</v>
      </c>
      <c r="G5584">
        <v>27</v>
      </c>
      <c r="H5584">
        <v>23</v>
      </c>
      <c r="I5584">
        <v>364</v>
      </c>
      <c r="J5584">
        <v>1</v>
      </c>
      <c r="K5584">
        <v>114</v>
      </c>
      <c r="L5584">
        <v>474</v>
      </c>
      <c r="M5584">
        <v>1</v>
      </c>
      <c r="N5584">
        <v>5.4123599999999996E-115</v>
      </c>
      <c r="O5584">
        <v>1057</v>
      </c>
    </row>
    <row r="5585" spans="1:15" x14ac:dyDescent="0.25">
      <c r="A5585" t="s">
        <v>5598</v>
      </c>
      <c r="B5585">
        <v>854</v>
      </c>
      <c r="C5585" s="1" t="str">
        <f>HYPERLINK("http://www.rosaceae.org/gb/gbrowse/malus_x_domestica/?name=MDP0000194397","MDP0000194397")</f>
        <v>MDP0000194397</v>
      </c>
      <c r="D5585">
        <v>72.31</v>
      </c>
      <c r="E5585">
        <v>856</v>
      </c>
      <c r="F5585">
        <v>237</v>
      </c>
      <c r="G5585">
        <v>57</v>
      </c>
      <c r="H5585">
        <v>1</v>
      </c>
      <c r="I5585">
        <v>854</v>
      </c>
      <c r="J5585">
        <v>1</v>
      </c>
      <c r="K5585">
        <v>36</v>
      </c>
      <c r="L5585">
        <v>836</v>
      </c>
      <c r="M5585">
        <v>1</v>
      </c>
      <c r="N5585">
        <v>0</v>
      </c>
      <c r="O5585">
        <v>3295</v>
      </c>
    </row>
    <row r="5586" spans="1:15" x14ac:dyDescent="0.25">
      <c r="A5586" t="s">
        <v>5599</v>
      </c>
      <c r="B5586">
        <v>104</v>
      </c>
      <c r="C5586" s="1" t="str">
        <f>HYPERLINK("http://www.rosaceae.org/gb/gbrowse/malus_x_domestica/?name=MDP0000322409","MDP0000322409")</f>
        <v>MDP0000322409</v>
      </c>
      <c r="D5586">
        <v>71.23</v>
      </c>
      <c r="E5586">
        <v>73</v>
      </c>
      <c r="F5586">
        <v>21</v>
      </c>
      <c r="G5586">
        <v>0</v>
      </c>
      <c r="H5586">
        <v>18</v>
      </c>
      <c r="I5586">
        <v>90</v>
      </c>
      <c r="J5586">
        <v>1</v>
      </c>
      <c r="K5586">
        <v>3140</v>
      </c>
      <c r="L5586">
        <v>3212</v>
      </c>
      <c r="M5586">
        <v>1</v>
      </c>
      <c r="N5586">
        <v>1.8652999999999999E-25</v>
      </c>
      <c r="O5586">
        <v>277</v>
      </c>
    </row>
    <row r="5587" spans="1:15" x14ac:dyDescent="0.25">
      <c r="A5587" t="s">
        <v>5600</v>
      </c>
      <c r="B5587">
        <v>967</v>
      </c>
      <c r="C5587" s="1" t="str">
        <f>HYPERLINK("http://www.rosaceae.org/gb/gbrowse/malus_x_domestica/?name=MDP0000492018","MDP0000492018")</f>
        <v>MDP0000492018</v>
      </c>
      <c r="D5587">
        <v>78.099999999999994</v>
      </c>
      <c r="E5587">
        <v>516</v>
      </c>
      <c r="F5587">
        <v>113</v>
      </c>
      <c r="G5587">
        <v>2</v>
      </c>
      <c r="H5587">
        <v>1</v>
      </c>
      <c r="I5587">
        <v>516</v>
      </c>
      <c r="J5587">
        <v>1</v>
      </c>
      <c r="K5587">
        <v>1</v>
      </c>
      <c r="L5587">
        <v>514</v>
      </c>
      <c r="M5587">
        <v>1</v>
      </c>
      <c r="N5587">
        <v>0</v>
      </c>
      <c r="O5587">
        <v>2044</v>
      </c>
    </row>
    <row r="5588" spans="1:15" x14ac:dyDescent="0.25">
      <c r="A5588" t="s">
        <v>5601</v>
      </c>
      <c r="B5588">
        <v>123</v>
      </c>
      <c r="C5588" s="1" t="str">
        <f>HYPERLINK("http://www.rosaceae.org/gb/gbrowse/malus_x_domestica/?name=MDP0000662927","MDP0000662927")</f>
        <v>MDP0000662927</v>
      </c>
      <c r="D5588">
        <v>63.35</v>
      </c>
      <c r="E5588">
        <v>131</v>
      </c>
      <c r="F5588">
        <v>48</v>
      </c>
      <c r="G5588">
        <v>16</v>
      </c>
      <c r="H5588">
        <v>1</v>
      </c>
      <c r="I5588">
        <v>123</v>
      </c>
      <c r="J5588">
        <v>1</v>
      </c>
      <c r="K5588">
        <v>1</v>
      </c>
      <c r="L5588">
        <v>123</v>
      </c>
      <c r="M5588">
        <v>1</v>
      </c>
      <c r="N5588">
        <v>5.3420899999999999E-36</v>
      </c>
      <c r="O5588">
        <v>368</v>
      </c>
    </row>
    <row r="5589" spans="1:15" x14ac:dyDescent="0.25">
      <c r="A5589" t="s">
        <v>5602</v>
      </c>
      <c r="B5589">
        <v>555</v>
      </c>
      <c r="C5589" s="1" t="str">
        <f>HYPERLINK("http://www.rosaceae.org/gb/gbrowse/malus_x_domestica/?name=MDP0000797241","MDP0000797241")</f>
        <v>MDP0000797241</v>
      </c>
      <c r="D5589">
        <v>79.81</v>
      </c>
      <c r="E5589">
        <v>555</v>
      </c>
      <c r="F5589">
        <v>112</v>
      </c>
      <c r="G5589">
        <v>6</v>
      </c>
      <c r="H5589">
        <v>1</v>
      </c>
      <c r="I5589">
        <v>555</v>
      </c>
      <c r="J5589">
        <v>1</v>
      </c>
      <c r="K5589">
        <v>1</v>
      </c>
      <c r="L5589">
        <v>549</v>
      </c>
      <c r="M5589">
        <v>1</v>
      </c>
      <c r="N5589">
        <v>0</v>
      </c>
      <c r="O5589">
        <v>2281</v>
      </c>
    </row>
    <row r="5590" spans="1:15" x14ac:dyDescent="0.25">
      <c r="A5590" t="s">
        <v>5603</v>
      </c>
      <c r="B5590">
        <v>668</v>
      </c>
      <c r="C5590" s="1" t="str">
        <f>HYPERLINK("http://www.rosaceae.org/gb/gbrowse/malus_x_domestica/?name=MDP0000175403","MDP0000175403")</f>
        <v>MDP0000175403</v>
      </c>
      <c r="D5590">
        <v>81.37</v>
      </c>
      <c r="E5590">
        <v>671</v>
      </c>
      <c r="F5590">
        <v>125</v>
      </c>
      <c r="G5590">
        <v>22</v>
      </c>
      <c r="H5590">
        <v>1</v>
      </c>
      <c r="I5590">
        <v>662</v>
      </c>
      <c r="J5590">
        <v>1</v>
      </c>
      <c r="K5590">
        <v>119</v>
      </c>
      <c r="L5590">
        <v>776</v>
      </c>
      <c r="M5590">
        <v>1</v>
      </c>
      <c r="N5590">
        <v>0</v>
      </c>
      <c r="O5590">
        <v>2809</v>
      </c>
    </row>
    <row r="5591" spans="1:15" x14ac:dyDescent="0.25">
      <c r="A5591" t="s">
        <v>5604</v>
      </c>
      <c r="B5591">
        <v>291</v>
      </c>
      <c r="C5591" s="1" t="str">
        <f>HYPERLINK("http://www.rosaceae.org/gb/gbrowse/malus_x_domestica/?name=MDP0000662263","MDP0000662263")</f>
        <v>MDP0000662263</v>
      </c>
      <c r="D5591">
        <v>28.26</v>
      </c>
      <c r="E5591">
        <v>138</v>
      </c>
      <c r="F5591">
        <v>99</v>
      </c>
      <c r="G5591">
        <v>5</v>
      </c>
      <c r="H5591">
        <v>30</v>
      </c>
      <c r="I5591">
        <v>164</v>
      </c>
      <c r="J5591">
        <v>1</v>
      </c>
      <c r="K5591">
        <v>3</v>
      </c>
      <c r="L5591">
        <v>138</v>
      </c>
      <c r="M5591">
        <v>1</v>
      </c>
      <c r="N5591">
        <v>2.2033599999999999E-8</v>
      </c>
      <c r="O5591">
        <v>136</v>
      </c>
    </row>
    <row r="5592" spans="1:15" x14ac:dyDescent="0.25">
      <c r="A5592" t="s">
        <v>5605</v>
      </c>
      <c r="B5592">
        <v>483</v>
      </c>
      <c r="C5592" s="1" t="str">
        <f>HYPERLINK("http://www.rosaceae.org/gb/gbrowse/malus_x_domestica/?name=MDP0000268052","MDP0000268052")</f>
        <v>MDP0000268052</v>
      </c>
      <c r="D5592">
        <v>72.39</v>
      </c>
      <c r="E5592">
        <v>460</v>
      </c>
      <c r="F5592">
        <v>127</v>
      </c>
      <c r="G5592">
        <v>13</v>
      </c>
      <c r="H5592">
        <v>11</v>
      </c>
      <c r="I5592">
        <v>468</v>
      </c>
      <c r="J5592">
        <v>1</v>
      </c>
      <c r="K5592">
        <v>108</v>
      </c>
      <c r="L5592">
        <v>556</v>
      </c>
      <c r="M5592">
        <v>1</v>
      </c>
      <c r="N5592">
        <v>0</v>
      </c>
      <c r="O5592">
        <v>1773</v>
      </c>
    </row>
    <row r="5593" spans="1:15" x14ac:dyDescent="0.25">
      <c r="A5593" t="s">
        <v>5606</v>
      </c>
      <c r="B5593">
        <v>649</v>
      </c>
      <c r="C5593" s="1" t="str">
        <f>HYPERLINK("http://www.rosaceae.org/gb/gbrowse/malus_x_domestica/?name=MDP0000770174","MDP0000770174")</f>
        <v>MDP0000770174</v>
      </c>
      <c r="D5593">
        <v>66.53</v>
      </c>
      <c r="E5593">
        <v>520</v>
      </c>
      <c r="F5593">
        <v>174</v>
      </c>
      <c r="G5593">
        <v>18</v>
      </c>
      <c r="H5593">
        <v>133</v>
      </c>
      <c r="I5593">
        <v>648</v>
      </c>
      <c r="J5593">
        <v>1</v>
      </c>
      <c r="K5593">
        <v>7</v>
      </c>
      <c r="L5593">
        <v>512</v>
      </c>
      <c r="M5593">
        <v>1</v>
      </c>
      <c r="N5593">
        <v>0</v>
      </c>
      <c r="O5593">
        <v>1774</v>
      </c>
    </row>
    <row r="5594" spans="1:15" x14ac:dyDescent="0.25">
      <c r="A5594" t="s">
        <v>5607</v>
      </c>
      <c r="B5594">
        <v>286</v>
      </c>
      <c r="C5594" s="1" t="str">
        <f>HYPERLINK("http://www.rosaceae.org/gb/gbrowse/malus_x_domestica/?name=MDP0000459932","MDP0000459932")</f>
        <v>MDP0000459932</v>
      </c>
      <c r="D5594">
        <v>47.36</v>
      </c>
      <c r="E5594">
        <v>95</v>
      </c>
      <c r="F5594">
        <v>50</v>
      </c>
      <c r="G5594">
        <v>4</v>
      </c>
      <c r="H5594">
        <v>67</v>
      </c>
      <c r="I5594">
        <v>161</v>
      </c>
      <c r="J5594">
        <v>1</v>
      </c>
      <c r="K5594">
        <v>98</v>
      </c>
      <c r="L5594">
        <v>188</v>
      </c>
      <c r="M5594">
        <v>1</v>
      </c>
      <c r="N5594">
        <v>8.0007999999999995E-17</v>
      </c>
      <c r="O5594">
        <v>209</v>
      </c>
    </row>
    <row r="5595" spans="1:15" x14ac:dyDescent="0.25">
      <c r="A5595" t="s">
        <v>5608</v>
      </c>
      <c r="B5595">
        <v>180</v>
      </c>
      <c r="C5595" s="1" t="str">
        <f>HYPERLINK("http://www.rosaceae.org/gb/gbrowse/malus_x_domestica/?name=MDP0000295902","MDP0000295902")</f>
        <v>MDP0000295902</v>
      </c>
      <c r="D5595">
        <v>87.01</v>
      </c>
      <c r="E5595">
        <v>77</v>
      </c>
      <c r="F5595">
        <v>10</v>
      </c>
      <c r="G5595">
        <v>0</v>
      </c>
      <c r="H5595">
        <v>4</v>
      </c>
      <c r="I5595">
        <v>80</v>
      </c>
      <c r="J5595">
        <v>1</v>
      </c>
      <c r="K5595">
        <v>30</v>
      </c>
      <c r="L5595">
        <v>106</v>
      </c>
      <c r="M5595">
        <v>1</v>
      </c>
      <c r="N5595">
        <v>3.8124299999999998E-35</v>
      </c>
      <c r="O5595">
        <v>364</v>
      </c>
    </row>
    <row r="5596" spans="1:15" x14ac:dyDescent="0.25">
      <c r="A5596" t="s">
        <v>5609</v>
      </c>
      <c r="B5596">
        <v>665</v>
      </c>
      <c r="C5596" s="1" t="str">
        <f>HYPERLINK("http://www.rosaceae.org/gb/gbrowse/malus_x_domestica/?name=MDP0000268540","MDP0000268540")</f>
        <v>MDP0000268540</v>
      </c>
      <c r="D5596">
        <v>69.06</v>
      </c>
      <c r="E5596">
        <v>181</v>
      </c>
      <c r="F5596">
        <v>56</v>
      </c>
      <c r="G5596">
        <v>4</v>
      </c>
      <c r="H5596">
        <v>485</v>
      </c>
      <c r="I5596">
        <v>665</v>
      </c>
      <c r="J5596">
        <v>1</v>
      </c>
      <c r="K5596">
        <v>88</v>
      </c>
      <c r="L5596">
        <v>264</v>
      </c>
      <c r="M5596">
        <v>1</v>
      </c>
      <c r="N5596">
        <v>2.5337399999999999E-61</v>
      </c>
      <c r="O5596">
        <v>597</v>
      </c>
    </row>
    <row r="5597" spans="1:15" x14ac:dyDescent="0.25">
      <c r="A5597" t="s">
        <v>5610</v>
      </c>
      <c r="B5597">
        <v>1597</v>
      </c>
      <c r="C5597" s="1" t="str">
        <f>HYPERLINK("http://www.rosaceae.org/gb/gbrowse/malus_x_domestica/?name=MDP0000286691","MDP0000286691")</f>
        <v>MDP0000286691</v>
      </c>
      <c r="D5597">
        <v>80.540000000000006</v>
      </c>
      <c r="E5597">
        <v>1660</v>
      </c>
      <c r="F5597">
        <v>323</v>
      </c>
      <c r="G5597">
        <v>92</v>
      </c>
      <c r="H5597">
        <v>2</v>
      </c>
      <c r="I5597">
        <v>1594</v>
      </c>
      <c r="J5597">
        <v>1</v>
      </c>
      <c r="K5597">
        <v>146</v>
      </c>
      <c r="L5597">
        <v>1780</v>
      </c>
      <c r="M5597">
        <v>1</v>
      </c>
      <c r="N5597">
        <v>0</v>
      </c>
      <c r="O5597">
        <v>7122</v>
      </c>
    </row>
    <row r="5598" spans="1:15" x14ac:dyDescent="0.25">
      <c r="A5598" t="s">
        <v>5611</v>
      </c>
      <c r="B5598">
        <v>370</v>
      </c>
      <c r="C5598" s="1" t="str">
        <f>HYPERLINK("http://www.rosaceae.org/gb/gbrowse/malus_x_domestica/?name=MDP0000709748","MDP0000709748")</f>
        <v>MDP0000709748</v>
      </c>
      <c r="D5598">
        <v>79.12</v>
      </c>
      <c r="E5598">
        <v>273</v>
      </c>
      <c r="F5598">
        <v>57</v>
      </c>
      <c r="G5598">
        <v>24</v>
      </c>
      <c r="H5598">
        <v>105</v>
      </c>
      <c r="I5598">
        <v>370</v>
      </c>
      <c r="J5598">
        <v>1</v>
      </c>
      <c r="K5598">
        <v>19</v>
      </c>
      <c r="L5598">
        <v>274</v>
      </c>
      <c r="M5598">
        <v>1</v>
      </c>
      <c r="N5598">
        <v>7.23513E-116</v>
      </c>
      <c r="O5598">
        <v>1064</v>
      </c>
    </row>
    <row r="5599" spans="1:15" x14ac:dyDescent="0.25">
      <c r="A5599" t="s">
        <v>5612</v>
      </c>
      <c r="B5599">
        <v>680</v>
      </c>
      <c r="C5599" s="1" t="str">
        <f>HYPERLINK("http://www.rosaceae.org/gb/gbrowse/malus_x_domestica/?name=MDP0000223219","MDP0000223219")</f>
        <v>MDP0000223219</v>
      </c>
      <c r="D5599">
        <v>55.72</v>
      </c>
      <c r="E5599">
        <v>332</v>
      </c>
      <c r="F5599">
        <v>147</v>
      </c>
      <c r="G5599">
        <v>13</v>
      </c>
      <c r="H5599">
        <v>354</v>
      </c>
      <c r="I5599">
        <v>674</v>
      </c>
      <c r="J5599">
        <v>1</v>
      </c>
      <c r="K5599">
        <v>428</v>
      </c>
      <c r="L5599">
        <v>757</v>
      </c>
      <c r="M5599">
        <v>1</v>
      </c>
      <c r="N5599">
        <v>1.3884600000000001E-98</v>
      </c>
      <c r="O5599">
        <v>918</v>
      </c>
    </row>
    <row r="5600" spans="1:15" x14ac:dyDescent="0.25">
      <c r="A5600" t="s">
        <v>5613</v>
      </c>
      <c r="B5600">
        <v>561</v>
      </c>
      <c r="C5600" s="1" t="str">
        <f>HYPERLINK("http://www.rosaceae.org/gb/gbrowse/malus_x_domestica/?name=MDP0000240772","MDP0000240772")</f>
        <v>MDP0000240772</v>
      </c>
      <c r="D5600">
        <v>58.43</v>
      </c>
      <c r="E5600">
        <v>563</v>
      </c>
      <c r="F5600">
        <v>234</v>
      </c>
      <c r="G5600">
        <v>37</v>
      </c>
      <c r="H5600">
        <v>31</v>
      </c>
      <c r="I5600">
        <v>561</v>
      </c>
      <c r="J5600">
        <v>1</v>
      </c>
      <c r="K5600">
        <v>195</v>
      </c>
      <c r="L5600">
        <v>752</v>
      </c>
      <c r="M5600">
        <v>1</v>
      </c>
      <c r="N5600">
        <v>0</v>
      </c>
      <c r="O5600">
        <v>1780</v>
      </c>
    </row>
    <row r="5601" spans="1:15" x14ac:dyDescent="0.25">
      <c r="A5601" t="s">
        <v>5614</v>
      </c>
      <c r="B5601">
        <v>230</v>
      </c>
      <c r="C5601" s="1" t="str">
        <f>HYPERLINK("http://www.rosaceae.org/gb/gbrowse/malus_x_domestica/?name=MDP0000242521","MDP0000242521")</f>
        <v>MDP0000242521</v>
      </c>
      <c r="D5601">
        <v>71.69</v>
      </c>
      <c r="E5601">
        <v>106</v>
      </c>
      <c r="F5601">
        <v>30</v>
      </c>
      <c r="G5601">
        <v>1</v>
      </c>
      <c r="H5601">
        <v>1</v>
      </c>
      <c r="I5601">
        <v>106</v>
      </c>
      <c r="J5601">
        <v>1</v>
      </c>
      <c r="K5601">
        <v>268</v>
      </c>
      <c r="L5601">
        <v>372</v>
      </c>
      <c r="M5601">
        <v>1</v>
      </c>
      <c r="N5601">
        <v>6.6323000000000003E-38</v>
      </c>
      <c r="O5601">
        <v>389</v>
      </c>
    </row>
    <row r="5602" spans="1:15" x14ac:dyDescent="0.25">
      <c r="A5602" t="s">
        <v>5615</v>
      </c>
      <c r="B5602">
        <v>335</v>
      </c>
      <c r="C5602" s="1" t="str">
        <f>HYPERLINK("http://www.rosaceae.org/gb/gbrowse/malus_x_domestica/?name=MDP0000203079","MDP0000203079")</f>
        <v>MDP0000203079</v>
      </c>
      <c r="D5602">
        <v>33.25</v>
      </c>
      <c r="E5602">
        <v>415</v>
      </c>
      <c r="F5602">
        <v>277</v>
      </c>
      <c r="G5602">
        <v>98</v>
      </c>
      <c r="H5602">
        <v>1</v>
      </c>
      <c r="I5602">
        <v>333</v>
      </c>
      <c r="J5602">
        <v>1</v>
      </c>
      <c r="K5602">
        <v>1</v>
      </c>
      <c r="L5602">
        <v>399</v>
      </c>
      <c r="M5602">
        <v>1</v>
      </c>
      <c r="N5602">
        <v>4.1598200000000001E-39</v>
      </c>
      <c r="O5602">
        <v>402</v>
      </c>
    </row>
    <row r="5603" spans="1:15" x14ac:dyDescent="0.25">
      <c r="A5603" t="s">
        <v>5616</v>
      </c>
      <c r="B5603">
        <v>328</v>
      </c>
      <c r="C5603" s="1" t="str">
        <f>HYPERLINK("http://www.rosaceae.org/gb/gbrowse/malus_x_domestica/?name=MDP0000926135","MDP0000926135")</f>
        <v>MDP0000926135</v>
      </c>
      <c r="D5603">
        <v>84.03</v>
      </c>
      <c r="E5603">
        <v>332</v>
      </c>
      <c r="F5603">
        <v>53</v>
      </c>
      <c r="G5603">
        <v>4</v>
      </c>
      <c r="H5603">
        <v>1</v>
      </c>
      <c r="I5603">
        <v>328</v>
      </c>
      <c r="J5603">
        <v>1</v>
      </c>
      <c r="K5603">
        <v>45</v>
      </c>
      <c r="L5603">
        <v>376</v>
      </c>
      <c r="M5603">
        <v>1</v>
      </c>
      <c r="N5603">
        <v>1.46557E-164</v>
      </c>
      <c r="O5603">
        <v>1484</v>
      </c>
    </row>
    <row r="5604" spans="1:15" x14ac:dyDescent="0.25">
      <c r="A5604" t="s">
        <v>5617</v>
      </c>
      <c r="B5604">
        <v>320</v>
      </c>
      <c r="C5604" s="1" t="str">
        <f>HYPERLINK("http://www.rosaceae.org/gb/gbrowse/malus_x_domestica/?name=MDP0000428897","MDP0000428897")</f>
        <v>MDP0000428897</v>
      </c>
      <c r="D5604">
        <v>74.06</v>
      </c>
      <c r="E5604">
        <v>320</v>
      </c>
      <c r="F5604">
        <v>83</v>
      </c>
      <c r="G5604">
        <v>0</v>
      </c>
      <c r="H5604">
        <v>1</v>
      </c>
      <c r="I5604">
        <v>320</v>
      </c>
      <c r="J5604">
        <v>1</v>
      </c>
      <c r="K5604">
        <v>1</v>
      </c>
      <c r="L5604">
        <v>320</v>
      </c>
      <c r="M5604">
        <v>1</v>
      </c>
      <c r="N5604">
        <v>4.3985200000000001E-133</v>
      </c>
      <c r="O5604">
        <v>1212</v>
      </c>
    </row>
    <row r="5605" spans="1:15" x14ac:dyDescent="0.25">
      <c r="A5605" t="s">
        <v>5618</v>
      </c>
      <c r="B5605">
        <v>138</v>
      </c>
      <c r="C5605" s="1" t="str">
        <f>HYPERLINK("http://www.rosaceae.org/gb/gbrowse/malus_x_domestica/?name=MDP0000123092","MDP0000123092")</f>
        <v>MDP0000123092</v>
      </c>
      <c r="D5605">
        <v>43.15</v>
      </c>
      <c r="E5605">
        <v>95</v>
      </c>
      <c r="F5605">
        <v>54</v>
      </c>
      <c r="G5605">
        <v>5</v>
      </c>
      <c r="H5605">
        <v>1</v>
      </c>
      <c r="I5605">
        <v>91</v>
      </c>
      <c r="J5605">
        <v>1</v>
      </c>
      <c r="K5605">
        <v>1</v>
      </c>
      <c r="L5605">
        <v>94</v>
      </c>
      <c r="M5605">
        <v>1</v>
      </c>
      <c r="N5605">
        <v>5.2840800000000002E-13</v>
      </c>
      <c r="O5605">
        <v>171</v>
      </c>
    </row>
    <row r="5606" spans="1:15" x14ac:dyDescent="0.25">
      <c r="A5606" t="s">
        <v>5619</v>
      </c>
      <c r="B5606">
        <v>595</v>
      </c>
      <c r="C5606" s="1" t="str">
        <f>HYPERLINK("http://www.rosaceae.org/gb/gbrowse/malus_x_domestica/?name=MDP0000161157","MDP0000161157")</f>
        <v>MDP0000161157</v>
      </c>
      <c r="D5606">
        <v>78.92</v>
      </c>
      <c r="E5606">
        <v>593</v>
      </c>
      <c r="F5606">
        <v>125</v>
      </c>
      <c r="G5606">
        <v>9</v>
      </c>
      <c r="H5606">
        <v>1</v>
      </c>
      <c r="I5606">
        <v>593</v>
      </c>
      <c r="J5606">
        <v>1</v>
      </c>
      <c r="K5606">
        <v>1</v>
      </c>
      <c r="L5606">
        <v>584</v>
      </c>
      <c r="M5606">
        <v>1</v>
      </c>
      <c r="N5606">
        <v>0</v>
      </c>
      <c r="O5606">
        <v>2429</v>
      </c>
    </row>
    <row r="5607" spans="1:15" x14ac:dyDescent="0.25">
      <c r="A5607" t="s">
        <v>5620</v>
      </c>
      <c r="B5607">
        <v>832</v>
      </c>
      <c r="C5607" s="1" t="str">
        <f>HYPERLINK("http://www.rosaceae.org/gb/gbrowse/malus_x_domestica/?name=MDP0000179513","MDP0000179513")</f>
        <v>MDP0000179513</v>
      </c>
      <c r="D5607">
        <v>86.05</v>
      </c>
      <c r="E5607">
        <v>839</v>
      </c>
      <c r="F5607">
        <v>117</v>
      </c>
      <c r="G5607">
        <v>8</v>
      </c>
      <c r="H5607">
        <v>1</v>
      </c>
      <c r="I5607">
        <v>832</v>
      </c>
      <c r="J5607">
        <v>1</v>
      </c>
      <c r="K5607">
        <v>1</v>
      </c>
      <c r="L5607">
        <v>838</v>
      </c>
      <c r="M5607">
        <v>1</v>
      </c>
      <c r="N5607">
        <v>0</v>
      </c>
      <c r="O5607">
        <v>3813</v>
      </c>
    </row>
    <row r="5608" spans="1:15" x14ac:dyDescent="0.25">
      <c r="A5608" t="s">
        <v>5621</v>
      </c>
      <c r="B5608">
        <v>151</v>
      </c>
      <c r="C5608" s="1" t="str">
        <f>HYPERLINK("http://www.rosaceae.org/gb/gbrowse/malus_x_domestica/?name=MDP0000272048","MDP0000272048")</f>
        <v>MDP0000272048</v>
      </c>
      <c r="D5608">
        <v>54</v>
      </c>
      <c r="E5608">
        <v>100</v>
      </c>
      <c r="F5608">
        <v>46</v>
      </c>
      <c r="G5608">
        <v>15</v>
      </c>
      <c r="H5608">
        <v>67</v>
      </c>
      <c r="I5608">
        <v>151</v>
      </c>
      <c r="J5608">
        <v>1</v>
      </c>
      <c r="K5608">
        <v>93</v>
      </c>
      <c r="L5608">
        <v>192</v>
      </c>
      <c r="M5608">
        <v>1</v>
      </c>
      <c r="N5608">
        <v>5.0975599999999998E-19</v>
      </c>
      <c r="O5608">
        <v>223</v>
      </c>
    </row>
    <row r="5609" spans="1:15" x14ac:dyDescent="0.25">
      <c r="A5609" t="s">
        <v>5622</v>
      </c>
      <c r="B5609">
        <v>372</v>
      </c>
      <c r="C5609" s="1" t="str">
        <f>HYPERLINK("http://www.rosaceae.org/gb/gbrowse/malus_x_domestica/?name=MDP0000313476","MDP0000313476")</f>
        <v>MDP0000313476</v>
      </c>
      <c r="D5609">
        <v>57.19</v>
      </c>
      <c r="E5609">
        <v>299</v>
      </c>
      <c r="F5609">
        <v>128</v>
      </c>
      <c r="G5609">
        <v>38</v>
      </c>
      <c r="H5609">
        <v>89</v>
      </c>
      <c r="I5609">
        <v>368</v>
      </c>
      <c r="J5609">
        <v>1</v>
      </c>
      <c r="K5609">
        <v>75</v>
      </c>
      <c r="L5609">
        <v>354</v>
      </c>
      <c r="M5609">
        <v>1</v>
      </c>
      <c r="N5609">
        <v>7.43655E-76</v>
      </c>
      <c r="O5609">
        <v>719</v>
      </c>
    </row>
    <row r="5610" spans="1:15" x14ac:dyDescent="0.25">
      <c r="A5610" t="s">
        <v>5623</v>
      </c>
      <c r="B5610">
        <v>392</v>
      </c>
      <c r="C5610" s="1" t="str">
        <f>HYPERLINK("http://www.rosaceae.org/gb/gbrowse/malus_x_domestica/?name=MDP0000225415","MDP0000225415")</f>
        <v>MDP0000225415</v>
      </c>
      <c r="D5610">
        <v>86.26</v>
      </c>
      <c r="E5610">
        <v>386</v>
      </c>
      <c r="F5610">
        <v>53</v>
      </c>
      <c r="G5610">
        <v>11</v>
      </c>
      <c r="H5610">
        <v>1</v>
      </c>
      <c r="I5610">
        <v>376</v>
      </c>
      <c r="J5610">
        <v>1</v>
      </c>
      <c r="K5610">
        <v>1</v>
      </c>
      <c r="L5610">
        <v>385</v>
      </c>
      <c r="M5610">
        <v>1</v>
      </c>
      <c r="N5610">
        <v>0</v>
      </c>
      <c r="O5610">
        <v>1762</v>
      </c>
    </row>
    <row r="5611" spans="1:15" x14ac:dyDescent="0.25">
      <c r="A5611" t="s">
        <v>5624</v>
      </c>
      <c r="B5611">
        <v>707</v>
      </c>
      <c r="C5611" s="1" t="str">
        <f>HYPERLINK("http://www.rosaceae.org/gb/gbrowse/malus_x_domestica/?name=MDP0000150931","MDP0000150931")</f>
        <v>MDP0000150931</v>
      </c>
      <c r="D5611">
        <v>68.81</v>
      </c>
      <c r="E5611">
        <v>699</v>
      </c>
      <c r="F5611">
        <v>218</v>
      </c>
      <c r="G5611">
        <v>30</v>
      </c>
      <c r="H5611">
        <v>18</v>
      </c>
      <c r="I5611">
        <v>706</v>
      </c>
      <c r="J5611">
        <v>1</v>
      </c>
      <c r="K5611">
        <v>15</v>
      </c>
      <c r="L5611">
        <v>693</v>
      </c>
      <c r="M5611">
        <v>1</v>
      </c>
      <c r="N5611">
        <v>0</v>
      </c>
      <c r="O5611">
        <v>2462</v>
      </c>
    </row>
    <row r="5612" spans="1:15" x14ac:dyDescent="0.25">
      <c r="A5612" t="s">
        <v>5625</v>
      </c>
      <c r="B5612">
        <v>389</v>
      </c>
      <c r="C5612" s="1" t="str">
        <f>HYPERLINK("http://www.rosaceae.org/gb/gbrowse/malus_x_domestica/?name=MDP0000295279","MDP0000295279")</f>
        <v>MDP0000295279</v>
      </c>
      <c r="D5612">
        <v>34.22</v>
      </c>
      <c r="E5612">
        <v>488</v>
      </c>
      <c r="F5612">
        <v>321</v>
      </c>
      <c r="G5612">
        <v>134</v>
      </c>
      <c r="H5612">
        <v>17</v>
      </c>
      <c r="I5612">
        <v>375</v>
      </c>
      <c r="J5612">
        <v>1</v>
      </c>
      <c r="K5612">
        <v>44</v>
      </c>
      <c r="L5612">
        <v>526</v>
      </c>
      <c r="M5612">
        <v>1</v>
      </c>
      <c r="N5612">
        <v>1.48496E-61</v>
      </c>
      <c r="O5612">
        <v>596</v>
      </c>
    </row>
    <row r="5613" spans="1:15" x14ac:dyDescent="0.25">
      <c r="A5613" t="s">
        <v>5626</v>
      </c>
      <c r="B5613">
        <v>89</v>
      </c>
      <c r="C5613" s="1" t="str">
        <f>HYPERLINK("http://www.rosaceae.org/gb/gbrowse/malus_x_domestica/?name=MDP0000774306","MDP0000774306")</f>
        <v>MDP0000774306</v>
      </c>
      <c r="D5613">
        <v>66.66</v>
      </c>
      <c r="E5613">
        <v>51</v>
      </c>
      <c r="F5613">
        <v>17</v>
      </c>
      <c r="G5613">
        <v>0</v>
      </c>
      <c r="H5613">
        <v>8</v>
      </c>
      <c r="I5613">
        <v>58</v>
      </c>
      <c r="J5613">
        <v>1</v>
      </c>
      <c r="K5613">
        <v>1</v>
      </c>
      <c r="L5613">
        <v>51</v>
      </c>
      <c r="M5613">
        <v>1</v>
      </c>
      <c r="N5613">
        <v>1.6448900000000001E-14</v>
      </c>
      <c r="O5613">
        <v>183</v>
      </c>
    </row>
    <row r="5614" spans="1:15" x14ac:dyDescent="0.25">
      <c r="A5614" t="s">
        <v>5627</v>
      </c>
      <c r="B5614">
        <v>514</v>
      </c>
      <c r="C5614" s="1" t="str">
        <f>HYPERLINK("http://www.rosaceae.org/gb/gbrowse/malus_x_domestica/?name=MDP0000874252","MDP0000874252")</f>
        <v>MDP0000874252</v>
      </c>
      <c r="D5614">
        <v>84.03</v>
      </c>
      <c r="E5614">
        <v>501</v>
      </c>
      <c r="F5614">
        <v>80</v>
      </c>
      <c r="G5614">
        <v>0</v>
      </c>
      <c r="H5614">
        <v>14</v>
      </c>
      <c r="I5614">
        <v>514</v>
      </c>
      <c r="J5614">
        <v>1</v>
      </c>
      <c r="K5614">
        <v>14</v>
      </c>
      <c r="L5614">
        <v>514</v>
      </c>
      <c r="M5614">
        <v>1</v>
      </c>
      <c r="N5614">
        <v>0</v>
      </c>
      <c r="O5614">
        <v>2296</v>
      </c>
    </row>
    <row r="5615" spans="1:15" x14ac:dyDescent="0.25">
      <c r="A5615" t="s">
        <v>5628</v>
      </c>
      <c r="B5615">
        <v>152</v>
      </c>
      <c r="C5615" s="1" t="str">
        <f>HYPERLINK("http://www.rosaceae.org/gb/gbrowse/malus_x_domestica/?name=MDP0000159982","MDP0000159982")</f>
        <v>MDP0000159982</v>
      </c>
      <c r="D5615">
        <v>87.21</v>
      </c>
      <c r="E5615">
        <v>133</v>
      </c>
      <c r="F5615">
        <v>17</v>
      </c>
      <c r="G5615">
        <v>0</v>
      </c>
      <c r="H5615">
        <v>20</v>
      </c>
      <c r="I5615">
        <v>152</v>
      </c>
      <c r="J5615">
        <v>1</v>
      </c>
      <c r="K5615">
        <v>11</v>
      </c>
      <c r="L5615">
        <v>143</v>
      </c>
      <c r="M5615">
        <v>1</v>
      </c>
      <c r="N5615">
        <v>5.2480099999999997E-65</v>
      </c>
      <c r="O5615">
        <v>620</v>
      </c>
    </row>
    <row r="5616" spans="1:15" x14ac:dyDescent="0.25">
      <c r="A5616" t="s">
        <v>5629</v>
      </c>
      <c r="B5616">
        <v>414</v>
      </c>
      <c r="C5616" s="1" t="str">
        <f>HYPERLINK("http://www.rosaceae.org/gb/gbrowse/malus_x_domestica/?name=MDP0000870113","MDP0000870113")</f>
        <v>MDP0000870113</v>
      </c>
      <c r="D5616">
        <v>60.68</v>
      </c>
      <c r="E5616">
        <v>262</v>
      </c>
      <c r="F5616">
        <v>103</v>
      </c>
      <c r="G5616">
        <v>4</v>
      </c>
      <c r="H5616">
        <v>105</v>
      </c>
      <c r="I5616">
        <v>365</v>
      </c>
      <c r="J5616">
        <v>1</v>
      </c>
      <c r="K5616">
        <v>95</v>
      </c>
      <c r="L5616">
        <v>353</v>
      </c>
      <c r="M5616">
        <v>1</v>
      </c>
      <c r="N5616">
        <v>9.3299900000000003E-90</v>
      </c>
      <c r="O5616">
        <v>840</v>
      </c>
    </row>
    <row r="5617" spans="1:15" x14ac:dyDescent="0.25">
      <c r="A5617" t="s">
        <v>5630</v>
      </c>
      <c r="B5617">
        <v>124</v>
      </c>
      <c r="C5617" s="1" t="str">
        <f>HYPERLINK("http://www.rosaceae.org/gb/gbrowse/malus_x_domestica/?name=MDP0000791870","MDP0000791870")</f>
        <v>MDP0000791870</v>
      </c>
      <c r="D5617">
        <v>96.51</v>
      </c>
      <c r="E5617">
        <v>86</v>
      </c>
      <c r="F5617">
        <v>3</v>
      </c>
      <c r="G5617">
        <v>0</v>
      </c>
      <c r="H5617">
        <v>31</v>
      </c>
      <c r="I5617">
        <v>116</v>
      </c>
      <c r="J5617">
        <v>1</v>
      </c>
      <c r="K5617">
        <v>36</v>
      </c>
      <c r="L5617">
        <v>121</v>
      </c>
      <c r="M5617">
        <v>1</v>
      </c>
      <c r="N5617">
        <v>1.66335E-48</v>
      </c>
      <c r="O5617">
        <v>476</v>
      </c>
    </row>
    <row r="5618" spans="1:15" x14ac:dyDescent="0.25">
      <c r="A5618" t="s">
        <v>5631</v>
      </c>
      <c r="B5618">
        <v>676</v>
      </c>
      <c r="C5618" s="1" t="str">
        <f>HYPERLINK("http://www.rosaceae.org/gb/gbrowse/malus_x_domestica/?name=MDP0000139073","MDP0000139073")</f>
        <v>MDP0000139073</v>
      </c>
      <c r="D5618">
        <v>69.430000000000007</v>
      </c>
      <c r="E5618">
        <v>723</v>
      </c>
      <c r="F5618">
        <v>221</v>
      </c>
      <c r="G5618">
        <v>67</v>
      </c>
      <c r="H5618">
        <v>16</v>
      </c>
      <c r="I5618">
        <v>676</v>
      </c>
      <c r="J5618">
        <v>1</v>
      </c>
      <c r="K5618">
        <v>5</v>
      </c>
      <c r="L5618">
        <v>722</v>
      </c>
      <c r="M5618">
        <v>1</v>
      </c>
      <c r="N5618">
        <v>0</v>
      </c>
      <c r="O5618">
        <v>2476</v>
      </c>
    </row>
    <row r="5619" spans="1:15" x14ac:dyDescent="0.25">
      <c r="A5619" t="s">
        <v>5632</v>
      </c>
      <c r="B5619">
        <v>406</v>
      </c>
      <c r="C5619" s="1" t="str">
        <f>HYPERLINK("http://www.rosaceae.org/gb/gbrowse/malus_x_domestica/?name=MDP0000303194","MDP0000303194")</f>
        <v>MDP0000303194</v>
      </c>
      <c r="D5619">
        <v>80.19</v>
      </c>
      <c r="E5619">
        <v>308</v>
      </c>
      <c r="F5619">
        <v>61</v>
      </c>
      <c r="G5619">
        <v>1</v>
      </c>
      <c r="H5619">
        <v>4</v>
      </c>
      <c r="I5619">
        <v>311</v>
      </c>
      <c r="J5619">
        <v>1</v>
      </c>
      <c r="K5619">
        <v>60</v>
      </c>
      <c r="L5619">
        <v>366</v>
      </c>
      <c r="M5619">
        <v>1</v>
      </c>
      <c r="N5619">
        <v>4.2856500000000002E-150</v>
      </c>
      <c r="O5619">
        <v>1360</v>
      </c>
    </row>
    <row r="5620" spans="1:15" x14ac:dyDescent="0.25">
      <c r="A5620" t="s">
        <v>5633</v>
      </c>
      <c r="B5620">
        <v>302</v>
      </c>
      <c r="C5620" s="1" t="str">
        <f>HYPERLINK("http://www.rosaceae.org/gb/gbrowse/malus_x_domestica/?name=MDP0000164095","MDP0000164095")</f>
        <v>MDP0000164095</v>
      </c>
      <c r="D5620">
        <v>55.62</v>
      </c>
      <c r="E5620">
        <v>311</v>
      </c>
      <c r="F5620">
        <v>138</v>
      </c>
      <c r="G5620">
        <v>55</v>
      </c>
      <c r="H5620">
        <v>2</v>
      </c>
      <c r="I5620">
        <v>302</v>
      </c>
      <c r="J5620">
        <v>1</v>
      </c>
      <c r="K5620">
        <v>13</v>
      </c>
      <c r="L5620">
        <v>278</v>
      </c>
      <c r="M5620">
        <v>1</v>
      </c>
      <c r="N5620">
        <v>3.0116099999999998E-76</v>
      </c>
      <c r="O5620">
        <v>722</v>
      </c>
    </row>
    <row r="5621" spans="1:15" x14ac:dyDescent="0.25">
      <c r="A5621" t="s">
        <v>5634</v>
      </c>
      <c r="B5621">
        <v>96</v>
      </c>
      <c r="C5621" s="1" t="str">
        <f>HYPERLINK("http://www.rosaceae.org/gb/gbrowse/malus_x_domestica/?name=MDP0000313897","MDP0000313897")</f>
        <v>MDP0000313897</v>
      </c>
      <c r="D5621">
        <v>79.62</v>
      </c>
      <c r="E5621">
        <v>54</v>
      </c>
      <c r="F5621">
        <v>11</v>
      </c>
      <c r="G5621">
        <v>0</v>
      </c>
      <c r="H5621">
        <v>16</v>
      </c>
      <c r="I5621">
        <v>69</v>
      </c>
      <c r="J5621">
        <v>1</v>
      </c>
      <c r="K5621">
        <v>192</v>
      </c>
      <c r="L5621">
        <v>245</v>
      </c>
      <c r="M5621">
        <v>1</v>
      </c>
      <c r="N5621">
        <v>8.1716400000000002E-19</v>
      </c>
      <c r="O5621">
        <v>220</v>
      </c>
    </row>
    <row r="5622" spans="1:15" x14ac:dyDescent="0.25">
      <c r="A5622" t="s">
        <v>5635</v>
      </c>
      <c r="B5622">
        <v>787</v>
      </c>
      <c r="C5622" s="1" t="str">
        <f>HYPERLINK("http://www.rosaceae.org/gb/gbrowse/malus_x_domestica/?name=MDP0000565238","MDP0000565238")</f>
        <v>MDP0000565238</v>
      </c>
      <c r="D5622">
        <v>65.2</v>
      </c>
      <c r="E5622">
        <v>503</v>
      </c>
      <c r="F5622">
        <v>175</v>
      </c>
      <c r="G5622">
        <v>13</v>
      </c>
      <c r="H5622">
        <v>233</v>
      </c>
      <c r="I5622">
        <v>735</v>
      </c>
      <c r="J5622">
        <v>1</v>
      </c>
      <c r="K5622">
        <v>23</v>
      </c>
      <c r="L5622">
        <v>512</v>
      </c>
      <c r="M5622">
        <v>1</v>
      </c>
      <c r="N5622">
        <v>0</v>
      </c>
      <c r="O5622">
        <v>1741</v>
      </c>
    </row>
    <row r="5623" spans="1:15" x14ac:dyDescent="0.25">
      <c r="A5623" t="s">
        <v>5636</v>
      </c>
      <c r="B5623">
        <v>114</v>
      </c>
      <c r="C5623" s="1" t="str">
        <f>HYPERLINK("http://www.rosaceae.org/gb/gbrowse/malus_x_domestica/?name=MDP0000851946","MDP0000851946")</f>
        <v>MDP0000851946</v>
      </c>
      <c r="D5623">
        <v>69.69</v>
      </c>
      <c r="E5623">
        <v>99</v>
      </c>
      <c r="F5623">
        <v>30</v>
      </c>
      <c r="G5623">
        <v>7</v>
      </c>
      <c r="H5623">
        <v>1</v>
      </c>
      <c r="I5623">
        <v>93</v>
      </c>
      <c r="J5623">
        <v>1</v>
      </c>
      <c r="K5623">
        <v>26</v>
      </c>
      <c r="L5623">
        <v>123</v>
      </c>
      <c r="M5623">
        <v>1</v>
      </c>
      <c r="N5623">
        <v>2.1141500000000001E-29</v>
      </c>
      <c r="O5623">
        <v>311</v>
      </c>
    </row>
    <row r="5624" spans="1:15" x14ac:dyDescent="0.25">
      <c r="A5624" t="s">
        <v>5637</v>
      </c>
      <c r="B5624">
        <v>187</v>
      </c>
      <c r="C5624" s="1" t="str">
        <f>HYPERLINK("http://www.rosaceae.org/gb/gbrowse/malus_x_domestica/?name=MDP0000653470","MDP0000653470")</f>
        <v>MDP0000653470</v>
      </c>
      <c r="D5624">
        <v>54.96</v>
      </c>
      <c r="E5624">
        <v>131</v>
      </c>
      <c r="F5624">
        <v>59</v>
      </c>
      <c r="G5624">
        <v>4</v>
      </c>
      <c r="H5624">
        <v>61</v>
      </c>
      <c r="I5624">
        <v>187</v>
      </c>
      <c r="J5624">
        <v>1</v>
      </c>
      <c r="K5624">
        <v>203</v>
      </c>
      <c r="L5624">
        <v>333</v>
      </c>
      <c r="M5624">
        <v>1</v>
      </c>
      <c r="N5624">
        <v>5.0475700000000004E-37</v>
      </c>
      <c r="O5624">
        <v>380</v>
      </c>
    </row>
    <row r="5625" spans="1:15" x14ac:dyDescent="0.25">
      <c r="A5625" t="s">
        <v>5638</v>
      </c>
      <c r="B5625">
        <v>763</v>
      </c>
      <c r="C5625" s="1" t="str">
        <f>HYPERLINK("http://www.rosaceae.org/gb/gbrowse/malus_x_domestica/?name=MDP0000222435","MDP0000222435")</f>
        <v>MDP0000222435</v>
      </c>
      <c r="D5625">
        <v>69.739999999999995</v>
      </c>
      <c r="E5625">
        <v>509</v>
      </c>
      <c r="F5625">
        <v>154</v>
      </c>
      <c r="G5625">
        <v>52</v>
      </c>
      <c r="H5625">
        <v>1</v>
      </c>
      <c r="I5625">
        <v>465</v>
      </c>
      <c r="J5625">
        <v>1</v>
      </c>
      <c r="K5625">
        <v>55</v>
      </c>
      <c r="L5625">
        <v>555</v>
      </c>
      <c r="M5625">
        <v>1</v>
      </c>
      <c r="N5625">
        <v>0</v>
      </c>
      <c r="O5625">
        <v>1784</v>
      </c>
    </row>
    <row r="5626" spans="1:15" x14ac:dyDescent="0.25">
      <c r="A5626" t="s">
        <v>5639</v>
      </c>
      <c r="B5626">
        <v>182</v>
      </c>
      <c r="C5626" s="1" t="str">
        <f>HYPERLINK("http://www.rosaceae.org/gb/gbrowse/malus_x_domestica/?name=MDP0000896238","MDP0000896238")</f>
        <v>MDP0000896238</v>
      </c>
      <c r="D5626">
        <v>63.44</v>
      </c>
      <c r="E5626">
        <v>186</v>
      </c>
      <c r="F5626">
        <v>68</v>
      </c>
      <c r="G5626">
        <v>12</v>
      </c>
      <c r="H5626">
        <v>1</v>
      </c>
      <c r="I5626">
        <v>175</v>
      </c>
      <c r="J5626">
        <v>1</v>
      </c>
      <c r="K5626">
        <v>1</v>
      </c>
      <c r="L5626">
        <v>185</v>
      </c>
      <c r="M5626">
        <v>1</v>
      </c>
      <c r="N5626">
        <v>2.8035099999999999E-55</v>
      </c>
      <c r="O5626">
        <v>538</v>
      </c>
    </row>
    <row r="5627" spans="1:15" x14ac:dyDescent="0.25">
      <c r="A5627" t="s">
        <v>5640</v>
      </c>
      <c r="B5627">
        <v>684</v>
      </c>
      <c r="C5627" s="1" t="str">
        <f>HYPERLINK("http://www.rosaceae.org/gb/gbrowse/malus_x_domestica/?name=MDP0000767722","MDP0000767722")</f>
        <v>MDP0000767722</v>
      </c>
      <c r="D5627">
        <v>81.67</v>
      </c>
      <c r="E5627">
        <v>633</v>
      </c>
      <c r="F5627">
        <v>116</v>
      </c>
      <c r="G5627">
        <v>2</v>
      </c>
      <c r="H5627">
        <v>2</v>
      </c>
      <c r="I5627">
        <v>633</v>
      </c>
      <c r="J5627">
        <v>1</v>
      </c>
      <c r="K5627">
        <v>4</v>
      </c>
      <c r="L5627">
        <v>635</v>
      </c>
      <c r="M5627">
        <v>1</v>
      </c>
      <c r="N5627">
        <v>0</v>
      </c>
      <c r="O5627">
        <v>2754</v>
      </c>
    </row>
    <row r="5628" spans="1:15" x14ac:dyDescent="0.25">
      <c r="A5628" t="s">
        <v>5641</v>
      </c>
      <c r="B5628">
        <v>690</v>
      </c>
      <c r="C5628" s="1" t="str">
        <f>HYPERLINK("http://www.rosaceae.org/gb/gbrowse/malus_x_domestica/?name=MDP0000698017","MDP0000698017")</f>
        <v>MDP0000698017</v>
      </c>
      <c r="D5628">
        <v>45.34</v>
      </c>
      <c r="E5628">
        <v>247</v>
      </c>
      <c r="F5628">
        <v>135</v>
      </c>
      <c r="G5628">
        <v>3</v>
      </c>
      <c r="H5628">
        <v>97</v>
      </c>
      <c r="I5628">
        <v>340</v>
      </c>
      <c r="J5628">
        <v>1</v>
      </c>
      <c r="K5628">
        <v>337</v>
      </c>
      <c r="L5628">
        <v>583</v>
      </c>
      <c r="M5628">
        <v>1</v>
      </c>
      <c r="N5628">
        <v>9.2671599999999999E-57</v>
      </c>
      <c r="O5628">
        <v>557</v>
      </c>
    </row>
    <row r="5629" spans="1:15" x14ac:dyDescent="0.25">
      <c r="A5629" t="s">
        <v>5642</v>
      </c>
      <c r="B5629">
        <v>331</v>
      </c>
      <c r="C5629" s="1" t="str">
        <f>HYPERLINK("http://www.rosaceae.org/gb/gbrowse/malus_x_domestica/?name=MDP0000878686","MDP0000878686")</f>
        <v>MDP0000878686</v>
      </c>
      <c r="D5629">
        <v>34.64</v>
      </c>
      <c r="E5629">
        <v>280</v>
      </c>
      <c r="F5629">
        <v>183</v>
      </c>
      <c r="G5629">
        <v>66</v>
      </c>
      <c r="H5629">
        <v>12</v>
      </c>
      <c r="I5629">
        <v>288</v>
      </c>
      <c r="J5629">
        <v>1</v>
      </c>
      <c r="K5629">
        <v>127</v>
      </c>
      <c r="L5629">
        <v>343</v>
      </c>
      <c r="M5629">
        <v>1</v>
      </c>
      <c r="N5629">
        <v>9.1330800000000005E-29</v>
      </c>
      <c r="O5629">
        <v>313</v>
      </c>
    </row>
    <row r="5630" spans="1:15" x14ac:dyDescent="0.25">
      <c r="A5630" t="s">
        <v>5643</v>
      </c>
      <c r="B5630">
        <v>1662</v>
      </c>
      <c r="C5630" s="1" t="str">
        <f>HYPERLINK("http://www.rosaceae.org/gb/gbrowse/malus_x_domestica/?name=MDP0000312088","MDP0000312088")</f>
        <v>MDP0000312088</v>
      </c>
      <c r="D5630">
        <v>51.38</v>
      </c>
      <c r="E5630">
        <v>1261</v>
      </c>
      <c r="F5630">
        <v>613</v>
      </c>
      <c r="G5630">
        <v>196</v>
      </c>
      <c r="H5630">
        <v>36</v>
      </c>
      <c r="I5630">
        <v>1193</v>
      </c>
      <c r="J5630">
        <v>1</v>
      </c>
      <c r="K5630">
        <v>2</v>
      </c>
      <c r="L5630">
        <v>1169</v>
      </c>
      <c r="M5630">
        <v>1</v>
      </c>
      <c r="N5630">
        <v>0</v>
      </c>
      <c r="O5630">
        <v>2847</v>
      </c>
    </row>
    <row r="5631" spans="1:15" x14ac:dyDescent="0.25">
      <c r="A5631" t="s">
        <v>5644</v>
      </c>
      <c r="B5631">
        <v>333</v>
      </c>
      <c r="C5631" s="1" t="str">
        <f>HYPERLINK("http://www.rosaceae.org/gb/gbrowse/malus_x_domestica/?name=MDP0000229910","MDP0000229910")</f>
        <v>MDP0000229910</v>
      </c>
      <c r="D5631">
        <v>72.540000000000006</v>
      </c>
      <c r="E5631">
        <v>244</v>
      </c>
      <c r="F5631">
        <v>67</v>
      </c>
      <c r="G5631">
        <v>25</v>
      </c>
      <c r="H5631">
        <v>115</v>
      </c>
      <c r="I5631">
        <v>333</v>
      </c>
      <c r="J5631">
        <v>1</v>
      </c>
      <c r="K5631">
        <v>527</v>
      </c>
      <c r="L5631">
        <v>770</v>
      </c>
      <c r="M5631">
        <v>1</v>
      </c>
      <c r="N5631">
        <v>1.4903400000000001E-96</v>
      </c>
      <c r="O5631">
        <v>897</v>
      </c>
    </row>
    <row r="5632" spans="1:15" x14ac:dyDescent="0.25">
      <c r="A5632" t="s">
        <v>5645</v>
      </c>
      <c r="B5632">
        <v>223</v>
      </c>
      <c r="C5632" s="1" t="str">
        <f>HYPERLINK("http://www.rosaceae.org/gb/gbrowse/malus_x_domestica/?name=MDP0000253745","MDP0000253745")</f>
        <v>MDP0000253745</v>
      </c>
      <c r="D5632">
        <v>79.650000000000006</v>
      </c>
      <c r="E5632">
        <v>172</v>
      </c>
      <c r="F5632">
        <v>35</v>
      </c>
      <c r="G5632">
        <v>0</v>
      </c>
      <c r="H5632">
        <v>48</v>
      </c>
      <c r="I5632">
        <v>219</v>
      </c>
      <c r="J5632">
        <v>1</v>
      </c>
      <c r="K5632">
        <v>1</v>
      </c>
      <c r="L5632">
        <v>172</v>
      </c>
      <c r="M5632">
        <v>1</v>
      </c>
      <c r="N5632">
        <v>5.8492299999999999E-79</v>
      </c>
      <c r="O5632">
        <v>743</v>
      </c>
    </row>
    <row r="5633" spans="1:15" x14ac:dyDescent="0.25">
      <c r="A5633" t="s">
        <v>5646</v>
      </c>
      <c r="B5633">
        <v>207</v>
      </c>
      <c r="C5633" s="1" t="str">
        <f>HYPERLINK("http://www.rosaceae.org/gb/gbrowse/malus_x_domestica/?name=MDP0000451365","MDP0000451365")</f>
        <v>MDP0000451365</v>
      </c>
      <c r="D5633">
        <v>54.35</v>
      </c>
      <c r="E5633">
        <v>195</v>
      </c>
      <c r="F5633">
        <v>89</v>
      </c>
      <c r="G5633">
        <v>24</v>
      </c>
      <c r="H5633">
        <v>36</v>
      </c>
      <c r="I5633">
        <v>206</v>
      </c>
      <c r="J5633">
        <v>1</v>
      </c>
      <c r="K5633">
        <v>19</v>
      </c>
      <c r="L5633">
        <v>213</v>
      </c>
      <c r="M5633">
        <v>1</v>
      </c>
      <c r="N5633">
        <v>8.3590200000000007E-52</v>
      </c>
      <c r="O5633">
        <v>509</v>
      </c>
    </row>
    <row r="5634" spans="1:15" x14ac:dyDescent="0.25">
      <c r="A5634" t="s">
        <v>5647</v>
      </c>
      <c r="B5634">
        <v>437</v>
      </c>
      <c r="C5634" s="1" t="str">
        <f>HYPERLINK("http://www.rosaceae.org/gb/gbrowse/malus_x_domestica/?name=MDP0000143554","MDP0000143554")</f>
        <v>MDP0000143554</v>
      </c>
      <c r="D5634">
        <v>66.8</v>
      </c>
      <c r="E5634">
        <v>491</v>
      </c>
      <c r="F5634">
        <v>163</v>
      </c>
      <c r="G5634">
        <v>58</v>
      </c>
      <c r="H5634">
        <v>1</v>
      </c>
      <c r="I5634">
        <v>434</v>
      </c>
      <c r="J5634">
        <v>1</v>
      </c>
      <c r="K5634">
        <v>1</v>
      </c>
      <c r="L5634">
        <v>490</v>
      </c>
      <c r="M5634">
        <v>1</v>
      </c>
      <c r="N5634">
        <v>0</v>
      </c>
      <c r="O5634">
        <v>1661</v>
      </c>
    </row>
    <row r="5635" spans="1:15" x14ac:dyDescent="0.25">
      <c r="A5635" t="s">
        <v>5648</v>
      </c>
      <c r="B5635">
        <v>756</v>
      </c>
      <c r="C5635" s="1" t="str">
        <f>HYPERLINK("http://www.rosaceae.org/gb/gbrowse/malus_x_domestica/?name=MDP0000314369","MDP0000314369")</f>
        <v>MDP0000314369</v>
      </c>
      <c r="D5635">
        <v>77.89</v>
      </c>
      <c r="E5635">
        <v>733</v>
      </c>
      <c r="F5635">
        <v>162</v>
      </c>
      <c r="G5635">
        <v>8</v>
      </c>
      <c r="H5635">
        <v>4</v>
      </c>
      <c r="I5635">
        <v>735</v>
      </c>
      <c r="J5635">
        <v>1</v>
      </c>
      <c r="K5635">
        <v>8</v>
      </c>
      <c r="L5635">
        <v>733</v>
      </c>
      <c r="M5635">
        <v>1</v>
      </c>
      <c r="N5635">
        <v>0</v>
      </c>
      <c r="O5635">
        <v>2957</v>
      </c>
    </row>
    <row r="5636" spans="1:15" x14ac:dyDescent="0.25">
      <c r="A5636" t="s">
        <v>5649</v>
      </c>
      <c r="B5636">
        <v>513</v>
      </c>
      <c r="C5636" s="1" t="str">
        <f>HYPERLINK("http://www.rosaceae.org/gb/gbrowse/malus_x_domestica/?name=MDP0000250883","MDP0000250883")</f>
        <v>MDP0000250883</v>
      </c>
      <c r="D5636">
        <v>77.42</v>
      </c>
      <c r="E5636">
        <v>567</v>
      </c>
      <c r="F5636">
        <v>128</v>
      </c>
      <c r="G5636">
        <v>54</v>
      </c>
      <c r="H5636">
        <v>1</v>
      </c>
      <c r="I5636">
        <v>513</v>
      </c>
      <c r="J5636">
        <v>1</v>
      </c>
      <c r="K5636">
        <v>37</v>
      </c>
      <c r="L5636">
        <v>603</v>
      </c>
      <c r="M5636">
        <v>1</v>
      </c>
      <c r="N5636">
        <v>0</v>
      </c>
      <c r="O5636">
        <v>2248</v>
      </c>
    </row>
    <row r="5637" spans="1:15" x14ac:dyDescent="0.25">
      <c r="A5637" t="s">
        <v>5650</v>
      </c>
      <c r="B5637">
        <v>228</v>
      </c>
      <c r="C5637" s="1" t="str">
        <f>HYPERLINK("http://www.rosaceae.org/gb/gbrowse/malus_x_domestica/?name=MDP0000255282","MDP0000255282")</f>
        <v>MDP0000255282</v>
      </c>
      <c r="D5637">
        <v>80.569999999999993</v>
      </c>
      <c r="E5637">
        <v>175</v>
      </c>
      <c r="F5637">
        <v>34</v>
      </c>
      <c r="G5637">
        <v>0</v>
      </c>
      <c r="H5637">
        <v>48</v>
      </c>
      <c r="I5637">
        <v>222</v>
      </c>
      <c r="J5637">
        <v>1</v>
      </c>
      <c r="K5637">
        <v>60</v>
      </c>
      <c r="L5637">
        <v>234</v>
      </c>
      <c r="M5637">
        <v>1</v>
      </c>
      <c r="N5637">
        <v>1.8911E-82</v>
      </c>
      <c r="O5637">
        <v>773</v>
      </c>
    </row>
    <row r="5638" spans="1:15" x14ac:dyDescent="0.25">
      <c r="A5638" t="s">
        <v>5651</v>
      </c>
      <c r="B5638">
        <v>635</v>
      </c>
      <c r="C5638" s="1" t="str">
        <f>HYPERLINK("http://www.rosaceae.org/gb/gbrowse/malus_x_domestica/?name=MDP0000313102","MDP0000313102")</f>
        <v>MDP0000313102</v>
      </c>
      <c r="D5638">
        <v>69.09</v>
      </c>
      <c r="E5638">
        <v>605</v>
      </c>
      <c r="F5638">
        <v>187</v>
      </c>
      <c r="G5638">
        <v>5</v>
      </c>
      <c r="H5638">
        <v>1</v>
      </c>
      <c r="I5638">
        <v>602</v>
      </c>
      <c r="J5638">
        <v>1</v>
      </c>
      <c r="K5638">
        <v>1</v>
      </c>
      <c r="L5638">
        <v>603</v>
      </c>
      <c r="M5638">
        <v>1</v>
      </c>
      <c r="N5638">
        <v>0</v>
      </c>
      <c r="O5638">
        <v>2122</v>
      </c>
    </row>
    <row r="5639" spans="1:15" x14ac:dyDescent="0.25">
      <c r="A5639" t="s">
        <v>5652</v>
      </c>
      <c r="B5639">
        <v>86</v>
      </c>
      <c r="C5639" s="1" t="str">
        <f>HYPERLINK("http://www.rosaceae.org/gb/gbrowse/malus_x_domestica/?name=MDP0000126965","MDP0000126965")</f>
        <v>MDP0000126965</v>
      </c>
      <c r="D5639">
        <v>50</v>
      </c>
      <c r="E5639">
        <v>54</v>
      </c>
      <c r="F5639">
        <v>27</v>
      </c>
      <c r="G5639">
        <v>0</v>
      </c>
      <c r="H5639">
        <v>31</v>
      </c>
      <c r="I5639">
        <v>84</v>
      </c>
      <c r="J5639">
        <v>1</v>
      </c>
      <c r="K5639">
        <v>1</v>
      </c>
      <c r="L5639">
        <v>54</v>
      </c>
      <c r="M5639">
        <v>1</v>
      </c>
      <c r="N5639">
        <v>4.0787700000000002E-10</v>
      </c>
      <c r="O5639">
        <v>145</v>
      </c>
    </row>
    <row r="5640" spans="1:15" x14ac:dyDescent="0.25">
      <c r="A5640" t="s">
        <v>5653</v>
      </c>
      <c r="B5640">
        <v>123</v>
      </c>
      <c r="C5640" s="1" t="str">
        <f>HYPERLINK("http://www.rosaceae.org/gb/gbrowse/malus_x_domestica/?name=MDP0000327358","MDP0000327358")</f>
        <v>MDP0000327358</v>
      </c>
      <c r="D5640">
        <v>66.900000000000006</v>
      </c>
      <c r="E5640">
        <v>139</v>
      </c>
      <c r="F5640">
        <v>46</v>
      </c>
      <c r="G5640">
        <v>39</v>
      </c>
      <c r="H5640">
        <v>1</v>
      </c>
      <c r="I5640">
        <v>100</v>
      </c>
      <c r="J5640">
        <v>1</v>
      </c>
      <c r="K5640">
        <v>43</v>
      </c>
      <c r="L5640">
        <v>181</v>
      </c>
      <c r="M5640">
        <v>1</v>
      </c>
      <c r="N5640">
        <v>3.1771500000000002E-44</v>
      </c>
      <c r="O5640">
        <v>439</v>
      </c>
    </row>
    <row r="5641" spans="1:15" x14ac:dyDescent="0.25">
      <c r="A5641" t="s">
        <v>5654</v>
      </c>
      <c r="B5641">
        <v>136</v>
      </c>
      <c r="C5641" s="1" t="str">
        <f>HYPERLINK("http://www.rosaceae.org/gb/gbrowse/malus_x_domestica/?name=MDP0000215219","MDP0000215219")</f>
        <v>MDP0000215219</v>
      </c>
      <c r="D5641">
        <v>52.05</v>
      </c>
      <c r="E5641">
        <v>73</v>
      </c>
      <c r="F5641">
        <v>35</v>
      </c>
      <c r="G5641">
        <v>8</v>
      </c>
      <c r="H5641">
        <v>11</v>
      </c>
      <c r="I5641">
        <v>75</v>
      </c>
      <c r="J5641">
        <v>1</v>
      </c>
      <c r="K5641">
        <v>19</v>
      </c>
      <c r="L5641">
        <v>91</v>
      </c>
      <c r="M5641">
        <v>1</v>
      </c>
      <c r="N5641">
        <v>5.2739300000000003E-12</v>
      </c>
      <c r="O5641">
        <v>162</v>
      </c>
    </row>
    <row r="5642" spans="1:15" x14ac:dyDescent="0.25">
      <c r="A5642" t="s">
        <v>5655</v>
      </c>
      <c r="B5642">
        <v>385</v>
      </c>
      <c r="C5642" s="1" t="str">
        <f>HYPERLINK("http://www.rosaceae.org/gb/gbrowse/malus_x_domestica/?name=MDP0000322119","MDP0000322119")</f>
        <v>MDP0000322119</v>
      </c>
      <c r="D5642">
        <v>57.34</v>
      </c>
      <c r="E5642">
        <v>354</v>
      </c>
      <c r="F5642">
        <v>151</v>
      </c>
      <c r="G5642">
        <v>6</v>
      </c>
      <c r="H5642">
        <v>35</v>
      </c>
      <c r="I5642">
        <v>383</v>
      </c>
      <c r="J5642">
        <v>1</v>
      </c>
      <c r="K5642">
        <v>43</v>
      </c>
      <c r="L5642">
        <v>395</v>
      </c>
      <c r="M5642">
        <v>1</v>
      </c>
      <c r="N5642">
        <v>5.42829E-117</v>
      </c>
      <c r="O5642">
        <v>1074</v>
      </c>
    </row>
    <row r="5643" spans="1:15" x14ac:dyDescent="0.25">
      <c r="A5643" t="s">
        <v>5656</v>
      </c>
      <c r="B5643">
        <v>747</v>
      </c>
      <c r="C5643" s="1" t="str">
        <f>HYPERLINK("http://www.rosaceae.org/gb/gbrowse/malus_x_domestica/?name=MDP0000484026","MDP0000484026")</f>
        <v>MDP0000484026</v>
      </c>
      <c r="D5643">
        <v>36.43</v>
      </c>
      <c r="E5643">
        <v>859</v>
      </c>
      <c r="F5643">
        <v>546</v>
      </c>
      <c r="G5643">
        <v>154</v>
      </c>
      <c r="H5643">
        <v>38</v>
      </c>
      <c r="I5643">
        <v>747</v>
      </c>
      <c r="J5643">
        <v>1</v>
      </c>
      <c r="K5643">
        <v>32</v>
      </c>
      <c r="L5643">
        <v>885</v>
      </c>
      <c r="M5643">
        <v>1</v>
      </c>
      <c r="N5643">
        <v>6.7599300000000004E-126</v>
      </c>
      <c r="O5643">
        <v>1154</v>
      </c>
    </row>
    <row r="5644" spans="1:15" x14ac:dyDescent="0.25">
      <c r="A5644" t="s">
        <v>5657</v>
      </c>
      <c r="B5644">
        <v>608</v>
      </c>
      <c r="C5644" s="1" t="str">
        <f>HYPERLINK("http://www.rosaceae.org/gb/gbrowse/malus_x_domestica/?name=MDP0000178907","MDP0000178907")</f>
        <v>MDP0000178907</v>
      </c>
      <c r="D5644">
        <v>93.33</v>
      </c>
      <c r="E5644">
        <v>45</v>
      </c>
      <c r="F5644">
        <v>3</v>
      </c>
      <c r="G5644">
        <v>0</v>
      </c>
      <c r="H5644">
        <v>503</v>
      </c>
      <c r="I5644">
        <v>547</v>
      </c>
      <c r="J5644">
        <v>1</v>
      </c>
      <c r="K5644">
        <v>25</v>
      </c>
      <c r="L5644">
        <v>69</v>
      </c>
      <c r="M5644">
        <v>1</v>
      </c>
      <c r="N5644">
        <v>1.2384000000000001E-18</v>
      </c>
      <c r="O5644">
        <v>228</v>
      </c>
    </row>
    <row r="5645" spans="1:15" x14ac:dyDescent="0.25">
      <c r="A5645" t="s">
        <v>5658</v>
      </c>
      <c r="B5645">
        <v>279</v>
      </c>
      <c r="C5645" s="1" t="str">
        <f>HYPERLINK("http://www.rosaceae.org/gb/gbrowse/malus_x_domestica/?name=MDP0000179669","MDP0000179669")</f>
        <v>MDP0000179669</v>
      </c>
      <c r="D5645">
        <v>31.72</v>
      </c>
      <c r="E5645">
        <v>290</v>
      </c>
      <c r="F5645">
        <v>198</v>
      </c>
      <c r="G5645">
        <v>59</v>
      </c>
      <c r="H5645">
        <v>21</v>
      </c>
      <c r="I5645">
        <v>263</v>
      </c>
      <c r="J5645">
        <v>1</v>
      </c>
      <c r="K5645">
        <v>69</v>
      </c>
      <c r="L5645">
        <v>346</v>
      </c>
      <c r="M5645">
        <v>1</v>
      </c>
      <c r="N5645">
        <v>1.20597E-21</v>
      </c>
      <c r="O5645">
        <v>250</v>
      </c>
    </row>
    <row r="5646" spans="1:15" x14ac:dyDescent="0.25">
      <c r="A5646" t="s">
        <v>5659</v>
      </c>
      <c r="B5646">
        <v>372</v>
      </c>
      <c r="C5646" s="1" t="str">
        <f>HYPERLINK("http://www.rosaceae.org/gb/gbrowse/malus_x_domestica/?name=MDP0000185769","MDP0000185769")</f>
        <v>MDP0000185769</v>
      </c>
      <c r="D5646">
        <v>87.04</v>
      </c>
      <c r="E5646">
        <v>355</v>
      </c>
      <c r="F5646">
        <v>46</v>
      </c>
      <c r="G5646">
        <v>5</v>
      </c>
      <c r="H5646">
        <v>18</v>
      </c>
      <c r="I5646">
        <v>372</v>
      </c>
      <c r="J5646">
        <v>1</v>
      </c>
      <c r="K5646">
        <v>17</v>
      </c>
      <c r="L5646">
        <v>366</v>
      </c>
      <c r="M5646">
        <v>1</v>
      </c>
      <c r="N5646">
        <v>0</v>
      </c>
      <c r="O5646">
        <v>1684</v>
      </c>
    </row>
    <row r="5647" spans="1:15" x14ac:dyDescent="0.25">
      <c r="A5647" t="s">
        <v>5660</v>
      </c>
      <c r="B5647">
        <v>357</v>
      </c>
      <c r="C5647" s="1" t="str">
        <f>HYPERLINK("http://www.rosaceae.org/gb/gbrowse/malus_x_domestica/?name=MDP0000501526","MDP0000501526")</f>
        <v>MDP0000501526</v>
      </c>
      <c r="D5647">
        <v>83.33</v>
      </c>
      <c r="E5647">
        <v>276</v>
      </c>
      <c r="F5647">
        <v>46</v>
      </c>
      <c r="G5647">
        <v>0</v>
      </c>
      <c r="H5647">
        <v>82</v>
      </c>
      <c r="I5647">
        <v>357</v>
      </c>
      <c r="J5647">
        <v>1</v>
      </c>
      <c r="K5647">
        <v>84</v>
      </c>
      <c r="L5647">
        <v>359</v>
      </c>
      <c r="M5647">
        <v>1</v>
      </c>
      <c r="N5647">
        <v>1.4006799999999999E-138</v>
      </c>
      <c r="O5647">
        <v>1260</v>
      </c>
    </row>
    <row r="5648" spans="1:15" x14ac:dyDescent="0.25">
      <c r="A5648" t="s">
        <v>5661</v>
      </c>
      <c r="B5648">
        <v>517</v>
      </c>
      <c r="C5648" s="1" t="str">
        <f>HYPERLINK("http://www.rosaceae.org/gb/gbrowse/malus_x_domestica/?name=MDP0000320818","MDP0000320818")</f>
        <v>MDP0000320818</v>
      </c>
      <c r="D5648">
        <v>53.91</v>
      </c>
      <c r="E5648">
        <v>588</v>
      </c>
      <c r="F5648">
        <v>271</v>
      </c>
      <c r="G5648">
        <v>91</v>
      </c>
      <c r="H5648">
        <v>1</v>
      </c>
      <c r="I5648">
        <v>517</v>
      </c>
      <c r="J5648">
        <v>1</v>
      </c>
      <c r="K5648">
        <v>1</v>
      </c>
      <c r="L5648">
        <v>568</v>
      </c>
      <c r="M5648">
        <v>1</v>
      </c>
      <c r="N5648">
        <v>5.4762599999999999E-146</v>
      </c>
      <c r="O5648">
        <v>1326</v>
      </c>
    </row>
    <row r="5649" spans="1:15" x14ac:dyDescent="0.25">
      <c r="A5649" t="s">
        <v>5662</v>
      </c>
      <c r="B5649">
        <v>372</v>
      </c>
      <c r="C5649" s="1" t="str">
        <f>HYPERLINK("http://www.rosaceae.org/gb/gbrowse/malus_x_domestica/?name=MDP0000516992","MDP0000516992")</f>
        <v>MDP0000516992</v>
      </c>
      <c r="D5649">
        <v>69.92</v>
      </c>
      <c r="E5649">
        <v>133</v>
      </c>
      <c r="F5649">
        <v>40</v>
      </c>
      <c r="G5649">
        <v>0</v>
      </c>
      <c r="H5649">
        <v>240</v>
      </c>
      <c r="I5649">
        <v>372</v>
      </c>
      <c r="J5649">
        <v>1</v>
      </c>
      <c r="K5649">
        <v>182</v>
      </c>
      <c r="L5649">
        <v>314</v>
      </c>
      <c r="M5649">
        <v>1</v>
      </c>
      <c r="N5649">
        <v>4.9312700000000001E-54</v>
      </c>
      <c r="O5649">
        <v>531</v>
      </c>
    </row>
    <row r="5650" spans="1:15" x14ac:dyDescent="0.25">
      <c r="A5650" t="s">
        <v>5663</v>
      </c>
      <c r="B5650">
        <v>176</v>
      </c>
      <c r="C5650" s="1" t="str">
        <f>HYPERLINK("http://www.rosaceae.org/gb/gbrowse/malus_x_domestica/?name=MDP0000306559","MDP0000306559")</f>
        <v>MDP0000306559</v>
      </c>
      <c r="D5650">
        <v>54.38</v>
      </c>
      <c r="E5650">
        <v>171</v>
      </c>
      <c r="F5650">
        <v>78</v>
      </c>
      <c r="G5650">
        <v>17</v>
      </c>
      <c r="H5650">
        <v>15</v>
      </c>
      <c r="I5650">
        <v>176</v>
      </c>
      <c r="J5650">
        <v>1</v>
      </c>
      <c r="K5650">
        <v>31</v>
      </c>
      <c r="L5650">
        <v>193</v>
      </c>
      <c r="M5650">
        <v>1</v>
      </c>
      <c r="N5650">
        <v>3.5085699999999999E-36</v>
      </c>
      <c r="O5650">
        <v>373</v>
      </c>
    </row>
    <row r="5651" spans="1:15" x14ac:dyDescent="0.25">
      <c r="A5651" t="s">
        <v>5664</v>
      </c>
      <c r="B5651">
        <v>299</v>
      </c>
      <c r="C5651" s="1" t="str">
        <f>HYPERLINK("http://www.rosaceae.org/gb/gbrowse/malus_x_domestica/?name=MDP0000278575","MDP0000278575")</f>
        <v>MDP0000278575</v>
      </c>
      <c r="D5651">
        <v>79.16</v>
      </c>
      <c r="E5651">
        <v>288</v>
      </c>
      <c r="F5651">
        <v>60</v>
      </c>
      <c r="G5651">
        <v>32</v>
      </c>
      <c r="H5651">
        <v>3</v>
      </c>
      <c r="I5651">
        <v>258</v>
      </c>
      <c r="J5651">
        <v>1</v>
      </c>
      <c r="K5651">
        <v>2</v>
      </c>
      <c r="L5651">
        <v>289</v>
      </c>
      <c r="M5651">
        <v>1</v>
      </c>
      <c r="N5651">
        <v>1.8614500000000001E-129</v>
      </c>
      <c r="O5651">
        <v>1180</v>
      </c>
    </row>
    <row r="5652" spans="1:15" x14ac:dyDescent="0.25">
      <c r="A5652" t="s">
        <v>5665</v>
      </c>
      <c r="B5652">
        <v>296</v>
      </c>
      <c r="C5652" s="1" t="str">
        <f>HYPERLINK("http://www.rosaceae.org/gb/gbrowse/malus_x_domestica/?name=MDP0000164922","MDP0000164922")</f>
        <v>MDP0000164922</v>
      </c>
      <c r="D5652">
        <v>77.650000000000006</v>
      </c>
      <c r="E5652">
        <v>273</v>
      </c>
      <c r="F5652">
        <v>61</v>
      </c>
      <c r="G5652">
        <v>3</v>
      </c>
      <c r="H5652">
        <v>25</v>
      </c>
      <c r="I5652">
        <v>294</v>
      </c>
      <c r="J5652">
        <v>1</v>
      </c>
      <c r="K5652">
        <v>188</v>
      </c>
      <c r="L5652">
        <v>460</v>
      </c>
      <c r="M5652">
        <v>1</v>
      </c>
      <c r="N5652">
        <v>2.2200999999999998E-130</v>
      </c>
      <c r="O5652">
        <v>1188</v>
      </c>
    </row>
    <row r="5653" spans="1:15" x14ac:dyDescent="0.25">
      <c r="A5653" t="s">
        <v>5666</v>
      </c>
      <c r="B5653">
        <v>146</v>
      </c>
      <c r="C5653" s="1" t="str">
        <f>HYPERLINK("http://www.rosaceae.org/gb/gbrowse/malus_x_domestica/?name=MDP0000947031","MDP0000947031")</f>
        <v>MDP0000947031</v>
      </c>
      <c r="D5653">
        <v>64.180000000000007</v>
      </c>
      <c r="E5653">
        <v>148</v>
      </c>
      <c r="F5653">
        <v>53</v>
      </c>
      <c r="G5653">
        <v>4</v>
      </c>
      <c r="H5653">
        <v>1</v>
      </c>
      <c r="I5653">
        <v>144</v>
      </c>
      <c r="J5653">
        <v>1</v>
      </c>
      <c r="K5653">
        <v>7</v>
      </c>
      <c r="L5653">
        <v>154</v>
      </c>
      <c r="M5653">
        <v>1</v>
      </c>
      <c r="N5653">
        <v>3.4425999999999999E-49</v>
      </c>
      <c r="O5653">
        <v>483</v>
      </c>
    </row>
    <row r="5654" spans="1:15" x14ac:dyDescent="0.25">
      <c r="A5654" t="s">
        <v>5667</v>
      </c>
      <c r="B5654">
        <v>198</v>
      </c>
      <c r="C5654" s="1" t="str">
        <f>HYPERLINK("http://www.rosaceae.org/gb/gbrowse/malus_x_domestica/?name=MDP0000191787","MDP0000191787")</f>
        <v>MDP0000191787</v>
      </c>
      <c r="D5654">
        <v>68.42</v>
      </c>
      <c r="E5654">
        <v>114</v>
      </c>
      <c r="F5654">
        <v>36</v>
      </c>
      <c r="G5654">
        <v>0</v>
      </c>
      <c r="H5654">
        <v>85</v>
      </c>
      <c r="I5654">
        <v>198</v>
      </c>
      <c r="J5654">
        <v>1</v>
      </c>
      <c r="K5654">
        <v>82</v>
      </c>
      <c r="L5654">
        <v>195</v>
      </c>
      <c r="M5654">
        <v>1</v>
      </c>
      <c r="N5654">
        <v>9.0558200000000005E-41</v>
      </c>
      <c r="O5654">
        <v>413</v>
      </c>
    </row>
    <row r="5655" spans="1:15" x14ac:dyDescent="0.25">
      <c r="A5655" t="s">
        <v>5668</v>
      </c>
      <c r="B5655">
        <v>196</v>
      </c>
      <c r="C5655" s="1" t="str">
        <f>HYPERLINK("http://www.rosaceae.org/gb/gbrowse/malus_x_domestica/?name=MDP0000297583","MDP0000297583")</f>
        <v>MDP0000297583</v>
      </c>
      <c r="D5655">
        <v>82.22</v>
      </c>
      <c r="E5655">
        <v>180</v>
      </c>
      <c r="F5655">
        <v>32</v>
      </c>
      <c r="G5655">
        <v>21</v>
      </c>
      <c r="H5655">
        <v>5</v>
      </c>
      <c r="I5655">
        <v>163</v>
      </c>
      <c r="J5655">
        <v>1</v>
      </c>
      <c r="K5655">
        <v>238</v>
      </c>
      <c r="L5655">
        <v>417</v>
      </c>
      <c r="M5655">
        <v>1</v>
      </c>
      <c r="N5655">
        <v>5.9728000000000004E-83</v>
      </c>
      <c r="O5655">
        <v>777</v>
      </c>
    </row>
    <row r="5656" spans="1:15" x14ac:dyDescent="0.25">
      <c r="A5656" t="s">
        <v>5669</v>
      </c>
      <c r="B5656">
        <v>595</v>
      </c>
      <c r="C5656" s="1" t="str">
        <f>HYPERLINK("http://www.rosaceae.org/gb/gbrowse/malus_x_domestica/?name=MDP0000312830","MDP0000312830")</f>
        <v>MDP0000312830</v>
      </c>
      <c r="D5656">
        <v>51.03</v>
      </c>
      <c r="E5656">
        <v>531</v>
      </c>
      <c r="F5656">
        <v>260</v>
      </c>
      <c r="G5656">
        <v>64</v>
      </c>
      <c r="H5656">
        <v>14</v>
      </c>
      <c r="I5656">
        <v>544</v>
      </c>
      <c r="J5656">
        <v>1</v>
      </c>
      <c r="K5656">
        <v>375</v>
      </c>
      <c r="L5656">
        <v>841</v>
      </c>
      <c r="M5656">
        <v>1</v>
      </c>
      <c r="N5656">
        <v>1.7822500000000001E-139</v>
      </c>
      <c r="O5656">
        <v>1270</v>
      </c>
    </row>
    <row r="5657" spans="1:15" x14ac:dyDescent="0.25">
      <c r="A5657" t="s">
        <v>5670</v>
      </c>
      <c r="B5657">
        <v>194</v>
      </c>
      <c r="C5657" s="1" t="str">
        <f>HYPERLINK("http://www.rosaceae.org/gb/gbrowse/malus_x_domestica/?name=MDP0000889721","MDP0000889721")</f>
        <v>MDP0000889721</v>
      </c>
      <c r="D5657">
        <v>64.7</v>
      </c>
      <c r="E5657">
        <v>187</v>
      </c>
      <c r="F5657">
        <v>66</v>
      </c>
      <c r="G5657">
        <v>7</v>
      </c>
      <c r="H5657">
        <v>1</v>
      </c>
      <c r="I5657">
        <v>181</v>
      </c>
      <c r="J5657">
        <v>1</v>
      </c>
      <c r="K5657">
        <v>1</v>
      </c>
      <c r="L5657">
        <v>186</v>
      </c>
      <c r="M5657">
        <v>1</v>
      </c>
      <c r="N5657">
        <v>2.2221999999999999E-55</v>
      </c>
      <c r="O5657">
        <v>539</v>
      </c>
    </row>
    <row r="5658" spans="1:15" x14ac:dyDescent="0.25">
      <c r="A5658" t="s">
        <v>5671</v>
      </c>
      <c r="B5658">
        <v>442</v>
      </c>
      <c r="C5658" s="1" t="str">
        <f>HYPERLINK("http://www.rosaceae.org/gb/gbrowse/malus_x_domestica/?name=MDP0000317541","MDP0000317541")</f>
        <v>MDP0000317541</v>
      </c>
      <c r="D5658">
        <v>76.709999999999994</v>
      </c>
      <c r="E5658">
        <v>365</v>
      </c>
      <c r="F5658">
        <v>85</v>
      </c>
      <c r="G5658">
        <v>13</v>
      </c>
      <c r="H5658">
        <v>73</v>
      </c>
      <c r="I5658">
        <v>432</v>
      </c>
      <c r="J5658">
        <v>1</v>
      </c>
      <c r="K5658">
        <v>84</v>
      </c>
      <c r="L5658">
        <v>440</v>
      </c>
      <c r="M5658">
        <v>1</v>
      </c>
      <c r="N5658">
        <v>2.6723300000000002E-161</v>
      </c>
      <c r="O5658">
        <v>1457</v>
      </c>
    </row>
    <row r="5659" spans="1:15" x14ac:dyDescent="0.25">
      <c r="A5659" t="s">
        <v>5672</v>
      </c>
      <c r="B5659">
        <v>241</v>
      </c>
      <c r="C5659" s="1" t="str">
        <f>HYPERLINK("http://www.rosaceae.org/gb/gbrowse/malus_x_domestica/?name=MDP0000301813","MDP0000301813")</f>
        <v>MDP0000301813</v>
      </c>
      <c r="D5659">
        <v>67.67</v>
      </c>
      <c r="E5659">
        <v>99</v>
      </c>
      <c r="F5659">
        <v>32</v>
      </c>
      <c r="G5659">
        <v>0</v>
      </c>
      <c r="H5659">
        <v>143</v>
      </c>
      <c r="I5659">
        <v>241</v>
      </c>
      <c r="J5659">
        <v>1</v>
      </c>
      <c r="K5659">
        <v>412</v>
      </c>
      <c r="L5659">
        <v>510</v>
      </c>
      <c r="M5659">
        <v>1</v>
      </c>
      <c r="N5659">
        <v>6.1292000000000001E-35</v>
      </c>
      <c r="O5659">
        <v>364</v>
      </c>
    </row>
    <row r="5660" spans="1:15" x14ac:dyDescent="0.25">
      <c r="A5660" t="s">
        <v>5673</v>
      </c>
      <c r="B5660">
        <v>754</v>
      </c>
      <c r="C5660" s="1" t="str">
        <f>HYPERLINK("http://www.rosaceae.org/gb/gbrowse/malus_x_domestica/?name=MDP0000951223","MDP0000951223")</f>
        <v>MDP0000951223</v>
      </c>
      <c r="D5660">
        <v>68.3</v>
      </c>
      <c r="E5660">
        <v>754</v>
      </c>
      <c r="F5660">
        <v>239</v>
      </c>
      <c r="G5660">
        <v>8</v>
      </c>
      <c r="H5660">
        <v>4</v>
      </c>
      <c r="I5660">
        <v>754</v>
      </c>
      <c r="J5660">
        <v>1</v>
      </c>
      <c r="K5660">
        <v>3</v>
      </c>
      <c r="L5660">
        <v>751</v>
      </c>
      <c r="M5660">
        <v>1</v>
      </c>
      <c r="N5660">
        <v>0</v>
      </c>
      <c r="O5660">
        <v>2658</v>
      </c>
    </row>
    <row r="5661" spans="1:15" x14ac:dyDescent="0.25">
      <c r="A5661" t="s">
        <v>5674</v>
      </c>
      <c r="B5661">
        <v>553</v>
      </c>
      <c r="C5661" s="1" t="str">
        <f>HYPERLINK("http://www.rosaceae.org/gb/gbrowse/malus_x_domestica/?name=MDP0000879217","MDP0000879217")</f>
        <v>MDP0000879217</v>
      </c>
      <c r="D5661">
        <v>82.4</v>
      </c>
      <c r="E5661">
        <v>523</v>
      </c>
      <c r="F5661">
        <v>92</v>
      </c>
      <c r="G5661">
        <v>4</v>
      </c>
      <c r="H5661">
        <v>34</v>
      </c>
      <c r="I5661">
        <v>553</v>
      </c>
      <c r="J5661">
        <v>1</v>
      </c>
      <c r="K5661">
        <v>1</v>
      </c>
      <c r="L5661">
        <v>522</v>
      </c>
      <c r="M5661">
        <v>1</v>
      </c>
      <c r="N5661">
        <v>0</v>
      </c>
      <c r="O5661">
        <v>2329</v>
      </c>
    </row>
    <row r="5662" spans="1:15" x14ac:dyDescent="0.25">
      <c r="A5662" t="s">
        <v>5675</v>
      </c>
      <c r="B5662">
        <v>398</v>
      </c>
      <c r="C5662" s="1" t="str">
        <f>HYPERLINK("http://www.rosaceae.org/gb/gbrowse/malus_x_domestica/?name=MDP0000305810","MDP0000305810")</f>
        <v>MDP0000305810</v>
      </c>
      <c r="D5662">
        <v>76.319999999999993</v>
      </c>
      <c r="E5662">
        <v>397</v>
      </c>
      <c r="F5662">
        <v>94</v>
      </c>
      <c r="G5662">
        <v>3</v>
      </c>
      <c r="H5662">
        <v>5</v>
      </c>
      <c r="I5662">
        <v>398</v>
      </c>
      <c r="J5662">
        <v>1</v>
      </c>
      <c r="K5662">
        <v>143</v>
      </c>
      <c r="L5662">
        <v>539</v>
      </c>
      <c r="M5662">
        <v>1</v>
      </c>
      <c r="N5662">
        <v>3.8682299999999998E-180</v>
      </c>
      <c r="O5662">
        <v>1619</v>
      </c>
    </row>
    <row r="5663" spans="1:15" x14ac:dyDescent="0.25">
      <c r="A5663" t="s">
        <v>5676</v>
      </c>
      <c r="B5663">
        <v>112</v>
      </c>
      <c r="C5663" s="1" t="str">
        <f>HYPERLINK("http://www.rosaceae.org/gb/gbrowse/malus_x_domestica/?name=MDP0000312639","MDP0000312639")</f>
        <v>MDP0000312639</v>
      </c>
      <c r="D5663">
        <v>64.650000000000006</v>
      </c>
      <c r="E5663">
        <v>116</v>
      </c>
      <c r="F5663">
        <v>41</v>
      </c>
      <c r="G5663">
        <v>4</v>
      </c>
      <c r="H5663">
        <v>1</v>
      </c>
      <c r="I5663">
        <v>112</v>
      </c>
      <c r="J5663">
        <v>1</v>
      </c>
      <c r="K5663">
        <v>1296</v>
      </c>
      <c r="L5663">
        <v>1411</v>
      </c>
      <c r="M5663">
        <v>1</v>
      </c>
      <c r="N5663">
        <v>2.7310000000000001E-33</v>
      </c>
      <c r="O5663">
        <v>345</v>
      </c>
    </row>
    <row r="5664" spans="1:15" x14ac:dyDescent="0.25">
      <c r="A5664" t="s">
        <v>5677</v>
      </c>
      <c r="B5664">
        <v>348</v>
      </c>
      <c r="C5664" s="1" t="str">
        <f>HYPERLINK("http://www.rosaceae.org/gb/gbrowse/malus_x_domestica/?name=MDP0000301813","MDP0000301813")</f>
        <v>MDP0000301813</v>
      </c>
      <c r="D5664">
        <v>65.13</v>
      </c>
      <c r="E5664">
        <v>152</v>
      </c>
      <c r="F5664">
        <v>53</v>
      </c>
      <c r="G5664">
        <v>4</v>
      </c>
      <c r="H5664">
        <v>185</v>
      </c>
      <c r="I5664">
        <v>332</v>
      </c>
      <c r="J5664">
        <v>1</v>
      </c>
      <c r="K5664">
        <v>194</v>
      </c>
      <c r="L5664">
        <v>345</v>
      </c>
      <c r="M5664">
        <v>1</v>
      </c>
      <c r="N5664">
        <v>5.8670700000000003E-49</v>
      </c>
      <c r="O5664">
        <v>487</v>
      </c>
    </row>
    <row r="5665" spans="1:15" x14ac:dyDescent="0.25">
      <c r="A5665" t="s">
        <v>5678</v>
      </c>
      <c r="B5665">
        <v>323</v>
      </c>
      <c r="C5665" s="1" t="str">
        <f>HYPERLINK("http://www.rosaceae.org/gb/gbrowse/malus_x_domestica/?name=MDP0000467211","MDP0000467211")</f>
        <v>MDP0000467211</v>
      </c>
      <c r="D5665">
        <v>46.88</v>
      </c>
      <c r="E5665">
        <v>337</v>
      </c>
      <c r="F5665">
        <v>179</v>
      </c>
      <c r="G5665">
        <v>35</v>
      </c>
      <c r="H5665">
        <v>2</v>
      </c>
      <c r="I5665">
        <v>323</v>
      </c>
      <c r="J5665">
        <v>1</v>
      </c>
      <c r="K5665">
        <v>15</v>
      </c>
      <c r="L5665">
        <v>331</v>
      </c>
      <c r="M5665">
        <v>1</v>
      </c>
      <c r="N5665">
        <v>7.2013000000000001E-63</v>
      </c>
      <c r="O5665">
        <v>607</v>
      </c>
    </row>
    <row r="5666" spans="1:15" x14ac:dyDescent="0.25">
      <c r="A5666" t="s">
        <v>5679</v>
      </c>
      <c r="B5666">
        <v>247</v>
      </c>
      <c r="C5666" s="1" t="str">
        <f>HYPERLINK("http://www.rosaceae.org/gb/gbrowse/malus_x_domestica/?name=MDP0000364366","MDP0000364366")</f>
        <v>MDP0000364366</v>
      </c>
      <c r="D5666">
        <v>75.75</v>
      </c>
      <c r="E5666">
        <v>132</v>
      </c>
      <c r="F5666">
        <v>32</v>
      </c>
      <c r="G5666">
        <v>7</v>
      </c>
      <c r="H5666">
        <v>5</v>
      </c>
      <c r="I5666">
        <v>134</v>
      </c>
      <c r="J5666">
        <v>1</v>
      </c>
      <c r="K5666">
        <v>4</v>
      </c>
      <c r="L5666">
        <v>130</v>
      </c>
      <c r="M5666">
        <v>1</v>
      </c>
      <c r="N5666">
        <v>1.5675400000000001E-48</v>
      </c>
      <c r="O5666">
        <v>481</v>
      </c>
    </row>
    <row r="5667" spans="1:15" x14ac:dyDescent="0.25">
      <c r="A5667" t="s">
        <v>5680</v>
      </c>
      <c r="B5667">
        <v>490</v>
      </c>
      <c r="C5667" s="1" t="str">
        <f>HYPERLINK("http://www.rosaceae.org/gb/gbrowse/malus_x_domestica/?name=MDP0000405003","MDP0000405003")</f>
        <v>MDP0000405003</v>
      </c>
      <c r="D5667">
        <v>62.65</v>
      </c>
      <c r="E5667">
        <v>498</v>
      </c>
      <c r="F5667">
        <v>186</v>
      </c>
      <c r="G5667">
        <v>20</v>
      </c>
      <c r="H5667">
        <v>6</v>
      </c>
      <c r="I5667">
        <v>487</v>
      </c>
      <c r="J5667">
        <v>1</v>
      </c>
      <c r="K5667">
        <v>2</v>
      </c>
      <c r="L5667">
        <v>495</v>
      </c>
      <c r="M5667">
        <v>1</v>
      </c>
      <c r="N5667">
        <v>2.7537500000000002E-174</v>
      </c>
      <c r="O5667">
        <v>1569</v>
      </c>
    </row>
    <row r="5668" spans="1:15" x14ac:dyDescent="0.25">
      <c r="A5668" t="s">
        <v>5681</v>
      </c>
      <c r="B5668">
        <v>342</v>
      </c>
      <c r="C5668" s="1" t="str">
        <f>HYPERLINK("http://www.rosaceae.org/gb/gbrowse/malus_x_domestica/?name=MDP0000279299","MDP0000279299")</f>
        <v>MDP0000279299</v>
      </c>
      <c r="D5668">
        <v>77.14</v>
      </c>
      <c r="E5668">
        <v>315</v>
      </c>
      <c r="F5668">
        <v>72</v>
      </c>
      <c r="G5668">
        <v>3</v>
      </c>
      <c r="H5668">
        <v>27</v>
      </c>
      <c r="I5668">
        <v>338</v>
      </c>
      <c r="J5668">
        <v>1</v>
      </c>
      <c r="K5668">
        <v>33</v>
      </c>
      <c r="L5668">
        <v>347</v>
      </c>
      <c r="M5668">
        <v>1</v>
      </c>
      <c r="N5668">
        <v>8.4592700000000009E-140</v>
      </c>
      <c r="O5668">
        <v>1270</v>
      </c>
    </row>
    <row r="5669" spans="1:15" x14ac:dyDescent="0.25">
      <c r="A5669" t="s">
        <v>5682</v>
      </c>
      <c r="B5669">
        <v>232</v>
      </c>
      <c r="C5669" s="1" t="str">
        <f>HYPERLINK("http://www.rosaceae.org/gb/gbrowse/malus_x_domestica/?name=MDP0000861205","MDP0000861205")</f>
        <v>MDP0000861205</v>
      </c>
      <c r="D5669">
        <v>69.040000000000006</v>
      </c>
      <c r="E5669">
        <v>126</v>
      </c>
      <c r="F5669">
        <v>39</v>
      </c>
      <c r="G5669">
        <v>8</v>
      </c>
      <c r="H5669">
        <v>32</v>
      </c>
      <c r="I5669">
        <v>150</v>
      </c>
      <c r="J5669">
        <v>1</v>
      </c>
      <c r="K5669">
        <v>19</v>
      </c>
      <c r="L5669">
        <v>143</v>
      </c>
      <c r="M5669">
        <v>1</v>
      </c>
      <c r="N5669">
        <v>6.1295300000000001E-46</v>
      </c>
      <c r="O5669">
        <v>459</v>
      </c>
    </row>
    <row r="5670" spans="1:15" x14ac:dyDescent="0.25">
      <c r="A5670" t="s">
        <v>5683</v>
      </c>
      <c r="B5670">
        <v>508</v>
      </c>
      <c r="C5670" s="1" t="str">
        <f>HYPERLINK("http://www.rosaceae.org/gb/gbrowse/malus_x_domestica/?name=MDP0000947262","MDP0000947262")</f>
        <v>MDP0000947262</v>
      </c>
      <c r="D5670">
        <v>78.89</v>
      </c>
      <c r="E5670">
        <v>327</v>
      </c>
      <c r="F5670">
        <v>69</v>
      </c>
      <c r="G5670">
        <v>1</v>
      </c>
      <c r="H5670">
        <v>31</v>
      </c>
      <c r="I5670">
        <v>356</v>
      </c>
      <c r="J5670">
        <v>1</v>
      </c>
      <c r="K5670">
        <v>34</v>
      </c>
      <c r="L5670">
        <v>360</v>
      </c>
      <c r="M5670">
        <v>1</v>
      </c>
      <c r="N5670">
        <v>6.0263699999999996E-142</v>
      </c>
      <c r="O5670">
        <v>1291</v>
      </c>
    </row>
    <row r="5671" spans="1:15" x14ac:dyDescent="0.25">
      <c r="A5671" t="s">
        <v>5684</v>
      </c>
      <c r="B5671">
        <v>773</v>
      </c>
      <c r="C5671" s="1" t="str">
        <f>HYPERLINK("http://www.rosaceae.org/gb/gbrowse/malus_x_domestica/?name=MDP0000084546","MDP0000084546")</f>
        <v>MDP0000084546</v>
      </c>
      <c r="D5671">
        <v>78.5</v>
      </c>
      <c r="E5671">
        <v>814</v>
      </c>
      <c r="F5671">
        <v>175</v>
      </c>
      <c r="G5671">
        <v>90</v>
      </c>
      <c r="H5671">
        <v>1</v>
      </c>
      <c r="I5671">
        <v>770</v>
      </c>
      <c r="J5671">
        <v>1</v>
      </c>
      <c r="K5671">
        <v>1</v>
      </c>
      <c r="L5671">
        <v>768</v>
      </c>
      <c r="M5671">
        <v>1</v>
      </c>
      <c r="N5671">
        <v>0</v>
      </c>
      <c r="O5671">
        <v>3340</v>
      </c>
    </row>
    <row r="5672" spans="1:15" x14ac:dyDescent="0.25">
      <c r="A5672" t="s">
        <v>5685</v>
      </c>
      <c r="B5672">
        <v>579</v>
      </c>
      <c r="C5672" s="1" t="str">
        <f>HYPERLINK("http://www.rosaceae.org/gb/gbrowse/malus_x_domestica/?name=MDP0000200059","MDP0000200059")</f>
        <v>MDP0000200059</v>
      </c>
      <c r="D5672">
        <v>40.24</v>
      </c>
      <c r="E5672">
        <v>492</v>
      </c>
      <c r="F5672">
        <v>294</v>
      </c>
      <c r="G5672">
        <v>34</v>
      </c>
      <c r="H5672">
        <v>11</v>
      </c>
      <c r="I5672">
        <v>496</v>
      </c>
      <c r="J5672">
        <v>1</v>
      </c>
      <c r="K5672">
        <v>17</v>
      </c>
      <c r="L5672">
        <v>480</v>
      </c>
      <c r="M5672">
        <v>1</v>
      </c>
      <c r="N5672">
        <v>2.9898199999999998E-81</v>
      </c>
      <c r="O5672">
        <v>768</v>
      </c>
    </row>
    <row r="5673" spans="1:15" x14ac:dyDescent="0.25">
      <c r="A5673" t="s">
        <v>5686</v>
      </c>
      <c r="B5673">
        <v>673</v>
      </c>
      <c r="C5673" s="1" t="str">
        <f>HYPERLINK("http://www.rosaceae.org/gb/gbrowse/malus_x_domestica/?name=MDP0000144878","MDP0000144878")</f>
        <v>MDP0000144878</v>
      </c>
      <c r="D5673">
        <v>70.11</v>
      </c>
      <c r="E5673">
        <v>706</v>
      </c>
      <c r="F5673">
        <v>211</v>
      </c>
      <c r="G5673">
        <v>73</v>
      </c>
      <c r="H5673">
        <v>1</v>
      </c>
      <c r="I5673">
        <v>668</v>
      </c>
      <c r="J5673">
        <v>1</v>
      </c>
      <c r="K5673">
        <v>1</v>
      </c>
      <c r="L5673">
        <v>671</v>
      </c>
      <c r="M5673">
        <v>1</v>
      </c>
      <c r="N5673">
        <v>0</v>
      </c>
      <c r="O5673">
        <v>2391</v>
      </c>
    </row>
    <row r="5674" spans="1:15" x14ac:dyDescent="0.25">
      <c r="A5674" t="s">
        <v>5687</v>
      </c>
      <c r="B5674">
        <v>830</v>
      </c>
      <c r="C5674" s="1" t="str">
        <f>HYPERLINK("http://www.rosaceae.org/gb/gbrowse/malus_x_domestica/?name=MDP0000312297","MDP0000312297")</f>
        <v>MDP0000312297</v>
      </c>
      <c r="D5674">
        <v>76.11</v>
      </c>
      <c r="E5674">
        <v>783</v>
      </c>
      <c r="F5674">
        <v>187</v>
      </c>
      <c r="G5674">
        <v>53</v>
      </c>
      <c r="H5674">
        <v>1</v>
      </c>
      <c r="I5674">
        <v>783</v>
      </c>
      <c r="J5674">
        <v>1</v>
      </c>
      <c r="K5674">
        <v>1</v>
      </c>
      <c r="L5674">
        <v>730</v>
      </c>
      <c r="M5674">
        <v>1</v>
      </c>
      <c r="N5674">
        <v>0</v>
      </c>
      <c r="O5674">
        <v>2926</v>
      </c>
    </row>
    <row r="5675" spans="1:15" x14ac:dyDescent="0.25">
      <c r="A5675" t="s">
        <v>5688</v>
      </c>
      <c r="B5675">
        <v>153</v>
      </c>
      <c r="C5675" s="1" t="str">
        <f>HYPERLINK("http://www.rosaceae.org/gb/gbrowse/malus_x_domestica/?name=MDP0000235350","MDP0000235350")</f>
        <v>MDP0000235350</v>
      </c>
      <c r="D5675">
        <v>64.62</v>
      </c>
      <c r="E5675">
        <v>147</v>
      </c>
      <c r="F5675">
        <v>52</v>
      </c>
      <c r="G5675">
        <v>8</v>
      </c>
      <c r="H5675">
        <v>13</v>
      </c>
      <c r="I5675">
        <v>153</v>
      </c>
      <c r="J5675">
        <v>1</v>
      </c>
      <c r="K5675">
        <v>11</v>
      </c>
      <c r="L5675">
        <v>155</v>
      </c>
      <c r="M5675">
        <v>1</v>
      </c>
      <c r="N5675">
        <v>6.2901399999999999E-46</v>
      </c>
      <c r="O5675">
        <v>456</v>
      </c>
    </row>
    <row r="5676" spans="1:15" x14ac:dyDescent="0.25">
      <c r="A5676" t="s">
        <v>5689</v>
      </c>
      <c r="B5676">
        <v>853</v>
      </c>
      <c r="C5676" s="1" t="str">
        <f>HYPERLINK("http://www.rosaceae.org/gb/gbrowse/malus_x_domestica/?name=MDP0000195063","MDP0000195063")</f>
        <v>MDP0000195063</v>
      </c>
      <c r="D5676">
        <v>87.6</v>
      </c>
      <c r="E5676">
        <v>863</v>
      </c>
      <c r="F5676">
        <v>107</v>
      </c>
      <c r="G5676">
        <v>10</v>
      </c>
      <c r="H5676">
        <v>1</v>
      </c>
      <c r="I5676">
        <v>853</v>
      </c>
      <c r="J5676">
        <v>1</v>
      </c>
      <c r="K5676">
        <v>1</v>
      </c>
      <c r="L5676">
        <v>863</v>
      </c>
      <c r="M5676">
        <v>1</v>
      </c>
      <c r="N5676">
        <v>0</v>
      </c>
      <c r="O5676">
        <v>4085</v>
      </c>
    </row>
    <row r="5677" spans="1:15" x14ac:dyDescent="0.25">
      <c r="A5677" t="s">
        <v>5690</v>
      </c>
      <c r="B5677">
        <v>140</v>
      </c>
      <c r="C5677" s="1" t="str">
        <f>HYPERLINK("http://www.rosaceae.org/gb/gbrowse/malus_x_domestica/?name=MDP0000197983","MDP0000197983")</f>
        <v>MDP0000197983</v>
      </c>
      <c r="D5677">
        <v>52.83</v>
      </c>
      <c r="E5677">
        <v>159</v>
      </c>
      <c r="F5677">
        <v>75</v>
      </c>
      <c r="G5677">
        <v>21</v>
      </c>
      <c r="H5677">
        <v>1</v>
      </c>
      <c r="I5677">
        <v>140</v>
      </c>
      <c r="J5677">
        <v>1</v>
      </c>
      <c r="K5677">
        <v>223</v>
      </c>
      <c r="L5677">
        <v>379</v>
      </c>
      <c r="M5677">
        <v>1</v>
      </c>
      <c r="N5677">
        <v>1.04978E-39</v>
      </c>
      <c r="O5677">
        <v>401</v>
      </c>
    </row>
    <row r="5678" spans="1:15" x14ac:dyDescent="0.25">
      <c r="A5678" t="s">
        <v>5691</v>
      </c>
      <c r="B5678">
        <v>571</v>
      </c>
      <c r="C5678" s="1" t="str">
        <f>HYPERLINK("http://www.rosaceae.org/gb/gbrowse/malus_x_domestica/?name=MDP0000275150","MDP0000275150")</f>
        <v>MDP0000275150</v>
      </c>
      <c r="D5678">
        <v>74.819999999999993</v>
      </c>
      <c r="E5678">
        <v>568</v>
      </c>
      <c r="F5678">
        <v>143</v>
      </c>
      <c r="G5678">
        <v>7</v>
      </c>
      <c r="H5678">
        <v>8</v>
      </c>
      <c r="I5678">
        <v>571</v>
      </c>
      <c r="J5678">
        <v>1</v>
      </c>
      <c r="K5678">
        <v>12</v>
      </c>
      <c r="L5678">
        <v>576</v>
      </c>
      <c r="M5678">
        <v>1</v>
      </c>
      <c r="N5678">
        <v>0</v>
      </c>
      <c r="O5678">
        <v>2332</v>
      </c>
    </row>
    <row r="5679" spans="1:15" x14ac:dyDescent="0.25">
      <c r="A5679" t="s">
        <v>5692</v>
      </c>
      <c r="B5679">
        <v>360</v>
      </c>
      <c r="C5679" s="1" t="str">
        <f>HYPERLINK("http://www.rosaceae.org/gb/gbrowse/malus_x_domestica/?name=MDP0000496435","MDP0000496435")</f>
        <v>MDP0000496435</v>
      </c>
      <c r="D5679">
        <v>84.98</v>
      </c>
      <c r="E5679">
        <v>353</v>
      </c>
      <c r="F5679">
        <v>53</v>
      </c>
      <c r="G5679">
        <v>0</v>
      </c>
      <c r="H5679">
        <v>4</v>
      </c>
      <c r="I5679">
        <v>356</v>
      </c>
      <c r="J5679">
        <v>1</v>
      </c>
      <c r="K5679">
        <v>7</v>
      </c>
      <c r="L5679">
        <v>359</v>
      </c>
      <c r="M5679">
        <v>1</v>
      </c>
      <c r="N5679">
        <v>0</v>
      </c>
      <c r="O5679">
        <v>1628</v>
      </c>
    </row>
    <row r="5680" spans="1:15" x14ac:dyDescent="0.25">
      <c r="A5680" t="s">
        <v>5693</v>
      </c>
      <c r="B5680">
        <v>403</v>
      </c>
      <c r="C5680" s="1" t="str">
        <f>HYPERLINK("http://www.rosaceae.org/gb/gbrowse/malus_x_domestica/?name=MDP0000162939","MDP0000162939")</f>
        <v>MDP0000162939</v>
      </c>
      <c r="D5680">
        <v>41.57</v>
      </c>
      <c r="E5680">
        <v>356</v>
      </c>
      <c r="F5680">
        <v>208</v>
      </c>
      <c r="G5680">
        <v>46</v>
      </c>
      <c r="H5680">
        <v>67</v>
      </c>
      <c r="I5680">
        <v>403</v>
      </c>
      <c r="J5680">
        <v>1</v>
      </c>
      <c r="K5680">
        <v>48</v>
      </c>
      <c r="L5680">
        <v>376</v>
      </c>
      <c r="M5680">
        <v>1</v>
      </c>
      <c r="N5680">
        <v>1.6973200000000001E-58</v>
      </c>
      <c r="O5680">
        <v>570</v>
      </c>
    </row>
    <row r="5681" spans="1:15" x14ac:dyDescent="0.25">
      <c r="A5681" t="s">
        <v>5694</v>
      </c>
      <c r="B5681">
        <v>279</v>
      </c>
      <c r="C5681" s="1" t="str">
        <f>HYPERLINK("http://www.rosaceae.org/gb/gbrowse/malus_x_domestica/?name=MDP0000155725","MDP0000155725")</f>
        <v>MDP0000155725</v>
      </c>
      <c r="D5681">
        <v>57.03</v>
      </c>
      <c r="E5681">
        <v>263</v>
      </c>
      <c r="F5681">
        <v>113</v>
      </c>
      <c r="G5681">
        <v>17</v>
      </c>
      <c r="H5681">
        <v>19</v>
      </c>
      <c r="I5681">
        <v>277</v>
      </c>
      <c r="J5681">
        <v>1</v>
      </c>
      <c r="K5681">
        <v>26</v>
      </c>
      <c r="L5681">
        <v>275</v>
      </c>
      <c r="M5681">
        <v>1</v>
      </c>
      <c r="N5681">
        <v>1.58896E-77</v>
      </c>
      <c r="O5681">
        <v>732</v>
      </c>
    </row>
    <row r="5682" spans="1:15" x14ac:dyDescent="0.25">
      <c r="A5682" t="s">
        <v>5695</v>
      </c>
      <c r="B5682">
        <v>258</v>
      </c>
      <c r="C5682" s="1" t="str">
        <f>HYPERLINK("http://www.rosaceae.org/gb/gbrowse/malus_x_domestica/?name=MDP0000174437","MDP0000174437")</f>
        <v>MDP0000174437</v>
      </c>
      <c r="D5682">
        <v>62.05</v>
      </c>
      <c r="E5682">
        <v>282</v>
      </c>
      <c r="F5682">
        <v>107</v>
      </c>
      <c r="G5682">
        <v>40</v>
      </c>
      <c r="H5682">
        <v>6</v>
      </c>
      <c r="I5682">
        <v>248</v>
      </c>
      <c r="J5682">
        <v>1</v>
      </c>
      <c r="K5682">
        <v>10</v>
      </c>
      <c r="L5682">
        <v>290</v>
      </c>
      <c r="M5682">
        <v>1</v>
      </c>
      <c r="N5682">
        <v>8.61411E-91</v>
      </c>
      <c r="O5682">
        <v>846</v>
      </c>
    </row>
    <row r="5683" spans="1:15" x14ac:dyDescent="0.25">
      <c r="A5683" t="s">
        <v>5696</v>
      </c>
      <c r="B5683">
        <v>211</v>
      </c>
      <c r="C5683" s="1" t="str">
        <f>HYPERLINK("http://www.rosaceae.org/gb/gbrowse/malus_x_domestica/?name=MDP0000470984","MDP0000470984")</f>
        <v>MDP0000470984</v>
      </c>
      <c r="D5683">
        <v>73.17</v>
      </c>
      <c r="E5683">
        <v>205</v>
      </c>
      <c r="F5683">
        <v>55</v>
      </c>
      <c r="G5683">
        <v>8</v>
      </c>
      <c r="H5683">
        <v>1</v>
      </c>
      <c r="I5683">
        <v>205</v>
      </c>
      <c r="J5683">
        <v>1</v>
      </c>
      <c r="K5683">
        <v>1</v>
      </c>
      <c r="L5683">
        <v>197</v>
      </c>
      <c r="M5683">
        <v>1</v>
      </c>
      <c r="N5683">
        <v>5.9564E-80</v>
      </c>
      <c r="O5683">
        <v>751</v>
      </c>
    </row>
    <row r="5684" spans="1:15" x14ac:dyDescent="0.25">
      <c r="A5684" t="s">
        <v>5697</v>
      </c>
      <c r="B5684">
        <v>198</v>
      </c>
      <c r="C5684" s="1" t="str">
        <f>HYPERLINK("http://www.rosaceae.org/gb/gbrowse/malus_x_domestica/?name=MDP0000324175","MDP0000324175")</f>
        <v>MDP0000324175</v>
      </c>
      <c r="D5684">
        <v>50</v>
      </c>
      <c r="E5684">
        <v>152</v>
      </c>
      <c r="F5684">
        <v>76</v>
      </c>
      <c r="G5684">
        <v>1</v>
      </c>
      <c r="H5684">
        <v>27</v>
      </c>
      <c r="I5684">
        <v>178</v>
      </c>
      <c r="J5684">
        <v>1</v>
      </c>
      <c r="K5684">
        <v>27</v>
      </c>
      <c r="L5684">
        <v>177</v>
      </c>
      <c r="M5684">
        <v>1</v>
      </c>
      <c r="N5684">
        <v>3.1959599999999998E-36</v>
      </c>
      <c r="O5684">
        <v>374</v>
      </c>
    </row>
    <row r="5685" spans="1:15" x14ac:dyDescent="0.25">
      <c r="A5685" t="s">
        <v>5698</v>
      </c>
      <c r="B5685">
        <v>265</v>
      </c>
      <c r="C5685" s="1" t="str">
        <f>HYPERLINK("http://www.rosaceae.org/gb/gbrowse/malus_x_domestica/?name=MDP0000301971","MDP0000301971")</f>
        <v>MDP0000301971</v>
      </c>
      <c r="D5685">
        <v>64.540000000000006</v>
      </c>
      <c r="E5685">
        <v>110</v>
      </c>
      <c r="F5685">
        <v>39</v>
      </c>
      <c r="G5685">
        <v>1</v>
      </c>
      <c r="H5685">
        <v>10</v>
      </c>
      <c r="I5685">
        <v>119</v>
      </c>
      <c r="J5685">
        <v>1</v>
      </c>
      <c r="K5685">
        <v>16</v>
      </c>
      <c r="L5685">
        <v>124</v>
      </c>
      <c r="M5685">
        <v>1</v>
      </c>
      <c r="N5685">
        <v>7.8517499999999997E-38</v>
      </c>
      <c r="O5685">
        <v>390</v>
      </c>
    </row>
    <row r="5686" spans="1:15" x14ac:dyDescent="0.25">
      <c r="A5686" t="s">
        <v>5699</v>
      </c>
      <c r="B5686">
        <v>311</v>
      </c>
      <c r="C5686" s="1" t="str">
        <f>HYPERLINK("http://www.rosaceae.org/gb/gbrowse/malus_x_domestica/?name=MDP0000230975","MDP0000230975")</f>
        <v>MDP0000230975</v>
      </c>
      <c r="D5686">
        <v>41.29</v>
      </c>
      <c r="E5686">
        <v>293</v>
      </c>
      <c r="F5686">
        <v>172</v>
      </c>
      <c r="G5686">
        <v>23</v>
      </c>
      <c r="H5686">
        <v>1</v>
      </c>
      <c r="I5686">
        <v>290</v>
      </c>
      <c r="J5686">
        <v>1</v>
      </c>
      <c r="K5686">
        <v>1</v>
      </c>
      <c r="L5686">
        <v>273</v>
      </c>
      <c r="M5686">
        <v>1</v>
      </c>
      <c r="N5686">
        <v>4.7013600000000003E-45</v>
      </c>
      <c r="O5686">
        <v>453</v>
      </c>
    </row>
    <row r="5687" spans="1:15" x14ac:dyDescent="0.25">
      <c r="A5687" t="s">
        <v>5700</v>
      </c>
      <c r="B5687">
        <v>512</v>
      </c>
      <c r="C5687" s="1" t="str">
        <f>HYPERLINK("http://www.rosaceae.org/gb/gbrowse/malus_x_domestica/?name=MDP0000318613","MDP0000318613")</f>
        <v>MDP0000318613</v>
      </c>
      <c r="D5687">
        <v>75.09</v>
      </c>
      <c r="E5687">
        <v>506</v>
      </c>
      <c r="F5687">
        <v>126</v>
      </c>
      <c r="G5687">
        <v>15</v>
      </c>
      <c r="H5687">
        <v>19</v>
      </c>
      <c r="I5687">
        <v>509</v>
      </c>
      <c r="J5687">
        <v>1</v>
      </c>
      <c r="K5687">
        <v>23</v>
      </c>
      <c r="L5687">
        <v>528</v>
      </c>
      <c r="M5687">
        <v>1</v>
      </c>
      <c r="N5687">
        <v>0</v>
      </c>
      <c r="O5687">
        <v>1916</v>
      </c>
    </row>
    <row r="5688" spans="1:15" x14ac:dyDescent="0.25">
      <c r="A5688" t="s">
        <v>5701</v>
      </c>
      <c r="B5688">
        <v>192</v>
      </c>
      <c r="C5688" s="1" t="str">
        <f>HYPERLINK("http://www.rosaceae.org/gb/gbrowse/malus_x_domestica/?name=MDP0000349798","MDP0000349798")</f>
        <v>MDP0000349798</v>
      </c>
      <c r="D5688">
        <v>46.15</v>
      </c>
      <c r="E5688">
        <v>91</v>
      </c>
      <c r="F5688">
        <v>49</v>
      </c>
      <c r="G5688">
        <v>7</v>
      </c>
      <c r="H5688">
        <v>56</v>
      </c>
      <c r="I5688">
        <v>144</v>
      </c>
      <c r="J5688">
        <v>1</v>
      </c>
      <c r="K5688">
        <v>16</v>
      </c>
      <c r="L5688">
        <v>101</v>
      </c>
      <c r="M5688">
        <v>1</v>
      </c>
      <c r="N5688">
        <v>1.12956E-14</v>
      </c>
      <c r="O5688">
        <v>188</v>
      </c>
    </row>
    <row r="5689" spans="1:15" x14ac:dyDescent="0.25">
      <c r="A5689" t="s">
        <v>5702</v>
      </c>
      <c r="B5689">
        <v>345</v>
      </c>
      <c r="C5689" s="1" t="str">
        <f>HYPERLINK("http://www.rosaceae.org/gb/gbrowse/malus_x_domestica/?name=MDP0000304462","MDP0000304462")</f>
        <v>MDP0000304462</v>
      </c>
      <c r="D5689">
        <v>78.88</v>
      </c>
      <c r="E5689">
        <v>341</v>
      </c>
      <c r="F5689">
        <v>72</v>
      </c>
      <c r="G5689">
        <v>1</v>
      </c>
      <c r="H5689">
        <v>5</v>
      </c>
      <c r="I5689">
        <v>345</v>
      </c>
      <c r="J5689">
        <v>1</v>
      </c>
      <c r="K5689">
        <v>306</v>
      </c>
      <c r="L5689">
        <v>645</v>
      </c>
      <c r="M5689">
        <v>1</v>
      </c>
      <c r="N5689">
        <v>8.3754400000000004E-160</v>
      </c>
      <c r="O5689">
        <v>1443</v>
      </c>
    </row>
    <row r="5690" spans="1:15" x14ac:dyDescent="0.25">
      <c r="A5690" t="s">
        <v>5703</v>
      </c>
      <c r="B5690">
        <v>388</v>
      </c>
      <c r="C5690" s="1" t="str">
        <f>HYPERLINK("http://www.rosaceae.org/gb/gbrowse/malus_x_domestica/?name=MDP0000162186","MDP0000162186")</f>
        <v>MDP0000162186</v>
      </c>
      <c r="D5690">
        <v>42.85</v>
      </c>
      <c r="E5690">
        <v>469</v>
      </c>
      <c r="F5690">
        <v>268</v>
      </c>
      <c r="G5690">
        <v>183</v>
      </c>
      <c r="H5690">
        <v>4</v>
      </c>
      <c r="I5690">
        <v>329</v>
      </c>
      <c r="J5690">
        <v>1</v>
      </c>
      <c r="K5690">
        <v>7</v>
      </c>
      <c r="L5690">
        <v>435</v>
      </c>
      <c r="M5690">
        <v>1</v>
      </c>
      <c r="N5690">
        <v>1.0229E-97</v>
      </c>
      <c r="O5690">
        <v>908</v>
      </c>
    </row>
    <row r="5691" spans="1:15" x14ac:dyDescent="0.25">
      <c r="A5691" t="s">
        <v>5704</v>
      </c>
      <c r="B5691">
        <v>714</v>
      </c>
      <c r="C5691" s="1" t="str">
        <f>HYPERLINK("http://www.rosaceae.org/gb/gbrowse/malus_x_domestica/?name=MDP0000813267","MDP0000813267")</f>
        <v>MDP0000813267</v>
      </c>
      <c r="D5691">
        <v>40.26</v>
      </c>
      <c r="E5691">
        <v>524</v>
      </c>
      <c r="F5691">
        <v>313</v>
      </c>
      <c r="G5691">
        <v>130</v>
      </c>
      <c r="H5691">
        <v>9</v>
      </c>
      <c r="I5691">
        <v>480</v>
      </c>
      <c r="J5691">
        <v>1</v>
      </c>
      <c r="K5691">
        <v>86</v>
      </c>
      <c r="L5691">
        <v>531</v>
      </c>
      <c r="M5691">
        <v>1</v>
      </c>
      <c r="N5691">
        <v>9.0370999999999999E-92</v>
      </c>
      <c r="O5691">
        <v>859</v>
      </c>
    </row>
    <row r="5692" spans="1:15" x14ac:dyDescent="0.25">
      <c r="A5692" t="s">
        <v>5705</v>
      </c>
      <c r="B5692">
        <v>413</v>
      </c>
      <c r="C5692" s="1" t="str">
        <f>HYPERLINK("http://www.rosaceae.org/gb/gbrowse/malus_x_domestica/?name=MDP0000853441","MDP0000853441")</f>
        <v>MDP0000853441</v>
      </c>
      <c r="D5692">
        <v>70.94</v>
      </c>
      <c r="E5692">
        <v>382</v>
      </c>
      <c r="F5692">
        <v>111</v>
      </c>
      <c r="G5692">
        <v>4</v>
      </c>
      <c r="H5692">
        <v>33</v>
      </c>
      <c r="I5692">
        <v>413</v>
      </c>
      <c r="J5692">
        <v>1</v>
      </c>
      <c r="K5692">
        <v>38</v>
      </c>
      <c r="L5692">
        <v>416</v>
      </c>
      <c r="M5692">
        <v>1</v>
      </c>
      <c r="N5692">
        <v>9.4632100000000004E-145</v>
      </c>
      <c r="O5692">
        <v>1314</v>
      </c>
    </row>
    <row r="5693" spans="1:15" x14ac:dyDescent="0.25">
      <c r="A5693" t="s">
        <v>5706</v>
      </c>
      <c r="B5693">
        <v>394</v>
      </c>
      <c r="C5693" s="1" t="str">
        <f>HYPERLINK("http://www.rosaceae.org/gb/gbrowse/malus_x_domestica/?name=MDP0000295279","MDP0000295279")</f>
        <v>MDP0000295279</v>
      </c>
      <c r="D5693">
        <v>38.340000000000003</v>
      </c>
      <c r="E5693">
        <v>472</v>
      </c>
      <c r="F5693">
        <v>291</v>
      </c>
      <c r="G5693">
        <v>86</v>
      </c>
      <c r="H5693">
        <v>1</v>
      </c>
      <c r="I5693">
        <v>394</v>
      </c>
      <c r="J5693">
        <v>1</v>
      </c>
      <c r="K5693">
        <v>96</v>
      </c>
      <c r="L5693">
        <v>559</v>
      </c>
      <c r="M5693">
        <v>1</v>
      </c>
      <c r="N5693">
        <v>1.1536299999999999E-75</v>
      </c>
      <c r="O5693">
        <v>718</v>
      </c>
    </row>
    <row r="5694" spans="1:15" x14ac:dyDescent="0.25">
      <c r="A5694" t="s">
        <v>5707</v>
      </c>
      <c r="B5694">
        <v>74</v>
      </c>
      <c r="C5694" s="1" t="str">
        <f>HYPERLINK("http://www.rosaceae.org/gb/gbrowse/malus_x_domestica/?name=MDP0000216918","MDP0000216918")</f>
        <v>MDP0000216918</v>
      </c>
      <c r="D5694">
        <v>84.41</v>
      </c>
      <c r="E5694">
        <v>77</v>
      </c>
      <c r="F5694">
        <v>12</v>
      </c>
      <c r="G5694">
        <v>4</v>
      </c>
      <c r="H5694">
        <v>1</v>
      </c>
      <c r="I5694">
        <v>74</v>
      </c>
      <c r="J5694">
        <v>1</v>
      </c>
      <c r="K5694">
        <v>1</v>
      </c>
      <c r="L5694">
        <v>76</v>
      </c>
      <c r="M5694">
        <v>1</v>
      </c>
      <c r="N5694">
        <v>6.0494900000000003E-29</v>
      </c>
      <c r="O5694">
        <v>307</v>
      </c>
    </row>
    <row r="5695" spans="1:15" x14ac:dyDescent="0.25">
      <c r="A5695" t="s">
        <v>5708</v>
      </c>
      <c r="B5695">
        <v>353</v>
      </c>
      <c r="C5695" s="1" t="str">
        <f>HYPERLINK("http://www.rosaceae.org/gb/gbrowse/malus_x_domestica/?name=MDP0000870113","MDP0000870113")</f>
        <v>MDP0000870113</v>
      </c>
      <c r="D5695">
        <v>50.44</v>
      </c>
      <c r="E5695">
        <v>226</v>
      </c>
      <c r="F5695">
        <v>112</v>
      </c>
      <c r="G5695">
        <v>7</v>
      </c>
      <c r="H5695">
        <v>52</v>
      </c>
      <c r="I5695">
        <v>274</v>
      </c>
      <c r="J5695">
        <v>1</v>
      </c>
      <c r="K5695">
        <v>120</v>
      </c>
      <c r="L5695">
        <v>341</v>
      </c>
      <c r="M5695">
        <v>1</v>
      </c>
      <c r="N5695">
        <v>7.79249E-61</v>
      </c>
      <c r="O5695">
        <v>589</v>
      </c>
    </row>
    <row r="5696" spans="1:15" x14ac:dyDescent="0.25">
      <c r="A5696" t="s">
        <v>5709</v>
      </c>
      <c r="B5696">
        <v>407</v>
      </c>
      <c r="C5696" s="1" t="str">
        <f>HYPERLINK("http://www.rosaceae.org/gb/gbrowse/malus_x_domestica/?name=MDP0000003459","MDP0000003459")</f>
        <v>MDP0000003459</v>
      </c>
      <c r="D5696">
        <v>92.87</v>
      </c>
      <c r="E5696">
        <v>407</v>
      </c>
      <c r="F5696">
        <v>29</v>
      </c>
      <c r="G5696">
        <v>2</v>
      </c>
      <c r="H5696">
        <v>1</v>
      </c>
      <c r="I5696">
        <v>405</v>
      </c>
      <c r="J5696">
        <v>1</v>
      </c>
      <c r="K5696">
        <v>1</v>
      </c>
      <c r="L5696">
        <v>407</v>
      </c>
      <c r="M5696">
        <v>1</v>
      </c>
      <c r="N5696">
        <v>0</v>
      </c>
      <c r="O5696">
        <v>2043</v>
      </c>
    </row>
    <row r="5697" spans="1:15" x14ac:dyDescent="0.25">
      <c r="A5697" t="s">
        <v>5710</v>
      </c>
      <c r="B5697">
        <v>246</v>
      </c>
      <c r="C5697" s="1" t="str">
        <f>HYPERLINK("http://www.rosaceae.org/gb/gbrowse/malus_x_domestica/?name=MDP0000188529","MDP0000188529")</f>
        <v>MDP0000188529</v>
      </c>
      <c r="D5697">
        <v>44.34</v>
      </c>
      <c r="E5697">
        <v>221</v>
      </c>
      <c r="F5697">
        <v>123</v>
      </c>
      <c r="G5697">
        <v>30</v>
      </c>
      <c r="H5697">
        <v>17</v>
      </c>
      <c r="I5697">
        <v>237</v>
      </c>
      <c r="J5697">
        <v>1</v>
      </c>
      <c r="K5697">
        <v>69</v>
      </c>
      <c r="L5697">
        <v>259</v>
      </c>
      <c r="M5697">
        <v>1</v>
      </c>
      <c r="N5697">
        <v>1.15121E-53</v>
      </c>
      <c r="O5697">
        <v>526</v>
      </c>
    </row>
    <row r="5698" spans="1:15" x14ac:dyDescent="0.25">
      <c r="A5698" t="s">
        <v>5711</v>
      </c>
      <c r="B5698">
        <v>506</v>
      </c>
      <c r="C5698" s="1" t="str">
        <f>HYPERLINK("http://www.rosaceae.org/gb/gbrowse/malus_x_domestica/?name=MDP0000250127","MDP0000250127")</f>
        <v>MDP0000250127</v>
      </c>
      <c r="D5698">
        <v>82.68</v>
      </c>
      <c r="E5698">
        <v>485</v>
      </c>
      <c r="F5698">
        <v>84</v>
      </c>
      <c r="G5698">
        <v>36</v>
      </c>
      <c r="H5698">
        <v>4</v>
      </c>
      <c r="I5698">
        <v>484</v>
      </c>
      <c r="J5698">
        <v>1</v>
      </c>
      <c r="K5698">
        <v>5</v>
      </c>
      <c r="L5698">
        <v>457</v>
      </c>
      <c r="M5698">
        <v>1</v>
      </c>
      <c r="N5698">
        <v>0</v>
      </c>
      <c r="O5698">
        <v>2083</v>
      </c>
    </row>
    <row r="5699" spans="1:15" x14ac:dyDescent="0.25">
      <c r="A5699" t="s">
        <v>5712</v>
      </c>
      <c r="B5699">
        <v>246</v>
      </c>
      <c r="C5699" s="1" t="str">
        <f>HYPERLINK("http://www.rosaceae.org/gb/gbrowse/malus_x_domestica/?name=MDP0000246792","MDP0000246792")</f>
        <v>MDP0000246792</v>
      </c>
      <c r="D5699">
        <v>54.77</v>
      </c>
      <c r="E5699">
        <v>241</v>
      </c>
      <c r="F5699">
        <v>109</v>
      </c>
      <c r="G5699">
        <v>7</v>
      </c>
      <c r="H5699">
        <v>7</v>
      </c>
      <c r="I5699">
        <v>243</v>
      </c>
      <c r="J5699">
        <v>1</v>
      </c>
      <c r="K5699">
        <v>6</v>
      </c>
      <c r="L5699">
        <v>243</v>
      </c>
      <c r="M5699">
        <v>1</v>
      </c>
      <c r="N5699">
        <v>4.8101099999999999E-71</v>
      </c>
      <c r="O5699">
        <v>676</v>
      </c>
    </row>
    <row r="5700" spans="1:15" x14ac:dyDescent="0.25">
      <c r="A5700" t="s">
        <v>5713</v>
      </c>
      <c r="B5700">
        <v>124</v>
      </c>
      <c r="C5700" s="1" t="str">
        <f>HYPERLINK("http://www.rosaceae.org/gb/gbrowse/malus_x_domestica/?name=MDP0000313897","MDP0000313897")</f>
        <v>MDP0000313897</v>
      </c>
      <c r="D5700">
        <v>90.47</v>
      </c>
      <c r="E5700">
        <v>63</v>
      </c>
      <c r="F5700">
        <v>6</v>
      </c>
      <c r="G5700">
        <v>0</v>
      </c>
      <c r="H5700">
        <v>48</v>
      </c>
      <c r="I5700">
        <v>110</v>
      </c>
      <c r="J5700">
        <v>1</v>
      </c>
      <c r="K5700">
        <v>71</v>
      </c>
      <c r="L5700">
        <v>133</v>
      </c>
      <c r="M5700">
        <v>1</v>
      </c>
      <c r="N5700">
        <v>1.2586999999999999E-31</v>
      </c>
      <c r="O5700">
        <v>330</v>
      </c>
    </row>
    <row r="5701" spans="1:15" x14ac:dyDescent="0.25">
      <c r="A5701" t="s">
        <v>5714</v>
      </c>
      <c r="B5701">
        <v>3015</v>
      </c>
      <c r="C5701" s="1" t="str">
        <f>HYPERLINK("http://www.rosaceae.org/gb/gbrowse/malus_x_domestica/?name=MDP0000129069","MDP0000129069")</f>
        <v>MDP0000129069</v>
      </c>
      <c r="D5701">
        <v>87.08</v>
      </c>
      <c r="E5701">
        <v>1471</v>
      </c>
      <c r="F5701">
        <v>190</v>
      </c>
      <c r="G5701">
        <v>2</v>
      </c>
      <c r="H5701">
        <v>1</v>
      </c>
      <c r="I5701">
        <v>1471</v>
      </c>
      <c r="J5701">
        <v>1</v>
      </c>
      <c r="K5701">
        <v>1</v>
      </c>
      <c r="L5701">
        <v>1469</v>
      </c>
      <c r="M5701">
        <v>1</v>
      </c>
      <c r="N5701">
        <v>0</v>
      </c>
      <c r="O5701">
        <v>6900</v>
      </c>
    </row>
    <row r="5702" spans="1:15" x14ac:dyDescent="0.25">
      <c r="A5702" t="s">
        <v>5715</v>
      </c>
      <c r="B5702">
        <v>176</v>
      </c>
      <c r="C5702" s="1" t="str">
        <f>HYPERLINK("http://www.rosaceae.org/gb/gbrowse/malus_x_domestica/?name=MDP0000317775","MDP0000317775")</f>
        <v>MDP0000317775</v>
      </c>
      <c r="D5702">
        <v>40</v>
      </c>
      <c r="E5702">
        <v>85</v>
      </c>
      <c r="F5702">
        <v>51</v>
      </c>
      <c r="G5702">
        <v>1</v>
      </c>
      <c r="H5702">
        <v>46</v>
      </c>
      <c r="I5702">
        <v>130</v>
      </c>
      <c r="J5702">
        <v>1</v>
      </c>
      <c r="K5702">
        <v>47</v>
      </c>
      <c r="L5702">
        <v>130</v>
      </c>
      <c r="M5702">
        <v>1</v>
      </c>
      <c r="N5702">
        <v>5.7802599999999998E-12</v>
      </c>
      <c r="O5702">
        <v>164</v>
      </c>
    </row>
    <row r="5703" spans="1:15" x14ac:dyDescent="0.25">
      <c r="A5703" t="s">
        <v>5716</v>
      </c>
      <c r="B5703">
        <v>437</v>
      </c>
      <c r="C5703" s="1" t="str">
        <f>HYPERLINK("http://www.rosaceae.org/gb/gbrowse/malus_x_domestica/?name=MDP0000134250","MDP0000134250")</f>
        <v>MDP0000134250</v>
      </c>
      <c r="D5703">
        <v>79.150000000000006</v>
      </c>
      <c r="E5703">
        <v>451</v>
      </c>
      <c r="F5703">
        <v>94</v>
      </c>
      <c r="G5703">
        <v>26</v>
      </c>
      <c r="H5703">
        <v>4</v>
      </c>
      <c r="I5703">
        <v>437</v>
      </c>
      <c r="J5703">
        <v>1</v>
      </c>
      <c r="K5703">
        <v>10</v>
      </c>
      <c r="L5703">
        <v>451</v>
      </c>
      <c r="M5703">
        <v>1</v>
      </c>
      <c r="N5703">
        <v>0</v>
      </c>
      <c r="O5703">
        <v>1795</v>
      </c>
    </row>
    <row r="5704" spans="1:15" x14ac:dyDescent="0.25">
      <c r="A5704" t="s">
        <v>5717</v>
      </c>
      <c r="B5704">
        <v>427</v>
      </c>
      <c r="C5704" s="1" t="str">
        <f>HYPERLINK("http://www.rosaceae.org/gb/gbrowse/malus_x_domestica/?name=MDP0000156204","MDP0000156204")</f>
        <v>MDP0000156204</v>
      </c>
      <c r="D5704">
        <v>72.37</v>
      </c>
      <c r="E5704">
        <v>438</v>
      </c>
      <c r="F5704">
        <v>121</v>
      </c>
      <c r="G5704">
        <v>11</v>
      </c>
      <c r="H5704">
        <v>1</v>
      </c>
      <c r="I5704">
        <v>427</v>
      </c>
      <c r="J5704">
        <v>1</v>
      </c>
      <c r="K5704">
        <v>1</v>
      </c>
      <c r="L5704">
        <v>438</v>
      </c>
      <c r="M5704">
        <v>1</v>
      </c>
      <c r="N5704">
        <v>0</v>
      </c>
      <c r="O5704">
        <v>1639</v>
      </c>
    </row>
    <row r="5705" spans="1:15" x14ac:dyDescent="0.25">
      <c r="A5705" t="s">
        <v>5718</v>
      </c>
      <c r="B5705">
        <v>391</v>
      </c>
      <c r="C5705" s="1" t="str">
        <f>HYPERLINK("http://www.rosaceae.org/gb/gbrowse/malus_x_domestica/?name=MDP0000175314","MDP0000175314")</f>
        <v>MDP0000175314</v>
      </c>
      <c r="D5705">
        <v>66.03</v>
      </c>
      <c r="E5705">
        <v>53</v>
      </c>
      <c r="F5705">
        <v>18</v>
      </c>
      <c r="G5705">
        <v>1</v>
      </c>
      <c r="H5705">
        <v>340</v>
      </c>
      <c r="I5705">
        <v>391</v>
      </c>
      <c r="J5705">
        <v>1</v>
      </c>
      <c r="K5705">
        <v>369</v>
      </c>
      <c r="L5705">
        <v>421</v>
      </c>
      <c r="M5705">
        <v>1</v>
      </c>
      <c r="N5705">
        <v>1.7339500000000001E-11</v>
      </c>
      <c r="O5705">
        <v>164</v>
      </c>
    </row>
    <row r="5706" spans="1:15" x14ac:dyDescent="0.25">
      <c r="A5706" t="s">
        <v>5719</v>
      </c>
      <c r="B5706">
        <v>258</v>
      </c>
      <c r="C5706" s="1" t="str">
        <f>HYPERLINK("http://www.rosaceae.org/gb/gbrowse/malus_x_domestica/?name=MDP0000228140","MDP0000228140")</f>
        <v>MDP0000228140</v>
      </c>
      <c r="D5706">
        <v>75.75</v>
      </c>
      <c r="E5706">
        <v>132</v>
      </c>
      <c r="F5706">
        <v>32</v>
      </c>
      <c r="G5706">
        <v>1</v>
      </c>
      <c r="H5706">
        <v>1</v>
      </c>
      <c r="I5706">
        <v>132</v>
      </c>
      <c r="J5706">
        <v>1</v>
      </c>
      <c r="K5706">
        <v>754</v>
      </c>
      <c r="L5706">
        <v>884</v>
      </c>
      <c r="M5706">
        <v>1</v>
      </c>
      <c r="N5706">
        <v>6.1294900000000001E-56</v>
      </c>
      <c r="O5706">
        <v>546</v>
      </c>
    </row>
    <row r="5707" spans="1:15" x14ac:dyDescent="0.25">
      <c r="A5707" t="s">
        <v>5720</v>
      </c>
      <c r="B5707">
        <v>178</v>
      </c>
      <c r="C5707" s="1" t="str">
        <f>HYPERLINK("http://www.rosaceae.org/gb/gbrowse/malus_x_domestica/?name=MDP0000534175","MDP0000534175")</f>
        <v>MDP0000534175</v>
      </c>
      <c r="D5707">
        <v>55.88</v>
      </c>
      <c r="E5707">
        <v>136</v>
      </c>
      <c r="F5707">
        <v>60</v>
      </c>
      <c r="G5707">
        <v>2</v>
      </c>
      <c r="H5707">
        <v>42</v>
      </c>
      <c r="I5707">
        <v>177</v>
      </c>
      <c r="J5707">
        <v>1</v>
      </c>
      <c r="K5707">
        <v>6</v>
      </c>
      <c r="L5707">
        <v>139</v>
      </c>
      <c r="M5707">
        <v>1</v>
      </c>
      <c r="N5707">
        <v>2.5758299999999999E-37</v>
      </c>
      <c r="O5707">
        <v>383</v>
      </c>
    </row>
    <row r="5708" spans="1:15" x14ac:dyDescent="0.25">
      <c r="A5708" t="s">
        <v>5721</v>
      </c>
      <c r="B5708">
        <v>233</v>
      </c>
      <c r="C5708" s="1" t="str">
        <f>HYPERLINK("http://www.rosaceae.org/gb/gbrowse/malus_x_domestica/?name=MDP0000239826","MDP0000239826")</f>
        <v>MDP0000239826</v>
      </c>
      <c r="D5708">
        <v>38.86</v>
      </c>
      <c r="E5708">
        <v>193</v>
      </c>
      <c r="F5708">
        <v>118</v>
      </c>
      <c r="G5708">
        <v>30</v>
      </c>
      <c r="H5708">
        <v>1</v>
      </c>
      <c r="I5708">
        <v>163</v>
      </c>
      <c r="J5708">
        <v>1</v>
      </c>
      <c r="K5708">
        <v>274</v>
      </c>
      <c r="L5708">
        <v>466</v>
      </c>
      <c r="M5708">
        <v>1</v>
      </c>
      <c r="N5708">
        <v>6.2458E-36</v>
      </c>
      <c r="O5708">
        <v>372</v>
      </c>
    </row>
    <row r="5709" spans="1:15" x14ac:dyDescent="0.25">
      <c r="A5709" t="s">
        <v>5722</v>
      </c>
      <c r="B5709">
        <v>410</v>
      </c>
      <c r="C5709" s="1" t="str">
        <f>HYPERLINK("http://www.rosaceae.org/gb/gbrowse/malus_x_domestica/?name=MDP0000144150","MDP0000144150")</f>
        <v>MDP0000144150</v>
      </c>
      <c r="D5709">
        <v>73.89</v>
      </c>
      <c r="E5709">
        <v>383</v>
      </c>
      <c r="F5709">
        <v>100</v>
      </c>
      <c r="G5709">
        <v>0</v>
      </c>
      <c r="H5709">
        <v>1</v>
      </c>
      <c r="I5709">
        <v>383</v>
      </c>
      <c r="J5709">
        <v>1</v>
      </c>
      <c r="K5709">
        <v>120</v>
      </c>
      <c r="L5709">
        <v>502</v>
      </c>
      <c r="M5709">
        <v>1</v>
      </c>
      <c r="N5709">
        <v>2.2914300000000002E-168</v>
      </c>
      <c r="O5709">
        <v>1518</v>
      </c>
    </row>
    <row r="5710" spans="1:15" x14ac:dyDescent="0.25">
      <c r="A5710" t="s">
        <v>5723</v>
      </c>
      <c r="B5710">
        <v>684</v>
      </c>
      <c r="C5710" s="1" t="str">
        <f>HYPERLINK("http://www.rosaceae.org/gb/gbrowse/malus_x_domestica/?name=MDP0000660702","MDP0000660702")</f>
        <v>MDP0000660702</v>
      </c>
      <c r="D5710">
        <v>58.09</v>
      </c>
      <c r="E5710">
        <v>525</v>
      </c>
      <c r="F5710">
        <v>220</v>
      </c>
      <c r="G5710">
        <v>34</v>
      </c>
      <c r="H5710">
        <v>169</v>
      </c>
      <c r="I5710">
        <v>681</v>
      </c>
      <c r="J5710">
        <v>1</v>
      </c>
      <c r="K5710">
        <v>6</v>
      </c>
      <c r="L5710">
        <v>508</v>
      </c>
      <c r="M5710">
        <v>1</v>
      </c>
      <c r="N5710">
        <v>1.31308E-142</v>
      </c>
      <c r="O5710">
        <v>1298</v>
      </c>
    </row>
    <row r="5711" spans="1:15" x14ac:dyDescent="0.25">
      <c r="A5711" t="s">
        <v>5724</v>
      </c>
      <c r="B5711">
        <v>352</v>
      </c>
      <c r="C5711" s="1" t="str">
        <f>HYPERLINK("http://www.rosaceae.org/gb/gbrowse/malus_x_domestica/?name=MDP0000302547","MDP0000302547")</f>
        <v>MDP0000302547</v>
      </c>
      <c r="D5711">
        <v>78.83</v>
      </c>
      <c r="E5711">
        <v>326</v>
      </c>
      <c r="F5711">
        <v>69</v>
      </c>
      <c r="G5711">
        <v>4</v>
      </c>
      <c r="H5711">
        <v>7</v>
      </c>
      <c r="I5711">
        <v>328</v>
      </c>
      <c r="J5711">
        <v>1</v>
      </c>
      <c r="K5711">
        <v>3</v>
      </c>
      <c r="L5711">
        <v>328</v>
      </c>
      <c r="M5711">
        <v>1</v>
      </c>
      <c r="N5711">
        <v>4.9378699999999999E-153</v>
      </c>
      <c r="O5711">
        <v>1385</v>
      </c>
    </row>
    <row r="5712" spans="1:15" x14ac:dyDescent="0.25">
      <c r="A5712" t="s">
        <v>5725</v>
      </c>
      <c r="B5712">
        <v>148</v>
      </c>
      <c r="C5712" s="1" t="str">
        <f>HYPERLINK("http://www.rosaceae.org/gb/gbrowse/malus_x_domestica/?name=MDP0000258694","MDP0000258694")</f>
        <v>MDP0000258694</v>
      </c>
      <c r="D5712">
        <v>50</v>
      </c>
      <c r="E5712">
        <v>112</v>
      </c>
      <c r="F5712">
        <v>56</v>
      </c>
      <c r="G5712">
        <v>18</v>
      </c>
      <c r="H5712">
        <v>37</v>
      </c>
      <c r="I5712">
        <v>148</v>
      </c>
      <c r="J5712">
        <v>1</v>
      </c>
      <c r="K5712">
        <v>1</v>
      </c>
      <c r="L5712">
        <v>94</v>
      </c>
      <c r="M5712">
        <v>1</v>
      </c>
      <c r="N5712">
        <v>3.6364500000000002E-19</v>
      </c>
      <c r="O5712">
        <v>225</v>
      </c>
    </row>
    <row r="5713" spans="1:15" x14ac:dyDescent="0.25">
      <c r="A5713" t="s">
        <v>5726</v>
      </c>
      <c r="B5713">
        <v>300</v>
      </c>
      <c r="C5713" s="1" t="str">
        <f>HYPERLINK("http://www.rosaceae.org/gb/gbrowse/malus_x_domestica/?name=MDP0000872167","MDP0000872167")</f>
        <v>MDP0000872167</v>
      </c>
      <c r="D5713">
        <v>38.69</v>
      </c>
      <c r="E5713">
        <v>168</v>
      </c>
      <c r="F5713">
        <v>103</v>
      </c>
      <c r="G5713">
        <v>11</v>
      </c>
      <c r="H5713">
        <v>124</v>
      </c>
      <c r="I5713">
        <v>288</v>
      </c>
      <c r="J5713">
        <v>1</v>
      </c>
      <c r="K5713">
        <v>100</v>
      </c>
      <c r="L5713">
        <v>259</v>
      </c>
      <c r="M5713">
        <v>1</v>
      </c>
      <c r="N5713">
        <v>1.1408900000000001E-22</v>
      </c>
      <c r="O5713">
        <v>259</v>
      </c>
    </row>
    <row r="5714" spans="1:15" x14ac:dyDescent="0.25">
      <c r="A5714" t="s">
        <v>5727</v>
      </c>
      <c r="B5714">
        <v>148</v>
      </c>
      <c r="C5714" s="1" t="str">
        <f>HYPERLINK("http://www.rosaceae.org/gb/gbrowse/malus_x_domestica/?name=MDP0000464702","MDP0000464702")</f>
        <v>MDP0000464702</v>
      </c>
      <c r="D5714">
        <v>95.94</v>
      </c>
      <c r="E5714">
        <v>148</v>
      </c>
      <c r="F5714">
        <v>6</v>
      </c>
      <c r="G5714">
        <v>0</v>
      </c>
      <c r="H5714">
        <v>1</v>
      </c>
      <c r="I5714">
        <v>148</v>
      </c>
      <c r="J5714">
        <v>1</v>
      </c>
      <c r="K5714">
        <v>45</v>
      </c>
      <c r="L5714">
        <v>192</v>
      </c>
      <c r="M5714">
        <v>1</v>
      </c>
      <c r="N5714">
        <v>8.08605E-83</v>
      </c>
      <c r="O5714">
        <v>773</v>
      </c>
    </row>
    <row r="5715" spans="1:15" x14ac:dyDescent="0.25">
      <c r="A5715" t="s">
        <v>5728</v>
      </c>
      <c r="B5715">
        <v>162</v>
      </c>
      <c r="C5715" s="1" t="str">
        <f>HYPERLINK("http://www.rosaceae.org/gb/gbrowse/malus_x_domestica/?name=MDP0000857523","MDP0000857523")</f>
        <v>MDP0000857523</v>
      </c>
      <c r="D5715">
        <v>56.54</v>
      </c>
      <c r="E5715">
        <v>168</v>
      </c>
      <c r="F5715">
        <v>73</v>
      </c>
      <c r="G5715">
        <v>7</v>
      </c>
      <c r="H5715">
        <v>1</v>
      </c>
      <c r="I5715">
        <v>161</v>
      </c>
      <c r="J5715">
        <v>1</v>
      </c>
      <c r="K5715">
        <v>1</v>
      </c>
      <c r="L5715">
        <v>168</v>
      </c>
      <c r="M5715">
        <v>1</v>
      </c>
      <c r="N5715">
        <v>1.1728299999999999E-49</v>
      </c>
      <c r="O5715">
        <v>488</v>
      </c>
    </row>
    <row r="5716" spans="1:15" x14ac:dyDescent="0.25">
      <c r="A5716" t="s">
        <v>5729</v>
      </c>
      <c r="B5716">
        <v>1265</v>
      </c>
      <c r="C5716" s="1" t="str">
        <f>HYPERLINK("http://www.rosaceae.org/gb/gbrowse/malus_x_domestica/?name=MDP0000307601","MDP0000307601")</f>
        <v>MDP0000307601</v>
      </c>
      <c r="D5716">
        <v>82.62</v>
      </c>
      <c r="E5716">
        <v>1266</v>
      </c>
      <c r="F5716">
        <v>220</v>
      </c>
      <c r="G5716">
        <v>68</v>
      </c>
      <c r="H5716">
        <v>2</v>
      </c>
      <c r="I5716">
        <v>1265</v>
      </c>
      <c r="J5716">
        <v>1</v>
      </c>
      <c r="K5716">
        <v>403</v>
      </c>
      <c r="L5716">
        <v>1602</v>
      </c>
      <c r="M5716">
        <v>1</v>
      </c>
      <c r="N5716">
        <v>0</v>
      </c>
      <c r="O5716">
        <v>5310</v>
      </c>
    </row>
    <row r="5717" spans="1:15" x14ac:dyDescent="0.25">
      <c r="A5717" t="s">
        <v>5730</v>
      </c>
      <c r="B5717">
        <v>317</v>
      </c>
      <c r="C5717" s="1" t="str">
        <f>HYPERLINK("http://www.rosaceae.org/gb/gbrowse/malus_x_domestica/?name=MDP0000318279","MDP0000318279")</f>
        <v>MDP0000318279</v>
      </c>
      <c r="D5717">
        <v>31.16</v>
      </c>
      <c r="E5717">
        <v>215</v>
      </c>
      <c r="F5717">
        <v>148</v>
      </c>
      <c r="G5717">
        <v>38</v>
      </c>
      <c r="H5717">
        <v>108</v>
      </c>
      <c r="I5717">
        <v>289</v>
      </c>
      <c r="J5717">
        <v>1</v>
      </c>
      <c r="K5717">
        <v>119</v>
      </c>
      <c r="L5717">
        <v>328</v>
      </c>
      <c r="M5717">
        <v>1</v>
      </c>
      <c r="N5717">
        <v>8.44071E-24</v>
      </c>
      <c r="O5717">
        <v>270</v>
      </c>
    </row>
    <row r="5718" spans="1:15" x14ac:dyDescent="0.25">
      <c r="A5718" t="s">
        <v>5731</v>
      </c>
      <c r="B5718">
        <v>147</v>
      </c>
      <c r="C5718" s="1" t="str">
        <f>HYPERLINK("http://www.rosaceae.org/gb/gbrowse/malus_x_domestica/?name=MDP0000260960","MDP0000260960")</f>
        <v>MDP0000260960</v>
      </c>
      <c r="D5718">
        <v>34.31</v>
      </c>
      <c r="E5718">
        <v>102</v>
      </c>
      <c r="F5718">
        <v>67</v>
      </c>
      <c r="G5718">
        <v>0</v>
      </c>
      <c r="H5718">
        <v>7</v>
      </c>
      <c r="I5718">
        <v>108</v>
      </c>
      <c r="J5718">
        <v>1</v>
      </c>
      <c r="K5718">
        <v>416</v>
      </c>
      <c r="L5718">
        <v>517</v>
      </c>
      <c r="M5718">
        <v>1</v>
      </c>
      <c r="N5718">
        <v>1.6183399999999999E-13</v>
      </c>
      <c r="O5718">
        <v>176</v>
      </c>
    </row>
    <row r="5719" spans="1:15" x14ac:dyDescent="0.25">
      <c r="A5719" t="s">
        <v>5732</v>
      </c>
      <c r="B5719">
        <v>1075</v>
      </c>
      <c r="C5719" s="1" t="str">
        <f>HYPERLINK("http://www.rosaceae.org/gb/gbrowse/malus_x_domestica/?name=MDP0000734561","MDP0000734561")</f>
        <v>MDP0000734561</v>
      </c>
      <c r="D5719">
        <v>47.2</v>
      </c>
      <c r="E5719">
        <v>949</v>
      </c>
      <c r="F5719">
        <v>501</v>
      </c>
      <c r="G5719">
        <v>35</v>
      </c>
      <c r="H5719">
        <v>140</v>
      </c>
      <c r="I5719">
        <v>1068</v>
      </c>
      <c r="J5719">
        <v>1</v>
      </c>
      <c r="K5719">
        <v>166</v>
      </c>
      <c r="L5719">
        <v>1099</v>
      </c>
      <c r="M5719">
        <v>1</v>
      </c>
      <c r="N5719">
        <v>0</v>
      </c>
      <c r="O5719">
        <v>2006</v>
      </c>
    </row>
    <row r="5720" spans="1:15" x14ac:dyDescent="0.25">
      <c r="A5720" t="s">
        <v>5733</v>
      </c>
      <c r="B5720">
        <v>623</v>
      </c>
      <c r="C5720" s="1" t="str">
        <f>HYPERLINK("http://www.rosaceae.org/gb/gbrowse/malus_x_domestica/?name=MDP0000286762","MDP0000286762")</f>
        <v>MDP0000286762</v>
      </c>
      <c r="D5720">
        <v>52.75</v>
      </c>
      <c r="E5720">
        <v>544</v>
      </c>
      <c r="F5720">
        <v>257</v>
      </c>
      <c r="G5720">
        <v>69</v>
      </c>
      <c r="H5720">
        <v>24</v>
      </c>
      <c r="I5720">
        <v>545</v>
      </c>
      <c r="J5720">
        <v>1</v>
      </c>
      <c r="K5720">
        <v>17</v>
      </c>
      <c r="L5720">
        <v>513</v>
      </c>
      <c r="M5720">
        <v>1</v>
      </c>
      <c r="N5720">
        <v>2.4434200000000002E-145</v>
      </c>
      <c r="O5720">
        <v>1321</v>
      </c>
    </row>
    <row r="5721" spans="1:15" x14ac:dyDescent="0.25">
      <c r="A5721" t="s">
        <v>5734</v>
      </c>
      <c r="B5721">
        <v>428</v>
      </c>
      <c r="C5721" s="1" t="str">
        <f>HYPERLINK("http://www.rosaceae.org/gb/gbrowse/malus_x_domestica/?name=MDP0000864594","MDP0000864594")</f>
        <v>MDP0000864594</v>
      </c>
      <c r="D5721">
        <v>55.37</v>
      </c>
      <c r="E5721">
        <v>437</v>
      </c>
      <c r="F5721">
        <v>195</v>
      </c>
      <c r="G5721">
        <v>33</v>
      </c>
      <c r="H5721">
        <v>8</v>
      </c>
      <c r="I5721">
        <v>426</v>
      </c>
      <c r="J5721">
        <v>1</v>
      </c>
      <c r="K5721">
        <v>1</v>
      </c>
      <c r="L5721">
        <v>422</v>
      </c>
      <c r="M5721">
        <v>1</v>
      </c>
      <c r="N5721">
        <v>3.0293200000000001E-123</v>
      </c>
      <c r="O5721">
        <v>1129</v>
      </c>
    </row>
    <row r="5722" spans="1:15" x14ac:dyDescent="0.25">
      <c r="A5722" t="s">
        <v>5735</v>
      </c>
      <c r="B5722">
        <v>928</v>
      </c>
      <c r="C5722" s="1" t="str">
        <f>HYPERLINK("http://www.rosaceae.org/gb/gbrowse/malus_x_domestica/?name=MDP0000143804","MDP0000143804")</f>
        <v>MDP0000143804</v>
      </c>
      <c r="D5722">
        <v>75.91</v>
      </c>
      <c r="E5722">
        <v>465</v>
      </c>
      <c r="F5722">
        <v>112</v>
      </c>
      <c r="G5722">
        <v>3</v>
      </c>
      <c r="H5722">
        <v>6</v>
      </c>
      <c r="I5722">
        <v>470</v>
      </c>
      <c r="J5722">
        <v>1</v>
      </c>
      <c r="K5722">
        <v>2</v>
      </c>
      <c r="L5722">
        <v>463</v>
      </c>
      <c r="M5722">
        <v>1</v>
      </c>
      <c r="N5722">
        <v>0</v>
      </c>
      <c r="O5722">
        <v>1789</v>
      </c>
    </row>
    <row r="5723" spans="1:15" x14ac:dyDescent="0.25">
      <c r="A5723" t="s">
        <v>5736</v>
      </c>
      <c r="B5723">
        <v>434</v>
      </c>
      <c r="C5723" s="1" t="str">
        <f>HYPERLINK("http://www.rosaceae.org/gb/gbrowse/malus_x_domestica/?name=MDP0000299064","MDP0000299064")</f>
        <v>MDP0000299064</v>
      </c>
      <c r="D5723">
        <v>65.67</v>
      </c>
      <c r="E5723">
        <v>335</v>
      </c>
      <c r="F5723">
        <v>115</v>
      </c>
      <c r="G5723">
        <v>5</v>
      </c>
      <c r="H5723">
        <v>1</v>
      </c>
      <c r="I5723">
        <v>335</v>
      </c>
      <c r="J5723">
        <v>1</v>
      </c>
      <c r="K5723">
        <v>1</v>
      </c>
      <c r="L5723">
        <v>330</v>
      </c>
      <c r="M5723">
        <v>1</v>
      </c>
      <c r="N5723">
        <v>3.14133E-119</v>
      </c>
      <c r="O5723">
        <v>1094</v>
      </c>
    </row>
    <row r="5724" spans="1:15" x14ac:dyDescent="0.25">
      <c r="A5724" t="s">
        <v>5737</v>
      </c>
      <c r="B5724">
        <v>269</v>
      </c>
      <c r="C5724" s="1" t="str">
        <f>HYPERLINK("http://www.rosaceae.org/gb/gbrowse/malus_x_domestica/?name=MDP0000157429","MDP0000157429")</f>
        <v>MDP0000157429</v>
      </c>
      <c r="D5724">
        <v>73.64</v>
      </c>
      <c r="E5724">
        <v>239</v>
      </c>
      <c r="F5724">
        <v>63</v>
      </c>
      <c r="G5724">
        <v>1</v>
      </c>
      <c r="H5724">
        <v>32</v>
      </c>
      <c r="I5724">
        <v>269</v>
      </c>
      <c r="J5724">
        <v>1</v>
      </c>
      <c r="K5724">
        <v>22</v>
      </c>
      <c r="L5724">
        <v>260</v>
      </c>
      <c r="M5724">
        <v>1</v>
      </c>
      <c r="N5724">
        <v>3.5141299999999998E-103</v>
      </c>
      <c r="O5724">
        <v>953</v>
      </c>
    </row>
    <row r="5725" spans="1:15" x14ac:dyDescent="0.25">
      <c r="A5725" t="s">
        <v>5738</v>
      </c>
      <c r="B5725">
        <v>464</v>
      </c>
      <c r="C5725" s="1" t="str">
        <f>HYPERLINK("http://www.rosaceae.org/gb/gbrowse/malus_x_domestica/?name=MDP0000000999","MDP0000000999")</f>
        <v>MDP0000000999</v>
      </c>
      <c r="D5725">
        <v>85.77</v>
      </c>
      <c r="E5725">
        <v>464</v>
      </c>
      <c r="F5725">
        <v>66</v>
      </c>
      <c r="G5725">
        <v>4</v>
      </c>
      <c r="H5725">
        <v>1</v>
      </c>
      <c r="I5725">
        <v>463</v>
      </c>
      <c r="J5725">
        <v>1</v>
      </c>
      <c r="K5725">
        <v>1</v>
      </c>
      <c r="L5725">
        <v>461</v>
      </c>
      <c r="M5725">
        <v>1</v>
      </c>
      <c r="N5725">
        <v>0</v>
      </c>
      <c r="O5725">
        <v>2089</v>
      </c>
    </row>
    <row r="5726" spans="1:15" x14ac:dyDescent="0.25">
      <c r="A5726" t="s">
        <v>5739</v>
      </c>
      <c r="B5726">
        <v>259</v>
      </c>
      <c r="C5726" s="1" t="str">
        <f>HYPERLINK("http://www.rosaceae.org/gb/gbrowse/malus_x_domestica/?name=MDP0000659511","MDP0000659511")</f>
        <v>MDP0000659511</v>
      </c>
      <c r="D5726">
        <v>89.25</v>
      </c>
      <c r="E5726">
        <v>242</v>
      </c>
      <c r="F5726">
        <v>26</v>
      </c>
      <c r="G5726">
        <v>0</v>
      </c>
      <c r="H5726">
        <v>14</v>
      </c>
      <c r="I5726">
        <v>255</v>
      </c>
      <c r="J5726">
        <v>1</v>
      </c>
      <c r="K5726">
        <v>17</v>
      </c>
      <c r="L5726">
        <v>258</v>
      </c>
      <c r="M5726">
        <v>1</v>
      </c>
      <c r="N5726">
        <v>4.6349099999999999E-121</v>
      </c>
      <c r="O5726">
        <v>1107</v>
      </c>
    </row>
    <row r="5727" spans="1:15" x14ac:dyDescent="0.25">
      <c r="A5727" t="s">
        <v>5740</v>
      </c>
      <c r="B5727">
        <v>363</v>
      </c>
      <c r="C5727" s="1" t="str">
        <f>HYPERLINK("http://www.rosaceae.org/gb/gbrowse/malus_x_domestica/?name=MDP0000212684","MDP0000212684")</f>
        <v>MDP0000212684</v>
      </c>
      <c r="D5727">
        <v>37.72</v>
      </c>
      <c r="E5727">
        <v>281</v>
      </c>
      <c r="F5727">
        <v>175</v>
      </c>
      <c r="G5727">
        <v>46</v>
      </c>
      <c r="H5727">
        <v>6</v>
      </c>
      <c r="I5727">
        <v>242</v>
      </c>
      <c r="J5727">
        <v>1</v>
      </c>
      <c r="K5727">
        <v>7</v>
      </c>
      <c r="L5727">
        <v>285</v>
      </c>
      <c r="M5727">
        <v>1</v>
      </c>
      <c r="N5727">
        <v>1.07448E-40</v>
      </c>
      <c r="O5727">
        <v>416</v>
      </c>
    </row>
    <row r="5728" spans="1:15" x14ac:dyDescent="0.25">
      <c r="A5728" t="s">
        <v>5741</v>
      </c>
      <c r="B5728">
        <v>218</v>
      </c>
      <c r="C5728" s="1" t="str">
        <f>HYPERLINK("http://www.rosaceae.org/gb/gbrowse/malus_x_domestica/?name=MDP0000592847","MDP0000592847")</f>
        <v>MDP0000592847</v>
      </c>
      <c r="D5728">
        <v>23.96</v>
      </c>
      <c r="E5728">
        <v>217</v>
      </c>
      <c r="F5728">
        <v>165</v>
      </c>
      <c r="G5728">
        <v>14</v>
      </c>
      <c r="H5728">
        <v>15</v>
      </c>
      <c r="I5728">
        <v>217</v>
      </c>
      <c r="J5728">
        <v>1</v>
      </c>
      <c r="K5728">
        <v>134</v>
      </c>
      <c r="L5728">
        <v>350</v>
      </c>
      <c r="M5728">
        <v>1</v>
      </c>
      <c r="N5728">
        <v>5.4689699999999999E-8</v>
      </c>
      <c r="O5728">
        <v>131</v>
      </c>
    </row>
    <row r="5729" spans="1:15" x14ac:dyDescent="0.25">
      <c r="A5729" t="s">
        <v>5742</v>
      </c>
      <c r="B5729">
        <v>577</v>
      </c>
      <c r="C5729" s="1" t="str">
        <f>HYPERLINK("http://www.rosaceae.org/gb/gbrowse/malus_x_domestica/?name=MDP0000282084","MDP0000282084")</f>
        <v>MDP0000282084</v>
      </c>
      <c r="D5729">
        <v>56.07</v>
      </c>
      <c r="E5729">
        <v>551</v>
      </c>
      <c r="F5729">
        <v>242</v>
      </c>
      <c r="G5729">
        <v>13</v>
      </c>
      <c r="H5729">
        <v>25</v>
      </c>
      <c r="I5729">
        <v>565</v>
      </c>
      <c r="J5729">
        <v>1</v>
      </c>
      <c r="K5729">
        <v>110</v>
      </c>
      <c r="L5729">
        <v>657</v>
      </c>
      <c r="M5729">
        <v>1</v>
      </c>
      <c r="N5729">
        <v>8.5759899999999999E-173</v>
      </c>
      <c r="O5729">
        <v>1557</v>
      </c>
    </row>
    <row r="5730" spans="1:15" x14ac:dyDescent="0.25">
      <c r="A5730" t="s">
        <v>5743</v>
      </c>
      <c r="B5730">
        <v>116</v>
      </c>
      <c r="C5730" s="1" t="str">
        <f>HYPERLINK("http://www.rosaceae.org/gb/gbrowse/malus_x_domestica/?name=MDP0000273948","MDP0000273948")</f>
        <v>MDP0000273948</v>
      </c>
      <c r="D5730">
        <v>69.38</v>
      </c>
      <c r="E5730">
        <v>98</v>
      </c>
      <c r="F5730">
        <v>30</v>
      </c>
      <c r="G5730">
        <v>0</v>
      </c>
      <c r="H5730">
        <v>19</v>
      </c>
      <c r="I5730">
        <v>116</v>
      </c>
      <c r="J5730">
        <v>1</v>
      </c>
      <c r="K5730">
        <v>1</v>
      </c>
      <c r="L5730">
        <v>98</v>
      </c>
      <c r="M5730">
        <v>1</v>
      </c>
      <c r="N5730">
        <v>4.7505899999999999E-33</v>
      </c>
      <c r="O5730">
        <v>342</v>
      </c>
    </row>
    <row r="5731" spans="1:15" x14ac:dyDescent="0.25">
      <c r="A5731" t="s">
        <v>5744</v>
      </c>
      <c r="B5731">
        <v>133</v>
      </c>
      <c r="C5731" s="1" t="str">
        <f>HYPERLINK("http://www.rosaceae.org/gb/gbrowse/malus_x_domestica/?name=MDP0000563233","MDP0000563233")</f>
        <v>MDP0000563233</v>
      </c>
      <c r="D5731">
        <v>66.66</v>
      </c>
      <c r="E5731">
        <v>78</v>
      </c>
      <c r="F5731">
        <v>26</v>
      </c>
      <c r="G5731">
        <v>5</v>
      </c>
      <c r="H5731">
        <v>1</v>
      </c>
      <c r="I5731">
        <v>77</v>
      </c>
      <c r="J5731">
        <v>1</v>
      </c>
      <c r="K5731">
        <v>69</v>
      </c>
      <c r="L5731">
        <v>142</v>
      </c>
      <c r="M5731">
        <v>1</v>
      </c>
      <c r="N5731">
        <v>3.7540600000000002E-20</v>
      </c>
      <c r="O5731">
        <v>232</v>
      </c>
    </row>
    <row r="5732" spans="1:15" x14ac:dyDescent="0.25">
      <c r="A5732" t="s">
        <v>5745</v>
      </c>
      <c r="B5732">
        <v>184</v>
      </c>
      <c r="C5732" s="1" t="str">
        <f>HYPERLINK("http://www.rosaceae.org/gb/gbrowse/malus_x_domestica/?name=MDP0000187841","MDP0000187841")</f>
        <v>MDP0000187841</v>
      </c>
      <c r="D5732">
        <v>72.180000000000007</v>
      </c>
      <c r="E5732">
        <v>151</v>
      </c>
      <c r="F5732">
        <v>42</v>
      </c>
      <c r="G5732">
        <v>0</v>
      </c>
      <c r="H5732">
        <v>34</v>
      </c>
      <c r="I5732">
        <v>184</v>
      </c>
      <c r="J5732">
        <v>1</v>
      </c>
      <c r="K5732">
        <v>1</v>
      </c>
      <c r="L5732">
        <v>151</v>
      </c>
      <c r="M5732">
        <v>1</v>
      </c>
      <c r="N5732">
        <v>5.4427200000000002E-63</v>
      </c>
      <c r="O5732">
        <v>604</v>
      </c>
    </row>
    <row r="5733" spans="1:15" x14ac:dyDescent="0.25">
      <c r="A5733" t="s">
        <v>5746</v>
      </c>
      <c r="B5733">
        <v>518</v>
      </c>
      <c r="C5733" s="1" t="str">
        <f>HYPERLINK("http://www.rosaceae.org/gb/gbrowse/malus_x_domestica/?name=MDP0000191788","MDP0000191788")</f>
        <v>MDP0000191788</v>
      </c>
      <c r="D5733">
        <v>93.55</v>
      </c>
      <c r="E5733">
        <v>481</v>
      </c>
      <c r="F5733">
        <v>31</v>
      </c>
      <c r="G5733">
        <v>3</v>
      </c>
      <c r="H5733">
        <v>1</v>
      </c>
      <c r="I5733">
        <v>481</v>
      </c>
      <c r="J5733">
        <v>1</v>
      </c>
      <c r="K5733">
        <v>1</v>
      </c>
      <c r="L5733">
        <v>478</v>
      </c>
      <c r="M5733">
        <v>1</v>
      </c>
      <c r="N5733">
        <v>0</v>
      </c>
      <c r="O5733">
        <v>2432</v>
      </c>
    </row>
    <row r="5734" spans="1:15" x14ac:dyDescent="0.25">
      <c r="A5734" t="s">
        <v>5747</v>
      </c>
      <c r="B5734">
        <v>345</v>
      </c>
      <c r="C5734" s="1" t="str">
        <f>HYPERLINK("http://www.rosaceae.org/gb/gbrowse/malus_x_domestica/?name=MDP0000260015","MDP0000260015")</f>
        <v>MDP0000260015</v>
      </c>
      <c r="D5734">
        <v>25.89</v>
      </c>
      <c r="E5734">
        <v>336</v>
      </c>
      <c r="F5734">
        <v>249</v>
      </c>
      <c r="G5734">
        <v>53</v>
      </c>
      <c r="H5734">
        <v>27</v>
      </c>
      <c r="I5734">
        <v>345</v>
      </c>
      <c r="J5734">
        <v>1</v>
      </c>
      <c r="K5734">
        <v>35</v>
      </c>
      <c r="L5734">
        <v>334</v>
      </c>
      <c r="M5734">
        <v>1</v>
      </c>
      <c r="N5734">
        <v>1.9628299999999999E-13</v>
      </c>
      <c r="O5734">
        <v>181</v>
      </c>
    </row>
    <row r="5735" spans="1:15" x14ac:dyDescent="0.25">
      <c r="A5735" t="s">
        <v>5748</v>
      </c>
      <c r="B5735">
        <v>265</v>
      </c>
      <c r="C5735" s="1" t="str">
        <f>HYPERLINK("http://www.rosaceae.org/gb/gbrowse/malus_x_domestica/?name=MDP0000255344","MDP0000255344")</f>
        <v>MDP0000255344</v>
      </c>
      <c r="D5735">
        <v>34.15</v>
      </c>
      <c r="E5735">
        <v>243</v>
      </c>
      <c r="F5735">
        <v>160</v>
      </c>
      <c r="G5735">
        <v>30</v>
      </c>
      <c r="H5735">
        <v>1</v>
      </c>
      <c r="I5735">
        <v>240</v>
      </c>
      <c r="J5735">
        <v>1</v>
      </c>
      <c r="K5735">
        <v>73</v>
      </c>
      <c r="L5735">
        <v>288</v>
      </c>
      <c r="M5735">
        <v>1</v>
      </c>
      <c r="N5735">
        <v>5.9809599999999998E-27</v>
      </c>
      <c r="O5735">
        <v>296</v>
      </c>
    </row>
    <row r="5736" spans="1:15" x14ac:dyDescent="0.25">
      <c r="A5736" t="s">
        <v>5749</v>
      </c>
      <c r="B5736">
        <v>1483</v>
      </c>
      <c r="C5736" s="1" t="str">
        <f>HYPERLINK("http://www.rosaceae.org/gb/gbrowse/malus_x_domestica/?name=MDP0000128682","MDP0000128682")</f>
        <v>MDP0000128682</v>
      </c>
      <c r="D5736">
        <v>80.05</v>
      </c>
      <c r="E5736">
        <v>1018</v>
      </c>
      <c r="F5736">
        <v>203</v>
      </c>
      <c r="G5736">
        <v>34</v>
      </c>
      <c r="H5736">
        <v>1</v>
      </c>
      <c r="I5736">
        <v>984</v>
      </c>
      <c r="J5736">
        <v>1</v>
      </c>
      <c r="K5736">
        <v>1</v>
      </c>
      <c r="L5736">
        <v>1018</v>
      </c>
      <c r="M5736">
        <v>1</v>
      </c>
      <c r="N5736">
        <v>0</v>
      </c>
      <c r="O5736">
        <v>4326</v>
      </c>
    </row>
    <row r="5737" spans="1:15" x14ac:dyDescent="0.25">
      <c r="A5737" t="s">
        <v>5750</v>
      </c>
      <c r="B5737">
        <v>453</v>
      </c>
      <c r="C5737" s="1" t="str">
        <f>HYPERLINK("http://www.rosaceae.org/gb/gbrowse/malus_x_domestica/?name=MDP0000254861","MDP0000254861")</f>
        <v>MDP0000254861</v>
      </c>
      <c r="D5737">
        <v>90.74</v>
      </c>
      <c r="E5737">
        <v>454</v>
      </c>
      <c r="F5737">
        <v>42</v>
      </c>
      <c r="G5737">
        <v>2</v>
      </c>
      <c r="H5737">
        <v>1</v>
      </c>
      <c r="I5737">
        <v>453</v>
      </c>
      <c r="J5737">
        <v>1</v>
      </c>
      <c r="K5737">
        <v>1</v>
      </c>
      <c r="L5737">
        <v>453</v>
      </c>
      <c r="M5737">
        <v>1</v>
      </c>
      <c r="N5737">
        <v>0</v>
      </c>
      <c r="O5737">
        <v>2210</v>
      </c>
    </row>
    <row r="5738" spans="1:15" x14ac:dyDescent="0.25">
      <c r="A5738" t="s">
        <v>5751</v>
      </c>
      <c r="B5738">
        <v>607</v>
      </c>
      <c r="C5738" s="1" t="str">
        <f>HYPERLINK("http://www.rosaceae.org/gb/gbrowse/malus_x_domestica/?name=MDP0000864575","MDP0000864575")</f>
        <v>MDP0000864575</v>
      </c>
      <c r="D5738">
        <v>65.86</v>
      </c>
      <c r="E5738">
        <v>331</v>
      </c>
      <c r="F5738">
        <v>113</v>
      </c>
      <c r="G5738">
        <v>9</v>
      </c>
      <c r="H5738">
        <v>282</v>
      </c>
      <c r="I5738">
        <v>607</v>
      </c>
      <c r="J5738">
        <v>1</v>
      </c>
      <c r="K5738">
        <v>6</v>
      </c>
      <c r="L5738">
        <v>332</v>
      </c>
      <c r="M5738">
        <v>1</v>
      </c>
      <c r="N5738">
        <v>1.3393200000000001E-115</v>
      </c>
      <c r="O5738">
        <v>1064</v>
      </c>
    </row>
    <row r="5739" spans="1:15" x14ac:dyDescent="0.25">
      <c r="A5739" t="s">
        <v>5752</v>
      </c>
      <c r="B5739">
        <v>433</v>
      </c>
      <c r="C5739" s="1" t="str">
        <f>HYPERLINK("http://www.rosaceae.org/gb/gbrowse/malus_x_domestica/?name=MDP0000284035","MDP0000284035")</f>
        <v>MDP0000284035</v>
      </c>
      <c r="D5739">
        <v>61.14</v>
      </c>
      <c r="E5739">
        <v>175</v>
      </c>
      <c r="F5739">
        <v>68</v>
      </c>
      <c r="G5739">
        <v>17</v>
      </c>
      <c r="H5739">
        <v>172</v>
      </c>
      <c r="I5739">
        <v>329</v>
      </c>
      <c r="J5739">
        <v>1</v>
      </c>
      <c r="K5739">
        <v>32</v>
      </c>
      <c r="L5739">
        <v>206</v>
      </c>
      <c r="M5739">
        <v>1</v>
      </c>
      <c r="N5739">
        <v>4.8448399999999998E-53</v>
      </c>
      <c r="O5739">
        <v>523</v>
      </c>
    </row>
    <row r="5740" spans="1:15" x14ac:dyDescent="0.25">
      <c r="A5740" t="s">
        <v>5753</v>
      </c>
      <c r="B5740">
        <v>1092</v>
      </c>
      <c r="C5740" s="1" t="str">
        <f>HYPERLINK("http://www.rosaceae.org/gb/gbrowse/malus_x_domestica/?name=MDP0000220527","MDP0000220527")</f>
        <v>MDP0000220527</v>
      </c>
      <c r="D5740">
        <v>64.2</v>
      </c>
      <c r="E5740">
        <v>1070</v>
      </c>
      <c r="F5740">
        <v>383</v>
      </c>
      <c r="G5740">
        <v>44</v>
      </c>
      <c r="H5740">
        <v>4</v>
      </c>
      <c r="I5740">
        <v>1037</v>
      </c>
      <c r="J5740">
        <v>1</v>
      </c>
      <c r="K5740">
        <v>5</v>
      </c>
      <c r="L5740">
        <v>1066</v>
      </c>
      <c r="M5740">
        <v>1</v>
      </c>
      <c r="N5740">
        <v>0</v>
      </c>
      <c r="O5740">
        <v>3515</v>
      </c>
    </row>
    <row r="5741" spans="1:15" x14ac:dyDescent="0.25">
      <c r="A5741" t="s">
        <v>5754</v>
      </c>
      <c r="B5741">
        <v>184</v>
      </c>
      <c r="C5741" s="1" t="str">
        <f>HYPERLINK("http://www.rosaceae.org/gb/gbrowse/malus_x_domestica/?name=MDP0000299726","MDP0000299726")</f>
        <v>MDP0000299726</v>
      </c>
      <c r="D5741">
        <v>40.5</v>
      </c>
      <c r="E5741">
        <v>79</v>
      </c>
      <c r="F5741">
        <v>47</v>
      </c>
      <c r="G5741">
        <v>3</v>
      </c>
      <c r="H5741">
        <v>62</v>
      </c>
      <c r="I5741">
        <v>140</v>
      </c>
      <c r="J5741">
        <v>1</v>
      </c>
      <c r="K5741">
        <v>555</v>
      </c>
      <c r="L5741">
        <v>630</v>
      </c>
      <c r="M5741">
        <v>1</v>
      </c>
      <c r="N5741">
        <v>8.8214399999999997E-9</v>
      </c>
      <c r="O5741">
        <v>137</v>
      </c>
    </row>
    <row r="5742" spans="1:15" x14ac:dyDescent="0.25">
      <c r="A5742" t="s">
        <v>5755</v>
      </c>
      <c r="B5742">
        <v>243</v>
      </c>
      <c r="C5742" s="1" t="str">
        <f>HYPERLINK("http://www.rosaceae.org/gb/gbrowse/malus_x_domestica/?name=MDP0000279208","MDP0000279208")</f>
        <v>MDP0000279208</v>
      </c>
      <c r="D5742">
        <v>57.01</v>
      </c>
      <c r="E5742">
        <v>114</v>
      </c>
      <c r="F5742">
        <v>49</v>
      </c>
      <c r="G5742">
        <v>13</v>
      </c>
      <c r="H5742">
        <v>132</v>
      </c>
      <c r="I5742">
        <v>233</v>
      </c>
      <c r="J5742">
        <v>1</v>
      </c>
      <c r="K5742">
        <v>48</v>
      </c>
      <c r="L5742">
        <v>160</v>
      </c>
      <c r="M5742">
        <v>1</v>
      </c>
      <c r="N5742">
        <v>8.9178899999999992E-28</v>
      </c>
      <c r="O5742">
        <v>302</v>
      </c>
    </row>
    <row r="5743" spans="1:15" x14ac:dyDescent="0.25">
      <c r="A5743" t="s">
        <v>5756</v>
      </c>
      <c r="B5743">
        <v>632</v>
      </c>
      <c r="C5743" s="1" t="str">
        <f>HYPERLINK("http://www.rosaceae.org/gb/gbrowse/malus_x_domestica/?name=MDP0000655780","MDP0000655780")</f>
        <v>MDP0000655780</v>
      </c>
      <c r="D5743">
        <v>58.17</v>
      </c>
      <c r="E5743">
        <v>722</v>
      </c>
      <c r="F5743">
        <v>302</v>
      </c>
      <c r="G5743">
        <v>105</v>
      </c>
      <c r="H5743">
        <v>1</v>
      </c>
      <c r="I5743">
        <v>618</v>
      </c>
      <c r="J5743">
        <v>1</v>
      </c>
      <c r="K5743">
        <v>1</v>
      </c>
      <c r="L5743">
        <v>721</v>
      </c>
      <c r="M5743">
        <v>1</v>
      </c>
      <c r="N5743">
        <v>0</v>
      </c>
      <c r="O5743">
        <v>1999</v>
      </c>
    </row>
    <row r="5744" spans="1:15" x14ac:dyDescent="0.25">
      <c r="A5744" t="s">
        <v>5757</v>
      </c>
      <c r="B5744">
        <v>507</v>
      </c>
      <c r="C5744" s="1" t="str">
        <f>HYPERLINK("http://www.rosaceae.org/gb/gbrowse/malus_x_domestica/?name=MDP0000260623","MDP0000260623")</f>
        <v>MDP0000260623</v>
      </c>
      <c r="D5744">
        <v>77.150000000000006</v>
      </c>
      <c r="E5744">
        <v>521</v>
      </c>
      <c r="F5744">
        <v>119</v>
      </c>
      <c r="G5744">
        <v>37</v>
      </c>
      <c r="H5744">
        <v>1</v>
      </c>
      <c r="I5744">
        <v>507</v>
      </c>
      <c r="J5744">
        <v>1</v>
      </c>
      <c r="K5744">
        <v>1</v>
      </c>
      <c r="L5744">
        <v>498</v>
      </c>
      <c r="M5744">
        <v>1</v>
      </c>
      <c r="N5744">
        <v>0</v>
      </c>
      <c r="O5744">
        <v>1997</v>
      </c>
    </row>
    <row r="5745" spans="1:15" x14ac:dyDescent="0.25">
      <c r="A5745" t="s">
        <v>5758</v>
      </c>
      <c r="B5745">
        <v>225</v>
      </c>
      <c r="C5745" s="1" t="str">
        <f>HYPERLINK("http://www.rosaceae.org/gb/gbrowse/malus_x_domestica/?name=MDP0000860613","MDP0000860613")</f>
        <v>MDP0000860613</v>
      </c>
      <c r="D5745">
        <v>71.48</v>
      </c>
      <c r="E5745">
        <v>242</v>
      </c>
      <c r="F5745">
        <v>69</v>
      </c>
      <c r="G5745">
        <v>21</v>
      </c>
      <c r="H5745">
        <v>1</v>
      </c>
      <c r="I5745">
        <v>223</v>
      </c>
      <c r="J5745">
        <v>1</v>
      </c>
      <c r="K5745">
        <v>1</v>
      </c>
      <c r="L5745">
        <v>240</v>
      </c>
      <c r="M5745">
        <v>1</v>
      </c>
      <c r="N5745">
        <v>5.4494900000000001E-91</v>
      </c>
      <c r="O5745">
        <v>847</v>
      </c>
    </row>
    <row r="5746" spans="1:15" x14ac:dyDescent="0.25">
      <c r="A5746" t="s">
        <v>5759</v>
      </c>
      <c r="B5746">
        <v>591</v>
      </c>
      <c r="C5746" s="1" t="str">
        <f>HYPERLINK("http://www.rosaceae.org/gb/gbrowse/malus_x_domestica/?name=MDP0000271764","MDP0000271764")</f>
        <v>MDP0000271764</v>
      </c>
      <c r="D5746">
        <v>72.069999999999993</v>
      </c>
      <c r="E5746">
        <v>505</v>
      </c>
      <c r="F5746">
        <v>141</v>
      </c>
      <c r="G5746">
        <v>79</v>
      </c>
      <c r="H5746">
        <v>47</v>
      </c>
      <c r="I5746">
        <v>472</v>
      </c>
      <c r="J5746">
        <v>1</v>
      </c>
      <c r="K5746">
        <v>64</v>
      </c>
      <c r="L5746">
        <v>568</v>
      </c>
      <c r="M5746">
        <v>1</v>
      </c>
      <c r="N5746">
        <v>0</v>
      </c>
      <c r="O5746">
        <v>1846</v>
      </c>
    </row>
    <row r="5747" spans="1:15" x14ac:dyDescent="0.25">
      <c r="A5747" t="s">
        <v>5760</v>
      </c>
      <c r="B5747">
        <v>392</v>
      </c>
      <c r="C5747" s="1" t="str">
        <f>HYPERLINK("http://www.rosaceae.org/gb/gbrowse/malus_x_domestica/?name=MDP0000774306","MDP0000774306")</f>
        <v>MDP0000774306</v>
      </c>
      <c r="D5747">
        <v>45.63</v>
      </c>
      <c r="E5747">
        <v>355</v>
      </c>
      <c r="F5747">
        <v>193</v>
      </c>
      <c r="G5747">
        <v>29</v>
      </c>
      <c r="H5747">
        <v>17</v>
      </c>
      <c r="I5747">
        <v>364</v>
      </c>
      <c r="J5747">
        <v>1</v>
      </c>
      <c r="K5747">
        <v>4</v>
      </c>
      <c r="L5747">
        <v>336</v>
      </c>
      <c r="M5747">
        <v>1</v>
      </c>
      <c r="N5747">
        <v>9.8733899999999994E-67</v>
      </c>
      <c r="O5747">
        <v>641</v>
      </c>
    </row>
    <row r="5748" spans="1:15" x14ac:dyDescent="0.25">
      <c r="A5748" t="s">
        <v>5761</v>
      </c>
      <c r="B5748">
        <v>401</v>
      </c>
      <c r="C5748" s="1" t="str">
        <f>HYPERLINK("http://www.rosaceae.org/gb/gbrowse/malus_x_domestica/?name=MDP0000204554","MDP0000204554")</f>
        <v>MDP0000204554</v>
      </c>
      <c r="D5748">
        <v>50.34</v>
      </c>
      <c r="E5748">
        <v>433</v>
      </c>
      <c r="F5748">
        <v>215</v>
      </c>
      <c r="G5748">
        <v>53</v>
      </c>
      <c r="H5748">
        <v>1</v>
      </c>
      <c r="I5748">
        <v>401</v>
      </c>
      <c r="J5748">
        <v>1</v>
      </c>
      <c r="K5748">
        <v>1</v>
      </c>
      <c r="L5748">
        <v>412</v>
      </c>
      <c r="M5748">
        <v>1</v>
      </c>
      <c r="N5748">
        <v>7.7809700000000002E-107</v>
      </c>
      <c r="O5748">
        <v>987</v>
      </c>
    </row>
    <row r="5749" spans="1:15" x14ac:dyDescent="0.25">
      <c r="A5749" t="s">
        <v>5762</v>
      </c>
      <c r="B5749">
        <v>380</v>
      </c>
      <c r="C5749" s="1" t="str">
        <f>HYPERLINK("http://www.rosaceae.org/gb/gbrowse/malus_x_domestica/?name=MDP0000218990","MDP0000218990")</f>
        <v>MDP0000218990</v>
      </c>
      <c r="D5749">
        <v>86.2</v>
      </c>
      <c r="E5749">
        <v>174</v>
      </c>
      <c r="F5749">
        <v>24</v>
      </c>
      <c r="G5749">
        <v>0</v>
      </c>
      <c r="H5749">
        <v>207</v>
      </c>
      <c r="I5749">
        <v>380</v>
      </c>
      <c r="J5749">
        <v>1</v>
      </c>
      <c r="K5749">
        <v>32</v>
      </c>
      <c r="L5749">
        <v>205</v>
      </c>
      <c r="M5749">
        <v>1</v>
      </c>
      <c r="N5749">
        <v>6.1531400000000002E-83</v>
      </c>
      <c r="O5749">
        <v>780</v>
      </c>
    </row>
    <row r="5750" spans="1:15" x14ac:dyDescent="0.25">
      <c r="A5750" t="s">
        <v>5763</v>
      </c>
      <c r="B5750">
        <v>193</v>
      </c>
      <c r="C5750" s="1" t="str">
        <f>HYPERLINK("http://www.rosaceae.org/gb/gbrowse/malus_x_domestica/?name=MDP0000394762","MDP0000394762")</f>
        <v>MDP0000394762</v>
      </c>
      <c r="D5750">
        <v>48.59</v>
      </c>
      <c r="E5750">
        <v>107</v>
      </c>
      <c r="F5750">
        <v>55</v>
      </c>
      <c r="G5750">
        <v>3</v>
      </c>
      <c r="H5750">
        <v>68</v>
      </c>
      <c r="I5750">
        <v>174</v>
      </c>
      <c r="J5750">
        <v>1</v>
      </c>
      <c r="K5750">
        <v>730</v>
      </c>
      <c r="L5750">
        <v>833</v>
      </c>
      <c r="M5750">
        <v>1</v>
      </c>
      <c r="N5750">
        <v>2.5985699999999997E-26</v>
      </c>
      <c r="O5750">
        <v>288</v>
      </c>
    </row>
    <row r="5751" spans="1:15" x14ac:dyDescent="0.25">
      <c r="A5751" t="s">
        <v>5764</v>
      </c>
      <c r="B5751">
        <v>490</v>
      </c>
      <c r="C5751" s="1" t="str">
        <f>HYPERLINK("http://www.rosaceae.org/gb/gbrowse/malus_x_domestica/?name=MDP0000405003","MDP0000405003")</f>
        <v>MDP0000405003</v>
      </c>
      <c r="D5751">
        <v>61.64</v>
      </c>
      <c r="E5751">
        <v>498</v>
      </c>
      <c r="F5751">
        <v>191</v>
      </c>
      <c r="G5751">
        <v>20</v>
      </c>
      <c r="H5751">
        <v>6</v>
      </c>
      <c r="I5751">
        <v>487</v>
      </c>
      <c r="J5751">
        <v>1</v>
      </c>
      <c r="K5751">
        <v>2</v>
      </c>
      <c r="L5751">
        <v>495</v>
      </c>
      <c r="M5751">
        <v>1</v>
      </c>
      <c r="N5751">
        <v>2.8968000000000002E-172</v>
      </c>
      <c r="O5751">
        <v>1552</v>
      </c>
    </row>
    <row r="5752" spans="1:15" x14ac:dyDescent="0.25">
      <c r="A5752" t="s">
        <v>5765</v>
      </c>
      <c r="B5752">
        <v>1013</v>
      </c>
      <c r="C5752" s="1" t="str">
        <f>HYPERLINK("http://www.rosaceae.org/gb/gbrowse/malus_x_domestica/?name=MDP0000309676","MDP0000309676")</f>
        <v>MDP0000309676</v>
      </c>
      <c r="D5752">
        <v>63.12</v>
      </c>
      <c r="E5752">
        <v>941</v>
      </c>
      <c r="F5752">
        <v>347</v>
      </c>
      <c r="G5752">
        <v>8</v>
      </c>
      <c r="H5752">
        <v>76</v>
      </c>
      <c r="I5752">
        <v>1013</v>
      </c>
      <c r="J5752">
        <v>1</v>
      </c>
      <c r="K5752">
        <v>66</v>
      </c>
      <c r="L5752">
        <v>1001</v>
      </c>
      <c r="M5752">
        <v>1</v>
      </c>
      <c r="N5752">
        <v>0</v>
      </c>
      <c r="O5752">
        <v>2914</v>
      </c>
    </row>
    <row r="5753" spans="1:15" x14ac:dyDescent="0.25">
      <c r="A5753" t="s">
        <v>5766</v>
      </c>
      <c r="B5753">
        <v>411</v>
      </c>
      <c r="C5753" s="1" t="str">
        <f>HYPERLINK("http://www.rosaceae.org/gb/gbrowse/malus_x_domestica/?name=MDP0000295772","MDP0000295772")</f>
        <v>MDP0000295772</v>
      </c>
      <c r="D5753">
        <v>73.459999999999994</v>
      </c>
      <c r="E5753">
        <v>392</v>
      </c>
      <c r="F5753">
        <v>104</v>
      </c>
      <c r="G5753">
        <v>55</v>
      </c>
      <c r="H5753">
        <v>1</v>
      </c>
      <c r="I5753">
        <v>338</v>
      </c>
      <c r="J5753">
        <v>1</v>
      </c>
      <c r="K5753">
        <v>1</v>
      </c>
      <c r="L5753">
        <v>391</v>
      </c>
      <c r="M5753">
        <v>1</v>
      </c>
      <c r="N5753">
        <v>6.1677899999999998E-160</v>
      </c>
      <c r="O5753">
        <v>1445</v>
      </c>
    </row>
    <row r="5754" spans="1:15" x14ac:dyDescent="0.25">
      <c r="A5754" t="s">
        <v>5767</v>
      </c>
      <c r="B5754">
        <v>704</v>
      </c>
      <c r="C5754" s="1" t="str">
        <f>HYPERLINK("http://www.rosaceae.org/gb/gbrowse/malus_x_domestica/?name=MDP0000200059","MDP0000200059")</f>
        <v>MDP0000200059</v>
      </c>
      <c r="D5754">
        <v>36.67</v>
      </c>
      <c r="E5754">
        <v>499</v>
      </c>
      <c r="F5754">
        <v>316</v>
      </c>
      <c r="G5754">
        <v>72</v>
      </c>
      <c r="H5754">
        <v>11</v>
      </c>
      <c r="I5754">
        <v>472</v>
      </c>
      <c r="J5754">
        <v>1</v>
      </c>
      <c r="K5754">
        <v>17</v>
      </c>
      <c r="L5754">
        <v>480</v>
      </c>
      <c r="M5754">
        <v>1</v>
      </c>
      <c r="N5754">
        <v>5.0743500000000003E-68</v>
      </c>
      <c r="O5754">
        <v>655</v>
      </c>
    </row>
    <row r="5755" spans="1:15" x14ac:dyDescent="0.25">
      <c r="A5755" t="s">
        <v>5768</v>
      </c>
      <c r="B5755">
        <v>168</v>
      </c>
      <c r="C5755" s="1" t="str">
        <f>HYPERLINK("http://www.rosaceae.org/gb/gbrowse/malus_x_domestica/?name=MDP0000136726","MDP0000136726")</f>
        <v>MDP0000136726</v>
      </c>
      <c r="D5755">
        <v>58.94</v>
      </c>
      <c r="E5755">
        <v>151</v>
      </c>
      <c r="F5755">
        <v>62</v>
      </c>
      <c r="G5755">
        <v>2</v>
      </c>
      <c r="H5755">
        <v>19</v>
      </c>
      <c r="I5755">
        <v>168</v>
      </c>
      <c r="J5755">
        <v>1</v>
      </c>
      <c r="K5755">
        <v>22</v>
      </c>
      <c r="L5755">
        <v>171</v>
      </c>
      <c r="M5755">
        <v>1</v>
      </c>
      <c r="N5755">
        <v>8.4965599999999997E-45</v>
      </c>
      <c r="O5755">
        <v>447</v>
      </c>
    </row>
    <row r="5756" spans="1:15" x14ac:dyDescent="0.25">
      <c r="A5756" t="s">
        <v>5769</v>
      </c>
      <c r="B5756">
        <v>104</v>
      </c>
      <c r="C5756" s="1" t="str">
        <f>HYPERLINK("http://www.rosaceae.org/gb/gbrowse/malus_x_domestica/?name=MDP0000144878","MDP0000144878")</f>
        <v>MDP0000144878</v>
      </c>
      <c r="D5756">
        <v>87.37</v>
      </c>
      <c r="E5756">
        <v>103</v>
      </c>
      <c r="F5756">
        <v>13</v>
      </c>
      <c r="G5756">
        <v>0</v>
      </c>
      <c r="H5756">
        <v>1</v>
      </c>
      <c r="I5756">
        <v>103</v>
      </c>
      <c r="J5756">
        <v>1</v>
      </c>
      <c r="K5756">
        <v>678</v>
      </c>
      <c r="L5756">
        <v>780</v>
      </c>
      <c r="M5756">
        <v>1</v>
      </c>
      <c r="N5756">
        <v>9.7207500000000003E-58</v>
      </c>
      <c r="O5756">
        <v>555</v>
      </c>
    </row>
    <row r="5757" spans="1:15" x14ac:dyDescent="0.25">
      <c r="A5757" t="s">
        <v>5770</v>
      </c>
      <c r="B5757">
        <v>1169</v>
      </c>
      <c r="C5757" s="1" t="str">
        <f>HYPERLINK("http://www.rosaceae.org/gb/gbrowse/malus_x_domestica/?name=MDP0000302448","MDP0000302448")</f>
        <v>MDP0000302448</v>
      </c>
      <c r="D5757">
        <v>63.02</v>
      </c>
      <c r="E5757">
        <v>1228</v>
      </c>
      <c r="F5757">
        <v>454</v>
      </c>
      <c r="G5757">
        <v>100</v>
      </c>
      <c r="H5757">
        <v>6</v>
      </c>
      <c r="I5757">
        <v>1169</v>
      </c>
      <c r="J5757">
        <v>1</v>
      </c>
      <c r="K5757">
        <v>25</v>
      </c>
      <c r="L5757">
        <v>1216</v>
      </c>
      <c r="M5757">
        <v>1</v>
      </c>
      <c r="N5757">
        <v>0</v>
      </c>
      <c r="O5757">
        <v>3682</v>
      </c>
    </row>
    <row r="5758" spans="1:15" x14ac:dyDescent="0.25">
      <c r="A5758" t="s">
        <v>5771</v>
      </c>
      <c r="B5758">
        <v>537</v>
      </c>
      <c r="C5758" s="1" t="str">
        <f>HYPERLINK("http://www.rosaceae.org/gb/gbrowse/malus_x_domestica/?name=MDP0000859246","MDP0000859246")</f>
        <v>MDP0000859246</v>
      </c>
      <c r="D5758">
        <v>67.61</v>
      </c>
      <c r="E5758">
        <v>386</v>
      </c>
      <c r="F5758">
        <v>125</v>
      </c>
      <c r="G5758">
        <v>0</v>
      </c>
      <c r="H5758">
        <v>152</v>
      </c>
      <c r="I5758">
        <v>537</v>
      </c>
      <c r="J5758">
        <v>1</v>
      </c>
      <c r="K5758">
        <v>14</v>
      </c>
      <c r="L5758">
        <v>399</v>
      </c>
      <c r="M5758">
        <v>1</v>
      </c>
      <c r="N5758">
        <v>4.8806799999999997E-161</v>
      </c>
      <c r="O5758">
        <v>1456</v>
      </c>
    </row>
    <row r="5759" spans="1:15" x14ac:dyDescent="0.25">
      <c r="A5759" t="s">
        <v>5772</v>
      </c>
      <c r="B5759">
        <v>187</v>
      </c>
      <c r="C5759" s="1" t="str">
        <f>HYPERLINK("http://www.rosaceae.org/gb/gbrowse/malus_x_domestica/?name=MDP0000317051","MDP0000317051")</f>
        <v>MDP0000317051</v>
      </c>
      <c r="D5759">
        <v>81.66</v>
      </c>
      <c r="E5759">
        <v>120</v>
      </c>
      <c r="F5759">
        <v>22</v>
      </c>
      <c r="G5759">
        <v>0</v>
      </c>
      <c r="H5759">
        <v>68</v>
      </c>
      <c r="I5759">
        <v>187</v>
      </c>
      <c r="J5759">
        <v>1</v>
      </c>
      <c r="K5759">
        <v>225</v>
      </c>
      <c r="L5759">
        <v>344</v>
      </c>
      <c r="M5759">
        <v>1</v>
      </c>
      <c r="N5759">
        <v>9.3103400000000003E-55</v>
      </c>
      <c r="O5759">
        <v>533</v>
      </c>
    </row>
    <row r="5760" spans="1:15" x14ac:dyDescent="0.25">
      <c r="A5760" t="s">
        <v>5773</v>
      </c>
      <c r="B5760">
        <v>579</v>
      </c>
      <c r="C5760" s="1" t="str">
        <f>HYPERLINK("http://www.rosaceae.org/gb/gbrowse/malus_x_domestica/?name=MDP0000163774","MDP0000163774")</f>
        <v>MDP0000163774</v>
      </c>
      <c r="D5760">
        <v>57.47</v>
      </c>
      <c r="E5760">
        <v>87</v>
      </c>
      <c r="F5760">
        <v>37</v>
      </c>
      <c r="G5760">
        <v>0</v>
      </c>
      <c r="H5760">
        <v>298</v>
      </c>
      <c r="I5760">
        <v>384</v>
      </c>
      <c r="J5760">
        <v>1</v>
      </c>
      <c r="K5760">
        <v>75</v>
      </c>
      <c r="L5760">
        <v>161</v>
      </c>
      <c r="M5760">
        <v>1</v>
      </c>
      <c r="N5760">
        <v>8.6203700000000003E-26</v>
      </c>
      <c r="O5760">
        <v>290</v>
      </c>
    </row>
    <row r="5761" spans="1:15" x14ac:dyDescent="0.25">
      <c r="A5761" t="s">
        <v>5774</v>
      </c>
      <c r="B5761">
        <v>219</v>
      </c>
      <c r="C5761" s="1" t="str">
        <f>HYPERLINK("http://www.rosaceae.org/gb/gbrowse/malus_x_domestica/?name=MDP0000307780","MDP0000307780")</f>
        <v>MDP0000307780</v>
      </c>
      <c r="D5761">
        <v>82.14</v>
      </c>
      <c r="E5761">
        <v>140</v>
      </c>
      <c r="F5761">
        <v>25</v>
      </c>
      <c r="G5761">
        <v>3</v>
      </c>
      <c r="H5761">
        <v>3</v>
      </c>
      <c r="I5761">
        <v>140</v>
      </c>
      <c r="J5761">
        <v>1</v>
      </c>
      <c r="K5761">
        <v>12</v>
      </c>
      <c r="L5761">
        <v>150</v>
      </c>
      <c r="M5761">
        <v>1</v>
      </c>
      <c r="N5761">
        <v>6.6310499999999995E-63</v>
      </c>
      <c r="O5761">
        <v>605</v>
      </c>
    </row>
    <row r="5762" spans="1:15" x14ac:dyDescent="0.25">
      <c r="A5762" t="s">
        <v>5775</v>
      </c>
      <c r="B5762">
        <v>204</v>
      </c>
      <c r="C5762" s="1" t="str">
        <f>HYPERLINK("http://www.rosaceae.org/gb/gbrowse/malus_x_domestica/?name=MDP0000186417","MDP0000186417")</f>
        <v>MDP0000186417</v>
      </c>
      <c r="D5762">
        <v>64.84</v>
      </c>
      <c r="E5762">
        <v>165</v>
      </c>
      <c r="F5762">
        <v>58</v>
      </c>
      <c r="G5762">
        <v>4</v>
      </c>
      <c r="H5762">
        <v>31</v>
      </c>
      <c r="I5762">
        <v>195</v>
      </c>
      <c r="J5762">
        <v>1</v>
      </c>
      <c r="K5762">
        <v>544</v>
      </c>
      <c r="L5762">
        <v>704</v>
      </c>
      <c r="M5762">
        <v>1</v>
      </c>
      <c r="N5762">
        <v>1.9804799999999999E-58</v>
      </c>
      <c r="O5762">
        <v>566</v>
      </c>
    </row>
    <row r="5763" spans="1:15" x14ac:dyDescent="0.25">
      <c r="A5763" t="s">
        <v>5776</v>
      </c>
      <c r="B5763">
        <v>365</v>
      </c>
      <c r="C5763" s="1" t="str">
        <f>HYPERLINK("http://www.rosaceae.org/gb/gbrowse/malus_x_domestica/?name=MDP0000149267","MDP0000149267")</f>
        <v>MDP0000149267</v>
      </c>
      <c r="D5763">
        <v>73.69</v>
      </c>
      <c r="E5763">
        <v>346</v>
      </c>
      <c r="F5763">
        <v>91</v>
      </c>
      <c r="G5763">
        <v>0</v>
      </c>
      <c r="H5763">
        <v>20</v>
      </c>
      <c r="I5763">
        <v>365</v>
      </c>
      <c r="J5763">
        <v>1</v>
      </c>
      <c r="K5763">
        <v>18</v>
      </c>
      <c r="L5763">
        <v>363</v>
      </c>
      <c r="M5763">
        <v>1</v>
      </c>
      <c r="N5763">
        <v>4.8272800000000003E-151</v>
      </c>
      <c r="O5763">
        <v>1368</v>
      </c>
    </row>
    <row r="5764" spans="1:15" x14ac:dyDescent="0.25">
      <c r="A5764" t="s">
        <v>5777</v>
      </c>
      <c r="B5764">
        <v>161</v>
      </c>
      <c r="C5764" s="1" t="str">
        <f>HYPERLINK("http://www.rosaceae.org/gb/gbrowse/malus_x_domestica/?name=MDP0000292722","MDP0000292722")</f>
        <v>MDP0000292722</v>
      </c>
      <c r="D5764">
        <v>60.71</v>
      </c>
      <c r="E5764">
        <v>56</v>
      </c>
      <c r="F5764">
        <v>22</v>
      </c>
      <c r="G5764">
        <v>0</v>
      </c>
      <c r="H5764">
        <v>57</v>
      </c>
      <c r="I5764">
        <v>112</v>
      </c>
      <c r="J5764">
        <v>1</v>
      </c>
      <c r="K5764">
        <v>291</v>
      </c>
      <c r="L5764">
        <v>346</v>
      </c>
      <c r="M5764">
        <v>1</v>
      </c>
      <c r="N5764">
        <v>1.43823E-13</v>
      </c>
      <c r="O5764">
        <v>177</v>
      </c>
    </row>
    <row r="5765" spans="1:15" x14ac:dyDescent="0.25">
      <c r="A5765" t="s">
        <v>5778</v>
      </c>
      <c r="B5765">
        <v>871</v>
      </c>
      <c r="C5765" s="1" t="str">
        <f>HYPERLINK("http://www.rosaceae.org/gb/gbrowse/malus_x_domestica/?name=MDP0000162938","MDP0000162938")</f>
        <v>MDP0000162938</v>
      </c>
      <c r="D5765">
        <v>78.03</v>
      </c>
      <c r="E5765">
        <v>874</v>
      </c>
      <c r="F5765">
        <v>192</v>
      </c>
      <c r="G5765">
        <v>3</v>
      </c>
      <c r="H5765">
        <v>1</v>
      </c>
      <c r="I5765">
        <v>871</v>
      </c>
      <c r="J5765">
        <v>1</v>
      </c>
      <c r="K5765">
        <v>1312</v>
      </c>
      <c r="L5765">
        <v>2185</v>
      </c>
      <c r="M5765">
        <v>1</v>
      </c>
      <c r="N5765">
        <v>0</v>
      </c>
      <c r="O5765">
        <v>3592</v>
      </c>
    </row>
    <row r="5766" spans="1:15" x14ac:dyDescent="0.25">
      <c r="A5766" t="s">
        <v>5779</v>
      </c>
      <c r="B5766">
        <v>1647</v>
      </c>
      <c r="C5766" s="1" t="str">
        <f>HYPERLINK("http://www.rosaceae.org/gb/gbrowse/malus_x_domestica/?name=MDP0000411671","MDP0000411671")</f>
        <v>MDP0000411671</v>
      </c>
      <c r="D5766">
        <v>42.62</v>
      </c>
      <c r="E5766">
        <v>312</v>
      </c>
      <c r="F5766">
        <v>179</v>
      </c>
      <c r="G5766">
        <v>17</v>
      </c>
      <c r="H5766">
        <v>1114</v>
      </c>
      <c r="I5766">
        <v>1419</v>
      </c>
      <c r="J5766">
        <v>1</v>
      </c>
      <c r="K5766">
        <v>27</v>
      </c>
      <c r="L5766">
        <v>327</v>
      </c>
      <c r="M5766">
        <v>1</v>
      </c>
      <c r="N5766">
        <v>1.09482E-57</v>
      </c>
      <c r="O5766">
        <v>569</v>
      </c>
    </row>
    <row r="5767" spans="1:15" x14ac:dyDescent="0.25">
      <c r="A5767" t="s">
        <v>5780</v>
      </c>
      <c r="B5767">
        <v>130</v>
      </c>
      <c r="C5767" s="1" t="str">
        <f>HYPERLINK("http://www.rosaceae.org/gb/gbrowse/malus_x_domestica/?name=MDP0000127503","MDP0000127503")</f>
        <v>MDP0000127503</v>
      </c>
      <c r="D5767">
        <v>77.69</v>
      </c>
      <c r="E5767">
        <v>139</v>
      </c>
      <c r="F5767">
        <v>31</v>
      </c>
      <c r="G5767">
        <v>9</v>
      </c>
      <c r="H5767">
        <v>1</v>
      </c>
      <c r="I5767">
        <v>130</v>
      </c>
      <c r="J5767">
        <v>1</v>
      </c>
      <c r="K5767">
        <v>1</v>
      </c>
      <c r="L5767">
        <v>139</v>
      </c>
      <c r="M5767">
        <v>1</v>
      </c>
      <c r="N5767">
        <v>4.1235699999999998E-54</v>
      </c>
      <c r="O5767">
        <v>525</v>
      </c>
    </row>
    <row r="5768" spans="1:15" x14ac:dyDescent="0.25">
      <c r="A5768" t="s">
        <v>5781</v>
      </c>
      <c r="B5768">
        <v>157</v>
      </c>
      <c r="C5768" s="1" t="str">
        <f>HYPERLINK("http://www.rosaceae.org/gb/gbrowse/malus_x_domestica/?name=MDP0000324175","MDP0000324175")</f>
        <v>MDP0000324175</v>
      </c>
      <c r="D5768">
        <v>41.46</v>
      </c>
      <c r="E5768">
        <v>123</v>
      </c>
      <c r="F5768">
        <v>72</v>
      </c>
      <c r="G5768">
        <v>1</v>
      </c>
      <c r="H5768">
        <v>21</v>
      </c>
      <c r="I5768">
        <v>143</v>
      </c>
      <c r="J5768">
        <v>1</v>
      </c>
      <c r="K5768">
        <v>64</v>
      </c>
      <c r="L5768">
        <v>185</v>
      </c>
      <c r="M5768">
        <v>1</v>
      </c>
      <c r="N5768">
        <v>2.8818599999999998E-19</v>
      </c>
      <c r="O5768">
        <v>226</v>
      </c>
    </row>
    <row r="5769" spans="1:15" x14ac:dyDescent="0.25">
      <c r="A5769" t="s">
        <v>5782</v>
      </c>
      <c r="B5769">
        <v>555</v>
      </c>
      <c r="C5769" s="1" t="str">
        <f>HYPERLINK("http://www.rosaceae.org/gb/gbrowse/malus_x_domestica/?name=MDP0000203079","MDP0000203079")</f>
        <v>MDP0000203079</v>
      </c>
      <c r="D5769">
        <v>34.49</v>
      </c>
      <c r="E5769">
        <v>432</v>
      </c>
      <c r="F5769">
        <v>283</v>
      </c>
      <c r="G5769">
        <v>58</v>
      </c>
      <c r="H5769">
        <v>144</v>
      </c>
      <c r="I5769">
        <v>549</v>
      </c>
      <c r="J5769">
        <v>1</v>
      </c>
      <c r="K5769">
        <v>1</v>
      </c>
      <c r="L5769">
        <v>400</v>
      </c>
      <c r="M5769">
        <v>1</v>
      </c>
      <c r="N5769">
        <v>2.4033400000000001E-49</v>
      </c>
      <c r="O5769">
        <v>492</v>
      </c>
    </row>
    <row r="5770" spans="1:15" x14ac:dyDescent="0.25">
      <c r="A5770" t="s">
        <v>5783</v>
      </c>
      <c r="B5770">
        <v>464</v>
      </c>
      <c r="C5770" s="1" t="str">
        <f>HYPERLINK("http://www.rosaceae.org/gb/gbrowse/malus_x_domestica/?name=MDP0000926130","MDP0000926130")</f>
        <v>MDP0000926130</v>
      </c>
      <c r="D5770">
        <v>80.41</v>
      </c>
      <c r="E5770">
        <v>194</v>
      </c>
      <c r="F5770">
        <v>38</v>
      </c>
      <c r="G5770">
        <v>0</v>
      </c>
      <c r="H5770">
        <v>271</v>
      </c>
      <c r="I5770">
        <v>464</v>
      </c>
      <c r="J5770">
        <v>1</v>
      </c>
      <c r="K5770">
        <v>327</v>
      </c>
      <c r="L5770">
        <v>520</v>
      </c>
      <c r="M5770">
        <v>1</v>
      </c>
      <c r="N5770">
        <v>3.1410399999999998E-82</v>
      </c>
      <c r="O5770">
        <v>775</v>
      </c>
    </row>
    <row r="5771" spans="1:15" x14ac:dyDescent="0.25">
      <c r="A5771" t="s">
        <v>5784</v>
      </c>
      <c r="B5771">
        <v>846</v>
      </c>
      <c r="C5771" s="1" t="str">
        <f>HYPERLINK("http://www.rosaceae.org/gb/gbrowse/malus_x_domestica/?name=MDP0000224266","MDP0000224266")</f>
        <v>MDP0000224266</v>
      </c>
      <c r="D5771">
        <v>51.63</v>
      </c>
      <c r="E5771">
        <v>184</v>
      </c>
      <c r="F5771">
        <v>89</v>
      </c>
      <c r="G5771">
        <v>45</v>
      </c>
      <c r="H5771">
        <v>5</v>
      </c>
      <c r="I5771">
        <v>179</v>
      </c>
      <c r="J5771">
        <v>1</v>
      </c>
      <c r="K5771">
        <v>48</v>
      </c>
      <c r="L5771">
        <v>195</v>
      </c>
      <c r="M5771">
        <v>1</v>
      </c>
      <c r="N5771">
        <v>7.5115100000000003E-42</v>
      </c>
      <c r="O5771">
        <v>430</v>
      </c>
    </row>
    <row r="5772" spans="1:15" x14ac:dyDescent="0.25">
      <c r="A5772" t="s">
        <v>5785</v>
      </c>
      <c r="B5772">
        <v>407</v>
      </c>
      <c r="C5772" s="1" t="str">
        <f>HYPERLINK("http://www.rosaceae.org/gb/gbrowse/malus_x_domestica/?name=MDP0000213123","MDP0000213123")</f>
        <v>MDP0000213123</v>
      </c>
      <c r="D5772">
        <v>75</v>
      </c>
      <c r="E5772">
        <v>416</v>
      </c>
      <c r="F5772">
        <v>104</v>
      </c>
      <c r="G5772">
        <v>15</v>
      </c>
      <c r="H5772">
        <v>1</v>
      </c>
      <c r="I5772">
        <v>407</v>
      </c>
      <c r="J5772">
        <v>1</v>
      </c>
      <c r="K5772">
        <v>1</v>
      </c>
      <c r="L5772">
        <v>410</v>
      </c>
      <c r="M5772">
        <v>1</v>
      </c>
      <c r="N5772">
        <v>7.6598699999999995E-173</v>
      </c>
      <c r="O5772">
        <v>1556</v>
      </c>
    </row>
    <row r="5773" spans="1:15" x14ac:dyDescent="0.25">
      <c r="A5773" t="s">
        <v>5786</v>
      </c>
      <c r="B5773">
        <v>129</v>
      </c>
      <c r="C5773" s="1" t="str">
        <f>HYPERLINK("http://www.rosaceae.org/gb/gbrowse/malus_x_domestica/?name=MDP0000138795","MDP0000138795")</f>
        <v>MDP0000138795</v>
      </c>
      <c r="D5773">
        <v>48</v>
      </c>
      <c r="E5773">
        <v>100</v>
      </c>
      <c r="F5773">
        <v>52</v>
      </c>
      <c r="G5773">
        <v>10</v>
      </c>
      <c r="H5773">
        <v>28</v>
      </c>
      <c r="I5773">
        <v>119</v>
      </c>
      <c r="J5773">
        <v>1</v>
      </c>
      <c r="K5773">
        <v>290</v>
      </c>
      <c r="L5773">
        <v>387</v>
      </c>
      <c r="M5773">
        <v>1</v>
      </c>
      <c r="N5773">
        <v>6.8047599999999999E-21</v>
      </c>
      <c r="O5773">
        <v>238</v>
      </c>
    </row>
    <row r="5774" spans="1:15" x14ac:dyDescent="0.25">
      <c r="A5774" t="s">
        <v>5787</v>
      </c>
      <c r="B5774">
        <v>386</v>
      </c>
      <c r="C5774" s="1" t="str">
        <f>HYPERLINK("http://www.rosaceae.org/gb/gbrowse/malus_x_domestica/?name=MDP0000307829","MDP0000307829")</f>
        <v>MDP0000307829</v>
      </c>
      <c r="D5774">
        <v>75</v>
      </c>
      <c r="E5774">
        <v>48</v>
      </c>
      <c r="F5774">
        <v>12</v>
      </c>
      <c r="G5774">
        <v>0</v>
      </c>
      <c r="H5774">
        <v>277</v>
      </c>
      <c r="I5774">
        <v>324</v>
      </c>
      <c r="J5774">
        <v>1</v>
      </c>
      <c r="K5774">
        <v>466</v>
      </c>
      <c r="L5774">
        <v>513</v>
      </c>
      <c r="M5774">
        <v>1</v>
      </c>
      <c r="N5774">
        <v>7.3262900000000002E-16</v>
      </c>
      <c r="O5774">
        <v>202</v>
      </c>
    </row>
    <row r="5775" spans="1:15" x14ac:dyDescent="0.25">
      <c r="A5775" t="s">
        <v>5788</v>
      </c>
      <c r="B5775">
        <v>168</v>
      </c>
      <c r="C5775" s="1" t="str">
        <f>HYPERLINK("http://www.rosaceae.org/gb/gbrowse/malus_x_domestica/?name=MDP0000185125","MDP0000185125")</f>
        <v>MDP0000185125</v>
      </c>
      <c r="D5775">
        <v>31.92</v>
      </c>
      <c r="E5775">
        <v>166</v>
      </c>
      <c r="F5775">
        <v>113</v>
      </c>
      <c r="G5775">
        <v>15</v>
      </c>
      <c r="H5775">
        <v>5</v>
      </c>
      <c r="I5775">
        <v>155</v>
      </c>
      <c r="J5775">
        <v>1</v>
      </c>
      <c r="K5775">
        <v>86</v>
      </c>
      <c r="L5775">
        <v>251</v>
      </c>
      <c r="M5775">
        <v>1</v>
      </c>
      <c r="N5775">
        <v>5.7439600000000002E-14</v>
      </c>
      <c r="O5775">
        <v>181</v>
      </c>
    </row>
    <row r="5776" spans="1:15" x14ac:dyDescent="0.25">
      <c r="A5776" t="s">
        <v>5789</v>
      </c>
      <c r="B5776">
        <v>116</v>
      </c>
      <c r="C5776" s="1" t="str">
        <f>HYPERLINK("http://www.rosaceae.org/gb/gbrowse/malus_x_domestica/?name=MDP0000282668","MDP0000282668")</f>
        <v>MDP0000282668</v>
      </c>
      <c r="D5776">
        <v>53.01</v>
      </c>
      <c r="E5776">
        <v>166</v>
      </c>
      <c r="F5776">
        <v>78</v>
      </c>
      <c r="G5776">
        <v>50</v>
      </c>
      <c r="H5776">
        <v>1</v>
      </c>
      <c r="I5776">
        <v>116</v>
      </c>
      <c r="J5776">
        <v>1</v>
      </c>
      <c r="K5776">
        <v>766</v>
      </c>
      <c r="L5776">
        <v>931</v>
      </c>
      <c r="M5776">
        <v>1</v>
      </c>
      <c r="N5776">
        <v>9.6355299999999996E-40</v>
      </c>
      <c r="O5776">
        <v>400</v>
      </c>
    </row>
    <row r="5777" spans="1:15" x14ac:dyDescent="0.25">
      <c r="A5777" t="s">
        <v>5790</v>
      </c>
      <c r="B5777">
        <v>463</v>
      </c>
      <c r="C5777" s="1" t="str">
        <f>HYPERLINK("http://www.rosaceae.org/gb/gbrowse/malus_x_domestica/?name=MDP0000321751","MDP0000321751")</f>
        <v>MDP0000321751</v>
      </c>
      <c r="D5777">
        <v>80.83</v>
      </c>
      <c r="E5777">
        <v>287</v>
      </c>
      <c r="F5777">
        <v>55</v>
      </c>
      <c r="G5777">
        <v>2</v>
      </c>
      <c r="H5777">
        <v>151</v>
      </c>
      <c r="I5777">
        <v>437</v>
      </c>
      <c r="J5777">
        <v>1</v>
      </c>
      <c r="K5777">
        <v>592</v>
      </c>
      <c r="L5777">
        <v>876</v>
      </c>
      <c r="M5777">
        <v>1</v>
      </c>
      <c r="N5777">
        <v>6.2204299999999998E-133</v>
      </c>
      <c r="O5777">
        <v>1213</v>
      </c>
    </row>
    <row r="5778" spans="1:15" x14ac:dyDescent="0.25">
      <c r="A5778" t="s">
        <v>5791</v>
      </c>
      <c r="B5778">
        <v>509</v>
      </c>
      <c r="C5778" s="1" t="str">
        <f>HYPERLINK("http://www.rosaceae.org/gb/gbrowse/malus_x_domestica/?name=MDP0000295279","MDP0000295279")</f>
        <v>MDP0000295279</v>
      </c>
      <c r="D5778">
        <v>47.58</v>
      </c>
      <c r="E5778">
        <v>538</v>
      </c>
      <c r="F5778">
        <v>282</v>
      </c>
      <c r="G5778">
        <v>66</v>
      </c>
      <c r="H5778">
        <v>23</v>
      </c>
      <c r="I5778">
        <v>505</v>
      </c>
      <c r="J5778">
        <v>1</v>
      </c>
      <c r="K5778">
        <v>29</v>
      </c>
      <c r="L5778">
        <v>555</v>
      </c>
      <c r="M5778">
        <v>1</v>
      </c>
      <c r="N5778">
        <v>6.8648000000000001E-133</v>
      </c>
      <c r="O5778">
        <v>1213</v>
      </c>
    </row>
    <row r="5779" spans="1:15" x14ac:dyDescent="0.25">
      <c r="A5779" t="s">
        <v>5792</v>
      </c>
      <c r="B5779">
        <v>443</v>
      </c>
      <c r="C5779" s="1" t="str">
        <f>HYPERLINK("http://www.rosaceae.org/gb/gbrowse/malus_x_domestica/?name=MDP0000148489","MDP0000148489")</f>
        <v>MDP0000148489</v>
      </c>
      <c r="D5779">
        <v>45.09</v>
      </c>
      <c r="E5779">
        <v>306</v>
      </c>
      <c r="F5779">
        <v>168</v>
      </c>
      <c r="G5779">
        <v>17</v>
      </c>
      <c r="H5779">
        <v>144</v>
      </c>
      <c r="I5779">
        <v>443</v>
      </c>
      <c r="J5779">
        <v>1</v>
      </c>
      <c r="K5779">
        <v>377</v>
      </c>
      <c r="L5779">
        <v>671</v>
      </c>
      <c r="M5779">
        <v>1</v>
      </c>
      <c r="N5779">
        <v>5.5995900000000002E-66</v>
      </c>
      <c r="O5779">
        <v>635</v>
      </c>
    </row>
    <row r="5780" spans="1:15" x14ac:dyDescent="0.25">
      <c r="A5780" t="s">
        <v>5793</v>
      </c>
      <c r="B5780">
        <v>237</v>
      </c>
      <c r="C5780" s="1" t="str">
        <f>HYPERLINK("http://www.rosaceae.org/gb/gbrowse/malus_x_domestica/?name=MDP0000293076","MDP0000293076")</f>
        <v>MDP0000293076</v>
      </c>
      <c r="D5780">
        <v>81.92</v>
      </c>
      <c r="E5780">
        <v>166</v>
      </c>
      <c r="F5780">
        <v>30</v>
      </c>
      <c r="G5780">
        <v>0</v>
      </c>
      <c r="H5780">
        <v>65</v>
      </c>
      <c r="I5780">
        <v>230</v>
      </c>
      <c r="J5780">
        <v>1</v>
      </c>
      <c r="K5780">
        <v>13</v>
      </c>
      <c r="L5780">
        <v>178</v>
      </c>
      <c r="M5780">
        <v>1</v>
      </c>
      <c r="N5780">
        <v>2.7136699999999998E-78</v>
      </c>
      <c r="O5780">
        <v>738</v>
      </c>
    </row>
    <row r="5781" spans="1:15" x14ac:dyDescent="0.25">
      <c r="A5781" t="s">
        <v>5794</v>
      </c>
      <c r="B5781">
        <v>633</v>
      </c>
      <c r="C5781" s="1" t="str">
        <f>HYPERLINK("http://www.rosaceae.org/gb/gbrowse/malus_x_domestica/?name=MDP0000216914","MDP0000216914")</f>
        <v>MDP0000216914</v>
      </c>
      <c r="D5781">
        <v>89.08</v>
      </c>
      <c r="E5781">
        <v>522</v>
      </c>
      <c r="F5781">
        <v>57</v>
      </c>
      <c r="G5781">
        <v>0</v>
      </c>
      <c r="H5781">
        <v>15</v>
      </c>
      <c r="I5781">
        <v>536</v>
      </c>
      <c r="J5781">
        <v>1</v>
      </c>
      <c r="K5781">
        <v>26</v>
      </c>
      <c r="L5781">
        <v>547</v>
      </c>
      <c r="M5781">
        <v>1</v>
      </c>
      <c r="N5781">
        <v>0</v>
      </c>
      <c r="O5781">
        <v>2566</v>
      </c>
    </row>
    <row r="5782" spans="1:15" x14ac:dyDescent="0.25">
      <c r="A5782" t="s">
        <v>5795</v>
      </c>
      <c r="B5782">
        <v>336</v>
      </c>
      <c r="C5782" s="1" t="str">
        <f>HYPERLINK("http://www.rosaceae.org/gb/gbrowse/malus_x_domestica/?name=MDP0000168894","MDP0000168894")</f>
        <v>MDP0000168894</v>
      </c>
      <c r="D5782">
        <v>91.12</v>
      </c>
      <c r="E5782">
        <v>248</v>
      </c>
      <c r="F5782">
        <v>22</v>
      </c>
      <c r="G5782">
        <v>2</v>
      </c>
      <c r="H5782">
        <v>29</v>
      </c>
      <c r="I5782">
        <v>274</v>
      </c>
      <c r="J5782">
        <v>1</v>
      </c>
      <c r="K5782">
        <v>28</v>
      </c>
      <c r="L5782">
        <v>275</v>
      </c>
      <c r="M5782">
        <v>1</v>
      </c>
      <c r="N5782">
        <v>7.4755200000000006E-133</v>
      </c>
      <c r="O5782">
        <v>1210</v>
      </c>
    </row>
    <row r="5783" spans="1:15" x14ac:dyDescent="0.25">
      <c r="A5783" t="s">
        <v>5796</v>
      </c>
      <c r="B5783">
        <v>264</v>
      </c>
      <c r="C5783" s="1" t="str">
        <f>HYPERLINK("http://www.rosaceae.org/gb/gbrowse/malus_x_domestica/?name=MDP0000548690","MDP0000548690")</f>
        <v>MDP0000548690</v>
      </c>
      <c r="D5783">
        <v>42.04</v>
      </c>
      <c r="E5783">
        <v>88</v>
      </c>
      <c r="F5783">
        <v>51</v>
      </c>
      <c r="G5783">
        <v>8</v>
      </c>
      <c r="H5783">
        <v>8</v>
      </c>
      <c r="I5783">
        <v>88</v>
      </c>
      <c r="J5783">
        <v>1</v>
      </c>
      <c r="K5783">
        <v>137</v>
      </c>
      <c r="L5783">
        <v>223</v>
      </c>
      <c r="M5783">
        <v>1</v>
      </c>
      <c r="N5783">
        <v>6.2712100000000004E-15</v>
      </c>
      <c r="O5783">
        <v>192</v>
      </c>
    </row>
    <row r="5784" spans="1:15" x14ac:dyDescent="0.25">
      <c r="A5784" t="s">
        <v>5797</v>
      </c>
      <c r="B5784">
        <v>1115</v>
      </c>
      <c r="C5784" s="1" t="str">
        <f>HYPERLINK("http://www.rosaceae.org/gb/gbrowse/malus_x_domestica/?name=MDP0000319238","MDP0000319238")</f>
        <v>MDP0000319238</v>
      </c>
      <c r="D5784">
        <v>83.7</v>
      </c>
      <c r="E5784">
        <v>1117</v>
      </c>
      <c r="F5784">
        <v>182</v>
      </c>
      <c r="G5784">
        <v>19</v>
      </c>
      <c r="H5784">
        <v>1</v>
      </c>
      <c r="I5784">
        <v>1098</v>
      </c>
      <c r="J5784">
        <v>1</v>
      </c>
      <c r="K5784">
        <v>1</v>
      </c>
      <c r="L5784">
        <v>1117</v>
      </c>
      <c r="M5784">
        <v>1</v>
      </c>
      <c r="N5784">
        <v>0</v>
      </c>
      <c r="O5784">
        <v>4971</v>
      </c>
    </row>
    <row r="5785" spans="1:15" x14ac:dyDescent="0.25">
      <c r="A5785" t="s">
        <v>5798</v>
      </c>
      <c r="B5785">
        <v>1371</v>
      </c>
      <c r="C5785" s="1" t="str">
        <f>HYPERLINK("http://www.rosaceae.org/gb/gbrowse/malus_x_domestica/?name=MDP0000300249","MDP0000300249")</f>
        <v>MDP0000300249</v>
      </c>
      <c r="D5785">
        <v>81.91</v>
      </c>
      <c r="E5785">
        <v>1095</v>
      </c>
      <c r="F5785">
        <v>198</v>
      </c>
      <c r="G5785">
        <v>63</v>
      </c>
      <c r="H5785">
        <v>282</v>
      </c>
      <c r="I5785">
        <v>1371</v>
      </c>
      <c r="J5785">
        <v>1</v>
      </c>
      <c r="K5785">
        <v>368</v>
      </c>
      <c r="L5785">
        <v>1404</v>
      </c>
      <c r="M5785">
        <v>1</v>
      </c>
      <c r="N5785">
        <v>0</v>
      </c>
      <c r="O5785">
        <v>4656</v>
      </c>
    </row>
    <row r="5786" spans="1:15" x14ac:dyDescent="0.25">
      <c r="A5786" t="s">
        <v>5799</v>
      </c>
      <c r="B5786">
        <v>535</v>
      </c>
      <c r="C5786" s="1" t="str">
        <f>HYPERLINK("http://www.rosaceae.org/gb/gbrowse/malus_x_domestica/?name=MDP0000241635","MDP0000241635")</f>
        <v>MDP0000241635</v>
      </c>
      <c r="D5786">
        <v>52.28</v>
      </c>
      <c r="E5786">
        <v>415</v>
      </c>
      <c r="F5786">
        <v>198</v>
      </c>
      <c r="G5786">
        <v>23</v>
      </c>
      <c r="H5786">
        <v>131</v>
      </c>
      <c r="I5786">
        <v>535</v>
      </c>
      <c r="J5786">
        <v>1</v>
      </c>
      <c r="K5786">
        <v>63</v>
      </c>
      <c r="L5786">
        <v>464</v>
      </c>
      <c r="M5786">
        <v>1</v>
      </c>
      <c r="N5786">
        <v>3.0161600000000003E-107</v>
      </c>
      <c r="O5786">
        <v>992</v>
      </c>
    </row>
    <row r="5787" spans="1:15" x14ac:dyDescent="0.25">
      <c r="A5787" t="s">
        <v>5800</v>
      </c>
      <c r="B5787">
        <v>615</v>
      </c>
      <c r="C5787" s="1" t="str">
        <f>HYPERLINK("http://www.rosaceae.org/gb/gbrowse/malus_x_domestica/?name=MDP0000193777","MDP0000193777")</f>
        <v>MDP0000193777</v>
      </c>
      <c r="D5787">
        <v>75.3</v>
      </c>
      <c r="E5787">
        <v>660</v>
      </c>
      <c r="F5787">
        <v>163</v>
      </c>
      <c r="G5787">
        <v>45</v>
      </c>
      <c r="H5787">
        <v>1</v>
      </c>
      <c r="I5787">
        <v>615</v>
      </c>
      <c r="J5787">
        <v>1</v>
      </c>
      <c r="K5787">
        <v>1</v>
      </c>
      <c r="L5787">
        <v>660</v>
      </c>
      <c r="M5787">
        <v>1</v>
      </c>
      <c r="N5787">
        <v>0</v>
      </c>
      <c r="O5787">
        <v>2641</v>
      </c>
    </row>
    <row r="5788" spans="1:15" x14ac:dyDescent="0.25">
      <c r="A5788" t="s">
        <v>5801</v>
      </c>
      <c r="B5788">
        <v>196</v>
      </c>
      <c r="C5788" s="1" t="str">
        <f>HYPERLINK("http://www.rosaceae.org/gb/gbrowse/malus_x_domestica/?name=MDP0000219283","MDP0000219283")</f>
        <v>MDP0000219283</v>
      </c>
      <c r="D5788">
        <v>48.66</v>
      </c>
      <c r="E5788">
        <v>224</v>
      </c>
      <c r="F5788">
        <v>115</v>
      </c>
      <c r="G5788">
        <v>43</v>
      </c>
      <c r="H5788">
        <v>1</v>
      </c>
      <c r="I5788">
        <v>195</v>
      </c>
      <c r="J5788">
        <v>1</v>
      </c>
      <c r="K5788">
        <v>1</v>
      </c>
      <c r="L5788">
        <v>210</v>
      </c>
      <c r="M5788">
        <v>1</v>
      </c>
      <c r="N5788">
        <v>5.4181999999999999E-45</v>
      </c>
      <c r="O5788">
        <v>449</v>
      </c>
    </row>
    <row r="5789" spans="1:15" x14ac:dyDescent="0.25">
      <c r="A5789" t="s">
        <v>5802</v>
      </c>
      <c r="B5789">
        <v>320</v>
      </c>
      <c r="C5789" s="1" t="str">
        <f>HYPERLINK("http://www.rosaceae.org/gb/gbrowse/malus_x_domestica/?name=MDP0000282029","MDP0000282029")</f>
        <v>MDP0000282029</v>
      </c>
      <c r="D5789">
        <v>50.48</v>
      </c>
      <c r="E5789">
        <v>307</v>
      </c>
      <c r="F5789">
        <v>152</v>
      </c>
      <c r="G5789">
        <v>19</v>
      </c>
      <c r="H5789">
        <v>1</v>
      </c>
      <c r="I5789">
        <v>301</v>
      </c>
      <c r="J5789">
        <v>1</v>
      </c>
      <c r="K5789">
        <v>1</v>
      </c>
      <c r="L5789">
        <v>294</v>
      </c>
      <c r="M5789">
        <v>1</v>
      </c>
      <c r="N5789">
        <v>2.4807900000000001E-65</v>
      </c>
      <c r="O5789">
        <v>628</v>
      </c>
    </row>
    <row r="5790" spans="1:15" x14ac:dyDescent="0.25">
      <c r="A5790" t="s">
        <v>5803</v>
      </c>
      <c r="B5790">
        <v>299</v>
      </c>
      <c r="C5790" s="1" t="str">
        <f>HYPERLINK("http://www.rosaceae.org/gb/gbrowse/malus_x_domestica/?name=MDP0000317775","MDP0000317775")</f>
        <v>MDP0000317775</v>
      </c>
      <c r="D5790">
        <v>49.5</v>
      </c>
      <c r="E5790">
        <v>101</v>
      </c>
      <c r="F5790">
        <v>51</v>
      </c>
      <c r="G5790">
        <v>2</v>
      </c>
      <c r="H5790">
        <v>52</v>
      </c>
      <c r="I5790">
        <v>152</v>
      </c>
      <c r="J5790">
        <v>1</v>
      </c>
      <c r="K5790">
        <v>47</v>
      </c>
      <c r="L5790">
        <v>145</v>
      </c>
      <c r="M5790">
        <v>1</v>
      </c>
      <c r="N5790">
        <v>1.00157E-22</v>
      </c>
      <c r="O5790">
        <v>260</v>
      </c>
    </row>
    <row r="5791" spans="1:15" x14ac:dyDescent="0.25">
      <c r="A5791" t="s">
        <v>5804</v>
      </c>
      <c r="B5791">
        <v>647</v>
      </c>
      <c r="C5791" s="1" t="str">
        <f>HYPERLINK("http://www.rosaceae.org/gb/gbrowse/malus_x_domestica/?name=MDP0000172587","MDP0000172587")</f>
        <v>MDP0000172587</v>
      </c>
      <c r="D5791">
        <v>75.650000000000006</v>
      </c>
      <c r="E5791">
        <v>456</v>
      </c>
      <c r="F5791">
        <v>111</v>
      </c>
      <c r="G5791">
        <v>15</v>
      </c>
      <c r="H5791">
        <v>195</v>
      </c>
      <c r="I5791">
        <v>647</v>
      </c>
      <c r="J5791">
        <v>1</v>
      </c>
      <c r="K5791">
        <v>1</v>
      </c>
      <c r="L5791">
        <v>444</v>
      </c>
      <c r="M5791">
        <v>1</v>
      </c>
      <c r="N5791">
        <v>0</v>
      </c>
      <c r="O5791">
        <v>1730</v>
      </c>
    </row>
    <row r="5792" spans="1:15" x14ac:dyDescent="0.25">
      <c r="A5792" t="s">
        <v>5805</v>
      </c>
      <c r="B5792">
        <v>567</v>
      </c>
      <c r="C5792" s="1" t="str">
        <f>HYPERLINK("http://www.rosaceae.org/gb/gbrowse/malus_x_domestica/?name=MDP0000168293","MDP0000168293")</f>
        <v>MDP0000168293</v>
      </c>
      <c r="D5792">
        <v>71.22</v>
      </c>
      <c r="E5792">
        <v>570</v>
      </c>
      <c r="F5792">
        <v>164</v>
      </c>
      <c r="G5792">
        <v>4</v>
      </c>
      <c r="H5792">
        <v>1</v>
      </c>
      <c r="I5792">
        <v>567</v>
      </c>
      <c r="J5792">
        <v>1</v>
      </c>
      <c r="K5792">
        <v>1</v>
      </c>
      <c r="L5792">
        <v>569</v>
      </c>
      <c r="M5792">
        <v>1</v>
      </c>
      <c r="N5792">
        <v>0</v>
      </c>
      <c r="O5792">
        <v>2216</v>
      </c>
    </row>
    <row r="5793" spans="1:15" x14ac:dyDescent="0.25">
      <c r="A5793" t="s">
        <v>5806</v>
      </c>
      <c r="B5793">
        <v>789</v>
      </c>
      <c r="C5793" s="1" t="str">
        <f>HYPERLINK("http://www.rosaceae.org/gb/gbrowse/malus_x_domestica/?name=MDP0000942613","MDP0000942613")</f>
        <v>MDP0000942613</v>
      </c>
      <c r="D5793">
        <v>77.5</v>
      </c>
      <c r="E5793">
        <v>40</v>
      </c>
      <c r="F5793">
        <v>9</v>
      </c>
      <c r="G5793">
        <v>0</v>
      </c>
      <c r="H5793">
        <v>62</v>
      </c>
      <c r="I5793">
        <v>101</v>
      </c>
      <c r="J5793">
        <v>1</v>
      </c>
      <c r="K5793">
        <v>88</v>
      </c>
      <c r="L5793">
        <v>127</v>
      </c>
      <c r="M5793">
        <v>1</v>
      </c>
      <c r="N5793">
        <v>3.5151200000000001E-12</v>
      </c>
      <c r="O5793">
        <v>174</v>
      </c>
    </row>
    <row r="5794" spans="1:15" x14ac:dyDescent="0.25">
      <c r="A5794" t="s">
        <v>5807</v>
      </c>
      <c r="B5794">
        <v>504</v>
      </c>
      <c r="C5794" s="1" t="str">
        <f>HYPERLINK("http://www.rosaceae.org/gb/gbrowse/malus_x_domestica/?name=MDP0000332899","MDP0000332899")</f>
        <v>MDP0000332899</v>
      </c>
      <c r="D5794">
        <v>61.72</v>
      </c>
      <c r="E5794">
        <v>81</v>
      </c>
      <c r="F5794">
        <v>31</v>
      </c>
      <c r="G5794">
        <v>2</v>
      </c>
      <c r="H5794">
        <v>52</v>
      </c>
      <c r="I5794">
        <v>130</v>
      </c>
      <c r="J5794">
        <v>1</v>
      </c>
      <c r="K5794">
        <v>42</v>
      </c>
      <c r="L5794">
        <v>122</v>
      </c>
      <c r="M5794">
        <v>1</v>
      </c>
      <c r="N5794">
        <v>1.1549800000000001E-21</v>
      </c>
      <c r="O5794">
        <v>253</v>
      </c>
    </row>
    <row r="5795" spans="1:15" x14ac:dyDescent="0.25">
      <c r="A5795" t="s">
        <v>5808</v>
      </c>
      <c r="B5795">
        <v>138</v>
      </c>
      <c r="C5795" s="1" t="str">
        <f>HYPERLINK("http://www.rosaceae.org/gb/gbrowse/malus_x_domestica/?name=MDP0000147846","MDP0000147846")</f>
        <v>MDP0000147846</v>
      </c>
      <c r="D5795">
        <v>40.33</v>
      </c>
      <c r="E5795">
        <v>119</v>
      </c>
      <c r="F5795">
        <v>71</v>
      </c>
      <c r="G5795">
        <v>15</v>
      </c>
      <c r="H5795">
        <v>24</v>
      </c>
      <c r="I5795">
        <v>132</v>
      </c>
      <c r="J5795">
        <v>1</v>
      </c>
      <c r="K5795">
        <v>168</v>
      </c>
      <c r="L5795">
        <v>281</v>
      </c>
      <c r="M5795">
        <v>1</v>
      </c>
      <c r="N5795">
        <v>4.9814099999999998E-15</v>
      </c>
      <c r="O5795">
        <v>188</v>
      </c>
    </row>
    <row r="5796" spans="1:15" x14ac:dyDescent="0.25">
      <c r="A5796" t="s">
        <v>5809</v>
      </c>
      <c r="B5796">
        <v>454</v>
      </c>
      <c r="C5796" s="1" t="str">
        <f>HYPERLINK("http://www.rosaceae.org/gb/gbrowse/malus_x_domestica/?name=MDP0000206334","MDP0000206334")</f>
        <v>MDP0000206334</v>
      </c>
      <c r="D5796">
        <v>62.24</v>
      </c>
      <c r="E5796">
        <v>196</v>
      </c>
      <c r="F5796">
        <v>74</v>
      </c>
      <c r="G5796">
        <v>50</v>
      </c>
      <c r="H5796">
        <v>259</v>
      </c>
      <c r="I5796">
        <v>454</v>
      </c>
      <c r="J5796">
        <v>1</v>
      </c>
      <c r="K5796">
        <v>29</v>
      </c>
      <c r="L5796">
        <v>174</v>
      </c>
      <c r="M5796">
        <v>1</v>
      </c>
      <c r="N5796">
        <v>2.1089300000000001E-63</v>
      </c>
      <c r="O5796">
        <v>613</v>
      </c>
    </row>
    <row r="5797" spans="1:15" x14ac:dyDescent="0.25">
      <c r="A5797" t="s">
        <v>5810</v>
      </c>
      <c r="B5797">
        <v>613</v>
      </c>
      <c r="C5797" s="1" t="str">
        <f>HYPERLINK("http://www.rosaceae.org/gb/gbrowse/malus_x_domestica/?name=MDP0000275193","MDP0000275193")</f>
        <v>MDP0000275193</v>
      </c>
      <c r="D5797">
        <v>31.82</v>
      </c>
      <c r="E5797">
        <v>399</v>
      </c>
      <c r="F5797">
        <v>272</v>
      </c>
      <c r="G5797">
        <v>63</v>
      </c>
      <c r="H5797">
        <v>8</v>
      </c>
      <c r="I5797">
        <v>357</v>
      </c>
      <c r="J5797">
        <v>1</v>
      </c>
      <c r="K5797">
        <v>60</v>
      </c>
      <c r="L5797">
        <v>444</v>
      </c>
      <c r="M5797">
        <v>1</v>
      </c>
      <c r="N5797">
        <v>1.5835500000000001E-39</v>
      </c>
      <c r="O5797">
        <v>408</v>
      </c>
    </row>
    <row r="5798" spans="1:15" x14ac:dyDescent="0.25">
      <c r="A5798" t="s">
        <v>5811</v>
      </c>
      <c r="B5798">
        <v>317</v>
      </c>
      <c r="C5798" s="1" t="str">
        <f>HYPERLINK("http://www.rosaceae.org/gb/gbrowse/malus_x_domestica/?name=MDP0000265164","MDP0000265164")</f>
        <v>MDP0000265164</v>
      </c>
      <c r="D5798">
        <v>37.04</v>
      </c>
      <c r="E5798">
        <v>305</v>
      </c>
      <c r="F5798">
        <v>192</v>
      </c>
      <c r="G5798">
        <v>34</v>
      </c>
      <c r="H5798">
        <v>19</v>
      </c>
      <c r="I5798">
        <v>312</v>
      </c>
      <c r="J5798">
        <v>1</v>
      </c>
      <c r="K5798">
        <v>619</v>
      </c>
      <c r="L5798">
        <v>900</v>
      </c>
      <c r="M5798">
        <v>1</v>
      </c>
      <c r="N5798">
        <v>1.36352E-38</v>
      </c>
      <c r="O5798">
        <v>397</v>
      </c>
    </row>
    <row r="5799" spans="1:15" x14ac:dyDescent="0.25">
      <c r="A5799" t="s">
        <v>5812</v>
      </c>
      <c r="B5799">
        <v>160</v>
      </c>
      <c r="C5799" s="1" t="str">
        <f>HYPERLINK("http://www.rosaceae.org/gb/gbrowse/malus_x_domestica/?name=MDP0000325964","MDP0000325964")</f>
        <v>MDP0000325964</v>
      </c>
      <c r="D5799">
        <v>88.05</v>
      </c>
      <c r="E5799">
        <v>159</v>
      </c>
      <c r="F5799">
        <v>19</v>
      </c>
      <c r="G5799">
        <v>1</v>
      </c>
      <c r="H5799">
        <v>1</v>
      </c>
      <c r="I5799">
        <v>159</v>
      </c>
      <c r="J5799">
        <v>1</v>
      </c>
      <c r="K5799">
        <v>18</v>
      </c>
      <c r="L5799">
        <v>175</v>
      </c>
      <c r="M5799">
        <v>1</v>
      </c>
      <c r="N5799">
        <v>5.4174400000000001E-77</v>
      </c>
      <c r="O5799">
        <v>724</v>
      </c>
    </row>
    <row r="5800" spans="1:15" x14ac:dyDescent="0.25">
      <c r="A5800" t="s">
        <v>5813</v>
      </c>
      <c r="B5800">
        <v>611</v>
      </c>
      <c r="C5800" s="1" t="str">
        <f>HYPERLINK("http://www.rosaceae.org/gb/gbrowse/malus_x_domestica/?name=MDP0000321643","MDP0000321643")</f>
        <v>MDP0000321643</v>
      </c>
      <c r="D5800">
        <v>64.040000000000006</v>
      </c>
      <c r="E5800">
        <v>484</v>
      </c>
      <c r="F5800">
        <v>174</v>
      </c>
      <c r="G5800">
        <v>28</v>
      </c>
      <c r="H5800">
        <v>125</v>
      </c>
      <c r="I5800">
        <v>588</v>
      </c>
      <c r="J5800">
        <v>1</v>
      </c>
      <c r="K5800">
        <v>84</v>
      </c>
      <c r="L5800">
        <v>559</v>
      </c>
      <c r="M5800">
        <v>1</v>
      </c>
      <c r="N5800">
        <v>3.2195300000000001E-168</v>
      </c>
      <c r="O5800">
        <v>1518</v>
      </c>
    </row>
    <row r="5801" spans="1:15" x14ac:dyDescent="0.25">
      <c r="A5801" t="s">
        <v>5814</v>
      </c>
      <c r="B5801">
        <v>566</v>
      </c>
      <c r="C5801" s="1" t="str">
        <f>HYPERLINK("http://www.rosaceae.org/gb/gbrowse/malus_x_domestica/?name=MDP0000209022","MDP0000209022")</f>
        <v>MDP0000209022</v>
      </c>
      <c r="D5801">
        <v>76.099999999999994</v>
      </c>
      <c r="E5801">
        <v>586</v>
      </c>
      <c r="F5801">
        <v>140</v>
      </c>
      <c r="G5801">
        <v>52</v>
      </c>
      <c r="H5801">
        <v>25</v>
      </c>
      <c r="I5801">
        <v>566</v>
      </c>
      <c r="J5801">
        <v>1</v>
      </c>
      <c r="K5801">
        <v>25</v>
      </c>
      <c r="L5801">
        <v>602</v>
      </c>
      <c r="M5801">
        <v>1</v>
      </c>
      <c r="N5801">
        <v>0</v>
      </c>
      <c r="O5801">
        <v>2364</v>
      </c>
    </row>
    <row r="5802" spans="1:15" x14ac:dyDescent="0.25">
      <c r="A5802" t="s">
        <v>5815</v>
      </c>
      <c r="B5802">
        <v>340</v>
      </c>
      <c r="C5802" s="1" t="str">
        <f>HYPERLINK("http://www.rosaceae.org/gb/gbrowse/malus_x_domestica/?name=MDP0000229285","MDP0000229285")</f>
        <v>MDP0000229285</v>
      </c>
      <c r="D5802">
        <v>47.93</v>
      </c>
      <c r="E5802">
        <v>363</v>
      </c>
      <c r="F5802">
        <v>189</v>
      </c>
      <c r="G5802">
        <v>38</v>
      </c>
      <c r="H5802">
        <v>2</v>
      </c>
      <c r="I5802">
        <v>340</v>
      </c>
      <c r="J5802">
        <v>1</v>
      </c>
      <c r="K5802">
        <v>77</v>
      </c>
      <c r="L5802">
        <v>425</v>
      </c>
      <c r="M5802">
        <v>1</v>
      </c>
      <c r="N5802">
        <v>6.5447800000000001E-75</v>
      </c>
      <c r="O5802">
        <v>711</v>
      </c>
    </row>
    <row r="5803" spans="1:15" x14ac:dyDescent="0.25">
      <c r="A5803" t="s">
        <v>5816</v>
      </c>
      <c r="B5803">
        <v>341</v>
      </c>
      <c r="C5803" s="1" t="str">
        <f>HYPERLINK("http://www.rosaceae.org/gb/gbrowse/malus_x_domestica/?name=MDP0000538003","MDP0000538003")</f>
        <v>MDP0000538003</v>
      </c>
      <c r="D5803">
        <v>70.83</v>
      </c>
      <c r="E5803">
        <v>48</v>
      </c>
      <c r="F5803">
        <v>14</v>
      </c>
      <c r="G5803">
        <v>0</v>
      </c>
      <c r="H5803">
        <v>212</v>
      </c>
      <c r="I5803">
        <v>259</v>
      </c>
      <c r="J5803">
        <v>1</v>
      </c>
      <c r="K5803">
        <v>248</v>
      </c>
      <c r="L5803">
        <v>295</v>
      </c>
      <c r="M5803">
        <v>1</v>
      </c>
      <c r="N5803">
        <v>2.58339E-15</v>
      </c>
      <c r="O5803">
        <v>197</v>
      </c>
    </row>
    <row r="5804" spans="1:15" x14ac:dyDescent="0.25">
      <c r="A5804" t="s">
        <v>5817</v>
      </c>
      <c r="B5804">
        <v>1137</v>
      </c>
      <c r="C5804" s="1" t="str">
        <f>HYPERLINK("http://www.rosaceae.org/gb/gbrowse/malus_x_domestica/?name=MDP0000734561","MDP0000734561")</f>
        <v>MDP0000734561</v>
      </c>
      <c r="D5804">
        <v>47.83</v>
      </c>
      <c r="E5804">
        <v>945</v>
      </c>
      <c r="F5804">
        <v>493</v>
      </c>
      <c r="G5804">
        <v>43</v>
      </c>
      <c r="H5804">
        <v>140</v>
      </c>
      <c r="I5804">
        <v>1060</v>
      </c>
      <c r="J5804">
        <v>1</v>
      </c>
      <c r="K5804">
        <v>166</v>
      </c>
      <c r="L5804">
        <v>1091</v>
      </c>
      <c r="M5804">
        <v>1</v>
      </c>
      <c r="N5804">
        <v>0</v>
      </c>
      <c r="O5804">
        <v>1999</v>
      </c>
    </row>
    <row r="5805" spans="1:15" x14ac:dyDescent="0.25">
      <c r="A5805" t="s">
        <v>5818</v>
      </c>
      <c r="B5805">
        <v>139</v>
      </c>
      <c r="C5805" s="1" t="str">
        <f>HYPERLINK("http://www.rosaceae.org/gb/gbrowse/malus_x_domestica/?name=MDP0000719216","MDP0000719216")</f>
        <v>MDP0000719216</v>
      </c>
      <c r="D5805">
        <v>60.78</v>
      </c>
      <c r="E5805">
        <v>51</v>
      </c>
      <c r="F5805">
        <v>20</v>
      </c>
      <c r="G5805">
        <v>4</v>
      </c>
      <c r="H5805">
        <v>1</v>
      </c>
      <c r="I5805">
        <v>51</v>
      </c>
      <c r="J5805">
        <v>1</v>
      </c>
      <c r="K5805">
        <v>1</v>
      </c>
      <c r="L5805">
        <v>47</v>
      </c>
      <c r="M5805">
        <v>1</v>
      </c>
      <c r="N5805">
        <v>2.9157000000000001E-10</v>
      </c>
      <c r="O5805">
        <v>147</v>
      </c>
    </row>
    <row r="5806" spans="1:15" x14ac:dyDescent="0.25">
      <c r="A5806" t="s">
        <v>5819</v>
      </c>
      <c r="B5806">
        <v>476</v>
      </c>
      <c r="C5806" s="1" t="str">
        <f>HYPERLINK("http://www.rosaceae.org/gb/gbrowse/malus_x_domestica/?name=MDP0000196404","MDP0000196404")</f>
        <v>MDP0000196404</v>
      </c>
      <c r="D5806">
        <v>63.5</v>
      </c>
      <c r="E5806">
        <v>474</v>
      </c>
      <c r="F5806">
        <v>173</v>
      </c>
      <c r="G5806">
        <v>6</v>
      </c>
      <c r="H5806">
        <v>4</v>
      </c>
      <c r="I5806">
        <v>476</v>
      </c>
      <c r="J5806">
        <v>1</v>
      </c>
      <c r="K5806">
        <v>1</v>
      </c>
      <c r="L5806">
        <v>469</v>
      </c>
      <c r="M5806">
        <v>1</v>
      </c>
      <c r="N5806">
        <v>1.1712099999999999E-174</v>
      </c>
      <c r="O5806">
        <v>1572</v>
      </c>
    </row>
    <row r="5807" spans="1:15" x14ac:dyDescent="0.25">
      <c r="A5807" t="s">
        <v>5820</v>
      </c>
      <c r="B5807">
        <v>387</v>
      </c>
      <c r="C5807" s="1" t="str">
        <f>HYPERLINK("http://www.rosaceae.org/gb/gbrowse/malus_x_domestica/?name=MDP0000706828","MDP0000706828")</f>
        <v>MDP0000706828</v>
      </c>
      <c r="D5807">
        <v>58.47</v>
      </c>
      <c r="E5807">
        <v>354</v>
      </c>
      <c r="F5807">
        <v>147</v>
      </c>
      <c r="G5807">
        <v>4</v>
      </c>
      <c r="H5807">
        <v>35</v>
      </c>
      <c r="I5807">
        <v>385</v>
      </c>
      <c r="J5807">
        <v>1</v>
      </c>
      <c r="K5807">
        <v>209</v>
      </c>
      <c r="L5807">
        <v>561</v>
      </c>
      <c r="M5807">
        <v>1</v>
      </c>
      <c r="N5807">
        <v>7.0665200000000001E-124</v>
      </c>
      <c r="O5807">
        <v>1134</v>
      </c>
    </row>
    <row r="5808" spans="1:15" x14ac:dyDescent="0.25">
      <c r="A5808" t="s">
        <v>5821</v>
      </c>
      <c r="B5808">
        <v>449</v>
      </c>
      <c r="C5808" s="1" t="str">
        <f>HYPERLINK("http://www.rosaceae.org/gb/gbrowse/malus_x_domestica/?name=MDP0000864594","MDP0000864594")</f>
        <v>MDP0000864594</v>
      </c>
      <c r="D5808">
        <v>51.61</v>
      </c>
      <c r="E5808">
        <v>465</v>
      </c>
      <c r="F5808">
        <v>225</v>
      </c>
      <c r="G5808">
        <v>61</v>
      </c>
      <c r="H5808">
        <v>1</v>
      </c>
      <c r="I5808">
        <v>447</v>
      </c>
      <c r="J5808">
        <v>1</v>
      </c>
      <c r="K5808">
        <v>1</v>
      </c>
      <c r="L5808">
        <v>422</v>
      </c>
      <c r="M5808">
        <v>1</v>
      </c>
      <c r="N5808">
        <v>4.7064699999999999E-122</v>
      </c>
      <c r="O5808">
        <v>1119</v>
      </c>
    </row>
    <row r="5809" spans="1:15" x14ac:dyDescent="0.25">
      <c r="A5809" t="s">
        <v>5822</v>
      </c>
      <c r="B5809">
        <v>212</v>
      </c>
      <c r="C5809" s="1" t="str">
        <f>HYPERLINK("http://www.rosaceae.org/gb/gbrowse/malus_x_domestica/?name=MDP0000307862","MDP0000307862")</f>
        <v>MDP0000307862</v>
      </c>
      <c r="D5809">
        <v>34.14</v>
      </c>
      <c r="E5809">
        <v>164</v>
      </c>
      <c r="F5809">
        <v>108</v>
      </c>
      <c r="G5809">
        <v>15</v>
      </c>
      <c r="H5809">
        <v>16</v>
      </c>
      <c r="I5809">
        <v>169</v>
      </c>
      <c r="J5809">
        <v>1</v>
      </c>
      <c r="K5809">
        <v>1084</v>
      </c>
      <c r="L5809">
        <v>1242</v>
      </c>
      <c r="M5809">
        <v>1</v>
      </c>
      <c r="N5809">
        <v>1.6657700000000001E-16</v>
      </c>
      <c r="O5809">
        <v>204</v>
      </c>
    </row>
    <row r="5810" spans="1:15" x14ac:dyDescent="0.25">
      <c r="A5810" t="s">
        <v>5823</v>
      </c>
      <c r="B5810">
        <v>512</v>
      </c>
      <c r="C5810" s="1" t="str">
        <f>HYPERLINK("http://www.rosaceae.org/gb/gbrowse/malus_x_domestica/?name=MDP0000157430","MDP0000157430")</f>
        <v>MDP0000157430</v>
      </c>
      <c r="D5810">
        <v>87.17</v>
      </c>
      <c r="E5810">
        <v>429</v>
      </c>
      <c r="F5810">
        <v>55</v>
      </c>
      <c r="G5810">
        <v>2</v>
      </c>
      <c r="H5810">
        <v>84</v>
      </c>
      <c r="I5810">
        <v>512</v>
      </c>
      <c r="J5810">
        <v>1</v>
      </c>
      <c r="K5810">
        <v>217</v>
      </c>
      <c r="L5810">
        <v>643</v>
      </c>
      <c r="M5810">
        <v>1</v>
      </c>
      <c r="N5810">
        <v>0</v>
      </c>
      <c r="O5810">
        <v>2035</v>
      </c>
    </row>
    <row r="5811" spans="1:15" x14ac:dyDescent="0.25">
      <c r="A5811" t="s">
        <v>5824</v>
      </c>
      <c r="B5811">
        <v>812</v>
      </c>
      <c r="C5811" s="1" t="str">
        <f>HYPERLINK("http://www.rosaceae.org/gb/gbrowse/malus_x_domestica/?name=MDP0000220167","MDP0000220167")</f>
        <v>MDP0000220167</v>
      </c>
      <c r="D5811">
        <v>72.55</v>
      </c>
      <c r="E5811">
        <v>838</v>
      </c>
      <c r="F5811">
        <v>230</v>
      </c>
      <c r="G5811">
        <v>27</v>
      </c>
      <c r="H5811">
        <v>2</v>
      </c>
      <c r="I5811">
        <v>812</v>
      </c>
      <c r="J5811">
        <v>1</v>
      </c>
      <c r="K5811">
        <v>9</v>
      </c>
      <c r="L5811">
        <v>846</v>
      </c>
      <c r="M5811">
        <v>1</v>
      </c>
      <c r="N5811">
        <v>0</v>
      </c>
      <c r="O5811">
        <v>3204</v>
      </c>
    </row>
    <row r="5812" spans="1:15" x14ac:dyDescent="0.25">
      <c r="A5812" t="s">
        <v>5825</v>
      </c>
      <c r="B5812">
        <v>188</v>
      </c>
      <c r="C5812" s="1" t="str">
        <f>HYPERLINK("http://www.rosaceae.org/gb/gbrowse/malus_x_domestica/?name=MDP0000302021","MDP0000302021")</f>
        <v>MDP0000302021</v>
      </c>
      <c r="D5812">
        <v>62.12</v>
      </c>
      <c r="E5812">
        <v>198</v>
      </c>
      <c r="F5812">
        <v>75</v>
      </c>
      <c r="G5812">
        <v>10</v>
      </c>
      <c r="H5812">
        <v>1</v>
      </c>
      <c r="I5812">
        <v>188</v>
      </c>
      <c r="J5812">
        <v>1</v>
      </c>
      <c r="K5812">
        <v>1</v>
      </c>
      <c r="L5812">
        <v>198</v>
      </c>
      <c r="M5812">
        <v>1</v>
      </c>
      <c r="N5812">
        <v>4.8235799999999998E-59</v>
      </c>
      <c r="O5812">
        <v>570</v>
      </c>
    </row>
    <row r="5813" spans="1:15" x14ac:dyDescent="0.25">
      <c r="A5813" t="s">
        <v>5826</v>
      </c>
      <c r="B5813">
        <v>192</v>
      </c>
      <c r="C5813" s="1" t="str">
        <f>HYPERLINK("http://www.rosaceae.org/gb/gbrowse/malus_x_domestica/?name=MDP0000668869","MDP0000668869")</f>
        <v>MDP0000668869</v>
      </c>
      <c r="D5813">
        <v>58.13</v>
      </c>
      <c r="E5813">
        <v>86</v>
      </c>
      <c r="F5813">
        <v>36</v>
      </c>
      <c r="G5813">
        <v>5</v>
      </c>
      <c r="H5813">
        <v>1</v>
      </c>
      <c r="I5813">
        <v>86</v>
      </c>
      <c r="J5813">
        <v>1</v>
      </c>
      <c r="K5813">
        <v>167</v>
      </c>
      <c r="L5813">
        <v>247</v>
      </c>
      <c r="M5813">
        <v>1</v>
      </c>
      <c r="N5813">
        <v>2.2924000000000002E-19</v>
      </c>
      <c r="O5813">
        <v>228</v>
      </c>
    </row>
    <row r="5814" spans="1:15" x14ac:dyDescent="0.25">
      <c r="A5814" t="s">
        <v>5827</v>
      </c>
      <c r="B5814">
        <v>798</v>
      </c>
      <c r="C5814" s="1" t="str">
        <f>HYPERLINK("http://www.rosaceae.org/gb/gbrowse/malus_x_domestica/?name=MDP0000231819","MDP0000231819")</f>
        <v>MDP0000231819</v>
      </c>
      <c r="D5814">
        <v>84.89</v>
      </c>
      <c r="E5814">
        <v>503</v>
      </c>
      <c r="F5814">
        <v>76</v>
      </c>
      <c r="G5814">
        <v>13</v>
      </c>
      <c r="H5814">
        <v>301</v>
      </c>
      <c r="I5814">
        <v>798</v>
      </c>
      <c r="J5814">
        <v>1</v>
      </c>
      <c r="K5814">
        <v>115</v>
      </c>
      <c r="L5814">
        <v>609</v>
      </c>
      <c r="M5814">
        <v>1</v>
      </c>
      <c r="N5814">
        <v>0</v>
      </c>
      <c r="O5814">
        <v>2273</v>
      </c>
    </row>
    <row r="5815" spans="1:15" x14ac:dyDescent="0.25">
      <c r="A5815" t="s">
        <v>5828</v>
      </c>
      <c r="B5815">
        <v>505</v>
      </c>
      <c r="C5815" s="1" t="str">
        <f>HYPERLINK("http://www.rosaceae.org/gb/gbrowse/malus_x_domestica/?name=MDP0000319563","MDP0000319563")</f>
        <v>MDP0000319563</v>
      </c>
      <c r="D5815">
        <v>51.84</v>
      </c>
      <c r="E5815">
        <v>461</v>
      </c>
      <c r="F5815">
        <v>222</v>
      </c>
      <c r="G5815">
        <v>47</v>
      </c>
      <c r="H5815">
        <v>5</v>
      </c>
      <c r="I5815">
        <v>444</v>
      </c>
      <c r="J5815">
        <v>1</v>
      </c>
      <c r="K5815">
        <v>73</v>
      </c>
      <c r="L5815">
        <v>507</v>
      </c>
      <c r="M5815">
        <v>1</v>
      </c>
      <c r="N5815">
        <v>1.1071499999999999E-118</v>
      </c>
      <c r="O5815">
        <v>1090</v>
      </c>
    </row>
    <row r="5816" spans="1:15" x14ac:dyDescent="0.25">
      <c r="A5816" t="s">
        <v>5829</v>
      </c>
      <c r="B5816">
        <v>165</v>
      </c>
      <c r="C5816" s="1" t="str">
        <f>HYPERLINK("http://www.rosaceae.org/gb/gbrowse/malus_x_domestica/?name=MDP0000187841","MDP0000187841")</f>
        <v>MDP0000187841</v>
      </c>
      <c r="D5816">
        <v>80.819999999999993</v>
      </c>
      <c r="E5816">
        <v>146</v>
      </c>
      <c r="F5816">
        <v>28</v>
      </c>
      <c r="G5816">
        <v>0</v>
      </c>
      <c r="H5816">
        <v>18</v>
      </c>
      <c r="I5816">
        <v>163</v>
      </c>
      <c r="J5816">
        <v>1</v>
      </c>
      <c r="K5816">
        <v>6</v>
      </c>
      <c r="L5816">
        <v>151</v>
      </c>
      <c r="M5816">
        <v>1</v>
      </c>
      <c r="N5816">
        <v>4.3247900000000001E-69</v>
      </c>
      <c r="O5816">
        <v>656</v>
      </c>
    </row>
    <row r="5817" spans="1:15" x14ac:dyDescent="0.25">
      <c r="A5817" t="s">
        <v>5830</v>
      </c>
      <c r="B5817">
        <v>688</v>
      </c>
      <c r="C5817" s="1" t="str">
        <f>HYPERLINK("http://www.rosaceae.org/gb/gbrowse/malus_x_domestica/?name=MDP0000148377","MDP0000148377")</f>
        <v>MDP0000148377</v>
      </c>
      <c r="D5817">
        <v>62.34</v>
      </c>
      <c r="E5817">
        <v>656</v>
      </c>
      <c r="F5817">
        <v>247</v>
      </c>
      <c r="G5817">
        <v>6</v>
      </c>
      <c r="H5817">
        <v>37</v>
      </c>
      <c r="I5817">
        <v>688</v>
      </c>
      <c r="J5817">
        <v>1</v>
      </c>
      <c r="K5817">
        <v>19</v>
      </c>
      <c r="L5817">
        <v>672</v>
      </c>
      <c r="M5817">
        <v>1</v>
      </c>
      <c r="N5817">
        <v>0</v>
      </c>
      <c r="O5817">
        <v>2106</v>
      </c>
    </row>
    <row r="5818" spans="1:15" x14ac:dyDescent="0.25">
      <c r="A5818" t="s">
        <v>5831</v>
      </c>
      <c r="B5818">
        <v>780</v>
      </c>
      <c r="C5818" s="1" t="str">
        <f>HYPERLINK("http://www.rosaceae.org/gb/gbrowse/malus_x_domestica/?name=MDP0000191807","MDP0000191807")</f>
        <v>MDP0000191807</v>
      </c>
      <c r="D5818">
        <v>33.72</v>
      </c>
      <c r="E5818">
        <v>258</v>
      </c>
      <c r="F5818">
        <v>171</v>
      </c>
      <c r="G5818">
        <v>35</v>
      </c>
      <c r="H5818">
        <v>445</v>
      </c>
      <c r="I5818">
        <v>689</v>
      </c>
      <c r="J5818">
        <v>1</v>
      </c>
      <c r="K5818">
        <v>95</v>
      </c>
      <c r="L5818">
        <v>330</v>
      </c>
      <c r="M5818">
        <v>1</v>
      </c>
      <c r="N5818">
        <v>4.9198499999999997E-15</v>
      </c>
      <c r="O5818">
        <v>198</v>
      </c>
    </row>
    <row r="5819" spans="1:15" x14ac:dyDescent="0.25">
      <c r="A5819" t="s">
        <v>5832</v>
      </c>
      <c r="B5819">
        <v>107</v>
      </c>
      <c r="C5819" s="1" t="str">
        <f>HYPERLINK("http://www.rosaceae.org/gb/gbrowse/malus_x_domestica/?name=MDP0000297823","MDP0000297823")</f>
        <v>MDP0000297823</v>
      </c>
      <c r="D5819">
        <v>76.47</v>
      </c>
      <c r="E5819">
        <v>68</v>
      </c>
      <c r="F5819">
        <v>16</v>
      </c>
      <c r="G5819">
        <v>2</v>
      </c>
      <c r="H5819">
        <v>8</v>
      </c>
      <c r="I5819">
        <v>73</v>
      </c>
      <c r="J5819">
        <v>1</v>
      </c>
      <c r="K5819">
        <v>251</v>
      </c>
      <c r="L5819">
        <v>318</v>
      </c>
      <c r="M5819">
        <v>1</v>
      </c>
      <c r="N5819">
        <v>1.05613E-24</v>
      </c>
      <c r="O5819">
        <v>270</v>
      </c>
    </row>
    <row r="5820" spans="1:15" x14ac:dyDescent="0.25">
      <c r="A5820" t="s">
        <v>5833</v>
      </c>
      <c r="B5820">
        <v>770</v>
      </c>
      <c r="C5820" s="1" t="str">
        <f>HYPERLINK("http://www.rosaceae.org/gb/gbrowse/malus_x_domestica/?name=MDP0000486046","MDP0000486046")</f>
        <v>MDP0000486046</v>
      </c>
      <c r="D5820">
        <v>47.44</v>
      </c>
      <c r="E5820">
        <v>352</v>
      </c>
      <c r="F5820">
        <v>185</v>
      </c>
      <c r="G5820">
        <v>73</v>
      </c>
      <c r="H5820">
        <v>426</v>
      </c>
      <c r="I5820">
        <v>770</v>
      </c>
      <c r="J5820">
        <v>1</v>
      </c>
      <c r="K5820">
        <v>571</v>
      </c>
      <c r="L5820">
        <v>856</v>
      </c>
      <c r="M5820">
        <v>1</v>
      </c>
      <c r="N5820">
        <v>3.9199599999999999E-56</v>
      </c>
      <c r="O5820">
        <v>552</v>
      </c>
    </row>
    <row r="5821" spans="1:15" x14ac:dyDescent="0.25">
      <c r="A5821" t="s">
        <v>5834</v>
      </c>
      <c r="B5821">
        <v>718</v>
      </c>
      <c r="C5821" s="1" t="str">
        <f>HYPERLINK("http://www.rosaceae.org/gb/gbrowse/malus_x_domestica/?name=MDP0000312242","MDP0000312242")</f>
        <v>MDP0000312242</v>
      </c>
      <c r="D5821">
        <v>74.58</v>
      </c>
      <c r="E5821">
        <v>543</v>
      </c>
      <c r="F5821">
        <v>138</v>
      </c>
      <c r="G5821">
        <v>5</v>
      </c>
      <c r="H5821">
        <v>181</v>
      </c>
      <c r="I5821">
        <v>718</v>
      </c>
      <c r="J5821">
        <v>1</v>
      </c>
      <c r="K5821">
        <v>1</v>
      </c>
      <c r="L5821">
        <v>543</v>
      </c>
      <c r="M5821">
        <v>1</v>
      </c>
      <c r="N5821">
        <v>0</v>
      </c>
      <c r="O5821">
        <v>1959</v>
      </c>
    </row>
    <row r="5822" spans="1:15" x14ac:dyDescent="0.25">
      <c r="A5822" t="s">
        <v>5835</v>
      </c>
      <c r="B5822">
        <v>127</v>
      </c>
      <c r="C5822" s="1" t="str">
        <f>HYPERLINK("http://www.rosaceae.org/gb/gbrowse/malus_x_domestica/?name=MDP0000126820","MDP0000126820")</f>
        <v>MDP0000126820</v>
      </c>
      <c r="D5822">
        <v>62.06</v>
      </c>
      <c r="E5822">
        <v>58</v>
      </c>
      <c r="F5822">
        <v>22</v>
      </c>
      <c r="G5822">
        <v>6</v>
      </c>
      <c r="H5822">
        <v>22</v>
      </c>
      <c r="I5822">
        <v>75</v>
      </c>
      <c r="J5822">
        <v>1</v>
      </c>
      <c r="K5822">
        <v>330</v>
      </c>
      <c r="L5822">
        <v>385</v>
      </c>
      <c r="M5822">
        <v>1</v>
      </c>
      <c r="N5822">
        <v>7.1461900000000003E-11</v>
      </c>
      <c r="O5822">
        <v>152</v>
      </c>
    </row>
    <row r="5823" spans="1:15" x14ac:dyDescent="0.25">
      <c r="A5823" t="s">
        <v>5836</v>
      </c>
      <c r="B5823">
        <v>213</v>
      </c>
      <c r="C5823" s="1" t="str">
        <f>HYPERLINK("http://www.rosaceae.org/gb/gbrowse/malus_x_domestica/?name=MDP0000171111","MDP0000171111")</f>
        <v>MDP0000171111</v>
      </c>
      <c r="D5823">
        <v>31.55</v>
      </c>
      <c r="E5823">
        <v>206</v>
      </c>
      <c r="F5823">
        <v>141</v>
      </c>
      <c r="G5823">
        <v>50</v>
      </c>
      <c r="H5823">
        <v>52</v>
      </c>
      <c r="I5823">
        <v>212</v>
      </c>
      <c r="J5823">
        <v>1</v>
      </c>
      <c r="K5823">
        <v>155</v>
      </c>
      <c r="L5823">
        <v>355</v>
      </c>
      <c r="M5823">
        <v>1</v>
      </c>
      <c r="N5823">
        <v>4.8531200000000002E-13</v>
      </c>
      <c r="O5823">
        <v>174</v>
      </c>
    </row>
    <row r="5824" spans="1:15" x14ac:dyDescent="0.25">
      <c r="A5824" t="s">
        <v>5837</v>
      </c>
      <c r="B5824">
        <v>198</v>
      </c>
      <c r="C5824" s="1" t="str">
        <f>HYPERLINK("http://www.rosaceae.org/gb/gbrowse/malus_x_domestica/?name=MDP0000613781","MDP0000613781")</f>
        <v>MDP0000613781</v>
      </c>
      <c r="D5824">
        <v>85.96</v>
      </c>
      <c r="E5824">
        <v>57</v>
      </c>
      <c r="F5824">
        <v>8</v>
      </c>
      <c r="G5824">
        <v>0</v>
      </c>
      <c r="H5824">
        <v>141</v>
      </c>
      <c r="I5824">
        <v>197</v>
      </c>
      <c r="J5824">
        <v>1</v>
      </c>
      <c r="K5824">
        <v>65</v>
      </c>
      <c r="L5824">
        <v>121</v>
      </c>
      <c r="M5824">
        <v>1</v>
      </c>
      <c r="N5824">
        <v>3.5458599999999998E-23</v>
      </c>
      <c r="O5824">
        <v>261</v>
      </c>
    </row>
    <row r="5825" spans="1:15" x14ac:dyDescent="0.25">
      <c r="A5825" t="s">
        <v>5838</v>
      </c>
      <c r="B5825">
        <v>171</v>
      </c>
      <c r="C5825" s="1" t="str">
        <f>HYPERLINK("http://www.rosaceae.org/gb/gbrowse/malus_x_domestica/?name=MDP0000334079","MDP0000334079")</f>
        <v>MDP0000334079</v>
      </c>
      <c r="D5825">
        <v>80.37</v>
      </c>
      <c r="E5825">
        <v>158</v>
      </c>
      <c r="F5825">
        <v>31</v>
      </c>
      <c r="G5825">
        <v>0</v>
      </c>
      <c r="H5825">
        <v>14</v>
      </c>
      <c r="I5825">
        <v>171</v>
      </c>
      <c r="J5825">
        <v>1</v>
      </c>
      <c r="K5825">
        <v>39</v>
      </c>
      <c r="L5825">
        <v>196</v>
      </c>
      <c r="M5825">
        <v>1</v>
      </c>
      <c r="N5825">
        <v>1.9395099999999999E-72</v>
      </c>
      <c r="O5825">
        <v>685</v>
      </c>
    </row>
    <row r="5826" spans="1:15" x14ac:dyDescent="0.25">
      <c r="A5826" t="s">
        <v>5839</v>
      </c>
      <c r="B5826">
        <v>155</v>
      </c>
      <c r="C5826" s="1" t="str">
        <f>HYPERLINK("http://www.rosaceae.org/gb/gbrowse/malus_x_domestica/?name=MDP0000258269","MDP0000258269")</f>
        <v>MDP0000258269</v>
      </c>
      <c r="D5826">
        <v>40.39</v>
      </c>
      <c r="E5826">
        <v>151</v>
      </c>
      <c r="F5826">
        <v>90</v>
      </c>
      <c r="G5826">
        <v>16</v>
      </c>
      <c r="H5826">
        <v>17</v>
      </c>
      <c r="I5826">
        <v>151</v>
      </c>
      <c r="J5826">
        <v>1</v>
      </c>
      <c r="K5826">
        <v>152</v>
      </c>
      <c r="L5826">
        <v>302</v>
      </c>
      <c r="M5826">
        <v>1</v>
      </c>
      <c r="N5826">
        <v>2.6065399999999998E-22</v>
      </c>
      <c r="O5826">
        <v>252</v>
      </c>
    </row>
    <row r="5827" spans="1:15" x14ac:dyDescent="0.25">
      <c r="A5827" t="s">
        <v>5840</v>
      </c>
      <c r="B5827">
        <v>402</v>
      </c>
      <c r="C5827" s="1" t="str">
        <f>HYPERLINK("http://www.rosaceae.org/gb/gbrowse/malus_x_domestica/?name=MDP0000132919","MDP0000132919")</f>
        <v>MDP0000132919</v>
      </c>
      <c r="D5827">
        <v>68.28</v>
      </c>
      <c r="E5827">
        <v>268</v>
      </c>
      <c r="F5827">
        <v>85</v>
      </c>
      <c r="G5827">
        <v>6</v>
      </c>
      <c r="H5827">
        <v>105</v>
      </c>
      <c r="I5827">
        <v>368</v>
      </c>
      <c r="J5827">
        <v>1</v>
      </c>
      <c r="K5827">
        <v>110</v>
      </c>
      <c r="L5827">
        <v>375</v>
      </c>
      <c r="M5827">
        <v>1</v>
      </c>
      <c r="N5827">
        <v>1.2076500000000001E-98</v>
      </c>
      <c r="O5827">
        <v>916</v>
      </c>
    </row>
    <row r="5828" spans="1:15" x14ac:dyDescent="0.25">
      <c r="A5828" t="s">
        <v>5841</v>
      </c>
      <c r="B5828">
        <v>704</v>
      </c>
      <c r="C5828" s="1" t="str">
        <f>HYPERLINK("http://www.rosaceae.org/gb/gbrowse/malus_x_domestica/?name=MDP0000232611","MDP0000232611")</f>
        <v>MDP0000232611</v>
      </c>
      <c r="D5828">
        <v>75.13</v>
      </c>
      <c r="E5828">
        <v>567</v>
      </c>
      <c r="F5828">
        <v>141</v>
      </c>
      <c r="G5828">
        <v>73</v>
      </c>
      <c r="H5828">
        <v>22</v>
      </c>
      <c r="I5828">
        <v>521</v>
      </c>
      <c r="J5828">
        <v>1</v>
      </c>
      <c r="K5828">
        <v>28</v>
      </c>
      <c r="L5828">
        <v>588</v>
      </c>
      <c r="M5828">
        <v>1</v>
      </c>
      <c r="N5828">
        <v>0</v>
      </c>
      <c r="O5828">
        <v>2185</v>
      </c>
    </row>
    <row r="5829" spans="1:15" x14ac:dyDescent="0.25">
      <c r="A5829" t="s">
        <v>5842</v>
      </c>
      <c r="B5829">
        <v>258</v>
      </c>
      <c r="C5829" s="1" t="str">
        <f>HYPERLINK("http://www.rosaceae.org/gb/gbrowse/malus_x_domestica/?name=MDP0000825285","MDP0000825285")</f>
        <v>MDP0000825285</v>
      </c>
      <c r="D5829">
        <v>85.79</v>
      </c>
      <c r="E5829">
        <v>183</v>
      </c>
      <c r="F5829">
        <v>26</v>
      </c>
      <c r="G5829">
        <v>0</v>
      </c>
      <c r="H5829">
        <v>75</v>
      </c>
      <c r="I5829">
        <v>257</v>
      </c>
      <c r="J5829">
        <v>1</v>
      </c>
      <c r="K5829">
        <v>70</v>
      </c>
      <c r="L5829">
        <v>252</v>
      </c>
      <c r="M5829">
        <v>1</v>
      </c>
      <c r="N5829">
        <v>8.1982400000000004E-89</v>
      </c>
      <c r="O5829">
        <v>829</v>
      </c>
    </row>
    <row r="5830" spans="1:15" x14ac:dyDescent="0.25">
      <c r="A5830" t="s">
        <v>5843</v>
      </c>
      <c r="B5830">
        <v>472</v>
      </c>
      <c r="C5830" s="1" t="str">
        <f>HYPERLINK("http://www.rosaceae.org/gb/gbrowse/malus_x_domestica/?name=MDP0000204554","MDP0000204554")</f>
        <v>MDP0000204554</v>
      </c>
      <c r="D5830">
        <v>48.12</v>
      </c>
      <c r="E5830">
        <v>399</v>
      </c>
      <c r="F5830">
        <v>207</v>
      </c>
      <c r="G5830">
        <v>47</v>
      </c>
      <c r="H5830">
        <v>104</v>
      </c>
      <c r="I5830">
        <v>470</v>
      </c>
      <c r="J5830">
        <v>1</v>
      </c>
      <c r="K5830">
        <v>26</v>
      </c>
      <c r="L5830">
        <v>409</v>
      </c>
      <c r="M5830">
        <v>1</v>
      </c>
      <c r="N5830">
        <v>6.1334599999999994E-95</v>
      </c>
      <c r="O5830">
        <v>885</v>
      </c>
    </row>
    <row r="5831" spans="1:15" x14ac:dyDescent="0.25">
      <c r="A5831" t="s">
        <v>5844</v>
      </c>
      <c r="B5831">
        <v>165</v>
      </c>
      <c r="C5831" s="1" t="str">
        <f>HYPERLINK("http://www.rosaceae.org/gb/gbrowse/malus_x_domestica/?name=MDP0000179976","MDP0000179976")</f>
        <v>MDP0000179976</v>
      </c>
      <c r="D5831">
        <v>54.73</v>
      </c>
      <c r="E5831">
        <v>190</v>
      </c>
      <c r="F5831">
        <v>86</v>
      </c>
      <c r="G5831">
        <v>32</v>
      </c>
      <c r="H5831">
        <v>1</v>
      </c>
      <c r="I5831">
        <v>163</v>
      </c>
      <c r="J5831">
        <v>1</v>
      </c>
      <c r="K5831">
        <v>88</v>
      </c>
      <c r="L5831">
        <v>272</v>
      </c>
      <c r="M5831">
        <v>1</v>
      </c>
      <c r="N5831">
        <v>7.8547399999999999E-54</v>
      </c>
      <c r="O5831">
        <v>524</v>
      </c>
    </row>
    <row r="5832" spans="1:15" x14ac:dyDescent="0.25">
      <c r="A5832" t="s">
        <v>5845</v>
      </c>
      <c r="B5832">
        <v>126</v>
      </c>
      <c r="C5832" s="1" t="str">
        <f>HYPERLINK("http://www.rosaceae.org/gb/gbrowse/malus_x_domestica/?name=MDP0000215600","MDP0000215600")</f>
        <v>MDP0000215600</v>
      </c>
      <c r="D5832">
        <v>69.69</v>
      </c>
      <c r="E5832">
        <v>66</v>
      </c>
      <c r="F5832">
        <v>20</v>
      </c>
      <c r="G5832">
        <v>0</v>
      </c>
      <c r="H5832">
        <v>47</v>
      </c>
      <c r="I5832">
        <v>112</v>
      </c>
      <c r="J5832">
        <v>1</v>
      </c>
      <c r="K5832">
        <v>1</v>
      </c>
      <c r="L5832">
        <v>66</v>
      </c>
      <c r="M5832">
        <v>1</v>
      </c>
      <c r="N5832">
        <v>1.2636000000000001E-19</v>
      </c>
      <c r="O5832">
        <v>227</v>
      </c>
    </row>
    <row r="5833" spans="1:15" x14ac:dyDescent="0.25">
      <c r="A5833" t="s">
        <v>5846</v>
      </c>
      <c r="B5833">
        <v>219</v>
      </c>
      <c r="C5833" s="1" t="str">
        <f>HYPERLINK("http://www.rosaceae.org/gb/gbrowse/malus_x_domestica/?name=MDP0000279600","MDP0000279600")</f>
        <v>MDP0000279600</v>
      </c>
      <c r="D5833">
        <v>86.38</v>
      </c>
      <c r="E5833">
        <v>213</v>
      </c>
      <c r="F5833">
        <v>29</v>
      </c>
      <c r="G5833">
        <v>8</v>
      </c>
      <c r="H5833">
        <v>15</v>
      </c>
      <c r="I5833">
        <v>219</v>
      </c>
      <c r="J5833">
        <v>1</v>
      </c>
      <c r="K5833">
        <v>24</v>
      </c>
      <c r="L5833">
        <v>236</v>
      </c>
      <c r="M5833">
        <v>1</v>
      </c>
      <c r="N5833">
        <v>5.0972199999999998E-107</v>
      </c>
      <c r="O5833">
        <v>985</v>
      </c>
    </row>
    <row r="5834" spans="1:15" x14ac:dyDescent="0.25">
      <c r="A5834" t="s">
        <v>5847</v>
      </c>
      <c r="B5834">
        <v>172</v>
      </c>
      <c r="C5834" s="1" t="str">
        <f>HYPERLINK("http://www.rosaceae.org/gb/gbrowse/malus_x_domestica/?name=MDP0000139795","MDP0000139795")</f>
        <v>MDP0000139795</v>
      </c>
      <c r="D5834">
        <v>71.23</v>
      </c>
      <c r="E5834">
        <v>73</v>
      </c>
      <c r="F5834">
        <v>21</v>
      </c>
      <c r="G5834">
        <v>4</v>
      </c>
      <c r="H5834">
        <v>78</v>
      </c>
      <c r="I5834">
        <v>147</v>
      </c>
      <c r="J5834">
        <v>1</v>
      </c>
      <c r="K5834">
        <v>163</v>
      </c>
      <c r="L5834">
        <v>234</v>
      </c>
      <c r="M5834">
        <v>1</v>
      </c>
      <c r="N5834">
        <v>1.28141E-22</v>
      </c>
      <c r="O5834">
        <v>256</v>
      </c>
    </row>
    <row r="5835" spans="1:15" x14ac:dyDescent="0.25">
      <c r="A5835" t="s">
        <v>5848</v>
      </c>
      <c r="B5835">
        <v>490</v>
      </c>
      <c r="C5835" s="1" t="str">
        <f>HYPERLINK("http://www.rosaceae.org/gb/gbrowse/malus_x_domestica/?name=MDP0000271975","MDP0000271975")</f>
        <v>MDP0000271975</v>
      </c>
      <c r="D5835">
        <v>47.7</v>
      </c>
      <c r="E5835">
        <v>589</v>
      </c>
      <c r="F5835">
        <v>308</v>
      </c>
      <c r="G5835">
        <v>113</v>
      </c>
      <c r="H5835">
        <v>1</v>
      </c>
      <c r="I5835">
        <v>484</v>
      </c>
      <c r="J5835">
        <v>1</v>
      </c>
      <c r="K5835">
        <v>1</v>
      </c>
      <c r="L5835">
        <v>581</v>
      </c>
      <c r="M5835">
        <v>1</v>
      </c>
      <c r="N5835">
        <v>1.02715E-122</v>
      </c>
      <c r="O5835">
        <v>1125</v>
      </c>
    </row>
    <row r="5836" spans="1:15" x14ac:dyDescent="0.25">
      <c r="A5836" t="s">
        <v>5849</v>
      </c>
      <c r="B5836">
        <v>645</v>
      </c>
      <c r="C5836" s="1" t="str">
        <f>HYPERLINK("http://www.rosaceae.org/gb/gbrowse/malus_x_domestica/?name=MDP0000125000","MDP0000125000")</f>
        <v>MDP0000125000</v>
      </c>
      <c r="D5836">
        <v>73.72</v>
      </c>
      <c r="E5836">
        <v>255</v>
      </c>
      <c r="F5836">
        <v>67</v>
      </c>
      <c r="G5836">
        <v>1</v>
      </c>
      <c r="H5836">
        <v>3</v>
      </c>
      <c r="I5836">
        <v>256</v>
      </c>
      <c r="J5836">
        <v>1</v>
      </c>
      <c r="K5836">
        <v>2</v>
      </c>
      <c r="L5836">
        <v>256</v>
      </c>
      <c r="M5836">
        <v>1</v>
      </c>
      <c r="N5836">
        <v>1.3779899999999999E-107</v>
      </c>
      <c r="O5836">
        <v>995</v>
      </c>
    </row>
    <row r="5837" spans="1:15" x14ac:dyDescent="0.25">
      <c r="A5837" t="s">
        <v>5850</v>
      </c>
      <c r="B5837">
        <v>180</v>
      </c>
      <c r="C5837" s="1" t="str">
        <f>HYPERLINK("http://www.rosaceae.org/gb/gbrowse/malus_x_domestica/?name=MDP0000248545","MDP0000248545")</f>
        <v>MDP0000248545</v>
      </c>
      <c r="D5837">
        <v>59.25</v>
      </c>
      <c r="E5837">
        <v>54</v>
      </c>
      <c r="F5837">
        <v>22</v>
      </c>
      <c r="G5837">
        <v>1</v>
      </c>
      <c r="H5837">
        <v>127</v>
      </c>
      <c r="I5837">
        <v>180</v>
      </c>
      <c r="J5837">
        <v>1</v>
      </c>
      <c r="K5837">
        <v>89</v>
      </c>
      <c r="L5837">
        <v>141</v>
      </c>
      <c r="M5837">
        <v>1</v>
      </c>
      <c r="N5837">
        <v>1.4584100000000001E-11</v>
      </c>
      <c r="O5837">
        <v>161</v>
      </c>
    </row>
    <row r="5838" spans="1:15" x14ac:dyDescent="0.25">
      <c r="A5838" t="s">
        <v>5851</v>
      </c>
      <c r="B5838">
        <v>456</v>
      </c>
      <c r="C5838" s="1" t="str">
        <f>HYPERLINK("http://www.rosaceae.org/gb/gbrowse/malus_x_domestica/?name=MDP0000702352","MDP0000702352")</f>
        <v>MDP0000702352</v>
      </c>
      <c r="D5838">
        <v>78.3</v>
      </c>
      <c r="E5838">
        <v>189</v>
      </c>
      <c r="F5838">
        <v>41</v>
      </c>
      <c r="G5838">
        <v>2</v>
      </c>
      <c r="H5838">
        <v>1</v>
      </c>
      <c r="I5838">
        <v>187</v>
      </c>
      <c r="J5838">
        <v>1</v>
      </c>
      <c r="K5838">
        <v>1</v>
      </c>
      <c r="L5838">
        <v>189</v>
      </c>
      <c r="M5838">
        <v>1</v>
      </c>
      <c r="N5838">
        <v>1.0725099999999999E-84</v>
      </c>
      <c r="O5838">
        <v>796</v>
      </c>
    </row>
    <row r="5839" spans="1:15" x14ac:dyDescent="0.25">
      <c r="A5839" t="s">
        <v>5852</v>
      </c>
      <c r="B5839">
        <v>990</v>
      </c>
      <c r="C5839" s="1" t="str">
        <f>HYPERLINK("http://www.rosaceae.org/gb/gbrowse/malus_x_domestica/?name=MDP0000159463","MDP0000159463")</f>
        <v>MDP0000159463</v>
      </c>
      <c r="D5839">
        <v>79.599999999999994</v>
      </c>
      <c r="E5839">
        <v>956</v>
      </c>
      <c r="F5839">
        <v>195</v>
      </c>
      <c r="G5839">
        <v>33</v>
      </c>
      <c r="H5839">
        <v>40</v>
      </c>
      <c r="I5839">
        <v>990</v>
      </c>
      <c r="J5839">
        <v>1</v>
      </c>
      <c r="K5839">
        <v>180</v>
      </c>
      <c r="L5839">
        <v>1107</v>
      </c>
      <c r="M5839">
        <v>1</v>
      </c>
      <c r="N5839">
        <v>0</v>
      </c>
      <c r="O5839">
        <v>3908</v>
      </c>
    </row>
    <row r="5840" spans="1:15" x14ac:dyDescent="0.25">
      <c r="A5840" t="s">
        <v>5853</v>
      </c>
      <c r="B5840">
        <v>577</v>
      </c>
      <c r="C5840" s="1" t="str">
        <f>HYPERLINK("http://www.rosaceae.org/gb/gbrowse/malus_x_domestica/?name=MDP0000302448","MDP0000302448")</f>
        <v>MDP0000302448</v>
      </c>
      <c r="D5840">
        <v>47.49</v>
      </c>
      <c r="E5840">
        <v>558</v>
      </c>
      <c r="F5840">
        <v>293</v>
      </c>
      <c r="G5840">
        <v>43</v>
      </c>
      <c r="H5840">
        <v>28</v>
      </c>
      <c r="I5840">
        <v>575</v>
      </c>
      <c r="J5840">
        <v>1</v>
      </c>
      <c r="K5840">
        <v>24</v>
      </c>
      <c r="L5840">
        <v>548</v>
      </c>
      <c r="M5840">
        <v>1</v>
      </c>
      <c r="N5840">
        <v>4.2321500000000002E-134</v>
      </c>
      <c r="O5840">
        <v>1224</v>
      </c>
    </row>
    <row r="5841" spans="1:15" x14ac:dyDescent="0.25">
      <c r="A5841" t="s">
        <v>5854</v>
      </c>
      <c r="B5841">
        <v>1082</v>
      </c>
      <c r="C5841" s="1" t="str">
        <f>HYPERLINK("http://www.rosaceae.org/gb/gbrowse/malus_x_domestica/?name=MDP0000280327","MDP0000280327")</f>
        <v>MDP0000280327</v>
      </c>
      <c r="D5841">
        <v>75.510000000000005</v>
      </c>
      <c r="E5841">
        <v>678</v>
      </c>
      <c r="F5841">
        <v>166</v>
      </c>
      <c r="G5841">
        <v>24</v>
      </c>
      <c r="H5841">
        <v>85</v>
      </c>
      <c r="I5841">
        <v>760</v>
      </c>
      <c r="J5841">
        <v>1</v>
      </c>
      <c r="K5841">
        <v>60</v>
      </c>
      <c r="L5841">
        <v>715</v>
      </c>
      <c r="M5841">
        <v>1</v>
      </c>
      <c r="N5841">
        <v>0</v>
      </c>
      <c r="O5841">
        <v>2633</v>
      </c>
    </row>
    <row r="5842" spans="1:15" x14ac:dyDescent="0.25">
      <c r="A5842" t="s">
        <v>5855</v>
      </c>
      <c r="B5842">
        <v>321</v>
      </c>
      <c r="C5842" s="1" t="str">
        <f>HYPERLINK("http://www.rosaceae.org/gb/gbrowse/malus_x_domestica/?name=MDP0000494181","MDP0000494181")</f>
        <v>MDP0000494181</v>
      </c>
      <c r="D5842">
        <v>58.67</v>
      </c>
      <c r="E5842">
        <v>346</v>
      </c>
      <c r="F5842">
        <v>143</v>
      </c>
      <c r="G5842">
        <v>27</v>
      </c>
      <c r="H5842">
        <v>1</v>
      </c>
      <c r="I5842">
        <v>321</v>
      </c>
      <c r="J5842">
        <v>1</v>
      </c>
      <c r="K5842">
        <v>1</v>
      </c>
      <c r="L5842">
        <v>344</v>
      </c>
      <c r="M5842">
        <v>1</v>
      </c>
      <c r="N5842">
        <v>1.4685700000000001E-105</v>
      </c>
      <c r="O5842">
        <v>975</v>
      </c>
    </row>
    <row r="5843" spans="1:15" x14ac:dyDescent="0.25">
      <c r="A5843" t="s">
        <v>5856</v>
      </c>
      <c r="B5843">
        <v>575</v>
      </c>
      <c r="C5843" s="1" t="str">
        <f>HYPERLINK("http://www.rosaceae.org/gb/gbrowse/malus_x_domestica/?name=MDP0000899966","MDP0000899966")</f>
        <v>MDP0000899966</v>
      </c>
      <c r="D5843">
        <v>82.17</v>
      </c>
      <c r="E5843">
        <v>578</v>
      </c>
      <c r="F5843">
        <v>103</v>
      </c>
      <c r="G5843">
        <v>5</v>
      </c>
      <c r="H5843">
        <v>1</v>
      </c>
      <c r="I5843">
        <v>574</v>
      </c>
      <c r="J5843">
        <v>1</v>
      </c>
      <c r="K5843">
        <v>152</v>
      </c>
      <c r="L5843">
        <v>728</v>
      </c>
      <c r="M5843">
        <v>1</v>
      </c>
      <c r="N5843">
        <v>0</v>
      </c>
      <c r="O5843">
        <v>2568</v>
      </c>
    </row>
    <row r="5844" spans="1:15" x14ac:dyDescent="0.25">
      <c r="A5844" t="s">
        <v>5857</v>
      </c>
      <c r="B5844">
        <v>160</v>
      </c>
      <c r="C5844" s="1" t="str">
        <f>HYPERLINK("http://www.rosaceae.org/gb/gbrowse/malus_x_domestica/?name=MDP0000290738","MDP0000290738")</f>
        <v>MDP0000290738</v>
      </c>
      <c r="D5844">
        <v>76.47</v>
      </c>
      <c r="E5844">
        <v>85</v>
      </c>
      <c r="F5844">
        <v>20</v>
      </c>
      <c r="G5844">
        <v>0</v>
      </c>
      <c r="H5844">
        <v>75</v>
      </c>
      <c r="I5844">
        <v>159</v>
      </c>
      <c r="J5844">
        <v>1</v>
      </c>
      <c r="K5844">
        <v>83</v>
      </c>
      <c r="L5844">
        <v>167</v>
      </c>
      <c r="M5844">
        <v>1</v>
      </c>
      <c r="N5844">
        <v>2.5451100000000002E-35</v>
      </c>
      <c r="O5844">
        <v>365</v>
      </c>
    </row>
    <row r="5845" spans="1:15" x14ac:dyDescent="0.25">
      <c r="A5845" t="s">
        <v>5858</v>
      </c>
      <c r="B5845">
        <v>282</v>
      </c>
      <c r="C5845" s="1" t="str">
        <f>HYPERLINK("http://www.rosaceae.org/gb/gbrowse/malus_x_domestica/?name=MDP0000180208","MDP0000180208")</f>
        <v>MDP0000180208</v>
      </c>
      <c r="D5845">
        <v>38.97</v>
      </c>
      <c r="E5845">
        <v>272</v>
      </c>
      <c r="F5845">
        <v>166</v>
      </c>
      <c r="G5845">
        <v>49</v>
      </c>
      <c r="H5845">
        <v>3</v>
      </c>
      <c r="I5845">
        <v>265</v>
      </c>
      <c r="J5845">
        <v>1</v>
      </c>
      <c r="K5845">
        <v>17</v>
      </c>
      <c r="L5845">
        <v>248</v>
      </c>
      <c r="M5845">
        <v>1</v>
      </c>
      <c r="N5845">
        <v>5.4372500000000002E-36</v>
      </c>
      <c r="O5845">
        <v>374</v>
      </c>
    </row>
    <row r="5846" spans="1:15" x14ac:dyDescent="0.25">
      <c r="A5846" t="s">
        <v>5859</v>
      </c>
      <c r="B5846">
        <v>76</v>
      </c>
      <c r="C5846" s="1" t="str">
        <f>HYPERLINK("http://www.rosaceae.org/gb/gbrowse/malus_x_domestica/?name=MDP0000637607","MDP0000637607")</f>
        <v>MDP0000637607</v>
      </c>
      <c r="D5846">
        <v>69.66</v>
      </c>
      <c r="E5846">
        <v>89</v>
      </c>
      <c r="F5846">
        <v>27</v>
      </c>
      <c r="G5846">
        <v>16</v>
      </c>
      <c r="H5846">
        <v>1</v>
      </c>
      <c r="I5846">
        <v>73</v>
      </c>
      <c r="J5846">
        <v>1</v>
      </c>
      <c r="K5846">
        <v>69</v>
      </c>
      <c r="L5846">
        <v>157</v>
      </c>
      <c r="M5846">
        <v>1</v>
      </c>
      <c r="N5846">
        <v>7.60574E-24</v>
      </c>
      <c r="O5846">
        <v>263</v>
      </c>
    </row>
    <row r="5847" spans="1:15" x14ac:dyDescent="0.25">
      <c r="A5847" t="s">
        <v>5860</v>
      </c>
      <c r="B5847">
        <v>1007</v>
      </c>
      <c r="C5847" s="1" t="str">
        <f>HYPERLINK("http://www.rosaceae.org/gb/gbrowse/malus_x_domestica/?name=MDP0000261327","MDP0000261327")</f>
        <v>MDP0000261327</v>
      </c>
      <c r="D5847">
        <v>37.25</v>
      </c>
      <c r="E5847">
        <v>722</v>
      </c>
      <c r="F5847">
        <v>453</v>
      </c>
      <c r="G5847">
        <v>118</v>
      </c>
      <c r="H5847">
        <v>223</v>
      </c>
      <c r="I5847">
        <v>895</v>
      </c>
      <c r="J5847">
        <v>1</v>
      </c>
      <c r="K5847">
        <v>1354</v>
      </c>
      <c r="L5847">
        <v>2006</v>
      </c>
      <c r="M5847">
        <v>1</v>
      </c>
      <c r="N5847">
        <v>1.6722000000000001E-106</v>
      </c>
      <c r="O5847">
        <v>988</v>
      </c>
    </row>
    <row r="5848" spans="1:15" x14ac:dyDescent="0.25">
      <c r="A5848" t="s">
        <v>5861</v>
      </c>
      <c r="B5848">
        <v>373</v>
      </c>
      <c r="C5848" s="1" t="str">
        <f>HYPERLINK("http://www.rosaceae.org/gb/gbrowse/malus_x_domestica/?name=MDP0000194894","MDP0000194894")</f>
        <v>MDP0000194894</v>
      </c>
      <c r="D5848">
        <v>71.16</v>
      </c>
      <c r="E5848">
        <v>378</v>
      </c>
      <c r="F5848">
        <v>109</v>
      </c>
      <c r="G5848">
        <v>5</v>
      </c>
      <c r="H5848">
        <v>1</v>
      </c>
      <c r="I5848">
        <v>373</v>
      </c>
      <c r="J5848">
        <v>1</v>
      </c>
      <c r="K5848">
        <v>1</v>
      </c>
      <c r="L5848">
        <v>378</v>
      </c>
      <c r="M5848">
        <v>1</v>
      </c>
      <c r="N5848">
        <v>2.9627500000000001E-155</v>
      </c>
      <c r="O5848">
        <v>1404</v>
      </c>
    </row>
    <row r="5849" spans="1:15" x14ac:dyDescent="0.25">
      <c r="A5849" t="s">
        <v>5862</v>
      </c>
      <c r="B5849">
        <v>955</v>
      </c>
      <c r="C5849" s="1" t="str">
        <f>HYPERLINK("http://www.rosaceae.org/gb/gbrowse/malus_x_domestica/?name=MDP0000150049","MDP0000150049")</f>
        <v>MDP0000150049</v>
      </c>
      <c r="D5849">
        <v>87.91</v>
      </c>
      <c r="E5849">
        <v>935</v>
      </c>
      <c r="F5849">
        <v>113</v>
      </c>
      <c r="G5849">
        <v>0</v>
      </c>
      <c r="H5849">
        <v>21</v>
      </c>
      <c r="I5849">
        <v>955</v>
      </c>
      <c r="J5849">
        <v>1</v>
      </c>
      <c r="K5849">
        <v>117</v>
      </c>
      <c r="L5849">
        <v>1051</v>
      </c>
      <c r="M5849">
        <v>1</v>
      </c>
      <c r="N5849">
        <v>0</v>
      </c>
      <c r="O5849">
        <v>4380</v>
      </c>
    </row>
    <row r="5850" spans="1:15" x14ac:dyDescent="0.25">
      <c r="A5850" t="s">
        <v>5863</v>
      </c>
      <c r="B5850">
        <v>1367</v>
      </c>
      <c r="C5850" s="1" t="str">
        <f>HYPERLINK("http://www.rosaceae.org/gb/gbrowse/malus_x_domestica/?name=MDP0000162938","MDP0000162938")</f>
        <v>MDP0000162938</v>
      </c>
      <c r="D5850">
        <v>70.77</v>
      </c>
      <c r="E5850">
        <v>1078</v>
      </c>
      <c r="F5850">
        <v>315</v>
      </c>
      <c r="G5850">
        <v>114</v>
      </c>
      <c r="H5850">
        <v>44</v>
      </c>
      <c r="I5850">
        <v>1039</v>
      </c>
      <c r="J5850">
        <v>1</v>
      </c>
      <c r="K5850">
        <v>19</v>
      </c>
      <c r="L5850">
        <v>1064</v>
      </c>
      <c r="M5850">
        <v>1</v>
      </c>
      <c r="N5850">
        <v>0</v>
      </c>
      <c r="O5850">
        <v>3915</v>
      </c>
    </row>
    <row r="5851" spans="1:15" x14ac:dyDescent="0.25">
      <c r="A5851" t="s">
        <v>5864</v>
      </c>
      <c r="B5851">
        <v>658</v>
      </c>
      <c r="C5851" s="1" t="str">
        <f>HYPERLINK("http://www.rosaceae.org/gb/gbrowse/malus_x_domestica/?name=MDP0000159614","MDP0000159614")</f>
        <v>MDP0000159614</v>
      </c>
      <c r="D5851">
        <v>71.03</v>
      </c>
      <c r="E5851">
        <v>404</v>
      </c>
      <c r="F5851">
        <v>117</v>
      </c>
      <c r="G5851">
        <v>32</v>
      </c>
      <c r="H5851">
        <v>255</v>
      </c>
      <c r="I5851">
        <v>658</v>
      </c>
      <c r="J5851">
        <v>1</v>
      </c>
      <c r="K5851">
        <v>1</v>
      </c>
      <c r="L5851">
        <v>372</v>
      </c>
      <c r="M5851">
        <v>1</v>
      </c>
      <c r="N5851">
        <v>5.2879399999999997E-156</v>
      </c>
      <c r="O5851">
        <v>1413</v>
      </c>
    </row>
    <row r="5852" spans="1:15" x14ac:dyDescent="0.25">
      <c r="A5852" t="s">
        <v>5865</v>
      </c>
      <c r="B5852">
        <v>151</v>
      </c>
      <c r="C5852" s="1" t="str">
        <f>HYPERLINK("http://www.rosaceae.org/gb/gbrowse/malus_x_domestica/?name=MDP0000192236","MDP0000192236")</f>
        <v>MDP0000192236</v>
      </c>
      <c r="D5852">
        <v>78.3</v>
      </c>
      <c r="E5852">
        <v>106</v>
      </c>
      <c r="F5852">
        <v>23</v>
      </c>
      <c r="G5852">
        <v>0</v>
      </c>
      <c r="H5852">
        <v>24</v>
      </c>
      <c r="I5852">
        <v>129</v>
      </c>
      <c r="J5852">
        <v>1</v>
      </c>
      <c r="K5852">
        <v>24</v>
      </c>
      <c r="L5852">
        <v>129</v>
      </c>
      <c r="M5852">
        <v>1</v>
      </c>
      <c r="N5852">
        <v>6.3449900000000001E-41</v>
      </c>
      <c r="O5852">
        <v>412</v>
      </c>
    </row>
    <row r="5853" spans="1:15" x14ac:dyDescent="0.25">
      <c r="A5853" t="s">
        <v>5866</v>
      </c>
      <c r="B5853">
        <v>196</v>
      </c>
      <c r="C5853" s="1" t="str">
        <f>HYPERLINK("http://www.rosaceae.org/gb/gbrowse/malus_x_domestica/?name=MDP0000324175","MDP0000324175")</f>
        <v>MDP0000324175</v>
      </c>
      <c r="D5853">
        <v>47.42</v>
      </c>
      <c r="E5853">
        <v>175</v>
      </c>
      <c r="F5853">
        <v>92</v>
      </c>
      <c r="G5853">
        <v>1</v>
      </c>
      <c r="H5853">
        <v>2</v>
      </c>
      <c r="I5853">
        <v>176</v>
      </c>
      <c r="J5853">
        <v>1</v>
      </c>
      <c r="K5853">
        <v>4</v>
      </c>
      <c r="L5853">
        <v>177</v>
      </c>
      <c r="M5853">
        <v>1</v>
      </c>
      <c r="N5853">
        <v>3.1564500000000002E-38</v>
      </c>
      <c r="O5853">
        <v>391</v>
      </c>
    </row>
    <row r="5854" spans="1:15" x14ac:dyDescent="0.25">
      <c r="A5854" t="s">
        <v>5867</v>
      </c>
      <c r="B5854">
        <v>313</v>
      </c>
      <c r="C5854" s="1" t="str">
        <f>HYPERLINK("http://www.rosaceae.org/gb/gbrowse/malus_x_domestica/?name=MDP0000221993","MDP0000221993")</f>
        <v>MDP0000221993</v>
      </c>
      <c r="D5854">
        <v>71.06</v>
      </c>
      <c r="E5854">
        <v>311</v>
      </c>
      <c r="F5854">
        <v>90</v>
      </c>
      <c r="G5854">
        <v>9</v>
      </c>
      <c r="H5854">
        <v>1</v>
      </c>
      <c r="I5854">
        <v>311</v>
      </c>
      <c r="J5854">
        <v>1</v>
      </c>
      <c r="K5854">
        <v>1</v>
      </c>
      <c r="L5854">
        <v>302</v>
      </c>
      <c r="M5854">
        <v>1</v>
      </c>
      <c r="N5854">
        <v>1.9479299999999998E-124</v>
      </c>
      <c r="O5854">
        <v>1137</v>
      </c>
    </row>
    <row r="5855" spans="1:15" x14ac:dyDescent="0.25">
      <c r="A5855" t="s">
        <v>5868</v>
      </c>
      <c r="B5855">
        <v>705</v>
      </c>
      <c r="C5855" s="1" t="str">
        <f>HYPERLINK("http://www.rosaceae.org/gb/gbrowse/malus_x_domestica/?name=MDP0000295807","MDP0000295807")</f>
        <v>MDP0000295807</v>
      </c>
      <c r="D5855">
        <v>71.02</v>
      </c>
      <c r="E5855">
        <v>176</v>
      </c>
      <c r="F5855">
        <v>51</v>
      </c>
      <c r="G5855">
        <v>5</v>
      </c>
      <c r="H5855">
        <v>47</v>
      </c>
      <c r="I5855">
        <v>217</v>
      </c>
      <c r="J5855">
        <v>1</v>
      </c>
      <c r="K5855">
        <v>467</v>
      </c>
      <c r="L5855">
        <v>642</v>
      </c>
      <c r="M5855">
        <v>1</v>
      </c>
      <c r="N5855">
        <v>2.39458E-74</v>
      </c>
      <c r="O5855">
        <v>709</v>
      </c>
    </row>
    <row r="5856" spans="1:15" x14ac:dyDescent="0.25">
      <c r="A5856" t="s">
        <v>5869</v>
      </c>
      <c r="B5856">
        <v>228</v>
      </c>
      <c r="C5856" s="1" t="str">
        <f>HYPERLINK("http://www.rosaceae.org/gb/gbrowse/malus_x_domestica/?name=MDP0000811085","MDP0000811085")</f>
        <v>MDP0000811085</v>
      </c>
      <c r="D5856">
        <v>37.28</v>
      </c>
      <c r="E5856">
        <v>236</v>
      </c>
      <c r="F5856">
        <v>148</v>
      </c>
      <c r="G5856">
        <v>32</v>
      </c>
      <c r="H5856">
        <v>1</v>
      </c>
      <c r="I5856">
        <v>214</v>
      </c>
      <c r="J5856">
        <v>1</v>
      </c>
      <c r="K5856">
        <v>1</v>
      </c>
      <c r="L5856">
        <v>226</v>
      </c>
      <c r="M5856">
        <v>1</v>
      </c>
      <c r="N5856">
        <v>2.9849499999999999E-33</v>
      </c>
      <c r="O5856">
        <v>349</v>
      </c>
    </row>
    <row r="5857" spans="1:15" x14ac:dyDescent="0.25">
      <c r="A5857" t="s">
        <v>5870</v>
      </c>
      <c r="B5857">
        <v>340</v>
      </c>
      <c r="C5857" s="1" t="str">
        <f>HYPERLINK("http://www.rosaceae.org/gb/gbrowse/malus_x_domestica/?name=MDP0000157506","MDP0000157506")</f>
        <v>MDP0000157506</v>
      </c>
      <c r="D5857">
        <v>49.86</v>
      </c>
      <c r="E5857">
        <v>363</v>
      </c>
      <c r="F5857">
        <v>182</v>
      </c>
      <c r="G5857">
        <v>58</v>
      </c>
      <c r="H5857">
        <v>1</v>
      </c>
      <c r="I5857">
        <v>340</v>
      </c>
      <c r="J5857">
        <v>1</v>
      </c>
      <c r="K5857">
        <v>1</v>
      </c>
      <c r="L5857">
        <v>328</v>
      </c>
      <c r="M5857">
        <v>1</v>
      </c>
      <c r="N5857">
        <v>1.01818E-75</v>
      </c>
      <c r="O5857">
        <v>718</v>
      </c>
    </row>
    <row r="5858" spans="1:15" x14ac:dyDescent="0.25">
      <c r="A5858" t="s">
        <v>5871</v>
      </c>
      <c r="B5858">
        <v>254</v>
      </c>
      <c r="C5858" s="1" t="str">
        <f>HYPERLINK("http://www.rosaceae.org/gb/gbrowse/malus_x_domestica/?name=MDP0000181583","MDP0000181583")</f>
        <v>MDP0000181583</v>
      </c>
      <c r="D5858">
        <v>65.08</v>
      </c>
      <c r="E5858">
        <v>232</v>
      </c>
      <c r="F5858">
        <v>81</v>
      </c>
      <c r="G5858">
        <v>8</v>
      </c>
      <c r="H5858">
        <v>1</v>
      </c>
      <c r="I5858">
        <v>224</v>
      </c>
      <c r="J5858">
        <v>1</v>
      </c>
      <c r="K5858">
        <v>53</v>
      </c>
      <c r="L5858">
        <v>284</v>
      </c>
      <c r="M5858">
        <v>1</v>
      </c>
      <c r="N5858">
        <v>1.6126000000000001E-83</v>
      </c>
      <c r="O5858">
        <v>783</v>
      </c>
    </row>
    <row r="5859" spans="1:15" x14ac:dyDescent="0.25">
      <c r="A5859" t="s">
        <v>5872</v>
      </c>
      <c r="B5859">
        <v>209</v>
      </c>
      <c r="C5859" s="1" t="str">
        <f>HYPERLINK("http://www.rosaceae.org/gb/gbrowse/malus_x_domestica/?name=MDP0000242277","MDP0000242277")</f>
        <v>MDP0000242277</v>
      </c>
      <c r="D5859">
        <v>45.83</v>
      </c>
      <c r="E5859">
        <v>144</v>
      </c>
      <c r="F5859">
        <v>78</v>
      </c>
      <c r="G5859">
        <v>7</v>
      </c>
      <c r="H5859">
        <v>6</v>
      </c>
      <c r="I5859">
        <v>144</v>
      </c>
      <c r="J5859">
        <v>1</v>
      </c>
      <c r="K5859">
        <v>10</v>
      </c>
      <c r="L5859">
        <v>151</v>
      </c>
      <c r="M5859">
        <v>1</v>
      </c>
      <c r="N5859">
        <v>6.2906199999999998E-31</v>
      </c>
      <c r="O5859">
        <v>329</v>
      </c>
    </row>
    <row r="5860" spans="1:15" x14ac:dyDescent="0.25">
      <c r="A5860" t="s">
        <v>5873</v>
      </c>
      <c r="B5860">
        <v>295</v>
      </c>
      <c r="C5860" s="1" t="str">
        <f>HYPERLINK("http://www.rosaceae.org/gb/gbrowse/malus_x_domestica/?name=MDP0000213122","MDP0000213122")</f>
        <v>MDP0000213122</v>
      </c>
      <c r="D5860">
        <v>77.98</v>
      </c>
      <c r="E5860">
        <v>218</v>
      </c>
      <c r="F5860">
        <v>48</v>
      </c>
      <c r="G5860">
        <v>1</v>
      </c>
      <c r="H5860">
        <v>36</v>
      </c>
      <c r="I5860">
        <v>253</v>
      </c>
      <c r="J5860">
        <v>1</v>
      </c>
      <c r="K5860">
        <v>521</v>
      </c>
      <c r="L5860">
        <v>737</v>
      </c>
      <c r="M5860">
        <v>1</v>
      </c>
      <c r="N5860">
        <v>5.9684399999999998E-97</v>
      </c>
      <c r="O5860">
        <v>900</v>
      </c>
    </row>
    <row r="5861" spans="1:15" x14ac:dyDescent="0.25">
      <c r="A5861" t="s">
        <v>5874</v>
      </c>
      <c r="B5861">
        <v>734</v>
      </c>
      <c r="C5861" s="1" t="str">
        <f>HYPERLINK("http://www.rosaceae.org/gb/gbrowse/malus_x_domestica/?name=MDP0000283933","MDP0000283933")</f>
        <v>MDP0000283933</v>
      </c>
      <c r="D5861">
        <v>61.87</v>
      </c>
      <c r="E5861">
        <v>724</v>
      </c>
      <c r="F5861">
        <v>276</v>
      </c>
      <c r="G5861">
        <v>39</v>
      </c>
      <c r="H5861">
        <v>9</v>
      </c>
      <c r="I5861">
        <v>730</v>
      </c>
      <c r="J5861">
        <v>1</v>
      </c>
      <c r="K5861">
        <v>8</v>
      </c>
      <c r="L5861">
        <v>694</v>
      </c>
      <c r="M5861">
        <v>1</v>
      </c>
      <c r="N5861">
        <v>0</v>
      </c>
      <c r="O5861">
        <v>2154</v>
      </c>
    </row>
    <row r="5862" spans="1:15" x14ac:dyDescent="0.25">
      <c r="A5862" t="s">
        <v>5875</v>
      </c>
      <c r="B5862">
        <v>1049</v>
      </c>
      <c r="C5862" s="1" t="str">
        <f>HYPERLINK("http://www.rosaceae.org/gb/gbrowse/malus_x_domestica/?name=MDP0000660154","MDP0000660154")</f>
        <v>MDP0000660154</v>
      </c>
      <c r="D5862">
        <v>58.38</v>
      </c>
      <c r="E5862">
        <v>1043</v>
      </c>
      <c r="F5862">
        <v>434</v>
      </c>
      <c r="G5862">
        <v>55</v>
      </c>
      <c r="H5862">
        <v>26</v>
      </c>
      <c r="I5862">
        <v>1048</v>
      </c>
      <c r="J5862">
        <v>1</v>
      </c>
      <c r="K5862">
        <v>20</v>
      </c>
      <c r="L5862">
        <v>1027</v>
      </c>
      <c r="M5862">
        <v>1</v>
      </c>
      <c r="N5862">
        <v>0</v>
      </c>
      <c r="O5862">
        <v>2841</v>
      </c>
    </row>
    <row r="5863" spans="1:15" x14ac:dyDescent="0.25">
      <c r="A5863" t="s">
        <v>5876</v>
      </c>
      <c r="B5863">
        <v>406</v>
      </c>
      <c r="C5863" s="1" t="str">
        <f>HYPERLINK("http://www.rosaceae.org/gb/gbrowse/malus_x_domestica/?name=MDP0000321831","MDP0000321831")</f>
        <v>MDP0000321831</v>
      </c>
      <c r="D5863">
        <v>76.06</v>
      </c>
      <c r="E5863">
        <v>351</v>
      </c>
      <c r="F5863">
        <v>84</v>
      </c>
      <c r="G5863">
        <v>31</v>
      </c>
      <c r="H5863">
        <v>1</v>
      </c>
      <c r="I5863">
        <v>320</v>
      </c>
      <c r="J5863">
        <v>1</v>
      </c>
      <c r="K5863">
        <v>1</v>
      </c>
      <c r="L5863">
        <v>351</v>
      </c>
      <c r="M5863">
        <v>1</v>
      </c>
      <c r="N5863">
        <v>1.3570100000000001E-145</v>
      </c>
      <c r="O5863">
        <v>1321</v>
      </c>
    </row>
    <row r="5864" spans="1:15" x14ac:dyDescent="0.25">
      <c r="A5864" t="s">
        <v>5877</v>
      </c>
      <c r="B5864">
        <v>936</v>
      </c>
      <c r="C5864" s="1" t="str">
        <f>HYPERLINK("http://www.rosaceae.org/gb/gbrowse/malus_x_domestica/?name=MDP0000249161","MDP0000249161")</f>
        <v>MDP0000249161</v>
      </c>
      <c r="D5864">
        <v>61.22</v>
      </c>
      <c r="E5864">
        <v>521</v>
      </c>
      <c r="F5864">
        <v>202</v>
      </c>
      <c r="G5864">
        <v>52</v>
      </c>
      <c r="H5864">
        <v>13</v>
      </c>
      <c r="I5864">
        <v>526</v>
      </c>
      <c r="J5864">
        <v>1</v>
      </c>
      <c r="K5864">
        <v>64</v>
      </c>
      <c r="L5864">
        <v>539</v>
      </c>
      <c r="M5864">
        <v>1</v>
      </c>
      <c r="N5864">
        <v>1.6968600000000001E-173</v>
      </c>
      <c r="O5864">
        <v>1565</v>
      </c>
    </row>
    <row r="5865" spans="1:15" x14ac:dyDescent="0.25">
      <c r="A5865" t="s">
        <v>5878</v>
      </c>
      <c r="B5865">
        <v>926</v>
      </c>
      <c r="C5865" s="1" t="str">
        <f>HYPERLINK("http://www.rosaceae.org/gb/gbrowse/malus_x_domestica/?name=MDP0000151060","MDP0000151060")</f>
        <v>MDP0000151060</v>
      </c>
      <c r="D5865">
        <v>51.28</v>
      </c>
      <c r="E5865">
        <v>1053</v>
      </c>
      <c r="F5865">
        <v>513</v>
      </c>
      <c r="G5865">
        <v>172</v>
      </c>
      <c r="H5865">
        <v>3</v>
      </c>
      <c r="I5865">
        <v>885</v>
      </c>
      <c r="J5865">
        <v>1</v>
      </c>
      <c r="K5865">
        <v>2</v>
      </c>
      <c r="L5865">
        <v>1052</v>
      </c>
      <c r="M5865">
        <v>1</v>
      </c>
      <c r="N5865">
        <v>0</v>
      </c>
      <c r="O5865">
        <v>2484</v>
      </c>
    </row>
    <row r="5866" spans="1:15" x14ac:dyDescent="0.25">
      <c r="A5866" t="s">
        <v>5879</v>
      </c>
      <c r="B5866">
        <v>148</v>
      </c>
      <c r="C5866" s="1" t="str">
        <f>HYPERLINK("http://www.rosaceae.org/gb/gbrowse/malus_x_domestica/?name=MDP0000119809","MDP0000119809")</f>
        <v>MDP0000119809</v>
      </c>
      <c r="D5866">
        <v>72.819999999999993</v>
      </c>
      <c r="E5866">
        <v>92</v>
      </c>
      <c r="F5866">
        <v>25</v>
      </c>
      <c r="G5866">
        <v>15</v>
      </c>
      <c r="H5866">
        <v>47</v>
      </c>
      <c r="I5866">
        <v>123</v>
      </c>
      <c r="J5866">
        <v>1</v>
      </c>
      <c r="K5866">
        <v>64</v>
      </c>
      <c r="L5866">
        <v>155</v>
      </c>
      <c r="M5866">
        <v>1</v>
      </c>
      <c r="N5866">
        <v>4.7328500000000002E-31</v>
      </c>
      <c r="O5866">
        <v>327</v>
      </c>
    </row>
    <row r="5867" spans="1:15" x14ac:dyDescent="0.25">
      <c r="A5867" t="s">
        <v>5880</v>
      </c>
      <c r="B5867">
        <v>359</v>
      </c>
      <c r="C5867" s="1" t="str">
        <f>HYPERLINK("http://www.rosaceae.org/gb/gbrowse/malus_x_domestica/?name=MDP0000321751","MDP0000321751")</f>
        <v>MDP0000321751</v>
      </c>
      <c r="D5867">
        <v>56.64</v>
      </c>
      <c r="E5867">
        <v>316</v>
      </c>
      <c r="F5867">
        <v>137</v>
      </c>
      <c r="G5867">
        <v>51</v>
      </c>
      <c r="H5867">
        <v>1</v>
      </c>
      <c r="I5867">
        <v>314</v>
      </c>
      <c r="J5867">
        <v>1</v>
      </c>
      <c r="K5867">
        <v>37</v>
      </c>
      <c r="L5867">
        <v>303</v>
      </c>
      <c r="M5867">
        <v>1</v>
      </c>
      <c r="N5867">
        <v>6.3763699999999995E-89</v>
      </c>
      <c r="O5867">
        <v>832</v>
      </c>
    </row>
    <row r="5868" spans="1:15" x14ac:dyDescent="0.25">
      <c r="A5868" t="s">
        <v>5881</v>
      </c>
      <c r="B5868">
        <v>567</v>
      </c>
      <c r="C5868" s="1" t="str">
        <f>HYPERLINK("http://www.rosaceae.org/gb/gbrowse/malus_x_domestica/?name=MDP0000295279","MDP0000295279")</f>
        <v>MDP0000295279</v>
      </c>
      <c r="D5868">
        <v>50.46</v>
      </c>
      <c r="E5868">
        <v>535</v>
      </c>
      <c r="F5868">
        <v>265</v>
      </c>
      <c r="G5868">
        <v>31</v>
      </c>
      <c r="H5868">
        <v>47</v>
      </c>
      <c r="I5868">
        <v>562</v>
      </c>
      <c r="J5868">
        <v>1</v>
      </c>
      <c r="K5868">
        <v>36</v>
      </c>
      <c r="L5868">
        <v>558</v>
      </c>
      <c r="M5868">
        <v>1</v>
      </c>
      <c r="N5868">
        <v>3.9941700000000002E-144</v>
      </c>
      <c r="O5868">
        <v>1310</v>
      </c>
    </row>
    <row r="5869" spans="1:15" x14ac:dyDescent="0.25">
      <c r="A5869" t="s">
        <v>5882</v>
      </c>
      <c r="B5869">
        <v>676</v>
      </c>
      <c r="C5869" s="1" t="str">
        <f>HYPERLINK("http://www.rosaceae.org/gb/gbrowse/malus_x_domestica/?name=MDP0000255057","MDP0000255057")</f>
        <v>MDP0000255057</v>
      </c>
      <c r="D5869">
        <v>67.849999999999994</v>
      </c>
      <c r="E5869">
        <v>84</v>
      </c>
      <c r="F5869">
        <v>27</v>
      </c>
      <c r="G5869">
        <v>0</v>
      </c>
      <c r="H5869">
        <v>551</v>
      </c>
      <c r="I5869">
        <v>634</v>
      </c>
      <c r="J5869">
        <v>1</v>
      </c>
      <c r="K5869">
        <v>651</v>
      </c>
      <c r="L5869">
        <v>734</v>
      </c>
      <c r="M5869">
        <v>1</v>
      </c>
      <c r="N5869">
        <v>9.4320599999999994E-27</v>
      </c>
      <c r="O5869">
        <v>299</v>
      </c>
    </row>
    <row r="5870" spans="1:15" x14ac:dyDescent="0.25">
      <c r="A5870" t="s">
        <v>5883</v>
      </c>
      <c r="B5870">
        <v>293</v>
      </c>
      <c r="C5870" s="1" t="str">
        <f>HYPERLINK("http://www.rosaceae.org/gb/gbrowse/malus_x_domestica/?name=MDP0000144634","MDP0000144634")</f>
        <v>MDP0000144634</v>
      </c>
      <c r="D5870">
        <v>68.239999999999995</v>
      </c>
      <c r="E5870">
        <v>148</v>
      </c>
      <c r="F5870">
        <v>47</v>
      </c>
      <c r="G5870">
        <v>2</v>
      </c>
      <c r="H5870">
        <v>1</v>
      </c>
      <c r="I5870">
        <v>147</v>
      </c>
      <c r="J5870">
        <v>1</v>
      </c>
      <c r="K5870">
        <v>1</v>
      </c>
      <c r="L5870">
        <v>147</v>
      </c>
      <c r="M5870">
        <v>1</v>
      </c>
      <c r="N5870">
        <v>3.2824800000000003E-51</v>
      </c>
      <c r="O5870">
        <v>505</v>
      </c>
    </row>
    <row r="5871" spans="1:15" x14ac:dyDescent="0.25">
      <c r="A5871" t="s">
        <v>5884</v>
      </c>
      <c r="B5871">
        <v>304</v>
      </c>
      <c r="C5871" s="1" t="str">
        <f>HYPERLINK("http://www.rosaceae.org/gb/gbrowse/malus_x_domestica/?name=MDP0000216913","MDP0000216913")</f>
        <v>MDP0000216913</v>
      </c>
      <c r="D5871">
        <v>80.650000000000006</v>
      </c>
      <c r="E5871">
        <v>305</v>
      </c>
      <c r="F5871">
        <v>59</v>
      </c>
      <c r="G5871">
        <v>2</v>
      </c>
      <c r="H5871">
        <v>1</v>
      </c>
      <c r="I5871">
        <v>303</v>
      </c>
      <c r="J5871">
        <v>1</v>
      </c>
      <c r="K5871">
        <v>1</v>
      </c>
      <c r="L5871">
        <v>305</v>
      </c>
      <c r="M5871">
        <v>1</v>
      </c>
      <c r="N5871">
        <v>2.4888200000000001E-135</v>
      </c>
      <c r="O5871">
        <v>1231</v>
      </c>
    </row>
    <row r="5872" spans="1:15" x14ac:dyDescent="0.25">
      <c r="A5872" t="s">
        <v>5885</v>
      </c>
      <c r="B5872">
        <v>353</v>
      </c>
      <c r="C5872" s="1" t="str">
        <f>HYPERLINK("http://www.rosaceae.org/gb/gbrowse/malus_x_domestica/?name=MDP0000547021","MDP0000547021")</f>
        <v>MDP0000547021</v>
      </c>
      <c r="D5872">
        <v>64.84</v>
      </c>
      <c r="E5872">
        <v>330</v>
      </c>
      <c r="F5872">
        <v>116</v>
      </c>
      <c r="G5872">
        <v>6</v>
      </c>
      <c r="H5872">
        <v>26</v>
      </c>
      <c r="I5872">
        <v>353</v>
      </c>
      <c r="J5872">
        <v>1</v>
      </c>
      <c r="K5872">
        <v>26</v>
      </c>
      <c r="L5872">
        <v>351</v>
      </c>
      <c r="M5872">
        <v>1</v>
      </c>
      <c r="N5872">
        <v>5.9709299999999999E-116</v>
      </c>
      <c r="O5872">
        <v>1065</v>
      </c>
    </row>
    <row r="5873" spans="1:15" x14ac:dyDescent="0.25">
      <c r="A5873" t="s">
        <v>5886</v>
      </c>
      <c r="B5873">
        <v>249</v>
      </c>
      <c r="C5873" s="1" t="str">
        <f>HYPERLINK("http://www.rosaceae.org/gb/gbrowse/malus_x_domestica/?name=MDP0000249386","MDP0000249386")</f>
        <v>MDP0000249386</v>
      </c>
      <c r="D5873">
        <v>64.94</v>
      </c>
      <c r="E5873">
        <v>174</v>
      </c>
      <c r="F5873">
        <v>61</v>
      </c>
      <c r="G5873">
        <v>21</v>
      </c>
      <c r="H5873">
        <v>25</v>
      </c>
      <c r="I5873">
        <v>178</v>
      </c>
      <c r="J5873">
        <v>1</v>
      </c>
      <c r="K5873">
        <v>62</v>
      </c>
      <c r="L5873">
        <v>234</v>
      </c>
      <c r="M5873">
        <v>1</v>
      </c>
      <c r="N5873">
        <v>1.8889399999999999E-56</v>
      </c>
      <c r="O5873">
        <v>550</v>
      </c>
    </row>
    <row r="5874" spans="1:15" x14ac:dyDescent="0.25">
      <c r="A5874" t="s">
        <v>5887</v>
      </c>
      <c r="B5874">
        <v>278</v>
      </c>
      <c r="C5874" s="1" t="str">
        <f>HYPERLINK("http://www.rosaceae.org/gb/gbrowse/malus_x_domestica/?name=MDP0000525933","MDP0000525933")</f>
        <v>MDP0000525933</v>
      </c>
      <c r="D5874">
        <v>56.01</v>
      </c>
      <c r="E5874">
        <v>291</v>
      </c>
      <c r="F5874">
        <v>128</v>
      </c>
      <c r="G5874">
        <v>26</v>
      </c>
      <c r="H5874">
        <v>1</v>
      </c>
      <c r="I5874">
        <v>277</v>
      </c>
      <c r="J5874">
        <v>1</v>
      </c>
      <c r="K5874">
        <v>1</v>
      </c>
      <c r="L5874">
        <v>279</v>
      </c>
      <c r="M5874">
        <v>1</v>
      </c>
      <c r="N5874">
        <v>1.1714E-73</v>
      </c>
      <c r="O5874">
        <v>699</v>
      </c>
    </row>
    <row r="5875" spans="1:15" x14ac:dyDescent="0.25">
      <c r="A5875" t="s">
        <v>5888</v>
      </c>
      <c r="B5875">
        <v>613</v>
      </c>
      <c r="C5875" s="1" t="str">
        <f>HYPERLINK("http://www.rosaceae.org/gb/gbrowse/malus_x_domestica/?name=MDP0000313820","MDP0000313820")</f>
        <v>MDP0000313820</v>
      </c>
      <c r="D5875">
        <v>61.41</v>
      </c>
      <c r="E5875">
        <v>622</v>
      </c>
      <c r="F5875">
        <v>240</v>
      </c>
      <c r="G5875">
        <v>67</v>
      </c>
      <c r="H5875">
        <v>1</v>
      </c>
      <c r="I5875">
        <v>613</v>
      </c>
      <c r="J5875">
        <v>1</v>
      </c>
      <c r="K5875">
        <v>1</v>
      </c>
      <c r="L5875">
        <v>564</v>
      </c>
      <c r="M5875">
        <v>1</v>
      </c>
      <c r="N5875">
        <v>0</v>
      </c>
      <c r="O5875">
        <v>1859</v>
      </c>
    </row>
    <row r="5876" spans="1:15" x14ac:dyDescent="0.25">
      <c r="A5876" t="s">
        <v>5889</v>
      </c>
      <c r="B5876">
        <v>1030</v>
      </c>
      <c r="C5876" s="1" t="str">
        <f>HYPERLINK("http://www.rosaceae.org/gb/gbrowse/malus_x_domestica/?name=MDP0000241635","MDP0000241635")</f>
        <v>MDP0000241635</v>
      </c>
      <c r="D5876">
        <v>56.84</v>
      </c>
      <c r="E5876">
        <v>431</v>
      </c>
      <c r="F5876">
        <v>186</v>
      </c>
      <c r="G5876">
        <v>11</v>
      </c>
      <c r="H5876">
        <v>605</v>
      </c>
      <c r="I5876">
        <v>1030</v>
      </c>
      <c r="J5876">
        <v>1</v>
      </c>
      <c r="K5876">
        <v>40</v>
      </c>
      <c r="L5876">
        <v>464</v>
      </c>
      <c r="M5876">
        <v>1</v>
      </c>
      <c r="N5876">
        <v>8.28214E-126</v>
      </c>
      <c r="O5876">
        <v>1155</v>
      </c>
    </row>
    <row r="5877" spans="1:15" x14ac:dyDescent="0.25">
      <c r="A5877" t="s">
        <v>5890</v>
      </c>
      <c r="B5877">
        <v>528</v>
      </c>
      <c r="C5877" s="1" t="str">
        <f>HYPERLINK("http://www.rosaceae.org/gb/gbrowse/malus_x_domestica/?name=MDP0000406399","MDP0000406399")</f>
        <v>MDP0000406399</v>
      </c>
      <c r="D5877">
        <v>84.87</v>
      </c>
      <c r="E5877">
        <v>324</v>
      </c>
      <c r="F5877">
        <v>49</v>
      </c>
      <c r="G5877">
        <v>0</v>
      </c>
      <c r="H5877">
        <v>205</v>
      </c>
      <c r="I5877">
        <v>528</v>
      </c>
      <c r="J5877">
        <v>1</v>
      </c>
      <c r="K5877">
        <v>1</v>
      </c>
      <c r="L5877">
        <v>324</v>
      </c>
      <c r="M5877">
        <v>1</v>
      </c>
      <c r="N5877">
        <v>7.1236700000000002E-165</v>
      </c>
      <c r="O5877">
        <v>1489</v>
      </c>
    </row>
    <row r="5878" spans="1:15" x14ac:dyDescent="0.25">
      <c r="A5878" t="s">
        <v>5891</v>
      </c>
      <c r="B5878">
        <v>411</v>
      </c>
      <c r="C5878" s="1" t="str">
        <f>HYPERLINK("http://www.rosaceae.org/gb/gbrowse/malus_x_domestica/?name=MDP0000185125","MDP0000185125")</f>
        <v>MDP0000185125</v>
      </c>
      <c r="D5878">
        <v>29.71</v>
      </c>
      <c r="E5878">
        <v>212</v>
      </c>
      <c r="F5878">
        <v>149</v>
      </c>
      <c r="G5878">
        <v>2</v>
      </c>
      <c r="H5878">
        <v>167</v>
      </c>
      <c r="I5878">
        <v>378</v>
      </c>
      <c r="J5878">
        <v>1</v>
      </c>
      <c r="K5878">
        <v>8</v>
      </c>
      <c r="L5878">
        <v>217</v>
      </c>
      <c r="M5878">
        <v>1</v>
      </c>
      <c r="N5878">
        <v>3.8588899999999998E-22</v>
      </c>
      <c r="O5878">
        <v>256</v>
      </c>
    </row>
    <row r="5879" spans="1:15" x14ac:dyDescent="0.25">
      <c r="A5879" t="s">
        <v>5892</v>
      </c>
      <c r="B5879">
        <v>169</v>
      </c>
      <c r="C5879" s="1" t="str">
        <f>HYPERLINK("http://www.rosaceae.org/gb/gbrowse/malus_x_domestica/?name=MDP0000317775","MDP0000317775")</f>
        <v>MDP0000317775</v>
      </c>
      <c r="D5879">
        <v>56.14</v>
      </c>
      <c r="E5879">
        <v>171</v>
      </c>
      <c r="F5879">
        <v>75</v>
      </c>
      <c r="G5879">
        <v>6</v>
      </c>
      <c r="H5879">
        <v>1</v>
      </c>
      <c r="I5879">
        <v>168</v>
      </c>
      <c r="J5879">
        <v>1</v>
      </c>
      <c r="K5879">
        <v>1</v>
      </c>
      <c r="L5879">
        <v>168</v>
      </c>
      <c r="M5879">
        <v>1</v>
      </c>
      <c r="N5879">
        <v>1.5188500000000001E-45</v>
      </c>
      <c r="O5879">
        <v>453</v>
      </c>
    </row>
    <row r="5880" spans="1:15" x14ac:dyDescent="0.25">
      <c r="A5880" t="s">
        <v>5893</v>
      </c>
      <c r="B5880">
        <v>275</v>
      </c>
      <c r="C5880" s="1" t="str">
        <f>HYPERLINK("http://www.rosaceae.org/gb/gbrowse/malus_x_domestica/?name=MDP0000249748","MDP0000249748")</f>
        <v>MDP0000249748</v>
      </c>
      <c r="D5880">
        <v>45.38</v>
      </c>
      <c r="E5880">
        <v>271</v>
      </c>
      <c r="F5880">
        <v>148</v>
      </c>
      <c r="G5880">
        <v>27</v>
      </c>
      <c r="H5880">
        <v>1</v>
      </c>
      <c r="I5880">
        <v>270</v>
      </c>
      <c r="J5880">
        <v>1</v>
      </c>
      <c r="K5880">
        <v>173</v>
      </c>
      <c r="L5880">
        <v>417</v>
      </c>
      <c r="M5880">
        <v>1</v>
      </c>
      <c r="N5880">
        <v>1.6347799999999999E-44</v>
      </c>
      <c r="O5880">
        <v>447</v>
      </c>
    </row>
    <row r="5881" spans="1:15" x14ac:dyDescent="0.25">
      <c r="A5881" t="s">
        <v>5894</v>
      </c>
      <c r="B5881">
        <v>1508</v>
      </c>
      <c r="C5881" s="1" t="str">
        <f>HYPERLINK("http://www.rosaceae.org/gb/gbrowse/malus_x_domestica/?name=MDP0000255111","MDP0000255111")</f>
        <v>MDP0000255111</v>
      </c>
      <c r="D5881">
        <v>54.08</v>
      </c>
      <c r="E5881">
        <v>612</v>
      </c>
      <c r="F5881">
        <v>281</v>
      </c>
      <c r="G5881">
        <v>67</v>
      </c>
      <c r="H5881">
        <v>509</v>
      </c>
      <c r="I5881">
        <v>1097</v>
      </c>
      <c r="J5881">
        <v>1</v>
      </c>
      <c r="K5881">
        <v>562</v>
      </c>
      <c r="L5881">
        <v>1129</v>
      </c>
      <c r="M5881">
        <v>1</v>
      </c>
      <c r="N5881">
        <v>1.00378E-159</v>
      </c>
      <c r="O5881">
        <v>1449</v>
      </c>
    </row>
    <row r="5882" spans="1:15" x14ac:dyDescent="0.25">
      <c r="A5882" t="s">
        <v>5895</v>
      </c>
      <c r="B5882">
        <v>624</v>
      </c>
      <c r="C5882" s="1" t="str">
        <f>HYPERLINK("http://www.rosaceae.org/gb/gbrowse/malus_x_domestica/?name=MDP0000318606","MDP0000318606")</f>
        <v>MDP0000318606</v>
      </c>
      <c r="D5882">
        <v>68.010000000000005</v>
      </c>
      <c r="E5882">
        <v>594</v>
      </c>
      <c r="F5882">
        <v>190</v>
      </c>
      <c r="G5882">
        <v>17</v>
      </c>
      <c r="H5882">
        <v>32</v>
      </c>
      <c r="I5882">
        <v>624</v>
      </c>
      <c r="J5882">
        <v>1</v>
      </c>
      <c r="K5882">
        <v>1</v>
      </c>
      <c r="L5882">
        <v>578</v>
      </c>
      <c r="M5882">
        <v>1</v>
      </c>
      <c r="N5882">
        <v>0</v>
      </c>
      <c r="O5882">
        <v>2238</v>
      </c>
    </row>
    <row r="5883" spans="1:15" x14ac:dyDescent="0.25">
      <c r="A5883" t="s">
        <v>5896</v>
      </c>
      <c r="B5883">
        <v>723</v>
      </c>
      <c r="C5883" s="1" t="str">
        <f>HYPERLINK("http://www.rosaceae.org/gb/gbrowse/malus_x_domestica/?name=MDP0000225680","MDP0000225680")</f>
        <v>MDP0000225680</v>
      </c>
      <c r="D5883">
        <v>72.44</v>
      </c>
      <c r="E5883">
        <v>588</v>
      </c>
      <c r="F5883">
        <v>162</v>
      </c>
      <c r="G5883">
        <v>16</v>
      </c>
      <c r="H5883">
        <v>123</v>
      </c>
      <c r="I5883">
        <v>699</v>
      </c>
      <c r="J5883">
        <v>1</v>
      </c>
      <c r="K5883">
        <v>191</v>
      </c>
      <c r="L5883">
        <v>773</v>
      </c>
      <c r="M5883">
        <v>1</v>
      </c>
      <c r="N5883">
        <v>0</v>
      </c>
      <c r="O5883">
        <v>2018</v>
      </c>
    </row>
    <row r="5884" spans="1:15" x14ac:dyDescent="0.25">
      <c r="A5884" t="s">
        <v>5897</v>
      </c>
      <c r="B5884">
        <v>330</v>
      </c>
      <c r="C5884" s="1" t="str">
        <f>HYPERLINK("http://www.rosaceae.org/gb/gbrowse/malus_x_domestica/?name=MDP0000208127","MDP0000208127")</f>
        <v>MDP0000208127</v>
      </c>
      <c r="D5884">
        <v>64.64</v>
      </c>
      <c r="E5884">
        <v>314</v>
      </c>
      <c r="F5884">
        <v>111</v>
      </c>
      <c r="G5884">
        <v>12</v>
      </c>
      <c r="H5884">
        <v>18</v>
      </c>
      <c r="I5884">
        <v>330</v>
      </c>
      <c r="J5884">
        <v>1</v>
      </c>
      <c r="K5884">
        <v>1</v>
      </c>
      <c r="L5884">
        <v>303</v>
      </c>
      <c r="M5884">
        <v>1</v>
      </c>
      <c r="N5884">
        <v>3.7585000000000001E-112</v>
      </c>
      <c r="O5884">
        <v>1032</v>
      </c>
    </row>
    <row r="5885" spans="1:15" x14ac:dyDescent="0.25">
      <c r="A5885" t="s">
        <v>5898</v>
      </c>
      <c r="B5885">
        <v>528</v>
      </c>
      <c r="C5885" s="1" t="str">
        <f>HYPERLINK("http://www.rosaceae.org/gb/gbrowse/malus_x_domestica/?name=MDP0000320533","MDP0000320533")</f>
        <v>MDP0000320533</v>
      </c>
      <c r="D5885">
        <v>75.78</v>
      </c>
      <c r="E5885">
        <v>128</v>
      </c>
      <c r="F5885">
        <v>31</v>
      </c>
      <c r="G5885">
        <v>9</v>
      </c>
      <c r="H5885">
        <v>410</v>
      </c>
      <c r="I5885">
        <v>528</v>
      </c>
      <c r="J5885">
        <v>1</v>
      </c>
      <c r="K5885">
        <v>2</v>
      </c>
      <c r="L5885">
        <v>129</v>
      </c>
      <c r="M5885">
        <v>1</v>
      </c>
      <c r="N5885">
        <v>1.40024E-49</v>
      </c>
      <c r="O5885">
        <v>494</v>
      </c>
    </row>
    <row r="5886" spans="1:15" x14ac:dyDescent="0.25">
      <c r="A5886" t="s">
        <v>5899</v>
      </c>
      <c r="B5886">
        <v>167</v>
      </c>
      <c r="C5886" s="1" t="str">
        <f>HYPERLINK("http://www.rosaceae.org/gb/gbrowse/malus_x_domestica/?name=MDP0000351918","MDP0000351918")</f>
        <v>MDP0000351918</v>
      </c>
      <c r="D5886">
        <v>61.72</v>
      </c>
      <c r="E5886">
        <v>162</v>
      </c>
      <c r="F5886">
        <v>62</v>
      </c>
      <c r="G5886">
        <v>2</v>
      </c>
      <c r="H5886">
        <v>7</v>
      </c>
      <c r="I5886">
        <v>167</v>
      </c>
      <c r="J5886">
        <v>1</v>
      </c>
      <c r="K5886">
        <v>53</v>
      </c>
      <c r="L5886">
        <v>213</v>
      </c>
      <c r="M5886">
        <v>1</v>
      </c>
      <c r="N5886">
        <v>4.0834899999999998E-49</v>
      </c>
      <c r="O5886">
        <v>484</v>
      </c>
    </row>
    <row r="5887" spans="1:15" x14ac:dyDescent="0.25">
      <c r="A5887" t="s">
        <v>5900</v>
      </c>
      <c r="B5887">
        <v>225</v>
      </c>
      <c r="C5887" s="1" t="str">
        <f>HYPERLINK("http://www.rosaceae.org/gb/gbrowse/malus_x_domestica/?name=MDP0000303249","MDP0000303249")</f>
        <v>MDP0000303249</v>
      </c>
      <c r="D5887">
        <v>87.01</v>
      </c>
      <c r="E5887">
        <v>154</v>
      </c>
      <c r="F5887">
        <v>20</v>
      </c>
      <c r="G5887">
        <v>5</v>
      </c>
      <c r="H5887">
        <v>77</v>
      </c>
      <c r="I5887">
        <v>225</v>
      </c>
      <c r="J5887">
        <v>1</v>
      </c>
      <c r="K5887">
        <v>18</v>
      </c>
      <c r="L5887">
        <v>171</v>
      </c>
      <c r="M5887">
        <v>1</v>
      </c>
      <c r="N5887">
        <v>4.4864899999999999E-71</v>
      </c>
      <c r="O5887">
        <v>675</v>
      </c>
    </row>
    <row r="5888" spans="1:15" x14ac:dyDescent="0.25">
      <c r="A5888" t="s">
        <v>5901</v>
      </c>
      <c r="B5888">
        <v>186</v>
      </c>
      <c r="C5888" s="1" t="str">
        <f>HYPERLINK("http://www.rosaceae.org/gb/gbrowse/malus_x_domestica/?name=MDP0000259730","MDP0000259730")</f>
        <v>MDP0000259730</v>
      </c>
      <c r="D5888">
        <v>90.78</v>
      </c>
      <c r="E5888">
        <v>152</v>
      </c>
      <c r="F5888">
        <v>14</v>
      </c>
      <c r="G5888">
        <v>0</v>
      </c>
      <c r="H5888">
        <v>35</v>
      </c>
      <c r="I5888">
        <v>186</v>
      </c>
      <c r="J5888">
        <v>1</v>
      </c>
      <c r="K5888">
        <v>163</v>
      </c>
      <c r="L5888">
        <v>314</v>
      </c>
      <c r="M5888">
        <v>1</v>
      </c>
      <c r="N5888">
        <v>2.19825E-74</v>
      </c>
      <c r="O5888">
        <v>703</v>
      </c>
    </row>
    <row r="5889" spans="1:15" x14ac:dyDescent="0.25">
      <c r="A5889" t="s">
        <v>5902</v>
      </c>
      <c r="B5889">
        <v>518</v>
      </c>
      <c r="C5889" s="1" t="str">
        <f>HYPERLINK("http://www.rosaceae.org/gb/gbrowse/malus_x_domestica/?name=MDP0000233667","MDP0000233667")</f>
        <v>MDP0000233667</v>
      </c>
      <c r="D5889">
        <v>74.489999999999995</v>
      </c>
      <c r="E5889">
        <v>545</v>
      </c>
      <c r="F5889">
        <v>139</v>
      </c>
      <c r="G5889">
        <v>36</v>
      </c>
      <c r="H5889">
        <v>1</v>
      </c>
      <c r="I5889">
        <v>518</v>
      </c>
      <c r="J5889">
        <v>1</v>
      </c>
      <c r="K5889">
        <v>1</v>
      </c>
      <c r="L5889">
        <v>536</v>
      </c>
      <c r="M5889">
        <v>1</v>
      </c>
      <c r="N5889">
        <v>0</v>
      </c>
      <c r="O5889">
        <v>2023</v>
      </c>
    </row>
    <row r="5890" spans="1:15" x14ac:dyDescent="0.25">
      <c r="A5890" t="s">
        <v>5903</v>
      </c>
      <c r="B5890">
        <v>482</v>
      </c>
      <c r="C5890" s="1" t="str">
        <f>HYPERLINK("http://www.rosaceae.org/gb/gbrowse/malus_x_domestica/?name=MDP0000283500","MDP0000283500")</f>
        <v>MDP0000283500</v>
      </c>
      <c r="D5890">
        <v>74.7</v>
      </c>
      <c r="E5890">
        <v>253</v>
      </c>
      <c r="F5890">
        <v>64</v>
      </c>
      <c r="G5890">
        <v>1</v>
      </c>
      <c r="H5890">
        <v>8</v>
      </c>
      <c r="I5890">
        <v>259</v>
      </c>
      <c r="J5890">
        <v>1</v>
      </c>
      <c r="K5890">
        <v>65</v>
      </c>
      <c r="L5890">
        <v>317</v>
      </c>
      <c r="M5890">
        <v>1</v>
      </c>
      <c r="N5890">
        <v>8.7523200000000003E-113</v>
      </c>
      <c r="O5890">
        <v>1039</v>
      </c>
    </row>
    <row r="5891" spans="1:15" x14ac:dyDescent="0.25">
      <c r="A5891" t="s">
        <v>5904</v>
      </c>
      <c r="B5891">
        <v>386</v>
      </c>
      <c r="C5891" s="1" t="str">
        <f>HYPERLINK("http://www.rosaceae.org/gb/gbrowse/malus_x_domestica/?name=MDP0000147526","MDP0000147526")</f>
        <v>MDP0000147526</v>
      </c>
      <c r="D5891">
        <v>43.64</v>
      </c>
      <c r="E5891">
        <v>401</v>
      </c>
      <c r="F5891">
        <v>226</v>
      </c>
      <c r="G5891">
        <v>53</v>
      </c>
      <c r="H5891">
        <v>8</v>
      </c>
      <c r="I5891">
        <v>386</v>
      </c>
      <c r="J5891">
        <v>1</v>
      </c>
      <c r="K5891">
        <v>4</v>
      </c>
      <c r="L5891">
        <v>373</v>
      </c>
      <c r="M5891">
        <v>1</v>
      </c>
      <c r="N5891">
        <v>4.1202500000000001E-73</v>
      </c>
      <c r="O5891">
        <v>696</v>
      </c>
    </row>
    <row r="5892" spans="1:15" x14ac:dyDescent="0.25">
      <c r="A5892" t="s">
        <v>5905</v>
      </c>
      <c r="B5892">
        <v>201</v>
      </c>
      <c r="C5892" s="1" t="str">
        <f>HYPERLINK("http://www.rosaceae.org/gb/gbrowse/malus_x_domestica/?name=MDP0000872167","MDP0000872167")</f>
        <v>MDP0000872167</v>
      </c>
      <c r="D5892">
        <v>34.89</v>
      </c>
      <c r="E5892">
        <v>192</v>
      </c>
      <c r="F5892">
        <v>125</v>
      </c>
      <c r="G5892">
        <v>16</v>
      </c>
      <c r="H5892">
        <v>1</v>
      </c>
      <c r="I5892">
        <v>185</v>
      </c>
      <c r="J5892">
        <v>1</v>
      </c>
      <c r="K5892">
        <v>76</v>
      </c>
      <c r="L5892">
        <v>258</v>
      </c>
      <c r="M5892">
        <v>1</v>
      </c>
      <c r="N5892">
        <v>4.7727399999999997E-21</v>
      </c>
      <c r="O5892">
        <v>243</v>
      </c>
    </row>
    <row r="5893" spans="1:15" x14ac:dyDescent="0.25">
      <c r="A5893" t="s">
        <v>5906</v>
      </c>
      <c r="B5893">
        <v>336</v>
      </c>
      <c r="C5893" s="1" t="str">
        <f>HYPERLINK("http://www.rosaceae.org/gb/gbrowse/malus_x_domestica/?name=MDP0000602946","MDP0000602946")</f>
        <v>MDP0000602946</v>
      </c>
      <c r="D5893">
        <v>59.22</v>
      </c>
      <c r="E5893">
        <v>336</v>
      </c>
      <c r="F5893">
        <v>137</v>
      </c>
      <c r="G5893">
        <v>28</v>
      </c>
      <c r="H5893">
        <v>18</v>
      </c>
      <c r="I5893">
        <v>336</v>
      </c>
      <c r="J5893">
        <v>1</v>
      </c>
      <c r="K5893">
        <v>97</v>
      </c>
      <c r="L5893">
        <v>421</v>
      </c>
      <c r="M5893">
        <v>1</v>
      </c>
      <c r="N5893">
        <v>1.84943E-87</v>
      </c>
      <c r="O5893">
        <v>819</v>
      </c>
    </row>
    <row r="5894" spans="1:15" x14ac:dyDescent="0.25">
      <c r="A5894" t="s">
        <v>5907</v>
      </c>
      <c r="B5894">
        <v>392</v>
      </c>
      <c r="C5894" s="1" t="str">
        <f>HYPERLINK("http://www.rosaceae.org/gb/gbrowse/malus_x_domestica/?name=MDP0000322119","MDP0000322119")</f>
        <v>MDP0000322119</v>
      </c>
      <c r="D5894">
        <v>59.09</v>
      </c>
      <c r="E5894">
        <v>308</v>
      </c>
      <c r="F5894">
        <v>126</v>
      </c>
      <c r="G5894">
        <v>3</v>
      </c>
      <c r="H5894">
        <v>35</v>
      </c>
      <c r="I5894">
        <v>340</v>
      </c>
      <c r="J5894">
        <v>1</v>
      </c>
      <c r="K5894">
        <v>43</v>
      </c>
      <c r="L5894">
        <v>349</v>
      </c>
      <c r="M5894">
        <v>1</v>
      </c>
      <c r="N5894">
        <v>1.0972E-105</v>
      </c>
      <c r="O5894">
        <v>977</v>
      </c>
    </row>
    <row r="5895" spans="1:15" x14ac:dyDescent="0.25">
      <c r="A5895" t="s">
        <v>5908</v>
      </c>
      <c r="B5895">
        <v>325</v>
      </c>
      <c r="C5895" s="1" t="str">
        <f>HYPERLINK("http://www.rosaceae.org/gb/gbrowse/malus_x_domestica/?name=MDP0000162563","MDP0000162563")</f>
        <v>MDP0000162563</v>
      </c>
      <c r="D5895">
        <v>48.08</v>
      </c>
      <c r="E5895">
        <v>183</v>
      </c>
      <c r="F5895">
        <v>95</v>
      </c>
      <c r="G5895">
        <v>3</v>
      </c>
      <c r="H5895">
        <v>3</v>
      </c>
      <c r="I5895">
        <v>184</v>
      </c>
      <c r="J5895">
        <v>1</v>
      </c>
      <c r="K5895">
        <v>140</v>
      </c>
      <c r="L5895">
        <v>320</v>
      </c>
      <c r="M5895">
        <v>1</v>
      </c>
      <c r="N5895">
        <v>1.17775E-37</v>
      </c>
      <c r="O5895">
        <v>389</v>
      </c>
    </row>
    <row r="5896" spans="1:15" x14ac:dyDescent="0.25">
      <c r="A5896" t="s">
        <v>5909</v>
      </c>
      <c r="B5896">
        <v>471</v>
      </c>
      <c r="C5896" s="1" t="str">
        <f>HYPERLINK("http://www.rosaceae.org/gb/gbrowse/malus_x_domestica/?name=MDP0000304555","MDP0000304555")</f>
        <v>MDP0000304555</v>
      </c>
      <c r="D5896">
        <v>41.23</v>
      </c>
      <c r="E5896">
        <v>468</v>
      </c>
      <c r="F5896">
        <v>275</v>
      </c>
      <c r="G5896">
        <v>36</v>
      </c>
      <c r="H5896">
        <v>6</v>
      </c>
      <c r="I5896">
        <v>440</v>
      </c>
      <c r="J5896">
        <v>1</v>
      </c>
      <c r="K5896">
        <v>301</v>
      </c>
      <c r="L5896">
        <v>765</v>
      </c>
      <c r="M5896">
        <v>1</v>
      </c>
      <c r="N5896">
        <v>4.0829099999999998E-79</v>
      </c>
      <c r="O5896">
        <v>748</v>
      </c>
    </row>
    <row r="5897" spans="1:15" x14ac:dyDescent="0.25">
      <c r="A5897" t="s">
        <v>5910</v>
      </c>
      <c r="B5897">
        <v>106</v>
      </c>
      <c r="C5897" s="1" t="str">
        <f>HYPERLINK("http://www.rosaceae.org/gb/gbrowse/malus_x_domestica/?name=MDP0000230952","MDP0000230952")</f>
        <v>MDP0000230952</v>
      </c>
      <c r="D5897">
        <v>70.09</v>
      </c>
      <c r="E5897">
        <v>107</v>
      </c>
      <c r="F5897">
        <v>32</v>
      </c>
      <c r="G5897">
        <v>1</v>
      </c>
      <c r="H5897">
        <v>1</v>
      </c>
      <c r="I5897">
        <v>106</v>
      </c>
      <c r="J5897">
        <v>1</v>
      </c>
      <c r="K5897">
        <v>68</v>
      </c>
      <c r="L5897">
        <v>174</v>
      </c>
      <c r="M5897">
        <v>1</v>
      </c>
      <c r="N5897">
        <v>1.4129299999999999E-39</v>
      </c>
      <c r="O5897">
        <v>399</v>
      </c>
    </row>
    <row r="5898" spans="1:15" x14ac:dyDescent="0.25">
      <c r="A5898" t="s">
        <v>5911</v>
      </c>
      <c r="B5898">
        <v>217</v>
      </c>
      <c r="C5898" s="1" t="str">
        <f>HYPERLINK("http://www.rosaceae.org/gb/gbrowse/malus_x_domestica/?name=MDP0000305676","MDP0000305676")</f>
        <v>MDP0000305676</v>
      </c>
      <c r="D5898">
        <v>38.57</v>
      </c>
      <c r="E5898">
        <v>210</v>
      </c>
      <c r="F5898">
        <v>129</v>
      </c>
      <c r="G5898">
        <v>14</v>
      </c>
      <c r="H5898">
        <v>7</v>
      </c>
      <c r="I5898">
        <v>216</v>
      </c>
      <c r="J5898">
        <v>1</v>
      </c>
      <c r="K5898">
        <v>8</v>
      </c>
      <c r="L5898">
        <v>203</v>
      </c>
      <c r="M5898">
        <v>1</v>
      </c>
      <c r="N5898">
        <v>2.0294499999999998E-31</v>
      </c>
      <c r="O5898">
        <v>333</v>
      </c>
    </row>
    <row r="5899" spans="1:15" x14ac:dyDescent="0.25">
      <c r="A5899" t="s">
        <v>5912</v>
      </c>
      <c r="B5899">
        <v>505</v>
      </c>
      <c r="C5899" s="1" t="str">
        <f>HYPERLINK("http://www.rosaceae.org/gb/gbrowse/malus_x_domestica/?name=MDP0000676705","MDP0000676705")</f>
        <v>MDP0000676705</v>
      </c>
      <c r="D5899">
        <v>87.22</v>
      </c>
      <c r="E5899">
        <v>493</v>
      </c>
      <c r="F5899">
        <v>63</v>
      </c>
      <c r="G5899">
        <v>3</v>
      </c>
      <c r="H5899">
        <v>1</v>
      </c>
      <c r="I5899">
        <v>490</v>
      </c>
      <c r="J5899">
        <v>1</v>
      </c>
      <c r="K5899">
        <v>5</v>
      </c>
      <c r="L5899">
        <v>497</v>
      </c>
      <c r="M5899">
        <v>1</v>
      </c>
      <c r="N5899">
        <v>0</v>
      </c>
      <c r="O5899">
        <v>2290</v>
      </c>
    </row>
    <row r="5900" spans="1:15" x14ac:dyDescent="0.25">
      <c r="A5900" t="s">
        <v>5913</v>
      </c>
      <c r="B5900">
        <v>400</v>
      </c>
      <c r="C5900" s="1" t="str">
        <f>HYPERLINK("http://www.rosaceae.org/gb/gbrowse/malus_x_domestica/?name=MDP0000265468","MDP0000265468")</f>
        <v>MDP0000265468</v>
      </c>
      <c r="D5900">
        <v>63.07</v>
      </c>
      <c r="E5900">
        <v>65</v>
      </c>
      <c r="F5900">
        <v>24</v>
      </c>
      <c r="G5900">
        <v>7</v>
      </c>
      <c r="H5900">
        <v>3</v>
      </c>
      <c r="I5900">
        <v>60</v>
      </c>
      <c r="J5900">
        <v>1</v>
      </c>
      <c r="K5900">
        <v>4</v>
      </c>
      <c r="L5900">
        <v>68</v>
      </c>
      <c r="M5900">
        <v>1</v>
      </c>
      <c r="N5900">
        <v>4.3688399999999999E-14</v>
      </c>
      <c r="O5900">
        <v>187</v>
      </c>
    </row>
    <row r="5901" spans="1:15" x14ac:dyDescent="0.25">
      <c r="A5901" t="s">
        <v>5914</v>
      </c>
      <c r="B5901">
        <v>741</v>
      </c>
      <c r="C5901" s="1" t="str">
        <f>HYPERLINK("http://www.rosaceae.org/gb/gbrowse/malus_x_domestica/?name=MDP0000296279","MDP0000296279")</f>
        <v>MDP0000296279</v>
      </c>
      <c r="D5901">
        <v>83.4</v>
      </c>
      <c r="E5901">
        <v>440</v>
      </c>
      <c r="F5901">
        <v>73</v>
      </c>
      <c r="G5901">
        <v>21</v>
      </c>
      <c r="H5901">
        <v>309</v>
      </c>
      <c r="I5901">
        <v>741</v>
      </c>
      <c r="J5901">
        <v>1</v>
      </c>
      <c r="K5901">
        <v>351</v>
      </c>
      <c r="L5901">
        <v>776</v>
      </c>
      <c r="M5901">
        <v>1</v>
      </c>
      <c r="N5901">
        <v>0</v>
      </c>
      <c r="O5901">
        <v>1947</v>
      </c>
    </row>
    <row r="5902" spans="1:15" x14ac:dyDescent="0.25">
      <c r="A5902" t="s">
        <v>5915</v>
      </c>
      <c r="B5902">
        <v>102</v>
      </c>
      <c r="C5902" s="1" t="str">
        <f>HYPERLINK("http://www.rosaceae.org/gb/gbrowse/malus_x_domestica/?name=MDP0000326957","MDP0000326957")</f>
        <v>MDP0000326957</v>
      </c>
      <c r="D5902">
        <v>55.88</v>
      </c>
      <c r="E5902">
        <v>68</v>
      </c>
      <c r="F5902">
        <v>30</v>
      </c>
      <c r="G5902">
        <v>0</v>
      </c>
      <c r="H5902">
        <v>1</v>
      </c>
      <c r="I5902">
        <v>68</v>
      </c>
      <c r="J5902">
        <v>1</v>
      </c>
      <c r="K5902">
        <v>1</v>
      </c>
      <c r="L5902">
        <v>68</v>
      </c>
      <c r="M5902">
        <v>1</v>
      </c>
      <c r="N5902">
        <v>3.10774E-14</v>
      </c>
      <c r="O5902">
        <v>180</v>
      </c>
    </row>
    <row r="5903" spans="1:15" x14ac:dyDescent="0.25">
      <c r="A5903" t="s">
        <v>5916</v>
      </c>
      <c r="B5903">
        <v>413</v>
      </c>
      <c r="C5903" s="1" t="str">
        <f>HYPERLINK("http://www.rosaceae.org/gb/gbrowse/malus_x_domestica/?name=MDP0000231266","MDP0000231266")</f>
        <v>MDP0000231266</v>
      </c>
      <c r="D5903">
        <v>74.44</v>
      </c>
      <c r="E5903">
        <v>450</v>
      </c>
      <c r="F5903">
        <v>115</v>
      </c>
      <c r="G5903">
        <v>43</v>
      </c>
      <c r="H5903">
        <v>6</v>
      </c>
      <c r="I5903">
        <v>413</v>
      </c>
      <c r="J5903">
        <v>1</v>
      </c>
      <c r="K5903">
        <v>4</v>
      </c>
      <c r="L5903">
        <v>452</v>
      </c>
      <c r="M5903">
        <v>1</v>
      </c>
      <c r="N5903">
        <v>1.40063E-173</v>
      </c>
      <c r="O5903">
        <v>1563</v>
      </c>
    </row>
    <row r="5904" spans="1:15" x14ac:dyDescent="0.25">
      <c r="A5904" t="s">
        <v>5917</v>
      </c>
      <c r="B5904">
        <v>405</v>
      </c>
      <c r="C5904" s="1" t="str">
        <f>HYPERLINK("http://www.rosaceae.org/gb/gbrowse/malus_x_domestica/?name=MDP0000374466","MDP0000374466")</f>
        <v>MDP0000374466</v>
      </c>
      <c r="D5904">
        <v>59.3</v>
      </c>
      <c r="E5904">
        <v>430</v>
      </c>
      <c r="F5904">
        <v>175</v>
      </c>
      <c r="G5904">
        <v>56</v>
      </c>
      <c r="H5904">
        <v>1</v>
      </c>
      <c r="I5904">
        <v>393</v>
      </c>
      <c r="J5904">
        <v>1</v>
      </c>
      <c r="K5904">
        <v>1</v>
      </c>
      <c r="L5904">
        <v>411</v>
      </c>
      <c r="M5904">
        <v>1</v>
      </c>
      <c r="N5904">
        <v>1.17268E-119</v>
      </c>
      <c r="O5904">
        <v>1097</v>
      </c>
    </row>
    <row r="5905" spans="1:15" x14ac:dyDescent="0.25">
      <c r="A5905" t="s">
        <v>5918</v>
      </c>
      <c r="B5905">
        <v>410</v>
      </c>
      <c r="C5905" s="1" t="str">
        <f>HYPERLINK("http://www.rosaceae.org/gb/gbrowse/malus_x_domestica/?name=MDP0000143357","MDP0000143357")</f>
        <v>MDP0000143357</v>
      </c>
      <c r="D5905">
        <v>57.94</v>
      </c>
      <c r="E5905">
        <v>214</v>
      </c>
      <c r="F5905">
        <v>90</v>
      </c>
      <c r="G5905">
        <v>11</v>
      </c>
      <c r="H5905">
        <v>51</v>
      </c>
      <c r="I5905">
        <v>258</v>
      </c>
      <c r="J5905">
        <v>1</v>
      </c>
      <c r="K5905">
        <v>35</v>
      </c>
      <c r="L5905">
        <v>243</v>
      </c>
      <c r="M5905">
        <v>1</v>
      </c>
      <c r="N5905">
        <v>3.6802899999999999E-59</v>
      </c>
      <c r="O5905">
        <v>576</v>
      </c>
    </row>
    <row r="5906" spans="1:15" x14ac:dyDescent="0.25">
      <c r="A5906" t="s">
        <v>5919</v>
      </c>
      <c r="B5906">
        <v>693</v>
      </c>
      <c r="C5906" s="1" t="str">
        <f>HYPERLINK("http://www.rosaceae.org/gb/gbrowse/malus_x_domestica/?name=MDP0000148377","MDP0000148377")</f>
        <v>MDP0000148377</v>
      </c>
      <c r="D5906">
        <v>59.91</v>
      </c>
      <c r="E5906">
        <v>671</v>
      </c>
      <c r="F5906">
        <v>269</v>
      </c>
      <c r="G5906">
        <v>11</v>
      </c>
      <c r="H5906">
        <v>31</v>
      </c>
      <c r="I5906">
        <v>693</v>
      </c>
      <c r="J5906">
        <v>1</v>
      </c>
      <c r="K5906">
        <v>5</v>
      </c>
      <c r="L5906">
        <v>672</v>
      </c>
      <c r="M5906">
        <v>1</v>
      </c>
      <c r="N5906">
        <v>0</v>
      </c>
      <c r="O5906">
        <v>2091</v>
      </c>
    </row>
    <row r="5907" spans="1:15" x14ac:dyDescent="0.25">
      <c r="A5907" t="s">
        <v>5920</v>
      </c>
      <c r="B5907">
        <v>661</v>
      </c>
      <c r="C5907" s="1" t="str">
        <f>HYPERLINK("http://www.rosaceae.org/gb/gbrowse/malus_x_domestica/?name=MDP0000257931","MDP0000257931")</f>
        <v>MDP0000257931</v>
      </c>
      <c r="D5907">
        <v>27.27</v>
      </c>
      <c r="E5907">
        <v>341</v>
      </c>
      <c r="F5907">
        <v>248</v>
      </c>
      <c r="G5907">
        <v>69</v>
      </c>
      <c r="H5907">
        <v>342</v>
      </c>
      <c r="I5907">
        <v>650</v>
      </c>
      <c r="J5907">
        <v>1</v>
      </c>
      <c r="K5907">
        <v>4</v>
      </c>
      <c r="L5907">
        <v>307</v>
      </c>
      <c r="M5907">
        <v>1</v>
      </c>
      <c r="N5907">
        <v>2.3634499999999999E-17</v>
      </c>
      <c r="O5907">
        <v>217</v>
      </c>
    </row>
    <row r="5908" spans="1:15" x14ac:dyDescent="0.25">
      <c r="A5908" t="s">
        <v>5921</v>
      </c>
      <c r="B5908">
        <v>508</v>
      </c>
      <c r="C5908" s="1" t="str">
        <f>HYPERLINK("http://www.rosaceae.org/gb/gbrowse/malus_x_domestica/?name=MDP0000499282","MDP0000499282")</f>
        <v>MDP0000499282</v>
      </c>
      <c r="D5908">
        <v>83.64</v>
      </c>
      <c r="E5908">
        <v>477</v>
      </c>
      <c r="F5908">
        <v>78</v>
      </c>
      <c r="G5908">
        <v>2</v>
      </c>
      <c r="H5908">
        <v>34</v>
      </c>
      <c r="I5908">
        <v>508</v>
      </c>
      <c r="J5908">
        <v>1</v>
      </c>
      <c r="K5908">
        <v>33</v>
      </c>
      <c r="L5908">
        <v>509</v>
      </c>
      <c r="M5908">
        <v>1</v>
      </c>
      <c r="N5908">
        <v>0</v>
      </c>
      <c r="O5908">
        <v>2182</v>
      </c>
    </row>
    <row r="5909" spans="1:15" x14ac:dyDescent="0.25">
      <c r="A5909" t="s">
        <v>5922</v>
      </c>
      <c r="B5909">
        <v>117</v>
      </c>
      <c r="C5909" s="1" t="str">
        <f>HYPERLINK("http://www.rosaceae.org/gb/gbrowse/malus_x_domestica/?name=MDP0000336861","MDP0000336861")</f>
        <v>MDP0000336861</v>
      </c>
      <c r="D5909">
        <v>69.14</v>
      </c>
      <c r="E5909">
        <v>94</v>
      </c>
      <c r="F5909">
        <v>29</v>
      </c>
      <c r="G5909">
        <v>0</v>
      </c>
      <c r="H5909">
        <v>21</v>
      </c>
      <c r="I5909">
        <v>114</v>
      </c>
      <c r="J5909">
        <v>1</v>
      </c>
      <c r="K5909">
        <v>6</v>
      </c>
      <c r="L5909">
        <v>99</v>
      </c>
      <c r="M5909">
        <v>1</v>
      </c>
      <c r="N5909">
        <v>1.2262700000000001E-30</v>
      </c>
      <c r="O5909">
        <v>322</v>
      </c>
    </row>
    <row r="5910" spans="1:15" x14ac:dyDescent="0.25">
      <c r="A5910" t="s">
        <v>5923</v>
      </c>
      <c r="B5910">
        <v>1388</v>
      </c>
      <c r="C5910" s="1" t="str">
        <f>HYPERLINK("http://www.rosaceae.org/gb/gbrowse/malus_x_domestica/?name=MDP0000220960","MDP0000220960")</f>
        <v>MDP0000220960</v>
      </c>
      <c r="D5910">
        <v>76.069999999999993</v>
      </c>
      <c r="E5910">
        <v>326</v>
      </c>
      <c r="F5910">
        <v>78</v>
      </c>
      <c r="G5910">
        <v>7</v>
      </c>
      <c r="H5910">
        <v>1</v>
      </c>
      <c r="I5910">
        <v>319</v>
      </c>
      <c r="J5910">
        <v>1</v>
      </c>
      <c r="K5910">
        <v>1</v>
      </c>
      <c r="L5910">
        <v>326</v>
      </c>
      <c r="M5910">
        <v>1</v>
      </c>
      <c r="N5910">
        <v>2.84081E-145</v>
      </c>
      <c r="O5910">
        <v>1324</v>
      </c>
    </row>
    <row r="5911" spans="1:15" x14ac:dyDescent="0.25">
      <c r="A5911" t="s">
        <v>5924</v>
      </c>
      <c r="B5911">
        <v>264</v>
      </c>
      <c r="C5911" s="1" t="str">
        <f>HYPERLINK("http://www.rosaceae.org/gb/gbrowse/malus_x_domestica/?name=MDP0000931380","MDP0000931380")</f>
        <v>MDP0000931380</v>
      </c>
      <c r="D5911">
        <v>64.78</v>
      </c>
      <c r="E5911">
        <v>71</v>
      </c>
      <c r="F5911">
        <v>25</v>
      </c>
      <c r="G5911">
        <v>1</v>
      </c>
      <c r="H5911">
        <v>92</v>
      </c>
      <c r="I5911">
        <v>162</v>
      </c>
      <c r="J5911">
        <v>1</v>
      </c>
      <c r="K5911">
        <v>21</v>
      </c>
      <c r="L5911">
        <v>90</v>
      </c>
      <c r="M5911">
        <v>1</v>
      </c>
      <c r="N5911">
        <v>9.5808E-21</v>
      </c>
      <c r="O5911">
        <v>242</v>
      </c>
    </row>
    <row r="5912" spans="1:15" x14ac:dyDescent="0.25">
      <c r="A5912" t="s">
        <v>5925</v>
      </c>
      <c r="B5912">
        <v>540</v>
      </c>
      <c r="C5912" s="1" t="str">
        <f>HYPERLINK("http://www.rosaceae.org/gb/gbrowse/malus_x_domestica/?name=MDP0000228096","MDP0000228096")</f>
        <v>MDP0000228096</v>
      </c>
      <c r="D5912">
        <v>88.11</v>
      </c>
      <c r="E5912">
        <v>244</v>
      </c>
      <c r="F5912">
        <v>29</v>
      </c>
      <c r="G5912">
        <v>1</v>
      </c>
      <c r="H5912">
        <v>298</v>
      </c>
      <c r="I5912">
        <v>540</v>
      </c>
      <c r="J5912">
        <v>1</v>
      </c>
      <c r="K5912">
        <v>1</v>
      </c>
      <c r="L5912">
        <v>244</v>
      </c>
      <c r="M5912">
        <v>1</v>
      </c>
      <c r="N5912">
        <v>8.2571499999999998E-127</v>
      </c>
      <c r="O5912">
        <v>1160</v>
      </c>
    </row>
    <row r="5913" spans="1:15" x14ac:dyDescent="0.25">
      <c r="A5913" t="s">
        <v>5926</v>
      </c>
      <c r="B5913">
        <v>530</v>
      </c>
      <c r="C5913" s="1" t="str">
        <f>HYPERLINK("http://www.rosaceae.org/gb/gbrowse/malus_x_domestica/?name=MDP0000239537","MDP0000239537")</f>
        <v>MDP0000239537</v>
      </c>
      <c r="D5913">
        <v>84.15</v>
      </c>
      <c r="E5913">
        <v>530</v>
      </c>
      <c r="F5913">
        <v>84</v>
      </c>
      <c r="G5913">
        <v>0</v>
      </c>
      <c r="H5913">
        <v>1</v>
      </c>
      <c r="I5913">
        <v>530</v>
      </c>
      <c r="J5913">
        <v>1</v>
      </c>
      <c r="K5913">
        <v>1</v>
      </c>
      <c r="L5913">
        <v>530</v>
      </c>
      <c r="M5913">
        <v>1</v>
      </c>
      <c r="N5913">
        <v>0</v>
      </c>
      <c r="O5913">
        <v>2368</v>
      </c>
    </row>
    <row r="5914" spans="1:15" x14ac:dyDescent="0.25">
      <c r="A5914" t="s">
        <v>5927</v>
      </c>
      <c r="B5914">
        <v>486</v>
      </c>
      <c r="C5914" s="1" t="str">
        <f>HYPERLINK("http://www.rosaceae.org/gb/gbrowse/malus_x_domestica/?name=MDP0000264903","MDP0000264903")</f>
        <v>MDP0000264903</v>
      </c>
      <c r="D5914">
        <v>71.47</v>
      </c>
      <c r="E5914">
        <v>291</v>
      </c>
      <c r="F5914">
        <v>83</v>
      </c>
      <c r="G5914">
        <v>0</v>
      </c>
      <c r="H5914">
        <v>37</v>
      </c>
      <c r="I5914">
        <v>327</v>
      </c>
      <c r="J5914">
        <v>1</v>
      </c>
      <c r="K5914">
        <v>38</v>
      </c>
      <c r="L5914">
        <v>328</v>
      </c>
      <c r="M5914">
        <v>1</v>
      </c>
      <c r="N5914">
        <v>5.3864099999999998E-126</v>
      </c>
      <c r="O5914">
        <v>1153</v>
      </c>
    </row>
    <row r="5915" spans="1:15" x14ac:dyDescent="0.25">
      <c r="A5915" t="s">
        <v>5928</v>
      </c>
      <c r="B5915">
        <v>517</v>
      </c>
      <c r="C5915" s="1" t="str">
        <f>HYPERLINK("http://www.rosaceae.org/gb/gbrowse/malus_x_domestica/?name=MDP0000319656","MDP0000319656")</f>
        <v>MDP0000319656</v>
      </c>
      <c r="D5915">
        <v>64.36</v>
      </c>
      <c r="E5915">
        <v>376</v>
      </c>
      <c r="F5915">
        <v>134</v>
      </c>
      <c r="G5915">
        <v>37</v>
      </c>
      <c r="H5915">
        <v>146</v>
      </c>
      <c r="I5915">
        <v>506</v>
      </c>
      <c r="J5915">
        <v>1</v>
      </c>
      <c r="K5915">
        <v>12</v>
      </c>
      <c r="L5915">
        <v>365</v>
      </c>
      <c r="M5915">
        <v>1</v>
      </c>
      <c r="N5915">
        <v>2.4322700000000002E-125</v>
      </c>
      <c r="O5915">
        <v>1148</v>
      </c>
    </row>
    <row r="5916" spans="1:15" x14ac:dyDescent="0.25">
      <c r="A5916" t="s">
        <v>5929</v>
      </c>
      <c r="B5916">
        <v>272</v>
      </c>
      <c r="C5916" s="1" t="str">
        <f>HYPERLINK("http://www.rosaceae.org/gb/gbrowse/malus_x_domestica/?name=MDP0000135711","MDP0000135711")</f>
        <v>MDP0000135711</v>
      </c>
      <c r="D5916">
        <v>57.95</v>
      </c>
      <c r="E5916">
        <v>352</v>
      </c>
      <c r="F5916">
        <v>148</v>
      </c>
      <c r="G5916">
        <v>95</v>
      </c>
      <c r="H5916">
        <v>1</v>
      </c>
      <c r="I5916">
        <v>261</v>
      </c>
      <c r="J5916">
        <v>1</v>
      </c>
      <c r="K5916">
        <v>130</v>
      </c>
      <c r="L5916">
        <v>477</v>
      </c>
      <c r="M5916">
        <v>1</v>
      </c>
      <c r="N5916">
        <v>1.5051299999999999E-96</v>
      </c>
      <c r="O5916">
        <v>896</v>
      </c>
    </row>
    <row r="5917" spans="1:15" x14ac:dyDescent="0.25">
      <c r="A5917" t="s">
        <v>5930</v>
      </c>
      <c r="B5917">
        <v>282</v>
      </c>
      <c r="C5917" s="1" t="str">
        <f>HYPERLINK("http://www.rosaceae.org/gb/gbrowse/malus_x_domestica/?name=MDP0000436496","MDP0000436496")</f>
        <v>MDP0000436496</v>
      </c>
      <c r="D5917">
        <v>79.27</v>
      </c>
      <c r="E5917">
        <v>222</v>
      </c>
      <c r="F5917">
        <v>46</v>
      </c>
      <c r="G5917">
        <v>2</v>
      </c>
      <c r="H5917">
        <v>62</v>
      </c>
      <c r="I5917">
        <v>282</v>
      </c>
      <c r="J5917">
        <v>1</v>
      </c>
      <c r="K5917">
        <v>53</v>
      </c>
      <c r="L5917">
        <v>273</v>
      </c>
      <c r="M5917">
        <v>1</v>
      </c>
      <c r="N5917">
        <v>2.6073000000000002E-96</v>
      </c>
      <c r="O5917">
        <v>894</v>
      </c>
    </row>
    <row r="5918" spans="1:15" x14ac:dyDescent="0.25">
      <c r="A5918" t="s">
        <v>5931</v>
      </c>
      <c r="B5918">
        <v>656</v>
      </c>
      <c r="C5918" s="1" t="str">
        <f>HYPERLINK("http://www.rosaceae.org/gb/gbrowse/malus_x_domestica/?name=MDP0000621545","MDP0000621545")</f>
        <v>MDP0000621545</v>
      </c>
      <c r="D5918">
        <v>82.91</v>
      </c>
      <c r="E5918">
        <v>632</v>
      </c>
      <c r="F5918">
        <v>108</v>
      </c>
      <c r="G5918">
        <v>6</v>
      </c>
      <c r="H5918">
        <v>29</v>
      </c>
      <c r="I5918">
        <v>656</v>
      </c>
      <c r="J5918">
        <v>1</v>
      </c>
      <c r="K5918">
        <v>30</v>
      </c>
      <c r="L5918">
        <v>659</v>
      </c>
      <c r="M5918">
        <v>1</v>
      </c>
      <c r="N5918">
        <v>0</v>
      </c>
      <c r="O5918">
        <v>2747</v>
      </c>
    </row>
    <row r="5919" spans="1:15" x14ac:dyDescent="0.25">
      <c r="A5919" t="s">
        <v>5932</v>
      </c>
      <c r="B5919">
        <v>267</v>
      </c>
      <c r="C5919" s="1" t="str">
        <f>HYPERLINK("http://www.rosaceae.org/gb/gbrowse/malus_x_domestica/?name=MDP0000212178","MDP0000212178")</f>
        <v>MDP0000212178</v>
      </c>
      <c r="D5919">
        <v>75.72</v>
      </c>
      <c r="E5919">
        <v>206</v>
      </c>
      <c r="F5919">
        <v>50</v>
      </c>
      <c r="G5919">
        <v>14</v>
      </c>
      <c r="H5919">
        <v>40</v>
      </c>
      <c r="I5919">
        <v>238</v>
      </c>
      <c r="J5919">
        <v>1</v>
      </c>
      <c r="K5919">
        <v>1</v>
      </c>
      <c r="L5919">
        <v>199</v>
      </c>
      <c r="M5919">
        <v>1</v>
      </c>
      <c r="N5919">
        <v>1.8085900000000001E-79</v>
      </c>
      <c r="O5919">
        <v>749</v>
      </c>
    </row>
    <row r="5920" spans="1:15" x14ac:dyDescent="0.25">
      <c r="A5920" t="s">
        <v>5933</v>
      </c>
      <c r="B5920">
        <v>864</v>
      </c>
      <c r="C5920" s="1" t="str">
        <f>HYPERLINK("http://www.rosaceae.org/gb/gbrowse/malus_x_domestica/?name=MDP0000750408","MDP0000750408")</f>
        <v>MDP0000750408</v>
      </c>
      <c r="D5920">
        <v>34</v>
      </c>
      <c r="E5920">
        <v>844</v>
      </c>
      <c r="F5920">
        <v>557</v>
      </c>
      <c r="G5920">
        <v>16</v>
      </c>
      <c r="H5920">
        <v>26</v>
      </c>
      <c r="I5920">
        <v>861</v>
      </c>
      <c r="J5920">
        <v>1</v>
      </c>
      <c r="K5920">
        <v>59</v>
      </c>
      <c r="L5920">
        <v>894</v>
      </c>
      <c r="M5920">
        <v>1</v>
      </c>
      <c r="N5920">
        <v>1.0471000000000001E-130</v>
      </c>
      <c r="O5920">
        <v>1196</v>
      </c>
    </row>
    <row r="5921" spans="1:15" x14ac:dyDescent="0.25">
      <c r="A5921" t="s">
        <v>5934</v>
      </c>
      <c r="B5921">
        <v>473</v>
      </c>
      <c r="C5921" s="1" t="str">
        <f>HYPERLINK("http://www.rosaceae.org/gb/gbrowse/malus_x_domestica/?name=MDP0000308224","MDP0000308224")</f>
        <v>MDP0000308224</v>
      </c>
      <c r="D5921">
        <v>80.58</v>
      </c>
      <c r="E5921">
        <v>170</v>
      </c>
      <c r="F5921">
        <v>33</v>
      </c>
      <c r="G5921">
        <v>0</v>
      </c>
      <c r="H5921">
        <v>143</v>
      </c>
      <c r="I5921">
        <v>312</v>
      </c>
      <c r="J5921">
        <v>1</v>
      </c>
      <c r="K5921">
        <v>150</v>
      </c>
      <c r="L5921">
        <v>319</v>
      </c>
      <c r="M5921">
        <v>1</v>
      </c>
      <c r="N5921">
        <v>2.7276699999999998E-79</v>
      </c>
      <c r="O5921">
        <v>750</v>
      </c>
    </row>
    <row r="5922" spans="1:15" x14ac:dyDescent="0.25">
      <c r="A5922" t="s">
        <v>5935</v>
      </c>
      <c r="B5922">
        <v>253</v>
      </c>
      <c r="C5922" s="1" t="str">
        <f>HYPERLINK("http://www.rosaceae.org/gb/gbrowse/malus_x_domestica/?name=MDP0000383784","MDP0000383784")</f>
        <v>MDP0000383784</v>
      </c>
      <c r="D5922">
        <v>45.45</v>
      </c>
      <c r="E5922">
        <v>66</v>
      </c>
      <c r="F5922">
        <v>36</v>
      </c>
      <c r="G5922">
        <v>0</v>
      </c>
      <c r="H5922">
        <v>1</v>
      </c>
      <c r="I5922">
        <v>66</v>
      </c>
      <c r="J5922">
        <v>1</v>
      </c>
      <c r="K5922">
        <v>1</v>
      </c>
      <c r="L5922">
        <v>66</v>
      </c>
      <c r="M5922">
        <v>1</v>
      </c>
      <c r="N5922">
        <v>9.8447900000000004E-8</v>
      </c>
      <c r="O5922">
        <v>130</v>
      </c>
    </row>
    <row r="5923" spans="1:15" x14ac:dyDescent="0.25">
      <c r="A5923" t="s">
        <v>5936</v>
      </c>
      <c r="B5923">
        <v>143</v>
      </c>
      <c r="C5923" s="1" t="str">
        <f>HYPERLINK("http://www.rosaceae.org/gb/gbrowse/malus_x_domestica/?name=MDP0000405003","MDP0000405003")</f>
        <v>MDP0000405003</v>
      </c>
      <c r="D5923">
        <v>59.32</v>
      </c>
      <c r="E5923">
        <v>177</v>
      </c>
      <c r="F5923">
        <v>72</v>
      </c>
      <c r="G5923">
        <v>35</v>
      </c>
      <c r="H5923">
        <v>1</v>
      </c>
      <c r="I5923">
        <v>142</v>
      </c>
      <c r="J5923">
        <v>1</v>
      </c>
      <c r="K5923">
        <v>52</v>
      </c>
      <c r="L5923">
        <v>228</v>
      </c>
      <c r="M5923">
        <v>1</v>
      </c>
      <c r="N5923">
        <v>1.02412E-50</v>
      </c>
      <c r="O5923">
        <v>496</v>
      </c>
    </row>
    <row r="5924" spans="1:15" x14ac:dyDescent="0.25">
      <c r="A5924" t="s">
        <v>5937</v>
      </c>
      <c r="B5924">
        <v>371</v>
      </c>
      <c r="C5924" s="1" t="str">
        <f>HYPERLINK("http://www.rosaceae.org/gb/gbrowse/malus_x_domestica/?name=MDP0000319518","MDP0000319518")</f>
        <v>MDP0000319518</v>
      </c>
      <c r="D5924">
        <v>61.84</v>
      </c>
      <c r="E5924">
        <v>346</v>
      </c>
      <c r="F5924">
        <v>132</v>
      </c>
      <c r="G5924">
        <v>5</v>
      </c>
      <c r="H5924">
        <v>5</v>
      </c>
      <c r="I5924">
        <v>349</v>
      </c>
      <c r="J5924">
        <v>1</v>
      </c>
      <c r="K5924">
        <v>6</v>
      </c>
      <c r="L5924">
        <v>347</v>
      </c>
      <c r="M5924">
        <v>1</v>
      </c>
      <c r="N5924">
        <v>1.08365E-116</v>
      </c>
      <c r="O5924">
        <v>1071</v>
      </c>
    </row>
    <row r="5925" spans="1:15" x14ac:dyDescent="0.25">
      <c r="A5925" t="s">
        <v>5938</v>
      </c>
      <c r="B5925">
        <v>584</v>
      </c>
      <c r="C5925" s="1" t="str">
        <f>HYPERLINK("http://www.rosaceae.org/gb/gbrowse/malus_x_domestica/?name=MDP0000206118","MDP0000206118")</f>
        <v>MDP0000206118</v>
      </c>
      <c r="D5925">
        <v>30.64</v>
      </c>
      <c r="E5925">
        <v>359</v>
      </c>
      <c r="F5925">
        <v>249</v>
      </c>
      <c r="G5925">
        <v>80</v>
      </c>
      <c r="H5925">
        <v>260</v>
      </c>
      <c r="I5925">
        <v>565</v>
      </c>
      <c r="J5925">
        <v>1</v>
      </c>
      <c r="K5925">
        <v>20</v>
      </c>
      <c r="L5925">
        <v>351</v>
      </c>
      <c r="M5925">
        <v>1</v>
      </c>
      <c r="N5925">
        <v>1.8939699999999999E-23</v>
      </c>
      <c r="O5925">
        <v>269</v>
      </c>
    </row>
    <row r="5926" spans="1:15" x14ac:dyDescent="0.25">
      <c r="A5926" t="s">
        <v>5939</v>
      </c>
      <c r="B5926">
        <v>777</v>
      </c>
      <c r="C5926" s="1" t="str">
        <f>HYPERLINK("http://www.rosaceae.org/gb/gbrowse/malus_x_domestica/?name=MDP0000084546","MDP0000084546")</f>
        <v>MDP0000084546</v>
      </c>
      <c r="D5926">
        <v>65.58</v>
      </c>
      <c r="E5926">
        <v>773</v>
      </c>
      <c r="F5926">
        <v>266</v>
      </c>
      <c r="G5926">
        <v>31</v>
      </c>
      <c r="H5926">
        <v>1</v>
      </c>
      <c r="I5926">
        <v>749</v>
      </c>
      <c r="J5926">
        <v>1</v>
      </c>
      <c r="K5926">
        <v>1</v>
      </c>
      <c r="L5926">
        <v>766</v>
      </c>
      <c r="M5926">
        <v>1</v>
      </c>
      <c r="N5926">
        <v>0</v>
      </c>
      <c r="O5926">
        <v>2724</v>
      </c>
    </row>
    <row r="5927" spans="1:15" x14ac:dyDescent="0.25">
      <c r="A5927" t="s">
        <v>5940</v>
      </c>
      <c r="B5927">
        <v>1026</v>
      </c>
      <c r="C5927" s="1" t="str">
        <f>HYPERLINK("http://www.rosaceae.org/gb/gbrowse/malus_x_domestica/?name=MDP0000168699","MDP0000168699")</f>
        <v>MDP0000168699</v>
      </c>
      <c r="D5927">
        <v>60.94</v>
      </c>
      <c r="E5927">
        <v>443</v>
      </c>
      <c r="F5927">
        <v>173</v>
      </c>
      <c r="G5927">
        <v>72</v>
      </c>
      <c r="H5927">
        <v>530</v>
      </c>
      <c r="I5927">
        <v>928</v>
      </c>
      <c r="J5927">
        <v>1</v>
      </c>
      <c r="K5927">
        <v>65</v>
      </c>
      <c r="L5927">
        <v>479</v>
      </c>
      <c r="M5927">
        <v>1</v>
      </c>
      <c r="N5927">
        <v>6.4294700000000002E-138</v>
      </c>
      <c r="O5927">
        <v>1259</v>
      </c>
    </row>
    <row r="5928" spans="1:15" x14ac:dyDescent="0.25">
      <c r="A5928" t="s">
        <v>5941</v>
      </c>
      <c r="B5928">
        <v>303</v>
      </c>
      <c r="C5928" s="1" t="str">
        <f>HYPERLINK("http://www.rosaceae.org/gb/gbrowse/malus_x_domestica/?name=MDP0000269393","MDP0000269393")</f>
        <v>MDP0000269393</v>
      </c>
      <c r="D5928">
        <v>63.34</v>
      </c>
      <c r="E5928">
        <v>311</v>
      </c>
      <c r="F5928">
        <v>114</v>
      </c>
      <c r="G5928">
        <v>12</v>
      </c>
      <c r="H5928">
        <v>1</v>
      </c>
      <c r="I5928">
        <v>301</v>
      </c>
      <c r="J5928">
        <v>1</v>
      </c>
      <c r="K5928">
        <v>1</v>
      </c>
      <c r="L5928">
        <v>309</v>
      </c>
      <c r="M5928">
        <v>1</v>
      </c>
      <c r="N5928">
        <v>5.8508199999999998E-105</v>
      </c>
      <c r="O5928">
        <v>969</v>
      </c>
    </row>
    <row r="5929" spans="1:15" x14ac:dyDescent="0.25">
      <c r="A5929" t="s">
        <v>5942</v>
      </c>
      <c r="B5929">
        <v>404</v>
      </c>
      <c r="C5929" s="1" t="str">
        <f>HYPERLINK("http://www.rosaceae.org/gb/gbrowse/malus_x_domestica/?name=MDP0000254958","MDP0000254958")</f>
        <v>MDP0000254958</v>
      </c>
      <c r="D5929">
        <v>48.57</v>
      </c>
      <c r="E5929">
        <v>422</v>
      </c>
      <c r="F5929">
        <v>217</v>
      </c>
      <c r="G5929">
        <v>66</v>
      </c>
      <c r="H5929">
        <v>3</v>
      </c>
      <c r="I5929">
        <v>387</v>
      </c>
      <c r="J5929">
        <v>1</v>
      </c>
      <c r="K5929">
        <v>2</v>
      </c>
      <c r="L5929">
        <v>394</v>
      </c>
      <c r="M5929">
        <v>1</v>
      </c>
      <c r="N5929">
        <v>4.1968800000000004E-84</v>
      </c>
      <c r="O5929">
        <v>791</v>
      </c>
    </row>
    <row r="5930" spans="1:15" x14ac:dyDescent="0.25">
      <c r="A5930" t="s">
        <v>5943</v>
      </c>
      <c r="B5930">
        <v>353</v>
      </c>
      <c r="C5930" s="1" t="str">
        <f>HYPERLINK("http://www.rosaceae.org/gb/gbrowse/malus_x_domestica/?name=MDP0000242554","MDP0000242554")</f>
        <v>MDP0000242554</v>
      </c>
      <c r="D5930">
        <v>43.09</v>
      </c>
      <c r="E5930">
        <v>471</v>
      </c>
      <c r="F5930">
        <v>268</v>
      </c>
      <c r="G5930">
        <v>136</v>
      </c>
      <c r="H5930">
        <v>1</v>
      </c>
      <c r="I5930">
        <v>350</v>
      </c>
      <c r="J5930">
        <v>1</v>
      </c>
      <c r="K5930">
        <v>5</v>
      </c>
      <c r="L5930">
        <v>460</v>
      </c>
      <c r="M5930">
        <v>1</v>
      </c>
      <c r="N5930">
        <v>1.5476400000000001E-82</v>
      </c>
      <c r="O5930">
        <v>777</v>
      </c>
    </row>
    <row r="5931" spans="1:15" x14ac:dyDescent="0.25">
      <c r="A5931" t="s">
        <v>5944</v>
      </c>
      <c r="B5931">
        <v>550</v>
      </c>
      <c r="C5931" s="1" t="str">
        <f>HYPERLINK("http://www.rosaceae.org/gb/gbrowse/malus_x_domestica/?name=MDP0000472380","MDP0000472380")</f>
        <v>MDP0000472380</v>
      </c>
      <c r="D5931">
        <v>85.37</v>
      </c>
      <c r="E5931">
        <v>540</v>
      </c>
      <c r="F5931">
        <v>79</v>
      </c>
      <c r="G5931">
        <v>6</v>
      </c>
      <c r="H5931">
        <v>1</v>
      </c>
      <c r="I5931">
        <v>536</v>
      </c>
      <c r="J5931">
        <v>1</v>
      </c>
      <c r="K5931">
        <v>1</v>
      </c>
      <c r="L5931">
        <v>538</v>
      </c>
      <c r="M5931">
        <v>1</v>
      </c>
      <c r="N5931">
        <v>0</v>
      </c>
      <c r="O5931">
        <v>2421</v>
      </c>
    </row>
    <row r="5932" spans="1:15" x14ac:dyDescent="0.25">
      <c r="A5932" t="s">
        <v>5945</v>
      </c>
      <c r="B5932">
        <v>191</v>
      </c>
      <c r="C5932" s="1" t="str">
        <f>HYPERLINK("http://www.rosaceae.org/gb/gbrowse/malus_x_domestica/?name=MDP0000317051","MDP0000317051")</f>
        <v>MDP0000317051</v>
      </c>
      <c r="D5932">
        <v>79.77</v>
      </c>
      <c r="E5932">
        <v>178</v>
      </c>
      <c r="F5932">
        <v>36</v>
      </c>
      <c r="G5932">
        <v>3</v>
      </c>
      <c r="H5932">
        <v>1</v>
      </c>
      <c r="I5932">
        <v>175</v>
      </c>
      <c r="J5932">
        <v>1</v>
      </c>
      <c r="K5932">
        <v>1</v>
      </c>
      <c r="L5932">
        <v>178</v>
      </c>
      <c r="M5932">
        <v>1</v>
      </c>
      <c r="N5932">
        <v>2.9822199999999999E-82</v>
      </c>
      <c r="O5932">
        <v>771</v>
      </c>
    </row>
    <row r="5933" spans="1:15" x14ac:dyDescent="0.25">
      <c r="A5933" t="s">
        <v>5946</v>
      </c>
      <c r="B5933">
        <v>122</v>
      </c>
      <c r="C5933" s="1" t="str">
        <f>HYPERLINK("http://www.rosaceae.org/gb/gbrowse/malus_x_domestica/?name=MDP0000317051","MDP0000317051")</f>
        <v>MDP0000317051</v>
      </c>
      <c r="D5933">
        <v>75.400000000000006</v>
      </c>
      <c r="E5933">
        <v>122</v>
      </c>
      <c r="F5933">
        <v>30</v>
      </c>
      <c r="G5933">
        <v>4</v>
      </c>
      <c r="H5933">
        <v>1</v>
      </c>
      <c r="I5933">
        <v>122</v>
      </c>
      <c r="J5933">
        <v>1</v>
      </c>
      <c r="K5933">
        <v>227</v>
      </c>
      <c r="L5933">
        <v>344</v>
      </c>
      <c r="M5933">
        <v>1</v>
      </c>
      <c r="N5933">
        <v>5.6133899999999998E-50</v>
      </c>
      <c r="O5933">
        <v>488</v>
      </c>
    </row>
    <row r="5934" spans="1:15" x14ac:dyDescent="0.25">
      <c r="A5934" t="s">
        <v>5947</v>
      </c>
      <c r="B5934">
        <v>439</v>
      </c>
      <c r="C5934" s="1" t="str">
        <f>HYPERLINK("http://www.rosaceae.org/gb/gbrowse/malus_x_domestica/?name=MDP0000275151","MDP0000275151")</f>
        <v>MDP0000275151</v>
      </c>
      <c r="D5934">
        <v>68.900000000000006</v>
      </c>
      <c r="E5934">
        <v>402</v>
      </c>
      <c r="F5934">
        <v>125</v>
      </c>
      <c r="G5934">
        <v>24</v>
      </c>
      <c r="H5934">
        <v>41</v>
      </c>
      <c r="I5934">
        <v>418</v>
      </c>
      <c r="J5934">
        <v>1</v>
      </c>
      <c r="K5934">
        <v>1045</v>
      </c>
      <c r="L5934">
        <v>1446</v>
      </c>
      <c r="M5934">
        <v>1</v>
      </c>
      <c r="N5934">
        <v>4.2166899999999999E-163</v>
      </c>
      <c r="O5934">
        <v>1472</v>
      </c>
    </row>
    <row r="5935" spans="1:15" x14ac:dyDescent="0.25">
      <c r="A5935" t="s">
        <v>5948</v>
      </c>
      <c r="B5935">
        <v>295</v>
      </c>
      <c r="C5935" s="1" t="str">
        <f>HYPERLINK("http://www.rosaceae.org/gb/gbrowse/malus_x_domestica/?name=MDP0000282292","MDP0000282292")</f>
        <v>MDP0000282292</v>
      </c>
      <c r="D5935">
        <v>45.13</v>
      </c>
      <c r="E5935">
        <v>257</v>
      </c>
      <c r="F5935">
        <v>141</v>
      </c>
      <c r="G5935">
        <v>34</v>
      </c>
      <c r="H5935">
        <v>1</v>
      </c>
      <c r="I5935">
        <v>227</v>
      </c>
      <c r="J5935">
        <v>1</v>
      </c>
      <c r="K5935">
        <v>1</v>
      </c>
      <c r="L5935">
        <v>253</v>
      </c>
      <c r="M5935">
        <v>1</v>
      </c>
      <c r="N5935">
        <v>6.0608499999999997E-44</v>
      </c>
      <c r="O5935">
        <v>443</v>
      </c>
    </row>
    <row r="5936" spans="1:15" x14ac:dyDescent="0.25">
      <c r="A5936" t="s">
        <v>5949</v>
      </c>
      <c r="B5936">
        <v>266</v>
      </c>
      <c r="C5936" s="1" t="str">
        <f>HYPERLINK("http://www.rosaceae.org/gb/gbrowse/malus_x_domestica/?name=MDP0000325085","MDP0000325085")</f>
        <v>MDP0000325085</v>
      </c>
      <c r="D5936">
        <v>51.28</v>
      </c>
      <c r="E5936">
        <v>273</v>
      </c>
      <c r="F5936">
        <v>133</v>
      </c>
      <c r="G5936">
        <v>33</v>
      </c>
      <c r="H5936">
        <v>1</v>
      </c>
      <c r="I5936">
        <v>266</v>
      </c>
      <c r="J5936">
        <v>1</v>
      </c>
      <c r="K5936">
        <v>1</v>
      </c>
      <c r="L5936">
        <v>247</v>
      </c>
      <c r="M5936">
        <v>1</v>
      </c>
      <c r="N5936">
        <v>2.2642799999999999E-60</v>
      </c>
      <c r="O5936">
        <v>584</v>
      </c>
    </row>
    <row r="5937" spans="1:15" x14ac:dyDescent="0.25">
      <c r="A5937" t="s">
        <v>5950</v>
      </c>
      <c r="B5937">
        <v>754</v>
      </c>
      <c r="C5937" s="1" t="str">
        <f>HYPERLINK("http://www.rosaceae.org/gb/gbrowse/malus_x_domestica/?name=MDP0000278710","MDP0000278710")</f>
        <v>MDP0000278710</v>
      </c>
      <c r="D5937">
        <v>41.39</v>
      </c>
      <c r="E5937">
        <v>488</v>
      </c>
      <c r="F5937">
        <v>286</v>
      </c>
      <c r="G5937">
        <v>68</v>
      </c>
      <c r="H5937">
        <v>327</v>
      </c>
      <c r="I5937">
        <v>751</v>
      </c>
      <c r="J5937">
        <v>1</v>
      </c>
      <c r="K5937">
        <v>402</v>
      </c>
      <c r="L5937">
        <v>884</v>
      </c>
      <c r="M5937">
        <v>1</v>
      </c>
      <c r="N5937">
        <v>2.8501699999999999E-92</v>
      </c>
      <c r="O5937">
        <v>864</v>
      </c>
    </row>
    <row r="5938" spans="1:15" x14ac:dyDescent="0.25">
      <c r="A5938" t="s">
        <v>5951</v>
      </c>
      <c r="B5938">
        <v>126</v>
      </c>
      <c r="C5938" s="1" t="str">
        <f>HYPERLINK("http://www.rosaceae.org/gb/gbrowse/malus_x_domestica/?name=MDP0000235765","MDP0000235765")</f>
        <v>MDP0000235765</v>
      </c>
      <c r="D5938">
        <v>52.99</v>
      </c>
      <c r="E5938">
        <v>117</v>
      </c>
      <c r="F5938">
        <v>55</v>
      </c>
      <c r="G5938">
        <v>1</v>
      </c>
      <c r="H5938">
        <v>7</v>
      </c>
      <c r="I5938">
        <v>122</v>
      </c>
      <c r="J5938">
        <v>1</v>
      </c>
      <c r="K5938">
        <v>135</v>
      </c>
      <c r="L5938">
        <v>251</v>
      </c>
      <c r="M5938">
        <v>1</v>
      </c>
      <c r="N5938">
        <v>2.6713399999999999E-27</v>
      </c>
      <c r="O5938">
        <v>293</v>
      </c>
    </row>
    <row r="5939" spans="1:15" x14ac:dyDescent="0.25">
      <c r="A5939" t="s">
        <v>5952</v>
      </c>
      <c r="B5939">
        <v>227</v>
      </c>
      <c r="C5939" s="1" t="str">
        <f>HYPERLINK("http://www.rosaceae.org/gb/gbrowse/malus_x_domestica/?name=MDP0000131017","MDP0000131017")</f>
        <v>MDP0000131017</v>
      </c>
      <c r="D5939">
        <v>44.03</v>
      </c>
      <c r="E5939">
        <v>109</v>
      </c>
      <c r="F5939">
        <v>61</v>
      </c>
      <c r="G5939">
        <v>7</v>
      </c>
      <c r="H5939">
        <v>16</v>
      </c>
      <c r="I5939">
        <v>124</v>
      </c>
      <c r="J5939">
        <v>1</v>
      </c>
      <c r="K5939">
        <v>179</v>
      </c>
      <c r="L5939">
        <v>280</v>
      </c>
      <c r="M5939">
        <v>1</v>
      </c>
      <c r="N5939">
        <v>2.14769E-19</v>
      </c>
      <c r="O5939">
        <v>230</v>
      </c>
    </row>
    <row r="5940" spans="1:15" x14ac:dyDescent="0.25">
      <c r="A5940" t="s">
        <v>5953</v>
      </c>
      <c r="B5940">
        <v>162</v>
      </c>
      <c r="C5940" s="1" t="str">
        <f>HYPERLINK("http://www.rosaceae.org/gb/gbrowse/malus_x_domestica/?name=MDP0000377152","MDP0000377152")</f>
        <v>MDP0000377152</v>
      </c>
      <c r="D5940">
        <v>60.3</v>
      </c>
      <c r="E5940">
        <v>131</v>
      </c>
      <c r="F5940">
        <v>52</v>
      </c>
      <c r="G5940">
        <v>11</v>
      </c>
      <c r="H5940">
        <v>31</v>
      </c>
      <c r="I5940">
        <v>152</v>
      </c>
      <c r="J5940">
        <v>1</v>
      </c>
      <c r="K5940">
        <v>313</v>
      </c>
      <c r="L5940">
        <v>441</v>
      </c>
      <c r="M5940">
        <v>1</v>
      </c>
      <c r="N5940">
        <v>1.8304099999999999E-39</v>
      </c>
      <c r="O5940">
        <v>400</v>
      </c>
    </row>
    <row r="5941" spans="1:15" x14ac:dyDescent="0.25">
      <c r="A5941" t="s">
        <v>5954</v>
      </c>
      <c r="B5941">
        <v>298</v>
      </c>
      <c r="C5941" s="1" t="str">
        <f>HYPERLINK("http://www.rosaceae.org/gb/gbrowse/malus_x_domestica/?name=MDP0000137195","MDP0000137195")</f>
        <v>MDP0000137195</v>
      </c>
      <c r="D5941">
        <v>42.93</v>
      </c>
      <c r="E5941">
        <v>368</v>
      </c>
      <c r="F5941">
        <v>210</v>
      </c>
      <c r="G5941">
        <v>75</v>
      </c>
      <c r="H5941">
        <v>1</v>
      </c>
      <c r="I5941">
        <v>297</v>
      </c>
      <c r="J5941">
        <v>1</v>
      </c>
      <c r="K5941">
        <v>85</v>
      </c>
      <c r="L5941">
        <v>448</v>
      </c>
      <c r="M5941">
        <v>1</v>
      </c>
      <c r="N5941">
        <v>2.4073000000000001E-59</v>
      </c>
      <c r="O5941">
        <v>576</v>
      </c>
    </row>
    <row r="5942" spans="1:15" x14ac:dyDescent="0.25">
      <c r="A5942" t="s">
        <v>5955</v>
      </c>
      <c r="B5942">
        <v>253</v>
      </c>
      <c r="C5942" s="1" t="str">
        <f>HYPERLINK("http://www.rosaceae.org/gb/gbrowse/malus_x_domestica/?name=MDP0000461883","MDP0000461883")</f>
        <v>MDP0000461883</v>
      </c>
      <c r="D5942">
        <v>55.82</v>
      </c>
      <c r="E5942">
        <v>249</v>
      </c>
      <c r="F5942">
        <v>110</v>
      </c>
      <c r="G5942">
        <v>12</v>
      </c>
      <c r="H5942">
        <v>1</v>
      </c>
      <c r="I5942">
        <v>247</v>
      </c>
      <c r="J5942">
        <v>1</v>
      </c>
      <c r="K5942">
        <v>1</v>
      </c>
      <c r="L5942">
        <v>239</v>
      </c>
      <c r="M5942">
        <v>1</v>
      </c>
      <c r="N5942">
        <v>2.9139200000000003E-63</v>
      </c>
      <c r="O5942">
        <v>609</v>
      </c>
    </row>
    <row r="5943" spans="1:15" x14ac:dyDescent="0.25">
      <c r="A5943" t="s">
        <v>5956</v>
      </c>
      <c r="B5943">
        <v>456</v>
      </c>
      <c r="C5943" s="1" t="str">
        <f>HYPERLINK("http://www.rosaceae.org/gb/gbrowse/malus_x_domestica/?name=MDP0000835211","MDP0000835211")</f>
        <v>MDP0000835211</v>
      </c>
      <c r="D5943">
        <v>76.650000000000006</v>
      </c>
      <c r="E5943">
        <v>467</v>
      </c>
      <c r="F5943">
        <v>109</v>
      </c>
      <c r="G5943">
        <v>23</v>
      </c>
      <c r="H5943">
        <v>12</v>
      </c>
      <c r="I5943">
        <v>455</v>
      </c>
      <c r="J5943">
        <v>1</v>
      </c>
      <c r="K5943">
        <v>13</v>
      </c>
      <c r="L5943">
        <v>479</v>
      </c>
      <c r="M5943">
        <v>1</v>
      </c>
      <c r="N5943">
        <v>0</v>
      </c>
      <c r="O5943">
        <v>1902</v>
      </c>
    </row>
    <row r="5944" spans="1:15" x14ac:dyDescent="0.25">
      <c r="A5944" t="s">
        <v>5957</v>
      </c>
      <c r="B5944">
        <v>178</v>
      </c>
      <c r="C5944" s="1" t="str">
        <f>HYPERLINK("http://www.rosaceae.org/gb/gbrowse/malus_x_domestica/?name=MDP0000141601","MDP0000141601")</f>
        <v>MDP0000141601</v>
      </c>
      <c r="D5944">
        <v>58.76</v>
      </c>
      <c r="E5944">
        <v>194</v>
      </c>
      <c r="F5944">
        <v>80</v>
      </c>
      <c r="G5944">
        <v>16</v>
      </c>
      <c r="H5944">
        <v>1</v>
      </c>
      <c r="I5944">
        <v>178</v>
      </c>
      <c r="J5944">
        <v>1</v>
      </c>
      <c r="K5944">
        <v>1</v>
      </c>
      <c r="L5944">
        <v>194</v>
      </c>
      <c r="M5944">
        <v>1</v>
      </c>
      <c r="N5944">
        <v>1.4292899999999999E-54</v>
      </c>
      <c r="O5944">
        <v>531</v>
      </c>
    </row>
    <row r="5945" spans="1:15" x14ac:dyDescent="0.25">
      <c r="A5945" t="s">
        <v>5958</v>
      </c>
      <c r="B5945">
        <v>363</v>
      </c>
      <c r="C5945" s="1" t="str">
        <f>HYPERLINK("http://www.rosaceae.org/gb/gbrowse/malus_x_domestica/?name=MDP0000203079","MDP0000203079")</f>
        <v>MDP0000203079</v>
      </c>
      <c r="D5945">
        <v>31.6</v>
      </c>
      <c r="E5945">
        <v>405</v>
      </c>
      <c r="F5945">
        <v>277</v>
      </c>
      <c r="G5945">
        <v>61</v>
      </c>
      <c r="H5945">
        <v>5</v>
      </c>
      <c r="I5945">
        <v>357</v>
      </c>
      <c r="J5945">
        <v>1</v>
      </c>
      <c r="K5945">
        <v>5</v>
      </c>
      <c r="L5945">
        <v>400</v>
      </c>
      <c r="M5945">
        <v>1</v>
      </c>
      <c r="N5945">
        <v>4.51823E-36</v>
      </c>
      <c r="O5945">
        <v>376</v>
      </c>
    </row>
    <row r="5946" spans="1:15" x14ac:dyDescent="0.25">
      <c r="A5946" t="s">
        <v>5959</v>
      </c>
      <c r="B5946">
        <v>347</v>
      </c>
      <c r="C5946" s="1" t="str">
        <f>HYPERLINK("http://www.rosaceae.org/gb/gbrowse/malus_x_domestica/?name=MDP0000204582","MDP0000204582")</f>
        <v>MDP0000204582</v>
      </c>
      <c r="D5946">
        <v>77.27</v>
      </c>
      <c r="E5946">
        <v>374</v>
      </c>
      <c r="F5946">
        <v>85</v>
      </c>
      <c r="G5946">
        <v>32</v>
      </c>
      <c r="H5946">
        <v>1</v>
      </c>
      <c r="I5946">
        <v>347</v>
      </c>
      <c r="J5946">
        <v>1</v>
      </c>
      <c r="K5946">
        <v>1</v>
      </c>
      <c r="L5946">
        <v>369</v>
      </c>
      <c r="M5946">
        <v>1</v>
      </c>
      <c r="N5946">
        <v>2.6701399999999999E-160</v>
      </c>
      <c r="O5946">
        <v>1447</v>
      </c>
    </row>
    <row r="5947" spans="1:15" x14ac:dyDescent="0.25">
      <c r="A5947" t="s">
        <v>5960</v>
      </c>
      <c r="B5947">
        <v>489</v>
      </c>
      <c r="C5947" s="1" t="str">
        <f>HYPERLINK("http://www.rosaceae.org/gb/gbrowse/malus_x_domestica/?name=MDP0000223942","MDP0000223942")</f>
        <v>MDP0000223942</v>
      </c>
      <c r="D5947">
        <v>79.489999999999995</v>
      </c>
      <c r="E5947">
        <v>478</v>
      </c>
      <c r="F5947">
        <v>98</v>
      </c>
      <c r="G5947">
        <v>16</v>
      </c>
      <c r="H5947">
        <v>24</v>
      </c>
      <c r="I5947">
        <v>489</v>
      </c>
      <c r="J5947">
        <v>1</v>
      </c>
      <c r="K5947">
        <v>57</v>
      </c>
      <c r="L5947">
        <v>530</v>
      </c>
      <c r="M5947">
        <v>1</v>
      </c>
      <c r="N5947">
        <v>0</v>
      </c>
      <c r="O5947">
        <v>1966</v>
      </c>
    </row>
    <row r="5948" spans="1:15" x14ac:dyDescent="0.25">
      <c r="A5948" t="s">
        <v>5961</v>
      </c>
      <c r="B5948">
        <v>292</v>
      </c>
      <c r="C5948" s="1" t="str">
        <f>HYPERLINK("http://www.rosaceae.org/gb/gbrowse/malus_x_domestica/?name=MDP0000246150","MDP0000246150")</f>
        <v>MDP0000246150</v>
      </c>
      <c r="D5948">
        <v>45.28</v>
      </c>
      <c r="E5948">
        <v>159</v>
      </c>
      <c r="F5948">
        <v>87</v>
      </c>
      <c r="G5948">
        <v>22</v>
      </c>
      <c r="H5948">
        <v>124</v>
      </c>
      <c r="I5948">
        <v>281</v>
      </c>
      <c r="J5948">
        <v>1</v>
      </c>
      <c r="K5948">
        <v>20</v>
      </c>
      <c r="L5948">
        <v>157</v>
      </c>
      <c r="M5948">
        <v>1</v>
      </c>
      <c r="N5948">
        <v>1.4160200000000001E-26</v>
      </c>
      <c r="O5948">
        <v>293</v>
      </c>
    </row>
    <row r="5949" spans="1:15" x14ac:dyDescent="0.25">
      <c r="A5949" t="s">
        <v>5962</v>
      </c>
      <c r="B5949">
        <v>151</v>
      </c>
      <c r="C5949" s="1" t="str">
        <f>HYPERLINK("http://www.rosaceae.org/gb/gbrowse/malus_x_domestica/?name=MDP0000242288","MDP0000242288")</f>
        <v>MDP0000242288</v>
      </c>
      <c r="D5949">
        <v>59.09</v>
      </c>
      <c r="E5949">
        <v>176</v>
      </c>
      <c r="F5949">
        <v>72</v>
      </c>
      <c r="G5949">
        <v>31</v>
      </c>
      <c r="H5949">
        <v>5</v>
      </c>
      <c r="I5949">
        <v>150</v>
      </c>
      <c r="J5949">
        <v>1</v>
      </c>
      <c r="K5949">
        <v>11</v>
      </c>
      <c r="L5949">
        <v>185</v>
      </c>
      <c r="M5949">
        <v>1</v>
      </c>
      <c r="N5949">
        <v>1.0428300000000001E-53</v>
      </c>
      <c r="O5949">
        <v>523</v>
      </c>
    </row>
    <row r="5950" spans="1:15" x14ac:dyDescent="0.25">
      <c r="A5950" t="s">
        <v>5963</v>
      </c>
      <c r="B5950">
        <v>113</v>
      </c>
      <c r="C5950" s="1" t="str">
        <f>HYPERLINK("http://www.rosaceae.org/gb/gbrowse/malus_x_domestica/?name=MDP0000415894","MDP0000415894")</f>
        <v>MDP0000415894</v>
      </c>
      <c r="D5950">
        <v>65.540000000000006</v>
      </c>
      <c r="E5950">
        <v>119</v>
      </c>
      <c r="F5950">
        <v>41</v>
      </c>
      <c r="G5950">
        <v>6</v>
      </c>
      <c r="H5950">
        <v>1</v>
      </c>
      <c r="I5950">
        <v>113</v>
      </c>
      <c r="J5950">
        <v>1</v>
      </c>
      <c r="K5950">
        <v>910</v>
      </c>
      <c r="L5950">
        <v>1028</v>
      </c>
      <c r="M5950">
        <v>1</v>
      </c>
      <c r="N5950">
        <v>1.4793E-35</v>
      </c>
      <c r="O5950">
        <v>364</v>
      </c>
    </row>
    <row r="5951" spans="1:15" x14ac:dyDescent="0.25">
      <c r="A5951" t="s">
        <v>5964</v>
      </c>
      <c r="B5951">
        <v>306</v>
      </c>
      <c r="C5951" s="1" t="str">
        <f>HYPERLINK("http://www.rosaceae.org/gb/gbrowse/malus_x_domestica/?name=MDP0000138570","MDP0000138570")</f>
        <v>MDP0000138570</v>
      </c>
      <c r="D5951">
        <v>82.14</v>
      </c>
      <c r="E5951">
        <v>28</v>
      </c>
      <c r="F5951">
        <v>5</v>
      </c>
      <c r="G5951">
        <v>0</v>
      </c>
      <c r="H5951">
        <v>73</v>
      </c>
      <c r="I5951">
        <v>100</v>
      </c>
      <c r="J5951">
        <v>1</v>
      </c>
      <c r="K5951">
        <v>8</v>
      </c>
      <c r="L5951">
        <v>35</v>
      </c>
      <c r="M5951">
        <v>1</v>
      </c>
      <c r="N5951">
        <v>5.5276100000000001E-7</v>
      </c>
      <c r="O5951">
        <v>124</v>
      </c>
    </row>
    <row r="5952" spans="1:15" x14ac:dyDescent="0.25">
      <c r="A5952" t="s">
        <v>5965</v>
      </c>
      <c r="B5952">
        <v>434</v>
      </c>
      <c r="C5952" s="1" t="str">
        <f>HYPERLINK("http://www.rosaceae.org/gb/gbrowse/malus_x_domestica/?name=MDP0000262252","MDP0000262252")</f>
        <v>MDP0000262252</v>
      </c>
      <c r="D5952">
        <v>74.19</v>
      </c>
      <c r="E5952">
        <v>403</v>
      </c>
      <c r="F5952">
        <v>104</v>
      </c>
      <c r="G5952">
        <v>28</v>
      </c>
      <c r="H5952">
        <v>53</v>
      </c>
      <c r="I5952">
        <v>434</v>
      </c>
      <c r="J5952">
        <v>1</v>
      </c>
      <c r="K5952">
        <v>1</v>
      </c>
      <c r="L5952">
        <v>396</v>
      </c>
      <c r="M5952">
        <v>1</v>
      </c>
      <c r="N5952">
        <v>3.2842500000000001E-167</v>
      </c>
      <c r="O5952">
        <v>1508</v>
      </c>
    </row>
    <row r="5953" spans="1:15" x14ac:dyDescent="0.25">
      <c r="A5953" t="s">
        <v>5966</v>
      </c>
      <c r="B5953">
        <v>498</v>
      </c>
      <c r="C5953" s="1" t="str">
        <f>HYPERLINK("http://www.rosaceae.org/gb/gbrowse/malus_x_domestica/?name=MDP0000119811","MDP0000119811")</f>
        <v>MDP0000119811</v>
      </c>
      <c r="D5953">
        <v>70.28</v>
      </c>
      <c r="E5953">
        <v>535</v>
      </c>
      <c r="F5953">
        <v>159</v>
      </c>
      <c r="G5953">
        <v>53</v>
      </c>
      <c r="H5953">
        <v>17</v>
      </c>
      <c r="I5953">
        <v>498</v>
      </c>
      <c r="J5953">
        <v>1</v>
      </c>
      <c r="K5953">
        <v>17</v>
      </c>
      <c r="L5953">
        <v>551</v>
      </c>
      <c r="M5953">
        <v>1</v>
      </c>
      <c r="N5953">
        <v>0</v>
      </c>
      <c r="O5953">
        <v>1866</v>
      </c>
    </row>
    <row r="5954" spans="1:15" x14ac:dyDescent="0.25">
      <c r="A5954" t="s">
        <v>5967</v>
      </c>
      <c r="B5954">
        <v>208</v>
      </c>
      <c r="C5954" s="1" t="str">
        <f>HYPERLINK("http://www.rosaceae.org/gb/gbrowse/malus_x_domestica/?name=MDP0000321751","MDP0000321751")</f>
        <v>MDP0000321751</v>
      </c>
      <c r="D5954">
        <v>66.03</v>
      </c>
      <c r="E5954">
        <v>106</v>
      </c>
      <c r="F5954">
        <v>36</v>
      </c>
      <c r="G5954">
        <v>1</v>
      </c>
      <c r="H5954">
        <v>1</v>
      </c>
      <c r="I5954">
        <v>105</v>
      </c>
      <c r="J5954">
        <v>1</v>
      </c>
      <c r="K5954">
        <v>150</v>
      </c>
      <c r="L5954">
        <v>255</v>
      </c>
      <c r="M5954">
        <v>1</v>
      </c>
      <c r="N5954">
        <v>2.30881E-32</v>
      </c>
      <c r="O5954">
        <v>341</v>
      </c>
    </row>
    <row r="5955" spans="1:15" x14ac:dyDescent="0.25">
      <c r="A5955" t="s">
        <v>5968</v>
      </c>
      <c r="B5955">
        <v>1608</v>
      </c>
      <c r="C5955" s="1" t="str">
        <f>HYPERLINK("http://www.rosaceae.org/gb/gbrowse/malus_x_domestica/?name=MDP0000256619","MDP0000256619")</f>
        <v>MDP0000256619</v>
      </c>
      <c r="D5955">
        <v>68.48</v>
      </c>
      <c r="E5955">
        <v>257</v>
      </c>
      <c r="F5955">
        <v>81</v>
      </c>
      <c r="G5955">
        <v>38</v>
      </c>
      <c r="H5955">
        <v>1167</v>
      </c>
      <c r="I5955">
        <v>1386</v>
      </c>
      <c r="J5955">
        <v>1</v>
      </c>
      <c r="K5955">
        <v>183</v>
      </c>
      <c r="L5955">
        <v>438</v>
      </c>
      <c r="M5955">
        <v>1</v>
      </c>
      <c r="N5955">
        <v>7.82571E-91</v>
      </c>
      <c r="O5955">
        <v>855</v>
      </c>
    </row>
    <row r="5956" spans="1:15" x14ac:dyDescent="0.25">
      <c r="A5956" t="s">
        <v>5969</v>
      </c>
      <c r="B5956">
        <v>993</v>
      </c>
      <c r="C5956" s="1" t="str">
        <f>HYPERLINK("http://www.rosaceae.org/gb/gbrowse/malus_x_domestica/?name=MDP0000276770","MDP0000276770")</f>
        <v>MDP0000276770</v>
      </c>
      <c r="D5956">
        <v>48.49</v>
      </c>
      <c r="E5956">
        <v>466</v>
      </c>
      <c r="F5956">
        <v>240</v>
      </c>
      <c r="G5956">
        <v>49</v>
      </c>
      <c r="H5956">
        <v>21</v>
      </c>
      <c r="I5956">
        <v>442</v>
      </c>
      <c r="J5956">
        <v>1</v>
      </c>
      <c r="K5956">
        <v>44</v>
      </c>
      <c r="L5956">
        <v>504</v>
      </c>
      <c r="M5956">
        <v>1</v>
      </c>
      <c r="N5956">
        <v>4.5368499999999998E-120</v>
      </c>
      <c r="O5956">
        <v>1105</v>
      </c>
    </row>
    <row r="5957" spans="1:15" x14ac:dyDescent="0.25">
      <c r="A5957" t="s">
        <v>5970</v>
      </c>
      <c r="B5957">
        <v>163</v>
      </c>
      <c r="C5957" s="1" t="str">
        <f>HYPERLINK("http://www.rosaceae.org/gb/gbrowse/malus_x_domestica/?name=MDP0000685080","MDP0000685080")</f>
        <v>MDP0000685080</v>
      </c>
      <c r="D5957">
        <v>66.66</v>
      </c>
      <c r="E5957">
        <v>162</v>
      </c>
      <c r="F5957">
        <v>54</v>
      </c>
      <c r="G5957">
        <v>1</v>
      </c>
      <c r="H5957">
        <v>2</v>
      </c>
      <c r="I5957">
        <v>162</v>
      </c>
      <c r="J5957">
        <v>1</v>
      </c>
      <c r="K5957">
        <v>30</v>
      </c>
      <c r="L5957">
        <v>191</v>
      </c>
      <c r="M5957">
        <v>1</v>
      </c>
      <c r="N5957">
        <v>3.1759600000000001E-60</v>
      </c>
      <c r="O5957">
        <v>579</v>
      </c>
    </row>
    <row r="5958" spans="1:15" x14ac:dyDescent="0.25">
      <c r="A5958" t="s">
        <v>5971</v>
      </c>
      <c r="B5958">
        <v>478</v>
      </c>
      <c r="C5958" s="1" t="str">
        <f>HYPERLINK("http://www.rosaceae.org/gb/gbrowse/malus_x_domestica/?name=MDP0000873295","MDP0000873295")</f>
        <v>MDP0000873295</v>
      </c>
      <c r="D5958">
        <v>63.65</v>
      </c>
      <c r="E5958">
        <v>487</v>
      </c>
      <c r="F5958">
        <v>177</v>
      </c>
      <c r="G5958">
        <v>22</v>
      </c>
      <c r="H5958">
        <v>1</v>
      </c>
      <c r="I5958">
        <v>478</v>
      </c>
      <c r="J5958">
        <v>1</v>
      </c>
      <c r="K5958">
        <v>1</v>
      </c>
      <c r="L5958">
        <v>474</v>
      </c>
      <c r="M5958">
        <v>1</v>
      </c>
      <c r="N5958">
        <v>8.4316100000000002E-176</v>
      </c>
      <c r="O5958">
        <v>1582</v>
      </c>
    </row>
    <row r="5959" spans="1:15" x14ac:dyDescent="0.25">
      <c r="A5959" t="s">
        <v>5972</v>
      </c>
      <c r="B5959">
        <v>614</v>
      </c>
      <c r="C5959" s="1" t="str">
        <f>HYPERLINK("http://www.rosaceae.org/gb/gbrowse/malus_x_domestica/?name=MDP0000872139","MDP0000872139")</f>
        <v>MDP0000872139</v>
      </c>
      <c r="D5959">
        <v>75.12</v>
      </c>
      <c r="E5959">
        <v>595</v>
      </c>
      <c r="F5959">
        <v>148</v>
      </c>
      <c r="G5959">
        <v>4</v>
      </c>
      <c r="H5959">
        <v>21</v>
      </c>
      <c r="I5959">
        <v>611</v>
      </c>
      <c r="J5959">
        <v>1</v>
      </c>
      <c r="K5959">
        <v>15</v>
      </c>
      <c r="L5959">
        <v>609</v>
      </c>
      <c r="M5959">
        <v>1</v>
      </c>
      <c r="N5959">
        <v>0</v>
      </c>
      <c r="O5959">
        <v>2422</v>
      </c>
    </row>
    <row r="5960" spans="1:15" x14ac:dyDescent="0.25">
      <c r="A5960" t="s">
        <v>5973</v>
      </c>
      <c r="B5960">
        <v>417</v>
      </c>
      <c r="C5960" s="1" t="str">
        <f>HYPERLINK("http://www.rosaceae.org/gb/gbrowse/malus_x_domestica/?name=MDP0000201518","MDP0000201518")</f>
        <v>MDP0000201518</v>
      </c>
      <c r="D5960">
        <v>94.17</v>
      </c>
      <c r="E5960">
        <v>395</v>
      </c>
      <c r="F5960">
        <v>23</v>
      </c>
      <c r="G5960">
        <v>0</v>
      </c>
      <c r="H5960">
        <v>5</v>
      </c>
      <c r="I5960">
        <v>399</v>
      </c>
      <c r="J5960">
        <v>1</v>
      </c>
      <c r="K5960">
        <v>38</v>
      </c>
      <c r="L5960">
        <v>432</v>
      </c>
      <c r="M5960">
        <v>1</v>
      </c>
      <c r="N5960">
        <v>0</v>
      </c>
      <c r="O5960">
        <v>2002</v>
      </c>
    </row>
    <row r="5961" spans="1:15" x14ac:dyDescent="0.25">
      <c r="A5961" t="s">
        <v>5974</v>
      </c>
      <c r="B5961">
        <v>287</v>
      </c>
      <c r="C5961" s="1" t="str">
        <f>HYPERLINK("http://www.rosaceae.org/gb/gbrowse/malus_x_domestica/?name=MDP0000835304","MDP0000835304")</f>
        <v>MDP0000835304</v>
      </c>
      <c r="D5961">
        <v>56.63</v>
      </c>
      <c r="E5961">
        <v>226</v>
      </c>
      <c r="F5961">
        <v>98</v>
      </c>
      <c r="G5961">
        <v>9</v>
      </c>
      <c r="H5961">
        <v>40</v>
      </c>
      <c r="I5961">
        <v>265</v>
      </c>
      <c r="J5961">
        <v>1</v>
      </c>
      <c r="K5961">
        <v>44</v>
      </c>
      <c r="L5961">
        <v>260</v>
      </c>
      <c r="M5961">
        <v>1</v>
      </c>
      <c r="N5961">
        <v>1.47136E-63</v>
      </c>
      <c r="O5961">
        <v>612</v>
      </c>
    </row>
    <row r="5962" spans="1:15" x14ac:dyDescent="0.25">
      <c r="A5962" t="s">
        <v>5975</v>
      </c>
      <c r="B5962">
        <v>175</v>
      </c>
      <c r="C5962" s="1" t="str">
        <f>HYPERLINK("http://www.rosaceae.org/gb/gbrowse/malus_x_domestica/?name=MDP0000840947","MDP0000840947")</f>
        <v>MDP0000840947</v>
      </c>
      <c r="D5962">
        <v>53.71</v>
      </c>
      <c r="E5962">
        <v>175</v>
      </c>
      <c r="F5962">
        <v>81</v>
      </c>
      <c r="G5962">
        <v>12</v>
      </c>
      <c r="H5962">
        <v>4</v>
      </c>
      <c r="I5962">
        <v>174</v>
      </c>
      <c r="J5962">
        <v>1</v>
      </c>
      <c r="K5962">
        <v>5</v>
      </c>
      <c r="L5962">
        <v>171</v>
      </c>
      <c r="M5962">
        <v>1</v>
      </c>
      <c r="N5962">
        <v>1.5562899999999999E-32</v>
      </c>
      <c r="O5962">
        <v>341</v>
      </c>
    </row>
    <row r="5963" spans="1:15" x14ac:dyDescent="0.25">
      <c r="A5963" t="s">
        <v>5976</v>
      </c>
      <c r="B5963">
        <v>317</v>
      </c>
      <c r="C5963" s="1" t="str">
        <f>HYPERLINK("http://www.rosaceae.org/gb/gbrowse/malus_x_domestica/?name=MDP0000556306","MDP0000556306")</f>
        <v>MDP0000556306</v>
      </c>
      <c r="D5963">
        <v>45.9</v>
      </c>
      <c r="E5963">
        <v>281</v>
      </c>
      <c r="F5963">
        <v>152</v>
      </c>
      <c r="G5963">
        <v>48</v>
      </c>
      <c r="H5963">
        <v>3</v>
      </c>
      <c r="I5963">
        <v>238</v>
      </c>
      <c r="J5963">
        <v>1</v>
      </c>
      <c r="K5963">
        <v>102</v>
      </c>
      <c r="L5963">
        <v>379</v>
      </c>
      <c r="M5963">
        <v>1</v>
      </c>
      <c r="N5963">
        <v>1.1985899999999999E-51</v>
      </c>
      <c r="O5963">
        <v>510</v>
      </c>
    </row>
    <row r="5964" spans="1:15" x14ac:dyDescent="0.25">
      <c r="A5964" t="s">
        <v>5977</v>
      </c>
      <c r="B5964">
        <v>206</v>
      </c>
      <c r="C5964" s="1" t="str">
        <f>HYPERLINK("http://www.rosaceae.org/gb/gbrowse/malus_x_domestica/?name=MDP0000196329","MDP0000196329")</f>
        <v>MDP0000196329</v>
      </c>
      <c r="D5964">
        <v>36.54</v>
      </c>
      <c r="E5964">
        <v>249</v>
      </c>
      <c r="F5964">
        <v>158</v>
      </c>
      <c r="G5964">
        <v>63</v>
      </c>
      <c r="H5964">
        <v>1</v>
      </c>
      <c r="I5964">
        <v>199</v>
      </c>
      <c r="J5964">
        <v>1</v>
      </c>
      <c r="K5964">
        <v>78</v>
      </c>
      <c r="L5964">
        <v>313</v>
      </c>
      <c r="M5964">
        <v>1</v>
      </c>
      <c r="N5964">
        <v>3.3867500000000001E-28</v>
      </c>
      <c r="O5964">
        <v>305</v>
      </c>
    </row>
    <row r="5965" spans="1:15" x14ac:dyDescent="0.25">
      <c r="A5965" t="s">
        <v>5978</v>
      </c>
      <c r="B5965">
        <v>211</v>
      </c>
      <c r="C5965" s="1" t="str">
        <f>HYPERLINK("http://www.rosaceae.org/gb/gbrowse/malus_x_domestica/?name=MDP0000130613","MDP0000130613")</f>
        <v>MDP0000130613</v>
      </c>
      <c r="D5965">
        <v>28.64</v>
      </c>
      <c r="E5965">
        <v>199</v>
      </c>
      <c r="F5965">
        <v>142</v>
      </c>
      <c r="G5965">
        <v>47</v>
      </c>
      <c r="H5965">
        <v>1</v>
      </c>
      <c r="I5965">
        <v>154</v>
      </c>
      <c r="J5965">
        <v>1</v>
      </c>
      <c r="K5965">
        <v>1</v>
      </c>
      <c r="L5965">
        <v>197</v>
      </c>
      <c r="M5965">
        <v>1</v>
      </c>
      <c r="N5965">
        <v>4.5430500000000002E-7</v>
      </c>
      <c r="O5965">
        <v>123</v>
      </c>
    </row>
    <row r="5966" spans="1:15" x14ac:dyDescent="0.25">
      <c r="A5966" t="s">
        <v>5979</v>
      </c>
      <c r="B5966">
        <v>168</v>
      </c>
      <c r="C5966" s="1" t="str">
        <f>HYPERLINK("http://www.rosaceae.org/gb/gbrowse/malus_x_domestica/?name=MDP0000317775","MDP0000317775")</f>
        <v>MDP0000317775</v>
      </c>
      <c r="D5966">
        <v>40</v>
      </c>
      <c r="E5966">
        <v>70</v>
      </c>
      <c r="F5966">
        <v>42</v>
      </c>
      <c r="G5966">
        <v>3</v>
      </c>
      <c r="H5966">
        <v>37</v>
      </c>
      <c r="I5966">
        <v>106</v>
      </c>
      <c r="J5966">
        <v>1</v>
      </c>
      <c r="K5966">
        <v>40</v>
      </c>
      <c r="L5966">
        <v>106</v>
      </c>
      <c r="M5966">
        <v>1</v>
      </c>
      <c r="N5966">
        <v>4.3703100000000002E-7</v>
      </c>
      <c r="O5966">
        <v>121</v>
      </c>
    </row>
    <row r="5967" spans="1:15" x14ac:dyDescent="0.25">
      <c r="A5967" t="s">
        <v>5980</v>
      </c>
      <c r="B5967">
        <v>309</v>
      </c>
      <c r="C5967" s="1" t="str">
        <f>HYPERLINK("http://www.rosaceae.org/gb/gbrowse/malus_x_domestica/?name=MDP0000323739","MDP0000323739")</f>
        <v>MDP0000323739</v>
      </c>
      <c r="D5967">
        <v>70.05</v>
      </c>
      <c r="E5967">
        <v>354</v>
      </c>
      <c r="F5967">
        <v>106</v>
      </c>
      <c r="G5967">
        <v>46</v>
      </c>
      <c r="H5967">
        <v>1</v>
      </c>
      <c r="I5967">
        <v>308</v>
      </c>
      <c r="J5967">
        <v>1</v>
      </c>
      <c r="K5967">
        <v>1</v>
      </c>
      <c r="L5967">
        <v>354</v>
      </c>
      <c r="M5967">
        <v>1</v>
      </c>
      <c r="N5967">
        <v>3.4108499999999999E-140</v>
      </c>
      <c r="O5967">
        <v>1273</v>
      </c>
    </row>
    <row r="5968" spans="1:15" x14ac:dyDescent="0.25">
      <c r="A5968" t="s">
        <v>5981</v>
      </c>
      <c r="B5968">
        <v>234</v>
      </c>
      <c r="C5968" s="1" t="str">
        <f>HYPERLINK("http://www.rosaceae.org/gb/gbrowse/malus_x_domestica/?name=MDP0000194700","MDP0000194700")</f>
        <v>MDP0000194700</v>
      </c>
      <c r="D5968">
        <v>41.86</v>
      </c>
      <c r="E5968">
        <v>86</v>
      </c>
      <c r="F5968">
        <v>50</v>
      </c>
      <c r="G5968">
        <v>4</v>
      </c>
      <c r="H5968">
        <v>51</v>
      </c>
      <c r="I5968">
        <v>136</v>
      </c>
      <c r="J5968">
        <v>1</v>
      </c>
      <c r="K5968">
        <v>101</v>
      </c>
      <c r="L5968">
        <v>182</v>
      </c>
      <c r="M5968">
        <v>1</v>
      </c>
      <c r="N5968">
        <v>1.2257E-9</v>
      </c>
      <c r="O5968">
        <v>146</v>
      </c>
    </row>
    <row r="5969" spans="1:15" x14ac:dyDescent="0.25">
      <c r="A5969" t="s">
        <v>5982</v>
      </c>
      <c r="B5969">
        <v>356</v>
      </c>
      <c r="C5969" s="1" t="str">
        <f>HYPERLINK("http://www.rosaceae.org/gb/gbrowse/malus_x_domestica/?name=MDP0000320534","MDP0000320534")</f>
        <v>MDP0000320534</v>
      </c>
      <c r="D5969">
        <v>60.76</v>
      </c>
      <c r="E5969">
        <v>367</v>
      </c>
      <c r="F5969">
        <v>144</v>
      </c>
      <c r="G5969">
        <v>25</v>
      </c>
      <c r="H5969">
        <v>1</v>
      </c>
      <c r="I5969">
        <v>348</v>
      </c>
      <c r="J5969">
        <v>1</v>
      </c>
      <c r="K5969">
        <v>4</v>
      </c>
      <c r="L5969">
        <v>364</v>
      </c>
      <c r="M5969">
        <v>1</v>
      </c>
      <c r="N5969">
        <v>7.9680399999999994E-114</v>
      </c>
      <c r="O5969">
        <v>1046</v>
      </c>
    </row>
    <row r="5970" spans="1:15" x14ac:dyDescent="0.25">
      <c r="A5970" t="s">
        <v>5983</v>
      </c>
      <c r="B5970">
        <v>1370</v>
      </c>
      <c r="C5970" s="1" t="str">
        <f>HYPERLINK("http://www.rosaceae.org/gb/gbrowse/malus_x_domestica/?name=MDP0000203763","MDP0000203763")</f>
        <v>MDP0000203763</v>
      </c>
      <c r="D5970">
        <v>60.62</v>
      </c>
      <c r="E5970">
        <v>1313</v>
      </c>
      <c r="F5970">
        <v>517</v>
      </c>
      <c r="G5970">
        <v>133</v>
      </c>
      <c r="H5970">
        <v>177</v>
      </c>
      <c r="I5970">
        <v>1357</v>
      </c>
      <c r="J5970">
        <v>1</v>
      </c>
      <c r="K5970">
        <v>445</v>
      </c>
      <c r="L5970">
        <v>1756</v>
      </c>
      <c r="M5970">
        <v>1</v>
      </c>
      <c r="N5970">
        <v>0</v>
      </c>
      <c r="O5970">
        <v>3771</v>
      </c>
    </row>
    <row r="5971" spans="1:15" x14ac:dyDescent="0.25">
      <c r="A5971" t="s">
        <v>5984</v>
      </c>
      <c r="B5971">
        <v>146</v>
      </c>
      <c r="C5971" s="1" t="str">
        <f>HYPERLINK("http://www.rosaceae.org/gb/gbrowse/malus_x_domestica/?name=MDP0000289649","MDP0000289649")</f>
        <v>MDP0000289649</v>
      </c>
      <c r="D5971">
        <v>70.22</v>
      </c>
      <c r="E5971">
        <v>131</v>
      </c>
      <c r="F5971">
        <v>39</v>
      </c>
      <c r="G5971">
        <v>4</v>
      </c>
      <c r="H5971">
        <v>1</v>
      </c>
      <c r="I5971">
        <v>129</v>
      </c>
      <c r="J5971">
        <v>1</v>
      </c>
      <c r="K5971">
        <v>1</v>
      </c>
      <c r="L5971">
        <v>129</v>
      </c>
      <c r="M5971">
        <v>1</v>
      </c>
      <c r="N5971">
        <v>6.7808299999999996E-42</v>
      </c>
      <c r="O5971">
        <v>420</v>
      </c>
    </row>
    <row r="5972" spans="1:15" x14ac:dyDescent="0.25">
      <c r="A5972" t="s">
        <v>5985</v>
      </c>
      <c r="B5972">
        <v>339</v>
      </c>
      <c r="C5972" s="1" t="str">
        <f>HYPERLINK("http://www.rosaceae.org/gb/gbrowse/malus_x_domestica/?name=MDP0000363200","MDP0000363200")</f>
        <v>MDP0000363200</v>
      </c>
      <c r="D5972">
        <v>79.59</v>
      </c>
      <c r="E5972">
        <v>98</v>
      </c>
      <c r="F5972">
        <v>20</v>
      </c>
      <c r="G5972">
        <v>1</v>
      </c>
      <c r="H5972">
        <v>128</v>
      </c>
      <c r="I5972">
        <v>224</v>
      </c>
      <c r="J5972">
        <v>1</v>
      </c>
      <c r="K5972">
        <v>133</v>
      </c>
      <c r="L5972">
        <v>230</v>
      </c>
      <c r="M5972">
        <v>1</v>
      </c>
      <c r="N5972">
        <v>5.9579900000000005E-39</v>
      </c>
      <c r="O5972">
        <v>401</v>
      </c>
    </row>
    <row r="5973" spans="1:15" x14ac:dyDescent="0.25">
      <c r="A5973" t="s">
        <v>5986</v>
      </c>
      <c r="B5973">
        <v>296</v>
      </c>
      <c r="C5973" s="1" t="str">
        <f>HYPERLINK("http://www.rosaceae.org/gb/gbrowse/malus_x_domestica/?name=MDP0000646811","MDP0000646811")</f>
        <v>MDP0000646811</v>
      </c>
      <c r="D5973">
        <v>56.22</v>
      </c>
      <c r="E5973">
        <v>233</v>
      </c>
      <c r="F5973">
        <v>102</v>
      </c>
      <c r="G5973">
        <v>29</v>
      </c>
      <c r="H5973">
        <v>87</v>
      </c>
      <c r="I5973">
        <v>296</v>
      </c>
      <c r="J5973">
        <v>1</v>
      </c>
      <c r="K5973">
        <v>10</v>
      </c>
      <c r="L5973">
        <v>236</v>
      </c>
      <c r="M5973">
        <v>1</v>
      </c>
      <c r="N5973">
        <v>1.5559499999999999E-61</v>
      </c>
      <c r="O5973">
        <v>595</v>
      </c>
    </row>
    <row r="5974" spans="1:15" x14ac:dyDescent="0.25">
      <c r="A5974" t="s">
        <v>5987</v>
      </c>
      <c r="B5974">
        <v>504</v>
      </c>
      <c r="C5974" s="1" t="str">
        <f>HYPERLINK("http://www.rosaceae.org/gb/gbrowse/malus_x_domestica/?name=MDP0000251002","MDP0000251002")</f>
        <v>MDP0000251002</v>
      </c>
      <c r="D5974">
        <v>52.16</v>
      </c>
      <c r="E5974">
        <v>416</v>
      </c>
      <c r="F5974">
        <v>199</v>
      </c>
      <c r="G5974">
        <v>2</v>
      </c>
      <c r="H5974">
        <v>31</v>
      </c>
      <c r="I5974">
        <v>446</v>
      </c>
      <c r="J5974">
        <v>1</v>
      </c>
      <c r="K5974">
        <v>283</v>
      </c>
      <c r="L5974">
        <v>696</v>
      </c>
      <c r="M5974">
        <v>1</v>
      </c>
      <c r="N5974">
        <v>7.6302599999999998E-128</v>
      </c>
      <c r="O5974">
        <v>1169</v>
      </c>
    </row>
    <row r="5975" spans="1:15" x14ac:dyDescent="0.25">
      <c r="A5975" t="s">
        <v>5988</v>
      </c>
      <c r="B5975">
        <v>202</v>
      </c>
      <c r="C5975" s="1" t="str">
        <f>HYPERLINK("http://www.rosaceae.org/gb/gbrowse/malus_x_domestica/?name=MDP0000327154","MDP0000327154")</f>
        <v>MDP0000327154</v>
      </c>
      <c r="D5975">
        <v>68.84</v>
      </c>
      <c r="E5975">
        <v>199</v>
      </c>
      <c r="F5975">
        <v>62</v>
      </c>
      <c r="G5975">
        <v>4</v>
      </c>
      <c r="H5975">
        <v>1</v>
      </c>
      <c r="I5975">
        <v>197</v>
      </c>
      <c r="J5975">
        <v>1</v>
      </c>
      <c r="K5975">
        <v>22</v>
      </c>
      <c r="L5975">
        <v>218</v>
      </c>
      <c r="M5975">
        <v>1</v>
      </c>
      <c r="N5975">
        <v>1.0499500000000001E-68</v>
      </c>
      <c r="O5975">
        <v>654</v>
      </c>
    </row>
    <row r="5976" spans="1:15" x14ac:dyDescent="0.25">
      <c r="A5976" t="s">
        <v>5989</v>
      </c>
      <c r="B5976">
        <v>396</v>
      </c>
      <c r="C5976" s="1" t="str">
        <f>HYPERLINK("http://www.rosaceae.org/gb/gbrowse/malus_x_domestica/?name=MDP0000179397","MDP0000179397")</f>
        <v>MDP0000179397</v>
      </c>
      <c r="D5976">
        <v>63.42</v>
      </c>
      <c r="E5976">
        <v>380</v>
      </c>
      <c r="F5976">
        <v>139</v>
      </c>
      <c r="G5976">
        <v>20</v>
      </c>
      <c r="H5976">
        <v>8</v>
      </c>
      <c r="I5976">
        <v>379</v>
      </c>
      <c r="J5976">
        <v>1</v>
      </c>
      <c r="K5976">
        <v>11</v>
      </c>
      <c r="L5976">
        <v>378</v>
      </c>
      <c r="M5976">
        <v>1</v>
      </c>
      <c r="N5976">
        <v>1.0719300000000001E-122</v>
      </c>
      <c r="O5976">
        <v>1123</v>
      </c>
    </row>
    <row r="5977" spans="1:15" x14ac:dyDescent="0.25">
      <c r="A5977" t="s">
        <v>5990</v>
      </c>
      <c r="B5977">
        <v>400</v>
      </c>
      <c r="C5977" s="1" t="str">
        <f>HYPERLINK("http://www.rosaceae.org/gb/gbrowse/malus_x_domestica/?name=MDP0000288128","MDP0000288128")</f>
        <v>MDP0000288128</v>
      </c>
      <c r="D5977">
        <v>26.48</v>
      </c>
      <c r="E5977">
        <v>370</v>
      </c>
      <c r="F5977">
        <v>272</v>
      </c>
      <c r="G5977">
        <v>70</v>
      </c>
      <c r="H5977">
        <v>5</v>
      </c>
      <c r="I5977">
        <v>370</v>
      </c>
      <c r="J5977">
        <v>1</v>
      </c>
      <c r="K5977">
        <v>89</v>
      </c>
      <c r="L5977">
        <v>392</v>
      </c>
      <c r="M5977">
        <v>1</v>
      </c>
      <c r="N5977">
        <v>1.6797900000000001E-30</v>
      </c>
      <c r="O5977">
        <v>328</v>
      </c>
    </row>
    <row r="5978" spans="1:15" x14ac:dyDescent="0.25">
      <c r="A5978" t="s">
        <v>5991</v>
      </c>
      <c r="B5978">
        <v>502</v>
      </c>
      <c r="C5978" s="1" t="str">
        <f>HYPERLINK("http://www.rosaceae.org/gb/gbrowse/malus_x_domestica/?name=MDP0000452572","MDP0000452572")</f>
        <v>MDP0000452572</v>
      </c>
      <c r="D5978">
        <v>35</v>
      </c>
      <c r="E5978">
        <v>120</v>
      </c>
      <c r="F5978">
        <v>78</v>
      </c>
      <c r="G5978">
        <v>6</v>
      </c>
      <c r="H5978">
        <v>280</v>
      </c>
      <c r="I5978">
        <v>395</v>
      </c>
      <c r="J5978">
        <v>1</v>
      </c>
      <c r="K5978">
        <v>111</v>
      </c>
      <c r="L5978">
        <v>228</v>
      </c>
      <c r="M5978">
        <v>1</v>
      </c>
      <c r="N5978">
        <v>2.1368900000000001E-11</v>
      </c>
      <c r="O5978">
        <v>165</v>
      </c>
    </row>
    <row r="5979" spans="1:15" x14ac:dyDescent="0.25">
      <c r="A5979" t="s">
        <v>5992</v>
      </c>
      <c r="B5979">
        <v>214</v>
      </c>
      <c r="C5979" s="1" t="str">
        <f>HYPERLINK("http://www.rosaceae.org/gb/gbrowse/malus_x_domestica/?name=MDP0000127122","MDP0000127122")</f>
        <v>MDP0000127122</v>
      </c>
      <c r="D5979">
        <v>37.549999999999997</v>
      </c>
      <c r="E5979">
        <v>213</v>
      </c>
      <c r="F5979">
        <v>133</v>
      </c>
      <c r="G5979">
        <v>27</v>
      </c>
      <c r="H5979">
        <v>3</v>
      </c>
      <c r="I5979">
        <v>214</v>
      </c>
      <c r="J5979">
        <v>1</v>
      </c>
      <c r="K5979">
        <v>1</v>
      </c>
      <c r="L5979">
        <v>187</v>
      </c>
      <c r="M5979">
        <v>1</v>
      </c>
      <c r="N5979">
        <v>7.20246E-34</v>
      </c>
      <c r="O5979">
        <v>354</v>
      </c>
    </row>
    <row r="5980" spans="1:15" x14ac:dyDescent="0.25">
      <c r="A5980" t="s">
        <v>5993</v>
      </c>
      <c r="B5980">
        <v>151</v>
      </c>
      <c r="C5980" s="1" t="str">
        <f>HYPERLINK("http://www.rosaceae.org/gb/gbrowse/malus_x_domestica/?name=MDP0000857523","MDP0000857523")</f>
        <v>MDP0000857523</v>
      </c>
      <c r="D5980">
        <v>74.59</v>
      </c>
      <c r="E5980">
        <v>122</v>
      </c>
      <c r="F5980">
        <v>31</v>
      </c>
      <c r="G5980">
        <v>0</v>
      </c>
      <c r="H5980">
        <v>1</v>
      </c>
      <c r="I5980">
        <v>122</v>
      </c>
      <c r="J5980">
        <v>1</v>
      </c>
      <c r="K5980">
        <v>1</v>
      </c>
      <c r="L5980">
        <v>122</v>
      </c>
      <c r="M5980">
        <v>1</v>
      </c>
      <c r="N5980">
        <v>1.7368400000000002E-49</v>
      </c>
      <c r="O5980">
        <v>486</v>
      </c>
    </row>
    <row r="5981" spans="1:15" x14ac:dyDescent="0.25">
      <c r="A5981" t="s">
        <v>5994</v>
      </c>
      <c r="B5981">
        <v>462</v>
      </c>
      <c r="C5981" s="1" t="str">
        <f>HYPERLINK("http://www.rosaceae.org/gb/gbrowse/malus_x_domestica/?name=MDP0000459932","MDP0000459932")</f>
        <v>MDP0000459932</v>
      </c>
      <c r="D5981">
        <v>54.09</v>
      </c>
      <c r="E5981">
        <v>61</v>
      </c>
      <c r="F5981">
        <v>28</v>
      </c>
      <c r="G5981">
        <v>1</v>
      </c>
      <c r="H5981">
        <v>123</v>
      </c>
      <c r="I5981">
        <v>183</v>
      </c>
      <c r="J5981">
        <v>1</v>
      </c>
      <c r="K5981">
        <v>137</v>
      </c>
      <c r="L5981">
        <v>196</v>
      </c>
      <c r="M5981">
        <v>1</v>
      </c>
      <c r="N5981">
        <v>1.46791E-10</v>
      </c>
      <c r="O5981">
        <v>157</v>
      </c>
    </row>
    <row r="5982" spans="1:15" x14ac:dyDescent="0.25">
      <c r="A5982" t="s">
        <v>5995</v>
      </c>
      <c r="B5982">
        <v>206</v>
      </c>
      <c r="C5982" s="1" t="str">
        <f>HYPERLINK("http://www.rosaceae.org/gb/gbrowse/malus_x_domestica/?name=MDP0000128857","MDP0000128857")</f>
        <v>MDP0000128857</v>
      </c>
      <c r="D5982">
        <v>22.27</v>
      </c>
      <c r="E5982">
        <v>229</v>
      </c>
      <c r="F5982">
        <v>178</v>
      </c>
      <c r="G5982">
        <v>61</v>
      </c>
      <c r="H5982">
        <v>16</v>
      </c>
      <c r="I5982">
        <v>183</v>
      </c>
      <c r="J5982">
        <v>1</v>
      </c>
      <c r="K5982">
        <v>158</v>
      </c>
      <c r="L5982">
        <v>386</v>
      </c>
      <c r="M5982">
        <v>1</v>
      </c>
      <c r="N5982">
        <v>1.10308E-12</v>
      </c>
      <c r="O5982">
        <v>171</v>
      </c>
    </row>
    <row r="5983" spans="1:15" x14ac:dyDescent="0.25">
      <c r="A5983" t="s">
        <v>5996</v>
      </c>
      <c r="B5983">
        <v>352</v>
      </c>
      <c r="C5983" s="1" t="str">
        <f>HYPERLINK("http://www.rosaceae.org/gb/gbrowse/malus_x_domestica/?name=MDP0000670228","MDP0000670228")</f>
        <v>MDP0000670228</v>
      </c>
      <c r="D5983">
        <v>32.29</v>
      </c>
      <c r="E5983">
        <v>161</v>
      </c>
      <c r="F5983">
        <v>109</v>
      </c>
      <c r="G5983">
        <v>41</v>
      </c>
      <c r="H5983">
        <v>1</v>
      </c>
      <c r="I5983">
        <v>126</v>
      </c>
      <c r="J5983">
        <v>1</v>
      </c>
      <c r="K5983">
        <v>153</v>
      </c>
      <c r="L5983">
        <v>307</v>
      </c>
      <c r="M5983">
        <v>1</v>
      </c>
      <c r="N5983">
        <v>1.6124299999999999E-13</v>
      </c>
      <c r="O5983">
        <v>181</v>
      </c>
    </row>
    <row r="5984" spans="1:15" x14ac:dyDescent="0.25">
      <c r="A5984" t="s">
        <v>5997</v>
      </c>
      <c r="B5984">
        <v>241</v>
      </c>
      <c r="C5984" s="1" t="str">
        <f>HYPERLINK("http://www.rosaceae.org/gb/gbrowse/malus_x_domestica/?name=MDP0000322220","MDP0000322220")</f>
        <v>MDP0000322220</v>
      </c>
      <c r="D5984">
        <v>65.290000000000006</v>
      </c>
      <c r="E5984">
        <v>219</v>
      </c>
      <c r="F5984">
        <v>76</v>
      </c>
      <c r="G5984">
        <v>1</v>
      </c>
      <c r="H5984">
        <v>2</v>
      </c>
      <c r="I5984">
        <v>219</v>
      </c>
      <c r="J5984">
        <v>1</v>
      </c>
      <c r="K5984">
        <v>691</v>
      </c>
      <c r="L5984">
        <v>909</v>
      </c>
      <c r="M5984">
        <v>1</v>
      </c>
      <c r="N5984">
        <v>1.89803E-78</v>
      </c>
      <c r="O5984">
        <v>739</v>
      </c>
    </row>
    <row r="5985" spans="1:15" x14ac:dyDescent="0.25">
      <c r="A5985" t="s">
        <v>5998</v>
      </c>
      <c r="B5985">
        <v>166</v>
      </c>
      <c r="C5985" s="1" t="str">
        <f>HYPERLINK("http://www.rosaceae.org/gb/gbrowse/malus_x_domestica/?name=MDP0000923521","MDP0000923521")</f>
        <v>MDP0000923521</v>
      </c>
      <c r="D5985">
        <v>64.069999999999993</v>
      </c>
      <c r="E5985">
        <v>167</v>
      </c>
      <c r="F5985">
        <v>60</v>
      </c>
      <c r="G5985">
        <v>4</v>
      </c>
      <c r="H5985">
        <v>1</v>
      </c>
      <c r="I5985">
        <v>166</v>
      </c>
      <c r="J5985">
        <v>1</v>
      </c>
      <c r="K5985">
        <v>1</v>
      </c>
      <c r="L5985">
        <v>164</v>
      </c>
      <c r="M5985">
        <v>1</v>
      </c>
      <c r="N5985">
        <v>4.9540399999999998E-53</v>
      </c>
      <c r="O5985">
        <v>518</v>
      </c>
    </row>
    <row r="5986" spans="1:15" x14ac:dyDescent="0.25">
      <c r="A5986" t="s">
        <v>5999</v>
      </c>
      <c r="B5986">
        <v>289</v>
      </c>
      <c r="C5986" s="1" t="str">
        <f>HYPERLINK("http://www.rosaceae.org/gb/gbrowse/malus_x_domestica/?name=MDP0000162563","MDP0000162563")</f>
        <v>MDP0000162563</v>
      </c>
      <c r="D5986">
        <v>43.19</v>
      </c>
      <c r="E5986">
        <v>294</v>
      </c>
      <c r="F5986">
        <v>167</v>
      </c>
      <c r="G5986">
        <v>44</v>
      </c>
      <c r="H5986">
        <v>18</v>
      </c>
      <c r="I5986">
        <v>281</v>
      </c>
      <c r="J5986">
        <v>1</v>
      </c>
      <c r="K5986">
        <v>13</v>
      </c>
      <c r="L5986">
        <v>292</v>
      </c>
      <c r="M5986">
        <v>1</v>
      </c>
      <c r="N5986">
        <v>9.5989700000000002E-49</v>
      </c>
      <c r="O5986">
        <v>484</v>
      </c>
    </row>
    <row r="5987" spans="1:15" x14ac:dyDescent="0.25">
      <c r="A5987" t="s">
        <v>6000</v>
      </c>
      <c r="B5987">
        <v>1189</v>
      </c>
      <c r="C5987" s="1" t="str">
        <f>HYPERLINK("http://www.rosaceae.org/gb/gbrowse/malus_x_domestica/?name=MDP0000130111","MDP0000130111")</f>
        <v>MDP0000130111</v>
      </c>
      <c r="D5987">
        <v>72.489999999999995</v>
      </c>
      <c r="E5987">
        <v>938</v>
      </c>
      <c r="F5987">
        <v>258</v>
      </c>
      <c r="G5987">
        <v>70</v>
      </c>
      <c r="H5987">
        <v>1</v>
      </c>
      <c r="I5987">
        <v>868</v>
      </c>
      <c r="J5987">
        <v>1</v>
      </c>
      <c r="K5987">
        <v>68</v>
      </c>
      <c r="L5987">
        <v>1005</v>
      </c>
      <c r="M5987">
        <v>1</v>
      </c>
      <c r="N5987">
        <v>0</v>
      </c>
      <c r="O5987">
        <v>3511</v>
      </c>
    </row>
    <row r="5988" spans="1:15" x14ac:dyDescent="0.25">
      <c r="A5988" t="s">
        <v>6001</v>
      </c>
      <c r="B5988">
        <v>663</v>
      </c>
      <c r="C5988" s="1" t="str">
        <f>HYPERLINK("http://www.rosaceae.org/gb/gbrowse/malus_x_domestica/?name=MDP0000312316","MDP0000312316")</f>
        <v>MDP0000312316</v>
      </c>
      <c r="D5988">
        <v>79.16</v>
      </c>
      <c r="E5988">
        <v>504</v>
      </c>
      <c r="F5988">
        <v>105</v>
      </c>
      <c r="G5988">
        <v>29</v>
      </c>
      <c r="H5988">
        <v>138</v>
      </c>
      <c r="I5988">
        <v>641</v>
      </c>
      <c r="J5988">
        <v>1</v>
      </c>
      <c r="K5988">
        <v>627</v>
      </c>
      <c r="L5988">
        <v>1101</v>
      </c>
      <c r="M5988">
        <v>1</v>
      </c>
      <c r="N5988">
        <v>0</v>
      </c>
      <c r="O5988">
        <v>2035</v>
      </c>
    </row>
    <row r="5989" spans="1:15" x14ac:dyDescent="0.25">
      <c r="A5989" t="s">
        <v>6002</v>
      </c>
      <c r="B5989">
        <v>151</v>
      </c>
      <c r="C5989" s="1" t="str">
        <f>HYPERLINK("http://www.rosaceae.org/gb/gbrowse/malus_x_domestica/?name=MDP0000295340","MDP0000295340")</f>
        <v>MDP0000295340</v>
      </c>
      <c r="D5989">
        <v>63.36</v>
      </c>
      <c r="E5989">
        <v>101</v>
      </c>
      <c r="F5989">
        <v>37</v>
      </c>
      <c r="G5989">
        <v>0</v>
      </c>
      <c r="H5989">
        <v>51</v>
      </c>
      <c r="I5989">
        <v>151</v>
      </c>
      <c r="J5989">
        <v>1</v>
      </c>
      <c r="K5989">
        <v>24</v>
      </c>
      <c r="L5989">
        <v>124</v>
      </c>
      <c r="M5989">
        <v>1</v>
      </c>
      <c r="N5989">
        <v>2.22001E-37</v>
      </c>
      <c r="O5989">
        <v>382</v>
      </c>
    </row>
    <row r="5990" spans="1:15" x14ac:dyDescent="0.25">
      <c r="A5990" t="s">
        <v>6003</v>
      </c>
      <c r="B5990">
        <v>711</v>
      </c>
      <c r="C5990" s="1" t="str">
        <f>HYPERLINK("http://www.rosaceae.org/gb/gbrowse/malus_x_domestica/?name=MDP0000244980","MDP0000244980")</f>
        <v>MDP0000244980</v>
      </c>
      <c r="D5990">
        <v>56.16</v>
      </c>
      <c r="E5990">
        <v>568</v>
      </c>
      <c r="F5990">
        <v>249</v>
      </c>
      <c r="G5990">
        <v>101</v>
      </c>
      <c r="H5990">
        <v>147</v>
      </c>
      <c r="I5990">
        <v>711</v>
      </c>
      <c r="J5990">
        <v>1</v>
      </c>
      <c r="K5990">
        <v>115</v>
      </c>
      <c r="L5990">
        <v>584</v>
      </c>
      <c r="M5990">
        <v>1</v>
      </c>
      <c r="N5990">
        <v>4.6401600000000003E-158</v>
      </c>
      <c r="O5990">
        <v>1431</v>
      </c>
    </row>
    <row r="5991" spans="1:15" x14ac:dyDescent="0.25">
      <c r="A5991" t="s">
        <v>6004</v>
      </c>
      <c r="B5991">
        <v>240</v>
      </c>
      <c r="C5991" s="1" t="str">
        <f>HYPERLINK("http://www.rosaceae.org/gb/gbrowse/malus_x_domestica/?name=MDP0000167299","MDP0000167299")</f>
        <v>MDP0000167299</v>
      </c>
      <c r="D5991">
        <v>75.180000000000007</v>
      </c>
      <c r="E5991">
        <v>137</v>
      </c>
      <c r="F5991">
        <v>34</v>
      </c>
      <c r="G5991">
        <v>0</v>
      </c>
      <c r="H5991">
        <v>69</v>
      </c>
      <c r="I5991">
        <v>205</v>
      </c>
      <c r="J5991">
        <v>1</v>
      </c>
      <c r="K5991">
        <v>24</v>
      </c>
      <c r="L5991">
        <v>160</v>
      </c>
      <c r="M5991">
        <v>1</v>
      </c>
      <c r="N5991">
        <v>9.6611300000000002E-61</v>
      </c>
      <c r="O5991">
        <v>587</v>
      </c>
    </row>
    <row r="5992" spans="1:15" x14ac:dyDescent="0.25">
      <c r="A5992" t="s">
        <v>6005</v>
      </c>
      <c r="B5992">
        <v>749</v>
      </c>
      <c r="C5992" s="1" t="str">
        <f>HYPERLINK("http://www.rosaceae.org/gb/gbrowse/malus_x_domestica/?name=MDP0000302024","MDP0000302024")</f>
        <v>MDP0000302024</v>
      </c>
      <c r="D5992">
        <v>85.47</v>
      </c>
      <c r="E5992">
        <v>709</v>
      </c>
      <c r="F5992">
        <v>103</v>
      </c>
      <c r="G5992">
        <v>0</v>
      </c>
      <c r="H5992">
        <v>41</v>
      </c>
      <c r="I5992">
        <v>749</v>
      </c>
      <c r="J5992">
        <v>1</v>
      </c>
      <c r="K5992">
        <v>59</v>
      </c>
      <c r="L5992">
        <v>767</v>
      </c>
      <c r="M5992">
        <v>1</v>
      </c>
      <c r="N5992">
        <v>0</v>
      </c>
      <c r="O5992">
        <v>3240</v>
      </c>
    </row>
    <row r="5993" spans="1:15" x14ac:dyDescent="0.25">
      <c r="A5993" t="s">
        <v>6006</v>
      </c>
      <c r="B5993">
        <v>115</v>
      </c>
      <c r="C5993" s="1" t="str">
        <f>HYPERLINK("http://www.rosaceae.org/gb/gbrowse/malus_x_domestica/?name=MDP0000253339","MDP0000253339")</f>
        <v>MDP0000253339</v>
      </c>
      <c r="D5993">
        <v>56.36</v>
      </c>
      <c r="E5993">
        <v>110</v>
      </c>
      <c r="F5993">
        <v>48</v>
      </c>
      <c r="G5993">
        <v>18</v>
      </c>
      <c r="H5993">
        <v>20</v>
      </c>
      <c r="I5993">
        <v>115</v>
      </c>
      <c r="J5993">
        <v>1</v>
      </c>
      <c r="K5993">
        <v>1</v>
      </c>
      <c r="L5993">
        <v>106</v>
      </c>
      <c r="M5993">
        <v>1</v>
      </c>
      <c r="N5993">
        <v>2.89879E-22</v>
      </c>
      <c r="O5993">
        <v>249</v>
      </c>
    </row>
    <row r="5994" spans="1:15" x14ac:dyDescent="0.25">
      <c r="A5994" t="s">
        <v>6007</v>
      </c>
      <c r="B5994">
        <v>311</v>
      </c>
      <c r="C5994" s="1" t="str">
        <f>HYPERLINK("http://www.rosaceae.org/gb/gbrowse/malus_x_domestica/?name=MDP0000286000","MDP0000286000")</f>
        <v>MDP0000286000</v>
      </c>
      <c r="D5994">
        <v>48.58</v>
      </c>
      <c r="E5994">
        <v>282</v>
      </c>
      <c r="F5994">
        <v>145</v>
      </c>
      <c r="G5994">
        <v>14</v>
      </c>
      <c r="H5994">
        <v>39</v>
      </c>
      <c r="I5994">
        <v>308</v>
      </c>
      <c r="J5994">
        <v>1</v>
      </c>
      <c r="K5994">
        <v>23</v>
      </c>
      <c r="L5994">
        <v>302</v>
      </c>
      <c r="M5994">
        <v>1</v>
      </c>
      <c r="N5994">
        <v>6.6895499999999997E-66</v>
      </c>
      <c r="O5994">
        <v>632</v>
      </c>
    </row>
    <row r="5995" spans="1:15" x14ac:dyDescent="0.25">
      <c r="A5995" t="s">
        <v>6008</v>
      </c>
      <c r="B5995">
        <v>504</v>
      </c>
      <c r="C5995" s="1" t="str">
        <f>HYPERLINK("http://www.rosaceae.org/gb/gbrowse/malus_x_domestica/?name=MDP0000240648","MDP0000240648")</f>
        <v>MDP0000240648</v>
      </c>
      <c r="D5995">
        <v>82.07</v>
      </c>
      <c r="E5995">
        <v>502</v>
      </c>
      <c r="F5995">
        <v>90</v>
      </c>
      <c r="G5995">
        <v>2</v>
      </c>
      <c r="H5995">
        <v>1</v>
      </c>
      <c r="I5995">
        <v>502</v>
      </c>
      <c r="J5995">
        <v>1</v>
      </c>
      <c r="K5995">
        <v>1</v>
      </c>
      <c r="L5995">
        <v>500</v>
      </c>
      <c r="M5995">
        <v>1</v>
      </c>
      <c r="N5995">
        <v>0</v>
      </c>
      <c r="O5995">
        <v>2259</v>
      </c>
    </row>
    <row r="5996" spans="1:15" x14ac:dyDescent="0.25">
      <c r="A5996" t="s">
        <v>6009</v>
      </c>
      <c r="B5996">
        <v>264</v>
      </c>
      <c r="C5996" s="1" t="str">
        <f>HYPERLINK("http://www.rosaceae.org/gb/gbrowse/malus_x_domestica/?name=MDP0000181401","MDP0000181401")</f>
        <v>MDP0000181401</v>
      </c>
      <c r="D5996">
        <v>69.73</v>
      </c>
      <c r="E5996">
        <v>152</v>
      </c>
      <c r="F5996">
        <v>46</v>
      </c>
      <c r="G5996">
        <v>0</v>
      </c>
      <c r="H5996">
        <v>20</v>
      </c>
      <c r="I5996">
        <v>171</v>
      </c>
      <c r="J5996">
        <v>1</v>
      </c>
      <c r="K5996">
        <v>19</v>
      </c>
      <c r="L5996">
        <v>170</v>
      </c>
      <c r="M5996">
        <v>1</v>
      </c>
      <c r="N5996">
        <v>2.16325E-60</v>
      </c>
      <c r="O5996">
        <v>584</v>
      </c>
    </row>
    <row r="5997" spans="1:15" x14ac:dyDescent="0.25">
      <c r="A5997" t="s">
        <v>6010</v>
      </c>
      <c r="B5997">
        <v>418</v>
      </c>
      <c r="C5997" s="1" t="str">
        <f>HYPERLINK("http://www.rosaceae.org/gb/gbrowse/malus_x_domestica/?name=MDP0000276536","MDP0000276536")</f>
        <v>MDP0000276536</v>
      </c>
      <c r="D5997">
        <v>56.17</v>
      </c>
      <c r="E5997">
        <v>445</v>
      </c>
      <c r="F5997">
        <v>195</v>
      </c>
      <c r="G5997">
        <v>54</v>
      </c>
      <c r="H5997">
        <v>1</v>
      </c>
      <c r="I5997">
        <v>417</v>
      </c>
      <c r="J5997">
        <v>1</v>
      </c>
      <c r="K5997">
        <v>1</v>
      </c>
      <c r="L5997">
        <v>419</v>
      </c>
      <c r="M5997">
        <v>1</v>
      </c>
      <c r="N5997">
        <v>6.83343E-115</v>
      </c>
      <c r="O5997">
        <v>1056</v>
      </c>
    </row>
    <row r="5998" spans="1:15" x14ac:dyDescent="0.25">
      <c r="A5998" t="s">
        <v>6011</v>
      </c>
      <c r="B5998">
        <v>745</v>
      </c>
      <c r="C5998" s="1" t="str">
        <f>HYPERLINK("http://www.rosaceae.org/gb/gbrowse/malus_x_domestica/?name=MDP0000178532","MDP0000178532")</f>
        <v>MDP0000178532</v>
      </c>
      <c r="D5998">
        <v>59.14</v>
      </c>
      <c r="E5998">
        <v>793</v>
      </c>
      <c r="F5998">
        <v>324</v>
      </c>
      <c r="G5998">
        <v>113</v>
      </c>
      <c r="H5998">
        <v>1</v>
      </c>
      <c r="I5998">
        <v>740</v>
      </c>
      <c r="J5998">
        <v>1</v>
      </c>
      <c r="K5998">
        <v>11</v>
      </c>
      <c r="L5998">
        <v>743</v>
      </c>
      <c r="M5998">
        <v>1</v>
      </c>
      <c r="N5998">
        <v>0</v>
      </c>
      <c r="O5998">
        <v>2271</v>
      </c>
    </row>
    <row r="5999" spans="1:15" x14ac:dyDescent="0.25">
      <c r="A5999" t="s">
        <v>6012</v>
      </c>
      <c r="B5999">
        <v>370</v>
      </c>
      <c r="C5999" s="1" t="str">
        <f>HYPERLINK("http://www.rosaceae.org/gb/gbrowse/malus_x_domestica/?name=MDP0000312342","MDP0000312342")</f>
        <v>MDP0000312342</v>
      </c>
      <c r="D5999">
        <v>31.29</v>
      </c>
      <c r="E5999">
        <v>310</v>
      </c>
      <c r="F5999">
        <v>213</v>
      </c>
      <c r="G5999">
        <v>38</v>
      </c>
      <c r="H5999">
        <v>7</v>
      </c>
      <c r="I5999">
        <v>296</v>
      </c>
      <c r="J5999">
        <v>1</v>
      </c>
      <c r="K5999">
        <v>2</v>
      </c>
      <c r="L5999">
        <v>293</v>
      </c>
      <c r="M5999">
        <v>1</v>
      </c>
      <c r="N5999">
        <v>5.2671900000000001E-31</v>
      </c>
      <c r="O5999">
        <v>332</v>
      </c>
    </row>
    <row r="6000" spans="1:15" x14ac:dyDescent="0.25">
      <c r="A6000" t="s">
        <v>6013</v>
      </c>
      <c r="B6000">
        <v>261</v>
      </c>
      <c r="C6000" s="1" t="str">
        <f>HYPERLINK("http://www.rosaceae.org/gb/gbrowse/malus_x_domestica/?name=MDP0000238556","MDP0000238556")</f>
        <v>MDP0000238556</v>
      </c>
      <c r="D6000">
        <v>36.06</v>
      </c>
      <c r="E6000">
        <v>122</v>
      </c>
      <c r="F6000">
        <v>78</v>
      </c>
      <c r="G6000">
        <v>20</v>
      </c>
      <c r="H6000">
        <v>1</v>
      </c>
      <c r="I6000">
        <v>116</v>
      </c>
      <c r="J6000">
        <v>1</v>
      </c>
      <c r="K6000">
        <v>102</v>
      </c>
      <c r="L6000">
        <v>209</v>
      </c>
      <c r="M6000">
        <v>1</v>
      </c>
      <c r="N6000">
        <v>1.35266E-9</v>
      </c>
      <c r="O6000">
        <v>146</v>
      </c>
    </row>
    <row r="6001" spans="1:15" x14ac:dyDescent="0.25">
      <c r="A6001" t="s">
        <v>6014</v>
      </c>
      <c r="B6001">
        <v>201</v>
      </c>
      <c r="C6001" s="1" t="str">
        <f>HYPERLINK("http://www.rosaceae.org/gb/gbrowse/malus_x_domestica/?name=MDP0000397306","MDP0000397306")</f>
        <v>MDP0000397306</v>
      </c>
      <c r="D6001">
        <v>62.63</v>
      </c>
      <c r="E6001">
        <v>190</v>
      </c>
      <c r="F6001">
        <v>71</v>
      </c>
      <c r="G6001">
        <v>1</v>
      </c>
      <c r="H6001">
        <v>13</v>
      </c>
      <c r="I6001">
        <v>201</v>
      </c>
      <c r="J6001">
        <v>1</v>
      </c>
      <c r="K6001">
        <v>20</v>
      </c>
      <c r="L6001">
        <v>209</v>
      </c>
      <c r="M6001">
        <v>1</v>
      </c>
      <c r="N6001">
        <v>4.4423299999999998E-67</v>
      </c>
      <c r="O6001">
        <v>640</v>
      </c>
    </row>
    <row r="6002" spans="1:15" x14ac:dyDescent="0.25">
      <c r="A6002" t="s">
        <v>6015</v>
      </c>
      <c r="B6002">
        <v>151</v>
      </c>
      <c r="C6002" s="1" t="str">
        <f>HYPERLINK("http://www.rosaceae.org/gb/gbrowse/malus_x_domestica/?name=MDP0000281421","MDP0000281421")</f>
        <v>MDP0000281421</v>
      </c>
      <c r="D6002">
        <v>61.59</v>
      </c>
      <c r="E6002">
        <v>138</v>
      </c>
      <c r="F6002">
        <v>53</v>
      </c>
      <c r="G6002">
        <v>3</v>
      </c>
      <c r="H6002">
        <v>1</v>
      </c>
      <c r="I6002">
        <v>135</v>
      </c>
      <c r="J6002">
        <v>1</v>
      </c>
      <c r="K6002">
        <v>1</v>
      </c>
      <c r="L6002">
        <v>138</v>
      </c>
      <c r="M6002">
        <v>1</v>
      </c>
      <c r="N6002">
        <v>1.6548999999999999E-43</v>
      </c>
      <c r="O6002">
        <v>435</v>
      </c>
    </row>
    <row r="6003" spans="1:15" x14ac:dyDescent="0.25">
      <c r="A6003" t="s">
        <v>6016</v>
      </c>
      <c r="B6003">
        <v>172</v>
      </c>
      <c r="C6003" s="1" t="str">
        <f>HYPERLINK("http://www.rosaceae.org/gb/gbrowse/malus_x_domestica/?name=MDP0000263823","MDP0000263823")</f>
        <v>MDP0000263823</v>
      </c>
      <c r="D6003">
        <v>84.05</v>
      </c>
      <c r="E6003">
        <v>69</v>
      </c>
      <c r="F6003">
        <v>11</v>
      </c>
      <c r="G6003">
        <v>0</v>
      </c>
      <c r="H6003">
        <v>89</v>
      </c>
      <c r="I6003">
        <v>157</v>
      </c>
      <c r="J6003">
        <v>1</v>
      </c>
      <c r="K6003">
        <v>160</v>
      </c>
      <c r="L6003">
        <v>228</v>
      </c>
      <c r="M6003">
        <v>1</v>
      </c>
      <c r="N6003">
        <v>2.05578E-32</v>
      </c>
      <c r="O6003">
        <v>340</v>
      </c>
    </row>
    <row r="6004" spans="1:15" x14ac:dyDescent="0.25">
      <c r="A6004" t="s">
        <v>6017</v>
      </c>
      <c r="B6004">
        <v>263</v>
      </c>
      <c r="C6004" s="1" t="str">
        <f>HYPERLINK("http://www.rosaceae.org/gb/gbrowse/malus_x_domestica/?name=MDP0000153639","MDP0000153639")</f>
        <v>MDP0000153639</v>
      </c>
      <c r="D6004">
        <v>57.02</v>
      </c>
      <c r="E6004">
        <v>249</v>
      </c>
      <c r="F6004">
        <v>107</v>
      </c>
      <c r="G6004">
        <v>17</v>
      </c>
      <c r="H6004">
        <v>29</v>
      </c>
      <c r="I6004">
        <v>263</v>
      </c>
      <c r="J6004">
        <v>1</v>
      </c>
      <c r="K6004">
        <v>30</v>
      </c>
      <c r="L6004">
        <v>275</v>
      </c>
      <c r="M6004">
        <v>1</v>
      </c>
      <c r="N6004">
        <v>2.7159299999999998E-65</v>
      </c>
      <c r="O6004">
        <v>626</v>
      </c>
    </row>
    <row r="6005" spans="1:15" x14ac:dyDescent="0.25">
      <c r="A6005" t="s">
        <v>6018</v>
      </c>
      <c r="B6005">
        <v>585</v>
      </c>
      <c r="C6005" s="1" t="str">
        <f>HYPERLINK("http://www.rosaceae.org/gb/gbrowse/malus_x_domestica/?name=MDP0000248869","MDP0000248869")</f>
        <v>MDP0000248869</v>
      </c>
      <c r="D6005">
        <v>60.91</v>
      </c>
      <c r="E6005">
        <v>307</v>
      </c>
      <c r="F6005">
        <v>120</v>
      </c>
      <c r="G6005">
        <v>17</v>
      </c>
      <c r="H6005">
        <v>4</v>
      </c>
      <c r="I6005">
        <v>298</v>
      </c>
      <c r="J6005">
        <v>1</v>
      </c>
      <c r="K6005">
        <v>2</v>
      </c>
      <c r="L6005">
        <v>303</v>
      </c>
      <c r="M6005">
        <v>1</v>
      </c>
      <c r="N6005">
        <v>8.9220700000000001E-95</v>
      </c>
      <c r="O6005">
        <v>885</v>
      </c>
    </row>
    <row r="6006" spans="1:15" x14ac:dyDescent="0.25">
      <c r="A6006" t="s">
        <v>6019</v>
      </c>
      <c r="B6006">
        <v>188</v>
      </c>
      <c r="C6006" s="1" t="str">
        <f>HYPERLINK("http://www.rosaceae.org/gb/gbrowse/malus_x_domestica/?name=MDP0000263495","MDP0000263495")</f>
        <v>MDP0000263495</v>
      </c>
      <c r="D6006">
        <v>37.81</v>
      </c>
      <c r="E6006">
        <v>119</v>
      </c>
      <c r="F6006">
        <v>74</v>
      </c>
      <c r="G6006">
        <v>13</v>
      </c>
      <c r="H6006">
        <v>70</v>
      </c>
      <c r="I6006">
        <v>187</v>
      </c>
      <c r="J6006">
        <v>1</v>
      </c>
      <c r="K6006">
        <v>71</v>
      </c>
      <c r="L6006">
        <v>177</v>
      </c>
      <c r="M6006">
        <v>1</v>
      </c>
      <c r="N6006">
        <v>1.2239399999999999E-12</v>
      </c>
      <c r="O6006">
        <v>170</v>
      </c>
    </row>
    <row r="6007" spans="1:15" x14ac:dyDescent="0.25">
      <c r="A6007" t="s">
        <v>6020</v>
      </c>
      <c r="B6007">
        <v>153</v>
      </c>
      <c r="C6007" s="1" t="str">
        <f>HYPERLINK("http://www.rosaceae.org/gb/gbrowse/malus_x_domestica/?name=MDP0000275765","MDP0000275765")</f>
        <v>MDP0000275765</v>
      </c>
      <c r="D6007">
        <v>66.66</v>
      </c>
      <c r="E6007">
        <v>54</v>
      </c>
      <c r="F6007">
        <v>18</v>
      </c>
      <c r="G6007">
        <v>0</v>
      </c>
      <c r="H6007">
        <v>88</v>
      </c>
      <c r="I6007">
        <v>141</v>
      </c>
      <c r="J6007">
        <v>1</v>
      </c>
      <c r="K6007">
        <v>81</v>
      </c>
      <c r="L6007">
        <v>134</v>
      </c>
      <c r="M6007">
        <v>1</v>
      </c>
      <c r="N6007">
        <v>1.2465200000000001E-17</v>
      </c>
      <c r="O6007">
        <v>212</v>
      </c>
    </row>
    <row r="6008" spans="1:15" x14ac:dyDescent="0.25">
      <c r="A6008" t="s">
        <v>6021</v>
      </c>
      <c r="B6008">
        <v>1509</v>
      </c>
      <c r="C6008" s="1" t="str">
        <f>HYPERLINK("http://www.rosaceae.org/gb/gbrowse/malus_x_domestica/?name=MDP0000128723","MDP0000128723")</f>
        <v>MDP0000128723</v>
      </c>
      <c r="D6008">
        <v>63.11</v>
      </c>
      <c r="E6008">
        <v>789</v>
      </c>
      <c r="F6008">
        <v>291</v>
      </c>
      <c r="G6008">
        <v>26</v>
      </c>
      <c r="H6008">
        <v>1</v>
      </c>
      <c r="I6008">
        <v>772</v>
      </c>
      <c r="J6008">
        <v>1</v>
      </c>
      <c r="K6008">
        <v>157</v>
      </c>
      <c r="L6008">
        <v>936</v>
      </c>
      <c r="M6008">
        <v>1</v>
      </c>
      <c r="N6008">
        <v>0</v>
      </c>
      <c r="O6008">
        <v>2418</v>
      </c>
    </row>
    <row r="6009" spans="1:15" x14ac:dyDescent="0.25">
      <c r="A6009" t="s">
        <v>6022</v>
      </c>
      <c r="B6009">
        <v>434</v>
      </c>
      <c r="C6009" s="1" t="str">
        <f>HYPERLINK("http://www.rosaceae.org/gb/gbrowse/malus_x_domestica/?name=MDP0000167257","MDP0000167257")</f>
        <v>MDP0000167257</v>
      </c>
      <c r="D6009">
        <v>85.81</v>
      </c>
      <c r="E6009">
        <v>409</v>
      </c>
      <c r="F6009">
        <v>58</v>
      </c>
      <c r="G6009">
        <v>0</v>
      </c>
      <c r="H6009">
        <v>7</v>
      </c>
      <c r="I6009">
        <v>415</v>
      </c>
      <c r="J6009">
        <v>1</v>
      </c>
      <c r="K6009">
        <v>65</v>
      </c>
      <c r="L6009">
        <v>473</v>
      </c>
      <c r="M6009">
        <v>1</v>
      </c>
      <c r="N6009">
        <v>0</v>
      </c>
      <c r="O6009">
        <v>1933</v>
      </c>
    </row>
    <row r="6010" spans="1:15" x14ac:dyDescent="0.25">
      <c r="A6010" t="s">
        <v>6023</v>
      </c>
      <c r="B6010">
        <v>753</v>
      </c>
      <c r="C6010" s="1" t="str">
        <f>HYPERLINK("http://www.rosaceae.org/gb/gbrowse/malus_x_domestica/?name=MDP0000157918","MDP0000157918")</f>
        <v>MDP0000157918</v>
      </c>
      <c r="D6010">
        <v>78.73</v>
      </c>
      <c r="E6010">
        <v>301</v>
      </c>
      <c r="F6010">
        <v>64</v>
      </c>
      <c r="G6010">
        <v>21</v>
      </c>
      <c r="H6010">
        <v>26</v>
      </c>
      <c r="I6010">
        <v>326</v>
      </c>
      <c r="J6010">
        <v>1</v>
      </c>
      <c r="K6010">
        <v>87</v>
      </c>
      <c r="L6010">
        <v>366</v>
      </c>
      <c r="M6010">
        <v>1</v>
      </c>
      <c r="N6010">
        <v>8.2481599999999995E-134</v>
      </c>
      <c r="O6010">
        <v>1222</v>
      </c>
    </row>
    <row r="6011" spans="1:15" x14ac:dyDescent="0.25">
      <c r="A6011" t="s">
        <v>6024</v>
      </c>
      <c r="B6011">
        <v>379</v>
      </c>
      <c r="C6011" s="1" t="str">
        <f>HYPERLINK("http://www.rosaceae.org/gb/gbrowse/malus_x_domestica/?name=MDP0000128879","MDP0000128879")</f>
        <v>MDP0000128879</v>
      </c>
      <c r="D6011">
        <v>73.77</v>
      </c>
      <c r="E6011">
        <v>366</v>
      </c>
      <c r="F6011">
        <v>96</v>
      </c>
      <c r="G6011">
        <v>11</v>
      </c>
      <c r="H6011">
        <v>1</v>
      </c>
      <c r="I6011">
        <v>364</v>
      </c>
      <c r="J6011">
        <v>1</v>
      </c>
      <c r="K6011">
        <v>1</v>
      </c>
      <c r="L6011">
        <v>357</v>
      </c>
      <c r="M6011">
        <v>1</v>
      </c>
      <c r="N6011">
        <v>5.8003100000000002E-159</v>
      </c>
      <c r="O6011">
        <v>1436</v>
      </c>
    </row>
    <row r="6012" spans="1:15" x14ac:dyDescent="0.25">
      <c r="A6012" t="s">
        <v>6025</v>
      </c>
      <c r="B6012">
        <v>762</v>
      </c>
      <c r="C6012" s="1" t="str">
        <f>HYPERLINK("http://www.rosaceae.org/gb/gbrowse/malus_x_domestica/?name=MDP0000212179","MDP0000212179")</f>
        <v>MDP0000212179</v>
      </c>
      <c r="D6012">
        <v>76.11</v>
      </c>
      <c r="E6012">
        <v>469</v>
      </c>
      <c r="F6012">
        <v>112</v>
      </c>
      <c r="G6012">
        <v>13</v>
      </c>
      <c r="H6012">
        <v>285</v>
      </c>
      <c r="I6012">
        <v>741</v>
      </c>
      <c r="J6012">
        <v>1</v>
      </c>
      <c r="K6012">
        <v>226</v>
      </c>
      <c r="L6012">
        <v>693</v>
      </c>
      <c r="M6012">
        <v>1</v>
      </c>
      <c r="N6012">
        <v>0</v>
      </c>
      <c r="O6012">
        <v>1773</v>
      </c>
    </row>
    <row r="6013" spans="1:15" x14ac:dyDescent="0.25">
      <c r="A6013" t="s">
        <v>6026</v>
      </c>
      <c r="B6013">
        <v>207</v>
      </c>
      <c r="C6013" s="1" t="str">
        <f>HYPERLINK("http://www.rosaceae.org/gb/gbrowse/malus_x_domestica/?name=MDP0000734554","MDP0000734554")</f>
        <v>MDP0000734554</v>
      </c>
      <c r="D6013">
        <v>90.47</v>
      </c>
      <c r="E6013">
        <v>210</v>
      </c>
      <c r="F6013">
        <v>20</v>
      </c>
      <c r="G6013">
        <v>3</v>
      </c>
      <c r="H6013">
        <v>1</v>
      </c>
      <c r="I6013">
        <v>207</v>
      </c>
      <c r="J6013">
        <v>1</v>
      </c>
      <c r="K6013">
        <v>1</v>
      </c>
      <c r="L6013">
        <v>210</v>
      </c>
      <c r="M6013">
        <v>1</v>
      </c>
      <c r="N6013">
        <v>2.5573800000000001E-108</v>
      </c>
      <c r="O6013">
        <v>996</v>
      </c>
    </row>
    <row r="6014" spans="1:15" x14ac:dyDescent="0.25">
      <c r="A6014" t="s">
        <v>6027</v>
      </c>
      <c r="B6014">
        <v>326</v>
      </c>
      <c r="C6014" s="1" t="str">
        <f>HYPERLINK("http://www.rosaceae.org/gb/gbrowse/malus_x_domestica/?name=MDP0000201726","MDP0000201726")</f>
        <v>MDP0000201726</v>
      </c>
      <c r="D6014">
        <v>58.18</v>
      </c>
      <c r="E6014">
        <v>397</v>
      </c>
      <c r="F6014">
        <v>166</v>
      </c>
      <c r="G6014">
        <v>72</v>
      </c>
      <c r="H6014">
        <v>1</v>
      </c>
      <c r="I6014">
        <v>325</v>
      </c>
      <c r="J6014">
        <v>1</v>
      </c>
      <c r="K6014">
        <v>9</v>
      </c>
      <c r="L6014">
        <v>405</v>
      </c>
      <c r="M6014">
        <v>1</v>
      </c>
      <c r="N6014">
        <v>1.5618699999999999E-115</v>
      </c>
      <c r="O6014">
        <v>1061</v>
      </c>
    </row>
    <row r="6015" spans="1:15" x14ac:dyDescent="0.25">
      <c r="A6015" t="s">
        <v>6028</v>
      </c>
      <c r="B6015">
        <v>159</v>
      </c>
      <c r="C6015" s="1" t="str">
        <f>HYPERLINK("http://www.rosaceae.org/gb/gbrowse/malus_x_domestica/?name=MDP0000225483","MDP0000225483")</f>
        <v>MDP0000225483</v>
      </c>
      <c r="D6015">
        <v>63.93</v>
      </c>
      <c r="E6015">
        <v>61</v>
      </c>
      <c r="F6015">
        <v>22</v>
      </c>
      <c r="G6015">
        <v>0</v>
      </c>
      <c r="H6015">
        <v>10</v>
      </c>
      <c r="I6015">
        <v>70</v>
      </c>
      <c r="J6015">
        <v>1</v>
      </c>
      <c r="K6015">
        <v>96</v>
      </c>
      <c r="L6015">
        <v>156</v>
      </c>
      <c r="M6015">
        <v>1</v>
      </c>
      <c r="N6015">
        <v>5.2043999999999998E-18</v>
      </c>
      <c r="O6015">
        <v>215</v>
      </c>
    </row>
    <row r="6016" spans="1:15" x14ac:dyDescent="0.25">
      <c r="A6016" t="s">
        <v>6029</v>
      </c>
      <c r="B6016">
        <v>217</v>
      </c>
      <c r="C6016" s="1" t="str">
        <f>HYPERLINK("http://www.rosaceae.org/gb/gbrowse/malus_x_domestica/?name=MDP0000325964","MDP0000325964")</f>
        <v>MDP0000325964</v>
      </c>
      <c r="D6016">
        <v>88.12</v>
      </c>
      <c r="E6016">
        <v>160</v>
      </c>
      <c r="F6016">
        <v>19</v>
      </c>
      <c r="G6016">
        <v>1</v>
      </c>
      <c r="H6016">
        <v>57</v>
      </c>
      <c r="I6016">
        <v>216</v>
      </c>
      <c r="J6016">
        <v>1</v>
      </c>
      <c r="K6016">
        <v>17</v>
      </c>
      <c r="L6016">
        <v>175</v>
      </c>
      <c r="M6016">
        <v>1</v>
      </c>
      <c r="N6016">
        <v>2.0362600000000001E-77</v>
      </c>
      <c r="O6016">
        <v>730</v>
      </c>
    </row>
    <row r="6017" spans="1:15" x14ac:dyDescent="0.25">
      <c r="A6017" t="s">
        <v>6030</v>
      </c>
      <c r="B6017">
        <v>197</v>
      </c>
      <c r="C6017" s="1" t="str">
        <f>HYPERLINK("http://www.rosaceae.org/gb/gbrowse/malus_x_domestica/?name=MDP0000279299","MDP0000279299")</f>
        <v>MDP0000279299</v>
      </c>
      <c r="D6017">
        <v>65.930000000000007</v>
      </c>
      <c r="E6017">
        <v>91</v>
      </c>
      <c r="F6017">
        <v>31</v>
      </c>
      <c r="G6017">
        <v>4</v>
      </c>
      <c r="H6017">
        <v>1</v>
      </c>
      <c r="I6017">
        <v>87</v>
      </c>
      <c r="J6017">
        <v>1</v>
      </c>
      <c r="K6017">
        <v>231</v>
      </c>
      <c r="L6017">
        <v>321</v>
      </c>
      <c r="M6017">
        <v>1</v>
      </c>
      <c r="N6017">
        <v>1.5354600000000001E-26</v>
      </c>
      <c r="O6017">
        <v>290</v>
      </c>
    </row>
    <row r="6018" spans="1:15" x14ac:dyDescent="0.25">
      <c r="A6018" t="s">
        <v>6031</v>
      </c>
      <c r="B6018">
        <v>542</v>
      </c>
      <c r="C6018" s="1" t="str">
        <f>HYPERLINK("http://www.rosaceae.org/gb/gbrowse/malus_x_domestica/?name=MDP0000859363","MDP0000859363")</f>
        <v>MDP0000859363</v>
      </c>
      <c r="D6018">
        <v>66.95</v>
      </c>
      <c r="E6018">
        <v>581</v>
      </c>
      <c r="F6018">
        <v>192</v>
      </c>
      <c r="G6018">
        <v>63</v>
      </c>
      <c r="H6018">
        <v>22</v>
      </c>
      <c r="I6018">
        <v>541</v>
      </c>
      <c r="J6018">
        <v>1</v>
      </c>
      <c r="K6018">
        <v>22</v>
      </c>
      <c r="L6018">
        <v>600</v>
      </c>
      <c r="M6018">
        <v>1</v>
      </c>
      <c r="N6018">
        <v>0</v>
      </c>
      <c r="O6018">
        <v>1957</v>
      </c>
    </row>
    <row r="6019" spans="1:15" x14ac:dyDescent="0.25">
      <c r="A6019" t="s">
        <v>6032</v>
      </c>
      <c r="B6019">
        <v>125</v>
      </c>
      <c r="C6019" s="1" t="str">
        <f>HYPERLINK("http://www.rosaceae.org/gb/gbrowse/malus_x_domestica/?name=MDP0000318606","MDP0000318606")</f>
        <v>MDP0000318606</v>
      </c>
      <c r="D6019">
        <v>68.14</v>
      </c>
      <c r="E6019">
        <v>113</v>
      </c>
      <c r="F6019">
        <v>36</v>
      </c>
      <c r="G6019">
        <v>0</v>
      </c>
      <c r="H6019">
        <v>2</v>
      </c>
      <c r="I6019">
        <v>114</v>
      </c>
      <c r="J6019">
        <v>1</v>
      </c>
      <c r="K6019">
        <v>96</v>
      </c>
      <c r="L6019">
        <v>208</v>
      </c>
      <c r="M6019">
        <v>1</v>
      </c>
      <c r="N6019">
        <v>7.6992099999999997E-46</v>
      </c>
      <c r="O6019">
        <v>453</v>
      </c>
    </row>
    <row r="6020" spans="1:15" x14ac:dyDescent="0.25">
      <c r="A6020" t="s">
        <v>6033</v>
      </c>
      <c r="B6020">
        <v>888</v>
      </c>
      <c r="C6020" s="1" t="str">
        <f>HYPERLINK("http://www.rosaceae.org/gb/gbrowse/malus_x_domestica/?name=MDP0000180439","MDP0000180439")</f>
        <v>MDP0000180439</v>
      </c>
      <c r="D6020">
        <v>76.13</v>
      </c>
      <c r="E6020">
        <v>859</v>
      </c>
      <c r="F6020">
        <v>205</v>
      </c>
      <c r="G6020">
        <v>67</v>
      </c>
      <c r="H6020">
        <v>94</v>
      </c>
      <c r="I6020">
        <v>888</v>
      </c>
      <c r="J6020">
        <v>1</v>
      </c>
      <c r="K6020">
        <v>1</v>
      </c>
      <c r="L6020">
        <v>856</v>
      </c>
      <c r="M6020">
        <v>1</v>
      </c>
      <c r="N6020">
        <v>0</v>
      </c>
      <c r="O6020">
        <v>3367</v>
      </c>
    </row>
    <row r="6021" spans="1:15" x14ac:dyDescent="0.25">
      <c r="A6021" t="s">
        <v>6034</v>
      </c>
      <c r="B6021">
        <v>238</v>
      </c>
      <c r="C6021" s="1" t="str">
        <f>HYPERLINK("http://www.rosaceae.org/gb/gbrowse/malus_x_domestica/?name=MDP0000764121","MDP0000764121")</f>
        <v>MDP0000764121</v>
      </c>
      <c r="D6021">
        <v>62.62</v>
      </c>
      <c r="E6021">
        <v>206</v>
      </c>
      <c r="F6021">
        <v>77</v>
      </c>
      <c r="G6021">
        <v>56</v>
      </c>
      <c r="H6021">
        <v>89</v>
      </c>
      <c r="I6021">
        <v>238</v>
      </c>
      <c r="J6021">
        <v>1</v>
      </c>
      <c r="K6021">
        <v>145</v>
      </c>
      <c r="L6021">
        <v>350</v>
      </c>
      <c r="M6021">
        <v>1</v>
      </c>
      <c r="N6021">
        <v>3.1096199999999998E-65</v>
      </c>
      <c r="O6021">
        <v>625</v>
      </c>
    </row>
    <row r="6022" spans="1:15" x14ac:dyDescent="0.25">
      <c r="A6022" t="s">
        <v>6035</v>
      </c>
      <c r="B6022">
        <v>875</v>
      </c>
      <c r="C6022" s="1" t="str">
        <f>HYPERLINK("http://www.rosaceae.org/gb/gbrowse/malus_x_domestica/?name=MDP0000473634","MDP0000473634")</f>
        <v>MDP0000473634</v>
      </c>
      <c r="D6022">
        <v>59.34</v>
      </c>
      <c r="E6022">
        <v>214</v>
      </c>
      <c r="F6022">
        <v>87</v>
      </c>
      <c r="G6022">
        <v>7</v>
      </c>
      <c r="H6022">
        <v>476</v>
      </c>
      <c r="I6022">
        <v>688</v>
      </c>
      <c r="J6022">
        <v>1</v>
      </c>
      <c r="K6022">
        <v>414</v>
      </c>
      <c r="L6022">
        <v>621</v>
      </c>
      <c r="M6022">
        <v>1</v>
      </c>
      <c r="N6022">
        <v>1.2569799999999999E-68</v>
      </c>
      <c r="O6022">
        <v>661</v>
      </c>
    </row>
    <row r="6023" spans="1:15" x14ac:dyDescent="0.25">
      <c r="A6023" t="s">
        <v>6036</v>
      </c>
      <c r="B6023">
        <v>214</v>
      </c>
      <c r="C6023" s="1" t="str">
        <f>HYPERLINK("http://www.rosaceae.org/gb/gbrowse/malus_x_domestica/?name=MDP0000207521","MDP0000207521")</f>
        <v>MDP0000207521</v>
      </c>
      <c r="D6023">
        <v>67.13</v>
      </c>
      <c r="E6023">
        <v>213</v>
      </c>
      <c r="F6023">
        <v>70</v>
      </c>
      <c r="G6023">
        <v>5</v>
      </c>
      <c r="H6023">
        <v>5</v>
      </c>
      <c r="I6023">
        <v>214</v>
      </c>
      <c r="J6023">
        <v>1</v>
      </c>
      <c r="K6023">
        <v>2</v>
      </c>
      <c r="L6023">
        <v>212</v>
      </c>
      <c r="M6023">
        <v>1</v>
      </c>
      <c r="N6023">
        <v>2.9390900000000001E-75</v>
      </c>
      <c r="O6023">
        <v>711</v>
      </c>
    </row>
    <row r="6024" spans="1:15" x14ac:dyDescent="0.25">
      <c r="A6024" t="s">
        <v>6037</v>
      </c>
      <c r="B6024">
        <v>409</v>
      </c>
      <c r="C6024" s="1" t="str">
        <f>HYPERLINK("http://www.rosaceae.org/gb/gbrowse/malus_x_domestica/?name=MDP0000133334","MDP0000133334")</f>
        <v>MDP0000133334</v>
      </c>
      <c r="D6024">
        <v>85.45</v>
      </c>
      <c r="E6024">
        <v>392</v>
      </c>
      <c r="F6024">
        <v>57</v>
      </c>
      <c r="G6024">
        <v>0</v>
      </c>
      <c r="H6024">
        <v>18</v>
      </c>
      <c r="I6024">
        <v>409</v>
      </c>
      <c r="J6024">
        <v>1</v>
      </c>
      <c r="K6024">
        <v>168</v>
      </c>
      <c r="L6024">
        <v>559</v>
      </c>
      <c r="M6024">
        <v>1</v>
      </c>
      <c r="N6024">
        <v>0</v>
      </c>
      <c r="O6024">
        <v>1808</v>
      </c>
    </row>
    <row r="6025" spans="1:15" x14ac:dyDescent="0.25">
      <c r="A6025" t="s">
        <v>6038</v>
      </c>
      <c r="B6025">
        <v>464</v>
      </c>
      <c r="C6025" s="1" t="str">
        <f>HYPERLINK("http://www.rosaceae.org/gb/gbrowse/malus_x_domestica/?name=MDP0000188488","MDP0000188488")</f>
        <v>MDP0000188488</v>
      </c>
      <c r="D6025">
        <v>68.59</v>
      </c>
      <c r="E6025">
        <v>449</v>
      </c>
      <c r="F6025">
        <v>141</v>
      </c>
      <c r="G6025">
        <v>13</v>
      </c>
      <c r="H6025">
        <v>28</v>
      </c>
      <c r="I6025">
        <v>464</v>
      </c>
      <c r="J6025">
        <v>1</v>
      </c>
      <c r="K6025">
        <v>25</v>
      </c>
      <c r="L6025">
        <v>472</v>
      </c>
      <c r="M6025">
        <v>1</v>
      </c>
      <c r="N6025">
        <v>7.0974199999999998E-177</v>
      </c>
      <c r="O6025">
        <v>1591</v>
      </c>
    </row>
    <row r="6026" spans="1:15" x14ac:dyDescent="0.25">
      <c r="A6026" t="s">
        <v>6039</v>
      </c>
      <c r="B6026">
        <v>143</v>
      </c>
      <c r="C6026" s="1" t="str">
        <f>HYPERLINK("http://www.rosaceae.org/gb/gbrowse/malus_x_domestica/?name=MDP0000379106","MDP0000379106")</f>
        <v>MDP0000379106</v>
      </c>
      <c r="D6026">
        <v>62.42</v>
      </c>
      <c r="E6026">
        <v>173</v>
      </c>
      <c r="F6026">
        <v>65</v>
      </c>
      <c r="G6026">
        <v>30</v>
      </c>
      <c r="H6026">
        <v>1</v>
      </c>
      <c r="I6026">
        <v>143</v>
      </c>
      <c r="J6026">
        <v>1</v>
      </c>
      <c r="K6026">
        <v>76</v>
      </c>
      <c r="L6026">
        <v>248</v>
      </c>
      <c r="M6026">
        <v>1</v>
      </c>
      <c r="N6026">
        <v>7.3244499999999998E-56</v>
      </c>
      <c r="O6026">
        <v>541</v>
      </c>
    </row>
    <row r="6027" spans="1:15" x14ac:dyDescent="0.25">
      <c r="A6027" t="s">
        <v>6040</v>
      </c>
      <c r="B6027">
        <v>152</v>
      </c>
      <c r="C6027" s="1" t="str">
        <f>HYPERLINK("http://www.rosaceae.org/gb/gbrowse/malus_x_domestica/?name=MDP0000198658","MDP0000198658")</f>
        <v>MDP0000198658</v>
      </c>
      <c r="D6027">
        <v>67.78</v>
      </c>
      <c r="E6027">
        <v>149</v>
      </c>
      <c r="F6027">
        <v>48</v>
      </c>
      <c r="G6027">
        <v>9</v>
      </c>
      <c r="H6027">
        <v>1</v>
      </c>
      <c r="I6027">
        <v>140</v>
      </c>
      <c r="J6027">
        <v>1</v>
      </c>
      <c r="K6027">
        <v>1</v>
      </c>
      <c r="L6027">
        <v>149</v>
      </c>
      <c r="M6027">
        <v>1</v>
      </c>
      <c r="N6027">
        <v>2.2324100000000001E-49</v>
      </c>
      <c r="O6027">
        <v>485</v>
      </c>
    </row>
    <row r="6028" spans="1:15" x14ac:dyDescent="0.25">
      <c r="A6028" t="s">
        <v>6041</v>
      </c>
      <c r="B6028">
        <v>530</v>
      </c>
      <c r="C6028" s="1" t="str">
        <f>HYPERLINK("http://www.rosaceae.org/gb/gbrowse/malus_x_domestica/?name=MDP0000225623","MDP0000225623")</f>
        <v>MDP0000225623</v>
      </c>
      <c r="D6028">
        <v>49.6</v>
      </c>
      <c r="E6028">
        <v>254</v>
      </c>
      <c r="F6028">
        <v>128</v>
      </c>
      <c r="G6028">
        <v>9</v>
      </c>
      <c r="H6028">
        <v>274</v>
      </c>
      <c r="I6028">
        <v>527</v>
      </c>
      <c r="J6028">
        <v>1</v>
      </c>
      <c r="K6028">
        <v>408</v>
      </c>
      <c r="L6028">
        <v>652</v>
      </c>
      <c r="M6028">
        <v>1</v>
      </c>
      <c r="N6028">
        <v>6.4994599999999995E-66</v>
      </c>
      <c r="O6028">
        <v>635</v>
      </c>
    </row>
    <row r="6029" spans="1:15" x14ac:dyDescent="0.25">
      <c r="A6029" t="s">
        <v>6042</v>
      </c>
      <c r="B6029">
        <v>342</v>
      </c>
      <c r="C6029" s="1" t="str">
        <f>HYPERLINK("http://www.rosaceae.org/gb/gbrowse/malus_x_domestica/?name=MDP0000337873","MDP0000337873")</f>
        <v>MDP0000337873</v>
      </c>
      <c r="D6029">
        <v>28.83</v>
      </c>
      <c r="E6029">
        <v>326</v>
      </c>
      <c r="F6029">
        <v>232</v>
      </c>
      <c r="G6029">
        <v>45</v>
      </c>
      <c r="H6029">
        <v>25</v>
      </c>
      <c r="I6029">
        <v>311</v>
      </c>
      <c r="J6029">
        <v>1</v>
      </c>
      <c r="K6029">
        <v>12</v>
      </c>
      <c r="L6029">
        <v>331</v>
      </c>
      <c r="M6029">
        <v>1</v>
      </c>
      <c r="N6029">
        <v>2.6416099999999999E-39</v>
      </c>
      <c r="O6029">
        <v>404</v>
      </c>
    </row>
    <row r="6030" spans="1:15" x14ac:dyDescent="0.25">
      <c r="A6030" t="s">
        <v>6043</v>
      </c>
      <c r="B6030">
        <v>124</v>
      </c>
      <c r="C6030" s="1" t="str">
        <f>HYPERLINK("http://www.rosaceae.org/gb/gbrowse/malus_x_domestica/?name=MDP0000155544","MDP0000155544")</f>
        <v>MDP0000155544</v>
      </c>
      <c r="D6030">
        <v>47.95</v>
      </c>
      <c r="E6030">
        <v>98</v>
      </c>
      <c r="F6030">
        <v>51</v>
      </c>
      <c r="G6030">
        <v>0</v>
      </c>
      <c r="H6030">
        <v>3</v>
      </c>
      <c r="I6030">
        <v>100</v>
      </c>
      <c r="J6030">
        <v>1</v>
      </c>
      <c r="K6030">
        <v>62</v>
      </c>
      <c r="L6030">
        <v>159</v>
      </c>
      <c r="M6030">
        <v>1</v>
      </c>
      <c r="N6030">
        <v>3.6413000000000002E-22</v>
      </c>
      <c r="O6030">
        <v>249</v>
      </c>
    </row>
    <row r="6031" spans="1:15" x14ac:dyDescent="0.25">
      <c r="A6031" t="s">
        <v>6044</v>
      </c>
      <c r="B6031">
        <v>1225</v>
      </c>
      <c r="C6031" s="1" t="str">
        <f>HYPERLINK("http://www.rosaceae.org/gb/gbrowse/malus_x_domestica/?name=MDP0000275151","MDP0000275151")</f>
        <v>MDP0000275151</v>
      </c>
      <c r="D6031">
        <v>82.82</v>
      </c>
      <c r="E6031">
        <v>1019</v>
      </c>
      <c r="F6031">
        <v>175</v>
      </c>
      <c r="G6031">
        <v>28</v>
      </c>
      <c r="H6031">
        <v>199</v>
      </c>
      <c r="I6031">
        <v>1207</v>
      </c>
      <c r="J6031">
        <v>1</v>
      </c>
      <c r="K6031">
        <v>1</v>
      </c>
      <c r="L6031">
        <v>1001</v>
      </c>
      <c r="M6031">
        <v>1</v>
      </c>
      <c r="N6031">
        <v>0</v>
      </c>
      <c r="O6031">
        <v>4479</v>
      </c>
    </row>
    <row r="6032" spans="1:15" x14ac:dyDescent="0.25">
      <c r="A6032" t="s">
        <v>6045</v>
      </c>
      <c r="B6032">
        <v>288</v>
      </c>
      <c r="C6032" s="1" t="str">
        <f>HYPERLINK("http://www.rosaceae.org/gb/gbrowse/malus_x_domestica/?name=MDP0000282292","MDP0000282292")</f>
        <v>MDP0000282292</v>
      </c>
      <c r="D6032">
        <v>41.17</v>
      </c>
      <c r="E6032">
        <v>255</v>
      </c>
      <c r="F6032">
        <v>150</v>
      </c>
      <c r="G6032">
        <v>29</v>
      </c>
      <c r="H6032">
        <v>1</v>
      </c>
      <c r="I6032">
        <v>228</v>
      </c>
      <c r="J6032">
        <v>1</v>
      </c>
      <c r="K6032">
        <v>1</v>
      </c>
      <c r="L6032">
        <v>253</v>
      </c>
      <c r="M6032">
        <v>1</v>
      </c>
      <c r="N6032">
        <v>3.5161400000000002E-41</v>
      </c>
      <c r="O6032">
        <v>419</v>
      </c>
    </row>
    <row r="6033" spans="1:15" x14ac:dyDescent="0.25">
      <c r="A6033" t="s">
        <v>6046</v>
      </c>
      <c r="B6033">
        <v>505</v>
      </c>
      <c r="C6033" s="1" t="str">
        <f>HYPERLINK("http://www.rosaceae.org/gb/gbrowse/malus_x_domestica/?name=MDP0000244990","MDP0000244990")</f>
        <v>MDP0000244990</v>
      </c>
      <c r="D6033">
        <v>83.52</v>
      </c>
      <c r="E6033">
        <v>528</v>
      </c>
      <c r="F6033">
        <v>87</v>
      </c>
      <c r="G6033">
        <v>27</v>
      </c>
      <c r="H6033">
        <v>3</v>
      </c>
      <c r="I6033">
        <v>505</v>
      </c>
      <c r="J6033">
        <v>1</v>
      </c>
      <c r="K6033">
        <v>184</v>
      </c>
      <c r="L6033">
        <v>709</v>
      </c>
      <c r="M6033">
        <v>1</v>
      </c>
      <c r="N6033">
        <v>0</v>
      </c>
      <c r="O6033">
        <v>2235</v>
      </c>
    </row>
    <row r="6034" spans="1:15" x14ac:dyDescent="0.25">
      <c r="A6034" t="s">
        <v>6047</v>
      </c>
      <c r="B6034">
        <v>109</v>
      </c>
      <c r="C6034" s="1" t="str">
        <f>HYPERLINK("http://www.rosaceae.org/gb/gbrowse/malus_x_domestica/?name=MDP0000662195","MDP0000662195")</f>
        <v>MDP0000662195</v>
      </c>
      <c r="D6034">
        <v>48.93</v>
      </c>
      <c r="E6034">
        <v>94</v>
      </c>
      <c r="F6034">
        <v>48</v>
      </c>
      <c r="G6034">
        <v>4</v>
      </c>
      <c r="H6034">
        <v>7</v>
      </c>
      <c r="I6034">
        <v>96</v>
      </c>
      <c r="J6034">
        <v>1</v>
      </c>
      <c r="K6034">
        <v>212</v>
      </c>
      <c r="L6034">
        <v>305</v>
      </c>
      <c r="M6034">
        <v>1</v>
      </c>
      <c r="N6034">
        <v>1.4816E-13</v>
      </c>
      <c r="O6034">
        <v>174</v>
      </c>
    </row>
    <row r="6035" spans="1:15" x14ac:dyDescent="0.25">
      <c r="A6035" t="s">
        <v>6048</v>
      </c>
      <c r="B6035">
        <v>740</v>
      </c>
      <c r="C6035" s="1" t="str">
        <f>HYPERLINK("http://www.rosaceae.org/gb/gbrowse/malus_x_domestica/?name=MDP0000124691","MDP0000124691")</f>
        <v>MDP0000124691</v>
      </c>
      <c r="D6035">
        <v>78.28</v>
      </c>
      <c r="E6035">
        <v>700</v>
      </c>
      <c r="F6035">
        <v>152</v>
      </c>
      <c r="G6035">
        <v>22</v>
      </c>
      <c r="H6035">
        <v>54</v>
      </c>
      <c r="I6035">
        <v>739</v>
      </c>
      <c r="J6035">
        <v>1</v>
      </c>
      <c r="K6035">
        <v>5</v>
      </c>
      <c r="L6035">
        <v>696</v>
      </c>
      <c r="M6035">
        <v>1</v>
      </c>
      <c r="N6035">
        <v>0</v>
      </c>
      <c r="O6035">
        <v>2914</v>
      </c>
    </row>
    <row r="6036" spans="1:15" x14ac:dyDescent="0.25">
      <c r="A6036" t="s">
        <v>6049</v>
      </c>
      <c r="B6036">
        <v>352</v>
      </c>
      <c r="C6036" s="1" t="str">
        <f>HYPERLINK("http://www.rosaceae.org/gb/gbrowse/malus_x_domestica/?name=MDP0000830589","MDP0000830589")</f>
        <v>MDP0000830589</v>
      </c>
      <c r="D6036">
        <v>62.98</v>
      </c>
      <c r="E6036">
        <v>362</v>
      </c>
      <c r="F6036">
        <v>134</v>
      </c>
      <c r="G6036">
        <v>17</v>
      </c>
      <c r="H6036">
        <v>4</v>
      </c>
      <c r="I6036">
        <v>351</v>
      </c>
      <c r="J6036">
        <v>1</v>
      </c>
      <c r="K6036">
        <v>2</v>
      </c>
      <c r="L6036">
        <v>360</v>
      </c>
      <c r="M6036">
        <v>1</v>
      </c>
      <c r="N6036">
        <v>1.6605599999999999E-113</v>
      </c>
      <c r="O6036">
        <v>1044</v>
      </c>
    </row>
    <row r="6037" spans="1:15" x14ac:dyDescent="0.25">
      <c r="A6037" t="s">
        <v>6050</v>
      </c>
      <c r="B6037">
        <v>244</v>
      </c>
      <c r="C6037" s="1" t="str">
        <f>HYPERLINK("http://www.rosaceae.org/gb/gbrowse/malus_x_domestica/?name=MDP0000255174","MDP0000255174")</f>
        <v>MDP0000255174</v>
      </c>
      <c r="D6037">
        <v>69.290000000000006</v>
      </c>
      <c r="E6037">
        <v>241</v>
      </c>
      <c r="F6037">
        <v>74</v>
      </c>
      <c r="G6037">
        <v>2</v>
      </c>
      <c r="H6037">
        <v>1</v>
      </c>
      <c r="I6037">
        <v>239</v>
      </c>
      <c r="J6037">
        <v>1</v>
      </c>
      <c r="K6037">
        <v>1</v>
      </c>
      <c r="L6037">
        <v>241</v>
      </c>
      <c r="M6037">
        <v>1</v>
      </c>
      <c r="N6037">
        <v>1.1106599999999999E-100</v>
      </c>
      <c r="O6037">
        <v>931</v>
      </c>
    </row>
    <row r="6038" spans="1:15" x14ac:dyDescent="0.25">
      <c r="A6038" t="s">
        <v>6051</v>
      </c>
      <c r="B6038">
        <v>434</v>
      </c>
      <c r="C6038" s="1" t="str">
        <f>HYPERLINK("http://www.rosaceae.org/gb/gbrowse/malus_x_domestica/?name=MDP0000899469","MDP0000899469")</f>
        <v>MDP0000899469</v>
      </c>
      <c r="D6038">
        <v>83.75</v>
      </c>
      <c r="E6038">
        <v>394</v>
      </c>
      <c r="F6038">
        <v>64</v>
      </c>
      <c r="G6038">
        <v>26</v>
      </c>
      <c r="H6038">
        <v>41</v>
      </c>
      <c r="I6038">
        <v>434</v>
      </c>
      <c r="J6038">
        <v>1</v>
      </c>
      <c r="K6038">
        <v>13</v>
      </c>
      <c r="L6038">
        <v>380</v>
      </c>
      <c r="M6038">
        <v>1</v>
      </c>
      <c r="N6038">
        <v>0</v>
      </c>
      <c r="O6038">
        <v>1710</v>
      </c>
    </row>
    <row r="6039" spans="1:15" x14ac:dyDescent="0.25">
      <c r="A6039" t="s">
        <v>6052</v>
      </c>
      <c r="B6039">
        <v>155</v>
      </c>
      <c r="C6039" s="1" t="str">
        <f>HYPERLINK("http://www.rosaceae.org/gb/gbrowse/malus_x_domestica/?name=MDP0000315037","MDP0000315037")</f>
        <v>MDP0000315037</v>
      </c>
      <c r="D6039">
        <v>59.09</v>
      </c>
      <c r="E6039">
        <v>66</v>
      </c>
      <c r="F6039">
        <v>27</v>
      </c>
      <c r="G6039">
        <v>0</v>
      </c>
      <c r="H6039">
        <v>6</v>
      </c>
      <c r="I6039">
        <v>71</v>
      </c>
      <c r="J6039">
        <v>1</v>
      </c>
      <c r="K6039">
        <v>234</v>
      </c>
      <c r="L6039">
        <v>299</v>
      </c>
      <c r="M6039">
        <v>1</v>
      </c>
      <c r="N6039">
        <v>7.5295900000000006E-18</v>
      </c>
      <c r="O6039">
        <v>214</v>
      </c>
    </row>
    <row r="6040" spans="1:15" x14ac:dyDescent="0.25">
      <c r="A6040" t="s">
        <v>6053</v>
      </c>
      <c r="B6040">
        <v>124</v>
      </c>
      <c r="C6040" s="1" t="str">
        <f>HYPERLINK("http://www.rosaceae.org/gb/gbrowse/malus_x_domestica/?name=MDP0000291704","MDP0000291704")</f>
        <v>MDP0000291704</v>
      </c>
      <c r="D6040">
        <v>77.88</v>
      </c>
      <c r="E6040">
        <v>104</v>
      </c>
      <c r="F6040">
        <v>23</v>
      </c>
      <c r="G6040">
        <v>0</v>
      </c>
      <c r="H6040">
        <v>18</v>
      </c>
      <c r="I6040">
        <v>121</v>
      </c>
      <c r="J6040">
        <v>1</v>
      </c>
      <c r="K6040">
        <v>19</v>
      </c>
      <c r="L6040">
        <v>122</v>
      </c>
      <c r="M6040">
        <v>1</v>
      </c>
      <c r="N6040">
        <v>1.1070800000000001E-42</v>
      </c>
      <c r="O6040">
        <v>426</v>
      </c>
    </row>
    <row r="6041" spans="1:15" x14ac:dyDescent="0.25">
      <c r="A6041" t="s">
        <v>6054</v>
      </c>
      <c r="B6041">
        <v>148</v>
      </c>
      <c r="C6041" s="1" t="str">
        <f>HYPERLINK("http://www.rosaceae.org/gb/gbrowse/malus_x_domestica/?name=MDP0000709297","MDP0000709297")</f>
        <v>MDP0000709297</v>
      </c>
      <c r="D6041">
        <v>81.25</v>
      </c>
      <c r="E6041">
        <v>128</v>
      </c>
      <c r="F6041">
        <v>24</v>
      </c>
      <c r="G6041">
        <v>1</v>
      </c>
      <c r="H6041">
        <v>22</v>
      </c>
      <c r="I6041">
        <v>148</v>
      </c>
      <c r="J6041">
        <v>1</v>
      </c>
      <c r="K6041">
        <v>30</v>
      </c>
      <c r="L6041">
        <v>157</v>
      </c>
      <c r="M6041">
        <v>1</v>
      </c>
      <c r="N6041">
        <v>9.4620200000000004E-59</v>
      </c>
      <c r="O6041">
        <v>566</v>
      </c>
    </row>
    <row r="6042" spans="1:15" x14ac:dyDescent="0.25">
      <c r="A6042" t="s">
        <v>6055</v>
      </c>
      <c r="B6042">
        <v>367</v>
      </c>
      <c r="C6042" s="1" t="str">
        <f>HYPERLINK("http://www.rosaceae.org/gb/gbrowse/malus_x_domestica/?name=MDP0000195573","MDP0000195573")</f>
        <v>MDP0000195573</v>
      </c>
      <c r="D6042">
        <v>34.35</v>
      </c>
      <c r="E6042">
        <v>163</v>
      </c>
      <c r="F6042">
        <v>107</v>
      </c>
      <c r="G6042">
        <v>11</v>
      </c>
      <c r="H6042">
        <v>35</v>
      </c>
      <c r="I6042">
        <v>194</v>
      </c>
      <c r="J6042">
        <v>1</v>
      </c>
      <c r="K6042">
        <v>70</v>
      </c>
      <c r="L6042">
        <v>224</v>
      </c>
      <c r="M6042">
        <v>1</v>
      </c>
      <c r="N6042">
        <v>1.27866E-11</v>
      </c>
      <c r="O6042">
        <v>165</v>
      </c>
    </row>
    <row r="6043" spans="1:15" x14ac:dyDescent="0.25">
      <c r="A6043" t="s">
        <v>6056</v>
      </c>
      <c r="B6043">
        <v>173</v>
      </c>
      <c r="C6043" s="1" t="str">
        <f>HYPERLINK("http://www.rosaceae.org/gb/gbrowse/malus_x_domestica/?name=MDP0000242277","MDP0000242277")</f>
        <v>MDP0000242277</v>
      </c>
      <c r="D6043">
        <v>42.66</v>
      </c>
      <c r="E6043">
        <v>150</v>
      </c>
      <c r="F6043">
        <v>86</v>
      </c>
      <c r="G6043">
        <v>6</v>
      </c>
      <c r="H6043">
        <v>6</v>
      </c>
      <c r="I6043">
        <v>151</v>
      </c>
      <c r="J6043">
        <v>1</v>
      </c>
      <c r="K6043">
        <v>10</v>
      </c>
      <c r="L6043">
        <v>157</v>
      </c>
      <c r="M6043">
        <v>1</v>
      </c>
      <c r="N6043">
        <v>1.2330900000000001E-27</v>
      </c>
      <c r="O6043">
        <v>299</v>
      </c>
    </row>
    <row r="6044" spans="1:15" x14ac:dyDescent="0.25">
      <c r="A6044" t="s">
        <v>6057</v>
      </c>
      <c r="B6044">
        <v>838</v>
      </c>
      <c r="C6044" s="1" t="str">
        <f>HYPERLINK("http://www.rosaceae.org/gb/gbrowse/malus_x_domestica/?name=MDP0000213122","MDP0000213122")</f>
        <v>MDP0000213122</v>
      </c>
      <c r="D6044">
        <v>81.010000000000005</v>
      </c>
      <c r="E6044">
        <v>574</v>
      </c>
      <c r="F6044">
        <v>109</v>
      </c>
      <c r="G6044">
        <v>23</v>
      </c>
      <c r="H6044">
        <v>234</v>
      </c>
      <c r="I6044">
        <v>786</v>
      </c>
      <c r="J6044">
        <v>1</v>
      </c>
      <c r="K6044">
        <v>166</v>
      </c>
      <c r="L6044">
        <v>737</v>
      </c>
      <c r="M6044">
        <v>1</v>
      </c>
      <c r="N6044">
        <v>0</v>
      </c>
      <c r="O6044">
        <v>2416</v>
      </c>
    </row>
    <row r="6045" spans="1:15" x14ac:dyDescent="0.25">
      <c r="A6045" t="s">
        <v>6058</v>
      </c>
      <c r="B6045">
        <v>337</v>
      </c>
      <c r="C6045" s="1" t="str">
        <f>HYPERLINK("http://www.rosaceae.org/gb/gbrowse/malus_x_domestica/?name=MDP0000210927","MDP0000210927")</f>
        <v>MDP0000210927</v>
      </c>
      <c r="D6045">
        <v>72.69</v>
      </c>
      <c r="E6045">
        <v>260</v>
      </c>
      <c r="F6045">
        <v>71</v>
      </c>
      <c r="G6045">
        <v>3</v>
      </c>
      <c r="H6045">
        <v>79</v>
      </c>
      <c r="I6045">
        <v>337</v>
      </c>
      <c r="J6045">
        <v>1</v>
      </c>
      <c r="K6045">
        <v>18</v>
      </c>
      <c r="L6045">
        <v>275</v>
      </c>
      <c r="M6045">
        <v>1</v>
      </c>
      <c r="N6045">
        <v>8.95129E-102</v>
      </c>
      <c r="O6045">
        <v>942</v>
      </c>
    </row>
    <row r="6046" spans="1:15" x14ac:dyDescent="0.25">
      <c r="A6046" t="s">
        <v>6059</v>
      </c>
      <c r="B6046">
        <v>199</v>
      </c>
      <c r="C6046" s="1" t="str">
        <f>HYPERLINK("http://www.rosaceae.org/gb/gbrowse/malus_x_domestica/?name=MDP0000396030","MDP0000396030")</f>
        <v>MDP0000396030</v>
      </c>
      <c r="D6046">
        <v>56.91</v>
      </c>
      <c r="E6046">
        <v>188</v>
      </c>
      <c r="F6046">
        <v>81</v>
      </c>
      <c r="G6046">
        <v>17</v>
      </c>
      <c r="H6046">
        <v>27</v>
      </c>
      <c r="I6046">
        <v>199</v>
      </c>
      <c r="J6046">
        <v>1</v>
      </c>
      <c r="K6046">
        <v>34</v>
      </c>
      <c r="L6046">
        <v>219</v>
      </c>
      <c r="M6046">
        <v>1</v>
      </c>
      <c r="N6046">
        <v>1.83973E-47</v>
      </c>
      <c r="O6046">
        <v>471</v>
      </c>
    </row>
    <row r="6047" spans="1:15" x14ac:dyDescent="0.25">
      <c r="A6047" t="s">
        <v>6060</v>
      </c>
      <c r="B6047">
        <v>424</v>
      </c>
      <c r="C6047" s="1" t="str">
        <f>HYPERLINK("http://www.rosaceae.org/gb/gbrowse/malus_x_domestica/?name=MDP0000321833","MDP0000321833")</f>
        <v>MDP0000321833</v>
      </c>
      <c r="D6047">
        <v>88.16</v>
      </c>
      <c r="E6047">
        <v>338</v>
      </c>
      <c r="F6047">
        <v>40</v>
      </c>
      <c r="G6047">
        <v>1</v>
      </c>
      <c r="H6047">
        <v>23</v>
      </c>
      <c r="I6047">
        <v>359</v>
      </c>
      <c r="J6047">
        <v>1</v>
      </c>
      <c r="K6047">
        <v>24</v>
      </c>
      <c r="L6047">
        <v>361</v>
      </c>
      <c r="M6047">
        <v>1</v>
      </c>
      <c r="N6047">
        <v>2.4288200000000001E-180</v>
      </c>
      <c r="O6047">
        <v>1621</v>
      </c>
    </row>
    <row r="6048" spans="1:15" x14ac:dyDescent="0.25">
      <c r="A6048" t="s">
        <v>6061</v>
      </c>
      <c r="B6048">
        <v>719</v>
      </c>
      <c r="C6048" s="1" t="str">
        <f>HYPERLINK("http://www.rosaceae.org/gb/gbrowse/malus_x_domestica/?name=MDP0000274632","MDP0000274632")</f>
        <v>MDP0000274632</v>
      </c>
      <c r="D6048">
        <v>33.520000000000003</v>
      </c>
      <c r="E6048">
        <v>170</v>
      </c>
      <c r="F6048">
        <v>113</v>
      </c>
      <c r="G6048">
        <v>19</v>
      </c>
      <c r="H6048">
        <v>324</v>
      </c>
      <c r="I6048">
        <v>474</v>
      </c>
      <c r="J6048">
        <v>1</v>
      </c>
      <c r="K6048">
        <v>48</v>
      </c>
      <c r="L6048">
        <v>217</v>
      </c>
      <c r="M6048">
        <v>1</v>
      </c>
      <c r="N6048">
        <v>1.7832E-20</v>
      </c>
      <c r="O6048">
        <v>245</v>
      </c>
    </row>
    <row r="6049" spans="1:15" x14ac:dyDescent="0.25">
      <c r="A6049" t="s">
        <v>6062</v>
      </c>
      <c r="B6049">
        <v>277</v>
      </c>
      <c r="C6049" s="1" t="str">
        <f>HYPERLINK("http://www.rosaceae.org/gb/gbrowse/malus_x_domestica/?name=MDP0000281502","MDP0000281502")</f>
        <v>MDP0000281502</v>
      </c>
      <c r="D6049">
        <v>44.91</v>
      </c>
      <c r="E6049">
        <v>285</v>
      </c>
      <c r="F6049">
        <v>157</v>
      </c>
      <c r="G6049">
        <v>13</v>
      </c>
      <c r="H6049">
        <v>1</v>
      </c>
      <c r="I6049">
        <v>276</v>
      </c>
      <c r="J6049">
        <v>1</v>
      </c>
      <c r="K6049">
        <v>1</v>
      </c>
      <c r="L6049">
        <v>281</v>
      </c>
      <c r="M6049">
        <v>1</v>
      </c>
      <c r="N6049">
        <v>4.5975100000000001E-57</v>
      </c>
      <c r="O6049">
        <v>556</v>
      </c>
    </row>
    <row r="6050" spans="1:15" x14ac:dyDescent="0.25">
      <c r="A6050" t="s">
        <v>6063</v>
      </c>
      <c r="B6050">
        <v>623</v>
      </c>
      <c r="C6050" s="1" t="str">
        <f>HYPERLINK("http://www.rosaceae.org/gb/gbrowse/malus_x_domestica/?name=MDP0000796588","MDP0000796588")</f>
        <v>MDP0000796588</v>
      </c>
      <c r="D6050">
        <v>73.87</v>
      </c>
      <c r="E6050">
        <v>222</v>
      </c>
      <c r="F6050">
        <v>58</v>
      </c>
      <c r="G6050">
        <v>1</v>
      </c>
      <c r="H6050">
        <v>399</v>
      </c>
      <c r="I6050">
        <v>620</v>
      </c>
      <c r="J6050">
        <v>1</v>
      </c>
      <c r="K6050">
        <v>3</v>
      </c>
      <c r="L6050">
        <v>223</v>
      </c>
      <c r="M6050">
        <v>1</v>
      </c>
      <c r="N6050">
        <v>2.02627E-100</v>
      </c>
      <c r="O6050">
        <v>933</v>
      </c>
    </row>
    <row r="6051" spans="1:15" x14ac:dyDescent="0.25">
      <c r="A6051" t="s">
        <v>6064</v>
      </c>
      <c r="B6051">
        <v>383</v>
      </c>
      <c r="C6051" s="1" t="str">
        <f>HYPERLINK("http://www.rosaceae.org/gb/gbrowse/malus_x_domestica/?name=MDP0000161236","MDP0000161236")</f>
        <v>MDP0000161236</v>
      </c>
      <c r="D6051">
        <v>64.13</v>
      </c>
      <c r="E6051">
        <v>382</v>
      </c>
      <c r="F6051">
        <v>137</v>
      </c>
      <c r="G6051">
        <v>62</v>
      </c>
      <c r="H6051">
        <v>1</v>
      </c>
      <c r="I6051">
        <v>322</v>
      </c>
      <c r="J6051">
        <v>1</v>
      </c>
      <c r="K6051">
        <v>1</v>
      </c>
      <c r="L6051">
        <v>380</v>
      </c>
      <c r="M6051">
        <v>1</v>
      </c>
      <c r="N6051">
        <v>8.0811199999999996E-130</v>
      </c>
      <c r="O6051">
        <v>1185</v>
      </c>
    </row>
    <row r="6052" spans="1:15" x14ac:dyDescent="0.25">
      <c r="A6052" t="s">
        <v>6065</v>
      </c>
      <c r="B6052">
        <v>164</v>
      </c>
      <c r="C6052" s="1" t="str">
        <f>HYPERLINK("http://www.rosaceae.org/gb/gbrowse/malus_x_domestica/?name=MDP0000392154","MDP0000392154")</f>
        <v>MDP0000392154</v>
      </c>
      <c r="D6052">
        <v>53.55</v>
      </c>
      <c r="E6052">
        <v>183</v>
      </c>
      <c r="F6052">
        <v>85</v>
      </c>
      <c r="G6052">
        <v>44</v>
      </c>
      <c r="H6052">
        <v>1</v>
      </c>
      <c r="I6052">
        <v>150</v>
      </c>
      <c r="J6052">
        <v>1</v>
      </c>
      <c r="K6052">
        <v>92</v>
      </c>
      <c r="L6052">
        <v>263</v>
      </c>
      <c r="M6052">
        <v>1</v>
      </c>
      <c r="N6052">
        <v>1.04204E-35</v>
      </c>
      <c r="O6052">
        <v>368</v>
      </c>
    </row>
    <row r="6053" spans="1:15" x14ac:dyDescent="0.25">
      <c r="A6053" t="s">
        <v>6066</v>
      </c>
      <c r="B6053">
        <v>477</v>
      </c>
      <c r="C6053" s="1" t="str">
        <f>HYPERLINK("http://www.rosaceae.org/gb/gbrowse/malus_x_domestica/?name=MDP0000058337","MDP0000058337")</f>
        <v>MDP0000058337</v>
      </c>
      <c r="D6053">
        <v>61.15</v>
      </c>
      <c r="E6053">
        <v>484</v>
      </c>
      <c r="F6053">
        <v>188</v>
      </c>
      <c r="G6053">
        <v>10</v>
      </c>
      <c r="H6053">
        <v>1</v>
      </c>
      <c r="I6053">
        <v>477</v>
      </c>
      <c r="J6053">
        <v>1</v>
      </c>
      <c r="K6053">
        <v>1</v>
      </c>
      <c r="L6053">
        <v>481</v>
      </c>
      <c r="M6053">
        <v>1</v>
      </c>
      <c r="N6053">
        <v>2.7561499999999999E-167</v>
      </c>
      <c r="O6053">
        <v>1509</v>
      </c>
    </row>
    <row r="6054" spans="1:15" x14ac:dyDescent="0.25">
      <c r="A6054" t="s">
        <v>6067</v>
      </c>
      <c r="B6054">
        <v>298</v>
      </c>
      <c r="C6054" s="1" t="str">
        <f>HYPERLINK("http://www.rosaceae.org/gb/gbrowse/malus_x_domestica/?name=MDP0000525936","MDP0000525936")</f>
        <v>MDP0000525936</v>
      </c>
      <c r="D6054">
        <v>88.59</v>
      </c>
      <c r="E6054">
        <v>298</v>
      </c>
      <c r="F6054">
        <v>34</v>
      </c>
      <c r="G6054">
        <v>0</v>
      </c>
      <c r="H6054">
        <v>1</v>
      </c>
      <c r="I6054">
        <v>298</v>
      </c>
      <c r="J6054">
        <v>1</v>
      </c>
      <c r="K6054">
        <v>1</v>
      </c>
      <c r="L6054">
        <v>298</v>
      </c>
      <c r="M6054">
        <v>1</v>
      </c>
      <c r="N6054">
        <v>1.8385800000000001E-154</v>
      </c>
      <c r="O6054">
        <v>1396</v>
      </c>
    </row>
    <row r="6055" spans="1:15" x14ac:dyDescent="0.25">
      <c r="A6055" t="s">
        <v>6068</v>
      </c>
      <c r="B6055">
        <v>901</v>
      </c>
      <c r="C6055" s="1" t="str">
        <f>HYPERLINK("http://www.rosaceae.org/gb/gbrowse/malus_x_domestica/?name=MDP0000278283","MDP0000278283")</f>
        <v>MDP0000278283</v>
      </c>
      <c r="D6055">
        <v>69.63</v>
      </c>
      <c r="E6055">
        <v>629</v>
      </c>
      <c r="F6055">
        <v>191</v>
      </c>
      <c r="G6055">
        <v>7</v>
      </c>
      <c r="H6055">
        <v>272</v>
      </c>
      <c r="I6055">
        <v>897</v>
      </c>
      <c r="J6055">
        <v>1</v>
      </c>
      <c r="K6055">
        <v>27</v>
      </c>
      <c r="L6055">
        <v>651</v>
      </c>
      <c r="M6055">
        <v>1</v>
      </c>
      <c r="N6055">
        <v>0</v>
      </c>
      <c r="O6055">
        <v>2355</v>
      </c>
    </row>
    <row r="6056" spans="1:15" x14ac:dyDescent="0.25">
      <c r="A6056" t="s">
        <v>6069</v>
      </c>
      <c r="B6056">
        <v>408</v>
      </c>
      <c r="C6056" s="1" t="str">
        <f>HYPERLINK("http://www.rosaceae.org/gb/gbrowse/malus_x_domestica/?name=MDP0000241635","MDP0000241635")</f>
        <v>MDP0000241635</v>
      </c>
      <c r="D6056">
        <v>55.77</v>
      </c>
      <c r="E6056">
        <v>407</v>
      </c>
      <c r="F6056">
        <v>180</v>
      </c>
      <c r="G6056">
        <v>3</v>
      </c>
      <c r="H6056">
        <v>1</v>
      </c>
      <c r="I6056">
        <v>405</v>
      </c>
      <c r="J6056">
        <v>1</v>
      </c>
      <c r="K6056">
        <v>56</v>
      </c>
      <c r="L6056">
        <v>461</v>
      </c>
      <c r="M6056">
        <v>1</v>
      </c>
      <c r="N6056">
        <v>5.1898400000000003E-117</v>
      </c>
      <c r="O6056">
        <v>1075</v>
      </c>
    </row>
    <row r="6057" spans="1:15" x14ac:dyDescent="0.25">
      <c r="A6057" t="s">
        <v>6070</v>
      </c>
      <c r="B6057">
        <v>1139</v>
      </c>
      <c r="C6057" s="1" t="str">
        <f>HYPERLINK("http://www.rosaceae.org/gb/gbrowse/malus_x_domestica/?name=MDP0000556306","MDP0000556306")</f>
        <v>MDP0000556306</v>
      </c>
      <c r="D6057">
        <v>56.3</v>
      </c>
      <c r="E6057">
        <v>579</v>
      </c>
      <c r="F6057">
        <v>253</v>
      </c>
      <c r="G6057">
        <v>81</v>
      </c>
      <c r="H6057">
        <v>594</v>
      </c>
      <c r="I6057">
        <v>1136</v>
      </c>
      <c r="J6057">
        <v>1</v>
      </c>
      <c r="K6057">
        <v>592</v>
      </c>
      <c r="L6057">
        <v>1125</v>
      </c>
      <c r="M6057">
        <v>1</v>
      </c>
      <c r="N6057">
        <v>1.21587E-167</v>
      </c>
      <c r="O6057">
        <v>1516</v>
      </c>
    </row>
    <row r="6058" spans="1:15" x14ac:dyDescent="0.25">
      <c r="A6058" t="s">
        <v>6071</v>
      </c>
      <c r="B6058">
        <v>700</v>
      </c>
      <c r="C6058" s="1" t="str">
        <f>HYPERLINK("http://www.rosaceae.org/gb/gbrowse/malus_x_domestica/?name=MDP0000193129","MDP0000193129")</f>
        <v>MDP0000193129</v>
      </c>
      <c r="D6058">
        <v>66.5</v>
      </c>
      <c r="E6058">
        <v>621</v>
      </c>
      <c r="F6058">
        <v>208</v>
      </c>
      <c r="G6058">
        <v>45</v>
      </c>
      <c r="H6058">
        <v>60</v>
      </c>
      <c r="I6058">
        <v>672</v>
      </c>
      <c r="J6058">
        <v>1</v>
      </c>
      <c r="K6058">
        <v>157</v>
      </c>
      <c r="L6058">
        <v>740</v>
      </c>
      <c r="M6058">
        <v>1</v>
      </c>
      <c r="N6058">
        <v>0</v>
      </c>
      <c r="O6058">
        <v>2136</v>
      </c>
    </row>
    <row r="6059" spans="1:15" x14ac:dyDescent="0.25">
      <c r="A6059" t="s">
        <v>6072</v>
      </c>
      <c r="B6059">
        <v>369</v>
      </c>
      <c r="C6059" s="1" t="str">
        <f>HYPERLINK("http://www.rosaceae.org/gb/gbrowse/malus_x_domestica/?name=MDP0000939744","MDP0000939744")</f>
        <v>MDP0000939744</v>
      </c>
      <c r="D6059">
        <v>46.75</v>
      </c>
      <c r="E6059">
        <v>385</v>
      </c>
      <c r="F6059">
        <v>205</v>
      </c>
      <c r="G6059">
        <v>44</v>
      </c>
      <c r="H6059">
        <v>1</v>
      </c>
      <c r="I6059">
        <v>369</v>
      </c>
      <c r="J6059">
        <v>1</v>
      </c>
      <c r="K6059">
        <v>1</v>
      </c>
      <c r="L6059">
        <v>357</v>
      </c>
      <c r="M6059">
        <v>1</v>
      </c>
      <c r="N6059">
        <v>1.64283E-65</v>
      </c>
      <c r="O6059">
        <v>630</v>
      </c>
    </row>
    <row r="6060" spans="1:15" x14ac:dyDescent="0.25">
      <c r="A6060" t="s">
        <v>6073</v>
      </c>
      <c r="B6060">
        <v>163</v>
      </c>
      <c r="C6060" s="1" t="str">
        <f>HYPERLINK("http://www.rosaceae.org/gb/gbrowse/malus_x_domestica/?name=MDP0000250703","MDP0000250703")</f>
        <v>MDP0000250703</v>
      </c>
      <c r="D6060">
        <v>34.4</v>
      </c>
      <c r="E6060">
        <v>125</v>
      </c>
      <c r="F6060">
        <v>82</v>
      </c>
      <c r="G6060">
        <v>0</v>
      </c>
      <c r="H6060">
        <v>8</v>
      </c>
      <c r="I6060">
        <v>132</v>
      </c>
      <c r="J6060">
        <v>1</v>
      </c>
      <c r="K6060">
        <v>441</v>
      </c>
      <c r="L6060">
        <v>565</v>
      </c>
      <c r="M6060">
        <v>1</v>
      </c>
      <c r="N6060">
        <v>1.69296E-14</v>
      </c>
      <c r="O6060">
        <v>185</v>
      </c>
    </row>
    <row r="6061" spans="1:15" x14ac:dyDescent="0.25">
      <c r="A6061" t="s">
        <v>6074</v>
      </c>
      <c r="B6061">
        <v>130</v>
      </c>
      <c r="C6061" s="1" t="str">
        <f>HYPERLINK("http://www.rosaceae.org/gb/gbrowse/malus_x_domestica/?name=MDP0000155066","MDP0000155066")</f>
        <v>MDP0000155066</v>
      </c>
      <c r="D6061">
        <v>50.95</v>
      </c>
      <c r="E6061">
        <v>157</v>
      </c>
      <c r="F6061">
        <v>77</v>
      </c>
      <c r="G6061">
        <v>48</v>
      </c>
      <c r="H6061">
        <v>1</v>
      </c>
      <c r="I6061">
        <v>109</v>
      </c>
      <c r="J6061">
        <v>1</v>
      </c>
      <c r="K6061">
        <v>24</v>
      </c>
      <c r="L6061">
        <v>180</v>
      </c>
      <c r="M6061">
        <v>1</v>
      </c>
      <c r="N6061">
        <v>1.04808E-30</v>
      </c>
      <c r="O6061">
        <v>323</v>
      </c>
    </row>
    <row r="6062" spans="1:15" x14ac:dyDescent="0.25">
      <c r="A6062" t="s">
        <v>6075</v>
      </c>
      <c r="B6062">
        <v>429</v>
      </c>
      <c r="C6062" s="1" t="str">
        <f>HYPERLINK("http://www.rosaceae.org/gb/gbrowse/malus_x_domestica/?name=MDP0000144432","MDP0000144432")</f>
        <v>MDP0000144432</v>
      </c>
      <c r="D6062">
        <v>36.01</v>
      </c>
      <c r="E6062">
        <v>336</v>
      </c>
      <c r="F6062">
        <v>215</v>
      </c>
      <c r="G6062">
        <v>3</v>
      </c>
      <c r="H6062">
        <v>47</v>
      </c>
      <c r="I6062">
        <v>382</v>
      </c>
      <c r="J6062">
        <v>1</v>
      </c>
      <c r="K6062">
        <v>45</v>
      </c>
      <c r="L6062">
        <v>377</v>
      </c>
      <c r="M6062">
        <v>1</v>
      </c>
      <c r="N6062">
        <v>1.84591E-58</v>
      </c>
      <c r="O6062">
        <v>570</v>
      </c>
    </row>
    <row r="6063" spans="1:15" x14ac:dyDescent="0.25">
      <c r="A6063" t="s">
        <v>6076</v>
      </c>
      <c r="B6063">
        <v>138</v>
      </c>
      <c r="C6063" s="1" t="str">
        <f>HYPERLINK("http://www.rosaceae.org/gb/gbrowse/malus_x_domestica/?name=MDP0000430422","MDP0000430422")</f>
        <v>MDP0000430422</v>
      </c>
      <c r="D6063">
        <v>61.11</v>
      </c>
      <c r="E6063">
        <v>36</v>
      </c>
      <c r="F6063">
        <v>14</v>
      </c>
      <c r="G6063">
        <v>0</v>
      </c>
      <c r="H6063">
        <v>102</v>
      </c>
      <c r="I6063">
        <v>137</v>
      </c>
      <c r="J6063">
        <v>1</v>
      </c>
      <c r="K6063">
        <v>270</v>
      </c>
      <c r="L6063">
        <v>305</v>
      </c>
      <c r="M6063">
        <v>1</v>
      </c>
      <c r="N6063">
        <v>5.7060699999999997E-7</v>
      </c>
      <c r="O6063">
        <v>119</v>
      </c>
    </row>
    <row r="6064" spans="1:15" x14ac:dyDescent="0.25">
      <c r="A6064" t="s">
        <v>6077</v>
      </c>
      <c r="B6064">
        <v>264</v>
      </c>
      <c r="C6064" s="1" t="str">
        <f>HYPERLINK("http://www.rosaceae.org/gb/gbrowse/malus_x_domestica/?name=MDP0000320535","MDP0000320535")</f>
        <v>MDP0000320535</v>
      </c>
      <c r="D6064">
        <v>37.369999999999997</v>
      </c>
      <c r="E6064">
        <v>206</v>
      </c>
      <c r="F6064">
        <v>129</v>
      </c>
      <c r="G6064">
        <v>40</v>
      </c>
      <c r="H6064">
        <v>5</v>
      </c>
      <c r="I6064">
        <v>192</v>
      </c>
      <c r="J6064">
        <v>1</v>
      </c>
      <c r="K6064">
        <v>2</v>
      </c>
      <c r="L6064">
        <v>185</v>
      </c>
      <c r="M6064">
        <v>1</v>
      </c>
      <c r="N6064">
        <v>5.7508200000000004E-26</v>
      </c>
      <c r="O6064">
        <v>287</v>
      </c>
    </row>
    <row r="6065" spans="1:15" x14ac:dyDescent="0.25">
      <c r="A6065" t="s">
        <v>6078</v>
      </c>
      <c r="B6065">
        <v>465</v>
      </c>
      <c r="C6065" s="1" t="str">
        <f>HYPERLINK("http://www.rosaceae.org/gb/gbrowse/malus_x_domestica/?name=MDP0000263161","MDP0000263161")</f>
        <v>MDP0000263161</v>
      </c>
      <c r="D6065">
        <v>87.31</v>
      </c>
      <c r="E6065">
        <v>465</v>
      </c>
      <c r="F6065">
        <v>59</v>
      </c>
      <c r="G6065">
        <v>0</v>
      </c>
      <c r="H6065">
        <v>1</v>
      </c>
      <c r="I6065">
        <v>465</v>
      </c>
      <c r="J6065">
        <v>1</v>
      </c>
      <c r="K6065">
        <v>442</v>
      </c>
      <c r="L6065">
        <v>906</v>
      </c>
      <c r="M6065">
        <v>1</v>
      </c>
      <c r="N6065">
        <v>0</v>
      </c>
      <c r="O6065">
        <v>2173</v>
      </c>
    </row>
    <row r="6066" spans="1:15" x14ac:dyDescent="0.25">
      <c r="A6066" t="s">
        <v>6079</v>
      </c>
      <c r="B6066">
        <v>655</v>
      </c>
      <c r="C6066" s="1" t="str">
        <f>HYPERLINK("http://www.rosaceae.org/gb/gbrowse/malus_x_domestica/?name=MDP0000681106","MDP0000681106")</f>
        <v>MDP0000681106</v>
      </c>
      <c r="D6066">
        <v>32.409999999999997</v>
      </c>
      <c r="E6066">
        <v>620</v>
      </c>
      <c r="F6066">
        <v>419</v>
      </c>
      <c r="G6066">
        <v>47</v>
      </c>
      <c r="H6066">
        <v>23</v>
      </c>
      <c r="I6066">
        <v>627</v>
      </c>
      <c r="J6066">
        <v>1</v>
      </c>
      <c r="K6066">
        <v>45</v>
      </c>
      <c r="L6066">
        <v>632</v>
      </c>
      <c r="M6066">
        <v>1</v>
      </c>
      <c r="N6066">
        <v>3.9893499999999997E-73</v>
      </c>
      <c r="O6066">
        <v>698</v>
      </c>
    </row>
    <row r="6067" spans="1:15" x14ac:dyDescent="0.25">
      <c r="A6067" t="s">
        <v>6080</v>
      </c>
      <c r="B6067">
        <v>279</v>
      </c>
      <c r="C6067" s="1" t="str">
        <f>HYPERLINK("http://www.rosaceae.org/gb/gbrowse/malus_x_domestica/?name=MDP0000179121","MDP0000179121")</f>
        <v>MDP0000179121</v>
      </c>
      <c r="D6067">
        <v>84.44</v>
      </c>
      <c r="E6067">
        <v>90</v>
      </c>
      <c r="F6067">
        <v>14</v>
      </c>
      <c r="G6067">
        <v>4</v>
      </c>
      <c r="H6067">
        <v>33</v>
      </c>
      <c r="I6067">
        <v>122</v>
      </c>
      <c r="J6067">
        <v>1</v>
      </c>
      <c r="K6067">
        <v>294</v>
      </c>
      <c r="L6067">
        <v>379</v>
      </c>
      <c r="M6067">
        <v>1</v>
      </c>
      <c r="N6067">
        <v>5.3466299999999999E-36</v>
      </c>
      <c r="O6067">
        <v>374</v>
      </c>
    </row>
    <row r="6068" spans="1:15" x14ac:dyDescent="0.25">
      <c r="A6068" t="s">
        <v>6081</v>
      </c>
      <c r="B6068">
        <v>134</v>
      </c>
      <c r="C6068" s="1" t="str">
        <f>HYPERLINK("http://www.rosaceae.org/gb/gbrowse/malus_x_domestica/?name=MDP0000329095","MDP0000329095")</f>
        <v>MDP0000329095</v>
      </c>
      <c r="D6068">
        <v>90.29</v>
      </c>
      <c r="E6068">
        <v>134</v>
      </c>
      <c r="F6068">
        <v>13</v>
      </c>
      <c r="G6068">
        <v>0</v>
      </c>
      <c r="H6068">
        <v>1</v>
      </c>
      <c r="I6068">
        <v>134</v>
      </c>
      <c r="J6068">
        <v>1</v>
      </c>
      <c r="K6068">
        <v>58</v>
      </c>
      <c r="L6068">
        <v>191</v>
      </c>
      <c r="M6068">
        <v>1</v>
      </c>
      <c r="N6068">
        <v>5.2495200000000004E-69</v>
      </c>
      <c r="O6068">
        <v>653</v>
      </c>
    </row>
    <row r="6069" spans="1:15" x14ac:dyDescent="0.25">
      <c r="A6069" t="s">
        <v>6082</v>
      </c>
      <c r="B6069">
        <v>1131</v>
      </c>
      <c r="C6069" s="1" t="str">
        <f>HYPERLINK("http://www.rosaceae.org/gb/gbrowse/malus_x_domestica/?name=MDP0000491236","MDP0000491236")</f>
        <v>MDP0000491236</v>
      </c>
      <c r="D6069">
        <v>65.27</v>
      </c>
      <c r="E6069">
        <v>622</v>
      </c>
      <c r="F6069">
        <v>216</v>
      </c>
      <c r="G6069">
        <v>43</v>
      </c>
      <c r="H6069">
        <v>533</v>
      </c>
      <c r="I6069">
        <v>1121</v>
      </c>
      <c r="J6069">
        <v>1</v>
      </c>
      <c r="K6069">
        <v>169</v>
      </c>
      <c r="L6069">
        <v>780</v>
      </c>
      <c r="M6069">
        <v>1</v>
      </c>
      <c r="N6069">
        <v>0</v>
      </c>
      <c r="O6069">
        <v>2109</v>
      </c>
    </row>
    <row r="6070" spans="1:15" x14ac:dyDescent="0.25">
      <c r="A6070" t="s">
        <v>6083</v>
      </c>
      <c r="B6070">
        <v>450</v>
      </c>
      <c r="C6070" s="1" t="str">
        <f>HYPERLINK("http://www.rosaceae.org/gb/gbrowse/malus_x_domestica/?name=MDP0000241389","MDP0000241389")</f>
        <v>MDP0000241389</v>
      </c>
      <c r="D6070">
        <v>60</v>
      </c>
      <c r="E6070">
        <v>135</v>
      </c>
      <c r="F6070">
        <v>54</v>
      </c>
      <c r="G6070">
        <v>2</v>
      </c>
      <c r="H6070">
        <v>278</v>
      </c>
      <c r="I6070">
        <v>410</v>
      </c>
      <c r="J6070">
        <v>1</v>
      </c>
      <c r="K6070">
        <v>1551</v>
      </c>
      <c r="L6070">
        <v>1685</v>
      </c>
      <c r="M6070">
        <v>1</v>
      </c>
      <c r="N6070">
        <v>2.7869399999999998E-40</v>
      </c>
      <c r="O6070">
        <v>413</v>
      </c>
    </row>
    <row r="6071" spans="1:15" x14ac:dyDescent="0.25">
      <c r="A6071" t="s">
        <v>6084</v>
      </c>
      <c r="B6071">
        <v>148</v>
      </c>
      <c r="C6071" s="1" t="str">
        <f>HYPERLINK("http://www.rosaceae.org/gb/gbrowse/malus_x_domestica/?name=MDP0000195624","MDP0000195624")</f>
        <v>MDP0000195624</v>
      </c>
      <c r="D6071">
        <v>77.55</v>
      </c>
      <c r="E6071">
        <v>98</v>
      </c>
      <c r="F6071">
        <v>22</v>
      </c>
      <c r="G6071">
        <v>1</v>
      </c>
      <c r="H6071">
        <v>24</v>
      </c>
      <c r="I6071">
        <v>120</v>
      </c>
      <c r="J6071">
        <v>1</v>
      </c>
      <c r="K6071">
        <v>23</v>
      </c>
      <c r="L6071">
        <v>120</v>
      </c>
      <c r="M6071">
        <v>1</v>
      </c>
      <c r="N6071">
        <v>1.3730600000000001E-40</v>
      </c>
      <c r="O6071">
        <v>409</v>
      </c>
    </row>
    <row r="6072" spans="1:15" x14ac:dyDescent="0.25">
      <c r="A6072" t="s">
        <v>6085</v>
      </c>
      <c r="B6072">
        <v>171</v>
      </c>
      <c r="C6072" s="1" t="str">
        <f>HYPERLINK("http://www.rosaceae.org/gb/gbrowse/malus_x_domestica/?name=MDP0000190736","MDP0000190736")</f>
        <v>MDP0000190736</v>
      </c>
      <c r="D6072">
        <v>59.88</v>
      </c>
      <c r="E6072">
        <v>172</v>
      </c>
      <c r="F6072">
        <v>69</v>
      </c>
      <c r="G6072">
        <v>2</v>
      </c>
      <c r="H6072">
        <v>1</v>
      </c>
      <c r="I6072">
        <v>171</v>
      </c>
      <c r="J6072">
        <v>1</v>
      </c>
      <c r="K6072">
        <v>1</v>
      </c>
      <c r="L6072">
        <v>171</v>
      </c>
      <c r="M6072">
        <v>1</v>
      </c>
      <c r="N6072">
        <v>1.2020299999999999E-53</v>
      </c>
      <c r="O6072">
        <v>523</v>
      </c>
    </row>
    <row r="6073" spans="1:15" x14ac:dyDescent="0.25">
      <c r="A6073" t="s">
        <v>6086</v>
      </c>
      <c r="B6073">
        <v>410</v>
      </c>
      <c r="C6073" s="1" t="str">
        <f>HYPERLINK("http://www.rosaceae.org/gb/gbrowse/malus_x_domestica/?name=MDP0000186702","MDP0000186702")</f>
        <v>MDP0000186702</v>
      </c>
      <c r="D6073">
        <v>54.34</v>
      </c>
      <c r="E6073">
        <v>414</v>
      </c>
      <c r="F6073">
        <v>189</v>
      </c>
      <c r="G6073">
        <v>14</v>
      </c>
      <c r="H6073">
        <v>1</v>
      </c>
      <c r="I6073">
        <v>410</v>
      </c>
      <c r="J6073">
        <v>1</v>
      </c>
      <c r="K6073">
        <v>1</v>
      </c>
      <c r="L6073">
        <v>404</v>
      </c>
      <c r="M6073">
        <v>1</v>
      </c>
      <c r="N6073">
        <v>4.54387E-109</v>
      </c>
      <c r="O6073">
        <v>1006</v>
      </c>
    </row>
    <row r="6074" spans="1:15" x14ac:dyDescent="0.25">
      <c r="A6074" t="s">
        <v>6087</v>
      </c>
      <c r="B6074">
        <v>228</v>
      </c>
      <c r="C6074" s="1" t="str">
        <f>HYPERLINK("http://www.rosaceae.org/gb/gbrowse/malus_x_domestica/?name=MDP0000201897","MDP0000201897")</f>
        <v>MDP0000201897</v>
      </c>
      <c r="D6074">
        <v>29.76</v>
      </c>
      <c r="E6074">
        <v>168</v>
      </c>
      <c r="F6074">
        <v>118</v>
      </c>
      <c r="G6074">
        <v>11</v>
      </c>
      <c r="H6074">
        <v>6</v>
      </c>
      <c r="I6074">
        <v>169</v>
      </c>
      <c r="J6074">
        <v>1</v>
      </c>
      <c r="K6074">
        <v>665</v>
      </c>
      <c r="L6074">
        <v>825</v>
      </c>
      <c r="M6074">
        <v>1</v>
      </c>
      <c r="N6074">
        <v>7.2683599999999995E-14</v>
      </c>
      <c r="O6074">
        <v>182</v>
      </c>
    </row>
    <row r="6075" spans="1:15" x14ac:dyDescent="0.25">
      <c r="A6075" t="s">
        <v>6088</v>
      </c>
      <c r="B6075">
        <v>361</v>
      </c>
      <c r="C6075" s="1" t="str">
        <f>HYPERLINK("http://www.rosaceae.org/gb/gbrowse/malus_x_domestica/?name=MDP0000162563","MDP0000162563")</f>
        <v>MDP0000162563</v>
      </c>
      <c r="D6075">
        <v>39.01</v>
      </c>
      <c r="E6075">
        <v>346</v>
      </c>
      <c r="F6075">
        <v>211</v>
      </c>
      <c r="G6075">
        <v>92</v>
      </c>
      <c r="H6075">
        <v>2</v>
      </c>
      <c r="I6075">
        <v>347</v>
      </c>
      <c r="J6075">
        <v>1</v>
      </c>
      <c r="K6075">
        <v>33</v>
      </c>
      <c r="L6075">
        <v>286</v>
      </c>
      <c r="M6075">
        <v>1</v>
      </c>
      <c r="N6075">
        <v>2.59515E-51</v>
      </c>
      <c r="O6075">
        <v>507</v>
      </c>
    </row>
    <row r="6076" spans="1:15" x14ac:dyDescent="0.25">
      <c r="A6076" t="s">
        <v>6089</v>
      </c>
      <c r="B6076">
        <v>187</v>
      </c>
      <c r="C6076" s="1" t="str">
        <f>HYPERLINK("http://www.rosaceae.org/gb/gbrowse/malus_x_domestica/?name=MDP0000127346","MDP0000127346")</f>
        <v>MDP0000127346</v>
      </c>
      <c r="D6076">
        <v>78.349999999999994</v>
      </c>
      <c r="E6076">
        <v>134</v>
      </c>
      <c r="F6076">
        <v>29</v>
      </c>
      <c r="G6076">
        <v>0</v>
      </c>
      <c r="H6076">
        <v>1</v>
      </c>
      <c r="I6076">
        <v>134</v>
      </c>
      <c r="J6076">
        <v>1</v>
      </c>
      <c r="K6076">
        <v>1</v>
      </c>
      <c r="L6076">
        <v>134</v>
      </c>
      <c r="M6076">
        <v>1</v>
      </c>
      <c r="N6076">
        <v>5.9194500000000002E-63</v>
      </c>
      <c r="O6076">
        <v>604</v>
      </c>
    </row>
    <row r="6077" spans="1:15" x14ac:dyDescent="0.25">
      <c r="A6077" t="s">
        <v>6090</v>
      </c>
      <c r="B6077">
        <v>738</v>
      </c>
      <c r="C6077" s="1" t="str">
        <f>HYPERLINK("http://www.rosaceae.org/gb/gbrowse/malus_x_domestica/?name=MDP0000267409","MDP0000267409")</f>
        <v>MDP0000267409</v>
      </c>
      <c r="D6077">
        <v>44.66</v>
      </c>
      <c r="E6077">
        <v>459</v>
      </c>
      <c r="F6077">
        <v>254</v>
      </c>
      <c r="G6077">
        <v>56</v>
      </c>
      <c r="H6077">
        <v>35</v>
      </c>
      <c r="I6077">
        <v>449</v>
      </c>
      <c r="J6077">
        <v>1</v>
      </c>
      <c r="K6077">
        <v>540</v>
      </c>
      <c r="L6077">
        <v>986</v>
      </c>
      <c r="M6077">
        <v>1</v>
      </c>
      <c r="N6077">
        <v>2.3352599999999999E-88</v>
      </c>
      <c r="O6077">
        <v>830</v>
      </c>
    </row>
    <row r="6078" spans="1:15" x14ac:dyDescent="0.25">
      <c r="A6078" t="s">
        <v>6091</v>
      </c>
      <c r="B6078">
        <v>750</v>
      </c>
      <c r="C6078" s="1" t="str">
        <f>HYPERLINK("http://www.rosaceae.org/gb/gbrowse/malus_x_domestica/?name=MDP0000805248","MDP0000805248")</f>
        <v>MDP0000805248</v>
      </c>
      <c r="D6078">
        <v>70.260000000000005</v>
      </c>
      <c r="E6078">
        <v>760</v>
      </c>
      <c r="F6078">
        <v>226</v>
      </c>
      <c r="G6078">
        <v>18</v>
      </c>
      <c r="H6078">
        <v>1</v>
      </c>
      <c r="I6078">
        <v>750</v>
      </c>
      <c r="J6078">
        <v>1</v>
      </c>
      <c r="K6078">
        <v>4</v>
      </c>
      <c r="L6078">
        <v>755</v>
      </c>
      <c r="M6078">
        <v>1</v>
      </c>
      <c r="N6078">
        <v>0</v>
      </c>
      <c r="O6078">
        <v>2772</v>
      </c>
    </row>
    <row r="6079" spans="1:15" x14ac:dyDescent="0.25">
      <c r="A6079" t="s">
        <v>6092</v>
      </c>
      <c r="B6079">
        <v>359</v>
      </c>
      <c r="C6079" s="1" t="str">
        <f>HYPERLINK("http://www.rosaceae.org/gb/gbrowse/malus_x_domestica/?name=MDP0000151118","MDP0000151118")</f>
        <v>MDP0000151118</v>
      </c>
      <c r="D6079">
        <v>77.27</v>
      </c>
      <c r="E6079">
        <v>352</v>
      </c>
      <c r="F6079">
        <v>80</v>
      </c>
      <c r="G6079">
        <v>0</v>
      </c>
      <c r="H6079">
        <v>4</v>
      </c>
      <c r="I6079">
        <v>355</v>
      </c>
      <c r="J6079">
        <v>1</v>
      </c>
      <c r="K6079">
        <v>3</v>
      </c>
      <c r="L6079">
        <v>354</v>
      </c>
      <c r="M6079">
        <v>1</v>
      </c>
      <c r="N6079">
        <v>3.7852099999999998E-161</v>
      </c>
      <c r="O6079">
        <v>1455</v>
      </c>
    </row>
    <row r="6080" spans="1:15" x14ac:dyDescent="0.25">
      <c r="A6080" t="s">
        <v>6093</v>
      </c>
      <c r="B6080">
        <v>184</v>
      </c>
      <c r="C6080" s="1" t="str">
        <f>HYPERLINK("http://www.rosaceae.org/gb/gbrowse/malus_x_domestica/?name=MDP0000850984","MDP0000850984")</f>
        <v>MDP0000850984</v>
      </c>
      <c r="D6080">
        <v>61.79</v>
      </c>
      <c r="E6080">
        <v>89</v>
      </c>
      <c r="F6080">
        <v>34</v>
      </c>
      <c r="G6080">
        <v>3</v>
      </c>
      <c r="H6080">
        <v>27</v>
      </c>
      <c r="I6080">
        <v>115</v>
      </c>
      <c r="J6080">
        <v>1</v>
      </c>
      <c r="K6080">
        <v>39</v>
      </c>
      <c r="L6080">
        <v>124</v>
      </c>
      <c r="M6080">
        <v>1</v>
      </c>
      <c r="N6080">
        <v>4.1437799999999996E-25</v>
      </c>
      <c r="O6080">
        <v>278</v>
      </c>
    </row>
    <row r="6081" spans="1:15" x14ac:dyDescent="0.25">
      <c r="A6081" t="s">
        <v>6094</v>
      </c>
      <c r="B6081">
        <v>186</v>
      </c>
      <c r="C6081" s="1" t="str">
        <f>HYPERLINK("http://www.rosaceae.org/gb/gbrowse/malus_x_domestica/?name=MDP0000362168","MDP0000362168")</f>
        <v>MDP0000362168</v>
      </c>
      <c r="D6081">
        <v>92.03</v>
      </c>
      <c r="E6081">
        <v>113</v>
      </c>
      <c r="F6081">
        <v>9</v>
      </c>
      <c r="G6081">
        <v>0</v>
      </c>
      <c r="H6081">
        <v>74</v>
      </c>
      <c r="I6081">
        <v>186</v>
      </c>
      <c r="J6081">
        <v>1</v>
      </c>
      <c r="K6081">
        <v>1</v>
      </c>
      <c r="L6081">
        <v>113</v>
      </c>
      <c r="M6081">
        <v>1</v>
      </c>
      <c r="N6081">
        <v>9.2732699999999993E-59</v>
      </c>
      <c r="O6081">
        <v>568</v>
      </c>
    </row>
    <row r="6082" spans="1:15" x14ac:dyDescent="0.25">
      <c r="A6082" t="s">
        <v>6095</v>
      </c>
      <c r="B6082">
        <v>619</v>
      </c>
      <c r="C6082" s="1" t="str">
        <f>HYPERLINK("http://www.rosaceae.org/gb/gbrowse/malus_x_domestica/?name=MDP0000889498","MDP0000889498")</f>
        <v>MDP0000889498</v>
      </c>
      <c r="D6082">
        <v>86.89</v>
      </c>
      <c r="E6082">
        <v>603</v>
      </c>
      <c r="F6082">
        <v>79</v>
      </c>
      <c r="G6082">
        <v>2</v>
      </c>
      <c r="H6082">
        <v>15</v>
      </c>
      <c r="I6082">
        <v>617</v>
      </c>
      <c r="J6082">
        <v>1</v>
      </c>
      <c r="K6082">
        <v>16</v>
      </c>
      <c r="L6082">
        <v>616</v>
      </c>
      <c r="M6082">
        <v>1</v>
      </c>
      <c r="N6082">
        <v>0</v>
      </c>
      <c r="O6082">
        <v>2871</v>
      </c>
    </row>
    <row r="6083" spans="1:15" x14ac:dyDescent="0.25">
      <c r="A6083" t="s">
        <v>6096</v>
      </c>
      <c r="B6083">
        <v>736</v>
      </c>
      <c r="C6083" s="1" t="str">
        <f>HYPERLINK("http://www.rosaceae.org/gb/gbrowse/malus_x_domestica/?name=MDP0000095013","MDP0000095013")</f>
        <v>MDP0000095013</v>
      </c>
      <c r="D6083">
        <v>74.34</v>
      </c>
      <c r="E6083">
        <v>721</v>
      </c>
      <c r="F6083">
        <v>185</v>
      </c>
      <c r="G6083">
        <v>14</v>
      </c>
      <c r="H6083">
        <v>21</v>
      </c>
      <c r="I6083">
        <v>734</v>
      </c>
      <c r="J6083">
        <v>1</v>
      </c>
      <c r="K6083">
        <v>1</v>
      </c>
      <c r="L6083">
        <v>714</v>
      </c>
      <c r="M6083">
        <v>1</v>
      </c>
      <c r="N6083">
        <v>0</v>
      </c>
      <c r="O6083">
        <v>2786</v>
      </c>
    </row>
    <row r="6084" spans="1:15" x14ac:dyDescent="0.25">
      <c r="A6084" t="s">
        <v>6097</v>
      </c>
      <c r="B6084">
        <v>845</v>
      </c>
      <c r="C6084" s="1" t="str">
        <f>HYPERLINK("http://www.rosaceae.org/gb/gbrowse/malus_x_domestica/?name=MDP0000125671","MDP0000125671")</f>
        <v>MDP0000125671</v>
      </c>
      <c r="D6084">
        <v>40.72</v>
      </c>
      <c r="E6084">
        <v>248</v>
      </c>
      <c r="F6084">
        <v>147</v>
      </c>
      <c r="G6084">
        <v>51</v>
      </c>
      <c r="H6084">
        <v>4</v>
      </c>
      <c r="I6084">
        <v>250</v>
      </c>
      <c r="J6084">
        <v>1</v>
      </c>
      <c r="K6084">
        <v>255</v>
      </c>
      <c r="L6084">
        <v>452</v>
      </c>
      <c r="M6084">
        <v>1</v>
      </c>
      <c r="N6084">
        <v>1.1686699999999999E-37</v>
      </c>
      <c r="O6084">
        <v>394</v>
      </c>
    </row>
    <row r="6085" spans="1:15" x14ac:dyDescent="0.25">
      <c r="A6085" t="s">
        <v>6098</v>
      </c>
      <c r="B6085">
        <v>227</v>
      </c>
      <c r="C6085" s="1" t="str">
        <f>HYPERLINK("http://www.rosaceae.org/gb/gbrowse/malus_x_domestica/?name=MDP0000276291","MDP0000276291")</f>
        <v>MDP0000276291</v>
      </c>
      <c r="D6085">
        <v>34.409999999999997</v>
      </c>
      <c r="E6085">
        <v>247</v>
      </c>
      <c r="F6085">
        <v>162</v>
      </c>
      <c r="G6085">
        <v>30</v>
      </c>
      <c r="H6085">
        <v>10</v>
      </c>
      <c r="I6085">
        <v>227</v>
      </c>
      <c r="J6085">
        <v>1</v>
      </c>
      <c r="K6085">
        <v>7</v>
      </c>
      <c r="L6085">
        <v>252</v>
      </c>
      <c r="M6085">
        <v>1</v>
      </c>
      <c r="N6085">
        <v>2.62157E-22</v>
      </c>
      <c r="O6085">
        <v>255</v>
      </c>
    </row>
    <row r="6086" spans="1:15" x14ac:dyDescent="0.25">
      <c r="A6086" t="s">
        <v>6099</v>
      </c>
      <c r="B6086">
        <v>236</v>
      </c>
      <c r="C6086" s="1" t="str">
        <f>HYPERLINK("http://www.rosaceae.org/gb/gbrowse/malus_x_domestica/?name=MDP0000194340","MDP0000194340")</f>
        <v>MDP0000194340</v>
      </c>
      <c r="D6086">
        <v>40</v>
      </c>
      <c r="E6086">
        <v>95</v>
      </c>
      <c r="F6086">
        <v>57</v>
      </c>
      <c r="G6086">
        <v>3</v>
      </c>
      <c r="H6086">
        <v>6</v>
      </c>
      <c r="I6086">
        <v>99</v>
      </c>
      <c r="J6086">
        <v>1</v>
      </c>
      <c r="K6086">
        <v>248</v>
      </c>
      <c r="L6086">
        <v>340</v>
      </c>
      <c r="M6086">
        <v>1</v>
      </c>
      <c r="N6086">
        <v>4.5693399999999998E-11</v>
      </c>
      <c r="O6086">
        <v>158</v>
      </c>
    </row>
    <row r="6087" spans="1:15" x14ac:dyDescent="0.25">
      <c r="A6087" t="s">
        <v>6100</v>
      </c>
      <c r="B6087">
        <v>543</v>
      </c>
      <c r="C6087" s="1" t="str">
        <f>HYPERLINK("http://www.rosaceae.org/gb/gbrowse/malus_x_domestica/?name=MDP0000294589","MDP0000294589")</f>
        <v>MDP0000294589</v>
      </c>
      <c r="D6087">
        <v>70.86</v>
      </c>
      <c r="E6087">
        <v>587</v>
      </c>
      <c r="F6087">
        <v>171</v>
      </c>
      <c r="G6087">
        <v>63</v>
      </c>
      <c r="H6087">
        <v>1</v>
      </c>
      <c r="I6087">
        <v>541</v>
      </c>
      <c r="J6087">
        <v>1</v>
      </c>
      <c r="K6087">
        <v>1</v>
      </c>
      <c r="L6087">
        <v>570</v>
      </c>
      <c r="M6087">
        <v>1</v>
      </c>
      <c r="N6087">
        <v>0</v>
      </c>
      <c r="O6087">
        <v>2130</v>
      </c>
    </row>
    <row r="6088" spans="1:15" x14ac:dyDescent="0.25">
      <c r="A6088" t="s">
        <v>6101</v>
      </c>
      <c r="B6088">
        <v>453</v>
      </c>
      <c r="C6088" s="1" t="str">
        <f>HYPERLINK("http://www.rosaceae.org/gb/gbrowse/malus_x_domestica/?name=MDP0000252740","MDP0000252740")</f>
        <v>MDP0000252740</v>
      </c>
      <c r="D6088">
        <v>70.040000000000006</v>
      </c>
      <c r="E6088">
        <v>444</v>
      </c>
      <c r="F6088">
        <v>133</v>
      </c>
      <c r="G6088">
        <v>41</v>
      </c>
      <c r="H6088">
        <v>26</v>
      </c>
      <c r="I6088">
        <v>452</v>
      </c>
      <c r="J6088">
        <v>1</v>
      </c>
      <c r="K6088">
        <v>1</v>
      </c>
      <c r="L6088">
        <v>420</v>
      </c>
      <c r="M6088">
        <v>1</v>
      </c>
      <c r="N6088">
        <v>2.13832E-178</v>
      </c>
      <c r="O6088">
        <v>1604</v>
      </c>
    </row>
    <row r="6089" spans="1:15" x14ac:dyDescent="0.25">
      <c r="A6089" t="s">
        <v>6102</v>
      </c>
      <c r="B6089">
        <v>286</v>
      </c>
      <c r="C6089" s="1" t="str">
        <f>HYPERLINK("http://www.rosaceae.org/gb/gbrowse/malus_x_domestica/?name=MDP0000812182","MDP0000812182")</f>
        <v>MDP0000812182</v>
      </c>
      <c r="D6089">
        <v>50.21</v>
      </c>
      <c r="E6089">
        <v>231</v>
      </c>
      <c r="F6089">
        <v>115</v>
      </c>
      <c r="G6089">
        <v>26</v>
      </c>
      <c r="H6089">
        <v>8</v>
      </c>
      <c r="I6089">
        <v>215</v>
      </c>
      <c r="J6089">
        <v>1</v>
      </c>
      <c r="K6089">
        <v>7</v>
      </c>
      <c r="L6089">
        <v>234</v>
      </c>
      <c r="M6089">
        <v>1</v>
      </c>
      <c r="N6089">
        <v>1.0962800000000001E-52</v>
      </c>
      <c r="O6089">
        <v>518</v>
      </c>
    </row>
    <row r="6090" spans="1:15" x14ac:dyDescent="0.25">
      <c r="A6090" t="s">
        <v>6103</v>
      </c>
      <c r="B6090">
        <v>273</v>
      </c>
      <c r="C6090" s="1" t="str">
        <f>HYPERLINK("http://www.rosaceae.org/gb/gbrowse/malus_x_domestica/?name=MDP0000698897","MDP0000698897")</f>
        <v>MDP0000698897</v>
      </c>
      <c r="D6090">
        <v>45.88</v>
      </c>
      <c r="E6090">
        <v>85</v>
      </c>
      <c r="F6090">
        <v>46</v>
      </c>
      <c r="G6090">
        <v>2</v>
      </c>
      <c r="H6090">
        <v>169</v>
      </c>
      <c r="I6090">
        <v>253</v>
      </c>
      <c r="J6090">
        <v>1</v>
      </c>
      <c r="K6090">
        <v>121</v>
      </c>
      <c r="L6090">
        <v>203</v>
      </c>
      <c r="M6090">
        <v>1</v>
      </c>
      <c r="N6090">
        <v>1.8330299999999999E-12</v>
      </c>
      <c r="O6090">
        <v>171</v>
      </c>
    </row>
    <row r="6091" spans="1:15" x14ac:dyDescent="0.25">
      <c r="A6091" t="s">
        <v>6104</v>
      </c>
      <c r="B6091">
        <v>787</v>
      </c>
      <c r="C6091" s="1" t="str">
        <f>HYPERLINK("http://www.rosaceae.org/gb/gbrowse/malus_x_domestica/?name=MDP0000124449","MDP0000124449")</f>
        <v>MDP0000124449</v>
      </c>
      <c r="D6091">
        <v>62.55</v>
      </c>
      <c r="E6091">
        <v>633</v>
      </c>
      <c r="F6091">
        <v>237</v>
      </c>
      <c r="G6091">
        <v>21</v>
      </c>
      <c r="H6091">
        <v>165</v>
      </c>
      <c r="I6091">
        <v>787</v>
      </c>
      <c r="J6091">
        <v>1</v>
      </c>
      <c r="K6091">
        <v>73</v>
      </c>
      <c r="L6091">
        <v>694</v>
      </c>
      <c r="M6091">
        <v>1</v>
      </c>
      <c r="N6091">
        <v>0</v>
      </c>
      <c r="O6091">
        <v>1996</v>
      </c>
    </row>
    <row r="6092" spans="1:15" x14ac:dyDescent="0.25">
      <c r="A6092" t="s">
        <v>6105</v>
      </c>
      <c r="B6092">
        <v>556</v>
      </c>
      <c r="C6092" s="1" t="str">
        <f>HYPERLINK("http://www.rosaceae.org/gb/gbrowse/malus_x_domestica/?name=MDP0000459293","MDP0000459293")</f>
        <v>MDP0000459293</v>
      </c>
      <c r="D6092">
        <v>67.2</v>
      </c>
      <c r="E6092">
        <v>500</v>
      </c>
      <c r="F6092">
        <v>164</v>
      </c>
      <c r="G6092">
        <v>11</v>
      </c>
      <c r="H6092">
        <v>62</v>
      </c>
      <c r="I6092">
        <v>556</v>
      </c>
      <c r="J6092">
        <v>1</v>
      </c>
      <c r="K6092">
        <v>61</v>
      </c>
      <c r="L6092">
        <v>554</v>
      </c>
      <c r="M6092">
        <v>1</v>
      </c>
      <c r="N6092">
        <v>0</v>
      </c>
      <c r="O6092">
        <v>1664</v>
      </c>
    </row>
    <row r="6093" spans="1:15" x14ac:dyDescent="0.25">
      <c r="A6093" t="s">
        <v>6106</v>
      </c>
      <c r="B6093">
        <v>258</v>
      </c>
      <c r="C6093" s="1" t="str">
        <f>HYPERLINK("http://www.rosaceae.org/gb/gbrowse/malus_x_domestica/?name=MDP0000282499","MDP0000282499")</f>
        <v>MDP0000282499</v>
      </c>
      <c r="D6093">
        <v>43.85</v>
      </c>
      <c r="E6093">
        <v>187</v>
      </c>
      <c r="F6093">
        <v>105</v>
      </c>
      <c r="G6093">
        <v>10</v>
      </c>
      <c r="H6093">
        <v>1</v>
      </c>
      <c r="I6093">
        <v>184</v>
      </c>
      <c r="J6093">
        <v>1</v>
      </c>
      <c r="K6093">
        <v>686</v>
      </c>
      <c r="L6093">
        <v>865</v>
      </c>
      <c r="M6093">
        <v>1</v>
      </c>
      <c r="N6093">
        <v>1.7338900000000001E-37</v>
      </c>
      <c r="O6093">
        <v>386</v>
      </c>
    </row>
    <row r="6094" spans="1:15" x14ac:dyDescent="0.25">
      <c r="A6094" t="s">
        <v>6107</v>
      </c>
      <c r="B6094">
        <v>629</v>
      </c>
      <c r="C6094" s="1" t="str">
        <f>HYPERLINK("http://www.rosaceae.org/gb/gbrowse/malus_x_domestica/?name=MDP0000160311","MDP0000160311")</f>
        <v>MDP0000160311</v>
      </c>
      <c r="D6094">
        <v>51.04</v>
      </c>
      <c r="E6094">
        <v>625</v>
      </c>
      <c r="F6094">
        <v>306</v>
      </c>
      <c r="G6094">
        <v>41</v>
      </c>
      <c r="H6094">
        <v>32</v>
      </c>
      <c r="I6094">
        <v>626</v>
      </c>
      <c r="J6094">
        <v>1</v>
      </c>
      <c r="K6094">
        <v>1</v>
      </c>
      <c r="L6094">
        <v>614</v>
      </c>
      <c r="M6094">
        <v>1</v>
      </c>
      <c r="N6094">
        <v>3.2070800000000001E-168</v>
      </c>
      <c r="O6094">
        <v>1518</v>
      </c>
    </row>
    <row r="6095" spans="1:15" x14ac:dyDescent="0.25">
      <c r="A6095" t="s">
        <v>6108</v>
      </c>
      <c r="B6095">
        <v>810</v>
      </c>
      <c r="C6095" s="1" t="str">
        <f>HYPERLINK("http://www.rosaceae.org/gb/gbrowse/malus_x_domestica/?name=MDP0000724767","MDP0000724767")</f>
        <v>MDP0000724767</v>
      </c>
      <c r="D6095">
        <v>69.19</v>
      </c>
      <c r="E6095">
        <v>766</v>
      </c>
      <c r="F6095">
        <v>236</v>
      </c>
      <c r="G6095">
        <v>42</v>
      </c>
      <c r="H6095">
        <v>81</v>
      </c>
      <c r="I6095">
        <v>810</v>
      </c>
      <c r="J6095">
        <v>1</v>
      </c>
      <c r="K6095">
        <v>101</v>
      </c>
      <c r="L6095">
        <v>860</v>
      </c>
      <c r="M6095">
        <v>1</v>
      </c>
      <c r="N6095">
        <v>0</v>
      </c>
      <c r="O6095">
        <v>2660</v>
      </c>
    </row>
    <row r="6096" spans="1:15" x14ac:dyDescent="0.25">
      <c r="A6096" t="s">
        <v>6109</v>
      </c>
      <c r="B6096">
        <v>283</v>
      </c>
      <c r="C6096" s="1" t="str">
        <f>HYPERLINK("http://www.rosaceae.org/gb/gbrowse/malus_x_domestica/?name=MDP0000932963","MDP0000932963")</f>
        <v>MDP0000932963</v>
      </c>
      <c r="D6096">
        <v>45.22</v>
      </c>
      <c r="E6096">
        <v>314</v>
      </c>
      <c r="F6096">
        <v>172</v>
      </c>
      <c r="G6096">
        <v>53</v>
      </c>
      <c r="H6096">
        <v>1</v>
      </c>
      <c r="I6096">
        <v>280</v>
      </c>
      <c r="J6096">
        <v>1</v>
      </c>
      <c r="K6096">
        <v>1</v>
      </c>
      <c r="L6096">
        <v>295</v>
      </c>
      <c r="M6096">
        <v>1</v>
      </c>
      <c r="N6096">
        <v>5.7115900000000002E-58</v>
      </c>
      <c r="O6096">
        <v>564</v>
      </c>
    </row>
    <row r="6097" spans="1:15" x14ac:dyDescent="0.25">
      <c r="A6097" t="s">
        <v>6110</v>
      </c>
      <c r="B6097">
        <v>514</v>
      </c>
      <c r="C6097" s="1" t="str">
        <f>HYPERLINK("http://www.rosaceae.org/gb/gbrowse/malus_x_domestica/?name=MDP0000271797","MDP0000271797")</f>
        <v>MDP0000271797</v>
      </c>
      <c r="D6097">
        <v>67.900000000000006</v>
      </c>
      <c r="E6097">
        <v>539</v>
      </c>
      <c r="F6097">
        <v>173</v>
      </c>
      <c r="G6097">
        <v>55</v>
      </c>
      <c r="H6097">
        <v>24</v>
      </c>
      <c r="I6097">
        <v>512</v>
      </c>
      <c r="J6097">
        <v>1</v>
      </c>
      <c r="K6097">
        <v>30</v>
      </c>
      <c r="L6097">
        <v>563</v>
      </c>
      <c r="M6097">
        <v>1</v>
      </c>
      <c r="N6097">
        <v>0</v>
      </c>
      <c r="O6097">
        <v>1872</v>
      </c>
    </row>
    <row r="6098" spans="1:15" x14ac:dyDescent="0.25">
      <c r="A6098" t="s">
        <v>6111</v>
      </c>
      <c r="B6098">
        <v>1012</v>
      </c>
      <c r="C6098" s="1" t="str">
        <f>HYPERLINK("http://www.rosaceae.org/gb/gbrowse/malus_x_domestica/?name=MDP0000309676","MDP0000309676")</f>
        <v>MDP0000309676</v>
      </c>
      <c r="D6098">
        <v>63.23</v>
      </c>
      <c r="E6098">
        <v>941</v>
      </c>
      <c r="F6098">
        <v>346</v>
      </c>
      <c r="G6098">
        <v>9</v>
      </c>
      <c r="H6098">
        <v>76</v>
      </c>
      <c r="I6098">
        <v>1012</v>
      </c>
      <c r="J6098">
        <v>1</v>
      </c>
      <c r="K6098">
        <v>66</v>
      </c>
      <c r="L6098">
        <v>1001</v>
      </c>
      <c r="M6098">
        <v>1</v>
      </c>
      <c r="N6098">
        <v>0</v>
      </c>
      <c r="O6098">
        <v>2908</v>
      </c>
    </row>
    <row r="6099" spans="1:15" x14ac:dyDescent="0.25">
      <c r="A6099" t="s">
        <v>6112</v>
      </c>
      <c r="B6099">
        <v>1057</v>
      </c>
      <c r="C6099" s="1" t="str">
        <f>HYPERLINK("http://www.rosaceae.org/gb/gbrowse/malus_x_domestica/?name=MDP0000174537","MDP0000174537")</f>
        <v>MDP0000174537</v>
      </c>
      <c r="D6099">
        <v>71.959999999999994</v>
      </c>
      <c r="E6099">
        <v>1102</v>
      </c>
      <c r="F6099">
        <v>309</v>
      </c>
      <c r="G6099">
        <v>62</v>
      </c>
      <c r="H6099">
        <v>1</v>
      </c>
      <c r="I6099">
        <v>1056</v>
      </c>
      <c r="J6099">
        <v>1</v>
      </c>
      <c r="K6099">
        <v>1</v>
      </c>
      <c r="L6099">
        <v>1086</v>
      </c>
      <c r="M6099">
        <v>1</v>
      </c>
      <c r="N6099">
        <v>0</v>
      </c>
      <c r="O6099">
        <v>4009</v>
      </c>
    </row>
    <row r="6100" spans="1:15" x14ac:dyDescent="0.25">
      <c r="A6100" t="s">
        <v>6113</v>
      </c>
      <c r="B6100">
        <v>236</v>
      </c>
      <c r="C6100" s="1" t="str">
        <f>HYPERLINK("http://www.rosaceae.org/gb/gbrowse/malus_x_domestica/?name=MDP0000211955","MDP0000211955")</f>
        <v>MDP0000211955</v>
      </c>
      <c r="D6100">
        <v>44.05</v>
      </c>
      <c r="E6100">
        <v>227</v>
      </c>
      <c r="F6100">
        <v>127</v>
      </c>
      <c r="G6100">
        <v>18</v>
      </c>
      <c r="H6100">
        <v>1</v>
      </c>
      <c r="I6100">
        <v>214</v>
      </c>
      <c r="J6100">
        <v>1</v>
      </c>
      <c r="K6100">
        <v>76</v>
      </c>
      <c r="L6100">
        <v>297</v>
      </c>
      <c r="M6100">
        <v>1</v>
      </c>
      <c r="N6100">
        <v>7.1572699999999995E-46</v>
      </c>
      <c r="O6100">
        <v>458</v>
      </c>
    </row>
    <row r="6101" spans="1:15" x14ac:dyDescent="0.25">
      <c r="A6101" t="s">
        <v>6114</v>
      </c>
      <c r="B6101">
        <v>963</v>
      </c>
      <c r="C6101" s="1" t="str">
        <f>HYPERLINK("http://www.rosaceae.org/gb/gbrowse/malus_x_domestica/?name=MDP0000306705","MDP0000306705")</f>
        <v>MDP0000306705</v>
      </c>
      <c r="D6101">
        <v>48.91</v>
      </c>
      <c r="E6101">
        <v>924</v>
      </c>
      <c r="F6101">
        <v>472</v>
      </c>
      <c r="G6101">
        <v>56</v>
      </c>
      <c r="H6101">
        <v>1</v>
      </c>
      <c r="I6101">
        <v>881</v>
      </c>
      <c r="J6101">
        <v>1</v>
      </c>
      <c r="K6101">
        <v>1</v>
      </c>
      <c r="L6101">
        <v>911</v>
      </c>
      <c r="M6101">
        <v>1</v>
      </c>
      <c r="N6101">
        <v>0</v>
      </c>
      <c r="O6101">
        <v>1968</v>
      </c>
    </row>
    <row r="6102" spans="1:15" x14ac:dyDescent="0.25">
      <c r="A6102" t="s">
        <v>6115</v>
      </c>
      <c r="B6102">
        <v>620</v>
      </c>
      <c r="C6102" s="1" t="str">
        <f>HYPERLINK("http://www.rosaceae.org/gb/gbrowse/malus_x_domestica/?name=MDP0000138698","MDP0000138698")</f>
        <v>MDP0000138698</v>
      </c>
      <c r="D6102">
        <v>52.61</v>
      </c>
      <c r="E6102">
        <v>325</v>
      </c>
      <c r="F6102">
        <v>154</v>
      </c>
      <c r="G6102">
        <v>12</v>
      </c>
      <c r="H6102">
        <v>302</v>
      </c>
      <c r="I6102">
        <v>620</v>
      </c>
      <c r="J6102">
        <v>1</v>
      </c>
      <c r="K6102">
        <v>93</v>
      </c>
      <c r="L6102">
        <v>411</v>
      </c>
      <c r="M6102">
        <v>1</v>
      </c>
      <c r="N6102">
        <v>5.3935900000000001E-90</v>
      </c>
      <c r="O6102">
        <v>844</v>
      </c>
    </row>
    <row r="6103" spans="1:15" x14ac:dyDescent="0.25">
      <c r="A6103" t="s">
        <v>6116</v>
      </c>
      <c r="B6103">
        <v>1010</v>
      </c>
      <c r="C6103" s="1" t="str">
        <f>HYPERLINK("http://www.rosaceae.org/gb/gbrowse/malus_x_domestica/?name=MDP0000788862","MDP0000788862")</f>
        <v>MDP0000788862</v>
      </c>
      <c r="D6103">
        <v>69.790000000000006</v>
      </c>
      <c r="E6103">
        <v>1013</v>
      </c>
      <c r="F6103">
        <v>306</v>
      </c>
      <c r="G6103">
        <v>15</v>
      </c>
      <c r="H6103">
        <v>1</v>
      </c>
      <c r="I6103">
        <v>1010</v>
      </c>
      <c r="J6103">
        <v>1</v>
      </c>
      <c r="K6103">
        <v>1</v>
      </c>
      <c r="L6103">
        <v>1001</v>
      </c>
      <c r="M6103">
        <v>1</v>
      </c>
      <c r="N6103">
        <v>0</v>
      </c>
      <c r="O6103">
        <v>3459</v>
      </c>
    </row>
    <row r="6104" spans="1:15" x14ac:dyDescent="0.25">
      <c r="A6104" t="s">
        <v>6117</v>
      </c>
      <c r="B6104">
        <v>520</v>
      </c>
      <c r="C6104" s="1" t="str">
        <f>HYPERLINK("http://www.rosaceae.org/gb/gbrowse/malus_x_domestica/?name=MDP0000831937","MDP0000831937")</f>
        <v>MDP0000831937</v>
      </c>
      <c r="D6104">
        <v>80.650000000000006</v>
      </c>
      <c r="E6104">
        <v>522</v>
      </c>
      <c r="F6104">
        <v>101</v>
      </c>
      <c r="G6104">
        <v>5</v>
      </c>
      <c r="H6104">
        <v>1</v>
      </c>
      <c r="I6104">
        <v>520</v>
      </c>
      <c r="J6104">
        <v>1</v>
      </c>
      <c r="K6104">
        <v>1</v>
      </c>
      <c r="L6104">
        <v>519</v>
      </c>
      <c r="M6104">
        <v>1</v>
      </c>
      <c r="N6104">
        <v>0</v>
      </c>
      <c r="O6104">
        <v>2165</v>
      </c>
    </row>
    <row r="6105" spans="1:15" x14ac:dyDescent="0.25">
      <c r="A6105" t="s">
        <v>6118</v>
      </c>
      <c r="B6105">
        <v>308</v>
      </c>
      <c r="C6105" s="1" t="str">
        <f>HYPERLINK("http://www.rosaceae.org/gb/gbrowse/malus_x_domestica/?name=MDP0000895618","MDP0000895618")</f>
        <v>MDP0000895618</v>
      </c>
      <c r="D6105">
        <v>58.73</v>
      </c>
      <c r="E6105">
        <v>315</v>
      </c>
      <c r="F6105">
        <v>130</v>
      </c>
      <c r="G6105">
        <v>21</v>
      </c>
      <c r="H6105">
        <v>1</v>
      </c>
      <c r="I6105">
        <v>303</v>
      </c>
      <c r="J6105">
        <v>1</v>
      </c>
      <c r="K6105">
        <v>1</v>
      </c>
      <c r="L6105">
        <v>306</v>
      </c>
      <c r="M6105">
        <v>1</v>
      </c>
      <c r="N6105">
        <v>6.4427300000000002E-88</v>
      </c>
      <c r="O6105">
        <v>822</v>
      </c>
    </row>
    <row r="6106" spans="1:15" x14ac:dyDescent="0.25">
      <c r="A6106" t="s">
        <v>6119</v>
      </c>
      <c r="B6106">
        <v>179</v>
      </c>
      <c r="C6106" s="1" t="str">
        <f>HYPERLINK("http://www.rosaceae.org/gb/gbrowse/malus_x_domestica/?name=MDP0000249447","MDP0000249447")</f>
        <v>MDP0000249447</v>
      </c>
      <c r="D6106">
        <v>86.44</v>
      </c>
      <c r="E6106">
        <v>177</v>
      </c>
      <c r="F6106">
        <v>24</v>
      </c>
      <c r="G6106">
        <v>1</v>
      </c>
      <c r="H6106">
        <v>1</v>
      </c>
      <c r="I6106">
        <v>176</v>
      </c>
      <c r="J6106">
        <v>1</v>
      </c>
      <c r="K6106">
        <v>91</v>
      </c>
      <c r="L6106">
        <v>267</v>
      </c>
      <c r="M6106">
        <v>1</v>
      </c>
      <c r="N6106">
        <v>3.3828200000000003E-89</v>
      </c>
      <c r="O6106">
        <v>830</v>
      </c>
    </row>
    <row r="6107" spans="1:15" x14ac:dyDescent="0.25">
      <c r="A6107" t="s">
        <v>6120</v>
      </c>
      <c r="B6107">
        <v>344</v>
      </c>
      <c r="C6107" s="1" t="str">
        <f>HYPERLINK("http://www.rosaceae.org/gb/gbrowse/malus_x_domestica/?name=MDP0000770037","MDP0000770037")</f>
        <v>MDP0000770037</v>
      </c>
      <c r="D6107">
        <v>55.86</v>
      </c>
      <c r="E6107">
        <v>401</v>
      </c>
      <c r="F6107">
        <v>177</v>
      </c>
      <c r="G6107">
        <v>61</v>
      </c>
      <c r="H6107">
        <v>1</v>
      </c>
      <c r="I6107">
        <v>343</v>
      </c>
      <c r="J6107">
        <v>1</v>
      </c>
      <c r="K6107">
        <v>697</v>
      </c>
      <c r="L6107">
        <v>1094</v>
      </c>
      <c r="M6107">
        <v>1</v>
      </c>
      <c r="N6107">
        <v>1.9268699999999999E-120</v>
      </c>
      <c r="O6107">
        <v>1103</v>
      </c>
    </row>
    <row r="6108" spans="1:15" x14ac:dyDescent="0.25">
      <c r="A6108" t="s">
        <v>6121</v>
      </c>
      <c r="B6108">
        <v>671</v>
      </c>
      <c r="C6108" s="1" t="str">
        <f>HYPERLINK("http://www.rosaceae.org/gb/gbrowse/malus_x_domestica/?name=MDP0000198658","MDP0000198658")</f>
        <v>MDP0000198658</v>
      </c>
      <c r="D6108">
        <v>57.14</v>
      </c>
      <c r="E6108">
        <v>665</v>
      </c>
      <c r="F6108">
        <v>285</v>
      </c>
      <c r="G6108">
        <v>80</v>
      </c>
      <c r="H6108">
        <v>6</v>
      </c>
      <c r="I6108">
        <v>669</v>
      </c>
      <c r="J6108">
        <v>1</v>
      </c>
      <c r="K6108">
        <v>793</v>
      </c>
      <c r="L6108">
        <v>1378</v>
      </c>
      <c r="M6108">
        <v>1</v>
      </c>
      <c r="N6108">
        <v>0</v>
      </c>
      <c r="O6108">
        <v>1826</v>
      </c>
    </row>
    <row r="6109" spans="1:15" x14ac:dyDescent="0.25">
      <c r="A6109" t="s">
        <v>6122</v>
      </c>
      <c r="B6109">
        <v>364</v>
      </c>
      <c r="C6109" s="1" t="str">
        <f>HYPERLINK("http://www.rosaceae.org/gb/gbrowse/malus_x_domestica/?name=MDP0000416305","MDP0000416305")</f>
        <v>MDP0000416305</v>
      </c>
      <c r="D6109">
        <v>37.46</v>
      </c>
      <c r="E6109">
        <v>323</v>
      </c>
      <c r="F6109">
        <v>202</v>
      </c>
      <c r="G6109">
        <v>13</v>
      </c>
      <c r="H6109">
        <v>16</v>
      </c>
      <c r="I6109">
        <v>334</v>
      </c>
      <c r="J6109">
        <v>1</v>
      </c>
      <c r="K6109">
        <v>14</v>
      </c>
      <c r="L6109">
        <v>327</v>
      </c>
      <c r="M6109">
        <v>1</v>
      </c>
      <c r="N6109">
        <v>1.21609E-58</v>
      </c>
      <c r="O6109">
        <v>571</v>
      </c>
    </row>
    <row r="6110" spans="1:15" x14ac:dyDescent="0.25">
      <c r="A6110" t="s">
        <v>6123</v>
      </c>
      <c r="B6110">
        <v>1365</v>
      </c>
      <c r="C6110" s="1" t="str">
        <f>HYPERLINK("http://www.rosaceae.org/gb/gbrowse/malus_x_domestica/?name=MDP0000227396","MDP0000227396")</f>
        <v>MDP0000227396</v>
      </c>
      <c r="D6110">
        <v>80.27</v>
      </c>
      <c r="E6110">
        <v>715</v>
      </c>
      <c r="F6110">
        <v>141</v>
      </c>
      <c r="G6110">
        <v>39</v>
      </c>
      <c r="H6110">
        <v>688</v>
      </c>
      <c r="I6110">
        <v>1363</v>
      </c>
      <c r="J6110">
        <v>1</v>
      </c>
      <c r="K6110">
        <v>70</v>
      </c>
      <c r="L6110">
        <v>784</v>
      </c>
      <c r="M6110">
        <v>1</v>
      </c>
      <c r="N6110">
        <v>0</v>
      </c>
      <c r="O6110">
        <v>3075</v>
      </c>
    </row>
    <row r="6111" spans="1:15" x14ac:dyDescent="0.25">
      <c r="A6111" t="s">
        <v>6124</v>
      </c>
      <c r="B6111">
        <v>285</v>
      </c>
      <c r="C6111" s="1" t="str">
        <f>HYPERLINK("http://www.rosaceae.org/gb/gbrowse/malus_x_domestica/?name=MDP0000255331","MDP0000255331")</f>
        <v>MDP0000255331</v>
      </c>
      <c r="D6111">
        <v>69.23</v>
      </c>
      <c r="E6111">
        <v>91</v>
      </c>
      <c r="F6111">
        <v>28</v>
      </c>
      <c r="G6111">
        <v>0</v>
      </c>
      <c r="H6111">
        <v>103</v>
      </c>
      <c r="I6111">
        <v>193</v>
      </c>
      <c r="J6111">
        <v>1</v>
      </c>
      <c r="K6111">
        <v>122</v>
      </c>
      <c r="L6111">
        <v>212</v>
      </c>
      <c r="M6111">
        <v>1</v>
      </c>
      <c r="N6111">
        <v>2.1544599999999998E-34</v>
      </c>
      <c r="O6111">
        <v>360</v>
      </c>
    </row>
    <row r="6112" spans="1:15" x14ac:dyDescent="0.25">
      <c r="A6112" t="s">
        <v>6125</v>
      </c>
      <c r="B6112">
        <v>471</v>
      </c>
      <c r="C6112" s="1" t="str">
        <f>HYPERLINK("http://www.rosaceae.org/gb/gbrowse/malus_x_domestica/?name=MDP0000131461","MDP0000131461")</f>
        <v>MDP0000131461</v>
      </c>
      <c r="D6112">
        <v>68.78</v>
      </c>
      <c r="E6112">
        <v>471</v>
      </c>
      <c r="F6112">
        <v>147</v>
      </c>
      <c r="G6112">
        <v>7</v>
      </c>
      <c r="H6112">
        <v>4</v>
      </c>
      <c r="I6112">
        <v>469</v>
      </c>
      <c r="J6112">
        <v>1</v>
      </c>
      <c r="K6112">
        <v>7</v>
      </c>
      <c r="L6112">
        <v>475</v>
      </c>
      <c r="M6112">
        <v>1</v>
      </c>
      <c r="N6112">
        <v>0</v>
      </c>
      <c r="O6112">
        <v>1646</v>
      </c>
    </row>
    <row r="6113" spans="1:15" x14ac:dyDescent="0.25">
      <c r="A6113" t="s">
        <v>6126</v>
      </c>
      <c r="B6113">
        <v>233</v>
      </c>
      <c r="C6113" s="1" t="str">
        <f>HYPERLINK("http://www.rosaceae.org/gb/gbrowse/malus_x_domestica/?name=MDP0000244990","MDP0000244990")</f>
        <v>MDP0000244990</v>
      </c>
      <c r="D6113">
        <v>70</v>
      </c>
      <c r="E6113">
        <v>160</v>
      </c>
      <c r="F6113">
        <v>48</v>
      </c>
      <c r="G6113">
        <v>1</v>
      </c>
      <c r="H6113">
        <v>43</v>
      </c>
      <c r="I6113">
        <v>201</v>
      </c>
      <c r="J6113">
        <v>1</v>
      </c>
      <c r="K6113">
        <v>18</v>
      </c>
      <c r="L6113">
        <v>177</v>
      </c>
      <c r="M6113">
        <v>1</v>
      </c>
      <c r="N6113">
        <v>2.3239899999999998E-50</v>
      </c>
      <c r="O6113">
        <v>497</v>
      </c>
    </row>
    <row r="6114" spans="1:15" x14ac:dyDescent="0.25">
      <c r="A6114" t="s">
        <v>6127</v>
      </c>
      <c r="B6114">
        <v>421</v>
      </c>
      <c r="C6114" s="1" t="str">
        <f>HYPERLINK("http://www.rosaceae.org/gb/gbrowse/malus_x_domestica/?name=MDP0000309706","MDP0000309706")</f>
        <v>MDP0000309706</v>
      </c>
      <c r="D6114">
        <v>45.72</v>
      </c>
      <c r="E6114">
        <v>199</v>
      </c>
      <c r="F6114">
        <v>108</v>
      </c>
      <c r="G6114">
        <v>10</v>
      </c>
      <c r="H6114">
        <v>84</v>
      </c>
      <c r="I6114">
        <v>279</v>
      </c>
      <c r="J6114">
        <v>1</v>
      </c>
      <c r="K6114">
        <v>1343</v>
      </c>
      <c r="L6114">
        <v>1534</v>
      </c>
      <c r="M6114">
        <v>1</v>
      </c>
      <c r="N6114">
        <v>2.23257E-35</v>
      </c>
      <c r="O6114">
        <v>371</v>
      </c>
    </row>
    <row r="6115" spans="1:15" x14ac:dyDescent="0.25">
      <c r="A6115" t="s">
        <v>6128</v>
      </c>
      <c r="B6115">
        <v>267</v>
      </c>
      <c r="C6115" s="1" t="str">
        <f>HYPERLINK("http://www.rosaceae.org/gb/gbrowse/malus_x_domestica/?name=MDP0000150438","MDP0000150438")</f>
        <v>MDP0000150438</v>
      </c>
      <c r="D6115">
        <v>34.35</v>
      </c>
      <c r="E6115">
        <v>195</v>
      </c>
      <c r="F6115">
        <v>128</v>
      </c>
      <c r="G6115">
        <v>20</v>
      </c>
      <c r="H6115">
        <v>31</v>
      </c>
      <c r="I6115">
        <v>216</v>
      </c>
      <c r="J6115">
        <v>1</v>
      </c>
      <c r="K6115">
        <v>199</v>
      </c>
      <c r="L6115">
        <v>382</v>
      </c>
      <c r="M6115">
        <v>1</v>
      </c>
      <c r="N6115">
        <v>3.3839200000000002E-19</v>
      </c>
      <c r="O6115">
        <v>229</v>
      </c>
    </row>
    <row r="6116" spans="1:15" x14ac:dyDescent="0.25">
      <c r="A6116" t="s">
        <v>6129</v>
      </c>
      <c r="B6116">
        <v>422</v>
      </c>
      <c r="C6116" s="1" t="str">
        <f>HYPERLINK("http://www.rosaceae.org/gb/gbrowse/malus_x_domestica/?name=MDP0000254017","MDP0000254017")</f>
        <v>MDP0000254017</v>
      </c>
      <c r="D6116">
        <v>75.819999999999993</v>
      </c>
      <c r="E6116">
        <v>422</v>
      </c>
      <c r="F6116">
        <v>102</v>
      </c>
      <c r="G6116">
        <v>6</v>
      </c>
      <c r="H6116">
        <v>1</v>
      </c>
      <c r="I6116">
        <v>422</v>
      </c>
      <c r="J6116">
        <v>1</v>
      </c>
      <c r="K6116">
        <v>1</v>
      </c>
      <c r="L6116">
        <v>416</v>
      </c>
      <c r="M6116">
        <v>1</v>
      </c>
      <c r="N6116">
        <v>0</v>
      </c>
      <c r="O6116">
        <v>1669</v>
      </c>
    </row>
    <row r="6117" spans="1:15" x14ac:dyDescent="0.25">
      <c r="A6117" t="s">
        <v>6130</v>
      </c>
      <c r="B6117">
        <v>335</v>
      </c>
      <c r="C6117" s="1" t="str">
        <f>HYPERLINK("http://www.rosaceae.org/gb/gbrowse/malus_x_domestica/?name=MDP0000319453","MDP0000319453")</f>
        <v>MDP0000319453</v>
      </c>
      <c r="D6117">
        <v>81.34</v>
      </c>
      <c r="E6117">
        <v>193</v>
      </c>
      <c r="F6117">
        <v>36</v>
      </c>
      <c r="G6117">
        <v>10</v>
      </c>
      <c r="H6117">
        <v>1</v>
      </c>
      <c r="I6117">
        <v>184</v>
      </c>
      <c r="J6117">
        <v>1</v>
      </c>
      <c r="K6117">
        <v>1</v>
      </c>
      <c r="L6117">
        <v>192</v>
      </c>
      <c r="M6117">
        <v>1</v>
      </c>
      <c r="N6117">
        <v>9.6082199999999991E-87</v>
      </c>
      <c r="O6117">
        <v>813</v>
      </c>
    </row>
    <row r="6118" spans="1:15" x14ac:dyDescent="0.25">
      <c r="A6118" t="s">
        <v>6131</v>
      </c>
      <c r="B6118">
        <v>616</v>
      </c>
      <c r="C6118" s="1" t="str">
        <f>HYPERLINK("http://www.rosaceae.org/gb/gbrowse/malus_x_domestica/?name=MDP0000873379","MDP0000873379")</f>
        <v>MDP0000873379</v>
      </c>
      <c r="D6118">
        <v>74.42</v>
      </c>
      <c r="E6118">
        <v>481</v>
      </c>
      <c r="F6118">
        <v>123</v>
      </c>
      <c r="G6118">
        <v>24</v>
      </c>
      <c r="H6118">
        <v>159</v>
      </c>
      <c r="I6118">
        <v>616</v>
      </c>
      <c r="J6118">
        <v>1</v>
      </c>
      <c r="K6118">
        <v>1</v>
      </c>
      <c r="L6118">
        <v>480</v>
      </c>
      <c r="M6118">
        <v>1</v>
      </c>
      <c r="N6118">
        <v>0</v>
      </c>
      <c r="O6118">
        <v>1804</v>
      </c>
    </row>
    <row r="6119" spans="1:15" x14ac:dyDescent="0.25">
      <c r="A6119" t="s">
        <v>6132</v>
      </c>
      <c r="B6119">
        <v>245</v>
      </c>
      <c r="C6119" s="1" t="str">
        <f>HYPERLINK("http://www.rosaceae.org/gb/gbrowse/malus_x_domestica/?name=MDP0000510373","MDP0000510373")</f>
        <v>MDP0000510373</v>
      </c>
      <c r="D6119">
        <v>67.8</v>
      </c>
      <c r="E6119">
        <v>205</v>
      </c>
      <c r="F6119">
        <v>66</v>
      </c>
      <c r="G6119">
        <v>1</v>
      </c>
      <c r="H6119">
        <v>22</v>
      </c>
      <c r="I6119">
        <v>226</v>
      </c>
      <c r="J6119">
        <v>1</v>
      </c>
      <c r="K6119">
        <v>3</v>
      </c>
      <c r="L6119">
        <v>206</v>
      </c>
      <c r="M6119">
        <v>1</v>
      </c>
      <c r="N6119">
        <v>6.1744900000000002E-78</v>
      </c>
      <c r="O6119">
        <v>735</v>
      </c>
    </row>
    <row r="6120" spans="1:15" x14ac:dyDescent="0.25">
      <c r="A6120" t="s">
        <v>6133</v>
      </c>
      <c r="B6120">
        <v>133</v>
      </c>
      <c r="C6120" s="1" t="str">
        <f>HYPERLINK("http://www.rosaceae.org/gb/gbrowse/malus_x_domestica/?name=MDP0000125650","MDP0000125650")</f>
        <v>MDP0000125650</v>
      </c>
      <c r="D6120">
        <v>45.52</v>
      </c>
      <c r="E6120">
        <v>134</v>
      </c>
      <c r="F6120">
        <v>73</v>
      </c>
      <c r="G6120">
        <v>11</v>
      </c>
      <c r="H6120">
        <v>1</v>
      </c>
      <c r="I6120">
        <v>128</v>
      </c>
      <c r="J6120">
        <v>1</v>
      </c>
      <c r="K6120">
        <v>1</v>
      </c>
      <c r="L6120">
        <v>129</v>
      </c>
      <c r="M6120">
        <v>1</v>
      </c>
      <c r="N6120">
        <v>9.7913499999999999E-23</v>
      </c>
      <c r="O6120">
        <v>254</v>
      </c>
    </row>
    <row r="6121" spans="1:15" x14ac:dyDescent="0.25">
      <c r="A6121" t="s">
        <v>6134</v>
      </c>
      <c r="B6121">
        <v>241</v>
      </c>
      <c r="C6121" s="1" t="str">
        <f>HYPERLINK("http://www.rosaceae.org/gb/gbrowse/malus_x_domestica/?name=MDP0000303417","MDP0000303417")</f>
        <v>MDP0000303417</v>
      </c>
      <c r="D6121">
        <v>36.299999999999997</v>
      </c>
      <c r="E6121">
        <v>168</v>
      </c>
      <c r="F6121">
        <v>107</v>
      </c>
      <c r="G6121">
        <v>20</v>
      </c>
      <c r="H6121">
        <v>12</v>
      </c>
      <c r="I6121">
        <v>162</v>
      </c>
      <c r="J6121">
        <v>1</v>
      </c>
      <c r="K6121">
        <v>22</v>
      </c>
      <c r="L6121">
        <v>186</v>
      </c>
      <c r="M6121">
        <v>1</v>
      </c>
      <c r="N6121">
        <v>6.1083000000000001E-18</v>
      </c>
      <c r="O6121">
        <v>217</v>
      </c>
    </row>
    <row r="6122" spans="1:15" x14ac:dyDescent="0.25">
      <c r="A6122" t="s">
        <v>6135</v>
      </c>
      <c r="B6122">
        <v>216</v>
      </c>
      <c r="C6122" s="1" t="str">
        <f>HYPERLINK("http://www.rosaceae.org/gb/gbrowse/malus_x_domestica/?name=MDP0000790125","MDP0000790125")</f>
        <v>MDP0000790125</v>
      </c>
      <c r="D6122">
        <v>77.150000000000006</v>
      </c>
      <c r="E6122">
        <v>197</v>
      </c>
      <c r="F6122">
        <v>45</v>
      </c>
      <c r="G6122">
        <v>1</v>
      </c>
      <c r="H6122">
        <v>21</v>
      </c>
      <c r="I6122">
        <v>216</v>
      </c>
      <c r="J6122">
        <v>1</v>
      </c>
      <c r="K6122">
        <v>2</v>
      </c>
      <c r="L6122">
        <v>198</v>
      </c>
      <c r="M6122">
        <v>1</v>
      </c>
      <c r="N6122">
        <v>3.9277899999999998E-84</v>
      </c>
      <c r="O6122">
        <v>788</v>
      </c>
    </row>
    <row r="6123" spans="1:15" x14ac:dyDescent="0.25">
      <c r="A6123" t="s">
        <v>6136</v>
      </c>
      <c r="B6123">
        <v>194</v>
      </c>
      <c r="C6123" s="1" t="str">
        <f>HYPERLINK("http://www.rosaceae.org/gb/gbrowse/malus_x_domestica/?name=MDP0000223943","MDP0000223943")</f>
        <v>MDP0000223943</v>
      </c>
      <c r="D6123">
        <v>61.9</v>
      </c>
      <c r="E6123">
        <v>189</v>
      </c>
      <c r="F6123">
        <v>72</v>
      </c>
      <c r="G6123">
        <v>12</v>
      </c>
      <c r="H6123">
        <v>2</v>
      </c>
      <c r="I6123">
        <v>178</v>
      </c>
      <c r="J6123">
        <v>1</v>
      </c>
      <c r="K6123">
        <v>4</v>
      </c>
      <c r="L6123">
        <v>192</v>
      </c>
      <c r="M6123">
        <v>1</v>
      </c>
      <c r="N6123">
        <v>1.2186499999999999E-55</v>
      </c>
      <c r="O6123">
        <v>541</v>
      </c>
    </row>
    <row r="6124" spans="1:15" x14ac:dyDescent="0.25">
      <c r="A6124" t="s">
        <v>6137</v>
      </c>
      <c r="B6124">
        <v>195</v>
      </c>
      <c r="C6124" s="1" t="str">
        <f>HYPERLINK("http://www.rosaceae.org/gb/gbrowse/malus_x_domestica/?name=MDP0000304462","MDP0000304462")</f>
        <v>MDP0000304462</v>
      </c>
      <c r="D6124">
        <v>62.26</v>
      </c>
      <c r="E6124">
        <v>106</v>
      </c>
      <c r="F6124">
        <v>40</v>
      </c>
      <c r="G6124">
        <v>1</v>
      </c>
      <c r="H6124">
        <v>1</v>
      </c>
      <c r="I6124">
        <v>106</v>
      </c>
      <c r="J6124">
        <v>1</v>
      </c>
      <c r="K6124">
        <v>1</v>
      </c>
      <c r="L6124">
        <v>105</v>
      </c>
      <c r="M6124">
        <v>1</v>
      </c>
      <c r="N6124">
        <v>4.7158800000000002E-28</v>
      </c>
      <c r="O6124">
        <v>303</v>
      </c>
    </row>
    <row r="6125" spans="1:15" x14ac:dyDescent="0.25">
      <c r="A6125" t="s">
        <v>6138</v>
      </c>
      <c r="B6125">
        <v>895</v>
      </c>
      <c r="C6125" s="1" t="str">
        <f>HYPERLINK("http://www.rosaceae.org/gb/gbrowse/malus_x_domestica/?name=MDP0000208326","MDP0000208326")</f>
        <v>MDP0000208326</v>
      </c>
      <c r="D6125">
        <v>67.17</v>
      </c>
      <c r="E6125">
        <v>923</v>
      </c>
      <c r="F6125">
        <v>303</v>
      </c>
      <c r="G6125">
        <v>60</v>
      </c>
      <c r="H6125">
        <v>1</v>
      </c>
      <c r="I6125">
        <v>894</v>
      </c>
      <c r="J6125">
        <v>1</v>
      </c>
      <c r="K6125">
        <v>1</v>
      </c>
      <c r="L6125">
        <v>892</v>
      </c>
      <c r="M6125">
        <v>1</v>
      </c>
      <c r="N6125">
        <v>0</v>
      </c>
      <c r="O6125">
        <v>3251</v>
      </c>
    </row>
    <row r="6126" spans="1:15" x14ac:dyDescent="0.25">
      <c r="A6126" t="s">
        <v>6139</v>
      </c>
      <c r="B6126">
        <v>224</v>
      </c>
      <c r="C6126" s="1" t="str">
        <f>HYPERLINK("http://www.rosaceae.org/gb/gbrowse/malus_x_domestica/?name=MDP0000170553","MDP0000170553")</f>
        <v>MDP0000170553</v>
      </c>
      <c r="D6126">
        <v>38.840000000000003</v>
      </c>
      <c r="E6126">
        <v>139</v>
      </c>
      <c r="F6126">
        <v>85</v>
      </c>
      <c r="G6126">
        <v>11</v>
      </c>
      <c r="H6126">
        <v>78</v>
      </c>
      <c r="I6126">
        <v>216</v>
      </c>
      <c r="J6126">
        <v>1</v>
      </c>
      <c r="K6126">
        <v>40</v>
      </c>
      <c r="L6126">
        <v>167</v>
      </c>
      <c r="M6126">
        <v>1</v>
      </c>
      <c r="N6126">
        <v>9.9161600000000008E-13</v>
      </c>
      <c r="O6126">
        <v>172</v>
      </c>
    </row>
    <row r="6127" spans="1:15" x14ac:dyDescent="0.25">
      <c r="A6127" t="s">
        <v>6140</v>
      </c>
      <c r="B6127">
        <v>558</v>
      </c>
      <c r="C6127" s="1" t="str">
        <f>HYPERLINK("http://www.rosaceae.org/gb/gbrowse/malus_x_domestica/?name=MDP0000652676","MDP0000652676")</f>
        <v>MDP0000652676</v>
      </c>
      <c r="D6127">
        <v>75.8</v>
      </c>
      <c r="E6127">
        <v>525</v>
      </c>
      <c r="F6127">
        <v>127</v>
      </c>
      <c r="G6127">
        <v>11</v>
      </c>
      <c r="H6127">
        <v>43</v>
      </c>
      <c r="I6127">
        <v>558</v>
      </c>
      <c r="J6127">
        <v>1</v>
      </c>
      <c r="K6127">
        <v>28</v>
      </c>
      <c r="L6127">
        <v>550</v>
      </c>
      <c r="M6127">
        <v>1</v>
      </c>
      <c r="N6127">
        <v>0</v>
      </c>
      <c r="O6127">
        <v>2038</v>
      </c>
    </row>
    <row r="6128" spans="1:15" x14ac:dyDescent="0.25">
      <c r="A6128" t="s">
        <v>6141</v>
      </c>
      <c r="B6128">
        <v>196</v>
      </c>
      <c r="C6128" s="1" t="str">
        <f>HYPERLINK("http://www.rosaceae.org/gb/gbrowse/malus_x_domestica/?name=MDP0000292177","MDP0000292177")</f>
        <v>MDP0000292177</v>
      </c>
      <c r="D6128">
        <v>75.75</v>
      </c>
      <c r="E6128">
        <v>132</v>
      </c>
      <c r="F6128">
        <v>32</v>
      </c>
      <c r="G6128">
        <v>5</v>
      </c>
      <c r="H6128">
        <v>69</v>
      </c>
      <c r="I6128">
        <v>196</v>
      </c>
      <c r="J6128">
        <v>1</v>
      </c>
      <c r="K6128">
        <v>3</v>
      </c>
      <c r="L6128">
        <v>133</v>
      </c>
      <c r="M6128">
        <v>1</v>
      </c>
      <c r="N6128">
        <v>6.6633200000000003E-51</v>
      </c>
      <c r="O6128">
        <v>500</v>
      </c>
    </row>
    <row r="6129" spans="1:15" x14ac:dyDescent="0.25">
      <c r="A6129" t="s">
        <v>6142</v>
      </c>
      <c r="B6129">
        <v>195</v>
      </c>
      <c r="C6129" s="1" t="str">
        <f>HYPERLINK("http://www.rosaceae.org/gb/gbrowse/malus_x_domestica/?name=MDP0000278004","MDP0000278004")</f>
        <v>MDP0000278004</v>
      </c>
      <c r="D6129">
        <v>40.21</v>
      </c>
      <c r="E6129">
        <v>92</v>
      </c>
      <c r="F6129">
        <v>55</v>
      </c>
      <c r="G6129">
        <v>1</v>
      </c>
      <c r="H6129">
        <v>1</v>
      </c>
      <c r="I6129">
        <v>91</v>
      </c>
      <c r="J6129">
        <v>1</v>
      </c>
      <c r="K6129">
        <v>182</v>
      </c>
      <c r="L6129">
        <v>273</v>
      </c>
      <c r="M6129">
        <v>1</v>
      </c>
      <c r="N6129">
        <v>2.99417E-12</v>
      </c>
      <c r="O6129">
        <v>167</v>
      </c>
    </row>
    <row r="6130" spans="1:15" x14ac:dyDescent="0.25">
      <c r="A6130" t="s">
        <v>6143</v>
      </c>
      <c r="B6130">
        <v>110</v>
      </c>
      <c r="C6130" s="1" t="str">
        <f>HYPERLINK("http://www.rosaceae.org/gb/gbrowse/malus_x_domestica/?name=MDP0000154119","MDP0000154119")</f>
        <v>MDP0000154119</v>
      </c>
      <c r="D6130">
        <v>37.42</v>
      </c>
      <c r="E6130">
        <v>163</v>
      </c>
      <c r="F6130">
        <v>102</v>
      </c>
      <c r="G6130">
        <v>54</v>
      </c>
      <c r="H6130">
        <v>1</v>
      </c>
      <c r="I6130">
        <v>109</v>
      </c>
      <c r="J6130">
        <v>1</v>
      </c>
      <c r="K6130">
        <v>42</v>
      </c>
      <c r="L6130">
        <v>204</v>
      </c>
      <c r="M6130">
        <v>1</v>
      </c>
      <c r="N6130">
        <v>3.2846999999999999E-18</v>
      </c>
      <c r="O6130">
        <v>214</v>
      </c>
    </row>
    <row r="6131" spans="1:15" x14ac:dyDescent="0.25">
      <c r="A6131" t="s">
        <v>6144</v>
      </c>
      <c r="B6131">
        <v>451</v>
      </c>
      <c r="C6131" s="1" t="str">
        <f>HYPERLINK("http://www.rosaceae.org/gb/gbrowse/malus_x_domestica/?name=MDP0000846004","MDP0000846004")</f>
        <v>MDP0000846004</v>
      </c>
      <c r="D6131">
        <v>77.84</v>
      </c>
      <c r="E6131">
        <v>167</v>
      </c>
      <c r="F6131">
        <v>37</v>
      </c>
      <c r="G6131">
        <v>2</v>
      </c>
      <c r="H6131">
        <v>161</v>
      </c>
      <c r="I6131">
        <v>327</v>
      </c>
      <c r="J6131">
        <v>1</v>
      </c>
      <c r="K6131">
        <v>1</v>
      </c>
      <c r="L6131">
        <v>165</v>
      </c>
      <c r="M6131">
        <v>1</v>
      </c>
      <c r="N6131">
        <v>1.2459500000000001E-64</v>
      </c>
      <c r="O6131">
        <v>623</v>
      </c>
    </row>
    <row r="6132" spans="1:15" x14ac:dyDescent="0.25">
      <c r="A6132" t="s">
        <v>6145</v>
      </c>
      <c r="B6132">
        <v>475</v>
      </c>
      <c r="C6132" s="1" t="str">
        <f>HYPERLINK("http://www.rosaceae.org/gb/gbrowse/malus_x_domestica/?name=MDP0000873295","MDP0000873295")</f>
        <v>MDP0000873295</v>
      </c>
      <c r="D6132">
        <v>60.86</v>
      </c>
      <c r="E6132">
        <v>483</v>
      </c>
      <c r="F6132">
        <v>189</v>
      </c>
      <c r="G6132">
        <v>17</v>
      </c>
      <c r="H6132">
        <v>1</v>
      </c>
      <c r="I6132">
        <v>475</v>
      </c>
      <c r="J6132">
        <v>1</v>
      </c>
      <c r="K6132">
        <v>1</v>
      </c>
      <c r="L6132">
        <v>474</v>
      </c>
      <c r="M6132">
        <v>1</v>
      </c>
      <c r="N6132">
        <v>3.9549199999999998E-169</v>
      </c>
      <c r="O6132">
        <v>1525</v>
      </c>
    </row>
    <row r="6133" spans="1:15" x14ac:dyDescent="0.25">
      <c r="A6133" t="s">
        <v>6146</v>
      </c>
      <c r="B6133">
        <v>272</v>
      </c>
      <c r="C6133" s="1" t="str">
        <f>HYPERLINK("http://www.rosaceae.org/gb/gbrowse/malus_x_domestica/?name=MDP0000306870","MDP0000306870")</f>
        <v>MDP0000306870</v>
      </c>
      <c r="D6133">
        <v>31.61</v>
      </c>
      <c r="E6133">
        <v>272</v>
      </c>
      <c r="F6133">
        <v>186</v>
      </c>
      <c r="G6133">
        <v>23</v>
      </c>
      <c r="H6133">
        <v>13</v>
      </c>
      <c r="I6133">
        <v>263</v>
      </c>
      <c r="J6133">
        <v>1</v>
      </c>
      <c r="K6133">
        <v>286</v>
      </c>
      <c r="L6133">
        <v>555</v>
      </c>
      <c r="M6133">
        <v>1</v>
      </c>
      <c r="N6133">
        <v>1.0042300000000001E-24</v>
      </c>
      <c r="O6133">
        <v>277</v>
      </c>
    </row>
    <row r="6134" spans="1:15" x14ac:dyDescent="0.25">
      <c r="A6134" t="s">
        <v>6147</v>
      </c>
      <c r="B6134">
        <v>479</v>
      </c>
      <c r="C6134" s="1" t="str">
        <f>HYPERLINK("http://www.rosaceae.org/gb/gbrowse/malus_x_domestica/?name=MDP0000267309","MDP0000267309")</f>
        <v>MDP0000267309</v>
      </c>
      <c r="D6134">
        <v>34.270000000000003</v>
      </c>
      <c r="E6134">
        <v>353</v>
      </c>
      <c r="F6134">
        <v>232</v>
      </c>
      <c r="G6134">
        <v>62</v>
      </c>
      <c r="H6134">
        <v>46</v>
      </c>
      <c r="I6134">
        <v>384</v>
      </c>
      <c r="J6134">
        <v>1</v>
      </c>
      <c r="K6134">
        <v>161</v>
      </c>
      <c r="L6134">
        <v>465</v>
      </c>
      <c r="M6134">
        <v>1</v>
      </c>
      <c r="N6134">
        <v>4.9407500000000003E-43</v>
      </c>
      <c r="O6134">
        <v>437</v>
      </c>
    </row>
    <row r="6135" spans="1:15" x14ac:dyDescent="0.25">
      <c r="A6135" t="s">
        <v>6148</v>
      </c>
      <c r="B6135">
        <v>424</v>
      </c>
      <c r="C6135" s="1" t="str">
        <f>HYPERLINK("http://www.rosaceae.org/gb/gbrowse/malus_x_domestica/?name=MDP0000203790","MDP0000203790")</f>
        <v>MDP0000203790</v>
      </c>
      <c r="D6135">
        <v>33.869999999999997</v>
      </c>
      <c r="E6135">
        <v>431</v>
      </c>
      <c r="F6135">
        <v>285</v>
      </c>
      <c r="G6135">
        <v>79</v>
      </c>
      <c r="H6135">
        <v>29</v>
      </c>
      <c r="I6135">
        <v>424</v>
      </c>
      <c r="J6135">
        <v>1</v>
      </c>
      <c r="K6135">
        <v>23</v>
      </c>
      <c r="L6135">
        <v>409</v>
      </c>
      <c r="M6135">
        <v>1</v>
      </c>
      <c r="N6135">
        <v>1.6132300000000001E-66</v>
      </c>
      <c r="O6135">
        <v>639</v>
      </c>
    </row>
    <row r="6136" spans="1:15" x14ac:dyDescent="0.25">
      <c r="A6136" t="s">
        <v>6149</v>
      </c>
      <c r="B6136">
        <v>653</v>
      </c>
      <c r="C6136" s="1" t="str">
        <f>HYPERLINK("http://www.rosaceae.org/gb/gbrowse/malus_x_domestica/?name=MDP0000154356","MDP0000154356")</f>
        <v>MDP0000154356</v>
      </c>
      <c r="D6136">
        <v>51.22</v>
      </c>
      <c r="E6136">
        <v>695</v>
      </c>
      <c r="F6136">
        <v>339</v>
      </c>
      <c r="G6136">
        <v>122</v>
      </c>
      <c r="H6136">
        <v>28</v>
      </c>
      <c r="I6136">
        <v>653</v>
      </c>
      <c r="J6136">
        <v>1</v>
      </c>
      <c r="K6136">
        <v>32</v>
      </c>
      <c r="L6136">
        <v>673</v>
      </c>
      <c r="M6136">
        <v>1</v>
      </c>
      <c r="N6136">
        <v>2.9066000000000001E-174</v>
      </c>
      <c r="O6136">
        <v>1570</v>
      </c>
    </row>
    <row r="6137" spans="1:15" x14ac:dyDescent="0.25">
      <c r="A6137" t="s">
        <v>6150</v>
      </c>
      <c r="B6137">
        <v>251</v>
      </c>
      <c r="C6137" s="1" t="str">
        <f>HYPERLINK("http://www.rosaceae.org/gb/gbrowse/malus_x_domestica/?name=MDP0000193128","MDP0000193128")</f>
        <v>MDP0000193128</v>
      </c>
      <c r="D6137">
        <v>90.07</v>
      </c>
      <c r="E6137">
        <v>252</v>
      </c>
      <c r="F6137">
        <v>25</v>
      </c>
      <c r="G6137">
        <v>1</v>
      </c>
      <c r="H6137">
        <v>1</v>
      </c>
      <c r="I6137">
        <v>251</v>
      </c>
      <c r="J6137">
        <v>1</v>
      </c>
      <c r="K6137">
        <v>1</v>
      </c>
      <c r="L6137">
        <v>252</v>
      </c>
      <c r="M6137">
        <v>1</v>
      </c>
      <c r="N6137">
        <v>5.44727E-133</v>
      </c>
      <c r="O6137">
        <v>1210</v>
      </c>
    </row>
    <row r="6138" spans="1:15" x14ac:dyDescent="0.25">
      <c r="A6138" t="s">
        <v>6151</v>
      </c>
      <c r="B6138">
        <v>673</v>
      </c>
      <c r="C6138" s="1" t="str">
        <f>HYPERLINK("http://www.rosaceae.org/gb/gbrowse/malus_x_domestica/?name=MDP0000322220","MDP0000322220")</f>
        <v>MDP0000322220</v>
      </c>
      <c r="D6138">
        <v>82.63</v>
      </c>
      <c r="E6138">
        <v>668</v>
      </c>
      <c r="F6138">
        <v>116</v>
      </c>
      <c r="G6138">
        <v>26</v>
      </c>
      <c r="H6138">
        <v>6</v>
      </c>
      <c r="I6138">
        <v>673</v>
      </c>
      <c r="J6138">
        <v>1</v>
      </c>
      <c r="K6138">
        <v>440</v>
      </c>
      <c r="L6138">
        <v>1081</v>
      </c>
      <c r="M6138">
        <v>1</v>
      </c>
      <c r="N6138">
        <v>0</v>
      </c>
      <c r="O6138">
        <v>2856</v>
      </c>
    </row>
    <row r="6139" spans="1:15" x14ac:dyDescent="0.25">
      <c r="A6139" t="s">
        <v>6152</v>
      </c>
      <c r="B6139">
        <v>271</v>
      </c>
      <c r="C6139" s="1" t="str">
        <f>HYPERLINK("http://www.rosaceae.org/gb/gbrowse/malus_x_domestica/?name=MDP0000163774","MDP0000163774")</f>
        <v>MDP0000163774</v>
      </c>
      <c r="D6139">
        <v>30.96</v>
      </c>
      <c r="E6139">
        <v>155</v>
      </c>
      <c r="F6139">
        <v>107</v>
      </c>
      <c r="G6139">
        <v>7</v>
      </c>
      <c r="H6139">
        <v>17</v>
      </c>
      <c r="I6139">
        <v>165</v>
      </c>
      <c r="J6139">
        <v>1</v>
      </c>
      <c r="K6139">
        <v>467</v>
      </c>
      <c r="L6139">
        <v>620</v>
      </c>
      <c r="M6139">
        <v>1</v>
      </c>
      <c r="N6139">
        <v>2.9655600000000003E-10</v>
      </c>
      <c r="O6139">
        <v>152</v>
      </c>
    </row>
    <row r="6140" spans="1:15" x14ac:dyDescent="0.25">
      <c r="A6140" t="s">
        <v>6153</v>
      </c>
      <c r="B6140">
        <v>136</v>
      </c>
      <c r="C6140" s="1" t="str">
        <f>HYPERLINK("http://www.rosaceae.org/gb/gbrowse/malus_x_domestica/?name=MDP0000167408","MDP0000167408")</f>
        <v>MDP0000167408</v>
      </c>
      <c r="D6140">
        <v>42.3</v>
      </c>
      <c r="E6140">
        <v>52</v>
      </c>
      <c r="F6140">
        <v>30</v>
      </c>
      <c r="G6140">
        <v>0</v>
      </c>
      <c r="H6140">
        <v>83</v>
      </c>
      <c r="I6140">
        <v>134</v>
      </c>
      <c r="J6140">
        <v>1</v>
      </c>
      <c r="K6140">
        <v>189</v>
      </c>
      <c r="L6140">
        <v>240</v>
      </c>
      <c r="M6140">
        <v>1</v>
      </c>
      <c r="N6140">
        <v>4.0080299999999999E-9</v>
      </c>
      <c r="O6140">
        <v>137</v>
      </c>
    </row>
    <row r="6141" spans="1:15" x14ac:dyDescent="0.25">
      <c r="A6141" t="s">
        <v>6154</v>
      </c>
      <c r="B6141">
        <v>176</v>
      </c>
      <c r="C6141" s="1" t="str">
        <f>HYPERLINK("http://www.rosaceae.org/gb/gbrowse/malus_x_domestica/?name=MDP0000235605","MDP0000235605")</f>
        <v>MDP0000235605</v>
      </c>
      <c r="D6141">
        <v>90.64</v>
      </c>
      <c r="E6141">
        <v>171</v>
      </c>
      <c r="F6141">
        <v>16</v>
      </c>
      <c r="G6141">
        <v>0</v>
      </c>
      <c r="H6141">
        <v>6</v>
      </c>
      <c r="I6141">
        <v>176</v>
      </c>
      <c r="J6141">
        <v>1</v>
      </c>
      <c r="K6141">
        <v>5</v>
      </c>
      <c r="L6141">
        <v>175</v>
      </c>
      <c r="M6141">
        <v>1</v>
      </c>
      <c r="N6141">
        <v>2.73445E-90</v>
      </c>
      <c r="O6141">
        <v>839</v>
      </c>
    </row>
    <row r="6142" spans="1:15" x14ac:dyDescent="0.25">
      <c r="A6142" t="s">
        <v>6155</v>
      </c>
      <c r="B6142">
        <v>258</v>
      </c>
      <c r="C6142" s="1" t="str">
        <f>HYPERLINK("http://www.rosaceae.org/gb/gbrowse/malus_x_domestica/?name=MDP0000351918","MDP0000351918")</f>
        <v>MDP0000351918</v>
      </c>
      <c r="D6142">
        <v>47.94</v>
      </c>
      <c r="E6142">
        <v>146</v>
      </c>
      <c r="F6142">
        <v>76</v>
      </c>
      <c r="G6142">
        <v>1</v>
      </c>
      <c r="H6142">
        <v>3</v>
      </c>
      <c r="I6142">
        <v>147</v>
      </c>
      <c r="J6142">
        <v>1</v>
      </c>
      <c r="K6142">
        <v>41</v>
      </c>
      <c r="L6142">
        <v>186</v>
      </c>
      <c r="M6142">
        <v>1</v>
      </c>
      <c r="N6142">
        <v>6.9411100000000006E-30</v>
      </c>
      <c r="O6142">
        <v>321</v>
      </c>
    </row>
    <row r="6143" spans="1:15" x14ac:dyDescent="0.25">
      <c r="A6143" t="s">
        <v>6156</v>
      </c>
      <c r="B6143">
        <v>963</v>
      </c>
      <c r="C6143" s="1" t="str">
        <f>HYPERLINK("http://www.rosaceae.org/gb/gbrowse/malus_x_domestica/?name=MDP0000905145","MDP0000905145")</f>
        <v>MDP0000905145</v>
      </c>
      <c r="D6143">
        <v>76.91</v>
      </c>
      <c r="E6143">
        <v>953</v>
      </c>
      <c r="F6143">
        <v>220</v>
      </c>
      <c r="G6143">
        <v>5</v>
      </c>
      <c r="H6143">
        <v>10</v>
      </c>
      <c r="I6143">
        <v>961</v>
      </c>
      <c r="J6143">
        <v>1</v>
      </c>
      <c r="K6143">
        <v>1</v>
      </c>
      <c r="L6143">
        <v>949</v>
      </c>
      <c r="M6143">
        <v>1</v>
      </c>
      <c r="N6143">
        <v>0</v>
      </c>
      <c r="O6143">
        <v>3838</v>
      </c>
    </row>
    <row r="6144" spans="1:15" x14ac:dyDescent="0.25">
      <c r="A6144" t="s">
        <v>6157</v>
      </c>
      <c r="B6144">
        <v>277</v>
      </c>
      <c r="C6144" s="1" t="str">
        <f>HYPERLINK("http://www.rosaceae.org/gb/gbrowse/malus_x_domestica/?name=MDP0000279955","MDP0000279955")</f>
        <v>MDP0000279955</v>
      </c>
      <c r="D6144">
        <v>25.53</v>
      </c>
      <c r="E6144">
        <v>188</v>
      </c>
      <c r="F6144">
        <v>140</v>
      </c>
      <c r="G6144">
        <v>15</v>
      </c>
      <c r="H6144">
        <v>11</v>
      </c>
      <c r="I6144">
        <v>186</v>
      </c>
      <c r="J6144">
        <v>1</v>
      </c>
      <c r="K6144">
        <v>1</v>
      </c>
      <c r="L6144">
        <v>185</v>
      </c>
      <c r="M6144">
        <v>1</v>
      </c>
      <c r="N6144">
        <v>6.4548800000000004E-9</v>
      </c>
      <c r="O6144">
        <v>140</v>
      </c>
    </row>
    <row r="6145" spans="1:15" x14ac:dyDescent="0.25">
      <c r="A6145" t="s">
        <v>6158</v>
      </c>
      <c r="B6145">
        <v>1211</v>
      </c>
      <c r="C6145" s="1" t="str">
        <f>HYPERLINK("http://www.rosaceae.org/gb/gbrowse/malus_x_domestica/?name=MDP0000141874","MDP0000141874")</f>
        <v>MDP0000141874</v>
      </c>
      <c r="D6145">
        <v>75.599999999999994</v>
      </c>
      <c r="E6145">
        <v>1066</v>
      </c>
      <c r="F6145">
        <v>260</v>
      </c>
      <c r="G6145">
        <v>69</v>
      </c>
      <c r="H6145">
        <v>210</v>
      </c>
      <c r="I6145">
        <v>1210</v>
      </c>
      <c r="J6145">
        <v>1</v>
      </c>
      <c r="K6145">
        <v>1</v>
      </c>
      <c r="L6145">
        <v>1062</v>
      </c>
      <c r="M6145">
        <v>1</v>
      </c>
      <c r="N6145">
        <v>0</v>
      </c>
      <c r="O6145">
        <v>4009</v>
      </c>
    </row>
    <row r="6146" spans="1:15" x14ac:dyDescent="0.25">
      <c r="A6146" t="s">
        <v>6159</v>
      </c>
      <c r="B6146">
        <v>367</v>
      </c>
      <c r="C6146" s="1" t="str">
        <f>HYPERLINK("http://www.rosaceae.org/gb/gbrowse/malus_x_domestica/?name=MDP0000808163","MDP0000808163")</f>
        <v>MDP0000808163</v>
      </c>
      <c r="D6146">
        <v>54.65</v>
      </c>
      <c r="E6146">
        <v>408</v>
      </c>
      <c r="F6146">
        <v>185</v>
      </c>
      <c r="G6146">
        <v>55</v>
      </c>
      <c r="H6146">
        <v>1</v>
      </c>
      <c r="I6146">
        <v>367</v>
      </c>
      <c r="J6146">
        <v>1</v>
      </c>
      <c r="K6146">
        <v>1</v>
      </c>
      <c r="L6146">
        <v>394</v>
      </c>
      <c r="M6146">
        <v>1</v>
      </c>
      <c r="N6146">
        <v>1.6802400000000001E-105</v>
      </c>
      <c r="O6146">
        <v>975</v>
      </c>
    </row>
    <row r="6147" spans="1:15" x14ac:dyDescent="0.25">
      <c r="A6147" t="s">
        <v>6160</v>
      </c>
      <c r="B6147">
        <v>585</v>
      </c>
      <c r="C6147" s="1" t="str">
        <f>HYPERLINK("http://www.rosaceae.org/gb/gbrowse/malus_x_domestica/?name=MDP0000321593","MDP0000321593")</f>
        <v>MDP0000321593</v>
      </c>
      <c r="D6147">
        <v>38.86</v>
      </c>
      <c r="E6147">
        <v>440</v>
      </c>
      <c r="F6147">
        <v>269</v>
      </c>
      <c r="G6147">
        <v>96</v>
      </c>
      <c r="H6147">
        <v>1</v>
      </c>
      <c r="I6147">
        <v>385</v>
      </c>
      <c r="J6147">
        <v>1</v>
      </c>
      <c r="K6147">
        <v>1</v>
      </c>
      <c r="L6147">
        <v>399</v>
      </c>
      <c r="M6147">
        <v>1</v>
      </c>
      <c r="N6147">
        <v>1.49125E-49</v>
      </c>
      <c r="O6147">
        <v>495</v>
      </c>
    </row>
    <row r="6148" spans="1:15" x14ac:dyDescent="0.25">
      <c r="A6148" t="s">
        <v>6161</v>
      </c>
      <c r="B6148">
        <v>995</v>
      </c>
      <c r="C6148" s="1" t="str">
        <f>HYPERLINK("http://www.rosaceae.org/gb/gbrowse/malus_x_domestica/?name=MDP0000257361","MDP0000257361")</f>
        <v>MDP0000257361</v>
      </c>
      <c r="D6148">
        <v>48.36</v>
      </c>
      <c r="E6148">
        <v>122</v>
      </c>
      <c r="F6148">
        <v>63</v>
      </c>
      <c r="G6148">
        <v>4</v>
      </c>
      <c r="H6148">
        <v>180</v>
      </c>
      <c r="I6148">
        <v>300</v>
      </c>
      <c r="J6148">
        <v>1</v>
      </c>
      <c r="K6148">
        <v>347</v>
      </c>
      <c r="L6148">
        <v>465</v>
      </c>
      <c r="M6148">
        <v>1</v>
      </c>
      <c r="N6148">
        <v>7.1021099999999993E-21</v>
      </c>
      <c r="O6148">
        <v>249</v>
      </c>
    </row>
    <row r="6149" spans="1:15" x14ac:dyDescent="0.25">
      <c r="A6149" t="s">
        <v>6162</v>
      </c>
      <c r="B6149">
        <v>165</v>
      </c>
      <c r="C6149" s="1" t="str">
        <f>HYPERLINK("http://www.rosaceae.org/gb/gbrowse/malus_x_domestica/?name=MDP0000710422","MDP0000710422")</f>
        <v>MDP0000710422</v>
      </c>
      <c r="D6149">
        <v>67.849999999999994</v>
      </c>
      <c r="E6149">
        <v>168</v>
      </c>
      <c r="F6149">
        <v>54</v>
      </c>
      <c r="G6149">
        <v>8</v>
      </c>
      <c r="H6149">
        <v>2</v>
      </c>
      <c r="I6149">
        <v>165</v>
      </c>
      <c r="J6149">
        <v>1</v>
      </c>
      <c r="K6149">
        <v>5</v>
      </c>
      <c r="L6149">
        <v>168</v>
      </c>
      <c r="M6149">
        <v>1</v>
      </c>
      <c r="N6149">
        <v>3.0551399999999998E-59</v>
      </c>
      <c r="O6149">
        <v>571</v>
      </c>
    </row>
    <row r="6150" spans="1:15" x14ac:dyDescent="0.25">
      <c r="A6150" t="s">
        <v>6163</v>
      </c>
      <c r="B6150">
        <v>217</v>
      </c>
      <c r="C6150" s="1" t="str">
        <f>HYPERLINK("http://www.rosaceae.org/gb/gbrowse/malus_x_domestica/?name=MDP0000679369","MDP0000679369")</f>
        <v>MDP0000679369</v>
      </c>
      <c r="D6150">
        <v>32.729999999999997</v>
      </c>
      <c r="E6150">
        <v>168</v>
      </c>
      <c r="F6150">
        <v>113</v>
      </c>
      <c r="G6150">
        <v>19</v>
      </c>
      <c r="H6150">
        <v>39</v>
      </c>
      <c r="I6150">
        <v>191</v>
      </c>
      <c r="J6150">
        <v>1</v>
      </c>
      <c r="K6150">
        <v>8</v>
      </c>
      <c r="L6150">
        <v>171</v>
      </c>
      <c r="M6150">
        <v>1</v>
      </c>
      <c r="N6150">
        <v>1.1271700000000001E-16</v>
      </c>
      <c r="O6150">
        <v>206</v>
      </c>
    </row>
    <row r="6151" spans="1:15" x14ac:dyDescent="0.25">
      <c r="A6151" t="s">
        <v>6164</v>
      </c>
      <c r="B6151">
        <v>362</v>
      </c>
      <c r="C6151" s="1" t="str">
        <f>HYPERLINK("http://www.rosaceae.org/gb/gbrowse/malus_x_domestica/?name=MDP0000455174","MDP0000455174")</f>
        <v>MDP0000455174</v>
      </c>
      <c r="D6151">
        <v>83.51</v>
      </c>
      <c r="E6151">
        <v>364</v>
      </c>
      <c r="F6151">
        <v>60</v>
      </c>
      <c r="G6151">
        <v>6</v>
      </c>
      <c r="H6151">
        <v>1</v>
      </c>
      <c r="I6151">
        <v>362</v>
      </c>
      <c r="J6151">
        <v>1</v>
      </c>
      <c r="K6151">
        <v>1</v>
      </c>
      <c r="L6151">
        <v>360</v>
      </c>
      <c r="M6151">
        <v>1</v>
      </c>
      <c r="N6151">
        <v>1.3231300000000001E-172</v>
      </c>
      <c r="O6151">
        <v>1553</v>
      </c>
    </row>
    <row r="6152" spans="1:15" x14ac:dyDescent="0.25">
      <c r="A6152" t="s">
        <v>6165</v>
      </c>
      <c r="B6152">
        <v>540</v>
      </c>
      <c r="C6152" s="1" t="str">
        <f>HYPERLINK("http://www.rosaceae.org/gb/gbrowse/malus_x_domestica/?name=MDP0000134667","MDP0000134667")</f>
        <v>MDP0000134667</v>
      </c>
      <c r="D6152">
        <v>35.200000000000003</v>
      </c>
      <c r="E6152">
        <v>571</v>
      </c>
      <c r="F6152">
        <v>370</v>
      </c>
      <c r="G6152">
        <v>86</v>
      </c>
      <c r="H6152">
        <v>6</v>
      </c>
      <c r="I6152">
        <v>504</v>
      </c>
      <c r="J6152">
        <v>1</v>
      </c>
      <c r="K6152">
        <v>553</v>
      </c>
      <c r="L6152">
        <v>1109</v>
      </c>
      <c r="M6152">
        <v>1</v>
      </c>
      <c r="N6152">
        <v>6.4238900000000004E-72</v>
      </c>
      <c r="O6152">
        <v>687</v>
      </c>
    </row>
    <row r="6153" spans="1:15" x14ac:dyDescent="0.25">
      <c r="A6153" t="s">
        <v>6166</v>
      </c>
      <c r="B6153">
        <v>412</v>
      </c>
      <c r="C6153" s="1" t="str">
        <f>HYPERLINK("http://www.rosaceae.org/gb/gbrowse/malus_x_domestica/?name=MDP0000186703","MDP0000186703")</f>
        <v>MDP0000186703</v>
      </c>
      <c r="D6153">
        <v>74.34</v>
      </c>
      <c r="E6153">
        <v>191</v>
      </c>
      <c r="F6153">
        <v>49</v>
      </c>
      <c r="G6153">
        <v>16</v>
      </c>
      <c r="H6153">
        <v>235</v>
      </c>
      <c r="I6153">
        <v>412</v>
      </c>
      <c r="J6153">
        <v>1</v>
      </c>
      <c r="K6153">
        <v>236</v>
      </c>
      <c r="L6153">
        <v>423</v>
      </c>
      <c r="M6153">
        <v>1</v>
      </c>
      <c r="N6153">
        <v>2.5294299999999998E-80</v>
      </c>
      <c r="O6153">
        <v>758</v>
      </c>
    </row>
    <row r="6154" spans="1:15" x14ac:dyDescent="0.25">
      <c r="A6154" t="s">
        <v>6167</v>
      </c>
      <c r="B6154">
        <v>410</v>
      </c>
      <c r="C6154" s="1" t="str">
        <f>HYPERLINK("http://www.rosaceae.org/gb/gbrowse/malus_x_domestica/?name=MDP0000185481","MDP0000185481")</f>
        <v>MDP0000185481</v>
      </c>
      <c r="D6154">
        <v>61.82</v>
      </c>
      <c r="E6154">
        <v>351</v>
      </c>
      <c r="F6154">
        <v>134</v>
      </c>
      <c r="G6154">
        <v>1</v>
      </c>
      <c r="H6154">
        <v>60</v>
      </c>
      <c r="I6154">
        <v>410</v>
      </c>
      <c r="J6154">
        <v>1</v>
      </c>
      <c r="K6154">
        <v>315</v>
      </c>
      <c r="L6154">
        <v>664</v>
      </c>
      <c r="M6154">
        <v>1</v>
      </c>
      <c r="N6154">
        <v>3.8243799999999998E-128</v>
      </c>
      <c r="O6154">
        <v>1171</v>
      </c>
    </row>
    <row r="6155" spans="1:15" x14ac:dyDescent="0.25">
      <c r="A6155" t="s">
        <v>6168</v>
      </c>
      <c r="B6155">
        <v>102</v>
      </c>
      <c r="C6155" s="1" t="str">
        <f>HYPERLINK("http://www.rosaceae.org/gb/gbrowse/malus_x_domestica/?name=MDP0000286762","MDP0000286762")</f>
        <v>MDP0000286762</v>
      </c>
      <c r="D6155">
        <v>47.51</v>
      </c>
      <c r="E6155">
        <v>141</v>
      </c>
      <c r="F6155">
        <v>74</v>
      </c>
      <c r="G6155">
        <v>40</v>
      </c>
      <c r="H6155">
        <v>1</v>
      </c>
      <c r="I6155">
        <v>101</v>
      </c>
      <c r="J6155">
        <v>1</v>
      </c>
      <c r="K6155">
        <v>1</v>
      </c>
      <c r="L6155">
        <v>141</v>
      </c>
      <c r="M6155">
        <v>1</v>
      </c>
      <c r="N6155">
        <v>2.92294E-24</v>
      </c>
      <c r="O6155">
        <v>267</v>
      </c>
    </row>
    <row r="6156" spans="1:15" x14ac:dyDescent="0.25">
      <c r="A6156" t="s">
        <v>6169</v>
      </c>
      <c r="B6156">
        <v>144</v>
      </c>
      <c r="C6156" s="1" t="str">
        <f>HYPERLINK("http://www.rosaceae.org/gb/gbrowse/malus_x_domestica/?name=MDP0000329640","MDP0000329640")</f>
        <v>MDP0000329640</v>
      </c>
      <c r="D6156">
        <v>91.3</v>
      </c>
      <c r="E6156">
        <v>115</v>
      </c>
      <c r="F6156">
        <v>10</v>
      </c>
      <c r="G6156">
        <v>0</v>
      </c>
      <c r="H6156">
        <v>30</v>
      </c>
      <c r="I6156">
        <v>144</v>
      </c>
      <c r="J6156">
        <v>1</v>
      </c>
      <c r="K6156">
        <v>8</v>
      </c>
      <c r="L6156">
        <v>122</v>
      </c>
      <c r="M6156">
        <v>1</v>
      </c>
      <c r="N6156">
        <v>2.54565E-57</v>
      </c>
      <c r="O6156">
        <v>553</v>
      </c>
    </row>
    <row r="6157" spans="1:15" x14ac:dyDescent="0.25">
      <c r="A6157" t="s">
        <v>6170</v>
      </c>
      <c r="B6157">
        <v>149</v>
      </c>
      <c r="C6157" s="1" t="str">
        <f>HYPERLINK("http://www.rosaceae.org/gb/gbrowse/malus_x_domestica/?name=MDP0000212174","MDP0000212174")</f>
        <v>MDP0000212174</v>
      </c>
      <c r="D6157">
        <v>35.479999999999997</v>
      </c>
      <c r="E6157">
        <v>155</v>
      </c>
      <c r="F6157">
        <v>100</v>
      </c>
      <c r="G6157">
        <v>21</v>
      </c>
      <c r="H6157">
        <v>2</v>
      </c>
      <c r="I6157">
        <v>148</v>
      </c>
      <c r="J6157">
        <v>1</v>
      </c>
      <c r="K6157">
        <v>6</v>
      </c>
      <c r="L6157">
        <v>147</v>
      </c>
      <c r="M6157">
        <v>1</v>
      </c>
      <c r="N6157">
        <v>8.3275599999999998E-16</v>
      </c>
      <c r="O6157">
        <v>196</v>
      </c>
    </row>
    <row r="6158" spans="1:15" x14ac:dyDescent="0.25">
      <c r="A6158" t="s">
        <v>6171</v>
      </c>
      <c r="B6158">
        <v>362</v>
      </c>
      <c r="C6158" s="1" t="str">
        <f>HYPERLINK("http://www.rosaceae.org/gb/gbrowse/malus_x_domestica/?name=MDP0000291518","MDP0000291518")</f>
        <v>MDP0000291518</v>
      </c>
      <c r="D6158">
        <v>52.23</v>
      </c>
      <c r="E6158">
        <v>381</v>
      </c>
      <c r="F6158">
        <v>182</v>
      </c>
      <c r="G6158">
        <v>44</v>
      </c>
      <c r="H6158">
        <v>1</v>
      </c>
      <c r="I6158">
        <v>362</v>
      </c>
      <c r="J6158">
        <v>1</v>
      </c>
      <c r="K6158">
        <v>1</v>
      </c>
      <c r="L6158">
        <v>356</v>
      </c>
      <c r="M6158">
        <v>1</v>
      </c>
      <c r="N6158">
        <v>3.78562E-86</v>
      </c>
      <c r="O6158">
        <v>808</v>
      </c>
    </row>
    <row r="6159" spans="1:15" x14ac:dyDescent="0.25">
      <c r="A6159" t="s">
        <v>6172</v>
      </c>
      <c r="B6159">
        <v>452</v>
      </c>
      <c r="C6159" s="1" t="str">
        <f>HYPERLINK("http://www.rosaceae.org/gb/gbrowse/malus_x_domestica/?name=MDP0000879781","MDP0000879781")</f>
        <v>MDP0000879781</v>
      </c>
      <c r="D6159">
        <v>63.77</v>
      </c>
      <c r="E6159">
        <v>461</v>
      </c>
      <c r="F6159">
        <v>167</v>
      </c>
      <c r="G6159">
        <v>43</v>
      </c>
      <c r="H6159">
        <v>1</v>
      </c>
      <c r="I6159">
        <v>426</v>
      </c>
      <c r="J6159">
        <v>1</v>
      </c>
      <c r="K6159">
        <v>1</v>
      </c>
      <c r="L6159">
        <v>453</v>
      </c>
      <c r="M6159">
        <v>1</v>
      </c>
      <c r="N6159">
        <v>4.2876699999999998E-157</v>
      </c>
      <c r="O6159">
        <v>1421</v>
      </c>
    </row>
    <row r="6160" spans="1:15" x14ac:dyDescent="0.25">
      <c r="A6160" t="s">
        <v>6173</v>
      </c>
      <c r="B6160">
        <v>821</v>
      </c>
      <c r="C6160" s="1" t="str">
        <f>HYPERLINK("http://www.rosaceae.org/gb/gbrowse/malus_x_domestica/?name=MDP0000148778","MDP0000148778")</f>
        <v>MDP0000148778</v>
      </c>
      <c r="D6160">
        <v>89.02</v>
      </c>
      <c r="E6160">
        <v>720</v>
      </c>
      <c r="F6160">
        <v>79</v>
      </c>
      <c r="G6160">
        <v>1</v>
      </c>
      <c r="H6160">
        <v>89</v>
      </c>
      <c r="I6160">
        <v>807</v>
      </c>
      <c r="J6160">
        <v>1</v>
      </c>
      <c r="K6160">
        <v>95</v>
      </c>
      <c r="L6160">
        <v>814</v>
      </c>
      <c r="M6160">
        <v>1</v>
      </c>
      <c r="N6160">
        <v>0</v>
      </c>
      <c r="O6160">
        <v>3442</v>
      </c>
    </row>
    <row r="6161" spans="1:15" x14ac:dyDescent="0.25">
      <c r="A6161" t="s">
        <v>6174</v>
      </c>
      <c r="B6161">
        <v>1123</v>
      </c>
      <c r="C6161" s="1" t="str">
        <f>HYPERLINK("http://www.rosaceae.org/gb/gbrowse/malus_x_domestica/?name=MDP0000252237","MDP0000252237")</f>
        <v>MDP0000252237</v>
      </c>
      <c r="D6161">
        <v>75.11</v>
      </c>
      <c r="E6161">
        <v>1097</v>
      </c>
      <c r="F6161">
        <v>273</v>
      </c>
      <c r="G6161">
        <v>53</v>
      </c>
      <c r="H6161">
        <v>41</v>
      </c>
      <c r="I6161">
        <v>1116</v>
      </c>
      <c r="J6161">
        <v>1</v>
      </c>
      <c r="K6161">
        <v>70</v>
      </c>
      <c r="L6161">
        <v>1134</v>
      </c>
      <c r="M6161">
        <v>1</v>
      </c>
      <c r="N6161">
        <v>0</v>
      </c>
      <c r="O6161">
        <v>4164</v>
      </c>
    </row>
    <row r="6162" spans="1:15" x14ac:dyDescent="0.25">
      <c r="A6162" t="s">
        <v>6175</v>
      </c>
      <c r="B6162">
        <v>329</v>
      </c>
      <c r="C6162" s="1" t="str">
        <f>HYPERLINK("http://www.rosaceae.org/gb/gbrowse/malus_x_domestica/?name=MDP0000286526","MDP0000286526")</f>
        <v>MDP0000286526</v>
      </c>
      <c r="D6162">
        <v>55.3</v>
      </c>
      <c r="E6162">
        <v>358</v>
      </c>
      <c r="F6162">
        <v>160</v>
      </c>
      <c r="G6162">
        <v>34</v>
      </c>
      <c r="H6162">
        <v>1</v>
      </c>
      <c r="I6162">
        <v>329</v>
      </c>
      <c r="J6162">
        <v>1</v>
      </c>
      <c r="K6162">
        <v>1</v>
      </c>
      <c r="L6162">
        <v>353</v>
      </c>
      <c r="M6162">
        <v>1</v>
      </c>
      <c r="N6162">
        <v>9.8985500000000005E-95</v>
      </c>
      <c r="O6162">
        <v>881</v>
      </c>
    </row>
    <row r="6163" spans="1:15" x14ac:dyDescent="0.25">
      <c r="A6163" t="s">
        <v>6176</v>
      </c>
      <c r="B6163">
        <v>517</v>
      </c>
      <c r="C6163" s="1" t="str">
        <f>HYPERLINK("http://www.rosaceae.org/gb/gbrowse/malus_x_domestica/?name=MDP0000130030","MDP0000130030")</f>
        <v>MDP0000130030</v>
      </c>
      <c r="D6163">
        <v>52.9</v>
      </c>
      <c r="E6163">
        <v>465</v>
      </c>
      <c r="F6163">
        <v>219</v>
      </c>
      <c r="G6163">
        <v>15</v>
      </c>
      <c r="H6163">
        <v>47</v>
      </c>
      <c r="I6163">
        <v>506</v>
      </c>
      <c r="J6163">
        <v>1</v>
      </c>
      <c r="K6163">
        <v>47</v>
      </c>
      <c r="L6163">
        <v>501</v>
      </c>
      <c r="M6163">
        <v>1</v>
      </c>
      <c r="N6163">
        <v>6.4170200000000004E-146</v>
      </c>
      <c r="O6163">
        <v>1325</v>
      </c>
    </row>
    <row r="6164" spans="1:15" x14ac:dyDescent="0.25">
      <c r="A6164" t="s">
        <v>6177</v>
      </c>
      <c r="B6164">
        <v>391</v>
      </c>
      <c r="C6164" s="1" t="str">
        <f>HYPERLINK("http://www.rosaceae.org/gb/gbrowse/malus_x_domestica/?name=MDP0000139910","MDP0000139910")</f>
        <v>MDP0000139910</v>
      </c>
      <c r="D6164">
        <v>79.34</v>
      </c>
      <c r="E6164">
        <v>397</v>
      </c>
      <c r="F6164">
        <v>82</v>
      </c>
      <c r="G6164">
        <v>7</v>
      </c>
      <c r="H6164">
        <v>1</v>
      </c>
      <c r="I6164">
        <v>390</v>
      </c>
      <c r="J6164">
        <v>1</v>
      </c>
      <c r="K6164">
        <v>1</v>
      </c>
      <c r="L6164">
        <v>397</v>
      </c>
      <c r="M6164">
        <v>1</v>
      </c>
      <c r="N6164">
        <v>8.05843E-180</v>
      </c>
      <c r="O6164">
        <v>1616</v>
      </c>
    </row>
    <row r="6165" spans="1:15" x14ac:dyDescent="0.25">
      <c r="A6165" t="s">
        <v>6178</v>
      </c>
      <c r="B6165">
        <v>363</v>
      </c>
      <c r="C6165" s="1" t="str">
        <f>HYPERLINK("http://www.rosaceae.org/gb/gbrowse/malus_x_domestica/?name=MDP0000283994","MDP0000283994")</f>
        <v>MDP0000283994</v>
      </c>
      <c r="D6165">
        <v>67.3</v>
      </c>
      <c r="E6165">
        <v>364</v>
      </c>
      <c r="F6165">
        <v>119</v>
      </c>
      <c r="G6165">
        <v>20</v>
      </c>
      <c r="H6165">
        <v>20</v>
      </c>
      <c r="I6165">
        <v>363</v>
      </c>
      <c r="J6165">
        <v>1</v>
      </c>
      <c r="K6165">
        <v>356</v>
      </c>
      <c r="L6165">
        <v>719</v>
      </c>
      <c r="M6165">
        <v>1</v>
      </c>
      <c r="N6165">
        <v>7.1641600000000005E-144</v>
      </c>
      <c r="O6165">
        <v>1306</v>
      </c>
    </row>
    <row r="6166" spans="1:15" x14ac:dyDescent="0.25">
      <c r="A6166" t="s">
        <v>6179</v>
      </c>
      <c r="B6166">
        <v>173</v>
      </c>
      <c r="C6166" s="1" t="str">
        <f>HYPERLINK("http://www.rosaceae.org/gb/gbrowse/malus_x_domestica/?name=MDP0000270723","MDP0000270723")</f>
        <v>MDP0000270723</v>
      </c>
      <c r="D6166">
        <v>68.02</v>
      </c>
      <c r="E6166">
        <v>147</v>
      </c>
      <c r="F6166">
        <v>47</v>
      </c>
      <c r="G6166">
        <v>0</v>
      </c>
      <c r="H6166">
        <v>20</v>
      </c>
      <c r="I6166">
        <v>166</v>
      </c>
      <c r="J6166">
        <v>1</v>
      </c>
      <c r="K6166">
        <v>19</v>
      </c>
      <c r="L6166">
        <v>165</v>
      </c>
      <c r="M6166">
        <v>1</v>
      </c>
      <c r="N6166">
        <v>5.3039500000000005E-60</v>
      </c>
      <c r="O6166">
        <v>578</v>
      </c>
    </row>
    <row r="6167" spans="1:15" x14ac:dyDescent="0.25">
      <c r="A6167" t="s">
        <v>6180</v>
      </c>
      <c r="B6167">
        <v>220</v>
      </c>
      <c r="C6167" s="1" t="str">
        <f>HYPERLINK("http://www.rosaceae.org/gb/gbrowse/malus_x_domestica/?name=MDP0000568623","MDP0000568623")</f>
        <v>MDP0000568623</v>
      </c>
      <c r="D6167">
        <v>78.63</v>
      </c>
      <c r="E6167">
        <v>220</v>
      </c>
      <c r="F6167">
        <v>47</v>
      </c>
      <c r="G6167">
        <v>0</v>
      </c>
      <c r="H6167">
        <v>1</v>
      </c>
      <c r="I6167">
        <v>220</v>
      </c>
      <c r="J6167">
        <v>1</v>
      </c>
      <c r="K6167">
        <v>1</v>
      </c>
      <c r="L6167">
        <v>220</v>
      </c>
      <c r="M6167">
        <v>1</v>
      </c>
      <c r="N6167">
        <v>3.81499E-99</v>
      </c>
      <c r="O6167">
        <v>917</v>
      </c>
    </row>
    <row r="6168" spans="1:15" x14ac:dyDescent="0.25">
      <c r="A6168" t="s">
        <v>6181</v>
      </c>
      <c r="B6168">
        <v>884</v>
      </c>
      <c r="C6168" s="1" t="str">
        <f>HYPERLINK("http://www.rosaceae.org/gb/gbrowse/malus_x_domestica/?name=MDP0000291759","MDP0000291759")</f>
        <v>MDP0000291759</v>
      </c>
      <c r="D6168">
        <v>69.87</v>
      </c>
      <c r="E6168">
        <v>800</v>
      </c>
      <c r="F6168">
        <v>241</v>
      </c>
      <c r="G6168">
        <v>19</v>
      </c>
      <c r="H6168">
        <v>1</v>
      </c>
      <c r="I6168">
        <v>791</v>
      </c>
      <c r="J6168">
        <v>1</v>
      </c>
      <c r="K6168">
        <v>1</v>
      </c>
      <c r="L6168">
        <v>790</v>
      </c>
      <c r="M6168">
        <v>1</v>
      </c>
      <c r="N6168">
        <v>0</v>
      </c>
      <c r="O6168">
        <v>2908</v>
      </c>
    </row>
    <row r="6169" spans="1:15" x14ac:dyDescent="0.25">
      <c r="A6169" t="s">
        <v>6182</v>
      </c>
      <c r="B6169">
        <v>263</v>
      </c>
      <c r="C6169" s="1" t="str">
        <f>HYPERLINK("http://www.rosaceae.org/gb/gbrowse/malus_x_domestica/?name=MDP0000144809","MDP0000144809")</f>
        <v>MDP0000144809</v>
      </c>
      <c r="D6169">
        <v>38.880000000000003</v>
      </c>
      <c r="E6169">
        <v>180</v>
      </c>
      <c r="F6169">
        <v>110</v>
      </c>
      <c r="G6169">
        <v>22</v>
      </c>
      <c r="H6169">
        <v>49</v>
      </c>
      <c r="I6169">
        <v>228</v>
      </c>
      <c r="J6169">
        <v>1</v>
      </c>
      <c r="K6169">
        <v>73</v>
      </c>
      <c r="L6169">
        <v>230</v>
      </c>
      <c r="M6169">
        <v>1</v>
      </c>
      <c r="N6169">
        <v>9.0470299999999998E-30</v>
      </c>
      <c r="O6169">
        <v>320</v>
      </c>
    </row>
    <row r="6170" spans="1:15" x14ac:dyDescent="0.25">
      <c r="A6170" t="s">
        <v>6183</v>
      </c>
      <c r="B6170">
        <v>312</v>
      </c>
      <c r="C6170" s="1" t="str">
        <f>HYPERLINK("http://www.rosaceae.org/gb/gbrowse/malus_x_domestica/?name=MDP0000319669","MDP0000319669")</f>
        <v>MDP0000319669</v>
      </c>
      <c r="D6170">
        <v>44.72</v>
      </c>
      <c r="E6170">
        <v>161</v>
      </c>
      <c r="F6170">
        <v>89</v>
      </c>
      <c r="G6170">
        <v>3</v>
      </c>
      <c r="H6170">
        <v>17</v>
      </c>
      <c r="I6170">
        <v>176</v>
      </c>
      <c r="J6170">
        <v>1</v>
      </c>
      <c r="K6170">
        <v>48</v>
      </c>
      <c r="L6170">
        <v>206</v>
      </c>
      <c r="M6170">
        <v>1</v>
      </c>
      <c r="N6170">
        <v>4.7349399999999998E-37</v>
      </c>
      <c r="O6170">
        <v>384</v>
      </c>
    </row>
    <row r="6171" spans="1:15" x14ac:dyDescent="0.25">
      <c r="A6171" t="s">
        <v>6184</v>
      </c>
      <c r="B6171">
        <v>1007</v>
      </c>
      <c r="C6171" s="1" t="str">
        <f>HYPERLINK("http://www.rosaceae.org/gb/gbrowse/malus_x_domestica/?name=MDP0000798771","MDP0000798771")</f>
        <v>MDP0000798771</v>
      </c>
      <c r="D6171">
        <v>49.65</v>
      </c>
      <c r="E6171">
        <v>433</v>
      </c>
      <c r="F6171">
        <v>218</v>
      </c>
      <c r="G6171">
        <v>43</v>
      </c>
      <c r="H6171">
        <v>598</v>
      </c>
      <c r="I6171">
        <v>1001</v>
      </c>
      <c r="J6171">
        <v>1</v>
      </c>
      <c r="K6171">
        <v>459</v>
      </c>
      <c r="L6171">
        <v>877</v>
      </c>
      <c r="M6171">
        <v>1</v>
      </c>
      <c r="N6171">
        <v>8.7605600000000002E-92</v>
      </c>
      <c r="O6171">
        <v>861</v>
      </c>
    </row>
    <row r="6172" spans="1:15" x14ac:dyDescent="0.25">
      <c r="A6172" t="s">
        <v>6185</v>
      </c>
      <c r="B6172">
        <v>372</v>
      </c>
      <c r="C6172" s="1" t="str">
        <f>HYPERLINK("http://www.rosaceae.org/gb/gbrowse/malus_x_domestica/?name=MDP0000263823","MDP0000263823")</f>
        <v>MDP0000263823</v>
      </c>
      <c r="D6172">
        <v>74.84</v>
      </c>
      <c r="E6172">
        <v>159</v>
      </c>
      <c r="F6172">
        <v>40</v>
      </c>
      <c r="G6172">
        <v>19</v>
      </c>
      <c r="H6172">
        <v>67</v>
      </c>
      <c r="I6172">
        <v>209</v>
      </c>
      <c r="J6172">
        <v>1</v>
      </c>
      <c r="K6172">
        <v>219</v>
      </c>
      <c r="L6172">
        <v>374</v>
      </c>
      <c r="M6172">
        <v>1</v>
      </c>
      <c r="N6172">
        <v>9.4400400000000008E-59</v>
      </c>
      <c r="O6172">
        <v>572</v>
      </c>
    </row>
    <row r="6173" spans="1:15" x14ac:dyDescent="0.25">
      <c r="A6173" t="s">
        <v>6186</v>
      </c>
      <c r="B6173">
        <v>391</v>
      </c>
      <c r="C6173" s="1" t="str">
        <f>HYPERLINK("http://www.rosaceae.org/gb/gbrowse/malus_x_domestica/?name=MDP0000255931","MDP0000255931")</f>
        <v>MDP0000255931</v>
      </c>
      <c r="D6173">
        <v>58.92</v>
      </c>
      <c r="E6173">
        <v>56</v>
      </c>
      <c r="F6173">
        <v>23</v>
      </c>
      <c r="G6173">
        <v>11</v>
      </c>
      <c r="H6173">
        <v>1</v>
      </c>
      <c r="I6173">
        <v>45</v>
      </c>
      <c r="J6173">
        <v>1</v>
      </c>
      <c r="K6173">
        <v>1</v>
      </c>
      <c r="L6173">
        <v>56</v>
      </c>
      <c r="M6173">
        <v>1</v>
      </c>
      <c r="N6173">
        <v>2.06661E-10</v>
      </c>
      <c r="O6173">
        <v>155</v>
      </c>
    </row>
    <row r="6174" spans="1:15" x14ac:dyDescent="0.25">
      <c r="A6174" t="s">
        <v>6187</v>
      </c>
      <c r="B6174">
        <v>609</v>
      </c>
      <c r="C6174" s="1" t="str">
        <f>HYPERLINK("http://www.rosaceae.org/gb/gbrowse/malus_x_domestica/?name=MDP0000124450","MDP0000124450")</f>
        <v>MDP0000124450</v>
      </c>
      <c r="D6174">
        <v>80.94</v>
      </c>
      <c r="E6174">
        <v>593</v>
      </c>
      <c r="F6174">
        <v>113</v>
      </c>
      <c r="G6174">
        <v>4</v>
      </c>
      <c r="H6174">
        <v>1</v>
      </c>
      <c r="I6174">
        <v>593</v>
      </c>
      <c r="J6174">
        <v>1</v>
      </c>
      <c r="K6174">
        <v>1</v>
      </c>
      <c r="L6174">
        <v>589</v>
      </c>
      <c r="M6174">
        <v>1</v>
      </c>
      <c r="N6174">
        <v>0</v>
      </c>
      <c r="O6174">
        <v>2587</v>
      </c>
    </row>
    <row r="6175" spans="1:15" x14ac:dyDescent="0.25">
      <c r="A6175" t="s">
        <v>6188</v>
      </c>
      <c r="B6175">
        <v>797</v>
      </c>
      <c r="C6175" s="1" t="str">
        <f>HYPERLINK("http://www.rosaceae.org/gb/gbrowse/malus_x_domestica/?name=MDP0000036086","MDP0000036086")</f>
        <v>MDP0000036086</v>
      </c>
      <c r="D6175">
        <v>85.85</v>
      </c>
      <c r="E6175">
        <v>735</v>
      </c>
      <c r="F6175">
        <v>104</v>
      </c>
      <c r="G6175">
        <v>10</v>
      </c>
      <c r="H6175">
        <v>68</v>
      </c>
      <c r="I6175">
        <v>797</v>
      </c>
      <c r="J6175">
        <v>1</v>
      </c>
      <c r="K6175">
        <v>1</v>
      </c>
      <c r="L6175">
        <v>730</v>
      </c>
      <c r="M6175">
        <v>1</v>
      </c>
      <c r="N6175">
        <v>0</v>
      </c>
      <c r="O6175">
        <v>3450</v>
      </c>
    </row>
    <row r="6176" spans="1:15" x14ac:dyDescent="0.25">
      <c r="A6176" t="s">
        <v>6189</v>
      </c>
      <c r="B6176">
        <v>233</v>
      </c>
      <c r="C6176" s="1" t="str">
        <f>HYPERLINK("http://www.rosaceae.org/gb/gbrowse/malus_x_domestica/?name=MDP0000169405","MDP0000169405")</f>
        <v>MDP0000169405</v>
      </c>
      <c r="D6176">
        <v>82.14</v>
      </c>
      <c r="E6176">
        <v>56</v>
      </c>
      <c r="F6176">
        <v>10</v>
      </c>
      <c r="G6176">
        <v>0</v>
      </c>
      <c r="H6176">
        <v>28</v>
      </c>
      <c r="I6176">
        <v>83</v>
      </c>
      <c r="J6176">
        <v>1</v>
      </c>
      <c r="K6176">
        <v>207</v>
      </c>
      <c r="L6176">
        <v>262</v>
      </c>
      <c r="M6176">
        <v>1</v>
      </c>
      <c r="N6176">
        <v>5.4434499999999998E-21</v>
      </c>
      <c r="O6176">
        <v>244</v>
      </c>
    </row>
    <row r="6177" spans="1:15" x14ac:dyDescent="0.25">
      <c r="A6177" t="s">
        <v>6190</v>
      </c>
      <c r="B6177">
        <v>116</v>
      </c>
      <c r="C6177" s="1" t="str">
        <f>HYPERLINK("http://www.rosaceae.org/gb/gbrowse/malus_x_domestica/?name=MDP0000250829","MDP0000250829")</f>
        <v>MDP0000250829</v>
      </c>
      <c r="D6177">
        <v>40.51</v>
      </c>
      <c r="E6177">
        <v>116</v>
      </c>
      <c r="F6177">
        <v>69</v>
      </c>
      <c r="G6177">
        <v>13</v>
      </c>
      <c r="H6177">
        <v>4</v>
      </c>
      <c r="I6177">
        <v>115</v>
      </c>
      <c r="J6177">
        <v>1</v>
      </c>
      <c r="K6177">
        <v>3</v>
      </c>
      <c r="L6177">
        <v>109</v>
      </c>
      <c r="M6177">
        <v>1</v>
      </c>
      <c r="N6177">
        <v>1.5366499999999999E-12</v>
      </c>
      <c r="O6177">
        <v>166</v>
      </c>
    </row>
    <row r="6178" spans="1:15" x14ac:dyDescent="0.25">
      <c r="A6178" t="s">
        <v>6191</v>
      </c>
      <c r="B6178">
        <v>325</v>
      </c>
      <c r="C6178" s="1" t="str">
        <f>HYPERLINK("http://www.rosaceae.org/gb/gbrowse/malus_x_domestica/?name=MDP0000479856","MDP0000479856")</f>
        <v>MDP0000479856</v>
      </c>
      <c r="D6178">
        <v>57.18</v>
      </c>
      <c r="E6178">
        <v>348</v>
      </c>
      <c r="F6178">
        <v>149</v>
      </c>
      <c r="G6178">
        <v>29</v>
      </c>
      <c r="H6178">
        <v>1</v>
      </c>
      <c r="I6178">
        <v>325</v>
      </c>
      <c r="J6178">
        <v>1</v>
      </c>
      <c r="K6178">
        <v>1</v>
      </c>
      <c r="L6178">
        <v>342</v>
      </c>
      <c r="M6178">
        <v>1</v>
      </c>
      <c r="N6178">
        <v>1.7048999999999999E-85</v>
      </c>
      <c r="O6178">
        <v>802</v>
      </c>
    </row>
    <row r="6179" spans="1:15" x14ac:dyDescent="0.25">
      <c r="A6179" t="s">
        <v>6192</v>
      </c>
      <c r="B6179">
        <v>653</v>
      </c>
      <c r="C6179" s="1" t="str">
        <f>HYPERLINK("http://www.rosaceae.org/gb/gbrowse/malus_x_domestica/?name=MDP0000322220","MDP0000322220")</f>
        <v>MDP0000322220</v>
      </c>
      <c r="D6179">
        <v>80.7</v>
      </c>
      <c r="E6179">
        <v>648</v>
      </c>
      <c r="F6179">
        <v>125</v>
      </c>
      <c r="G6179">
        <v>6</v>
      </c>
      <c r="H6179">
        <v>6</v>
      </c>
      <c r="I6179">
        <v>653</v>
      </c>
      <c r="J6179">
        <v>1</v>
      </c>
      <c r="K6179">
        <v>440</v>
      </c>
      <c r="L6179">
        <v>1081</v>
      </c>
      <c r="M6179">
        <v>1</v>
      </c>
      <c r="N6179">
        <v>0</v>
      </c>
      <c r="O6179">
        <v>2742</v>
      </c>
    </row>
    <row r="6180" spans="1:15" x14ac:dyDescent="0.25">
      <c r="A6180" t="s">
        <v>6193</v>
      </c>
      <c r="B6180">
        <v>332</v>
      </c>
      <c r="C6180" s="1" t="str">
        <f>HYPERLINK("http://www.rosaceae.org/gb/gbrowse/malus_x_domestica/?name=MDP0000425449","MDP0000425449")</f>
        <v>MDP0000425449</v>
      </c>
      <c r="D6180">
        <v>62.08</v>
      </c>
      <c r="E6180">
        <v>335</v>
      </c>
      <c r="F6180">
        <v>127</v>
      </c>
      <c r="G6180">
        <v>5</v>
      </c>
      <c r="H6180">
        <v>1</v>
      </c>
      <c r="I6180">
        <v>330</v>
      </c>
      <c r="J6180">
        <v>1</v>
      </c>
      <c r="K6180">
        <v>937</v>
      </c>
      <c r="L6180">
        <v>1271</v>
      </c>
      <c r="M6180">
        <v>1</v>
      </c>
      <c r="N6180">
        <v>1.17461E-125</v>
      </c>
      <c r="O6180">
        <v>1148</v>
      </c>
    </row>
    <row r="6181" spans="1:15" x14ac:dyDescent="0.25">
      <c r="A6181" t="s">
        <v>6194</v>
      </c>
      <c r="B6181">
        <v>464</v>
      </c>
      <c r="C6181" s="1" t="str">
        <f>HYPERLINK("http://www.rosaceae.org/gb/gbrowse/malus_x_domestica/?name=MDP0000239909","MDP0000239909")</f>
        <v>MDP0000239909</v>
      </c>
      <c r="D6181">
        <v>65.930000000000007</v>
      </c>
      <c r="E6181">
        <v>455</v>
      </c>
      <c r="F6181">
        <v>155</v>
      </c>
      <c r="G6181">
        <v>58</v>
      </c>
      <c r="H6181">
        <v>16</v>
      </c>
      <c r="I6181">
        <v>464</v>
      </c>
      <c r="J6181">
        <v>1</v>
      </c>
      <c r="K6181">
        <v>7</v>
      </c>
      <c r="L6181">
        <v>409</v>
      </c>
      <c r="M6181">
        <v>1</v>
      </c>
      <c r="N6181">
        <v>2.0198300000000001E-166</v>
      </c>
      <c r="O6181">
        <v>1501</v>
      </c>
    </row>
    <row r="6182" spans="1:15" x14ac:dyDescent="0.25">
      <c r="A6182" t="s">
        <v>6195</v>
      </c>
      <c r="B6182">
        <v>752</v>
      </c>
      <c r="C6182" s="1" t="str">
        <f>HYPERLINK("http://www.rosaceae.org/gb/gbrowse/malus_x_domestica/?name=MDP0000265855","MDP0000265855")</f>
        <v>MDP0000265855</v>
      </c>
      <c r="D6182">
        <v>41.61</v>
      </c>
      <c r="E6182">
        <v>334</v>
      </c>
      <c r="F6182">
        <v>195</v>
      </c>
      <c r="G6182">
        <v>18</v>
      </c>
      <c r="H6182">
        <v>3</v>
      </c>
      <c r="I6182">
        <v>321</v>
      </c>
      <c r="J6182">
        <v>1</v>
      </c>
      <c r="K6182">
        <v>1075</v>
      </c>
      <c r="L6182">
        <v>1405</v>
      </c>
      <c r="M6182">
        <v>1</v>
      </c>
      <c r="N6182">
        <v>4.3536600000000001E-59</v>
      </c>
      <c r="O6182">
        <v>578</v>
      </c>
    </row>
    <row r="6183" spans="1:15" x14ac:dyDescent="0.25">
      <c r="A6183" t="s">
        <v>6196</v>
      </c>
      <c r="B6183">
        <v>578</v>
      </c>
      <c r="C6183" s="1" t="str">
        <f>HYPERLINK("http://www.rosaceae.org/gb/gbrowse/malus_x_domestica/?name=MDP0000200059","MDP0000200059")</f>
        <v>MDP0000200059</v>
      </c>
      <c r="D6183">
        <v>37.65</v>
      </c>
      <c r="E6183">
        <v>494</v>
      </c>
      <c r="F6183">
        <v>308</v>
      </c>
      <c r="G6183">
        <v>27</v>
      </c>
      <c r="H6183">
        <v>1</v>
      </c>
      <c r="I6183">
        <v>484</v>
      </c>
      <c r="J6183">
        <v>1</v>
      </c>
      <c r="K6183">
        <v>4</v>
      </c>
      <c r="L6183">
        <v>480</v>
      </c>
      <c r="M6183">
        <v>1</v>
      </c>
      <c r="N6183">
        <v>5.6428999999999998E-70</v>
      </c>
      <c r="O6183">
        <v>671</v>
      </c>
    </row>
    <row r="6184" spans="1:15" x14ac:dyDescent="0.25">
      <c r="A6184" t="s">
        <v>6197</v>
      </c>
      <c r="B6184">
        <v>728</v>
      </c>
      <c r="C6184" s="1" t="str">
        <f>HYPERLINK("http://www.rosaceae.org/gb/gbrowse/malus_x_domestica/?name=MDP0000300522","MDP0000300522")</f>
        <v>MDP0000300522</v>
      </c>
      <c r="D6184">
        <v>72.290000000000006</v>
      </c>
      <c r="E6184">
        <v>729</v>
      </c>
      <c r="F6184">
        <v>202</v>
      </c>
      <c r="G6184">
        <v>3</v>
      </c>
      <c r="H6184">
        <v>2</v>
      </c>
      <c r="I6184">
        <v>727</v>
      </c>
      <c r="J6184">
        <v>1</v>
      </c>
      <c r="K6184">
        <v>141</v>
      </c>
      <c r="L6184">
        <v>869</v>
      </c>
      <c r="M6184">
        <v>1</v>
      </c>
      <c r="N6184">
        <v>0</v>
      </c>
      <c r="O6184">
        <v>2815</v>
      </c>
    </row>
    <row r="6185" spans="1:15" x14ac:dyDescent="0.25">
      <c r="A6185" t="s">
        <v>6198</v>
      </c>
      <c r="B6185">
        <v>372</v>
      </c>
      <c r="C6185" s="1" t="str">
        <f>HYPERLINK("http://www.rosaceae.org/gb/gbrowse/malus_x_domestica/?name=MDP0000468391","MDP0000468391")</f>
        <v>MDP0000468391</v>
      </c>
      <c r="D6185">
        <v>56.65</v>
      </c>
      <c r="E6185">
        <v>383</v>
      </c>
      <c r="F6185">
        <v>166</v>
      </c>
      <c r="G6185">
        <v>56</v>
      </c>
      <c r="H6185">
        <v>6</v>
      </c>
      <c r="I6185">
        <v>371</v>
      </c>
      <c r="J6185">
        <v>1</v>
      </c>
      <c r="K6185">
        <v>3</v>
      </c>
      <c r="L6185">
        <v>346</v>
      </c>
      <c r="M6185">
        <v>1</v>
      </c>
      <c r="N6185">
        <v>2.2229100000000001E-97</v>
      </c>
      <c r="O6185">
        <v>905</v>
      </c>
    </row>
    <row r="6186" spans="1:15" x14ac:dyDescent="0.25">
      <c r="A6186" t="s">
        <v>6199</v>
      </c>
      <c r="B6186">
        <v>108</v>
      </c>
      <c r="C6186" s="1" t="str">
        <f>HYPERLINK("http://www.rosaceae.org/gb/gbrowse/malus_x_domestica/?name=MDP0000133254","MDP0000133254")</f>
        <v>MDP0000133254</v>
      </c>
      <c r="D6186">
        <v>49.18</v>
      </c>
      <c r="E6186">
        <v>61</v>
      </c>
      <c r="F6186">
        <v>31</v>
      </c>
      <c r="G6186">
        <v>3</v>
      </c>
      <c r="H6186">
        <v>1</v>
      </c>
      <c r="I6186">
        <v>60</v>
      </c>
      <c r="J6186">
        <v>1</v>
      </c>
      <c r="K6186">
        <v>1</v>
      </c>
      <c r="L6186">
        <v>59</v>
      </c>
      <c r="M6186">
        <v>1</v>
      </c>
      <c r="N6186">
        <v>2.09606E-8</v>
      </c>
      <c r="O6186">
        <v>130</v>
      </c>
    </row>
    <row r="6187" spans="1:15" x14ac:dyDescent="0.25">
      <c r="A6187" t="s">
        <v>6200</v>
      </c>
      <c r="B6187">
        <v>135</v>
      </c>
      <c r="C6187" s="1" t="str">
        <f>HYPERLINK("http://www.rosaceae.org/gb/gbrowse/malus_x_domestica/?name=MDP0000187287","MDP0000187287")</f>
        <v>MDP0000187287</v>
      </c>
      <c r="D6187">
        <v>83.87</v>
      </c>
      <c r="E6187">
        <v>93</v>
      </c>
      <c r="F6187">
        <v>15</v>
      </c>
      <c r="G6187">
        <v>4</v>
      </c>
      <c r="H6187">
        <v>45</v>
      </c>
      <c r="I6187">
        <v>133</v>
      </c>
      <c r="J6187">
        <v>1</v>
      </c>
      <c r="K6187">
        <v>43</v>
      </c>
      <c r="L6187">
        <v>135</v>
      </c>
      <c r="M6187">
        <v>1</v>
      </c>
      <c r="N6187">
        <v>1.5384099999999999E-38</v>
      </c>
      <c r="O6187">
        <v>391</v>
      </c>
    </row>
    <row r="6188" spans="1:15" x14ac:dyDescent="0.25">
      <c r="A6188" t="s">
        <v>6201</v>
      </c>
      <c r="B6188">
        <v>151</v>
      </c>
      <c r="C6188" s="1" t="str">
        <f>HYPERLINK("http://www.rosaceae.org/gb/gbrowse/malus_x_domestica/?name=MDP0000207132","MDP0000207132")</f>
        <v>MDP0000207132</v>
      </c>
      <c r="D6188">
        <v>35.1</v>
      </c>
      <c r="E6188">
        <v>94</v>
      </c>
      <c r="F6188">
        <v>61</v>
      </c>
      <c r="G6188">
        <v>0</v>
      </c>
      <c r="H6188">
        <v>9</v>
      </c>
      <c r="I6188">
        <v>102</v>
      </c>
      <c r="J6188">
        <v>1</v>
      </c>
      <c r="K6188">
        <v>65</v>
      </c>
      <c r="L6188">
        <v>158</v>
      </c>
      <c r="M6188">
        <v>1</v>
      </c>
      <c r="N6188">
        <v>3.8143100000000001E-12</v>
      </c>
      <c r="O6188">
        <v>164</v>
      </c>
    </row>
    <row r="6189" spans="1:15" x14ac:dyDescent="0.25">
      <c r="A6189" t="s">
        <v>6202</v>
      </c>
      <c r="B6189">
        <v>756</v>
      </c>
      <c r="C6189" s="1" t="str">
        <f>HYPERLINK("http://www.rosaceae.org/gb/gbrowse/malus_x_domestica/?name=MDP0000179399","MDP0000179399")</f>
        <v>MDP0000179399</v>
      </c>
      <c r="D6189">
        <v>80</v>
      </c>
      <c r="E6189">
        <v>505</v>
      </c>
      <c r="F6189">
        <v>101</v>
      </c>
      <c r="G6189">
        <v>13</v>
      </c>
      <c r="H6189">
        <v>60</v>
      </c>
      <c r="I6189">
        <v>556</v>
      </c>
      <c r="J6189">
        <v>1</v>
      </c>
      <c r="K6189">
        <v>46</v>
      </c>
      <c r="L6189">
        <v>545</v>
      </c>
      <c r="M6189">
        <v>1</v>
      </c>
      <c r="N6189">
        <v>0</v>
      </c>
      <c r="O6189">
        <v>2134</v>
      </c>
    </row>
    <row r="6190" spans="1:15" x14ac:dyDescent="0.25">
      <c r="A6190" t="s">
        <v>6203</v>
      </c>
      <c r="B6190">
        <v>105</v>
      </c>
      <c r="C6190" s="1" t="str">
        <f>HYPERLINK("http://www.rosaceae.org/gb/gbrowse/malus_x_domestica/?name=MDP0000937996","MDP0000937996")</f>
        <v>MDP0000937996</v>
      </c>
      <c r="D6190">
        <v>60.24</v>
      </c>
      <c r="E6190">
        <v>83</v>
      </c>
      <c r="F6190">
        <v>33</v>
      </c>
      <c r="G6190">
        <v>4</v>
      </c>
      <c r="H6190">
        <v>23</v>
      </c>
      <c r="I6190">
        <v>105</v>
      </c>
      <c r="J6190">
        <v>1</v>
      </c>
      <c r="K6190">
        <v>26</v>
      </c>
      <c r="L6190">
        <v>104</v>
      </c>
      <c r="M6190">
        <v>1</v>
      </c>
      <c r="N6190">
        <v>3.59702E-22</v>
      </c>
      <c r="O6190">
        <v>249</v>
      </c>
    </row>
    <row r="6191" spans="1:15" x14ac:dyDescent="0.25">
      <c r="A6191" t="s">
        <v>6204</v>
      </c>
      <c r="B6191">
        <v>373</v>
      </c>
      <c r="C6191" s="1" t="str">
        <f>HYPERLINK("http://www.rosaceae.org/gb/gbrowse/malus_x_domestica/?name=MDP0000571121","MDP0000571121")</f>
        <v>MDP0000571121</v>
      </c>
      <c r="D6191">
        <v>46.54</v>
      </c>
      <c r="E6191">
        <v>391</v>
      </c>
      <c r="F6191">
        <v>209</v>
      </c>
      <c r="G6191">
        <v>48</v>
      </c>
      <c r="H6191">
        <v>1</v>
      </c>
      <c r="I6191">
        <v>373</v>
      </c>
      <c r="J6191">
        <v>1</v>
      </c>
      <c r="K6191">
        <v>1</v>
      </c>
      <c r="L6191">
        <v>361</v>
      </c>
      <c r="M6191">
        <v>1</v>
      </c>
      <c r="N6191">
        <v>2.9658899999999999E-65</v>
      </c>
      <c r="O6191">
        <v>628</v>
      </c>
    </row>
    <row r="6192" spans="1:15" x14ac:dyDescent="0.25">
      <c r="A6192" t="s">
        <v>6205</v>
      </c>
      <c r="B6192">
        <v>719</v>
      </c>
      <c r="C6192" s="1" t="str">
        <f>HYPERLINK("http://www.rosaceae.org/gb/gbrowse/malus_x_domestica/?name=MDP0000230833","MDP0000230833")</f>
        <v>MDP0000230833</v>
      </c>
      <c r="D6192">
        <v>53.33</v>
      </c>
      <c r="E6192">
        <v>795</v>
      </c>
      <c r="F6192">
        <v>371</v>
      </c>
      <c r="G6192">
        <v>92</v>
      </c>
      <c r="H6192">
        <v>2</v>
      </c>
      <c r="I6192">
        <v>719</v>
      </c>
      <c r="J6192">
        <v>1</v>
      </c>
      <c r="K6192">
        <v>112</v>
      </c>
      <c r="L6192">
        <v>891</v>
      </c>
      <c r="M6192">
        <v>1</v>
      </c>
      <c r="N6192">
        <v>0</v>
      </c>
      <c r="O6192">
        <v>1995</v>
      </c>
    </row>
    <row r="6193" spans="1:15" x14ac:dyDescent="0.25">
      <c r="A6193" t="s">
        <v>6206</v>
      </c>
      <c r="B6193">
        <v>132</v>
      </c>
      <c r="C6193" s="1" t="str">
        <f>HYPERLINK("http://www.rosaceae.org/gb/gbrowse/malus_x_domestica/?name=MDP0000828073","MDP0000828073")</f>
        <v>MDP0000828073</v>
      </c>
      <c r="D6193">
        <v>82.67</v>
      </c>
      <c r="E6193">
        <v>127</v>
      </c>
      <c r="F6193">
        <v>22</v>
      </c>
      <c r="G6193">
        <v>5</v>
      </c>
      <c r="H6193">
        <v>6</v>
      </c>
      <c r="I6193">
        <v>132</v>
      </c>
      <c r="J6193">
        <v>1</v>
      </c>
      <c r="K6193">
        <v>1</v>
      </c>
      <c r="L6193">
        <v>122</v>
      </c>
      <c r="M6193">
        <v>1</v>
      </c>
      <c r="N6193">
        <v>4.6220500000000002E-52</v>
      </c>
      <c r="O6193">
        <v>507</v>
      </c>
    </row>
    <row r="6194" spans="1:15" x14ac:dyDescent="0.25">
      <c r="A6194" t="s">
        <v>6207</v>
      </c>
      <c r="B6194">
        <v>1113</v>
      </c>
      <c r="C6194" s="1" t="str">
        <f>HYPERLINK("http://www.rosaceae.org/gb/gbrowse/malus_x_domestica/?name=MDP0000275865","MDP0000275865")</f>
        <v>MDP0000275865</v>
      </c>
      <c r="D6194">
        <v>61.07</v>
      </c>
      <c r="E6194">
        <v>614</v>
      </c>
      <c r="F6194">
        <v>239</v>
      </c>
      <c r="G6194">
        <v>23</v>
      </c>
      <c r="H6194">
        <v>2</v>
      </c>
      <c r="I6194">
        <v>611</v>
      </c>
      <c r="J6194">
        <v>1</v>
      </c>
      <c r="K6194">
        <v>129</v>
      </c>
      <c r="L6194">
        <v>723</v>
      </c>
      <c r="M6194">
        <v>1</v>
      </c>
      <c r="N6194">
        <v>0</v>
      </c>
      <c r="O6194">
        <v>1802</v>
      </c>
    </row>
    <row r="6195" spans="1:15" x14ac:dyDescent="0.25">
      <c r="A6195" t="s">
        <v>6208</v>
      </c>
      <c r="B6195">
        <v>616</v>
      </c>
      <c r="C6195" s="1" t="str">
        <f>HYPERLINK("http://www.rosaceae.org/gb/gbrowse/malus_x_domestica/?name=MDP0000171535","MDP0000171535")</f>
        <v>MDP0000171535</v>
      </c>
      <c r="D6195">
        <v>61.57</v>
      </c>
      <c r="E6195">
        <v>229</v>
      </c>
      <c r="F6195">
        <v>88</v>
      </c>
      <c r="G6195">
        <v>24</v>
      </c>
      <c r="H6195">
        <v>249</v>
      </c>
      <c r="I6195">
        <v>453</v>
      </c>
      <c r="J6195">
        <v>1</v>
      </c>
      <c r="K6195">
        <v>155</v>
      </c>
      <c r="L6195">
        <v>383</v>
      </c>
      <c r="M6195">
        <v>1</v>
      </c>
      <c r="N6195">
        <v>9.5583899999999998E-75</v>
      </c>
      <c r="O6195">
        <v>712</v>
      </c>
    </row>
    <row r="6196" spans="1:15" x14ac:dyDescent="0.25">
      <c r="A6196" t="s">
        <v>6209</v>
      </c>
      <c r="B6196">
        <v>1077</v>
      </c>
      <c r="C6196" s="1" t="str">
        <f>HYPERLINK("http://www.rosaceae.org/gb/gbrowse/malus_x_domestica/?name=MDP0000433807","MDP0000433807")</f>
        <v>MDP0000433807</v>
      </c>
      <c r="D6196">
        <v>33.47</v>
      </c>
      <c r="E6196">
        <v>917</v>
      </c>
      <c r="F6196">
        <v>610</v>
      </c>
      <c r="G6196">
        <v>217</v>
      </c>
      <c r="H6196">
        <v>1</v>
      </c>
      <c r="I6196">
        <v>783</v>
      </c>
      <c r="J6196">
        <v>1</v>
      </c>
      <c r="K6196">
        <v>86</v>
      </c>
      <c r="L6196">
        <v>919</v>
      </c>
      <c r="M6196">
        <v>1</v>
      </c>
      <c r="N6196">
        <v>4.2025300000000001E-106</v>
      </c>
      <c r="O6196">
        <v>985</v>
      </c>
    </row>
    <row r="6197" spans="1:15" x14ac:dyDescent="0.25">
      <c r="A6197" t="s">
        <v>6210</v>
      </c>
      <c r="B6197">
        <v>931</v>
      </c>
      <c r="C6197" s="1" t="str">
        <f>HYPERLINK("http://www.rosaceae.org/gb/gbrowse/malus_x_domestica/?name=MDP0000662195","MDP0000662195")</f>
        <v>MDP0000662195</v>
      </c>
      <c r="D6197">
        <v>72.81</v>
      </c>
      <c r="E6197">
        <v>217</v>
      </c>
      <c r="F6197">
        <v>59</v>
      </c>
      <c r="G6197">
        <v>6</v>
      </c>
      <c r="H6197">
        <v>7</v>
      </c>
      <c r="I6197">
        <v>223</v>
      </c>
      <c r="J6197">
        <v>1</v>
      </c>
      <c r="K6197">
        <v>212</v>
      </c>
      <c r="L6197">
        <v>422</v>
      </c>
      <c r="M6197">
        <v>1</v>
      </c>
      <c r="N6197">
        <v>3.5183600000000003E-83</v>
      </c>
      <c r="O6197">
        <v>786</v>
      </c>
    </row>
    <row r="6198" spans="1:15" x14ac:dyDescent="0.25">
      <c r="A6198" t="s">
        <v>6211</v>
      </c>
      <c r="B6198">
        <v>266</v>
      </c>
      <c r="C6198" s="1" t="str">
        <f>HYPERLINK("http://www.rosaceae.org/gb/gbrowse/malus_x_domestica/?name=MDP0000259837","MDP0000259837")</f>
        <v>MDP0000259837</v>
      </c>
      <c r="D6198">
        <v>56.08</v>
      </c>
      <c r="E6198">
        <v>148</v>
      </c>
      <c r="F6198">
        <v>65</v>
      </c>
      <c r="G6198">
        <v>0</v>
      </c>
      <c r="H6198">
        <v>118</v>
      </c>
      <c r="I6198">
        <v>265</v>
      </c>
      <c r="J6198">
        <v>1</v>
      </c>
      <c r="K6198">
        <v>927</v>
      </c>
      <c r="L6198">
        <v>1074</v>
      </c>
      <c r="M6198">
        <v>1</v>
      </c>
      <c r="N6198">
        <v>4.1231600000000003E-36</v>
      </c>
      <c r="O6198">
        <v>375</v>
      </c>
    </row>
    <row r="6199" spans="1:15" x14ac:dyDescent="0.25">
      <c r="A6199" t="s">
        <v>6212</v>
      </c>
      <c r="B6199">
        <v>735</v>
      </c>
      <c r="C6199" s="1" t="str">
        <f>HYPERLINK("http://www.rosaceae.org/gb/gbrowse/malus_x_domestica/?name=MDP0000820227","MDP0000820227")</f>
        <v>MDP0000820227</v>
      </c>
      <c r="D6199">
        <v>61.41</v>
      </c>
      <c r="E6199">
        <v>666</v>
      </c>
      <c r="F6199">
        <v>257</v>
      </c>
      <c r="G6199">
        <v>45</v>
      </c>
      <c r="H6199">
        <v>102</v>
      </c>
      <c r="I6199">
        <v>735</v>
      </c>
      <c r="J6199">
        <v>1</v>
      </c>
      <c r="K6199">
        <v>111</v>
      </c>
      <c r="L6199">
        <v>763</v>
      </c>
      <c r="M6199">
        <v>1</v>
      </c>
      <c r="N6199">
        <v>0</v>
      </c>
      <c r="O6199">
        <v>1857</v>
      </c>
    </row>
    <row r="6200" spans="1:15" x14ac:dyDescent="0.25">
      <c r="A6200" t="s">
        <v>6213</v>
      </c>
      <c r="B6200">
        <v>593</v>
      </c>
      <c r="C6200" s="1" t="str">
        <f>HYPERLINK("http://www.rosaceae.org/gb/gbrowse/malus_x_domestica/?name=MDP0000128648","MDP0000128648")</f>
        <v>MDP0000128648</v>
      </c>
      <c r="D6200">
        <v>65.3</v>
      </c>
      <c r="E6200">
        <v>637</v>
      </c>
      <c r="F6200">
        <v>221</v>
      </c>
      <c r="G6200">
        <v>65</v>
      </c>
      <c r="H6200">
        <v>1</v>
      </c>
      <c r="I6200">
        <v>580</v>
      </c>
      <c r="J6200">
        <v>1</v>
      </c>
      <c r="K6200">
        <v>1</v>
      </c>
      <c r="L6200">
        <v>629</v>
      </c>
      <c r="M6200">
        <v>1</v>
      </c>
      <c r="N6200">
        <v>0</v>
      </c>
      <c r="O6200">
        <v>2003</v>
      </c>
    </row>
    <row r="6201" spans="1:15" x14ac:dyDescent="0.25">
      <c r="A6201" t="s">
        <v>6214</v>
      </c>
      <c r="B6201">
        <v>851</v>
      </c>
      <c r="C6201" s="1" t="str">
        <f>HYPERLINK("http://www.rosaceae.org/gb/gbrowse/malus_x_domestica/?name=MDP0000136383","MDP0000136383")</f>
        <v>MDP0000136383</v>
      </c>
      <c r="D6201">
        <v>65.040000000000006</v>
      </c>
      <c r="E6201">
        <v>864</v>
      </c>
      <c r="F6201">
        <v>302</v>
      </c>
      <c r="G6201">
        <v>68</v>
      </c>
      <c r="H6201">
        <v>1</v>
      </c>
      <c r="I6201">
        <v>851</v>
      </c>
      <c r="J6201">
        <v>1</v>
      </c>
      <c r="K6201">
        <v>67</v>
      </c>
      <c r="L6201">
        <v>875</v>
      </c>
      <c r="M6201">
        <v>1</v>
      </c>
      <c r="N6201">
        <v>0</v>
      </c>
      <c r="O6201">
        <v>2754</v>
      </c>
    </row>
    <row r="6202" spans="1:15" x14ac:dyDescent="0.25">
      <c r="A6202" t="s">
        <v>6215</v>
      </c>
      <c r="B6202">
        <v>231</v>
      </c>
      <c r="C6202" s="1" t="str">
        <f>HYPERLINK("http://www.rosaceae.org/gb/gbrowse/malus_x_domestica/?name=MDP0000144236","MDP0000144236")</f>
        <v>MDP0000144236</v>
      </c>
      <c r="D6202">
        <v>55.5</v>
      </c>
      <c r="E6202">
        <v>227</v>
      </c>
      <c r="F6202">
        <v>101</v>
      </c>
      <c r="G6202">
        <v>28</v>
      </c>
      <c r="H6202">
        <v>9</v>
      </c>
      <c r="I6202">
        <v>215</v>
      </c>
      <c r="J6202">
        <v>1</v>
      </c>
      <c r="K6202">
        <v>2</v>
      </c>
      <c r="L6202">
        <v>220</v>
      </c>
      <c r="M6202">
        <v>1</v>
      </c>
      <c r="N6202">
        <v>5.1258199999999998E-61</v>
      </c>
      <c r="O6202">
        <v>589</v>
      </c>
    </row>
    <row r="6203" spans="1:15" x14ac:dyDescent="0.25">
      <c r="A6203" t="s">
        <v>6216</v>
      </c>
      <c r="B6203">
        <v>887</v>
      </c>
      <c r="C6203" s="1" t="str">
        <f>HYPERLINK("http://www.rosaceae.org/gb/gbrowse/malus_x_domestica/?name=MDP0000141745","MDP0000141745")</f>
        <v>MDP0000141745</v>
      </c>
      <c r="D6203">
        <v>76.64</v>
      </c>
      <c r="E6203">
        <v>394</v>
      </c>
      <c r="F6203">
        <v>92</v>
      </c>
      <c r="G6203">
        <v>78</v>
      </c>
      <c r="H6203">
        <v>515</v>
      </c>
      <c r="I6203">
        <v>887</v>
      </c>
      <c r="J6203">
        <v>1</v>
      </c>
      <c r="K6203">
        <v>1</v>
      </c>
      <c r="L6203">
        <v>337</v>
      </c>
      <c r="M6203">
        <v>1</v>
      </c>
      <c r="N6203">
        <v>2.9784999999999999E-168</v>
      </c>
      <c r="O6203">
        <v>1520</v>
      </c>
    </row>
    <row r="6204" spans="1:15" x14ac:dyDescent="0.25">
      <c r="A6204" t="s">
        <v>6217</v>
      </c>
      <c r="B6204">
        <v>653</v>
      </c>
      <c r="C6204" s="1" t="str">
        <f>HYPERLINK("http://www.rosaceae.org/gb/gbrowse/malus_x_domestica/?name=MDP0000258335","MDP0000258335")</f>
        <v>MDP0000258335</v>
      </c>
      <c r="D6204">
        <v>78.22</v>
      </c>
      <c r="E6204">
        <v>652</v>
      </c>
      <c r="F6204">
        <v>142</v>
      </c>
      <c r="G6204">
        <v>2</v>
      </c>
      <c r="H6204">
        <v>1</v>
      </c>
      <c r="I6204">
        <v>651</v>
      </c>
      <c r="J6204">
        <v>1</v>
      </c>
      <c r="K6204">
        <v>29</v>
      </c>
      <c r="L6204">
        <v>679</v>
      </c>
      <c r="M6204">
        <v>1</v>
      </c>
      <c r="N6204">
        <v>0</v>
      </c>
      <c r="O6204">
        <v>2705</v>
      </c>
    </row>
    <row r="6205" spans="1:15" x14ac:dyDescent="0.25">
      <c r="A6205" t="s">
        <v>6218</v>
      </c>
      <c r="B6205">
        <v>455</v>
      </c>
      <c r="C6205" s="1" t="str">
        <f>HYPERLINK("http://www.rosaceae.org/gb/gbrowse/malus_x_domestica/?name=MDP0000296383","MDP0000296383")</f>
        <v>MDP0000296383</v>
      </c>
      <c r="D6205">
        <v>74.77</v>
      </c>
      <c r="E6205">
        <v>436</v>
      </c>
      <c r="F6205">
        <v>110</v>
      </c>
      <c r="G6205">
        <v>0</v>
      </c>
      <c r="H6205">
        <v>1</v>
      </c>
      <c r="I6205">
        <v>436</v>
      </c>
      <c r="J6205">
        <v>1</v>
      </c>
      <c r="K6205">
        <v>181</v>
      </c>
      <c r="L6205">
        <v>616</v>
      </c>
      <c r="M6205">
        <v>1</v>
      </c>
      <c r="N6205">
        <v>0</v>
      </c>
      <c r="O6205">
        <v>1837</v>
      </c>
    </row>
    <row r="6206" spans="1:15" x14ac:dyDescent="0.25">
      <c r="A6206" t="s">
        <v>6219</v>
      </c>
      <c r="B6206">
        <v>125</v>
      </c>
      <c r="C6206" s="1" t="str">
        <f>HYPERLINK("http://www.rosaceae.org/gb/gbrowse/malus_x_domestica/?name=MDP0000223944","MDP0000223944")</f>
        <v>MDP0000223944</v>
      </c>
      <c r="D6206">
        <v>60.15</v>
      </c>
      <c r="E6206">
        <v>133</v>
      </c>
      <c r="F6206">
        <v>53</v>
      </c>
      <c r="G6206">
        <v>15</v>
      </c>
      <c r="H6206">
        <v>1</v>
      </c>
      <c r="I6206">
        <v>118</v>
      </c>
      <c r="J6206">
        <v>1</v>
      </c>
      <c r="K6206">
        <v>1</v>
      </c>
      <c r="L6206">
        <v>133</v>
      </c>
      <c r="M6206">
        <v>1</v>
      </c>
      <c r="N6206">
        <v>1.24274E-34</v>
      </c>
      <c r="O6206">
        <v>356</v>
      </c>
    </row>
    <row r="6207" spans="1:15" x14ac:dyDescent="0.25">
      <c r="A6207" t="s">
        <v>6220</v>
      </c>
      <c r="B6207">
        <v>169</v>
      </c>
      <c r="C6207" s="1" t="str">
        <f>HYPERLINK("http://www.rosaceae.org/gb/gbrowse/malus_x_domestica/?name=MDP0000157152","MDP0000157152")</f>
        <v>MDP0000157152</v>
      </c>
      <c r="D6207">
        <v>55.05</v>
      </c>
      <c r="E6207">
        <v>178</v>
      </c>
      <c r="F6207">
        <v>80</v>
      </c>
      <c r="G6207">
        <v>12</v>
      </c>
      <c r="H6207">
        <v>1</v>
      </c>
      <c r="I6207">
        <v>169</v>
      </c>
      <c r="J6207">
        <v>1</v>
      </c>
      <c r="K6207">
        <v>36</v>
      </c>
      <c r="L6207">
        <v>210</v>
      </c>
      <c r="M6207">
        <v>1</v>
      </c>
      <c r="N6207">
        <v>2.8917799999999999E-40</v>
      </c>
      <c r="O6207">
        <v>408</v>
      </c>
    </row>
    <row r="6208" spans="1:15" x14ac:dyDescent="0.25">
      <c r="A6208" t="s">
        <v>6221</v>
      </c>
      <c r="B6208">
        <v>165</v>
      </c>
      <c r="C6208" s="1" t="str">
        <f>HYPERLINK("http://www.rosaceae.org/gb/gbrowse/malus_x_domestica/?name=MDP0000263151","MDP0000263151")</f>
        <v>MDP0000263151</v>
      </c>
      <c r="D6208">
        <v>73.94</v>
      </c>
      <c r="E6208">
        <v>119</v>
      </c>
      <c r="F6208">
        <v>31</v>
      </c>
      <c r="G6208">
        <v>1</v>
      </c>
      <c r="H6208">
        <v>45</v>
      </c>
      <c r="I6208">
        <v>162</v>
      </c>
      <c r="J6208">
        <v>1</v>
      </c>
      <c r="K6208">
        <v>1</v>
      </c>
      <c r="L6208">
        <v>119</v>
      </c>
      <c r="M6208">
        <v>1</v>
      </c>
      <c r="N6208">
        <v>1.02884E-43</v>
      </c>
      <c r="O6208">
        <v>437</v>
      </c>
    </row>
    <row r="6209" spans="1:15" x14ac:dyDescent="0.25">
      <c r="A6209" t="s">
        <v>6222</v>
      </c>
      <c r="B6209">
        <v>261</v>
      </c>
      <c r="C6209" s="1" t="str">
        <f>HYPERLINK("http://www.rosaceae.org/gb/gbrowse/malus_x_domestica/?name=MDP0000170553","MDP0000170553")</f>
        <v>MDP0000170553</v>
      </c>
      <c r="D6209">
        <v>31.21</v>
      </c>
      <c r="E6209">
        <v>173</v>
      </c>
      <c r="F6209">
        <v>119</v>
      </c>
      <c r="G6209">
        <v>17</v>
      </c>
      <c r="H6209">
        <v>17</v>
      </c>
      <c r="I6209">
        <v>184</v>
      </c>
      <c r="J6209">
        <v>1</v>
      </c>
      <c r="K6209">
        <v>11</v>
      </c>
      <c r="L6209">
        <v>171</v>
      </c>
      <c r="M6209">
        <v>1</v>
      </c>
      <c r="N6209">
        <v>1.38694E-9</v>
      </c>
      <c r="O6209">
        <v>146</v>
      </c>
    </row>
    <row r="6210" spans="1:15" x14ac:dyDescent="0.25">
      <c r="A6210" t="s">
        <v>6223</v>
      </c>
      <c r="B6210">
        <v>66</v>
      </c>
      <c r="C6210" s="1" t="str">
        <f>HYPERLINK("http://www.rosaceae.org/gb/gbrowse/malus_x_domestica/?name=MDP0000120906","MDP0000120906")</f>
        <v>MDP0000120906</v>
      </c>
      <c r="D6210">
        <v>72.88</v>
      </c>
      <c r="E6210">
        <v>59</v>
      </c>
      <c r="F6210">
        <v>16</v>
      </c>
      <c r="G6210">
        <v>0</v>
      </c>
      <c r="H6210">
        <v>8</v>
      </c>
      <c r="I6210">
        <v>66</v>
      </c>
      <c r="J6210">
        <v>1</v>
      </c>
      <c r="K6210">
        <v>13</v>
      </c>
      <c r="L6210">
        <v>71</v>
      </c>
      <c r="M6210">
        <v>1</v>
      </c>
      <c r="N6210">
        <v>1.5815699999999999E-20</v>
      </c>
      <c r="O6210">
        <v>234</v>
      </c>
    </row>
    <row r="6211" spans="1:15" x14ac:dyDescent="0.25">
      <c r="A6211" t="s">
        <v>6224</v>
      </c>
      <c r="B6211">
        <v>297</v>
      </c>
      <c r="C6211" s="1" t="str">
        <f>HYPERLINK("http://www.rosaceae.org/gb/gbrowse/malus_x_domestica/?name=MDP0000194326","MDP0000194326")</f>
        <v>MDP0000194326</v>
      </c>
      <c r="D6211">
        <v>85.65</v>
      </c>
      <c r="E6211">
        <v>244</v>
      </c>
      <c r="F6211">
        <v>35</v>
      </c>
      <c r="G6211">
        <v>0</v>
      </c>
      <c r="H6211">
        <v>26</v>
      </c>
      <c r="I6211">
        <v>269</v>
      </c>
      <c r="J6211">
        <v>1</v>
      </c>
      <c r="K6211">
        <v>320</v>
      </c>
      <c r="L6211">
        <v>563</v>
      </c>
      <c r="M6211">
        <v>1</v>
      </c>
      <c r="N6211">
        <v>3.0519600000000001E-115</v>
      </c>
      <c r="O6211">
        <v>1058</v>
      </c>
    </row>
    <row r="6212" spans="1:15" x14ac:dyDescent="0.25">
      <c r="A6212" t="s">
        <v>6225</v>
      </c>
      <c r="B6212">
        <v>457</v>
      </c>
      <c r="C6212" s="1" t="str">
        <f>HYPERLINK("http://www.rosaceae.org/gb/gbrowse/malus_x_domestica/?name=MDP0000150999","MDP0000150999")</f>
        <v>MDP0000150999</v>
      </c>
      <c r="D6212">
        <v>76.400000000000006</v>
      </c>
      <c r="E6212">
        <v>445</v>
      </c>
      <c r="F6212">
        <v>105</v>
      </c>
      <c r="G6212">
        <v>20</v>
      </c>
      <c r="H6212">
        <v>24</v>
      </c>
      <c r="I6212">
        <v>451</v>
      </c>
      <c r="J6212">
        <v>1</v>
      </c>
      <c r="K6212">
        <v>5</v>
      </c>
      <c r="L6212">
        <v>446</v>
      </c>
      <c r="M6212">
        <v>1</v>
      </c>
      <c r="N6212">
        <v>0</v>
      </c>
      <c r="O6212">
        <v>1777</v>
      </c>
    </row>
    <row r="6213" spans="1:15" x14ac:dyDescent="0.25">
      <c r="A6213" t="s">
        <v>6226</v>
      </c>
      <c r="B6213">
        <v>443</v>
      </c>
      <c r="C6213" s="1" t="str">
        <f>HYPERLINK("http://www.rosaceae.org/gb/gbrowse/malus_x_domestica/?name=MDP0000772731","MDP0000772731")</f>
        <v>MDP0000772731</v>
      </c>
      <c r="D6213">
        <v>43.77</v>
      </c>
      <c r="E6213">
        <v>217</v>
      </c>
      <c r="F6213">
        <v>122</v>
      </c>
      <c r="G6213">
        <v>20</v>
      </c>
      <c r="H6213">
        <v>1</v>
      </c>
      <c r="I6213">
        <v>208</v>
      </c>
      <c r="J6213">
        <v>1</v>
      </c>
      <c r="K6213">
        <v>1</v>
      </c>
      <c r="L6213">
        <v>206</v>
      </c>
      <c r="M6213">
        <v>1</v>
      </c>
      <c r="N6213">
        <v>1.11865E-38</v>
      </c>
      <c r="O6213">
        <v>399</v>
      </c>
    </row>
    <row r="6214" spans="1:15" x14ac:dyDescent="0.25">
      <c r="A6214" t="s">
        <v>6227</v>
      </c>
      <c r="B6214">
        <v>351</v>
      </c>
      <c r="C6214" s="1" t="str">
        <f>HYPERLINK("http://www.rosaceae.org/gb/gbrowse/malus_x_domestica/?name=MDP0000298742","MDP0000298742")</f>
        <v>MDP0000298742</v>
      </c>
      <c r="D6214">
        <v>42.12</v>
      </c>
      <c r="E6214">
        <v>292</v>
      </c>
      <c r="F6214">
        <v>169</v>
      </c>
      <c r="G6214">
        <v>39</v>
      </c>
      <c r="H6214">
        <v>73</v>
      </c>
      <c r="I6214">
        <v>347</v>
      </c>
      <c r="J6214">
        <v>1</v>
      </c>
      <c r="K6214">
        <v>199</v>
      </c>
      <c r="L6214">
        <v>468</v>
      </c>
      <c r="M6214">
        <v>1</v>
      </c>
      <c r="N6214">
        <v>3.4609800000000001E-41</v>
      </c>
      <c r="O6214">
        <v>420</v>
      </c>
    </row>
    <row r="6215" spans="1:15" x14ac:dyDescent="0.25">
      <c r="A6215" t="s">
        <v>6228</v>
      </c>
      <c r="B6215">
        <v>479</v>
      </c>
      <c r="C6215" s="1" t="str">
        <f>HYPERLINK("http://www.rosaceae.org/gb/gbrowse/malus_x_domestica/?name=MDP0000873295","MDP0000873295")</f>
        <v>MDP0000873295</v>
      </c>
      <c r="D6215">
        <v>62.47</v>
      </c>
      <c r="E6215">
        <v>485</v>
      </c>
      <c r="F6215">
        <v>182</v>
      </c>
      <c r="G6215">
        <v>20</v>
      </c>
      <c r="H6215">
        <v>1</v>
      </c>
      <c r="I6215">
        <v>476</v>
      </c>
      <c r="J6215">
        <v>1</v>
      </c>
      <c r="K6215">
        <v>1</v>
      </c>
      <c r="L6215">
        <v>474</v>
      </c>
      <c r="M6215">
        <v>1</v>
      </c>
      <c r="N6215">
        <v>1.2431499999999999E-169</v>
      </c>
      <c r="O6215">
        <v>1529</v>
      </c>
    </row>
    <row r="6216" spans="1:15" x14ac:dyDescent="0.25">
      <c r="A6216" t="s">
        <v>6229</v>
      </c>
      <c r="B6216">
        <v>471</v>
      </c>
      <c r="C6216" s="1" t="str">
        <f>HYPERLINK("http://www.rosaceae.org/gb/gbrowse/malus_x_domestica/?name=MDP0000249386","MDP0000249386")</f>
        <v>MDP0000249386</v>
      </c>
      <c r="D6216">
        <v>75.989999999999995</v>
      </c>
      <c r="E6216">
        <v>479</v>
      </c>
      <c r="F6216">
        <v>115</v>
      </c>
      <c r="G6216">
        <v>17</v>
      </c>
      <c r="H6216">
        <v>3</v>
      </c>
      <c r="I6216">
        <v>471</v>
      </c>
      <c r="J6216">
        <v>1</v>
      </c>
      <c r="K6216">
        <v>2</v>
      </c>
      <c r="L6216">
        <v>473</v>
      </c>
      <c r="M6216">
        <v>1</v>
      </c>
      <c r="N6216">
        <v>0</v>
      </c>
      <c r="O6216">
        <v>1909</v>
      </c>
    </row>
    <row r="6217" spans="1:15" x14ac:dyDescent="0.25">
      <c r="A6217" t="s">
        <v>6230</v>
      </c>
      <c r="B6217">
        <v>277</v>
      </c>
      <c r="C6217" s="1" t="str">
        <f>HYPERLINK("http://www.rosaceae.org/gb/gbrowse/malus_x_domestica/?name=MDP0000306870","MDP0000306870")</f>
        <v>MDP0000306870</v>
      </c>
      <c r="D6217">
        <v>38.04</v>
      </c>
      <c r="E6217">
        <v>276</v>
      </c>
      <c r="F6217">
        <v>171</v>
      </c>
      <c r="G6217">
        <v>26</v>
      </c>
      <c r="H6217">
        <v>11</v>
      </c>
      <c r="I6217">
        <v>275</v>
      </c>
      <c r="J6217">
        <v>1</v>
      </c>
      <c r="K6217">
        <v>295</v>
      </c>
      <c r="L6217">
        <v>555</v>
      </c>
      <c r="M6217">
        <v>1</v>
      </c>
      <c r="N6217">
        <v>3.9759200000000001E-40</v>
      </c>
      <c r="O6217">
        <v>410</v>
      </c>
    </row>
    <row r="6218" spans="1:15" x14ac:dyDescent="0.25">
      <c r="A6218" t="s">
        <v>6231</v>
      </c>
      <c r="B6218">
        <v>537</v>
      </c>
      <c r="C6218" s="1" t="str">
        <f>HYPERLINK("http://www.rosaceae.org/gb/gbrowse/malus_x_domestica/?name=MDP0000152330","MDP0000152330")</f>
        <v>MDP0000152330</v>
      </c>
      <c r="D6218">
        <v>53.63</v>
      </c>
      <c r="E6218">
        <v>261</v>
      </c>
      <c r="F6218">
        <v>121</v>
      </c>
      <c r="G6218">
        <v>11</v>
      </c>
      <c r="H6218">
        <v>269</v>
      </c>
      <c r="I6218">
        <v>526</v>
      </c>
      <c r="J6218">
        <v>1</v>
      </c>
      <c r="K6218">
        <v>2</v>
      </c>
      <c r="L6218">
        <v>254</v>
      </c>
      <c r="M6218">
        <v>1</v>
      </c>
      <c r="N6218">
        <v>4.6848599999999999E-72</v>
      </c>
      <c r="O6218">
        <v>688</v>
      </c>
    </row>
    <row r="6219" spans="1:15" x14ac:dyDescent="0.25">
      <c r="A6219" t="s">
        <v>6232</v>
      </c>
      <c r="B6219">
        <v>1886</v>
      </c>
      <c r="C6219" s="1" t="str">
        <f>HYPERLINK("http://www.rosaceae.org/gb/gbrowse/malus_x_domestica/?name=MDP0000280980","MDP0000280980")</f>
        <v>MDP0000280980</v>
      </c>
      <c r="D6219">
        <v>38.200000000000003</v>
      </c>
      <c r="E6219">
        <v>479</v>
      </c>
      <c r="F6219">
        <v>296</v>
      </c>
      <c r="G6219">
        <v>45</v>
      </c>
      <c r="H6219">
        <v>1441</v>
      </c>
      <c r="I6219">
        <v>1885</v>
      </c>
      <c r="J6219">
        <v>1</v>
      </c>
      <c r="K6219">
        <v>26</v>
      </c>
      <c r="L6219">
        <v>493</v>
      </c>
      <c r="M6219">
        <v>1</v>
      </c>
      <c r="N6219">
        <v>5.3245900000000001E-94</v>
      </c>
      <c r="O6219">
        <v>883</v>
      </c>
    </row>
    <row r="6220" spans="1:15" x14ac:dyDescent="0.25">
      <c r="A6220" t="s">
        <v>6233</v>
      </c>
      <c r="B6220">
        <v>248</v>
      </c>
      <c r="C6220" s="1" t="str">
        <f>HYPERLINK("http://www.rosaceae.org/gb/gbrowse/malus_x_domestica/?name=MDP0000317420","MDP0000317420")</f>
        <v>MDP0000317420</v>
      </c>
      <c r="D6220">
        <v>80.83</v>
      </c>
      <c r="E6220">
        <v>120</v>
      </c>
      <c r="F6220">
        <v>23</v>
      </c>
      <c r="G6220">
        <v>0</v>
      </c>
      <c r="H6220">
        <v>21</v>
      </c>
      <c r="I6220">
        <v>140</v>
      </c>
      <c r="J6220">
        <v>1</v>
      </c>
      <c r="K6220">
        <v>192</v>
      </c>
      <c r="L6220">
        <v>311</v>
      </c>
      <c r="M6220">
        <v>1</v>
      </c>
      <c r="N6220">
        <v>2.1627299999999999E-55</v>
      </c>
      <c r="O6220">
        <v>541</v>
      </c>
    </row>
    <row r="6221" spans="1:15" x14ac:dyDescent="0.25">
      <c r="A6221" t="s">
        <v>6234</v>
      </c>
      <c r="B6221">
        <v>250</v>
      </c>
      <c r="C6221" s="1" t="str">
        <f>HYPERLINK("http://www.rosaceae.org/gb/gbrowse/malus_x_domestica/?name=MDP0000681724","MDP0000681724")</f>
        <v>MDP0000681724</v>
      </c>
      <c r="D6221">
        <v>77.48</v>
      </c>
      <c r="E6221">
        <v>231</v>
      </c>
      <c r="F6221">
        <v>52</v>
      </c>
      <c r="G6221">
        <v>0</v>
      </c>
      <c r="H6221">
        <v>19</v>
      </c>
      <c r="I6221">
        <v>249</v>
      </c>
      <c r="J6221">
        <v>1</v>
      </c>
      <c r="K6221">
        <v>20</v>
      </c>
      <c r="L6221">
        <v>250</v>
      </c>
      <c r="M6221">
        <v>1</v>
      </c>
      <c r="N6221">
        <v>1.24679E-102</v>
      </c>
      <c r="O6221">
        <v>948</v>
      </c>
    </row>
    <row r="6222" spans="1:15" x14ac:dyDescent="0.25">
      <c r="A6222" t="s">
        <v>6235</v>
      </c>
      <c r="B6222">
        <v>236</v>
      </c>
      <c r="C6222" s="1" t="str">
        <f>HYPERLINK("http://www.rosaceae.org/gb/gbrowse/malus_x_domestica/?name=MDP0000133936","MDP0000133936")</f>
        <v>MDP0000133936</v>
      </c>
      <c r="D6222">
        <v>68.37</v>
      </c>
      <c r="E6222">
        <v>234</v>
      </c>
      <c r="F6222">
        <v>74</v>
      </c>
      <c r="G6222">
        <v>20</v>
      </c>
      <c r="H6222">
        <v>1</v>
      </c>
      <c r="I6222">
        <v>232</v>
      </c>
      <c r="J6222">
        <v>1</v>
      </c>
      <c r="K6222">
        <v>1</v>
      </c>
      <c r="L6222">
        <v>216</v>
      </c>
      <c r="M6222">
        <v>1</v>
      </c>
      <c r="N6222">
        <v>8.8726399999999995E-82</v>
      </c>
      <c r="O6222">
        <v>768</v>
      </c>
    </row>
    <row r="6223" spans="1:15" x14ac:dyDescent="0.25">
      <c r="A6223" t="s">
        <v>6236</v>
      </c>
      <c r="B6223">
        <v>923</v>
      </c>
      <c r="C6223" s="1" t="str">
        <f>HYPERLINK("http://www.rosaceae.org/gb/gbrowse/malus_x_domestica/?name=MDP0000299465","MDP0000299465")</f>
        <v>MDP0000299465</v>
      </c>
      <c r="D6223">
        <v>49.39</v>
      </c>
      <c r="E6223">
        <v>247</v>
      </c>
      <c r="F6223">
        <v>125</v>
      </c>
      <c r="G6223">
        <v>6</v>
      </c>
      <c r="H6223">
        <v>1</v>
      </c>
      <c r="I6223">
        <v>246</v>
      </c>
      <c r="J6223">
        <v>1</v>
      </c>
      <c r="K6223">
        <v>1</v>
      </c>
      <c r="L6223">
        <v>242</v>
      </c>
      <c r="M6223">
        <v>1</v>
      </c>
      <c r="N6223">
        <v>1.22607E-59</v>
      </c>
      <c r="O6223">
        <v>583</v>
      </c>
    </row>
    <row r="6224" spans="1:15" x14ac:dyDescent="0.25">
      <c r="A6224" t="s">
        <v>6237</v>
      </c>
      <c r="B6224">
        <v>684</v>
      </c>
      <c r="C6224" s="1" t="str">
        <f>HYPERLINK("http://www.rosaceae.org/gb/gbrowse/malus_x_domestica/?name=MDP0000553412","MDP0000553412")</f>
        <v>MDP0000553412</v>
      </c>
      <c r="D6224">
        <v>64.95</v>
      </c>
      <c r="E6224">
        <v>702</v>
      </c>
      <c r="F6224">
        <v>246</v>
      </c>
      <c r="G6224">
        <v>51</v>
      </c>
      <c r="H6224">
        <v>1</v>
      </c>
      <c r="I6224">
        <v>660</v>
      </c>
      <c r="J6224">
        <v>1</v>
      </c>
      <c r="K6224">
        <v>127</v>
      </c>
      <c r="L6224">
        <v>819</v>
      </c>
      <c r="M6224">
        <v>1</v>
      </c>
      <c r="N6224">
        <v>0</v>
      </c>
      <c r="O6224">
        <v>2190</v>
      </c>
    </row>
    <row r="6225" spans="1:15" x14ac:dyDescent="0.25">
      <c r="A6225" t="s">
        <v>6238</v>
      </c>
      <c r="B6225">
        <v>544</v>
      </c>
      <c r="C6225" s="1" t="str">
        <f>HYPERLINK("http://www.rosaceae.org/gb/gbrowse/malus_x_domestica/?name=MDP0000262848","MDP0000262848")</f>
        <v>MDP0000262848</v>
      </c>
      <c r="D6225">
        <v>53.15</v>
      </c>
      <c r="E6225">
        <v>538</v>
      </c>
      <c r="F6225">
        <v>252</v>
      </c>
      <c r="G6225">
        <v>17</v>
      </c>
      <c r="H6225">
        <v>1</v>
      </c>
      <c r="I6225">
        <v>535</v>
      </c>
      <c r="J6225">
        <v>1</v>
      </c>
      <c r="K6225">
        <v>1</v>
      </c>
      <c r="L6225">
        <v>524</v>
      </c>
      <c r="M6225">
        <v>1</v>
      </c>
      <c r="N6225">
        <v>2.81093E-163</v>
      </c>
      <c r="O6225">
        <v>1475</v>
      </c>
    </row>
    <row r="6226" spans="1:15" x14ac:dyDescent="0.25">
      <c r="A6226" t="s">
        <v>6239</v>
      </c>
      <c r="B6226">
        <v>787</v>
      </c>
      <c r="C6226" s="1" t="str">
        <f>HYPERLINK("http://www.rosaceae.org/gb/gbrowse/malus_x_domestica/?name=MDP0000255421","MDP0000255421")</f>
        <v>MDP0000255421</v>
      </c>
      <c r="D6226">
        <v>75.58</v>
      </c>
      <c r="E6226">
        <v>426</v>
      </c>
      <c r="F6226">
        <v>104</v>
      </c>
      <c r="G6226">
        <v>6</v>
      </c>
      <c r="H6226">
        <v>353</v>
      </c>
      <c r="I6226">
        <v>777</v>
      </c>
      <c r="J6226">
        <v>1</v>
      </c>
      <c r="K6226">
        <v>13</v>
      </c>
      <c r="L6226">
        <v>433</v>
      </c>
      <c r="M6226">
        <v>1</v>
      </c>
      <c r="N6226">
        <v>0</v>
      </c>
      <c r="O6226">
        <v>1763</v>
      </c>
    </row>
    <row r="6227" spans="1:15" x14ac:dyDescent="0.25">
      <c r="A6227" t="s">
        <v>6240</v>
      </c>
      <c r="B6227">
        <v>1091</v>
      </c>
      <c r="C6227" s="1" t="str">
        <f>HYPERLINK("http://www.rosaceae.org/gb/gbrowse/malus_x_domestica/?name=MDP0000235604","MDP0000235604")</f>
        <v>MDP0000235604</v>
      </c>
      <c r="D6227">
        <v>43.57</v>
      </c>
      <c r="E6227">
        <v>941</v>
      </c>
      <c r="F6227">
        <v>531</v>
      </c>
      <c r="G6227">
        <v>143</v>
      </c>
      <c r="H6227">
        <v>164</v>
      </c>
      <c r="I6227">
        <v>1080</v>
      </c>
      <c r="J6227">
        <v>1</v>
      </c>
      <c r="K6227">
        <v>114</v>
      </c>
      <c r="L6227">
        <v>935</v>
      </c>
      <c r="M6227">
        <v>1</v>
      </c>
      <c r="N6227">
        <v>2.5944199999999998E-179</v>
      </c>
      <c r="O6227">
        <v>1616</v>
      </c>
    </row>
    <row r="6228" spans="1:15" x14ac:dyDescent="0.25">
      <c r="A6228" t="s">
        <v>6241</v>
      </c>
      <c r="B6228">
        <v>2660</v>
      </c>
      <c r="C6228" s="1" t="str">
        <f>HYPERLINK("http://www.rosaceae.org/gb/gbrowse/malus_x_domestica/?name=MDP0000203763","MDP0000203763")</f>
        <v>MDP0000203763</v>
      </c>
      <c r="D6228">
        <v>66.52</v>
      </c>
      <c r="E6228">
        <v>1637</v>
      </c>
      <c r="F6228">
        <v>548</v>
      </c>
      <c r="G6228">
        <v>239</v>
      </c>
      <c r="H6228">
        <v>1107</v>
      </c>
      <c r="I6228">
        <v>2658</v>
      </c>
      <c r="J6228">
        <v>1</v>
      </c>
      <c r="K6228">
        <v>291</v>
      </c>
      <c r="L6228">
        <v>1773</v>
      </c>
      <c r="M6228">
        <v>1</v>
      </c>
      <c r="N6228">
        <v>0</v>
      </c>
      <c r="O6228">
        <v>5415</v>
      </c>
    </row>
    <row r="6229" spans="1:15" x14ac:dyDescent="0.25">
      <c r="A6229" t="s">
        <v>6242</v>
      </c>
      <c r="B6229">
        <v>1033</v>
      </c>
      <c r="C6229" s="1" t="str">
        <f>HYPERLINK("http://www.rosaceae.org/gb/gbrowse/malus_x_domestica/?name=MDP0000708299","MDP0000708299")</f>
        <v>MDP0000708299</v>
      </c>
      <c r="D6229">
        <v>76.13</v>
      </c>
      <c r="E6229">
        <v>1031</v>
      </c>
      <c r="F6229">
        <v>246</v>
      </c>
      <c r="G6229">
        <v>14</v>
      </c>
      <c r="H6229">
        <v>4</v>
      </c>
      <c r="I6229">
        <v>1029</v>
      </c>
      <c r="J6229">
        <v>1</v>
      </c>
      <c r="K6229">
        <v>72</v>
      </c>
      <c r="L6229">
        <v>1093</v>
      </c>
      <c r="M6229">
        <v>1</v>
      </c>
      <c r="N6229">
        <v>0</v>
      </c>
      <c r="O6229">
        <v>4045</v>
      </c>
    </row>
    <row r="6230" spans="1:15" x14ac:dyDescent="0.25">
      <c r="A6230" t="s">
        <v>6243</v>
      </c>
      <c r="B6230">
        <v>672</v>
      </c>
      <c r="C6230" s="1" t="str">
        <f>HYPERLINK("http://www.rosaceae.org/gb/gbrowse/malus_x_domestica/?name=MDP0000681106","MDP0000681106")</f>
        <v>MDP0000681106</v>
      </c>
      <c r="D6230">
        <v>31.12</v>
      </c>
      <c r="E6230">
        <v>633</v>
      </c>
      <c r="F6230">
        <v>436</v>
      </c>
      <c r="G6230">
        <v>59</v>
      </c>
      <c r="H6230">
        <v>26</v>
      </c>
      <c r="I6230">
        <v>644</v>
      </c>
      <c r="J6230">
        <v>1</v>
      </c>
      <c r="K6230">
        <v>45</v>
      </c>
      <c r="L6230">
        <v>632</v>
      </c>
      <c r="M6230">
        <v>1</v>
      </c>
      <c r="N6230">
        <v>2.7324800000000001E-74</v>
      </c>
      <c r="O6230">
        <v>708</v>
      </c>
    </row>
    <row r="6231" spans="1:15" x14ac:dyDescent="0.25">
      <c r="A6231" t="s">
        <v>6244</v>
      </c>
      <c r="B6231">
        <v>1189</v>
      </c>
      <c r="C6231" s="1" t="str">
        <f>HYPERLINK("http://www.rosaceae.org/gb/gbrowse/malus_x_domestica/?name=MDP0000214735","MDP0000214735")</f>
        <v>MDP0000214735</v>
      </c>
      <c r="D6231">
        <v>86.06</v>
      </c>
      <c r="E6231">
        <v>811</v>
      </c>
      <c r="F6231">
        <v>113</v>
      </c>
      <c r="G6231">
        <v>17</v>
      </c>
      <c r="H6231">
        <v>380</v>
      </c>
      <c r="I6231">
        <v>1176</v>
      </c>
      <c r="J6231">
        <v>1</v>
      </c>
      <c r="K6231">
        <v>81</v>
      </c>
      <c r="L6231">
        <v>888</v>
      </c>
      <c r="M6231">
        <v>1</v>
      </c>
      <c r="N6231">
        <v>0</v>
      </c>
      <c r="O6231">
        <v>3718</v>
      </c>
    </row>
    <row r="6232" spans="1:15" x14ac:dyDescent="0.25">
      <c r="A6232" t="s">
        <v>6245</v>
      </c>
      <c r="B6232">
        <v>629</v>
      </c>
      <c r="C6232" s="1" t="str">
        <f>HYPERLINK("http://www.rosaceae.org/gb/gbrowse/malus_x_domestica/?name=MDP0000320142","MDP0000320142")</f>
        <v>MDP0000320142</v>
      </c>
      <c r="D6232">
        <v>82.13</v>
      </c>
      <c r="E6232">
        <v>599</v>
      </c>
      <c r="F6232">
        <v>107</v>
      </c>
      <c r="G6232">
        <v>34</v>
      </c>
      <c r="H6232">
        <v>65</v>
      </c>
      <c r="I6232">
        <v>629</v>
      </c>
      <c r="J6232">
        <v>1</v>
      </c>
      <c r="K6232">
        <v>90</v>
      </c>
      <c r="L6232">
        <v>688</v>
      </c>
      <c r="M6232">
        <v>1</v>
      </c>
      <c r="N6232">
        <v>0</v>
      </c>
      <c r="O6232">
        <v>2548</v>
      </c>
    </row>
    <row r="6233" spans="1:15" x14ac:dyDescent="0.25">
      <c r="A6233" t="s">
        <v>6246</v>
      </c>
      <c r="B6233">
        <v>1552</v>
      </c>
      <c r="C6233" s="1" t="str">
        <f>HYPERLINK("http://www.rosaceae.org/gb/gbrowse/malus_x_domestica/?name=MDP0000516949","MDP0000516949")</f>
        <v>MDP0000516949</v>
      </c>
      <c r="D6233">
        <v>62.63</v>
      </c>
      <c r="E6233">
        <v>1440</v>
      </c>
      <c r="F6233">
        <v>538</v>
      </c>
      <c r="G6233">
        <v>135</v>
      </c>
      <c r="H6233">
        <v>3</v>
      </c>
      <c r="I6233">
        <v>1370</v>
      </c>
      <c r="J6233">
        <v>1</v>
      </c>
      <c r="K6233">
        <v>10</v>
      </c>
      <c r="L6233">
        <v>1386</v>
      </c>
      <c r="M6233">
        <v>1</v>
      </c>
      <c r="N6233">
        <v>0</v>
      </c>
      <c r="O6233">
        <v>4175</v>
      </c>
    </row>
    <row r="6234" spans="1:15" x14ac:dyDescent="0.25">
      <c r="A6234" t="s">
        <v>6247</v>
      </c>
      <c r="B6234">
        <v>114</v>
      </c>
      <c r="C6234" s="1" t="str">
        <f>HYPERLINK("http://www.rosaceae.org/gb/gbrowse/malus_x_domestica/?name=MDP0000261830","MDP0000261830")</f>
        <v>MDP0000261830</v>
      </c>
      <c r="D6234">
        <v>68.34</v>
      </c>
      <c r="E6234">
        <v>139</v>
      </c>
      <c r="F6234">
        <v>44</v>
      </c>
      <c r="G6234">
        <v>27</v>
      </c>
      <c r="H6234">
        <v>1</v>
      </c>
      <c r="I6234">
        <v>114</v>
      </c>
      <c r="J6234">
        <v>1</v>
      </c>
      <c r="K6234">
        <v>1</v>
      </c>
      <c r="L6234">
        <v>137</v>
      </c>
      <c r="M6234">
        <v>1</v>
      </c>
      <c r="N6234">
        <v>1.3518899999999999E-46</v>
      </c>
      <c r="O6234">
        <v>459</v>
      </c>
    </row>
    <row r="6235" spans="1:15" x14ac:dyDescent="0.25">
      <c r="A6235" t="s">
        <v>6248</v>
      </c>
      <c r="B6235">
        <v>330</v>
      </c>
      <c r="C6235" s="1" t="str">
        <f>HYPERLINK("http://www.rosaceae.org/gb/gbrowse/malus_x_domestica/?name=MDP0000647619","MDP0000647619")</f>
        <v>MDP0000647619</v>
      </c>
      <c r="D6235">
        <v>95.2</v>
      </c>
      <c r="E6235">
        <v>146</v>
      </c>
      <c r="F6235">
        <v>7</v>
      </c>
      <c r="G6235">
        <v>0</v>
      </c>
      <c r="H6235">
        <v>142</v>
      </c>
      <c r="I6235">
        <v>287</v>
      </c>
      <c r="J6235">
        <v>1</v>
      </c>
      <c r="K6235">
        <v>112</v>
      </c>
      <c r="L6235">
        <v>257</v>
      </c>
      <c r="M6235">
        <v>1</v>
      </c>
      <c r="N6235">
        <v>3.2645100000000001E-80</v>
      </c>
      <c r="O6235">
        <v>756</v>
      </c>
    </row>
    <row r="6236" spans="1:15" x14ac:dyDescent="0.25">
      <c r="A6236" t="s">
        <v>6249</v>
      </c>
      <c r="B6236">
        <v>451</v>
      </c>
      <c r="C6236" s="1" t="str">
        <f>HYPERLINK("http://www.rosaceae.org/gb/gbrowse/malus_x_domestica/?name=MDP0000268045","MDP0000268045")</f>
        <v>MDP0000268045</v>
      </c>
      <c r="D6236">
        <v>57.96</v>
      </c>
      <c r="E6236">
        <v>295</v>
      </c>
      <c r="F6236">
        <v>124</v>
      </c>
      <c r="G6236">
        <v>47</v>
      </c>
      <c r="H6236">
        <v>26</v>
      </c>
      <c r="I6236">
        <v>276</v>
      </c>
      <c r="J6236">
        <v>1</v>
      </c>
      <c r="K6236">
        <v>33</v>
      </c>
      <c r="L6236">
        <v>324</v>
      </c>
      <c r="M6236">
        <v>1</v>
      </c>
      <c r="N6236">
        <v>3.0722400000000001E-88</v>
      </c>
      <c r="O6236">
        <v>827</v>
      </c>
    </row>
    <row r="6237" spans="1:15" x14ac:dyDescent="0.25">
      <c r="A6237" t="s">
        <v>6250</v>
      </c>
      <c r="B6237">
        <v>310</v>
      </c>
      <c r="C6237" s="1" t="str">
        <f>HYPERLINK("http://www.rosaceae.org/gb/gbrowse/malus_x_domestica/?name=MDP0000255931","MDP0000255931")</f>
        <v>MDP0000255931</v>
      </c>
      <c r="D6237">
        <v>52.42</v>
      </c>
      <c r="E6237">
        <v>103</v>
      </c>
      <c r="F6237">
        <v>49</v>
      </c>
      <c r="G6237">
        <v>12</v>
      </c>
      <c r="H6237">
        <v>1</v>
      </c>
      <c r="I6237">
        <v>93</v>
      </c>
      <c r="J6237">
        <v>1</v>
      </c>
      <c r="K6237">
        <v>1</v>
      </c>
      <c r="L6237">
        <v>101</v>
      </c>
      <c r="M6237">
        <v>1</v>
      </c>
      <c r="N6237">
        <v>1.4519999999999999E-23</v>
      </c>
      <c r="O6237">
        <v>267</v>
      </c>
    </row>
    <row r="6238" spans="1:15" x14ac:dyDescent="0.25">
      <c r="A6238" t="s">
        <v>6251</v>
      </c>
      <c r="B6238">
        <v>307</v>
      </c>
      <c r="C6238" s="1" t="str">
        <f>HYPERLINK("http://www.rosaceae.org/gb/gbrowse/malus_x_domestica/?name=MDP0000315037","MDP0000315037")</f>
        <v>MDP0000315037</v>
      </c>
      <c r="D6238">
        <v>66.88</v>
      </c>
      <c r="E6238">
        <v>305</v>
      </c>
      <c r="F6238">
        <v>101</v>
      </c>
      <c r="G6238">
        <v>7</v>
      </c>
      <c r="H6238">
        <v>9</v>
      </c>
      <c r="I6238">
        <v>307</v>
      </c>
      <c r="J6238">
        <v>1</v>
      </c>
      <c r="K6238">
        <v>14</v>
      </c>
      <c r="L6238">
        <v>317</v>
      </c>
      <c r="M6238">
        <v>1</v>
      </c>
      <c r="N6238">
        <v>2.9942299999999998E-124</v>
      </c>
      <c r="O6238">
        <v>1136</v>
      </c>
    </row>
    <row r="6239" spans="1:15" x14ac:dyDescent="0.25">
      <c r="A6239" t="s">
        <v>6252</v>
      </c>
      <c r="B6239">
        <v>276</v>
      </c>
      <c r="C6239" s="1" t="str">
        <f>HYPERLINK("http://www.rosaceae.org/gb/gbrowse/malus_x_domestica/?name=MDP0000292031","MDP0000292031")</f>
        <v>MDP0000292031</v>
      </c>
      <c r="D6239">
        <v>76.33</v>
      </c>
      <c r="E6239">
        <v>224</v>
      </c>
      <c r="F6239">
        <v>53</v>
      </c>
      <c r="G6239">
        <v>2</v>
      </c>
      <c r="H6239">
        <v>53</v>
      </c>
      <c r="I6239">
        <v>276</v>
      </c>
      <c r="J6239">
        <v>1</v>
      </c>
      <c r="K6239">
        <v>4</v>
      </c>
      <c r="L6239">
        <v>225</v>
      </c>
      <c r="M6239">
        <v>1</v>
      </c>
      <c r="N6239">
        <v>5.5171300000000004E-99</v>
      </c>
      <c r="O6239">
        <v>917</v>
      </c>
    </row>
    <row r="6240" spans="1:15" x14ac:dyDescent="0.25">
      <c r="A6240" t="s">
        <v>6253</v>
      </c>
      <c r="B6240">
        <v>413</v>
      </c>
      <c r="C6240" s="1" t="str">
        <f>HYPERLINK("http://www.rosaceae.org/gb/gbrowse/malus_x_domestica/?name=MDP0000178415","MDP0000178415")</f>
        <v>MDP0000178415</v>
      </c>
      <c r="D6240">
        <v>79.61</v>
      </c>
      <c r="E6240">
        <v>368</v>
      </c>
      <c r="F6240">
        <v>75</v>
      </c>
      <c r="G6240">
        <v>13</v>
      </c>
      <c r="H6240">
        <v>22</v>
      </c>
      <c r="I6240">
        <v>386</v>
      </c>
      <c r="J6240">
        <v>1</v>
      </c>
      <c r="K6240">
        <v>38</v>
      </c>
      <c r="L6240">
        <v>395</v>
      </c>
      <c r="M6240">
        <v>1</v>
      </c>
      <c r="N6240">
        <v>3.8198000000000001E-166</v>
      </c>
      <c r="O6240">
        <v>1498</v>
      </c>
    </row>
    <row r="6241" spans="1:15" x14ac:dyDescent="0.25">
      <c r="A6241" t="s">
        <v>6254</v>
      </c>
      <c r="B6241">
        <v>850</v>
      </c>
      <c r="C6241" s="1" t="str">
        <f>HYPERLINK("http://www.rosaceae.org/gb/gbrowse/malus_x_domestica/?name=MDP0000939989","MDP0000939989")</f>
        <v>MDP0000939989</v>
      </c>
      <c r="D6241">
        <v>57.03</v>
      </c>
      <c r="E6241">
        <v>128</v>
      </c>
      <c r="F6241">
        <v>55</v>
      </c>
      <c r="G6241">
        <v>13</v>
      </c>
      <c r="H6241">
        <v>138</v>
      </c>
      <c r="I6241">
        <v>252</v>
      </c>
      <c r="J6241">
        <v>1</v>
      </c>
      <c r="K6241">
        <v>27</v>
      </c>
      <c r="L6241">
        <v>154</v>
      </c>
      <c r="M6241">
        <v>1</v>
      </c>
      <c r="N6241">
        <v>3.7289699999999998E-30</v>
      </c>
      <c r="O6241">
        <v>329</v>
      </c>
    </row>
    <row r="6242" spans="1:15" x14ac:dyDescent="0.25">
      <c r="A6242" t="s">
        <v>6255</v>
      </c>
      <c r="B6242">
        <v>252</v>
      </c>
      <c r="C6242" s="1" t="str">
        <f>HYPERLINK("http://www.rosaceae.org/gb/gbrowse/malus_x_domestica/?name=MDP0000671158","MDP0000671158")</f>
        <v>MDP0000671158</v>
      </c>
      <c r="D6242">
        <v>42.74</v>
      </c>
      <c r="E6242">
        <v>131</v>
      </c>
      <c r="F6242">
        <v>75</v>
      </c>
      <c r="G6242">
        <v>9</v>
      </c>
      <c r="H6242">
        <v>122</v>
      </c>
      <c r="I6242">
        <v>249</v>
      </c>
      <c r="J6242">
        <v>1</v>
      </c>
      <c r="K6242">
        <v>56</v>
      </c>
      <c r="L6242">
        <v>180</v>
      </c>
      <c r="M6242">
        <v>1</v>
      </c>
      <c r="N6242">
        <v>5.57082E-21</v>
      </c>
      <c r="O6242">
        <v>244</v>
      </c>
    </row>
    <row r="6243" spans="1:15" x14ac:dyDescent="0.25">
      <c r="A6243" t="s">
        <v>6256</v>
      </c>
      <c r="B6243">
        <v>312</v>
      </c>
      <c r="C6243" s="1" t="str">
        <f>HYPERLINK("http://www.rosaceae.org/gb/gbrowse/malus_x_domestica/?name=MDP0000800788","MDP0000800788")</f>
        <v>MDP0000800788</v>
      </c>
      <c r="D6243">
        <v>76.45</v>
      </c>
      <c r="E6243">
        <v>293</v>
      </c>
      <c r="F6243">
        <v>69</v>
      </c>
      <c r="G6243">
        <v>10</v>
      </c>
      <c r="H6243">
        <v>1</v>
      </c>
      <c r="I6243">
        <v>289</v>
      </c>
      <c r="J6243">
        <v>1</v>
      </c>
      <c r="K6243">
        <v>1</v>
      </c>
      <c r="L6243">
        <v>287</v>
      </c>
      <c r="M6243">
        <v>1</v>
      </c>
      <c r="N6243">
        <v>4.8932800000000002E-125</v>
      </c>
      <c r="O6243">
        <v>1142</v>
      </c>
    </row>
    <row r="6244" spans="1:15" x14ac:dyDescent="0.25">
      <c r="A6244" t="s">
        <v>6257</v>
      </c>
      <c r="B6244">
        <v>385</v>
      </c>
      <c r="C6244" s="1" t="str">
        <f>HYPERLINK("http://www.rosaceae.org/gb/gbrowse/malus_x_domestica/?name=MDP0000282103","MDP0000282103")</f>
        <v>MDP0000282103</v>
      </c>
      <c r="D6244">
        <v>53.17</v>
      </c>
      <c r="E6244">
        <v>173</v>
      </c>
      <c r="F6244">
        <v>81</v>
      </c>
      <c r="G6244">
        <v>19</v>
      </c>
      <c r="H6244">
        <v>22</v>
      </c>
      <c r="I6244">
        <v>194</v>
      </c>
      <c r="J6244">
        <v>1</v>
      </c>
      <c r="K6244">
        <v>82</v>
      </c>
      <c r="L6244">
        <v>235</v>
      </c>
      <c r="M6244">
        <v>1</v>
      </c>
      <c r="N6244">
        <v>1.5220899999999999E-42</v>
      </c>
      <c r="O6244">
        <v>432</v>
      </c>
    </row>
    <row r="6245" spans="1:15" x14ac:dyDescent="0.25">
      <c r="A6245" t="s">
        <v>6258</v>
      </c>
      <c r="B6245">
        <v>1236</v>
      </c>
      <c r="C6245" s="1" t="str">
        <f>HYPERLINK("http://www.rosaceae.org/gb/gbrowse/malus_x_domestica/?name=MDP0000286528","MDP0000286528")</f>
        <v>MDP0000286528</v>
      </c>
      <c r="D6245">
        <v>85.55</v>
      </c>
      <c r="E6245">
        <v>1218</v>
      </c>
      <c r="F6245">
        <v>176</v>
      </c>
      <c r="G6245">
        <v>29</v>
      </c>
      <c r="H6245">
        <v>41</v>
      </c>
      <c r="I6245">
        <v>1230</v>
      </c>
      <c r="J6245">
        <v>1</v>
      </c>
      <c r="K6245">
        <v>37</v>
      </c>
      <c r="L6245">
        <v>1253</v>
      </c>
      <c r="M6245">
        <v>1</v>
      </c>
      <c r="N6245">
        <v>0</v>
      </c>
      <c r="O6245">
        <v>5466</v>
      </c>
    </row>
    <row r="6246" spans="1:15" x14ac:dyDescent="0.25">
      <c r="A6246" t="s">
        <v>6259</v>
      </c>
      <c r="B6246">
        <v>172</v>
      </c>
      <c r="C6246" s="1" t="str">
        <f>HYPERLINK("http://www.rosaceae.org/gb/gbrowse/malus_x_domestica/?name=MDP0000258743","MDP0000258743")</f>
        <v>MDP0000258743</v>
      </c>
      <c r="D6246">
        <v>41.3</v>
      </c>
      <c r="E6246">
        <v>46</v>
      </c>
      <c r="F6246">
        <v>27</v>
      </c>
      <c r="G6246">
        <v>0</v>
      </c>
      <c r="H6246">
        <v>3</v>
      </c>
      <c r="I6246">
        <v>48</v>
      </c>
      <c r="J6246">
        <v>1</v>
      </c>
      <c r="K6246">
        <v>160</v>
      </c>
      <c r="L6246">
        <v>205</v>
      </c>
      <c r="M6246">
        <v>1</v>
      </c>
      <c r="N6246">
        <v>8.6974200000000001E-7</v>
      </c>
      <c r="O6246">
        <v>119</v>
      </c>
    </row>
    <row r="6247" spans="1:15" x14ac:dyDescent="0.25">
      <c r="A6247" t="s">
        <v>6260</v>
      </c>
      <c r="B6247">
        <v>101</v>
      </c>
      <c r="C6247" s="1" t="str">
        <f>HYPERLINK("http://www.rosaceae.org/gb/gbrowse/malus_x_domestica/?name=MDP0000258117","MDP0000258117")</f>
        <v>MDP0000258117</v>
      </c>
      <c r="D6247">
        <v>93.02</v>
      </c>
      <c r="E6247">
        <v>86</v>
      </c>
      <c r="F6247">
        <v>6</v>
      </c>
      <c r="G6247">
        <v>0</v>
      </c>
      <c r="H6247">
        <v>15</v>
      </c>
      <c r="I6247">
        <v>100</v>
      </c>
      <c r="J6247">
        <v>1</v>
      </c>
      <c r="K6247">
        <v>90</v>
      </c>
      <c r="L6247">
        <v>175</v>
      </c>
      <c r="M6247">
        <v>1</v>
      </c>
      <c r="N6247">
        <v>1.3423500000000001E-43</v>
      </c>
      <c r="O6247">
        <v>433</v>
      </c>
    </row>
    <row r="6248" spans="1:15" x14ac:dyDescent="0.25">
      <c r="A6248" t="s">
        <v>6261</v>
      </c>
      <c r="B6248">
        <v>176</v>
      </c>
      <c r="C6248" s="1" t="str">
        <f>HYPERLINK("http://www.rosaceae.org/gb/gbrowse/malus_x_domestica/?name=MDP0000156582","MDP0000156582")</f>
        <v>MDP0000156582</v>
      </c>
      <c r="D6248">
        <v>40</v>
      </c>
      <c r="E6248">
        <v>75</v>
      </c>
      <c r="F6248">
        <v>45</v>
      </c>
      <c r="G6248">
        <v>9</v>
      </c>
      <c r="H6248">
        <v>93</v>
      </c>
      <c r="I6248">
        <v>165</v>
      </c>
      <c r="J6248">
        <v>1</v>
      </c>
      <c r="K6248">
        <v>162</v>
      </c>
      <c r="L6248">
        <v>229</v>
      </c>
      <c r="M6248">
        <v>1</v>
      </c>
      <c r="N6248">
        <v>4.3563300000000004E-9</v>
      </c>
      <c r="O6248">
        <v>139</v>
      </c>
    </row>
    <row r="6249" spans="1:15" x14ac:dyDescent="0.25">
      <c r="A6249" t="s">
        <v>6262</v>
      </c>
      <c r="B6249">
        <v>634</v>
      </c>
      <c r="C6249" s="1" t="str">
        <f>HYPERLINK("http://www.rosaceae.org/gb/gbrowse/malus_x_domestica/?name=MDP0000256086","MDP0000256086")</f>
        <v>MDP0000256086</v>
      </c>
      <c r="D6249">
        <v>41.58</v>
      </c>
      <c r="E6249">
        <v>582</v>
      </c>
      <c r="F6249">
        <v>340</v>
      </c>
      <c r="G6249">
        <v>13</v>
      </c>
      <c r="H6249">
        <v>50</v>
      </c>
      <c r="I6249">
        <v>630</v>
      </c>
      <c r="J6249">
        <v>1</v>
      </c>
      <c r="K6249">
        <v>165</v>
      </c>
      <c r="L6249">
        <v>734</v>
      </c>
      <c r="M6249">
        <v>1</v>
      </c>
      <c r="N6249">
        <v>5.3900800000000003E-137</v>
      </c>
      <c r="O6249">
        <v>1249</v>
      </c>
    </row>
    <row r="6250" spans="1:15" x14ac:dyDescent="0.25">
      <c r="A6250" t="s">
        <v>6263</v>
      </c>
      <c r="B6250">
        <v>761</v>
      </c>
      <c r="C6250" s="1" t="str">
        <f>HYPERLINK("http://www.rosaceae.org/gb/gbrowse/malus_x_domestica/?name=MDP0000178532","MDP0000178532")</f>
        <v>MDP0000178532</v>
      </c>
      <c r="D6250">
        <v>66.62</v>
      </c>
      <c r="E6250">
        <v>767</v>
      </c>
      <c r="F6250">
        <v>256</v>
      </c>
      <c r="G6250">
        <v>33</v>
      </c>
      <c r="H6250">
        <v>1</v>
      </c>
      <c r="I6250">
        <v>758</v>
      </c>
      <c r="J6250">
        <v>1</v>
      </c>
      <c r="K6250">
        <v>1</v>
      </c>
      <c r="L6250">
        <v>743</v>
      </c>
      <c r="M6250">
        <v>1</v>
      </c>
      <c r="N6250">
        <v>0</v>
      </c>
      <c r="O6250">
        <v>2598</v>
      </c>
    </row>
    <row r="6251" spans="1:15" x14ac:dyDescent="0.25">
      <c r="A6251" t="s">
        <v>6264</v>
      </c>
      <c r="B6251">
        <v>635</v>
      </c>
      <c r="C6251" s="1" t="str">
        <f>HYPERLINK("http://www.rosaceae.org/gb/gbrowse/malus_x_domestica/?name=MDP0000198402","MDP0000198402")</f>
        <v>MDP0000198402</v>
      </c>
      <c r="D6251">
        <v>76.13</v>
      </c>
      <c r="E6251">
        <v>637</v>
      </c>
      <c r="F6251">
        <v>152</v>
      </c>
      <c r="G6251">
        <v>12</v>
      </c>
      <c r="H6251">
        <v>1</v>
      </c>
      <c r="I6251">
        <v>633</v>
      </c>
      <c r="J6251">
        <v>1</v>
      </c>
      <c r="K6251">
        <v>1</v>
      </c>
      <c r="L6251">
        <v>629</v>
      </c>
      <c r="M6251">
        <v>1</v>
      </c>
      <c r="N6251">
        <v>0</v>
      </c>
      <c r="O6251">
        <v>2493</v>
      </c>
    </row>
    <row r="6252" spans="1:15" x14ac:dyDescent="0.25">
      <c r="A6252" t="s">
        <v>6265</v>
      </c>
      <c r="B6252">
        <v>509</v>
      </c>
      <c r="C6252" s="1" t="str">
        <f>HYPERLINK("http://www.rosaceae.org/gb/gbrowse/malus_x_domestica/?name=MDP0000499282","MDP0000499282")</f>
        <v>MDP0000499282</v>
      </c>
      <c r="D6252">
        <v>87.21</v>
      </c>
      <c r="E6252">
        <v>477</v>
      </c>
      <c r="F6252">
        <v>61</v>
      </c>
      <c r="G6252">
        <v>2</v>
      </c>
      <c r="H6252">
        <v>35</v>
      </c>
      <c r="I6252">
        <v>509</v>
      </c>
      <c r="J6252">
        <v>1</v>
      </c>
      <c r="K6252">
        <v>33</v>
      </c>
      <c r="L6252">
        <v>509</v>
      </c>
      <c r="M6252">
        <v>1</v>
      </c>
      <c r="N6252">
        <v>0</v>
      </c>
      <c r="O6252">
        <v>2245</v>
      </c>
    </row>
    <row r="6253" spans="1:15" x14ac:dyDescent="0.25">
      <c r="A6253" t="s">
        <v>6266</v>
      </c>
      <c r="B6253">
        <v>1905</v>
      </c>
      <c r="C6253" s="1" t="str">
        <f>HYPERLINK("http://www.rosaceae.org/gb/gbrowse/malus_x_domestica/?name=MDP0000538208","MDP0000538208")</f>
        <v>MDP0000538208</v>
      </c>
      <c r="D6253">
        <v>64.66</v>
      </c>
      <c r="E6253">
        <v>934</v>
      </c>
      <c r="F6253">
        <v>330</v>
      </c>
      <c r="G6253">
        <v>2</v>
      </c>
      <c r="H6253">
        <v>5</v>
      </c>
      <c r="I6253">
        <v>938</v>
      </c>
      <c r="J6253">
        <v>1</v>
      </c>
      <c r="K6253">
        <v>137</v>
      </c>
      <c r="L6253">
        <v>1068</v>
      </c>
      <c r="M6253">
        <v>1</v>
      </c>
      <c r="N6253">
        <v>0</v>
      </c>
      <c r="O6253">
        <v>3067</v>
      </c>
    </row>
    <row r="6254" spans="1:15" x14ac:dyDescent="0.25">
      <c r="A6254" t="s">
        <v>6267</v>
      </c>
      <c r="B6254">
        <v>335</v>
      </c>
      <c r="C6254" s="1" t="str">
        <f>HYPERLINK("http://www.rosaceae.org/gb/gbrowse/malus_x_domestica/?name=MDP0000946670","MDP0000946670")</f>
        <v>MDP0000946670</v>
      </c>
      <c r="D6254">
        <v>31.64</v>
      </c>
      <c r="E6254">
        <v>395</v>
      </c>
      <c r="F6254">
        <v>270</v>
      </c>
      <c r="G6254">
        <v>96</v>
      </c>
      <c r="H6254">
        <v>2</v>
      </c>
      <c r="I6254">
        <v>335</v>
      </c>
      <c r="J6254">
        <v>1</v>
      </c>
      <c r="K6254">
        <v>6</v>
      </c>
      <c r="L6254">
        <v>365</v>
      </c>
      <c r="M6254">
        <v>1</v>
      </c>
      <c r="N6254">
        <v>3.1952400000000001E-28</v>
      </c>
      <c r="O6254">
        <v>308</v>
      </c>
    </row>
    <row r="6255" spans="1:15" x14ac:dyDescent="0.25">
      <c r="A6255" t="s">
        <v>6268</v>
      </c>
      <c r="B6255">
        <v>230</v>
      </c>
      <c r="C6255" s="1" t="str">
        <f>HYPERLINK("http://www.rosaceae.org/gb/gbrowse/malus_x_domestica/?name=MDP0000842521","MDP0000842521")</f>
        <v>MDP0000842521</v>
      </c>
      <c r="D6255">
        <v>60.49</v>
      </c>
      <c r="E6255">
        <v>243</v>
      </c>
      <c r="F6255">
        <v>96</v>
      </c>
      <c r="G6255">
        <v>29</v>
      </c>
      <c r="H6255">
        <v>1</v>
      </c>
      <c r="I6255">
        <v>230</v>
      </c>
      <c r="J6255">
        <v>1</v>
      </c>
      <c r="K6255">
        <v>1</v>
      </c>
      <c r="L6255">
        <v>227</v>
      </c>
      <c r="M6255">
        <v>1</v>
      </c>
      <c r="N6255">
        <v>2.97174E-73</v>
      </c>
      <c r="O6255">
        <v>694</v>
      </c>
    </row>
    <row r="6256" spans="1:15" x14ac:dyDescent="0.25">
      <c r="A6256" t="s">
        <v>6269</v>
      </c>
      <c r="B6256">
        <v>330</v>
      </c>
      <c r="C6256" s="1" t="str">
        <f>HYPERLINK("http://www.rosaceae.org/gb/gbrowse/malus_x_domestica/?name=MDP0000645828","MDP0000645828")</f>
        <v>MDP0000645828</v>
      </c>
      <c r="D6256">
        <v>85.84</v>
      </c>
      <c r="E6256">
        <v>318</v>
      </c>
      <c r="F6256">
        <v>45</v>
      </c>
      <c r="G6256">
        <v>0</v>
      </c>
      <c r="H6256">
        <v>13</v>
      </c>
      <c r="I6256">
        <v>330</v>
      </c>
      <c r="J6256">
        <v>1</v>
      </c>
      <c r="K6256">
        <v>101</v>
      </c>
      <c r="L6256">
        <v>418</v>
      </c>
      <c r="M6256">
        <v>1</v>
      </c>
      <c r="N6256">
        <v>3.5849000000000002E-160</v>
      </c>
      <c r="O6256">
        <v>1446</v>
      </c>
    </row>
    <row r="6257" spans="1:15" x14ac:dyDescent="0.25">
      <c r="A6257" t="s">
        <v>6270</v>
      </c>
      <c r="B6257">
        <v>392</v>
      </c>
      <c r="C6257" s="1" t="str">
        <f>HYPERLINK("http://www.rosaceae.org/gb/gbrowse/malus_x_domestica/?name=MDP0000279205","MDP0000279205")</f>
        <v>MDP0000279205</v>
      </c>
      <c r="D6257">
        <v>85.71</v>
      </c>
      <c r="E6257">
        <v>413</v>
      </c>
      <c r="F6257">
        <v>59</v>
      </c>
      <c r="G6257">
        <v>21</v>
      </c>
      <c r="H6257">
        <v>1</v>
      </c>
      <c r="I6257">
        <v>392</v>
      </c>
      <c r="J6257">
        <v>1</v>
      </c>
      <c r="K6257">
        <v>1</v>
      </c>
      <c r="L6257">
        <v>413</v>
      </c>
      <c r="M6257">
        <v>1</v>
      </c>
      <c r="N6257">
        <v>0</v>
      </c>
      <c r="O6257">
        <v>1843</v>
      </c>
    </row>
    <row r="6258" spans="1:15" x14ac:dyDescent="0.25">
      <c r="A6258" t="s">
        <v>6271</v>
      </c>
      <c r="B6258">
        <v>1539</v>
      </c>
      <c r="C6258" s="1" t="str">
        <f>HYPERLINK("http://www.rosaceae.org/gb/gbrowse/malus_x_domestica/?name=MDP0000869200","MDP0000869200")</f>
        <v>MDP0000869200</v>
      </c>
      <c r="D6258">
        <v>64.02</v>
      </c>
      <c r="E6258">
        <v>1501</v>
      </c>
      <c r="F6258">
        <v>540</v>
      </c>
      <c r="G6258">
        <v>171</v>
      </c>
      <c r="H6258">
        <v>1</v>
      </c>
      <c r="I6258">
        <v>1488</v>
      </c>
      <c r="J6258">
        <v>1</v>
      </c>
      <c r="K6258">
        <v>1</v>
      </c>
      <c r="L6258">
        <v>1343</v>
      </c>
      <c r="M6258">
        <v>1</v>
      </c>
      <c r="N6258">
        <v>0</v>
      </c>
      <c r="O6258">
        <v>4587</v>
      </c>
    </row>
    <row r="6259" spans="1:15" x14ac:dyDescent="0.25">
      <c r="A6259" t="s">
        <v>6272</v>
      </c>
      <c r="B6259">
        <v>531</v>
      </c>
      <c r="C6259" s="1" t="str">
        <f>HYPERLINK("http://www.rosaceae.org/gb/gbrowse/malus_x_domestica/?name=MDP0000124450","MDP0000124450")</f>
        <v>MDP0000124450</v>
      </c>
      <c r="D6259">
        <v>80.489999999999995</v>
      </c>
      <c r="E6259">
        <v>528</v>
      </c>
      <c r="F6259">
        <v>103</v>
      </c>
      <c r="G6259">
        <v>3</v>
      </c>
      <c r="H6259">
        <v>1</v>
      </c>
      <c r="I6259">
        <v>528</v>
      </c>
      <c r="J6259">
        <v>1</v>
      </c>
      <c r="K6259">
        <v>1</v>
      </c>
      <c r="L6259">
        <v>525</v>
      </c>
      <c r="M6259">
        <v>1</v>
      </c>
      <c r="N6259">
        <v>0</v>
      </c>
      <c r="O6259">
        <v>2294</v>
      </c>
    </row>
    <row r="6260" spans="1:15" x14ac:dyDescent="0.25">
      <c r="A6260" t="s">
        <v>6273</v>
      </c>
      <c r="B6260">
        <v>583</v>
      </c>
      <c r="C6260" s="1" t="str">
        <f>HYPERLINK("http://www.rosaceae.org/gb/gbrowse/malus_x_domestica/?name=MDP0000829294","MDP0000829294")</f>
        <v>MDP0000829294</v>
      </c>
      <c r="D6260">
        <v>56.58</v>
      </c>
      <c r="E6260">
        <v>516</v>
      </c>
      <c r="F6260">
        <v>224</v>
      </c>
      <c r="G6260">
        <v>87</v>
      </c>
      <c r="H6260">
        <v>1</v>
      </c>
      <c r="I6260">
        <v>503</v>
      </c>
      <c r="J6260">
        <v>1</v>
      </c>
      <c r="K6260">
        <v>1</v>
      </c>
      <c r="L6260">
        <v>442</v>
      </c>
      <c r="M6260">
        <v>1</v>
      </c>
      <c r="N6260">
        <v>1.58167E-148</v>
      </c>
      <c r="O6260">
        <v>1348</v>
      </c>
    </row>
    <row r="6261" spans="1:15" x14ac:dyDescent="0.25">
      <c r="A6261" t="s">
        <v>6274</v>
      </c>
      <c r="B6261">
        <v>516</v>
      </c>
      <c r="C6261" s="1" t="str">
        <f>HYPERLINK("http://www.rosaceae.org/gb/gbrowse/malus_x_domestica/?name=MDP0000150371","MDP0000150371")</f>
        <v>MDP0000150371</v>
      </c>
      <c r="D6261">
        <v>56.63</v>
      </c>
      <c r="E6261">
        <v>452</v>
      </c>
      <c r="F6261">
        <v>196</v>
      </c>
      <c r="G6261">
        <v>19</v>
      </c>
      <c r="H6261">
        <v>78</v>
      </c>
      <c r="I6261">
        <v>516</v>
      </c>
      <c r="J6261">
        <v>1</v>
      </c>
      <c r="K6261">
        <v>11</v>
      </c>
      <c r="L6261">
        <v>456</v>
      </c>
      <c r="M6261">
        <v>1</v>
      </c>
      <c r="N6261">
        <v>2.9404800000000001E-124</v>
      </c>
      <c r="O6261">
        <v>1138</v>
      </c>
    </row>
    <row r="6262" spans="1:15" x14ac:dyDescent="0.25">
      <c r="A6262" t="s">
        <v>6275</v>
      </c>
      <c r="B6262">
        <v>648</v>
      </c>
      <c r="C6262" s="1" t="str">
        <f>HYPERLINK("http://www.rosaceae.org/gb/gbrowse/malus_x_domestica/?name=MDP0000795789","MDP0000795789")</f>
        <v>MDP0000795789</v>
      </c>
      <c r="D6262">
        <v>42.2</v>
      </c>
      <c r="E6262">
        <v>154</v>
      </c>
      <c r="F6262">
        <v>89</v>
      </c>
      <c r="G6262">
        <v>9</v>
      </c>
      <c r="H6262">
        <v>419</v>
      </c>
      <c r="I6262">
        <v>570</v>
      </c>
      <c r="J6262">
        <v>1</v>
      </c>
      <c r="K6262">
        <v>101</v>
      </c>
      <c r="L6262">
        <v>247</v>
      </c>
      <c r="M6262">
        <v>1</v>
      </c>
      <c r="N6262">
        <v>2.5477500000000001E-21</v>
      </c>
      <c r="O6262">
        <v>251</v>
      </c>
    </row>
    <row r="6263" spans="1:15" x14ac:dyDescent="0.25">
      <c r="A6263" t="s">
        <v>6276</v>
      </c>
      <c r="B6263">
        <v>352</v>
      </c>
      <c r="C6263" s="1" t="str">
        <f>HYPERLINK("http://www.rosaceae.org/gb/gbrowse/malus_x_domestica/?name=MDP0000534942","MDP0000534942")</f>
        <v>MDP0000534942</v>
      </c>
      <c r="D6263">
        <v>84.43</v>
      </c>
      <c r="E6263">
        <v>212</v>
      </c>
      <c r="F6263">
        <v>33</v>
      </c>
      <c r="G6263">
        <v>1</v>
      </c>
      <c r="H6263">
        <v>1</v>
      </c>
      <c r="I6263">
        <v>212</v>
      </c>
      <c r="J6263">
        <v>1</v>
      </c>
      <c r="K6263">
        <v>1</v>
      </c>
      <c r="L6263">
        <v>211</v>
      </c>
      <c r="M6263">
        <v>1</v>
      </c>
      <c r="N6263">
        <v>2.2677200000000002E-103</v>
      </c>
      <c r="O6263">
        <v>956</v>
      </c>
    </row>
    <row r="6264" spans="1:15" x14ac:dyDescent="0.25">
      <c r="A6264" t="s">
        <v>6277</v>
      </c>
      <c r="B6264">
        <v>393</v>
      </c>
      <c r="C6264" s="1" t="str">
        <f>HYPERLINK("http://www.rosaceae.org/gb/gbrowse/malus_x_domestica/?name=MDP0000159401","MDP0000159401")</f>
        <v>MDP0000159401</v>
      </c>
      <c r="D6264">
        <v>33.14</v>
      </c>
      <c r="E6264">
        <v>362</v>
      </c>
      <c r="F6264">
        <v>242</v>
      </c>
      <c r="G6264">
        <v>84</v>
      </c>
      <c r="H6264">
        <v>19</v>
      </c>
      <c r="I6264">
        <v>328</v>
      </c>
      <c r="J6264">
        <v>1</v>
      </c>
      <c r="K6264">
        <v>25</v>
      </c>
      <c r="L6264">
        <v>354</v>
      </c>
      <c r="M6264">
        <v>1</v>
      </c>
      <c r="N6264">
        <v>3.49483E-35</v>
      </c>
      <c r="O6264">
        <v>369</v>
      </c>
    </row>
    <row r="6265" spans="1:15" x14ac:dyDescent="0.25">
      <c r="A6265" t="s">
        <v>6278</v>
      </c>
      <c r="B6265">
        <v>129</v>
      </c>
      <c r="C6265" s="1" t="str">
        <f>HYPERLINK("http://www.rosaceae.org/gb/gbrowse/malus_x_domestica/?name=MDP0000312598","MDP0000312598")</f>
        <v>MDP0000312598</v>
      </c>
      <c r="D6265">
        <v>76.47</v>
      </c>
      <c r="E6265">
        <v>34</v>
      </c>
      <c r="F6265">
        <v>8</v>
      </c>
      <c r="G6265">
        <v>0</v>
      </c>
      <c r="H6265">
        <v>77</v>
      </c>
      <c r="I6265">
        <v>110</v>
      </c>
      <c r="J6265">
        <v>1</v>
      </c>
      <c r="K6265">
        <v>36</v>
      </c>
      <c r="L6265">
        <v>69</v>
      </c>
      <c r="M6265">
        <v>1</v>
      </c>
      <c r="N6265">
        <v>1.7980100000000001E-7</v>
      </c>
      <c r="O6265">
        <v>122</v>
      </c>
    </row>
    <row r="6266" spans="1:15" x14ac:dyDescent="0.25">
      <c r="A6266" t="s">
        <v>6279</v>
      </c>
      <c r="B6266">
        <v>331</v>
      </c>
      <c r="C6266" s="1" t="str">
        <f>HYPERLINK("http://www.rosaceae.org/gb/gbrowse/malus_x_domestica/?name=MDP0000299137","MDP0000299137")</f>
        <v>MDP0000299137</v>
      </c>
      <c r="D6266">
        <v>79.930000000000007</v>
      </c>
      <c r="E6266">
        <v>304</v>
      </c>
      <c r="F6266">
        <v>61</v>
      </c>
      <c r="G6266">
        <v>2</v>
      </c>
      <c r="H6266">
        <v>28</v>
      </c>
      <c r="I6266">
        <v>331</v>
      </c>
      <c r="J6266">
        <v>1</v>
      </c>
      <c r="K6266">
        <v>26</v>
      </c>
      <c r="L6266">
        <v>327</v>
      </c>
      <c r="M6266">
        <v>1</v>
      </c>
      <c r="N6266">
        <v>3.35288E-147</v>
      </c>
      <c r="O6266">
        <v>1334</v>
      </c>
    </row>
    <row r="6267" spans="1:15" x14ac:dyDescent="0.25">
      <c r="A6267" t="s">
        <v>6280</v>
      </c>
      <c r="B6267">
        <v>747</v>
      </c>
      <c r="C6267" s="1" t="str">
        <f>HYPERLINK("http://www.rosaceae.org/gb/gbrowse/malus_x_domestica/?name=MDP0000405010","MDP0000405010")</f>
        <v>MDP0000405010</v>
      </c>
      <c r="D6267">
        <v>62.13</v>
      </c>
      <c r="E6267">
        <v>206</v>
      </c>
      <c r="F6267">
        <v>78</v>
      </c>
      <c r="G6267">
        <v>9</v>
      </c>
      <c r="H6267">
        <v>16</v>
      </c>
      <c r="I6267">
        <v>217</v>
      </c>
      <c r="J6267">
        <v>1</v>
      </c>
      <c r="K6267">
        <v>17</v>
      </c>
      <c r="L6267">
        <v>217</v>
      </c>
      <c r="M6267">
        <v>1</v>
      </c>
      <c r="N6267">
        <v>2.8933000000000002E-60</v>
      </c>
      <c r="O6267">
        <v>588</v>
      </c>
    </row>
    <row r="6268" spans="1:15" x14ac:dyDescent="0.25">
      <c r="A6268" t="s">
        <v>6281</v>
      </c>
      <c r="B6268">
        <v>181</v>
      </c>
      <c r="C6268" s="1" t="str">
        <f>HYPERLINK("http://www.rosaceae.org/gb/gbrowse/malus_x_domestica/?name=MDP0000163752","MDP0000163752")</f>
        <v>MDP0000163752</v>
      </c>
      <c r="D6268">
        <v>67.92</v>
      </c>
      <c r="E6268">
        <v>53</v>
      </c>
      <c r="F6268">
        <v>17</v>
      </c>
      <c r="G6268">
        <v>6</v>
      </c>
      <c r="H6268">
        <v>76</v>
      </c>
      <c r="I6268">
        <v>124</v>
      </c>
      <c r="J6268">
        <v>1</v>
      </c>
      <c r="K6268">
        <v>190</v>
      </c>
      <c r="L6268">
        <v>240</v>
      </c>
      <c r="M6268">
        <v>1</v>
      </c>
      <c r="N6268">
        <v>8.2994800000000001E-12</v>
      </c>
      <c r="O6268">
        <v>163</v>
      </c>
    </row>
    <row r="6269" spans="1:15" x14ac:dyDescent="0.25">
      <c r="A6269" t="s">
        <v>6282</v>
      </c>
      <c r="B6269">
        <v>497</v>
      </c>
      <c r="C6269" s="1" t="str">
        <f>HYPERLINK("http://www.rosaceae.org/gb/gbrowse/malus_x_domestica/?name=MDP0000174532","MDP0000174532")</f>
        <v>MDP0000174532</v>
      </c>
      <c r="D6269">
        <v>78.2</v>
      </c>
      <c r="E6269">
        <v>367</v>
      </c>
      <c r="F6269">
        <v>80</v>
      </c>
      <c r="G6269">
        <v>16</v>
      </c>
      <c r="H6269">
        <v>147</v>
      </c>
      <c r="I6269">
        <v>497</v>
      </c>
      <c r="J6269">
        <v>1</v>
      </c>
      <c r="K6269">
        <v>241</v>
      </c>
      <c r="L6269">
        <v>607</v>
      </c>
      <c r="M6269">
        <v>1</v>
      </c>
      <c r="N6269">
        <v>1.69042E-171</v>
      </c>
      <c r="O6269">
        <v>1545</v>
      </c>
    </row>
    <row r="6270" spans="1:15" x14ac:dyDescent="0.25">
      <c r="A6270" t="s">
        <v>6283</v>
      </c>
      <c r="B6270">
        <v>576</v>
      </c>
      <c r="C6270" s="1" t="str">
        <f>HYPERLINK("http://www.rosaceae.org/gb/gbrowse/malus_x_domestica/?name=MDP0000443890","MDP0000443890")</f>
        <v>MDP0000443890</v>
      </c>
      <c r="D6270">
        <v>49</v>
      </c>
      <c r="E6270">
        <v>200</v>
      </c>
      <c r="F6270">
        <v>102</v>
      </c>
      <c r="G6270">
        <v>43</v>
      </c>
      <c r="H6270">
        <v>406</v>
      </c>
      <c r="I6270">
        <v>563</v>
      </c>
      <c r="J6270">
        <v>1</v>
      </c>
      <c r="K6270">
        <v>61</v>
      </c>
      <c r="L6270">
        <v>259</v>
      </c>
      <c r="M6270">
        <v>1</v>
      </c>
      <c r="N6270">
        <v>1.14138E-42</v>
      </c>
      <c r="O6270">
        <v>435</v>
      </c>
    </row>
    <row r="6271" spans="1:15" x14ac:dyDescent="0.25">
      <c r="A6271" t="s">
        <v>6284</v>
      </c>
      <c r="B6271">
        <v>1547</v>
      </c>
      <c r="C6271" s="1" t="str">
        <f>HYPERLINK("http://www.rosaceae.org/gb/gbrowse/malus_x_domestica/?name=MDP0000265855","MDP0000265855")</f>
        <v>MDP0000265855</v>
      </c>
      <c r="D6271">
        <v>34.909999999999997</v>
      </c>
      <c r="E6271">
        <v>968</v>
      </c>
      <c r="F6271">
        <v>630</v>
      </c>
      <c r="G6271">
        <v>210</v>
      </c>
      <c r="H6271">
        <v>231</v>
      </c>
      <c r="I6271">
        <v>999</v>
      </c>
      <c r="J6271">
        <v>1</v>
      </c>
      <c r="K6271">
        <v>442</v>
      </c>
      <c r="L6271">
        <v>1398</v>
      </c>
      <c r="M6271">
        <v>1</v>
      </c>
      <c r="N6271">
        <v>1.6542200000000001E-127</v>
      </c>
      <c r="O6271">
        <v>1171</v>
      </c>
    </row>
    <row r="6272" spans="1:15" x14ac:dyDescent="0.25">
      <c r="A6272" t="s">
        <v>6285</v>
      </c>
      <c r="B6272">
        <v>241</v>
      </c>
      <c r="C6272" s="1" t="str">
        <f>HYPERLINK("http://www.rosaceae.org/gb/gbrowse/malus_x_domestica/?name=MDP0000329401","MDP0000329401")</f>
        <v>MDP0000329401</v>
      </c>
      <c r="D6272">
        <v>86.86</v>
      </c>
      <c r="E6272">
        <v>236</v>
      </c>
      <c r="F6272">
        <v>31</v>
      </c>
      <c r="G6272">
        <v>3</v>
      </c>
      <c r="H6272">
        <v>9</v>
      </c>
      <c r="I6272">
        <v>241</v>
      </c>
      <c r="J6272">
        <v>1</v>
      </c>
      <c r="K6272">
        <v>35</v>
      </c>
      <c r="L6272">
        <v>270</v>
      </c>
      <c r="M6272">
        <v>1</v>
      </c>
      <c r="N6272">
        <v>2.31198E-117</v>
      </c>
      <c r="O6272">
        <v>1075</v>
      </c>
    </row>
    <row r="6273" spans="1:15" x14ac:dyDescent="0.25">
      <c r="A6273" t="s">
        <v>6286</v>
      </c>
      <c r="B6273">
        <v>625</v>
      </c>
      <c r="C6273" s="1" t="str">
        <f>HYPERLINK("http://www.rosaceae.org/gb/gbrowse/malus_x_domestica/?name=MDP0000131133","MDP0000131133")</f>
        <v>MDP0000131133</v>
      </c>
      <c r="D6273">
        <v>48.29</v>
      </c>
      <c r="E6273">
        <v>381</v>
      </c>
      <c r="F6273">
        <v>197</v>
      </c>
      <c r="G6273">
        <v>55</v>
      </c>
      <c r="H6273">
        <v>1</v>
      </c>
      <c r="I6273">
        <v>332</v>
      </c>
      <c r="J6273">
        <v>1</v>
      </c>
      <c r="K6273">
        <v>3</v>
      </c>
      <c r="L6273">
        <v>377</v>
      </c>
      <c r="M6273">
        <v>1</v>
      </c>
      <c r="N6273">
        <v>5.0570300000000002E-67</v>
      </c>
      <c r="O6273">
        <v>645</v>
      </c>
    </row>
    <row r="6274" spans="1:15" x14ac:dyDescent="0.25">
      <c r="A6274" t="s">
        <v>6287</v>
      </c>
      <c r="B6274">
        <v>491</v>
      </c>
      <c r="C6274" s="1" t="str">
        <f>HYPERLINK("http://www.rosaceae.org/gb/gbrowse/malus_x_domestica/?name=MDP0000269506","MDP0000269506")</f>
        <v>MDP0000269506</v>
      </c>
      <c r="D6274">
        <v>64.569999999999993</v>
      </c>
      <c r="E6274">
        <v>494</v>
      </c>
      <c r="F6274">
        <v>175</v>
      </c>
      <c r="G6274">
        <v>41</v>
      </c>
      <c r="H6274">
        <v>1</v>
      </c>
      <c r="I6274">
        <v>489</v>
      </c>
      <c r="J6274">
        <v>1</v>
      </c>
      <c r="K6274">
        <v>1</v>
      </c>
      <c r="L6274">
        <v>458</v>
      </c>
      <c r="M6274">
        <v>1</v>
      </c>
      <c r="N6274">
        <v>1.00775E-168</v>
      </c>
      <c r="O6274">
        <v>1521</v>
      </c>
    </row>
    <row r="6275" spans="1:15" x14ac:dyDescent="0.25">
      <c r="A6275" t="s">
        <v>6288</v>
      </c>
      <c r="B6275">
        <v>832</v>
      </c>
      <c r="C6275" s="1" t="str">
        <f>HYPERLINK("http://www.rosaceae.org/gb/gbrowse/malus_x_domestica/?name=MDP0000945548","MDP0000945548")</f>
        <v>MDP0000945548</v>
      </c>
      <c r="D6275">
        <v>79.56</v>
      </c>
      <c r="E6275">
        <v>832</v>
      </c>
      <c r="F6275">
        <v>170</v>
      </c>
      <c r="G6275">
        <v>1</v>
      </c>
      <c r="H6275">
        <v>1</v>
      </c>
      <c r="I6275">
        <v>832</v>
      </c>
      <c r="J6275">
        <v>1</v>
      </c>
      <c r="K6275">
        <v>2</v>
      </c>
      <c r="L6275">
        <v>832</v>
      </c>
      <c r="M6275">
        <v>1</v>
      </c>
      <c r="N6275">
        <v>0</v>
      </c>
      <c r="O6275">
        <v>3546</v>
      </c>
    </row>
    <row r="6276" spans="1:15" x14ac:dyDescent="0.25">
      <c r="A6276" t="s">
        <v>6289</v>
      </c>
      <c r="B6276">
        <v>382</v>
      </c>
      <c r="C6276" s="1" t="str">
        <f>HYPERLINK("http://www.rosaceae.org/gb/gbrowse/malus_x_domestica/?name=MDP0000870498","MDP0000870498")</f>
        <v>MDP0000870498</v>
      </c>
      <c r="D6276">
        <v>58.94</v>
      </c>
      <c r="E6276">
        <v>397</v>
      </c>
      <c r="F6276">
        <v>163</v>
      </c>
      <c r="G6276">
        <v>47</v>
      </c>
      <c r="H6276">
        <v>1</v>
      </c>
      <c r="I6276">
        <v>377</v>
      </c>
      <c r="J6276">
        <v>1</v>
      </c>
      <c r="K6276">
        <v>1</v>
      </c>
      <c r="L6276">
        <v>370</v>
      </c>
      <c r="M6276">
        <v>1</v>
      </c>
      <c r="N6276">
        <v>2.62562E-110</v>
      </c>
      <c r="O6276">
        <v>1016</v>
      </c>
    </row>
    <row r="6277" spans="1:15" x14ac:dyDescent="0.25">
      <c r="A6277" t="s">
        <v>6290</v>
      </c>
      <c r="B6277">
        <v>960</v>
      </c>
      <c r="C6277" s="1" t="str">
        <f>HYPERLINK("http://www.rosaceae.org/gb/gbrowse/malus_x_domestica/?name=MDP0000153050","MDP0000153050")</f>
        <v>MDP0000153050</v>
      </c>
      <c r="D6277">
        <v>84.02</v>
      </c>
      <c r="E6277">
        <v>582</v>
      </c>
      <c r="F6277">
        <v>93</v>
      </c>
      <c r="G6277">
        <v>2</v>
      </c>
      <c r="H6277">
        <v>377</v>
      </c>
      <c r="I6277">
        <v>958</v>
      </c>
      <c r="J6277">
        <v>1</v>
      </c>
      <c r="K6277">
        <v>382</v>
      </c>
      <c r="L6277">
        <v>961</v>
      </c>
      <c r="M6277">
        <v>1</v>
      </c>
      <c r="N6277">
        <v>0</v>
      </c>
      <c r="O6277">
        <v>2788</v>
      </c>
    </row>
    <row r="6278" spans="1:15" x14ac:dyDescent="0.25">
      <c r="A6278" t="s">
        <v>6291</v>
      </c>
      <c r="B6278">
        <v>491</v>
      </c>
      <c r="C6278" s="1" t="str">
        <f>HYPERLINK("http://www.rosaceae.org/gb/gbrowse/malus_x_domestica/?name=MDP0000478473","MDP0000478473")</f>
        <v>MDP0000478473</v>
      </c>
      <c r="D6278">
        <v>45.87</v>
      </c>
      <c r="E6278">
        <v>497</v>
      </c>
      <c r="F6278">
        <v>269</v>
      </c>
      <c r="G6278">
        <v>36</v>
      </c>
      <c r="H6278">
        <v>6</v>
      </c>
      <c r="I6278">
        <v>489</v>
      </c>
      <c r="J6278">
        <v>1</v>
      </c>
      <c r="K6278">
        <v>4</v>
      </c>
      <c r="L6278">
        <v>477</v>
      </c>
      <c r="M6278">
        <v>1</v>
      </c>
      <c r="N6278">
        <v>2.5314199999999999E-128</v>
      </c>
      <c r="O6278">
        <v>1173</v>
      </c>
    </row>
    <row r="6279" spans="1:15" x14ac:dyDescent="0.25">
      <c r="A6279" t="s">
        <v>6292</v>
      </c>
      <c r="B6279">
        <v>169</v>
      </c>
      <c r="C6279" s="1" t="str">
        <f>HYPERLINK("http://www.rosaceae.org/gb/gbrowse/malus_x_domestica/?name=MDP0000181942","MDP0000181942")</f>
        <v>MDP0000181942</v>
      </c>
      <c r="D6279">
        <v>56.92</v>
      </c>
      <c r="E6279">
        <v>65</v>
      </c>
      <c r="F6279">
        <v>28</v>
      </c>
      <c r="G6279">
        <v>4</v>
      </c>
      <c r="H6279">
        <v>76</v>
      </c>
      <c r="I6279">
        <v>136</v>
      </c>
      <c r="J6279">
        <v>1</v>
      </c>
      <c r="K6279">
        <v>10</v>
      </c>
      <c r="L6279">
        <v>74</v>
      </c>
      <c r="M6279">
        <v>1</v>
      </c>
      <c r="N6279">
        <v>6.2833600000000002E-11</v>
      </c>
      <c r="O6279">
        <v>155</v>
      </c>
    </row>
    <row r="6280" spans="1:15" x14ac:dyDescent="0.25">
      <c r="A6280" t="s">
        <v>6293</v>
      </c>
      <c r="B6280">
        <v>217</v>
      </c>
      <c r="C6280" s="1" t="str">
        <f>HYPERLINK("http://www.rosaceae.org/gb/gbrowse/malus_x_domestica/?name=MDP0000130212","MDP0000130212")</f>
        <v>MDP0000130212</v>
      </c>
      <c r="D6280">
        <v>60.67</v>
      </c>
      <c r="E6280">
        <v>178</v>
      </c>
      <c r="F6280">
        <v>70</v>
      </c>
      <c r="G6280">
        <v>44</v>
      </c>
      <c r="H6280">
        <v>7</v>
      </c>
      <c r="I6280">
        <v>141</v>
      </c>
      <c r="J6280">
        <v>1</v>
      </c>
      <c r="K6280">
        <v>7</v>
      </c>
      <c r="L6280">
        <v>183</v>
      </c>
      <c r="M6280">
        <v>1</v>
      </c>
      <c r="N6280">
        <v>9.6823200000000006E-52</v>
      </c>
      <c r="O6280">
        <v>508</v>
      </c>
    </row>
    <row r="6281" spans="1:15" x14ac:dyDescent="0.25">
      <c r="A6281" t="s">
        <v>6294</v>
      </c>
      <c r="B6281">
        <v>470</v>
      </c>
      <c r="C6281" s="1" t="str">
        <f>HYPERLINK("http://www.rosaceae.org/gb/gbrowse/malus_x_domestica/?name=MDP0000254380","MDP0000254380")</f>
        <v>MDP0000254380</v>
      </c>
      <c r="D6281">
        <v>71.48</v>
      </c>
      <c r="E6281">
        <v>533</v>
      </c>
      <c r="F6281">
        <v>152</v>
      </c>
      <c r="G6281">
        <v>100</v>
      </c>
      <c r="H6281">
        <v>5</v>
      </c>
      <c r="I6281">
        <v>469</v>
      </c>
      <c r="J6281">
        <v>1</v>
      </c>
      <c r="K6281">
        <v>19</v>
      </c>
      <c r="L6281">
        <v>519</v>
      </c>
      <c r="M6281">
        <v>1</v>
      </c>
      <c r="N6281">
        <v>0</v>
      </c>
      <c r="O6281">
        <v>1944</v>
      </c>
    </row>
    <row r="6282" spans="1:15" x14ac:dyDescent="0.25">
      <c r="A6282" t="s">
        <v>6295</v>
      </c>
      <c r="B6282">
        <v>133</v>
      </c>
      <c r="C6282" s="1" t="str">
        <f>HYPERLINK("http://www.rosaceae.org/gb/gbrowse/malus_x_domestica/?name=MDP0000142394","MDP0000142394")</f>
        <v>MDP0000142394</v>
      </c>
      <c r="D6282">
        <v>54.16</v>
      </c>
      <c r="E6282">
        <v>48</v>
      </c>
      <c r="F6282">
        <v>22</v>
      </c>
      <c r="G6282">
        <v>7</v>
      </c>
      <c r="H6282">
        <v>64</v>
      </c>
      <c r="I6282">
        <v>111</v>
      </c>
      <c r="J6282">
        <v>1</v>
      </c>
      <c r="K6282">
        <v>278</v>
      </c>
      <c r="L6282">
        <v>318</v>
      </c>
      <c r="M6282">
        <v>1</v>
      </c>
      <c r="N6282">
        <v>9.0441799999999993E-9</v>
      </c>
      <c r="O6282">
        <v>134</v>
      </c>
    </row>
    <row r="6283" spans="1:15" x14ac:dyDescent="0.25">
      <c r="A6283" t="s">
        <v>6296</v>
      </c>
      <c r="B6283">
        <v>1805</v>
      </c>
      <c r="C6283" s="1" t="str">
        <f>HYPERLINK("http://www.rosaceae.org/gb/gbrowse/malus_x_domestica/?name=MDP0000830309","MDP0000830309")</f>
        <v>MDP0000830309</v>
      </c>
      <c r="D6283">
        <v>89.63</v>
      </c>
      <c r="E6283">
        <v>1303</v>
      </c>
      <c r="F6283">
        <v>135</v>
      </c>
      <c r="G6283">
        <v>28</v>
      </c>
      <c r="H6283">
        <v>439</v>
      </c>
      <c r="I6283">
        <v>1734</v>
      </c>
      <c r="J6283">
        <v>1</v>
      </c>
      <c r="K6283">
        <v>1</v>
      </c>
      <c r="L6283">
        <v>1282</v>
      </c>
      <c r="M6283">
        <v>1</v>
      </c>
      <c r="N6283">
        <v>0</v>
      </c>
      <c r="O6283">
        <v>6224</v>
      </c>
    </row>
    <row r="6284" spans="1:15" x14ac:dyDescent="0.25">
      <c r="A6284" t="s">
        <v>6297</v>
      </c>
      <c r="B6284">
        <v>214</v>
      </c>
      <c r="C6284" s="1" t="str">
        <f>HYPERLINK("http://www.rosaceae.org/gb/gbrowse/malus_x_domestica/?name=MDP0000952041","MDP0000952041")</f>
        <v>MDP0000952041</v>
      </c>
      <c r="D6284">
        <v>78.66</v>
      </c>
      <c r="E6284">
        <v>239</v>
      </c>
      <c r="F6284">
        <v>51</v>
      </c>
      <c r="G6284">
        <v>29</v>
      </c>
      <c r="H6284">
        <v>1</v>
      </c>
      <c r="I6284">
        <v>214</v>
      </c>
      <c r="J6284">
        <v>1</v>
      </c>
      <c r="K6284">
        <v>1</v>
      </c>
      <c r="L6284">
        <v>235</v>
      </c>
      <c r="M6284">
        <v>1</v>
      </c>
      <c r="N6284">
        <v>4.28553E-98</v>
      </c>
      <c r="O6284">
        <v>908</v>
      </c>
    </row>
    <row r="6285" spans="1:15" x14ac:dyDescent="0.25">
      <c r="A6285" t="s">
        <v>6298</v>
      </c>
      <c r="B6285">
        <v>366</v>
      </c>
      <c r="C6285" s="1" t="str">
        <f>HYPERLINK("http://www.rosaceae.org/gb/gbrowse/malus_x_domestica/?name=MDP0000206926","MDP0000206926")</f>
        <v>MDP0000206926</v>
      </c>
      <c r="D6285">
        <v>69.11</v>
      </c>
      <c r="E6285">
        <v>136</v>
      </c>
      <c r="F6285">
        <v>42</v>
      </c>
      <c r="G6285">
        <v>8</v>
      </c>
      <c r="H6285">
        <v>1</v>
      </c>
      <c r="I6285">
        <v>136</v>
      </c>
      <c r="J6285">
        <v>1</v>
      </c>
      <c r="K6285">
        <v>154</v>
      </c>
      <c r="L6285">
        <v>281</v>
      </c>
      <c r="M6285">
        <v>1</v>
      </c>
      <c r="N6285">
        <v>4.6717000000000001E-47</v>
      </c>
      <c r="O6285">
        <v>471</v>
      </c>
    </row>
    <row r="6286" spans="1:15" x14ac:dyDescent="0.25">
      <c r="A6286" t="s">
        <v>6299</v>
      </c>
      <c r="B6286">
        <v>405</v>
      </c>
      <c r="C6286" s="1" t="str">
        <f>HYPERLINK("http://www.rosaceae.org/gb/gbrowse/malus_x_domestica/?name=MDP0000223149","MDP0000223149")</f>
        <v>MDP0000223149</v>
      </c>
      <c r="D6286">
        <v>28.35</v>
      </c>
      <c r="E6286">
        <v>268</v>
      </c>
      <c r="F6286">
        <v>192</v>
      </c>
      <c r="G6286">
        <v>34</v>
      </c>
      <c r="H6286">
        <v>142</v>
      </c>
      <c r="I6286">
        <v>402</v>
      </c>
      <c r="J6286">
        <v>1</v>
      </c>
      <c r="K6286">
        <v>260</v>
      </c>
      <c r="L6286">
        <v>500</v>
      </c>
      <c r="M6286">
        <v>1</v>
      </c>
      <c r="N6286">
        <v>6.8488200000000004E-18</v>
      </c>
      <c r="O6286">
        <v>220</v>
      </c>
    </row>
    <row r="6287" spans="1:15" x14ac:dyDescent="0.25">
      <c r="A6287" t="s">
        <v>6300</v>
      </c>
      <c r="B6287">
        <v>148</v>
      </c>
      <c r="C6287" s="1" t="str">
        <f>HYPERLINK("http://www.rosaceae.org/gb/gbrowse/malus_x_domestica/?name=MDP0000288520","MDP0000288520")</f>
        <v>MDP0000288520</v>
      </c>
      <c r="D6287">
        <v>97.81</v>
      </c>
      <c r="E6287">
        <v>137</v>
      </c>
      <c r="F6287">
        <v>3</v>
      </c>
      <c r="G6287">
        <v>0</v>
      </c>
      <c r="H6287">
        <v>1</v>
      </c>
      <c r="I6287">
        <v>137</v>
      </c>
      <c r="J6287">
        <v>1</v>
      </c>
      <c r="K6287">
        <v>318</v>
      </c>
      <c r="L6287">
        <v>454</v>
      </c>
      <c r="M6287">
        <v>1</v>
      </c>
      <c r="N6287">
        <v>3.2341899999999999E-78</v>
      </c>
      <c r="O6287">
        <v>734</v>
      </c>
    </row>
    <row r="6288" spans="1:15" x14ac:dyDescent="0.25">
      <c r="A6288" t="s">
        <v>6301</v>
      </c>
      <c r="B6288">
        <v>449</v>
      </c>
      <c r="C6288" s="1" t="str">
        <f>HYPERLINK("http://www.rosaceae.org/gb/gbrowse/malus_x_domestica/?name=MDP0000171728","MDP0000171728")</f>
        <v>MDP0000171728</v>
      </c>
      <c r="D6288">
        <v>57.06</v>
      </c>
      <c r="E6288">
        <v>389</v>
      </c>
      <c r="F6288">
        <v>167</v>
      </c>
      <c r="G6288">
        <v>85</v>
      </c>
      <c r="H6288">
        <v>71</v>
      </c>
      <c r="I6288">
        <v>415</v>
      </c>
      <c r="J6288">
        <v>1</v>
      </c>
      <c r="K6288">
        <v>65</v>
      </c>
      <c r="L6288">
        <v>412</v>
      </c>
      <c r="M6288">
        <v>1</v>
      </c>
      <c r="N6288">
        <v>2.1519300000000001E-116</v>
      </c>
      <c r="O6288">
        <v>1070</v>
      </c>
    </row>
    <row r="6289" spans="1:15" x14ac:dyDescent="0.25">
      <c r="A6289" t="s">
        <v>6302</v>
      </c>
      <c r="B6289">
        <v>109</v>
      </c>
      <c r="C6289" s="1" t="str">
        <f>HYPERLINK("http://www.rosaceae.org/gb/gbrowse/malus_x_domestica/?name=MDP0000874687","MDP0000874687")</f>
        <v>MDP0000874687</v>
      </c>
      <c r="D6289">
        <v>68.25</v>
      </c>
      <c r="E6289">
        <v>63</v>
      </c>
      <c r="F6289">
        <v>20</v>
      </c>
      <c r="G6289">
        <v>0</v>
      </c>
      <c r="H6289">
        <v>1</v>
      </c>
      <c r="I6289">
        <v>63</v>
      </c>
      <c r="J6289">
        <v>1</v>
      </c>
      <c r="K6289">
        <v>1</v>
      </c>
      <c r="L6289">
        <v>63</v>
      </c>
      <c r="M6289">
        <v>1</v>
      </c>
      <c r="N6289">
        <v>3.46509E-18</v>
      </c>
      <c r="O6289">
        <v>214</v>
      </c>
    </row>
    <row r="6290" spans="1:15" x14ac:dyDescent="0.25">
      <c r="A6290" t="s">
        <v>6303</v>
      </c>
      <c r="B6290">
        <v>475</v>
      </c>
      <c r="C6290" s="1" t="str">
        <f>HYPERLINK("http://www.rosaceae.org/gb/gbrowse/malus_x_domestica/?name=MDP0000897373","MDP0000897373")</f>
        <v>MDP0000897373</v>
      </c>
      <c r="D6290">
        <v>62.85</v>
      </c>
      <c r="E6290">
        <v>463</v>
      </c>
      <c r="F6290">
        <v>172</v>
      </c>
      <c r="G6290">
        <v>54</v>
      </c>
      <c r="H6290">
        <v>64</v>
      </c>
      <c r="I6290">
        <v>475</v>
      </c>
      <c r="J6290">
        <v>1</v>
      </c>
      <c r="K6290">
        <v>15</v>
      </c>
      <c r="L6290">
        <v>474</v>
      </c>
      <c r="M6290">
        <v>1</v>
      </c>
      <c r="N6290">
        <v>9.0601900000000001E-159</v>
      </c>
      <c r="O6290">
        <v>1435</v>
      </c>
    </row>
    <row r="6291" spans="1:15" x14ac:dyDescent="0.25">
      <c r="A6291" t="s">
        <v>6304</v>
      </c>
      <c r="B6291">
        <v>364</v>
      </c>
      <c r="C6291" s="1" t="str">
        <f>HYPERLINK("http://www.rosaceae.org/gb/gbrowse/malus_x_domestica/?name=MDP0000207774","MDP0000207774")</f>
        <v>MDP0000207774</v>
      </c>
      <c r="D6291">
        <v>76.92</v>
      </c>
      <c r="E6291">
        <v>364</v>
      </c>
      <c r="F6291">
        <v>84</v>
      </c>
      <c r="G6291">
        <v>0</v>
      </c>
      <c r="H6291">
        <v>1</v>
      </c>
      <c r="I6291">
        <v>364</v>
      </c>
      <c r="J6291">
        <v>1</v>
      </c>
      <c r="K6291">
        <v>4</v>
      </c>
      <c r="L6291">
        <v>367</v>
      </c>
      <c r="M6291">
        <v>1</v>
      </c>
      <c r="N6291">
        <v>1.95956E-168</v>
      </c>
      <c r="O6291">
        <v>1518</v>
      </c>
    </row>
    <row r="6292" spans="1:15" x14ac:dyDescent="0.25">
      <c r="A6292" t="s">
        <v>6305</v>
      </c>
      <c r="B6292">
        <v>311</v>
      </c>
      <c r="C6292" s="1" t="str">
        <f>HYPERLINK("http://www.rosaceae.org/gb/gbrowse/malus_x_domestica/?name=MDP0000257627","MDP0000257627")</f>
        <v>MDP0000257627</v>
      </c>
      <c r="D6292">
        <v>68.569999999999993</v>
      </c>
      <c r="E6292">
        <v>140</v>
      </c>
      <c r="F6292">
        <v>44</v>
      </c>
      <c r="G6292">
        <v>0</v>
      </c>
      <c r="H6292">
        <v>1</v>
      </c>
      <c r="I6292">
        <v>140</v>
      </c>
      <c r="J6292">
        <v>1</v>
      </c>
      <c r="K6292">
        <v>324</v>
      </c>
      <c r="L6292">
        <v>463</v>
      </c>
      <c r="M6292">
        <v>1</v>
      </c>
      <c r="N6292">
        <v>1.1097E-46</v>
      </c>
      <c r="O6292">
        <v>467</v>
      </c>
    </row>
    <row r="6293" spans="1:15" x14ac:dyDescent="0.25">
      <c r="A6293" t="s">
        <v>6306</v>
      </c>
      <c r="B6293">
        <v>560</v>
      </c>
      <c r="C6293" s="1" t="str">
        <f>HYPERLINK("http://www.rosaceae.org/gb/gbrowse/malus_x_domestica/?name=MDP0000137519","MDP0000137519")</f>
        <v>MDP0000137519</v>
      </c>
      <c r="D6293">
        <v>79.58</v>
      </c>
      <c r="E6293">
        <v>622</v>
      </c>
      <c r="F6293">
        <v>127</v>
      </c>
      <c r="G6293">
        <v>62</v>
      </c>
      <c r="H6293">
        <v>1</v>
      </c>
      <c r="I6293">
        <v>560</v>
      </c>
      <c r="J6293">
        <v>1</v>
      </c>
      <c r="K6293">
        <v>1</v>
      </c>
      <c r="L6293">
        <v>622</v>
      </c>
      <c r="M6293">
        <v>1</v>
      </c>
      <c r="N6293">
        <v>0</v>
      </c>
      <c r="O6293">
        <v>2493</v>
      </c>
    </row>
    <row r="6294" spans="1:15" x14ac:dyDescent="0.25">
      <c r="A6294" t="s">
        <v>6307</v>
      </c>
      <c r="B6294">
        <v>1833</v>
      </c>
      <c r="C6294" s="1" t="str">
        <f>HYPERLINK("http://www.rosaceae.org/gb/gbrowse/malus_x_domestica/?name=MDP0000233934","MDP0000233934")</f>
        <v>MDP0000233934</v>
      </c>
      <c r="D6294">
        <v>80.87</v>
      </c>
      <c r="E6294">
        <v>434</v>
      </c>
      <c r="F6294">
        <v>83</v>
      </c>
      <c r="G6294">
        <v>1</v>
      </c>
      <c r="H6294">
        <v>1</v>
      </c>
      <c r="I6294">
        <v>433</v>
      </c>
      <c r="J6294">
        <v>1</v>
      </c>
      <c r="K6294">
        <v>1</v>
      </c>
      <c r="L6294">
        <v>434</v>
      </c>
      <c r="M6294">
        <v>1</v>
      </c>
      <c r="N6294">
        <v>0</v>
      </c>
      <c r="O6294">
        <v>1801</v>
      </c>
    </row>
    <row r="6295" spans="1:15" x14ac:dyDescent="0.25">
      <c r="A6295" t="s">
        <v>6308</v>
      </c>
      <c r="B6295">
        <v>349</v>
      </c>
      <c r="C6295" s="1" t="str">
        <f>HYPERLINK("http://www.rosaceae.org/gb/gbrowse/malus_x_domestica/?name=MDP0000695252","MDP0000695252")</f>
        <v>MDP0000695252</v>
      </c>
      <c r="D6295">
        <v>63.55</v>
      </c>
      <c r="E6295">
        <v>321</v>
      </c>
      <c r="F6295">
        <v>117</v>
      </c>
      <c r="G6295">
        <v>12</v>
      </c>
      <c r="H6295">
        <v>23</v>
      </c>
      <c r="I6295">
        <v>341</v>
      </c>
      <c r="J6295">
        <v>1</v>
      </c>
      <c r="K6295">
        <v>2</v>
      </c>
      <c r="L6295">
        <v>312</v>
      </c>
      <c r="M6295">
        <v>1</v>
      </c>
      <c r="N6295">
        <v>3.0044199999999998E-98</v>
      </c>
      <c r="O6295">
        <v>912</v>
      </c>
    </row>
    <row r="6296" spans="1:15" x14ac:dyDescent="0.25">
      <c r="A6296" t="s">
        <v>6309</v>
      </c>
      <c r="B6296">
        <v>427</v>
      </c>
      <c r="C6296" s="1" t="str">
        <f>HYPERLINK("http://www.rosaceae.org/gb/gbrowse/malus_x_domestica/?name=MDP0000259556","MDP0000259556")</f>
        <v>MDP0000259556</v>
      </c>
      <c r="D6296">
        <v>76.19</v>
      </c>
      <c r="E6296">
        <v>105</v>
      </c>
      <c r="F6296">
        <v>25</v>
      </c>
      <c r="G6296">
        <v>0</v>
      </c>
      <c r="H6296">
        <v>323</v>
      </c>
      <c r="I6296">
        <v>427</v>
      </c>
      <c r="J6296">
        <v>1</v>
      </c>
      <c r="K6296">
        <v>501</v>
      </c>
      <c r="L6296">
        <v>605</v>
      </c>
      <c r="M6296">
        <v>1</v>
      </c>
      <c r="N6296">
        <v>1.50724E-45</v>
      </c>
      <c r="O6296">
        <v>459</v>
      </c>
    </row>
    <row r="6297" spans="1:15" x14ac:dyDescent="0.25">
      <c r="A6297" t="s">
        <v>6310</v>
      </c>
      <c r="B6297">
        <v>402</v>
      </c>
      <c r="C6297" s="1" t="str">
        <f>HYPERLINK("http://www.rosaceae.org/gb/gbrowse/malus_x_domestica/?name=MDP0000772731","MDP0000772731")</f>
        <v>MDP0000772731</v>
      </c>
      <c r="D6297">
        <v>36.74</v>
      </c>
      <c r="E6297">
        <v>283</v>
      </c>
      <c r="F6297">
        <v>179</v>
      </c>
      <c r="G6297">
        <v>26</v>
      </c>
      <c r="H6297">
        <v>1</v>
      </c>
      <c r="I6297">
        <v>277</v>
      </c>
      <c r="J6297">
        <v>1</v>
      </c>
      <c r="K6297">
        <v>1</v>
      </c>
      <c r="L6297">
        <v>263</v>
      </c>
      <c r="M6297">
        <v>1</v>
      </c>
      <c r="N6297">
        <v>2.9265299999999999E-38</v>
      </c>
      <c r="O6297">
        <v>395</v>
      </c>
    </row>
    <row r="6298" spans="1:15" x14ac:dyDescent="0.25">
      <c r="A6298" t="s">
        <v>6311</v>
      </c>
      <c r="B6298">
        <v>241</v>
      </c>
      <c r="C6298" s="1" t="str">
        <f>HYPERLINK("http://www.rosaceae.org/gb/gbrowse/malus_x_domestica/?name=MDP0000319447","MDP0000319447")</f>
        <v>MDP0000319447</v>
      </c>
      <c r="D6298">
        <v>25</v>
      </c>
      <c r="E6298">
        <v>136</v>
      </c>
      <c r="F6298">
        <v>102</v>
      </c>
      <c r="G6298">
        <v>14</v>
      </c>
      <c r="H6298">
        <v>114</v>
      </c>
      <c r="I6298">
        <v>235</v>
      </c>
      <c r="J6298">
        <v>1</v>
      </c>
      <c r="K6298">
        <v>1109</v>
      </c>
      <c r="L6298">
        <v>1244</v>
      </c>
      <c r="M6298">
        <v>1</v>
      </c>
      <c r="N6298">
        <v>3.8074299999999997E-8</v>
      </c>
      <c r="O6298">
        <v>133</v>
      </c>
    </row>
    <row r="6299" spans="1:15" x14ac:dyDescent="0.25">
      <c r="A6299" t="s">
        <v>6312</v>
      </c>
      <c r="B6299">
        <v>960</v>
      </c>
      <c r="C6299" s="1" t="str">
        <f>HYPERLINK("http://www.rosaceae.org/gb/gbrowse/malus_x_domestica/?name=MDP0000577694","MDP0000577694")</f>
        <v>MDP0000577694</v>
      </c>
      <c r="D6299">
        <v>51.62</v>
      </c>
      <c r="E6299">
        <v>831</v>
      </c>
      <c r="F6299">
        <v>402</v>
      </c>
      <c r="G6299">
        <v>136</v>
      </c>
      <c r="H6299">
        <v>94</v>
      </c>
      <c r="I6299">
        <v>917</v>
      </c>
      <c r="J6299">
        <v>1</v>
      </c>
      <c r="K6299">
        <v>1</v>
      </c>
      <c r="L6299">
        <v>702</v>
      </c>
      <c r="M6299">
        <v>1</v>
      </c>
      <c r="N6299">
        <v>0</v>
      </c>
      <c r="O6299">
        <v>1762</v>
      </c>
    </row>
    <row r="6300" spans="1:15" x14ac:dyDescent="0.25">
      <c r="A6300" t="s">
        <v>6313</v>
      </c>
      <c r="B6300">
        <v>759</v>
      </c>
      <c r="C6300" s="1" t="str">
        <f>HYPERLINK("http://www.rosaceae.org/gb/gbrowse/malus_x_domestica/?name=MDP0000389745","MDP0000389745")</f>
        <v>MDP0000389745</v>
      </c>
      <c r="D6300">
        <v>79.599999999999994</v>
      </c>
      <c r="E6300">
        <v>716</v>
      </c>
      <c r="F6300">
        <v>146</v>
      </c>
      <c r="G6300">
        <v>26</v>
      </c>
      <c r="H6300">
        <v>35</v>
      </c>
      <c r="I6300">
        <v>737</v>
      </c>
      <c r="J6300">
        <v>1</v>
      </c>
      <c r="K6300">
        <v>24</v>
      </c>
      <c r="L6300">
        <v>726</v>
      </c>
      <c r="M6300">
        <v>1</v>
      </c>
      <c r="N6300">
        <v>0</v>
      </c>
      <c r="O6300">
        <v>2921</v>
      </c>
    </row>
    <row r="6301" spans="1:15" x14ac:dyDescent="0.25">
      <c r="A6301" t="s">
        <v>6314</v>
      </c>
      <c r="B6301">
        <v>449</v>
      </c>
      <c r="C6301" s="1" t="str">
        <f>HYPERLINK("http://www.rosaceae.org/gb/gbrowse/malus_x_domestica/?name=MDP0000259945","MDP0000259945")</f>
        <v>MDP0000259945</v>
      </c>
      <c r="D6301">
        <v>40.18</v>
      </c>
      <c r="E6301">
        <v>428</v>
      </c>
      <c r="F6301">
        <v>256</v>
      </c>
      <c r="G6301">
        <v>40</v>
      </c>
      <c r="H6301">
        <v>2</v>
      </c>
      <c r="I6301">
        <v>411</v>
      </c>
      <c r="J6301">
        <v>1</v>
      </c>
      <c r="K6301">
        <v>35</v>
      </c>
      <c r="L6301">
        <v>440</v>
      </c>
      <c r="M6301">
        <v>1</v>
      </c>
      <c r="N6301">
        <v>5.3145799999999999E-77</v>
      </c>
      <c r="O6301">
        <v>730</v>
      </c>
    </row>
    <row r="6302" spans="1:15" x14ac:dyDescent="0.25">
      <c r="A6302" t="s">
        <v>6315</v>
      </c>
      <c r="B6302">
        <v>1078</v>
      </c>
      <c r="C6302" s="1" t="str">
        <f>HYPERLINK("http://www.rosaceae.org/gb/gbrowse/malus_x_domestica/?name=MDP0000289920","MDP0000289920")</f>
        <v>MDP0000289920</v>
      </c>
      <c r="D6302">
        <v>69.930000000000007</v>
      </c>
      <c r="E6302">
        <v>898</v>
      </c>
      <c r="F6302">
        <v>270</v>
      </c>
      <c r="G6302">
        <v>43</v>
      </c>
      <c r="H6302">
        <v>40</v>
      </c>
      <c r="I6302">
        <v>920</v>
      </c>
      <c r="J6302">
        <v>1</v>
      </c>
      <c r="K6302">
        <v>393</v>
      </c>
      <c r="L6302">
        <v>1264</v>
      </c>
      <c r="M6302">
        <v>1</v>
      </c>
      <c r="N6302">
        <v>0</v>
      </c>
      <c r="O6302">
        <v>3265</v>
      </c>
    </row>
    <row r="6303" spans="1:15" x14ac:dyDescent="0.25">
      <c r="A6303" t="s">
        <v>6316</v>
      </c>
      <c r="B6303">
        <v>495</v>
      </c>
      <c r="C6303" s="1" t="str">
        <f>HYPERLINK("http://www.rosaceae.org/gb/gbrowse/malus_x_domestica/?name=MDP0000175796","MDP0000175796")</f>
        <v>MDP0000175796</v>
      </c>
      <c r="D6303">
        <v>71.28</v>
      </c>
      <c r="E6303">
        <v>491</v>
      </c>
      <c r="F6303">
        <v>141</v>
      </c>
      <c r="G6303">
        <v>30</v>
      </c>
      <c r="H6303">
        <v>1</v>
      </c>
      <c r="I6303">
        <v>476</v>
      </c>
      <c r="J6303">
        <v>1</v>
      </c>
      <c r="K6303">
        <v>1</v>
      </c>
      <c r="L6303">
        <v>476</v>
      </c>
      <c r="M6303">
        <v>1</v>
      </c>
      <c r="N6303">
        <v>0</v>
      </c>
      <c r="O6303">
        <v>1744</v>
      </c>
    </row>
    <row r="6304" spans="1:15" x14ac:dyDescent="0.25">
      <c r="A6304" t="s">
        <v>6317</v>
      </c>
      <c r="B6304">
        <v>264</v>
      </c>
      <c r="C6304" s="1" t="str">
        <f>HYPERLINK("http://www.rosaceae.org/gb/gbrowse/malus_x_domestica/?name=MDP0000203790","MDP0000203790")</f>
        <v>MDP0000203790</v>
      </c>
      <c r="D6304">
        <v>77.33</v>
      </c>
      <c r="E6304">
        <v>75</v>
      </c>
      <c r="F6304">
        <v>17</v>
      </c>
      <c r="G6304">
        <v>0</v>
      </c>
      <c r="H6304">
        <v>83</v>
      </c>
      <c r="I6304">
        <v>157</v>
      </c>
      <c r="J6304">
        <v>1</v>
      </c>
      <c r="K6304">
        <v>15</v>
      </c>
      <c r="L6304">
        <v>89</v>
      </c>
      <c r="M6304">
        <v>1</v>
      </c>
      <c r="N6304">
        <v>5.7408300000000004E-32</v>
      </c>
      <c r="O6304">
        <v>339</v>
      </c>
    </row>
    <row r="6305" spans="1:15" x14ac:dyDescent="0.25">
      <c r="A6305" t="s">
        <v>6318</v>
      </c>
      <c r="B6305">
        <v>425</v>
      </c>
      <c r="C6305" s="1" t="str">
        <f>HYPERLINK("http://www.rosaceae.org/gb/gbrowse/malus_x_domestica/?name=MDP0000262145","MDP0000262145")</f>
        <v>MDP0000262145</v>
      </c>
      <c r="D6305">
        <v>75.91</v>
      </c>
      <c r="E6305">
        <v>137</v>
      </c>
      <c r="F6305">
        <v>33</v>
      </c>
      <c r="G6305">
        <v>4</v>
      </c>
      <c r="H6305">
        <v>155</v>
      </c>
      <c r="I6305">
        <v>287</v>
      </c>
      <c r="J6305">
        <v>1</v>
      </c>
      <c r="K6305">
        <v>282</v>
      </c>
      <c r="L6305">
        <v>418</v>
      </c>
      <c r="M6305">
        <v>1</v>
      </c>
      <c r="N6305">
        <v>5.1361000000000002E-54</v>
      </c>
      <c r="O6305">
        <v>532</v>
      </c>
    </row>
    <row r="6306" spans="1:15" x14ac:dyDescent="0.25">
      <c r="A6306" t="s">
        <v>6319</v>
      </c>
      <c r="B6306">
        <v>182</v>
      </c>
      <c r="C6306" s="1" t="str">
        <f>HYPERLINK("http://www.rosaceae.org/gb/gbrowse/malus_x_domestica/?name=MDP0000364397","MDP0000364397")</f>
        <v>MDP0000364397</v>
      </c>
      <c r="D6306">
        <v>94.11</v>
      </c>
      <c r="E6306">
        <v>51</v>
      </c>
      <c r="F6306">
        <v>3</v>
      </c>
      <c r="G6306">
        <v>0</v>
      </c>
      <c r="H6306">
        <v>118</v>
      </c>
      <c r="I6306">
        <v>168</v>
      </c>
      <c r="J6306">
        <v>1</v>
      </c>
      <c r="K6306">
        <v>34</v>
      </c>
      <c r="L6306">
        <v>84</v>
      </c>
      <c r="M6306">
        <v>1</v>
      </c>
      <c r="N6306">
        <v>1.8335900000000001E-23</v>
      </c>
      <c r="O6306">
        <v>263</v>
      </c>
    </row>
    <row r="6307" spans="1:15" x14ac:dyDescent="0.25">
      <c r="A6307" t="s">
        <v>6320</v>
      </c>
      <c r="B6307">
        <v>87</v>
      </c>
      <c r="C6307" s="1" t="str">
        <f>HYPERLINK("http://www.rosaceae.org/gb/gbrowse/malus_x_domestica/?name=MDP0000322220","MDP0000322220")</f>
        <v>MDP0000322220</v>
      </c>
      <c r="D6307">
        <v>97.05</v>
      </c>
      <c r="E6307">
        <v>68</v>
      </c>
      <c r="F6307">
        <v>2</v>
      </c>
      <c r="G6307">
        <v>0</v>
      </c>
      <c r="H6307">
        <v>6</v>
      </c>
      <c r="I6307">
        <v>73</v>
      </c>
      <c r="J6307">
        <v>1</v>
      </c>
      <c r="K6307">
        <v>440</v>
      </c>
      <c r="L6307">
        <v>507</v>
      </c>
      <c r="M6307">
        <v>1</v>
      </c>
      <c r="N6307">
        <v>2.4672199999999998E-35</v>
      </c>
      <c r="O6307">
        <v>362</v>
      </c>
    </row>
    <row r="6308" spans="1:15" x14ac:dyDescent="0.25">
      <c r="A6308" t="s">
        <v>6321</v>
      </c>
      <c r="B6308">
        <v>246</v>
      </c>
      <c r="C6308" s="1" t="str">
        <f>HYPERLINK("http://www.rosaceae.org/gb/gbrowse/malus_x_domestica/?name=MDP0000152242","MDP0000152242")</f>
        <v>MDP0000152242</v>
      </c>
      <c r="D6308">
        <v>48.67</v>
      </c>
      <c r="E6308">
        <v>113</v>
      </c>
      <c r="F6308">
        <v>58</v>
      </c>
      <c r="G6308">
        <v>33</v>
      </c>
      <c r="H6308">
        <v>167</v>
      </c>
      <c r="I6308">
        <v>246</v>
      </c>
      <c r="J6308">
        <v>1</v>
      </c>
      <c r="K6308">
        <v>68</v>
      </c>
      <c r="L6308">
        <v>180</v>
      </c>
      <c r="M6308">
        <v>1</v>
      </c>
      <c r="N6308">
        <v>1.3286599999999999E-19</v>
      </c>
      <c r="O6308">
        <v>232</v>
      </c>
    </row>
    <row r="6309" spans="1:15" x14ac:dyDescent="0.25">
      <c r="A6309" t="s">
        <v>6322</v>
      </c>
      <c r="B6309">
        <v>76</v>
      </c>
      <c r="C6309" s="1" t="str">
        <f>HYPERLINK("http://www.rosaceae.org/gb/gbrowse/malus_x_domestica/?name=MDP0000211972","MDP0000211972")</f>
        <v>MDP0000211972</v>
      </c>
      <c r="D6309">
        <v>95.65</v>
      </c>
      <c r="E6309">
        <v>69</v>
      </c>
      <c r="F6309">
        <v>3</v>
      </c>
      <c r="G6309">
        <v>0</v>
      </c>
      <c r="H6309">
        <v>7</v>
      </c>
      <c r="I6309">
        <v>75</v>
      </c>
      <c r="J6309">
        <v>1</v>
      </c>
      <c r="K6309">
        <v>93</v>
      </c>
      <c r="L6309">
        <v>161</v>
      </c>
      <c r="M6309">
        <v>1</v>
      </c>
      <c r="N6309">
        <v>4.8733700000000001E-34</v>
      </c>
      <c r="O6309">
        <v>351</v>
      </c>
    </row>
    <row r="6310" spans="1:15" x14ac:dyDescent="0.25">
      <c r="A6310" t="s">
        <v>6323</v>
      </c>
      <c r="B6310">
        <v>238</v>
      </c>
      <c r="C6310" s="1" t="str">
        <f>HYPERLINK("http://www.rosaceae.org/gb/gbrowse/malus_x_domestica/?name=MDP0000124256","MDP0000124256")</f>
        <v>MDP0000124256</v>
      </c>
      <c r="D6310">
        <v>44.44</v>
      </c>
      <c r="E6310">
        <v>99</v>
      </c>
      <c r="F6310">
        <v>55</v>
      </c>
      <c r="G6310">
        <v>1</v>
      </c>
      <c r="H6310">
        <v>131</v>
      </c>
      <c r="I6310">
        <v>228</v>
      </c>
      <c r="J6310">
        <v>1</v>
      </c>
      <c r="K6310">
        <v>77</v>
      </c>
      <c r="L6310">
        <v>175</v>
      </c>
      <c r="M6310">
        <v>1</v>
      </c>
      <c r="N6310">
        <v>7.0286500000000003E-15</v>
      </c>
      <c r="O6310">
        <v>191</v>
      </c>
    </row>
    <row r="6311" spans="1:15" x14ac:dyDescent="0.25">
      <c r="A6311" t="s">
        <v>6324</v>
      </c>
      <c r="B6311">
        <v>107</v>
      </c>
      <c r="C6311" s="1" t="str">
        <f>HYPERLINK("http://www.rosaceae.org/gb/gbrowse/malus_x_domestica/?name=MDP0000862728","MDP0000862728")</f>
        <v>MDP0000862728</v>
      </c>
      <c r="D6311">
        <v>90.9</v>
      </c>
      <c r="E6311">
        <v>44</v>
      </c>
      <c r="F6311">
        <v>4</v>
      </c>
      <c r="G6311">
        <v>0</v>
      </c>
      <c r="H6311">
        <v>41</v>
      </c>
      <c r="I6311">
        <v>84</v>
      </c>
      <c r="J6311">
        <v>1</v>
      </c>
      <c r="K6311">
        <v>3</v>
      </c>
      <c r="L6311">
        <v>46</v>
      </c>
      <c r="M6311">
        <v>1</v>
      </c>
      <c r="N6311">
        <v>1.6066000000000001E-16</v>
      </c>
      <c r="O6311">
        <v>200</v>
      </c>
    </row>
    <row r="6312" spans="1:15" x14ac:dyDescent="0.25">
      <c r="A6312" t="s">
        <v>6325</v>
      </c>
      <c r="B6312">
        <v>439</v>
      </c>
      <c r="C6312" s="1" t="str">
        <f>HYPERLINK("http://www.rosaceae.org/gb/gbrowse/malus_x_domestica/?name=MDP0000507969","MDP0000507969")</f>
        <v>MDP0000507969</v>
      </c>
      <c r="D6312">
        <v>80</v>
      </c>
      <c r="E6312">
        <v>430</v>
      </c>
      <c r="F6312">
        <v>86</v>
      </c>
      <c r="G6312">
        <v>15</v>
      </c>
      <c r="H6312">
        <v>1</v>
      </c>
      <c r="I6312">
        <v>416</v>
      </c>
      <c r="J6312">
        <v>1</v>
      </c>
      <c r="K6312">
        <v>1</v>
      </c>
      <c r="L6312">
        <v>429</v>
      </c>
      <c r="M6312">
        <v>1</v>
      </c>
      <c r="N6312">
        <v>0</v>
      </c>
      <c r="O6312">
        <v>1795</v>
      </c>
    </row>
    <row r="6313" spans="1:15" x14ac:dyDescent="0.25">
      <c r="A6313" t="s">
        <v>6326</v>
      </c>
      <c r="B6313">
        <v>554</v>
      </c>
      <c r="C6313" s="1" t="str">
        <f>HYPERLINK("http://www.rosaceae.org/gb/gbrowse/malus_x_domestica/?name=MDP0000285108","MDP0000285108")</f>
        <v>MDP0000285108</v>
      </c>
      <c r="D6313">
        <v>30.46</v>
      </c>
      <c r="E6313">
        <v>128</v>
      </c>
      <c r="F6313">
        <v>89</v>
      </c>
      <c r="G6313">
        <v>1</v>
      </c>
      <c r="H6313">
        <v>393</v>
      </c>
      <c r="I6313">
        <v>520</v>
      </c>
      <c r="J6313">
        <v>1</v>
      </c>
      <c r="K6313">
        <v>794</v>
      </c>
      <c r="L6313">
        <v>920</v>
      </c>
      <c r="M6313">
        <v>1</v>
      </c>
      <c r="N6313">
        <v>3.4989599999999999E-12</v>
      </c>
      <c r="O6313">
        <v>172</v>
      </c>
    </row>
    <row r="6314" spans="1:15" x14ac:dyDescent="0.25">
      <c r="A6314" t="s">
        <v>6327</v>
      </c>
      <c r="B6314">
        <v>1290</v>
      </c>
      <c r="C6314" s="1" t="str">
        <f>HYPERLINK("http://www.rosaceae.org/gb/gbrowse/malus_x_domestica/?name=MDP0000271902","MDP0000271902")</f>
        <v>MDP0000271902</v>
      </c>
      <c r="D6314">
        <v>72.44</v>
      </c>
      <c r="E6314">
        <v>1172</v>
      </c>
      <c r="F6314">
        <v>323</v>
      </c>
      <c r="G6314">
        <v>52</v>
      </c>
      <c r="H6314">
        <v>171</v>
      </c>
      <c r="I6314">
        <v>1290</v>
      </c>
      <c r="J6314">
        <v>1</v>
      </c>
      <c r="K6314">
        <v>28</v>
      </c>
      <c r="L6314">
        <v>1199</v>
      </c>
      <c r="M6314">
        <v>1</v>
      </c>
      <c r="N6314">
        <v>0</v>
      </c>
      <c r="O6314">
        <v>4373</v>
      </c>
    </row>
    <row r="6315" spans="1:15" x14ac:dyDescent="0.25">
      <c r="A6315" t="s">
        <v>6328</v>
      </c>
      <c r="B6315">
        <v>859</v>
      </c>
      <c r="C6315" s="1" t="str">
        <f>HYPERLINK("http://www.rosaceae.org/gb/gbrowse/malus_x_domestica/?name=MDP0000278580","MDP0000278580")</f>
        <v>MDP0000278580</v>
      </c>
      <c r="D6315">
        <v>77.52</v>
      </c>
      <c r="E6315">
        <v>356</v>
      </c>
      <c r="F6315">
        <v>80</v>
      </c>
      <c r="G6315">
        <v>2</v>
      </c>
      <c r="H6315">
        <v>1</v>
      </c>
      <c r="I6315">
        <v>356</v>
      </c>
      <c r="J6315">
        <v>1</v>
      </c>
      <c r="K6315">
        <v>1</v>
      </c>
      <c r="L6315">
        <v>354</v>
      </c>
      <c r="M6315">
        <v>1</v>
      </c>
      <c r="N6315">
        <v>1.06768E-155</v>
      </c>
      <c r="O6315">
        <v>1412</v>
      </c>
    </row>
    <row r="6316" spans="1:15" x14ac:dyDescent="0.25">
      <c r="A6316" t="s">
        <v>6329</v>
      </c>
      <c r="B6316">
        <v>169</v>
      </c>
      <c r="C6316" s="1" t="str">
        <f>HYPERLINK("http://www.rosaceae.org/gb/gbrowse/malus_x_domestica/?name=MDP0000251966","MDP0000251966")</f>
        <v>MDP0000251966</v>
      </c>
      <c r="D6316">
        <v>71.64</v>
      </c>
      <c r="E6316">
        <v>67</v>
      </c>
      <c r="F6316">
        <v>19</v>
      </c>
      <c r="G6316">
        <v>0</v>
      </c>
      <c r="H6316">
        <v>103</v>
      </c>
      <c r="I6316">
        <v>169</v>
      </c>
      <c r="J6316">
        <v>1</v>
      </c>
      <c r="K6316">
        <v>29</v>
      </c>
      <c r="L6316">
        <v>95</v>
      </c>
      <c r="M6316">
        <v>1</v>
      </c>
      <c r="N6316">
        <v>2.9797300000000001E-23</v>
      </c>
      <c r="O6316">
        <v>261</v>
      </c>
    </row>
    <row r="6317" spans="1:15" x14ac:dyDescent="0.25">
      <c r="A6317" t="s">
        <v>6330</v>
      </c>
      <c r="B6317">
        <v>323</v>
      </c>
      <c r="C6317" s="1" t="str">
        <f>HYPERLINK("http://www.rosaceae.org/gb/gbrowse/malus_x_domestica/?name=MDP0000323095","MDP0000323095")</f>
        <v>MDP0000323095</v>
      </c>
      <c r="D6317">
        <v>90.9</v>
      </c>
      <c r="E6317">
        <v>275</v>
      </c>
      <c r="F6317">
        <v>25</v>
      </c>
      <c r="G6317">
        <v>0</v>
      </c>
      <c r="H6317">
        <v>49</v>
      </c>
      <c r="I6317">
        <v>323</v>
      </c>
      <c r="J6317">
        <v>1</v>
      </c>
      <c r="K6317">
        <v>97</v>
      </c>
      <c r="L6317">
        <v>371</v>
      </c>
      <c r="M6317">
        <v>1</v>
      </c>
      <c r="N6317">
        <v>9.6557399999999997E-145</v>
      </c>
      <c r="O6317">
        <v>1313</v>
      </c>
    </row>
    <row r="6318" spans="1:15" x14ac:dyDescent="0.25">
      <c r="A6318" t="s">
        <v>6331</v>
      </c>
      <c r="B6318">
        <v>1009</v>
      </c>
      <c r="C6318" s="1" t="str">
        <f>HYPERLINK("http://www.rosaceae.org/gb/gbrowse/malus_x_domestica/?name=MDP0000252227","MDP0000252227")</f>
        <v>MDP0000252227</v>
      </c>
      <c r="D6318">
        <v>48.71</v>
      </c>
      <c r="E6318">
        <v>895</v>
      </c>
      <c r="F6318">
        <v>459</v>
      </c>
      <c r="G6318">
        <v>115</v>
      </c>
      <c r="H6318">
        <v>46</v>
      </c>
      <c r="I6318">
        <v>851</v>
      </c>
      <c r="J6318">
        <v>1</v>
      </c>
      <c r="K6318">
        <v>54</v>
      </c>
      <c r="L6318">
        <v>922</v>
      </c>
      <c r="M6318">
        <v>1</v>
      </c>
      <c r="N6318">
        <v>0</v>
      </c>
      <c r="O6318">
        <v>1714</v>
      </c>
    </row>
    <row r="6319" spans="1:15" x14ac:dyDescent="0.25">
      <c r="A6319" t="s">
        <v>6332</v>
      </c>
      <c r="B6319">
        <v>173</v>
      </c>
      <c r="C6319" s="1" t="str">
        <f>HYPERLINK("http://www.rosaceae.org/gb/gbrowse/malus_x_domestica/?name=MDP0000215301","MDP0000215301")</f>
        <v>MDP0000215301</v>
      </c>
      <c r="D6319">
        <v>60.89</v>
      </c>
      <c r="E6319">
        <v>202</v>
      </c>
      <c r="F6319">
        <v>79</v>
      </c>
      <c r="G6319">
        <v>39</v>
      </c>
      <c r="H6319">
        <v>8</v>
      </c>
      <c r="I6319">
        <v>170</v>
      </c>
      <c r="J6319">
        <v>1</v>
      </c>
      <c r="K6319">
        <v>45</v>
      </c>
      <c r="L6319">
        <v>246</v>
      </c>
      <c r="M6319">
        <v>1</v>
      </c>
      <c r="N6319">
        <v>3.1910599999999999E-57</v>
      </c>
      <c r="O6319">
        <v>554</v>
      </c>
    </row>
    <row r="6320" spans="1:15" x14ac:dyDescent="0.25">
      <c r="A6320" t="s">
        <v>6333</v>
      </c>
      <c r="B6320">
        <v>891</v>
      </c>
      <c r="C6320" s="1" t="str">
        <f>HYPERLINK("http://www.rosaceae.org/gb/gbrowse/malus_x_domestica/?name=MDP0000868064","MDP0000868064")</f>
        <v>MDP0000868064</v>
      </c>
      <c r="D6320">
        <v>71</v>
      </c>
      <c r="E6320">
        <v>707</v>
      </c>
      <c r="F6320">
        <v>205</v>
      </c>
      <c r="G6320">
        <v>25</v>
      </c>
      <c r="H6320">
        <v>1</v>
      </c>
      <c r="I6320">
        <v>689</v>
      </c>
      <c r="J6320">
        <v>1</v>
      </c>
      <c r="K6320">
        <v>1</v>
      </c>
      <c r="L6320">
        <v>700</v>
      </c>
      <c r="M6320">
        <v>1</v>
      </c>
      <c r="N6320">
        <v>0</v>
      </c>
      <c r="O6320">
        <v>2690</v>
      </c>
    </row>
    <row r="6321" spans="1:15" x14ac:dyDescent="0.25">
      <c r="A6321" t="s">
        <v>6334</v>
      </c>
      <c r="B6321">
        <v>255</v>
      </c>
      <c r="C6321" s="1" t="str">
        <f>HYPERLINK("http://www.rosaceae.org/gb/gbrowse/malus_x_domestica/?name=MDP0000250455","MDP0000250455")</f>
        <v>MDP0000250455</v>
      </c>
      <c r="D6321">
        <v>37.28</v>
      </c>
      <c r="E6321">
        <v>228</v>
      </c>
      <c r="F6321">
        <v>143</v>
      </c>
      <c r="G6321">
        <v>32</v>
      </c>
      <c r="H6321">
        <v>3</v>
      </c>
      <c r="I6321">
        <v>210</v>
      </c>
      <c r="J6321">
        <v>1</v>
      </c>
      <c r="K6321">
        <v>496</v>
      </c>
      <c r="L6321">
        <v>711</v>
      </c>
      <c r="M6321">
        <v>1</v>
      </c>
      <c r="N6321">
        <v>1.4535299999999999E-32</v>
      </c>
      <c r="O6321">
        <v>344</v>
      </c>
    </row>
    <row r="6322" spans="1:15" x14ac:dyDescent="0.25">
      <c r="A6322" t="s">
        <v>6335</v>
      </c>
      <c r="B6322">
        <v>477</v>
      </c>
      <c r="C6322" s="1" t="str">
        <f>HYPERLINK("http://www.rosaceae.org/gb/gbrowse/malus_x_domestica/?name=MDP0000463041","MDP0000463041")</f>
        <v>MDP0000463041</v>
      </c>
      <c r="D6322">
        <v>52.12</v>
      </c>
      <c r="E6322">
        <v>447</v>
      </c>
      <c r="F6322">
        <v>214</v>
      </c>
      <c r="G6322">
        <v>34</v>
      </c>
      <c r="H6322">
        <v>52</v>
      </c>
      <c r="I6322">
        <v>475</v>
      </c>
      <c r="J6322">
        <v>1</v>
      </c>
      <c r="K6322">
        <v>61</v>
      </c>
      <c r="L6322">
        <v>496</v>
      </c>
      <c r="M6322">
        <v>1</v>
      </c>
      <c r="N6322">
        <v>1.3578500000000001E-105</v>
      </c>
      <c r="O6322">
        <v>977</v>
      </c>
    </row>
    <row r="6323" spans="1:15" x14ac:dyDescent="0.25">
      <c r="A6323" t="s">
        <v>6336</v>
      </c>
      <c r="B6323">
        <v>555</v>
      </c>
      <c r="C6323" s="1" t="str">
        <f>HYPERLINK("http://www.rosaceae.org/gb/gbrowse/malus_x_domestica/?name=MDP0000635041","MDP0000635041")</f>
        <v>MDP0000635041</v>
      </c>
      <c r="D6323">
        <v>38.770000000000003</v>
      </c>
      <c r="E6323">
        <v>539</v>
      </c>
      <c r="F6323">
        <v>330</v>
      </c>
      <c r="G6323">
        <v>14</v>
      </c>
      <c r="H6323">
        <v>24</v>
      </c>
      <c r="I6323">
        <v>555</v>
      </c>
      <c r="J6323">
        <v>1</v>
      </c>
      <c r="K6323">
        <v>40</v>
      </c>
      <c r="L6323">
        <v>571</v>
      </c>
      <c r="M6323">
        <v>1</v>
      </c>
      <c r="N6323">
        <v>5.3920000000000001E-111</v>
      </c>
      <c r="O6323">
        <v>1024</v>
      </c>
    </row>
    <row r="6324" spans="1:15" x14ac:dyDescent="0.25">
      <c r="A6324" t="s">
        <v>6337</v>
      </c>
      <c r="B6324">
        <v>134</v>
      </c>
      <c r="C6324" s="1" t="str">
        <f>HYPERLINK("http://www.rosaceae.org/gb/gbrowse/malus_x_domestica/?name=MDP0000700517","MDP0000700517")</f>
        <v>MDP0000700517</v>
      </c>
      <c r="D6324">
        <v>35.96</v>
      </c>
      <c r="E6324">
        <v>114</v>
      </c>
      <c r="F6324">
        <v>73</v>
      </c>
      <c r="G6324">
        <v>6</v>
      </c>
      <c r="H6324">
        <v>12</v>
      </c>
      <c r="I6324">
        <v>119</v>
      </c>
      <c r="J6324">
        <v>1</v>
      </c>
      <c r="K6324">
        <v>194</v>
      </c>
      <c r="L6324">
        <v>307</v>
      </c>
      <c r="M6324">
        <v>1</v>
      </c>
      <c r="N6324">
        <v>1.23781E-16</v>
      </c>
      <c r="O6324">
        <v>202</v>
      </c>
    </row>
    <row r="6325" spans="1:15" x14ac:dyDescent="0.25">
      <c r="A6325" t="s">
        <v>6338</v>
      </c>
      <c r="B6325">
        <v>88</v>
      </c>
      <c r="C6325" s="1" t="str">
        <f>HYPERLINK("http://www.rosaceae.org/gb/gbrowse/malus_x_domestica/?name=MDP0000271522","MDP0000271522")</f>
        <v>MDP0000271522</v>
      </c>
      <c r="D6325">
        <v>62</v>
      </c>
      <c r="E6325">
        <v>50</v>
      </c>
      <c r="F6325">
        <v>19</v>
      </c>
      <c r="G6325">
        <v>0</v>
      </c>
      <c r="H6325">
        <v>31</v>
      </c>
      <c r="I6325">
        <v>80</v>
      </c>
      <c r="J6325">
        <v>1</v>
      </c>
      <c r="K6325">
        <v>104</v>
      </c>
      <c r="L6325">
        <v>153</v>
      </c>
      <c r="M6325">
        <v>1</v>
      </c>
      <c r="N6325">
        <v>1.91045E-14</v>
      </c>
      <c r="O6325">
        <v>182</v>
      </c>
    </row>
    <row r="6326" spans="1:15" x14ac:dyDescent="0.25">
      <c r="A6326" t="s">
        <v>6339</v>
      </c>
      <c r="B6326">
        <v>441</v>
      </c>
      <c r="C6326" s="1" t="str">
        <f>HYPERLINK("http://www.rosaceae.org/gb/gbrowse/malus_x_domestica/?name=MDP0000312316","MDP0000312316")</f>
        <v>MDP0000312316</v>
      </c>
      <c r="D6326">
        <v>74.239999999999995</v>
      </c>
      <c r="E6326">
        <v>431</v>
      </c>
      <c r="F6326">
        <v>111</v>
      </c>
      <c r="G6326">
        <v>2</v>
      </c>
      <c r="H6326">
        <v>9</v>
      </c>
      <c r="I6326">
        <v>437</v>
      </c>
      <c r="J6326">
        <v>1</v>
      </c>
      <c r="K6326">
        <v>12</v>
      </c>
      <c r="L6326">
        <v>442</v>
      </c>
      <c r="M6326">
        <v>1</v>
      </c>
      <c r="N6326">
        <v>0</v>
      </c>
      <c r="O6326">
        <v>1740</v>
      </c>
    </row>
    <row r="6327" spans="1:15" x14ac:dyDescent="0.25">
      <c r="A6327" t="s">
        <v>6340</v>
      </c>
      <c r="B6327">
        <v>581</v>
      </c>
      <c r="C6327" s="1" t="str">
        <f>HYPERLINK("http://www.rosaceae.org/gb/gbrowse/malus_x_domestica/?name=MDP0000727836","MDP0000727836")</f>
        <v>MDP0000727836</v>
      </c>
      <c r="D6327">
        <v>75.459999999999994</v>
      </c>
      <c r="E6327">
        <v>587</v>
      </c>
      <c r="F6327">
        <v>144</v>
      </c>
      <c r="G6327">
        <v>14</v>
      </c>
      <c r="H6327">
        <v>1</v>
      </c>
      <c r="I6327">
        <v>581</v>
      </c>
      <c r="J6327">
        <v>1</v>
      </c>
      <c r="K6327">
        <v>1</v>
      </c>
      <c r="L6327">
        <v>579</v>
      </c>
      <c r="M6327">
        <v>1</v>
      </c>
      <c r="N6327">
        <v>0</v>
      </c>
      <c r="O6327">
        <v>2259</v>
      </c>
    </row>
    <row r="6328" spans="1:15" x14ac:dyDescent="0.25">
      <c r="A6328" t="s">
        <v>6341</v>
      </c>
      <c r="B6328">
        <v>106</v>
      </c>
      <c r="C6328" s="1" t="str">
        <f>HYPERLINK("http://www.rosaceae.org/gb/gbrowse/malus_x_domestica/?name=MDP0000738990","MDP0000738990")</f>
        <v>MDP0000738990</v>
      </c>
      <c r="D6328">
        <v>88.67</v>
      </c>
      <c r="E6328">
        <v>106</v>
      </c>
      <c r="F6328">
        <v>12</v>
      </c>
      <c r="G6328">
        <v>0</v>
      </c>
      <c r="H6328">
        <v>1</v>
      </c>
      <c r="I6328">
        <v>106</v>
      </c>
      <c r="J6328">
        <v>1</v>
      </c>
      <c r="K6328">
        <v>1</v>
      </c>
      <c r="L6328">
        <v>106</v>
      </c>
      <c r="M6328">
        <v>1</v>
      </c>
      <c r="N6328">
        <v>4.9178799999999997E-54</v>
      </c>
      <c r="O6328">
        <v>523</v>
      </c>
    </row>
    <row r="6329" spans="1:15" x14ac:dyDescent="0.25">
      <c r="A6329" t="s">
        <v>6342</v>
      </c>
      <c r="B6329">
        <v>878</v>
      </c>
      <c r="C6329" s="1" t="str">
        <f>HYPERLINK("http://www.rosaceae.org/gb/gbrowse/malus_x_domestica/?name=MDP0000200165","MDP0000200165")</f>
        <v>MDP0000200165</v>
      </c>
      <c r="D6329">
        <v>41.58</v>
      </c>
      <c r="E6329">
        <v>214</v>
      </c>
      <c r="F6329">
        <v>125</v>
      </c>
      <c r="G6329">
        <v>6</v>
      </c>
      <c r="H6329">
        <v>523</v>
      </c>
      <c r="I6329">
        <v>735</v>
      </c>
      <c r="J6329">
        <v>1</v>
      </c>
      <c r="K6329">
        <v>200</v>
      </c>
      <c r="L6329">
        <v>408</v>
      </c>
      <c r="M6329">
        <v>1</v>
      </c>
      <c r="N6329">
        <v>1.5176000000000001E-36</v>
      </c>
      <c r="O6329">
        <v>384</v>
      </c>
    </row>
    <row r="6330" spans="1:15" x14ac:dyDescent="0.25">
      <c r="A6330" t="s">
        <v>6343</v>
      </c>
      <c r="B6330">
        <v>510</v>
      </c>
      <c r="C6330" s="1" t="str">
        <f>HYPERLINK("http://www.rosaceae.org/gb/gbrowse/malus_x_domestica/?name=MDP0000130030","MDP0000130030")</f>
        <v>MDP0000130030</v>
      </c>
      <c r="D6330">
        <v>47.25</v>
      </c>
      <c r="E6330">
        <v>510</v>
      </c>
      <c r="F6330">
        <v>269</v>
      </c>
      <c r="G6330">
        <v>15</v>
      </c>
      <c r="H6330">
        <v>1</v>
      </c>
      <c r="I6330">
        <v>504</v>
      </c>
      <c r="J6330">
        <v>1</v>
      </c>
      <c r="K6330">
        <v>1</v>
      </c>
      <c r="L6330">
        <v>501</v>
      </c>
      <c r="M6330">
        <v>1</v>
      </c>
      <c r="N6330">
        <v>2.7907900000000003E-138</v>
      </c>
      <c r="O6330">
        <v>1259</v>
      </c>
    </row>
    <row r="6331" spans="1:15" x14ac:dyDescent="0.25">
      <c r="A6331" t="s">
        <v>6344</v>
      </c>
      <c r="B6331">
        <v>471</v>
      </c>
      <c r="C6331" s="1" t="str">
        <f>HYPERLINK("http://www.rosaceae.org/gb/gbrowse/malus_x_domestica/?name=MDP0000391188","MDP0000391188")</f>
        <v>MDP0000391188</v>
      </c>
      <c r="D6331">
        <v>87.52</v>
      </c>
      <c r="E6331">
        <v>465</v>
      </c>
      <c r="F6331">
        <v>58</v>
      </c>
      <c r="G6331">
        <v>4</v>
      </c>
      <c r="H6331">
        <v>10</v>
      </c>
      <c r="I6331">
        <v>471</v>
      </c>
      <c r="J6331">
        <v>1</v>
      </c>
      <c r="K6331">
        <v>11</v>
      </c>
      <c r="L6331">
        <v>474</v>
      </c>
      <c r="M6331">
        <v>1</v>
      </c>
      <c r="N6331">
        <v>0</v>
      </c>
      <c r="O6331">
        <v>2166</v>
      </c>
    </row>
    <row r="6332" spans="1:15" x14ac:dyDescent="0.25">
      <c r="A6332" t="s">
        <v>6345</v>
      </c>
      <c r="B6332">
        <v>1217</v>
      </c>
      <c r="C6332" s="1" t="str">
        <f>HYPERLINK("http://www.rosaceae.org/gb/gbrowse/malus_x_domestica/?name=MDP0000188637","MDP0000188637")</f>
        <v>MDP0000188637</v>
      </c>
      <c r="D6332">
        <v>57.16</v>
      </c>
      <c r="E6332">
        <v>782</v>
      </c>
      <c r="F6332">
        <v>335</v>
      </c>
      <c r="G6332">
        <v>77</v>
      </c>
      <c r="H6332">
        <v>1</v>
      </c>
      <c r="I6332">
        <v>714</v>
      </c>
      <c r="J6332">
        <v>1</v>
      </c>
      <c r="K6332">
        <v>1</v>
      </c>
      <c r="L6332">
        <v>773</v>
      </c>
      <c r="M6332">
        <v>1</v>
      </c>
      <c r="N6332">
        <v>0</v>
      </c>
      <c r="O6332">
        <v>2205</v>
      </c>
    </row>
    <row r="6333" spans="1:15" x14ac:dyDescent="0.25">
      <c r="A6333" t="s">
        <v>6346</v>
      </c>
      <c r="B6333">
        <v>596</v>
      </c>
      <c r="C6333" s="1" t="str">
        <f>HYPERLINK("http://www.rosaceae.org/gb/gbrowse/malus_x_domestica/?name=MDP0000240646","MDP0000240646")</f>
        <v>MDP0000240646</v>
      </c>
      <c r="D6333">
        <v>80.849999999999994</v>
      </c>
      <c r="E6333">
        <v>538</v>
      </c>
      <c r="F6333">
        <v>103</v>
      </c>
      <c r="G6333">
        <v>47</v>
      </c>
      <c r="H6333">
        <v>58</v>
      </c>
      <c r="I6333">
        <v>594</v>
      </c>
      <c r="J6333">
        <v>1</v>
      </c>
      <c r="K6333">
        <v>1</v>
      </c>
      <c r="L6333">
        <v>492</v>
      </c>
      <c r="M6333">
        <v>1</v>
      </c>
      <c r="N6333">
        <v>0</v>
      </c>
      <c r="O6333">
        <v>2267</v>
      </c>
    </row>
    <row r="6334" spans="1:15" x14ac:dyDescent="0.25">
      <c r="A6334" t="s">
        <v>6347</v>
      </c>
      <c r="B6334">
        <v>138</v>
      </c>
      <c r="C6334" s="1" t="str">
        <f>HYPERLINK("http://www.rosaceae.org/gb/gbrowse/malus_x_domestica/?name=MDP0000283058","MDP0000283058")</f>
        <v>MDP0000283058</v>
      </c>
      <c r="D6334">
        <v>81.150000000000006</v>
      </c>
      <c r="E6334">
        <v>138</v>
      </c>
      <c r="F6334">
        <v>26</v>
      </c>
      <c r="G6334">
        <v>0</v>
      </c>
      <c r="H6334">
        <v>1</v>
      </c>
      <c r="I6334">
        <v>138</v>
      </c>
      <c r="J6334">
        <v>1</v>
      </c>
      <c r="K6334">
        <v>1</v>
      </c>
      <c r="L6334">
        <v>138</v>
      </c>
      <c r="M6334">
        <v>1</v>
      </c>
      <c r="N6334">
        <v>6.5201899999999996E-65</v>
      </c>
      <c r="O6334">
        <v>618</v>
      </c>
    </row>
    <row r="6335" spans="1:15" x14ac:dyDescent="0.25">
      <c r="A6335" t="s">
        <v>6348</v>
      </c>
      <c r="B6335">
        <v>253</v>
      </c>
      <c r="C6335" s="1" t="str">
        <f>HYPERLINK("http://www.rosaceae.org/gb/gbrowse/malus_x_domestica/?name=MDP0000620349","MDP0000620349")</f>
        <v>MDP0000620349</v>
      </c>
      <c r="D6335">
        <v>63.77</v>
      </c>
      <c r="E6335">
        <v>254</v>
      </c>
      <c r="F6335">
        <v>92</v>
      </c>
      <c r="G6335">
        <v>12</v>
      </c>
      <c r="H6335">
        <v>10</v>
      </c>
      <c r="I6335">
        <v>253</v>
      </c>
      <c r="J6335">
        <v>1</v>
      </c>
      <c r="K6335">
        <v>105</v>
      </c>
      <c r="L6335">
        <v>356</v>
      </c>
      <c r="M6335">
        <v>1</v>
      </c>
      <c r="N6335">
        <v>8.3252800000000005E-97</v>
      </c>
      <c r="O6335">
        <v>898</v>
      </c>
    </row>
    <row r="6336" spans="1:15" x14ac:dyDescent="0.25">
      <c r="A6336" t="s">
        <v>6349</v>
      </c>
      <c r="B6336">
        <v>755</v>
      </c>
      <c r="C6336" s="1" t="str">
        <f>HYPERLINK("http://www.rosaceae.org/gb/gbrowse/malus_x_domestica/?name=MDP0000280349","MDP0000280349")</f>
        <v>MDP0000280349</v>
      </c>
      <c r="D6336">
        <v>66.17</v>
      </c>
      <c r="E6336">
        <v>538</v>
      </c>
      <c r="F6336">
        <v>182</v>
      </c>
      <c r="G6336">
        <v>36</v>
      </c>
      <c r="H6336">
        <v>231</v>
      </c>
      <c r="I6336">
        <v>755</v>
      </c>
      <c r="J6336">
        <v>1</v>
      </c>
      <c r="K6336">
        <v>1</v>
      </c>
      <c r="L6336">
        <v>515</v>
      </c>
      <c r="M6336">
        <v>1</v>
      </c>
      <c r="N6336">
        <v>0</v>
      </c>
      <c r="O6336">
        <v>1854</v>
      </c>
    </row>
    <row r="6337" spans="1:15" x14ac:dyDescent="0.25">
      <c r="A6337" t="s">
        <v>6350</v>
      </c>
      <c r="B6337">
        <v>413</v>
      </c>
      <c r="C6337" s="1" t="str">
        <f>HYPERLINK("http://www.rosaceae.org/gb/gbrowse/malus_x_domestica/?name=MDP0000268567","MDP0000268567")</f>
        <v>MDP0000268567</v>
      </c>
      <c r="D6337">
        <v>68.94</v>
      </c>
      <c r="E6337">
        <v>425</v>
      </c>
      <c r="F6337">
        <v>132</v>
      </c>
      <c r="G6337">
        <v>41</v>
      </c>
      <c r="H6337">
        <v>1</v>
      </c>
      <c r="I6337">
        <v>413</v>
      </c>
      <c r="J6337">
        <v>1</v>
      </c>
      <c r="K6337">
        <v>77</v>
      </c>
      <c r="L6337">
        <v>472</v>
      </c>
      <c r="M6337">
        <v>1</v>
      </c>
      <c r="N6337">
        <v>5.3763100000000001E-167</v>
      </c>
      <c r="O6337">
        <v>1506</v>
      </c>
    </row>
    <row r="6338" spans="1:15" x14ac:dyDescent="0.25">
      <c r="A6338" t="s">
        <v>6351</v>
      </c>
      <c r="B6338">
        <v>205</v>
      </c>
      <c r="C6338" s="1" t="str">
        <f>HYPERLINK("http://www.rosaceae.org/gb/gbrowse/malus_x_domestica/?name=MDP0000294761","MDP0000294761")</f>
        <v>MDP0000294761</v>
      </c>
      <c r="D6338">
        <v>72.22</v>
      </c>
      <c r="E6338">
        <v>72</v>
      </c>
      <c r="F6338">
        <v>20</v>
      </c>
      <c r="G6338">
        <v>0</v>
      </c>
      <c r="H6338">
        <v>122</v>
      </c>
      <c r="I6338">
        <v>193</v>
      </c>
      <c r="J6338">
        <v>1</v>
      </c>
      <c r="K6338">
        <v>77</v>
      </c>
      <c r="L6338">
        <v>148</v>
      </c>
      <c r="M6338">
        <v>1</v>
      </c>
      <c r="N6338">
        <v>5.1821799999999996E-25</v>
      </c>
      <c r="O6338">
        <v>277</v>
      </c>
    </row>
    <row r="6339" spans="1:15" x14ac:dyDescent="0.25">
      <c r="A6339" t="s">
        <v>6352</v>
      </c>
      <c r="B6339">
        <v>366</v>
      </c>
      <c r="C6339" s="1" t="str">
        <f>HYPERLINK("http://www.rosaceae.org/gb/gbrowse/malus_x_domestica/?name=MDP0000334963","MDP0000334963")</f>
        <v>MDP0000334963</v>
      </c>
      <c r="D6339">
        <v>87.05</v>
      </c>
      <c r="E6339">
        <v>363</v>
      </c>
      <c r="F6339">
        <v>47</v>
      </c>
      <c r="G6339">
        <v>9</v>
      </c>
      <c r="H6339">
        <v>4</v>
      </c>
      <c r="I6339">
        <v>366</v>
      </c>
      <c r="J6339">
        <v>1</v>
      </c>
      <c r="K6339">
        <v>7</v>
      </c>
      <c r="L6339">
        <v>360</v>
      </c>
      <c r="M6339">
        <v>1</v>
      </c>
      <c r="N6339">
        <v>0</v>
      </c>
      <c r="O6339">
        <v>1648</v>
      </c>
    </row>
    <row r="6340" spans="1:15" x14ac:dyDescent="0.25">
      <c r="A6340" t="s">
        <v>6353</v>
      </c>
      <c r="B6340">
        <v>707</v>
      </c>
      <c r="C6340" s="1" t="str">
        <f>HYPERLINK("http://www.rosaceae.org/gb/gbrowse/malus_x_domestica/?name=MDP0000127586","MDP0000127586")</f>
        <v>MDP0000127586</v>
      </c>
      <c r="D6340">
        <v>71.540000000000006</v>
      </c>
      <c r="E6340">
        <v>622</v>
      </c>
      <c r="F6340">
        <v>177</v>
      </c>
      <c r="G6340">
        <v>57</v>
      </c>
      <c r="H6340">
        <v>1</v>
      </c>
      <c r="I6340">
        <v>592</v>
      </c>
      <c r="J6340">
        <v>1</v>
      </c>
      <c r="K6340">
        <v>17</v>
      </c>
      <c r="L6340">
        <v>611</v>
      </c>
      <c r="M6340">
        <v>1</v>
      </c>
      <c r="N6340">
        <v>0</v>
      </c>
      <c r="O6340">
        <v>2166</v>
      </c>
    </row>
    <row r="6341" spans="1:15" x14ac:dyDescent="0.25">
      <c r="A6341" t="s">
        <v>6354</v>
      </c>
      <c r="B6341">
        <v>723</v>
      </c>
      <c r="C6341" s="1" t="str">
        <f>HYPERLINK("http://www.rosaceae.org/gb/gbrowse/malus_x_domestica/?name=MDP0000209890","MDP0000209890")</f>
        <v>MDP0000209890</v>
      </c>
      <c r="D6341">
        <v>79.290000000000006</v>
      </c>
      <c r="E6341">
        <v>565</v>
      </c>
      <c r="F6341">
        <v>117</v>
      </c>
      <c r="G6341">
        <v>12</v>
      </c>
      <c r="H6341">
        <v>167</v>
      </c>
      <c r="I6341">
        <v>723</v>
      </c>
      <c r="J6341">
        <v>1</v>
      </c>
      <c r="K6341">
        <v>1</v>
      </c>
      <c r="L6341">
        <v>561</v>
      </c>
      <c r="M6341">
        <v>1</v>
      </c>
      <c r="N6341">
        <v>0</v>
      </c>
      <c r="O6341">
        <v>2311</v>
      </c>
    </row>
    <row r="6342" spans="1:15" x14ac:dyDescent="0.25">
      <c r="A6342" t="s">
        <v>6355</v>
      </c>
      <c r="B6342">
        <v>229</v>
      </c>
      <c r="C6342" s="1" t="str">
        <f>HYPERLINK("http://www.rosaceae.org/gb/gbrowse/malus_x_domestica/?name=MDP0000795650","MDP0000795650")</f>
        <v>MDP0000795650</v>
      </c>
      <c r="D6342">
        <v>76.709999999999994</v>
      </c>
      <c r="E6342">
        <v>146</v>
      </c>
      <c r="F6342">
        <v>34</v>
      </c>
      <c r="G6342">
        <v>0</v>
      </c>
      <c r="H6342">
        <v>10</v>
      </c>
      <c r="I6342">
        <v>155</v>
      </c>
      <c r="J6342">
        <v>1</v>
      </c>
      <c r="K6342">
        <v>247</v>
      </c>
      <c r="L6342">
        <v>392</v>
      </c>
      <c r="M6342">
        <v>1</v>
      </c>
      <c r="N6342">
        <v>7.0981900000000004E-65</v>
      </c>
      <c r="O6342">
        <v>622</v>
      </c>
    </row>
    <row r="6343" spans="1:15" x14ac:dyDescent="0.25">
      <c r="A6343" t="s">
        <v>6356</v>
      </c>
      <c r="B6343">
        <v>565</v>
      </c>
      <c r="C6343" s="1" t="str">
        <f>HYPERLINK("http://www.rosaceae.org/gb/gbrowse/malus_x_domestica/?name=MDP0000213489","MDP0000213489")</f>
        <v>MDP0000213489</v>
      </c>
      <c r="D6343">
        <v>46.63</v>
      </c>
      <c r="E6343">
        <v>609</v>
      </c>
      <c r="F6343">
        <v>325</v>
      </c>
      <c r="G6343">
        <v>60</v>
      </c>
      <c r="H6343">
        <v>1</v>
      </c>
      <c r="I6343">
        <v>564</v>
      </c>
      <c r="J6343">
        <v>1</v>
      </c>
      <c r="K6343">
        <v>1</v>
      </c>
      <c r="L6343">
        <v>594</v>
      </c>
      <c r="M6343">
        <v>1</v>
      </c>
      <c r="N6343">
        <v>3.8078499999999998E-121</v>
      </c>
      <c r="O6343">
        <v>1112</v>
      </c>
    </row>
    <row r="6344" spans="1:15" x14ac:dyDescent="0.25">
      <c r="A6344" t="s">
        <v>6357</v>
      </c>
      <c r="B6344">
        <v>607</v>
      </c>
      <c r="C6344" s="1" t="str">
        <f>HYPERLINK("http://www.rosaceae.org/gb/gbrowse/malus_x_domestica/?name=MDP0000261067","MDP0000261067")</f>
        <v>MDP0000261067</v>
      </c>
      <c r="D6344">
        <v>59.7</v>
      </c>
      <c r="E6344">
        <v>685</v>
      </c>
      <c r="F6344">
        <v>276</v>
      </c>
      <c r="G6344">
        <v>118</v>
      </c>
      <c r="H6344">
        <v>7</v>
      </c>
      <c r="I6344">
        <v>582</v>
      </c>
      <c r="J6344">
        <v>1</v>
      </c>
      <c r="K6344">
        <v>106</v>
      </c>
      <c r="L6344">
        <v>781</v>
      </c>
      <c r="M6344">
        <v>1</v>
      </c>
      <c r="N6344">
        <v>0</v>
      </c>
      <c r="O6344">
        <v>1831</v>
      </c>
    </row>
    <row r="6345" spans="1:15" x14ac:dyDescent="0.25">
      <c r="A6345" t="s">
        <v>6358</v>
      </c>
      <c r="B6345">
        <v>311</v>
      </c>
      <c r="C6345" s="1" t="str">
        <f>HYPERLINK("http://www.rosaceae.org/gb/gbrowse/malus_x_domestica/?name=MDP0000174950","MDP0000174950")</f>
        <v>MDP0000174950</v>
      </c>
      <c r="D6345">
        <v>46.98</v>
      </c>
      <c r="E6345">
        <v>332</v>
      </c>
      <c r="F6345">
        <v>176</v>
      </c>
      <c r="G6345">
        <v>72</v>
      </c>
      <c r="H6345">
        <v>46</v>
      </c>
      <c r="I6345">
        <v>305</v>
      </c>
      <c r="J6345">
        <v>1</v>
      </c>
      <c r="K6345">
        <v>56</v>
      </c>
      <c r="L6345">
        <v>387</v>
      </c>
      <c r="M6345">
        <v>1</v>
      </c>
      <c r="N6345">
        <v>5.1679199999999998E-64</v>
      </c>
      <c r="O6345">
        <v>616</v>
      </c>
    </row>
    <row r="6346" spans="1:15" x14ac:dyDescent="0.25">
      <c r="A6346" t="s">
        <v>6359</v>
      </c>
      <c r="B6346">
        <v>718</v>
      </c>
      <c r="C6346" s="1" t="str">
        <f>HYPERLINK("http://www.rosaceae.org/gb/gbrowse/malus_x_domestica/?name=MDP0000319656","MDP0000319656")</f>
        <v>MDP0000319656</v>
      </c>
      <c r="D6346">
        <v>43.78</v>
      </c>
      <c r="E6346">
        <v>491</v>
      </c>
      <c r="F6346">
        <v>276</v>
      </c>
      <c r="G6346">
        <v>67</v>
      </c>
      <c r="H6346">
        <v>42</v>
      </c>
      <c r="I6346">
        <v>500</v>
      </c>
      <c r="J6346">
        <v>1</v>
      </c>
      <c r="K6346">
        <v>362</v>
      </c>
      <c r="L6346">
        <v>817</v>
      </c>
      <c r="M6346">
        <v>1</v>
      </c>
      <c r="N6346">
        <v>2.9560800000000001E-84</v>
      </c>
      <c r="O6346">
        <v>795</v>
      </c>
    </row>
    <row r="6347" spans="1:15" x14ac:dyDescent="0.25">
      <c r="A6347" t="s">
        <v>6360</v>
      </c>
      <c r="B6347">
        <v>304</v>
      </c>
      <c r="C6347" s="1" t="str">
        <f>HYPERLINK("http://www.rosaceae.org/gb/gbrowse/malus_x_domestica/?name=MDP0000124450","MDP0000124450")</f>
        <v>MDP0000124450</v>
      </c>
      <c r="D6347">
        <v>58.65</v>
      </c>
      <c r="E6347">
        <v>208</v>
      </c>
      <c r="F6347">
        <v>86</v>
      </c>
      <c r="G6347">
        <v>3</v>
      </c>
      <c r="H6347">
        <v>95</v>
      </c>
      <c r="I6347">
        <v>302</v>
      </c>
      <c r="J6347">
        <v>1</v>
      </c>
      <c r="K6347">
        <v>307</v>
      </c>
      <c r="L6347">
        <v>511</v>
      </c>
      <c r="M6347">
        <v>1</v>
      </c>
      <c r="N6347">
        <v>4.01425E-69</v>
      </c>
      <c r="O6347">
        <v>660</v>
      </c>
    </row>
    <row r="6348" spans="1:15" x14ac:dyDescent="0.25">
      <c r="A6348" t="s">
        <v>6361</v>
      </c>
      <c r="B6348">
        <v>304</v>
      </c>
      <c r="C6348" s="1" t="str">
        <f>HYPERLINK("http://www.rosaceae.org/gb/gbrowse/malus_x_domestica/?name=MDP0000459302","MDP0000459302")</f>
        <v>MDP0000459302</v>
      </c>
      <c r="D6348">
        <v>61.45</v>
      </c>
      <c r="E6348">
        <v>288</v>
      </c>
      <c r="F6348">
        <v>111</v>
      </c>
      <c r="G6348">
        <v>61</v>
      </c>
      <c r="H6348">
        <v>18</v>
      </c>
      <c r="I6348">
        <v>304</v>
      </c>
      <c r="J6348">
        <v>1</v>
      </c>
      <c r="K6348">
        <v>361</v>
      </c>
      <c r="L6348">
        <v>588</v>
      </c>
      <c r="M6348">
        <v>1</v>
      </c>
      <c r="N6348">
        <v>1.39478E-89</v>
      </c>
      <c r="O6348">
        <v>837</v>
      </c>
    </row>
    <row r="6349" spans="1:15" x14ac:dyDescent="0.25">
      <c r="A6349" t="s">
        <v>6362</v>
      </c>
      <c r="B6349">
        <v>336</v>
      </c>
      <c r="C6349" s="1" t="str">
        <f>HYPERLINK("http://www.rosaceae.org/gb/gbrowse/malus_x_domestica/?name=MDP0000696104","MDP0000696104")</f>
        <v>MDP0000696104</v>
      </c>
      <c r="D6349">
        <v>57.81</v>
      </c>
      <c r="E6349">
        <v>403</v>
      </c>
      <c r="F6349">
        <v>170</v>
      </c>
      <c r="G6349">
        <v>92</v>
      </c>
      <c r="H6349">
        <v>13</v>
      </c>
      <c r="I6349">
        <v>323</v>
      </c>
      <c r="J6349">
        <v>1</v>
      </c>
      <c r="K6349">
        <v>196</v>
      </c>
      <c r="L6349">
        <v>598</v>
      </c>
      <c r="M6349">
        <v>1</v>
      </c>
      <c r="N6349">
        <v>2.0970900000000001E-114</v>
      </c>
      <c r="O6349">
        <v>1051</v>
      </c>
    </row>
    <row r="6350" spans="1:15" x14ac:dyDescent="0.25">
      <c r="A6350" t="s">
        <v>6363</v>
      </c>
      <c r="B6350">
        <v>379</v>
      </c>
      <c r="C6350" s="1" t="str">
        <f>HYPERLINK("http://www.rosaceae.org/gb/gbrowse/malus_x_domestica/?name=MDP0000317763","MDP0000317763")</f>
        <v>MDP0000317763</v>
      </c>
      <c r="D6350">
        <v>73.75</v>
      </c>
      <c r="E6350">
        <v>301</v>
      </c>
      <c r="F6350">
        <v>79</v>
      </c>
      <c r="G6350">
        <v>2</v>
      </c>
      <c r="H6350">
        <v>79</v>
      </c>
      <c r="I6350">
        <v>379</v>
      </c>
      <c r="J6350">
        <v>1</v>
      </c>
      <c r="K6350">
        <v>1</v>
      </c>
      <c r="L6350">
        <v>299</v>
      </c>
      <c r="M6350">
        <v>1</v>
      </c>
      <c r="N6350">
        <v>3.89652E-121</v>
      </c>
      <c r="O6350">
        <v>1110</v>
      </c>
    </row>
    <row r="6351" spans="1:15" x14ac:dyDescent="0.25">
      <c r="A6351" t="s">
        <v>6364</v>
      </c>
      <c r="B6351">
        <v>385</v>
      </c>
      <c r="C6351" s="1" t="str">
        <f>HYPERLINK("http://www.rosaceae.org/gb/gbrowse/malus_x_domestica/?name=MDP0000795789","MDP0000795789")</f>
        <v>MDP0000795789</v>
      </c>
      <c r="D6351">
        <v>47.22</v>
      </c>
      <c r="E6351">
        <v>144</v>
      </c>
      <c r="F6351">
        <v>76</v>
      </c>
      <c r="G6351">
        <v>8</v>
      </c>
      <c r="H6351">
        <v>220</v>
      </c>
      <c r="I6351">
        <v>362</v>
      </c>
      <c r="J6351">
        <v>1</v>
      </c>
      <c r="K6351">
        <v>111</v>
      </c>
      <c r="L6351">
        <v>247</v>
      </c>
      <c r="M6351">
        <v>1</v>
      </c>
      <c r="N6351">
        <v>1.44325E-24</v>
      </c>
      <c r="O6351">
        <v>277</v>
      </c>
    </row>
    <row r="6352" spans="1:15" x14ac:dyDescent="0.25">
      <c r="A6352" t="s">
        <v>6365</v>
      </c>
      <c r="B6352">
        <v>810</v>
      </c>
      <c r="C6352" s="1" t="str">
        <f>HYPERLINK("http://www.rosaceae.org/gb/gbrowse/malus_x_domestica/?name=MDP0000190478","MDP0000190478")</f>
        <v>MDP0000190478</v>
      </c>
      <c r="D6352">
        <v>78.349999999999994</v>
      </c>
      <c r="E6352">
        <v>841</v>
      </c>
      <c r="F6352">
        <v>182</v>
      </c>
      <c r="G6352">
        <v>47</v>
      </c>
      <c r="H6352">
        <v>1</v>
      </c>
      <c r="I6352">
        <v>809</v>
      </c>
      <c r="J6352">
        <v>1</v>
      </c>
      <c r="K6352">
        <v>1</v>
      </c>
      <c r="L6352">
        <v>826</v>
      </c>
      <c r="M6352">
        <v>1</v>
      </c>
      <c r="N6352">
        <v>0</v>
      </c>
      <c r="O6352">
        <v>3431</v>
      </c>
    </row>
    <row r="6353" spans="1:15" x14ac:dyDescent="0.25">
      <c r="A6353" t="s">
        <v>6366</v>
      </c>
      <c r="B6353">
        <v>440</v>
      </c>
      <c r="C6353" s="1" t="str">
        <f>HYPERLINK("http://www.rosaceae.org/gb/gbrowse/malus_x_domestica/?name=MDP0000150641","MDP0000150641")</f>
        <v>MDP0000150641</v>
      </c>
      <c r="D6353">
        <v>34.19</v>
      </c>
      <c r="E6353">
        <v>427</v>
      </c>
      <c r="F6353">
        <v>281</v>
      </c>
      <c r="G6353">
        <v>41</v>
      </c>
      <c r="H6353">
        <v>14</v>
      </c>
      <c r="I6353">
        <v>415</v>
      </c>
      <c r="J6353">
        <v>1</v>
      </c>
      <c r="K6353">
        <v>17</v>
      </c>
      <c r="L6353">
        <v>427</v>
      </c>
      <c r="M6353">
        <v>1</v>
      </c>
      <c r="N6353">
        <v>5.95162E-55</v>
      </c>
      <c r="O6353">
        <v>540</v>
      </c>
    </row>
    <row r="6354" spans="1:15" x14ac:dyDescent="0.25">
      <c r="A6354" t="s">
        <v>6367</v>
      </c>
      <c r="B6354">
        <v>189</v>
      </c>
      <c r="C6354" s="1" t="str">
        <f>HYPERLINK("http://www.rosaceae.org/gb/gbrowse/malus_x_domestica/?name=MDP0000683912","MDP0000683912")</f>
        <v>MDP0000683912</v>
      </c>
      <c r="D6354">
        <v>54.45</v>
      </c>
      <c r="E6354">
        <v>191</v>
      </c>
      <c r="F6354">
        <v>87</v>
      </c>
      <c r="G6354">
        <v>23</v>
      </c>
      <c r="H6354">
        <v>3</v>
      </c>
      <c r="I6354">
        <v>189</v>
      </c>
      <c r="J6354">
        <v>1</v>
      </c>
      <c r="K6354">
        <v>1</v>
      </c>
      <c r="L6354">
        <v>172</v>
      </c>
      <c r="M6354">
        <v>1</v>
      </c>
      <c r="N6354">
        <v>4.1813900000000001E-50</v>
      </c>
      <c r="O6354">
        <v>493</v>
      </c>
    </row>
    <row r="6355" spans="1:15" x14ac:dyDescent="0.25">
      <c r="A6355" t="s">
        <v>6368</v>
      </c>
      <c r="B6355">
        <v>485</v>
      </c>
      <c r="C6355" s="1" t="str">
        <f>HYPERLINK("http://www.rosaceae.org/gb/gbrowse/malus_x_domestica/?name=MDP0000181256","MDP0000181256")</f>
        <v>MDP0000181256</v>
      </c>
      <c r="D6355">
        <v>48.35</v>
      </c>
      <c r="E6355">
        <v>457</v>
      </c>
      <c r="F6355">
        <v>236</v>
      </c>
      <c r="G6355">
        <v>48</v>
      </c>
      <c r="H6355">
        <v>1</v>
      </c>
      <c r="I6355">
        <v>437</v>
      </c>
      <c r="J6355">
        <v>1</v>
      </c>
      <c r="K6355">
        <v>1</v>
      </c>
      <c r="L6355">
        <v>429</v>
      </c>
      <c r="M6355">
        <v>1</v>
      </c>
      <c r="N6355">
        <v>3.2386900000000001E-116</v>
      </c>
      <c r="O6355">
        <v>1069</v>
      </c>
    </row>
    <row r="6356" spans="1:15" x14ac:dyDescent="0.25">
      <c r="A6356" t="s">
        <v>6369</v>
      </c>
      <c r="B6356">
        <v>534</v>
      </c>
      <c r="C6356" s="1" t="str">
        <f>HYPERLINK("http://www.rosaceae.org/gb/gbrowse/malus_x_domestica/?name=MDP0000194303","MDP0000194303")</f>
        <v>MDP0000194303</v>
      </c>
      <c r="D6356">
        <v>51.43</v>
      </c>
      <c r="E6356">
        <v>348</v>
      </c>
      <c r="F6356">
        <v>169</v>
      </c>
      <c r="G6356">
        <v>53</v>
      </c>
      <c r="H6356">
        <v>164</v>
      </c>
      <c r="I6356">
        <v>475</v>
      </c>
      <c r="J6356">
        <v>1</v>
      </c>
      <c r="K6356">
        <v>24</v>
      </c>
      <c r="L6356">
        <v>354</v>
      </c>
      <c r="M6356">
        <v>1</v>
      </c>
      <c r="N6356">
        <v>5.4953599999999998E-73</v>
      </c>
      <c r="O6356">
        <v>696</v>
      </c>
    </row>
    <row r="6357" spans="1:15" x14ac:dyDescent="0.25">
      <c r="A6357" t="s">
        <v>6370</v>
      </c>
      <c r="B6357">
        <v>155</v>
      </c>
      <c r="C6357" s="1" t="str">
        <f>HYPERLINK("http://www.rosaceae.org/gb/gbrowse/malus_x_domestica/?name=MDP0000175093","MDP0000175093")</f>
        <v>MDP0000175093</v>
      </c>
      <c r="D6357">
        <v>76.709999999999994</v>
      </c>
      <c r="E6357">
        <v>73</v>
      </c>
      <c r="F6357">
        <v>17</v>
      </c>
      <c r="G6357">
        <v>0</v>
      </c>
      <c r="H6357">
        <v>1</v>
      </c>
      <c r="I6357">
        <v>73</v>
      </c>
      <c r="J6357">
        <v>1</v>
      </c>
      <c r="K6357">
        <v>1</v>
      </c>
      <c r="L6357">
        <v>73</v>
      </c>
      <c r="M6357">
        <v>1</v>
      </c>
      <c r="N6357">
        <v>2.3944100000000001E-27</v>
      </c>
      <c r="O6357">
        <v>295</v>
      </c>
    </row>
    <row r="6358" spans="1:15" x14ac:dyDescent="0.25">
      <c r="A6358" t="s">
        <v>6371</v>
      </c>
      <c r="B6358">
        <v>141</v>
      </c>
      <c r="C6358" s="1" t="str">
        <f>HYPERLINK("http://www.rosaceae.org/gb/gbrowse/malus_x_domestica/?name=MDP0000205287","MDP0000205287")</f>
        <v>MDP0000205287</v>
      </c>
      <c r="D6358">
        <v>65.89</v>
      </c>
      <c r="E6358">
        <v>129</v>
      </c>
      <c r="F6358">
        <v>44</v>
      </c>
      <c r="G6358">
        <v>0</v>
      </c>
      <c r="H6358">
        <v>12</v>
      </c>
      <c r="I6358">
        <v>140</v>
      </c>
      <c r="J6358">
        <v>1</v>
      </c>
      <c r="K6358">
        <v>62</v>
      </c>
      <c r="L6358">
        <v>190</v>
      </c>
      <c r="M6358">
        <v>1</v>
      </c>
      <c r="N6358">
        <v>4.7260300000000001E-45</v>
      </c>
      <c r="O6358">
        <v>447</v>
      </c>
    </row>
    <row r="6359" spans="1:15" x14ac:dyDescent="0.25">
      <c r="A6359" t="s">
        <v>6372</v>
      </c>
      <c r="B6359">
        <v>154</v>
      </c>
      <c r="C6359" s="1" t="str">
        <f>HYPERLINK("http://www.rosaceae.org/gb/gbrowse/malus_x_domestica/?name=MDP0000133254","MDP0000133254")</f>
        <v>MDP0000133254</v>
      </c>
      <c r="D6359">
        <v>47.46</v>
      </c>
      <c r="E6359">
        <v>158</v>
      </c>
      <c r="F6359">
        <v>83</v>
      </c>
      <c r="G6359">
        <v>12</v>
      </c>
      <c r="H6359">
        <v>1</v>
      </c>
      <c r="I6359">
        <v>154</v>
      </c>
      <c r="J6359">
        <v>1</v>
      </c>
      <c r="K6359">
        <v>1</v>
      </c>
      <c r="L6359">
        <v>150</v>
      </c>
      <c r="M6359">
        <v>1</v>
      </c>
      <c r="N6359">
        <v>9.2427200000000003E-30</v>
      </c>
      <c r="O6359">
        <v>316</v>
      </c>
    </row>
    <row r="6360" spans="1:15" x14ac:dyDescent="0.25">
      <c r="A6360" t="s">
        <v>6373</v>
      </c>
      <c r="B6360">
        <v>172</v>
      </c>
      <c r="C6360" s="1" t="str">
        <f>HYPERLINK("http://www.rosaceae.org/gb/gbrowse/malus_x_domestica/?name=MDP0000256438","MDP0000256438")</f>
        <v>MDP0000256438</v>
      </c>
      <c r="D6360">
        <v>37.42</v>
      </c>
      <c r="E6360">
        <v>171</v>
      </c>
      <c r="F6360">
        <v>107</v>
      </c>
      <c r="G6360">
        <v>53</v>
      </c>
      <c r="H6360">
        <v>36</v>
      </c>
      <c r="I6360">
        <v>153</v>
      </c>
      <c r="J6360">
        <v>1</v>
      </c>
      <c r="K6360">
        <v>30</v>
      </c>
      <c r="L6360">
        <v>200</v>
      </c>
      <c r="M6360">
        <v>1</v>
      </c>
      <c r="N6360">
        <v>8.1052200000000001E-20</v>
      </c>
      <c r="O6360">
        <v>231</v>
      </c>
    </row>
    <row r="6361" spans="1:15" x14ac:dyDescent="0.25">
      <c r="A6361" t="s">
        <v>6374</v>
      </c>
      <c r="B6361">
        <v>1051</v>
      </c>
      <c r="C6361" s="1" t="str">
        <f>HYPERLINK("http://www.rosaceae.org/gb/gbrowse/malus_x_domestica/?name=MDP0000282919","MDP0000282919")</f>
        <v>MDP0000282919</v>
      </c>
      <c r="D6361">
        <v>82.43</v>
      </c>
      <c r="E6361">
        <v>1042</v>
      </c>
      <c r="F6361">
        <v>183</v>
      </c>
      <c r="G6361">
        <v>5</v>
      </c>
      <c r="H6361">
        <v>13</v>
      </c>
      <c r="I6361">
        <v>1051</v>
      </c>
      <c r="J6361">
        <v>1</v>
      </c>
      <c r="K6361">
        <v>39</v>
      </c>
      <c r="L6361">
        <v>1078</v>
      </c>
      <c r="M6361">
        <v>1</v>
      </c>
      <c r="N6361">
        <v>0</v>
      </c>
      <c r="O6361">
        <v>4509</v>
      </c>
    </row>
    <row r="6362" spans="1:15" x14ac:dyDescent="0.25">
      <c r="A6362" t="s">
        <v>6375</v>
      </c>
      <c r="B6362">
        <v>268</v>
      </c>
      <c r="C6362" s="1" t="str">
        <f>HYPERLINK("http://www.rosaceae.org/gb/gbrowse/malus_x_domestica/?name=MDP0000849609","MDP0000849609")</f>
        <v>MDP0000849609</v>
      </c>
      <c r="D6362">
        <v>71.37</v>
      </c>
      <c r="E6362">
        <v>276</v>
      </c>
      <c r="F6362">
        <v>79</v>
      </c>
      <c r="G6362">
        <v>11</v>
      </c>
      <c r="H6362">
        <v>1</v>
      </c>
      <c r="I6362">
        <v>268</v>
      </c>
      <c r="J6362">
        <v>1</v>
      </c>
      <c r="K6362">
        <v>1</v>
      </c>
      <c r="L6362">
        <v>273</v>
      </c>
      <c r="M6362">
        <v>1</v>
      </c>
      <c r="N6362">
        <v>1.0669599999999999E-107</v>
      </c>
      <c r="O6362">
        <v>992</v>
      </c>
    </row>
    <row r="6363" spans="1:15" x14ac:dyDescent="0.25">
      <c r="A6363" t="s">
        <v>6376</v>
      </c>
      <c r="B6363">
        <v>297</v>
      </c>
      <c r="C6363" s="1" t="str">
        <f>HYPERLINK("http://www.rosaceae.org/gb/gbrowse/malus_x_domestica/?name=MDP0000798964","MDP0000798964")</f>
        <v>MDP0000798964</v>
      </c>
      <c r="D6363">
        <v>65.790000000000006</v>
      </c>
      <c r="E6363">
        <v>307</v>
      </c>
      <c r="F6363">
        <v>105</v>
      </c>
      <c r="G6363">
        <v>23</v>
      </c>
      <c r="H6363">
        <v>1</v>
      </c>
      <c r="I6363">
        <v>297</v>
      </c>
      <c r="J6363">
        <v>1</v>
      </c>
      <c r="K6363">
        <v>1</v>
      </c>
      <c r="L6363">
        <v>294</v>
      </c>
      <c r="M6363">
        <v>1</v>
      </c>
      <c r="N6363">
        <v>2.5911399999999999E-104</v>
      </c>
      <c r="O6363">
        <v>963</v>
      </c>
    </row>
    <row r="6364" spans="1:15" x14ac:dyDescent="0.25">
      <c r="A6364" t="s">
        <v>6377</v>
      </c>
      <c r="B6364">
        <v>139</v>
      </c>
      <c r="C6364" s="1" t="str">
        <f>HYPERLINK("http://www.rosaceae.org/gb/gbrowse/malus_x_domestica/?name=MDP0000216436","MDP0000216436")</f>
        <v>MDP0000216436</v>
      </c>
      <c r="D6364">
        <v>65.349999999999994</v>
      </c>
      <c r="E6364">
        <v>127</v>
      </c>
      <c r="F6364">
        <v>44</v>
      </c>
      <c r="G6364">
        <v>32</v>
      </c>
      <c r="H6364">
        <v>45</v>
      </c>
      <c r="I6364">
        <v>139</v>
      </c>
      <c r="J6364">
        <v>1</v>
      </c>
      <c r="K6364">
        <v>196</v>
      </c>
      <c r="L6364">
        <v>322</v>
      </c>
      <c r="M6364">
        <v>1</v>
      </c>
      <c r="N6364">
        <v>4.84736E-41</v>
      </c>
      <c r="O6364">
        <v>413</v>
      </c>
    </row>
    <row r="6365" spans="1:15" x14ac:dyDescent="0.25">
      <c r="A6365" t="s">
        <v>6378</v>
      </c>
      <c r="B6365">
        <v>1103</v>
      </c>
      <c r="C6365" s="1" t="str">
        <f>HYPERLINK("http://www.rosaceae.org/gb/gbrowse/malus_x_domestica/?name=MDP0000289755","MDP0000289755")</f>
        <v>MDP0000289755</v>
      </c>
      <c r="D6365">
        <v>31.69</v>
      </c>
      <c r="E6365">
        <v>814</v>
      </c>
      <c r="F6365">
        <v>556</v>
      </c>
      <c r="G6365">
        <v>19</v>
      </c>
      <c r="H6365">
        <v>53</v>
      </c>
      <c r="I6365">
        <v>864</v>
      </c>
      <c r="J6365">
        <v>1</v>
      </c>
      <c r="K6365">
        <v>286</v>
      </c>
      <c r="L6365">
        <v>1082</v>
      </c>
      <c r="M6365">
        <v>1</v>
      </c>
      <c r="N6365">
        <v>6.8507599999999998E-124</v>
      </c>
      <c r="O6365">
        <v>1138</v>
      </c>
    </row>
    <row r="6366" spans="1:15" x14ac:dyDescent="0.25">
      <c r="A6366" t="s">
        <v>6379</v>
      </c>
      <c r="B6366">
        <v>260</v>
      </c>
      <c r="C6366" s="1" t="str">
        <f>HYPERLINK("http://www.rosaceae.org/gb/gbrowse/malus_x_domestica/?name=MDP0000159369","MDP0000159369")</f>
        <v>MDP0000159369</v>
      </c>
      <c r="D6366">
        <v>57.08</v>
      </c>
      <c r="E6366">
        <v>233</v>
      </c>
      <c r="F6366">
        <v>100</v>
      </c>
      <c r="G6366">
        <v>3</v>
      </c>
      <c r="H6366">
        <v>27</v>
      </c>
      <c r="I6366">
        <v>256</v>
      </c>
      <c r="J6366">
        <v>1</v>
      </c>
      <c r="K6366">
        <v>82</v>
      </c>
      <c r="L6366">
        <v>314</v>
      </c>
      <c r="M6366">
        <v>1</v>
      </c>
      <c r="N6366">
        <v>2.1969800000000001E-70</v>
      </c>
      <c r="O6366">
        <v>670</v>
      </c>
    </row>
    <row r="6367" spans="1:15" x14ac:dyDescent="0.25">
      <c r="A6367" t="s">
        <v>6380</v>
      </c>
      <c r="B6367">
        <v>193</v>
      </c>
      <c r="C6367" s="1" t="str">
        <f>HYPERLINK("http://www.rosaceae.org/gb/gbrowse/malus_x_domestica/?name=MDP0000464762","MDP0000464762")</f>
        <v>MDP0000464762</v>
      </c>
      <c r="D6367">
        <v>92.81</v>
      </c>
      <c r="E6367">
        <v>167</v>
      </c>
      <c r="F6367">
        <v>12</v>
      </c>
      <c r="G6367">
        <v>2</v>
      </c>
      <c r="H6367">
        <v>1</v>
      </c>
      <c r="I6367">
        <v>167</v>
      </c>
      <c r="J6367">
        <v>1</v>
      </c>
      <c r="K6367">
        <v>1</v>
      </c>
      <c r="L6367">
        <v>165</v>
      </c>
      <c r="M6367">
        <v>1</v>
      </c>
      <c r="N6367">
        <v>1.4711000000000001E-89</v>
      </c>
      <c r="O6367">
        <v>834</v>
      </c>
    </row>
    <row r="6368" spans="1:15" x14ac:dyDescent="0.25">
      <c r="A6368" t="s">
        <v>6381</v>
      </c>
      <c r="B6368">
        <v>1110</v>
      </c>
      <c r="C6368" s="1" t="str">
        <f>HYPERLINK("http://www.rosaceae.org/gb/gbrowse/malus_x_domestica/?name=MDP0000211636","MDP0000211636")</f>
        <v>MDP0000211636</v>
      </c>
      <c r="D6368">
        <v>73.62</v>
      </c>
      <c r="E6368">
        <v>1111</v>
      </c>
      <c r="F6368">
        <v>293</v>
      </c>
      <c r="G6368">
        <v>13</v>
      </c>
      <c r="H6368">
        <v>1</v>
      </c>
      <c r="I6368">
        <v>1109</v>
      </c>
      <c r="J6368">
        <v>1</v>
      </c>
      <c r="K6368">
        <v>1</v>
      </c>
      <c r="L6368">
        <v>1100</v>
      </c>
      <c r="M6368">
        <v>1</v>
      </c>
      <c r="N6368">
        <v>0</v>
      </c>
      <c r="O6368">
        <v>4149</v>
      </c>
    </row>
    <row r="6369" spans="1:15" x14ac:dyDescent="0.25">
      <c r="A6369" t="s">
        <v>6382</v>
      </c>
      <c r="B6369">
        <v>249</v>
      </c>
      <c r="C6369" s="1" t="str">
        <f>HYPERLINK("http://www.rosaceae.org/gb/gbrowse/malus_x_domestica/?name=MDP0000927575","MDP0000927575")</f>
        <v>MDP0000927575</v>
      </c>
      <c r="D6369">
        <v>88.23</v>
      </c>
      <c r="E6369">
        <v>51</v>
      </c>
      <c r="F6369">
        <v>6</v>
      </c>
      <c r="G6369">
        <v>0</v>
      </c>
      <c r="H6369">
        <v>176</v>
      </c>
      <c r="I6369">
        <v>226</v>
      </c>
      <c r="J6369">
        <v>1</v>
      </c>
      <c r="K6369">
        <v>155</v>
      </c>
      <c r="L6369">
        <v>205</v>
      </c>
      <c r="M6369">
        <v>1</v>
      </c>
      <c r="N6369">
        <v>3.7834599999999998E-20</v>
      </c>
      <c r="O6369">
        <v>237</v>
      </c>
    </row>
    <row r="6370" spans="1:15" x14ac:dyDescent="0.25">
      <c r="A6370" t="s">
        <v>6383</v>
      </c>
      <c r="B6370">
        <v>111</v>
      </c>
      <c r="C6370" s="1" t="str">
        <f>HYPERLINK("http://www.rosaceae.org/gb/gbrowse/malus_x_domestica/?name=MDP0000166642","MDP0000166642")</f>
        <v>MDP0000166642</v>
      </c>
      <c r="D6370">
        <v>48.48</v>
      </c>
      <c r="E6370">
        <v>66</v>
      </c>
      <c r="F6370">
        <v>34</v>
      </c>
      <c r="G6370">
        <v>4</v>
      </c>
      <c r="H6370">
        <v>1</v>
      </c>
      <c r="I6370">
        <v>64</v>
      </c>
      <c r="J6370">
        <v>1</v>
      </c>
      <c r="K6370">
        <v>1</v>
      </c>
      <c r="L6370">
        <v>64</v>
      </c>
      <c r="M6370">
        <v>1</v>
      </c>
      <c r="N6370">
        <v>4.5132999999999998E-10</v>
      </c>
      <c r="O6370">
        <v>144</v>
      </c>
    </row>
    <row r="6371" spans="1:15" x14ac:dyDescent="0.25">
      <c r="A6371" t="s">
        <v>6384</v>
      </c>
      <c r="B6371">
        <v>786</v>
      </c>
      <c r="C6371" s="1" t="str">
        <f>HYPERLINK("http://www.rosaceae.org/gb/gbrowse/malus_x_domestica/?name=MDP0000318606","MDP0000318606")</f>
        <v>MDP0000318606</v>
      </c>
      <c r="D6371">
        <v>50.81</v>
      </c>
      <c r="E6371">
        <v>553</v>
      </c>
      <c r="F6371">
        <v>272</v>
      </c>
      <c r="G6371">
        <v>39</v>
      </c>
      <c r="H6371">
        <v>55</v>
      </c>
      <c r="I6371">
        <v>589</v>
      </c>
      <c r="J6371">
        <v>1</v>
      </c>
      <c r="K6371">
        <v>29</v>
      </c>
      <c r="L6371">
        <v>560</v>
      </c>
      <c r="M6371">
        <v>1</v>
      </c>
      <c r="N6371">
        <v>6.7513199999999994E-163</v>
      </c>
      <c r="O6371">
        <v>1473</v>
      </c>
    </row>
    <row r="6372" spans="1:15" x14ac:dyDescent="0.25">
      <c r="A6372" t="s">
        <v>6385</v>
      </c>
      <c r="B6372">
        <v>249</v>
      </c>
      <c r="C6372" s="1" t="str">
        <f>HYPERLINK("http://www.rosaceae.org/gb/gbrowse/malus_x_domestica/?name=MDP0000270539","MDP0000270539")</f>
        <v>MDP0000270539</v>
      </c>
      <c r="D6372">
        <v>64.87</v>
      </c>
      <c r="E6372">
        <v>242</v>
      </c>
      <c r="F6372">
        <v>85</v>
      </c>
      <c r="G6372">
        <v>13</v>
      </c>
      <c r="H6372">
        <v>7</v>
      </c>
      <c r="I6372">
        <v>243</v>
      </c>
      <c r="J6372">
        <v>1</v>
      </c>
      <c r="K6372">
        <v>14</v>
      </c>
      <c r="L6372">
        <v>247</v>
      </c>
      <c r="M6372">
        <v>1</v>
      </c>
      <c r="N6372">
        <v>1.61472E-79</v>
      </c>
      <c r="O6372">
        <v>749</v>
      </c>
    </row>
    <row r="6373" spans="1:15" x14ac:dyDescent="0.25">
      <c r="A6373" t="s">
        <v>6386</v>
      </c>
      <c r="B6373">
        <v>184</v>
      </c>
      <c r="C6373" s="1" t="str">
        <f>HYPERLINK("http://www.rosaceae.org/gb/gbrowse/malus_x_domestica/?name=MDP0000261025","MDP0000261025")</f>
        <v>MDP0000261025</v>
      </c>
      <c r="D6373">
        <v>49.68</v>
      </c>
      <c r="E6373">
        <v>157</v>
      </c>
      <c r="F6373">
        <v>79</v>
      </c>
      <c r="G6373">
        <v>1</v>
      </c>
      <c r="H6373">
        <v>16</v>
      </c>
      <c r="I6373">
        <v>172</v>
      </c>
      <c r="J6373">
        <v>1</v>
      </c>
      <c r="K6373">
        <v>1197</v>
      </c>
      <c r="L6373">
        <v>1352</v>
      </c>
      <c r="M6373">
        <v>1</v>
      </c>
      <c r="N6373">
        <v>1.0687E-37</v>
      </c>
      <c r="O6373">
        <v>386</v>
      </c>
    </row>
    <row r="6374" spans="1:15" x14ac:dyDescent="0.25">
      <c r="A6374" t="s">
        <v>6387</v>
      </c>
      <c r="B6374">
        <v>337</v>
      </c>
      <c r="C6374" s="1" t="str">
        <f>HYPERLINK("http://www.rosaceae.org/gb/gbrowse/malus_x_domestica/?name=MDP0000270782","MDP0000270782")</f>
        <v>MDP0000270782</v>
      </c>
      <c r="D6374">
        <v>36.840000000000003</v>
      </c>
      <c r="E6374">
        <v>95</v>
      </c>
      <c r="F6374">
        <v>60</v>
      </c>
      <c r="G6374">
        <v>3</v>
      </c>
      <c r="H6374">
        <v>13</v>
      </c>
      <c r="I6374">
        <v>107</v>
      </c>
      <c r="J6374">
        <v>1</v>
      </c>
      <c r="K6374">
        <v>65</v>
      </c>
      <c r="L6374">
        <v>156</v>
      </c>
      <c r="M6374">
        <v>1</v>
      </c>
      <c r="N6374">
        <v>3.9888900000000004E-12</v>
      </c>
      <c r="O6374">
        <v>169</v>
      </c>
    </row>
    <row r="6375" spans="1:15" x14ac:dyDescent="0.25">
      <c r="A6375" t="s">
        <v>6388</v>
      </c>
      <c r="B6375">
        <v>288</v>
      </c>
      <c r="C6375" s="1" t="str">
        <f>HYPERLINK("http://www.rosaceae.org/gb/gbrowse/malus_x_domestica/?name=MDP0000283921","MDP0000283921")</f>
        <v>MDP0000283921</v>
      </c>
      <c r="D6375">
        <v>80.86</v>
      </c>
      <c r="E6375">
        <v>209</v>
      </c>
      <c r="F6375">
        <v>40</v>
      </c>
      <c r="G6375">
        <v>0</v>
      </c>
      <c r="H6375">
        <v>80</v>
      </c>
      <c r="I6375">
        <v>288</v>
      </c>
      <c r="J6375">
        <v>1</v>
      </c>
      <c r="K6375">
        <v>389</v>
      </c>
      <c r="L6375">
        <v>597</v>
      </c>
      <c r="M6375">
        <v>1</v>
      </c>
      <c r="N6375">
        <v>2.6694999999999998E-99</v>
      </c>
      <c r="O6375">
        <v>920</v>
      </c>
    </row>
    <row r="6376" spans="1:15" x14ac:dyDescent="0.25">
      <c r="A6376" t="s">
        <v>6389</v>
      </c>
      <c r="B6376">
        <v>1309</v>
      </c>
      <c r="C6376" s="1" t="str">
        <f>HYPERLINK("http://www.rosaceae.org/gb/gbrowse/malus_x_domestica/?name=MDP0000171730","MDP0000171730")</f>
        <v>MDP0000171730</v>
      </c>
      <c r="D6376">
        <v>73.040000000000006</v>
      </c>
      <c r="E6376">
        <v>883</v>
      </c>
      <c r="F6376">
        <v>238</v>
      </c>
      <c r="G6376">
        <v>60</v>
      </c>
      <c r="H6376">
        <v>19</v>
      </c>
      <c r="I6376">
        <v>852</v>
      </c>
      <c r="J6376">
        <v>1</v>
      </c>
      <c r="K6376">
        <v>16</v>
      </c>
      <c r="L6376">
        <v>887</v>
      </c>
      <c r="M6376">
        <v>1</v>
      </c>
      <c r="N6376">
        <v>0</v>
      </c>
      <c r="O6376">
        <v>3279</v>
      </c>
    </row>
    <row r="6377" spans="1:15" x14ac:dyDescent="0.25">
      <c r="A6377" t="s">
        <v>6390</v>
      </c>
      <c r="B6377">
        <v>1383</v>
      </c>
      <c r="C6377" s="1" t="str">
        <f>HYPERLINK("http://www.rosaceae.org/gb/gbrowse/malus_x_domestica/?name=MDP0000443324","MDP0000443324")</f>
        <v>MDP0000443324</v>
      </c>
      <c r="D6377">
        <v>88.6</v>
      </c>
      <c r="E6377">
        <v>1395</v>
      </c>
      <c r="F6377">
        <v>159</v>
      </c>
      <c r="G6377">
        <v>22</v>
      </c>
      <c r="H6377">
        <v>1</v>
      </c>
      <c r="I6377">
        <v>1383</v>
      </c>
      <c r="J6377">
        <v>1</v>
      </c>
      <c r="K6377">
        <v>1</v>
      </c>
      <c r="L6377">
        <v>1385</v>
      </c>
      <c r="M6377">
        <v>1</v>
      </c>
      <c r="N6377">
        <v>0</v>
      </c>
      <c r="O6377">
        <v>6523</v>
      </c>
    </row>
    <row r="6378" spans="1:15" x14ac:dyDescent="0.25">
      <c r="A6378" t="s">
        <v>6391</v>
      </c>
      <c r="B6378">
        <v>159</v>
      </c>
      <c r="C6378" s="1" t="str">
        <f>HYPERLINK("http://www.rosaceae.org/gb/gbrowse/malus_x_domestica/?name=MDP0000907632","MDP0000907632")</f>
        <v>MDP0000907632</v>
      </c>
      <c r="D6378">
        <v>92.45</v>
      </c>
      <c r="E6378">
        <v>159</v>
      </c>
      <c r="F6378">
        <v>12</v>
      </c>
      <c r="G6378">
        <v>0</v>
      </c>
      <c r="H6378">
        <v>1</v>
      </c>
      <c r="I6378">
        <v>159</v>
      </c>
      <c r="J6378">
        <v>1</v>
      </c>
      <c r="K6378">
        <v>1</v>
      </c>
      <c r="L6378">
        <v>159</v>
      </c>
      <c r="M6378">
        <v>1</v>
      </c>
      <c r="N6378">
        <v>5.8383600000000002E-82</v>
      </c>
      <c r="O6378">
        <v>767</v>
      </c>
    </row>
    <row r="6379" spans="1:15" x14ac:dyDescent="0.25">
      <c r="A6379" t="s">
        <v>6392</v>
      </c>
      <c r="B6379">
        <v>431</v>
      </c>
      <c r="C6379" s="1" t="str">
        <f>HYPERLINK("http://www.rosaceae.org/gb/gbrowse/malus_x_domestica/?name=MDP0000307685","MDP0000307685")</f>
        <v>MDP0000307685</v>
      </c>
      <c r="D6379">
        <v>65.209999999999994</v>
      </c>
      <c r="E6379">
        <v>437</v>
      </c>
      <c r="F6379">
        <v>152</v>
      </c>
      <c r="G6379">
        <v>30</v>
      </c>
      <c r="H6379">
        <v>1</v>
      </c>
      <c r="I6379">
        <v>420</v>
      </c>
      <c r="J6379">
        <v>1</v>
      </c>
      <c r="K6379">
        <v>1</v>
      </c>
      <c r="L6379">
        <v>424</v>
      </c>
      <c r="M6379">
        <v>1</v>
      </c>
      <c r="N6379">
        <v>2.88724E-148</v>
      </c>
      <c r="O6379">
        <v>1344</v>
      </c>
    </row>
    <row r="6380" spans="1:15" x14ac:dyDescent="0.25">
      <c r="A6380" t="s">
        <v>6393</v>
      </c>
      <c r="B6380">
        <v>484</v>
      </c>
      <c r="C6380" s="1" t="str">
        <f>HYPERLINK("http://www.rosaceae.org/gb/gbrowse/malus_x_domestica/?name=MDP0000148467","MDP0000148467")</f>
        <v>MDP0000148467</v>
      </c>
      <c r="D6380">
        <v>71.75</v>
      </c>
      <c r="E6380">
        <v>478</v>
      </c>
      <c r="F6380">
        <v>135</v>
      </c>
      <c r="G6380">
        <v>18</v>
      </c>
      <c r="H6380">
        <v>19</v>
      </c>
      <c r="I6380">
        <v>481</v>
      </c>
      <c r="J6380">
        <v>1</v>
      </c>
      <c r="K6380">
        <v>19</v>
      </c>
      <c r="L6380">
        <v>493</v>
      </c>
      <c r="M6380">
        <v>1</v>
      </c>
      <c r="N6380">
        <v>0</v>
      </c>
      <c r="O6380">
        <v>1860</v>
      </c>
    </row>
    <row r="6381" spans="1:15" x14ac:dyDescent="0.25">
      <c r="A6381" t="s">
        <v>6394</v>
      </c>
      <c r="B6381">
        <v>145</v>
      </c>
      <c r="C6381" s="1" t="str">
        <f>HYPERLINK("http://www.rosaceae.org/gb/gbrowse/malus_x_domestica/?name=MDP0000129571","MDP0000129571")</f>
        <v>MDP0000129571</v>
      </c>
      <c r="D6381">
        <v>51.06</v>
      </c>
      <c r="E6381">
        <v>141</v>
      </c>
      <c r="F6381">
        <v>69</v>
      </c>
      <c r="G6381">
        <v>20</v>
      </c>
      <c r="H6381">
        <v>1</v>
      </c>
      <c r="I6381">
        <v>140</v>
      </c>
      <c r="J6381">
        <v>1</v>
      </c>
      <c r="K6381">
        <v>18</v>
      </c>
      <c r="L6381">
        <v>139</v>
      </c>
      <c r="M6381">
        <v>1</v>
      </c>
      <c r="N6381">
        <v>1.4554500000000001E-16</v>
      </c>
      <c r="O6381">
        <v>202</v>
      </c>
    </row>
    <row r="6382" spans="1:15" x14ac:dyDescent="0.25">
      <c r="A6382" t="s">
        <v>6395</v>
      </c>
      <c r="B6382">
        <v>661</v>
      </c>
      <c r="C6382" s="1" t="str">
        <f>HYPERLINK("http://www.rosaceae.org/gb/gbrowse/malus_x_domestica/?name=MDP0000188724","MDP0000188724")</f>
        <v>MDP0000188724</v>
      </c>
      <c r="D6382">
        <v>73.239999999999995</v>
      </c>
      <c r="E6382">
        <v>456</v>
      </c>
      <c r="F6382">
        <v>122</v>
      </c>
      <c r="G6382">
        <v>45</v>
      </c>
      <c r="H6382">
        <v>223</v>
      </c>
      <c r="I6382">
        <v>656</v>
      </c>
      <c r="J6382">
        <v>1</v>
      </c>
      <c r="K6382">
        <v>129</v>
      </c>
      <c r="L6382">
        <v>561</v>
      </c>
      <c r="M6382">
        <v>1</v>
      </c>
      <c r="N6382">
        <v>0</v>
      </c>
      <c r="O6382">
        <v>1724</v>
      </c>
    </row>
    <row r="6383" spans="1:15" x14ac:dyDescent="0.25">
      <c r="A6383" t="s">
        <v>6396</v>
      </c>
      <c r="B6383">
        <v>363</v>
      </c>
      <c r="C6383" s="1" t="str">
        <f>HYPERLINK("http://www.rosaceae.org/gb/gbrowse/malus_x_domestica/?name=MDP0000225218","MDP0000225218")</f>
        <v>MDP0000225218</v>
      </c>
      <c r="D6383">
        <v>51.4</v>
      </c>
      <c r="E6383">
        <v>356</v>
      </c>
      <c r="F6383">
        <v>173</v>
      </c>
      <c r="G6383">
        <v>6</v>
      </c>
      <c r="H6383">
        <v>7</v>
      </c>
      <c r="I6383">
        <v>356</v>
      </c>
      <c r="J6383">
        <v>1</v>
      </c>
      <c r="K6383">
        <v>75</v>
      </c>
      <c r="L6383">
        <v>430</v>
      </c>
      <c r="M6383">
        <v>1</v>
      </c>
      <c r="N6383">
        <v>1.5357799999999999E-103</v>
      </c>
      <c r="O6383">
        <v>958</v>
      </c>
    </row>
    <row r="6384" spans="1:15" x14ac:dyDescent="0.25">
      <c r="A6384" t="s">
        <v>6397</v>
      </c>
      <c r="B6384">
        <v>80</v>
      </c>
      <c r="C6384" s="1" t="str">
        <f>HYPERLINK("http://www.rosaceae.org/gb/gbrowse/malus_x_domestica/?name=MDP0000273164","MDP0000273164")</f>
        <v>MDP0000273164</v>
      </c>
      <c r="D6384">
        <v>58.49</v>
      </c>
      <c r="E6384">
        <v>53</v>
      </c>
      <c r="F6384">
        <v>22</v>
      </c>
      <c r="G6384">
        <v>0</v>
      </c>
      <c r="H6384">
        <v>20</v>
      </c>
      <c r="I6384">
        <v>72</v>
      </c>
      <c r="J6384">
        <v>1</v>
      </c>
      <c r="K6384">
        <v>278</v>
      </c>
      <c r="L6384">
        <v>330</v>
      </c>
      <c r="M6384">
        <v>1</v>
      </c>
      <c r="N6384">
        <v>1.23889E-12</v>
      </c>
      <c r="O6384">
        <v>166</v>
      </c>
    </row>
    <row r="6385" spans="1:15" x14ac:dyDescent="0.25">
      <c r="A6385" t="s">
        <v>6398</v>
      </c>
      <c r="B6385">
        <v>218</v>
      </c>
      <c r="C6385" s="1" t="str">
        <f>HYPERLINK("http://www.rosaceae.org/gb/gbrowse/malus_x_domestica/?name=MDP0000500222","MDP0000500222")</f>
        <v>MDP0000500222</v>
      </c>
      <c r="D6385">
        <v>41.81</v>
      </c>
      <c r="E6385">
        <v>220</v>
      </c>
      <c r="F6385">
        <v>128</v>
      </c>
      <c r="G6385">
        <v>27</v>
      </c>
      <c r="H6385">
        <v>14</v>
      </c>
      <c r="I6385">
        <v>218</v>
      </c>
      <c r="J6385">
        <v>1</v>
      </c>
      <c r="K6385">
        <v>63</v>
      </c>
      <c r="L6385">
        <v>270</v>
      </c>
      <c r="M6385">
        <v>1</v>
      </c>
      <c r="N6385">
        <v>4.0172499999999997E-36</v>
      </c>
      <c r="O6385">
        <v>374</v>
      </c>
    </row>
    <row r="6386" spans="1:15" x14ac:dyDescent="0.25">
      <c r="A6386" t="s">
        <v>6399</v>
      </c>
      <c r="B6386">
        <v>203</v>
      </c>
      <c r="C6386" s="1" t="str">
        <f>HYPERLINK("http://www.rosaceae.org/gb/gbrowse/malus_x_domestica/?name=MDP0000923528","MDP0000923528")</f>
        <v>MDP0000923528</v>
      </c>
      <c r="D6386">
        <v>47.61</v>
      </c>
      <c r="E6386">
        <v>210</v>
      </c>
      <c r="F6386">
        <v>110</v>
      </c>
      <c r="G6386">
        <v>32</v>
      </c>
      <c r="H6386">
        <v>1</v>
      </c>
      <c r="I6386">
        <v>182</v>
      </c>
      <c r="J6386">
        <v>1</v>
      </c>
      <c r="K6386">
        <v>1</v>
      </c>
      <c r="L6386">
        <v>206</v>
      </c>
      <c r="M6386">
        <v>1</v>
      </c>
      <c r="N6386">
        <v>1.15403E-34</v>
      </c>
      <c r="O6386">
        <v>361</v>
      </c>
    </row>
    <row r="6387" spans="1:15" x14ac:dyDescent="0.25">
      <c r="A6387" t="s">
        <v>6400</v>
      </c>
      <c r="B6387">
        <v>1007</v>
      </c>
      <c r="C6387" s="1" t="str">
        <f>HYPERLINK("http://www.rosaceae.org/gb/gbrowse/malus_x_domestica/?name=MDP0000152323","MDP0000152323")</f>
        <v>MDP0000152323</v>
      </c>
      <c r="D6387">
        <v>58.42</v>
      </c>
      <c r="E6387">
        <v>1015</v>
      </c>
      <c r="F6387">
        <v>422</v>
      </c>
      <c r="G6387">
        <v>29</v>
      </c>
      <c r="H6387">
        <v>1</v>
      </c>
      <c r="I6387">
        <v>1007</v>
      </c>
      <c r="J6387">
        <v>1</v>
      </c>
      <c r="K6387">
        <v>1</v>
      </c>
      <c r="L6387">
        <v>994</v>
      </c>
      <c r="M6387">
        <v>1</v>
      </c>
      <c r="N6387">
        <v>0</v>
      </c>
      <c r="O6387">
        <v>2913</v>
      </c>
    </row>
    <row r="6388" spans="1:15" x14ac:dyDescent="0.25">
      <c r="A6388" t="s">
        <v>6401</v>
      </c>
      <c r="B6388">
        <v>167</v>
      </c>
      <c r="C6388" s="1" t="str">
        <f>HYPERLINK("http://www.rosaceae.org/gb/gbrowse/malus_x_domestica/?name=MDP0000596327","MDP0000596327")</f>
        <v>MDP0000596327</v>
      </c>
      <c r="D6388">
        <v>68.86</v>
      </c>
      <c r="E6388">
        <v>167</v>
      </c>
      <c r="F6388">
        <v>52</v>
      </c>
      <c r="G6388">
        <v>0</v>
      </c>
      <c r="H6388">
        <v>1</v>
      </c>
      <c r="I6388">
        <v>167</v>
      </c>
      <c r="J6388">
        <v>1</v>
      </c>
      <c r="K6388">
        <v>1</v>
      </c>
      <c r="L6388">
        <v>167</v>
      </c>
      <c r="M6388">
        <v>1</v>
      </c>
      <c r="N6388">
        <v>5.1803000000000003E-63</v>
      </c>
      <c r="O6388">
        <v>604</v>
      </c>
    </row>
    <row r="6389" spans="1:15" x14ac:dyDescent="0.25">
      <c r="A6389" t="s">
        <v>6402</v>
      </c>
      <c r="B6389">
        <v>316</v>
      </c>
      <c r="C6389" s="1" t="str">
        <f>HYPERLINK("http://www.rosaceae.org/gb/gbrowse/malus_x_domestica/?name=MDP0000803920","MDP0000803920")</f>
        <v>MDP0000803920</v>
      </c>
      <c r="D6389">
        <v>64.77</v>
      </c>
      <c r="E6389">
        <v>264</v>
      </c>
      <c r="F6389">
        <v>93</v>
      </c>
      <c r="G6389">
        <v>13</v>
      </c>
      <c r="H6389">
        <v>63</v>
      </c>
      <c r="I6389">
        <v>315</v>
      </c>
      <c r="J6389">
        <v>1</v>
      </c>
      <c r="K6389">
        <v>762</v>
      </c>
      <c r="L6389">
        <v>1023</v>
      </c>
      <c r="M6389">
        <v>1</v>
      </c>
      <c r="N6389">
        <v>1.39663E-83</v>
      </c>
      <c r="O6389">
        <v>785</v>
      </c>
    </row>
    <row r="6390" spans="1:15" x14ac:dyDescent="0.25">
      <c r="A6390" t="s">
        <v>6403</v>
      </c>
      <c r="B6390">
        <v>426</v>
      </c>
      <c r="C6390" s="1" t="str">
        <f>HYPERLINK("http://www.rosaceae.org/gb/gbrowse/malus_x_domestica/?name=MDP0000260557","MDP0000260557")</f>
        <v>MDP0000260557</v>
      </c>
      <c r="D6390">
        <v>63.93</v>
      </c>
      <c r="E6390">
        <v>427</v>
      </c>
      <c r="F6390">
        <v>154</v>
      </c>
      <c r="G6390">
        <v>18</v>
      </c>
      <c r="H6390">
        <v>1</v>
      </c>
      <c r="I6390">
        <v>426</v>
      </c>
      <c r="J6390">
        <v>1</v>
      </c>
      <c r="K6390">
        <v>1</v>
      </c>
      <c r="L6390">
        <v>410</v>
      </c>
      <c r="M6390">
        <v>1</v>
      </c>
      <c r="N6390">
        <v>4.3393300000000001E-157</v>
      </c>
      <c r="O6390">
        <v>1420</v>
      </c>
    </row>
    <row r="6391" spans="1:15" x14ac:dyDescent="0.25">
      <c r="A6391" t="s">
        <v>6404</v>
      </c>
      <c r="B6391">
        <v>288</v>
      </c>
      <c r="C6391" s="1" t="str">
        <f>HYPERLINK("http://www.rosaceae.org/gb/gbrowse/malus_x_domestica/?name=MDP0000138122","MDP0000138122")</f>
        <v>MDP0000138122</v>
      </c>
      <c r="D6391">
        <v>69.5</v>
      </c>
      <c r="E6391">
        <v>223</v>
      </c>
      <c r="F6391">
        <v>68</v>
      </c>
      <c r="G6391">
        <v>2</v>
      </c>
      <c r="H6391">
        <v>42</v>
      </c>
      <c r="I6391">
        <v>262</v>
      </c>
      <c r="J6391">
        <v>1</v>
      </c>
      <c r="K6391">
        <v>4</v>
      </c>
      <c r="L6391">
        <v>226</v>
      </c>
      <c r="M6391">
        <v>1</v>
      </c>
      <c r="N6391">
        <v>4.8039299999999996E-87</v>
      </c>
      <c r="O6391">
        <v>814</v>
      </c>
    </row>
    <row r="6392" spans="1:15" x14ac:dyDescent="0.25">
      <c r="A6392" t="s">
        <v>6405</v>
      </c>
      <c r="B6392">
        <v>225</v>
      </c>
      <c r="C6392" s="1" t="str">
        <f>HYPERLINK("http://www.rosaceae.org/gb/gbrowse/malus_x_domestica/?name=MDP0000360515","MDP0000360515")</f>
        <v>MDP0000360515</v>
      </c>
      <c r="D6392">
        <v>80.28</v>
      </c>
      <c r="E6392">
        <v>71</v>
      </c>
      <c r="F6392">
        <v>14</v>
      </c>
      <c r="G6392">
        <v>0</v>
      </c>
      <c r="H6392">
        <v>24</v>
      </c>
      <c r="I6392">
        <v>94</v>
      </c>
      <c r="J6392">
        <v>1</v>
      </c>
      <c r="K6392">
        <v>98</v>
      </c>
      <c r="L6392">
        <v>168</v>
      </c>
      <c r="M6392">
        <v>1</v>
      </c>
      <c r="N6392">
        <v>1.20618E-26</v>
      </c>
      <c r="O6392">
        <v>292</v>
      </c>
    </row>
    <row r="6393" spans="1:15" x14ac:dyDescent="0.25">
      <c r="A6393" t="s">
        <v>6406</v>
      </c>
      <c r="B6393">
        <v>416</v>
      </c>
      <c r="C6393" s="1" t="str">
        <f>HYPERLINK("http://www.rosaceae.org/gb/gbrowse/malus_x_domestica/?name=MDP0000146594","MDP0000146594")</f>
        <v>MDP0000146594</v>
      </c>
      <c r="D6393">
        <v>41.21</v>
      </c>
      <c r="E6393">
        <v>444</v>
      </c>
      <c r="F6393">
        <v>261</v>
      </c>
      <c r="G6393">
        <v>59</v>
      </c>
      <c r="H6393">
        <v>8</v>
      </c>
      <c r="I6393">
        <v>410</v>
      </c>
      <c r="J6393">
        <v>1</v>
      </c>
      <c r="K6393">
        <v>14</v>
      </c>
      <c r="L6393">
        <v>439</v>
      </c>
      <c r="M6393">
        <v>1</v>
      </c>
      <c r="N6393">
        <v>7.11018E-71</v>
      </c>
      <c r="O6393">
        <v>677</v>
      </c>
    </row>
    <row r="6394" spans="1:15" x14ac:dyDescent="0.25">
      <c r="A6394" t="s">
        <v>6407</v>
      </c>
      <c r="B6394">
        <v>585</v>
      </c>
      <c r="C6394" s="1" t="str">
        <f>HYPERLINK("http://www.rosaceae.org/gb/gbrowse/malus_x_domestica/?name=MDP0000322220","MDP0000322220")</f>
        <v>MDP0000322220</v>
      </c>
      <c r="D6394">
        <v>88.58</v>
      </c>
      <c r="E6394">
        <v>578</v>
      </c>
      <c r="F6394">
        <v>66</v>
      </c>
      <c r="G6394">
        <v>2</v>
      </c>
      <c r="H6394">
        <v>8</v>
      </c>
      <c r="I6394">
        <v>585</v>
      </c>
      <c r="J6394">
        <v>1</v>
      </c>
      <c r="K6394">
        <v>506</v>
      </c>
      <c r="L6394">
        <v>1081</v>
      </c>
      <c r="M6394">
        <v>1</v>
      </c>
      <c r="N6394">
        <v>0</v>
      </c>
      <c r="O6394">
        <v>2688</v>
      </c>
    </row>
    <row r="6395" spans="1:15" x14ac:dyDescent="0.25">
      <c r="A6395" t="s">
        <v>6408</v>
      </c>
      <c r="B6395">
        <v>282</v>
      </c>
      <c r="C6395" s="1" t="str">
        <f>HYPERLINK("http://www.rosaceae.org/gb/gbrowse/malus_x_domestica/?name=MDP0000130394","MDP0000130394")</f>
        <v>MDP0000130394</v>
      </c>
      <c r="D6395">
        <v>76.260000000000005</v>
      </c>
      <c r="E6395">
        <v>257</v>
      </c>
      <c r="F6395">
        <v>61</v>
      </c>
      <c r="G6395">
        <v>9</v>
      </c>
      <c r="H6395">
        <v>29</v>
      </c>
      <c r="I6395">
        <v>281</v>
      </c>
      <c r="J6395">
        <v>1</v>
      </c>
      <c r="K6395">
        <v>17</v>
      </c>
      <c r="L6395">
        <v>268</v>
      </c>
      <c r="M6395">
        <v>1</v>
      </c>
      <c r="N6395">
        <v>8.5038499999999994E-105</v>
      </c>
      <c r="O6395">
        <v>967</v>
      </c>
    </row>
    <row r="6396" spans="1:15" x14ac:dyDescent="0.25">
      <c r="A6396" t="s">
        <v>6409</v>
      </c>
      <c r="B6396">
        <v>90</v>
      </c>
      <c r="C6396" s="1" t="str">
        <f>HYPERLINK("http://www.rosaceae.org/gb/gbrowse/malus_x_domestica/?name=MDP0000159972","MDP0000159972")</f>
        <v>MDP0000159972</v>
      </c>
      <c r="D6396">
        <v>98.11</v>
      </c>
      <c r="E6396">
        <v>53</v>
      </c>
      <c r="F6396">
        <v>1</v>
      </c>
      <c r="G6396">
        <v>0</v>
      </c>
      <c r="H6396">
        <v>1</v>
      </c>
      <c r="I6396">
        <v>53</v>
      </c>
      <c r="J6396">
        <v>1</v>
      </c>
      <c r="K6396">
        <v>1</v>
      </c>
      <c r="L6396">
        <v>53</v>
      </c>
      <c r="M6396">
        <v>1</v>
      </c>
      <c r="N6396">
        <v>1.4069100000000001E-24</v>
      </c>
      <c r="O6396">
        <v>269</v>
      </c>
    </row>
    <row r="6397" spans="1:15" x14ac:dyDescent="0.25">
      <c r="A6397" t="s">
        <v>6410</v>
      </c>
      <c r="B6397">
        <v>143</v>
      </c>
      <c r="C6397" s="1" t="str">
        <f>HYPERLINK("http://www.rosaceae.org/gb/gbrowse/malus_x_domestica/?name=MDP0000177779","MDP0000177779")</f>
        <v>MDP0000177779</v>
      </c>
      <c r="D6397">
        <v>32.53</v>
      </c>
      <c r="E6397">
        <v>126</v>
      </c>
      <c r="F6397">
        <v>85</v>
      </c>
      <c r="G6397">
        <v>12</v>
      </c>
      <c r="H6397">
        <v>10</v>
      </c>
      <c r="I6397">
        <v>135</v>
      </c>
      <c r="J6397">
        <v>1</v>
      </c>
      <c r="K6397">
        <v>16</v>
      </c>
      <c r="L6397">
        <v>129</v>
      </c>
      <c r="M6397">
        <v>1</v>
      </c>
      <c r="N6397">
        <v>3.19394E-12</v>
      </c>
      <c r="O6397">
        <v>164</v>
      </c>
    </row>
    <row r="6398" spans="1:15" x14ac:dyDescent="0.25">
      <c r="A6398" t="s">
        <v>6411</v>
      </c>
      <c r="B6398">
        <v>115</v>
      </c>
      <c r="C6398" s="1" t="str">
        <f>HYPERLINK("http://www.rosaceae.org/gb/gbrowse/malus_x_domestica/?name=MDP0000145498","MDP0000145498")</f>
        <v>MDP0000145498</v>
      </c>
      <c r="D6398">
        <v>98.95</v>
      </c>
      <c r="E6398">
        <v>96</v>
      </c>
      <c r="F6398">
        <v>1</v>
      </c>
      <c r="G6398">
        <v>0</v>
      </c>
      <c r="H6398">
        <v>1</v>
      </c>
      <c r="I6398">
        <v>96</v>
      </c>
      <c r="J6398">
        <v>1</v>
      </c>
      <c r="K6398">
        <v>40</v>
      </c>
      <c r="L6398">
        <v>135</v>
      </c>
      <c r="M6398">
        <v>1</v>
      </c>
      <c r="N6398">
        <v>6.6804399999999999E-49</v>
      </c>
      <c r="O6398">
        <v>479</v>
      </c>
    </row>
    <row r="6399" spans="1:15" x14ac:dyDescent="0.25">
      <c r="A6399" t="s">
        <v>6412</v>
      </c>
      <c r="B6399">
        <v>607</v>
      </c>
      <c r="C6399" s="1" t="str">
        <f>HYPERLINK("http://www.rosaceae.org/gb/gbrowse/malus_x_domestica/?name=MDP0000283896","MDP0000283896")</f>
        <v>MDP0000283896</v>
      </c>
      <c r="D6399">
        <v>64.010000000000005</v>
      </c>
      <c r="E6399">
        <v>528</v>
      </c>
      <c r="F6399">
        <v>190</v>
      </c>
      <c r="G6399">
        <v>48</v>
      </c>
      <c r="H6399">
        <v>86</v>
      </c>
      <c r="I6399">
        <v>599</v>
      </c>
      <c r="J6399">
        <v>1</v>
      </c>
      <c r="K6399">
        <v>5</v>
      </c>
      <c r="L6399">
        <v>498</v>
      </c>
      <c r="M6399">
        <v>1</v>
      </c>
      <c r="N6399">
        <v>4.7151600000000004E-177</v>
      </c>
      <c r="O6399">
        <v>1594</v>
      </c>
    </row>
    <row r="6400" spans="1:15" x14ac:dyDescent="0.25">
      <c r="A6400" t="s">
        <v>6413</v>
      </c>
      <c r="B6400">
        <v>187</v>
      </c>
      <c r="C6400" s="1" t="str">
        <f>HYPERLINK("http://www.rosaceae.org/gb/gbrowse/malus_x_domestica/?name=MDP0000235602","MDP0000235602")</f>
        <v>MDP0000235602</v>
      </c>
      <c r="D6400">
        <v>76.680000000000007</v>
      </c>
      <c r="E6400">
        <v>163</v>
      </c>
      <c r="F6400">
        <v>38</v>
      </c>
      <c r="G6400">
        <v>1</v>
      </c>
      <c r="H6400">
        <v>25</v>
      </c>
      <c r="I6400">
        <v>187</v>
      </c>
      <c r="J6400">
        <v>1</v>
      </c>
      <c r="K6400">
        <v>27</v>
      </c>
      <c r="L6400">
        <v>188</v>
      </c>
      <c r="M6400">
        <v>1</v>
      </c>
      <c r="N6400">
        <v>6.9323300000000003E-65</v>
      </c>
      <c r="O6400">
        <v>621</v>
      </c>
    </row>
    <row r="6401" spans="1:15" x14ac:dyDescent="0.25">
      <c r="A6401" t="s">
        <v>6414</v>
      </c>
      <c r="B6401">
        <v>1032</v>
      </c>
      <c r="C6401" s="1" t="str">
        <f>HYPERLINK("http://www.rosaceae.org/gb/gbrowse/malus_x_domestica/?name=MDP0000708299","MDP0000708299")</f>
        <v>MDP0000708299</v>
      </c>
      <c r="D6401">
        <v>76.569999999999993</v>
      </c>
      <c r="E6401">
        <v>1033</v>
      </c>
      <c r="F6401">
        <v>242</v>
      </c>
      <c r="G6401">
        <v>15</v>
      </c>
      <c r="H6401">
        <v>1</v>
      </c>
      <c r="I6401">
        <v>1027</v>
      </c>
      <c r="J6401">
        <v>1</v>
      </c>
      <c r="K6401">
        <v>71</v>
      </c>
      <c r="L6401">
        <v>1094</v>
      </c>
      <c r="M6401">
        <v>1</v>
      </c>
      <c r="N6401">
        <v>0</v>
      </c>
      <c r="O6401">
        <v>4118</v>
      </c>
    </row>
    <row r="6402" spans="1:15" x14ac:dyDescent="0.25">
      <c r="A6402" t="s">
        <v>6415</v>
      </c>
      <c r="B6402">
        <v>317</v>
      </c>
      <c r="C6402" s="1" t="str">
        <f>HYPERLINK("http://www.rosaceae.org/gb/gbrowse/malus_x_domestica/?name=MDP0000290529","MDP0000290529")</f>
        <v>MDP0000290529</v>
      </c>
      <c r="D6402">
        <v>87.69</v>
      </c>
      <c r="E6402">
        <v>317</v>
      </c>
      <c r="F6402">
        <v>39</v>
      </c>
      <c r="G6402">
        <v>0</v>
      </c>
      <c r="H6402">
        <v>1</v>
      </c>
      <c r="I6402">
        <v>317</v>
      </c>
      <c r="J6402">
        <v>1</v>
      </c>
      <c r="K6402">
        <v>1</v>
      </c>
      <c r="L6402">
        <v>317</v>
      </c>
      <c r="M6402">
        <v>1</v>
      </c>
      <c r="N6402">
        <v>1.2612599999999999E-163</v>
      </c>
      <c r="O6402">
        <v>1475</v>
      </c>
    </row>
    <row r="6403" spans="1:15" x14ac:dyDescent="0.25">
      <c r="A6403" t="s">
        <v>6416</v>
      </c>
      <c r="B6403">
        <v>166</v>
      </c>
      <c r="C6403" s="1" t="str">
        <f>HYPERLINK("http://www.rosaceae.org/gb/gbrowse/malus_x_domestica/?name=MDP0000377327","MDP0000377327")</f>
        <v>MDP0000377327</v>
      </c>
      <c r="D6403">
        <v>50.74</v>
      </c>
      <c r="E6403">
        <v>134</v>
      </c>
      <c r="F6403">
        <v>66</v>
      </c>
      <c r="G6403">
        <v>14</v>
      </c>
      <c r="H6403">
        <v>41</v>
      </c>
      <c r="I6403">
        <v>164</v>
      </c>
      <c r="J6403">
        <v>1</v>
      </c>
      <c r="K6403">
        <v>29</v>
      </c>
      <c r="L6403">
        <v>158</v>
      </c>
      <c r="M6403">
        <v>1</v>
      </c>
      <c r="N6403">
        <v>1.15903E-27</v>
      </c>
      <c r="O6403">
        <v>299</v>
      </c>
    </row>
    <row r="6404" spans="1:15" x14ac:dyDescent="0.25">
      <c r="A6404" t="s">
        <v>6417</v>
      </c>
      <c r="B6404">
        <v>420</v>
      </c>
      <c r="C6404" s="1" t="str">
        <f>HYPERLINK("http://www.rosaceae.org/gb/gbrowse/malus_x_domestica/?name=MDP0000129532","MDP0000129532")</f>
        <v>MDP0000129532</v>
      </c>
      <c r="D6404">
        <v>63.14</v>
      </c>
      <c r="E6404">
        <v>350</v>
      </c>
      <c r="F6404">
        <v>129</v>
      </c>
      <c r="G6404">
        <v>11</v>
      </c>
      <c r="H6404">
        <v>73</v>
      </c>
      <c r="I6404">
        <v>420</v>
      </c>
      <c r="J6404">
        <v>1</v>
      </c>
      <c r="K6404">
        <v>15</v>
      </c>
      <c r="L6404">
        <v>355</v>
      </c>
      <c r="M6404">
        <v>1</v>
      </c>
      <c r="N6404">
        <v>1.12449E-116</v>
      </c>
      <c r="O6404">
        <v>1072</v>
      </c>
    </row>
    <row r="6405" spans="1:15" x14ac:dyDescent="0.25">
      <c r="A6405" t="s">
        <v>6418</v>
      </c>
      <c r="B6405">
        <v>1907</v>
      </c>
      <c r="C6405" s="1" t="str">
        <f>HYPERLINK("http://www.rosaceae.org/gb/gbrowse/malus_x_domestica/?name=MDP0000135563","MDP0000135563")</f>
        <v>MDP0000135563</v>
      </c>
      <c r="D6405">
        <v>54.76</v>
      </c>
      <c r="E6405">
        <v>1081</v>
      </c>
      <c r="F6405">
        <v>489</v>
      </c>
      <c r="G6405">
        <v>126</v>
      </c>
      <c r="H6405">
        <v>1</v>
      </c>
      <c r="I6405">
        <v>998</v>
      </c>
      <c r="J6405">
        <v>1</v>
      </c>
      <c r="K6405">
        <v>1</v>
      </c>
      <c r="L6405">
        <v>1038</v>
      </c>
      <c r="M6405">
        <v>1</v>
      </c>
      <c r="N6405">
        <v>0</v>
      </c>
      <c r="O6405">
        <v>2826</v>
      </c>
    </row>
    <row r="6406" spans="1:15" x14ac:dyDescent="0.25">
      <c r="A6406" t="s">
        <v>6419</v>
      </c>
      <c r="B6406">
        <v>183</v>
      </c>
      <c r="C6406" s="1" t="str">
        <f>HYPERLINK("http://www.rosaceae.org/gb/gbrowse/malus_x_domestica/?name=MDP0000322668","MDP0000322668")</f>
        <v>MDP0000322668</v>
      </c>
      <c r="D6406">
        <v>67.75</v>
      </c>
      <c r="E6406">
        <v>183</v>
      </c>
      <c r="F6406">
        <v>59</v>
      </c>
      <c r="G6406">
        <v>2</v>
      </c>
      <c r="H6406">
        <v>1</v>
      </c>
      <c r="I6406">
        <v>181</v>
      </c>
      <c r="J6406">
        <v>1</v>
      </c>
      <c r="K6406">
        <v>348</v>
      </c>
      <c r="L6406">
        <v>530</v>
      </c>
      <c r="M6406">
        <v>1</v>
      </c>
      <c r="N6406">
        <v>9.6315299999999998E-69</v>
      </c>
      <c r="O6406">
        <v>654</v>
      </c>
    </row>
    <row r="6407" spans="1:15" x14ac:dyDescent="0.25">
      <c r="A6407" t="s">
        <v>6420</v>
      </c>
      <c r="B6407">
        <v>268</v>
      </c>
      <c r="C6407" s="1" t="str">
        <f>HYPERLINK("http://www.rosaceae.org/gb/gbrowse/malus_x_domestica/?name=MDP0000144247","MDP0000144247")</f>
        <v>MDP0000144247</v>
      </c>
      <c r="D6407">
        <v>70.069999999999993</v>
      </c>
      <c r="E6407">
        <v>264</v>
      </c>
      <c r="F6407">
        <v>79</v>
      </c>
      <c r="G6407">
        <v>22</v>
      </c>
      <c r="H6407">
        <v>5</v>
      </c>
      <c r="I6407">
        <v>268</v>
      </c>
      <c r="J6407">
        <v>1</v>
      </c>
      <c r="K6407">
        <v>63</v>
      </c>
      <c r="L6407">
        <v>304</v>
      </c>
      <c r="M6407">
        <v>1</v>
      </c>
      <c r="N6407">
        <v>6.3130099999999997E-105</v>
      </c>
      <c r="O6407">
        <v>968</v>
      </c>
    </row>
    <row r="6408" spans="1:15" x14ac:dyDescent="0.25">
      <c r="A6408" t="s">
        <v>6421</v>
      </c>
      <c r="B6408">
        <v>629</v>
      </c>
      <c r="C6408" s="1" t="str">
        <f>HYPERLINK("http://www.rosaceae.org/gb/gbrowse/malus_x_domestica/?name=MDP0000286762","MDP0000286762")</f>
        <v>MDP0000286762</v>
      </c>
      <c r="D6408">
        <v>46.12</v>
      </c>
      <c r="E6408">
        <v>620</v>
      </c>
      <c r="F6408">
        <v>334</v>
      </c>
      <c r="G6408">
        <v>104</v>
      </c>
      <c r="H6408">
        <v>10</v>
      </c>
      <c r="I6408">
        <v>628</v>
      </c>
      <c r="J6408">
        <v>1</v>
      </c>
      <c r="K6408">
        <v>17</v>
      </c>
      <c r="L6408">
        <v>533</v>
      </c>
      <c r="M6408">
        <v>1</v>
      </c>
      <c r="N6408">
        <v>6.0451699999999998E-140</v>
      </c>
      <c r="O6408">
        <v>1274</v>
      </c>
    </row>
    <row r="6409" spans="1:15" x14ac:dyDescent="0.25">
      <c r="A6409" t="s">
        <v>6422</v>
      </c>
      <c r="B6409">
        <v>257</v>
      </c>
      <c r="C6409" s="1" t="str">
        <f>HYPERLINK("http://www.rosaceae.org/gb/gbrowse/malus_x_domestica/?name=MDP0000248100","MDP0000248100")</f>
        <v>MDP0000248100</v>
      </c>
      <c r="D6409">
        <v>34.729999999999997</v>
      </c>
      <c r="E6409">
        <v>190</v>
      </c>
      <c r="F6409">
        <v>124</v>
      </c>
      <c r="G6409">
        <v>24</v>
      </c>
      <c r="H6409">
        <v>75</v>
      </c>
      <c r="I6409">
        <v>246</v>
      </c>
      <c r="J6409">
        <v>1</v>
      </c>
      <c r="K6409">
        <v>43</v>
      </c>
      <c r="L6409">
        <v>226</v>
      </c>
      <c r="M6409">
        <v>1</v>
      </c>
      <c r="N6409">
        <v>2.1688300000000001E-20</v>
      </c>
      <c r="O6409">
        <v>239</v>
      </c>
    </row>
    <row r="6410" spans="1:15" x14ac:dyDescent="0.25">
      <c r="A6410" t="s">
        <v>6423</v>
      </c>
      <c r="B6410">
        <v>614</v>
      </c>
      <c r="C6410" s="1" t="str">
        <f>HYPERLINK("http://www.rosaceae.org/gb/gbrowse/malus_x_domestica/?name=MDP0000829665","MDP0000829665")</f>
        <v>MDP0000829665</v>
      </c>
      <c r="D6410">
        <v>76.69</v>
      </c>
      <c r="E6410">
        <v>412</v>
      </c>
      <c r="F6410">
        <v>96</v>
      </c>
      <c r="G6410">
        <v>20</v>
      </c>
      <c r="H6410">
        <v>1</v>
      </c>
      <c r="I6410">
        <v>393</v>
      </c>
      <c r="J6410">
        <v>1</v>
      </c>
      <c r="K6410">
        <v>1</v>
      </c>
      <c r="L6410">
        <v>411</v>
      </c>
      <c r="M6410">
        <v>1</v>
      </c>
      <c r="N6410">
        <v>9.6286700000000005E-180</v>
      </c>
      <c r="O6410">
        <v>1617</v>
      </c>
    </row>
    <row r="6411" spans="1:15" x14ac:dyDescent="0.25">
      <c r="A6411" t="s">
        <v>6424</v>
      </c>
      <c r="B6411">
        <v>570</v>
      </c>
      <c r="C6411" s="1" t="str">
        <f>HYPERLINK("http://www.rosaceae.org/gb/gbrowse/malus_x_domestica/?name=MDP0000308588","MDP0000308588")</f>
        <v>MDP0000308588</v>
      </c>
      <c r="D6411">
        <v>70.400000000000006</v>
      </c>
      <c r="E6411">
        <v>598</v>
      </c>
      <c r="F6411">
        <v>177</v>
      </c>
      <c r="G6411">
        <v>30</v>
      </c>
      <c r="H6411">
        <v>1</v>
      </c>
      <c r="I6411">
        <v>570</v>
      </c>
      <c r="J6411">
        <v>1</v>
      </c>
      <c r="K6411">
        <v>1</v>
      </c>
      <c r="L6411">
        <v>596</v>
      </c>
      <c r="M6411">
        <v>1</v>
      </c>
      <c r="N6411">
        <v>0</v>
      </c>
      <c r="O6411">
        <v>2178</v>
      </c>
    </row>
    <row r="6412" spans="1:15" x14ac:dyDescent="0.25">
      <c r="A6412" t="s">
        <v>6425</v>
      </c>
      <c r="B6412">
        <v>596</v>
      </c>
      <c r="C6412" s="1" t="str">
        <f>HYPERLINK("http://www.rosaceae.org/gb/gbrowse/malus_x_domestica/?name=MDP0000470590","MDP0000470590")</f>
        <v>MDP0000470590</v>
      </c>
      <c r="D6412">
        <v>75.73</v>
      </c>
      <c r="E6412">
        <v>577</v>
      </c>
      <c r="F6412">
        <v>140</v>
      </c>
      <c r="G6412">
        <v>2</v>
      </c>
      <c r="H6412">
        <v>22</v>
      </c>
      <c r="I6412">
        <v>596</v>
      </c>
      <c r="J6412">
        <v>1</v>
      </c>
      <c r="K6412">
        <v>25</v>
      </c>
      <c r="L6412">
        <v>601</v>
      </c>
      <c r="M6412">
        <v>1</v>
      </c>
      <c r="N6412">
        <v>0</v>
      </c>
      <c r="O6412">
        <v>2355</v>
      </c>
    </row>
    <row r="6413" spans="1:15" x14ac:dyDescent="0.25">
      <c r="A6413" t="s">
        <v>6426</v>
      </c>
      <c r="B6413">
        <v>179</v>
      </c>
      <c r="C6413" s="1" t="str">
        <f>HYPERLINK("http://www.rosaceae.org/gb/gbrowse/malus_x_domestica/?name=MDP0000716794","MDP0000716794")</f>
        <v>MDP0000716794</v>
      </c>
      <c r="D6413">
        <v>77.349999999999994</v>
      </c>
      <c r="E6413">
        <v>53</v>
      </c>
      <c r="F6413">
        <v>12</v>
      </c>
      <c r="G6413">
        <v>0</v>
      </c>
      <c r="H6413">
        <v>127</v>
      </c>
      <c r="I6413">
        <v>179</v>
      </c>
      <c r="J6413">
        <v>1</v>
      </c>
      <c r="K6413">
        <v>146</v>
      </c>
      <c r="L6413">
        <v>198</v>
      </c>
      <c r="M6413">
        <v>1</v>
      </c>
      <c r="N6413">
        <v>5.7910600000000002E-19</v>
      </c>
      <c r="O6413">
        <v>224</v>
      </c>
    </row>
    <row r="6414" spans="1:15" x14ac:dyDescent="0.25">
      <c r="A6414" t="s">
        <v>6427</v>
      </c>
      <c r="B6414">
        <v>335</v>
      </c>
      <c r="C6414" s="1" t="str">
        <f>HYPERLINK("http://www.rosaceae.org/gb/gbrowse/malus_x_domestica/?name=MDP0000320789","MDP0000320789")</f>
        <v>MDP0000320789</v>
      </c>
      <c r="D6414">
        <v>54.76</v>
      </c>
      <c r="E6414">
        <v>336</v>
      </c>
      <c r="F6414">
        <v>152</v>
      </c>
      <c r="G6414">
        <v>16</v>
      </c>
      <c r="H6414">
        <v>1</v>
      </c>
      <c r="I6414">
        <v>328</v>
      </c>
      <c r="J6414">
        <v>1</v>
      </c>
      <c r="K6414">
        <v>1</v>
      </c>
      <c r="L6414">
        <v>328</v>
      </c>
      <c r="M6414">
        <v>1</v>
      </c>
      <c r="N6414">
        <v>1.19776E-74</v>
      </c>
      <c r="O6414">
        <v>708</v>
      </c>
    </row>
    <row r="6415" spans="1:15" x14ac:dyDescent="0.25">
      <c r="A6415" t="s">
        <v>6428</v>
      </c>
      <c r="B6415">
        <v>463</v>
      </c>
      <c r="C6415" s="1" t="str">
        <f>HYPERLINK("http://www.rosaceae.org/gb/gbrowse/malus_x_domestica/?name=MDP0000175757","MDP0000175757")</f>
        <v>MDP0000175757</v>
      </c>
      <c r="D6415">
        <v>76.45</v>
      </c>
      <c r="E6415">
        <v>463</v>
      </c>
      <c r="F6415">
        <v>109</v>
      </c>
      <c r="G6415">
        <v>6</v>
      </c>
      <c r="H6415">
        <v>1</v>
      </c>
      <c r="I6415">
        <v>463</v>
      </c>
      <c r="J6415">
        <v>1</v>
      </c>
      <c r="K6415">
        <v>1</v>
      </c>
      <c r="L6415">
        <v>457</v>
      </c>
      <c r="M6415">
        <v>1</v>
      </c>
      <c r="N6415">
        <v>0</v>
      </c>
      <c r="O6415">
        <v>1915</v>
      </c>
    </row>
    <row r="6416" spans="1:15" x14ac:dyDescent="0.25">
      <c r="A6416" t="s">
        <v>6429</v>
      </c>
      <c r="B6416">
        <v>477</v>
      </c>
      <c r="C6416" s="1" t="str">
        <f>HYPERLINK("http://www.rosaceae.org/gb/gbrowse/malus_x_domestica/?name=MDP0000128950","MDP0000128950")</f>
        <v>MDP0000128950</v>
      </c>
      <c r="D6416">
        <v>34.86</v>
      </c>
      <c r="E6416">
        <v>304</v>
      </c>
      <c r="F6416">
        <v>198</v>
      </c>
      <c r="G6416">
        <v>80</v>
      </c>
      <c r="H6416">
        <v>27</v>
      </c>
      <c r="I6416">
        <v>251</v>
      </c>
      <c r="J6416">
        <v>1</v>
      </c>
      <c r="K6416">
        <v>35</v>
      </c>
      <c r="L6416">
        <v>337</v>
      </c>
      <c r="M6416">
        <v>1</v>
      </c>
      <c r="N6416">
        <v>7.4112599999999999E-36</v>
      </c>
      <c r="O6416">
        <v>375</v>
      </c>
    </row>
    <row r="6417" spans="1:15" x14ac:dyDescent="0.25">
      <c r="A6417" t="s">
        <v>6430</v>
      </c>
      <c r="B6417">
        <v>570</v>
      </c>
      <c r="C6417" s="1" t="str">
        <f>HYPERLINK("http://www.rosaceae.org/gb/gbrowse/malus_x_domestica/?name=MDP0000176324","MDP0000176324")</f>
        <v>MDP0000176324</v>
      </c>
      <c r="D6417">
        <v>63.68</v>
      </c>
      <c r="E6417">
        <v>570</v>
      </c>
      <c r="F6417">
        <v>207</v>
      </c>
      <c r="G6417">
        <v>28</v>
      </c>
      <c r="H6417">
        <v>1</v>
      </c>
      <c r="I6417">
        <v>570</v>
      </c>
      <c r="J6417">
        <v>1</v>
      </c>
      <c r="K6417">
        <v>41</v>
      </c>
      <c r="L6417">
        <v>582</v>
      </c>
      <c r="M6417">
        <v>1</v>
      </c>
      <c r="N6417">
        <v>0</v>
      </c>
      <c r="O6417">
        <v>1824</v>
      </c>
    </row>
    <row r="6418" spans="1:15" x14ac:dyDescent="0.25">
      <c r="A6418" t="s">
        <v>6431</v>
      </c>
      <c r="B6418">
        <v>510</v>
      </c>
      <c r="C6418" s="1" t="str">
        <f>HYPERLINK("http://www.rosaceae.org/gb/gbrowse/malus_x_domestica/?name=MDP0000897124","MDP0000897124")</f>
        <v>MDP0000897124</v>
      </c>
      <c r="D6418">
        <v>89.21</v>
      </c>
      <c r="E6418">
        <v>510</v>
      </c>
      <c r="F6418">
        <v>55</v>
      </c>
      <c r="G6418">
        <v>1</v>
      </c>
      <c r="H6418">
        <v>1</v>
      </c>
      <c r="I6418">
        <v>510</v>
      </c>
      <c r="J6418">
        <v>1</v>
      </c>
      <c r="K6418">
        <v>1</v>
      </c>
      <c r="L6418">
        <v>509</v>
      </c>
      <c r="M6418">
        <v>1</v>
      </c>
      <c r="N6418">
        <v>0</v>
      </c>
      <c r="O6418">
        <v>2367</v>
      </c>
    </row>
    <row r="6419" spans="1:15" x14ac:dyDescent="0.25">
      <c r="A6419" t="s">
        <v>6432</v>
      </c>
      <c r="B6419">
        <v>883</v>
      </c>
      <c r="C6419" s="1" t="str">
        <f>HYPERLINK("http://www.rosaceae.org/gb/gbrowse/malus_x_domestica/?name=MDP0000874800","MDP0000874800")</f>
        <v>MDP0000874800</v>
      </c>
      <c r="D6419">
        <v>83.43</v>
      </c>
      <c r="E6419">
        <v>688</v>
      </c>
      <c r="F6419">
        <v>114</v>
      </c>
      <c r="G6419">
        <v>8</v>
      </c>
      <c r="H6419">
        <v>34</v>
      </c>
      <c r="I6419">
        <v>721</v>
      </c>
      <c r="J6419">
        <v>1</v>
      </c>
      <c r="K6419">
        <v>1</v>
      </c>
      <c r="L6419">
        <v>680</v>
      </c>
      <c r="M6419">
        <v>1</v>
      </c>
      <c r="N6419">
        <v>0</v>
      </c>
      <c r="O6419">
        <v>3073</v>
      </c>
    </row>
    <row r="6420" spans="1:15" x14ac:dyDescent="0.25">
      <c r="A6420" t="s">
        <v>6433</v>
      </c>
      <c r="B6420">
        <v>448</v>
      </c>
      <c r="C6420" s="1" t="str">
        <f>HYPERLINK("http://www.rosaceae.org/gb/gbrowse/malus_x_domestica/?name=MDP0000179399","MDP0000179399")</f>
        <v>MDP0000179399</v>
      </c>
      <c r="D6420">
        <v>67.27</v>
      </c>
      <c r="E6420">
        <v>440</v>
      </c>
      <c r="F6420">
        <v>144</v>
      </c>
      <c r="G6420">
        <v>24</v>
      </c>
      <c r="H6420">
        <v>26</v>
      </c>
      <c r="I6420">
        <v>448</v>
      </c>
      <c r="J6420">
        <v>1</v>
      </c>
      <c r="K6420">
        <v>96</v>
      </c>
      <c r="L6420">
        <v>528</v>
      </c>
      <c r="M6420">
        <v>1</v>
      </c>
      <c r="N6420">
        <v>8.7277700000000005E-169</v>
      </c>
      <c r="O6420">
        <v>1522</v>
      </c>
    </row>
    <row r="6421" spans="1:15" x14ac:dyDescent="0.25">
      <c r="A6421" t="s">
        <v>6434</v>
      </c>
      <c r="B6421">
        <v>323</v>
      </c>
      <c r="C6421" s="1" t="str">
        <f>HYPERLINK("http://www.rosaceae.org/gb/gbrowse/malus_x_domestica/?name=MDP0000310993","MDP0000310993")</f>
        <v>MDP0000310993</v>
      </c>
      <c r="D6421">
        <v>84.52</v>
      </c>
      <c r="E6421">
        <v>323</v>
      </c>
      <c r="F6421">
        <v>50</v>
      </c>
      <c r="G6421">
        <v>0</v>
      </c>
      <c r="H6421">
        <v>1</v>
      </c>
      <c r="I6421">
        <v>323</v>
      </c>
      <c r="J6421">
        <v>1</v>
      </c>
      <c r="K6421">
        <v>1</v>
      </c>
      <c r="L6421">
        <v>323</v>
      </c>
      <c r="M6421">
        <v>1</v>
      </c>
      <c r="N6421">
        <v>1.1847099999999999E-158</v>
      </c>
      <c r="O6421">
        <v>1433</v>
      </c>
    </row>
    <row r="6422" spans="1:15" x14ac:dyDescent="0.25">
      <c r="A6422" t="s">
        <v>6435</v>
      </c>
      <c r="B6422">
        <v>892</v>
      </c>
      <c r="C6422" s="1" t="str">
        <f>HYPERLINK("http://www.rosaceae.org/gb/gbrowse/malus_x_domestica/?name=MDP0000224114","MDP0000224114")</f>
        <v>MDP0000224114</v>
      </c>
      <c r="D6422">
        <v>71.55</v>
      </c>
      <c r="E6422">
        <v>893</v>
      </c>
      <c r="F6422">
        <v>254</v>
      </c>
      <c r="G6422">
        <v>39</v>
      </c>
      <c r="H6422">
        <v>1</v>
      </c>
      <c r="I6422">
        <v>887</v>
      </c>
      <c r="J6422">
        <v>1</v>
      </c>
      <c r="K6422">
        <v>1</v>
      </c>
      <c r="L6422">
        <v>860</v>
      </c>
      <c r="M6422">
        <v>1</v>
      </c>
      <c r="N6422">
        <v>0</v>
      </c>
      <c r="O6422">
        <v>3230</v>
      </c>
    </row>
    <row r="6423" spans="1:15" x14ac:dyDescent="0.25">
      <c r="A6423" t="s">
        <v>6436</v>
      </c>
      <c r="B6423">
        <v>297</v>
      </c>
      <c r="C6423" s="1" t="str">
        <f>HYPERLINK("http://www.rosaceae.org/gb/gbrowse/malus_x_domestica/?name=MDP0000628106","MDP0000628106")</f>
        <v>MDP0000628106</v>
      </c>
      <c r="D6423">
        <v>72.58</v>
      </c>
      <c r="E6423">
        <v>310</v>
      </c>
      <c r="F6423">
        <v>85</v>
      </c>
      <c r="G6423">
        <v>13</v>
      </c>
      <c r="H6423">
        <v>1</v>
      </c>
      <c r="I6423">
        <v>297</v>
      </c>
      <c r="J6423">
        <v>1</v>
      </c>
      <c r="K6423">
        <v>3</v>
      </c>
      <c r="L6423">
        <v>312</v>
      </c>
      <c r="M6423">
        <v>1</v>
      </c>
      <c r="N6423">
        <v>2.42931E-125</v>
      </c>
      <c r="O6423">
        <v>1145</v>
      </c>
    </row>
    <row r="6424" spans="1:15" x14ac:dyDescent="0.25">
      <c r="A6424" t="s">
        <v>6437</v>
      </c>
      <c r="B6424">
        <v>663</v>
      </c>
      <c r="C6424" s="1" t="str">
        <f>HYPERLINK("http://www.rosaceae.org/gb/gbrowse/malus_x_domestica/?name=MDP0000550088","MDP0000550088")</f>
        <v>MDP0000550088</v>
      </c>
      <c r="D6424">
        <v>76.23</v>
      </c>
      <c r="E6424">
        <v>669</v>
      </c>
      <c r="F6424">
        <v>159</v>
      </c>
      <c r="G6424">
        <v>13</v>
      </c>
      <c r="H6424">
        <v>1</v>
      </c>
      <c r="I6424">
        <v>663</v>
      </c>
      <c r="J6424">
        <v>1</v>
      </c>
      <c r="K6424">
        <v>1</v>
      </c>
      <c r="L6424">
        <v>662</v>
      </c>
      <c r="M6424">
        <v>1</v>
      </c>
      <c r="N6424">
        <v>0</v>
      </c>
      <c r="O6424">
        <v>2647</v>
      </c>
    </row>
    <row r="6425" spans="1:15" x14ac:dyDescent="0.25">
      <c r="A6425" t="s">
        <v>6438</v>
      </c>
      <c r="B6425">
        <v>731</v>
      </c>
      <c r="C6425" s="1" t="str">
        <f>HYPERLINK("http://www.rosaceae.org/gb/gbrowse/malus_x_domestica/?name=MDP0000127897","MDP0000127897")</f>
        <v>MDP0000127897</v>
      </c>
      <c r="D6425">
        <v>55.52</v>
      </c>
      <c r="E6425">
        <v>670</v>
      </c>
      <c r="F6425">
        <v>298</v>
      </c>
      <c r="G6425">
        <v>103</v>
      </c>
      <c r="H6425">
        <v>8</v>
      </c>
      <c r="I6425">
        <v>626</v>
      </c>
      <c r="J6425">
        <v>1</v>
      </c>
      <c r="K6425">
        <v>1</v>
      </c>
      <c r="L6425">
        <v>618</v>
      </c>
      <c r="M6425">
        <v>1</v>
      </c>
      <c r="N6425">
        <v>0</v>
      </c>
      <c r="O6425">
        <v>1769</v>
      </c>
    </row>
    <row r="6426" spans="1:15" x14ac:dyDescent="0.25">
      <c r="A6426" t="s">
        <v>6439</v>
      </c>
      <c r="B6426">
        <v>369</v>
      </c>
      <c r="C6426" s="1" t="str">
        <f>HYPERLINK("http://www.rosaceae.org/gb/gbrowse/malus_x_domestica/?name=MDP0000130865","MDP0000130865")</f>
        <v>MDP0000130865</v>
      </c>
      <c r="D6426">
        <v>64.44</v>
      </c>
      <c r="E6426">
        <v>225</v>
      </c>
      <c r="F6426">
        <v>80</v>
      </c>
      <c r="G6426">
        <v>3</v>
      </c>
      <c r="H6426">
        <v>16</v>
      </c>
      <c r="I6426">
        <v>239</v>
      </c>
      <c r="J6426">
        <v>1</v>
      </c>
      <c r="K6426">
        <v>75</v>
      </c>
      <c r="L6426">
        <v>297</v>
      </c>
      <c r="M6426">
        <v>1</v>
      </c>
      <c r="N6426">
        <v>1.4108699999999999E-72</v>
      </c>
      <c r="O6426">
        <v>691</v>
      </c>
    </row>
    <row r="6427" spans="1:15" x14ac:dyDescent="0.25">
      <c r="A6427" t="s">
        <v>6440</v>
      </c>
      <c r="B6427">
        <v>527</v>
      </c>
      <c r="C6427" s="1" t="str">
        <f>HYPERLINK("http://www.rosaceae.org/gb/gbrowse/malus_x_domestica/?name=MDP0000283457","MDP0000283457")</f>
        <v>MDP0000283457</v>
      </c>
      <c r="D6427">
        <v>95.06</v>
      </c>
      <c r="E6427">
        <v>527</v>
      </c>
      <c r="F6427">
        <v>26</v>
      </c>
      <c r="G6427">
        <v>2</v>
      </c>
      <c r="H6427">
        <v>3</v>
      </c>
      <c r="I6427">
        <v>527</v>
      </c>
      <c r="J6427">
        <v>1</v>
      </c>
      <c r="K6427">
        <v>513</v>
      </c>
      <c r="L6427">
        <v>1039</v>
      </c>
      <c r="M6427">
        <v>1</v>
      </c>
      <c r="N6427">
        <v>0</v>
      </c>
      <c r="O6427">
        <v>2611</v>
      </c>
    </row>
    <row r="6428" spans="1:15" x14ac:dyDescent="0.25">
      <c r="A6428" t="s">
        <v>6441</v>
      </c>
      <c r="B6428">
        <v>657</v>
      </c>
      <c r="C6428" s="1" t="str">
        <f>HYPERLINK("http://www.rosaceae.org/gb/gbrowse/malus_x_domestica/?name=MDP0000130491","MDP0000130491")</f>
        <v>MDP0000130491</v>
      </c>
      <c r="D6428">
        <v>71.900000000000006</v>
      </c>
      <c r="E6428">
        <v>687</v>
      </c>
      <c r="F6428">
        <v>193</v>
      </c>
      <c r="G6428">
        <v>37</v>
      </c>
      <c r="H6428">
        <v>4</v>
      </c>
      <c r="I6428">
        <v>657</v>
      </c>
      <c r="J6428">
        <v>1</v>
      </c>
      <c r="K6428">
        <v>33</v>
      </c>
      <c r="L6428">
        <v>715</v>
      </c>
      <c r="M6428">
        <v>1</v>
      </c>
      <c r="N6428">
        <v>0</v>
      </c>
      <c r="O6428">
        <v>2539</v>
      </c>
    </row>
    <row r="6429" spans="1:15" x14ac:dyDescent="0.25">
      <c r="A6429" t="s">
        <v>6442</v>
      </c>
      <c r="B6429">
        <v>695</v>
      </c>
      <c r="C6429" s="1" t="str">
        <f>HYPERLINK("http://www.rosaceae.org/gb/gbrowse/malus_x_domestica/?name=MDP0000567362","MDP0000567362")</f>
        <v>MDP0000567362</v>
      </c>
      <c r="D6429">
        <v>63.86</v>
      </c>
      <c r="E6429">
        <v>631</v>
      </c>
      <c r="F6429">
        <v>228</v>
      </c>
      <c r="G6429">
        <v>20</v>
      </c>
      <c r="H6429">
        <v>73</v>
      </c>
      <c r="I6429">
        <v>695</v>
      </c>
      <c r="J6429">
        <v>1</v>
      </c>
      <c r="K6429">
        <v>1</v>
      </c>
      <c r="L6429">
        <v>619</v>
      </c>
      <c r="M6429">
        <v>1</v>
      </c>
      <c r="N6429">
        <v>0</v>
      </c>
      <c r="O6429">
        <v>1866</v>
      </c>
    </row>
    <row r="6430" spans="1:15" x14ac:dyDescent="0.25">
      <c r="A6430" t="s">
        <v>6443</v>
      </c>
      <c r="B6430">
        <v>955</v>
      </c>
      <c r="C6430" s="1" t="str">
        <f>HYPERLINK("http://www.rosaceae.org/gb/gbrowse/malus_x_domestica/?name=MDP0000192433","MDP0000192433")</f>
        <v>MDP0000192433</v>
      </c>
      <c r="D6430">
        <v>71.77</v>
      </c>
      <c r="E6430">
        <v>939</v>
      </c>
      <c r="F6430">
        <v>265</v>
      </c>
      <c r="G6430">
        <v>32</v>
      </c>
      <c r="H6430">
        <v>1</v>
      </c>
      <c r="I6430">
        <v>935</v>
      </c>
      <c r="J6430">
        <v>1</v>
      </c>
      <c r="K6430">
        <v>1</v>
      </c>
      <c r="L6430">
        <v>911</v>
      </c>
      <c r="M6430">
        <v>1</v>
      </c>
      <c r="N6430">
        <v>0</v>
      </c>
      <c r="O6430">
        <v>3472</v>
      </c>
    </row>
    <row r="6431" spans="1:15" x14ac:dyDescent="0.25">
      <c r="A6431" t="s">
        <v>6444</v>
      </c>
      <c r="B6431">
        <v>245</v>
      </c>
      <c r="C6431" s="1" t="str">
        <f>HYPERLINK("http://www.rosaceae.org/gb/gbrowse/malus_x_domestica/?name=MDP0000160803","MDP0000160803")</f>
        <v>MDP0000160803</v>
      </c>
      <c r="D6431">
        <v>53.81</v>
      </c>
      <c r="E6431">
        <v>288</v>
      </c>
      <c r="F6431">
        <v>133</v>
      </c>
      <c r="G6431">
        <v>47</v>
      </c>
      <c r="H6431">
        <v>1</v>
      </c>
      <c r="I6431">
        <v>245</v>
      </c>
      <c r="J6431">
        <v>1</v>
      </c>
      <c r="K6431">
        <v>1</v>
      </c>
      <c r="L6431">
        <v>284</v>
      </c>
      <c r="M6431">
        <v>1</v>
      </c>
      <c r="N6431">
        <v>8.7912999999999996E-68</v>
      </c>
      <c r="O6431">
        <v>647</v>
      </c>
    </row>
    <row r="6432" spans="1:15" x14ac:dyDescent="0.25">
      <c r="A6432" t="s">
        <v>6445</v>
      </c>
      <c r="B6432">
        <v>393</v>
      </c>
      <c r="C6432" s="1" t="str">
        <f>HYPERLINK("http://www.rosaceae.org/gb/gbrowse/malus_x_domestica/?name=MDP0000242477","MDP0000242477")</f>
        <v>MDP0000242477</v>
      </c>
      <c r="D6432">
        <v>74.3</v>
      </c>
      <c r="E6432">
        <v>288</v>
      </c>
      <c r="F6432">
        <v>74</v>
      </c>
      <c r="G6432">
        <v>26</v>
      </c>
      <c r="H6432">
        <v>50</v>
      </c>
      <c r="I6432">
        <v>319</v>
      </c>
      <c r="J6432">
        <v>1</v>
      </c>
      <c r="K6432">
        <v>151</v>
      </c>
      <c r="L6432">
        <v>430</v>
      </c>
      <c r="M6432">
        <v>1</v>
      </c>
      <c r="N6432">
        <v>3.5900099999999999E-115</v>
      </c>
      <c r="O6432">
        <v>1059</v>
      </c>
    </row>
    <row r="6433" spans="1:15" x14ac:dyDescent="0.25">
      <c r="A6433" t="s">
        <v>6446</v>
      </c>
      <c r="B6433">
        <v>323</v>
      </c>
      <c r="C6433" s="1" t="str">
        <f>HYPERLINK("http://www.rosaceae.org/gb/gbrowse/malus_x_domestica/?name=MDP0000684133","MDP0000684133")</f>
        <v>MDP0000684133</v>
      </c>
      <c r="D6433">
        <v>71.95</v>
      </c>
      <c r="E6433">
        <v>328</v>
      </c>
      <c r="F6433">
        <v>92</v>
      </c>
      <c r="G6433">
        <v>11</v>
      </c>
      <c r="H6433">
        <v>5</v>
      </c>
      <c r="I6433">
        <v>323</v>
      </c>
      <c r="J6433">
        <v>1</v>
      </c>
      <c r="K6433">
        <v>2</v>
      </c>
      <c r="L6433">
        <v>327</v>
      </c>
      <c r="M6433">
        <v>1</v>
      </c>
      <c r="N6433">
        <v>4.1026199999999997E-133</v>
      </c>
      <c r="O6433">
        <v>1212</v>
      </c>
    </row>
    <row r="6434" spans="1:15" x14ac:dyDescent="0.25">
      <c r="A6434" t="s">
        <v>6447</v>
      </c>
      <c r="B6434">
        <v>578</v>
      </c>
      <c r="C6434" s="1" t="str">
        <f>HYPERLINK("http://www.rosaceae.org/gb/gbrowse/malus_x_domestica/?name=MDP0000145517","MDP0000145517")</f>
        <v>MDP0000145517</v>
      </c>
      <c r="D6434">
        <v>76.209999999999994</v>
      </c>
      <c r="E6434">
        <v>660</v>
      </c>
      <c r="F6434">
        <v>157</v>
      </c>
      <c r="G6434">
        <v>84</v>
      </c>
      <c r="H6434">
        <v>1</v>
      </c>
      <c r="I6434">
        <v>576</v>
      </c>
      <c r="J6434">
        <v>1</v>
      </c>
      <c r="K6434">
        <v>1</v>
      </c>
      <c r="L6434">
        <v>660</v>
      </c>
      <c r="M6434">
        <v>1</v>
      </c>
      <c r="N6434">
        <v>0</v>
      </c>
      <c r="O6434">
        <v>2564</v>
      </c>
    </row>
    <row r="6435" spans="1:15" x14ac:dyDescent="0.25">
      <c r="A6435" t="s">
        <v>6448</v>
      </c>
      <c r="B6435">
        <v>121</v>
      </c>
      <c r="C6435" s="1" t="str">
        <f>HYPERLINK("http://www.rosaceae.org/gb/gbrowse/malus_x_domestica/?name=MDP0000279299","MDP0000279299")</f>
        <v>MDP0000279299</v>
      </c>
      <c r="D6435">
        <v>72.64</v>
      </c>
      <c r="E6435">
        <v>117</v>
      </c>
      <c r="F6435">
        <v>32</v>
      </c>
      <c r="G6435">
        <v>0</v>
      </c>
      <c r="H6435">
        <v>1</v>
      </c>
      <c r="I6435">
        <v>117</v>
      </c>
      <c r="J6435">
        <v>1</v>
      </c>
      <c r="K6435">
        <v>231</v>
      </c>
      <c r="L6435">
        <v>347</v>
      </c>
      <c r="M6435">
        <v>1</v>
      </c>
      <c r="N6435">
        <v>6.6143300000000001E-43</v>
      </c>
      <c r="O6435">
        <v>427</v>
      </c>
    </row>
    <row r="6436" spans="1:15" x14ac:dyDescent="0.25">
      <c r="A6436" t="s">
        <v>6449</v>
      </c>
      <c r="B6436">
        <v>1703</v>
      </c>
      <c r="C6436" s="1" t="str">
        <f>HYPERLINK("http://www.rosaceae.org/gb/gbrowse/malus_x_domestica/?name=MDP0000308808","MDP0000308808")</f>
        <v>MDP0000308808</v>
      </c>
      <c r="D6436">
        <v>82.83</v>
      </c>
      <c r="E6436">
        <v>1713</v>
      </c>
      <c r="F6436">
        <v>294</v>
      </c>
      <c r="G6436">
        <v>48</v>
      </c>
      <c r="H6436">
        <v>35</v>
      </c>
      <c r="I6436">
        <v>1703</v>
      </c>
      <c r="J6436">
        <v>1</v>
      </c>
      <c r="K6436">
        <v>193</v>
      </c>
      <c r="L6436">
        <v>1901</v>
      </c>
      <c r="M6436">
        <v>1</v>
      </c>
      <c r="N6436">
        <v>0</v>
      </c>
      <c r="O6436">
        <v>7496</v>
      </c>
    </row>
    <row r="6437" spans="1:15" x14ac:dyDescent="0.25">
      <c r="A6437" t="s">
        <v>6450</v>
      </c>
      <c r="B6437">
        <v>534</v>
      </c>
      <c r="C6437" s="1" t="str">
        <f>HYPERLINK("http://www.rosaceae.org/gb/gbrowse/malus_x_domestica/?name=MDP0000318606","MDP0000318606")</f>
        <v>MDP0000318606</v>
      </c>
      <c r="D6437">
        <v>55.1</v>
      </c>
      <c r="E6437">
        <v>490</v>
      </c>
      <c r="F6437">
        <v>220</v>
      </c>
      <c r="G6437">
        <v>24</v>
      </c>
      <c r="H6437">
        <v>25</v>
      </c>
      <c r="I6437">
        <v>511</v>
      </c>
      <c r="J6437">
        <v>1</v>
      </c>
      <c r="K6437">
        <v>92</v>
      </c>
      <c r="L6437">
        <v>560</v>
      </c>
      <c r="M6437">
        <v>1</v>
      </c>
      <c r="N6437">
        <v>9.0642500000000002E-160</v>
      </c>
      <c r="O6437">
        <v>1445</v>
      </c>
    </row>
    <row r="6438" spans="1:15" x14ac:dyDescent="0.25">
      <c r="A6438" t="s">
        <v>6451</v>
      </c>
      <c r="B6438">
        <v>427</v>
      </c>
      <c r="C6438" s="1" t="str">
        <f>HYPERLINK("http://www.rosaceae.org/gb/gbrowse/malus_x_domestica/?name=MDP0000201947","MDP0000201947")</f>
        <v>MDP0000201947</v>
      </c>
      <c r="D6438">
        <v>58.66</v>
      </c>
      <c r="E6438">
        <v>508</v>
      </c>
      <c r="F6438">
        <v>210</v>
      </c>
      <c r="G6438">
        <v>100</v>
      </c>
      <c r="H6438">
        <v>1</v>
      </c>
      <c r="I6438">
        <v>427</v>
      </c>
      <c r="J6438">
        <v>1</v>
      </c>
      <c r="K6438">
        <v>1</v>
      </c>
      <c r="L6438">
        <v>489</v>
      </c>
      <c r="M6438">
        <v>1</v>
      </c>
      <c r="N6438">
        <v>2.9963599999999998E-150</v>
      </c>
      <c r="O6438">
        <v>1361</v>
      </c>
    </row>
    <row r="6439" spans="1:15" x14ac:dyDescent="0.25">
      <c r="A6439" t="s">
        <v>6452</v>
      </c>
      <c r="B6439">
        <v>551</v>
      </c>
      <c r="C6439" s="1" t="str">
        <f>HYPERLINK("http://www.rosaceae.org/gb/gbrowse/malus_x_domestica/?name=MDP0000264059","MDP0000264059")</f>
        <v>MDP0000264059</v>
      </c>
      <c r="D6439">
        <v>36.28</v>
      </c>
      <c r="E6439">
        <v>463</v>
      </c>
      <c r="F6439">
        <v>295</v>
      </c>
      <c r="G6439">
        <v>28</v>
      </c>
      <c r="H6439">
        <v>7</v>
      </c>
      <c r="I6439">
        <v>457</v>
      </c>
      <c r="J6439">
        <v>1</v>
      </c>
      <c r="K6439">
        <v>16</v>
      </c>
      <c r="L6439">
        <v>462</v>
      </c>
      <c r="M6439">
        <v>1</v>
      </c>
      <c r="N6439">
        <v>1.2779E-59</v>
      </c>
      <c r="O6439">
        <v>581</v>
      </c>
    </row>
    <row r="6440" spans="1:15" x14ac:dyDescent="0.25">
      <c r="A6440" t="s">
        <v>6453</v>
      </c>
      <c r="B6440">
        <v>226</v>
      </c>
      <c r="C6440" s="1" t="str">
        <f>HYPERLINK("http://www.rosaceae.org/gb/gbrowse/malus_x_domestica/?name=MDP0000323611","MDP0000323611")</f>
        <v>MDP0000323611</v>
      </c>
      <c r="D6440">
        <v>35.32</v>
      </c>
      <c r="E6440">
        <v>184</v>
      </c>
      <c r="F6440">
        <v>119</v>
      </c>
      <c r="G6440">
        <v>32</v>
      </c>
      <c r="H6440">
        <v>19</v>
      </c>
      <c r="I6440">
        <v>199</v>
      </c>
      <c r="J6440">
        <v>1</v>
      </c>
      <c r="K6440">
        <v>121</v>
      </c>
      <c r="L6440">
        <v>275</v>
      </c>
      <c r="M6440">
        <v>1</v>
      </c>
      <c r="N6440">
        <v>2.02909E-15</v>
      </c>
      <c r="O6440">
        <v>195</v>
      </c>
    </row>
    <row r="6441" spans="1:15" x14ac:dyDescent="0.25">
      <c r="A6441" t="s">
        <v>6454</v>
      </c>
      <c r="B6441">
        <v>570</v>
      </c>
      <c r="C6441" s="1" t="str">
        <f>HYPERLINK("http://www.rosaceae.org/gb/gbrowse/malus_x_domestica/?name=MDP0000442358","MDP0000442358")</f>
        <v>MDP0000442358</v>
      </c>
      <c r="D6441">
        <v>62.6</v>
      </c>
      <c r="E6441">
        <v>115</v>
      </c>
      <c r="F6441">
        <v>43</v>
      </c>
      <c r="G6441">
        <v>0</v>
      </c>
      <c r="H6441">
        <v>455</v>
      </c>
      <c r="I6441">
        <v>569</v>
      </c>
      <c r="J6441">
        <v>1</v>
      </c>
      <c r="K6441">
        <v>12</v>
      </c>
      <c r="L6441">
        <v>126</v>
      </c>
      <c r="M6441">
        <v>1</v>
      </c>
      <c r="N6441">
        <v>1.7721500000000001E-34</v>
      </c>
      <c r="O6441">
        <v>364</v>
      </c>
    </row>
    <row r="6442" spans="1:15" x14ac:dyDescent="0.25">
      <c r="A6442" t="s">
        <v>6455</v>
      </c>
      <c r="B6442">
        <v>486</v>
      </c>
      <c r="C6442" s="1" t="str">
        <f>HYPERLINK("http://www.rosaceae.org/gb/gbrowse/malus_x_domestica/?name=MDP0000494947","MDP0000494947")</f>
        <v>MDP0000494947</v>
      </c>
      <c r="D6442">
        <v>72.3</v>
      </c>
      <c r="E6442">
        <v>520</v>
      </c>
      <c r="F6442">
        <v>144</v>
      </c>
      <c r="G6442">
        <v>43</v>
      </c>
      <c r="H6442">
        <v>1</v>
      </c>
      <c r="I6442">
        <v>484</v>
      </c>
      <c r="J6442">
        <v>1</v>
      </c>
      <c r="K6442">
        <v>1</v>
      </c>
      <c r="L6442">
        <v>513</v>
      </c>
      <c r="M6442">
        <v>1</v>
      </c>
      <c r="N6442">
        <v>0</v>
      </c>
      <c r="O6442">
        <v>1889</v>
      </c>
    </row>
    <row r="6443" spans="1:15" x14ac:dyDescent="0.25">
      <c r="A6443" t="s">
        <v>6456</v>
      </c>
      <c r="B6443">
        <v>160</v>
      </c>
      <c r="C6443" s="1" t="str">
        <f>HYPERLINK("http://www.rosaceae.org/gb/gbrowse/malus_x_domestica/?name=MDP0000246608","MDP0000246608")</f>
        <v>MDP0000246608</v>
      </c>
      <c r="D6443">
        <v>72.91</v>
      </c>
      <c r="E6443">
        <v>144</v>
      </c>
      <c r="F6443">
        <v>39</v>
      </c>
      <c r="G6443">
        <v>1</v>
      </c>
      <c r="H6443">
        <v>16</v>
      </c>
      <c r="I6443">
        <v>159</v>
      </c>
      <c r="J6443">
        <v>1</v>
      </c>
      <c r="K6443">
        <v>1</v>
      </c>
      <c r="L6443">
        <v>143</v>
      </c>
      <c r="M6443">
        <v>1</v>
      </c>
      <c r="N6443">
        <v>1.17439E-55</v>
      </c>
      <c r="O6443">
        <v>540</v>
      </c>
    </row>
    <row r="6444" spans="1:15" x14ac:dyDescent="0.25">
      <c r="A6444" t="s">
        <v>6457</v>
      </c>
      <c r="B6444">
        <v>103</v>
      </c>
      <c r="C6444" s="1" t="str">
        <f>HYPERLINK("http://www.rosaceae.org/gb/gbrowse/malus_x_domestica/?name=MDP0000336462","MDP0000336462")</f>
        <v>MDP0000336462</v>
      </c>
      <c r="D6444">
        <v>100</v>
      </c>
      <c r="E6444">
        <v>82</v>
      </c>
      <c r="F6444">
        <v>0</v>
      </c>
      <c r="G6444">
        <v>0</v>
      </c>
      <c r="H6444">
        <v>22</v>
      </c>
      <c r="I6444">
        <v>103</v>
      </c>
      <c r="J6444">
        <v>1</v>
      </c>
      <c r="K6444">
        <v>44</v>
      </c>
      <c r="L6444">
        <v>125</v>
      </c>
      <c r="M6444">
        <v>1</v>
      </c>
      <c r="N6444">
        <v>5.1126299999999996E-41</v>
      </c>
      <c r="O6444">
        <v>411</v>
      </c>
    </row>
    <row r="6445" spans="1:15" x14ac:dyDescent="0.25">
      <c r="A6445" t="s">
        <v>6458</v>
      </c>
      <c r="B6445">
        <v>123</v>
      </c>
      <c r="C6445" s="1" t="str">
        <f>HYPERLINK("http://www.rosaceae.org/gb/gbrowse/malus_x_domestica/?name=MDP0000267098","MDP0000267098")</f>
        <v>MDP0000267098</v>
      </c>
      <c r="D6445">
        <v>64.28</v>
      </c>
      <c r="E6445">
        <v>42</v>
      </c>
      <c r="F6445">
        <v>15</v>
      </c>
      <c r="G6445">
        <v>0</v>
      </c>
      <c r="H6445">
        <v>79</v>
      </c>
      <c r="I6445">
        <v>120</v>
      </c>
      <c r="J6445">
        <v>1</v>
      </c>
      <c r="K6445">
        <v>406</v>
      </c>
      <c r="L6445">
        <v>447</v>
      </c>
      <c r="M6445">
        <v>1</v>
      </c>
      <c r="N6445">
        <v>9.18117E-10</v>
      </c>
      <c r="O6445">
        <v>142</v>
      </c>
    </row>
    <row r="6446" spans="1:15" x14ac:dyDescent="0.25">
      <c r="A6446" t="s">
        <v>6459</v>
      </c>
      <c r="B6446">
        <v>162</v>
      </c>
      <c r="C6446" s="1" t="str">
        <f>HYPERLINK("http://www.rosaceae.org/gb/gbrowse/malus_x_domestica/?name=MDP0000261096","MDP0000261096")</f>
        <v>MDP0000261096</v>
      </c>
      <c r="D6446">
        <v>47.61</v>
      </c>
      <c r="E6446">
        <v>84</v>
      </c>
      <c r="F6446">
        <v>44</v>
      </c>
      <c r="G6446">
        <v>5</v>
      </c>
      <c r="H6446">
        <v>80</v>
      </c>
      <c r="I6446">
        <v>158</v>
      </c>
      <c r="J6446">
        <v>1</v>
      </c>
      <c r="K6446">
        <v>105</v>
      </c>
      <c r="L6446">
        <v>188</v>
      </c>
      <c r="M6446">
        <v>1</v>
      </c>
      <c r="N6446">
        <v>5.1024599999999998E-14</v>
      </c>
      <c r="O6446">
        <v>181</v>
      </c>
    </row>
    <row r="6447" spans="1:15" x14ac:dyDescent="0.25">
      <c r="A6447" t="s">
        <v>6460</v>
      </c>
      <c r="B6447">
        <v>136</v>
      </c>
      <c r="C6447" s="1" t="str">
        <f>HYPERLINK("http://www.rosaceae.org/gb/gbrowse/malus_x_domestica/?name=MDP0000121016","MDP0000121016")</f>
        <v>MDP0000121016</v>
      </c>
      <c r="D6447">
        <v>100</v>
      </c>
      <c r="E6447">
        <v>136</v>
      </c>
      <c r="F6447">
        <v>0</v>
      </c>
      <c r="G6447">
        <v>0</v>
      </c>
      <c r="H6447">
        <v>1</v>
      </c>
      <c r="I6447">
        <v>136</v>
      </c>
      <c r="J6447">
        <v>1</v>
      </c>
      <c r="K6447">
        <v>20</v>
      </c>
      <c r="L6447">
        <v>155</v>
      </c>
      <c r="M6447">
        <v>1</v>
      </c>
      <c r="N6447">
        <v>1.2128699999999999E-74</v>
      </c>
      <c r="O6447">
        <v>702</v>
      </c>
    </row>
    <row r="6448" spans="1:15" x14ac:dyDescent="0.25">
      <c r="A6448" t="s">
        <v>6461</v>
      </c>
      <c r="B6448">
        <v>487</v>
      </c>
      <c r="C6448" s="1" t="str">
        <f>HYPERLINK("http://www.rosaceae.org/gb/gbrowse/malus_x_domestica/?name=MDP0000686221","MDP0000686221")</f>
        <v>MDP0000686221</v>
      </c>
      <c r="D6448">
        <v>28.07</v>
      </c>
      <c r="E6448">
        <v>342</v>
      </c>
      <c r="F6448">
        <v>246</v>
      </c>
      <c r="G6448">
        <v>74</v>
      </c>
      <c r="H6448">
        <v>46</v>
      </c>
      <c r="I6448">
        <v>365</v>
      </c>
      <c r="J6448">
        <v>1</v>
      </c>
      <c r="K6448">
        <v>806</v>
      </c>
      <c r="L6448">
        <v>1095</v>
      </c>
      <c r="M6448">
        <v>1</v>
      </c>
      <c r="N6448">
        <v>3.9182599999999997E-24</v>
      </c>
      <c r="O6448">
        <v>274</v>
      </c>
    </row>
    <row r="6449" spans="1:15" x14ac:dyDescent="0.25">
      <c r="A6449" t="s">
        <v>6462</v>
      </c>
      <c r="B6449">
        <v>506</v>
      </c>
      <c r="C6449" s="1" t="str">
        <f>HYPERLINK("http://www.rosaceae.org/gb/gbrowse/malus_x_domestica/?name=MDP0000158285","MDP0000158285")</f>
        <v>MDP0000158285</v>
      </c>
      <c r="D6449">
        <v>69.19</v>
      </c>
      <c r="E6449">
        <v>461</v>
      </c>
      <c r="F6449">
        <v>142</v>
      </c>
      <c r="G6449">
        <v>43</v>
      </c>
      <c r="H6449">
        <v>61</v>
      </c>
      <c r="I6449">
        <v>478</v>
      </c>
      <c r="J6449">
        <v>1</v>
      </c>
      <c r="K6449">
        <v>1</v>
      </c>
      <c r="L6449">
        <v>461</v>
      </c>
      <c r="M6449">
        <v>1</v>
      </c>
      <c r="N6449">
        <v>4.4020000000000002E-172</v>
      </c>
      <c r="O6449">
        <v>1551</v>
      </c>
    </row>
    <row r="6450" spans="1:15" x14ac:dyDescent="0.25">
      <c r="A6450" t="s">
        <v>6463</v>
      </c>
      <c r="B6450">
        <v>689</v>
      </c>
      <c r="C6450" s="1" t="str">
        <f>HYPERLINK("http://www.rosaceae.org/gb/gbrowse/malus_x_domestica/?name=MDP0000606495","MDP0000606495")</f>
        <v>MDP0000606495</v>
      </c>
      <c r="D6450">
        <v>30.03</v>
      </c>
      <c r="E6450">
        <v>526</v>
      </c>
      <c r="F6450">
        <v>368</v>
      </c>
      <c r="G6450">
        <v>122</v>
      </c>
      <c r="H6450">
        <v>1</v>
      </c>
      <c r="I6450">
        <v>413</v>
      </c>
      <c r="J6450">
        <v>1</v>
      </c>
      <c r="K6450">
        <v>4</v>
      </c>
      <c r="L6450">
        <v>520</v>
      </c>
      <c r="M6450">
        <v>1</v>
      </c>
      <c r="N6450">
        <v>4.70117E-32</v>
      </c>
      <c r="O6450">
        <v>344</v>
      </c>
    </row>
    <row r="6451" spans="1:15" x14ac:dyDescent="0.25">
      <c r="A6451" t="s">
        <v>6464</v>
      </c>
      <c r="B6451">
        <v>971</v>
      </c>
      <c r="C6451" s="1" t="str">
        <f>HYPERLINK("http://www.rosaceae.org/gb/gbrowse/malus_x_domestica/?name=MDP0000233292","MDP0000233292")</f>
        <v>MDP0000233292</v>
      </c>
      <c r="D6451">
        <v>90.24</v>
      </c>
      <c r="E6451">
        <v>984</v>
      </c>
      <c r="F6451">
        <v>96</v>
      </c>
      <c r="G6451">
        <v>18</v>
      </c>
      <c r="H6451">
        <v>1</v>
      </c>
      <c r="I6451">
        <v>971</v>
      </c>
      <c r="J6451">
        <v>1</v>
      </c>
      <c r="K6451">
        <v>1</v>
      </c>
      <c r="L6451">
        <v>979</v>
      </c>
      <c r="M6451">
        <v>1</v>
      </c>
      <c r="N6451">
        <v>0</v>
      </c>
      <c r="O6451">
        <v>4791</v>
      </c>
    </row>
    <row r="6452" spans="1:15" x14ac:dyDescent="0.25">
      <c r="A6452" t="s">
        <v>6465</v>
      </c>
      <c r="B6452">
        <v>269</v>
      </c>
      <c r="C6452" s="1" t="str">
        <f>HYPERLINK("http://www.rosaceae.org/gb/gbrowse/malus_x_domestica/?name=MDP0000166642","MDP0000166642")</f>
        <v>MDP0000166642</v>
      </c>
      <c r="D6452">
        <v>63.7</v>
      </c>
      <c r="E6452">
        <v>270</v>
      </c>
      <c r="F6452">
        <v>98</v>
      </c>
      <c r="G6452">
        <v>4</v>
      </c>
      <c r="H6452">
        <v>1</v>
      </c>
      <c r="I6452">
        <v>268</v>
      </c>
      <c r="J6452">
        <v>1</v>
      </c>
      <c r="K6452">
        <v>1</v>
      </c>
      <c r="L6452">
        <v>268</v>
      </c>
      <c r="M6452">
        <v>1</v>
      </c>
      <c r="N6452">
        <v>1.9310700000000001E-96</v>
      </c>
      <c r="O6452">
        <v>895</v>
      </c>
    </row>
    <row r="6453" spans="1:15" x14ac:dyDescent="0.25">
      <c r="A6453" t="s">
        <v>6466</v>
      </c>
      <c r="B6453">
        <v>518</v>
      </c>
      <c r="C6453" s="1" t="str">
        <f>HYPERLINK("http://www.rosaceae.org/gb/gbrowse/malus_x_domestica/?name=MDP0000318606","MDP0000318606")</f>
        <v>MDP0000318606</v>
      </c>
      <c r="D6453">
        <v>51.24</v>
      </c>
      <c r="E6453">
        <v>523</v>
      </c>
      <c r="F6453">
        <v>255</v>
      </c>
      <c r="G6453">
        <v>51</v>
      </c>
      <c r="H6453">
        <v>23</v>
      </c>
      <c r="I6453">
        <v>497</v>
      </c>
      <c r="J6453">
        <v>1</v>
      </c>
      <c r="K6453">
        <v>41</v>
      </c>
      <c r="L6453">
        <v>560</v>
      </c>
      <c r="M6453">
        <v>1</v>
      </c>
      <c r="N6453">
        <v>2.1849099999999999E-158</v>
      </c>
      <c r="O6453">
        <v>1433</v>
      </c>
    </row>
    <row r="6454" spans="1:15" x14ac:dyDescent="0.25">
      <c r="A6454" t="s">
        <v>6467</v>
      </c>
      <c r="B6454">
        <v>134</v>
      </c>
      <c r="C6454" s="1" t="str">
        <f>HYPERLINK("http://www.rosaceae.org/gb/gbrowse/malus_x_domestica/?name=MDP0000194521","MDP0000194521")</f>
        <v>MDP0000194521</v>
      </c>
      <c r="D6454">
        <v>57.25</v>
      </c>
      <c r="E6454">
        <v>131</v>
      </c>
      <c r="F6454">
        <v>56</v>
      </c>
      <c r="G6454">
        <v>9</v>
      </c>
      <c r="H6454">
        <v>1</v>
      </c>
      <c r="I6454">
        <v>131</v>
      </c>
      <c r="J6454">
        <v>1</v>
      </c>
      <c r="K6454">
        <v>229</v>
      </c>
      <c r="L6454">
        <v>350</v>
      </c>
      <c r="M6454">
        <v>1</v>
      </c>
      <c r="N6454">
        <v>1.7501900000000001E-30</v>
      </c>
      <c r="O6454">
        <v>321</v>
      </c>
    </row>
    <row r="6455" spans="1:15" x14ac:dyDescent="0.25">
      <c r="A6455" t="s">
        <v>6468</v>
      </c>
      <c r="B6455">
        <v>761</v>
      </c>
      <c r="C6455" s="1" t="str">
        <f>HYPERLINK("http://www.rosaceae.org/gb/gbrowse/malus_x_domestica/?name=MDP0000707798","MDP0000707798")</f>
        <v>MDP0000707798</v>
      </c>
      <c r="D6455">
        <v>83.6</v>
      </c>
      <c r="E6455">
        <v>738</v>
      </c>
      <c r="F6455">
        <v>121</v>
      </c>
      <c r="G6455">
        <v>10</v>
      </c>
      <c r="H6455">
        <v>33</v>
      </c>
      <c r="I6455">
        <v>760</v>
      </c>
      <c r="J6455">
        <v>1</v>
      </c>
      <c r="K6455">
        <v>38</v>
      </c>
      <c r="L6455">
        <v>775</v>
      </c>
      <c r="M6455">
        <v>1</v>
      </c>
      <c r="N6455">
        <v>0</v>
      </c>
      <c r="O6455">
        <v>3313</v>
      </c>
    </row>
    <row r="6456" spans="1:15" x14ac:dyDescent="0.25">
      <c r="A6456" t="s">
        <v>6469</v>
      </c>
      <c r="B6456">
        <v>228</v>
      </c>
      <c r="C6456" s="1" t="str">
        <f>HYPERLINK("http://www.rosaceae.org/gb/gbrowse/malus_x_domestica/?name=MDP0000255174","MDP0000255174")</f>
        <v>MDP0000255174</v>
      </c>
      <c r="D6456">
        <v>72.97</v>
      </c>
      <c r="E6456">
        <v>222</v>
      </c>
      <c r="F6456">
        <v>60</v>
      </c>
      <c r="G6456">
        <v>1</v>
      </c>
      <c r="H6456">
        <v>1</v>
      </c>
      <c r="I6456">
        <v>221</v>
      </c>
      <c r="J6456">
        <v>1</v>
      </c>
      <c r="K6456">
        <v>1</v>
      </c>
      <c r="L6456">
        <v>222</v>
      </c>
      <c r="M6456">
        <v>1</v>
      </c>
      <c r="N6456">
        <v>1.8517399999999999E-97</v>
      </c>
      <c r="O6456">
        <v>903</v>
      </c>
    </row>
    <row r="6457" spans="1:15" x14ac:dyDescent="0.25">
      <c r="A6457" t="s">
        <v>6470</v>
      </c>
      <c r="B6457">
        <v>112</v>
      </c>
      <c r="C6457" s="1" t="str">
        <f>HYPERLINK("http://www.rosaceae.org/gb/gbrowse/malus_x_domestica/?name=MDP0000392360","MDP0000392360")</f>
        <v>MDP0000392360</v>
      </c>
      <c r="D6457">
        <v>51.35</v>
      </c>
      <c r="E6457">
        <v>74</v>
      </c>
      <c r="F6457">
        <v>36</v>
      </c>
      <c r="G6457">
        <v>3</v>
      </c>
      <c r="H6457">
        <v>39</v>
      </c>
      <c r="I6457">
        <v>112</v>
      </c>
      <c r="J6457">
        <v>1</v>
      </c>
      <c r="K6457">
        <v>93</v>
      </c>
      <c r="L6457">
        <v>163</v>
      </c>
      <c r="M6457">
        <v>1</v>
      </c>
      <c r="N6457">
        <v>3.4968199999999999E-15</v>
      </c>
      <c r="O6457">
        <v>188</v>
      </c>
    </row>
    <row r="6458" spans="1:15" x14ac:dyDescent="0.25">
      <c r="A6458" t="s">
        <v>6471</v>
      </c>
      <c r="B6458">
        <v>413</v>
      </c>
      <c r="C6458" s="1" t="str">
        <f>HYPERLINK("http://www.rosaceae.org/gb/gbrowse/malus_x_domestica/?name=MDP0000709303","MDP0000709303")</f>
        <v>MDP0000709303</v>
      </c>
      <c r="D6458">
        <v>73.069999999999993</v>
      </c>
      <c r="E6458">
        <v>416</v>
      </c>
      <c r="F6458">
        <v>112</v>
      </c>
      <c r="G6458">
        <v>4</v>
      </c>
      <c r="H6458">
        <v>1</v>
      </c>
      <c r="I6458">
        <v>413</v>
      </c>
      <c r="J6458">
        <v>1</v>
      </c>
      <c r="K6458">
        <v>1</v>
      </c>
      <c r="L6458">
        <v>415</v>
      </c>
      <c r="M6458">
        <v>1</v>
      </c>
      <c r="N6458">
        <v>1.45068E-167</v>
      </c>
      <c r="O6458">
        <v>1511</v>
      </c>
    </row>
    <row r="6459" spans="1:15" x14ac:dyDescent="0.25">
      <c r="A6459" t="s">
        <v>6472</v>
      </c>
      <c r="B6459">
        <v>1426</v>
      </c>
      <c r="C6459" s="1" t="str">
        <f>HYPERLINK("http://www.rosaceae.org/gb/gbrowse/malus_x_domestica/?name=MDP0000251956","MDP0000251956")</f>
        <v>MDP0000251956</v>
      </c>
      <c r="D6459">
        <v>76.650000000000006</v>
      </c>
      <c r="E6459">
        <v>424</v>
      </c>
      <c r="F6459">
        <v>99</v>
      </c>
      <c r="G6459">
        <v>2</v>
      </c>
      <c r="H6459">
        <v>407</v>
      </c>
      <c r="I6459">
        <v>828</v>
      </c>
      <c r="J6459">
        <v>1</v>
      </c>
      <c r="K6459">
        <v>44</v>
      </c>
      <c r="L6459">
        <v>467</v>
      </c>
      <c r="M6459">
        <v>1</v>
      </c>
      <c r="N6459">
        <v>0</v>
      </c>
      <c r="O6459">
        <v>1818</v>
      </c>
    </row>
    <row r="6460" spans="1:15" x14ac:dyDescent="0.25">
      <c r="A6460" t="s">
        <v>6473</v>
      </c>
      <c r="B6460">
        <v>729</v>
      </c>
      <c r="C6460" s="1" t="str">
        <f>HYPERLINK("http://www.rosaceae.org/gb/gbrowse/malus_x_domestica/?name=MDP0000171078","MDP0000171078")</f>
        <v>MDP0000171078</v>
      </c>
      <c r="D6460">
        <v>59.22</v>
      </c>
      <c r="E6460">
        <v>412</v>
      </c>
      <c r="F6460">
        <v>168</v>
      </c>
      <c r="G6460">
        <v>13</v>
      </c>
      <c r="H6460">
        <v>103</v>
      </c>
      <c r="I6460">
        <v>507</v>
      </c>
      <c r="J6460">
        <v>1</v>
      </c>
      <c r="K6460">
        <v>63</v>
      </c>
      <c r="L6460">
        <v>468</v>
      </c>
      <c r="M6460">
        <v>1</v>
      </c>
      <c r="N6460">
        <v>6.6482399999999993E-142</v>
      </c>
      <c r="O6460">
        <v>1292</v>
      </c>
    </row>
    <row r="6461" spans="1:15" x14ac:dyDescent="0.25">
      <c r="A6461" t="s">
        <v>6474</v>
      </c>
      <c r="B6461">
        <v>518</v>
      </c>
      <c r="C6461" s="1" t="str">
        <f>HYPERLINK("http://www.rosaceae.org/gb/gbrowse/malus_x_domestica/?name=MDP0000581817","MDP0000581817")</f>
        <v>MDP0000581817</v>
      </c>
      <c r="D6461">
        <v>46.85</v>
      </c>
      <c r="E6461">
        <v>493</v>
      </c>
      <c r="F6461">
        <v>262</v>
      </c>
      <c r="G6461">
        <v>103</v>
      </c>
      <c r="H6461">
        <v>49</v>
      </c>
      <c r="I6461">
        <v>517</v>
      </c>
      <c r="J6461">
        <v>1</v>
      </c>
      <c r="K6461">
        <v>39</v>
      </c>
      <c r="L6461">
        <v>452</v>
      </c>
      <c r="M6461">
        <v>1</v>
      </c>
      <c r="N6461">
        <v>1.06531E-103</v>
      </c>
      <c r="O6461">
        <v>961</v>
      </c>
    </row>
    <row r="6462" spans="1:15" x14ac:dyDescent="0.25">
      <c r="A6462" t="s">
        <v>6475</v>
      </c>
      <c r="B6462">
        <v>191</v>
      </c>
      <c r="C6462" s="1" t="str">
        <f>HYPERLINK("http://www.rosaceae.org/gb/gbrowse/malus_x_domestica/?name=MDP0000148467","MDP0000148467")</f>
        <v>MDP0000148467</v>
      </c>
      <c r="D6462">
        <v>65.459999999999994</v>
      </c>
      <c r="E6462">
        <v>194</v>
      </c>
      <c r="F6462">
        <v>67</v>
      </c>
      <c r="G6462">
        <v>7</v>
      </c>
      <c r="H6462">
        <v>3</v>
      </c>
      <c r="I6462">
        <v>190</v>
      </c>
      <c r="J6462">
        <v>1</v>
      </c>
      <c r="K6462">
        <v>565</v>
      </c>
      <c r="L6462">
        <v>757</v>
      </c>
      <c r="M6462">
        <v>1</v>
      </c>
      <c r="N6462">
        <v>8.8614099999999995E-67</v>
      </c>
      <c r="O6462">
        <v>637</v>
      </c>
    </row>
    <row r="6463" spans="1:15" x14ac:dyDescent="0.25">
      <c r="A6463" t="s">
        <v>6476</v>
      </c>
      <c r="B6463">
        <v>79</v>
      </c>
      <c r="C6463" s="1" t="str">
        <f>HYPERLINK("http://www.rosaceae.org/gb/gbrowse/malus_x_domestica/?name=MDP0000176729","MDP0000176729")</f>
        <v>MDP0000176729</v>
      </c>
      <c r="D6463">
        <v>43.03</v>
      </c>
      <c r="E6463">
        <v>79</v>
      </c>
      <c r="F6463">
        <v>45</v>
      </c>
      <c r="G6463">
        <v>7</v>
      </c>
      <c r="H6463">
        <v>1</v>
      </c>
      <c r="I6463">
        <v>79</v>
      </c>
      <c r="J6463">
        <v>1</v>
      </c>
      <c r="K6463">
        <v>138</v>
      </c>
      <c r="L6463">
        <v>209</v>
      </c>
      <c r="M6463">
        <v>1</v>
      </c>
      <c r="N6463">
        <v>3.4711000000000001E-9</v>
      </c>
      <c r="O6463">
        <v>137</v>
      </c>
    </row>
    <row r="6464" spans="1:15" x14ac:dyDescent="0.25">
      <c r="A6464" t="s">
        <v>6477</v>
      </c>
      <c r="B6464">
        <v>722</v>
      </c>
      <c r="C6464" s="1" t="str">
        <f>HYPERLINK("http://www.rosaceae.org/gb/gbrowse/malus_x_domestica/?name=MDP0000287973","MDP0000287973")</f>
        <v>MDP0000287973</v>
      </c>
      <c r="D6464">
        <v>47.83</v>
      </c>
      <c r="E6464">
        <v>648</v>
      </c>
      <c r="F6464">
        <v>338</v>
      </c>
      <c r="G6464">
        <v>124</v>
      </c>
      <c r="H6464">
        <v>6</v>
      </c>
      <c r="I6464">
        <v>581</v>
      </c>
      <c r="J6464">
        <v>1</v>
      </c>
      <c r="K6464">
        <v>5</v>
      </c>
      <c r="L6464">
        <v>600</v>
      </c>
      <c r="M6464">
        <v>1</v>
      </c>
      <c r="N6464">
        <v>2.28595E-130</v>
      </c>
      <c r="O6464">
        <v>1192</v>
      </c>
    </row>
    <row r="6465" spans="1:15" x14ac:dyDescent="0.25">
      <c r="A6465" t="s">
        <v>6478</v>
      </c>
      <c r="B6465">
        <v>386</v>
      </c>
      <c r="C6465" s="1" t="str">
        <f>HYPERLINK("http://www.rosaceae.org/gb/gbrowse/malus_x_domestica/?name=MDP0000231418","MDP0000231418")</f>
        <v>MDP0000231418</v>
      </c>
      <c r="D6465">
        <v>84.53</v>
      </c>
      <c r="E6465">
        <v>362</v>
      </c>
      <c r="F6465">
        <v>56</v>
      </c>
      <c r="G6465">
        <v>19</v>
      </c>
      <c r="H6465">
        <v>44</v>
      </c>
      <c r="I6465">
        <v>386</v>
      </c>
      <c r="J6465">
        <v>1</v>
      </c>
      <c r="K6465">
        <v>45</v>
      </c>
      <c r="L6465">
        <v>406</v>
      </c>
      <c r="M6465">
        <v>1</v>
      </c>
      <c r="N6465">
        <v>1.2553700000000001E-172</v>
      </c>
      <c r="O6465">
        <v>1554</v>
      </c>
    </row>
    <row r="6466" spans="1:15" x14ac:dyDescent="0.25">
      <c r="A6466" t="s">
        <v>6479</v>
      </c>
      <c r="B6466">
        <v>575</v>
      </c>
      <c r="C6466" s="1" t="str">
        <f>HYPERLINK("http://www.rosaceae.org/gb/gbrowse/malus_x_domestica/?name=MDP0000834656","MDP0000834656")</f>
        <v>MDP0000834656</v>
      </c>
      <c r="D6466">
        <v>80.62</v>
      </c>
      <c r="E6466">
        <v>609</v>
      </c>
      <c r="F6466">
        <v>118</v>
      </c>
      <c r="G6466">
        <v>36</v>
      </c>
      <c r="H6466">
        <v>1</v>
      </c>
      <c r="I6466">
        <v>575</v>
      </c>
      <c r="J6466">
        <v>1</v>
      </c>
      <c r="K6466">
        <v>1</v>
      </c>
      <c r="L6466">
        <v>607</v>
      </c>
      <c r="M6466">
        <v>1</v>
      </c>
      <c r="N6466">
        <v>0</v>
      </c>
      <c r="O6466">
        <v>2608</v>
      </c>
    </row>
    <row r="6467" spans="1:15" x14ac:dyDescent="0.25">
      <c r="A6467" t="s">
        <v>6480</v>
      </c>
      <c r="B6467">
        <v>190</v>
      </c>
      <c r="C6467" s="1" t="str">
        <f>HYPERLINK("http://www.rosaceae.org/gb/gbrowse/malus_x_domestica/?name=MDP0000259249","MDP0000259249")</f>
        <v>MDP0000259249</v>
      </c>
      <c r="D6467">
        <v>44.18</v>
      </c>
      <c r="E6467">
        <v>172</v>
      </c>
      <c r="F6467">
        <v>96</v>
      </c>
      <c r="G6467">
        <v>13</v>
      </c>
      <c r="H6467">
        <v>6</v>
      </c>
      <c r="I6467">
        <v>170</v>
      </c>
      <c r="J6467">
        <v>1</v>
      </c>
      <c r="K6467">
        <v>14</v>
      </c>
      <c r="L6467">
        <v>179</v>
      </c>
      <c r="M6467">
        <v>1</v>
      </c>
      <c r="N6467">
        <v>6.3297599999999996E-39</v>
      </c>
      <c r="O6467">
        <v>397</v>
      </c>
    </row>
    <row r="6468" spans="1:15" x14ac:dyDescent="0.25">
      <c r="A6468" t="s">
        <v>6481</v>
      </c>
      <c r="B6468">
        <v>850</v>
      </c>
      <c r="C6468" s="1" t="str">
        <f>HYPERLINK("http://www.rosaceae.org/gb/gbrowse/malus_x_domestica/?name=MDP0000137948","MDP0000137948")</f>
        <v>MDP0000137948</v>
      </c>
      <c r="D6468">
        <v>52.3</v>
      </c>
      <c r="E6468">
        <v>824</v>
      </c>
      <c r="F6468">
        <v>393</v>
      </c>
      <c r="G6468">
        <v>86</v>
      </c>
      <c r="H6468">
        <v>53</v>
      </c>
      <c r="I6468">
        <v>850</v>
      </c>
      <c r="J6468">
        <v>1</v>
      </c>
      <c r="K6468">
        <v>1</v>
      </c>
      <c r="L6468">
        <v>764</v>
      </c>
      <c r="M6468">
        <v>1</v>
      </c>
      <c r="N6468">
        <v>0</v>
      </c>
      <c r="O6468">
        <v>1867</v>
      </c>
    </row>
    <row r="6469" spans="1:15" x14ac:dyDescent="0.25">
      <c r="A6469" t="s">
        <v>6482</v>
      </c>
      <c r="B6469">
        <v>163</v>
      </c>
      <c r="C6469" s="1" t="str">
        <f>HYPERLINK("http://www.rosaceae.org/gb/gbrowse/malus_x_domestica/?name=MDP0000316814","MDP0000316814")</f>
        <v>MDP0000316814</v>
      </c>
      <c r="D6469">
        <v>62.77</v>
      </c>
      <c r="E6469">
        <v>137</v>
      </c>
      <c r="F6469">
        <v>51</v>
      </c>
      <c r="G6469">
        <v>2</v>
      </c>
      <c r="H6469">
        <v>23</v>
      </c>
      <c r="I6469">
        <v>159</v>
      </c>
      <c r="J6469">
        <v>1</v>
      </c>
      <c r="K6469">
        <v>24</v>
      </c>
      <c r="L6469">
        <v>158</v>
      </c>
      <c r="M6469">
        <v>1</v>
      </c>
      <c r="N6469">
        <v>5.4881500000000001E-44</v>
      </c>
      <c r="O6469">
        <v>439</v>
      </c>
    </row>
    <row r="6470" spans="1:15" x14ac:dyDescent="0.25">
      <c r="A6470" t="s">
        <v>6483</v>
      </c>
      <c r="B6470">
        <v>288</v>
      </c>
      <c r="C6470" s="1" t="str">
        <f>HYPERLINK("http://www.rosaceae.org/gb/gbrowse/malus_x_domestica/?name=MDP0000177288","MDP0000177288")</f>
        <v>MDP0000177288</v>
      </c>
      <c r="D6470">
        <v>38.86</v>
      </c>
      <c r="E6470">
        <v>247</v>
      </c>
      <c r="F6470">
        <v>151</v>
      </c>
      <c r="G6470">
        <v>31</v>
      </c>
      <c r="H6470">
        <v>47</v>
      </c>
      <c r="I6470">
        <v>264</v>
      </c>
      <c r="J6470">
        <v>1</v>
      </c>
      <c r="K6470">
        <v>500</v>
      </c>
      <c r="L6470">
        <v>744</v>
      </c>
      <c r="M6470">
        <v>1</v>
      </c>
      <c r="N6470">
        <v>2.6114000000000001E-31</v>
      </c>
      <c r="O6470">
        <v>334</v>
      </c>
    </row>
    <row r="6471" spans="1:15" x14ac:dyDescent="0.25">
      <c r="A6471" t="s">
        <v>6484</v>
      </c>
      <c r="B6471">
        <v>373</v>
      </c>
      <c r="C6471" s="1" t="str">
        <f>HYPERLINK("http://www.rosaceae.org/gb/gbrowse/malus_x_domestica/?name=MDP0000200696","MDP0000200696")</f>
        <v>MDP0000200696</v>
      </c>
      <c r="D6471">
        <v>55.69</v>
      </c>
      <c r="E6471">
        <v>386</v>
      </c>
      <c r="F6471">
        <v>171</v>
      </c>
      <c r="G6471">
        <v>45</v>
      </c>
      <c r="H6471">
        <v>24</v>
      </c>
      <c r="I6471">
        <v>370</v>
      </c>
      <c r="J6471">
        <v>1</v>
      </c>
      <c r="K6471">
        <v>968</v>
      </c>
      <c r="L6471">
        <v>1347</v>
      </c>
      <c r="M6471">
        <v>1</v>
      </c>
      <c r="N6471">
        <v>3.0723899999999999E-116</v>
      </c>
      <c r="O6471">
        <v>1068</v>
      </c>
    </row>
    <row r="6472" spans="1:15" x14ac:dyDescent="0.25">
      <c r="A6472" t="s">
        <v>6485</v>
      </c>
      <c r="B6472">
        <v>492</v>
      </c>
      <c r="C6472" s="1" t="str">
        <f>HYPERLINK("http://www.rosaceae.org/gb/gbrowse/malus_x_domestica/?name=MDP0000203790","MDP0000203790")</f>
        <v>MDP0000203790</v>
      </c>
      <c r="D6472">
        <v>42.88</v>
      </c>
      <c r="E6472">
        <v>492</v>
      </c>
      <c r="F6472">
        <v>281</v>
      </c>
      <c r="G6472">
        <v>96</v>
      </c>
      <c r="H6472">
        <v>24</v>
      </c>
      <c r="I6472">
        <v>486</v>
      </c>
      <c r="J6472">
        <v>1</v>
      </c>
      <c r="K6472">
        <v>7</v>
      </c>
      <c r="L6472">
        <v>431</v>
      </c>
      <c r="M6472">
        <v>1</v>
      </c>
      <c r="N6472">
        <v>3.8853200000000001E-105</v>
      </c>
      <c r="O6472">
        <v>973</v>
      </c>
    </row>
    <row r="6473" spans="1:15" x14ac:dyDescent="0.25">
      <c r="A6473" t="s">
        <v>6486</v>
      </c>
      <c r="B6473">
        <v>358</v>
      </c>
      <c r="C6473" s="1" t="str">
        <f>HYPERLINK("http://www.rosaceae.org/gb/gbrowse/malus_x_domestica/?name=MDP0000522009","MDP0000522009")</f>
        <v>MDP0000522009</v>
      </c>
      <c r="D6473">
        <v>65.38</v>
      </c>
      <c r="E6473">
        <v>364</v>
      </c>
      <c r="F6473">
        <v>126</v>
      </c>
      <c r="G6473">
        <v>21</v>
      </c>
      <c r="H6473">
        <v>1</v>
      </c>
      <c r="I6473">
        <v>357</v>
      </c>
      <c r="J6473">
        <v>1</v>
      </c>
      <c r="K6473">
        <v>1</v>
      </c>
      <c r="L6473">
        <v>350</v>
      </c>
      <c r="M6473">
        <v>1</v>
      </c>
      <c r="N6473">
        <v>4.3704300000000004E-112</v>
      </c>
      <c r="O6473">
        <v>1031</v>
      </c>
    </row>
    <row r="6474" spans="1:15" x14ac:dyDescent="0.25">
      <c r="A6474" t="s">
        <v>6487</v>
      </c>
      <c r="B6474">
        <v>440</v>
      </c>
      <c r="C6474" s="1" t="str">
        <f>HYPERLINK("http://www.rosaceae.org/gb/gbrowse/malus_x_domestica/?name=MDP0000321244","MDP0000321244")</f>
        <v>MDP0000321244</v>
      </c>
      <c r="D6474">
        <v>83.22</v>
      </c>
      <c r="E6474">
        <v>453</v>
      </c>
      <c r="F6474">
        <v>76</v>
      </c>
      <c r="G6474">
        <v>16</v>
      </c>
      <c r="H6474">
        <v>1</v>
      </c>
      <c r="I6474">
        <v>440</v>
      </c>
      <c r="J6474">
        <v>1</v>
      </c>
      <c r="K6474">
        <v>1</v>
      </c>
      <c r="L6474">
        <v>450</v>
      </c>
      <c r="M6474">
        <v>1</v>
      </c>
      <c r="N6474">
        <v>0</v>
      </c>
      <c r="O6474">
        <v>2004</v>
      </c>
    </row>
    <row r="6475" spans="1:15" x14ac:dyDescent="0.25">
      <c r="A6475" t="s">
        <v>6488</v>
      </c>
      <c r="B6475">
        <v>308</v>
      </c>
      <c r="C6475" s="1" t="str">
        <f>HYPERLINK("http://www.rosaceae.org/gb/gbrowse/malus_x_domestica/?name=MDP0000136777","MDP0000136777")</f>
        <v>MDP0000136777</v>
      </c>
      <c r="D6475">
        <v>63.71</v>
      </c>
      <c r="E6475">
        <v>339</v>
      </c>
      <c r="F6475">
        <v>123</v>
      </c>
      <c r="G6475">
        <v>31</v>
      </c>
      <c r="H6475">
        <v>1</v>
      </c>
      <c r="I6475">
        <v>308</v>
      </c>
      <c r="J6475">
        <v>1</v>
      </c>
      <c r="K6475">
        <v>1</v>
      </c>
      <c r="L6475">
        <v>339</v>
      </c>
      <c r="M6475">
        <v>1</v>
      </c>
      <c r="N6475">
        <v>1.8265E-119</v>
      </c>
      <c r="O6475">
        <v>1094</v>
      </c>
    </row>
    <row r="6476" spans="1:15" x14ac:dyDescent="0.25">
      <c r="A6476" t="s">
        <v>6489</v>
      </c>
      <c r="B6476">
        <v>571</v>
      </c>
      <c r="C6476" s="1" t="str">
        <f>HYPERLINK("http://www.rosaceae.org/gb/gbrowse/malus_x_domestica/?name=MDP0000123201","MDP0000123201")</f>
        <v>MDP0000123201</v>
      </c>
      <c r="D6476">
        <v>65.42</v>
      </c>
      <c r="E6476">
        <v>564</v>
      </c>
      <c r="F6476">
        <v>195</v>
      </c>
      <c r="G6476">
        <v>57</v>
      </c>
      <c r="H6476">
        <v>9</v>
      </c>
      <c r="I6476">
        <v>571</v>
      </c>
      <c r="J6476">
        <v>1</v>
      </c>
      <c r="K6476">
        <v>2</v>
      </c>
      <c r="L6476">
        <v>509</v>
      </c>
      <c r="M6476">
        <v>1</v>
      </c>
      <c r="N6476">
        <v>0</v>
      </c>
      <c r="O6476">
        <v>1842</v>
      </c>
    </row>
    <row r="6477" spans="1:15" x14ac:dyDescent="0.25">
      <c r="A6477" t="s">
        <v>6490</v>
      </c>
      <c r="B6477">
        <v>105</v>
      </c>
      <c r="C6477" s="1" t="str">
        <f>HYPERLINK("http://www.rosaceae.org/gb/gbrowse/malus_x_domestica/?name=MDP0000149146","MDP0000149146")</f>
        <v>MDP0000149146</v>
      </c>
      <c r="D6477">
        <v>63.04</v>
      </c>
      <c r="E6477">
        <v>46</v>
      </c>
      <c r="F6477">
        <v>17</v>
      </c>
      <c r="G6477">
        <v>0</v>
      </c>
      <c r="H6477">
        <v>46</v>
      </c>
      <c r="I6477">
        <v>91</v>
      </c>
      <c r="J6477">
        <v>1</v>
      </c>
      <c r="K6477">
        <v>119</v>
      </c>
      <c r="L6477">
        <v>164</v>
      </c>
      <c r="M6477">
        <v>1</v>
      </c>
      <c r="N6477">
        <v>1.38112E-14</v>
      </c>
      <c r="O6477">
        <v>183</v>
      </c>
    </row>
    <row r="6478" spans="1:15" x14ac:dyDescent="0.25">
      <c r="A6478" t="s">
        <v>6491</v>
      </c>
      <c r="B6478">
        <v>396</v>
      </c>
      <c r="C6478" s="1" t="str">
        <f>HYPERLINK("http://www.rosaceae.org/gb/gbrowse/malus_x_domestica/?name=MDP0000255748","MDP0000255748")</f>
        <v>MDP0000255748</v>
      </c>
      <c r="D6478">
        <v>76.099999999999994</v>
      </c>
      <c r="E6478">
        <v>385</v>
      </c>
      <c r="F6478">
        <v>92</v>
      </c>
      <c r="G6478">
        <v>1</v>
      </c>
      <c r="H6478">
        <v>13</v>
      </c>
      <c r="I6478">
        <v>396</v>
      </c>
      <c r="J6478">
        <v>1</v>
      </c>
      <c r="K6478">
        <v>81</v>
      </c>
      <c r="L6478">
        <v>465</v>
      </c>
      <c r="M6478">
        <v>1</v>
      </c>
      <c r="N6478">
        <v>5.15359E-174</v>
      </c>
      <c r="O6478">
        <v>1566</v>
      </c>
    </row>
    <row r="6479" spans="1:15" x14ac:dyDescent="0.25">
      <c r="A6479" t="s">
        <v>6492</v>
      </c>
      <c r="B6479">
        <v>969</v>
      </c>
      <c r="C6479" s="1" t="str">
        <f>HYPERLINK("http://www.rosaceae.org/gb/gbrowse/malus_x_domestica/?name=MDP0000143909","MDP0000143909")</f>
        <v>MDP0000143909</v>
      </c>
      <c r="D6479">
        <v>63.59</v>
      </c>
      <c r="E6479">
        <v>662</v>
      </c>
      <c r="F6479">
        <v>241</v>
      </c>
      <c r="G6479">
        <v>135</v>
      </c>
      <c r="H6479">
        <v>46</v>
      </c>
      <c r="I6479">
        <v>600</v>
      </c>
      <c r="J6479">
        <v>1</v>
      </c>
      <c r="K6479">
        <v>2</v>
      </c>
      <c r="L6479">
        <v>635</v>
      </c>
      <c r="M6479">
        <v>1</v>
      </c>
      <c r="N6479">
        <v>0</v>
      </c>
      <c r="O6479">
        <v>2122</v>
      </c>
    </row>
    <row r="6480" spans="1:15" x14ac:dyDescent="0.25">
      <c r="A6480" t="s">
        <v>6493</v>
      </c>
      <c r="B6480">
        <v>496</v>
      </c>
      <c r="C6480" s="1" t="str">
        <f>HYPERLINK("http://www.rosaceae.org/gb/gbrowse/malus_x_domestica/?name=MDP0000320539","MDP0000320539")</f>
        <v>MDP0000320539</v>
      </c>
      <c r="D6480">
        <v>84.79</v>
      </c>
      <c r="E6480">
        <v>480</v>
      </c>
      <c r="F6480">
        <v>73</v>
      </c>
      <c r="G6480">
        <v>2</v>
      </c>
      <c r="H6480">
        <v>19</v>
      </c>
      <c r="I6480">
        <v>496</v>
      </c>
      <c r="J6480">
        <v>1</v>
      </c>
      <c r="K6480">
        <v>1</v>
      </c>
      <c r="L6480">
        <v>480</v>
      </c>
      <c r="M6480">
        <v>1</v>
      </c>
      <c r="N6480">
        <v>0</v>
      </c>
      <c r="O6480">
        <v>2154</v>
      </c>
    </row>
    <row r="6481" spans="1:15" x14ac:dyDescent="0.25">
      <c r="A6481" t="s">
        <v>6494</v>
      </c>
      <c r="B6481">
        <v>263</v>
      </c>
      <c r="C6481" s="1" t="str">
        <f>HYPERLINK("http://www.rosaceae.org/gb/gbrowse/malus_x_domestica/?name=MDP0000281120","MDP0000281120")</f>
        <v>MDP0000281120</v>
      </c>
      <c r="D6481">
        <v>81.03</v>
      </c>
      <c r="E6481">
        <v>58</v>
      </c>
      <c r="F6481">
        <v>11</v>
      </c>
      <c r="G6481">
        <v>1</v>
      </c>
      <c r="H6481">
        <v>206</v>
      </c>
      <c r="I6481">
        <v>263</v>
      </c>
      <c r="J6481">
        <v>1</v>
      </c>
      <c r="K6481">
        <v>24</v>
      </c>
      <c r="L6481">
        <v>80</v>
      </c>
      <c r="M6481">
        <v>1</v>
      </c>
      <c r="N6481">
        <v>6.7715100000000004E-22</v>
      </c>
      <c r="O6481">
        <v>252</v>
      </c>
    </row>
    <row r="6482" spans="1:15" x14ac:dyDescent="0.25">
      <c r="A6482" t="s">
        <v>6495</v>
      </c>
      <c r="B6482">
        <v>117</v>
      </c>
      <c r="C6482" s="1" t="str">
        <f>HYPERLINK("http://www.rosaceae.org/gb/gbrowse/malus_x_domestica/?name=MDP0000281935","MDP0000281935")</f>
        <v>MDP0000281935</v>
      </c>
      <c r="D6482">
        <v>81.81</v>
      </c>
      <c r="E6482">
        <v>33</v>
      </c>
      <c r="F6482">
        <v>6</v>
      </c>
      <c r="G6482">
        <v>0</v>
      </c>
      <c r="H6482">
        <v>54</v>
      </c>
      <c r="I6482">
        <v>86</v>
      </c>
      <c r="J6482">
        <v>1</v>
      </c>
      <c r="K6482">
        <v>145</v>
      </c>
      <c r="L6482">
        <v>177</v>
      </c>
      <c r="M6482">
        <v>1</v>
      </c>
      <c r="N6482">
        <v>1.5579999999999999E-10</v>
      </c>
      <c r="O6482">
        <v>148</v>
      </c>
    </row>
    <row r="6483" spans="1:15" x14ac:dyDescent="0.25">
      <c r="A6483" t="s">
        <v>6496</v>
      </c>
      <c r="B6483">
        <v>197</v>
      </c>
      <c r="C6483" s="1" t="str">
        <f>HYPERLINK("http://www.rosaceae.org/gb/gbrowse/malus_x_domestica/?name=MDP0000179031","MDP0000179031")</f>
        <v>MDP0000179031</v>
      </c>
      <c r="D6483">
        <v>75.709999999999994</v>
      </c>
      <c r="E6483">
        <v>140</v>
      </c>
      <c r="F6483">
        <v>34</v>
      </c>
      <c r="G6483">
        <v>0</v>
      </c>
      <c r="H6483">
        <v>2</v>
      </c>
      <c r="I6483">
        <v>141</v>
      </c>
      <c r="J6483">
        <v>1</v>
      </c>
      <c r="K6483">
        <v>3</v>
      </c>
      <c r="L6483">
        <v>142</v>
      </c>
      <c r="M6483">
        <v>1</v>
      </c>
      <c r="N6483">
        <v>1.9522800000000002E-61</v>
      </c>
      <c r="O6483">
        <v>591</v>
      </c>
    </row>
    <row r="6484" spans="1:15" x14ac:dyDescent="0.25">
      <c r="A6484" t="s">
        <v>6497</v>
      </c>
      <c r="B6484">
        <v>727</v>
      </c>
      <c r="C6484" s="1" t="str">
        <f>HYPERLINK("http://www.rosaceae.org/gb/gbrowse/malus_x_domestica/?name=MDP0000201429","MDP0000201429")</f>
        <v>MDP0000201429</v>
      </c>
      <c r="D6484">
        <v>72.010000000000005</v>
      </c>
      <c r="E6484">
        <v>736</v>
      </c>
      <c r="F6484">
        <v>206</v>
      </c>
      <c r="G6484">
        <v>11</v>
      </c>
      <c r="H6484">
        <v>1</v>
      </c>
      <c r="I6484">
        <v>726</v>
      </c>
      <c r="J6484">
        <v>1</v>
      </c>
      <c r="K6484">
        <v>11</v>
      </c>
      <c r="L6484">
        <v>745</v>
      </c>
      <c r="M6484">
        <v>1</v>
      </c>
      <c r="N6484">
        <v>0</v>
      </c>
      <c r="O6484">
        <v>2776</v>
      </c>
    </row>
    <row r="6485" spans="1:15" x14ac:dyDescent="0.25">
      <c r="A6485" t="s">
        <v>6498</v>
      </c>
      <c r="B6485">
        <v>668</v>
      </c>
      <c r="C6485" s="1" t="str">
        <f>HYPERLINK("http://www.rosaceae.org/gb/gbrowse/malus_x_domestica/?name=MDP0000283623","MDP0000283623")</f>
        <v>MDP0000283623</v>
      </c>
      <c r="D6485">
        <v>56.25</v>
      </c>
      <c r="E6485">
        <v>256</v>
      </c>
      <c r="F6485">
        <v>112</v>
      </c>
      <c r="G6485">
        <v>57</v>
      </c>
      <c r="H6485">
        <v>1</v>
      </c>
      <c r="I6485">
        <v>252</v>
      </c>
      <c r="J6485">
        <v>1</v>
      </c>
      <c r="K6485">
        <v>1</v>
      </c>
      <c r="L6485">
        <v>203</v>
      </c>
      <c r="M6485">
        <v>1</v>
      </c>
      <c r="N6485">
        <v>1.1694200000000001E-70</v>
      </c>
      <c r="O6485">
        <v>677</v>
      </c>
    </row>
    <row r="6486" spans="1:15" x14ac:dyDescent="0.25">
      <c r="A6486" t="s">
        <v>6499</v>
      </c>
      <c r="B6486">
        <v>145</v>
      </c>
      <c r="C6486" s="1" t="str">
        <f>HYPERLINK("http://www.rosaceae.org/gb/gbrowse/malus_x_domestica/?name=MDP0000144041","MDP0000144041")</f>
        <v>MDP0000144041</v>
      </c>
      <c r="D6486">
        <v>99.31</v>
      </c>
      <c r="E6486">
        <v>145</v>
      </c>
      <c r="F6486">
        <v>1</v>
      </c>
      <c r="G6486">
        <v>0</v>
      </c>
      <c r="H6486">
        <v>1</v>
      </c>
      <c r="I6486">
        <v>145</v>
      </c>
      <c r="J6486">
        <v>1</v>
      </c>
      <c r="K6486">
        <v>109</v>
      </c>
      <c r="L6486">
        <v>253</v>
      </c>
      <c r="M6486">
        <v>1</v>
      </c>
      <c r="N6486">
        <v>1.3464600000000001E-83</v>
      </c>
      <c r="O6486">
        <v>780</v>
      </c>
    </row>
    <row r="6487" spans="1:15" x14ac:dyDescent="0.25">
      <c r="A6487" t="s">
        <v>6500</v>
      </c>
      <c r="B6487">
        <v>325</v>
      </c>
      <c r="C6487" s="1" t="str">
        <f>HYPERLINK("http://www.rosaceae.org/gb/gbrowse/malus_x_domestica/?name=MDP0000136041","MDP0000136041")</f>
        <v>MDP0000136041</v>
      </c>
      <c r="D6487">
        <v>62.53</v>
      </c>
      <c r="E6487">
        <v>347</v>
      </c>
      <c r="F6487">
        <v>130</v>
      </c>
      <c r="G6487">
        <v>82</v>
      </c>
      <c r="H6487">
        <v>1</v>
      </c>
      <c r="I6487">
        <v>284</v>
      </c>
      <c r="J6487">
        <v>1</v>
      </c>
      <c r="K6487">
        <v>491</v>
      </c>
      <c r="L6487">
        <v>818</v>
      </c>
      <c r="M6487">
        <v>1</v>
      </c>
      <c r="N6487">
        <v>3.6479799999999998E-109</v>
      </c>
      <c r="O6487">
        <v>1006</v>
      </c>
    </row>
    <row r="6488" spans="1:15" x14ac:dyDescent="0.25">
      <c r="A6488" t="s">
        <v>6501</v>
      </c>
      <c r="B6488">
        <v>467</v>
      </c>
      <c r="C6488" s="1" t="str">
        <f>HYPERLINK("http://www.rosaceae.org/gb/gbrowse/malus_x_domestica/?name=MDP0000125428","MDP0000125428")</f>
        <v>MDP0000125428</v>
      </c>
      <c r="D6488">
        <v>75</v>
      </c>
      <c r="E6488">
        <v>232</v>
      </c>
      <c r="F6488">
        <v>58</v>
      </c>
      <c r="G6488">
        <v>4</v>
      </c>
      <c r="H6488">
        <v>58</v>
      </c>
      <c r="I6488">
        <v>286</v>
      </c>
      <c r="J6488">
        <v>1</v>
      </c>
      <c r="K6488">
        <v>60</v>
      </c>
      <c r="L6488">
        <v>290</v>
      </c>
      <c r="M6488">
        <v>1</v>
      </c>
      <c r="N6488">
        <v>1.4278999999999999E-96</v>
      </c>
      <c r="O6488">
        <v>899</v>
      </c>
    </row>
    <row r="6489" spans="1:15" x14ac:dyDescent="0.25">
      <c r="A6489" t="s">
        <v>6502</v>
      </c>
      <c r="B6489">
        <v>373</v>
      </c>
      <c r="C6489" s="1" t="str">
        <f>HYPERLINK("http://www.rosaceae.org/gb/gbrowse/malus_x_domestica/?name=MDP0000240373","MDP0000240373")</f>
        <v>MDP0000240373</v>
      </c>
      <c r="D6489">
        <v>40.9</v>
      </c>
      <c r="E6489">
        <v>88</v>
      </c>
      <c r="F6489">
        <v>52</v>
      </c>
      <c r="G6489">
        <v>5</v>
      </c>
      <c r="H6489">
        <v>117</v>
      </c>
      <c r="I6489">
        <v>199</v>
      </c>
      <c r="J6489">
        <v>1</v>
      </c>
      <c r="K6489">
        <v>385</v>
      </c>
      <c r="L6489">
        <v>472</v>
      </c>
      <c r="M6489">
        <v>1</v>
      </c>
      <c r="N6489">
        <v>2.6582700000000001E-11</v>
      </c>
      <c r="O6489">
        <v>163</v>
      </c>
    </row>
    <row r="6490" spans="1:15" x14ac:dyDescent="0.25">
      <c r="A6490" t="s">
        <v>6503</v>
      </c>
      <c r="B6490">
        <v>291</v>
      </c>
      <c r="C6490" s="1" t="str">
        <f>HYPERLINK("http://www.rosaceae.org/gb/gbrowse/malus_x_domestica/?name=MDP0000338285","MDP0000338285")</f>
        <v>MDP0000338285</v>
      </c>
      <c r="D6490">
        <v>66.540000000000006</v>
      </c>
      <c r="E6490">
        <v>275</v>
      </c>
      <c r="F6490">
        <v>92</v>
      </c>
      <c r="G6490">
        <v>22</v>
      </c>
      <c r="H6490">
        <v>1</v>
      </c>
      <c r="I6490">
        <v>257</v>
      </c>
      <c r="J6490">
        <v>1</v>
      </c>
      <c r="K6490">
        <v>1</v>
      </c>
      <c r="L6490">
        <v>271</v>
      </c>
      <c r="M6490">
        <v>1</v>
      </c>
      <c r="N6490">
        <v>1.3687700000000001E-96</v>
      </c>
      <c r="O6490">
        <v>897</v>
      </c>
    </row>
    <row r="6491" spans="1:15" x14ac:dyDescent="0.25">
      <c r="A6491" t="s">
        <v>6504</v>
      </c>
      <c r="B6491">
        <v>212</v>
      </c>
      <c r="C6491" s="1" t="str">
        <f>HYPERLINK("http://www.rosaceae.org/gb/gbrowse/malus_x_domestica/?name=MDP0000150438","MDP0000150438")</f>
        <v>MDP0000150438</v>
      </c>
      <c r="D6491">
        <v>43.72</v>
      </c>
      <c r="E6491">
        <v>215</v>
      </c>
      <c r="F6491">
        <v>121</v>
      </c>
      <c r="G6491">
        <v>17</v>
      </c>
      <c r="H6491">
        <v>5</v>
      </c>
      <c r="I6491">
        <v>210</v>
      </c>
      <c r="J6491">
        <v>1</v>
      </c>
      <c r="K6491">
        <v>4</v>
      </c>
      <c r="L6491">
        <v>210</v>
      </c>
      <c r="M6491">
        <v>1</v>
      </c>
      <c r="N6491">
        <v>7.67522E-42</v>
      </c>
      <c r="O6491">
        <v>423</v>
      </c>
    </row>
    <row r="6492" spans="1:15" x14ac:dyDescent="0.25">
      <c r="A6492" t="s">
        <v>6505</v>
      </c>
      <c r="B6492">
        <v>474</v>
      </c>
      <c r="C6492" s="1" t="str">
        <f>HYPERLINK("http://www.rosaceae.org/gb/gbrowse/malus_x_domestica/?name=MDP0000286762","MDP0000286762")</f>
        <v>MDP0000286762</v>
      </c>
      <c r="D6492">
        <v>51.65</v>
      </c>
      <c r="E6492">
        <v>513</v>
      </c>
      <c r="F6492">
        <v>248</v>
      </c>
      <c r="G6492">
        <v>70</v>
      </c>
      <c r="H6492">
        <v>14</v>
      </c>
      <c r="I6492">
        <v>470</v>
      </c>
      <c r="J6492">
        <v>1</v>
      </c>
      <c r="K6492">
        <v>17</v>
      </c>
      <c r="L6492">
        <v>515</v>
      </c>
      <c r="M6492">
        <v>1</v>
      </c>
      <c r="N6492">
        <v>9.1962000000000002E-127</v>
      </c>
      <c r="O6492">
        <v>1159</v>
      </c>
    </row>
    <row r="6493" spans="1:15" x14ac:dyDescent="0.25">
      <c r="A6493" t="s">
        <v>6506</v>
      </c>
      <c r="B6493">
        <v>254</v>
      </c>
      <c r="C6493" s="1" t="str">
        <f>HYPERLINK("http://www.rosaceae.org/gb/gbrowse/malus_x_domestica/?name=MDP0000120013","MDP0000120013")</f>
        <v>MDP0000120013</v>
      </c>
      <c r="D6493">
        <v>62.12</v>
      </c>
      <c r="E6493">
        <v>264</v>
      </c>
      <c r="F6493">
        <v>100</v>
      </c>
      <c r="G6493">
        <v>30</v>
      </c>
      <c r="H6493">
        <v>14</v>
      </c>
      <c r="I6493">
        <v>254</v>
      </c>
      <c r="J6493">
        <v>1</v>
      </c>
      <c r="K6493">
        <v>7</v>
      </c>
      <c r="L6493">
        <v>263</v>
      </c>
      <c r="M6493">
        <v>1</v>
      </c>
      <c r="N6493">
        <v>6.4518199999999996E-78</v>
      </c>
      <c r="O6493">
        <v>735</v>
      </c>
    </row>
    <row r="6494" spans="1:15" x14ac:dyDescent="0.25">
      <c r="A6494" t="s">
        <v>6507</v>
      </c>
      <c r="B6494">
        <v>389</v>
      </c>
      <c r="C6494" s="1" t="str">
        <f>HYPERLINK("http://www.rosaceae.org/gb/gbrowse/malus_x_domestica/?name=MDP0000738458","MDP0000738458")</f>
        <v>MDP0000738458</v>
      </c>
      <c r="D6494">
        <v>77.209999999999994</v>
      </c>
      <c r="E6494">
        <v>373</v>
      </c>
      <c r="F6494">
        <v>85</v>
      </c>
      <c r="G6494">
        <v>1</v>
      </c>
      <c r="H6494">
        <v>17</v>
      </c>
      <c r="I6494">
        <v>389</v>
      </c>
      <c r="J6494">
        <v>1</v>
      </c>
      <c r="K6494">
        <v>7</v>
      </c>
      <c r="L6494">
        <v>378</v>
      </c>
      <c r="M6494">
        <v>1</v>
      </c>
      <c r="N6494">
        <v>2.9478000000000001E-171</v>
      </c>
      <c r="O6494">
        <v>1542</v>
      </c>
    </row>
    <row r="6495" spans="1:15" x14ac:dyDescent="0.25">
      <c r="A6495" t="s">
        <v>6508</v>
      </c>
      <c r="B6495">
        <v>698</v>
      </c>
      <c r="C6495" s="1" t="str">
        <f>HYPERLINK("http://www.rosaceae.org/gb/gbrowse/malus_x_domestica/?name=MDP0000310076","MDP0000310076")</f>
        <v>MDP0000310076</v>
      </c>
      <c r="D6495">
        <v>51.8</v>
      </c>
      <c r="E6495">
        <v>637</v>
      </c>
      <c r="F6495">
        <v>307</v>
      </c>
      <c r="G6495">
        <v>71</v>
      </c>
      <c r="H6495">
        <v>126</v>
      </c>
      <c r="I6495">
        <v>696</v>
      </c>
      <c r="J6495">
        <v>1</v>
      </c>
      <c r="K6495">
        <v>7</v>
      </c>
      <c r="L6495">
        <v>638</v>
      </c>
      <c r="M6495">
        <v>1</v>
      </c>
      <c r="N6495">
        <v>9.2854799999999998E-155</v>
      </c>
      <c r="O6495">
        <v>1403</v>
      </c>
    </row>
    <row r="6496" spans="1:15" x14ac:dyDescent="0.25">
      <c r="A6496" t="s">
        <v>6509</v>
      </c>
      <c r="B6496">
        <v>339</v>
      </c>
      <c r="C6496" s="1" t="str">
        <f>HYPERLINK("http://www.rosaceae.org/gb/gbrowse/malus_x_domestica/?name=MDP0000800386","MDP0000800386")</f>
        <v>MDP0000800386</v>
      </c>
      <c r="D6496">
        <v>60.13</v>
      </c>
      <c r="E6496">
        <v>148</v>
      </c>
      <c r="F6496">
        <v>59</v>
      </c>
      <c r="G6496">
        <v>16</v>
      </c>
      <c r="H6496">
        <v>28</v>
      </c>
      <c r="I6496">
        <v>162</v>
      </c>
      <c r="J6496">
        <v>1</v>
      </c>
      <c r="K6496">
        <v>32</v>
      </c>
      <c r="L6496">
        <v>176</v>
      </c>
      <c r="M6496">
        <v>1</v>
      </c>
      <c r="N6496">
        <v>1.18029E-40</v>
      </c>
      <c r="O6496">
        <v>415</v>
      </c>
    </row>
    <row r="6497" spans="1:15" x14ac:dyDescent="0.25">
      <c r="A6497" t="s">
        <v>6510</v>
      </c>
      <c r="B6497">
        <v>866</v>
      </c>
      <c r="C6497" s="1" t="str">
        <f>HYPERLINK("http://www.rosaceae.org/gb/gbrowse/malus_x_domestica/?name=MDP0000130030","MDP0000130030")</f>
        <v>MDP0000130030</v>
      </c>
      <c r="D6497">
        <v>59.91</v>
      </c>
      <c r="E6497">
        <v>449</v>
      </c>
      <c r="F6497">
        <v>180</v>
      </c>
      <c r="G6497">
        <v>32</v>
      </c>
      <c r="H6497">
        <v>46</v>
      </c>
      <c r="I6497">
        <v>467</v>
      </c>
      <c r="J6497">
        <v>1</v>
      </c>
      <c r="K6497">
        <v>56</v>
      </c>
      <c r="L6497">
        <v>499</v>
      </c>
      <c r="M6497">
        <v>1</v>
      </c>
      <c r="N6497">
        <v>1.5570700000000001E-152</v>
      </c>
      <c r="O6497">
        <v>1384</v>
      </c>
    </row>
    <row r="6498" spans="1:15" x14ac:dyDescent="0.25">
      <c r="A6498" t="s">
        <v>6511</v>
      </c>
      <c r="B6498">
        <v>328</v>
      </c>
      <c r="C6498" s="1" t="str">
        <f>HYPERLINK("http://www.rosaceae.org/gb/gbrowse/malus_x_domestica/?name=MDP0000310179","MDP0000310179")</f>
        <v>MDP0000310179</v>
      </c>
      <c r="D6498">
        <v>45.05</v>
      </c>
      <c r="E6498">
        <v>91</v>
      </c>
      <c r="F6498">
        <v>50</v>
      </c>
      <c r="G6498">
        <v>24</v>
      </c>
      <c r="H6498">
        <v>193</v>
      </c>
      <c r="I6498">
        <v>259</v>
      </c>
      <c r="J6498">
        <v>1</v>
      </c>
      <c r="K6498">
        <v>602</v>
      </c>
      <c r="L6498">
        <v>692</v>
      </c>
      <c r="M6498">
        <v>1</v>
      </c>
      <c r="N6498">
        <v>1.1061699999999999E-12</v>
      </c>
      <c r="O6498">
        <v>174</v>
      </c>
    </row>
    <row r="6499" spans="1:15" x14ac:dyDescent="0.25">
      <c r="A6499" t="s">
        <v>6512</v>
      </c>
      <c r="B6499">
        <v>283</v>
      </c>
      <c r="C6499" s="1" t="str">
        <f>HYPERLINK("http://www.rosaceae.org/gb/gbrowse/malus_x_domestica/?name=MDP0000129000","MDP0000129000")</f>
        <v>MDP0000129000</v>
      </c>
      <c r="D6499">
        <v>80.430000000000007</v>
      </c>
      <c r="E6499">
        <v>276</v>
      </c>
      <c r="F6499">
        <v>54</v>
      </c>
      <c r="G6499">
        <v>7</v>
      </c>
      <c r="H6499">
        <v>12</v>
      </c>
      <c r="I6499">
        <v>283</v>
      </c>
      <c r="J6499">
        <v>1</v>
      </c>
      <c r="K6499">
        <v>1</v>
      </c>
      <c r="L6499">
        <v>273</v>
      </c>
      <c r="M6499">
        <v>1</v>
      </c>
      <c r="N6499">
        <v>9.0051600000000003E-128</v>
      </c>
      <c r="O6499">
        <v>1166</v>
      </c>
    </row>
    <row r="6500" spans="1:15" x14ac:dyDescent="0.25">
      <c r="A6500" t="s">
        <v>6513</v>
      </c>
      <c r="B6500">
        <v>493</v>
      </c>
      <c r="C6500" s="1" t="str">
        <f>HYPERLINK("http://www.rosaceae.org/gb/gbrowse/malus_x_domestica/?name=MDP0000843625","MDP0000843625")</f>
        <v>MDP0000843625</v>
      </c>
      <c r="D6500">
        <v>76.41</v>
      </c>
      <c r="E6500">
        <v>496</v>
      </c>
      <c r="F6500">
        <v>117</v>
      </c>
      <c r="G6500">
        <v>8</v>
      </c>
      <c r="H6500">
        <v>1</v>
      </c>
      <c r="I6500">
        <v>493</v>
      </c>
      <c r="J6500">
        <v>1</v>
      </c>
      <c r="K6500">
        <v>1</v>
      </c>
      <c r="L6500">
        <v>491</v>
      </c>
      <c r="M6500">
        <v>1</v>
      </c>
      <c r="N6500">
        <v>0</v>
      </c>
      <c r="O6500">
        <v>2066</v>
      </c>
    </row>
    <row r="6501" spans="1:15" x14ac:dyDescent="0.25">
      <c r="A6501" t="s">
        <v>6514</v>
      </c>
      <c r="B6501">
        <v>658</v>
      </c>
      <c r="C6501" s="1" t="str">
        <f>HYPERLINK("http://www.rosaceae.org/gb/gbrowse/malus_x_domestica/?name=MDP0000175756","MDP0000175756")</f>
        <v>MDP0000175756</v>
      </c>
      <c r="D6501">
        <v>70.23</v>
      </c>
      <c r="E6501">
        <v>635</v>
      </c>
      <c r="F6501">
        <v>189</v>
      </c>
      <c r="G6501">
        <v>4</v>
      </c>
      <c r="H6501">
        <v>27</v>
      </c>
      <c r="I6501">
        <v>657</v>
      </c>
      <c r="J6501">
        <v>1</v>
      </c>
      <c r="K6501">
        <v>45</v>
      </c>
      <c r="L6501">
        <v>679</v>
      </c>
      <c r="M6501">
        <v>1</v>
      </c>
      <c r="N6501">
        <v>0</v>
      </c>
      <c r="O6501">
        <v>2345</v>
      </c>
    </row>
    <row r="6502" spans="1:15" x14ac:dyDescent="0.25">
      <c r="A6502" t="s">
        <v>6515</v>
      </c>
      <c r="B6502">
        <v>811</v>
      </c>
      <c r="C6502" s="1" t="str">
        <f>HYPERLINK("http://www.rosaceae.org/gb/gbrowse/malus_x_domestica/?name=MDP0000127332","MDP0000127332")</f>
        <v>MDP0000127332</v>
      </c>
      <c r="D6502">
        <v>73.709999999999994</v>
      </c>
      <c r="E6502">
        <v>350</v>
      </c>
      <c r="F6502">
        <v>92</v>
      </c>
      <c r="G6502">
        <v>0</v>
      </c>
      <c r="H6502">
        <v>181</v>
      </c>
      <c r="I6502">
        <v>530</v>
      </c>
      <c r="J6502">
        <v>1</v>
      </c>
      <c r="K6502">
        <v>277</v>
      </c>
      <c r="L6502">
        <v>626</v>
      </c>
      <c r="M6502">
        <v>1</v>
      </c>
      <c r="N6502">
        <v>2.4821299999999999E-153</v>
      </c>
      <c r="O6502">
        <v>1391</v>
      </c>
    </row>
    <row r="6503" spans="1:15" x14ac:dyDescent="0.25">
      <c r="A6503" t="s">
        <v>6516</v>
      </c>
      <c r="B6503">
        <v>344</v>
      </c>
      <c r="C6503" s="1" t="str">
        <f>HYPERLINK("http://www.rosaceae.org/gb/gbrowse/malus_x_domestica/?name=MDP0000543092","MDP0000543092")</f>
        <v>MDP0000543092</v>
      </c>
      <c r="D6503">
        <v>40.450000000000003</v>
      </c>
      <c r="E6503">
        <v>309</v>
      </c>
      <c r="F6503">
        <v>184</v>
      </c>
      <c r="G6503">
        <v>51</v>
      </c>
      <c r="H6503">
        <v>62</v>
      </c>
      <c r="I6503">
        <v>343</v>
      </c>
      <c r="J6503">
        <v>1</v>
      </c>
      <c r="K6503">
        <v>152</v>
      </c>
      <c r="L6503">
        <v>436</v>
      </c>
      <c r="M6503">
        <v>1</v>
      </c>
      <c r="N6503">
        <v>9.4441600000000005E-48</v>
      </c>
      <c r="O6503">
        <v>476</v>
      </c>
    </row>
    <row r="6504" spans="1:15" x14ac:dyDescent="0.25">
      <c r="A6504" t="s">
        <v>6517</v>
      </c>
      <c r="B6504">
        <v>275</v>
      </c>
      <c r="C6504" s="1" t="str">
        <f>HYPERLINK("http://www.rosaceae.org/gb/gbrowse/malus_x_domestica/?name=MDP0000295276","MDP0000295276")</f>
        <v>MDP0000295276</v>
      </c>
      <c r="D6504">
        <v>74.8</v>
      </c>
      <c r="E6504">
        <v>262</v>
      </c>
      <c r="F6504">
        <v>66</v>
      </c>
      <c r="G6504">
        <v>3</v>
      </c>
      <c r="H6504">
        <v>16</v>
      </c>
      <c r="I6504">
        <v>275</v>
      </c>
      <c r="J6504">
        <v>1</v>
      </c>
      <c r="K6504">
        <v>127</v>
      </c>
      <c r="L6504">
        <v>387</v>
      </c>
      <c r="M6504">
        <v>1</v>
      </c>
      <c r="N6504">
        <v>5.1847200000000001E-92</v>
      </c>
      <c r="O6504">
        <v>857</v>
      </c>
    </row>
    <row r="6505" spans="1:15" x14ac:dyDescent="0.25">
      <c r="A6505" t="s">
        <v>6518</v>
      </c>
      <c r="B6505">
        <v>409</v>
      </c>
      <c r="C6505" s="1" t="str">
        <f>HYPERLINK("http://www.rosaceae.org/gb/gbrowse/malus_x_domestica/?name=MDP0000500222","MDP0000500222")</f>
        <v>MDP0000500222</v>
      </c>
      <c r="D6505">
        <v>33.33</v>
      </c>
      <c r="E6505">
        <v>369</v>
      </c>
      <c r="F6505">
        <v>246</v>
      </c>
      <c r="G6505">
        <v>30</v>
      </c>
      <c r="H6505">
        <v>52</v>
      </c>
      <c r="I6505">
        <v>407</v>
      </c>
      <c r="J6505">
        <v>1</v>
      </c>
      <c r="K6505">
        <v>75</v>
      </c>
      <c r="L6505">
        <v>426</v>
      </c>
      <c r="M6505">
        <v>1</v>
      </c>
      <c r="N6505">
        <v>1.35364E-44</v>
      </c>
      <c r="O6505">
        <v>450</v>
      </c>
    </row>
    <row r="6506" spans="1:15" x14ac:dyDescent="0.25">
      <c r="A6506" t="s">
        <v>6519</v>
      </c>
      <c r="B6506">
        <v>308</v>
      </c>
      <c r="C6506" s="1" t="str">
        <f>HYPERLINK("http://www.rosaceae.org/gb/gbrowse/malus_x_domestica/?name=MDP0000581014","MDP0000581014")</f>
        <v>MDP0000581014</v>
      </c>
      <c r="D6506">
        <v>76.680000000000007</v>
      </c>
      <c r="E6506">
        <v>193</v>
      </c>
      <c r="F6506">
        <v>45</v>
      </c>
      <c r="G6506">
        <v>4</v>
      </c>
      <c r="H6506">
        <v>116</v>
      </c>
      <c r="I6506">
        <v>308</v>
      </c>
      <c r="J6506">
        <v>1</v>
      </c>
      <c r="K6506">
        <v>16</v>
      </c>
      <c r="L6506">
        <v>204</v>
      </c>
      <c r="M6506">
        <v>1</v>
      </c>
      <c r="N6506">
        <v>1.16743E-80</v>
      </c>
      <c r="O6506">
        <v>760</v>
      </c>
    </row>
    <row r="6507" spans="1:15" x14ac:dyDescent="0.25">
      <c r="A6507" t="s">
        <v>6520</v>
      </c>
      <c r="B6507">
        <v>183</v>
      </c>
      <c r="C6507" s="1" t="str">
        <f>HYPERLINK("http://www.rosaceae.org/gb/gbrowse/malus_x_domestica/?name=MDP0000314632","MDP0000314632")</f>
        <v>MDP0000314632</v>
      </c>
      <c r="D6507">
        <v>60.1</v>
      </c>
      <c r="E6507">
        <v>188</v>
      </c>
      <c r="F6507">
        <v>75</v>
      </c>
      <c r="G6507">
        <v>5</v>
      </c>
      <c r="H6507">
        <v>1</v>
      </c>
      <c r="I6507">
        <v>183</v>
      </c>
      <c r="J6507">
        <v>1</v>
      </c>
      <c r="K6507">
        <v>1</v>
      </c>
      <c r="L6507">
        <v>188</v>
      </c>
      <c r="M6507">
        <v>1</v>
      </c>
      <c r="N6507">
        <v>3.40605E-57</v>
      </c>
      <c r="O6507">
        <v>554</v>
      </c>
    </row>
    <row r="6508" spans="1:15" x14ac:dyDescent="0.25">
      <c r="A6508" t="s">
        <v>6521</v>
      </c>
      <c r="B6508">
        <v>287</v>
      </c>
      <c r="C6508" s="1" t="str">
        <f>HYPERLINK("http://www.rosaceae.org/gb/gbrowse/malus_x_domestica/?name=MDP0000229034","MDP0000229034")</f>
        <v>MDP0000229034</v>
      </c>
      <c r="D6508">
        <v>62.68</v>
      </c>
      <c r="E6508">
        <v>67</v>
      </c>
      <c r="F6508">
        <v>25</v>
      </c>
      <c r="G6508">
        <v>0</v>
      </c>
      <c r="H6508">
        <v>121</v>
      </c>
      <c r="I6508">
        <v>187</v>
      </c>
      <c r="J6508">
        <v>1</v>
      </c>
      <c r="K6508">
        <v>198</v>
      </c>
      <c r="L6508">
        <v>264</v>
      </c>
      <c r="M6508">
        <v>1</v>
      </c>
      <c r="N6508">
        <v>1.55419E-18</v>
      </c>
      <c r="O6508">
        <v>224</v>
      </c>
    </row>
    <row r="6509" spans="1:15" x14ac:dyDescent="0.25">
      <c r="A6509" t="s">
        <v>6522</v>
      </c>
      <c r="B6509">
        <v>896</v>
      </c>
      <c r="C6509" s="1" t="str">
        <f>HYPERLINK("http://www.rosaceae.org/gb/gbrowse/malus_x_domestica/?name=MDP0000231572","MDP0000231572")</f>
        <v>MDP0000231572</v>
      </c>
      <c r="D6509">
        <v>81.150000000000006</v>
      </c>
      <c r="E6509">
        <v>897</v>
      </c>
      <c r="F6509">
        <v>169</v>
      </c>
      <c r="G6509">
        <v>17</v>
      </c>
      <c r="H6509">
        <v>1</v>
      </c>
      <c r="I6509">
        <v>896</v>
      </c>
      <c r="J6509">
        <v>1</v>
      </c>
      <c r="K6509">
        <v>1</v>
      </c>
      <c r="L6509">
        <v>881</v>
      </c>
      <c r="M6509">
        <v>1</v>
      </c>
      <c r="N6509">
        <v>0</v>
      </c>
      <c r="O6509">
        <v>3941</v>
      </c>
    </row>
    <row r="6510" spans="1:15" x14ac:dyDescent="0.25">
      <c r="A6510" t="s">
        <v>6523</v>
      </c>
      <c r="B6510">
        <v>543</v>
      </c>
      <c r="C6510" s="1" t="str">
        <f>HYPERLINK("http://www.rosaceae.org/gb/gbrowse/malus_x_domestica/?name=MDP0000293408","MDP0000293408")</f>
        <v>MDP0000293408</v>
      </c>
      <c r="D6510">
        <v>63.93</v>
      </c>
      <c r="E6510">
        <v>402</v>
      </c>
      <c r="F6510">
        <v>145</v>
      </c>
      <c r="G6510">
        <v>0</v>
      </c>
      <c r="H6510">
        <v>111</v>
      </c>
      <c r="I6510">
        <v>512</v>
      </c>
      <c r="J6510">
        <v>1</v>
      </c>
      <c r="K6510">
        <v>565</v>
      </c>
      <c r="L6510">
        <v>966</v>
      </c>
      <c r="M6510">
        <v>1</v>
      </c>
      <c r="N6510">
        <v>2.3830999999999998E-149</v>
      </c>
      <c r="O6510">
        <v>1355</v>
      </c>
    </row>
    <row r="6511" spans="1:15" x14ac:dyDescent="0.25">
      <c r="A6511" t="s">
        <v>6524</v>
      </c>
      <c r="B6511">
        <v>334</v>
      </c>
      <c r="C6511" s="1" t="str">
        <f>HYPERLINK("http://www.rosaceae.org/gb/gbrowse/malus_x_domestica/?name=MDP0000303340","MDP0000303340")</f>
        <v>MDP0000303340</v>
      </c>
      <c r="D6511">
        <v>66</v>
      </c>
      <c r="E6511">
        <v>303</v>
      </c>
      <c r="F6511">
        <v>103</v>
      </c>
      <c r="G6511">
        <v>44</v>
      </c>
      <c r="H6511">
        <v>23</v>
      </c>
      <c r="I6511">
        <v>322</v>
      </c>
      <c r="J6511">
        <v>1</v>
      </c>
      <c r="K6511">
        <v>22</v>
      </c>
      <c r="L6511">
        <v>283</v>
      </c>
      <c r="M6511">
        <v>1</v>
      </c>
      <c r="N6511">
        <v>6.21851E-105</v>
      </c>
      <c r="O6511">
        <v>969</v>
      </c>
    </row>
    <row r="6512" spans="1:15" x14ac:dyDescent="0.25">
      <c r="A6512" t="s">
        <v>6525</v>
      </c>
      <c r="B6512">
        <v>226</v>
      </c>
      <c r="C6512" s="1" t="str">
        <f>HYPERLINK("http://www.rosaceae.org/gb/gbrowse/malus_x_domestica/?name=MDP0000183712","MDP0000183712")</f>
        <v>MDP0000183712</v>
      </c>
      <c r="D6512">
        <v>27.44</v>
      </c>
      <c r="E6512">
        <v>215</v>
      </c>
      <c r="F6512">
        <v>156</v>
      </c>
      <c r="G6512">
        <v>57</v>
      </c>
      <c r="H6512">
        <v>3</v>
      </c>
      <c r="I6512">
        <v>217</v>
      </c>
      <c r="J6512">
        <v>1</v>
      </c>
      <c r="K6512">
        <v>72</v>
      </c>
      <c r="L6512">
        <v>229</v>
      </c>
      <c r="M6512">
        <v>1</v>
      </c>
      <c r="N6512">
        <v>1.73262E-13</v>
      </c>
      <c r="O6512">
        <v>179</v>
      </c>
    </row>
    <row r="6513" spans="1:15" x14ac:dyDescent="0.25">
      <c r="A6513" t="s">
        <v>6526</v>
      </c>
      <c r="B6513">
        <v>545</v>
      </c>
      <c r="C6513" s="1" t="str">
        <f>HYPERLINK("http://www.rosaceae.org/gb/gbrowse/malus_x_domestica/?name=MDP0000283457","MDP0000283457")</f>
        <v>MDP0000283457</v>
      </c>
      <c r="D6513">
        <v>86.57</v>
      </c>
      <c r="E6513">
        <v>514</v>
      </c>
      <c r="F6513">
        <v>69</v>
      </c>
      <c r="G6513">
        <v>1</v>
      </c>
      <c r="H6513">
        <v>1</v>
      </c>
      <c r="I6513">
        <v>514</v>
      </c>
      <c r="J6513">
        <v>1</v>
      </c>
      <c r="K6513">
        <v>1</v>
      </c>
      <c r="L6513">
        <v>513</v>
      </c>
      <c r="M6513">
        <v>1</v>
      </c>
      <c r="N6513">
        <v>0</v>
      </c>
      <c r="O6513">
        <v>2443</v>
      </c>
    </row>
    <row r="6514" spans="1:15" x14ac:dyDescent="0.25">
      <c r="A6514" t="s">
        <v>6527</v>
      </c>
      <c r="B6514">
        <v>412</v>
      </c>
      <c r="C6514" s="1" t="str">
        <f>HYPERLINK("http://www.rosaceae.org/gb/gbrowse/malus_x_domestica/?name=MDP0000269690","MDP0000269690")</f>
        <v>MDP0000269690</v>
      </c>
      <c r="D6514">
        <v>77.38</v>
      </c>
      <c r="E6514">
        <v>367</v>
      </c>
      <c r="F6514">
        <v>83</v>
      </c>
      <c r="G6514">
        <v>41</v>
      </c>
      <c r="H6514">
        <v>10</v>
      </c>
      <c r="I6514">
        <v>335</v>
      </c>
      <c r="J6514">
        <v>1</v>
      </c>
      <c r="K6514">
        <v>8</v>
      </c>
      <c r="L6514">
        <v>374</v>
      </c>
      <c r="M6514">
        <v>1</v>
      </c>
      <c r="N6514">
        <v>4.5027199999999997E-163</v>
      </c>
      <c r="O6514">
        <v>1472</v>
      </c>
    </row>
    <row r="6515" spans="1:15" x14ac:dyDescent="0.25">
      <c r="A6515" t="s">
        <v>6528</v>
      </c>
      <c r="B6515">
        <v>686</v>
      </c>
      <c r="C6515" s="1" t="str">
        <f>HYPERLINK("http://www.rosaceae.org/gb/gbrowse/malus_x_domestica/?name=MDP0000278749","MDP0000278749")</f>
        <v>MDP0000278749</v>
      </c>
      <c r="D6515">
        <v>48.92</v>
      </c>
      <c r="E6515">
        <v>605</v>
      </c>
      <c r="F6515">
        <v>309</v>
      </c>
      <c r="G6515">
        <v>82</v>
      </c>
      <c r="H6515">
        <v>100</v>
      </c>
      <c r="I6515">
        <v>675</v>
      </c>
      <c r="J6515">
        <v>1</v>
      </c>
      <c r="K6515">
        <v>1</v>
      </c>
      <c r="L6515">
        <v>552</v>
      </c>
      <c r="M6515">
        <v>1</v>
      </c>
      <c r="N6515">
        <v>4.32258E-131</v>
      </c>
      <c r="O6515">
        <v>1198</v>
      </c>
    </row>
    <row r="6516" spans="1:15" x14ac:dyDescent="0.25">
      <c r="A6516" t="s">
        <v>6529</v>
      </c>
      <c r="B6516">
        <v>260</v>
      </c>
      <c r="C6516" s="1" t="str">
        <f>HYPERLINK("http://www.rosaceae.org/gb/gbrowse/malus_x_domestica/?name=MDP0000157370","MDP0000157370")</f>
        <v>MDP0000157370</v>
      </c>
      <c r="D6516">
        <v>77.87</v>
      </c>
      <c r="E6516">
        <v>235</v>
      </c>
      <c r="F6516">
        <v>52</v>
      </c>
      <c r="G6516">
        <v>0</v>
      </c>
      <c r="H6516">
        <v>26</v>
      </c>
      <c r="I6516">
        <v>260</v>
      </c>
      <c r="J6516">
        <v>1</v>
      </c>
      <c r="K6516">
        <v>42</v>
      </c>
      <c r="L6516">
        <v>276</v>
      </c>
      <c r="M6516">
        <v>1</v>
      </c>
      <c r="N6516">
        <v>1.1608199999999999E-112</v>
      </c>
      <c r="O6516">
        <v>1035</v>
      </c>
    </row>
    <row r="6517" spans="1:15" x14ac:dyDescent="0.25">
      <c r="A6517" t="s">
        <v>6530</v>
      </c>
      <c r="B6517">
        <v>1053</v>
      </c>
      <c r="C6517" s="1" t="str">
        <f>HYPERLINK("http://www.rosaceae.org/gb/gbrowse/malus_x_domestica/?name=MDP0000470441","MDP0000470441")</f>
        <v>MDP0000470441</v>
      </c>
      <c r="D6517">
        <v>82.59</v>
      </c>
      <c r="E6517">
        <v>1086</v>
      </c>
      <c r="F6517">
        <v>189</v>
      </c>
      <c r="G6517">
        <v>42</v>
      </c>
      <c r="H6517">
        <v>1</v>
      </c>
      <c r="I6517">
        <v>1053</v>
      </c>
      <c r="J6517">
        <v>1</v>
      </c>
      <c r="K6517">
        <v>1</v>
      </c>
      <c r="L6517">
        <v>1077</v>
      </c>
      <c r="M6517">
        <v>1</v>
      </c>
      <c r="N6517">
        <v>0</v>
      </c>
      <c r="O6517">
        <v>4646</v>
      </c>
    </row>
    <row r="6518" spans="1:15" x14ac:dyDescent="0.25">
      <c r="A6518" t="s">
        <v>6531</v>
      </c>
      <c r="B6518">
        <v>1013</v>
      </c>
      <c r="C6518" s="1" t="str">
        <f>HYPERLINK("http://www.rosaceae.org/gb/gbrowse/malus_x_domestica/?name=MDP0000309676","MDP0000309676")</f>
        <v>MDP0000309676</v>
      </c>
      <c r="D6518">
        <v>61.84</v>
      </c>
      <c r="E6518">
        <v>941</v>
      </c>
      <c r="F6518">
        <v>359</v>
      </c>
      <c r="G6518">
        <v>8</v>
      </c>
      <c r="H6518">
        <v>76</v>
      </c>
      <c r="I6518">
        <v>1013</v>
      </c>
      <c r="J6518">
        <v>1</v>
      </c>
      <c r="K6518">
        <v>66</v>
      </c>
      <c r="L6518">
        <v>1001</v>
      </c>
      <c r="M6518">
        <v>1</v>
      </c>
      <c r="N6518">
        <v>0</v>
      </c>
      <c r="O6518">
        <v>2812</v>
      </c>
    </row>
    <row r="6519" spans="1:15" x14ac:dyDescent="0.25">
      <c r="A6519" t="s">
        <v>6532</v>
      </c>
      <c r="B6519">
        <v>386</v>
      </c>
      <c r="C6519" s="1" t="str">
        <f>HYPERLINK("http://www.rosaceae.org/gb/gbrowse/malus_x_domestica/?name=MDP0000190656","MDP0000190656")</f>
        <v>MDP0000190656</v>
      </c>
      <c r="D6519">
        <v>85.42</v>
      </c>
      <c r="E6519">
        <v>199</v>
      </c>
      <c r="F6519">
        <v>29</v>
      </c>
      <c r="G6519">
        <v>0</v>
      </c>
      <c r="H6519">
        <v>183</v>
      </c>
      <c r="I6519">
        <v>381</v>
      </c>
      <c r="J6519">
        <v>1</v>
      </c>
      <c r="K6519">
        <v>489</v>
      </c>
      <c r="L6519">
        <v>687</v>
      </c>
      <c r="M6519">
        <v>1</v>
      </c>
      <c r="N6519">
        <v>3.7695999999999999E-92</v>
      </c>
      <c r="O6519">
        <v>860</v>
      </c>
    </row>
    <row r="6520" spans="1:15" x14ac:dyDescent="0.25">
      <c r="A6520" t="s">
        <v>6533</v>
      </c>
      <c r="B6520">
        <v>1013</v>
      </c>
      <c r="C6520" s="1" t="str">
        <f>HYPERLINK("http://www.rosaceae.org/gb/gbrowse/malus_x_domestica/?name=MDP0000289663","MDP0000289663")</f>
        <v>MDP0000289663</v>
      </c>
      <c r="D6520">
        <v>77.14</v>
      </c>
      <c r="E6520">
        <v>967</v>
      </c>
      <c r="F6520">
        <v>221</v>
      </c>
      <c r="G6520">
        <v>4</v>
      </c>
      <c r="H6520">
        <v>44</v>
      </c>
      <c r="I6520">
        <v>1010</v>
      </c>
      <c r="J6520">
        <v>1</v>
      </c>
      <c r="K6520">
        <v>77</v>
      </c>
      <c r="L6520">
        <v>1039</v>
      </c>
      <c r="M6520">
        <v>1</v>
      </c>
      <c r="N6520">
        <v>0</v>
      </c>
      <c r="O6520">
        <v>3967</v>
      </c>
    </row>
    <row r="6521" spans="1:15" x14ac:dyDescent="0.25">
      <c r="A6521" t="s">
        <v>6534</v>
      </c>
      <c r="B6521">
        <v>686</v>
      </c>
      <c r="C6521" s="1" t="str">
        <f>HYPERLINK("http://www.rosaceae.org/gb/gbrowse/malus_x_domestica/?name=MDP0000704825","MDP0000704825")</f>
        <v>MDP0000704825</v>
      </c>
      <c r="D6521">
        <v>58.08</v>
      </c>
      <c r="E6521">
        <v>668</v>
      </c>
      <c r="F6521">
        <v>280</v>
      </c>
      <c r="G6521">
        <v>43</v>
      </c>
      <c r="H6521">
        <v>20</v>
      </c>
      <c r="I6521">
        <v>684</v>
      </c>
      <c r="J6521">
        <v>1</v>
      </c>
      <c r="K6521">
        <v>88</v>
      </c>
      <c r="L6521">
        <v>715</v>
      </c>
      <c r="M6521">
        <v>1</v>
      </c>
      <c r="N6521">
        <v>0</v>
      </c>
      <c r="O6521">
        <v>1839</v>
      </c>
    </row>
    <row r="6522" spans="1:15" x14ac:dyDescent="0.25">
      <c r="A6522" t="s">
        <v>6535</v>
      </c>
      <c r="B6522">
        <v>358</v>
      </c>
      <c r="C6522" s="1" t="str">
        <f>HYPERLINK("http://www.rosaceae.org/gb/gbrowse/malus_x_domestica/?name=MDP0000218404","MDP0000218404")</f>
        <v>MDP0000218404</v>
      </c>
      <c r="D6522">
        <v>84.08</v>
      </c>
      <c r="E6522">
        <v>333</v>
      </c>
      <c r="F6522">
        <v>53</v>
      </c>
      <c r="G6522">
        <v>0</v>
      </c>
      <c r="H6522">
        <v>26</v>
      </c>
      <c r="I6522">
        <v>358</v>
      </c>
      <c r="J6522">
        <v>1</v>
      </c>
      <c r="K6522">
        <v>26</v>
      </c>
      <c r="L6522">
        <v>358</v>
      </c>
      <c r="M6522">
        <v>1</v>
      </c>
      <c r="N6522">
        <v>7.0289499999999999E-171</v>
      </c>
      <c r="O6522">
        <v>1539</v>
      </c>
    </row>
    <row r="6523" spans="1:15" x14ac:dyDescent="0.25">
      <c r="A6523" t="s">
        <v>6536</v>
      </c>
      <c r="B6523">
        <v>235</v>
      </c>
      <c r="C6523" s="1" t="str">
        <f>HYPERLINK("http://www.rosaceae.org/gb/gbrowse/malus_x_domestica/?name=MDP0000195573","MDP0000195573")</f>
        <v>MDP0000195573</v>
      </c>
      <c r="D6523">
        <v>30.59</v>
      </c>
      <c r="E6523">
        <v>134</v>
      </c>
      <c r="F6523">
        <v>93</v>
      </c>
      <c r="G6523">
        <v>8</v>
      </c>
      <c r="H6523">
        <v>12</v>
      </c>
      <c r="I6523">
        <v>145</v>
      </c>
      <c r="J6523">
        <v>1</v>
      </c>
      <c r="K6523">
        <v>54</v>
      </c>
      <c r="L6523">
        <v>179</v>
      </c>
      <c r="M6523">
        <v>1</v>
      </c>
      <c r="N6523">
        <v>2.67983E-13</v>
      </c>
      <c r="O6523">
        <v>177</v>
      </c>
    </row>
    <row r="6524" spans="1:15" x14ac:dyDescent="0.25">
      <c r="A6524" t="s">
        <v>6537</v>
      </c>
      <c r="B6524">
        <v>767</v>
      </c>
      <c r="C6524" s="1" t="str">
        <f>HYPERLINK("http://www.rosaceae.org/gb/gbrowse/malus_x_domestica/?name=MDP0000309667","MDP0000309667")</f>
        <v>MDP0000309667</v>
      </c>
      <c r="D6524">
        <v>46.91</v>
      </c>
      <c r="E6524">
        <v>599</v>
      </c>
      <c r="F6524">
        <v>318</v>
      </c>
      <c r="G6524">
        <v>64</v>
      </c>
      <c r="H6524">
        <v>84</v>
      </c>
      <c r="I6524">
        <v>636</v>
      </c>
      <c r="J6524">
        <v>1</v>
      </c>
      <c r="K6524">
        <v>44</v>
      </c>
      <c r="L6524">
        <v>624</v>
      </c>
      <c r="M6524">
        <v>1</v>
      </c>
      <c r="N6524">
        <v>1.17372E-113</v>
      </c>
      <c r="O6524">
        <v>1049</v>
      </c>
    </row>
    <row r="6525" spans="1:15" x14ac:dyDescent="0.25">
      <c r="A6525" t="s">
        <v>6538</v>
      </c>
      <c r="B6525">
        <v>1382</v>
      </c>
      <c r="C6525" s="1" t="str">
        <f>HYPERLINK("http://www.rosaceae.org/gb/gbrowse/malus_x_domestica/?name=MDP0000895626","MDP0000895626")</f>
        <v>MDP0000895626</v>
      </c>
      <c r="D6525">
        <v>69.09</v>
      </c>
      <c r="E6525">
        <v>398</v>
      </c>
      <c r="F6525">
        <v>123</v>
      </c>
      <c r="G6525">
        <v>57</v>
      </c>
      <c r="H6525">
        <v>1</v>
      </c>
      <c r="I6525">
        <v>341</v>
      </c>
      <c r="J6525">
        <v>1</v>
      </c>
      <c r="K6525">
        <v>1</v>
      </c>
      <c r="L6525">
        <v>398</v>
      </c>
      <c r="M6525">
        <v>1</v>
      </c>
      <c r="N6525">
        <v>2.5957999999999999E-152</v>
      </c>
      <c r="O6525">
        <v>1384</v>
      </c>
    </row>
    <row r="6526" spans="1:15" x14ac:dyDescent="0.25">
      <c r="A6526" t="s">
        <v>6539</v>
      </c>
      <c r="B6526">
        <v>348</v>
      </c>
      <c r="C6526" s="1" t="str">
        <f>HYPERLINK("http://www.rosaceae.org/gb/gbrowse/malus_x_domestica/?name=MDP0000143031","MDP0000143031")</f>
        <v>MDP0000143031</v>
      </c>
      <c r="D6526">
        <v>38.53</v>
      </c>
      <c r="E6526">
        <v>205</v>
      </c>
      <c r="F6526">
        <v>126</v>
      </c>
      <c r="G6526">
        <v>30</v>
      </c>
      <c r="H6526">
        <v>26</v>
      </c>
      <c r="I6526">
        <v>230</v>
      </c>
      <c r="J6526">
        <v>1</v>
      </c>
      <c r="K6526">
        <v>29</v>
      </c>
      <c r="L6526">
        <v>203</v>
      </c>
      <c r="M6526">
        <v>1</v>
      </c>
      <c r="N6526">
        <v>2.53848E-32</v>
      </c>
      <c r="O6526">
        <v>343</v>
      </c>
    </row>
    <row r="6527" spans="1:15" x14ac:dyDescent="0.25">
      <c r="A6527" t="s">
        <v>6540</v>
      </c>
      <c r="B6527">
        <v>361</v>
      </c>
      <c r="C6527" s="1" t="str">
        <f>HYPERLINK("http://www.rosaceae.org/gb/gbrowse/malus_x_domestica/?name=MDP0000128950","MDP0000128950")</f>
        <v>MDP0000128950</v>
      </c>
      <c r="D6527">
        <v>37.590000000000003</v>
      </c>
      <c r="E6527">
        <v>266</v>
      </c>
      <c r="F6527">
        <v>166</v>
      </c>
      <c r="G6527">
        <v>56</v>
      </c>
      <c r="H6527">
        <v>90</v>
      </c>
      <c r="I6527">
        <v>351</v>
      </c>
      <c r="J6527">
        <v>1</v>
      </c>
      <c r="K6527">
        <v>173</v>
      </c>
      <c r="L6527">
        <v>386</v>
      </c>
      <c r="M6527">
        <v>1</v>
      </c>
      <c r="N6527">
        <v>3.2962300000000002E-32</v>
      </c>
      <c r="O6527">
        <v>343</v>
      </c>
    </row>
    <row r="6528" spans="1:15" x14ac:dyDescent="0.25">
      <c r="A6528" t="s">
        <v>6541</v>
      </c>
      <c r="B6528">
        <v>3894</v>
      </c>
      <c r="C6528" s="1" t="str">
        <f>HYPERLINK("http://www.rosaceae.org/gb/gbrowse/malus_x_domestica/?name=MDP0000259414","MDP0000259414")</f>
        <v>MDP0000259414</v>
      </c>
      <c r="D6528">
        <v>84.52</v>
      </c>
      <c r="E6528">
        <v>3974</v>
      </c>
      <c r="F6528">
        <v>615</v>
      </c>
      <c r="G6528">
        <v>101</v>
      </c>
      <c r="H6528">
        <v>1</v>
      </c>
      <c r="I6528">
        <v>3894</v>
      </c>
      <c r="J6528">
        <v>1</v>
      </c>
      <c r="K6528">
        <v>1</v>
      </c>
      <c r="L6528">
        <v>3953</v>
      </c>
      <c r="M6528">
        <v>1</v>
      </c>
      <c r="N6528">
        <v>0</v>
      </c>
      <c r="O6528">
        <v>17619</v>
      </c>
    </row>
    <row r="6529" spans="1:15" x14ac:dyDescent="0.25">
      <c r="A6529" t="s">
        <v>6542</v>
      </c>
      <c r="B6529">
        <v>874</v>
      </c>
      <c r="C6529" s="1" t="str">
        <f>HYPERLINK("http://www.rosaceae.org/gb/gbrowse/malus_x_domestica/?name=MDP0000160719","MDP0000160719")</f>
        <v>MDP0000160719</v>
      </c>
      <c r="D6529">
        <v>46.71</v>
      </c>
      <c r="E6529">
        <v>137</v>
      </c>
      <c r="F6529">
        <v>73</v>
      </c>
      <c r="G6529">
        <v>11</v>
      </c>
      <c r="H6529">
        <v>565</v>
      </c>
      <c r="I6529">
        <v>690</v>
      </c>
      <c r="J6529">
        <v>1</v>
      </c>
      <c r="K6529">
        <v>310</v>
      </c>
      <c r="L6529">
        <v>446</v>
      </c>
      <c r="M6529">
        <v>1</v>
      </c>
      <c r="N6529">
        <v>1.6744700000000001E-24</v>
      </c>
      <c r="O6529">
        <v>280</v>
      </c>
    </row>
    <row r="6530" spans="1:15" x14ac:dyDescent="0.25">
      <c r="A6530" t="s">
        <v>6543</v>
      </c>
      <c r="B6530">
        <v>202</v>
      </c>
      <c r="C6530" s="1" t="str">
        <f>HYPERLINK("http://www.rosaceae.org/gb/gbrowse/malus_x_domestica/?name=MDP0000933146","MDP0000933146")</f>
        <v>MDP0000933146</v>
      </c>
      <c r="D6530">
        <v>69.28</v>
      </c>
      <c r="E6530">
        <v>140</v>
      </c>
      <c r="F6530">
        <v>43</v>
      </c>
      <c r="G6530">
        <v>8</v>
      </c>
      <c r="H6530">
        <v>34</v>
      </c>
      <c r="I6530">
        <v>173</v>
      </c>
      <c r="J6530">
        <v>1</v>
      </c>
      <c r="K6530">
        <v>22</v>
      </c>
      <c r="L6530">
        <v>153</v>
      </c>
      <c r="M6530">
        <v>1</v>
      </c>
      <c r="N6530">
        <v>6.5559200000000001E-53</v>
      </c>
      <c r="O6530">
        <v>518</v>
      </c>
    </row>
    <row r="6531" spans="1:15" x14ac:dyDescent="0.25">
      <c r="A6531" t="s">
        <v>6544</v>
      </c>
      <c r="B6531">
        <v>1122</v>
      </c>
      <c r="C6531" s="1" t="str">
        <f>HYPERLINK("http://www.rosaceae.org/gb/gbrowse/malus_x_domestica/?name=MDP0000170095","MDP0000170095")</f>
        <v>MDP0000170095</v>
      </c>
      <c r="D6531">
        <v>55.09</v>
      </c>
      <c r="E6531">
        <v>1109</v>
      </c>
      <c r="F6531">
        <v>498</v>
      </c>
      <c r="G6531">
        <v>10</v>
      </c>
      <c r="H6531">
        <v>20</v>
      </c>
      <c r="I6531">
        <v>1120</v>
      </c>
      <c r="J6531">
        <v>1</v>
      </c>
      <c r="K6531">
        <v>17</v>
      </c>
      <c r="L6531">
        <v>1123</v>
      </c>
      <c r="M6531">
        <v>1</v>
      </c>
      <c r="N6531">
        <v>0</v>
      </c>
      <c r="O6531">
        <v>3251</v>
      </c>
    </row>
    <row r="6532" spans="1:15" x14ac:dyDescent="0.25">
      <c r="A6532" t="s">
        <v>6545</v>
      </c>
      <c r="B6532">
        <v>147</v>
      </c>
      <c r="C6532" s="1" t="str">
        <f>HYPERLINK("http://www.rosaceae.org/gb/gbrowse/malus_x_domestica/?name=MDP0000376600","MDP0000376600")</f>
        <v>MDP0000376600</v>
      </c>
      <c r="D6532">
        <v>34.549999999999997</v>
      </c>
      <c r="E6532">
        <v>136</v>
      </c>
      <c r="F6532">
        <v>89</v>
      </c>
      <c r="G6532">
        <v>14</v>
      </c>
      <c r="H6532">
        <v>1</v>
      </c>
      <c r="I6532">
        <v>135</v>
      </c>
      <c r="J6532">
        <v>1</v>
      </c>
      <c r="K6532">
        <v>1029</v>
      </c>
      <c r="L6532">
        <v>1151</v>
      </c>
      <c r="M6532">
        <v>1</v>
      </c>
      <c r="N6532">
        <v>6.20299E-12</v>
      </c>
      <c r="O6532">
        <v>162</v>
      </c>
    </row>
    <row r="6533" spans="1:15" x14ac:dyDescent="0.25">
      <c r="A6533" t="s">
        <v>6546</v>
      </c>
      <c r="B6533">
        <v>266</v>
      </c>
      <c r="C6533" s="1" t="str">
        <f>HYPERLINK("http://www.rosaceae.org/gb/gbrowse/malus_x_domestica/?name=MDP0000321866","MDP0000321866")</f>
        <v>MDP0000321866</v>
      </c>
      <c r="D6533">
        <v>31.77</v>
      </c>
      <c r="E6533">
        <v>192</v>
      </c>
      <c r="F6533">
        <v>131</v>
      </c>
      <c r="G6533">
        <v>41</v>
      </c>
      <c r="H6533">
        <v>6</v>
      </c>
      <c r="I6533">
        <v>171</v>
      </c>
      <c r="J6533">
        <v>1</v>
      </c>
      <c r="K6533">
        <v>197</v>
      </c>
      <c r="L6533">
        <v>373</v>
      </c>
      <c r="M6533">
        <v>1</v>
      </c>
      <c r="N6533">
        <v>6.1015900000000003E-8</v>
      </c>
      <c r="O6533">
        <v>132</v>
      </c>
    </row>
    <row r="6534" spans="1:15" x14ac:dyDescent="0.25">
      <c r="A6534" t="s">
        <v>6547</v>
      </c>
      <c r="B6534">
        <v>176</v>
      </c>
      <c r="C6534" s="1" t="str">
        <f>HYPERLINK("http://www.rosaceae.org/gb/gbrowse/malus_x_domestica/?name=MDP0000293500","MDP0000293500")</f>
        <v>MDP0000293500</v>
      </c>
      <c r="D6534">
        <v>41.96</v>
      </c>
      <c r="E6534">
        <v>112</v>
      </c>
      <c r="F6534">
        <v>65</v>
      </c>
      <c r="G6534">
        <v>7</v>
      </c>
      <c r="H6534">
        <v>19</v>
      </c>
      <c r="I6534">
        <v>123</v>
      </c>
      <c r="J6534">
        <v>1</v>
      </c>
      <c r="K6534">
        <v>22</v>
      </c>
      <c r="L6534">
        <v>133</v>
      </c>
      <c r="M6534">
        <v>1</v>
      </c>
      <c r="N6534">
        <v>2.26447E-21</v>
      </c>
      <c r="O6534">
        <v>245</v>
      </c>
    </row>
    <row r="6535" spans="1:15" x14ac:dyDescent="0.25">
      <c r="A6535" t="s">
        <v>6548</v>
      </c>
      <c r="B6535">
        <v>537</v>
      </c>
      <c r="C6535" s="1" t="str">
        <f>HYPERLINK("http://www.rosaceae.org/gb/gbrowse/malus_x_domestica/?name=MDP0000270939","MDP0000270939")</f>
        <v>MDP0000270939</v>
      </c>
      <c r="D6535">
        <v>54.77</v>
      </c>
      <c r="E6535">
        <v>544</v>
      </c>
      <c r="F6535">
        <v>246</v>
      </c>
      <c r="G6535">
        <v>22</v>
      </c>
      <c r="H6535">
        <v>2</v>
      </c>
      <c r="I6535">
        <v>523</v>
      </c>
      <c r="J6535">
        <v>1</v>
      </c>
      <c r="K6535">
        <v>4</v>
      </c>
      <c r="L6535">
        <v>547</v>
      </c>
      <c r="M6535">
        <v>1</v>
      </c>
      <c r="N6535">
        <v>1.5574699999999999E-158</v>
      </c>
      <c r="O6535">
        <v>1434</v>
      </c>
    </row>
    <row r="6536" spans="1:15" x14ac:dyDescent="0.25">
      <c r="A6536" t="s">
        <v>6549</v>
      </c>
      <c r="B6536">
        <v>457</v>
      </c>
      <c r="C6536" s="1" t="str">
        <f>HYPERLINK("http://www.rosaceae.org/gb/gbrowse/malus_x_domestica/?name=MDP0000299357","MDP0000299357")</f>
        <v>MDP0000299357</v>
      </c>
      <c r="D6536">
        <v>68.72</v>
      </c>
      <c r="E6536">
        <v>422</v>
      </c>
      <c r="F6536">
        <v>132</v>
      </c>
      <c r="G6536">
        <v>8</v>
      </c>
      <c r="H6536">
        <v>27</v>
      </c>
      <c r="I6536">
        <v>442</v>
      </c>
      <c r="J6536">
        <v>1</v>
      </c>
      <c r="K6536">
        <v>470</v>
      </c>
      <c r="L6536">
        <v>889</v>
      </c>
      <c r="M6536">
        <v>1</v>
      </c>
      <c r="N6536">
        <v>2.4628200000000001E-162</v>
      </c>
      <c r="O6536">
        <v>1466</v>
      </c>
    </row>
    <row r="6537" spans="1:15" x14ac:dyDescent="0.25">
      <c r="A6537" t="s">
        <v>6550</v>
      </c>
      <c r="B6537">
        <v>716</v>
      </c>
      <c r="C6537" s="1" t="str">
        <f>HYPERLINK("http://www.rosaceae.org/gb/gbrowse/malus_x_domestica/?name=MDP0000143470","MDP0000143470")</f>
        <v>MDP0000143470</v>
      </c>
      <c r="D6537">
        <v>42.52</v>
      </c>
      <c r="E6537">
        <v>870</v>
      </c>
      <c r="F6537">
        <v>500</v>
      </c>
      <c r="G6537">
        <v>286</v>
      </c>
      <c r="H6537">
        <v>8</v>
      </c>
      <c r="I6537">
        <v>713</v>
      </c>
      <c r="J6537">
        <v>1</v>
      </c>
      <c r="K6537">
        <v>50</v>
      </c>
      <c r="L6537">
        <v>797</v>
      </c>
      <c r="M6537">
        <v>1</v>
      </c>
      <c r="N6537">
        <v>3.56197E-149</v>
      </c>
      <c r="O6537">
        <v>1355</v>
      </c>
    </row>
    <row r="6538" spans="1:15" x14ac:dyDescent="0.25">
      <c r="A6538" t="s">
        <v>6551</v>
      </c>
      <c r="B6538">
        <v>185</v>
      </c>
      <c r="C6538" s="1" t="str">
        <f>HYPERLINK("http://www.rosaceae.org/gb/gbrowse/malus_x_domestica/?name=MDP0000903858","MDP0000903858")</f>
        <v>MDP0000903858</v>
      </c>
      <c r="D6538">
        <v>49.25</v>
      </c>
      <c r="E6538">
        <v>201</v>
      </c>
      <c r="F6538">
        <v>102</v>
      </c>
      <c r="G6538">
        <v>36</v>
      </c>
      <c r="H6538">
        <v>9</v>
      </c>
      <c r="I6538">
        <v>173</v>
      </c>
      <c r="J6538">
        <v>1</v>
      </c>
      <c r="K6538">
        <v>7</v>
      </c>
      <c r="L6538">
        <v>207</v>
      </c>
      <c r="M6538">
        <v>1</v>
      </c>
      <c r="N6538">
        <v>1.9003900000000002E-48</v>
      </c>
      <c r="O6538">
        <v>479</v>
      </c>
    </row>
    <row r="6539" spans="1:15" x14ac:dyDescent="0.25">
      <c r="A6539" t="s">
        <v>6552</v>
      </c>
      <c r="B6539">
        <v>440</v>
      </c>
      <c r="C6539" s="1" t="str">
        <f>HYPERLINK("http://www.rosaceae.org/gb/gbrowse/malus_x_domestica/?name=MDP0000255224","MDP0000255224")</f>
        <v>MDP0000255224</v>
      </c>
      <c r="D6539">
        <v>82.07</v>
      </c>
      <c r="E6539">
        <v>279</v>
      </c>
      <c r="F6539">
        <v>50</v>
      </c>
      <c r="G6539">
        <v>12</v>
      </c>
      <c r="H6539">
        <v>40</v>
      </c>
      <c r="I6539">
        <v>306</v>
      </c>
      <c r="J6539">
        <v>1</v>
      </c>
      <c r="K6539">
        <v>107</v>
      </c>
      <c r="L6539">
        <v>385</v>
      </c>
      <c r="M6539">
        <v>1</v>
      </c>
      <c r="N6539">
        <v>9.8567399999999993E-128</v>
      </c>
      <c r="O6539">
        <v>1167</v>
      </c>
    </row>
    <row r="6540" spans="1:15" x14ac:dyDescent="0.25">
      <c r="A6540" t="s">
        <v>6553</v>
      </c>
      <c r="B6540">
        <v>124</v>
      </c>
      <c r="C6540" s="1" t="str">
        <f>HYPERLINK("http://www.rosaceae.org/gb/gbrowse/malus_x_domestica/?name=MDP0000305080","MDP0000305080")</f>
        <v>MDP0000305080</v>
      </c>
      <c r="D6540">
        <v>71.83</v>
      </c>
      <c r="E6540">
        <v>71</v>
      </c>
      <c r="F6540">
        <v>20</v>
      </c>
      <c r="G6540">
        <v>0</v>
      </c>
      <c r="H6540">
        <v>54</v>
      </c>
      <c r="I6540">
        <v>124</v>
      </c>
      <c r="J6540">
        <v>1</v>
      </c>
      <c r="K6540">
        <v>199</v>
      </c>
      <c r="L6540">
        <v>269</v>
      </c>
      <c r="M6540">
        <v>1</v>
      </c>
      <c r="N6540">
        <v>5.12062E-26</v>
      </c>
      <c r="O6540">
        <v>282</v>
      </c>
    </row>
    <row r="6541" spans="1:15" x14ac:dyDescent="0.25">
      <c r="A6541" t="s">
        <v>6554</v>
      </c>
      <c r="B6541">
        <v>332</v>
      </c>
      <c r="C6541" s="1" t="str">
        <f>HYPERLINK("http://www.rosaceae.org/gb/gbrowse/malus_x_domestica/?name=MDP0000171732","MDP0000171732")</f>
        <v>MDP0000171732</v>
      </c>
      <c r="D6541">
        <v>82.14</v>
      </c>
      <c r="E6541">
        <v>308</v>
      </c>
      <c r="F6541">
        <v>55</v>
      </c>
      <c r="G6541">
        <v>2</v>
      </c>
      <c r="H6541">
        <v>26</v>
      </c>
      <c r="I6541">
        <v>332</v>
      </c>
      <c r="J6541">
        <v>1</v>
      </c>
      <c r="K6541">
        <v>39</v>
      </c>
      <c r="L6541">
        <v>345</v>
      </c>
      <c r="M6541">
        <v>1</v>
      </c>
      <c r="N6541">
        <v>2.6196300000000002E-150</v>
      </c>
      <c r="O6541">
        <v>1361</v>
      </c>
    </row>
    <row r="6542" spans="1:15" x14ac:dyDescent="0.25">
      <c r="A6542" t="s">
        <v>6555</v>
      </c>
      <c r="B6542">
        <v>803</v>
      </c>
      <c r="C6542" s="1" t="str">
        <f>HYPERLINK("http://www.rosaceae.org/gb/gbrowse/malus_x_domestica/?name=MDP0000300606","MDP0000300606")</f>
        <v>MDP0000300606</v>
      </c>
      <c r="D6542">
        <v>60.62</v>
      </c>
      <c r="E6542">
        <v>414</v>
      </c>
      <c r="F6542">
        <v>163</v>
      </c>
      <c r="G6542">
        <v>46</v>
      </c>
      <c r="H6542">
        <v>409</v>
      </c>
      <c r="I6542">
        <v>777</v>
      </c>
      <c r="J6542">
        <v>1</v>
      </c>
      <c r="K6542">
        <v>38</v>
      </c>
      <c r="L6542">
        <v>450</v>
      </c>
      <c r="M6542">
        <v>1</v>
      </c>
      <c r="N6542">
        <v>6.1386999999999998E-127</v>
      </c>
      <c r="O6542">
        <v>1163</v>
      </c>
    </row>
    <row r="6543" spans="1:15" x14ac:dyDescent="0.25">
      <c r="A6543" t="s">
        <v>6556</v>
      </c>
      <c r="B6543">
        <v>266</v>
      </c>
      <c r="C6543" s="1" t="str">
        <f>HYPERLINK("http://www.rosaceae.org/gb/gbrowse/malus_x_domestica/?name=MDP0000308191","MDP0000308191")</f>
        <v>MDP0000308191</v>
      </c>
      <c r="D6543">
        <v>78.099999999999994</v>
      </c>
      <c r="E6543">
        <v>274</v>
      </c>
      <c r="F6543">
        <v>60</v>
      </c>
      <c r="G6543">
        <v>12</v>
      </c>
      <c r="H6543">
        <v>1</v>
      </c>
      <c r="I6543">
        <v>262</v>
      </c>
      <c r="J6543">
        <v>1</v>
      </c>
      <c r="K6543">
        <v>55</v>
      </c>
      <c r="L6543">
        <v>328</v>
      </c>
      <c r="M6543">
        <v>1</v>
      </c>
      <c r="N6543">
        <v>4.9959400000000003E-122</v>
      </c>
      <c r="O6543">
        <v>1116</v>
      </c>
    </row>
    <row r="6544" spans="1:15" x14ac:dyDescent="0.25">
      <c r="A6544" t="s">
        <v>6557</v>
      </c>
      <c r="B6544">
        <v>322</v>
      </c>
      <c r="C6544" s="1" t="str">
        <f>HYPERLINK("http://www.rosaceae.org/gb/gbrowse/malus_x_domestica/?name=MDP0000213911","MDP0000213911")</f>
        <v>MDP0000213911</v>
      </c>
      <c r="D6544">
        <v>92.55</v>
      </c>
      <c r="E6544">
        <v>309</v>
      </c>
      <c r="F6544">
        <v>23</v>
      </c>
      <c r="G6544">
        <v>0</v>
      </c>
      <c r="H6544">
        <v>14</v>
      </c>
      <c r="I6544">
        <v>322</v>
      </c>
      <c r="J6544">
        <v>1</v>
      </c>
      <c r="K6544">
        <v>1</v>
      </c>
      <c r="L6544">
        <v>309</v>
      </c>
      <c r="M6544">
        <v>1</v>
      </c>
      <c r="N6544">
        <v>2.05661E-168</v>
      </c>
      <c r="O6544">
        <v>1517</v>
      </c>
    </row>
    <row r="6545" spans="1:15" x14ac:dyDescent="0.25">
      <c r="A6545" t="s">
        <v>6558</v>
      </c>
      <c r="B6545">
        <v>272</v>
      </c>
      <c r="C6545" s="1" t="str">
        <f>HYPERLINK("http://www.rosaceae.org/gb/gbrowse/malus_x_domestica/?name=MDP0000687363","MDP0000687363")</f>
        <v>MDP0000687363</v>
      </c>
      <c r="D6545">
        <v>40.78</v>
      </c>
      <c r="E6545">
        <v>76</v>
      </c>
      <c r="F6545">
        <v>45</v>
      </c>
      <c r="G6545">
        <v>3</v>
      </c>
      <c r="H6545">
        <v>3</v>
      </c>
      <c r="I6545">
        <v>75</v>
      </c>
      <c r="J6545">
        <v>1</v>
      </c>
      <c r="K6545">
        <v>2</v>
      </c>
      <c r="L6545">
        <v>77</v>
      </c>
      <c r="M6545">
        <v>1</v>
      </c>
      <c r="N6545">
        <v>2.3834600000000001E-7</v>
      </c>
      <c r="O6545">
        <v>127</v>
      </c>
    </row>
    <row r="6546" spans="1:15" x14ac:dyDescent="0.25">
      <c r="A6546" t="s">
        <v>6559</v>
      </c>
      <c r="B6546">
        <v>584</v>
      </c>
      <c r="C6546" s="1" t="str">
        <f>HYPERLINK("http://www.rosaceae.org/gb/gbrowse/malus_x_domestica/?name=MDP0000234786","MDP0000234786")</f>
        <v>MDP0000234786</v>
      </c>
      <c r="D6546">
        <v>69.06</v>
      </c>
      <c r="E6546">
        <v>556</v>
      </c>
      <c r="F6546">
        <v>172</v>
      </c>
      <c r="G6546">
        <v>54</v>
      </c>
      <c r="H6546">
        <v>1</v>
      </c>
      <c r="I6546">
        <v>526</v>
      </c>
      <c r="J6546">
        <v>1</v>
      </c>
      <c r="K6546">
        <v>5</v>
      </c>
      <c r="L6546">
        <v>536</v>
      </c>
      <c r="M6546">
        <v>1</v>
      </c>
      <c r="N6546">
        <v>0</v>
      </c>
      <c r="O6546">
        <v>1971</v>
      </c>
    </row>
    <row r="6547" spans="1:15" x14ac:dyDescent="0.25">
      <c r="A6547" t="s">
        <v>6560</v>
      </c>
      <c r="B6547">
        <v>1193</v>
      </c>
      <c r="C6547" s="1" t="str">
        <f>HYPERLINK("http://www.rosaceae.org/gb/gbrowse/malus_x_domestica/?name=MDP0000316680","MDP0000316680")</f>
        <v>MDP0000316680</v>
      </c>
      <c r="D6547">
        <v>74.12</v>
      </c>
      <c r="E6547">
        <v>1063</v>
      </c>
      <c r="F6547">
        <v>275</v>
      </c>
      <c r="G6547">
        <v>7</v>
      </c>
      <c r="H6547">
        <v>1</v>
      </c>
      <c r="I6547">
        <v>1061</v>
      </c>
      <c r="J6547">
        <v>1</v>
      </c>
      <c r="K6547">
        <v>1</v>
      </c>
      <c r="L6547">
        <v>1058</v>
      </c>
      <c r="M6547">
        <v>1</v>
      </c>
      <c r="N6547">
        <v>0</v>
      </c>
      <c r="O6547">
        <v>4017</v>
      </c>
    </row>
    <row r="6548" spans="1:15" x14ac:dyDescent="0.25">
      <c r="A6548" t="s">
        <v>6561</v>
      </c>
      <c r="B6548">
        <v>384</v>
      </c>
      <c r="C6548" s="1" t="str">
        <f>HYPERLINK("http://www.rosaceae.org/gb/gbrowse/malus_x_domestica/?name=MDP0000758727","MDP0000758727")</f>
        <v>MDP0000758727</v>
      </c>
      <c r="D6548">
        <v>79.790000000000006</v>
      </c>
      <c r="E6548">
        <v>386</v>
      </c>
      <c r="F6548">
        <v>78</v>
      </c>
      <c r="G6548">
        <v>4</v>
      </c>
      <c r="H6548">
        <v>1</v>
      </c>
      <c r="I6548">
        <v>383</v>
      </c>
      <c r="J6548">
        <v>1</v>
      </c>
      <c r="K6548">
        <v>1</v>
      </c>
      <c r="L6548">
        <v>385</v>
      </c>
      <c r="M6548">
        <v>1</v>
      </c>
      <c r="N6548">
        <v>0</v>
      </c>
      <c r="O6548">
        <v>1628</v>
      </c>
    </row>
    <row r="6549" spans="1:15" x14ac:dyDescent="0.25">
      <c r="A6549" t="s">
        <v>6562</v>
      </c>
      <c r="B6549">
        <v>775</v>
      </c>
      <c r="C6549" s="1" t="str">
        <f>HYPERLINK("http://www.rosaceae.org/gb/gbrowse/malus_x_domestica/?name=MDP0000026235","MDP0000026235")</f>
        <v>MDP0000026235</v>
      </c>
      <c r="D6549">
        <v>84.21</v>
      </c>
      <c r="E6549">
        <v>678</v>
      </c>
      <c r="F6549">
        <v>107</v>
      </c>
      <c r="G6549">
        <v>1</v>
      </c>
      <c r="H6549">
        <v>1</v>
      </c>
      <c r="I6549">
        <v>678</v>
      </c>
      <c r="J6549">
        <v>1</v>
      </c>
      <c r="K6549">
        <v>1</v>
      </c>
      <c r="L6549">
        <v>677</v>
      </c>
      <c r="M6549">
        <v>1</v>
      </c>
      <c r="N6549">
        <v>0</v>
      </c>
      <c r="O6549">
        <v>3062</v>
      </c>
    </row>
    <row r="6550" spans="1:15" x14ac:dyDescent="0.25">
      <c r="A6550" t="s">
        <v>6563</v>
      </c>
      <c r="B6550">
        <v>247</v>
      </c>
      <c r="C6550" s="1" t="str">
        <f>HYPERLINK("http://www.rosaceae.org/gb/gbrowse/malus_x_domestica/?name=MDP0000158578","MDP0000158578")</f>
        <v>MDP0000158578</v>
      </c>
      <c r="D6550">
        <v>32.01</v>
      </c>
      <c r="E6550">
        <v>228</v>
      </c>
      <c r="F6550">
        <v>155</v>
      </c>
      <c r="G6550">
        <v>44</v>
      </c>
      <c r="H6550">
        <v>2</v>
      </c>
      <c r="I6550">
        <v>223</v>
      </c>
      <c r="J6550">
        <v>1</v>
      </c>
      <c r="K6550">
        <v>234</v>
      </c>
      <c r="L6550">
        <v>423</v>
      </c>
      <c r="M6550">
        <v>1</v>
      </c>
      <c r="N6550">
        <v>7.0429600000000003E-17</v>
      </c>
      <c r="O6550">
        <v>208</v>
      </c>
    </row>
    <row r="6551" spans="1:15" x14ac:dyDescent="0.25">
      <c r="A6551" t="s">
        <v>6564</v>
      </c>
      <c r="B6551">
        <v>422</v>
      </c>
      <c r="C6551" s="1" t="str">
        <f>HYPERLINK("http://www.rosaceae.org/gb/gbrowse/malus_x_domestica/?name=MDP0000200696","MDP0000200696")</f>
        <v>MDP0000200696</v>
      </c>
      <c r="D6551">
        <v>68.069999999999993</v>
      </c>
      <c r="E6551">
        <v>379</v>
      </c>
      <c r="F6551">
        <v>121</v>
      </c>
      <c r="G6551">
        <v>7</v>
      </c>
      <c r="H6551">
        <v>23</v>
      </c>
      <c r="I6551">
        <v>396</v>
      </c>
      <c r="J6551">
        <v>1</v>
      </c>
      <c r="K6551">
        <v>967</v>
      </c>
      <c r="L6551">
        <v>1343</v>
      </c>
      <c r="M6551">
        <v>1</v>
      </c>
      <c r="N6551">
        <v>1.14896E-150</v>
      </c>
      <c r="O6551">
        <v>1365</v>
      </c>
    </row>
    <row r="6552" spans="1:15" x14ac:dyDescent="0.25">
      <c r="A6552" t="s">
        <v>6565</v>
      </c>
      <c r="B6552">
        <v>512</v>
      </c>
      <c r="C6552" s="1" t="str">
        <f>HYPERLINK("http://www.rosaceae.org/gb/gbrowse/malus_x_domestica/?name=MDP0000912152","MDP0000912152")</f>
        <v>MDP0000912152</v>
      </c>
      <c r="D6552">
        <v>62.46</v>
      </c>
      <c r="E6552">
        <v>389</v>
      </c>
      <c r="F6552">
        <v>146</v>
      </c>
      <c r="G6552">
        <v>45</v>
      </c>
      <c r="H6552">
        <v>1</v>
      </c>
      <c r="I6552">
        <v>346</v>
      </c>
      <c r="J6552">
        <v>1</v>
      </c>
      <c r="K6552">
        <v>1</v>
      </c>
      <c r="L6552">
        <v>387</v>
      </c>
      <c r="M6552">
        <v>1</v>
      </c>
      <c r="N6552">
        <v>9.5378800000000009E-118</v>
      </c>
      <c r="O6552">
        <v>1082</v>
      </c>
    </row>
    <row r="6553" spans="1:15" x14ac:dyDescent="0.25">
      <c r="A6553" t="s">
        <v>6566</v>
      </c>
      <c r="B6553">
        <v>444</v>
      </c>
      <c r="C6553" s="1" t="str">
        <f>HYPERLINK("http://www.rosaceae.org/gb/gbrowse/malus_x_domestica/?name=MDP0000192078","MDP0000192078")</f>
        <v>MDP0000192078</v>
      </c>
      <c r="D6553">
        <v>88.76</v>
      </c>
      <c r="E6553">
        <v>436</v>
      </c>
      <c r="F6553">
        <v>49</v>
      </c>
      <c r="G6553">
        <v>2</v>
      </c>
      <c r="H6553">
        <v>11</v>
      </c>
      <c r="I6553">
        <v>444</v>
      </c>
      <c r="J6553">
        <v>1</v>
      </c>
      <c r="K6553">
        <v>264</v>
      </c>
      <c r="L6553">
        <v>699</v>
      </c>
      <c r="M6553">
        <v>1</v>
      </c>
      <c r="N6553">
        <v>0</v>
      </c>
      <c r="O6553">
        <v>2030</v>
      </c>
    </row>
    <row r="6554" spans="1:15" x14ac:dyDescent="0.25">
      <c r="A6554" t="s">
        <v>6567</v>
      </c>
      <c r="B6554">
        <v>696</v>
      </c>
      <c r="C6554" s="1" t="str">
        <f>HYPERLINK("http://www.rosaceae.org/gb/gbrowse/malus_x_domestica/?name=MDP0000174571","MDP0000174571")</f>
        <v>MDP0000174571</v>
      </c>
      <c r="D6554">
        <v>74.27</v>
      </c>
      <c r="E6554">
        <v>653</v>
      </c>
      <c r="F6554">
        <v>168</v>
      </c>
      <c r="G6554">
        <v>11</v>
      </c>
      <c r="H6554">
        <v>25</v>
      </c>
      <c r="I6554">
        <v>675</v>
      </c>
      <c r="J6554">
        <v>1</v>
      </c>
      <c r="K6554">
        <v>27</v>
      </c>
      <c r="L6554">
        <v>670</v>
      </c>
      <c r="M6554">
        <v>1</v>
      </c>
      <c r="N6554">
        <v>0</v>
      </c>
      <c r="O6554">
        <v>2551</v>
      </c>
    </row>
    <row r="6555" spans="1:15" x14ac:dyDescent="0.25">
      <c r="A6555" t="s">
        <v>6568</v>
      </c>
      <c r="B6555">
        <v>348</v>
      </c>
      <c r="C6555" s="1" t="str">
        <f>HYPERLINK("http://www.rosaceae.org/gb/gbrowse/malus_x_domestica/?name=MDP0000294798","MDP0000294798")</f>
        <v>MDP0000294798</v>
      </c>
      <c r="D6555">
        <v>75.349999999999994</v>
      </c>
      <c r="E6555">
        <v>357</v>
      </c>
      <c r="F6555">
        <v>88</v>
      </c>
      <c r="G6555">
        <v>11</v>
      </c>
      <c r="H6555">
        <v>3</v>
      </c>
      <c r="I6555">
        <v>348</v>
      </c>
      <c r="J6555">
        <v>1</v>
      </c>
      <c r="K6555">
        <v>2</v>
      </c>
      <c r="L6555">
        <v>358</v>
      </c>
      <c r="M6555">
        <v>1</v>
      </c>
      <c r="N6555">
        <v>1.22411E-159</v>
      </c>
      <c r="O6555">
        <v>1441</v>
      </c>
    </row>
    <row r="6556" spans="1:15" x14ac:dyDescent="0.25">
      <c r="A6556" t="s">
        <v>6569</v>
      </c>
      <c r="B6556">
        <v>350</v>
      </c>
      <c r="C6556" s="1" t="str">
        <f>HYPERLINK("http://www.rosaceae.org/gb/gbrowse/malus_x_domestica/?name=MDP0000205323","MDP0000205323")</f>
        <v>MDP0000205323</v>
      </c>
      <c r="D6556">
        <v>68.44</v>
      </c>
      <c r="E6556">
        <v>393</v>
      </c>
      <c r="F6556">
        <v>124</v>
      </c>
      <c r="G6556">
        <v>58</v>
      </c>
      <c r="H6556">
        <v>4</v>
      </c>
      <c r="I6556">
        <v>338</v>
      </c>
      <c r="J6556">
        <v>1</v>
      </c>
      <c r="K6556">
        <v>113</v>
      </c>
      <c r="L6556">
        <v>505</v>
      </c>
      <c r="M6556">
        <v>1</v>
      </c>
      <c r="N6556">
        <v>4.1921100000000001E-143</v>
      </c>
      <c r="O6556">
        <v>1299</v>
      </c>
    </row>
    <row r="6557" spans="1:15" x14ac:dyDescent="0.25">
      <c r="A6557" t="s">
        <v>6570</v>
      </c>
      <c r="B6557">
        <v>177</v>
      </c>
      <c r="C6557" s="1" t="str">
        <f>HYPERLINK("http://www.rosaceae.org/gb/gbrowse/malus_x_domestica/?name=MDP0000159973","MDP0000159973")</f>
        <v>MDP0000159973</v>
      </c>
      <c r="D6557">
        <v>57.05</v>
      </c>
      <c r="E6557">
        <v>170</v>
      </c>
      <c r="F6557">
        <v>73</v>
      </c>
      <c r="G6557">
        <v>4</v>
      </c>
      <c r="H6557">
        <v>1</v>
      </c>
      <c r="I6557">
        <v>170</v>
      </c>
      <c r="J6557">
        <v>1</v>
      </c>
      <c r="K6557">
        <v>1</v>
      </c>
      <c r="L6557">
        <v>166</v>
      </c>
      <c r="M6557">
        <v>1</v>
      </c>
      <c r="N6557">
        <v>1.4255400000000001E-49</v>
      </c>
      <c r="O6557">
        <v>488</v>
      </c>
    </row>
    <row r="6558" spans="1:15" x14ac:dyDescent="0.25">
      <c r="A6558" t="s">
        <v>6571</v>
      </c>
      <c r="B6558">
        <v>735</v>
      </c>
      <c r="C6558" s="1" t="str">
        <f>HYPERLINK("http://www.rosaceae.org/gb/gbrowse/malus_x_domestica/?name=MDP0000288897","MDP0000288897")</f>
        <v>MDP0000288897</v>
      </c>
      <c r="D6558">
        <v>66.290000000000006</v>
      </c>
      <c r="E6558">
        <v>626</v>
      </c>
      <c r="F6558">
        <v>211</v>
      </c>
      <c r="G6558">
        <v>98</v>
      </c>
      <c r="H6558">
        <v>113</v>
      </c>
      <c r="I6558">
        <v>691</v>
      </c>
      <c r="J6558">
        <v>1</v>
      </c>
      <c r="K6558">
        <v>65</v>
      </c>
      <c r="L6558">
        <v>639</v>
      </c>
      <c r="M6558">
        <v>1</v>
      </c>
      <c r="N6558">
        <v>0</v>
      </c>
      <c r="O6558">
        <v>1957</v>
      </c>
    </row>
    <row r="6559" spans="1:15" x14ac:dyDescent="0.25">
      <c r="A6559" t="s">
        <v>6572</v>
      </c>
      <c r="B6559">
        <v>439</v>
      </c>
      <c r="C6559" s="1" t="str">
        <f>HYPERLINK("http://www.rosaceae.org/gb/gbrowse/malus_x_domestica/?name=MDP0000229140","MDP0000229140")</f>
        <v>MDP0000229140</v>
      </c>
      <c r="D6559">
        <v>75.05</v>
      </c>
      <c r="E6559">
        <v>417</v>
      </c>
      <c r="F6559">
        <v>104</v>
      </c>
      <c r="G6559">
        <v>3</v>
      </c>
      <c r="H6559">
        <v>24</v>
      </c>
      <c r="I6559">
        <v>438</v>
      </c>
      <c r="J6559">
        <v>1</v>
      </c>
      <c r="K6559">
        <v>23</v>
      </c>
      <c r="L6559">
        <v>438</v>
      </c>
      <c r="M6559">
        <v>1</v>
      </c>
      <c r="N6559">
        <v>3.3515400000000001E-178</v>
      </c>
      <c r="O6559">
        <v>1603</v>
      </c>
    </row>
    <row r="6560" spans="1:15" x14ac:dyDescent="0.25">
      <c r="A6560" t="s">
        <v>6573</v>
      </c>
      <c r="B6560">
        <v>400</v>
      </c>
      <c r="C6560" s="1" t="str">
        <f>HYPERLINK("http://www.rosaceae.org/gb/gbrowse/malus_x_domestica/?name=MDP0000265418","MDP0000265418")</f>
        <v>MDP0000265418</v>
      </c>
      <c r="D6560">
        <v>53.65</v>
      </c>
      <c r="E6560">
        <v>397</v>
      </c>
      <c r="F6560">
        <v>184</v>
      </c>
      <c r="G6560">
        <v>95</v>
      </c>
      <c r="H6560">
        <v>23</v>
      </c>
      <c r="I6560">
        <v>400</v>
      </c>
      <c r="J6560">
        <v>1</v>
      </c>
      <c r="K6560">
        <v>138</v>
      </c>
      <c r="L6560">
        <v>458</v>
      </c>
      <c r="M6560">
        <v>1</v>
      </c>
      <c r="N6560">
        <v>1.34499E-106</v>
      </c>
      <c r="O6560">
        <v>985</v>
      </c>
    </row>
    <row r="6561" spans="1:15" x14ac:dyDescent="0.25">
      <c r="A6561" t="s">
        <v>6574</v>
      </c>
      <c r="B6561">
        <v>207</v>
      </c>
      <c r="C6561" s="1" t="str">
        <f>HYPERLINK("http://www.rosaceae.org/gb/gbrowse/malus_x_domestica/?name=MDP0000344978","MDP0000344978")</f>
        <v>MDP0000344978</v>
      </c>
      <c r="D6561">
        <v>72.459999999999994</v>
      </c>
      <c r="E6561">
        <v>207</v>
      </c>
      <c r="F6561">
        <v>57</v>
      </c>
      <c r="G6561">
        <v>12</v>
      </c>
      <c r="H6561">
        <v>1</v>
      </c>
      <c r="I6561">
        <v>207</v>
      </c>
      <c r="J6561">
        <v>1</v>
      </c>
      <c r="K6561">
        <v>19</v>
      </c>
      <c r="L6561">
        <v>213</v>
      </c>
      <c r="M6561">
        <v>1</v>
      </c>
      <c r="N6561">
        <v>3.0755300000000002E-76</v>
      </c>
      <c r="O6561">
        <v>719</v>
      </c>
    </row>
    <row r="6562" spans="1:15" x14ac:dyDescent="0.25">
      <c r="A6562" t="s">
        <v>6575</v>
      </c>
      <c r="B6562">
        <v>819</v>
      </c>
      <c r="C6562" s="1" t="str">
        <f>HYPERLINK("http://www.rosaceae.org/gb/gbrowse/malus_x_domestica/?name=MDP0000669016","MDP0000669016")</f>
        <v>MDP0000669016</v>
      </c>
      <c r="D6562">
        <v>76.69</v>
      </c>
      <c r="E6562">
        <v>811</v>
      </c>
      <c r="F6562">
        <v>189</v>
      </c>
      <c r="G6562">
        <v>4</v>
      </c>
      <c r="H6562">
        <v>12</v>
      </c>
      <c r="I6562">
        <v>818</v>
      </c>
      <c r="J6562">
        <v>1</v>
      </c>
      <c r="K6562">
        <v>15</v>
      </c>
      <c r="L6562">
        <v>825</v>
      </c>
      <c r="M6562">
        <v>1</v>
      </c>
      <c r="N6562">
        <v>0</v>
      </c>
      <c r="O6562">
        <v>3231</v>
      </c>
    </row>
    <row r="6563" spans="1:15" x14ac:dyDescent="0.25">
      <c r="A6563" t="s">
        <v>6576</v>
      </c>
      <c r="B6563">
        <v>219</v>
      </c>
      <c r="C6563" s="1" t="str">
        <f>HYPERLINK("http://www.rosaceae.org/gb/gbrowse/malus_x_domestica/?name=MDP0000495793","MDP0000495793")</f>
        <v>MDP0000495793</v>
      </c>
      <c r="D6563">
        <v>50</v>
      </c>
      <c r="E6563">
        <v>258</v>
      </c>
      <c r="F6563">
        <v>129</v>
      </c>
      <c r="G6563">
        <v>44</v>
      </c>
      <c r="H6563">
        <v>3</v>
      </c>
      <c r="I6563">
        <v>219</v>
      </c>
      <c r="J6563">
        <v>1</v>
      </c>
      <c r="K6563">
        <v>550</v>
      </c>
      <c r="L6563">
        <v>804</v>
      </c>
      <c r="M6563">
        <v>1</v>
      </c>
      <c r="N6563">
        <v>3.1087499999999998E-57</v>
      </c>
      <c r="O6563">
        <v>556</v>
      </c>
    </row>
    <row r="6564" spans="1:15" x14ac:dyDescent="0.25">
      <c r="A6564" t="s">
        <v>6577</v>
      </c>
      <c r="B6564">
        <v>164</v>
      </c>
      <c r="C6564" s="1" t="str">
        <f>HYPERLINK("http://www.rosaceae.org/gb/gbrowse/malus_x_domestica/?name=MDP0000226092","MDP0000226092")</f>
        <v>MDP0000226092</v>
      </c>
      <c r="D6564">
        <v>79.06</v>
      </c>
      <c r="E6564">
        <v>43</v>
      </c>
      <c r="F6564">
        <v>9</v>
      </c>
      <c r="G6564">
        <v>0</v>
      </c>
      <c r="H6564">
        <v>114</v>
      </c>
      <c r="I6564">
        <v>156</v>
      </c>
      <c r="J6564">
        <v>1</v>
      </c>
      <c r="K6564">
        <v>38</v>
      </c>
      <c r="L6564">
        <v>80</v>
      </c>
      <c r="M6564">
        <v>1</v>
      </c>
      <c r="N6564">
        <v>1.6044800000000001E-14</v>
      </c>
      <c r="O6564">
        <v>185</v>
      </c>
    </row>
    <row r="6565" spans="1:15" x14ac:dyDescent="0.25">
      <c r="A6565" t="s">
        <v>6578</v>
      </c>
      <c r="B6565">
        <v>324</v>
      </c>
      <c r="C6565" s="1" t="str">
        <f>HYPERLINK("http://www.rosaceae.org/gb/gbrowse/malus_x_domestica/?name=MDP0000155009","MDP0000155009")</f>
        <v>MDP0000155009</v>
      </c>
      <c r="D6565">
        <v>76.209999999999994</v>
      </c>
      <c r="E6565">
        <v>328</v>
      </c>
      <c r="F6565">
        <v>78</v>
      </c>
      <c r="G6565">
        <v>15</v>
      </c>
      <c r="H6565">
        <v>7</v>
      </c>
      <c r="I6565">
        <v>324</v>
      </c>
      <c r="J6565">
        <v>1</v>
      </c>
      <c r="K6565">
        <v>77</v>
      </c>
      <c r="L6565">
        <v>399</v>
      </c>
      <c r="M6565">
        <v>1</v>
      </c>
      <c r="N6565">
        <v>1.3434200000000001E-143</v>
      </c>
      <c r="O6565">
        <v>1303</v>
      </c>
    </row>
    <row r="6566" spans="1:15" x14ac:dyDescent="0.25">
      <c r="A6566" t="s">
        <v>6579</v>
      </c>
      <c r="B6566">
        <v>573</v>
      </c>
      <c r="C6566" s="1" t="str">
        <f>HYPERLINK("http://www.rosaceae.org/gb/gbrowse/malus_x_domestica/?name=MDP0000225455","MDP0000225455")</f>
        <v>MDP0000225455</v>
      </c>
      <c r="D6566">
        <v>63.7</v>
      </c>
      <c r="E6566">
        <v>562</v>
      </c>
      <c r="F6566">
        <v>204</v>
      </c>
      <c r="G6566">
        <v>15</v>
      </c>
      <c r="H6566">
        <v>16</v>
      </c>
      <c r="I6566">
        <v>566</v>
      </c>
      <c r="J6566">
        <v>1</v>
      </c>
      <c r="K6566">
        <v>41</v>
      </c>
      <c r="L6566">
        <v>598</v>
      </c>
      <c r="M6566">
        <v>1</v>
      </c>
      <c r="N6566">
        <v>0</v>
      </c>
      <c r="O6566">
        <v>1867</v>
      </c>
    </row>
    <row r="6567" spans="1:15" x14ac:dyDescent="0.25">
      <c r="A6567" t="s">
        <v>6580</v>
      </c>
      <c r="B6567">
        <v>584</v>
      </c>
      <c r="C6567" s="1" t="str">
        <f>HYPERLINK("http://www.rosaceae.org/gb/gbrowse/malus_x_domestica/?name=MDP0000276227","MDP0000276227")</f>
        <v>MDP0000276227</v>
      </c>
      <c r="D6567">
        <v>76.45</v>
      </c>
      <c r="E6567">
        <v>412</v>
      </c>
      <c r="F6567">
        <v>97</v>
      </c>
      <c r="G6567">
        <v>31</v>
      </c>
      <c r="H6567">
        <v>2</v>
      </c>
      <c r="I6567">
        <v>382</v>
      </c>
      <c r="J6567">
        <v>1</v>
      </c>
      <c r="K6567">
        <v>125</v>
      </c>
      <c r="L6567">
        <v>536</v>
      </c>
      <c r="M6567">
        <v>1</v>
      </c>
      <c r="N6567">
        <v>0</v>
      </c>
      <c r="O6567">
        <v>1656</v>
      </c>
    </row>
    <row r="6568" spans="1:15" x14ac:dyDescent="0.25">
      <c r="A6568" t="s">
        <v>6581</v>
      </c>
      <c r="B6568">
        <v>494</v>
      </c>
      <c r="C6568" s="1" t="str">
        <f>HYPERLINK("http://www.rosaceae.org/gb/gbrowse/malus_x_domestica/?name=MDP0000295927","MDP0000295927")</f>
        <v>MDP0000295927</v>
      </c>
      <c r="D6568">
        <v>35.18</v>
      </c>
      <c r="E6568">
        <v>270</v>
      </c>
      <c r="F6568">
        <v>175</v>
      </c>
      <c r="G6568">
        <v>23</v>
      </c>
      <c r="H6568">
        <v>149</v>
      </c>
      <c r="I6568">
        <v>415</v>
      </c>
      <c r="J6568">
        <v>1</v>
      </c>
      <c r="K6568">
        <v>192</v>
      </c>
      <c r="L6568">
        <v>441</v>
      </c>
      <c r="M6568">
        <v>1</v>
      </c>
      <c r="N6568">
        <v>3.1012400000000001E-37</v>
      </c>
      <c r="O6568">
        <v>388</v>
      </c>
    </row>
    <row r="6569" spans="1:15" x14ac:dyDescent="0.25">
      <c r="A6569" t="s">
        <v>6582</v>
      </c>
      <c r="B6569">
        <v>290</v>
      </c>
      <c r="C6569" s="1" t="str">
        <f>HYPERLINK("http://www.rosaceae.org/gb/gbrowse/malus_x_domestica/?name=MDP0000589422","MDP0000589422")</f>
        <v>MDP0000589422</v>
      </c>
      <c r="D6569">
        <v>35.1</v>
      </c>
      <c r="E6569">
        <v>339</v>
      </c>
      <c r="F6569">
        <v>220</v>
      </c>
      <c r="G6569">
        <v>101</v>
      </c>
      <c r="H6569">
        <v>1</v>
      </c>
      <c r="I6569">
        <v>290</v>
      </c>
      <c r="J6569">
        <v>1</v>
      </c>
      <c r="K6569">
        <v>1</v>
      </c>
      <c r="L6569">
        <v>287</v>
      </c>
      <c r="M6569">
        <v>1</v>
      </c>
      <c r="N6569">
        <v>7.6084099999999995E-32</v>
      </c>
      <c r="O6569">
        <v>338</v>
      </c>
    </row>
    <row r="6570" spans="1:15" x14ac:dyDescent="0.25">
      <c r="A6570" t="s">
        <v>6583</v>
      </c>
      <c r="B6570">
        <v>767</v>
      </c>
      <c r="C6570" s="1" t="str">
        <f>HYPERLINK("http://www.rosaceae.org/gb/gbrowse/malus_x_domestica/?name=MDP0000203079","MDP0000203079")</f>
        <v>MDP0000203079</v>
      </c>
      <c r="D6570">
        <v>33.25</v>
      </c>
      <c r="E6570">
        <v>406</v>
      </c>
      <c r="F6570">
        <v>271</v>
      </c>
      <c r="G6570">
        <v>45</v>
      </c>
      <c r="H6570">
        <v>98</v>
      </c>
      <c r="I6570">
        <v>472</v>
      </c>
      <c r="J6570">
        <v>1</v>
      </c>
      <c r="K6570">
        <v>5</v>
      </c>
      <c r="L6570">
        <v>396</v>
      </c>
      <c r="M6570">
        <v>1</v>
      </c>
      <c r="N6570">
        <v>5.4263899999999996E-41</v>
      </c>
      <c r="O6570">
        <v>422</v>
      </c>
    </row>
    <row r="6571" spans="1:15" x14ac:dyDescent="0.25">
      <c r="A6571" t="s">
        <v>6584</v>
      </c>
      <c r="B6571">
        <v>588</v>
      </c>
      <c r="C6571" s="1" t="str">
        <f>HYPERLINK("http://www.rosaceae.org/gb/gbrowse/malus_x_domestica/?name=MDP0000131142","MDP0000131142")</f>
        <v>MDP0000131142</v>
      </c>
      <c r="D6571">
        <v>80.92</v>
      </c>
      <c r="E6571">
        <v>561</v>
      </c>
      <c r="F6571">
        <v>107</v>
      </c>
      <c r="G6571">
        <v>12</v>
      </c>
      <c r="H6571">
        <v>27</v>
      </c>
      <c r="I6571">
        <v>584</v>
      </c>
      <c r="J6571">
        <v>1</v>
      </c>
      <c r="K6571">
        <v>31</v>
      </c>
      <c r="L6571">
        <v>582</v>
      </c>
      <c r="M6571">
        <v>1</v>
      </c>
      <c r="N6571">
        <v>0</v>
      </c>
      <c r="O6571">
        <v>2421</v>
      </c>
    </row>
    <row r="6572" spans="1:15" x14ac:dyDescent="0.25">
      <c r="A6572" t="s">
        <v>6585</v>
      </c>
      <c r="B6572">
        <v>293</v>
      </c>
      <c r="C6572" s="1" t="str">
        <f>HYPERLINK("http://www.rosaceae.org/gb/gbrowse/malus_x_domestica/?name=MDP0000189489","MDP0000189489")</f>
        <v>MDP0000189489</v>
      </c>
      <c r="D6572">
        <v>77.62</v>
      </c>
      <c r="E6572">
        <v>295</v>
      </c>
      <c r="F6572">
        <v>66</v>
      </c>
      <c r="G6572">
        <v>24</v>
      </c>
      <c r="H6572">
        <v>19</v>
      </c>
      <c r="I6572">
        <v>290</v>
      </c>
      <c r="J6572">
        <v>1</v>
      </c>
      <c r="K6572">
        <v>30</v>
      </c>
      <c r="L6572">
        <v>323</v>
      </c>
      <c r="M6572">
        <v>1</v>
      </c>
      <c r="N6572">
        <v>2.3384899999999998E-127</v>
      </c>
      <c r="O6572">
        <v>1162</v>
      </c>
    </row>
    <row r="6573" spans="1:15" x14ac:dyDescent="0.25">
      <c r="A6573" t="s">
        <v>6586</v>
      </c>
      <c r="B6573">
        <v>495</v>
      </c>
      <c r="C6573" s="1" t="str">
        <f>HYPERLINK("http://www.rosaceae.org/gb/gbrowse/malus_x_domestica/?name=MDP0000840668","MDP0000840668")</f>
        <v>MDP0000840668</v>
      </c>
      <c r="D6573">
        <v>92.91</v>
      </c>
      <c r="E6573">
        <v>381</v>
      </c>
      <c r="F6573">
        <v>27</v>
      </c>
      <c r="G6573">
        <v>0</v>
      </c>
      <c r="H6573">
        <v>115</v>
      </c>
      <c r="I6573">
        <v>495</v>
      </c>
      <c r="J6573">
        <v>1</v>
      </c>
      <c r="K6573">
        <v>45</v>
      </c>
      <c r="L6573">
        <v>425</v>
      </c>
      <c r="M6573">
        <v>1</v>
      </c>
      <c r="N6573">
        <v>0</v>
      </c>
      <c r="O6573">
        <v>1913</v>
      </c>
    </row>
    <row r="6574" spans="1:15" x14ac:dyDescent="0.25">
      <c r="A6574" t="s">
        <v>6587</v>
      </c>
      <c r="B6574">
        <v>171</v>
      </c>
      <c r="C6574" s="1" t="str">
        <f>HYPERLINK("http://www.rosaceae.org/gb/gbrowse/malus_x_domestica/?name=MDP0000293001","MDP0000293001")</f>
        <v>MDP0000293001</v>
      </c>
      <c r="D6574">
        <v>76.36</v>
      </c>
      <c r="E6574">
        <v>165</v>
      </c>
      <c r="F6574">
        <v>39</v>
      </c>
      <c r="G6574">
        <v>0</v>
      </c>
      <c r="H6574">
        <v>7</v>
      </c>
      <c r="I6574">
        <v>171</v>
      </c>
      <c r="J6574">
        <v>1</v>
      </c>
      <c r="K6574">
        <v>283</v>
      </c>
      <c r="L6574">
        <v>447</v>
      </c>
      <c r="M6574">
        <v>1</v>
      </c>
      <c r="N6574">
        <v>9.4554399999999997E-76</v>
      </c>
      <c r="O6574">
        <v>714</v>
      </c>
    </row>
    <row r="6575" spans="1:15" x14ac:dyDescent="0.25">
      <c r="A6575" t="s">
        <v>6588</v>
      </c>
      <c r="B6575">
        <v>554</v>
      </c>
      <c r="C6575" s="1" t="str">
        <f>HYPERLINK("http://www.rosaceae.org/gb/gbrowse/malus_x_domestica/?name=MDP0000204794","MDP0000204794")</f>
        <v>MDP0000204794</v>
      </c>
      <c r="D6575">
        <v>27.86</v>
      </c>
      <c r="E6575">
        <v>244</v>
      </c>
      <c r="F6575">
        <v>176</v>
      </c>
      <c r="G6575">
        <v>10</v>
      </c>
      <c r="H6575">
        <v>1</v>
      </c>
      <c r="I6575">
        <v>243</v>
      </c>
      <c r="J6575">
        <v>1</v>
      </c>
      <c r="K6575">
        <v>314</v>
      </c>
      <c r="L6575">
        <v>548</v>
      </c>
      <c r="M6575">
        <v>1</v>
      </c>
      <c r="N6575">
        <v>1.5778100000000001E-25</v>
      </c>
      <c r="O6575">
        <v>287</v>
      </c>
    </row>
    <row r="6576" spans="1:15" x14ac:dyDescent="0.25">
      <c r="A6576" t="s">
        <v>6589</v>
      </c>
      <c r="B6576">
        <v>254</v>
      </c>
      <c r="C6576" s="1" t="str">
        <f>HYPERLINK("http://www.rosaceae.org/gb/gbrowse/malus_x_domestica/?name=MDP0000289282","MDP0000289282")</f>
        <v>MDP0000289282</v>
      </c>
      <c r="D6576">
        <v>52.59</v>
      </c>
      <c r="E6576">
        <v>308</v>
      </c>
      <c r="F6576">
        <v>146</v>
      </c>
      <c r="G6576">
        <v>62</v>
      </c>
      <c r="H6576">
        <v>1</v>
      </c>
      <c r="I6576">
        <v>254</v>
      </c>
      <c r="J6576">
        <v>1</v>
      </c>
      <c r="K6576">
        <v>209</v>
      </c>
      <c r="L6576">
        <v>508</v>
      </c>
      <c r="M6576">
        <v>1</v>
      </c>
      <c r="N6576">
        <v>1.92366E-79</v>
      </c>
      <c r="O6576">
        <v>748</v>
      </c>
    </row>
    <row r="6577" spans="1:15" x14ac:dyDescent="0.25">
      <c r="A6577" t="s">
        <v>6590</v>
      </c>
      <c r="B6577">
        <v>432</v>
      </c>
      <c r="C6577" s="1" t="str">
        <f>HYPERLINK("http://www.rosaceae.org/gb/gbrowse/malus_x_domestica/?name=MDP0000282229","MDP0000282229")</f>
        <v>MDP0000282229</v>
      </c>
      <c r="D6577">
        <v>54.49</v>
      </c>
      <c r="E6577">
        <v>334</v>
      </c>
      <c r="F6577">
        <v>152</v>
      </c>
      <c r="G6577">
        <v>26</v>
      </c>
      <c r="H6577">
        <v>6</v>
      </c>
      <c r="I6577">
        <v>319</v>
      </c>
      <c r="J6577">
        <v>1</v>
      </c>
      <c r="K6577">
        <v>7</v>
      </c>
      <c r="L6577">
        <v>334</v>
      </c>
      <c r="M6577">
        <v>1</v>
      </c>
      <c r="N6577">
        <v>2.71025E-89</v>
      </c>
      <c r="O6577">
        <v>836</v>
      </c>
    </row>
    <row r="6578" spans="1:15" x14ac:dyDescent="0.25">
      <c r="A6578" t="s">
        <v>6591</v>
      </c>
      <c r="B6578">
        <v>254</v>
      </c>
      <c r="C6578" s="1" t="str">
        <f>HYPERLINK("http://www.rosaceae.org/gb/gbrowse/malus_x_domestica/?name=MDP0000269044","MDP0000269044")</f>
        <v>MDP0000269044</v>
      </c>
      <c r="D6578">
        <v>42.38</v>
      </c>
      <c r="E6578">
        <v>151</v>
      </c>
      <c r="F6578">
        <v>87</v>
      </c>
      <c r="G6578">
        <v>34</v>
      </c>
      <c r="H6578">
        <v>39</v>
      </c>
      <c r="I6578">
        <v>158</v>
      </c>
      <c r="J6578">
        <v>1</v>
      </c>
      <c r="K6578">
        <v>4</v>
      </c>
      <c r="L6578">
        <v>151</v>
      </c>
      <c r="M6578">
        <v>1</v>
      </c>
      <c r="N6578">
        <v>4.0127499999999997E-18</v>
      </c>
      <c r="O6578">
        <v>219</v>
      </c>
    </row>
    <row r="6579" spans="1:15" x14ac:dyDescent="0.25">
      <c r="A6579" t="s">
        <v>6592</v>
      </c>
      <c r="B6579">
        <v>344</v>
      </c>
      <c r="C6579" s="1" t="str">
        <f>HYPERLINK("http://www.rosaceae.org/gb/gbrowse/malus_x_domestica/?name=MDP0000135671","MDP0000135671")</f>
        <v>MDP0000135671</v>
      </c>
      <c r="D6579">
        <v>68.430000000000007</v>
      </c>
      <c r="E6579">
        <v>339</v>
      </c>
      <c r="F6579">
        <v>107</v>
      </c>
      <c r="G6579">
        <v>8</v>
      </c>
      <c r="H6579">
        <v>8</v>
      </c>
      <c r="I6579">
        <v>344</v>
      </c>
      <c r="J6579">
        <v>1</v>
      </c>
      <c r="K6579">
        <v>6</v>
      </c>
      <c r="L6579">
        <v>338</v>
      </c>
      <c r="M6579">
        <v>1</v>
      </c>
      <c r="N6579">
        <v>2.5398699999999999E-117</v>
      </c>
      <c r="O6579">
        <v>1076</v>
      </c>
    </row>
    <row r="6580" spans="1:15" x14ac:dyDescent="0.25">
      <c r="A6580" t="s">
        <v>6593</v>
      </c>
      <c r="B6580">
        <v>313</v>
      </c>
      <c r="C6580" s="1" t="str">
        <f>HYPERLINK("http://www.rosaceae.org/gb/gbrowse/malus_x_domestica/?name=MDP0000662845","MDP0000662845")</f>
        <v>MDP0000662845</v>
      </c>
      <c r="D6580">
        <v>37.86</v>
      </c>
      <c r="E6580">
        <v>375</v>
      </c>
      <c r="F6580">
        <v>233</v>
      </c>
      <c r="G6580">
        <v>79</v>
      </c>
      <c r="H6580">
        <v>1</v>
      </c>
      <c r="I6580">
        <v>310</v>
      </c>
      <c r="J6580">
        <v>1</v>
      </c>
      <c r="K6580">
        <v>31</v>
      </c>
      <c r="L6580">
        <v>391</v>
      </c>
      <c r="M6580">
        <v>1</v>
      </c>
      <c r="N6580">
        <v>1.1945900000000001E-55</v>
      </c>
      <c r="O6580">
        <v>544</v>
      </c>
    </row>
    <row r="6581" spans="1:15" x14ac:dyDescent="0.25">
      <c r="A6581" t="s">
        <v>6594</v>
      </c>
      <c r="B6581">
        <v>287</v>
      </c>
      <c r="C6581" s="1" t="str">
        <f>HYPERLINK("http://www.rosaceae.org/gb/gbrowse/malus_x_domestica/?name=MDP0000271168","MDP0000271168")</f>
        <v>MDP0000271168</v>
      </c>
      <c r="D6581">
        <v>65.17</v>
      </c>
      <c r="E6581">
        <v>224</v>
      </c>
      <c r="F6581">
        <v>78</v>
      </c>
      <c r="G6581">
        <v>3</v>
      </c>
      <c r="H6581">
        <v>1</v>
      </c>
      <c r="I6581">
        <v>222</v>
      </c>
      <c r="J6581">
        <v>1</v>
      </c>
      <c r="K6581">
        <v>1</v>
      </c>
      <c r="L6581">
        <v>223</v>
      </c>
      <c r="M6581">
        <v>1</v>
      </c>
      <c r="N6581">
        <v>3.1820300000000001E-79</v>
      </c>
      <c r="O6581">
        <v>747</v>
      </c>
    </row>
    <row r="6582" spans="1:15" x14ac:dyDescent="0.25">
      <c r="A6582" t="s">
        <v>6595</v>
      </c>
      <c r="B6582">
        <v>403</v>
      </c>
      <c r="C6582" s="1" t="str">
        <f>HYPERLINK("http://www.rosaceae.org/gb/gbrowse/malus_x_domestica/?name=MDP0000769656","MDP0000769656")</f>
        <v>MDP0000769656</v>
      </c>
      <c r="D6582">
        <v>36.68</v>
      </c>
      <c r="E6582">
        <v>458</v>
      </c>
      <c r="F6582">
        <v>290</v>
      </c>
      <c r="G6582">
        <v>89</v>
      </c>
      <c r="H6582">
        <v>1</v>
      </c>
      <c r="I6582">
        <v>400</v>
      </c>
      <c r="J6582">
        <v>1</v>
      </c>
      <c r="K6582">
        <v>1</v>
      </c>
      <c r="L6582">
        <v>427</v>
      </c>
      <c r="M6582">
        <v>1</v>
      </c>
      <c r="N6582">
        <v>1.4941699999999999E-66</v>
      </c>
      <c r="O6582">
        <v>639</v>
      </c>
    </row>
    <row r="6583" spans="1:15" x14ac:dyDescent="0.25">
      <c r="A6583" t="s">
        <v>6596</v>
      </c>
      <c r="B6583">
        <v>511</v>
      </c>
      <c r="C6583" s="1" t="str">
        <f>HYPERLINK("http://www.rosaceae.org/gb/gbrowse/malus_x_domestica/?name=MDP0000769222","MDP0000769222")</f>
        <v>MDP0000769222</v>
      </c>
      <c r="D6583">
        <v>43.61</v>
      </c>
      <c r="E6583">
        <v>509</v>
      </c>
      <c r="F6583">
        <v>287</v>
      </c>
      <c r="G6583">
        <v>46</v>
      </c>
      <c r="H6583">
        <v>32</v>
      </c>
      <c r="I6583">
        <v>511</v>
      </c>
      <c r="J6583">
        <v>1</v>
      </c>
      <c r="K6583">
        <v>348</v>
      </c>
      <c r="L6583">
        <v>839</v>
      </c>
      <c r="M6583">
        <v>1</v>
      </c>
      <c r="N6583">
        <v>1.1587399999999999E-99</v>
      </c>
      <c r="O6583">
        <v>926</v>
      </c>
    </row>
    <row r="6584" spans="1:15" x14ac:dyDescent="0.25">
      <c r="A6584" t="s">
        <v>6597</v>
      </c>
      <c r="B6584">
        <v>645</v>
      </c>
      <c r="C6584" s="1" t="str">
        <f>HYPERLINK("http://www.rosaceae.org/gb/gbrowse/malus_x_domestica/?name=MDP0000171044","MDP0000171044")</f>
        <v>MDP0000171044</v>
      </c>
      <c r="D6584">
        <v>71.25</v>
      </c>
      <c r="E6584">
        <v>668</v>
      </c>
      <c r="F6584">
        <v>192</v>
      </c>
      <c r="G6584">
        <v>27</v>
      </c>
      <c r="H6584">
        <v>2</v>
      </c>
      <c r="I6584">
        <v>645</v>
      </c>
      <c r="J6584">
        <v>1</v>
      </c>
      <c r="K6584">
        <v>3</v>
      </c>
      <c r="L6584">
        <v>667</v>
      </c>
      <c r="M6584">
        <v>1</v>
      </c>
      <c r="N6584">
        <v>0</v>
      </c>
      <c r="O6584">
        <v>2399</v>
      </c>
    </row>
    <row r="6585" spans="1:15" x14ac:dyDescent="0.25">
      <c r="A6585" t="s">
        <v>6598</v>
      </c>
      <c r="B6585">
        <v>226</v>
      </c>
      <c r="C6585" s="1" t="str">
        <f>HYPERLINK("http://www.rosaceae.org/gb/gbrowse/malus_x_domestica/?name=MDP0000147846","MDP0000147846")</f>
        <v>MDP0000147846</v>
      </c>
      <c r="D6585">
        <v>46.15</v>
      </c>
      <c r="E6585">
        <v>117</v>
      </c>
      <c r="F6585">
        <v>63</v>
      </c>
      <c r="G6585">
        <v>21</v>
      </c>
      <c r="H6585">
        <v>125</v>
      </c>
      <c r="I6585">
        <v>226</v>
      </c>
      <c r="J6585">
        <v>1</v>
      </c>
      <c r="K6585">
        <v>168</v>
      </c>
      <c r="L6585">
        <v>278</v>
      </c>
      <c r="M6585">
        <v>1</v>
      </c>
      <c r="N6585">
        <v>3.1831100000000001E-16</v>
      </c>
      <c r="O6585">
        <v>202</v>
      </c>
    </row>
    <row r="6586" spans="1:15" x14ac:dyDescent="0.25">
      <c r="A6586" t="s">
        <v>6599</v>
      </c>
      <c r="B6586">
        <v>182</v>
      </c>
      <c r="C6586" s="1" t="str">
        <f>HYPERLINK("http://www.rosaceae.org/gb/gbrowse/malus_x_domestica/?name=MDP0000128624","MDP0000128624")</f>
        <v>MDP0000128624</v>
      </c>
      <c r="D6586">
        <v>94.33</v>
      </c>
      <c r="E6586">
        <v>106</v>
      </c>
      <c r="F6586">
        <v>6</v>
      </c>
      <c r="G6586">
        <v>0</v>
      </c>
      <c r="H6586">
        <v>77</v>
      </c>
      <c r="I6586">
        <v>182</v>
      </c>
      <c r="J6586">
        <v>1</v>
      </c>
      <c r="K6586">
        <v>37</v>
      </c>
      <c r="L6586">
        <v>142</v>
      </c>
      <c r="M6586">
        <v>1</v>
      </c>
      <c r="N6586">
        <v>9.8797799999999998E-56</v>
      </c>
      <c r="O6586">
        <v>542</v>
      </c>
    </row>
    <row r="6587" spans="1:15" x14ac:dyDescent="0.25">
      <c r="A6587" t="s">
        <v>6600</v>
      </c>
      <c r="B6587">
        <v>368</v>
      </c>
      <c r="C6587" s="1" t="str">
        <f>HYPERLINK("http://www.rosaceae.org/gb/gbrowse/malus_x_domestica/?name=MDP0000253114","MDP0000253114")</f>
        <v>MDP0000253114</v>
      </c>
      <c r="D6587">
        <v>39.42</v>
      </c>
      <c r="E6587">
        <v>454</v>
      </c>
      <c r="F6587">
        <v>275</v>
      </c>
      <c r="G6587">
        <v>126</v>
      </c>
      <c r="H6587">
        <v>3</v>
      </c>
      <c r="I6587">
        <v>337</v>
      </c>
      <c r="J6587">
        <v>1</v>
      </c>
      <c r="K6587">
        <v>4</v>
      </c>
      <c r="L6587">
        <v>450</v>
      </c>
      <c r="M6587">
        <v>1</v>
      </c>
      <c r="N6587">
        <v>3.4878899999999999E-74</v>
      </c>
      <c r="O6587">
        <v>705</v>
      </c>
    </row>
    <row r="6588" spans="1:15" x14ac:dyDescent="0.25">
      <c r="A6588" t="s">
        <v>6601</v>
      </c>
      <c r="B6588">
        <v>108</v>
      </c>
      <c r="C6588" s="1" t="str">
        <f>HYPERLINK("http://www.rosaceae.org/gb/gbrowse/malus_x_domestica/?name=MDP0000218609","MDP0000218609")</f>
        <v>MDP0000218609</v>
      </c>
      <c r="D6588">
        <v>51.42</v>
      </c>
      <c r="E6588">
        <v>140</v>
      </c>
      <c r="F6588">
        <v>68</v>
      </c>
      <c r="G6588">
        <v>46</v>
      </c>
      <c r="H6588">
        <v>5</v>
      </c>
      <c r="I6588">
        <v>100</v>
      </c>
      <c r="J6588">
        <v>1</v>
      </c>
      <c r="K6588">
        <v>241</v>
      </c>
      <c r="L6588">
        <v>378</v>
      </c>
      <c r="M6588">
        <v>1</v>
      </c>
      <c r="N6588">
        <v>6.7580199999999999E-28</v>
      </c>
      <c r="O6588">
        <v>298</v>
      </c>
    </row>
    <row r="6589" spans="1:15" x14ac:dyDescent="0.25">
      <c r="A6589" t="s">
        <v>6602</v>
      </c>
      <c r="B6589">
        <v>1023</v>
      </c>
      <c r="C6589" s="1" t="str">
        <f>HYPERLINK("http://www.rosaceae.org/gb/gbrowse/malus_x_domestica/?name=MDP0000523939","MDP0000523939")</f>
        <v>MDP0000523939</v>
      </c>
      <c r="D6589">
        <v>84.59</v>
      </c>
      <c r="E6589">
        <v>954</v>
      </c>
      <c r="F6589">
        <v>147</v>
      </c>
      <c r="G6589">
        <v>3</v>
      </c>
      <c r="H6589">
        <v>56</v>
      </c>
      <c r="I6589">
        <v>1007</v>
      </c>
      <c r="J6589">
        <v>1</v>
      </c>
      <c r="K6589">
        <v>46</v>
      </c>
      <c r="L6589">
        <v>998</v>
      </c>
      <c r="M6589">
        <v>1</v>
      </c>
      <c r="N6589">
        <v>0</v>
      </c>
      <c r="O6589">
        <v>4252</v>
      </c>
    </row>
    <row r="6590" spans="1:15" x14ac:dyDescent="0.25">
      <c r="A6590" t="s">
        <v>6603</v>
      </c>
      <c r="B6590">
        <v>649</v>
      </c>
      <c r="C6590" s="1" t="str">
        <f>HYPERLINK("http://www.rosaceae.org/gb/gbrowse/malus_x_domestica/?name=MDP0000894622","MDP0000894622")</f>
        <v>MDP0000894622</v>
      </c>
      <c r="D6590">
        <v>60.38</v>
      </c>
      <c r="E6590">
        <v>631</v>
      </c>
      <c r="F6590">
        <v>250</v>
      </c>
      <c r="G6590">
        <v>41</v>
      </c>
      <c r="H6590">
        <v>27</v>
      </c>
      <c r="I6590">
        <v>644</v>
      </c>
      <c r="J6590">
        <v>1</v>
      </c>
      <c r="K6590">
        <v>1</v>
      </c>
      <c r="L6590">
        <v>603</v>
      </c>
      <c r="M6590">
        <v>1</v>
      </c>
      <c r="N6590">
        <v>0</v>
      </c>
      <c r="O6590">
        <v>1824</v>
      </c>
    </row>
    <row r="6591" spans="1:15" x14ac:dyDescent="0.25">
      <c r="A6591" t="s">
        <v>6604</v>
      </c>
      <c r="B6591">
        <v>2975</v>
      </c>
      <c r="C6591" s="1" t="str">
        <f>HYPERLINK("http://www.rosaceae.org/gb/gbrowse/malus_x_domestica/?name=MDP0000143222","MDP0000143222")</f>
        <v>MDP0000143222</v>
      </c>
      <c r="D6591">
        <v>57.08</v>
      </c>
      <c r="E6591">
        <v>2237</v>
      </c>
      <c r="F6591">
        <v>960</v>
      </c>
      <c r="G6591">
        <v>175</v>
      </c>
      <c r="H6591">
        <v>124</v>
      </c>
      <c r="I6591">
        <v>2203</v>
      </c>
      <c r="J6591">
        <v>1</v>
      </c>
      <c r="K6591">
        <v>133</v>
      </c>
      <c r="L6591">
        <v>2351</v>
      </c>
      <c r="M6591">
        <v>1</v>
      </c>
      <c r="N6591">
        <v>0</v>
      </c>
      <c r="O6591">
        <v>6131</v>
      </c>
    </row>
    <row r="6592" spans="1:15" x14ac:dyDescent="0.25">
      <c r="A6592" t="s">
        <v>6605</v>
      </c>
      <c r="B6592">
        <v>940</v>
      </c>
      <c r="C6592" s="1" t="str">
        <f>HYPERLINK("http://www.rosaceae.org/gb/gbrowse/malus_x_domestica/?name=MDP0000131657","MDP0000131657")</f>
        <v>MDP0000131657</v>
      </c>
      <c r="D6592">
        <v>77.989999999999995</v>
      </c>
      <c r="E6592">
        <v>877</v>
      </c>
      <c r="F6592">
        <v>193</v>
      </c>
      <c r="G6592">
        <v>51</v>
      </c>
      <c r="H6592">
        <v>65</v>
      </c>
      <c r="I6592">
        <v>940</v>
      </c>
      <c r="J6592">
        <v>1</v>
      </c>
      <c r="K6592">
        <v>51</v>
      </c>
      <c r="L6592">
        <v>877</v>
      </c>
      <c r="M6592">
        <v>1</v>
      </c>
      <c r="N6592">
        <v>0</v>
      </c>
      <c r="O6592">
        <v>3555</v>
      </c>
    </row>
    <row r="6593" spans="1:15" x14ac:dyDescent="0.25">
      <c r="A6593" t="s">
        <v>6606</v>
      </c>
      <c r="B6593">
        <v>439</v>
      </c>
      <c r="C6593" s="1" t="str">
        <f>HYPERLINK("http://www.rosaceae.org/gb/gbrowse/malus_x_domestica/?name=MDP0000293408","MDP0000293408")</f>
        <v>MDP0000293408</v>
      </c>
      <c r="D6593">
        <v>68.650000000000006</v>
      </c>
      <c r="E6593">
        <v>402</v>
      </c>
      <c r="F6593">
        <v>126</v>
      </c>
      <c r="G6593">
        <v>3</v>
      </c>
      <c r="H6593">
        <v>10</v>
      </c>
      <c r="I6593">
        <v>408</v>
      </c>
      <c r="J6593">
        <v>1</v>
      </c>
      <c r="K6593">
        <v>565</v>
      </c>
      <c r="L6593">
        <v>966</v>
      </c>
      <c r="M6593">
        <v>1</v>
      </c>
      <c r="N6593">
        <v>3.9409900000000001E-166</v>
      </c>
      <c r="O6593">
        <v>1499</v>
      </c>
    </row>
    <row r="6594" spans="1:15" x14ac:dyDescent="0.25">
      <c r="A6594" t="s">
        <v>6607</v>
      </c>
      <c r="B6594">
        <v>142</v>
      </c>
      <c r="C6594" s="1" t="str">
        <f>HYPERLINK("http://www.rosaceae.org/gb/gbrowse/malus_x_domestica/?name=MDP0000878409","MDP0000878409")</f>
        <v>MDP0000878409</v>
      </c>
      <c r="D6594">
        <v>59.37</v>
      </c>
      <c r="E6594">
        <v>96</v>
      </c>
      <c r="F6594">
        <v>39</v>
      </c>
      <c r="G6594">
        <v>3</v>
      </c>
      <c r="H6594">
        <v>1</v>
      </c>
      <c r="I6594">
        <v>96</v>
      </c>
      <c r="J6594">
        <v>1</v>
      </c>
      <c r="K6594">
        <v>1</v>
      </c>
      <c r="L6594">
        <v>93</v>
      </c>
      <c r="M6594">
        <v>1</v>
      </c>
      <c r="N6594">
        <v>2.1440200000000002E-22</v>
      </c>
      <c r="O6594">
        <v>252</v>
      </c>
    </row>
    <row r="6595" spans="1:15" x14ac:dyDescent="0.25">
      <c r="A6595" t="s">
        <v>6608</v>
      </c>
      <c r="B6595">
        <v>478</v>
      </c>
      <c r="C6595" s="1" t="str">
        <f>HYPERLINK("http://www.rosaceae.org/gb/gbrowse/malus_x_domestica/?name=MDP0000129708","MDP0000129708")</f>
        <v>MDP0000129708</v>
      </c>
      <c r="D6595">
        <v>47.87</v>
      </c>
      <c r="E6595">
        <v>493</v>
      </c>
      <c r="F6595">
        <v>257</v>
      </c>
      <c r="G6595">
        <v>77</v>
      </c>
      <c r="H6595">
        <v>1</v>
      </c>
      <c r="I6595">
        <v>466</v>
      </c>
      <c r="J6595">
        <v>1</v>
      </c>
      <c r="K6595">
        <v>1</v>
      </c>
      <c r="L6595">
        <v>443</v>
      </c>
      <c r="M6595">
        <v>1</v>
      </c>
      <c r="N6595">
        <v>2.9633200000000002E-99</v>
      </c>
      <c r="O6595">
        <v>922</v>
      </c>
    </row>
    <row r="6596" spans="1:15" x14ac:dyDescent="0.25">
      <c r="A6596" t="s">
        <v>6609</v>
      </c>
      <c r="B6596">
        <v>1223</v>
      </c>
      <c r="C6596" s="1" t="str">
        <f>HYPERLINK("http://www.rosaceae.org/gb/gbrowse/malus_x_domestica/?name=MDP0000283456","MDP0000283456")</f>
        <v>MDP0000283456</v>
      </c>
      <c r="D6596">
        <v>62.59</v>
      </c>
      <c r="E6596">
        <v>1096</v>
      </c>
      <c r="F6596">
        <v>410</v>
      </c>
      <c r="G6596">
        <v>136</v>
      </c>
      <c r="H6596">
        <v>21</v>
      </c>
      <c r="I6596">
        <v>1108</v>
      </c>
      <c r="J6596">
        <v>1</v>
      </c>
      <c r="K6596">
        <v>191</v>
      </c>
      <c r="L6596">
        <v>1158</v>
      </c>
      <c r="M6596">
        <v>1</v>
      </c>
      <c r="N6596">
        <v>0</v>
      </c>
      <c r="O6596">
        <v>3219</v>
      </c>
    </row>
    <row r="6597" spans="1:15" x14ac:dyDescent="0.25">
      <c r="A6597" t="s">
        <v>6610</v>
      </c>
      <c r="B6597">
        <v>265</v>
      </c>
      <c r="C6597" s="1" t="str">
        <f>HYPERLINK("http://www.rosaceae.org/gb/gbrowse/malus_x_domestica/?name=MDP0000412888","MDP0000412888")</f>
        <v>MDP0000412888</v>
      </c>
      <c r="D6597">
        <v>39.090000000000003</v>
      </c>
      <c r="E6597">
        <v>110</v>
      </c>
      <c r="F6597">
        <v>67</v>
      </c>
      <c r="G6597">
        <v>1</v>
      </c>
      <c r="H6597">
        <v>3</v>
      </c>
      <c r="I6597">
        <v>111</v>
      </c>
      <c r="J6597">
        <v>1</v>
      </c>
      <c r="K6597">
        <v>91</v>
      </c>
      <c r="L6597">
        <v>200</v>
      </c>
      <c r="M6597">
        <v>1</v>
      </c>
      <c r="N6597">
        <v>1.63208E-17</v>
      </c>
      <c r="O6597">
        <v>214</v>
      </c>
    </row>
    <row r="6598" spans="1:15" x14ac:dyDescent="0.25">
      <c r="A6598" t="s">
        <v>6611</v>
      </c>
      <c r="B6598">
        <v>1156</v>
      </c>
      <c r="C6598" s="1" t="str">
        <f>HYPERLINK("http://www.rosaceae.org/gb/gbrowse/malus_x_domestica/?name=MDP0000301931","MDP0000301931")</f>
        <v>MDP0000301931</v>
      </c>
      <c r="D6598">
        <v>70.7</v>
      </c>
      <c r="E6598">
        <v>850</v>
      </c>
      <c r="F6598">
        <v>249</v>
      </c>
      <c r="G6598">
        <v>53</v>
      </c>
      <c r="H6598">
        <v>1</v>
      </c>
      <c r="I6598">
        <v>829</v>
      </c>
      <c r="J6598">
        <v>1</v>
      </c>
      <c r="K6598">
        <v>1</v>
      </c>
      <c r="L6598">
        <v>818</v>
      </c>
      <c r="M6598">
        <v>1</v>
      </c>
      <c r="N6598">
        <v>0</v>
      </c>
      <c r="O6598">
        <v>2981</v>
      </c>
    </row>
    <row r="6599" spans="1:15" x14ac:dyDescent="0.25">
      <c r="A6599" t="s">
        <v>6612</v>
      </c>
      <c r="B6599">
        <v>862</v>
      </c>
      <c r="C6599" s="1" t="str">
        <f>HYPERLINK("http://www.rosaceae.org/gb/gbrowse/malus_x_domestica/?name=MDP0000278750","MDP0000278750")</f>
        <v>MDP0000278750</v>
      </c>
      <c r="D6599">
        <v>79.39</v>
      </c>
      <c r="E6599">
        <v>893</v>
      </c>
      <c r="F6599">
        <v>184</v>
      </c>
      <c r="G6599">
        <v>65</v>
      </c>
      <c r="H6599">
        <v>21</v>
      </c>
      <c r="I6599">
        <v>848</v>
      </c>
      <c r="J6599">
        <v>1</v>
      </c>
      <c r="K6599">
        <v>113</v>
      </c>
      <c r="L6599">
        <v>1005</v>
      </c>
      <c r="M6599">
        <v>1</v>
      </c>
      <c r="N6599">
        <v>0</v>
      </c>
      <c r="O6599">
        <v>3784</v>
      </c>
    </row>
    <row r="6600" spans="1:15" x14ac:dyDescent="0.25">
      <c r="A6600" t="s">
        <v>6613</v>
      </c>
      <c r="B6600">
        <v>255</v>
      </c>
      <c r="C6600" s="1" t="str">
        <f>HYPERLINK("http://www.rosaceae.org/gb/gbrowse/malus_x_domestica/?name=MDP0000157370","MDP0000157370")</f>
        <v>MDP0000157370</v>
      </c>
      <c r="D6600">
        <v>61.11</v>
      </c>
      <c r="E6600">
        <v>234</v>
      </c>
      <c r="F6600">
        <v>91</v>
      </c>
      <c r="G6600">
        <v>13</v>
      </c>
      <c r="H6600">
        <v>28</v>
      </c>
      <c r="I6600">
        <v>252</v>
      </c>
      <c r="J6600">
        <v>1</v>
      </c>
      <c r="K6600">
        <v>45</v>
      </c>
      <c r="L6600">
        <v>274</v>
      </c>
      <c r="M6600">
        <v>1</v>
      </c>
      <c r="N6600">
        <v>2.7268000000000001E-78</v>
      </c>
      <c r="O6600">
        <v>738</v>
      </c>
    </row>
    <row r="6601" spans="1:15" x14ac:dyDescent="0.25">
      <c r="A6601" t="s">
        <v>6614</v>
      </c>
      <c r="B6601">
        <v>1135</v>
      </c>
      <c r="C6601" s="1" t="str">
        <f>HYPERLINK("http://www.rosaceae.org/gb/gbrowse/malus_x_domestica/?name=MDP0000309777","MDP0000309777")</f>
        <v>MDP0000309777</v>
      </c>
      <c r="D6601">
        <v>69.86</v>
      </c>
      <c r="E6601">
        <v>740</v>
      </c>
      <c r="F6601">
        <v>223</v>
      </c>
      <c r="G6601">
        <v>65</v>
      </c>
      <c r="H6601">
        <v>386</v>
      </c>
      <c r="I6601">
        <v>1121</v>
      </c>
      <c r="J6601">
        <v>1</v>
      </c>
      <c r="K6601">
        <v>397</v>
      </c>
      <c r="L6601">
        <v>1075</v>
      </c>
      <c r="M6601">
        <v>1</v>
      </c>
      <c r="N6601">
        <v>0</v>
      </c>
      <c r="O6601">
        <v>2677</v>
      </c>
    </row>
    <row r="6602" spans="1:15" x14ac:dyDescent="0.25">
      <c r="A6602" t="s">
        <v>6615</v>
      </c>
      <c r="B6602">
        <v>196</v>
      </c>
      <c r="C6602" s="1" t="str">
        <f>HYPERLINK("http://www.rosaceae.org/gb/gbrowse/malus_x_domestica/?name=MDP0000231030","MDP0000231030")</f>
        <v>MDP0000231030</v>
      </c>
      <c r="D6602">
        <v>75.8</v>
      </c>
      <c r="E6602">
        <v>62</v>
      </c>
      <c r="F6602">
        <v>15</v>
      </c>
      <c r="G6602">
        <v>2</v>
      </c>
      <c r="H6602">
        <v>128</v>
      </c>
      <c r="I6602">
        <v>187</v>
      </c>
      <c r="J6602">
        <v>1</v>
      </c>
      <c r="K6602">
        <v>197</v>
      </c>
      <c r="L6602">
        <v>258</v>
      </c>
      <c r="M6602">
        <v>1</v>
      </c>
      <c r="N6602">
        <v>4.5423699999999998E-20</v>
      </c>
      <c r="O6602">
        <v>234</v>
      </c>
    </row>
    <row r="6603" spans="1:15" x14ac:dyDescent="0.25">
      <c r="A6603" t="s">
        <v>6616</v>
      </c>
      <c r="B6603">
        <v>189</v>
      </c>
      <c r="C6603" s="1" t="str">
        <f>HYPERLINK("http://www.rosaceae.org/gb/gbrowse/malus_x_domestica/?name=MDP0000776161","MDP0000776161")</f>
        <v>MDP0000776161</v>
      </c>
      <c r="D6603">
        <v>79.05</v>
      </c>
      <c r="E6603">
        <v>191</v>
      </c>
      <c r="F6603">
        <v>40</v>
      </c>
      <c r="G6603">
        <v>3</v>
      </c>
      <c r="H6603">
        <v>1</v>
      </c>
      <c r="I6603">
        <v>189</v>
      </c>
      <c r="J6603">
        <v>1</v>
      </c>
      <c r="K6603">
        <v>11</v>
      </c>
      <c r="L6603">
        <v>200</v>
      </c>
      <c r="M6603">
        <v>1</v>
      </c>
      <c r="N6603">
        <v>2.9877199999999999E-87</v>
      </c>
      <c r="O6603">
        <v>814</v>
      </c>
    </row>
    <row r="6604" spans="1:15" x14ac:dyDescent="0.25">
      <c r="A6604" t="s">
        <v>6617</v>
      </c>
      <c r="B6604">
        <v>350</v>
      </c>
      <c r="C6604" s="1" t="str">
        <f>HYPERLINK("http://www.rosaceae.org/gb/gbrowse/malus_x_domestica/?name=MDP0000298499","MDP0000298499")</f>
        <v>MDP0000298499</v>
      </c>
      <c r="D6604">
        <v>70.36</v>
      </c>
      <c r="E6604">
        <v>361</v>
      </c>
      <c r="F6604">
        <v>107</v>
      </c>
      <c r="G6604">
        <v>19</v>
      </c>
      <c r="H6604">
        <v>1</v>
      </c>
      <c r="I6604">
        <v>350</v>
      </c>
      <c r="J6604">
        <v>1</v>
      </c>
      <c r="K6604">
        <v>1</v>
      </c>
      <c r="L6604">
        <v>353</v>
      </c>
      <c r="M6604">
        <v>1</v>
      </c>
      <c r="N6604">
        <v>8.6014100000000004E-139</v>
      </c>
      <c r="O6604">
        <v>1262</v>
      </c>
    </row>
    <row r="6605" spans="1:15" x14ac:dyDescent="0.25">
      <c r="A6605" t="s">
        <v>6618</v>
      </c>
      <c r="B6605">
        <v>301</v>
      </c>
      <c r="C6605" s="1" t="str">
        <f>HYPERLINK("http://www.rosaceae.org/gb/gbrowse/malus_x_domestica/?name=MDP0000403867","MDP0000403867")</f>
        <v>MDP0000403867</v>
      </c>
      <c r="D6605">
        <v>79.45</v>
      </c>
      <c r="E6605">
        <v>219</v>
      </c>
      <c r="F6605">
        <v>45</v>
      </c>
      <c r="G6605">
        <v>0</v>
      </c>
      <c r="H6605">
        <v>82</v>
      </c>
      <c r="I6605">
        <v>300</v>
      </c>
      <c r="J6605">
        <v>1</v>
      </c>
      <c r="K6605">
        <v>1</v>
      </c>
      <c r="L6605">
        <v>219</v>
      </c>
      <c r="M6605">
        <v>1</v>
      </c>
      <c r="N6605">
        <v>3.0766900000000002E-100</v>
      </c>
      <c r="O6605">
        <v>928</v>
      </c>
    </row>
    <row r="6606" spans="1:15" x14ac:dyDescent="0.25">
      <c r="A6606" t="s">
        <v>6619</v>
      </c>
      <c r="B6606">
        <v>794</v>
      </c>
      <c r="C6606" s="1" t="str">
        <f>HYPERLINK("http://www.rosaceae.org/gb/gbrowse/malus_x_domestica/?name=MDP0000118987","MDP0000118987")</f>
        <v>MDP0000118987</v>
      </c>
      <c r="D6606">
        <v>83.68</v>
      </c>
      <c r="E6606">
        <v>705</v>
      </c>
      <c r="F6606">
        <v>115</v>
      </c>
      <c r="G6606">
        <v>3</v>
      </c>
      <c r="H6606">
        <v>91</v>
      </c>
      <c r="I6606">
        <v>794</v>
      </c>
      <c r="J6606">
        <v>1</v>
      </c>
      <c r="K6606">
        <v>40</v>
      </c>
      <c r="L6606">
        <v>742</v>
      </c>
      <c r="M6606">
        <v>1</v>
      </c>
      <c r="N6606">
        <v>0</v>
      </c>
      <c r="O6606">
        <v>3178</v>
      </c>
    </row>
    <row r="6607" spans="1:15" x14ac:dyDescent="0.25">
      <c r="A6607" t="s">
        <v>6620</v>
      </c>
      <c r="B6607">
        <v>244</v>
      </c>
      <c r="C6607" s="1" t="str">
        <f>HYPERLINK("http://www.rosaceae.org/gb/gbrowse/malus_x_domestica/?name=MDP0000286477","MDP0000286477")</f>
        <v>MDP0000286477</v>
      </c>
      <c r="D6607">
        <v>53.12</v>
      </c>
      <c r="E6607">
        <v>128</v>
      </c>
      <c r="F6607">
        <v>60</v>
      </c>
      <c r="G6607">
        <v>8</v>
      </c>
      <c r="H6607">
        <v>1</v>
      </c>
      <c r="I6607">
        <v>124</v>
      </c>
      <c r="J6607">
        <v>1</v>
      </c>
      <c r="K6607">
        <v>1</v>
      </c>
      <c r="L6607">
        <v>124</v>
      </c>
      <c r="M6607">
        <v>1</v>
      </c>
      <c r="N6607">
        <v>9.7451999999999999E-34</v>
      </c>
      <c r="O6607">
        <v>354</v>
      </c>
    </row>
    <row r="6608" spans="1:15" x14ac:dyDescent="0.25">
      <c r="A6608" t="s">
        <v>6621</v>
      </c>
      <c r="B6608">
        <v>451</v>
      </c>
      <c r="C6608" s="1" t="str">
        <f>HYPERLINK("http://www.rosaceae.org/gb/gbrowse/malus_x_domestica/?name=MDP0000440721","MDP0000440721")</f>
        <v>MDP0000440721</v>
      </c>
      <c r="D6608">
        <v>84.07</v>
      </c>
      <c r="E6608">
        <v>402</v>
      </c>
      <c r="F6608">
        <v>64</v>
      </c>
      <c r="G6608">
        <v>4</v>
      </c>
      <c r="H6608">
        <v>1</v>
      </c>
      <c r="I6608">
        <v>401</v>
      </c>
      <c r="J6608">
        <v>1</v>
      </c>
      <c r="K6608">
        <v>1</v>
      </c>
      <c r="L6608">
        <v>399</v>
      </c>
      <c r="M6608">
        <v>1</v>
      </c>
      <c r="N6608">
        <v>0</v>
      </c>
      <c r="O6608">
        <v>1748</v>
      </c>
    </row>
    <row r="6609" spans="1:15" x14ac:dyDescent="0.25">
      <c r="A6609" t="s">
        <v>6622</v>
      </c>
      <c r="B6609">
        <v>106</v>
      </c>
      <c r="C6609" s="1" t="str">
        <f>HYPERLINK("http://www.rosaceae.org/gb/gbrowse/malus_x_domestica/?name=MDP0000197199","MDP0000197199")</f>
        <v>MDP0000197199</v>
      </c>
      <c r="D6609">
        <v>93.39</v>
      </c>
      <c r="E6609">
        <v>106</v>
      </c>
      <c r="F6609">
        <v>7</v>
      </c>
      <c r="G6609">
        <v>0</v>
      </c>
      <c r="H6609">
        <v>1</v>
      </c>
      <c r="I6609">
        <v>106</v>
      </c>
      <c r="J6609">
        <v>1</v>
      </c>
      <c r="K6609">
        <v>1</v>
      </c>
      <c r="L6609">
        <v>106</v>
      </c>
      <c r="M6609">
        <v>1</v>
      </c>
      <c r="N6609">
        <v>1.41817E-55</v>
      </c>
      <c r="O6609">
        <v>537</v>
      </c>
    </row>
    <row r="6610" spans="1:15" x14ac:dyDescent="0.25">
      <c r="A6610" t="s">
        <v>6623</v>
      </c>
      <c r="B6610">
        <v>751</v>
      </c>
      <c r="C6610" s="1" t="str">
        <f>HYPERLINK("http://www.rosaceae.org/gb/gbrowse/malus_x_domestica/?name=MDP0000215811","MDP0000215811")</f>
        <v>MDP0000215811</v>
      </c>
      <c r="D6610">
        <v>70.180000000000007</v>
      </c>
      <c r="E6610">
        <v>436</v>
      </c>
      <c r="F6610">
        <v>130</v>
      </c>
      <c r="G6610">
        <v>28</v>
      </c>
      <c r="H6610">
        <v>318</v>
      </c>
      <c r="I6610">
        <v>751</v>
      </c>
      <c r="J6610">
        <v>1</v>
      </c>
      <c r="K6610">
        <v>1</v>
      </c>
      <c r="L6610">
        <v>410</v>
      </c>
      <c r="M6610">
        <v>1</v>
      </c>
      <c r="N6610">
        <v>2.0356E-172</v>
      </c>
      <c r="O6610">
        <v>1555</v>
      </c>
    </row>
    <row r="6611" spans="1:15" x14ac:dyDescent="0.25">
      <c r="A6611" t="s">
        <v>6624</v>
      </c>
      <c r="B6611">
        <v>1061</v>
      </c>
      <c r="C6611" s="1" t="str">
        <f>HYPERLINK("http://www.rosaceae.org/gb/gbrowse/malus_x_domestica/?name=MDP0000321798","MDP0000321798")</f>
        <v>MDP0000321798</v>
      </c>
      <c r="D6611">
        <v>63.81</v>
      </c>
      <c r="E6611">
        <v>619</v>
      </c>
      <c r="F6611">
        <v>224</v>
      </c>
      <c r="G6611">
        <v>77</v>
      </c>
      <c r="H6611">
        <v>489</v>
      </c>
      <c r="I6611">
        <v>1053</v>
      </c>
      <c r="J6611">
        <v>1</v>
      </c>
      <c r="K6611">
        <v>4</v>
      </c>
      <c r="L6611">
        <v>599</v>
      </c>
      <c r="M6611">
        <v>1</v>
      </c>
      <c r="N6611">
        <v>0</v>
      </c>
      <c r="O6611">
        <v>2023</v>
      </c>
    </row>
    <row r="6612" spans="1:15" x14ac:dyDescent="0.25">
      <c r="A6612" t="s">
        <v>6625</v>
      </c>
      <c r="B6612">
        <v>296</v>
      </c>
      <c r="C6612" s="1" t="str">
        <f>HYPERLINK("http://www.rosaceae.org/gb/gbrowse/malus_x_domestica/?name=MDP0000162032","MDP0000162032")</f>
        <v>MDP0000162032</v>
      </c>
      <c r="D6612">
        <v>47.82</v>
      </c>
      <c r="E6612">
        <v>207</v>
      </c>
      <c r="F6612">
        <v>108</v>
      </c>
      <c r="G6612">
        <v>85</v>
      </c>
      <c r="H6612">
        <v>20</v>
      </c>
      <c r="I6612">
        <v>141</v>
      </c>
      <c r="J6612">
        <v>1</v>
      </c>
      <c r="K6612">
        <v>126</v>
      </c>
      <c r="L6612">
        <v>332</v>
      </c>
      <c r="M6612">
        <v>1</v>
      </c>
      <c r="N6612">
        <v>2.6934099999999999E-39</v>
      </c>
      <c r="O6612">
        <v>403</v>
      </c>
    </row>
    <row r="6613" spans="1:15" x14ac:dyDescent="0.25">
      <c r="A6613" t="s">
        <v>6626</v>
      </c>
      <c r="B6613">
        <v>770</v>
      </c>
      <c r="C6613" s="1" t="str">
        <f>HYPERLINK("http://www.rosaceae.org/gb/gbrowse/malus_x_domestica/?name=MDP0000282921","MDP0000282921")</f>
        <v>MDP0000282921</v>
      </c>
      <c r="D6613">
        <v>62.65</v>
      </c>
      <c r="E6613">
        <v>482</v>
      </c>
      <c r="F6613">
        <v>180</v>
      </c>
      <c r="G6613">
        <v>32</v>
      </c>
      <c r="H6613">
        <v>1</v>
      </c>
      <c r="I6613">
        <v>451</v>
      </c>
      <c r="J6613">
        <v>1</v>
      </c>
      <c r="K6613">
        <v>1</v>
      </c>
      <c r="L6613">
        <v>481</v>
      </c>
      <c r="M6613">
        <v>1</v>
      </c>
      <c r="N6613">
        <v>6.8070900000000001E-167</v>
      </c>
      <c r="O6613">
        <v>1508</v>
      </c>
    </row>
    <row r="6614" spans="1:15" x14ac:dyDescent="0.25">
      <c r="A6614" t="s">
        <v>6627</v>
      </c>
      <c r="B6614">
        <v>737</v>
      </c>
      <c r="C6614" s="1" t="str">
        <f>HYPERLINK("http://www.rosaceae.org/gb/gbrowse/malus_x_domestica/?name=MDP0000665945","MDP0000665945")</f>
        <v>MDP0000665945</v>
      </c>
      <c r="D6614">
        <v>64.760000000000005</v>
      </c>
      <c r="E6614">
        <v>735</v>
      </c>
      <c r="F6614">
        <v>259</v>
      </c>
      <c r="G6614">
        <v>13</v>
      </c>
      <c r="H6614">
        <v>1</v>
      </c>
      <c r="I6614">
        <v>733</v>
      </c>
      <c r="J6614">
        <v>1</v>
      </c>
      <c r="K6614">
        <v>1</v>
      </c>
      <c r="L6614">
        <v>724</v>
      </c>
      <c r="M6614">
        <v>1</v>
      </c>
      <c r="N6614">
        <v>0</v>
      </c>
      <c r="O6614">
        <v>2415</v>
      </c>
    </row>
    <row r="6615" spans="1:15" x14ac:dyDescent="0.25">
      <c r="A6615" t="s">
        <v>6628</v>
      </c>
      <c r="B6615">
        <v>216</v>
      </c>
      <c r="C6615" s="1" t="str">
        <f>HYPERLINK("http://www.rosaceae.org/gb/gbrowse/malus_x_domestica/?name=MDP0000266475","MDP0000266475")</f>
        <v>MDP0000266475</v>
      </c>
      <c r="D6615">
        <v>69.02</v>
      </c>
      <c r="E6615">
        <v>226</v>
      </c>
      <c r="F6615">
        <v>70</v>
      </c>
      <c r="G6615">
        <v>15</v>
      </c>
      <c r="H6615">
        <v>1</v>
      </c>
      <c r="I6615">
        <v>215</v>
      </c>
      <c r="J6615">
        <v>1</v>
      </c>
      <c r="K6615">
        <v>1</v>
      </c>
      <c r="L6615">
        <v>222</v>
      </c>
      <c r="M6615">
        <v>1</v>
      </c>
      <c r="N6615">
        <v>5.73584E-73</v>
      </c>
      <c r="O6615">
        <v>691</v>
      </c>
    </row>
    <row r="6616" spans="1:15" x14ac:dyDescent="0.25">
      <c r="A6616" t="s">
        <v>6629</v>
      </c>
      <c r="B6616">
        <v>171</v>
      </c>
      <c r="C6616" s="1" t="str">
        <f>HYPERLINK("http://www.rosaceae.org/gb/gbrowse/malus_x_domestica/?name=MDP0000933146","MDP0000933146")</f>
        <v>MDP0000933146</v>
      </c>
      <c r="D6616">
        <v>70.14</v>
      </c>
      <c r="E6616">
        <v>134</v>
      </c>
      <c r="F6616">
        <v>40</v>
      </c>
      <c r="G6616">
        <v>8</v>
      </c>
      <c r="H6616">
        <v>34</v>
      </c>
      <c r="I6616">
        <v>167</v>
      </c>
      <c r="J6616">
        <v>1</v>
      </c>
      <c r="K6616">
        <v>22</v>
      </c>
      <c r="L6616">
        <v>147</v>
      </c>
      <c r="M6616">
        <v>1</v>
      </c>
      <c r="N6616">
        <v>1.54526E-50</v>
      </c>
      <c r="O6616">
        <v>496</v>
      </c>
    </row>
    <row r="6617" spans="1:15" x14ac:dyDescent="0.25">
      <c r="A6617" t="s">
        <v>6630</v>
      </c>
      <c r="B6617">
        <v>432</v>
      </c>
      <c r="C6617" s="1" t="str">
        <f>HYPERLINK("http://www.rosaceae.org/gb/gbrowse/malus_x_domestica/?name=MDP0000762447","MDP0000762447")</f>
        <v>MDP0000762447</v>
      </c>
      <c r="D6617">
        <v>82.7</v>
      </c>
      <c r="E6617">
        <v>422</v>
      </c>
      <c r="F6617">
        <v>73</v>
      </c>
      <c r="G6617">
        <v>0</v>
      </c>
      <c r="H6617">
        <v>10</v>
      </c>
      <c r="I6617">
        <v>431</v>
      </c>
      <c r="J6617">
        <v>1</v>
      </c>
      <c r="K6617">
        <v>5</v>
      </c>
      <c r="L6617">
        <v>426</v>
      </c>
      <c r="M6617">
        <v>1</v>
      </c>
      <c r="N6617">
        <v>0</v>
      </c>
      <c r="O6617">
        <v>1959</v>
      </c>
    </row>
    <row r="6618" spans="1:15" x14ac:dyDescent="0.25">
      <c r="A6618" t="s">
        <v>6631</v>
      </c>
      <c r="B6618">
        <v>664</v>
      </c>
      <c r="C6618" s="1" t="str">
        <f>HYPERLINK("http://www.rosaceae.org/gb/gbrowse/malus_x_domestica/?name=MDP0000321335","MDP0000321335")</f>
        <v>MDP0000321335</v>
      </c>
      <c r="D6618">
        <v>47.56</v>
      </c>
      <c r="E6618">
        <v>698</v>
      </c>
      <c r="F6618">
        <v>366</v>
      </c>
      <c r="G6618">
        <v>57</v>
      </c>
      <c r="H6618">
        <v>1</v>
      </c>
      <c r="I6618">
        <v>664</v>
      </c>
      <c r="J6618">
        <v>1</v>
      </c>
      <c r="K6618">
        <v>1</v>
      </c>
      <c r="L6618">
        <v>675</v>
      </c>
      <c r="M6618">
        <v>1</v>
      </c>
      <c r="N6618">
        <v>2.7605300000000002E-162</v>
      </c>
      <c r="O6618">
        <v>1467</v>
      </c>
    </row>
    <row r="6619" spans="1:15" x14ac:dyDescent="0.25">
      <c r="A6619" t="s">
        <v>6632</v>
      </c>
      <c r="B6619">
        <v>302</v>
      </c>
      <c r="C6619" s="1" t="str">
        <f>HYPERLINK("http://www.rosaceae.org/gb/gbrowse/malus_x_domestica/?name=MDP0000191571","MDP0000191571")</f>
        <v>MDP0000191571</v>
      </c>
      <c r="D6619">
        <v>66.22</v>
      </c>
      <c r="E6619">
        <v>302</v>
      </c>
      <c r="F6619">
        <v>102</v>
      </c>
      <c r="G6619">
        <v>13</v>
      </c>
      <c r="H6619">
        <v>1</v>
      </c>
      <c r="I6619">
        <v>301</v>
      </c>
      <c r="J6619">
        <v>1</v>
      </c>
      <c r="K6619">
        <v>1</v>
      </c>
      <c r="L6619">
        <v>290</v>
      </c>
      <c r="M6619">
        <v>1</v>
      </c>
      <c r="N6619">
        <v>1.9368499999999998E-102</v>
      </c>
      <c r="O6619">
        <v>947</v>
      </c>
    </row>
    <row r="6620" spans="1:15" x14ac:dyDescent="0.25">
      <c r="A6620" t="s">
        <v>6633</v>
      </c>
      <c r="B6620">
        <v>194</v>
      </c>
      <c r="C6620" s="1" t="str">
        <f>HYPERLINK("http://www.rosaceae.org/gb/gbrowse/malus_x_domestica/?name=MDP0000161193","MDP0000161193")</f>
        <v>MDP0000161193</v>
      </c>
      <c r="D6620">
        <v>37.090000000000003</v>
      </c>
      <c r="E6620">
        <v>124</v>
      </c>
      <c r="F6620">
        <v>78</v>
      </c>
      <c r="G6620">
        <v>7</v>
      </c>
      <c r="H6620">
        <v>75</v>
      </c>
      <c r="I6620">
        <v>194</v>
      </c>
      <c r="J6620">
        <v>1</v>
      </c>
      <c r="K6620">
        <v>215</v>
      </c>
      <c r="L6620">
        <v>335</v>
      </c>
      <c r="M6620">
        <v>1</v>
      </c>
      <c r="N6620">
        <v>6.59582E-15</v>
      </c>
      <c r="O6620">
        <v>190</v>
      </c>
    </row>
    <row r="6621" spans="1:15" x14ac:dyDescent="0.25">
      <c r="A6621" t="s">
        <v>6634</v>
      </c>
      <c r="B6621">
        <v>374</v>
      </c>
      <c r="C6621" s="1" t="str">
        <f>HYPERLINK("http://www.rosaceae.org/gb/gbrowse/malus_x_domestica/?name=MDP0000134734","MDP0000134734")</f>
        <v>MDP0000134734</v>
      </c>
      <c r="D6621">
        <v>62.14</v>
      </c>
      <c r="E6621">
        <v>383</v>
      </c>
      <c r="F6621">
        <v>145</v>
      </c>
      <c r="G6621">
        <v>38</v>
      </c>
      <c r="H6621">
        <v>2</v>
      </c>
      <c r="I6621">
        <v>350</v>
      </c>
      <c r="J6621">
        <v>1</v>
      </c>
      <c r="K6621">
        <v>514</v>
      </c>
      <c r="L6621">
        <v>892</v>
      </c>
      <c r="M6621">
        <v>1</v>
      </c>
      <c r="N6621">
        <v>4.3641699999999996E-127</v>
      </c>
      <c r="O6621">
        <v>1161</v>
      </c>
    </row>
    <row r="6622" spans="1:15" x14ac:dyDescent="0.25">
      <c r="A6622" t="s">
        <v>6635</v>
      </c>
      <c r="B6622">
        <v>227</v>
      </c>
      <c r="C6622" s="1" t="str">
        <f>HYPERLINK("http://www.rosaceae.org/gb/gbrowse/malus_x_domestica/?name=MDP0000510373","MDP0000510373")</f>
        <v>MDP0000510373</v>
      </c>
      <c r="D6622">
        <v>64.010000000000005</v>
      </c>
      <c r="E6622">
        <v>214</v>
      </c>
      <c r="F6622">
        <v>77</v>
      </c>
      <c r="G6622">
        <v>1</v>
      </c>
      <c r="H6622">
        <v>12</v>
      </c>
      <c r="I6622">
        <v>225</v>
      </c>
      <c r="J6622">
        <v>1</v>
      </c>
      <c r="K6622">
        <v>3</v>
      </c>
      <c r="L6622">
        <v>215</v>
      </c>
      <c r="M6622">
        <v>1</v>
      </c>
      <c r="N6622">
        <v>1.57704E-77</v>
      </c>
      <c r="O6622">
        <v>731</v>
      </c>
    </row>
    <row r="6623" spans="1:15" x14ac:dyDescent="0.25">
      <c r="A6623" t="s">
        <v>6636</v>
      </c>
      <c r="B6623">
        <v>504</v>
      </c>
      <c r="C6623" s="1" t="str">
        <f>HYPERLINK("http://www.rosaceae.org/gb/gbrowse/malus_x_domestica/?name=MDP0000278025","MDP0000278025")</f>
        <v>MDP0000278025</v>
      </c>
      <c r="D6623">
        <v>47.26</v>
      </c>
      <c r="E6623">
        <v>256</v>
      </c>
      <c r="F6623">
        <v>135</v>
      </c>
      <c r="G6623">
        <v>26</v>
      </c>
      <c r="H6623">
        <v>156</v>
      </c>
      <c r="I6623">
        <v>399</v>
      </c>
      <c r="J6623">
        <v>1</v>
      </c>
      <c r="K6623">
        <v>591</v>
      </c>
      <c r="L6623">
        <v>832</v>
      </c>
      <c r="M6623">
        <v>1</v>
      </c>
      <c r="N6623">
        <v>4.2433399999999999E-51</v>
      </c>
      <c r="O6623">
        <v>507</v>
      </c>
    </row>
    <row r="6624" spans="1:15" x14ac:dyDescent="0.25">
      <c r="A6624" t="s">
        <v>6637</v>
      </c>
      <c r="B6624">
        <v>137</v>
      </c>
      <c r="C6624" s="1" t="str">
        <f>HYPERLINK("http://www.rosaceae.org/gb/gbrowse/malus_x_domestica/?name=MDP0000162529","MDP0000162529")</f>
        <v>MDP0000162529</v>
      </c>
      <c r="D6624">
        <v>62.4</v>
      </c>
      <c r="E6624">
        <v>133</v>
      </c>
      <c r="F6624">
        <v>50</v>
      </c>
      <c r="G6624">
        <v>5</v>
      </c>
      <c r="H6624">
        <v>5</v>
      </c>
      <c r="I6624">
        <v>134</v>
      </c>
      <c r="J6624">
        <v>1</v>
      </c>
      <c r="K6624">
        <v>4</v>
      </c>
      <c r="L6624">
        <v>134</v>
      </c>
      <c r="M6624">
        <v>1</v>
      </c>
      <c r="N6624">
        <v>7.4013799999999998E-43</v>
      </c>
      <c r="O6624">
        <v>428</v>
      </c>
    </row>
    <row r="6625" spans="1:15" x14ac:dyDescent="0.25">
      <c r="A6625" t="s">
        <v>6638</v>
      </c>
      <c r="B6625">
        <v>150</v>
      </c>
      <c r="C6625" s="1" t="str">
        <f>HYPERLINK("http://www.rosaceae.org/gb/gbrowse/malus_x_domestica/?name=MDP0000574524","MDP0000574524")</f>
        <v>MDP0000574524</v>
      </c>
      <c r="D6625">
        <v>74.239999999999995</v>
      </c>
      <c r="E6625">
        <v>132</v>
      </c>
      <c r="F6625">
        <v>34</v>
      </c>
      <c r="G6625">
        <v>1</v>
      </c>
      <c r="H6625">
        <v>20</v>
      </c>
      <c r="I6625">
        <v>150</v>
      </c>
      <c r="J6625">
        <v>1</v>
      </c>
      <c r="K6625">
        <v>28</v>
      </c>
      <c r="L6625">
        <v>159</v>
      </c>
      <c r="M6625">
        <v>1</v>
      </c>
      <c r="N6625">
        <v>2.8607899999999997E-51</v>
      </c>
      <c r="O6625">
        <v>502</v>
      </c>
    </row>
    <row r="6626" spans="1:15" x14ac:dyDescent="0.25">
      <c r="A6626" t="s">
        <v>6639</v>
      </c>
      <c r="B6626">
        <v>586</v>
      </c>
      <c r="C6626" s="1" t="str">
        <f>HYPERLINK("http://www.rosaceae.org/gb/gbrowse/malus_x_domestica/?name=MDP0000202740","MDP0000202740")</f>
        <v>MDP0000202740</v>
      </c>
      <c r="D6626">
        <v>81.89</v>
      </c>
      <c r="E6626">
        <v>591</v>
      </c>
      <c r="F6626">
        <v>107</v>
      </c>
      <c r="G6626">
        <v>25</v>
      </c>
      <c r="H6626">
        <v>20</v>
      </c>
      <c r="I6626">
        <v>586</v>
      </c>
      <c r="J6626">
        <v>1</v>
      </c>
      <c r="K6626">
        <v>102</v>
      </c>
      <c r="L6626">
        <v>691</v>
      </c>
      <c r="M6626">
        <v>1</v>
      </c>
      <c r="N6626">
        <v>0</v>
      </c>
      <c r="O6626">
        <v>2463</v>
      </c>
    </row>
    <row r="6627" spans="1:15" x14ac:dyDescent="0.25">
      <c r="A6627" t="s">
        <v>6640</v>
      </c>
      <c r="B6627">
        <v>865</v>
      </c>
      <c r="C6627" s="1" t="str">
        <f>HYPERLINK("http://www.rosaceae.org/gb/gbrowse/malus_x_domestica/?name=MDP0000314694","MDP0000314694")</f>
        <v>MDP0000314694</v>
      </c>
      <c r="D6627">
        <v>82.58</v>
      </c>
      <c r="E6627">
        <v>425</v>
      </c>
      <c r="F6627">
        <v>74</v>
      </c>
      <c r="G6627">
        <v>5</v>
      </c>
      <c r="H6627">
        <v>1</v>
      </c>
      <c r="I6627">
        <v>420</v>
      </c>
      <c r="J6627">
        <v>1</v>
      </c>
      <c r="K6627">
        <v>1</v>
      </c>
      <c r="L6627">
        <v>425</v>
      </c>
      <c r="M6627">
        <v>1</v>
      </c>
      <c r="N6627">
        <v>0</v>
      </c>
      <c r="O6627">
        <v>1868</v>
      </c>
    </row>
    <row r="6628" spans="1:15" x14ac:dyDescent="0.25">
      <c r="A6628" t="s">
        <v>6641</v>
      </c>
      <c r="B6628">
        <v>187</v>
      </c>
      <c r="C6628" s="1" t="str">
        <f>HYPERLINK("http://www.rosaceae.org/gb/gbrowse/malus_x_domestica/?name=MDP0000213910","MDP0000213910")</f>
        <v>MDP0000213910</v>
      </c>
      <c r="D6628">
        <v>75.400000000000006</v>
      </c>
      <c r="E6628">
        <v>187</v>
      </c>
      <c r="F6628">
        <v>46</v>
      </c>
      <c r="G6628">
        <v>11</v>
      </c>
      <c r="H6628">
        <v>1</v>
      </c>
      <c r="I6628">
        <v>187</v>
      </c>
      <c r="J6628">
        <v>1</v>
      </c>
      <c r="K6628">
        <v>1</v>
      </c>
      <c r="L6628">
        <v>176</v>
      </c>
      <c r="M6628">
        <v>1</v>
      </c>
      <c r="N6628">
        <v>8.8989E-67</v>
      </c>
      <c r="O6628">
        <v>637</v>
      </c>
    </row>
    <row r="6629" spans="1:15" x14ac:dyDescent="0.25">
      <c r="A6629" t="s">
        <v>6642</v>
      </c>
      <c r="B6629">
        <v>436</v>
      </c>
      <c r="C6629" s="1" t="str">
        <f>HYPERLINK("http://www.rosaceae.org/gb/gbrowse/malus_x_domestica/?name=MDP0000464941","MDP0000464941")</f>
        <v>MDP0000464941</v>
      </c>
      <c r="D6629">
        <v>70.87</v>
      </c>
      <c r="E6629">
        <v>412</v>
      </c>
      <c r="F6629">
        <v>120</v>
      </c>
      <c r="G6629">
        <v>33</v>
      </c>
      <c r="H6629">
        <v>53</v>
      </c>
      <c r="I6629">
        <v>436</v>
      </c>
      <c r="J6629">
        <v>1</v>
      </c>
      <c r="K6629">
        <v>1</v>
      </c>
      <c r="L6629">
        <v>407</v>
      </c>
      <c r="M6629">
        <v>1</v>
      </c>
      <c r="N6629">
        <v>2.67922E-142</v>
      </c>
      <c r="O6629">
        <v>1293</v>
      </c>
    </row>
    <row r="6630" spans="1:15" x14ac:dyDescent="0.25">
      <c r="A6630" t="s">
        <v>6643</v>
      </c>
      <c r="B6630">
        <v>153</v>
      </c>
      <c r="C6630" s="1" t="str">
        <f>HYPERLINK("http://www.rosaceae.org/gb/gbrowse/malus_x_domestica/?name=MDP0000836119","MDP0000836119")</f>
        <v>MDP0000836119</v>
      </c>
      <c r="D6630">
        <v>80.260000000000005</v>
      </c>
      <c r="E6630">
        <v>152</v>
      </c>
      <c r="F6630">
        <v>30</v>
      </c>
      <c r="G6630">
        <v>0</v>
      </c>
      <c r="H6630">
        <v>2</v>
      </c>
      <c r="I6630">
        <v>153</v>
      </c>
      <c r="J6630">
        <v>1</v>
      </c>
      <c r="K6630">
        <v>83</v>
      </c>
      <c r="L6630">
        <v>234</v>
      </c>
      <c r="M6630">
        <v>1</v>
      </c>
      <c r="N6630">
        <v>3.1777800000000001E-70</v>
      </c>
      <c r="O6630">
        <v>665</v>
      </c>
    </row>
    <row r="6631" spans="1:15" x14ac:dyDescent="0.25">
      <c r="A6631" t="s">
        <v>6644</v>
      </c>
      <c r="B6631">
        <v>998</v>
      </c>
      <c r="C6631" s="1" t="str">
        <f>HYPERLINK("http://www.rosaceae.org/gb/gbrowse/malus_x_domestica/?name=MDP0000150996","MDP0000150996")</f>
        <v>MDP0000150996</v>
      </c>
      <c r="D6631">
        <v>62.74</v>
      </c>
      <c r="E6631">
        <v>773</v>
      </c>
      <c r="F6631">
        <v>288</v>
      </c>
      <c r="G6631">
        <v>103</v>
      </c>
      <c r="H6631">
        <v>1</v>
      </c>
      <c r="I6631">
        <v>690</v>
      </c>
      <c r="J6631">
        <v>1</v>
      </c>
      <c r="K6631">
        <v>1</v>
      </c>
      <c r="L6631">
        <v>753</v>
      </c>
      <c r="M6631">
        <v>1</v>
      </c>
      <c r="N6631">
        <v>0</v>
      </c>
      <c r="O6631">
        <v>2320</v>
      </c>
    </row>
    <row r="6632" spans="1:15" x14ac:dyDescent="0.25">
      <c r="A6632" t="s">
        <v>6645</v>
      </c>
      <c r="B6632">
        <v>348</v>
      </c>
      <c r="C6632" s="1" t="str">
        <f>HYPERLINK("http://www.rosaceae.org/gb/gbrowse/malus_x_domestica/?name=MDP0000319907","MDP0000319907")</f>
        <v>MDP0000319907</v>
      </c>
      <c r="D6632">
        <v>78.400000000000006</v>
      </c>
      <c r="E6632">
        <v>264</v>
      </c>
      <c r="F6632">
        <v>57</v>
      </c>
      <c r="G6632">
        <v>0</v>
      </c>
      <c r="H6632">
        <v>4</v>
      </c>
      <c r="I6632">
        <v>267</v>
      </c>
      <c r="J6632">
        <v>1</v>
      </c>
      <c r="K6632">
        <v>5</v>
      </c>
      <c r="L6632">
        <v>268</v>
      </c>
      <c r="M6632">
        <v>1</v>
      </c>
      <c r="N6632">
        <v>7.3252000000000003E-118</v>
      </c>
      <c r="O6632">
        <v>1081</v>
      </c>
    </row>
    <row r="6633" spans="1:15" x14ac:dyDescent="0.25">
      <c r="A6633" t="s">
        <v>6646</v>
      </c>
      <c r="B6633">
        <v>555</v>
      </c>
      <c r="C6633" s="1" t="str">
        <f>HYPERLINK("http://www.rosaceae.org/gb/gbrowse/malus_x_domestica/?name=MDP0000146975","MDP0000146975")</f>
        <v>MDP0000146975</v>
      </c>
      <c r="D6633">
        <v>62.52</v>
      </c>
      <c r="E6633">
        <v>603</v>
      </c>
      <c r="F6633">
        <v>226</v>
      </c>
      <c r="G6633">
        <v>79</v>
      </c>
      <c r="H6633">
        <v>6</v>
      </c>
      <c r="I6633">
        <v>529</v>
      </c>
      <c r="J6633">
        <v>1</v>
      </c>
      <c r="K6633">
        <v>34</v>
      </c>
      <c r="L6633">
        <v>636</v>
      </c>
      <c r="M6633">
        <v>1</v>
      </c>
      <c r="N6633">
        <v>0</v>
      </c>
      <c r="O6633">
        <v>1940</v>
      </c>
    </row>
    <row r="6634" spans="1:15" x14ac:dyDescent="0.25">
      <c r="A6634" t="s">
        <v>6647</v>
      </c>
      <c r="B6634">
        <v>373</v>
      </c>
      <c r="C6634" s="1" t="str">
        <f>HYPERLINK("http://www.rosaceae.org/gb/gbrowse/malus_x_domestica/?name=MDP0000686221","MDP0000686221")</f>
        <v>MDP0000686221</v>
      </c>
      <c r="D6634">
        <v>38.229999999999997</v>
      </c>
      <c r="E6634">
        <v>340</v>
      </c>
      <c r="F6634">
        <v>210</v>
      </c>
      <c r="G6634">
        <v>38</v>
      </c>
      <c r="H6634">
        <v>18</v>
      </c>
      <c r="I6634">
        <v>330</v>
      </c>
      <c r="J6634">
        <v>1</v>
      </c>
      <c r="K6634">
        <v>781</v>
      </c>
      <c r="L6634">
        <v>1109</v>
      </c>
      <c r="M6634">
        <v>1</v>
      </c>
      <c r="N6634">
        <v>3.4885199999999996E-52</v>
      </c>
      <c r="O6634">
        <v>515</v>
      </c>
    </row>
    <row r="6635" spans="1:15" x14ac:dyDescent="0.25">
      <c r="A6635" t="s">
        <v>6648</v>
      </c>
      <c r="B6635">
        <v>242</v>
      </c>
      <c r="C6635" s="1" t="str">
        <f>HYPERLINK("http://www.rosaceae.org/gb/gbrowse/malus_x_domestica/?name=MDP0000376209","MDP0000376209")</f>
        <v>MDP0000376209</v>
      </c>
      <c r="D6635">
        <v>43.63</v>
      </c>
      <c r="E6635">
        <v>110</v>
      </c>
      <c r="F6635">
        <v>62</v>
      </c>
      <c r="G6635">
        <v>3</v>
      </c>
      <c r="H6635">
        <v>20</v>
      </c>
      <c r="I6635">
        <v>127</v>
      </c>
      <c r="J6635">
        <v>1</v>
      </c>
      <c r="K6635">
        <v>37</v>
      </c>
      <c r="L6635">
        <v>145</v>
      </c>
      <c r="M6635">
        <v>1</v>
      </c>
      <c r="N6635">
        <v>1.8506900000000001E-17</v>
      </c>
      <c r="O6635">
        <v>213</v>
      </c>
    </row>
    <row r="6636" spans="1:15" x14ac:dyDescent="0.25">
      <c r="A6636" t="s">
        <v>6649</v>
      </c>
      <c r="B6636">
        <v>231</v>
      </c>
      <c r="C6636" s="1" t="str">
        <f>HYPERLINK("http://www.rosaceae.org/gb/gbrowse/malus_x_domestica/?name=MDP0000230462","MDP0000230462")</f>
        <v>MDP0000230462</v>
      </c>
      <c r="D6636">
        <v>57.22</v>
      </c>
      <c r="E6636">
        <v>173</v>
      </c>
      <c r="F6636">
        <v>74</v>
      </c>
      <c r="G6636">
        <v>20</v>
      </c>
      <c r="H6636">
        <v>36</v>
      </c>
      <c r="I6636">
        <v>203</v>
      </c>
      <c r="J6636">
        <v>1</v>
      </c>
      <c r="K6636">
        <v>40</v>
      </c>
      <c r="L6636">
        <v>197</v>
      </c>
      <c r="M6636">
        <v>1</v>
      </c>
      <c r="N6636">
        <v>7.1794999999999998E-50</v>
      </c>
      <c r="O6636">
        <v>493</v>
      </c>
    </row>
    <row r="6637" spans="1:15" x14ac:dyDescent="0.25">
      <c r="A6637" t="s">
        <v>6650</v>
      </c>
      <c r="B6637">
        <v>370</v>
      </c>
      <c r="C6637" s="1" t="str">
        <f>HYPERLINK("http://www.rosaceae.org/gb/gbrowse/malus_x_domestica/?name=MDP0000119265","MDP0000119265")</f>
        <v>MDP0000119265</v>
      </c>
      <c r="D6637">
        <v>35.17</v>
      </c>
      <c r="E6637">
        <v>199</v>
      </c>
      <c r="F6637">
        <v>129</v>
      </c>
      <c r="G6637">
        <v>54</v>
      </c>
      <c r="H6637">
        <v>103</v>
      </c>
      <c r="I6637">
        <v>249</v>
      </c>
      <c r="J6637">
        <v>1</v>
      </c>
      <c r="K6637">
        <v>114</v>
      </c>
      <c r="L6637">
        <v>310</v>
      </c>
      <c r="M6637">
        <v>1</v>
      </c>
      <c r="N6637">
        <v>7.7495000000000005E-23</v>
      </c>
      <c r="O6637">
        <v>262</v>
      </c>
    </row>
    <row r="6638" spans="1:15" x14ac:dyDescent="0.25">
      <c r="A6638" t="s">
        <v>6651</v>
      </c>
      <c r="B6638">
        <v>131</v>
      </c>
      <c r="C6638" s="1" t="str">
        <f>HYPERLINK("http://www.rosaceae.org/gb/gbrowse/malus_x_domestica/?name=MDP0000601939","MDP0000601939")</f>
        <v>MDP0000601939</v>
      </c>
      <c r="D6638">
        <v>71.75</v>
      </c>
      <c r="E6638">
        <v>131</v>
      </c>
      <c r="F6638">
        <v>37</v>
      </c>
      <c r="G6638">
        <v>0</v>
      </c>
      <c r="H6638">
        <v>1</v>
      </c>
      <c r="I6638">
        <v>131</v>
      </c>
      <c r="J6638">
        <v>1</v>
      </c>
      <c r="K6638">
        <v>51</v>
      </c>
      <c r="L6638">
        <v>181</v>
      </c>
      <c r="M6638">
        <v>1</v>
      </c>
      <c r="N6638">
        <v>1.1103099999999999E-49</v>
      </c>
      <c r="O6638">
        <v>486</v>
      </c>
    </row>
    <row r="6639" spans="1:15" x14ac:dyDescent="0.25">
      <c r="A6639" t="s">
        <v>6652</v>
      </c>
      <c r="B6639">
        <v>174</v>
      </c>
      <c r="C6639" s="1" t="str">
        <f>HYPERLINK("http://www.rosaceae.org/gb/gbrowse/malus_x_domestica/?name=MDP0000132833","MDP0000132833")</f>
        <v>MDP0000132833</v>
      </c>
      <c r="D6639">
        <v>64.92</v>
      </c>
      <c r="E6639">
        <v>134</v>
      </c>
      <c r="F6639">
        <v>47</v>
      </c>
      <c r="G6639">
        <v>9</v>
      </c>
      <c r="H6639">
        <v>4</v>
      </c>
      <c r="I6639">
        <v>129</v>
      </c>
      <c r="J6639">
        <v>1</v>
      </c>
      <c r="K6639">
        <v>1</v>
      </c>
      <c r="L6639">
        <v>133</v>
      </c>
      <c r="M6639">
        <v>1</v>
      </c>
      <c r="N6639">
        <v>6.6555900000000002E-41</v>
      </c>
      <c r="O6639">
        <v>413</v>
      </c>
    </row>
    <row r="6640" spans="1:15" x14ac:dyDescent="0.25">
      <c r="A6640" t="s">
        <v>6653</v>
      </c>
      <c r="B6640">
        <v>760</v>
      </c>
      <c r="C6640" s="1" t="str">
        <f>HYPERLINK("http://www.rosaceae.org/gb/gbrowse/malus_x_domestica/?name=MDP0000276134","MDP0000276134")</f>
        <v>MDP0000276134</v>
      </c>
      <c r="D6640">
        <v>76.260000000000005</v>
      </c>
      <c r="E6640">
        <v>750</v>
      </c>
      <c r="F6640">
        <v>178</v>
      </c>
      <c r="G6640">
        <v>6</v>
      </c>
      <c r="H6640">
        <v>1</v>
      </c>
      <c r="I6640">
        <v>748</v>
      </c>
      <c r="J6640">
        <v>1</v>
      </c>
      <c r="K6640">
        <v>1</v>
      </c>
      <c r="L6640">
        <v>746</v>
      </c>
      <c r="M6640">
        <v>1</v>
      </c>
      <c r="N6640">
        <v>0</v>
      </c>
      <c r="O6640">
        <v>3027</v>
      </c>
    </row>
    <row r="6641" spans="1:15" x14ac:dyDescent="0.25">
      <c r="A6641" t="s">
        <v>6654</v>
      </c>
      <c r="B6641">
        <v>332</v>
      </c>
      <c r="C6641" s="1" t="str">
        <f>HYPERLINK("http://www.rosaceae.org/gb/gbrowse/malus_x_domestica/?name=MDP0000308051","MDP0000308051")</f>
        <v>MDP0000308051</v>
      </c>
      <c r="D6641">
        <v>53.48</v>
      </c>
      <c r="E6641">
        <v>316</v>
      </c>
      <c r="F6641">
        <v>147</v>
      </c>
      <c r="G6641">
        <v>63</v>
      </c>
      <c r="H6641">
        <v>21</v>
      </c>
      <c r="I6641">
        <v>332</v>
      </c>
      <c r="J6641">
        <v>1</v>
      </c>
      <c r="K6641">
        <v>173</v>
      </c>
      <c r="L6641">
        <v>429</v>
      </c>
      <c r="M6641">
        <v>1</v>
      </c>
      <c r="N6641">
        <v>1.12447E-74</v>
      </c>
      <c r="O6641">
        <v>708</v>
      </c>
    </row>
    <row r="6642" spans="1:15" x14ac:dyDescent="0.25">
      <c r="A6642" t="s">
        <v>6655</v>
      </c>
      <c r="B6642">
        <v>112</v>
      </c>
      <c r="C6642" s="1" t="str">
        <f>HYPERLINK("http://www.rosaceae.org/gb/gbrowse/malus_x_domestica/?name=MDP0000504439","MDP0000504439")</f>
        <v>MDP0000504439</v>
      </c>
      <c r="D6642">
        <v>94.64</v>
      </c>
      <c r="E6642">
        <v>112</v>
      </c>
      <c r="F6642">
        <v>6</v>
      </c>
      <c r="G6642">
        <v>0</v>
      </c>
      <c r="H6642">
        <v>1</v>
      </c>
      <c r="I6642">
        <v>112</v>
      </c>
      <c r="J6642">
        <v>1</v>
      </c>
      <c r="K6642">
        <v>1</v>
      </c>
      <c r="L6642">
        <v>112</v>
      </c>
      <c r="M6642">
        <v>1</v>
      </c>
      <c r="N6642">
        <v>6.2432700000000001E-59</v>
      </c>
      <c r="O6642">
        <v>566</v>
      </c>
    </row>
    <row r="6643" spans="1:15" x14ac:dyDescent="0.25">
      <c r="A6643" t="s">
        <v>6656</v>
      </c>
      <c r="B6643">
        <v>726</v>
      </c>
      <c r="C6643" s="1" t="str">
        <f>HYPERLINK("http://www.rosaceae.org/gb/gbrowse/malus_x_domestica/?name=MDP0000321333","MDP0000321333")</f>
        <v>MDP0000321333</v>
      </c>
      <c r="D6643">
        <v>86.58</v>
      </c>
      <c r="E6643">
        <v>343</v>
      </c>
      <c r="F6643">
        <v>46</v>
      </c>
      <c r="G6643">
        <v>17</v>
      </c>
      <c r="H6643">
        <v>1</v>
      </c>
      <c r="I6643">
        <v>326</v>
      </c>
      <c r="J6643">
        <v>1</v>
      </c>
      <c r="K6643">
        <v>1</v>
      </c>
      <c r="L6643">
        <v>343</v>
      </c>
      <c r="M6643">
        <v>1</v>
      </c>
      <c r="N6643">
        <v>5.5890399999999996E-177</v>
      </c>
      <c r="O6643">
        <v>1594</v>
      </c>
    </row>
    <row r="6644" spans="1:15" x14ac:dyDescent="0.25">
      <c r="A6644" t="s">
        <v>6657</v>
      </c>
      <c r="B6644">
        <v>468</v>
      </c>
      <c r="C6644" s="1" t="str">
        <f>HYPERLINK("http://www.rosaceae.org/gb/gbrowse/malus_x_domestica/?name=MDP0000313460","MDP0000313460")</f>
        <v>MDP0000313460</v>
      </c>
      <c r="D6644">
        <v>75.98</v>
      </c>
      <c r="E6644">
        <v>433</v>
      </c>
      <c r="F6644">
        <v>104</v>
      </c>
      <c r="G6644">
        <v>5</v>
      </c>
      <c r="H6644">
        <v>7</v>
      </c>
      <c r="I6644">
        <v>434</v>
      </c>
      <c r="J6644">
        <v>1</v>
      </c>
      <c r="K6644">
        <v>1</v>
      </c>
      <c r="L6644">
        <v>433</v>
      </c>
      <c r="M6644">
        <v>1</v>
      </c>
      <c r="N6644">
        <v>0</v>
      </c>
      <c r="O6644">
        <v>1741</v>
      </c>
    </row>
    <row r="6645" spans="1:15" x14ac:dyDescent="0.25">
      <c r="A6645" t="s">
        <v>6658</v>
      </c>
      <c r="B6645">
        <v>184</v>
      </c>
      <c r="C6645" s="1" t="str">
        <f>HYPERLINK("http://www.rosaceae.org/gb/gbrowse/malus_x_domestica/?name=MDP0000149551","MDP0000149551")</f>
        <v>MDP0000149551</v>
      </c>
      <c r="D6645">
        <v>99.45</v>
      </c>
      <c r="E6645">
        <v>182</v>
      </c>
      <c r="F6645">
        <v>1</v>
      </c>
      <c r="G6645">
        <v>0</v>
      </c>
      <c r="H6645">
        <v>1</v>
      </c>
      <c r="I6645">
        <v>182</v>
      </c>
      <c r="J6645">
        <v>1</v>
      </c>
      <c r="K6645">
        <v>1</v>
      </c>
      <c r="L6645">
        <v>182</v>
      </c>
      <c r="M6645">
        <v>1</v>
      </c>
      <c r="N6645">
        <v>6.3005400000000004E-105</v>
      </c>
      <c r="O6645">
        <v>966</v>
      </c>
    </row>
    <row r="6646" spans="1:15" x14ac:dyDescent="0.25">
      <c r="A6646" t="s">
        <v>6659</v>
      </c>
      <c r="B6646">
        <v>186</v>
      </c>
      <c r="C6646" s="1" t="str">
        <f>HYPERLINK("http://www.rosaceae.org/gb/gbrowse/malus_x_domestica/?name=MDP0000925584","MDP0000925584")</f>
        <v>MDP0000925584</v>
      </c>
      <c r="D6646">
        <v>47.95</v>
      </c>
      <c r="E6646">
        <v>196</v>
      </c>
      <c r="F6646">
        <v>102</v>
      </c>
      <c r="G6646">
        <v>10</v>
      </c>
      <c r="H6646">
        <v>1</v>
      </c>
      <c r="I6646">
        <v>186</v>
      </c>
      <c r="J6646">
        <v>1</v>
      </c>
      <c r="K6646">
        <v>1</v>
      </c>
      <c r="L6646">
        <v>196</v>
      </c>
      <c r="M6646">
        <v>1</v>
      </c>
      <c r="N6646">
        <v>3.3451899999999998E-36</v>
      </c>
      <c r="O6646">
        <v>373</v>
      </c>
    </row>
    <row r="6647" spans="1:15" x14ac:dyDescent="0.25">
      <c r="A6647" t="s">
        <v>6660</v>
      </c>
      <c r="B6647">
        <v>296</v>
      </c>
      <c r="C6647" s="1" t="str">
        <f>HYPERLINK("http://www.rosaceae.org/gb/gbrowse/malus_x_domestica/?name=MDP0000811831","MDP0000811831")</f>
        <v>MDP0000811831</v>
      </c>
      <c r="D6647">
        <v>54.47</v>
      </c>
      <c r="E6647">
        <v>246</v>
      </c>
      <c r="F6647">
        <v>112</v>
      </c>
      <c r="G6647">
        <v>61</v>
      </c>
      <c r="H6647">
        <v>1</v>
      </c>
      <c r="I6647">
        <v>185</v>
      </c>
      <c r="J6647">
        <v>1</v>
      </c>
      <c r="K6647">
        <v>179</v>
      </c>
      <c r="L6647">
        <v>424</v>
      </c>
      <c r="M6647">
        <v>1</v>
      </c>
      <c r="N6647">
        <v>4.7609000000000001E-60</v>
      </c>
      <c r="O6647">
        <v>582</v>
      </c>
    </row>
    <row r="6648" spans="1:15" x14ac:dyDescent="0.25">
      <c r="A6648" t="s">
        <v>6661</v>
      </c>
      <c r="B6648">
        <v>183</v>
      </c>
      <c r="C6648" s="1" t="str">
        <f>HYPERLINK("http://www.rosaceae.org/gb/gbrowse/malus_x_domestica/?name=MDP0000207079","MDP0000207079")</f>
        <v>MDP0000207079</v>
      </c>
      <c r="D6648">
        <v>35.92</v>
      </c>
      <c r="E6648">
        <v>103</v>
      </c>
      <c r="F6648">
        <v>66</v>
      </c>
      <c r="G6648">
        <v>0</v>
      </c>
      <c r="H6648">
        <v>46</v>
      </c>
      <c r="I6648">
        <v>148</v>
      </c>
      <c r="J6648">
        <v>1</v>
      </c>
      <c r="K6648">
        <v>127</v>
      </c>
      <c r="L6648">
        <v>229</v>
      </c>
      <c r="M6648">
        <v>1</v>
      </c>
      <c r="N6648">
        <v>1.41314E-12</v>
      </c>
      <c r="O6648">
        <v>169</v>
      </c>
    </row>
    <row r="6649" spans="1:15" x14ac:dyDescent="0.25">
      <c r="A6649" t="s">
        <v>6662</v>
      </c>
      <c r="B6649">
        <v>155</v>
      </c>
      <c r="C6649" s="1" t="str">
        <f>HYPERLINK("http://www.rosaceae.org/gb/gbrowse/malus_x_domestica/?name=MDP0000214497","MDP0000214497")</f>
        <v>MDP0000214497</v>
      </c>
      <c r="D6649">
        <v>51.3</v>
      </c>
      <c r="E6649">
        <v>115</v>
      </c>
      <c r="F6649">
        <v>56</v>
      </c>
      <c r="G6649">
        <v>13</v>
      </c>
      <c r="H6649">
        <v>37</v>
      </c>
      <c r="I6649">
        <v>149</v>
      </c>
      <c r="J6649">
        <v>1</v>
      </c>
      <c r="K6649">
        <v>12</v>
      </c>
      <c r="L6649">
        <v>115</v>
      </c>
      <c r="M6649">
        <v>1</v>
      </c>
      <c r="N6649">
        <v>8.8179799999999996E-20</v>
      </c>
      <c r="O6649">
        <v>230</v>
      </c>
    </row>
    <row r="6650" spans="1:15" x14ac:dyDescent="0.25">
      <c r="A6650" t="s">
        <v>6663</v>
      </c>
      <c r="B6650">
        <v>200</v>
      </c>
      <c r="C6650" s="1" t="str">
        <f>HYPERLINK("http://www.rosaceae.org/gb/gbrowse/malus_x_domestica/?name=MDP0000258587","MDP0000258587")</f>
        <v>MDP0000258587</v>
      </c>
      <c r="D6650">
        <v>90.56</v>
      </c>
      <c r="E6650">
        <v>106</v>
      </c>
      <c r="F6650">
        <v>10</v>
      </c>
      <c r="G6650">
        <v>2</v>
      </c>
      <c r="H6650">
        <v>18</v>
      </c>
      <c r="I6650">
        <v>121</v>
      </c>
      <c r="J6650">
        <v>1</v>
      </c>
      <c r="K6650">
        <v>142</v>
      </c>
      <c r="L6650">
        <v>247</v>
      </c>
      <c r="M6650">
        <v>1</v>
      </c>
      <c r="N6650">
        <v>3.5250999999999999E-54</v>
      </c>
      <c r="O6650">
        <v>529</v>
      </c>
    </row>
    <row r="6651" spans="1:15" x14ac:dyDescent="0.25">
      <c r="A6651" t="s">
        <v>6664</v>
      </c>
      <c r="B6651">
        <v>122</v>
      </c>
      <c r="C6651" s="1" t="str">
        <f>HYPERLINK("http://www.rosaceae.org/gb/gbrowse/malus_x_domestica/?name=MDP0000162172","MDP0000162172")</f>
        <v>MDP0000162172</v>
      </c>
      <c r="D6651">
        <v>64.510000000000005</v>
      </c>
      <c r="E6651">
        <v>62</v>
      </c>
      <c r="F6651">
        <v>22</v>
      </c>
      <c r="G6651">
        <v>7</v>
      </c>
      <c r="H6651">
        <v>35</v>
      </c>
      <c r="I6651">
        <v>91</v>
      </c>
      <c r="J6651">
        <v>1</v>
      </c>
      <c r="K6651">
        <v>5</v>
      </c>
      <c r="L6651">
        <v>64</v>
      </c>
      <c r="M6651">
        <v>1</v>
      </c>
      <c r="N6651">
        <v>1.60865E-15</v>
      </c>
      <c r="O6651">
        <v>191</v>
      </c>
    </row>
    <row r="6652" spans="1:15" x14ac:dyDescent="0.25">
      <c r="A6652" t="s">
        <v>6665</v>
      </c>
      <c r="B6652">
        <v>198</v>
      </c>
      <c r="C6652" s="1" t="str">
        <f>HYPERLINK("http://www.rosaceae.org/gb/gbrowse/malus_x_domestica/?name=MDP0000302984","MDP0000302984")</f>
        <v>MDP0000302984</v>
      </c>
      <c r="D6652">
        <v>46.42</v>
      </c>
      <c r="E6652">
        <v>84</v>
      </c>
      <c r="F6652">
        <v>45</v>
      </c>
      <c r="G6652">
        <v>3</v>
      </c>
      <c r="H6652">
        <v>100</v>
      </c>
      <c r="I6652">
        <v>183</v>
      </c>
      <c r="J6652">
        <v>1</v>
      </c>
      <c r="K6652">
        <v>515</v>
      </c>
      <c r="L6652">
        <v>595</v>
      </c>
      <c r="M6652">
        <v>1</v>
      </c>
      <c r="N6652">
        <v>1.93231E-16</v>
      </c>
      <c r="O6652">
        <v>203</v>
      </c>
    </row>
    <row r="6653" spans="1:15" x14ac:dyDescent="0.25">
      <c r="A6653" t="s">
        <v>6666</v>
      </c>
      <c r="B6653">
        <v>397</v>
      </c>
      <c r="C6653" s="1" t="str">
        <f>HYPERLINK("http://www.rosaceae.org/gb/gbrowse/malus_x_domestica/?name=MDP0000136463","MDP0000136463")</f>
        <v>MDP0000136463</v>
      </c>
      <c r="D6653">
        <v>38</v>
      </c>
      <c r="E6653">
        <v>421</v>
      </c>
      <c r="F6653">
        <v>261</v>
      </c>
      <c r="G6653">
        <v>61</v>
      </c>
      <c r="H6653">
        <v>15</v>
      </c>
      <c r="I6653">
        <v>397</v>
      </c>
      <c r="J6653">
        <v>1</v>
      </c>
      <c r="K6653">
        <v>5</v>
      </c>
      <c r="L6653">
        <v>402</v>
      </c>
      <c r="M6653">
        <v>1</v>
      </c>
      <c r="N6653">
        <v>2.01895E-51</v>
      </c>
      <c r="O6653">
        <v>509</v>
      </c>
    </row>
    <row r="6654" spans="1:15" x14ac:dyDescent="0.25">
      <c r="A6654" t="s">
        <v>6667</v>
      </c>
      <c r="B6654">
        <v>358</v>
      </c>
      <c r="C6654" s="1" t="str">
        <f>HYPERLINK("http://www.rosaceae.org/gb/gbrowse/malus_x_domestica/?name=MDP0000494807","MDP0000494807")</f>
        <v>MDP0000494807</v>
      </c>
      <c r="D6654">
        <v>77.98</v>
      </c>
      <c r="E6654">
        <v>368</v>
      </c>
      <c r="F6654">
        <v>81</v>
      </c>
      <c r="G6654">
        <v>10</v>
      </c>
      <c r="H6654">
        <v>1</v>
      </c>
      <c r="I6654">
        <v>358</v>
      </c>
      <c r="J6654">
        <v>1</v>
      </c>
      <c r="K6654">
        <v>1</v>
      </c>
      <c r="L6654">
        <v>368</v>
      </c>
      <c r="M6654">
        <v>1</v>
      </c>
      <c r="N6654">
        <v>1.3370999999999999E-168</v>
      </c>
      <c r="O6654">
        <v>1519</v>
      </c>
    </row>
    <row r="6655" spans="1:15" x14ac:dyDescent="0.25">
      <c r="A6655" t="s">
        <v>6668</v>
      </c>
      <c r="B6655">
        <v>325</v>
      </c>
      <c r="C6655" s="1" t="str">
        <f>HYPERLINK("http://www.rosaceae.org/gb/gbrowse/malus_x_domestica/?name=MDP0000683606","MDP0000683606")</f>
        <v>MDP0000683606</v>
      </c>
      <c r="D6655">
        <v>82.62</v>
      </c>
      <c r="E6655">
        <v>259</v>
      </c>
      <c r="F6655">
        <v>45</v>
      </c>
      <c r="G6655">
        <v>1</v>
      </c>
      <c r="H6655">
        <v>67</v>
      </c>
      <c r="I6655">
        <v>325</v>
      </c>
      <c r="J6655">
        <v>1</v>
      </c>
      <c r="K6655">
        <v>72</v>
      </c>
      <c r="L6655">
        <v>329</v>
      </c>
      <c r="M6655">
        <v>1</v>
      </c>
      <c r="N6655">
        <v>1.8166699999999999E-125</v>
      </c>
      <c r="O6655">
        <v>1146</v>
      </c>
    </row>
    <row r="6656" spans="1:15" x14ac:dyDescent="0.25">
      <c r="A6656" t="s">
        <v>6669</v>
      </c>
      <c r="B6656">
        <v>167</v>
      </c>
      <c r="C6656" s="1" t="str">
        <f>HYPERLINK("http://www.rosaceae.org/gb/gbrowse/malus_x_domestica/?name=MDP0000135570","MDP0000135570")</f>
        <v>MDP0000135570</v>
      </c>
      <c r="D6656">
        <v>59.17</v>
      </c>
      <c r="E6656">
        <v>169</v>
      </c>
      <c r="F6656">
        <v>69</v>
      </c>
      <c r="G6656">
        <v>2</v>
      </c>
      <c r="H6656">
        <v>1</v>
      </c>
      <c r="I6656">
        <v>167</v>
      </c>
      <c r="J6656">
        <v>1</v>
      </c>
      <c r="K6656">
        <v>1</v>
      </c>
      <c r="L6656">
        <v>169</v>
      </c>
      <c r="M6656">
        <v>1</v>
      </c>
      <c r="N6656">
        <v>2.4773700000000002E-46</v>
      </c>
      <c r="O6656">
        <v>460</v>
      </c>
    </row>
    <row r="6657" spans="1:15" x14ac:dyDescent="0.25">
      <c r="A6657" t="s">
        <v>6670</v>
      </c>
      <c r="B6657">
        <v>451</v>
      </c>
      <c r="C6657" s="1" t="str">
        <f>HYPERLINK("http://www.rosaceae.org/gb/gbrowse/malus_x_domestica/?name=MDP0000293001","MDP0000293001")</f>
        <v>MDP0000293001</v>
      </c>
      <c r="D6657">
        <v>68.06</v>
      </c>
      <c r="E6657">
        <v>454</v>
      </c>
      <c r="F6657">
        <v>145</v>
      </c>
      <c r="G6657">
        <v>10</v>
      </c>
      <c r="H6657">
        <v>1</v>
      </c>
      <c r="I6657">
        <v>451</v>
      </c>
      <c r="J6657">
        <v>1</v>
      </c>
      <c r="K6657">
        <v>1</v>
      </c>
      <c r="L6657">
        <v>447</v>
      </c>
      <c r="M6657">
        <v>1</v>
      </c>
      <c r="N6657">
        <v>1.18653E-175</v>
      </c>
      <c r="O6657">
        <v>1581</v>
      </c>
    </row>
    <row r="6658" spans="1:15" x14ac:dyDescent="0.25">
      <c r="A6658" t="s">
        <v>6671</v>
      </c>
      <c r="B6658">
        <v>175</v>
      </c>
      <c r="C6658" s="1" t="str">
        <f>HYPERLINK("http://www.rosaceae.org/gb/gbrowse/malus_x_domestica/?name=MDP0000307226","MDP0000307226")</f>
        <v>MDP0000307226</v>
      </c>
      <c r="D6658">
        <v>50</v>
      </c>
      <c r="E6658">
        <v>58</v>
      </c>
      <c r="F6658">
        <v>29</v>
      </c>
      <c r="G6658">
        <v>0</v>
      </c>
      <c r="H6658">
        <v>39</v>
      </c>
      <c r="I6658">
        <v>96</v>
      </c>
      <c r="J6658">
        <v>1</v>
      </c>
      <c r="K6658">
        <v>104</v>
      </c>
      <c r="L6658">
        <v>161</v>
      </c>
      <c r="M6658">
        <v>1</v>
      </c>
      <c r="N6658">
        <v>1.8818299999999999E-10</v>
      </c>
      <c r="O6658">
        <v>151</v>
      </c>
    </row>
    <row r="6659" spans="1:15" x14ac:dyDescent="0.25">
      <c r="A6659" t="s">
        <v>6672</v>
      </c>
      <c r="B6659">
        <v>206</v>
      </c>
      <c r="C6659" s="1" t="str">
        <f>HYPERLINK("http://www.rosaceae.org/gb/gbrowse/malus_x_domestica/?name=MDP0000236565","MDP0000236565")</f>
        <v>MDP0000236565</v>
      </c>
      <c r="D6659">
        <v>66.819999999999993</v>
      </c>
      <c r="E6659">
        <v>205</v>
      </c>
      <c r="F6659">
        <v>68</v>
      </c>
      <c r="G6659">
        <v>4</v>
      </c>
      <c r="H6659">
        <v>1</v>
      </c>
      <c r="I6659">
        <v>204</v>
      </c>
      <c r="J6659">
        <v>1</v>
      </c>
      <c r="K6659">
        <v>1</v>
      </c>
      <c r="L6659">
        <v>202</v>
      </c>
      <c r="M6659">
        <v>1</v>
      </c>
      <c r="N6659">
        <v>1.33511E-73</v>
      </c>
      <c r="O6659">
        <v>696</v>
      </c>
    </row>
    <row r="6660" spans="1:15" x14ac:dyDescent="0.25">
      <c r="A6660" t="s">
        <v>6673</v>
      </c>
      <c r="B6660">
        <v>431</v>
      </c>
      <c r="C6660" s="1" t="str">
        <f>HYPERLINK("http://www.rosaceae.org/gb/gbrowse/malus_x_domestica/?name=MDP0000690300","MDP0000690300")</f>
        <v>MDP0000690300</v>
      </c>
      <c r="D6660">
        <v>61.53</v>
      </c>
      <c r="E6660">
        <v>364</v>
      </c>
      <c r="F6660">
        <v>140</v>
      </c>
      <c r="G6660">
        <v>17</v>
      </c>
      <c r="H6660">
        <v>71</v>
      </c>
      <c r="I6660">
        <v>425</v>
      </c>
      <c r="J6660">
        <v>1</v>
      </c>
      <c r="K6660">
        <v>41</v>
      </c>
      <c r="L6660">
        <v>396</v>
      </c>
      <c r="M6660">
        <v>1</v>
      </c>
      <c r="N6660">
        <v>1.2420700000000001E-122</v>
      </c>
      <c r="O6660">
        <v>1123</v>
      </c>
    </row>
    <row r="6661" spans="1:15" x14ac:dyDescent="0.25">
      <c r="A6661" t="s">
        <v>6674</v>
      </c>
      <c r="B6661">
        <v>1521</v>
      </c>
      <c r="C6661" s="1" t="str">
        <f>HYPERLINK("http://www.rosaceae.org/gb/gbrowse/malus_x_domestica/?name=MDP0000903999","MDP0000903999")</f>
        <v>MDP0000903999</v>
      </c>
      <c r="D6661">
        <v>65.849999999999994</v>
      </c>
      <c r="E6661">
        <v>1567</v>
      </c>
      <c r="F6661">
        <v>535</v>
      </c>
      <c r="G6661">
        <v>94</v>
      </c>
      <c r="H6661">
        <v>1</v>
      </c>
      <c r="I6661">
        <v>1519</v>
      </c>
      <c r="J6661">
        <v>1</v>
      </c>
      <c r="K6661">
        <v>1</v>
      </c>
      <c r="L6661">
        <v>1521</v>
      </c>
      <c r="M6661">
        <v>1</v>
      </c>
      <c r="N6661">
        <v>0</v>
      </c>
      <c r="O6661">
        <v>5227</v>
      </c>
    </row>
    <row r="6662" spans="1:15" x14ac:dyDescent="0.25">
      <c r="A6662" t="s">
        <v>6675</v>
      </c>
      <c r="B6662">
        <v>161</v>
      </c>
      <c r="C6662" s="1" t="str">
        <f>HYPERLINK("http://www.rosaceae.org/gb/gbrowse/malus_x_domestica/?name=MDP0000218090","MDP0000218090")</f>
        <v>MDP0000218090</v>
      </c>
      <c r="D6662">
        <v>40.35</v>
      </c>
      <c r="E6662">
        <v>171</v>
      </c>
      <c r="F6662">
        <v>102</v>
      </c>
      <c r="G6662">
        <v>28</v>
      </c>
      <c r="H6662">
        <v>13</v>
      </c>
      <c r="I6662">
        <v>161</v>
      </c>
      <c r="J6662">
        <v>1</v>
      </c>
      <c r="K6662">
        <v>3</v>
      </c>
      <c r="L6662">
        <v>167</v>
      </c>
      <c r="M6662">
        <v>1</v>
      </c>
      <c r="N6662">
        <v>2.0731900000000001E-18</v>
      </c>
      <c r="O6662">
        <v>219</v>
      </c>
    </row>
    <row r="6663" spans="1:15" x14ac:dyDescent="0.25">
      <c r="A6663" t="s">
        <v>6676</v>
      </c>
      <c r="B6663">
        <v>122</v>
      </c>
      <c r="C6663" s="1" t="str">
        <f>HYPERLINK("http://www.rosaceae.org/gb/gbrowse/malus_x_domestica/?name=MDP0000167767","MDP0000167767")</f>
        <v>MDP0000167767</v>
      </c>
      <c r="D6663">
        <v>60.17</v>
      </c>
      <c r="E6663">
        <v>113</v>
      </c>
      <c r="F6663">
        <v>45</v>
      </c>
      <c r="G6663">
        <v>8</v>
      </c>
      <c r="H6663">
        <v>1</v>
      </c>
      <c r="I6663">
        <v>105</v>
      </c>
      <c r="J6663">
        <v>1</v>
      </c>
      <c r="K6663">
        <v>105</v>
      </c>
      <c r="L6663">
        <v>217</v>
      </c>
      <c r="M6663">
        <v>1</v>
      </c>
      <c r="N6663">
        <v>7.8829600000000003E-30</v>
      </c>
      <c r="O6663">
        <v>315</v>
      </c>
    </row>
    <row r="6664" spans="1:15" x14ac:dyDescent="0.25">
      <c r="A6664" t="s">
        <v>6677</v>
      </c>
      <c r="B6664">
        <v>267</v>
      </c>
      <c r="C6664" s="1" t="str">
        <f>HYPERLINK("http://www.rosaceae.org/gb/gbrowse/malus_x_domestica/?name=MDP0000787720","MDP0000787720")</f>
        <v>MDP0000787720</v>
      </c>
      <c r="D6664">
        <v>60.34</v>
      </c>
      <c r="E6664">
        <v>232</v>
      </c>
      <c r="F6664">
        <v>92</v>
      </c>
      <c r="G6664">
        <v>37</v>
      </c>
      <c r="H6664">
        <v>58</v>
      </c>
      <c r="I6664">
        <v>267</v>
      </c>
      <c r="J6664">
        <v>1</v>
      </c>
      <c r="K6664">
        <v>58</v>
      </c>
      <c r="L6664">
        <v>274</v>
      </c>
      <c r="M6664">
        <v>1</v>
      </c>
      <c r="N6664">
        <v>8.9323599999999999E-67</v>
      </c>
      <c r="O6664">
        <v>639</v>
      </c>
    </row>
    <row r="6665" spans="1:15" x14ac:dyDescent="0.25">
      <c r="A6665" t="s">
        <v>6678</v>
      </c>
      <c r="B6665">
        <v>314</v>
      </c>
      <c r="C6665" s="1" t="str">
        <f>HYPERLINK("http://www.rosaceae.org/gb/gbrowse/malus_x_domestica/?name=MDP0000261805","MDP0000261805")</f>
        <v>MDP0000261805</v>
      </c>
      <c r="D6665">
        <v>51.57</v>
      </c>
      <c r="E6665">
        <v>190</v>
      </c>
      <c r="F6665">
        <v>92</v>
      </c>
      <c r="G6665">
        <v>3</v>
      </c>
      <c r="H6665">
        <v>104</v>
      </c>
      <c r="I6665">
        <v>293</v>
      </c>
      <c r="J6665">
        <v>1</v>
      </c>
      <c r="K6665">
        <v>919</v>
      </c>
      <c r="L6665">
        <v>1105</v>
      </c>
      <c r="M6665">
        <v>1</v>
      </c>
      <c r="N6665">
        <v>5.5323999999999997E-51</v>
      </c>
      <c r="O6665">
        <v>504</v>
      </c>
    </row>
    <row r="6666" spans="1:15" x14ac:dyDescent="0.25">
      <c r="A6666" t="s">
        <v>6679</v>
      </c>
      <c r="B6666">
        <v>205</v>
      </c>
      <c r="C6666" s="1" t="str">
        <f>HYPERLINK("http://www.rosaceae.org/gb/gbrowse/malus_x_domestica/?name=MDP0000130030","MDP0000130030")</f>
        <v>MDP0000130030</v>
      </c>
      <c r="D6666">
        <v>51.26</v>
      </c>
      <c r="E6666">
        <v>158</v>
      </c>
      <c r="F6666">
        <v>77</v>
      </c>
      <c r="G6666">
        <v>3</v>
      </c>
      <c r="H6666">
        <v>1</v>
      </c>
      <c r="I6666">
        <v>157</v>
      </c>
      <c r="J6666">
        <v>1</v>
      </c>
      <c r="K6666">
        <v>214</v>
      </c>
      <c r="L6666">
        <v>369</v>
      </c>
      <c r="M6666">
        <v>1</v>
      </c>
      <c r="N6666">
        <v>2.1129699999999998E-40</v>
      </c>
      <c r="O6666">
        <v>410</v>
      </c>
    </row>
    <row r="6667" spans="1:15" x14ac:dyDescent="0.25">
      <c r="A6667" t="s">
        <v>6680</v>
      </c>
      <c r="B6667">
        <v>727</v>
      </c>
      <c r="C6667" s="1" t="str">
        <f>HYPERLINK("http://www.rosaceae.org/gb/gbrowse/malus_x_domestica/?name=MDP0000232533","MDP0000232533")</f>
        <v>MDP0000232533</v>
      </c>
      <c r="D6667">
        <v>65.900000000000006</v>
      </c>
      <c r="E6667">
        <v>657</v>
      </c>
      <c r="F6667">
        <v>224</v>
      </c>
      <c r="G6667">
        <v>87</v>
      </c>
      <c r="H6667">
        <v>1</v>
      </c>
      <c r="I6667">
        <v>616</v>
      </c>
      <c r="J6667">
        <v>1</v>
      </c>
      <c r="K6667">
        <v>1</v>
      </c>
      <c r="L6667">
        <v>611</v>
      </c>
      <c r="M6667">
        <v>1</v>
      </c>
      <c r="N6667">
        <v>0</v>
      </c>
      <c r="O6667">
        <v>2151</v>
      </c>
    </row>
    <row r="6668" spans="1:15" x14ac:dyDescent="0.25">
      <c r="A6668" t="s">
        <v>6681</v>
      </c>
      <c r="B6668">
        <v>277</v>
      </c>
      <c r="C6668" s="1" t="str">
        <f>HYPERLINK("http://www.rosaceae.org/gb/gbrowse/malus_x_domestica/?name=MDP0000095336","MDP0000095336")</f>
        <v>MDP0000095336</v>
      </c>
      <c r="D6668">
        <v>53.79</v>
      </c>
      <c r="E6668">
        <v>277</v>
      </c>
      <c r="F6668">
        <v>128</v>
      </c>
      <c r="G6668">
        <v>9</v>
      </c>
      <c r="H6668">
        <v>1</v>
      </c>
      <c r="I6668">
        <v>277</v>
      </c>
      <c r="J6668">
        <v>1</v>
      </c>
      <c r="K6668">
        <v>119</v>
      </c>
      <c r="L6668">
        <v>386</v>
      </c>
      <c r="M6668">
        <v>1</v>
      </c>
      <c r="N6668">
        <v>3.9664499999999998E-77</v>
      </c>
      <c r="O6668">
        <v>729</v>
      </c>
    </row>
    <row r="6669" spans="1:15" x14ac:dyDescent="0.25">
      <c r="A6669" t="s">
        <v>6682</v>
      </c>
      <c r="B6669">
        <v>355</v>
      </c>
      <c r="C6669" s="1" t="str">
        <f>HYPERLINK("http://www.rosaceae.org/gb/gbrowse/malus_x_domestica/?name=MDP0000121316","MDP0000121316")</f>
        <v>MDP0000121316</v>
      </c>
      <c r="D6669">
        <v>84.81</v>
      </c>
      <c r="E6669">
        <v>349</v>
      </c>
      <c r="F6669">
        <v>53</v>
      </c>
      <c r="G6669">
        <v>1</v>
      </c>
      <c r="H6669">
        <v>7</v>
      </c>
      <c r="I6669">
        <v>355</v>
      </c>
      <c r="J6669">
        <v>1</v>
      </c>
      <c r="K6669">
        <v>9</v>
      </c>
      <c r="L6669">
        <v>356</v>
      </c>
      <c r="M6669">
        <v>1</v>
      </c>
      <c r="N6669">
        <v>7.3612199999999998E-172</v>
      </c>
      <c r="O6669">
        <v>1547</v>
      </c>
    </row>
    <row r="6670" spans="1:15" x14ac:dyDescent="0.25">
      <c r="A6670" t="s">
        <v>6683</v>
      </c>
      <c r="B6670">
        <v>93</v>
      </c>
      <c r="C6670" s="1" t="str">
        <f>HYPERLINK("http://www.rosaceae.org/gb/gbrowse/malus_x_domestica/?name=MDP0000763693","MDP0000763693")</f>
        <v>MDP0000763693</v>
      </c>
      <c r="D6670">
        <v>80.55</v>
      </c>
      <c r="E6670">
        <v>72</v>
      </c>
      <c r="F6670">
        <v>14</v>
      </c>
      <c r="G6670">
        <v>0</v>
      </c>
      <c r="H6670">
        <v>22</v>
      </c>
      <c r="I6670">
        <v>93</v>
      </c>
      <c r="J6670">
        <v>1</v>
      </c>
      <c r="K6670">
        <v>1</v>
      </c>
      <c r="L6670">
        <v>72</v>
      </c>
      <c r="M6670">
        <v>1</v>
      </c>
      <c r="N6670">
        <v>2.4132700000000001E-29</v>
      </c>
      <c r="O6670">
        <v>310</v>
      </c>
    </row>
    <row r="6671" spans="1:15" x14ac:dyDescent="0.25">
      <c r="A6671" t="s">
        <v>6684</v>
      </c>
      <c r="B6671">
        <v>276</v>
      </c>
      <c r="C6671" s="1" t="str">
        <f>HYPERLINK("http://www.rosaceae.org/gb/gbrowse/malus_x_domestica/?name=MDP0000783676","MDP0000783676")</f>
        <v>MDP0000783676</v>
      </c>
      <c r="D6671">
        <v>91.83</v>
      </c>
      <c r="E6671">
        <v>98</v>
      </c>
      <c r="F6671">
        <v>8</v>
      </c>
      <c r="G6671">
        <v>0</v>
      </c>
      <c r="H6671">
        <v>151</v>
      </c>
      <c r="I6671">
        <v>248</v>
      </c>
      <c r="J6671">
        <v>1</v>
      </c>
      <c r="K6671">
        <v>923</v>
      </c>
      <c r="L6671">
        <v>1020</v>
      </c>
      <c r="M6671">
        <v>1</v>
      </c>
      <c r="N6671">
        <v>3.7828800000000001E-48</v>
      </c>
      <c r="O6671">
        <v>479</v>
      </c>
    </row>
    <row r="6672" spans="1:15" x14ac:dyDescent="0.25">
      <c r="A6672" t="s">
        <v>6685</v>
      </c>
      <c r="B6672">
        <v>307</v>
      </c>
      <c r="C6672" s="1" t="str">
        <f>HYPERLINK("http://www.rosaceae.org/gb/gbrowse/malus_x_domestica/?name=MDP0000248869","MDP0000248869")</f>
        <v>MDP0000248869</v>
      </c>
      <c r="D6672">
        <v>51.97</v>
      </c>
      <c r="E6672">
        <v>304</v>
      </c>
      <c r="F6672">
        <v>146</v>
      </c>
      <c r="G6672">
        <v>15</v>
      </c>
      <c r="H6672">
        <v>4</v>
      </c>
      <c r="I6672">
        <v>294</v>
      </c>
      <c r="J6672">
        <v>1</v>
      </c>
      <c r="K6672">
        <v>2</v>
      </c>
      <c r="L6672">
        <v>303</v>
      </c>
      <c r="M6672">
        <v>1</v>
      </c>
      <c r="N6672">
        <v>3.6469000000000001E-77</v>
      </c>
      <c r="O6672">
        <v>730</v>
      </c>
    </row>
    <row r="6673" spans="1:15" x14ac:dyDescent="0.25">
      <c r="A6673" t="s">
        <v>6686</v>
      </c>
      <c r="B6673">
        <v>355</v>
      </c>
      <c r="C6673" s="1" t="str">
        <f>HYPERLINK("http://www.rosaceae.org/gb/gbrowse/malus_x_domestica/?name=MDP0000237340","MDP0000237340")</f>
        <v>MDP0000237340</v>
      </c>
      <c r="D6673">
        <v>66.31</v>
      </c>
      <c r="E6673">
        <v>187</v>
      </c>
      <c r="F6673">
        <v>63</v>
      </c>
      <c r="G6673">
        <v>17</v>
      </c>
      <c r="H6673">
        <v>171</v>
      </c>
      <c r="I6673">
        <v>340</v>
      </c>
      <c r="J6673">
        <v>1</v>
      </c>
      <c r="K6673">
        <v>220</v>
      </c>
      <c r="L6673">
        <v>406</v>
      </c>
      <c r="M6673">
        <v>1</v>
      </c>
      <c r="N6673">
        <v>1.58189E-65</v>
      </c>
      <c r="O6673">
        <v>630</v>
      </c>
    </row>
    <row r="6674" spans="1:15" x14ac:dyDescent="0.25">
      <c r="A6674" t="s">
        <v>6687</v>
      </c>
      <c r="B6674">
        <v>518</v>
      </c>
      <c r="C6674" s="1" t="str">
        <f>HYPERLINK("http://www.rosaceae.org/gb/gbrowse/malus_x_domestica/?name=MDP0000316781","MDP0000316781")</f>
        <v>MDP0000316781</v>
      </c>
      <c r="D6674">
        <v>68.180000000000007</v>
      </c>
      <c r="E6674">
        <v>506</v>
      </c>
      <c r="F6674">
        <v>161</v>
      </c>
      <c r="G6674">
        <v>42</v>
      </c>
      <c r="H6674">
        <v>24</v>
      </c>
      <c r="I6674">
        <v>501</v>
      </c>
      <c r="J6674">
        <v>1</v>
      </c>
      <c r="K6674">
        <v>24</v>
      </c>
      <c r="L6674">
        <v>515</v>
      </c>
      <c r="M6674">
        <v>1</v>
      </c>
      <c r="N6674">
        <v>0</v>
      </c>
      <c r="O6674">
        <v>1800</v>
      </c>
    </row>
    <row r="6675" spans="1:15" x14ac:dyDescent="0.25">
      <c r="A6675" t="s">
        <v>6688</v>
      </c>
      <c r="B6675">
        <v>325</v>
      </c>
      <c r="C6675" s="1" t="str">
        <f>HYPERLINK("http://www.rosaceae.org/gb/gbrowse/malus_x_domestica/?name=MDP0000403162","MDP0000403162")</f>
        <v>MDP0000403162</v>
      </c>
      <c r="D6675">
        <v>49.82</v>
      </c>
      <c r="E6675">
        <v>293</v>
      </c>
      <c r="F6675">
        <v>147</v>
      </c>
      <c r="G6675">
        <v>60</v>
      </c>
      <c r="H6675">
        <v>1</v>
      </c>
      <c r="I6675">
        <v>293</v>
      </c>
      <c r="J6675">
        <v>1</v>
      </c>
      <c r="K6675">
        <v>1</v>
      </c>
      <c r="L6675">
        <v>233</v>
      </c>
      <c r="M6675">
        <v>1</v>
      </c>
      <c r="N6675">
        <v>3.0295600000000002E-59</v>
      </c>
      <c r="O6675">
        <v>575</v>
      </c>
    </row>
    <row r="6676" spans="1:15" x14ac:dyDescent="0.25">
      <c r="A6676" t="s">
        <v>6689</v>
      </c>
      <c r="B6676">
        <v>555</v>
      </c>
      <c r="C6676" s="1" t="str">
        <f>HYPERLINK("http://www.rosaceae.org/gb/gbrowse/malus_x_domestica/?name=MDP0000169207","MDP0000169207")</f>
        <v>MDP0000169207</v>
      </c>
      <c r="D6676">
        <v>55.27</v>
      </c>
      <c r="E6676">
        <v>512</v>
      </c>
      <c r="F6676">
        <v>229</v>
      </c>
      <c r="G6676">
        <v>38</v>
      </c>
      <c r="H6676">
        <v>1</v>
      </c>
      <c r="I6676">
        <v>494</v>
      </c>
      <c r="J6676">
        <v>1</v>
      </c>
      <c r="K6676">
        <v>1</v>
      </c>
      <c r="L6676">
        <v>492</v>
      </c>
      <c r="M6676">
        <v>1</v>
      </c>
      <c r="N6676">
        <v>6.15456E-144</v>
      </c>
      <c r="O6676">
        <v>1308</v>
      </c>
    </row>
    <row r="6677" spans="1:15" x14ac:dyDescent="0.25">
      <c r="A6677" t="s">
        <v>6690</v>
      </c>
      <c r="B6677">
        <v>993</v>
      </c>
      <c r="C6677" s="1" t="str">
        <f>HYPERLINK("http://www.rosaceae.org/gb/gbrowse/malus_x_domestica/?name=MDP0000757569","MDP0000757569")</f>
        <v>MDP0000757569</v>
      </c>
      <c r="D6677">
        <v>69.08</v>
      </c>
      <c r="E6677">
        <v>524</v>
      </c>
      <c r="F6677">
        <v>162</v>
      </c>
      <c r="G6677">
        <v>29</v>
      </c>
      <c r="H6677">
        <v>460</v>
      </c>
      <c r="I6677">
        <v>960</v>
      </c>
      <c r="J6677">
        <v>1</v>
      </c>
      <c r="K6677">
        <v>52</v>
      </c>
      <c r="L6677">
        <v>569</v>
      </c>
      <c r="M6677">
        <v>1</v>
      </c>
      <c r="N6677">
        <v>0</v>
      </c>
      <c r="O6677">
        <v>1827</v>
      </c>
    </row>
    <row r="6678" spans="1:15" x14ac:dyDescent="0.25">
      <c r="A6678" t="s">
        <v>6691</v>
      </c>
      <c r="B6678">
        <v>364</v>
      </c>
      <c r="C6678" s="1" t="str">
        <f>HYPERLINK("http://www.rosaceae.org/gb/gbrowse/malus_x_domestica/?name=MDP0000263094","MDP0000263094")</f>
        <v>MDP0000263094</v>
      </c>
      <c r="D6678">
        <v>59.63</v>
      </c>
      <c r="E6678">
        <v>384</v>
      </c>
      <c r="F6678">
        <v>155</v>
      </c>
      <c r="G6678">
        <v>36</v>
      </c>
      <c r="H6678">
        <v>4</v>
      </c>
      <c r="I6678">
        <v>363</v>
      </c>
      <c r="J6678">
        <v>1</v>
      </c>
      <c r="K6678">
        <v>10</v>
      </c>
      <c r="L6678">
        <v>381</v>
      </c>
      <c r="M6678">
        <v>1</v>
      </c>
      <c r="N6678">
        <v>4.8020600000000001E-127</v>
      </c>
      <c r="O6678">
        <v>1161</v>
      </c>
    </row>
    <row r="6679" spans="1:15" x14ac:dyDescent="0.25">
      <c r="A6679" t="s">
        <v>6692</v>
      </c>
      <c r="B6679">
        <v>145</v>
      </c>
      <c r="C6679" s="1" t="str">
        <f>HYPERLINK("http://www.rosaceae.org/gb/gbrowse/malus_x_domestica/?name=MDP0000294407","MDP0000294407")</f>
        <v>MDP0000294407</v>
      </c>
      <c r="D6679">
        <v>41.44</v>
      </c>
      <c r="E6679">
        <v>111</v>
      </c>
      <c r="F6679">
        <v>65</v>
      </c>
      <c r="G6679">
        <v>15</v>
      </c>
      <c r="H6679">
        <v>39</v>
      </c>
      <c r="I6679">
        <v>138</v>
      </c>
      <c r="J6679">
        <v>1</v>
      </c>
      <c r="K6679">
        <v>42</v>
      </c>
      <c r="L6679">
        <v>148</v>
      </c>
      <c r="M6679">
        <v>1</v>
      </c>
      <c r="N6679">
        <v>4.0302600000000001E-14</v>
      </c>
      <c r="O6679">
        <v>181</v>
      </c>
    </row>
    <row r="6680" spans="1:15" x14ac:dyDescent="0.25">
      <c r="A6680" t="s">
        <v>6693</v>
      </c>
      <c r="B6680">
        <v>1312</v>
      </c>
      <c r="C6680" s="1" t="str">
        <f>HYPERLINK("http://www.rosaceae.org/gb/gbrowse/malus_x_domestica/?name=MDP0000203781","MDP0000203781")</f>
        <v>MDP0000203781</v>
      </c>
      <c r="D6680">
        <v>50.39</v>
      </c>
      <c r="E6680">
        <v>1127</v>
      </c>
      <c r="F6680">
        <v>559</v>
      </c>
      <c r="G6680">
        <v>49</v>
      </c>
      <c r="H6680">
        <v>221</v>
      </c>
      <c r="I6680">
        <v>1307</v>
      </c>
      <c r="J6680">
        <v>1</v>
      </c>
      <c r="K6680">
        <v>81</v>
      </c>
      <c r="L6680">
        <v>1198</v>
      </c>
      <c r="M6680">
        <v>1</v>
      </c>
      <c r="N6680">
        <v>0</v>
      </c>
      <c r="O6680">
        <v>2484</v>
      </c>
    </row>
    <row r="6681" spans="1:15" x14ac:dyDescent="0.25">
      <c r="A6681" t="s">
        <v>6694</v>
      </c>
      <c r="B6681">
        <v>164</v>
      </c>
      <c r="C6681" s="1" t="str">
        <f>HYPERLINK("http://www.rosaceae.org/gb/gbrowse/malus_x_domestica/?name=MDP0000283456","MDP0000283456")</f>
        <v>MDP0000283456</v>
      </c>
      <c r="D6681">
        <v>67.7</v>
      </c>
      <c r="E6681">
        <v>161</v>
      </c>
      <c r="F6681">
        <v>52</v>
      </c>
      <c r="G6681">
        <v>7</v>
      </c>
      <c r="H6681">
        <v>1</v>
      </c>
      <c r="I6681">
        <v>154</v>
      </c>
      <c r="J6681">
        <v>1</v>
      </c>
      <c r="K6681">
        <v>1</v>
      </c>
      <c r="L6681">
        <v>161</v>
      </c>
      <c r="M6681">
        <v>1</v>
      </c>
      <c r="N6681">
        <v>3.3577600000000001E-57</v>
      </c>
      <c r="O6681">
        <v>553</v>
      </c>
    </row>
    <row r="6682" spans="1:15" x14ac:dyDescent="0.25">
      <c r="A6682" t="s">
        <v>6695</v>
      </c>
      <c r="B6682">
        <v>423</v>
      </c>
      <c r="C6682" s="1" t="str">
        <f>HYPERLINK("http://www.rosaceae.org/gb/gbrowse/malus_x_domestica/?name=MDP0000259622","MDP0000259622")</f>
        <v>MDP0000259622</v>
      </c>
      <c r="D6682">
        <v>77.010000000000005</v>
      </c>
      <c r="E6682">
        <v>422</v>
      </c>
      <c r="F6682">
        <v>97</v>
      </c>
      <c r="G6682">
        <v>3</v>
      </c>
      <c r="H6682">
        <v>1</v>
      </c>
      <c r="I6682">
        <v>422</v>
      </c>
      <c r="J6682">
        <v>1</v>
      </c>
      <c r="K6682">
        <v>141</v>
      </c>
      <c r="L6682">
        <v>559</v>
      </c>
      <c r="M6682">
        <v>1</v>
      </c>
      <c r="N6682">
        <v>0</v>
      </c>
      <c r="O6682">
        <v>1717</v>
      </c>
    </row>
    <row r="6683" spans="1:15" x14ac:dyDescent="0.25">
      <c r="A6683" t="s">
        <v>6696</v>
      </c>
      <c r="B6683">
        <v>1251</v>
      </c>
      <c r="C6683" s="1" t="str">
        <f>HYPERLINK("http://www.rosaceae.org/gb/gbrowse/malus_x_domestica/?name=MDP0000233409","MDP0000233409")</f>
        <v>MDP0000233409</v>
      </c>
      <c r="D6683">
        <v>55.14</v>
      </c>
      <c r="E6683">
        <v>778</v>
      </c>
      <c r="F6683">
        <v>349</v>
      </c>
      <c r="G6683">
        <v>106</v>
      </c>
      <c r="H6683">
        <v>117</v>
      </c>
      <c r="I6683">
        <v>794</v>
      </c>
      <c r="J6683">
        <v>1</v>
      </c>
      <c r="K6683">
        <v>209</v>
      </c>
      <c r="L6683">
        <v>980</v>
      </c>
      <c r="M6683">
        <v>1</v>
      </c>
      <c r="N6683">
        <v>0</v>
      </c>
      <c r="O6683">
        <v>2085</v>
      </c>
    </row>
    <row r="6684" spans="1:15" x14ac:dyDescent="0.25">
      <c r="A6684" t="s">
        <v>6697</v>
      </c>
      <c r="B6684">
        <v>392</v>
      </c>
      <c r="C6684" s="1" t="str">
        <f>HYPERLINK("http://www.rosaceae.org/gb/gbrowse/malus_x_domestica/?name=MDP0000230601","MDP0000230601")</f>
        <v>MDP0000230601</v>
      </c>
      <c r="D6684">
        <v>60.33</v>
      </c>
      <c r="E6684">
        <v>300</v>
      </c>
      <c r="F6684">
        <v>119</v>
      </c>
      <c r="G6684">
        <v>8</v>
      </c>
      <c r="H6684">
        <v>98</v>
      </c>
      <c r="I6684">
        <v>391</v>
      </c>
      <c r="J6684">
        <v>1</v>
      </c>
      <c r="K6684">
        <v>2</v>
      </c>
      <c r="L6684">
        <v>299</v>
      </c>
      <c r="M6684">
        <v>1</v>
      </c>
      <c r="N6684">
        <v>4.7883799999999998E-88</v>
      </c>
      <c r="O6684">
        <v>825</v>
      </c>
    </row>
    <row r="6685" spans="1:15" x14ac:dyDescent="0.25">
      <c r="A6685" t="s">
        <v>6698</v>
      </c>
      <c r="B6685">
        <v>285</v>
      </c>
      <c r="C6685" s="1" t="str">
        <f>HYPERLINK("http://www.rosaceae.org/gb/gbrowse/malus_x_domestica/?name=MDP0000715154","MDP0000715154")</f>
        <v>MDP0000715154</v>
      </c>
      <c r="D6685">
        <v>77.59</v>
      </c>
      <c r="E6685">
        <v>241</v>
      </c>
      <c r="F6685">
        <v>54</v>
      </c>
      <c r="G6685">
        <v>1</v>
      </c>
      <c r="H6685">
        <v>45</v>
      </c>
      <c r="I6685">
        <v>284</v>
      </c>
      <c r="J6685">
        <v>1</v>
      </c>
      <c r="K6685">
        <v>46</v>
      </c>
      <c r="L6685">
        <v>286</v>
      </c>
      <c r="M6685">
        <v>1</v>
      </c>
      <c r="N6685">
        <v>1.5733099999999999E-111</v>
      </c>
      <c r="O6685">
        <v>1026</v>
      </c>
    </row>
    <row r="6686" spans="1:15" x14ac:dyDescent="0.25">
      <c r="A6686" t="s">
        <v>6699</v>
      </c>
      <c r="B6686">
        <v>802</v>
      </c>
      <c r="C6686" s="1" t="str">
        <f>HYPERLINK("http://www.rosaceae.org/gb/gbrowse/malus_x_domestica/?name=MDP0000309775","MDP0000309775")</f>
        <v>MDP0000309775</v>
      </c>
      <c r="D6686">
        <v>83.65</v>
      </c>
      <c r="E6686">
        <v>667</v>
      </c>
      <c r="F6686">
        <v>109</v>
      </c>
      <c r="G6686">
        <v>19</v>
      </c>
      <c r="H6686">
        <v>136</v>
      </c>
      <c r="I6686">
        <v>802</v>
      </c>
      <c r="J6686">
        <v>1</v>
      </c>
      <c r="K6686">
        <v>33</v>
      </c>
      <c r="L6686">
        <v>680</v>
      </c>
      <c r="M6686">
        <v>1</v>
      </c>
      <c r="N6686">
        <v>0</v>
      </c>
      <c r="O6686">
        <v>2870</v>
      </c>
    </row>
    <row r="6687" spans="1:15" x14ac:dyDescent="0.25">
      <c r="A6687" t="s">
        <v>6700</v>
      </c>
      <c r="B6687">
        <v>328</v>
      </c>
      <c r="C6687" s="1" t="str">
        <f>HYPERLINK("http://www.rosaceae.org/gb/gbrowse/malus_x_domestica/?name=MDP0000544533","MDP0000544533")</f>
        <v>MDP0000544533</v>
      </c>
      <c r="D6687">
        <v>28.32</v>
      </c>
      <c r="E6687">
        <v>173</v>
      </c>
      <c r="F6687">
        <v>124</v>
      </c>
      <c r="G6687">
        <v>22</v>
      </c>
      <c r="H6687">
        <v>1</v>
      </c>
      <c r="I6687">
        <v>165</v>
      </c>
      <c r="J6687">
        <v>1</v>
      </c>
      <c r="K6687">
        <v>1</v>
      </c>
      <c r="L6687">
        <v>159</v>
      </c>
      <c r="M6687">
        <v>1</v>
      </c>
      <c r="N6687">
        <v>3.58928E-10</v>
      </c>
      <c r="O6687">
        <v>152</v>
      </c>
    </row>
    <row r="6688" spans="1:15" x14ac:dyDescent="0.25">
      <c r="A6688" t="s">
        <v>6701</v>
      </c>
      <c r="B6688">
        <v>157</v>
      </c>
      <c r="C6688" s="1" t="str">
        <f>HYPERLINK("http://www.rosaceae.org/gb/gbrowse/malus_x_domestica/?name=MDP0000804605","MDP0000804605")</f>
        <v>MDP0000804605</v>
      </c>
      <c r="D6688">
        <v>84.92</v>
      </c>
      <c r="E6688">
        <v>126</v>
      </c>
      <c r="F6688">
        <v>19</v>
      </c>
      <c r="G6688">
        <v>0</v>
      </c>
      <c r="H6688">
        <v>32</v>
      </c>
      <c r="I6688">
        <v>157</v>
      </c>
      <c r="J6688">
        <v>1</v>
      </c>
      <c r="K6688">
        <v>27</v>
      </c>
      <c r="L6688">
        <v>152</v>
      </c>
      <c r="M6688">
        <v>1</v>
      </c>
      <c r="N6688">
        <v>2.0088500000000001E-55</v>
      </c>
      <c r="O6688">
        <v>538</v>
      </c>
    </row>
    <row r="6689" spans="1:15" x14ac:dyDescent="0.25">
      <c r="A6689" t="s">
        <v>6702</v>
      </c>
      <c r="B6689">
        <v>498</v>
      </c>
      <c r="C6689" s="1" t="str">
        <f>HYPERLINK("http://www.rosaceae.org/gb/gbrowse/malus_x_domestica/?name=MDP0000309677","MDP0000309677")</f>
        <v>MDP0000309677</v>
      </c>
      <c r="D6689">
        <v>90.66</v>
      </c>
      <c r="E6689">
        <v>439</v>
      </c>
      <c r="F6689">
        <v>41</v>
      </c>
      <c r="G6689">
        <v>0</v>
      </c>
      <c r="H6689">
        <v>38</v>
      </c>
      <c r="I6689">
        <v>476</v>
      </c>
      <c r="J6689">
        <v>1</v>
      </c>
      <c r="K6689">
        <v>38</v>
      </c>
      <c r="L6689">
        <v>476</v>
      </c>
      <c r="M6689">
        <v>1</v>
      </c>
      <c r="N6689">
        <v>0</v>
      </c>
      <c r="O6689">
        <v>2121</v>
      </c>
    </row>
    <row r="6690" spans="1:15" x14ac:dyDescent="0.25">
      <c r="A6690" t="s">
        <v>6703</v>
      </c>
      <c r="B6690">
        <v>408</v>
      </c>
      <c r="C6690" s="1" t="str">
        <f>HYPERLINK("http://www.rosaceae.org/gb/gbrowse/malus_x_domestica/?name=MDP0000143692","MDP0000143692")</f>
        <v>MDP0000143692</v>
      </c>
      <c r="D6690">
        <v>41.55</v>
      </c>
      <c r="E6690">
        <v>385</v>
      </c>
      <c r="F6690">
        <v>225</v>
      </c>
      <c r="G6690">
        <v>25</v>
      </c>
      <c r="H6690">
        <v>18</v>
      </c>
      <c r="I6690">
        <v>384</v>
      </c>
      <c r="J6690">
        <v>1</v>
      </c>
      <c r="K6690">
        <v>15</v>
      </c>
      <c r="L6690">
        <v>392</v>
      </c>
      <c r="M6690">
        <v>1</v>
      </c>
      <c r="N6690">
        <v>7.8661399999999994E-64</v>
      </c>
      <c r="O6690">
        <v>616</v>
      </c>
    </row>
    <row r="6691" spans="1:15" x14ac:dyDescent="0.25">
      <c r="A6691" t="s">
        <v>6704</v>
      </c>
      <c r="B6691">
        <v>513</v>
      </c>
      <c r="C6691" s="1" t="str">
        <f>HYPERLINK("http://www.rosaceae.org/gb/gbrowse/malus_x_domestica/?name=MDP0000256812","MDP0000256812")</f>
        <v>MDP0000256812</v>
      </c>
      <c r="D6691">
        <v>68.91</v>
      </c>
      <c r="E6691">
        <v>489</v>
      </c>
      <c r="F6691">
        <v>152</v>
      </c>
      <c r="G6691">
        <v>4</v>
      </c>
      <c r="H6691">
        <v>28</v>
      </c>
      <c r="I6691">
        <v>513</v>
      </c>
      <c r="J6691">
        <v>1</v>
      </c>
      <c r="K6691">
        <v>27</v>
      </c>
      <c r="L6691">
        <v>514</v>
      </c>
      <c r="M6691">
        <v>1</v>
      </c>
      <c r="N6691">
        <v>0</v>
      </c>
      <c r="O6691">
        <v>1772</v>
      </c>
    </row>
    <row r="6692" spans="1:15" x14ac:dyDescent="0.25">
      <c r="A6692" t="s">
        <v>6705</v>
      </c>
      <c r="B6692">
        <v>212</v>
      </c>
      <c r="C6692" s="1" t="str">
        <f>HYPERLINK("http://www.rosaceae.org/gb/gbrowse/malus_x_domestica/?name=MDP0000686221","MDP0000686221")</f>
        <v>MDP0000686221</v>
      </c>
      <c r="D6692">
        <v>44.04</v>
      </c>
      <c r="E6692">
        <v>193</v>
      </c>
      <c r="F6692">
        <v>108</v>
      </c>
      <c r="G6692">
        <v>7</v>
      </c>
      <c r="H6692">
        <v>8</v>
      </c>
      <c r="I6692">
        <v>193</v>
      </c>
      <c r="J6692">
        <v>1</v>
      </c>
      <c r="K6692">
        <v>913</v>
      </c>
      <c r="L6692">
        <v>1105</v>
      </c>
      <c r="M6692">
        <v>1</v>
      </c>
      <c r="N6692">
        <v>7.6885799999999995E-36</v>
      </c>
      <c r="O6692">
        <v>371</v>
      </c>
    </row>
    <row r="6693" spans="1:15" x14ac:dyDescent="0.25">
      <c r="A6693" t="s">
        <v>6706</v>
      </c>
      <c r="B6693">
        <v>511</v>
      </c>
      <c r="C6693" s="1" t="str">
        <f>HYPERLINK("http://www.rosaceae.org/gb/gbrowse/malus_x_domestica/?name=MDP0000930889","MDP0000930889")</f>
        <v>MDP0000930889</v>
      </c>
      <c r="D6693">
        <v>68</v>
      </c>
      <c r="E6693">
        <v>150</v>
      </c>
      <c r="F6693">
        <v>48</v>
      </c>
      <c r="G6693">
        <v>4</v>
      </c>
      <c r="H6693">
        <v>317</v>
      </c>
      <c r="I6693">
        <v>465</v>
      </c>
      <c r="J6693">
        <v>1</v>
      </c>
      <c r="K6693">
        <v>76</v>
      </c>
      <c r="L6693">
        <v>222</v>
      </c>
      <c r="M6693">
        <v>1</v>
      </c>
      <c r="N6693">
        <v>4.9836700000000003E-46</v>
      </c>
      <c r="O6693">
        <v>464</v>
      </c>
    </row>
    <row r="6694" spans="1:15" x14ac:dyDescent="0.25">
      <c r="A6694" t="s">
        <v>6707</v>
      </c>
      <c r="B6694">
        <v>759</v>
      </c>
      <c r="C6694" s="1" t="str">
        <f>HYPERLINK("http://www.rosaceae.org/gb/gbrowse/malus_x_domestica/?name=MDP0000321798","MDP0000321798")</f>
        <v>MDP0000321798</v>
      </c>
      <c r="D6694">
        <v>73.7</v>
      </c>
      <c r="E6694">
        <v>715</v>
      </c>
      <c r="F6694">
        <v>188</v>
      </c>
      <c r="G6694">
        <v>30</v>
      </c>
      <c r="H6694">
        <v>61</v>
      </c>
      <c r="I6694">
        <v>757</v>
      </c>
      <c r="J6694">
        <v>1</v>
      </c>
      <c r="K6694">
        <v>677</v>
      </c>
      <c r="L6694">
        <v>1379</v>
      </c>
      <c r="M6694">
        <v>1</v>
      </c>
      <c r="N6694">
        <v>0</v>
      </c>
      <c r="O6694">
        <v>2500</v>
      </c>
    </row>
    <row r="6695" spans="1:15" x14ac:dyDescent="0.25">
      <c r="A6695" t="s">
        <v>6708</v>
      </c>
      <c r="B6695">
        <v>571</v>
      </c>
      <c r="C6695" s="1" t="str">
        <f>HYPERLINK("http://www.rosaceae.org/gb/gbrowse/malus_x_domestica/?name=MDP0000790364","MDP0000790364")</f>
        <v>MDP0000790364</v>
      </c>
      <c r="D6695">
        <v>55.36</v>
      </c>
      <c r="E6695">
        <v>652</v>
      </c>
      <c r="F6695">
        <v>291</v>
      </c>
      <c r="G6695">
        <v>104</v>
      </c>
      <c r="H6695">
        <v>3</v>
      </c>
      <c r="I6695">
        <v>571</v>
      </c>
      <c r="J6695">
        <v>1</v>
      </c>
      <c r="K6695">
        <v>5</v>
      </c>
      <c r="L6695">
        <v>635</v>
      </c>
      <c r="M6695">
        <v>1</v>
      </c>
      <c r="N6695">
        <v>0</v>
      </c>
      <c r="O6695">
        <v>1756</v>
      </c>
    </row>
    <row r="6696" spans="1:15" x14ac:dyDescent="0.25">
      <c r="A6696" t="s">
        <v>6709</v>
      </c>
      <c r="B6696">
        <v>326</v>
      </c>
      <c r="C6696" s="1" t="str">
        <f>HYPERLINK("http://www.rosaceae.org/gb/gbrowse/malus_x_domestica/?name=MDP0000512791","MDP0000512791")</f>
        <v>MDP0000512791</v>
      </c>
      <c r="D6696">
        <v>71.12</v>
      </c>
      <c r="E6696">
        <v>187</v>
      </c>
      <c r="F6696">
        <v>54</v>
      </c>
      <c r="G6696">
        <v>8</v>
      </c>
      <c r="H6696">
        <v>143</v>
      </c>
      <c r="I6696">
        <v>326</v>
      </c>
      <c r="J6696">
        <v>1</v>
      </c>
      <c r="K6696">
        <v>68</v>
      </c>
      <c r="L6696">
        <v>249</v>
      </c>
      <c r="M6696">
        <v>1</v>
      </c>
      <c r="N6696">
        <v>5.7874499999999998E-58</v>
      </c>
      <c r="O6696">
        <v>564</v>
      </c>
    </row>
    <row r="6697" spans="1:15" x14ac:dyDescent="0.25">
      <c r="A6697" t="s">
        <v>6710</v>
      </c>
      <c r="B6697">
        <v>514</v>
      </c>
      <c r="C6697" s="1" t="str">
        <f>HYPERLINK("http://www.rosaceae.org/gb/gbrowse/malus_x_domestica/?name=MDP0000270811","MDP0000270811")</f>
        <v>MDP0000270811</v>
      </c>
      <c r="D6697">
        <v>55.75</v>
      </c>
      <c r="E6697">
        <v>391</v>
      </c>
      <c r="F6697">
        <v>173</v>
      </c>
      <c r="G6697">
        <v>38</v>
      </c>
      <c r="H6697">
        <v>153</v>
      </c>
      <c r="I6697">
        <v>511</v>
      </c>
      <c r="J6697">
        <v>1</v>
      </c>
      <c r="K6697">
        <v>328</v>
      </c>
      <c r="L6697">
        <v>712</v>
      </c>
      <c r="M6697">
        <v>1</v>
      </c>
      <c r="N6697">
        <v>1.11448E-115</v>
      </c>
      <c r="O6697">
        <v>1064</v>
      </c>
    </row>
    <row r="6698" spans="1:15" x14ac:dyDescent="0.25">
      <c r="A6698" t="s">
        <v>6711</v>
      </c>
      <c r="B6698">
        <v>140</v>
      </c>
      <c r="C6698" s="1" t="str">
        <f>HYPERLINK("http://www.rosaceae.org/gb/gbrowse/malus_x_domestica/?name=MDP0000318824","MDP0000318824")</f>
        <v>MDP0000318824</v>
      </c>
      <c r="D6698">
        <v>67.739999999999995</v>
      </c>
      <c r="E6698">
        <v>62</v>
      </c>
      <c r="F6698">
        <v>20</v>
      </c>
      <c r="G6698">
        <v>2</v>
      </c>
      <c r="H6698">
        <v>35</v>
      </c>
      <c r="I6698">
        <v>95</v>
      </c>
      <c r="J6698">
        <v>1</v>
      </c>
      <c r="K6698">
        <v>1</v>
      </c>
      <c r="L6698">
        <v>61</v>
      </c>
      <c r="M6698">
        <v>1</v>
      </c>
      <c r="N6698">
        <v>1.8643600000000002E-15</v>
      </c>
      <c r="O6698">
        <v>192</v>
      </c>
    </row>
    <row r="6699" spans="1:15" x14ac:dyDescent="0.25">
      <c r="A6699" t="s">
        <v>6712</v>
      </c>
      <c r="B6699">
        <v>409</v>
      </c>
      <c r="C6699" s="1" t="str">
        <f>HYPERLINK("http://www.rosaceae.org/gb/gbrowse/malus_x_domestica/?name=MDP0000800363","MDP0000800363")</f>
        <v>MDP0000800363</v>
      </c>
      <c r="D6699">
        <v>73.31</v>
      </c>
      <c r="E6699">
        <v>416</v>
      </c>
      <c r="F6699">
        <v>111</v>
      </c>
      <c r="G6699">
        <v>12</v>
      </c>
      <c r="H6699">
        <v>1</v>
      </c>
      <c r="I6699">
        <v>409</v>
      </c>
      <c r="J6699">
        <v>1</v>
      </c>
      <c r="K6699">
        <v>26</v>
      </c>
      <c r="L6699">
        <v>436</v>
      </c>
      <c r="M6699">
        <v>1</v>
      </c>
      <c r="N6699">
        <v>9.1687999999999998E-180</v>
      </c>
      <c r="O6699">
        <v>1616</v>
      </c>
    </row>
    <row r="6700" spans="1:15" x14ac:dyDescent="0.25">
      <c r="A6700" t="s">
        <v>6713</v>
      </c>
      <c r="B6700">
        <v>358</v>
      </c>
      <c r="C6700" s="1" t="str">
        <f>HYPERLINK("http://www.rosaceae.org/gb/gbrowse/malus_x_domestica/?name=MDP0000230425","MDP0000230425")</f>
        <v>MDP0000230425</v>
      </c>
      <c r="D6700">
        <v>61.11</v>
      </c>
      <c r="E6700">
        <v>252</v>
      </c>
      <c r="F6700">
        <v>98</v>
      </c>
      <c r="G6700">
        <v>8</v>
      </c>
      <c r="H6700">
        <v>1</v>
      </c>
      <c r="I6700">
        <v>247</v>
      </c>
      <c r="J6700">
        <v>1</v>
      </c>
      <c r="K6700">
        <v>3</v>
      </c>
      <c r="L6700">
        <v>251</v>
      </c>
      <c r="M6700">
        <v>1</v>
      </c>
      <c r="N6700">
        <v>6.8744099999999998E-75</v>
      </c>
      <c r="O6700">
        <v>711</v>
      </c>
    </row>
    <row r="6701" spans="1:15" x14ac:dyDescent="0.25">
      <c r="A6701" t="s">
        <v>6714</v>
      </c>
      <c r="B6701">
        <v>614</v>
      </c>
      <c r="C6701" s="1" t="str">
        <f>HYPERLINK("http://www.rosaceae.org/gb/gbrowse/malus_x_domestica/?name=MDP0000188803","MDP0000188803")</f>
        <v>MDP0000188803</v>
      </c>
      <c r="D6701">
        <v>33.33</v>
      </c>
      <c r="E6701">
        <v>162</v>
      </c>
      <c r="F6701">
        <v>108</v>
      </c>
      <c r="G6701">
        <v>21</v>
      </c>
      <c r="H6701">
        <v>385</v>
      </c>
      <c r="I6701">
        <v>546</v>
      </c>
      <c r="J6701">
        <v>1</v>
      </c>
      <c r="K6701">
        <v>422</v>
      </c>
      <c r="L6701">
        <v>562</v>
      </c>
      <c r="M6701">
        <v>1</v>
      </c>
      <c r="N6701">
        <v>9.6849399999999996E-16</v>
      </c>
      <c r="O6701">
        <v>203</v>
      </c>
    </row>
    <row r="6702" spans="1:15" x14ac:dyDescent="0.25">
      <c r="A6702" t="s">
        <v>6715</v>
      </c>
      <c r="B6702">
        <v>675</v>
      </c>
      <c r="C6702" s="1" t="str">
        <f>HYPERLINK("http://www.rosaceae.org/gb/gbrowse/malus_x_domestica/?name=MDP0000162421","MDP0000162421")</f>
        <v>MDP0000162421</v>
      </c>
      <c r="D6702">
        <v>81.53</v>
      </c>
      <c r="E6702">
        <v>704</v>
      </c>
      <c r="F6702">
        <v>130</v>
      </c>
      <c r="G6702">
        <v>33</v>
      </c>
      <c r="H6702">
        <v>1</v>
      </c>
      <c r="I6702">
        <v>675</v>
      </c>
      <c r="J6702">
        <v>1</v>
      </c>
      <c r="K6702">
        <v>1</v>
      </c>
      <c r="L6702">
        <v>700</v>
      </c>
      <c r="M6702">
        <v>1</v>
      </c>
      <c r="N6702">
        <v>0</v>
      </c>
      <c r="O6702">
        <v>3015</v>
      </c>
    </row>
    <row r="6703" spans="1:15" x14ac:dyDescent="0.25">
      <c r="A6703" t="s">
        <v>6716</v>
      </c>
      <c r="B6703">
        <v>153</v>
      </c>
      <c r="C6703" s="1" t="str">
        <f>HYPERLINK("http://www.rosaceae.org/gb/gbrowse/malus_x_domestica/?name=MDP0000272510","MDP0000272510")</f>
        <v>MDP0000272510</v>
      </c>
      <c r="D6703">
        <v>86.71</v>
      </c>
      <c r="E6703">
        <v>128</v>
      </c>
      <c r="F6703">
        <v>17</v>
      </c>
      <c r="G6703">
        <v>0</v>
      </c>
      <c r="H6703">
        <v>1</v>
      </c>
      <c r="I6703">
        <v>128</v>
      </c>
      <c r="J6703">
        <v>1</v>
      </c>
      <c r="K6703">
        <v>710</v>
      </c>
      <c r="L6703">
        <v>837</v>
      </c>
      <c r="M6703">
        <v>1</v>
      </c>
      <c r="N6703">
        <v>9.9785200000000007E-66</v>
      </c>
      <c r="O6703">
        <v>626</v>
      </c>
    </row>
    <row r="6704" spans="1:15" x14ac:dyDescent="0.25">
      <c r="A6704" t="s">
        <v>6717</v>
      </c>
      <c r="B6704">
        <v>464</v>
      </c>
      <c r="C6704" s="1" t="str">
        <f>HYPERLINK("http://www.rosaceae.org/gb/gbrowse/malus_x_domestica/?name=MDP0000629767","MDP0000629767")</f>
        <v>MDP0000629767</v>
      </c>
      <c r="D6704">
        <v>75.540000000000006</v>
      </c>
      <c r="E6704">
        <v>323</v>
      </c>
      <c r="F6704">
        <v>79</v>
      </c>
      <c r="G6704">
        <v>5</v>
      </c>
      <c r="H6704">
        <v>142</v>
      </c>
      <c r="I6704">
        <v>464</v>
      </c>
      <c r="J6704">
        <v>1</v>
      </c>
      <c r="K6704">
        <v>32</v>
      </c>
      <c r="L6704">
        <v>349</v>
      </c>
      <c r="M6704">
        <v>1</v>
      </c>
      <c r="N6704">
        <v>1.4240600000000001E-134</v>
      </c>
      <c r="O6704">
        <v>1227</v>
      </c>
    </row>
    <row r="6705" spans="1:15" x14ac:dyDescent="0.25">
      <c r="A6705" t="s">
        <v>6718</v>
      </c>
      <c r="B6705">
        <v>366</v>
      </c>
      <c r="C6705" s="1" t="str">
        <f>HYPERLINK("http://www.rosaceae.org/gb/gbrowse/malus_x_domestica/?name=MDP0000816544","MDP0000816544")</f>
        <v>MDP0000816544</v>
      </c>
      <c r="D6705">
        <v>69.599999999999994</v>
      </c>
      <c r="E6705">
        <v>375</v>
      </c>
      <c r="F6705">
        <v>114</v>
      </c>
      <c r="G6705">
        <v>12</v>
      </c>
      <c r="H6705">
        <v>1</v>
      </c>
      <c r="I6705">
        <v>363</v>
      </c>
      <c r="J6705">
        <v>1</v>
      </c>
      <c r="K6705">
        <v>1</v>
      </c>
      <c r="L6705">
        <v>375</v>
      </c>
      <c r="M6705">
        <v>1</v>
      </c>
      <c r="N6705">
        <v>1.6984399999999999E-141</v>
      </c>
      <c r="O6705">
        <v>1285</v>
      </c>
    </row>
    <row r="6706" spans="1:15" x14ac:dyDescent="0.25">
      <c r="A6706" t="s">
        <v>6719</v>
      </c>
      <c r="B6706">
        <v>706</v>
      </c>
      <c r="C6706" s="1" t="str">
        <f>HYPERLINK("http://www.rosaceae.org/gb/gbrowse/malus_x_domestica/?name=MDP0000134734","MDP0000134734")</f>
        <v>MDP0000134734</v>
      </c>
      <c r="D6706">
        <v>77.209999999999994</v>
      </c>
      <c r="E6706">
        <v>417</v>
      </c>
      <c r="F6706">
        <v>95</v>
      </c>
      <c r="G6706">
        <v>4</v>
      </c>
      <c r="H6706">
        <v>6</v>
      </c>
      <c r="I6706">
        <v>422</v>
      </c>
      <c r="J6706">
        <v>1</v>
      </c>
      <c r="K6706">
        <v>523</v>
      </c>
      <c r="L6706">
        <v>935</v>
      </c>
      <c r="M6706">
        <v>1</v>
      </c>
      <c r="N6706">
        <v>0</v>
      </c>
      <c r="O6706">
        <v>1683</v>
      </c>
    </row>
    <row r="6707" spans="1:15" x14ac:dyDescent="0.25">
      <c r="A6707" t="s">
        <v>6720</v>
      </c>
      <c r="B6707">
        <v>182</v>
      </c>
      <c r="C6707" s="1" t="str">
        <f>HYPERLINK("http://www.rosaceae.org/gb/gbrowse/malus_x_domestica/?name=MDP0000510373","MDP0000510373")</f>
        <v>MDP0000510373</v>
      </c>
      <c r="D6707">
        <v>57.07</v>
      </c>
      <c r="E6707">
        <v>205</v>
      </c>
      <c r="F6707">
        <v>88</v>
      </c>
      <c r="G6707">
        <v>42</v>
      </c>
      <c r="H6707">
        <v>11</v>
      </c>
      <c r="I6707">
        <v>174</v>
      </c>
      <c r="J6707">
        <v>1</v>
      </c>
      <c r="K6707">
        <v>3</v>
      </c>
      <c r="L6707">
        <v>206</v>
      </c>
      <c r="M6707">
        <v>1</v>
      </c>
      <c r="N6707">
        <v>4.0412300000000003E-60</v>
      </c>
      <c r="O6707">
        <v>579</v>
      </c>
    </row>
    <row r="6708" spans="1:15" x14ac:dyDescent="0.25">
      <c r="A6708" t="s">
        <v>6721</v>
      </c>
      <c r="B6708">
        <v>484</v>
      </c>
      <c r="C6708" s="1" t="str">
        <f>HYPERLINK("http://www.rosaceae.org/gb/gbrowse/malus_x_domestica/?name=MDP0000278025","MDP0000278025")</f>
        <v>MDP0000278025</v>
      </c>
      <c r="D6708">
        <v>40.520000000000003</v>
      </c>
      <c r="E6708">
        <v>269</v>
      </c>
      <c r="F6708">
        <v>160</v>
      </c>
      <c r="G6708">
        <v>22</v>
      </c>
      <c r="H6708">
        <v>214</v>
      </c>
      <c r="I6708">
        <v>473</v>
      </c>
      <c r="J6708">
        <v>1</v>
      </c>
      <c r="K6708">
        <v>599</v>
      </c>
      <c r="L6708">
        <v>854</v>
      </c>
      <c r="M6708">
        <v>1</v>
      </c>
      <c r="N6708">
        <v>1.5449299999999999E-41</v>
      </c>
      <c r="O6708">
        <v>425</v>
      </c>
    </row>
    <row r="6709" spans="1:15" x14ac:dyDescent="0.25">
      <c r="A6709" t="s">
        <v>6722</v>
      </c>
      <c r="B6709">
        <v>181</v>
      </c>
      <c r="C6709" s="1" t="str">
        <f>HYPERLINK("http://www.rosaceae.org/gb/gbrowse/malus_x_domestica/?name=MDP0000162529","MDP0000162529")</f>
        <v>MDP0000162529</v>
      </c>
      <c r="D6709">
        <v>50.54</v>
      </c>
      <c r="E6709">
        <v>184</v>
      </c>
      <c r="F6709">
        <v>91</v>
      </c>
      <c r="G6709">
        <v>18</v>
      </c>
      <c r="H6709">
        <v>2</v>
      </c>
      <c r="I6709">
        <v>178</v>
      </c>
      <c r="J6709">
        <v>1</v>
      </c>
      <c r="K6709">
        <v>4</v>
      </c>
      <c r="L6709">
        <v>176</v>
      </c>
      <c r="M6709">
        <v>1</v>
      </c>
      <c r="N6709">
        <v>9.2417200000000007E-44</v>
      </c>
      <c r="O6709">
        <v>438</v>
      </c>
    </row>
    <row r="6710" spans="1:15" x14ac:dyDescent="0.25">
      <c r="A6710" t="s">
        <v>6723</v>
      </c>
      <c r="B6710">
        <v>309</v>
      </c>
      <c r="C6710" s="1" t="str">
        <f>HYPERLINK("http://www.rosaceae.org/gb/gbrowse/malus_x_domestica/?name=MDP0000314765","MDP0000314765")</f>
        <v>MDP0000314765</v>
      </c>
      <c r="D6710">
        <v>64</v>
      </c>
      <c r="E6710">
        <v>150</v>
      </c>
      <c r="F6710">
        <v>54</v>
      </c>
      <c r="G6710">
        <v>2</v>
      </c>
      <c r="H6710">
        <v>159</v>
      </c>
      <c r="I6710">
        <v>308</v>
      </c>
      <c r="J6710">
        <v>1</v>
      </c>
      <c r="K6710">
        <v>104</v>
      </c>
      <c r="L6710">
        <v>251</v>
      </c>
      <c r="M6710">
        <v>1</v>
      </c>
      <c r="N6710">
        <v>2.4483900000000001E-46</v>
      </c>
      <c r="O6710">
        <v>464</v>
      </c>
    </row>
    <row r="6711" spans="1:15" x14ac:dyDescent="0.25">
      <c r="A6711" t="s">
        <v>6724</v>
      </c>
      <c r="B6711">
        <v>401</v>
      </c>
      <c r="C6711" s="1" t="str">
        <f>HYPERLINK("http://www.rosaceae.org/gb/gbrowse/malus_x_domestica/?name=MDP0000233588","MDP0000233588")</f>
        <v>MDP0000233588</v>
      </c>
      <c r="D6711">
        <v>69.900000000000006</v>
      </c>
      <c r="E6711">
        <v>412</v>
      </c>
      <c r="F6711">
        <v>124</v>
      </c>
      <c r="G6711">
        <v>13</v>
      </c>
      <c r="H6711">
        <v>1</v>
      </c>
      <c r="I6711">
        <v>401</v>
      </c>
      <c r="J6711">
        <v>1</v>
      </c>
      <c r="K6711">
        <v>10</v>
      </c>
      <c r="L6711">
        <v>419</v>
      </c>
      <c r="M6711">
        <v>1</v>
      </c>
      <c r="N6711">
        <v>1.50574E-160</v>
      </c>
      <c r="O6711">
        <v>1450</v>
      </c>
    </row>
    <row r="6712" spans="1:15" x14ac:dyDescent="0.25">
      <c r="A6712" t="s">
        <v>6725</v>
      </c>
      <c r="B6712">
        <v>372</v>
      </c>
      <c r="C6712" s="1" t="str">
        <f>HYPERLINK("http://www.rosaceae.org/gb/gbrowse/malus_x_domestica/?name=MDP0000199029","MDP0000199029")</f>
        <v>MDP0000199029</v>
      </c>
      <c r="D6712">
        <v>40.049999999999997</v>
      </c>
      <c r="E6712">
        <v>372</v>
      </c>
      <c r="F6712">
        <v>223</v>
      </c>
      <c r="G6712">
        <v>60</v>
      </c>
      <c r="H6712">
        <v>14</v>
      </c>
      <c r="I6712">
        <v>343</v>
      </c>
      <c r="J6712">
        <v>1</v>
      </c>
      <c r="K6712">
        <v>8</v>
      </c>
      <c r="L6712">
        <v>361</v>
      </c>
      <c r="M6712">
        <v>1</v>
      </c>
      <c r="N6712">
        <v>5.5358800000000001E-58</v>
      </c>
      <c r="O6712">
        <v>565</v>
      </c>
    </row>
    <row r="6713" spans="1:15" x14ac:dyDescent="0.25">
      <c r="A6713" t="s">
        <v>6726</v>
      </c>
      <c r="B6713">
        <v>161</v>
      </c>
      <c r="C6713" s="1" t="str">
        <f>HYPERLINK("http://www.rosaceae.org/gb/gbrowse/malus_x_domestica/?name=MDP0000434333","MDP0000434333")</f>
        <v>MDP0000434333</v>
      </c>
      <c r="D6713">
        <v>73.930000000000007</v>
      </c>
      <c r="E6713">
        <v>165</v>
      </c>
      <c r="F6713">
        <v>43</v>
      </c>
      <c r="G6713">
        <v>5</v>
      </c>
      <c r="H6713">
        <v>1</v>
      </c>
      <c r="I6713">
        <v>161</v>
      </c>
      <c r="J6713">
        <v>1</v>
      </c>
      <c r="K6713">
        <v>1</v>
      </c>
      <c r="L6713">
        <v>164</v>
      </c>
      <c r="M6713">
        <v>1</v>
      </c>
      <c r="N6713">
        <v>6.0470500000000006E-67</v>
      </c>
      <c r="O6713">
        <v>637</v>
      </c>
    </row>
    <row r="6714" spans="1:15" x14ac:dyDescent="0.25">
      <c r="A6714" t="s">
        <v>6727</v>
      </c>
      <c r="B6714">
        <v>427</v>
      </c>
      <c r="C6714" s="1" t="str">
        <f>HYPERLINK("http://www.rosaceae.org/gb/gbrowse/malus_x_domestica/?name=MDP0000493881","MDP0000493881")</f>
        <v>MDP0000493881</v>
      </c>
      <c r="D6714">
        <v>64.31</v>
      </c>
      <c r="E6714">
        <v>426</v>
      </c>
      <c r="F6714">
        <v>152</v>
      </c>
      <c r="G6714">
        <v>49</v>
      </c>
      <c r="H6714">
        <v>5</v>
      </c>
      <c r="I6714">
        <v>425</v>
      </c>
      <c r="J6714">
        <v>1</v>
      </c>
      <c r="K6714">
        <v>9</v>
      </c>
      <c r="L6714">
        <v>390</v>
      </c>
      <c r="M6714">
        <v>1</v>
      </c>
      <c r="N6714">
        <v>1.04868E-145</v>
      </c>
      <c r="O6714">
        <v>1322</v>
      </c>
    </row>
    <row r="6715" spans="1:15" x14ac:dyDescent="0.25">
      <c r="A6715" t="s">
        <v>6728</v>
      </c>
      <c r="B6715">
        <v>298</v>
      </c>
      <c r="C6715" s="1" t="str">
        <f>HYPERLINK("http://www.rosaceae.org/gb/gbrowse/malus_x_domestica/?name=MDP0000138792","MDP0000138792")</f>
        <v>MDP0000138792</v>
      </c>
      <c r="D6715">
        <v>76.87</v>
      </c>
      <c r="E6715">
        <v>294</v>
      </c>
      <c r="F6715">
        <v>68</v>
      </c>
      <c r="G6715">
        <v>19</v>
      </c>
      <c r="H6715">
        <v>7</v>
      </c>
      <c r="I6715">
        <v>296</v>
      </c>
      <c r="J6715">
        <v>1</v>
      </c>
      <c r="K6715">
        <v>5</v>
      </c>
      <c r="L6715">
        <v>283</v>
      </c>
      <c r="M6715">
        <v>1</v>
      </c>
      <c r="N6715">
        <v>1.8718100000000001E-121</v>
      </c>
      <c r="O6715">
        <v>1111</v>
      </c>
    </row>
    <row r="6716" spans="1:15" x14ac:dyDescent="0.25">
      <c r="A6716" t="s">
        <v>6729</v>
      </c>
      <c r="B6716">
        <v>82</v>
      </c>
      <c r="C6716" s="1" t="str">
        <f>HYPERLINK("http://www.rosaceae.org/gb/gbrowse/malus_x_domestica/?name=MDP0000294785","MDP0000294785")</f>
        <v>MDP0000294785</v>
      </c>
      <c r="D6716">
        <v>93.54</v>
      </c>
      <c r="E6716">
        <v>31</v>
      </c>
      <c r="F6716">
        <v>2</v>
      </c>
      <c r="G6716">
        <v>0</v>
      </c>
      <c r="H6716">
        <v>52</v>
      </c>
      <c r="I6716">
        <v>82</v>
      </c>
      <c r="J6716">
        <v>1</v>
      </c>
      <c r="K6716">
        <v>658</v>
      </c>
      <c r="L6716">
        <v>688</v>
      </c>
      <c r="M6716">
        <v>1</v>
      </c>
      <c r="N6716">
        <v>4.3039599999999998E-12</v>
      </c>
      <c r="O6716">
        <v>162</v>
      </c>
    </row>
    <row r="6717" spans="1:15" x14ac:dyDescent="0.25">
      <c r="A6717" t="s">
        <v>6730</v>
      </c>
      <c r="B6717">
        <v>263</v>
      </c>
      <c r="C6717" s="1" t="str">
        <f>HYPERLINK("http://www.rosaceae.org/gb/gbrowse/malus_x_domestica/?name=MDP0000149037","MDP0000149037")</f>
        <v>MDP0000149037</v>
      </c>
      <c r="D6717">
        <v>50.22</v>
      </c>
      <c r="E6717">
        <v>221</v>
      </c>
      <c r="F6717">
        <v>110</v>
      </c>
      <c r="G6717">
        <v>9</v>
      </c>
      <c r="H6717">
        <v>45</v>
      </c>
      <c r="I6717">
        <v>257</v>
      </c>
      <c r="J6717">
        <v>1</v>
      </c>
      <c r="K6717">
        <v>4</v>
      </c>
      <c r="L6717">
        <v>223</v>
      </c>
      <c r="M6717">
        <v>1</v>
      </c>
      <c r="N6717">
        <v>1.28581E-54</v>
      </c>
      <c r="O6717">
        <v>534</v>
      </c>
    </row>
    <row r="6718" spans="1:15" x14ac:dyDescent="0.25">
      <c r="A6718" t="s">
        <v>6731</v>
      </c>
      <c r="B6718">
        <v>650</v>
      </c>
      <c r="C6718" s="1" t="str">
        <f>HYPERLINK("http://www.rosaceae.org/gb/gbrowse/malus_x_domestica/?name=MDP0000322453","MDP0000322453")</f>
        <v>MDP0000322453</v>
      </c>
      <c r="D6718">
        <v>83.57</v>
      </c>
      <c r="E6718">
        <v>615</v>
      </c>
      <c r="F6718">
        <v>101</v>
      </c>
      <c r="G6718">
        <v>2</v>
      </c>
      <c r="H6718">
        <v>12</v>
      </c>
      <c r="I6718">
        <v>624</v>
      </c>
      <c r="J6718">
        <v>1</v>
      </c>
      <c r="K6718">
        <v>183</v>
      </c>
      <c r="L6718">
        <v>797</v>
      </c>
      <c r="M6718">
        <v>1</v>
      </c>
      <c r="N6718">
        <v>0</v>
      </c>
      <c r="O6718">
        <v>2765</v>
      </c>
    </row>
    <row r="6719" spans="1:15" x14ac:dyDescent="0.25">
      <c r="A6719" t="s">
        <v>6732</v>
      </c>
      <c r="B6719">
        <v>1431</v>
      </c>
      <c r="C6719" s="1" t="str">
        <f>HYPERLINK("http://www.rosaceae.org/gb/gbrowse/malus_x_domestica/?name=MDP0000153538","MDP0000153538")</f>
        <v>MDP0000153538</v>
      </c>
      <c r="D6719">
        <v>79.19</v>
      </c>
      <c r="E6719">
        <v>923</v>
      </c>
      <c r="F6719">
        <v>192</v>
      </c>
      <c r="G6719">
        <v>44</v>
      </c>
      <c r="H6719">
        <v>517</v>
      </c>
      <c r="I6719">
        <v>1431</v>
      </c>
      <c r="J6719">
        <v>1</v>
      </c>
      <c r="K6719">
        <v>1</v>
      </c>
      <c r="L6719">
        <v>887</v>
      </c>
      <c r="M6719">
        <v>1</v>
      </c>
      <c r="N6719">
        <v>0</v>
      </c>
      <c r="O6719">
        <v>3636</v>
      </c>
    </row>
    <row r="6720" spans="1:15" x14ac:dyDescent="0.25">
      <c r="A6720" t="s">
        <v>6733</v>
      </c>
      <c r="B6720">
        <v>367</v>
      </c>
      <c r="C6720" s="1" t="str">
        <f>HYPERLINK("http://www.rosaceae.org/gb/gbrowse/malus_x_domestica/?name=MDP0000212290","MDP0000212290")</f>
        <v>MDP0000212290</v>
      </c>
      <c r="D6720">
        <v>25.66</v>
      </c>
      <c r="E6720">
        <v>226</v>
      </c>
      <c r="F6720">
        <v>168</v>
      </c>
      <c r="G6720">
        <v>17</v>
      </c>
      <c r="H6720">
        <v>135</v>
      </c>
      <c r="I6720">
        <v>346</v>
      </c>
      <c r="J6720">
        <v>1</v>
      </c>
      <c r="K6720">
        <v>192</v>
      </c>
      <c r="L6720">
        <v>414</v>
      </c>
      <c r="M6720">
        <v>1</v>
      </c>
      <c r="N6720">
        <v>5.4907899999999998E-21</v>
      </c>
      <c r="O6720">
        <v>246</v>
      </c>
    </row>
    <row r="6721" spans="1:15" x14ac:dyDescent="0.25">
      <c r="A6721" t="s">
        <v>6734</v>
      </c>
      <c r="B6721">
        <v>612</v>
      </c>
      <c r="C6721" s="1" t="str">
        <f>HYPERLINK("http://www.rosaceae.org/gb/gbrowse/malus_x_domestica/?name=MDP0000218232","MDP0000218232")</f>
        <v>MDP0000218232</v>
      </c>
      <c r="D6721">
        <v>83.16</v>
      </c>
      <c r="E6721">
        <v>612</v>
      </c>
      <c r="F6721">
        <v>103</v>
      </c>
      <c r="G6721">
        <v>1</v>
      </c>
      <c r="H6721">
        <v>1</v>
      </c>
      <c r="I6721">
        <v>611</v>
      </c>
      <c r="J6721">
        <v>1</v>
      </c>
      <c r="K6721">
        <v>1</v>
      </c>
      <c r="L6721">
        <v>612</v>
      </c>
      <c r="M6721">
        <v>1</v>
      </c>
      <c r="N6721">
        <v>0</v>
      </c>
      <c r="O6721">
        <v>2734</v>
      </c>
    </row>
    <row r="6722" spans="1:15" x14ac:dyDescent="0.25">
      <c r="A6722" t="s">
        <v>6735</v>
      </c>
      <c r="B6722">
        <v>96</v>
      </c>
      <c r="C6722" s="1" t="str">
        <f>HYPERLINK("http://www.rosaceae.org/gb/gbrowse/malus_x_domestica/?name=MDP0000308779","MDP0000308779")</f>
        <v>MDP0000308779</v>
      </c>
      <c r="D6722">
        <v>91.39</v>
      </c>
      <c r="E6722">
        <v>93</v>
      </c>
      <c r="F6722">
        <v>8</v>
      </c>
      <c r="G6722">
        <v>0</v>
      </c>
      <c r="H6722">
        <v>1</v>
      </c>
      <c r="I6722">
        <v>93</v>
      </c>
      <c r="J6722">
        <v>1</v>
      </c>
      <c r="K6722">
        <v>263</v>
      </c>
      <c r="L6722">
        <v>355</v>
      </c>
      <c r="M6722">
        <v>1</v>
      </c>
      <c r="N6722">
        <v>4.1580800000000002E-47</v>
      </c>
      <c r="O6722">
        <v>464</v>
      </c>
    </row>
    <row r="6723" spans="1:15" x14ac:dyDescent="0.25">
      <c r="A6723" t="s">
        <v>6736</v>
      </c>
      <c r="B6723">
        <v>194</v>
      </c>
      <c r="C6723" s="1" t="str">
        <f>HYPERLINK("http://www.rosaceae.org/gb/gbrowse/malus_x_domestica/?name=MDP0000376209","MDP0000376209")</f>
        <v>MDP0000376209</v>
      </c>
      <c r="D6723">
        <v>38.840000000000003</v>
      </c>
      <c r="E6723">
        <v>121</v>
      </c>
      <c r="F6723">
        <v>74</v>
      </c>
      <c r="G6723">
        <v>3</v>
      </c>
      <c r="H6723">
        <v>50</v>
      </c>
      <c r="I6723">
        <v>168</v>
      </c>
      <c r="J6723">
        <v>1</v>
      </c>
      <c r="K6723">
        <v>37</v>
      </c>
      <c r="L6723">
        <v>156</v>
      </c>
      <c r="M6723">
        <v>1</v>
      </c>
      <c r="N6723">
        <v>7.5356500000000005E-16</v>
      </c>
      <c r="O6723">
        <v>198</v>
      </c>
    </row>
    <row r="6724" spans="1:15" x14ac:dyDescent="0.25">
      <c r="A6724" t="s">
        <v>6737</v>
      </c>
      <c r="B6724">
        <v>1995</v>
      </c>
      <c r="C6724" s="1" t="str">
        <f>HYPERLINK("http://www.rosaceae.org/gb/gbrowse/malus_x_domestica/?name=MDP0000230463","MDP0000230463")</f>
        <v>MDP0000230463</v>
      </c>
      <c r="D6724">
        <v>68.3</v>
      </c>
      <c r="E6724">
        <v>1959</v>
      </c>
      <c r="F6724">
        <v>621</v>
      </c>
      <c r="G6724">
        <v>131</v>
      </c>
      <c r="H6724">
        <v>151</v>
      </c>
      <c r="I6724">
        <v>1991</v>
      </c>
      <c r="J6724">
        <v>1</v>
      </c>
      <c r="K6724">
        <v>3</v>
      </c>
      <c r="L6724">
        <v>1948</v>
      </c>
      <c r="M6724">
        <v>1</v>
      </c>
      <c r="N6724">
        <v>0</v>
      </c>
      <c r="O6724">
        <v>6586</v>
      </c>
    </row>
    <row r="6725" spans="1:15" x14ac:dyDescent="0.25">
      <c r="A6725" t="s">
        <v>6738</v>
      </c>
      <c r="B6725">
        <v>390</v>
      </c>
      <c r="C6725" s="1" t="str">
        <f>HYPERLINK("http://www.rosaceae.org/gb/gbrowse/malus_x_domestica/?name=MDP0000119265","MDP0000119265")</f>
        <v>MDP0000119265</v>
      </c>
      <c r="D6725">
        <v>37.4</v>
      </c>
      <c r="E6725">
        <v>401</v>
      </c>
      <c r="F6725">
        <v>251</v>
      </c>
      <c r="G6725">
        <v>37</v>
      </c>
      <c r="H6725">
        <v>7</v>
      </c>
      <c r="I6725">
        <v>385</v>
      </c>
      <c r="J6725">
        <v>1</v>
      </c>
      <c r="K6725">
        <v>7</v>
      </c>
      <c r="L6725">
        <v>392</v>
      </c>
      <c r="M6725">
        <v>1</v>
      </c>
      <c r="N6725">
        <v>7.6533699999999996E-58</v>
      </c>
      <c r="O6725">
        <v>564</v>
      </c>
    </row>
    <row r="6726" spans="1:15" x14ac:dyDescent="0.25">
      <c r="A6726" t="s">
        <v>6739</v>
      </c>
      <c r="B6726">
        <v>285</v>
      </c>
      <c r="C6726" s="1" t="str">
        <f>HYPERLINK("http://www.rosaceae.org/gb/gbrowse/malus_x_domestica/?name=MDP0000835978","MDP0000835978")</f>
        <v>MDP0000835978</v>
      </c>
      <c r="D6726">
        <v>51.13</v>
      </c>
      <c r="E6726">
        <v>176</v>
      </c>
      <c r="F6726">
        <v>86</v>
      </c>
      <c r="G6726">
        <v>20</v>
      </c>
      <c r="H6726">
        <v>95</v>
      </c>
      <c r="I6726">
        <v>254</v>
      </c>
      <c r="J6726">
        <v>1</v>
      </c>
      <c r="K6726">
        <v>7</v>
      </c>
      <c r="L6726">
        <v>178</v>
      </c>
      <c r="M6726">
        <v>1</v>
      </c>
      <c r="N6726">
        <v>1.5435400000000001E-33</v>
      </c>
      <c r="O6726">
        <v>353</v>
      </c>
    </row>
    <row r="6727" spans="1:15" x14ac:dyDescent="0.25">
      <c r="A6727" t="s">
        <v>6740</v>
      </c>
      <c r="B6727">
        <v>287</v>
      </c>
      <c r="C6727" s="1" t="str">
        <f>HYPERLINK("http://www.rosaceae.org/gb/gbrowse/malus_x_domestica/?name=MDP0000237300","MDP0000237300")</f>
        <v>MDP0000237300</v>
      </c>
      <c r="D6727">
        <v>65.08</v>
      </c>
      <c r="E6727">
        <v>169</v>
      </c>
      <c r="F6727">
        <v>59</v>
      </c>
      <c r="G6727">
        <v>1</v>
      </c>
      <c r="H6727">
        <v>61</v>
      </c>
      <c r="I6727">
        <v>229</v>
      </c>
      <c r="J6727">
        <v>1</v>
      </c>
      <c r="K6727">
        <v>14</v>
      </c>
      <c r="L6727">
        <v>181</v>
      </c>
      <c r="M6727">
        <v>1</v>
      </c>
      <c r="N6727">
        <v>8.9290299999999998E-60</v>
      </c>
      <c r="O6727">
        <v>579</v>
      </c>
    </row>
    <row r="6728" spans="1:15" x14ac:dyDescent="0.25">
      <c r="A6728" t="s">
        <v>6741</v>
      </c>
      <c r="B6728">
        <v>503</v>
      </c>
      <c r="C6728" s="1" t="str">
        <f>HYPERLINK("http://www.rosaceae.org/gb/gbrowse/malus_x_domestica/?name=MDP0000550368","MDP0000550368")</f>
        <v>MDP0000550368</v>
      </c>
      <c r="D6728">
        <v>85.68</v>
      </c>
      <c r="E6728">
        <v>503</v>
      </c>
      <c r="F6728">
        <v>72</v>
      </c>
      <c r="G6728">
        <v>5</v>
      </c>
      <c r="H6728">
        <v>1</v>
      </c>
      <c r="I6728">
        <v>503</v>
      </c>
      <c r="J6728">
        <v>1</v>
      </c>
      <c r="K6728">
        <v>42</v>
      </c>
      <c r="L6728">
        <v>539</v>
      </c>
      <c r="M6728">
        <v>1</v>
      </c>
      <c r="N6728">
        <v>0</v>
      </c>
      <c r="O6728">
        <v>2291</v>
      </c>
    </row>
    <row r="6729" spans="1:15" x14ac:dyDescent="0.25">
      <c r="A6729" t="s">
        <v>6742</v>
      </c>
      <c r="B6729">
        <v>503</v>
      </c>
      <c r="C6729" s="1" t="str">
        <f>HYPERLINK("http://www.rosaceae.org/gb/gbrowse/malus_x_domestica/?name=MDP0000269242","MDP0000269242")</f>
        <v>MDP0000269242</v>
      </c>
      <c r="D6729">
        <v>39.42</v>
      </c>
      <c r="E6729">
        <v>520</v>
      </c>
      <c r="F6729">
        <v>315</v>
      </c>
      <c r="G6729">
        <v>81</v>
      </c>
      <c r="H6729">
        <v>1</v>
      </c>
      <c r="I6729">
        <v>493</v>
      </c>
      <c r="J6729">
        <v>1</v>
      </c>
      <c r="K6729">
        <v>1</v>
      </c>
      <c r="L6729">
        <v>466</v>
      </c>
      <c r="M6729">
        <v>1</v>
      </c>
      <c r="N6729">
        <v>1.3251499999999999E-85</v>
      </c>
      <c r="O6729">
        <v>805</v>
      </c>
    </row>
    <row r="6730" spans="1:15" x14ac:dyDescent="0.25">
      <c r="A6730" t="s">
        <v>6743</v>
      </c>
      <c r="B6730">
        <v>282</v>
      </c>
      <c r="C6730" s="1" t="str">
        <f>HYPERLINK("http://www.rosaceae.org/gb/gbrowse/malus_x_domestica/?name=MDP0000185125","MDP0000185125")</f>
        <v>MDP0000185125</v>
      </c>
      <c r="D6730">
        <v>29.13</v>
      </c>
      <c r="E6730">
        <v>127</v>
      </c>
      <c r="F6730">
        <v>90</v>
      </c>
      <c r="G6730">
        <v>20</v>
      </c>
      <c r="H6730">
        <v>156</v>
      </c>
      <c r="I6730">
        <v>266</v>
      </c>
      <c r="J6730">
        <v>1</v>
      </c>
      <c r="K6730">
        <v>19</v>
      </c>
      <c r="L6730">
        <v>141</v>
      </c>
      <c r="M6730">
        <v>1</v>
      </c>
      <c r="N6730">
        <v>1.5039700000000001E-8</v>
      </c>
      <c r="O6730">
        <v>137</v>
      </c>
    </row>
    <row r="6731" spans="1:15" x14ac:dyDescent="0.25">
      <c r="A6731" t="s">
        <v>6744</v>
      </c>
      <c r="B6731">
        <v>238</v>
      </c>
      <c r="C6731" s="1" t="str">
        <f>HYPERLINK("http://www.rosaceae.org/gb/gbrowse/malus_x_domestica/?name=MDP0000129786","MDP0000129786")</f>
        <v>MDP0000129786</v>
      </c>
      <c r="D6731">
        <v>61.6</v>
      </c>
      <c r="E6731">
        <v>237</v>
      </c>
      <c r="F6731">
        <v>91</v>
      </c>
      <c r="G6731">
        <v>20</v>
      </c>
      <c r="H6731">
        <v>7</v>
      </c>
      <c r="I6731">
        <v>237</v>
      </c>
      <c r="J6731">
        <v>1</v>
      </c>
      <c r="K6731">
        <v>6</v>
      </c>
      <c r="L6731">
        <v>228</v>
      </c>
      <c r="M6731">
        <v>1</v>
      </c>
      <c r="N6731">
        <v>5.5603600000000005E-75</v>
      </c>
      <c r="O6731">
        <v>709</v>
      </c>
    </row>
    <row r="6732" spans="1:15" x14ac:dyDescent="0.25">
      <c r="A6732" t="s">
        <v>6745</v>
      </c>
      <c r="B6732">
        <v>381</v>
      </c>
      <c r="C6732" s="1" t="str">
        <f>HYPERLINK("http://www.rosaceae.org/gb/gbrowse/malus_x_domestica/?name=MDP0000278334","MDP0000278334")</f>
        <v>MDP0000278334</v>
      </c>
      <c r="D6732">
        <v>74.489999999999995</v>
      </c>
      <c r="E6732">
        <v>149</v>
      </c>
      <c r="F6732">
        <v>38</v>
      </c>
      <c r="G6732">
        <v>9</v>
      </c>
      <c r="H6732">
        <v>180</v>
      </c>
      <c r="I6732">
        <v>328</v>
      </c>
      <c r="J6732">
        <v>1</v>
      </c>
      <c r="K6732">
        <v>72</v>
      </c>
      <c r="L6732">
        <v>211</v>
      </c>
      <c r="M6732">
        <v>1</v>
      </c>
      <c r="N6732">
        <v>1.2533699999999999E-58</v>
      </c>
      <c r="O6732">
        <v>571</v>
      </c>
    </row>
    <row r="6733" spans="1:15" x14ac:dyDescent="0.25">
      <c r="A6733" t="s">
        <v>6746</v>
      </c>
      <c r="B6733">
        <v>275</v>
      </c>
      <c r="C6733" s="1" t="str">
        <f>HYPERLINK("http://www.rosaceae.org/gb/gbrowse/malus_x_domestica/?name=MDP0000258004","MDP0000258004")</f>
        <v>MDP0000258004</v>
      </c>
      <c r="D6733">
        <v>71.47</v>
      </c>
      <c r="E6733">
        <v>305</v>
      </c>
      <c r="F6733">
        <v>87</v>
      </c>
      <c r="G6733">
        <v>33</v>
      </c>
      <c r="H6733">
        <v>1</v>
      </c>
      <c r="I6733">
        <v>275</v>
      </c>
      <c r="J6733">
        <v>1</v>
      </c>
      <c r="K6733">
        <v>74</v>
      </c>
      <c r="L6733">
        <v>375</v>
      </c>
      <c r="M6733">
        <v>1</v>
      </c>
      <c r="N6733">
        <v>4.7721400000000002E-119</v>
      </c>
      <c r="O6733">
        <v>1090</v>
      </c>
    </row>
    <row r="6734" spans="1:15" x14ac:dyDescent="0.25">
      <c r="A6734" t="s">
        <v>6747</v>
      </c>
      <c r="B6734">
        <v>979</v>
      </c>
      <c r="C6734" s="1" t="str">
        <f>HYPERLINK("http://www.rosaceae.org/gb/gbrowse/malus_x_domestica/?name=MDP0000210532","MDP0000210532")</f>
        <v>MDP0000210532</v>
      </c>
      <c r="D6734">
        <v>36.15</v>
      </c>
      <c r="E6734">
        <v>614</v>
      </c>
      <c r="F6734">
        <v>392</v>
      </c>
      <c r="G6734">
        <v>117</v>
      </c>
      <c r="H6734">
        <v>394</v>
      </c>
      <c r="I6734">
        <v>979</v>
      </c>
      <c r="J6734">
        <v>1</v>
      </c>
      <c r="K6734">
        <v>1</v>
      </c>
      <c r="L6734">
        <v>525</v>
      </c>
      <c r="M6734">
        <v>1</v>
      </c>
      <c r="N6734">
        <v>1.7080300000000002E-67</v>
      </c>
      <c r="O6734">
        <v>651</v>
      </c>
    </row>
    <row r="6735" spans="1:15" x14ac:dyDescent="0.25">
      <c r="A6735" t="s">
        <v>6748</v>
      </c>
      <c r="B6735">
        <v>910</v>
      </c>
      <c r="C6735" s="1" t="str">
        <f>HYPERLINK("http://www.rosaceae.org/gb/gbrowse/malus_x_domestica/?name=MDP0000173510","MDP0000173510")</f>
        <v>MDP0000173510</v>
      </c>
      <c r="D6735">
        <v>62.88</v>
      </c>
      <c r="E6735">
        <v>485</v>
      </c>
      <c r="F6735">
        <v>180</v>
      </c>
      <c r="G6735">
        <v>13</v>
      </c>
      <c r="H6735">
        <v>40</v>
      </c>
      <c r="I6735">
        <v>524</v>
      </c>
      <c r="J6735">
        <v>1</v>
      </c>
      <c r="K6735">
        <v>75</v>
      </c>
      <c r="L6735">
        <v>546</v>
      </c>
      <c r="M6735">
        <v>1</v>
      </c>
      <c r="N6735">
        <v>1.32432E-169</v>
      </c>
      <c r="O6735">
        <v>1532</v>
      </c>
    </row>
    <row r="6736" spans="1:15" x14ac:dyDescent="0.25">
      <c r="A6736" t="s">
        <v>6749</v>
      </c>
      <c r="B6736">
        <v>112</v>
      </c>
      <c r="C6736" s="1" t="str">
        <f>HYPERLINK("http://www.rosaceae.org/gb/gbrowse/malus_x_domestica/?name=MDP0000166119","MDP0000166119")</f>
        <v>MDP0000166119</v>
      </c>
      <c r="D6736">
        <v>59.82</v>
      </c>
      <c r="E6736">
        <v>112</v>
      </c>
      <c r="F6736">
        <v>45</v>
      </c>
      <c r="G6736">
        <v>7</v>
      </c>
      <c r="H6736">
        <v>1</v>
      </c>
      <c r="I6736">
        <v>108</v>
      </c>
      <c r="J6736">
        <v>1</v>
      </c>
      <c r="K6736">
        <v>1</v>
      </c>
      <c r="L6736">
        <v>109</v>
      </c>
      <c r="M6736">
        <v>1</v>
      </c>
      <c r="N6736">
        <v>9.8003700000000005E-29</v>
      </c>
      <c r="O6736">
        <v>305</v>
      </c>
    </row>
    <row r="6737" spans="1:15" x14ac:dyDescent="0.25">
      <c r="A6737" t="s">
        <v>6750</v>
      </c>
      <c r="B6737">
        <v>128</v>
      </c>
      <c r="C6737" s="1" t="str">
        <f>HYPERLINK("http://www.rosaceae.org/gb/gbrowse/malus_x_domestica/?name=MDP0000296128","MDP0000296128")</f>
        <v>MDP0000296128</v>
      </c>
      <c r="D6737">
        <v>33.54</v>
      </c>
      <c r="E6737">
        <v>161</v>
      </c>
      <c r="F6737">
        <v>107</v>
      </c>
      <c r="G6737">
        <v>63</v>
      </c>
      <c r="H6737">
        <v>23</v>
      </c>
      <c r="I6737">
        <v>123</v>
      </c>
      <c r="J6737">
        <v>1</v>
      </c>
      <c r="K6737">
        <v>270</v>
      </c>
      <c r="L6737">
        <v>427</v>
      </c>
      <c r="M6737">
        <v>1</v>
      </c>
      <c r="N6737">
        <v>9.4309800000000003E-12</v>
      </c>
      <c r="O6737">
        <v>159</v>
      </c>
    </row>
    <row r="6738" spans="1:15" x14ac:dyDescent="0.25">
      <c r="A6738" t="s">
        <v>6751</v>
      </c>
      <c r="B6738">
        <v>765</v>
      </c>
      <c r="C6738" s="1" t="str">
        <f>HYPERLINK("http://www.rosaceae.org/gb/gbrowse/malus_x_domestica/?name=MDP0000149411","MDP0000149411")</f>
        <v>MDP0000149411</v>
      </c>
      <c r="D6738">
        <v>70.09</v>
      </c>
      <c r="E6738">
        <v>759</v>
      </c>
      <c r="F6738">
        <v>227</v>
      </c>
      <c r="G6738">
        <v>7</v>
      </c>
      <c r="H6738">
        <v>11</v>
      </c>
      <c r="I6738">
        <v>763</v>
      </c>
      <c r="J6738">
        <v>1</v>
      </c>
      <c r="K6738">
        <v>7</v>
      </c>
      <c r="L6738">
        <v>764</v>
      </c>
      <c r="M6738">
        <v>1</v>
      </c>
      <c r="N6738">
        <v>0</v>
      </c>
      <c r="O6738">
        <v>2795</v>
      </c>
    </row>
    <row r="6739" spans="1:15" x14ac:dyDescent="0.25">
      <c r="A6739" t="s">
        <v>6752</v>
      </c>
      <c r="B6739">
        <v>385</v>
      </c>
      <c r="C6739" s="1" t="str">
        <f>HYPERLINK("http://www.rosaceae.org/gb/gbrowse/malus_x_domestica/?name=MDP0000319818","MDP0000319818")</f>
        <v>MDP0000319818</v>
      </c>
      <c r="D6739">
        <v>71.709999999999994</v>
      </c>
      <c r="E6739">
        <v>304</v>
      </c>
      <c r="F6739">
        <v>86</v>
      </c>
      <c r="G6739">
        <v>3</v>
      </c>
      <c r="H6739">
        <v>82</v>
      </c>
      <c r="I6739">
        <v>384</v>
      </c>
      <c r="J6739">
        <v>1</v>
      </c>
      <c r="K6739">
        <v>28</v>
      </c>
      <c r="L6739">
        <v>329</v>
      </c>
      <c r="M6739">
        <v>1</v>
      </c>
      <c r="N6739">
        <v>1.41171E-129</v>
      </c>
      <c r="O6739">
        <v>1183</v>
      </c>
    </row>
    <row r="6740" spans="1:15" x14ac:dyDescent="0.25">
      <c r="A6740" t="s">
        <v>6753</v>
      </c>
      <c r="B6740">
        <v>279</v>
      </c>
      <c r="C6740" s="1" t="str">
        <f>HYPERLINK("http://www.rosaceae.org/gb/gbrowse/malus_x_domestica/?name=MDP0000135569","MDP0000135569")</f>
        <v>MDP0000135569</v>
      </c>
      <c r="D6740">
        <v>86.9</v>
      </c>
      <c r="E6740">
        <v>252</v>
      </c>
      <c r="F6740">
        <v>33</v>
      </c>
      <c r="G6740">
        <v>0</v>
      </c>
      <c r="H6740">
        <v>28</v>
      </c>
      <c r="I6740">
        <v>279</v>
      </c>
      <c r="J6740">
        <v>1</v>
      </c>
      <c r="K6740">
        <v>20</v>
      </c>
      <c r="L6740">
        <v>271</v>
      </c>
      <c r="M6740">
        <v>1</v>
      </c>
      <c r="N6740">
        <v>3.9143799999999998E-133</v>
      </c>
      <c r="O6740">
        <v>1212</v>
      </c>
    </row>
    <row r="6741" spans="1:15" x14ac:dyDescent="0.25">
      <c r="A6741" t="s">
        <v>6754</v>
      </c>
      <c r="B6741">
        <v>141</v>
      </c>
      <c r="C6741" s="1" t="str">
        <f>HYPERLINK("http://www.rosaceae.org/gb/gbrowse/malus_x_domestica/?name=MDP0000130897","MDP0000130897")</f>
        <v>MDP0000130897</v>
      </c>
      <c r="D6741">
        <v>30.57</v>
      </c>
      <c r="E6741">
        <v>157</v>
      </c>
      <c r="F6741">
        <v>109</v>
      </c>
      <c r="G6741">
        <v>17</v>
      </c>
      <c r="H6741">
        <v>1</v>
      </c>
      <c r="I6741">
        <v>140</v>
      </c>
      <c r="J6741">
        <v>1</v>
      </c>
      <c r="K6741">
        <v>431</v>
      </c>
      <c r="L6741">
        <v>587</v>
      </c>
      <c r="M6741">
        <v>1</v>
      </c>
      <c r="N6741">
        <v>1.36254E-18</v>
      </c>
      <c r="O6741">
        <v>219</v>
      </c>
    </row>
    <row r="6742" spans="1:15" x14ac:dyDescent="0.25">
      <c r="A6742" t="s">
        <v>6755</v>
      </c>
      <c r="B6742">
        <v>107</v>
      </c>
      <c r="C6742" s="1" t="str">
        <f>HYPERLINK("http://www.rosaceae.org/gb/gbrowse/malus_x_domestica/?name=MDP0000418901","MDP0000418901")</f>
        <v>MDP0000418901</v>
      </c>
      <c r="D6742">
        <v>51.72</v>
      </c>
      <c r="E6742">
        <v>58</v>
      </c>
      <c r="F6742">
        <v>28</v>
      </c>
      <c r="G6742">
        <v>0</v>
      </c>
      <c r="H6742">
        <v>42</v>
      </c>
      <c r="I6742">
        <v>99</v>
      </c>
      <c r="J6742">
        <v>1</v>
      </c>
      <c r="K6742">
        <v>157</v>
      </c>
      <c r="L6742">
        <v>214</v>
      </c>
      <c r="M6742">
        <v>1</v>
      </c>
      <c r="N6742">
        <v>7.0374999999999997E-15</v>
      </c>
      <c r="O6742">
        <v>186</v>
      </c>
    </row>
    <row r="6743" spans="1:15" x14ac:dyDescent="0.25">
      <c r="A6743" t="s">
        <v>6756</v>
      </c>
      <c r="B6743">
        <v>335</v>
      </c>
      <c r="C6743" s="1" t="str">
        <f>HYPERLINK("http://www.rosaceae.org/gb/gbrowse/malus_x_domestica/?name=MDP0000814899","MDP0000814899")</f>
        <v>MDP0000814899</v>
      </c>
      <c r="D6743">
        <v>56.09</v>
      </c>
      <c r="E6743">
        <v>287</v>
      </c>
      <c r="F6743">
        <v>126</v>
      </c>
      <c r="G6743">
        <v>15</v>
      </c>
      <c r="H6743">
        <v>30</v>
      </c>
      <c r="I6743">
        <v>314</v>
      </c>
      <c r="J6743">
        <v>1</v>
      </c>
      <c r="K6743">
        <v>22</v>
      </c>
      <c r="L6743">
        <v>295</v>
      </c>
      <c r="M6743">
        <v>1</v>
      </c>
      <c r="N6743">
        <v>1.10789E-84</v>
      </c>
      <c r="O6743">
        <v>795</v>
      </c>
    </row>
    <row r="6744" spans="1:15" x14ac:dyDescent="0.25">
      <c r="A6744" t="s">
        <v>6757</v>
      </c>
      <c r="B6744">
        <v>191</v>
      </c>
      <c r="C6744" s="1" t="str">
        <f>HYPERLINK("http://www.rosaceae.org/gb/gbrowse/malus_x_domestica/?name=MDP0000255636","MDP0000255636")</f>
        <v>MDP0000255636</v>
      </c>
      <c r="D6744">
        <v>75.400000000000006</v>
      </c>
      <c r="E6744">
        <v>187</v>
      </c>
      <c r="F6744">
        <v>46</v>
      </c>
      <c r="G6744">
        <v>2</v>
      </c>
      <c r="H6744">
        <v>1</v>
      </c>
      <c r="I6744">
        <v>187</v>
      </c>
      <c r="J6744">
        <v>1</v>
      </c>
      <c r="K6744">
        <v>328</v>
      </c>
      <c r="L6744">
        <v>512</v>
      </c>
      <c r="M6744">
        <v>1</v>
      </c>
      <c r="N6744">
        <v>3.11017E-81</v>
      </c>
      <c r="O6744">
        <v>762</v>
      </c>
    </row>
    <row r="6745" spans="1:15" x14ac:dyDescent="0.25">
      <c r="A6745" t="s">
        <v>6758</v>
      </c>
      <c r="B6745">
        <v>192</v>
      </c>
      <c r="C6745" s="1" t="str">
        <f>HYPERLINK("http://www.rosaceae.org/gb/gbrowse/malus_x_domestica/?name=MDP0000162563","MDP0000162563")</f>
        <v>MDP0000162563</v>
      </c>
      <c r="D6745">
        <v>55.14</v>
      </c>
      <c r="E6745">
        <v>107</v>
      </c>
      <c r="F6745">
        <v>48</v>
      </c>
      <c r="G6745">
        <v>3</v>
      </c>
      <c r="H6745">
        <v>1</v>
      </c>
      <c r="I6745">
        <v>105</v>
      </c>
      <c r="J6745">
        <v>1</v>
      </c>
      <c r="K6745">
        <v>1</v>
      </c>
      <c r="L6745">
        <v>106</v>
      </c>
      <c r="M6745">
        <v>1</v>
      </c>
      <c r="N6745">
        <v>1.78063E-27</v>
      </c>
      <c r="O6745">
        <v>298</v>
      </c>
    </row>
    <row r="6746" spans="1:15" x14ac:dyDescent="0.25">
      <c r="A6746" t="s">
        <v>6759</v>
      </c>
      <c r="B6746">
        <v>770</v>
      </c>
      <c r="C6746" s="1" t="str">
        <f>HYPERLINK("http://www.rosaceae.org/gb/gbrowse/malus_x_domestica/?name=MDP0000299648","MDP0000299648")</f>
        <v>MDP0000299648</v>
      </c>
      <c r="D6746">
        <v>77.91</v>
      </c>
      <c r="E6746">
        <v>756</v>
      </c>
      <c r="F6746">
        <v>167</v>
      </c>
      <c r="G6746">
        <v>4</v>
      </c>
      <c r="H6746">
        <v>15</v>
      </c>
      <c r="I6746">
        <v>770</v>
      </c>
      <c r="J6746">
        <v>1</v>
      </c>
      <c r="K6746">
        <v>25</v>
      </c>
      <c r="L6746">
        <v>776</v>
      </c>
      <c r="M6746">
        <v>1</v>
      </c>
      <c r="N6746">
        <v>0</v>
      </c>
      <c r="O6746">
        <v>3132</v>
      </c>
    </row>
    <row r="6747" spans="1:15" x14ac:dyDescent="0.25">
      <c r="A6747" t="s">
        <v>6760</v>
      </c>
      <c r="B6747">
        <v>295</v>
      </c>
      <c r="C6747" s="1" t="str">
        <f>HYPERLINK("http://www.rosaceae.org/gb/gbrowse/malus_x_domestica/?name=MDP0000687738","MDP0000687738")</f>
        <v>MDP0000687738</v>
      </c>
      <c r="D6747">
        <v>51</v>
      </c>
      <c r="E6747">
        <v>347</v>
      </c>
      <c r="F6747">
        <v>170</v>
      </c>
      <c r="G6747">
        <v>75</v>
      </c>
      <c r="H6747">
        <v>2</v>
      </c>
      <c r="I6747">
        <v>278</v>
      </c>
      <c r="J6747">
        <v>1</v>
      </c>
      <c r="K6747">
        <v>5</v>
      </c>
      <c r="L6747">
        <v>346</v>
      </c>
      <c r="M6747">
        <v>1</v>
      </c>
      <c r="N6747">
        <v>5.1972000000000002E-85</v>
      </c>
      <c r="O6747">
        <v>797</v>
      </c>
    </row>
    <row r="6748" spans="1:15" x14ac:dyDescent="0.25">
      <c r="A6748" t="s">
        <v>6761</v>
      </c>
      <c r="B6748">
        <v>1723</v>
      </c>
      <c r="C6748" s="1" t="str">
        <f>HYPERLINK("http://www.rosaceae.org/gb/gbrowse/malus_x_domestica/?name=MDP0000903999","MDP0000903999")</f>
        <v>MDP0000903999</v>
      </c>
      <c r="D6748">
        <v>79.86</v>
      </c>
      <c r="E6748">
        <v>1654</v>
      </c>
      <c r="F6748">
        <v>333</v>
      </c>
      <c r="G6748">
        <v>63</v>
      </c>
      <c r="H6748">
        <v>131</v>
      </c>
      <c r="I6748">
        <v>1723</v>
      </c>
      <c r="J6748">
        <v>1</v>
      </c>
      <c r="K6748">
        <v>1</v>
      </c>
      <c r="L6748">
        <v>1652</v>
      </c>
      <c r="M6748">
        <v>1</v>
      </c>
      <c r="N6748">
        <v>0</v>
      </c>
      <c r="O6748">
        <v>6818</v>
      </c>
    </row>
    <row r="6749" spans="1:15" x14ac:dyDescent="0.25">
      <c r="A6749" t="s">
        <v>6762</v>
      </c>
      <c r="B6749">
        <v>212</v>
      </c>
      <c r="C6749" s="1" t="str">
        <f>HYPERLINK("http://www.rosaceae.org/gb/gbrowse/malus_x_domestica/?name=MDP0000800387","MDP0000800387")</f>
        <v>MDP0000800387</v>
      </c>
      <c r="D6749">
        <v>63.76</v>
      </c>
      <c r="E6749">
        <v>207</v>
      </c>
      <c r="F6749">
        <v>75</v>
      </c>
      <c r="G6749">
        <v>21</v>
      </c>
      <c r="H6749">
        <v>1</v>
      </c>
      <c r="I6749">
        <v>191</v>
      </c>
      <c r="J6749">
        <v>1</v>
      </c>
      <c r="K6749">
        <v>1</v>
      </c>
      <c r="L6749">
        <v>202</v>
      </c>
      <c r="M6749">
        <v>1</v>
      </c>
      <c r="N6749">
        <v>5.5144500000000004E-60</v>
      </c>
      <c r="O6749">
        <v>579</v>
      </c>
    </row>
    <row r="6750" spans="1:15" x14ac:dyDescent="0.25">
      <c r="A6750" t="s">
        <v>6763</v>
      </c>
      <c r="B6750">
        <v>300</v>
      </c>
      <c r="C6750" s="1" t="str">
        <f>HYPERLINK("http://www.rosaceae.org/gb/gbrowse/malus_x_domestica/?name=MDP0000142436","MDP0000142436")</f>
        <v>MDP0000142436</v>
      </c>
      <c r="D6750">
        <v>47.7</v>
      </c>
      <c r="E6750">
        <v>218</v>
      </c>
      <c r="F6750">
        <v>114</v>
      </c>
      <c r="G6750">
        <v>49</v>
      </c>
      <c r="H6750">
        <v>7</v>
      </c>
      <c r="I6750">
        <v>175</v>
      </c>
      <c r="J6750">
        <v>1</v>
      </c>
      <c r="K6750">
        <v>98</v>
      </c>
      <c r="L6750">
        <v>315</v>
      </c>
      <c r="M6750">
        <v>1</v>
      </c>
      <c r="N6750">
        <v>9.8229900000000004E-50</v>
      </c>
      <c r="O6750">
        <v>493</v>
      </c>
    </row>
    <row r="6751" spans="1:15" x14ac:dyDescent="0.25">
      <c r="A6751" t="s">
        <v>6764</v>
      </c>
      <c r="B6751">
        <v>259</v>
      </c>
      <c r="C6751" s="1" t="str">
        <f>HYPERLINK("http://www.rosaceae.org/gb/gbrowse/malus_x_domestica/?name=MDP0000504183","MDP0000504183")</f>
        <v>MDP0000504183</v>
      </c>
      <c r="D6751">
        <v>94.97</v>
      </c>
      <c r="E6751">
        <v>239</v>
      </c>
      <c r="F6751">
        <v>12</v>
      </c>
      <c r="G6751">
        <v>0</v>
      </c>
      <c r="H6751">
        <v>21</v>
      </c>
      <c r="I6751">
        <v>259</v>
      </c>
      <c r="J6751">
        <v>1</v>
      </c>
      <c r="K6751">
        <v>22</v>
      </c>
      <c r="L6751">
        <v>260</v>
      </c>
      <c r="M6751">
        <v>1</v>
      </c>
      <c r="N6751">
        <v>1.5733600000000001E-135</v>
      </c>
      <c r="O6751">
        <v>1232</v>
      </c>
    </row>
    <row r="6752" spans="1:15" x14ac:dyDescent="0.25">
      <c r="A6752" t="s">
        <v>6765</v>
      </c>
      <c r="B6752">
        <v>180</v>
      </c>
      <c r="C6752" s="1" t="str">
        <f>HYPERLINK("http://www.rosaceae.org/gb/gbrowse/malus_x_domestica/?name=MDP0000217844","MDP0000217844")</f>
        <v>MDP0000217844</v>
      </c>
      <c r="D6752">
        <v>58.82</v>
      </c>
      <c r="E6752">
        <v>85</v>
      </c>
      <c r="F6752">
        <v>35</v>
      </c>
      <c r="G6752">
        <v>0</v>
      </c>
      <c r="H6752">
        <v>33</v>
      </c>
      <c r="I6752">
        <v>117</v>
      </c>
      <c r="J6752">
        <v>1</v>
      </c>
      <c r="K6752">
        <v>182</v>
      </c>
      <c r="L6752">
        <v>266</v>
      </c>
      <c r="M6752">
        <v>1</v>
      </c>
      <c r="N6752">
        <v>9.7287600000000007E-27</v>
      </c>
      <c r="O6752">
        <v>291</v>
      </c>
    </row>
    <row r="6753" spans="1:15" x14ac:dyDescent="0.25">
      <c r="A6753" t="s">
        <v>6766</v>
      </c>
      <c r="B6753">
        <v>694</v>
      </c>
      <c r="C6753" s="1" t="str">
        <f>HYPERLINK("http://www.rosaceae.org/gb/gbrowse/malus_x_domestica/?name=MDP0000215232","MDP0000215232")</f>
        <v>MDP0000215232</v>
      </c>
      <c r="D6753">
        <v>87.74</v>
      </c>
      <c r="E6753">
        <v>669</v>
      </c>
      <c r="F6753">
        <v>82</v>
      </c>
      <c r="G6753">
        <v>16</v>
      </c>
      <c r="H6753">
        <v>23</v>
      </c>
      <c r="I6753">
        <v>675</v>
      </c>
      <c r="J6753">
        <v>1</v>
      </c>
      <c r="K6753">
        <v>107</v>
      </c>
      <c r="L6753">
        <v>775</v>
      </c>
      <c r="M6753">
        <v>1</v>
      </c>
      <c r="N6753">
        <v>0</v>
      </c>
      <c r="O6753">
        <v>2974</v>
      </c>
    </row>
    <row r="6754" spans="1:15" x14ac:dyDescent="0.25">
      <c r="A6754" t="s">
        <v>6767</v>
      </c>
      <c r="B6754">
        <v>225</v>
      </c>
      <c r="C6754" s="1" t="str">
        <f>HYPERLINK("http://www.rosaceae.org/gb/gbrowse/malus_x_domestica/?name=MDP0000171041","MDP0000171041")</f>
        <v>MDP0000171041</v>
      </c>
      <c r="D6754">
        <v>93.75</v>
      </c>
      <c r="E6754">
        <v>32</v>
      </c>
      <c r="F6754">
        <v>2</v>
      </c>
      <c r="G6754">
        <v>0</v>
      </c>
      <c r="H6754">
        <v>190</v>
      </c>
      <c r="I6754">
        <v>221</v>
      </c>
      <c r="J6754">
        <v>1</v>
      </c>
      <c r="K6754">
        <v>16</v>
      </c>
      <c r="L6754">
        <v>47</v>
      </c>
      <c r="M6754">
        <v>1</v>
      </c>
      <c r="N6754">
        <v>7.52928E-12</v>
      </c>
      <c r="O6754">
        <v>164</v>
      </c>
    </row>
    <row r="6755" spans="1:15" x14ac:dyDescent="0.25">
      <c r="A6755" t="s">
        <v>6768</v>
      </c>
      <c r="B6755">
        <v>350</v>
      </c>
      <c r="C6755" s="1" t="str">
        <f>HYPERLINK("http://www.rosaceae.org/gb/gbrowse/malus_x_domestica/?name=MDP0000881537","MDP0000881537")</f>
        <v>MDP0000881537</v>
      </c>
      <c r="D6755">
        <v>46.26</v>
      </c>
      <c r="E6755">
        <v>348</v>
      </c>
      <c r="F6755">
        <v>187</v>
      </c>
      <c r="G6755">
        <v>23</v>
      </c>
      <c r="H6755">
        <v>8</v>
      </c>
      <c r="I6755">
        <v>349</v>
      </c>
      <c r="J6755">
        <v>1</v>
      </c>
      <c r="K6755">
        <v>20</v>
      </c>
      <c r="L6755">
        <v>350</v>
      </c>
      <c r="M6755">
        <v>1</v>
      </c>
      <c r="N6755">
        <v>5.5280499999999995E-81</v>
      </c>
      <c r="O6755">
        <v>763</v>
      </c>
    </row>
    <row r="6756" spans="1:15" x14ac:dyDescent="0.25">
      <c r="A6756" t="s">
        <v>6769</v>
      </c>
      <c r="B6756">
        <v>926</v>
      </c>
      <c r="C6756" s="1" t="str">
        <f>HYPERLINK("http://www.rosaceae.org/gb/gbrowse/malus_x_domestica/?name=MDP0000138499","MDP0000138499")</f>
        <v>MDP0000138499</v>
      </c>
      <c r="D6756">
        <v>45.6</v>
      </c>
      <c r="E6756">
        <v>1002</v>
      </c>
      <c r="F6756">
        <v>545</v>
      </c>
      <c r="G6756">
        <v>107</v>
      </c>
      <c r="H6756">
        <v>3</v>
      </c>
      <c r="I6756">
        <v>909</v>
      </c>
      <c r="J6756">
        <v>1</v>
      </c>
      <c r="K6756">
        <v>6</v>
      </c>
      <c r="L6756">
        <v>995</v>
      </c>
      <c r="M6756">
        <v>1</v>
      </c>
      <c r="N6756">
        <v>0</v>
      </c>
      <c r="O6756">
        <v>1815</v>
      </c>
    </row>
    <row r="6757" spans="1:15" x14ac:dyDescent="0.25">
      <c r="A6757" t="s">
        <v>6770</v>
      </c>
      <c r="B6757">
        <v>396</v>
      </c>
      <c r="C6757" s="1" t="str">
        <f>HYPERLINK("http://www.rosaceae.org/gb/gbrowse/malus_x_domestica/?name=MDP0000877937","MDP0000877937")</f>
        <v>MDP0000877937</v>
      </c>
      <c r="D6757">
        <v>61</v>
      </c>
      <c r="E6757">
        <v>400</v>
      </c>
      <c r="F6757">
        <v>156</v>
      </c>
      <c r="G6757">
        <v>62</v>
      </c>
      <c r="H6757">
        <v>9</v>
      </c>
      <c r="I6757">
        <v>384</v>
      </c>
      <c r="J6757">
        <v>1</v>
      </c>
      <c r="K6757">
        <v>128</v>
      </c>
      <c r="L6757">
        <v>489</v>
      </c>
      <c r="M6757">
        <v>1</v>
      </c>
      <c r="N6757">
        <v>5.0093700000000001E-128</v>
      </c>
      <c r="O6757">
        <v>1169</v>
      </c>
    </row>
    <row r="6758" spans="1:15" x14ac:dyDescent="0.25">
      <c r="A6758" t="s">
        <v>6771</v>
      </c>
      <c r="B6758">
        <v>376</v>
      </c>
      <c r="C6758" s="1" t="str">
        <f>HYPERLINK("http://www.rosaceae.org/gb/gbrowse/malus_x_domestica/?name=MDP0000170202","MDP0000170202")</f>
        <v>MDP0000170202</v>
      </c>
      <c r="D6758">
        <v>65.709999999999994</v>
      </c>
      <c r="E6758">
        <v>350</v>
      </c>
      <c r="F6758">
        <v>120</v>
      </c>
      <c r="G6758">
        <v>33</v>
      </c>
      <c r="H6758">
        <v>1</v>
      </c>
      <c r="I6758">
        <v>327</v>
      </c>
      <c r="J6758">
        <v>1</v>
      </c>
      <c r="K6758">
        <v>1</v>
      </c>
      <c r="L6758">
        <v>340</v>
      </c>
      <c r="M6758">
        <v>1</v>
      </c>
      <c r="N6758">
        <v>6.8105899999999998E-114</v>
      </c>
      <c r="O6758">
        <v>1047</v>
      </c>
    </row>
    <row r="6759" spans="1:15" x14ac:dyDescent="0.25">
      <c r="A6759" t="s">
        <v>6772</v>
      </c>
      <c r="B6759">
        <v>526</v>
      </c>
      <c r="C6759" s="1" t="str">
        <f>HYPERLINK("http://www.rosaceae.org/gb/gbrowse/malus_x_domestica/?name=MDP0000294583","MDP0000294583")</f>
        <v>MDP0000294583</v>
      </c>
      <c r="D6759">
        <v>85.36</v>
      </c>
      <c r="E6759">
        <v>526</v>
      </c>
      <c r="F6759">
        <v>77</v>
      </c>
      <c r="G6759">
        <v>3</v>
      </c>
      <c r="H6759">
        <v>1</v>
      </c>
      <c r="I6759">
        <v>526</v>
      </c>
      <c r="J6759">
        <v>1</v>
      </c>
      <c r="K6759">
        <v>1</v>
      </c>
      <c r="L6759">
        <v>523</v>
      </c>
      <c r="M6759">
        <v>1</v>
      </c>
      <c r="N6759">
        <v>0</v>
      </c>
      <c r="O6759">
        <v>2383</v>
      </c>
    </row>
    <row r="6760" spans="1:15" x14ac:dyDescent="0.25">
      <c r="A6760" t="s">
        <v>6773</v>
      </c>
      <c r="B6760">
        <v>611</v>
      </c>
      <c r="C6760" s="1" t="str">
        <f>HYPERLINK("http://www.rosaceae.org/gb/gbrowse/malus_x_domestica/?name=MDP0000640034","MDP0000640034")</f>
        <v>MDP0000640034</v>
      </c>
      <c r="D6760">
        <v>76.260000000000005</v>
      </c>
      <c r="E6760">
        <v>611</v>
      </c>
      <c r="F6760">
        <v>145</v>
      </c>
      <c r="G6760">
        <v>35</v>
      </c>
      <c r="H6760">
        <v>27</v>
      </c>
      <c r="I6760">
        <v>611</v>
      </c>
      <c r="J6760">
        <v>1</v>
      </c>
      <c r="K6760">
        <v>34</v>
      </c>
      <c r="L6760">
        <v>635</v>
      </c>
      <c r="M6760">
        <v>1</v>
      </c>
      <c r="N6760">
        <v>0</v>
      </c>
      <c r="O6760">
        <v>2376</v>
      </c>
    </row>
    <row r="6761" spans="1:15" x14ac:dyDescent="0.25">
      <c r="A6761" t="s">
        <v>6774</v>
      </c>
      <c r="B6761">
        <v>825</v>
      </c>
      <c r="C6761" s="1" t="str">
        <f>HYPERLINK("http://www.rosaceae.org/gb/gbrowse/malus_x_domestica/?name=MDP0000250688","MDP0000250688")</f>
        <v>MDP0000250688</v>
      </c>
      <c r="D6761">
        <v>46.41</v>
      </c>
      <c r="E6761">
        <v>265</v>
      </c>
      <c r="F6761">
        <v>142</v>
      </c>
      <c r="G6761">
        <v>47</v>
      </c>
      <c r="H6761">
        <v>176</v>
      </c>
      <c r="I6761">
        <v>397</v>
      </c>
      <c r="J6761">
        <v>1</v>
      </c>
      <c r="K6761">
        <v>134</v>
      </c>
      <c r="L6761">
        <v>394</v>
      </c>
      <c r="M6761">
        <v>1</v>
      </c>
      <c r="N6761">
        <v>1.4085099999999999E-46</v>
      </c>
      <c r="O6761">
        <v>470</v>
      </c>
    </row>
    <row r="6762" spans="1:15" x14ac:dyDescent="0.25">
      <c r="A6762" t="s">
        <v>6775</v>
      </c>
      <c r="B6762">
        <v>852</v>
      </c>
      <c r="C6762" s="1" t="str">
        <f>HYPERLINK("http://www.rosaceae.org/gb/gbrowse/malus_x_domestica/?name=MDP0000131655","MDP0000131655")</f>
        <v>MDP0000131655</v>
      </c>
      <c r="D6762">
        <v>80.760000000000005</v>
      </c>
      <c r="E6762">
        <v>842</v>
      </c>
      <c r="F6762">
        <v>162</v>
      </c>
      <c r="G6762">
        <v>37</v>
      </c>
      <c r="H6762">
        <v>18</v>
      </c>
      <c r="I6762">
        <v>851</v>
      </c>
      <c r="J6762">
        <v>1</v>
      </c>
      <c r="K6762">
        <v>1</v>
      </c>
      <c r="L6762">
        <v>813</v>
      </c>
      <c r="M6762">
        <v>1</v>
      </c>
      <c r="N6762">
        <v>0</v>
      </c>
      <c r="O6762">
        <v>3537</v>
      </c>
    </row>
    <row r="6763" spans="1:15" x14ac:dyDescent="0.25">
      <c r="A6763" t="s">
        <v>6776</v>
      </c>
      <c r="B6763">
        <v>433</v>
      </c>
      <c r="C6763" s="1" t="str">
        <f>HYPERLINK("http://www.rosaceae.org/gb/gbrowse/malus_x_domestica/?name=MDP0000757569","MDP0000757569")</f>
        <v>MDP0000757569</v>
      </c>
      <c r="D6763">
        <v>53.44</v>
      </c>
      <c r="E6763">
        <v>116</v>
      </c>
      <c r="F6763">
        <v>54</v>
      </c>
      <c r="G6763">
        <v>4</v>
      </c>
      <c r="H6763">
        <v>307</v>
      </c>
      <c r="I6763">
        <v>422</v>
      </c>
      <c r="J6763">
        <v>1</v>
      </c>
      <c r="K6763">
        <v>499</v>
      </c>
      <c r="L6763">
        <v>610</v>
      </c>
      <c r="M6763">
        <v>1</v>
      </c>
      <c r="N6763">
        <v>2.1217400000000001E-23</v>
      </c>
      <c r="O6763">
        <v>268</v>
      </c>
    </row>
    <row r="6764" spans="1:15" x14ac:dyDescent="0.25">
      <c r="A6764" t="s">
        <v>6777</v>
      </c>
      <c r="B6764">
        <v>448</v>
      </c>
      <c r="C6764" s="1" t="str">
        <f>HYPERLINK("http://www.rosaceae.org/gb/gbrowse/malus_x_domestica/?name=MDP0000263977","MDP0000263977")</f>
        <v>MDP0000263977</v>
      </c>
      <c r="D6764">
        <v>50.26</v>
      </c>
      <c r="E6764">
        <v>378</v>
      </c>
      <c r="F6764">
        <v>188</v>
      </c>
      <c r="G6764">
        <v>5</v>
      </c>
      <c r="H6764">
        <v>70</v>
      </c>
      <c r="I6764">
        <v>443</v>
      </c>
      <c r="J6764">
        <v>1</v>
      </c>
      <c r="K6764">
        <v>2</v>
      </c>
      <c r="L6764">
        <v>378</v>
      </c>
      <c r="M6764">
        <v>1</v>
      </c>
      <c r="N6764">
        <v>1.3214E-90</v>
      </c>
      <c r="O6764">
        <v>847</v>
      </c>
    </row>
    <row r="6765" spans="1:15" x14ac:dyDescent="0.25">
      <c r="A6765" t="s">
        <v>6778</v>
      </c>
      <c r="B6765">
        <v>389</v>
      </c>
      <c r="C6765" s="1" t="str">
        <f>HYPERLINK("http://www.rosaceae.org/gb/gbrowse/malus_x_domestica/?name=MDP0000283455","MDP0000283455")</f>
        <v>MDP0000283455</v>
      </c>
      <c r="D6765">
        <v>75.94</v>
      </c>
      <c r="E6765">
        <v>424</v>
      </c>
      <c r="F6765">
        <v>102</v>
      </c>
      <c r="G6765">
        <v>43</v>
      </c>
      <c r="H6765">
        <v>3</v>
      </c>
      <c r="I6765">
        <v>384</v>
      </c>
      <c r="J6765">
        <v>1</v>
      </c>
      <c r="K6765">
        <v>4</v>
      </c>
      <c r="L6765">
        <v>426</v>
      </c>
      <c r="M6765">
        <v>1</v>
      </c>
      <c r="N6765">
        <v>0</v>
      </c>
      <c r="O6765">
        <v>1648</v>
      </c>
    </row>
    <row r="6766" spans="1:15" x14ac:dyDescent="0.25">
      <c r="A6766" t="s">
        <v>6779</v>
      </c>
      <c r="B6766">
        <v>136</v>
      </c>
      <c r="C6766" s="1" t="str">
        <f>HYPERLINK("http://www.rosaceae.org/gb/gbrowse/malus_x_domestica/?name=MDP0000851120","MDP0000851120")</f>
        <v>MDP0000851120</v>
      </c>
      <c r="D6766">
        <v>89.58</v>
      </c>
      <c r="E6766">
        <v>48</v>
      </c>
      <c r="F6766">
        <v>5</v>
      </c>
      <c r="G6766">
        <v>0</v>
      </c>
      <c r="H6766">
        <v>89</v>
      </c>
      <c r="I6766">
        <v>136</v>
      </c>
      <c r="J6766">
        <v>1</v>
      </c>
      <c r="K6766">
        <v>36</v>
      </c>
      <c r="L6766">
        <v>83</v>
      </c>
      <c r="M6766">
        <v>1</v>
      </c>
      <c r="N6766">
        <v>8.0548699999999996E-19</v>
      </c>
      <c r="O6766">
        <v>221</v>
      </c>
    </row>
    <row r="6767" spans="1:15" x14ac:dyDescent="0.25">
      <c r="A6767" t="s">
        <v>6780</v>
      </c>
      <c r="B6767">
        <v>419</v>
      </c>
      <c r="C6767" s="1" t="str">
        <f>HYPERLINK("http://www.rosaceae.org/gb/gbrowse/malus_x_domestica/?name=MDP0000301629","MDP0000301629")</f>
        <v>MDP0000301629</v>
      </c>
      <c r="D6767">
        <v>57.4</v>
      </c>
      <c r="E6767">
        <v>324</v>
      </c>
      <c r="F6767">
        <v>138</v>
      </c>
      <c r="G6767">
        <v>50</v>
      </c>
      <c r="H6767">
        <v>49</v>
      </c>
      <c r="I6767">
        <v>322</v>
      </c>
      <c r="J6767">
        <v>1</v>
      </c>
      <c r="K6767">
        <v>281</v>
      </c>
      <c r="L6767">
        <v>604</v>
      </c>
      <c r="M6767">
        <v>1</v>
      </c>
      <c r="N6767">
        <v>5.8252999999999998E-101</v>
      </c>
      <c r="O6767">
        <v>936</v>
      </c>
    </row>
    <row r="6768" spans="1:15" x14ac:dyDescent="0.25">
      <c r="A6768" t="s">
        <v>6781</v>
      </c>
      <c r="B6768">
        <v>863</v>
      </c>
      <c r="C6768" s="1" t="str">
        <f>HYPERLINK("http://www.rosaceae.org/gb/gbrowse/malus_x_domestica/?name=MDP0000310693","MDP0000310693")</f>
        <v>MDP0000310693</v>
      </c>
      <c r="D6768">
        <v>29.3</v>
      </c>
      <c r="E6768">
        <v>447</v>
      </c>
      <c r="F6768">
        <v>316</v>
      </c>
      <c r="G6768">
        <v>61</v>
      </c>
      <c r="H6768">
        <v>1</v>
      </c>
      <c r="I6768">
        <v>414</v>
      </c>
      <c r="J6768">
        <v>1</v>
      </c>
      <c r="K6768">
        <v>122</v>
      </c>
      <c r="L6768">
        <v>540</v>
      </c>
      <c r="M6768">
        <v>1</v>
      </c>
      <c r="N6768">
        <v>1.08109E-44</v>
      </c>
      <c r="O6768">
        <v>454</v>
      </c>
    </row>
    <row r="6769" spans="1:15" x14ac:dyDescent="0.25">
      <c r="A6769" t="s">
        <v>6782</v>
      </c>
      <c r="B6769">
        <v>866</v>
      </c>
      <c r="C6769" s="1" t="str">
        <f>HYPERLINK("http://www.rosaceae.org/gb/gbrowse/malus_x_domestica/?name=MDP0000083035","MDP0000083035")</f>
        <v>MDP0000083035</v>
      </c>
      <c r="D6769">
        <v>76.150000000000006</v>
      </c>
      <c r="E6769">
        <v>868</v>
      </c>
      <c r="F6769">
        <v>207</v>
      </c>
      <c r="G6769">
        <v>26</v>
      </c>
      <c r="H6769">
        <v>1</v>
      </c>
      <c r="I6769">
        <v>866</v>
      </c>
      <c r="J6769">
        <v>1</v>
      </c>
      <c r="K6769">
        <v>1</v>
      </c>
      <c r="L6769">
        <v>844</v>
      </c>
      <c r="M6769">
        <v>1</v>
      </c>
      <c r="N6769">
        <v>0</v>
      </c>
      <c r="O6769">
        <v>3503</v>
      </c>
    </row>
    <row r="6770" spans="1:15" x14ac:dyDescent="0.25">
      <c r="A6770" t="s">
        <v>6783</v>
      </c>
      <c r="B6770">
        <v>228</v>
      </c>
      <c r="C6770" s="1" t="str">
        <f>HYPERLINK("http://www.rosaceae.org/gb/gbrowse/malus_x_domestica/?name=MDP0000141329","MDP0000141329")</f>
        <v>MDP0000141329</v>
      </c>
      <c r="D6770">
        <v>87.5</v>
      </c>
      <c r="E6770">
        <v>160</v>
      </c>
      <c r="F6770">
        <v>20</v>
      </c>
      <c r="G6770">
        <v>0</v>
      </c>
      <c r="H6770">
        <v>54</v>
      </c>
      <c r="I6770">
        <v>213</v>
      </c>
      <c r="J6770">
        <v>1</v>
      </c>
      <c r="K6770">
        <v>1</v>
      </c>
      <c r="L6770">
        <v>160</v>
      </c>
      <c r="M6770">
        <v>1</v>
      </c>
      <c r="N6770">
        <v>1.7119199999999998E-80</v>
      </c>
      <c r="O6770">
        <v>757</v>
      </c>
    </row>
    <row r="6771" spans="1:15" x14ac:dyDescent="0.25">
      <c r="A6771" t="s">
        <v>6784</v>
      </c>
      <c r="B6771">
        <v>411</v>
      </c>
      <c r="C6771" s="1" t="str">
        <f>HYPERLINK("http://www.rosaceae.org/gb/gbrowse/malus_x_domestica/?name=MDP0000718631","MDP0000718631")</f>
        <v>MDP0000718631</v>
      </c>
      <c r="D6771">
        <v>79.48</v>
      </c>
      <c r="E6771">
        <v>117</v>
      </c>
      <c r="F6771">
        <v>24</v>
      </c>
      <c r="G6771">
        <v>0</v>
      </c>
      <c r="H6771">
        <v>234</v>
      </c>
      <c r="I6771">
        <v>350</v>
      </c>
      <c r="J6771">
        <v>1</v>
      </c>
      <c r="K6771">
        <v>223</v>
      </c>
      <c r="L6771">
        <v>339</v>
      </c>
      <c r="M6771">
        <v>1</v>
      </c>
      <c r="N6771">
        <v>2.7439000000000002E-47</v>
      </c>
      <c r="O6771">
        <v>473</v>
      </c>
    </row>
    <row r="6772" spans="1:15" x14ac:dyDescent="0.25">
      <c r="A6772" t="s">
        <v>6785</v>
      </c>
      <c r="B6772">
        <v>206</v>
      </c>
      <c r="C6772" s="1" t="str">
        <f>HYPERLINK("http://www.rosaceae.org/gb/gbrowse/malus_x_domestica/?name=MDP0000284986","MDP0000284986")</f>
        <v>MDP0000284986</v>
      </c>
      <c r="D6772">
        <v>71.91</v>
      </c>
      <c r="E6772">
        <v>146</v>
      </c>
      <c r="F6772">
        <v>41</v>
      </c>
      <c r="G6772">
        <v>0</v>
      </c>
      <c r="H6772">
        <v>1</v>
      </c>
      <c r="I6772">
        <v>146</v>
      </c>
      <c r="J6772">
        <v>1</v>
      </c>
      <c r="K6772">
        <v>1</v>
      </c>
      <c r="L6772">
        <v>146</v>
      </c>
      <c r="M6772">
        <v>1</v>
      </c>
      <c r="N6772">
        <v>3.8702100000000001E-57</v>
      </c>
      <c r="O6772">
        <v>554</v>
      </c>
    </row>
    <row r="6773" spans="1:15" x14ac:dyDescent="0.25">
      <c r="A6773" t="s">
        <v>6786</v>
      </c>
      <c r="B6773">
        <v>392</v>
      </c>
      <c r="C6773" s="1" t="str">
        <f>HYPERLINK("http://www.rosaceae.org/gb/gbrowse/malus_x_domestica/?name=MDP0000158878","MDP0000158878")</f>
        <v>MDP0000158878</v>
      </c>
      <c r="D6773">
        <v>77.94</v>
      </c>
      <c r="E6773">
        <v>136</v>
      </c>
      <c r="F6773">
        <v>30</v>
      </c>
      <c r="G6773">
        <v>7</v>
      </c>
      <c r="H6773">
        <v>35</v>
      </c>
      <c r="I6773">
        <v>170</v>
      </c>
      <c r="J6773">
        <v>1</v>
      </c>
      <c r="K6773">
        <v>176</v>
      </c>
      <c r="L6773">
        <v>304</v>
      </c>
      <c r="M6773">
        <v>1</v>
      </c>
      <c r="N6773">
        <v>5.8034500000000003E-58</v>
      </c>
      <c r="O6773">
        <v>565</v>
      </c>
    </row>
    <row r="6774" spans="1:15" x14ac:dyDescent="0.25">
      <c r="A6774" t="s">
        <v>6787</v>
      </c>
      <c r="B6774">
        <v>92</v>
      </c>
      <c r="C6774" s="1" t="str">
        <f>HYPERLINK("http://www.rosaceae.org/gb/gbrowse/malus_x_domestica/?name=MDP0000145361","MDP0000145361")</f>
        <v>MDP0000145361</v>
      </c>
      <c r="D6774">
        <v>63.51</v>
      </c>
      <c r="E6774">
        <v>74</v>
      </c>
      <c r="F6774">
        <v>27</v>
      </c>
      <c r="G6774">
        <v>10</v>
      </c>
      <c r="H6774">
        <v>26</v>
      </c>
      <c r="I6774">
        <v>91</v>
      </c>
      <c r="J6774">
        <v>1</v>
      </c>
      <c r="K6774">
        <v>44</v>
      </c>
      <c r="L6774">
        <v>115</v>
      </c>
      <c r="M6774">
        <v>1</v>
      </c>
      <c r="N6774">
        <v>1.13702E-17</v>
      </c>
      <c r="O6774">
        <v>210</v>
      </c>
    </row>
    <row r="6775" spans="1:15" x14ac:dyDescent="0.25">
      <c r="A6775" t="s">
        <v>6788</v>
      </c>
      <c r="B6775">
        <v>973</v>
      </c>
      <c r="C6775" s="1" t="str">
        <f>HYPERLINK("http://www.rosaceae.org/gb/gbrowse/malus_x_domestica/?name=MDP0000267409","MDP0000267409")</f>
        <v>MDP0000267409</v>
      </c>
      <c r="D6775">
        <v>38.75</v>
      </c>
      <c r="E6775">
        <v>498</v>
      </c>
      <c r="F6775">
        <v>305</v>
      </c>
      <c r="G6775">
        <v>79</v>
      </c>
      <c r="H6775">
        <v>471</v>
      </c>
      <c r="I6775">
        <v>895</v>
      </c>
      <c r="J6775">
        <v>1</v>
      </c>
      <c r="K6775">
        <v>495</v>
      </c>
      <c r="L6775">
        <v>986</v>
      </c>
      <c r="M6775">
        <v>1</v>
      </c>
      <c r="N6775">
        <v>2.74165E-80</v>
      </c>
      <c r="O6775">
        <v>762</v>
      </c>
    </row>
    <row r="6776" spans="1:15" x14ac:dyDescent="0.25">
      <c r="A6776" t="s">
        <v>6789</v>
      </c>
      <c r="B6776">
        <v>190</v>
      </c>
      <c r="C6776" s="1" t="str">
        <f>HYPERLINK("http://www.rosaceae.org/gb/gbrowse/malus_x_domestica/?name=MDP0000873376","MDP0000873376")</f>
        <v>MDP0000873376</v>
      </c>
      <c r="D6776">
        <v>82.05</v>
      </c>
      <c r="E6776">
        <v>117</v>
      </c>
      <c r="F6776">
        <v>21</v>
      </c>
      <c r="G6776">
        <v>1</v>
      </c>
      <c r="H6776">
        <v>6</v>
      </c>
      <c r="I6776">
        <v>121</v>
      </c>
      <c r="J6776">
        <v>1</v>
      </c>
      <c r="K6776">
        <v>2</v>
      </c>
      <c r="L6776">
        <v>118</v>
      </c>
      <c r="M6776">
        <v>1</v>
      </c>
      <c r="N6776">
        <v>4.19343E-49</v>
      </c>
      <c r="O6776">
        <v>485</v>
      </c>
    </row>
    <row r="6777" spans="1:15" x14ac:dyDescent="0.25">
      <c r="A6777" t="s">
        <v>6790</v>
      </c>
      <c r="B6777">
        <v>944</v>
      </c>
      <c r="C6777" s="1" t="str">
        <f>HYPERLINK("http://www.rosaceae.org/gb/gbrowse/malus_x_domestica/?name=MDP0000473373","MDP0000473373")</f>
        <v>MDP0000473373</v>
      </c>
      <c r="D6777">
        <v>74.45</v>
      </c>
      <c r="E6777">
        <v>411</v>
      </c>
      <c r="F6777">
        <v>105</v>
      </c>
      <c r="G6777">
        <v>15</v>
      </c>
      <c r="H6777">
        <v>1</v>
      </c>
      <c r="I6777">
        <v>410</v>
      </c>
      <c r="J6777">
        <v>1</v>
      </c>
      <c r="K6777">
        <v>65</v>
      </c>
      <c r="L6777">
        <v>461</v>
      </c>
      <c r="M6777">
        <v>1</v>
      </c>
      <c r="N6777">
        <v>9.3796899999999996E-180</v>
      </c>
      <c r="O6777">
        <v>1619</v>
      </c>
    </row>
    <row r="6778" spans="1:15" x14ac:dyDescent="0.25">
      <c r="A6778" t="s">
        <v>6791</v>
      </c>
      <c r="B6778">
        <v>514</v>
      </c>
      <c r="C6778" s="1" t="str">
        <f>HYPERLINK("http://www.rosaceae.org/gb/gbrowse/malus_x_domestica/?name=MDP0000308997","MDP0000308997")</f>
        <v>MDP0000308997</v>
      </c>
      <c r="D6778">
        <v>69.430000000000007</v>
      </c>
      <c r="E6778">
        <v>517</v>
      </c>
      <c r="F6778">
        <v>158</v>
      </c>
      <c r="G6778">
        <v>6</v>
      </c>
      <c r="H6778">
        <v>1</v>
      </c>
      <c r="I6778">
        <v>514</v>
      </c>
      <c r="J6778">
        <v>1</v>
      </c>
      <c r="K6778">
        <v>1</v>
      </c>
      <c r="L6778">
        <v>514</v>
      </c>
      <c r="M6778">
        <v>1</v>
      </c>
      <c r="N6778">
        <v>0</v>
      </c>
      <c r="O6778">
        <v>1898</v>
      </c>
    </row>
    <row r="6779" spans="1:15" x14ac:dyDescent="0.25">
      <c r="A6779" t="s">
        <v>6792</v>
      </c>
      <c r="B6779">
        <v>141</v>
      </c>
      <c r="C6779" s="1" t="str">
        <f>HYPERLINK("http://www.rosaceae.org/gb/gbrowse/malus_x_domestica/?name=MDP0000686221","MDP0000686221")</f>
        <v>MDP0000686221</v>
      </c>
      <c r="D6779">
        <v>38.049999999999997</v>
      </c>
      <c r="E6779">
        <v>113</v>
      </c>
      <c r="F6779">
        <v>70</v>
      </c>
      <c r="G6779">
        <v>27</v>
      </c>
      <c r="H6779">
        <v>51</v>
      </c>
      <c r="I6779">
        <v>136</v>
      </c>
      <c r="J6779">
        <v>1</v>
      </c>
      <c r="K6779">
        <v>785</v>
      </c>
      <c r="L6779">
        <v>897</v>
      </c>
      <c r="M6779">
        <v>1</v>
      </c>
      <c r="N6779">
        <v>6.8779899999999999E-17</v>
      </c>
      <c r="O6779">
        <v>204</v>
      </c>
    </row>
    <row r="6780" spans="1:15" x14ac:dyDescent="0.25">
      <c r="A6780" t="s">
        <v>6793</v>
      </c>
      <c r="B6780">
        <v>529</v>
      </c>
      <c r="C6780" s="1" t="str">
        <f>HYPERLINK("http://www.rosaceae.org/gb/gbrowse/malus_x_domestica/?name=MDP0000197466","MDP0000197466")</f>
        <v>MDP0000197466</v>
      </c>
      <c r="D6780">
        <v>83.26</v>
      </c>
      <c r="E6780">
        <v>502</v>
      </c>
      <c r="F6780">
        <v>84</v>
      </c>
      <c r="G6780">
        <v>0</v>
      </c>
      <c r="H6780">
        <v>1</v>
      </c>
      <c r="I6780">
        <v>502</v>
      </c>
      <c r="J6780">
        <v>1</v>
      </c>
      <c r="K6780">
        <v>1</v>
      </c>
      <c r="L6780">
        <v>502</v>
      </c>
      <c r="M6780">
        <v>1</v>
      </c>
      <c r="N6780">
        <v>0</v>
      </c>
      <c r="O6780">
        <v>2225</v>
      </c>
    </row>
    <row r="6781" spans="1:15" x14ac:dyDescent="0.25">
      <c r="A6781" t="s">
        <v>6794</v>
      </c>
      <c r="B6781">
        <v>385</v>
      </c>
      <c r="C6781" s="1" t="str">
        <f>HYPERLINK("http://www.rosaceae.org/gb/gbrowse/malus_x_domestica/?name=MDP0000927762","MDP0000927762")</f>
        <v>MDP0000927762</v>
      </c>
      <c r="D6781">
        <v>60.1</v>
      </c>
      <c r="E6781">
        <v>386</v>
      </c>
      <c r="F6781">
        <v>154</v>
      </c>
      <c r="G6781">
        <v>49</v>
      </c>
      <c r="H6781">
        <v>1</v>
      </c>
      <c r="I6781">
        <v>384</v>
      </c>
      <c r="J6781">
        <v>1</v>
      </c>
      <c r="K6781">
        <v>1</v>
      </c>
      <c r="L6781">
        <v>339</v>
      </c>
      <c r="M6781">
        <v>1</v>
      </c>
      <c r="N6781">
        <v>4.9966399999999997E-115</v>
      </c>
      <c r="O6781">
        <v>1057</v>
      </c>
    </row>
    <row r="6782" spans="1:15" x14ac:dyDescent="0.25">
      <c r="A6782" t="s">
        <v>6795</v>
      </c>
      <c r="B6782">
        <v>824</v>
      </c>
      <c r="C6782" s="1" t="str">
        <f>HYPERLINK("http://www.rosaceae.org/gb/gbrowse/malus_x_domestica/?name=MDP0000252422","MDP0000252422")</f>
        <v>MDP0000252422</v>
      </c>
      <c r="D6782">
        <v>67.959999999999994</v>
      </c>
      <c r="E6782">
        <v>871</v>
      </c>
      <c r="F6782">
        <v>279</v>
      </c>
      <c r="G6782">
        <v>90</v>
      </c>
      <c r="H6782">
        <v>31</v>
      </c>
      <c r="I6782">
        <v>824</v>
      </c>
      <c r="J6782">
        <v>1</v>
      </c>
      <c r="K6782">
        <v>23</v>
      </c>
      <c r="L6782">
        <v>880</v>
      </c>
      <c r="M6782">
        <v>1</v>
      </c>
      <c r="N6782">
        <v>0</v>
      </c>
      <c r="O6782">
        <v>2924</v>
      </c>
    </row>
    <row r="6783" spans="1:15" x14ac:dyDescent="0.25">
      <c r="A6783" t="s">
        <v>6796</v>
      </c>
      <c r="B6783">
        <v>189</v>
      </c>
      <c r="C6783" s="1" t="str">
        <f>HYPERLINK("http://www.rosaceae.org/gb/gbrowse/malus_x_domestica/?name=MDP0000842296","MDP0000842296")</f>
        <v>MDP0000842296</v>
      </c>
      <c r="D6783">
        <v>38.96</v>
      </c>
      <c r="E6783">
        <v>154</v>
      </c>
      <c r="F6783">
        <v>94</v>
      </c>
      <c r="G6783">
        <v>8</v>
      </c>
      <c r="H6783">
        <v>37</v>
      </c>
      <c r="I6783">
        <v>187</v>
      </c>
      <c r="J6783">
        <v>1</v>
      </c>
      <c r="K6783">
        <v>234</v>
      </c>
      <c r="L6783">
        <v>382</v>
      </c>
      <c r="M6783">
        <v>1</v>
      </c>
      <c r="N6783">
        <v>1.4622499999999999E-19</v>
      </c>
      <c r="O6783">
        <v>230</v>
      </c>
    </row>
    <row r="6784" spans="1:15" x14ac:dyDescent="0.25">
      <c r="A6784" t="s">
        <v>6797</v>
      </c>
      <c r="B6784">
        <v>199</v>
      </c>
      <c r="C6784" s="1" t="str">
        <f>HYPERLINK("http://www.rosaceae.org/gb/gbrowse/malus_x_domestica/?name=MDP0000170553","MDP0000170553")</f>
        <v>MDP0000170553</v>
      </c>
      <c r="D6784">
        <v>29.54</v>
      </c>
      <c r="E6784">
        <v>176</v>
      </c>
      <c r="F6784">
        <v>124</v>
      </c>
      <c r="G6784">
        <v>35</v>
      </c>
      <c r="H6784">
        <v>31</v>
      </c>
      <c r="I6784">
        <v>198</v>
      </c>
      <c r="J6784">
        <v>1</v>
      </c>
      <c r="K6784">
        <v>27</v>
      </c>
      <c r="L6784">
        <v>175</v>
      </c>
      <c r="M6784">
        <v>1</v>
      </c>
      <c r="N6784">
        <v>2.27053E-12</v>
      </c>
      <c r="O6784">
        <v>168</v>
      </c>
    </row>
    <row r="6785" spans="1:15" x14ac:dyDescent="0.25">
      <c r="A6785" t="s">
        <v>6798</v>
      </c>
      <c r="B6785">
        <v>1909</v>
      </c>
      <c r="C6785" s="1" t="str">
        <f>HYPERLINK("http://www.rosaceae.org/gb/gbrowse/malus_x_domestica/?name=MDP0000162193","MDP0000162193")</f>
        <v>MDP0000162193</v>
      </c>
      <c r="D6785">
        <v>65.349999999999994</v>
      </c>
      <c r="E6785">
        <v>1960</v>
      </c>
      <c r="F6785">
        <v>679</v>
      </c>
      <c r="G6785">
        <v>157</v>
      </c>
      <c r="H6785">
        <v>1</v>
      </c>
      <c r="I6785">
        <v>1888</v>
      </c>
      <c r="J6785">
        <v>1</v>
      </c>
      <c r="K6785">
        <v>1</v>
      </c>
      <c r="L6785">
        <v>1875</v>
      </c>
      <c r="M6785">
        <v>1</v>
      </c>
      <c r="N6785">
        <v>0</v>
      </c>
      <c r="O6785">
        <v>6236</v>
      </c>
    </row>
    <row r="6786" spans="1:15" x14ac:dyDescent="0.25">
      <c r="A6786" t="s">
        <v>6799</v>
      </c>
      <c r="B6786">
        <v>536</v>
      </c>
      <c r="C6786" s="1" t="str">
        <f>HYPERLINK("http://www.rosaceae.org/gb/gbrowse/malus_x_domestica/?name=MDP0000308011","MDP0000308011")</f>
        <v>MDP0000308011</v>
      </c>
      <c r="D6786">
        <v>68.02</v>
      </c>
      <c r="E6786">
        <v>538</v>
      </c>
      <c r="F6786">
        <v>172</v>
      </c>
      <c r="G6786">
        <v>11</v>
      </c>
      <c r="H6786">
        <v>1</v>
      </c>
      <c r="I6786">
        <v>532</v>
      </c>
      <c r="J6786">
        <v>1</v>
      </c>
      <c r="K6786">
        <v>1</v>
      </c>
      <c r="L6786">
        <v>533</v>
      </c>
      <c r="M6786">
        <v>1</v>
      </c>
      <c r="N6786">
        <v>0</v>
      </c>
      <c r="O6786">
        <v>1902</v>
      </c>
    </row>
    <row r="6787" spans="1:15" x14ac:dyDescent="0.25">
      <c r="A6787" t="s">
        <v>6800</v>
      </c>
      <c r="B6787">
        <v>647</v>
      </c>
      <c r="C6787" s="1" t="str">
        <f>HYPERLINK("http://www.rosaceae.org/gb/gbrowse/malus_x_domestica/?name=MDP0000272510","MDP0000272510")</f>
        <v>MDP0000272510</v>
      </c>
      <c r="D6787">
        <v>47.46</v>
      </c>
      <c r="E6787">
        <v>729</v>
      </c>
      <c r="F6787">
        <v>383</v>
      </c>
      <c r="G6787">
        <v>123</v>
      </c>
      <c r="H6787">
        <v>5</v>
      </c>
      <c r="I6787">
        <v>639</v>
      </c>
      <c r="J6787">
        <v>1</v>
      </c>
      <c r="K6787">
        <v>1</v>
      </c>
      <c r="L6787">
        <v>700</v>
      </c>
      <c r="M6787">
        <v>1</v>
      </c>
      <c r="N6787">
        <v>1.5211899999999999E-153</v>
      </c>
      <c r="O6787">
        <v>1392</v>
      </c>
    </row>
    <row r="6788" spans="1:15" x14ac:dyDescent="0.25">
      <c r="A6788" t="s">
        <v>6801</v>
      </c>
      <c r="B6788">
        <v>314</v>
      </c>
      <c r="C6788" s="1" t="str">
        <f>HYPERLINK("http://www.rosaceae.org/gb/gbrowse/malus_x_domestica/?name=MDP0000662845","MDP0000662845")</f>
        <v>MDP0000662845</v>
      </c>
      <c r="D6788">
        <v>53.64</v>
      </c>
      <c r="E6788">
        <v>302</v>
      </c>
      <c r="F6788">
        <v>140</v>
      </c>
      <c r="G6788">
        <v>8</v>
      </c>
      <c r="H6788">
        <v>9</v>
      </c>
      <c r="I6788">
        <v>307</v>
      </c>
      <c r="J6788">
        <v>1</v>
      </c>
      <c r="K6788">
        <v>3</v>
      </c>
      <c r="L6788">
        <v>299</v>
      </c>
      <c r="M6788">
        <v>1</v>
      </c>
      <c r="N6788">
        <v>1.2845400000000001E-80</v>
      </c>
      <c r="O6788">
        <v>759</v>
      </c>
    </row>
    <row r="6789" spans="1:15" x14ac:dyDescent="0.25">
      <c r="A6789" t="s">
        <v>6802</v>
      </c>
      <c r="B6789">
        <v>338</v>
      </c>
      <c r="C6789" s="1" t="str">
        <f>HYPERLINK("http://www.rosaceae.org/gb/gbrowse/malus_x_domestica/?name=MDP0000142485","MDP0000142485")</f>
        <v>MDP0000142485</v>
      </c>
      <c r="D6789">
        <v>81.28</v>
      </c>
      <c r="E6789">
        <v>326</v>
      </c>
      <c r="F6789">
        <v>61</v>
      </c>
      <c r="G6789">
        <v>0</v>
      </c>
      <c r="H6789">
        <v>13</v>
      </c>
      <c r="I6789">
        <v>338</v>
      </c>
      <c r="J6789">
        <v>1</v>
      </c>
      <c r="K6789">
        <v>1</v>
      </c>
      <c r="L6789">
        <v>326</v>
      </c>
      <c r="M6789">
        <v>1</v>
      </c>
      <c r="N6789">
        <v>1.5980699999999999E-160</v>
      </c>
      <c r="O6789">
        <v>1449</v>
      </c>
    </row>
    <row r="6790" spans="1:15" x14ac:dyDescent="0.25">
      <c r="A6790" t="s">
        <v>6803</v>
      </c>
      <c r="B6790">
        <v>1265</v>
      </c>
      <c r="C6790" s="1" t="str">
        <f>HYPERLINK("http://www.rosaceae.org/gb/gbrowse/malus_x_domestica/?name=MDP0000176263","MDP0000176263")</f>
        <v>MDP0000176263</v>
      </c>
      <c r="D6790">
        <v>65.14</v>
      </c>
      <c r="E6790">
        <v>657</v>
      </c>
      <c r="F6790">
        <v>229</v>
      </c>
      <c r="G6790">
        <v>65</v>
      </c>
      <c r="H6790">
        <v>620</v>
      </c>
      <c r="I6790">
        <v>1265</v>
      </c>
      <c r="J6790">
        <v>1</v>
      </c>
      <c r="K6790">
        <v>580</v>
      </c>
      <c r="L6790">
        <v>1182</v>
      </c>
      <c r="M6790">
        <v>1</v>
      </c>
      <c r="N6790">
        <v>0</v>
      </c>
      <c r="O6790">
        <v>1994</v>
      </c>
    </row>
    <row r="6791" spans="1:15" x14ac:dyDescent="0.25">
      <c r="A6791" t="s">
        <v>6804</v>
      </c>
      <c r="B6791">
        <v>868</v>
      </c>
      <c r="C6791" s="1" t="str">
        <f>HYPERLINK("http://www.rosaceae.org/gb/gbrowse/malus_x_domestica/?name=MDP0000270938","MDP0000270938")</f>
        <v>MDP0000270938</v>
      </c>
      <c r="D6791">
        <v>68.650000000000006</v>
      </c>
      <c r="E6791">
        <v>887</v>
      </c>
      <c r="F6791">
        <v>278</v>
      </c>
      <c r="G6791">
        <v>97</v>
      </c>
      <c r="H6791">
        <v>2</v>
      </c>
      <c r="I6791">
        <v>868</v>
      </c>
      <c r="J6791">
        <v>1</v>
      </c>
      <c r="K6791">
        <v>147</v>
      </c>
      <c r="L6791">
        <v>956</v>
      </c>
      <c r="M6791">
        <v>1</v>
      </c>
      <c r="N6791">
        <v>0</v>
      </c>
      <c r="O6791">
        <v>3041</v>
      </c>
    </row>
    <row r="6792" spans="1:15" x14ac:dyDescent="0.25">
      <c r="A6792" t="s">
        <v>6805</v>
      </c>
      <c r="B6792">
        <v>101</v>
      </c>
      <c r="C6792" s="1" t="str">
        <f>HYPERLINK("http://www.rosaceae.org/gb/gbrowse/malus_x_domestica/?name=MDP0000145993","MDP0000145993")</f>
        <v>MDP0000145993</v>
      </c>
      <c r="D6792">
        <v>64.64</v>
      </c>
      <c r="E6792">
        <v>99</v>
      </c>
      <c r="F6792">
        <v>35</v>
      </c>
      <c r="G6792">
        <v>3</v>
      </c>
      <c r="H6792">
        <v>1</v>
      </c>
      <c r="I6792">
        <v>96</v>
      </c>
      <c r="J6792">
        <v>1</v>
      </c>
      <c r="K6792">
        <v>1</v>
      </c>
      <c r="L6792">
        <v>99</v>
      </c>
      <c r="M6792">
        <v>1</v>
      </c>
      <c r="N6792">
        <v>1.08559E-27</v>
      </c>
      <c r="O6792">
        <v>296</v>
      </c>
    </row>
    <row r="6793" spans="1:15" x14ac:dyDescent="0.25">
      <c r="A6793" t="s">
        <v>6806</v>
      </c>
      <c r="B6793">
        <v>190</v>
      </c>
      <c r="C6793" s="1" t="str">
        <f>HYPERLINK("http://www.rosaceae.org/gb/gbrowse/malus_x_domestica/?name=MDP0000206926","MDP0000206926")</f>
        <v>MDP0000206926</v>
      </c>
      <c r="D6793">
        <v>62.5</v>
      </c>
      <c r="E6793">
        <v>144</v>
      </c>
      <c r="F6793">
        <v>54</v>
      </c>
      <c r="G6793">
        <v>9</v>
      </c>
      <c r="H6793">
        <v>1</v>
      </c>
      <c r="I6793">
        <v>136</v>
      </c>
      <c r="J6793">
        <v>1</v>
      </c>
      <c r="K6793">
        <v>259</v>
      </c>
      <c r="L6793">
        <v>401</v>
      </c>
      <c r="M6793">
        <v>1</v>
      </c>
      <c r="N6793">
        <v>8.5375800000000003E-43</v>
      </c>
      <c r="O6793">
        <v>430</v>
      </c>
    </row>
    <row r="6794" spans="1:15" x14ac:dyDescent="0.25">
      <c r="A6794" t="s">
        <v>6807</v>
      </c>
      <c r="B6794">
        <v>284</v>
      </c>
      <c r="C6794" s="1" t="str">
        <f>HYPERLINK("http://www.rosaceae.org/gb/gbrowse/malus_x_domestica/?name=MDP0000224970","MDP0000224970")</f>
        <v>MDP0000224970</v>
      </c>
      <c r="D6794">
        <v>57.14</v>
      </c>
      <c r="E6794">
        <v>175</v>
      </c>
      <c r="F6794">
        <v>75</v>
      </c>
      <c r="G6794">
        <v>9</v>
      </c>
      <c r="H6794">
        <v>32</v>
      </c>
      <c r="I6794">
        <v>206</v>
      </c>
      <c r="J6794">
        <v>1</v>
      </c>
      <c r="K6794">
        <v>33</v>
      </c>
      <c r="L6794">
        <v>198</v>
      </c>
      <c r="M6794">
        <v>1</v>
      </c>
      <c r="N6794">
        <v>1.02344E-50</v>
      </c>
      <c r="O6794">
        <v>501</v>
      </c>
    </row>
    <row r="6795" spans="1:15" x14ac:dyDescent="0.25">
      <c r="A6795" t="s">
        <v>6808</v>
      </c>
      <c r="B6795">
        <v>333</v>
      </c>
      <c r="C6795" s="1" t="str">
        <f>HYPERLINK("http://www.rosaceae.org/gb/gbrowse/malus_x_domestica/?name=MDP0000158374","MDP0000158374")</f>
        <v>MDP0000158374</v>
      </c>
      <c r="D6795">
        <v>32.159999999999997</v>
      </c>
      <c r="E6795">
        <v>314</v>
      </c>
      <c r="F6795">
        <v>213</v>
      </c>
      <c r="G6795">
        <v>59</v>
      </c>
      <c r="H6795">
        <v>14</v>
      </c>
      <c r="I6795">
        <v>274</v>
      </c>
      <c r="J6795">
        <v>1</v>
      </c>
      <c r="K6795">
        <v>16</v>
      </c>
      <c r="L6795">
        <v>323</v>
      </c>
      <c r="M6795">
        <v>1</v>
      </c>
      <c r="N6795">
        <v>1.9817400000000001E-34</v>
      </c>
      <c r="O6795">
        <v>361</v>
      </c>
    </row>
    <row r="6796" spans="1:15" x14ac:dyDescent="0.25">
      <c r="A6796" t="s">
        <v>6809</v>
      </c>
      <c r="B6796">
        <v>314</v>
      </c>
      <c r="C6796" s="1" t="str">
        <f>HYPERLINK("http://www.rosaceae.org/gb/gbrowse/malus_x_domestica/?name=MDP0000147281","MDP0000147281")</f>
        <v>MDP0000147281</v>
      </c>
      <c r="D6796">
        <v>80.83</v>
      </c>
      <c r="E6796">
        <v>313</v>
      </c>
      <c r="F6796">
        <v>60</v>
      </c>
      <c r="G6796">
        <v>0</v>
      </c>
      <c r="H6796">
        <v>1</v>
      </c>
      <c r="I6796">
        <v>313</v>
      </c>
      <c r="J6796">
        <v>1</v>
      </c>
      <c r="K6796">
        <v>59</v>
      </c>
      <c r="L6796">
        <v>371</v>
      </c>
      <c r="M6796">
        <v>1</v>
      </c>
      <c r="N6796">
        <v>1.49122E-141</v>
      </c>
      <c r="O6796">
        <v>1285</v>
      </c>
    </row>
    <row r="6797" spans="1:15" x14ac:dyDescent="0.25">
      <c r="A6797" t="s">
        <v>6810</v>
      </c>
      <c r="B6797">
        <v>224</v>
      </c>
      <c r="C6797" s="1" t="str">
        <f>HYPERLINK("http://www.rosaceae.org/gb/gbrowse/malus_x_domestica/?name=MDP0000143364","MDP0000143364")</f>
        <v>MDP0000143364</v>
      </c>
      <c r="D6797">
        <v>79.2</v>
      </c>
      <c r="E6797">
        <v>202</v>
      </c>
      <c r="F6797">
        <v>42</v>
      </c>
      <c r="G6797">
        <v>0</v>
      </c>
      <c r="H6797">
        <v>6</v>
      </c>
      <c r="I6797">
        <v>207</v>
      </c>
      <c r="J6797">
        <v>1</v>
      </c>
      <c r="K6797">
        <v>10</v>
      </c>
      <c r="L6797">
        <v>211</v>
      </c>
      <c r="M6797">
        <v>1</v>
      </c>
      <c r="N6797">
        <v>3.3348299999999997E-88</v>
      </c>
      <c r="O6797">
        <v>823</v>
      </c>
    </row>
    <row r="6798" spans="1:15" x14ac:dyDescent="0.25">
      <c r="A6798" t="s">
        <v>6811</v>
      </c>
      <c r="B6798">
        <v>290</v>
      </c>
      <c r="C6798" s="1" t="str">
        <f>HYPERLINK("http://www.rosaceae.org/gb/gbrowse/malus_x_domestica/?name=MDP0000479436","MDP0000479436")</f>
        <v>MDP0000479436</v>
      </c>
      <c r="D6798">
        <v>90.34</v>
      </c>
      <c r="E6798">
        <v>290</v>
      </c>
      <c r="F6798">
        <v>28</v>
      </c>
      <c r="G6798">
        <v>1</v>
      </c>
      <c r="H6798">
        <v>1</v>
      </c>
      <c r="I6798">
        <v>290</v>
      </c>
      <c r="J6798">
        <v>1</v>
      </c>
      <c r="K6798">
        <v>85</v>
      </c>
      <c r="L6798">
        <v>373</v>
      </c>
      <c r="M6798">
        <v>1</v>
      </c>
      <c r="N6798">
        <v>5.0480200000000003E-152</v>
      </c>
      <c r="O6798">
        <v>1375</v>
      </c>
    </row>
    <row r="6799" spans="1:15" x14ac:dyDescent="0.25">
      <c r="A6799" t="s">
        <v>6812</v>
      </c>
      <c r="B6799">
        <v>385</v>
      </c>
      <c r="C6799" s="1" t="str">
        <f>HYPERLINK("http://www.rosaceae.org/gb/gbrowse/malus_x_domestica/?name=MDP0000129573","MDP0000129573")</f>
        <v>MDP0000129573</v>
      </c>
      <c r="D6799">
        <v>82.05</v>
      </c>
      <c r="E6799">
        <v>379</v>
      </c>
      <c r="F6799">
        <v>68</v>
      </c>
      <c r="G6799">
        <v>1</v>
      </c>
      <c r="H6799">
        <v>1</v>
      </c>
      <c r="I6799">
        <v>378</v>
      </c>
      <c r="J6799">
        <v>1</v>
      </c>
      <c r="K6799">
        <v>1</v>
      </c>
      <c r="L6799">
        <v>379</v>
      </c>
      <c r="M6799">
        <v>1</v>
      </c>
      <c r="N6799">
        <v>0</v>
      </c>
      <c r="O6799">
        <v>1667</v>
      </c>
    </row>
    <row r="6800" spans="1:15" x14ac:dyDescent="0.25">
      <c r="A6800" t="s">
        <v>6813</v>
      </c>
      <c r="B6800">
        <v>248</v>
      </c>
      <c r="C6800" s="1" t="str">
        <f>HYPERLINK("http://www.rosaceae.org/gb/gbrowse/malus_x_domestica/?name=MDP0000149037","MDP0000149037")</f>
        <v>MDP0000149037</v>
      </c>
      <c r="D6800">
        <v>60.73</v>
      </c>
      <c r="E6800">
        <v>219</v>
      </c>
      <c r="F6800">
        <v>86</v>
      </c>
      <c r="G6800">
        <v>5</v>
      </c>
      <c r="H6800">
        <v>32</v>
      </c>
      <c r="I6800">
        <v>245</v>
      </c>
      <c r="J6800">
        <v>1</v>
      </c>
      <c r="K6800">
        <v>5</v>
      </c>
      <c r="L6800">
        <v>223</v>
      </c>
      <c r="M6800">
        <v>1</v>
      </c>
      <c r="N6800">
        <v>2.13421E-72</v>
      </c>
      <c r="O6800">
        <v>687</v>
      </c>
    </row>
    <row r="6801" spans="1:15" x14ac:dyDescent="0.25">
      <c r="A6801" t="s">
        <v>6814</v>
      </c>
      <c r="B6801">
        <v>259</v>
      </c>
      <c r="C6801" s="1" t="str">
        <f>HYPERLINK("http://www.rosaceae.org/gb/gbrowse/malus_x_domestica/?name=MDP0000331563","MDP0000331563")</f>
        <v>MDP0000331563</v>
      </c>
      <c r="D6801">
        <v>75.790000000000006</v>
      </c>
      <c r="E6801">
        <v>252</v>
      </c>
      <c r="F6801">
        <v>61</v>
      </c>
      <c r="G6801">
        <v>7</v>
      </c>
      <c r="H6801">
        <v>1</v>
      </c>
      <c r="I6801">
        <v>245</v>
      </c>
      <c r="J6801">
        <v>1</v>
      </c>
      <c r="K6801">
        <v>1</v>
      </c>
      <c r="L6801">
        <v>252</v>
      </c>
      <c r="M6801">
        <v>1</v>
      </c>
      <c r="N6801">
        <v>4.5413499999999999E-105</v>
      </c>
      <c r="O6801">
        <v>969</v>
      </c>
    </row>
    <row r="6802" spans="1:15" x14ac:dyDescent="0.25">
      <c r="A6802" t="s">
        <v>6815</v>
      </c>
      <c r="B6802">
        <v>128</v>
      </c>
      <c r="C6802" s="1" t="str">
        <f>HYPERLINK("http://www.rosaceae.org/gb/gbrowse/malus_x_domestica/?name=MDP0000204690","MDP0000204690")</f>
        <v>MDP0000204690</v>
      </c>
      <c r="D6802">
        <v>56.63</v>
      </c>
      <c r="E6802">
        <v>113</v>
      </c>
      <c r="F6802">
        <v>49</v>
      </c>
      <c r="G6802">
        <v>45</v>
      </c>
      <c r="H6802">
        <v>42</v>
      </c>
      <c r="I6802">
        <v>109</v>
      </c>
      <c r="J6802">
        <v>1</v>
      </c>
      <c r="K6802">
        <v>1</v>
      </c>
      <c r="L6802">
        <v>113</v>
      </c>
      <c r="M6802">
        <v>1</v>
      </c>
      <c r="N6802">
        <v>6.0376400000000003E-25</v>
      </c>
      <c r="O6802">
        <v>273</v>
      </c>
    </row>
    <row r="6803" spans="1:15" x14ac:dyDescent="0.25">
      <c r="A6803" t="s">
        <v>6816</v>
      </c>
      <c r="B6803">
        <v>188</v>
      </c>
      <c r="C6803" s="1" t="str">
        <f>HYPERLINK("http://www.rosaceae.org/gb/gbrowse/malus_x_domestica/?name=MDP0000376209","MDP0000376209")</f>
        <v>MDP0000376209</v>
      </c>
      <c r="D6803">
        <v>38.5</v>
      </c>
      <c r="E6803">
        <v>174</v>
      </c>
      <c r="F6803">
        <v>107</v>
      </c>
      <c r="G6803">
        <v>14</v>
      </c>
      <c r="H6803">
        <v>1</v>
      </c>
      <c r="I6803">
        <v>172</v>
      </c>
      <c r="J6803">
        <v>1</v>
      </c>
      <c r="K6803">
        <v>1</v>
      </c>
      <c r="L6803">
        <v>162</v>
      </c>
      <c r="M6803">
        <v>1</v>
      </c>
      <c r="N6803">
        <v>8.9624699999999996E-23</v>
      </c>
      <c r="O6803">
        <v>258</v>
      </c>
    </row>
    <row r="6804" spans="1:15" x14ac:dyDescent="0.25">
      <c r="A6804" t="s">
        <v>6817</v>
      </c>
      <c r="B6804">
        <v>646</v>
      </c>
      <c r="C6804" s="1" t="str">
        <f>HYPERLINK("http://www.rosaceae.org/gb/gbrowse/malus_x_domestica/?name=MDP0000197497","MDP0000197497")</f>
        <v>MDP0000197497</v>
      </c>
      <c r="D6804">
        <v>57.42</v>
      </c>
      <c r="E6804">
        <v>613</v>
      </c>
      <c r="F6804">
        <v>261</v>
      </c>
      <c r="G6804">
        <v>65</v>
      </c>
      <c r="H6804">
        <v>87</v>
      </c>
      <c r="I6804">
        <v>646</v>
      </c>
      <c r="J6804">
        <v>1</v>
      </c>
      <c r="K6804">
        <v>678</v>
      </c>
      <c r="L6804">
        <v>1278</v>
      </c>
      <c r="M6804">
        <v>1</v>
      </c>
      <c r="N6804">
        <v>0</v>
      </c>
      <c r="O6804">
        <v>1679</v>
      </c>
    </row>
    <row r="6805" spans="1:15" x14ac:dyDescent="0.25">
      <c r="A6805" t="s">
        <v>6818</v>
      </c>
      <c r="B6805">
        <v>307</v>
      </c>
      <c r="C6805" s="1" t="str">
        <f>HYPERLINK("http://www.rosaceae.org/gb/gbrowse/malus_x_domestica/?name=MDP0000245784","MDP0000245784")</f>
        <v>MDP0000245784</v>
      </c>
      <c r="D6805">
        <v>70.05</v>
      </c>
      <c r="E6805">
        <v>197</v>
      </c>
      <c r="F6805">
        <v>59</v>
      </c>
      <c r="G6805">
        <v>14</v>
      </c>
      <c r="H6805">
        <v>123</v>
      </c>
      <c r="I6805">
        <v>307</v>
      </c>
      <c r="J6805">
        <v>1</v>
      </c>
      <c r="K6805">
        <v>15</v>
      </c>
      <c r="L6805">
        <v>209</v>
      </c>
      <c r="M6805">
        <v>1</v>
      </c>
      <c r="N6805">
        <v>1.07988E-73</v>
      </c>
      <c r="O6805">
        <v>700</v>
      </c>
    </row>
    <row r="6806" spans="1:15" x14ac:dyDescent="0.25">
      <c r="A6806" t="s">
        <v>6819</v>
      </c>
      <c r="B6806">
        <v>366</v>
      </c>
      <c r="C6806" s="1" t="str">
        <f>HYPERLINK("http://www.rosaceae.org/gb/gbrowse/malus_x_domestica/?name=MDP0000119265","MDP0000119265")</f>
        <v>MDP0000119265</v>
      </c>
      <c r="D6806">
        <v>35.83</v>
      </c>
      <c r="E6806">
        <v>399</v>
      </c>
      <c r="F6806">
        <v>256</v>
      </c>
      <c r="G6806">
        <v>38</v>
      </c>
      <c r="H6806">
        <v>1</v>
      </c>
      <c r="I6806">
        <v>366</v>
      </c>
      <c r="J6806">
        <v>1</v>
      </c>
      <c r="K6806">
        <v>1</v>
      </c>
      <c r="L6806">
        <v>394</v>
      </c>
      <c r="M6806">
        <v>1</v>
      </c>
      <c r="N6806">
        <v>5.7452699999999998E-53</v>
      </c>
      <c r="O6806">
        <v>522</v>
      </c>
    </row>
    <row r="6807" spans="1:15" x14ac:dyDescent="0.25">
      <c r="A6807" t="s">
        <v>6820</v>
      </c>
      <c r="B6807">
        <v>428</v>
      </c>
      <c r="C6807" s="1" t="str">
        <f>HYPERLINK("http://www.rosaceae.org/gb/gbrowse/malus_x_domestica/?name=MDP0000205197","MDP0000205197")</f>
        <v>MDP0000205197</v>
      </c>
      <c r="D6807">
        <v>57.94</v>
      </c>
      <c r="E6807">
        <v>409</v>
      </c>
      <c r="F6807">
        <v>172</v>
      </c>
      <c r="G6807">
        <v>27</v>
      </c>
      <c r="H6807">
        <v>35</v>
      </c>
      <c r="I6807">
        <v>416</v>
      </c>
      <c r="J6807">
        <v>1</v>
      </c>
      <c r="K6807">
        <v>21</v>
      </c>
      <c r="L6807">
        <v>429</v>
      </c>
      <c r="M6807">
        <v>1</v>
      </c>
      <c r="N6807">
        <v>1.4291899999999999E-124</v>
      </c>
      <c r="O6807">
        <v>1140</v>
      </c>
    </row>
    <row r="6808" spans="1:15" x14ac:dyDescent="0.25">
      <c r="A6808" t="s">
        <v>6821</v>
      </c>
      <c r="B6808">
        <v>542</v>
      </c>
      <c r="C6808" s="1" t="str">
        <f>HYPERLINK("http://www.rosaceae.org/gb/gbrowse/malus_x_domestica/?name=MDP0000233370","MDP0000233370")</f>
        <v>MDP0000233370</v>
      </c>
      <c r="D6808">
        <v>65.81</v>
      </c>
      <c r="E6808">
        <v>509</v>
      </c>
      <c r="F6808">
        <v>174</v>
      </c>
      <c r="G6808">
        <v>15</v>
      </c>
      <c r="H6808">
        <v>36</v>
      </c>
      <c r="I6808">
        <v>539</v>
      </c>
      <c r="J6808">
        <v>1</v>
      </c>
      <c r="K6808">
        <v>345</v>
      </c>
      <c r="L6808">
        <v>843</v>
      </c>
      <c r="M6808">
        <v>1</v>
      </c>
      <c r="N6808">
        <v>0</v>
      </c>
      <c r="O6808">
        <v>1808</v>
      </c>
    </row>
    <row r="6809" spans="1:15" x14ac:dyDescent="0.25">
      <c r="A6809" t="s">
        <v>6822</v>
      </c>
      <c r="B6809">
        <v>1001</v>
      </c>
      <c r="C6809" s="1" t="str">
        <f>HYPERLINK("http://www.rosaceae.org/gb/gbrowse/malus_x_domestica/?name=MDP0000776183","MDP0000776183")</f>
        <v>MDP0000776183</v>
      </c>
      <c r="D6809">
        <v>79.459999999999994</v>
      </c>
      <c r="E6809">
        <v>852</v>
      </c>
      <c r="F6809">
        <v>175</v>
      </c>
      <c r="G6809">
        <v>42</v>
      </c>
      <c r="H6809">
        <v>152</v>
      </c>
      <c r="I6809">
        <v>988</v>
      </c>
      <c r="J6809">
        <v>1</v>
      </c>
      <c r="K6809">
        <v>185</v>
      </c>
      <c r="L6809">
        <v>1009</v>
      </c>
      <c r="M6809">
        <v>1</v>
      </c>
      <c r="N6809">
        <v>0</v>
      </c>
      <c r="O6809">
        <v>3502</v>
      </c>
    </row>
    <row r="6810" spans="1:15" x14ac:dyDescent="0.25">
      <c r="A6810" t="s">
        <v>6823</v>
      </c>
      <c r="B6810">
        <v>207</v>
      </c>
      <c r="C6810" s="1" t="str">
        <f>HYPERLINK("http://www.rosaceae.org/gb/gbrowse/malus_x_domestica/?name=MDP0000325082","MDP0000325082")</f>
        <v>MDP0000325082</v>
      </c>
      <c r="D6810">
        <v>80</v>
      </c>
      <c r="E6810">
        <v>125</v>
      </c>
      <c r="F6810">
        <v>25</v>
      </c>
      <c r="G6810">
        <v>0</v>
      </c>
      <c r="H6810">
        <v>20</v>
      </c>
      <c r="I6810">
        <v>144</v>
      </c>
      <c r="J6810">
        <v>1</v>
      </c>
      <c r="K6810">
        <v>18</v>
      </c>
      <c r="L6810">
        <v>142</v>
      </c>
      <c r="M6810">
        <v>1</v>
      </c>
      <c r="N6810">
        <v>3.1445599999999999E-57</v>
      </c>
      <c r="O6810">
        <v>555</v>
      </c>
    </row>
    <row r="6811" spans="1:15" x14ac:dyDescent="0.25">
      <c r="A6811" t="s">
        <v>6824</v>
      </c>
      <c r="B6811">
        <v>505</v>
      </c>
      <c r="C6811" s="1" t="str">
        <f>HYPERLINK("http://www.rosaceae.org/gb/gbrowse/malus_x_domestica/?name=MDP0000253785","MDP0000253785")</f>
        <v>MDP0000253785</v>
      </c>
      <c r="D6811">
        <v>43.18</v>
      </c>
      <c r="E6811">
        <v>521</v>
      </c>
      <c r="F6811">
        <v>296</v>
      </c>
      <c r="G6811">
        <v>56</v>
      </c>
      <c r="H6811">
        <v>3</v>
      </c>
      <c r="I6811">
        <v>474</v>
      </c>
      <c r="J6811">
        <v>1</v>
      </c>
      <c r="K6811">
        <v>85</v>
      </c>
      <c r="L6811">
        <v>598</v>
      </c>
      <c r="M6811">
        <v>1</v>
      </c>
      <c r="N6811">
        <v>1.4349000000000001E-87</v>
      </c>
      <c r="O6811">
        <v>822</v>
      </c>
    </row>
    <row r="6812" spans="1:15" x14ac:dyDescent="0.25">
      <c r="A6812" t="s">
        <v>6825</v>
      </c>
      <c r="B6812">
        <v>177</v>
      </c>
      <c r="C6812" s="1" t="str">
        <f>HYPERLINK("http://www.rosaceae.org/gb/gbrowse/malus_x_domestica/?name=MDP0000159973","MDP0000159973")</f>
        <v>MDP0000159973</v>
      </c>
      <c r="D6812">
        <v>42.01</v>
      </c>
      <c r="E6812">
        <v>169</v>
      </c>
      <c r="F6812">
        <v>98</v>
      </c>
      <c r="G6812">
        <v>5</v>
      </c>
      <c r="H6812">
        <v>1</v>
      </c>
      <c r="I6812">
        <v>167</v>
      </c>
      <c r="J6812">
        <v>1</v>
      </c>
      <c r="K6812">
        <v>1</v>
      </c>
      <c r="L6812">
        <v>166</v>
      </c>
      <c r="M6812">
        <v>1</v>
      </c>
      <c r="N6812">
        <v>4.5321999999999999E-31</v>
      </c>
      <c r="O6812">
        <v>329</v>
      </c>
    </row>
    <row r="6813" spans="1:15" x14ac:dyDescent="0.25">
      <c r="A6813" t="s">
        <v>6826</v>
      </c>
      <c r="B6813">
        <v>526</v>
      </c>
      <c r="C6813" s="1" t="str">
        <f>HYPERLINK("http://www.rosaceae.org/gb/gbrowse/malus_x_domestica/?name=MDP0000283046","MDP0000283046")</f>
        <v>MDP0000283046</v>
      </c>
      <c r="D6813">
        <v>63.28</v>
      </c>
      <c r="E6813">
        <v>512</v>
      </c>
      <c r="F6813">
        <v>188</v>
      </c>
      <c r="G6813">
        <v>43</v>
      </c>
      <c r="H6813">
        <v>3</v>
      </c>
      <c r="I6813">
        <v>479</v>
      </c>
      <c r="J6813">
        <v>1</v>
      </c>
      <c r="K6813">
        <v>87</v>
      </c>
      <c r="L6813">
        <v>590</v>
      </c>
      <c r="M6813">
        <v>1</v>
      </c>
      <c r="N6813">
        <v>3.9500100000000001E-168</v>
      </c>
      <c r="O6813">
        <v>1517</v>
      </c>
    </row>
    <row r="6814" spans="1:15" x14ac:dyDescent="0.25">
      <c r="A6814" t="s">
        <v>6827</v>
      </c>
      <c r="B6814">
        <v>677</v>
      </c>
      <c r="C6814" s="1" t="str">
        <f>HYPERLINK("http://www.rosaceae.org/gb/gbrowse/malus_x_domestica/?name=MDP0000129786","MDP0000129786")</f>
        <v>MDP0000129786</v>
      </c>
      <c r="D6814">
        <v>73.38</v>
      </c>
      <c r="E6814">
        <v>124</v>
      </c>
      <c r="F6814">
        <v>33</v>
      </c>
      <c r="G6814">
        <v>1</v>
      </c>
      <c r="H6814">
        <v>554</v>
      </c>
      <c r="I6814">
        <v>676</v>
      </c>
      <c r="J6814">
        <v>1</v>
      </c>
      <c r="K6814">
        <v>105</v>
      </c>
      <c r="L6814">
        <v>228</v>
      </c>
      <c r="M6814">
        <v>1</v>
      </c>
      <c r="N6814">
        <v>1.33174E-51</v>
      </c>
      <c r="O6814">
        <v>513</v>
      </c>
    </row>
    <row r="6815" spans="1:15" x14ac:dyDescent="0.25">
      <c r="A6815" t="s">
        <v>6828</v>
      </c>
      <c r="B6815">
        <v>568</v>
      </c>
      <c r="C6815" s="1" t="str">
        <f>HYPERLINK("http://www.rosaceae.org/gb/gbrowse/malus_x_domestica/?name=MDP0000911278","MDP0000911278")</f>
        <v>MDP0000911278</v>
      </c>
      <c r="D6815">
        <v>55.08</v>
      </c>
      <c r="E6815">
        <v>305</v>
      </c>
      <c r="F6815">
        <v>137</v>
      </c>
      <c r="G6815">
        <v>33</v>
      </c>
      <c r="H6815">
        <v>1</v>
      </c>
      <c r="I6815">
        <v>301</v>
      </c>
      <c r="J6815">
        <v>1</v>
      </c>
      <c r="K6815">
        <v>1</v>
      </c>
      <c r="L6815">
        <v>276</v>
      </c>
      <c r="M6815">
        <v>1</v>
      </c>
      <c r="N6815">
        <v>4.1060699999999998E-85</v>
      </c>
      <c r="O6815">
        <v>801</v>
      </c>
    </row>
    <row r="6816" spans="1:15" x14ac:dyDescent="0.25">
      <c r="A6816" t="s">
        <v>6829</v>
      </c>
      <c r="B6816">
        <v>259</v>
      </c>
      <c r="C6816" s="1" t="str">
        <f>HYPERLINK("http://www.rosaceae.org/gb/gbrowse/malus_x_domestica/?name=MDP0000413824","MDP0000413824")</f>
        <v>MDP0000413824</v>
      </c>
      <c r="D6816">
        <v>75.540000000000006</v>
      </c>
      <c r="E6816">
        <v>184</v>
      </c>
      <c r="F6816">
        <v>45</v>
      </c>
      <c r="G6816">
        <v>34</v>
      </c>
      <c r="H6816">
        <v>110</v>
      </c>
      <c r="I6816">
        <v>259</v>
      </c>
      <c r="J6816">
        <v>1</v>
      </c>
      <c r="K6816">
        <v>1</v>
      </c>
      <c r="L6816">
        <v>184</v>
      </c>
      <c r="M6816">
        <v>1</v>
      </c>
      <c r="N6816">
        <v>1.4753700000000001E-69</v>
      </c>
      <c r="O6816">
        <v>663</v>
      </c>
    </row>
    <row r="6817" spans="1:15" x14ac:dyDescent="0.25">
      <c r="A6817" t="s">
        <v>6830</v>
      </c>
      <c r="B6817">
        <v>214</v>
      </c>
      <c r="C6817" s="1" t="str">
        <f>HYPERLINK("http://www.rosaceae.org/gb/gbrowse/malus_x_domestica/?name=MDP0000223219","MDP0000223219")</f>
        <v>MDP0000223219</v>
      </c>
      <c r="D6817">
        <v>40.93</v>
      </c>
      <c r="E6817">
        <v>193</v>
      </c>
      <c r="F6817">
        <v>114</v>
      </c>
      <c r="G6817">
        <v>26</v>
      </c>
      <c r="H6817">
        <v>39</v>
      </c>
      <c r="I6817">
        <v>212</v>
      </c>
      <c r="J6817">
        <v>1</v>
      </c>
      <c r="K6817">
        <v>32</v>
      </c>
      <c r="L6817">
        <v>217</v>
      </c>
      <c r="M6817">
        <v>1</v>
      </c>
      <c r="N6817">
        <v>1.67824E-22</v>
      </c>
      <c r="O6817">
        <v>256</v>
      </c>
    </row>
    <row r="6818" spans="1:15" x14ac:dyDescent="0.25">
      <c r="A6818" t="s">
        <v>6831</v>
      </c>
      <c r="B6818">
        <v>374</v>
      </c>
      <c r="C6818" s="1" t="str">
        <f>HYPERLINK("http://www.rosaceae.org/gb/gbrowse/malus_x_domestica/?name=MDP0000185125","MDP0000185125")</f>
        <v>MDP0000185125</v>
      </c>
      <c r="D6818">
        <v>29.56</v>
      </c>
      <c r="E6818">
        <v>186</v>
      </c>
      <c r="F6818">
        <v>131</v>
      </c>
      <c r="G6818">
        <v>5</v>
      </c>
      <c r="H6818">
        <v>133</v>
      </c>
      <c r="I6818">
        <v>317</v>
      </c>
      <c r="J6818">
        <v>1</v>
      </c>
      <c r="K6818">
        <v>29</v>
      </c>
      <c r="L6818">
        <v>210</v>
      </c>
      <c r="M6818">
        <v>1</v>
      </c>
      <c r="N6818">
        <v>8.7778999999999993E-19</v>
      </c>
      <c r="O6818">
        <v>227</v>
      </c>
    </row>
    <row r="6819" spans="1:15" x14ac:dyDescent="0.25">
      <c r="A6819" t="s">
        <v>6832</v>
      </c>
      <c r="B6819">
        <v>132</v>
      </c>
      <c r="C6819" s="1" t="str">
        <f>HYPERLINK("http://www.rosaceae.org/gb/gbrowse/malus_x_domestica/?name=MDP0000127942","MDP0000127942")</f>
        <v>MDP0000127942</v>
      </c>
      <c r="D6819">
        <v>74.19</v>
      </c>
      <c r="E6819">
        <v>62</v>
      </c>
      <c r="F6819">
        <v>16</v>
      </c>
      <c r="G6819">
        <v>0</v>
      </c>
      <c r="H6819">
        <v>2</v>
      </c>
      <c r="I6819">
        <v>63</v>
      </c>
      <c r="J6819">
        <v>1</v>
      </c>
      <c r="K6819">
        <v>311</v>
      </c>
      <c r="L6819">
        <v>372</v>
      </c>
      <c r="M6819">
        <v>1</v>
      </c>
      <c r="N6819">
        <v>1.24724E-23</v>
      </c>
      <c r="O6819">
        <v>262</v>
      </c>
    </row>
    <row r="6820" spans="1:15" x14ac:dyDescent="0.25">
      <c r="A6820" t="s">
        <v>6833</v>
      </c>
      <c r="B6820">
        <v>121</v>
      </c>
      <c r="C6820" s="1" t="str">
        <f>HYPERLINK("http://www.rosaceae.org/gb/gbrowse/malus_x_domestica/?name=MDP0000162172","MDP0000162172")</f>
        <v>MDP0000162172</v>
      </c>
      <c r="D6820">
        <v>53.78</v>
      </c>
      <c r="E6820">
        <v>119</v>
      </c>
      <c r="F6820">
        <v>55</v>
      </c>
      <c r="G6820">
        <v>16</v>
      </c>
      <c r="H6820">
        <v>1</v>
      </c>
      <c r="I6820">
        <v>119</v>
      </c>
      <c r="J6820">
        <v>1</v>
      </c>
      <c r="K6820">
        <v>1</v>
      </c>
      <c r="L6820">
        <v>103</v>
      </c>
      <c r="M6820">
        <v>1</v>
      </c>
      <c r="N6820">
        <v>1.9167999999999999E-27</v>
      </c>
      <c r="O6820">
        <v>294</v>
      </c>
    </row>
    <row r="6821" spans="1:15" x14ac:dyDescent="0.25">
      <c r="A6821" t="s">
        <v>6834</v>
      </c>
      <c r="B6821">
        <v>1759</v>
      </c>
      <c r="C6821" s="1" t="str">
        <f>HYPERLINK("http://www.rosaceae.org/gb/gbrowse/malus_x_domestica/?name=MDP0000172631","MDP0000172631")</f>
        <v>MDP0000172631</v>
      </c>
      <c r="D6821">
        <v>43.16</v>
      </c>
      <c r="E6821">
        <v>424</v>
      </c>
      <c r="F6821">
        <v>241</v>
      </c>
      <c r="G6821">
        <v>42</v>
      </c>
      <c r="H6821">
        <v>1</v>
      </c>
      <c r="I6821">
        <v>417</v>
      </c>
      <c r="J6821">
        <v>1</v>
      </c>
      <c r="K6821">
        <v>1</v>
      </c>
      <c r="L6821">
        <v>389</v>
      </c>
      <c r="M6821">
        <v>1</v>
      </c>
      <c r="N6821">
        <v>7.9337900000000002E-73</v>
      </c>
      <c r="O6821">
        <v>700</v>
      </c>
    </row>
    <row r="6822" spans="1:15" x14ac:dyDescent="0.25">
      <c r="A6822" t="s">
        <v>6835</v>
      </c>
      <c r="B6822">
        <v>871</v>
      </c>
      <c r="C6822" s="1" t="str">
        <f>HYPERLINK("http://www.rosaceae.org/gb/gbrowse/malus_x_domestica/?name=MDP0000243419","MDP0000243419")</f>
        <v>MDP0000243419</v>
      </c>
      <c r="D6822">
        <v>86.92</v>
      </c>
      <c r="E6822">
        <v>283</v>
      </c>
      <c r="F6822">
        <v>37</v>
      </c>
      <c r="G6822">
        <v>0</v>
      </c>
      <c r="H6822">
        <v>40</v>
      </c>
      <c r="I6822">
        <v>322</v>
      </c>
      <c r="J6822">
        <v>1</v>
      </c>
      <c r="K6822">
        <v>40</v>
      </c>
      <c r="L6822">
        <v>322</v>
      </c>
      <c r="M6822">
        <v>1</v>
      </c>
      <c r="N6822">
        <v>1.19429E-140</v>
      </c>
      <c r="O6822">
        <v>1282</v>
      </c>
    </row>
    <row r="6823" spans="1:15" x14ac:dyDescent="0.25">
      <c r="A6823" t="s">
        <v>6836</v>
      </c>
      <c r="B6823">
        <v>518</v>
      </c>
      <c r="C6823" s="1" t="str">
        <f>HYPERLINK("http://www.rosaceae.org/gb/gbrowse/malus_x_domestica/?name=MDP0000528435","MDP0000528435")</f>
        <v>MDP0000528435</v>
      </c>
      <c r="D6823">
        <v>35.299999999999997</v>
      </c>
      <c r="E6823">
        <v>405</v>
      </c>
      <c r="F6823">
        <v>262</v>
      </c>
      <c r="G6823">
        <v>115</v>
      </c>
      <c r="H6823">
        <v>39</v>
      </c>
      <c r="I6823">
        <v>343</v>
      </c>
      <c r="J6823">
        <v>1</v>
      </c>
      <c r="K6823">
        <v>51</v>
      </c>
      <c r="L6823">
        <v>440</v>
      </c>
      <c r="M6823">
        <v>1</v>
      </c>
      <c r="N6823">
        <v>1.5598599999999999E-54</v>
      </c>
      <c r="O6823">
        <v>537</v>
      </c>
    </row>
    <row r="6824" spans="1:15" x14ac:dyDescent="0.25">
      <c r="A6824" t="s">
        <v>6837</v>
      </c>
      <c r="B6824">
        <v>189</v>
      </c>
      <c r="C6824" s="1" t="str">
        <f>HYPERLINK("http://www.rosaceae.org/gb/gbrowse/malus_x_domestica/?name=MDP0000746605","MDP0000746605")</f>
        <v>MDP0000746605</v>
      </c>
      <c r="D6824">
        <v>62.82</v>
      </c>
      <c r="E6824">
        <v>191</v>
      </c>
      <c r="F6824">
        <v>71</v>
      </c>
      <c r="G6824">
        <v>2</v>
      </c>
      <c r="H6824">
        <v>1</v>
      </c>
      <c r="I6824">
        <v>189</v>
      </c>
      <c r="J6824">
        <v>1</v>
      </c>
      <c r="K6824">
        <v>540</v>
      </c>
      <c r="L6824">
        <v>730</v>
      </c>
      <c r="M6824">
        <v>1</v>
      </c>
      <c r="N6824">
        <v>1.0774599999999999E-65</v>
      </c>
      <c r="O6824">
        <v>628</v>
      </c>
    </row>
    <row r="6825" spans="1:15" x14ac:dyDescent="0.25">
      <c r="A6825" t="s">
        <v>6838</v>
      </c>
      <c r="B6825">
        <v>477</v>
      </c>
      <c r="C6825" s="1" t="str">
        <f>HYPERLINK("http://www.rosaceae.org/gb/gbrowse/malus_x_domestica/?name=MDP0000300259","MDP0000300259")</f>
        <v>MDP0000300259</v>
      </c>
      <c r="D6825">
        <v>85.93</v>
      </c>
      <c r="E6825">
        <v>455</v>
      </c>
      <c r="F6825">
        <v>64</v>
      </c>
      <c r="G6825">
        <v>9</v>
      </c>
      <c r="H6825">
        <v>25</v>
      </c>
      <c r="I6825">
        <v>477</v>
      </c>
      <c r="J6825">
        <v>1</v>
      </c>
      <c r="K6825">
        <v>24</v>
      </c>
      <c r="L6825">
        <v>471</v>
      </c>
      <c r="M6825">
        <v>1</v>
      </c>
      <c r="N6825">
        <v>0</v>
      </c>
      <c r="O6825">
        <v>2072</v>
      </c>
    </row>
    <row r="6826" spans="1:15" x14ac:dyDescent="0.25">
      <c r="A6826" t="s">
        <v>6839</v>
      </c>
      <c r="B6826">
        <v>215</v>
      </c>
      <c r="C6826" s="1" t="str">
        <f>HYPERLINK("http://www.rosaceae.org/gb/gbrowse/malus_x_domestica/?name=MDP0000329773","MDP0000329773")</f>
        <v>MDP0000329773</v>
      </c>
      <c r="D6826">
        <v>76.040000000000006</v>
      </c>
      <c r="E6826">
        <v>192</v>
      </c>
      <c r="F6826">
        <v>46</v>
      </c>
      <c r="G6826">
        <v>5</v>
      </c>
      <c r="H6826">
        <v>24</v>
      </c>
      <c r="I6826">
        <v>210</v>
      </c>
      <c r="J6826">
        <v>1</v>
      </c>
      <c r="K6826">
        <v>37</v>
      </c>
      <c r="L6826">
        <v>228</v>
      </c>
      <c r="M6826">
        <v>1</v>
      </c>
      <c r="N6826">
        <v>1.9304400000000001E-87</v>
      </c>
      <c r="O6826">
        <v>816</v>
      </c>
    </row>
    <row r="6827" spans="1:15" x14ac:dyDescent="0.25">
      <c r="A6827" t="s">
        <v>6840</v>
      </c>
      <c r="B6827">
        <v>135</v>
      </c>
      <c r="C6827" s="1" t="str">
        <f>HYPERLINK("http://www.rosaceae.org/gb/gbrowse/malus_x_domestica/?name=MDP0000557621","MDP0000557621")</f>
        <v>MDP0000557621</v>
      </c>
      <c r="D6827">
        <v>52</v>
      </c>
      <c r="E6827">
        <v>50</v>
      </c>
      <c r="F6827">
        <v>24</v>
      </c>
      <c r="G6827">
        <v>0</v>
      </c>
      <c r="H6827">
        <v>12</v>
      </c>
      <c r="I6827">
        <v>61</v>
      </c>
      <c r="J6827">
        <v>1</v>
      </c>
      <c r="K6827">
        <v>36</v>
      </c>
      <c r="L6827">
        <v>85</v>
      </c>
      <c r="M6827">
        <v>1</v>
      </c>
      <c r="N6827">
        <v>3.45715E-8</v>
      </c>
      <c r="O6827">
        <v>129</v>
      </c>
    </row>
    <row r="6828" spans="1:15" x14ac:dyDescent="0.25">
      <c r="A6828" t="s">
        <v>6841</v>
      </c>
      <c r="B6828">
        <v>358</v>
      </c>
      <c r="C6828" s="1" t="str">
        <f>HYPERLINK("http://www.rosaceae.org/gb/gbrowse/malus_x_domestica/?name=MDP0000795091","MDP0000795091")</f>
        <v>MDP0000795091</v>
      </c>
      <c r="D6828">
        <v>75.19</v>
      </c>
      <c r="E6828">
        <v>387</v>
      </c>
      <c r="F6828">
        <v>96</v>
      </c>
      <c r="G6828">
        <v>29</v>
      </c>
      <c r="H6828">
        <v>1</v>
      </c>
      <c r="I6828">
        <v>358</v>
      </c>
      <c r="J6828">
        <v>1</v>
      </c>
      <c r="K6828">
        <v>168</v>
      </c>
      <c r="L6828">
        <v>554</v>
      </c>
      <c r="M6828">
        <v>1</v>
      </c>
      <c r="N6828">
        <v>6.6818500000000001E-173</v>
      </c>
      <c r="O6828">
        <v>1556</v>
      </c>
    </row>
    <row r="6829" spans="1:15" x14ac:dyDescent="0.25">
      <c r="A6829" t="s">
        <v>6842</v>
      </c>
      <c r="B6829">
        <v>141</v>
      </c>
      <c r="C6829" s="1" t="str">
        <f>HYPERLINK("http://www.rosaceae.org/gb/gbrowse/malus_x_domestica/?name=MDP0000319447","MDP0000319447")</f>
        <v>MDP0000319447</v>
      </c>
      <c r="D6829">
        <v>27.33</v>
      </c>
      <c r="E6829">
        <v>139</v>
      </c>
      <c r="F6829">
        <v>101</v>
      </c>
      <c r="G6829">
        <v>20</v>
      </c>
      <c r="H6829">
        <v>17</v>
      </c>
      <c r="I6829">
        <v>135</v>
      </c>
      <c r="J6829">
        <v>1</v>
      </c>
      <c r="K6829">
        <v>1107</v>
      </c>
      <c r="L6829">
        <v>1245</v>
      </c>
      <c r="M6829">
        <v>1</v>
      </c>
      <c r="N6829">
        <v>8.2141999999999992E-9</v>
      </c>
      <c r="O6829">
        <v>135</v>
      </c>
    </row>
    <row r="6830" spans="1:15" x14ac:dyDescent="0.25">
      <c r="A6830" t="s">
        <v>6843</v>
      </c>
      <c r="B6830">
        <v>432</v>
      </c>
      <c r="C6830" s="1" t="str">
        <f>HYPERLINK("http://www.rosaceae.org/gb/gbrowse/malus_x_domestica/?name=MDP0000880912","MDP0000880912")</f>
        <v>MDP0000880912</v>
      </c>
      <c r="D6830">
        <v>76.67</v>
      </c>
      <c r="E6830">
        <v>433</v>
      </c>
      <c r="F6830">
        <v>101</v>
      </c>
      <c r="G6830">
        <v>16</v>
      </c>
      <c r="H6830">
        <v>11</v>
      </c>
      <c r="I6830">
        <v>432</v>
      </c>
      <c r="J6830">
        <v>1</v>
      </c>
      <c r="K6830">
        <v>28</v>
      </c>
      <c r="L6830">
        <v>455</v>
      </c>
      <c r="M6830">
        <v>1</v>
      </c>
      <c r="N6830">
        <v>0</v>
      </c>
      <c r="O6830">
        <v>1735</v>
      </c>
    </row>
    <row r="6831" spans="1:15" x14ac:dyDescent="0.25">
      <c r="A6831" t="s">
        <v>6844</v>
      </c>
      <c r="B6831">
        <v>338</v>
      </c>
      <c r="C6831" s="1" t="str">
        <f>HYPERLINK("http://www.rosaceae.org/gb/gbrowse/malus_x_domestica/?name=MDP0000204132","MDP0000204132")</f>
        <v>MDP0000204132</v>
      </c>
      <c r="D6831">
        <v>75.260000000000005</v>
      </c>
      <c r="E6831">
        <v>376</v>
      </c>
      <c r="F6831">
        <v>93</v>
      </c>
      <c r="G6831">
        <v>41</v>
      </c>
      <c r="H6831">
        <v>1</v>
      </c>
      <c r="I6831">
        <v>338</v>
      </c>
      <c r="J6831">
        <v>1</v>
      </c>
      <c r="K6831">
        <v>2</v>
      </c>
      <c r="L6831">
        <v>374</v>
      </c>
      <c r="M6831">
        <v>1</v>
      </c>
      <c r="N6831">
        <v>5.00792E-163</v>
      </c>
      <c r="O6831">
        <v>1471</v>
      </c>
    </row>
    <row r="6832" spans="1:15" x14ac:dyDescent="0.25">
      <c r="A6832" t="s">
        <v>6845</v>
      </c>
      <c r="B6832">
        <v>264</v>
      </c>
      <c r="C6832" s="1" t="str">
        <f>HYPERLINK("http://www.rosaceae.org/gb/gbrowse/malus_x_domestica/?name=MDP0000228280","MDP0000228280")</f>
        <v>MDP0000228280</v>
      </c>
      <c r="D6832">
        <v>40</v>
      </c>
      <c r="E6832">
        <v>170</v>
      </c>
      <c r="F6832">
        <v>102</v>
      </c>
      <c r="G6832">
        <v>54</v>
      </c>
      <c r="H6832">
        <v>100</v>
      </c>
      <c r="I6832">
        <v>229</v>
      </c>
      <c r="J6832">
        <v>1</v>
      </c>
      <c r="K6832">
        <v>179</v>
      </c>
      <c r="L6832">
        <v>334</v>
      </c>
      <c r="M6832">
        <v>1</v>
      </c>
      <c r="N6832">
        <v>3.8518499999999998E-27</v>
      </c>
      <c r="O6832">
        <v>297</v>
      </c>
    </row>
    <row r="6833" spans="1:15" x14ac:dyDescent="0.25">
      <c r="A6833" t="s">
        <v>6846</v>
      </c>
      <c r="B6833">
        <v>456</v>
      </c>
      <c r="C6833" s="1" t="str">
        <f>HYPERLINK("http://www.rosaceae.org/gb/gbrowse/malus_x_domestica/?name=MDP0000700402","MDP0000700402")</f>
        <v>MDP0000700402</v>
      </c>
      <c r="D6833">
        <v>82.59</v>
      </c>
      <c r="E6833">
        <v>293</v>
      </c>
      <c r="F6833">
        <v>51</v>
      </c>
      <c r="G6833">
        <v>0</v>
      </c>
      <c r="H6833">
        <v>164</v>
      </c>
      <c r="I6833">
        <v>456</v>
      </c>
      <c r="J6833">
        <v>1</v>
      </c>
      <c r="K6833">
        <v>44</v>
      </c>
      <c r="L6833">
        <v>336</v>
      </c>
      <c r="M6833">
        <v>1</v>
      </c>
      <c r="N6833">
        <v>1.7539299999999999E-143</v>
      </c>
      <c r="O6833">
        <v>1303</v>
      </c>
    </row>
    <row r="6834" spans="1:15" x14ac:dyDescent="0.25">
      <c r="A6834" t="s">
        <v>6847</v>
      </c>
      <c r="B6834">
        <v>283</v>
      </c>
      <c r="C6834" s="1" t="str">
        <f>HYPERLINK("http://www.rosaceae.org/gb/gbrowse/malus_x_domestica/?name=MDP0000309593","MDP0000309593")</f>
        <v>MDP0000309593</v>
      </c>
      <c r="D6834">
        <v>60.45</v>
      </c>
      <c r="E6834">
        <v>263</v>
      </c>
      <c r="F6834">
        <v>104</v>
      </c>
      <c r="G6834">
        <v>37</v>
      </c>
      <c r="H6834">
        <v>1</v>
      </c>
      <c r="I6834">
        <v>227</v>
      </c>
      <c r="J6834">
        <v>1</v>
      </c>
      <c r="K6834">
        <v>1</v>
      </c>
      <c r="L6834">
        <v>262</v>
      </c>
      <c r="M6834">
        <v>1</v>
      </c>
      <c r="N6834">
        <v>5.0992900000000002E-75</v>
      </c>
      <c r="O6834">
        <v>711</v>
      </c>
    </row>
    <row r="6835" spans="1:15" x14ac:dyDescent="0.25">
      <c r="A6835" t="s">
        <v>6848</v>
      </c>
      <c r="B6835">
        <v>1134</v>
      </c>
      <c r="C6835" s="1" t="str">
        <f>HYPERLINK("http://www.rosaceae.org/gb/gbrowse/malus_x_domestica/?name=MDP0000231468","MDP0000231468")</f>
        <v>MDP0000231468</v>
      </c>
      <c r="D6835">
        <v>77.489999999999995</v>
      </c>
      <c r="E6835">
        <v>982</v>
      </c>
      <c r="F6835">
        <v>221</v>
      </c>
      <c r="G6835">
        <v>21</v>
      </c>
      <c r="H6835">
        <v>86</v>
      </c>
      <c r="I6835">
        <v>1057</v>
      </c>
      <c r="J6835">
        <v>1</v>
      </c>
      <c r="K6835">
        <v>84</v>
      </c>
      <c r="L6835">
        <v>1054</v>
      </c>
      <c r="M6835">
        <v>1</v>
      </c>
      <c r="N6835">
        <v>0</v>
      </c>
      <c r="O6835">
        <v>3791</v>
      </c>
    </row>
    <row r="6836" spans="1:15" x14ac:dyDescent="0.25">
      <c r="A6836" t="s">
        <v>6849</v>
      </c>
      <c r="B6836">
        <v>547</v>
      </c>
      <c r="C6836" s="1" t="str">
        <f>HYPERLINK("http://www.rosaceae.org/gb/gbrowse/malus_x_domestica/?name=MDP0000146276","MDP0000146276")</f>
        <v>MDP0000146276</v>
      </c>
      <c r="D6836">
        <v>56.48</v>
      </c>
      <c r="E6836">
        <v>432</v>
      </c>
      <c r="F6836">
        <v>188</v>
      </c>
      <c r="G6836">
        <v>18</v>
      </c>
      <c r="H6836">
        <v>1</v>
      </c>
      <c r="I6836">
        <v>419</v>
      </c>
      <c r="J6836">
        <v>1</v>
      </c>
      <c r="K6836">
        <v>1</v>
      </c>
      <c r="L6836">
        <v>427</v>
      </c>
      <c r="M6836">
        <v>1</v>
      </c>
      <c r="N6836">
        <v>1.0590000000000001E-129</v>
      </c>
      <c r="O6836">
        <v>1185</v>
      </c>
    </row>
    <row r="6837" spans="1:15" x14ac:dyDescent="0.25">
      <c r="A6837" t="s">
        <v>6850</v>
      </c>
      <c r="B6837">
        <v>371</v>
      </c>
      <c r="C6837" s="1" t="str">
        <f>HYPERLINK("http://www.rosaceae.org/gb/gbrowse/malus_x_domestica/?name=MDP0000757066","MDP0000757066")</f>
        <v>MDP0000757066</v>
      </c>
      <c r="D6837">
        <v>86.59</v>
      </c>
      <c r="E6837">
        <v>358</v>
      </c>
      <c r="F6837">
        <v>48</v>
      </c>
      <c r="G6837">
        <v>3</v>
      </c>
      <c r="H6837">
        <v>1</v>
      </c>
      <c r="I6837">
        <v>355</v>
      </c>
      <c r="J6837">
        <v>1</v>
      </c>
      <c r="K6837">
        <v>1</v>
      </c>
      <c r="L6837">
        <v>358</v>
      </c>
      <c r="M6837">
        <v>1</v>
      </c>
      <c r="N6837">
        <v>0</v>
      </c>
      <c r="O6837">
        <v>1652</v>
      </c>
    </row>
    <row r="6838" spans="1:15" x14ac:dyDescent="0.25">
      <c r="A6838" t="s">
        <v>6851</v>
      </c>
      <c r="B6838">
        <v>569</v>
      </c>
      <c r="C6838" s="1" t="str">
        <f>HYPERLINK("http://www.rosaceae.org/gb/gbrowse/malus_x_domestica/?name=MDP0000263712","MDP0000263712")</f>
        <v>MDP0000263712</v>
      </c>
      <c r="D6838">
        <v>63.87</v>
      </c>
      <c r="E6838">
        <v>573</v>
      </c>
      <c r="F6838">
        <v>207</v>
      </c>
      <c r="G6838">
        <v>17</v>
      </c>
      <c r="H6838">
        <v>1</v>
      </c>
      <c r="I6838">
        <v>569</v>
      </c>
      <c r="J6838">
        <v>1</v>
      </c>
      <c r="K6838">
        <v>1</v>
      </c>
      <c r="L6838">
        <v>560</v>
      </c>
      <c r="M6838">
        <v>1</v>
      </c>
      <c r="N6838">
        <v>0</v>
      </c>
      <c r="O6838">
        <v>1816</v>
      </c>
    </row>
    <row r="6839" spans="1:15" x14ac:dyDescent="0.25">
      <c r="A6839" t="s">
        <v>6852</v>
      </c>
      <c r="B6839">
        <v>435</v>
      </c>
      <c r="C6839" s="1" t="str">
        <f>HYPERLINK("http://www.rosaceae.org/gb/gbrowse/malus_x_domestica/?name=MDP0000716457","MDP0000716457")</f>
        <v>MDP0000716457</v>
      </c>
      <c r="D6839">
        <v>58.55</v>
      </c>
      <c r="E6839">
        <v>415</v>
      </c>
      <c r="F6839">
        <v>172</v>
      </c>
      <c r="G6839">
        <v>49</v>
      </c>
      <c r="H6839">
        <v>28</v>
      </c>
      <c r="I6839">
        <v>435</v>
      </c>
      <c r="J6839">
        <v>1</v>
      </c>
      <c r="K6839">
        <v>9</v>
      </c>
      <c r="L6839">
        <v>381</v>
      </c>
      <c r="M6839">
        <v>1</v>
      </c>
      <c r="N6839">
        <v>1.9776100000000001E-114</v>
      </c>
      <c r="O6839">
        <v>1053</v>
      </c>
    </row>
    <row r="6840" spans="1:15" x14ac:dyDescent="0.25">
      <c r="A6840" t="s">
        <v>6853</v>
      </c>
      <c r="B6840">
        <v>587</v>
      </c>
      <c r="C6840" s="1" t="str">
        <f>HYPERLINK("http://www.rosaceae.org/gb/gbrowse/malus_x_domestica/?name=MDP0000180730","MDP0000180730")</f>
        <v>MDP0000180730</v>
      </c>
      <c r="D6840">
        <v>71.81</v>
      </c>
      <c r="E6840">
        <v>550</v>
      </c>
      <c r="F6840">
        <v>155</v>
      </c>
      <c r="G6840">
        <v>56</v>
      </c>
      <c r="H6840">
        <v>38</v>
      </c>
      <c r="I6840">
        <v>586</v>
      </c>
      <c r="J6840">
        <v>1</v>
      </c>
      <c r="K6840">
        <v>35</v>
      </c>
      <c r="L6840">
        <v>529</v>
      </c>
      <c r="M6840">
        <v>1</v>
      </c>
      <c r="N6840">
        <v>0</v>
      </c>
      <c r="O6840">
        <v>2080</v>
      </c>
    </row>
    <row r="6841" spans="1:15" x14ac:dyDescent="0.25">
      <c r="A6841" t="s">
        <v>6854</v>
      </c>
      <c r="B6841">
        <v>467</v>
      </c>
      <c r="C6841" s="1" t="str">
        <f>HYPERLINK("http://www.rosaceae.org/gb/gbrowse/malus_x_domestica/?name=MDP0000186402","MDP0000186402")</f>
        <v>MDP0000186402</v>
      </c>
      <c r="D6841">
        <v>27.84</v>
      </c>
      <c r="E6841">
        <v>176</v>
      </c>
      <c r="F6841">
        <v>127</v>
      </c>
      <c r="G6841">
        <v>20</v>
      </c>
      <c r="H6841">
        <v>292</v>
      </c>
      <c r="I6841">
        <v>465</v>
      </c>
      <c r="J6841">
        <v>1</v>
      </c>
      <c r="K6841">
        <v>391</v>
      </c>
      <c r="L6841">
        <v>548</v>
      </c>
      <c r="M6841">
        <v>1</v>
      </c>
      <c r="N6841">
        <v>6.5205599999999997E-9</v>
      </c>
      <c r="O6841">
        <v>143</v>
      </c>
    </row>
    <row r="6842" spans="1:15" x14ac:dyDescent="0.25">
      <c r="A6842" t="s">
        <v>6855</v>
      </c>
      <c r="B6842">
        <v>250</v>
      </c>
      <c r="C6842" s="1" t="str">
        <f>HYPERLINK("http://www.rosaceae.org/gb/gbrowse/malus_x_domestica/?name=MDP0000570235","MDP0000570235")</f>
        <v>MDP0000570235</v>
      </c>
      <c r="D6842">
        <v>60.6</v>
      </c>
      <c r="E6842">
        <v>165</v>
      </c>
      <c r="F6842">
        <v>65</v>
      </c>
      <c r="G6842">
        <v>9</v>
      </c>
      <c r="H6842">
        <v>1</v>
      </c>
      <c r="I6842">
        <v>156</v>
      </c>
      <c r="J6842">
        <v>1</v>
      </c>
      <c r="K6842">
        <v>1</v>
      </c>
      <c r="L6842">
        <v>165</v>
      </c>
      <c r="M6842">
        <v>1</v>
      </c>
      <c r="N6842">
        <v>6.1264400000000001E-50</v>
      </c>
      <c r="O6842">
        <v>494</v>
      </c>
    </row>
    <row r="6843" spans="1:15" x14ac:dyDescent="0.25">
      <c r="A6843" t="s">
        <v>6856</v>
      </c>
      <c r="B6843">
        <v>246</v>
      </c>
      <c r="C6843" s="1" t="str">
        <f>HYPERLINK("http://www.rosaceae.org/gb/gbrowse/malus_x_domestica/?name=MDP0000288943","MDP0000288943")</f>
        <v>MDP0000288943</v>
      </c>
      <c r="D6843">
        <v>57.96</v>
      </c>
      <c r="E6843">
        <v>226</v>
      </c>
      <c r="F6843">
        <v>95</v>
      </c>
      <c r="G6843">
        <v>2</v>
      </c>
      <c r="H6843">
        <v>21</v>
      </c>
      <c r="I6843">
        <v>246</v>
      </c>
      <c r="J6843">
        <v>1</v>
      </c>
      <c r="K6843">
        <v>782</v>
      </c>
      <c r="L6843">
        <v>1005</v>
      </c>
      <c r="M6843">
        <v>1</v>
      </c>
      <c r="N6843">
        <v>7.6550099999999995E-80</v>
      </c>
      <c r="O6843">
        <v>751</v>
      </c>
    </row>
    <row r="6844" spans="1:15" x14ac:dyDescent="0.25">
      <c r="A6844" t="s">
        <v>6857</v>
      </c>
      <c r="B6844">
        <v>459</v>
      </c>
      <c r="C6844" s="1" t="str">
        <f>HYPERLINK("http://www.rosaceae.org/gb/gbrowse/malus_x_domestica/?name=MDP0000156830","MDP0000156830")</f>
        <v>MDP0000156830</v>
      </c>
      <c r="D6844">
        <v>67.14</v>
      </c>
      <c r="E6844">
        <v>414</v>
      </c>
      <c r="F6844">
        <v>136</v>
      </c>
      <c r="G6844">
        <v>6</v>
      </c>
      <c r="H6844">
        <v>35</v>
      </c>
      <c r="I6844">
        <v>444</v>
      </c>
      <c r="J6844">
        <v>1</v>
      </c>
      <c r="K6844">
        <v>165</v>
      </c>
      <c r="L6844">
        <v>576</v>
      </c>
      <c r="M6844">
        <v>1</v>
      </c>
      <c r="N6844">
        <v>3.3217399999999999E-157</v>
      </c>
      <c r="O6844">
        <v>1422</v>
      </c>
    </row>
    <row r="6845" spans="1:15" x14ac:dyDescent="0.25">
      <c r="A6845" t="s">
        <v>6858</v>
      </c>
      <c r="B6845">
        <v>334</v>
      </c>
      <c r="C6845" s="1" t="str">
        <f>HYPERLINK("http://www.rosaceae.org/gb/gbrowse/malus_x_domestica/?name=MDP0000812182","MDP0000812182")</f>
        <v>MDP0000812182</v>
      </c>
      <c r="D6845">
        <v>43.72</v>
      </c>
      <c r="E6845">
        <v>279</v>
      </c>
      <c r="F6845">
        <v>157</v>
      </c>
      <c r="G6845">
        <v>68</v>
      </c>
      <c r="H6845">
        <v>2</v>
      </c>
      <c r="I6845">
        <v>259</v>
      </c>
      <c r="J6845">
        <v>1</v>
      </c>
      <c r="K6845">
        <v>3</v>
      </c>
      <c r="L6845">
        <v>234</v>
      </c>
      <c r="M6845">
        <v>1</v>
      </c>
      <c r="N6845">
        <v>2.1523300000000001E-52</v>
      </c>
      <c r="O6845">
        <v>516</v>
      </c>
    </row>
    <row r="6846" spans="1:15" x14ac:dyDescent="0.25">
      <c r="A6846" t="s">
        <v>6859</v>
      </c>
      <c r="B6846">
        <v>443</v>
      </c>
      <c r="C6846" s="1" t="str">
        <f>HYPERLINK("http://www.rosaceae.org/gb/gbrowse/malus_x_domestica/?name=MDP0000212290","MDP0000212290")</f>
        <v>MDP0000212290</v>
      </c>
      <c r="D6846">
        <v>24.57</v>
      </c>
      <c r="E6846">
        <v>476</v>
      </c>
      <c r="F6846">
        <v>359</v>
      </c>
      <c r="G6846">
        <v>111</v>
      </c>
      <c r="H6846">
        <v>4</v>
      </c>
      <c r="I6846">
        <v>395</v>
      </c>
      <c r="J6846">
        <v>1</v>
      </c>
      <c r="K6846">
        <v>2</v>
      </c>
      <c r="L6846">
        <v>450</v>
      </c>
      <c r="M6846">
        <v>1</v>
      </c>
      <c r="N6846">
        <v>1.3953099999999999E-24</v>
      </c>
      <c r="O6846">
        <v>278</v>
      </c>
    </row>
    <row r="6847" spans="1:15" x14ac:dyDescent="0.25">
      <c r="A6847" t="s">
        <v>6860</v>
      </c>
      <c r="B6847">
        <v>391</v>
      </c>
      <c r="C6847" s="1" t="str">
        <f>HYPERLINK("http://www.rosaceae.org/gb/gbrowse/malus_x_domestica/?name=MDP0000283455","MDP0000283455")</f>
        <v>MDP0000283455</v>
      </c>
      <c r="D6847">
        <v>74.94</v>
      </c>
      <c r="E6847">
        <v>431</v>
      </c>
      <c r="F6847">
        <v>108</v>
      </c>
      <c r="G6847">
        <v>45</v>
      </c>
      <c r="H6847">
        <v>3</v>
      </c>
      <c r="I6847">
        <v>391</v>
      </c>
      <c r="J6847">
        <v>1</v>
      </c>
      <c r="K6847">
        <v>4</v>
      </c>
      <c r="L6847">
        <v>431</v>
      </c>
      <c r="M6847">
        <v>1</v>
      </c>
      <c r="N6847">
        <v>0</v>
      </c>
      <c r="O6847">
        <v>1640</v>
      </c>
    </row>
    <row r="6848" spans="1:15" x14ac:dyDescent="0.25">
      <c r="A6848" t="s">
        <v>6861</v>
      </c>
      <c r="B6848">
        <v>284</v>
      </c>
      <c r="C6848" s="1" t="str">
        <f>HYPERLINK("http://www.rosaceae.org/gb/gbrowse/malus_x_domestica/?name=MDP0000239006","MDP0000239006")</f>
        <v>MDP0000239006</v>
      </c>
      <c r="D6848">
        <v>78.599999999999994</v>
      </c>
      <c r="E6848">
        <v>243</v>
      </c>
      <c r="F6848">
        <v>52</v>
      </c>
      <c r="G6848">
        <v>13</v>
      </c>
      <c r="H6848">
        <v>51</v>
      </c>
      <c r="I6848">
        <v>281</v>
      </c>
      <c r="J6848">
        <v>1</v>
      </c>
      <c r="K6848">
        <v>145</v>
      </c>
      <c r="L6848">
        <v>386</v>
      </c>
      <c r="M6848">
        <v>1</v>
      </c>
      <c r="N6848">
        <v>1.50209E-108</v>
      </c>
      <c r="O6848">
        <v>1000</v>
      </c>
    </row>
    <row r="6849" spans="1:15" x14ac:dyDescent="0.25">
      <c r="A6849" t="s">
        <v>6862</v>
      </c>
      <c r="B6849">
        <v>353</v>
      </c>
      <c r="C6849" s="1" t="str">
        <f>HYPERLINK("http://www.rosaceae.org/gb/gbrowse/malus_x_domestica/?name=MDP0000832105","MDP0000832105")</f>
        <v>MDP0000832105</v>
      </c>
      <c r="D6849">
        <v>45</v>
      </c>
      <c r="E6849">
        <v>120</v>
      </c>
      <c r="F6849">
        <v>66</v>
      </c>
      <c r="G6849">
        <v>18</v>
      </c>
      <c r="H6849">
        <v>69</v>
      </c>
      <c r="I6849">
        <v>172</v>
      </c>
      <c r="J6849">
        <v>1</v>
      </c>
      <c r="K6849">
        <v>270</v>
      </c>
      <c r="L6849">
        <v>387</v>
      </c>
      <c r="M6849">
        <v>1</v>
      </c>
      <c r="N6849">
        <v>4.3985499999999998E-19</v>
      </c>
      <c r="O6849">
        <v>229</v>
      </c>
    </row>
    <row r="6850" spans="1:15" x14ac:dyDescent="0.25">
      <c r="A6850" t="s">
        <v>6863</v>
      </c>
      <c r="B6850">
        <v>281</v>
      </c>
      <c r="C6850" s="1" t="str">
        <f>HYPERLINK("http://www.rosaceae.org/gb/gbrowse/malus_x_domestica/?name=MDP0000782642","MDP0000782642")</f>
        <v>MDP0000782642</v>
      </c>
      <c r="D6850">
        <v>80</v>
      </c>
      <c r="E6850">
        <v>235</v>
      </c>
      <c r="F6850">
        <v>47</v>
      </c>
      <c r="G6850">
        <v>0</v>
      </c>
      <c r="H6850">
        <v>47</v>
      </c>
      <c r="I6850">
        <v>281</v>
      </c>
      <c r="J6850">
        <v>1</v>
      </c>
      <c r="K6850">
        <v>9</v>
      </c>
      <c r="L6850">
        <v>243</v>
      </c>
      <c r="M6850">
        <v>1</v>
      </c>
      <c r="N6850">
        <v>3.5754600000000003E-110</v>
      </c>
      <c r="O6850">
        <v>1014</v>
      </c>
    </row>
    <row r="6851" spans="1:15" x14ac:dyDescent="0.25">
      <c r="A6851" t="s">
        <v>6864</v>
      </c>
      <c r="B6851">
        <v>474</v>
      </c>
      <c r="C6851" s="1" t="str">
        <f>HYPERLINK("http://www.rosaceae.org/gb/gbrowse/malus_x_domestica/?name=MDP0000268901","MDP0000268901")</f>
        <v>MDP0000268901</v>
      </c>
      <c r="D6851">
        <v>58.93</v>
      </c>
      <c r="E6851">
        <v>509</v>
      </c>
      <c r="F6851">
        <v>209</v>
      </c>
      <c r="G6851">
        <v>54</v>
      </c>
      <c r="H6851">
        <v>6</v>
      </c>
      <c r="I6851">
        <v>474</v>
      </c>
      <c r="J6851">
        <v>1</v>
      </c>
      <c r="K6851">
        <v>9</v>
      </c>
      <c r="L6851">
        <v>503</v>
      </c>
      <c r="M6851">
        <v>1</v>
      </c>
      <c r="N6851">
        <v>1.46895E-151</v>
      </c>
      <c r="O6851">
        <v>1373</v>
      </c>
    </row>
    <row r="6852" spans="1:15" x14ac:dyDescent="0.25">
      <c r="A6852" t="s">
        <v>6865</v>
      </c>
      <c r="B6852">
        <v>325</v>
      </c>
      <c r="C6852" s="1" t="str">
        <f>HYPERLINK("http://www.rosaceae.org/gb/gbrowse/malus_x_domestica/?name=MDP0000127005","MDP0000127005")</f>
        <v>MDP0000127005</v>
      </c>
      <c r="D6852">
        <v>56.2</v>
      </c>
      <c r="E6852">
        <v>258</v>
      </c>
      <c r="F6852">
        <v>113</v>
      </c>
      <c r="G6852">
        <v>34</v>
      </c>
      <c r="H6852">
        <v>71</v>
      </c>
      <c r="I6852">
        <v>325</v>
      </c>
      <c r="J6852">
        <v>1</v>
      </c>
      <c r="K6852">
        <v>159</v>
      </c>
      <c r="L6852">
        <v>385</v>
      </c>
      <c r="M6852">
        <v>1</v>
      </c>
      <c r="N6852">
        <v>3.8766199999999998E-72</v>
      </c>
      <c r="O6852">
        <v>686</v>
      </c>
    </row>
    <row r="6853" spans="1:15" x14ac:dyDescent="0.25">
      <c r="A6853" t="s">
        <v>6866</v>
      </c>
      <c r="B6853">
        <v>509</v>
      </c>
      <c r="C6853" s="1" t="str">
        <f>HYPERLINK("http://www.rosaceae.org/gb/gbrowse/malus_x_domestica/?name=MDP0000178640","MDP0000178640")</f>
        <v>MDP0000178640</v>
      </c>
      <c r="D6853">
        <v>76.42</v>
      </c>
      <c r="E6853">
        <v>509</v>
      </c>
      <c r="F6853">
        <v>120</v>
      </c>
      <c r="G6853">
        <v>0</v>
      </c>
      <c r="H6853">
        <v>1</v>
      </c>
      <c r="I6853">
        <v>509</v>
      </c>
      <c r="J6853">
        <v>1</v>
      </c>
      <c r="K6853">
        <v>69</v>
      </c>
      <c r="L6853">
        <v>577</v>
      </c>
      <c r="M6853">
        <v>1</v>
      </c>
      <c r="N6853">
        <v>0</v>
      </c>
      <c r="O6853">
        <v>2022</v>
      </c>
    </row>
    <row r="6854" spans="1:15" x14ac:dyDescent="0.25">
      <c r="A6854" t="s">
        <v>6867</v>
      </c>
      <c r="B6854">
        <v>545</v>
      </c>
      <c r="C6854" s="1" t="str">
        <f>HYPERLINK("http://www.rosaceae.org/gb/gbrowse/malus_x_domestica/?name=MDP0000858452","MDP0000858452")</f>
        <v>MDP0000858452</v>
      </c>
      <c r="D6854">
        <v>72.47</v>
      </c>
      <c r="E6854">
        <v>545</v>
      </c>
      <c r="F6854">
        <v>150</v>
      </c>
      <c r="G6854">
        <v>19</v>
      </c>
      <c r="H6854">
        <v>1</v>
      </c>
      <c r="I6854">
        <v>545</v>
      </c>
      <c r="J6854">
        <v>1</v>
      </c>
      <c r="K6854">
        <v>1</v>
      </c>
      <c r="L6854">
        <v>526</v>
      </c>
      <c r="M6854">
        <v>1</v>
      </c>
      <c r="N6854">
        <v>0</v>
      </c>
      <c r="O6854">
        <v>1968</v>
      </c>
    </row>
    <row r="6855" spans="1:15" x14ac:dyDescent="0.25">
      <c r="A6855" t="s">
        <v>6868</v>
      </c>
      <c r="B6855">
        <v>157</v>
      </c>
      <c r="C6855" s="1" t="str">
        <f>HYPERLINK("http://www.rosaceae.org/gb/gbrowse/malus_x_domestica/?name=MDP0000265942","MDP0000265942")</f>
        <v>MDP0000265942</v>
      </c>
      <c r="D6855">
        <v>74.11</v>
      </c>
      <c r="E6855">
        <v>85</v>
      </c>
      <c r="F6855">
        <v>22</v>
      </c>
      <c r="G6855">
        <v>0</v>
      </c>
      <c r="H6855">
        <v>73</v>
      </c>
      <c r="I6855">
        <v>157</v>
      </c>
      <c r="J6855">
        <v>1</v>
      </c>
      <c r="K6855">
        <v>41</v>
      </c>
      <c r="L6855">
        <v>125</v>
      </c>
      <c r="M6855">
        <v>1</v>
      </c>
      <c r="N6855">
        <v>8.2151399999999999E-32</v>
      </c>
      <c r="O6855">
        <v>334</v>
      </c>
    </row>
    <row r="6856" spans="1:15" x14ac:dyDescent="0.25">
      <c r="A6856" t="s">
        <v>6869</v>
      </c>
      <c r="B6856">
        <v>303</v>
      </c>
      <c r="C6856" s="1" t="str">
        <f>HYPERLINK("http://www.rosaceae.org/gb/gbrowse/malus_x_domestica/?name=MDP0000316574","MDP0000316574")</f>
        <v>MDP0000316574</v>
      </c>
      <c r="D6856">
        <v>68.09</v>
      </c>
      <c r="E6856">
        <v>210</v>
      </c>
      <c r="F6856">
        <v>67</v>
      </c>
      <c r="G6856">
        <v>2</v>
      </c>
      <c r="H6856">
        <v>57</v>
      </c>
      <c r="I6856">
        <v>265</v>
      </c>
      <c r="J6856">
        <v>1</v>
      </c>
      <c r="K6856">
        <v>391</v>
      </c>
      <c r="L6856">
        <v>599</v>
      </c>
      <c r="M6856">
        <v>1</v>
      </c>
      <c r="N6856">
        <v>4.8713599999999999E-75</v>
      </c>
      <c r="O6856">
        <v>711</v>
      </c>
    </row>
    <row r="6857" spans="1:15" x14ac:dyDescent="0.25">
      <c r="A6857" t="s">
        <v>6870</v>
      </c>
      <c r="B6857">
        <v>606</v>
      </c>
      <c r="C6857" s="1" t="str">
        <f>HYPERLINK("http://www.rosaceae.org/gb/gbrowse/malus_x_domestica/?name=MDP0000308997","MDP0000308997")</f>
        <v>MDP0000308997</v>
      </c>
      <c r="D6857">
        <v>70.31</v>
      </c>
      <c r="E6857">
        <v>502</v>
      </c>
      <c r="F6857">
        <v>149</v>
      </c>
      <c r="G6857">
        <v>7</v>
      </c>
      <c r="H6857">
        <v>1</v>
      </c>
      <c r="I6857">
        <v>498</v>
      </c>
      <c r="J6857">
        <v>1</v>
      </c>
      <c r="K6857">
        <v>1</v>
      </c>
      <c r="L6857">
        <v>499</v>
      </c>
      <c r="M6857">
        <v>1</v>
      </c>
      <c r="N6857">
        <v>0</v>
      </c>
      <c r="O6857">
        <v>1902</v>
      </c>
    </row>
    <row r="6858" spans="1:15" x14ac:dyDescent="0.25">
      <c r="A6858" t="s">
        <v>6871</v>
      </c>
      <c r="B6858">
        <v>166</v>
      </c>
      <c r="C6858" s="1" t="str">
        <f>HYPERLINK("http://www.rosaceae.org/gb/gbrowse/malus_x_domestica/?name=MDP0000225623","MDP0000225623")</f>
        <v>MDP0000225623</v>
      </c>
      <c r="D6858">
        <v>34.53</v>
      </c>
      <c r="E6858">
        <v>139</v>
      </c>
      <c r="F6858">
        <v>91</v>
      </c>
      <c r="G6858">
        <v>21</v>
      </c>
      <c r="H6858">
        <v>40</v>
      </c>
      <c r="I6858">
        <v>157</v>
      </c>
      <c r="J6858">
        <v>1</v>
      </c>
      <c r="K6858">
        <v>410</v>
      </c>
      <c r="L6858">
        <v>548</v>
      </c>
      <c r="M6858">
        <v>1</v>
      </c>
      <c r="N6858">
        <v>6.2763599999999998E-14</v>
      </c>
      <c r="O6858">
        <v>180</v>
      </c>
    </row>
    <row r="6859" spans="1:15" x14ac:dyDescent="0.25">
      <c r="A6859" t="s">
        <v>6872</v>
      </c>
      <c r="B6859">
        <v>521</v>
      </c>
      <c r="C6859" s="1" t="str">
        <f>HYPERLINK("http://www.rosaceae.org/gb/gbrowse/malus_x_domestica/?name=MDP0000197466","MDP0000197466")</f>
        <v>MDP0000197466</v>
      </c>
      <c r="D6859">
        <v>82.91</v>
      </c>
      <c r="E6859">
        <v>521</v>
      </c>
      <c r="F6859">
        <v>89</v>
      </c>
      <c r="G6859">
        <v>0</v>
      </c>
      <c r="H6859">
        <v>1</v>
      </c>
      <c r="I6859">
        <v>521</v>
      </c>
      <c r="J6859">
        <v>1</v>
      </c>
      <c r="K6859">
        <v>1</v>
      </c>
      <c r="L6859">
        <v>521</v>
      </c>
      <c r="M6859">
        <v>1</v>
      </c>
      <c r="N6859">
        <v>0</v>
      </c>
      <c r="O6859">
        <v>2289</v>
      </c>
    </row>
    <row r="6860" spans="1:15" x14ac:dyDescent="0.25">
      <c r="A6860" t="s">
        <v>6873</v>
      </c>
      <c r="B6860">
        <v>142</v>
      </c>
      <c r="C6860" s="1" t="str">
        <f>HYPERLINK("http://www.rosaceae.org/gb/gbrowse/malus_x_domestica/?name=MDP0000930111","MDP0000930111")</f>
        <v>MDP0000930111</v>
      </c>
      <c r="D6860">
        <v>52.44</v>
      </c>
      <c r="E6860">
        <v>143</v>
      </c>
      <c r="F6860">
        <v>68</v>
      </c>
      <c r="G6860">
        <v>6</v>
      </c>
      <c r="H6860">
        <v>1</v>
      </c>
      <c r="I6860">
        <v>142</v>
      </c>
      <c r="J6860">
        <v>1</v>
      </c>
      <c r="K6860">
        <v>1</v>
      </c>
      <c r="L6860">
        <v>138</v>
      </c>
      <c r="M6860">
        <v>1</v>
      </c>
      <c r="N6860">
        <v>2.8187400000000001E-28</v>
      </c>
      <c r="O6860">
        <v>303</v>
      </c>
    </row>
    <row r="6861" spans="1:15" x14ac:dyDescent="0.25">
      <c r="A6861" t="s">
        <v>6874</v>
      </c>
      <c r="B6861">
        <v>889</v>
      </c>
      <c r="C6861" s="1" t="str">
        <f>HYPERLINK("http://www.rosaceae.org/gb/gbrowse/malus_x_domestica/?name=MDP0000285566","MDP0000285566")</f>
        <v>MDP0000285566</v>
      </c>
      <c r="D6861">
        <v>77.5</v>
      </c>
      <c r="E6861">
        <v>409</v>
      </c>
      <c r="F6861">
        <v>92</v>
      </c>
      <c r="G6861">
        <v>14</v>
      </c>
      <c r="H6861">
        <v>487</v>
      </c>
      <c r="I6861">
        <v>889</v>
      </c>
      <c r="J6861">
        <v>1</v>
      </c>
      <c r="K6861">
        <v>3</v>
      </c>
      <c r="L6861">
        <v>403</v>
      </c>
      <c r="M6861">
        <v>1</v>
      </c>
      <c r="N6861">
        <v>1.0233699999999999E-178</v>
      </c>
      <c r="O6861">
        <v>1610</v>
      </c>
    </row>
    <row r="6862" spans="1:15" x14ac:dyDescent="0.25">
      <c r="A6862" t="s">
        <v>6875</v>
      </c>
      <c r="B6862">
        <v>198</v>
      </c>
      <c r="C6862" s="1" t="str">
        <f>HYPERLINK("http://www.rosaceae.org/gb/gbrowse/malus_x_domestica/?name=MDP0000842296","MDP0000842296")</f>
        <v>MDP0000842296</v>
      </c>
      <c r="D6862">
        <v>48.71</v>
      </c>
      <c r="E6862">
        <v>78</v>
      </c>
      <c r="F6862">
        <v>40</v>
      </c>
      <c r="G6862">
        <v>6</v>
      </c>
      <c r="H6862">
        <v>117</v>
      </c>
      <c r="I6862">
        <v>192</v>
      </c>
      <c r="J6862">
        <v>1</v>
      </c>
      <c r="K6862">
        <v>298</v>
      </c>
      <c r="L6862">
        <v>371</v>
      </c>
      <c r="M6862">
        <v>1</v>
      </c>
      <c r="N6862">
        <v>7.9245900000000003E-12</v>
      </c>
      <c r="O6862">
        <v>163</v>
      </c>
    </row>
    <row r="6863" spans="1:15" x14ac:dyDescent="0.25">
      <c r="A6863" t="s">
        <v>6876</v>
      </c>
      <c r="B6863">
        <v>278</v>
      </c>
      <c r="C6863" s="1" t="str">
        <f>HYPERLINK("http://www.rosaceae.org/gb/gbrowse/malus_x_domestica/?name=MDP0000129004","MDP0000129004")</f>
        <v>MDP0000129004</v>
      </c>
      <c r="D6863">
        <v>75.17</v>
      </c>
      <c r="E6863">
        <v>278</v>
      </c>
      <c r="F6863">
        <v>69</v>
      </c>
      <c r="G6863">
        <v>15</v>
      </c>
      <c r="H6863">
        <v>1</v>
      </c>
      <c r="I6863">
        <v>278</v>
      </c>
      <c r="J6863">
        <v>1</v>
      </c>
      <c r="K6863">
        <v>115</v>
      </c>
      <c r="L6863">
        <v>377</v>
      </c>
      <c r="M6863">
        <v>1</v>
      </c>
      <c r="N6863">
        <v>6.0780800000000002E-121</v>
      </c>
      <c r="O6863">
        <v>1107</v>
      </c>
    </row>
    <row r="6864" spans="1:15" x14ac:dyDescent="0.25">
      <c r="A6864" t="s">
        <v>6877</v>
      </c>
      <c r="B6864">
        <v>332</v>
      </c>
      <c r="C6864" s="1" t="str">
        <f>HYPERLINK("http://www.rosaceae.org/gb/gbrowse/malus_x_domestica/?name=MDP0000318824","MDP0000318824")</f>
        <v>MDP0000318824</v>
      </c>
      <c r="D6864">
        <v>88.59</v>
      </c>
      <c r="E6864">
        <v>307</v>
      </c>
      <c r="F6864">
        <v>35</v>
      </c>
      <c r="G6864">
        <v>1</v>
      </c>
      <c r="H6864">
        <v>1</v>
      </c>
      <c r="I6864">
        <v>306</v>
      </c>
      <c r="J6864">
        <v>1</v>
      </c>
      <c r="K6864">
        <v>121</v>
      </c>
      <c r="L6864">
        <v>427</v>
      </c>
      <c r="M6864">
        <v>1</v>
      </c>
      <c r="N6864">
        <v>7.2872400000000005E-161</v>
      </c>
      <c r="O6864">
        <v>1452</v>
      </c>
    </row>
    <row r="6865" spans="1:15" x14ac:dyDescent="0.25">
      <c r="A6865" t="s">
        <v>6878</v>
      </c>
      <c r="B6865">
        <v>241</v>
      </c>
      <c r="C6865" s="1" t="str">
        <f>HYPERLINK("http://www.rosaceae.org/gb/gbrowse/malus_x_domestica/?name=MDP0000807347","MDP0000807347")</f>
        <v>MDP0000807347</v>
      </c>
      <c r="D6865">
        <v>73.849999999999994</v>
      </c>
      <c r="E6865">
        <v>241</v>
      </c>
      <c r="F6865">
        <v>63</v>
      </c>
      <c r="G6865">
        <v>4</v>
      </c>
      <c r="H6865">
        <v>1</v>
      </c>
      <c r="I6865">
        <v>241</v>
      </c>
      <c r="J6865">
        <v>1</v>
      </c>
      <c r="K6865">
        <v>1</v>
      </c>
      <c r="L6865">
        <v>237</v>
      </c>
      <c r="M6865">
        <v>1</v>
      </c>
      <c r="N6865">
        <v>1.4067E-104</v>
      </c>
      <c r="O6865">
        <v>965</v>
      </c>
    </row>
    <row r="6866" spans="1:15" x14ac:dyDescent="0.25">
      <c r="A6866" t="s">
        <v>6879</v>
      </c>
      <c r="B6866">
        <v>166</v>
      </c>
      <c r="C6866" s="1" t="str">
        <f>HYPERLINK("http://www.rosaceae.org/gb/gbrowse/malus_x_domestica/?name=MDP0000262759","MDP0000262759")</f>
        <v>MDP0000262759</v>
      </c>
      <c r="D6866">
        <v>73.489999999999995</v>
      </c>
      <c r="E6866">
        <v>166</v>
      </c>
      <c r="F6866">
        <v>44</v>
      </c>
      <c r="G6866">
        <v>0</v>
      </c>
      <c r="H6866">
        <v>1</v>
      </c>
      <c r="I6866">
        <v>166</v>
      </c>
      <c r="J6866">
        <v>1</v>
      </c>
      <c r="K6866">
        <v>1</v>
      </c>
      <c r="L6866">
        <v>166</v>
      </c>
      <c r="M6866">
        <v>1</v>
      </c>
      <c r="N6866">
        <v>1.0922599999999999E-59</v>
      </c>
      <c r="O6866">
        <v>575</v>
      </c>
    </row>
    <row r="6867" spans="1:15" x14ac:dyDescent="0.25">
      <c r="A6867" t="s">
        <v>6880</v>
      </c>
      <c r="B6867">
        <v>169</v>
      </c>
      <c r="C6867" s="1" t="str">
        <f>HYPERLINK("http://www.rosaceae.org/gb/gbrowse/malus_x_domestica/?name=MDP0000440493","MDP0000440493")</f>
        <v>MDP0000440493</v>
      </c>
      <c r="D6867">
        <v>66.430000000000007</v>
      </c>
      <c r="E6867">
        <v>143</v>
      </c>
      <c r="F6867">
        <v>48</v>
      </c>
      <c r="G6867">
        <v>1</v>
      </c>
      <c r="H6867">
        <v>14</v>
      </c>
      <c r="I6867">
        <v>155</v>
      </c>
      <c r="J6867">
        <v>1</v>
      </c>
      <c r="K6867">
        <v>20</v>
      </c>
      <c r="L6867">
        <v>162</v>
      </c>
      <c r="M6867">
        <v>1</v>
      </c>
      <c r="N6867">
        <v>1.3607500000000001E-50</v>
      </c>
      <c r="O6867">
        <v>497</v>
      </c>
    </row>
    <row r="6868" spans="1:15" x14ac:dyDescent="0.25">
      <c r="A6868" t="s">
        <v>6881</v>
      </c>
      <c r="B6868">
        <v>134</v>
      </c>
      <c r="C6868" s="1" t="str">
        <f>HYPERLINK("http://www.rosaceae.org/gb/gbrowse/malus_x_domestica/?name=MDP0000563659","MDP0000563659")</f>
        <v>MDP0000563659</v>
      </c>
      <c r="D6868">
        <v>48.96</v>
      </c>
      <c r="E6868">
        <v>145</v>
      </c>
      <c r="F6868">
        <v>74</v>
      </c>
      <c r="G6868">
        <v>11</v>
      </c>
      <c r="H6868">
        <v>1</v>
      </c>
      <c r="I6868">
        <v>134</v>
      </c>
      <c r="J6868">
        <v>1</v>
      </c>
      <c r="K6868">
        <v>42</v>
      </c>
      <c r="L6868">
        <v>186</v>
      </c>
      <c r="M6868">
        <v>1</v>
      </c>
      <c r="N6868">
        <v>1.1253399999999999E-28</v>
      </c>
      <c r="O6868">
        <v>306</v>
      </c>
    </row>
    <row r="6869" spans="1:15" x14ac:dyDescent="0.25">
      <c r="A6869" t="s">
        <v>6882</v>
      </c>
      <c r="B6869">
        <v>523</v>
      </c>
      <c r="C6869" s="1" t="str">
        <f>HYPERLINK("http://www.rosaceae.org/gb/gbrowse/malus_x_domestica/?name=MDP0000294286","MDP0000294286")</f>
        <v>MDP0000294286</v>
      </c>
      <c r="D6869">
        <v>30.66</v>
      </c>
      <c r="E6869">
        <v>287</v>
      </c>
      <c r="F6869">
        <v>199</v>
      </c>
      <c r="G6869">
        <v>42</v>
      </c>
      <c r="H6869">
        <v>17</v>
      </c>
      <c r="I6869">
        <v>278</v>
      </c>
      <c r="J6869">
        <v>1</v>
      </c>
      <c r="K6869">
        <v>7</v>
      </c>
      <c r="L6869">
        <v>276</v>
      </c>
      <c r="M6869">
        <v>1</v>
      </c>
      <c r="N6869">
        <v>2.9059100000000001E-22</v>
      </c>
      <c r="O6869">
        <v>259</v>
      </c>
    </row>
    <row r="6870" spans="1:15" x14ac:dyDescent="0.25">
      <c r="A6870" t="s">
        <v>6883</v>
      </c>
      <c r="B6870">
        <v>328</v>
      </c>
      <c r="C6870" s="1" t="str">
        <f>HYPERLINK("http://www.rosaceae.org/gb/gbrowse/malus_x_domestica/?name=MDP0000268155","MDP0000268155")</f>
        <v>MDP0000268155</v>
      </c>
      <c r="D6870">
        <v>71.72</v>
      </c>
      <c r="E6870">
        <v>343</v>
      </c>
      <c r="F6870">
        <v>97</v>
      </c>
      <c r="G6870">
        <v>37</v>
      </c>
      <c r="H6870">
        <v>22</v>
      </c>
      <c r="I6870">
        <v>327</v>
      </c>
      <c r="J6870">
        <v>1</v>
      </c>
      <c r="K6870">
        <v>13</v>
      </c>
      <c r="L6870">
        <v>355</v>
      </c>
      <c r="M6870">
        <v>1</v>
      </c>
      <c r="N6870">
        <v>1.33287E-146</v>
      </c>
      <c r="O6870">
        <v>1329</v>
      </c>
    </row>
    <row r="6871" spans="1:15" x14ac:dyDescent="0.25">
      <c r="A6871" t="s">
        <v>6884</v>
      </c>
      <c r="B6871">
        <v>429</v>
      </c>
      <c r="C6871" s="1" t="str">
        <f>HYPERLINK("http://www.rosaceae.org/gb/gbrowse/malus_x_domestica/?name=MDP0000866638","MDP0000866638")</f>
        <v>MDP0000866638</v>
      </c>
      <c r="D6871">
        <v>58.83</v>
      </c>
      <c r="E6871">
        <v>430</v>
      </c>
      <c r="F6871">
        <v>177</v>
      </c>
      <c r="G6871">
        <v>9</v>
      </c>
      <c r="H6871">
        <v>1</v>
      </c>
      <c r="I6871">
        <v>428</v>
      </c>
      <c r="J6871">
        <v>1</v>
      </c>
      <c r="K6871">
        <v>2</v>
      </c>
      <c r="L6871">
        <v>424</v>
      </c>
      <c r="M6871">
        <v>1</v>
      </c>
      <c r="N6871">
        <v>5.8607399999999995E-131</v>
      </c>
      <c r="O6871">
        <v>1195</v>
      </c>
    </row>
    <row r="6872" spans="1:15" x14ac:dyDescent="0.25">
      <c r="A6872" t="s">
        <v>6885</v>
      </c>
      <c r="B6872">
        <v>294</v>
      </c>
      <c r="C6872" s="1" t="str">
        <f>HYPERLINK("http://www.rosaceae.org/gb/gbrowse/malus_x_domestica/?name=MDP0000255174","MDP0000255174")</f>
        <v>MDP0000255174</v>
      </c>
      <c r="D6872">
        <v>57.76</v>
      </c>
      <c r="E6872">
        <v>161</v>
      </c>
      <c r="F6872">
        <v>68</v>
      </c>
      <c r="G6872">
        <v>2</v>
      </c>
      <c r="H6872">
        <v>28</v>
      </c>
      <c r="I6872">
        <v>186</v>
      </c>
      <c r="J6872">
        <v>1</v>
      </c>
      <c r="K6872">
        <v>257</v>
      </c>
      <c r="L6872">
        <v>417</v>
      </c>
      <c r="M6872">
        <v>1</v>
      </c>
      <c r="N6872">
        <v>2.38596E-47</v>
      </c>
      <c r="O6872">
        <v>472</v>
      </c>
    </row>
    <row r="6873" spans="1:15" x14ac:dyDescent="0.25">
      <c r="A6873" t="s">
        <v>6886</v>
      </c>
      <c r="B6873">
        <v>474</v>
      </c>
      <c r="C6873" s="1" t="str">
        <f>HYPERLINK("http://www.rosaceae.org/gb/gbrowse/malus_x_domestica/?name=MDP0000883315","MDP0000883315")</f>
        <v>MDP0000883315</v>
      </c>
      <c r="D6873">
        <v>79.91</v>
      </c>
      <c r="E6873">
        <v>478</v>
      </c>
      <c r="F6873">
        <v>96</v>
      </c>
      <c r="G6873">
        <v>4</v>
      </c>
      <c r="H6873">
        <v>1</v>
      </c>
      <c r="I6873">
        <v>474</v>
      </c>
      <c r="J6873">
        <v>1</v>
      </c>
      <c r="K6873">
        <v>1</v>
      </c>
      <c r="L6873">
        <v>478</v>
      </c>
      <c r="M6873">
        <v>1</v>
      </c>
      <c r="N6873">
        <v>0</v>
      </c>
      <c r="O6873">
        <v>2025</v>
      </c>
    </row>
    <row r="6874" spans="1:15" x14ac:dyDescent="0.25">
      <c r="A6874" t="s">
        <v>6887</v>
      </c>
      <c r="B6874">
        <v>411</v>
      </c>
      <c r="C6874" s="1" t="str">
        <f>HYPERLINK("http://www.rosaceae.org/gb/gbrowse/malus_x_domestica/?name=MDP0000288088","MDP0000288088")</f>
        <v>MDP0000288088</v>
      </c>
      <c r="D6874">
        <v>83.17</v>
      </c>
      <c r="E6874">
        <v>422</v>
      </c>
      <c r="F6874">
        <v>71</v>
      </c>
      <c r="G6874">
        <v>14</v>
      </c>
      <c r="H6874">
        <v>1</v>
      </c>
      <c r="I6874">
        <v>408</v>
      </c>
      <c r="J6874">
        <v>1</v>
      </c>
      <c r="K6874">
        <v>3</v>
      </c>
      <c r="L6874">
        <v>424</v>
      </c>
      <c r="M6874">
        <v>1</v>
      </c>
      <c r="N6874">
        <v>0</v>
      </c>
      <c r="O6874">
        <v>1864</v>
      </c>
    </row>
    <row r="6875" spans="1:15" x14ac:dyDescent="0.25">
      <c r="A6875" t="s">
        <v>6888</v>
      </c>
      <c r="B6875">
        <v>93</v>
      </c>
      <c r="C6875" s="1" t="str">
        <f>HYPERLINK("http://www.rosaceae.org/gb/gbrowse/malus_x_domestica/?name=MDP0000399816","MDP0000399816")</f>
        <v>MDP0000399816</v>
      </c>
      <c r="D6875">
        <v>44.87</v>
      </c>
      <c r="E6875">
        <v>78</v>
      </c>
      <c r="F6875">
        <v>43</v>
      </c>
      <c r="G6875">
        <v>2</v>
      </c>
      <c r="H6875">
        <v>16</v>
      </c>
      <c r="I6875">
        <v>93</v>
      </c>
      <c r="J6875">
        <v>1</v>
      </c>
      <c r="K6875">
        <v>36</v>
      </c>
      <c r="L6875">
        <v>111</v>
      </c>
      <c r="M6875">
        <v>1</v>
      </c>
      <c r="N6875">
        <v>1.51904E-14</v>
      </c>
      <c r="O6875">
        <v>183</v>
      </c>
    </row>
    <row r="6876" spans="1:15" x14ac:dyDescent="0.25">
      <c r="A6876" t="s">
        <v>6889</v>
      </c>
      <c r="B6876">
        <v>1020</v>
      </c>
      <c r="C6876" s="1" t="str">
        <f>HYPERLINK("http://www.rosaceae.org/gb/gbrowse/malus_x_domestica/?name=MDP0000846195","MDP0000846195")</f>
        <v>MDP0000846195</v>
      </c>
      <c r="D6876">
        <v>31.24</v>
      </c>
      <c r="E6876">
        <v>941</v>
      </c>
      <c r="F6876">
        <v>647</v>
      </c>
      <c r="G6876">
        <v>89</v>
      </c>
      <c r="H6876">
        <v>68</v>
      </c>
      <c r="I6876">
        <v>937</v>
      </c>
      <c r="J6876">
        <v>1</v>
      </c>
      <c r="K6876">
        <v>90</v>
      </c>
      <c r="L6876">
        <v>1012</v>
      </c>
      <c r="M6876">
        <v>1</v>
      </c>
      <c r="N6876">
        <v>3.0810400000000001E-120</v>
      </c>
      <c r="O6876">
        <v>1106</v>
      </c>
    </row>
    <row r="6877" spans="1:15" x14ac:dyDescent="0.25">
      <c r="A6877" t="s">
        <v>6890</v>
      </c>
      <c r="B6877">
        <v>237</v>
      </c>
      <c r="C6877" s="1" t="str">
        <f>HYPERLINK("http://www.rosaceae.org/gb/gbrowse/malus_x_domestica/?name=MDP0000145084","MDP0000145084")</f>
        <v>MDP0000145084</v>
      </c>
      <c r="D6877">
        <v>96.25</v>
      </c>
      <c r="E6877">
        <v>240</v>
      </c>
      <c r="F6877">
        <v>9</v>
      </c>
      <c r="G6877">
        <v>3</v>
      </c>
      <c r="H6877">
        <v>1</v>
      </c>
      <c r="I6877">
        <v>237</v>
      </c>
      <c r="J6877">
        <v>1</v>
      </c>
      <c r="K6877">
        <v>1</v>
      </c>
      <c r="L6877">
        <v>240</v>
      </c>
      <c r="M6877">
        <v>1</v>
      </c>
      <c r="N6877">
        <v>6.4656600000000003E-134</v>
      </c>
      <c r="O6877">
        <v>1218</v>
      </c>
    </row>
    <row r="6878" spans="1:15" x14ac:dyDescent="0.25">
      <c r="A6878" t="s">
        <v>6891</v>
      </c>
      <c r="B6878">
        <v>164</v>
      </c>
      <c r="C6878" s="1" t="str">
        <f>HYPERLINK("http://www.rosaceae.org/gb/gbrowse/malus_x_domestica/?name=MDP0000143365","MDP0000143365")</f>
        <v>MDP0000143365</v>
      </c>
      <c r="D6878">
        <v>46.52</v>
      </c>
      <c r="E6878">
        <v>144</v>
      </c>
      <c r="F6878">
        <v>77</v>
      </c>
      <c r="G6878">
        <v>8</v>
      </c>
      <c r="H6878">
        <v>23</v>
      </c>
      <c r="I6878">
        <v>164</v>
      </c>
      <c r="J6878">
        <v>1</v>
      </c>
      <c r="K6878">
        <v>26</v>
      </c>
      <c r="L6878">
        <v>163</v>
      </c>
      <c r="M6878">
        <v>1</v>
      </c>
      <c r="N6878">
        <v>7.3591200000000004E-27</v>
      </c>
      <c r="O6878">
        <v>292</v>
      </c>
    </row>
    <row r="6879" spans="1:15" x14ac:dyDescent="0.25">
      <c r="A6879" t="s">
        <v>6892</v>
      </c>
      <c r="B6879">
        <v>416</v>
      </c>
      <c r="C6879" s="1" t="str">
        <f>HYPERLINK("http://www.rosaceae.org/gb/gbrowse/malus_x_domestica/?name=MDP0000138795","MDP0000138795")</f>
        <v>MDP0000138795</v>
      </c>
      <c r="D6879">
        <v>81.52</v>
      </c>
      <c r="E6879">
        <v>341</v>
      </c>
      <c r="F6879">
        <v>63</v>
      </c>
      <c r="G6879">
        <v>1</v>
      </c>
      <c r="H6879">
        <v>76</v>
      </c>
      <c r="I6879">
        <v>416</v>
      </c>
      <c r="J6879">
        <v>1</v>
      </c>
      <c r="K6879">
        <v>113</v>
      </c>
      <c r="L6879">
        <v>452</v>
      </c>
      <c r="M6879">
        <v>1</v>
      </c>
      <c r="N6879">
        <v>4.0249499999999999E-163</v>
      </c>
      <c r="O6879">
        <v>1472</v>
      </c>
    </row>
    <row r="6880" spans="1:15" x14ac:dyDescent="0.25">
      <c r="A6880" t="s">
        <v>6893</v>
      </c>
      <c r="B6880">
        <v>641</v>
      </c>
      <c r="C6880" s="1" t="str">
        <f>HYPERLINK("http://www.rosaceae.org/gb/gbrowse/malus_x_domestica/?name=MDP0000377084","MDP0000377084")</f>
        <v>MDP0000377084</v>
      </c>
      <c r="D6880">
        <v>77.36</v>
      </c>
      <c r="E6880">
        <v>645</v>
      </c>
      <c r="F6880">
        <v>146</v>
      </c>
      <c r="G6880">
        <v>8</v>
      </c>
      <c r="H6880">
        <v>1</v>
      </c>
      <c r="I6880">
        <v>640</v>
      </c>
      <c r="J6880">
        <v>1</v>
      </c>
      <c r="K6880">
        <v>1</v>
      </c>
      <c r="L6880">
        <v>642</v>
      </c>
      <c r="M6880">
        <v>1</v>
      </c>
      <c r="N6880">
        <v>0</v>
      </c>
      <c r="O6880">
        <v>2631</v>
      </c>
    </row>
    <row r="6881" spans="1:15" x14ac:dyDescent="0.25">
      <c r="A6881" t="s">
        <v>6894</v>
      </c>
      <c r="B6881">
        <v>208</v>
      </c>
      <c r="C6881" s="1" t="str">
        <f>HYPERLINK("http://www.rosaceae.org/gb/gbrowse/malus_x_domestica/?name=MDP0000141129","MDP0000141129")</f>
        <v>MDP0000141129</v>
      </c>
      <c r="D6881">
        <v>75.62</v>
      </c>
      <c r="E6881">
        <v>201</v>
      </c>
      <c r="F6881">
        <v>49</v>
      </c>
      <c r="G6881">
        <v>4</v>
      </c>
      <c r="H6881">
        <v>9</v>
      </c>
      <c r="I6881">
        <v>208</v>
      </c>
      <c r="J6881">
        <v>1</v>
      </c>
      <c r="K6881">
        <v>7</v>
      </c>
      <c r="L6881">
        <v>204</v>
      </c>
      <c r="M6881">
        <v>1</v>
      </c>
      <c r="N6881">
        <v>2.3346100000000001E-80</v>
      </c>
      <c r="O6881">
        <v>755</v>
      </c>
    </row>
    <row r="6882" spans="1:15" x14ac:dyDescent="0.25">
      <c r="A6882" t="s">
        <v>6895</v>
      </c>
      <c r="B6882">
        <v>732</v>
      </c>
      <c r="C6882" s="1" t="str">
        <f>HYPERLINK("http://www.rosaceae.org/gb/gbrowse/malus_x_domestica/?name=MDP0000178901","MDP0000178901")</f>
        <v>MDP0000178901</v>
      </c>
      <c r="D6882">
        <v>41.86</v>
      </c>
      <c r="E6882">
        <v>750</v>
      </c>
      <c r="F6882">
        <v>436</v>
      </c>
      <c r="G6882">
        <v>106</v>
      </c>
      <c r="H6882">
        <v>1</v>
      </c>
      <c r="I6882">
        <v>699</v>
      </c>
      <c r="J6882">
        <v>1</v>
      </c>
      <c r="K6882">
        <v>303</v>
      </c>
      <c r="L6882">
        <v>997</v>
      </c>
      <c r="M6882">
        <v>1</v>
      </c>
      <c r="N6882">
        <v>3.5415100000000002E-115</v>
      </c>
      <c r="O6882">
        <v>1061</v>
      </c>
    </row>
    <row r="6883" spans="1:15" x14ac:dyDescent="0.25">
      <c r="A6883" t="s">
        <v>6896</v>
      </c>
      <c r="B6883">
        <v>691</v>
      </c>
      <c r="C6883" s="1" t="str">
        <f>HYPERLINK("http://www.rosaceae.org/gb/gbrowse/malus_x_domestica/?name=MDP0000226276","MDP0000226276")</f>
        <v>MDP0000226276</v>
      </c>
      <c r="D6883">
        <v>68.5</v>
      </c>
      <c r="E6883">
        <v>724</v>
      </c>
      <c r="F6883">
        <v>228</v>
      </c>
      <c r="G6883">
        <v>42</v>
      </c>
      <c r="H6883">
        <v>1</v>
      </c>
      <c r="I6883">
        <v>687</v>
      </c>
      <c r="J6883">
        <v>1</v>
      </c>
      <c r="K6883">
        <v>4</v>
      </c>
      <c r="L6883">
        <v>722</v>
      </c>
      <c r="M6883">
        <v>1</v>
      </c>
      <c r="N6883">
        <v>0</v>
      </c>
      <c r="O6883">
        <v>2480</v>
      </c>
    </row>
    <row r="6884" spans="1:15" x14ac:dyDescent="0.25">
      <c r="A6884" t="s">
        <v>6897</v>
      </c>
      <c r="B6884">
        <v>1016</v>
      </c>
      <c r="C6884" s="1" t="str">
        <f>HYPERLINK("http://www.rosaceae.org/gb/gbrowse/malus_x_domestica/?name=MDP0000259553","MDP0000259553")</f>
        <v>MDP0000259553</v>
      </c>
      <c r="D6884">
        <v>81.37</v>
      </c>
      <c r="E6884">
        <v>1036</v>
      </c>
      <c r="F6884">
        <v>193</v>
      </c>
      <c r="G6884">
        <v>20</v>
      </c>
      <c r="H6884">
        <v>1</v>
      </c>
      <c r="I6884">
        <v>1016</v>
      </c>
      <c r="J6884">
        <v>1</v>
      </c>
      <c r="K6884">
        <v>1</v>
      </c>
      <c r="L6884">
        <v>1036</v>
      </c>
      <c r="M6884">
        <v>1</v>
      </c>
      <c r="N6884">
        <v>0</v>
      </c>
      <c r="O6884">
        <v>4448</v>
      </c>
    </row>
    <row r="6885" spans="1:15" x14ac:dyDescent="0.25">
      <c r="A6885" t="s">
        <v>6898</v>
      </c>
      <c r="B6885">
        <v>170</v>
      </c>
      <c r="C6885" s="1" t="str">
        <f>HYPERLINK("http://www.rosaceae.org/gb/gbrowse/malus_x_domestica/?name=MDP0000178602","MDP0000178602")</f>
        <v>MDP0000178602</v>
      </c>
      <c r="D6885">
        <v>60.38</v>
      </c>
      <c r="E6885">
        <v>154</v>
      </c>
      <c r="F6885">
        <v>61</v>
      </c>
      <c r="G6885">
        <v>2</v>
      </c>
      <c r="H6885">
        <v>6</v>
      </c>
      <c r="I6885">
        <v>158</v>
      </c>
      <c r="J6885">
        <v>1</v>
      </c>
      <c r="K6885">
        <v>458</v>
      </c>
      <c r="L6885">
        <v>610</v>
      </c>
      <c r="M6885">
        <v>1</v>
      </c>
      <c r="N6885">
        <v>4.2917E-49</v>
      </c>
      <c r="O6885">
        <v>484</v>
      </c>
    </row>
    <row r="6886" spans="1:15" x14ac:dyDescent="0.25">
      <c r="A6886" t="s">
        <v>6899</v>
      </c>
      <c r="B6886">
        <v>949</v>
      </c>
      <c r="C6886" s="1" t="str">
        <f>HYPERLINK("http://www.rosaceae.org/gb/gbrowse/malus_x_domestica/?name=MDP0000561738","MDP0000561738")</f>
        <v>MDP0000561738</v>
      </c>
      <c r="D6886">
        <v>71.27</v>
      </c>
      <c r="E6886">
        <v>543</v>
      </c>
      <c r="F6886">
        <v>156</v>
      </c>
      <c r="G6886">
        <v>22</v>
      </c>
      <c r="H6886">
        <v>331</v>
      </c>
      <c r="I6886">
        <v>853</v>
      </c>
      <c r="J6886">
        <v>1</v>
      </c>
      <c r="K6886">
        <v>133</v>
      </c>
      <c r="L6886">
        <v>673</v>
      </c>
      <c r="M6886">
        <v>1</v>
      </c>
      <c r="N6886">
        <v>0</v>
      </c>
      <c r="O6886">
        <v>2102</v>
      </c>
    </row>
    <row r="6887" spans="1:15" x14ac:dyDescent="0.25">
      <c r="A6887" t="s">
        <v>6900</v>
      </c>
      <c r="B6887">
        <v>286</v>
      </c>
      <c r="C6887" s="1" t="str">
        <f>HYPERLINK("http://www.rosaceae.org/gb/gbrowse/malus_x_domestica/?name=MDP0000918737","MDP0000918737")</f>
        <v>MDP0000918737</v>
      </c>
      <c r="D6887">
        <v>79.72</v>
      </c>
      <c r="E6887">
        <v>291</v>
      </c>
      <c r="F6887">
        <v>59</v>
      </c>
      <c r="G6887">
        <v>8</v>
      </c>
      <c r="H6887">
        <v>1</v>
      </c>
      <c r="I6887">
        <v>286</v>
      </c>
      <c r="J6887">
        <v>1</v>
      </c>
      <c r="K6887">
        <v>1</v>
      </c>
      <c r="L6887">
        <v>288</v>
      </c>
      <c r="M6887">
        <v>1</v>
      </c>
      <c r="N6887">
        <v>4.28553E-127</v>
      </c>
      <c r="O6887">
        <v>1160</v>
      </c>
    </row>
    <row r="6888" spans="1:15" x14ac:dyDescent="0.25">
      <c r="A6888" t="s">
        <v>6901</v>
      </c>
      <c r="B6888">
        <v>124</v>
      </c>
      <c r="C6888" s="1" t="str">
        <f>HYPERLINK("http://www.rosaceae.org/gb/gbrowse/malus_x_domestica/?name=MDP0000130177","MDP0000130177")</f>
        <v>MDP0000130177</v>
      </c>
      <c r="D6888">
        <v>66.66</v>
      </c>
      <c r="E6888">
        <v>66</v>
      </c>
      <c r="F6888">
        <v>22</v>
      </c>
      <c r="G6888">
        <v>8</v>
      </c>
      <c r="H6888">
        <v>62</v>
      </c>
      <c r="I6888">
        <v>124</v>
      </c>
      <c r="J6888">
        <v>1</v>
      </c>
      <c r="K6888">
        <v>13</v>
      </c>
      <c r="L6888">
        <v>73</v>
      </c>
      <c r="M6888">
        <v>1</v>
      </c>
      <c r="N6888">
        <v>1.6803200000000001E-13</v>
      </c>
      <c r="O6888">
        <v>174</v>
      </c>
    </row>
    <row r="6889" spans="1:15" x14ac:dyDescent="0.25">
      <c r="A6889" t="s">
        <v>6902</v>
      </c>
      <c r="B6889">
        <v>186</v>
      </c>
      <c r="C6889" s="1" t="str">
        <f>HYPERLINK("http://www.rosaceae.org/gb/gbrowse/malus_x_domestica/?name=MDP0000136497","MDP0000136497")</f>
        <v>MDP0000136497</v>
      </c>
      <c r="D6889">
        <v>32.31</v>
      </c>
      <c r="E6889">
        <v>164</v>
      </c>
      <c r="F6889">
        <v>111</v>
      </c>
      <c r="G6889">
        <v>9</v>
      </c>
      <c r="H6889">
        <v>25</v>
      </c>
      <c r="I6889">
        <v>180</v>
      </c>
      <c r="J6889">
        <v>1</v>
      </c>
      <c r="K6889">
        <v>19</v>
      </c>
      <c r="L6889">
        <v>181</v>
      </c>
      <c r="M6889">
        <v>1</v>
      </c>
      <c r="N6889">
        <v>1.6309400000000001E-10</v>
      </c>
      <c r="O6889">
        <v>152</v>
      </c>
    </row>
    <row r="6890" spans="1:15" x14ac:dyDescent="0.25">
      <c r="A6890" t="s">
        <v>6903</v>
      </c>
      <c r="B6890">
        <v>187</v>
      </c>
      <c r="C6890" s="1" t="str">
        <f>HYPERLINK("http://www.rosaceae.org/gb/gbrowse/malus_x_domestica/?name=MDP0000169463","MDP0000169463")</f>
        <v>MDP0000169463</v>
      </c>
      <c r="D6890">
        <v>71.22</v>
      </c>
      <c r="E6890">
        <v>139</v>
      </c>
      <c r="F6890">
        <v>40</v>
      </c>
      <c r="G6890">
        <v>5</v>
      </c>
      <c r="H6890">
        <v>48</v>
      </c>
      <c r="I6890">
        <v>181</v>
      </c>
      <c r="J6890">
        <v>1</v>
      </c>
      <c r="K6890">
        <v>172</v>
      </c>
      <c r="L6890">
        <v>310</v>
      </c>
      <c r="M6890">
        <v>1</v>
      </c>
      <c r="N6890">
        <v>2.3399300000000001E-41</v>
      </c>
      <c r="O6890">
        <v>418</v>
      </c>
    </row>
    <row r="6891" spans="1:15" x14ac:dyDescent="0.25">
      <c r="A6891" t="s">
        <v>6904</v>
      </c>
      <c r="B6891">
        <v>129</v>
      </c>
      <c r="C6891" s="1" t="str">
        <f>HYPERLINK("http://www.rosaceae.org/gb/gbrowse/malus_x_domestica/?name=MDP0000121518","MDP0000121518")</f>
        <v>MDP0000121518</v>
      </c>
      <c r="D6891">
        <v>81.19</v>
      </c>
      <c r="E6891">
        <v>117</v>
      </c>
      <c r="F6891">
        <v>22</v>
      </c>
      <c r="G6891">
        <v>0</v>
      </c>
      <c r="H6891">
        <v>13</v>
      </c>
      <c r="I6891">
        <v>129</v>
      </c>
      <c r="J6891">
        <v>1</v>
      </c>
      <c r="K6891">
        <v>158</v>
      </c>
      <c r="L6891">
        <v>274</v>
      </c>
      <c r="M6891">
        <v>1</v>
      </c>
      <c r="N6891">
        <v>6.4720699999999999E-50</v>
      </c>
      <c r="O6891">
        <v>488</v>
      </c>
    </row>
    <row r="6892" spans="1:15" x14ac:dyDescent="0.25">
      <c r="A6892" t="s">
        <v>6905</v>
      </c>
      <c r="B6892">
        <v>137</v>
      </c>
      <c r="C6892" s="1" t="str">
        <f>HYPERLINK("http://www.rosaceae.org/gb/gbrowse/malus_x_domestica/?name=MDP0000223219","MDP0000223219")</f>
        <v>MDP0000223219</v>
      </c>
      <c r="D6892">
        <v>53.65</v>
      </c>
      <c r="E6892">
        <v>82</v>
      </c>
      <c r="F6892">
        <v>38</v>
      </c>
      <c r="G6892">
        <v>3</v>
      </c>
      <c r="H6892">
        <v>1</v>
      </c>
      <c r="I6892">
        <v>79</v>
      </c>
      <c r="J6892">
        <v>1</v>
      </c>
      <c r="K6892">
        <v>89</v>
      </c>
      <c r="L6892">
        <v>170</v>
      </c>
      <c r="M6892">
        <v>1</v>
      </c>
      <c r="N6892">
        <v>4.2296500000000001E-16</v>
      </c>
      <c r="O6892">
        <v>197</v>
      </c>
    </row>
    <row r="6893" spans="1:15" x14ac:dyDescent="0.25">
      <c r="A6893" t="s">
        <v>6906</v>
      </c>
      <c r="B6893">
        <v>513</v>
      </c>
      <c r="C6893" s="1" t="str">
        <f>HYPERLINK("http://www.rosaceae.org/gb/gbrowse/malus_x_domestica/?name=MDP0000174739","MDP0000174739")</f>
        <v>MDP0000174739</v>
      </c>
      <c r="D6893">
        <v>37.130000000000003</v>
      </c>
      <c r="E6893">
        <v>587</v>
      </c>
      <c r="F6893">
        <v>369</v>
      </c>
      <c r="G6893">
        <v>127</v>
      </c>
      <c r="H6893">
        <v>1</v>
      </c>
      <c r="I6893">
        <v>508</v>
      </c>
      <c r="J6893">
        <v>1</v>
      </c>
      <c r="K6893">
        <v>1</v>
      </c>
      <c r="L6893">
        <v>539</v>
      </c>
      <c r="M6893">
        <v>1</v>
      </c>
      <c r="N6893">
        <v>1.64758E-82</v>
      </c>
      <c r="O6893">
        <v>778</v>
      </c>
    </row>
    <row r="6894" spans="1:15" x14ac:dyDescent="0.25">
      <c r="A6894" t="s">
        <v>6907</v>
      </c>
      <c r="B6894">
        <v>700</v>
      </c>
      <c r="C6894" s="1" t="str">
        <f>HYPERLINK("http://www.rosaceae.org/gb/gbrowse/malus_x_domestica/?name=MDP0000940098","MDP0000940098")</f>
        <v>MDP0000940098</v>
      </c>
      <c r="D6894">
        <v>38.69</v>
      </c>
      <c r="E6894">
        <v>460</v>
      </c>
      <c r="F6894">
        <v>282</v>
      </c>
      <c r="G6894">
        <v>58</v>
      </c>
      <c r="H6894">
        <v>253</v>
      </c>
      <c r="I6894">
        <v>698</v>
      </c>
      <c r="J6894">
        <v>1</v>
      </c>
      <c r="K6894">
        <v>12</v>
      </c>
      <c r="L6894">
        <v>427</v>
      </c>
      <c r="M6894">
        <v>1</v>
      </c>
      <c r="N6894">
        <v>3.6823900000000003E-76</v>
      </c>
      <c r="O6894">
        <v>725</v>
      </c>
    </row>
    <row r="6895" spans="1:15" x14ac:dyDescent="0.25">
      <c r="A6895" t="s">
        <v>6908</v>
      </c>
      <c r="B6895">
        <v>545</v>
      </c>
      <c r="C6895" s="1" t="str">
        <f>HYPERLINK("http://www.rosaceae.org/gb/gbrowse/malus_x_domestica/?name=MDP0000284931","MDP0000284931")</f>
        <v>MDP0000284931</v>
      </c>
      <c r="D6895">
        <v>80.88</v>
      </c>
      <c r="E6895">
        <v>293</v>
      </c>
      <c r="F6895">
        <v>56</v>
      </c>
      <c r="G6895">
        <v>14</v>
      </c>
      <c r="H6895">
        <v>248</v>
      </c>
      <c r="I6895">
        <v>527</v>
      </c>
      <c r="J6895">
        <v>1</v>
      </c>
      <c r="K6895">
        <v>371</v>
      </c>
      <c r="L6895">
        <v>662</v>
      </c>
      <c r="M6895">
        <v>1</v>
      </c>
      <c r="N6895">
        <v>9.5290700000000007E-133</v>
      </c>
      <c r="O6895">
        <v>1212</v>
      </c>
    </row>
    <row r="6896" spans="1:15" x14ac:dyDescent="0.25">
      <c r="A6896" t="s">
        <v>6909</v>
      </c>
      <c r="B6896">
        <v>267</v>
      </c>
      <c r="C6896" s="1" t="str">
        <f>HYPERLINK("http://www.rosaceae.org/gb/gbrowse/malus_x_domestica/?name=MDP0000132608","MDP0000132608")</f>
        <v>MDP0000132608</v>
      </c>
      <c r="D6896">
        <v>69.5</v>
      </c>
      <c r="E6896">
        <v>282</v>
      </c>
      <c r="F6896">
        <v>86</v>
      </c>
      <c r="G6896">
        <v>20</v>
      </c>
      <c r="H6896">
        <v>2</v>
      </c>
      <c r="I6896">
        <v>267</v>
      </c>
      <c r="J6896">
        <v>1</v>
      </c>
      <c r="K6896">
        <v>4</v>
      </c>
      <c r="L6896">
        <v>281</v>
      </c>
      <c r="M6896">
        <v>1</v>
      </c>
      <c r="N6896">
        <v>2.3626200000000001E-107</v>
      </c>
      <c r="O6896">
        <v>989</v>
      </c>
    </row>
    <row r="6897" spans="1:15" x14ac:dyDescent="0.25">
      <c r="A6897" t="s">
        <v>6910</v>
      </c>
      <c r="B6897">
        <v>505</v>
      </c>
      <c r="C6897" s="1" t="str">
        <f>HYPERLINK("http://www.rosaceae.org/gb/gbrowse/malus_x_domestica/?name=MDP0000150502","MDP0000150502")</f>
        <v>MDP0000150502</v>
      </c>
      <c r="D6897">
        <v>74.400000000000006</v>
      </c>
      <c r="E6897">
        <v>500</v>
      </c>
      <c r="F6897">
        <v>128</v>
      </c>
      <c r="G6897">
        <v>11</v>
      </c>
      <c r="H6897">
        <v>7</v>
      </c>
      <c r="I6897">
        <v>505</v>
      </c>
      <c r="J6897">
        <v>1</v>
      </c>
      <c r="K6897">
        <v>10</v>
      </c>
      <c r="L6897">
        <v>499</v>
      </c>
      <c r="M6897">
        <v>1</v>
      </c>
      <c r="N6897">
        <v>0</v>
      </c>
      <c r="O6897">
        <v>1890</v>
      </c>
    </row>
    <row r="6898" spans="1:15" x14ac:dyDescent="0.25">
      <c r="A6898" t="s">
        <v>6911</v>
      </c>
      <c r="B6898">
        <v>237</v>
      </c>
      <c r="C6898" s="1" t="str">
        <f>HYPERLINK("http://www.rosaceae.org/gb/gbrowse/malus_x_domestica/?name=MDP0000355705","MDP0000355705")</f>
        <v>MDP0000355705</v>
      </c>
      <c r="D6898">
        <v>58.2</v>
      </c>
      <c r="E6898">
        <v>189</v>
      </c>
      <c r="F6898">
        <v>79</v>
      </c>
      <c r="G6898">
        <v>8</v>
      </c>
      <c r="H6898">
        <v>1</v>
      </c>
      <c r="I6898">
        <v>189</v>
      </c>
      <c r="J6898">
        <v>1</v>
      </c>
      <c r="K6898">
        <v>35</v>
      </c>
      <c r="L6898">
        <v>215</v>
      </c>
      <c r="M6898">
        <v>1</v>
      </c>
      <c r="N6898">
        <v>1.43775E-53</v>
      </c>
      <c r="O6898">
        <v>525</v>
      </c>
    </row>
    <row r="6899" spans="1:15" x14ac:dyDescent="0.25">
      <c r="A6899" t="s">
        <v>6912</v>
      </c>
      <c r="B6899">
        <v>229</v>
      </c>
      <c r="C6899" s="1" t="str">
        <f>HYPERLINK("http://www.rosaceae.org/gb/gbrowse/malus_x_domestica/?name=MDP0000312731","MDP0000312731")</f>
        <v>MDP0000312731</v>
      </c>
      <c r="D6899">
        <v>67.28</v>
      </c>
      <c r="E6899">
        <v>217</v>
      </c>
      <c r="F6899">
        <v>71</v>
      </c>
      <c r="G6899">
        <v>16</v>
      </c>
      <c r="H6899">
        <v>1</v>
      </c>
      <c r="I6899">
        <v>217</v>
      </c>
      <c r="J6899">
        <v>1</v>
      </c>
      <c r="K6899">
        <v>1</v>
      </c>
      <c r="L6899">
        <v>201</v>
      </c>
      <c r="M6899">
        <v>1</v>
      </c>
      <c r="N6899">
        <v>5.0198399999999998E-80</v>
      </c>
      <c r="O6899">
        <v>753</v>
      </c>
    </row>
    <row r="6900" spans="1:15" x14ac:dyDescent="0.25">
      <c r="A6900" t="s">
        <v>6913</v>
      </c>
      <c r="B6900">
        <v>166</v>
      </c>
      <c r="C6900" s="1" t="str">
        <f>HYPERLINK("http://www.rosaceae.org/gb/gbrowse/malus_x_domestica/?name=MDP0000159973","MDP0000159973")</f>
        <v>MDP0000159973</v>
      </c>
      <c r="D6900">
        <v>60.47</v>
      </c>
      <c r="E6900">
        <v>167</v>
      </c>
      <c r="F6900">
        <v>66</v>
      </c>
      <c r="G6900">
        <v>2</v>
      </c>
      <c r="H6900">
        <v>1</v>
      </c>
      <c r="I6900">
        <v>166</v>
      </c>
      <c r="J6900">
        <v>1</v>
      </c>
      <c r="K6900">
        <v>1</v>
      </c>
      <c r="L6900">
        <v>166</v>
      </c>
      <c r="M6900">
        <v>1</v>
      </c>
      <c r="N6900">
        <v>2.9278199999999999E-54</v>
      </c>
      <c r="O6900">
        <v>528</v>
      </c>
    </row>
    <row r="6901" spans="1:15" x14ac:dyDescent="0.25">
      <c r="A6901" t="s">
        <v>6914</v>
      </c>
      <c r="B6901">
        <v>665</v>
      </c>
      <c r="C6901" s="1" t="str">
        <f>HYPERLINK("http://www.rosaceae.org/gb/gbrowse/malus_x_domestica/?name=MDP0000146969","MDP0000146969")</f>
        <v>MDP0000146969</v>
      </c>
      <c r="D6901">
        <v>62.08</v>
      </c>
      <c r="E6901">
        <v>604</v>
      </c>
      <c r="F6901">
        <v>229</v>
      </c>
      <c r="G6901">
        <v>36</v>
      </c>
      <c r="H6901">
        <v>69</v>
      </c>
      <c r="I6901">
        <v>665</v>
      </c>
      <c r="J6901">
        <v>1</v>
      </c>
      <c r="K6901">
        <v>1</v>
      </c>
      <c r="L6901">
        <v>575</v>
      </c>
      <c r="M6901">
        <v>1</v>
      </c>
      <c r="N6901">
        <v>0</v>
      </c>
      <c r="O6901">
        <v>1890</v>
      </c>
    </row>
    <row r="6902" spans="1:15" x14ac:dyDescent="0.25">
      <c r="A6902" t="s">
        <v>6915</v>
      </c>
      <c r="B6902">
        <v>251</v>
      </c>
      <c r="C6902" s="1" t="str">
        <f>HYPERLINK("http://www.rosaceae.org/gb/gbrowse/malus_x_domestica/?name=MDP0000153212","MDP0000153212")</f>
        <v>MDP0000153212</v>
      </c>
      <c r="D6902">
        <v>70.069999999999993</v>
      </c>
      <c r="E6902">
        <v>254</v>
      </c>
      <c r="F6902">
        <v>76</v>
      </c>
      <c r="G6902">
        <v>4</v>
      </c>
      <c r="H6902">
        <v>1</v>
      </c>
      <c r="I6902">
        <v>251</v>
      </c>
      <c r="J6902">
        <v>1</v>
      </c>
      <c r="K6902">
        <v>83</v>
      </c>
      <c r="L6902">
        <v>335</v>
      </c>
      <c r="M6902">
        <v>1</v>
      </c>
      <c r="N6902">
        <v>8.7124100000000008E-96</v>
      </c>
      <c r="O6902">
        <v>889</v>
      </c>
    </row>
    <row r="6903" spans="1:15" x14ac:dyDescent="0.25">
      <c r="A6903" t="s">
        <v>6916</v>
      </c>
      <c r="B6903">
        <v>1064</v>
      </c>
      <c r="C6903" s="1" t="str">
        <f>HYPERLINK("http://www.rosaceae.org/gb/gbrowse/malus_x_domestica/?name=MDP0000271826","MDP0000271826")</f>
        <v>MDP0000271826</v>
      </c>
      <c r="D6903">
        <v>91.19</v>
      </c>
      <c r="E6903">
        <v>409</v>
      </c>
      <c r="F6903">
        <v>36</v>
      </c>
      <c r="G6903">
        <v>17</v>
      </c>
      <c r="H6903">
        <v>19</v>
      </c>
      <c r="I6903">
        <v>410</v>
      </c>
      <c r="J6903">
        <v>1</v>
      </c>
      <c r="K6903">
        <v>17</v>
      </c>
      <c r="L6903">
        <v>425</v>
      </c>
      <c r="M6903">
        <v>1</v>
      </c>
      <c r="N6903">
        <v>0</v>
      </c>
      <c r="O6903">
        <v>1995</v>
      </c>
    </row>
    <row r="6904" spans="1:15" x14ac:dyDescent="0.25">
      <c r="A6904" t="s">
        <v>6917</v>
      </c>
      <c r="B6904">
        <v>378</v>
      </c>
      <c r="C6904" s="1" t="str">
        <f>HYPERLINK("http://www.rosaceae.org/gb/gbrowse/malus_x_domestica/?name=MDP0000314158","MDP0000314158")</f>
        <v>MDP0000314158</v>
      </c>
      <c r="D6904">
        <v>45.71</v>
      </c>
      <c r="E6904">
        <v>175</v>
      </c>
      <c r="F6904">
        <v>95</v>
      </c>
      <c r="G6904">
        <v>7</v>
      </c>
      <c r="H6904">
        <v>203</v>
      </c>
      <c r="I6904">
        <v>375</v>
      </c>
      <c r="J6904">
        <v>1</v>
      </c>
      <c r="K6904">
        <v>711</v>
      </c>
      <c r="L6904">
        <v>880</v>
      </c>
      <c r="M6904">
        <v>1</v>
      </c>
      <c r="N6904">
        <v>2.0243E-36</v>
      </c>
      <c r="O6904">
        <v>379</v>
      </c>
    </row>
    <row r="6905" spans="1:15" x14ac:dyDescent="0.25">
      <c r="A6905" t="s">
        <v>6918</v>
      </c>
      <c r="B6905">
        <v>392</v>
      </c>
      <c r="C6905" s="1" t="str">
        <f>HYPERLINK("http://www.rosaceae.org/gb/gbrowse/malus_x_domestica/?name=MDP0000121175","MDP0000121175")</f>
        <v>MDP0000121175</v>
      </c>
      <c r="D6905">
        <v>72.86</v>
      </c>
      <c r="E6905">
        <v>398</v>
      </c>
      <c r="F6905">
        <v>108</v>
      </c>
      <c r="G6905">
        <v>19</v>
      </c>
      <c r="H6905">
        <v>1</v>
      </c>
      <c r="I6905">
        <v>392</v>
      </c>
      <c r="J6905">
        <v>1</v>
      </c>
      <c r="K6905">
        <v>1</v>
      </c>
      <c r="L6905">
        <v>385</v>
      </c>
      <c r="M6905">
        <v>1</v>
      </c>
      <c r="N6905">
        <v>1.31888E-161</v>
      </c>
      <c r="O6905">
        <v>1459</v>
      </c>
    </row>
    <row r="6906" spans="1:15" x14ac:dyDescent="0.25">
      <c r="A6906" t="s">
        <v>6919</v>
      </c>
      <c r="B6906">
        <v>186</v>
      </c>
      <c r="C6906" s="1" t="str">
        <f>HYPERLINK("http://www.rosaceae.org/gb/gbrowse/malus_x_domestica/?name=MDP0000248545","MDP0000248545")</f>
        <v>MDP0000248545</v>
      </c>
      <c r="D6906">
        <v>35.909999999999997</v>
      </c>
      <c r="E6906">
        <v>142</v>
      </c>
      <c r="F6906">
        <v>91</v>
      </c>
      <c r="G6906">
        <v>6</v>
      </c>
      <c r="H6906">
        <v>29</v>
      </c>
      <c r="I6906">
        <v>167</v>
      </c>
      <c r="J6906">
        <v>1</v>
      </c>
      <c r="K6906">
        <v>116</v>
      </c>
      <c r="L6906">
        <v>254</v>
      </c>
      <c r="M6906">
        <v>1</v>
      </c>
      <c r="N6906">
        <v>6.5025100000000001E-17</v>
      </c>
      <c r="O6906">
        <v>207</v>
      </c>
    </row>
    <row r="6907" spans="1:15" x14ac:dyDescent="0.25">
      <c r="A6907" t="s">
        <v>6920</v>
      </c>
      <c r="B6907">
        <v>979</v>
      </c>
      <c r="C6907" s="1" t="str">
        <f>HYPERLINK("http://www.rosaceae.org/gb/gbrowse/malus_x_domestica/?name=MDP0000211777","MDP0000211777")</f>
        <v>MDP0000211777</v>
      </c>
      <c r="D6907">
        <v>56.41</v>
      </c>
      <c r="E6907">
        <v>1170</v>
      </c>
      <c r="F6907">
        <v>510</v>
      </c>
      <c r="G6907">
        <v>235</v>
      </c>
      <c r="H6907">
        <v>1</v>
      </c>
      <c r="I6907">
        <v>979</v>
      </c>
      <c r="J6907">
        <v>1</v>
      </c>
      <c r="K6907">
        <v>1</v>
      </c>
      <c r="L6907">
        <v>1126</v>
      </c>
      <c r="M6907">
        <v>1</v>
      </c>
      <c r="N6907">
        <v>0</v>
      </c>
      <c r="O6907">
        <v>3027</v>
      </c>
    </row>
    <row r="6908" spans="1:15" x14ac:dyDescent="0.25">
      <c r="A6908" t="s">
        <v>6921</v>
      </c>
      <c r="B6908">
        <v>401</v>
      </c>
      <c r="C6908" s="1" t="str">
        <f>HYPERLINK("http://www.rosaceae.org/gb/gbrowse/malus_x_domestica/?name=MDP0000235778","MDP0000235778")</f>
        <v>MDP0000235778</v>
      </c>
      <c r="D6908">
        <v>67.39</v>
      </c>
      <c r="E6908">
        <v>368</v>
      </c>
      <c r="F6908">
        <v>120</v>
      </c>
      <c r="G6908">
        <v>6</v>
      </c>
      <c r="H6908">
        <v>18</v>
      </c>
      <c r="I6908">
        <v>380</v>
      </c>
      <c r="J6908">
        <v>1</v>
      </c>
      <c r="K6908">
        <v>452</v>
      </c>
      <c r="L6908">
        <v>818</v>
      </c>
      <c r="M6908">
        <v>1</v>
      </c>
      <c r="N6908">
        <v>1.6354500000000001E-134</v>
      </c>
      <c r="O6908">
        <v>1225</v>
      </c>
    </row>
    <row r="6909" spans="1:15" x14ac:dyDescent="0.25">
      <c r="A6909" t="s">
        <v>6922</v>
      </c>
      <c r="B6909">
        <v>336</v>
      </c>
      <c r="C6909" s="1" t="str">
        <f>HYPERLINK("http://www.rosaceae.org/gb/gbrowse/malus_x_domestica/?name=MDP0000311595","MDP0000311595")</f>
        <v>MDP0000311595</v>
      </c>
      <c r="D6909">
        <v>52.83</v>
      </c>
      <c r="E6909">
        <v>53</v>
      </c>
      <c r="F6909">
        <v>25</v>
      </c>
      <c r="G6909">
        <v>2</v>
      </c>
      <c r="H6909">
        <v>286</v>
      </c>
      <c r="I6909">
        <v>336</v>
      </c>
      <c r="J6909">
        <v>1</v>
      </c>
      <c r="K6909">
        <v>1204</v>
      </c>
      <c r="L6909">
        <v>1256</v>
      </c>
      <c r="M6909">
        <v>1</v>
      </c>
      <c r="N6909">
        <v>2.9650399999999999E-13</v>
      </c>
      <c r="O6909">
        <v>179</v>
      </c>
    </row>
    <row r="6910" spans="1:15" x14ac:dyDescent="0.25">
      <c r="A6910" t="s">
        <v>6923</v>
      </c>
      <c r="B6910">
        <v>319</v>
      </c>
      <c r="C6910" s="1" t="str">
        <f>HYPERLINK("http://www.rosaceae.org/gb/gbrowse/malus_x_domestica/?name=MDP0000242552","MDP0000242552")</f>
        <v>MDP0000242552</v>
      </c>
      <c r="D6910">
        <v>49.85</v>
      </c>
      <c r="E6910">
        <v>345</v>
      </c>
      <c r="F6910">
        <v>173</v>
      </c>
      <c r="G6910">
        <v>32</v>
      </c>
      <c r="H6910">
        <v>1</v>
      </c>
      <c r="I6910">
        <v>315</v>
      </c>
      <c r="J6910">
        <v>1</v>
      </c>
      <c r="K6910">
        <v>132</v>
      </c>
      <c r="L6910">
        <v>474</v>
      </c>
      <c r="M6910">
        <v>1</v>
      </c>
      <c r="N6910">
        <v>4.47418E-87</v>
      </c>
      <c r="O6910">
        <v>815</v>
      </c>
    </row>
    <row r="6911" spans="1:15" x14ac:dyDescent="0.25">
      <c r="A6911" t="s">
        <v>6924</v>
      </c>
      <c r="B6911">
        <v>1172</v>
      </c>
      <c r="C6911" s="1" t="str">
        <f>HYPERLINK("http://www.rosaceae.org/gb/gbrowse/malus_x_domestica/?name=MDP0000250873","MDP0000250873")</f>
        <v>MDP0000250873</v>
      </c>
      <c r="D6911">
        <v>83.49</v>
      </c>
      <c r="E6911">
        <v>503</v>
      </c>
      <c r="F6911">
        <v>83</v>
      </c>
      <c r="G6911">
        <v>4</v>
      </c>
      <c r="H6911">
        <v>674</v>
      </c>
      <c r="I6911">
        <v>1172</v>
      </c>
      <c r="J6911">
        <v>1</v>
      </c>
      <c r="K6911">
        <v>1119</v>
      </c>
      <c r="L6911">
        <v>1621</v>
      </c>
      <c r="M6911">
        <v>1</v>
      </c>
      <c r="N6911">
        <v>0</v>
      </c>
      <c r="O6911">
        <v>2290</v>
      </c>
    </row>
    <row r="6912" spans="1:15" x14ac:dyDescent="0.25">
      <c r="A6912" t="s">
        <v>6925</v>
      </c>
      <c r="B6912">
        <v>541</v>
      </c>
      <c r="C6912" s="1" t="str">
        <f>HYPERLINK("http://www.rosaceae.org/gb/gbrowse/malus_x_domestica/?name=MDP0000363904","MDP0000363904")</f>
        <v>MDP0000363904</v>
      </c>
      <c r="D6912">
        <v>70.709999999999994</v>
      </c>
      <c r="E6912">
        <v>502</v>
      </c>
      <c r="F6912">
        <v>147</v>
      </c>
      <c r="G6912">
        <v>47</v>
      </c>
      <c r="H6912">
        <v>47</v>
      </c>
      <c r="I6912">
        <v>538</v>
      </c>
      <c r="J6912">
        <v>1</v>
      </c>
      <c r="K6912">
        <v>31</v>
      </c>
      <c r="L6912">
        <v>495</v>
      </c>
      <c r="M6912">
        <v>1</v>
      </c>
      <c r="N6912">
        <v>0</v>
      </c>
      <c r="O6912">
        <v>1807</v>
      </c>
    </row>
    <row r="6913" spans="1:15" x14ac:dyDescent="0.25">
      <c r="A6913" t="s">
        <v>6926</v>
      </c>
      <c r="B6913">
        <v>728</v>
      </c>
      <c r="C6913" s="1" t="str">
        <f>HYPERLINK("http://www.rosaceae.org/gb/gbrowse/malus_x_domestica/?name=MDP0000204794","MDP0000204794")</f>
        <v>MDP0000204794</v>
      </c>
      <c r="D6913">
        <v>42.77</v>
      </c>
      <c r="E6913">
        <v>706</v>
      </c>
      <c r="F6913">
        <v>404</v>
      </c>
      <c r="G6913">
        <v>75</v>
      </c>
      <c r="H6913">
        <v>30</v>
      </c>
      <c r="I6913">
        <v>711</v>
      </c>
      <c r="J6913">
        <v>1</v>
      </c>
      <c r="K6913">
        <v>147</v>
      </c>
      <c r="L6913">
        <v>801</v>
      </c>
      <c r="M6913">
        <v>1</v>
      </c>
      <c r="N6913">
        <v>2.3223500000000001E-138</v>
      </c>
      <c r="O6913">
        <v>1261</v>
      </c>
    </row>
    <row r="6914" spans="1:15" x14ac:dyDescent="0.25">
      <c r="A6914" t="s">
        <v>6927</v>
      </c>
      <c r="B6914">
        <v>762</v>
      </c>
      <c r="C6914" s="1" t="str">
        <f>HYPERLINK("http://www.rosaceae.org/gb/gbrowse/malus_x_domestica/?name=MDP0000149411","MDP0000149411")</f>
        <v>MDP0000149411</v>
      </c>
      <c r="D6914">
        <v>70</v>
      </c>
      <c r="E6914">
        <v>770</v>
      </c>
      <c r="F6914">
        <v>231</v>
      </c>
      <c r="G6914">
        <v>13</v>
      </c>
      <c r="H6914">
        <v>1</v>
      </c>
      <c r="I6914">
        <v>762</v>
      </c>
      <c r="J6914">
        <v>1</v>
      </c>
      <c r="K6914">
        <v>1</v>
      </c>
      <c r="L6914">
        <v>765</v>
      </c>
      <c r="M6914">
        <v>1</v>
      </c>
      <c r="N6914">
        <v>0</v>
      </c>
      <c r="O6914">
        <v>2818</v>
      </c>
    </row>
    <row r="6915" spans="1:15" x14ac:dyDescent="0.25">
      <c r="A6915" t="s">
        <v>6928</v>
      </c>
      <c r="B6915">
        <v>514</v>
      </c>
      <c r="C6915" s="1" t="str">
        <f>HYPERLINK("http://www.rosaceae.org/gb/gbrowse/malus_x_domestica/?name=MDP0000307056","MDP0000307056")</f>
        <v>MDP0000307056</v>
      </c>
      <c r="D6915">
        <v>57.67</v>
      </c>
      <c r="E6915">
        <v>241</v>
      </c>
      <c r="F6915">
        <v>102</v>
      </c>
      <c r="G6915">
        <v>10</v>
      </c>
      <c r="H6915">
        <v>1</v>
      </c>
      <c r="I6915">
        <v>237</v>
      </c>
      <c r="J6915">
        <v>1</v>
      </c>
      <c r="K6915">
        <v>708</v>
      </c>
      <c r="L6915">
        <v>942</v>
      </c>
      <c r="M6915">
        <v>1</v>
      </c>
      <c r="N6915">
        <v>4.9758500000000003E-77</v>
      </c>
      <c r="O6915">
        <v>731</v>
      </c>
    </row>
    <row r="6916" spans="1:15" x14ac:dyDescent="0.25">
      <c r="A6916" t="s">
        <v>6929</v>
      </c>
      <c r="B6916">
        <v>174</v>
      </c>
      <c r="C6916" s="1" t="str">
        <f>HYPERLINK("http://www.rosaceae.org/gb/gbrowse/malus_x_domestica/?name=MDP0000135568","MDP0000135568")</f>
        <v>MDP0000135568</v>
      </c>
      <c r="D6916">
        <v>74.150000000000006</v>
      </c>
      <c r="E6916">
        <v>178</v>
      </c>
      <c r="F6916">
        <v>46</v>
      </c>
      <c r="G6916">
        <v>4</v>
      </c>
      <c r="H6916">
        <v>1</v>
      </c>
      <c r="I6916">
        <v>174</v>
      </c>
      <c r="J6916">
        <v>1</v>
      </c>
      <c r="K6916">
        <v>1</v>
      </c>
      <c r="L6916">
        <v>178</v>
      </c>
      <c r="M6916">
        <v>1</v>
      </c>
      <c r="N6916">
        <v>1.5835799999999999E-72</v>
      </c>
      <c r="O6916">
        <v>686</v>
      </c>
    </row>
    <row r="6917" spans="1:15" x14ac:dyDescent="0.25">
      <c r="A6917" t="s">
        <v>6930</v>
      </c>
      <c r="B6917">
        <v>294</v>
      </c>
      <c r="C6917" s="1" t="str">
        <f>HYPERLINK("http://www.rosaceae.org/gb/gbrowse/malus_x_domestica/?name=MDP0000316899","MDP0000316899")</f>
        <v>MDP0000316899</v>
      </c>
      <c r="D6917">
        <v>27.63</v>
      </c>
      <c r="E6917">
        <v>275</v>
      </c>
      <c r="F6917">
        <v>199</v>
      </c>
      <c r="G6917">
        <v>74</v>
      </c>
      <c r="H6917">
        <v>1</v>
      </c>
      <c r="I6917">
        <v>242</v>
      </c>
      <c r="J6917">
        <v>1</v>
      </c>
      <c r="K6917">
        <v>484</v>
      </c>
      <c r="L6917">
        <v>717</v>
      </c>
      <c r="M6917">
        <v>1</v>
      </c>
      <c r="N6917">
        <v>6.8828400000000004E-19</v>
      </c>
      <c r="O6917">
        <v>227</v>
      </c>
    </row>
    <row r="6918" spans="1:15" x14ac:dyDescent="0.25">
      <c r="A6918" t="s">
        <v>6931</v>
      </c>
      <c r="B6918">
        <v>423</v>
      </c>
      <c r="C6918" s="1" t="str">
        <f>HYPERLINK("http://www.rosaceae.org/gb/gbrowse/malus_x_domestica/?name=MDP0000274695","MDP0000274695")</f>
        <v>MDP0000274695</v>
      </c>
      <c r="D6918">
        <v>48.76</v>
      </c>
      <c r="E6918">
        <v>121</v>
      </c>
      <c r="F6918">
        <v>62</v>
      </c>
      <c r="G6918">
        <v>14</v>
      </c>
      <c r="H6918">
        <v>190</v>
      </c>
      <c r="I6918">
        <v>302</v>
      </c>
      <c r="J6918">
        <v>1</v>
      </c>
      <c r="K6918">
        <v>136</v>
      </c>
      <c r="L6918">
        <v>250</v>
      </c>
      <c r="M6918">
        <v>1</v>
      </c>
      <c r="N6918">
        <v>1.24E-13</v>
      </c>
      <c r="O6918">
        <v>183</v>
      </c>
    </row>
    <row r="6919" spans="1:15" x14ac:dyDescent="0.25">
      <c r="A6919" t="s">
        <v>6932</v>
      </c>
      <c r="B6919">
        <v>151</v>
      </c>
      <c r="C6919" s="1" t="str">
        <f>HYPERLINK("http://www.rosaceae.org/gb/gbrowse/malus_x_domestica/?name=MDP0000189637","MDP0000189637")</f>
        <v>MDP0000189637</v>
      </c>
      <c r="D6919">
        <v>82.05</v>
      </c>
      <c r="E6919">
        <v>117</v>
      </c>
      <c r="F6919">
        <v>21</v>
      </c>
      <c r="G6919">
        <v>0</v>
      </c>
      <c r="H6919">
        <v>1</v>
      </c>
      <c r="I6919">
        <v>117</v>
      </c>
      <c r="J6919">
        <v>1</v>
      </c>
      <c r="K6919">
        <v>23</v>
      </c>
      <c r="L6919">
        <v>139</v>
      </c>
      <c r="M6919">
        <v>1</v>
      </c>
      <c r="N6919">
        <v>5.6242300000000005E-54</v>
      </c>
      <c r="O6919">
        <v>525</v>
      </c>
    </row>
    <row r="6920" spans="1:15" x14ac:dyDescent="0.25">
      <c r="A6920" t="s">
        <v>6933</v>
      </c>
      <c r="B6920">
        <v>374</v>
      </c>
      <c r="C6920" s="1" t="str">
        <f>HYPERLINK("http://www.rosaceae.org/gb/gbrowse/malus_x_domestica/?name=MDP0000274695","MDP0000274695")</f>
        <v>MDP0000274695</v>
      </c>
      <c r="D6920">
        <v>28.23</v>
      </c>
      <c r="E6920">
        <v>170</v>
      </c>
      <c r="F6920">
        <v>122</v>
      </c>
      <c r="G6920">
        <v>33</v>
      </c>
      <c r="H6920">
        <v>91</v>
      </c>
      <c r="I6920">
        <v>240</v>
      </c>
      <c r="J6920">
        <v>1</v>
      </c>
      <c r="K6920">
        <v>62</v>
      </c>
      <c r="L6920">
        <v>218</v>
      </c>
      <c r="M6920">
        <v>1</v>
      </c>
      <c r="N6920">
        <v>1.5401399999999999E-7</v>
      </c>
      <c r="O6920">
        <v>130</v>
      </c>
    </row>
    <row r="6921" spans="1:15" x14ac:dyDescent="0.25">
      <c r="A6921" t="s">
        <v>6934</v>
      </c>
      <c r="B6921">
        <v>373</v>
      </c>
      <c r="C6921" s="1" t="str">
        <f>HYPERLINK("http://www.rosaceae.org/gb/gbrowse/malus_x_domestica/?name=MDP0000687738","MDP0000687738")</f>
        <v>MDP0000687738</v>
      </c>
      <c r="D6921">
        <v>73.59</v>
      </c>
      <c r="E6921">
        <v>356</v>
      </c>
      <c r="F6921">
        <v>94</v>
      </c>
      <c r="G6921">
        <v>7</v>
      </c>
      <c r="H6921">
        <v>2</v>
      </c>
      <c r="I6921">
        <v>355</v>
      </c>
      <c r="J6921">
        <v>1</v>
      </c>
      <c r="K6921">
        <v>5</v>
      </c>
      <c r="L6921">
        <v>355</v>
      </c>
      <c r="M6921">
        <v>1</v>
      </c>
      <c r="N6921">
        <v>7.7364200000000003E-154</v>
      </c>
      <c r="O6921">
        <v>1392</v>
      </c>
    </row>
    <row r="6922" spans="1:15" x14ac:dyDescent="0.25">
      <c r="A6922" t="s">
        <v>6935</v>
      </c>
      <c r="B6922">
        <v>134</v>
      </c>
      <c r="C6922" s="1" t="str">
        <f>HYPERLINK("http://www.rosaceae.org/gb/gbrowse/malus_x_domestica/?name=MDP0000309906","MDP0000309906")</f>
        <v>MDP0000309906</v>
      </c>
      <c r="D6922">
        <v>53.88</v>
      </c>
      <c r="E6922">
        <v>180</v>
      </c>
      <c r="F6922">
        <v>83</v>
      </c>
      <c r="G6922">
        <v>53</v>
      </c>
      <c r="H6922">
        <v>1</v>
      </c>
      <c r="I6922">
        <v>127</v>
      </c>
      <c r="J6922">
        <v>1</v>
      </c>
      <c r="K6922">
        <v>255</v>
      </c>
      <c r="L6922">
        <v>434</v>
      </c>
      <c r="M6922">
        <v>1</v>
      </c>
      <c r="N6922">
        <v>1.4399799999999999E-41</v>
      </c>
      <c r="O6922">
        <v>417</v>
      </c>
    </row>
    <row r="6923" spans="1:15" x14ac:dyDescent="0.25">
      <c r="A6923" t="s">
        <v>6936</v>
      </c>
      <c r="B6923">
        <v>1236</v>
      </c>
      <c r="C6923" s="1" t="str">
        <f>HYPERLINK("http://www.rosaceae.org/gb/gbrowse/malus_x_domestica/?name=MDP0000383809","MDP0000383809")</f>
        <v>MDP0000383809</v>
      </c>
      <c r="D6923">
        <v>62.73</v>
      </c>
      <c r="E6923">
        <v>1237</v>
      </c>
      <c r="F6923">
        <v>461</v>
      </c>
      <c r="G6923">
        <v>28</v>
      </c>
      <c r="H6923">
        <v>3</v>
      </c>
      <c r="I6923">
        <v>1226</v>
      </c>
      <c r="J6923">
        <v>1</v>
      </c>
      <c r="K6923">
        <v>1</v>
      </c>
      <c r="L6923">
        <v>1222</v>
      </c>
      <c r="M6923">
        <v>1</v>
      </c>
      <c r="N6923">
        <v>0</v>
      </c>
      <c r="O6923">
        <v>4089</v>
      </c>
    </row>
    <row r="6924" spans="1:15" x14ac:dyDescent="0.25">
      <c r="A6924" t="s">
        <v>6937</v>
      </c>
      <c r="B6924">
        <v>2307</v>
      </c>
      <c r="C6924" s="1" t="str">
        <f>HYPERLINK("http://www.rosaceae.org/gb/gbrowse/malus_x_domestica/?name=MDP0000221409","MDP0000221409")</f>
        <v>MDP0000221409</v>
      </c>
      <c r="D6924">
        <v>83.97</v>
      </c>
      <c r="E6924">
        <v>418</v>
      </c>
      <c r="F6924">
        <v>67</v>
      </c>
      <c r="G6924">
        <v>9</v>
      </c>
      <c r="H6924">
        <v>166</v>
      </c>
      <c r="I6924">
        <v>578</v>
      </c>
      <c r="J6924">
        <v>1</v>
      </c>
      <c r="K6924">
        <v>1</v>
      </c>
      <c r="L6924">
        <v>414</v>
      </c>
      <c r="M6924">
        <v>1</v>
      </c>
      <c r="N6924">
        <v>0</v>
      </c>
      <c r="O6924">
        <v>1877</v>
      </c>
    </row>
    <row r="6925" spans="1:15" x14ac:dyDescent="0.25">
      <c r="A6925" t="s">
        <v>6938</v>
      </c>
      <c r="B6925">
        <v>357</v>
      </c>
      <c r="C6925" s="1" t="str">
        <f>HYPERLINK("http://www.rosaceae.org/gb/gbrowse/malus_x_domestica/?name=MDP0000035607","MDP0000035607")</f>
        <v>MDP0000035607</v>
      </c>
      <c r="D6925">
        <v>41.95</v>
      </c>
      <c r="E6925">
        <v>286</v>
      </c>
      <c r="F6925">
        <v>166</v>
      </c>
      <c r="G6925">
        <v>15</v>
      </c>
      <c r="H6925">
        <v>12</v>
      </c>
      <c r="I6925">
        <v>297</v>
      </c>
      <c r="J6925">
        <v>1</v>
      </c>
      <c r="K6925">
        <v>1</v>
      </c>
      <c r="L6925">
        <v>271</v>
      </c>
      <c r="M6925">
        <v>1</v>
      </c>
      <c r="N6925">
        <v>2.73094E-51</v>
      </c>
      <c r="O6925">
        <v>507</v>
      </c>
    </row>
    <row r="6926" spans="1:15" x14ac:dyDescent="0.25">
      <c r="A6926" t="s">
        <v>6939</v>
      </c>
      <c r="B6926">
        <v>544</v>
      </c>
      <c r="C6926" s="1" t="str">
        <f>HYPERLINK("http://www.rosaceae.org/gb/gbrowse/malus_x_domestica/?name=MDP0000316482","MDP0000316482")</f>
        <v>MDP0000316482</v>
      </c>
      <c r="D6926">
        <v>67.349999999999994</v>
      </c>
      <c r="E6926">
        <v>530</v>
      </c>
      <c r="F6926">
        <v>173</v>
      </c>
      <c r="G6926">
        <v>16</v>
      </c>
      <c r="H6926">
        <v>22</v>
      </c>
      <c r="I6926">
        <v>535</v>
      </c>
      <c r="J6926">
        <v>1</v>
      </c>
      <c r="K6926">
        <v>93</v>
      </c>
      <c r="L6926">
        <v>622</v>
      </c>
      <c r="M6926">
        <v>1</v>
      </c>
      <c r="N6926">
        <v>0</v>
      </c>
      <c r="O6926">
        <v>1839</v>
      </c>
    </row>
    <row r="6927" spans="1:15" x14ac:dyDescent="0.25">
      <c r="A6927" t="s">
        <v>6940</v>
      </c>
      <c r="B6927">
        <v>414</v>
      </c>
      <c r="C6927" s="1" t="str">
        <f>HYPERLINK("http://www.rosaceae.org/gb/gbrowse/malus_x_domestica/?name=MDP0000163058","MDP0000163058")</f>
        <v>MDP0000163058</v>
      </c>
      <c r="D6927">
        <v>56.4</v>
      </c>
      <c r="E6927">
        <v>367</v>
      </c>
      <c r="F6927">
        <v>160</v>
      </c>
      <c r="G6927">
        <v>11</v>
      </c>
      <c r="H6927">
        <v>31</v>
      </c>
      <c r="I6927">
        <v>387</v>
      </c>
      <c r="J6927">
        <v>1</v>
      </c>
      <c r="K6927">
        <v>48</v>
      </c>
      <c r="L6927">
        <v>413</v>
      </c>
      <c r="M6927">
        <v>1</v>
      </c>
      <c r="N6927">
        <v>9.4048400000000007E-120</v>
      </c>
      <c r="O6927">
        <v>1098</v>
      </c>
    </row>
    <row r="6928" spans="1:15" x14ac:dyDescent="0.25">
      <c r="A6928" t="s">
        <v>6941</v>
      </c>
      <c r="B6928">
        <v>778</v>
      </c>
      <c r="C6928" s="1" t="str">
        <f>HYPERLINK("http://www.rosaceae.org/gb/gbrowse/malus_x_domestica/?name=MDP0000230530","MDP0000230530")</f>
        <v>MDP0000230530</v>
      </c>
      <c r="D6928">
        <v>51.79</v>
      </c>
      <c r="E6928">
        <v>195</v>
      </c>
      <c r="F6928">
        <v>94</v>
      </c>
      <c r="G6928">
        <v>0</v>
      </c>
      <c r="H6928">
        <v>24</v>
      </c>
      <c r="I6928">
        <v>218</v>
      </c>
      <c r="J6928">
        <v>1</v>
      </c>
      <c r="K6928">
        <v>6</v>
      </c>
      <c r="L6928">
        <v>200</v>
      </c>
      <c r="M6928">
        <v>1</v>
      </c>
      <c r="N6928">
        <v>1.7794E-59</v>
      </c>
      <c r="O6928">
        <v>581</v>
      </c>
    </row>
    <row r="6929" spans="1:15" x14ac:dyDescent="0.25">
      <c r="A6929" t="s">
        <v>6942</v>
      </c>
      <c r="B6929">
        <v>156</v>
      </c>
      <c r="C6929" s="1" t="str">
        <f>HYPERLINK("http://www.rosaceae.org/gb/gbrowse/malus_x_domestica/?name=MDP0000315920","MDP0000315920")</f>
        <v>MDP0000315920</v>
      </c>
      <c r="D6929">
        <v>85.25</v>
      </c>
      <c r="E6929">
        <v>156</v>
      </c>
      <c r="F6929">
        <v>23</v>
      </c>
      <c r="G6929">
        <v>0</v>
      </c>
      <c r="H6929">
        <v>1</v>
      </c>
      <c r="I6929">
        <v>156</v>
      </c>
      <c r="J6929">
        <v>1</v>
      </c>
      <c r="K6929">
        <v>96</v>
      </c>
      <c r="L6929">
        <v>251</v>
      </c>
      <c r="M6929">
        <v>1</v>
      </c>
      <c r="N6929">
        <v>2.5678800000000001E-73</v>
      </c>
      <c r="O6929">
        <v>692</v>
      </c>
    </row>
    <row r="6930" spans="1:15" x14ac:dyDescent="0.25">
      <c r="A6930" t="s">
        <v>6943</v>
      </c>
      <c r="B6930">
        <v>533</v>
      </c>
      <c r="C6930" s="1" t="str">
        <f>HYPERLINK("http://www.rosaceae.org/gb/gbrowse/malus_x_domestica/?name=MDP0000350457","MDP0000350457")</f>
        <v>MDP0000350457</v>
      </c>
      <c r="D6930">
        <v>50.59</v>
      </c>
      <c r="E6930">
        <v>251</v>
      </c>
      <c r="F6930">
        <v>124</v>
      </c>
      <c r="G6930">
        <v>8</v>
      </c>
      <c r="H6930">
        <v>4</v>
      </c>
      <c r="I6930">
        <v>251</v>
      </c>
      <c r="J6930">
        <v>1</v>
      </c>
      <c r="K6930">
        <v>12</v>
      </c>
      <c r="L6930">
        <v>257</v>
      </c>
      <c r="M6930">
        <v>1</v>
      </c>
      <c r="N6930">
        <v>1.02893E-59</v>
      </c>
      <c r="O6930">
        <v>582</v>
      </c>
    </row>
    <row r="6931" spans="1:15" x14ac:dyDescent="0.25">
      <c r="A6931" t="s">
        <v>6944</v>
      </c>
      <c r="B6931">
        <v>309</v>
      </c>
      <c r="C6931" s="1" t="str">
        <f>HYPERLINK("http://www.rosaceae.org/gb/gbrowse/malus_x_domestica/?name=MDP0000607841","MDP0000607841")</f>
        <v>MDP0000607841</v>
      </c>
      <c r="D6931">
        <v>86.98</v>
      </c>
      <c r="E6931">
        <v>292</v>
      </c>
      <c r="F6931">
        <v>38</v>
      </c>
      <c r="G6931">
        <v>0</v>
      </c>
      <c r="H6931">
        <v>18</v>
      </c>
      <c r="I6931">
        <v>309</v>
      </c>
      <c r="J6931">
        <v>1</v>
      </c>
      <c r="K6931">
        <v>12</v>
      </c>
      <c r="L6931">
        <v>303</v>
      </c>
      <c r="M6931">
        <v>1</v>
      </c>
      <c r="N6931">
        <v>2.7133999999999998E-152</v>
      </c>
      <c r="O6931">
        <v>1377</v>
      </c>
    </row>
    <row r="6932" spans="1:15" x14ac:dyDescent="0.25">
      <c r="A6932" t="s">
        <v>6945</v>
      </c>
      <c r="B6932">
        <v>204</v>
      </c>
      <c r="C6932" s="1" t="str">
        <f>HYPERLINK("http://www.rosaceae.org/gb/gbrowse/malus_x_domestica/?name=MDP0000257591","MDP0000257591")</f>
        <v>MDP0000257591</v>
      </c>
      <c r="D6932">
        <v>81.209999999999994</v>
      </c>
      <c r="E6932">
        <v>197</v>
      </c>
      <c r="F6932">
        <v>37</v>
      </c>
      <c r="G6932">
        <v>1</v>
      </c>
      <c r="H6932">
        <v>1</v>
      </c>
      <c r="I6932">
        <v>197</v>
      </c>
      <c r="J6932">
        <v>1</v>
      </c>
      <c r="K6932">
        <v>1</v>
      </c>
      <c r="L6932">
        <v>196</v>
      </c>
      <c r="M6932">
        <v>1</v>
      </c>
      <c r="N6932">
        <v>6.7459000000000003E-90</v>
      </c>
      <c r="O6932">
        <v>837</v>
      </c>
    </row>
    <row r="6933" spans="1:15" x14ac:dyDescent="0.25">
      <c r="A6933" t="s">
        <v>6946</v>
      </c>
      <c r="B6933">
        <v>431</v>
      </c>
      <c r="C6933" s="1" t="str">
        <f>HYPERLINK("http://www.rosaceae.org/gb/gbrowse/malus_x_domestica/?name=MDP0000502440","MDP0000502440")</f>
        <v>MDP0000502440</v>
      </c>
      <c r="D6933">
        <v>66.290000000000006</v>
      </c>
      <c r="E6933">
        <v>362</v>
      </c>
      <c r="F6933">
        <v>122</v>
      </c>
      <c r="G6933">
        <v>30</v>
      </c>
      <c r="H6933">
        <v>13</v>
      </c>
      <c r="I6933">
        <v>352</v>
      </c>
      <c r="J6933">
        <v>1</v>
      </c>
      <c r="K6933">
        <v>50</v>
      </c>
      <c r="L6933">
        <v>403</v>
      </c>
      <c r="M6933">
        <v>1</v>
      </c>
      <c r="N6933">
        <v>2.7512099999999998E-113</v>
      </c>
      <c r="O6933">
        <v>1043</v>
      </c>
    </row>
    <row r="6934" spans="1:15" x14ac:dyDescent="0.25">
      <c r="A6934" t="s">
        <v>6947</v>
      </c>
      <c r="B6934">
        <v>410</v>
      </c>
      <c r="C6934" s="1" t="str">
        <f>HYPERLINK("http://www.rosaceae.org/gb/gbrowse/malus_x_domestica/?name=MDP0000884442","MDP0000884442")</f>
        <v>MDP0000884442</v>
      </c>
      <c r="D6934">
        <v>51.52</v>
      </c>
      <c r="E6934">
        <v>427</v>
      </c>
      <c r="F6934">
        <v>207</v>
      </c>
      <c r="G6934">
        <v>72</v>
      </c>
      <c r="H6934">
        <v>1</v>
      </c>
      <c r="I6934">
        <v>406</v>
      </c>
      <c r="J6934">
        <v>1</v>
      </c>
      <c r="K6934">
        <v>1</v>
      </c>
      <c r="L6934">
        <v>376</v>
      </c>
      <c r="M6934">
        <v>1</v>
      </c>
      <c r="N6934">
        <v>1.5253099999999999E-104</v>
      </c>
      <c r="O6934">
        <v>967</v>
      </c>
    </row>
    <row r="6935" spans="1:15" x14ac:dyDescent="0.25">
      <c r="A6935" t="s">
        <v>6948</v>
      </c>
      <c r="B6935">
        <v>532</v>
      </c>
      <c r="C6935" s="1" t="str">
        <f>HYPERLINK("http://www.rosaceae.org/gb/gbrowse/malus_x_domestica/?name=MDP0000943790","MDP0000943790")</f>
        <v>MDP0000943790</v>
      </c>
      <c r="D6935">
        <v>68.02</v>
      </c>
      <c r="E6935">
        <v>563</v>
      </c>
      <c r="F6935">
        <v>180</v>
      </c>
      <c r="G6935">
        <v>75</v>
      </c>
      <c r="H6935">
        <v>1</v>
      </c>
      <c r="I6935">
        <v>530</v>
      </c>
      <c r="J6935">
        <v>1</v>
      </c>
      <c r="K6935">
        <v>1</v>
      </c>
      <c r="L6935">
        <v>521</v>
      </c>
      <c r="M6935">
        <v>1</v>
      </c>
      <c r="N6935">
        <v>0</v>
      </c>
      <c r="O6935">
        <v>1897</v>
      </c>
    </row>
    <row r="6936" spans="1:15" x14ac:dyDescent="0.25">
      <c r="A6936" t="s">
        <v>6949</v>
      </c>
      <c r="B6936">
        <v>832</v>
      </c>
      <c r="C6936" s="1" t="str">
        <f>HYPERLINK("http://www.rosaceae.org/gb/gbrowse/malus_x_domestica/?name=MDP0000250688","MDP0000250688")</f>
        <v>MDP0000250688</v>
      </c>
      <c r="D6936">
        <v>44.7</v>
      </c>
      <c r="E6936">
        <v>378</v>
      </c>
      <c r="F6936">
        <v>209</v>
      </c>
      <c r="G6936">
        <v>92</v>
      </c>
      <c r="H6936">
        <v>68</v>
      </c>
      <c r="I6936">
        <v>380</v>
      </c>
      <c r="J6936">
        <v>1</v>
      </c>
      <c r="K6936">
        <v>44</v>
      </c>
      <c r="L6936">
        <v>394</v>
      </c>
      <c r="M6936">
        <v>1</v>
      </c>
      <c r="N6936">
        <v>1.4621099999999999E-66</v>
      </c>
      <c r="O6936">
        <v>643</v>
      </c>
    </row>
    <row r="6937" spans="1:15" x14ac:dyDescent="0.25">
      <c r="A6937" t="s">
        <v>6950</v>
      </c>
      <c r="B6937">
        <v>1254</v>
      </c>
      <c r="C6937" s="1" t="str">
        <f>HYPERLINK("http://www.rosaceae.org/gb/gbrowse/malus_x_domestica/?name=MDP0000304705","MDP0000304705")</f>
        <v>MDP0000304705</v>
      </c>
      <c r="D6937">
        <v>43.98</v>
      </c>
      <c r="E6937">
        <v>1405</v>
      </c>
      <c r="F6937">
        <v>787</v>
      </c>
      <c r="G6937">
        <v>181</v>
      </c>
      <c r="H6937">
        <v>2</v>
      </c>
      <c r="I6937">
        <v>1248</v>
      </c>
      <c r="J6937">
        <v>1</v>
      </c>
      <c r="K6937">
        <v>1347</v>
      </c>
      <c r="L6937">
        <v>2728</v>
      </c>
      <c r="M6937">
        <v>1</v>
      </c>
      <c r="N6937">
        <v>0</v>
      </c>
      <c r="O6937">
        <v>2436</v>
      </c>
    </row>
    <row r="6938" spans="1:15" x14ac:dyDescent="0.25">
      <c r="A6938" t="s">
        <v>6951</v>
      </c>
      <c r="B6938">
        <v>393</v>
      </c>
      <c r="C6938" s="1" t="str">
        <f>HYPERLINK("http://www.rosaceae.org/gb/gbrowse/malus_x_domestica/?name=MDP0000171200","MDP0000171200")</f>
        <v>MDP0000171200</v>
      </c>
      <c r="D6938">
        <v>70.34</v>
      </c>
      <c r="E6938">
        <v>317</v>
      </c>
      <c r="F6938">
        <v>94</v>
      </c>
      <c r="G6938">
        <v>6</v>
      </c>
      <c r="H6938">
        <v>1</v>
      </c>
      <c r="I6938">
        <v>313</v>
      </c>
      <c r="J6938">
        <v>1</v>
      </c>
      <c r="K6938">
        <v>1</v>
      </c>
      <c r="L6938">
        <v>315</v>
      </c>
      <c r="M6938">
        <v>1</v>
      </c>
      <c r="N6938">
        <v>3.0112600000000001E-117</v>
      </c>
      <c r="O6938">
        <v>1076</v>
      </c>
    </row>
    <row r="6939" spans="1:15" x14ac:dyDescent="0.25">
      <c r="A6939" t="s">
        <v>6952</v>
      </c>
      <c r="B6939">
        <v>114</v>
      </c>
      <c r="C6939" s="1" t="str">
        <f>HYPERLINK("http://www.rosaceae.org/gb/gbrowse/malus_x_domestica/?name=MDP0000662356","MDP0000662356")</f>
        <v>MDP0000662356</v>
      </c>
      <c r="D6939">
        <v>74.56</v>
      </c>
      <c r="E6939">
        <v>114</v>
      </c>
      <c r="F6939">
        <v>29</v>
      </c>
      <c r="G6939">
        <v>2</v>
      </c>
      <c r="H6939">
        <v>1</v>
      </c>
      <c r="I6939">
        <v>112</v>
      </c>
      <c r="J6939">
        <v>1</v>
      </c>
      <c r="K6939">
        <v>1</v>
      </c>
      <c r="L6939">
        <v>114</v>
      </c>
      <c r="M6939">
        <v>1</v>
      </c>
      <c r="N6939">
        <v>1.10816E-41</v>
      </c>
      <c r="O6939">
        <v>417</v>
      </c>
    </row>
    <row r="6940" spans="1:15" x14ac:dyDescent="0.25">
      <c r="A6940" t="s">
        <v>6953</v>
      </c>
      <c r="B6940">
        <v>1726</v>
      </c>
      <c r="C6940" s="1" t="str">
        <f>HYPERLINK("http://www.rosaceae.org/gb/gbrowse/malus_x_domestica/?name=MDP0000676684","MDP0000676684")</f>
        <v>MDP0000676684</v>
      </c>
      <c r="D6940">
        <v>54.44</v>
      </c>
      <c r="E6940">
        <v>1001</v>
      </c>
      <c r="F6940">
        <v>456</v>
      </c>
      <c r="G6940">
        <v>32</v>
      </c>
      <c r="H6940">
        <v>13</v>
      </c>
      <c r="I6940">
        <v>993</v>
      </c>
      <c r="J6940">
        <v>1</v>
      </c>
      <c r="K6940">
        <v>17</v>
      </c>
      <c r="L6940">
        <v>1005</v>
      </c>
      <c r="M6940">
        <v>1</v>
      </c>
      <c r="N6940">
        <v>0</v>
      </c>
      <c r="O6940">
        <v>2505</v>
      </c>
    </row>
    <row r="6941" spans="1:15" x14ac:dyDescent="0.25">
      <c r="A6941" t="s">
        <v>6954</v>
      </c>
      <c r="B6941">
        <v>388</v>
      </c>
      <c r="C6941" s="1" t="str">
        <f>HYPERLINK("http://www.rosaceae.org/gb/gbrowse/malus_x_domestica/?name=MDP0000242980","MDP0000242980")</f>
        <v>MDP0000242980</v>
      </c>
      <c r="D6941">
        <v>40.799999999999997</v>
      </c>
      <c r="E6941">
        <v>125</v>
      </c>
      <c r="F6941">
        <v>74</v>
      </c>
      <c r="G6941">
        <v>8</v>
      </c>
      <c r="H6941">
        <v>14</v>
      </c>
      <c r="I6941">
        <v>138</v>
      </c>
      <c r="J6941">
        <v>1</v>
      </c>
      <c r="K6941">
        <v>794</v>
      </c>
      <c r="L6941">
        <v>910</v>
      </c>
      <c r="M6941">
        <v>1</v>
      </c>
      <c r="N6941">
        <v>1.28935E-18</v>
      </c>
      <c r="O6941">
        <v>226</v>
      </c>
    </row>
    <row r="6942" spans="1:15" x14ac:dyDescent="0.25">
      <c r="A6942" t="s">
        <v>6955</v>
      </c>
      <c r="B6942">
        <v>1152</v>
      </c>
      <c r="C6942" s="1" t="str">
        <f>HYPERLINK("http://www.rosaceae.org/gb/gbrowse/malus_x_domestica/?name=MDP0000231935","MDP0000231935")</f>
        <v>MDP0000231935</v>
      </c>
      <c r="D6942">
        <v>58.03</v>
      </c>
      <c r="E6942">
        <v>1182</v>
      </c>
      <c r="F6942">
        <v>496</v>
      </c>
      <c r="G6942">
        <v>99</v>
      </c>
      <c r="H6942">
        <v>19</v>
      </c>
      <c r="I6942">
        <v>1134</v>
      </c>
      <c r="J6942">
        <v>1</v>
      </c>
      <c r="K6942">
        <v>23</v>
      </c>
      <c r="L6942">
        <v>1171</v>
      </c>
      <c r="M6942">
        <v>1</v>
      </c>
      <c r="N6942">
        <v>0</v>
      </c>
      <c r="O6942">
        <v>3352</v>
      </c>
    </row>
    <row r="6943" spans="1:15" x14ac:dyDescent="0.25">
      <c r="A6943" t="s">
        <v>6956</v>
      </c>
      <c r="B6943">
        <v>232</v>
      </c>
      <c r="C6943" s="1" t="str">
        <f>HYPERLINK("http://www.rosaceae.org/gb/gbrowse/malus_x_domestica/?name=MDP0000315009","MDP0000315009")</f>
        <v>MDP0000315009</v>
      </c>
      <c r="D6943">
        <v>66.31</v>
      </c>
      <c r="E6943">
        <v>190</v>
      </c>
      <c r="F6943">
        <v>64</v>
      </c>
      <c r="G6943">
        <v>16</v>
      </c>
      <c r="H6943">
        <v>53</v>
      </c>
      <c r="I6943">
        <v>227</v>
      </c>
      <c r="J6943">
        <v>1</v>
      </c>
      <c r="K6943">
        <v>757</v>
      </c>
      <c r="L6943">
        <v>945</v>
      </c>
      <c r="M6943">
        <v>1</v>
      </c>
      <c r="N6943">
        <v>1.4208E-52</v>
      </c>
      <c r="O6943">
        <v>516</v>
      </c>
    </row>
    <row r="6944" spans="1:15" x14ac:dyDescent="0.25">
      <c r="A6944" t="s">
        <v>6957</v>
      </c>
      <c r="B6944">
        <v>394</v>
      </c>
      <c r="C6944" s="1" t="str">
        <f>HYPERLINK("http://www.rosaceae.org/gb/gbrowse/malus_x_domestica/?name=MDP0000288840","MDP0000288840")</f>
        <v>MDP0000288840</v>
      </c>
      <c r="D6944">
        <v>56.59</v>
      </c>
      <c r="E6944">
        <v>364</v>
      </c>
      <c r="F6944">
        <v>158</v>
      </c>
      <c r="G6944">
        <v>10</v>
      </c>
      <c r="H6944">
        <v>1</v>
      </c>
      <c r="I6944">
        <v>361</v>
      </c>
      <c r="J6944">
        <v>1</v>
      </c>
      <c r="K6944">
        <v>1</v>
      </c>
      <c r="L6944">
        <v>357</v>
      </c>
      <c r="M6944">
        <v>1</v>
      </c>
      <c r="N6944">
        <v>7.6183899999999996E-97</v>
      </c>
      <c r="O6944">
        <v>901</v>
      </c>
    </row>
    <row r="6945" spans="1:15" x14ac:dyDescent="0.25">
      <c r="A6945" t="s">
        <v>6958</v>
      </c>
      <c r="B6945">
        <v>350</v>
      </c>
      <c r="C6945" s="1" t="str">
        <f>HYPERLINK("http://www.rosaceae.org/gb/gbrowse/malus_x_domestica/?name=MDP0000758317","MDP0000758317")</f>
        <v>MDP0000758317</v>
      </c>
      <c r="D6945">
        <v>82.6</v>
      </c>
      <c r="E6945">
        <v>345</v>
      </c>
      <c r="F6945">
        <v>60</v>
      </c>
      <c r="G6945">
        <v>2</v>
      </c>
      <c r="H6945">
        <v>6</v>
      </c>
      <c r="I6945">
        <v>350</v>
      </c>
      <c r="J6945">
        <v>1</v>
      </c>
      <c r="K6945">
        <v>53</v>
      </c>
      <c r="L6945">
        <v>395</v>
      </c>
      <c r="M6945">
        <v>1</v>
      </c>
      <c r="N6945">
        <v>1.1143E-166</v>
      </c>
      <c r="O6945">
        <v>1502</v>
      </c>
    </row>
    <row r="6946" spans="1:15" x14ac:dyDescent="0.25">
      <c r="A6946" t="s">
        <v>6959</v>
      </c>
      <c r="B6946">
        <v>780</v>
      </c>
      <c r="C6946" s="1" t="str">
        <f>HYPERLINK("http://www.rosaceae.org/gb/gbrowse/malus_x_domestica/?name=MDP0000232976","MDP0000232976")</f>
        <v>MDP0000232976</v>
      </c>
      <c r="D6946">
        <v>32.32</v>
      </c>
      <c r="E6946">
        <v>99</v>
      </c>
      <c r="F6946">
        <v>67</v>
      </c>
      <c r="G6946">
        <v>3</v>
      </c>
      <c r="H6946">
        <v>2</v>
      </c>
      <c r="I6946">
        <v>100</v>
      </c>
      <c r="J6946">
        <v>1</v>
      </c>
      <c r="K6946">
        <v>1633</v>
      </c>
      <c r="L6946">
        <v>1728</v>
      </c>
      <c r="M6946">
        <v>1</v>
      </c>
      <c r="N6946">
        <v>3.0887500000000001E-9</v>
      </c>
      <c r="O6946">
        <v>148</v>
      </c>
    </row>
    <row r="6947" spans="1:15" x14ac:dyDescent="0.25">
      <c r="A6947" t="s">
        <v>6960</v>
      </c>
      <c r="B6947">
        <v>593</v>
      </c>
      <c r="C6947" s="1" t="str">
        <f>HYPERLINK("http://www.rosaceae.org/gb/gbrowse/malus_x_domestica/?name=MDP0000267409","MDP0000267409")</f>
        <v>MDP0000267409</v>
      </c>
      <c r="D6947">
        <v>27.63</v>
      </c>
      <c r="E6947">
        <v>275</v>
      </c>
      <c r="F6947">
        <v>199</v>
      </c>
      <c r="G6947">
        <v>62</v>
      </c>
      <c r="H6947">
        <v>13</v>
      </c>
      <c r="I6947">
        <v>239</v>
      </c>
      <c r="J6947">
        <v>1</v>
      </c>
      <c r="K6947">
        <v>529</v>
      </c>
      <c r="L6947">
        <v>789</v>
      </c>
      <c r="M6947">
        <v>1</v>
      </c>
      <c r="N6947">
        <v>7.53459E-16</v>
      </c>
      <c r="O6947">
        <v>204</v>
      </c>
    </row>
    <row r="6948" spans="1:15" x14ac:dyDescent="0.25">
      <c r="A6948" t="s">
        <v>6961</v>
      </c>
      <c r="B6948">
        <v>987</v>
      </c>
      <c r="C6948" s="1" t="str">
        <f>HYPERLINK("http://www.rosaceae.org/gb/gbrowse/malus_x_domestica/?name=MDP0000231134","MDP0000231134")</f>
        <v>MDP0000231134</v>
      </c>
      <c r="D6948">
        <v>73.900000000000006</v>
      </c>
      <c r="E6948">
        <v>958</v>
      </c>
      <c r="F6948">
        <v>250</v>
      </c>
      <c r="G6948">
        <v>4</v>
      </c>
      <c r="H6948">
        <v>29</v>
      </c>
      <c r="I6948">
        <v>986</v>
      </c>
      <c r="J6948">
        <v>1</v>
      </c>
      <c r="K6948">
        <v>1</v>
      </c>
      <c r="L6948">
        <v>954</v>
      </c>
      <c r="M6948">
        <v>1</v>
      </c>
      <c r="N6948">
        <v>0</v>
      </c>
      <c r="O6948">
        <v>3647</v>
      </c>
    </row>
    <row r="6949" spans="1:15" x14ac:dyDescent="0.25">
      <c r="A6949" t="s">
        <v>6962</v>
      </c>
      <c r="B6949">
        <v>259</v>
      </c>
      <c r="C6949" s="1" t="str">
        <f>HYPERLINK("http://www.rosaceae.org/gb/gbrowse/malus_x_domestica/?name=MDP0000300756","MDP0000300756")</f>
        <v>MDP0000300756</v>
      </c>
      <c r="D6949">
        <v>58.89</v>
      </c>
      <c r="E6949">
        <v>163</v>
      </c>
      <c r="F6949">
        <v>67</v>
      </c>
      <c r="G6949">
        <v>0</v>
      </c>
      <c r="H6949">
        <v>96</v>
      </c>
      <c r="I6949">
        <v>258</v>
      </c>
      <c r="J6949">
        <v>1</v>
      </c>
      <c r="K6949">
        <v>376</v>
      </c>
      <c r="L6949">
        <v>538</v>
      </c>
      <c r="M6949">
        <v>1</v>
      </c>
      <c r="N6949">
        <v>1.1962799999999999E-44</v>
      </c>
      <c r="O6949">
        <v>448</v>
      </c>
    </row>
    <row r="6950" spans="1:15" x14ac:dyDescent="0.25">
      <c r="A6950" t="s">
        <v>6963</v>
      </c>
      <c r="B6950">
        <v>277</v>
      </c>
      <c r="C6950" s="1" t="str">
        <f>HYPERLINK("http://www.rosaceae.org/gb/gbrowse/malus_x_domestica/?name=MDP0000190628","MDP0000190628")</f>
        <v>MDP0000190628</v>
      </c>
      <c r="D6950">
        <v>61.93</v>
      </c>
      <c r="E6950">
        <v>373</v>
      </c>
      <c r="F6950">
        <v>142</v>
      </c>
      <c r="G6950">
        <v>102</v>
      </c>
      <c r="H6950">
        <v>1</v>
      </c>
      <c r="I6950">
        <v>275</v>
      </c>
      <c r="J6950">
        <v>1</v>
      </c>
      <c r="K6950">
        <v>1</v>
      </c>
      <c r="L6950">
        <v>369</v>
      </c>
      <c r="M6950">
        <v>1</v>
      </c>
      <c r="N6950">
        <v>6.2559100000000003E-117</v>
      </c>
      <c r="O6950">
        <v>1072</v>
      </c>
    </row>
    <row r="6951" spans="1:15" x14ac:dyDescent="0.25">
      <c r="A6951" t="s">
        <v>6964</v>
      </c>
      <c r="B6951">
        <v>439</v>
      </c>
      <c r="C6951" s="1" t="str">
        <f>HYPERLINK("http://www.rosaceae.org/gb/gbrowse/malus_x_domestica/?name=MDP0000758358","MDP0000758358")</f>
        <v>MDP0000758358</v>
      </c>
      <c r="D6951">
        <v>62.21</v>
      </c>
      <c r="E6951">
        <v>434</v>
      </c>
      <c r="F6951">
        <v>164</v>
      </c>
      <c r="G6951">
        <v>20</v>
      </c>
      <c r="H6951">
        <v>1</v>
      </c>
      <c r="I6951">
        <v>425</v>
      </c>
      <c r="J6951">
        <v>1</v>
      </c>
      <c r="K6951">
        <v>1</v>
      </c>
      <c r="L6951">
        <v>423</v>
      </c>
      <c r="M6951">
        <v>1</v>
      </c>
      <c r="N6951">
        <v>1.47288E-136</v>
      </c>
      <c r="O6951">
        <v>1244</v>
      </c>
    </row>
    <row r="6952" spans="1:15" x14ac:dyDescent="0.25">
      <c r="A6952" t="s">
        <v>6965</v>
      </c>
      <c r="B6952">
        <v>233</v>
      </c>
      <c r="C6952" s="1" t="str">
        <f>HYPERLINK("http://www.rosaceae.org/gb/gbrowse/malus_x_domestica/?name=MDP0000554317","MDP0000554317")</f>
        <v>MDP0000554317</v>
      </c>
      <c r="D6952">
        <v>67.36</v>
      </c>
      <c r="E6952">
        <v>239</v>
      </c>
      <c r="F6952">
        <v>78</v>
      </c>
      <c r="G6952">
        <v>9</v>
      </c>
      <c r="H6952">
        <v>1</v>
      </c>
      <c r="I6952">
        <v>233</v>
      </c>
      <c r="J6952">
        <v>1</v>
      </c>
      <c r="K6952">
        <v>1</v>
      </c>
      <c r="L6952">
        <v>236</v>
      </c>
      <c r="M6952">
        <v>1</v>
      </c>
      <c r="N6952">
        <v>1.4792E-83</v>
      </c>
      <c r="O6952">
        <v>783</v>
      </c>
    </row>
    <row r="6953" spans="1:15" x14ac:dyDescent="0.25">
      <c r="A6953" t="s">
        <v>6966</v>
      </c>
      <c r="B6953">
        <v>127</v>
      </c>
      <c r="C6953" s="1" t="str">
        <f>HYPERLINK("http://www.rosaceae.org/gb/gbrowse/malus_x_domestica/?name=MDP0000322220","MDP0000322220")</f>
        <v>MDP0000322220</v>
      </c>
      <c r="D6953">
        <v>38.29</v>
      </c>
      <c r="E6953">
        <v>94</v>
      </c>
      <c r="F6953">
        <v>58</v>
      </c>
      <c r="G6953">
        <v>12</v>
      </c>
      <c r="H6953">
        <v>17</v>
      </c>
      <c r="I6953">
        <v>99</v>
      </c>
      <c r="J6953">
        <v>1</v>
      </c>
      <c r="K6953">
        <v>904</v>
      </c>
      <c r="L6953">
        <v>996</v>
      </c>
      <c r="M6953">
        <v>1</v>
      </c>
      <c r="N6953">
        <v>3.37539E-8</v>
      </c>
      <c r="O6953">
        <v>128</v>
      </c>
    </row>
    <row r="6954" spans="1:15" x14ac:dyDescent="0.25">
      <c r="A6954" t="s">
        <v>6967</v>
      </c>
      <c r="B6954">
        <v>293</v>
      </c>
      <c r="C6954" s="1" t="str">
        <f>HYPERLINK("http://www.rosaceae.org/gb/gbrowse/malus_x_domestica/?name=MDP0000666598","MDP0000666598")</f>
        <v>MDP0000666598</v>
      </c>
      <c r="D6954">
        <v>72.44</v>
      </c>
      <c r="E6954">
        <v>294</v>
      </c>
      <c r="F6954">
        <v>81</v>
      </c>
      <c r="G6954">
        <v>22</v>
      </c>
      <c r="H6954">
        <v>1</v>
      </c>
      <c r="I6954">
        <v>293</v>
      </c>
      <c r="J6954">
        <v>1</v>
      </c>
      <c r="K6954">
        <v>1</v>
      </c>
      <c r="L6954">
        <v>273</v>
      </c>
      <c r="M6954">
        <v>1</v>
      </c>
      <c r="N6954">
        <v>3.5025199999999999E-115</v>
      </c>
      <c r="O6954">
        <v>1057</v>
      </c>
    </row>
    <row r="6955" spans="1:15" x14ac:dyDescent="0.25">
      <c r="A6955" t="s">
        <v>6968</v>
      </c>
      <c r="B6955">
        <v>140</v>
      </c>
      <c r="C6955" s="1" t="str">
        <f>HYPERLINK("http://www.rosaceae.org/gb/gbrowse/malus_x_domestica/?name=MDP0000321796","MDP0000321796")</f>
        <v>MDP0000321796</v>
      </c>
      <c r="D6955">
        <v>56.06</v>
      </c>
      <c r="E6955">
        <v>132</v>
      </c>
      <c r="F6955">
        <v>58</v>
      </c>
      <c r="G6955">
        <v>10</v>
      </c>
      <c r="H6955">
        <v>1</v>
      </c>
      <c r="I6955">
        <v>125</v>
      </c>
      <c r="J6955">
        <v>1</v>
      </c>
      <c r="K6955">
        <v>294</v>
      </c>
      <c r="L6955">
        <v>422</v>
      </c>
      <c r="M6955">
        <v>1</v>
      </c>
      <c r="N6955">
        <v>5.4493200000000002E-28</v>
      </c>
      <c r="O6955">
        <v>300</v>
      </c>
    </row>
    <row r="6956" spans="1:15" x14ac:dyDescent="0.25">
      <c r="A6956" t="s">
        <v>6969</v>
      </c>
      <c r="B6956">
        <v>401</v>
      </c>
      <c r="C6956" s="1" t="str">
        <f>HYPERLINK("http://www.rosaceae.org/gb/gbrowse/malus_x_domestica/?name=MDP0000261291","MDP0000261291")</f>
        <v>MDP0000261291</v>
      </c>
      <c r="D6956">
        <v>33.81</v>
      </c>
      <c r="E6956">
        <v>139</v>
      </c>
      <c r="F6956">
        <v>92</v>
      </c>
      <c r="G6956">
        <v>38</v>
      </c>
      <c r="H6956">
        <v>288</v>
      </c>
      <c r="I6956">
        <v>390</v>
      </c>
      <c r="J6956">
        <v>1</v>
      </c>
      <c r="K6956">
        <v>324</v>
      </c>
      <c r="L6956">
        <v>460</v>
      </c>
      <c r="M6956">
        <v>1</v>
      </c>
      <c r="N6956">
        <v>2.0374900000000002E-9</v>
      </c>
      <c r="O6956">
        <v>147</v>
      </c>
    </row>
    <row r="6957" spans="1:15" x14ac:dyDescent="0.25">
      <c r="A6957" t="s">
        <v>6970</v>
      </c>
      <c r="B6957">
        <v>296</v>
      </c>
      <c r="C6957" s="1" t="str">
        <f>HYPERLINK("http://www.rosaceae.org/gb/gbrowse/malus_x_domestica/?name=MDP0000394158","MDP0000394158")</f>
        <v>MDP0000394158</v>
      </c>
      <c r="D6957">
        <v>44.61</v>
      </c>
      <c r="E6957">
        <v>325</v>
      </c>
      <c r="F6957">
        <v>180</v>
      </c>
      <c r="G6957">
        <v>43</v>
      </c>
      <c r="H6957">
        <v>1</v>
      </c>
      <c r="I6957">
        <v>290</v>
      </c>
      <c r="J6957">
        <v>1</v>
      </c>
      <c r="K6957">
        <v>1</v>
      </c>
      <c r="L6957">
        <v>317</v>
      </c>
      <c r="M6957">
        <v>1</v>
      </c>
      <c r="N6957">
        <v>6.4420200000000004E-53</v>
      </c>
      <c r="O6957">
        <v>520</v>
      </c>
    </row>
    <row r="6958" spans="1:15" x14ac:dyDescent="0.25">
      <c r="A6958" t="s">
        <v>6971</v>
      </c>
      <c r="B6958">
        <v>446</v>
      </c>
      <c r="C6958" s="1" t="str">
        <f>HYPERLINK("http://www.rosaceae.org/gb/gbrowse/malus_x_domestica/?name=MDP0000267916","MDP0000267916")</f>
        <v>MDP0000267916</v>
      </c>
      <c r="D6958">
        <v>77.8</v>
      </c>
      <c r="E6958">
        <v>401</v>
      </c>
      <c r="F6958">
        <v>89</v>
      </c>
      <c r="G6958">
        <v>7</v>
      </c>
      <c r="H6958">
        <v>1</v>
      </c>
      <c r="I6958">
        <v>395</v>
      </c>
      <c r="J6958">
        <v>1</v>
      </c>
      <c r="K6958">
        <v>360</v>
      </c>
      <c r="L6958">
        <v>759</v>
      </c>
      <c r="M6958">
        <v>1</v>
      </c>
      <c r="N6958">
        <v>0</v>
      </c>
      <c r="O6958">
        <v>1685</v>
      </c>
    </row>
    <row r="6959" spans="1:15" x14ac:dyDescent="0.25">
      <c r="A6959" t="s">
        <v>6972</v>
      </c>
      <c r="B6959">
        <v>234</v>
      </c>
      <c r="C6959" s="1" t="str">
        <f>HYPERLINK("http://www.rosaceae.org/gb/gbrowse/malus_x_domestica/?name=MDP0000904452","MDP0000904452")</f>
        <v>MDP0000904452</v>
      </c>
      <c r="D6959">
        <v>43.85</v>
      </c>
      <c r="E6959">
        <v>244</v>
      </c>
      <c r="F6959">
        <v>137</v>
      </c>
      <c r="G6959">
        <v>25</v>
      </c>
      <c r="H6959">
        <v>1</v>
      </c>
      <c r="I6959">
        <v>234</v>
      </c>
      <c r="J6959">
        <v>1</v>
      </c>
      <c r="K6959">
        <v>1</v>
      </c>
      <c r="L6959">
        <v>229</v>
      </c>
      <c r="M6959">
        <v>1</v>
      </c>
      <c r="N6959">
        <v>4.7684699999999999E-43</v>
      </c>
      <c r="O6959">
        <v>434</v>
      </c>
    </row>
    <row r="6960" spans="1:15" x14ac:dyDescent="0.25">
      <c r="A6960" t="s">
        <v>6973</v>
      </c>
      <c r="B6960">
        <v>967</v>
      </c>
      <c r="C6960" s="1" t="str">
        <f>HYPERLINK("http://www.rosaceae.org/gb/gbrowse/malus_x_domestica/?name=MDP0000263925","MDP0000263925")</f>
        <v>MDP0000263925</v>
      </c>
      <c r="D6960">
        <v>65.12</v>
      </c>
      <c r="E6960">
        <v>932</v>
      </c>
      <c r="F6960">
        <v>325</v>
      </c>
      <c r="G6960">
        <v>30</v>
      </c>
      <c r="H6960">
        <v>28</v>
      </c>
      <c r="I6960">
        <v>930</v>
      </c>
      <c r="J6960">
        <v>1</v>
      </c>
      <c r="K6960">
        <v>23</v>
      </c>
      <c r="L6960">
        <v>953</v>
      </c>
      <c r="M6960">
        <v>1</v>
      </c>
      <c r="N6960">
        <v>0</v>
      </c>
      <c r="O6960">
        <v>3068</v>
      </c>
    </row>
    <row r="6961" spans="1:15" x14ac:dyDescent="0.25">
      <c r="A6961" t="s">
        <v>6974</v>
      </c>
      <c r="B6961">
        <v>303</v>
      </c>
      <c r="C6961" s="1" t="str">
        <f>HYPERLINK("http://www.rosaceae.org/gb/gbrowse/malus_x_domestica/?name=MDP0000138879","MDP0000138879")</f>
        <v>MDP0000138879</v>
      </c>
      <c r="D6961">
        <v>80</v>
      </c>
      <c r="E6961">
        <v>285</v>
      </c>
      <c r="F6961">
        <v>57</v>
      </c>
      <c r="G6961">
        <v>0</v>
      </c>
      <c r="H6961">
        <v>19</v>
      </c>
      <c r="I6961">
        <v>303</v>
      </c>
      <c r="J6961">
        <v>1</v>
      </c>
      <c r="K6961">
        <v>22</v>
      </c>
      <c r="L6961">
        <v>306</v>
      </c>
      <c r="M6961">
        <v>1</v>
      </c>
      <c r="N6961">
        <v>8.2985899999999999E-137</v>
      </c>
      <c r="O6961">
        <v>1244</v>
      </c>
    </row>
    <row r="6962" spans="1:15" x14ac:dyDescent="0.25">
      <c r="A6962" t="s">
        <v>6975</v>
      </c>
      <c r="B6962">
        <v>731</v>
      </c>
      <c r="C6962" s="1" t="str">
        <f>HYPERLINK("http://www.rosaceae.org/gb/gbrowse/malus_x_domestica/?name=MDP0000321368","MDP0000321368")</f>
        <v>MDP0000321368</v>
      </c>
      <c r="D6962">
        <v>53.76</v>
      </c>
      <c r="E6962">
        <v>757</v>
      </c>
      <c r="F6962">
        <v>350</v>
      </c>
      <c r="G6962">
        <v>41</v>
      </c>
      <c r="H6962">
        <v>1</v>
      </c>
      <c r="I6962">
        <v>721</v>
      </c>
      <c r="J6962">
        <v>1</v>
      </c>
      <c r="K6962">
        <v>1</v>
      </c>
      <c r="L6962">
        <v>752</v>
      </c>
      <c r="M6962">
        <v>1</v>
      </c>
      <c r="N6962">
        <v>0</v>
      </c>
      <c r="O6962">
        <v>1852</v>
      </c>
    </row>
    <row r="6963" spans="1:15" x14ac:dyDescent="0.25">
      <c r="A6963" t="s">
        <v>6976</v>
      </c>
      <c r="B6963">
        <v>488</v>
      </c>
      <c r="C6963" s="1" t="str">
        <f>HYPERLINK("http://www.rosaceae.org/gb/gbrowse/malus_x_domestica/?name=MDP0000173465","MDP0000173465")</f>
        <v>MDP0000173465</v>
      </c>
      <c r="D6963">
        <v>65.53</v>
      </c>
      <c r="E6963">
        <v>473</v>
      </c>
      <c r="F6963">
        <v>163</v>
      </c>
      <c r="G6963">
        <v>59</v>
      </c>
      <c r="H6963">
        <v>45</v>
      </c>
      <c r="I6963">
        <v>488</v>
      </c>
      <c r="J6963">
        <v>1</v>
      </c>
      <c r="K6963">
        <v>1</v>
      </c>
      <c r="L6963">
        <v>443</v>
      </c>
      <c r="M6963">
        <v>1</v>
      </c>
      <c r="N6963">
        <v>2.1041599999999999E-163</v>
      </c>
      <c r="O6963">
        <v>1476</v>
      </c>
    </row>
    <row r="6964" spans="1:15" x14ac:dyDescent="0.25">
      <c r="A6964" t="s">
        <v>6977</v>
      </c>
      <c r="B6964">
        <v>229</v>
      </c>
      <c r="C6964" s="1" t="str">
        <f>HYPERLINK("http://www.rosaceae.org/gb/gbrowse/malus_x_domestica/?name=MDP0000320631","MDP0000320631")</f>
        <v>MDP0000320631</v>
      </c>
      <c r="D6964">
        <v>43.44</v>
      </c>
      <c r="E6964">
        <v>145</v>
      </c>
      <c r="F6964">
        <v>82</v>
      </c>
      <c r="G6964">
        <v>37</v>
      </c>
      <c r="H6964">
        <v>1</v>
      </c>
      <c r="I6964">
        <v>111</v>
      </c>
      <c r="J6964">
        <v>1</v>
      </c>
      <c r="K6964">
        <v>355</v>
      </c>
      <c r="L6964">
        <v>496</v>
      </c>
      <c r="M6964">
        <v>1</v>
      </c>
      <c r="N6964">
        <v>6.1885300000000001E-20</v>
      </c>
      <c r="O6964">
        <v>234</v>
      </c>
    </row>
    <row r="6965" spans="1:15" x14ac:dyDescent="0.25">
      <c r="A6965" t="s">
        <v>6978</v>
      </c>
      <c r="B6965">
        <v>170</v>
      </c>
      <c r="C6965" s="1" t="str">
        <f>HYPERLINK("http://www.rosaceae.org/gb/gbrowse/malus_x_domestica/?name=MDP0000216517","MDP0000216517")</f>
        <v>MDP0000216517</v>
      </c>
      <c r="D6965">
        <v>55.2</v>
      </c>
      <c r="E6965">
        <v>192</v>
      </c>
      <c r="F6965">
        <v>86</v>
      </c>
      <c r="G6965">
        <v>31</v>
      </c>
      <c r="H6965">
        <v>1</v>
      </c>
      <c r="I6965">
        <v>163</v>
      </c>
      <c r="J6965">
        <v>1</v>
      </c>
      <c r="K6965">
        <v>1</v>
      </c>
      <c r="L6965">
        <v>190</v>
      </c>
      <c r="M6965">
        <v>1</v>
      </c>
      <c r="N6965">
        <v>7.1951999999999996E-51</v>
      </c>
      <c r="O6965">
        <v>499</v>
      </c>
    </row>
    <row r="6966" spans="1:15" x14ac:dyDescent="0.25">
      <c r="A6966" t="s">
        <v>6979</v>
      </c>
      <c r="B6966">
        <v>181</v>
      </c>
      <c r="C6966" s="1" t="str">
        <f>HYPERLINK("http://www.rosaceae.org/gb/gbrowse/malus_x_domestica/?name=MDP0000510373","MDP0000510373")</f>
        <v>MDP0000510373</v>
      </c>
      <c r="D6966">
        <v>66.66</v>
      </c>
      <c r="E6966">
        <v>159</v>
      </c>
      <c r="F6966">
        <v>53</v>
      </c>
      <c r="G6966">
        <v>1</v>
      </c>
      <c r="H6966">
        <v>23</v>
      </c>
      <c r="I6966">
        <v>181</v>
      </c>
      <c r="J6966">
        <v>1</v>
      </c>
      <c r="K6966">
        <v>3</v>
      </c>
      <c r="L6966">
        <v>160</v>
      </c>
      <c r="M6966">
        <v>1</v>
      </c>
      <c r="N6966">
        <v>2.1018699999999999E-58</v>
      </c>
      <c r="O6966">
        <v>565</v>
      </c>
    </row>
    <row r="6967" spans="1:15" x14ac:dyDescent="0.25">
      <c r="A6967" t="s">
        <v>6980</v>
      </c>
      <c r="B6967">
        <v>323</v>
      </c>
      <c r="C6967" s="1" t="str">
        <f>HYPERLINK("http://www.rosaceae.org/gb/gbrowse/malus_x_domestica/?name=MDP0000244440","MDP0000244440")</f>
        <v>MDP0000244440</v>
      </c>
      <c r="D6967">
        <v>42.29</v>
      </c>
      <c r="E6967">
        <v>227</v>
      </c>
      <c r="F6967">
        <v>131</v>
      </c>
      <c r="G6967">
        <v>43</v>
      </c>
      <c r="H6967">
        <v>4</v>
      </c>
      <c r="I6967">
        <v>191</v>
      </c>
      <c r="J6967">
        <v>1</v>
      </c>
      <c r="K6967">
        <v>3</v>
      </c>
      <c r="L6967">
        <v>225</v>
      </c>
      <c r="M6967">
        <v>1</v>
      </c>
      <c r="N6967">
        <v>4.7057900000000002E-34</v>
      </c>
      <c r="O6967">
        <v>358</v>
      </c>
    </row>
    <row r="6968" spans="1:15" x14ac:dyDescent="0.25">
      <c r="A6968" t="s">
        <v>6981</v>
      </c>
      <c r="B6968">
        <v>465</v>
      </c>
      <c r="C6968" s="1" t="str">
        <f>HYPERLINK("http://www.rosaceae.org/gb/gbrowse/malus_x_domestica/?name=MDP0000366022","MDP0000366022")</f>
        <v>MDP0000366022</v>
      </c>
      <c r="D6968">
        <v>52.22</v>
      </c>
      <c r="E6968">
        <v>247</v>
      </c>
      <c r="F6968">
        <v>118</v>
      </c>
      <c r="G6968">
        <v>7</v>
      </c>
      <c r="H6968">
        <v>1</v>
      </c>
      <c r="I6968">
        <v>243</v>
      </c>
      <c r="J6968">
        <v>1</v>
      </c>
      <c r="K6968">
        <v>7</v>
      </c>
      <c r="L6968">
        <v>250</v>
      </c>
      <c r="M6968">
        <v>1</v>
      </c>
      <c r="N6968">
        <v>4.2856099999999997E-56</v>
      </c>
      <c r="O6968">
        <v>550</v>
      </c>
    </row>
    <row r="6969" spans="1:15" x14ac:dyDescent="0.25">
      <c r="A6969" t="s">
        <v>6982</v>
      </c>
      <c r="B6969">
        <v>962</v>
      </c>
      <c r="C6969" s="1" t="str">
        <f>HYPERLINK("http://www.rosaceae.org/gb/gbrowse/malus_x_domestica/?name=MDP0000188831","MDP0000188831")</f>
        <v>MDP0000188831</v>
      </c>
      <c r="D6969">
        <v>78.5</v>
      </c>
      <c r="E6969">
        <v>870</v>
      </c>
      <c r="F6969">
        <v>187</v>
      </c>
      <c r="G6969">
        <v>99</v>
      </c>
      <c r="H6969">
        <v>1</v>
      </c>
      <c r="I6969">
        <v>773</v>
      </c>
      <c r="J6969">
        <v>1</v>
      </c>
      <c r="K6969">
        <v>1</v>
      </c>
      <c r="L6969">
        <v>868</v>
      </c>
      <c r="M6969">
        <v>1</v>
      </c>
      <c r="N6969">
        <v>0</v>
      </c>
      <c r="O6969">
        <v>3602</v>
      </c>
    </row>
    <row r="6970" spans="1:15" x14ac:dyDescent="0.25">
      <c r="A6970" t="s">
        <v>6983</v>
      </c>
      <c r="B6970">
        <v>1511</v>
      </c>
      <c r="C6970" s="1" t="str">
        <f>HYPERLINK("http://www.rosaceae.org/gb/gbrowse/malus_x_domestica/?name=MDP0000143368","MDP0000143368")</f>
        <v>MDP0000143368</v>
      </c>
      <c r="D6970">
        <v>77.33</v>
      </c>
      <c r="E6970">
        <v>781</v>
      </c>
      <c r="F6970">
        <v>177</v>
      </c>
      <c r="G6970">
        <v>56</v>
      </c>
      <c r="H6970">
        <v>1</v>
      </c>
      <c r="I6970">
        <v>726</v>
      </c>
      <c r="J6970">
        <v>1</v>
      </c>
      <c r="K6970">
        <v>1</v>
      </c>
      <c r="L6970">
        <v>780</v>
      </c>
      <c r="M6970">
        <v>1</v>
      </c>
      <c r="N6970">
        <v>0</v>
      </c>
      <c r="O6970">
        <v>3138</v>
      </c>
    </row>
    <row r="6971" spans="1:15" x14ac:dyDescent="0.25">
      <c r="A6971" t="s">
        <v>6984</v>
      </c>
      <c r="B6971">
        <v>502</v>
      </c>
      <c r="C6971" s="1" t="str">
        <f>HYPERLINK("http://www.rosaceae.org/gb/gbrowse/malus_x_domestica/?name=MDP0000406918","MDP0000406918")</f>
        <v>MDP0000406918</v>
      </c>
      <c r="D6971">
        <v>57.82</v>
      </c>
      <c r="E6971">
        <v>147</v>
      </c>
      <c r="F6971">
        <v>62</v>
      </c>
      <c r="G6971">
        <v>26</v>
      </c>
      <c r="H6971">
        <v>1</v>
      </c>
      <c r="I6971">
        <v>125</v>
      </c>
      <c r="J6971">
        <v>1</v>
      </c>
      <c r="K6971">
        <v>112</v>
      </c>
      <c r="L6971">
        <v>254</v>
      </c>
      <c r="M6971">
        <v>1</v>
      </c>
      <c r="N6971">
        <v>1.5199000000000001E-35</v>
      </c>
      <c r="O6971">
        <v>373</v>
      </c>
    </row>
    <row r="6972" spans="1:15" x14ac:dyDescent="0.25">
      <c r="A6972" t="s">
        <v>6985</v>
      </c>
      <c r="B6972">
        <v>526</v>
      </c>
      <c r="C6972" s="1" t="str">
        <f>HYPERLINK("http://www.rosaceae.org/gb/gbrowse/malus_x_domestica/?name=MDP0000872940","MDP0000872940")</f>
        <v>MDP0000872940</v>
      </c>
      <c r="D6972">
        <v>52.81</v>
      </c>
      <c r="E6972">
        <v>551</v>
      </c>
      <c r="F6972">
        <v>260</v>
      </c>
      <c r="G6972">
        <v>31</v>
      </c>
      <c r="H6972">
        <v>1</v>
      </c>
      <c r="I6972">
        <v>525</v>
      </c>
      <c r="J6972">
        <v>1</v>
      </c>
      <c r="K6972">
        <v>1</v>
      </c>
      <c r="L6972">
        <v>546</v>
      </c>
      <c r="M6972">
        <v>1</v>
      </c>
      <c r="N6972">
        <v>7.0170300000000002E-143</v>
      </c>
      <c r="O6972">
        <v>1299</v>
      </c>
    </row>
    <row r="6973" spans="1:15" x14ac:dyDescent="0.25">
      <c r="A6973" t="s">
        <v>6986</v>
      </c>
      <c r="B6973">
        <v>662</v>
      </c>
      <c r="C6973" s="1" t="str">
        <f>HYPERLINK("http://www.rosaceae.org/gb/gbrowse/malus_x_domestica/?name=MDP0000217043","MDP0000217043")</f>
        <v>MDP0000217043</v>
      </c>
      <c r="D6973">
        <v>74.069999999999993</v>
      </c>
      <c r="E6973">
        <v>297</v>
      </c>
      <c r="F6973">
        <v>77</v>
      </c>
      <c r="G6973">
        <v>12</v>
      </c>
      <c r="H6973">
        <v>1</v>
      </c>
      <c r="I6973">
        <v>289</v>
      </c>
      <c r="J6973">
        <v>1</v>
      </c>
      <c r="K6973">
        <v>912</v>
      </c>
      <c r="L6973">
        <v>1204</v>
      </c>
      <c r="M6973">
        <v>1</v>
      </c>
      <c r="N6973">
        <v>2.5371500000000001E-124</v>
      </c>
      <c r="O6973">
        <v>1140</v>
      </c>
    </row>
    <row r="6974" spans="1:15" x14ac:dyDescent="0.25">
      <c r="A6974" t="s">
        <v>6987</v>
      </c>
      <c r="B6974">
        <v>781</v>
      </c>
      <c r="C6974" s="1" t="str">
        <f>HYPERLINK("http://www.rosaceae.org/gb/gbrowse/malus_x_domestica/?name=MDP0000486223","MDP0000486223")</f>
        <v>MDP0000486223</v>
      </c>
      <c r="D6974">
        <v>69.78</v>
      </c>
      <c r="E6974">
        <v>695</v>
      </c>
      <c r="F6974">
        <v>210</v>
      </c>
      <c r="G6974">
        <v>15</v>
      </c>
      <c r="H6974">
        <v>37</v>
      </c>
      <c r="I6974">
        <v>731</v>
      </c>
      <c r="J6974">
        <v>1</v>
      </c>
      <c r="K6974">
        <v>55</v>
      </c>
      <c r="L6974">
        <v>734</v>
      </c>
      <c r="M6974">
        <v>1</v>
      </c>
      <c r="N6974">
        <v>0</v>
      </c>
      <c r="O6974">
        <v>2615</v>
      </c>
    </row>
    <row r="6975" spans="1:15" x14ac:dyDescent="0.25">
      <c r="A6975" t="s">
        <v>6988</v>
      </c>
      <c r="B6975">
        <v>728</v>
      </c>
      <c r="C6975" s="1" t="str">
        <f>HYPERLINK("http://www.rosaceae.org/gb/gbrowse/malus_x_domestica/?name=MDP0000178901","MDP0000178901")</f>
        <v>MDP0000178901</v>
      </c>
      <c r="D6975">
        <v>46.62</v>
      </c>
      <c r="E6975">
        <v>622</v>
      </c>
      <c r="F6975">
        <v>332</v>
      </c>
      <c r="G6975">
        <v>71</v>
      </c>
      <c r="H6975">
        <v>136</v>
      </c>
      <c r="I6975">
        <v>716</v>
      </c>
      <c r="J6975">
        <v>1</v>
      </c>
      <c r="K6975">
        <v>408</v>
      </c>
      <c r="L6975">
        <v>999</v>
      </c>
      <c r="M6975">
        <v>1</v>
      </c>
      <c r="N6975">
        <v>1.25796E-123</v>
      </c>
      <c r="O6975">
        <v>1134</v>
      </c>
    </row>
    <row r="6976" spans="1:15" x14ac:dyDescent="0.25">
      <c r="A6976" t="s">
        <v>6989</v>
      </c>
      <c r="B6976">
        <v>426</v>
      </c>
      <c r="C6976" s="1" t="str">
        <f>HYPERLINK("http://www.rosaceae.org/gb/gbrowse/malus_x_domestica/?name=MDP0000295494","MDP0000295494")</f>
        <v>MDP0000295494</v>
      </c>
      <c r="D6976">
        <v>37.03</v>
      </c>
      <c r="E6976">
        <v>432</v>
      </c>
      <c r="F6976">
        <v>272</v>
      </c>
      <c r="G6976">
        <v>74</v>
      </c>
      <c r="H6976">
        <v>22</v>
      </c>
      <c r="I6976">
        <v>424</v>
      </c>
      <c r="J6976">
        <v>1</v>
      </c>
      <c r="K6976">
        <v>79</v>
      </c>
      <c r="L6976">
        <v>465</v>
      </c>
      <c r="M6976">
        <v>1</v>
      </c>
      <c r="N6976">
        <v>5.0511199999999998E-36</v>
      </c>
      <c r="O6976">
        <v>376</v>
      </c>
    </row>
    <row r="6977" spans="1:15" x14ac:dyDescent="0.25">
      <c r="A6977" t="s">
        <v>6990</v>
      </c>
      <c r="B6977">
        <v>513</v>
      </c>
      <c r="C6977" s="1" t="str">
        <f>HYPERLINK("http://www.rosaceae.org/gb/gbrowse/malus_x_domestica/?name=MDP0000863893","MDP0000863893")</f>
        <v>MDP0000863893</v>
      </c>
      <c r="D6977">
        <v>85.63</v>
      </c>
      <c r="E6977">
        <v>188</v>
      </c>
      <c r="F6977">
        <v>27</v>
      </c>
      <c r="G6977">
        <v>3</v>
      </c>
      <c r="H6977">
        <v>324</v>
      </c>
      <c r="I6977">
        <v>511</v>
      </c>
      <c r="J6977">
        <v>1</v>
      </c>
      <c r="K6977">
        <v>367</v>
      </c>
      <c r="L6977">
        <v>551</v>
      </c>
      <c r="M6977">
        <v>1</v>
      </c>
      <c r="N6977">
        <v>6.1500399999999997E-86</v>
      </c>
      <c r="O6977">
        <v>808</v>
      </c>
    </row>
    <row r="6978" spans="1:15" x14ac:dyDescent="0.25">
      <c r="A6978" t="s">
        <v>6991</v>
      </c>
      <c r="B6978">
        <v>129</v>
      </c>
      <c r="C6978" s="1" t="str">
        <f>HYPERLINK("http://www.rosaceae.org/gb/gbrowse/malus_x_domestica/?name=MDP0000729319","MDP0000729319")</f>
        <v>MDP0000729319</v>
      </c>
      <c r="D6978">
        <v>66.66</v>
      </c>
      <c r="E6978">
        <v>36</v>
      </c>
      <c r="F6978">
        <v>12</v>
      </c>
      <c r="G6978">
        <v>0</v>
      </c>
      <c r="H6978">
        <v>36</v>
      </c>
      <c r="I6978">
        <v>71</v>
      </c>
      <c r="J6978">
        <v>1</v>
      </c>
      <c r="K6978">
        <v>366</v>
      </c>
      <c r="L6978">
        <v>401</v>
      </c>
      <c r="M6978">
        <v>1</v>
      </c>
      <c r="N6978">
        <v>2.46811E-8</v>
      </c>
      <c r="O6978">
        <v>130</v>
      </c>
    </row>
    <row r="6979" spans="1:15" x14ac:dyDescent="0.25">
      <c r="A6979" t="s">
        <v>6992</v>
      </c>
      <c r="B6979">
        <v>334</v>
      </c>
      <c r="C6979" s="1" t="str">
        <f>HYPERLINK("http://www.rosaceae.org/gb/gbrowse/malus_x_domestica/?name=MDP0000300095","MDP0000300095")</f>
        <v>MDP0000300095</v>
      </c>
      <c r="D6979">
        <v>85.16</v>
      </c>
      <c r="E6979">
        <v>236</v>
      </c>
      <c r="F6979">
        <v>35</v>
      </c>
      <c r="G6979">
        <v>0</v>
      </c>
      <c r="H6979">
        <v>98</v>
      </c>
      <c r="I6979">
        <v>333</v>
      </c>
      <c r="J6979">
        <v>1</v>
      </c>
      <c r="K6979">
        <v>41</v>
      </c>
      <c r="L6979">
        <v>276</v>
      </c>
      <c r="M6979">
        <v>1</v>
      </c>
      <c r="N6979">
        <v>1.5511399999999999E-117</v>
      </c>
      <c r="O6979">
        <v>1078</v>
      </c>
    </row>
    <row r="6980" spans="1:15" x14ac:dyDescent="0.25">
      <c r="A6980" t="s">
        <v>6993</v>
      </c>
      <c r="B6980">
        <v>170</v>
      </c>
      <c r="C6980" s="1" t="str">
        <f>HYPERLINK("http://www.rosaceae.org/gb/gbrowse/malus_x_domestica/?name=MDP0000220385","MDP0000220385")</f>
        <v>MDP0000220385</v>
      </c>
      <c r="D6980">
        <v>79.02</v>
      </c>
      <c r="E6980">
        <v>143</v>
      </c>
      <c r="F6980">
        <v>30</v>
      </c>
      <c r="G6980">
        <v>2</v>
      </c>
      <c r="H6980">
        <v>28</v>
      </c>
      <c r="I6980">
        <v>170</v>
      </c>
      <c r="J6980">
        <v>1</v>
      </c>
      <c r="K6980">
        <v>28</v>
      </c>
      <c r="L6980">
        <v>168</v>
      </c>
      <c r="M6980">
        <v>1</v>
      </c>
      <c r="N6980">
        <v>3.2483600000000001E-60</v>
      </c>
      <c r="O6980">
        <v>580</v>
      </c>
    </row>
    <row r="6981" spans="1:15" x14ac:dyDescent="0.25">
      <c r="A6981" t="s">
        <v>6994</v>
      </c>
      <c r="B6981">
        <v>351</v>
      </c>
      <c r="C6981" s="1" t="str">
        <f>HYPERLINK("http://www.rosaceae.org/gb/gbrowse/malus_x_domestica/?name=MDP0000250644","MDP0000250644")</f>
        <v>MDP0000250644</v>
      </c>
      <c r="D6981">
        <v>30.4</v>
      </c>
      <c r="E6981">
        <v>250</v>
      </c>
      <c r="F6981">
        <v>174</v>
      </c>
      <c r="G6981">
        <v>14</v>
      </c>
      <c r="H6981">
        <v>2</v>
      </c>
      <c r="I6981">
        <v>244</v>
      </c>
      <c r="J6981">
        <v>1</v>
      </c>
      <c r="K6981">
        <v>98</v>
      </c>
      <c r="L6981">
        <v>340</v>
      </c>
      <c r="M6981">
        <v>1</v>
      </c>
      <c r="N6981">
        <v>1.37438E-32</v>
      </c>
      <c r="O6981">
        <v>346</v>
      </c>
    </row>
    <row r="6982" spans="1:15" x14ac:dyDescent="0.25">
      <c r="A6982" t="s">
        <v>6995</v>
      </c>
      <c r="B6982">
        <v>229</v>
      </c>
      <c r="C6982" s="1" t="str">
        <f>HYPERLINK("http://www.rosaceae.org/gb/gbrowse/malus_x_domestica/?name=MDP0000131279","MDP0000131279")</f>
        <v>MDP0000131279</v>
      </c>
      <c r="D6982">
        <v>60.77</v>
      </c>
      <c r="E6982">
        <v>232</v>
      </c>
      <c r="F6982">
        <v>91</v>
      </c>
      <c r="G6982">
        <v>29</v>
      </c>
      <c r="H6982">
        <v>1</v>
      </c>
      <c r="I6982">
        <v>226</v>
      </c>
      <c r="J6982">
        <v>1</v>
      </c>
      <c r="K6982">
        <v>1</v>
      </c>
      <c r="L6982">
        <v>209</v>
      </c>
      <c r="M6982">
        <v>1</v>
      </c>
      <c r="N6982">
        <v>1.8663199999999999E-68</v>
      </c>
      <c r="O6982">
        <v>653</v>
      </c>
    </row>
    <row r="6983" spans="1:15" x14ac:dyDescent="0.25">
      <c r="A6983" t="s">
        <v>6996</v>
      </c>
      <c r="B6983">
        <v>454</v>
      </c>
      <c r="C6983" s="1" t="str">
        <f>HYPERLINK("http://www.rosaceae.org/gb/gbrowse/malus_x_domestica/?name=MDP0000196032","MDP0000196032")</f>
        <v>MDP0000196032</v>
      </c>
      <c r="D6983">
        <v>74.28</v>
      </c>
      <c r="E6983">
        <v>175</v>
      </c>
      <c r="F6983">
        <v>45</v>
      </c>
      <c r="G6983">
        <v>14</v>
      </c>
      <c r="H6983">
        <v>277</v>
      </c>
      <c r="I6983">
        <v>451</v>
      </c>
      <c r="J6983">
        <v>1</v>
      </c>
      <c r="K6983">
        <v>517</v>
      </c>
      <c r="L6983">
        <v>677</v>
      </c>
      <c r="M6983">
        <v>1</v>
      </c>
      <c r="N6983">
        <v>1.8576000000000001E-69</v>
      </c>
      <c r="O6983">
        <v>665</v>
      </c>
    </row>
    <row r="6984" spans="1:15" x14ac:dyDescent="0.25">
      <c r="A6984" t="s">
        <v>6997</v>
      </c>
      <c r="B6984">
        <v>1165</v>
      </c>
      <c r="C6984" s="1" t="str">
        <f>HYPERLINK("http://www.rosaceae.org/gb/gbrowse/malus_x_domestica/?name=MDP0000546823","MDP0000546823")</f>
        <v>MDP0000546823</v>
      </c>
      <c r="D6984">
        <v>41.97</v>
      </c>
      <c r="E6984">
        <v>405</v>
      </c>
      <c r="F6984">
        <v>235</v>
      </c>
      <c r="G6984">
        <v>30</v>
      </c>
      <c r="H6984">
        <v>503</v>
      </c>
      <c r="I6984">
        <v>903</v>
      </c>
      <c r="J6984">
        <v>1</v>
      </c>
      <c r="K6984">
        <v>1</v>
      </c>
      <c r="L6984">
        <v>379</v>
      </c>
      <c r="M6984">
        <v>1</v>
      </c>
      <c r="N6984">
        <v>4.1821800000000001E-79</v>
      </c>
      <c r="O6984">
        <v>752</v>
      </c>
    </row>
    <row r="6985" spans="1:15" x14ac:dyDescent="0.25">
      <c r="A6985" t="s">
        <v>6998</v>
      </c>
      <c r="B6985">
        <v>454</v>
      </c>
      <c r="C6985" s="1" t="str">
        <f>HYPERLINK("http://www.rosaceae.org/gb/gbrowse/malus_x_domestica/?name=MDP0000303818","MDP0000303818")</f>
        <v>MDP0000303818</v>
      </c>
      <c r="D6985">
        <v>53.75</v>
      </c>
      <c r="E6985">
        <v>426</v>
      </c>
      <c r="F6985">
        <v>197</v>
      </c>
      <c r="G6985">
        <v>7</v>
      </c>
      <c r="H6985">
        <v>28</v>
      </c>
      <c r="I6985">
        <v>452</v>
      </c>
      <c r="J6985">
        <v>1</v>
      </c>
      <c r="K6985">
        <v>39</v>
      </c>
      <c r="L6985">
        <v>458</v>
      </c>
      <c r="M6985">
        <v>1</v>
      </c>
      <c r="N6985">
        <v>5.1357599999999999E-130</v>
      </c>
      <c r="O6985">
        <v>1187</v>
      </c>
    </row>
    <row r="6986" spans="1:15" x14ac:dyDescent="0.25">
      <c r="A6986" t="s">
        <v>6999</v>
      </c>
      <c r="B6986">
        <v>202</v>
      </c>
      <c r="C6986" s="1" t="str">
        <f>HYPERLINK("http://www.rosaceae.org/gb/gbrowse/malus_x_domestica/?name=MDP0000300215","MDP0000300215")</f>
        <v>MDP0000300215</v>
      </c>
      <c r="D6986">
        <v>43.42</v>
      </c>
      <c r="E6986">
        <v>76</v>
      </c>
      <c r="F6986">
        <v>43</v>
      </c>
      <c r="G6986">
        <v>4</v>
      </c>
      <c r="H6986">
        <v>50</v>
      </c>
      <c r="I6986">
        <v>123</v>
      </c>
      <c r="J6986">
        <v>1</v>
      </c>
      <c r="K6986">
        <v>2</v>
      </c>
      <c r="L6986">
        <v>75</v>
      </c>
      <c r="M6986">
        <v>1</v>
      </c>
      <c r="N6986">
        <v>6.2077200000000006E-11</v>
      </c>
      <c r="O6986">
        <v>156</v>
      </c>
    </row>
    <row r="6987" spans="1:15" x14ac:dyDescent="0.25">
      <c r="A6987" t="s">
        <v>7000</v>
      </c>
      <c r="B6987">
        <v>341</v>
      </c>
      <c r="C6987" s="1" t="str">
        <f>HYPERLINK("http://www.rosaceae.org/gb/gbrowse/malus_x_domestica/?name=MDP0000786569","MDP0000786569")</f>
        <v>MDP0000786569</v>
      </c>
      <c r="D6987">
        <v>94.1</v>
      </c>
      <c r="E6987">
        <v>339</v>
      </c>
      <c r="F6987">
        <v>20</v>
      </c>
      <c r="G6987">
        <v>1</v>
      </c>
      <c r="H6987">
        <v>1</v>
      </c>
      <c r="I6987">
        <v>338</v>
      </c>
      <c r="J6987">
        <v>1</v>
      </c>
      <c r="K6987">
        <v>1</v>
      </c>
      <c r="L6987">
        <v>339</v>
      </c>
      <c r="M6987">
        <v>1</v>
      </c>
      <c r="N6987">
        <v>0</v>
      </c>
      <c r="O6987">
        <v>1694</v>
      </c>
    </row>
    <row r="6988" spans="1:15" x14ac:dyDescent="0.25">
      <c r="A6988" t="s">
        <v>7001</v>
      </c>
      <c r="B6988">
        <v>516</v>
      </c>
      <c r="C6988" s="1" t="str">
        <f>HYPERLINK("http://www.rosaceae.org/gb/gbrowse/malus_x_domestica/?name=MDP0000930755","MDP0000930755")</f>
        <v>MDP0000930755</v>
      </c>
      <c r="D6988">
        <v>69.959999999999994</v>
      </c>
      <c r="E6988">
        <v>526</v>
      </c>
      <c r="F6988">
        <v>158</v>
      </c>
      <c r="G6988">
        <v>40</v>
      </c>
      <c r="H6988">
        <v>1</v>
      </c>
      <c r="I6988">
        <v>515</v>
      </c>
      <c r="J6988">
        <v>1</v>
      </c>
      <c r="K6988">
        <v>1</v>
      </c>
      <c r="L6988">
        <v>497</v>
      </c>
      <c r="M6988">
        <v>1</v>
      </c>
      <c r="N6988">
        <v>0</v>
      </c>
      <c r="O6988">
        <v>1886</v>
      </c>
    </row>
    <row r="6989" spans="1:15" x14ac:dyDescent="0.25">
      <c r="A6989" t="s">
        <v>7002</v>
      </c>
      <c r="B6989">
        <v>370</v>
      </c>
      <c r="C6989" s="1" t="str">
        <f>HYPERLINK("http://www.rosaceae.org/gb/gbrowse/malus_x_domestica/?name=MDP0000772731","MDP0000772731")</f>
        <v>MDP0000772731</v>
      </c>
      <c r="D6989">
        <v>49.4</v>
      </c>
      <c r="E6989">
        <v>168</v>
      </c>
      <c r="F6989">
        <v>85</v>
      </c>
      <c r="G6989">
        <v>9</v>
      </c>
      <c r="H6989">
        <v>10</v>
      </c>
      <c r="I6989">
        <v>175</v>
      </c>
      <c r="J6989">
        <v>1</v>
      </c>
      <c r="K6989">
        <v>9</v>
      </c>
      <c r="L6989">
        <v>169</v>
      </c>
      <c r="M6989">
        <v>1</v>
      </c>
      <c r="N6989">
        <v>8.3799900000000004E-41</v>
      </c>
      <c r="O6989">
        <v>417</v>
      </c>
    </row>
    <row r="6990" spans="1:15" x14ac:dyDescent="0.25">
      <c r="A6990" t="s">
        <v>7003</v>
      </c>
      <c r="B6990">
        <v>260</v>
      </c>
      <c r="C6990" s="1" t="str">
        <f>HYPERLINK("http://www.rosaceae.org/gb/gbrowse/malus_x_domestica/?name=MDP0000241796","MDP0000241796")</f>
        <v>MDP0000241796</v>
      </c>
      <c r="D6990">
        <v>85.76</v>
      </c>
      <c r="E6990">
        <v>260</v>
      </c>
      <c r="F6990">
        <v>37</v>
      </c>
      <c r="G6990">
        <v>0</v>
      </c>
      <c r="H6990">
        <v>1</v>
      </c>
      <c r="I6990">
        <v>260</v>
      </c>
      <c r="J6990">
        <v>1</v>
      </c>
      <c r="K6990">
        <v>1</v>
      </c>
      <c r="L6990">
        <v>260</v>
      </c>
      <c r="M6990">
        <v>1</v>
      </c>
      <c r="N6990">
        <v>1.5322400000000001E-133</v>
      </c>
      <c r="O6990">
        <v>1215</v>
      </c>
    </row>
    <row r="6991" spans="1:15" x14ac:dyDescent="0.25">
      <c r="A6991" t="s">
        <v>7004</v>
      </c>
      <c r="B6991">
        <v>262</v>
      </c>
      <c r="C6991" s="1" t="str">
        <f>HYPERLINK("http://www.rosaceae.org/gb/gbrowse/malus_x_domestica/?name=MDP0000178319","MDP0000178319")</f>
        <v>MDP0000178319</v>
      </c>
      <c r="D6991">
        <v>43.46</v>
      </c>
      <c r="E6991">
        <v>306</v>
      </c>
      <c r="F6991">
        <v>173</v>
      </c>
      <c r="G6991">
        <v>67</v>
      </c>
      <c r="H6991">
        <v>1</v>
      </c>
      <c r="I6991">
        <v>241</v>
      </c>
      <c r="J6991">
        <v>1</v>
      </c>
      <c r="K6991">
        <v>67</v>
      </c>
      <c r="L6991">
        <v>370</v>
      </c>
      <c r="M6991">
        <v>1</v>
      </c>
      <c r="N6991">
        <v>4.97609E-56</v>
      </c>
      <c r="O6991">
        <v>546</v>
      </c>
    </row>
    <row r="6992" spans="1:15" x14ac:dyDescent="0.25">
      <c r="A6992" t="s">
        <v>7005</v>
      </c>
      <c r="B6992">
        <v>427</v>
      </c>
      <c r="C6992" s="1" t="str">
        <f>HYPERLINK("http://www.rosaceae.org/gb/gbrowse/malus_x_domestica/?name=MDP0000306867","MDP0000306867")</f>
        <v>MDP0000306867</v>
      </c>
      <c r="D6992">
        <v>67.77</v>
      </c>
      <c r="E6992">
        <v>332</v>
      </c>
      <c r="F6992">
        <v>107</v>
      </c>
      <c r="G6992">
        <v>18</v>
      </c>
      <c r="H6992">
        <v>101</v>
      </c>
      <c r="I6992">
        <v>422</v>
      </c>
      <c r="J6992">
        <v>1</v>
      </c>
      <c r="K6992">
        <v>1</v>
      </c>
      <c r="L6992">
        <v>324</v>
      </c>
      <c r="M6992">
        <v>1</v>
      </c>
      <c r="N6992">
        <v>6.6678899999999999E-125</v>
      </c>
      <c r="O6992">
        <v>1143</v>
      </c>
    </row>
    <row r="6993" spans="1:15" x14ac:dyDescent="0.25">
      <c r="A6993" t="s">
        <v>7006</v>
      </c>
      <c r="B6993">
        <v>436</v>
      </c>
      <c r="C6993" s="1" t="str">
        <f>HYPERLINK("http://www.rosaceae.org/gb/gbrowse/malus_x_domestica/?name=MDP0000258630","MDP0000258630")</f>
        <v>MDP0000258630</v>
      </c>
      <c r="D6993">
        <v>84.12</v>
      </c>
      <c r="E6993">
        <v>63</v>
      </c>
      <c r="F6993">
        <v>10</v>
      </c>
      <c r="G6993">
        <v>0</v>
      </c>
      <c r="H6993">
        <v>99</v>
      </c>
      <c r="I6993">
        <v>161</v>
      </c>
      <c r="J6993">
        <v>1</v>
      </c>
      <c r="K6993">
        <v>29</v>
      </c>
      <c r="L6993">
        <v>91</v>
      </c>
      <c r="M6993">
        <v>1</v>
      </c>
      <c r="N6993">
        <v>5.35961E-24</v>
      </c>
      <c r="O6993">
        <v>273</v>
      </c>
    </row>
    <row r="6994" spans="1:15" x14ac:dyDescent="0.25">
      <c r="A6994" t="s">
        <v>7007</v>
      </c>
      <c r="B6994">
        <v>520</v>
      </c>
      <c r="C6994" s="1" t="str">
        <f>HYPERLINK("http://www.rosaceae.org/gb/gbrowse/malus_x_domestica/?name=MDP0000477221","MDP0000477221")</f>
        <v>MDP0000477221</v>
      </c>
      <c r="D6994">
        <v>80.83</v>
      </c>
      <c r="E6994">
        <v>480</v>
      </c>
      <c r="F6994">
        <v>92</v>
      </c>
      <c r="G6994">
        <v>6</v>
      </c>
      <c r="H6994">
        <v>47</v>
      </c>
      <c r="I6994">
        <v>520</v>
      </c>
      <c r="J6994">
        <v>1</v>
      </c>
      <c r="K6994">
        <v>1</v>
      </c>
      <c r="L6994">
        <v>480</v>
      </c>
      <c r="M6994">
        <v>1</v>
      </c>
      <c r="N6994">
        <v>0</v>
      </c>
      <c r="O6994">
        <v>2101</v>
      </c>
    </row>
    <row r="6995" spans="1:15" x14ac:dyDescent="0.25">
      <c r="A6995" t="s">
        <v>7008</v>
      </c>
      <c r="B6995">
        <v>1054</v>
      </c>
      <c r="C6995" s="1" t="str">
        <f>HYPERLINK("http://www.rosaceae.org/gb/gbrowse/malus_x_domestica/?name=MDP0000284866","MDP0000284866")</f>
        <v>MDP0000284866</v>
      </c>
      <c r="D6995">
        <v>70.92</v>
      </c>
      <c r="E6995">
        <v>1073</v>
      </c>
      <c r="F6995">
        <v>312</v>
      </c>
      <c r="G6995">
        <v>28</v>
      </c>
      <c r="H6995">
        <v>1</v>
      </c>
      <c r="I6995">
        <v>1054</v>
      </c>
      <c r="J6995">
        <v>1</v>
      </c>
      <c r="K6995">
        <v>1</v>
      </c>
      <c r="L6995">
        <v>1064</v>
      </c>
      <c r="M6995">
        <v>1</v>
      </c>
      <c r="N6995">
        <v>0</v>
      </c>
      <c r="O6995">
        <v>3808</v>
      </c>
    </row>
    <row r="6996" spans="1:15" x14ac:dyDescent="0.25">
      <c r="A6996" t="s">
        <v>7009</v>
      </c>
      <c r="B6996">
        <v>498</v>
      </c>
      <c r="C6996" s="1" t="str">
        <f>HYPERLINK("http://www.rosaceae.org/gb/gbrowse/malus_x_domestica/?name=MDP0000292132","MDP0000292132")</f>
        <v>MDP0000292132</v>
      </c>
      <c r="D6996">
        <v>31.72</v>
      </c>
      <c r="E6996">
        <v>703</v>
      </c>
      <c r="F6996">
        <v>480</v>
      </c>
      <c r="G6996">
        <v>216</v>
      </c>
      <c r="H6996">
        <v>1</v>
      </c>
      <c r="I6996">
        <v>492</v>
      </c>
      <c r="J6996">
        <v>1</v>
      </c>
      <c r="K6996">
        <v>1</v>
      </c>
      <c r="L6996">
        <v>698</v>
      </c>
      <c r="M6996">
        <v>1</v>
      </c>
      <c r="N6996">
        <v>5.3273700000000002E-77</v>
      </c>
      <c r="O6996">
        <v>730</v>
      </c>
    </row>
    <row r="6997" spans="1:15" x14ac:dyDescent="0.25">
      <c r="A6997" t="s">
        <v>7010</v>
      </c>
      <c r="B6997">
        <v>974</v>
      </c>
      <c r="C6997" s="1" t="str">
        <f>HYPERLINK("http://www.rosaceae.org/gb/gbrowse/malus_x_domestica/?name=MDP0000142904","MDP0000142904")</f>
        <v>MDP0000142904</v>
      </c>
      <c r="D6997">
        <v>73.349999999999994</v>
      </c>
      <c r="E6997">
        <v>912</v>
      </c>
      <c r="F6997">
        <v>243</v>
      </c>
      <c r="G6997">
        <v>12</v>
      </c>
      <c r="H6997">
        <v>71</v>
      </c>
      <c r="I6997">
        <v>974</v>
      </c>
      <c r="J6997">
        <v>1</v>
      </c>
      <c r="K6997">
        <v>1</v>
      </c>
      <c r="L6997">
        <v>908</v>
      </c>
      <c r="M6997">
        <v>1</v>
      </c>
      <c r="N6997">
        <v>0</v>
      </c>
      <c r="O6997">
        <v>3358</v>
      </c>
    </row>
    <row r="6998" spans="1:15" x14ac:dyDescent="0.25">
      <c r="A6998" t="s">
        <v>7011</v>
      </c>
      <c r="B6998">
        <v>382</v>
      </c>
      <c r="C6998" s="1" t="str">
        <f>HYPERLINK("http://www.rosaceae.org/gb/gbrowse/malus_x_domestica/?name=MDP0000320796","MDP0000320796")</f>
        <v>MDP0000320796</v>
      </c>
      <c r="D6998">
        <v>62.2</v>
      </c>
      <c r="E6998">
        <v>344</v>
      </c>
      <c r="F6998">
        <v>130</v>
      </c>
      <c r="G6998">
        <v>5</v>
      </c>
      <c r="H6998">
        <v>22</v>
      </c>
      <c r="I6998">
        <v>362</v>
      </c>
      <c r="J6998">
        <v>1</v>
      </c>
      <c r="K6998">
        <v>774</v>
      </c>
      <c r="L6998">
        <v>1115</v>
      </c>
      <c r="M6998">
        <v>1</v>
      </c>
      <c r="N6998">
        <v>7.8035699999999996E-123</v>
      </c>
      <c r="O6998">
        <v>1125</v>
      </c>
    </row>
    <row r="6999" spans="1:15" x14ac:dyDescent="0.25">
      <c r="A6999" t="s">
        <v>7012</v>
      </c>
      <c r="B6999">
        <v>490</v>
      </c>
      <c r="C6999" s="1" t="str">
        <f>HYPERLINK("http://www.rosaceae.org/gb/gbrowse/malus_x_domestica/?name=MDP0000265164","MDP0000265164")</f>
        <v>MDP0000265164</v>
      </c>
      <c r="D6999">
        <v>39.5</v>
      </c>
      <c r="E6999">
        <v>481</v>
      </c>
      <c r="F6999">
        <v>291</v>
      </c>
      <c r="G6999">
        <v>57</v>
      </c>
      <c r="H6999">
        <v>24</v>
      </c>
      <c r="I6999">
        <v>483</v>
      </c>
      <c r="J6999">
        <v>1</v>
      </c>
      <c r="K6999">
        <v>622</v>
      </c>
      <c r="L6999">
        <v>1066</v>
      </c>
      <c r="M6999">
        <v>1</v>
      </c>
      <c r="N6999">
        <v>3.70874E-68</v>
      </c>
      <c r="O6999">
        <v>654</v>
      </c>
    </row>
    <row r="7000" spans="1:15" x14ac:dyDescent="0.25">
      <c r="A7000" t="s">
        <v>7013</v>
      </c>
      <c r="B7000">
        <v>332</v>
      </c>
      <c r="C7000" s="1" t="str">
        <f>HYPERLINK("http://www.rosaceae.org/gb/gbrowse/malus_x_domestica/?name=MDP0000243418","MDP0000243418")</f>
        <v>MDP0000243418</v>
      </c>
      <c r="D7000">
        <v>64.44</v>
      </c>
      <c r="E7000">
        <v>315</v>
      </c>
      <c r="F7000">
        <v>112</v>
      </c>
      <c r="G7000">
        <v>84</v>
      </c>
      <c r="H7000">
        <v>18</v>
      </c>
      <c r="I7000">
        <v>332</v>
      </c>
      <c r="J7000">
        <v>1</v>
      </c>
      <c r="K7000">
        <v>247</v>
      </c>
      <c r="L7000">
        <v>477</v>
      </c>
      <c r="M7000">
        <v>1</v>
      </c>
      <c r="N7000">
        <v>3.9272700000000001E-106</v>
      </c>
      <c r="O7000">
        <v>980</v>
      </c>
    </row>
    <row r="7001" spans="1:15" x14ac:dyDescent="0.25">
      <c r="A7001" t="s">
        <v>7014</v>
      </c>
      <c r="B7001">
        <v>282</v>
      </c>
      <c r="C7001" s="1" t="str">
        <f>HYPERLINK("http://www.rosaceae.org/gb/gbrowse/malus_x_domestica/?name=MDP0000771242","MDP0000771242")</f>
        <v>MDP0000771242</v>
      </c>
      <c r="D7001">
        <v>82.33</v>
      </c>
      <c r="E7001">
        <v>283</v>
      </c>
      <c r="F7001">
        <v>50</v>
      </c>
      <c r="G7001">
        <v>5</v>
      </c>
      <c r="H7001">
        <v>1</v>
      </c>
      <c r="I7001">
        <v>282</v>
      </c>
      <c r="J7001">
        <v>1</v>
      </c>
      <c r="K7001">
        <v>1</v>
      </c>
      <c r="L7001">
        <v>279</v>
      </c>
      <c r="M7001">
        <v>1</v>
      </c>
      <c r="N7001">
        <v>3.09922E-133</v>
      </c>
      <c r="O7001">
        <v>1213</v>
      </c>
    </row>
    <row r="7002" spans="1:15" x14ac:dyDescent="0.25">
      <c r="A7002" t="s">
        <v>7015</v>
      </c>
      <c r="B7002">
        <v>770</v>
      </c>
      <c r="C7002" s="1" t="str">
        <f>HYPERLINK("http://www.rosaceae.org/gb/gbrowse/malus_x_domestica/?name=MDP0000149411","MDP0000149411")</f>
        <v>MDP0000149411</v>
      </c>
      <c r="D7002">
        <v>71.7</v>
      </c>
      <c r="E7002">
        <v>774</v>
      </c>
      <c r="F7002">
        <v>219</v>
      </c>
      <c r="G7002">
        <v>15</v>
      </c>
      <c r="H7002">
        <v>1</v>
      </c>
      <c r="I7002">
        <v>768</v>
      </c>
      <c r="J7002">
        <v>1</v>
      </c>
      <c r="K7002">
        <v>1</v>
      </c>
      <c r="L7002">
        <v>765</v>
      </c>
      <c r="M7002">
        <v>1</v>
      </c>
      <c r="N7002">
        <v>0</v>
      </c>
      <c r="O7002">
        <v>2864</v>
      </c>
    </row>
    <row r="7003" spans="1:15" x14ac:dyDescent="0.25">
      <c r="A7003" t="s">
        <v>7016</v>
      </c>
      <c r="B7003">
        <v>1607</v>
      </c>
      <c r="C7003" s="1" t="str">
        <f>HYPERLINK("http://www.rosaceae.org/gb/gbrowse/malus_x_domestica/?name=MDP0000191614","MDP0000191614")</f>
        <v>MDP0000191614</v>
      </c>
      <c r="D7003">
        <v>80.41</v>
      </c>
      <c r="E7003">
        <v>286</v>
      </c>
      <c r="F7003">
        <v>56</v>
      </c>
      <c r="G7003">
        <v>0</v>
      </c>
      <c r="H7003">
        <v>1322</v>
      </c>
      <c r="I7003">
        <v>1607</v>
      </c>
      <c r="J7003">
        <v>1</v>
      </c>
      <c r="K7003">
        <v>31</v>
      </c>
      <c r="L7003">
        <v>316</v>
      </c>
      <c r="M7003">
        <v>1</v>
      </c>
      <c r="N7003">
        <v>2.3598399999999999E-137</v>
      </c>
      <c r="O7003">
        <v>1256</v>
      </c>
    </row>
    <row r="7004" spans="1:15" x14ac:dyDescent="0.25">
      <c r="A7004" t="s">
        <v>7017</v>
      </c>
      <c r="B7004">
        <v>555</v>
      </c>
      <c r="C7004" s="1" t="str">
        <f>HYPERLINK("http://www.rosaceae.org/gb/gbrowse/malus_x_domestica/?name=MDP0000204794","MDP0000204794")</f>
        <v>MDP0000204794</v>
      </c>
      <c r="D7004">
        <v>25.1</v>
      </c>
      <c r="E7004">
        <v>235</v>
      </c>
      <c r="F7004">
        <v>176</v>
      </c>
      <c r="G7004">
        <v>42</v>
      </c>
      <c r="H7004">
        <v>1</v>
      </c>
      <c r="I7004">
        <v>193</v>
      </c>
      <c r="J7004">
        <v>1</v>
      </c>
      <c r="K7004">
        <v>314</v>
      </c>
      <c r="L7004">
        <v>548</v>
      </c>
      <c r="M7004">
        <v>1</v>
      </c>
      <c r="N7004">
        <v>6.8221899999999999E-19</v>
      </c>
      <c r="O7004">
        <v>230</v>
      </c>
    </row>
    <row r="7005" spans="1:15" x14ac:dyDescent="0.25">
      <c r="A7005" t="s">
        <v>7018</v>
      </c>
      <c r="B7005">
        <v>371</v>
      </c>
      <c r="C7005" s="1" t="str">
        <f>HYPERLINK("http://www.rosaceae.org/gb/gbrowse/malus_x_domestica/?name=MDP0000220752","MDP0000220752")</f>
        <v>MDP0000220752</v>
      </c>
      <c r="D7005">
        <v>31.7</v>
      </c>
      <c r="E7005">
        <v>347</v>
      </c>
      <c r="F7005">
        <v>237</v>
      </c>
      <c r="G7005">
        <v>32</v>
      </c>
      <c r="H7005">
        <v>52</v>
      </c>
      <c r="I7005">
        <v>366</v>
      </c>
      <c r="J7005">
        <v>1</v>
      </c>
      <c r="K7005">
        <v>84</v>
      </c>
      <c r="L7005">
        <v>430</v>
      </c>
      <c r="M7005">
        <v>1</v>
      </c>
      <c r="N7005">
        <v>1.9825900000000001E-47</v>
      </c>
      <c r="O7005">
        <v>474</v>
      </c>
    </row>
    <row r="7006" spans="1:15" x14ac:dyDescent="0.25">
      <c r="A7006" t="s">
        <v>7019</v>
      </c>
      <c r="B7006">
        <v>166</v>
      </c>
      <c r="C7006" s="1" t="str">
        <f>HYPERLINK("http://www.rosaceae.org/gb/gbrowse/malus_x_domestica/?name=MDP0000124256","MDP0000124256")</f>
        <v>MDP0000124256</v>
      </c>
      <c r="D7006">
        <v>40.74</v>
      </c>
      <c r="E7006">
        <v>135</v>
      </c>
      <c r="F7006">
        <v>80</v>
      </c>
      <c r="G7006">
        <v>1</v>
      </c>
      <c r="H7006">
        <v>17</v>
      </c>
      <c r="I7006">
        <v>151</v>
      </c>
      <c r="J7006">
        <v>1</v>
      </c>
      <c r="K7006">
        <v>68</v>
      </c>
      <c r="L7006">
        <v>201</v>
      </c>
      <c r="M7006">
        <v>1</v>
      </c>
      <c r="N7006">
        <v>2.7866400000000001E-23</v>
      </c>
      <c r="O7006">
        <v>261</v>
      </c>
    </row>
    <row r="7007" spans="1:15" x14ac:dyDescent="0.25">
      <c r="A7007" t="s">
        <v>7020</v>
      </c>
      <c r="B7007">
        <v>129</v>
      </c>
      <c r="C7007" s="1" t="str">
        <f>HYPERLINK("http://www.rosaceae.org/gb/gbrowse/malus_x_domestica/?name=MDP0000299794","MDP0000299794")</f>
        <v>MDP0000299794</v>
      </c>
      <c r="D7007">
        <v>84.21</v>
      </c>
      <c r="E7007">
        <v>114</v>
      </c>
      <c r="F7007">
        <v>18</v>
      </c>
      <c r="G7007">
        <v>0</v>
      </c>
      <c r="H7007">
        <v>16</v>
      </c>
      <c r="I7007">
        <v>129</v>
      </c>
      <c r="J7007">
        <v>1</v>
      </c>
      <c r="K7007">
        <v>142</v>
      </c>
      <c r="L7007">
        <v>255</v>
      </c>
      <c r="M7007">
        <v>1</v>
      </c>
      <c r="N7007">
        <v>1.836E-50</v>
      </c>
      <c r="O7007">
        <v>493</v>
      </c>
    </row>
    <row r="7008" spans="1:15" x14ac:dyDescent="0.25">
      <c r="A7008" t="s">
        <v>7021</v>
      </c>
      <c r="B7008">
        <v>148</v>
      </c>
      <c r="C7008" s="1" t="str">
        <f>HYPERLINK("http://www.rosaceae.org/gb/gbrowse/malus_x_domestica/?name=MDP0000324144","MDP0000324144")</f>
        <v>MDP0000324144</v>
      </c>
      <c r="D7008">
        <v>81.650000000000006</v>
      </c>
      <c r="E7008">
        <v>109</v>
      </c>
      <c r="F7008">
        <v>20</v>
      </c>
      <c r="G7008">
        <v>0</v>
      </c>
      <c r="H7008">
        <v>40</v>
      </c>
      <c r="I7008">
        <v>148</v>
      </c>
      <c r="J7008">
        <v>1</v>
      </c>
      <c r="K7008">
        <v>472</v>
      </c>
      <c r="L7008">
        <v>580</v>
      </c>
      <c r="M7008">
        <v>1</v>
      </c>
      <c r="N7008">
        <v>2.04643E-45</v>
      </c>
      <c r="O7008">
        <v>451</v>
      </c>
    </row>
    <row r="7009" spans="1:15" x14ac:dyDescent="0.25">
      <c r="A7009" t="s">
        <v>7022</v>
      </c>
      <c r="B7009">
        <v>116</v>
      </c>
      <c r="C7009" s="1" t="str">
        <f>HYPERLINK("http://www.rosaceae.org/gb/gbrowse/malus_x_domestica/?name=MDP0000729348","MDP0000729348")</f>
        <v>MDP0000729348</v>
      </c>
      <c r="D7009">
        <v>42.6</v>
      </c>
      <c r="E7009">
        <v>115</v>
      </c>
      <c r="F7009">
        <v>66</v>
      </c>
      <c r="G7009">
        <v>16</v>
      </c>
      <c r="H7009">
        <v>1</v>
      </c>
      <c r="I7009">
        <v>114</v>
      </c>
      <c r="J7009">
        <v>1</v>
      </c>
      <c r="K7009">
        <v>1</v>
      </c>
      <c r="L7009">
        <v>100</v>
      </c>
      <c r="M7009">
        <v>1</v>
      </c>
      <c r="N7009">
        <v>7.6813100000000004E-16</v>
      </c>
      <c r="O7009">
        <v>194</v>
      </c>
    </row>
    <row r="7010" spans="1:15" x14ac:dyDescent="0.25">
      <c r="A7010" t="s">
        <v>7023</v>
      </c>
      <c r="B7010">
        <v>268</v>
      </c>
      <c r="C7010" s="1" t="str">
        <f>HYPERLINK("http://www.rosaceae.org/gb/gbrowse/malus_x_domestica/?name=MDP0000206199","MDP0000206199")</f>
        <v>MDP0000206199</v>
      </c>
      <c r="D7010">
        <v>35.630000000000003</v>
      </c>
      <c r="E7010">
        <v>174</v>
      </c>
      <c r="F7010">
        <v>112</v>
      </c>
      <c r="G7010">
        <v>17</v>
      </c>
      <c r="H7010">
        <v>4</v>
      </c>
      <c r="I7010">
        <v>166</v>
      </c>
      <c r="J7010">
        <v>1</v>
      </c>
      <c r="K7010">
        <v>7</v>
      </c>
      <c r="L7010">
        <v>174</v>
      </c>
      <c r="M7010">
        <v>1</v>
      </c>
      <c r="N7010">
        <v>1.2390199999999999E-23</v>
      </c>
      <c r="O7010">
        <v>267</v>
      </c>
    </row>
    <row r="7011" spans="1:15" x14ac:dyDescent="0.25">
      <c r="A7011" t="s">
        <v>7024</v>
      </c>
      <c r="B7011">
        <v>1548</v>
      </c>
      <c r="C7011" s="1" t="str">
        <f>HYPERLINK("http://www.rosaceae.org/gb/gbrowse/malus_x_domestica/?name=MDP0000383809","MDP0000383809")</f>
        <v>MDP0000383809</v>
      </c>
      <c r="D7011">
        <v>80.27</v>
      </c>
      <c r="E7011">
        <v>1222</v>
      </c>
      <c r="F7011">
        <v>241</v>
      </c>
      <c r="G7011">
        <v>27</v>
      </c>
      <c r="H7011">
        <v>14</v>
      </c>
      <c r="I7011">
        <v>1231</v>
      </c>
      <c r="J7011">
        <v>1</v>
      </c>
      <c r="K7011">
        <v>24</v>
      </c>
      <c r="L7011">
        <v>1222</v>
      </c>
      <c r="M7011">
        <v>1</v>
      </c>
      <c r="N7011">
        <v>0</v>
      </c>
      <c r="O7011">
        <v>5201</v>
      </c>
    </row>
    <row r="7012" spans="1:15" x14ac:dyDescent="0.25">
      <c r="A7012" t="s">
        <v>7025</v>
      </c>
      <c r="B7012">
        <v>353</v>
      </c>
      <c r="C7012" s="1" t="str">
        <f>HYPERLINK("http://www.rosaceae.org/gb/gbrowse/malus_x_domestica/?name=MDP0000293745","MDP0000293745")</f>
        <v>MDP0000293745</v>
      </c>
      <c r="D7012">
        <v>57.46</v>
      </c>
      <c r="E7012">
        <v>134</v>
      </c>
      <c r="F7012">
        <v>57</v>
      </c>
      <c r="G7012">
        <v>11</v>
      </c>
      <c r="H7012">
        <v>153</v>
      </c>
      <c r="I7012">
        <v>279</v>
      </c>
      <c r="J7012">
        <v>1</v>
      </c>
      <c r="K7012">
        <v>162</v>
      </c>
      <c r="L7012">
        <v>291</v>
      </c>
      <c r="M7012">
        <v>1</v>
      </c>
      <c r="N7012">
        <v>1.0078799999999999E-36</v>
      </c>
      <c r="O7012">
        <v>382</v>
      </c>
    </row>
    <row r="7013" spans="1:15" x14ac:dyDescent="0.25">
      <c r="A7013" t="s">
        <v>7026</v>
      </c>
      <c r="B7013">
        <v>871</v>
      </c>
      <c r="C7013" s="1" t="str">
        <f>HYPERLINK("http://www.rosaceae.org/gb/gbrowse/malus_x_domestica/?name=MDP0000235902","MDP0000235902")</f>
        <v>MDP0000235902</v>
      </c>
      <c r="D7013">
        <v>30.89</v>
      </c>
      <c r="E7013">
        <v>301</v>
      </c>
      <c r="F7013">
        <v>208</v>
      </c>
      <c r="G7013">
        <v>30</v>
      </c>
      <c r="H7013">
        <v>557</v>
      </c>
      <c r="I7013">
        <v>856</v>
      </c>
      <c r="J7013">
        <v>1</v>
      </c>
      <c r="K7013">
        <v>230</v>
      </c>
      <c r="L7013">
        <v>501</v>
      </c>
      <c r="M7013">
        <v>1</v>
      </c>
      <c r="N7013">
        <v>2.5095599999999999E-25</v>
      </c>
      <c r="O7013">
        <v>287</v>
      </c>
    </row>
    <row r="7014" spans="1:15" x14ac:dyDescent="0.25">
      <c r="A7014" t="s">
        <v>7027</v>
      </c>
      <c r="B7014">
        <v>370</v>
      </c>
      <c r="C7014" s="1" t="str">
        <f>HYPERLINK("http://www.rosaceae.org/gb/gbrowse/malus_x_domestica/?name=MDP0000226600","MDP0000226600")</f>
        <v>MDP0000226600</v>
      </c>
      <c r="D7014">
        <v>57.98</v>
      </c>
      <c r="E7014">
        <v>388</v>
      </c>
      <c r="F7014">
        <v>163</v>
      </c>
      <c r="G7014">
        <v>30</v>
      </c>
      <c r="H7014">
        <v>1</v>
      </c>
      <c r="I7014">
        <v>362</v>
      </c>
      <c r="J7014">
        <v>1</v>
      </c>
      <c r="K7014">
        <v>1</v>
      </c>
      <c r="L7014">
        <v>384</v>
      </c>
      <c r="M7014">
        <v>1</v>
      </c>
      <c r="N7014">
        <v>6.7000500000000004E-122</v>
      </c>
      <c r="O7014">
        <v>1116</v>
      </c>
    </row>
    <row r="7015" spans="1:15" x14ac:dyDescent="0.25">
      <c r="A7015" t="s">
        <v>7028</v>
      </c>
      <c r="B7015">
        <v>300</v>
      </c>
      <c r="C7015" s="1" t="str">
        <f>HYPERLINK("http://www.rosaceae.org/gb/gbrowse/malus_x_domestica/?name=MDP0000230433","MDP0000230433")</f>
        <v>MDP0000230433</v>
      </c>
      <c r="D7015">
        <v>87.32</v>
      </c>
      <c r="E7015">
        <v>292</v>
      </c>
      <c r="F7015">
        <v>37</v>
      </c>
      <c r="G7015">
        <v>7</v>
      </c>
      <c r="H7015">
        <v>13</v>
      </c>
      <c r="I7015">
        <v>297</v>
      </c>
      <c r="J7015">
        <v>1</v>
      </c>
      <c r="K7015">
        <v>14</v>
      </c>
      <c r="L7015">
        <v>305</v>
      </c>
      <c r="M7015">
        <v>1</v>
      </c>
      <c r="N7015">
        <v>1.47217E-150</v>
      </c>
      <c r="O7015">
        <v>1362</v>
      </c>
    </row>
    <row r="7016" spans="1:15" x14ac:dyDescent="0.25">
      <c r="A7016" t="s">
        <v>7029</v>
      </c>
      <c r="B7016">
        <v>468</v>
      </c>
      <c r="C7016" s="1" t="str">
        <f>HYPERLINK("http://www.rosaceae.org/gb/gbrowse/malus_x_domestica/?name=MDP0000147323","MDP0000147323")</f>
        <v>MDP0000147323</v>
      </c>
      <c r="D7016">
        <v>74.900000000000006</v>
      </c>
      <c r="E7016">
        <v>271</v>
      </c>
      <c r="F7016">
        <v>68</v>
      </c>
      <c r="G7016">
        <v>6</v>
      </c>
      <c r="H7016">
        <v>4</v>
      </c>
      <c r="I7016">
        <v>270</v>
      </c>
      <c r="J7016">
        <v>1</v>
      </c>
      <c r="K7016">
        <v>12</v>
      </c>
      <c r="L7016">
        <v>280</v>
      </c>
      <c r="M7016">
        <v>1</v>
      </c>
      <c r="N7016">
        <v>1.21594E-113</v>
      </c>
      <c r="O7016">
        <v>1046</v>
      </c>
    </row>
    <row r="7017" spans="1:15" x14ac:dyDescent="0.25">
      <c r="A7017" t="s">
        <v>7030</v>
      </c>
      <c r="B7017">
        <v>109</v>
      </c>
      <c r="C7017" s="1" t="str">
        <f>HYPERLINK("http://www.rosaceae.org/gb/gbrowse/malus_x_domestica/?name=MDP0000297575","MDP0000297575")</f>
        <v>MDP0000297575</v>
      </c>
      <c r="D7017">
        <v>88.73</v>
      </c>
      <c r="E7017">
        <v>71</v>
      </c>
      <c r="F7017">
        <v>8</v>
      </c>
      <c r="G7017">
        <v>4</v>
      </c>
      <c r="H7017">
        <v>28</v>
      </c>
      <c r="I7017">
        <v>94</v>
      </c>
      <c r="J7017">
        <v>1</v>
      </c>
      <c r="K7017">
        <v>64</v>
      </c>
      <c r="L7017">
        <v>134</v>
      </c>
      <c r="M7017">
        <v>1</v>
      </c>
      <c r="N7017">
        <v>1.1194700000000001E-30</v>
      </c>
      <c r="O7017">
        <v>322</v>
      </c>
    </row>
    <row r="7018" spans="1:15" x14ac:dyDescent="0.25">
      <c r="A7018" t="s">
        <v>7031</v>
      </c>
      <c r="B7018">
        <v>317</v>
      </c>
      <c r="C7018" s="1" t="str">
        <f>HYPERLINK("http://www.rosaceae.org/gb/gbrowse/malus_x_domestica/?name=MDP0000184228","MDP0000184228")</f>
        <v>MDP0000184228</v>
      </c>
      <c r="D7018">
        <v>78.83</v>
      </c>
      <c r="E7018">
        <v>326</v>
      </c>
      <c r="F7018">
        <v>69</v>
      </c>
      <c r="G7018">
        <v>13</v>
      </c>
      <c r="H7018">
        <v>1</v>
      </c>
      <c r="I7018">
        <v>317</v>
      </c>
      <c r="J7018">
        <v>1</v>
      </c>
      <c r="K7018">
        <v>1</v>
      </c>
      <c r="L7018">
        <v>322</v>
      </c>
      <c r="M7018">
        <v>1</v>
      </c>
      <c r="N7018">
        <v>2.8935799999999999E-148</v>
      </c>
      <c r="O7018">
        <v>1343</v>
      </c>
    </row>
    <row r="7019" spans="1:15" x14ac:dyDescent="0.25">
      <c r="A7019" t="s">
        <v>7032</v>
      </c>
      <c r="B7019">
        <v>306</v>
      </c>
      <c r="C7019" s="1" t="str">
        <f>HYPERLINK("http://www.rosaceae.org/gb/gbrowse/malus_x_domestica/?name=MDP0000607841","MDP0000607841")</f>
        <v>MDP0000607841</v>
      </c>
      <c r="D7019">
        <v>85.94</v>
      </c>
      <c r="E7019">
        <v>306</v>
      </c>
      <c r="F7019">
        <v>43</v>
      </c>
      <c r="G7019">
        <v>3</v>
      </c>
      <c r="H7019">
        <v>1</v>
      </c>
      <c r="I7019">
        <v>306</v>
      </c>
      <c r="J7019">
        <v>1</v>
      </c>
      <c r="K7019">
        <v>1</v>
      </c>
      <c r="L7019">
        <v>303</v>
      </c>
      <c r="M7019">
        <v>1</v>
      </c>
      <c r="N7019">
        <v>1.38196E-155</v>
      </c>
      <c r="O7019">
        <v>1406</v>
      </c>
    </row>
    <row r="7020" spans="1:15" x14ac:dyDescent="0.25">
      <c r="A7020" t="s">
        <v>7033</v>
      </c>
      <c r="B7020">
        <v>236</v>
      </c>
      <c r="C7020" s="1" t="str">
        <f>HYPERLINK("http://www.rosaceae.org/gb/gbrowse/malus_x_domestica/?name=MDP0000312146","MDP0000312146")</f>
        <v>MDP0000312146</v>
      </c>
      <c r="D7020">
        <v>30.81</v>
      </c>
      <c r="E7020">
        <v>159</v>
      </c>
      <c r="F7020">
        <v>110</v>
      </c>
      <c r="G7020">
        <v>14</v>
      </c>
      <c r="H7020">
        <v>24</v>
      </c>
      <c r="I7020">
        <v>169</v>
      </c>
      <c r="J7020">
        <v>1</v>
      </c>
      <c r="K7020">
        <v>138</v>
      </c>
      <c r="L7020">
        <v>295</v>
      </c>
      <c r="M7020">
        <v>1</v>
      </c>
      <c r="N7020">
        <v>1.73182E-19</v>
      </c>
      <c r="O7020">
        <v>231</v>
      </c>
    </row>
    <row r="7021" spans="1:15" x14ac:dyDescent="0.25">
      <c r="A7021" t="s">
        <v>7034</v>
      </c>
      <c r="B7021">
        <v>319</v>
      </c>
      <c r="C7021" s="1" t="str">
        <f>HYPERLINK("http://www.rosaceae.org/gb/gbrowse/malus_x_domestica/?name=MDP0000288035","MDP0000288035")</f>
        <v>MDP0000288035</v>
      </c>
      <c r="D7021">
        <v>84.93</v>
      </c>
      <c r="E7021">
        <v>312</v>
      </c>
      <c r="F7021">
        <v>47</v>
      </c>
      <c r="G7021">
        <v>4</v>
      </c>
      <c r="H7021">
        <v>5</v>
      </c>
      <c r="I7021">
        <v>312</v>
      </c>
      <c r="J7021">
        <v>1</v>
      </c>
      <c r="K7021">
        <v>1</v>
      </c>
      <c r="L7021">
        <v>312</v>
      </c>
      <c r="M7021">
        <v>1</v>
      </c>
      <c r="N7021">
        <v>3.6828300000000001E-154</v>
      </c>
      <c r="O7021">
        <v>1394</v>
      </c>
    </row>
    <row r="7022" spans="1:15" x14ac:dyDescent="0.25">
      <c r="A7022" t="s">
        <v>7035</v>
      </c>
      <c r="B7022">
        <v>267</v>
      </c>
      <c r="C7022" s="1" t="str">
        <f>HYPERLINK("http://www.rosaceae.org/gb/gbrowse/malus_x_domestica/?name=MDP0000172631","MDP0000172631")</f>
        <v>MDP0000172631</v>
      </c>
      <c r="D7022">
        <v>37.01</v>
      </c>
      <c r="E7022">
        <v>181</v>
      </c>
      <c r="F7022">
        <v>114</v>
      </c>
      <c r="G7022">
        <v>28</v>
      </c>
      <c r="H7022">
        <v>41</v>
      </c>
      <c r="I7022">
        <v>218</v>
      </c>
      <c r="J7022">
        <v>1</v>
      </c>
      <c r="K7022">
        <v>246</v>
      </c>
      <c r="L7022">
        <v>401</v>
      </c>
      <c r="M7022">
        <v>1</v>
      </c>
      <c r="N7022">
        <v>2.4042299999999999E-18</v>
      </c>
      <c r="O7022">
        <v>222</v>
      </c>
    </row>
    <row r="7023" spans="1:15" x14ac:dyDescent="0.25">
      <c r="A7023" t="s">
        <v>7036</v>
      </c>
      <c r="B7023">
        <v>331</v>
      </c>
      <c r="C7023" s="1" t="str">
        <f>HYPERLINK("http://www.rosaceae.org/gb/gbrowse/malus_x_domestica/?name=MDP0000943789","MDP0000943789")</f>
        <v>MDP0000943789</v>
      </c>
      <c r="D7023">
        <v>83.58</v>
      </c>
      <c r="E7023">
        <v>335</v>
      </c>
      <c r="F7023">
        <v>55</v>
      </c>
      <c r="G7023">
        <v>4</v>
      </c>
      <c r="H7023">
        <v>1</v>
      </c>
      <c r="I7023">
        <v>331</v>
      </c>
      <c r="J7023">
        <v>1</v>
      </c>
      <c r="K7023">
        <v>1</v>
      </c>
      <c r="L7023">
        <v>335</v>
      </c>
      <c r="M7023">
        <v>1</v>
      </c>
      <c r="N7023">
        <v>5.9745199999999998E-169</v>
      </c>
      <c r="O7023">
        <v>1521</v>
      </c>
    </row>
    <row r="7024" spans="1:15" x14ac:dyDescent="0.25">
      <c r="A7024" t="s">
        <v>7037</v>
      </c>
      <c r="B7024">
        <v>469</v>
      </c>
      <c r="C7024" s="1" t="str">
        <f>HYPERLINK("http://www.rosaceae.org/gb/gbrowse/malus_x_domestica/?name=MDP0000252789","MDP0000252789")</f>
        <v>MDP0000252789</v>
      </c>
      <c r="D7024">
        <v>35.299999999999997</v>
      </c>
      <c r="E7024">
        <v>439</v>
      </c>
      <c r="F7024">
        <v>284</v>
      </c>
      <c r="G7024">
        <v>42</v>
      </c>
      <c r="H7024">
        <v>5</v>
      </c>
      <c r="I7024">
        <v>411</v>
      </c>
      <c r="J7024">
        <v>1</v>
      </c>
      <c r="K7024">
        <v>4</v>
      </c>
      <c r="L7024">
        <v>432</v>
      </c>
      <c r="M7024">
        <v>1</v>
      </c>
      <c r="N7024">
        <v>1.46773E-49</v>
      </c>
      <c r="O7024">
        <v>494</v>
      </c>
    </row>
    <row r="7025" spans="1:15" x14ac:dyDescent="0.25">
      <c r="A7025" t="s">
        <v>7038</v>
      </c>
      <c r="B7025">
        <v>265</v>
      </c>
      <c r="C7025" s="1" t="str">
        <f>HYPERLINK("http://www.rosaceae.org/gb/gbrowse/malus_x_domestica/?name=MDP0000750612","MDP0000750612")</f>
        <v>MDP0000750612</v>
      </c>
      <c r="D7025">
        <v>61.34</v>
      </c>
      <c r="E7025">
        <v>194</v>
      </c>
      <c r="F7025">
        <v>75</v>
      </c>
      <c r="G7025">
        <v>51</v>
      </c>
      <c r="H7025">
        <v>107</v>
      </c>
      <c r="I7025">
        <v>265</v>
      </c>
      <c r="J7025">
        <v>1</v>
      </c>
      <c r="K7025">
        <v>22</v>
      </c>
      <c r="L7025">
        <v>199</v>
      </c>
      <c r="M7025">
        <v>1</v>
      </c>
      <c r="N7025">
        <v>1.5212999999999999E-58</v>
      </c>
      <c r="O7025">
        <v>568</v>
      </c>
    </row>
    <row r="7026" spans="1:15" x14ac:dyDescent="0.25">
      <c r="A7026" t="s">
        <v>7039</v>
      </c>
      <c r="B7026">
        <v>2016</v>
      </c>
      <c r="C7026" s="1" t="str">
        <f>HYPERLINK("http://www.rosaceae.org/gb/gbrowse/malus_x_domestica/?name=MDP0000303338","MDP0000303338")</f>
        <v>MDP0000303338</v>
      </c>
      <c r="D7026">
        <v>61.94</v>
      </c>
      <c r="E7026">
        <v>1947</v>
      </c>
      <c r="F7026">
        <v>741</v>
      </c>
      <c r="G7026">
        <v>115</v>
      </c>
      <c r="H7026">
        <v>109</v>
      </c>
      <c r="I7026">
        <v>2002</v>
      </c>
      <c r="J7026">
        <v>1</v>
      </c>
      <c r="K7026">
        <v>1</v>
      </c>
      <c r="L7026">
        <v>1885</v>
      </c>
      <c r="M7026">
        <v>1</v>
      </c>
      <c r="N7026">
        <v>0</v>
      </c>
      <c r="O7026">
        <v>5863</v>
      </c>
    </row>
    <row r="7027" spans="1:15" x14ac:dyDescent="0.25">
      <c r="A7027" t="s">
        <v>7040</v>
      </c>
      <c r="B7027">
        <v>85</v>
      </c>
      <c r="C7027" s="1" t="str">
        <f>HYPERLINK("http://www.rosaceae.org/gb/gbrowse/malus_x_domestica/?name=MDP0000208709","MDP0000208709")</f>
        <v>MDP0000208709</v>
      </c>
      <c r="D7027">
        <v>53.93</v>
      </c>
      <c r="E7027">
        <v>89</v>
      </c>
      <c r="F7027">
        <v>41</v>
      </c>
      <c r="G7027">
        <v>16</v>
      </c>
      <c r="H7027">
        <v>10</v>
      </c>
      <c r="I7027">
        <v>85</v>
      </c>
      <c r="J7027">
        <v>1</v>
      </c>
      <c r="K7027">
        <v>13</v>
      </c>
      <c r="L7027">
        <v>98</v>
      </c>
      <c r="M7027">
        <v>1</v>
      </c>
      <c r="N7027">
        <v>3.31364E-18</v>
      </c>
      <c r="O7027">
        <v>214</v>
      </c>
    </row>
    <row r="7028" spans="1:15" x14ac:dyDescent="0.25">
      <c r="A7028" t="s">
        <v>7041</v>
      </c>
      <c r="B7028">
        <v>196</v>
      </c>
      <c r="C7028" s="1" t="str">
        <f>HYPERLINK("http://www.rosaceae.org/gb/gbrowse/malus_x_domestica/?name=MDP0000815376","MDP0000815376")</f>
        <v>MDP0000815376</v>
      </c>
      <c r="D7028">
        <v>84.68</v>
      </c>
      <c r="E7028">
        <v>111</v>
      </c>
      <c r="F7028">
        <v>17</v>
      </c>
      <c r="G7028">
        <v>0</v>
      </c>
      <c r="H7028">
        <v>85</v>
      </c>
      <c r="I7028">
        <v>195</v>
      </c>
      <c r="J7028">
        <v>1</v>
      </c>
      <c r="K7028">
        <v>100</v>
      </c>
      <c r="L7028">
        <v>210</v>
      </c>
      <c r="M7028">
        <v>1</v>
      </c>
      <c r="N7028">
        <v>2.0045299999999999E-50</v>
      </c>
      <c r="O7028">
        <v>496</v>
      </c>
    </row>
    <row r="7029" spans="1:15" x14ac:dyDescent="0.25">
      <c r="A7029" t="s">
        <v>7042</v>
      </c>
      <c r="B7029">
        <v>317</v>
      </c>
      <c r="C7029" s="1" t="str">
        <f>HYPERLINK("http://www.rosaceae.org/gb/gbrowse/malus_x_domestica/?name=MDP0000762019","MDP0000762019")</f>
        <v>MDP0000762019</v>
      </c>
      <c r="D7029">
        <v>75.099999999999994</v>
      </c>
      <c r="E7029">
        <v>249</v>
      </c>
      <c r="F7029">
        <v>62</v>
      </c>
      <c r="G7029">
        <v>1</v>
      </c>
      <c r="H7029">
        <v>69</v>
      </c>
      <c r="I7029">
        <v>317</v>
      </c>
      <c r="J7029">
        <v>1</v>
      </c>
      <c r="K7029">
        <v>1</v>
      </c>
      <c r="L7029">
        <v>248</v>
      </c>
      <c r="M7029">
        <v>1</v>
      </c>
      <c r="N7029">
        <v>2.6136699999999999E-96</v>
      </c>
      <c r="O7029">
        <v>895</v>
      </c>
    </row>
    <row r="7030" spans="1:15" x14ac:dyDescent="0.25">
      <c r="A7030" t="s">
        <v>7043</v>
      </c>
      <c r="B7030">
        <v>116</v>
      </c>
      <c r="C7030" s="1" t="str">
        <f>HYPERLINK("http://www.rosaceae.org/gb/gbrowse/malus_x_domestica/?name=MDP0000134544","MDP0000134544")</f>
        <v>MDP0000134544</v>
      </c>
      <c r="D7030">
        <v>64.91</v>
      </c>
      <c r="E7030">
        <v>114</v>
      </c>
      <c r="F7030">
        <v>40</v>
      </c>
      <c r="G7030">
        <v>3</v>
      </c>
      <c r="H7030">
        <v>5</v>
      </c>
      <c r="I7030">
        <v>115</v>
      </c>
      <c r="J7030">
        <v>1</v>
      </c>
      <c r="K7030">
        <v>2</v>
      </c>
      <c r="L7030">
        <v>115</v>
      </c>
      <c r="M7030">
        <v>1</v>
      </c>
      <c r="N7030">
        <v>2.2220000000000001E-35</v>
      </c>
      <c r="O7030">
        <v>363</v>
      </c>
    </row>
    <row r="7031" spans="1:15" x14ac:dyDescent="0.25">
      <c r="A7031" t="s">
        <v>7044</v>
      </c>
      <c r="B7031">
        <v>79</v>
      </c>
      <c r="C7031" s="1" t="str">
        <f>HYPERLINK("http://www.rosaceae.org/gb/gbrowse/malus_x_domestica/?name=MDP0000525414","MDP0000525414")</f>
        <v>MDP0000525414</v>
      </c>
      <c r="D7031">
        <v>84</v>
      </c>
      <c r="E7031">
        <v>50</v>
      </c>
      <c r="F7031">
        <v>8</v>
      </c>
      <c r="G7031">
        <v>0</v>
      </c>
      <c r="H7031">
        <v>21</v>
      </c>
      <c r="I7031">
        <v>70</v>
      </c>
      <c r="J7031">
        <v>1</v>
      </c>
      <c r="K7031">
        <v>163</v>
      </c>
      <c r="L7031">
        <v>212</v>
      </c>
      <c r="M7031">
        <v>1</v>
      </c>
      <c r="N7031">
        <v>1.28231E-19</v>
      </c>
      <c r="O7031">
        <v>227</v>
      </c>
    </row>
    <row r="7032" spans="1:15" x14ac:dyDescent="0.25">
      <c r="A7032" t="s">
        <v>7045</v>
      </c>
      <c r="B7032">
        <v>426</v>
      </c>
      <c r="C7032" s="1" t="str">
        <f>HYPERLINK("http://www.rosaceae.org/gb/gbrowse/malus_x_domestica/?name=MDP0000124256","MDP0000124256")</f>
        <v>MDP0000124256</v>
      </c>
      <c r="D7032">
        <v>39.58</v>
      </c>
      <c r="E7032">
        <v>192</v>
      </c>
      <c r="F7032">
        <v>116</v>
      </c>
      <c r="G7032">
        <v>6</v>
      </c>
      <c r="H7032">
        <v>214</v>
      </c>
      <c r="I7032">
        <v>404</v>
      </c>
      <c r="J7032">
        <v>1</v>
      </c>
      <c r="K7032">
        <v>8</v>
      </c>
      <c r="L7032">
        <v>194</v>
      </c>
      <c r="M7032">
        <v>1</v>
      </c>
      <c r="N7032">
        <v>1.4717800000000001E-30</v>
      </c>
      <c r="O7032">
        <v>329</v>
      </c>
    </row>
    <row r="7033" spans="1:15" x14ac:dyDescent="0.25">
      <c r="A7033" t="s">
        <v>7046</v>
      </c>
      <c r="B7033">
        <v>520</v>
      </c>
      <c r="C7033" s="1" t="str">
        <f>HYPERLINK("http://www.rosaceae.org/gb/gbrowse/malus_x_domestica/?name=MDP0000230316","MDP0000230316")</f>
        <v>MDP0000230316</v>
      </c>
      <c r="D7033">
        <v>76.290000000000006</v>
      </c>
      <c r="E7033">
        <v>523</v>
      </c>
      <c r="F7033">
        <v>124</v>
      </c>
      <c r="G7033">
        <v>6</v>
      </c>
      <c r="H7033">
        <v>1</v>
      </c>
      <c r="I7033">
        <v>517</v>
      </c>
      <c r="J7033">
        <v>1</v>
      </c>
      <c r="K7033">
        <v>1</v>
      </c>
      <c r="L7033">
        <v>523</v>
      </c>
      <c r="M7033">
        <v>1</v>
      </c>
      <c r="N7033">
        <v>0</v>
      </c>
      <c r="O7033">
        <v>2023</v>
      </c>
    </row>
    <row r="7034" spans="1:15" x14ac:dyDescent="0.25">
      <c r="A7034" t="s">
        <v>7047</v>
      </c>
      <c r="B7034">
        <v>384</v>
      </c>
      <c r="C7034" s="1" t="str">
        <f>HYPERLINK("http://www.rosaceae.org/gb/gbrowse/malus_x_domestica/?name=MDP0000210323","MDP0000210323")</f>
        <v>MDP0000210323</v>
      </c>
      <c r="D7034">
        <v>66.5</v>
      </c>
      <c r="E7034">
        <v>409</v>
      </c>
      <c r="F7034">
        <v>137</v>
      </c>
      <c r="G7034">
        <v>54</v>
      </c>
      <c r="H7034">
        <v>1</v>
      </c>
      <c r="I7034">
        <v>369</v>
      </c>
      <c r="J7034">
        <v>1</v>
      </c>
      <c r="K7034">
        <v>1</v>
      </c>
      <c r="L7034">
        <v>395</v>
      </c>
      <c r="M7034">
        <v>1</v>
      </c>
      <c r="N7034">
        <v>1.6515599999999999E-151</v>
      </c>
      <c r="O7034">
        <v>1372</v>
      </c>
    </row>
    <row r="7035" spans="1:15" x14ac:dyDescent="0.25">
      <c r="A7035" t="s">
        <v>7048</v>
      </c>
      <c r="B7035">
        <v>133</v>
      </c>
      <c r="C7035" s="1" t="str">
        <f>HYPERLINK("http://www.rosaceae.org/gb/gbrowse/malus_x_domestica/?name=MDP0000265942","MDP0000265942")</f>
        <v>MDP0000265942</v>
      </c>
      <c r="D7035">
        <v>75</v>
      </c>
      <c r="E7035">
        <v>80</v>
      </c>
      <c r="F7035">
        <v>20</v>
      </c>
      <c r="G7035">
        <v>0</v>
      </c>
      <c r="H7035">
        <v>54</v>
      </c>
      <c r="I7035">
        <v>133</v>
      </c>
      <c r="J7035">
        <v>1</v>
      </c>
      <c r="K7035">
        <v>46</v>
      </c>
      <c r="L7035">
        <v>125</v>
      </c>
      <c r="M7035">
        <v>1</v>
      </c>
      <c r="N7035">
        <v>2.63663E-30</v>
      </c>
      <c r="O7035">
        <v>320</v>
      </c>
    </row>
    <row r="7036" spans="1:15" x14ac:dyDescent="0.25">
      <c r="A7036" t="s">
        <v>7049</v>
      </c>
      <c r="B7036">
        <v>301</v>
      </c>
      <c r="C7036" s="1" t="str">
        <f>HYPERLINK("http://www.rosaceae.org/gb/gbrowse/malus_x_domestica/?name=MDP0000138698","MDP0000138698")</f>
        <v>MDP0000138698</v>
      </c>
      <c r="D7036">
        <v>52.21</v>
      </c>
      <c r="E7036">
        <v>293</v>
      </c>
      <c r="F7036">
        <v>140</v>
      </c>
      <c r="G7036">
        <v>5</v>
      </c>
      <c r="H7036">
        <v>3</v>
      </c>
      <c r="I7036">
        <v>292</v>
      </c>
      <c r="J7036">
        <v>1</v>
      </c>
      <c r="K7036">
        <v>98</v>
      </c>
      <c r="L7036">
        <v>388</v>
      </c>
      <c r="M7036">
        <v>1</v>
      </c>
      <c r="N7036">
        <v>2.3101999999999998E-81</v>
      </c>
      <c r="O7036">
        <v>766</v>
      </c>
    </row>
    <row r="7037" spans="1:15" x14ac:dyDescent="0.25">
      <c r="A7037" t="s">
        <v>7050</v>
      </c>
      <c r="B7037">
        <v>765</v>
      </c>
      <c r="C7037" s="1" t="str">
        <f>HYPERLINK("http://www.rosaceae.org/gb/gbrowse/malus_x_domestica/?name=MDP0000950870","MDP0000950870")</f>
        <v>MDP0000950870</v>
      </c>
      <c r="D7037">
        <v>79.36</v>
      </c>
      <c r="E7037">
        <v>761</v>
      </c>
      <c r="F7037">
        <v>157</v>
      </c>
      <c r="G7037">
        <v>7</v>
      </c>
      <c r="H7037">
        <v>8</v>
      </c>
      <c r="I7037">
        <v>765</v>
      </c>
      <c r="J7037">
        <v>1</v>
      </c>
      <c r="K7037">
        <v>6</v>
      </c>
      <c r="L7037">
        <v>762</v>
      </c>
      <c r="M7037">
        <v>1</v>
      </c>
      <c r="N7037">
        <v>0</v>
      </c>
      <c r="O7037">
        <v>3193</v>
      </c>
    </row>
    <row r="7038" spans="1:15" x14ac:dyDescent="0.25">
      <c r="A7038" t="s">
        <v>7051</v>
      </c>
      <c r="B7038">
        <v>354</v>
      </c>
      <c r="C7038" s="1" t="str">
        <f>HYPERLINK("http://www.rosaceae.org/gb/gbrowse/malus_x_domestica/?name=MDP0000225623","MDP0000225623")</f>
        <v>MDP0000225623</v>
      </c>
      <c r="D7038">
        <v>44.19</v>
      </c>
      <c r="E7038">
        <v>267</v>
      </c>
      <c r="F7038">
        <v>149</v>
      </c>
      <c r="G7038">
        <v>7</v>
      </c>
      <c r="H7038">
        <v>75</v>
      </c>
      <c r="I7038">
        <v>335</v>
      </c>
      <c r="J7038">
        <v>1</v>
      </c>
      <c r="K7038">
        <v>351</v>
      </c>
      <c r="L7038">
        <v>616</v>
      </c>
      <c r="M7038">
        <v>1</v>
      </c>
      <c r="N7038">
        <v>2.2817100000000001E-54</v>
      </c>
      <c r="O7038">
        <v>534</v>
      </c>
    </row>
    <row r="7039" spans="1:15" x14ac:dyDescent="0.25">
      <c r="A7039" t="s">
        <v>7052</v>
      </c>
      <c r="B7039">
        <v>368</v>
      </c>
      <c r="C7039" s="1" t="str">
        <f>HYPERLINK("http://www.rosaceae.org/gb/gbrowse/malus_x_domestica/?name=MDP0000308379","MDP0000308379")</f>
        <v>MDP0000308379</v>
      </c>
      <c r="D7039">
        <v>52</v>
      </c>
      <c r="E7039">
        <v>375</v>
      </c>
      <c r="F7039">
        <v>180</v>
      </c>
      <c r="G7039">
        <v>36</v>
      </c>
      <c r="H7039">
        <v>6</v>
      </c>
      <c r="I7039">
        <v>368</v>
      </c>
      <c r="J7039">
        <v>1</v>
      </c>
      <c r="K7039">
        <v>3</v>
      </c>
      <c r="L7039">
        <v>353</v>
      </c>
      <c r="M7039">
        <v>1</v>
      </c>
      <c r="N7039">
        <v>3.6510399999999999E-89</v>
      </c>
      <c r="O7039">
        <v>834</v>
      </c>
    </row>
    <row r="7040" spans="1:15" x14ac:dyDescent="0.25">
      <c r="A7040" t="s">
        <v>7053</v>
      </c>
      <c r="B7040">
        <v>292</v>
      </c>
      <c r="C7040" s="1" t="str">
        <f>HYPERLINK("http://www.rosaceae.org/gb/gbrowse/malus_x_domestica/?name=MDP0000238943","MDP0000238943")</f>
        <v>MDP0000238943</v>
      </c>
      <c r="D7040">
        <v>64.59</v>
      </c>
      <c r="E7040">
        <v>257</v>
      </c>
      <c r="F7040">
        <v>91</v>
      </c>
      <c r="G7040">
        <v>2</v>
      </c>
      <c r="H7040">
        <v>37</v>
      </c>
      <c r="I7040">
        <v>291</v>
      </c>
      <c r="J7040">
        <v>1</v>
      </c>
      <c r="K7040">
        <v>95</v>
      </c>
      <c r="L7040">
        <v>351</v>
      </c>
      <c r="M7040">
        <v>1</v>
      </c>
      <c r="N7040">
        <v>3.6015100000000002E-87</v>
      </c>
      <c r="O7040">
        <v>816</v>
      </c>
    </row>
    <row r="7041" spans="1:15" x14ac:dyDescent="0.25">
      <c r="A7041" t="s">
        <v>7054</v>
      </c>
      <c r="B7041">
        <v>343</v>
      </c>
      <c r="C7041" s="1" t="str">
        <f>HYPERLINK("http://www.rosaceae.org/gb/gbrowse/malus_x_domestica/?name=MDP0000139485","MDP0000139485")</f>
        <v>MDP0000139485</v>
      </c>
      <c r="D7041">
        <v>75.7</v>
      </c>
      <c r="E7041">
        <v>317</v>
      </c>
      <c r="F7041">
        <v>77</v>
      </c>
      <c r="G7041">
        <v>3</v>
      </c>
      <c r="H7041">
        <v>30</v>
      </c>
      <c r="I7041">
        <v>343</v>
      </c>
      <c r="J7041">
        <v>1</v>
      </c>
      <c r="K7041">
        <v>39</v>
      </c>
      <c r="L7041">
        <v>355</v>
      </c>
      <c r="M7041">
        <v>1</v>
      </c>
      <c r="N7041">
        <v>7.7476099999999998E-141</v>
      </c>
      <c r="O7041">
        <v>1279</v>
      </c>
    </row>
    <row r="7042" spans="1:15" x14ac:dyDescent="0.25">
      <c r="A7042" t="s">
        <v>7055</v>
      </c>
      <c r="B7042">
        <v>646</v>
      </c>
      <c r="C7042" s="1" t="str">
        <f>HYPERLINK("http://www.rosaceae.org/gb/gbrowse/malus_x_domestica/?name=MDP0000885802","MDP0000885802")</f>
        <v>MDP0000885802</v>
      </c>
      <c r="D7042">
        <v>85.31</v>
      </c>
      <c r="E7042">
        <v>286</v>
      </c>
      <c r="F7042">
        <v>42</v>
      </c>
      <c r="G7042">
        <v>2</v>
      </c>
      <c r="H7042">
        <v>358</v>
      </c>
      <c r="I7042">
        <v>643</v>
      </c>
      <c r="J7042">
        <v>1</v>
      </c>
      <c r="K7042">
        <v>18</v>
      </c>
      <c r="L7042">
        <v>301</v>
      </c>
      <c r="M7042">
        <v>1</v>
      </c>
      <c r="N7042">
        <v>2.70809E-143</v>
      </c>
      <c r="O7042">
        <v>1303</v>
      </c>
    </row>
    <row r="7043" spans="1:15" x14ac:dyDescent="0.25">
      <c r="A7043" t="s">
        <v>7056</v>
      </c>
      <c r="B7043">
        <v>542</v>
      </c>
      <c r="C7043" s="1" t="str">
        <f>HYPERLINK("http://www.rosaceae.org/gb/gbrowse/malus_x_domestica/?name=MDP0000216682","MDP0000216682")</f>
        <v>MDP0000216682</v>
      </c>
      <c r="D7043">
        <v>68.569999999999993</v>
      </c>
      <c r="E7043">
        <v>471</v>
      </c>
      <c r="F7043">
        <v>148</v>
      </c>
      <c r="G7043">
        <v>45</v>
      </c>
      <c r="H7043">
        <v>72</v>
      </c>
      <c r="I7043">
        <v>542</v>
      </c>
      <c r="J7043">
        <v>1</v>
      </c>
      <c r="K7043">
        <v>10</v>
      </c>
      <c r="L7043">
        <v>435</v>
      </c>
      <c r="M7043">
        <v>1</v>
      </c>
      <c r="N7043">
        <v>6.0026099999999999E-178</v>
      </c>
      <c r="O7043">
        <v>1601</v>
      </c>
    </row>
    <row r="7044" spans="1:15" x14ac:dyDescent="0.25">
      <c r="A7044" t="s">
        <v>7057</v>
      </c>
      <c r="B7044">
        <v>553</v>
      </c>
      <c r="C7044" s="1" t="str">
        <f>HYPERLINK("http://www.rosaceae.org/gb/gbrowse/malus_x_domestica/?name=MDP0000158121","MDP0000158121")</f>
        <v>MDP0000158121</v>
      </c>
      <c r="D7044">
        <v>60.3</v>
      </c>
      <c r="E7044">
        <v>529</v>
      </c>
      <c r="F7044">
        <v>210</v>
      </c>
      <c r="G7044">
        <v>51</v>
      </c>
      <c r="H7044">
        <v>10</v>
      </c>
      <c r="I7044">
        <v>495</v>
      </c>
      <c r="J7044">
        <v>1</v>
      </c>
      <c r="K7044">
        <v>4</v>
      </c>
      <c r="L7044">
        <v>524</v>
      </c>
      <c r="M7044">
        <v>1</v>
      </c>
      <c r="N7044">
        <v>1.68045E-174</v>
      </c>
      <c r="O7044">
        <v>1572</v>
      </c>
    </row>
    <row r="7045" spans="1:15" x14ac:dyDescent="0.25">
      <c r="A7045" t="s">
        <v>7058</v>
      </c>
      <c r="B7045">
        <v>324</v>
      </c>
      <c r="C7045" s="1" t="str">
        <f>HYPERLINK("http://www.rosaceae.org/gb/gbrowse/malus_x_domestica/?name=MDP0000747205","MDP0000747205")</f>
        <v>MDP0000747205</v>
      </c>
      <c r="D7045">
        <v>78.930000000000007</v>
      </c>
      <c r="E7045">
        <v>318</v>
      </c>
      <c r="F7045">
        <v>67</v>
      </c>
      <c r="G7045">
        <v>3</v>
      </c>
      <c r="H7045">
        <v>3</v>
      </c>
      <c r="I7045">
        <v>320</v>
      </c>
      <c r="J7045">
        <v>1</v>
      </c>
      <c r="K7045">
        <v>113</v>
      </c>
      <c r="L7045">
        <v>427</v>
      </c>
      <c r="M7045">
        <v>1</v>
      </c>
      <c r="N7045">
        <v>3.7793600000000002E-144</v>
      </c>
      <c r="O7045">
        <v>1307</v>
      </c>
    </row>
    <row r="7046" spans="1:15" x14ac:dyDescent="0.25">
      <c r="A7046" t="s">
        <v>7059</v>
      </c>
      <c r="B7046">
        <v>382</v>
      </c>
      <c r="C7046" s="1" t="str">
        <f>HYPERLINK("http://www.rosaceae.org/gb/gbrowse/malus_x_domestica/?name=MDP0000272838","MDP0000272838")</f>
        <v>MDP0000272838</v>
      </c>
      <c r="D7046">
        <v>94.16</v>
      </c>
      <c r="E7046">
        <v>120</v>
      </c>
      <c r="F7046">
        <v>7</v>
      </c>
      <c r="G7046">
        <v>2</v>
      </c>
      <c r="H7046">
        <v>169</v>
      </c>
      <c r="I7046">
        <v>286</v>
      </c>
      <c r="J7046">
        <v>1</v>
      </c>
      <c r="K7046">
        <v>1</v>
      </c>
      <c r="L7046">
        <v>120</v>
      </c>
      <c r="M7046">
        <v>1</v>
      </c>
      <c r="N7046">
        <v>4.1790600000000002E-61</v>
      </c>
      <c r="O7046">
        <v>592</v>
      </c>
    </row>
    <row r="7047" spans="1:15" x14ac:dyDescent="0.25">
      <c r="A7047" t="s">
        <v>7060</v>
      </c>
      <c r="B7047">
        <v>263</v>
      </c>
      <c r="C7047" s="1" t="str">
        <f>HYPERLINK("http://www.rosaceae.org/gb/gbrowse/malus_x_domestica/?name=MDP0000915931","MDP0000915931")</f>
        <v>MDP0000915931</v>
      </c>
      <c r="D7047">
        <v>49.46</v>
      </c>
      <c r="E7047">
        <v>281</v>
      </c>
      <c r="F7047">
        <v>142</v>
      </c>
      <c r="G7047">
        <v>19</v>
      </c>
      <c r="H7047">
        <v>1</v>
      </c>
      <c r="I7047">
        <v>263</v>
      </c>
      <c r="J7047">
        <v>1</v>
      </c>
      <c r="K7047">
        <v>60</v>
      </c>
      <c r="L7047">
        <v>339</v>
      </c>
      <c r="M7047">
        <v>1</v>
      </c>
      <c r="N7047">
        <v>1.0217000000000001E-70</v>
      </c>
      <c r="O7047">
        <v>673</v>
      </c>
    </row>
    <row r="7048" spans="1:15" x14ac:dyDescent="0.25">
      <c r="A7048" t="s">
        <v>7061</v>
      </c>
      <c r="B7048">
        <v>834</v>
      </c>
      <c r="C7048" s="1" t="str">
        <f>HYPERLINK("http://www.rosaceae.org/gb/gbrowse/malus_x_domestica/?name=MDP0000194053","MDP0000194053")</f>
        <v>MDP0000194053</v>
      </c>
      <c r="D7048">
        <v>68.98</v>
      </c>
      <c r="E7048">
        <v>461</v>
      </c>
      <c r="F7048">
        <v>143</v>
      </c>
      <c r="G7048">
        <v>20</v>
      </c>
      <c r="H7048">
        <v>1</v>
      </c>
      <c r="I7048">
        <v>442</v>
      </c>
      <c r="J7048">
        <v>1</v>
      </c>
      <c r="K7048">
        <v>1</v>
      </c>
      <c r="L7048">
        <v>460</v>
      </c>
      <c r="M7048">
        <v>1</v>
      </c>
      <c r="N7048">
        <v>1.0168599999999999E-177</v>
      </c>
      <c r="O7048">
        <v>1601</v>
      </c>
    </row>
    <row r="7049" spans="1:15" x14ac:dyDescent="0.25">
      <c r="A7049" t="s">
        <v>7062</v>
      </c>
      <c r="B7049">
        <v>866</v>
      </c>
      <c r="C7049" s="1" t="str">
        <f>HYPERLINK("http://www.rosaceae.org/gb/gbrowse/malus_x_domestica/?name=MDP0000044499","MDP0000044499")</f>
        <v>MDP0000044499</v>
      </c>
      <c r="D7049">
        <v>71.180000000000007</v>
      </c>
      <c r="E7049">
        <v>951</v>
      </c>
      <c r="F7049">
        <v>274</v>
      </c>
      <c r="G7049">
        <v>90</v>
      </c>
      <c r="H7049">
        <v>4</v>
      </c>
      <c r="I7049">
        <v>866</v>
      </c>
      <c r="J7049">
        <v>1</v>
      </c>
      <c r="K7049">
        <v>20</v>
      </c>
      <c r="L7049">
        <v>968</v>
      </c>
      <c r="M7049">
        <v>1</v>
      </c>
      <c r="N7049">
        <v>0</v>
      </c>
      <c r="O7049">
        <v>3434</v>
      </c>
    </row>
    <row r="7050" spans="1:15" x14ac:dyDescent="0.25">
      <c r="A7050" t="s">
        <v>7063</v>
      </c>
      <c r="B7050">
        <v>620</v>
      </c>
      <c r="C7050" s="1" t="str">
        <f>HYPERLINK("http://www.rosaceae.org/gb/gbrowse/malus_x_domestica/?name=MDP0000170968","MDP0000170968")</f>
        <v>MDP0000170968</v>
      </c>
      <c r="D7050">
        <v>64.61</v>
      </c>
      <c r="E7050">
        <v>616</v>
      </c>
      <c r="F7050">
        <v>218</v>
      </c>
      <c r="G7050">
        <v>18</v>
      </c>
      <c r="H7050">
        <v>18</v>
      </c>
      <c r="I7050">
        <v>619</v>
      </c>
      <c r="J7050">
        <v>1</v>
      </c>
      <c r="K7050">
        <v>267</v>
      </c>
      <c r="L7050">
        <v>878</v>
      </c>
      <c r="M7050">
        <v>1</v>
      </c>
      <c r="N7050">
        <v>0</v>
      </c>
      <c r="O7050">
        <v>2051</v>
      </c>
    </row>
    <row r="7051" spans="1:15" x14ac:dyDescent="0.25">
      <c r="A7051" t="s">
        <v>7064</v>
      </c>
      <c r="B7051">
        <v>137</v>
      </c>
      <c r="C7051" s="1" t="str">
        <f>HYPERLINK("http://www.rosaceae.org/gb/gbrowse/malus_x_domestica/?name=MDP0000228733","MDP0000228733")</f>
        <v>MDP0000228733</v>
      </c>
      <c r="D7051">
        <v>78.67</v>
      </c>
      <c r="E7051">
        <v>136</v>
      </c>
      <c r="F7051">
        <v>29</v>
      </c>
      <c r="G7051">
        <v>1</v>
      </c>
      <c r="H7051">
        <v>1</v>
      </c>
      <c r="I7051">
        <v>136</v>
      </c>
      <c r="J7051">
        <v>1</v>
      </c>
      <c r="K7051">
        <v>1</v>
      </c>
      <c r="L7051">
        <v>135</v>
      </c>
      <c r="M7051">
        <v>1</v>
      </c>
      <c r="N7051">
        <v>4.2122500000000003E-59</v>
      </c>
      <c r="O7051">
        <v>568</v>
      </c>
    </row>
    <row r="7052" spans="1:15" x14ac:dyDescent="0.25">
      <c r="A7052" t="s">
        <v>7065</v>
      </c>
      <c r="B7052">
        <v>238</v>
      </c>
      <c r="C7052" s="1" t="str">
        <f>HYPERLINK("http://www.rosaceae.org/gb/gbrowse/malus_x_domestica/?name=MDP0000424190","MDP0000424190")</f>
        <v>MDP0000424190</v>
      </c>
      <c r="D7052">
        <v>85.38</v>
      </c>
      <c r="E7052">
        <v>219</v>
      </c>
      <c r="F7052">
        <v>32</v>
      </c>
      <c r="G7052">
        <v>0</v>
      </c>
      <c r="H7052">
        <v>18</v>
      </c>
      <c r="I7052">
        <v>236</v>
      </c>
      <c r="J7052">
        <v>1</v>
      </c>
      <c r="K7052">
        <v>52</v>
      </c>
      <c r="L7052">
        <v>270</v>
      </c>
      <c r="M7052">
        <v>1</v>
      </c>
      <c r="N7052">
        <v>2.57375E-113</v>
      </c>
      <c r="O7052">
        <v>1040</v>
      </c>
    </row>
    <row r="7053" spans="1:15" x14ac:dyDescent="0.25">
      <c r="A7053" t="s">
        <v>7066</v>
      </c>
      <c r="B7053">
        <v>345</v>
      </c>
      <c r="C7053" s="1" t="str">
        <f>HYPERLINK("http://www.rosaceae.org/gb/gbrowse/malus_x_domestica/?name=MDP0000161558","MDP0000161558")</f>
        <v>MDP0000161558</v>
      </c>
      <c r="D7053">
        <v>79.930000000000007</v>
      </c>
      <c r="E7053">
        <v>329</v>
      </c>
      <c r="F7053">
        <v>66</v>
      </c>
      <c r="G7053">
        <v>8</v>
      </c>
      <c r="H7053">
        <v>23</v>
      </c>
      <c r="I7053">
        <v>343</v>
      </c>
      <c r="J7053">
        <v>1</v>
      </c>
      <c r="K7053">
        <v>1</v>
      </c>
      <c r="L7053">
        <v>329</v>
      </c>
      <c r="M7053">
        <v>1</v>
      </c>
      <c r="N7053">
        <v>4.7163499999999996E-155</v>
      </c>
      <c r="O7053">
        <v>1402</v>
      </c>
    </row>
    <row r="7054" spans="1:15" x14ac:dyDescent="0.25">
      <c r="A7054" t="s">
        <v>7067</v>
      </c>
      <c r="B7054">
        <v>449</v>
      </c>
      <c r="C7054" s="1" t="str">
        <f>HYPERLINK("http://www.rosaceae.org/gb/gbrowse/malus_x_domestica/?name=MDP0000206926","MDP0000206926")</f>
        <v>MDP0000206926</v>
      </c>
      <c r="D7054">
        <v>71.959999999999994</v>
      </c>
      <c r="E7054">
        <v>403</v>
      </c>
      <c r="F7054">
        <v>113</v>
      </c>
      <c r="G7054">
        <v>33</v>
      </c>
      <c r="H7054">
        <v>18</v>
      </c>
      <c r="I7054">
        <v>411</v>
      </c>
      <c r="J7054">
        <v>1</v>
      </c>
      <c r="K7054">
        <v>23</v>
      </c>
      <c r="L7054">
        <v>401</v>
      </c>
      <c r="M7054">
        <v>1</v>
      </c>
      <c r="N7054">
        <v>5.9274899999999996E-161</v>
      </c>
      <c r="O7054">
        <v>1454</v>
      </c>
    </row>
    <row r="7055" spans="1:15" x14ac:dyDescent="0.25">
      <c r="A7055" t="s">
        <v>7068</v>
      </c>
      <c r="B7055">
        <v>394</v>
      </c>
      <c r="C7055" s="1" t="str">
        <f>HYPERLINK("http://www.rosaceae.org/gb/gbrowse/malus_x_domestica/?name=MDP0000479163","MDP0000479163")</f>
        <v>MDP0000479163</v>
      </c>
      <c r="D7055">
        <v>81.400000000000006</v>
      </c>
      <c r="E7055">
        <v>285</v>
      </c>
      <c r="F7055">
        <v>53</v>
      </c>
      <c r="G7055">
        <v>0</v>
      </c>
      <c r="H7055">
        <v>33</v>
      </c>
      <c r="I7055">
        <v>317</v>
      </c>
      <c r="J7055">
        <v>1</v>
      </c>
      <c r="K7055">
        <v>85</v>
      </c>
      <c r="L7055">
        <v>369</v>
      </c>
      <c r="M7055">
        <v>1</v>
      </c>
      <c r="N7055">
        <v>1.38549E-134</v>
      </c>
      <c r="O7055">
        <v>1226</v>
      </c>
    </row>
    <row r="7056" spans="1:15" x14ac:dyDescent="0.25">
      <c r="A7056" t="s">
        <v>7069</v>
      </c>
      <c r="B7056">
        <v>473</v>
      </c>
      <c r="C7056" s="1" t="str">
        <f>HYPERLINK("http://www.rosaceae.org/gb/gbrowse/malus_x_domestica/?name=MDP0000225663","MDP0000225663")</f>
        <v>MDP0000225663</v>
      </c>
      <c r="D7056">
        <v>81.73</v>
      </c>
      <c r="E7056">
        <v>460</v>
      </c>
      <c r="F7056">
        <v>84</v>
      </c>
      <c r="G7056">
        <v>4</v>
      </c>
      <c r="H7056">
        <v>1</v>
      </c>
      <c r="I7056">
        <v>456</v>
      </c>
      <c r="J7056">
        <v>1</v>
      </c>
      <c r="K7056">
        <v>1</v>
      </c>
      <c r="L7056">
        <v>460</v>
      </c>
      <c r="M7056">
        <v>1</v>
      </c>
      <c r="N7056">
        <v>0</v>
      </c>
      <c r="O7056">
        <v>1998</v>
      </c>
    </row>
    <row r="7057" spans="1:15" x14ac:dyDescent="0.25">
      <c r="A7057" t="s">
        <v>7070</v>
      </c>
      <c r="B7057">
        <v>140</v>
      </c>
      <c r="C7057" s="1" t="str">
        <f>HYPERLINK("http://www.rosaceae.org/gb/gbrowse/malus_x_domestica/?name=MDP0000149417","MDP0000149417")</f>
        <v>MDP0000149417</v>
      </c>
      <c r="D7057">
        <v>70.75</v>
      </c>
      <c r="E7057">
        <v>106</v>
      </c>
      <c r="F7057">
        <v>31</v>
      </c>
      <c r="G7057">
        <v>2</v>
      </c>
      <c r="H7057">
        <v>37</v>
      </c>
      <c r="I7057">
        <v>140</v>
      </c>
      <c r="J7057">
        <v>1</v>
      </c>
      <c r="K7057">
        <v>109</v>
      </c>
      <c r="L7057">
        <v>214</v>
      </c>
      <c r="M7057">
        <v>1</v>
      </c>
      <c r="N7057">
        <v>3.0038499999999998E-39</v>
      </c>
      <c r="O7057">
        <v>397</v>
      </c>
    </row>
    <row r="7058" spans="1:15" x14ac:dyDescent="0.25">
      <c r="A7058" t="s">
        <v>7071</v>
      </c>
      <c r="B7058">
        <v>2197</v>
      </c>
      <c r="C7058" s="1" t="str">
        <f>HYPERLINK("http://www.rosaceae.org/gb/gbrowse/malus_x_domestica/?name=MDP0000171736","MDP0000171736")</f>
        <v>MDP0000171736</v>
      </c>
      <c r="D7058">
        <v>57.59</v>
      </c>
      <c r="E7058">
        <v>2198</v>
      </c>
      <c r="F7058">
        <v>932</v>
      </c>
      <c r="G7058">
        <v>189</v>
      </c>
      <c r="H7058">
        <v>1</v>
      </c>
      <c r="I7058">
        <v>2156</v>
      </c>
      <c r="J7058">
        <v>1</v>
      </c>
      <c r="K7058">
        <v>1</v>
      </c>
      <c r="L7058">
        <v>2051</v>
      </c>
      <c r="M7058">
        <v>1</v>
      </c>
      <c r="N7058">
        <v>0</v>
      </c>
      <c r="O7058">
        <v>5652</v>
      </c>
    </row>
    <row r="7059" spans="1:15" x14ac:dyDescent="0.25">
      <c r="A7059" t="s">
        <v>7072</v>
      </c>
      <c r="B7059">
        <v>522</v>
      </c>
      <c r="C7059" s="1" t="str">
        <f>HYPERLINK("http://www.rosaceae.org/gb/gbrowse/malus_x_domestica/?name=MDP0000198739","MDP0000198739")</f>
        <v>MDP0000198739</v>
      </c>
      <c r="D7059">
        <v>65.709999999999994</v>
      </c>
      <c r="E7059">
        <v>175</v>
      </c>
      <c r="F7059">
        <v>60</v>
      </c>
      <c r="G7059">
        <v>28</v>
      </c>
      <c r="H7059">
        <v>343</v>
      </c>
      <c r="I7059">
        <v>489</v>
      </c>
      <c r="J7059">
        <v>1</v>
      </c>
      <c r="K7059">
        <v>20</v>
      </c>
      <c r="L7059">
        <v>194</v>
      </c>
      <c r="M7059">
        <v>1</v>
      </c>
      <c r="N7059">
        <v>5.7905200000000001E-53</v>
      </c>
      <c r="O7059">
        <v>523</v>
      </c>
    </row>
    <row r="7060" spans="1:15" x14ac:dyDescent="0.25">
      <c r="A7060" t="s">
        <v>7073</v>
      </c>
      <c r="B7060">
        <v>1795</v>
      </c>
      <c r="C7060" s="1" t="str">
        <f>HYPERLINK("http://www.rosaceae.org/gb/gbrowse/malus_x_domestica/?name=MDP0000311620","MDP0000311620")</f>
        <v>MDP0000311620</v>
      </c>
      <c r="D7060">
        <v>67.7</v>
      </c>
      <c r="E7060">
        <v>1824</v>
      </c>
      <c r="F7060">
        <v>589</v>
      </c>
      <c r="G7060">
        <v>39</v>
      </c>
      <c r="H7060">
        <v>1</v>
      </c>
      <c r="I7060">
        <v>1795</v>
      </c>
      <c r="J7060">
        <v>1</v>
      </c>
      <c r="K7060">
        <v>1</v>
      </c>
      <c r="L7060">
        <v>1814</v>
      </c>
      <c r="M7060">
        <v>1</v>
      </c>
      <c r="N7060">
        <v>0</v>
      </c>
      <c r="O7060">
        <v>6076</v>
      </c>
    </row>
    <row r="7061" spans="1:15" x14ac:dyDescent="0.25">
      <c r="A7061" t="s">
        <v>7074</v>
      </c>
      <c r="B7061">
        <v>782</v>
      </c>
      <c r="C7061" s="1" t="str">
        <f>HYPERLINK("http://www.rosaceae.org/gb/gbrowse/malus_x_domestica/?name=MDP0000298765","MDP0000298765")</f>
        <v>MDP0000298765</v>
      </c>
      <c r="D7061">
        <v>60.57</v>
      </c>
      <c r="E7061">
        <v>771</v>
      </c>
      <c r="F7061">
        <v>304</v>
      </c>
      <c r="G7061">
        <v>31</v>
      </c>
      <c r="H7061">
        <v>24</v>
      </c>
      <c r="I7061">
        <v>780</v>
      </c>
      <c r="J7061">
        <v>1</v>
      </c>
      <c r="K7061">
        <v>41</v>
      </c>
      <c r="L7061">
        <v>794</v>
      </c>
      <c r="M7061">
        <v>1</v>
      </c>
      <c r="N7061">
        <v>0</v>
      </c>
      <c r="O7061">
        <v>2390</v>
      </c>
    </row>
    <row r="7062" spans="1:15" x14ac:dyDescent="0.25">
      <c r="A7062" t="s">
        <v>7075</v>
      </c>
      <c r="B7062">
        <v>326</v>
      </c>
      <c r="C7062" s="1" t="str">
        <f>HYPERLINK("http://www.rosaceae.org/gb/gbrowse/malus_x_domestica/?name=MDP0000309287","MDP0000309287")</f>
        <v>MDP0000309287</v>
      </c>
      <c r="D7062">
        <v>34.21</v>
      </c>
      <c r="E7062">
        <v>301</v>
      </c>
      <c r="F7062">
        <v>198</v>
      </c>
      <c r="G7062">
        <v>57</v>
      </c>
      <c r="H7062">
        <v>48</v>
      </c>
      <c r="I7062">
        <v>292</v>
      </c>
      <c r="J7062">
        <v>1</v>
      </c>
      <c r="K7062">
        <v>467</v>
      </c>
      <c r="L7062">
        <v>766</v>
      </c>
      <c r="M7062">
        <v>1</v>
      </c>
      <c r="N7062">
        <v>9.2457600000000007E-25</v>
      </c>
      <c r="O7062">
        <v>278</v>
      </c>
    </row>
    <row r="7063" spans="1:15" x14ac:dyDescent="0.25">
      <c r="A7063" t="s">
        <v>7076</v>
      </c>
      <c r="B7063">
        <v>665</v>
      </c>
      <c r="C7063" s="1" t="str">
        <f>HYPERLINK("http://www.rosaceae.org/gb/gbrowse/malus_x_domestica/?name=MDP0000122304","MDP0000122304")</f>
        <v>MDP0000122304</v>
      </c>
      <c r="D7063">
        <v>81.41</v>
      </c>
      <c r="E7063">
        <v>522</v>
      </c>
      <c r="F7063">
        <v>97</v>
      </c>
      <c r="G7063">
        <v>10</v>
      </c>
      <c r="H7063">
        <v>1</v>
      </c>
      <c r="I7063">
        <v>512</v>
      </c>
      <c r="J7063">
        <v>1</v>
      </c>
      <c r="K7063">
        <v>1</v>
      </c>
      <c r="L7063">
        <v>522</v>
      </c>
      <c r="M7063">
        <v>1</v>
      </c>
      <c r="N7063">
        <v>0</v>
      </c>
      <c r="O7063">
        <v>2286</v>
      </c>
    </row>
    <row r="7064" spans="1:15" x14ac:dyDescent="0.25">
      <c r="A7064" t="s">
        <v>7077</v>
      </c>
      <c r="B7064">
        <v>1803</v>
      </c>
      <c r="C7064" s="1" t="str">
        <f>HYPERLINK("http://www.rosaceae.org/gb/gbrowse/malus_x_domestica/?name=MDP0000677637","MDP0000677637")</f>
        <v>MDP0000677637</v>
      </c>
      <c r="D7064">
        <v>57.66</v>
      </c>
      <c r="E7064">
        <v>1774</v>
      </c>
      <c r="F7064">
        <v>751</v>
      </c>
      <c r="G7064">
        <v>89</v>
      </c>
      <c r="H7064">
        <v>83</v>
      </c>
      <c r="I7064">
        <v>1801</v>
      </c>
      <c r="J7064">
        <v>1</v>
      </c>
      <c r="K7064">
        <v>6</v>
      </c>
      <c r="L7064">
        <v>1745</v>
      </c>
      <c r="M7064">
        <v>1</v>
      </c>
      <c r="N7064">
        <v>0</v>
      </c>
      <c r="O7064">
        <v>4981</v>
      </c>
    </row>
    <row r="7065" spans="1:15" x14ac:dyDescent="0.25">
      <c r="A7065" t="s">
        <v>7078</v>
      </c>
      <c r="B7065">
        <v>238</v>
      </c>
      <c r="C7065" s="1" t="str">
        <f>HYPERLINK("http://www.rosaceae.org/gb/gbrowse/malus_x_domestica/?name=MDP0000242297","MDP0000242297")</f>
        <v>MDP0000242297</v>
      </c>
      <c r="D7065">
        <v>38.729999999999997</v>
      </c>
      <c r="E7065">
        <v>111</v>
      </c>
      <c r="F7065">
        <v>68</v>
      </c>
      <c r="G7065">
        <v>8</v>
      </c>
      <c r="H7065">
        <v>117</v>
      </c>
      <c r="I7065">
        <v>225</v>
      </c>
      <c r="J7065">
        <v>1</v>
      </c>
      <c r="K7065">
        <v>205</v>
      </c>
      <c r="L7065">
        <v>309</v>
      </c>
      <c r="M7065">
        <v>1</v>
      </c>
      <c r="N7065">
        <v>4.3036099999999998E-9</v>
      </c>
      <c r="O7065">
        <v>141</v>
      </c>
    </row>
    <row r="7066" spans="1:15" x14ac:dyDescent="0.25">
      <c r="A7066" t="s">
        <v>7079</v>
      </c>
      <c r="B7066">
        <v>253</v>
      </c>
      <c r="C7066" s="1" t="str">
        <f>HYPERLINK("http://www.rosaceae.org/gb/gbrowse/malus_x_domestica/?name=MDP0000205864","MDP0000205864")</f>
        <v>MDP0000205864</v>
      </c>
      <c r="D7066">
        <v>77.680000000000007</v>
      </c>
      <c r="E7066">
        <v>251</v>
      </c>
      <c r="F7066">
        <v>56</v>
      </c>
      <c r="G7066">
        <v>8</v>
      </c>
      <c r="H7066">
        <v>5</v>
      </c>
      <c r="I7066">
        <v>253</v>
      </c>
      <c r="J7066">
        <v>1</v>
      </c>
      <c r="K7066">
        <v>6</v>
      </c>
      <c r="L7066">
        <v>250</v>
      </c>
      <c r="M7066">
        <v>1</v>
      </c>
      <c r="N7066">
        <v>8.6623499999999994E-104</v>
      </c>
      <c r="O7066">
        <v>958</v>
      </c>
    </row>
    <row r="7067" spans="1:15" x14ac:dyDescent="0.25">
      <c r="A7067" t="s">
        <v>7080</v>
      </c>
      <c r="B7067">
        <v>244</v>
      </c>
      <c r="C7067" s="1" t="str">
        <f>HYPERLINK("http://www.rosaceae.org/gb/gbrowse/malus_x_domestica/?name=MDP0000225175","MDP0000225175")</f>
        <v>MDP0000225175</v>
      </c>
      <c r="D7067">
        <v>68</v>
      </c>
      <c r="E7067">
        <v>150</v>
      </c>
      <c r="F7067">
        <v>48</v>
      </c>
      <c r="G7067">
        <v>0</v>
      </c>
      <c r="H7067">
        <v>27</v>
      </c>
      <c r="I7067">
        <v>176</v>
      </c>
      <c r="J7067">
        <v>1</v>
      </c>
      <c r="K7067">
        <v>193</v>
      </c>
      <c r="L7067">
        <v>342</v>
      </c>
      <c r="M7067">
        <v>1</v>
      </c>
      <c r="N7067">
        <v>2.21188E-55</v>
      </c>
      <c r="O7067">
        <v>540</v>
      </c>
    </row>
    <row r="7068" spans="1:15" x14ac:dyDescent="0.25">
      <c r="A7068" t="s">
        <v>7081</v>
      </c>
      <c r="B7068">
        <v>87</v>
      </c>
      <c r="C7068" s="1" t="str">
        <f>HYPERLINK("http://www.rosaceae.org/gb/gbrowse/malus_x_domestica/?name=MDP0000316819","MDP0000316819")</f>
        <v>MDP0000316819</v>
      </c>
      <c r="D7068">
        <v>94.25</v>
      </c>
      <c r="E7068">
        <v>87</v>
      </c>
      <c r="F7068">
        <v>5</v>
      </c>
      <c r="G7068">
        <v>0</v>
      </c>
      <c r="H7068">
        <v>1</v>
      </c>
      <c r="I7068">
        <v>87</v>
      </c>
      <c r="J7068">
        <v>1</v>
      </c>
      <c r="K7068">
        <v>1</v>
      </c>
      <c r="L7068">
        <v>87</v>
      </c>
      <c r="M7068">
        <v>1</v>
      </c>
      <c r="N7068">
        <v>2.7427199999999999E-44</v>
      </c>
      <c r="O7068">
        <v>439</v>
      </c>
    </row>
    <row r="7069" spans="1:15" x14ac:dyDescent="0.25">
      <c r="A7069" t="s">
        <v>7082</v>
      </c>
      <c r="B7069">
        <v>478</v>
      </c>
      <c r="C7069" s="1" t="str">
        <f>HYPERLINK("http://www.rosaceae.org/gb/gbrowse/malus_x_domestica/?name=MDP0000258743","MDP0000258743")</f>
        <v>MDP0000258743</v>
      </c>
      <c r="D7069">
        <v>45.19</v>
      </c>
      <c r="E7069">
        <v>104</v>
      </c>
      <c r="F7069">
        <v>57</v>
      </c>
      <c r="G7069">
        <v>1</v>
      </c>
      <c r="H7069">
        <v>150</v>
      </c>
      <c r="I7069">
        <v>253</v>
      </c>
      <c r="J7069">
        <v>1</v>
      </c>
      <c r="K7069">
        <v>102</v>
      </c>
      <c r="L7069">
        <v>204</v>
      </c>
      <c r="M7069">
        <v>1</v>
      </c>
      <c r="N7069">
        <v>2.7407099999999998E-23</v>
      </c>
      <c r="O7069">
        <v>267</v>
      </c>
    </row>
    <row r="7070" spans="1:15" x14ac:dyDescent="0.25">
      <c r="A7070" t="s">
        <v>7083</v>
      </c>
      <c r="B7070">
        <v>957</v>
      </c>
      <c r="C7070" s="1" t="str">
        <f>HYPERLINK("http://www.rosaceae.org/gb/gbrowse/malus_x_domestica/?name=MDP0000200696","MDP0000200696")</f>
        <v>MDP0000200696</v>
      </c>
      <c r="D7070">
        <v>77.37</v>
      </c>
      <c r="E7070">
        <v>968</v>
      </c>
      <c r="F7070">
        <v>219</v>
      </c>
      <c r="G7070">
        <v>14</v>
      </c>
      <c r="H7070">
        <v>1</v>
      </c>
      <c r="I7070">
        <v>957</v>
      </c>
      <c r="J7070">
        <v>1</v>
      </c>
      <c r="K7070">
        <v>7</v>
      </c>
      <c r="L7070">
        <v>971</v>
      </c>
      <c r="M7070">
        <v>1</v>
      </c>
      <c r="N7070">
        <v>0</v>
      </c>
      <c r="O7070">
        <v>3824</v>
      </c>
    </row>
    <row r="7071" spans="1:15" x14ac:dyDescent="0.25">
      <c r="A7071" t="s">
        <v>7084</v>
      </c>
      <c r="B7071">
        <v>467</v>
      </c>
      <c r="C7071" s="1" t="str">
        <f>HYPERLINK("http://www.rosaceae.org/gb/gbrowse/malus_x_domestica/?name=MDP0000711591","MDP0000711591")</f>
        <v>MDP0000711591</v>
      </c>
      <c r="D7071">
        <v>68.75</v>
      </c>
      <c r="E7071">
        <v>304</v>
      </c>
      <c r="F7071">
        <v>95</v>
      </c>
      <c r="G7071">
        <v>31</v>
      </c>
      <c r="H7071">
        <v>1</v>
      </c>
      <c r="I7071">
        <v>274</v>
      </c>
      <c r="J7071">
        <v>1</v>
      </c>
      <c r="K7071">
        <v>1</v>
      </c>
      <c r="L7071">
        <v>303</v>
      </c>
      <c r="M7071">
        <v>1</v>
      </c>
      <c r="N7071">
        <v>2.54439E-118</v>
      </c>
      <c r="O7071">
        <v>1087</v>
      </c>
    </row>
    <row r="7072" spans="1:15" x14ac:dyDescent="0.25">
      <c r="A7072" t="s">
        <v>7085</v>
      </c>
      <c r="B7072">
        <v>191</v>
      </c>
      <c r="C7072" s="1" t="str">
        <f>HYPERLINK("http://www.rosaceae.org/gb/gbrowse/malus_x_domestica/?name=MDP0000145252","MDP0000145252")</f>
        <v>MDP0000145252</v>
      </c>
      <c r="D7072">
        <v>78.16</v>
      </c>
      <c r="E7072">
        <v>174</v>
      </c>
      <c r="F7072">
        <v>38</v>
      </c>
      <c r="G7072">
        <v>2</v>
      </c>
      <c r="H7072">
        <v>1</v>
      </c>
      <c r="I7072">
        <v>174</v>
      </c>
      <c r="J7072">
        <v>1</v>
      </c>
      <c r="K7072">
        <v>1</v>
      </c>
      <c r="L7072">
        <v>172</v>
      </c>
      <c r="M7072">
        <v>1</v>
      </c>
      <c r="N7072">
        <v>5.2249199999999997E-76</v>
      </c>
      <c r="O7072">
        <v>717</v>
      </c>
    </row>
    <row r="7073" spans="1:15" x14ac:dyDescent="0.25">
      <c r="A7073" t="s">
        <v>7086</v>
      </c>
      <c r="B7073">
        <v>239</v>
      </c>
      <c r="C7073" s="1" t="str">
        <f>HYPERLINK("http://www.rosaceae.org/gb/gbrowse/malus_x_domestica/?name=MDP0000281425","MDP0000281425")</f>
        <v>MDP0000281425</v>
      </c>
      <c r="D7073">
        <v>51.37</v>
      </c>
      <c r="E7073">
        <v>218</v>
      </c>
      <c r="F7073">
        <v>106</v>
      </c>
      <c r="G7073">
        <v>44</v>
      </c>
      <c r="H7073">
        <v>42</v>
      </c>
      <c r="I7073">
        <v>215</v>
      </c>
      <c r="J7073">
        <v>1</v>
      </c>
      <c r="K7073">
        <v>27</v>
      </c>
      <c r="L7073">
        <v>244</v>
      </c>
      <c r="M7073">
        <v>1</v>
      </c>
      <c r="N7073">
        <v>2.6386600000000001E-52</v>
      </c>
      <c r="O7073">
        <v>514</v>
      </c>
    </row>
    <row r="7074" spans="1:15" x14ac:dyDescent="0.25">
      <c r="A7074" t="s">
        <v>7087</v>
      </c>
      <c r="B7074">
        <v>531</v>
      </c>
      <c r="C7074" s="1" t="str">
        <f>HYPERLINK("http://www.rosaceae.org/gb/gbrowse/malus_x_domestica/?name=MDP0000195139","MDP0000195139")</f>
        <v>MDP0000195139</v>
      </c>
      <c r="D7074">
        <v>43.9</v>
      </c>
      <c r="E7074">
        <v>369</v>
      </c>
      <c r="F7074">
        <v>207</v>
      </c>
      <c r="G7074">
        <v>21</v>
      </c>
      <c r="H7074">
        <v>172</v>
      </c>
      <c r="I7074">
        <v>524</v>
      </c>
      <c r="J7074">
        <v>1</v>
      </c>
      <c r="K7074">
        <v>587</v>
      </c>
      <c r="L7074">
        <v>950</v>
      </c>
      <c r="M7074">
        <v>1</v>
      </c>
      <c r="N7074">
        <v>6.7476900000000005E-60</v>
      </c>
      <c r="O7074">
        <v>583</v>
      </c>
    </row>
    <row r="7075" spans="1:15" x14ac:dyDescent="0.25">
      <c r="A7075" t="s">
        <v>7088</v>
      </c>
      <c r="B7075">
        <v>649</v>
      </c>
      <c r="C7075" s="1" t="str">
        <f>HYPERLINK("http://www.rosaceae.org/gb/gbrowse/malus_x_domestica/?name=MDP0000211316","MDP0000211316")</f>
        <v>MDP0000211316</v>
      </c>
      <c r="D7075">
        <v>43.05</v>
      </c>
      <c r="E7075">
        <v>497</v>
      </c>
      <c r="F7075">
        <v>283</v>
      </c>
      <c r="G7075">
        <v>27</v>
      </c>
      <c r="H7075">
        <v>70</v>
      </c>
      <c r="I7075">
        <v>557</v>
      </c>
      <c r="J7075">
        <v>1</v>
      </c>
      <c r="K7075">
        <v>440</v>
      </c>
      <c r="L7075">
        <v>918</v>
      </c>
      <c r="M7075">
        <v>1</v>
      </c>
      <c r="N7075">
        <v>3.6947100000000002E-98</v>
      </c>
      <c r="O7075">
        <v>914</v>
      </c>
    </row>
    <row r="7076" spans="1:15" x14ac:dyDescent="0.25">
      <c r="A7076" t="s">
        <v>7089</v>
      </c>
      <c r="B7076">
        <v>235</v>
      </c>
      <c r="C7076" s="1" t="str">
        <f>HYPERLINK("http://www.rosaceae.org/gb/gbrowse/malus_x_domestica/?name=MDP0000576584","MDP0000576584")</f>
        <v>MDP0000576584</v>
      </c>
      <c r="D7076">
        <v>66.8</v>
      </c>
      <c r="E7076">
        <v>244</v>
      </c>
      <c r="F7076">
        <v>81</v>
      </c>
      <c r="G7076">
        <v>11</v>
      </c>
      <c r="H7076">
        <v>1</v>
      </c>
      <c r="I7076">
        <v>235</v>
      </c>
      <c r="J7076">
        <v>1</v>
      </c>
      <c r="K7076">
        <v>1</v>
      </c>
      <c r="L7076">
        <v>242</v>
      </c>
      <c r="M7076">
        <v>1</v>
      </c>
      <c r="N7076">
        <v>1.1387400000000001E-87</v>
      </c>
      <c r="O7076">
        <v>819</v>
      </c>
    </row>
    <row r="7077" spans="1:15" x14ac:dyDescent="0.25">
      <c r="A7077" t="s">
        <v>7090</v>
      </c>
      <c r="B7077">
        <v>253</v>
      </c>
      <c r="C7077" s="1" t="str">
        <f>HYPERLINK("http://www.rosaceae.org/gb/gbrowse/malus_x_domestica/?name=MDP0000268541","MDP0000268541")</f>
        <v>MDP0000268541</v>
      </c>
      <c r="D7077">
        <v>30.18</v>
      </c>
      <c r="E7077">
        <v>159</v>
      </c>
      <c r="F7077">
        <v>111</v>
      </c>
      <c r="G7077">
        <v>1</v>
      </c>
      <c r="H7077">
        <v>20</v>
      </c>
      <c r="I7077">
        <v>178</v>
      </c>
      <c r="J7077">
        <v>1</v>
      </c>
      <c r="K7077">
        <v>178</v>
      </c>
      <c r="L7077">
        <v>335</v>
      </c>
      <c r="M7077">
        <v>1</v>
      </c>
      <c r="N7077">
        <v>5.5293200000000001E-12</v>
      </c>
      <c r="O7077">
        <v>166</v>
      </c>
    </row>
    <row r="7078" spans="1:15" x14ac:dyDescent="0.25">
      <c r="A7078" t="s">
        <v>7091</v>
      </c>
      <c r="B7078">
        <v>150</v>
      </c>
      <c r="C7078" s="1" t="str">
        <f>HYPERLINK("http://www.rosaceae.org/gb/gbrowse/malus_x_domestica/?name=MDP0000269585","MDP0000269585")</f>
        <v>MDP0000269585</v>
      </c>
      <c r="D7078">
        <v>74.459999999999994</v>
      </c>
      <c r="E7078">
        <v>47</v>
      </c>
      <c r="F7078">
        <v>12</v>
      </c>
      <c r="G7078">
        <v>0</v>
      </c>
      <c r="H7078">
        <v>99</v>
      </c>
      <c r="I7078">
        <v>145</v>
      </c>
      <c r="J7078">
        <v>1</v>
      </c>
      <c r="K7078">
        <v>439</v>
      </c>
      <c r="L7078">
        <v>485</v>
      </c>
      <c r="M7078">
        <v>1</v>
      </c>
      <c r="N7078">
        <v>1.9047399999999999E-15</v>
      </c>
      <c r="O7078">
        <v>193</v>
      </c>
    </row>
    <row r="7079" spans="1:15" x14ac:dyDescent="0.25">
      <c r="A7079" t="s">
        <v>7092</v>
      </c>
      <c r="B7079">
        <v>394</v>
      </c>
      <c r="C7079" s="1" t="str">
        <f>HYPERLINK("http://www.rosaceae.org/gb/gbrowse/malus_x_domestica/?name=MDP0000218737","MDP0000218737")</f>
        <v>MDP0000218737</v>
      </c>
      <c r="D7079">
        <v>82.9</v>
      </c>
      <c r="E7079">
        <v>386</v>
      </c>
      <c r="F7079">
        <v>66</v>
      </c>
      <c r="G7079">
        <v>7</v>
      </c>
      <c r="H7079">
        <v>13</v>
      </c>
      <c r="I7079">
        <v>394</v>
      </c>
      <c r="J7079">
        <v>1</v>
      </c>
      <c r="K7079">
        <v>29</v>
      </c>
      <c r="L7079">
        <v>411</v>
      </c>
      <c r="M7079">
        <v>1</v>
      </c>
      <c r="N7079">
        <v>0</v>
      </c>
      <c r="O7079">
        <v>1666</v>
      </c>
    </row>
    <row r="7080" spans="1:15" x14ac:dyDescent="0.25">
      <c r="A7080" t="s">
        <v>7093</v>
      </c>
      <c r="B7080">
        <v>696</v>
      </c>
      <c r="C7080" s="1" t="str">
        <f>HYPERLINK("http://www.rosaceae.org/gb/gbrowse/malus_x_domestica/?name=MDP0000224393","MDP0000224393")</f>
        <v>MDP0000224393</v>
      </c>
      <c r="D7080">
        <v>61.03</v>
      </c>
      <c r="E7080">
        <v>580</v>
      </c>
      <c r="F7080">
        <v>226</v>
      </c>
      <c r="G7080">
        <v>52</v>
      </c>
      <c r="H7080">
        <v>69</v>
      </c>
      <c r="I7080">
        <v>606</v>
      </c>
      <c r="J7080">
        <v>1</v>
      </c>
      <c r="K7080">
        <v>179</v>
      </c>
      <c r="L7080">
        <v>748</v>
      </c>
      <c r="M7080">
        <v>1</v>
      </c>
      <c r="N7080">
        <v>0</v>
      </c>
      <c r="O7080">
        <v>1656</v>
      </c>
    </row>
    <row r="7081" spans="1:15" x14ac:dyDescent="0.25">
      <c r="A7081" t="s">
        <v>7094</v>
      </c>
      <c r="B7081">
        <v>364</v>
      </c>
      <c r="C7081" s="1" t="str">
        <f>HYPERLINK("http://www.rosaceae.org/gb/gbrowse/malus_x_domestica/?name=MDP0000477220","MDP0000477220")</f>
        <v>MDP0000477220</v>
      </c>
      <c r="D7081">
        <v>50.66</v>
      </c>
      <c r="E7081">
        <v>377</v>
      </c>
      <c r="F7081">
        <v>186</v>
      </c>
      <c r="G7081">
        <v>15</v>
      </c>
      <c r="H7081">
        <v>1</v>
      </c>
      <c r="I7081">
        <v>364</v>
      </c>
      <c r="J7081">
        <v>1</v>
      </c>
      <c r="K7081">
        <v>1</v>
      </c>
      <c r="L7081">
        <v>375</v>
      </c>
      <c r="M7081">
        <v>1</v>
      </c>
      <c r="N7081">
        <v>3.9140500000000001E-84</v>
      </c>
      <c r="O7081">
        <v>791</v>
      </c>
    </row>
    <row r="7082" spans="1:15" x14ac:dyDescent="0.25">
      <c r="A7082" t="s">
        <v>7095</v>
      </c>
      <c r="B7082">
        <v>316</v>
      </c>
      <c r="C7082" s="1" t="str">
        <f>HYPERLINK("http://www.rosaceae.org/gb/gbrowse/malus_x_domestica/?name=MDP0000317700","MDP0000317700")</f>
        <v>MDP0000317700</v>
      </c>
      <c r="D7082">
        <v>28.57</v>
      </c>
      <c r="E7082">
        <v>266</v>
      </c>
      <c r="F7082">
        <v>190</v>
      </c>
      <c r="G7082">
        <v>46</v>
      </c>
      <c r="H7082">
        <v>9</v>
      </c>
      <c r="I7082">
        <v>239</v>
      </c>
      <c r="J7082">
        <v>1</v>
      </c>
      <c r="K7082">
        <v>468</v>
      </c>
      <c r="L7082">
        <v>722</v>
      </c>
      <c r="M7082">
        <v>1</v>
      </c>
      <c r="N7082">
        <v>2.4934699999999999E-12</v>
      </c>
      <c r="O7082">
        <v>171</v>
      </c>
    </row>
    <row r="7083" spans="1:15" x14ac:dyDescent="0.25">
      <c r="A7083" t="s">
        <v>7096</v>
      </c>
      <c r="B7083">
        <v>520</v>
      </c>
      <c r="C7083" s="1" t="str">
        <f>HYPERLINK("http://www.rosaceae.org/gb/gbrowse/malus_x_domestica/?name=MDP0000267350","MDP0000267350")</f>
        <v>MDP0000267350</v>
      </c>
      <c r="D7083">
        <v>90.64</v>
      </c>
      <c r="E7083">
        <v>417</v>
      </c>
      <c r="F7083">
        <v>39</v>
      </c>
      <c r="G7083">
        <v>0</v>
      </c>
      <c r="H7083">
        <v>104</v>
      </c>
      <c r="I7083">
        <v>520</v>
      </c>
      <c r="J7083">
        <v>1</v>
      </c>
      <c r="K7083">
        <v>84</v>
      </c>
      <c r="L7083">
        <v>500</v>
      </c>
      <c r="M7083">
        <v>1</v>
      </c>
      <c r="N7083">
        <v>0</v>
      </c>
      <c r="O7083">
        <v>1996</v>
      </c>
    </row>
    <row r="7084" spans="1:15" x14ac:dyDescent="0.25">
      <c r="A7084" t="s">
        <v>7097</v>
      </c>
      <c r="B7084">
        <v>364</v>
      </c>
      <c r="C7084" s="1" t="str">
        <f>HYPERLINK("http://www.rosaceae.org/gb/gbrowse/malus_x_domestica/?name=MDP0000118801","MDP0000118801")</f>
        <v>MDP0000118801</v>
      </c>
      <c r="D7084">
        <v>73.42</v>
      </c>
      <c r="E7084">
        <v>350</v>
      </c>
      <c r="F7084">
        <v>93</v>
      </c>
      <c r="G7084">
        <v>0</v>
      </c>
      <c r="H7084">
        <v>14</v>
      </c>
      <c r="I7084">
        <v>363</v>
      </c>
      <c r="J7084">
        <v>1</v>
      </c>
      <c r="K7084">
        <v>32</v>
      </c>
      <c r="L7084">
        <v>381</v>
      </c>
      <c r="M7084">
        <v>1</v>
      </c>
      <c r="N7084">
        <v>1.6680299999999999E-148</v>
      </c>
      <c r="O7084">
        <v>1346</v>
      </c>
    </row>
    <row r="7085" spans="1:15" x14ac:dyDescent="0.25">
      <c r="A7085" t="s">
        <v>7098</v>
      </c>
      <c r="B7085">
        <v>121</v>
      </c>
      <c r="C7085" s="1" t="str">
        <f>HYPERLINK("http://www.rosaceae.org/gb/gbrowse/malus_x_domestica/?name=MDP0000162172","MDP0000162172")</f>
        <v>MDP0000162172</v>
      </c>
      <c r="D7085">
        <v>52.94</v>
      </c>
      <c r="E7085">
        <v>119</v>
      </c>
      <c r="F7085">
        <v>56</v>
      </c>
      <c r="G7085">
        <v>16</v>
      </c>
      <c r="H7085">
        <v>1</v>
      </c>
      <c r="I7085">
        <v>119</v>
      </c>
      <c r="J7085">
        <v>1</v>
      </c>
      <c r="K7085">
        <v>1</v>
      </c>
      <c r="L7085">
        <v>103</v>
      </c>
      <c r="M7085">
        <v>1</v>
      </c>
      <c r="N7085">
        <v>1.07813E-26</v>
      </c>
      <c r="O7085">
        <v>288</v>
      </c>
    </row>
    <row r="7086" spans="1:15" x14ac:dyDescent="0.25">
      <c r="A7086" t="s">
        <v>7099</v>
      </c>
      <c r="B7086">
        <v>987</v>
      </c>
      <c r="C7086" s="1" t="str">
        <f>HYPERLINK("http://www.rosaceae.org/gb/gbrowse/malus_x_domestica/?name=MDP0000238548","MDP0000238548")</f>
        <v>MDP0000238548</v>
      </c>
      <c r="D7086">
        <v>56.46</v>
      </c>
      <c r="E7086">
        <v>611</v>
      </c>
      <c r="F7086">
        <v>266</v>
      </c>
      <c r="G7086">
        <v>63</v>
      </c>
      <c r="H7086">
        <v>437</v>
      </c>
      <c r="I7086">
        <v>987</v>
      </c>
      <c r="J7086">
        <v>1</v>
      </c>
      <c r="K7086">
        <v>1</v>
      </c>
      <c r="L7086">
        <v>608</v>
      </c>
      <c r="M7086">
        <v>1</v>
      </c>
      <c r="N7086">
        <v>0</v>
      </c>
      <c r="O7086">
        <v>1738</v>
      </c>
    </row>
    <row r="7087" spans="1:15" x14ac:dyDescent="0.25">
      <c r="A7087" t="s">
        <v>7100</v>
      </c>
      <c r="B7087">
        <v>221</v>
      </c>
      <c r="C7087" s="1" t="str">
        <f>HYPERLINK("http://www.rosaceae.org/gb/gbrowse/malus_x_domestica/?name=MDP0000130210","MDP0000130210")</f>
        <v>MDP0000130210</v>
      </c>
      <c r="D7087">
        <v>64.819999999999993</v>
      </c>
      <c r="E7087">
        <v>145</v>
      </c>
      <c r="F7087">
        <v>51</v>
      </c>
      <c r="G7087">
        <v>6</v>
      </c>
      <c r="H7087">
        <v>28</v>
      </c>
      <c r="I7087">
        <v>166</v>
      </c>
      <c r="J7087">
        <v>1</v>
      </c>
      <c r="K7087">
        <v>35</v>
      </c>
      <c r="L7087">
        <v>179</v>
      </c>
      <c r="M7087">
        <v>1</v>
      </c>
      <c r="N7087">
        <v>2.1054199999999999E-48</v>
      </c>
      <c r="O7087">
        <v>480</v>
      </c>
    </row>
    <row r="7088" spans="1:15" x14ac:dyDescent="0.25">
      <c r="A7088" t="s">
        <v>7101</v>
      </c>
      <c r="B7088">
        <v>1045</v>
      </c>
      <c r="C7088" s="1" t="str">
        <f>HYPERLINK("http://www.rosaceae.org/gb/gbrowse/malus_x_domestica/?name=MDP0000216466","MDP0000216466")</f>
        <v>MDP0000216466</v>
      </c>
      <c r="D7088">
        <v>41.31</v>
      </c>
      <c r="E7088">
        <v>610</v>
      </c>
      <c r="F7088">
        <v>358</v>
      </c>
      <c r="G7088">
        <v>34</v>
      </c>
      <c r="H7088">
        <v>443</v>
      </c>
      <c r="I7088">
        <v>1022</v>
      </c>
      <c r="J7088">
        <v>1</v>
      </c>
      <c r="K7088">
        <v>15</v>
      </c>
      <c r="L7088">
        <v>620</v>
      </c>
      <c r="M7088">
        <v>1</v>
      </c>
      <c r="N7088">
        <v>6.7545599999999995E-137</v>
      </c>
      <c r="O7088">
        <v>1250</v>
      </c>
    </row>
    <row r="7089" spans="1:15" x14ac:dyDescent="0.25">
      <c r="A7089" t="s">
        <v>7102</v>
      </c>
      <c r="B7089">
        <v>739</v>
      </c>
      <c r="C7089" s="1" t="str">
        <f>HYPERLINK("http://www.rosaceae.org/gb/gbrowse/malus_x_domestica/?name=MDP0000265831","MDP0000265831")</f>
        <v>MDP0000265831</v>
      </c>
      <c r="D7089">
        <v>81.05</v>
      </c>
      <c r="E7089">
        <v>739</v>
      </c>
      <c r="F7089">
        <v>140</v>
      </c>
      <c r="G7089">
        <v>34</v>
      </c>
      <c r="H7089">
        <v>1</v>
      </c>
      <c r="I7089">
        <v>739</v>
      </c>
      <c r="J7089">
        <v>1</v>
      </c>
      <c r="K7089">
        <v>127</v>
      </c>
      <c r="L7089">
        <v>831</v>
      </c>
      <c r="M7089">
        <v>1</v>
      </c>
      <c r="N7089">
        <v>0</v>
      </c>
      <c r="O7089">
        <v>3136</v>
      </c>
    </row>
    <row r="7090" spans="1:15" x14ac:dyDescent="0.25">
      <c r="A7090" t="s">
        <v>7103</v>
      </c>
      <c r="B7090">
        <v>745</v>
      </c>
      <c r="C7090" s="1" t="str">
        <f>HYPERLINK("http://www.rosaceae.org/gb/gbrowse/malus_x_domestica/?name=MDP0000149411","MDP0000149411")</f>
        <v>MDP0000149411</v>
      </c>
      <c r="D7090">
        <v>60.19</v>
      </c>
      <c r="E7090">
        <v>731</v>
      </c>
      <c r="F7090">
        <v>291</v>
      </c>
      <c r="G7090">
        <v>22</v>
      </c>
      <c r="H7090">
        <v>28</v>
      </c>
      <c r="I7090">
        <v>745</v>
      </c>
      <c r="J7090">
        <v>1</v>
      </c>
      <c r="K7090">
        <v>43</v>
      </c>
      <c r="L7090">
        <v>764</v>
      </c>
      <c r="M7090">
        <v>1</v>
      </c>
      <c r="N7090">
        <v>0</v>
      </c>
      <c r="O7090">
        <v>2307</v>
      </c>
    </row>
    <row r="7091" spans="1:15" x14ac:dyDescent="0.25">
      <c r="A7091" t="s">
        <v>7104</v>
      </c>
      <c r="B7091">
        <v>373</v>
      </c>
      <c r="C7091" s="1" t="str">
        <f>HYPERLINK("http://www.rosaceae.org/gb/gbrowse/malus_x_domestica/?name=MDP0000257050","MDP0000257050")</f>
        <v>MDP0000257050</v>
      </c>
      <c r="D7091">
        <v>27.62</v>
      </c>
      <c r="E7091">
        <v>257</v>
      </c>
      <c r="F7091">
        <v>186</v>
      </c>
      <c r="G7091">
        <v>59</v>
      </c>
      <c r="H7091">
        <v>39</v>
      </c>
      <c r="I7091">
        <v>254</v>
      </c>
      <c r="J7091">
        <v>1</v>
      </c>
      <c r="K7091">
        <v>1</v>
      </c>
      <c r="L7091">
        <v>239</v>
      </c>
      <c r="M7091">
        <v>1</v>
      </c>
      <c r="N7091">
        <v>1.9359799999999999E-11</v>
      </c>
      <c r="O7091">
        <v>164</v>
      </c>
    </row>
    <row r="7092" spans="1:15" x14ac:dyDescent="0.25">
      <c r="A7092" t="s">
        <v>7105</v>
      </c>
      <c r="B7092">
        <v>202</v>
      </c>
      <c r="C7092" s="1" t="str">
        <f>HYPERLINK("http://www.rosaceae.org/gb/gbrowse/malus_x_domestica/?name=MDP0000252069","MDP0000252069")</f>
        <v>MDP0000252069</v>
      </c>
      <c r="D7092">
        <v>58.82</v>
      </c>
      <c r="E7092">
        <v>204</v>
      </c>
      <c r="F7092">
        <v>84</v>
      </c>
      <c r="G7092">
        <v>4</v>
      </c>
      <c r="H7092">
        <v>1</v>
      </c>
      <c r="I7092">
        <v>202</v>
      </c>
      <c r="J7092">
        <v>1</v>
      </c>
      <c r="K7092">
        <v>1</v>
      </c>
      <c r="L7092">
        <v>202</v>
      </c>
      <c r="M7092">
        <v>1</v>
      </c>
      <c r="N7092">
        <v>1.6796700000000001E-59</v>
      </c>
      <c r="O7092">
        <v>575</v>
      </c>
    </row>
    <row r="7093" spans="1:15" x14ac:dyDescent="0.25">
      <c r="A7093" t="s">
        <v>7106</v>
      </c>
      <c r="B7093">
        <v>557</v>
      </c>
      <c r="C7093" s="1" t="str">
        <f>HYPERLINK("http://www.rosaceae.org/gb/gbrowse/malus_x_domestica/?name=MDP0000899100","MDP0000899100")</f>
        <v>MDP0000899100</v>
      </c>
      <c r="D7093">
        <v>29.6</v>
      </c>
      <c r="E7093">
        <v>179</v>
      </c>
      <c r="F7093">
        <v>126</v>
      </c>
      <c r="G7093">
        <v>8</v>
      </c>
      <c r="H7093">
        <v>348</v>
      </c>
      <c r="I7093">
        <v>518</v>
      </c>
      <c r="J7093">
        <v>1</v>
      </c>
      <c r="K7093">
        <v>63</v>
      </c>
      <c r="L7093">
        <v>241</v>
      </c>
      <c r="M7093">
        <v>1</v>
      </c>
      <c r="N7093">
        <v>3.0017800000000001E-17</v>
      </c>
      <c r="O7093">
        <v>216</v>
      </c>
    </row>
    <row r="7094" spans="1:15" x14ac:dyDescent="0.25">
      <c r="A7094" t="s">
        <v>7107</v>
      </c>
      <c r="B7094">
        <v>351</v>
      </c>
      <c r="C7094" s="1" t="str">
        <f>HYPERLINK("http://www.rosaceae.org/gb/gbrowse/malus_x_domestica/?name=MDP0000322036","MDP0000322036")</f>
        <v>MDP0000322036</v>
      </c>
      <c r="D7094">
        <v>36.159999999999997</v>
      </c>
      <c r="E7094">
        <v>318</v>
      </c>
      <c r="F7094">
        <v>203</v>
      </c>
      <c r="G7094">
        <v>48</v>
      </c>
      <c r="H7094">
        <v>1</v>
      </c>
      <c r="I7094">
        <v>318</v>
      </c>
      <c r="J7094">
        <v>1</v>
      </c>
      <c r="K7094">
        <v>77</v>
      </c>
      <c r="L7094">
        <v>346</v>
      </c>
      <c r="M7094">
        <v>1</v>
      </c>
      <c r="N7094">
        <v>1.23768E-48</v>
      </c>
      <c r="O7094">
        <v>484</v>
      </c>
    </row>
    <row r="7095" spans="1:15" x14ac:dyDescent="0.25">
      <c r="A7095" t="s">
        <v>7108</v>
      </c>
      <c r="B7095">
        <v>210</v>
      </c>
      <c r="C7095" s="1" t="str">
        <f>HYPERLINK("http://www.rosaceae.org/gb/gbrowse/malus_x_domestica/?name=MDP0000696109","MDP0000696109")</f>
        <v>MDP0000696109</v>
      </c>
      <c r="D7095">
        <v>41.36</v>
      </c>
      <c r="E7095">
        <v>278</v>
      </c>
      <c r="F7095">
        <v>163</v>
      </c>
      <c r="G7095">
        <v>73</v>
      </c>
      <c r="H7095">
        <v>1</v>
      </c>
      <c r="I7095">
        <v>209</v>
      </c>
      <c r="J7095">
        <v>1</v>
      </c>
      <c r="K7095">
        <v>124</v>
      </c>
      <c r="L7095">
        <v>397</v>
      </c>
      <c r="M7095">
        <v>1</v>
      </c>
      <c r="N7095">
        <v>3.4116399999999999E-43</v>
      </c>
      <c r="O7095">
        <v>434</v>
      </c>
    </row>
    <row r="7096" spans="1:15" x14ac:dyDescent="0.25">
      <c r="A7096" t="s">
        <v>7109</v>
      </c>
      <c r="B7096">
        <v>1081</v>
      </c>
      <c r="C7096" s="1" t="str">
        <f>HYPERLINK("http://www.rosaceae.org/gb/gbrowse/malus_x_domestica/?name=MDP0000312861","MDP0000312861")</f>
        <v>MDP0000312861</v>
      </c>
      <c r="D7096">
        <v>48.73</v>
      </c>
      <c r="E7096">
        <v>355</v>
      </c>
      <c r="F7096">
        <v>182</v>
      </c>
      <c r="G7096">
        <v>17</v>
      </c>
      <c r="H7096">
        <v>3</v>
      </c>
      <c r="I7096">
        <v>357</v>
      </c>
      <c r="J7096">
        <v>1</v>
      </c>
      <c r="K7096">
        <v>2</v>
      </c>
      <c r="L7096">
        <v>339</v>
      </c>
      <c r="M7096">
        <v>1</v>
      </c>
      <c r="N7096">
        <v>1.25466E-88</v>
      </c>
      <c r="O7096">
        <v>834</v>
      </c>
    </row>
    <row r="7097" spans="1:15" x14ac:dyDescent="0.25">
      <c r="A7097" t="s">
        <v>7110</v>
      </c>
      <c r="B7097">
        <v>441</v>
      </c>
      <c r="C7097" s="1" t="str">
        <f>HYPERLINK("http://www.rosaceae.org/gb/gbrowse/malus_x_domestica/?name=MDP0000126601","MDP0000126601")</f>
        <v>MDP0000126601</v>
      </c>
      <c r="D7097">
        <v>53.57</v>
      </c>
      <c r="E7097">
        <v>56</v>
      </c>
      <c r="F7097">
        <v>26</v>
      </c>
      <c r="G7097">
        <v>7</v>
      </c>
      <c r="H7097">
        <v>377</v>
      </c>
      <c r="I7097">
        <v>430</v>
      </c>
      <c r="J7097">
        <v>1</v>
      </c>
      <c r="K7097">
        <v>116</v>
      </c>
      <c r="L7097">
        <v>166</v>
      </c>
      <c r="M7097">
        <v>1</v>
      </c>
      <c r="N7097">
        <v>2.7860000000000002E-7</v>
      </c>
      <c r="O7097">
        <v>129</v>
      </c>
    </row>
    <row r="7098" spans="1:15" x14ac:dyDescent="0.25">
      <c r="A7098" t="s">
        <v>7111</v>
      </c>
      <c r="B7098">
        <v>224</v>
      </c>
      <c r="C7098" s="1" t="str">
        <f>HYPERLINK("http://www.rosaceae.org/gb/gbrowse/malus_x_domestica/?name=MDP0000139718","MDP0000139718")</f>
        <v>MDP0000139718</v>
      </c>
      <c r="D7098">
        <v>65.83</v>
      </c>
      <c r="E7098">
        <v>161</v>
      </c>
      <c r="F7098">
        <v>55</v>
      </c>
      <c r="G7098">
        <v>6</v>
      </c>
      <c r="H7098">
        <v>42</v>
      </c>
      <c r="I7098">
        <v>197</v>
      </c>
      <c r="J7098">
        <v>1</v>
      </c>
      <c r="K7098">
        <v>8</v>
      </c>
      <c r="L7098">
        <v>167</v>
      </c>
      <c r="M7098">
        <v>1</v>
      </c>
      <c r="N7098">
        <v>1.6580500000000001E-52</v>
      </c>
      <c r="O7098">
        <v>515</v>
      </c>
    </row>
    <row r="7099" spans="1:15" x14ac:dyDescent="0.25">
      <c r="A7099" t="s">
        <v>7112</v>
      </c>
      <c r="B7099">
        <v>169</v>
      </c>
      <c r="C7099" s="1" t="str">
        <f>HYPERLINK("http://www.rosaceae.org/gb/gbrowse/malus_x_domestica/?name=MDP0000319194","MDP0000319194")</f>
        <v>MDP0000319194</v>
      </c>
      <c r="D7099">
        <v>32.590000000000003</v>
      </c>
      <c r="E7099">
        <v>135</v>
      </c>
      <c r="F7099">
        <v>91</v>
      </c>
      <c r="G7099">
        <v>2</v>
      </c>
      <c r="H7099">
        <v>12</v>
      </c>
      <c r="I7099">
        <v>146</v>
      </c>
      <c r="J7099">
        <v>1</v>
      </c>
      <c r="K7099">
        <v>367</v>
      </c>
      <c r="L7099">
        <v>499</v>
      </c>
      <c r="M7099">
        <v>1</v>
      </c>
      <c r="N7099">
        <v>1.3632099999999999E-15</v>
      </c>
      <c r="O7099">
        <v>195</v>
      </c>
    </row>
    <row r="7100" spans="1:15" x14ac:dyDescent="0.25">
      <c r="A7100" t="s">
        <v>7113</v>
      </c>
      <c r="B7100">
        <v>591</v>
      </c>
      <c r="C7100" s="1" t="str">
        <f>HYPERLINK("http://www.rosaceae.org/gb/gbrowse/malus_x_domestica/?name=MDP0000697213","MDP0000697213")</f>
        <v>MDP0000697213</v>
      </c>
      <c r="D7100">
        <v>65.06</v>
      </c>
      <c r="E7100">
        <v>584</v>
      </c>
      <c r="F7100">
        <v>204</v>
      </c>
      <c r="G7100">
        <v>32</v>
      </c>
      <c r="H7100">
        <v>1</v>
      </c>
      <c r="I7100">
        <v>555</v>
      </c>
      <c r="J7100">
        <v>1</v>
      </c>
      <c r="K7100">
        <v>1</v>
      </c>
      <c r="L7100">
        <v>581</v>
      </c>
      <c r="M7100">
        <v>1</v>
      </c>
      <c r="N7100">
        <v>0</v>
      </c>
      <c r="O7100">
        <v>1940</v>
      </c>
    </row>
    <row r="7101" spans="1:15" x14ac:dyDescent="0.25">
      <c r="A7101" t="s">
        <v>7114</v>
      </c>
      <c r="B7101">
        <v>363</v>
      </c>
      <c r="C7101" s="1" t="str">
        <f>HYPERLINK("http://www.rosaceae.org/gb/gbrowse/malus_x_domestica/?name=MDP0000130413","MDP0000130413")</f>
        <v>MDP0000130413</v>
      </c>
      <c r="D7101">
        <v>64.75</v>
      </c>
      <c r="E7101">
        <v>366</v>
      </c>
      <c r="F7101">
        <v>129</v>
      </c>
      <c r="G7101">
        <v>8</v>
      </c>
      <c r="H7101">
        <v>1</v>
      </c>
      <c r="I7101">
        <v>363</v>
      </c>
      <c r="J7101">
        <v>1</v>
      </c>
      <c r="K7101">
        <v>135</v>
      </c>
      <c r="L7101">
        <v>495</v>
      </c>
      <c r="M7101">
        <v>1</v>
      </c>
      <c r="N7101">
        <v>1.6173300000000001E-126</v>
      </c>
      <c r="O7101">
        <v>1156</v>
      </c>
    </row>
    <row r="7102" spans="1:15" x14ac:dyDescent="0.25">
      <c r="A7102" t="s">
        <v>7115</v>
      </c>
      <c r="B7102">
        <v>261</v>
      </c>
      <c r="C7102" s="1" t="str">
        <f>HYPERLINK("http://www.rosaceae.org/gb/gbrowse/malus_x_domestica/?name=MDP0000408508","MDP0000408508")</f>
        <v>MDP0000408508</v>
      </c>
      <c r="D7102">
        <v>60.44</v>
      </c>
      <c r="E7102">
        <v>268</v>
      </c>
      <c r="F7102">
        <v>106</v>
      </c>
      <c r="G7102">
        <v>21</v>
      </c>
      <c r="H7102">
        <v>14</v>
      </c>
      <c r="I7102">
        <v>260</v>
      </c>
      <c r="J7102">
        <v>1</v>
      </c>
      <c r="K7102">
        <v>1</v>
      </c>
      <c r="L7102">
        <v>268</v>
      </c>
      <c r="M7102">
        <v>1</v>
      </c>
      <c r="N7102">
        <v>3.84875E-86</v>
      </c>
      <c r="O7102">
        <v>806</v>
      </c>
    </row>
    <row r="7103" spans="1:15" x14ac:dyDescent="0.25">
      <c r="A7103" t="s">
        <v>7116</v>
      </c>
      <c r="B7103">
        <v>196</v>
      </c>
      <c r="C7103" s="1" t="str">
        <f>HYPERLINK("http://www.rosaceae.org/gb/gbrowse/malus_x_domestica/?name=MDP0000147323","MDP0000147323")</f>
        <v>MDP0000147323</v>
      </c>
      <c r="D7103">
        <v>77.89</v>
      </c>
      <c r="E7103">
        <v>190</v>
      </c>
      <c r="F7103">
        <v>42</v>
      </c>
      <c r="G7103">
        <v>0</v>
      </c>
      <c r="H7103">
        <v>7</v>
      </c>
      <c r="I7103">
        <v>196</v>
      </c>
      <c r="J7103">
        <v>1</v>
      </c>
      <c r="K7103">
        <v>16</v>
      </c>
      <c r="L7103">
        <v>205</v>
      </c>
      <c r="M7103">
        <v>1</v>
      </c>
      <c r="N7103">
        <v>2.72777E-81</v>
      </c>
      <c r="O7103">
        <v>762</v>
      </c>
    </row>
    <row r="7104" spans="1:15" x14ac:dyDescent="0.25">
      <c r="A7104" t="s">
        <v>7117</v>
      </c>
      <c r="B7104">
        <v>192</v>
      </c>
      <c r="C7104" s="1" t="str">
        <f>HYPERLINK("http://www.rosaceae.org/gb/gbrowse/malus_x_domestica/?name=MDP0000278575","MDP0000278575")</f>
        <v>MDP0000278575</v>
      </c>
      <c r="D7104">
        <v>42.33</v>
      </c>
      <c r="E7104">
        <v>163</v>
      </c>
      <c r="F7104">
        <v>94</v>
      </c>
      <c r="G7104">
        <v>5</v>
      </c>
      <c r="H7104">
        <v>1</v>
      </c>
      <c r="I7104">
        <v>163</v>
      </c>
      <c r="J7104">
        <v>1</v>
      </c>
      <c r="K7104">
        <v>752</v>
      </c>
      <c r="L7104">
        <v>909</v>
      </c>
      <c r="M7104">
        <v>1</v>
      </c>
      <c r="N7104">
        <v>9.9436899999999994E-23</v>
      </c>
      <c r="O7104">
        <v>257</v>
      </c>
    </row>
    <row r="7105" spans="1:15" x14ac:dyDescent="0.25">
      <c r="A7105" t="s">
        <v>7118</v>
      </c>
      <c r="B7105">
        <v>121</v>
      </c>
      <c r="C7105" s="1" t="str">
        <f>HYPERLINK("http://www.rosaceae.org/gb/gbrowse/malus_x_domestica/?name=MDP0000543784","MDP0000543784")</f>
        <v>MDP0000543784</v>
      </c>
      <c r="D7105">
        <v>40.56</v>
      </c>
      <c r="E7105">
        <v>106</v>
      </c>
      <c r="F7105">
        <v>63</v>
      </c>
      <c r="G7105">
        <v>14</v>
      </c>
      <c r="H7105">
        <v>1</v>
      </c>
      <c r="I7105">
        <v>106</v>
      </c>
      <c r="J7105">
        <v>1</v>
      </c>
      <c r="K7105">
        <v>34</v>
      </c>
      <c r="L7105">
        <v>125</v>
      </c>
      <c r="M7105">
        <v>1</v>
      </c>
      <c r="N7105">
        <v>1.7573499999999999E-10</v>
      </c>
      <c r="O7105">
        <v>148</v>
      </c>
    </row>
    <row r="7106" spans="1:15" x14ac:dyDescent="0.25">
      <c r="A7106" t="s">
        <v>7119</v>
      </c>
      <c r="B7106">
        <v>849</v>
      </c>
      <c r="C7106" s="1" t="str">
        <f>HYPERLINK("http://www.rosaceae.org/gb/gbrowse/malus_x_domestica/?name=MDP0000873928","MDP0000873928")</f>
        <v>MDP0000873928</v>
      </c>
      <c r="D7106">
        <v>66.23</v>
      </c>
      <c r="E7106">
        <v>77</v>
      </c>
      <c r="F7106">
        <v>26</v>
      </c>
      <c r="G7106">
        <v>1</v>
      </c>
      <c r="H7106">
        <v>485</v>
      </c>
      <c r="I7106">
        <v>561</v>
      </c>
      <c r="J7106">
        <v>1</v>
      </c>
      <c r="K7106">
        <v>48</v>
      </c>
      <c r="L7106">
        <v>123</v>
      </c>
      <c r="M7106">
        <v>1</v>
      </c>
      <c r="N7106">
        <v>6.7516800000000001E-21</v>
      </c>
      <c r="O7106">
        <v>249</v>
      </c>
    </row>
    <row r="7107" spans="1:15" x14ac:dyDescent="0.25">
      <c r="A7107" t="s">
        <v>7120</v>
      </c>
      <c r="B7107">
        <v>482</v>
      </c>
      <c r="C7107" s="1" t="str">
        <f>HYPERLINK("http://www.rosaceae.org/gb/gbrowse/malus_x_domestica/?name=MDP0000303553","MDP0000303553")</f>
        <v>MDP0000303553</v>
      </c>
      <c r="D7107">
        <v>80.39</v>
      </c>
      <c r="E7107">
        <v>204</v>
      </c>
      <c r="F7107">
        <v>40</v>
      </c>
      <c r="G7107">
        <v>0</v>
      </c>
      <c r="H7107">
        <v>1</v>
      </c>
      <c r="I7107">
        <v>204</v>
      </c>
      <c r="J7107">
        <v>1</v>
      </c>
      <c r="K7107">
        <v>1</v>
      </c>
      <c r="L7107">
        <v>204</v>
      </c>
      <c r="M7107">
        <v>1</v>
      </c>
      <c r="N7107">
        <v>4.40304E-94</v>
      </c>
      <c r="O7107">
        <v>878</v>
      </c>
    </row>
    <row r="7108" spans="1:15" x14ac:dyDescent="0.25">
      <c r="A7108" t="s">
        <v>7121</v>
      </c>
      <c r="B7108">
        <v>669</v>
      </c>
      <c r="C7108" s="1" t="str">
        <f>HYPERLINK("http://www.rosaceae.org/gb/gbrowse/malus_x_domestica/?name=MDP0000215780","MDP0000215780")</f>
        <v>MDP0000215780</v>
      </c>
      <c r="D7108">
        <v>69.680000000000007</v>
      </c>
      <c r="E7108">
        <v>729</v>
      </c>
      <c r="F7108">
        <v>221</v>
      </c>
      <c r="G7108">
        <v>136</v>
      </c>
      <c r="H7108">
        <v>1</v>
      </c>
      <c r="I7108">
        <v>653</v>
      </c>
      <c r="J7108">
        <v>1</v>
      </c>
      <c r="K7108">
        <v>1</v>
      </c>
      <c r="L7108">
        <v>669</v>
      </c>
      <c r="M7108">
        <v>1</v>
      </c>
      <c r="N7108">
        <v>0</v>
      </c>
      <c r="O7108">
        <v>2516</v>
      </c>
    </row>
    <row r="7109" spans="1:15" x14ac:dyDescent="0.25">
      <c r="A7109" t="s">
        <v>7122</v>
      </c>
      <c r="B7109">
        <v>382</v>
      </c>
      <c r="C7109" s="1" t="str">
        <f>HYPERLINK("http://www.rosaceae.org/gb/gbrowse/malus_x_domestica/?name=MDP0000203108","MDP0000203108")</f>
        <v>MDP0000203108</v>
      </c>
      <c r="D7109">
        <v>37.32</v>
      </c>
      <c r="E7109">
        <v>418</v>
      </c>
      <c r="F7109">
        <v>262</v>
      </c>
      <c r="G7109">
        <v>79</v>
      </c>
      <c r="H7109">
        <v>3</v>
      </c>
      <c r="I7109">
        <v>367</v>
      </c>
      <c r="J7109">
        <v>1</v>
      </c>
      <c r="K7109">
        <v>7</v>
      </c>
      <c r="L7109">
        <v>398</v>
      </c>
      <c r="M7109">
        <v>1</v>
      </c>
      <c r="N7109">
        <v>6.0415500000000001E-56</v>
      </c>
      <c r="O7109">
        <v>548</v>
      </c>
    </row>
    <row r="7110" spans="1:15" x14ac:dyDescent="0.25">
      <c r="A7110" t="s">
        <v>7123</v>
      </c>
      <c r="B7110">
        <v>1156</v>
      </c>
      <c r="C7110" s="1" t="str">
        <f>HYPERLINK("http://www.rosaceae.org/gb/gbrowse/malus_x_domestica/?name=MDP0000209145","MDP0000209145")</f>
        <v>MDP0000209145</v>
      </c>
      <c r="D7110">
        <v>91.66</v>
      </c>
      <c r="E7110">
        <v>804</v>
      </c>
      <c r="F7110">
        <v>67</v>
      </c>
      <c r="G7110">
        <v>0</v>
      </c>
      <c r="H7110">
        <v>1</v>
      </c>
      <c r="I7110">
        <v>804</v>
      </c>
      <c r="J7110">
        <v>1</v>
      </c>
      <c r="K7110">
        <v>1</v>
      </c>
      <c r="L7110">
        <v>804</v>
      </c>
      <c r="M7110">
        <v>1</v>
      </c>
      <c r="N7110">
        <v>0</v>
      </c>
      <c r="O7110">
        <v>3957</v>
      </c>
    </row>
    <row r="7111" spans="1:15" x14ac:dyDescent="0.25">
      <c r="A7111" t="s">
        <v>7124</v>
      </c>
      <c r="B7111">
        <v>254</v>
      </c>
      <c r="C7111" s="1" t="str">
        <f>HYPERLINK("http://www.rosaceae.org/gb/gbrowse/malus_x_domestica/?name=MDP0000884408","MDP0000884408")</f>
        <v>MDP0000884408</v>
      </c>
      <c r="D7111">
        <v>69.900000000000006</v>
      </c>
      <c r="E7111">
        <v>103</v>
      </c>
      <c r="F7111">
        <v>31</v>
      </c>
      <c r="G7111">
        <v>5</v>
      </c>
      <c r="H7111">
        <v>73</v>
      </c>
      <c r="I7111">
        <v>175</v>
      </c>
      <c r="J7111">
        <v>1</v>
      </c>
      <c r="K7111">
        <v>301</v>
      </c>
      <c r="L7111">
        <v>398</v>
      </c>
      <c r="M7111">
        <v>1</v>
      </c>
      <c r="N7111">
        <v>2.0477800000000001E-36</v>
      </c>
      <c r="O7111">
        <v>377</v>
      </c>
    </row>
    <row r="7112" spans="1:15" x14ac:dyDescent="0.25">
      <c r="A7112" t="s">
        <v>7125</v>
      </c>
      <c r="B7112">
        <v>168</v>
      </c>
      <c r="C7112" s="1" t="str">
        <f>HYPERLINK("http://www.rosaceae.org/gb/gbrowse/malus_x_domestica/?name=MDP0000232608","MDP0000232608")</f>
        <v>MDP0000232608</v>
      </c>
      <c r="D7112">
        <v>74.150000000000006</v>
      </c>
      <c r="E7112">
        <v>178</v>
      </c>
      <c r="F7112">
        <v>46</v>
      </c>
      <c r="G7112">
        <v>10</v>
      </c>
      <c r="H7112">
        <v>1</v>
      </c>
      <c r="I7112">
        <v>168</v>
      </c>
      <c r="J7112">
        <v>1</v>
      </c>
      <c r="K7112">
        <v>123</v>
      </c>
      <c r="L7112">
        <v>300</v>
      </c>
      <c r="M7112">
        <v>1</v>
      </c>
      <c r="N7112">
        <v>1.6585799999999999E-68</v>
      </c>
      <c r="O7112">
        <v>651</v>
      </c>
    </row>
    <row r="7113" spans="1:15" x14ac:dyDescent="0.25">
      <c r="A7113" t="s">
        <v>7126</v>
      </c>
      <c r="B7113">
        <v>1230</v>
      </c>
      <c r="C7113" s="1" t="str">
        <f>HYPERLINK("http://www.rosaceae.org/gb/gbrowse/malus_x_domestica/?name=MDP0000172773","MDP0000172773")</f>
        <v>MDP0000172773</v>
      </c>
      <c r="D7113">
        <v>48.35</v>
      </c>
      <c r="E7113">
        <v>91</v>
      </c>
      <c r="F7113">
        <v>47</v>
      </c>
      <c r="G7113">
        <v>6</v>
      </c>
      <c r="H7113">
        <v>32</v>
      </c>
      <c r="I7113">
        <v>116</v>
      </c>
      <c r="J7113">
        <v>1</v>
      </c>
      <c r="K7113">
        <v>30</v>
      </c>
      <c r="L7113">
        <v>120</v>
      </c>
      <c r="M7113">
        <v>1</v>
      </c>
      <c r="N7113">
        <v>1.2670100000000001E-14</v>
      </c>
      <c r="O7113">
        <v>196</v>
      </c>
    </row>
    <row r="7114" spans="1:15" x14ac:dyDescent="0.25">
      <c r="A7114" t="s">
        <v>7127</v>
      </c>
      <c r="B7114">
        <v>659</v>
      </c>
      <c r="C7114" s="1" t="str">
        <f>HYPERLINK("http://www.rosaceae.org/gb/gbrowse/malus_x_domestica/?name=MDP0000166708","MDP0000166708")</f>
        <v>MDP0000166708</v>
      </c>
      <c r="D7114">
        <v>76.489999999999995</v>
      </c>
      <c r="E7114">
        <v>217</v>
      </c>
      <c r="F7114">
        <v>51</v>
      </c>
      <c r="G7114">
        <v>16</v>
      </c>
      <c r="H7114">
        <v>443</v>
      </c>
      <c r="I7114">
        <v>659</v>
      </c>
      <c r="J7114">
        <v>1</v>
      </c>
      <c r="K7114">
        <v>439</v>
      </c>
      <c r="L7114">
        <v>639</v>
      </c>
      <c r="M7114">
        <v>1</v>
      </c>
      <c r="N7114">
        <v>1.54424E-91</v>
      </c>
      <c r="O7114">
        <v>857</v>
      </c>
    </row>
    <row r="7115" spans="1:15" x14ac:dyDescent="0.25">
      <c r="A7115" t="s">
        <v>7128</v>
      </c>
      <c r="B7115">
        <v>182</v>
      </c>
      <c r="C7115" s="1" t="str">
        <f>HYPERLINK("http://www.rosaceae.org/gb/gbrowse/malus_x_domestica/?name=MDP0000252637","MDP0000252637")</f>
        <v>MDP0000252637</v>
      </c>
      <c r="D7115">
        <v>44.82</v>
      </c>
      <c r="E7115">
        <v>58</v>
      </c>
      <c r="F7115">
        <v>32</v>
      </c>
      <c r="G7115">
        <v>5</v>
      </c>
      <c r="H7115">
        <v>16</v>
      </c>
      <c r="I7115">
        <v>68</v>
      </c>
      <c r="J7115">
        <v>1</v>
      </c>
      <c r="K7115">
        <v>28</v>
      </c>
      <c r="L7115">
        <v>85</v>
      </c>
      <c r="M7115">
        <v>1</v>
      </c>
      <c r="N7115">
        <v>2.4246300000000001E-9</v>
      </c>
      <c r="O7115">
        <v>141</v>
      </c>
    </row>
    <row r="7116" spans="1:15" x14ac:dyDescent="0.25">
      <c r="A7116" t="s">
        <v>7129</v>
      </c>
      <c r="B7116">
        <v>1219</v>
      </c>
      <c r="C7116" s="1" t="str">
        <f>HYPERLINK("http://www.rosaceae.org/gb/gbrowse/malus_x_domestica/?name=MDP0000203781","MDP0000203781")</f>
        <v>MDP0000203781</v>
      </c>
      <c r="D7116">
        <v>67.02</v>
      </c>
      <c r="E7116">
        <v>1198</v>
      </c>
      <c r="F7116">
        <v>395</v>
      </c>
      <c r="G7116">
        <v>29</v>
      </c>
      <c r="H7116">
        <v>26</v>
      </c>
      <c r="I7116">
        <v>1219</v>
      </c>
      <c r="J7116">
        <v>1</v>
      </c>
      <c r="K7116">
        <v>31</v>
      </c>
      <c r="L7116">
        <v>1203</v>
      </c>
      <c r="M7116">
        <v>1</v>
      </c>
      <c r="N7116">
        <v>0</v>
      </c>
      <c r="O7116">
        <v>3972</v>
      </c>
    </row>
    <row r="7117" spans="1:15" x14ac:dyDescent="0.25">
      <c r="A7117" t="s">
        <v>7130</v>
      </c>
      <c r="B7117">
        <v>811</v>
      </c>
      <c r="C7117" s="1" t="str">
        <f>HYPERLINK("http://www.rosaceae.org/gb/gbrowse/malus_x_domestica/?name=MDP0000283455","MDP0000283455")</f>
        <v>MDP0000283455</v>
      </c>
      <c r="D7117">
        <v>69.23</v>
      </c>
      <c r="E7117">
        <v>429</v>
      </c>
      <c r="F7117">
        <v>132</v>
      </c>
      <c r="G7117">
        <v>44</v>
      </c>
      <c r="H7117">
        <v>423</v>
      </c>
      <c r="I7117">
        <v>809</v>
      </c>
      <c r="J7117">
        <v>1</v>
      </c>
      <c r="K7117">
        <v>4</v>
      </c>
      <c r="L7117">
        <v>430</v>
      </c>
      <c r="M7117">
        <v>1</v>
      </c>
      <c r="N7117">
        <v>2.35E-169</v>
      </c>
      <c r="O7117">
        <v>1529</v>
      </c>
    </row>
    <row r="7118" spans="1:15" x14ac:dyDescent="0.25">
      <c r="A7118" t="s">
        <v>7131</v>
      </c>
      <c r="B7118">
        <v>658</v>
      </c>
      <c r="C7118" s="1" t="str">
        <f>HYPERLINK("http://www.rosaceae.org/gb/gbrowse/malus_x_domestica/?name=MDP0000133347","MDP0000133347")</f>
        <v>MDP0000133347</v>
      </c>
      <c r="D7118">
        <v>67.14</v>
      </c>
      <c r="E7118">
        <v>621</v>
      </c>
      <c r="F7118">
        <v>204</v>
      </c>
      <c r="G7118">
        <v>53</v>
      </c>
      <c r="H7118">
        <v>73</v>
      </c>
      <c r="I7118">
        <v>658</v>
      </c>
      <c r="J7118">
        <v>1</v>
      </c>
      <c r="K7118">
        <v>17</v>
      </c>
      <c r="L7118">
        <v>619</v>
      </c>
      <c r="M7118">
        <v>1</v>
      </c>
      <c r="N7118">
        <v>0</v>
      </c>
      <c r="O7118">
        <v>2037</v>
      </c>
    </row>
    <row r="7119" spans="1:15" x14ac:dyDescent="0.25">
      <c r="A7119" t="s">
        <v>7132</v>
      </c>
      <c r="B7119">
        <v>455</v>
      </c>
      <c r="C7119" s="1" t="str">
        <f>HYPERLINK("http://www.rosaceae.org/gb/gbrowse/malus_x_domestica/?name=MDP0000134544","MDP0000134544")</f>
        <v>MDP0000134544</v>
      </c>
      <c r="D7119">
        <v>60.49</v>
      </c>
      <c r="E7119">
        <v>448</v>
      </c>
      <c r="F7119">
        <v>177</v>
      </c>
      <c r="G7119">
        <v>39</v>
      </c>
      <c r="H7119">
        <v>46</v>
      </c>
      <c r="I7119">
        <v>455</v>
      </c>
      <c r="J7119">
        <v>1</v>
      </c>
      <c r="K7119">
        <v>116</v>
      </c>
      <c r="L7119">
        <v>562</v>
      </c>
      <c r="M7119">
        <v>1</v>
      </c>
      <c r="N7119">
        <v>1.27002E-153</v>
      </c>
      <c r="O7119">
        <v>1391</v>
      </c>
    </row>
    <row r="7120" spans="1:15" x14ac:dyDescent="0.25">
      <c r="A7120" t="s">
        <v>7133</v>
      </c>
      <c r="B7120">
        <v>948</v>
      </c>
      <c r="C7120" s="1" t="str">
        <f>HYPERLINK("http://www.rosaceae.org/gb/gbrowse/malus_x_domestica/?name=MDP0000236352","MDP0000236352")</f>
        <v>MDP0000236352</v>
      </c>
      <c r="D7120">
        <v>32.15</v>
      </c>
      <c r="E7120">
        <v>790</v>
      </c>
      <c r="F7120">
        <v>536</v>
      </c>
      <c r="G7120">
        <v>45</v>
      </c>
      <c r="H7120">
        <v>116</v>
      </c>
      <c r="I7120">
        <v>890</v>
      </c>
      <c r="J7120">
        <v>1</v>
      </c>
      <c r="K7120">
        <v>120</v>
      </c>
      <c r="L7120">
        <v>879</v>
      </c>
      <c r="M7120">
        <v>1</v>
      </c>
      <c r="N7120">
        <v>1.09352E-98</v>
      </c>
      <c r="O7120">
        <v>920</v>
      </c>
    </row>
    <row r="7121" spans="1:15" x14ac:dyDescent="0.25">
      <c r="A7121" t="s">
        <v>7134</v>
      </c>
      <c r="B7121">
        <v>331</v>
      </c>
      <c r="C7121" s="1" t="str">
        <f>HYPERLINK("http://www.rosaceae.org/gb/gbrowse/malus_x_domestica/?name=MDP0000307927","MDP0000307927")</f>
        <v>MDP0000307927</v>
      </c>
      <c r="D7121">
        <v>75.47</v>
      </c>
      <c r="E7121">
        <v>318</v>
      </c>
      <c r="F7121">
        <v>78</v>
      </c>
      <c r="G7121">
        <v>2</v>
      </c>
      <c r="H7121">
        <v>14</v>
      </c>
      <c r="I7121">
        <v>331</v>
      </c>
      <c r="J7121">
        <v>1</v>
      </c>
      <c r="K7121">
        <v>24</v>
      </c>
      <c r="L7121">
        <v>339</v>
      </c>
      <c r="M7121">
        <v>1</v>
      </c>
      <c r="N7121">
        <v>1.87237E-142</v>
      </c>
      <c r="O7121">
        <v>1293</v>
      </c>
    </row>
    <row r="7122" spans="1:15" x14ac:dyDescent="0.25">
      <c r="A7122" t="s">
        <v>7135</v>
      </c>
      <c r="B7122">
        <v>249</v>
      </c>
      <c r="C7122" s="1" t="str">
        <f>HYPERLINK("http://www.rosaceae.org/gb/gbrowse/malus_x_domestica/?name=MDP0000153790","MDP0000153790")</f>
        <v>MDP0000153790</v>
      </c>
      <c r="D7122">
        <v>35.049999999999997</v>
      </c>
      <c r="E7122">
        <v>251</v>
      </c>
      <c r="F7122">
        <v>163</v>
      </c>
      <c r="G7122">
        <v>10</v>
      </c>
      <c r="H7122">
        <v>1</v>
      </c>
      <c r="I7122">
        <v>243</v>
      </c>
      <c r="J7122">
        <v>1</v>
      </c>
      <c r="K7122">
        <v>91</v>
      </c>
      <c r="L7122">
        <v>339</v>
      </c>
      <c r="M7122">
        <v>1</v>
      </c>
      <c r="N7122">
        <v>7.7180599999999999E-36</v>
      </c>
      <c r="O7122">
        <v>372</v>
      </c>
    </row>
    <row r="7123" spans="1:15" x14ac:dyDescent="0.25">
      <c r="A7123" t="s">
        <v>7136</v>
      </c>
      <c r="B7123">
        <v>708</v>
      </c>
      <c r="C7123" s="1" t="str">
        <f>HYPERLINK("http://www.rosaceae.org/gb/gbrowse/malus_x_domestica/?name=MDP0000159558","MDP0000159558")</f>
        <v>MDP0000159558</v>
      </c>
      <c r="D7123">
        <v>70.12</v>
      </c>
      <c r="E7123">
        <v>713</v>
      </c>
      <c r="F7123">
        <v>213</v>
      </c>
      <c r="G7123">
        <v>68</v>
      </c>
      <c r="H7123">
        <v>32</v>
      </c>
      <c r="I7123">
        <v>683</v>
      </c>
      <c r="J7123">
        <v>1</v>
      </c>
      <c r="K7123">
        <v>90</v>
      </c>
      <c r="L7123">
        <v>795</v>
      </c>
      <c r="M7123">
        <v>1</v>
      </c>
      <c r="N7123">
        <v>0</v>
      </c>
      <c r="O7123">
        <v>2474</v>
      </c>
    </row>
    <row r="7124" spans="1:15" x14ac:dyDescent="0.25">
      <c r="A7124" t="s">
        <v>7137</v>
      </c>
      <c r="B7124">
        <v>533</v>
      </c>
      <c r="C7124" s="1" t="str">
        <f>HYPERLINK("http://www.rosaceae.org/gb/gbrowse/malus_x_domestica/?name=MDP0000321496","MDP0000321496")</f>
        <v>MDP0000321496</v>
      </c>
      <c r="D7124">
        <v>89.65</v>
      </c>
      <c r="E7124">
        <v>522</v>
      </c>
      <c r="F7124">
        <v>54</v>
      </c>
      <c r="G7124">
        <v>0</v>
      </c>
      <c r="H7124">
        <v>1</v>
      </c>
      <c r="I7124">
        <v>522</v>
      </c>
      <c r="J7124">
        <v>1</v>
      </c>
      <c r="K7124">
        <v>1</v>
      </c>
      <c r="L7124">
        <v>522</v>
      </c>
      <c r="M7124">
        <v>1</v>
      </c>
      <c r="N7124">
        <v>0</v>
      </c>
      <c r="O7124">
        <v>2531</v>
      </c>
    </row>
    <row r="7125" spans="1:15" x14ac:dyDescent="0.25">
      <c r="A7125" t="s">
        <v>7138</v>
      </c>
      <c r="B7125">
        <v>189</v>
      </c>
      <c r="C7125" s="1" t="str">
        <f>HYPERLINK("http://www.rosaceae.org/gb/gbrowse/malus_x_domestica/?name=MDP0000241347","MDP0000241347")</f>
        <v>MDP0000241347</v>
      </c>
      <c r="D7125">
        <v>37.36</v>
      </c>
      <c r="E7125">
        <v>190</v>
      </c>
      <c r="F7125">
        <v>119</v>
      </c>
      <c r="G7125">
        <v>49</v>
      </c>
      <c r="H7125">
        <v>1</v>
      </c>
      <c r="I7125">
        <v>188</v>
      </c>
      <c r="J7125">
        <v>1</v>
      </c>
      <c r="K7125">
        <v>1</v>
      </c>
      <c r="L7125">
        <v>143</v>
      </c>
      <c r="M7125">
        <v>1</v>
      </c>
      <c r="N7125">
        <v>5.0751300000000001E-15</v>
      </c>
      <c r="O7125">
        <v>191</v>
      </c>
    </row>
    <row r="7126" spans="1:15" x14ac:dyDescent="0.25">
      <c r="A7126" t="s">
        <v>7139</v>
      </c>
      <c r="B7126">
        <v>293</v>
      </c>
      <c r="C7126" s="1" t="str">
        <f>HYPERLINK("http://www.rosaceae.org/gb/gbrowse/malus_x_domestica/?name=MDP0000771149","MDP0000771149")</f>
        <v>MDP0000771149</v>
      </c>
      <c r="D7126">
        <v>56.7</v>
      </c>
      <c r="E7126">
        <v>328</v>
      </c>
      <c r="F7126">
        <v>142</v>
      </c>
      <c r="G7126">
        <v>42</v>
      </c>
      <c r="H7126">
        <v>1</v>
      </c>
      <c r="I7126">
        <v>293</v>
      </c>
      <c r="J7126">
        <v>1</v>
      </c>
      <c r="K7126">
        <v>1</v>
      </c>
      <c r="L7126">
        <v>321</v>
      </c>
      <c r="M7126">
        <v>1</v>
      </c>
      <c r="N7126">
        <v>2.2593899999999999E-73</v>
      </c>
      <c r="O7126">
        <v>697</v>
      </c>
    </row>
    <row r="7127" spans="1:15" x14ac:dyDescent="0.25">
      <c r="A7127" t="s">
        <v>7140</v>
      </c>
      <c r="B7127">
        <v>148</v>
      </c>
      <c r="C7127" s="1" t="str">
        <f>HYPERLINK("http://www.rosaceae.org/gb/gbrowse/malus_x_domestica/?name=MDP0000285227","MDP0000285227")</f>
        <v>MDP0000285227</v>
      </c>
      <c r="D7127">
        <v>98.64</v>
      </c>
      <c r="E7127">
        <v>148</v>
      </c>
      <c r="F7127">
        <v>2</v>
      </c>
      <c r="G7127">
        <v>0</v>
      </c>
      <c r="H7127">
        <v>1</v>
      </c>
      <c r="I7127">
        <v>148</v>
      </c>
      <c r="J7127">
        <v>1</v>
      </c>
      <c r="K7127">
        <v>1</v>
      </c>
      <c r="L7127">
        <v>148</v>
      </c>
      <c r="M7127">
        <v>1</v>
      </c>
      <c r="N7127">
        <v>1.3560499999999999E-83</v>
      </c>
      <c r="O7127">
        <v>780</v>
      </c>
    </row>
    <row r="7128" spans="1:15" x14ac:dyDescent="0.25">
      <c r="A7128" t="s">
        <v>7141</v>
      </c>
      <c r="B7128">
        <v>453</v>
      </c>
      <c r="C7128" s="1" t="str">
        <f>HYPERLINK("http://www.rosaceae.org/gb/gbrowse/malus_x_domestica/?name=MDP0000179036","MDP0000179036")</f>
        <v>MDP0000179036</v>
      </c>
      <c r="D7128">
        <v>90.51</v>
      </c>
      <c r="E7128">
        <v>443</v>
      </c>
      <c r="F7128">
        <v>42</v>
      </c>
      <c r="G7128">
        <v>6</v>
      </c>
      <c r="H7128">
        <v>16</v>
      </c>
      <c r="I7128">
        <v>453</v>
      </c>
      <c r="J7128">
        <v>1</v>
      </c>
      <c r="K7128">
        <v>3</v>
      </c>
      <c r="L7128">
        <v>444</v>
      </c>
      <c r="M7128">
        <v>1</v>
      </c>
      <c r="N7128">
        <v>0</v>
      </c>
      <c r="O7128">
        <v>2123</v>
      </c>
    </row>
    <row r="7129" spans="1:15" x14ac:dyDescent="0.25">
      <c r="A7129" t="s">
        <v>7142</v>
      </c>
      <c r="B7129">
        <v>324</v>
      </c>
      <c r="C7129" s="1" t="str">
        <f>HYPERLINK("http://www.rosaceae.org/gb/gbrowse/malus_x_domestica/?name=MDP0000802237","MDP0000802237")</f>
        <v>MDP0000802237</v>
      </c>
      <c r="D7129">
        <v>46.32</v>
      </c>
      <c r="E7129">
        <v>272</v>
      </c>
      <c r="F7129">
        <v>146</v>
      </c>
      <c r="G7129">
        <v>15</v>
      </c>
      <c r="H7129">
        <v>55</v>
      </c>
      <c r="I7129">
        <v>320</v>
      </c>
      <c r="J7129">
        <v>1</v>
      </c>
      <c r="K7129">
        <v>32</v>
      </c>
      <c r="L7129">
        <v>294</v>
      </c>
      <c r="M7129">
        <v>1</v>
      </c>
      <c r="N7129">
        <v>4.5469999999999997E-53</v>
      </c>
      <c r="O7129">
        <v>522</v>
      </c>
    </row>
    <row r="7130" spans="1:15" x14ac:dyDescent="0.25">
      <c r="A7130" t="s">
        <v>7143</v>
      </c>
      <c r="B7130">
        <v>176</v>
      </c>
      <c r="C7130" s="1" t="str">
        <f>HYPERLINK("http://www.rosaceae.org/gb/gbrowse/malus_x_domestica/?name=MDP0000182482","MDP0000182482")</f>
        <v>MDP0000182482</v>
      </c>
      <c r="D7130">
        <v>45.35</v>
      </c>
      <c r="E7130">
        <v>183</v>
      </c>
      <c r="F7130">
        <v>100</v>
      </c>
      <c r="G7130">
        <v>7</v>
      </c>
      <c r="H7130">
        <v>1</v>
      </c>
      <c r="I7130">
        <v>176</v>
      </c>
      <c r="J7130">
        <v>1</v>
      </c>
      <c r="K7130">
        <v>139</v>
      </c>
      <c r="L7130">
        <v>321</v>
      </c>
      <c r="M7130">
        <v>1</v>
      </c>
      <c r="N7130">
        <v>5.4630499999999997E-34</v>
      </c>
      <c r="O7130">
        <v>354</v>
      </c>
    </row>
    <row r="7131" spans="1:15" x14ac:dyDescent="0.25">
      <c r="A7131" t="s">
        <v>7144</v>
      </c>
      <c r="B7131">
        <v>256</v>
      </c>
      <c r="C7131" s="1" t="str">
        <f>HYPERLINK("http://www.rosaceae.org/gb/gbrowse/malus_x_domestica/?name=MDP0000209887","MDP0000209887")</f>
        <v>MDP0000209887</v>
      </c>
      <c r="D7131">
        <v>53.06</v>
      </c>
      <c r="E7131">
        <v>245</v>
      </c>
      <c r="F7131">
        <v>115</v>
      </c>
      <c r="G7131">
        <v>34</v>
      </c>
      <c r="H7131">
        <v>1</v>
      </c>
      <c r="I7131">
        <v>213</v>
      </c>
      <c r="J7131">
        <v>1</v>
      </c>
      <c r="K7131">
        <v>1</v>
      </c>
      <c r="L7131">
        <v>243</v>
      </c>
      <c r="M7131">
        <v>1</v>
      </c>
      <c r="N7131">
        <v>6.5138800000000005E-61</v>
      </c>
      <c r="O7131">
        <v>588</v>
      </c>
    </row>
    <row r="7132" spans="1:15" x14ac:dyDescent="0.25">
      <c r="A7132" t="s">
        <v>7145</v>
      </c>
      <c r="B7132">
        <v>417</v>
      </c>
      <c r="C7132" s="1" t="str">
        <f>HYPERLINK("http://www.rosaceae.org/gb/gbrowse/malus_x_domestica/?name=MDP0000267916","MDP0000267916")</f>
        <v>MDP0000267916</v>
      </c>
      <c r="D7132">
        <v>70.92</v>
      </c>
      <c r="E7132">
        <v>423</v>
      </c>
      <c r="F7132">
        <v>123</v>
      </c>
      <c r="G7132">
        <v>24</v>
      </c>
      <c r="H7132">
        <v>1</v>
      </c>
      <c r="I7132">
        <v>417</v>
      </c>
      <c r="J7132">
        <v>1</v>
      </c>
      <c r="K7132">
        <v>360</v>
      </c>
      <c r="L7132">
        <v>764</v>
      </c>
      <c r="M7132">
        <v>1</v>
      </c>
      <c r="N7132">
        <v>2.5437400000000002E-174</v>
      </c>
      <c r="O7132">
        <v>1569</v>
      </c>
    </row>
    <row r="7133" spans="1:15" x14ac:dyDescent="0.25">
      <c r="A7133" t="s">
        <v>7146</v>
      </c>
      <c r="B7133">
        <v>406</v>
      </c>
      <c r="C7133" s="1" t="str">
        <f>HYPERLINK("http://www.rosaceae.org/gb/gbrowse/malus_x_domestica/?name=MDP0000904458","MDP0000904458")</f>
        <v>MDP0000904458</v>
      </c>
      <c r="D7133">
        <v>79.540000000000006</v>
      </c>
      <c r="E7133">
        <v>308</v>
      </c>
      <c r="F7133">
        <v>63</v>
      </c>
      <c r="G7133">
        <v>0</v>
      </c>
      <c r="H7133">
        <v>28</v>
      </c>
      <c r="I7133">
        <v>335</v>
      </c>
      <c r="J7133">
        <v>1</v>
      </c>
      <c r="K7133">
        <v>26</v>
      </c>
      <c r="L7133">
        <v>333</v>
      </c>
      <c r="M7133">
        <v>1</v>
      </c>
      <c r="N7133">
        <v>4.7030599999999997E-146</v>
      </c>
      <c r="O7133">
        <v>1325</v>
      </c>
    </row>
    <row r="7134" spans="1:15" x14ac:dyDescent="0.25">
      <c r="A7134" t="s">
        <v>7147</v>
      </c>
      <c r="B7134">
        <v>216</v>
      </c>
      <c r="C7134" s="1" t="str">
        <f>HYPERLINK("http://www.rosaceae.org/gb/gbrowse/malus_x_domestica/?name=MDP0000249084","MDP0000249084")</f>
        <v>MDP0000249084</v>
      </c>
      <c r="D7134">
        <v>81.56</v>
      </c>
      <c r="E7134">
        <v>217</v>
      </c>
      <c r="F7134">
        <v>40</v>
      </c>
      <c r="G7134">
        <v>1</v>
      </c>
      <c r="H7134">
        <v>1</v>
      </c>
      <c r="I7134">
        <v>216</v>
      </c>
      <c r="J7134">
        <v>1</v>
      </c>
      <c r="K7134">
        <v>3</v>
      </c>
      <c r="L7134">
        <v>219</v>
      </c>
      <c r="M7134">
        <v>1</v>
      </c>
      <c r="N7134">
        <v>2.18074E-99</v>
      </c>
      <c r="O7134">
        <v>919</v>
      </c>
    </row>
    <row r="7135" spans="1:15" x14ac:dyDescent="0.25">
      <c r="A7135" t="s">
        <v>7148</v>
      </c>
      <c r="B7135">
        <v>141</v>
      </c>
      <c r="C7135" s="1" t="str">
        <f>HYPERLINK("http://www.rosaceae.org/gb/gbrowse/malus_x_domestica/?name=MDP0000313019","MDP0000313019")</f>
        <v>MDP0000313019</v>
      </c>
      <c r="D7135">
        <v>73.61</v>
      </c>
      <c r="E7135">
        <v>144</v>
      </c>
      <c r="F7135">
        <v>38</v>
      </c>
      <c r="G7135">
        <v>3</v>
      </c>
      <c r="H7135">
        <v>1</v>
      </c>
      <c r="I7135">
        <v>141</v>
      </c>
      <c r="J7135">
        <v>1</v>
      </c>
      <c r="K7135">
        <v>1</v>
      </c>
      <c r="L7135">
        <v>144</v>
      </c>
      <c r="M7135">
        <v>1</v>
      </c>
      <c r="N7135">
        <v>1.5295E-51</v>
      </c>
      <c r="O7135">
        <v>503</v>
      </c>
    </row>
    <row r="7136" spans="1:15" x14ac:dyDescent="0.25">
      <c r="A7136" t="s">
        <v>7149</v>
      </c>
      <c r="B7136">
        <v>511</v>
      </c>
      <c r="C7136" s="1" t="str">
        <f>HYPERLINK("http://www.rosaceae.org/gb/gbrowse/malus_x_domestica/?name=MDP0000254937","MDP0000254937")</f>
        <v>MDP0000254937</v>
      </c>
      <c r="D7136">
        <v>45.63</v>
      </c>
      <c r="E7136">
        <v>493</v>
      </c>
      <c r="F7136">
        <v>268</v>
      </c>
      <c r="G7136">
        <v>56</v>
      </c>
      <c r="H7136">
        <v>57</v>
      </c>
      <c r="I7136">
        <v>511</v>
      </c>
      <c r="J7136">
        <v>1</v>
      </c>
      <c r="K7136">
        <v>7</v>
      </c>
      <c r="L7136">
        <v>481</v>
      </c>
      <c r="M7136">
        <v>1</v>
      </c>
      <c r="N7136">
        <v>1.26067E-96</v>
      </c>
      <c r="O7136">
        <v>900</v>
      </c>
    </row>
    <row r="7137" spans="1:15" x14ac:dyDescent="0.25">
      <c r="A7137" t="s">
        <v>7150</v>
      </c>
      <c r="B7137">
        <v>241</v>
      </c>
      <c r="C7137" s="1" t="str">
        <f>HYPERLINK("http://www.rosaceae.org/gb/gbrowse/malus_x_domestica/?name=MDP0000147190","MDP0000147190")</f>
        <v>MDP0000147190</v>
      </c>
      <c r="D7137">
        <v>27.86</v>
      </c>
      <c r="E7137">
        <v>183</v>
      </c>
      <c r="F7137">
        <v>132</v>
      </c>
      <c r="G7137">
        <v>42</v>
      </c>
      <c r="H7137">
        <v>58</v>
      </c>
      <c r="I7137">
        <v>240</v>
      </c>
      <c r="J7137">
        <v>1</v>
      </c>
      <c r="K7137">
        <v>56</v>
      </c>
      <c r="L7137">
        <v>196</v>
      </c>
      <c r="M7137">
        <v>1</v>
      </c>
      <c r="N7137">
        <v>7.9274800000000006E-11</v>
      </c>
      <c r="O7137">
        <v>156</v>
      </c>
    </row>
    <row r="7138" spans="1:15" x14ac:dyDescent="0.25">
      <c r="A7138" t="s">
        <v>7151</v>
      </c>
      <c r="B7138">
        <v>385</v>
      </c>
      <c r="C7138" s="1" t="str">
        <f>HYPERLINK("http://www.rosaceae.org/gb/gbrowse/malus_x_domestica/?name=MDP0000311544","MDP0000311544")</f>
        <v>MDP0000311544</v>
      </c>
      <c r="D7138">
        <v>73.69</v>
      </c>
      <c r="E7138">
        <v>384</v>
      </c>
      <c r="F7138">
        <v>101</v>
      </c>
      <c r="G7138">
        <v>1</v>
      </c>
      <c r="H7138">
        <v>1</v>
      </c>
      <c r="I7138">
        <v>383</v>
      </c>
      <c r="J7138">
        <v>1</v>
      </c>
      <c r="K7138">
        <v>95</v>
      </c>
      <c r="L7138">
        <v>478</v>
      </c>
      <c r="M7138">
        <v>1</v>
      </c>
      <c r="N7138">
        <v>3.96317E-166</v>
      </c>
      <c r="O7138">
        <v>1498</v>
      </c>
    </row>
    <row r="7139" spans="1:15" x14ac:dyDescent="0.25">
      <c r="A7139" t="s">
        <v>7152</v>
      </c>
      <c r="B7139">
        <v>272</v>
      </c>
      <c r="C7139" s="1" t="str">
        <f>HYPERLINK("http://www.rosaceae.org/gb/gbrowse/malus_x_domestica/?name=MDP0000912405","MDP0000912405")</f>
        <v>MDP0000912405</v>
      </c>
      <c r="D7139">
        <v>50.18</v>
      </c>
      <c r="E7139">
        <v>267</v>
      </c>
      <c r="F7139">
        <v>133</v>
      </c>
      <c r="G7139">
        <v>11</v>
      </c>
      <c r="H7139">
        <v>1</v>
      </c>
      <c r="I7139">
        <v>267</v>
      </c>
      <c r="J7139">
        <v>1</v>
      </c>
      <c r="K7139">
        <v>1</v>
      </c>
      <c r="L7139">
        <v>256</v>
      </c>
      <c r="M7139">
        <v>1</v>
      </c>
      <c r="N7139">
        <v>8.1298100000000004E-63</v>
      </c>
      <c r="O7139">
        <v>605</v>
      </c>
    </row>
    <row r="7140" spans="1:15" x14ac:dyDescent="0.25">
      <c r="A7140" t="s">
        <v>7153</v>
      </c>
      <c r="B7140">
        <v>928</v>
      </c>
      <c r="C7140" s="1" t="str">
        <f>HYPERLINK("http://www.rosaceae.org/gb/gbrowse/malus_x_domestica/?name=MDP0000239503","MDP0000239503")</f>
        <v>MDP0000239503</v>
      </c>
      <c r="D7140">
        <v>64.42</v>
      </c>
      <c r="E7140">
        <v>863</v>
      </c>
      <c r="F7140">
        <v>307</v>
      </c>
      <c r="G7140">
        <v>45</v>
      </c>
      <c r="H7140">
        <v>1</v>
      </c>
      <c r="I7140">
        <v>847</v>
      </c>
      <c r="J7140">
        <v>1</v>
      </c>
      <c r="K7140">
        <v>170</v>
      </c>
      <c r="L7140">
        <v>1003</v>
      </c>
      <c r="M7140">
        <v>1</v>
      </c>
      <c r="N7140">
        <v>0</v>
      </c>
      <c r="O7140">
        <v>2759</v>
      </c>
    </row>
    <row r="7141" spans="1:15" x14ac:dyDescent="0.25">
      <c r="A7141" t="s">
        <v>7154</v>
      </c>
      <c r="B7141">
        <v>356</v>
      </c>
      <c r="C7141" s="1" t="str">
        <f>HYPERLINK("http://www.rosaceae.org/gb/gbrowse/malus_x_domestica/?name=MDP0000312342","MDP0000312342")</f>
        <v>MDP0000312342</v>
      </c>
      <c r="D7141">
        <v>32.86</v>
      </c>
      <c r="E7141">
        <v>356</v>
      </c>
      <c r="F7141">
        <v>239</v>
      </c>
      <c r="G7141">
        <v>54</v>
      </c>
      <c r="H7141">
        <v>6</v>
      </c>
      <c r="I7141">
        <v>327</v>
      </c>
      <c r="J7141">
        <v>1</v>
      </c>
      <c r="K7141">
        <v>5</v>
      </c>
      <c r="L7141">
        <v>340</v>
      </c>
      <c r="M7141">
        <v>1</v>
      </c>
      <c r="N7141">
        <v>8.2946300000000005E-33</v>
      </c>
      <c r="O7141">
        <v>348</v>
      </c>
    </row>
    <row r="7142" spans="1:15" x14ac:dyDescent="0.25">
      <c r="A7142" t="s">
        <v>7155</v>
      </c>
      <c r="B7142">
        <v>830</v>
      </c>
      <c r="C7142" s="1" t="str">
        <f>HYPERLINK("http://www.rosaceae.org/gb/gbrowse/malus_x_domestica/?name=MDP0000491277","MDP0000491277")</f>
        <v>MDP0000491277</v>
      </c>
      <c r="D7142">
        <v>78.63</v>
      </c>
      <c r="E7142">
        <v>838</v>
      </c>
      <c r="F7142">
        <v>179</v>
      </c>
      <c r="G7142">
        <v>21</v>
      </c>
      <c r="H7142">
        <v>1</v>
      </c>
      <c r="I7142">
        <v>830</v>
      </c>
      <c r="J7142">
        <v>1</v>
      </c>
      <c r="K7142">
        <v>1</v>
      </c>
      <c r="L7142">
        <v>825</v>
      </c>
      <c r="M7142">
        <v>1</v>
      </c>
      <c r="N7142">
        <v>0</v>
      </c>
      <c r="O7142">
        <v>3362</v>
      </c>
    </row>
    <row r="7143" spans="1:15" x14ac:dyDescent="0.25">
      <c r="A7143" t="s">
        <v>7156</v>
      </c>
      <c r="B7143">
        <v>1062</v>
      </c>
      <c r="C7143" s="1" t="str">
        <f>HYPERLINK("http://www.rosaceae.org/gb/gbrowse/malus_x_domestica/?name=MDP0000286471","MDP0000286471")</f>
        <v>MDP0000286471</v>
      </c>
      <c r="D7143">
        <v>73.41</v>
      </c>
      <c r="E7143">
        <v>568</v>
      </c>
      <c r="F7143">
        <v>151</v>
      </c>
      <c r="G7143">
        <v>23</v>
      </c>
      <c r="H7143">
        <v>488</v>
      </c>
      <c r="I7143">
        <v>1053</v>
      </c>
      <c r="J7143">
        <v>1</v>
      </c>
      <c r="K7143">
        <v>3</v>
      </c>
      <c r="L7143">
        <v>549</v>
      </c>
      <c r="M7143">
        <v>1</v>
      </c>
      <c r="N7143">
        <v>0</v>
      </c>
      <c r="O7143">
        <v>2061</v>
      </c>
    </row>
    <row r="7144" spans="1:15" x14ac:dyDescent="0.25">
      <c r="A7144" t="s">
        <v>7157</v>
      </c>
      <c r="B7144">
        <v>316</v>
      </c>
      <c r="C7144" s="1" t="str">
        <f>HYPERLINK("http://www.rosaceae.org/gb/gbrowse/malus_x_domestica/?name=MDP0000156973","MDP0000156973")</f>
        <v>MDP0000156973</v>
      </c>
      <c r="D7144">
        <v>41.44</v>
      </c>
      <c r="E7144">
        <v>304</v>
      </c>
      <c r="F7144">
        <v>178</v>
      </c>
      <c r="G7144">
        <v>8</v>
      </c>
      <c r="H7144">
        <v>1</v>
      </c>
      <c r="I7144">
        <v>299</v>
      </c>
      <c r="J7144">
        <v>1</v>
      </c>
      <c r="K7144">
        <v>1</v>
      </c>
      <c r="L7144">
        <v>301</v>
      </c>
      <c r="M7144">
        <v>1</v>
      </c>
      <c r="N7144">
        <v>1.3469600000000001E-64</v>
      </c>
      <c r="O7144">
        <v>621</v>
      </c>
    </row>
    <row r="7145" spans="1:15" x14ac:dyDescent="0.25">
      <c r="A7145" t="s">
        <v>7158</v>
      </c>
      <c r="B7145">
        <v>463</v>
      </c>
      <c r="C7145" s="1" t="str">
        <f>HYPERLINK("http://www.rosaceae.org/gb/gbrowse/malus_x_domestica/?name=MDP0000671723","MDP0000671723")</f>
        <v>MDP0000671723</v>
      </c>
      <c r="D7145">
        <v>83.51</v>
      </c>
      <c r="E7145">
        <v>376</v>
      </c>
      <c r="F7145">
        <v>62</v>
      </c>
      <c r="G7145">
        <v>3</v>
      </c>
      <c r="H7145">
        <v>88</v>
      </c>
      <c r="I7145">
        <v>461</v>
      </c>
      <c r="J7145">
        <v>1</v>
      </c>
      <c r="K7145">
        <v>32</v>
      </c>
      <c r="L7145">
        <v>406</v>
      </c>
      <c r="M7145">
        <v>1</v>
      </c>
      <c r="N7145">
        <v>0</v>
      </c>
      <c r="O7145">
        <v>1673</v>
      </c>
    </row>
    <row r="7146" spans="1:15" x14ac:dyDescent="0.25">
      <c r="A7146" t="s">
        <v>7159</v>
      </c>
      <c r="B7146">
        <v>806</v>
      </c>
      <c r="C7146" s="1" t="str">
        <f>HYPERLINK("http://www.rosaceae.org/gb/gbrowse/malus_x_domestica/?name=MDP0000597009","MDP0000597009")</f>
        <v>MDP0000597009</v>
      </c>
      <c r="D7146">
        <v>59.92</v>
      </c>
      <c r="E7146">
        <v>786</v>
      </c>
      <c r="F7146">
        <v>315</v>
      </c>
      <c r="G7146">
        <v>22</v>
      </c>
      <c r="H7146">
        <v>23</v>
      </c>
      <c r="I7146">
        <v>800</v>
      </c>
      <c r="J7146">
        <v>1</v>
      </c>
      <c r="K7146">
        <v>8</v>
      </c>
      <c r="L7146">
        <v>779</v>
      </c>
      <c r="M7146">
        <v>1</v>
      </c>
      <c r="N7146">
        <v>0</v>
      </c>
      <c r="O7146">
        <v>2357</v>
      </c>
    </row>
    <row r="7147" spans="1:15" x14ac:dyDescent="0.25">
      <c r="A7147" t="s">
        <v>7160</v>
      </c>
      <c r="B7147">
        <v>469</v>
      </c>
      <c r="C7147" s="1" t="str">
        <f>HYPERLINK("http://www.rosaceae.org/gb/gbrowse/malus_x_domestica/?name=MDP0000889787","MDP0000889787")</f>
        <v>MDP0000889787</v>
      </c>
      <c r="D7147">
        <v>71.06</v>
      </c>
      <c r="E7147">
        <v>477</v>
      </c>
      <c r="F7147">
        <v>138</v>
      </c>
      <c r="G7147">
        <v>11</v>
      </c>
      <c r="H7147">
        <v>1</v>
      </c>
      <c r="I7147">
        <v>468</v>
      </c>
      <c r="J7147">
        <v>1</v>
      </c>
      <c r="K7147">
        <v>10</v>
      </c>
      <c r="L7147">
        <v>484</v>
      </c>
      <c r="M7147">
        <v>1</v>
      </c>
      <c r="N7147">
        <v>0</v>
      </c>
      <c r="O7147">
        <v>1830</v>
      </c>
    </row>
    <row r="7148" spans="1:15" x14ac:dyDescent="0.25">
      <c r="A7148" t="s">
        <v>7161</v>
      </c>
      <c r="B7148">
        <v>143</v>
      </c>
      <c r="C7148" s="1" t="str">
        <f>HYPERLINK("http://www.rosaceae.org/gb/gbrowse/malus_x_domestica/?name=MDP0000258901","MDP0000258901")</f>
        <v>MDP0000258901</v>
      </c>
      <c r="D7148">
        <v>34.92</v>
      </c>
      <c r="E7148">
        <v>126</v>
      </c>
      <c r="F7148">
        <v>82</v>
      </c>
      <c r="G7148">
        <v>23</v>
      </c>
      <c r="H7148">
        <v>13</v>
      </c>
      <c r="I7148">
        <v>119</v>
      </c>
      <c r="J7148">
        <v>1</v>
      </c>
      <c r="K7148">
        <v>47</v>
      </c>
      <c r="L7148">
        <v>168</v>
      </c>
      <c r="M7148">
        <v>1</v>
      </c>
      <c r="N7148">
        <v>1.3091E-9</v>
      </c>
      <c r="O7148">
        <v>142</v>
      </c>
    </row>
    <row r="7149" spans="1:15" x14ac:dyDescent="0.25">
      <c r="A7149" t="s">
        <v>7162</v>
      </c>
      <c r="B7149">
        <v>596</v>
      </c>
      <c r="C7149" s="1" t="str">
        <f>HYPERLINK("http://www.rosaceae.org/gb/gbrowse/malus_x_domestica/?name=MDP0000076881","MDP0000076881")</f>
        <v>MDP0000076881</v>
      </c>
      <c r="D7149">
        <v>85.6</v>
      </c>
      <c r="E7149">
        <v>535</v>
      </c>
      <c r="F7149">
        <v>77</v>
      </c>
      <c r="G7149">
        <v>3</v>
      </c>
      <c r="H7149">
        <v>62</v>
      </c>
      <c r="I7149">
        <v>596</v>
      </c>
      <c r="J7149">
        <v>1</v>
      </c>
      <c r="K7149">
        <v>3</v>
      </c>
      <c r="L7149">
        <v>534</v>
      </c>
      <c r="M7149">
        <v>1</v>
      </c>
      <c r="N7149">
        <v>0</v>
      </c>
      <c r="O7149">
        <v>2489</v>
      </c>
    </row>
    <row r="7150" spans="1:15" x14ac:dyDescent="0.25">
      <c r="A7150" t="s">
        <v>7163</v>
      </c>
      <c r="B7150">
        <v>159</v>
      </c>
      <c r="C7150" s="1" t="str">
        <f>HYPERLINK("http://www.rosaceae.org/gb/gbrowse/malus_x_domestica/?name=MDP0000205823","MDP0000205823")</f>
        <v>MDP0000205823</v>
      </c>
      <c r="D7150">
        <v>79.72</v>
      </c>
      <c r="E7150">
        <v>143</v>
      </c>
      <c r="F7150">
        <v>29</v>
      </c>
      <c r="G7150">
        <v>1</v>
      </c>
      <c r="H7150">
        <v>15</v>
      </c>
      <c r="I7150">
        <v>157</v>
      </c>
      <c r="J7150">
        <v>1</v>
      </c>
      <c r="K7150">
        <v>17</v>
      </c>
      <c r="L7150">
        <v>158</v>
      </c>
      <c r="M7150">
        <v>1</v>
      </c>
      <c r="N7150">
        <v>3.6824499999999999E-60</v>
      </c>
      <c r="O7150">
        <v>579</v>
      </c>
    </row>
    <row r="7151" spans="1:15" x14ac:dyDescent="0.25">
      <c r="A7151" t="s">
        <v>7164</v>
      </c>
      <c r="B7151">
        <v>522</v>
      </c>
      <c r="C7151" s="1" t="str">
        <f>HYPERLINK("http://www.rosaceae.org/gb/gbrowse/malus_x_domestica/?name=MDP0000242488","MDP0000242488")</f>
        <v>MDP0000242488</v>
      </c>
      <c r="D7151">
        <v>78.05</v>
      </c>
      <c r="E7151">
        <v>524</v>
      </c>
      <c r="F7151">
        <v>115</v>
      </c>
      <c r="G7151">
        <v>4</v>
      </c>
      <c r="H7151">
        <v>1</v>
      </c>
      <c r="I7151">
        <v>522</v>
      </c>
      <c r="J7151">
        <v>1</v>
      </c>
      <c r="K7151">
        <v>135</v>
      </c>
      <c r="L7151">
        <v>656</v>
      </c>
      <c r="M7151">
        <v>1</v>
      </c>
      <c r="N7151">
        <v>0</v>
      </c>
      <c r="O7151">
        <v>1968</v>
      </c>
    </row>
    <row r="7152" spans="1:15" x14ac:dyDescent="0.25">
      <c r="A7152" t="s">
        <v>7165</v>
      </c>
      <c r="B7152">
        <v>625</v>
      </c>
      <c r="C7152" s="1" t="str">
        <f>HYPERLINK("http://www.rosaceae.org/gb/gbrowse/malus_x_domestica/?name=MDP0000561738","MDP0000561738")</f>
        <v>MDP0000561738</v>
      </c>
      <c r="D7152">
        <v>78.400000000000006</v>
      </c>
      <c r="E7152">
        <v>551</v>
      </c>
      <c r="F7152">
        <v>119</v>
      </c>
      <c r="G7152">
        <v>24</v>
      </c>
      <c r="H7152">
        <v>18</v>
      </c>
      <c r="I7152">
        <v>548</v>
      </c>
      <c r="J7152">
        <v>1</v>
      </c>
      <c r="K7152">
        <v>130</v>
      </c>
      <c r="L7152">
        <v>676</v>
      </c>
      <c r="M7152">
        <v>1</v>
      </c>
      <c r="N7152">
        <v>0</v>
      </c>
      <c r="O7152">
        <v>2301</v>
      </c>
    </row>
    <row r="7153" spans="1:15" x14ac:dyDescent="0.25">
      <c r="A7153" t="s">
        <v>7166</v>
      </c>
      <c r="B7153">
        <v>375</v>
      </c>
      <c r="C7153" s="1" t="str">
        <f>HYPERLINK("http://www.rosaceae.org/gb/gbrowse/malus_x_domestica/?name=MDP0000275659","MDP0000275659")</f>
        <v>MDP0000275659</v>
      </c>
      <c r="D7153">
        <v>85.15</v>
      </c>
      <c r="E7153">
        <v>357</v>
      </c>
      <c r="F7153">
        <v>53</v>
      </c>
      <c r="G7153">
        <v>3</v>
      </c>
      <c r="H7153">
        <v>1</v>
      </c>
      <c r="I7153">
        <v>354</v>
      </c>
      <c r="J7153">
        <v>1</v>
      </c>
      <c r="K7153">
        <v>1</v>
      </c>
      <c r="L7153">
        <v>357</v>
      </c>
      <c r="M7153">
        <v>1</v>
      </c>
      <c r="N7153">
        <v>2.6602399999999998E-178</v>
      </c>
      <c r="O7153">
        <v>1603</v>
      </c>
    </row>
    <row r="7154" spans="1:15" x14ac:dyDescent="0.25">
      <c r="A7154" t="s">
        <v>7167</v>
      </c>
      <c r="B7154">
        <v>250</v>
      </c>
      <c r="C7154" s="1" t="str">
        <f>HYPERLINK("http://www.rosaceae.org/gb/gbrowse/malus_x_domestica/?name=MDP0000227076","MDP0000227076")</f>
        <v>MDP0000227076</v>
      </c>
      <c r="D7154">
        <v>74.13</v>
      </c>
      <c r="E7154">
        <v>259</v>
      </c>
      <c r="F7154">
        <v>67</v>
      </c>
      <c r="G7154">
        <v>14</v>
      </c>
      <c r="H7154">
        <v>1</v>
      </c>
      <c r="I7154">
        <v>250</v>
      </c>
      <c r="J7154">
        <v>1</v>
      </c>
      <c r="K7154">
        <v>22</v>
      </c>
      <c r="L7154">
        <v>275</v>
      </c>
      <c r="M7154">
        <v>1</v>
      </c>
      <c r="N7154">
        <v>2.3304500000000001E-103</v>
      </c>
      <c r="O7154">
        <v>954</v>
      </c>
    </row>
    <row r="7155" spans="1:15" x14ac:dyDescent="0.25">
      <c r="A7155" t="s">
        <v>7168</v>
      </c>
      <c r="B7155">
        <v>617</v>
      </c>
      <c r="C7155" s="1" t="str">
        <f>HYPERLINK("http://www.rosaceae.org/gb/gbrowse/malus_x_domestica/?name=MDP0000299496","MDP0000299496")</f>
        <v>MDP0000299496</v>
      </c>
      <c r="D7155">
        <v>27.91</v>
      </c>
      <c r="E7155">
        <v>240</v>
      </c>
      <c r="F7155">
        <v>173</v>
      </c>
      <c r="G7155">
        <v>63</v>
      </c>
      <c r="H7155">
        <v>332</v>
      </c>
      <c r="I7155">
        <v>519</v>
      </c>
      <c r="J7155">
        <v>1</v>
      </c>
      <c r="K7155">
        <v>563</v>
      </c>
      <c r="L7155">
        <v>791</v>
      </c>
      <c r="M7155">
        <v>1</v>
      </c>
      <c r="N7155">
        <v>3.1803199999999999E-21</v>
      </c>
      <c r="O7155">
        <v>250</v>
      </c>
    </row>
    <row r="7156" spans="1:15" x14ac:dyDescent="0.25">
      <c r="A7156" t="s">
        <v>7169</v>
      </c>
      <c r="B7156">
        <v>195</v>
      </c>
      <c r="C7156" s="1" t="str">
        <f>HYPERLINK("http://www.rosaceae.org/gb/gbrowse/malus_x_domestica/?name=MDP0000209144","MDP0000209144")</f>
        <v>MDP0000209144</v>
      </c>
      <c r="D7156">
        <v>95.78</v>
      </c>
      <c r="E7156">
        <v>190</v>
      </c>
      <c r="F7156">
        <v>8</v>
      </c>
      <c r="G7156">
        <v>4</v>
      </c>
      <c r="H7156">
        <v>1</v>
      </c>
      <c r="I7156">
        <v>190</v>
      </c>
      <c r="J7156">
        <v>1</v>
      </c>
      <c r="K7156">
        <v>105</v>
      </c>
      <c r="L7156">
        <v>290</v>
      </c>
      <c r="M7156">
        <v>1</v>
      </c>
      <c r="N7156">
        <v>2.2136700000000001E-104</v>
      </c>
      <c r="O7156">
        <v>962</v>
      </c>
    </row>
    <row r="7157" spans="1:15" x14ac:dyDescent="0.25">
      <c r="A7157" t="s">
        <v>7170</v>
      </c>
      <c r="B7157">
        <v>183</v>
      </c>
      <c r="C7157" s="1" t="str">
        <f>HYPERLINK("http://www.rosaceae.org/gb/gbrowse/malus_x_domestica/?name=MDP0000207149","MDP0000207149")</f>
        <v>MDP0000207149</v>
      </c>
      <c r="D7157">
        <v>56.41</v>
      </c>
      <c r="E7157">
        <v>117</v>
      </c>
      <c r="F7157">
        <v>51</v>
      </c>
      <c r="G7157">
        <v>5</v>
      </c>
      <c r="H7157">
        <v>67</v>
      </c>
      <c r="I7157">
        <v>181</v>
      </c>
      <c r="J7157">
        <v>1</v>
      </c>
      <c r="K7157">
        <v>4</v>
      </c>
      <c r="L7157">
        <v>117</v>
      </c>
      <c r="M7157">
        <v>1</v>
      </c>
      <c r="N7157">
        <v>8.9508700000000007E-34</v>
      </c>
      <c r="O7157">
        <v>352</v>
      </c>
    </row>
    <row r="7158" spans="1:15" x14ac:dyDescent="0.25">
      <c r="A7158" t="s">
        <v>7171</v>
      </c>
      <c r="B7158">
        <v>513</v>
      </c>
      <c r="C7158" s="1" t="str">
        <f>HYPERLINK("http://www.rosaceae.org/gb/gbrowse/malus_x_domestica/?name=MDP0000150310","MDP0000150310")</f>
        <v>MDP0000150310</v>
      </c>
      <c r="D7158">
        <v>42.35</v>
      </c>
      <c r="E7158">
        <v>170</v>
      </c>
      <c r="F7158">
        <v>98</v>
      </c>
      <c r="G7158">
        <v>2</v>
      </c>
      <c r="H7158">
        <v>1</v>
      </c>
      <c r="I7158">
        <v>170</v>
      </c>
      <c r="J7158">
        <v>1</v>
      </c>
      <c r="K7158">
        <v>1</v>
      </c>
      <c r="L7158">
        <v>168</v>
      </c>
      <c r="M7158">
        <v>1</v>
      </c>
      <c r="N7158">
        <v>6.6744300000000003E-34</v>
      </c>
      <c r="O7158">
        <v>359</v>
      </c>
    </row>
    <row r="7159" spans="1:15" x14ac:dyDescent="0.25">
      <c r="A7159" t="s">
        <v>7172</v>
      </c>
      <c r="B7159">
        <v>192</v>
      </c>
      <c r="C7159" s="1" t="str">
        <f>HYPERLINK("http://www.rosaceae.org/gb/gbrowse/malus_x_domestica/?name=MDP0000255237","MDP0000255237")</f>
        <v>MDP0000255237</v>
      </c>
      <c r="D7159">
        <v>71.84</v>
      </c>
      <c r="E7159">
        <v>206</v>
      </c>
      <c r="F7159">
        <v>58</v>
      </c>
      <c r="G7159">
        <v>26</v>
      </c>
      <c r="H7159">
        <v>1</v>
      </c>
      <c r="I7159">
        <v>180</v>
      </c>
      <c r="J7159">
        <v>1</v>
      </c>
      <c r="K7159">
        <v>1</v>
      </c>
      <c r="L7159">
        <v>206</v>
      </c>
      <c r="M7159">
        <v>1</v>
      </c>
      <c r="N7159">
        <v>2.53055E-81</v>
      </c>
      <c r="O7159">
        <v>763</v>
      </c>
    </row>
    <row r="7160" spans="1:15" x14ac:dyDescent="0.25">
      <c r="A7160" t="s">
        <v>7173</v>
      </c>
      <c r="B7160">
        <v>501</v>
      </c>
      <c r="C7160" s="1" t="str">
        <f>HYPERLINK("http://www.rosaceae.org/gb/gbrowse/malus_x_domestica/?name=MDP0000904421","MDP0000904421")</f>
        <v>MDP0000904421</v>
      </c>
      <c r="D7160">
        <v>85.82</v>
      </c>
      <c r="E7160">
        <v>501</v>
      </c>
      <c r="F7160">
        <v>71</v>
      </c>
      <c r="G7160">
        <v>4</v>
      </c>
      <c r="H7160">
        <v>1</v>
      </c>
      <c r="I7160">
        <v>500</v>
      </c>
      <c r="J7160">
        <v>1</v>
      </c>
      <c r="K7160">
        <v>1</v>
      </c>
      <c r="L7160">
        <v>498</v>
      </c>
      <c r="M7160">
        <v>1</v>
      </c>
      <c r="N7160">
        <v>0</v>
      </c>
      <c r="O7160">
        <v>2329</v>
      </c>
    </row>
    <row r="7161" spans="1:15" x14ac:dyDescent="0.25">
      <c r="A7161" t="s">
        <v>7174</v>
      </c>
      <c r="B7161">
        <v>106</v>
      </c>
      <c r="C7161" s="1" t="str">
        <f>HYPERLINK("http://www.rosaceae.org/gb/gbrowse/malus_x_domestica/?name=MDP0000774306","MDP0000774306")</f>
        <v>MDP0000774306</v>
      </c>
      <c r="D7161">
        <v>37.11</v>
      </c>
      <c r="E7161">
        <v>97</v>
      </c>
      <c r="F7161">
        <v>61</v>
      </c>
      <c r="G7161">
        <v>2</v>
      </c>
      <c r="H7161">
        <v>5</v>
      </c>
      <c r="I7161">
        <v>101</v>
      </c>
      <c r="J7161">
        <v>1</v>
      </c>
      <c r="K7161">
        <v>242</v>
      </c>
      <c r="L7161">
        <v>336</v>
      </c>
      <c r="M7161">
        <v>1</v>
      </c>
      <c r="N7161">
        <v>5.3679E-11</v>
      </c>
      <c r="O7161">
        <v>152</v>
      </c>
    </row>
    <row r="7162" spans="1:15" x14ac:dyDescent="0.25">
      <c r="A7162" t="s">
        <v>7175</v>
      </c>
      <c r="B7162">
        <v>570</v>
      </c>
      <c r="C7162" s="1" t="str">
        <f>HYPERLINK("http://www.rosaceae.org/gb/gbrowse/malus_x_domestica/?name=MDP0000193605","MDP0000193605")</f>
        <v>MDP0000193605</v>
      </c>
      <c r="D7162">
        <v>83.07</v>
      </c>
      <c r="E7162">
        <v>573</v>
      </c>
      <c r="F7162">
        <v>97</v>
      </c>
      <c r="G7162">
        <v>8</v>
      </c>
      <c r="H7162">
        <v>1</v>
      </c>
      <c r="I7162">
        <v>567</v>
      </c>
      <c r="J7162">
        <v>1</v>
      </c>
      <c r="K7162">
        <v>1</v>
      </c>
      <c r="L7162">
        <v>571</v>
      </c>
      <c r="M7162">
        <v>1</v>
      </c>
      <c r="N7162">
        <v>0</v>
      </c>
      <c r="O7162">
        <v>2441</v>
      </c>
    </row>
    <row r="7163" spans="1:15" x14ac:dyDescent="0.25">
      <c r="A7163" t="s">
        <v>7176</v>
      </c>
      <c r="B7163">
        <v>120</v>
      </c>
      <c r="C7163" s="1" t="str">
        <f>HYPERLINK("http://www.rosaceae.org/gb/gbrowse/malus_x_domestica/?name=MDP0000756893","MDP0000756893")</f>
        <v>MDP0000756893</v>
      </c>
      <c r="D7163">
        <v>65.739999999999995</v>
      </c>
      <c r="E7163">
        <v>108</v>
      </c>
      <c r="F7163">
        <v>37</v>
      </c>
      <c r="G7163">
        <v>0</v>
      </c>
      <c r="H7163">
        <v>13</v>
      </c>
      <c r="I7163">
        <v>120</v>
      </c>
      <c r="J7163">
        <v>1</v>
      </c>
      <c r="K7163">
        <v>61</v>
      </c>
      <c r="L7163">
        <v>168</v>
      </c>
      <c r="M7163">
        <v>1</v>
      </c>
      <c r="N7163">
        <v>2.37909E-39</v>
      </c>
      <c r="O7163">
        <v>397</v>
      </c>
    </row>
    <row r="7164" spans="1:15" x14ac:dyDescent="0.25">
      <c r="A7164" t="s">
        <v>7177</v>
      </c>
      <c r="B7164">
        <v>329</v>
      </c>
      <c r="C7164" s="1" t="str">
        <f>HYPERLINK("http://www.rosaceae.org/gb/gbrowse/malus_x_domestica/?name=MDP0000013380","MDP0000013380")</f>
        <v>MDP0000013380</v>
      </c>
      <c r="D7164">
        <v>74.91</v>
      </c>
      <c r="E7164">
        <v>307</v>
      </c>
      <c r="F7164">
        <v>77</v>
      </c>
      <c r="G7164">
        <v>6</v>
      </c>
      <c r="H7164">
        <v>3</v>
      </c>
      <c r="I7164">
        <v>308</v>
      </c>
      <c r="J7164">
        <v>1</v>
      </c>
      <c r="K7164">
        <v>1</v>
      </c>
      <c r="L7164">
        <v>302</v>
      </c>
      <c r="M7164">
        <v>1</v>
      </c>
      <c r="N7164">
        <v>1.69706E-134</v>
      </c>
      <c r="O7164">
        <v>1224</v>
      </c>
    </row>
    <row r="7165" spans="1:15" x14ac:dyDescent="0.25">
      <c r="A7165" t="s">
        <v>7178</v>
      </c>
      <c r="B7165">
        <v>320</v>
      </c>
      <c r="C7165" s="1" t="str">
        <f>HYPERLINK("http://www.rosaceae.org/gb/gbrowse/malus_x_domestica/?name=MDP0000280662","MDP0000280662")</f>
        <v>MDP0000280662</v>
      </c>
      <c r="D7165">
        <v>63.2</v>
      </c>
      <c r="E7165">
        <v>337</v>
      </c>
      <c r="F7165">
        <v>124</v>
      </c>
      <c r="G7165">
        <v>17</v>
      </c>
      <c r="H7165">
        <v>1</v>
      </c>
      <c r="I7165">
        <v>320</v>
      </c>
      <c r="J7165">
        <v>1</v>
      </c>
      <c r="K7165">
        <v>1</v>
      </c>
      <c r="L7165">
        <v>337</v>
      </c>
      <c r="M7165">
        <v>1</v>
      </c>
      <c r="N7165">
        <v>1.19133E-120</v>
      </c>
      <c r="O7165">
        <v>1105</v>
      </c>
    </row>
    <row r="7166" spans="1:15" x14ac:dyDescent="0.25">
      <c r="A7166" t="s">
        <v>7179</v>
      </c>
      <c r="B7166">
        <v>742</v>
      </c>
      <c r="C7166" s="1" t="str">
        <f>HYPERLINK("http://www.rosaceae.org/gb/gbrowse/malus_x_domestica/?name=MDP0000258531","MDP0000258531")</f>
        <v>MDP0000258531</v>
      </c>
      <c r="D7166">
        <v>54.97</v>
      </c>
      <c r="E7166">
        <v>191</v>
      </c>
      <c r="F7166">
        <v>86</v>
      </c>
      <c r="G7166">
        <v>31</v>
      </c>
      <c r="H7166">
        <v>11</v>
      </c>
      <c r="I7166">
        <v>200</v>
      </c>
      <c r="J7166">
        <v>1</v>
      </c>
      <c r="K7166">
        <v>10</v>
      </c>
      <c r="L7166">
        <v>170</v>
      </c>
      <c r="M7166">
        <v>1</v>
      </c>
      <c r="N7166">
        <v>1.11303E-47</v>
      </c>
      <c r="O7166">
        <v>479</v>
      </c>
    </row>
    <row r="7167" spans="1:15" x14ac:dyDescent="0.25">
      <c r="A7167" t="s">
        <v>7180</v>
      </c>
      <c r="B7167">
        <v>189</v>
      </c>
      <c r="C7167" s="1" t="str">
        <f>HYPERLINK("http://www.rosaceae.org/gb/gbrowse/malus_x_domestica/?name=MDP0000785770","MDP0000785770")</f>
        <v>MDP0000785770</v>
      </c>
      <c r="D7167">
        <v>74.14</v>
      </c>
      <c r="E7167">
        <v>147</v>
      </c>
      <c r="F7167">
        <v>38</v>
      </c>
      <c r="G7167">
        <v>1</v>
      </c>
      <c r="H7167">
        <v>40</v>
      </c>
      <c r="I7167">
        <v>185</v>
      </c>
      <c r="J7167">
        <v>1</v>
      </c>
      <c r="K7167">
        <v>35</v>
      </c>
      <c r="L7167">
        <v>181</v>
      </c>
      <c r="M7167">
        <v>1</v>
      </c>
      <c r="N7167">
        <v>1.13705E-52</v>
      </c>
      <c r="O7167">
        <v>515</v>
      </c>
    </row>
    <row r="7168" spans="1:15" x14ac:dyDescent="0.25">
      <c r="A7168" t="s">
        <v>7181</v>
      </c>
      <c r="B7168">
        <v>344</v>
      </c>
      <c r="C7168" s="1" t="str">
        <f>HYPERLINK("http://www.rosaceae.org/gb/gbrowse/malus_x_domestica/?name=MDP0000339332","MDP0000339332")</f>
        <v>MDP0000339332</v>
      </c>
      <c r="D7168">
        <v>48.19</v>
      </c>
      <c r="E7168">
        <v>83</v>
      </c>
      <c r="F7168">
        <v>43</v>
      </c>
      <c r="G7168">
        <v>11</v>
      </c>
      <c r="H7168">
        <v>229</v>
      </c>
      <c r="I7168">
        <v>303</v>
      </c>
      <c r="J7168">
        <v>1</v>
      </c>
      <c r="K7168">
        <v>1</v>
      </c>
      <c r="L7168">
        <v>80</v>
      </c>
      <c r="M7168">
        <v>1</v>
      </c>
      <c r="N7168">
        <v>2.3901400000000002E-10</v>
      </c>
      <c r="O7168">
        <v>154</v>
      </c>
    </row>
    <row r="7169" spans="1:15" x14ac:dyDescent="0.25">
      <c r="A7169" t="s">
        <v>7182</v>
      </c>
      <c r="B7169">
        <v>715</v>
      </c>
      <c r="C7169" s="1" t="str">
        <f>HYPERLINK("http://www.rosaceae.org/gb/gbrowse/malus_x_domestica/?name=MDP0000160278","MDP0000160278")</f>
        <v>MDP0000160278</v>
      </c>
      <c r="D7169">
        <v>70.75</v>
      </c>
      <c r="E7169">
        <v>759</v>
      </c>
      <c r="F7169">
        <v>222</v>
      </c>
      <c r="G7169">
        <v>44</v>
      </c>
      <c r="H7169">
        <v>1</v>
      </c>
      <c r="I7169">
        <v>715</v>
      </c>
      <c r="J7169">
        <v>1</v>
      </c>
      <c r="K7169">
        <v>1</v>
      </c>
      <c r="L7169">
        <v>759</v>
      </c>
      <c r="M7169">
        <v>1</v>
      </c>
      <c r="N7169">
        <v>0</v>
      </c>
      <c r="O7169">
        <v>2648</v>
      </c>
    </row>
    <row r="7170" spans="1:15" x14ac:dyDescent="0.25">
      <c r="A7170" t="s">
        <v>7183</v>
      </c>
      <c r="B7170">
        <v>270</v>
      </c>
      <c r="C7170" s="1" t="str">
        <f>HYPERLINK("http://www.rosaceae.org/gb/gbrowse/malus_x_domestica/?name=MDP0000242297","MDP0000242297")</f>
        <v>MDP0000242297</v>
      </c>
      <c r="D7170">
        <v>30.37</v>
      </c>
      <c r="E7170">
        <v>135</v>
      </c>
      <c r="F7170">
        <v>94</v>
      </c>
      <c r="G7170">
        <v>4</v>
      </c>
      <c r="H7170">
        <v>3</v>
      </c>
      <c r="I7170">
        <v>133</v>
      </c>
      <c r="J7170">
        <v>1</v>
      </c>
      <c r="K7170">
        <v>260</v>
      </c>
      <c r="L7170">
        <v>394</v>
      </c>
      <c r="M7170">
        <v>1</v>
      </c>
      <c r="N7170">
        <v>2.4941900000000001E-11</v>
      </c>
      <c r="O7170">
        <v>161</v>
      </c>
    </row>
    <row r="7171" spans="1:15" x14ac:dyDescent="0.25">
      <c r="A7171" t="s">
        <v>7184</v>
      </c>
      <c r="B7171">
        <v>336</v>
      </c>
      <c r="C7171" s="1" t="str">
        <f>HYPERLINK("http://www.rosaceae.org/gb/gbrowse/malus_x_domestica/?name=MDP0000234152","MDP0000234152")</f>
        <v>MDP0000234152</v>
      </c>
      <c r="D7171">
        <v>40.68</v>
      </c>
      <c r="E7171">
        <v>145</v>
      </c>
      <c r="F7171">
        <v>86</v>
      </c>
      <c r="G7171">
        <v>11</v>
      </c>
      <c r="H7171">
        <v>1</v>
      </c>
      <c r="I7171">
        <v>145</v>
      </c>
      <c r="J7171">
        <v>1</v>
      </c>
      <c r="K7171">
        <v>1</v>
      </c>
      <c r="L7171">
        <v>134</v>
      </c>
      <c r="M7171">
        <v>1</v>
      </c>
      <c r="N7171">
        <v>6.0069800000000002E-24</v>
      </c>
      <c r="O7171">
        <v>271</v>
      </c>
    </row>
    <row r="7172" spans="1:15" x14ac:dyDescent="0.25">
      <c r="A7172" t="s">
        <v>7185</v>
      </c>
      <c r="B7172">
        <v>351</v>
      </c>
      <c r="C7172" s="1" t="str">
        <f>HYPERLINK("http://www.rosaceae.org/gb/gbrowse/malus_x_domestica/?name=MDP0000295655","MDP0000295655")</f>
        <v>MDP0000295655</v>
      </c>
      <c r="D7172">
        <v>63.51</v>
      </c>
      <c r="E7172">
        <v>296</v>
      </c>
      <c r="F7172">
        <v>108</v>
      </c>
      <c r="G7172">
        <v>26</v>
      </c>
      <c r="H7172">
        <v>1</v>
      </c>
      <c r="I7172">
        <v>278</v>
      </c>
      <c r="J7172">
        <v>1</v>
      </c>
      <c r="K7172">
        <v>3</v>
      </c>
      <c r="L7172">
        <v>290</v>
      </c>
      <c r="M7172">
        <v>1</v>
      </c>
      <c r="N7172">
        <v>4.33493E-99</v>
      </c>
      <c r="O7172">
        <v>919</v>
      </c>
    </row>
    <row r="7173" spans="1:15" x14ac:dyDescent="0.25">
      <c r="A7173" t="s">
        <v>7186</v>
      </c>
      <c r="B7173">
        <v>225</v>
      </c>
      <c r="C7173" s="1" t="str">
        <f>HYPERLINK("http://www.rosaceae.org/gb/gbrowse/malus_x_domestica/?name=MDP0000235170","MDP0000235170")</f>
        <v>MDP0000235170</v>
      </c>
      <c r="D7173">
        <v>74.760000000000005</v>
      </c>
      <c r="E7173">
        <v>210</v>
      </c>
      <c r="F7173">
        <v>53</v>
      </c>
      <c r="G7173">
        <v>14</v>
      </c>
      <c r="H7173">
        <v>24</v>
      </c>
      <c r="I7173">
        <v>225</v>
      </c>
      <c r="J7173">
        <v>1</v>
      </c>
      <c r="K7173">
        <v>678</v>
      </c>
      <c r="L7173">
        <v>881</v>
      </c>
      <c r="M7173">
        <v>1</v>
      </c>
      <c r="N7173">
        <v>7.6173799999999999E-87</v>
      </c>
      <c r="O7173">
        <v>811</v>
      </c>
    </row>
    <row r="7174" spans="1:15" x14ac:dyDescent="0.25">
      <c r="A7174" t="s">
        <v>7187</v>
      </c>
      <c r="B7174">
        <v>199</v>
      </c>
      <c r="C7174" s="1" t="str">
        <f>HYPERLINK("http://www.rosaceae.org/gb/gbrowse/malus_x_domestica/?name=MDP0000678562","MDP0000678562")</f>
        <v>MDP0000678562</v>
      </c>
      <c r="D7174">
        <v>78.06</v>
      </c>
      <c r="E7174">
        <v>196</v>
      </c>
      <c r="F7174">
        <v>43</v>
      </c>
      <c r="G7174">
        <v>0</v>
      </c>
      <c r="H7174">
        <v>1</v>
      </c>
      <c r="I7174">
        <v>196</v>
      </c>
      <c r="J7174">
        <v>1</v>
      </c>
      <c r="K7174">
        <v>1</v>
      </c>
      <c r="L7174">
        <v>196</v>
      </c>
      <c r="M7174">
        <v>1</v>
      </c>
      <c r="N7174">
        <v>5.8938600000000001E-89</v>
      </c>
      <c r="O7174">
        <v>829</v>
      </c>
    </row>
    <row r="7175" spans="1:15" x14ac:dyDescent="0.25">
      <c r="A7175" t="s">
        <v>7188</v>
      </c>
      <c r="B7175">
        <v>2157</v>
      </c>
      <c r="C7175" s="1" t="str">
        <f>HYPERLINK("http://www.rosaceae.org/gb/gbrowse/malus_x_domestica/?name=MDP0000230486","MDP0000230486")</f>
        <v>MDP0000230486</v>
      </c>
      <c r="D7175">
        <v>52.94</v>
      </c>
      <c r="E7175">
        <v>833</v>
      </c>
      <c r="F7175">
        <v>392</v>
      </c>
      <c r="G7175">
        <v>93</v>
      </c>
      <c r="H7175">
        <v>1358</v>
      </c>
      <c r="I7175">
        <v>2157</v>
      </c>
      <c r="J7175">
        <v>1</v>
      </c>
      <c r="K7175">
        <v>863</v>
      </c>
      <c r="L7175">
        <v>1635</v>
      </c>
      <c r="M7175">
        <v>1</v>
      </c>
      <c r="N7175">
        <v>0</v>
      </c>
      <c r="O7175">
        <v>1823</v>
      </c>
    </row>
    <row r="7176" spans="1:15" x14ac:dyDescent="0.25">
      <c r="A7176" t="s">
        <v>7189</v>
      </c>
      <c r="B7176">
        <v>555</v>
      </c>
      <c r="C7176" s="1" t="str">
        <f>HYPERLINK("http://www.rosaceae.org/gb/gbrowse/malus_x_domestica/?name=MDP0000129759","MDP0000129759")</f>
        <v>MDP0000129759</v>
      </c>
      <c r="D7176">
        <v>73.88</v>
      </c>
      <c r="E7176">
        <v>314</v>
      </c>
      <c r="F7176">
        <v>82</v>
      </c>
      <c r="G7176">
        <v>20</v>
      </c>
      <c r="H7176">
        <v>1</v>
      </c>
      <c r="I7176">
        <v>294</v>
      </c>
      <c r="J7176">
        <v>1</v>
      </c>
      <c r="K7176">
        <v>1</v>
      </c>
      <c r="L7176">
        <v>314</v>
      </c>
      <c r="M7176">
        <v>1</v>
      </c>
      <c r="N7176">
        <v>3.6207199999999999E-132</v>
      </c>
      <c r="O7176">
        <v>1207</v>
      </c>
    </row>
    <row r="7177" spans="1:15" x14ac:dyDescent="0.25">
      <c r="A7177" t="s">
        <v>7190</v>
      </c>
      <c r="B7177">
        <v>541</v>
      </c>
      <c r="C7177" s="1" t="str">
        <f>HYPERLINK("http://www.rosaceae.org/gb/gbrowse/malus_x_domestica/?name=MDP0000124089","MDP0000124089")</f>
        <v>MDP0000124089</v>
      </c>
      <c r="D7177">
        <v>86.27</v>
      </c>
      <c r="E7177">
        <v>481</v>
      </c>
      <c r="F7177">
        <v>66</v>
      </c>
      <c r="G7177">
        <v>7</v>
      </c>
      <c r="H7177">
        <v>66</v>
      </c>
      <c r="I7177">
        <v>541</v>
      </c>
      <c r="J7177">
        <v>1</v>
      </c>
      <c r="K7177">
        <v>1</v>
      </c>
      <c r="L7177">
        <v>479</v>
      </c>
      <c r="M7177">
        <v>1</v>
      </c>
      <c r="N7177">
        <v>0</v>
      </c>
      <c r="O7177">
        <v>2257</v>
      </c>
    </row>
    <row r="7178" spans="1:15" x14ac:dyDescent="0.25">
      <c r="A7178" t="s">
        <v>7191</v>
      </c>
      <c r="B7178">
        <v>547</v>
      </c>
      <c r="C7178" s="1" t="str">
        <f>HYPERLINK("http://www.rosaceae.org/gb/gbrowse/malus_x_domestica/?name=MDP0000584567","MDP0000584567")</f>
        <v>MDP0000584567</v>
      </c>
      <c r="D7178">
        <v>60.12</v>
      </c>
      <c r="E7178">
        <v>479</v>
      </c>
      <c r="F7178">
        <v>191</v>
      </c>
      <c r="G7178">
        <v>21</v>
      </c>
      <c r="H7178">
        <v>83</v>
      </c>
      <c r="I7178">
        <v>547</v>
      </c>
      <c r="J7178">
        <v>1</v>
      </c>
      <c r="K7178">
        <v>1</v>
      </c>
      <c r="L7178">
        <v>472</v>
      </c>
      <c r="M7178">
        <v>1</v>
      </c>
      <c r="N7178">
        <v>4.0506000000000001E-164</v>
      </c>
      <c r="O7178">
        <v>1482</v>
      </c>
    </row>
    <row r="7179" spans="1:15" x14ac:dyDescent="0.25">
      <c r="A7179" t="s">
        <v>7192</v>
      </c>
      <c r="B7179">
        <v>181</v>
      </c>
      <c r="C7179" s="1" t="str">
        <f>HYPERLINK("http://www.rosaceae.org/gb/gbrowse/malus_x_domestica/?name=MDP0000763585","MDP0000763585")</f>
        <v>MDP0000763585</v>
      </c>
      <c r="D7179">
        <v>81.28</v>
      </c>
      <c r="E7179">
        <v>171</v>
      </c>
      <c r="F7179">
        <v>32</v>
      </c>
      <c r="G7179">
        <v>0</v>
      </c>
      <c r="H7179">
        <v>1</v>
      </c>
      <c r="I7179">
        <v>171</v>
      </c>
      <c r="J7179">
        <v>1</v>
      </c>
      <c r="K7179">
        <v>44</v>
      </c>
      <c r="L7179">
        <v>214</v>
      </c>
      <c r="M7179">
        <v>1</v>
      </c>
      <c r="N7179">
        <v>2.44728E-80</v>
      </c>
      <c r="O7179">
        <v>754</v>
      </c>
    </row>
    <row r="7180" spans="1:15" x14ac:dyDescent="0.25">
      <c r="A7180" t="s">
        <v>7193</v>
      </c>
      <c r="B7180">
        <v>285</v>
      </c>
      <c r="C7180" s="1" t="str">
        <f>HYPERLINK("http://www.rosaceae.org/gb/gbrowse/malus_x_domestica/?name=MDP0000855406","MDP0000855406")</f>
        <v>MDP0000855406</v>
      </c>
      <c r="D7180">
        <v>27.08</v>
      </c>
      <c r="E7180">
        <v>144</v>
      </c>
      <c r="F7180">
        <v>105</v>
      </c>
      <c r="G7180">
        <v>9</v>
      </c>
      <c r="H7180">
        <v>2</v>
      </c>
      <c r="I7180">
        <v>144</v>
      </c>
      <c r="J7180">
        <v>1</v>
      </c>
      <c r="K7180">
        <v>4</v>
      </c>
      <c r="L7180">
        <v>139</v>
      </c>
      <c r="M7180">
        <v>1</v>
      </c>
      <c r="N7180">
        <v>7.27635E-9</v>
      </c>
      <c r="O7180">
        <v>140</v>
      </c>
    </row>
    <row r="7181" spans="1:15" x14ac:dyDescent="0.25">
      <c r="A7181" t="s">
        <v>7194</v>
      </c>
      <c r="B7181">
        <v>338</v>
      </c>
      <c r="C7181" s="1" t="str">
        <f>HYPERLINK("http://www.rosaceae.org/gb/gbrowse/malus_x_domestica/?name=MDP0000201897","MDP0000201897")</f>
        <v>MDP0000201897</v>
      </c>
      <c r="D7181">
        <v>30.18</v>
      </c>
      <c r="E7181">
        <v>159</v>
      </c>
      <c r="F7181">
        <v>111</v>
      </c>
      <c r="G7181">
        <v>18</v>
      </c>
      <c r="H7181">
        <v>5</v>
      </c>
      <c r="I7181">
        <v>147</v>
      </c>
      <c r="J7181">
        <v>1</v>
      </c>
      <c r="K7181">
        <v>611</v>
      </c>
      <c r="L7181">
        <v>767</v>
      </c>
      <c r="M7181">
        <v>1</v>
      </c>
      <c r="N7181">
        <v>1.2765E-14</v>
      </c>
      <c r="O7181">
        <v>191</v>
      </c>
    </row>
    <row r="7182" spans="1:15" x14ac:dyDescent="0.25">
      <c r="A7182" t="s">
        <v>7195</v>
      </c>
      <c r="B7182">
        <v>1117</v>
      </c>
      <c r="C7182" s="1" t="str">
        <f>HYPERLINK("http://www.rosaceae.org/gb/gbrowse/malus_x_domestica/?name=MDP0000288678","MDP0000288678")</f>
        <v>MDP0000288678</v>
      </c>
      <c r="D7182">
        <v>89.28</v>
      </c>
      <c r="E7182">
        <v>1092</v>
      </c>
      <c r="F7182">
        <v>117</v>
      </c>
      <c r="G7182">
        <v>0</v>
      </c>
      <c r="H7182">
        <v>26</v>
      </c>
      <c r="I7182">
        <v>1117</v>
      </c>
      <c r="J7182">
        <v>1</v>
      </c>
      <c r="K7182">
        <v>155</v>
      </c>
      <c r="L7182">
        <v>1246</v>
      </c>
      <c r="M7182">
        <v>1</v>
      </c>
      <c r="N7182">
        <v>0</v>
      </c>
      <c r="O7182">
        <v>5187</v>
      </c>
    </row>
    <row r="7183" spans="1:15" x14ac:dyDescent="0.25">
      <c r="A7183" t="s">
        <v>7196</v>
      </c>
      <c r="B7183">
        <v>394</v>
      </c>
      <c r="C7183" s="1" t="str">
        <f>HYPERLINK("http://www.rosaceae.org/gb/gbrowse/malus_x_domestica/?name=MDP0000324144","MDP0000324144")</f>
        <v>MDP0000324144</v>
      </c>
      <c r="D7183">
        <v>84.48</v>
      </c>
      <c r="E7183">
        <v>58</v>
      </c>
      <c r="F7183">
        <v>9</v>
      </c>
      <c r="G7183">
        <v>0</v>
      </c>
      <c r="H7183">
        <v>284</v>
      </c>
      <c r="I7183">
        <v>341</v>
      </c>
      <c r="J7183">
        <v>1</v>
      </c>
      <c r="K7183">
        <v>413</v>
      </c>
      <c r="L7183">
        <v>470</v>
      </c>
      <c r="M7183">
        <v>1</v>
      </c>
      <c r="N7183">
        <v>2.5053499999999999E-19</v>
      </c>
      <c r="O7183">
        <v>232</v>
      </c>
    </row>
    <row r="7184" spans="1:15" x14ac:dyDescent="0.25">
      <c r="A7184" t="s">
        <v>7197</v>
      </c>
      <c r="B7184">
        <v>989</v>
      </c>
      <c r="C7184" s="1" t="str">
        <f>HYPERLINK("http://www.rosaceae.org/gb/gbrowse/malus_x_domestica/?name=MDP0000259697","MDP0000259697")</f>
        <v>MDP0000259697</v>
      </c>
      <c r="D7184">
        <v>90.67</v>
      </c>
      <c r="E7184">
        <v>504</v>
      </c>
      <c r="F7184">
        <v>47</v>
      </c>
      <c r="G7184">
        <v>3</v>
      </c>
      <c r="H7184">
        <v>489</v>
      </c>
      <c r="I7184">
        <v>989</v>
      </c>
      <c r="J7184">
        <v>1</v>
      </c>
      <c r="K7184">
        <v>142</v>
      </c>
      <c r="L7184">
        <v>645</v>
      </c>
      <c r="M7184">
        <v>1</v>
      </c>
      <c r="N7184">
        <v>0</v>
      </c>
      <c r="O7184">
        <v>2479</v>
      </c>
    </row>
    <row r="7185" spans="1:15" x14ac:dyDescent="0.25">
      <c r="A7185" t="s">
        <v>7198</v>
      </c>
      <c r="B7185">
        <v>388</v>
      </c>
      <c r="C7185" s="1" t="str">
        <f>HYPERLINK("http://www.rosaceae.org/gb/gbrowse/malus_x_domestica/?name=MDP0000305882","MDP0000305882")</f>
        <v>MDP0000305882</v>
      </c>
      <c r="D7185">
        <v>51.27</v>
      </c>
      <c r="E7185">
        <v>353</v>
      </c>
      <c r="F7185">
        <v>172</v>
      </c>
      <c r="G7185">
        <v>59</v>
      </c>
      <c r="H7185">
        <v>1</v>
      </c>
      <c r="I7185">
        <v>334</v>
      </c>
      <c r="J7185">
        <v>1</v>
      </c>
      <c r="K7185">
        <v>1</v>
      </c>
      <c r="L7185">
        <v>313</v>
      </c>
      <c r="M7185">
        <v>1</v>
      </c>
      <c r="N7185">
        <v>6.8612299999999999E-94</v>
      </c>
      <c r="O7185">
        <v>875</v>
      </c>
    </row>
    <row r="7186" spans="1:15" x14ac:dyDescent="0.25">
      <c r="A7186" t="s">
        <v>7199</v>
      </c>
      <c r="B7186">
        <v>2125</v>
      </c>
      <c r="C7186" s="1" t="str">
        <f>HYPERLINK("http://www.rosaceae.org/gb/gbrowse/malus_x_domestica/?name=MDP0000139718","MDP0000139718")</f>
        <v>MDP0000139718</v>
      </c>
      <c r="D7186">
        <v>55.06</v>
      </c>
      <c r="E7186">
        <v>1382</v>
      </c>
      <c r="F7186">
        <v>621</v>
      </c>
      <c r="G7186">
        <v>99</v>
      </c>
      <c r="H7186">
        <v>68</v>
      </c>
      <c r="I7186">
        <v>1369</v>
      </c>
      <c r="J7186">
        <v>1</v>
      </c>
      <c r="K7186">
        <v>10</v>
      </c>
      <c r="L7186">
        <v>1372</v>
      </c>
      <c r="M7186">
        <v>1</v>
      </c>
      <c r="N7186">
        <v>0</v>
      </c>
      <c r="O7186">
        <v>3540</v>
      </c>
    </row>
    <row r="7187" spans="1:15" x14ac:dyDescent="0.25">
      <c r="A7187" t="s">
        <v>7200</v>
      </c>
      <c r="B7187">
        <v>321</v>
      </c>
      <c r="C7187" s="1" t="str">
        <f>HYPERLINK("http://www.rosaceae.org/gb/gbrowse/malus_x_domestica/?name=MDP0000196408","MDP0000196408")</f>
        <v>MDP0000196408</v>
      </c>
      <c r="D7187">
        <v>47.63</v>
      </c>
      <c r="E7187">
        <v>317</v>
      </c>
      <c r="F7187">
        <v>166</v>
      </c>
      <c r="G7187">
        <v>84</v>
      </c>
      <c r="H7187">
        <v>11</v>
      </c>
      <c r="I7187">
        <v>254</v>
      </c>
      <c r="J7187">
        <v>1</v>
      </c>
      <c r="K7187">
        <v>9</v>
      </c>
      <c r="L7187">
        <v>314</v>
      </c>
      <c r="M7187">
        <v>1</v>
      </c>
      <c r="N7187">
        <v>1.31358E-58</v>
      </c>
      <c r="O7187">
        <v>570</v>
      </c>
    </row>
    <row r="7188" spans="1:15" x14ac:dyDescent="0.25">
      <c r="A7188" t="s">
        <v>7201</v>
      </c>
      <c r="B7188">
        <v>290</v>
      </c>
      <c r="C7188" s="1" t="str">
        <f>HYPERLINK("http://www.rosaceae.org/gb/gbrowse/malus_x_domestica/?name=MDP0000290571","MDP0000290571")</f>
        <v>MDP0000290571</v>
      </c>
      <c r="D7188">
        <v>76.66</v>
      </c>
      <c r="E7188">
        <v>210</v>
      </c>
      <c r="F7188">
        <v>49</v>
      </c>
      <c r="G7188">
        <v>3</v>
      </c>
      <c r="H7188">
        <v>80</v>
      </c>
      <c r="I7188">
        <v>289</v>
      </c>
      <c r="J7188">
        <v>1</v>
      </c>
      <c r="K7188">
        <v>580</v>
      </c>
      <c r="L7188">
        <v>786</v>
      </c>
      <c r="M7188">
        <v>1</v>
      </c>
      <c r="N7188">
        <v>6.21968E-94</v>
      </c>
      <c r="O7188">
        <v>874</v>
      </c>
    </row>
    <row r="7189" spans="1:15" x14ac:dyDescent="0.25">
      <c r="A7189" t="s">
        <v>7202</v>
      </c>
      <c r="B7189">
        <v>331</v>
      </c>
      <c r="C7189" s="1" t="str">
        <f>HYPERLINK("http://www.rosaceae.org/gb/gbrowse/malus_x_domestica/?name=MDP0000299496","MDP0000299496")</f>
        <v>MDP0000299496</v>
      </c>
      <c r="D7189">
        <v>27.09</v>
      </c>
      <c r="E7189">
        <v>203</v>
      </c>
      <c r="F7189">
        <v>148</v>
      </c>
      <c r="G7189">
        <v>24</v>
      </c>
      <c r="H7189">
        <v>148</v>
      </c>
      <c r="I7189">
        <v>330</v>
      </c>
      <c r="J7189">
        <v>1</v>
      </c>
      <c r="K7189">
        <v>582</v>
      </c>
      <c r="L7189">
        <v>780</v>
      </c>
      <c r="M7189">
        <v>1</v>
      </c>
      <c r="N7189">
        <v>2.8302399999999999E-12</v>
      </c>
      <c r="O7189">
        <v>170</v>
      </c>
    </row>
    <row r="7190" spans="1:15" x14ac:dyDescent="0.25">
      <c r="A7190" t="s">
        <v>7203</v>
      </c>
      <c r="B7190">
        <v>719</v>
      </c>
      <c r="C7190" s="1" t="str">
        <f>HYPERLINK("http://www.rosaceae.org/gb/gbrowse/malus_x_domestica/?name=MDP0000320332","MDP0000320332")</f>
        <v>MDP0000320332</v>
      </c>
      <c r="D7190">
        <v>82.61</v>
      </c>
      <c r="E7190">
        <v>719</v>
      </c>
      <c r="F7190">
        <v>125</v>
      </c>
      <c r="G7190">
        <v>44</v>
      </c>
      <c r="H7190">
        <v>1</v>
      </c>
      <c r="I7190">
        <v>719</v>
      </c>
      <c r="J7190">
        <v>1</v>
      </c>
      <c r="K7190">
        <v>45</v>
      </c>
      <c r="L7190">
        <v>719</v>
      </c>
      <c r="M7190">
        <v>1</v>
      </c>
      <c r="N7190">
        <v>0</v>
      </c>
      <c r="O7190">
        <v>3153</v>
      </c>
    </row>
    <row r="7191" spans="1:15" x14ac:dyDescent="0.25">
      <c r="A7191" t="s">
        <v>7204</v>
      </c>
      <c r="B7191">
        <v>318</v>
      </c>
      <c r="C7191" s="1" t="str">
        <f>HYPERLINK("http://www.rosaceae.org/gb/gbrowse/malus_x_domestica/?name=MDP0000229958","MDP0000229958")</f>
        <v>MDP0000229958</v>
      </c>
      <c r="D7191">
        <v>41.66</v>
      </c>
      <c r="E7191">
        <v>108</v>
      </c>
      <c r="F7191">
        <v>63</v>
      </c>
      <c r="G7191">
        <v>35</v>
      </c>
      <c r="H7191">
        <v>246</v>
      </c>
      <c r="I7191">
        <v>318</v>
      </c>
      <c r="J7191">
        <v>1</v>
      </c>
      <c r="K7191">
        <v>1</v>
      </c>
      <c r="L7191">
        <v>108</v>
      </c>
      <c r="M7191">
        <v>1</v>
      </c>
      <c r="N7191">
        <v>4.6266100000000004E-13</v>
      </c>
      <c r="O7191">
        <v>177</v>
      </c>
    </row>
    <row r="7192" spans="1:15" x14ac:dyDescent="0.25">
      <c r="A7192" t="s">
        <v>7205</v>
      </c>
      <c r="B7192">
        <v>298</v>
      </c>
      <c r="C7192" s="1" t="str">
        <f>HYPERLINK("http://www.rosaceae.org/gb/gbrowse/malus_x_domestica/?name=MDP0000881537","MDP0000881537")</f>
        <v>MDP0000881537</v>
      </c>
      <c r="D7192">
        <v>49.03</v>
      </c>
      <c r="E7192">
        <v>259</v>
      </c>
      <c r="F7192">
        <v>132</v>
      </c>
      <c r="G7192">
        <v>15</v>
      </c>
      <c r="H7192">
        <v>1</v>
      </c>
      <c r="I7192">
        <v>251</v>
      </c>
      <c r="J7192">
        <v>1</v>
      </c>
      <c r="K7192">
        <v>17</v>
      </c>
      <c r="L7192">
        <v>268</v>
      </c>
      <c r="M7192">
        <v>1</v>
      </c>
      <c r="N7192">
        <v>1.8736800000000001E-60</v>
      </c>
      <c r="O7192">
        <v>585</v>
      </c>
    </row>
    <row r="7193" spans="1:15" x14ac:dyDescent="0.25">
      <c r="A7193" t="s">
        <v>7206</v>
      </c>
      <c r="B7193">
        <v>407</v>
      </c>
      <c r="C7193" s="1" t="str">
        <f>HYPERLINK("http://www.rosaceae.org/gb/gbrowse/malus_x_domestica/?name=MDP0000129644","MDP0000129644")</f>
        <v>MDP0000129644</v>
      </c>
      <c r="D7193">
        <v>45.26</v>
      </c>
      <c r="E7193">
        <v>391</v>
      </c>
      <c r="F7193">
        <v>214</v>
      </c>
      <c r="G7193">
        <v>84</v>
      </c>
      <c r="H7193">
        <v>1</v>
      </c>
      <c r="I7193">
        <v>323</v>
      </c>
      <c r="J7193">
        <v>1</v>
      </c>
      <c r="K7193">
        <v>1</v>
      </c>
      <c r="L7193">
        <v>375</v>
      </c>
      <c r="M7193">
        <v>1</v>
      </c>
      <c r="N7193">
        <v>1.45706E-55</v>
      </c>
      <c r="O7193">
        <v>545</v>
      </c>
    </row>
    <row r="7194" spans="1:15" x14ac:dyDescent="0.25">
      <c r="A7194" t="s">
        <v>7207</v>
      </c>
      <c r="B7194">
        <v>465</v>
      </c>
      <c r="C7194" s="1" t="str">
        <f>HYPERLINK("http://www.rosaceae.org/gb/gbrowse/malus_x_domestica/?name=MDP0000628052","MDP0000628052")</f>
        <v>MDP0000628052</v>
      </c>
      <c r="D7194">
        <v>42.96</v>
      </c>
      <c r="E7194">
        <v>256</v>
      </c>
      <c r="F7194">
        <v>146</v>
      </c>
      <c r="G7194">
        <v>32</v>
      </c>
      <c r="H7194">
        <v>36</v>
      </c>
      <c r="I7194">
        <v>259</v>
      </c>
      <c r="J7194">
        <v>1</v>
      </c>
      <c r="K7194">
        <v>45</v>
      </c>
      <c r="L7194">
        <v>300</v>
      </c>
      <c r="M7194">
        <v>1</v>
      </c>
      <c r="N7194">
        <v>5.7473800000000004E-51</v>
      </c>
      <c r="O7194">
        <v>506</v>
      </c>
    </row>
    <row r="7195" spans="1:15" x14ac:dyDescent="0.25">
      <c r="A7195" t="s">
        <v>7208</v>
      </c>
      <c r="B7195">
        <v>109</v>
      </c>
      <c r="C7195" s="1" t="str">
        <f>HYPERLINK("http://www.rosaceae.org/gb/gbrowse/malus_x_domestica/?name=MDP0000213440","MDP0000213440")</f>
        <v>MDP0000213440</v>
      </c>
      <c r="D7195">
        <v>75.22</v>
      </c>
      <c r="E7195">
        <v>109</v>
      </c>
      <c r="F7195">
        <v>27</v>
      </c>
      <c r="G7195">
        <v>0</v>
      </c>
      <c r="H7195">
        <v>1</v>
      </c>
      <c r="I7195">
        <v>109</v>
      </c>
      <c r="J7195">
        <v>1</v>
      </c>
      <c r="K7195">
        <v>1</v>
      </c>
      <c r="L7195">
        <v>109</v>
      </c>
      <c r="M7195">
        <v>1</v>
      </c>
      <c r="N7195">
        <v>8.8978400000000006E-46</v>
      </c>
      <c r="O7195">
        <v>452</v>
      </c>
    </row>
    <row r="7196" spans="1:15" x14ac:dyDescent="0.25">
      <c r="A7196" t="s">
        <v>7209</v>
      </c>
      <c r="B7196">
        <v>341</v>
      </c>
      <c r="C7196" s="1" t="str">
        <f>HYPERLINK("http://www.rosaceae.org/gb/gbrowse/malus_x_domestica/?name=MDP0000178612","MDP0000178612")</f>
        <v>MDP0000178612</v>
      </c>
      <c r="D7196">
        <v>56.21</v>
      </c>
      <c r="E7196">
        <v>201</v>
      </c>
      <c r="F7196">
        <v>88</v>
      </c>
      <c r="G7196">
        <v>30</v>
      </c>
      <c r="H7196">
        <v>1</v>
      </c>
      <c r="I7196">
        <v>172</v>
      </c>
      <c r="J7196">
        <v>1</v>
      </c>
      <c r="K7196">
        <v>5</v>
      </c>
      <c r="L7196">
        <v>204</v>
      </c>
      <c r="M7196">
        <v>1</v>
      </c>
      <c r="N7196">
        <v>4.4700899999999999E-52</v>
      </c>
      <c r="O7196">
        <v>514</v>
      </c>
    </row>
    <row r="7197" spans="1:15" x14ac:dyDescent="0.25">
      <c r="A7197" t="s">
        <v>7210</v>
      </c>
      <c r="B7197">
        <v>196</v>
      </c>
      <c r="C7197" s="1" t="str">
        <f>HYPERLINK("http://www.rosaceae.org/gb/gbrowse/malus_x_domestica/?name=MDP0000884441","MDP0000884441")</f>
        <v>MDP0000884441</v>
      </c>
      <c r="D7197">
        <v>83.58</v>
      </c>
      <c r="E7197">
        <v>201</v>
      </c>
      <c r="F7197">
        <v>33</v>
      </c>
      <c r="G7197">
        <v>5</v>
      </c>
      <c r="H7197">
        <v>1</v>
      </c>
      <c r="I7197">
        <v>196</v>
      </c>
      <c r="J7197">
        <v>1</v>
      </c>
      <c r="K7197">
        <v>1</v>
      </c>
      <c r="L7197">
        <v>201</v>
      </c>
      <c r="M7197">
        <v>1</v>
      </c>
      <c r="N7197">
        <v>2.0825300000000001E-91</v>
      </c>
      <c r="O7197">
        <v>850</v>
      </c>
    </row>
    <row r="7198" spans="1:15" x14ac:dyDescent="0.25">
      <c r="A7198" t="s">
        <v>7211</v>
      </c>
      <c r="B7198">
        <v>344</v>
      </c>
      <c r="C7198" s="1" t="str">
        <f>HYPERLINK("http://www.rosaceae.org/gb/gbrowse/malus_x_domestica/?name=MDP0000209143","MDP0000209143")</f>
        <v>MDP0000209143</v>
      </c>
      <c r="D7198">
        <v>77.099999999999994</v>
      </c>
      <c r="E7198">
        <v>345</v>
      </c>
      <c r="F7198">
        <v>79</v>
      </c>
      <c r="G7198">
        <v>19</v>
      </c>
      <c r="H7198">
        <v>1</v>
      </c>
      <c r="I7198">
        <v>344</v>
      </c>
      <c r="J7198">
        <v>1</v>
      </c>
      <c r="K7198">
        <v>1</v>
      </c>
      <c r="L7198">
        <v>327</v>
      </c>
      <c r="M7198">
        <v>1</v>
      </c>
      <c r="N7198">
        <v>2.5995500000000002E-152</v>
      </c>
      <c r="O7198">
        <v>1378</v>
      </c>
    </row>
    <row r="7199" spans="1:15" x14ac:dyDescent="0.25">
      <c r="A7199" t="s">
        <v>7212</v>
      </c>
      <c r="B7199">
        <v>1019</v>
      </c>
      <c r="C7199" s="1" t="str">
        <f>HYPERLINK("http://www.rosaceae.org/gb/gbrowse/malus_x_domestica/?name=MDP0000213823","MDP0000213823")</f>
        <v>MDP0000213823</v>
      </c>
      <c r="D7199">
        <v>46.15</v>
      </c>
      <c r="E7199">
        <v>1053</v>
      </c>
      <c r="F7199">
        <v>567</v>
      </c>
      <c r="G7199">
        <v>81</v>
      </c>
      <c r="H7199">
        <v>5</v>
      </c>
      <c r="I7199">
        <v>1016</v>
      </c>
      <c r="J7199">
        <v>1</v>
      </c>
      <c r="K7199">
        <v>1</v>
      </c>
      <c r="L7199">
        <v>1013</v>
      </c>
      <c r="M7199">
        <v>1</v>
      </c>
      <c r="N7199">
        <v>0</v>
      </c>
      <c r="O7199">
        <v>2124</v>
      </c>
    </row>
    <row r="7200" spans="1:15" x14ac:dyDescent="0.25">
      <c r="A7200" t="s">
        <v>7213</v>
      </c>
      <c r="B7200">
        <v>1005</v>
      </c>
      <c r="C7200" s="1" t="str">
        <f>HYPERLINK("http://www.rosaceae.org/gb/gbrowse/malus_x_domestica/?name=MDP0000186402","MDP0000186402")</f>
        <v>MDP0000186402</v>
      </c>
      <c r="D7200">
        <v>31.48</v>
      </c>
      <c r="E7200">
        <v>108</v>
      </c>
      <c r="F7200">
        <v>74</v>
      </c>
      <c r="G7200">
        <v>0</v>
      </c>
      <c r="H7200">
        <v>488</v>
      </c>
      <c r="I7200">
        <v>595</v>
      </c>
      <c r="J7200">
        <v>1</v>
      </c>
      <c r="K7200">
        <v>409</v>
      </c>
      <c r="L7200">
        <v>516</v>
      </c>
      <c r="M7200">
        <v>1</v>
      </c>
      <c r="N7200">
        <v>4.2596999999999998E-10</v>
      </c>
      <c r="O7200">
        <v>157</v>
      </c>
    </row>
    <row r="7201" spans="1:15" x14ac:dyDescent="0.25">
      <c r="A7201" t="s">
        <v>7214</v>
      </c>
      <c r="B7201">
        <v>210</v>
      </c>
      <c r="C7201" s="1" t="str">
        <f>HYPERLINK("http://www.rosaceae.org/gb/gbrowse/malus_x_domestica/?name=MDP0000141727","MDP0000141727")</f>
        <v>MDP0000141727</v>
      </c>
      <c r="D7201">
        <v>78.599999999999994</v>
      </c>
      <c r="E7201">
        <v>201</v>
      </c>
      <c r="F7201">
        <v>43</v>
      </c>
      <c r="G7201">
        <v>4</v>
      </c>
      <c r="H7201">
        <v>10</v>
      </c>
      <c r="I7201">
        <v>210</v>
      </c>
      <c r="J7201">
        <v>1</v>
      </c>
      <c r="K7201">
        <v>209</v>
      </c>
      <c r="L7201">
        <v>405</v>
      </c>
      <c r="M7201">
        <v>1</v>
      </c>
      <c r="N7201">
        <v>4.6974900000000001E-91</v>
      </c>
      <c r="O7201">
        <v>847</v>
      </c>
    </row>
    <row r="7202" spans="1:15" x14ac:dyDescent="0.25">
      <c r="A7202" t="s">
        <v>7215</v>
      </c>
      <c r="B7202">
        <v>546</v>
      </c>
      <c r="C7202" s="1" t="str">
        <f>HYPERLINK("http://www.rosaceae.org/gb/gbrowse/malus_x_domestica/?name=MDP0000665380","MDP0000665380")</f>
        <v>MDP0000665380</v>
      </c>
      <c r="D7202">
        <v>84.79</v>
      </c>
      <c r="E7202">
        <v>546</v>
      </c>
      <c r="F7202">
        <v>83</v>
      </c>
      <c r="G7202">
        <v>5</v>
      </c>
      <c r="H7202">
        <v>1</v>
      </c>
      <c r="I7202">
        <v>546</v>
      </c>
      <c r="J7202">
        <v>1</v>
      </c>
      <c r="K7202">
        <v>1</v>
      </c>
      <c r="L7202">
        <v>541</v>
      </c>
      <c r="M7202">
        <v>1</v>
      </c>
      <c r="N7202">
        <v>0</v>
      </c>
      <c r="O7202">
        <v>2400</v>
      </c>
    </row>
    <row r="7203" spans="1:15" x14ac:dyDescent="0.25">
      <c r="A7203" t="s">
        <v>7216</v>
      </c>
      <c r="B7203">
        <v>1058</v>
      </c>
      <c r="C7203" s="1" t="str">
        <f>HYPERLINK("http://www.rosaceae.org/gb/gbrowse/malus_x_domestica/?name=MDP0000320351","MDP0000320351")</f>
        <v>MDP0000320351</v>
      </c>
      <c r="D7203">
        <v>81.45</v>
      </c>
      <c r="E7203">
        <v>1062</v>
      </c>
      <c r="F7203">
        <v>197</v>
      </c>
      <c r="G7203">
        <v>12</v>
      </c>
      <c r="H7203">
        <v>1</v>
      </c>
      <c r="I7203">
        <v>1058</v>
      </c>
      <c r="J7203">
        <v>1</v>
      </c>
      <c r="K7203">
        <v>1</v>
      </c>
      <c r="L7203">
        <v>1054</v>
      </c>
      <c r="M7203">
        <v>1</v>
      </c>
      <c r="N7203">
        <v>0</v>
      </c>
      <c r="O7203">
        <v>4545</v>
      </c>
    </row>
    <row r="7204" spans="1:15" x14ac:dyDescent="0.25">
      <c r="A7204" t="s">
        <v>7217</v>
      </c>
      <c r="B7204">
        <v>762</v>
      </c>
      <c r="C7204" s="1" t="str">
        <f>HYPERLINK("http://www.rosaceae.org/gb/gbrowse/malus_x_domestica/?name=MDP0000770495","MDP0000770495")</f>
        <v>MDP0000770495</v>
      </c>
      <c r="D7204">
        <v>75.290000000000006</v>
      </c>
      <c r="E7204">
        <v>765</v>
      </c>
      <c r="F7204">
        <v>189</v>
      </c>
      <c r="G7204">
        <v>7</v>
      </c>
      <c r="H7204">
        <v>1</v>
      </c>
      <c r="I7204">
        <v>762</v>
      </c>
      <c r="J7204">
        <v>1</v>
      </c>
      <c r="K7204">
        <v>1</v>
      </c>
      <c r="L7204">
        <v>761</v>
      </c>
      <c r="M7204">
        <v>1</v>
      </c>
      <c r="N7204">
        <v>0</v>
      </c>
      <c r="O7204">
        <v>3017</v>
      </c>
    </row>
    <row r="7205" spans="1:15" x14ac:dyDescent="0.25">
      <c r="A7205" t="s">
        <v>7218</v>
      </c>
      <c r="B7205">
        <v>2304</v>
      </c>
      <c r="C7205" s="1" t="str">
        <f>HYPERLINK("http://www.rosaceae.org/gb/gbrowse/malus_x_domestica/?name=MDP0000227203","MDP0000227203")</f>
        <v>MDP0000227203</v>
      </c>
      <c r="D7205">
        <v>44.76</v>
      </c>
      <c r="E7205">
        <v>2035</v>
      </c>
      <c r="F7205">
        <v>1124</v>
      </c>
      <c r="G7205">
        <v>265</v>
      </c>
      <c r="H7205">
        <v>469</v>
      </c>
      <c r="I7205">
        <v>2304</v>
      </c>
      <c r="J7205">
        <v>1</v>
      </c>
      <c r="K7205">
        <v>338</v>
      </c>
      <c r="L7205">
        <v>2306</v>
      </c>
      <c r="M7205">
        <v>1</v>
      </c>
      <c r="N7205">
        <v>0</v>
      </c>
      <c r="O7205">
        <v>3591</v>
      </c>
    </row>
    <row r="7206" spans="1:15" x14ac:dyDescent="0.25">
      <c r="A7206" t="s">
        <v>7219</v>
      </c>
      <c r="B7206">
        <v>203</v>
      </c>
      <c r="C7206" s="1" t="str">
        <f>HYPERLINK("http://www.rosaceae.org/gb/gbrowse/malus_x_domestica/?name=MDP0000864817","MDP0000864817")</f>
        <v>MDP0000864817</v>
      </c>
      <c r="D7206">
        <v>63.63</v>
      </c>
      <c r="E7206">
        <v>154</v>
      </c>
      <c r="F7206">
        <v>56</v>
      </c>
      <c r="G7206">
        <v>1</v>
      </c>
      <c r="H7206">
        <v>50</v>
      </c>
      <c r="I7206">
        <v>202</v>
      </c>
      <c r="J7206">
        <v>1</v>
      </c>
      <c r="K7206">
        <v>80</v>
      </c>
      <c r="L7206">
        <v>233</v>
      </c>
      <c r="M7206">
        <v>1</v>
      </c>
      <c r="N7206">
        <v>3.09859E-52</v>
      </c>
      <c r="O7206">
        <v>512</v>
      </c>
    </row>
    <row r="7207" spans="1:15" x14ac:dyDescent="0.25">
      <c r="A7207" t="s">
        <v>7220</v>
      </c>
      <c r="B7207">
        <v>1048</v>
      </c>
      <c r="C7207" s="1" t="str">
        <f>HYPERLINK("http://www.rosaceae.org/gb/gbrowse/malus_x_domestica/?name=MDP0000231135","MDP0000231135")</f>
        <v>MDP0000231135</v>
      </c>
      <c r="D7207">
        <v>81.83</v>
      </c>
      <c r="E7207">
        <v>980</v>
      </c>
      <c r="F7207">
        <v>178</v>
      </c>
      <c r="G7207">
        <v>40</v>
      </c>
      <c r="H7207">
        <v>17</v>
      </c>
      <c r="I7207">
        <v>986</v>
      </c>
      <c r="J7207">
        <v>1</v>
      </c>
      <c r="K7207">
        <v>20</v>
      </c>
      <c r="L7207">
        <v>969</v>
      </c>
      <c r="M7207">
        <v>1</v>
      </c>
      <c r="N7207">
        <v>0</v>
      </c>
      <c r="O7207">
        <v>4244</v>
      </c>
    </row>
    <row r="7208" spans="1:15" x14ac:dyDescent="0.25">
      <c r="A7208" t="s">
        <v>7221</v>
      </c>
      <c r="B7208">
        <v>412</v>
      </c>
      <c r="C7208" s="1" t="str">
        <f>HYPERLINK("http://www.rosaceae.org/gb/gbrowse/malus_x_domestica/?name=MDP0000499580","MDP0000499580")</f>
        <v>MDP0000499580</v>
      </c>
      <c r="D7208">
        <v>74.430000000000007</v>
      </c>
      <c r="E7208">
        <v>266</v>
      </c>
      <c r="F7208">
        <v>68</v>
      </c>
      <c r="G7208">
        <v>1</v>
      </c>
      <c r="H7208">
        <v>143</v>
      </c>
      <c r="I7208">
        <v>408</v>
      </c>
      <c r="J7208">
        <v>1</v>
      </c>
      <c r="K7208">
        <v>1</v>
      </c>
      <c r="L7208">
        <v>265</v>
      </c>
      <c r="M7208">
        <v>1</v>
      </c>
      <c r="N7208">
        <v>4.1966600000000004E-118</v>
      </c>
      <c r="O7208">
        <v>1084</v>
      </c>
    </row>
    <row r="7209" spans="1:15" x14ac:dyDescent="0.25">
      <c r="A7209" t="s">
        <v>7222</v>
      </c>
      <c r="B7209">
        <v>671</v>
      </c>
      <c r="C7209" s="1" t="str">
        <f>HYPERLINK("http://www.rosaceae.org/gb/gbrowse/malus_x_domestica/?name=MDP0000446222","MDP0000446222")</f>
        <v>MDP0000446222</v>
      </c>
      <c r="D7209">
        <v>75.430000000000007</v>
      </c>
      <c r="E7209">
        <v>688</v>
      </c>
      <c r="F7209">
        <v>169</v>
      </c>
      <c r="G7209">
        <v>17</v>
      </c>
      <c r="H7209">
        <v>1</v>
      </c>
      <c r="I7209">
        <v>671</v>
      </c>
      <c r="J7209">
        <v>1</v>
      </c>
      <c r="K7209">
        <v>118</v>
      </c>
      <c r="L7209">
        <v>805</v>
      </c>
      <c r="M7209">
        <v>1</v>
      </c>
      <c r="N7209">
        <v>0</v>
      </c>
      <c r="O7209">
        <v>2607</v>
      </c>
    </row>
    <row r="7210" spans="1:15" x14ac:dyDescent="0.25">
      <c r="A7210" t="s">
        <v>7223</v>
      </c>
      <c r="B7210">
        <v>469</v>
      </c>
      <c r="C7210" s="1" t="str">
        <f>HYPERLINK("http://www.rosaceae.org/gb/gbrowse/malus_x_domestica/?name=MDP0000304256","MDP0000304256")</f>
        <v>MDP0000304256</v>
      </c>
      <c r="D7210">
        <v>64.400000000000006</v>
      </c>
      <c r="E7210">
        <v>368</v>
      </c>
      <c r="F7210">
        <v>131</v>
      </c>
      <c r="G7210">
        <v>20</v>
      </c>
      <c r="H7210">
        <v>36</v>
      </c>
      <c r="I7210">
        <v>403</v>
      </c>
      <c r="J7210">
        <v>1</v>
      </c>
      <c r="K7210">
        <v>13</v>
      </c>
      <c r="L7210">
        <v>360</v>
      </c>
      <c r="M7210">
        <v>1</v>
      </c>
      <c r="N7210">
        <v>4.1916700000000003E-142</v>
      </c>
      <c r="O7210">
        <v>1292</v>
      </c>
    </row>
    <row r="7211" spans="1:15" x14ac:dyDescent="0.25">
      <c r="A7211" t="s">
        <v>7224</v>
      </c>
      <c r="B7211">
        <v>401</v>
      </c>
      <c r="C7211" s="1" t="str">
        <f>HYPERLINK("http://www.rosaceae.org/gb/gbrowse/malus_x_domestica/?name=MDP0000182077","MDP0000182077")</f>
        <v>MDP0000182077</v>
      </c>
      <c r="D7211">
        <v>37.17</v>
      </c>
      <c r="E7211">
        <v>425</v>
      </c>
      <c r="F7211">
        <v>267</v>
      </c>
      <c r="G7211">
        <v>56</v>
      </c>
      <c r="H7211">
        <v>7</v>
      </c>
      <c r="I7211">
        <v>400</v>
      </c>
      <c r="J7211">
        <v>1</v>
      </c>
      <c r="K7211">
        <v>61</v>
      </c>
      <c r="L7211">
        <v>460</v>
      </c>
      <c r="M7211">
        <v>1</v>
      </c>
      <c r="N7211">
        <v>7.2668199999999993E-55</v>
      </c>
      <c r="O7211">
        <v>539</v>
      </c>
    </row>
    <row r="7212" spans="1:15" x14ac:dyDescent="0.25">
      <c r="A7212" t="s">
        <v>7225</v>
      </c>
      <c r="B7212">
        <v>470</v>
      </c>
      <c r="C7212" s="1" t="str">
        <f>HYPERLINK("http://www.rosaceae.org/gb/gbrowse/malus_x_domestica/?name=MDP0000192868","MDP0000192868")</f>
        <v>MDP0000192868</v>
      </c>
      <c r="D7212">
        <v>80.64</v>
      </c>
      <c r="E7212">
        <v>217</v>
      </c>
      <c r="F7212">
        <v>42</v>
      </c>
      <c r="G7212">
        <v>25</v>
      </c>
      <c r="H7212">
        <v>201</v>
      </c>
      <c r="I7212">
        <v>392</v>
      </c>
      <c r="J7212">
        <v>1</v>
      </c>
      <c r="K7212">
        <v>1</v>
      </c>
      <c r="L7212">
        <v>217</v>
      </c>
      <c r="M7212">
        <v>1</v>
      </c>
      <c r="N7212">
        <v>3.51893E-93</v>
      </c>
      <c r="O7212">
        <v>870</v>
      </c>
    </row>
    <row r="7213" spans="1:15" x14ac:dyDescent="0.25">
      <c r="A7213" t="s">
        <v>7226</v>
      </c>
      <c r="B7213">
        <v>633</v>
      </c>
      <c r="C7213" s="1" t="str">
        <f>HYPERLINK("http://www.rosaceae.org/gb/gbrowse/malus_x_domestica/?name=MDP0000176396","MDP0000176396")</f>
        <v>MDP0000176396</v>
      </c>
      <c r="D7213">
        <v>35.9</v>
      </c>
      <c r="E7213">
        <v>259</v>
      </c>
      <c r="F7213">
        <v>166</v>
      </c>
      <c r="G7213">
        <v>46</v>
      </c>
      <c r="H7213">
        <v>16</v>
      </c>
      <c r="I7213">
        <v>272</v>
      </c>
      <c r="J7213">
        <v>1</v>
      </c>
      <c r="K7213">
        <v>14</v>
      </c>
      <c r="L7213">
        <v>228</v>
      </c>
      <c r="M7213">
        <v>1</v>
      </c>
      <c r="N7213">
        <v>6.9454099999999997E-33</v>
      </c>
      <c r="O7213">
        <v>351</v>
      </c>
    </row>
    <row r="7214" spans="1:15" x14ac:dyDescent="0.25">
      <c r="A7214" t="s">
        <v>7227</v>
      </c>
      <c r="B7214">
        <v>128</v>
      </c>
      <c r="C7214" s="1" t="str">
        <f>HYPERLINK("http://www.rosaceae.org/gb/gbrowse/malus_x_domestica/?name=MDP0000238935","MDP0000238935")</f>
        <v>MDP0000238935</v>
      </c>
      <c r="D7214">
        <v>66.099999999999994</v>
      </c>
      <c r="E7214">
        <v>118</v>
      </c>
      <c r="F7214">
        <v>40</v>
      </c>
      <c r="G7214">
        <v>0</v>
      </c>
      <c r="H7214">
        <v>10</v>
      </c>
      <c r="I7214">
        <v>127</v>
      </c>
      <c r="J7214">
        <v>1</v>
      </c>
      <c r="K7214">
        <v>42</v>
      </c>
      <c r="L7214">
        <v>159</v>
      </c>
      <c r="M7214">
        <v>1</v>
      </c>
      <c r="N7214">
        <v>5.6216499999999996E-41</v>
      </c>
      <c r="O7214">
        <v>411</v>
      </c>
    </row>
    <row r="7215" spans="1:15" x14ac:dyDescent="0.25">
      <c r="A7215" t="s">
        <v>7228</v>
      </c>
      <c r="B7215">
        <v>215</v>
      </c>
      <c r="C7215" s="1" t="str">
        <f>HYPERLINK("http://www.rosaceae.org/gb/gbrowse/malus_x_domestica/?name=MDP0000126873","MDP0000126873")</f>
        <v>MDP0000126873</v>
      </c>
      <c r="D7215">
        <v>83.15</v>
      </c>
      <c r="E7215">
        <v>184</v>
      </c>
      <c r="F7215">
        <v>31</v>
      </c>
      <c r="G7215">
        <v>3</v>
      </c>
      <c r="H7215">
        <v>33</v>
      </c>
      <c r="I7215">
        <v>215</v>
      </c>
      <c r="J7215">
        <v>1</v>
      </c>
      <c r="K7215">
        <v>23</v>
      </c>
      <c r="L7215">
        <v>204</v>
      </c>
      <c r="M7215">
        <v>1</v>
      </c>
      <c r="N7215">
        <v>2.7170600000000001E-88</v>
      </c>
      <c r="O7215">
        <v>823</v>
      </c>
    </row>
    <row r="7216" spans="1:15" x14ac:dyDescent="0.25">
      <c r="A7216" t="s">
        <v>7229</v>
      </c>
      <c r="B7216">
        <v>513</v>
      </c>
      <c r="C7216" s="1" t="str">
        <f>HYPERLINK("http://www.rosaceae.org/gb/gbrowse/malus_x_domestica/?name=MDP0000315316","MDP0000315316")</f>
        <v>MDP0000315316</v>
      </c>
      <c r="D7216">
        <v>71.31</v>
      </c>
      <c r="E7216">
        <v>509</v>
      </c>
      <c r="F7216">
        <v>146</v>
      </c>
      <c r="G7216">
        <v>18</v>
      </c>
      <c r="H7216">
        <v>1</v>
      </c>
      <c r="I7216">
        <v>494</v>
      </c>
      <c r="J7216">
        <v>1</v>
      </c>
      <c r="K7216">
        <v>292</v>
      </c>
      <c r="L7216">
        <v>797</v>
      </c>
      <c r="M7216">
        <v>1</v>
      </c>
      <c r="N7216">
        <v>0</v>
      </c>
      <c r="O7216">
        <v>1870</v>
      </c>
    </row>
    <row r="7217" spans="1:15" x14ac:dyDescent="0.25">
      <c r="A7217" t="s">
        <v>7230</v>
      </c>
      <c r="B7217">
        <v>270</v>
      </c>
      <c r="C7217" s="1" t="str">
        <f>HYPERLINK("http://www.rosaceae.org/gb/gbrowse/malus_x_domestica/?name=MDP0000265093","MDP0000265093")</f>
        <v>MDP0000265093</v>
      </c>
      <c r="D7217">
        <v>76.650000000000006</v>
      </c>
      <c r="E7217">
        <v>227</v>
      </c>
      <c r="F7217">
        <v>53</v>
      </c>
      <c r="G7217">
        <v>18</v>
      </c>
      <c r="H7217">
        <v>1</v>
      </c>
      <c r="I7217">
        <v>209</v>
      </c>
      <c r="J7217">
        <v>1</v>
      </c>
      <c r="K7217">
        <v>1</v>
      </c>
      <c r="L7217">
        <v>227</v>
      </c>
      <c r="M7217">
        <v>1</v>
      </c>
      <c r="N7217">
        <v>9.9770399999999995E-93</v>
      </c>
      <c r="O7217">
        <v>863</v>
      </c>
    </row>
    <row r="7218" spans="1:15" x14ac:dyDescent="0.25">
      <c r="A7218" t="s">
        <v>7231</v>
      </c>
      <c r="B7218">
        <v>473</v>
      </c>
      <c r="C7218" s="1" t="str">
        <f>HYPERLINK("http://www.rosaceae.org/gb/gbrowse/malus_x_domestica/?name=MDP0000238941","MDP0000238941")</f>
        <v>MDP0000238941</v>
      </c>
      <c r="D7218">
        <v>43.65</v>
      </c>
      <c r="E7218">
        <v>481</v>
      </c>
      <c r="F7218">
        <v>271</v>
      </c>
      <c r="G7218">
        <v>64</v>
      </c>
      <c r="H7218">
        <v>26</v>
      </c>
      <c r="I7218">
        <v>448</v>
      </c>
      <c r="J7218">
        <v>1</v>
      </c>
      <c r="K7218">
        <v>42</v>
      </c>
      <c r="L7218">
        <v>516</v>
      </c>
      <c r="M7218">
        <v>1</v>
      </c>
      <c r="N7218">
        <v>4.7609500000000003E-86</v>
      </c>
      <c r="O7218">
        <v>808</v>
      </c>
    </row>
    <row r="7219" spans="1:15" x14ac:dyDescent="0.25">
      <c r="A7219" t="s">
        <v>7232</v>
      </c>
      <c r="B7219">
        <v>680</v>
      </c>
      <c r="C7219" s="1" t="str">
        <f>HYPERLINK("http://www.rosaceae.org/gb/gbrowse/malus_x_domestica/?name=MDP0000167145","MDP0000167145")</f>
        <v>MDP0000167145</v>
      </c>
      <c r="D7219">
        <v>54.02</v>
      </c>
      <c r="E7219">
        <v>87</v>
      </c>
      <c r="F7219">
        <v>40</v>
      </c>
      <c r="G7219">
        <v>8</v>
      </c>
      <c r="H7219">
        <v>512</v>
      </c>
      <c r="I7219">
        <v>590</v>
      </c>
      <c r="J7219">
        <v>1</v>
      </c>
      <c r="K7219">
        <v>404</v>
      </c>
      <c r="L7219">
        <v>490</v>
      </c>
      <c r="M7219">
        <v>1</v>
      </c>
      <c r="N7219">
        <v>1.9989399999999998E-21</v>
      </c>
      <c r="O7219">
        <v>253</v>
      </c>
    </row>
    <row r="7220" spans="1:15" x14ac:dyDescent="0.25">
      <c r="A7220" t="s">
        <v>7233</v>
      </c>
      <c r="B7220">
        <v>1053</v>
      </c>
      <c r="C7220" s="1" t="str">
        <f>HYPERLINK("http://www.rosaceae.org/gb/gbrowse/malus_x_domestica/?name=MDP0000859326","MDP0000859326")</f>
        <v>MDP0000859326</v>
      </c>
      <c r="D7220">
        <v>81.319999999999993</v>
      </c>
      <c r="E7220">
        <v>1060</v>
      </c>
      <c r="F7220">
        <v>198</v>
      </c>
      <c r="G7220">
        <v>19</v>
      </c>
      <c r="H7220">
        <v>1</v>
      </c>
      <c r="I7220">
        <v>1053</v>
      </c>
      <c r="J7220">
        <v>1</v>
      </c>
      <c r="K7220">
        <v>1</v>
      </c>
      <c r="L7220">
        <v>1048</v>
      </c>
      <c r="M7220">
        <v>1</v>
      </c>
      <c r="N7220">
        <v>0</v>
      </c>
      <c r="O7220">
        <v>4508</v>
      </c>
    </row>
    <row r="7221" spans="1:15" x14ac:dyDescent="0.25">
      <c r="A7221" t="s">
        <v>7234</v>
      </c>
      <c r="B7221">
        <v>594</v>
      </c>
      <c r="C7221" s="1" t="str">
        <f>HYPERLINK("http://www.rosaceae.org/gb/gbrowse/malus_x_domestica/?name=MDP0000674266","MDP0000674266")</f>
        <v>MDP0000674266</v>
      </c>
      <c r="D7221">
        <v>54</v>
      </c>
      <c r="E7221">
        <v>337</v>
      </c>
      <c r="F7221">
        <v>155</v>
      </c>
      <c r="G7221">
        <v>39</v>
      </c>
      <c r="H7221">
        <v>238</v>
      </c>
      <c r="I7221">
        <v>561</v>
      </c>
      <c r="J7221">
        <v>1</v>
      </c>
      <c r="K7221">
        <v>123</v>
      </c>
      <c r="L7221">
        <v>433</v>
      </c>
      <c r="M7221">
        <v>1</v>
      </c>
      <c r="N7221">
        <v>2.6772399999999999E-81</v>
      </c>
      <c r="O7221">
        <v>768</v>
      </c>
    </row>
    <row r="7222" spans="1:15" x14ac:dyDescent="0.25">
      <c r="A7222" t="s">
        <v>7235</v>
      </c>
      <c r="B7222">
        <v>320</v>
      </c>
      <c r="C7222" s="1" t="str">
        <f>HYPERLINK("http://www.rosaceae.org/gb/gbrowse/malus_x_domestica/?name=MDP0000139345","MDP0000139345")</f>
        <v>MDP0000139345</v>
      </c>
      <c r="D7222">
        <v>73.61</v>
      </c>
      <c r="E7222">
        <v>326</v>
      </c>
      <c r="F7222">
        <v>86</v>
      </c>
      <c r="G7222">
        <v>12</v>
      </c>
      <c r="H7222">
        <v>1</v>
      </c>
      <c r="I7222">
        <v>320</v>
      </c>
      <c r="J7222">
        <v>1</v>
      </c>
      <c r="K7222">
        <v>1</v>
      </c>
      <c r="L7222">
        <v>320</v>
      </c>
      <c r="M7222">
        <v>1</v>
      </c>
      <c r="N7222">
        <v>2.7542599999999999E-136</v>
      </c>
      <c r="O7222">
        <v>1240</v>
      </c>
    </row>
    <row r="7223" spans="1:15" x14ac:dyDescent="0.25">
      <c r="A7223" t="s">
        <v>7236</v>
      </c>
      <c r="B7223">
        <v>320</v>
      </c>
      <c r="C7223" s="1" t="str">
        <f>HYPERLINK("http://www.rosaceae.org/gb/gbrowse/malus_x_domestica/?name=MDP0000273989","MDP0000273989")</f>
        <v>MDP0000273989</v>
      </c>
      <c r="D7223">
        <v>36.36</v>
      </c>
      <c r="E7223">
        <v>198</v>
      </c>
      <c r="F7223">
        <v>126</v>
      </c>
      <c r="G7223">
        <v>13</v>
      </c>
      <c r="H7223">
        <v>2</v>
      </c>
      <c r="I7223">
        <v>193</v>
      </c>
      <c r="J7223">
        <v>1</v>
      </c>
      <c r="K7223">
        <v>276</v>
      </c>
      <c r="L7223">
        <v>466</v>
      </c>
      <c r="M7223">
        <v>1</v>
      </c>
      <c r="N7223">
        <v>5.8695999999999999E-30</v>
      </c>
      <c r="O7223">
        <v>323</v>
      </c>
    </row>
    <row r="7224" spans="1:15" x14ac:dyDescent="0.25">
      <c r="A7224" t="s">
        <v>7237</v>
      </c>
      <c r="B7224">
        <v>572</v>
      </c>
      <c r="C7224" s="1" t="str">
        <f>HYPERLINK("http://www.rosaceae.org/gb/gbrowse/malus_x_domestica/?name=MDP0000320714","MDP0000320714")</f>
        <v>MDP0000320714</v>
      </c>
      <c r="D7224">
        <v>44.17</v>
      </c>
      <c r="E7224">
        <v>498</v>
      </c>
      <c r="F7224">
        <v>278</v>
      </c>
      <c r="G7224">
        <v>47</v>
      </c>
      <c r="H7224">
        <v>96</v>
      </c>
      <c r="I7224">
        <v>570</v>
      </c>
      <c r="J7224">
        <v>1</v>
      </c>
      <c r="K7224">
        <v>65</v>
      </c>
      <c r="L7224">
        <v>538</v>
      </c>
      <c r="M7224">
        <v>1</v>
      </c>
      <c r="N7224">
        <v>2.5792900000000001E-107</v>
      </c>
      <c r="O7224">
        <v>993</v>
      </c>
    </row>
    <row r="7225" spans="1:15" x14ac:dyDescent="0.25">
      <c r="A7225" t="s">
        <v>7238</v>
      </c>
      <c r="B7225">
        <v>718</v>
      </c>
      <c r="C7225" s="1" t="str">
        <f>HYPERLINK("http://www.rosaceae.org/gb/gbrowse/malus_x_domestica/?name=MDP0000303573","MDP0000303573")</f>
        <v>MDP0000303573</v>
      </c>
      <c r="D7225">
        <v>76.040000000000006</v>
      </c>
      <c r="E7225">
        <v>693</v>
      </c>
      <c r="F7225">
        <v>166</v>
      </c>
      <c r="G7225">
        <v>13</v>
      </c>
      <c r="H7225">
        <v>1</v>
      </c>
      <c r="I7225">
        <v>687</v>
      </c>
      <c r="J7225">
        <v>1</v>
      </c>
      <c r="K7225">
        <v>1</v>
      </c>
      <c r="L7225">
        <v>686</v>
      </c>
      <c r="M7225">
        <v>1</v>
      </c>
      <c r="N7225">
        <v>0</v>
      </c>
      <c r="O7225">
        <v>2733</v>
      </c>
    </row>
    <row r="7226" spans="1:15" x14ac:dyDescent="0.25">
      <c r="A7226" t="s">
        <v>7239</v>
      </c>
      <c r="B7226">
        <v>368</v>
      </c>
      <c r="C7226" s="1" t="str">
        <f>HYPERLINK("http://www.rosaceae.org/gb/gbrowse/malus_x_domestica/?name=MDP0000055639","MDP0000055639")</f>
        <v>MDP0000055639</v>
      </c>
      <c r="D7226">
        <v>58.77</v>
      </c>
      <c r="E7226">
        <v>359</v>
      </c>
      <c r="F7226">
        <v>148</v>
      </c>
      <c r="G7226">
        <v>16</v>
      </c>
      <c r="H7226">
        <v>18</v>
      </c>
      <c r="I7226">
        <v>367</v>
      </c>
      <c r="J7226">
        <v>1</v>
      </c>
      <c r="K7226">
        <v>14</v>
      </c>
      <c r="L7226">
        <v>365</v>
      </c>
      <c r="M7226">
        <v>1</v>
      </c>
      <c r="N7226">
        <v>4.2144999999999999E-112</v>
      </c>
      <c r="O7226">
        <v>1032</v>
      </c>
    </row>
    <row r="7227" spans="1:15" x14ac:dyDescent="0.25">
      <c r="A7227" t="s">
        <v>7240</v>
      </c>
      <c r="B7227">
        <v>387</v>
      </c>
      <c r="C7227" s="1" t="str">
        <f>HYPERLINK("http://www.rosaceae.org/gb/gbrowse/malus_x_domestica/?name=MDP0000242064","MDP0000242064")</f>
        <v>MDP0000242064</v>
      </c>
      <c r="D7227">
        <v>43.33</v>
      </c>
      <c r="E7227">
        <v>510</v>
      </c>
      <c r="F7227">
        <v>289</v>
      </c>
      <c r="G7227">
        <v>137</v>
      </c>
      <c r="H7227">
        <v>1</v>
      </c>
      <c r="I7227">
        <v>374</v>
      </c>
      <c r="J7227">
        <v>1</v>
      </c>
      <c r="K7227">
        <v>1</v>
      </c>
      <c r="L7227">
        <v>509</v>
      </c>
      <c r="M7227">
        <v>1</v>
      </c>
      <c r="N7227">
        <v>3.6894900000000002E-92</v>
      </c>
      <c r="O7227">
        <v>860</v>
      </c>
    </row>
    <row r="7228" spans="1:15" x14ac:dyDescent="0.25">
      <c r="A7228" t="s">
        <v>7241</v>
      </c>
      <c r="B7228">
        <v>175</v>
      </c>
      <c r="C7228" s="1" t="str">
        <f>HYPERLINK("http://www.rosaceae.org/gb/gbrowse/malus_x_domestica/?name=MDP0000680695","MDP0000680695")</f>
        <v>MDP0000680695</v>
      </c>
      <c r="D7228">
        <v>62.43</v>
      </c>
      <c r="E7228">
        <v>197</v>
      </c>
      <c r="F7228">
        <v>74</v>
      </c>
      <c r="G7228">
        <v>28</v>
      </c>
      <c r="H7228">
        <v>1</v>
      </c>
      <c r="I7228">
        <v>175</v>
      </c>
      <c r="J7228">
        <v>1</v>
      </c>
      <c r="K7228">
        <v>3</v>
      </c>
      <c r="L7228">
        <v>193</v>
      </c>
      <c r="M7228">
        <v>1</v>
      </c>
      <c r="N7228">
        <v>1.0198000000000001E-51</v>
      </c>
      <c r="O7228">
        <v>507</v>
      </c>
    </row>
    <row r="7229" spans="1:15" x14ac:dyDescent="0.25">
      <c r="A7229" t="s">
        <v>7242</v>
      </c>
      <c r="B7229">
        <v>335</v>
      </c>
      <c r="C7229" s="1" t="str">
        <f>HYPERLINK("http://www.rosaceae.org/gb/gbrowse/malus_x_domestica/?name=MDP0000147190","MDP0000147190")</f>
        <v>MDP0000147190</v>
      </c>
      <c r="D7229">
        <v>40.98</v>
      </c>
      <c r="E7229">
        <v>61</v>
      </c>
      <c r="F7229">
        <v>36</v>
      </c>
      <c r="G7229">
        <v>0</v>
      </c>
      <c r="H7229">
        <v>1</v>
      </c>
      <c r="I7229">
        <v>61</v>
      </c>
      <c r="J7229">
        <v>1</v>
      </c>
      <c r="K7229">
        <v>224</v>
      </c>
      <c r="L7229">
        <v>284</v>
      </c>
      <c r="M7229">
        <v>1</v>
      </c>
      <c r="N7229">
        <v>6.6397599999999998E-9</v>
      </c>
      <c r="O7229">
        <v>141</v>
      </c>
    </row>
    <row r="7230" spans="1:15" x14ac:dyDescent="0.25">
      <c r="A7230" t="s">
        <v>7243</v>
      </c>
      <c r="B7230">
        <v>460</v>
      </c>
      <c r="C7230" s="1" t="str">
        <f>HYPERLINK("http://www.rosaceae.org/gb/gbrowse/malus_x_domestica/?name=MDP0000613331","MDP0000613331")</f>
        <v>MDP0000613331</v>
      </c>
      <c r="D7230">
        <v>72.27</v>
      </c>
      <c r="E7230">
        <v>404</v>
      </c>
      <c r="F7230">
        <v>112</v>
      </c>
      <c r="G7230">
        <v>25</v>
      </c>
      <c r="H7230">
        <v>79</v>
      </c>
      <c r="I7230">
        <v>460</v>
      </c>
      <c r="J7230">
        <v>1</v>
      </c>
      <c r="K7230">
        <v>42</v>
      </c>
      <c r="L7230">
        <v>442</v>
      </c>
      <c r="M7230">
        <v>1</v>
      </c>
      <c r="N7230">
        <v>3.3784000000000002E-166</v>
      </c>
      <c r="O7230">
        <v>1499</v>
      </c>
    </row>
    <row r="7231" spans="1:15" x14ac:dyDescent="0.25">
      <c r="A7231" t="s">
        <v>7244</v>
      </c>
      <c r="B7231">
        <v>708</v>
      </c>
      <c r="C7231" s="1" t="str">
        <f>HYPERLINK("http://www.rosaceae.org/gb/gbrowse/malus_x_domestica/?name=MDP0000556996","MDP0000556996")</f>
        <v>MDP0000556996</v>
      </c>
      <c r="D7231">
        <v>85.59</v>
      </c>
      <c r="E7231">
        <v>590</v>
      </c>
      <c r="F7231">
        <v>85</v>
      </c>
      <c r="G7231">
        <v>1</v>
      </c>
      <c r="H7231">
        <v>119</v>
      </c>
      <c r="I7231">
        <v>708</v>
      </c>
      <c r="J7231">
        <v>1</v>
      </c>
      <c r="K7231">
        <v>33</v>
      </c>
      <c r="L7231">
        <v>621</v>
      </c>
      <c r="M7231">
        <v>1</v>
      </c>
      <c r="N7231">
        <v>0</v>
      </c>
      <c r="O7231">
        <v>2666</v>
      </c>
    </row>
    <row r="7232" spans="1:15" x14ac:dyDescent="0.25">
      <c r="A7232" t="s">
        <v>7245</v>
      </c>
      <c r="B7232">
        <v>461</v>
      </c>
      <c r="C7232" s="1" t="str">
        <f>HYPERLINK("http://www.rosaceae.org/gb/gbrowse/malus_x_domestica/?name=MDP0000613781","MDP0000613781")</f>
        <v>MDP0000613781</v>
      </c>
      <c r="D7232">
        <v>69.53</v>
      </c>
      <c r="E7232">
        <v>476</v>
      </c>
      <c r="F7232">
        <v>145</v>
      </c>
      <c r="G7232">
        <v>18</v>
      </c>
      <c r="H7232">
        <v>1</v>
      </c>
      <c r="I7232">
        <v>461</v>
      </c>
      <c r="J7232">
        <v>1</v>
      </c>
      <c r="K7232">
        <v>1</v>
      </c>
      <c r="L7232">
        <v>473</v>
      </c>
      <c r="M7232">
        <v>1</v>
      </c>
      <c r="N7232">
        <v>1.6906099999999999E-175</v>
      </c>
      <c r="O7232">
        <v>1580</v>
      </c>
    </row>
    <row r="7233" spans="1:15" x14ac:dyDescent="0.25">
      <c r="A7233" t="s">
        <v>7246</v>
      </c>
      <c r="B7233">
        <v>359</v>
      </c>
      <c r="C7233" s="1" t="str">
        <f>HYPERLINK("http://www.rosaceae.org/gb/gbrowse/malus_x_domestica/?name=MDP0000312342","MDP0000312342")</f>
        <v>MDP0000312342</v>
      </c>
      <c r="D7233">
        <v>33.76</v>
      </c>
      <c r="E7233">
        <v>311</v>
      </c>
      <c r="F7233">
        <v>206</v>
      </c>
      <c r="G7233">
        <v>22</v>
      </c>
      <c r="H7233">
        <v>1</v>
      </c>
      <c r="I7233">
        <v>298</v>
      </c>
      <c r="J7233">
        <v>1</v>
      </c>
      <c r="K7233">
        <v>1</v>
      </c>
      <c r="L7233">
        <v>302</v>
      </c>
      <c r="M7233">
        <v>1</v>
      </c>
      <c r="N7233">
        <v>5.04855E-31</v>
      </c>
      <c r="O7233">
        <v>332</v>
      </c>
    </row>
    <row r="7234" spans="1:15" x14ac:dyDescent="0.25">
      <c r="A7234" t="s">
        <v>7247</v>
      </c>
      <c r="B7234">
        <v>599</v>
      </c>
      <c r="C7234" s="1" t="str">
        <f>HYPERLINK("http://www.rosaceae.org/gb/gbrowse/malus_x_domestica/?name=MDP0000174627","MDP0000174627")</f>
        <v>MDP0000174627</v>
      </c>
      <c r="D7234">
        <v>86.47</v>
      </c>
      <c r="E7234">
        <v>599</v>
      </c>
      <c r="F7234">
        <v>81</v>
      </c>
      <c r="G7234">
        <v>0</v>
      </c>
      <c r="H7234">
        <v>1</v>
      </c>
      <c r="I7234">
        <v>599</v>
      </c>
      <c r="J7234">
        <v>1</v>
      </c>
      <c r="K7234">
        <v>1</v>
      </c>
      <c r="L7234">
        <v>599</v>
      </c>
      <c r="M7234">
        <v>1</v>
      </c>
      <c r="N7234">
        <v>0</v>
      </c>
      <c r="O7234">
        <v>2848</v>
      </c>
    </row>
    <row r="7235" spans="1:15" x14ac:dyDescent="0.25">
      <c r="A7235" t="s">
        <v>7248</v>
      </c>
      <c r="B7235">
        <v>482</v>
      </c>
      <c r="C7235" s="1" t="str">
        <f>HYPERLINK("http://www.rosaceae.org/gb/gbrowse/malus_x_domestica/?name=MDP0000121524","MDP0000121524")</f>
        <v>MDP0000121524</v>
      </c>
      <c r="D7235">
        <v>26.5</v>
      </c>
      <c r="E7235">
        <v>381</v>
      </c>
      <c r="F7235">
        <v>280</v>
      </c>
      <c r="G7235">
        <v>27</v>
      </c>
      <c r="H7235">
        <v>111</v>
      </c>
      <c r="I7235">
        <v>482</v>
      </c>
      <c r="J7235">
        <v>1</v>
      </c>
      <c r="K7235">
        <v>80</v>
      </c>
      <c r="L7235">
        <v>442</v>
      </c>
      <c r="M7235">
        <v>1</v>
      </c>
      <c r="N7235">
        <v>2.0297300000000001E-31</v>
      </c>
      <c r="O7235">
        <v>337</v>
      </c>
    </row>
    <row r="7236" spans="1:15" x14ac:dyDescent="0.25">
      <c r="A7236" t="s">
        <v>7249</v>
      </c>
      <c r="B7236">
        <v>84</v>
      </c>
      <c r="C7236" s="1" t="str">
        <f>HYPERLINK("http://www.rosaceae.org/gb/gbrowse/malus_x_domestica/?name=MDP0000232052","MDP0000232052")</f>
        <v>MDP0000232052</v>
      </c>
      <c r="D7236">
        <v>52.27</v>
      </c>
      <c r="E7236">
        <v>44</v>
      </c>
      <c r="F7236">
        <v>21</v>
      </c>
      <c r="G7236">
        <v>1</v>
      </c>
      <c r="H7236">
        <v>13</v>
      </c>
      <c r="I7236">
        <v>56</v>
      </c>
      <c r="J7236">
        <v>1</v>
      </c>
      <c r="K7236">
        <v>159</v>
      </c>
      <c r="L7236">
        <v>201</v>
      </c>
      <c r="M7236">
        <v>1</v>
      </c>
      <c r="N7236">
        <v>6.0790700000000002E-8</v>
      </c>
      <c r="O7236">
        <v>126</v>
      </c>
    </row>
    <row r="7237" spans="1:15" x14ac:dyDescent="0.25">
      <c r="A7237" t="s">
        <v>7250</v>
      </c>
      <c r="B7237">
        <v>731</v>
      </c>
      <c r="C7237" s="1" t="str">
        <f>HYPERLINK("http://www.rosaceae.org/gb/gbrowse/malus_x_domestica/?name=MDP0000311618","MDP0000311618")</f>
        <v>MDP0000311618</v>
      </c>
      <c r="D7237">
        <v>84.17</v>
      </c>
      <c r="E7237">
        <v>657</v>
      </c>
      <c r="F7237">
        <v>104</v>
      </c>
      <c r="G7237">
        <v>2</v>
      </c>
      <c r="H7237">
        <v>77</v>
      </c>
      <c r="I7237">
        <v>731</v>
      </c>
      <c r="J7237">
        <v>1</v>
      </c>
      <c r="K7237">
        <v>1</v>
      </c>
      <c r="L7237">
        <v>657</v>
      </c>
      <c r="M7237">
        <v>1</v>
      </c>
      <c r="N7237">
        <v>0</v>
      </c>
      <c r="O7237">
        <v>2967</v>
      </c>
    </row>
    <row r="7238" spans="1:15" x14ac:dyDescent="0.25">
      <c r="A7238" t="s">
        <v>7251</v>
      </c>
      <c r="B7238">
        <v>666</v>
      </c>
      <c r="C7238" s="1" t="str">
        <f>HYPERLINK("http://www.rosaceae.org/gb/gbrowse/malus_x_domestica/?name=MDP0000597009","MDP0000597009")</f>
        <v>MDP0000597009</v>
      </c>
      <c r="D7238">
        <v>61.17</v>
      </c>
      <c r="E7238">
        <v>680</v>
      </c>
      <c r="F7238">
        <v>264</v>
      </c>
      <c r="G7238">
        <v>23</v>
      </c>
      <c r="H7238">
        <v>2</v>
      </c>
      <c r="I7238">
        <v>660</v>
      </c>
      <c r="J7238">
        <v>1</v>
      </c>
      <c r="K7238">
        <v>102</v>
      </c>
      <c r="L7238">
        <v>779</v>
      </c>
      <c r="M7238">
        <v>1</v>
      </c>
      <c r="N7238">
        <v>0</v>
      </c>
      <c r="O7238">
        <v>2130</v>
      </c>
    </row>
    <row r="7239" spans="1:15" x14ac:dyDescent="0.25">
      <c r="A7239" t="s">
        <v>7252</v>
      </c>
      <c r="B7239">
        <v>292</v>
      </c>
      <c r="C7239" s="1" t="str">
        <f>HYPERLINK("http://www.rosaceae.org/gb/gbrowse/malus_x_domestica/?name=MDP0000178119","MDP0000178119")</f>
        <v>MDP0000178119</v>
      </c>
      <c r="D7239">
        <v>51.63</v>
      </c>
      <c r="E7239">
        <v>122</v>
      </c>
      <c r="F7239">
        <v>59</v>
      </c>
      <c r="G7239">
        <v>6</v>
      </c>
      <c r="H7239">
        <v>143</v>
      </c>
      <c r="I7239">
        <v>258</v>
      </c>
      <c r="J7239">
        <v>1</v>
      </c>
      <c r="K7239">
        <v>286</v>
      </c>
      <c r="L7239">
        <v>407</v>
      </c>
      <c r="M7239">
        <v>1</v>
      </c>
      <c r="N7239">
        <v>2.2756900000000001E-30</v>
      </c>
      <c r="O7239">
        <v>326</v>
      </c>
    </row>
    <row r="7240" spans="1:15" x14ac:dyDescent="0.25">
      <c r="A7240" t="s">
        <v>7253</v>
      </c>
      <c r="B7240">
        <v>221</v>
      </c>
      <c r="C7240" s="1" t="str">
        <f>HYPERLINK("http://www.rosaceae.org/gb/gbrowse/malus_x_domestica/?name=MDP0000303417","MDP0000303417")</f>
        <v>MDP0000303417</v>
      </c>
      <c r="D7240">
        <v>31.7</v>
      </c>
      <c r="E7240">
        <v>164</v>
      </c>
      <c r="F7240">
        <v>112</v>
      </c>
      <c r="G7240">
        <v>24</v>
      </c>
      <c r="H7240">
        <v>12</v>
      </c>
      <c r="I7240">
        <v>160</v>
      </c>
      <c r="J7240">
        <v>1</v>
      </c>
      <c r="K7240">
        <v>22</v>
      </c>
      <c r="L7240">
        <v>176</v>
      </c>
      <c r="M7240">
        <v>1</v>
      </c>
      <c r="N7240">
        <v>1.4262299999999999E-10</v>
      </c>
      <c r="O7240">
        <v>153</v>
      </c>
    </row>
    <row r="7241" spans="1:15" x14ac:dyDescent="0.25">
      <c r="A7241" t="s">
        <v>7254</v>
      </c>
      <c r="B7241">
        <v>365</v>
      </c>
      <c r="C7241" s="1" t="str">
        <f>HYPERLINK("http://www.rosaceae.org/gb/gbrowse/malus_x_domestica/?name=MDP0000268323","MDP0000268323")</f>
        <v>MDP0000268323</v>
      </c>
      <c r="D7241">
        <v>71.31</v>
      </c>
      <c r="E7241">
        <v>258</v>
      </c>
      <c r="F7241">
        <v>74</v>
      </c>
      <c r="G7241">
        <v>41</v>
      </c>
      <c r="H7241">
        <v>43</v>
      </c>
      <c r="I7241">
        <v>263</v>
      </c>
      <c r="J7241">
        <v>1</v>
      </c>
      <c r="K7241">
        <v>51</v>
      </c>
      <c r="L7241">
        <v>304</v>
      </c>
      <c r="M7241">
        <v>1</v>
      </c>
      <c r="N7241">
        <v>6.1902999999999998E-99</v>
      </c>
      <c r="O7241">
        <v>918</v>
      </c>
    </row>
    <row r="7242" spans="1:15" x14ac:dyDescent="0.25">
      <c r="A7242" t="s">
        <v>7255</v>
      </c>
      <c r="B7242">
        <v>510</v>
      </c>
      <c r="C7242" s="1" t="str">
        <f>HYPERLINK("http://www.rosaceae.org/gb/gbrowse/malus_x_domestica/?name=MDP0000295643","MDP0000295643")</f>
        <v>MDP0000295643</v>
      </c>
      <c r="D7242">
        <v>70.89</v>
      </c>
      <c r="E7242">
        <v>268</v>
      </c>
      <c r="F7242">
        <v>78</v>
      </c>
      <c r="G7242">
        <v>7</v>
      </c>
      <c r="H7242">
        <v>213</v>
      </c>
      <c r="I7242">
        <v>473</v>
      </c>
      <c r="J7242">
        <v>1</v>
      </c>
      <c r="K7242">
        <v>80</v>
      </c>
      <c r="L7242">
        <v>347</v>
      </c>
      <c r="M7242">
        <v>1</v>
      </c>
      <c r="N7242">
        <v>5.5784899999999998E-109</v>
      </c>
      <c r="O7242">
        <v>1006</v>
      </c>
    </row>
    <row r="7243" spans="1:15" x14ac:dyDescent="0.25">
      <c r="A7243" t="s">
        <v>7256</v>
      </c>
      <c r="B7243">
        <v>570</v>
      </c>
      <c r="C7243" s="1" t="str">
        <f>HYPERLINK("http://www.rosaceae.org/gb/gbrowse/malus_x_domestica/?name=MDP0000288901","MDP0000288901")</f>
        <v>MDP0000288901</v>
      </c>
      <c r="D7243">
        <v>67.02</v>
      </c>
      <c r="E7243">
        <v>558</v>
      </c>
      <c r="F7243">
        <v>184</v>
      </c>
      <c r="G7243">
        <v>20</v>
      </c>
      <c r="H7243">
        <v>22</v>
      </c>
      <c r="I7243">
        <v>568</v>
      </c>
      <c r="J7243">
        <v>1</v>
      </c>
      <c r="K7243">
        <v>17</v>
      </c>
      <c r="L7243">
        <v>565</v>
      </c>
      <c r="M7243">
        <v>1</v>
      </c>
      <c r="N7243">
        <v>0</v>
      </c>
      <c r="O7243">
        <v>1903</v>
      </c>
    </row>
    <row r="7244" spans="1:15" x14ac:dyDescent="0.25">
      <c r="A7244" t="s">
        <v>7257</v>
      </c>
      <c r="B7244">
        <v>1042</v>
      </c>
      <c r="C7244" s="1" t="str">
        <f>HYPERLINK("http://www.rosaceae.org/gb/gbrowse/malus_x_domestica/?name=MDP0000263181","MDP0000263181")</f>
        <v>MDP0000263181</v>
      </c>
      <c r="D7244">
        <v>73.16</v>
      </c>
      <c r="E7244">
        <v>626</v>
      </c>
      <c r="F7244">
        <v>168</v>
      </c>
      <c r="G7244">
        <v>82</v>
      </c>
      <c r="H7244">
        <v>1</v>
      </c>
      <c r="I7244">
        <v>605</v>
      </c>
      <c r="J7244">
        <v>1</v>
      </c>
      <c r="K7244">
        <v>339</v>
      </c>
      <c r="L7244">
        <v>903</v>
      </c>
      <c r="M7244">
        <v>1</v>
      </c>
      <c r="N7244">
        <v>0</v>
      </c>
      <c r="O7244">
        <v>2179</v>
      </c>
    </row>
    <row r="7245" spans="1:15" x14ac:dyDescent="0.25">
      <c r="A7245" t="s">
        <v>7258</v>
      </c>
      <c r="B7245">
        <v>316</v>
      </c>
      <c r="C7245" s="1" t="str">
        <f>HYPERLINK("http://www.rosaceae.org/gb/gbrowse/malus_x_domestica/?name=MDP0000128123","MDP0000128123")</f>
        <v>MDP0000128123</v>
      </c>
      <c r="D7245">
        <v>62.79</v>
      </c>
      <c r="E7245">
        <v>43</v>
      </c>
      <c r="F7245">
        <v>16</v>
      </c>
      <c r="G7245">
        <v>0</v>
      </c>
      <c r="H7245">
        <v>53</v>
      </c>
      <c r="I7245">
        <v>95</v>
      </c>
      <c r="J7245">
        <v>1</v>
      </c>
      <c r="K7245">
        <v>53</v>
      </c>
      <c r="L7245">
        <v>95</v>
      </c>
      <c r="M7245">
        <v>1</v>
      </c>
      <c r="N7245">
        <v>1.8019100000000001E-10</v>
      </c>
      <c r="O7245">
        <v>155</v>
      </c>
    </row>
    <row r="7246" spans="1:15" x14ac:dyDescent="0.25">
      <c r="A7246" t="s">
        <v>7259</v>
      </c>
      <c r="B7246">
        <v>495</v>
      </c>
      <c r="C7246" s="1" t="str">
        <f>HYPERLINK("http://www.rosaceae.org/gb/gbrowse/malus_x_domestica/?name=MDP0000389745","MDP0000389745")</f>
        <v>MDP0000389745</v>
      </c>
      <c r="D7246">
        <v>75.989999999999995</v>
      </c>
      <c r="E7246">
        <v>479</v>
      </c>
      <c r="F7246">
        <v>115</v>
      </c>
      <c r="G7246">
        <v>8</v>
      </c>
      <c r="H7246">
        <v>1</v>
      </c>
      <c r="I7246">
        <v>472</v>
      </c>
      <c r="J7246">
        <v>1</v>
      </c>
      <c r="K7246">
        <v>248</v>
      </c>
      <c r="L7246">
        <v>725</v>
      </c>
      <c r="M7246">
        <v>1</v>
      </c>
      <c r="N7246">
        <v>0</v>
      </c>
      <c r="O7246">
        <v>1867</v>
      </c>
    </row>
    <row r="7247" spans="1:15" x14ac:dyDescent="0.25">
      <c r="A7247" t="s">
        <v>7260</v>
      </c>
      <c r="B7247">
        <v>461</v>
      </c>
      <c r="C7247" s="1" t="str">
        <f>HYPERLINK("http://www.rosaceae.org/gb/gbrowse/malus_x_domestica/?name=MDP0000317700","MDP0000317700")</f>
        <v>MDP0000317700</v>
      </c>
      <c r="D7247">
        <v>47.11</v>
      </c>
      <c r="E7247">
        <v>104</v>
      </c>
      <c r="F7247">
        <v>55</v>
      </c>
      <c r="G7247">
        <v>9</v>
      </c>
      <c r="H7247">
        <v>26</v>
      </c>
      <c r="I7247">
        <v>120</v>
      </c>
      <c r="J7247">
        <v>1</v>
      </c>
      <c r="K7247">
        <v>236</v>
      </c>
      <c r="L7247">
        <v>339</v>
      </c>
      <c r="M7247">
        <v>1</v>
      </c>
      <c r="N7247">
        <v>1.05382E-21</v>
      </c>
      <c r="O7247">
        <v>253</v>
      </c>
    </row>
    <row r="7248" spans="1:15" x14ac:dyDescent="0.25">
      <c r="A7248" t="s">
        <v>7261</v>
      </c>
      <c r="B7248">
        <v>1789</v>
      </c>
      <c r="C7248" s="1" t="str">
        <f>HYPERLINK("http://www.rosaceae.org/gb/gbrowse/malus_x_domestica/?name=MDP0000304817","MDP0000304817")</f>
        <v>MDP0000304817</v>
      </c>
      <c r="D7248">
        <v>61.53</v>
      </c>
      <c r="E7248">
        <v>572</v>
      </c>
      <c r="F7248">
        <v>220</v>
      </c>
      <c r="G7248">
        <v>68</v>
      </c>
      <c r="H7248">
        <v>1099</v>
      </c>
      <c r="I7248">
        <v>1604</v>
      </c>
      <c r="J7248">
        <v>1</v>
      </c>
      <c r="K7248">
        <v>20</v>
      </c>
      <c r="L7248">
        <v>589</v>
      </c>
      <c r="M7248">
        <v>1</v>
      </c>
      <c r="N7248">
        <v>0</v>
      </c>
      <c r="O7248">
        <v>1788</v>
      </c>
    </row>
    <row r="7249" spans="1:15" x14ac:dyDescent="0.25">
      <c r="A7249" t="s">
        <v>7262</v>
      </c>
      <c r="B7249">
        <v>1020</v>
      </c>
      <c r="C7249" s="1" t="str">
        <f>HYPERLINK("http://www.rosaceae.org/gb/gbrowse/malus_x_domestica/?name=MDP0000237113","MDP0000237113")</f>
        <v>MDP0000237113</v>
      </c>
      <c r="D7249">
        <v>77.94</v>
      </c>
      <c r="E7249">
        <v>993</v>
      </c>
      <c r="F7249">
        <v>219</v>
      </c>
      <c r="G7249">
        <v>62</v>
      </c>
      <c r="H7249">
        <v>1</v>
      </c>
      <c r="I7249">
        <v>937</v>
      </c>
      <c r="J7249">
        <v>1</v>
      </c>
      <c r="K7249">
        <v>1</v>
      </c>
      <c r="L7249">
        <v>987</v>
      </c>
      <c r="M7249">
        <v>1</v>
      </c>
      <c r="N7249">
        <v>0</v>
      </c>
      <c r="O7249">
        <v>3972</v>
      </c>
    </row>
    <row r="7250" spans="1:15" x14ac:dyDescent="0.25">
      <c r="A7250" t="s">
        <v>7263</v>
      </c>
      <c r="B7250">
        <v>302</v>
      </c>
      <c r="C7250" s="1" t="str">
        <f>HYPERLINK("http://www.rosaceae.org/gb/gbrowse/malus_x_domestica/?name=MDP0000809276","MDP0000809276")</f>
        <v>MDP0000809276</v>
      </c>
      <c r="D7250">
        <v>64.260000000000005</v>
      </c>
      <c r="E7250">
        <v>291</v>
      </c>
      <c r="F7250">
        <v>104</v>
      </c>
      <c r="G7250">
        <v>9</v>
      </c>
      <c r="H7250">
        <v>16</v>
      </c>
      <c r="I7250">
        <v>301</v>
      </c>
      <c r="J7250">
        <v>1</v>
      </c>
      <c r="K7250">
        <v>34</v>
      </c>
      <c r="L7250">
        <v>320</v>
      </c>
      <c r="M7250">
        <v>1</v>
      </c>
      <c r="N7250">
        <v>5.5136199999999997E-91</v>
      </c>
      <c r="O7250">
        <v>849</v>
      </c>
    </row>
    <row r="7251" spans="1:15" x14ac:dyDescent="0.25">
      <c r="A7251" t="s">
        <v>7264</v>
      </c>
      <c r="B7251">
        <v>159</v>
      </c>
      <c r="C7251" s="1" t="str">
        <f>HYPERLINK("http://www.rosaceae.org/gb/gbrowse/malus_x_domestica/?name=MDP0000146069","MDP0000146069")</f>
        <v>MDP0000146069</v>
      </c>
      <c r="D7251">
        <v>80.349999999999994</v>
      </c>
      <c r="E7251">
        <v>56</v>
      </c>
      <c r="F7251">
        <v>11</v>
      </c>
      <c r="G7251">
        <v>1</v>
      </c>
      <c r="H7251">
        <v>1</v>
      </c>
      <c r="I7251">
        <v>55</v>
      </c>
      <c r="J7251">
        <v>1</v>
      </c>
      <c r="K7251">
        <v>1</v>
      </c>
      <c r="L7251">
        <v>56</v>
      </c>
      <c r="M7251">
        <v>1</v>
      </c>
      <c r="N7251">
        <v>2.26012E-17</v>
      </c>
      <c r="O7251">
        <v>210</v>
      </c>
    </row>
    <row r="7252" spans="1:15" x14ac:dyDescent="0.25">
      <c r="A7252" t="s">
        <v>7265</v>
      </c>
      <c r="B7252">
        <v>477</v>
      </c>
      <c r="C7252" s="1" t="str">
        <f>HYPERLINK("http://www.rosaceae.org/gb/gbrowse/malus_x_domestica/?name=MDP0000843191","MDP0000843191")</f>
        <v>MDP0000843191</v>
      </c>
      <c r="D7252">
        <v>70.77</v>
      </c>
      <c r="E7252">
        <v>479</v>
      </c>
      <c r="F7252">
        <v>140</v>
      </c>
      <c r="G7252">
        <v>4</v>
      </c>
      <c r="H7252">
        <v>3</v>
      </c>
      <c r="I7252">
        <v>477</v>
      </c>
      <c r="J7252">
        <v>1</v>
      </c>
      <c r="K7252">
        <v>4</v>
      </c>
      <c r="L7252">
        <v>482</v>
      </c>
      <c r="M7252">
        <v>1</v>
      </c>
      <c r="N7252">
        <v>0</v>
      </c>
      <c r="O7252">
        <v>1785</v>
      </c>
    </row>
    <row r="7253" spans="1:15" x14ac:dyDescent="0.25">
      <c r="A7253" t="s">
        <v>7266</v>
      </c>
      <c r="B7253">
        <v>639</v>
      </c>
      <c r="C7253" s="1" t="str">
        <f>HYPERLINK("http://www.rosaceae.org/gb/gbrowse/malus_x_domestica/?name=MDP0000257180","MDP0000257180")</f>
        <v>MDP0000257180</v>
      </c>
      <c r="D7253">
        <v>68.88</v>
      </c>
      <c r="E7253">
        <v>286</v>
      </c>
      <c r="F7253">
        <v>89</v>
      </c>
      <c r="G7253">
        <v>6</v>
      </c>
      <c r="H7253">
        <v>100</v>
      </c>
      <c r="I7253">
        <v>379</v>
      </c>
      <c r="J7253">
        <v>1</v>
      </c>
      <c r="K7253">
        <v>1082</v>
      </c>
      <c r="L7253">
        <v>1367</v>
      </c>
      <c r="M7253">
        <v>1</v>
      </c>
      <c r="N7253">
        <v>2.46535E-105</v>
      </c>
      <c r="O7253">
        <v>976</v>
      </c>
    </row>
    <row r="7254" spans="1:15" x14ac:dyDescent="0.25">
      <c r="A7254" t="s">
        <v>7267</v>
      </c>
      <c r="B7254">
        <v>348</v>
      </c>
      <c r="C7254" s="1" t="str">
        <f>HYPERLINK("http://www.rosaceae.org/gb/gbrowse/malus_x_domestica/?name=MDP0000229796","MDP0000229796")</f>
        <v>MDP0000229796</v>
      </c>
      <c r="D7254">
        <v>76.790000000000006</v>
      </c>
      <c r="E7254">
        <v>349</v>
      </c>
      <c r="F7254">
        <v>81</v>
      </c>
      <c r="G7254">
        <v>7</v>
      </c>
      <c r="H7254">
        <v>7</v>
      </c>
      <c r="I7254">
        <v>348</v>
      </c>
      <c r="J7254">
        <v>1</v>
      </c>
      <c r="K7254">
        <v>5</v>
      </c>
      <c r="L7254">
        <v>353</v>
      </c>
      <c r="M7254">
        <v>1</v>
      </c>
      <c r="N7254">
        <v>9.9277799999999999E-163</v>
      </c>
      <c r="O7254">
        <v>1468</v>
      </c>
    </row>
    <row r="7255" spans="1:15" x14ac:dyDescent="0.25">
      <c r="A7255" t="s">
        <v>7268</v>
      </c>
      <c r="B7255">
        <v>601</v>
      </c>
      <c r="C7255" s="1" t="str">
        <f>HYPERLINK("http://www.rosaceae.org/gb/gbrowse/malus_x_domestica/?name=MDP0000237139","MDP0000237139")</f>
        <v>MDP0000237139</v>
      </c>
      <c r="D7255">
        <v>83.13</v>
      </c>
      <c r="E7255">
        <v>332</v>
      </c>
      <c r="F7255">
        <v>56</v>
      </c>
      <c r="G7255">
        <v>6</v>
      </c>
      <c r="H7255">
        <v>275</v>
      </c>
      <c r="I7255">
        <v>600</v>
      </c>
      <c r="J7255">
        <v>1</v>
      </c>
      <c r="K7255">
        <v>1</v>
      </c>
      <c r="L7255">
        <v>332</v>
      </c>
      <c r="M7255">
        <v>1</v>
      </c>
      <c r="N7255">
        <v>5.7621600000000003E-163</v>
      </c>
      <c r="O7255">
        <v>1473</v>
      </c>
    </row>
    <row r="7256" spans="1:15" x14ac:dyDescent="0.25">
      <c r="A7256" t="s">
        <v>7269</v>
      </c>
      <c r="B7256">
        <v>223</v>
      </c>
      <c r="C7256" s="1" t="str">
        <f>HYPERLINK("http://www.rosaceae.org/gb/gbrowse/malus_x_domestica/?name=MDP0000143182","MDP0000143182")</f>
        <v>MDP0000143182</v>
      </c>
      <c r="D7256">
        <v>60.37</v>
      </c>
      <c r="E7256">
        <v>53</v>
      </c>
      <c r="F7256">
        <v>21</v>
      </c>
      <c r="G7256">
        <v>0</v>
      </c>
      <c r="H7256">
        <v>171</v>
      </c>
      <c r="I7256">
        <v>223</v>
      </c>
      <c r="J7256">
        <v>1</v>
      </c>
      <c r="K7256">
        <v>525</v>
      </c>
      <c r="L7256">
        <v>577</v>
      </c>
      <c r="M7256">
        <v>1</v>
      </c>
      <c r="N7256">
        <v>3.0832900000000001E-14</v>
      </c>
      <c r="O7256">
        <v>185</v>
      </c>
    </row>
    <row r="7257" spans="1:15" x14ac:dyDescent="0.25">
      <c r="A7257" t="s">
        <v>7270</v>
      </c>
      <c r="B7257">
        <v>324</v>
      </c>
      <c r="C7257" s="1" t="str">
        <f>HYPERLINK("http://www.rosaceae.org/gb/gbrowse/malus_x_domestica/?name=MDP0000280662","MDP0000280662")</f>
        <v>MDP0000280662</v>
      </c>
      <c r="D7257">
        <v>73.150000000000006</v>
      </c>
      <c r="E7257">
        <v>339</v>
      </c>
      <c r="F7257">
        <v>91</v>
      </c>
      <c r="G7257">
        <v>19</v>
      </c>
      <c r="H7257">
        <v>1</v>
      </c>
      <c r="I7257">
        <v>322</v>
      </c>
      <c r="J7257">
        <v>1</v>
      </c>
      <c r="K7257">
        <v>1</v>
      </c>
      <c r="L7257">
        <v>337</v>
      </c>
      <c r="M7257">
        <v>1</v>
      </c>
      <c r="N7257">
        <v>3.6291399999999999E-140</v>
      </c>
      <c r="O7257">
        <v>1273</v>
      </c>
    </row>
    <row r="7258" spans="1:15" x14ac:dyDescent="0.25">
      <c r="A7258" t="s">
        <v>7271</v>
      </c>
      <c r="B7258">
        <v>531</v>
      </c>
      <c r="C7258" s="1" t="str">
        <f>HYPERLINK("http://www.rosaceae.org/gb/gbrowse/malus_x_domestica/?name=MDP0000199939","MDP0000199939")</f>
        <v>MDP0000199939</v>
      </c>
      <c r="D7258">
        <v>37.5</v>
      </c>
      <c r="E7258">
        <v>328</v>
      </c>
      <c r="F7258">
        <v>205</v>
      </c>
      <c r="G7258">
        <v>55</v>
      </c>
      <c r="H7258">
        <v>55</v>
      </c>
      <c r="I7258">
        <v>353</v>
      </c>
      <c r="J7258">
        <v>1</v>
      </c>
      <c r="K7258">
        <v>68</v>
      </c>
      <c r="L7258">
        <v>369</v>
      </c>
      <c r="M7258">
        <v>1</v>
      </c>
      <c r="N7258">
        <v>1.1583499999999999E-37</v>
      </c>
      <c r="O7258">
        <v>392</v>
      </c>
    </row>
    <row r="7259" spans="1:15" x14ac:dyDescent="0.25">
      <c r="A7259" t="s">
        <v>7272</v>
      </c>
      <c r="B7259">
        <v>220</v>
      </c>
      <c r="C7259" s="1" t="str">
        <f>HYPERLINK("http://www.rosaceae.org/gb/gbrowse/malus_x_domestica/?name=MDP0000131033","MDP0000131033")</f>
        <v>MDP0000131033</v>
      </c>
      <c r="D7259">
        <v>60.72</v>
      </c>
      <c r="E7259">
        <v>247</v>
      </c>
      <c r="F7259">
        <v>97</v>
      </c>
      <c r="G7259">
        <v>35</v>
      </c>
      <c r="H7259">
        <v>1</v>
      </c>
      <c r="I7259">
        <v>213</v>
      </c>
      <c r="J7259">
        <v>1</v>
      </c>
      <c r="K7259">
        <v>1</v>
      </c>
      <c r="L7259">
        <v>246</v>
      </c>
      <c r="M7259">
        <v>1</v>
      </c>
      <c r="N7259">
        <v>7.4243200000000004E-76</v>
      </c>
      <c r="O7259">
        <v>716</v>
      </c>
    </row>
    <row r="7260" spans="1:15" x14ac:dyDescent="0.25">
      <c r="A7260" t="s">
        <v>7273</v>
      </c>
      <c r="B7260">
        <v>150</v>
      </c>
      <c r="C7260" s="1" t="str">
        <f>HYPERLINK("http://www.rosaceae.org/gb/gbrowse/malus_x_domestica/?name=MDP0000205921","MDP0000205921")</f>
        <v>MDP0000205921</v>
      </c>
      <c r="D7260">
        <v>81.11</v>
      </c>
      <c r="E7260">
        <v>143</v>
      </c>
      <c r="F7260">
        <v>27</v>
      </c>
      <c r="G7260">
        <v>2</v>
      </c>
      <c r="H7260">
        <v>8</v>
      </c>
      <c r="I7260">
        <v>150</v>
      </c>
      <c r="J7260">
        <v>1</v>
      </c>
      <c r="K7260">
        <v>129</v>
      </c>
      <c r="L7260">
        <v>269</v>
      </c>
      <c r="M7260">
        <v>1</v>
      </c>
      <c r="N7260">
        <v>4.86141E-64</v>
      </c>
      <c r="O7260">
        <v>612</v>
      </c>
    </row>
    <row r="7261" spans="1:15" x14ac:dyDescent="0.25">
      <c r="A7261" t="s">
        <v>7274</v>
      </c>
      <c r="B7261">
        <v>240</v>
      </c>
      <c r="C7261" s="1" t="str">
        <f>HYPERLINK("http://www.rosaceae.org/gb/gbrowse/malus_x_domestica/?name=MDP0000217142","MDP0000217142")</f>
        <v>MDP0000217142</v>
      </c>
      <c r="D7261">
        <v>73.260000000000005</v>
      </c>
      <c r="E7261">
        <v>187</v>
      </c>
      <c r="F7261">
        <v>50</v>
      </c>
      <c r="G7261">
        <v>14</v>
      </c>
      <c r="H7261">
        <v>68</v>
      </c>
      <c r="I7261">
        <v>240</v>
      </c>
      <c r="J7261">
        <v>1</v>
      </c>
      <c r="K7261">
        <v>15</v>
      </c>
      <c r="L7261">
        <v>201</v>
      </c>
      <c r="M7261">
        <v>1</v>
      </c>
      <c r="N7261">
        <v>1.8913900000000002E-74</v>
      </c>
      <c r="O7261">
        <v>705</v>
      </c>
    </row>
    <row r="7262" spans="1:15" x14ac:dyDescent="0.25">
      <c r="A7262" t="s">
        <v>7275</v>
      </c>
      <c r="B7262">
        <v>359</v>
      </c>
      <c r="C7262" s="1" t="str">
        <f>HYPERLINK("http://www.rosaceae.org/gb/gbrowse/malus_x_domestica/?name=MDP0000555752","MDP0000555752")</f>
        <v>MDP0000555752</v>
      </c>
      <c r="D7262">
        <v>50</v>
      </c>
      <c r="E7262">
        <v>96</v>
      </c>
      <c r="F7262">
        <v>48</v>
      </c>
      <c r="G7262">
        <v>8</v>
      </c>
      <c r="H7262">
        <v>118</v>
      </c>
      <c r="I7262">
        <v>209</v>
      </c>
      <c r="J7262">
        <v>1</v>
      </c>
      <c r="K7262">
        <v>1</v>
      </c>
      <c r="L7262">
        <v>92</v>
      </c>
      <c r="M7262">
        <v>1</v>
      </c>
      <c r="N7262">
        <v>2.4734100000000002E-17</v>
      </c>
      <c r="O7262">
        <v>214</v>
      </c>
    </row>
    <row r="7263" spans="1:15" x14ac:dyDescent="0.25">
      <c r="A7263" t="s">
        <v>7276</v>
      </c>
      <c r="B7263">
        <v>145</v>
      </c>
      <c r="C7263" s="1" t="str">
        <f>HYPERLINK("http://www.rosaceae.org/gb/gbrowse/malus_x_domestica/?name=MDP0000848515","MDP0000848515")</f>
        <v>MDP0000848515</v>
      </c>
      <c r="D7263">
        <v>68.849999999999994</v>
      </c>
      <c r="E7263">
        <v>122</v>
      </c>
      <c r="F7263">
        <v>38</v>
      </c>
      <c r="G7263">
        <v>2</v>
      </c>
      <c r="H7263">
        <v>1</v>
      </c>
      <c r="I7263">
        <v>122</v>
      </c>
      <c r="J7263">
        <v>1</v>
      </c>
      <c r="K7263">
        <v>1</v>
      </c>
      <c r="L7263">
        <v>120</v>
      </c>
      <c r="M7263">
        <v>1</v>
      </c>
      <c r="N7263">
        <v>7.2960400000000002E-39</v>
      </c>
      <c r="O7263">
        <v>394</v>
      </c>
    </row>
    <row r="7264" spans="1:15" x14ac:dyDescent="0.25">
      <c r="A7264" t="s">
        <v>7277</v>
      </c>
      <c r="B7264">
        <v>191</v>
      </c>
      <c r="C7264" s="1" t="str">
        <f>HYPERLINK("http://www.rosaceae.org/gb/gbrowse/malus_x_domestica/?name=MDP0000323561","MDP0000323561")</f>
        <v>MDP0000323561</v>
      </c>
      <c r="D7264">
        <v>56.89</v>
      </c>
      <c r="E7264">
        <v>116</v>
      </c>
      <c r="F7264">
        <v>50</v>
      </c>
      <c r="G7264">
        <v>1</v>
      </c>
      <c r="H7264">
        <v>77</v>
      </c>
      <c r="I7264">
        <v>191</v>
      </c>
      <c r="J7264">
        <v>1</v>
      </c>
      <c r="K7264">
        <v>26</v>
      </c>
      <c r="L7264">
        <v>141</v>
      </c>
      <c r="M7264">
        <v>1</v>
      </c>
      <c r="N7264">
        <v>3.6428100000000002E-25</v>
      </c>
      <c r="O7264">
        <v>278</v>
      </c>
    </row>
    <row r="7265" spans="1:15" x14ac:dyDescent="0.25">
      <c r="A7265" t="s">
        <v>7278</v>
      </c>
      <c r="B7265">
        <v>438</v>
      </c>
      <c r="C7265" s="1" t="str">
        <f>HYPERLINK("http://www.rosaceae.org/gb/gbrowse/malus_x_domestica/?name=MDP0000320795","MDP0000320795")</f>
        <v>MDP0000320795</v>
      </c>
      <c r="D7265">
        <v>51.59</v>
      </c>
      <c r="E7265">
        <v>564</v>
      </c>
      <c r="F7265">
        <v>273</v>
      </c>
      <c r="G7265">
        <v>130</v>
      </c>
      <c r="H7265">
        <v>1</v>
      </c>
      <c r="I7265">
        <v>438</v>
      </c>
      <c r="J7265">
        <v>1</v>
      </c>
      <c r="K7265">
        <v>1</v>
      </c>
      <c r="L7265">
        <v>560</v>
      </c>
      <c r="M7265">
        <v>1</v>
      </c>
      <c r="N7265">
        <v>1.9920499999999998E-149</v>
      </c>
      <c r="O7265">
        <v>1355</v>
      </c>
    </row>
    <row r="7266" spans="1:15" x14ac:dyDescent="0.25">
      <c r="A7266" t="s">
        <v>7279</v>
      </c>
      <c r="B7266">
        <v>108</v>
      </c>
      <c r="C7266" s="1" t="str">
        <f>HYPERLINK("http://www.rosaceae.org/gb/gbrowse/malus_x_domestica/?name=MDP0000162172","MDP0000162172")</f>
        <v>MDP0000162172</v>
      </c>
      <c r="D7266">
        <v>62.85</v>
      </c>
      <c r="E7266">
        <v>105</v>
      </c>
      <c r="F7266">
        <v>39</v>
      </c>
      <c r="G7266">
        <v>2</v>
      </c>
      <c r="H7266">
        <v>1</v>
      </c>
      <c r="I7266">
        <v>105</v>
      </c>
      <c r="J7266">
        <v>1</v>
      </c>
      <c r="K7266">
        <v>1</v>
      </c>
      <c r="L7266">
        <v>103</v>
      </c>
      <c r="M7266">
        <v>1</v>
      </c>
      <c r="N7266">
        <v>1.4908600000000001E-32</v>
      </c>
      <c r="O7266">
        <v>338</v>
      </c>
    </row>
    <row r="7267" spans="1:15" x14ac:dyDescent="0.25">
      <c r="A7267" t="s">
        <v>7280</v>
      </c>
      <c r="B7267">
        <v>432</v>
      </c>
      <c r="C7267" s="1" t="str">
        <f>HYPERLINK("http://www.rosaceae.org/gb/gbrowse/malus_x_domestica/?name=MDP0000678562","MDP0000678562")</f>
        <v>MDP0000678562</v>
      </c>
      <c r="D7267">
        <v>80.430000000000007</v>
      </c>
      <c r="E7267">
        <v>184</v>
      </c>
      <c r="F7267">
        <v>36</v>
      </c>
      <c r="G7267">
        <v>0</v>
      </c>
      <c r="H7267">
        <v>1</v>
      </c>
      <c r="I7267">
        <v>184</v>
      </c>
      <c r="J7267">
        <v>1</v>
      </c>
      <c r="K7267">
        <v>202</v>
      </c>
      <c r="L7267">
        <v>385</v>
      </c>
      <c r="M7267">
        <v>1</v>
      </c>
      <c r="N7267">
        <v>1.77248E-86</v>
      </c>
      <c r="O7267">
        <v>812</v>
      </c>
    </row>
    <row r="7268" spans="1:15" x14ac:dyDescent="0.25">
      <c r="A7268" t="s">
        <v>7281</v>
      </c>
      <c r="B7268">
        <v>198</v>
      </c>
      <c r="C7268" s="1" t="str">
        <f>HYPERLINK("http://www.rosaceae.org/gb/gbrowse/malus_x_domestica/?name=MDP0000138123","MDP0000138123")</f>
        <v>MDP0000138123</v>
      </c>
      <c r="D7268">
        <v>71.72</v>
      </c>
      <c r="E7268">
        <v>191</v>
      </c>
      <c r="F7268">
        <v>54</v>
      </c>
      <c r="G7268">
        <v>15</v>
      </c>
      <c r="H7268">
        <v>1</v>
      </c>
      <c r="I7268">
        <v>188</v>
      </c>
      <c r="J7268">
        <v>1</v>
      </c>
      <c r="K7268">
        <v>1</v>
      </c>
      <c r="L7268">
        <v>179</v>
      </c>
      <c r="M7268">
        <v>1</v>
      </c>
      <c r="N7268">
        <v>3.8740900000000001E-63</v>
      </c>
      <c r="O7268">
        <v>606</v>
      </c>
    </row>
    <row r="7269" spans="1:15" x14ac:dyDescent="0.25">
      <c r="A7269" t="s">
        <v>7282</v>
      </c>
      <c r="B7269">
        <v>399</v>
      </c>
      <c r="C7269" s="1" t="str">
        <f>HYPERLINK("http://www.rosaceae.org/gb/gbrowse/malus_x_domestica/?name=MDP0000170841","MDP0000170841")</f>
        <v>MDP0000170841</v>
      </c>
      <c r="D7269">
        <v>71.930000000000007</v>
      </c>
      <c r="E7269">
        <v>424</v>
      </c>
      <c r="F7269">
        <v>119</v>
      </c>
      <c r="G7269">
        <v>68</v>
      </c>
      <c r="H7269">
        <v>1</v>
      </c>
      <c r="I7269">
        <v>399</v>
      </c>
      <c r="J7269">
        <v>1</v>
      </c>
      <c r="K7269">
        <v>1</v>
      </c>
      <c r="L7269">
        <v>381</v>
      </c>
      <c r="M7269">
        <v>1</v>
      </c>
      <c r="N7269">
        <v>1.2620100000000001E-170</v>
      </c>
      <c r="O7269">
        <v>1537</v>
      </c>
    </row>
    <row r="7270" spans="1:15" x14ac:dyDescent="0.25">
      <c r="A7270" t="s">
        <v>7283</v>
      </c>
      <c r="B7270">
        <v>214</v>
      </c>
      <c r="C7270" s="1" t="str">
        <f>HYPERLINK("http://www.rosaceae.org/gb/gbrowse/malus_x_domestica/?name=MDP0000260790","MDP0000260790")</f>
        <v>MDP0000260790</v>
      </c>
      <c r="D7270">
        <v>75.709999999999994</v>
      </c>
      <c r="E7270">
        <v>140</v>
      </c>
      <c r="F7270">
        <v>34</v>
      </c>
      <c r="G7270">
        <v>2</v>
      </c>
      <c r="H7270">
        <v>1</v>
      </c>
      <c r="I7270">
        <v>138</v>
      </c>
      <c r="J7270">
        <v>1</v>
      </c>
      <c r="K7270">
        <v>1</v>
      </c>
      <c r="L7270">
        <v>140</v>
      </c>
      <c r="M7270">
        <v>1</v>
      </c>
      <c r="N7270">
        <v>7.3402000000000005E-55</v>
      </c>
      <c r="O7270">
        <v>535</v>
      </c>
    </row>
    <row r="7271" spans="1:15" x14ac:dyDescent="0.25">
      <c r="A7271" t="s">
        <v>7284</v>
      </c>
      <c r="B7271">
        <v>181</v>
      </c>
      <c r="C7271" s="1" t="str">
        <f>HYPERLINK("http://www.rosaceae.org/gb/gbrowse/malus_x_domestica/?name=MDP0000308372","MDP0000308372")</f>
        <v>MDP0000308372</v>
      </c>
      <c r="D7271">
        <v>62.94</v>
      </c>
      <c r="E7271">
        <v>170</v>
      </c>
      <c r="F7271">
        <v>63</v>
      </c>
      <c r="G7271">
        <v>5</v>
      </c>
      <c r="H7271">
        <v>4</v>
      </c>
      <c r="I7271">
        <v>169</v>
      </c>
      <c r="J7271">
        <v>1</v>
      </c>
      <c r="K7271">
        <v>596</v>
      </c>
      <c r="L7271">
        <v>764</v>
      </c>
      <c r="M7271">
        <v>1</v>
      </c>
      <c r="N7271">
        <v>4.6435599999999997E-58</v>
      </c>
      <c r="O7271">
        <v>562</v>
      </c>
    </row>
    <row r="7272" spans="1:15" x14ac:dyDescent="0.25">
      <c r="A7272" t="s">
        <v>7285</v>
      </c>
      <c r="B7272">
        <v>585</v>
      </c>
      <c r="C7272" s="1" t="str">
        <f>HYPERLINK("http://www.rosaceae.org/gb/gbrowse/malus_x_domestica/?name=MDP0000700517","MDP0000700517")</f>
        <v>MDP0000700517</v>
      </c>
      <c r="D7272">
        <v>28.57</v>
      </c>
      <c r="E7272">
        <v>217</v>
      </c>
      <c r="F7272">
        <v>155</v>
      </c>
      <c r="G7272">
        <v>12</v>
      </c>
      <c r="H7272">
        <v>366</v>
      </c>
      <c r="I7272">
        <v>570</v>
      </c>
      <c r="J7272">
        <v>1</v>
      </c>
      <c r="K7272">
        <v>91</v>
      </c>
      <c r="L7272">
        <v>307</v>
      </c>
      <c r="M7272">
        <v>1</v>
      </c>
      <c r="N7272">
        <v>9.4276500000000002E-20</v>
      </c>
      <c r="O7272">
        <v>238</v>
      </c>
    </row>
    <row r="7273" spans="1:15" x14ac:dyDescent="0.25">
      <c r="A7273" t="s">
        <v>7286</v>
      </c>
      <c r="B7273">
        <v>370</v>
      </c>
      <c r="C7273" s="1" t="str">
        <f>HYPERLINK("http://www.rosaceae.org/gb/gbrowse/malus_x_domestica/?name=MDP0000161222","MDP0000161222")</f>
        <v>MDP0000161222</v>
      </c>
      <c r="D7273">
        <v>27.36</v>
      </c>
      <c r="E7273">
        <v>190</v>
      </c>
      <c r="F7273">
        <v>138</v>
      </c>
      <c r="G7273">
        <v>12</v>
      </c>
      <c r="H7273">
        <v>148</v>
      </c>
      <c r="I7273">
        <v>336</v>
      </c>
      <c r="J7273">
        <v>1</v>
      </c>
      <c r="K7273">
        <v>635</v>
      </c>
      <c r="L7273">
        <v>813</v>
      </c>
      <c r="M7273">
        <v>1</v>
      </c>
      <c r="N7273">
        <v>3.3192999999999998E-12</v>
      </c>
      <c r="O7273">
        <v>170</v>
      </c>
    </row>
    <row r="7274" spans="1:15" x14ac:dyDescent="0.25">
      <c r="A7274" t="s">
        <v>7287</v>
      </c>
      <c r="B7274">
        <v>1593</v>
      </c>
      <c r="C7274" s="1" t="str">
        <f>HYPERLINK("http://www.rosaceae.org/gb/gbrowse/malus_x_domestica/?name=MDP0000903999","MDP0000903999")</f>
        <v>MDP0000903999</v>
      </c>
      <c r="D7274">
        <v>67</v>
      </c>
      <c r="E7274">
        <v>1664</v>
      </c>
      <c r="F7274">
        <v>549</v>
      </c>
      <c r="G7274">
        <v>102</v>
      </c>
      <c r="H7274">
        <v>1</v>
      </c>
      <c r="I7274">
        <v>1586</v>
      </c>
      <c r="J7274">
        <v>1</v>
      </c>
      <c r="K7274">
        <v>1</v>
      </c>
      <c r="L7274">
        <v>1640</v>
      </c>
      <c r="M7274">
        <v>1</v>
      </c>
      <c r="N7274">
        <v>0</v>
      </c>
      <c r="O7274">
        <v>5634</v>
      </c>
    </row>
    <row r="7275" spans="1:15" x14ac:dyDescent="0.25">
      <c r="A7275" t="s">
        <v>7288</v>
      </c>
      <c r="B7275">
        <v>713</v>
      </c>
      <c r="C7275" s="1" t="str">
        <f>HYPERLINK("http://www.rosaceae.org/gb/gbrowse/malus_x_domestica/?name=MDP0000279776","MDP0000279776")</f>
        <v>MDP0000279776</v>
      </c>
      <c r="D7275">
        <v>27.9</v>
      </c>
      <c r="E7275">
        <v>577</v>
      </c>
      <c r="F7275">
        <v>416</v>
      </c>
      <c r="G7275">
        <v>16</v>
      </c>
      <c r="H7275">
        <v>125</v>
      </c>
      <c r="I7275">
        <v>694</v>
      </c>
      <c r="J7275">
        <v>1</v>
      </c>
      <c r="K7275">
        <v>152</v>
      </c>
      <c r="L7275">
        <v>719</v>
      </c>
      <c r="M7275">
        <v>1</v>
      </c>
      <c r="N7275">
        <v>1.9091300000000001E-67</v>
      </c>
      <c r="O7275">
        <v>650</v>
      </c>
    </row>
    <row r="7276" spans="1:15" x14ac:dyDescent="0.25">
      <c r="A7276" t="s">
        <v>7289</v>
      </c>
      <c r="B7276">
        <v>240</v>
      </c>
      <c r="C7276" s="1" t="str">
        <f>HYPERLINK("http://www.rosaceae.org/gb/gbrowse/malus_x_domestica/?name=MDP0000328874","MDP0000328874")</f>
        <v>MDP0000328874</v>
      </c>
      <c r="D7276">
        <v>83.33</v>
      </c>
      <c r="E7276">
        <v>180</v>
      </c>
      <c r="F7276">
        <v>30</v>
      </c>
      <c r="G7276">
        <v>6</v>
      </c>
      <c r="H7276">
        <v>1</v>
      </c>
      <c r="I7276">
        <v>177</v>
      </c>
      <c r="J7276">
        <v>1</v>
      </c>
      <c r="K7276">
        <v>75</v>
      </c>
      <c r="L7276">
        <v>251</v>
      </c>
      <c r="M7276">
        <v>1</v>
      </c>
      <c r="N7276">
        <v>8.6976899999999995E-78</v>
      </c>
      <c r="O7276">
        <v>734</v>
      </c>
    </row>
    <row r="7277" spans="1:15" x14ac:dyDescent="0.25">
      <c r="A7277" t="s">
        <v>7290</v>
      </c>
      <c r="B7277">
        <v>298</v>
      </c>
      <c r="C7277" s="1" t="str">
        <f>HYPERLINK("http://www.rosaceae.org/gb/gbrowse/malus_x_domestica/?name=MDP0000275791","MDP0000275791")</f>
        <v>MDP0000275791</v>
      </c>
      <c r="D7277">
        <v>79.53</v>
      </c>
      <c r="E7277">
        <v>298</v>
      </c>
      <c r="F7277">
        <v>61</v>
      </c>
      <c r="G7277">
        <v>2</v>
      </c>
      <c r="H7277">
        <v>3</v>
      </c>
      <c r="I7277">
        <v>298</v>
      </c>
      <c r="J7277">
        <v>1</v>
      </c>
      <c r="K7277">
        <v>6</v>
      </c>
      <c r="L7277">
        <v>303</v>
      </c>
      <c r="M7277">
        <v>1</v>
      </c>
      <c r="N7277">
        <v>5.3836900000000003E-132</v>
      </c>
      <c r="O7277">
        <v>1202</v>
      </c>
    </row>
    <row r="7278" spans="1:15" x14ac:dyDescent="0.25">
      <c r="A7278" t="s">
        <v>7291</v>
      </c>
      <c r="B7278">
        <v>399</v>
      </c>
      <c r="C7278" s="1" t="str">
        <f>HYPERLINK("http://www.rosaceae.org/gb/gbrowse/malus_x_domestica/?name=MDP0000186402","MDP0000186402")</f>
        <v>MDP0000186402</v>
      </c>
      <c r="D7278">
        <v>30.54</v>
      </c>
      <c r="E7278">
        <v>442</v>
      </c>
      <c r="F7278">
        <v>307</v>
      </c>
      <c r="G7278">
        <v>80</v>
      </c>
      <c r="H7278">
        <v>26</v>
      </c>
      <c r="I7278">
        <v>392</v>
      </c>
      <c r="J7278">
        <v>1</v>
      </c>
      <c r="K7278">
        <v>113</v>
      </c>
      <c r="L7278">
        <v>549</v>
      </c>
      <c r="M7278">
        <v>1</v>
      </c>
      <c r="N7278">
        <v>4.8121799999999996E-43</v>
      </c>
      <c r="O7278">
        <v>437</v>
      </c>
    </row>
    <row r="7279" spans="1:15" x14ac:dyDescent="0.25">
      <c r="A7279" t="s">
        <v>7292</v>
      </c>
      <c r="B7279">
        <v>1091</v>
      </c>
      <c r="C7279" s="1" t="str">
        <f>HYPERLINK("http://www.rosaceae.org/gb/gbrowse/malus_x_domestica/?name=MDP0000226787","MDP0000226787")</f>
        <v>MDP0000226787</v>
      </c>
      <c r="D7279">
        <v>66.989999999999995</v>
      </c>
      <c r="E7279">
        <v>512</v>
      </c>
      <c r="F7279">
        <v>169</v>
      </c>
      <c r="G7279">
        <v>32</v>
      </c>
      <c r="H7279">
        <v>42</v>
      </c>
      <c r="I7279">
        <v>522</v>
      </c>
      <c r="J7279">
        <v>1</v>
      </c>
      <c r="K7279">
        <v>48</v>
      </c>
      <c r="L7279">
        <v>558</v>
      </c>
      <c r="M7279">
        <v>1</v>
      </c>
      <c r="N7279">
        <v>0</v>
      </c>
      <c r="O7279">
        <v>1728</v>
      </c>
    </row>
    <row r="7280" spans="1:15" x14ac:dyDescent="0.25">
      <c r="A7280" t="s">
        <v>7293</v>
      </c>
      <c r="B7280">
        <v>488</v>
      </c>
      <c r="C7280" s="1" t="str">
        <f>HYPERLINK("http://www.rosaceae.org/gb/gbrowse/malus_x_domestica/?name=MDP0000235396","MDP0000235396")</f>
        <v>MDP0000235396</v>
      </c>
      <c r="D7280">
        <v>85.04</v>
      </c>
      <c r="E7280">
        <v>408</v>
      </c>
      <c r="F7280">
        <v>61</v>
      </c>
      <c r="G7280">
        <v>1</v>
      </c>
      <c r="H7280">
        <v>25</v>
      </c>
      <c r="I7280">
        <v>431</v>
      </c>
      <c r="J7280">
        <v>1</v>
      </c>
      <c r="K7280">
        <v>7</v>
      </c>
      <c r="L7280">
        <v>414</v>
      </c>
      <c r="M7280">
        <v>1</v>
      </c>
      <c r="N7280">
        <v>0</v>
      </c>
      <c r="O7280">
        <v>1848</v>
      </c>
    </row>
    <row r="7281" spans="1:15" x14ac:dyDescent="0.25">
      <c r="A7281" t="s">
        <v>7294</v>
      </c>
      <c r="B7281">
        <v>129</v>
      </c>
      <c r="C7281" s="1" t="str">
        <f>HYPERLINK("http://www.rosaceae.org/gb/gbrowse/malus_x_domestica/?name=MDP0000229084","MDP0000229084")</f>
        <v>MDP0000229084</v>
      </c>
      <c r="D7281">
        <v>64.66</v>
      </c>
      <c r="E7281">
        <v>150</v>
      </c>
      <c r="F7281">
        <v>53</v>
      </c>
      <c r="G7281">
        <v>42</v>
      </c>
      <c r="H7281">
        <v>22</v>
      </c>
      <c r="I7281">
        <v>129</v>
      </c>
      <c r="J7281">
        <v>1</v>
      </c>
      <c r="K7281">
        <v>24</v>
      </c>
      <c r="L7281">
        <v>173</v>
      </c>
      <c r="M7281">
        <v>1</v>
      </c>
      <c r="N7281">
        <v>6.0594299999999998E-47</v>
      </c>
      <c r="O7281">
        <v>463</v>
      </c>
    </row>
    <row r="7282" spans="1:15" x14ac:dyDescent="0.25">
      <c r="A7282" t="s">
        <v>7295</v>
      </c>
      <c r="B7282">
        <v>623</v>
      </c>
      <c r="C7282" s="1" t="str">
        <f>HYPERLINK("http://www.rosaceae.org/gb/gbrowse/malus_x_domestica/?name=MDP0000320333","MDP0000320333")</f>
        <v>MDP0000320333</v>
      </c>
      <c r="D7282">
        <v>62.78</v>
      </c>
      <c r="E7282">
        <v>618</v>
      </c>
      <c r="F7282">
        <v>230</v>
      </c>
      <c r="G7282">
        <v>40</v>
      </c>
      <c r="H7282">
        <v>7</v>
      </c>
      <c r="I7282">
        <v>600</v>
      </c>
      <c r="J7282">
        <v>1</v>
      </c>
      <c r="K7282">
        <v>21</v>
      </c>
      <c r="L7282">
        <v>622</v>
      </c>
      <c r="M7282">
        <v>1</v>
      </c>
      <c r="N7282">
        <v>0</v>
      </c>
      <c r="O7282">
        <v>1805</v>
      </c>
    </row>
    <row r="7283" spans="1:15" x14ac:dyDescent="0.25">
      <c r="A7283" t="s">
        <v>7296</v>
      </c>
      <c r="B7283">
        <v>227</v>
      </c>
      <c r="C7283" s="1" t="str">
        <f>HYPERLINK("http://www.rosaceae.org/gb/gbrowse/malus_x_domestica/?name=MDP0000408508","MDP0000408508")</f>
        <v>MDP0000408508</v>
      </c>
      <c r="D7283">
        <v>64.56</v>
      </c>
      <c r="E7283">
        <v>254</v>
      </c>
      <c r="F7283">
        <v>90</v>
      </c>
      <c r="G7283">
        <v>35</v>
      </c>
      <c r="H7283">
        <v>7</v>
      </c>
      <c r="I7283">
        <v>226</v>
      </c>
      <c r="J7283">
        <v>1</v>
      </c>
      <c r="K7283">
        <v>16</v>
      </c>
      <c r="L7283">
        <v>268</v>
      </c>
      <c r="M7283">
        <v>1</v>
      </c>
      <c r="N7283">
        <v>2.6197199999999999E-82</v>
      </c>
      <c r="O7283">
        <v>772</v>
      </c>
    </row>
    <row r="7284" spans="1:15" x14ac:dyDescent="0.25">
      <c r="A7284" t="s">
        <v>7297</v>
      </c>
      <c r="B7284">
        <v>360</v>
      </c>
      <c r="C7284" s="1" t="str">
        <f>HYPERLINK("http://www.rosaceae.org/gb/gbrowse/malus_x_domestica/?name=MDP0000821959","MDP0000821959")</f>
        <v>MDP0000821959</v>
      </c>
      <c r="D7284">
        <v>57.19</v>
      </c>
      <c r="E7284">
        <v>271</v>
      </c>
      <c r="F7284">
        <v>116</v>
      </c>
      <c r="G7284">
        <v>15</v>
      </c>
      <c r="H7284">
        <v>18</v>
      </c>
      <c r="I7284">
        <v>278</v>
      </c>
      <c r="J7284">
        <v>1</v>
      </c>
      <c r="K7284">
        <v>21</v>
      </c>
      <c r="L7284">
        <v>286</v>
      </c>
      <c r="M7284">
        <v>1</v>
      </c>
      <c r="N7284">
        <v>1.15198E-76</v>
      </c>
      <c r="O7284">
        <v>726</v>
      </c>
    </row>
    <row r="7285" spans="1:15" x14ac:dyDescent="0.25">
      <c r="A7285" t="s">
        <v>7298</v>
      </c>
      <c r="B7285">
        <v>237</v>
      </c>
      <c r="C7285" s="1" t="str">
        <f>HYPERLINK("http://www.rosaceae.org/gb/gbrowse/malus_x_domestica/?name=MDP0000126221","MDP0000126221")</f>
        <v>MDP0000126221</v>
      </c>
      <c r="D7285">
        <v>62.6</v>
      </c>
      <c r="E7285">
        <v>238</v>
      </c>
      <c r="F7285">
        <v>89</v>
      </c>
      <c r="G7285">
        <v>19</v>
      </c>
      <c r="H7285">
        <v>1</v>
      </c>
      <c r="I7285">
        <v>237</v>
      </c>
      <c r="J7285">
        <v>1</v>
      </c>
      <c r="K7285">
        <v>1</v>
      </c>
      <c r="L7285">
        <v>220</v>
      </c>
      <c r="M7285">
        <v>1</v>
      </c>
      <c r="N7285">
        <v>6.4739799999999999E-72</v>
      </c>
      <c r="O7285">
        <v>683</v>
      </c>
    </row>
    <row r="7286" spans="1:15" x14ac:dyDescent="0.25">
      <c r="A7286" t="s">
        <v>7299</v>
      </c>
      <c r="B7286">
        <v>472</v>
      </c>
      <c r="C7286" s="1" t="str">
        <f>HYPERLINK("http://www.rosaceae.org/gb/gbrowse/malus_x_domestica/?name=MDP0000170438","MDP0000170438")</f>
        <v>MDP0000170438</v>
      </c>
      <c r="D7286">
        <v>79.83</v>
      </c>
      <c r="E7286">
        <v>476</v>
      </c>
      <c r="F7286">
        <v>96</v>
      </c>
      <c r="G7286">
        <v>4</v>
      </c>
      <c r="H7286">
        <v>1</v>
      </c>
      <c r="I7286">
        <v>472</v>
      </c>
      <c r="J7286">
        <v>1</v>
      </c>
      <c r="K7286">
        <v>20</v>
      </c>
      <c r="L7286">
        <v>495</v>
      </c>
      <c r="M7286">
        <v>1</v>
      </c>
      <c r="N7286">
        <v>0</v>
      </c>
      <c r="O7286">
        <v>2018</v>
      </c>
    </row>
    <row r="7287" spans="1:15" x14ac:dyDescent="0.25">
      <c r="A7287" t="s">
        <v>7300</v>
      </c>
      <c r="B7287">
        <v>521</v>
      </c>
      <c r="C7287" s="1" t="str">
        <f>HYPERLINK("http://www.rosaceae.org/gb/gbrowse/malus_x_domestica/?name=MDP0000789642","MDP0000789642")</f>
        <v>MDP0000789642</v>
      </c>
      <c r="D7287">
        <v>75.180000000000007</v>
      </c>
      <c r="E7287">
        <v>532</v>
      </c>
      <c r="F7287">
        <v>132</v>
      </c>
      <c r="G7287">
        <v>19</v>
      </c>
      <c r="H7287">
        <v>2</v>
      </c>
      <c r="I7287">
        <v>517</v>
      </c>
      <c r="J7287">
        <v>1</v>
      </c>
      <c r="K7287">
        <v>16</v>
      </c>
      <c r="L7287">
        <v>544</v>
      </c>
      <c r="M7287">
        <v>1</v>
      </c>
      <c r="N7287">
        <v>0</v>
      </c>
      <c r="O7287">
        <v>2060</v>
      </c>
    </row>
    <row r="7288" spans="1:15" x14ac:dyDescent="0.25">
      <c r="A7288" t="s">
        <v>7301</v>
      </c>
      <c r="B7288">
        <v>781</v>
      </c>
      <c r="C7288" s="1" t="str">
        <f>HYPERLINK("http://www.rosaceae.org/gb/gbrowse/malus_x_domestica/?name=MDP0000412025","MDP0000412025")</f>
        <v>MDP0000412025</v>
      </c>
      <c r="D7288">
        <v>81.03</v>
      </c>
      <c r="E7288">
        <v>327</v>
      </c>
      <c r="F7288">
        <v>62</v>
      </c>
      <c r="G7288">
        <v>3</v>
      </c>
      <c r="H7288">
        <v>66</v>
      </c>
      <c r="I7288">
        <v>391</v>
      </c>
      <c r="J7288">
        <v>1</v>
      </c>
      <c r="K7288">
        <v>1</v>
      </c>
      <c r="L7288">
        <v>325</v>
      </c>
      <c r="M7288">
        <v>1</v>
      </c>
      <c r="N7288">
        <v>5.1399500000000001E-157</v>
      </c>
      <c r="O7288">
        <v>1423</v>
      </c>
    </row>
    <row r="7289" spans="1:15" x14ac:dyDescent="0.25">
      <c r="A7289" t="s">
        <v>7302</v>
      </c>
      <c r="B7289">
        <v>938</v>
      </c>
      <c r="C7289" s="1" t="str">
        <f>HYPERLINK("http://www.rosaceae.org/gb/gbrowse/malus_x_domestica/?name=MDP0000493661","MDP0000493661")</f>
        <v>MDP0000493661</v>
      </c>
      <c r="D7289">
        <v>48.27</v>
      </c>
      <c r="E7289">
        <v>928</v>
      </c>
      <c r="F7289">
        <v>480</v>
      </c>
      <c r="G7289">
        <v>123</v>
      </c>
      <c r="H7289">
        <v>1</v>
      </c>
      <c r="I7289">
        <v>820</v>
      </c>
      <c r="J7289">
        <v>1</v>
      </c>
      <c r="K7289">
        <v>1</v>
      </c>
      <c r="L7289">
        <v>913</v>
      </c>
      <c r="M7289">
        <v>1</v>
      </c>
      <c r="N7289">
        <v>0</v>
      </c>
      <c r="O7289">
        <v>2014</v>
      </c>
    </row>
    <row r="7290" spans="1:15" x14ac:dyDescent="0.25">
      <c r="A7290" t="s">
        <v>7303</v>
      </c>
      <c r="B7290">
        <v>531</v>
      </c>
      <c r="C7290" s="1" t="str">
        <f>HYPERLINK("http://www.rosaceae.org/gb/gbrowse/malus_x_domestica/?name=MDP0000280415","MDP0000280415")</f>
        <v>MDP0000280415</v>
      </c>
      <c r="D7290">
        <v>69.430000000000007</v>
      </c>
      <c r="E7290">
        <v>494</v>
      </c>
      <c r="F7290">
        <v>151</v>
      </c>
      <c r="G7290">
        <v>14</v>
      </c>
      <c r="H7290">
        <v>38</v>
      </c>
      <c r="I7290">
        <v>530</v>
      </c>
      <c r="J7290">
        <v>1</v>
      </c>
      <c r="K7290">
        <v>48</v>
      </c>
      <c r="L7290">
        <v>528</v>
      </c>
      <c r="M7290">
        <v>1</v>
      </c>
      <c r="N7290">
        <v>0</v>
      </c>
      <c r="O7290">
        <v>1763</v>
      </c>
    </row>
    <row r="7291" spans="1:15" x14ac:dyDescent="0.25">
      <c r="A7291" t="s">
        <v>7304</v>
      </c>
      <c r="B7291">
        <v>1324</v>
      </c>
      <c r="C7291" s="1" t="str">
        <f>HYPERLINK("http://www.rosaceae.org/gb/gbrowse/malus_x_domestica/?name=MDP0000264760","MDP0000264760")</f>
        <v>MDP0000264760</v>
      </c>
      <c r="D7291">
        <v>67.31</v>
      </c>
      <c r="E7291">
        <v>1346</v>
      </c>
      <c r="F7291">
        <v>440</v>
      </c>
      <c r="G7291">
        <v>27</v>
      </c>
      <c r="H7291">
        <v>1</v>
      </c>
      <c r="I7291">
        <v>1324</v>
      </c>
      <c r="J7291">
        <v>1</v>
      </c>
      <c r="K7291">
        <v>1</v>
      </c>
      <c r="L7291">
        <v>1341</v>
      </c>
      <c r="M7291">
        <v>1</v>
      </c>
      <c r="N7291">
        <v>0</v>
      </c>
      <c r="O7291">
        <v>4622</v>
      </c>
    </row>
    <row r="7292" spans="1:15" x14ac:dyDescent="0.25">
      <c r="A7292" t="s">
        <v>7305</v>
      </c>
      <c r="B7292">
        <v>166</v>
      </c>
      <c r="C7292" s="1" t="str">
        <f>HYPERLINK("http://www.rosaceae.org/gb/gbrowse/malus_x_domestica/?name=MDP0000290496","MDP0000290496")</f>
        <v>MDP0000290496</v>
      </c>
      <c r="D7292">
        <v>46.47</v>
      </c>
      <c r="E7292">
        <v>170</v>
      </c>
      <c r="F7292">
        <v>91</v>
      </c>
      <c r="G7292">
        <v>61</v>
      </c>
      <c r="H7292">
        <v>33</v>
      </c>
      <c r="I7292">
        <v>141</v>
      </c>
      <c r="J7292">
        <v>1</v>
      </c>
      <c r="K7292">
        <v>39</v>
      </c>
      <c r="L7292">
        <v>208</v>
      </c>
      <c r="M7292">
        <v>1</v>
      </c>
      <c r="N7292">
        <v>5.2779499999999997E-36</v>
      </c>
      <c r="O7292">
        <v>371</v>
      </c>
    </row>
    <row r="7293" spans="1:15" x14ac:dyDescent="0.25">
      <c r="A7293" t="s">
        <v>7306</v>
      </c>
      <c r="B7293">
        <v>308</v>
      </c>
      <c r="C7293" s="1" t="str">
        <f>HYPERLINK("http://www.rosaceae.org/gb/gbrowse/malus_x_domestica/?name=MDP0000437717","MDP0000437717")</f>
        <v>MDP0000437717</v>
      </c>
      <c r="D7293">
        <v>61</v>
      </c>
      <c r="E7293">
        <v>318</v>
      </c>
      <c r="F7293">
        <v>124</v>
      </c>
      <c r="G7293">
        <v>44</v>
      </c>
      <c r="H7293">
        <v>1</v>
      </c>
      <c r="I7293">
        <v>308</v>
      </c>
      <c r="J7293">
        <v>1</v>
      </c>
      <c r="K7293">
        <v>1</v>
      </c>
      <c r="L7293">
        <v>284</v>
      </c>
      <c r="M7293">
        <v>1</v>
      </c>
      <c r="N7293">
        <v>1.8245E-94</v>
      </c>
      <c r="O7293">
        <v>879</v>
      </c>
    </row>
    <row r="7294" spans="1:15" x14ac:dyDescent="0.25">
      <c r="A7294" t="s">
        <v>7307</v>
      </c>
      <c r="B7294">
        <v>513</v>
      </c>
      <c r="C7294" s="1" t="str">
        <f>HYPERLINK("http://www.rosaceae.org/gb/gbrowse/malus_x_domestica/?name=MDP0000285150","MDP0000285150")</f>
        <v>MDP0000285150</v>
      </c>
      <c r="D7294">
        <v>63.25</v>
      </c>
      <c r="E7294">
        <v>528</v>
      </c>
      <c r="F7294">
        <v>194</v>
      </c>
      <c r="G7294">
        <v>48</v>
      </c>
      <c r="H7294">
        <v>1</v>
      </c>
      <c r="I7294">
        <v>513</v>
      </c>
      <c r="J7294">
        <v>1</v>
      </c>
      <c r="K7294">
        <v>219</v>
      </c>
      <c r="L7294">
        <v>713</v>
      </c>
      <c r="M7294">
        <v>1</v>
      </c>
      <c r="N7294">
        <v>3.9832700000000002E-174</v>
      </c>
      <c r="O7294">
        <v>1568</v>
      </c>
    </row>
    <row r="7295" spans="1:15" x14ac:dyDescent="0.25">
      <c r="A7295" t="s">
        <v>7308</v>
      </c>
      <c r="B7295">
        <v>588</v>
      </c>
      <c r="C7295" s="1" t="str">
        <f>HYPERLINK("http://www.rosaceae.org/gb/gbrowse/malus_x_domestica/?name=MDP0000189328","MDP0000189328")</f>
        <v>MDP0000189328</v>
      </c>
      <c r="D7295">
        <v>72.349999999999994</v>
      </c>
      <c r="E7295">
        <v>615</v>
      </c>
      <c r="F7295">
        <v>170</v>
      </c>
      <c r="G7295">
        <v>32</v>
      </c>
      <c r="H7295">
        <v>1</v>
      </c>
      <c r="I7295">
        <v>588</v>
      </c>
      <c r="J7295">
        <v>1</v>
      </c>
      <c r="K7295">
        <v>1</v>
      </c>
      <c r="L7295">
        <v>610</v>
      </c>
      <c r="M7295">
        <v>1</v>
      </c>
      <c r="N7295">
        <v>0</v>
      </c>
      <c r="O7295">
        <v>2293</v>
      </c>
    </row>
    <row r="7296" spans="1:15" x14ac:dyDescent="0.25">
      <c r="A7296" t="s">
        <v>7309</v>
      </c>
      <c r="B7296">
        <v>1279</v>
      </c>
      <c r="C7296" s="1" t="str">
        <f>HYPERLINK("http://www.rosaceae.org/gb/gbrowse/malus_x_domestica/?name=MDP0000709006","MDP0000709006")</f>
        <v>MDP0000709006</v>
      </c>
      <c r="D7296">
        <v>34.93</v>
      </c>
      <c r="E7296">
        <v>312</v>
      </c>
      <c r="F7296">
        <v>203</v>
      </c>
      <c r="G7296">
        <v>29</v>
      </c>
      <c r="H7296">
        <v>975</v>
      </c>
      <c r="I7296">
        <v>1279</v>
      </c>
      <c r="J7296">
        <v>1</v>
      </c>
      <c r="K7296">
        <v>435</v>
      </c>
      <c r="L7296">
        <v>724</v>
      </c>
      <c r="M7296">
        <v>1</v>
      </c>
      <c r="N7296">
        <v>2.1323600000000001E-36</v>
      </c>
      <c r="O7296">
        <v>384</v>
      </c>
    </row>
    <row r="7297" spans="1:15" x14ac:dyDescent="0.25">
      <c r="A7297" t="s">
        <v>7310</v>
      </c>
      <c r="B7297">
        <v>885</v>
      </c>
      <c r="C7297" s="1" t="str">
        <f>HYPERLINK("http://www.rosaceae.org/gb/gbrowse/malus_x_domestica/?name=MDP0000231572","MDP0000231572")</f>
        <v>MDP0000231572</v>
      </c>
      <c r="D7297">
        <v>21.87</v>
      </c>
      <c r="E7297">
        <v>759</v>
      </c>
      <c r="F7297">
        <v>593</v>
      </c>
      <c r="G7297">
        <v>24</v>
      </c>
      <c r="H7297">
        <v>126</v>
      </c>
      <c r="I7297">
        <v>873</v>
      </c>
      <c r="J7297">
        <v>1</v>
      </c>
      <c r="K7297">
        <v>81</v>
      </c>
      <c r="L7297">
        <v>826</v>
      </c>
      <c r="M7297">
        <v>1</v>
      </c>
      <c r="N7297">
        <v>1.7301300000000001E-47</v>
      </c>
      <c r="O7297">
        <v>478</v>
      </c>
    </row>
    <row r="7298" spans="1:15" x14ac:dyDescent="0.25">
      <c r="A7298" t="s">
        <v>7311</v>
      </c>
      <c r="B7298">
        <v>944</v>
      </c>
      <c r="C7298" s="1" t="str">
        <f>HYPERLINK("http://www.rosaceae.org/gb/gbrowse/malus_x_domestica/?name=MDP0000212237","MDP0000212237")</f>
        <v>MDP0000212237</v>
      </c>
      <c r="D7298">
        <v>85.83</v>
      </c>
      <c r="E7298">
        <v>600</v>
      </c>
      <c r="F7298">
        <v>85</v>
      </c>
      <c r="G7298">
        <v>45</v>
      </c>
      <c r="H7298">
        <v>248</v>
      </c>
      <c r="I7298">
        <v>815</v>
      </c>
      <c r="J7298">
        <v>1</v>
      </c>
      <c r="K7298">
        <v>135</v>
      </c>
      <c r="L7298">
        <v>721</v>
      </c>
      <c r="M7298">
        <v>1</v>
      </c>
      <c r="N7298">
        <v>0</v>
      </c>
      <c r="O7298">
        <v>2761</v>
      </c>
    </row>
    <row r="7299" spans="1:15" x14ac:dyDescent="0.25">
      <c r="A7299" t="s">
        <v>7312</v>
      </c>
      <c r="B7299">
        <v>909</v>
      </c>
      <c r="C7299" s="1" t="str">
        <f>HYPERLINK("http://www.rosaceae.org/gb/gbrowse/malus_x_domestica/?name=MDP0000320695","MDP0000320695")</f>
        <v>MDP0000320695</v>
      </c>
      <c r="D7299">
        <v>60.54</v>
      </c>
      <c r="E7299">
        <v>910</v>
      </c>
      <c r="F7299">
        <v>359</v>
      </c>
      <c r="G7299">
        <v>21</v>
      </c>
      <c r="H7299">
        <v>10</v>
      </c>
      <c r="I7299">
        <v>909</v>
      </c>
      <c r="J7299">
        <v>1</v>
      </c>
      <c r="K7299">
        <v>9</v>
      </c>
      <c r="L7299">
        <v>907</v>
      </c>
      <c r="M7299">
        <v>1</v>
      </c>
      <c r="N7299">
        <v>0</v>
      </c>
      <c r="O7299">
        <v>2793</v>
      </c>
    </row>
    <row r="7300" spans="1:15" x14ac:dyDescent="0.25">
      <c r="A7300" t="s">
        <v>7313</v>
      </c>
      <c r="B7300">
        <v>125</v>
      </c>
      <c r="C7300" s="1" t="str">
        <f>HYPERLINK("http://www.rosaceae.org/gb/gbrowse/malus_x_domestica/?name=MDP0000559385","MDP0000559385")</f>
        <v>MDP0000559385</v>
      </c>
      <c r="D7300">
        <v>76.78</v>
      </c>
      <c r="E7300">
        <v>112</v>
      </c>
      <c r="F7300">
        <v>26</v>
      </c>
      <c r="G7300">
        <v>0</v>
      </c>
      <c r="H7300">
        <v>14</v>
      </c>
      <c r="I7300">
        <v>125</v>
      </c>
      <c r="J7300">
        <v>1</v>
      </c>
      <c r="K7300">
        <v>411</v>
      </c>
      <c r="L7300">
        <v>522</v>
      </c>
      <c r="M7300">
        <v>1</v>
      </c>
      <c r="N7300">
        <v>1.0765199999999999E-40</v>
      </c>
      <c r="O7300">
        <v>408</v>
      </c>
    </row>
    <row r="7301" spans="1:15" x14ac:dyDescent="0.25">
      <c r="A7301" t="s">
        <v>7314</v>
      </c>
      <c r="B7301">
        <v>784</v>
      </c>
      <c r="C7301" s="1" t="str">
        <f>HYPERLINK("http://www.rosaceae.org/gb/gbrowse/malus_x_domestica/?name=MDP0000193819","MDP0000193819")</f>
        <v>MDP0000193819</v>
      </c>
      <c r="D7301">
        <v>60.5</v>
      </c>
      <c r="E7301">
        <v>790</v>
      </c>
      <c r="F7301">
        <v>312</v>
      </c>
      <c r="G7301">
        <v>28</v>
      </c>
      <c r="H7301">
        <v>1</v>
      </c>
      <c r="I7301">
        <v>781</v>
      </c>
      <c r="J7301">
        <v>1</v>
      </c>
      <c r="K7301">
        <v>1</v>
      </c>
      <c r="L7301">
        <v>771</v>
      </c>
      <c r="M7301">
        <v>1</v>
      </c>
      <c r="N7301">
        <v>0</v>
      </c>
      <c r="O7301">
        <v>2169</v>
      </c>
    </row>
    <row r="7302" spans="1:15" x14ac:dyDescent="0.25">
      <c r="A7302" t="s">
        <v>7315</v>
      </c>
      <c r="B7302">
        <v>278</v>
      </c>
      <c r="C7302" s="1" t="str">
        <f>HYPERLINK("http://www.rosaceae.org/gb/gbrowse/malus_x_domestica/?name=MDP0000274056","MDP0000274056")</f>
        <v>MDP0000274056</v>
      </c>
      <c r="D7302">
        <v>58.02</v>
      </c>
      <c r="E7302">
        <v>81</v>
      </c>
      <c r="F7302">
        <v>34</v>
      </c>
      <c r="G7302">
        <v>0</v>
      </c>
      <c r="H7302">
        <v>156</v>
      </c>
      <c r="I7302">
        <v>236</v>
      </c>
      <c r="J7302">
        <v>1</v>
      </c>
      <c r="K7302">
        <v>210</v>
      </c>
      <c r="L7302">
        <v>290</v>
      </c>
      <c r="M7302">
        <v>1</v>
      </c>
      <c r="N7302">
        <v>1.16985E-20</v>
      </c>
      <c r="O7302">
        <v>242</v>
      </c>
    </row>
    <row r="7303" spans="1:15" x14ac:dyDescent="0.25">
      <c r="A7303" t="s">
        <v>7316</v>
      </c>
      <c r="B7303">
        <v>142</v>
      </c>
      <c r="C7303" s="1" t="str">
        <f>HYPERLINK("http://www.rosaceae.org/gb/gbrowse/malus_x_domestica/?name=MDP0000211096","MDP0000211096")</f>
        <v>MDP0000211096</v>
      </c>
      <c r="D7303">
        <v>58.08</v>
      </c>
      <c r="E7303">
        <v>136</v>
      </c>
      <c r="F7303">
        <v>57</v>
      </c>
      <c r="G7303">
        <v>12</v>
      </c>
      <c r="H7303">
        <v>1</v>
      </c>
      <c r="I7303">
        <v>131</v>
      </c>
      <c r="J7303">
        <v>1</v>
      </c>
      <c r="K7303">
        <v>695</v>
      </c>
      <c r="L7303">
        <v>823</v>
      </c>
      <c r="M7303">
        <v>1</v>
      </c>
      <c r="N7303">
        <v>1.56908E-34</v>
      </c>
      <c r="O7303">
        <v>357</v>
      </c>
    </row>
    <row r="7304" spans="1:15" x14ac:dyDescent="0.25">
      <c r="A7304" t="s">
        <v>7317</v>
      </c>
      <c r="B7304">
        <v>653</v>
      </c>
      <c r="C7304" s="1" t="str">
        <f>HYPERLINK("http://www.rosaceae.org/gb/gbrowse/malus_x_domestica/?name=MDP0000305510","MDP0000305510")</f>
        <v>MDP0000305510</v>
      </c>
      <c r="D7304">
        <v>68.17</v>
      </c>
      <c r="E7304">
        <v>641</v>
      </c>
      <c r="F7304">
        <v>204</v>
      </c>
      <c r="G7304">
        <v>35</v>
      </c>
      <c r="H7304">
        <v>1</v>
      </c>
      <c r="I7304">
        <v>639</v>
      </c>
      <c r="J7304">
        <v>1</v>
      </c>
      <c r="K7304">
        <v>1</v>
      </c>
      <c r="L7304">
        <v>608</v>
      </c>
      <c r="M7304">
        <v>1</v>
      </c>
      <c r="N7304">
        <v>0</v>
      </c>
      <c r="O7304">
        <v>2183</v>
      </c>
    </row>
    <row r="7305" spans="1:15" x14ac:dyDescent="0.25">
      <c r="A7305" t="s">
        <v>7318</v>
      </c>
      <c r="B7305">
        <v>343</v>
      </c>
      <c r="C7305" s="1" t="str">
        <f>HYPERLINK("http://www.rosaceae.org/gb/gbrowse/malus_x_domestica/?name=MDP0000174597","MDP0000174597")</f>
        <v>MDP0000174597</v>
      </c>
      <c r="D7305">
        <v>73.650000000000006</v>
      </c>
      <c r="E7305">
        <v>353</v>
      </c>
      <c r="F7305">
        <v>93</v>
      </c>
      <c r="G7305">
        <v>11</v>
      </c>
      <c r="H7305">
        <v>2</v>
      </c>
      <c r="I7305">
        <v>343</v>
      </c>
      <c r="J7305">
        <v>1</v>
      </c>
      <c r="K7305">
        <v>158</v>
      </c>
      <c r="L7305">
        <v>510</v>
      </c>
      <c r="M7305">
        <v>1</v>
      </c>
      <c r="N7305">
        <v>6.0684100000000001E-149</v>
      </c>
      <c r="O7305">
        <v>1349</v>
      </c>
    </row>
    <row r="7306" spans="1:15" x14ac:dyDescent="0.25">
      <c r="A7306" t="s">
        <v>7319</v>
      </c>
      <c r="B7306">
        <v>723</v>
      </c>
      <c r="C7306" s="1" t="str">
        <f>HYPERLINK("http://www.rosaceae.org/gb/gbrowse/malus_x_domestica/?name=MDP0000158428","MDP0000158428")</f>
        <v>MDP0000158428</v>
      </c>
      <c r="D7306">
        <v>70.56</v>
      </c>
      <c r="E7306">
        <v>632</v>
      </c>
      <c r="F7306">
        <v>186</v>
      </c>
      <c r="G7306">
        <v>18</v>
      </c>
      <c r="H7306">
        <v>25</v>
      </c>
      <c r="I7306">
        <v>643</v>
      </c>
      <c r="J7306">
        <v>1</v>
      </c>
      <c r="K7306">
        <v>1</v>
      </c>
      <c r="L7306">
        <v>627</v>
      </c>
      <c r="M7306">
        <v>1</v>
      </c>
      <c r="N7306">
        <v>0</v>
      </c>
      <c r="O7306">
        <v>2298</v>
      </c>
    </row>
    <row r="7307" spans="1:15" x14ac:dyDescent="0.25">
      <c r="A7307" t="s">
        <v>7320</v>
      </c>
      <c r="B7307">
        <v>777</v>
      </c>
      <c r="C7307" s="1" t="str">
        <f>HYPERLINK("http://www.rosaceae.org/gb/gbrowse/malus_x_domestica/?name=MDP0000238940","MDP0000238940")</f>
        <v>MDP0000238940</v>
      </c>
      <c r="D7307">
        <v>74.099999999999994</v>
      </c>
      <c r="E7307">
        <v>780</v>
      </c>
      <c r="F7307">
        <v>202</v>
      </c>
      <c r="G7307">
        <v>8</v>
      </c>
      <c r="H7307">
        <v>1</v>
      </c>
      <c r="I7307">
        <v>777</v>
      </c>
      <c r="J7307">
        <v>1</v>
      </c>
      <c r="K7307">
        <v>1</v>
      </c>
      <c r="L7307">
        <v>775</v>
      </c>
      <c r="M7307">
        <v>1</v>
      </c>
      <c r="N7307">
        <v>0</v>
      </c>
      <c r="O7307">
        <v>3037</v>
      </c>
    </row>
    <row r="7308" spans="1:15" x14ac:dyDescent="0.25">
      <c r="A7308" t="s">
        <v>7321</v>
      </c>
      <c r="B7308">
        <v>1274</v>
      </c>
      <c r="C7308" s="1" t="str">
        <f>HYPERLINK("http://www.rosaceae.org/gb/gbrowse/malus_x_domestica/?name=MDP0000279573","MDP0000279573")</f>
        <v>MDP0000279573</v>
      </c>
      <c r="D7308">
        <v>75.86</v>
      </c>
      <c r="E7308">
        <v>1102</v>
      </c>
      <c r="F7308">
        <v>266</v>
      </c>
      <c r="G7308">
        <v>30</v>
      </c>
      <c r="H7308">
        <v>17</v>
      </c>
      <c r="I7308">
        <v>1102</v>
      </c>
      <c r="J7308">
        <v>1</v>
      </c>
      <c r="K7308">
        <v>42</v>
      </c>
      <c r="L7308">
        <v>1129</v>
      </c>
      <c r="M7308">
        <v>1</v>
      </c>
      <c r="N7308">
        <v>0</v>
      </c>
      <c r="O7308">
        <v>4484</v>
      </c>
    </row>
    <row r="7309" spans="1:15" x14ac:dyDescent="0.25">
      <c r="A7309" t="s">
        <v>7322</v>
      </c>
      <c r="B7309">
        <v>1373</v>
      </c>
      <c r="C7309" s="1" t="str">
        <f>HYPERLINK("http://www.rosaceae.org/gb/gbrowse/malus_x_domestica/?name=MDP0000297823","MDP0000297823")</f>
        <v>MDP0000297823</v>
      </c>
      <c r="D7309">
        <v>71.489999999999995</v>
      </c>
      <c r="E7309">
        <v>1389</v>
      </c>
      <c r="F7309">
        <v>396</v>
      </c>
      <c r="G7309">
        <v>32</v>
      </c>
      <c r="H7309">
        <v>1</v>
      </c>
      <c r="I7309">
        <v>1373</v>
      </c>
      <c r="J7309">
        <v>1</v>
      </c>
      <c r="K7309">
        <v>340</v>
      </c>
      <c r="L7309">
        <v>1712</v>
      </c>
      <c r="M7309">
        <v>1</v>
      </c>
      <c r="N7309">
        <v>0</v>
      </c>
      <c r="O7309">
        <v>5030</v>
      </c>
    </row>
    <row r="7310" spans="1:15" x14ac:dyDescent="0.25">
      <c r="A7310" t="s">
        <v>7323</v>
      </c>
      <c r="B7310">
        <v>288</v>
      </c>
      <c r="C7310" s="1" t="str">
        <f>HYPERLINK("http://www.rosaceae.org/gb/gbrowse/malus_x_domestica/?name=MDP0000543088","MDP0000543088")</f>
        <v>MDP0000543088</v>
      </c>
      <c r="D7310">
        <v>40.15</v>
      </c>
      <c r="E7310">
        <v>264</v>
      </c>
      <c r="F7310">
        <v>158</v>
      </c>
      <c r="G7310">
        <v>34</v>
      </c>
      <c r="H7310">
        <v>39</v>
      </c>
      <c r="I7310">
        <v>271</v>
      </c>
      <c r="J7310">
        <v>1</v>
      </c>
      <c r="K7310">
        <v>61</v>
      </c>
      <c r="L7310">
        <v>321</v>
      </c>
      <c r="M7310">
        <v>1</v>
      </c>
      <c r="N7310">
        <v>1.0623E-54</v>
      </c>
      <c r="O7310">
        <v>535</v>
      </c>
    </row>
    <row r="7311" spans="1:15" x14ac:dyDescent="0.25">
      <c r="A7311" t="s">
        <v>7324</v>
      </c>
      <c r="B7311">
        <v>355</v>
      </c>
      <c r="C7311" s="1" t="str">
        <f>HYPERLINK("http://www.rosaceae.org/gb/gbrowse/malus_x_domestica/?name=MDP0000312095","MDP0000312095")</f>
        <v>MDP0000312095</v>
      </c>
      <c r="D7311">
        <v>84.02</v>
      </c>
      <c r="E7311">
        <v>313</v>
      </c>
      <c r="F7311">
        <v>50</v>
      </c>
      <c r="G7311">
        <v>3</v>
      </c>
      <c r="H7311">
        <v>39</v>
      </c>
      <c r="I7311">
        <v>351</v>
      </c>
      <c r="J7311">
        <v>1</v>
      </c>
      <c r="K7311">
        <v>18</v>
      </c>
      <c r="L7311">
        <v>327</v>
      </c>
      <c r="M7311">
        <v>1</v>
      </c>
      <c r="N7311">
        <v>5.7082799999999999E-157</v>
      </c>
      <c r="O7311">
        <v>1419</v>
      </c>
    </row>
    <row r="7312" spans="1:15" x14ac:dyDescent="0.25">
      <c r="A7312" t="s">
        <v>7325</v>
      </c>
      <c r="B7312">
        <v>329</v>
      </c>
      <c r="C7312" s="1" t="str">
        <f>HYPERLINK("http://www.rosaceae.org/gb/gbrowse/malus_x_domestica/?name=MDP0000397221","MDP0000397221")</f>
        <v>MDP0000397221</v>
      </c>
      <c r="D7312">
        <v>80.75</v>
      </c>
      <c r="E7312">
        <v>317</v>
      </c>
      <c r="F7312">
        <v>61</v>
      </c>
      <c r="G7312">
        <v>0</v>
      </c>
      <c r="H7312">
        <v>9</v>
      </c>
      <c r="I7312">
        <v>325</v>
      </c>
      <c r="J7312">
        <v>1</v>
      </c>
      <c r="K7312">
        <v>31</v>
      </c>
      <c r="L7312">
        <v>347</v>
      </c>
      <c r="M7312">
        <v>1</v>
      </c>
      <c r="N7312">
        <v>1.56518E-154</v>
      </c>
      <c r="O7312">
        <v>1397</v>
      </c>
    </row>
    <row r="7313" spans="1:15" x14ac:dyDescent="0.25">
      <c r="A7313" t="s">
        <v>7326</v>
      </c>
      <c r="B7313">
        <v>852</v>
      </c>
      <c r="C7313" s="1" t="str">
        <f>HYPERLINK("http://www.rosaceae.org/gb/gbrowse/malus_x_domestica/?name=MDP0000259830","MDP0000259830")</f>
        <v>MDP0000259830</v>
      </c>
      <c r="D7313">
        <v>68.78</v>
      </c>
      <c r="E7313">
        <v>756</v>
      </c>
      <c r="F7313">
        <v>236</v>
      </c>
      <c r="G7313">
        <v>24</v>
      </c>
      <c r="H7313">
        <v>101</v>
      </c>
      <c r="I7313">
        <v>852</v>
      </c>
      <c r="J7313">
        <v>1</v>
      </c>
      <c r="K7313">
        <v>7</v>
      </c>
      <c r="L7313">
        <v>742</v>
      </c>
      <c r="M7313">
        <v>1</v>
      </c>
      <c r="N7313">
        <v>0</v>
      </c>
      <c r="O7313">
        <v>2769</v>
      </c>
    </row>
    <row r="7314" spans="1:15" x14ac:dyDescent="0.25">
      <c r="A7314" t="s">
        <v>7327</v>
      </c>
      <c r="B7314">
        <v>627</v>
      </c>
      <c r="C7314" s="1" t="str">
        <f>HYPERLINK("http://www.rosaceae.org/gb/gbrowse/malus_x_domestica/?name=MDP0000295804","MDP0000295804")</f>
        <v>MDP0000295804</v>
      </c>
      <c r="D7314">
        <v>37</v>
      </c>
      <c r="E7314">
        <v>400</v>
      </c>
      <c r="F7314">
        <v>252</v>
      </c>
      <c r="G7314">
        <v>47</v>
      </c>
      <c r="H7314">
        <v>226</v>
      </c>
      <c r="I7314">
        <v>590</v>
      </c>
      <c r="J7314">
        <v>1</v>
      </c>
      <c r="K7314">
        <v>346</v>
      </c>
      <c r="L7314">
        <v>733</v>
      </c>
      <c r="M7314">
        <v>1</v>
      </c>
      <c r="N7314">
        <v>6.4537300000000004E-45</v>
      </c>
      <c r="O7314">
        <v>455</v>
      </c>
    </row>
    <row r="7315" spans="1:15" x14ac:dyDescent="0.25">
      <c r="A7315" t="s">
        <v>7328</v>
      </c>
      <c r="B7315">
        <v>876</v>
      </c>
      <c r="C7315" s="1" t="str">
        <f>HYPERLINK("http://www.rosaceae.org/gb/gbrowse/malus_x_domestica/?name=MDP0000305907","MDP0000305907")</f>
        <v>MDP0000305907</v>
      </c>
      <c r="D7315">
        <v>61.87</v>
      </c>
      <c r="E7315">
        <v>905</v>
      </c>
      <c r="F7315">
        <v>345</v>
      </c>
      <c r="G7315">
        <v>123</v>
      </c>
      <c r="H7315">
        <v>10</v>
      </c>
      <c r="I7315">
        <v>842</v>
      </c>
      <c r="J7315">
        <v>1</v>
      </c>
      <c r="K7315">
        <v>41</v>
      </c>
      <c r="L7315">
        <v>894</v>
      </c>
      <c r="M7315">
        <v>1</v>
      </c>
      <c r="N7315">
        <v>0</v>
      </c>
      <c r="O7315">
        <v>2792</v>
      </c>
    </row>
    <row r="7316" spans="1:15" x14ac:dyDescent="0.25">
      <c r="A7316" t="s">
        <v>7329</v>
      </c>
      <c r="B7316">
        <v>568</v>
      </c>
      <c r="C7316" s="1" t="str">
        <f>HYPERLINK("http://www.rosaceae.org/gb/gbrowse/malus_x_domestica/?name=MDP0000276721","MDP0000276721")</f>
        <v>MDP0000276721</v>
      </c>
      <c r="D7316">
        <v>83.33</v>
      </c>
      <c r="E7316">
        <v>570</v>
      </c>
      <c r="F7316">
        <v>95</v>
      </c>
      <c r="G7316">
        <v>2</v>
      </c>
      <c r="H7316">
        <v>1</v>
      </c>
      <c r="I7316">
        <v>568</v>
      </c>
      <c r="J7316">
        <v>1</v>
      </c>
      <c r="K7316">
        <v>1</v>
      </c>
      <c r="L7316">
        <v>570</v>
      </c>
      <c r="M7316">
        <v>1</v>
      </c>
      <c r="N7316">
        <v>0</v>
      </c>
      <c r="O7316">
        <v>2483</v>
      </c>
    </row>
    <row r="7317" spans="1:15" x14ac:dyDescent="0.25">
      <c r="A7317" t="s">
        <v>7330</v>
      </c>
      <c r="B7317">
        <v>783</v>
      </c>
      <c r="C7317" s="1" t="str">
        <f>HYPERLINK("http://www.rosaceae.org/gb/gbrowse/malus_x_domestica/?name=MDP0000747891","MDP0000747891")</f>
        <v>MDP0000747891</v>
      </c>
      <c r="D7317">
        <v>65.59</v>
      </c>
      <c r="E7317">
        <v>808</v>
      </c>
      <c r="F7317">
        <v>278</v>
      </c>
      <c r="G7317">
        <v>45</v>
      </c>
      <c r="H7317">
        <v>4</v>
      </c>
      <c r="I7317">
        <v>781</v>
      </c>
      <c r="J7317">
        <v>1</v>
      </c>
      <c r="K7317">
        <v>1</v>
      </c>
      <c r="L7317">
        <v>793</v>
      </c>
      <c r="M7317">
        <v>1</v>
      </c>
      <c r="N7317">
        <v>0</v>
      </c>
      <c r="O7317">
        <v>2543</v>
      </c>
    </row>
    <row r="7318" spans="1:15" x14ac:dyDescent="0.25">
      <c r="A7318" t="s">
        <v>7331</v>
      </c>
      <c r="B7318">
        <v>484</v>
      </c>
      <c r="C7318" s="1" t="str">
        <f>HYPERLINK("http://www.rosaceae.org/gb/gbrowse/malus_x_domestica/?name=MDP0000749280","MDP0000749280")</f>
        <v>MDP0000749280</v>
      </c>
      <c r="D7318">
        <v>80.37</v>
      </c>
      <c r="E7318">
        <v>484</v>
      </c>
      <c r="F7318">
        <v>95</v>
      </c>
      <c r="G7318">
        <v>8</v>
      </c>
      <c r="H7318">
        <v>1</v>
      </c>
      <c r="I7318">
        <v>483</v>
      </c>
      <c r="J7318">
        <v>1</v>
      </c>
      <c r="K7318">
        <v>371</v>
      </c>
      <c r="L7318">
        <v>847</v>
      </c>
      <c r="M7318">
        <v>1</v>
      </c>
      <c r="N7318">
        <v>0</v>
      </c>
      <c r="O7318">
        <v>2099</v>
      </c>
    </row>
    <row r="7319" spans="1:15" x14ac:dyDescent="0.25">
      <c r="A7319" t="s">
        <v>7332</v>
      </c>
      <c r="B7319">
        <v>445</v>
      </c>
      <c r="C7319" s="1" t="str">
        <f>HYPERLINK("http://www.rosaceae.org/gb/gbrowse/malus_x_domestica/?name=MDP0000904859","MDP0000904859")</f>
        <v>MDP0000904859</v>
      </c>
      <c r="D7319">
        <v>81.61</v>
      </c>
      <c r="E7319">
        <v>446</v>
      </c>
      <c r="F7319">
        <v>82</v>
      </c>
      <c r="G7319">
        <v>4</v>
      </c>
      <c r="H7319">
        <v>1</v>
      </c>
      <c r="I7319">
        <v>444</v>
      </c>
      <c r="J7319">
        <v>1</v>
      </c>
      <c r="K7319">
        <v>1</v>
      </c>
      <c r="L7319">
        <v>444</v>
      </c>
      <c r="M7319">
        <v>1</v>
      </c>
      <c r="N7319">
        <v>0</v>
      </c>
      <c r="O7319">
        <v>1944</v>
      </c>
    </row>
    <row r="7320" spans="1:15" x14ac:dyDescent="0.25">
      <c r="A7320" t="s">
        <v>7333</v>
      </c>
      <c r="B7320">
        <v>186</v>
      </c>
      <c r="C7320" s="1" t="str">
        <f>HYPERLINK("http://www.rosaceae.org/gb/gbrowse/malus_x_domestica/?name=MDP0000297609","MDP0000297609")</f>
        <v>MDP0000297609</v>
      </c>
      <c r="D7320">
        <v>50</v>
      </c>
      <c r="E7320">
        <v>116</v>
      </c>
      <c r="F7320">
        <v>58</v>
      </c>
      <c r="G7320">
        <v>0</v>
      </c>
      <c r="H7320">
        <v>61</v>
      </c>
      <c r="I7320">
        <v>176</v>
      </c>
      <c r="J7320">
        <v>1</v>
      </c>
      <c r="K7320">
        <v>345</v>
      </c>
      <c r="L7320">
        <v>460</v>
      </c>
      <c r="M7320">
        <v>1</v>
      </c>
      <c r="N7320">
        <v>4.4940000000000001E-25</v>
      </c>
      <c r="O7320">
        <v>277</v>
      </c>
    </row>
    <row r="7321" spans="1:15" x14ac:dyDescent="0.25">
      <c r="A7321" t="s">
        <v>7334</v>
      </c>
      <c r="B7321">
        <v>299</v>
      </c>
      <c r="C7321" s="1" t="str">
        <f>HYPERLINK("http://www.rosaceae.org/gb/gbrowse/malus_x_domestica/?name=MDP0000156973","MDP0000156973")</f>
        <v>MDP0000156973</v>
      </c>
      <c r="D7321">
        <v>39.07</v>
      </c>
      <c r="E7321">
        <v>302</v>
      </c>
      <c r="F7321">
        <v>184</v>
      </c>
      <c r="G7321">
        <v>5</v>
      </c>
      <c r="H7321">
        <v>1</v>
      </c>
      <c r="I7321">
        <v>299</v>
      </c>
      <c r="J7321">
        <v>1</v>
      </c>
      <c r="K7321">
        <v>1</v>
      </c>
      <c r="L7321">
        <v>300</v>
      </c>
      <c r="M7321">
        <v>1</v>
      </c>
      <c r="N7321">
        <v>3.9597900000000002E-58</v>
      </c>
      <c r="O7321">
        <v>565</v>
      </c>
    </row>
    <row r="7322" spans="1:15" x14ac:dyDescent="0.25">
      <c r="A7322" t="s">
        <v>7335</v>
      </c>
      <c r="B7322">
        <v>603</v>
      </c>
      <c r="C7322" s="1" t="str">
        <f>HYPERLINK("http://www.rosaceae.org/gb/gbrowse/malus_x_domestica/?name=MDP0000139194","MDP0000139194")</f>
        <v>MDP0000139194</v>
      </c>
      <c r="D7322">
        <v>72.56</v>
      </c>
      <c r="E7322">
        <v>627</v>
      </c>
      <c r="F7322">
        <v>172</v>
      </c>
      <c r="G7322">
        <v>24</v>
      </c>
      <c r="H7322">
        <v>1</v>
      </c>
      <c r="I7322">
        <v>603</v>
      </c>
      <c r="J7322">
        <v>1</v>
      </c>
      <c r="K7322">
        <v>1</v>
      </c>
      <c r="L7322">
        <v>627</v>
      </c>
      <c r="M7322">
        <v>1</v>
      </c>
      <c r="N7322">
        <v>0</v>
      </c>
      <c r="O7322">
        <v>2363</v>
      </c>
    </row>
    <row r="7323" spans="1:15" x14ac:dyDescent="0.25">
      <c r="A7323" t="s">
        <v>7336</v>
      </c>
      <c r="B7323">
        <v>136</v>
      </c>
      <c r="C7323" s="1" t="str">
        <f>HYPERLINK("http://www.rosaceae.org/gb/gbrowse/malus_x_domestica/?name=MDP0000322229","MDP0000322229")</f>
        <v>MDP0000322229</v>
      </c>
      <c r="D7323">
        <v>87.5</v>
      </c>
      <c r="E7323">
        <v>136</v>
      </c>
      <c r="F7323">
        <v>17</v>
      </c>
      <c r="G7323">
        <v>0</v>
      </c>
      <c r="H7323">
        <v>1</v>
      </c>
      <c r="I7323">
        <v>136</v>
      </c>
      <c r="J7323">
        <v>1</v>
      </c>
      <c r="K7323">
        <v>37</v>
      </c>
      <c r="L7323">
        <v>172</v>
      </c>
      <c r="M7323">
        <v>1</v>
      </c>
      <c r="N7323">
        <v>3.0720100000000002E-63</v>
      </c>
      <c r="O7323">
        <v>604</v>
      </c>
    </row>
    <row r="7324" spans="1:15" x14ac:dyDescent="0.25">
      <c r="A7324" t="s">
        <v>7337</v>
      </c>
      <c r="B7324">
        <v>140</v>
      </c>
      <c r="C7324" s="1" t="str">
        <f>HYPERLINK("http://www.rosaceae.org/gb/gbrowse/malus_x_domestica/?name=MDP0000291141","MDP0000291141")</f>
        <v>MDP0000291141</v>
      </c>
      <c r="D7324">
        <v>50.81</v>
      </c>
      <c r="E7324">
        <v>61</v>
      </c>
      <c r="F7324">
        <v>30</v>
      </c>
      <c r="G7324">
        <v>0</v>
      </c>
      <c r="H7324">
        <v>52</v>
      </c>
      <c r="I7324">
        <v>112</v>
      </c>
      <c r="J7324">
        <v>1</v>
      </c>
      <c r="K7324">
        <v>492</v>
      </c>
      <c r="L7324">
        <v>552</v>
      </c>
      <c r="M7324">
        <v>1</v>
      </c>
      <c r="N7324">
        <v>6.4688900000000003E-12</v>
      </c>
      <c r="O7324">
        <v>161</v>
      </c>
    </row>
    <row r="7325" spans="1:15" x14ac:dyDescent="0.25">
      <c r="A7325" t="s">
        <v>7338</v>
      </c>
      <c r="B7325">
        <v>253</v>
      </c>
      <c r="C7325" s="1" t="str">
        <f>HYPERLINK("http://www.rosaceae.org/gb/gbrowse/malus_x_domestica/?name=MDP0000258901","MDP0000258901")</f>
        <v>MDP0000258901</v>
      </c>
      <c r="D7325">
        <v>31.57</v>
      </c>
      <c r="E7325">
        <v>171</v>
      </c>
      <c r="F7325">
        <v>117</v>
      </c>
      <c r="G7325">
        <v>14</v>
      </c>
      <c r="H7325">
        <v>9</v>
      </c>
      <c r="I7325">
        <v>171</v>
      </c>
      <c r="J7325">
        <v>1</v>
      </c>
      <c r="K7325">
        <v>4</v>
      </c>
      <c r="L7325">
        <v>168</v>
      </c>
      <c r="M7325">
        <v>1</v>
      </c>
      <c r="N7325">
        <v>3.8891000000000001E-17</v>
      </c>
      <c r="O7325">
        <v>211</v>
      </c>
    </row>
    <row r="7326" spans="1:15" x14ac:dyDescent="0.25">
      <c r="A7326" t="s">
        <v>7339</v>
      </c>
      <c r="B7326">
        <v>510</v>
      </c>
      <c r="C7326" s="1" t="str">
        <f>HYPERLINK("http://www.rosaceae.org/gb/gbrowse/malus_x_domestica/?name=MDP0000250804","MDP0000250804")</f>
        <v>MDP0000250804</v>
      </c>
      <c r="D7326">
        <v>60.49</v>
      </c>
      <c r="E7326">
        <v>486</v>
      </c>
      <c r="F7326">
        <v>192</v>
      </c>
      <c r="G7326">
        <v>39</v>
      </c>
      <c r="H7326">
        <v>33</v>
      </c>
      <c r="I7326">
        <v>496</v>
      </c>
      <c r="J7326">
        <v>1</v>
      </c>
      <c r="K7326">
        <v>18</v>
      </c>
      <c r="L7326">
        <v>486</v>
      </c>
      <c r="M7326">
        <v>1</v>
      </c>
      <c r="N7326">
        <v>1.1664099999999999E-154</v>
      </c>
      <c r="O7326">
        <v>1400</v>
      </c>
    </row>
    <row r="7327" spans="1:15" x14ac:dyDescent="0.25">
      <c r="A7327" t="s">
        <v>7340</v>
      </c>
      <c r="B7327">
        <v>364</v>
      </c>
      <c r="C7327" s="1" t="str">
        <f>HYPERLINK("http://www.rosaceae.org/gb/gbrowse/malus_x_domestica/?name=MDP0000246701","MDP0000246701")</f>
        <v>MDP0000246701</v>
      </c>
      <c r="D7327">
        <v>46.36</v>
      </c>
      <c r="E7327">
        <v>330</v>
      </c>
      <c r="F7327">
        <v>177</v>
      </c>
      <c r="G7327">
        <v>11</v>
      </c>
      <c r="H7327">
        <v>24</v>
      </c>
      <c r="I7327">
        <v>347</v>
      </c>
      <c r="J7327">
        <v>1</v>
      </c>
      <c r="K7327">
        <v>1</v>
      </c>
      <c r="L7327">
        <v>325</v>
      </c>
      <c r="M7327">
        <v>1</v>
      </c>
      <c r="N7327">
        <v>1.6340900000000001E-75</v>
      </c>
      <c r="O7327">
        <v>716</v>
      </c>
    </row>
    <row r="7328" spans="1:15" x14ac:dyDescent="0.25">
      <c r="A7328" t="s">
        <v>7341</v>
      </c>
      <c r="B7328">
        <v>993</v>
      </c>
      <c r="C7328" s="1" t="str">
        <f>HYPERLINK("http://www.rosaceae.org/gb/gbrowse/malus_x_domestica/?name=MDP0000202391","MDP0000202391")</f>
        <v>MDP0000202391</v>
      </c>
      <c r="D7328">
        <v>44.24</v>
      </c>
      <c r="E7328">
        <v>226</v>
      </c>
      <c r="F7328">
        <v>126</v>
      </c>
      <c r="G7328">
        <v>38</v>
      </c>
      <c r="H7328">
        <v>192</v>
      </c>
      <c r="I7328">
        <v>380</v>
      </c>
      <c r="J7328">
        <v>1</v>
      </c>
      <c r="K7328">
        <v>627</v>
      </c>
      <c r="L7328">
        <v>851</v>
      </c>
      <c r="M7328">
        <v>1</v>
      </c>
      <c r="N7328">
        <v>3.7312699999999999E-46</v>
      </c>
      <c r="O7328">
        <v>467</v>
      </c>
    </row>
    <row r="7329" spans="1:15" x14ac:dyDescent="0.25">
      <c r="A7329" t="s">
        <v>7342</v>
      </c>
      <c r="B7329">
        <v>309</v>
      </c>
      <c r="C7329" s="1" t="str">
        <f>HYPERLINK("http://www.rosaceae.org/gb/gbrowse/malus_x_domestica/?name=MDP0000234369","MDP0000234369")</f>
        <v>MDP0000234369</v>
      </c>
      <c r="D7329">
        <v>23.39</v>
      </c>
      <c r="E7329">
        <v>265</v>
      </c>
      <c r="F7329">
        <v>203</v>
      </c>
      <c r="G7329">
        <v>43</v>
      </c>
      <c r="H7329">
        <v>51</v>
      </c>
      <c r="I7329">
        <v>308</v>
      </c>
      <c r="J7329">
        <v>1</v>
      </c>
      <c r="K7329">
        <v>231</v>
      </c>
      <c r="L7329">
        <v>459</v>
      </c>
      <c r="M7329">
        <v>1</v>
      </c>
      <c r="N7329">
        <v>1.0548100000000001E-15</v>
      </c>
      <c r="O7329">
        <v>200</v>
      </c>
    </row>
    <row r="7330" spans="1:15" x14ac:dyDescent="0.25">
      <c r="A7330" t="s">
        <v>7343</v>
      </c>
      <c r="B7330">
        <v>396</v>
      </c>
      <c r="C7330" s="1" t="str">
        <f>HYPERLINK("http://www.rosaceae.org/gb/gbrowse/malus_x_domestica/?name=MDP0000817895","MDP0000817895")</f>
        <v>MDP0000817895</v>
      </c>
      <c r="D7330">
        <v>78.22</v>
      </c>
      <c r="E7330">
        <v>349</v>
      </c>
      <c r="F7330">
        <v>76</v>
      </c>
      <c r="G7330">
        <v>10</v>
      </c>
      <c r="H7330">
        <v>1</v>
      </c>
      <c r="I7330">
        <v>346</v>
      </c>
      <c r="J7330">
        <v>1</v>
      </c>
      <c r="K7330">
        <v>1</v>
      </c>
      <c r="L7330">
        <v>342</v>
      </c>
      <c r="M7330">
        <v>1</v>
      </c>
      <c r="N7330">
        <v>7.5999799999999992E-158</v>
      </c>
      <c r="O7330">
        <v>1427</v>
      </c>
    </row>
    <row r="7331" spans="1:15" x14ac:dyDescent="0.25">
      <c r="A7331" t="s">
        <v>7344</v>
      </c>
      <c r="B7331">
        <v>295</v>
      </c>
      <c r="C7331" s="1" t="str">
        <f>HYPERLINK("http://www.rosaceae.org/gb/gbrowse/malus_x_domestica/?name=MDP0000136589","MDP0000136589")</f>
        <v>MDP0000136589</v>
      </c>
      <c r="D7331">
        <v>60.72</v>
      </c>
      <c r="E7331">
        <v>275</v>
      </c>
      <c r="F7331">
        <v>108</v>
      </c>
      <c r="G7331">
        <v>10</v>
      </c>
      <c r="H7331">
        <v>18</v>
      </c>
      <c r="I7331">
        <v>288</v>
      </c>
      <c r="J7331">
        <v>1</v>
      </c>
      <c r="K7331">
        <v>95</v>
      </c>
      <c r="L7331">
        <v>363</v>
      </c>
      <c r="M7331">
        <v>1</v>
      </c>
      <c r="N7331">
        <v>3.5960499999999997E-89</v>
      </c>
      <c r="O7331">
        <v>833</v>
      </c>
    </row>
    <row r="7332" spans="1:15" x14ac:dyDescent="0.25">
      <c r="A7332" t="s">
        <v>7345</v>
      </c>
      <c r="B7332">
        <v>1839</v>
      </c>
      <c r="C7332" s="1" t="str">
        <f>HYPERLINK("http://www.rosaceae.org/gb/gbrowse/malus_x_domestica/?name=MDP0000302137","MDP0000302137")</f>
        <v>MDP0000302137</v>
      </c>
      <c r="D7332">
        <v>45.28</v>
      </c>
      <c r="E7332">
        <v>1930</v>
      </c>
      <c r="F7332">
        <v>1056</v>
      </c>
      <c r="G7332">
        <v>185</v>
      </c>
      <c r="H7332">
        <v>25</v>
      </c>
      <c r="I7332">
        <v>1832</v>
      </c>
      <c r="J7332">
        <v>1</v>
      </c>
      <c r="K7332">
        <v>38</v>
      </c>
      <c r="L7332">
        <v>1904</v>
      </c>
      <c r="M7332">
        <v>1</v>
      </c>
      <c r="N7332">
        <v>0</v>
      </c>
      <c r="O7332">
        <v>4217</v>
      </c>
    </row>
    <row r="7333" spans="1:15" x14ac:dyDescent="0.25">
      <c r="A7333" t="s">
        <v>7346</v>
      </c>
      <c r="B7333">
        <v>702</v>
      </c>
      <c r="C7333" s="1" t="str">
        <f>HYPERLINK("http://www.rosaceae.org/gb/gbrowse/malus_x_domestica/?name=MDP0000216106","MDP0000216106")</f>
        <v>MDP0000216106</v>
      </c>
      <c r="D7333">
        <v>45.32</v>
      </c>
      <c r="E7333">
        <v>556</v>
      </c>
      <c r="F7333">
        <v>304</v>
      </c>
      <c r="G7333">
        <v>41</v>
      </c>
      <c r="H7333">
        <v>98</v>
      </c>
      <c r="I7333">
        <v>620</v>
      </c>
      <c r="J7333">
        <v>1</v>
      </c>
      <c r="K7333">
        <v>3</v>
      </c>
      <c r="L7333">
        <v>550</v>
      </c>
      <c r="M7333">
        <v>1</v>
      </c>
      <c r="N7333">
        <v>5.3872100000000003E-128</v>
      </c>
      <c r="O7333">
        <v>1172</v>
      </c>
    </row>
    <row r="7334" spans="1:15" x14ac:dyDescent="0.25">
      <c r="A7334" t="s">
        <v>7347</v>
      </c>
      <c r="B7334">
        <v>263</v>
      </c>
      <c r="C7334" s="1" t="str">
        <f>HYPERLINK("http://www.rosaceae.org/gb/gbrowse/malus_x_domestica/?name=MDP0000173807","MDP0000173807")</f>
        <v>MDP0000173807</v>
      </c>
      <c r="D7334">
        <v>59.78</v>
      </c>
      <c r="E7334">
        <v>184</v>
      </c>
      <c r="F7334">
        <v>74</v>
      </c>
      <c r="G7334">
        <v>19</v>
      </c>
      <c r="H7334">
        <v>2</v>
      </c>
      <c r="I7334">
        <v>177</v>
      </c>
      <c r="J7334">
        <v>1</v>
      </c>
      <c r="K7334">
        <v>1</v>
      </c>
      <c r="L7334">
        <v>173</v>
      </c>
      <c r="M7334">
        <v>1</v>
      </c>
      <c r="N7334">
        <v>6.1455300000000002E-40</v>
      </c>
      <c r="O7334">
        <v>408</v>
      </c>
    </row>
    <row r="7335" spans="1:15" x14ac:dyDescent="0.25">
      <c r="A7335" t="s">
        <v>7348</v>
      </c>
      <c r="B7335">
        <v>702</v>
      </c>
      <c r="C7335" s="1" t="str">
        <f>HYPERLINK("http://www.rosaceae.org/gb/gbrowse/malus_x_domestica/?name=MDP0000218729","MDP0000218729")</f>
        <v>MDP0000218729</v>
      </c>
      <c r="D7335">
        <v>51.07</v>
      </c>
      <c r="E7335">
        <v>511</v>
      </c>
      <c r="F7335">
        <v>250</v>
      </c>
      <c r="G7335">
        <v>18</v>
      </c>
      <c r="H7335">
        <v>204</v>
      </c>
      <c r="I7335">
        <v>702</v>
      </c>
      <c r="J7335">
        <v>1</v>
      </c>
      <c r="K7335">
        <v>161</v>
      </c>
      <c r="L7335">
        <v>665</v>
      </c>
      <c r="M7335">
        <v>1</v>
      </c>
      <c r="N7335">
        <v>5.5410500000000004E-146</v>
      </c>
      <c r="O7335">
        <v>1327</v>
      </c>
    </row>
    <row r="7336" spans="1:15" x14ac:dyDescent="0.25">
      <c r="A7336" t="s">
        <v>7349</v>
      </c>
      <c r="B7336">
        <v>749</v>
      </c>
      <c r="C7336" s="1" t="str">
        <f>HYPERLINK("http://www.rosaceae.org/gb/gbrowse/malus_x_domestica/?name=MDP0000176949","MDP0000176949")</f>
        <v>MDP0000176949</v>
      </c>
      <c r="D7336">
        <v>49.45</v>
      </c>
      <c r="E7336">
        <v>182</v>
      </c>
      <c r="F7336">
        <v>92</v>
      </c>
      <c r="G7336">
        <v>18</v>
      </c>
      <c r="H7336">
        <v>1</v>
      </c>
      <c r="I7336">
        <v>164</v>
      </c>
      <c r="J7336">
        <v>1</v>
      </c>
      <c r="K7336">
        <v>35</v>
      </c>
      <c r="L7336">
        <v>216</v>
      </c>
      <c r="M7336">
        <v>1</v>
      </c>
      <c r="N7336">
        <v>1.6405599999999998E-42</v>
      </c>
      <c r="O7336">
        <v>435</v>
      </c>
    </row>
    <row r="7337" spans="1:15" x14ac:dyDescent="0.25">
      <c r="A7337" t="s">
        <v>7350</v>
      </c>
      <c r="B7337">
        <v>352</v>
      </c>
      <c r="C7337" s="1" t="str">
        <f>HYPERLINK("http://www.rosaceae.org/gb/gbrowse/malus_x_domestica/?name=MDP0000911724","MDP0000911724")</f>
        <v>MDP0000911724</v>
      </c>
      <c r="D7337">
        <v>67.430000000000007</v>
      </c>
      <c r="E7337">
        <v>347</v>
      </c>
      <c r="F7337">
        <v>113</v>
      </c>
      <c r="G7337">
        <v>7</v>
      </c>
      <c r="H7337">
        <v>6</v>
      </c>
      <c r="I7337">
        <v>348</v>
      </c>
      <c r="J7337">
        <v>1</v>
      </c>
      <c r="K7337">
        <v>4</v>
      </c>
      <c r="L7337">
        <v>347</v>
      </c>
      <c r="M7337">
        <v>1</v>
      </c>
      <c r="N7337">
        <v>1.9025600000000001E-133</v>
      </c>
      <c r="O7337">
        <v>1216</v>
      </c>
    </row>
    <row r="7338" spans="1:15" x14ac:dyDescent="0.25">
      <c r="A7338" t="s">
        <v>7351</v>
      </c>
      <c r="B7338">
        <v>515</v>
      </c>
      <c r="C7338" s="1" t="str">
        <f>HYPERLINK("http://www.rosaceae.org/gb/gbrowse/malus_x_domestica/?name=MDP0000257180","MDP0000257180")</f>
        <v>MDP0000257180</v>
      </c>
      <c r="D7338">
        <v>72.180000000000007</v>
      </c>
      <c r="E7338">
        <v>435</v>
      </c>
      <c r="F7338">
        <v>121</v>
      </c>
      <c r="G7338">
        <v>14</v>
      </c>
      <c r="H7338">
        <v>93</v>
      </c>
      <c r="I7338">
        <v>515</v>
      </c>
      <c r="J7338">
        <v>1</v>
      </c>
      <c r="K7338">
        <v>1</v>
      </c>
      <c r="L7338">
        <v>433</v>
      </c>
      <c r="M7338">
        <v>1</v>
      </c>
      <c r="N7338">
        <v>0</v>
      </c>
      <c r="O7338">
        <v>1711</v>
      </c>
    </row>
    <row r="7339" spans="1:15" x14ac:dyDescent="0.25">
      <c r="A7339" t="s">
        <v>7352</v>
      </c>
      <c r="B7339">
        <v>604</v>
      </c>
      <c r="C7339" s="1" t="str">
        <f>HYPERLINK("http://www.rosaceae.org/gb/gbrowse/malus_x_domestica/?name=MDP0000281525","MDP0000281525")</f>
        <v>MDP0000281525</v>
      </c>
      <c r="D7339">
        <v>70.31</v>
      </c>
      <c r="E7339">
        <v>603</v>
      </c>
      <c r="F7339">
        <v>179</v>
      </c>
      <c r="G7339">
        <v>52</v>
      </c>
      <c r="H7339">
        <v>39</v>
      </c>
      <c r="I7339">
        <v>590</v>
      </c>
      <c r="J7339">
        <v>1</v>
      </c>
      <c r="K7339">
        <v>131</v>
      </c>
      <c r="L7339">
        <v>732</v>
      </c>
      <c r="M7339">
        <v>1</v>
      </c>
      <c r="N7339">
        <v>0</v>
      </c>
      <c r="O7339">
        <v>2305</v>
      </c>
    </row>
    <row r="7340" spans="1:15" x14ac:dyDescent="0.25">
      <c r="A7340" t="s">
        <v>7353</v>
      </c>
      <c r="B7340">
        <v>277</v>
      </c>
      <c r="C7340" s="1" t="str">
        <f>HYPERLINK("http://www.rosaceae.org/gb/gbrowse/malus_x_domestica/?name=MDP0000361241","MDP0000361241")</f>
        <v>MDP0000361241</v>
      </c>
      <c r="D7340">
        <v>71.790000000000006</v>
      </c>
      <c r="E7340">
        <v>78</v>
      </c>
      <c r="F7340">
        <v>22</v>
      </c>
      <c r="G7340">
        <v>0</v>
      </c>
      <c r="H7340">
        <v>200</v>
      </c>
      <c r="I7340">
        <v>277</v>
      </c>
      <c r="J7340">
        <v>1</v>
      </c>
      <c r="K7340">
        <v>1</v>
      </c>
      <c r="L7340">
        <v>78</v>
      </c>
      <c r="M7340">
        <v>1</v>
      </c>
      <c r="N7340">
        <v>6.1589000000000001E-27</v>
      </c>
      <c r="O7340">
        <v>296</v>
      </c>
    </row>
    <row r="7341" spans="1:15" x14ac:dyDescent="0.25">
      <c r="A7341" t="s">
        <v>7354</v>
      </c>
      <c r="B7341">
        <v>576</v>
      </c>
      <c r="C7341" s="1" t="str">
        <f>HYPERLINK("http://www.rosaceae.org/gb/gbrowse/malus_x_domestica/?name=MDP0000310177","MDP0000310177")</f>
        <v>MDP0000310177</v>
      </c>
      <c r="D7341">
        <v>78.97</v>
      </c>
      <c r="E7341">
        <v>566</v>
      </c>
      <c r="F7341">
        <v>119</v>
      </c>
      <c r="G7341">
        <v>0</v>
      </c>
      <c r="H7341">
        <v>1</v>
      </c>
      <c r="I7341">
        <v>566</v>
      </c>
      <c r="J7341">
        <v>1</v>
      </c>
      <c r="K7341">
        <v>1</v>
      </c>
      <c r="L7341">
        <v>566</v>
      </c>
      <c r="M7341">
        <v>1</v>
      </c>
      <c r="N7341">
        <v>0</v>
      </c>
      <c r="O7341">
        <v>2432</v>
      </c>
    </row>
    <row r="7342" spans="1:15" x14ac:dyDescent="0.25">
      <c r="A7342" t="s">
        <v>7355</v>
      </c>
      <c r="B7342">
        <v>394</v>
      </c>
      <c r="C7342" s="1" t="str">
        <f>HYPERLINK("http://www.rosaceae.org/gb/gbrowse/malus_x_domestica/?name=MDP0000143182","MDP0000143182")</f>
        <v>MDP0000143182</v>
      </c>
      <c r="D7342">
        <v>72.260000000000005</v>
      </c>
      <c r="E7342">
        <v>393</v>
      </c>
      <c r="F7342">
        <v>109</v>
      </c>
      <c r="G7342">
        <v>6</v>
      </c>
      <c r="H7342">
        <v>1</v>
      </c>
      <c r="I7342">
        <v>388</v>
      </c>
      <c r="J7342">
        <v>1</v>
      </c>
      <c r="K7342">
        <v>1</v>
      </c>
      <c r="L7342">
        <v>392</v>
      </c>
      <c r="M7342">
        <v>1</v>
      </c>
      <c r="N7342">
        <v>7.4140599999999996E-162</v>
      </c>
      <c r="O7342">
        <v>1461</v>
      </c>
    </row>
    <row r="7343" spans="1:15" x14ac:dyDescent="0.25">
      <c r="A7343" t="s">
        <v>7356</v>
      </c>
      <c r="B7343">
        <v>415</v>
      </c>
      <c r="C7343" s="1" t="str">
        <f>HYPERLINK("http://www.rosaceae.org/gb/gbrowse/malus_x_domestica/?name=MDP0000184567","MDP0000184567")</f>
        <v>MDP0000184567</v>
      </c>
      <c r="D7343">
        <v>75.739999999999995</v>
      </c>
      <c r="E7343">
        <v>404</v>
      </c>
      <c r="F7343">
        <v>98</v>
      </c>
      <c r="G7343">
        <v>16</v>
      </c>
      <c r="H7343">
        <v>1</v>
      </c>
      <c r="I7343">
        <v>403</v>
      </c>
      <c r="J7343">
        <v>1</v>
      </c>
      <c r="K7343">
        <v>1</v>
      </c>
      <c r="L7343">
        <v>389</v>
      </c>
      <c r="M7343">
        <v>1</v>
      </c>
      <c r="N7343">
        <v>2.4691999999999999E-168</v>
      </c>
      <c r="O7343">
        <v>1517</v>
      </c>
    </row>
    <row r="7344" spans="1:15" x14ac:dyDescent="0.25">
      <c r="A7344" t="s">
        <v>7357</v>
      </c>
      <c r="B7344">
        <v>857</v>
      </c>
      <c r="C7344" s="1" t="str">
        <f>HYPERLINK("http://www.rosaceae.org/gb/gbrowse/malus_x_domestica/?name=MDP0000134944","MDP0000134944")</f>
        <v>MDP0000134944</v>
      </c>
      <c r="D7344">
        <v>86.06</v>
      </c>
      <c r="E7344">
        <v>854</v>
      </c>
      <c r="F7344">
        <v>119</v>
      </c>
      <c r="G7344">
        <v>16</v>
      </c>
      <c r="H7344">
        <v>1</v>
      </c>
      <c r="I7344">
        <v>854</v>
      </c>
      <c r="J7344">
        <v>1</v>
      </c>
      <c r="K7344">
        <v>1</v>
      </c>
      <c r="L7344">
        <v>838</v>
      </c>
      <c r="M7344">
        <v>1</v>
      </c>
      <c r="N7344">
        <v>0</v>
      </c>
      <c r="O7344">
        <v>4007</v>
      </c>
    </row>
    <row r="7345" spans="1:15" x14ac:dyDescent="0.25">
      <c r="A7345" t="s">
        <v>7358</v>
      </c>
      <c r="B7345">
        <v>577</v>
      </c>
      <c r="C7345" s="1" t="str">
        <f>HYPERLINK("http://www.rosaceae.org/gb/gbrowse/malus_x_domestica/?name=MDP0000121177","MDP0000121177")</f>
        <v>MDP0000121177</v>
      </c>
      <c r="D7345">
        <v>82.5</v>
      </c>
      <c r="E7345">
        <v>606</v>
      </c>
      <c r="F7345">
        <v>106</v>
      </c>
      <c r="G7345">
        <v>39</v>
      </c>
      <c r="H7345">
        <v>1</v>
      </c>
      <c r="I7345">
        <v>576</v>
      </c>
      <c r="J7345">
        <v>1</v>
      </c>
      <c r="K7345">
        <v>1</v>
      </c>
      <c r="L7345">
        <v>597</v>
      </c>
      <c r="M7345">
        <v>1</v>
      </c>
      <c r="N7345">
        <v>0</v>
      </c>
      <c r="O7345">
        <v>2572</v>
      </c>
    </row>
    <row r="7346" spans="1:15" x14ac:dyDescent="0.25">
      <c r="A7346" t="s">
        <v>7359</v>
      </c>
      <c r="B7346">
        <v>320</v>
      </c>
      <c r="C7346" s="1" t="str">
        <f>HYPERLINK("http://www.rosaceae.org/gb/gbrowse/malus_x_domestica/?name=MDP0000379466","MDP0000379466")</f>
        <v>MDP0000379466</v>
      </c>
      <c r="D7346">
        <v>46.83</v>
      </c>
      <c r="E7346">
        <v>237</v>
      </c>
      <c r="F7346">
        <v>126</v>
      </c>
      <c r="G7346">
        <v>5</v>
      </c>
      <c r="H7346">
        <v>37</v>
      </c>
      <c r="I7346">
        <v>273</v>
      </c>
      <c r="J7346">
        <v>1</v>
      </c>
      <c r="K7346">
        <v>51</v>
      </c>
      <c r="L7346">
        <v>282</v>
      </c>
      <c r="M7346">
        <v>1</v>
      </c>
      <c r="N7346">
        <v>5.4966099999999999E-55</v>
      </c>
      <c r="O7346">
        <v>538</v>
      </c>
    </row>
    <row r="7347" spans="1:15" x14ac:dyDescent="0.25">
      <c r="A7347" t="s">
        <v>7360</v>
      </c>
      <c r="B7347">
        <v>206</v>
      </c>
      <c r="C7347" s="1" t="str">
        <f>HYPERLINK("http://www.rosaceae.org/gb/gbrowse/malus_x_domestica/?name=MDP0000234152","MDP0000234152")</f>
        <v>MDP0000234152</v>
      </c>
      <c r="D7347">
        <v>30.48</v>
      </c>
      <c r="E7347">
        <v>164</v>
      </c>
      <c r="F7347">
        <v>114</v>
      </c>
      <c r="G7347">
        <v>26</v>
      </c>
      <c r="H7347">
        <v>1</v>
      </c>
      <c r="I7347">
        <v>163</v>
      </c>
      <c r="J7347">
        <v>1</v>
      </c>
      <c r="K7347">
        <v>1</v>
      </c>
      <c r="L7347">
        <v>139</v>
      </c>
      <c r="M7347">
        <v>1</v>
      </c>
      <c r="N7347">
        <v>1.4535800000000001E-10</v>
      </c>
      <c r="O7347">
        <v>153</v>
      </c>
    </row>
    <row r="7348" spans="1:15" x14ac:dyDescent="0.25">
      <c r="A7348" t="s">
        <v>7361</v>
      </c>
      <c r="B7348">
        <v>158</v>
      </c>
      <c r="C7348" s="1" t="str">
        <f>HYPERLINK("http://www.rosaceae.org/gb/gbrowse/malus_x_domestica/?name=MDP0000124687","MDP0000124687")</f>
        <v>MDP0000124687</v>
      </c>
      <c r="D7348">
        <v>41.37</v>
      </c>
      <c r="E7348">
        <v>58</v>
      </c>
      <c r="F7348">
        <v>34</v>
      </c>
      <c r="G7348">
        <v>2</v>
      </c>
      <c r="H7348">
        <v>15</v>
      </c>
      <c r="I7348">
        <v>72</v>
      </c>
      <c r="J7348">
        <v>1</v>
      </c>
      <c r="K7348">
        <v>17</v>
      </c>
      <c r="L7348">
        <v>72</v>
      </c>
      <c r="M7348">
        <v>1</v>
      </c>
      <c r="N7348">
        <v>4.8884899999999996E-7</v>
      </c>
      <c r="O7348">
        <v>120</v>
      </c>
    </row>
    <row r="7349" spans="1:15" x14ac:dyDescent="0.25">
      <c r="A7349" t="s">
        <v>7362</v>
      </c>
      <c r="B7349">
        <v>680</v>
      </c>
      <c r="C7349" s="1" t="str">
        <f>HYPERLINK("http://www.rosaceae.org/gb/gbrowse/malus_x_domestica/?name=MDP0000814899","MDP0000814899")</f>
        <v>MDP0000814899</v>
      </c>
      <c r="D7349">
        <v>64.67</v>
      </c>
      <c r="E7349">
        <v>603</v>
      </c>
      <c r="F7349">
        <v>213</v>
      </c>
      <c r="G7349">
        <v>10</v>
      </c>
      <c r="H7349">
        <v>87</v>
      </c>
      <c r="I7349">
        <v>680</v>
      </c>
      <c r="J7349">
        <v>1</v>
      </c>
      <c r="K7349">
        <v>207</v>
      </c>
      <c r="L7349">
        <v>808</v>
      </c>
      <c r="M7349">
        <v>1</v>
      </c>
      <c r="N7349">
        <v>0</v>
      </c>
      <c r="O7349">
        <v>2097</v>
      </c>
    </row>
    <row r="7350" spans="1:15" x14ac:dyDescent="0.25">
      <c r="A7350" t="s">
        <v>7363</v>
      </c>
      <c r="B7350">
        <v>114</v>
      </c>
      <c r="C7350" s="1" t="str">
        <f>HYPERLINK("http://www.rosaceae.org/gb/gbrowse/malus_x_domestica/?name=MDP0000162172","MDP0000162172")</f>
        <v>MDP0000162172</v>
      </c>
      <c r="D7350">
        <v>77.02</v>
      </c>
      <c r="E7350">
        <v>74</v>
      </c>
      <c r="F7350">
        <v>17</v>
      </c>
      <c r="G7350">
        <v>2</v>
      </c>
      <c r="H7350">
        <v>1</v>
      </c>
      <c r="I7350">
        <v>74</v>
      </c>
      <c r="J7350">
        <v>1</v>
      </c>
      <c r="K7350">
        <v>1</v>
      </c>
      <c r="L7350">
        <v>72</v>
      </c>
      <c r="M7350">
        <v>1</v>
      </c>
      <c r="N7350">
        <v>3.3462700000000001E-28</v>
      </c>
      <c r="O7350">
        <v>301</v>
      </c>
    </row>
    <row r="7351" spans="1:15" x14ac:dyDescent="0.25">
      <c r="A7351" t="s">
        <v>7364</v>
      </c>
      <c r="B7351">
        <v>278</v>
      </c>
      <c r="C7351" s="1" t="str">
        <f>HYPERLINK("http://www.rosaceae.org/gb/gbrowse/malus_x_domestica/?name=MDP0000267886","MDP0000267886")</f>
        <v>MDP0000267886</v>
      </c>
      <c r="D7351">
        <v>79.52</v>
      </c>
      <c r="E7351">
        <v>210</v>
      </c>
      <c r="F7351">
        <v>43</v>
      </c>
      <c r="G7351">
        <v>1</v>
      </c>
      <c r="H7351">
        <v>47</v>
      </c>
      <c r="I7351">
        <v>256</v>
      </c>
      <c r="J7351">
        <v>1</v>
      </c>
      <c r="K7351">
        <v>37</v>
      </c>
      <c r="L7351">
        <v>245</v>
      </c>
      <c r="M7351">
        <v>1</v>
      </c>
      <c r="N7351">
        <v>2.6381799999999999E-93</v>
      </c>
      <c r="O7351">
        <v>868</v>
      </c>
    </row>
    <row r="7352" spans="1:15" x14ac:dyDescent="0.25">
      <c r="A7352" t="s">
        <v>7365</v>
      </c>
      <c r="B7352">
        <v>299</v>
      </c>
      <c r="C7352" s="1" t="str">
        <f>HYPERLINK("http://www.rosaceae.org/gb/gbrowse/malus_x_domestica/?name=MDP0000246258","MDP0000246258")</f>
        <v>MDP0000246258</v>
      </c>
      <c r="D7352">
        <v>41.29</v>
      </c>
      <c r="E7352">
        <v>201</v>
      </c>
      <c r="F7352">
        <v>118</v>
      </c>
      <c r="G7352">
        <v>9</v>
      </c>
      <c r="H7352">
        <v>101</v>
      </c>
      <c r="I7352">
        <v>292</v>
      </c>
      <c r="J7352">
        <v>1</v>
      </c>
      <c r="K7352">
        <v>43</v>
      </c>
      <c r="L7352">
        <v>243</v>
      </c>
      <c r="M7352">
        <v>1</v>
      </c>
      <c r="N7352">
        <v>1.0322599999999999E-33</v>
      </c>
      <c r="O7352">
        <v>355</v>
      </c>
    </row>
    <row r="7353" spans="1:15" x14ac:dyDescent="0.25">
      <c r="A7353" t="s">
        <v>7366</v>
      </c>
      <c r="B7353">
        <v>252</v>
      </c>
      <c r="C7353" s="1" t="str">
        <f>HYPERLINK("http://www.rosaceae.org/gb/gbrowse/malus_x_domestica/?name=MDP0000194249","MDP0000194249")</f>
        <v>MDP0000194249</v>
      </c>
      <c r="D7353">
        <v>68.62</v>
      </c>
      <c r="E7353">
        <v>255</v>
      </c>
      <c r="F7353">
        <v>80</v>
      </c>
      <c r="G7353">
        <v>8</v>
      </c>
      <c r="H7353">
        <v>1</v>
      </c>
      <c r="I7353">
        <v>249</v>
      </c>
      <c r="J7353">
        <v>1</v>
      </c>
      <c r="K7353">
        <v>1</v>
      </c>
      <c r="L7353">
        <v>253</v>
      </c>
      <c r="M7353">
        <v>1</v>
      </c>
      <c r="N7353">
        <v>4.4965600000000003E-98</v>
      </c>
      <c r="O7353">
        <v>909</v>
      </c>
    </row>
    <row r="7354" spans="1:15" x14ac:dyDescent="0.25">
      <c r="A7354" t="s">
        <v>7367</v>
      </c>
      <c r="B7354">
        <v>336</v>
      </c>
      <c r="C7354" s="1" t="str">
        <f>HYPERLINK("http://www.rosaceae.org/gb/gbrowse/malus_x_domestica/?name=MDP0000308970","MDP0000308970")</f>
        <v>MDP0000308970</v>
      </c>
      <c r="D7354">
        <v>44.76</v>
      </c>
      <c r="E7354">
        <v>210</v>
      </c>
      <c r="F7354">
        <v>116</v>
      </c>
      <c r="G7354">
        <v>45</v>
      </c>
      <c r="H7354">
        <v>167</v>
      </c>
      <c r="I7354">
        <v>331</v>
      </c>
      <c r="J7354">
        <v>1</v>
      </c>
      <c r="K7354">
        <v>325</v>
      </c>
      <c r="L7354">
        <v>534</v>
      </c>
      <c r="M7354">
        <v>1</v>
      </c>
      <c r="N7354">
        <v>6.4881699999999997E-46</v>
      </c>
      <c r="O7354">
        <v>461</v>
      </c>
    </row>
    <row r="7355" spans="1:15" x14ac:dyDescent="0.25">
      <c r="A7355" t="s">
        <v>7368</v>
      </c>
      <c r="B7355">
        <v>420</v>
      </c>
      <c r="C7355" s="1" t="str">
        <f>HYPERLINK("http://www.rosaceae.org/gb/gbrowse/malus_x_domestica/?name=MDP0000324427","MDP0000324427")</f>
        <v>MDP0000324427</v>
      </c>
      <c r="D7355">
        <v>72.53</v>
      </c>
      <c r="E7355">
        <v>386</v>
      </c>
      <c r="F7355">
        <v>106</v>
      </c>
      <c r="G7355">
        <v>3</v>
      </c>
      <c r="H7355">
        <v>22</v>
      </c>
      <c r="I7355">
        <v>407</v>
      </c>
      <c r="J7355">
        <v>1</v>
      </c>
      <c r="K7355">
        <v>22</v>
      </c>
      <c r="L7355">
        <v>404</v>
      </c>
      <c r="M7355">
        <v>1</v>
      </c>
      <c r="N7355">
        <v>2.9631100000000001E-170</v>
      </c>
      <c r="O7355">
        <v>1534</v>
      </c>
    </row>
    <row r="7356" spans="1:15" x14ac:dyDescent="0.25">
      <c r="A7356" t="s">
        <v>7369</v>
      </c>
      <c r="B7356">
        <v>417</v>
      </c>
      <c r="C7356" s="1" t="str">
        <f>HYPERLINK("http://www.rosaceae.org/gb/gbrowse/malus_x_domestica/?name=MDP0000148752","MDP0000148752")</f>
        <v>MDP0000148752</v>
      </c>
      <c r="D7356">
        <v>52.54</v>
      </c>
      <c r="E7356">
        <v>236</v>
      </c>
      <c r="F7356">
        <v>112</v>
      </c>
      <c r="G7356">
        <v>15</v>
      </c>
      <c r="H7356">
        <v>152</v>
      </c>
      <c r="I7356">
        <v>382</v>
      </c>
      <c r="J7356">
        <v>1</v>
      </c>
      <c r="K7356">
        <v>196</v>
      </c>
      <c r="L7356">
        <v>421</v>
      </c>
      <c r="M7356">
        <v>1</v>
      </c>
      <c r="N7356">
        <v>3.5811900000000001E-59</v>
      </c>
      <c r="O7356">
        <v>576</v>
      </c>
    </row>
    <row r="7357" spans="1:15" x14ac:dyDescent="0.25">
      <c r="A7357" t="s">
        <v>7370</v>
      </c>
      <c r="B7357">
        <v>511</v>
      </c>
      <c r="C7357" s="1" t="str">
        <f>HYPERLINK("http://www.rosaceae.org/gb/gbrowse/malus_x_domestica/?name=MDP0000316485","MDP0000316485")</f>
        <v>MDP0000316485</v>
      </c>
      <c r="D7357">
        <v>63.43</v>
      </c>
      <c r="E7357">
        <v>506</v>
      </c>
      <c r="F7357">
        <v>185</v>
      </c>
      <c r="G7357">
        <v>2</v>
      </c>
      <c r="H7357">
        <v>1</v>
      </c>
      <c r="I7357">
        <v>506</v>
      </c>
      <c r="J7357">
        <v>1</v>
      </c>
      <c r="K7357">
        <v>1</v>
      </c>
      <c r="L7357">
        <v>504</v>
      </c>
      <c r="M7357">
        <v>1</v>
      </c>
      <c r="N7357">
        <v>0</v>
      </c>
      <c r="O7357">
        <v>1657</v>
      </c>
    </row>
    <row r="7358" spans="1:15" x14ac:dyDescent="0.25">
      <c r="A7358" t="s">
        <v>7371</v>
      </c>
      <c r="B7358">
        <v>168</v>
      </c>
      <c r="C7358" s="1" t="str">
        <f>HYPERLINK("http://www.rosaceae.org/gb/gbrowse/malus_x_domestica/?name=MDP0000201897","MDP0000201897")</f>
        <v>MDP0000201897</v>
      </c>
      <c r="D7358">
        <v>30.24</v>
      </c>
      <c r="E7358">
        <v>162</v>
      </c>
      <c r="F7358">
        <v>113</v>
      </c>
      <c r="G7358">
        <v>11</v>
      </c>
      <c r="H7358">
        <v>6</v>
      </c>
      <c r="I7358">
        <v>163</v>
      </c>
      <c r="J7358">
        <v>1</v>
      </c>
      <c r="K7358">
        <v>665</v>
      </c>
      <c r="L7358">
        <v>819</v>
      </c>
      <c r="M7358">
        <v>1</v>
      </c>
      <c r="N7358">
        <v>3.94706E-13</v>
      </c>
      <c r="O7358">
        <v>174</v>
      </c>
    </row>
    <row r="7359" spans="1:15" x14ac:dyDescent="0.25">
      <c r="A7359" t="s">
        <v>7372</v>
      </c>
      <c r="B7359">
        <v>448</v>
      </c>
      <c r="C7359" s="1" t="str">
        <f>HYPERLINK("http://www.rosaceae.org/gb/gbrowse/malus_x_domestica/?name=MDP0000836293","MDP0000836293")</f>
        <v>MDP0000836293</v>
      </c>
      <c r="D7359">
        <v>36.79</v>
      </c>
      <c r="E7359">
        <v>356</v>
      </c>
      <c r="F7359">
        <v>225</v>
      </c>
      <c r="G7359">
        <v>86</v>
      </c>
      <c r="H7359">
        <v>8</v>
      </c>
      <c r="I7359">
        <v>317</v>
      </c>
      <c r="J7359">
        <v>1</v>
      </c>
      <c r="K7359">
        <v>27</v>
      </c>
      <c r="L7359">
        <v>342</v>
      </c>
      <c r="M7359">
        <v>1</v>
      </c>
      <c r="N7359">
        <v>7.3438599999999998E-45</v>
      </c>
      <c r="O7359">
        <v>453</v>
      </c>
    </row>
    <row r="7360" spans="1:15" x14ac:dyDescent="0.25">
      <c r="A7360" t="s">
        <v>7373</v>
      </c>
      <c r="B7360">
        <v>1751</v>
      </c>
      <c r="C7360" s="1" t="str">
        <f>HYPERLINK("http://www.rosaceae.org/gb/gbrowse/malus_x_domestica/?name=MDP0000143611","MDP0000143611")</f>
        <v>MDP0000143611</v>
      </c>
      <c r="D7360">
        <v>69.84</v>
      </c>
      <c r="E7360">
        <v>504</v>
      </c>
      <c r="F7360">
        <v>152</v>
      </c>
      <c r="G7360">
        <v>61</v>
      </c>
      <c r="H7360">
        <v>1111</v>
      </c>
      <c r="I7360">
        <v>1553</v>
      </c>
      <c r="J7360">
        <v>1</v>
      </c>
      <c r="K7360">
        <v>645</v>
      </c>
      <c r="L7360">
        <v>1148</v>
      </c>
      <c r="M7360">
        <v>1</v>
      </c>
      <c r="N7360">
        <v>0</v>
      </c>
      <c r="O7360">
        <v>1722</v>
      </c>
    </row>
    <row r="7361" spans="1:15" x14ac:dyDescent="0.25">
      <c r="A7361" t="s">
        <v>7374</v>
      </c>
      <c r="B7361">
        <v>400</v>
      </c>
      <c r="C7361" s="1" t="str">
        <f>HYPERLINK("http://www.rosaceae.org/gb/gbrowse/malus_x_domestica/?name=MDP0000696109","MDP0000696109")</f>
        <v>MDP0000696109</v>
      </c>
      <c r="D7361">
        <v>43.85</v>
      </c>
      <c r="E7361">
        <v>415</v>
      </c>
      <c r="F7361">
        <v>233</v>
      </c>
      <c r="G7361">
        <v>76</v>
      </c>
      <c r="H7361">
        <v>31</v>
      </c>
      <c r="I7361">
        <v>399</v>
      </c>
      <c r="J7361">
        <v>1</v>
      </c>
      <c r="K7361">
        <v>13</v>
      </c>
      <c r="L7361">
        <v>397</v>
      </c>
      <c r="M7361">
        <v>1</v>
      </c>
      <c r="N7361">
        <v>4.3857699999999998E-87</v>
      </c>
      <c r="O7361">
        <v>816</v>
      </c>
    </row>
    <row r="7362" spans="1:15" x14ac:dyDescent="0.25">
      <c r="A7362" t="s">
        <v>7375</v>
      </c>
      <c r="B7362">
        <v>792</v>
      </c>
      <c r="C7362" s="1" t="str">
        <f>HYPERLINK("http://www.rosaceae.org/gb/gbrowse/malus_x_domestica/?name=MDP0000185640","MDP0000185640")</f>
        <v>MDP0000185640</v>
      </c>
      <c r="D7362">
        <v>58.16</v>
      </c>
      <c r="E7362">
        <v>655</v>
      </c>
      <c r="F7362">
        <v>274</v>
      </c>
      <c r="G7362">
        <v>43</v>
      </c>
      <c r="H7362">
        <v>142</v>
      </c>
      <c r="I7362">
        <v>777</v>
      </c>
      <c r="J7362">
        <v>1</v>
      </c>
      <c r="K7362">
        <v>122</v>
      </c>
      <c r="L7362">
        <v>752</v>
      </c>
      <c r="M7362">
        <v>1</v>
      </c>
      <c r="N7362">
        <v>0</v>
      </c>
      <c r="O7362">
        <v>1714</v>
      </c>
    </row>
    <row r="7363" spans="1:15" x14ac:dyDescent="0.25">
      <c r="A7363" t="s">
        <v>7376</v>
      </c>
      <c r="B7363">
        <v>321</v>
      </c>
      <c r="C7363" s="1" t="str">
        <f>HYPERLINK("http://www.rosaceae.org/gb/gbrowse/malus_x_domestica/?name=MDP0000279304","MDP0000279304")</f>
        <v>MDP0000279304</v>
      </c>
      <c r="D7363">
        <v>71.37</v>
      </c>
      <c r="E7363">
        <v>283</v>
      </c>
      <c r="F7363">
        <v>81</v>
      </c>
      <c r="G7363">
        <v>2</v>
      </c>
      <c r="H7363">
        <v>41</v>
      </c>
      <c r="I7363">
        <v>321</v>
      </c>
      <c r="J7363">
        <v>1</v>
      </c>
      <c r="K7363">
        <v>101</v>
      </c>
      <c r="L7363">
        <v>383</v>
      </c>
      <c r="M7363">
        <v>1</v>
      </c>
      <c r="N7363">
        <v>9.0877700000000001E-121</v>
      </c>
      <c r="O7363">
        <v>1106</v>
      </c>
    </row>
    <row r="7364" spans="1:15" x14ac:dyDescent="0.25">
      <c r="A7364" t="s">
        <v>7377</v>
      </c>
      <c r="B7364">
        <v>360</v>
      </c>
      <c r="C7364" s="1" t="str">
        <f>HYPERLINK("http://www.rosaceae.org/gb/gbrowse/malus_x_domestica/?name=MDP0000278575","MDP0000278575")</f>
        <v>MDP0000278575</v>
      </c>
      <c r="D7364">
        <v>35.07</v>
      </c>
      <c r="E7364">
        <v>422</v>
      </c>
      <c r="F7364">
        <v>274</v>
      </c>
      <c r="G7364">
        <v>106</v>
      </c>
      <c r="H7364">
        <v>11</v>
      </c>
      <c r="I7364">
        <v>359</v>
      </c>
      <c r="J7364">
        <v>1</v>
      </c>
      <c r="K7364">
        <v>763</v>
      </c>
      <c r="L7364">
        <v>1151</v>
      </c>
      <c r="M7364">
        <v>1</v>
      </c>
      <c r="N7364">
        <v>6.42791E-46</v>
      </c>
      <c r="O7364">
        <v>461</v>
      </c>
    </row>
    <row r="7365" spans="1:15" x14ac:dyDescent="0.25">
      <c r="A7365" t="s">
        <v>7378</v>
      </c>
      <c r="B7365">
        <v>550</v>
      </c>
      <c r="C7365" s="1" t="str">
        <f>HYPERLINK("http://www.rosaceae.org/gb/gbrowse/malus_x_domestica/?name=MDP0000226787","MDP0000226787")</f>
        <v>MDP0000226787</v>
      </c>
      <c r="D7365">
        <v>52.15</v>
      </c>
      <c r="E7365">
        <v>556</v>
      </c>
      <c r="F7365">
        <v>266</v>
      </c>
      <c r="G7365">
        <v>47</v>
      </c>
      <c r="H7365">
        <v>19</v>
      </c>
      <c r="I7365">
        <v>538</v>
      </c>
      <c r="J7365">
        <v>1</v>
      </c>
      <c r="K7365">
        <v>11</v>
      </c>
      <c r="L7365">
        <v>555</v>
      </c>
      <c r="M7365">
        <v>1</v>
      </c>
      <c r="N7365">
        <v>7.0412600000000003E-151</v>
      </c>
      <c r="O7365">
        <v>1368</v>
      </c>
    </row>
    <row r="7366" spans="1:15" x14ac:dyDescent="0.25">
      <c r="A7366" t="s">
        <v>7379</v>
      </c>
      <c r="B7366">
        <v>1247</v>
      </c>
      <c r="C7366" s="1" t="str">
        <f>HYPERLINK("http://www.rosaceae.org/gb/gbrowse/malus_x_domestica/?name=MDP0000151311","MDP0000151311")</f>
        <v>MDP0000151311</v>
      </c>
      <c r="D7366">
        <v>77.92</v>
      </c>
      <c r="E7366">
        <v>956</v>
      </c>
      <c r="F7366">
        <v>211</v>
      </c>
      <c r="G7366">
        <v>99</v>
      </c>
      <c r="H7366">
        <v>321</v>
      </c>
      <c r="I7366">
        <v>1247</v>
      </c>
      <c r="J7366">
        <v>1</v>
      </c>
      <c r="K7366">
        <v>431</v>
      </c>
      <c r="L7366">
        <v>1316</v>
      </c>
      <c r="M7366">
        <v>1</v>
      </c>
      <c r="N7366">
        <v>0</v>
      </c>
      <c r="O7366">
        <v>3866</v>
      </c>
    </row>
    <row r="7367" spans="1:15" x14ac:dyDescent="0.25">
      <c r="A7367" t="s">
        <v>7380</v>
      </c>
      <c r="B7367">
        <v>458</v>
      </c>
      <c r="C7367" s="1" t="str">
        <f>HYPERLINK("http://www.rosaceae.org/gb/gbrowse/malus_x_domestica/?name=MDP0000318264","MDP0000318264")</f>
        <v>MDP0000318264</v>
      </c>
      <c r="D7367">
        <v>81.650000000000006</v>
      </c>
      <c r="E7367">
        <v>458</v>
      </c>
      <c r="F7367">
        <v>84</v>
      </c>
      <c r="G7367">
        <v>2</v>
      </c>
      <c r="H7367">
        <v>1</v>
      </c>
      <c r="I7367">
        <v>458</v>
      </c>
      <c r="J7367">
        <v>1</v>
      </c>
      <c r="K7367">
        <v>1</v>
      </c>
      <c r="L7367">
        <v>456</v>
      </c>
      <c r="M7367">
        <v>1</v>
      </c>
      <c r="N7367">
        <v>0</v>
      </c>
      <c r="O7367">
        <v>2013</v>
      </c>
    </row>
    <row r="7368" spans="1:15" x14ac:dyDescent="0.25">
      <c r="A7368" t="s">
        <v>7381</v>
      </c>
      <c r="B7368">
        <v>355</v>
      </c>
      <c r="C7368" s="1" t="str">
        <f>HYPERLINK("http://www.rosaceae.org/gb/gbrowse/malus_x_domestica/?name=MDP0000130413","MDP0000130413")</f>
        <v>MDP0000130413</v>
      </c>
      <c r="D7368">
        <v>62.19</v>
      </c>
      <c r="E7368">
        <v>365</v>
      </c>
      <c r="F7368">
        <v>138</v>
      </c>
      <c r="G7368">
        <v>14</v>
      </c>
      <c r="H7368">
        <v>1</v>
      </c>
      <c r="I7368">
        <v>355</v>
      </c>
      <c r="J7368">
        <v>1</v>
      </c>
      <c r="K7368">
        <v>135</v>
      </c>
      <c r="L7368">
        <v>495</v>
      </c>
      <c r="M7368">
        <v>1</v>
      </c>
      <c r="N7368">
        <v>6.9183500000000003E-127</v>
      </c>
      <c r="O7368">
        <v>1159</v>
      </c>
    </row>
    <row r="7369" spans="1:15" x14ac:dyDescent="0.25">
      <c r="A7369" t="s">
        <v>7382</v>
      </c>
      <c r="B7369">
        <v>701</v>
      </c>
      <c r="C7369" s="1" t="str">
        <f>HYPERLINK("http://www.rosaceae.org/gb/gbrowse/malus_x_domestica/?name=MDP0000261711","MDP0000261711")</f>
        <v>MDP0000261711</v>
      </c>
      <c r="D7369">
        <v>40</v>
      </c>
      <c r="E7369">
        <v>715</v>
      </c>
      <c r="F7369">
        <v>429</v>
      </c>
      <c r="G7369">
        <v>76</v>
      </c>
      <c r="H7369">
        <v>18</v>
      </c>
      <c r="I7369">
        <v>684</v>
      </c>
      <c r="J7369">
        <v>1</v>
      </c>
      <c r="K7369">
        <v>518</v>
      </c>
      <c r="L7369">
        <v>1204</v>
      </c>
      <c r="M7369">
        <v>1</v>
      </c>
      <c r="N7369">
        <v>9.3953000000000006E-132</v>
      </c>
      <c r="O7369">
        <v>1204</v>
      </c>
    </row>
    <row r="7370" spans="1:15" x14ac:dyDescent="0.25">
      <c r="A7370" t="s">
        <v>7383</v>
      </c>
      <c r="B7370">
        <v>238</v>
      </c>
      <c r="C7370" s="1" t="str">
        <f>HYPERLINK("http://www.rosaceae.org/gb/gbrowse/malus_x_domestica/?name=MDP0000408508","MDP0000408508")</f>
        <v>MDP0000408508</v>
      </c>
      <c r="D7370">
        <v>56.29</v>
      </c>
      <c r="E7370">
        <v>254</v>
      </c>
      <c r="F7370">
        <v>111</v>
      </c>
      <c r="G7370">
        <v>49</v>
      </c>
      <c r="H7370">
        <v>8</v>
      </c>
      <c r="I7370">
        <v>213</v>
      </c>
      <c r="J7370">
        <v>1</v>
      </c>
      <c r="K7370">
        <v>16</v>
      </c>
      <c r="L7370">
        <v>268</v>
      </c>
      <c r="M7370">
        <v>1</v>
      </c>
      <c r="N7370">
        <v>2.1324900000000002E-71</v>
      </c>
      <c r="O7370">
        <v>678</v>
      </c>
    </row>
    <row r="7371" spans="1:15" x14ac:dyDescent="0.25">
      <c r="A7371" t="s">
        <v>7384</v>
      </c>
      <c r="B7371">
        <v>182</v>
      </c>
      <c r="C7371" s="1" t="str">
        <f>HYPERLINK("http://www.rosaceae.org/gb/gbrowse/malus_x_domestica/?name=MDP0000934043","MDP0000934043")</f>
        <v>MDP0000934043</v>
      </c>
      <c r="D7371">
        <v>67.12</v>
      </c>
      <c r="E7371">
        <v>73</v>
      </c>
      <c r="F7371">
        <v>24</v>
      </c>
      <c r="G7371">
        <v>4</v>
      </c>
      <c r="H7371">
        <v>107</v>
      </c>
      <c r="I7371">
        <v>177</v>
      </c>
      <c r="J7371">
        <v>1</v>
      </c>
      <c r="K7371">
        <v>17</v>
      </c>
      <c r="L7371">
        <v>87</v>
      </c>
      <c r="M7371">
        <v>1</v>
      </c>
      <c r="N7371">
        <v>6.3621299999999997E-20</v>
      </c>
      <c r="O7371">
        <v>233</v>
      </c>
    </row>
    <row r="7372" spans="1:15" x14ac:dyDescent="0.25">
      <c r="A7372" t="s">
        <v>7385</v>
      </c>
      <c r="B7372">
        <v>175</v>
      </c>
      <c r="C7372" s="1" t="str">
        <f>HYPERLINK("http://www.rosaceae.org/gb/gbrowse/malus_x_domestica/?name=MDP0000344984","MDP0000344984")</f>
        <v>MDP0000344984</v>
      </c>
      <c r="D7372">
        <v>98.59</v>
      </c>
      <c r="E7372">
        <v>71</v>
      </c>
      <c r="F7372">
        <v>1</v>
      </c>
      <c r="G7372">
        <v>0</v>
      </c>
      <c r="H7372">
        <v>105</v>
      </c>
      <c r="I7372">
        <v>175</v>
      </c>
      <c r="J7372">
        <v>1</v>
      </c>
      <c r="K7372">
        <v>1</v>
      </c>
      <c r="L7372">
        <v>71</v>
      </c>
      <c r="M7372">
        <v>1</v>
      </c>
      <c r="N7372">
        <v>3.2394299999999999E-36</v>
      </c>
      <c r="O7372">
        <v>373</v>
      </c>
    </row>
    <row r="7373" spans="1:15" x14ac:dyDescent="0.25">
      <c r="A7373" t="s">
        <v>7386</v>
      </c>
      <c r="B7373">
        <v>194</v>
      </c>
      <c r="C7373" s="1" t="str">
        <f>HYPERLINK("http://www.rosaceae.org/gb/gbrowse/malus_x_domestica/?name=MDP0000312567","MDP0000312567")</f>
        <v>MDP0000312567</v>
      </c>
      <c r="D7373">
        <v>81.67</v>
      </c>
      <c r="E7373">
        <v>191</v>
      </c>
      <c r="F7373">
        <v>35</v>
      </c>
      <c r="G7373">
        <v>0</v>
      </c>
      <c r="H7373">
        <v>4</v>
      </c>
      <c r="I7373">
        <v>194</v>
      </c>
      <c r="J7373">
        <v>1</v>
      </c>
      <c r="K7373">
        <v>21</v>
      </c>
      <c r="L7373">
        <v>211</v>
      </c>
      <c r="M7373">
        <v>1</v>
      </c>
      <c r="N7373">
        <v>5.1922900000000003E-92</v>
      </c>
      <c r="O7373">
        <v>855</v>
      </c>
    </row>
    <row r="7374" spans="1:15" x14ac:dyDescent="0.25">
      <c r="A7374" t="s">
        <v>7387</v>
      </c>
      <c r="B7374">
        <v>1449</v>
      </c>
      <c r="C7374" s="1" t="str">
        <f>HYPERLINK("http://www.rosaceae.org/gb/gbrowse/malus_x_domestica/?name=MDP0000233131","MDP0000233131")</f>
        <v>MDP0000233131</v>
      </c>
      <c r="D7374">
        <v>54.14</v>
      </c>
      <c r="E7374">
        <v>1049</v>
      </c>
      <c r="F7374">
        <v>481</v>
      </c>
      <c r="G7374">
        <v>96</v>
      </c>
      <c r="H7374">
        <v>451</v>
      </c>
      <c r="I7374">
        <v>1449</v>
      </c>
      <c r="J7374">
        <v>1</v>
      </c>
      <c r="K7374">
        <v>471</v>
      </c>
      <c r="L7374">
        <v>1473</v>
      </c>
      <c r="M7374">
        <v>1</v>
      </c>
      <c r="N7374">
        <v>0</v>
      </c>
      <c r="O7374">
        <v>2524</v>
      </c>
    </row>
    <row r="7375" spans="1:15" x14ac:dyDescent="0.25">
      <c r="A7375" t="s">
        <v>7388</v>
      </c>
      <c r="B7375">
        <v>468</v>
      </c>
      <c r="C7375" s="1" t="str">
        <f>HYPERLINK("http://www.rosaceae.org/gb/gbrowse/malus_x_domestica/?name=MDP0000926379","MDP0000926379")</f>
        <v>MDP0000926379</v>
      </c>
      <c r="D7375">
        <v>85.04</v>
      </c>
      <c r="E7375">
        <v>408</v>
      </c>
      <c r="F7375">
        <v>61</v>
      </c>
      <c r="G7375">
        <v>2</v>
      </c>
      <c r="H7375">
        <v>60</v>
      </c>
      <c r="I7375">
        <v>465</v>
      </c>
      <c r="J7375">
        <v>1</v>
      </c>
      <c r="K7375">
        <v>1</v>
      </c>
      <c r="L7375">
        <v>408</v>
      </c>
      <c r="M7375">
        <v>1</v>
      </c>
      <c r="N7375">
        <v>0</v>
      </c>
      <c r="O7375">
        <v>1810</v>
      </c>
    </row>
    <row r="7376" spans="1:15" x14ac:dyDescent="0.25">
      <c r="A7376" t="s">
        <v>7389</v>
      </c>
      <c r="B7376">
        <v>563</v>
      </c>
      <c r="C7376" s="1" t="str">
        <f>HYPERLINK("http://www.rosaceae.org/gb/gbrowse/malus_x_domestica/?name=MDP0000924909","MDP0000924909")</f>
        <v>MDP0000924909</v>
      </c>
      <c r="D7376">
        <v>61.09</v>
      </c>
      <c r="E7376">
        <v>275</v>
      </c>
      <c r="F7376">
        <v>107</v>
      </c>
      <c r="G7376">
        <v>11</v>
      </c>
      <c r="H7376">
        <v>298</v>
      </c>
      <c r="I7376">
        <v>563</v>
      </c>
      <c r="J7376">
        <v>1</v>
      </c>
      <c r="K7376">
        <v>3</v>
      </c>
      <c r="L7376">
        <v>275</v>
      </c>
      <c r="M7376">
        <v>1</v>
      </c>
      <c r="N7376">
        <v>1.34692E-93</v>
      </c>
      <c r="O7376">
        <v>874</v>
      </c>
    </row>
    <row r="7377" spans="1:15" x14ac:dyDescent="0.25">
      <c r="A7377" t="s">
        <v>7390</v>
      </c>
      <c r="B7377">
        <v>1376</v>
      </c>
      <c r="C7377" s="1" t="str">
        <f>HYPERLINK("http://www.rosaceae.org/gb/gbrowse/malus_x_domestica/?name=MDP0000280416","MDP0000280416")</f>
        <v>MDP0000280416</v>
      </c>
      <c r="D7377">
        <v>76.290000000000006</v>
      </c>
      <c r="E7377">
        <v>540</v>
      </c>
      <c r="F7377">
        <v>128</v>
      </c>
      <c r="G7377">
        <v>2</v>
      </c>
      <c r="H7377">
        <v>798</v>
      </c>
      <c r="I7377">
        <v>1337</v>
      </c>
      <c r="J7377">
        <v>1</v>
      </c>
      <c r="K7377">
        <v>154</v>
      </c>
      <c r="L7377">
        <v>691</v>
      </c>
      <c r="M7377">
        <v>1</v>
      </c>
      <c r="N7377">
        <v>0</v>
      </c>
      <c r="O7377">
        <v>2265</v>
      </c>
    </row>
    <row r="7378" spans="1:15" x14ac:dyDescent="0.25">
      <c r="A7378" t="s">
        <v>7391</v>
      </c>
      <c r="B7378">
        <v>269</v>
      </c>
      <c r="C7378" s="1" t="str">
        <f>HYPERLINK("http://www.rosaceae.org/gb/gbrowse/malus_x_domestica/?name=MDP0000312201","MDP0000312201")</f>
        <v>MDP0000312201</v>
      </c>
      <c r="D7378">
        <v>31.31</v>
      </c>
      <c r="E7378">
        <v>281</v>
      </c>
      <c r="F7378">
        <v>193</v>
      </c>
      <c r="G7378">
        <v>51</v>
      </c>
      <c r="H7378">
        <v>10</v>
      </c>
      <c r="I7378">
        <v>255</v>
      </c>
      <c r="J7378">
        <v>1</v>
      </c>
      <c r="K7378">
        <v>11</v>
      </c>
      <c r="L7378">
        <v>275</v>
      </c>
      <c r="M7378">
        <v>1</v>
      </c>
      <c r="N7378">
        <v>5.1134399999999998E-18</v>
      </c>
      <c r="O7378">
        <v>219</v>
      </c>
    </row>
    <row r="7379" spans="1:15" x14ac:dyDescent="0.25">
      <c r="A7379" t="s">
        <v>7392</v>
      </c>
      <c r="B7379">
        <v>152</v>
      </c>
      <c r="C7379" s="1" t="str">
        <f>HYPERLINK("http://www.rosaceae.org/gb/gbrowse/malus_x_domestica/?name=MDP0000163120","MDP0000163120")</f>
        <v>MDP0000163120</v>
      </c>
      <c r="D7379">
        <v>60.71</v>
      </c>
      <c r="E7379">
        <v>140</v>
      </c>
      <c r="F7379">
        <v>55</v>
      </c>
      <c r="G7379">
        <v>6</v>
      </c>
      <c r="H7379">
        <v>1</v>
      </c>
      <c r="I7379">
        <v>136</v>
      </c>
      <c r="J7379">
        <v>1</v>
      </c>
      <c r="K7379">
        <v>1</v>
      </c>
      <c r="L7379">
        <v>138</v>
      </c>
      <c r="M7379">
        <v>1</v>
      </c>
      <c r="N7379">
        <v>2.92578E-37</v>
      </c>
      <c r="O7379">
        <v>381</v>
      </c>
    </row>
    <row r="7380" spans="1:15" x14ac:dyDescent="0.25">
      <c r="A7380" t="s">
        <v>7393</v>
      </c>
      <c r="B7380">
        <v>156</v>
      </c>
      <c r="C7380" s="1" t="str">
        <f>HYPERLINK("http://www.rosaceae.org/gb/gbrowse/malus_x_domestica/?name=MDP0000437717","MDP0000437717")</f>
        <v>MDP0000437717</v>
      </c>
      <c r="D7380">
        <v>86.48</v>
      </c>
      <c r="E7380">
        <v>37</v>
      </c>
      <c r="F7380">
        <v>5</v>
      </c>
      <c r="G7380">
        <v>0</v>
      </c>
      <c r="H7380">
        <v>80</v>
      </c>
      <c r="I7380">
        <v>116</v>
      </c>
      <c r="J7380">
        <v>1</v>
      </c>
      <c r="K7380">
        <v>310</v>
      </c>
      <c r="L7380">
        <v>346</v>
      </c>
      <c r="M7380">
        <v>1</v>
      </c>
      <c r="N7380">
        <v>5.6771199999999995E-13</v>
      </c>
      <c r="O7380">
        <v>172</v>
      </c>
    </row>
    <row r="7381" spans="1:15" x14ac:dyDescent="0.25">
      <c r="A7381" t="s">
        <v>7394</v>
      </c>
      <c r="B7381">
        <v>242</v>
      </c>
      <c r="C7381" s="1" t="str">
        <f>HYPERLINK("http://www.rosaceae.org/gb/gbrowse/malus_x_domestica/?name=MDP0000285150","MDP0000285150")</f>
        <v>MDP0000285150</v>
      </c>
      <c r="D7381">
        <v>65.02</v>
      </c>
      <c r="E7381">
        <v>223</v>
      </c>
      <c r="F7381">
        <v>78</v>
      </c>
      <c r="G7381">
        <v>37</v>
      </c>
      <c r="H7381">
        <v>17</v>
      </c>
      <c r="I7381">
        <v>239</v>
      </c>
      <c r="J7381">
        <v>1</v>
      </c>
      <c r="K7381">
        <v>16</v>
      </c>
      <c r="L7381">
        <v>201</v>
      </c>
      <c r="M7381">
        <v>1</v>
      </c>
      <c r="N7381">
        <v>7.0255900000000003E-78</v>
      </c>
      <c r="O7381">
        <v>734</v>
      </c>
    </row>
    <row r="7382" spans="1:15" x14ac:dyDescent="0.25">
      <c r="A7382" t="s">
        <v>7395</v>
      </c>
      <c r="B7382">
        <v>801</v>
      </c>
      <c r="C7382" s="1" t="str">
        <f>HYPERLINK("http://www.rosaceae.org/gb/gbrowse/malus_x_domestica/?name=MDP0000299806","MDP0000299806")</f>
        <v>MDP0000299806</v>
      </c>
      <c r="D7382">
        <v>76.17</v>
      </c>
      <c r="E7382">
        <v>806</v>
      </c>
      <c r="F7382">
        <v>192</v>
      </c>
      <c r="G7382">
        <v>20</v>
      </c>
      <c r="H7382">
        <v>1</v>
      </c>
      <c r="I7382">
        <v>787</v>
      </c>
      <c r="J7382">
        <v>1</v>
      </c>
      <c r="K7382">
        <v>1</v>
      </c>
      <c r="L7382">
        <v>805</v>
      </c>
      <c r="M7382">
        <v>1</v>
      </c>
      <c r="N7382">
        <v>0</v>
      </c>
      <c r="O7382">
        <v>3087</v>
      </c>
    </row>
    <row r="7383" spans="1:15" x14ac:dyDescent="0.25">
      <c r="A7383" t="s">
        <v>7396</v>
      </c>
      <c r="B7383">
        <v>364</v>
      </c>
      <c r="C7383" s="1" t="str">
        <f>HYPERLINK("http://www.rosaceae.org/gb/gbrowse/malus_x_domestica/?name=MDP0000306688","MDP0000306688")</f>
        <v>MDP0000306688</v>
      </c>
      <c r="D7383">
        <v>79.31</v>
      </c>
      <c r="E7383">
        <v>319</v>
      </c>
      <c r="F7383">
        <v>66</v>
      </c>
      <c r="G7383">
        <v>10</v>
      </c>
      <c r="H7383">
        <v>24</v>
      </c>
      <c r="I7383">
        <v>340</v>
      </c>
      <c r="J7383">
        <v>1</v>
      </c>
      <c r="K7383">
        <v>24</v>
      </c>
      <c r="L7383">
        <v>334</v>
      </c>
      <c r="M7383">
        <v>1</v>
      </c>
      <c r="N7383">
        <v>2.5756399999999999E-146</v>
      </c>
      <c r="O7383">
        <v>1327</v>
      </c>
    </row>
    <row r="7384" spans="1:15" x14ac:dyDescent="0.25">
      <c r="A7384" t="s">
        <v>7397</v>
      </c>
      <c r="B7384">
        <v>351</v>
      </c>
      <c r="C7384" s="1" t="str">
        <f>HYPERLINK("http://www.rosaceae.org/gb/gbrowse/malus_x_domestica/?name=MDP0000299404","MDP0000299404")</f>
        <v>MDP0000299404</v>
      </c>
      <c r="D7384">
        <v>71.34</v>
      </c>
      <c r="E7384">
        <v>349</v>
      </c>
      <c r="F7384">
        <v>100</v>
      </c>
      <c r="G7384">
        <v>8</v>
      </c>
      <c r="H7384">
        <v>1</v>
      </c>
      <c r="I7384">
        <v>349</v>
      </c>
      <c r="J7384">
        <v>1</v>
      </c>
      <c r="K7384">
        <v>237</v>
      </c>
      <c r="L7384">
        <v>577</v>
      </c>
      <c r="M7384">
        <v>1</v>
      </c>
      <c r="N7384">
        <v>1.5711799999999999E-146</v>
      </c>
      <c r="O7384">
        <v>1328</v>
      </c>
    </row>
    <row r="7385" spans="1:15" x14ac:dyDescent="0.25">
      <c r="A7385" t="s">
        <v>7398</v>
      </c>
      <c r="B7385">
        <v>1553</v>
      </c>
      <c r="C7385" s="1" t="str">
        <f>HYPERLINK("http://www.rosaceae.org/gb/gbrowse/malus_x_domestica/?name=MDP0000297707","MDP0000297707")</f>
        <v>MDP0000297707</v>
      </c>
      <c r="D7385">
        <v>62.95</v>
      </c>
      <c r="E7385">
        <v>440</v>
      </c>
      <c r="F7385">
        <v>163</v>
      </c>
      <c r="G7385">
        <v>10</v>
      </c>
      <c r="H7385">
        <v>615</v>
      </c>
      <c r="I7385">
        <v>1049</v>
      </c>
      <c r="J7385">
        <v>1</v>
      </c>
      <c r="K7385">
        <v>1142</v>
      </c>
      <c r="L7385">
        <v>1576</v>
      </c>
      <c r="M7385">
        <v>1</v>
      </c>
      <c r="N7385">
        <v>1.8113600000000001E-145</v>
      </c>
      <c r="O7385">
        <v>1326</v>
      </c>
    </row>
    <row r="7386" spans="1:15" x14ac:dyDescent="0.25">
      <c r="A7386" t="s">
        <v>7399</v>
      </c>
      <c r="B7386">
        <v>806</v>
      </c>
      <c r="C7386" s="1" t="str">
        <f>HYPERLINK("http://www.rosaceae.org/gb/gbrowse/malus_x_domestica/?name=MDP0000709006","MDP0000709006")</f>
        <v>MDP0000709006</v>
      </c>
      <c r="D7386">
        <v>31.9</v>
      </c>
      <c r="E7386">
        <v>326</v>
      </c>
      <c r="F7386">
        <v>222</v>
      </c>
      <c r="G7386">
        <v>49</v>
      </c>
      <c r="H7386">
        <v>503</v>
      </c>
      <c r="I7386">
        <v>803</v>
      </c>
      <c r="J7386">
        <v>1</v>
      </c>
      <c r="K7386">
        <v>439</v>
      </c>
      <c r="L7386">
        <v>740</v>
      </c>
      <c r="M7386">
        <v>1</v>
      </c>
      <c r="N7386">
        <v>1.47242E-30</v>
      </c>
      <c r="O7386">
        <v>332</v>
      </c>
    </row>
    <row r="7387" spans="1:15" x14ac:dyDescent="0.25">
      <c r="A7387" t="s">
        <v>7400</v>
      </c>
      <c r="B7387">
        <v>421</v>
      </c>
      <c r="C7387" s="1" t="str">
        <f>HYPERLINK("http://www.rosaceae.org/gb/gbrowse/malus_x_domestica/?name=MDP0000289123","MDP0000289123")</f>
        <v>MDP0000289123</v>
      </c>
      <c r="D7387">
        <v>34.75</v>
      </c>
      <c r="E7387">
        <v>400</v>
      </c>
      <c r="F7387">
        <v>261</v>
      </c>
      <c r="G7387">
        <v>44</v>
      </c>
      <c r="H7387">
        <v>24</v>
      </c>
      <c r="I7387">
        <v>392</v>
      </c>
      <c r="J7387">
        <v>1</v>
      </c>
      <c r="K7387">
        <v>28</v>
      </c>
      <c r="L7387">
        <v>414</v>
      </c>
      <c r="M7387">
        <v>1</v>
      </c>
      <c r="N7387">
        <v>1.6329299999999999E-49</v>
      </c>
      <c r="O7387">
        <v>493</v>
      </c>
    </row>
    <row r="7388" spans="1:15" x14ac:dyDescent="0.25">
      <c r="A7388" t="s">
        <v>7401</v>
      </c>
      <c r="B7388">
        <v>534</v>
      </c>
      <c r="C7388" s="1" t="str">
        <f>HYPERLINK("http://www.rosaceae.org/gb/gbrowse/malus_x_domestica/?name=MDP0000144432","MDP0000144432")</f>
        <v>MDP0000144432</v>
      </c>
      <c r="D7388">
        <v>73.08</v>
      </c>
      <c r="E7388">
        <v>535</v>
      </c>
      <c r="F7388">
        <v>144</v>
      </c>
      <c r="G7388">
        <v>18</v>
      </c>
      <c r="H7388">
        <v>5</v>
      </c>
      <c r="I7388">
        <v>534</v>
      </c>
      <c r="J7388">
        <v>1</v>
      </c>
      <c r="K7388">
        <v>1</v>
      </c>
      <c r="L7388">
        <v>522</v>
      </c>
      <c r="M7388">
        <v>1</v>
      </c>
      <c r="N7388">
        <v>0</v>
      </c>
      <c r="O7388">
        <v>2056</v>
      </c>
    </row>
    <row r="7389" spans="1:15" x14ac:dyDescent="0.25">
      <c r="A7389" t="s">
        <v>7402</v>
      </c>
      <c r="B7389">
        <v>291</v>
      </c>
      <c r="C7389" s="1" t="str">
        <f>HYPERLINK("http://www.rosaceae.org/gb/gbrowse/malus_x_domestica/?name=MDP0000410378","MDP0000410378")</f>
        <v>MDP0000410378</v>
      </c>
      <c r="D7389">
        <v>71.02</v>
      </c>
      <c r="E7389">
        <v>245</v>
      </c>
      <c r="F7389">
        <v>71</v>
      </c>
      <c r="G7389">
        <v>0</v>
      </c>
      <c r="H7389">
        <v>46</v>
      </c>
      <c r="I7389">
        <v>290</v>
      </c>
      <c r="J7389">
        <v>1</v>
      </c>
      <c r="K7389">
        <v>48</v>
      </c>
      <c r="L7389">
        <v>292</v>
      </c>
      <c r="M7389">
        <v>1</v>
      </c>
      <c r="N7389">
        <v>2.37198E-99</v>
      </c>
      <c r="O7389">
        <v>921</v>
      </c>
    </row>
    <row r="7390" spans="1:15" x14ac:dyDescent="0.25">
      <c r="A7390" t="s">
        <v>7403</v>
      </c>
      <c r="B7390">
        <v>636</v>
      </c>
      <c r="C7390" s="1" t="str">
        <f>HYPERLINK("http://www.rosaceae.org/gb/gbrowse/malus_x_domestica/?name=MDP0000507097","MDP0000507097")</f>
        <v>MDP0000507097</v>
      </c>
      <c r="D7390">
        <v>78.87</v>
      </c>
      <c r="E7390">
        <v>639</v>
      </c>
      <c r="F7390">
        <v>135</v>
      </c>
      <c r="G7390">
        <v>10</v>
      </c>
      <c r="H7390">
        <v>1</v>
      </c>
      <c r="I7390">
        <v>636</v>
      </c>
      <c r="J7390">
        <v>1</v>
      </c>
      <c r="K7390">
        <v>1</v>
      </c>
      <c r="L7390">
        <v>632</v>
      </c>
      <c r="M7390">
        <v>1</v>
      </c>
      <c r="N7390">
        <v>0</v>
      </c>
      <c r="O7390">
        <v>2639</v>
      </c>
    </row>
    <row r="7391" spans="1:15" x14ac:dyDescent="0.25">
      <c r="A7391" t="s">
        <v>7404</v>
      </c>
      <c r="B7391">
        <v>238</v>
      </c>
      <c r="C7391" s="1" t="str">
        <f>HYPERLINK("http://www.rosaceae.org/gb/gbrowse/malus_x_domestica/?name=MDP0000292132","MDP0000292132")</f>
        <v>MDP0000292132</v>
      </c>
      <c r="D7391">
        <v>36.229999999999997</v>
      </c>
      <c r="E7391">
        <v>207</v>
      </c>
      <c r="F7391">
        <v>132</v>
      </c>
      <c r="G7391">
        <v>13</v>
      </c>
      <c r="H7391">
        <v>33</v>
      </c>
      <c r="I7391">
        <v>234</v>
      </c>
      <c r="J7391">
        <v>1</v>
      </c>
      <c r="K7391">
        <v>148</v>
      </c>
      <c r="L7391">
        <v>346</v>
      </c>
      <c r="M7391">
        <v>1</v>
      </c>
      <c r="N7391">
        <v>8.8578200000000002E-23</v>
      </c>
      <c r="O7391">
        <v>259</v>
      </c>
    </row>
    <row r="7392" spans="1:15" x14ac:dyDescent="0.25">
      <c r="A7392" t="s">
        <v>7405</v>
      </c>
      <c r="B7392">
        <v>437</v>
      </c>
      <c r="C7392" s="1" t="str">
        <f>HYPERLINK("http://www.rosaceae.org/gb/gbrowse/malus_x_domestica/?name=MDP0000211987","MDP0000211987")</f>
        <v>MDP0000211987</v>
      </c>
      <c r="D7392">
        <v>80.180000000000007</v>
      </c>
      <c r="E7392">
        <v>434</v>
      </c>
      <c r="F7392">
        <v>86</v>
      </c>
      <c r="G7392">
        <v>3</v>
      </c>
      <c r="H7392">
        <v>6</v>
      </c>
      <c r="I7392">
        <v>436</v>
      </c>
      <c r="J7392">
        <v>1</v>
      </c>
      <c r="K7392">
        <v>5</v>
      </c>
      <c r="L7392">
        <v>438</v>
      </c>
      <c r="M7392">
        <v>1</v>
      </c>
      <c r="N7392">
        <v>0</v>
      </c>
      <c r="O7392">
        <v>1848</v>
      </c>
    </row>
    <row r="7393" spans="1:15" x14ac:dyDescent="0.25">
      <c r="A7393" t="s">
        <v>7406</v>
      </c>
      <c r="B7393">
        <v>1057</v>
      </c>
      <c r="C7393" s="1" t="str">
        <f>HYPERLINK("http://www.rosaceae.org/gb/gbrowse/malus_x_domestica/?name=MDP0000174598","MDP0000174598")</f>
        <v>MDP0000174598</v>
      </c>
      <c r="D7393">
        <v>62.2</v>
      </c>
      <c r="E7393">
        <v>725</v>
      </c>
      <c r="F7393">
        <v>274</v>
      </c>
      <c r="G7393">
        <v>19</v>
      </c>
      <c r="H7393">
        <v>1</v>
      </c>
      <c r="I7393">
        <v>707</v>
      </c>
      <c r="J7393">
        <v>1</v>
      </c>
      <c r="K7393">
        <v>1</v>
      </c>
      <c r="L7393">
        <v>724</v>
      </c>
      <c r="M7393">
        <v>1</v>
      </c>
      <c r="N7393">
        <v>0</v>
      </c>
      <c r="O7393">
        <v>2279</v>
      </c>
    </row>
    <row r="7394" spans="1:15" x14ac:dyDescent="0.25">
      <c r="A7394" t="s">
        <v>7407</v>
      </c>
      <c r="B7394">
        <v>922</v>
      </c>
      <c r="C7394" s="1" t="str">
        <f>HYPERLINK("http://www.rosaceae.org/gb/gbrowse/malus_x_domestica/?name=MDP0000520527","MDP0000520527")</f>
        <v>MDP0000520527</v>
      </c>
      <c r="D7394">
        <v>85.5</v>
      </c>
      <c r="E7394">
        <v>683</v>
      </c>
      <c r="F7394">
        <v>99</v>
      </c>
      <c r="G7394">
        <v>8</v>
      </c>
      <c r="H7394">
        <v>1</v>
      </c>
      <c r="I7394">
        <v>675</v>
      </c>
      <c r="J7394">
        <v>1</v>
      </c>
      <c r="K7394">
        <v>58</v>
      </c>
      <c r="L7394">
        <v>740</v>
      </c>
      <c r="M7394">
        <v>1</v>
      </c>
      <c r="N7394">
        <v>0</v>
      </c>
      <c r="O7394">
        <v>3132</v>
      </c>
    </row>
    <row r="7395" spans="1:15" x14ac:dyDescent="0.25">
      <c r="A7395" t="s">
        <v>7408</v>
      </c>
      <c r="B7395">
        <v>289</v>
      </c>
      <c r="C7395" s="1" t="str">
        <f>HYPERLINK("http://www.rosaceae.org/gb/gbrowse/malus_x_domestica/?name=MDP0000122340","MDP0000122340")</f>
        <v>MDP0000122340</v>
      </c>
      <c r="D7395">
        <v>87.54</v>
      </c>
      <c r="E7395">
        <v>289</v>
      </c>
      <c r="F7395">
        <v>36</v>
      </c>
      <c r="G7395">
        <v>0</v>
      </c>
      <c r="H7395">
        <v>1</v>
      </c>
      <c r="I7395">
        <v>289</v>
      </c>
      <c r="J7395">
        <v>1</v>
      </c>
      <c r="K7395">
        <v>1</v>
      </c>
      <c r="L7395">
        <v>289</v>
      </c>
      <c r="M7395">
        <v>1</v>
      </c>
      <c r="N7395">
        <v>3.5382399999999999E-153</v>
      </c>
      <c r="O7395">
        <v>1385</v>
      </c>
    </row>
    <row r="7396" spans="1:15" x14ac:dyDescent="0.25">
      <c r="A7396" t="s">
        <v>7409</v>
      </c>
      <c r="B7396">
        <v>184</v>
      </c>
      <c r="C7396" s="1" t="str">
        <f>HYPERLINK("http://www.rosaceae.org/gb/gbrowse/malus_x_domestica/?name=MDP0000175555","MDP0000175555")</f>
        <v>MDP0000175555</v>
      </c>
      <c r="D7396">
        <v>58.91</v>
      </c>
      <c r="E7396">
        <v>129</v>
      </c>
      <c r="F7396">
        <v>53</v>
      </c>
      <c r="G7396">
        <v>19</v>
      </c>
      <c r="H7396">
        <v>1</v>
      </c>
      <c r="I7396">
        <v>110</v>
      </c>
      <c r="J7396">
        <v>1</v>
      </c>
      <c r="K7396">
        <v>1</v>
      </c>
      <c r="L7396">
        <v>129</v>
      </c>
      <c r="M7396">
        <v>1</v>
      </c>
      <c r="N7396">
        <v>1.2426000000000001E-35</v>
      </c>
      <c r="O7396">
        <v>368</v>
      </c>
    </row>
    <row r="7397" spans="1:15" x14ac:dyDescent="0.25">
      <c r="A7397" t="s">
        <v>7410</v>
      </c>
      <c r="B7397">
        <v>159</v>
      </c>
      <c r="C7397" s="1" t="str">
        <f>HYPERLINK("http://www.rosaceae.org/gb/gbrowse/malus_x_domestica/?name=MDP0000890849","MDP0000890849")</f>
        <v>MDP0000890849</v>
      </c>
      <c r="D7397">
        <v>77.27</v>
      </c>
      <c r="E7397">
        <v>66</v>
      </c>
      <c r="F7397">
        <v>15</v>
      </c>
      <c r="G7397">
        <v>0</v>
      </c>
      <c r="H7397">
        <v>45</v>
      </c>
      <c r="I7397">
        <v>110</v>
      </c>
      <c r="J7397">
        <v>1</v>
      </c>
      <c r="K7397">
        <v>135</v>
      </c>
      <c r="L7397">
        <v>200</v>
      </c>
      <c r="M7397">
        <v>1</v>
      </c>
      <c r="N7397">
        <v>1.8811E-17</v>
      </c>
      <c r="O7397">
        <v>210</v>
      </c>
    </row>
    <row r="7398" spans="1:15" x14ac:dyDescent="0.25">
      <c r="A7398" t="s">
        <v>7411</v>
      </c>
      <c r="B7398">
        <v>288</v>
      </c>
      <c r="C7398" s="1" t="str">
        <f>HYPERLINK("http://www.rosaceae.org/gb/gbrowse/malus_x_domestica/?name=MDP0000193678","MDP0000193678")</f>
        <v>MDP0000193678</v>
      </c>
      <c r="D7398">
        <v>62.84</v>
      </c>
      <c r="E7398">
        <v>288</v>
      </c>
      <c r="F7398">
        <v>107</v>
      </c>
      <c r="G7398">
        <v>3</v>
      </c>
      <c r="H7398">
        <v>2</v>
      </c>
      <c r="I7398">
        <v>286</v>
      </c>
      <c r="J7398">
        <v>1</v>
      </c>
      <c r="K7398">
        <v>8</v>
      </c>
      <c r="L7398">
        <v>295</v>
      </c>
      <c r="M7398">
        <v>1</v>
      </c>
      <c r="N7398">
        <v>1.7895599999999999E-97</v>
      </c>
      <c r="O7398">
        <v>904</v>
      </c>
    </row>
    <row r="7399" spans="1:15" x14ac:dyDescent="0.25">
      <c r="A7399" t="s">
        <v>7412</v>
      </c>
      <c r="B7399">
        <v>352</v>
      </c>
      <c r="C7399" s="1" t="str">
        <f>HYPERLINK("http://www.rosaceae.org/gb/gbrowse/malus_x_domestica/?name=MDP0000163058","MDP0000163058")</f>
        <v>MDP0000163058</v>
      </c>
      <c r="D7399">
        <v>51.89</v>
      </c>
      <c r="E7399">
        <v>343</v>
      </c>
      <c r="F7399">
        <v>165</v>
      </c>
      <c r="G7399">
        <v>32</v>
      </c>
      <c r="H7399">
        <v>26</v>
      </c>
      <c r="I7399">
        <v>337</v>
      </c>
      <c r="J7399">
        <v>1</v>
      </c>
      <c r="K7399">
        <v>44</v>
      </c>
      <c r="L7399">
        <v>385</v>
      </c>
      <c r="M7399">
        <v>1</v>
      </c>
      <c r="N7399">
        <v>1.9071000000000001E-96</v>
      </c>
      <c r="O7399">
        <v>897</v>
      </c>
    </row>
    <row r="7400" spans="1:15" x14ac:dyDescent="0.25">
      <c r="A7400" t="s">
        <v>7413</v>
      </c>
      <c r="B7400">
        <v>1135</v>
      </c>
      <c r="C7400" s="1" t="str">
        <f>HYPERLINK("http://www.rosaceae.org/gb/gbrowse/malus_x_domestica/?name=MDP0000839207","MDP0000839207")</f>
        <v>MDP0000839207</v>
      </c>
      <c r="D7400">
        <v>66.290000000000006</v>
      </c>
      <c r="E7400">
        <v>1151</v>
      </c>
      <c r="F7400">
        <v>388</v>
      </c>
      <c r="G7400">
        <v>25</v>
      </c>
      <c r="H7400">
        <v>1</v>
      </c>
      <c r="I7400">
        <v>1135</v>
      </c>
      <c r="J7400">
        <v>1</v>
      </c>
      <c r="K7400">
        <v>1</v>
      </c>
      <c r="L7400">
        <v>1142</v>
      </c>
      <c r="M7400">
        <v>1</v>
      </c>
      <c r="N7400">
        <v>0</v>
      </c>
      <c r="O7400">
        <v>3745</v>
      </c>
    </row>
    <row r="7401" spans="1:15" x14ac:dyDescent="0.25">
      <c r="A7401" t="s">
        <v>7414</v>
      </c>
      <c r="B7401">
        <v>915</v>
      </c>
      <c r="C7401" s="1" t="str">
        <f>HYPERLINK("http://www.rosaceae.org/gb/gbrowse/malus_x_domestica/?name=MDP0000144271","MDP0000144271")</f>
        <v>MDP0000144271</v>
      </c>
      <c r="D7401">
        <v>91.8</v>
      </c>
      <c r="E7401">
        <v>915</v>
      </c>
      <c r="F7401">
        <v>75</v>
      </c>
      <c r="G7401">
        <v>1</v>
      </c>
      <c r="H7401">
        <v>1</v>
      </c>
      <c r="I7401">
        <v>915</v>
      </c>
      <c r="J7401">
        <v>1</v>
      </c>
      <c r="K7401">
        <v>16</v>
      </c>
      <c r="L7401">
        <v>929</v>
      </c>
      <c r="M7401">
        <v>1</v>
      </c>
      <c r="N7401">
        <v>0</v>
      </c>
      <c r="O7401">
        <v>4525</v>
      </c>
    </row>
    <row r="7402" spans="1:15" x14ac:dyDescent="0.25">
      <c r="A7402" t="s">
        <v>7415</v>
      </c>
      <c r="B7402">
        <v>726</v>
      </c>
      <c r="C7402" s="1" t="str">
        <f>HYPERLINK("http://www.rosaceae.org/gb/gbrowse/malus_x_domestica/?name=MDP0000195139","MDP0000195139")</f>
        <v>MDP0000195139</v>
      </c>
      <c r="D7402">
        <v>45.1</v>
      </c>
      <c r="E7402">
        <v>419</v>
      </c>
      <c r="F7402">
        <v>230</v>
      </c>
      <c r="G7402">
        <v>30</v>
      </c>
      <c r="H7402">
        <v>105</v>
      </c>
      <c r="I7402">
        <v>509</v>
      </c>
      <c r="J7402">
        <v>1</v>
      </c>
      <c r="K7402">
        <v>523</v>
      </c>
      <c r="L7402">
        <v>925</v>
      </c>
      <c r="M7402">
        <v>1</v>
      </c>
      <c r="N7402">
        <v>1.8486700000000001E-79</v>
      </c>
      <c r="O7402">
        <v>753</v>
      </c>
    </row>
    <row r="7403" spans="1:15" x14ac:dyDescent="0.25">
      <c r="A7403" t="s">
        <v>7416</v>
      </c>
      <c r="B7403">
        <v>844</v>
      </c>
      <c r="C7403" s="1" t="str">
        <f>HYPERLINK("http://www.rosaceae.org/gb/gbrowse/malus_x_domestica/?name=MDP0000314005","MDP0000314005")</f>
        <v>MDP0000314005</v>
      </c>
      <c r="D7403">
        <v>77.58</v>
      </c>
      <c r="E7403">
        <v>843</v>
      </c>
      <c r="F7403">
        <v>189</v>
      </c>
      <c r="G7403">
        <v>3</v>
      </c>
      <c r="H7403">
        <v>2</v>
      </c>
      <c r="I7403">
        <v>844</v>
      </c>
      <c r="J7403">
        <v>1</v>
      </c>
      <c r="K7403">
        <v>44</v>
      </c>
      <c r="L7403">
        <v>883</v>
      </c>
      <c r="M7403">
        <v>1</v>
      </c>
      <c r="N7403">
        <v>0</v>
      </c>
      <c r="O7403">
        <v>3431</v>
      </c>
    </row>
    <row r="7404" spans="1:15" x14ac:dyDescent="0.25">
      <c r="A7404" t="s">
        <v>7417</v>
      </c>
      <c r="B7404">
        <v>906</v>
      </c>
      <c r="C7404" s="1" t="str">
        <f>HYPERLINK("http://www.rosaceae.org/gb/gbrowse/malus_x_domestica/?name=MDP0000602932","MDP0000602932")</f>
        <v>MDP0000602932</v>
      </c>
      <c r="D7404">
        <v>83.87</v>
      </c>
      <c r="E7404">
        <v>403</v>
      </c>
      <c r="F7404">
        <v>65</v>
      </c>
      <c r="G7404">
        <v>6</v>
      </c>
      <c r="H7404">
        <v>1</v>
      </c>
      <c r="I7404">
        <v>398</v>
      </c>
      <c r="J7404">
        <v>1</v>
      </c>
      <c r="K7404">
        <v>1</v>
      </c>
      <c r="L7404">
        <v>402</v>
      </c>
      <c r="M7404">
        <v>1</v>
      </c>
      <c r="N7404">
        <v>0</v>
      </c>
      <c r="O7404">
        <v>1781</v>
      </c>
    </row>
    <row r="7405" spans="1:15" x14ac:dyDescent="0.25">
      <c r="A7405" t="s">
        <v>7418</v>
      </c>
      <c r="B7405">
        <v>414</v>
      </c>
      <c r="C7405" s="1" t="str">
        <f>HYPERLINK("http://www.rosaceae.org/gb/gbrowse/malus_x_domestica/?name=MDP0000198290","MDP0000198290")</f>
        <v>MDP0000198290</v>
      </c>
      <c r="D7405">
        <v>65.75</v>
      </c>
      <c r="E7405">
        <v>403</v>
      </c>
      <c r="F7405">
        <v>138</v>
      </c>
      <c r="G7405">
        <v>7</v>
      </c>
      <c r="H7405">
        <v>1</v>
      </c>
      <c r="I7405">
        <v>403</v>
      </c>
      <c r="J7405">
        <v>1</v>
      </c>
      <c r="K7405">
        <v>461</v>
      </c>
      <c r="L7405">
        <v>856</v>
      </c>
      <c r="M7405">
        <v>1</v>
      </c>
      <c r="N7405">
        <v>1.2492600000000001E-147</v>
      </c>
      <c r="O7405">
        <v>1339</v>
      </c>
    </row>
    <row r="7406" spans="1:15" x14ac:dyDescent="0.25">
      <c r="A7406" t="s">
        <v>7419</v>
      </c>
      <c r="B7406">
        <v>372</v>
      </c>
      <c r="C7406" s="1" t="str">
        <f>HYPERLINK("http://www.rosaceae.org/gb/gbrowse/malus_x_domestica/?name=MDP0000276291","MDP0000276291")</f>
        <v>MDP0000276291</v>
      </c>
      <c r="D7406">
        <v>37.26</v>
      </c>
      <c r="E7406">
        <v>271</v>
      </c>
      <c r="F7406">
        <v>170</v>
      </c>
      <c r="G7406">
        <v>45</v>
      </c>
      <c r="H7406">
        <v>12</v>
      </c>
      <c r="I7406">
        <v>252</v>
      </c>
      <c r="J7406">
        <v>1</v>
      </c>
      <c r="K7406">
        <v>7</v>
      </c>
      <c r="L7406">
        <v>262</v>
      </c>
      <c r="M7406">
        <v>1</v>
      </c>
      <c r="N7406">
        <v>1.21223E-30</v>
      </c>
      <c r="O7406">
        <v>329</v>
      </c>
    </row>
    <row r="7407" spans="1:15" x14ac:dyDescent="0.25">
      <c r="A7407" t="s">
        <v>7420</v>
      </c>
      <c r="B7407">
        <v>455</v>
      </c>
      <c r="C7407" s="1" t="str">
        <f>HYPERLINK("http://www.rosaceae.org/gb/gbrowse/malus_x_domestica/?name=MDP0000607000","MDP0000607000")</f>
        <v>MDP0000607000</v>
      </c>
      <c r="D7407">
        <v>34.549999999999997</v>
      </c>
      <c r="E7407">
        <v>437</v>
      </c>
      <c r="F7407">
        <v>286</v>
      </c>
      <c r="G7407">
        <v>55</v>
      </c>
      <c r="H7407">
        <v>41</v>
      </c>
      <c r="I7407">
        <v>452</v>
      </c>
      <c r="J7407">
        <v>1</v>
      </c>
      <c r="K7407">
        <v>50</v>
      </c>
      <c r="L7407">
        <v>456</v>
      </c>
      <c r="M7407">
        <v>1</v>
      </c>
      <c r="N7407">
        <v>5.8634400000000001E-57</v>
      </c>
      <c r="O7407">
        <v>557</v>
      </c>
    </row>
    <row r="7408" spans="1:15" x14ac:dyDescent="0.25">
      <c r="A7408" t="s">
        <v>7421</v>
      </c>
      <c r="B7408">
        <v>146</v>
      </c>
      <c r="C7408" s="1" t="str">
        <f>HYPERLINK("http://www.rosaceae.org/gb/gbrowse/malus_x_domestica/?name=MDP0000371907","MDP0000371907")</f>
        <v>MDP0000371907</v>
      </c>
      <c r="D7408">
        <v>80</v>
      </c>
      <c r="E7408">
        <v>140</v>
      </c>
      <c r="F7408">
        <v>28</v>
      </c>
      <c r="G7408">
        <v>3</v>
      </c>
      <c r="H7408">
        <v>8</v>
      </c>
      <c r="I7408">
        <v>145</v>
      </c>
      <c r="J7408">
        <v>1</v>
      </c>
      <c r="K7408">
        <v>10</v>
      </c>
      <c r="L7408">
        <v>148</v>
      </c>
      <c r="M7408">
        <v>1</v>
      </c>
      <c r="N7408">
        <v>2.5405300000000001E-61</v>
      </c>
      <c r="O7408">
        <v>588</v>
      </c>
    </row>
    <row r="7409" spans="1:15" x14ac:dyDescent="0.25">
      <c r="A7409" t="s">
        <v>7422</v>
      </c>
      <c r="B7409">
        <v>299</v>
      </c>
      <c r="C7409" s="1" t="str">
        <f>HYPERLINK("http://www.rosaceae.org/gb/gbrowse/malus_x_domestica/?name=MDP0000200737","MDP0000200737")</f>
        <v>MDP0000200737</v>
      </c>
      <c r="D7409">
        <v>76.680000000000007</v>
      </c>
      <c r="E7409">
        <v>223</v>
      </c>
      <c r="F7409">
        <v>52</v>
      </c>
      <c r="G7409">
        <v>0</v>
      </c>
      <c r="H7409">
        <v>77</v>
      </c>
      <c r="I7409">
        <v>299</v>
      </c>
      <c r="J7409">
        <v>1</v>
      </c>
      <c r="K7409">
        <v>1</v>
      </c>
      <c r="L7409">
        <v>223</v>
      </c>
      <c r="M7409">
        <v>1</v>
      </c>
      <c r="N7409">
        <v>1.8145E-102</v>
      </c>
      <c r="O7409">
        <v>948</v>
      </c>
    </row>
    <row r="7410" spans="1:15" x14ac:dyDescent="0.25">
      <c r="A7410" t="s">
        <v>7423</v>
      </c>
      <c r="B7410">
        <v>547</v>
      </c>
      <c r="C7410" s="1" t="str">
        <f>HYPERLINK("http://www.rosaceae.org/gb/gbrowse/malus_x_domestica/?name=MDP0000255676","MDP0000255676")</f>
        <v>MDP0000255676</v>
      </c>
      <c r="D7410">
        <v>67.150000000000006</v>
      </c>
      <c r="E7410">
        <v>344</v>
      </c>
      <c r="F7410">
        <v>113</v>
      </c>
      <c r="G7410">
        <v>25</v>
      </c>
      <c r="H7410">
        <v>188</v>
      </c>
      <c r="I7410">
        <v>522</v>
      </c>
      <c r="J7410">
        <v>1</v>
      </c>
      <c r="K7410">
        <v>115</v>
      </c>
      <c r="L7410">
        <v>442</v>
      </c>
      <c r="M7410">
        <v>1</v>
      </c>
      <c r="N7410">
        <v>3.9034000000000001E-119</v>
      </c>
      <c r="O7410">
        <v>1094</v>
      </c>
    </row>
    <row r="7411" spans="1:15" x14ac:dyDescent="0.25">
      <c r="A7411" t="s">
        <v>7424</v>
      </c>
      <c r="B7411">
        <v>404</v>
      </c>
      <c r="C7411" s="1" t="str">
        <f>HYPERLINK("http://www.rosaceae.org/gb/gbrowse/malus_x_domestica/?name=MDP0000481999","MDP0000481999")</f>
        <v>MDP0000481999</v>
      </c>
      <c r="D7411">
        <v>69.33</v>
      </c>
      <c r="E7411">
        <v>300</v>
      </c>
      <c r="F7411">
        <v>92</v>
      </c>
      <c r="G7411">
        <v>5</v>
      </c>
      <c r="H7411">
        <v>106</v>
      </c>
      <c r="I7411">
        <v>400</v>
      </c>
      <c r="J7411">
        <v>1</v>
      </c>
      <c r="K7411">
        <v>1</v>
      </c>
      <c r="L7411">
        <v>300</v>
      </c>
      <c r="M7411">
        <v>1</v>
      </c>
      <c r="N7411">
        <v>3.66471E-120</v>
      </c>
      <c r="O7411">
        <v>1102</v>
      </c>
    </row>
    <row r="7412" spans="1:15" x14ac:dyDescent="0.25">
      <c r="A7412" t="s">
        <v>7425</v>
      </c>
      <c r="B7412">
        <v>181</v>
      </c>
      <c r="C7412" s="1" t="str">
        <f>HYPERLINK("http://www.rosaceae.org/gb/gbrowse/malus_x_domestica/?name=MDP0000135063","MDP0000135063")</f>
        <v>MDP0000135063</v>
      </c>
      <c r="D7412">
        <v>55.33</v>
      </c>
      <c r="E7412">
        <v>103</v>
      </c>
      <c r="F7412">
        <v>46</v>
      </c>
      <c r="G7412">
        <v>9</v>
      </c>
      <c r="H7412">
        <v>5</v>
      </c>
      <c r="I7412">
        <v>100</v>
      </c>
      <c r="J7412">
        <v>1</v>
      </c>
      <c r="K7412">
        <v>32</v>
      </c>
      <c r="L7412">
        <v>132</v>
      </c>
      <c r="M7412">
        <v>1</v>
      </c>
      <c r="N7412">
        <v>2.80203E-16</v>
      </c>
      <c r="O7412">
        <v>201</v>
      </c>
    </row>
    <row r="7413" spans="1:15" x14ac:dyDescent="0.25">
      <c r="A7413" t="s">
        <v>7426</v>
      </c>
      <c r="B7413">
        <v>331</v>
      </c>
      <c r="C7413" s="1" t="str">
        <f>HYPERLINK("http://www.rosaceae.org/gb/gbrowse/malus_x_domestica/?name=MDP0000749281","MDP0000749281")</f>
        <v>MDP0000749281</v>
      </c>
      <c r="D7413">
        <v>77.42</v>
      </c>
      <c r="E7413">
        <v>319</v>
      </c>
      <c r="F7413">
        <v>72</v>
      </c>
      <c r="G7413">
        <v>2</v>
      </c>
      <c r="H7413">
        <v>13</v>
      </c>
      <c r="I7413">
        <v>331</v>
      </c>
      <c r="J7413">
        <v>1</v>
      </c>
      <c r="K7413">
        <v>4</v>
      </c>
      <c r="L7413">
        <v>320</v>
      </c>
      <c r="M7413">
        <v>1</v>
      </c>
      <c r="N7413">
        <v>4.5420700000000003E-136</v>
      </c>
      <c r="O7413">
        <v>1238</v>
      </c>
    </row>
    <row r="7414" spans="1:15" x14ac:dyDescent="0.25">
      <c r="A7414" t="s">
        <v>7427</v>
      </c>
      <c r="B7414">
        <v>176</v>
      </c>
      <c r="C7414" s="1" t="str">
        <f>HYPERLINK("http://www.rosaceae.org/gb/gbrowse/malus_x_domestica/?name=MDP0000132050","MDP0000132050")</f>
        <v>MDP0000132050</v>
      </c>
      <c r="D7414">
        <v>89.02</v>
      </c>
      <c r="E7414">
        <v>164</v>
      </c>
      <c r="F7414">
        <v>18</v>
      </c>
      <c r="G7414">
        <v>0</v>
      </c>
      <c r="H7414">
        <v>1</v>
      </c>
      <c r="I7414">
        <v>164</v>
      </c>
      <c r="J7414">
        <v>1</v>
      </c>
      <c r="K7414">
        <v>1</v>
      </c>
      <c r="L7414">
        <v>164</v>
      </c>
      <c r="M7414">
        <v>1</v>
      </c>
      <c r="N7414">
        <v>3.0267899999999999E-85</v>
      </c>
      <c r="O7414">
        <v>796</v>
      </c>
    </row>
    <row r="7415" spans="1:15" x14ac:dyDescent="0.25">
      <c r="A7415" t="s">
        <v>7428</v>
      </c>
      <c r="B7415">
        <v>339</v>
      </c>
      <c r="C7415" s="1" t="str">
        <f>HYPERLINK("http://www.rosaceae.org/gb/gbrowse/malus_x_domestica/?name=MDP0000246701","MDP0000246701")</f>
        <v>MDP0000246701</v>
      </c>
      <c r="D7415">
        <v>82.3</v>
      </c>
      <c r="E7415">
        <v>339</v>
      </c>
      <c r="F7415">
        <v>60</v>
      </c>
      <c r="G7415">
        <v>0</v>
      </c>
      <c r="H7415">
        <v>1</v>
      </c>
      <c r="I7415">
        <v>339</v>
      </c>
      <c r="J7415">
        <v>1</v>
      </c>
      <c r="K7415">
        <v>1</v>
      </c>
      <c r="L7415">
        <v>339</v>
      </c>
      <c r="M7415">
        <v>1</v>
      </c>
      <c r="N7415">
        <v>3.9792000000000002E-165</v>
      </c>
      <c r="O7415">
        <v>1489</v>
      </c>
    </row>
    <row r="7416" spans="1:15" x14ac:dyDescent="0.25">
      <c r="A7416" t="s">
        <v>7429</v>
      </c>
      <c r="B7416">
        <v>180</v>
      </c>
      <c r="C7416" s="1" t="str">
        <f>HYPERLINK("http://www.rosaceae.org/gb/gbrowse/malus_x_domestica/?name=MDP0000270046","MDP0000270046")</f>
        <v>MDP0000270046</v>
      </c>
      <c r="D7416">
        <v>44.62</v>
      </c>
      <c r="E7416">
        <v>121</v>
      </c>
      <c r="F7416">
        <v>67</v>
      </c>
      <c r="G7416">
        <v>36</v>
      </c>
      <c r="H7416">
        <v>86</v>
      </c>
      <c r="I7416">
        <v>172</v>
      </c>
      <c r="J7416">
        <v>1</v>
      </c>
      <c r="K7416">
        <v>963</v>
      </c>
      <c r="L7416">
        <v>1081</v>
      </c>
      <c r="M7416">
        <v>1</v>
      </c>
      <c r="N7416">
        <v>1.1618800000000001E-18</v>
      </c>
      <c r="O7416">
        <v>222</v>
      </c>
    </row>
    <row r="7417" spans="1:15" x14ac:dyDescent="0.25">
      <c r="A7417" t="s">
        <v>7430</v>
      </c>
      <c r="B7417">
        <v>540</v>
      </c>
      <c r="C7417" s="1" t="str">
        <f>HYPERLINK("http://www.rosaceae.org/gb/gbrowse/malus_x_domestica/?name=MDP0000233283","MDP0000233283")</f>
        <v>MDP0000233283</v>
      </c>
      <c r="D7417">
        <v>44.57</v>
      </c>
      <c r="E7417">
        <v>525</v>
      </c>
      <c r="F7417">
        <v>291</v>
      </c>
      <c r="G7417">
        <v>89</v>
      </c>
      <c r="H7417">
        <v>12</v>
      </c>
      <c r="I7417">
        <v>498</v>
      </c>
      <c r="J7417">
        <v>1</v>
      </c>
      <c r="K7417">
        <v>7</v>
      </c>
      <c r="L7417">
        <v>480</v>
      </c>
      <c r="M7417">
        <v>1</v>
      </c>
      <c r="N7417">
        <v>9.2117600000000006E-95</v>
      </c>
      <c r="O7417">
        <v>884</v>
      </c>
    </row>
    <row r="7418" spans="1:15" x14ac:dyDescent="0.25">
      <c r="A7418" t="s">
        <v>7431</v>
      </c>
      <c r="B7418">
        <v>324</v>
      </c>
      <c r="C7418" s="1" t="str">
        <f>HYPERLINK("http://www.rosaceae.org/gb/gbrowse/malus_x_domestica/?name=MDP0000288828","MDP0000288828")</f>
        <v>MDP0000288828</v>
      </c>
      <c r="D7418">
        <v>70.08</v>
      </c>
      <c r="E7418">
        <v>244</v>
      </c>
      <c r="F7418">
        <v>73</v>
      </c>
      <c r="G7418">
        <v>9</v>
      </c>
      <c r="H7418">
        <v>90</v>
      </c>
      <c r="I7418">
        <v>324</v>
      </c>
      <c r="J7418">
        <v>1</v>
      </c>
      <c r="K7418">
        <v>113</v>
      </c>
      <c r="L7418">
        <v>356</v>
      </c>
      <c r="M7418">
        <v>1</v>
      </c>
      <c r="N7418">
        <v>2.2904900000000001E-87</v>
      </c>
      <c r="O7418">
        <v>818</v>
      </c>
    </row>
    <row r="7419" spans="1:15" x14ac:dyDescent="0.25">
      <c r="A7419" t="s">
        <v>7432</v>
      </c>
      <c r="B7419">
        <v>227</v>
      </c>
      <c r="C7419" s="1" t="str">
        <f>HYPERLINK("http://www.rosaceae.org/gb/gbrowse/malus_x_domestica/?name=MDP0000141581","MDP0000141581")</f>
        <v>MDP0000141581</v>
      </c>
      <c r="D7419">
        <v>82.17</v>
      </c>
      <c r="E7419">
        <v>202</v>
      </c>
      <c r="F7419">
        <v>36</v>
      </c>
      <c r="G7419">
        <v>0</v>
      </c>
      <c r="H7419">
        <v>26</v>
      </c>
      <c r="I7419">
        <v>227</v>
      </c>
      <c r="J7419">
        <v>1</v>
      </c>
      <c r="K7419">
        <v>216</v>
      </c>
      <c r="L7419">
        <v>417</v>
      </c>
      <c r="M7419">
        <v>1</v>
      </c>
      <c r="N7419">
        <v>1.38387E-96</v>
      </c>
      <c r="O7419">
        <v>895</v>
      </c>
    </row>
    <row r="7420" spans="1:15" x14ac:dyDescent="0.25">
      <c r="A7420" t="s">
        <v>7433</v>
      </c>
      <c r="B7420">
        <v>325</v>
      </c>
      <c r="C7420" s="1" t="str">
        <f>HYPERLINK("http://www.rosaceae.org/gb/gbrowse/malus_x_domestica/?name=MDP0000765280","MDP0000765280")</f>
        <v>MDP0000765280</v>
      </c>
      <c r="D7420">
        <v>65.400000000000006</v>
      </c>
      <c r="E7420">
        <v>318</v>
      </c>
      <c r="F7420">
        <v>110</v>
      </c>
      <c r="G7420">
        <v>2</v>
      </c>
      <c r="H7420">
        <v>1</v>
      </c>
      <c r="I7420">
        <v>316</v>
      </c>
      <c r="J7420">
        <v>1</v>
      </c>
      <c r="K7420">
        <v>1</v>
      </c>
      <c r="L7420">
        <v>318</v>
      </c>
      <c r="M7420">
        <v>1</v>
      </c>
      <c r="N7420">
        <v>4.4425800000000003E-120</v>
      </c>
      <c r="O7420">
        <v>1100</v>
      </c>
    </row>
    <row r="7421" spans="1:15" x14ac:dyDescent="0.25">
      <c r="A7421" t="s">
        <v>7434</v>
      </c>
      <c r="B7421">
        <v>546</v>
      </c>
      <c r="C7421" s="1" t="str">
        <f>HYPERLINK("http://www.rosaceae.org/gb/gbrowse/malus_x_domestica/?name=MDP0000237114","MDP0000237114")</f>
        <v>MDP0000237114</v>
      </c>
      <c r="D7421">
        <v>70.87</v>
      </c>
      <c r="E7421">
        <v>491</v>
      </c>
      <c r="F7421">
        <v>143</v>
      </c>
      <c r="G7421">
        <v>26</v>
      </c>
      <c r="H7421">
        <v>81</v>
      </c>
      <c r="I7421">
        <v>546</v>
      </c>
      <c r="J7421">
        <v>1</v>
      </c>
      <c r="K7421">
        <v>40</v>
      </c>
      <c r="L7421">
        <v>529</v>
      </c>
      <c r="M7421">
        <v>1</v>
      </c>
      <c r="N7421">
        <v>0</v>
      </c>
      <c r="O7421">
        <v>1750</v>
      </c>
    </row>
    <row r="7422" spans="1:15" x14ac:dyDescent="0.25">
      <c r="A7422" t="s">
        <v>7435</v>
      </c>
      <c r="B7422">
        <v>198</v>
      </c>
      <c r="C7422" s="1" t="str">
        <f>HYPERLINK("http://www.rosaceae.org/gb/gbrowse/malus_x_domestica/?name=MDP0000127031","MDP0000127031")</f>
        <v>MDP0000127031</v>
      </c>
      <c r="D7422">
        <v>99.43</v>
      </c>
      <c r="E7422">
        <v>176</v>
      </c>
      <c r="F7422">
        <v>1</v>
      </c>
      <c r="G7422">
        <v>0</v>
      </c>
      <c r="H7422">
        <v>1</v>
      </c>
      <c r="I7422">
        <v>176</v>
      </c>
      <c r="J7422">
        <v>1</v>
      </c>
      <c r="K7422">
        <v>1</v>
      </c>
      <c r="L7422">
        <v>176</v>
      </c>
      <c r="M7422">
        <v>1</v>
      </c>
      <c r="N7422">
        <v>7.9848400000000002E-101</v>
      </c>
      <c r="O7422">
        <v>931</v>
      </c>
    </row>
    <row r="7423" spans="1:15" x14ac:dyDescent="0.25">
      <c r="A7423" t="s">
        <v>7436</v>
      </c>
      <c r="B7423">
        <v>420</v>
      </c>
      <c r="C7423" s="1" t="str">
        <f>HYPERLINK("http://www.rosaceae.org/gb/gbrowse/malus_x_domestica/?name=MDP0000868578","MDP0000868578")</f>
        <v>MDP0000868578</v>
      </c>
      <c r="D7423">
        <v>55.66</v>
      </c>
      <c r="E7423">
        <v>309</v>
      </c>
      <c r="F7423">
        <v>137</v>
      </c>
      <c r="G7423">
        <v>43</v>
      </c>
      <c r="H7423">
        <v>18</v>
      </c>
      <c r="I7423">
        <v>288</v>
      </c>
      <c r="J7423">
        <v>1</v>
      </c>
      <c r="K7423">
        <v>13</v>
      </c>
      <c r="L7423">
        <v>316</v>
      </c>
      <c r="M7423">
        <v>1</v>
      </c>
      <c r="N7423">
        <v>1.0804899999999999E-81</v>
      </c>
      <c r="O7423">
        <v>770</v>
      </c>
    </row>
    <row r="7424" spans="1:15" x14ac:dyDescent="0.25">
      <c r="A7424" t="s">
        <v>7437</v>
      </c>
      <c r="B7424">
        <v>469</v>
      </c>
      <c r="C7424" s="1" t="str">
        <f>HYPERLINK("http://www.rosaceae.org/gb/gbrowse/malus_x_domestica/?name=MDP0000012541","MDP0000012541")</f>
        <v>MDP0000012541</v>
      </c>
      <c r="D7424">
        <v>63.46</v>
      </c>
      <c r="E7424">
        <v>468</v>
      </c>
      <c r="F7424">
        <v>171</v>
      </c>
      <c r="G7424">
        <v>18</v>
      </c>
      <c r="H7424">
        <v>1</v>
      </c>
      <c r="I7424">
        <v>462</v>
      </c>
      <c r="J7424">
        <v>1</v>
      </c>
      <c r="K7424">
        <v>17</v>
      </c>
      <c r="L7424">
        <v>472</v>
      </c>
      <c r="M7424">
        <v>1</v>
      </c>
      <c r="N7424">
        <v>1.2181E-174</v>
      </c>
      <c r="O7424">
        <v>1572</v>
      </c>
    </row>
    <row r="7425" spans="1:15" x14ac:dyDescent="0.25">
      <c r="A7425" t="s">
        <v>7438</v>
      </c>
      <c r="B7425">
        <v>1022</v>
      </c>
      <c r="C7425" s="1" t="str">
        <f>HYPERLINK("http://www.rosaceae.org/gb/gbrowse/malus_x_domestica/?name=MDP0000291654","MDP0000291654")</f>
        <v>MDP0000291654</v>
      </c>
      <c r="D7425">
        <v>92.53</v>
      </c>
      <c r="E7425">
        <v>965</v>
      </c>
      <c r="F7425">
        <v>72</v>
      </c>
      <c r="G7425">
        <v>0</v>
      </c>
      <c r="H7425">
        <v>58</v>
      </c>
      <c r="I7425">
        <v>1022</v>
      </c>
      <c r="J7425">
        <v>1</v>
      </c>
      <c r="K7425">
        <v>1</v>
      </c>
      <c r="L7425">
        <v>965</v>
      </c>
      <c r="M7425">
        <v>1</v>
      </c>
      <c r="N7425">
        <v>0</v>
      </c>
      <c r="O7425">
        <v>4811</v>
      </c>
    </row>
    <row r="7426" spans="1:15" x14ac:dyDescent="0.25">
      <c r="A7426" t="s">
        <v>7439</v>
      </c>
      <c r="B7426">
        <v>330</v>
      </c>
      <c r="C7426" s="1" t="str">
        <f>HYPERLINK("http://www.rosaceae.org/gb/gbrowse/malus_x_domestica/?name=MDP0000324878","MDP0000324878")</f>
        <v>MDP0000324878</v>
      </c>
      <c r="D7426">
        <v>49.35</v>
      </c>
      <c r="E7426">
        <v>233</v>
      </c>
      <c r="F7426">
        <v>118</v>
      </c>
      <c r="G7426">
        <v>50</v>
      </c>
      <c r="H7426">
        <v>148</v>
      </c>
      <c r="I7426">
        <v>330</v>
      </c>
      <c r="J7426">
        <v>1</v>
      </c>
      <c r="K7426">
        <v>1</v>
      </c>
      <c r="L7426">
        <v>233</v>
      </c>
      <c r="M7426">
        <v>1</v>
      </c>
      <c r="N7426">
        <v>6.0550999999999998E-50</v>
      </c>
      <c r="O7426">
        <v>495</v>
      </c>
    </row>
    <row r="7427" spans="1:15" x14ac:dyDescent="0.25">
      <c r="A7427" t="s">
        <v>7440</v>
      </c>
      <c r="B7427">
        <v>479</v>
      </c>
      <c r="C7427" s="1" t="str">
        <f>HYPERLINK("http://www.rosaceae.org/gb/gbrowse/malus_x_domestica/?name=MDP0000253703","MDP0000253703")</f>
        <v>MDP0000253703</v>
      </c>
      <c r="D7427">
        <v>68.11</v>
      </c>
      <c r="E7427">
        <v>530</v>
      </c>
      <c r="F7427">
        <v>169</v>
      </c>
      <c r="G7427">
        <v>65</v>
      </c>
      <c r="H7427">
        <v>1</v>
      </c>
      <c r="I7427">
        <v>475</v>
      </c>
      <c r="J7427">
        <v>1</v>
      </c>
      <c r="K7427">
        <v>1</v>
      </c>
      <c r="L7427">
        <v>520</v>
      </c>
      <c r="M7427">
        <v>1</v>
      </c>
      <c r="N7427">
        <v>0</v>
      </c>
      <c r="O7427">
        <v>1755</v>
      </c>
    </row>
    <row r="7428" spans="1:15" x14ac:dyDescent="0.25">
      <c r="A7428" t="s">
        <v>7441</v>
      </c>
      <c r="B7428">
        <v>326</v>
      </c>
      <c r="C7428" s="1" t="str">
        <f>HYPERLINK("http://www.rosaceae.org/gb/gbrowse/malus_x_domestica/?name=MDP0000802295","MDP0000802295")</f>
        <v>MDP0000802295</v>
      </c>
      <c r="D7428">
        <v>78.61</v>
      </c>
      <c r="E7428">
        <v>304</v>
      </c>
      <c r="F7428">
        <v>65</v>
      </c>
      <c r="G7428">
        <v>0</v>
      </c>
      <c r="H7428">
        <v>23</v>
      </c>
      <c r="I7428">
        <v>326</v>
      </c>
      <c r="J7428">
        <v>1</v>
      </c>
      <c r="K7428">
        <v>27</v>
      </c>
      <c r="L7428">
        <v>330</v>
      </c>
      <c r="M7428">
        <v>1</v>
      </c>
      <c r="N7428">
        <v>2.06101E-137</v>
      </c>
      <c r="O7428">
        <v>1249</v>
      </c>
    </row>
    <row r="7429" spans="1:15" x14ac:dyDescent="0.25">
      <c r="A7429" t="s">
        <v>7442</v>
      </c>
      <c r="B7429">
        <v>311</v>
      </c>
      <c r="C7429" s="1" t="str">
        <f>HYPERLINK("http://www.rosaceae.org/gb/gbrowse/malus_x_domestica/?name=MDP0000184566","MDP0000184566")</f>
        <v>MDP0000184566</v>
      </c>
      <c r="D7429">
        <v>81.99</v>
      </c>
      <c r="E7429">
        <v>311</v>
      </c>
      <c r="F7429">
        <v>56</v>
      </c>
      <c r="G7429">
        <v>0</v>
      </c>
      <c r="H7429">
        <v>1</v>
      </c>
      <c r="I7429">
        <v>311</v>
      </c>
      <c r="J7429">
        <v>1</v>
      </c>
      <c r="K7429">
        <v>95</v>
      </c>
      <c r="L7429">
        <v>405</v>
      </c>
      <c r="M7429">
        <v>1</v>
      </c>
      <c r="N7429">
        <v>8.9617600000000003E-151</v>
      </c>
      <c r="O7429">
        <v>1364</v>
      </c>
    </row>
    <row r="7430" spans="1:15" x14ac:dyDescent="0.25">
      <c r="A7430" t="s">
        <v>7443</v>
      </c>
      <c r="B7430">
        <v>388</v>
      </c>
      <c r="C7430" s="1" t="str">
        <f>HYPERLINK("http://www.rosaceae.org/gb/gbrowse/malus_x_domestica/?name=MDP0000313624","MDP0000313624")</f>
        <v>MDP0000313624</v>
      </c>
      <c r="D7430">
        <v>80.510000000000005</v>
      </c>
      <c r="E7430">
        <v>385</v>
      </c>
      <c r="F7430">
        <v>75</v>
      </c>
      <c r="G7430">
        <v>30</v>
      </c>
      <c r="H7430">
        <v>5</v>
      </c>
      <c r="I7430">
        <v>387</v>
      </c>
      <c r="J7430">
        <v>1</v>
      </c>
      <c r="K7430">
        <v>299</v>
      </c>
      <c r="L7430">
        <v>655</v>
      </c>
      <c r="M7430">
        <v>1</v>
      </c>
      <c r="N7430">
        <v>4.30551E-176</v>
      </c>
      <c r="O7430">
        <v>1584</v>
      </c>
    </row>
    <row r="7431" spans="1:15" x14ac:dyDescent="0.25">
      <c r="A7431" t="s">
        <v>7444</v>
      </c>
      <c r="B7431">
        <v>389</v>
      </c>
      <c r="C7431" s="1" t="str">
        <f>HYPERLINK("http://www.rosaceae.org/gb/gbrowse/malus_x_domestica/?name=MDP0000933677","MDP0000933677")</f>
        <v>MDP0000933677</v>
      </c>
      <c r="D7431">
        <v>67.8</v>
      </c>
      <c r="E7431">
        <v>410</v>
      </c>
      <c r="F7431">
        <v>132</v>
      </c>
      <c r="G7431">
        <v>25</v>
      </c>
      <c r="H7431">
        <v>1</v>
      </c>
      <c r="I7431">
        <v>389</v>
      </c>
      <c r="J7431">
        <v>1</v>
      </c>
      <c r="K7431">
        <v>5</v>
      </c>
      <c r="L7431">
        <v>410</v>
      </c>
      <c r="M7431">
        <v>1</v>
      </c>
      <c r="N7431">
        <v>1.7705399999999999E-145</v>
      </c>
      <c r="O7431">
        <v>1320</v>
      </c>
    </row>
    <row r="7432" spans="1:15" x14ac:dyDescent="0.25">
      <c r="A7432" t="s">
        <v>7445</v>
      </c>
      <c r="B7432">
        <v>363</v>
      </c>
      <c r="C7432" s="1" t="str">
        <f>HYPERLINK("http://www.rosaceae.org/gb/gbrowse/malus_x_domestica/?name=MDP0000284454","MDP0000284454")</f>
        <v>MDP0000284454</v>
      </c>
      <c r="D7432">
        <v>73.87</v>
      </c>
      <c r="E7432">
        <v>222</v>
      </c>
      <c r="F7432">
        <v>58</v>
      </c>
      <c r="G7432">
        <v>5</v>
      </c>
      <c r="H7432">
        <v>22</v>
      </c>
      <c r="I7432">
        <v>239</v>
      </c>
      <c r="J7432">
        <v>1</v>
      </c>
      <c r="K7432">
        <v>15</v>
      </c>
      <c r="L7432">
        <v>235</v>
      </c>
      <c r="M7432">
        <v>1</v>
      </c>
      <c r="N7432">
        <v>4.9619700000000004E-87</v>
      </c>
      <c r="O7432">
        <v>815</v>
      </c>
    </row>
    <row r="7433" spans="1:15" x14ac:dyDescent="0.25">
      <c r="A7433" t="s">
        <v>7446</v>
      </c>
      <c r="B7433">
        <v>1070</v>
      </c>
      <c r="C7433" s="1" t="str">
        <f>HYPERLINK("http://www.rosaceae.org/gb/gbrowse/malus_x_domestica/?name=MDP0000232524","MDP0000232524")</f>
        <v>MDP0000232524</v>
      </c>
      <c r="D7433">
        <v>74.58</v>
      </c>
      <c r="E7433">
        <v>1019</v>
      </c>
      <c r="F7433">
        <v>259</v>
      </c>
      <c r="G7433">
        <v>33</v>
      </c>
      <c r="H7433">
        <v>70</v>
      </c>
      <c r="I7433">
        <v>1069</v>
      </c>
      <c r="J7433">
        <v>1</v>
      </c>
      <c r="K7433">
        <v>1</v>
      </c>
      <c r="L7433">
        <v>1005</v>
      </c>
      <c r="M7433">
        <v>1</v>
      </c>
      <c r="N7433">
        <v>0</v>
      </c>
      <c r="O7433">
        <v>3928</v>
      </c>
    </row>
    <row r="7434" spans="1:15" x14ac:dyDescent="0.25">
      <c r="A7434" t="s">
        <v>7447</v>
      </c>
      <c r="B7434">
        <v>1077</v>
      </c>
      <c r="C7434" s="1" t="str">
        <f>HYPERLINK("http://www.rosaceae.org/gb/gbrowse/malus_x_domestica/?name=MDP0000136726","MDP0000136726")</f>
        <v>MDP0000136726</v>
      </c>
      <c r="D7434">
        <v>59.49</v>
      </c>
      <c r="E7434">
        <v>158</v>
      </c>
      <c r="F7434">
        <v>64</v>
      </c>
      <c r="G7434">
        <v>1</v>
      </c>
      <c r="H7434">
        <v>16</v>
      </c>
      <c r="I7434">
        <v>172</v>
      </c>
      <c r="J7434">
        <v>1</v>
      </c>
      <c r="K7434">
        <v>21</v>
      </c>
      <c r="L7434">
        <v>178</v>
      </c>
      <c r="M7434">
        <v>1</v>
      </c>
      <c r="N7434">
        <v>1.22149E-51</v>
      </c>
      <c r="O7434">
        <v>515</v>
      </c>
    </row>
    <row r="7435" spans="1:15" x14ac:dyDescent="0.25">
      <c r="A7435" t="s">
        <v>7448</v>
      </c>
      <c r="B7435">
        <v>383</v>
      </c>
      <c r="C7435" s="1" t="str">
        <f>HYPERLINK("http://www.rosaceae.org/gb/gbrowse/malus_x_domestica/?name=MDP0000788934","MDP0000788934")</f>
        <v>MDP0000788934</v>
      </c>
      <c r="D7435">
        <v>77.459999999999994</v>
      </c>
      <c r="E7435">
        <v>355</v>
      </c>
      <c r="F7435">
        <v>80</v>
      </c>
      <c r="G7435">
        <v>0</v>
      </c>
      <c r="H7435">
        <v>1</v>
      </c>
      <c r="I7435">
        <v>355</v>
      </c>
      <c r="J7435">
        <v>1</v>
      </c>
      <c r="K7435">
        <v>1</v>
      </c>
      <c r="L7435">
        <v>355</v>
      </c>
      <c r="M7435">
        <v>1</v>
      </c>
      <c r="N7435">
        <v>7.8040500000000005E-164</v>
      </c>
      <c r="O7435">
        <v>1478</v>
      </c>
    </row>
    <row r="7436" spans="1:15" x14ac:dyDescent="0.25">
      <c r="A7436" t="s">
        <v>7449</v>
      </c>
      <c r="B7436">
        <v>90</v>
      </c>
      <c r="C7436" s="1" t="str">
        <f>HYPERLINK("http://www.rosaceae.org/gb/gbrowse/malus_x_domestica/?name=MDP0000185635","MDP0000185635")</f>
        <v>MDP0000185635</v>
      </c>
      <c r="D7436">
        <v>90.56</v>
      </c>
      <c r="E7436">
        <v>53</v>
      </c>
      <c r="F7436">
        <v>5</v>
      </c>
      <c r="G7436">
        <v>0</v>
      </c>
      <c r="H7436">
        <v>1</v>
      </c>
      <c r="I7436">
        <v>53</v>
      </c>
      <c r="J7436">
        <v>1</v>
      </c>
      <c r="K7436">
        <v>490</v>
      </c>
      <c r="L7436">
        <v>542</v>
      </c>
      <c r="M7436">
        <v>1</v>
      </c>
      <c r="N7436">
        <v>9.5846800000000004E-25</v>
      </c>
      <c r="O7436">
        <v>271</v>
      </c>
    </row>
    <row r="7437" spans="1:15" x14ac:dyDescent="0.25">
      <c r="A7437" t="s">
        <v>7450</v>
      </c>
      <c r="B7437">
        <v>420</v>
      </c>
      <c r="C7437" s="1" t="str">
        <f>HYPERLINK("http://www.rosaceae.org/gb/gbrowse/malus_x_domestica/?name=MDP0000324427","MDP0000324427")</f>
        <v>MDP0000324427</v>
      </c>
      <c r="D7437">
        <v>74.16</v>
      </c>
      <c r="E7437">
        <v>391</v>
      </c>
      <c r="F7437">
        <v>101</v>
      </c>
      <c r="G7437">
        <v>3</v>
      </c>
      <c r="H7437">
        <v>22</v>
      </c>
      <c r="I7437">
        <v>412</v>
      </c>
      <c r="J7437">
        <v>1</v>
      </c>
      <c r="K7437">
        <v>22</v>
      </c>
      <c r="L7437">
        <v>409</v>
      </c>
      <c r="M7437">
        <v>1</v>
      </c>
      <c r="N7437">
        <v>1.7929799999999999E-176</v>
      </c>
      <c r="O7437">
        <v>1588</v>
      </c>
    </row>
    <row r="7438" spans="1:15" x14ac:dyDescent="0.25">
      <c r="A7438" t="s">
        <v>7451</v>
      </c>
      <c r="B7438">
        <v>63</v>
      </c>
      <c r="C7438" s="1" t="str">
        <f>HYPERLINK("http://www.rosaceae.org/gb/gbrowse/malus_x_domestica/?name=MDP0000249947","MDP0000249947")</f>
        <v>MDP0000249947</v>
      </c>
      <c r="D7438">
        <v>56.25</v>
      </c>
      <c r="E7438">
        <v>48</v>
      </c>
      <c r="F7438">
        <v>21</v>
      </c>
      <c r="G7438">
        <v>0</v>
      </c>
      <c r="H7438">
        <v>11</v>
      </c>
      <c r="I7438">
        <v>58</v>
      </c>
      <c r="J7438">
        <v>1</v>
      </c>
      <c r="K7438">
        <v>29</v>
      </c>
      <c r="L7438">
        <v>76</v>
      </c>
      <c r="M7438">
        <v>1</v>
      </c>
      <c r="N7438">
        <v>3.2535900000000001E-9</v>
      </c>
      <c r="O7438">
        <v>137</v>
      </c>
    </row>
    <row r="7439" spans="1:15" x14ac:dyDescent="0.25">
      <c r="A7439" t="s">
        <v>7452</v>
      </c>
      <c r="B7439">
        <v>485</v>
      </c>
      <c r="C7439" s="1" t="str">
        <f>HYPERLINK("http://www.rosaceae.org/gb/gbrowse/malus_x_domestica/?name=MDP0000469141","MDP0000469141")</f>
        <v>MDP0000469141</v>
      </c>
      <c r="D7439">
        <v>71.92</v>
      </c>
      <c r="E7439">
        <v>57</v>
      </c>
      <c r="F7439">
        <v>16</v>
      </c>
      <c r="G7439">
        <v>0</v>
      </c>
      <c r="H7439">
        <v>71</v>
      </c>
      <c r="I7439">
        <v>127</v>
      </c>
      <c r="J7439">
        <v>1</v>
      </c>
      <c r="K7439">
        <v>680</v>
      </c>
      <c r="L7439">
        <v>736</v>
      </c>
      <c r="M7439">
        <v>1</v>
      </c>
      <c r="N7439">
        <v>2.0040899999999999E-16</v>
      </c>
      <c r="O7439">
        <v>208</v>
      </c>
    </row>
    <row r="7440" spans="1:15" x14ac:dyDescent="0.25">
      <c r="A7440" t="s">
        <v>7453</v>
      </c>
      <c r="B7440">
        <v>678</v>
      </c>
      <c r="C7440" s="1" t="str">
        <f>HYPERLINK("http://www.rosaceae.org/gb/gbrowse/malus_x_domestica/?name=MDP0000324144","MDP0000324144")</f>
        <v>MDP0000324144</v>
      </c>
      <c r="D7440">
        <v>63.85</v>
      </c>
      <c r="E7440">
        <v>332</v>
      </c>
      <c r="F7440">
        <v>120</v>
      </c>
      <c r="G7440">
        <v>66</v>
      </c>
      <c r="H7440">
        <v>390</v>
      </c>
      <c r="I7440">
        <v>655</v>
      </c>
      <c r="J7440">
        <v>1</v>
      </c>
      <c r="K7440">
        <v>117</v>
      </c>
      <c r="L7440">
        <v>448</v>
      </c>
      <c r="M7440">
        <v>1</v>
      </c>
      <c r="N7440">
        <v>2.5624399999999998E-102</v>
      </c>
      <c r="O7440">
        <v>950</v>
      </c>
    </row>
    <row r="7441" spans="1:15" x14ac:dyDescent="0.25">
      <c r="A7441" t="s">
        <v>7454</v>
      </c>
      <c r="B7441">
        <v>557</v>
      </c>
      <c r="C7441" s="1" t="str">
        <f>HYPERLINK("http://www.rosaceae.org/gb/gbrowse/malus_x_domestica/?name=MDP0000185641","MDP0000185641")</f>
        <v>MDP0000185641</v>
      </c>
      <c r="D7441">
        <v>55.78</v>
      </c>
      <c r="E7441">
        <v>579</v>
      </c>
      <c r="F7441">
        <v>256</v>
      </c>
      <c r="G7441">
        <v>53</v>
      </c>
      <c r="H7441">
        <v>1</v>
      </c>
      <c r="I7441">
        <v>554</v>
      </c>
      <c r="J7441">
        <v>1</v>
      </c>
      <c r="K7441">
        <v>1</v>
      </c>
      <c r="L7441">
        <v>551</v>
      </c>
      <c r="M7441">
        <v>1</v>
      </c>
      <c r="N7441">
        <v>1.6414700000000001E-142</v>
      </c>
      <c r="O7441">
        <v>1296</v>
      </c>
    </row>
    <row r="7442" spans="1:15" x14ac:dyDescent="0.25">
      <c r="A7442" t="s">
        <v>7455</v>
      </c>
      <c r="B7442">
        <v>365</v>
      </c>
      <c r="C7442" s="1" t="str">
        <f>HYPERLINK("http://www.rosaceae.org/gb/gbrowse/malus_x_domestica/?name=MDP0000261830","MDP0000261830")</f>
        <v>MDP0000261830</v>
      </c>
      <c r="D7442">
        <v>73.91</v>
      </c>
      <c r="E7442">
        <v>345</v>
      </c>
      <c r="F7442">
        <v>90</v>
      </c>
      <c r="G7442">
        <v>8</v>
      </c>
      <c r="H7442">
        <v>1</v>
      </c>
      <c r="I7442">
        <v>341</v>
      </c>
      <c r="J7442">
        <v>1</v>
      </c>
      <c r="K7442">
        <v>330</v>
      </c>
      <c r="L7442">
        <v>670</v>
      </c>
      <c r="M7442">
        <v>1</v>
      </c>
      <c r="N7442">
        <v>1.21252E-139</v>
      </c>
      <c r="O7442">
        <v>1269</v>
      </c>
    </row>
    <row r="7443" spans="1:15" x14ac:dyDescent="0.25">
      <c r="A7443" t="s">
        <v>7456</v>
      </c>
      <c r="B7443">
        <v>897</v>
      </c>
      <c r="C7443" s="1" t="str">
        <f>HYPERLINK("http://www.rosaceae.org/gb/gbrowse/malus_x_domestica/?name=MDP0000770205","MDP0000770205")</f>
        <v>MDP0000770205</v>
      </c>
      <c r="D7443">
        <v>29.93</v>
      </c>
      <c r="E7443">
        <v>648</v>
      </c>
      <c r="F7443">
        <v>454</v>
      </c>
      <c r="G7443">
        <v>84</v>
      </c>
      <c r="H7443">
        <v>37</v>
      </c>
      <c r="I7443">
        <v>655</v>
      </c>
      <c r="J7443">
        <v>1</v>
      </c>
      <c r="K7443">
        <v>249</v>
      </c>
      <c r="L7443">
        <v>841</v>
      </c>
      <c r="M7443">
        <v>1</v>
      </c>
      <c r="N7443">
        <v>7.6539799999999999E-65</v>
      </c>
      <c r="O7443">
        <v>628</v>
      </c>
    </row>
    <row r="7444" spans="1:15" x14ac:dyDescent="0.25">
      <c r="A7444" t="s">
        <v>7457</v>
      </c>
      <c r="B7444">
        <v>371</v>
      </c>
      <c r="C7444" s="1" t="str">
        <f>HYPERLINK("http://www.rosaceae.org/gb/gbrowse/malus_x_domestica/?name=MDP0000946984","MDP0000946984")</f>
        <v>MDP0000946984</v>
      </c>
      <c r="D7444">
        <v>32.47</v>
      </c>
      <c r="E7444">
        <v>348</v>
      </c>
      <c r="F7444">
        <v>235</v>
      </c>
      <c r="G7444">
        <v>56</v>
      </c>
      <c r="H7444">
        <v>8</v>
      </c>
      <c r="I7444">
        <v>340</v>
      </c>
      <c r="J7444">
        <v>1</v>
      </c>
      <c r="K7444">
        <v>26</v>
      </c>
      <c r="L7444">
        <v>332</v>
      </c>
      <c r="M7444">
        <v>1</v>
      </c>
      <c r="N7444">
        <v>1.8482500000000001E-30</v>
      </c>
      <c r="O7444">
        <v>328</v>
      </c>
    </row>
    <row r="7445" spans="1:15" x14ac:dyDescent="0.25">
      <c r="A7445" t="s">
        <v>7458</v>
      </c>
      <c r="B7445">
        <v>1180</v>
      </c>
      <c r="C7445" s="1" t="str">
        <f>HYPERLINK("http://www.rosaceae.org/gb/gbrowse/malus_x_domestica/?name=MDP0000493661","MDP0000493661")</f>
        <v>MDP0000493661</v>
      </c>
      <c r="D7445">
        <v>46.2</v>
      </c>
      <c r="E7445">
        <v>974</v>
      </c>
      <c r="F7445">
        <v>524</v>
      </c>
      <c r="G7445">
        <v>72</v>
      </c>
      <c r="H7445">
        <v>1</v>
      </c>
      <c r="I7445">
        <v>957</v>
      </c>
      <c r="J7445">
        <v>1</v>
      </c>
      <c r="K7445">
        <v>1</v>
      </c>
      <c r="L7445">
        <v>919</v>
      </c>
      <c r="M7445">
        <v>1</v>
      </c>
      <c r="N7445">
        <v>0</v>
      </c>
      <c r="O7445">
        <v>1927</v>
      </c>
    </row>
    <row r="7446" spans="1:15" x14ac:dyDescent="0.25">
      <c r="A7446" t="s">
        <v>7459</v>
      </c>
      <c r="B7446">
        <v>360</v>
      </c>
      <c r="C7446" s="1" t="str">
        <f>HYPERLINK("http://www.rosaceae.org/gb/gbrowse/malus_x_domestica/?name=MDP0000144744","MDP0000144744")</f>
        <v>MDP0000144744</v>
      </c>
      <c r="D7446">
        <v>58.31</v>
      </c>
      <c r="E7446">
        <v>379</v>
      </c>
      <c r="F7446">
        <v>158</v>
      </c>
      <c r="G7446">
        <v>56</v>
      </c>
      <c r="H7446">
        <v>1</v>
      </c>
      <c r="I7446">
        <v>360</v>
      </c>
      <c r="J7446">
        <v>1</v>
      </c>
      <c r="K7446">
        <v>1</v>
      </c>
      <c r="L7446">
        <v>342</v>
      </c>
      <c r="M7446">
        <v>1</v>
      </c>
      <c r="N7446">
        <v>1.9973400000000001E-106</v>
      </c>
      <c r="O7446">
        <v>983</v>
      </c>
    </row>
    <row r="7447" spans="1:15" x14ac:dyDescent="0.25">
      <c r="A7447" t="s">
        <v>7460</v>
      </c>
      <c r="B7447">
        <v>342</v>
      </c>
      <c r="C7447" s="1" t="str">
        <f>HYPERLINK("http://www.rosaceae.org/gb/gbrowse/malus_x_domestica/?name=MDP0000182084","MDP0000182084")</f>
        <v>MDP0000182084</v>
      </c>
      <c r="D7447">
        <v>88.59</v>
      </c>
      <c r="E7447">
        <v>342</v>
      </c>
      <c r="F7447">
        <v>39</v>
      </c>
      <c r="G7447">
        <v>0</v>
      </c>
      <c r="H7447">
        <v>1</v>
      </c>
      <c r="I7447">
        <v>342</v>
      </c>
      <c r="J7447">
        <v>1</v>
      </c>
      <c r="K7447">
        <v>1</v>
      </c>
      <c r="L7447">
        <v>342</v>
      </c>
      <c r="M7447">
        <v>1</v>
      </c>
      <c r="N7447">
        <v>0</v>
      </c>
      <c r="O7447">
        <v>1648</v>
      </c>
    </row>
    <row r="7448" spans="1:15" x14ac:dyDescent="0.25">
      <c r="A7448" t="s">
        <v>7461</v>
      </c>
      <c r="B7448">
        <v>762</v>
      </c>
      <c r="C7448" s="1" t="str">
        <f>HYPERLINK("http://www.rosaceae.org/gb/gbrowse/malus_x_domestica/?name=MDP0000221400","MDP0000221400")</f>
        <v>MDP0000221400</v>
      </c>
      <c r="D7448">
        <v>66.209999999999994</v>
      </c>
      <c r="E7448">
        <v>811</v>
      </c>
      <c r="F7448">
        <v>274</v>
      </c>
      <c r="G7448">
        <v>53</v>
      </c>
      <c r="H7448">
        <v>1</v>
      </c>
      <c r="I7448">
        <v>761</v>
      </c>
      <c r="J7448">
        <v>1</v>
      </c>
      <c r="K7448">
        <v>1</v>
      </c>
      <c r="L7448">
        <v>808</v>
      </c>
      <c r="M7448">
        <v>1</v>
      </c>
      <c r="N7448">
        <v>0</v>
      </c>
      <c r="O7448">
        <v>2692</v>
      </c>
    </row>
    <row r="7449" spans="1:15" x14ac:dyDescent="0.25">
      <c r="A7449" t="s">
        <v>7462</v>
      </c>
      <c r="B7449">
        <v>288</v>
      </c>
      <c r="C7449" s="1" t="str">
        <f>HYPERLINK("http://www.rosaceae.org/gb/gbrowse/malus_x_domestica/?name=MDP0000262990","MDP0000262990")</f>
        <v>MDP0000262990</v>
      </c>
      <c r="D7449">
        <v>70.39</v>
      </c>
      <c r="E7449">
        <v>277</v>
      </c>
      <c r="F7449">
        <v>82</v>
      </c>
      <c r="G7449">
        <v>4</v>
      </c>
      <c r="H7449">
        <v>1</v>
      </c>
      <c r="I7449">
        <v>273</v>
      </c>
      <c r="J7449">
        <v>1</v>
      </c>
      <c r="K7449">
        <v>1</v>
      </c>
      <c r="L7449">
        <v>277</v>
      </c>
      <c r="M7449">
        <v>1</v>
      </c>
      <c r="N7449">
        <v>5.8771400000000003E-111</v>
      </c>
      <c r="O7449">
        <v>1021</v>
      </c>
    </row>
    <row r="7450" spans="1:15" x14ac:dyDescent="0.25">
      <c r="A7450" t="s">
        <v>7463</v>
      </c>
      <c r="B7450">
        <v>2127</v>
      </c>
      <c r="C7450" s="1" t="str">
        <f>HYPERLINK("http://www.rosaceae.org/gb/gbrowse/malus_x_domestica/?name=MDP0000268085","MDP0000268085")</f>
        <v>MDP0000268085</v>
      </c>
      <c r="D7450">
        <v>74.39</v>
      </c>
      <c r="E7450">
        <v>1562</v>
      </c>
      <c r="F7450">
        <v>400</v>
      </c>
      <c r="G7450">
        <v>117</v>
      </c>
      <c r="H7450">
        <v>1</v>
      </c>
      <c r="I7450">
        <v>1535</v>
      </c>
      <c r="J7450">
        <v>1</v>
      </c>
      <c r="K7450">
        <v>1</v>
      </c>
      <c r="L7450">
        <v>1472</v>
      </c>
      <c r="M7450">
        <v>1</v>
      </c>
      <c r="N7450">
        <v>0</v>
      </c>
      <c r="O7450">
        <v>6074</v>
      </c>
    </row>
    <row r="7451" spans="1:15" x14ac:dyDescent="0.25">
      <c r="A7451" t="s">
        <v>7464</v>
      </c>
      <c r="B7451">
        <v>356</v>
      </c>
      <c r="C7451" s="1" t="str">
        <f>HYPERLINK("http://www.rosaceae.org/gb/gbrowse/malus_x_domestica/?name=MDP0000616011","MDP0000616011")</f>
        <v>MDP0000616011</v>
      </c>
      <c r="D7451">
        <v>59.29</v>
      </c>
      <c r="E7451">
        <v>312</v>
      </c>
      <c r="F7451">
        <v>127</v>
      </c>
      <c r="G7451">
        <v>6</v>
      </c>
      <c r="H7451">
        <v>51</v>
      </c>
      <c r="I7451">
        <v>356</v>
      </c>
      <c r="J7451">
        <v>1</v>
      </c>
      <c r="K7451">
        <v>55</v>
      </c>
      <c r="L7451">
        <v>366</v>
      </c>
      <c r="M7451">
        <v>1</v>
      </c>
      <c r="N7451">
        <v>1.9893900000000001E-94</v>
      </c>
      <c r="O7451">
        <v>879</v>
      </c>
    </row>
    <row r="7452" spans="1:15" x14ac:dyDescent="0.25">
      <c r="A7452" t="s">
        <v>7465</v>
      </c>
      <c r="B7452">
        <v>169</v>
      </c>
      <c r="C7452" s="1" t="str">
        <f>HYPERLINK("http://www.rosaceae.org/gb/gbrowse/malus_x_domestica/?name=MDP0000234431","MDP0000234431")</f>
        <v>MDP0000234431</v>
      </c>
      <c r="D7452">
        <v>47.03</v>
      </c>
      <c r="E7452">
        <v>219</v>
      </c>
      <c r="F7452">
        <v>116</v>
      </c>
      <c r="G7452">
        <v>59</v>
      </c>
      <c r="H7452">
        <v>1</v>
      </c>
      <c r="I7452">
        <v>168</v>
      </c>
      <c r="J7452">
        <v>1</v>
      </c>
      <c r="K7452">
        <v>187</v>
      </c>
      <c r="L7452">
        <v>397</v>
      </c>
      <c r="M7452">
        <v>1</v>
      </c>
      <c r="N7452">
        <v>7.47102E-47</v>
      </c>
      <c r="O7452">
        <v>464</v>
      </c>
    </row>
    <row r="7453" spans="1:15" x14ac:dyDescent="0.25">
      <c r="A7453" t="s">
        <v>7466</v>
      </c>
      <c r="B7453">
        <v>550</v>
      </c>
      <c r="C7453" s="1" t="str">
        <f>HYPERLINK("http://www.rosaceae.org/gb/gbrowse/malus_x_domestica/?name=MDP0000243676","MDP0000243676")</f>
        <v>MDP0000243676</v>
      </c>
      <c r="D7453">
        <v>83.11</v>
      </c>
      <c r="E7453">
        <v>302</v>
      </c>
      <c r="F7453">
        <v>51</v>
      </c>
      <c r="G7453">
        <v>1</v>
      </c>
      <c r="H7453">
        <v>248</v>
      </c>
      <c r="I7453">
        <v>549</v>
      </c>
      <c r="J7453">
        <v>1</v>
      </c>
      <c r="K7453">
        <v>24</v>
      </c>
      <c r="L7453">
        <v>324</v>
      </c>
      <c r="M7453">
        <v>1</v>
      </c>
      <c r="N7453">
        <v>2.3045500000000001E-147</v>
      </c>
      <c r="O7453">
        <v>1338</v>
      </c>
    </row>
    <row r="7454" spans="1:15" x14ac:dyDescent="0.25">
      <c r="A7454" t="s">
        <v>7467</v>
      </c>
      <c r="B7454">
        <v>86</v>
      </c>
      <c r="C7454" s="1" t="str">
        <f>HYPERLINK("http://www.rosaceae.org/gb/gbrowse/malus_x_domestica/?name=MDP0000285600","MDP0000285600")</f>
        <v>MDP0000285600</v>
      </c>
      <c r="D7454">
        <v>62.96</v>
      </c>
      <c r="E7454">
        <v>54</v>
      </c>
      <c r="F7454">
        <v>20</v>
      </c>
      <c r="G7454">
        <v>1</v>
      </c>
      <c r="H7454">
        <v>33</v>
      </c>
      <c r="I7454">
        <v>86</v>
      </c>
      <c r="J7454">
        <v>1</v>
      </c>
      <c r="K7454">
        <v>408</v>
      </c>
      <c r="L7454">
        <v>460</v>
      </c>
      <c r="M7454">
        <v>1</v>
      </c>
      <c r="N7454">
        <v>1.4848799999999999E-13</v>
      </c>
      <c r="O7454">
        <v>174</v>
      </c>
    </row>
    <row r="7455" spans="1:15" x14ac:dyDescent="0.25">
      <c r="A7455" t="s">
        <v>7468</v>
      </c>
      <c r="B7455">
        <v>191</v>
      </c>
      <c r="C7455" s="1" t="str">
        <f>HYPERLINK("http://www.rosaceae.org/gb/gbrowse/malus_x_domestica/?name=MDP0000216956","MDP0000216956")</f>
        <v>MDP0000216956</v>
      </c>
      <c r="D7455">
        <v>29.82</v>
      </c>
      <c r="E7455">
        <v>228</v>
      </c>
      <c r="F7455">
        <v>160</v>
      </c>
      <c r="G7455">
        <v>58</v>
      </c>
      <c r="H7455">
        <v>9</v>
      </c>
      <c r="I7455">
        <v>189</v>
      </c>
      <c r="J7455">
        <v>1</v>
      </c>
      <c r="K7455">
        <v>7</v>
      </c>
      <c r="L7455">
        <v>223</v>
      </c>
      <c r="M7455">
        <v>1</v>
      </c>
      <c r="N7455">
        <v>3.7191800000000002E-11</v>
      </c>
      <c r="O7455">
        <v>157</v>
      </c>
    </row>
    <row r="7456" spans="1:15" x14ac:dyDescent="0.25">
      <c r="A7456" t="s">
        <v>7469</v>
      </c>
      <c r="B7456">
        <v>128</v>
      </c>
      <c r="C7456" s="1" t="str">
        <f>HYPERLINK("http://www.rosaceae.org/gb/gbrowse/malus_x_domestica/?name=MDP0000505840","MDP0000505840")</f>
        <v>MDP0000505840</v>
      </c>
      <c r="D7456">
        <v>57.25</v>
      </c>
      <c r="E7456">
        <v>131</v>
      </c>
      <c r="F7456">
        <v>56</v>
      </c>
      <c r="G7456">
        <v>8</v>
      </c>
      <c r="H7456">
        <v>1</v>
      </c>
      <c r="I7456">
        <v>124</v>
      </c>
      <c r="J7456">
        <v>1</v>
      </c>
      <c r="K7456">
        <v>34</v>
      </c>
      <c r="L7456">
        <v>163</v>
      </c>
      <c r="M7456">
        <v>1</v>
      </c>
      <c r="N7456">
        <v>6.07412E-33</v>
      </c>
      <c r="O7456">
        <v>342</v>
      </c>
    </row>
    <row r="7457" spans="1:15" x14ac:dyDescent="0.25">
      <c r="A7457" t="s">
        <v>7470</v>
      </c>
      <c r="B7457">
        <v>228</v>
      </c>
      <c r="C7457" s="1" t="str">
        <f>HYPERLINK("http://www.rosaceae.org/gb/gbrowse/malus_x_domestica/?name=MDP0000931057","MDP0000931057")</f>
        <v>MDP0000931057</v>
      </c>
      <c r="D7457">
        <v>60.35</v>
      </c>
      <c r="E7457">
        <v>227</v>
      </c>
      <c r="F7457">
        <v>90</v>
      </c>
      <c r="G7457">
        <v>11</v>
      </c>
      <c r="H7457">
        <v>1</v>
      </c>
      <c r="I7457">
        <v>227</v>
      </c>
      <c r="J7457">
        <v>1</v>
      </c>
      <c r="K7457">
        <v>1</v>
      </c>
      <c r="L7457">
        <v>216</v>
      </c>
      <c r="M7457">
        <v>1</v>
      </c>
      <c r="N7457">
        <v>1.5822E-64</v>
      </c>
      <c r="O7457">
        <v>619</v>
      </c>
    </row>
    <row r="7458" spans="1:15" x14ac:dyDescent="0.25">
      <c r="A7458" t="s">
        <v>7471</v>
      </c>
      <c r="B7458">
        <v>613</v>
      </c>
      <c r="C7458" s="1" t="str">
        <f>HYPERLINK("http://www.rosaceae.org/gb/gbrowse/malus_x_domestica/?name=MDP0000248927","MDP0000248927")</f>
        <v>MDP0000248927</v>
      </c>
      <c r="D7458">
        <v>65.459999999999994</v>
      </c>
      <c r="E7458">
        <v>417</v>
      </c>
      <c r="F7458">
        <v>144</v>
      </c>
      <c r="G7458">
        <v>1</v>
      </c>
      <c r="H7458">
        <v>1</v>
      </c>
      <c r="I7458">
        <v>416</v>
      </c>
      <c r="J7458">
        <v>1</v>
      </c>
      <c r="K7458">
        <v>1126</v>
      </c>
      <c r="L7458">
        <v>1542</v>
      </c>
      <c r="M7458">
        <v>1</v>
      </c>
      <c r="N7458">
        <v>2.1151599999999999E-163</v>
      </c>
      <c r="O7458">
        <v>1477</v>
      </c>
    </row>
    <row r="7459" spans="1:15" x14ac:dyDescent="0.25">
      <c r="A7459" t="s">
        <v>7472</v>
      </c>
      <c r="B7459">
        <v>556</v>
      </c>
      <c r="C7459" s="1" t="str">
        <f>HYPERLINK("http://www.rosaceae.org/gb/gbrowse/malus_x_domestica/?name=MDP0000204343","MDP0000204343")</f>
        <v>MDP0000204343</v>
      </c>
      <c r="D7459">
        <v>73.239999999999995</v>
      </c>
      <c r="E7459">
        <v>527</v>
      </c>
      <c r="F7459">
        <v>141</v>
      </c>
      <c r="G7459">
        <v>47</v>
      </c>
      <c r="H7459">
        <v>33</v>
      </c>
      <c r="I7459">
        <v>555</v>
      </c>
      <c r="J7459">
        <v>1</v>
      </c>
      <c r="K7459">
        <v>13</v>
      </c>
      <c r="L7459">
        <v>496</v>
      </c>
      <c r="M7459">
        <v>1</v>
      </c>
      <c r="N7459">
        <v>0</v>
      </c>
      <c r="O7459">
        <v>1967</v>
      </c>
    </row>
    <row r="7460" spans="1:15" x14ac:dyDescent="0.25">
      <c r="A7460" t="s">
        <v>7473</v>
      </c>
      <c r="B7460">
        <v>100</v>
      </c>
      <c r="C7460" s="1" t="str">
        <f>HYPERLINK("http://www.rosaceae.org/gb/gbrowse/malus_x_domestica/?name=MDP0000306688","MDP0000306688")</f>
        <v>MDP0000306688</v>
      </c>
      <c r="D7460">
        <v>64.86</v>
      </c>
      <c r="E7460">
        <v>37</v>
      </c>
      <c r="F7460">
        <v>13</v>
      </c>
      <c r="G7460">
        <v>0</v>
      </c>
      <c r="H7460">
        <v>49</v>
      </c>
      <c r="I7460">
        <v>85</v>
      </c>
      <c r="J7460">
        <v>1</v>
      </c>
      <c r="K7460">
        <v>418</v>
      </c>
      <c r="L7460">
        <v>454</v>
      </c>
      <c r="M7460">
        <v>1</v>
      </c>
      <c r="N7460">
        <v>1.0244799999999999E-8</v>
      </c>
      <c r="O7460">
        <v>133</v>
      </c>
    </row>
    <row r="7461" spans="1:15" x14ac:dyDescent="0.25">
      <c r="A7461" t="s">
        <v>7474</v>
      </c>
      <c r="B7461">
        <v>178</v>
      </c>
      <c r="C7461" s="1" t="str">
        <f>HYPERLINK("http://www.rosaceae.org/gb/gbrowse/malus_x_domestica/?name=MDP0000471520","MDP0000471520")</f>
        <v>MDP0000471520</v>
      </c>
      <c r="D7461">
        <v>80.48</v>
      </c>
      <c r="E7461">
        <v>41</v>
      </c>
      <c r="F7461">
        <v>8</v>
      </c>
      <c r="G7461">
        <v>0</v>
      </c>
      <c r="H7461">
        <v>1</v>
      </c>
      <c r="I7461">
        <v>41</v>
      </c>
      <c r="J7461">
        <v>1</v>
      </c>
      <c r="K7461">
        <v>1</v>
      </c>
      <c r="L7461">
        <v>41</v>
      </c>
      <c r="M7461">
        <v>1</v>
      </c>
      <c r="N7461">
        <v>1.6807700000000001E-13</v>
      </c>
      <c r="O7461">
        <v>177</v>
      </c>
    </row>
    <row r="7462" spans="1:15" x14ac:dyDescent="0.25">
      <c r="A7462" t="s">
        <v>7475</v>
      </c>
      <c r="B7462">
        <v>179</v>
      </c>
      <c r="C7462" s="1" t="str">
        <f>HYPERLINK("http://www.rosaceae.org/gb/gbrowse/malus_x_domestica/?name=MDP0000217786","MDP0000217786")</f>
        <v>MDP0000217786</v>
      </c>
      <c r="D7462">
        <v>60.79</v>
      </c>
      <c r="E7462">
        <v>176</v>
      </c>
      <c r="F7462">
        <v>69</v>
      </c>
      <c r="G7462">
        <v>3</v>
      </c>
      <c r="H7462">
        <v>7</v>
      </c>
      <c r="I7462">
        <v>179</v>
      </c>
      <c r="J7462">
        <v>1</v>
      </c>
      <c r="K7462">
        <v>154</v>
      </c>
      <c r="L7462">
        <v>329</v>
      </c>
      <c r="M7462">
        <v>1</v>
      </c>
      <c r="N7462">
        <v>3.30515E-54</v>
      </c>
      <c r="O7462">
        <v>528</v>
      </c>
    </row>
    <row r="7463" spans="1:15" x14ac:dyDescent="0.25">
      <c r="A7463" t="s">
        <v>7476</v>
      </c>
      <c r="B7463">
        <v>325</v>
      </c>
      <c r="C7463" s="1" t="str">
        <f>HYPERLINK("http://www.rosaceae.org/gb/gbrowse/malus_x_domestica/?name=MDP0000192308","MDP0000192308")</f>
        <v>MDP0000192308</v>
      </c>
      <c r="D7463">
        <v>37.06</v>
      </c>
      <c r="E7463">
        <v>116</v>
      </c>
      <c r="F7463">
        <v>73</v>
      </c>
      <c r="G7463">
        <v>2</v>
      </c>
      <c r="H7463">
        <v>15</v>
      </c>
      <c r="I7463">
        <v>128</v>
      </c>
      <c r="J7463">
        <v>1</v>
      </c>
      <c r="K7463">
        <v>15</v>
      </c>
      <c r="L7463">
        <v>130</v>
      </c>
      <c r="M7463">
        <v>1</v>
      </c>
      <c r="N7463">
        <v>2.1060999999999999E-18</v>
      </c>
      <c r="O7463">
        <v>223</v>
      </c>
    </row>
    <row r="7464" spans="1:15" x14ac:dyDescent="0.25">
      <c r="A7464" t="s">
        <v>7477</v>
      </c>
      <c r="B7464">
        <v>235</v>
      </c>
      <c r="C7464" s="1" t="str">
        <f>HYPERLINK("http://www.rosaceae.org/gb/gbrowse/malus_x_domestica/?name=MDP0000921005","MDP0000921005")</f>
        <v>MDP0000921005</v>
      </c>
      <c r="D7464">
        <v>88.55</v>
      </c>
      <c r="E7464">
        <v>236</v>
      </c>
      <c r="F7464">
        <v>27</v>
      </c>
      <c r="G7464">
        <v>5</v>
      </c>
      <c r="H7464">
        <v>1</v>
      </c>
      <c r="I7464">
        <v>235</v>
      </c>
      <c r="J7464">
        <v>1</v>
      </c>
      <c r="K7464">
        <v>1</v>
      </c>
      <c r="L7464">
        <v>232</v>
      </c>
      <c r="M7464">
        <v>1</v>
      </c>
      <c r="N7464">
        <v>1.8959100000000001E-113</v>
      </c>
      <c r="O7464">
        <v>1041</v>
      </c>
    </row>
    <row r="7465" spans="1:15" x14ac:dyDescent="0.25">
      <c r="A7465" t="s">
        <v>7478</v>
      </c>
      <c r="B7465">
        <v>550</v>
      </c>
      <c r="C7465" s="1" t="str">
        <f>HYPERLINK("http://www.rosaceae.org/gb/gbrowse/malus_x_domestica/?name=MDP0000178307","MDP0000178307")</f>
        <v>MDP0000178307</v>
      </c>
      <c r="D7465">
        <v>69.64</v>
      </c>
      <c r="E7465">
        <v>336</v>
      </c>
      <c r="F7465">
        <v>102</v>
      </c>
      <c r="G7465">
        <v>32</v>
      </c>
      <c r="H7465">
        <v>54</v>
      </c>
      <c r="I7465">
        <v>359</v>
      </c>
      <c r="J7465">
        <v>1</v>
      </c>
      <c r="K7465">
        <v>76</v>
      </c>
      <c r="L7465">
        <v>409</v>
      </c>
      <c r="M7465">
        <v>1</v>
      </c>
      <c r="N7465">
        <v>3.6175600000000001E-117</v>
      </c>
      <c r="O7465">
        <v>1077</v>
      </c>
    </row>
    <row r="7466" spans="1:15" x14ac:dyDescent="0.25">
      <c r="A7466" t="s">
        <v>7479</v>
      </c>
      <c r="B7466">
        <v>215</v>
      </c>
      <c r="C7466" s="1" t="str">
        <f>HYPERLINK("http://www.rosaceae.org/gb/gbrowse/malus_x_domestica/?name=MDP0000327971","MDP0000327971")</f>
        <v>MDP0000327971</v>
      </c>
      <c r="D7466">
        <v>42.85</v>
      </c>
      <c r="E7466">
        <v>119</v>
      </c>
      <c r="F7466">
        <v>68</v>
      </c>
      <c r="G7466">
        <v>22</v>
      </c>
      <c r="H7466">
        <v>39</v>
      </c>
      <c r="I7466">
        <v>135</v>
      </c>
      <c r="J7466">
        <v>1</v>
      </c>
      <c r="K7466">
        <v>53</v>
      </c>
      <c r="L7466">
        <v>171</v>
      </c>
      <c r="M7466">
        <v>1</v>
      </c>
      <c r="N7466">
        <v>2.82188E-15</v>
      </c>
      <c r="O7466">
        <v>194</v>
      </c>
    </row>
    <row r="7467" spans="1:15" x14ac:dyDescent="0.25">
      <c r="A7467" t="s">
        <v>7480</v>
      </c>
      <c r="B7467">
        <v>579</v>
      </c>
      <c r="C7467" s="1" t="str">
        <f>HYPERLINK("http://www.rosaceae.org/gb/gbrowse/malus_x_domestica/?name=MDP0000233373","MDP0000233373")</f>
        <v>MDP0000233373</v>
      </c>
      <c r="D7467">
        <v>59.44</v>
      </c>
      <c r="E7467">
        <v>217</v>
      </c>
      <c r="F7467">
        <v>88</v>
      </c>
      <c r="G7467">
        <v>18</v>
      </c>
      <c r="H7467">
        <v>150</v>
      </c>
      <c r="I7467">
        <v>360</v>
      </c>
      <c r="J7467">
        <v>1</v>
      </c>
      <c r="K7467">
        <v>67</v>
      </c>
      <c r="L7467">
        <v>271</v>
      </c>
      <c r="M7467">
        <v>1</v>
      </c>
      <c r="N7467">
        <v>4.9142300000000002E-65</v>
      </c>
      <c r="O7467">
        <v>628</v>
      </c>
    </row>
    <row r="7468" spans="1:15" x14ac:dyDescent="0.25">
      <c r="A7468" t="s">
        <v>7481</v>
      </c>
      <c r="B7468">
        <v>352</v>
      </c>
      <c r="C7468" s="1" t="str">
        <f>HYPERLINK("http://www.rosaceae.org/gb/gbrowse/malus_x_domestica/?name=MDP0000292132","MDP0000292132")</f>
        <v>MDP0000292132</v>
      </c>
      <c r="D7468">
        <v>41.5</v>
      </c>
      <c r="E7468">
        <v>212</v>
      </c>
      <c r="F7468">
        <v>124</v>
      </c>
      <c r="G7468">
        <v>31</v>
      </c>
      <c r="H7468">
        <v>13</v>
      </c>
      <c r="I7468">
        <v>198</v>
      </c>
      <c r="J7468">
        <v>1</v>
      </c>
      <c r="K7468">
        <v>13</v>
      </c>
      <c r="L7468">
        <v>219</v>
      </c>
      <c r="M7468">
        <v>1</v>
      </c>
      <c r="N7468">
        <v>1.1386499999999999E-33</v>
      </c>
      <c r="O7468">
        <v>355</v>
      </c>
    </row>
    <row r="7469" spans="1:15" x14ac:dyDescent="0.25">
      <c r="A7469" t="s">
        <v>7482</v>
      </c>
      <c r="B7469">
        <v>525</v>
      </c>
      <c r="C7469" s="1" t="str">
        <f>HYPERLINK("http://www.rosaceae.org/gb/gbrowse/malus_x_domestica/?name=MDP0000229348","MDP0000229348")</f>
        <v>MDP0000229348</v>
      </c>
      <c r="D7469">
        <v>58.35</v>
      </c>
      <c r="E7469">
        <v>461</v>
      </c>
      <c r="F7469">
        <v>192</v>
      </c>
      <c r="G7469">
        <v>5</v>
      </c>
      <c r="H7469">
        <v>61</v>
      </c>
      <c r="I7469">
        <v>519</v>
      </c>
      <c r="J7469">
        <v>1</v>
      </c>
      <c r="K7469">
        <v>42</v>
      </c>
      <c r="L7469">
        <v>499</v>
      </c>
      <c r="M7469">
        <v>1</v>
      </c>
      <c r="N7469">
        <v>1.8038199999999999E-158</v>
      </c>
      <c r="O7469">
        <v>1433</v>
      </c>
    </row>
    <row r="7470" spans="1:15" x14ac:dyDescent="0.25">
      <c r="A7470" t="s">
        <v>7483</v>
      </c>
      <c r="B7470">
        <v>94</v>
      </c>
      <c r="C7470" s="1" t="str">
        <f>HYPERLINK("http://www.rosaceae.org/gb/gbrowse/malus_x_domestica/?name=MDP0000162912","MDP0000162912")</f>
        <v>MDP0000162912</v>
      </c>
      <c r="D7470">
        <v>76.66</v>
      </c>
      <c r="E7470">
        <v>90</v>
      </c>
      <c r="F7470">
        <v>21</v>
      </c>
      <c r="G7470">
        <v>2</v>
      </c>
      <c r="H7470">
        <v>4</v>
      </c>
      <c r="I7470">
        <v>93</v>
      </c>
      <c r="J7470">
        <v>1</v>
      </c>
      <c r="K7470">
        <v>61</v>
      </c>
      <c r="L7470">
        <v>148</v>
      </c>
      <c r="M7470">
        <v>1</v>
      </c>
      <c r="N7470">
        <v>1.5179899999999999E-34</v>
      </c>
      <c r="O7470">
        <v>355</v>
      </c>
    </row>
    <row r="7471" spans="1:15" x14ac:dyDescent="0.25">
      <c r="A7471" t="s">
        <v>7484</v>
      </c>
      <c r="B7471">
        <v>134</v>
      </c>
      <c r="C7471" s="1" t="str">
        <f>HYPERLINK("http://www.rosaceae.org/gb/gbrowse/malus_x_domestica/?name=MDP0000182955","MDP0000182955")</f>
        <v>MDP0000182955</v>
      </c>
      <c r="D7471">
        <v>54.16</v>
      </c>
      <c r="E7471">
        <v>96</v>
      </c>
      <c r="F7471">
        <v>44</v>
      </c>
      <c r="G7471">
        <v>7</v>
      </c>
      <c r="H7471">
        <v>19</v>
      </c>
      <c r="I7471">
        <v>107</v>
      </c>
      <c r="J7471">
        <v>1</v>
      </c>
      <c r="K7471">
        <v>240</v>
      </c>
      <c r="L7471">
        <v>335</v>
      </c>
      <c r="M7471">
        <v>1</v>
      </c>
      <c r="N7471">
        <v>2.96916E-20</v>
      </c>
      <c r="O7471">
        <v>233</v>
      </c>
    </row>
    <row r="7472" spans="1:15" x14ac:dyDescent="0.25">
      <c r="A7472" t="s">
        <v>7485</v>
      </c>
      <c r="B7472">
        <v>437</v>
      </c>
      <c r="C7472" s="1" t="str">
        <f>HYPERLINK("http://www.rosaceae.org/gb/gbrowse/malus_x_domestica/?name=MDP0000254082","MDP0000254082")</f>
        <v>MDP0000254082</v>
      </c>
      <c r="D7472">
        <v>61.9</v>
      </c>
      <c r="E7472">
        <v>294</v>
      </c>
      <c r="F7472">
        <v>112</v>
      </c>
      <c r="G7472">
        <v>30</v>
      </c>
      <c r="H7472">
        <v>149</v>
      </c>
      <c r="I7472">
        <v>413</v>
      </c>
      <c r="J7472">
        <v>1</v>
      </c>
      <c r="K7472">
        <v>313</v>
      </c>
      <c r="L7472">
        <v>605</v>
      </c>
      <c r="M7472">
        <v>1</v>
      </c>
      <c r="N7472">
        <v>1.41854E-101</v>
      </c>
      <c r="O7472">
        <v>942</v>
      </c>
    </row>
    <row r="7473" spans="1:15" x14ac:dyDescent="0.25">
      <c r="A7473" t="s">
        <v>7486</v>
      </c>
      <c r="B7473">
        <v>213</v>
      </c>
      <c r="C7473" s="1" t="str">
        <f>HYPERLINK("http://www.rosaceae.org/gb/gbrowse/malus_x_domestica/?name=MDP0000602757","MDP0000602757")</f>
        <v>MDP0000602757</v>
      </c>
      <c r="D7473">
        <v>75.11</v>
      </c>
      <c r="E7473">
        <v>217</v>
      </c>
      <c r="F7473">
        <v>54</v>
      </c>
      <c r="G7473">
        <v>7</v>
      </c>
      <c r="H7473">
        <v>1</v>
      </c>
      <c r="I7473">
        <v>211</v>
      </c>
      <c r="J7473">
        <v>1</v>
      </c>
      <c r="K7473">
        <v>1</v>
      </c>
      <c r="L7473">
        <v>216</v>
      </c>
      <c r="M7473">
        <v>1</v>
      </c>
      <c r="N7473">
        <v>1.1777500000000001E-91</v>
      </c>
      <c r="O7473">
        <v>852</v>
      </c>
    </row>
    <row r="7474" spans="1:15" x14ac:dyDescent="0.25">
      <c r="A7474" t="s">
        <v>7487</v>
      </c>
      <c r="B7474">
        <v>526</v>
      </c>
      <c r="C7474" s="1" t="str">
        <f>HYPERLINK("http://www.rosaceae.org/gb/gbrowse/malus_x_domestica/?name=MDP0000550224","MDP0000550224")</f>
        <v>MDP0000550224</v>
      </c>
      <c r="D7474">
        <v>52.76</v>
      </c>
      <c r="E7474">
        <v>525</v>
      </c>
      <c r="F7474">
        <v>248</v>
      </c>
      <c r="G7474">
        <v>32</v>
      </c>
      <c r="H7474">
        <v>1</v>
      </c>
      <c r="I7474">
        <v>493</v>
      </c>
      <c r="J7474">
        <v>1</v>
      </c>
      <c r="K7474">
        <v>163</v>
      </c>
      <c r="L7474">
        <v>687</v>
      </c>
      <c r="M7474">
        <v>1</v>
      </c>
      <c r="N7474">
        <v>4.2398400000000003E-154</v>
      </c>
      <c r="O7474">
        <v>1396</v>
      </c>
    </row>
    <row r="7475" spans="1:15" x14ac:dyDescent="0.25">
      <c r="A7475" t="s">
        <v>7488</v>
      </c>
      <c r="B7475">
        <v>865</v>
      </c>
      <c r="C7475" s="1" t="str">
        <f>HYPERLINK("http://www.rosaceae.org/gb/gbrowse/malus_x_domestica/?name=MDP0000160005","MDP0000160005")</f>
        <v>MDP0000160005</v>
      </c>
      <c r="D7475">
        <v>63.02</v>
      </c>
      <c r="E7475">
        <v>879</v>
      </c>
      <c r="F7475">
        <v>325</v>
      </c>
      <c r="G7475">
        <v>36</v>
      </c>
      <c r="H7475">
        <v>1</v>
      </c>
      <c r="I7475">
        <v>865</v>
      </c>
      <c r="J7475">
        <v>1</v>
      </c>
      <c r="K7475">
        <v>1</v>
      </c>
      <c r="L7475">
        <v>857</v>
      </c>
      <c r="M7475">
        <v>1</v>
      </c>
      <c r="N7475">
        <v>0</v>
      </c>
      <c r="O7475">
        <v>2904</v>
      </c>
    </row>
    <row r="7476" spans="1:15" x14ac:dyDescent="0.25">
      <c r="A7476" t="s">
        <v>7489</v>
      </c>
      <c r="B7476">
        <v>422</v>
      </c>
      <c r="C7476" s="1" t="str">
        <f>HYPERLINK("http://www.rosaceae.org/gb/gbrowse/malus_x_domestica/?name=MDP0000163058","MDP0000163058")</f>
        <v>MDP0000163058</v>
      </c>
      <c r="D7476">
        <v>55.43</v>
      </c>
      <c r="E7476">
        <v>368</v>
      </c>
      <c r="F7476">
        <v>164</v>
      </c>
      <c r="G7476">
        <v>2</v>
      </c>
      <c r="H7476">
        <v>25</v>
      </c>
      <c r="I7476">
        <v>392</v>
      </c>
      <c r="J7476">
        <v>1</v>
      </c>
      <c r="K7476">
        <v>44</v>
      </c>
      <c r="L7476">
        <v>409</v>
      </c>
      <c r="M7476">
        <v>1</v>
      </c>
      <c r="N7476">
        <v>1.00748E-114</v>
      </c>
      <c r="O7476">
        <v>1055</v>
      </c>
    </row>
    <row r="7477" spans="1:15" x14ac:dyDescent="0.25">
      <c r="A7477" t="s">
        <v>7490</v>
      </c>
      <c r="B7477">
        <v>783</v>
      </c>
      <c r="C7477" s="1" t="str">
        <f>HYPERLINK("http://www.rosaceae.org/gb/gbrowse/malus_x_domestica/?name=MDP0000259440","MDP0000259440")</f>
        <v>MDP0000259440</v>
      </c>
      <c r="D7477">
        <v>76.89</v>
      </c>
      <c r="E7477">
        <v>714</v>
      </c>
      <c r="F7477">
        <v>165</v>
      </c>
      <c r="G7477">
        <v>9</v>
      </c>
      <c r="H7477">
        <v>74</v>
      </c>
      <c r="I7477">
        <v>783</v>
      </c>
      <c r="J7477">
        <v>1</v>
      </c>
      <c r="K7477">
        <v>206</v>
      </c>
      <c r="L7477">
        <v>914</v>
      </c>
      <c r="M7477">
        <v>1</v>
      </c>
      <c r="N7477">
        <v>0</v>
      </c>
      <c r="O7477">
        <v>2914</v>
      </c>
    </row>
    <row r="7478" spans="1:15" x14ac:dyDescent="0.25">
      <c r="A7478" t="s">
        <v>7491</v>
      </c>
      <c r="B7478">
        <v>107</v>
      </c>
      <c r="C7478" s="1" t="str">
        <f>HYPERLINK("http://www.rosaceae.org/gb/gbrowse/malus_x_domestica/?name=MDP0000198191","MDP0000198191")</f>
        <v>MDP0000198191</v>
      </c>
      <c r="D7478">
        <v>66.19</v>
      </c>
      <c r="E7478">
        <v>71</v>
      </c>
      <c r="F7478">
        <v>24</v>
      </c>
      <c r="G7478">
        <v>0</v>
      </c>
      <c r="H7478">
        <v>37</v>
      </c>
      <c r="I7478">
        <v>107</v>
      </c>
      <c r="J7478">
        <v>1</v>
      </c>
      <c r="K7478">
        <v>160</v>
      </c>
      <c r="L7478">
        <v>230</v>
      </c>
      <c r="M7478">
        <v>1</v>
      </c>
      <c r="N7478">
        <v>3.6634699999999999E-22</v>
      </c>
      <c r="O7478">
        <v>249</v>
      </c>
    </row>
    <row r="7479" spans="1:15" x14ac:dyDescent="0.25">
      <c r="A7479" t="s">
        <v>7492</v>
      </c>
      <c r="B7479">
        <v>451</v>
      </c>
      <c r="C7479" s="1" t="str">
        <f>HYPERLINK("http://www.rosaceae.org/gb/gbrowse/malus_x_domestica/?name=MDP0000140746","MDP0000140746")</f>
        <v>MDP0000140746</v>
      </c>
      <c r="D7479">
        <v>72.94</v>
      </c>
      <c r="E7479">
        <v>207</v>
      </c>
      <c r="F7479">
        <v>56</v>
      </c>
      <c r="G7479">
        <v>28</v>
      </c>
      <c r="H7479">
        <v>125</v>
      </c>
      <c r="I7479">
        <v>303</v>
      </c>
      <c r="J7479">
        <v>1</v>
      </c>
      <c r="K7479">
        <v>59</v>
      </c>
      <c r="L7479">
        <v>265</v>
      </c>
      <c r="M7479">
        <v>1</v>
      </c>
      <c r="N7479">
        <v>2.01272E-79</v>
      </c>
      <c r="O7479">
        <v>751</v>
      </c>
    </row>
    <row r="7480" spans="1:15" x14ac:dyDescent="0.25">
      <c r="A7480" t="s">
        <v>7493</v>
      </c>
      <c r="B7480">
        <v>649</v>
      </c>
      <c r="C7480" s="1" t="str">
        <f>HYPERLINK("http://www.rosaceae.org/gb/gbrowse/malus_x_domestica/?name=MDP0000041327","MDP0000041327")</f>
        <v>MDP0000041327</v>
      </c>
      <c r="D7480">
        <v>76.19</v>
      </c>
      <c r="E7480">
        <v>525</v>
      </c>
      <c r="F7480">
        <v>125</v>
      </c>
      <c r="G7480">
        <v>26</v>
      </c>
      <c r="H7480">
        <v>96</v>
      </c>
      <c r="I7480">
        <v>607</v>
      </c>
      <c r="J7480">
        <v>1</v>
      </c>
      <c r="K7480">
        <v>1</v>
      </c>
      <c r="L7480">
        <v>512</v>
      </c>
      <c r="M7480">
        <v>1</v>
      </c>
      <c r="N7480">
        <v>0</v>
      </c>
      <c r="O7480">
        <v>2013</v>
      </c>
    </row>
    <row r="7481" spans="1:15" x14ac:dyDescent="0.25">
      <c r="A7481" t="s">
        <v>7494</v>
      </c>
      <c r="B7481">
        <v>417</v>
      </c>
      <c r="C7481" s="1" t="str">
        <f>HYPERLINK("http://www.rosaceae.org/gb/gbrowse/malus_x_domestica/?name=MDP0000304679","MDP0000304679")</f>
        <v>MDP0000304679</v>
      </c>
      <c r="D7481">
        <v>59.44</v>
      </c>
      <c r="E7481">
        <v>286</v>
      </c>
      <c r="F7481">
        <v>116</v>
      </c>
      <c r="G7481">
        <v>8</v>
      </c>
      <c r="H7481">
        <v>129</v>
      </c>
      <c r="I7481">
        <v>414</v>
      </c>
      <c r="J7481">
        <v>1</v>
      </c>
      <c r="K7481">
        <v>46</v>
      </c>
      <c r="L7481">
        <v>323</v>
      </c>
      <c r="M7481">
        <v>1</v>
      </c>
      <c r="N7481">
        <v>7.0288700000000004E-93</v>
      </c>
      <c r="O7481">
        <v>867</v>
      </c>
    </row>
    <row r="7482" spans="1:15" x14ac:dyDescent="0.25">
      <c r="A7482" t="s">
        <v>7495</v>
      </c>
      <c r="B7482">
        <v>271</v>
      </c>
      <c r="C7482" s="1" t="str">
        <f>HYPERLINK("http://www.rosaceae.org/gb/gbrowse/malus_x_domestica/?name=MDP0000157651","MDP0000157651")</f>
        <v>MDP0000157651</v>
      </c>
      <c r="D7482">
        <v>76.83</v>
      </c>
      <c r="E7482">
        <v>177</v>
      </c>
      <c r="F7482">
        <v>41</v>
      </c>
      <c r="G7482">
        <v>0</v>
      </c>
      <c r="H7482">
        <v>95</v>
      </c>
      <c r="I7482">
        <v>271</v>
      </c>
      <c r="J7482">
        <v>1</v>
      </c>
      <c r="K7482">
        <v>130</v>
      </c>
      <c r="L7482">
        <v>306</v>
      </c>
      <c r="M7482">
        <v>1</v>
      </c>
      <c r="N7482">
        <v>1.20141E-76</v>
      </c>
      <c r="O7482">
        <v>724</v>
      </c>
    </row>
    <row r="7483" spans="1:15" x14ac:dyDescent="0.25">
      <c r="A7483" t="s">
        <v>7496</v>
      </c>
      <c r="B7483">
        <v>407</v>
      </c>
      <c r="C7483" s="1" t="str">
        <f>HYPERLINK("http://www.rosaceae.org/gb/gbrowse/malus_x_domestica/?name=MDP0000148742","MDP0000148742")</f>
        <v>MDP0000148742</v>
      </c>
      <c r="D7483">
        <v>79.150000000000006</v>
      </c>
      <c r="E7483">
        <v>403</v>
      </c>
      <c r="F7483">
        <v>84</v>
      </c>
      <c r="G7483">
        <v>2</v>
      </c>
      <c r="H7483">
        <v>2</v>
      </c>
      <c r="I7483">
        <v>402</v>
      </c>
      <c r="J7483">
        <v>1</v>
      </c>
      <c r="K7483">
        <v>4</v>
      </c>
      <c r="L7483">
        <v>406</v>
      </c>
      <c r="M7483">
        <v>1</v>
      </c>
      <c r="N7483">
        <v>6.8232899999999999E-169</v>
      </c>
      <c r="O7483">
        <v>1522</v>
      </c>
    </row>
    <row r="7484" spans="1:15" x14ac:dyDescent="0.25">
      <c r="A7484" t="s">
        <v>7497</v>
      </c>
      <c r="B7484">
        <v>257</v>
      </c>
      <c r="C7484" s="1" t="str">
        <f>HYPERLINK("http://www.rosaceae.org/gb/gbrowse/malus_x_domestica/?name=MDP0000243603","MDP0000243603")</f>
        <v>MDP0000243603</v>
      </c>
      <c r="D7484">
        <v>29.94</v>
      </c>
      <c r="E7484">
        <v>177</v>
      </c>
      <c r="F7484">
        <v>124</v>
      </c>
      <c r="G7484">
        <v>24</v>
      </c>
      <c r="H7484">
        <v>101</v>
      </c>
      <c r="I7484">
        <v>255</v>
      </c>
      <c r="J7484">
        <v>1</v>
      </c>
      <c r="K7484">
        <v>44</v>
      </c>
      <c r="L7484">
        <v>218</v>
      </c>
      <c r="M7484">
        <v>1</v>
      </c>
      <c r="N7484">
        <v>1.72046E-13</v>
      </c>
      <c r="O7484">
        <v>179</v>
      </c>
    </row>
    <row r="7485" spans="1:15" x14ac:dyDescent="0.25">
      <c r="A7485" t="s">
        <v>7498</v>
      </c>
      <c r="B7485">
        <v>85</v>
      </c>
      <c r="C7485" s="1" t="str">
        <f>HYPERLINK("http://www.rosaceae.org/gb/gbrowse/malus_x_domestica/?name=MDP0000200737","MDP0000200737")</f>
        <v>MDP0000200737</v>
      </c>
      <c r="D7485">
        <v>80.59</v>
      </c>
      <c r="E7485">
        <v>67</v>
      </c>
      <c r="F7485">
        <v>13</v>
      </c>
      <c r="G7485">
        <v>0</v>
      </c>
      <c r="H7485">
        <v>1</v>
      </c>
      <c r="I7485">
        <v>67</v>
      </c>
      <c r="J7485">
        <v>1</v>
      </c>
      <c r="K7485">
        <v>245</v>
      </c>
      <c r="L7485">
        <v>311</v>
      </c>
      <c r="M7485">
        <v>1</v>
      </c>
      <c r="N7485">
        <v>7.2994900000000001E-28</v>
      </c>
      <c r="O7485">
        <v>298</v>
      </c>
    </row>
    <row r="7486" spans="1:15" x14ac:dyDescent="0.25">
      <c r="A7486" t="s">
        <v>7499</v>
      </c>
      <c r="B7486">
        <v>519</v>
      </c>
      <c r="C7486" s="1" t="str">
        <f>HYPERLINK("http://www.rosaceae.org/gb/gbrowse/malus_x_domestica/?name=MDP0000136295","MDP0000136295")</f>
        <v>MDP0000136295</v>
      </c>
      <c r="D7486">
        <v>59.38</v>
      </c>
      <c r="E7486">
        <v>554</v>
      </c>
      <c r="F7486">
        <v>225</v>
      </c>
      <c r="G7486">
        <v>53</v>
      </c>
      <c r="H7486">
        <v>1</v>
      </c>
      <c r="I7486">
        <v>519</v>
      </c>
      <c r="J7486">
        <v>1</v>
      </c>
      <c r="K7486">
        <v>1</v>
      </c>
      <c r="L7486">
        <v>536</v>
      </c>
      <c r="M7486">
        <v>1</v>
      </c>
      <c r="N7486">
        <v>3.2391000000000001E-161</v>
      </c>
      <c r="O7486">
        <v>1457</v>
      </c>
    </row>
    <row r="7487" spans="1:15" x14ac:dyDescent="0.25">
      <c r="A7487" t="s">
        <v>7500</v>
      </c>
      <c r="B7487">
        <v>581</v>
      </c>
      <c r="C7487" s="1" t="str">
        <f>HYPERLINK("http://www.rosaceae.org/gb/gbrowse/malus_x_domestica/?name=MDP0000545463","MDP0000545463")</f>
        <v>MDP0000545463</v>
      </c>
      <c r="D7487">
        <v>60.49</v>
      </c>
      <c r="E7487">
        <v>486</v>
      </c>
      <c r="F7487">
        <v>192</v>
      </c>
      <c r="G7487">
        <v>20</v>
      </c>
      <c r="H7487">
        <v>20</v>
      </c>
      <c r="I7487">
        <v>493</v>
      </c>
      <c r="J7487">
        <v>1</v>
      </c>
      <c r="K7487">
        <v>19</v>
      </c>
      <c r="L7487">
        <v>496</v>
      </c>
      <c r="M7487">
        <v>1</v>
      </c>
      <c r="N7487">
        <v>1.2069100000000001E-174</v>
      </c>
      <c r="O7487">
        <v>1573</v>
      </c>
    </row>
    <row r="7488" spans="1:15" x14ac:dyDescent="0.25">
      <c r="A7488" t="s">
        <v>7501</v>
      </c>
      <c r="B7488">
        <v>312</v>
      </c>
      <c r="C7488" s="1" t="str">
        <f>HYPERLINK("http://www.rosaceae.org/gb/gbrowse/malus_x_domestica/?name=MDP0000749280","MDP0000749280")</f>
        <v>MDP0000749280</v>
      </c>
      <c r="D7488">
        <v>71.42</v>
      </c>
      <c r="E7488">
        <v>287</v>
      </c>
      <c r="F7488">
        <v>82</v>
      </c>
      <c r="G7488">
        <v>13</v>
      </c>
      <c r="H7488">
        <v>1</v>
      </c>
      <c r="I7488">
        <v>287</v>
      </c>
      <c r="J7488">
        <v>1</v>
      </c>
      <c r="K7488">
        <v>63</v>
      </c>
      <c r="L7488">
        <v>336</v>
      </c>
      <c r="M7488">
        <v>1</v>
      </c>
      <c r="N7488">
        <v>5.0347900000000001E-113</v>
      </c>
      <c r="O7488">
        <v>1039</v>
      </c>
    </row>
    <row r="7489" spans="1:15" x14ac:dyDescent="0.25">
      <c r="A7489" t="s">
        <v>7502</v>
      </c>
      <c r="B7489">
        <v>374</v>
      </c>
      <c r="C7489" s="1" t="str">
        <f>HYPERLINK("http://www.rosaceae.org/gb/gbrowse/malus_x_domestica/?name=MDP0000769609","MDP0000769609")</f>
        <v>MDP0000769609</v>
      </c>
      <c r="D7489">
        <v>31.25</v>
      </c>
      <c r="E7489">
        <v>368</v>
      </c>
      <c r="F7489">
        <v>253</v>
      </c>
      <c r="G7489">
        <v>38</v>
      </c>
      <c r="H7489">
        <v>20</v>
      </c>
      <c r="I7489">
        <v>371</v>
      </c>
      <c r="J7489">
        <v>1</v>
      </c>
      <c r="K7489">
        <v>103</v>
      </c>
      <c r="L7489">
        <v>448</v>
      </c>
      <c r="M7489">
        <v>1</v>
      </c>
      <c r="N7489">
        <v>2.01019E-38</v>
      </c>
      <c r="O7489">
        <v>396</v>
      </c>
    </row>
    <row r="7490" spans="1:15" x14ac:dyDescent="0.25">
      <c r="A7490" t="s">
        <v>7503</v>
      </c>
      <c r="B7490">
        <v>818</v>
      </c>
      <c r="C7490" s="1" t="str">
        <f>HYPERLINK("http://www.rosaceae.org/gb/gbrowse/malus_x_domestica/?name=MDP0000253640","MDP0000253640")</f>
        <v>MDP0000253640</v>
      </c>
      <c r="D7490">
        <v>61.33</v>
      </c>
      <c r="E7490">
        <v>856</v>
      </c>
      <c r="F7490">
        <v>331</v>
      </c>
      <c r="G7490">
        <v>49</v>
      </c>
      <c r="H7490">
        <v>1</v>
      </c>
      <c r="I7490">
        <v>814</v>
      </c>
      <c r="J7490">
        <v>1</v>
      </c>
      <c r="K7490">
        <v>1</v>
      </c>
      <c r="L7490">
        <v>849</v>
      </c>
      <c r="M7490">
        <v>1</v>
      </c>
      <c r="N7490">
        <v>0</v>
      </c>
      <c r="O7490">
        <v>2408</v>
      </c>
    </row>
    <row r="7491" spans="1:15" x14ac:dyDescent="0.25">
      <c r="A7491" t="s">
        <v>7504</v>
      </c>
      <c r="B7491">
        <v>94</v>
      </c>
      <c r="C7491" s="1" t="str">
        <f>HYPERLINK("http://www.rosaceae.org/gb/gbrowse/malus_x_domestica/?name=MDP0000151630","MDP0000151630")</f>
        <v>MDP0000151630</v>
      </c>
      <c r="D7491">
        <v>68.08</v>
      </c>
      <c r="E7491">
        <v>94</v>
      </c>
      <c r="F7491">
        <v>30</v>
      </c>
      <c r="G7491">
        <v>2</v>
      </c>
      <c r="H7491">
        <v>1</v>
      </c>
      <c r="I7491">
        <v>94</v>
      </c>
      <c r="J7491">
        <v>1</v>
      </c>
      <c r="K7491">
        <v>1</v>
      </c>
      <c r="L7491">
        <v>92</v>
      </c>
      <c r="M7491">
        <v>1</v>
      </c>
      <c r="N7491">
        <v>1.1358599999999999E-27</v>
      </c>
      <c r="O7491">
        <v>296</v>
      </c>
    </row>
    <row r="7492" spans="1:15" x14ac:dyDescent="0.25">
      <c r="A7492" t="s">
        <v>7505</v>
      </c>
      <c r="B7492">
        <v>406</v>
      </c>
      <c r="C7492" s="1" t="str">
        <f>HYPERLINK("http://www.rosaceae.org/gb/gbrowse/malus_x_domestica/?name=MDP0000218831","MDP0000218831")</f>
        <v>MDP0000218831</v>
      </c>
      <c r="D7492">
        <v>75</v>
      </c>
      <c r="E7492">
        <v>328</v>
      </c>
      <c r="F7492">
        <v>82</v>
      </c>
      <c r="G7492">
        <v>29</v>
      </c>
      <c r="H7492">
        <v>105</v>
      </c>
      <c r="I7492">
        <v>406</v>
      </c>
      <c r="J7492">
        <v>1</v>
      </c>
      <c r="K7492">
        <v>2</v>
      </c>
      <c r="L7492">
        <v>326</v>
      </c>
      <c r="M7492">
        <v>1</v>
      </c>
      <c r="N7492">
        <v>2.1928999999999998E-130</v>
      </c>
      <c r="O7492">
        <v>1190</v>
      </c>
    </row>
    <row r="7493" spans="1:15" x14ac:dyDescent="0.25">
      <c r="A7493" t="s">
        <v>7506</v>
      </c>
      <c r="B7493">
        <v>354</v>
      </c>
      <c r="C7493" s="1" t="str">
        <f>HYPERLINK("http://www.rosaceae.org/gb/gbrowse/malus_x_domestica/?name=MDP0000293040","MDP0000293040")</f>
        <v>MDP0000293040</v>
      </c>
      <c r="D7493">
        <v>90.34</v>
      </c>
      <c r="E7493">
        <v>290</v>
      </c>
      <c r="F7493">
        <v>28</v>
      </c>
      <c r="G7493">
        <v>0</v>
      </c>
      <c r="H7493">
        <v>1</v>
      </c>
      <c r="I7493">
        <v>290</v>
      </c>
      <c r="J7493">
        <v>1</v>
      </c>
      <c r="K7493">
        <v>1</v>
      </c>
      <c r="L7493">
        <v>290</v>
      </c>
      <c r="M7493">
        <v>1</v>
      </c>
      <c r="N7493">
        <v>1.28715E-158</v>
      </c>
      <c r="O7493">
        <v>1433</v>
      </c>
    </row>
    <row r="7494" spans="1:15" x14ac:dyDescent="0.25">
      <c r="A7494" t="s">
        <v>7507</v>
      </c>
      <c r="B7494">
        <v>796</v>
      </c>
      <c r="C7494" s="1" t="str">
        <f>HYPERLINK("http://www.rosaceae.org/gb/gbrowse/malus_x_domestica/?name=MDP0000944874","MDP0000944874")</f>
        <v>MDP0000944874</v>
      </c>
      <c r="D7494">
        <v>78.819999999999993</v>
      </c>
      <c r="E7494">
        <v>680</v>
      </c>
      <c r="F7494">
        <v>144</v>
      </c>
      <c r="G7494">
        <v>11</v>
      </c>
      <c r="H7494">
        <v>27</v>
      </c>
      <c r="I7494">
        <v>697</v>
      </c>
      <c r="J7494">
        <v>1</v>
      </c>
      <c r="K7494">
        <v>27</v>
      </c>
      <c r="L7494">
        <v>704</v>
      </c>
      <c r="M7494">
        <v>1</v>
      </c>
      <c r="N7494">
        <v>0</v>
      </c>
      <c r="O7494">
        <v>2886</v>
      </c>
    </row>
    <row r="7495" spans="1:15" x14ac:dyDescent="0.25">
      <c r="A7495" t="s">
        <v>7508</v>
      </c>
      <c r="B7495">
        <v>308</v>
      </c>
      <c r="C7495" s="1" t="str">
        <f>HYPERLINK("http://www.rosaceae.org/gb/gbrowse/malus_x_domestica/?name=MDP0000189838","MDP0000189838")</f>
        <v>MDP0000189838</v>
      </c>
      <c r="D7495">
        <v>62.1</v>
      </c>
      <c r="E7495">
        <v>351</v>
      </c>
      <c r="F7495">
        <v>133</v>
      </c>
      <c r="G7495">
        <v>50</v>
      </c>
      <c r="H7495">
        <v>1</v>
      </c>
      <c r="I7495">
        <v>304</v>
      </c>
      <c r="J7495">
        <v>1</v>
      </c>
      <c r="K7495">
        <v>1</v>
      </c>
      <c r="L7495">
        <v>348</v>
      </c>
      <c r="M7495">
        <v>1</v>
      </c>
      <c r="N7495">
        <v>1.4005300000000001E-114</v>
      </c>
      <c r="O7495">
        <v>1052</v>
      </c>
    </row>
    <row r="7496" spans="1:15" x14ac:dyDescent="0.25">
      <c r="A7496" t="s">
        <v>7509</v>
      </c>
      <c r="B7496">
        <v>409</v>
      </c>
      <c r="C7496" s="1" t="str">
        <f>HYPERLINK("http://www.rosaceae.org/gb/gbrowse/malus_x_domestica/?name=MDP0000142873","MDP0000142873")</f>
        <v>MDP0000142873</v>
      </c>
      <c r="D7496">
        <v>56.04</v>
      </c>
      <c r="E7496">
        <v>91</v>
      </c>
      <c r="F7496">
        <v>40</v>
      </c>
      <c r="G7496">
        <v>11</v>
      </c>
      <c r="H7496">
        <v>2</v>
      </c>
      <c r="I7496">
        <v>86</v>
      </c>
      <c r="J7496">
        <v>1</v>
      </c>
      <c r="K7496">
        <v>4</v>
      </c>
      <c r="L7496">
        <v>89</v>
      </c>
      <c r="M7496">
        <v>1</v>
      </c>
      <c r="N7496">
        <v>9.0592399999999996E-20</v>
      </c>
      <c r="O7496">
        <v>236</v>
      </c>
    </row>
    <row r="7497" spans="1:15" x14ac:dyDescent="0.25">
      <c r="A7497" t="s">
        <v>7510</v>
      </c>
      <c r="B7497">
        <v>153</v>
      </c>
      <c r="C7497" s="1" t="str">
        <f>HYPERLINK("http://www.rosaceae.org/gb/gbrowse/malus_x_domestica/?name=MDP0000307441","MDP0000307441")</f>
        <v>MDP0000307441</v>
      </c>
      <c r="D7497">
        <v>83.45</v>
      </c>
      <c r="E7497">
        <v>139</v>
      </c>
      <c r="F7497">
        <v>23</v>
      </c>
      <c r="G7497">
        <v>5</v>
      </c>
      <c r="H7497">
        <v>1</v>
      </c>
      <c r="I7497">
        <v>139</v>
      </c>
      <c r="J7497">
        <v>1</v>
      </c>
      <c r="K7497">
        <v>75</v>
      </c>
      <c r="L7497">
        <v>208</v>
      </c>
      <c r="M7497">
        <v>1</v>
      </c>
      <c r="N7497">
        <v>2.8577400000000001E-62</v>
      </c>
      <c r="O7497">
        <v>597</v>
      </c>
    </row>
    <row r="7498" spans="1:15" x14ac:dyDescent="0.25">
      <c r="A7498" t="s">
        <v>7511</v>
      </c>
      <c r="B7498">
        <v>813</v>
      </c>
      <c r="C7498" s="1" t="str">
        <f>HYPERLINK("http://www.rosaceae.org/gb/gbrowse/malus_x_domestica/?name=MDP0000302554","MDP0000302554")</f>
        <v>MDP0000302554</v>
      </c>
      <c r="D7498">
        <v>39.31</v>
      </c>
      <c r="E7498">
        <v>323</v>
      </c>
      <c r="F7498">
        <v>196</v>
      </c>
      <c r="G7498">
        <v>12</v>
      </c>
      <c r="H7498">
        <v>104</v>
      </c>
      <c r="I7498">
        <v>426</v>
      </c>
      <c r="J7498">
        <v>1</v>
      </c>
      <c r="K7498">
        <v>226</v>
      </c>
      <c r="L7498">
        <v>536</v>
      </c>
      <c r="M7498">
        <v>1</v>
      </c>
      <c r="N7498">
        <v>6.2536599999999997E-55</v>
      </c>
      <c r="O7498">
        <v>542</v>
      </c>
    </row>
    <row r="7499" spans="1:15" x14ac:dyDescent="0.25">
      <c r="A7499" t="s">
        <v>7512</v>
      </c>
      <c r="B7499">
        <v>415</v>
      </c>
      <c r="C7499" s="1" t="str">
        <f>HYPERLINK("http://www.rosaceae.org/gb/gbrowse/malus_x_domestica/?name=MDP0000264879","MDP0000264879")</f>
        <v>MDP0000264879</v>
      </c>
      <c r="D7499">
        <v>51.93</v>
      </c>
      <c r="E7499">
        <v>439</v>
      </c>
      <c r="F7499">
        <v>211</v>
      </c>
      <c r="G7499">
        <v>84</v>
      </c>
      <c r="H7499">
        <v>19</v>
      </c>
      <c r="I7499">
        <v>415</v>
      </c>
      <c r="J7499">
        <v>1</v>
      </c>
      <c r="K7499">
        <v>24</v>
      </c>
      <c r="L7499">
        <v>420</v>
      </c>
      <c r="M7499">
        <v>1</v>
      </c>
      <c r="N7499">
        <v>7.8353699999999995E-99</v>
      </c>
      <c r="O7499">
        <v>918</v>
      </c>
    </row>
    <row r="7500" spans="1:15" x14ac:dyDescent="0.25">
      <c r="A7500" t="s">
        <v>7513</v>
      </c>
      <c r="B7500">
        <v>581</v>
      </c>
      <c r="C7500" s="1" t="str">
        <f>HYPERLINK("http://www.rosaceae.org/gb/gbrowse/malus_x_domestica/?name=MDP0000217499","MDP0000217499")</f>
        <v>MDP0000217499</v>
      </c>
      <c r="D7500">
        <v>81.37</v>
      </c>
      <c r="E7500">
        <v>349</v>
      </c>
      <c r="F7500">
        <v>65</v>
      </c>
      <c r="G7500">
        <v>0</v>
      </c>
      <c r="H7500">
        <v>25</v>
      </c>
      <c r="I7500">
        <v>373</v>
      </c>
      <c r="J7500">
        <v>1</v>
      </c>
      <c r="K7500">
        <v>34</v>
      </c>
      <c r="L7500">
        <v>382</v>
      </c>
      <c r="M7500">
        <v>1</v>
      </c>
      <c r="N7500">
        <v>6.3027999999999997E-171</v>
      </c>
      <c r="O7500">
        <v>1541</v>
      </c>
    </row>
    <row r="7501" spans="1:15" x14ac:dyDescent="0.25">
      <c r="A7501" t="s">
        <v>7514</v>
      </c>
      <c r="B7501">
        <v>298</v>
      </c>
      <c r="C7501" s="1" t="str">
        <f>HYPERLINK("http://www.rosaceae.org/gb/gbrowse/malus_x_domestica/?name=MDP0000239354","MDP0000239354")</f>
        <v>MDP0000239354</v>
      </c>
      <c r="D7501">
        <v>58.5</v>
      </c>
      <c r="E7501">
        <v>241</v>
      </c>
      <c r="F7501">
        <v>100</v>
      </c>
      <c r="G7501">
        <v>6</v>
      </c>
      <c r="H7501">
        <v>1</v>
      </c>
      <c r="I7501">
        <v>236</v>
      </c>
      <c r="J7501">
        <v>1</v>
      </c>
      <c r="K7501">
        <v>82</v>
      </c>
      <c r="L7501">
        <v>321</v>
      </c>
      <c r="M7501">
        <v>1</v>
      </c>
      <c r="N7501">
        <v>1.25279E-67</v>
      </c>
      <c r="O7501">
        <v>647</v>
      </c>
    </row>
    <row r="7502" spans="1:15" x14ac:dyDescent="0.25">
      <c r="A7502" t="s">
        <v>7515</v>
      </c>
      <c r="B7502">
        <v>1243</v>
      </c>
      <c r="C7502" s="1" t="str">
        <f>HYPERLINK("http://www.rosaceae.org/gb/gbrowse/malus_x_domestica/?name=MDP0000226838","MDP0000226838")</f>
        <v>MDP0000226838</v>
      </c>
      <c r="D7502">
        <v>66.69</v>
      </c>
      <c r="E7502">
        <v>1255</v>
      </c>
      <c r="F7502">
        <v>418</v>
      </c>
      <c r="G7502">
        <v>15</v>
      </c>
      <c r="H7502">
        <v>1</v>
      </c>
      <c r="I7502">
        <v>1241</v>
      </c>
      <c r="J7502">
        <v>1</v>
      </c>
      <c r="K7502">
        <v>96</v>
      </c>
      <c r="L7502">
        <v>1349</v>
      </c>
      <c r="M7502">
        <v>1</v>
      </c>
      <c r="N7502">
        <v>0</v>
      </c>
      <c r="O7502">
        <v>4257</v>
      </c>
    </row>
    <row r="7503" spans="1:15" x14ac:dyDescent="0.25">
      <c r="A7503" t="s">
        <v>7516</v>
      </c>
      <c r="B7503">
        <v>403</v>
      </c>
      <c r="C7503" s="1" t="str">
        <f>HYPERLINK("http://www.rosaceae.org/gb/gbrowse/malus_x_domestica/?name=MDP0000868578","MDP0000868578")</f>
        <v>MDP0000868578</v>
      </c>
      <c r="D7503">
        <v>54.03</v>
      </c>
      <c r="E7503">
        <v>322</v>
      </c>
      <c r="F7503">
        <v>148</v>
      </c>
      <c r="G7503">
        <v>47</v>
      </c>
      <c r="H7503">
        <v>1</v>
      </c>
      <c r="I7503">
        <v>282</v>
      </c>
      <c r="J7503">
        <v>1</v>
      </c>
      <c r="K7503">
        <v>1</v>
      </c>
      <c r="L7503">
        <v>315</v>
      </c>
      <c r="M7503">
        <v>1</v>
      </c>
      <c r="N7503">
        <v>4.2900599999999999E-83</v>
      </c>
      <c r="O7503">
        <v>782</v>
      </c>
    </row>
    <row r="7504" spans="1:15" x14ac:dyDescent="0.25">
      <c r="A7504" t="s">
        <v>7517</v>
      </c>
      <c r="B7504">
        <v>477</v>
      </c>
      <c r="C7504" s="1" t="str">
        <f>HYPERLINK("http://www.rosaceae.org/gb/gbrowse/malus_x_domestica/?name=MDP0000846257","MDP0000846257")</f>
        <v>MDP0000846257</v>
      </c>
      <c r="D7504">
        <v>66.180000000000007</v>
      </c>
      <c r="E7504">
        <v>482</v>
      </c>
      <c r="F7504">
        <v>163</v>
      </c>
      <c r="G7504">
        <v>9</v>
      </c>
      <c r="H7504">
        <v>1</v>
      </c>
      <c r="I7504">
        <v>474</v>
      </c>
      <c r="J7504">
        <v>1</v>
      </c>
      <c r="K7504">
        <v>1</v>
      </c>
      <c r="L7504">
        <v>481</v>
      </c>
      <c r="M7504">
        <v>1</v>
      </c>
      <c r="N7504">
        <v>0</v>
      </c>
      <c r="O7504">
        <v>1716</v>
      </c>
    </row>
    <row r="7505" spans="1:15" x14ac:dyDescent="0.25">
      <c r="A7505" t="s">
        <v>7518</v>
      </c>
      <c r="B7505">
        <v>235</v>
      </c>
      <c r="C7505" s="1" t="str">
        <f>HYPERLINK("http://www.rosaceae.org/gb/gbrowse/malus_x_domestica/?name=MDP0000273719","MDP0000273719")</f>
        <v>MDP0000273719</v>
      </c>
      <c r="D7505">
        <v>81.86</v>
      </c>
      <c r="E7505">
        <v>215</v>
      </c>
      <c r="F7505">
        <v>39</v>
      </c>
      <c r="G7505">
        <v>2</v>
      </c>
      <c r="H7505">
        <v>21</v>
      </c>
      <c r="I7505">
        <v>234</v>
      </c>
      <c r="J7505">
        <v>1</v>
      </c>
      <c r="K7505">
        <v>25</v>
      </c>
      <c r="L7505">
        <v>238</v>
      </c>
      <c r="M7505">
        <v>1</v>
      </c>
      <c r="N7505">
        <v>1.2765100000000001E-96</v>
      </c>
      <c r="O7505">
        <v>896</v>
      </c>
    </row>
    <row r="7506" spans="1:15" x14ac:dyDescent="0.25">
      <c r="A7506" t="s">
        <v>7519</v>
      </c>
      <c r="B7506">
        <v>187</v>
      </c>
      <c r="C7506" s="1" t="str">
        <f>HYPERLINK("http://www.rosaceae.org/gb/gbrowse/malus_x_domestica/?name=MDP0000237182","MDP0000237182")</f>
        <v>MDP0000237182</v>
      </c>
      <c r="D7506">
        <v>32.979999999999997</v>
      </c>
      <c r="E7506">
        <v>97</v>
      </c>
      <c r="F7506">
        <v>65</v>
      </c>
      <c r="G7506">
        <v>2</v>
      </c>
      <c r="H7506">
        <v>86</v>
      </c>
      <c r="I7506">
        <v>182</v>
      </c>
      <c r="J7506">
        <v>1</v>
      </c>
      <c r="K7506">
        <v>294</v>
      </c>
      <c r="L7506">
        <v>388</v>
      </c>
      <c r="M7506">
        <v>1</v>
      </c>
      <c r="N7506">
        <v>1.6233800000000001E-7</v>
      </c>
      <c r="O7506">
        <v>126</v>
      </c>
    </row>
    <row r="7507" spans="1:15" x14ac:dyDescent="0.25">
      <c r="A7507" t="s">
        <v>7520</v>
      </c>
      <c r="B7507">
        <v>261</v>
      </c>
      <c r="C7507" s="1" t="str">
        <f>HYPERLINK("http://www.rosaceae.org/gb/gbrowse/malus_x_domestica/?name=MDP0000837884","MDP0000837884")</f>
        <v>MDP0000837884</v>
      </c>
      <c r="D7507">
        <v>90.4</v>
      </c>
      <c r="E7507">
        <v>125</v>
      </c>
      <c r="F7507">
        <v>12</v>
      </c>
      <c r="G7507">
        <v>0</v>
      </c>
      <c r="H7507">
        <v>137</v>
      </c>
      <c r="I7507">
        <v>261</v>
      </c>
      <c r="J7507">
        <v>1</v>
      </c>
      <c r="K7507">
        <v>151</v>
      </c>
      <c r="L7507">
        <v>275</v>
      </c>
      <c r="M7507">
        <v>1</v>
      </c>
      <c r="N7507">
        <v>4.8955699999999996E-62</v>
      </c>
      <c r="O7507">
        <v>598</v>
      </c>
    </row>
    <row r="7508" spans="1:15" x14ac:dyDescent="0.25">
      <c r="A7508" t="s">
        <v>7521</v>
      </c>
      <c r="B7508">
        <v>581</v>
      </c>
      <c r="C7508" s="1" t="str">
        <f>HYPERLINK("http://www.rosaceae.org/gb/gbrowse/malus_x_domestica/?name=MDP0000320477","MDP0000320477")</f>
        <v>MDP0000320477</v>
      </c>
      <c r="D7508">
        <v>45.08</v>
      </c>
      <c r="E7508">
        <v>621</v>
      </c>
      <c r="F7508">
        <v>341</v>
      </c>
      <c r="G7508">
        <v>115</v>
      </c>
      <c r="H7508">
        <v>17</v>
      </c>
      <c r="I7508">
        <v>579</v>
      </c>
      <c r="J7508">
        <v>1</v>
      </c>
      <c r="K7508">
        <v>519</v>
      </c>
      <c r="L7508">
        <v>1082</v>
      </c>
      <c r="M7508">
        <v>1</v>
      </c>
      <c r="N7508">
        <v>4.636E-108</v>
      </c>
      <c r="O7508">
        <v>999</v>
      </c>
    </row>
    <row r="7509" spans="1:15" x14ac:dyDescent="0.25">
      <c r="A7509" t="s">
        <v>7522</v>
      </c>
      <c r="B7509">
        <v>238</v>
      </c>
      <c r="C7509" s="1" t="str">
        <f>HYPERLINK("http://www.rosaceae.org/gb/gbrowse/malus_x_domestica/?name=MDP0000802295","MDP0000802295")</f>
        <v>MDP0000802295</v>
      </c>
      <c r="D7509">
        <v>63.97</v>
      </c>
      <c r="E7509">
        <v>186</v>
      </c>
      <c r="F7509">
        <v>67</v>
      </c>
      <c r="G7509">
        <v>19</v>
      </c>
      <c r="H7509">
        <v>72</v>
      </c>
      <c r="I7509">
        <v>238</v>
      </c>
      <c r="J7509">
        <v>1</v>
      </c>
      <c r="K7509">
        <v>145</v>
      </c>
      <c r="L7509">
        <v>330</v>
      </c>
      <c r="M7509">
        <v>1</v>
      </c>
      <c r="N7509">
        <v>3.01104E-61</v>
      </c>
      <c r="O7509">
        <v>591</v>
      </c>
    </row>
    <row r="7510" spans="1:15" x14ac:dyDescent="0.25">
      <c r="A7510" t="s">
        <v>7523</v>
      </c>
      <c r="B7510">
        <v>113</v>
      </c>
      <c r="C7510" s="1" t="str">
        <f>HYPERLINK("http://www.rosaceae.org/gb/gbrowse/malus_x_domestica/?name=MDP0000184565","MDP0000184565")</f>
        <v>MDP0000184565</v>
      </c>
      <c r="D7510">
        <v>51.32</v>
      </c>
      <c r="E7510">
        <v>113</v>
      </c>
      <c r="F7510">
        <v>55</v>
      </c>
      <c r="G7510">
        <v>0</v>
      </c>
      <c r="H7510">
        <v>1</v>
      </c>
      <c r="I7510">
        <v>113</v>
      </c>
      <c r="J7510">
        <v>1</v>
      </c>
      <c r="K7510">
        <v>1</v>
      </c>
      <c r="L7510">
        <v>113</v>
      </c>
      <c r="M7510">
        <v>1</v>
      </c>
      <c r="N7510">
        <v>1.0441000000000001E-28</v>
      </c>
      <c r="O7510">
        <v>305</v>
      </c>
    </row>
    <row r="7511" spans="1:15" x14ac:dyDescent="0.25">
      <c r="A7511" t="s">
        <v>7524</v>
      </c>
      <c r="B7511">
        <v>178</v>
      </c>
      <c r="C7511" s="1" t="str">
        <f>HYPERLINK("http://www.rosaceae.org/gb/gbrowse/malus_x_domestica/?name=MDP0000132567","MDP0000132567")</f>
        <v>MDP0000132567</v>
      </c>
      <c r="D7511">
        <v>91.57</v>
      </c>
      <c r="E7511">
        <v>178</v>
      </c>
      <c r="F7511">
        <v>15</v>
      </c>
      <c r="G7511">
        <v>0</v>
      </c>
      <c r="H7511">
        <v>1</v>
      </c>
      <c r="I7511">
        <v>178</v>
      </c>
      <c r="J7511">
        <v>1</v>
      </c>
      <c r="K7511">
        <v>57</v>
      </c>
      <c r="L7511">
        <v>234</v>
      </c>
      <c r="M7511">
        <v>1</v>
      </c>
      <c r="N7511">
        <v>1.3322700000000001E-95</v>
      </c>
      <c r="O7511">
        <v>885</v>
      </c>
    </row>
    <row r="7512" spans="1:15" x14ac:dyDescent="0.25">
      <c r="A7512" t="s">
        <v>7525</v>
      </c>
      <c r="B7512">
        <v>135</v>
      </c>
      <c r="C7512" s="1" t="str">
        <f>HYPERLINK("http://www.rosaceae.org/gb/gbrowse/malus_x_domestica/?name=MDP0000249065","MDP0000249065")</f>
        <v>MDP0000249065</v>
      </c>
      <c r="D7512">
        <v>53.22</v>
      </c>
      <c r="E7512">
        <v>62</v>
      </c>
      <c r="F7512">
        <v>29</v>
      </c>
      <c r="G7512">
        <v>2</v>
      </c>
      <c r="H7512">
        <v>76</v>
      </c>
      <c r="I7512">
        <v>135</v>
      </c>
      <c r="J7512">
        <v>1</v>
      </c>
      <c r="K7512">
        <v>64</v>
      </c>
      <c r="L7512">
        <v>125</v>
      </c>
      <c r="M7512">
        <v>1</v>
      </c>
      <c r="N7512">
        <v>3.7192000000000002E-15</v>
      </c>
      <c r="O7512">
        <v>189</v>
      </c>
    </row>
    <row r="7513" spans="1:15" x14ac:dyDescent="0.25">
      <c r="A7513" t="s">
        <v>7526</v>
      </c>
      <c r="B7513">
        <v>502</v>
      </c>
      <c r="C7513" s="1" t="str">
        <f>HYPERLINK("http://www.rosaceae.org/gb/gbrowse/malus_x_domestica/?name=MDP0000415407","MDP0000415407")</f>
        <v>MDP0000415407</v>
      </c>
      <c r="D7513">
        <v>67.739999999999995</v>
      </c>
      <c r="E7513">
        <v>524</v>
      </c>
      <c r="F7513">
        <v>169</v>
      </c>
      <c r="G7513">
        <v>37</v>
      </c>
      <c r="H7513">
        <v>1</v>
      </c>
      <c r="I7513">
        <v>496</v>
      </c>
      <c r="J7513">
        <v>1</v>
      </c>
      <c r="K7513">
        <v>1</v>
      </c>
      <c r="L7513">
        <v>515</v>
      </c>
      <c r="M7513">
        <v>1</v>
      </c>
      <c r="N7513">
        <v>0</v>
      </c>
      <c r="O7513">
        <v>1664</v>
      </c>
    </row>
    <row r="7514" spans="1:15" x14ac:dyDescent="0.25">
      <c r="A7514" t="s">
        <v>7527</v>
      </c>
      <c r="B7514">
        <v>716</v>
      </c>
      <c r="C7514" s="1" t="str">
        <f>HYPERLINK("http://www.rosaceae.org/gb/gbrowse/malus_x_domestica/?name=MDP0000258451","MDP0000258451")</f>
        <v>MDP0000258451</v>
      </c>
      <c r="D7514">
        <v>62.82</v>
      </c>
      <c r="E7514">
        <v>659</v>
      </c>
      <c r="F7514">
        <v>245</v>
      </c>
      <c r="G7514">
        <v>58</v>
      </c>
      <c r="H7514">
        <v>1</v>
      </c>
      <c r="I7514">
        <v>630</v>
      </c>
      <c r="J7514">
        <v>1</v>
      </c>
      <c r="K7514">
        <v>1</v>
      </c>
      <c r="L7514">
        <v>630</v>
      </c>
      <c r="M7514">
        <v>1</v>
      </c>
      <c r="N7514">
        <v>0</v>
      </c>
      <c r="O7514">
        <v>2040</v>
      </c>
    </row>
    <row r="7515" spans="1:15" x14ac:dyDescent="0.25">
      <c r="A7515" t="s">
        <v>7528</v>
      </c>
      <c r="B7515">
        <v>263</v>
      </c>
      <c r="C7515" s="1" t="str">
        <f>HYPERLINK("http://www.rosaceae.org/gb/gbrowse/malus_x_domestica/?name=MDP0000417211","MDP0000417211")</f>
        <v>MDP0000417211</v>
      </c>
      <c r="D7515">
        <v>50</v>
      </c>
      <c r="E7515">
        <v>150</v>
      </c>
      <c r="F7515">
        <v>75</v>
      </c>
      <c r="G7515">
        <v>5</v>
      </c>
      <c r="H7515">
        <v>65</v>
      </c>
      <c r="I7515">
        <v>214</v>
      </c>
      <c r="J7515">
        <v>1</v>
      </c>
      <c r="K7515">
        <v>19</v>
      </c>
      <c r="L7515">
        <v>163</v>
      </c>
      <c r="M7515">
        <v>1</v>
      </c>
      <c r="N7515">
        <v>3.7305299999999999E-35</v>
      </c>
      <c r="O7515">
        <v>366</v>
      </c>
    </row>
    <row r="7516" spans="1:15" x14ac:dyDescent="0.25">
      <c r="A7516" t="s">
        <v>7529</v>
      </c>
      <c r="B7516">
        <v>831</v>
      </c>
      <c r="C7516" s="1" t="str">
        <f>HYPERLINK("http://www.rosaceae.org/gb/gbrowse/malus_x_domestica/?name=MDP0000256303","MDP0000256303")</f>
        <v>MDP0000256303</v>
      </c>
      <c r="D7516">
        <v>38.96</v>
      </c>
      <c r="E7516">
        <v>834</v>
      </c>
      <c r="F7516">
        <v>509</v>
      </c>
      <c r="G7516">
        <v>48</v>
      </c>
      <c r="H7516">
        <v>36</v>
      </c>
      <c r="I7516">
        <v>831</v>
      </c>
      <c r="J7516">
        <v>1</v>
      </c>
      <c r="K7516">
        <v>77</v>
      </c>
      <c r="L7516">
        <v>900</v>
      </c>
      <c r="M7516">
        <v>1</v>
      </c>
      <c r="N7516">
        <v>9.7357799999999995E-141</v>
      </c>
      <c r="O7516">
        <v>1282</v>
      </c>
    </row>
    <row r="7517" spans="1:15" x14ac:dyDescent="0.25">
      <c r="A7517" t="s">
        <v>7530</v>
      </c>
      <c r="B7517">
        <v>323</v>
      </c>
      <c r="C7517" s="1" t="str">
        <f>HYPERLINK("http://www.rosaceae.org/gb/gbrowse/malus_x_domestica/?name=MDP0000139113","MDP0000139113")</f>
        <v>MDP0000139113</v>
      </c>
      <c r="D7517">
        <v>70.2</v>
      </c>
      <c r="E7517">
        <v>349</v>
      </c>
      <c r="F7517">
        <v>104</v>
      </c>
      <c r="G7517">
        <v>32</v>
      </c>
      <c r="H7517">
        <v>1</v>
      </c>
      <c r="I7517">
        <v>323</v>
      </c>
      <c r="J7517">
        <v>1</v>
      </c>
      <c r="K7517">
        <v>1</v>
      </c>
      <c r="L7517">
        <v>343</v>
      </c>
      <c r="M7517">
        <v>1</v>
      </c>
      <c r="N7517">
        <v>1.2553199999999999E-131</v>
      </c>
      <c r="O7517">
        <v>1199</v>
      </c>
    </row>
    <row r="7518" spans="1:15" x14ac:dyDescent="0.25">
      <c r="A7518" t="s">
        <v>7531</v>
      </c>
      <c r="B7518">
        <v>357</v>
      </c>
      <c r="C7518" s="1" t="str">
        <f>HYPERLINK("http://www.rosaceae.org/gb/gbrowse/malus_x_domestica/?name=MDP0000765411","MDP0000765411")</f>
        <v>MDP0000765411</v>
      </c>
      <c r="D7518">
        <v>64.81</v>
      </c>
      <c r="E7518">
        <v>361</v>
      </c>
      <c r="F7518">
        <v>127</v>
      </c>
      <c r="G7518">
        <v>7</v>
      </c>
      <c r="H7518">
        <v>1</v>
      </c>
      <c r="I7518">
        <v>357</v>
      </c>
      <c r="J7518">
        <v>1</v>
      </c>
      <c r="K7518">
        <v>1</v>
      </c>
      <c r="L7518">
        <v>358</v>
      </c>
      <c r="M7518">
        <v>1</v>
      </c>
      <c r="N7518">
        <v>2.7179599999999998E-125</v>
      </c>
      <c r="O7518">
        <v>1145</v>
      </c>
    </row>
    <row r="7519" spans="1:15" x14ac:dyDescent="0.25">
      <c r="A7519" t="s">
        <v>7532</v>
      </c>
      <c r="B7519">
        <v>502</v>
      </c>
      <c r="C7519" s="1" t="str">
        <f>HYPERLINK("http://www.rosaceae.org/gb/gbrowse/malus_x_domestica/?name=MDP0000256949","MDP0000256949")</f>
        <v>MDP0000256949</v>
      </c>
      <c r="D7519">
        <v>80.66</v>
      </c>
      <c r="E7519">
        <v>512</v>
      </c>
      <c r="F7519">
        <v>99</v>
      </c>
      <c r="G7519">
        <v>11</v>
      </c>
      <c r="H7519">
        <v>1</v>
      </c>
      <c r="I7519">
        <v>502</v>
      </c>
      <c r="J7519">
        <v>1</v>
      </c>
      <c r="K7519">
        <v>1</v>
      </c>
      <c r="L7519">
        <v>511</v>
      </c>
      <c r="M7519">
        <v>1</v>
      </c>
      <c r="N7519">
        <v>0</v>
      </c>
      <c r="O7519">
        <v>2174</v>
      </c>
    </row>
    <row r="7520" spans="1:15" x14ac:dyDescent="0.25">
      <c r="A7520" t="s">
        <v>7533</v>
      </c>
      <c r="B7520">
        <v>277</v>
      </c>
      <c r="C7520" s="1" t="str">
        <f>HYPERLINK("http://www.rosaceae.org/gb/gbrowse/malus_x_domestica/?name=MDP0000249947","MDP0000249947")</f>
        <v>MDP0000249947</v>
      </c>
      <c r="D7520">
        <v>36.04</v>
      </c>
      <c r="E7520">
        <v>258</v>
      </c>
      <c r="F7520">
        <v>165</v>
      </c>
      <c r="G7520">
        <v>44</v>
      </c>
      <c r="H7520">
        <v>1</v>
      </c>
      <c r="I7520">
        <v>249</v>
      </c>
      <c r="J7520">
        <v>1</v>
      </c>
      <c r="K7520">
        <v>20</v>
      </c>
      <c r="L7520">
        <v>242</v>
      </c>
      <c r="M7520">
        <v>1</v>
      </c>
      <c r="N7520">
        <v>3.1295699999999998E-31</v>
      </c>
      <c r="O7520">
        <v>333</v>
      </c>
    </row>
    <row r="7521" spans="1:15" x14ac:dyDescent="0.25">
      <c r="A7521" t="s">
        <v>7534</v>
      </c>
      <c r="B7521">
        <v>412</v>
      </c>
      <c r="C7521" s="1" t="str">
        <f>HYPERLINK("http://www.rosaceae.org/gb/gbrowse/malus_x_domestica/?name=MDP0000864442","MDP0000864442")</f>
        <v>MDP0000864442</v>
      </c>
      <c r="D7521">
        <v>61.94</v>
      </c>
      <c r="E7521">
        <v>318</v>
      </c>
      <c r="F7521">
        <v>121</v>
      </c>
      <c r="G7521">
        <v>12</v>
      </c>
      <c r="H7521">
        <v>90</v>
      </c>
      <c r="I7521">
        <v>406</v>
      </c>
      <c r="J7521">
        <v>1</v>
      </c>
      <c r="K7521">
        <v>141</v>
      </c>
      <c r="L7521">
        <v>447</v>
      </c>
      <c r="M7521">
        <v>1</v>
      </c>
      <c r="N7521">
        <v>3.59077E-109</v>
      </c>
      <c r="O7521">
        <v>1007</v>
      </c>
    </row>
    <row r="7522" spans="1:15" x14ac:dyDescent="0.25">
      <c r="A7522" t="s">
        <v>7535</v>
      </c>
      <c r="B7522">
        <v>927</v>
      </c>
      <c r="C7522" s="1" t="str">
        <f>HYPERLINK("http://www.rosaceae.org/gb/gbrowse/malus_x_domestica/?name=MDP0000136662","MDP0000136662")</f>
        <v>MDP0000136662</v>
      </c>
      <c r="D7522">
        <v>66.87</v>
      </c>
      <c r="E7522">
        <v>474</v>
      </c>
      <c r="F7522">
        <v>157</v>
      </c>
      <c r="G7522">
        <v>36</v>
      </c>
      <c r="H7522">
        <v>38</v>
      </c>
      <c r="I7522">
        <v>487</v>
      </c>
      <c r="J7522">
        <v>1</v>
      </c>
      <c r="K7522">
        <v>1</v>
      </c>
      <c r="L7522">
        <v>462</v>
      </c>
      <c r="M7522">
        <v>1</v>
      </c>
      <c r="N7522">
        <v>7.2320199999999997E-171</v>
      </c>
      <c r="O7522">
        <v>1543</v>
      </c>
    </row>
    <row r="7523" spans="1:15" x14ac:dyDescent="0.25">
      <c r="A7523" t="s">
        <v>7536</v>
      </c>
      <c r="B7523">
        <v>221</v>
      </c>
      <c r="C7523" s="1" t="str">
        <f>HYPERLINK("http://www.rosaceae.org/gb/gbrowse/malus_x_domestica/?name=MDP0000185642","MDP0000185642")</f>
        <v>MDP0000185642</v>
      </c>
      <c r="D7523">
        <v>70.44</v>
      </c>
      <c r="E7523">
        <v>203</v>
      </c>
      <c r="F7523">
        <v>60</v>
      </c>
      <c r="G7523">
        <v>2</v>
      </c>
      <c r="H7523">
        <v>19</v>
      </c>
      <c r="I7523">
        <v>221</v>
      </c>
      <c r="J7523">
        <v>1</v>
      </c>
      <c r="K7523">
        <v>19</v>
      </c>
      <c r="L7523">
        <v>219</v>
      </c>
      <c r="M7523">
        <v>1</v>
      </c>
      <c r="N7523">
        <v>2.6601100000000001E-76</v>
      </c>
      <c r="O7523">
        <v>720</v>
      </c>
    </row>
    <row r="7524" spans="1:15" x14ac:dyDescent="0.25">
      <c r="A7524" t="s">
        <v>7537</v>
      </c>
      <c r="B7524">
        <v>245</v>
      </c>
      <c r="C7524" s="1" t="str">
        <f>HYPERLINK("http://www.rosaceae.org/gb/gbrowse/malus_x_domestica/?name=MDP0000271312","MDP0000271312")</f>
        <v>MDP0000271312</v>
      </c>
      <c r="D7524">
        <v>25.4</v>
      </c>
      <c r="E7524">
        <v>185</v>
      </c>
      <c r="F7524">
        <v>138</v>
      </c>
      <c r="G7524">
        <v>26</v>
      </c>
      <c r="H7524">
        <v>19</v>
      </c>
      <c r="I7524">
        <v>177</v>
      </c>
      <c r="J7524">
        <v>1</v>
      </c>
      <c r="K7524">
        <v>214</v>
      </c>
      <c r="L7524">
        <v>398</v>
      </c>
      <c r="M7524">
        <v>1</v>
      </c>
      <c r="N7524">
        <v>3.7572799999999999E-7</v>
      </c>
      <c r="O7524">
        <v>124</v>
      </c>
    </row>
    <row r="7525" spans="1:15" x14ac:dyDescent="0.25">
      <c r="A7525" t="s">
        <v>7538</v>
      </c>
      <c r="B7525">
        <v>472</v>
      </c>
      <c r="C7525" s="1" t="str">
        <f>HYPERLINK("http://www.rosaceae.org/gb/gbrowse/malus_x_domestica/?name=MDP0000261830","MDP0000261830")</f>
        <v>MDP0000261830</v>
      </c>
      <c r="D7525">
        <v>86.48</v>
      </c>
      <c r="E7525">
        <v>296</v>
      </c>
      <c r="F7525">
        <v>40</v>
      </c>
      <c r="G7525">
        <v>2</v>
      </c>
      <c r="H7525">
        <v>171</v>
      </c>
      <c r="I7525">
        <v>466</v>
      </c>
      <c r="J7525">
        <v>1</v>
      </c>
      <c r="K7525">
        <v>1</v>
      </c>
      <c r="L7525">
        <v>294</v>
      </c>
      <c r="M7525">
        <v>1</v>
      </c>
      <c r="N7525">
        <v>1.9870399999999999E-155</v>
      </c>
      <c r="O7525">
        <v>1407</v>
      </c>
    </row>
    <row r="7526" spans="1:15" x14ac:dyDescent="0.25">
      <c r="A7526" t="s">
        <v>7539</v>
      </c>
      <c r="B7526">
        <v>1098</v>
      </c>
      <c r="C7526" s="1" t="str">
        <f>HYPERLINK("http://www.rosaceae.org/gb/gbrowse/malus_x_domestica/?name=MDP0000311820","MDP0000311820")</f>
        <v>MDP0000311820</v>
      </c>
      <c r="D7526">
        <v>72.08</v>
      </c>
      <c r="E7526">
        <v>394</v>
      </c>
      <c r="F7526">
        <v>110</v>
      </c>
      <c r="G7526">
        <v>48</v>
      </c>
      <c r="H7526">
        <v>1</v>
      </c>
      <c r="I7526">
        <v>346</v>
      </c>
      <c r="J7526">
        <v>1</v>
      </c>
      <c r="K7526">
        <v>1</v>
      </c>
      <c r="L7526">
        <v>394</v>
      </c>
      <c r="M7526">
        <v>1</v>
      </c>
      <c r="N7526">
        <v>2.1836499999999999E-165</v>
      </c>
      <c r="O7526">
        <v>1496</v>
      </c>
    </row>
    <row r="7527" spans="1:15" x14ac:dyDescent="0.25">
      <c r="A7527" t="s">
        <v>7540</v>
      </c>
      <c r="B7527">
        <v>478</v>
      </c>
      <c r="C7527" s="1" t="str">
        <f>HYPERLINK("http://www.rosaceae.org/gb/gbrowse/malus_x_domestica/?name=MDP0000271312","MDP0000271312")</f>
        <v>MDP0000271312</v>
      </c>
      <c r="D7527">
        <v>31.45</v>
      </c>
      <c r="E7527">
        <v>124</v>
      </c>
      <c r="F7527">
        <v>85</v>
      </c>
      <c r="G7527">
        <v>7</v>
      </c>
      <c r="H7527">
        <v>76</v>
      </c>
      <c r="I7527">
        <v>199</v>
      </c>
      <c r="J7527">
        <v>1</v>
      </c>
      <c r="K7527">
        <v>295</v>
      </c>
      <c r="L7527">
        <v>411</v>
      </c>
      <c r="M7527">
        <v>1</v>
      </c>
      <c r="N7527">
        <v>1.1851200000000001E-8</v>
      </c>
      <c r="O7527">
        <v>141</v>
      </c>
    </row>
    <row r="7528" spans="1:15" x14ac:dyDescent="0.25">
      <c r="A7528" t="s">
        <v>7541</v>
      </c>
      <c r="B7528">
        <v>619</v>
      </c>
      <c r="C7528" s="1" t="str">
        <f>HYPERLINK("http://www.rosaceae.org/gb/gbrowse/malus_x_domestica/?name=MDP0000209974","MDP0000209974")</f>
        <v>MDP0000209974</v>
      </c>
      <c r="D7528">
        <v>65.14</v>
      </c>
      <c r="E7528">
        <v>680</v>
      </c>
      <c r="F7528">
        <v>237</v>
      </c>
      <c r="G7528">
        <v>61</v>
      </c>
      <c r="H7528">
        <v>1</v>
      </c>
      <c r="I7528">
        <v>619</v>
      </c>
      <c r="J7528">
        <v>1</v>
      </c>
      <c r="K7528">
        <v>1</v>
      </c>
      <c r="L7528">
        <v>680</v>
      </c>
      <c r="M7528">
        <v>1</v>
      </c>
      <c r="N7528">
        <v>0</v>
      </c>
      <c r="O7528">
        <v>2185</v>
      </c>
    </row>
    <row r="7529" spans="1:15" x14ac:dyDescent="0.25">
      <c r="A7529" t="s">
        <v>7542</v>
      </c>
      <c r="B7529">
        <v>253</v>
      </c>
      <c r="C7529" s="1" t="str">
        <f>HYPERLINK("http://www.rosaceae.org/gb/gbrowse/malus_x_domestica/?name=MDP0000375310","MDP0000375310")</f>
        <v>MDP0000375310</v>
      </c>
      <c r="D7529">
        <v>75.39</v>
      </c>
      <c r="E7529">
        <v>256</v>
      </c>
      <c r="F7529">
        <v>63</v>
      </c>
      <c r="G7529">
        <v>3</v>
      </c>
      <c r="H7529">
        <v>1</v>
      </c>
      <c r="I7529">
        <v>253</v>
      </c>
      <c r="J7529">
        <v>1</v>
      </c>
      <c r="K7529">
        <v>273</v>
      </c>
      <c r="L7529">
        <v>528</v>
      </c>
      <c r="M7529">
        <v>1</v>
      </c>
      <c r="N7529">
        <v>6.8437200000000001E-111</v>
      </c>
      <c r="O7529">
        <v>1019</v>
      </c>
    </row>
    <row r="7530" spans="1:15" x14ac:dyDescent="0.25">
      <c r="A7530" t="s">
        <v>7543</v>
      </c>
      <c r="B7530">
        <v>556</v>
      </c>
      <c r="C7530" s="1" t="str">
        <f>HYPERLINK("http://www.rosaceae.org/gb/gbrowse/malus_x_domestica/?name=MDP0000458882","MDP0000458882")</f>
        <v>MDP0000458882</v>
      </c>
      <c r="D7530">
        <v>71.16</v>
      </c>
      <c r="E7530">
        <v>541</v>
      </c>
      <c r="F7530">
        <v>156</v>
      </c>
      <c r="G7530">
        <v>5</v>
      </c>
      <c r="H7530">
        <v>1</v>
      </c>
      <c r="I7530">
        <v>539</v>
      </c>
      <c r="J7530">
        <v>1</v>
      </c>
      <c r="K7530">
        <v>1</v>
      </c>
      <c r="L7530">
        <v>538</v>
      </c>
      <c r="M7530">
        <v>1</v>
      </c>
      <c r="N7530">
        <v>0</v>
      </c>
      <c r="O7530">
        <v>1883</v>
      </c>
    </row>
    <row r="7531" spans="1:15" x14ac:dyDescent="0.25">
      <c r="A7531" t="s">
        <v>7544</v>
      </c>
      <c r="B7531">
        <v>436</v>
      </c>
      <c r="C7531" s="1" t="str">
        <f>HYPERLINK("http://www.rosaceae.org/gb/gbrowse/malus_x_domestica/?name=MDP0000182082","MDP0000182082")</f>
        <v>MDP0000182082</v>
      </c>
      <c r="D7531">
        <v>86.23</v>
      </c>
      <c r="E7531">
        <v>436</v>
      </c>
      <c r="F7531">
        <v>60</v>
      </c>
      <c r="G7531">
        <v>13</v>
      </c>
      <c r="H7531">
        <v>1</v>
      </c>
      <c r="I7531">
        <v>436</v>
      </c>
      <c r="J7531">
        <v>1</v>
      </c>
      <c r="K7531">
        <v>1</v>
      </c>
      <c r="L7531">
        <v>423</v>
      </c>
      <c r="M7531">
        <v>1</v>
      </c>
      <c r="N7531">
        <v>0</v>
      </c>
      <c r="O7531">
        <v>1992</v>
      </c>
    </row>
    <row r="7532" spans="1:15" x14ac:dyDescent="0.25">
      <c r="A7532" t="s">
        <v>7545</v>
      </c>
      <c r="B7532">
        <v>230</v>
      </c>
      <c r="C7532" s="1" t="str">
        <f>HYPERLINK("http://www.rosaceae.org/gb/gbrowse/malus_x_domestica/?name=MDP0000162566","MDP0000162566")</f>
        <v>MDP0000162566</v>
      </c>
      <c r="D7532">
        <v>39.57</v>
      </c>
      <c r="E7532">
        <v>235</v>
      </c>
      <c r="F7532">
        <v>142</v>
      </c>
      <c r="G7532">
        <v>29</v>
      </c>
      <c r="H7532">
        <v>1</v>
      </c>
      <c r="I7532">
        <v>212</v>
      </c>
      <c r="J7532">
        <v>1</v>
      </c>
      <c r="K7532">
        <v>363</v>
      </c>
      <c r="L7532">
        <v>591</v>
      </c>
      <c r="M7532">
        <v>1</v>
      </c>
      <c r="N7532">
        <v>7.5861300000000002E-35</v>
      </c>
      <c r="O7532">
        <v>363</v>
      </c>
    </row>
    <row r="7533" spans="1:15" x14ac:dyDescent="0.25">
      <c r="A7533" t="s">
        <v>7546</v>
      </c>
      <c r="B7533">
        <v>538</v>
      </c>
      <c r="C7533" s="1" t="str">
        <f>HYPERLINK("http://www.rosaceae.org/gb/gbrowse/malus_x_domestica/?name=MDP0000276798","MDP0000276798")</f>
        <v>MDP0000276798</v>
      </c>
      <c r="D7533">
        <v>41.32</v>
      </c>
      <c r="E7533">
        <v>530</v>
      </c>
      <c r="F7533">
        <v>311</v>
      </c>
      <c r="G7533">
        <v>37</v>
      </c>
      <c r="H7533">
        <v>22</v>
      </c>
      <c r="I7533">
        <v>538</v>
      </c>
      <c r="J7533">
        <v>1</v>
      </c>
      <c r="K7533">
        <v>7</v>
      </c>
      <c r="L7533">
        <v>512</v>
      </c>
      <c r="M7533">
        <v>1</v>
      </c>
      <c r="N7533">
        <v>6.7025199999999993E-111</v>
      </c>
      <c r="O7533">
        <v>1023</v>
      </c>
    </row>
    <row r="7534" spans="1:15" x14ac:dyDescent="0.25">
      <c r="A7534" t="s">
        <v>7547</v>
      </c>
      <c r="B7534">
        <v>340</v>
      </c>
      <c r="C7534" s="1" t="str">
        <f>HYPERLINK("http://www.rosaceae.org/gb/gbrowse/malus_x_domestica/?name=MDP0000274300","MDP0000274300")</f>
        <v>MDP0000274300</v>
      </c>
      <c r="D7534">
        <v>66.069999999999993</v>
      </c>
      <c r="E7534">
        <v>339</v>
      </c>
      <c r="F7534">
        <v>115</v>
      </c>
      <c r="G7534">
        <v>31</v>
      </c>
      <c r="H7534">
        <v>18</v>
      </c>
      <c r="I7534">
        <v>340</v>
      </c>
      <c r="J7534">
        <v>1</v>
      </c>
      <c r="K7534">
        <v>28</v>
      </c>
      <c r="L7534">
        <v>351</v>
      </c>
      <c r="M7534">
        <v>1</v>
      </c>
      <c r="N7534">
        <v>1.88611E-107</v>
      </c>
      <c r="O7534">
        <v>991</v>
      </c>
    </row>
    <row r="7535" spans="1:15" x14ac:dyDescent="0.25">
      <c r="A7535" t="s">
        <v>7548</v>
      </c>
      <c r="B7535">
        <v>126</v>
      </c>
      <c r="C7535" s="1" t="str">
        <f>HYPERLINK("http://www.rosaceae.org/gb/gbrowse/malus_x_domestica/?name=MDP0000655948","MDP0000655948")</f>
        <v>MDP0000655948</v>
      </c>
      <c r="D7535">
        <v>64.28</v>
      </c>
      <c r="E7535">
        <v>112</v>
      </c>
      <c r="F7535">
        <v>40</v>
      </c>
      <c r="G7535">
        <v>0</v>
      </c>
      <c r="H7535">
        <v>12</v>
      </c>
      <c r="I7535">
        <v>123</v>
      </c>
      <c r="J7535">
        <v>1</v>
      </c>
      <c r="K7535">
        <v>5</v>
      </c>
      <c r="L7535">
        <v>116</v>
      </c>
      <c r="M7535">
        <v>1</v>
      </c>
      <c r="N7535">
        <v>1.78355E-39</v>
      </c>
      <c r="O7535">
        <v>398</v>
      </c>
    </row>
    <row r="7536" spans="1:15" x14ac:dyDescent="0.25">
      <c r="A7536" t="s">
        <v>7549</v>
      </c>
      <c r="B7536">
        <v>1520</v>
      </c>
      <c r="C7536" s="1" t="str">
        <f>HYPERLINK("http://www.rosaceae.org/gb/gbrowse/malus_x_domestica/?name=MDP0000786706","MDP0000786706")</f>
        <v>MDP0000786706</v>
      </c>
      <c r="D7536">
        <v>87.1</v>
      </c>
      <c r="E7536">
        <v>512</v>
      </c>
      <c r="F7536">
        <v>66</v>
      </c>
      <c r="G7536">
        <v>0</v>
      </c>
      <c r="H7536">
        <v>10</v>
      </c>
      <c r="I7536">
        <v>521</v>
      </c>
      <c r="J7536">
        <v>1</v>
      </c>
      <c r="K7536">
        <v>2</v>
      </c>
      <c r="L7536">
        <v>513</v>
      </c>
      <c r="M7536">
        <v>1</v>
      </c>
      <c r="N7536">
        <v>0</v>
      </c>
      <c r="O7536">
        <v>2469</v>
      </c>
    </row>
    <row r="7537" spans="1:15" x14ac:dyDescent="0.25">
      <c r="A7537" t="s">
        <v>7550</v>
      </c>
      <c r="B7537">
        <v>156</v>
      </c>
      <c r="C7537" s="1" t="str">
        <f>HYPERLINK("http://www.rosaceae.org/gb/gbrowse/malus_x_domestica/?name=MDP0000668869","MDP0000668869")</f>
        <v>MDP0000668869</v>
      </c>
      <c r="D7537">
        <v>72</v>
      </c>
      <c r="E7537">
        <v>150</v>
      </c>
      <c r="F7537">
        <v>42</v>
      </c>
      <c r="G7537">
        <v>0</v>
      </c>
      <c r="H7537">
        <v>1</v>
      </c>
      <c r="I7537">
        <v>150</v>
      </c>
      <c r="J7537">
        <v>1</v>
      </c>
      <c r="K7537">
        <v>87</v>
      </c>
      <c r="L7537">
        <v>236</v>
      </c>
      <c r="M7537">
        <v>1</v>
      </c>
      <c r="N7537">
        <v>3.5998399999999998E-59</v>
      </c>
      <c r="O7537">
        <v>570</v>
      </c>
    </row>
    <row r="7538" spans="1:15" x14ac:dyDescent="0.25">
      <c r="A7538" t="s">
        <v>7551</v>
      </c>
      <c r="B7538">
        <v>892</v>
      </c>
      <c r="C7538" s="1" t="str">
        <f>HYPERLINK("http://www.rosaceae.org/gb/gbrowse/malus_x_domestica/?name=MDP0000141889","MDP0000141889")</f>
        <v>MDP0000141889</v>
      </c>
      <c r="D7538">
        <v>74.33</v>
      </c>
      <c r="E7538">
        <v>604</v>
      </c>
      <c r="F7538">
        <v>155</v>
      </c>
      <c r="G7538">
        <v>12</v>
      </c>
      <c r="H7538">
        <v>67</v>
      </c>
      <c r="I7538">
        <v>670</v>
      </c>
      <c r="J7538">
        <v>1</v>
      </c>
      <c r="K7538">
        <v>10</v>
      </c>
      <c r="L7538">
        <v>601</v>
      </c>
      <c r="M7538">
        <v>1</v>
      </c>
      <c r="N7538">
        <v>0</v>
      </c>
      <c r="O7538">
        <v>2534</v>
      </c>
    </row>
    <row r="7539" spans="1:15" x14ac:dyDescent="0.25">
      <c r="A7539" t="s">
        <v>7552</v>
      </c>
      <c r="B7539">
        <v>327</v>
      </c>
      <c r="C7539" s="1" t="str">
        <f>HYPERLINK("http://www.rosaceae.org/gb/gbrowse/malus_x_domestica/?name=MDP0000585511","MDP0000585511")</f>
        <v>MDP0000585511</v>
      </c>
      <c r="D7539">
        <v>33</v>
      </c>
      <c r="E7539">
        <v>306</v>
      </c>
      <c r="F7539">
        <v>205</v>
      </c>
      <c r="G7539">
        <v>80</v>
      </c>
      <c r="H7539">
        <v>25</v>
      </c>
      <c r="I7539">
        <v>257</v>
      </c>
      <c r="J7539">
        <v>1</v>
      </c>
      <c r="K7539">
        <v>9</v>
      </c>
      <c r="L7539">
        <v>307</v>
      </c>
      <c r="M7539">
        <v>1</v>
      </c>
      <c r="N7539">
        <v>4.6732899999999998E-34</v>
      </c>
      <c r="O7539">
        <v>358</v>
      </c>
    </row>
    <row r="7540" spans="1:15" x14ac:dyDescent="0.25">
      <c r="A7540" t="s">
        <v>7553</v>
      </c>
      <c r="B7540">
        <v>179</v>
      </c>
      <c r="C7540" s="1" t="str">
        <f>HYPERLINK("http://www.rosaceae.org/gb/gbrowse/malus_x_domestica/?name=MDP0000765411","MDP0000765411")</f>
        <v>MDP0000765411</v>
      </c>
      <c r="D7540">
        <v>73.459999999999994</v>
      </c>
      <c r="E7540">
        <v>49</v>
      </c>
      <c r="F7540">
        <v>13</v>
      </c>
      <c r="G7540">
        <v>3</v>
      </c>
      <c r="H7540">
        <v>1</v>
      </c>
      <c r="I7540">
        <v>49</v>
      </c>
      <c r="J7540">
        <v>1</v>
      </c>
      <c r="K7540">
        <v>154</v>
      </c>
      <c r="L7540">
        <v>199</v>
      </c>
      <c r="M7540">
        <v>1</v>
      </c>
      <c r="N7540">
        <v>1.0064699999999999E-11</v>
      </c>
      <c r="O7540">
        <v>162</v>
      </c>
    </row>
    <row r="7541" spans="1:15" x14ac:dyDescent="0.25">
      <c r="A7541" t="s">
        <v>7554</v>
      </c>
      <c r="B7541">
        <v>835</v>
      </c>
      <c r="C7541" s="1" t="str">
        <f>HYPERLINK("http://www.rosaceae.org/gb/gbrowse/malus_x_domestica/?name=MDP0000255626","MDP0000255626")</f>
        <v>MDP0000255626</v>
      </c>
      <c r="D7541">
        <v>46.26</v>
      </c>
      <c r="E7541">
        <v>763</v>
      </c>
      <c r="F7541">
        <v>410</v>
      </c>
      <c r="G7541">
        <v>34</v>
      </c>
      <c r="H7541">
        <v>20</v>
      </c>
      <c r="I7541">
        <v>769</v>
      </c>
      <c r="J7541">
        <v>1</v>
      </c>
      <c r="K7541">
        <v>19</v>
      </c>
      <c r="L7541">
        <v>760</v>
      </c>
      <c r="M7541">
        <v>1</v>
      </c>
      <c r="N7541">
        <v>0</v>
      </c>
      <c r="O7541">
        <v>1637</v>
      </c>
    </row>
    <row r="7542" spans="1:15" x14ac:dyDescent="0.25">
      <c r="A7542" t="s">
        <v>7555</v>
      </c>
      <c r="B7542">
        <v>145</v>
      </c>
      <c r="C7542" s="1" t="str">
        <f>HYPERLINK("http://www.rosaceae.org/gb/gbrowse/malus_x_domestica/?name=MDP0000165523","MDP0000165523")</f>
        <v>MDP0000165523</v>
      </c>
      <c r="D7542">
        <v>86.2</v>
      </c>
      <c r="E7542">
        <v>29</v>
      </c>
      <c r="F7542">
        <v>4</v>
      </c>
      <c r="G7542">
        <v>0</v>
      </c>
      <c r="H7542">
        <v>41</v>
      </c>
      <c r="I7542">
        <v>69</v>
      </c>
      <c r="J7542">
        <v>1</v>
      </c>
      <c r="K7542">
        <v>54</v>
      </c>
      <c r="L7542">
        <v>82</v>
      </c>
      <c r="M7542">
        <v>1</v>
      </c>
      <c r="N7542">
        <v>1.3984099999999999E-10</v>
      </c>
      <c r="O7542">
        <v>150</v>
      </c>
    </row>
    <row r="7543" spans="1:15" x14ac:dyDescent="0.25">
      <c r="A7543" t="s">
        <v>7556</v>
      </c>
      <c r="B7543">
        <v>794</v>
      </c>
      <c r="C7543" s="1" t="str">
        <f>HYPERLINK("http://www.rosaceae.org/gb/gbrowse/malus_x_domestica/?name=MDP0000122961","MDP0000122961")</f>
        <v>MDP0000122961</v>
      </c>
      <c r="D7543">
        <v>39.69</v>
      </c>
      <c r="E7543">
        <v>665</v>
      </c>
      <c r="F7543">
        <v>401</v>
      </c>
      <c r="G7543">
        <v>101</v>
      </c>
      <c r="H7543">
        <v>160</v>
      </c>
      <c r="I7543">
        <v>770</v>
      </c>
      <c r="J7543">
        <v>1</v>
      </c>
      <c r="K7543">
        <v>492</v>
      </c>
      <c r="L7543">
        <v>1109</v>
      </c>
      <c r="M7543">
        <v>1</v>
      </c>
      <c r="N7543">
        <v>2.7730399999999997E-107</v>
      </c>
      <c r="O7543">
        <v>994</v>
      </c>
    </row>
    <row r="7544" spans="1:15" x14ac:dyDescent="0.25">
      <c r="A7544" t="s">
        <v>7557</v>
      </c>
      <c r="B7544">
        <v>555</v>
      </c>
      <c r="C7544" s="1" t="str">
        <f>HYPERLINK("http://www.rosaceae.org/gb/gbrowse/malus_x_domestica/?name=MDP0000300452","MDP0000300452")</f>
        <v>MDP0000300452</v>
      </c>
      <c r="D7544">
        <v>71.680000000000007</v>
      </c>
      <c r="E7544">
        <v>558</v>
      </c>
      <c r="F7544">
        <v>158</v>
      </c>
      <c r="G7544">
        <v>33</v>
      </c>
      <c r="H7544">
        <v>21</v>
      </c>
      <c r="I7544">
        <v>555</v>
      </c>
      <c r="J7544">
        <v>1</v>
      </c>
      <c r="K7544">
        <v>30</v>
      </c>
      <c r="L7544">
        <v>577</v>
      </c>
      <c r="M7544">
        <v>1</v>
      </c>
      <c r="N7544">
        <v>0</v>
      </c>
      <c r="O7544">
        <v>2031</v>
      </c>
    </row>
    <row r="7545" spans="1:15" x14ac:dyDescent="0.25">
      <c r="A7545" t="s">
        <v>7558</v>
      </c>
      <c r="B7545">
        <v>529</v>
      </c>
      <c r="C7545" s="1" t="str">
        <f>HYPERLINK("http://www.rosaceae.org/gb/gbrowse/malus_x_domestica/?name=MDP0000314472","MDP0000314472")</f>
        <v>MDP0000314472</v>
      </c>
      <c r="D7545">
        <v>32.700000000000003</v>
      </c>
      <c r="E7545">
        <v>532</v>
      </c>
      <c r="F7545">
        <v>358</v>
      </c>
      <c r="G7545">
        <v>45</v>
      </c>
      <c r="H7545">
        <v>29</v>
      </c>
      <c r="I7545">
        <v>517</v>
      </c>
      <c r="J7545">
        <v>1</v>
      </c>
      <c r="K7545">
        <v>47</v>
      </c>
      <c r="L7545">
        <v>576</v>
      </c>
      <c r="M7545">
        <v>1</v>
      </c>
      <c r="N7545">
        <v>2.3502799999999999E-84</v>
      </c>
      <c r="O7545">
        <v>794</v>
      </c>
    </row>
    <row r="7546" spans="1:15" x14ac:dyDescent="0.25">
      <c r="A7546" t="s">
        <v>7559</v>
      </c>
      <c r="B7546">
        <v>349</v>
      </c>
      <c r="C7546" s="1" t="str">
        <f>HYPERLINK("http://www.rosaceae.org/gb/gbrowse/malus_x_domestica/?name=MDP0000230747","MDP0000230747")</f>
        <v>MDP0000230747</v>
      </c>
      <c r="D7546">
        <v>81.650000000000006</v>
      </c>
      <c r="E7546">
        <v>109</v>
      </c>
      <c r="F7546">
        <v>20</v>
      </c>
      <c r="G7546">
        <v>2</v>
      </c>
      <c r="H7546">
        <v>1</v>
      </c>
      <c r="I7546">
        <v>107</v>
      </c>
      <c r="J7546">
        <v>1</v>
      </c>
      <c r="K7546">
        <v>1</v>
      </c>
      <c r="L7546">
        <v>109</v>
      </c>
      <c r="M7546">
        <v>1</v>
      </c>
      <c r="N7546">
        <v>9.6409099999999997E-48</v>
      </c>
      <c r="O7546">
        <v>476</v>
      </c>
    </row>
    <row r="7547" spans="1:15" x14ac:dyDescent="0.25">
      <c r="A7547" t="s">
        <v>7560</v>
      </c>
      <c r="B7547">
        <v>685</v>
      </c>
      <c r="C7547" s="1" t="str">
        <f>HYPERLINK("http://www.rosaceae.org/gb/gbrowse/malus_x_domestica/?name=MDP0000708861","MDP0000708861")</f>
        <v>MDP0000708861</v>
      </c>
      <c r="D7547">
        <v>31.9</v>
      </c>
      <c r="E7547">
        <v>304</v>
      </c>
      <c r="F7547">
        <v>207</v>
      </c>
      <c r="G7547">
        <v>20</v>
      </c>
      <c r="H7547">
        <v>104</v>
      </c>
      <c r="I7547">
        <v>395</v>
      </c>
      <c r="J7547">
        <v>1</v>
      </c>
      <c r="K7547">
        <v>89</v>
      </c>
      <c r="L7547">
        <v>384</v>
      </c>
      <c r="M7547">
        <v>1</v>
      </c>
      <c r="N7547">
        <v>3.1225199999999999E-38</v>
      </c>
      <c r="O7547">
        <v>398</v>
      </c>
    </row>
    <row r="7548" spans="1:15" x14ac:dyDescent="0.25">
      <c r="A7548" t="s">
        <v>7561</v>
      </c>
      <c r="B7548">
        <v>1609</v>
      </c>
      <c r="C7548" s="1" t="str">
        <f>HYPERLINK("http://www.rosaceae.org/gb/gbrowse/malus_x_domestica/?name=MDP0000185039","MDP0000185039")</f>
        <v>MDP0000185039</v>
      </c>
      <c r="D7548">
        <v>71.540000000000006</v>
      </c>
      <c r="E7548">
        <v>1627</v>
      </c>
      <c r="F7548">
        <v>463</v>
      </c>
      <c r="G7548">
        <v>198</v>
      </c>
      <c r="H7548">
        <v>1</v>
      </c>
      <c r="I7548">
        <v>1443</v>
      </c>
      <c r="J7548">
        <v>1</v>
      </c>
      <c r="K7548">
        <v>1</v>
      </c>
      <c r="L7548">
        <v>1613</v>
      </c>
      <c r="M7548">
        <v>1</v>
      </c>
      <c r="N7548">
        <v>0</v>
      </c>
      <c r="O7548">
        <v>5755</v>
      </c>
    </row>
    <row r="7549" spans="1:15" x14ac:dyDescent="0.25">
      <c r="A7549" t="s">
        <v>7562</v>
      </c>
      <c r="B7549">
        <v>394</v>
      </c>
      <c r="C7549" s="1" t="str">
        <f>HYPERLINK("http://www.rosaceae.org/gb/gbrowse/malus_x_domestica/?name=MDP0000178499","MDP0000178499")</f>
        <v>MDP0000178499</v>
      </c>
      <c r="D7549">
        <v>37.44</v>
      </c>
      <c r="E7549">
        <v>235</v>
      </c>
      <c r="F7549">
        <v>147</v>
      </c>
      <c r="G7549">
        <v>34</v>
      </c>
      <c r="H7549">
        <v>140</v>
      </c>
      <c r="I7549">
        <v>349</v>
      </c>
      <c r="J7549">
        <v>1</v>
      </c>
      <c r="K7549">
        <v>192</v>
      </c>
      <c r="L7549">
        <v>417</v>
      </c>
      <c r="M7549">
        <v>1</v>
      </c>
      <c r="N7549">
        <v>2.45676E-29</v>
      </c>
      <c r="O7549">
        <v>318</v>
      </c>
    </row>
    <row r="7550" spans="1:15" x14ac:dyDescent="0.25">
      <c r="A7550" t="s">
        <v>7563</v>
      </c>
      <c r="B7550">
        <v>369</v>
      </c>
      <c r="C7550" s="1" t="str">
        <f>HYPERLINK("http://www.rosaceae.org/gb/gbrowse/malus_x_domestica/?name=MDP0000119446","MDP0000119446")</f>
        <v>MDP0000119446</v>
      </c>
      <c r="D7550">
        <v>81.53</v>
      </c>
      <c r="E7550">
        <v>379</v>
      </c>
      <c r="F7550">
        <v>70</v>
      </c>
      <c r="G7550">
        <v>11</v>
      </c>
      <c r="H7550">
        <v>1</v>
      </c>
      <c r="I7550">
        <v>369</v>
      </c>
      <c r="J7550">
        <v>1</v>
      </c>
      <c r="K7550">
        <v>1</v>
      </c>
      <c r="L7550">
        <v>378</v>
      </c>
      <c r="M7550">
        <v>1</v>
      </c>
      <c r="N7550">
        <v>4.1839099999999999E-179</v>
      </c>
      <c r="O7550">
        <v>1610</v>
      </c>
    </row>
    <row r="7551" spans="1:15" x14ac:dyDescent="0.25">
      <c r="A7551" t="s">
        <v>7564</v>
      </c>
      <c r="B7551">
        <v>338</v>
      </c>
      <c r="C7551" s="1" t="str">
        <f>HYPERLINK("http://www.rosaceae.org/gb/gbrowse/malus_x_domestica/?name=MDP0000218868","MDP0000218868")</f>
        <v>MDP0000218868</v>
      </c>
      <c r="D7551">
        <v>91.39</v>
      </c>
      <c r="E7551">
        <v>337</v>
      </c>
      <c r="F7551">
        <v>29</v>
      </c>
      <c r="G7551">
        <v>0</v>
      </c>
      <c r="H7551">
        <v>1</v>
      </c>
      <c r="I7551">
        <v>337</v>
      </c>
      <c r="J7551">
        <v>1</v>
      </c>
      <c r="K7551">
        <v>45</v>
      </c>
      <c r="L7551">
        <v>381</v>
      </c>
      <c r="M7551">
        <v>1</v>
      </c>
      <c r="N7551">
        <v>0</v>
      </c>
      <c r="O7551">
        <v>1680</v>
      </c>
    </row>
    <row r="7552" spans="1:15" x14ac:dyDescent="0.25">
      <c r="A7552" t="s">
        <v>7565</v>
      </c>
      <c r="B7552">
        <v>241</v>
      </c>
      <c r="C7552" s="1" t="str">
        <f>HYPERLINK("http://www.rosaceae.org/gb/gbrowse/malus_x_domestica/?name=MDP0000321430","MDP0000321430")</f>
        <v>MDP0000321430</v>
      </c>
      <c r="D7552">
        <v>76.19</v>
      </c>
      <c r="E7552">
        <v>84</v>
      </c>
      <c r="F7552">
        <v>20</v>
      </c>
      <c r="G7552">
        <v>2</v>
      </c>
      <c r="H7552">
        <v>76</v>
      </c>
      <c r="I7552">
        <v>159</v>
      </c>
      <c r="J7552">
        <v>1</v>
      </c>
      <c r="K7552">
        <v>4</v>
      </c>
      <c r="L7552">
        <v>85</v>
      </c>
      <c r="M7552">
        <v>1</v>
      </c>
      <c r="N7552">
        <v>1.51099E-30</v>
      </c>
      <c r="O7552">
        <v>326</v>
      </c>
    </row>
    <row r="7553" spans="1:15" x14ac:dyDescent="0.25">
      <c r="A7553" t="s">
        <v>7566</v>
      </c>
      <c r="B7553">
        <v>1038</v>
      </c>
      <c r="C7553" s="1" t="str">
        <f>HYPERLINK("http://www.rosaceae.org/gb/gbrowse/malus_x_domestica/?name=MDP0000172441","MDP0000172441")</f>
        <v>MDP0000172441</v>
      </c>
      <c r="D7553">
        <v>78.569999999999993</v>
      </c>
      <c r="E7553">
        <v>70</v>
      </c>
      <c r="F7553">
        <v>15</v>
      </c>
      <c r="G7553">
        <v>0</v>
      </c>
      <c r="H7553">
        <v>92</v>
      </c>
      <c r="I7553">
        <v>161</v>
      </c>
      <c r="J7553">
        <v>1</v>
      </c>
      <c r="K7553">
        <v>935</v>
      </c>
      <c r="L7553">
        <v>1004</v>
      </c>
      <c r="M7553">
        <v>1</v>
      </c>
      <c r="N7553">
        <v>1.27335E-24</v>
      </c>
      <c r="O7553">
        <v>282</v>
      </c>
    </row>
    <row r="7554" spans="1:15" x14ac:dyDescent="0.25">
      <c r="A7554" t="s">
        <v>7567</v>
      </c>
      <c r="B7554">
        <v>351</v>
      </c>
      <c r="C7554" s="1" t="str">
        <f>HYPERLINK("http://www.rosaceae.org/gb/gbrowse/malus_x_domestica/?name=MDP0000182468","MDP0000182468")</f>
        <v>MDP0000182468</v>
      </c>
      <c r="D7554">
        <v>79.53</v>
      </c>
      <c r="E7554">
        <v>215</v>
      </c>
      <c r="F7554">
        <v>44</v>
      </c>
      <c r="G7554">
        <v>2</v>
      </c>
      <c r="H7554">
        <v>137</v>
      </c>
      <c r="I7554">
        <v>351</v>
      </c>
      <c r="J7554">
        <v>1</v>
      </c>
      <c r="K7554">
        <v>239</v>
      </c>
      <c r="L7554">
        <v>451</v>
      </c>
      <c r="M7554">
        <v>1</v>
      </c>
      <c r="N7554">
        <v>3.92305E-98</v>
      </c>
      <c r="O7554">
        <v>911</v>
      </c>
    </row>
    <row r="7555" spans="1:15" x14ac:dyDescent="0.25">
      <c r="A7555" t="s">
        <v>7568</v>
      </c>
      <c r="B7555">
        <v>234</v>
      </c>
      <c r="C7555" s="1" t="str">
        <f>HYPERLINK("http://www.rosaceae.org/gb/gbrowse/malus_x_domestica/?name=MDP0000197580","MDP0000197580")</f>
        <v>MDP0000197580</v>
      </c>
      <c r="D7555">
        <v>86</v>
      </c>
      <c r="E7555">
        <v>200</v>
      </c>
      <c r="F7555">
        <v>28</v>
      </c>
      <c r="G7555">
        <v>2</v>
      </c>
      <c r="H7555">
        <v>36</v>
      </c>
      <c r="I7555">
        <v>234</v>
      </c>
      <c r="J7555">
        <v>1</v>
      </c>
      <c r="K7555">
        <v>111</v>
      </c>
      <c r="L7555">
        <v>309</v>
      </c>
      <c r="M7555">
        <v>1</v>
      </c>
      <c r="N7555">
        <v>2.1254999999999999E-96</v>
      </c>
      <c r="O7555">
        <v>894</v>
      </c>
    </row>
    <row r="7556" spans="1:15" x14ac:dyDescent="0.25">
      <c r="A7556" t="s">
        <v>7569</v>
      </c>
      <c r="B7556">
        <v>989</v>
      </c>
      <c r="C7556" s="1" t="str">
        <f>HYPERLINK("http://www.rosaceae.org/gb/gbrowse/malus_x_domestica/?name=MDP0000247868","MDP0000247868")</f>
        <v>MDP0000247868</v>
      </c>
      <c r="D7556">
        <v>59.65</v>
      </c>
      <c r="E7556">
        <v>813</v>
      </c>
      <c r="F7556">
        <v>328</v>
      </c>
      <c r="G7556">
        <v>10</v>
      </c>
      <c r="H7556">
        <v>183</v>
      </c>
      <c r="I7556">
        <v>986</v>
      </c>
      <c r="J7556">
        <v>1</v>
      </c>
      <c r="K7556">
        <v>443</v>
      </c>
      <c r="L7556">
        <v>1254</v>
      </c>
      <c r="M7556">
        <v>1</v>
      </c>
      <c r="N7556">
        <v>0</v>
      </c>
      <c r="O7556">
        <v>2511</v>
      </c>
    </row>
    <row r="7557" spans="1:15" x14ac:dyDescent="0.25">
      <c r="A7557" t="s">
        <v>7570</v>
      </c>
      <c r="B7557">
        <v>255</v>
      </c>
      <c r="C7557" s="1" t="str">
        <f>HYPERLINK("http://www.rosaceae.org/gb/gbrowse/malus_x_domestica/?name=MDP0000293200","MDP0000293200")</f>
        <v>MDP0000293200</v>
      </c>
      <c r="D7557">
        <v>50.39</v>
      </c>
      <c r="E7557">
        <v>254</v>
      </c>
      <c r="F7557">
        <v>126</v>
      </c>
      <c r="G7557">
        <v>28</v>
      </c>
      <c r="H7557">
        <v>1</v>
      </c>
      <c r="I7557">
        <v>250</v>
      </c>
      <c r="J7557">
        <v>1</v>
      </c>
      <c r="K7557">
        <v>1</v>
      </c>
      <c r="L7557">
        <v>230</v>
      </c>
      <c r="M7557">
        <v>1</v>
      </c>
      <c r="N7557">
        <v>4.2349899999999999E-56</v>
      </c>
      <c r="O7557">
        <v>547</v>
      </c>
    </row>
    <row r="7558" spans="1:15" x14ac:dyDescent="0.25">
      <c r="A7558" t="s">
        <v>7571</v>
      </c>
      <c r="B7558">
        <v>514</v>
      </c>
      <c r="C7558" s="1" t="str">
        <f>HYPERLINK("http://www.rosaceae.org/gb/gbrowse/malus_x_domestica/?name=MDP0000245985","MDP0000245985")</f>
        <v>MDP0000245985</v>
      </c>
      <c r="D7558">
        <v>73.53</v>
      </c>
      <c r="E7558">
        <v>461</v>
      </c>
      <c r="F7558">
        <v>122</v>
      </c>
      <c r="G7558">
        <v>43</v>
      </c>
      <c r="H7558">
        <v>1</v>
      </c>
      <c r="I7558">
        <v>421</v>
      </c>
      <c r="J7558">
        <v>1</v>
      </c>
      <c r="K7558">
        <v>1</v>
      </c>
      <c r="L7558">
        <v>458</v>
      </c>
      <c r="M7558">
        <v>1</v>
      </c>
      <c r="N7558">
        <v>1.26145E-177</v>
      </c>
      <c r="O7558">
        <v>1598</v>
      </c>
    </row>
    <row r="7559" spans="1:15" x14ac:dyDescent="0.25">
      <c r="A7559" t="s">
        <v>7572</v>
      </c>
      <c r="B7559">
        <v>483</v>
      </c>
      <c r="C7559" s="1" t="str">
        <f>HYPERLINK("http://www.rosaceae.org/gb/gbrowse/malus_x_domestica/?name=MDP0000220754","MDP0000220754")</f>
        <v>MDP0000220754</v>
      </c>
      <c r="D7559">
        <v>61.77</v>
      </c>
      <c r="E7559">
        <v>395</v>
      </c>
      <c r="F7559">
        <v>151</v>
      </c>
      <c r="G7559">
        <v>40</v>
      </c>
      <c r="H7559">
        <v>128</v>
      </c>
      <c r="I7559">
        <v>483</v>
      </c>
      <c r="J7559">
        <v>1</v>
      </c>
      <c r="K7559">
        <v>29</v>
      </c>
      <c r="L7559">
        <v>422</v>
      </c>
      <c r="M7559">
        <v>1</v>
      </c>
      <c r="N7559">
        <v>1.9918200000000001E-134</v>
      </c>
      <c r="O7559">
        <v>1226</v>
      </c>
    </row>
    <row r="7560" spans="1:15" x14ac:dyDescent="0.25">
      <c r="A7560" t="s">
        <v>7573</v>
      </c>
      <c r="B7560">
        <v>1007</v>
      </c>
      <c r="C7560" s="1" t="str">
        <f>HYPERLINK("http://www.rosaceae.org/gb/gbrowse/malus_x_domestica/?name=MDP0000239177","MDP0000239177")</f>
        <v>MDP0000239177</v>
      </c>
      <c r="D7560">
        <v>63.81</v>
      </c>
      <c r="E7560">
        <v>597</v>
      </c>
      <c r="F7560">
        <v>216</v>
      </c>
      <c r="G7560">
        <v>75</v>
      </c>
      <c r="H7560">
        <v>9</v>
      </c>
      <c r="I7560">
        <v>593</v>
      </c>
      <c r="J7560">
        <v>1</v>
      </c>
      <c r="K7560">
        <v>4</v>
      </c>
      <c r="L7560">
        <v>537</v>
      </c>
      <c r="M7560">
        <v>1</v>
      </c>
      <c r="N7560">
        <v>0</v>
      </c>
      <c r="O7560">
        <v>1798</v>
      </c>
    </row>
    <row r="7561" spans="1:15" x14ac:dyDescent="0.25">
      <c r="A7561" t="s">
        <v>7574</v>
      </c>
      <c r="B7561">
        <v>390</v>
      </c>
      <c r="C7561" s="1" t="str">
        <f>HYPERLINK("http://www.rosaceae.org/gb/gbrowse/malus_x_domestica/?name=MDP0000231093","MDP0000231093")</f>
        <v>MDP0000231093</v>
      </c>
      <c r="D7561">
        <v>65.73</v>
      </c>
      <c r="E7561">
        <v>356</v>
      </c>
      <c r="F7561">
        <v>122</v>
      </c>
      <c r="G7561">
        <v>11</v>
      </c>
      <c r="H7561">
        <v>38</v>
      </c>
      <c r="I7561">
        <v>389</v>
      </c>
      <c r="J7561">
        <v>1</v>
      </c>
      <c r="K7561">
        <v>5</v>
      </c>
      <c r="L7561">
        <v>353</v>
      </c>
      <c r="M7561">
        <v>1</v>
      </c>
      <c r="N7561">
        <v>2.9970300000000001E-126</v>
      </c>
      <c r="O7561">
        <v>1154</v>
      </c>
    </row>
    <row r="7562" spans="1:15" x14ac:dyDescent="0.25">
      <c r="A7562" t="s">
        <v>7575</v>
      </c>
      <c r="B7562">
        <v>292</v>
      </c>
      <c r="C7562" s="1" t="str">
        <f>HYPERLINK("http://www.rosaceae.org/gb/gbrowse/malus_x_domestica/?name=MDP0000555752","MDP0000555752")</f>
        <v>MDP0000555752</v>
      </c>
      <c r="D7562">
        <v>52.3</v>
      </c>
      <c r="E7562">
        <v>239</v>
      </c>
      <c r="F7562">
        <v>114</v>
      </c>
      <c r="G7562">
        <v>3</v>
      </c>
      <c r="H7562">
        <v>1</v>
      </c>
      <c r="I7562">
        <v>239</v>
      </c>
      <c r="J7562">
        <v>1</v>
      </c>
      <c r="K7562">
        <v>2</v>
      </c>
      <c r="L7562">
        <v>237</v>
      </c>
      <c r="M7562">
        <v>1</v>
      </c>
      <c r="N7562">
        <v>3.3047799999999999E-67</v>
      </c>
      <c r="O7562">
        <v>643</v>
      </c>
    </row>
    <row r="7563" spans="1:15" x14ac:dyDescent="0.25">
      <c r="A7563" t="s">
        <v>7576</v>
      </c>
      <c r="B7563">
        <v>526</v>
      </c>
      <c r="C7563" s="1" t="str">
        <f>HYPERLINK("http://www.rosaceae.org/gb/gbrowse/malus_x_domestica/?name=MDP0000929243","MDP0000929243")</f>
        <v>MDP0000929243</v>
      </c>
      <c r="D7563">
        <v>30.64</v>
      </c>
      <c r="E7563">
        <v>421</v>
      </c>
      <c r="F7563">
        <v>292</v>
      </c>
      <c r="G7563">
        <v>49</v>
      </c>
      <c r="H7563">
        <v>7</v>
      </c>
      <c r="I7563">
        <v>408</v>
      </c>
      <c r="J7563">
        <v>1</v>
      </c>
      <c r="K7563">
        <v>10</v>
      </c>
      <c r="L7563">
        <v>400</v>
      </c>
      <c r="M7563">
        <v>1</v>
      </c>
      <c r="N7563">
        <v>7.9315799999999997E-37</v>
      </c>
      <c r="O7563">
        <v>384</v>
      </c>
    </row>
    <row r="7564" spans="1:15" x14ac:dyDescent="0.25">
      <c r="A7564" t="s">
        <v>7577</v>
      </c>
      <c r="B7564">
        <v>130</v>
      </c>
      <c r="C7564" s="1" t="str">
        <f>HYPERLINK("http://www.rosaceae.org/gb/gbrowse/malus_x_domestica/?name=MDP0000295804","MDP0000295804")</f>
        <v>MDP0000295804</v>
      </c>
      <c r="D7564">
        <v>45.38</v>
      </c>
      <c r="E7564">
        <v>130</v>
      </c>
      <c r="F7564">
        <v>71</v>
      </c>
      <c r="G7564">
        <v>10</v>
      </c>
      <c r="H7564">
        <v>2</v>
      </c>
      <c r="I7564">
        <v>130</v>
      </c>
      <c r="J7564">
        <v>1</v>
      </c>
      <c r="K7564">
        <v>624</v>
      </c>
      <c r="L7564">
        <v>744</v>
      </c>
      <c r="M7564">
        <v>1</v>
      </c>
      <c r="N7564">
        <v>3.0346400000000001E-18</v>
      </c>
      <c r="O7564">
        <v>215</v>
      </c>
    </row>
    <row r="7565" spans="1:15" x14ac:dyDescent="0.25">
      <c r="A7565" t="s">
        <v>7578</v>
      </c>
      <c r="B7565">
        <v>367</v>
      </c>
      <c r="C7565" s="1" t="str">
        <f>HYPERLINK("http://www.rosaceae.org/gb/gbrowse/malus_x_domestica/?name=MDP0000750374","MDP0000750374")</f>
        <v>MDP0000750374</v>
      </c>
      <c r="D7565">
        <v>73.709999999999994</v>
      </c>
      <c r="E7565">
        <v>369</v>
      </c>
      <c r="F7565">
        <v>97</v>
      </c>
      <c r="G7565">
        <v>2</v>
      </c>
      <c r="H7565">
        <v>1</v>
      </c>
      <c r="I7565">
        <v>367</v>
      </c>
      <c r="J7565">
        <v>1</v>
      </c>
      <c r="K7565">
        <v>1</v>
      </c>
      <c r="L7565">
        <v>369</v>
      </c>
      <c r="M7565">
        <v>1</v>
      </c>
      <c r="N7565">
        <v>2.47466E-151</v>
      </c>
      <c r="O7565">
        <v>1370</v>
      </c>
    </row>
    <row r="7566" spans="1:15" x14ac:dyDescent="0.25">
      <c r="A7566" t="s">
        <v>7579</v>
      </c>
      <c r="B7566">
        <v>103</v>
      </c>
      <c r="C7566" s="1" t="str">
        <f>HYPERLINK("http://www.rosaceae.org/gb/gbrowse/malus_x_domestica/?name=MDP0000336462","MDP0000336462")</f>
        <v>MDP0000336462</v>
      </c>
      <c r="D7566">
        <v>100</v>
      </c>
      <c r="E7566">
        <v>82</v>
      </c>
      <c r="F7566">
        <v>0</v>
      </c>
      <c r="G7566">
        <v>0</v>
      </c>
      <c r="H7566">
        <v>22</v>
      </c>
      <c r="I7566">
        <v>103</v>
      </c>
      <c r="J7566">
        <v>1</v>
      </c>
      <c r="K7566">
        <v>44</v>
      </c>
      <c r="L7566">
        <v>125</v>
      </c>
      <c r="M7566">
        <v>1</v>
      </c>
      <c r="N7566">
        <v>5.1126299999999996E-41</v>
      </c>
      <c r="O7566">
        <v>411</v>
      </c>
    </row>
    <row r="7567" spans="1:15" x14ac:dyDescent="0.25">
      <c r="A7567" t="s">
        <v>7580</v>
      </c>
      <c r="B7567">
        <v>343</v>
      </c>
      <c r="C7567" s="1" t="str">
        <f>HYPERLINK("http://www.rosaceae.org/gb/gbrowse/malus_x_domestica/?name=MDP0000312342","MDP0000312342")</f>
        <v>MDP0000312342</v>
      </c>
      <c r="D7567">
        <v>27.91</v>
      </c>
      <c r="E7567">
        <v>394</v>
      </c>
      <c r="F7567">
        <v>284</v>
      </c>
      <c r="G7567">
        <v>88</v>
      </c>
      <c r="H7567">
        <v>1</v>
      </c>
      <c r="I7567">
        <v>338</v>
      </c>
      <c r="J7567">
        <v>1</v>
      </c>
      <c r="K7567">
        <v>1</v>
      </c>
      <c r="L7567">
        <v>362</v>
      </c>
      <c r="M7567">
        <v>1</v>
      </c>
      <c r="N7567">
        <v>2.1788800000000002E-27</v>
      </c>
      <c r="O7567">
        <v>301</v>
      </c>
    </row>
    <row r="7568" spans="1:15" x14ac:dyDescent="0.25">
      <c r="A7568" t="s">
        <v>7581</v>
      </c>
      <c r="B7568">
        <v>527</v>
      </c>
      <c r="C7568" s="1" t="str">
        <f>HYPERLINK("http://www.rosaceae.org/gb/gbrowse/malus_x_domestica/?name=MDP0000162348","MDP0000162348")</f>
        <v>MDP0000162348</v>
      </c>
      <c r="D7568">
        <v>29.64</v>
      </c>
      <c r="E7568">
        <v>452</v>
      </c>
      <c r="F7568">
        <v>318</v>
      </c>
      <c r="G7568">
        <v>75</v>
      </c>
      <c r="H7568">
        <v>83</v>
      </c>
      <c r="I7568">
        <v>523</v>
      </c>
      <c r="J7568">
        <v>1</v>
      </c>
      <c r="K7568">
        <v>42</v>
      </c>
      <c r="L7568">
        <v>429</v>
      </c>
      <c r="M7568">
        <v>1</v>
      </c>
      <c r="N7568">
        <v>2.6580700000000001E-46</v>
      </c>
      <c r="O7568">
        <v>466</v>
      </c>
    </row>
    <row r="7569" spans="1:15" x14ac:dyDescent="0.25">
      <c r="A7569" t="s">
        <v>7582</v>
      </c>
      <c r="B7569">
        <v>495</v>
      </c>
      <c r="C7569" s="1" t="str">
        <f>HYPERLINK("http://www.rosaceae.org/gb/gbrowse/malus_x_domestica/?name=MDP0000244791","MDP0000244791")</f>
        <v>MDP0000244791</v>
      </c>
      <c r="D7569">
        <v>58.06</v>
      </c>
      <c r="E7569">
        <v>465</v>
      </c>
      <c r="F7569">
        <v>195</v>
      </c>
      <c r="G7569">
        <v>44</v>
      </c>
      <c r="H7569">
        <v>62</v>
      </c>
      <c r="I7569">
        <v>495</v>
      </c>
      <c r="J7569">
        <v>1</v>
      </c>
      <c r="K7569">
        <v>9</v>
      </c>
      <c r="L7569">
        <v>460</v>
      </c>
      <c r="M7569">
        <v>1</v>
      </c>
      <c r="N7569">
        <v>1.68525E-135</v>
      </c>
      <c r="O7569">
        <v>1235</v>
      </c>
    </row>
    <row r="7570" spans="1:15" x14ac:dyDescent="0.25">
      <c r="A7570" t="s">
        <v>7583</v>
      </c>
      <c r="B7570">
        <v>51</v>
      </c>
      <c r="C7570" s="1" t="str">
        <f>HYPERLINK("http://www.rosaceae.org/gb/gbrowse/malus_x_domestica/?name=MDP0000233503","MDP0000233503")</f>
        <v>MDP0000233503</v>
      </c>
      <c r="D7570">
        <v>67.3</v>
      </c>
      <c r="E7570">
        <v>52</v>
      </c>
      <c r="F7570">
        <v>17</v>
      </c>
      <c r="G7570">
        <v>4</v>
      </c>
      <c r="H7570">
        <v>1</v>
      </c>
      <c r="I7570">
        <v>48</v>
      </c>
      <c r="J7570">
        <v>1</v>
      </c>
      <c r="K7570">
        <v>1</v>
      </c>
      <c r="L7570">
        <v>52</v>
      </c>
      <c r="M7570">
        <v>1</v>
      </c>
      <c r="N7570">
        <v>8.4472599999999999E-13</v>
      </c>
      <c r="O7570">
        <v>168</v>
      </c>
    </row>
    <row r="7571" spans="1:15" x14ac:dyDescent="0.25">
      <c r="A7571" t="s">
        <v>7584</v>
      </c>
      <c r="B7571">
        <v>771</v>
      </c>
      <c r="C7571" s="1" t="str">
        <f>HYPERLINK("http://www.rosaceae.org/gb/gbrowse/malus_x_domestica/?name=MDP0000293351","MDP0000293351")</f>
        <v>MDP0000293351</v>
      </c>
      <c r="D7571">
        <v>79.19</v>
      </c>
      <c r="E7571">
        <v>745</v>
      </c>
      <c r="F7571">
        <v>155</v>
      </c>
      <c r="G7571">
        <v>9</v>
      </c>
      <c r="H7571">
        <v>28</v>
      </c>
      <c r="I7571">
        <v>771</v>
      </c>
      <c r="J7571">
        <v>1</v>
      </c>
      <c r="K7571">
        <v>202</v>
      </c>
      <c r="L7571">
        <v>938</v>
      </c>
      <c r="M7571">
        <v>1</v>
      </c>
      <c r="N7571">
        <v>0</v>
      </c>
      <c r="O7571">
        <v>3095</v>
      </c>
    </row>
    <row r="7572" spans="1:15" x14ac:dyDescent="0.25">
      <c r="A7572" t="s">
        <v>7585</v>
      </c>
      <c r="B7572">
        <v>1415</v>
      </c>
      <c r="C7572" s="1" t="str">
        <f>HYPERLINK("http://www.rosaceae.org/gb/gbrowse/malus_x_domestica/?name=MDP0000131296","MDP0000131296")</f>
        <v>MDP0000131296</v>
      </c>
      <c r="D7572">
        <v>70.97</v>
      </c>
      <c r="E7572">
        <v>1175</v>
      </c>
      <c r="F7572">
        <v>341</v>
      </c>
      <c r="G7572">
        <v>55</v>
      </c>
      <c r="H7572">
        <v>1</v>
      </c>
      <c r="I7572">
        <v>1163</v>
      </c>
      <c r="J7572">
        <v>1</v>
      </c>
      <c r="K7572">
        <v>1</v>
      </c>
      <c r="L7572">
        <v>1132</v>
      </c>
      <c r="M7572">
        <v>1</v>
      </c>
      <c r="N7572">
        <v>0</v>
      </c>
      <c r="O7572">
        <v>4164</v>
      </c>
    </row>
    <row r="7573" spans="1:15" x14ac:dyDescent="0.25">
      <c r="A7573" t="s">
        <v>7586</v>
      </c>
      <c r="B7573">
        <v>242</v>
      </c>
      <c r="C7573" s="1" t="str">
        <f>HYPERLINK("http://www.rosaceae.org/gb/gbrowse/malus_x_domestica/?name=MDP0000136296","MDP0000136296")</f>
        <v>MDP0000136296</v>
      </c>
      <c r="D7573">
        <v>49.78</v>
      </c>
      <c r="E7573">
        <v>231</v>
      </c>
      <c r="F7573">
        <v>116</v>
      </c>
      <c r="G7573">
        <v>1</v>
      </c>
      <c r="H7573">
        <v>12</v>
      </c>
      <c r="I7573">
        <v>242</v>
      </c>
      <c r="J7573">
        <v>1</v>
      </c>
      <c r="K7573">
        <v>10</v>
      </c>
      <c r="L7573">
        <v>239</v>
      </c>
      <c r="M7573">
        <v>1</v>
      </c>
      <c r="N7573">
        <v>2.09183E-55</v>
      </c>
      <c r="O7573">
        <v>541</v>
      </c>
    </row>
    <row r="7574" spans="1:15" x14ac:dyDescent="0.25">
      <c r="A7574" t="s">
        <v>7587</v>
      </c>
      <c r="B7574">
        <v>423</v>
      </c>
      <c r="C7574" s="1" t="str">
        <f>HYPERLINK("http://www.rosaceae.org/gb/gbrowse/malus_x_domestica/?name=MDP0000493881","MDP0000493881")</f>
        <v>MDP0000493881</v>
      </c>
      <c r="D7574">
        <v>61.07</v>
      </c>
      <c r="E7574">
        <v>429</v>
      </c>
      <c r="F7574">
        <v>167</v>
      </c>
      <c r="G7574">
        <v>51</v>
      </c>
      <c r="H7574">
        <v>5</v>
      </c>
      <c r="I7574">
        <v>423</v>
      </c>
      <c r="J7574">
        <v>1</v>
      </c>
      <c r="K7574">
        <v>9</v>
      </c>
      <c r="L7574">
        <v>396</v>
      </c>
      <c r="M7574">
        <v>1</v>
      </c>
      <c r="N7574">
        <v>1.95592E-139</v>
      </c>
      <c r="O7574">
        <v>1268</v>
      </c>
    </row>
    <row r="7575" spans="1:15" x14ac:dyDescent="0.25">
      <c r="A7575" t="s">
        <v>7588</v>
      </c>
      <c r="B7575">
        <v>398</v>
      </c>
      <c r="C7575" s="1" t="str">
        <f>HYPERLINK("http://www.rosaceae.org/gb/gbrowse/malus_x_domestica/?name=MDP0000253638","MDP0000253638")</f>
        <v>MDP0000253638</v>
      </c>
      <c r="D7575">
        <v>84.92</v>
      </c>
      <c r="E7575">
        <v>398</v>
      </c>
      <c r="F7575">
        <v>60</v>
      </c>
      <c r="G7575">
        <v>5</v>
      </c>
      <c r="H7575">
        <v>1</v>
      </c>
      <c r="I7575">
        <v>398</v>
      </c>
      <c r="J7575">
        <v>1</v>
      </c>
      <c r="K7575">
        <v>1</v>
      </c>
      <c r="L7575">
        <v>393</v>
      </c>
      <c r="M7575">
        <v>1</v>
      </c>
      <c r="N7575">
        <v>0</v>
      </c>
      <c r="O7575">
        <v>1807</v>
      </c>
    </row>
    <row r="7576" spans="1:15" x14ac:dyDescent="0.25">
      <c r="A7576" t="s">
        <v>7589</v>
      </c>
      <c r="B7576">
        <v>631</v>
      </c>
      <c r="C7576" s="1" t="str">
        <f>HYPERLINK("http://www.rosaceae.org/gb/gbrowse/malus_x_domestica/?name=MDP0000273225","MDP0000273225")</f>
        <v>MDP0000273225</v>
      </c>
      <c r="D7576">
        <v>73.75</v>
      </c>
      <c r="E7576">
        <v>541</v>
      </c>
      <c r="F7576">
        <v>142</v>
      </c>
      <c r="G7576">
        <v>4</v>
      </c>
      <c r="H7576">
        <v>1</v>
      </c>
      <c r="I7576">
        <v>537</v>
      </c>
      <c r="J7576">
        <v>1</v>
      </c>
      <c r="K7576">
        <v>1</v>
      </c>
      <c r="L7576">
        <v>541</v>
      </c>
      <c r="M7576">
        <v>1</v>
      </c>
      <c r="N7576">
        <v>0</v>
      </c>
      <c r="O7576">
        <v>2116</v>
      </c>
    </row>
    <row r="7577" spans="1:15" x14ac:dyDescent="0.25">
      <c r="A7577" t="s">
        <v>7590</v>
      </c>
      <c r="B7577">
        <v>749</v>
      </c>
      <c r="C7577" s="1" t="str">
        <f>HYPERLINK("http://www.rosaceae.org/gb/gbrowse/malus_x_domestica/?name=MDP0000302123","MDP0000302123")</f>
        <v>MDP0000302123</v>
      </c>
      <c r="D7577">
        <v>60.73</v>
      </c>
      <c r="E7577">
        <v>708</v>
      </c>
      <c r="F7577">
        <v>278</v>
      </c>
      <c r="G7577">
        <v>64</v>
      </c>
      <c r="H7577">
        <v>51</v>
      </c>
      <c r="I7577">
        <v>749</v>
      </c>
      <c r="J7577">
        <v>1</v>
      </c>
      <c r="K7577">
        <v>51</v>
      </c>
      <c r="L7577">
        <v>703</v>
      </c>
      <c r="M7577">
        <v>1</v>
      </c>
      <c r="N7577">
        <v>0</v>
      </c>
      <c r="O7577">
        <v>2051</v>
      </c>
    </row>
    <row r="7578" spans="1:15" x14ac:dyDescent="0.25">
      <c r="A7578" t="s">
        <v>7591</v>
      </c>
      <c r="B7578">
        <v>697</v>
      </c>
      <c r="C7578" s="1" t="str">
        <f>HYPERLINK("http://www.rosaceae.org/gb/gbrowse/malus_x_domestica/?name=MDP0000152719","MDP0000152719")</f>
        <v>MDP0000152719</v>
      </c>
      <c r="D7578">
        <v>77.88</v>
      </c>
      <c r="E7578">
        <v>606</v>
      </c>
      <c r="F7578">
        <v>134</v>
      </c>
      <c r="G7578">
        <v>3</v>
      </c>
      <c r="H7578">
        <v>1</v>
      </c>
      <c r="I7578">
        <v>604</v>
      </c>
      <c r="J7578">
        <v>1</v>
      </c>
      <c r="K7578">
        <v>1</v>
      </c>
      <c r="L7578">
        <v>605</v>
      </c>
      <c r="M7578">
        <v>1</v>
      </c>
      <c r="N7578">
        <v>0</v>
      </c>
      <c r="O7578">
        <v>2555</v>
      </c>
    </row>
    <row r="7579" spans="1:15" x14ac:dyDescent="0.25">
      <c r="A7579" t="s">
        <v>7592</v>
      </c>
      <c r="B7579">
        <v>406</v>
      </c>
      <c r="C7579" s="1" t="str">
        <f>HYPERLINK("http://www.rosaceae.org/gb/gbrowse/malus_x_domestica/?name=MDP0000210336","MDP0000210336")</f>
        <v>MDP0000210336</v>
      </c>
      <c r="D7579">
        <v>88.64</v>
      </c>
      <c r="E7579">
        <v>405</v>
      </c>
      <c r="F7579">
        <v>46</v>
      </c>
      <c r="G7579">
        <v>3</v>
      </c>
      <c r="H7579">
        <v>2</v>
      </c>
      <c r="I7579">
        <v>406</v>
      </c>
      <c r="J7579">
        <v>1</v>
      </c>
      <c r="K7579">
        <v>171</v>
      </c>
      <c r="L7579">
        <v>572</v>
      </c>
      <c r="M7579">
        <v>1</v>
      </c>
      <c r="N7579">
        <v>0</v>
      </c>
      <c r="O7579">
        <v>1901</v>
      </c>
    </row>
    <row r="7580" spans="1:15" x14ac:dyDescent="0.25">
      <c r="A7580" t="s">
        <v>7593</v>
      </c>
      <c r="B7580">
        <v>93</v>
      </c>
      <c r="C7580" s="1" t="str">
        <f>HYPERLINK("http://www.rosaceae.org/gb/gbrowse/malus_x_domestica/?name=MDP0000318352","MDP0000318352")</f>
        <v>MDP0000318352</v>
      </c>
      <c r="D7580">
        <v>65.45</v>
      </c>
      <c r="E7580">
        <v>55</v>
      </c>
      <c r="F7580">
        <v>19</v>
      </c>
      <c r="G7580">
        <v>0</v>
      </c>
      <c r="H7580">
        <v>2</v>
      </c>
      <c r="I7580">
        <v>56</v>
      </c>
      <c r="J7580">
        <v>1</v>
      </c>
      <c r="K7580">
        <v>560</v>
      </c>
      <c r="L7580">
        <v>614</v>
      </c>
      <c r="M7580">
        <v>1</v>
      </c>
      <c r="N7580">
        <v>1.56969E-16</v>
      </c>
      <c r="O7580">
        <v>200</v>
      </c>
    </row>
    <row r="7581" spans="1:15" x14ac:dyDescent="0.25">
      <c r="A7581" t="s">
        <v>7594</v>
      </c>
      <c r="B7581">
        <v>253</v>
      </c>
      <c r="C7581" s="1" t="str">
        <f>HYPERLINK("http://www.rosaceae.org/gb/gbrowse/malus_x_domestica/?name=MDP0000502952","MDP0000502952")</f>
        <v>MDP0000502952</v>
      </c>
      <c r="D7581">
        <v>43.75</v>
      </c>
      <c r="E7581">
        <v>272</v>
      </c>
      <c r="F7581">
        <v>153</v>
      </c>
      <c r="G7581">
        <v>44</v>
      </c>
      <c r="H7581">
        <v>1</v>
      </c>
      <c r="I7581">
        <v>247</v>
      </c>
      <c r="J7581">
        <v>1</v>
      </c>
      <c r="K7581">
        <v>1</v>
      </c>
      <c r="L7581">
        <v>253</v>
      </c>
      <c r="M7581">
        <v>1</v>
      </c>
      <c r="N7581">
        <v>5.7132900000000001E-43</v>
      </c>
      <c r="O7581">
        <v>434</v>
      </c>
    </row>
    <row r="7582" spans="1:15" x14ac:dyDescent="0.25">
      <c r="A7582" t="s">
        <v>7595</v>
      </c>
      <c r="B7582">
        <v>249</v>
      </c>
      <c r="C7582" s="1" t="str">
        <f>HYPERLINK("http://www.rosaceae.org/gb/gbrowse/malus_x_domestica/?name=MDP0000136590","MDP0000136590")</f>
        <v>MDP0000136590</v>
      </c>
      <c r="D7582">
        <v>74.39</v>
      </c>
      <c r="E7582">
        <v>207</v>
      </c>
      <c r="F7582">
        <v>53</v>
      </c>
      <c r="G7582">
        <v>9</v>
      </c>
      <c r="H7582">
        <v>51</v>
      </c>
      <c r="I7582">
        <v>248</v>
      </c>
      <c r="J7582">
        <v>1</v>
      </c>
      <c r="K7582">
        <v>86</v>
      </c>
      <c r="L7582">
        <v>292</v>
      </c>
      <c r="M7582">
        <v>1</v>
      </c>
      <c r="N7582">
        <v>2.1027799999999999E-89</v>
      </c>
      <c r="O7582">
        <v>834</v>
      </c>
    </row>
    <row r="7583" spans="1:15" x14ac:dyDescent="0.25">
      <c r="A7583" t="s">
        <v>7596</v>
      </c>
      <c r="B7583">
        <v>136</v>
      </c>
      <c r="C7583" s="1" t="str">
        <f>HYPERLINK("http://www.rosaceae.org/gb/gbrowse/malus_x_domestica/?name=MDP0000322229","MDP0000322229")</f>
        <v>MDP0000322229</v>
      </c>
      <c r="D7583">
        <v>87.5</v>
      </c>
      <c r="E7583">
        <v>136</v>
      </c>
      <c r="F7583">
        <v>17</v>
      </c>
      <c r="G7583">
        <v>0</v>
      </c>
      <c r="H7583">
        <v>1</v>
      </c>
      <c r="I7583">
        <v>136</v>
      </c>
      <c r="J7583">
        <v>1</v>
      </c>
      <c r="K7583">
        <v>37</v>
      </c>
      <c r="L7583">
        <v>172</v>
      </c>
      <c r="M7583">
        <v>1</v>
      </c>
      <c r="N7583">
        <v>3.0720100000000002E-63</v>
      </c>
      <c r="O7583">
        <v>604</v>
      </c>
    </row>
    <row r="7584" spans="1:15" x14ac:dyDescent="0.25">
      <c r="A7584" t="s">
        <v>7597</v>
      </c>
      <c r="B7584">
        <v>341</v>
      </c>
      <c r="C7584" s="1" t="str">
        <f>HYPERLINK("http://www.rosaceae.org/gb/gbrowse/malus_x_domestica/?name=MDP0000466683","MDP0000466683")</f>
        <v>MDP0000466683</v>
      </c>
      <c r="D7584">
        <v>82.23</v>
      </c>
      <c r="E7584">
        <v>349</v>
      </c>
      <c r="F7584">
        <v>62</v>
      </c>
      <c r="G7584">
        <v>10</v>
      </c>
      <c r="H7584">
        <v>1</v>
      </c>
      <c r="I7584">
        <v>341</v>
      </c>
      <c r="J7584">
        <v>1</v>
      </c>
      <c r="K7584">
        <v>1</v>
      </c>
      <c r="L7584">
        <v>347</v>
      </c>
      <c r="M7584">
        <v>1</v>
      </c>
      <c r="N7584">
        <v>1.5372900000000001E-165</v>
      </c>
      <c r="O7584">
        <v>1492</v>
      </c>
    </row>
    <row r="7585" spans="1:15" x14ac:dyDescent="0.25">
      <c r="A7585" t="s">
        <v>7598</v>
      </c>
      <c r="B7585">
        <v>589</v>
      </c>
      <c r="C7585" s="1" t="str">
        <f>HYPERLINK("http://www.rosaceae.org/gb/gbrowse/malus_x_domestica/?name=MDP0000269776","MDP0000269776")</f>
        <v>MDP0000269776</v>
      </c>
      <c r="D7585">
        <v>80.06</v>
      </c>
      <c r="E7585">
        <v>587</v>
      </c>
      <c r="F7585">
        <v>117</v>
      </c>
      <c r="G7585">
        <v>2</v>
      </c>
      <c r="H7585">
        <v>3</v>
      </c>
      <c r="I7585">
        <v>587</v>
      </c>
      <c r="J7585">
        <v>1</v>
      </c>
      <c r="K7585">
        <v>561</v>
      </c>
      <c r="L7585">
        <v>1147</v>
      </c>
      <c r="M7585">
        <v>1</v>
      </c>
      <c r="N7585">
        <v>0</v>
      </c>
      <c r="O7585">
        <v>2527</v>
      </c>
    </row>
    <row r="7586" spans="1:15" x14ac:dyDescent="0.25">
      <c r="A7586" t="s">
        <v>7599</v>
      </c>
      <c r="B7586">
        <v>457</v>
      </c>
      <c r="C7586" s="1" t="str">
        <f>HYPERLINK("http://www.rosaceae.org/gb/gbrowse/malus_x_domestica/?name=MDP0000607000","MDP0000607000")</f>
        <v>MDP0000607000</v>
      </c>
      <c r="D7586">
        <v>47.89</v>
      </c>
      <c r="E7586">
        <v>474</v>
      </c>
      <c r="F7586">
        <v>247</v>
      </c>
      <c r="G7586">
        <v>61</v>
      </c>
      <c r="H7586">
        <v>16</v>
      </c>
      <c r="I7586">
        <v>452</v>
      </c>
      <c r="J7586">
        <v>1</v>
      </c>
      <c r="K7586">
        <v>9</v>
      </c>
      <c r="L7586">
        <v>458</v>
      </c>
      <c r="M7586">
        <v>1</v>
      </c>
      <c r="N7586">
        <v>1.9657300000000001E-105</v>
      </c>
      <c r="O7586">
        <v>975</v>
      </c>
    </row>
    <row r="7587" spans="1:15" x14ac:dyDescent="0.25">
      <c r="A7587" t="s">
        <v>7600</v>
      </c>
      <c r="B7587">
        <v>492</v>
      </c>
      <c r="C7587" s="1" t="str">
        <f>HYPERLINK("http://www.rosaceae.org/gb/gbrowse/malus_x_domestica/?name=MDP0000125644","MDP0000125644")</f>
        <v>MDP0000125644</v>
      </c>
      <c r="D7587">
        <v>36.020000000000003</v>
      </c>
      <c r="E7587">
        <v>186</v>
      </c>
      <c r="F7587">
        <v>119</v>
      </c>
      <c r="G7587">
        <v>21</v>
      </c>
      <c r="H7587">
        <v>163</v>
      </c>
      <c r="I7587">
        <v>337</v>
      </c>
      <c r="J7587">
        <v>1</v>
      </c>
      <c r="K7587">
        <v>53</v>
      </c>
      <c r="L7587">
        <v>228</v>
      </c>
      <c r="M7587">
        <v>1</v>
      </c>
      <c r="N7587">
        <v>9.4214899999999998E-14</v>
      </c>
      <c r="O7587">
        <v>185</v>
      </c>
    </row>
    <row r="7588" spans="1:15" x14ac:dyDescent="0.25">
      <c r="A7588" t="s">
        <v>7601</v>
      </c>
      <c r="B7588">
        <v>624</v>
      </c>
      <c r="C7588" s="1" t="str">
        <f>HYPERLINK("http://www.rosaceae.org/gb/gbrowse/malus_x_domestica/?name=MDP0000270414","MDP0000270414")</f>
        <v>MDP0000270414</v>
      </c>
      <c r="D7588">
        <v>64.099999999999994</v>
      </c>
      <c r="E7588">
        <v>404</v>
      </c>
      <c r="F7588">
        <v>145</v>
      </c>
      <c r="G7588">
        <v>17</v>
      </c>
      <c r="H7588">
        <v>232</v>
      </c>
      <c r="I7588">
        <v>620</v>
      </c>
      <c r="J7588">
        <v>1</v>
      </c>
      <c r="K7588">
        <v>303</v>
      </c>
      <c r="L7588">
        <v>704</v>
      </c>
      <c r="M7588">
        <v>1</v>
      </c>
      <c r="N7588">
        <v>3.3317099999999999E-147</v>
      </c>
      <c r="O7588">
        <v>1337</v>
      </c>
    </row>
    <row r="7589" spans="1:15" x14ac:dyDescent="0.25">
      <c r="A7589" t="s">
        <v>7602</v>
      </c>
      <c r="B7589">
        <v>648</v>
      </c>
      <c r="C7589" s="1" t="str">
        <f>HYPERLINK("http://www.rosaceae.org/gb/gbrowse/malus_x_domestica/?name=MDP0000173406","MDP0000173406")</f>
        <v>MDP0000173406</v>
      </c>
      <c r="D7589">
        <v>70.5</v>
      </c>
      <c r="E7589">
        <v>678</v>
      </c>
      <c r="F7589">
        <v>200</v>
      </c>
      <c r="G7589">
        <v>58</v>
      </c>
      <c r="H7589">
        <v>28</v>
      </c>
      <c r="I7589">
        <v>647</v>
      </c>
      <c r="J7589">
        <v>1</v>
      </c>
      <c r="K7589">
        <v>17</v>
      </c>
      <c r="L7589">
        <v>694</v>
      </c>
      <c r="M7589">
        <v>1</v>
      </c>
      <c r="N7589">
        <v>0</v>
      </c>
      <c r="O7589">
        <v>2516</v>
      </c>
    </row>
    <row r="7590" spans="1:15" x14ac:dyDescent="0.25">
      <c r="A7590" t="s">
        <v>7603</v>
      </c>
      <c r="B7590">
        <v>422</v>
      </c>
      <c r="C7590" s="1" t="str">
        <f>HYPERLINK("http://www.rosaceae.org/gb/gbrowse/malus_x_domestica/?name=MDP0000470237","MDP0000470237")</f>
        <v>MDP0000470237</v>
      </c>
      <c r="D7590">
        <v>60.34</v>
      </c>
      <c r="E7590">
        <v>116</v>
      </c>
      <c r="F7590">
        <v>46</v>
      </c>
      <c r="G7590">
        <v>22</v>
      </c>
      <c r="H7590">
        <v>132</v>
      </c>
      <c r="I7590">
        <v>225</v>
      </c>
      <c r="J7590">
        <v>1</v>
      </c>
      <c r="K7590">
        <v>168</v>
      </c>
      <c r="L7590">
        <v>283</v>
      </c>
      <c r="M7590">
        <v>1</v>
      </c>
      <c r="N7590">
        <v>8.8835399999999998E-31</v>
      </c>
      <c r="O7590">
        <v>331</v>
      </c>
    </row>
    <row r="7591" spans="1:15" x14ac:dyDescent="0.25">
      <c r="A7591" t="s">
        <v>7604</v>
      </c>
      <c r="B7591">
        <v>233</v>
      </c>
      <c r="C7591" s="1" t="str">
        <f>HYPERLINK("http://www.rosaceae.org/gb/gbrowse/malus_x_domestica/?name=MDP0000257180","MDP0000257180")</f>
        <v>MDP0000257180</v>
      </c>
      <c r="D7591">
        <v>63.44</v>
      </c>
      <c r="E7591">
        <v>238</v>
      </c>
      <c r="F7591">
        <v>87</v>
      </c>
      <c r="G7591">
        <v>5</v>
      </c>
      <c r="H7591">
        <v>1</v>
      </c>
      <c r="I7591">
        <v>233</v>
      </c>
      <c r="J7591">
        <v>1</v>
      </c>
      <c r="K7591">
        <v>702</v>
      </c>
      <c r="L7591">
        <v>939</v>
      </c>
      <c r="M7591">
        <v>1</v>
      </c>
      <c r="N7591">
        <v>1.7624800000000002E-83</v>
      </c>
      <c r="O7591">
        <v>782</v>
      </c>
    </row>
    <row r="7592" spans="1:15" x14ac:dyDescent="0.25">
      <c r="A7592" t="s">
        <v>7605</v>
      </c>
      <c r="B7592">
        <v>874</v>
      </c>
      <c r="C7592" s="1" t="str">
        <f>HYPERLINK("http://www.rosaceae.org/gb/gbrowse/malus_x_domestica/?name=MDP0000281525","MDP0000281525")</f>
        <v>MDP0000281525</v>
      </c>
      <c r="D7592">
        <v>62.48</v>
      </c>
      <c r="E7592">
        <v>717</v>
      </c>
      <c r="F7592">
        <v>269</v>
      </c>
      <c r="G7592">
        <v>111</v>
      </c>
      <c r="H7592">
        <v>19</v>
      </c>
      <c r="I7592">
        <v>633</v>
      </c>
      <c r="J7592">
        <v>1</v>
      </c>
      <c r="K7592">
        <v>31</v>
      </c>
      <c r="L7592">
        <v>738</v>
      </c>
      <c r="M7592">
        <v>1</v>
      </c>
      <c r="N7592">
        <v>0</v>
      </c>
      <c r="O7592">
        <v>2258</v>
      </c>
    </row>
    <row r="7593" spans="1:15" x14ac:dyDescent="0.25">
      <c r="A7593" t="s">
        <v>7606</v>
      </c>
      <c r="B7593">
        <v>89</v>
      </c>
      <c r="C7593" s="1" t="str">
        <f>HYPERLINK("http://www.rosaceae.org/gb/gbrowse/malus_x_domestica/?name=MDP0000283138","MDP0000283138")</f>
        <v>MDP0000283138</v>
      </c>
      <c r="D7593">
        <v>90.69</v>
      </c>
      <c r="E7593">
        <v>43</v>
      </c>
      <c r="F7593">
        <v>4</v>
      </c>
      <c r="G7593">
        <v>0</v>
      </c>
      <c r="H7593">
        <v>39</v>
      </c>
      <c r="I7593">
        <v>81</v>
      </c>
      <c r="J7593">
        <v>1</v>
      </c>
      <c r="K7593">
        <v>1576</v>
      </c>
      <c r="L7593">
        <v>1618</v>
      </c>
      <c r="M7593">
        <v>1</v>
      </c>
      <c r="N7593">
        <v>6.0384099999999999E-18</v>
      </c>
      <c r="O7593">
        <v>212</v>
      </c>
    </row>
    <row r="7594" spans="1:15" x14ac:dyDescent="0.25">
      <c r="A7594" t="s">
        <v>7607</v>
      </c>
      <c r="B7594">
        <v>143</v>
      </c>
      <c r="C7594" s="1" t="str">
        <f>HYPERLINK("http://www.rosaceae.org/gb/gbrowse/malus_x_domestica/?name=MDP0000433653","MDP0000433653")</f>
        <v>MDP0000433653</v>
      </c>
      <c r="D7594">
        <v>53.08</v>
      </c>
      <c r="E7594">
        <v>81</v>
      </c>
      <c r="F7594">
        <v>38</v>
      </c>
      <c r="G7594">
        <v>0</v>
      </c>
      <c r="H7594">
        <v>14</v>
      </c>
      <c r="I7594">
        <v>94</v>
      </c>
      <c r="J7594">
        <v>1</v>
      </c>
      <c r="K7594">
        <v>120</v>
      </c>
      <c r="L7594">
        <v>200</v>
      </c>
      <c r="M7594">
        <v>1</v>
      </c>
      <c r="N7594">
        <v>6.9854400000000003E-18</v>
      </c>
      <c r="O7594">
        <v>213</v>
      </c>
    </row>
    <row r="7595" spans="1:15" x14ac:dyDescent="0.25">
      <c r="A7595" t="s">
        <v>7608</v>
      </c>
      <c r="B7595">
        <v>121</v>
      </c>
      <c r="C7595" s="1" t="str">
        <f>HYPERLINK("http://www.rosaceae.org/gb/gbrowse/malus_x_domestica/?name=MDP0000186980","MDP0000186980")</f>
        <v>MDP0000186980</v>
      </c>
      <c r="D7595">
        <v>60.29</v>
      </c>
      <c r="E7595">
        <v>68</v>
      </c>
      <c r="F7595">
        <v>27</v>
      </c>
      <c r="G7595">
        <v>0</v>
      </c>
      <c r="H7595">
        <v>43</v>
      </c>
      <c r="I7595">
        <v>110</v>
      </c>
      <c r="J7595">
        <v>1</v>
      </c>
      <c r="K7595">
        <v>54</v>
      </c>
      <c r="L7595">
        <v>121</v>
      </c>
      <c r="M7595">
        <v>1</v>
      </c>
      <c r="N7595">
        <v>2.9666399999999998E-17</v>
      </c>
      <c r="O7595">
        <v>206</v>
      </c>
    </row>
    <row r="7596" spans="1:15" x14ac:dyDescent="0.25">
      <c r="A7596" t="s">
        <v>7609</v>
      </c>
      <c r="B7596">
        <v>181</v>
      </c>
      <c r="C7596" s="1" t="str">
        <f>HYPERLINK("http://www.rosaceae.org/gb/gbrowse/malus_x_domestica/?name=MDP0000881537","MDP0000881537")</f>
        <v>MDP0000881537</v>
      </c>
      <c r="D7596">
        <v>44.97</v>
      </c>
      <c r="E7596">
        <v>189</v>
      </c>
      <c r="F7596">
        <v>104</v>
      </c>
      <c r="G7596">
        <v>11</v>
      </c>
      <c r="H7596">
        <v>2</v>
      </c>
      <c r="I7596">
        <v>179</v>
      </c>
      <c r="J7596">
        <v>1</v>
      </c>
      <c r="K7596">
        <v>157</v>
      </c>
      <c r="L7596">
        <v>345</v>
      </c>
      <c r="M7596">
        <v>1</v>
      </c>
      <c r="N7596">
        <v>2.9746800000000002E-40</v>
      </c>
      <c r="O7596">
        <v>408</v>
      </c>
    </row>
    <row r="7597" spans="1:15" x14ac:dyDescent="0.25">
      <c r="A7597" t="s">
        <v>7610</v>
      </c>
      <c r="B7597">
        <v>292</v>
      </c>
      <c r="C7597" s="1" t="str">
        <f>HYPERLINK("http://www.rosaceae.org/gb/gbrowse/malus_x_domestica/?name=MDP0000128950","MDP0000128950")</f>
        <v>MDP0000128950</v>
      </c>
      <c r="D7597">
        <v>30.71</v>
      </c>
      <c r="E7597">
        <v>293</v>
      </c>
      <c r="F7597">
        <v>203</v>
      </c>
      <c r="G7597">
        <v>73</v>
      </c>
      <c r="H7597">
        <v>17</v>
      </c>
      <c r="I7597">
        <v>253</v>
      </c>
      <c r="J7597">
        <v>1</v>
      </c>
      <c r="K7597">
        <v>66</v>
      </c>
      <c r="L7597">
        <v>341</v>
      </c>
      <c r="M7597">
        <v>1</v>
      </c>
      <c r="N7597">
        <v>2.0989899999999999E-21</v>
      </c>
      <c r="O7597">
        <v>248</v>
      </c>
    </row>
    <row r="7598" spans="1:15" x14ac:dyDescent="0.25">
      <c r="A7598" t="s">
        <v>7611</v>
      </c>
      <c r="B7598">
        <v>466</v>
      </c>
      <c r="C7598" s="1" t="str">
        <f>HYPERLINK("http://www.rosaceae.org/gb/gbrowse/malus_x_domestica/?name=MDP0000496646","MDP0000496646")</f>
        <v>MDP0000496646</v>
      </c>
      <c r="D7598">
        <v>57.63</v>
      </c>
      <c r="E7598">
        <v>465</v>
      </c>
      <c r="F7598">
        <v>197</v>
      </c>
      <c r="G7598">
        <v>28</v>
      </c>
      <c r="H7598">
        <v>5</v>
      </c>
      <c r="I7598">
        <v>462</v>
      </c>
      <c r="J7598">
        <v>1</v>
      </c>
      <c r="K7598">
        <v>6</v>
      </c>
      <c r="L7598">
        <v>449</v>
      </c>
      <c r="M7598">
        <v>1</v>
      </c>
      <c r="N7598">
        <v>3.7641500000000002E-139</v>
      </c>
      <c r="O7598">
        <v>1266</v>
      </c>
    </row>
    <row r="7599" spans="1:15" x14ac:dyDescent="0.25">
      <c r="A7599" t="s">
        <v>7612</v>
      </c>
      <c r="B7599">
        <v>2736</v>
      </c>
      <c r="C7599" s="1" t="str">
        <f>HYPERLINK("http://www.rosaceae.org/gb/gbrowse/malus_x_domestica/?name=MDP0000223219","MDP0000223219")</f>
        <v>MDP0000223219</v>
      </c>
      <c r="D7599">
        <v>60.8</v>
      </c>
      <c r="E7599">
        <v>324</v>
      </c>
      <c r="F7599">
        <v>127</v>
      </c>
      <c r="G7599">
        <v>24</v>
      </c>
      <c r="H7599">
        <v>39</v>
      </c>
      <c r="I7599">
        <v>343</v>
      </c>
      <c r="J7599">
        <v>1</v>
      </c>
      <c r="K7599">
        <v>441</v>
      </c>
      <c r="L7599">
        <v>759</v>
      </c>
      <c r="M7599">
        <v>1</v>
      </c>
      <c r="N7599">
        <v>2.39155E-106</v>
      </c>
      <c r="O7599">
        <v>991</v>
      </c>
    </row>
    <row r="7600" spans="1:15" x14ac:dyDescent="0.25">
      <c r="A7600" t="s">
        <v>7613</v>
      </c>
      <c r="B7600">
        <v>165</v>
      </c>
      <c r="C7600" s="1" t="str">
        <f>HYPERLINK("http://www.rosaceae.org/gb/gbrowse/malus_x_domestica/?name=MDP0000147746","MDP0000147746")</f>
        <v>MDP0000147746</v>
      </c>
      <c r="D7600">
        <v>45</v>
      </c>
      <c r="E7600">
        <v>140</v>
      </c>
      <c r="F7600">
        <v>77</v>
      </c>
      <c r="G7600">
        <v>19</v>
      </c>
      <c r="H7600">
        <v>1</v>
      </c>
      <c r="I7600">
        <v>140</v>
      </c>
      <c r="J7600">
        <v>1</v>
      </c>
      <c r="K7600">
        <v>1</v>
      </c>
      <c r="L7600">
        <v>121</v>
      </c>
      <c r="M7600">
        <v>1</v>
      </c>
      <c r="N7600">
        <v>7.0477799999999996E-25</v>
      </c>
      <c r="O7600">
        <v>275</v>
      </c>
    </row>
    <row r="7601" spans="1:15" x14ac:dyDescent="0.25">
      <c r="A7601" t="s">
        <v>7614</v>
      </c>
      <c r="B7601">
        <v>144</v>
      </c>
      <c r="C7601" s="1" t="str">
        <f>HYPERLINK("http://www.rosaceae.org/gb/gbrowse/malus_x_domestica/?name=MDP0000305094","MDP0000305094")</f>
        <v>MDP0000305094</v>
      </c>
      <c r="D7601">
        <v>70.510000000000005</v>
      </c>
      <c r="E7601">
        <v>78</v>
      </c>
      <c r="F7601">
        <v>23</v>
      </c>
      <c r="G7601">
        <v>9</v>
      </c>
      <c r="H7601">
        <v>7</v>
      </c>
      <c r="I7601">
        <v>84</v>
      </c>
      <c r="J7601">
        <v>1</v>
      </c>
      <c r="K7601">
        <v>9</v>
      </c>
      <c r="L7601">
        <v>77</v>
      </c>
      <c r="M7601">
        <v>1</v>
      </c>
      <c r="N7601">
        <v>2.3426999999999999E-27</v>
      </c>
      <c r="O7601">
        <v>295</v>
      </c>
    </row>
    <row r="7602" spans="1:15" x14ac:dyDescent="0.25">
      <c r="A7602" t="s">
        <v>7615</v>
      </c>
      <c r="B7602">
        <v>354</v>
      </c>
      <c r="C7602" s="1" t="str">
        <f>HYPERLINK("http://www.rosaceae.org/gb/gbrowse/malus_x_domestica/?name=MDP0000132623","MDP0000132623")</f>
        <v>MDP0000132623</v>
      </c>
      <c r="D7602">
        <v>70.760000000000005</v>
      </c>
      <c r="E7602">
        <v>342</v>
      </c>
      <c r="F7602">
        <v>100</v>
      </c>
      <c r="G7602">
        <v>13</v>
      </c>
      <c r="H7602">
        <v>1</v>
      </c>
      <c r="I7602">
        <v>338</v>
      </c>
      <c r="J7602">
        <v>1</v>
      </c>
      <c r="K7602">
        <v>1</v>
      </c>
      <c r="L7602">
        <v>333</v>
      </c>
      <c r="M7602">
        <v>1</v>
      </c>
      <c r="N7602">
        <v>5.7284600000000004E-131</v>
      </c>
      <c r="O7602">
        <v>1194</v>
      </c>
    </row>
    <row r="7603" spans="1:15" x14ac:dyDescent="0.25">
      <c r="A7603" t="s">
        <v>7616</v>
      </c>
      <c r="B7603">
        <v>1010</v>
      </c>
      <c r="C7603" s="1" t="str">
        <f>HYPERLINK("http://www.rosaceae.org/gb/gbrowse/malus_x_domestica/?name=MDP0000274120","MDP0000274120")</f>
        <v>MDP0000274120</v>
      </c>
      <c r="D7603">
        <v>64.67</v>
      </c>
      <c r="E7603">
        <v>821</v>
      </c>
      <c r="F7603">
        <v>290</v>
      </c>
      <c r="G7603">
        <v>74</v>
      </c>
      <c r="H7603">
        <v>237</v>
      </c>
      <c r="I7603">
        <v>1010</v>
      </c>
      <c r="J7603">
        <v>1</v>
      </c>
      <c r="K7603">
        <v>187</v>
      </c>
      <c r="L7603">
        <v>980</v>
      </c>
      <c r="M7603">
        <v>1</v>
      </c>
      <c r="N7603">
        <v>0</v>
      </c>
      <c r="O7603">
        <v>2434</v>
      </c>
    </row>
    <row r="7604" spans="1:15" x14ac:dyDescent="0.25">
      <c r="A7604" t="s">
        <v>7617</v>
      </c>
      <c r="B7604">
        <v>455</v>
      </c>
      <c r="C7604" s="1" t="str">
        <f>HYPERLINK("http://www.rosaceae.org/gb/gbrowse/malus_x_domestica/?name=MDP0000268092","MDP0000268092")</f>
        <v>MDP0000268092</v>
      </c>
      <c r="D7604">
        <v>64.22</v>
      </c>
      <c r="E7604">
        <v>464</v>
      </c>
      <c r="F7604">
        <v>166</v>
      </c>
      <c r="G7604">
        <v>28</v>
      </c>
      <c r="H7604">
        <v>5</v>
      </c>
      <c r="I7604">
        <v>455</v>
      </c>
      <c r="J7604">
        <v>1</v>
      </c>
      <c r="K7604">
        <v>11</v>
      </c>
      <c r="L7604">
        <v>459</v>
      </c>
      <c r="M7604">
        <v>1</v>
      </c>
      <c r="N7604">
        <v>3.0595E-171</v>
      </c>
      <c r="O7604">
        <v>1543</v>
      </c>
    </row>
    <row r="7605" spans="1:15" x14ac:dyDescent="0.25">
      <c r="A7605" t="s">
        <v>7618</v>
      </c>
      <c r="B7605">
        <v>370</v>
      </c>
      <c r="C7605" s="1" t="str">
        <f>HYPERLINK("http://www.rosaceae.org/gb/gbrowse/malus_x_domestica/?name=MDP0000320555","MDP0000320555")</f>
        <v>MDP0000320555</v>
      </c>
      <c r="D7605">
        <v>68.42</v>
      </c>
      <c r="E7605">
        <v>323</v>
      </c>
      <c r="F7605">
        <v>102</v>
      </c>
      <c r="G7605">
        <v>2</v>
      </c>
      <c r="H7605">
        <v>49</v>
      </c>
      <c r="I7605">
        <v>370</v>
      </c>
      <c r="J7605">
        <v>1</v>
      </c>
      <c r="K7605">
        <v>71</v>
      </c>
      <c r="L7605">
        <v>392</v>
      </c>
      <c r="M7605">
        <v>1</v>
      </c>
      <c r="N7605">
        <v>1.0165600000000001E-122</v>
      </c>
      <c r="O7605">
        <v>1123</v>
      </c>
    </row>
    <row r="7606" spans="1:15" x14ac:dyDescent="0.25">
      <c r="A7606" t="s">
        <v>7619</v>
      </c>
      <c r="B7606">
        <v>1118</v>
      </c>
      <c r="C7606" s="1" t="str">
        <f>HYPERLINK("http://www.rosaceae.org/gb/gbrowse/malus_x_domestica/?name=MDP0000843596","MDP0000843596")</f>
        <v>MDP0000843596</v>
      </c>
      <c r="D7606">
        <v>26.56</v>
      </c>
      <c r="E7606">
        <v>320</v>
      </c>
      <c r="F7606">
        <v>235</v>
      </c>
      <c r="G7606">
        <v>81</v>
      </c>
      <c r="H7606">
        <v>122</v>
      </c>
      <c r="I7606">
        <v>404</v>
      </c>
      <c r="J7606">
        <v>1</v>
      </c>
      <c r="K7606">
        <v>117</v>
      </c>
      <c r="L7606">
        <v>392</v>
      </c>
      <c r="M7606">
        <v>1</v>
      </c>
      <c r="N7606">
        <v>1.9053099999999999E-14</v>
      </c>
      <c r="O7606">
        <v>194</v>
      </c>
    </row>
    <row r="7607" spans="1:15" x14ac:dyDescent="0.25">
      <c r="A7607" t="s">
        <v>7620</v>
      </c>
      <c r="B7607">
        <v>1431</v>
      </c>
      <c r="C7607" s="1" t="str">
        <f>HYPERLINK("http://www.rosaceae.org/gb/gbrowse/malus_x_domestica/?name=MDP0000780100","MDP0000780100")</f>
        <v>MDP0000780100</v>
      </c>
      <c r="D7607">
        <v>48.89</v>
      </c>
      <c r="E7607">
        <v>1407</v>
      </c>
      <c r="F7607">
        <v>719</v>
      </c>
      <c r="G7607">
        <v>126</v>
      </c>
      <c r="H7607">
        <v>1</v>
      </c>
      <c r="I7607">
        <v>1331</v>
      </c>
      <c r="J7607">
        <v>1</v>
      </c>
      <c r="K7607">
        <v>3</v>
      </c>
      <c r="L7607">
        <v>1359</v>
      </c>
      <c r="M7607">
        <v>1</v>
      </c>
      <c r="N7607">
        <v>0</v>
      </c>
      <c r="O7607">
        <v>2991</v>
      </c>
    </row>
    <row r="7608" spans="1:15" x14ac:dyDescent="0.25">
      <c r="A7608" t="s">
        <v>7621</v>
      </c>
      <c r="B7608">
        <v>1451</v>
      </c>
      <c r="C7608" s="1" t="str">
        <f>HYPERLINK("http://www.rosaceae.org/gb/gbrowse/malus_x_domestica/?name=MDP0000259421","MDP0000259421")</f>
        <v>MDP0000259421</v>
      </c>
      <c r="D7608">
        <v>65.290000000000006</v>
      </c>
      <c r="E7608">
        <v>1190</v>
      </c>
      <c r="F7608">
        <v>413</v>
      </c>
      <c r="G7608">
        <v>76</v>
      </c>
      <c r="H7608">
        <v>180</v>
      </c>
      <c r="I7608">
        <v>1368</v>
      </c>
      <c r="J7608">
        <v>1</v>
      </c>
      <c r="K7608">
        <v>110</v>
      </c>
      <c r="L7608">
        <v>1224</v>
      </c>
      <c r="M7608">
        <v>1</v>
      </c>
      <c r="N7608">
        <v>0</v>
      </c>
      <c r="O7608">
        <v>4178</v>
      </c>
    </row>
    <row r="7609" spans="1:15" x14ac:dyDescent="0.25">
      <c r="A7609" t="s">
        <v>7622</v>
      </c>
      <c r="B7609">
        <v>498</v>
      </c>
      <c r="C7609" s="1" t="str">
        <f>HYPERLINK("http://www.rosaceae.org/gb/gbrowse/malus_x_domestica/?name=MDP0000249947","MDP0000249947")</f>
        <v>MDP0000249947</v>
      </c>
      <c r="D7609">
        <v>38.21</v>
      </c>
      <c r="E7609">
        <v>246</v>
      </c>
      <c r="F7609">
        <v>152</v>
      </c>
      <c r="G7609">
        <v>35</v>
      </c>
      <c r="H7609">
        <v>1</v>
      </c>
      <c r="I7609">
        <v>237</v>
      </c>
      <c r="J7609">
        <v>1</v>
      </c>
      <c r="K7609">
        <v>20</v>
      </c>
      <c r="L7609">
        <v>239</v>
      </c>
      <c r="M7609">
        <v>1</v>
      </c>
      <c r="N7609">
        <v>2.1562699999999999E-31</v>
      </c>
      <c r="O7609">
        <v>337</v>
      </c>
    </row>
    <row r="7610" spans="1:15" x14ac:dyDescent="0.25">
      <c r="A7610" t="s">
        <v>7623</v>
      </c>
      <c r="B7610">
        <v>477</v>
      </c>
      <c r="C7610" s="1" t="str">
        <f>HYPERLINK("http://www.rosaceae.org/gb/gbrowse/malus_x_domestica/?name=MDP0000846257","MDP0000846257")</f>
        <v>MDP0000846257</v>
      </c>
      <c r="D7610">
        <v>66.180000000000007</v>
      </c>
      <c r="E7610">
        <v>482</v>
      </c>
      <c r="F7610">
        <v>163</v>
      </c>
      <c r="G7610">
        <v>9</v>
      </c>
      <c r="H7610">
        <v>1</v>
      </c>
      <c r="I7610">
        <v>474</v>
      </c>
      <c r="J7610">
        <v>1</v>
      </c>
      <c r="K7610">
        <v>1</v>
      </c>
      <c r="L7610">
        <v>481</v>
      </c>
      <c r="M7610">
        <v>1</v>
      </c>
      <c r="N7610">
        <v>0</v>
      </c>
      <c r="O7610">
        <v>1715</v>
      </c>
    </row>
    <row r="7611" spans="1:15" x14ac:dyDescent="0.25">
      <c r="A7611" t="s">
        <v>7624</v>
      </c>
      <c r="B7611">
        <v>1703</v>
      </c>
      <c r="C7611" s="1" t="str">
        <f>HYPERLINK("http://www.rosaceae.org/gb/gbrowse/malus_x_domestica/?name=MDP0000263068","MDP0000263068")</f>
        <v>MDP0000263068</v>
      </c>
      <c r="D7611">
        <v>72.400000000000006</v>
      </c>
      <c r="E7611">
        <v>1080</v>
      </c>
      <c r="F7611">
        <v>298</v>
      </c>
      <c r="G7611">
        <v>113</v>
      </c>
      <c r="H7611">
        <v>1</v>
      </c>
      <c r="I7611">
        <v>1080</v>
      </c>
      <c r="J7611">
        <v>1</v>
      </c>
      <c r="K7611">
        <v>133</v>
      </c>
      <c r="L7611">
        <v>1099</v>
      </c>
      <c r="M7611">
        <v>1</v>
      </c>
      <c r="N7611">
        <v>0</v>
      </c>
      <c r="O7611">
        <v>3937</v>
      </c>
    </row>
    <row r="7612" spans="1:15" x14ac:dyDescent="0.25">
      <c r="A7612" t="s">
        <v>7625</v>
      </c>
      <c r="B7612">
        <v>393</v>
      </c>
      <c r="C7612" s="1" t="str">
        <f>HYPERLINK("http://www.rosaceae.org/gb/gbrowse/malus_x_domestica/?name=MDP0000401001","MDP0000401001")</f>
        <v>MDP0000401001</v>
      </c>
      <c r="D7612">
        <v>84.84</v>
      </c>
      <c r="E7612">
        <v>396</v>
      </c>
      <c r="F7612">
        <v>60</v>
      </c>
      <c r="G7612">
        <v>9</v>
      </c>
      <c r="H7612">
        <v>1</v>
      </c>
      <c r="I7612">
        <v>393</v>
      </c>
      <c r="J7612">
        <v>1</v>
      </c>
      <c r="K7612">
        <v>1</v>
      </c>
      <c r="L7612">
        <v>390</v>
      </c>
      <c r="M7612">
        <v>1</v>
      </c>
      <c r="N7612">
        <v>0</v>
      </c>
      <c r="O7612">
        <v>1754</v>
      </c>
    </row>
    <row r="7613" spans="1:15" x14ac:dyDescent="0.25">
      <c r="A7613" t="s">
        <v>7626</v>
      </c>
      <c r="B7613">
        <v>209</v>
      </c>
      <c r="C7613" s="1" t="str">
        <f>HYPERLINK("http://www.rosaceae.org/gb/gbrowse/malus_x_domestica/?name=MDP0000276760","MDP0000276760")</f>
        <v>MDP0000276760</v>
      </c>
      <c r="D7613">
        <v>78.489999999999995</v>
      </c>
      <c r="E7613">
        <v>93</v>
      </c>
      <c r="F7613">
        <v>20</v>
      </c>
      <c r="G7613">
        <v>0</v>
      </c>
      <c r="H7613">
        <v>117</v>
      </c>
      <c r="I7613">
        <v>209</v>
      </c>
      <c r="J7613">
        <v>1</v>
      </c>
      <c r="K7613">
        <v>150</v>
      </c>
      <c r="L7613">
        <v>242</v>
      </c>
      <c r="M7613">
        <v>1</v>
      </c>
      <c r="N7613">
        <v>1.13492E-38</v>
      </c>
      <c r="O7613">
        <v>395</v>
      </c>
    </row>
    <row r="7614" spans="1:15" x14ac:dyDescent="0.25">
      <c r="A7614" t="s">
        <v>7627</v>
      </c>
      <c r="B7614">
        <v>171</v>
      </c>
      <c r="C7614" s="1" t="str">
        <f>HYPERLINK("http://www.rosaceae.org/gb/gbrowse/malus_x_domestica/?name=MDP0000468324","MDP0000468324")</f>
        <v>MDP0000468324</v>
      </c>
      <c r="D7614">
        <v>72.61</v>
      </c>
      <c r="E7614">
        <v>168</v>
      </c>
      <c r="F7614">
        <v>46</v>
      </c>
      <c r="G7614">
        <v>0</v>
      </c>
      <c r="H7614">
        <v>1</v>
      </c>
      <c r="I7614">
        <v>168</v>
      </c>
      <c r="J7614">
        <v>1</v>
      </c>
      <c r="K7614">
        <v>1</v>
      </c>
      <c r="L7614">
        <v>168</v>
      </c>
      <c r="M7614">
        <v>1</v>
      </c>
      <c r="N7614">
        <v>6.6106300000000005E-73</v>
      </c>
      <c r="O7614">
        <v>689</v>
      </c>
    </row>
    <row r="7615" spans="1:15" x14ac:dyDescent="0.25">
      <c r="A7615" t="s">
        <v>7628</v>
      </c>
      <c r="B7615">
        <v>307</v>
      </c>
      <c r="C7615" s="1" t="str">
        <f>HYPERLINK("http://www.rosaceae.org/gb/gbrowse/malus_x_domestica/?name=MDP0000169903","MDP0000169903")</f>
        <v>MDP0000169903</v>
      </c>
      <c r="D7615">
        <v>55.81</v>
      </c>
      <c r="E7615">
        <v>258</v>
      </c>
      <c r="F7615">
        <v>114</v>
      </c>
      <c r="G7615">
        <v>5</v>
      </c>
      <c r="H7615">
        <v>51</v>
      </c>
      <c r="I7615">
        <v>307</v>
      </c>
      <c r="J7615">
        <v>1</v>
      </c>
      <c r="K7615">
        <v>7</v>
      </c>
      <c r="L7615">
        <v>260</v>
      </c>
      <c r="M7615">
        <v>1</v>
      </c>
      <c r="N7615">
        <v>1.1066099999999999E-75</v>
      </c>
      <c r="O7615">
        <v>717</v>
      </c>
    </row>
    <row r="7616" spans="1:15" x14ac:dyDescent="0.25">
      <c r="A7616" t="s">
        <v>7629</v>
      </c>
      <c r="B7616">
        <v>344</v>
      </c>
      <c r="C7616" s="1" t="str">
        <f>HYPERLINK("http://www.rosaceae.org/gb/gbrowse/malus_x_domestica/?name=MDP0000180902","MDP0000180902")</f>
        <v>MDP0000180902</v>
      </c>
      <c r="D7616">
        <v>69.06</v>
      </c>
      <c r="E7616">
        <v>320</v>
      </c>
      <c r="F7616">
        <v>99</v>
      </c>
      <c r="G7616">
        <v>15</v>
      </c>
      <c r="H7616">
        <v>1</v>
      </c>
      <c r="I7616">
        <v>307</v>
      </c>
      <c r="J7616">
        <v>1</v>
      </c>
      <c r="K7616">
        <v>1</v>
      </c>
      <c r="L7616">
        <v>318</v>
      </c>
      <c r="M7616">
        <v>1</v>
      </c>
      <c r="N7616">
        <v>2.34862E-128</v>
      </c>
      <c r="O7616">
        <v>1172</v>
      </c>
    </row>
    <row r="7617" spans="1:15" x14ac:dyDescent="0.25">
      <c r="A7617" t="s">
        <v>7630</v>
      </c>
      <c r="B7617">
        <v>300</v>
      </c>
      <c r="C7617" s="1" t="str">
        <f>HYPERLINK("http://www.rosaceae.org/gb/gbrowse/malus_x_domestica/?name=MDP0000375310","MDP0000375310")</f>
        <v>MDP0000375310</v>
      </c>
      <c r="D7617">
        <v>77.48</v>
      </c>
      <c r="E7617">
        <v>302</v>
      </c>
      <c r="F7617">
        <v>68</v>
      </c>
      <c r="G7617">
        <v>3</v>
      </c>
      <c r="H7617">
        <v>2</v>
      </c>
      <c r="I7617">
        <v>300</v>
      </c>
      <c r="J7617">
        <v>1</v>
      </c>
      <c r="K7617">
        <v>227</v>
      </c>
      <c r="L7617">
        <v>528</v>
      </c>
      <c r="M7617">
        <v>1</v>
      </c>
      <c r="N7617">
        <v>1.50433E-133</v>
      </c>
      <c r="O7617">
        <v>1216</v>
      </c>
    </row>
    <row r="7618" spans="1:15" x14ac:dyDescent="0.25">
      <c r="A7618" t="s">
        <v>7631</v>
      </c>
      <c r="B7618">
        <v>272</v>
      </c>
      <c r="C7618" s="1" t="str">
        <f>HYPERLINK("http://www.rosaceae.org/gb/gbrowse/malus_x_domestica/?name=MDP0000231605","MDP0000231605")</f>
        <v>MDP0000231605</v>
      </c>
      <c r="D7618">
        <v>80.81</v>
      </c>
      <c r="E7618">
        <v>172</v>
      </c>
      <c r="F7618">
        <v>33</v>
      </c>
      <c r="G7618">
        <v>2</v>
      </c>
      <c r="H7618">
        <v>1</v>
      </c>
      <c r="I7618">
        <v>170</v>
      </c>
      <c r="J7618">
        <v>1</v>
      </c>
      <c r="K7618">
        <v>1</v>
      </c>
      <c r="L7618">
        <v>172</v>
      </c>
      <c r="M7618">
        <v>1</v>
      </c>
      <c r="N7618">
        <v>1.4403699999999999E-75</v>
      </c>
      <c r="O7618">
        <v>715</v>
      </c>
    </row>
    <row r="7619" spans="1:15" x14ac:dyDescent="0.25">
      <c r="A7619" t="s">
        <v>7632</v>
      </c>
      <c r="B7619">
        <v>390</v>
      </c>
      <c r="C7619" s="1" t="str">
        <f>HYPERLINK("http://www.rosaceae.org/gb/gbrowse/malus_x_domestica/?name=MDP0000255676","MDP0000255676")</f>
        <v>MDP0000255676</v>
      </c>
      <c r="D7619">
        <v>73.790000000000006</v>
      </c>
      <c r="E7619">
        <v>393</v>
      </c>
      <c r="F7619">
        <v>103</v>
      </c>
      <c r="G7619">
        <v>16</v>
      </c>
      <c r="H7619">
        <v>1</v>
      </c>
      <c r="I7619">
        <v>390</v>
      </c>
      <c r="J7619">
        <v>1</v>
      </c>
      <c r="K7619">
        <v>136</v>
      </c>
      <c r="L7619">
        <v>515</v>
      </c>
      <c r="M7619">
        <v>1</v>
      </c>
      <c r="N7619">
        <v>3.96718E-166</v>
      </c>
      <c r="O7619">
        <v>1498</v>
      </c>
    </row>
    <row r="7620" spans="1:15" x14ac:dyDescent="0.25">
      <c r="A7620" t="s">
        <v>7633</v>
      </c>
      <c r="B7620">
        <v>798</v>
      </c>
      <c r="C7620" s="1" t="str">
        <f>HYPERLINK("http://www.rosaceae.org/gb/gbrowse/malus_x_domestica/?name=MDP0000296098","MDP0000296098")</f>
        <v>MDP0000296098</v>
      </c>
      <c r="D7620">
        <v>44.25</v>
      </c>
      <c r="E7620">
        <v>409</v>
      </c>
      <c r="F7620">
        <v>228</v>
      </c>
      <c r="G7620">
        <v>24</v>
      </c>
      <c r="H7620">
        <v>398</v>
      </c>
      <c r="I7620">
        <v>798</v>
      </c>
      <c r="J7620">
        <v>1</v>
      </c>
      <c r="K7620">
        <v>365</v>
      </c>
      <c r="L7620">
        <v>757</v>
      </c>
      <c r="M7620">
        <v>1</v>
      </c>
      <c r="N7620">
        <v>5.04359E-89</v>
      </c>
      <c r="O7620">
        <v>836</v>
      </c>
    </row>
    <row r="7621" spans="1:15" x14ac:dyDescent="0.25">
      <c r="A7621" t="s">
        <v>7634</v>
      </c>
      <c r="B7621">
        <v>386</v>
      </c>
      <c r="C7621" s="1" t="str">
        <f>HYPERLINK("http://www.rosaceae.org/gb/gbrowse/malus_x_domestica/?name=MDP0000509245","MDP0000509245")</f>
        <v>MDP0000509245</v>
      </c>
      <c r="D7621">
        <v>55.29</v>
      </c>
      <c r="E7621">
        <v>387</v>
      </c>
      <c r="F7621">
        <v>173</v>
      </c>
      <c r="G7621">
        <v>34</v>
      </c>
      <c r="H7621">
        <v>3</v>
      </c>
      <c r="I7621">
        <v>381</v>
      </c>
      <c r="J7621">
        <v>1</v>
      </c>
      <c r="K7621">
        <v>2</v>
      </c>
      <c r="L7621">
        <v>362</v>
      </c>
      <c r="M7621">
        <v>1</v>
      </c>
      <c r="N7621">
        <v>4.6251199999999999E-106</v>
      </c>
      <c r="O7621">
        <v>980</v>
      </c>
    </row>
    <row r="7622" spans="1:15" x14ac:dyDescent="0.25">
      <c r="A7622" t="s">
        <v>7635</v>
      </c>
      <c r="B7622">
        <v>362</v>
      </c>
      <c r="C7622" s="1" t="str">
        <f>HYPERLINK("http://www.rosaceae.org/gb/gbrowse/malus_x_domestica/?name=MDP0000242499","MDP0000242499")</f>
        <v>MDP0000242499</v>
      </c>
      <c r="D7622">
        <v>65.650000000000006</v>
      </c>
      <c r="E7622">
        <v>329</v>
      </c>
      <c r="F7622">
        <v>113</v>
      </c>
      <c r="G7622">
        <v>19</v>
      </c>
      <c r="H7622">
        <v>46</v>
      </c>
      <c r="I7622">
        <v>355</v>
      </c>
      <c r="J7622">
        <v>1</v>
      </c>
      <c r="K7622">
        <v>1</v>
      </c>
      <c r="L7622">
        <v>329</v>
      </c>
      <c r="M7622">
        <v>1</v>
      </c>
      <c r="N7622">
        <v>6.7378099999999996E-112</v>
      </c>
      <c r="O7622">
        <v>1030</v>
      </c>
    </row>
    <row r="7623" spans="1:15" x14ac:dyDescent="0.25">
      <c r="A7623" t="s">
        <v>7636</v>
      </c>
      <c r="B7623">
        <v>200</v>
      </c>
      <c r="C7623" s="1" t="str">
        <f>HYPERLINK("http://www.rosaceae.org/gb/gbrowse/malus_x_domestica/?name=MDP0000189871","MDP0000189871")</f>
        <v>MDP0000189871</v>
      </c>
      <c r="D7623">
        <v>77.5</v>
      </c>
      <c r="E7623">
        <v>200</v>
      </c>
      <c r="F7623">
        <v>45</v>
      </c>
      <c r="G7623">
        <v>5</v>
      </c>
      <c r="H7623">
        <v>1</v>
      </c>
      <c r="I7623">
        <v>200</v>
      </c>
      <c r="J7623">
        <v>1</v>
      </c>
      <c r="K7623">
        <v>1</v>
      </c>
      <c r="L7623">
        <v>195</v>
      </c>
      <c r="M7623">
        <v>1</v>
      </c>
      <c r="N7623">
        <v>6.3630800000000006E-89</v>
      </c>
      <c r="O7623">
        <v>828</v>
      </c>
    </row>
    <row r="7624" spans="1:15" x14ac:dyDescent="0.25">
      <c r="A7624" t="s">
        <v>7637</v>
      </c>
      <c r="B7624">
        <v>655</v>
      </c>
      <c r="C7624" s="1" t="str">
        <f>HYPERLINK("http://www.rosaceae.org/gb/gbrowse/malus_x_domestica/?name=MDP0000133399","MDP0000133399")</f>
        <v>MDP0000133399</v>
      </c>
      <c r="D7624">
        <v>78.22</v>
      </c>
      <c r="E7624">
        <v>666</v>
      </c>
      <c r="F7624">
        <v>145</v>
      </c>
      <c r="G7624">
        <v>14</v>
      </c>
      <c r="H7624">
        <v>1</v>
      </c>
      <c r="I7624">
        <v>655</v>
      </c>
      <c r="J7624">
        <v>1</v>
      </c>
      <c r="K7624">
        <v>20</v>
      </c>
      <c r="L7624">
        <v>682</v>
      </c>
      <c r="M7624">
        <v>1</v>
      </c>
      <c r="N7624">
        <v>0</v>
      </c>
      <c r="O7624">
        <v>2710</v>
      </c>
    </row>
    <row r="7625" spans="1:15" x14ac:dyDescent="0.25">
      <c r="A7625" t="s">
        <v>7638</v>
      </c>
      <c r="B7625">
        <v>218</v>
      </c>
      <c r="C7625" s="1" t="str">
        <f>HYPERLINK("http://www.rosaceae.org/gb/gbrowse/malus_x_domestica/?name=MDP0000182000","MDP0000182000")</f>
        <v>MDP0000182000</v>
      </c>
      <c r="D7625">
        <v>58.01</v>
      </c>
      <c r="E7625">
        <v>181</v>
      </c>
      <c r="F7625">
        <v>76</v>
      </c>
      <c r="G7625">
        <v>3</v>
      </c>
      <c r="H7625">
        <v>18</v>
      </c>
      <c r="I7625">
        <v>198</v>
      </c>
      <c r="J7625">
        <v>1</v>
      </c>
      <c r="K7625">
        <v>145</v>
      </c>
      <c r="L7625">
        <v>322</v>
      </c>
      <c r="M7625">
        <v>1</v>
      </c>
      <c r="N7625">
        <v>1.51773E-55</v>
      </c>
      <c r="O7625">
        <v>541</v>
      </c>
    </row>
    <row r="7626" spans="1:15" x14ac:dyDescent="0.25">
      <c r="A7626" t="s">
        <v>7639</v>
      </c>
      <c r="B7626">
        <v>169</v>
      </c>
      <c r="C7626" s="1" t="str">
        <f>HYPERLINK("http://www.rosaceae.org/gb/gbrowse/malus_x_domestica/?name=MDP0000293468","MDP0000293468")</f>
        <v>MDP0000293468</v>
      </c>
      <c r="D7626">
        <v>90.29</v>
      </c>
      <c r="E7626">
        <v>134</v>
      </c>
      <c r="F7626">
        <v>13</v>
      </c>
      <c r="G7626">
        <v>1</v>
      </c>
      <c r="H7626">
        <v>28</v>
      </c>
      <c r="I7626">
        <v>160</v>
      </c>
      <c r="J7626">
        <v>1</v>
      </c>
      <c r="K7626">
        <v>43</v>
      </c>
      <c r="L7626">
        <v>176</v>
      </c>
      <c r="M7626">
        <v>1</v>
      </c>
      <c r="N7626">
        <v>1.2699399999999999E-58</v>
      </c>
      <c r="O7626">
        <v>566</v>
      </c>
    </row>
    <row r="7627" spans="1:15" x14ac:dyDescent="0.25">
      <c r="A7627" t="s">
        <v>7640</v>
      </c>
      <c r="B7627">
        <v>148</v>
      </c>
      <c r="C7627" s="1" t="str">
        <f>HYPERLINK("http://www.rosaceae.org/gb/gbrowse/malus_x_domestica/?name=MDP0000129854","MDP0000129854")</f>
        <v>MDP0000129854</v>
      </c>
      <c r="D7627">
        <v>67.709999999999994</v>
      </c>
      <c r="E7627">
        <v>127</v>
      </c>
      <c r="F7627">
        <v>41</v>
      </c>
      <c r="G7627">
        <v>8</v>
      </c>
      <c r="H7627">
        <v>1</v>
      </c>
      <c r="I7627">
        <v>126</v>
      </c>
      <c r="J7627">
        <v>1</v>
      </c>
      <c r="K7627">
        <v>3</v>
      </c>
      <c r="L7627">
        <v>122</v>
      </c>
      <c r="M7627">
        <v>1</v>
      </c>
      <c r="N7627">
        <v>2.1207899999999999E-37</v>
      </c>
      <c r="O7627">
        <v>382</v>
      </c>
    </row>
    <row r="7628" spans="1:15" x14ac:dyDescent="0.25">
      <c r="A7628" t="s">
        <v>7641</v>
      </c>
      <c r="B7628">
        <v>209</v>
      </c>
      <c r="C7628" s="1" t="str">
        <f>HYPERLINK("http://www.rosaceae.org/gb/gbrowse/malus_x_domestica/?name=MDP0000123418","MDP0000123418")</f>
        <v>MDP0000123418</v>
      </c>
      <c r="D7628">
        <v>64.099999999999994</v>
      </c>
      <c r="E7628">
        <v>195</v>
      </c>
      <c r="F7628">
        <v>70</v>
      </c>
      <c r="G7628">
        <v>18</v>
      </c>
      <c r="H7628">
        <v>14</v>
      </c>
      <c r="I7628">
        <v>196</v>
      </c>
      <c r="J7628">
        <v>1</v>
      </c>
      <c r="K7628">
        <v>26</v>
      </c>
      <c r="L7628">
        <v>214</v>
      </c>
      <c r="M7628">
        <v>1</v>
      </c>
      <c r="N7628">
        <v>1.44719E-63</v>
      </c>
      <c r="O7628">
        <v>610</v>
      </c>
    </row>
    <row r="7629" spans="1:15" x14ac:dyDescent="0.25">
      <c r="A7629" t="s">
        <v>7642</v>
      </c>
      <c r="B7629">
        <v>398</v>
      </c>
      <c r="C7629" s="1" t="str">
        <f>HYPERLINK("http://www.rosaceae.org/gb/gbrowse/malus_x_domestica/?name=MDP0000265581","MDP0000265581")</f>
        <v>MDP0000265581</v>
      </c>
      <c r="D7629">
        <v>64.569999999999993</v>
      </c>
      <c r="E7629">
        <v>350</v>
      </c>
      <c r="F7629">
        <v>124</v>
      </c>
      <c r="G7629">
        <v>3</v>
      </c>
      <c r="H7629">
        <v>1</v>
      </c>
      <c r="I7629">
        <v>347</v>
      </c>
      <c r="J7629">
        <v>1</v>
      </c>
      <c r="K7629">
        <v>65</v>
      </c>
      <c r="L7629">
        <v>414</v>
      </c>
      <c r="M7629">
        <v>1</v>
      </c>
      <c r="N7629">
        <v>2.7933099999999999E-123</v>
      </c>
      <c r="O7629">
        <v>1129</v>
      </c>
    </row>
    <row r="7630" spans="1:15" x14ac:dyDescent="0.25">
      <c r="A7630" t="s">
        <v>7643</v>
      </c>
      <c r="B7630">
        <v>407</v>
      </c>
      <c r="C7630" s="1" t="str">
        <f>HYPERLINK("http://www.rosaceae.org/gb/gbrowse/malus_x_domestica/?name=MDP0000133520","MDP0000133520")</f>
        <v>MDP0000133520</v>
      </c>
      <c r="D7630">
        <v>80.040000000000006</v>
      </c>
      <c r="E7630">
        <v>401</v>
      </c>
      <c r="F7630">
        <v>80</v>
      </c>
      <c r="G7630">
        <v>0</v>
      </c>
      <c r="H7630">
        <v>1</v>
      </c>
      <c r="I7630">
        <v>401</v>
      </c>
      <c r="J7630">
        <v>1</v>
      </c>
      <c r="K7630">
        <v>1</v>
      </c>
      <c r="L7630">
        <v>401</v>
      </c>
      <c r="M7630">
        <v>1</v>
      </c>
      <c r="N7630">
        <v>0</v>
      </c>
      <c r="O7630">
        <v>1695</v>
      </c>
    </row>
    <row r="7631" spans="1:15" x14ac:dyDescent="0.25">
      <c r="A7631" t="s">
        <v>7644</v>
      </c>
      <c r="B7631">
        <v>158</v>
      </c>
      <c r="C7631" s="1" t="str">
        <f>HYPERLINK("http://www.rosaceae.org/gb/gbrowse/malus_x_domestica/?name=MDP0000432855","MDP0000432855")</f>
        <v>MDP0000432855</v>
      </c>
      <c r="D7631">
        <v>56.45</v>
      </c>
      <c r="E7631">
        <v>62</v>
      </c>
      <c r="F7631">
        <v>27</v>
      </c>
      <c r="G7631">
        <v>2</v>
      </c>
      <c r="H7631">
        <v>99</v>
      </c>
      <c r="I7631">
        <v>158</v>
      </c>
      <c r="J7631">
        <v>1</v>
      </c>
      <c r="K7631">
        <v>80</v>
      </c>
      <c r="L7631">
        <v>141</v>
      </c>
      <c r="M7631">
        <v>1</v>
      </c>
      <c r="N7631">
        <v>1.70595E-12</v>
      </c>
      <c r="O7631">
        <v>168</v>
      </c>
    </row>
    <row r="7632" spans="1:15" x14ac:dyDescent="0.25">
      <c r="A7632" t="s">
        <v>7645</v>
      </c>
      <c r="B7632">
        <v>139</v>
      </c>
      <c r="C7632" s="1" t="str">
        <f>HYPERLINK("http://www.rosaceae.org/gb/gbrowse/malus_x_domestica/?name=MDP0000148227","MDP0000148227")</f>
        <v>MDP0000148227</v>
      </c>
      <c r="D7632">
        <v>72.64</v>
      </c>
      <c r="E7632">
        <v>106</v>
      </c>
      <c r="F7632">
        <v>29</v>
      </c>
      <c r="G7632">
        <v>4</v>
      </c>
      <c r="H7632">
        <v>34</v>
      </c>
      <c r="I7632">
        <v>135</v>
      </c>
      <c r="J7632">
        <v>1</v>
      </c>
      <c r="K7632">
        <v>247</v>
      </c>
      <c r="L7632">
        <v>352</v>
      </c>
      <c r="M7632">
        <v>1</v>
      </c>
      <c r="N7632">
        <v>3.6795899999999999E-42</v>
      </c>
      <c r="O7632">
        <v>422</v>
      </c>
    </row>
    <row r="7633" spans="1:15" x14ac:dyDescent="0.25">
      <c r="A7633" t="s">
        <v>7646</v>
      </c>
      <c r="B7633">
        <v>142</v>
      </c>
      <c r="C7633" s="1" t="str">
        <f>HYPERLINK("http://www.rosaceae.org/gb/gbrowse/malus_x_domestica/?name=MDP0000198112","MDP0000198112")</f>
        <v>MDP0000198112</v>
      </c>
      <c r="D7633">
        <v>54.54</v>
      </c>
      <c r="E7633">
        <v>44</v>
      </c>
      <c r="F7633">
        <v>20</v>
      </c>
      <c r="G7633">
        <v>0</v>
      </c>
      <c r="H7633">
        <v>77</v>
      </c>
      <c r="I7633">
        <v>120</v>
      </c>
      <c r="J7633">
        <v>1</v>
      </c>
      <c r="K7633">
        <v>450</v>
      </c>
      <c r="L7633">
        <v>493</v>
      </c>
      <c r="M7633">
        <v>1</v>
      </c>
      <c r="N7633">
        <v>8.81581E-9</v>
      </c>
      <c r="O7633">
        <v>135</v>
      </c>
    </row>
    <row r="7634" spans="1:15" x14ac:dyDescent="0.25">
      <c r="A7634" t="s">
        <v>7647</v>
      </c>
      <c r="B7634">
        <v>161</v>
      </c>
      <c r="C7634" s="1" t="str">
        <f>HYPERLINK("http://www.rosaceae.org/gb/gbrowse/malus_x_domestica/?name=MDP0000167808","MDP0000167808")</f>
        <v>MDP0000167808</v>
      </c>
      <c r="D7634">
        <v>53.27</v>
      </c>
      <c r="E7634">
        <v>122</v>
      </c>
      <c r="F7634">
        <v>57</v>
      </c>
      <c r="G7634">
        <v>7</v>
      </c>
      <c r="H7634">
        <v>40</v>
      </c>
      <c r="I7634">
        <v>161</v>
      </c>
      <c r="J7634">
        <v>1</v>
      </c>
      <c r="K7634">
        <v>146</v>
      </c>
      <c r="L7634">
        <v>260</v>
      </c>
      <c r="M7634">
        <v>1</v>
      </c>
      <c r="N7634">
        <v>2.2073200000000001E-32</v>
      </c>
      <c r="O7634">
        <v>339</v>
      </c>
    </row>
    <row r="7635" spans="1:15" x14ac:dyDescent="0.25">
      <c r="A7635" t="s">
        <v>7648</v>
      </c>
      <c r="B7635">
        <v>561</v>
      </c>
      <c r="C7635" s="1" t="str">
        <f>HYPERLINK("http://www.rosaceae.org/gb/gbrowse/malus_x_domestica/?name=MDP0000716496","MDP0000716496")</f>
        <v>MDP0000716496</v>
      </c>
      <c r="D7635">
        <v>73.069999999999993</v>
      </c>
      <c r="E7635">
        <v>546</v>
      </c>
      <c r="F7635">
        <v>147</v>
      </c>
      <c r="G7635">
        <v>6</v>
      </c>
      <c r="H7635">
        <v>10</v>
      </c>
      <c r="I7635">
        <v>554</v>
      </c>
      <c r="J7635">
        <v>1</v>
      </c>
      <c r="K7635">
        <v>7</v>
      </c>
      <c r="L7635">
        <v>547</v>
      </c>
      <c r="M7635">
        <v>1</v>
      </c>
      <c r="N7635">
        <v>0</v>
      </c>
      <c r="O7635">
        <v>2083</v>
      </c>
    </row>
    <row r="7636" spans="1:15" x14ac:dyDescent="0.25">
      <c r="A7636" t="s">
        <v>7649</v>
      </c>
      <c r="B7636">
        <v>351</v>
      </c>
      <c r="C7636" s="1" t="str">
        <f>HYPERLINK("http://www.rosaceae.org/gb/gbrowse/malus_x_domestica/?name=MDP0000337873","MDP0000337873")</f>
        <v>MDP0000337873</v>
      </c>
      <c r="D7636">
        <v>28.22</v>
      </c>
      <c r="E7636">
        <v>333</v>
      </c>
      <c r="F7636">
        <v>239</v>
      </c>
      <c r="G7636">
        <v>15</v>
      </c>
      <c r="H7636">
        <v>17</v>
      </c>
      <c r="I7636">
        <v>342</v>
      </c>
      <c r="J7636">
        <v>1</v>
      </c>
      <c r="K7636">
        <v>18</v>
      </c>
      <c r="L7636">
        <v>342</v>
      </c>
      <c r="M7636">
        <v>1</v>
      </c>
      <c r="N7636">
        <v>3.5304599999999999E-30</v>
      </c>
      <c r="O7636">
        <v>325</v>
      </c>
    </row>
    <row r="7637" spans="1:15" x14ac:dyDescent="0.25">
      <c r="A7637" t="s">
        <v>7650</v>
      </c>
      <c r="B7637">
        <v>498</v>
      </c>
      <c r="C7637" s="1" t="str">
        <f>HYPERLINK("http://www.rosaceae.org/gb/gbrowse/malus_x_domestica/?name=MDP0000124626","MDP0000124626")</f>
        <v>MDP0000124626</v>
      </c>
      <c r="D7637">
        <v>41.17</v>
      </c>
      <c r="E7637">
        <v>476</v>
      </c>
      <c r="F7637">
        <v>280</v>
      </c>
      <c r="G7637">
        <v>24</v>
      </c>
      <c r="H7637">
        <v>1</v>
      </c>
      <c r="I7637">
        <v>465</v>
      </c>
      <c r="J7637">
        <v>1</v>
      </c>
      <c r="K7637">
        <v>16</v>
      </c>
      <c r="L7637">
        <v>478</v>
      </c>
      <c r="M7637">
        <v>1</v>
      </c>
      <c r="N7637">
        <v>1.1590799999999999E-100</v>
      </c>
      <c r="O7637">
        <v>935</v>
      </c>
    </row>
    <row r="7638" spans="1:15" x14ac:dyDescent="0.25">
      <c r="A7638" t="s">
        <v>7651</v>
      </c>
      <c r="B7638">
        <v>1118</v>
      </c>
      <c r="C7638" s="1" t="str">
        <f>HYPERLINK("http://www.rosaceae.org/gb/gbrowse/malus_x_domestica/?name=MDP0000321312","MDP0000321312")</f>
        <v>MDP0000321312</v>
      </c>
      <c r="D7638">
        <v>69.459999999999994</v>
      </c>
      <c r="E7638">
        <v>655</v>
      </c>
      <c r="F7638">
        <v>200</v>
      </c>
      <c r="G7638">
        <v>36</v>
      </c>
      <c r="H7638">
        <v>1</v>
      </c>
      <c r="I7638">
        <v>620</v>
      </c>
      <c r="J7638">
        <v>1</v>
      </c>
      <c r="K7638">
        <v>3</v>
      </c>
      <c r="L7638">
        <v>656</v>
      </c>
      <c r="M7638">
        <v>1</v>
      </c>
      <c r="N7638">
        <v>0</v>
      </c>
      <c r="O7638">
        <v>2213</v>
      </c>
    </row>
    <row r="7639" spans="1:15" x14ac:dyDescent="0.25">
      <c r="A7639" t="s">
        <v>7652</v>
      </c>
      <c r="B7639">
        <v>343</v>
      </c>
      <c r="C7639" s="1" t="str">
        <f>HYPERLINK("http://www.rosaceae.org/gb/gbrowse/malus_x_domestica/?name=MDP0000934869","MDP0000934869")</f>
        <v>MDP0000934869</v>
      </c>
      <c r="D7639">
        <v>65.849999999999994</v>
      </c>
      <c r="E7639">
        <v>82</v>
      </c>
      <c r="F7639">
        <v>28</v>
      </c>
      <c r="G7639">
        <v>0</v>
      </c>
      <c r="H7639">
        <v>9</v>
      </c>
      <c r="I7639">
        <v>90</v>
      </c>
      <c r="J7639">
        <v>1</v>
      </c>
      <c r="K7639">
        <v>10</v>
      </c>
      <c r="L7639">
        <v>91</v>
      </c>
      <c r="M7639">
        <v>1</v>
      </c>
      <c r="N7639">
        <v>3.7144500000000001E-29</v>
      </c>
      <c r="O7639">
        <v>316</v>
      </c>
    </row>
    <row r="7640" spans="1:15" x14ac:dyDescent="0.25">
      <c r="A7640" t="s">
        <v>7653</v>
      </c>
      <c r="B7640">
        <v>171</v>
      </c>
      <c r="C7640" s="1" t="str">
        <f>HYPERLINK("http://www.rosaceae.org/gb/gbrowse/malus_x_domestica/?name=MDP0000771589","MDP0000771589")</f>
        <v>MDP0000771589</v>
      </c>
      <c r="D7640">
        <v>38.49</v>
      </c>
      <c r="E7640">
        <v>213</v>
      </c>
      <c r="F7640">
        <v>131</v>
      </c>
      <c r="G7640">
        <v>81</v>
      </c>
      <c r="H7640">
        <v>1</v>
      </c>
      <c r="I7640">
        <v>135</v>
      </c>
      <c r="J7640">
        <v>1</v>
      </c>
      <c r="K7640">
        <v>1</v>
      </c>
      <c r="L7640">
        <v>210</v>
      </c>
      <c r="M7640">
        <v>1</v>
      </c>
      <c r="N7640">
        <v>3.96275E-25</v>
      </c>
      <c r="O7640">
        <v>277</v>
      </c>
    </row>
    <row r="7641" spans="1:15" x14ac:dyDescent="0.25">
      <c r="A7641" t="s">
        <v>7654</v>
      </c>
      <c r="B7641">
        <v>333</v>
      </c>
      <c r="C7641" s="1" t="str">
        <f>HYPERLINK("http://www.rosaceae.org/gb/gbrowse/malus_x_domestica/?name=MDP0000316988","MDP0000316988")</f>
        <v>MDP0000316988</v>
      </c>
      <c r="D7641">
        <v>78.03</v>
      </c>
      <c r="E7641">
        <v>132</v>
      </c>
      <c r="F7641">
        <v>29</v>
      </c>
      <c r="G7641">
        <v>3</v>
      </c>
      <c r="H7641">
        <v>181</v>
      </c>
      <c r="I7641">
        <v>312</v>
      </c>
      <c r="J7641">
        <v>1</v>
      </c>
      <c r="K7641">
        <v>111</v>
      </c>
      <c r="L7641">
        <v>239</v>
      </c>
      <c r="M7641">
        <v>1</v>
      </c>
      <c r="N7641">
        <v>5.3194700000000004E-53</v>
      </c>
      <c r="O7641">
        <v>522</v>
      </c>
    </row>
    <row r="7642" spans="1:15" x14ac:dyDescent="0.25">
      <c r="A7642" t="s">
        <v>7655</v>
      </c>
      <c r="B7642">
        <v>821</v>
      </c>
      <c r="C7642" s="1" t="str">
        <f>HYPERLINK("http://www.rosaceae.org/gb/gbrowse/malus_x_domestica/?name=MDP0000163798","MDP0000163798")</f>
        <v>MDP0000163798</v>
      </c>
      <c r="D7642">
        <v>74.06</v>
      </c>
      <c r="E7642">
        <v>640</v>
      </c>
      <c r="F7642">
        <v>166</v>
      </c>
      <c r="G7642">
        <v>1</v>
      </c>
      <c r="H7642">
        <v>55</v>
      </c>
      <c r="I7642">
        <v>693</v>
      </c>
      <c r="J7642">
        <v>1</v>
      </c>
      <c r="K7642">
        <v>47</v>
      </c>
      <c r="L7642">
        <v>686</v>
      </c>
      <c r="M7642">
        <v>1</v>
      </c>
      <c r="N7642">
        <v>0</v>
      </c>
      <c r="O7642">
        <v>2580</v>
      </c>
    </row>
    <row r="7643" spans="1:15" x14ac:dyDescent="0.25">
      <c r="A7643" t="s">
        <v>7656</v>
      </c>
      <c r="B7643">
        <v>848</v>
      </c>
      <c r="C7643" s="1" t="str">
        <f>HYPERLINK("http://www.rosaceae.org/gb/gbrowse/malus_x_domestica/?name=MDP0000183693","MDP0000183693")</f>
        <v>MDP0000183693</v>
      </c>
      <c r="D7643">
        <v>39.32</v>
      </c>
      <c r="E7643">
        <v>590</v>
      </c>
      <c r="F7643">
        <v>358</v>
      </c>
      <c r="G7643">
        <v>53</v>
      </c>
      <c r="H7643">
        <v>266</v>
      </c>
      <c r="I7643">
        <v>812</v>
      </c>
      <c r="J7643">
        <v>1</v>
      </c>
      <c r="K7643">
        <v>403</v>
      </c>
      <c r="L7643">
        <v>982</v>
      </c>
      <c r="M7643">
        <v>1</v>
      </c>
      <c r="N7643">
        <v>4.8687500000000002E-108</v>
      </c>
      <c r="O7643">
        <v>1000</v>
      </c>
    </row>
    <row r="7644" spans="1:15" x14ac:dyDescent="0.25">
      <c r="A7644" t="s">
        <v>7657</v>
      </c>
      <c r="B7644">
        <v>1158</v>
      </c>
      <c r="C7644" s="1" t="str">
        <f>HYPERLINK("http://www.rosaceae.org/gb/gbrowse/malus_x_domestica/?name=MDP0000185253","MDP0000185253")</f>
        <v>MDP0000185253</v>
      </c>
      <c r="D7644">
        <v>79.16</v>
      </c>
      <c r="E7644">
        <v>552</v>
      </c>
      <c r="F7644">
        <v>115</v>
      </c>
      <c r="G7644">
        <v>27</v>
      </c>
      <c r="H7644">
        <v>1</v>
      </c>
      <c r="I7644">
        <v>550</v>
      </c>
      <c r="J7644">
        <v>1</v>
      </c>
      <c r="K7644">
        <v>1</v>
      </c>
      <c r="L7644">
        <v>527</v>
      </c>
      <c r="M7644">
        <v>1</v>
      </c>
      <c r="N7644">
        <v>0</v>
      </c>
      <c r="O7644">
        <v>2208</v>
      </c>
    </row>
    <row r="7645" spans="1:15" x14ac:dyDescent="0.25">
      <c r="A7645" t="s">
        <v>7658</v>
      </c>
      <c r="B7645">
        <v>304</v>
      </c>
      <c r="C7645" s="1" t="str">
        <f>HYPERLINK("http://www.rosaceae.org/gb/gbrowse/malus_x_domestica/?name=MDP0000170387","MDP0000170387")</f>
        <v>MDP0000170387</v>
      </c>
      <c r="D7645">
        <v>41.7</v>
      </c>
      <c r="E7645">
        <v>211</v>
      </c>
      <c r="F7645">
        <v>123</v>
      </c>
      <c r="G7645">
        <v>6</v>
      </c>
      <c r="H7645">
        <v>91</v>
      </c>
      <c r="I7645">
        <v>297</v>
      </c>
      <c r="J7645">
        <v>1</v>
      </c>
      <c r="K7645">
        <v>130</v>
      </c>
      <c r="L7645">
        <v>338</v>
      </c>
      <c r="M7645">
        <v>1</v>
      </c>
      <c r="N7645">
        <v>2.0772499999999999E-39</v>
      </c>
      <c r="O7645">
        <v>404</v>
      </c>
    </row>
    <row r="7646" spans="1:15" x14ac:dyDescent="0.25">
      <c r="A7646" t="s">
        <v>7659</v>
      </c>
      <c r="B7646">
        <v>244</v>
      </c>
      <c r="C7646" s="1" t="str">
        <f>HYPERLINK("http://www.rosaceae.org/gb/gbrowse/malus_x_domestica/?name=MDP0000247868","MDP0000247868")</f>
        <v>MDP0000247868</v>
      </c>
      <c r="D7646">
        <v>75.510000000000005</v>
      </c>
      <c r="E7646">
        <v>241</v>
      </c>
      <c r="F7646">
        <v>59</v>
      </c>
      <c r="G7646">
        <v>0</v>
      </c>
      <c r="H7646">
        <v>4</v>
      </c>
      <c r="I7646">
        <v>244</v>
      </c>
      <c r="J7646">
        <v>1</v>
      </c>
      <c r="K7646">
        <v>1252</v>
      </c>
      <c r="L7646">
        <v>1492</v>
      </c>
      <c r="M7646">
        <v>1</v>
      </c>
      <c r="N7646">
        <v>2.9659499999999999E-108</v>
      </c>
      <c r="O7646">
        <v>996</v>
      </c>
    </row>
    <row r="7647" spans="1:15" x14ac:dyDescent="0.25">
      <c r="A7647" t="s">
        <v>7660</v>
      </c>
      <c r="B7647">
        <v>220</v>
      </c>
      <c r="C7647" s="1" t="str">
        <f>HYPERLINK("http://www.rosaceae.org/gb/gbrowse/malus_x_domestica/?name=MDP0000296128","MDP0000296128")</f>
        <v>MDP0000296128</v>
      </c>
      <c r="D7647">
        <v>44.68</v>
      </c>
      <c r="E7647">
        <v>47</v>
      </c>
      <c r="F7647">
        <v>26</v>
      </c>
      <c r="G7647">
        <v>3</v>
      </c>
      <c r="H7647">
        <v>171</v>
      </c>
      <c r="I7647">
        <v>214</v>
      </c>
      <c r="J7647">
        <v>1</v>
      </c>
      <c r="K7647">
        <v>305</v>
      </c>
      <c r="L7647">
        <v>351</v>
      </c>
      <c r="M7647">
        <v>1</v>
      </c>
      <c r="N7647">
        <v>1.84905E-7</v>
      </c>
      <c r="O7647">
        <v>127</v>
      </c>
    </row>
    <row r="7648" spans="1:15" x14ac:dyDescent="0.25">
      <c r="A7648" t="s">
        <v>7661</v>
      </c>
      <c r="B7648">
        <v>138</v>
      </c>
      <c r="C7648" s="1" t="str">
        <f>HYPERLINK("http://www.rosaceae.org/gb/gbrowse/malus_x_domestica/?name=MDP0000250455","MDP0000250455")</f>
        <v>MDP0000250455</v>
      </c>
      <c r="D7648">
        <v>34.590000000000003</v>
      </c>
      <c r="E7648">
        <v>159</v>
      </c>
      <c r="F7648">
        <v>104</v>
      </c>
      <c r="G7648">
        <v>43</v>
      </c>
      <c r="H7648">
        <v>1</v>
      </c>
      <c r="I7648">
        <v>119</v>
      </c>
      <c r="J7648">
        <v>1</v>
      </c>
      <c r="K7648">
        <v>483</v>
      </c>
      <c r="L7648">
        <v>638</v>
      </c>
      <c r="M7648">
        <v>1</v>
      </c>
      <c r="N7648">
        <v>5.36677E-17</v>
      </c>
      <c r="O7648">
        <v>205</v>
      </c>
    </row>
    <row r="7649" spans="1:15" x14ac:dyDescent="0.25">
      <c r="A7649" t="s">
        <v>7662</v>
      </c>
      <c r="B7649">
        <v>226</v>
      </c>
      <c r="C7649" s="1" t="str">
        <f>HYPERLINK("http://www.rosaceae.org/gb/gbrowse/malus_x_domestica/?name=MDP0000264714","MDP0000264714")</f>
        <v>MDP0000264714</v>
      </c>
      <c r="D7649">
        <v>43.28</v>
      </c>
      <c r="E7649">
        <v>67</v>
      </c>
      <c r="F7649">
        <v>38</v>
      </c>
      <c r="G7649">
        <v>2</v>
      </c>
      <c r="H7649">
        <v>130</v>
      </c>
      <c r="I7649">
        <v>194</v>
      </c>
      <c r="J7649">
        <v>1</v>
      </c>
      <c r="K7649">
        <v>51</v>
      </c>
      <c r="L7649">
        <v>117</v>
      </c>
      <c r="M7649">
        <v>1</v>
      </c>
      <c r="N7649">
        <v>6.3240800000000006E-8</v>
      </c>
      <c r="O7649">
        <v>131</v>
      </c>
    </row>
    <row r="7650" spans="1:15" x14ac:dyDescent="0.25">
      <c r="A7650" t="s">
        <v>7663</v>
      </c>
      <c r="B7650">
        <v>285</v>
      </c>
      <c r="C7650" s="1" t="str">
        <f>HYPERLINK("http://www.rosaceae.org/gb/gbrowse/malus_x_domestica/?name=MDP0000267098","MDP0000267098")</f>
        <v>MDP0000267098</v>
      </c>
      <c r="D7650">
        <v>55.36</v>
      </c>
      <c r="E7650">
        <v>289</v>
      </c>
      <c r="F7650">
        <v>129</v>
      </c>
      <c r="G7650">
        <v>54</v>
      </c>
      <c r="H7650">
        <v>44</v>
      </c>
      <c r="I7650">
        <v>285</v>
      </c>
      <c r="J7650">
        <v>1</v>
      </c>
      <c r="K7650">
        <v>39</v>
      </c>
      <c r="L7650">
        <v>320</v>
      </c>
      <c r="M7650">
        <v>1</v>
      </c>
      <c r="N7650">
        <v>1.29349E-67</v>
      </c>
      <c r="O7650">
        <v>647</v>
      </c>
    </row>
    <row r="7651" spans="1:15" x14ac:dyDescent="0.25">
      <c r="A7651" t="s">
        <v>7664</v>
      </c>
      <c r="B7651">
        <v>470</v>
      </c>
      <c r="C7651" s="1" t="str">
        <f>HYPERLINK("http://www.rosaceae.org/gb/gbrowse/malus_x_domestica/?name=MDP0000312093","MDP0000312093")</f>
        <v>MDP0000312093</v>
      </c>
      <c r="D7651">
        <v>82.65</v>
      </c>
      <c r="E7651">
        <v>467</v>
      </c>
      <c r="F7651">
        <v>81</v>
      </c>
      <c r="G7651">
        <v>3</v>
      </c>
      <c r="H7651">
        <v>5</v>
      </c>
      <c r="I7651">
        <v>470</v>
      </c>
      <c r="J7651">
        <v>1</v>
      </c>
      <c r="K7651">
        <v>3</v>
      </c>
      <c r="L7651">
        <v>467</v>
      </c>
      <c r="M7651">
        <v>1</v>
      </c>
      <c r="N7651">
        <v>0</v>
      </c>
      <c r="O7651">
        <v>1986</v>
      </c>
    </row>
    <row r="7652" spans="1:15" x14ac:dyDescent="0.25">
      <c r="A7652" t="s">
        <v>7665</v>
      </c>
      <c r="B7652">
        <v>713</v>
      </c>
      <c r="C7652" s="1" t="str">
        <f>HYPERLINK("http://www.rosaceae.org/gb/gbrowse/malus_x_domestica/?name=MDP0000148067","MDP0000148067")</f>
        <v>MDP0000148067</v>
      </c>
      <c r="D7652">
        <v>70.63</v>
      </c>
      <c r="E7652">
        <v>647</v>
      </c>
      <c r="F7652">
        <v>190</v>
      </c>
      <c r="G7652">
        <v>97</v>
      </c>
      <c r="H7652">
        <v>1</v>
      </c>
      <c r="I7652">
        <v>607</v>
      </c>
      <c r="J7652">
        <v>1</v>
      </c>
      <c r="K7652">
        <v>1</v>
      </c>
      <c r="L7652">
        <v>590</v>
      </c>
      <c r="M7652">
        <v>1</v>
      </c>
      <c r="N7652">
        <v>0</v>
      </c>
      <c r="O7652">
        <v>2288</v>
      </c>
    </row>
    <row r="7653" spans="1:15" x14ac:dyDescent="0.25">
      <c r="A7653" t="s">
        <v>7666</v>
      </c>
      <c r="B7653">
        <v>543</v>
      </c>
      <c r="C7653" s="1" t="str">
        <f>HYPERLINK("http://www.rosaceae.org/gb/gbrowse/malus_x_domestica/?name=MDP0000195139","MDP0000195139")</f>
        <v>MDP0000195139</v>
      </c>
      <c r="D7653">
        <v>45.2</v>
      </c>
      <c r="E7653">
        <v>438</v>
      </c>
      <c r="F7653">
        <v>240</v>
      </c>
      <c r="G7653">
        <v>23</v>
      </c>
      <c r="H7653">
        <v>105</v>
      </c>
      <c r="I7653">
        <v>530</v>
      </c>
      <c r="J7653">
        <v>1</v>
      </c>
      <c r="K7653">
        <v>498</v>
      </c>
      <c r="L7653">
        <v>924</v>
      </c>
      <c r="M7653">
        <v>1</v>
      </c>
      <c r="N7653">
        <v>4.9355599999999998E-84</v>
      </c>
      <c r="O7653">
        <v>792</v>
      </c>
    </row>
    <row r="7654" spans="1:15" x14ac:dyDescent="0.25">
      <c r="A7654" t="s">
        <v>7667</v>
      </c>
      <c r="B7654">
        <v>457</v>
      </c>
      <c r="C7654" s="1" t="str">
        <f>HYPERLINK("http://www.rosaceae.org/gb/gbrowse/malus_x_domestica/?name=MDP0000263128","MDP0000263128")</f>
        <v>MDP0000263128</v>
      </c>
      <c r="D7654">
        <v>79.72</v>
      </c>
      <c r="E7654">
        <v>74</v>
      </c>
      <c r="F7654">
        <v>15</v>
      </c>
      <c r="G7654">
        <v>0</v>
      </c>
      <c r="H7654">
        <v>6</v>
      </c>
      <c r="I7654">
        <v>79</v>
      </c>
      <c r="J7654">
        <v>1</v>
      </c>
      <c r="K7654">
        <v>267</v>
      </c>
      <c r="L7654">
        <v>340</v>
      </c>
      <c r="M7654">
        <v>1</v>
      </c>
      <c r="N7654">
        <v>1.2289900000000001E-27</v>
      </c>
      <c r="O7654">
        <v>304</v>
      </c>
    </row>
    <row r="7655" spans="1:15" x14ac:dyDescent="0.25">
      <c r="A7655" t="s">
        <v>7668</v>
      </c>
      <c r="B7655">
        <v>469</v>
      </c>
      <c r="C7655" s="1" t="str">
        <f>HYPERLINK("http://www.rosaceae.org/gb/gbrowse/malus_x_domestica/?name=MDP0000195974","MDP0000195974")</f>
        <v>MDP0000195974</v>
      </c>
      <c r="D7655">
        <v>46.62</v>
      </c>
      <c r="E7655">
        <v>148</v>
      </c>
      <c r="F7655">
        <v>79</v>
      </c>
      <c r="G7655">
        <v>37</v>
      </c>
      <c r="H7655">
        <v>322</v>
      </c>
      <c r="I7655">
        <v>436</v>
      </c>
      <c r="J7655">
        <v>1</v>
      </c>
      <c r="K7655">
        <v>6</v>
      </c>
      <c r="L7655">
        <v>149</v>
      </c>
      <c r="M7655">
        <v>1</v>
      </c>
      <c r="N7655">
        <v>5.33897E-27</v>
      </c>
      <c r="O7655">
        <v>299</v>
      </c>
    </row>
    <row r="7656" spans="1:15" x14ac:dyDescent="0.25">
      <c r="A7656" t="s">
        <v>7669</v>
      </c>
      <c r="B7656">
        <v>151</v>
      </c>
      <c r="C7656" s="1" t="str">
        <f>HYPERLINK("http://www.rosaceae.org/gb/gbrowse/malus_x_domestica/?name=MDP0000781712","MDP0000781712")</f>
        <v>MDP0000781712</v>
      </c>
      <c r="D7656">
        <v>50.51</v>
      </c>
      <c r="E7656">
        <v>97</v>
      </c>
      <c r="F7656">
        <v>48</v>
      </c>
      <c r="G7656">
        <v>11</v>
      </c>
      <c r="H7656">
        <v>1</v>
      </c>
      <c r="I7656">
        <v>86</v>
      </c>
      <c r="J7656">
        <v>1</v>
      </c>
      <c r="K7656">
        <v>1</v>
      </c>
      <c r="L7656">
        <v>97</v>
      </c>
      <c r="M7656">
        <v>1</v>
      </c>
      <c r="N7656">
        <v>9.4517500000000006E-19</v>
      </c>
      <c r="O7656">
        <v>221</v>
      </c>
    </row>
    <row r="7657" spans="1:15" x14ac:dyDescent="0.25">
      <c r="A7657" t="s">
        <v>7670</v>
      </c>
      <c r="B7657">
        <v>968</v>
      </c>
      <c r="C7657" s="1" t="str">
        <f>HYPERLINK("http://www.rosaceae.org/gb/gbrowse/malus_x_domestica/?name=MDP0000250689","MDP0000250689")</f>
        <v>MDP0000250689</v>
      </c>
      <c r="D7657">
        <v>34.75</v>
      </c>
      <c r="E7657">
        <v>374</v>
      </c>
      <c r="F7657">
        <v>244</v>
      </c>
      <c r="G7657">
        <v>81</v>
      </c>
      <c r="H7657">
        <v>1</v>
      </c>
      <c r="I7657">
        <v>313</v>
      </c>
      <c r="J7657">
        <v>1</v>
      </c>
      <c r="K7657">
        <v>1</v>
      </c>
      <c r="L7657">
        <v>354</v>
      </c>
      <c r="M7657">
        <v>1</v>
      </c>
      <c r="N7657">
        <v>2.4128899999999999E-40</v>
      </c>
      <c r="O7657">
        <v>417</v>
      </c>
    </row>
    <row r="7658" spans="1:15" x14ac:dyDescent="0.25">
      <c r="A7658" t="s">
        <v>7671</v>
      </c>
      <c r="B7658">
        <v>648</v>
      </c>
      <c r="C7658" s="1" t="str">
        <f>HYPERLINK("http://www.rosaceae.org/gb/gbrowse/malus_x_domestica/?name=MDP0000299010","MDP0000299010")</f>
        <v>MDP0000299010</v>
      </c>
      <c r="D7658">
        <v>77.92</v>
      </c>
      <c r="E7658">
        <v>625</v>
      </c>
      <c r="F7658">
        <v>138</v>
      </c>
      <c r="G7658">
        <v>3</v>
      </c>
      <c r="H7658">
        <v>25</v>
      </c>
      <c r="I7658">
        <v>648</v>
      </c>
      <c r="J7658">
        <v>1</v>
      </c>
      <c r="K7658">
        <v>10</v>
      </c>
      <c r="L7658">
        <v>632</v>
      </c>
      <c r="M7658">
        <v>1</v>
      </c>
      <c r="N7658">
        <v>0</v>
      </c>
      <c r="O7658">
        <v>2682</v>
      </c>
    </row>
    <row r="7659" spans="1:15" x14ac:dyDescent="0.25">
      <c r="A7659" t="s">
        <v>7672</v>
      </c>
      <c r="B7659">
        <v>728</v>
      </c>
      <c r="C7659" s="1" t="str">
        <f>HYPERLINK("http://www.rosaceae.org/gb/gbrowse/malus_x_domestica/?name=MDP0000261777","MDP0000261777")</f>
        <v>MDP0000261777</v>
      </c>
      <c r="D7659">
        <v>84.42</v>
      </c>
      <c r="E7659">
        <v>655</v>
      </c>
      <c r="F7659">
        <v>102</v>
      </c>
      <c r="G7659">
        <v>22</v>
      </c>
      <c r="H7659">
        <v>1</v>
      </c>
      <c r="I7659">
        <v>649</v>
      </c>
      <c r="J7659">
        <v>1</v>
      </c>
      <c r="K7659">
        <v>1</v>
      </c>
      <c r="L7659">
        <v>639</v>
      </c>
      <c r="M7659">
        <v>1</v>
      </c>
      <c r="N7659">
        <v>0</v>
      </c>
      <c r="O7659">
        <v>2935</v>
      </c>
    </row>
    <row r="7660" spans="1:15" x14ac:dyDescent="0.25">
      <c r="A7660" t="s">
        <v>7673</v>
      </c>
      <c r="B7660">
        <v>620</v>
      </c>
      <c r="C7660" s="1" t="str">
        <f>HYPERLINK("http://www.rosaceae.org/gb/gbrowse/malus_x_domestica/?name=MDP0000241199","MDP0000241199")</f>
        <v>MDP0000241199</v>
      </c>
      <c r="D7660">
        <v>71.22</v>
      </c>
      <c r="E7660">
        <v>643</v>
      </c>
      <c r="F7660">
        <v>185</v>
      </c>
      <c r="G7660">
        <v>29</v>
      </c>
      <c r="H7660">
        <v>1</v>
      </c>
      <c r="I7660">
        <v>620</v>
      </c>
      <c r="J7660">
        <v>1</v>
      </c>
      <c r="K7660">
        <v>10</v>
      </c>
      <c r="L7660">
        <v>646</v>
      </c>
      <c r="M7660">
        <v>1</v>
      </c>
      <c r="N7660">
        <v>0</v>
      </c>
      <c r="O7660">
        <v>2380</v>
      </c>
    </row>
    <row r="7661" spans="1:15" x14ac:dyDescent="0.25">
      <c r="A7661" t="s">
        <v>7674</v>
      </c>
      <c r="B7661">
        <v>1092</v>
      </c>
      <c r="C7661" s="1" t="str">
        <f>HYPERLINK("http://www.rosaceae.org/gb/gbrowse/malus_x_domestica/?name=MDP0000286716","MDP0000286716")</f>
        <v>MDP0000286716</v>
      </c>
      <c r="D7661">
        <v>33.43</v>
      </c>
      <c r="E7661">
        <v>673</v>
      </c>
      <c r="F7661">
        <v>448</v>
      </c>
      <c r="G7661">
        <v>161</v>
      </c>
      <c r="H7661">
        <v>427</v>
      </c>
      <c r="I7661">
        <v>1029</v>
      </c>
      <c r="J7661">
        <v>1</v>
      </c>
      <c r="K7661">
        <v>524</v>
      </c>
      <c r="L7661">
        <v>1105</v>
      </c>
      <c r="M7661">
        <v>1</v>
      </c>
      <c r="N7661">
        <v>8.0174999999999997E-61</v>
      </c>
      <c r="O7661">
        <v>594</v>
      </c>
    </row>
    <row r="7662" spans="1:15" x14ac:dyDescent="0.25">
      <c r="A7662" t="s">
        <v>7675</v>
      </c>
      <c r="B7662">
        <v>528</v>
      </c>
      <c r="C7662" s="1" t="str">
        <f>HYPERLINK("http://www.rosaceae.org/gb/gbrowse/malus_x_domestica/?name=MDP0000320703","MDP0000320703")</f>
        <v>MDP0000320703</v>
      </c>
      <c r="D7662">
        <v>78.36</v>
      </c>
      <c r="E7662">
        <v>527</v>
      </c>
      <c r="F7662">
        <v>114</v>
      </c>
      <c r="G7662">
        <v>0</v>
      </c>
      <c r="H7662">
        <v>1</v>
      </c>
      <c r="I7662">
        <v>527</v>
      </c>
      <c r="J7662">
        <v>1</v>
      </c>
      <c r="K7662">
        <v>3</v>
      </c>
      <c r="L7662">
        <v>529</v>
      </c>
      <c r="M7662">
        <v>1</v>
      </c>
      <c r="N7662">
        <v>0</v>
      </c>
      <c r="O7662">
        <v>2273</v>
      </c>
    </row>
    <row r="7663" spans="1:15" x14ac:dyDescent="0.25">
      <c r="A7663" t="s">
        <v>7676</v>
      </c>
      <c r="B7663">
        <v>367</v>
      </c>
      <c r="C7663" s="1" t="str">
        <f>HYPERLINK("http://www.rosaceae.org/gb/gbrowse/malus_x_domestica/?name=MDP0000729320","MDP0000729320")</f>
        <v>MDP0000729320</v>
      </c>
      <c r="D7663">
        <v>64.75</v>
      </c>
      <c r="E7663">
        <v>366</v>
      </c>
      <c r="F7663">
        <v>129</v>
      </c>
      <c r="G7663">
        <v>0</v>
      </c>
      <c r="H7663">
        <v>1</v>
      </c>
      <c r="I7663">
        <v>366</v>
      </c>
      <c r="J7663">
        <v>1</v>
      </c>
      <c r="K7663">
        <v>93</v>
      </c>
      <c r="L7663">
        <v>458</v>
      </c>
      <c r="M7663">
        <v>1</v>
      </c>
      <c r="N7663">
        <v>1.17124E-141</v>
      </c>
      <c r="O7663">
        <v>1287</v>
      </c>
    </row>
    <row r="7664" spans="1:15" x14ac:dyDescent="0.25">
      <c r="A7664" t="s">
        <v>7677</v>
      </c>
      <c r="B7664">
        <v>227</v>
      </c>
      <c r="C7664" s="1" t="str">
        <f>HYPERLINK("http://www.rosaceae.org/gb/gbrowse/malus_x_domestica/?name=MDP0000859563","MDP0000859563")</f>
        <v>MDP0000859563</v>
      </c>
      <c r="D7664">
        <v>33.869999999999997</v>
      </c>
      <c r="E7664">
        <v>183</v>
      </c>
      <c r="F7664">
        <v>121</v>
      </c>
      <c r="G7664">
        <v>38</v>
      </c>
      <c r="H7664">
        <v>45</v>
      </c>
      <c r="I7664">
        <v>195</v>
      </c>
      <c r="J7664">
        <v>1</v>
      </c>
      <c r="K7664">
        <v>10</v>
      </c>
      <c r="L7664">
        <v>186</v>
      </c>
      <c r="M7664">
        <v>1</v>
      </c>
      <c r="N7664">
        <v>7.9139600000000005E-10</v>
      </c>
      <c r="O7664">
        <v>147</v>
      </c>
    </row>
    <row r="7665" spans="1:15" x14ac:dyDescent="0.25">
      <c r="A7665" t="s">
        <v>7678</v>
      </c>
      <c r="B7665">
        <v>193</v>
      </c>
      <c r="C7665" s="1" t="str">
        <f>HYPERLINK("http://www.rosaceae.org/gb/gbrowse/malus_x_domestica/?name=MDP0000257355","MDP0000257355")</f>
        <v>MDP0000257355</v>
      </c>
      <c r="D7665">
        <v>68.709999999999994</v>
      </c>
      <c r="E7665">
        <v>195</v>
      </c>
      <c r="F7665">
        <v>61</v>
      </c>
      <c r="G7665">
        <v>8</v>
      </c>
      <c r="H7665">
        <v>2</v>
      </c>
      <c r="I7665">
        <v>193</v>
      </c>
      <c r="J7665">
        <v>1</v>
      </c>
      <c r="K7665">
        <v>3</v>
      </c>
      <c r="L7665">
        <v>192</v>
      </c>
      <c r="M7665">
        <v>1</v>
      </c>
      <c r="N7665">
        <v>4.09611E-68</v>
      </c>
      <c r="O7665">
        <v>649</v>
      </c>
    </row>
    <row r="7666" spans="1:15" x14ac:dyDescent="0.25">
      <c r="A7666" t="s">
        <v>7679</v>
      </c>
      <c r="B7666">
        <v>441</v>
      </c>
      <c r="C7666" s="1" t="str">
        <f>HYPERLINK("http://www.rosaceae.org/gb/gbrowse/malus_x_domestica/?name=MDP0000926111","MDP0000926111")</f>
        <v>MDP0000926111</v>
      </c>
      <c r="D7666">
        <v>69.11</v>
      </c>
      <c r="E7666">
        <v>463</v>
      </c>
      <c r="F7666">
        <v>143</v>
      </c>
      <c r="G7666">
        <v>27</v>
      </c>
      <c r="H7666">
        <v>1</v>
      </c>
      <c r="I7666">
        <v>441</v>
      </c>
      <c r="J7666">
        <v>1</v>
      </c>
      <c r="K7666">
        <v>1</v>
      </c>
      <c r="L7666">
        <v>458</v>
      </c>
      <c r="M7666">
        <v>1</v>
      </c>
      <c r="N7666">
        <v>8.5337500000000005E-175</v>
      </c>
      <c r="O7666">
        <v>1573</v>
      </c>
    </row>
    <row r="7667" spans="1:15" x14ac:dyDescent="0.25">
      <c r="A7667" t="s">
        <v>7680</v>
      </c>
      <c r="B7667">
        <v>409</v>
      </c>
      <c r="C7667" s="1" t="str">
        <f>HYPERLINK("http://www.rosaceae.org/gb/gbrowse/malus_x_domestica/?name=MDP0000748262","MDP0000748262")</f>
        <v>MDP0000748262</v>
      </c>
      <c r="D7667">
        <v>82.59</v>
      </c>
      <c r="E7667">
        <v>316</v>
      </c>
      <c r="F7667">
        <v>55</v>
      </c>
      <c r="G7667">
        <v>0</v>
      </c>
      <c r="H7667">
        <v>94</v>
      </c>
      <c r="I7667">
        <v>409</v>
      </c>
      <c r="J7667">
        <v>1</v>
      </c>
      <c r="K7667">
        <v>1</v>
      </c>
      <c r="L7667">
        <v>316</v>
      </c>
      <c r="M7667">
        <v>1</v>
      </c>
      <c r="N7667">
        <v>3.20358E-152</v>
      </c>
      <c r="O7667">
        <v>1378</v>
      </c>
    </row>
    <row r="7668" spans="1:15" x14ac:dyDescent="0.25">
      <c r="A7668" t="s">
        <v>7681</v>
      </c>
      <c r="B7668">
        <v>1357</v>
      </c>
      <c r="C7668" s="1" t="str">
        <f>HYPERLINK("http://www.rosaceae.org/gb/gbrowse/malus_x_domestica/?name=MDP0000245102","MDP0000245102")</f>
        <v>MDP0000245102</v>
      </c>
      <c r="D7668">
        <v>63.13</v>
      </c>
      <c r="E7668">
        <v>1096</v>
      </c>
      <c r="F7668">
        <v>404</v>
      </c>
      <c r="G7668">
        <v>108</v>
      </c>
      <c r="H7668">
        <v>56</v>
      </c>
      <c r="I7668">
        <v>1071</v>
      </c>
      <c r="J7668">
        <v>1</v>
      </c>
      <c r="K7668">
        <v>65</v>
      </c>
      <c r="L7668">
        <v>1132</v>
      </c>
      <c r="M7668">
        <v>1</v>
      </c>
      <c r="N7668">
        <v>0</v>
      </c>
      <c r="O7668">
        <v>3355</v>
      </c>
    </row>
    <row r="7669" spans="1:15" x14ac:dyDescent="0.25">
      <c r="A7669" t="s">
        <v>7682</v>
      </c>
      <c r="B7669">
        <v>1219</v>
      </c>
      <c r="C7669" s="1" t="str">
        <f>HYPERLINK("http://www.rosaceae.org/gb/gbrowse/malus_x_domestica/?name=MDP0000266204","MDP0000266204")</f>
        <v>MDP0000266204</v>
      </c>
      <c r="D7669">
        <v>64.959999999999994</v>
      </c>
      <c r="E7669">
        <v>862</v>
      </c>
      <c r="F7669">
        <v>302</v>
      </c>
      <c r="G7669">
        <v>84</v>
      </c>
      <c r="H7669">
        <v>391</v>
      </c>
      <c r="I7669">
        <v>1208</v>
      </c>
      <c r="J7669">
        <v>1</v>
      </c>
      <c r="K7669">
        <v>11</v>
      </c>
      <c r="L7669">
        <v>832</v>
      </c>
      <c r="M7669">
        <v>1</v>
      </c>
      <c r="N7669">
        <v>0</v>
      </c>
      <c r="O7669">
        <v>2757</v>
      </c>
    </row>
    <row r="7670" spans="1:15" x14ac:dyDescent="0.25">
      <c r="A7670" t="s">
        <v>7683</v>
      </c>
      <c r="B7670">
        <v>299</v>
      </c>
      <c r="C7670" s="1" t="str">
        <f>HYPERLINK("http://www.rosaceae.org/gb/gbrowse/malus_x_domestica/?name=MDP0000189838","MDP0000189838")</f>
        <v>MDP0000189838</v>
      </c>
      <c r="D7670">
        <v>63.42</v>
      </c>
      <c r="E7670">
        <v>350</v>
      </c>
      <c r="F7670">
        <v>128</v>
      </c>
      <c r="G7670">
        <v>62</v>
      </c>
      <c r="H7670">
        <v>4</v>
      </c>
      <c r="I7670">
        <v>295</v>
      </c>
      <c r="J7670">
        <v>1</v>
      </c>
      <c r="K7670">
        <v>3</v>
      </c>
      <c r="L7670">
        <v>348</v>
      </c>
      <c r="M7670">
        <v>1</v>
      </c>
      <c r="N7670">
        <v>4.1649600000000003E-114</v>
      </c>
      <c r="O7670">
        <v>1048</v>
      </c>
    </row>
    <row r="7671" spans="1:15" x14ac:dyDescent="0.25">
      <c r="A7671" t="s">
        <v>7684</v>
      </c>
      <c r="B7671">
        <v>166</v>
      </c>
      <c r="C7671" s="1" t="str">
        <f>HYPERLINK("http://www.rosaceae.org/gb/gbrowse/malus_x_domestica/?name=MDP0000122095","MDP0000122095")</f>
        <v>MDP0000122095</v>
      </c>
      <c r="D7671">
        <v>86.25</v>
      </c>
      <c r="E7671">
        <v>80</v>
      </c>
      <c r="F7671">
        <v>11</v>
      </c>
      <c r="G7671">
        <v>0</v>
      </c>
      <c r="H7671">
        <v>43</v>
      </c>
      <c r="I7671">
        <v>122</v>
      </c>
      <c r="J7671">
        <v>1</v>
      </c>
      <c r="K7671">
        <v>1</v>
      </c>
      <c r="L7671">
        <v>80</v>
      </c>
      <c r="M7671">
        <v>1</v>
      </c>
      <c r="N7671">
        <v>2.4488599999999998E-37</v>
      </c>
      <c r="O7671">
        <v>382</v>
      </c>
    </row>
    <row r="7672" spans="1:15" x14ac:dyDescent="0.25">
      <c r="A7672" t="s">
        <v>7685</v>
      </c>
      <c r="B7672">
        <v>267</v>
      </c>
      <c r="C7672" s="1" t="str">
        <f>HYPERLINK("http://www.rosaceae.org/gb/gbrowse/malus_x_domestica/?name=MDP0000301374","MDP0000301374")</f>
        <v>MDP0000301374</v>
      </c>
      <c r="D7672">
        <v>70</v>
      </c>
      <c r="E7672">
        <v>40</v>
      </c>
      <c r="F7672">
        <v>12</v>
      </c>
      <c r="G7672">
        <v>0</v>
      </c>
      <c r="H7672">
        <v>2</v>
      </c>
      <c r="I7672">
        <v>41</v>
      </c>
      <c r="J7672">
        <v>1</v>
      </c>
      <c r="K7672">
        <v>394</v>
      </c>
      <c r="L7672">
        <v>433</v>
      </c>
      <c r="M7672">
        <v>1</v>
      </c>
      <c r="N7672">
        <v>3.84844E-7</v>
      </c>
      <c r="O7672">
        <v>125</v>
      </c>
    </row>
    <row r="7673" spans="1:15" x14ac:dyDescent="0.25">
      <c r="A7673" t="s">
        <v>7686</v>
      </c>
      <c r="B7673">
        <v>544</v>
      </c>
      <c r="C7673" s="1" t="str">
        <f>HYPERLINK("http://www.rosaceae.org/gb/gbrowse/malus_x_domestica/?name=MDP0000250085","MDP0000250085")</f>
        <v>MDP0000250085</v>
      </c>
      <c r="D7673">
        <v>64.34</v>
      </c>
      <c r="E7673">
        <v>575</v>
      </c>
      <c r="F7673">
        <v>205</v>
      </c>
      <c r="G7673">
        <v>35</v>
      </c>
      <c r="H7673">
        <v>1</v>
      </c>
      <c r="I7673">
        <v>544</v>
      </c>
      <c r="J7673">
        <v>1</v>
      </c>
      <c r="K7673">
        <v>1</v>
      </c>
      <c r="L7673">
        <v>571</v>
      </c>
      <c r="M7673">
        <v>1</v>
      </c>
      <c r="N7673">
        <v>0</v>
      </c>
      <c r="O7673">
        <v>1763</v>
      </c>
    </row>
    <row r="7674" spans="1:15" x14ac:dyDescent="0.25">
      <c r="A7674" t="s">
        <v>7687</v>
      </c>
      <c r="B7674">
        <v>234</v>
      </c>
      <c r="C7674" s="1" t="str">
        <f>HYPERLINK("http://www.rosaceae.org/gb/gbrowse/malus_x_domestica/?name=MDP0000255141","MDP0000255141")</f>
        <v>MDP0000255141</v>
      </c>
      <c r="D7674">
        <v>23.48</v>
      </c>
      <c r="E7674">
        <v>149</v>
      </c>
      <c r="F7674">
        <v>114</v>
      </c>
      <c r="G7674">
        <v>23</v>
      </c>
      <c r="H7674">
        <v>80</v>
      </c>
      <c r="I7674">
        <v>208</v>
      </c>
      <c r="J7674">
        <v>1</v>
      </c>
      <c r="K7674">
        <v>419</v>
      </c>
      <c r="L7674">
        <v>564</v>
      </c>
      <c r="M7674">
        <v>1</v>
      </c>
      <c r="N7674">
        <v>7.1898699999999998E-8</v>
      </c>
      <c r="O7674">
        <v>130</v>
      </c>
    </row>
    <row r="7675" spans="1:15" x14ac:dyDescent="0.25">
      <c r="A7675" t="s">
        <v>7688</v>
      </c>
      <c r="B7675">
        <v>460</v>
      </c>
      <c r="C7675" s="1" t="str">
        <f>HYPERLINK("http://www.rosaceae.org/gb/gbrowse/malus_x_domestica/?name=MDP0000607000","MDP0000607000")</f>
        <v>MDP0000607000</v>
      </c>
      <c r="D7675">
        <v>53.08</v>
      </c>
      <c r="E7675">
        <v>454</v>
      </c>
      <c r="F7675">
        <v>213</v>
      </c>
      <c r="G7675">
        <v>35</v>
      </c>
      <c r="H7675">
        <v>6</v>
      </c>
      <c r="I7675">
        <v>438</v>
      </c>
      <c r="J7675">
        <v>1</v>
      </c>
      <c r="K7675">
        <v>4</v>
      </c>
      <c r="L7675">
        <v>443</v>
      </c>
      <c r="M7675">
        <v>1</v>
      </c>
      <c r="N7675">
        <v>4.2166499999999998E-121</v>
      </c>
      <c r="O7675">
        <v>1110</v>
      </c>
    </row>
    <row r="7676" spans="1:15" x14ac:dyDescent="0.25">
      <c r="A7676" t="s">
        <v>7689</v>
      </c>
      <c r="B7676">
        <v>337</v>
      </c>
      <c r="C7676" s="1" t="str">
        <f>HYPERLINK("http://www.rosaceae.org/gb/gbrowse/malus_x_domestica/?name=MDP0000132261","MDP0000132261")</f>
        <v>MDP0000132261</v>
      </c>
      <c r="D7676">
        <v>49.76</v>
      </c>
      <c r="E7676">
        <v>209</v>
      </c>
      <c r="F7676">
        <v>105</v>
      </c>
      <c r="G7676">
        <v>41</v>
      </c>
      <c r="H7676">
        <v>128</v>
      </c>
      <c r="I7676">
        <v>297</v>
      </c>
      <c r="J7676">
        <v>1</v>
      </c>
      <c r="K7676">
        <v>347</v>
      </c>
      <c r="L7676">
        <v>553</v>
      </c>
      <c r="M7676">
        <v>1</v>
      </c>
      <c r="N7676">
        <v>8.8523399999999995E-54</v>
      </c>
      <c r="O7676">
        <v>528</v>
      </c>
    </row>
    <row r="7677" spans="1:15" x14ac:dyDescent="0.25">
      <c r="A7677" t="s">
        <v>7690</v>
      </c>
      <c r="B7677">
        <v>676</v>
      </c>
      <c r="C7677" s="1" t="str">
        <f>HYPERLINK("http://www.rosaceae.org/gb/gbrowse/malus_x_domestica/?name=MDP0000230681","MDP0000230681")</f>
        <v>MDP0000230681</v>
      </c>
      <c r="D7677">
        <v>76.83</v>
      </c>
      <c r="E7677">
        <v>587</v>
      </c>
      <c r="F7677">
        <v>136</v>
      </c>
      <c r="G7677">
        <v>17</v>
      </c>
      <c r="H7677">
        <v>106</v>
      </c>
      <c r="I7677">
        <v>676</v>
      </c>
      <c r="J7677">
        <v>1</v>
      </c>
      <c r="K7677">
        <v>1</v>
      </c>
      <c r="L7677">
        <v>586</v>
      </c>
      <c r="M7677">
        <v>1</v>
      </c>
      <c r="N7677">
        <v>0</v>
      </c>
      <c r="O7677">
        <v>2453</v>
      </c>
    </row>
    <row r="7678" spans="1:15" x14ac:dyDescent="0.25">
      <c r="A7678" t="s">
        <v>7691</v>
      </c>
      <c r="B7678">
        <v>445</v>
      </c>
      <c r="C7678" s="1" t="str">
        <f>HYPERLINK("http://www.rosaceae.org/gb/gbrowse/malus_x_domestica/?name=MDP0000071677","MDP0000071677")</f>
        <v>MDP0000071677</v>
      </c>
      <c r="D7678">
        <v>62.29</v>
      </c>
      <c r="E7678">
        <v>480</v>
      </c>
      <c r="F7678">
        <v>181</v>
      </c>
      <c r="G7678">
        <v>45</v>
      </c>
      <c r="H7678">
        <v>1</v>
      </c>
      <c r="I7678">
        <v>440</v>
      </c>
      <c r="J7678">
        <v>1</v>
      </c>
      <c r="K7678">
        <v>1</v>
      </c>
      <c r="L7678">
        <v>475</v>
      </c>
      <c r="M7678">
        <v>1</v>
      </c>
      <c r="N7678">
        <v>6.4600799999999997E-169</v>
      </c>
      <c r="O7678">
        <v>1523</v>
      </c>
    </row>
    <row r="7679" spans="1:15" x14ac:dyDescent="0.25">
      <c r="A7679" t="s">
        <v>7692</v>
      </c>
      <c r="B7679">
        <v>1256</v>
      </c>
      <c r="C7679" s="1" t="str">
        <f>HYPERLINK("http://www.rosaceae.org/gb/gbrowse/malus_x_domestica/?name=MDP0000122554","MDP0000122554")</f>
        <v>MDP0000122554</v>
      </c>
      <c r="D7679">
        <v>71.91</v>
      </c>
      <c r="E7679">
        <v>1200</v>
      </c>
      <c r="F7679">
        <v>337</v>
      </c>
      <c r="G7679">
        <v>58</v>
      </c>
      <c r="H7679">
        <v>36</v>
      </c>
      <c r="I7679">
        <v>1185</v>
      </c>
      <c r="J7679">
        <v>1</v>
      </c>
      <c r="K7679">
        <v>39</v>
      </c>
      <c r="L7679">
        <v>1230</v>
      </c>
      <c r="M7679">
        <v>1</v>
      </c>
      <c r="N7679">
        <v>0</v>
      </c>
      <c r="O7679">
        <v>4391</v>
      </c>
    </row>
    <row r="7680" spans="1:15" x14ac:dyDescent="0.25">
      <c r="A7680" t="s">
        <v>7693</v>
      </c>
      <c r="B7680">
        <v>397</v>
      </c>
      <c r="C7680" s="1" t="str">
        <f>HYPERLINK("http://www.rosaceae.org/gb/gbrowse/malus_x_domestica/?name=MDP0000255057","MDP0000255057")</f>
        <v>MDP0000255057</v>
      </c>
      <c r="D7680">
        <v>72.22</v>
      </c>
      <c r="E7680">
        <v>72</v>
      </c>
      <c r="F7680">
        <v>20</v>
      </c>
      <c r="G7680">
        <v>0</v>
      </c>
      <c r="H7680">
        <v>278</v>
      </c>
      <c r="I7680">
        <v>349</v>
      </c>
      <c r="J7680">
        <v>1</v>
      </c>
      <c r="K7680">
        <v>663</v>
      </c>
      <c r="L7680">
        <v>734</v>
      </c>
      <c r="M7680">
        <v>1</v>
      </c>
      <c r="N7680">
        <v>3.6176799999999999E-25</v>
      </c>
      <c r="O7680">
        <v>282</v>
      </c>
    </row>
    <row r="7681" spans="1:15" x14ac:dyDescent="0.25">
      <c r="A7681" t="s">
        <v>7694</v>
      </c>
      <c r="B7681">
        <v>1302</v>
      </c>
      <c r="C7681" s="1" t="str">
        <f>HYPERLINK("http://www.rosaceae.org/gb/gbrowse/malus_x_domestica/?name=MDP0000222433","MDP0000222433")</f>
        <v>MDP0000222433</v>
      </c>
      <c r="D7681">
        <v>46.96</v>
      </c>
      <c r="E7681">
        <v>132</v>
      </c>
      <c r="F7681">
        <v>70</v>
      </c>
      <c r="G7681">
        <v>9</v>
      </c>
      <c r="H7681">
        <v>817</v>
      </c>
      <c r="I7681">
        <v>947</v>
      </c>
      <c r="J7681">
        <v>1</v>
      </c>
      <c r="K7681">
        <v>27</v>
      </c>
      <c r="L7681">
        <v>150</v>
      </c>
      <c r="M7681">
        <v>1</v>
      </c>
      <c r="N7681">
        <v>3.4270799999999996E-21</v>
      </c>
      <c r="O7681">
        <v>253</v>
      </c>
    </row>
    <row r="7682" spans="1:15" x14ac:dyDescent="0.25">
      <c r="A7682" t="s">
        <v>7695</v>
      </c>
      <c r="B7682">
        <v>172</v>
      </c>
      <c r="C7682" s="1" t="str">
        <f>HYPERLINK("http://www.rosaceae.org/gb/gbrowse/malus_x_domestica/?name=MDP0000284842","MDP0000284842")</f>
        <v>MDP0000284842</v>
      </c>
      <c r="D7682">
        <v>58.46</v>
      </c>
      <c r="E7682">
        <v>130</v>
      </c>
      <c r="F7682">
        <v>54</v>
      </c>
      <c r="G7682">
        <v>24</v>
      </c>
      <c r="H7682">
        <v>66</v>
      </c>
      <c r="I7682">
        <v>171</v>
      </c>
      <c r="J7682">
        <v>1</v>
      </c>
      <c r="K7682">
        <v>1</v>
      </c>
      <c r="L7682">
        <v>130</v>
      </c>
      <c r="M7682">
        <v>1</v>
      </c>
      <c r="N7682">
        <v>1.4821699999999999E-38</v>
      </c>
      <c r="O7682">
        <v>393</v>
      </c>
    </row>
    <row r="7683" spans="1:15" x14ac:dyDescent="0.25">
      <c r="A7683" t="s">
        <v>7696</v>
      </c>
      <c r="B7683">
        <v>285</v>
      </c>
      <c r="C7683" s="1" t="str">
        <f>HYPERLINK("http://www.rosaceae.org/gb/gbrowse/malus_x_domestica/?name=MDP0000234294","MDP0000234294")</f>
        <v>MDP0000234294</v>
      </c>
      <c r="D7683">
        <v>79.849999999999994</v>
      </c>
      <c r="E7683">
        <v>268</v>
      </c>
      <c r="F7683">
        <v>54</v>
      </c>
      <c r="G7683">
        <v>34</v>
      </c>
      <c r="H7683">
        <v>17</v>
      </c>
      <c r="I7683">
        <v>284</v>
      </c>
      <c r="J7683">
        <v>1</v>
      </c>
      <c r="K7683">
        <v>61</v>
      </c>
      <c r="L7683">
        <v>294</v>
      </c>
      <c r="M7683">
        <v>1</v>
      </c>
      <c r="N7683">
        <v>1.99764E-122</v>
      </c>
      <c r="O7683">
        <v>1119</v>
      </c>
    </row>
    <row r="7684" spans="1:15" x14ac:dyDescent="0.25">
      <c r="A7684" t="s">
        <v>7697</v>
      </c>
      <c r="B7684">
        <v>368</v>
      </c>
      <c r="C7684" s="1" t="str">
        <f>HYPERLINK("http://www.rosaceae.org/gb/gbrowse/malus_x_domestica/?name=MDP0000417211","MDP0000417211")</f>
        <v>MDP0000417211</v>
      </c>
      <c r="D7684">
        <v>53.67</v>
      </c>
      <c r="E7684">
        <v>136</v>
      </c>
      <c r="F7684">
        <v>63</v>
      </c>
      <c r="G7684">
        <v>1</v>
      </c>
      <c r="H7684">
        <v>214</v>
      </c>
      <c r="I7684">
        <v>349</v>
      </c>
      <c r="J7684">
        <v>1</v>
      </c>
      <c r="K7684">
        <v>28</v>
      </c>
      <c r="L7684">
        <v>162</v>
      </c>
      <c r="M7684">
        <v>1</v>
      </c>
      <c r="N7684">
        <v>1.35209E-33</v>
      </c>
      <c r="O7684">
        <v>355</v>
      </c>
    </row>
    <row r="7685" spans="1:15" x14ac:dyDescent="0.25">
      <c r="A7685" t="s">
        <v>7698</v>
      </c>
      <c r="B7685">
        <v>419</v>
      </c>
      <c r="C7685" s="1" t="str">
        <f>HYPERLINK("http://www.rosaceae.org/gb/gbrowse/malus_x_domestica/?name=MDP0000496646","MDP0000496646")</f>
        <v>MDP0000496646</v>
      </c>
      <c r="D7685">
        <v>52.55</v>
      </c>
      <c r="E7685">
        <v>470</v>
      </c>
      <c r="F7685">
        <v>223</v>
      </c>
      <c r="G7685">
        <v>76</v>
      </c>
      <c r="H7685">
        <v>1</v>
      </c>
      <c r="I7685">
        <v>415</v>
      </c>
      <c r="J7685">
        <v>1</v>
      </c>
      <c r="K7685">
        <v>1</v>
      </c>
      <c r="L7685">
        <v>449</v>
      </c>
      <c r="M7685">
        <v>1</v>
      </c>
      <c r="N7685">
        <v>5.8873800000000003E-122</v>
      </c>
      <c r="O7685">
        <v>1117</v>
      </c>
    </row>
    <row r="7686" spans="1:15" x14ac:dyDescent="0.25">
      <c r="A7686" t="s">
        <v>7699</v>
      </c>
      <c r="B7686">
        <v>388</v>
      </c>
      <c r="C7686" s="1" t="str">
        <f>HYPERLINK("http://www.rosaceae.org/gb/gbrowse/malus_x_domestica/?name=MDP0000500222","MDP0000500222")</f>
        <v>MDP0000500222</v>
      </c>
      <c r="D7686">
        <v>36.729999999999997</v>
      </c>
      <c r="E7686">
        <v>392</v>
      </c>
      <c r="F7686">
        <v>248</v>
      </c>
      <c r="G7686">
        <v>53</v>
      </c>
      <c r="H7686">
        <v>8</v>
      </c>
      <c r="I7686">
        <v>380</v>
      </c>
      <c r="J7686">
        <v>1</v>
      </c>
      <c r="K7686">
        <v>46</v>
      </c>
      <c r="L7686">
        <v>403</v>
      </c>
      <c r="M7686">
        <v>1</v>
      </c>
      <c r="N7686">
        <v>1.6945E-54</v>
      </c>
      <c r="O7686">
        <v>535</v>
      </c>
    </row>
    <row r="7687" spans="1:15" x14ac:dyDescent="0.25">
      <c r="A7687" t="s">
        <v>7700</v>
      </c>
      <c r="B7687">
        <v>484</v>
      </c>
      <c r="C7687" s="1" t="str">
        <f>HYPERLINK("http://www.rosaceae.org/gb/gbrowse/malus_x_domestica/?name=MDP0000186402","MDP0000186402")</f>
        <v>MDP0000186402</v>
      </c>
      <c r="D7687">
        <v>30.89</v>
      </c>
      <c r="E7687">
        <v>191</v>
      </c>
      <c r="F7687">
        <v>132</v>
      </c>
      <c r="G7687">
        <v>6</v>
      </c>
      <c r="H7687">
        <v>58</v>
      </c>
      <c r="I7687">
        <v>245</v>
      </c>
      <c r="J7687">
        <v>1</v>
      </c>
      <c r="K7687">
        <v>115</v>
      </c>
      <c r="L7687">
        <v>302</v>
      </c>
      <c r="M7687">
        <v>1</v>
      </c>
      <c r="N7687">
        <v>4.1283100000000003E-18</v>
      </c>
      <c r="O7687">
        <v>223</v>
      </c>
    </row>
    <row r="7688" spans="1:15" x14ac:dyDescent="0.25">
      <c r="A7688" t="s">
        <v>7701</v>
      </c>
      <c r="B7688">
        <v>1158</v>
      </c>
      <c r="C7688" s="1" t="str">
        <f>HYPERLINK("http://www.rosaceae.org/gb/gbrowse/malus_x_domestica/?name=MDP0000254122","MDP0000254122")</f>
        <v>MDP0000254122</v>
      </c>
      <c r="D7688">
        <v>71.650000000000006</v>
      </c>
      <c r="E7688">
        <v>1157</v>
      </c>
      <c r="F7688">
        <v>328</v>
      </c>
      <c r="G7688">
        <v>3</v>
      </c>
      <c r="H7688">
        <v>1</v>
      </c>
      <c r="I7688">
        <v>1156</v>
      </c>
      <c r="J7688">
        <v>1</v>
      </c>
      <c r="K7688">
        <v>1</v>
      </c>
      <c r="L7688">
        <v>1155</v>
      </c>
      <c r="M7688">
        <v>1</v>
      </c>
      <c r="N7688">
        <v>0</v>
      </c>
      <c r="O7688">
        <v>4108</v>
      </c>
    </row>
    <row r="7689" spans="1:15" x14ac:dyDescent="0.25">
      <c r="A7689" t="s">
        <v>7702</v>
      </c>
      <c r="B7689">
        <v>265</v>
      </c>
      <c r="C7689" s="1" t="str">
        <f>HYPERLINK("http://www.rosaceae.org/gb/gbrowse/malus_x_domestica/?name=MDP0000443890","MDP0000443890")</f>
        <v>MDP0000443890</v>
      </c>
      <c r="D7689">
        <v>73.510000000000005</v>
      </c>
      <c r="E7689">
        <v>253</v>
      </c>
      <c r="F7689">
        <v>67</v>
      </c>
      <c r="G7689">
        <v>1</v>
      </c>
      <c r="H7689">
        <v>4</v>
      </c>
      <c r="I7689">
        <v>255</v>
      </c>
      <c r="J7689">
        <v>1</v>
      </c>
      <c r="K7689">
        <v>6</v>
      </c>
      <c r="L7689">
        <v>258</v>
      </c>
      <c r="M7689">
        <v>1</v>
      </c>
      <c r="N7689">
        <v>9.0288399999999992E-103</v>
      </c>
      <c r="O7689">
        <v>950</v>
      </c>
    </row>
    <row r="7690" spans="1:15" x14ac:dyDescent="0.25">
      <c r="A7690" t="s">
        <v>7703</v>
      </c>
      <c r="B7690">
        <v>344</v>
      </c>
      <c r="C7690" s="1" t="str">
        <f>HYPERLINK("http://www.rosaceae.org/gb/gbrowse/malus_x_domestica/?name=MDP0000868419","MDP0000868419")</f>
        <v>MDP0000868419</v>
      </c>
      <c r="D7690">
        <v>56.98</v>
      </c>
      <c r="E7690">
        <v>351</v>
      </c>
      <c r="F7690">
        <v>151</v>
      </c>
      <c r="G7690">
        <v>48</v>
      </c>
      <c r="H7690">
        <v>22</v>
      </c>
      <c r="I7690">
        <v>344</v>
      </c>
      <c r="J7690">
        <v>1</v>
      </c>
      <c r="K7690">
        <v>29</v>
      </c>
      <c r="L7690">
        <v>359</v>
      </c>
      <c r="M7690">
        <v>1</v>
      </c>
      <c r="N7690">
        <v>5.79026E-95</v>
      </c>
      <c r="O7690">
        <v>884</v>
      </c>
    </row>
    <row r="7691" spans="1:15" x14ac:dyDescent="0.25">
      <c r="A7691" t="s">
        <v>7704</v>
      </c>
      <c r="B7691">
        <v>497</v>
      </c>
      <c r="C7691" s="1" t="str">
        <f>HYPERLINK("http://www.rosaceae.org/gb/gbrowse/malus_x_domestica/?name=MDP0000268093","MDP0000268093")</f>
        <v>MDP0000268093</v>
      </c>
      <c r="D7691">
        <v>54.59</v>
      </c>
      <c r="E7691">
        <v>511</v>
      </c>
      <c r="F7691">
        <v>232</v>
      </c>
      <c r="G7691">
        <v>21</v>
      </c>
      <c r="H7691">
        <v>1</v>
      </c>
      <c r="I7691">
        <v>494</v>
      </c>
      <c r="J7691">
        <v>1</v>
      </c>
      <c r="K7691">
        <v>1</v>
      </c>
      <c r="L7691">
        <v>507</v>
      </c>
      <c r="M7691">
        <v>1</v>
      </c>
      <c r="N7691">
        <v>1.15436E-134</v>
      </c>
      <c r="O7691">
        <v>1228</v>
      </c>
    </row>
    <row r="7692" spans="1:15" x14ac:dyDescent="0.25">
      <c r="A7692" t="s">
        <v>7705</v>
      </c>
      <c r="B7692">
        <v>169</v>
      </c>
      <c r="C7692" s="1" t="str">
        <f>HYPERLINK("http://www.rosaceae.org/gb/gbrowse/malus_x_domestica/?name=MDP0000149417","MDP0000149417")</f>
        <v>MDP0000149417</v>
      </c>
      <c r="D7692">
        <v>79.8</v>
      </c>
      <c r="E7692">
        <v>104</v>
      </c>
      <c r="F7692">
        <v>21</v>
      </c>
      <c r="G7692">
        <v>1</v>
      </c>
      <c r="H7692">
        <v>66</v>
      </c>
      <c r="I7692">
        <v>169</v>
      </c>
      <c r="J7692">
        <v>1</v>
      </c>
      <c r="K7692">
        <v>112</v>
      </c>
      <c r="L7692">
        <v>214</v>
      </c>
      <c r="M7692">
        <v>1</v>
      </c>
      <c r="N7692">
        <v>4.8845600000000003E-45</v>
      </c>
      <c r="O7692">
        <v>449</v>
      </c>
    </row>
    <row r="7693" spans="1:15" x14ac:dyDescent="0.25">
      <c r="A7693" t="s">
        <v>7706</v>
      </c>
      <c r="B7693">
        <v>123</v>
      </c>
      <c r="C7693" s="1" t="str">
        <f>HYPERLINK("http://www.rosaceae.org/gb/gbrowse/malus_x_domestica/?name=MDP0000185125","MDP0000185125")</f>
        <v>MDP0000185125</v>
      </c>
      <c r="D7693">
        <v>33.03</v>
      </c>
      <c r="E7693">
        <v>112</v>
      </c>
      <c r="F7693">
        <v>75</v>
      </c>
      <c r="G7693">
        <v>1</v>
      </c>
      <c r="H7693">
        <v>7</v>
      </c>
      <c r="I7693">
        <v>117</v>
      </c>
      <c r="J7693">
        <v>1</v>
      </c>
      <c r="K7693">
        <v>86</v>
      </c>
      <c r="L7693">
        <v>197</v>
      </c>
      <c r="M7693">
        <v>1</v>
      </c>
      <c r="N7693">
        <v>1.8188E-11</v>
      </c>
      <c r="O7693">
        <v>156</v>
      </c>
    </row>
    <row r="7694" spans="1:15" x14ac:dyDescent="0.25">
      <c r="A7694" t="s">
        <v>7707</v>
      </c>
      <c r="B7694">
        <v>346</v>
      </c>
      <c r="C7694" s="1" t="str">
        <f>HYPERLINK("http://www.rosaceae.org/gb/gbrowse/malus_x_domestica/?name=MDP0000296128","MDP0000296128")</f>
        <v>MDP0000296128</v>
      </c>
      <c r="D7694">
        <v>32.590000000000003</v>
      </c>
      <c r="E7694">
        <v>227</v>
      </c>
      <c r="F7694">
        <v>153</v>
      </c>
      <c r="G7694">
        <v>32</v>
      </c>
      <c r="H7694">
        <v>57</v>
      </c>
      <c r="I7694">
        <v>256</v>
      </c>
      <c r="J7694">
        <v>1</v>
      </c>
      <c r="K7694">
        <v>132</v>
      </c>
      <c r="L7694">
        <v>353</v>
      </c>
      <c r="M7694">
        <v>1</v>
      </c>
      <c r="N7694">
        <v>3.2769700000000001E-15</v>
      </c>
      <c r="O7694">
        <v>196</v>
      </c>
    </row>
    <row r="7695" spans="1:15" x14ac:dyDescent="0.25">
      <c r="A7695" t="s">
        <v>7708</v>
      </c>
      <c r="B7695">
        <v>179</v>
      </c>
      <c r="C7695" s="1" t="str">
        <f>HYPERLINK("http://www.rosaceae.org/gb/gbrowse/malus_x_domestica/?name=MDP0000487242","MDP0000487242")</f>
        <v>MDP0000487242</v>
      </c>
      <c r="D7695">
        <v>42.85</v>
      </c>
      <c r="E7695">
        <v>56</v>
      </c>
      <c r="F7695">
        <v>32</v>
      </c>
      <c r="G7695">
        <v>0</v>
      </c>
      <c r="H7695">
        <v>10</v>
      </c>
      <c r="I7695">
        <v>65</v>
      </c>
      <c r="J7695">
        <v>1</v>
      </c>
      <c r="K7695">
        <v>1</v>
      </c>
      <c r="L7695">
        <v>56</v>
      </c>
      <c r="M7695">
        <v>1</v>
      </c>
      <c r="N7695">
        <v>1.7471800000000002E-8</v>
      </c>
      <c r="O7695">
        <v>134</v>
      </c>
    </row>
    <row r="7696" spans="1:15" x14ac:dyDescent="0.25">
      <c r="A7696" t="s">
        <v>7709</v>
      </c>
      <c r="B7696">
        <v>244</v>
      </c>
      <c r="C7696" s="1" t="str">
        <f>HYPERLINK("http://www.rosaceae.org/gb/gbrowse/malus_x_domestica/?name=MDP0000780100","MDP0000780100")</f>
        <v>MDP0000780100</v>
      </c>
      <c r="D7696">
        <v>54.83</v>
      </c>
      <c r="E7696">
        <v>248</v>
      </c>
      <c r="F7696">
        <v>112</v>
      </c>
      <c r="G7696">
        <v>6</v>
      </c>
      <c r="H7696">
        <v>2</v>
      </c>
      <c r="I7696">
        <v>243</v>
      </c>
      <c r="J7696">
        <v>1</v>
      </c>
      <c r="K7696">
        <v>940</v>
      </c>
      <c r="L7696">
        <v>1187</v>
      </c>
      <c r="M7696">
        <v>1</v>
      </c>
      <c r="N7696">
        <v>1.6104100000000001E-56</v>
      </c>
      <c r="O7696">
        <v>550</v>
      </c>
    </row>
    <row r="7697" spans="1:15" x14ac:dyDescent="0.25">
      <c r="A7697" t="s">
        <v>7710</v>
      </c>
      <c r="B7697">
        <v>2781</v>
      </c>
      <c r="C7697" s="1" t="str">
        <f>HYPERLINK("http://www.rosaceae.org/gb/gbrowse/malus_x_domestica/?name=MDP0000259421","MDP0000259421")</f>
        <v>MDP0000259421</v>
      </c>
      <c r="D7697">
        <v>54.06</v>
      </c>
      <c r="E7697">
        <v>1328</v>
      </c>
      <c r="F7697">
        <v>610</v>
      </c>
      <c r="G7697">
        <v>172</v>
      </c>
      <c r="H7697">
        <v>3</v>
      </c>
      <c r="I7697">
        <v>1290</v>
      </c>
      <c r="J7697">
        <v>1</v>
      </c>
      <c r="K7697">
        <v>29</v>
      </c>
      <c r="L7697">
        <v>1224</v>
      </c>
      <c r="M7697">
        <v>1</v>
      </c>
      <c r="N7697">
        <v>0</v>
      </c>
      <c r="O7697">
        <v>3585</v>
      </c>
    </row>
    <row r="7698" spans="1:15" x14ac:dyDescent="0.25">
      <c r="A7698" t="s">
        <v>7711</v>
      </c>
      <c r="B7698">
        <v>452</v>
      </c>
      <c r="C7698" s="1" t="str">
        <f>HYPERLINK("http://www.rosaceae.org/gb/gbrowse/malus_x_domestica/?name=MDP0000136662","MDP0000136662")</f>
        <v>MDP0000136662</v>
      </c>
      <c r="D7698">
        <v>75.849999999999994</v>
      </c>
      <c r="E7698">
        <v>468</v>
      </c>
      <c r="F7698">
        <v>113</v>
      </c>
      <c r="G7698">
        <v>17</v>
      </c>
      <c r="H7698">
        <v>1</v>
      </c>
      <c r="I7698">
        <v>452</v>
      </c>
      <c r="J7698">
        <v>1</v>
      </c>
      <c r="K7698">
        <v>3</v>
      </c>
      <c r="L7698">
        <v>469</v>
      </c>
      <c r="M7698">
        <v>1</v>
      </c>
      <c r="N7698">
        <v>0</v>
      </c>
      <c r="O7698">
        <v>1847</v>
      </c>
    </row>
    <row r="7699" spans="1:15" x14ac:dyDescent="0.25">
      <c r="A7699" t="s">
        <v>7712</v>
      </c>
      <c r="B7699">
        <v>675</v>
      </c>
      <c r="C7699" s="1" t="str">
        <f>HYPERLINK("http://www.rosaceae.org/gb/gbrowse/malus_x_domestica/?name=MDP0000226487","MDP0000226487")</f>
        <v>MDP0000226487</v>
      </c>
      <c r="D7699">
        <v>77.349999999999994</v>
      </c>
      <c r="E7699">
        <v>477</v>
      </c>
      <c r="F7699">
        <v>108</v>
      </c>
      <c r="G7699">
        <v>9</v>
      </c>
      <c r="H7699">
        <v>207</v>
      </c>
      <c r="I7699">
        <v>674</v>
      </c>
      <c r="J7699">
        <v>1</v>
      </c>
      <c r="K7699">
        <v>1</v>
      </c>
      <c r="L7699">
        <v>477</v>
      </c>
      <c r="M7699">
        <v>1</v>
      </c>
      <c r="N7699">
        <v>0</v>
      </c>
      <c r="O7699">
        <v>1861</v>
      </c>
    </row>
    <row r="7700" spans="1:15" x14ac:dyDescent="0.25">
      <c r="A7700" t="s">
        <v>7713</v>
      </c>
      <c r="B7700">
        <v>332</v>
      </c>
      <c r="C7700" s="1" t="str">
        <f>HYPERLINK("http://www.rosaceae.org/gb/gbrowse/malus_x_domestica/?name=MDP0000501768","MDP0000501768")</f>
        <v>MDP0000501768</v>
      </c>
      <c r="D7700">
        <v>68.989999999999995</v>
      </c>
      <c r="E7700">
        <v>329</v>
      </c>
      <c r="F7700">
        <v>102</v>
      </c>
      <c r="G7700">
        <v>5</v>
      </c>
      <c r="H7700">
        <v>1</v>
      </c>
      <c r="I7700">
        <v>327</v>
      </c>
      <c r="J7700">
        <v>1</v>
      </c>
      <c r="K7700">
        <v>1</v>
      </c>
      <c r="L7700">
        <v>326</v>
      </c>
      <c r="M7700">
        <v>1</v>
      </c>
      <c r="N7700">
        <v>6.60676E-125</v>
      </c>
      <c r="O7700">
        <v>1142</v>
      </c>
    </row>
    <row r="7701" spans="1:15" x14ac:dyDescent="0.25">
      <c r="A7701" t="s">
        <v>7714</v>
      </c>
      <c r="B7701">
        <v>625</v>
      </c>
      <c r="C7701" s="1" t="str">
        <f>HYPERLINK("http://www.rosaceae.org/gb/gbrowse/malus_x_domestica/?name=MDP0000269239","MDP0000269239")</f>
        <v>MDP0000269239</v>
      </c>
      <c r="D7701">
        <v>71.680000000000007</v>
      </c>
      <c r="E7701">
        <v>279</v>
      </c>
      <c r="F7701">
        <v>79</v>
      </c>
      <c r="G7701">
        <v>50</v>
      </c>
      <c r="H7701">
        <v>8</v>
      </c>
      <c r="I7701">
        <v>236</v>
      </c>
      <c r="J7701">
        <v>1</v>
      </c>
      <c r="K7701">
        <v>65</v>
      </c>
      <c r="L7701">
        <v>343</v>
      </c>
      <c r="M7701">
        <v>1</v>
      </c>
      <c r="N7701">
        <v>2.7930900000000001E-100</v>
      </c>
      <c r="O7701">
        <v>932</v>
      </c>
    </row>
    <row r="7702" spans="1:15" x14ac:dyDescent="0.25">
      <c r="A7702" t="s">
        <v>7715</v>
      </c>
      <c r="B7702">
        <v>805</v>
      </c>
      <c r="C7702" s="1" t="str">
        <f>HYPERLINK("http://www.rosaceae.org/gb/gbrowse/malus_x_domestica/?name=MDP0000274386","MDP0000274386")</f>
        <v>MDP0000274386</v>
      </c>
      <c r="D7702">
        <v>27.55</v>
      </c>
      <c r="E7702">
        <v>323</v>
      </c>
      <c r="F7702">
        <v>234</v>
      </c>
      <c r="G7702">
        <v>59</v>
      </c>
      <c r="H7702">
        <v>247</v>
      </c>
      <c r="I7702">
        <v>521</v>
      </c>
      <c r="J7702">
        <v>1</v>
      </c>
      <c r="K7702">
        <v>123</v>
      </c>
      <c r="L7702">
        <v>434</v>
      </c>
      <c r="M7702">
        <v>1</v>
      </c>
      <c r="N7702">
        <v>1.60381E-18</v>
      </c>
      <c r="O7702">
        <v>228</v>
      </c>
    </row>
    <row r="7703" spans="1:15" x14ac:dyDescent="0.25">
      <c r="A7703" t="s">
        <v>7716</v>
      </c>
      <c r="B7703">
        <v>375</v>
      </c>
      <c r="C7703" s="1" t="str">
        <f>HYPERLINK("http://www.rosaceae.org/gb/gbrowse/malus_x_domestica/?name=MDP0000581417","MDP0000581417")</f>
        <v>MDP0000581417</v>
      </c>
      <c r="D7703">
        <v>47.43</v>
      </c>
      <c r="E7703">
        <v>371</v>
      </c>
      <c r="F7703">
        <v>195</v>
      </c>
      <c r="G7703">
        <v>74</v>
      </c>
      <c r="H7703">
        <v>1</v>
      </c>
      <c r="I7703">
        <v>303</v>
      </c>
      <c r="J7703">
        <v>1</v>
      </c>
      <c r="K7703">
        <v>74</v>
      </c>
      <c r="L7703">
        <v>438</v>
      </c>
      <c r="M7703">
        <v>1</v>
      </c>
      <c r="N7703">
        <v>2.6715699999999998E-77</v>
      </c>
      <c r="O7703">
        <v>732</v>
      </c>
    </row>
    <row r="7704" spans="1:15" x14ac:dyDescent="0.25">
      <c r="A7704" t="s">
        <v>7717</v>
      </c>
      <c r="B7704">
        <v>232</v>
      </c>
      <c r="C7704" s="1" t="str">
        <f>HYPERLINK("http://www.rosaceae.org/gb/gbrowse/malus_x_domestica/?name=MDP0000375310","MDP0000375310")</f>
        <v>MDP0000375310</v>
      </c>
      <c r="D7704">
        <v>78.11</v>
      </c>
      <c r="E7704">
        <v>233</v>
      </c>
      <c r="F7704">
        <v>51</v>
      </c>
      <c r="G7704">
        <v>1</v>
      </c>
      <c r="H7704">
        <v>1</v>
      </c>
      <c r="I7704">
        <v>232</v>
      </c>
      <c r="J7704">
        <v>1</v>
      </c>
      <c r="K7704">
        <v>296</v>
      </c>
      <c r="L7704">
        <v>528</v>
      </c>
      <c r="M7704">
        <v>1</v>
      </c>
      <c r="N7704">
        <v>8.1977799999999998E-108</v>
      </c>
      <c r="O7704">
        <v>992</v>
      </c>
    </row>
    <row r="7705" spans="1:15" x14ac:dyDescent="0.25">
      <c r="A7705" t="s">
        <v>7718</v>
      </c>
      <c r="B7705">
        <v>182</v>
      </c>
      <c r="C7705" s="1" t="str">
        <f>HYPERLINK("http://www.rosaceae.org/gb/gbrowse/malus_x_domestica/?name=MDP0000231605","MDP0000231605")</f>
        <v>MDP0000231605</v>
      </c>
      <c r="D7705">
        <v>69.13</v>
      </c>
      <c r="E7705">
        <v>162</v>
      </c>
      <c r="F7705">
        <v>50</v>
      </c>
      <c r="G7705">
        <v>5</v>
      </c>
      <c r="H7705">
        <v>2</v>
      </c>
      <c r="I7705">
        <v>162</v>
      </c>
      <c r="J7705">
        <v>1</v>
      </c>
      <c r="K7705">
        <v>334</v>
      </c>
      <c r="L7705">
        <v>491</v>
      </c>
      <c r="M7705">
        <v>1</v>
      </c>
      <c r="N7705">
        <v>6.4984400000000004E-62</v>
      </c>
      <c r="O7705">
        <v>595</v>
      </c>
    </row>
    <row r="7706" spans="1:15" x14ac:dyDescent="0.25">
      <c r="A7706" t="s">
        <v>7719</v>
      </c>
      <c r="B7706">
        <v>134</v>
      </c>
      <c r="C7706" s="1" t="str">
        <f>HYPERLINK("http://www.rosaceae.org/gb/gbrowse/malus_x_domestica/?name=MDP0000343650","MDP0000343650")</f>
        <v>MDP0000343650</v>
      </c>
      <c r="D7706">
        <v>73.459999999999994</v>
      </c>
      <c r="E7706">
        <v>49</v>
      </c>
      <c r="F7706">
        <v>13</v>
      </c>
      <c r="G7706">
        <v>3</v>
      </c>
      <c r="H7706">
        <v>85</v>
      </c>
      <c r="I7706">
        <v>132</v>
      </c>
      <c r="J7706">
        <v>1</v>
      </c>
      <c r="K7706">
        <v>43</v>
      </c>
      <c r="L7706">
        <v>89</v>
      </c>
      <c r="M7706">
        <v>1</v>
      </c>
      <c r="N7706">
        <v>2.9521799999999997E-11</v>
      </c>
      <c r="O7706">
        <v>155</v>
      </c>
    </row>
    <row r="7707" spans="1:15" x14ac:dyDescent="0.25">
      <c r="A7707" t="s">
        <v>7720</v>
      </c>
      <c r="B7707">
        <v>249</v>
      </c>
      <c r="C7707" s="1" t="str">
        <f>HYPERLINK("http://www.rosaceae.org/gb/gbrowse/malus_x_domestica/?name=MDP0000231692","MDP0000231692")</f>
        <v>MDP0000231692</v>
      </c>
      <c r="D7707">
        <v>36.159999999999997</v>
      </c>
      <c r="E7707">
        <v>224</v>
      </c>
      <c r="F7707">
        <v>143</v>
      </c>
      <c r="G7707">
        <v>18</v>
      </c>
      <c r="H7707">
        <v>32</v>
      </c>
      <c r="I7707">
        <v>245</v>
      </c>
      <c r="J7707">
        <v>1</v>
      </c>
      <c r="K7707">
        <v>281</v>
      </c>
      <c r="L7707">
        <v>496</v>
      </c>
      <c r="M7707">
        <v>1</v>
      </c>
      <c r="N7707">
        <v>1.30859E-27</v>
      </c>
      <c r="O7707">
        <v>301</v>
      </c>
    </row>
    <row r="7708" spans="1:15" x14ac:dyDescent="0.25">
      <c r="A7708" t="s">
        <v>7721</v>
      </c>
      <c r="B7708">
        <v>391</v>
      </c>
      <c r="C7708" s="1" t="str">
        <f>HYPERLINK("http://www.rosaceae.org/gb/gbrowse/malus_x_domestica/?name=MDP0000282995","MDP0000282995")</f>
        <v>MDP0000282995</v>
      </c>
      <c r="D7708">
        <v>57.88</v>
      </c>
      <c r="E7708">
        <v>387</v>
      </c>
      <c r="F7708">
        <v>163</v>
      </c>
      <c r="G7708">
        <v>16</v>
      </c>
      <c r="H7708">
        <v>9</v>
      </c>
      <c r="I7708">
        <v>391</v>
      </c>
      <c r="J7708">
        <v>1</v>
      </c>
      <c r="K7708">
        <v>6</v>
      </c>
      <c r="L7708">
        <v>380</v>
      </c>
      <c r="M7708">
        <v>1</v>
      </c>
      <c r="N7708">
        <v>1.39706E-123</v>
      </c>
      <c r="O7708">
        <v>1131</v>
      </c>
    </row>
    <row r="7709" spans="1:15" x14ac:dyDescent="0.25">
      <c r="A7709" t="s">
        <v>7722</v>
      </c>
      <c r="B7709">
        <v>545</v>
      </c>
      <c r="C7709" s="1" t="str">
        <f>HYPERLINK("http://www.rosaceae.org/gb/gbrowse/malus_x_domestica/?name=MDP0000945657","MDP0000945657")</f>
        <v>MDP0000945657</v>
      </c>
      <c r="D7709">
        <v>82.76</v>
      </c>
      <c r="E7709">
        <v>528</v>
      </c>
      <c r="F7709">
        <v>91</v>
      </c>
      <c r="G7709">
        <v>11</v>
      </c>
      <c r="H7709">
        <v>21</v>
      </c>
      <c r="I7709">
        <v>545</v>
      </c>
      <c r="J7709">
        <v>1</v>
      </c>
      <c r="K7709">
        <v>4</v>
      </c>
      <c r="L7709">
        <v>523</v>
      </c>
      <c r="M7709">
        <v>1</v>
      </c>
      <c r="N7709">
        <v>0</v>
      </c>
      <c r="O7709">
        <v>2266</v>
      </c>
    </row>
    <row r="7710" spans="1:15" x14ac:dyDescent="0.25">
      <c r="A7710" t="s">
        <v>7723</v>
      </c>
      <c r="B7710">
        <v>195</v>
      </c>
      <c r="C7710" s="1" t="str">
        <f>HYPERLINK("http://www.rosaceae.org/gb/gbrowse/malus_x_domestica/?name=MDP0000481445","MDP0000481445")</f>
        <v>MDP0000481445</v>
      </c>
      <c r="D7710">
        <v>74.5</v>
      </c>
      <c r="E7710">
        <v>204</v>
      </c>
      <c r="F7710">
        <v>52</v>
      </c>
      <c r="G7710">
        <v>11</v>
      </c>
      <c r="H7710">
        <v>1</v>
      </c>
      <c r="I7710">
        <v>195</v>
      </c>
      <c r="J7710">
        <v>1</v>
      </c>
      <c r="K7710">
        <v>1</v>
      </c>
      <c r="L7710">
        <v>202</v>
      </c>
      <c r="M7710">
        <v>1</v>
      </c>
      <c r="N7710">
        <v>5.4370300000000003E-84</v>
      </c>
      <c r="O7710">
        <v>786</v>
      </c>
    </row>
    <row r="7711" spans="1:15" x14ac:dyDescent="0.25">
      <c r="A7711" t="s">
        <v>7724</v>
      </c>
      <c r="B7711">
        <v>319</v>
      </c>
      <c r="C7711" s="1" t="str">
        <f>HYPERLINK("http://www.rosaceae.org/gb/gbrowse/malus_x_domestica/?name=MDP0000735747","MDP0000735747")</f>
        <v>MDP0000735747</v>
      </c>
      <c r="D7711">
        <v>70.44</v>
      </c>
      <c r="E7711">
        <v>335</v>
      </c>
      <c r="F7711">
        <v>99</v>
      </c>
      <c r="G7711">
        <v>16</v>
      </c>
      <c r="H7711">
        <v>1</v>
      </c>
      <c r="I7711">
        <v>319</v>
      </c>
      <c r="J7711">
        <v>1</v>
      </c>
      <c r="K7711">
        <v>1</v>
      </c>
      <c r="L7711">
        <v>335</v>
      </c>
      <c r="M7711">
        <v>1</v>
      </c>
      <c r="N7711">
        <v>3.9610900000000002E-133</v>
      </c>
      <c r="O7711">
        <v>1212</v>
      </c>
    </row>
    <row r="7712" spans="1:15" x14ac:dyDescent="0.25">
      <c r="A7712" t="s">
        <v>7725</v>
      </c>
      <c r="B7712">
        <v>1267</v>
      </c>
      <c r="C7712" s="1" t="str">
        <f>HYPERLINK("http://www.rosaceae.org/gb/gbrowse/malus_x_domestica/?name=MDP0000540917","MDP0000540917")</f>
        <v>MDP0000540917</v>
      </c>
      <c r="D7712">
        <v>80.61</v>
      </c>
      <c r="E7712">
        <v>753</v>
      </c>
      <c r="F7712">
        <v>146</v>
      </c>
      <c r="G7712">
        <v>2</v>
      </c>
      <c r="H7712">
        <v>3</v>
      </c>
      <c r="I7712">
        <v>755</v>
      </c>
      <c r="J7712">
        <v>1</v>
      </c>
      <c r="K7712">
        <v>92</v>
      </c>
      <c r="L7712">
        <v>842</v>
      </c>
      <c r="M7712">
        <v>1</v>
      </c>
      <c r="N7712">
        <v>0</v>
      </c>
      <c r="O7712">
        <v>3350</v>
      </c>
    </row>
    <row r="7713" spans="1:15" x14ac:dyDescent="0.25">
      <c r="A7713" t="s">
        <v>7726</v>
      </c>
      <c r="B7713">
        <v>273</v>
      </c>
      <c r="C7713" s="1" t="str">
        <f>HYPERLINK("http://www.rosaceae.org/gb/gbrowse/malus_x_domestica/?name=MDP0000276291","MDP0000276291")</f>
        <v>MDP0000276291</v>
      </c>
      <c r="D7713">
        <v>43.91</v>
      </c>
      <c r="E7713">
        <v>148</v>
      </c>
      <c r="F7713">
        <v>83</v>
      </c>
      <c r="G7713">
        <v>20</v>
      </c>
      <c r="H7713">
        <v>11</v>
      </c>
      <c r="I7713">
        <v>143</v>
      </c>
      <c r="J7713">
        <v>1</v>
      </c>
      <c r="K7713">
        <v>7</v>
      </c>
      <c r="L7713">
        <v>149</v>
      </c>
      <c r="M7713">
        <v>1</v>
      </c>
      <c r="N7713">
        <v>1.07182E-21</v>
      </c>
      <c r="O7713">
        <v>251</v>
      </c>
    </row>
    <row r="7714" spans="1:15" x14ac:dyDescent="0.25">
      <c r="A7714" t="s">
        <v>7727</v>
      </c>
      <c r="B7714">
        <v>519</v>
      </c>
      <c r="C7714" s="1" t="str">
        <f>HYPERLINK("http://www.rosaceae.org/gb/gbrowse/malus_x_domestica/?name=MDP0000283399","MDP0000283399")</f>
        <v>MDP0000283399</v>
      </c>
      <c r="D7714">
        <v>75.540000000000006</v>
      </c>
      <c r="E7714">
        <v>413</v>
      </c>
      <c r="F7714">
        <v>101</v>
      </c>
      <c r="G7714">
        <v>28</v>
      </c>
      <c r="H7714">
        <v>104</v>
      </c>
      <c r="I7714">
        <v>516</v>
      </c>
      <c r="J7714">
        <v>1</v>
      </c>
      <c r="K7714">
        <v>447</v>
      </c>
      <c r="L7714">
        <v>831</v>
      </c>
      <c r="M7714">
        <v>1</v>
      </c>
      <c r="N7714">
        <v>0</v>
      </c>
      <c r="O7714">
        <v>1641</v>
      </c>
    </row>
    <row r="7715" spans="1:15" x14ac:dyDescent="0.25">
      <c r="A7715" t="s">
        <v>7728</v>
      </c>
      <c r="B7715">
        <v>145</v>
      </c>
      <c r="C7715" s="1" t="str">
        <f>HYPERLINK("http://www.rosaceae.org/gb/gbrowse/malus_x_domestica/?name=MDP0000469141","MDP0000469141")</f>
        <v>MDP0000469141</v>
      </c>
      <c r="D7715">
        <v>54.83</v>
      </c>
      <c r="E7715">
        <v>93</v>
      </c>
      <c r="F7715">
        <v>42</v>
      </c>
      <c r="G7715">
        <v>4</v>
      </c>
      <c r="H7715">
        <v>13</v>
      </c>
      <c r="I7715">
        <v>104</v>
      </c>
      <c r="J7715">
        <v>1</v>
      </c>
      <c r="K7715">
        <v>577</v>
      </c>
      <c r="L7715">
        <v>666</v>
      </c>
      <c r="M7715">
        <v>1</v>
      </c>
      <c r="N7715">
        <v>4.3382599999999997E-19</v>
      </c>
      <c r="O7715">
        <v>224</v>
      </c>
    </row>
    <row r="7716" spans="1:15" x14ac:dyDescent="0.25">
      <c r="A7716" t="s">
        <v>7729</v>
      </c>
      <c r="B7716">
        <v>495</v>
      </c>
      <c r="C7716" s="1" t="str">
        <f>HYPERLINK("http://www.rosaceae.org/gb/gbrowse/malus_x_domestica/?name=MDP0000404648","MDP0000404648")</f>
        <v>MDP0000404648</v>
      </c>
      <c r="D7716">
        <v>25.84</v>
      </c>
      <c r="E7716">
        <v>178</v>
      </c>
      <c r="F7716">
        <v>132</v>
      </c>
      <c r="G7716">
        <v>8</v>
      </c>
      <c r="H7716">
        <v>59</v>
      </c>
      <c r="I7716">
        <v>235</v>
      </c>
      <c r="J7716">
        <v>1</v>
      </c>
      <c r="K7716">
        <v>46</v>
      </c>
      <c r="L7716">
        <v>216</v>
      </c>
      <c r="M7716">
        <v>1</v>
      </c>
      <c r="N7716">
        <v>4.0927500000000002E-10</v>
      </c>
      <c r="O7716">
        <v>154</v>
      </c>
    </row>
    <row r="7717" spans="1:15" x14ac:dyDescent="0.25">
      <c r="A7717" t="s">
        <v>7730</v>
      </c>
      <c r="B7717">
        <v>120</v>
      </c>
      <c r="C7717" s="1" t="str">
        <f>HYPERLINK("http://www.rosaceae.org/gb/gbrowse/malus_x_domestica/?name=MDP0000350570","MDP0000350570")</f>
        <v>MDP0000350570</v>
      </c>
      <c r="D7717">
        <v>49.55</v>
      </c>
      <c r="E7717">
        <v>113</v>
      </c>
      <c r="F7717">
        <v>57</v>
      </c>
      <c r="G7717">
        <v>0</v>
      </c>
      <c r="H7717">
        <v>1</v>
      </c>
      <c r="I7717">
        <v>113</v>
      </c>
      <c r="J7717">
        <v>1</v>
      </c>
      <c r="K7717">
        <v>39</v>
      </c>
      <c r="L7717">
        <v>151</v>
      </c>
      <c r="M7717">
        <v>1</v>
      </c>
      <c r="N7717">
        <v>4.05015E-17</v>
      </c>
      <c r="O7717">
        <v>205</v>
      </c>
    </row>
    <row r="7718" spans="1:15" x14ac:dyDescent="0.25">
      <c r="A7718" t="s">
        <v>7731</v>
      </c>
      <c r="B7718">
        <v>160</v>
      </c>
      <c r="C7718" s="1" t="str">
        <f>HYPERLINK("http://www.rosaceae.org/gb/gbrowse/malus_x_domestica/?name=MDP0000243227","MDP0000243227")</f>
        <v>MDP0000243227</v>
      </c>
      <c r="D7718">
        <v>73.33</v>
      </c>
      <c r="E7718">
        <v>30</v>
      </c>
      <c r="F7718">
        <v>8</v>
      </c>
      <c r="G7718">
        <v>0</v>
      </c>
      <c r="H7718">
        <v>115</v>
      </c>
      <c r="I7718">
        <v>144</v>
      </c>
      <c r="J7718">
        <v>1</v>
      </c>
      <c r="K7718">
        <v>356</v>
      </c>
      <c r="L7718">
        <v>385</v>
      </c>
      <c r="M7718">
        <v>1</v>
      </c>
      <c r="N7718">
        <v>2.22654E-7</v>
      </c>
      <c r="O7718">
        <v>124</v>
      </c>
    </row>
    <row r="7719" spans="1:15" x14ac:dyDescent="0.25">
      <c r="A7719" t="s">
        <v>7732</v>
      </c>
      <c r="B7719">
        <v>90</v>
      </c>
      <c r="C7719" s="1" t="str">
        <f>HYPERLINK("http://www.rosaceae.org/gb/gbrowse/malus_x_domestica/?name=MDP0000919072","MDP0000919072")</f>
        <v>MDP0000919072</v>
      </c>
      <c r="D7719">
        <v>69.87</v>
      </c>
      <c r="E7719">
        <v>83</v>
      </c>
      <c r="F7719">
        <v>25</v>
      </c>
      <c r="G7719">
        <v>3</v>
      </c>
      <c r="H7719">
        <v>1</v>
      </c>
      <c r="I7719">
        <v>82</v>
      </c>
      <c r="J7719">
        <v>1</v>
      </c>
      <c r="K7719">
        <v>1</v>
      </c>
      <c r="L7719">
        <v>81</v>
      </c>
      <c r="M7719">
        <v>1</v>
      </c>
      <c r="N7719">
        <v>2.39843E-26</v>
      </c>
      <c r="O7719">
        <v>285</v>
      </c>
    </row>
    <row r="7720" spans="1:15" x14ac:dyDescent="0.25">
      <c r="A7720" t="s">
        <v>7733</v>
      </c>
      <c r="B7720">
        <v>140</v>
      </c>
      <c r="C7720" s="1" t="str">
        <f>HYPERLINK("http://www.rosaceae.org/gb/gbrowse/malus_x_domestica/?name=MDP0000194017","MDP0000194017")</f>
        <v>MDP0000194017</v>
      </c>
      <c r="D7720">
        <v>98.57</v>
      </c>
      <c r="E7720">
        <v>140</v>
      </c>
      <c r="F7720">
        <v>2</v>
      </c>
      <c r="G7720">
        <v>0</v>
      </c>
      <c r="H7720">
        <v>1</v>
      </c>
      <c r="I7720">
        <v>140</v>
      </c>
      <c r="J7720">
        <v>1</v>
      </c>
      <c r="K7720">
        <v>1</v>
      </c>
      <c r="L7720">
        <v>140</v>
      </c>
      <c r="M7720">
        <v>1</v>
      </c>
      <c r="N7720">
        <v>3.4247000000000002E-76</v>
      </c>
      <c r="O7720">
        <v>716</v>
      </c>
    </row>
    <row r="7721" spans="1:15" x14ac:dyDescent="0.25">
      <c r="A7721" t="s">
        <v>7734</v>
      </c>
      <c r="B7721">
        <v>70</v>
      </c>
      <c r="C7721" s="1" t="str">
        <f>HYPERLINK("http://www.rosaceae.org/gb/gbrowse/malus_x_domestica/?name=MDP0000190208","MDP0000190208")</f>
        <v>MDP0000190208</v>
      </c>
      <c r="D7721">
        <v>91.83</v>
      </c>
      <c r="E7721">
        <v>49</v>
      </c>
      <c r="F7721">
        <v>4</v>
      </c>
      <c r="G7721">
        <v>0</v>
      </c>
      <c r="H7721">
        <v>9</v>
      </c>
      <c r="I7721">
        <v>57</v>
      </c>
      <c r="J7721">
        <v>1</v>
      </c>
      <c r="K7721">
        <v>9</v>
      </c>
      <c r="L7721">
        <v>57</v>
      </c>
      <c r="M7721">
        <v>1</v>
      </c>
      <c r="N7721">
        <v>4.6591799999999996E-22</v>
      </c>
      <c r="O7721">
        <v>248</v>
      </c>
    </row>
    <row r="7722" spans="1:15" x14ac:dyDescent="0.25">
      <c r="A7722" t="s">
        <v>7735</v>
      </c>
      <c r="B7722">
        <v>323</v>
      </c>
      <c r="C7722" s="1" t="str">
        <f>HYPERLINK("http://www.rosaceae.org/gb/gbrowse/malus_x_domestica/?name=MDP0000133494","MDP0000133494")</f>
        <v>MDP0000133494</v>
      </c>
      <c r="D7722">
        <v>57.63</v>
      </c>
      <c r="E7722">
        <v>347</v>
      </c>
      <c r="F7722">
        <v>147</v>
      </c>
      <c r="G7722">
        <v>39</v>
      </c>
      <c r="H7722">
        <v>1</v>
      </c>
      <c r="I7722">
        <v>323</v>
      </c>
      <c r="J7722">
        <v>1</v>
      </c>
      <c r="K7722">
        <v>1</v>
      </c>
      <c r="L7722">
        <v>332</v>
      </c>
      <c r="M7722">
        <v>1</v>
      </c>
      <c r="N7722">
        <v>2.8073000000000001E-89</v>
      </c>
      <c r="O7722">
        <v>834</v>
      </c>
    </row>
    <row r="7723" spans="1:15" x14ac:dyDescent="0.25">
      <c r="A7723" t="s">
        <v>7736</v>
      </c>
      <c r="B7723">
        <v>450</v>
      </c>
      <c r="C7723" s="1" t="str">
        <f>HYPERLINK("http://www.rosaceae.org/gb/gbrowse/malus_x_domestica/?name=MDP0000124536","MDP0000124536")</f>
        <v>MDP0000124536</v>
      </c>
      <c r="D7723">
        <v>53.55</v>
      </c>
      <c r="E7723">
        <v>450</v>
      </c>
      <c r="F7723">
        <v>209</v>
      </c>
      <c r="G7723">
        <v>74</v>
      </c>
      <c r="H7723">
        <v>55</v>
      </c>
      <c r="I7723">
        <v>450</v>
      </c>
      <c r="J7723">
        <v>1</v>
      </c>
      <c r="K7723">
        <v>27</v>
      </c>
      <c r="L7723">
        <v>456</v>
      </c>
      <c r="M7723">
        <v>1</v>
      </c>
      <c r="N7723">
        <v>2.26063E-100</v>
      </c>
      <c r="O7723">
        <v>932</v>
      </c>
    </row>
    <row r="7724" spans="1:15" x14ac:dyDescent="0.25">
      <c r="A7724" t="s">
        <v>7737</v>
      </c>
      <c r="B7724">
        <v>172</v>
      </c>
      <c r="C7724" s="1" t="str">
        <f>HYPERLINK("http://www.rosaceae.org/gb/gbrowse/malus_x_domestica/?name=MDP0000155620","MDP0000155620")</f>
        <v>MDP0000155620</v>
      </c>
      <c r="D7724">
        <v>31.28</v>
      </c>
      <c r="E7724">
        <v>163</v>
      </c>
      <c r="F7724">
        <v>112</v>
      </c>
      <c r="G7724">
        <v>4</v>
      </c>
      <c r="H7724">
        <v>11</v>
      </c>
      <c r="I7724">
        <v>171</v>
      </c>
      <c r="J7724">
        <v>1</v>
      </c>
      <c r="K7724">
        <v>63</v>
      </c>
      <c r="L7724">
        <v>223</v>
      </c>
      <c r="M7724">
        <v>1</v>
      </c>
      <c r="N7724">
        <v>1.36163E-14</v>
      </c>
      <c r="O7724">
        <v>186</v>
      </c>
    </row>
    <row r="7725" spans="1:15" x14ac:dyDescent="0.25">
      <c r="A7725" t="s">
        <v>7738</v>
      </c>
      <c r="B7725">
        <v>1637</v>
      </c>
      <c r="C7725" s="1" t="str">
        <f>HYPERLINK("http://www.rosaceae.org/gb/gbrowse/malus_x_domestica/?name=MDP0000217790","MDP0000217790")</f>
        <v>MDP0000217790</v>
      </c>
      <c r="D7725">
        <v>77.94</v>
      </c>
      <c r="E7725">
        <v>1687</v>
      </c>
      <c r="F7725">
        <v>372</v>
      </c>
      <c r="G7725">
        <v>54</v>
      </c>
      <c r="H7725">
        <v>1</v>
      </c>
      <c r="I7725">
        <v>1637</v>
      </c>
      <c r="J7725">
        <v>1</v>
      </c>
      <c r="K7725">
        <v>1</v>
      </c>
      <c r="L7725">
        <v>1683</v>
      </c>
      <c r="M7725">
        <v>1</v>
      </c>
      <c r="N7725">
        <v>0</v>
      </c>
      <c r="O7725">
        <v>6964</v>
      </c>
    </row>
    <row r="7726" spans="1:15" x14ac:dyDescent="0.25">
      <c r="A7726" t="s">
        <v>7739</v>
      </c>
      <c r="B7726">
        <v>370</v>
      </c>
      <c r="C7726" s="1" t="str">
        <f>HYPERLINK("http://www.rosaceae.org/gb/gbrowse/malus_x_domestica/?name=MDP0000613175","MDP0000613175")</f>
        <v>MDP0000613175</v>
      </c>
      <c r="D7726">
        <v>61.42</v>
      </c>
      <c r="E7726">
        <v>350</v>
      </c>
      <c r="F7726">
        <v>135</v>
      </c>
      <c r="G7726">
        <v>21</v>
      </c>
      <c r="H7726">
        <v>39</v>
      </c>
      <c r="I7726">
        <v>370</v>
      </c>
      <c r="J7726">
        <v>1</v>
      </c>
      <c r="K7726">
        <v>149</v>
      </c>
      <c r="L7726">
        <v>495</v>
      </c>
      <c r="M7726">
        <v>1</v>
      </c>
      <c r="N7726">
        <v>5.4059299999999998E-114</v>
      </c>
      <c r="O7726">
        <v>1048</v>
      </c>
    </row>
    <row r="7727" spans="1:15" x14ac:dyDescent="0.25">
      <c r="A7727" t="s">
        <v>7740</v>
      </c>
      <c r="B7727">
        <v>743</v>
      </c>
      <c r="C7727" s="1" t="str">
        <f>HYPERLINK("http://www.rosaceae.org/gb/gbrowse/malus_x_domestica/?name=MDP0000280632","MDP0000280632")</f>
        <v>MDP0000280632</v>
      </c>
      <c r="D7727">
        <v>71.760000000000005</v>
      </c>
      <c r="E7727">
        <v>680</v>
      </c>
      <c r="F7727">
        <v>192</v>
      </c>
      <c r="G7727">
        <v>15</v>
      </c>
      <c r="H7727">
        <v>64</v>
      </c>
      <c r="I7727">
        <v>736</v>
      </c>
      <c r="J7727">
        <v>1</v>
      </c>
      <c r="K7727">
        <v>3</v>
      </c>
      <c r="L7727">
        <v>674</v>
      </c>
      <c r="M7727">
        <v>1</v>
      </c>
      <c r="N7727">
        <v>0</v>
      </c>
      <c r="O7727">
        <v>2528</v>
      </c>
    </row>
    <row r="7728" spans="1:15" x14ac:dyDescent="0.25">
      <c r="A7728" t="s">
        <v>7741</v>
      </c>
      <c r="B7728">
        <v>1072</v>
      </c>
      <c r="C7728" s="1" t="str">
        <f>HYPERLINK("http://www.rosaceae.org/gb/gbrowse/malus_x_domestica/?name=MDP0000686137","MDP0000686137")</f>
        <v>MDP0000686137</v>
      </c>
      <c r="D7728">
        <v>73.959999999999994</v>
      </c>
      <c r="E7728">
        <v>995</v>
      </c>
      <c r="F7728">
        <v>259</v>
      </c>
      <c r="G7728">
        <v>19</v>
      </c>
      <c r="H7728">
        <v>26</v>
      </c>
      <c r="I7728">
        <v>1005</v>
      </c>
      <c r="J7728">
        <v>1</v>
      </c>
      <c r="K7728">
        <v>26</v>
      </c>
      <c r="L7728">
        <v>1016</v>
      </c>
      <c r="M7728">
        <v>1</v>
      </c>
      <c r="N7728">
        <v>0</v>
      </c>
      <c r="O7728">
        <v>3776</v>
      </c>
    </row>
    <row r="7729" spans="1:15" x14ac:dyDescent="0.25">
      <c r="A7729" t="s">
        <v>7742</v>
      </c>
      <c r="B7729">
        <v>666</v>
      </c>
      <c r="C7729" s="1" t="str">
        <f>HYPERLINK("http://www.rosaceae.org/gb/gbrowse/malus_x_domestica/?name=MDP0000578891","MDP0000578891")</f>
        <v>MDP0000578891</v>
      </c>
      <c r="D7729">
        <v>71.739999999999995</v>
      </c>
      <c r="E7729">
        <v>676</v>
      </c>
      <c r="F7729">
        <v>191</v>
      </c>
      <c r="G7729">
        <v>24</v>
      </c>
      <c r="H7729">
        <v>1</v>
      </c>
      <c r="I7729">
        <v>666</v>
      </c>
      <c r="J7729">
        <v>1</v>
      </c>
      <c r="K7729">
        <v>1</v>
      </c>
      <c r="L7729">
        <v>662</v>
      </c>
      <c r="M7729">
        <v>1</v>
      </c>
      <c r="N7729">
        <v>0</v>
      </c>
      <c r="O7729">
        <v>2399</v>
      </c>
    </row>
    <row r="7730" spans="1:15" x14ac:dyDescent="0.25">
      <c r="A7730" t="s">
        <v>7743</v>
      </c>
      <c r="B7730">
        <v>649</v>
      </c>
      <c r="C7730" s="1" t="str">
        <f>HYPERLINK("http://www.rosaceae.org/gb/gbrowse/malus_x_domestica/?name=MDP0000292132","MDP0000292132")</f>
        <v>MDP0000292132</v>
      </c>
      <c r="D7730">
        <v>35.74</v>
      </c>
      <c r="E7730">
        <v>221</v>
      </c>
      <c r="F7730">
        <v>142</v>
      </c>
      <c r="G7730">
        <v>28</v>
      </c>
      <c r="H7730">
        <v>1</v>
      </c>
      <c r="I7730">
        <v>196</v>
      </c>
      <c r="J7730">
        <v>1</v>
      </c>
      <c r="K7730">
        <v>1</v>
      </c>
      <c r="L7730">
        <v>218</v>
      </c>
      <c r="M7730">
        <v>1</v>
      </c>
      <c r="N7730">
        <v>6.22212E-27</v>
      </c>
      <c r="O7730">
        <v>300</v>
      </c>
    </row>
    <row r="7731" spans="1:15" x14ac:dyDescent="0.25">
      <c r="A7731" t="s">
        <v>7744</v>
      </c>
      <c r="B7731">
        <v>155</v>
      </c>
      <c r="C7731" s="1" t="str">
        <f>HYPERLINK("http://www.rosaceae.org/gb/gbrowse/malus_x_domestica/?name=MDP0000137468","MDP0000137468")</f>
        <v>MDP0000137468</v>
      </c>
      <c r="D7731">
        <v>44.7</v>
      </c>
      <c r="E7731">
        <v>85</v>
      </c>
      <c r="F7731">
        <v>47</v>
      </c>
      <c r="G7731">
        <v>28</v>
      </c>
      <c r="H7731">
        <v>4</v>
      </c>
      <c r="I7731">
        <v>60</v>
      </c>
      <c r="J7731">
        <v>1</v>
      </c>
      <c r="K7731">
        <v>6</v>
      </c>
      <c r="L7731">
        <v>90</v>
      </c>
      <c r="M7731">
        <v>1</v>
      </c>
      <c r="N7731">
        <v>2.8653900000000002E-12</v>
      </c>
      <c r="O7731">
        <v>165</v>
      </c>
    </row>
    <row r="7732" spans="1:15" x14ac:dyDescent="0.25">
      <c r="A7732" t="s">
        <v>7745</v>
      </c>
      <c r="B7732">
        <v>470</v>
      </c>
      <c r="C7732" s="1" t="str">
        <f>HYPERLINK("http://www.rosaceae.org/gb/gbrowse/malus_x_domestica/?name=MDP0000304256","MDP0000304256")</f>
        <v>MDP0000304256</v>
      </c>
      <c r="D7732">
        <v>64.13</v>
      </c>
      <c r="E7732">
        <v>368</v>
      </c>
      <c r="F7732">
        <v>132</v>
      </c>
      <c r="G7732">
        <v>20</v>
      </c>
      <c r="H7732">
        <v>37</v>
      </c>
      <c r="I7732">
        <v>404</v>
      </c>
      <c r="J7732">
        <v>1</v>
      </c>
      <c r="K7732">
        <v>13</v>
      </c>
      <c r="L7732">
        <v>360</v>
      </c>
      <c r="M7732">
        <v>1</v>
      </c>
      <c r="N7732">
        <v>9.9270500000000001E-142</v>
      </c>
      <c r="O7732">
        <v>1288</v>
      </c>
    </row>
    <row r="7733" spans="1:15" x14ac:dyDescent="0.25">
      <c r="A7733" t="s">
        <v>7746</v>
      </c>
      <c r="B7733">
        <v>709</v>
      </c>
      <c r="C7733" s="1" t="str">
        <f>HYPERLINK("http://www.rosaceae.org/gb/gbrowse/malus_x_domestica/?name=MDP0000399053","MDP0000399053")</f>
        <v>MDP0000399053</v>
      </c>
      <c r="D7733">
        <v>75.959999999999994</v>
      </c>
      <c r="E7733">
        <v>441</v>
      </c>
      <c r="F7733">
        <v>106</v>
      </c>
      <c r="G7733">
        <v>6</v>
      </c>
      <c r="H7733">
        <v>17</v>
      </c>
      <c r="I7733">
        <v>452</v>
      </c>
      <c r="J7733">
        <v>1</v>
      </c>
      <c r="K7733">
        <v>122</v>
      </c>
      <c r="L7733">
        <v>561</v>
      </c>
      <c r="M7733">
        <v>1</v>
      </c>
      <c r="N7733">
        <v>0</v>
      </c>
      <c r="O7733">
        <v>1801</v>
      </c>
    </row>
    <row r="7734" spans="1:15" x14ac:dyDescent="0.25">
      <c r="A7734" t="s">
        <v>7747</v>
      </c>
      <c r="B7734">
        <v>1255</v>
      </c>
      <c r="C7734" s="1" t="str">
        <f>HYPERLINK("http://www.rosaceae.org/gb/gbrowse/malus_x_domestica/?name=MDP0000247868","MDP0000247868")</f>
        <v>MDP0000247868</v>
      </c>
      <c r="D7734">
        <v>61.6</v>
      </c>
      <c r="E7734">
        <v>1086</v>
      </c>
      <c r="F7734">
        <v>417</v>
      </c>
      <c r="G7734">
        <v>10</v>
      </c>
      <c r="H7734">
        <v>178</v>
      </c>
      <c r="I7734">
        <v>1254</v>
      </c>
      <c r="J7734">
        <v>1</v>
      </c>
      <c r="K7734">
        <v>408</v>
      </c>
      <c r="L7734">
        <v>1492</v>
      </c>
      <c r="M7734">
        <v>1</v>
      </c>
      <c r="N7734">
        <v>0</v>
      </c>
      <c r="O7734">
        <v>3537</v>
      </c>
    </row>
    <row r="7735" spans="1:15" x14ac:dyDescent="0.25">
      <c r="A7735" t="s">
        <v>7748</v>
      </c>
      <c r="B7735">
        <v>1120</v>
      </c>
      <c r="C7735" s="1" t="str">
        <f>HYPERLINK("http://www.rosaceae.org/gb/gbrowse/malus_x_domestica/?name=MDP0000279573","MDP0000279573")</f>
        <v>MDP0000279573</v>
      </c>
      <c r="D7735">
        <v>71.42</v>
      </c>
      <c r="E7735">
        <v>1120</v>
      </c>
      <c r="F7735">
        <v>320</v>
      </c>
      <c r="G7735">
        <v>24</v>
      </c>
      <c r="H7735">
        <v>9</v>
      </c>
      <c r="I7735">
        <v>1120</v>
      </c>
      <c r="J7735">
        <v>1</v>
      </c>
      <c r="K7735">
        <v>38</v>
      </c>
      <c r="L7735">
        <v>1141</v>
      </c>
      <c r="M7735">
        <v>1</v>
      </c>
      <c r="N7735">
        <v>0</v>
      </c>
      <c r="O7735">
        <v>4296</v>
      </c>
    </row>
    <row r="7736" spans="1:15" x14ac:dyDescent="0.25">
      <c r="A7736" t="s">
        <v>7749</v>
      </c>
      <c r="B7736">
        <v>458</v>
      </c>
      <c r="C7736" s="1" t="str">
        <f>HYPERLINK("http://www.rosaceae.org/gb/gbrowse/malus_x_domestica/?name=MDP0000264714","MDP0000264714")</f>
        <v>MDP0000264714</v>
      </c>
      <c r="D7736">
        <v>41.79</v>
      </c>
      <c r="E7736">
        <v>67</v>
      </c>
      <c r="F7736">
        <v>39</v>
      </c>
      <c r="G7736">
        <v>2</v>
      </c>
      <c r="H7736">
        <v>101</v>
      </c>
      <c r="I7736">
        <v>165</v>
      </c>
      <c r="J7736">
        <v>1</v>
      </c>
      <c r="K7736">
        <v>51</v>
      </c>
      <c r="L7736">
        <v>117</v>
      </c>
      <c r="M7736">
        <v>1</v>
      </c>
      <c r="N7736">
        <v>7.8344099999999995E-8</v>
      </c>
      <c r="O7736">
        <v>134</v>
      </c>
    </row>
    <row r="7737" spans="1:15" x14ac:dyDescent="0.25">
      <c r="A7737" t="s">
        <v>7750</v>
      </c>
      <c r="B7737">
        <v>74</v>
      </c>
      <c r="C7737" s="1" t="str">
        <f>HYPERLINK("http://www.rosaceae.org/gb/gbrowse/malus_x_domestica/?name=MDP0000365990","MDP0000365990")</f>
        <v>MDP0000365990</v>
      </c>
      <c r="D7737">
        <v>53.33</v>
      </c>
      <c r="E7737">
        <v>75</v>
      </c>
      <c r="F7737">
        <v>35</v>
      </c>
      <c r="G7737">
        <v>1</v>
      </c>
      <c r="H7737">
        <v>1</v>
      </c>
      <c r="I7737">
        <v>74</v>
      </c>
      <c r="J7737">
        <v>1</v>
      </c>
      <c r="K7737">
        <v>63</v>
      </c>
      <c r="L7737">
        <v>137</v>
      </c>
      <c r="M7737">
        <v>1</v>
      </c>
      <c r="N7737">
        <v>3.8375599999999998E-16</v>
      </c>
      <c r="O7737">
        <v>197</v>
      </c>
    </row>
    <row r="7738" spans="1:15" x14ac:dyDescent="0.25">
      <c r="A7738" t="s">
        <v>7751</v>
      </c>
      <c r="B7738">
        <v>106</v>
      </c>
      <c r="C7738" s="1" t="str">
        <f>HYPERLINK("http://www.rosaceae.org/gb/gbrowse/malus_x_domestica/?name=MDP0000220752","MDP0000220752")</f>
        <v>MDP0000220752</v>
      </c>
      <c r="D7738">
        <v>84.76</v>
      </c>
      <c r="E7738">
        <v>105</v>
      </c>
      <c r="F7738">
        <v>16</v>
      </c>
      <c r="G7738">
        <v>0</v>
      </c>
      <c r="H7738">
        <v>1</v>
      </c>
      <c r="I7738">
        <v>105</v>
      </c>
      <c r="J7738">
        <v>1</v>
      </c>
      <c r="K7738">
        <v>738</v>
      </c>
      <c r="L7738">
        <v>842</v>
      </c>
      <c r="M7738">
        <v>1</v>
      </c>
      <c r="N7738">
        <v>4.1334299999999999E-49</v>
      </c>
      <c r="O7738">
        <v>481</v>
      </c>
    </row>
    <row r="7739" spans="1:15" x14ac:dyDescent="0.25">
      <c r="A7739" t="s">
        <v>7752</v>
      </c>
      <c r="B7739">
        <v>908</v>
      </c>
      <c r="C7739" s="1" t="str">
        <f>HYPERLINK("http://www.rosaceae.org/gb/gbrowse/malus_x_domestica/?name=MDP0000239178","MDP0000239178")</f>
        <v>MDP0000239178</v>
      </c>
      <c r="D7739">
        <v>84.31</v>
      </c>
      <c r="E7739">
        <v>797</v>
      </c>
      <c r="F7739">
        <v>125</v>
      </c>
      <c r="G7739">
        <v>5</v>
      </c>
      <c r="H7739">
        <v>1</v>
      </c>
      <c r="I7739">
        <v>797</v>
      </c>
      <c r="J7739">
        <v>1</v>
      </c>
      <c r="K7739">
        <v>1</v>
      </c>
      <c r="L7739">
        <v>792</v>
      </c>
      <c r="M7739">
        <v>1</v>
      </c>
      <c r="N7739">
        <v>0</v>
      </c>
      <c r="O7739">
        <v>3519</v>
      </c>
    </row>
    <row r="7740" spans="1:15" x14ac:dyDescent="0.25">
      <c r="A7740" t="s">
        <v>7753</v>
      </c>
      <c r="B7740">
        <v>405</v>
      </c>
      <c r="C7740" s="1" t="str">
        <f>HYPERLINK("http://www.rosaceae.org/gb/gbrowse/malus_x_domestica/?name=MDP0000235454","MDP0000235454")</f>
        <v>MDP0000235454</v>
      </c>
      <c r="D7740">
        <v>92.4</v>
      </c>
      <c r="E7740">
        <v>408</v>
      </c>
      <c r="F7740">
        <v>31</v>
      </c>
      <c r="G7740">
        <v>3</v>
      </c>
      <c r="H7740">
        <v>1</v>
      </c>
      <c r="I7740">
        <v>405</v>
      </c>
      <c r="J7740">
        <v>1</v>
      </c>
      <c r="K7740">
        <v>114</v>
      </c>
      <c r="L7740">
        <v>521</v>
      </c>
      <c r="M7740">
        <v>1</v>
      </c>
      <c r="N7740">
        <v>0</v>
      </c>
      <c r="O7740">
        <v>1941</v>
      </c>
    </row>
    <row r="7741" spans="1:15" x14ac:dyDescent="0.25">
      <c r="A7741" t="s">
        <v>7754</v>
      </c>
      <c r="B7741">
        <v>1346</v>
      </c>
      <c r="C7741" s="1" t="str">
        <f>HYPERLINK("http://www.rosaceae.org/gb/gbrowse/malus_x_domestica/?name=MDP0000683891","MDP0000683891")</f>
        <v>MDP0000683891</v>
      </c>
      <c r="D7741">
        <v>69.97</v>
      </c>
      <c r="E7741">
        <v>463</v>
      </c>
      <c r="F7741">
        <v>139</v>
      </c>
      <c r="G7741">
        <v>74</v>
      </c>
      <c r="H7741">
        <v>799</v>
      </c>
      <c r="I7741">
        <v>1261</v>
      </c>
      <c r="J7741">
        <v>1</v>
      </c>
      <c r="K7741">
        <v>167</v>
      </c>
      <c r="L7741">
        <v>555</v>
      </c>
      <c r="M7741">
        <v>1</v>
      </c>
      <c r="N7741">
        <v>1.0951599999999999E-180</v>
      </c>
      <c r="O7741">
        <v>1629</v>
      </c>
    </row>
    <row r="7742" spans="1:15" x14ac:dyDescent="0.25">
      <c r="A7742" t="s">
        <v>7755</v>
      </c>
      <c r="B7742">
        <v>1169</v>
      </c>
      <c r="C7742" s="1" t="str">
        <f>HYPERLINK("http://www.rosaceae.org/gb/gbrowse/malus_x_domestica/?name=MDP0000950885","MDP0000950885")</f>
        <v>MDP0000950885</v>
      </c>
      <c r="D7742">
        <v>76.5</v>
      </c>
      <c r="E7742">
        <v>1162</v>
      </c>
      <c r="F7742">
        <v>273</v>
      </c>
      <c r="G7742">
        <v>35</v>
      </c>
      <c r="H7742">
        <v>42</v>
      </c>
      <c r="I7742">
        <v>1168</v>
      </c>
      <c r="J7742">
        <v>1</v>
      </c>
      <c r="K7742">
        <v>2</v>
      </c>
      <c r="L7742">
        <v>1163</v>
      </c>
      <c r="M7742">
        <v>1</v>
      </c>
      <c r="N7742">
        <v>0</v>
      </c>
      <c r="O7742">
        <v>4690</v>
      </c>
    </row>
    <row r="7743" spans="1:15" x14ac:dyDescent="0.25">
      <c r="A7743" t="s">
        <v>7756</v>
      </c>
      <c r="B7743">
        <v>150</v>
      </c>
      <c r="C7743" s="1" t="str">
        <f>HYPERLINK("http://www.rosaceae.org/gb/gbrowse/malus_x_domestica/?name=MDP0000142574","MDP0000142574")</f>
        <v>MDP0000142574</v>
      </c>
      <c r="D7743">
        <v>64.7</v>
      </c>
      <c r="E7743">
        <v>102</v>
      </c>
      <c r="F7743">
        <v>36</v>
      </c>
      <c r="G7743">
        <v>0</v>
      </c>
      <c r="H7743">
        <v>2</v>
      </c>
      <c r="I7743">
        <v>103</v>
      </c>
      <c r="J7743">
        <v>1</v>
      </c>
      <c r="K7743">
        <v>174</v>
      </c>
      <c r="L7743">
        <v>275</v>
      </c>
      <c r="M7743">
        <v>1</v>
      </c>
      <c r="N7743">
        <v>2.3142600000000002E-34</v>
      </c>
      <c r="O7743">
        <v>356</v>
      </c>
    </row>
    <row r="7744" spans="1:15" x14ac:dyDescent="0.25">
      <c r="A7744" t="s">
        <v>7757</v>
      </c>
      <c r="B7744">
        <v>174</v>
      </c>
      <c r="C7744" s="1" t="str">
        <f>HYPERLINK("http://www.rosaceae.org/gb/gbrowse/malus_x_domestica/?name=MDP0000185853","MDP0000185853")</f>
        <v>MDP0000185853</v>
      </c>
      <c r="D7744">
        <v>36.869999999999997</v>
      </c>
      <c r="E7744">
        <v>160</v>
      </c>
      <c r="F7744">
        <v>101</v>
      </c>
      <c r="G7744">
        <v>21</v>
      </c>
      <c r="H7744">
        <v>31</v>
      </c>
      <c r="I7744">
        <v>172</v>
      </c>
      <c r="J7744">
        <v>1</v>
      </c>
      <c r="K7744">
        <v>33</v>
      </c>
      <c r="L7744">
        <v>189</v>
      </c>
      <c r="M7744">
        <v>1</v>
      </c>
      <c r="N7744">
        <v>7.5978200000000003E-16</v>
      </c>
      <c r="O7744">
        <v>197</v>
      </c>
    </row>
    <row r="7745" spans="1:15" x14ac:dyDescent="0.25">
      <c r="A7745" t="s">
        <v>7758</v>
      </c>
      <c r="B7745">
        <v>797</v>
      </c>
      <c r="C7745" s="1" t="str">
        <f>HYPERLINK("http://www.rosaceae.org/gb/gbrowse/malus_x_domestica/?name=MDP0000212510","MDP0000212510")</f>
        <v>MDP0000212510</v>
      </c>
      <c r="D7745">
        <v>73.27</v>
      </c>
      <c r="E7745">
        <v>726</v>
      </c>
      <c r="F7745">
        <v>194</v>
      </c>
      <c r="G7745">
        <v>3</v>
      </c>
      <c r="H7745">
        <v>58</v>
      </c>
      <c r="I7745">
        <v>783</v>
      </c>
      <c r="J7745">
        <v>1</v>
      </c>
      <c r="K7745">
        <v>1</v>
      </c>
      <c r="L7745">
        <v>723</v>
      </c>
      <c r="M7745">
        <v>1</v>
      </c>
      <c r="N7745">
        <v>0</v>
      </c>
      <c r="O7745">
        <v>2702</v>
      </c>
    </row>
    <row r="7746" spans="1:15" x14ac:dyDescent="0.25">
      <c r="A7746" t="s">
        <v>7759</v>
      </c>
      <c r="B7746">
        <v>215</v>
      </c>
      <c r="C7746" s="1" t="str">
        <f>HYPERLINK("http://www.rosaceae.org/gb/gbrowse/malus_x_domestica/?name=MDP0000781712","MDP0000781712")</f>
        <v>MDP0000781712</v>
      </c>
      <c r="D7746">
        <v>61.98</v>
      </c>
      <c r="E7746">
        <v>121</v>
      </c>
      <c r="F7746">
        <v>46</v>
      </c>
      <c r="G7746">
        <v>13</v>
      </c>
      <c r="H7746">
        <v>95</v>
      </c>
      <c r="I7746">
        <v>215</v>
      </c>
      <c r="J7746">
        <v>1</v>
      </c>
      <c r="K7746">
        <v>62</v>
      </c>
      <c r="L7746">
        <v>169</v>
      </c>
      <c r="M7746">
        <v>1</v>
      </c>
      <c r="N7746">
        <v>2.7830599999999999E-34</v>
      </c>
      <c r="O7746">
        <v>358</v>
      </c>
    </row>
    <row r="7747" spans="1:15" x14ac:dyDescent="0.25">
      <c r="A7747" t="s">
        <v>7760</v>
      </c>
      <c r="B7747">
        <v>298</v>
      </c>
      <c r="C7747" s="1" t="str">
        <f>HYPERLINK("http://www.rosaceae.org/gb/gbrowse/malus_x_domestica/?name=MDP0000435722","MDP0000435722")</f>
        <v>MDP0000435722</v>
      </c>
      <c r="D7747">
        <v>53.72</v>
      </c>
      <c r="E7747">
        <v>309</v>
      </c>
      <c r="F7747">
        <v>143</v>
      </c>
      <c r="G7747">
        <v>61</v>
      </c>
      <c r="H7747">
        <v>1</v>
      </c>
      <c r="I7747">
        <v>286</v>
      </c>
      <c r="J7747">
        <v>1</v>
      </c>
      <c r="K7747">
        <v>1</v>
      </c>
      <c r="L7747">
        <v>271</v>
      </c>
      <c r="M7747">
        <v>1</v>
      </c>
      <c r="N7747">
        <v>2.70088E-65</v>
      </c>
      <c r="O7747">
        <v>627</v>
      </c>
    </row>
    <row r="7748" spans="1:15" x14ac:dyDescent="0.25">
      <c r="A7748" t="s">
        <v>7761</v>
      </c>
      <c r="B7748">
        <v>779</v>
      </c>
      <c r="C7748" s="1" t="str">
        <f>HYPERLINK("http://www.rosaceae.org/gb/gbrowse/malus_x_domestica/?name=MDP0000309799","MDP0000309799")</f>
        <v>MDP0000309799</v>
      </c>
      <c r="D7748">
        <v>42.68</v>
      </c>
      <c r="E7748">
        <v>813</v>
      </c>
      <c r="F7748">
        <v>466</v>
      </c>
      <c r="G7748">
        <v>47</v>
      </c>
      <c r="H7748">
        <v>5</v>
      </c>
      <c r="I7748">
        <v>779</v>
      </c>
      <c r="J7748">
        <v>1</v>
      </c>
      <c r="K7748">
        <v>30</v>
      </c>
      <c r="L7748">
        <v>833</v>
      </c>
      <c r="M7748">
        <v>1</v>
      </c>
      <c r="N7748">
        <v>2.5816199999999999E-162</v>
      </c>
      <c r="O7748">
        <v>1468</v>
      </c>
    </row>
    <row r="7749" spans="1:15" x14ac:dyDescent="0.25">
      <c r="A7749" t="s">
        <v>7762</v>
      </c>
      <c r="B7749">
        <v>366</v>
      </c>
      <c r="C7749" s="1" t="str">
        <f>HYPERLINK("http://www.rosaceae.org/gb/gbrowse/malus_x_domestica/?name=MDP0000500222","MDP0000500222")</f>
        <v>MDP0000500222</v>
      </c>
      <c r="D7749">
        <v>33.11</v>
      </c>
      <c r="E7749">
        <v>299</v>
      </c>
      <c r="F7749">
        <v>200</v>
      </c>
      <c r="G7749">
        <v>24</v>
      </c>
      <c r="H7749">
        <v>8</v>
      </c>
      <c r="I7749">
        <v>296</v>
      </c>
      <c r="J7749">
        <v>1</v>
      </c>
      <c r="K7749">
        <v>73</v>
      </c>
      <c r="L7749">
        <v>357</v>
      </c>
      <c r="M7749">
        <v>1</v>
      </c>
      <c r="N7749">
        <v>1.5854900000000002E-33</v>
      </c>
      <c r="O7749">
        <v>354</v>
      </c>
    </row>
    <row r="7750" spans="1:15" x14ac:dyDescent="0.25">
      <c r="A7750" t="s">
        <v>7763</v>
      </c>
      <c r="B7750">
        <v>143</v>
      </c>
      <c r="C7750" s="1" t="str">
        <f>HYPERLINK("http://www.rosaceae.org/gb/gbrowse/malus_x_domestica/?name=MDP0000406918","MDP0000406918")</f>
        <v>MDP0000406918</v>
      </c>
      <c r="D7750">
        <v>65.3</v>
      </c>
      <c r="E7750">
        <v>147</v>
      </c>
      <c r="F7750">
        <v>51</v>
      </c>
      <c r="G7750">
        <v>12</v>
      </c>
      <c r="H7750">
        <v>1</v>
      </c>
      <c r="I7750">
        <v>139</v>
      </c>
      <c r="J7750">
        <v>1</v>
      </c>
      <c r="K7750">
        <v>112</v>
      </c>
      <c r="L7750">
        <v>254</v>
      </c>
      <c r="M7750">
        <v>1</v>
      </c>
      <c r="N7750">
        <v>2.1018999999999999E-45</v>
      </c>
      <c r="O7750">
        <v>451</v>
      </c>
    </row>
    <row r="7751" spans="1:15" x14ac:dyDescent="0.25">
      <c r="A7751" t="s">
        <v>7764</v>
      </c>
      <c r="B7751">
        <v>375</v>
      </c>
      <c r="C7751" s="1" t="str">
        <f>HYPERLINK("http://www.rosaceae.org/gb/gbrowse/malus_x_domestica/?name=MDP0000136940","MDP0000136940")</f>
        <v>MDP0000136940</v>
      </c>
      <c r="D7751">
        <v>66.28</v>
      </c>
      <c r="E7751">
        <v>353</v>
      </c>
      <c r="F7751">
        <v>119</v>
      </c>
      <c r="G7751">
        <v>2</v>
      </c>
      <c r="H7751">
        <v>4</v>
      </c>
      <c r="I7751">
        <v>356</v>
      </c>
      <c r="J7751">
        <v>1</v>
      </c>
      <c r="K7751">
        <v>19</v>
      </c>
      <c r="L7751">
        <v>369</v>
      </c>
      <c r="M7751">
        <v>1</v>
      </c>
      <c r="N7751">
        <v>1.03035E-140</v>
      </c>
      <c r="O7751">
        <v>1279</v>
      </c>
    </row>
    <row r="7752" spans="1:15" x14ac:dyDescent="0.25">
      <c r="A7752" t="s">
        <v>7765</v>
      </c>
      <c r="B7752">
        <v>391</v>
      </c>
      <c r="C7752" s="1" t="str">
        <f>HYPERLINK("http://www.rosaceae.org/gb/gbrowse/malus_x_domestica/?name=MDP0000195881","MDP0000195881")</f>
        <v>MDP0000195881</v>
      </c>
      <c r="D7752">
        <v>72.819999999999993</v>
      </c>
      <c r="E7752">
        <v>287</v>
      </c>
      <c r="F7752">
        <v>78</v>
      </c>
      <c r="G7752">
        <v>20</v>
      </c>
      <c r="H7752">
        <v>69</v>
      </c>
      <c r="I7752">
        <v>351</v>
      </c>
      <c r="J7752">
        <v>1</v>
      </c>
      <c r="K7752">
        <v>1</v>
      </c>
      <c r="L7752">
        <v>271</v>
      </c>
      <c r="M7752">
        <v>1</v>
      </c>
      <c r="N7752">
        <v>4.4594200000000003E-120</v>
      </c>
      <c r="O7752">
        <v>1101</v>
      </c>
    </row>
    <row r="7753" spans="1:15" x14ac:dyDescent="0.25">
      <c r="A7753" t="s">
        <v>7766</v>
      </c>
      <c r="B7753">
        <v>649</v>
      </c>
      <c r="C7753" s="1" t="str">
        <f>HYPERLINK("http://www.rosaceae.org/gb/gbrowse/malus_x_domestica/?name=MDP0000278359","MDP0000278359")</f>
        <v>MDP0000278359</v>
      </c>
      <c r="D7753">
        <v>61.06</v>
      </c>
      <c r="E7753">
        <v>696</v>
      </c>
      <c r="F7753">
        <v>271</v>
      </c>
      <c r="G7753">
        <v>63</v>
      </c>
      <c r="H7753">
        <v>15</v>
      </c>
      <c r="I7753">
        <v>649</v>
      </c>
      <c r="J7753">
        <v>1</v>
      </c>
      <c r="K7753">
        <v>15</v>
      </c>
      <c r="L7753">
        <v>708</v>
      </c>
      <c r="M7753">
        <v>1</v>
      </c>
      <c r="N7753">
        <v>0</v>
      </c>
      <c r="O7753">
        <v>2065</v>
      </c>
    </row>
    <row r="7754" spans="1:15" x14ac:dyDescent="0.25">
      <c r="A7754" t="s">
        <v>7767</v>
      </c>
      <c r="B7754">
        <v>197</v>
      </c>
      <c r="C7754" s="1" t="str">
        <f>HYPERLINK("http://www.rosaceae.org/gb/gbrowse/malus_x_domestica/?name=MDP0000295959","MDP0000295959")</f>
        <v>MDP0000295959</v>
      </c>
      <c r="D7754">
        <v>65.45</v>
      </c>
      <c r="E7754">
        <v>55</v>
      </c>
      <c r="F7754">
        <v>19</v>
      </c>
      <c r="G7754">
        <v>0</v>
      </c>
      <c r="H7754">
        <v>101</v>
      </c>
      <c r="I7754">
        <v>155</v>
      </c>
      <c r="J7754">
        <v>1</v>
      </c>
      <c r="K7754">
        <v>76</v>
      </c>
      <c r="L7754">
        <v>130</v>
      </c>
      <c r="M7754">
        <v>1</v>
      </c>
      <c r="N7754">
        <v>1.2931600000000001E-14</v>
      </c>
      <c r="O7754">
        <v>187</v>
      </c>
    </row>
    <row r="7755" spans="1:15" x14ac:dyDescent="0.25">
      <c r="A7755" t="s">
        <v>7768</v>
      </c>
      <c r="B7755">
        <v>137</v>
      </c>
      <c r="C7755" s="1" t="str">
        <f>HYPERLINK("http://www.rosaceae.org/gb/gbrowse/malus_x_domestica/?name=MDP0000498761","MDP0000498761")</f>
        <v>MDP0000498761</v>
      </c>
      <c r="D7755">
        <v>79.56</v>
      </c>
      <c r="E7755">
        <v>137</v>
      </c>
      <c r="F7755">
        <v>28</v>
      </c>
      <c r="G7755">
        <v>0</v>
      </c>
      <c r="H7755">
        <v>1</v>
      </c>
      <c r="I7755">
        <v>137</v>
      </c>
      <c r="J7755">
        <v>1</v>
      </c>
      <c r="K7755">
        <v>1</v>
      </c>
      <c r="L7755">
        <v>137</v>
      </c>
      <c r="M7755">
        <v>1</v>
      </c>
      <c r="N7755">
        <v>1.6426500000000001E-55</v>
      </c>
      <c r="O7755">
        <v>537</v>
      </c>
    </row>
    <row r="7756" spans="1:15" x14ac:dyDescent="0.25">
      <c r="A7756" t="s">
        <v>7769</v>
      </c>
      <c r="B7756">
        <v>481</v>
      </c>
      <c r="C7756" s="1" t="str">
        <f>HYPERLINK("http://www.rosaceae.org/gb/gbrowse/malus_x_domestica/?name=MDP0000749280","MDP0000749280")</f>
        <v>MDP0000749280</v>
      </c>
      <c r="D7756">
        <v>90.36</v>
      </c>
      <c r="E7756">
        <v>467</v>
      </c>
      <c r="F7756">
        <v>45</v>
      </c>
      <c r="G7756">
        <v>3</v>
      </c>
      <c r="H7756">
        <v>1</v>
      </c>
      <c r="I7756">
        <v>466</v>
      </c>
      <c r="J7756">
        <v>1</v>
      </c>
      <c r="K7756">
        <v>371</v>
      </c>
      <c r="L7756">
        <v>835</v>
      </c>
      <c r="M7756">
        <v>1</v>
      </c>
      <c r="N7756">
        <v>0</v>
      </c>
      <c r="O7756">
        <v>2261</v>
      </c>
    </row>
    <row r="7757" spans="1:15" x14ac:dyDescent="0.25">
      <c r="A7757" t="s">
        <v>7770</v>
      </c>
      <c r="B7757">
        <v>242</v>
      </c>
      <c r="C7757" s="1" t="str">
        <f>HYPERLINK("http://www.rosaceae.org/gb/gbrowse/malus_x_domestica/?name=MDP0000205440","MDP0000205440")</f>
        <v>MDP0000205440</v>
      </c>
      <c r="D7757">
        <v>35.22</v>
      </c>
      <c r="E7757">
        <v>247</v>
      </c>
      <c r="F7757">
        <v>160</v>
      </c>
      <c r="G7757">
        <v>52</v>
      </c>
      <c r="H7757">
        <v>21</v>
      </c>
      <c r="I7757">
        <v>236</v>
      </c>
      <c r="J7757">
        <v>1</v>
      </c>
      <c r="K7757">
        <v>36</v>
      </c>
      <c r="L7757">
        <v>261</v>
      </c>
      <c r="M7757">
        <v>1</v>
      </c>
      <c r="N7757">
        <v>1.4516800000000001E-20</v>
      </c>
      <c r="O7757">
        <v>240</v>
      </c>
    </row>
    <row r="7758" spans="1:15" x14ac:dyDescent="0.25">
      <c r="A7758" t="s">
        <v>7771</v>
      </c>
      <c r="B7758">
        <v>358</v>
      </c>
      <c r="C7758" s="1" t="str">
        <f>HYPERLINK("http://www.rosaceae.org/gb/gbrowse/malus_x_domestica/?name=MDP0000148104","MDP0000148104")</f>
        <v>MDP0000148104</v>
      </c>
      <c r="D7758">
        <v>68.78</v>
      </c>
      <c r="E7758">
        <v>330</v>
      </c>
      <c r="F7758">
        <v>103</v>
      </c>
      <c r="G7758">
        <v>11</v>
      </c>
      <c r="H7758">
        <v>26</v>
      </c>
      <c r="I7758">
        <v>346</v>
      </c>
      <c r="J7758">
        <v>1</v>
      </c>
      <c r="K7758">
        <v>34</v>
      </c>
      <c r="L7758">
        <v>361</v>
      </c>
      <c r="M7758">
        <v>1</v>
      </c>
      <c r="N7758">
        <v>8.6278000000000002E-126</v>
      </c>
      <c r="O7758">
        <v>1150</v>
      </c>
    </row>
    <row r="7759" spans="1:15" x14ac:dyDescent="0.25">
      <c r="A7759" t="s">
        <v>7772</v>
      </c>
      <c r="B7759">
        <v>218</v>
      </c>
      <c r="C7759" s="1" t="str">
        <f>HYPERLINK("http://www.rosaceae.org/gb/gbrowse/malus_x_domestica/?name=MDP0000255057","MDP0000255057")</f>
        <v>MDP0000255057</v>
      </c>
      <c r="D7759">
        <v>69.78</v>
      </c>
      <c r="E7759">
        <v>139</v>
      </c>
      <c r="F7759">
        <v>42</v>
      </c>
      <c r="G7759">
        <v>0</v>
      </c>
      <c r="H7759">
        <v>11</v>
      </c>
      <c r="I7759">
        <v>149</v>
      </c>
      <c r="J7759">
        <v>1</v>
      </c>
      <c r="K7759">
        <v>618</v>
      </c>
      <c r="L7759">
        <v>756</v>
      </c>
      <c r="M7759">
        <v>1</v>
      </c>
      <c r="N7759">
        <v>6.4318500000000003E-53</v>
      </c>
      <c r="O7759">
        <v>518</v>
      </c>
    </row>
    <row r="7760" spans="1:15" x14ac:dyDescent="0.25">
      <c r="A7760" t="s">
        <v>7773</v>
      </c>
      <c r="B7760">
        <v>2124</v>
      </c>
      <c r="C7760" s="1" t="str">
        <f>HYPERLINK("http://www.rosaceae.org/gb/gbrowse/malus_x_domestica/?name=MDP0000233173","MDP0000233173")</f>
        <v>MDP0000233173</v>
      </c>
      <c r="D7760">
        <v>43.63</v>
      </c>
      <c r="E7760">
        <v>1476</v>
      </c>
      <c r="F7760">
        <v>832</v>
      </c>
      <c r="G7760">
        <v>81</v>
      </c>
      <c r="H7760">
        <v>77</v>
      </c>
      <c r="I7760">
        <v>1508</v>
      </c>
      <c r="J7760">
        <v>1</v>
      </c>
      <c r="K7760">
        <v>59</v>
      </c>
      <c r="L7760">
        <v>1497</v>
      </c>
      <c r="M7760">
        <v>1</v>
      </c>
      <c r="N7760">
        <v>0</v>
      </c>
      <c r="O7760">
        <v>2755</v>
      </c>
    </row>
    <row r="7761" spans="1:15" x14ac:dyDescent="0.25">
      <c r="A7761" t="s">
        <v>7774</v>
      </c>
      <c r="B7761">
        <v>694</v>
      </c>
      <c r="C7761" s="1" t="str">
        <f>HYPERLINK("http://www.rosaceae.org/gb/gbrowse/malus_x_domestica/?name=MDP0000277205","MDP0000277205")</f>
        <v>MDP0000277205</v>
      </c>
      <c r="D7761">
        <v>74.47</v>
      </c>
      <c r="E7761">
        <v>670</v>
      </c>
      <c r="F7761">
        <v>171</v>
      </c>
      <c r="G7761">
        <v>2</v>
      </c>
      <c r="H7761">
        <v>7</v>
      </c>
      <c r="I7761">
        <v>674</v>
      </c>
      <c r="J7761">
        <v>1</v>
      </c>
      <c r="K7761">
        <v>43</v>
      </c>
      <c r="L7761">
        <v>712</v>
      </c>
      <c r="M7761">
        <v>1</v>
      </c>
      <c r="N7761">
        <v>0</v>
      </c>
      <c r="O7761">
        <v>2742</v>
      </c>
    </row>
    <row r="7762" spans="1:15" x14ac:dyDescent="0.25">
      <c r="A7762" t="s">
        <v>7775</v>
      </c>
      <c r="B7762">
        <v>379</v>
      </c>
      <c r="C7762" s="1" t="str">
        <f>HYPERLINK("http://www.rosaceae.org/gb/gbrowse/malus_x_domestica/?name=MDP0000189837","MDP0000189837")</f>
        <v>MDP0000189837</v>
      </c>
      <c r="D7762">
        <v>72.13</v>
      </c>
      <c r="E7762">
        <v>402</v>
      </c>
      <c r="F7762">
        <v>112</v>
      </c>
      <c r="G7762">
        <v>25</v>
      </c>
      <c r="H7762">
        <v>1</v>
      </c>
      <c r="I7762">
        <v>379</v>
      </c>
      <c r="J7762">
        <v>1</v>
      </c>
      <c r="K7762">
        <v>7</v>
      </c>
      <c r="L7762">
        <v>406</v>
      </c>
      <c r="M7762">
        <v>1</v>
      </c>
      <c r="N7762">
        <v>1.9070999999999999E-168</v>
      </c>
      <c r="O7762">
        <v>1518</v>
      </c>
    </row>
    <row r="7763" spans="1:15" x14ac:dyDescent="0.25">
      <c r="A7763" t="s">
        <v>7776</v>
      </c>
      <c r="B7763">
        <v>415</v>
      </c>
      <c r="C7763" s="1" t="str">
        <f>HYPERLINK("http://www.rosaceae.org/gb/gbrowse/malus_x_domestica/?name=MDP0000201070","MDP0000201070")</f>
        <v>MDP0000201070</v>
      </c>
      <c r="D7763">
        <v>28.4</v>
      </c>
      <c r="E7763">
        <v>426</v>
      </c>
      <c r="F7763">
        <v>305</v>
      </c>
      <c r="G7763">
        <v>73</v>
      </c>
      <c r="H7763">
        <v>35</v>
      </c>
      <c r="I7763">
        <v>405</v>
      </c>
      <c r="J7763">
        <v>1</v>
      </c>
      <c r="K7763">
        <v>25</v>
      </c>
      <c r="L7763">
        <v>432</v>
      </c>
      <c r="M7763">
        <v>1</v>
      </c>
      <c r="N7763">
        <v>1.8190800000000001E-42</v>
      </c>
      <c r="O7763">
        <v>432</v>
      </c>
    </row>
    <row r="7764" spans="1:15" x14ac:dyDescent="0.25">
      <c r="A7764" t="s">
        <v>7777</v>
      </c>
      <c r="B7764">
        <v>140</v>
      </c>
      <c r="C7764" s="1" t="str">
        <f>HYPERLINK("http://www.rosaceae.org/gb/gbrowse/malus_x_domestica/?name=MDP0000322229","MDP0000322229")</f>
        <v>MDP0000322229</v>
      </c>
      <c r="D7764">
        <v>75.900000000000006</v>
      </c>
      <c r="E7764">
        <v>83</v>
      </c>
      <c r="F7764">
        <v>20</v>
      </c>
      <c r="G7764">
        <v>0</v>
      </c>
      <c r="H7764">
        <v>58</v>
      </c>
      <c r="I7764">
        <v>140</v>
      </c>
      <c r="J7764">
        <v>1</v>
      </c>
      <c r="K7764">
        <v>90</v>
      </c>
      <c r="L7764">
        <v>172</v>
      </c>
      <c r="M7764">
        <v>1</v>
      </c>
      <c r="N7764">
        <v>1.0011299999999999E-30</v>
      </c>
      <c r="O7764">
        <v>324</v>
      </c>
    </row>
    <row r="7765" spans="1:15" x14ac:dyDescent="0.25">
      <c r="A7765" t="s">
        <v>7778</v>
      </c>
      <c r="B7765">
        <v>251</v>
      </c>
      <c r="C7765" s="1" t="str">
        <f>HYPERLINK("http://www.rosaceae.org/gb/gbrowse/malus_x_domestica/?name=MDP0000315352","MDP0000315352")</f>
        <v>MDP0000315352</v>
      </c>
      <c r="D7765">
        <v>80.47</v>
      </c>
      <c r="E7765">
        <v>251</v>
      </c>
      <c r="F7765">
        <v>49</v>
      </c>
      <c r="G7765">
        <v>3</v>
      </c>
      <c r="H7765">
        <v>1</v>
      </c>
      <c r="I7765">
        <v>251</v>
      </c>
      <c r="J7765">
        <v>1</v>
      </c>
      <c r="K7765">
        <v>687</v>
      </c>
      <c r="L7765">
        <v>934</v>
      </c>
      <c r="M7765">
        <v>1</v>
      </c>
      <c r="N7765">
        <v>6.6226800000000002E-121</v>
      </c>
      <c r="O7765">
        <v>1106</v>
      </c>
    </row>
    <row r="7766" spans="1:15" x14ac:dyDescent="0.25">
      <c r="A7766" t="s">
        <v>7779</v>
      </c>
      <c r="B7766">
        <v>226</v>
      </c>
      <c r="C7766" s="1" t="str">
        <f>HYPERLINK("http://www.rosaceae.org/gb/gbrowse/malus_x_domestica/?name=MDP0000259898","MDP0000259898")</f>
        <v>MDP0000259898</v>
      </c>
      <c r="D7766">
        <v>84.11</v>
      </c>
      <c r="E7766">
        <v>214</v>
      </c>
      <c r="F7766">
        <v>34</v>
      </c>
      <c r="G7766">
        <v>7</v>
      </c>
      <c r="H7766">
        <v>20</v>
      </c>
      <c r="I7766">
        <v>226</v>
      </c>
      <c r="J7766">
        <v>1</v>
      </c>
      <c r="K7766">
        <v>325</v>
      </c>
      <c r="L7766">
        <v>538</v>
      </c>
      <c r="M7766">
        <v>1</v>
      </c>
      <c r="N7766">
        <v>2.08133E-100</v>
      </c>
      <c r="O7766">
        <v>928</v>
      </c>
    </row>
    <row r="7767" spans="1:15" x14ac:dyDescent="0.25">
      <c r="A7767" t="s">
        <v>7780</v>
      </c>
      <c r="B7767">
        <v>740</v>
      </c>
      <c r="C7767" s="1" t="str">
        <f>HYPERLINK("http://www.rosaceae.org/gb/gbrowse/malus_x_domestica/?name=MDP0000932374","MDP0000932374")</f>
        <v>MDP0000932374</v>
      </c>
      <c r="D7767">
        <v>64.81</v>
      </c>
      <c r="E7767">
        <v>415</v>
      </c>
      <c r="F7767">
        <v>146</v>
      </c>
      <c r="G7767">
        <v>11</v>
      </c>
      <c r="H7767">
        <v>337</v>
      </c>
      <c r="I7767">
        <v>740</v>
      </c>
      <c r="J7767">
        <v>1</v>
      </c>
      <c r="K7767">
        <v>1</v>
      </c>
      <c r="L7767">
        <v>415</v>
      </c>
      <c r="M7767">
        <v>1</v>
      </c>
      <c r="N7767">
        <v>2.1016199999999999E-146</v>
      </c>
      <c r="O7767">
        <v>1331</v>
      </c>
    </row>
    <row r="7768" spans="1:15" x14ac:dyDescent="0.25">
      <c r="A7768" t="s">
        <v>7781</v>
      </c>
      <c r="B7768">
        <v>281</v>
      </c>
      <c r="C7768" s="1" t="str">
        <f>HYPERLINK("http://www.rosaceae.org/gb/gbrowse/malus_x_domestica/?name=MDP0000137234","MDP0000137234")</f>
        <v>MDP0000137234</v>
      </c>
      <c r="D7768">
        <v>84.96</v>
      </c>
      <c r="E7768">
        <v>306</v>
      </c>
      <c r="F7768">
        <v>46</v>
      </c>
      <c r="G7768">
        <v>25</v>
      </c>
      <c r="H7768">
        <v>1</v>
      </c>
      <c r="I7768">
        <v>281</v>
      </c>
      <c r="J7768">
        <v>1</v>
      </c>
      <c r="K7768">
        <v>1</v>
      </c>
      <c r="L7768">
        <v>306</v>
      </c>
      <c r="M7768">
        <v>1</v>
      </c>
      <c r="N7768">
        <v>3.5109699999999998E-144</v>
      </c>
      <c r="O7768">
        <v>1307</v>
      </c>
    </row>
    <row r="7769" spans="1:15" x14ac:dyDescent="0.25">
      <c r="A7769" t="s">
        <v>7782</v>
      </c>
      <c r="B7769">
        <v>131</v>
      </c>
      <c r="C7769" s="1" t="str">
        <f>HYPERLINK("http://www.rosaceae.org/gb/gbrowse/malus_x_domestica/?name=MDP0000071677","MDP0000071677")</f>
        <v>MDP0000071677</v>
      </c>
      <c r="D7769">
        <v>59.52</v>
      </c>
      <c r="E7769">
        <v>126</v>
      </c>
      <c r="F7769">
        <v>51</v>
      </c>
      <c r="G7769">
        <v>0</v>
      </c>
      <c r="H7769">
        <v>1</v>
      </c>
      <c r="I7769">
        <v>126</v>
      </c>
      <c r="J7769">
        <v>1</v>
      </c>
      <c r="K7769">
        <v>1</v>
      </c>
      <c r="L7769">
        <v>126</v>
      </c>
      <c r="M7769">
        <v>1</v>
      </c>
      <c r="N7769">
        <v>1.4665100000000001E-39</v>
      </c>
      <c r="O7769">
        <v>399</v>
      </c>
    </row>
    <row r="7770" spans="1:15" x14ac:dyDescent="0.25">
      <c r="A7770" t="s">
        <v>7783</v>
      </c>
      <c r="B7770">
        <v>768</v>
      </c>
      <c r="C7770" s="1" t="str">
        <f>HYPERLINK("http://www.rosaceae.org/gb/gbrowse/malus_x_domestica/?name=MDP0000281525","MDP0000281525")</f>
        <v>MDP0000281525</v>
      </c>
      <c r="D7770">
        <v>67.650000000000006</v>
      </c>
      <c r="E7770">
        <v>745</v>
      </c>
      <c r="F7770">
        <v>241</v>
      </c>
      <c r="G7770">
        <v>61</v>
      </c>
      <c r="H7770">
        <v>2</v>
      </c>
      <c r="I7770">
        <v>694</v>
      </c>
      <c r="J7770">
        <v>1</v>
      </c>
      <c r="K7770">
        <v>1</v>
      </c>
      <c r="L7770">
        <v>736</v>
      </c>
      <c r="M7770">
        <v>1</v>
      </c>
      <c r="N7770">
        <v>0</v>
      </c>
      <c r="O7770">
        <v>2544</v>
      </c>
    </row>
    <row r="7771" spans="1:15" x14ac:dyDescent="0.25">
      <c r="A7771" t="s">
        <v>7784</v>
      </c>
      <c r="B7771">
        <v>353</v>
      </c>
      <c r="C7771" s="1" t="str">
        <f>HYPERLINK("http://www.rosaceae.org/gb/gbrowse/malus_x_domestica/?name=MDP0000504527","MDP0000504527")</f>
        <v>MDP0000504527</v>
      </c>
      <c r="D7771">
        <v>70.33</v>
      </c>
      <c r="E7771">
        <v>300</v>
      </c>
      <c r="F7771">
        <v>89</v>
      </c>
      <c r="G7771">
        <v>11</v>
      </c>
      <c r="H7771">
        <v>65</v>
      </c>
      <c r="I7771">
        <v>353</v>
      </c>
      <c r="J7771">
        <v>1</v>
      </c>
      <c r="K7771">
        <v>208</v>
      </c>
      <c r="L7771">
        <v>507</v>
      </c>
      <c r="M7771">
        <v>1</v>
      </c>
      <c r="N7771">
        <v>1.2950500000000001E-121</v>
      </c>
      <c r="O7771">
        <v>1114</v>
      </c>
    </row>
    <row r="7772" spans="1:15" x14ac:dyDescent="0.25">
      <c r="A7772" t="s">
        <v>7785</v>
      </c>
      <c r="B7772">
        <v>616</v>
      </c>
      <c r="C7772" s="1" t="str">
        <f>HYPERLINK("http://www.rosaceae.org/gb/gbrowse/malus_x_domestica/?name=MDP0000207982","MDP0000207982")</f>
        <v>MDP0000207982</v>
      </c>
      <c r="D7772">
        <v>69.61</v>
      </c>
      <c r="E7772">
        <v>181</v>
      </c>
      <c r="F7772">
        <v>55</v>
      </c>
      <c r="G7772">
        <v>11</v>
      </c>
      <c r="H7772">
        <v>254</v>
      </c>
      <c r="I7772">
        <v>431</v>
      </c>
      <c r="J7772">
        <v>1</v>
      </c>
      <c r="K7772">
        <v>261</v>
      </c>
      <c r="L7772">
        <v>433</v>
      </c>
      <c r="M7772">
        <v>1</v>
      </c>
      <c r="N7772">
        <v>7.0399399999999998E-65</v>
      </c>
      <c r="O7772">
        <v>627</v>
      </c>
    </row>
    <row r="7773" spans="1:15" x14ac:dyDescent="0.25">
      <c r="A7773" t="s">
        <v>7786</v>
      </c>
      <c r="B7773">
        <v>298</v>
      </c>
      <c r="C7773" s="1" t="str">
        <f>HYPERLINK("http://www.rosaceae.org/gb/gbrowse/malus_x_domestica/?name=MDP0000189755","MDP0000189755")</f>
        <v>MDP0000189755</v>
      </c>
      <c r="D7773">
        <v>54.5</v>
      </c>
      <c r="E7773">
        <v>255</v>
      </c>
      <c r="F7773">
        <v>116</v>
      </c>
      <c r="G7773">
        <v>7</v>
      </c>
      <c r="H7773">
        <v>47</v>
      </c>
      <c r="I7773">
        <v>294</v>
      </c>
      <c r="J7773">
        <v>1</v>
      </c>
      <c r="K7773">
        <v>187</v>
      </c>
      <c r="L7773">
        <v>441</v>
      </c>
      <c r="M7773">
        <v>1</v>
      </c>
      <c r="N7773">
        <v>3.7545899999999999E-80</v>
      </c>
      <c r="O7773">
        <v>755</v>
      </c>
    </row>
    <row r="7774" spans="1:15" x14ac:dyDescent="0.25">
      <c r="A7774" t="s">
        <v>7787</v>
      </c>
      <c r="B7774">
        <v>316</v>
      </c>
      <c r="C7774" s="1" t="str">
        <f>HYPERLINK("http://www.rosaceae.org/gb/gbrowse/malus_x_domestica/?name=MDP0000509183","MDP0000509183")</f>
        <v>MDP0000509183</v>
      </c>
      <c r="D7774">
        <v>77.25</v>
      </c>
      <c r="E7774">
        <v>299</v>
      </c>
      <c r="F7774">
        <v>68</v>
      </c>
      <c r="G7774">
        <v>3</v>
      </c>
      <c r="H7774">
        <v>21</v>
      </c>
      <c r="I7774">
        <v>316</v>
      </c>
      <c r="J7774">
        <v>1</v>
      </c>
      <c r="K7774">
        <v>678</v>
      </c>
      <c r="L7774">
        <v>976</v>
      </c>
      <c r="M7774">
        <v>1</v>
      </c>
      <c r="N7774">
        <v>1.4736799999999999E-128</v>
      </c>
      <c r="O7774">
        <v>1173</v>
      </c>
    </row>
    <row r="7775" spans="1:15" x14ac:dyDescent="0.25">
      <c r="A7775" t="s">
        <v>7788</v>
      </c>
      <c r="B7775">
        <v>565</v>
      </c>
      <c r="C7775" s="1" t="str">
        <f>HYPERLINK("http://www.rosaceae.org/gb/gbrowse/malus_x_domestica/?name=MDP0000184563","MDP0000184563")</f>
        <v>MDP0000184563</v>
      </c>
      <c r="D7775">
        <v>78.11</v>
      </c>
      <c r="E7775">
        <v>466</v>
      </c>
      <c r="F7775">
        <v>102</v>
      </c>
      <c r="G7775">
        <v>33</v>
      </c>
      <c r="H7775">
        <v>37</v>
      </c>
      <c r="I7775">
        <v>496</v>
      </c>
      <c r="J7775">
        <v>1</v>
      </c>
      <c r="K7775">
        <v>40</v>
      </c>
      <c r="L7775">
        <v>478</v>
      </c>
      <c r="M7775">
        <v>1</v>
      </c>
      <c r="N7775">
        <v>0</v>
      </c>
      <c r="O7775">
        <v>1897</v>
      </c>
    </row>
    <row r="7776" spans="1:15" x14ac:dyDescent="0.25">
      <c r="A7776" t="s">
        <v>7789</v>
      </c>
      <c r="B7776">
        <v>551</v>
      </c>
      <c r="C7776" s="1" t="str">
        <f>HYPERLINK("http://www.rosaceae.org/gb/gbrowse/malus_x_domestica/?name=MDP0000902760","MDP0000902760")</f>
        <v>MDP0000902760</v>
      </c>
      <c r="D7776">
        <v>29.61</v>
      </c>
      <c r="E7776">
        <v>412</v>
      </c>
      <c r="F7776">
        <v>290</v>
      </c>
      <c r="G7776">
        <v>67</v>
      </c>
      <c r="H7776">
        <v>184</v>
      </c>
      <c r="I7776">
        <v>548</v>
      </c>
      <c r="J7776">
        <v>1</v>
      </c>
      <c r="K7776">
        <v>82</v>
      </c>
      <c r="L7776">
        <v>473</v>
      </c>
      <c r="M7776">
        <v>1</v>
      </c>
      <c r="N7776">
        <v>3.2182200000000001E-39</v>
      </c>
      <c r="O7776">
        <v>405</v>
      </c>
    </row>
    <row r="7777" spans="1:15" x14ac:dyDescent="0.25">
      <c r="A7777" t="s">
        <v>7790</v>
      </c>
      <c r="B7777">
        <v>429</v>
      </c>
      <c r="C7777" s="1" t="str">
        <f>HYPERLINK("http://www.rosaceae.org/gb/gbrowse/malus_x_domestica/?name=MDP0000208346","MDP0000208346")</f>
        <v>MDP0000208346</v>
      </c>
      <c r="D7777">
        <v>68.11</v>
      </c>
      <c r="E7777">
        <v>254</v>
      </c>
      <c r="F7777">
        <v>81</v>
      </c>
      <c r="G7777">
        <v>37</v>
      </c>
      <c r="H7777">
        <v>28</v>
      </c>
      <c r="I7777">
        <v>281</v>
      </c>
      <c r="J7777">
        <v>1</v>
      </c>
      <c r="K7777">
        <v>28</v>
      </c>
      <c r="L7777">
        <v>244</v>
      </c>
      <c r="M7777">
        <v>1</v>
      </c>
      <c r="N7777">
        <v>2.1069600000000001E-91</v>
      </c>
      <c r="O7777">
        <v>854</v>
      </c>
    </row>
    <row r="7778" spans="1:15" x14ac:dyDescent="0.25">
      <c r="A7778" t="s">
        <v>7791</v>
      </c>
      <c r="B7778">
        <v>168</v>
      </c>
      <c r="C7778" s="1" t="str">
        <f>HYPERLINK("http://www.rosaceae.org/gb/gbrowse/malus_x_domestica/?name=MDP0000234247","MDP0000234247")</f>
        <v>MDP0000234247</v>
      </c>
      <c r="D7778">
        <v>68.959999999999994</v>
      </c>
      <c r="E7778">
        <v>87</v>
      </c>
      <c r="F7778">
        <v>27</v>
      </c>
      <c r="G7778">
        <v>0</v>
      </c>
      <c r="H7778">
        <v>20</v>
      </c>
      <c r="I7778">
        <v>106</v>
      </c>
      <c r="J7778">
        <v>1</v>
      </c>
      <c r="K7778">
        <v>248</v>
      </c>
      <c r="L7778">
        <v>334</v>
      </c>
      <c r="M7778">
        <v>1</v>
      </c>
      <c r="N7778">
        <v>3.4656000000000003E-30</v>
      </c>
      <c r="O7778">
        <v>321</v>
      </c>
    </row>
    <row r="7779" spans="1:15" x14ac:dyDescent="0.25">
      <c r="A7779" t="s">
        <v>7792</v>
      </c>
      <c r="B7779">
        <v>277</v>
      </c>
      <c r="C7779" s="1" t="str">
        <f>HYPERLINK("http://www.rosaceae.org/gb/gbrowse/malus_x_domestica/?name=MDP0000249638","MDP0000249638")</f>
        <v>MDP0000249638</v>
      </c>
      <c r="D7779">
        <v>81.17</v>
      </c>
      <c r="E7779">
        <v>239</v>
      </c>
      <c r="F7779">
        <v>45</v>
      </c>
      <c r="G7779">
        <v>0</v>
      </c>
      <c r="H7779">
        <v>39</v>
      </c>
      <c r="I7779">
        <v>277</v>
      </c>
      <c r="J7779">
        <v>1</v>
      </c>
      <c r="K7779">
        <v>59</v>
      </c>
      <c r="L7779">
        <v>297</v>
      </c>
      <c r="M7779">
        <v>1</v>
      </c>
      <c r="N7779">
        <v>6.5865999999999998E-112</v>
      </c>
      <c r="O7779">
        <v>1029</v>
      </c>
    </row>
    <row r="7780" spans="1:15" x14ac:dyDescent="0.25">
      <c r="A7780" t="s">
        <v>7793</v>
      </c>
      <c r="B7780">
        <v>936</v>
      </c>
      <c r="C7780" s="1" t="str">
        <f>HYPERLINK("http://www.rosaceae.org/gb/gbrowse/malus_x_domestica/?name=MDP0000754655","MDP0000754655")</f>
        <v>MDP0000754655</v>
      </c>
      <c r="D7780">
        <v>79.91</v>
      </c>
      <c r="E7780">
        <v>936</v>
      </c>
      <c r="F7780">
        <v>188</v>
      </c>
      <c r="G7780">
        <v>0</v>
      </c>
      <c r="H7780">
        <v>1</v>
      </c>
      <c r="I7780">
        <v>936</v>
      </c>
      <c r="J7780">
        <v>1</v>
      </c>
      <c r="K7780">
        <v>121</v>
      </c>
      <c r="L7780">
        <v>1056</v>
      </c>
      <c r="M7780">
        <v>1</v>
      </c>
      <c r="N7780">
        <v>0</v>
      </c>
      <c r="O7780">
        <v>4080</v>
      </c>
    </row>
    <row r="7781" spans="1:15" x14ac:dyDescent="0.25">
      <c r="A7781" t="s">
        <v>7794</v>
      </c>
      <c r="B7781">
        <v>809</v>
      </c>
      <c r="C7781" s="1" t="str">
        <f>HYPERLINK("http://www.rosaceae.org/gb/gbrowse/malus_x_domestica/?name=MDP0000305095","MDP0000305095")</f>
        <v>MDP0000305095</v>
      </c>
      <c r="D7781">
        <v>53.8</v>
      </c>
      <c r="E7781">
        <v>775</v>
      </c>
      <c r="F7781">
        <v>358</v>
      </c>
      <c r="G7781">
        <v>128</v>
      </c>
      <c r="H7781">
        <v>92</v>
      </c>
      <c r="I7781">
        <v>808</v>
      </c>
      <c r="J7781">
        <v>1</v>
      </c>
      <c r="K7781">
        <v>50</v>
      </c>
      <c r="L7781">
        <v>754</v>
      </c>
      <c r="M7781">
        <v>1</v>
      </c>
      <c r="N7781">
        <v>0</v>
      </c>
      <c r="O7781">
        <v>1741</v>
      </c>
    </row>
    <row r="7782" spans="1:15" x14ac:dyDescent="0.25">
      <c r="A7782" t="s">
        <v>7795</v>
      </c>
      <c r="B7782">
        <v>123</v>
      </c>
      <c r="C7782" s="1" t="str">
        <f>HYPERLINK("http://www.rosaceae.org/gb/gbrowse/malus_x_domestica/?name=MDP0000711212","MDP0000711212")</f>
        <v>MDP0000711212</v>
      </c>
      <c r="D7782">
        <v>78.87</v>
      </c>
      <c r="E7782">
        <v>71</v>
      </c>
      <c r="F7782">
        <v>15</v>
      </c>
      <c r="G7782">
        <v>1</v>
      </c>
      <c r="H7782">
        <v>51</v>
      </c>
      <c r="I7782">
        <v>120</v>
      </c>
      <c r="J7782">
        <v>1</v>
      </c>
      <c r="K7782">
        <v>60</v>
      </c>
      <c r="L7782">
        <v>130</v>
      </c>
      <c r="M7782">
        <v>1</v>
      </c>
      <c r="N7782">
        <v>5.4446000000000004E-28</v>
      </c>
      <c r="O7782">
        <v>299</v>
      </c>
    </row>
    <row r="7783" spans="1:15" x14ac:dyDescent="0.25">
      <c r="A7783" t="s">
        <v>7796</v>
      </c>
      <c r="B7783">
        <v>190</v>
      </c>
      <c r="C7783" s="1" t="str">
        <f>HYPERLINK("http://www.rosaceae.org/gb/gbrowse/malus_x_domestica/?name=MDP0000764622","MDP0000764622")</f>
        <v>MDP0000764622</v>
      </c>
      <c r="D7783">
        <v>70.099999999999994</v>
      </c>
      <c r="E7783">
        <v>184</v>
      </c>
      <c r="F7783">
        <v>55</v>
      </c>
      <c r="G7783">
        <v>9</v>
      </c>
      <c r="H7783">
        <v>10</v>
      </c>
      <c r="I7783">
        <v>184</v>
      </c>
      <c r="J7783">
        <v>1</v>
      </c>
      <c r="K7783">
        <v>13</v>
      </c>
      <c r="L7783">
        <v>196</v>
      </c>
      <c r="M7783">
        <v>1</v>
      </c>
      <c r="N7783">
        <v>1.4129000000000001E-60</v>
      </c>
      <c r="O7783">
        <v>584</v>
      </c>
    </row>
    <row r="7784" spans="1:15" x14ac:dyDescent="0.25">
      <c r="A7784" t="s">
        <v>7797</v>
      </c>
      <c r="B7784">
        <v>145</v>
      </c>
      <c r="C7784" s="1" t="str">
        <f>HYPERLINK("http://www.rosaceae.org/gb/gbrowse/malus_x_domestica/?name=MDP0000299588","MDP0000299588")</f>
        <v>MDP0000299588</v>
      </c>
      <c r="D7784">
        <v>51.48</v>
      </c>
      <c r="E7784">
        <v>101</v>
      </c>
      <c r="F7784">
        <v>49</v>
      </c>
      <c r="G7784">
        <v>0</v>
      </c>
      <c r="H7784">
        <v>13</v>
      </c>
      <c r="I7784">
        <v>113</v>
      </c>
      <c r="J7784">
        <v>1</v>
      </c>
      <c r="K7784">
        <v>19</v>
      </c>
      <c r="L7784">
        <v>119</v>
      </c>
      <c r="M7784">
        <v>1</v>
      </c>
      <c r="N7784">
        <v>3.4551800000000001E-27</v>
      </c>
      <c r="O7784">
        <v>293</v>
      </c>
    </row>
    <row r="7785" spans="1:15" x14ac:dyDescent="0.25">
      <c r="A7785" t="s">
        <v>7798</v>
      </c>
      <c r="B7785">
        <v>309</v>
      </c>
      <c r="C7785" s="1" t="str">
        <f>HYPERLINK("http://www.rosaceae.org/gb/gbrowse/malus_x_domestica/?name=MDP0000258359","MDP0000258359")</f>
        <v>MDP0000258359</v>
      </c>
      <c r="D7785">
        <v>77</v>
      </c>
      <c r="E7785">
        <v>287</v>
      </c>
      <c r="F7785">
        <v>66</v>
      </c>
      <c r="G7785">
        <v>2</v>
      </c>
      <c r="H7785">
        <v>23</v>
      </c>
      <c r="I7785">
        <v>309</v>
      </c>
      <c r="J7785">
        <v>1</v>
      </c>
      <c r="K7785">
        <v>258</v>
      </c>
      <c r="L7785">
        <v>542</v>
      </c>
      <c r="M7785">
        <v>1</v>
      </c>
      <c r="N7785">
        <v>2.8032300000000001E-126</v>
      </c>
      <c r="O7785">
        <v>1153</v>
      </c>
    </row>
    <row r="7786" spans="1:15" x14ac:dyDescent="0.25">
      <c r="A7786" t="s">
        <v>7799</v>
      </c>
      <c r="B7786">
        <v>554</v>
      </c>
      <c r="C7786" s="1" t="str">
        <f>HYPERLINK("http://www.rosaceae.org/gb/gbrowse/malus_x_domestica/?name=MDP0000139057","MDP0000139057")</f>
        <v>MDP0000139057</v>
      </c>
      <c r="D7786">
        <v>69.17</v>
      </c>
      <c r="E7786">
        <v>399</v>
      </c>
      <c r="F7786">
        <v>123</v>
      </c>
      <c r="G7786">
        <v>66</v>
      </c>
      <c r="H7786">
        <v>213</v>
      </c>
      <c r="I7786">
        <v>545</v>
      </c>
      <c r="J7786">
        <v>1</v>
      </c>
      <c r="K7786">
        <v>15</v>
      </c>
      <c r="L7786">
        <v>413</v>
      </c>
      <c r="M7786">
        <v>1</v>
      </c>
      <c r="N7786">
        <v>3.4697899999999998E-156</v>
      </c>
      <c r="O7786">
        <v>1414</v>
      </c>
    </row>
    <row r="7787" spans="1:15" x14ac:dyDescent="0.25">
      <c r="A7787" t="s">
        <v>7800</v>
      </c>
      <c r="B7787">
        <v>516</v>
      </c>
      <c r="C7787" s="1" t="str">
        <f>HYPERLINK("http://www.rosaceae.org/gb/gbrowse/malus_x_domestica/?name=MDP0000316899","MDP0000316899")</f>
        <v>MDP0000316899</v>
      </c>
      <c r="D7787">
        <v>28</v>
      </c>
      <c r="E7787">
        <v>250</v>
      </c>
      <c r="F7787">
        <v>180</v>
      </c>
      <c r="G7787">
        <v>46</v>
      </c>
      <c r="H7787">
        <v>265</v>
      </c>
      <c r="I7787">
        <v>510</v>
      </c>
      <c r="J7787">
        <v>1</v>
      </c>
      <c r="K7787">
        <v>390</v>
      </c>
      <c r="L7787">
        <v>597</v>
      </c>
      <c r="M7787">
        <v>1</v>
      </c>
      <c r="N7787">
        <v>1.13187E-21</v>
      </c>
      <c r="O7787">
        <v>254</v>
      </c>
    </row>
    <row r="7788" spans="1:15" x14ac:dyDescent="0.25">
      <c r="A7788" t="s">
        <v>7801</v>
      </c>
      <c r="B7788">
        <v>1467</v>
      </c>
      <c r="C7788" s="1" t="str">
        <f>HYPERLINK("http://www.rosaceae.org/gb/gbrowse/malus_x_domestica/?name=MDP0000165669","MDP0000165669")</f>
        <v>MDP0000165669</v>
      </c>
      <c r="D7788">
        <v>52.1</v>
      </c>
      <c r="E7788">
        <v>1422</v>
      </c>
      <c r="F7788">
        <v>681</v>
      </c>
      <c r="G7788">
        <v>62</v>
      </c>
      <c r="H7788">
        <v>3</v>
      </c>
      <c r="I7788">
        <v>1382</v>
      </c>
      <c r="J7788">
        <v>1</v>
      </c>
      <c r="K7788">
        <v>5</v>
      </c>
      <c r="L7788">
        <v>1406</v>
      </c>
      <c r="M7788">
        <v>1</v>
      </c>
      <c r="N7788">
        <v>0</v>
      </c>
      <c r="O7788">
        <v>3317</v>
      </c>
    </row>
    <row r="7789" spans="1:15" x14ac:dyDescent="0.25">
      <c r="A7789" t="s">
        <v>7802</v>
      </c>
      <c r="B7789">
        <v>242</v>
      </c>
      <c r="C7789" s="1" t="str">
        <f>HYPERLINK("http://www.rosaceae.org/gb/gbrowse/malus_x_domestica/?name=MDP0000095336","MDP0000095336")</f>
        <v>MDP0000095336</v>
      </c>
      <c r="D7789">
        <v>49.73</v>
      </c>
      <c r="E7789">
        <v>187</v>
      </c>
      <c r="F7789">
        <v>94</v>
      </c>
      <c r="G7789">
        <v>4</v>
      </c>
      <c r="H7789">
        <v>42</v>
      </c>
      <c r="I7789">
        <v>228</v>
      </c>
      <c r="J7789">
        <v>1</v>
      </c>
      <c r="K7789">
        <v>45</v>
      </c>
      <c r="L7789">
        <v>227</v>
      </c>
      <c r="M7789">
        <v>1</v>
      </c>
      <c r="N7789">
        <v>1.5943499999999999E-42</v>
      </c>
      <c r="O7789">
        <v>429</v>
      </c>
    </row>
    <row r="7790" spans="1:15" x14ac:dyDescent="0.25">
      <c r="A7790" t="s">
        <v>7803</v>
      </c>
      <c r="B7790">
        <v>385</v>
      </c>
      <c r="C7790" s="1" t="str">
        <f>HYPERLINK("http://www.rosaceae.org/gb/gbrowse/malus_x_domestica/?name=MDP0000871016","MDP0000871016")</f>
        <v>MDP0000871016</v>
      </c>
      <c r="D7790">
        <v>89.85</v>
      </c>
      <c r="E7790">
        <v>345</v>
      </c>
      <c r="F7790">
        <v>35</v>
      </c>
      <c r="G7790">
        <v>0</v>
      </c>
      <c r="H7790">
        <v>37</v>
      </c>
      <c r="I7790">
        <v>381</v>
      </c>
      <c r="J7790">
        <v>1</v>
      </c>
      <c r="K7790">
        <v>43</v>
      </c>
      <c r="L7790">
        <v>387</v>
      </c>
      <c r="M7790">
        <v>1</v>
      </c>
      <c r="N7790">
        <v>0</v>
      </c>
      <c r="O7790">
        <v>1682</v>
      </c>
    </row>
    <row r="7791" spans="1:15" x14ac:dyDescent="0.25">
      <c r="A7791" t="s">
        <v>7804</v>
      </c>
      <c r="B7791">
        <v>573</v>
      </c>
      <c r="C7791" s="1" t="str">
        <f>HYPERLINK("http://www.rosaceae.org/gb/gbrowse/malus_x_domestica/?name=MDP0000305070","MDP0000305070")</f>
        <v>MDP0000305070</v>
      </c>
      <c r="D7791">
        <v>78.91</v>
      </c>
      <c r="E7791">
        <v>574</v>
      </c>
      <c r="F7791">
        <v>121</v>
      </c>
      <c r="G7791">
        <v>2</v>
      </c>
      <c r="H7791">
        <v>1</v>
      </c>
      <c r="I7791">
        <v>573</v>
      </c>
      <c r="J7791">
        <v>1</v>
      </c>
      <c r="K7791">
        <v>23</v>
      </c>
      <c r="L7791">
        <v>595</v>
      </c>
      <c r="M7791">
        <v>1</v>
      </c>
      <c r="N7791">
        <v>0</v>
      </c>
      <c r="O7791">
        <v>2324</v>
      </c>
    </row>
    <row r="7792" spans="1:15" x14ac:dyDescent="0.25">
      <c r="A7792" t="s">
        <v>7805</v>
      </c>
      <c r="B7792">
        <v>121</v>
      </c>
      <c r="C7792" s="1" t="str">
        <f>HYPERLINK("http://www.rosaceae.org/gb/gbrowse/malus_x_domestica/?name=MDP0000240663","MDP0000240663")</f>
        <v>MDP0000240663</v>
      </c>
      <c r="D7792">
        <v>53</v>
      </c>
      <c r="E7792">
        <v>100</v>
      </c>
      <c r="F7792">
        <v>47</v>
      </c>
      <c r="G7792">
        <v>1</v>
      </c>
      <c r="H7792">
        <v>20</v>
      </c>
      <c r="I7792">
        <v>119</v>
      </c>
      <c r="J7792">
        <v>1</v>
      </c>
      <c r="K7792">
        <v>433</v>
      </c>
      <c r="L7792">
        <v>531</v>
      </c>
      <c r="M7792">
        <v>1</v>
      </c>
      <c r="N7792">
        <v>1.70845E-21</v>
      </c>
      <c r="O7792">
        <v>243</v>
      </c>
    </row>
    <row r="7793" spans="1:15" x14ac:dyDescent="0.25">
      <c r="A7793" t="s">
        <v>7806</v>
      </c>
      <c r="B7793">
        <v>232</v>
      </c>
      <c r="C7793" s="1" t="str">
        <f>HYPERLINK("http://www.rosaceae.org/gb/gbrowse/malus_x_domestica/?name=MDP0000375310","MDP0000375310")</f>
        <v>MDP0000375310</v>
      </c>
      <c r="D7793">
        <v>79.819999999999993</v>
      </c>
      <c r="E7793">
        <v>233</v>
      </c>
      <c r="F7793">
        <v>47</v>
      </c>
      <c r="G7793">
        <v>1</v>
      </c>
      <c r="H7793">
        <v>1</v>
      </c>
      <c r="I7793">
        <v>232</v>
      </c>
      <c r="J7793">
        <v>1</v>
      </c>
      <c r="K7793">
        <v>296</v>
      </c>
      <c r="L7793">
        <v>528</v>
      </c>
      <c r="M7793">
        <v>1</v>
      </c>
      <c r="N7793">
        <v>1.5318599999999999E-109</v>
      </c>
      <c r="O7793">
        <v>1007</v>
      </c>
    </row>
    <row r="7794" spans="1:15" x14ac:dyDescent="0.25">
      <c r="A7794" t="s">
        <v>7807</v>
      </c>
      <c r="B7794">
        <v>296</v>
      </c>
      <c r="C7794" s="1" t="str">
        <f>HYPERLINK("http://www.rosaceae.org/gb/gbrowse/malus_x_domestica/?name=MDP0000268369","MDP0000268369")</f>
        <v>MDP0000268369</v>
      </c>
      <c r="D7794">
        <v>55.81</v>
      </c>
      <c r="E7794">
        <v>301</v>
      </c>
      <c r="F7794">
        <v>133</v>
      </c>
      <c r="G7794">
        <v>10</v>
      </c>
      <c r="H7794">
        <v>1</v>
      </c>
      <c r="I7794">
        <v>296</v>
      </c>
      <c r="J7794">
        <v>1</v>
      </c>
      <c r="K7794">
        <v>1</v>
      </c>
      <c r="L7794">
        <v>296</v>
      </c>
      <c r="M7794">
        <v>1</v>
      </c>
      <c r="N7794">
        <v>1.25971E-70</v>
      </c>
      <c r="O7794">
        <v>673</v>
      </c>
    </row>
    <row r="7795" spans="1:15" x14ac:dyDescent="0.25">
      <c r="A7795" t="s">
        <v>7808</v>
      </c>
      <c r="B7795">
        <v>299</v>
      </c>
      <c r="C7795" s="1" t="str">
        <f>HYPERLINK("http://www.rosaceae.org/gb/gbrowse/malus_x_domestica/?name=MDP0000156973","MDP0000156973")</f>
        <v>MDP0000156973</v>
      </c>
      <c r="D7795">
        <v>41.39</v>
      </c>
      <c r="E7795">
        <v>302</v>
      </c>
      <c r="F7795">
        <v>177</v>
      </c>
      <c r="G7795">
        <v>5</v>
      </c>
      <c r="H7795">
        <v>1</v>
      </c>
      <c r="I7795">
        <v>299</v>
      </c>
      <c r="J7795">
        <v>1</v>
      </c>
      <c r="K7795">
        <v>1</v>
      </c>
      <c r="L7795">
        <v>300</v>
      </c>
      <c r="M7795">
        <v>1</v>
      </c>
      <c r="N7795">
        <v>1.40471E-64</v>
      </c>
      <c r="O7795">
        <v>621</v>
      </c>
    </row>
    <row r="7796" spans="1:15" x14ac:dyDescent="0.25">
      <c r="A7796" t="s">
        <v>7809</v>
      </c>
      <c r="B7796">
        <v>626</v>
      </c>
      <c r="C7796" s="1" t="str">
        <f>HYPERLINK("http://www.rosaceae.org/gb/gbrowse/malus_x_domestica/?name=MDP0000196862","MDP0000196862")</f>
        <v>MDP0000196862</v>
      </c>
      <c r="D7796">
        <v>78.790000000000006</v>
      </c>
      <c r="E7796">
        <v>599</v>
      </c>
      <c r="F7796">
        <v>127</v>
      </c>
      <c r="G7796">
        <v>46</v>
      </c>
      <c r="H7796">
        <v>28</v>
      </c>
      <c r="I7796">
        <v>606</v>
      </c>
      <c r="J7796">
        <v>1</v>
      </c>
      <c r="K7796">
        <v>35</v>
      </c>
      <c r="L7796">
        <v>607</v>
      </c>
      <c r="M7796">
        <v>1</v>
      </c>
      <c r="N7796">
        <v>0</v>
      </c>
      <c r="O7796">
        <v>2415</v>
      </c>
    </row>
    <row r="7797" spans="1:15" x14ac:dyDescent="0.25">
      <c r="A7797" t="s">
        <v>7810</v>
      </c>
      <c r="B7797">
        <v>190</v>
      </c>
      <c r="C7797" s="1" t="str">
        <f>HYPERLINK("http://www.rosaceae.org/gb/gbrowse/malus_x_domestica/?name=MDP0000172439","MDP0000172439")</f>
        <v>MDP0000172439</v>
      </c>
      <c r="D7797">
        <v>74.09</v>
      </c>
      <c r="E7797">
        <v>166</v>
      </c>
      <c r="F7797">
        <v>43</v>
      </c>
      <c r="G7797">
        <v>0</v>
      </c>
      <c r="H7797">
        <v>5</v>
      </c>
      <c r="I7797">
        <v>170</v>
      </c>
      <c r="J7797">
        <v>1</v>
      </c>
      <c r="K7797">
        <v>3</v>
      </c>
      <c r="L7797">
        <v>168</v>
      </c>
      <c r="M7797">
        <v>1</v>
      </c>
      <c r="N7797">
        <v>5.0950099999999997E-68</v>
      </c>
      <c r="O7797">
        <v>648</v>
      </c>
    </row>
    <row r="7798" spans="1:15" x14ac:dyDescent="0.25">
      <c r="A7798" t="s">
        <v>7811</v>
      </c>
      <c r="B7798">
        <v>334</v>
      </c>
      <c r="C7798" s="1" t="str">
        <f>HYPERLINK("http://www.rosaceae.org/gb/gbrowse/malus_x_domestica/?name=MDP0000173497","MDP0000173497")</f>
        <v>MDP0000173497</v>
      </c>
      <c r="D7798">
        <v>58.66</v>
      </c>
      <c r="E7798">
        <v>404</v>
      </c>
      <c r="F7798">
        <v>167</v>
      </c>
      <c r="G7798">
        <v>75</v>
      </c>
      <c r="H7798">
        <v>1</v>
      </c>
      <c r="I7798">
        <v>331</v>
      </c>
      <c r="J7798">
        <v>1</v>
      </c>
      <c r="K7798">
        <v>80</v>
      </c>
      <c r="L7798">
        <v>481</v>
      </c>
      <c r="M7798">
        <v>1</v>
      </c>
      <c r="N7798">
        <v>5.8721500000000004E-130</v>
      </c>
      <c r="O7798">
        <v>1185</v>
      </c>
    </row>
    <row r="7799" spans="1:15" x14ac:dyDescent="0.25">
      <c r="A7799" t="s">
        <v>7812</v>
      </c>
      <c r="B7799">
        <v>311</v>
      </c>
      <c r="C7799" s="1" t="str">
        <f>HYPERLINK("http://www.rosaceae.org/gb/gbrowse/malus_x_domestica/?name=MDP0000276291","MDP0000276291")</f>
        <v>MDP0000276291</v>
      </c>
      <c r="D7799">
        <v>39.83</v>
      </c>
      <c r="E7799">
        <v>118</v>
      </c>
      <c r="F7799">
        <v>71</v>
      </c>
      <c r="G7799">
        <v>29</v>
      </c>
      <c r="H7799">
        <v>11</v>
      </c>
      <c r="I7799">
        <v>106</v>
      </c>
      <c r="J7799">
        <v>1</v>
      </c>
      <c r="K7799">
        <v>7</v>
      </c>
      <c r="L7799">
        <v>117</v>
      </c>
      <c r="M7799">
        <v>1</v>
      </c>
      <c r="N7799">
        <v>5.6588400000000005E-10</v>
      </c>
      <c r="O7799">
        <v>150</v>
      </c>
    </row>
    <row r="7800" spans="1:15" x14ac:dyDescent="0.25">
      <c r="A7800" t="s">
        <v>7813</v>
      </c>
      <c r="B7800">
        <v>463</v>
      </c>
      <c r="C7800" s="1" t="str">
        <f>HYPERLINK("http://www.rosaceae.org/gb/gbrowse/malus_x_domestica/?name=MDP0000282605","MDP0000282605")</f>
        <v>MDP0000282605</v>
      </c>
      <c r="D7800">
        <v>80.400000000000006</v>
      </c>
      <c r="E7800">
        <v>449</v>
      </c>
      <c r="F7800">
        <v>88</v>
      </c>
      <c r="G7800">
        <v>0</v>
      </c>
      <c r="H7800">
        <v>1</v>
      </c>
      <c r="I7800">
        <v>449</v>
      </c>
      <c r="J7800">
        <v>1</v>
      </c>
      <c r="K7800">
        <v>1</v>
      </c>
      <c r="L7800">
        <v>449</v>
      </c>
      <c r="M7800">
        <v>1</v>
      </c>
      <c r="N7800">
        <v>0</v>
      </c>
      <c r="O7800">
        <v>1999</v>
      </c>
    </row>
    <row r="7801" spans="1:15" x14ac:dyDescent="0.25">
      <c r="A7801" t="s">
        <v>7814</v>
      </c>
      <c r="B7801">
        <v>943</v>
      </c>
      <c r="C7801" s="1" t="str">
        <f>HYPERLINK("http://www.rosaceae.org/gb/gbrowse/malus_x_domestica/?name=MDP0000150893","MDP0000150893")</f>
        <v>MDP0000150893</v>
      </c>
      <c r="D7801">
        <v>34.729999999999997</v>
      </c>
      <c r="E7801">
        <v>714</v>
      </c>
      <c r="F7801">
        <v>466</v>
      </c>
      <c r="G7801">
        <v>216</v>
      </c>
      <c r="H7801">
        <v>440</v>
      </c>
      <c r="I7801">
        <v>943</v>
      </c>
      <c r="J7801">
        <v>1</v>
      </c>
      <c r="K7801">
        <v>1</v>
      </c>
      <c r="L7801">
        <v>708</v>
      </c>
      <c r="M7801">
        <v>1</v>
      </c>
      <c r="N7801">
        <v>1.05557E-84</v>
      </c>
      <c r="O7801">
        <v>800</v>
      </c>
    </row>
    <row r="7802" spans="1:15" x14ac:dyDescent="0.25">
      <c r="A7802" t="s">
        <v>7815</v>
      </c>
      <c r="B7802">
        <v>684</v>
      </c>
      <c r="C7802" s="1" t="str">
        <f>HYPERLINK("http://www.rosaceae.org/gb/gbrowse/malus_x_domestica/?name=MDP0000139147","MDP0000139147")</f>
        <v>MDP0000139147</v>
      </c>
      <c r="D7802">
        <v>46.98</v>
      </c>
      <c r="E7802">
        <v>398</v>
      </c>
      <c r="F7802">
        <v>211</v>
      </c>
      <c r="G7802">
        <v>66</v>
      </c>
      <c r="H7802">
        <v>236</v>
      </c>
      <c r="I7802">
        <v>596</v>
      </c>
      <c r="J7802">
        <v>1</v>
      </c>
      <c r="K7802">
        <v>19</v>
      </c>
      <c r="L7802">
        <v>387</v>
      </c>
      <c r="M7802">
        <v>1</v>
      </c>
      <c r="N7802">
        <v>2.0792100000000001E-82</v>
      </c>
      <c r="O7802">
        <v>779</v>
      </c>
    </row>
    <row r="7803" spans="1:15" x14ac:dyDescent="0.25">
      <c r="A7803" t="s">
        <v>7816</v>
      </c>
      <c r="B7803">
        <v>423</v>
      </c>
      <c r="C7803" s="1" t="str">
        <f>HYPERLINK("http://www.rosaceae.org/gb/gbrowse/malus_x_domestica/?name=MDP0000286006","MDP0000286006")</f>
        <v>MDP0000286006</v>
      </c>
      <c r="D7803">
        <v>29.62</v>
      </c>
      <c r="E7803">
        <v>135</v>
      </c>
      <c r="F7803">
        <v>95</v>
      </c>
      <c r="G7803">
        <v>21</v>
      </c>
      <c r="H7803">
        <v>65</v>
      </c>
      <c r="I7803">
        <v>190</v>
      </c>
      <c r="J7803">
        <v>1</v>
      </c>
      <c r="K7803">
        <v>3</v>
      </c>
      <c r="L7803">
        <v>125</v>
      </c>
      <c r="M7803">
        <v>1</v>
      </c>
      <c r="N7803">
        <v>2.7672299999999998E-7</v>
      </c>
      <c r="O7803">
        <v>129</v>
      </c>
    </row>
    <row r="7804" spans="1:15" x14ac:dyDescent="0.25">
      <c r="A7804" t="s">
        <v>7817</v>
      </c>
      <c r="B7804">
        <v>794</v>
      </c>
      <c r="C7804" s="1" t="str">
        <f>HYPERLINK("http://www.rosaceae.org/gb/gbrowse/malus_x_domestica/?name=MDP0000153762","MDP0000153762")</f>
        <v>MDP0000153762</v>
      </c>
      <c r="D7804">
        <v>89.05</v>
      </c>
      <c r="E7804">
        <v>795</v>
      </c>
      <c r="F7804">
        <v>87</v>
      </c>
      <c r="G7804">
        <v>31</v>
      </c>
      <c r="H7804">
        <v>1</v>
      </c>
      <c r="I7804">
        <v>794</v>
      </c>
      <c r="J7804">
        <v>1</v>
      </c>
      <c r="K7804">
        <v>1</v>
      </c>
      <c r="L7804">
        <v>765</v>
      </c>
      <c r="M7804">
        <v>1</v>
      </c>
      <c r="N7804">
        <v>0</v>
      </c>
      <c r="O7804">
        <v>3725</v>
      </c>
    </row>
    <row r="7805" spans="1:15" x14ac:dyDescent="0.25">
      <c r="A7805" t="s">
        <v>7818</v>
      </c>
      <c r="B7805">
        <v>416</v>
      </c>
      <c r="C7805" s="1" t="str">
        <f>HYPERLINK("http://www.rosaceae.org/gb/gbrowse/malus_x_domestica/?name=MDP0000269900","MDP0000269900")</f>
        <v>MDP0000269900</v>
      </c>
      <c r="D7805">
        <v>41.21</v>
      </c>
      <c r="E7805">
        <v>330</v>
      </c>
      <c r="F7805">
        <v>194</v>
      </c>
      <c r="G7805">
        <v>18</v>
      </c>
      <c r="H7805">
        <v>82</v>
      </c>
      <c r="I7805">
        <v>399</v>
      </c>
      <c r="J7805">
        <v>1</v>
      </c>
      <c r="K7805">
        <v>714</v>
      </c>
      <c r="L7805">
        <v>1037</v>
      </c>
      <c r="M7805">
        <v>1</v>
      </c>
      <c r="N7805">
        <v>1.05456E-63</v>
      </c>
      <c r="O7805">
        <v>615</v>
      </c>
    </row>
    <row r="7806" spans="1:15" x14ac:dyDescent="0.25">
      <c r="A7806" t="s">
        <v>7819</v>
      </c>
      <c r="B7806">
        <v>241</v>
      </c>
      <c r="C7806" s="1" t="str">
        <f>HYPERLINK("http://www.rosaceae.org/gb/gbrowse/malus_x_domestica/?name=MDP0000716498","MDP0000716498")</f>
        <v>MDP0000716498</v>
      </c>
      <c r="D7806">
        <v>66.8</v>
      </c>
      <c r="E7806">
        <v>244</v>
      </c>
      <c r="F7806">
        <v>81</v>
      </c>
      <c r="G7806">
        <v>14</v>
      </c>
      <c r="H7806">
        <v>1</v>
      </c>
      <c r="I7806">
        <v>241</v>
      </c>
      <c r="J7806">
        <v>1</v>
      </c>
      <c r="K7806">
        <v>3</v>
      </c>
      <c r="L7806">
        <v>235</v>
      </c>
      <c r="M7806">
        <v>1</v>
      </c>
      <c r="N7806">
        <v>9.0244599999999994E-82</v>
      </c>
      <c r="O7806">
        <v>768</v>
      </c>
    </row>
    <row r="7807" spans="1:15" x14ac:dyDescent="0.25">
      <c r="A7807" t="s">
        <v>7820</v>
      </c>
      <c r="B7807">
        <v>226</v>
      </c>
      <c r="C7807" s="1" t="str">
        <f>HYPERLINK("http://www.rosaceae.org/gb/gbrowse/malus_x_domestica/?name=MDP0000291399","MDP0000291399")</f>
        <v>MDP0000291399</v>
      </c>
      <c r="D7807">
        <v>67.010000000000005</v>
      </c>
      <c r="E7807">
        <v>97</v>
      </c>
      <c r="F7807">
        <v>32</v>
      </c>
      <c r="G7807">
        <v>0</v>
      </c>
      <c r="H7807">
        <v>127</v>
      </c>
      <c r="I7807">
        <v>223</v>
      </c>
      <c r="J7807">
        <v>1</v>
      </c>
      <c r="K7807">
        <v>404</v>
      </c>
      <c r="L7807">
        <v>500</v>
      </c>
      <c r="M7807">
        <v>1</v>
      </c>
      <c r="N7807">
        <v>4.9276300000000002E-34</v>
      </c>
      <c r="O7807">
        <v>356</v>
      </c>
    </row>
    <row r="7808" spans="1:15" x14ac:dyDescent="0.25">
      <c r="A7808" t="s">
        <v>7821</v>
      </c>
      <c r="B7808">
        <v>447</v>
      </c>
      <c r="C7808" s="1" t="str">
        <f>HYPERLINK("http://www.rosaceae.org/gb/gbrowse/malus_x_domestica/?name=MDP0000230602","MDP0000230602")</f>
        <v>MDP0000230602</v>
      </c>
      <c r="D7808">
        <v>65.58</v>
      </c>
      <c r="E7808">
        <v>494</v>
      </c>
      <c r="F7808">
        <v>170</v>
      </c>
      <c r="G7808">
        <v>65</v>
      </c>
      <c r="H7808">
        <v>17</v>
      </c>
      <c r="I7808">
        <v>447</v>
      </c>
      <c r="J7808">
        <v>1</v>
      </c>
      <c r="K7808">
        <v>62</v>
      </c>
      <c r="L7808">
        <v>553</v>
      </c>
      <c r="M7808">
        <v>1</v>
      </c>
      <c r="N7808">
        <v>1.09573E-179</v>
      </c>
      <c r="O7808">
        <v>1616</v>
      </c>
    </row>
    <row r="7809" spans="1:15" x14ac:dyDescent="0.25">
      <c r="A7809" t="s">
        <v>7822</v>
      </c>
      <c r="B7809">
        <v>106</v>
      </c>
      <c r="C7809" s="1" t="str">
        <f>HYPERLINK("http://www.rosaceae.org/gb/gbrowse/malus_x_domestica/?name=MDP0000155294","MDP0000155294")</f>
        <v>MDP0000155294</v>
      </c>
      <c r="D7809">
        <v>40</v>
      </c>
      <c r="E7809">
        <v>70</v>
      </c>
      <c r="F7809">
        <v>42</v>
      </c>
      <c r="G7809">
        <v>0</v>
      </c>
      <c r="H7809">
        <v>18</v>
      </c>
      <c r="I7809">
        <v>87</v>
      </c>
      <c r="J7809">
        <v>1</v>
      </c>
      <c r="K7809">
        <v>146</v>
      </c>
      <c r="L7809">
        <v>215</v>
      </c>
      <c r="M7809">
        <v>1</v>
      </c>
      <c r="N7809">
        <v>3.7832300000000004E-9</v>
      </c>
      <c r="O7809">
        <v>136</v>
      </c>
    </row>
    <row r="7810" spans="1:15" x14ac:dyDescent="0.25">
      <c r="A7810" t="s">
        <v>7823</v>
      </c>
      <c r="B7810">
        <v>311</v>
      </c>
      <c r="C7810" s="1" t="str">
        <f>HYPERLINK("http://www.rosaceae.org/gb/gbrowse/malus_x_domestica/?name=MDP0000146528","MDP0000146528")</f>
        <v>MDP0000146528</v>
      </c>
      <c r="D7810">
        <v>50.64</v>
      </c>
      <c r="E7810">
        <v>308</v>
      </c>
      <c r="F7810">
        <v>152</v>
      </c>
      <c r="G7810">
        <v>6</v>
      </c>
      <c r="H7810">
        <v>9</v>
      </c>
      <c r="I7810">
        <v>311</v>
      </c>
      <c r="J7810">
        <v>1</v>
      </c>
      <c r="K7810">
        <v>2</v>
      </c>
      <c r="L7810">
        <v>308</v>
      </c>
      <c r="M7810">
        <v>1</v>
      </c>
      <c r="N7810">
        <v>2.7934800000000003E-85</v>
      </c>
      <c r="O7810">
        <v>800</v>
      </c>
    </row>
    <row r="7811" spans="1:15" x14ac:dyDescent="0.25">
      <c r="A7811" t="s">
        <v>7824</v>
      </c>
      <c r="B7811">
        <v>716</v>
      </c>
      <c r="C7811" s="1" t="str">
        <f>HYPERLINK("http://www.rosaceae.org/gb/gbrowse/malus_x_domestica/?name=MDP0000809386","MDP0000809386")</f>
        <v>MDP0000809386</v>
      </c>
      <c r="D7811">
        <v>78.45</v>
      </c>
      <c r="E7811">
        <v>710</v>
      </c>
      <c r="F7811">
        <v>153</v>
      </c>
      <c r="G7811">
        <v>0</v>
      </c>
      <c r="H7811">
        <v>4</v>
      </c>
      <c r="I7811">
        <v>713</v>
      </c>
      <c r="J7811">
        <v>1</v>
      </c>
      <c r="K7811">
        <v>3</v>
      </c>
      <c r="L7811">
        <v>712</v>
      </c>
      <c r="M7811">
        <v>1</v>
      </c>
      <c r="N7811">
        <v>0</v>
      </c>
      <c r="O7811">
        <v>3010</v>
      </c>
    </row>
    <row r="7812" spans="1:15" x14ac:dyDescent="0.25">
      <c r="A7812" t="s">
        <v>7825</v>
      </c>
      <c r="B7812">
        <v>653</v>
      </c>
      <c r="C7812" s="1" t="str">
        <f>HYPERLINK("http://www.rosaceae.org/gb/gbrowse/malus_x_domestica/?name=MDP0000293960","MDP0000293960")</f>
        <v>MDP0000293960</v>
      </c>
      <c r="D7812">
        <v>75.209999999999994</v>
      </c>
      <c r="E7812">
        <v>686</v>
      </c>
      <c r="F7812">
        <v>170</v>
      </c>
      <c r="G7812">
        <v>41</v>
      </c>
      <c r="H7812">
        <v>7</v>
      </c>
      <c r="I7812">
        <v>653</v>
      </c>
      <c r="J7812">
        <v>1</v>
      </c>
      <c r="K7812">
        <v>66</v>
      </c>
      <c r="L7812">
        <v>749</v>
      </c>
      <c r="M7812">
        <v>1</v>
      </c>
      <c r="N7812">
        <v>0</v>
      </c>
      <c r="O7812">
        <v>2701</v>
      </c>
    </row>
    <row r="7813" spans="1:15" x14ac:dyDescent="0.25">
      <c r="A7813" t="s">
        <v>7826</v>
      </c>
      <c r="B7813">
        <v>431</v>
      </c>
      <c r="C7813" s="1" t="str">
        <f>HYPERLINK("http://www.rosaceae.org/gb/gbrowse/malus_x_domestica/?name=MDP0000207199","MDP0000207199")</f>
        <v>MDP0000207199</v>
      </c>
      <c r="D7813">
        <v>32.9</v>
      </c>
      <c r="E7813">
        <v>231</v>
      </c>
      <c r="F7813">
        <v>155</v>
      </c>
      <c r="G7813">
        <v>34</v>
      </c>
      <c r="H7813">
        <v>1</v>
      </c>
      <c r="I7813">
        <v>213</v>
      </c>
      <c r="J7813">
        <v>1</v>
      </c>
      <c r="K7813">
        <v>1</v>
      </c>
      <c r="L7813">
        <v>215</v>
      </c>
      <c r="M7813">
        <v>1</v>
      </c>
      <c r="N7813">
        <v>2.8575200000000001E-11</v>
      </c>
      <c r="O7813">
        <v>163</v>
      </c>
    </row>
    <row r="7814" spans="1:15" x14ac:dyDescent="0.25">
      <c r="A7814" t="s">
        <v>7827</v>
      </c>
      <c r="B7814">
        <v>419</v>
      </c>
      <c r="C7814" s="1" t="str">
        <f>HYPERLINK("http://www.rosaceae.org/gb/gbrowse/malus_x_domestica/?name=MDP0000181844","MDP0000181844")</f>
        <v>MDP0000181844</v>
      </c>
      <c r="D7814">
        <v>77.36</v>
      </c>
      <c r="E7814">
        <v>296</v>
      </c>
      <c r="F7814">
        <v>67</v>
      </c>
      <c r="G7814">
        <v>1</v>
      </c>
      <c r="H7814">
        <v>53</v>
      </c>
      <c r="I7814">
        <v>347</v>
      </c>
      <c r="J7814">
        <v>1</v>
      </c>
      <c r="K7814">
        <v>70</v>
      </c>
      <c r="L7814">
        <v>365</v>
      </c>
      <c r="M7814">
        <v>1</v>
      </c>
      <c r="N7814">
        <v>1.3062600000000001E-135</v>
      </c>
      <c r="O7814">
        <v>1235</v>
      </c>
    </row>
    <row r="7815" spans="1:15" x14ac:dyDescent="0.25">
      <c r="A7815" t="s">
        <v>7828</v>
      </c>
      <c r="B7815">
        <v>356</v>
      </c>
      <c r="C7815" s="1" t="str">
        <f>HYPERLINK("http://www.rosaceae.org/gb/gbrowse/malus_x_domestica/?name=MDP0000316574","MDP0000316574")</f>
        <v>MDP0000316574</v>
      </c>
      <c r="D7815">
        <v>67.67</v>
      </c>
      <c r="E7815">
        <v>331</v>
      </c>
      <c r="F7815">
        <v>107</v>
      </c>
      <c r="G7815">
        <v>3</v>
      </c>
      <c r="H7815">
        <v>25</v>
      </c>
      <c r="I7815">
        <v>354</v>
      </c>
      <c r="J7815">
        <v>1</v>
      </c>
      <c r="K7815">
        <v>1</v>
      </c>
      <c r="L7815">
        <v>329</v>
      </c>
      <c r="M7815">
        <v>1</v>
      </c>
      <c r="N7815">
        <v>4.5062E-123</v>
      </c>
      <c r="O7815">
        <v>1126</v>
      </c>
    </row>
    <row r="7816" spans="1:15" x14ac:dyDescent="0.25">
      <c r="A7816" t="s">
        <v>7829</v>
      </c>
      <c r="B7816">
        <v>376</v>
      </c>
      <c r="C7816" s="1" t="str">
        <f>HYPERLINK("http://www.rosaceae.org/gb/gbrowse/malus_x_domestica/?name=MDP0000290031","MDP0000290031")</f>
        <v>MDP0000290031</v>
      </c>
      <c r="D7816">
        <v>80.05</v>
      </c>
      <c r="E7816">
        <v>376</v>
      </c>
      <c r="F7816">
        <v>75</v>
      </c>
      <c r="G7816">
        <v>0</v>
      </c>
      <c r="H7816">
        <v>1</v>
      </c>
      <c r="I7816">
        <v>376</v>
      </c>
      <c r="J7816">
        <v>1</v>
      </c>
      <c r="K7816">
        <v>1</v>
      </c>
      <c r="L7816">
        <v>376</v>
      </c>
      <c r="M7816">
        <v>1</v>
      </c>
      <c r="N7816">
        <v>4.5571299999999998E-176</v>
      </c>
      <c r="O7816">
        <v>1584</v>
      </c>
    </row>
    <row r="7817" spans="1:15" x14ac:dyDescent="0.25">
      <c r="A7817" t="s">
        <v>7830</v>
      </c>
      <c r="B7817">
        <v>151</v>
      </c>
      <c r="C7817" s="1" t="str">
        <f>HYPERLINK("http://www.rosaceae.org/gb/gbrowse/malus_x_domestica/?name=MDP0000278149","MDP0000278149")</f>
        <v>MDP0000278149</v>
      </c>
      <c r="D7817">
        <v>51.56</v>
      </c>
      <c r="E7817">
        <v>64</v>
      </c>
      <c r="F7817">
        <v>31</v>
      </c>
      <c r="G7817">
        <v>0</v>
      </c>
      <c r="H7817">
        <v>40</v>
      </c>
      <c r="I7817">
        <v>103</v>
      </c>
      <c r="J7817">
        <v>1</v>
      </c>
      <c r="K7817">
        <v>31</v>
      </c>
      <c r="L7817">
        <v>94</v>
      </c>
      <c r="M7817">
        <v>1</v>
      </c>
      <c r="N7817">
        <v>1.3898099999999999E-12</v>
      </c>
      <c r="O7817">
        <v>168</v>
      </c>
    </row>
    <row r="7818" spans="1:15" x14ac:dyDescent="0.25">
      <c r="A7818" t="s">
        <v>7831</v>
      </c>
      <c r="B7818">
        <v>758</v>
      </c>
      <c r="C7818" s="1" t="str">
        <f>HYPERLINK("http://www.rosaceae.org/gb/gbrowse/malus_x_domestica/?name=MDP0000247014","MDP0000247014")</f>
        <v>MDP0000247014</v>
      </c>
      <c r="D7818">
        <v>78.510000000000005</v>
      </c>
      <c r="E7818">
        <v>256</v>
      </c>
      <c r="F7818">
        <v>55</v>
      </c>
      <c r="G7818">
        <v>1</v>
      </c>
      <c r="H7818">
        <v>503</v>
      </c>
      <c r="I7818">
        <v>758</v>
      </c>
      <c r="J7818">
        <v>1</v>
      </c>
      <c r="K7818">
        <v>9</v>
      </c>
      <c r="L7818">
        <v>263</v>
      </c>
      <c r="M7818">
        <v>1</v>
      </c>
      <c r="N7818">
        <v>3.7207000000000001E-115</v>
      </c>
      <c r="O7818">
        <v>1061</v>
      </c>
    </row>
    <row r="7819" spans="1:15" x14ac:dyDescent="0.25">
      <c r="A7819" t="s">
        <v>7832</v>
      </c>
      <c r="B7819">
        <v>660</v>
      </c>
      <c r="C7819" s="1" t="str">
        <f>HYPERLINK("http://www.rosaceae.org/gb/gbrowse/malus_x_domestica/?name=MDP0000698017","MDP0000698017")</f>
        <v>MDP0000698017</v>
      </c>
      <c r="D7819">
        <v>66.459999999999994</v>
      </c>
      <c r="E7819">
        <v>662</v>
      </c>
      <c r="F7819">
        <v>222</v>
      </c>
      <c r="G7819">
        <v>8</v>
      </c>
      <c r="H7819">
        <v>1</v>
      </c>
      <c r="I7819">
        <v>660</v>
      </c>
      <c r="J7819">
        <v>1</v>
      </c>
      <c r="K7819">
        <v>1</v>
      </c>
      <c r="L7819">
        <v>656</v>
      </c>
      <c r="M7819">
        <v>1</v>
      </c>
      <c r="N7819">
        <v>0</v>
      </c>
      <c r="O7819">
        <v>2403</v>
      </c>
    </row>
    <row r="7820" spans="1:15" x14ac:dyDescent="0.25">
      <c r="A7820" t="s">
        <v>7833</v>
      </c>
      <c r="B7820">
        <v>504</v>
      </c>
      <c r="C7820" s="1" t="str">
        <f>HYPERLINK("http://www.rosaceae.org/gb/gbrowse/malus_x_domestica/?name=MDP0000124034","MDP0000124034")</f>
        <v>MDP0000124034</v>
      </c>
      <c r="D7820">
        <v>46.01</v>
      </c>
      <c r="E7820">
        <v>539</v>
      </c>
      <c r="F7820">
        <v>291</v>
      </c>
      <c r="G7820">
        <v>56</v>
      </c>
      <c r="H7820">
        <v>12</v>
      </c>
      <c r="I7820">
        <v>504</v>
      </c>
      <c r="J7820">
        <v>1</v>
      </c>
      <c r="K7820">
        <v>13</v>
      </c>
      <c r="L7820">
        <v>541</v>
      </c>
      <c r="M7820">
        <v>1</v>
      </c>
      <c r="N7820">
        <v>3.4429899999999998E-110</v>
      </c>
      <c r="O7820">
        <v>1017</v>
      </c>
    </row>
    <row r="7821" spans="1:15" x14ac:dyDescent="0.25">
      <c r="A7821" t="s">
        <v>7834</v>
      </c>
      <c r="B7821">
        <v>143</v>
      </c>
      <c r="C7821" s="1" t="str">
        <f>HYPERLINK("http://www.rosaceae.org/gb/gbrowse/malus_x_domestica/?name=MDP0000298654","MDP0000298654")</f>
        <v>MDP0000298654</v>
      </c>
      <c r="D7821">
        <v>79.099999999999994</v>
      </c>
      <c r="E7821">
        <v>67</v>
      </c>
      <c r="F7821">
        <v>14</v>
      </c>
      <c r="G7821">
        <v>0</v>
      </c>
      <c r="H7821">
        <v>49</v>
      </c>
      <c r="I7821">
        <v>115</v>
      </c>
      <c r="J7821">
        <v>1</v>
      </c>
      <c r="K7821">
        <v>43</v>
      </c>
      <c r="L7821">
        <v>109</v>
      </c>
      <c r="M7821">
        <v>1</v>
      </c>
      <c r="N7821">
        <v>7.8305399999999999E-27</v>
      </c>
      <c r="O7821">
        <v>290</v>
      </c>
    </row>
    <row r="7822" spans="1:15" x14ac:dyDescent="0.25">
      <c r="A7822" t="s">
        <v>7835</v>
      </c>
      <c r="B7822">
        <v>479</v>
      </c>
      <c r="C7822" s="1" t="str">
        <f>HYPERLINK("http://www.rosaceae.org/gb/gbrowse/malus_x_domestica/?name=MDP0000683890","MDP0000683890")</f>
        <v>MDP0000683890</v>
      </c>
      <c r="D7822">
        <v>76.010000000000005</v>
      </c>
      <c r="E7822">
        <v>296</v>
      </c>
      <c r="F7822">
        <v>71</v>
      </c>
      <c r="G7822">
        <v>10</v>
      </c>
      <c r="H7822">
        <v>192</v>
      </c>
      <c r="I7822">
        <v>479</v>
      </c>
      <c r="J7822">
        <v>1</v>
      </c>
      <c r="K7822">
        <v>206</v>
      </c>
      <c r="L7822">
        <v>499</v>
      </c>
      <c r="M7822">
        <v>1</v>
      </c>
      <c r="N7822">
        <v>1.4376800000000001E-128</v>
      </c>
      <c r="O7822">
        <v>1175</v>
      </c>
    </row>
    <row r="7823" spans="1:15" x14ac:dyDescent="0.25">
      <c r="A7823" t="s">
        <v>7836</v>
      </c>
      <c r="B7823">
        <v>381</v>
      </c>
      <c r="C7823" s="1" t="str">
        <f>HYPERLINK("http://www.rosaceae.org/gb/gbrowse/malus_x_domestica/?name=MDP0000138400","MDP0000138400")</f>
        <v>MDP0000138400</v>
      </c>
      <c r="D7823">
        <v>65.33</v>
      </c>
      <c r="E7823">
        <v>450</v>
      </c>
      <c r="F7823">
        <v>156</v>
      </c>
      <c r="G7823">
        <v>81</v>
      </c>
      <c r="H7823">
        <v>1</v>
      </c>
      <c r="I7823">
        <v>381</v>
      </c>
      <c r="J7823">
        <v>1</v>
      </c>
      <c r="K7823">
        <v>1</v>
      </c>
      <c r="L7823">
        <v>438</v>
      </c>
      <c r="M7823">
        <v>1</v>
      </c>
      <c r="N7823">
        <v>1.3008500000000001E-160</v>
      </c>
      <c r="O7823">
        <v>1450</v>
      </c>
    </row>
    <row r="7824" spans="1:15" x14ac:dyDescent="0.25">
      <c r="A7824" t="s">
        <v>7837</v>
      </c>
      <c r="B7824">
        <v>762</v>
      </c>
      <c r="C7824" s="1" t="str">
        <f>HYPERLINK("http://www.rosaceae.org/gb/gbrowse/malus_x_domestica/?name=MDP0000742986","MDP0000742986")</f>
        <v>MDP0000742986</v>
      </c>
      <c r="D7824">
        <v>76.849999999999994</v>
      </c>
      <c r="E7824">
        <v>592</v>
      </c>
      <c r="F7824">
        <v>137</v>
      </c>
      <c r="G7824">
        <v>14</v>
      </c>
      <c r="H7824">
        <v>1</v>
      </c>
      <c r="I7824">
        <v>586</v>
      </c>
      <c r="J7824">
        <v>1</v>
      </c>
      <c r="K7824">
        <v>1</v>
      </c>
      <c r="L7824">
        <v>584</v>
      </c>
      <c r="M7824">
        <v>1</v>
      </c>
      <c r="N7824">
        <v>0</v>
      </c>
      <c r="O7824">
        <v>2404</v>
      </c>
    </row>
    <row r="7825" spans="1:15" x14ac:dyDescent="0.25">
      <c r="A7825" t="s">
        <v>7838</v>
      </c>
      <c r="B7825">
        <v>293</v>
      </c>
      <c r="C7825" s="1" t="str">
        <f>HYPERLINK("http://www.rosaceae.org/gb/gbrowse/malus_x_domestica/?name=MDP0000192051","MDP0000192051")</f>
        <v>MDP0000192051</v>
      </c>
      <c r="D7825">
        <v>42.39</v>
      </c>
      <c r="E7825">
        <v>184</v>
      </c>
      <c r="F7825">
        <v>106</v>
      </c>
      <c r="G7825">
        <v>27</v>
      </c>
      <c r="H7825">
        <v>122</v>
      </c>
      <c r="I7825">
        <v>288</v>
      </c>
      <c r="J7825">
        <v>1</v>
      </c>
      <c r="K7825">
        <v>76</v>
      </c>
      <c r="L7825">
        <v>249</v>
      </c>
      <c r="M7825">
        <v>1</v>
      </c>
      <c r="N7825">
        <v>4.2885700000000003E-21</v>
      </c>
      <c r="O7825">
        <v>246</v>
      </c>
    </row>
    <row r="7826" spans="1:15" x14ac:dyDescent="0.25">
      <c r="A7826" t="s">
        <v>7839</v>
      </c>
      <c r="B7826">
        <v>338</v>
      </c>
      <c r="C7826" s="1" t="str">
        <f>HYPERLINK("http://www.rosaceae.org/gb/gbrowse/malus_x_domestica/?name=MDP0000145686","MDP0000145686")</f>
        <v>MDP0000145686</v>
      </c>
      <c r="D7826">
        <v>51.66</v>
      </c>
      <c r="E7826">
        <v>120</v>
      </c>
      <c r="F7826">
        <v>58</v>
      </c>
      <c r="G7826">
        <v>1</v>
      </c>
      <c r="H7826">
        <v>139</v>
      </c>
      <c r="I7826">
        <v>258</v>
      </c>
      <c r="J7826">
        <v>1</v>
      </c>
      <c r="K7826">
        <v>33</v>
      </c>
      <c r="L7826">
        <v>151</v>
      </c>
      <c r="M7826">
        <v>1</v>
      </c>
      <c r="N7826">
        <v>2.8782200000000001E-30</v>
      </c>
      <c r="O7826">
        <v>326</v>
      </c>
    </row>
    <row r="7827" spans="1:15" x14ac:dyDescent="0.25">
      <c r="A7827" t="s">
        <v>7840</v>
      </c>
      <c r="B7827">
        <v>234</v>
      </c>
      <c r="C7827" s="1" t="str">
        <f>HYPERLINK("http://www.rosaceae.org/gb/gbrowse/malus_x_domestica/?name=MDP0000233489","MDP0000233489")</f>
        <v>MDP0000233489</v>
      </c>
      <c r="D7827">
        <v>45.52</v>
      </c>
      <c r="E7827">
        <v>268</v>
      </c>
      <c r="F7827">
        <v>146</v>
      </c>
      <c r="G7827">
        <v>39</v>
      </c>
      <c r="H7827">
        <v>1</v>
      </c>
      <c r="I7827">
        <v>229</v>
      </c>
      <c r="J7827">
        <v>1</v>
      </c>
      <c r="K7827">
        <v>1</v>
      </c>
      <c r="L7827">
        <v>268</v>
      </c>
      <c r="M7827">
        <v>1</v>
      </c>
      <c r="N7827">
        <v>5.0873000000000002E-50</v>
      </c>
      <c r="O7827">
        <v>494</v>
      </c>
    </row>
    <row r="7828" spans="1:15" x14ac:dyDescent="0.25">
      <c r="A7828" t="s">
        <v>7841</v>
      </c>
      <c r="B7828">
        <v>580</v>
      </c>
      <c r="C7828" s="1" t="str">
        <f>HYPERLINK("http://www.rosaceae.org/gb/gbrowse/malus_x_domestica/?name=MDP0000157756","MDP0000157756")</f>
        <v>MDP0000157756</v>
      </c>
      <c r="D7828">
        <v>49.74</v>
      </c>
      <c r="E7828">
        <v>593</v>
      </c>
      <c r="F7828">
        <v>298</v>
      </c>
      <c r="G7828">
        <v>44</v>
      </c>
      <c r="H7828">
        <v>17</v>
      </c>
      <c r="I7828">
        <v>580</v>
      </c>
      <c r="J7828">
        <v>1</v>
      </c>
      <c r="K7828">
        <v>17</v>
      </c>
      <c r="L7828">
        <v>594</v>
      </c>
      <c r="M7828">
        <v>1</v>
      </c>
      <c r="N7828">
        <v>2.9042E-131</v>
      </c>
      <c r="O7828">
        <v>1199</v>
      </c>
    </row>
    <row r="7829" spans="1:15" x14ac:dyDescent="0.25">
      <c r="A7829" t="s">
        <v>7842</v>
      </c>
      <c r="B7829">
        <v>480</v>
      </c>
      <c r="C7829" s="1" t="str">
        <f>HYPERLINK("http://www.rosaceae.org/gb/gbrowse/malus_x_domestica/?name=MDP0000325411","MDP0000325411")</f>
        <v>MDP0000325411</v>
      </c>
      <c r="D7829">
        <v>86.66</v>
      </c>
      <c r="E7829">
        <v>480</v>
      </c>
      <c r="F7829">
        <v>64</v>
      </c>
      <c r="G7829">
        <v>0</v>
      </c>
      <c r="H7829">
        <v>1</v>
      </c>
      <c r="I7829">
        <v>480</v>
      </c>
      <c r="J7829">
        <v>1</v>
      </c>
      <c r="K7829">
        <v>1</v>
      </c>
      <c r="L7829">
        <v>480</v>
      </c>
      <c r="M7829">
        <v>1</v>
      </c>
      <c r="N7829">
        <v>0</v>
      </c>
      <c r="O7829">
        <v>2113</v>
      </c>
    </row>
    <row r="7830" spans="1:15" x14ac:dyDescent="0.25">
      <c r="A7830" t="s">
        <v>7843</v>
      </c>
      <c r="B7830">
        <v>695</v>
      </c>
      <c r="C7830" s="1" t="str">
        <f>HYPERLINK("http://www.rosaceae.org/gb/gbrowse/malus_x_domestica/?name=MDP0000194603","MDP0000194603")</f>
        <v>MDP0000194603</v>
      </c>
      <c r="D7830">
        <v>73.010000000000005</v>
      </c>
      <c r="E7830">
        <v>693</v>
      </c>
      <c r="F7830">
        <v>187</v>
      </c>
      <c r="G7830">
        <v>11</v>
      </c>
      <c r="H7830">
        <v>12</v>
      </c>
      <c r="I7830">
        <v>695</v>
      </c>
      <c r="J7830">
        <v>1</v>
      </c>
      <c r="K7830">
        <v>1</v>
      </c>
      <c r="L7830">
        <v>691</v>
      </c>
      <c r="M7830">
        <v>1</v>
      </c>
      <c r="N7830">
        <v>0</v>
      </c>
      <c r="O7830">
        <v>2591</v>
      </c>
    </row>
    <row r="7831" spans="1:15" x14ac:dyDescent="0.25">
      <c r="A7831" t="s">
        <v>7844</v>
      </c>
      <c r="B7831">
        <v>376</v>
      </c>
      <c r="C7831" s="1" t="str">
        <f>HYPERLINK("http://www.rosaceae.org/gb/gbrowse/malus_x_domestica/?name=MDP0000136940","MDP0000136940")</f>
        <v>MDP0000136940</v>
      </c>
      <c r="D7831">
        <v>77.12</v>
      </c>
      <c r="E7831">
        <v>376</v>
      </c>
      <c r="F7831">
        <v>86</v>
      </c>
      <c r="G7831">
        <v>3</v>
      </c>
      <c r="H7831">
        <v>1</v>
      </c>
      <c r="I7831">
        <v>376</v>
      </c>
      <c r="J7831">
        <v>1</v>
      </c>
      <c r="K7831">
        <v>1</v>
      </c>
      <c r="L7831">
        <v>373</v>
      </c>
      <c r="M7831">
        <v>1</v>
      </c>
      <c r="N7831">
        <v>1.1214799999999999E-177</v>
      </c>
      <c r="O7831">
        <v>1597</v>
      </c>
    </row>
    <row r="7832" spans="1:15" x14ac:dyDescent="0.25">
      <c r="A7832" t="s">
        <v>7845</v>
      </c>
      <c r="B7832">
        <v>381</v>
      </c>
      <c r="C7832" s="1" t="str">
        <f>HYPERLINK("http://www.rosaceae.org/gb/gbrowse/malus_x_domestica/?name=MDP0000197172","MDP0000197172")</f>
        <v>MDP0000197172</v>
      </c>
      <c r="D7832">
        <v>57.63</v>
      </c>
      <c r="E7832">
        <v>432</v>
      </c>
      <c r="F7832">
        <v>183</v>
      </c>
      <c r="G7832">
        <v>60</v>
      </c>
      <c r="H7832">
        <v>1</v>
      </c>
      <c r="I7832">
        <v>379</v>
      </c>
      <c r="J7832">
        <v>1</v>
      </c>
      <c r="K7832">
        <v>1</v>
      </c>
      <c r="L7832">
        <v>425</v>
      </c>
      <c r="M7832">
        <v>1</v>
      </c>
      <c r="N7832">
        <v>7.0366299999999997E-122</v>
      </c>
      <c r="O7832">
        <v>1116</v>
      </c>
    </row>
    <row r="7833" spans="1:15" x14ac:dyDescent="0.25">
      <c r="A7833" t="s">
        <v>7846</v>
      </c>
      <c r="B7833">
        <v>339</v>
      </c>
      <c r="C7833" s="1" t="str">
        <f>HYPERLINK("http://www.rosaceae.org/gb/gbrowse/malus_x_domestica/?name=MDP0000888928","MDP0000888928")</f>
        <v>MDP0000888928</v>
      </c>
      <c r="D7833">
        <v>80.58</v>
      </c>
      <c r="E7833">
        <v>340</v>
      </c>
      <c r="F7833">
        <v>66</v>
      </c>
      <c r="G7833">
        <v>4</v>
      </c>
      <c r="H7833">
        <v>2</v>
      </c>
      <c r="I7833">
        <v>339</v>
      </c>
      <c r="J7833">
        <v>1</v>
      </c>
      <c r="K7833">
        <v>1</v>
      </c>
      <c r="L7833">
        <v>338</v>
      </c>
      <c r="M7833">
        <v>1</v>
      </c>
      <c r="N7833">
        <v>3.6220599999999999E-144</v>
      </c>
      <c r="O7833">
        <v>1308</v>
      </c>
    </row>
    <row r="7834" spans="1:15" x14ac:dyDescent="0.25">
      <c r="A7834" t="s">
        <v>7847</v>
      </c>
      <c r="B7834">
        <v>239</v>
      </c>
      <c r="C7834" s="1" t="str">
        <f>HYPERLINK("http://www.rosaceae.org/gb/gbrowse/malus_x_domestica/?name=MDP0000136296","MDP0000136296")</f>
        <v>MDP0000136296</v>
      </c>
      <c r="D7834">
        <v>81.319999999999993</v>
      </c>
      <c r="E7834">
        <v>241</v>
      </c>
      <c r="F7834">
        <v>45</v>
      </c>
      <c r="G7834">
        <v>3</v>
      </c>
      <c r="H7834">
        <v>1</v>
      </c>
      <c r="I7834">
        <v>238</v>
      </c>
      <c r="J7834">
        <v>1</v>
      </c>
      <c r="K7834">
        <v>1</v>
      </c>
      <c r="L7834">
        <v>241</v>
      </c>
      <c r="M7834">
        <v>1</v>
      </c>
      <c r="N7834">
        <v>1.1174199999999999E-109</v>
      </c>
      <c r="O7834">
        <v>1009</v>
      </c>
    </row>
    <row r="7835" spans="1:15" x14ac:dyDescent="0.25">
      <c r="A7835" t="s">
        <v>7848</v>
      </c>
      <c r="B7835">
        <v>1524</v>
      </c>
      <c r="C7835" s="1" t="str">
        <f>HYPERLINK("http://www.rosaceae.org/gb/gbrowse/malus_x_domestica/?name=MDP0000177079","MDP0000177079")</f>
        <v>MDP0000177079</v>
      </c>
      <c r="D7835">
        <v>68.05</v>
      </c>
      <c r="E7835">
        <v>479</v>
      </c>
      <c r="F7835">
        <v>153</v>
      </c>
      <c r="G7835">
        <v>2</v>
      </c>
      <c r="H7835">
        <v>1045</v>
      </c>
      <c r="I7835">
        <v>1522</v>
      </c>
      <c r="J7835">
        <v>1</v>
      </c>
      <c r="K7835">
        <v>35</v>
      </c>
      <c r="L7835">
        <v>512</v>
      </c>
      <c r="M7835">
        <v>1</v>
      </c>
      <c r="N7835">
        <v>0</v>
      </c>
      <c r="O7835">
        <v>1784</v>
      </c>
    </row>
    <row r="7836" spans="1:15" x14ac:dyDescent="0.25">
      <c r="A7836" t="s">
        <v>7849</v>
      </c>
      <c r="B7836">
        <v>1317</v>
      </c>
      <c r="C7836" s="1" t="str">
        <f>HYPERLINK("http://www.rosaceae.org/gb/gbrowse/malus_x_domestica/?name=MDP0000895663","MDP0000895663")</f>
        <v>MDP0000895663</v>
      </c>
      <c r="D7836">
        <v>75.040000000000006</v>
      </c>
      <c r="E7836">
        <v>581</v>
      </c>
      <c r="F7836">
        <v>145</v>
      </c>
      <c r="G7836">
        <v>8</v>
      </c>
      <c r="H7836">
        <v>733</v>
      </c>
      <c r="I7836">
        <v>1313</v>
      </c>
      <c r="J7836">
        <v>1</v>
      </c>
      <c r="K7836">
        <v>1</v>
      </c>
      <c r="L7836">
        <v>573</v>
      </c>
      <c r="M7836">
        <v>1</v>
      </c>
      <c r="N7836">
        <v>0</v>
      </c>
      <c r="O7836">
        <v>2382</v>
      </c>
    </row>
    <row r="7837" spans="1:15" x14ac:dyDescent="0.25">
      <c r="A7837" t="s">
        <v>7850</v>
      </c>
      <c r="B7837">
        <v>153</v>
      </c>
      <c r="C7837" s="1" t="str">
        <f>HYPERLINK("http://www.rosaceae.org/gb/gbrowse/malus_x_domestica/?name=MDP0000370825","MDP0000370825")</f>
        <v>MDP0000370825</v>
      </c>
      <c r="D7837">
        <v>74.66</v>
      </c>
      <c r="E7837">
        <v>150</v>
      </c>
      <c r="F7837">
        <v>38</v>
      </c>
      <c r="G7837">
        <v>0</v>
      </c>
      <c r="H7837">
        <v>4</v>
      </c>
      <c r="I7837">
        <v>153</v>
      </c>
      <c r="J7837">
        <v>1</v>
      </c>
      <c r="K7837">
        <v>167</v>
      </c>
      <c r="L7837">
        <v>316</v>
      </c>
      <c r="M7837">
        <v>1</v>
      </c>
      <c r="N7837">
        <v>2.0627600000000001E-64</v>
      </c>
      <c r="O7837">
        <v>615</v>
      </c>
    </row>
    <row r="7838" spans="1:15" x14ac:dyDescent="0.25">
      <c r="A7838" t="s">
        <v>7851</v>
      </c>
      <c r="B7838">
        <v>247</v>
      </c>
      <c r="C7838" s="1" t="str">
        <f>HYPERLINK("http://www.rosaceae.org/gb/gbrowse/malus_x_domestica/?name=MDP0000629961","MDP0000629961")</f>
        <v>MDP0000629961</v>
      </c>
      <c r="D7838">
        <v>76.47</v>
      </c>
      <c r="E7838">
        <v>34</v>
      </c>
      <c r="F7838">
        <v>8</v>
      </c>
      <c r="G7838">
        <v>0</v>
      </c>
      <c r="H7838">
        <v>1</v>
      </c>
      <c r="I7838">
        <v>34</v>
      </c>
      <c r="J7838">
        <v>1</v>
      </c>
      <c r="K7838">
        <v>84</v>
      </c>
      <c r="L7838">
        <v>117</v>
      </c>
      <c r="M7838">
        <v>1</v>
      </c>
      <c r="N7838">
        <v>4.3136200000000001E-10</v>
      </c>
      <c r="O7838">
        <v>150</v>
      </c>
    </row>
    <row r="7839" spans="1:15" x14ac:dyDescent="0.25">
      <c r="A7839" t="s">
        <v>7852</v>
      </c>
      <c r="B7839">
        <v>945</v>
      </c>
      <c r="C7839" s="1" t="str">
        <f>HYPERLINK("http://www.rosaceae.org/gb/gbrowse/malus_x_domestica/?name=MDP0000145652","MDP0000145652")</f>
        <v>MDP0000145652</v>
      </c>
      <c r="D7839">
        <v>58.51</v>
      </c>
      <c r="E7839">
        <v>846</v>
      </c>
      <c r="F7839">
        <v>351</v>
      </c>
      <c r="G7839">
        <v>8</v>
      </c>
      <c r="H7839">
        <v>106</v>
      </c>
      <c r="I7839">
        <v>944</v>
      </c>
      <c r="J7839">
        <v>1</v>
      </c>
      <c r="K7839">
        <v>364</v>
      </c>
      <c r="L7839">
        <v>1208</v>
      </c>
      <c r="M7839">
        <v>1</v>
      </c>
      <c r="N7839">
        <v>0</v>
      </c>
      <c r="O7839">
        <v>2477</v>
      </c>
    </row>
    <row r="7840" spans="1:15" x14ac:dyDescent="0.25">
      <c r="A7840" t="s">
        <v>7853</v>
      </c>
      <c r="B7840">
        <v>336</v>
      </c>
      <c r="C7840" s="1" t="str">
        <f>HYPERLINK("http://www.rosaceae.org/gb/gbrowse/malus_x_domestica/?name=MDP0000280525","MDP0000280525")</f>
        <v>MDP0000280525</v>
      </c>
      <c r="D7840">
        <v>41.98</v>
      </c>
      <c r="E7840">
        <v>131</v>
      </c>
      <c r="F7840">
        <v>76</v>
      </c>
      <c r="G7840">
        <v>39</v>
      </c>
      <c r="H7840">
        <v>160</v>
      </c>
      <c r="I7840">
        <v>259</v>
      </c>
      <c r="J7840">
        <v>1</v>
      </c>
      <c r="K7840">
        <v>316</v>
      </c>
      <c r="L7840">
        <v>438</v>
      </c>
      <c r="M7840">
        <v>1</v>
      </c>
      <c r="N7840">
        <v>3.4129499999999997E-17</v>
      </c>
      <c r="O7840">
        <v>213</v>
      </c>
    </row>
    <row r="7841" spans="1:15" x14ac:dyDescent="0.25">
      <c r="A7841" t="s">
        <v>7854</v>
      </c>
      <c r="B7841">
        <v>442</v>
      </c>
      <c r="C7841" s="1" t="str">
        <f>HYPERLINK("http://www.rosaceae.org/gb/gbrowse/malus_x_domestica/?name=MDP0000197975","MDP0000197975")</f>
        <v>MDP0000197975</v>
      </c>
      <c r="D7841">
        <v>61.03</v>
      </c>
      <c r="E7841">
        <v>444</v>
      </c>
      <c r="F7841">
        <v>173</v>
      </c>
      <c r="G7841">
        <v>37</v>
      </c>
      <c r="H7841">
        <v>6</v>
      </c>
      <c r="I7841">
        <v>418</v>
      </c>
      <c r="J7841">
        <v>1</v>
      </c>
      <c r="K7841">
        <v>22</v>
      </c>
      <c r="L7841">
        <v>459</v>
      </c>
      <c r="M7841">
        <v>1</v>
      </c>
      <c r="N7841">
        <v>1.44838E-144</v>
      </c>
      <c r="O7841">
        <v>1313</v>
      </c>
    </row>
    <row r="7842" spans="1:15" x14ac:dyDescent="0.25">
      <c r="A7842" t="s">
        <v>7855</v>
      </c>
      <c r="B7842">
        <v>173</v>
      </c>
      <c r="C7842" s="1" t="str">
        <f>HYPERLINK("http://www.rosaceae.org/gb/gbrowse/malus_x_domestica/?name=MDP0000179821","MDP0000179821")</f>
        <v>MDP0000179821</v>
      </c>
      <c r="D7842">
        <v>80.64</v>
      </c>
      <c r="E7842">
        <v>31</v>
      </c>
      <c r="F7842">
        <v>6</v>
      </c>
      <c r="G7842">
        <v>0</v>
      </c>
      <c r="H7842">
        <v>78</v>
      </c>
      <c r="I7842">
        <v>108</v>
      </c>
      <c r="J7842">
        <v>1</v>
      </c>
      <c r="K7842">
        <v>257</v>
      </c>
      <c r="L7842">
        <v>287</v>
      </c>
      <c r="M7842">
        <v>1</v>
      </c>
      <c r="N7842">
        <v>1.7602699999999999E-8</v>
      </c>
      <c r="O7842">
        <v>134</v>
      </c>
    </row>
    <row r="7843" spans="1:15" x14ac:dyDescent="0.25">
      <c r="A7843" t="s">
        <v>7856</v>
      </c>
      <c r="B7843">
        <v>534</v>
      </c>
      <c r="C7843" s="1" t="str">
        <f>HYPERLINK("http://www.rosaceae.org/gb/gbrowse/malus_x_domestica/?name=MDP0000247054","MDP0000247054")</f>
        <v>MDP0000247054</v>
      </c>
      <c r="D7843">
        <v>81.430000000000007</v>
      </c>
      <c r="E7843">
        <v>307</v>
      </c>
      <c r="F7843">
        <v>57</v>
      </c>
      <c r="G7843">
        <v>18</v>
      </c>
      <c r="H7843">
        <v>35</v>
      </c>
      <c r="I7843">
        <v>326</v>
      </c>
      <c r="J7843">
        <v>1</v>
      </c>
      <c r="K7843">
        <v>42</v>
      </c>
      <c r="L7843">
        <v>345</v>
      </c>
      <c r="M7843">
        <v>1</v>
      </c>
      <c r="N7843">
        <v>2.4185999999999999E-141</v>
      </c>
      <c r="O7843">
        <v>1286</v>
      </c>
    </row>
    <row r="7844" spans="1:15" x14ac:dyDescent="0.25">
      <c r="A7844" t="s">
        <v>7857</v>
      </c>
      <c r="B7844">
        <v>814</v>
      </c>
      <c r="C7844" s="1" t="str">
        <f>HYPERLINK("http://www.rosaceae.org/gb/gbrowse/malus_x_domestica/?name=MDP0000302293","MDP0000302293")</f>
        <v>MDP0000302293</v>
      </c>
      <c r="D7844">
        <v>77.14</v>
      </c>
      <c r="E7844">
        <v>442</v>
      </c>
      <c r="F7844">
        <v>101</v>
      </c>
      <c r="G7844">
        <v>1</v>
      </c>
      <c r="H7844">
        <v>293</v>
      </c>
      <c r="I7844">
        <v>734</v>
      </c>
      <c r="J7844">
        <v>1</v>
      </c>
      <c r="K7844">
        <v>1</v>
      </c>
      <c r="L7844">
        <v>441</v>
      </c>
      <c r="M7844">
        <v>1</v>
      </c>
      <c r="N7844">
        <v>0</v>
      </c>
      <c r="O7844">
        <v>1650</v>
      </c>
    </row>
    <row r="7845" spans="1:15" x14ac:dyDescent="0.25">
      <c r="A7845" t="s">
        <v>7858</v>
      </c>
      <c r="B7845">
        <v>301</v>
      </c>
      <c r="C7845" s="1" t="str">
        <f>HYPERLINK("http://www.rosaceae.org/gb/gbrowse/malus_x_domestica/?name=MDP0000301374","MDP0000301374")</f>
        <v>MDP0000301374</v>
      </c>
      <c r="D7845">
        <v>60.77</v>
      </c>
      <c r="E7845">
        <v>181</v>
      </c>
      <c r="F7845">
        <v>71</v>
      </c>
      <c r="G7845">
        <v>0</v>
      </c>
      <c r="H7845">
        <v>1</v>
      </c>
      <c r="I7845">
        <v>181</v>
      </c>
      <c r="J7845">
        <v>1</v>
      </c>
      <c r="K7845">
        <v>326</v>
      </c>
      <c r="L7845">
        <v>506</v>
      </c>
      <c r="M7845">
        <v>1</v>
      </c>
      <c r="N7845">
        <v>2.6608900000000001E-54</v>
      </c>
      <c r="O7845">
        <v>532</v>
      </c>
    </row>
    <row r="7846" spans="1:15" x14ac:dyDescent="0.25">
      <c r="A7846" t="s">
        <v>7859</v>
      </c>
      <c r="B7846">
        <v>377</v>
      </c>
      <c r="C7846" s="1" t="str">
        <f>HYPERLINK("http://www.rosaceae.org/gb/gbrowse/malus_x_domestica/?name=MDP0000634516","MDP0000634516")</f>
        <v>MDP0000634516</v>
      </c>
      <c r="D7846">
        <v>75</v>
      </c>
      <c r="E7846">
        <v>272</v>
      </c>
      <c r="F7846">
        <v>68</v>
      </c>
      <c r="G7846">
        <v>0</v>
      </c>
      <c r="H7846">
        <v>104</v>
      </c>
      <c r="I7846">
        <v>375</v>
      </c>
      <c r="J7846">
        <v>1</v>
      </c>
      <c r="K7846">
        <v>61</v>
      </c>
      <c r="L7846">
        <v>332</v>
      </c>
      <c r="M7846">
        <v>1</v>
      </c>
      <c r="N7846">
        <v>2.0422599999999998E-108</v>
      </c>
      <c r="O7846">
        <v>1000</v>
      </c>
    </row>
    <row r="7847" spans="1:15" x14ac:dyDescent="0.25">
      <c r="A7847" t="s">
        <v>7860</v>
      </c>
      <c r="B7847">
        <v>284</v>
      </c>
      <c r="C7847" s="1" t="str">
        <f>HYPERLINK("http://www.rosaceae.org/gb/gbrowse/malus_x_domestica/?name=MDP0000259898","MDP0000259898")</f>
        <v>MDP0000259898</v>
      </c>
      <c r="D7847">
        <v>58.52</v>
      </c>
      <c r="E7847">
        <v>311</v>
      </c>
      <c r="F7847">
        <v>129</v>
      </c>
      <c r="G7847">
        <v>41</v>
      </c>
      <c r="H7847">
        <v>1</v>
      </c>
      <c r="I7847">
        <v>281</v>
      </c>
      <c r="J7847">
        <v>1</v>
      </c>
      <c r="K7847">
        <v>1</v>
      </c>
      <c r="L7847">
        <v>300</v>
      </c>
      <c r="M7847">
        <v>1</v>
      </c>
      <c r="N7847">
        <v>1.8272700000000001E-94</v>
      </c>
      <c r="O7847">
        <v>878</v>
      </c>
    </row>
    <row r="7848" spans="1:15" x14ac:dyDescent="0.25">
      <c r="A7848" t="s">
        <v>7861</v>
      </c>
      <c r="B7848">
        <v>230</v>
      </c>
      <c r="C7848" s="1" t="str">
        <f>HYPERLINK("http://www.rosaceae.org/gb/gbrowse/malus_x_domestica/?name=MDP0000148000","MDP0000148000")</f>
        <v>MDP0000148000</v>
      </c>
      <c r="D7848">
        <v>83.75</v>
      </c>
      <c r="E7848">
        <v>197</v>
      </c>
      <c r="F7848">
        <v>32</v>
      </c>
      <c r="G7848">
        <v>3</v>
      </c>
      <c r="H7848">
        <v>34</v>
      </c>
      <c r="I7848">
        <v>229</v>
      </c>
      <c r="J7848">
        <v>1</v>
      </c>
      <c r="K7848">
        <v>1</v>
      </c>
      <c r="L7848">
        <v>195</v>
      </c>
      <c r="M7848">
        <v>1</v>
      </c>
      <c r="N7848">
        <v>1.17934E-95</v>
      </c>
      <c r="O7848">
        <v>887</v>
      </c>
    </row>
    <row r="7849" spans="1:15" x14ac:dyDescent="0.25">
      <c r="A7849" t="s">
        <v>7862</v>
      </c>
      <c r="B7849">
        <v>132</v>
      </c>
      <c r="C7849" s="1" t="str">
        <f>HYPERLINK("http://www.rosaceae.org/gb/gbrowse/malus_x_domestica/?name=MDP0000289261","MDP0000289261")</f>
        <v>MDP0000289261</v>
      </c>
      <c r="D7849">
        <v>36.5</v>
      </c>
      <c r="E7849">
        <v>126</v>
      </c>
      <c r="F7849">
        <v>80</v>
      </c>
      <c r="G7849">
        <v>10</v>
      </c>
      <c r="H7849">
        <v>2</v>
      </c>
      <c r="I7849">
        <v>124</v>
      </c>
      <c r="J7849">
        <v>1</v>
      </c>
      <c r="K7849">
        <v>3</v>
      </c>
      <c r="L7849">
        <v>121</v>
      </c>
      <c r="M7849">
        <v>1</v>
      </c>
      <c r="N7849">
        <v>1.0075E-11</v>
      </c>
      <c r="O7849">
        <v>159</v>
      </c>
    </row>
    <row r="7850" spans="1:15" x14ac:dyDescent="0.25">
      <c r="A7850" t="s">
        <v>7863</v>
      </c>
      <c r="B7850">
        <v>213</v>
      </c>
      <c r="C7850" s="1" t="str">
        <f>HYPERLINK("http://www.rosaceae.org/gb/gbrowse/malus_x_domestica/?name=MDP0000249255","MDP0000249255")</f>
        <v>MDP0000249255</v>
      </c>
      <c r="D7850">
        <v>57.27</v>
      </c>
      <c r="E7850">
        <v>213</v>
      </c>
      <c r="F7850">
        <v>91</v>
      </c>
      <c r="G7850">
        <v>17</v>
      </c>
      <c r="H7850">
        <v>1</v>
      </c>
      <c r="I7850">
        <v>213</v>
      </c>
      <c r="J7850">
        <v>1</v>
      </c>
      <c r="K7850">
        <v>404</v>
      </c>
      <c r="L7850">
        <v>599</v>
      </c>
      <c r="M7850">
        <v>1</v>
      </c>
      <c r="N7850">
        <v>1.0488799999999999E-59</v>
      </c>
      <c r="O7850">
        <v>577</v>
      </c>
    </row>
    <row r="7851" spans="1:15" x14ac:dyDescent="0.25">
      <c r="A7851" t="s">
        <v>7864</v>
      </c>
      <c r="B7851">
        <v>467</v>
      </c>
      <c r="C7851" s="1" t="str">
        <f>HYPERLINK("http://www.rosaceae.org/gb/gbrowse/malus_x_domestica/?name=MDP0000012534","MDP0000012534")</f>
        <v>MDP0000012534</v>
      </c>
      <c r="D7851">
        <v>61.06</v>
      </c>
      <c r="E7851">
        <v>470</v>
      </c>
      <c r="F7851">
        <v>183</v>
      </c>
      <c r="G7851">
        <v>16</v>
      </c>
      <c r="H7851">
        <v>1</v>
      </c>
      <c r="I7851">
        <v>465</v>
      </c>
      <c r="J7851">
        <v>1</v>
      </c>
      <c r="K7851">
        <v>17</v>
      </c>
      <c r="L7851">
        <v>475</v>
      </c>
      <c r="M7851">
        <v>1</v>
      </c>
      <c r="N7851">
        <v>1.3424299999999999E-165</v>
      </c>
      <c r="O7851">
        <v>1494</v>
      </c>
    </row>
    <row r="7852" spans="1:15" x14ac:dyDescent="0.25">
      <c r="A7852" t="s">
        <v>7865</v>
      </c>
      <c r="B7852">
        <v>102</v>
      </c>
      <c r="C7852" s="1" t="str">
        <f>HYPERLINK("http://www.rosaceae.org/gb/gbrowse/malus_x_domestica/?name=MDP0000889408","MDP0000889408")</f>
        <v>MDP0000889408</v>
      </c>
      <c r="D7852">
        <v>87.5</v>
      </c>
      <c r="E7852">
        <v>56</v>
      </c>
      <c r="F7852">
        <v>7</v>
      </c>
      <c r="G7852">
        <v>1</v>
      </c>
      <c r="H7852">
        <v>9</v>
      </c>
      <c r="I7852">
        <v>63</v>
      </c>
      <c r="J7852">
        <v>1</v>
      </c>
      <c r="K7852">
        <v>421</v>
      </c>
      <c r="L7852">
        <v>476</v>
      </c>
      <c r="M7852">
        <v>1</v>
      </c>
      <c r="N7852">
        <v>1.2178399999999999E-22</v>
      </c>
      <c r="O7852">
        <v>253</v>
      </c>
    </row>
    <row r="7853" spans="1:15" x14ac:dyDescent="0.25">
      <c r="A7853" t="s">
        <v>7866</v>
      </c>
      <c r="B7853">
        <v>429</v>
      </c>
      <c r="C7853" s="1" t="str">
        <f>HYPERLINK("http://www.rosaceae.org/gb/gbrowse/malus_x_domestica/?name=MDP0000504527","MDP0000504527")</f>
        <v>MDP0000504527</v>
      </c>
      <c r="D7853">
        <v>69.73</v>
      </c>
      <c r="E7853">
        <v>413</v>
      </c>
      <c r="F7853">
        <v>125</v>
      </c>
      <c r="G7853">
        <v>11</v>
      </c>
      <c r="H7853">
        <v>27</v>
      </c>
      <c r="I7853">
        <v>429</v>
      </c>
      <c r="J7853">
        <v>1</v>
      </c>
      <c r="K7853">
        <v>96</v>
      </c>
      <c r="L7853">
        <v>507</v>
      </c>
      <c r="M7853">
        <v>1</v>
      </c>
      <c r="N7853">
        <v>1.1496299999999999E-166</v>
      </c>
      <c r="O7853">
        <v>1503</v>
      </c>
    </row>
    <row r="7854" spans="1:15" x14ac:dyDescent="0.25">
      <c r="A7854" t="s">
        <v>7867</v>
      </c>
      <c r="B7854">
        <v>361</v>
      </c>
      <c r="C7854" s="1" t="str">
        <f>HYPERLINK("http://www.rosaceae.org/gb/gbrowse/malus_x_domestica/?name=MDP0000690736","MDP0000690736")</f>
        <v>MDP0000690736</v>
      </c>
      <c r="D7854">
        <v>44.97</v>
      </c>
      <c r="E7854">
        <v>249</v>
      </c>
      <c r="F7854">
        <v>137</v>
      </c>
      <c r="G7854">
        <v>36</v>
      </c>
      <c r="H7854">
        <v>88</v>
      </c>
      <c r="I7854">
        <v>309</v>
      </c>
      <c r="J7854">
        <v>1</v>
      </c>
      <c r="K7854">
        <v>137</v>
      </c>
      <c r="L7854">
        <v>376</v>
      </c>
      <c r="M7854">
        <v>1</v>
      </c>
      <c r="N7854">
        <v>1.9086099999999999E-46</v>
      </c>
      <c r="O7854">
        <v>465</v>
      </c>
    </row>
    <row r="7855" spans="1:15" x14ac:dyDescent="0.25">
      <c r="A7855" t="s">
        <v>7868</v>
      </c>
      <c r="B7855">
        <v>1072</v>
      </c>
      <c r="C7855" s="1" t="str">
        <f>HYPERLINK("http://www.rosaceae.org/gb/gbrowse/malus_x_domestica/?name=MDP0000218903","MDP0000218903")</f>
        <v>MDP0000218903</v>
      </c>
      <c r="D7855">
        <v>73.180000000000007</v>
      </c>
      <c r="E7855">
        <v>1063</v>
      </c>
      <c r="F7855">
        <v>285</v>
      </c>
      <c r="G7855">
        <v>57</v>
      </c>
      <c r="H7855">
        <v>15</v>
      </c>
      <c r="I7855">
        <v>1072</v>
      </c>
      <c r="J7855">
        <v>1</v>
      </c>
      <c r="K7855">
        <v>9</v>
      </c>
      <c r="L7855">
        <v>1019</v>
      </c>
      <c r="M7855">
        <v>1</v>
      </c>
      <c r="N7855">
        <v>0</v>
      </c>
      <c r="O7855">
        <v>3878</v>
      </c>
    </row>
    <row r="7856" spans="1:15" x14ac:dyDescent="0.25">
      <c r="A7856" t="s">
        <v>7869</v>
      </c>
      <c r="B7856">
        <v>1001</v>
      </c>
      <c r="C7856" s="1" t="str">
        <f>HYPERLINK("http://www.rosaceae.org/gb/gbrowse/malus_x_domestica/?name=MDP0000263063","MDP0000263063")</f>
        <v>MDP0000263063</v>
      </c>
      <c r="D7856">
        <v>74.52</v>
      </c>
      <c r="E7856">
        <v>1005</v>
      </c>
      <c r="F7856">
        <v>256</v>
      </c>
      <c r="G7856">
        <v>83</v>
      </c>
      <c r="H7856">
        <v>6</v>
      </c>
      <c r="I7856">
        <v>1001</v>
      </c>
      <c r="J7856">
        <v>1</v>
      </c>
      <c r="K7856">
        <v>5</v>
      </c>
      <c r="L7856">
        <v>935</v>
      </c>
      <c r="M7856">
        <v>1</v>
      </c>
      <c r="N7856">
        <v>0</v>
      </c>
      <c r="O7856">
        <v>3830</v>
      </c>
    </row>
    <row r="7857" spans="1:15" x14ac:dyDescent="0.25">
      <c r="A7857" t="s">
        <v>7870</v>
      </c>
      <c r="B7857">
        <v>198</v>
      </c>
      <c r="C7857" s="1" t="str">
        <f>HYPERLINK("http://www.rosaceae.org/gb/gbrowse/malus_x_domestica/?name=MDP0000128950","MDP0000128950")</f>
        <v>MDP0000128950</v>
      </c>
      <c r="D7857">
        <v>38.81</v>
      </c>
      <c r="E7857">
        <v>152</v>
      </c>
      <c r="F7857">
        <v>93</v>
      </c>
      <c r="G7857">
        <v>29</v>
      </c>
      <c r="H7857">
        <v>9</v>
      </c>
      <c r="I7857">
        <v>157</v>
      </c>
      <c r="J7857">
        <v>1</v>
      </c>
      <c r="K7857">
        <v>261</v>
      </c>
      <c r="L7857">
        <v>386</v>
      </c>
      <c r="M7857">
        <v>1</v>
      </c>
      <c r="N7857">
        <v>8.7439000000000001E-18</v>
      </c>
      <c r="O7857">
        <v>215</v>
      </c>
    </row>
    <row r="7858" spans="1:15" x14ac:dyDescent="0.25">
      <c r="A7858" t="s">
        <v>7871</v>
      </c>
      <c r="B7858">
        <v>153</v>
      </c>
      <c r="C7858" s="1" t="str">
        <f>HYPERLINK("http://www.rosaceae.org/gb/gbrowse/malus_x_domestica/?name=MDP0000143951","MDP0000143951")</f>
        <v>MDP0000143951</v>
      </c>
      <c r="D7858">
        <v>73.91</v>
      </c>
      <c r="E7858">
        <v>69</v>
      </c>
      <c r="F7858">
        <v>18</v>
      </c>
      <c r="G7858">
        <v>0</v>
      </c>
      <c r="H7858">
        <v>78</v>
      </c>
      <c r="I7858">
        <v>146</v>
      </c>
      <c r="J7858">
        <v>1</v>
      </c>
      <c r="K7858">
        <v>83</v>
      </c>
      <c r="L7858">
        <v>151</v>
      </c>
      <c r="M7858">
        <v>1</v>
      </c>
      <c r="N7858">
        <v>3.3566600000000001E-25</v>
      </c>
      <c r="O7858">
        <v>277</v>
      </c>
    </row>
    <row r="7859" spans="1:15" x14ac:dyDescent="0.25">
      <c r="A7859" t="s">
        <v>7872</v>
      </c>
      <c r="B7859">
        <v>532</v>
      </c>
      <c r="C7859" s="1" t="str">
        <f>HYPERLINK("http://www.rosaceae.org/gb/gbrowse/malus_x_domestica/?name=MDP0000147745","MDP0000147745")</f>
        <v>MDP0000147745</v>
      </c>
      <c r="D7859">
        <v>56.06</v>
      </c>
      <c r="E7859">
        <v>544</v>
      </c>
      <c r="F7859">
        <v>239</v>
      </c>
      <c r="G7859">
        <v>53</v>
      </c>
      <c r="H7859">
        <v>38</v>
      </c>
      <c r="I7859">
        <v>532</v>
      </c>
      <c r="J7859">
        <v>1</v>
      </c>
      <c r="K7859">
        <v>49</v>
      </c>
      <c r="L7859">
        <v>588</v>
      </c>
      <c r="M7859">
        <v>1</v>
      </c>
      <c r="N7859">
        <v>2.7179300000000002E-154</v>
      </c>
      <c r="O7859">
        <v>1397</v>
      </c>
    </row>
    <row r="7860" spans="1:15" x14ac:dyDescent="0.25">
      <c r="A7860" t="s">
        <v>7873</v>
      </c>
      <c r="B7860">
        <v>518</v>
      </c>
      <c r="C7860" s="1" t="str">
        <f>HYPERLINK("http://www.rosaceae.org/gb/gbrowse/malus_x_domestica/?name=MDP0000151239","MDP0000151239")</f>
        <v>MDP0000151239</v>
      </c>
      <c r="D7860">
        <v>72.89</v>
      </c>
      <c r="E7860">
        <v>391</v>
      </c>
      <c r="F7860">
        <v>106</v>
      </c>
      <c r="G7860">
        <v>11</v>
      </c>
      <c r="H7860">
        <v>115</v>
      </c>
      <c r="I7860">
        <v>501</v>
      </c>
      <c r="J7860">
        <v>1</v>
      </c>
      <c r="K7860">
        <v>1</v>
      </c>
      <c r="L7860">
        <v>384</v>
      </c>
      <c r="M7860">
        <v>1</v>
      </c>
      <c r="N7860">
        <v>6.5690499999999994E-160</v>
      </c>
      <c r="O7860">
        <v>1446</v>
      </c>
    </row>
    <row r="7861" spans="1:15" x14ac:dyDescent="0.25">
      <c r="A7861" t="s">
        <v>7874</v>
      </c>
      <c r="B7861">
        <v>379</v>
      </c>
      <c r="C7861" s="1" t="str">
        <f>HYPERLINK("http://www.rosaceae.org/gb/gbrowse/malus_x_domestica/?name=MDP0000319743","MDP0000319743")</f>
        <v>MDP0000319743</v>
      </c>
      <c r="D7861">
        <v>72.44</v>
      </c>
      <c r="E7861">
        <v>381</v>
      </c>
      <c r="F7861">
        <v>105</v>
      </c>
      <c r="G7861">
        <v>3</v>
      </c>
      <c r="H7861">
        <v>1</v>
      </c>
      <c r="I7861">
        <v>379</v>
      </c>
      <c r="J7861">
        <v>1</v>
      </c>
      <c r="K7861">
        <v>46</v>
      </c>
      <c r="L7861">
        <v>425</v>
      </c>
      <c r="M7861">
        <v>1</v>
      </c>
      <c r="N7861">
        <v>4.36385E-162</v>
      </c>
      <c r="O7861">
        <v>1463</v>
      </c>
    </row>
    <row r="7862" spans="1:15" x14ac:dyDescent="0.25">
      <c r="A7862" t="s">
        <v>7875</v>
      </c>
      <c r="B7862">
        <v>295</v>
      </c>
      <c r="C7862" s="1" t="str">
        <f>HYPERLINK("http://www.rosaceae.org/gb/gbrowse/malus_x_domestica/?name=MDP0000299588","MDP0000299588")</f>
        <v>MDP0000299588</v>
      </c>
      <c r="D7862">
        <v>44.09</v>
      </c>
      <c r="E7862">
        <v>288</v>
      </c>
      <c r="F7862">
        <v>161</v>
      </c>
      <c r="G7862">
        <v>1</v>
      </c>
      <c r="H7862">
        <v>4</v>
      </c>
      <c r="I7862">
        <v>291</v>
      </c>
      <c r="J7862">
        <v>1</v>
      </c>
      <c r="K7862">
        <v>697</v>
      </c>
      <c r="L7862">
        <v>983</v>
      </c>
      <c r="M7862">
        <v>1</v>
      </c>
      <c r="N7862">
        <v>7.5287100000000004E-73</v>
      </c>
      <c r="O7862">
        <v>692</v>
      </c>
    </row>
    <row r="7863" spans="1:15" x14ac:dyDescent="0.25">
      <c r="A7863" t="s">
        <v>7876</v>
      </c>
      <c r="B7863">
        <v>498</v>
      </c>
      <c r="C7863" s="1" t="str">
        <f>HYPERLINK("http://www.rosaceae.org/gb/gbrowse/malus_x_domestica/?name=MDP0000234896","MDP0000234896")</f>
        <v>MDP0000234896</v>
      </c>
      <c r="D7863">
        <v>72.72</v>
      </c>
      <c r="E7863">
        <v>473</v>
      </c>
      <c r="F7863">
        <v>129</v>
      </c>
      <c r="G7863">
        <v>83</v>
      </c>
      <c r="H7863">
        <v>33</v>
      </c>
      <c r="I7863">
        <v>465</v>
      </c>
      <c r="J7863">
        <v>1</v>
      </c>
      <c r="K7863">
        <v>28</v>
      </c>
      <c r="L7863">
        <v>457</v>
      </c>
      <c r="M7863">
        <v>1</v>
      </c>
      <c r="N7863">
        <v>0</v>
      </c>
      <c r="O7863">
        <v>1701</v>
      </c>
    </row>
    <row r="7864" spans="1:15" x14ac:dyDescent="0.25">
      <c r="A7864" t="s">
        <v>7877</v>
      </c>
      <c r="B7864">
        <v>660</v>
      </c>
      <c r="C7864" s="1" t="str">
        <f>HYPERLINK("http://www.rosaceae.org/gb/gbrowse/malus_x_domestica/?name=MDP0000177228","MDP0000177228")</f>
        <v>MDP0000177228</v>
      </c>
      <c r="D7864">
        <v>38.25</v>
      </c>
      <c r="E7864">
        <v>149</v>
      </c>
      <c r="F7864">
        <v>92</v>
      </c>
      <c r="G7864">
        <v>6</v>
      </c>
      <c r="H7864">
        <v>330</v>
      </c>
      <c r="I7864">
        <v>477</v>
      </c>
      <c r="J7864">
        <v>1</v>
      </c>
      <c r="K7864">
        <v>249</v>
      </c>
      <c r="L7864">
        <v>392</v>
      </c>
      <c r="M7864">
        <v>1</v>
      </c>
      <c r="N7864">
        <v>9.8973999999999997E-21</v>
      </c>
      <c r="O7864">
        <v>246</v>
      </c>
    </row>
    <row r="7865" spans="1:15" x14ac:dyDescent="0.25">
      <c r="A7865" t="s">
        <v>7878</v>
      </c>
      <c r="B7865">
        <v>408</v>
      </c>
      <c r="C7865" s="1" t="str">
        <f>HYPERLINK("http://www.rosaceae.org/gb/gbrowse/malus_x_domestica/?name=MDP0000294785","MDP0000294785")</f>
        <v>MDP0000294785</v>
      </c>
      <c r="D7865">
        <v>80.510000000000005</v>
      </c>
      <c r="E7865">
        <v>426</v>
      </c>
      <c r="F7865">
        <v>83</v>
      </c>
      <c r="G7865">
        <v>18</v>
      </c>
      <c r="H7865">
        <v>1</v>
      </c>
      <c r="I7865">
        <v>408</v>
      </c>
      <c r="J7865">
        <v>1</v>
      </c>
      <c r="K7865">
        <v>1</v>
      </c>
      <c r="L7865">
        <v>426</v>
      </c>
      <c r="M7865">
        <v>1</v>
      </c>
      <c r="N7865">
        <v>0</v>
      </c>
      <c r="O7865">
        <v>1786</v>
      </c>
    </row>
    <row r="7866" spans="1:15" x14ac:dyDescent="0.25">
      <c r="A7866" t="s">
        <v>7879</v>
      </c>
      <c r="B7866">
        <v>735</v>
      </c>
      <c r="C7866" s="1" t="str">
        <f>HYPERLINK("http://www.rosaceae.org/gb/gbrowse/malus_x_domestica/?name=MDP0000819805","MDP0000819805")</f>
        <v>MDP0000819805</v>
      </c>
      <c r="D7866">
        <v>72.34</v>
      </c>
      <c r="E7866">
        <v>734</v>
      </c>
      <c r="F7866">
        <v>203</v>
      </c>
      <c r="G7866">
        <v>15</v>
      </c>
      <c r="H7866">
        <v>9</v>
      </c>
      <c r="I7866">
        <v>735</v>
      </c>
      <c r="J7866">
        <v>1</v>
      </c>
      <c r="K7866">
        <v>3</v>
      </c>
      <c r="L7866">
        <v>728</v>
      </c>
      <c r="M7866">
        <v>1</v>
      </c>
      <c r="N7866">
        <v>0</v>
      </c>
      <c r="O7866">
        <v>2754</v>
      </c>
    </row>
    <row r="7867" spans="1:15" x14ac:dyDescent="0.25">
      <c r="A7867" t="s">
        <v>7880</v>
      </c>
      <c r="B7867">
        <v>1158</v>
      </c>
      <c r="C7867" s="1" t="str">
        <f>HYPERLINK("http://www.rosaceae.org/gb/gbrowse/malus_x_domestica/?name=MDP0000172441","MDP0000172441")</f>
        <v>MDP0000172441</v>
      </c>
      <c r="D7867">
        <v>41.11</v>
      </c>
      <c r="E7867">
        <v>90</v>
      </c>
      <c r="F7867">
        <v>53</v>
      </c>
      <c r="G7867">
        <v>7</v>
      </c>
      <c r="H7867">
        <v>167</v>
      </c>
      <c r="I7867">
        <v>251</v>
      </c>
      <c r="J7867">
        <v>1</v>
      </c>
      <c r="K7867">
        <v>917</v>
      </c>
      <c r="L7867">
        <v>1004</v>
      </c>
      <c r="M7867">
        <v>1</v>
      </c>
      <c r="N7867">
        <v>5.1363899999999999E-9</v>
      </c>
      <c r="O7867">
        <v>148</v>
      </c>
    </row>
    <row r="7868" spans="1:15" x14ac:dyDescent="0.25">
      <c r="A7868" t="s">
        <v>7881</v>
      </c>
      <c r="B7868">
        <v>1042</v>
      </c>
      <c r="C7868" s="1" t="str">
        <f>HYPERLINK("http://www.rosaceae.org/gb/gbrowse/malus_x_domestica/?name=MDP0000262309","MDP0000262309")</f>
        <v>MDP0000262309</v>
      </c>
      <c r="D7868">
        <v>74.08</v>
      </c>
      <c r="E7868">
        <v>625</v>
      </c>
      <c r="F7868">
        <v>162</v>
      </c>
      <c r="G7868">
        <v>8</v>
      </c>
      <c r="H7868">
        <v>1</v>
      </c>
      <c r="I7868">
        <v>625</v>
      </c>
      <c r="J7868">
        <v>1</v>
      </c>
      <c r="K7868">
        <v>1</v>
      </c>
      <c r="L7868">
        <v>617</v>
      </c>
      <c r="M7868">
        <v>1</v>
      </c>
      <c r="N7868">
        <v>0</v>
      </c>
      <c r="O7868">
        <v>2455</v>
      </c>
    </row>
    <row r="7869" spans="1:15" x14ac:dyDescent="0.25">
      <c r="A7869" t="s">
        <v>7882</v>
      </c>
      <c r="B7869">
        <v>103</v>
      </c>
      <c r="C7869" s="1" t="str">
        <f>HYPERLINK("http://www.rosaceae.org/gb/gbrowse/malus_x_domestica/?name=MDP0000167379","MDP0000167379")</f>
        <v>MDP0000167379</v>
      </c>
      <c r="D7869">
        <v>75.36</v>
      </c>
      <c r="E7869">
        <v>69</v>
      </c>
      <c r="F7869">
        <v>17</v>
      </c>
      <c r="G7869">
        <v>0</v>
      </c>
      <c r="H7869">
        <v>35</v>
      </c>
      <c r="I7869">
        <v>103</v>
      </c>
      <c r="J7869">
        <v>1</v>
      </c>
      <c r="K7869">
        <v>1</v>
      </c>
      <c r="L7869">
        <v>69</v>
      </c>
      <c r="M7869">
        <v>1</v>
      </c>
      <c r="N7869">
        <v>1.0355500000000001E-23</v>
      </c>
      <c r="O7869">
        <v>262</v>
      </c>
    </row>
    <row r="7870" spans="1:15" x14ac:dyDescent="0.25">
      <c r="A7870" t="s">
        <v>7883</v>
      </c>
      <c r="B7870">
        <v>397</v>
      </c>
      <c r="C7870" s="1" t="str">
        <f>HYPERLINK("http://www.rosaceae.org/gb/gbrowse/malus_x_domestica/?name=MDP0000883465","MDP0000883465")</f>
        <v>MDP0000883465</v>
      </c>
      <c r="D7870">
        <v>59.51</v>
      </c>
      <c r="E7870">
        <v>415</v>
      </c>
      <c r="F7870">
        <v>168</v>
      </c>
      <c r="G7870">
        <v>26</v>
      </c>
      <c r="H7870">
        <v>1</v>
      </c>
      <c r="I7870">
        <v>397</v>
      </c>
      <c r="J7870">
        <v>1</v>
      </c>
      <c r="K7870">
        <v>1</v>
      </c>
      <c r="L7870">
        <v>407</v>
      </c>
      <c r="M7870">
        <v>1</v>
      </c>
      <c r="N7870">
        <v>1.0207299999999999E-130</v>
      </c>
      <c r="O7870">
        <v>1193</v>
      </c>
    </row>
    <row r="7871" spans="1:15" x14ac:dyDescent="0.25">
      <c r="A7871" t="s">
        <v>7884</v>
      </c>
      <c r="B7871">
        <v>481</v>
      </c>
      <c r="C7871" s="1" t="str">
        <f>HYPERLINK("http://www.rosaceae.org/gb/gbrowse/malus_x_domestica/?name=MDP0000232116","MDP0000232116")</f>
        <v>MDP0000232116</v>
      </c>
      <c r="D7871">
        <v>65.400000000000006</v>
      </c>
      <c r="E7871">
        <v>422</v>
      </c>
      <c r="F7871">
        <v>146</v>
      </c>
      <c r="G7871">
        <v>17</v>
      </c>
      <c r="H7871">
        <v>31</v>
      </c>
      <c r="I7871">
        <v>443</v>
      </c>
      <c r="J7871">
        <v>1</v>
      </c>
      <c r="K7871">
        <v>8</v>
      </c>
      <c r="L7871">
        <v>421</v>
      </c>
      <c r="M7871">
        <v>1</v>
      </c>
      <c r="N7871">
        <v>8.7710000000000002E-154</v>
      </c>
      <c r="O7871">
        <v>1393</v>
      </c>
    </row>
    <row r="7872" spans="1:15" x14ac:dyDescent="0.25">
      <c r="A7872" t="s">
        <v>7885</v>
      </c>
      <c r="B7872">
        <v>625</v>
      </c>
      <c r="C7872" s="1" t="str">
        <f>HYPERLINK("http://www.rosaceae.org/gb/gbrowse/malus_x_domestica/?name=MDP0000314595","MDP0000314595")</f>
        <v>MDP0000314595</v>
      </c>
      <c r="D7872">
        <v>65.31</v>
      </c>
      <c r="E7872">
        <v>346</v>
      </c>
      <c r="F7872">
        <v>120</v>
      </c>
      <c r="G7872">
        <v>35</v>
      </c>
      <c r="H7872">
        <v>27</v>
      </c>
      <c r="I7872">
        <v>363</v>
      </c>
      <c r="J7872">
        <v>1</v>
      </c>
      <c r="K7872">
        <v>84</v>
      </c>
      <c r="L7872">
        <v>403</v>
      </c>
      <c r="M7872">
        <v>1</v>
      </c>
      <c r="N7872">
        <v>1.2241099999999999E-125</v>
      </c>
      <c r="O7872">
        <v>1151</v>
      </c>
    </row>
    <row r="7873" spans="1:15" x14ac:dyDescent="0.25">
      <c r="A7873" t="s">
        <v>7886</v>
      </c>
      <c r="B7873">
        <v>275</v>
      </c>
      <c r="C7873" s="1" t="str">
        <f>HYPERLINK("http://www.rosaceae.org/gb/gbrowse/malus_x_domestica/?name=MDP0000147248","MDP0000147248")</f>
        <v>MDP0000147248</v>
      </c>
      <c r="D7873">
        <v>67.849999999999994</v>
      </c>
      <c r="E7873">
        <v>168</v>
      </c>
      <c r="F7873">
        <v>54</v>
      </c>
      <c r="G7873">
        <v>5</v>
      </c>
      <c r="H7873">
        <v>28</v>
      </c>
      <c r="I7873">
        <v>193</v>
      </c>
      <c r="J7873">
        <v>1</v>
      </c>
      <c r="K7873">
        <v>54</v>
      </c>
      <c r="L7873">
        <v>218</v>
      </c>
      <c r="M7873">
        <v>1</v>
      </c>
      <c r="N7873">
        <v>2.0231900000000001E-57</v>
      </c>
      <c r="O7873">
        <v>559</v>
      </c>
    </row>
    <row r="7874" spans="1:15" x14ac:dyDescent="0.25">
      <c r="A7874" t="s">
        <v>7887</v>
      </c>
      <c r="B7874">
        <v>291</v>
      </c>
      <c r="C7874" s="1" t="str">
        <f>HYPERLINK("http://www.rosaceae.org/gb/gbrowse/malus_x_domestica/?name=MDP0000156973","MDP0000156973")</f>
        <v>MDP0000156973</v>
      </c>
      <c r="D7874">
        <v>42.45</v>
      </c>
      <c r="E7874">
        <v>285</v>
      </c>
      <c r="F7874">
        <v>164</v>
      </c>
      <c r="G7874">
        <v>14</v>
      </c>
      <c r="H7874">
        <v>4</v>
      </c>
      <c r="I7874">
        <v>274</v>
      </c>
      <c r="J7874">
        <v>1</v>
      </c>
      <c r="K7874">
        <v>17</v>
      </c>
      <c r="L7874">
        <v>301</v>
      </c>
      <c r="M7874">
        <v>1</v>
      </c>
      <c r="N7874">
        <v>9.7424599999999998E-61</v>
      </c>
      <c r="O7874">
        <v>588</v>
      </c>
    </row>
    <row r="7875" spans="1:15" x14ac:dyDescent="0.25">
      <c r="A7875" t="s">
        <v>7888</v>
      </c>
      <c r="B7875">
        <v>243</v>
      </c>
      <c r="C7875" s="1" t="str">
        <f>HYPERLINK("http://www.rosaceae.org/gb/gbrowse/malus_x_domestica/?name=MDP0000231692","MDP0000231692")</f>
        <v>MDP0000231692</v>
      </c>
      <c r="D7875">
        <v>37.83</v>
      </c>
      <c r="E7875">
        <v>222</v>
      </c>
      <c r="F7875">
        <v>138</v>
      </c>
      <c r="G7875">
        <v>22</v>
      </c>
      <c r="H7875">
        <v>24</v>
      </c>
      <c r="I7875">
        <v>233</v>
      </c>
      <c r="J7875">
        <v>1</v>
      </c>
      <c r="K7875">
        <v>285</v>
      </c>
      <c r="L7875">
        <v>496</v>
      </c>
      <c r="M7875">
        <v>1</v>
      </c>
      <c r="N7875">
        <v>5.1832200000000002E-29</v>
      </c>
      <c r="O7875">
        <v>313</v>
      </c>
    </row>
    <row r="7876" spans="1:15" x14ac:dyDescent="0.25">
      <c r="A7876" t="s">
        <v>7889</v>
      </c>
      <c r="B7876">
        <v>611</v>
      </c>
      <c r="C7876" s="1" t="str">
        <f>HYPERLINK("http://www.rosaceae.org/gb/gbrowse/malus_x_domestica/?name=MDP0000252094","MDP0000252094")</f>
        <v>MDP0000252094</v>
      </c>
      <c r="D7876">
        <v>57.09</v>
      </c>
      <c r="E7876">
        <v>627</v>
      </c>
      <c r="F7876">
        <v>269</v>
      </c>
      <c r="G7876">
        <v>99</v>
      </c>
      <c r="H7876">
        <v>7</v>
      </c>
      <c r="I7876">
        <v>610</v>
      </c>
      <c r="J7876">
        <v>1</v>
      </c>
      <c r="K7876">
        <v>703</v>
      </c>
      <c r="L7876">
        <v>1253</v>
      </c>
      <c r="M7876">
        <v>1</v>
      </c>
      <c r="N7876">
        <v>0</v>
      </c>
      <c r="O7876">
        <v>1774</v>
      </c>
    </row>
    <row r="7877" spans="1:15" x14ac:dyDescent="0.25">
      <c r="A7877" t="s">
        <v>7890</v>
      </c>
      <c r="B7877">
        <v>235</v>
      </c>
      <c r="C7877" s="1" t="str">
        <f>HYPERLINK("http://www.rosaceae.org/gb/gbrowse/malus_x_domestica/?name=MDP0000303586","MDP0000303586")</f>
        <v>MDP0000303586</v>
      </c>
      <c r="D7877">
        <v>52.66</v>
      </c>
      <c r="E7877">
        <v>169</v>
      </c>
      <c r="F7877">
        <v>80</v>
      </c>
      <c r="G7877">
        <v>10</v>
      </c>
      <c r="H7877">
        <v>72</v>
      </c>
      <c r="I7877">
        <v>234</v>
      </c>
      <c r="J7877">
        <v>1</v>
      </c>
      <c r="K7877">
        <v>51</v>
      </c>
      <c r="L7877">
        <v>215</v>
      </c>
      <c r="M7877">
        <v>1</v>
      </c>
      <c r="N7877">
        <v>1.5480999999999999E-35</v>
      </c>
      <c r="O7877">
        <v>369</v>
      </c>
    </row>
    <row r="7878" spans="1:15" x14ac:dyDescent="0.25">
      <c r="A7878" t="s">
        <v>7891</v>
      </c>
      <c r="B7878">
        <v>801</v>
      </c>
      <c r="C7878" s="1" t="str">
        <f>HYPERLINK("http://www.rosaceae.org/gb/gbrowse/malus_x_domestica/?name=MDP0000173498","MDP0000173498")</f>
        <v>MDP0000173498</v>
      </c>
      <c r="D7878">
        <v>75.709999999999994</v>
      </c>
      <c r="E7878">
        <v>523</v>
      </c>
      <c r="F7878">
        <v>127</v>
      </c>
      <c r="G7878">
        <v>11</v>
      </c>
      <c r="H7878">
        <v>222</v>
      </c>
      <c r="I7878">
        <v>734</v>
      </c>
      <c r="J7878">
        <v>1</v>
      </c>
      <c r="K7878">
        <v>232</v>
      </c>
      <c r="L7878">
        <v>753</v>
      </c>
      <c r="M7878">
        <v>1</v>
      </c>
      <c r="N7878">
        <v>0</v>
      </c>
      <c r="O7878">
        <v>2029</v>
      </c>
    </row>
    <row r="7879" spans="1:15" x14ac:dyDescent="0.25">
      <c r="A7879" t="s">
        <v>7892</v>
      </c>
      <c r="B7879">
        <v>383</v>
      </c>
      <c r="C7879" s="1" t="str">
        <f>HYPERLINK("http://www.rosaceae.org/gb/gbrowse/malus_x_domestica/?name=MDP0000409448","MDP0000409448")</f>
        <v>MDP0000409448</v>
      </c>
      <c r="D7879">
        <v>78.75</v>
      </c>
      <c r="E7879">
        <v>386</v>
      </c>
      <c r="F7879">
        <v>82</v>
      </c>
      <c r="G7879">
        <v>3</v>
      </c>
      <c r="H7879">
        <v>1</v>
      </c>
      <c r="I7879">
        <v>383</v>
      </c>
      <c r="J7879">
        <v>1</v>
      </c>
      <c r="K7879">
        <v>1</v>
      </c>
      <c r="L7879">
        <v>386</v>
      </c>
      <c r="M7879">
        <v>1</v>
      </c>
      <c r="N7879">
        <v>0</v>
      </c>
      <c r="O7879">
        <v>1634</v>
      </c>
    </row>
    <row r="7880" spans="1:15" x14ac:dyDescent="0.25">
      <c r="A7880" t="s">
        <v>7893</v>
      </c>
      <c r="B7880">
        <v>1066</v>
      </c>
      <c r="C7880" s="1" t="str">
        <f>HYPERLINK("http://www.rosaceae.org/gb/gbrowse/malus_x_domestica/?name=MDP0000783676","MDP0000783676")</f>
        <v>MDP0000783676</v>
      </c>
      <c r="D7880">
        <v>86.23</v>
      </c>
      <c r="E7880">
        <v>1068</v>
      </c>
      <c r="F7880">
        <v>147</v>
      </c>
      <c r="G7880">
        <v>5</v>
      </c>
      <c r="H7880">
        <v>1</v>
      </c>
      <c r="I7880">
        <v>1066</v>
      </c>
      <c r="J7880">
        <v>1</v>
      </c>
      <c r="K7880">
        <v>1</v>
      </c>
      <c r="L7880">
        <v>1065</v>
      </c>
      <c r="M7880">
        <v>1</v>
      </c>
      <c r="N7880">
        <v>0</v>
      </c>
      <c r="O7880">
        <v>4893</v>
      </c>
    </row>
    <row r="7881" spans="1:15" x14ac:dyDescent="0.25">
      <c r="A7881" t="s">
        <v>7894</v>
      </c>
      <c r="B7881">
        <v>1362</v>
      </c>
      <c r="C7881" s="1" t="str">
        <f>HYPERLINK("http://www.rosaceae.org/gb/gbrowse/malus_x_domestica/?name=MDP0000230799","MDP0000230799")</f>
        <v>MDP0000230799</v>
      </c>
      <c r="D7881">
        <v>25.58</v>
      </c>
      <c r="E7881">
        <v>856</v>
      </c>
      <c r="F7881">
        <v>637</v>
      </c>
      <c r="G7881">
        <v>59</v>
      </c>
      <c r="H7881">
        <v>494</v>
      </c>
      <c r="I7881">
        <v>1319</v>
      </c>
      <c r="J7881">
        <v>1</v>
      </c>
      <c r="K7881">
        <v>515</v>
      </c>
      <c r="L7881">
        <v>1341</v>
      </c>
      <c r="M7881">
        <v>1</v>
      </c>
      <c r="N7881">
        <v>8.6445600000000003E-63</v>
      </c>
      <c r="O7881">
        <v>612</v>
      </c>
    </row>
    <row r="7882" spans="1:15" x14ac:dyDescent="0.25">
      <c r="A7882" t="s">
        <v>7895</v>
      </c>
      <c r="B7882">
        <v>329</v>
      </c>
      <c r="C7882" s="1" t="str">
        <f>HYPERLINK("http://www.rosaceae.org/gb/gbrowse/malus_x_domestica/?name=MDP0000291530","MDP0000291530")</f>
        <v>MDP0000291530</v>
      </c>
      <c r="D7882">
        <v>69.489999999999995</v>
      </c>
      <c r="E7882">
        <v>59</v>
      </c>
      <c r="F7882">
        <v>18</v>
      </c>
      <c r="G7882">
        <v>1</v>
      </c>
      <c r="H7882">
        <v>1</v>
      </c>
      <c r="I7882">
        <v>59</v>
      </c>
      <c r="J7882">
        <v>1</v>
      </c>
      <c r="K7882">
        <v>105</v>
      </c>
      <c r="L7882">
        <v>162</v>
      </c>
      <c r="M7882">
        <v>1</v>
      </c>
      <c r="N7882">
        <v>1.0565500000000001E-13</v>
      </c>
      <c r="O7882">
        <v>183</v>
      </c>
    </row>
    <row r="7883" spans="1:15" x14ac:dyDescent="0.25">
      <c r="A7883" t="s">
        <v>7896</v>
      </c>
      <c r="B7883">
        <v>813</v>
      </c>
      <c r="C7883" s="1" t="str">
        <f>HYPERLINK("http://www.rosaceae.org/gb/gbrowse/malus_x_domestica/?name=MDP0000201297","MDP0000201297")</f>
        <v>MDP0000201297</v>
      </c>
      <c r="D7883">
        <v>59.69</v>
      </c>
      <c r="E7883">
        <v>856</v>
      </c>
      <c r="F7883">
        <v>345</v>
      </c>
      <c r="G7883">
        <v>92</v>
      </c>
      <c r="H7883">
        <v>4</v>
      </c>
      <c r="I7883">
        <v>803</v>
      </c>
      <c r="J7883">
        <v>1</v>
      </c>
      <c r="K7883">
        <v>3</v>
      </c>
      <c r="L7883">
        <v>822</v>
      </c>
      <c r="M7883">
        <v>1</v>
      </c>
      <c r="N7883">
        <v>0</v>
      </c>
      <c r="O7883">
        <v>2410</v>
      </c>
    </row>
    <row r="7884" spans="1:15" x14ac:dyDescent="0.25">
      <c r="A7884" t="s">
        <v>7897</v>
      </c>
      <c r="B7884">
        <v>711</v>
      </c>
      <c r="C7884" s="1" t="str">
        <f>HYPERLINK("http://www.rosaceae.org/gb/gbrowse/malus_x_domestica/?name=MDP0000289110","MDP0000289110")</f>
        <v>MDP0000289110</v>
      </c>
      <c r="D7884">
        <v>77.88</v>
      </c>
      <c r="E7884">
        <v>719</v>
      </c>
      <c r="F7884">
        <v>159</v>
      </c>
      <c r="G7884">
        <v>37</v>
      </c>
      <c r="H7884">
        <v>1</v>
      </c>
      <c r="I7884">
        <v>710</v>
      </c>
      <c r="J7884">
        <v>1</v>
      </c>
      <c r="K7884">
        <v>1</v>
      </c>
      <c r="L7884">
        <v>691</v>
      </c>
      <c r="M7884">
        <v>1</v>
      </c>
      <c r="N7884">
        <v>0</v>
      </c>
      <c r="O7884">
        <v>2754</v>
      </c>
    </row>
    <row r="7885" spans="1:15" x14ac:dyDescent="0.25">
      <c r="A7885" t="s">
        <v>7898</v>
      </c>
      <c r="B7885">
        <v>879</v>
      </c>
      <c r="C7885" s="1" t="str">
        <f>HYPERLINK("http://www.rosaceae.org/gb/gbrowse/malus_x_domestica/?name=MDP0000230603","MDP0000230603")</f>
        <v>MDP0000230603</v>
      </c>
      <c r="D7885">
        <v>70.790000000000006</v>
      </c>
      <c r="E7885">
        <v>952</v>
      </c>
      <c r="F7885">
        <v>278</v>
      </c>
      <c r="G7885">
        <v>112</v>
      </c>
      <c r="H7885">
        <v>1</v>
      </c>
      <c r="I7885">
        <v>878</v>
      </c>
      <c r="J7885">
        <v>1</v>
      </c>
      <c r="K7885">
        <v>1</v>
      </c>
      <c r="L7885">
        <v>914</v>
      </c>
      <c r="M7885">
        <v>1</v>
      </c>
      <c r="N7885">
        <v>0</v>
      </c>
      <c r="O7885">
        <v>3379</v>
      </c>
    </row>
    <row r="7886" spans="1:15" x14ac:dyDescent="0.25">
      <c r="A7886" t="s">
        <v>7899</v>
      </c>
      <c r="B7886">
        <v>545</v>
      </c>
      <c r="C7886" s="1" t="str">
        <f>HYPERLINK("http://www.rosaceae.org/gb/gbrowse/malus_x_domestica/?name=MDP0000305085","MDP0000305085")</f>
        <v>MDP0000305085</v>
      </c>
      <c r="D7886">
        <v>35.659999999999997</v>
      </c>
      <c r="E7886">
        <v>143</v>
      </c>
      <c r="F7886">
        <v>92</v>
      </c>
      <c r="G7886">
        <v>1</v>
      </c>
      <c r="H7886">
        <v>281</v>
      </c>
      <c r="I7886">
        <v>422</v>
      </c>
      <c r="J7886">
        <v>1</v>
      </c>
      <c r="K7886">
        <v>160</v>
      </c>
      <c r="L7886">
        <v>302</v>
      </c>
      <c r="M7886">
        <v>1</v>
      </c>
      <c r="N7886">
        <v>1.08802E-20</v>
      </c>
      <c r="O7886">
        <v>245</v>
      </c>
    </row>
    <row r="7887" spans="1:15" x14ac:dyDescent="0.25">
      <c r="A7887" t="s">
        <v>7900</v>
      </c>
      <c r="B7887">
        <v>362</v>
      </c>
      <c r="C7887" s="1" t="str">
        <f>HYPERLINK("http://www.rosaceae.org/gb/gbrowse/malus_x_domestica/?name=MDP0000334079","MDP0000334079")</f>
        <v>MDP0000334079</v>
      </c>
      <c r="D7887">
        <v>83.9</v>
      </c>
      <c r="E7887">
        <v>292</v>
      </c>
      <c r="F7887">
        <v>47</v>
      </c>
      <c r="G7887">
        <v>0</v>
      </c>
      <c r="H7887">
        <v>64</v>
      </c>
      <c r="I7887">
        <v>355</v>
      </c>
      <c r="J7887">
        <v>1</v>
      </c>
      <c r="K7887">
        <v>1</v>
      </c>
      <c r="L7887">
        <v>292</v>
      </c>
      <c r="M7887">
        <v>1</v>
      </c>
      <c r="N7887">
        <v>1.4739499999999999E-145</v>
      </c>
      <c r="O7887">
        <v>1320</v>
      </c>
    </row>
    <row r="7888" spans="1:15" x14ac:dyDescent="0.25">
      <c r="A7888" t="s">
        <v>7901</v>
      </c>
      <c r="B7888">
        <v>569</v>
      </c>
      <c r="C7888" s="1" t="str">
        <f>HYPERLINK("http://www.rosaceae.org/gb/gbrowse/malus_x_domestica/?name=MDP0000608081","MDP0000608081")</f>
        <v>MDP0000608081</v>
      </c>
      <c r="D7888">
        <v>62.69</v>
      </c>
      <c r="E7888">
        <v>453</v>
      </c>
      <c r="F7888">
        <v>169</v>
      </c>
      <c r="G7888">
        <v>32</v>
      </c>
      <c r="H7888">
        <v>125</v>
      </c>
      <c r="I7888">
        <v>548</v>
      </c>
      <c r="J7888">
        <v>1</v>
      </c>
      <c r="K7888">
        <v>27</v>
      </c>
      <c r="L7888">
        <v>476</v>
      </c>
      <c r="M7888">
        <v>1</v>
      </c>
      <c r="N7888">
        <v>1.4432699999999999E-159</v>
      </c>
      <c r="O7888">
        <v>1443</v>
      </c>
    </row>
    <row r="7889" spans="1:15" x14ac:dyDescent="0.25">
      <c r="A7889" t="s">
        <v>7902</v>
      </c>
      <c r="B7889">
        <v>814</v>
      </c>
      <c r="C7889" s="1" t="str">
        <f>HYPERLINK("http://www.rosaceae.org/gb/gbrowse/malus_x_domestica/?name=MDP0000256052","MDP0000256052")</f>
        <v>MDP0000256052</v>
      </c>
      <c r="D7889">
        <v>72.150000000000006</v>
      </c>
      <c r="E7889">
        <v>801</v>
      </c>
      <c r="F7889">
        <v>223</v>
      </c>
      <c r="G7889">
        <v>38</v>
      </c>
      <c r="H7889">
        <v>1</v>
      </c>
      <c r="I7889">
        <v>784</v>
      </c>
      <c r="J7889">
        <v>1</v>
      </c>
      <c r="K7889">
        <v>1</v>
      </c>
      <c r="L7889">
        <v>780</v>
      </c>
      <c r="M7889">
        <v>1</v>
      </c>
      <c r="N7889">
        <v>0</v>
      </c>
      <c r="O7889">
        <v>2850</v>
      </c>
    </row>
    <row r="7890" spans="1:15" x14ac:dyDescent="0.25">
      <c r="A7890" t="s">
        <v>7903</v>
      </c>
      <c r="B7890">
        <v>331</v>
      </c>
      <c r="C7890" s="1" t="str">
        <f>HYPERLINK("http://www.rosaceae.org/gb/gbrowse/malus_x_domestica/?name=MDP0000248753","MDP0000248753")</f>
        <v>MDP0000248753</v>
      </c>
      <c r="D7890">
        <v>56.02</v>
      </c>
      <c r="E7890">
        <v>166</v>
      </c>
      <c r="F7890">
        <v>73</v>
      </c>
      <c r="G7890">
        <v>55</v>
      </c>
      <c r="H7890">
        <v>1</v>
      </c>
      <c r="I7890">
        <v>111</v>
      </c>
      <c r="J7890">
        <v>1</v>
      </c>
      <c r="K7890">
        <v>584</v>
      </c>
      <c r="L7890">
        <v>749</v>
      </c>
      <c r="M7890">
        <v>1</v>
      </c>
      <c r="N7890">
        <v>1.6042200000000002E-42</v>
      </c>
      <c r="O7890">
        <v>431</v>
      </c>
    </row>
    <row r="7891" spans="1:15" x14ac:dyDescent="0.25">
      <c r="A7891" t="s">
        <v>7904</v>
      </c>
      <c r="B7891">
        <v>100</v>
      </c>
      <c r="C7891" s="1" t="str">
        <f>HYPERLINK("http://www.rosaceae.org/gb/gbrowse/malus_x_domestica/?name=MDP0000906869","MDP0000906869")</f>
        <v>MDP0000906869</v>
      </c>
      <c r="D7891">
        <v>76.66</v>
      </c>
      <c r="E7891">
        <v>60</v>
      </c>
      <c r="F7891">
        <v>14</v>
      </c>
      <c r="G7891">
        <v>0</v>
      </c>
      <c r="H7891">
        <v>18</v>
      </c>
      <c r="I7891">
        <v>77</v>
      </c>
      <c r="J7891">
        <v>1</v>
      </c>
      <c r="K7891">
        <v>22</v>
      </c>
      <c r="L7891">
        <v>81</v>
      </c>
      <c r="M7891">
        <v>1</v>
      </c>
      <c r="N7891">
        <v>4.8165799999999999E-22</v>
      </c>
      <c r="O7891">
        <v>248</v>
      </c>
    </row>
    <row r="7892" spans="1:15" x14ac:dyDescent="0.25">
      <c r="A7892" t="s">
        <v>7905</v>
      </c>
      <c r="B7892">
        <v>387</v>
      </c>
      <c r="C7892" s="1" t="str">
        <f>HYPERLINK("http://www.rosaceae.org/gb/gbrowse/malus_x_domestica/?name=MDP0000793733","MDP0000793733")</f>
        <v>MDP0000793733</v>
      </c>
      <c r="D7892">
        <v>65.28</v>
      </c>
      <c r="E7892">
        <v>409</v>
      </c>
      <c r="F7892">
        <v>142</v>
      </c>
      <c r="G7892">
        <v>26</v>
      </c>
      <c r="H7892">
        <v>1</v>
      </c>
      <c r="I7892">
        <v>385</v>
      </c>
      <c r="J7892">
        <v>1</v>
      </c>
      <c r="K7892">
        <v>1</v>
      </c>
      <c r="L7892">
        <v>407</v>
      </c>
      <c r="M7892">
        <v>1</v>
      </c>
      <c r="N7892">
        <v>1.33608E-142</v>
      </c>
      <c r="O7892">
        <v>1295</v>
      </c>
    </row>
    <row r="7893" spans="1:15" x14ac:dyDescent="0.25">
      <c r="A7893" t="s">
        <v>7906</v>
      </c>
      <c r="B7893">
        <v>1204</v>
      </c>
      <c r="C7893" s="1" t="str">
        <f>HYPERLINK("http://www.rosaceae.org/gb/gbrowse/malus_x_domestica/?name=MDP0000145652","MDP0000145652")</f>
        <v>MDP0000145652</v>
      </c>
      <c r="D7893">
        <v>58.72</v>
      </c>
      <c r="E7893">
        <v>1192</v>
      </c>
      <c r="F7893">
        <v>492</v>
      </c>
      <c r="G7893">
        <v>19</v>
      </c>
      <c r="H7893">
        <v>15</v>
      </c>
      <c r="I7893">
        <v>1199</v>
      </c>
      <c r="J7893">
        <v>1</v>
      </c>
      <c r="K7893">
        <v>15</v>
      </c>
      <c r="L7893">
        <v>1194</v>
      </c>
      <c r="M7893">
        <v>1</v>
      </c>
      <c r="N7893">
        <v>0</v>
      </c>
      <c r="O7893">
        <v>3414</v>
      </c>
    </row>
    <row r="7894" spans="1:15" x14ac:dyDescent="0.25">
      <c r="A7894" t="s">
        <v>7907</v>
      </c>
      <c r="B7894">
        <v>494</v>
      </c>
      <c r="C7894" s="1" t="str">
        <f>HYPERLINK("http://www.rosaceae.org/gb/gbrowse/malus_x_domestica/?name=MDP0000290032","MDP0000290032")</f>
        <v>MDP0000290032</v>
      </c>
      <c r="D7894">
        <v>63.99</v>
      </c>
      <c r="E7894">
        <v>486</v>
      </c>
      <c r="F7894">
        <v>175</v>
      </c>
      <c r="G7894">
        <v>36</v>
      </c>
      <c r="H7894">
        <v>1</v>
      </c>
      <c r="I7894">
        <v>453</v>
      </c>
      <c r="J7894">
        <v>1</v>
      </c>
      <c r="K7894">
        <v>21</v>
      </c>
      <c r="L7894">
        <v>503</v>
      </c>
      <c r="M7894">
        <v>1</v>
      </c>
      <c r="N7894">
        <v>1.4409599999999999E-177</v>
      </c>
      <c r="O7894">
        <v>1598</v>
      </c>
    </row>
    <row r="7895" spans="1:15" x14ac:dyDescent="0.25">
      <c r="A7895" t="s">
        <v>7908</v>
      </c>
      <c r="B7895">
        <v>1105</v>
      </c>
      <c r="C7895" s="1" t="str">
        <f>HYPERLINK("http://www.rosaceae.org/gb/gbrowse/malus_x_domestica/?name=MDP0000262753","MDP0000262753")</f>
        <v>MDP0000262753</v>
      </c>
      <c r="D7895">
        <v>81.599999999999994</v>
      </c>
      <c r="E7895">
        <v>674</v>
      </c>
      <c r="F7895">
        <v>124</v>
      </c>
      <c r="G7895">
        <v>3</v>
      </c>
      <c r="H7895">
        <v>17</v>
      </c>
      <c r="I7895">
        <v>688</v>
      </c>
      <c r="J7895">
        <v>1</v>
      </c>
      <c r="K7895">
        <v>16</v>
      </c>
      <c r="L7895">
        <v>688</v>
      </c>
      <c r="M7895">
        <v>1</v>
      </c>
      <c r="N7895">
        <v>0</v>
      </c>
      <c r="O7895">
        <v>2934</v>
      </c>
    </row>
    <row r="7896" spans="1:15" x14ac:dyDescent="0.25">
      <c r="A7896" t="s">
        <v>7909</v>
      </c>
      <c r="B7896">
        <v>229</v>
      </c>
      <c r="C7896" s="1" t="str">
        <f>HYPERLINK("http://www.rosaceae.org/gb/gbrowse/malus_x_domestica/?name=MDP0000252421","MDP0000252421")</f>
        <v>MDP0000252421</v>
      </c>
      <c r="D7896">
        <v>67.56</v>
      </c>
      <c r="E7896">
        <v>222</v>
      </c>
      <c r="F7896">
        <v>72</v>
      </c>
      <c r="G7896">
        <v>2</v>
      </c>
      <c r="H7896">
        <v>1</v>
      </c>
      <c r="I7896">
        <v>221</v>
      </c>
      <c r="J7896">
        <v>1</v>
      </c>
      <c r="K7896">
        <v>1</v>
      </c>
      <c r="L7896">
        <v>221</v>
      </c>
      <c r="M7896">
        <v>1</v>
      </c>
      <c r="N7896">
        <v>6.1931300000000001E-75</v>
      </c>
      <c r="O7896">
        <v>709</v>
      </c>
    </row>
    <row r="7897" spans="1:15" x14ac:dyDescent="0.25">
      <c r="A7897" t="s">
        <v>7910</v>
      </c>
      <c r="B7897">
        <v>238</v>
      </c>
      <c r="C7897" s="1" t="str">
        <f>HYPERLINK("http://www.rosaceae.org/gb/gbrowse/malus_x_domestica/?name=MDP0000283005","MDP0000283005")</f>
        <v>MDP0000283005</v>
      </c>
      <c r="D7897">
        <v>37.5</v>
      </c>
      <c r="E7897">
        <v>96</v>
      </c>
      <c r="F7897">
        <v>60</v>
      </c>
      <c r="G7897">
        <v>8</v>
      </c>
      <c r="H7897">
        <v>108</v>
      </c>
      <c r="I7897">
        <v>200</v>
      </c>
      <c r="J7897">
        <v>1</v>
      </c>
      <c r="K7897">
        <v>118</v>
      </c>
      <c r="L7897">
        <v>208</v>
      </c>
      <c r="M7897">
        <v>1</v>
      </c>
      <c r="N7897">
        <v>1.8081099999999999E-7</v>
      </c>
      <c r="O7897">
        <v>127</v>
      </c>
    </row>
    <row r="7898" spans="1:15" x14ac:dyDescent="0.25">
      <c r="A7898" t="s">
        <v>7911</v>
      </c>
      <c r="B7898">
        <v>383</v>
      </c>
      <c r="C7898" s="1" t="str">
        <f>HYPERLINK("http://www.rosaceae.org/gb/gbrowse/malus_x_domestica/?name=MDP0000253491","MDP0000253491")</f>
        <v>MDP0000253491</v>
      </c>
      <c r="D7898">
        <v>78.510000000000005</v>
      </c>
      <c r="E7898">
        <v>391</v>
      </c>
      <c r="F7898">
        <v>84</v>
      </c>
      <c r="G7898">
        <v>12</v>
      </c>
      <c r="H7898">
        <v>2</v>
      </c>
      <c r="I7898">
        <v>383</v>
      </c>
      <c r="J7898">
        <v>1</v>
      </c>
      <c r="K7898">
        <v>1030</v>
      </c>
      <c r="L7898">
        <v>1417</v>
      </c>
      <c r="M7898">
        <v>1</v>
      </c>
      <c r="N7898">
        <v>6.5232000000000003E-178</v>
      </c>
      <c r="O7898">
        <v>1600</v>
      </c>
    </row>
    <row r="7899" spans="1:15" x14ac:dyDescent="0.25">
      <c r="A7899" t="s">
        <v>7912</v>
      </c>
      <c r="B7899">
        <v>370</v>
      </c>
      <c r="C7899" s="1" t="str">
        <f>HYPERLINK("http://www.rosaceae.org/gb/gbrowse/malus_x_domestica/?name=MDP0000496961","MDP0000496961")</f>
        <v>MDP0000496961</v>
      </c>
      <c r="D7899">
        <v>75.680000000000007</v>
      </c>
      <c r="E7899">
        <v>366</v>
      </c>
      <c r="F7899">
        <v>89</v>
      </c>
      <c r="G7899">
        <v>1</v>
      </c>
      <c r="H7899">
        <v>1</v>
      </c>
      <c r="I7899">
        <v>366</v>
      </c>
      <c r="J7899">
        <v>1</v>
      </c>
      <c r="K7899">
        <v>334</v>
      </c>
      <c r="L7899">
        <v>698</v>
      </c>
      <c r="M7899">
        <v>1</v>
      </c>
      <c r="N7899">
        <v>7.25521E-164</v>
      </c>
      <c r="O7899">
        <v>1478</v>
      </c>
    </row>
    <row r="7900" spans="1:15" x14ac:dyDescent="0.25">
      <c r="A7900" t="s">
        <v>7913</v>
      </c>
      <c r="B7900">
        <v>650</v>
      </c>
      <c r="C7900" s="1" t="str">
        <f>HYPERLINK("http://www.rosaceae.org/gb/gbrowse/malus_x_domestica/?name=MDP0000312091","MDP0000312091")</f>
        <v>MDP0000312091</v>
      </c>
      <c r="D7900">
        <v>71.62</v>
      </c>
      <c r="E7900">
        <v>652</v>
      </c>
      <c r="F7900">
        <v>185</v>
      </c>
      <c r="G7900">
        <v>3</v>
      </c>
      <c r="H7900">
        <v>1</v>
      </c>
      <c r="I7900">
        <v>650</v>
      </c>
      <c r="J7900">
        <v>1</v>
      </c>
      <c r="K7900">
        <v>47</v>
      </c>
      <c r="L7900">
        <v>697</v>
      </c>
      <c r="M7900">
        <v>1</v>
      </c>
      <c r="N7900">
        <v>0</v>
      </c>
      <c r="O7900">
        <v>2490</v>
      </c>
    </row>
    <row r="7901" spans="1:15" x14ac:dyDescent="0.25">
      <c r="A7901" t="s">
        <v>7914</v>
      </c>
      <c r="B7901">
        <v>738</v>
      </c>
      <c r="C7901" s="1" t="str">
        <f>HYPERLINK("http://www.rosaceae.org/gb/gbrowse/malus_x_domestica/?name=MDP0000310475","MDP0000310475")</f>
        <v>MDP0000310475</v>
      </c>
      <c r="D7901">
        <v>54.35</v>
      </c>
      <c r="E7901">
        <v>471</v>
      </c>
      <c r="F7901">
        <v>215</v>
      </c>
      <c r="G7901">
        <v>14</v>
      </c>
      <c r="H7901">
        <v>103</v>
      </c>
      <c r="I7901">
        <v>569</v>
      </c>
      <c r="J7901">
        <v>1</v>
      </c>
      <c r="K7901">
        <v>1</v>
      </c>
      <c r="L7901">
        <v>461</v>
      </c>
      <c r="M7901">
        <v>1</v>
      </c>
      <c r="N7901">
        <v>3.84231E-126</v>
      </c>
      <c r="O7901">
        <v>1156</v>
      </c>
    </row>
    <row r="7902" spans="1:15" x14ac:dyDescent="0.25">
      <c r="A7902" t="s">
        <v>7915</v>
      </c>
      <c r="B7902">
        <v>233</v>
      </c>
      <c r="C7902" s="1" t="str">
        <f>HYPERLINK("http://www.rosaceae.org/gb/gbrowse/malus_x_domestica/?name=MDP0000300535","MDP0000300535")</f>
        <v>MDP0000300535</v>
      </c>
      <c r="D7902">
        <v>75.790000000000006</v>
      </c>
      <c r="E7902">
        <v>219</v>
      </c>
      <c r="F7902">
        <v>53</v>
      </c>
      <c r="G7902">
        <v>20</v>
      </c>
      <c r="H7902">
        <v>15</v>
      </c>
      <c r="I7902">
        <v>233</v>
      </c>
      <c r="J7902">
        <v>1</v>
      </c>
      <c r="K7902">
        <v>108</v>
      </c>
      <c r="L7902">
        <v>306</v>
      </c>
      <c r="M7902">
        <v>1</v>
      </c>
      <c r="N7902">
        <v>3.0463E-95</v>
      </c>
      <c r="O7902">
        <v>884</v>
      </c>
    </row>
    <row r="7903" spans="1:15" x14ac:dyDescent="0.25">
      <c r="A7903" t="s">
        <v>7916</v>
      </c>
      <c r="B7903">
        <v>147</v>
      </c>
      <c r="C7903" s="1" t="str">
        <f>HYPERLINK("http://www.rosaceae.org/gb/gbrowse/malus_x_domestica/?name=MDP0000668260","MDP0000668260")</f>
        <v>MDP0000668260</v>
      </c>
      <c r="D7903">
        <v>55.55</v>
      </c>
      <c r="E7903">
        <v>72</v>
      </c>
      <c r="F7903">
        <v>32</v>
      </c>
      <c r="G7903">
        <v>6</v>
      </c>
      <c r="H7903">
        <v>1</v>
      </c>
      <c r="I7903">
        <v>66</v>
      </c>
      <c r="J7903">
        <v>1</v>
      </c>
      <c r="K7903">
        <v>1</v>
      </c>
      <c r="L7903">
        <v>72</v>
      </c>
      <c r="M7903">
        <v>1</v>
      </c>
      <c r="N7903">
        <v>2.0284200000000001E-11</v>
      </c>
      <c r="O7903">
        <v>158</v>
      </c>
    </row>
    <row r="7904" spans="1:15" x14ac:dyDescent="0.25">
      <c r="A7904" t="s">
        <v>7917</v>
      </c>
      <c r="B7904">
        <v>1074</v>
      </c>
      <c r="C7904" s="1" t="str">
        <f>HYPERLINK("http://www.rosaceae.org/gb/gbrowse/malus_x_domestica/?name=MDP0000742985","MDP0000742985")</f>
        <v>MDP0000742985</v>
      </c>
      <c r="D7904">
        <v>70.319999999999993</v>
      </c>
      <c r="E7904">
        <v>1011</v>
      </c>
      <c r="F7904">
        <v>300</v>
      </c>
      <c r="G7904">
        <v>52</v>
      </c>
      <c r="H7904">
        <v>1</v>
      </c>
      <c r="I7904">
        <v>980</v>
      </c>
      <c r="J7904">
        <v>1</v>
      </c>
      <c r="K7904">
        <v>34</v>
      </c>
      <c r="L7904">
        <v>1023</v>
      </c>
      <c r="M7904">
        <v>1</v>
      </c>
      <c r="N7904">
        <v>0</v>
      </c>
      <c r="O7904">
        <v>3586</v>
      </c>
    </row>
    <row r="7905" spans="1:15" x14ac:dyDescent="0.25">
      <c r="A7905" t="s">
        <v>7918</v>
      </c>
      <c r="B7905">
        <v>369</v>
      </c>
      <c r="C7905" s="1" t="str">
        <f>HYPERLINK("http://www.rosaceae.org/gb/gbrowse/malus_x_domestica/?name=MDP0000207391","MDP0000207391")</f>
        <v>MDP0000207391</v>
      </c>
      <c r="D7905">
        <v>55.21</v>
      </c>
      <c r="E7905">
        <v>393</v>
      </c>
      <c r="F7905">
        <v>176</v>
      </c>
      <c r="G7905">
        <v>26</v>
      </c>
      <c r="H7905">
        <v>1</v>
      </c>
      <c r="I7905">
        <v>369</v>
      </c>
      <c r="J7905">
        <v>1</v>
      </c>
      <c r="K7905">
        <v>1</v>
      </c>
      <c r="L7905">
        <v>391</v>
      </c>
      <c r="M7905">
        <v>1</v>
      </c>
      <c r="N7905">
        <v>3.1256200000000003E-120</v>
      </c>
      <c r="O7905">
        <v>1102</v>
      </c>
    </row>
    <row r="7906" spans="1:15" x14ac:dyDescent="0.25">
      <c r="A7906" t="s">
        <v>7919</v>
      </c>
      <c r="B7906">
        <v>741</v>
      </c>
      <c r="C7906" s="1" t="str">
        <f>HYPERLINK("http://www.rosaceae.org/gb/gbrowse/malus_x_domestica/?name=MDP0000149241","MDP0000149241")</f>
        <v>MDP0000149241</v>
      </c>
      <c r="D7906">
        <v>85.48</v>
      </c>
      <c r="E7906">
        <v>682</v>
      </c>
      <c r="F7906">
        <v>99</v>
      </c>
      <c r="G7906">
        <v>20</v>
      </c>
      <c r="H7906">
        <v>60</v>
      </c>
      <c r="I7906">
        <v>741</v>
      </c>
      <c r="J7906">
        <v>1</v>
      </c>
      <c r="K7906">
        <v>4</v>
      </c>
      <c r="L7906">
        <v>665</v>
      </c>
      <c r="M7906">
        <v>1</v>
      </c>
      <c r="N7906">
        <v>0</v>
      </c>
      <c r="O7906">
        <v>3164</v>
      </c>
    </row>
    <row r="7907" spans="1:15" x14ac:dyDescent="0.25">
      <c r="A7907" t="s">
        <v>7920</v>
      </c>
      <c r="B7907">
        <v>128</v>
      </c>
      <c r="C7907" s="1" t="str">
        <f>HYPERLINK("http://www.rosaceae.org/gb/gbrowse/malus_x_domestica/?name=MDP0000485762","MDP0000485762")</f>
        <v>MDP0000485762</v>
      </c>
      <c r="D7907">
        <v>59.25</v>
      </c>
      <c r="E7907">
        <v>81</v>
      </c>
      <c r="F7907">
        <v>33</v>
      </c>
      <c r="G7907">
        <v>0</v>
      </c>
      <c r="H7907">
        <v>5</v>
      </c>
      <c r="I7907">
        <v>85</v>
      </c>
      <c r="J7907">
        <v>1</v>
      </c>
      <c r="K7907">
        <v>26</v>
      </c>
      <c r="L7907">
        <v>106</v>
      </c>
      <c r="M7907">
        <v>1</v>
      </c>
      <c r="N7907">
        <v>2.3572299999999999E-17</v>
      </c>
      <c r="O7907">
        <v>208</v>
      </c>
    </row>
    <row r="7908" spans="1:15" x14ac:dyDescent="0.25">
      <c r="A7908" t="s">
        <v>7921</v>
      </c>
      <c r="B7908">
        <v>576</v>
      </c>
      <c r="C7908" s="1" t="str">
        <f>HYPERLINK("http://www.rosaceae.org/gb/gbrowse/malus_x_domestica/?name=MDP0000238643","MDP0000238643")</f>
        <v>MDP0000238643</v>
      </c>
      <c r="D7908">
        <v>49.12</v>
      </c>
      <c r="E7908">
        <v>114</v>
      </c>
      <c r="F7908">
        <v>58</v>
      </c>
      <c r="G7908">
        <v>2</v>
      </c>
      <c r="H7908">
        <v>9</v>
      </c>
      <c r="I7908">
        <v>122</v>
      </c>
      <c r="J7908">
        <v>1</v>
      </c>
      <c r="K7908">
        <v>27</v>
      </c>
      <c r="L7908">
        <v>138</v>
      </c>
      <c r="M7908">
        <v>1</v>
      </c>
      <c r="N7908">
        <v>2.94728E-22</v>
      </c>
      <c r="O7908">
        <v>259</v>
      </c>
    </row>
    <row r="7909" spans="1:15" x14ac:dyDescent="0.25">
      <c r="A7909" t="s">
        <v>7922</v>
      </c>
      <c r="B7909">
        <v>401</v>
      </c>
      <c r="C7909" s="1" t="str">
        <f>HYPERLINK("http://www.rosaceae.org/gb/gbrowse/malus_x_domestica/?name=MDP0000784808","MDP0000784808")</f>
        <v>MDP0000784808</v>
      </c>
      <c r="D7909">
        <v>94.26</v>
      </c>
      <c r="E7909">
        <v>401</v>
      </c>
      <c r="F7909">
        <v>23</v>
      </c>
      <c r="G7909">
        <v>0</v>
      </c>
      <c r="H7909">
        <v>1</v>
      </c>
      <c r="I7909">
        <v>401</v>
      </c>
      <c r="J7909">
        <v>1</v>
      </c>
      <c r="K7909">
        <v>1</v>
      </c>
      <c r="L7909">
        <v>401</v>
      </c>
      <c r="M7909">
        <v>1</v>
      </c>
      <c r="N7909">
        <v>0</v>
      </c>
      <c r="O7909">
        <v>1954</v>
      </c>
    </row>
    <row r="7910" spans="1:15" x14ac:dyDescent="0.25">
      <c r="A7910" t="s">
        <v>7923</v>
      </c>
      <c r="B7910">
        <v>418</v>
      </c>
      <c r="C7910" s="1" t="str">
        <f>HYPERLINK("http://www.rosaceae.org/gb/gbrowse/malus_x_domestica/?name=MDP0000943585","MDP0000943585")</f>
        <v>MDP0000943585</v>
      </c>
      <c r="D7910">
        <v>55.84</v>
      </c>
      <c r="E7910">
        <v>428</v>
      </c>
      <c r="F7910">
        <v>189</v>
      </c>
      <c r="G7910">
        <v>14</v>
      </c>
      <c r="H7910">
        <v>1</v>
      </c>
      <c r="I7910">
        <v>418</v>
      </c>
      <c r="J7910">
        <v>1</v>
      </c>
      <c r="K7910">
        <v>1</v>
      </c>
      <c r="L7910">
        <v>424</v>
      </c>
      <c r="M7910">
        <v>1</v>
      </c>
      <c r="N7910">
        <v>5.0689200000000002E-138</v>
      </c>
      <c r="O7910">
        <v>1256</v>
      </c>
    </row>
    <row r="7911" spans="1:15" x14ac:dyDescent="0.25">
      <c r="A7911" t="s">
        <v>7924</v>
      </c>
      <c r="B7911">
        <v>970</v>
      </c>
      <c r="C7911" s="1" t="str">
        <f>HYPERLINK("http://www.rosaceae.org/gb/gbrowse/malus_x_domestica/?name=MDP0000847124","MDP0000847124")</f>
        <v>MDP0000847124</v>
      </c>
      <c r="D7911">
        <v>81.540000000000006</v>
      </c>
      <c r="E7911">
        <v>970</v>
      </c>
      <c r="F7911">
        <v>179</v>
      </c>
      <c r="G7911">
        <v>2</v>
      </c>
      <c r="H7911">
        <v>1</v>
      </c>
      <c r="I7911">
        <v>969</v>
      </c>
      <c r="J7911">
        <v>1</v>
      </c>
      <c r="K7911">
        <v>1</v>
      </c>
      <c r="L7911">
        <v>969</v>
      </c>
      <c r="M7911">
        <v>1</v>
      </c>
      <c r="N7911">
        <v>0</v>
      </c>
      <c r="O7911">
        <v>4212</v>
      </c>
    </row>
    <row r="7912" spans="1:15" x14ac:dyDescent="0.25">
      <c r="A7912" t="s">
        <v>7925</v>
      </c>
      <c r="B7912">
        <v>323</v>
      </c>
      <c r="C7912" s="1" t="str">
        <f>HYPERLINK("http://www.rosaceae.org/gb/gbrowse/malus_x_domestica/?name=MDP0000942281","MDP0000942281")</f>
        <v>MDP0000942281</v>
      </c>
      <c r="D7912">
        <v>62.5</v>
      </c>
      <c r="E7912">
        <v>320</v>
      </c>
      <c r="F7912">
        <v>120</v>
      </c>
      <c r="G7912">
        <v>2</v>
      </c>
      <c r="H7912">
        <v>5</v>
      </c>
      <c r="I7912">
        <v>322</v>
      </c>
      <c r="J7912">
        <v>1</v>
      </c>
      <c r="K7912">
        <v>6</v>
      </c>
      <c r="L7912">
        <v>325</v>
      </c>
      <c r="M7912">
        <v>1</v>
      </c>
      <c r="N7912">
        <v>2.17175E-111</v>
      </c>
      <c r="O7912">
        <v>1025</v>
      </c>
    </row>
    <row r="7913" spans="1:15" x14ac:dyDescent="0.25">
      <c r="A7913" t="s">
        <v>7926</v>
      </c>
      <c r="B7913">
        <v>746</v>
      </c>
      <c r="C7913" s="1" t="str">
        <f>HYPERLINK("http://www.rosaceae.org/gb/gbrowse/malus_x_domestica/?name=MDP0000269900","MDP0000269900")</f>
        <v>MDP0000269900</v>
      </c>
      <c r="D7913">
        <v>76.540000000000006</v>
      </c>
      <c r="E7913">
        <v>695</v>
      </c>
      <c r="F7913">
        <v>163</v>
      </c>
      <c r="G7913">
        <v>6</v>
      </c>
      <c r="H7913">
        <v>42</v>
      </c>
      <c r="I7913">
        <v>730</v>
      </c>
      <c r="J7913">
        <v>1</v>
      </c>
      <c r="K7913">
        <v>1</v>
      </c>
      <c r="L7913">
        <v>695</v>
      </c>
      <c r="M7913">
        <v>1</v>
      </c>
      <c r="N7913">
        <v>0</v>
      </c>
      <c r="O7913">
        <v>2872</v>
      </c>
    </row>
    <row r="7914" spans="1:15" x14ac:dyDescent="0.25">
      <c r="A7914" t="s">
        <v>7927</v>
      </c>
      <c r="B7914">
        <v>526</v>
      </c>
      <c r="C7914" s="1" t="str">
        <f>HYPERLINK("http://www.rosaceae.org/gb/gbrowse/malus_x_domestica/?name=MDP0000177079","MDP0000177079")</f>
        <v>MDP0000177079</v>
      </c>
      <c r="D7914">
        <v>61.33</v>
      </c>
      <c r="E7914">
        <v>494</v>
      </c>
      <c r="F7914">
        <v>191</v>
      </c>
      <c r="G7914">
        <v>2</v>
      </c>
      <c r="H7914">
        <v>27</v>
      </c>
      <c r="I7914">
        <v>519</v>
      </c>
      <c r="J7914">
        <v>1</v>
      </c>
      <c r="K7914">
        <v>21</v>
      </c>
      <c r="L7914">
        <v>513</v>
      </c>
      <c r="M7914">
        <v>1</v>
      </c>
      <c r="N7914">
        <v>0</v>
      </c>
      <c r="O7914">
        <v>1700</v>
      </c>
    </row>
    <row r="7915" spans="1:15" x14ac:dyDescent="0.25">
      <c r="A7915" t="s">
        <v>7928</v>
      </c>
      <c r="B7915">
        <v>144</v>
      </c>
      <c r="C7915" s="1" t="str">
        <f>HYPERLINK("http://www.rosaceae.org/gb/gbrowse/malus_x_domestica/?name=MDP0000186752","MDP0000186752")</f>
        <v>MDP0000186752</v>
      </c>
      <c r="D7915">
        <v>90.78</v>
      </c>
      <c r="E7915">
        <v>141</v>
      </c>
      <c r="F7915">
        <v>13</v>
      </c>
      <c r="G7915">
        <v>0</v>
      </c>
      <c r="H7915">
        <v>1</v>
      </c>
      <c r="I7915">
        <v>141</v>
      </c>
      <c r="J7915">
        <v>1</v>
      </c>
      <c r="K7915">
        <v>1</v>
      </c>
      <c r="L7915">
        <v>141</v>
      </c>
      <c r="M7915">
        <v>1</v>
      </c>
      <c r="N7915">
        <v>1.00389E-72</v>
      </c>
      <c r="O7915">
        <v>686</v>
      </c>
    </row>
    <row r="7916" spans="1:15" x14ac:dyDescent="0.25">
      <c r="A7916" t="s">
        <v>7929</v>
      </c>
      <c r="B7916">
        <v>248</v>
      </c>
      <c r="C7916" s="1" t="str">
        <f>HYPERLINK("http://www.rosaceae.org/gb/gbrowse/malus_x_domestica/?name=MDP0000273432","MDP0000273432")</f>
        <v>MDP0000273432</v>
      </c>
      <c r="D7916">
        <v>61.74</v>
      </c>
      <c r="E7916">
        <v>264</v>
      </c>
      <c r="F7916">
        <v>101</v>
      </c>
      <c r="G7916">
        <v>27</v>
      </c>
      <c r="H7916">
        <v>1</v>
      </c>
      <c r="I7916">
        <v>248</v>
      </c>
      <c r="J7916">
        <v>1</v>
      </c>
      <c r="K7916">
        <v>48</v>
      </c>
      <c r="L7916">
        <v>300</v>
      </c>
      <c r="M7916">
        <v>1</v>
      </c>
      <c r="N7916">
        <v>3.4378599999999999E-68</v>
      </c>
      <c r="O7916">
        <v>651</v>
      </c>
    </row>
    <row r="7917" spans="1:15" x14ac:dyDescent="0.25">
      <c r="A7917" t="s">
        <v>7930</v>
      </c>
      <c r="B7917">
        <v>1636</v>
      </c>
      <c r="C7917" s="1" t="str">
        <f>HYPERLINK("http://www.rosaceae.org/gb/gbrowse/malus_x_domestica/?name=MDP0000299496","MDP0000299496")</f>
        <v>MDP0000299496</v>
      </c>
      <c r="D7917">
        <v>37.32</v>
      </c>
      <c r="E7917">
        <v>367</v>
      </c>
      <c r="F7917">
        <v>230</v>
      </c>
      <c r="G7917">
        <v>47</v>
      </c>
      <c r="H7917">
        <v>1023</v>
      </c>
      <c r="I7917">
        <v>1347</v>
      </c>
      <c r="J7917">
        <v>1</v>
      </c>
      <c r="K7917">
        <v>445</v>
      </c>
      <c r="L7917">
        <v>806</v>
      </c>
      <c r="M7917">
        <v>1</v>
      </c>
      <c r="N7917">
        <v>2.7816100000000001E-68</v>
      </c>
      <c r="O7917">
        <v>660</v>
      </c>
    </row>
    <row r="7918" spans="1:15" x14ac:dyDescent="0.25">
      <c r="A7918" t="s">
        <v>7931</v>
      </c>
      <c r="B7918">
        <v>347</v>
      </c>
      <c r="C7918" s="1" t="str">
        <f>HYPERLINK("http://www.rosaceae.org/gb/gbrowse/malus_x_domestica/?name=MDP0000151060","MDP0000151060")</f>
        <v>MDP0000151060</v>
      </c>
      <c r="D7918">
        <v>54.65</v>
      </c>
      <c r="E7918">
        <v>322</v>
      </c>
      <c r="F7918">
        <v>146</v>
      </c>
      <c r="G7918">
        <v>62</v>
      </c>
      <c r="H7918">
        <v>1</v>
      </c>
      <c r="I7918">
        <v>315</v>
      </c>
      <c r="J7918">
        <v>1</v>
      </c>
      <c r="K7918">
        <v>773</v>
      </c>
      <c r="L7918">
        <v>1039</v>
      </c>
      <c r="M7918">
        <v>1</v>
      </c>
      <c r="N7918">
        <v>5.9169000000000002E-92</v>
      </c>
      <c r="O7918">
        <v>858</v>
      </c>
    </row>
    <row r="7919" spans="1:15" x14ac:dyDescent="0.25">
      <c r="A7919" t="s">
        <v>7932</v>
      </c>
      <c r="B7919">
        <v>176</v>
      </c>
      <c r="C7919" s="1" t="str">
        <f>HYPERLINK("http://www.rosaceae.org/gb/gbrowse/malus_x_domestica/?name=MDP0000603266","MDP0000603266")</f>
        <v>MDP0000603266</v>
      </c>
      <c r="D7919">
        <v>78.849999999999994</v>
      </c>
      <c r="E7919">
        <v>175</v>
      </c>
      <c r="F7919">
        <v>37</v>
      </c>
      <c r="G7919">
        <v>0</v>
      </c>
      <c r="H7919">
        <v>1</v>
      </c>
      <c r="I7919">
        <v>175</v>
      </c>
      <c r="J7919">
        <v>1</v>
      </c>
      <c r="K7919">
        <v>1</v>
      </c>
      <c r="L7919">
        <v>175</v>
      </c>
      <c r="M7919">
        <v>1</v>
      </c>
      <c r="N7919">
        <v>1.8839299999999999E-80</v>
      </c>
      <c r="O7919">
        <v>754</v>
      </c>
    </row>
    <row r="7920" spans="1:15" x14ac:dyDescent="0.25">
      <c r="A7920" t="s">
        <v>7933</v>
      </c>
      <c r="B7920">
        <v>631</v>
      </c>
      <c r="C7920" s="1" t="str">
        <f>HYPERLINK("http://www.rosaceae.org/gb/gbrowse/malus_x_domestica/?name=MDP0000178602","MDP0000178602")</f>
        <v>MDP0000178602</v>
      </c>
      <c r="D7920">
        <v>49.92</v>
      </c>
      <c r="E7920">
        <v>631</v>
      </c>
      <c r="F7920">
        <v>316</v>
      </c>
      <c r="G7920">
        <v>47</v>
      </c>
      <c r="H7920">
        <v>14</v>
      </c>
      <c r="I7920">
        <v>619</v>
      </c>
      <c r="J7920">
        <v>1</v>
      </c>
      <c r="K7920">
        <v>2</v>
      </c>
      <c r="L7920">
        <v>610</v>
      </c>
      <c r="M7920">
        <v>1</v>
      </c>
      <c r="N7920">
        <v>8.5630299999999999E-161</v>
      </c>
      <c r="O7920">
        <v>1454</v>
      </c>
    </row>
    <row r="7921" spans="1:15" x14ac:dyDescent="0.25">
      <c r="A7921" t="s">
        <v>7934</v>
      </c>
      <c r="B7921">
        <v>327</v>
      </c>
      <c r="C7921" s="1" t="str">
        <f>HYPERLINK("http://www.rosaceae.org/gb/gbrowse/malus_x_domestica/?name=MDP0000257227","MDP0000257227")</f>
        <v>MDP0000257227</v>
      </c>
      <c r="D7921">
        <v>53.54</v>
      </c>
      <c r="E7921">
        <v>282</v>
      </c>
      <c r="F7921">
        <v>131</v>
      </c>
      <c r="G7921">
        <v>31</v>
      </c>
      <c r="H7921">
        <v>32</v>
      </c>
      <c r="I7921">
        <v>283</v>
      </c>
      <c r="J7921">
        <v>1</v>
      </c>
      <c r="K7921">
        <v>30</v>
      </c>
      <c r="L7921">
        <v>310</v>
      </c>
      <c r="M7921">
        <v>1</v>
      </c>
      <c r="N7921">
        <v>7.1432699999999994E-67</v>
      </c>
      <c r="O7921">
        <v>641</v>
      </c>
    </row>
    <row r="7922" spans="1:15" x14ac:dyDescent="0.25">
      <c r="A7922" t="s">
        <v>7935</v>
      </c>
      <c r="B7922">
        <v>926</v>
      </c>
      <c r="C7922" s="1" t="str">
        <f>HYPERLINK("http://www.rosaceae.org/gb/gbrowse/malus_x_domestica/?name=MDP0000664113","MDP0000664113")</f>
        <v>MDP0000664113</v>
      </c>
      <c r="D7922">
        <v>69.5</v>
      </c>
      <c r="E7922">
        <v>928</v>
      </c>
      <c r="F7922">
        <v>283</v>
      </c>
      <c r="G7922">
        <v>42</v>
      </c>
      <c r="H7922">
        <v>1</v>
      </c>
      <c r="I7922">
        <v>925</v>
      </c>
      <c r="J7922">
        <v>1</v>
      </c>
      <c r="K7922">
        <v>1</v>
      </c>
      <c r="L7922">
        <v>889</v>
      </c>
      <c r="M7922">
        <v>1</v>
      </c>
      <c r="N7922">
        <v>0</v>
      </c>
      <c r="O7922">
        <v>3162</v>
      </c>
    </row>
    <row r="7923" spans="1:15" x14ac:dyDescent="0.25">
      <c r="A7923" t="s">
        <v>7936</v>
      </c>
      <c r="B7923">
        <v>155</v>
      </c>
      <c r="C7923" s="1" t="str">
        <f>HYPERLINK("http://www.rosaceae.org/gb/gbrowse/malus_x_domestica/?name=MDP0000295220","MDP0000295220")</f>
        <v>MDP0000295220</v>
      </c>
      <c r="D7923">
        <v>73.91</v>
      </c>
      <c r="E7923">
        <v>115</v>
      </c>
      <c r="F7923">
        <v>30</v>
      </c>
      <c r="G7923">
        <v>16</v>
      </c>
      <c r="H7923">
        <v>36</v>
      </c>
      <c r="I7923">
        <v>134</v>
      </c>
      <c r="J7923">
        <v>1</v>
      </c>
      <c r="K7923">
        <v>272</v>
      </c>
      <c r="L7923">
        <v>386</v>
      </c>
      <c r="M7923">
        <v>1</v>
      </c>
      <c r="N7923">
        <v>1.9020400000000001E-44</v>
      </c>
      <c r="O7923">
        <v>443</v>
      </c>
    </row>
    <row r="7924" spans="1:15" x14ac:dyDescent="0.25">
      <c r="A7924" t="s">
        <v>7937</v>
      </c>
      <c r="B7924">
        <v>184</v>
      </c>
      <c r="C7924" s="1" t="str">
        <f>HYPERLINK("http://www.rosaceae.org/gb/gbrowse/malus_x_domestica/?name=MDP0000309030","MDP0000309030")</f>
        <v>MDP0000309030</v>
      </c>
      <c r="D7924">
        <v>79.09</v>
      </c>
      <c r="E7924">
        <v>177</v>
      </c>
      <c r="F7924">
        <v>37</v>
      </c>
      <c r="G7924">
        <v>0</v>
      </c>
      <c r="H7924">
        <v>8</v>
      </c>
      <c r="I7924">
        <v>184</v>
      </c>
      <c r="J7924">
        <v>1</v>
      </c>
      <c r="K7924">
        <v>134</v>
      </c>
      <c r="L7924">
        <v>310</v>
      </c>
      <c r="M7924">
        <v>1</v>
      </c>
      <c r="N7924">
        <v>3.4217599999999999E-81</v>
      </c>
      <c r="O7924">
        <v>761</v>
      </c>
    </row>
    <row r="7925" spans="1:15" x14ac:dyDescent="0.25">
      <c r="A7925" t="s">
        <v>7938</v>
      </c>
      <c r="B7925">
        <v>373</v>
      </c>
      <c r="C7925" s="1" t="str">
        <f>HYPERLINK("http://www.rosaceae.org/gb/gbrowse/malus_x_domestica/?name=MDP0000279491","MDP0000279491")</f>
        <v>MDP0000279491</v>
      </c>
      <c r="D7925">
        <v>67.5</v>
      </c>
      <c r="E7925">
        <v>400</v>
      </c>
      <c r="F7925">
        <v>130</v>
      </c>
      <c r="G7925">
        <v>49</v>
      </c>
      <c r="H7925">
        <v>14</v>
      </c>
      <c r="I7925">
        <v>365</v>
      </c>
      <c r="J7925">
        <v>1</v>
      </c>
      <c r="K7925">
        <v>241</v>
      </c>
      <c r="L7925">
        <v>639</v>
      </c>
      <c r="M7925">
        <v>1</v>
      </c>
      <c r="N7925">
        <v>8.5734700000000003E-145</v>
      </c>
      <c r="O7925">
        <v>1314</v>
      </c>
    </row>
    <row r="7926" spans="1:15" x14ac:dyDescent="0.25">
      <c r="A7926" t="s">
        <v>7939</v>
      </c>
      <c r="B7926">
        <v>823</v>
      </c>
      <c r="C7926" s="1" t="str">
        <f>HYPERLINK("http://www.rosaceae.org/gb/gbrowse/malus_x_domestica/?name=MDP0000244138","MDP0000244138")</f>
        <v>MDP0000244138</v>
      </c>
      <c r="D7926">
        <v>72.819999999999993</v>
      </c>
      <c r="E7926">
        <v>828</v>
      </c>
      <c r="F7926">
        <v>225</v>
      </c>
      <c r="G7926">
        <v>45</v>
      </c>
      <c r="H7926">
        <v>1</v>
      </c>
      <c r="I7926">
        <v>823</v>
      </c>
      <c r="J7926">
        <v>1</v>
      </c>
      <c r="K7926">
        <v>448</v>
      </c>
      <c r="L7926">
        <v>1235</v>
      </c>
      <c r="M7926">
        <v>1</v>
      </c>
      <c r="N7926">
        <v>0</v>
      </c>
      <c r="O7926">
        <v>3218</v>
      </c>
    </row>
    <row r="7927" spans="1:15" x14ac:dyDescent="0.25">
      <c r="A7927" t="s">
        <v>7940</v>
      </c>
      <c r="B7927">
        <v>842</v>
      </c>
      <c r="C7927" s="1" t="str">
        <f>HYPERLINK("http://www.rosaceae.org/gb/gbrowse/malus_x_domestica/?name=MDP0000137177","MDP0000137177")</f>
        <v>MDP0000137177</v>
      </c>
      <c r="D7927">
        <v>56.8</v>
      </c>
      <c r="E7927">
        <v>426</v>
      </c>
      <c r="F7927">
        <v>184</v>
      </c>
      <c r="G7927">
        <v>15</v>
      </c>
      <c r="H7927">
        <v>424</v>
      </c>
      <c r="I7927">
        <v>838</v>
      </c>
      <c r="J7927">
        <v>1</v>
      </c>
      <c r="K7927">
        <v>150</v>
      </c>
      <c r="L7927">
        <v>571</v>
      </c>
      <c r="M7927">
        <v>1</v>
      </c>
      <c r="N7927">
        <v>3.93328E-125</v>
      </c>
      <c r="O7927">
        <v>1148</v>
      </c>
    </row>
    <row r="7928" spans="1:15" x14ac:dyDescent="0.25">
      <c r="A7928" t="s">
        <v>7941</v>
      </c>
      <c r="B7928">
        <v>572</v>
      </c>
      <c r="C7928" s="1" t="str">
        <f>HYPERLINK("http://www.rosaceae.org/gb/gbrowse/malus_x_domestica/?name=MDP0000195139","MDP0000195139")</f>
        <v>MDP0000195139</v>
      </c>
      <c r="D7928">
        <v>43.14</v>
      </c>
      <c r="E7928">
        <v>350</v>
      </c>
      <c r="F7928">
        <v>199</v>
      </c>
      <c r="G7928">
        <v>57</v>
      </c>
      <c r="H7928">
        <v>121</v>
      </c>
      <c r="I7928">
        <v>417</v>
      </c>
      <c r="J7928">
        <v>1</v>
      </c>
      <c r="K7928">
        <v>605</v>
      </c>
      <c r="L7928">
        <v>950</v>
      </c>
      <c r="M7928">
        <v>1</v>
      </c>
      <c r="N7928">
        <v>1.0362E-58</v>
      </c>
      <c r="O7928">
        <v>573</v>
      </c>
    </row>
    <row r="7929" spans="1:15" x14ac:dyDescent="0.25">
      <c r="A7929" t="s">
        <v>7942</v>
      </c>
      <c r="B7929">
        <v>200</v>
      </c>
      <c r="C7929" s="1" t="str">
        <f>HYPERLINK("http://www.rosaceae.org/gb/gbrowse/malus_x_domestica/?name=MDP0000136856","MDP0000136856")</f>
        <v>MDP0000136856</v>
      </c>
      <c r="D7929">
        <v>56.92</v>
      </c>
      <c r="E7929">
        <v>65</v>
      </c>
      <c r="F7929">
        <v>28</v>
      </c>
      <c r="G7929">
        <v>3</v>
      </c>
      <c r="H7929">
        <v>22</v>
      </c>
      <c r="I7929">
        <v>86</v>
      </c>
      <c r="J7929">
        <v>1</v>
      </c>
      <c r="K7929">
        <v>109</v>
      </c>
      <c r="L7929">
        <v>170</v>
      </c>
      <c r="M7929">
        <v>1</v>
      </c>
      <c r="N7929">
        <v>7.1280499999999999E-14</v>
      </c>
      <c r="O7929">
        <v>181</v>
      </c>
    </row>
    <row r="7930" spans="1:15" x14ac:dyDescent="0.25">
      <c r="A7930" t="s">
        <v>7943</v>
      </c>
      <c r="B7930">
        <v>335</v>
      </c>
      <c r="C7930" s="1" t="str">
        <f>HYPERLINK("http://www.rosaceae.org/gb/gbrowse/malus_x_domestica/?name=MDP0000316310","MDP0000316310")</f>
        <v>MDP0000316310</v>
      </c>
      <c r="D7930">
        <v>61.15</v>
      </c>
      <c r="E7930">
        <v>345</v>
      </c>
      <c r="F7930">
        <v>134</v>
      </c>
      <c r="G7930">
        <v>41</v>
      </c>
      <c r="H7930">
        <v>13</v>
      </c>
      <c r="I7930">
        <v>317</v>
      </c>
      <c r="J7930">
        <v>1</v>
      </c>
      <c r="K7930">
        <v>14</v>
      </c>
      <c r="L7930">
        <v>357</v>
      </c>
      <c r="M7930">
        <v>1</v>
      </c>
      <c r="N7930">
        <v>3.4736199999999997E-114</v>
      </c>
      <c r="O7930">
        <v>1049</v>
      </c>
    </row>
    <row r="7931" spans="1:15" x14ac:dyDescent="0.25">
      <c r="A7931" t="s">
        <v>7944</v>
      </c>
      <c r="B7931">
        <v>901</v>
      </c>
      <c r="C7931" s="1" t="str">
        <f>HYPERLINK("http://www.rosaceae.org/gb/gbrowse/malus_x_domestica/?name=MDP0000157315","MDP0000157315")</f>
        <v>MDP0000157315</v>
      </c>
      <c r="D7931">
        <v>81.17</v>
      </c>
      <c r="E7931">
        <v>712</v>
      </c>
      <c r="F7931">
        <v>134</v>
      </c>
      <c r="G7931">
        <v>5</v>
      </c>
      <c r="H7931">
        <v>1</v>
      </c>
      <c r="I7931">
        <v>712</v>
      </c>
      <c r="J7931">
        <v>1</v>
      </c>
      <c r="K7931">
        <v>1</v>
      </c>
      <c r="L7931">
        <v>707</v>
      </c>
      <c r="M7931">
        <v>1</v>
      </c>
      <c r="N7931">
        <v>0</v>
      </c>
      <c r="O7931">
        <v>2981</v>
      </c>
    </row>
    <row r="7932" spans="1:15" x14ac:dyDescent="0.25">
      <c r="A7932" t="s">
        <v>7945</v>
      </c>
      <c r="B7932">
        <v>1675</v>
      </c>
      <c r="C7932" s="1" t="str">
        <f>HYPERLINK("http://www.rosaceae.org/gb/gbrowse/malus_x_domestica/?name=MDP0000258603","MDP0000258603")</f>
        <v>MDP0000258603</v>
      </c>
      <c r="D7932">
        <v>55.92</v>
      </c>
      <c r="E7932">
        <v>1731</v>
      </c>
      <c r="F7932">
        <v>763</v>
      </c>
      <c r="G7932">
        <v>203</v>
      </c>
      <c r="H7932">
        <v>1</v>
      </c>
      <c r="I7932">
        <v>1654</v>
      </c>
      <c r="J7932">
        <v>1</v>
      </c>
      <c r="K7932">
        <v>1</v>
      </c>
      <c r="L7932">
        <v>1605</v>
      </c>
      <c r="M7932">
        <v>1</v>
      </c>
      <c r="N7932">
        <v>0</v>
      </c>
      <c r="O7932">
        <v>4401</v>
      </c>
    </row>
    <row r="7933" spans="1:15" x14ac:dyDescent="0.25">
      <c r="A7933" t="s">
        <v>7946</v>
      </c>
      <c r="B7933">
        <v>509</v>
      </c>
      <c r="C7933" s="1" t="str">
        <f>HYPERLINK("http://www.rosaceae.org/gb/gbrowse/malus_x_domestica/?name=MDP0000136685","MDP0000136685")</f>
        <v>MDP0000136685</v>
      </c>
      <c r="D7933">
        <v>68.959999999999994</v>
      </c>
      <c r="E7933">
        <v>522</v>
      </c>
      <c r="F7933">
        <v>162</v>
      </c>
      <c r="G7933">
        <v>33</v>
      </c>
      <c r="H7933">
        <v>18</v>
      </c>
      <c r="I7933">
        <v>508</v>
      </c>
      <c r="J7933">
        <v>1</v>
      </c>
      <c r="K7933">
        <v>20</v>
      </c>
      <c r="L7933">
        <v>539</v>
      </c>
      <c r="M7933">
        <v>1</v>
      </c>
      <c r="N7933">
        <v>0</v>
      </c>
      <c r="O7933">
        <v>1788</v>
      </c>
    </row>
    <row r="7934" spans="1:15" x14ac:dyDescent="0.25">
      <c r="A7934" t="s">
        <v>7947</v>
      </c>
      <c r="B7934">
        <v>655</v>
      </c>
      <c r="C7934" s="1" t="str">
        <f>HYPERLINK("http://www.rosaceae.org/gb/gbrowse/malus_x_domestica/?name=MDP0000155715","MDP0000155715")</f>
        <v>MDP0000155715</v>
      </c>
      <c r="D7934">
        <v>62.48</v>
      </c>
      <c r="E7934">
        <v>669</v>
      </c>
      <c r="F7934">
        <v>251</v>
      </c>
      <c r="G7934">
        <v>27</v>
      </c>
      <c r="H7934">
        <v>1</v>
      </c>
      <c r="I7934">
        <v>650</v>
      </c>
      <c r="J7934">
        <v>1</v>
      </c>
      <c r="K7934">
        <v>1</v>
      </c>
      <c r="L7934">
        <v>661</v>
      </c>
      <c r="M7934">
        <v>1</v>
      </c>
      <c r="N7934">
        <v>0</v>
      </c>
      <c r="O7934">
        <v>2053</v>
      </c>
    </row>
    <row r="7935" spans="1:15" x14ac:dyDescent="0.25">
      <c r="A7935" t="s">
        <v>7948</v>
      </c>
      <c r="B7935">
        <v>579</v>
      </c>
      <c r="C7935" s="1" t="str">
        <f>HYPERLINK("http://www.rosaceae.org/gb/gbrowse/malus_x_domestica/?name=MDP0000136957","MDP0000136957")</f>
        <v>MDP0000136957</v>
      </c>
      <c r="D7935">
        <v>75.180000000000007</v>
      </c>
      <c r="E7935">
        <v>536</v>
      </c>
      <c r="F7935">
        <v>133</v>
      </c>
      <c r="G7935">
        <v>24</v>
      </c>
      <c r="H7935">
        <v>65</v>
      </c>
      <c r="I7935">
        <v>579</v>
      </c>
      <c r="J7935">
        <v>1</v>
      </c>
      <c r="K7935">
        <v>16</v>
      </c>
      <c r="L7935">
        <v>548</v>
      </c>
      <c r="M7935">
        <v>1</v>
      </c>
      <c r="N7935">
        <v>0</v>
      </c>
      <c r="O7935">
        <v>2128</v>
      </c>
    </row>
    <row r="7936" spans="1:15" x14ac:dyDescent="0.25">
      <c r="A7936" t="s">
        <v>7949</v>
      </c>
      <c r="B7936">
        <v>283</v>
      </c>
      <c r="C7936" s="1" t="str">
        <f>HYPERLINK("http://www.rosaceae.org/gb/gbrowse/malus_x_domestica/?name=MDP0000148325","MDP0000148325")</f>
        <v>MDP0000148325</v>
      </c>
      <c r="D7936">
        <v>46.66</v>
      </c>
      <c r="E7936">
        <v>75</v>
      </c>
      <c r="F7936">
        <v>40</v>
      </c>
      <c r="G7936">
        <v>1</v>
      </c>
      <c r="H7936">
        <v>4</v>
      </c>
      <c r="I7936">
        <v>78</v>
      </c>
      <c r="J7936">
        <v>1</v>
      </c>
      <c r="K7936">
        <v>491</v>
      </c>
      <c r="L7936">
        <v>564</v>
      </c>
      <c r="M7936">
        <v>1</v>
      </c>
      <c r="N7936">
        <v>2.4927900000000001E-11</v>
      </c>
      <c r="O7936">
        <v>161</v>
      </c>
    </row>
    <row r="7937" spans="1:15" x14ac:dyDescent="0.25">
      <c r="A7937" t="s">
        <v>7950</v>
      </c>
      <c r="B7937">
        <v>242</v>
      </c>
      <c r="C7937" s="1" t="str">
        <f>HYPERLINK("http://www.rosaceae.org/gb/gbrowse/malus_x_domestica/?name=MDP0000250047","MDP0000250047")</f>
        <v>MDP0000250047</v>
      </c>
      <c r="D7937">
        <v>59.74</v>
      </c>
      <c r="E7937">
        <v>77</v>
      </c>
      <c r="F7937">
        <v>31</v>
      </c>
      <c r="G7937">
        <v>3</v>
      </c>
      <c r="H7937">
        <v>164</v>
      </c>
      <c r="I7937">
        <v>239</v>
      </c>
      <c r="J7937">
        <v>1</v>
      </c>
      <c r="K7937">
        <v>431</v>
      </c>
      <c r="L7937">
        <v>505</v>
      </c>
      <c r="M7937">
        <v>1</v>
      </c>
      <c r="N7937">
        <v>7.7019100000000001E-20</v>
      </c>
      <c r="O7937">
        <v>234</v>
      </c>
    </row>
    <row r="7938" spans="1:15" x14ac:dyDescent="0.25">
      <c r="A7938" t="s">
        <v>7951</v>
      </c>
      <c r="B7938">
        <v>482</v>
      </c>
      <c r="C7938" s="1" t="str">
        <f>HYPERLINK("http://www.rosaceae.org/gb/gbrowse/malus_x_domestica/?name=MDP0000486228","MDP0000486228")</f>
        <v>MDP0000486228</v>
      </c>
      <c r="D7938">
        <v>65.13</v>
      </c>
      <c r="E7938">
        <v>393</v>
      </c>
      <c r="F7938">
        <v>137</v>
      </c>
      <c r="G7938">
        <v>11</v>
      </c>
      <c r="H7938">
        <v>96</v>
      </c>
      <c r="I7938">
        <v>482</v>
      </c>
      <c r="J7938">
        <v>1</v>
      </c>
      <c r="K7938">
        <v>21</v>
      </c>
      <c r="L7938">
        <v>408</v>
      </c>
      <c r="M7938">
        <v>1</v>
      </c>
      <c r="N7938">
        <v>3.2127799999999998E-145</v>
      </c>
      <c r="O7938">
        <v>1319</v>
      </c>
    </row>
    <row r="7939" spans="1:15" x14ac:dyDescent="0.25">
      <c r="A7939" t="s">
        <v>7952</v>
      </c>
      <c r="B7939">
        <v>1076</v>
      </c>
      <c r="C7939" s="1" t="str">
        <f>HYPERLINK("http://www.rosaceae.org/gb/gbrowse/malus_x_domestica/?name=MDP0000210334","MDP0000210334")</f>
        <v>MDP0000210334</v>
      </c>
      <c r="D7939">
        <v>55.75</v>
      </c>
      <c r="E7939">
        <v>739</v>
      </c>
      <c r="F7939">
        <v>327</v>
      </c>
      <c r="G7939">
        <v>58</v>
      </c>
      <c r="H7939">
        <v>389</v>
      </c>
      <c r="I7939">
        <v>1076</v>
      </c>
      <c r="J7939">
        <v>1</v>
      </c>
      <c r="K7939">
        <v>323</v>
      </c>
      <c r="L7939">
        <v>1054</v>
      </c>
      <c r="M7939">
        <v>1</v>
      </c>
      <c r="N7939">
        <v>0</v>
      </c>
      <c r="O7939">
        <v>1965</v>
      </c>
    </row>
    <row r="7940" spans="1:15" x14ac:dyDescent="0.25">
      <c r="A7940" t="s">
        <v>7953</v>
      </c>
      <c r="B7940">
        <v>538</v>
      </c>
      <c r="C7940" s="1" t="str">
        <f>HYPERLINK("http://www.rosaceae.org/gb/gbrowse/malus_x_domestica/?name=MDP0000628052","MDP0000628052")</f>
        <v>MDP0000628052</v>
      </c>
      <c r="D7940">
        <v>45.05</v>
      </c>
      <c r="E7940">
        <v>273</v>
      </c>
      <c r="F7940">
        <v>150</v>
      </c>
      <c r="G7940">
        <v>31</v>
      </c>
      <c r="H7940">
        <v>234</v>
      </c>
      <c r="I7940">
        <v>475</v>
      </c>
      <c r="J7940">
        <v>1</v>
      </c>
      <c r="K7940">
        <v>32</v>
      </c>
      <c r="L7940">
        <v>304</v>
      </c>
      <c r="M7940">
        <v>1</v>
      </c>
      <c r="N7940">
        <v>1.0056999999999999E-63</v>
      </c>
      <c r="O7940">
        <v>616</v>
      </c>
    </row>
    <row r="7941" spans="1:15" x14ac:dyDescent="0.25">
      <c r="A7941" t="s">
        <v>7954</v>
      </c>
      <c r="B7941">
        <v>657</v>
      </c>
      <c r="C7941" s="1" t="str">
        <f>HYPERLINK("http://www.rosaceae.org/gb/gbrowse/malus_x_domestica/?name=MDP0000153039","MDP0000153039")</f>
        <v>MDP0000153039</v>
      </c>
      <c r="D7941">
        <v>88.58</v>
      </c>
      <c r="E7941">
        <v>657</v>
      </c>
      <c r="F7941">
        <v>75</v>
      </c>
      <c r="G7941">
        <v>0</v>
      </c>
      <c r="H7941">
        <v>1</v>
      </c>
      <c r="I7941">
        <v>657</v>
      </c>
      <c r="J7941">
        <v>1</v>
      </c>
      <c r="K7941">
        <v>1</v>
      </c>
      <c r="L7941">
        <v>657</v>
      </c>
      <c r="M7941">
        <v>1</v>
      </c>
      <c r="N7941">
        <v>0</v>
      </c>
      <c r="O7941">
        <v>3143</v>
      </c>
    </row>
    <row r="7942" spans="1:15" x14ac:dyDescent="0.25">
      <c r="A7942" t="s">
        <v>7955</v>
      </c>
      <c r="B7942">
        <v>638</v>
      </c>
      <c r="C7942" s="1" t="str">
        <f>HYPERLINK("http://www.rosaceae.org/gb/gbrowse/malus_x_domestica/?name=MDP0000482092","MDP0000482092")</f>
        <v>MDP0000482092</v>
      </c>
      <c r="D7942">
        <v>75.290000000000006</v>
      </c>
      <c r="E7942">
        <v>344</v>
      </c>
      <c r="F7942">
        <v>85</v>
      </c>
      <c r="G7942">
        <v>23</v>
      </c>
      <c r="H7942">
        <v>2</v>
      </c>
      <c r="I7942">
        <v>336</v>
      </c>
      <c r="J7942">
        <v>1</v>
      </c>
      <c r="K7942">
        <v>61</v>
      </c>
      <c r="L7942">
        <v>390</v>
      </c>
      <c r="M7942">
        <v>1</v>
      </c>
      <c r="N7942">
        <v>2.3036600000000001E-131</v>
      </c>
      <c r="O7942">
        <v>1200</v>
      </c>
    </row>
    <row r="7943" spans="1:15" x14ac:dyDescent="0.25">
      <c r="A7943" t="s">
        <v>7956</v>
      </c>
      <c r="B7943">
        <v>531</v>
      </c>
      <c r="C7943" s="1" t="str">
        <f>HYPERLINK("http://www.rosaceae.org/gb/gbrowse/malus_x_domestica/?name=MDP0000077392","MDP0000077392")</f>
        <v>MDP0000077392</v>
      </c>
      <c r="D7943">
        <v>63.02</v>
      </c>
      <c r="E7943">
        <v>595</v>
      </c>
      <c r="F7943">
        <v>220</v>
      </c>
      <c r="G7943">
        <v>67</v>
      </c>
      <c r="H7943">
        <v>1</v>
      </c>
      <c r="I7943">
        <v>531</v>
      </c>
      <c r="J7943">
        <v>1</v>
      </c>
      <c r="K7943">
        <v>1</v>
      </c>
      <c r="L7943">
        <v>592</v>
      </c>
      <c r="M7943">
        <v>1</v>
      </c>
      <c r="N7943">
        <v>0</v>
      </c>
      <c r="O7943">
        <v>1938</v>
      </c>
    </row>
    <row r="7944" spans="1:15" x14ac:dyDescent="0.25">
      <c r="A7944" t="s">
        <v>7957</v>
      </c>
      <c r="B7944">
        <v>389</v>
      </c>
      <c r="C7944" s="1" t="str">
        <f>HYPERLINK("http://www.rosaceae.org/gb/gbrowse/malus_x_domestica/?name=MDP0000133621","MDP0000133621")</f>
        <v>MDP0000133621</v>
      </c>
      <c r="D7944">
        <v>44.55</v>
      </c>
      <c r="E7944">
        <v>101</v>
      </c>
      <c r="F7944">
        <v>56</v>
      </c>
      <c r="G7944">
        <v>1</v>
      </c>
      <c r="H7944">
        <v>281</v>
      </c>
      <c r="I7944">
        <v>381</v>
      </c>
      <c r="J7944">
        <v>1</v>
      </c>
      <c r="K7944">
        <v>196</v>
      </c>
      <c r="L7944">
        <v>295</v>
      </c>
      <c r="M7944">
        <v>1</v>
      </c>
      <c r="N7944">
        <v>1.2003000000000001E-18</v>
      </c>
      <c r="O7944">
        <v>226</v>
      </c>
    </row>
    <row r="7945" spans="1:15" x14ac:dyDescent="0.25">
      <c r="A7945" t="s">
        <v>7958</v>
      </c>
      <c r="B7945">
        <v>274</v>
      </c>
      <c r="C7945" s="1" t="str">
        <f>HYPERLINK("http://www.rosaceae.org/gb/gbrowse/malus_x_domestica/?name=MDP0000322543","MDP0000322543")</f>
        <v>MDP0000322543</v>
      </c>
      <c r="D7945">
        <v>70.94</v>
      </c>
      <c r="E7945">
        <v>265</v>
      </c>
      <c r="F7945">
        <v>77</v>
      </c>
      <c r="G7945">
        <v>17</v>
      </c>
      <c r="H7945">
        <v>1</v>
      </c>
      <c r="I7945">
        <v>252</v>
      </c>
      <c r="J7945">
        <v>1</v>
      </c>
      <c r="K7945">
        <v>1</v>
      </c>
      <c r="L7945">
        <v>261</v>
      </c>
      <c r="M7945">
        <v>1</v>
      </c>
      <c r="N7945">
        <v>5.0474500000000002E-107</v>
      </c>
      <c r="O7945">
        <v>986</v>
      </c>
    </row>
    <row r="7946" spans="1:15" x14ac:dyDescent="0.25">
      <c r="A7946" t="s">
        <v>7959</v>
      </c>
      <c r="B7946">
        <v>139</v>
      </c>
      <c r="C7946" s="1" t="str">
        <f>HYPERLINK("http://www.rosaceae.org/gb/gbrowse/malus_x_domestica/?name=MDP0000278477","MDP0000278477")</f>
        <v>MDP0000278477</v>
      </c>
      <c r="D7946">
        <v>73.790000000000006</v>
      </c>
      <c r="E7946">
        <v>145</v>
      </c>
      <c r="F7946">
        <v>38</v>
      </c>
      <c r="G7946">
        <v>11</v>
      </c>
      <c r="H7946">
        <v>3</v>
      </c>
      <c r="I7946">
        <v>139</v>
      </c>
      <c r="J7946">
        <v>1</v>
      </c>
      <c r="K7946">
        <v>543</v>
      </c>
      <c r="L7946">
        <v>684</v>
      </c>
      <c r="M7946">
        <v>1</v>
      </c>
      <c r="N7946">
        <v>4.8724099999999997E-52</v>
      </c>
      <c r="O7946">
        <v>507</v>
      </c>
    </row>
    <row r="7947" spans="1:15" x14ac:dyDescent="0.25">
      <c r="A7947" t="s">
        <v>7960</v>
      </c>
      <c r="B7947">
        <v>49</v>
      </c>
      <c r="C7947" s="1" t="str">
        <f>HYPERLINK("http://www.rosaceae.org/gb/gbrowse/malus_x_domestica/?name=MDP0000603488","MDP0000603488")</f>
        <v>MDP0000603488</v>
      </c>
      <c r="D7947">
        <v>75</v>
      </c>
      <c r="E7947">
        <v>36</v>
      </c>
      <c r="F7947">
        <v>9</v>
      </c>
      <c r="G7947">
        <v>0</v>
      </c>
      <c r="H7947">
        <v>1</v>
      </c>
      <c r="I7947">
        <v>36</v>
      </c>
      <c r="J7947">
        <v>1</v>
      </c>
      <c r="K7947">
        <v>278</v>
      </c>
      <c r="L7947">
        <v>313</v>
      </c>
      <c r="M7947">
        <v>1</v>
      </c>
      <c r="N7947">
        <v>3.20608E-11</v>
      </c>
      <c r="O7947">
        <v>154</v>
      </c>
    </row>
    <row r="7948" spans="1:15" x14ac:dyDescent="0.25">
      <c r="A7948" t="s">
        <v>7961</v>
      </c>
      <c r="B7948">
        <v>91</v>
      </c>
      <c r="C7948" s="1" t="str">
        <f>HYPERLINK("http://www.rosaceae.org/gb/gbrowse/malus_x_domestica/?name=MDP0000691215","MDP0000691215")</f>
        <v>MDP0000691215</v>
      </c>
      <c r="D7948">
        <v>50.94</v>
      </c>
      <c r="E7948">
        <v>53</v>
      </c>
      <c r="F7948">
        <v>26</v>
      </c>
      <c r="G7948">
        <v>2</v>
      </c>
      <c r="H7948">
        <v>40</v>
      </c>
      <c r="I7948">
        <v>91</v>
      </c>
      <c r="J7948">
        <v>1</v>
      </c>
      <c r="K7948">
        <v>8</v>
      </c>
      <c r="L7948">
        <v>59</v>
      </c>
      <c r="M7948">
        <v>1</v>
      </c>
      <c r="N7948">
        <v>6.3810600000000004E-7</v>
      </c>
      <c r="O7948">
        <v>117</v>
      </c>
    </row>
    <row r="7949" spans="1:15" x14ac:dyDescent="0.25">
      <c r="A7949" t="s">
        <v>7962</v>
      </c>
      <c r="B7949">
        <v>469</v>
      </c>
      <c r="C7949" s="1" t="str">
        <f>HYPERLINK("http://www.rosaceae.org/gb/gbrowse/malus_x_domestica/?name=MDP0000583503","MDP0000583503")</f>
        <v>MDP0000583503</v>
      </c>
      <c r="D7949">
        <v>23.57</v>
      </c>
      <c r="E7949">
        <v>263</v>
      </c>
      <c r="F7949">
        <v>201</v>
      </c>
      <c r="G7949">
        <v>27</v>
      </c>
      <c r="H7949">
        <v>222</v>
      </c>
      <c r="I7949">
        <v>469</v>
      </c>
      <c r="J7949">
        <v>1</v>
      </c>
      <c r="K7949">
        <v>3</v>
      </c>
      <c r="L7949">
        <v>253</v>
      </c>
      <c r="M7949">
        <v>1</v>
      </c>
      <c r="N7949">
        <v>3.3557699999999998E-17</v>
      </c>
      <c r="O7949">
        <v>215</v>
      </c>
    </row>
    <row r="7950" spans="1:15" x14ac:dyDescent="0.25">
      <c r="A7950" t="s">
        <v>7963</v>
      </c>
      <c r="B7950">
        <v>350</v>
      </c>
      <c r="C7950" s="1" t="str">
        <f>HYPERLINK("http://www.rosaceae.org/gb/gbrowse/malus_x_domestica/?name=MDP0000855406","MDP0000855406")</f>
        <v>MDP0000855406</v>
      </c>
      <c r="D7950">
        <v>30.76</v>
      </c>
      <c r="E7950">
        <v>117</v>
      </c>
      <c r="F7950">
        <v>81</v>
      </c>
      <c r="G7950">
        <v>4</v>
      </c>
      <c r="H7950">
        <v>12</v>
      </c>
      <c r="I7950">
        <v>127</v>
      </c>
      <c r="J7950">
        <v>1</v>
      </c>
      <c r="K7950">
        <v>7</v>
      </c>
      <c r="L7950">
        <v>120</v>
      </c>
      <c r="M7950">
        <v>1</v>
      </c>
      <c r="N7950">
        <v>5.2801700000000004E-9</v>
      </c>
      <c r="O7950">
        <v>142</v>
      </c>
    </row>
    <row r="7951" spans="1:15" x14ac:dyDescent="0.25">
      <c r="A7951" t="s">
        <v>7964</v>
      </c>
      <c r="B7951">
        <v>1533</v>
      </c>
      <c r="C7951" s="1" t="str">
        <f>HYPERLINK("http://www.rosaceae.org/gb/gbrowse/malus_x_domestica/?name=MDP0000240113","MDP0000240113")</f>
        <v>MDP0000240113</v>
      </c>
      <c r="D7951">
        <v>53.06</v>
      </c>
      <c r="E7951">
        <v>392</v>
      </c>
      <c r="F7951">
        <v>184</v>
      </c>
      <c r="G7951">
        <v>10</v>
      </c>
      <c r="H7951">
        <v>1144</v>
      </c>
      <c r="I7951">
        <v>1532</v>
      </c>
      <c r="J7951">
        <v>1</v>
      </c>
      <c r="K7951">
        <v>86</v>
      </c>
      <c r="L7951">
        <v>470</v>
      </c>
      <c r="M7951">
        <v>1</v>
      </c>
      <c r="N7951">
        <v>1.01341E-114</v>
      </c>
      <c r="O7951">
        <v>1060</v>
      </c>
    </row>
    <row r="7952" spans="1:15" x14ac:dyDescent="0.25">
      <c r="A7952" t="s">
        <v>7965</v>
      </c>
      <c r="B7952">
        <v>1505</v>
      </c>
      <c r="C7952" s="1" t="str">
        <f>HYPERLINK("http://www.rosaceae.org/gb/gbrowse/malus_x_domestica/?name=MDP0000139718","MDP0000139718")</f>
        <v>MDP0000139718</v>
      </c>
      <c r="D7952">
        <v>74.59</v>
      </c>
      <c r="E7952">
        <v>1429</v>
      </c>
      <c r="F7952">
        <v>363</v>
      </c>
      <c r="G7952">
        <v>43</v>
      </c>
      <c r="H7952">
        <v>94</v>
      </c>
      <c r="I7952">
        <v>1505</v>
      </c>
      <c r="J7952">
        <v>1</v>
      </c>
      <c r="K7952">
        <v>8</v>
      </c>
      <c r="L7952">
        <v>1410</v>
      </c>
      <c r="M7952">
        <v>1</v>
      </c>
      <c r="N7952">
        <v>0</v>
      </c>
      <c r="O7952">
        <v>5446</v>
      </c>
    </row>
    <row r="7953" spans="1:15" x14ac:dyDescent="0.25">
      <c r="A7953" t="s">
        <v>7966</v>
      </c>
      <c r="B7953">
        <v>126</v>
      </c>
      <c r="C7953" s="1" t="str">
        <f>HYPERLINK("http://www.rosaceae.org/gb/gbrowse/malus_x_domestica/?name=MDP0000487911","MDP0000487911")</f>
        <v>MDP0000487911</v>
      </c>
      <c r="D7953">
        <v>88.4</v>
      </c>
      <c r="E7953">
        <v>69</v>
      </c>
      <c r="F7953">
        <v>8</v>
      </c>
      <c r="G7953">
        <v>0</v>
      </c>
      <c r="H7953">
        <v>55</v>
      </c>
      <c r="I7953">
        <v>123</v>
      </c>
      <c r="J7953">
        <v>1</v>
      </c>
      <c r="K7953">
        <v>1</v>
      </c>
      <c r="L7953">
        <v>69</v>
      </c>
      <c r="M7953">
        <v>1</v>
      </c>
      <c r="N7953">
        <v>1.3136200000000001E-29</v>
      </c>
      <c r="O7953">
        <v>313</v>
      </c>
    </row>
    <row r="7954" spans="1:15" x14ac:dyDescent="0.25">
      <c r="A7954" t="s">
        <v>7967</v>
      </c>
      <c r="B7954">
        <v>1936</v>
      </c>
      <c r="C7954" s="1" t="str">
        <f>HYPERLINK("http://www.rosaceae.org/gb/gbrowse/malus_x_domestica/?name=MDP0000233406","MDP0000233406")</f>
        <v>MDP0000233406</v>
      </c>
      <c r="D7954">
        <v>49.47</v>
      </c>
      <c r="E7954">
        <v>1997</v>
      </c>
      <c r="F7954">
        <v>1009</v>
      </c>
      <c r="G7954">
        <v>185</v>
      </c>
      <c r="H7954">
        <v>1</v>
      </c>
      <c r="I7954">
        <v>1877</v>
      </c>
      <c r="J7954">
        <v>1</v>
      </c>
      <c r="K7954">
        <v>1</v>
      </c>
      <c r="L7954">
        <v>1932</v>
      </c>
      <c r="M7954">
        <v>1</v>
      </c>
      <c r="N7954">
        <v>0</v>
      </c>
      <c r="O7954">
        <v>4216</v>
      </c>
    </row>
    <row r="7955" spans="1:15" x14ac:dyDescent="0.25">
      <c r="A7955" t="s">
        <v>7968</v>
      </c>
      <c r="B7955">
        <v>438</v>
      </c>
      <c r="C7955" s="1" t="str">
        <f>HYPERLINK("http://www.rosaceae.org/gb/gbrowse/malus_x_domestica/?name=MDP0000865421","MDP0000865421")</f>
        <v>MDP0000865421</v>
      </c>
      <c r="D7955">
        <v>73.13</v>
      </c>
      <c r="E7955">
        <v>443</v>
      </c>
      <c r="F7955">
        <v>119</v>
      </c>
      <c r="G7955">
        <v>5</v>
      </c>
      <c r="H7955">
        <v>1</v>
      </c>
      <c r="I7955">
        <v>438</v>
      </c>
      <c r="J7955">
        <v>1</v>
      </c>
      <c r="K7955">
        <v>1</v>
      </c>
      <c r="L7955">
        <v>443</v>
      </c>
      <c r="M7955">
        <v>1</v>
      </c>
      <c r="N7955">
        <v>0</v>
      </c>
      <c r="O7955">
        <v>1662</v>
      </c>
    </row>
    <row r="7956" spans="1:15" x14ac:dyDescent="0.25">
      <c r="A7956" t="s">
        <v>7969</v>
      </c>
      <c r="B7956">
        <v>526</v>
      </c>
      <c r="C7956" s="1" t="str">
        <f>HYPERLINK("http://www.rosaceae.org/gb/gbrowse/malus_x_domestica/?name=MDP0000314596","MDP0000314596")</f>
        <v>MDP0000314596</v>
      </c>
      <c r="D7956">
        <v>85.82</v>
      </c>
      <c r="E7956">
        <v>501</v>
      </c>
      <c r="F7956">
        <v>71</v>
      </c>
      <c r="G7956">
        <v>8</v>
      </c>
      <c r="H7956">
        <v>1</v>
      </c>
      <c r="I7956">
        <v>493</v>
      </c>
      <c r="J7956">
        <v>1</v>
      </c>
      <c r="K7956">
        <v>1</v>
      </c>
      <c r="L7956">
        <v>501</v>
      </c>
      <c r="M7956">
        <v>1</v>
      </c>
      <c r="N7956">
        <v>0</v>
      </c>
      <c r="O7956">
        <v>2190</v>
      </c>
    </row>
    <row r="7957" spans="1:15" x14ac:dyDescent="0.25">
      <c r="A7957" t="s">
        <v>7970</v>
      </c>
      <c r="B7957">
        <v>197</v>
      </c>
      <c r="C7957" s="1" t="str">
        <f>HYPERLINK("http://www.rosaceae.org/gb/gbrowse/malus_x_domestica/?name=MDP0000698534","MDP0000698534")</f>
        <v>MDP0000698534</v>
      </c>
      <c r="D7957">
        <v>59</v>
      </c>
      <c r="E7957">
        <v>161</v>
      </c>
      <c r="F7957">
        <v>66</v>
      </c>
      <c r="G7957">
        <v>0</v>
      </c>
      <c r="H7957">
        <v>19</v>
      </c>
      <c r="I7957">
        <v>179</v>
      </c>
      <c r="J7957">
        <v>1</v>
      </c>
      <c r="K7957">
        <v>20</v>
      </c>
      <c r="L7957">
        <v>180</v>
      </c>
      <c r="M7957">
        <v>1</v>
      </c>
      <c r="N7957">
        <v>1.9112099999999999E-48</v>
      </c>
      <c r="O7957">
        <v>479</v>
      </c>
    </row>
    <row r="7958" spans="1:15" x14ac:dyDescent="0.25">
      <c r="A7958" t="s">
        <v>7971</v>
      </c>
      <c r="B7958">
        <v>74</v>
      </c>
      <c r="C7958" s="1" t="str">
        <f>HYPERLINK("http://www.rosaceae.org/gb/gbrowse/malus_x_domestica/?name=MDP0000815292","MDP0000815292")</f>
        <v>MDP0000815292</v>
      </c>
      <c r="D7958">
        <v>78.37</v>
      </c>
      <c r="E7958">
        <v>37</v>
      </c>
      <c r="F7958">
        <v>8</v>
      </c>
      <c r="G7958">
        <v>0</v>
      </c>
      <c r="H7958">
        <v>1</v>
      </c>
      <c r="I7958">
        <v>37</v>
      </c>
      <c r="J7958">
        <v>1</v>
      </c>
      <c r="K7958">
        <v>170</v>
      </c>
      <c r="L7958">
        <v>206</v>
      </c>
      <c r="M7958">
        <v>1</v>
      </c>
      <c r="N7958">
        <v>3.7492099999999999E-10</v>
      </c>
      <c r="O7958">
        <v>145</v>
      </c>
    </row>
    <row r="7959" spans="1:15" x14ac:dyDescent="0.25">
      <c r="A7959" t="s">
        <v>7972</v>
      </c>
      <c r="B7959">
        <v>1199</v>
      </c>
      <c r="C7959" s="1" t="str">
        <f>HYPERLINK("http://www.rosaceae.org/gb/gbrowse/malus_x_domestica/?name=MDP0000202935","MDP0000202935")</f>
        <v>MDP0000202935</v>
      </c>
      <c r="D7959">
        <v>74.22</v>
      </c>
      <c r="E7959">
        <v>225</v>
      </c>
      <c r="F7959">
        <v>58</v>
      </c>
      <c r="G7959">
        <v>3</v>
      </c>
      <c r="H7959">
        <v>975</v>
      </c>
      <c r="I7959">
        <v>1199</v>
      </c>
      <c r="J7959">
        <v>1</v>
      </c>
      <c r="K7959">
        <v>1</v>
      </c>
      <c r="L7959">
        <v>222</v>
      </c>
      <c r="M7959">
        <v>1</v>
      </c>
      <c r="N7959">
        <v>1.2573699999999999E-87</v>
      </c>
      <c r="O7959">
        <v>826</v>
      </c>
    </row>
    <row r="7960" spans="1:15" x14ac:dyDescent="0.25">
      <c r="A7960" t="s">
        <v>7973</v>
      </c>
      <c r="B7960">
        <v>338</v>
      </c>
      <c r="C7960" s="1" t="str">
        <f>HYPERLINK("http://www.rosaceae.org/gb/gbrowse/malus_x_domestica/?name=MDP0000239998","MDP0000239998")</f>
        <v>MDP0000239998</v>
      </c>
      <c r="D7960">
        <v>77.13</v>
      </c>
      <c r="E7960">
        <v>328</v>
      </c>
      <c r="F7960">
        <v>75</v>
      </c>
      <c r="G7960">
        <v>3</v>
      </c>
      <c r="H7960">
        <v>12</v>
      </c>
      <c r="I7960">
        <v>337</v>
      </c>
      <c r="J7960">
        <v>1</v>
      </c>
      <c r="K7960">
        <v>14</v>
      </c>
      <c r="L7960">
        <v>340</v>
      </c>
      <c r="M7960">
        <v>1</v>
      </c>
      <c r="N7960">
        <v>1.0560200000000001E-150</v>
      </c>
      <c r="O7960">
        <v>1364</v>
      </c>
    </row>
    <row r="7961" spans="1:15" x14ac:dyDescent="0.25">
      <c r="A7961" t="s">
        <v>7974</v>
      </c>
      <c r="B7961">
        <v>393</v>
      </c>
      <c r="C7961" s="1" t="str">
        <f>HYPERLINK("http://www.rosaceae.org/gb/gbrowse/malus_x_domestica/?name=MDP0000121476","MDP0000121476")</f>
        <v>MDP0000121476</v>
      </c>
      <c r="D7961">
        <v>62</v>
      </c>
      <c r="E7961">
        <v>408</v>
      </c>
      <c r="F7961">
        <v>155</v>
      </c>
      <c r="G7961">
        <v>56</v>
      </c>
      <c r="H7961">
        <v>23</v>
      </c>
      <c r="I7961">
        <v>393</v>
      </c>
      <c r="J7961">
        <v>1</v>
      </c>
      <c r="K7961">
        <v>1</v>
      </c>
      <c r="L7961">
        <v>389</v>
      </c>
      <c r="M7961">
        <v>1</v>
      </c>
      <c r="N7961">
        <v>5.0470300000000002E-120</v>
      </c>
      <c r="O7961">
        <v>1100</v>
      </c>
    </row>
    <row r="7962" spans="1:15" x14ac:dyDescent="0.25">
      <c r="A7962" t="s">
        <v>7975</v>
      </c>
      <c r="B7962">
        <v>784</v>
      </c>
      <c r="C7962" s="1" t="str">
        <f>HYPERLINK("http://www.rosaceae.org/gb/gbrowse/malus_x_domestica/?name=MDP0000166073","MDP0000166073")</f>
        <v>MDP0000166073</v>
      </c>
      <c r="D7962">
        <v>68.42</v>
      </c>
      <c r="E7962">
        <v>418</v>
      </c>
      <c r="F7962">
        <v>132</v>
      </c>
      <c r="G7962">
        <v>29</v>
      </c>
      <c r="H7962">
        <v>358</v>
      </c>
      <c r="I7962">
        <v>746</v>
      </c>
      <c r="J7962">
        <v>1</v>
      </c>
      <c r="K7962">
        <v>17</v>
      </c>
      <c r="L7962">
        <v>434</v>
      </c>
      <c r="M7962">
        <v>1</v>
      </c>
      <c r="N7962">
        <v>2.0249799999999999E-162</v>
      </c>
      <c r="O7962">
        <v>1469</v>
      </c>
    </row>
    <row r="7963" spans="1:15" x14ac:dyDescent="0.25">
      <c r="A7963" t="s">
        <v>7976</v>
      </c>
      <c r="B7963">
        <v>482</v>
      </c>
      <c r="C7963" s="1" t="str">
        <f>HYPERLINK("http://www.rosaceae.org/gb/gbrowse/malus_x_domestica/?name=MDP0000758112","MDP0000758112")</f>
        <v>MDP0000758112</v>
      </c>
      <c r="D7963">
        <v>71.62</v>
      </c>
      <c r="E7963">
        <v>497</v>
      </c>
      <c r="F7963">
        <v>141</v>
      </c>
      <c r="G7963">
        <v>20</v>
      </c>
      <c r="H7963">
        <v>2</v>
      </c>
      <c r="I7963">
        <v>482</v>
      </c>
      <c r="J7963">
        <v>1</v>
      </c>
      <c r="K7963">
        <v>236</v>
      </c>
      <c r="L7963">
        <v>728</v>
      </c>
      <c r="M7963">
        <v>1</v>
      </c>
      <c r="N7963">
        <v>0</v>
      </c>
      <c r="O7963">
        <v>1716</v>
      </c>
    </row>
    <row r="7964" spans="1:15" x14ac:dyDescent="0.25">
      <c r="A7964" t="s">
        <v>7977</v>
      </c>
      <c r="B7964">
        <v>553</v>
      </c>
      <c r="C7964" s="1" t="str">
        <f>HYPERLINK("http://www.rosaceae.org/gb/gbrowse/malus_x_domestica/?name=MDP0000121909","MDP0000121909")</f>
        <v>MDP0000121909</v>
      </c>
      <c r="D7964">
        <v>83.89</v>
      </c>
      <c r="E7964">
        <v>267</v>
      </c>
      <c r="F7964">
        <v>43</v>
      </c>
      <c r="G7964">
        <v>1</v>
      </c>
      <c r="H7964">
        <v>17</v>
      </c>
      <c r="I7964">
        <v>282</v>
      </c>
      <c r="J7964">
        <v>1</v>
      </c>
      <c r="K7964">
        <v>2</v>
      </c>
      <c r="L7964">
        <v>268</v>
      </c>
      <c r="M7964">
        <v>1</v>
      </c>
      <c r="N7964">
        <v>1.09437E-128</v>
      </c>
      <c r="O7964">
        <v>1177</v>
      </c>
    </row>
    <row r="7965" spans="1:15" x14ac:dyDescent="0.25">
      <c r="A7965" t="s">
        <v>7978</v>
      </c>
      <c r="B7965">
        <v>132</v>
      </c>
      <c r="C7965" s="1" t="str">
        <f>HYPERLINK("http://www.rosaceae.org/gb/gbrowse/malus_x_domestica/?name=MDP0000236006","MDP0000236006")</f>
        <v>MDP0000236006</v>
      </c>
      <c r="D7965">
        <v>80</v>
      </c>
      <c r="E7965">
        <v>40</v>
      </c>
      <c r="F7965">
        <v>8</v>
      </c>
      <c r="G7965">
        <v>0</v>
      </c>
      <c r="H7965">
        <v>1</v>
      </c>
      <c r="I7965">
        <v>40</v>
      </c>
      <c r="J7965">
        <v>1</v>
      </c>
      <c r="K7965">
        <v>1</v>
      </c>
      <c r="L7965">
        <v>40</v>
      </c>
      <c r="M7965">
        <v>1</v>
      </c>
      <c r="N7965">
        <v>5.3885600000000002E-12</v>
      </c>
      <c r="O7965">
        <v>162</v>
      </c>
    </row>
    <row r="7966" spans="1:15" x14ac:dyDescent="0.25">
      <c r="A7966" t="s">
        <v>7979</v>
      </c>
      <c r="B7966">
        <v>438</v>
      </c>
      <c r="C7966" s="1" t="str">
        <f>HYPERLINK("http://www.rosaceae.org/gb/gbrowse/malus_x_domestica/?name=MDP0000322668","MDP0000322668")</f>
        <v>MDP0000322668</v>
      </c>
      <c r="D7966">
        <v>78.61</v>
      </c>
      <c r="E7966">
        <v>173</v>
      </c>
      <c r="F7966">
        <v>37</v>
      </c>
      <c r="G7966">
        <v>4</v>
      </c>
      <c r="H7966">
        <v>1</v>
      </c>
      <c r="I7966">
        <v>172</v>
      </c>
      <c r="J7966">
        <v>1</v>
      </c>
      <c r="K7966">
        <v>348</v>
      </c>
      <c r="L7966">
        <v>517</v>
      </c>
      <c r="M7966">
        <v>1</v>
      </c>
      <c r="N7966">
        <v>8.0564000000000003E-78</v>
      </c>
      <c r="O7966">
        <v>737</v>
      </c>
    </row>
    <row r="7967" spans="1:15" x14ac:dyDescent="0.25">
      <c r="A7967" t="s">
        <v>7980</v>
      </c>
      <c r="B7967">
        <v>572</v>
      </c>
      <c r="C7967" s="1" t="str">
        <f>HYPERLINK("http://www.rosaceae.org/gb/gbrowse/malus_x_domestica/?name=MDP0000824178","MDP0000824178")</f>
        <v>MDP0000824178</v>
      </c>
      <c r="D7967">
        <v>58.93</v>
      </c>
      <c r="E7967">
        <v>599</v>
      </c>
      <c r="F7967">
        <v>246</v>
      </c>
      <c r="G7967">
        <v>64</v>
      </c>
      <c r="H7967">
        <v>1</v>
      </c>
      <c r="I7967">
        <v>572</v>
      </c>
      <c r="J7967">
        <v>1</v>
      </c>
      <c r="K7967">
        <v>1</v>
      </c>
      <c r="L7967">
        <v>562</v>
      </c>
      <c r="M7967">
        <v>1</v>
      </c>
      <c r="N7967">
        <v>5.4052600000000003E-174</v>
      </c>
      <c r="O7967">
        <v>1568</v>
      </c>
    </row>
    <row r="7968" spans="1:15" x14ac:dyDescent="0.25">
      <c r="A7968" t="s">
        <v>7981</v>
      </c>
      <c r="B7968">
        <v>136</v>
      </c>
      <c r="C7968" s="1" t="str">
        <f>HYPERLINK("http://www.rosaceae.org/gb/gbrowse/malus_x_domestica/?name=MDP0000291530","MDP0000291530")</f>
        <v>MDP0000291530</v>
      </c>
      <c r="D7968">
        <v>68.959999999999994</v>
      </c>
      <c r="E7968">
        <v>58</v>
      </c>
      <c r="F7968">
        <v>18</v>
      </c>
      <c r="G7968">
        <v>0</v>
      </c>
      <c r="H7968">
        <v>61</v>
      </c>
      <c r="I7968">
        <v>118</v>
      </c>
      <c r="J7968">
        <v>1</v>
      </c>
      <c r="K7968">
        <v>86</v>
      </c>
      <c r="L7968">
        <v>143</v>
      </c>
      <c r="M7968">
        <v>1</v>
      </c>
      <c r="N7968">
        <v>8.1951600000000001E-17</v>
      </c>
      <c r="O7968">
        <v>203</v>
      </c>
    </row>
    <row r="7969" spans="1:15" x14ac:dyDescent="0.25">
      <c r="A7969" t="s">
        <v>7982</v>
      </c>
      <c r="B7969">
        <v>243</v>
      </c>
      <c r="C7969" s="1" t="str">
        <f>HYPERLINK("http://www.rosaceae.org/gb/gbrowse/malus_x_domestica/?name=MDP0000120510","MDP0000120510")</f>
        <v>MDP0000120510</v>
      </c>
      <c r="D7969">
        <v>85.84</v>
      </c>
      <c r="E7969">
        <v>226</v>
      </c>
      <c r="F7969">
        <v>32</v>
      </c>
      <c r="G7969">
        <v>3</v>
      </c>
      <c r="H7969">
        <v>4</v>
      </c>
      <c r="I7969">
        <v>229</v>
      </c>
      <c r="J7969">
        <v>1</v>
      </c>
      <c r="K7969">
        <v>68</v>
      </c>
      <c r="L7969">
        <v>290</v>
      </c>
      <c r="M7969">
        <v>1</v>
      </c>
      <c r="N7969">
        <v>2.0064499999999999E-108</v>
      </c>
      <c r="O7969">
        <v>998</v>
      </c>
    </row>
    <row r="7970" spans="1:15" x14ac:dyDescent="0.25">
      <c r="A7970" t="s">
        <v>7983</v>
      </c>
      <c r="B7970">
        <v>346</v>
      </c>
      <c r="C7970" s="1" t="str">
        <f>HYPERLINK("http://www.rosaceae.org/gb/gbrowse/malus_x_domestica/?name=MDP0000314407","MDP0000314407")</f>
        <v>MDP0000314407</v>
      </c>
      <c r="D7970">
        <v>87.9</v>
      </c>
      <c r="E7970">
        <v>339</v>
      </c>
      <c r="F7970">
        <v>41</v>
      </c>
      <c r="G7970">
        <v>1</v>
      </c>
      <c r="H7970">
        <v>1</v>
      </c>
      <c r="I7970">
        <v>338</v>
      </c>
      <c r="J7970">
        <v>1</v>
      </c>
      <c r="K7970">
        <v>1</v>
      </c>
      <c r="L7970">
        <v>339</v>
      </c>
      <c r="M7970">
        <v>1</v>
      </c>
      <c r="N7970">
        <v>8.5195500000000001E-173</v>
      </c>
      <c r="O7970">
        <v>1555</v>
      </c>
    </row>
    <row r="7971" spans="1:15" x14ac:dyDescent="0.25">
      <c r="A7971" t="s">
        <v>7984</v>
      </c>
      <c r="B7971">
        <v>529</v>
      </c>
      <c r="C7971" s="1" t="str">
        <f>HYPERLINK("http://www.rosaceae.org/gb/gbrowse/malus_x_domestica/?name=MDP0000300456","MDP0000300456")</f>
        <v>MDP0000300456</v>
      </c>
      <c r="D7971">
        <v>87.62</v>
      </c>
      <c r="E7971">
        <v>493</v>
      </c>
      <c r="F7971">
        <v>61</v>
      </c>
      <c r="G7971">
        <v>34</v>
      </c>
      <c r="H7971">
        <v>71</v>
      </c>
      <c r="I7971">
        <v>529</v>
      </c>
      <c r="J7971">
        <v>1</v>
      </c>
      <c r="K7971">
        <v>52</v>
      </c>
      <c r="L7971">
        <v>544</v>
      </c>
      <c r="M7971">
        <v>1</v>
      </c>
      <c r="N7971">
        <v>0</v>
      </c>
      <c r="O7971">
        <v>2321</v>
      </c>
    </row>
    <row r="7972" spans="1:15" x14ac:dyDescent="0.25">
      <c r="A7972" t="s">
        <v>7985</v>
      </c>
      <c r="B7972">
        <v>1331</v>
      </c>
      <c r="C7972" s="1" t="str">
        <f>HYPERLINK("http://www.rosaceae.org/gb/gbrowse/malus_x_domestica/?name=MDP0000131012","MDP0000131012")</f>
        <v>MDP0000131012</v>
      </c>
      <c r="D7972">
        <v>59.68</v>
      </c>
      <c r="E7972">
        <v>1451</v>
      </c>
      <c r="F7972">
        <v>585</v>
      </c>
      <c r="G7972">
        <v>154</v>
      </c>
      <c r="H7972">
        <v>1</v>
      </c>
      <c r="I7972">
        <v>1331</v>
      </c>
      <c r="J7972">
        <v>1</v>
      </c>
      <c r="K7972">
        <v>1</v>
      </c>
      <c r="L7972">
        <v>1417</v>
      </c>
      <c r="M7972">
        <v>1</v>
      </c>
      <c r="N7972">
        <v>0</v>
      </c>
      <c r="O7972">
        <v>4003</v>
      </c>
    </row>
    <row r="7973" spans="1:15" x14ac:dyDescent="0.25">
      <c r="A7973" t="s">
        <v>7986</v>
      </c>
      <c r="B7973">
        <v>593</v>
      </c>
      <c r="C7973" s="1" t="str">
        <f>HYPERLINK("http://www.rosaceae.org/gb/gbrowse/malus_x_domestica/?name=MDP0000568858","MDP0000568858")</f>
        <v>MDP0000568858</v>
      </c>
      <c r="D7973">
        <v>35.71</v>
      </c>
      <c r="E7973">
        <v>322</v>
      </c>
      <c r="F7973">
        <v>207</v>
      </c>
      <c r="G7973">
        <v>49</v>
      </c>
      <c r="H7973">
        <v>311</v>
      </c>
      <c r="I7973">
        <v>593</v>
      </c>
      <c r="J7973">
        <v>1</v>
      </c>
      <c r="K7973">
        <v>170</v>
      </c>
      <c r="L7973">
        <v>481</v>
      </c>
      <c r="M7973">
        <v>1</v>
      </c>
      <c r="N7973">
        <v>3.0386700000000001E-40</v>
      </c>
      <c r="O7973">
        <v>414</v>
      </c>
    </row>
    <row r="7974" spans="1:15" x14ac:dyDescent="0.25">
      <c r="A7974" t="s">
        <v>7987</v>
      </c>
      <c r="B7974">
        <v>375</v>
      </c>
      <c r="C7974" s="1" t="str">
        <f>HYPERLINK("http://www.rosaceae.org/gb/gbrowse/malus_x_domestica/?name=MDP0000319349","MDP0000319349")</f>
        <v>MDP0000319349</v>
      </c>
      <c r="D7974">
        <v>78.94</v>
      </c>
      <c r="E7974">
        <v>361</v>
      </c>
      <c r="F7974">
        <v>76</v>
      </c>
      <c r="G7974">
        <v>16</v>
      </c>
      <c r="H7974">
        <v>1</v>
      </c>
      <c r="I7974">
        <v>358</v>
      </c>
      <c r="J7974">
        <v>1</v>
      </c>
      <c r="K7974">
        <v>1</v>
      </c>
      <c r="L7974">
        <v>348</v>
      </c>
      <c r="M7974">
        <v>1</v>
      </c>
      <c r="N7974">
        <v>5.2883300000000001E-168</v>
      </c>
      <c r="O7974">
        <v>1514</v>
      </c>
    </row>
    <row r="7975" spans="1:15" x14ac:dyDescent="0.25">
      <c r="A7975" t="s">
        <v>7988</v>
      </c>
      <c r="B7975">
        <v>468</v>
      </c>
      <c r="C7975" s="1" t="str">
        <f>HYPERLINK("http://www.rosaceae.org/gb/gbrowse/malus_x_domestica/?name=MDP0000124626","MDP0000124626")</f>
        <v>MDP0000124626</v>
      </c>
      <c r="D7975">
        <v>42.79</v>
      </c>
      <c r="E7975">
        <v>472</v>
      </c>
      <c r="F7975">
        <v>270</v>
      </c>
      <c r="G7975">
        <v>20</v>
      </c>
      <c r="H7975">
        <v>1</v>
      </c>
      <c r="I7975">
        <v>463</v>
      </c>
      <c r="J7975">
        <v>1</v>
      </c>
      <c r="K7975">
        <v>16</v>
      </c>
      <c r="L7975">
        <v>476</v>
      </c>
      <c r="M7975">
        <v>1</v>
      </c>
      <c r="N7975">
        <v>6.35552E-107</v>
      </c>
      <c r="O7975">
        <v>988</v>
      </c>
    </row>
    <row r="7976" spans="1:15" x14ac:dyDescent="0.25">
      <c r="A7976" t="s">
        <v>7989</v>
      </c>
      <c r="B7976">
        <v>125</v>
      </c>
      <c r="C7976" s="1" t="str">
        <f>HYPERLINK("http://www.rosaceae.org/gb/gbrowse/malus_x_domestica/?name=MDP0000321309","MDP0000321309")</f>
        <v>MDP0000321309</v>
      </c>
      <c r="D7976">
        <v>50.5</v>
      </c>
      <c r="E7976">
        <v>99</v>
      </c>
      <c r="F7976">
        <v>49</v>
      </c>
      <c r="G7976">
        <v>5</v>
      </c>
      <c r="H7976">
        <v>32</v>
      </c>
      <c r="I7976">
        <v>125</v>
      </c>
      <c r="J7976">
        <v>1</v>
      </c>
      <c r="K7976">
        <v>328</v>
      </c>
      <c r="L7976">
        <v>426</v>
      </c>
      <c r="M7976">
        <v>1</v>
      </c>
      <c r="N7976">
        <v>2.5816799999999998E-16</v>
      </c>
      <c r="O7976">
        <v>198</v>
      </c>
    </row>
    <row r="7977" spans="1:15" x14ac:dyDescent="0.25">
      <c r="A7977" t="s">
        <v>7990</v>
      </c>
      <c r="B7977">
        <v>585</v>
      </c>
      <c r="C7977" s="1" t="str">
        <f>HYPERLINK("http://www.rosaceae.org/gb/gbrowse/malus_x_domestica/?name=MDP0000373295","MDP0000373295")</f>
        <v>MDP0000373295</v>
      </c>
      <c r="D7977">
        <v>69.3</v>
      </c>
      <c r="E7977">
        <v>101</v>
      </c>
      <c r="F7977">
        <v>31</v>
      </c>
      <c r="G7977">
        <v>0</v>
      </c>
      <c r="H7977">
        <v>381</v>
      </c>
      <c r="I7977">
        <v>481</v>
      </c>
      <c r="J7977">
        <v>1</v>
      </c>
      <c r="K7977">
        <v>56</v>
      </c>
      <c r="L7977">
        <v>156</v>
      </c>
      <c r="M7977">
        <v>1</v>
      </c>
      <c r="N7977">
        <v>1.67031E-32</v>
      </c>
      <c r="O7977">
        <v>347</v>
      </c>
    </row>
    <row r="7978" spans="1:15" x14ac:dyDescent="0.25">
      <c r="A7978" t="s">
        <v>7991</v>
      </c>
      <c r="B7978">
        <v>522</v>
      </c>
      <c r="C7978" s="1" t="str">
        <f>HYPERLINK("http://www.rosaceae.org/gb/gbrowse/malus_x_domestica/?name=MDP0000248753","MDP0000248753")</f>
        <v>MDP0000248753</v>
      </c>
      <c r="D7978">
        <v>82.43</v>
      </c>
      <c r="E7978">
        <v>410</v>
      </c>
      <c r="F7978">
        <v>72</v>
      </c>
      <c r="G7978">
        <v>11</v>
      </c>
      <c r="H7978">
        <v>14</v>
      </c>
      <c r="I7978">
        <v>413</v>
      </c>
      <c r="J7978">
        <v>1</v>
      </c>
      <c r="K7978">
        <v>6</v>
      </c>
      <c r="L7978">
        <v>414</v>
      </c>
      <c r="M7978">
        <v>1</v>
      </c>
      <c r="N7978">
        <v>0</v>
      </c>
      <c r="O7978">
        <v>1857</v>
      </c>
    </row>
    <row r="7979" spans="1:15" x14ac:dyDescent="0.25">
      <c r="A7979" t="s">
        <v>7992</v>
      </c>
      <c r="B7979">
        <v>616</v>
      </c>
      <c r="C7979" s="1" t="str">
        <f>HYPERLINK("http://www.rosaceae.org/gb/gbrowse/malus_x_domestica/?name=MDP0000290859","MDP0000290859")</f>
        <v>MDP0000290859</v>
      </c>
      <c r="D7979">
        <v>69.38</v>
      </c>
      <c r="E7979">
        <v>614</v>
      </c>
      <c r="F7979">
        <v>188</v>
      </c>
      <c r="G7979">
        <v>50</v>
      </c>
      <c r="H7979">
        <v>34</v>
      </c>
      <c r="I7979">
        <v>616</v>
      </c>
      <c r="J7979">
        <v>1</v>
      </c>
      <c r="K7979">
        <v>2</v>
      </c>
      <c r="L7979">
        <v>596</v>
      </c>
      <c r="M7979">
        <v>1</v>
      </c>
      <c r="N7979">
        <v>0</v>
      </c>
      <c r="O7979">
        <v>2213</v>
      </c>
    </row>
    <row r="7980" spans="1:15" x14ac:dyDescent="0.25">
      <c r="A7980" t="s">
        <v>7993</v>
      </c>
      <c r="B7980">
        <v>649</v>
      </c>
      <c r="C7980" s="1" t="str">
        <f>HYPERLINK("http://www.rosaceae.org/gb/gbrowse/malus_x_domestica/?name=MDP0000169646","MDP0000169646")</f>
        <v>MDP0000169646</v>
      </c>
      <c r="D7980">
        <v>61.4</v>
      </c>
      <c r="E7980">
        <v>583</v>
      </c>
      <c r="F7980">
        <v>225</v>
      </c>
      <c r="G7980">
        <v>53</v>
      </c>
      <c r="H7980">
        <v>72</v>
      </c>
      <c r="I7980">
        <v>627</v>
      </c>
      <c r="J7980">
        <v>1</v>
      </c>
      <c r="K7980">
        <v>39</v>
      </c>
      <c r="L7980">
        <v>595</v>
      </c>
      <c r="M7980">
        <v>1</v>
      </c>
      <c r="N7980">
        <v>2.6733600000000002E-178</v>
      </c>
      <c r="O7980">
        <v>1605</v>
      </c>
    </row>
    <row r="7981" spans="1:15" x14ac:dyDescent="0.25">
      <c r="A7981" t="s">
        <v>7994</v>
      </c>
      <c r="B7981">
        <v>220</v>
      </c>
      <c r="C7981" s="1" t="str">
        <f>HYPERLINK("http://www.rosaceae.org/gb/gbrowse/malus_x_domestica/?name=MDP0000761113","MDP0000761113")</f>
        <v>MDP0000761113</v>
      </c>
      <c r="D7981">
        <v>41.52</v>
      </c>
      <c r="E7981">
        <v>171</v>
      </c>
      <c r="F7981">
        <v>100</v>
      </c>
      <c r="G7981">
        <v>9</v>
      </c>
      <c r="H7981">
        <v>30</v>
      </c>
      <c r="I7981">
        <v>194</v>
      </c>
      <c r="J7981">
        <v>1</v>
      </c>
      <c r="K7981">
        <v>30</v>
      </c>
      <c r="L7981">
        <v>197</v>
      </c>
      <c r="M7981">
        <v>1</v>
      </c>
      <c r="N7981">
        <v>1.7038800000000001E-30</v>
      </c>
      <c r="O7981">
        <v>325</v>
      </c>
    </row>
    <row r="7982" spans="1:15" x14ac:dyDescent="0.25">
      <c r="A7982" t="s">
        <v>7995</v>
      </c>
      <c r="B7982">
        <v>194</v>
      </c>
      <c r="C7982" s="1" t="str">
        <f>HYPERLINK("http://www.rosaceae.org/gb/gbrowse/malus_x_domestica/?name=MDP0000141094","MDP0000141094")</f>
        <v>MDP0000141094</v>
      </c>
      <c r="D7982">
        <v>65.739999999999995</v>
      </c>
      <c r="E7982">
        <v>216</v>
      </c>
      <c r="F7982">
        <v>74</v>
      </c>
      <c r="G7982">
        <v>43</v>
      </c>
      <c r="H7982">
        <v>1</v>
      </c>
      <c r="I7982">
        <v>173</v>
      </c>
      <c r="J7982">
        <v>1</v>
      </c>
      <c r="K7982">
        <v>293</v>
      </c>
      <c r="L7982">
        <v>508</v>
      </c>
      <c r="M7982">
        <v>1</v>
      </c>
      <c r="N7982">
        <v>3.1105200000000002E-75</v>
      </c>
      <c r="O7982">
        <v>710</v>
      </c>
    </row>
    <row r="7983" spans="1:15" x14ac:dyDescent="0.25">
      <c r="A7983" t="s">
        <v>7996</v>
      </c>
      <c r="B7983">
        <v>225</v>
      </c>
      <c r="C7983" s="1" t="str">
        <f>HYPERLINK("http://www.rosaceae.org/gb/gbrowse/malus_x_domestica/?name=MDP0000147652","MDP0000147652")</f>
        <v>MDP0000147652</v>
      </c>
      <c r="D7983">
        <v>68</v>
      </c>
      <c r="E7983">
        <v>150</v>
      </c>
      <c r="F7983">
        <v>48</v>
      </c>
      <c r="G7983">
        <v>6</v>
      </c>
      <c r="H7983">
        <v>82</v>
      </c>
      <c r="I7983">
        <v>225</v>
      </c>
      <c r="J7983">
        <v>1</v>
      </c>
      <c r="K7983">
        <v>220</v>
      </c>
      <c r="L7983">
        <v>369</v>
      </c>
      <c r="M7983">
        <v>1</v>
      </c>
      <c r="N7983">
        <v>5.9945199999999997E-50</v>
      </c>
      <c r="O7983">
        <v>493</v>
      </c>
    </row>
    <row r="7984" spans="1:15" x14ac:dyDescent="0.25">
      <c r="A7984" t="s">
        <v>7997</v>
      </c>
      <c r="B7984">
        <v>942</v>
      </c>
      <c r="C7984" s="1" t="str">
        <f>HYPERLINK("http://www.rosaceae.org/gb/gbrowse/malus_x_domestica/?name=MDP0000302286","MDP0000302286")</f>
        <v>MDP0000302286</v>
      </c>
      <c r="D7984">
        <v>78.11</v>
      </c>
      <c r="E7984">
        <v>923</v>
      </c>
      <c r="F7984">
        <v>202</v>
      </c>
      <c r="G7984">
        <v>36</v>
      </c>
      <c r="H7984">
        <v>38</v>
      </c>
      <c r="I7984">
        <v>926</v>
      </c>
      <c r="J7984">
        <v>1</v>
      </c>
      <c r="K7984">
        <v>1</v>
      </c>
      <c r="L7984">
        <v>921</v>
      </c>
      <c r="M7984">
        <v>1</v>
      </c>
      <c r="N7984">
        <v>0</v>
      </c>
      <c r="O7984">
        <v>3700</v>
      </c>
    </row>
    <row r="7985" spans="1:15" x14ac:dyDescent="0.25">
      <c r="A7985" t="s">
        <v>7998</v>
      </c>
      <c r="B7985">
        <v>219</v>
      </c>
      <c r="C7985" s="1" t="str">
        <f>HYPERLINK("http://www.rosaceae.org/gb/gbrowse/malus_x_domestica/?name=MDP0000147004","MDP0000147004")</f>
        <v>MDP0000147004</v>
      </c>
      <c r="D7985">
        <v>74.569999999999993</v>
      </c>
      <c r="E7985">
        <v>59</v>
      </c>
      <c r="F7985">
        <v>15</v>
      </c>
      <c r="G7985">
        <v>1</v>
      </c>
      <c r="H7985">
        <v>162</v>
      </c>
      <c r="I7985">
        <v>219</v>
      </c>
      <c r="J7985">
        <v>1</v>
      </c>
      <c r="K7985">
        <v>147</v>
      </c>
      <c r="L7985">
        <v>205</v>
      </c>
      <c r="M7985">
        <v>1</v>
      </c>
      <c r="N7985">
        <v>6.6526499999999998E-23</v>
      </c>
      <c r="O7985">
        <v>260</v>
      </c>
    </row>
    <row r="7986" spans="1:15" x14ac:dyDescent="0.25">
      <c r="A7986" t="s">
        <v>7999</v>
      </c>
      <c r="B7986">
        <v>149</v>
      </c>
      <c r="C7986" s="1" t="str">
        <f>HYPERLINK("http://www.rosaceae.org/gb/gbrowse/malus_x_domestica/?name=MDP0000300536","MDP0000300536")</f>
        <v>MDP0000300536</v>
      </c>
      <c r="D7986">
        <v>53.7</v>
      </c>
      <c r="E7986">
        <v>54</v>
      </c>
      <c r="F7986">
        <v>25</v>
      </c>
      <c r="G7986">
        <v>0</v>
      </c>
      <c r="H7986">
        <v>90</v>
      </c>
      <c r="I7986">
        <v>143</v>
      </c>
      <c r="J7986">
        <v>1</v>
      </c>
      <c r="K7986">
        <v>792</v>
      </c>
      <c r="L7986">
        <v>845</v>
      </c>
      <c r="M7986">
        <v>1</v>
      </c>
      <c r="N7986">
        <v>7.6082900000000004E-11</v>
      </c>
      <c r="O7986">
        <v>153</v>
      </c>
    </row>
    <row r="7987" spans="1:15" x14ac:dyDescent="0.25">
      <c r="A7987" t="s">
        <v>8000</v>
      </c>
      <c r="B7987">
        <v>399</v>
      </c>
      <c r="C7987" s="1" t="str">
        <f>HYPERLINK("http://www.rosaceae.org/gb/gbrowse/malus_x_domestica/?name=MDP0000186417","MDP0000186417")</f>
        <v>MDP0000186417</v>
      </c>
      <c r="D7987">
        <v>34.9</v>
      </c>
      <c r="E7987">
        <v>424</v>
      </c>
      <c r="F7987">
        <v>276</v>
      </c>
      <c r="G7987">
        <v>109</v>
      </c>
      <c r="H7987">
        <v>1</v>
      </c>
      <c r="I7987">
        <v>373</v>
      </c>
      <c r="J7987">
        <v>1</v>
      </c>
      <c r="K7987">
        <v>129</v>
      </c>
      <c r="L7987">
        <v>494</v>
      </c>
      <c r="M7987">
        <v>1</v>
      </c>
      <c r="N7987">
        <v>4.1855000000000003E-35</v>
      </c>
      <c r="O7987">
        <v>368</v>
      </c>
    </row>
    <row r="7988" spans="1:15" x14ac:dyDescent="0.25">
      <c r="A7988" t="s">
        <v>8001</v>
      </c>
      <c r="B7988">
        <v>358</v>
      </c>
      <c r="C7988" s="1" t="str">
        <f>HYPERLINK("http://www.rosaceae.org/gb/gbrowse/malus_x_domestica/?name=MDP0000207391","MDP0000207391")</f>
        <v>MDP0000207391</v>
      </c>
      <c r="D7988">
        <v>47.19</v>
      </c>
      <c r="E7988">
        <v>392</v>
      </c>
      <c r="F7988">
        <v>207</v>
      </c>
      <c r="G7988">
        <v>35</v>
      </c>
      <c r="H7988">
        <v>1</v>
      </c>
      <c r="I7988">
        <v>358</v>
      </c>
      <c r="J7988">
        <v>1</v>
      </c>
      <c r="K7988">
        <v>1</v>
      </c>
      <c r="L7988">
        <v>391</v>
      </c>
      <c r="M7988">
        <v>1</v>
      </c>
      <c r="N7988">
        <v>1.1960599999999999E-92</v>
      </c>
      <c r="O7988">
        <v>864</v>
      </c>
    </row>
    <row r="7989" spans="1:15" x14ac:dyDescent="0.25">
      <c r="A7989" t="s">
        <v>8002</v>
      </c>
      <c r="B7989">
        <v>363</v>
      </c>
      <c r="C7989" s="1" t="str">
        <f>HYPERLINK("http://www.rosaceae.org/gb/gbrowse/malus_x_domestica/?name=MDP0000292722","MDP0000292722")</f>
        <v>MDP0000292722</v>
      </c>
      <c r="D7989">
        <v>57.4</v>
      </c>
      <c r="E7989">
        <v>108</v>
      </c>
      <c r="F7989">
        <v>46</v>
      </c>
      <c r="G7989">
        <v>1</v>
      </c>
      <c r="H7989">
        <v>73</v>
      </c>
      <c r="I7989">
        <v>179</v>
      </c>
      <c r="J7989">
        <v>1</v>
      </c>
      <c r="K7989">
        <v>291</v>
      </c>
      <c r="L7989">
        <v>398</v>
      </c>
      <c r="M7989">
        <v>1</v>
      </c>
      <c r="N7989">
        <v>6.1118799999999999E-30</v>
      </c>
      <c r="O7989">
        <v>323</v>
      </c>
    </row>
    <row r="7990" spans="1:15" x14ac:dyDescent="0.25">
      <c r="A7990" t="s">
        <v>8003</v>
      </c>
      <c r="B7990">
        <v>280</v>
      </c>
      <c r="C7990" s="1" t="str">
        <f>HYPERLINK("http://www.rosaceae.org/gb/gbrowse/malus_x_domestica/?name=MDP0000255882","MDP0000255882")</f>
        <v>MDP0000255882</v>
      </c>
      <c r="D7990">
        <v>60</v>
      </c>
      <c r="E7990">
        <v>320</v>
      </c>
      <c r="F7990">
        <v>128</v>
      </c>
      <c r="G7990">
        <v>52</v>
      </c>
      <c r="H7990">
        <v>1</v>
      </c>
      <c r="I7990">
        <v>280</v>
      </c>
      <c r="J7990">
        <v>1</v>
      </c>
      <c r="K7990">
        <v>1</v>
      </c>
      <c r="L7990">
        <v>308</v>
      </c>
      <c r="M7990">
        <v>1</v>
      </c>
      <c r="N7990">
        <v>8.8109299999999998E-88</v>
      </c>
      <c r="O7990">
        <v>821</v>
      </c>
    </row>
    <row r="7991" spans="1:15" x14ac:dyDescent="0.25">
      <c r="A7991" t="s">
        <v>8004</v>
      </c>
      <c r="B7991">
        <v>241</v>
      </c>
      <c r="C7991" s="1" t="str">
        <f>HYPERLINK("http://www.rosaceae.org/gb/gbrowse/malus_x_domestica/?name=MDP0000141727","MDP0000141727")</f>
        <v>MDP0000141727</v>
      </c>
      <c r="D7991">
        <v>57.85</v>
      </c>
      <c r="E7991">
        <v>140</v>
      </c>
      <c r="F7991">
        <v>59</v>
      </c>
      <c r="G7991">
        <v>9</v>
      </c>
      <c r="H7991">
        <v>107</v>
      </c>
      <c r="I7991">
        <v>241</v>
      </c>
      <c r="J7991">
        <v>1</v>
      </c>
      <c r="K7991">
        <v>68</v>
      </c>
      <c r="L7991">
        <v>203</v>
      </c>
      <c r="M7991">
        <v>1</v>
      </c>
      <c r="N7991">
        <v>1.7822900000000001E-36</v>
      </c>
      <c r="O7991">
        <v>377</v>
      </c>
    </row>
    <row r="7992" spans="1:15" x14ac:dyDescent="0.25">
      <c r="A7992" t="s">
        <v>8005</v>
      </c>
      <c r="B7992">
        <v>504</v>
      </c>
      <c r="C7992" s="1" t="str">
        <f>HYPERLINK("http://www.rosaceae.org/gb/gbrowse/malus_x_domestica/?name=MDP0000784807","MDP0000784807")</f>
        <v>MDP0000784807</v>
      </c>
      <c r="D7992">
        <v>84.86</v>
      </c>
      <c r="E7992">
        <v>502</v>
      </c>
      <c r="F7992">
        <v>76</v>
      </c>
      <c r="G7992">
        <v>2</v>
      </c>
      <c r="H7992">
        <v>3</v>
      </c>
      <c r="I7992">
        <v>503</v>
      </c>
      <c r="J7992">
        <v>1</v>
      </c>
      <c r="K7992">
        <v>1</v>
      </c>
      <c r="L7992">
        <v>501</v>
      </c>
      <c r="M7992">
        <v>1</v>
      </c>
      <c r="N7992">
        <v>0</v>
      </c>
      <c r="O7992">
        <v>2279</v>
      </c>
    </row>
    <row r="7993" spans="1:15" x14ac:dyDescent="0.25">
      <c r="A7993" t="s">
        <v>8006</v>
      </c>
      <c r="B7993">
        <v>436</v>
      </c>
      <c r="C7993" s="1" t="str">
        <f>HYPERLINK("http://www.rosaceae.org/gb/gbrowse/malus_x_domestica/?name=MDP0000943585","MDP0000943585")</f>
        <v>MDP0000943585</v>
      </c>
      <c r="D7993">
        <v>56.76</v>
      </c>
      <c r="E7993">
        <v>414</v>
      </c>
      <c r="F7993">
        <v>179</v>
      </c>
      <c r="G7993">
        <v>11</v>
      </c>
      <c r="H7993">
        <v>31</v>
      </c>
      <c r="I7993">
        <v>435</v>
      </c>
      <c r="J7993">
        <v>1</v>
      </c>
      <c r="K7993">
        <v>14</v>
      </c>
      <c r="L7993">
        <v>425</v>
      </c>
      <c r="M7993">
        <v>1</v>
      </c>
      <c r="N7993">
        <v>2.51277E-133</v>
      </c>
      <c r="O7993">
        <v>1216</v>
      </c>
    </row>
    <row r="7994" spans="1:15" x14ac:dyDescent="0.25">
      <c r="A7994" t="s">
        <v>8007</v>
      </c>
      <c r="B7994">
        <v>496</v>
      </c>
      <c r="C7994" s="1" t="str">
        <f>HYPERLINK("http://www.rosaceae.org/gb/gbrowse/malus_x_domestica/?name=MDP0000942281","MDP0000942281")</f>
        <v>MDP0000942281</v>
      </c>
      <c r="D7994">
        <v>62.1</v>
      </c>
      <c r="E7994">
        <v>314</v>
      </c>
      <c r="F7994">
        <v>119</v>
      </c>
      <c r="G7994">
        <v>2</v>
      </c>
      <c r="H7994">
        <v>137</v>
      </c>
      <c r="I7994">
        <v>448</v>
      </c>
      <c r="J7994">
        <v>1</v>
      </c>
      <c r="K7994">
        <v>6</v>
      </c>
      <c r="L7994">
        <v>319</v>
      </c>
      <c r="M7994">
        <v>1</v>
      </c>
      <c r="N7994">
        <v>1.32618E-107</v>
      </c>
      <c r="O7994">
        <v>994</v>
      </c>
    </row>
    <row r="7995" spans="1:15" x14ac:dyDescent="0.25">
      <c r="A7995" t="s">
        <v>8008</v>
      </c>
      <c r="B7995">
        <v>360</v>
      </c>
      <c r="C7995" s="1" t="str">
        <f>HYPERLINK("http://www.rosaceae.org/gb/gbrowse/malus_x_domestica/?name=MDP0000197172","MDP0000197172")</f>
        <v>MDP0000197172</v>
      </c>
      <c r="D7995">
        <v>68.38</v>
      </c>
      <c r="E7995">
        <v>136</v>
      </c>
      <c r="F7995">
        <v>43</v>
      </c>
      <c r="G7995">
        <v>7</v>
      </c>
      <c r="H7995">
        <v>1</v>
      </c>
      <c r="I7995">
        <v>132</v>
      </c>
      <c r="J7995">
        <v>1</v>
      </c>
      <c r="K7995">
        <v>1</v>
      </c>
      <c r="L7995">
        <v>133</v>
      </c>
      <c r="M7995">
        <v>1</v>
      </c>
      <c r="N7995">
        <v>8.6029200000000001E-48</v>
      </c>
      <c r="O7995">
        <v>477</v>
      </c>
    </row>
    <row r="7996" spans="1:15" x14ac:dyDescent="0.25">
      <c r="A7996" t="s">
        <v>8009</v>
      </c>
      <c r="B7996">
        <v>325</v>
      </c>
      <c r="C7996" s="1" t="str">
        <f>HYPERLINK("http://www.rosaceae.org/gb/gbrowse/malus_x_domestica/?name=MDP0000269900","MDP0000269900")</f>
        <v>MDP0000269900</v>
      </c>
      <c r="D7996">
        <v>82.96</v>
      </c>
      <c r="E7996">
        <v>317</v>
      </c>
      <c r="F7996">
        <v>54</v>
      </c>
      <c r="G7996">
        <v>1</v>
      </c>
      <c r="H7996">
        <v>8</v>
      </c>
      <c r="I7996">
        <v>324</v>
      </c>
      <c r="J7996">
        <v>1</v>
      </c>
      <c r="K7996">
        <v>725</v>
      </c>
      <c r="L7996">
        <v>1040</v>
      </c>
      <c r="M7996">
        <v>1</v>
      </c>
      <c r="N7996">
        <v>2.4068300000000001E-162</v>
      </c>
      <c r="O7996">
        <v>1464</v>
      </c>
    </row>
    <row r="7997" spans="1:15" x14ac:dyDescent="0.25">
      <c r="A7997" t="s">
        <v>8010</v>
      </c>
      <c r="B7997">
        <v>308</v>
      </c>
      <c r="C7997" s="1" t="str">
        <f>HYPERLINK("http://www.rosaceae.org/gb/gbrowse/malus_x_domestica/?name=MDP0000265033","MDP0000265033")</f>
        <v>MDP0000265033</v>
      </c>
      <c r="D7997">
        <v>72.540000000000006</v>
      </c>
      <c r="E7997">
        <v>306</v>
      </c>
      <c r="F7997">
        <v>84</v>
      </c>
      <c r="G7997">
        <v>0</v>
      </c>
      <c r="H7997">
        <v>3</v>
      </c>
      <c r="I7997">
        <v>308</v>
      </c>
      <c r="J7997">
        <v>1</v>
      </c>
      <c r="K7997">
        <v>18</v>
      </c>
      <c r="L7997">
        <v>323</v>
      </c>
      <c r="M7997">
        <v>1</v>
      </c>
      <c r="N7997">
        <v>3.1587999999999999E-129</v>
      </c>
      <c r="O7997">
        <v>1179</v>
      </c>
    </row>
    <row r="7998" spans="1:15" x14ac:dyDescent="0.25">
      <c r="A7998" t="s">
        <v>8011</v>
      </c>
      <c r="B7998">
        <v>548</v>
      </c>
      <c r="C7998" s="1" t="str">
        <f>HYPERLINK("http://www.rosaceae.org/gb/gbrowse/malus_x_domestica/?name=MDP0000177079","MDP0000177079")</f>
        <v>MDP0000177079</v>
      </c>
      <c r="D7998">
        <v>60.41</v>
      </c>
      <c r="E7998">
        <v>485</v>
      </c>
      <c r="F7998">
        <v>192</v>
      </c>
      <c r="G7998">
        <v>7</v>
      </c>
      <c r="H7998">
        <v>27</v>
      </c>
      <c r="I7998">
        <v>505</v>
      </c>
      <c r="J7998">
        <v>1</v>
      </c>
      <c r="K7998">
        <v>21</v>
      </c>
      <c r="L7998">
        <v>504</v>
      </c>
      <c r="M7998">
        <v>1</v>
      </c>
      <c r="N7998">
        <v>1.1559700000000001E-180</v>
      </c>
      <c r="O7998">
        <v>1625</v>
      </c>
    </row>
    <row r="7999" spans="1:15" x14ac:dyDescent="0.25">
      <c r="A7999" t="s">
        <v>8012</v>
      </c>
      <c r="B7999">
        <v>210</v>
      </c>
      <c r="C7999" s="1" t="str">
        <f>HYPERLINK("http://www.rosaceae.org/gb/gbrowse/malus_x_domestica/?name=MDP0000711403","MDP0000711403")</f>
        <v>MDP0000711403</v>
      </c>
      <c r="D7999">
        <v>50.79</v>
      </c>
      <c r="E7999">
        <v>126</v>
      </c>
      <c r="F7999">
        <v>62</v>
      </c>
      <c r="G7999">
        <v>4</v>
      </c>
      <c r="H7999">
        <v>53</v>
      </c>
      <c r="I7999">
        <v>178</v>
      </c>
      <c r="J7999">
        <v>1</v>
      </c>
      <c r="K7999">
        <v>41</v>
      </c>
      <c r="L7999">
        <v>162</v>
      </c>
      <c r="M7999">
        <v>1</v>
      </c>
      <c r="N7999">
        <v>9.4745500000000002E-31</v>
      </c>
      <c r="O7999">
        <v>327</v>
      </c>
    </row>
    <row r="8000" spans="1:15" x14ac:dyDescent="0.25">
      <c r="A8000" t="s">
        <v>8013</v>
      </c>
      <c r="B8000">
        <v>219</v>
      </c>
      <c r="C8000" s="1" t="str">
        <f>HYPERLINK("http://www.rosaceae.org/gb/gbrowse/malus_x_domestica/?name=MDP0000303417","MDP0000303417")</f>
        <v>MDP0000303417</v>
      </c>
      <c r="D8000">
        <v>32.18</v>
      </c>
      <c r="E8000">
        <v>174</v>
      </c>
      <c r="F8000">
        <v>118</v>
      </c>
      <c r="G8000">
        <v>19</v>
      </c>
      <c r="H8000">
        <v>8</v>
      </c>
      <c r="I8000">
        <v>170</v>
      </c>
      <c r="J8000">
        <v>1</v>
      </c>
      <c r="K8000">
        <v>18</v>
      </c>
      <c r="L8000">
        <v>183</v>
      </c>
      <c r="M8000">
        <v>1</v>
      </c>
      <c r="N8000">
        <v>1.8305800000000001E-13</v>
      </c>
      <c r="O8000">
        <v>178</v>
      </c>
    </row>
    <row r="8001" spans="1:15" x14ac:dyDescent="0.25">
      <c r="A8001" t="s">
        <v>8014</v>
      </c>
      <c r="B8001">
        <v>389</v>
      </c>
      <c r="C8001" s="1" t="str">
        <f>HYPERLINK("http://www.rosaceae.org/gb/gbrowse/malus_x_domestica/?name=MDP0000263311","MDP0000263311")</f>
        <v>MDP0000263311</v>
      </c>
      <c r="D8001">
        <v>31.71</v>
      </c>
      <c r="E8001">
        <v>268</v>
      </c>
      <c r="F8001">
        <v>183</v>
      </c>
      <c r="G8001">
        <v>22</v>
      </c>
      <c r="H8001">
        <v>1</v>
      </c>
      <c r="I8001">
        <v>265</v>
      </c>
      <c r="J8001">
        <v>1</v>
      </c>
      <c r="K8001">
        <v>112</v>
      </c>
      <c r="L8001">
        <v>360</v>
      </c>
      <c r="M8001">
        <v>1</v>
      </c>
      <c r="N8001">
        <v>8.3219899999999998E-16</v>
      </c>
      <c r="O8001">
        <v>202</v>
      </c>
    </row>
    <row r="8002" spans="1:15" x14ac:dyDescent="0.25">
      <c r="A8002" t="s">
        <v>8015</v>
      </c>
      <c r="B8002">
        <v>203</v>
      </c>
      <c r="C8002" s="1" t="str">
        <f>HYPERLINK("http://www.rosaceae.org/gb/gbrowse/malus_x_domestica/?name=MDP0000240766","MDP0000240766")</f>
        <v>MDP0000240766</v>
      </c>
      <c r="D8002">
        <v>44.56</v>
      </c>
      <c r="E8002">
        <v>92</v>
      </c>
      <c r="F8002">
        <v>51</v>
      </c>
      <c r="G8002">
        <v>1</v>
      </c>
      <c r="H8002">
        <v>10</v>
      </c>
      <c r="I8002">
        <v>101</v>
      </c>
      <c r="J8002">
        <v>1</v>
      </c>
      <c r="K8002">
        <v>1266</v>
      </c>
      <c r="L8002">
        <v>1356</v>
      </c>
      <c r="M8002">
        <v>1</v>
      </c>
      <c r="N8002">
        <v>5.8038999999999998E-17</v>
      </c>
      <c r="O8002">
        <v>208</v>
      </c>
    </row>
    <row r="8003" spans="1:15" x14ac:dyDescent="0.25">
      <c r="A8003" t="s">
        <v>8016</v>
      </c>
      <c r="B8003">
        <v>811</v>
      </c>
      <c r="C8003" s="1" t="str">
        <f>HYPERLINK("http://www.rosaceae.org/gb/gbrowse/malus_x_domestica/?name=MDP0000217900","MDP0000217900")</f>
        <v>MDP0000217900</v>
      </c>
      <c r="D8003">
        <v>47.93</v>
      </c>
      <c r="E8003">
        <v>461</v>
      </c>
      <c r="F8003">
        <v>240</v>
      </c>
      <c r="G8003">
        <v>53</v>
      </c>
      <c r="H8003">
        <v>400</v>
      </c>
      <c r="I8003">
        <v>811</v>
      </c>
      <c r="J8003">
        <v>1</v>
      </c>
      <c r="K8003">
        <v>1</v>
      </c>
      <c r="L8003">
        <v>457</v>
      </c>
      <c r="M8003">
        <v>1</v>
      </c>
      <c r="N8003">
        <v>1.02185E-106</v>
      </c>
      <c r="O8003">
        <v>989</v>
      </c>
    </row>
    <row r="8004" spans="1:15" x14ac:dyDescent="0.25">
      <c r="A8004" t="s">
        <v>8017</v>
      </c>
      <c r="B8004">
        <v>480</v>
      </c>
      <c r="C8004" s="1" t="str">
        <f>HYPERLINK("http://www.rosaceae.org/gb/gbrowse/malus_x_domestica/?name=MDP0000254096","MDP0000254096")</f>
        <v>MDP0000254096</v>
      </c>
      <c r="D8004">
        <v>58.02</v>
      </c>
      <c r="E8004">
        <v>467</v>
      </c>
      <c r="F8004">
        <v>196</v>
      </c>
      <c r="G8004">
        <v>35</v>
      </c>
      <c r="H8004">
        <v>22</v>
      </c>
      <c r="I8004">
        <v>480</v>
      </c>
      <c r="J8004">
        <v>1</v>
      </c>
      <c r="K8004">
        <v>123</v>
      </c>
      <c r="L8004">
        <v>562</v>
      </c>
      <c r="M8004">
        <v>1</v>
      </c>
      <c r="N8004">
        <v>7.8483599999999994E-154</v>
      </c>
      <c r="O8004">
        <v>1393</v>
      </c>
    </row>
    <row r="8005" spans="1:15" x14ac:dyDescent="0.25">
      <c r="A8005" t="s">
        <v>8018</v>
      </c>
      <c r="B8005">
        <v>382</v>
      </c>
      <c r="C8005" s="1" t="str">
        <f>HYPERLINK("http://www.rosaceae.org/gb/gbrowse/malus_x_domestica/?name=MDP0000259621","MDP0000259621")</f>
        <v>MDP0000259621</v>
      </c>
      <c r="D8005">
        <v>82.91</v>
      </c>
      <c r="E8005">
        <v>357</v>
      </c>
      <c r="F8005">
        <v>61</v>
      </c>
      <c r="G8005">
        <v>2</v>
      </c>
      <c r="H8005">
        <v>26</v>
      </c>
      <c r="I8005">
        <v>381</v>
      </c>
      <c r="J8005">
        <v>1</v>
      </c>
      <c r="K8005">
        <v>26</v>
      </c>
      <c r="L8005">
        <v>381</v>
      </c>
      <c r="M8005">
        <v>1</v>
      </c>
      <c r="N8005">
        <v>4.0806299999999998E-172</v>
      </c>
      <c r="O8005">
        <v>1550</v>
      </c>
    </row>
    <row r="8006" spans="1:15" x14ac:dyDescent="0.25">
      <c r="A8006" t="s">
        <v>8019</v>
      </c>
      <c r="B8006">
        <v>105</v>
      </c>
      <c r="C8006" s="1" t="str">
        <f>HYPERLINK("http://www.rosaceae.org/gb/gbrowse/malus_x_domestica/?name=MDP0000620349","MDP0000620349")</f>
        <v>MDP0000620349</v>
      </c>
      <c r="D8006">
        <v>44.94</v>
      </c>
      <c r="E8006">
        <v>89</v>
      </c>
      <c r="F8006">
        <v>49</v>
      </c>
      <c r="G8006">
        <v>1</v>
      </c>
      <c r="H8006">
        <v>1</v>
      </c>
      <c r="I8006">
        <v>89</v>
      </c>
      <c r="J8006">
        <v>1</v>
      </c>
      <c r="K8006">
        <v>237</v>
      </c>
      <c r="L8006">
        <v>324</v>
      </c>
      <c r="M8006">
        <v>1</v>
      </c>
      <c r="N8006">
        <v>4.1178999999999998E-16</v>
      </c>
      <c r="O8006">
        <v>196</v>
      </c>
    </row>
    <row r="8007" spans="1:15" x14ac:dyDescent="0.25">
      <c r="A8007" t="s">
        <v>8020</v>
      </c>
      <c r="B8007">
        <v>539</v>
      </c>
      <c r="C8007" s="1" t="str">
        <f>HYPERLINK("http://www.rosaceae.org/gb/gbrowse/malus_x_domestica/?name=MDP0000175835","MDP0000175835")</f>
        <v>MDP0000175835</v>
      </c>
      <c r="D8007">
        <v>48.12</v>
      </c>
      <c r="E8007">
        <v>559</v>
      </c>
      <c r="F8007">
        <v>290</v>
      </c>
      <c r="G8007">
        <v>66</v>
      </c>
      <c r="H8007">
        <v>9</v>
      </c>
      <c r="I8007">
        <v>539</v>
      </c>
      <c r="J8007">
        <v>1</v>
      </c>
      <c r="K8007">
        <v>6</v>
      </c>
      <c r="L8007">
        <v>526</v>
      </c>
      <c r="M8007">
        <v>1</v>
      </c>
      <c r="N8007">
        <v>5.7332100000000004E-111</v>
      </c>
      <c r="O8007">
        <v>1024</v>
      </c>
    </row>
    <row r="8008" spans="1:15" x14ac:dyDescent="0.25">
      <c r="A8008" t="s">
        <v>8021</v>
      </c>
      <c r="B8008">
        <v>186</v>
      </c>
      <c r="C8008" s="1" t="str">
        <f>HYPERLINK("http://www.rosaceae.org/gb/gbrowse/malus_x_domestica/?name=MDP0000255057","MDP0000255057")</f>
        <v>MDP0000255057</v>
      </c>
      <c r="D8008">
        <v>73.61</v>
      </c>
      <c r="E8008">
        <v>72</v>
      </c>
      <c r="F8008">
        <v>19</v>
      </c>
      <c r="G8008">
        <v>0</v>
      </c>
      <c r="H8008">
        <v>75</v>
      </c>
      <c r="I8008">
        <v>146</v>
      </c>
      <c r="J8008">
        <v>1</v>
      </c>
      <c r="K8008">
        <v>663</v>
      </c>
      <c r="L8008">
        <v>734</v>
      </c>
      <c r="M8008">
        <v>1</v>
      </c>
      <c r="N8008">
        <v>4.9658199999999998E-26</v>
      </c>
      <c r="O8008">
        <v>286</v>
      </c>
    </row>
    <row r="8009" spans="1:15" x14ac:dyDescent="0.25">
      <c r="A8009" t="s">
        <v>8022</v>
      </c>
      <c r="B8009">
        <v>330</v>
      </c>
      <c r="C8009" s="1" t="str">
        <f>HYPERLINK("http://www.rosaceae.org/gb/gbrowse/malus_x_domestica/?name=MDP0000203773","MDP0000203773")</f>
        <v>MDP0000203773</v>
      </c>
      <c r="D8009">
        <v>70.03</v>
      </c>
      <c r="E8009">
        <v>287</v>
      </c>
      <c r="F8009">
        <v>86</v>
      </c>
      <c r="G8009">
        <v>28</v>
      </c>
      <c r="H8009">
        <v>1</v>
      </c>
      <c r="I8009">
        <v>259</v>
      </c>
      <c r="J8009">
        <v>1</v>
      </c>
      <c r="K8009">
        <v>1</v>
      </c>
      <c r="L8009">
        <v>287</v>
      </c>
      <c r="M8009">
        <v>1</v>
      </c>
      <c r="N8009">
        <v>2.5001100000000001E-108</v>
      </c>
      <c r="O8009">
        <v>999</v>
      </c>
    </row>
    <row r="8010" spans="1:15" x14ac:dyDescent="0.25">
      <c r="A8010" t="s">
        <v>8023</v>
      </c>
      <c r="B8010">
        <v>458</v>
      </c>
      <c r="C8010" s="1" t="str">
        <f>HYPERLINK("http://www.rosaceae.org/gb/gbrowse/malus_x_domestica/?name=MDP0000241912","MDP0000241912")</f>
        <v>MDP0000241912</v>
      </c>
      <c r="D8010">
        <v>85.32</v>
      </c>
      <c r="E8010">
        <v>443</v>
      </c>
      <c r="F8010">
        <v>65</v>
      </c>
      <c r="G8010">
        <v>2</v>
      </c>
      <c r="H8010">
        <v>1</v>
      </c>
      <c r="I8010">
        <v>441</v>
      </c>
      <c r="J8010">
        <v>1</v>
      </c>
      <c r="K8010">
        <v>1</v>
      </c>
      <c r="L8010">
        <v>443</v>
      </c>
      <c r="M8010">
        <v>1</v>
      </c>
      <c r="N8010">
        <v>0</v>
      </c>
      <c r="O8010">
        <v>2022</v>
      </c>
    </row>
    <row r="8011" spans="1:15" x14ac:dyDescent="0.25">
      <c r="A8011" t="s">
        <v>8024</v>
      </c>
      <c r="B8011">
        <v>345</v>
      </c>
      <c r="C8011" s="1" t="str">
        <f>HYPERLINK("http://www.rosaceae.org/gb/gbrowse/malus_x_domestica/?name=MDP0000779358","MDP0000779358")</f>
        <v>MDP0000779358</v>
      </c>
      <c r="D8011">
        <v>57.8</v>
      </c>
      <c r="E8011">
        <v>301</v>
      </c>
      <c r="F8011">
        <v>127</v>
      </c>
      <c r="G8011">
        <v>45</v>
      </c>
      <c r="H8011">
        <v>51</v>
      </c>
      <c r="I8011">
        <v>344</v>
      </c>
      <c r="J8011">
        <v>1</v>
      </c>
      <c r="K8011">
        <v>1</v>
      </c>
      <c r="L8011">
        <v>263</v>
      </c>
      <c r="M8011">
        <v>1</v>
      </c>
      <c r="N8011">
        <v>1.9738699999999998E-80</v>
      </c>
      <c r="O8011">
        <v>758</v>
      </c>
    </row>
    <row r="8012" spans="1:15" x14ac:dyDescent="0.25">
      <c r="A8012" t="s">
        <v>8025</v>
      </c>
      <c r="B8012">
        <v>425</v>
      </c>
      <c r="C8012" s="1" t="str">
        <f>HYPERLINK("http://www.rosaceae.org/gb/gbrowse/malus_x_domestica/?name=MDP0000284745","MDP0000284745")</f>
        <v>MDP0000284745</v>
      </c>
      <c r="D8012">
        <v>80.41</v>
      </c>
      <c r="E8012">
        <v>143</v>
      </c>
      <c r="F8012">
        <v>28</v>
      </c>
      <c r="G8012">
        <v>1</v>
      </c>
      <c r="H8012">
        <v>284</v>
      </c>
      <c r="I8012">
        <v>425</v>
      </c>
      <c r="J8012">
        <v>1</v>
      </c>
      <c r="K8012">
        <v>42</v>
      </c>
      <c r="L8012">
        <v>184</v>
      </c>
      <c r="M8012">
        <v>1</v>
      </c>
      <c r="N8012">
        <v>1.25092E-62</v>
      </c>
      <c r="O8012">
        <v>606</v>
      </c>
    </row>
    <row r="8013" spans="1:15" x14ac:dyDescent="0.25">
      <c r="A8013" t="s">
        <v>8026</v>
      </c>
      <c r="B8013">
        <v>631</v>
      </c>
      <c r="C8013" s="1" t="str">
        <f>HYPERLINK("http://www.rosaceae.org/gb/gbrowse/malus_x_domestica/?name=MDP0000455727","MDP0000455727")</f>
        <v>MDP0000455727</v>
      </c>
      <c r="D8013">
        <v>31.21</v>
      </c>
      <c r="E8013">
        <v>535</v>
      </c>
      <c r="F8013">
        <v>368</v>
      </c>
      <c r="G8013">
        <v>25</v>
      </c>
      <c r="H8013">
        <v>115</v>
      </c>
      <c r="I8013">
        <v>624</v>
      </c>
      <c r="J8013">
        <v>1</v>
      </c>
      <c r="K8013">
        <v>384</v>
      </c>
      <c r="L8013">
        <v>918</v>
      </c>
      <c r="M8013">
        <v>1</v>
      </c>
      <c r="N8013">
        <v>9.4501499999999994E-80</v>
      </c>
      <c r="O8013">
        <v>755</v>
      </c>
    </row>
    <row r="8014" spans="1:15" x14ac:dyDescent="0.25">
      <c r="A8014" t="s">
        <v>8027</v>
      </c>
      <c r="B8014">
        <v>470</v>
      </c>
      <c r="C8014" s="1" t="str">
        <f>HYPERLINK("http://www.rosaceae.org/gb/gbrowse/malus_x_domestica/?name=MDP0000071677","MDP0000071677")</f>
        <v>MDP0000071677</v>
      </c>
      <c r="D8014">
        <v>63.03</v>
      </c>
      <c r="E8014">
        <v>468</v>
      </c>
      <c r="F8014">
        <v>173</v>
      </c>
      <c r="G8014">
        <v>9</v>
      </c>
      <c r="H8014">
        <v>1</v>
      </c>
      <c r="I8014">
        <v>468</v>
      </c>
      <c r="J8014">
        <v>1</v>
      </c>
      <c r="K8014">
        <v>17</v>
      </c>
      <c r="L8014">
        <v>475</v>
      </c>
      <c r="M8014">
        <v>1</v>
      </c>
      <c r="N8014">
        <v>1.2012499999999999E-174</v>
      </c>
      <c r="O8014">
        <v>1572</v>
      </c>
    </row>
    <row r="8015" spans="1:15" x14ac:dyDescent="0.25">
      <c r="A8015" t="s">
        <v>8028</v>
      </c>
      <c r="B8015">
        <v>870</v>
      </c>
      <c r="C8015" s="1" t="str">
        <f>HYPERLINK("http://www.rosaceae.org/gb/gbrowse/malus_x_domestica/?name=MDP0000303338","MDP0000303338")</f>
        <v>MDP0000303338</v>
      </c>
      <c r="D8015">
        <v>55.55</v>
      </c>
      <c r="E8015">
        <v>207</v>
      </c>
      <c r="F8015">
        <v>92</v>
      </c>
      <c r="G8015">
        <v>19</v>
      </c>
      <c r="H8015">
        <v>510</v>
      </c>
      <c r="I8015">
        <v>699</v>
      </c>
      <c r="J8015">
        <v>1</v>
      </c>
      <c r="K8015">
        <v>1389</v>
      </c>
      <c r="L8015">
        <v>1593</v>
      </c>
      <c r="M8015">
        <v>1</v>
      </c>
      <c r="N8015">
        <v>1.22389E-51</v>
      </c>
      <c r="O8015">
        <v>514</v>
      </c>
    </row>
    <row r="8016" spans="1:15" x14ac:dyDescent="0.25">
      <c r="A8016" t="s">
        <v>8029</v>
      </c>
      <c r="B8016">
        <v>585</v>
      </c>
      <c r="C8016" s="1" t="str">
        <f>HYPERLINK("http://www.rosaceae.org/gb/gbrowse/malus_x_domestica/?name=MDP0000779011","MDP0000779011")</f>
        <v>MDP0000779011</v>
      </c>
      <c r="D8016">
        <v>73.41</v>
      </c>
      <c r="E8016">
        <v>553</v>
      </c>
      <c r="F8016">
        <v>147</v>
      </c>
      <c r="G8016">
        <v>5</v>
      </c>
      <c r="H8016">
        <v>15</v>
      </c>
      <c r="I8016">
        <v>566</v>
      </c>
      <c r="J8016">
        <v>1</v>
      </c>
      <c r="K8016">
        <v>14</v>
      </c>
      <c r="L8016">
        <v>562</v>
      </c>
      <c r="M8016">
        <v>1</v>
      </c>
      <c r="N8016">
        <v>0</v>
      </c>
      <c r="O8016">
        <v>2197</v>
      </c>
    </row>
    <row r="8017" spans="1:15" x14ac:dyDescent="0.25">
      <c r="A8017" t="s">
        <v>8030</v>
      </c>
      <c r="B8017">
        <v>169</v>
      </c>
      <c r="C8017" s="1" t="str">
        <f>HYPERLINK("http://www.rosaceae.org/gb/gbrowse/malus_x_domestica/?name=MDP0000595671","MDP0000595671")</f>
        <v>MDP0000595671</v>
      </c>
      <c r="D8017">
        <v>57.64</v>
      </c>
      <c r="E8017">
        <v>170</v>
      </c>
      <c r="F8017">
        <v>72</v>
      </c>
      <c r="G8017">
        <v>10</v>
      </c>
      <c r="H8017">
        <v>1</v>
      </c>
      <c r="I8017">
        <v>165</v>
      </c>
      <c r="J8017">
        <v>1</v>
      </c>
      <c r="K8017">
        <v>1</v>
      </c>
      <c r="L8017">
        <v>165</v>
      </c>
      <c r="M8017">
        <v>1</v>
      </c>
      <c r="N8017">
        <v>4.03047E-46</v>
      </c>
      <c r="O8017">
        <v>458</v>
      </c>
    </row>
    <row r="8018" spans="1:15" x14ac:dyDescent="0.25">
      <c r="A8018" t="s">
        <v>8031</v>
      </c>
      <c r="B8018">
        <v>282</v>
      </c>
      <c r="C8018" s="1" t="str">
        <f>HYPERLINK("http://www.rosaceae.org/gb/gbrowse/malus_x_domestica/?name=MDP0000148443","MDP0000148443")</f>
        <v>MDP0000148443</v>
      </c>
      <c r="D8018">
        <v>50</v>
      </c>
      <c r="E8018">
        <v>144</v>
      </c>
      <c r="F8018">
        <v>72</v>
      </c>
      <c r="G8018">
        <v>21</v>
      </c>
      <c r="H8018">
        <v>148</v>
      </c>
      <c r="I8018">
        <v>276</v>
      </c>
      <c r="J8018">
        <v>1</v>
      </c>
      <c r="K8018">
        <v>7</v>
      </c>
      <c r="L8018">
        <v>144</v>
      </c>
      <c r="M8018">
        <v>1</v>
      </c>
      <c r="N8018">
        <v>6.78395E-21</v>
      </c>
      <c r="O8018">
        <v>244</v>
      </c>
    </row>
    <row r="8019" spans="1:15" x14ac:dyDescent="0.25">
      <c r="A8019" t="s">
        <v>8032</v>
      </c>
      <c r="B8019">
        <v>787</v>
      </c>
      <c r="C8019" s="1" t="str">
        <f>HYPERLINK("http://www.rosaceae.org/gb/gbrowse/malus_x_domestica/?name=MDP0000170433","MDP0000170433")</f>
        <v>MDP0000170433</v>
      </c>
      <c r="D8019">
        <v>76.13</v>
      </c>
      <c r="E8019">
        <v>373</v>
      </c>
      <c r="F8019">
        <v>89</v>
      </c>
      <c r="G8019">
        <v>1</v>
      </c>
      <c r="H8019">
        <v>1</v>
      </c>
      <c r="I8019">
        <v>372</v>
      </c>
      <c r="J8019">
        <v>1</v>
      </c>
      <c r="K8019">
        <v>1</v>
      </c>
      <c r="L8019">
        <v>373</v>
      </c>
      <c r="M8019">
        <v>1</v>
      </c>
      <c r="N8019">
        <v>9.3454099999999995E-169</v>
      </c>
      <c r="O8019">
        <v>1524</v>
      </c>
    </row>
    <row r="8020" spans="1:15" x14ac:dyDescent="0.25">
      <c r="A8020" t="s">
        <v>8033</v>
      </c>
      <c r="B8020">
        <v>696</v>
      </c>
      <c r="C8020" s="1" t="str">
        <f>HYPERLINK("http://www.rosaceae.org/gb/gbrowse/malus_x_domestica/?name=MDP0000185801","MDP0000185801")</f>
        <v>MDP0000185801</v>
      </c>
      <c r="D8020">
        <v>54.16</v>
      </c>
      <c r="E8020">
        <v>312</v>
      </c>
      <c r="F8020">
        <v>143</v>
      </c>
      <c r="G8020">
        <v>20</v>
      </c>
      <c r="H8020">
        <v>350</v>
      </c>
      <c r="I8020">
        <v>660</v>
      </c>
      <c r="J8020">
        <v>1</v>
      </c>
      <c r="K8020">
        <v>83</v>
      </c>
      <c r="L8020">
        <v>375</v>
      </c>
      <c r="M8020">
        <v>1</v>
      </c>
      <c r="N8020">
        <v>2.5710000000000002E-83</v>
      </c>
      <c r="O8020">
        <v>786</v>
      </c>
    </row>
    <row r="8021" spans="1:15" x14ac:dyDescent="0.25">
      <c r="A8021" t="s">
        <v>8034</v>
      </c>
      <c r="B8021">
        <v>770</v>
      </c>
      <c r="C8021" s="1" t="str">
        <f>HYPERLINK("http://www.rosaceae.org/gb/gbrowse/malus_x_domestica/?name=MDP0000251137","MDP0000251137")</f>
        <v>MDP0000251137</v>
      </c>
      <c r="D8021">
        <v>49.5</v>
      </c>
      <c r="E8021">
        <v>101</v>
      </c>
      <c r="F8021">
        <v>51</v>
      </c>
      <c r="G8021">
        <v>0</v>
      </c>
      <c r="H8021">
        <v>670</v>
      </c>
      <c r="I8021">
        <v>770</v>
      </c>
      <c r="J8021">
        <v>1</v>
      </c>
      <c r="K8021">
        <v>5</v>
      </c>
      <c r="L8021">
        <v>105</v>
      </c>
      <c r="M8021">
        <v>1</v>
      </c>
      <c r="N8021">
        <v>3.2675199999999999E-22</v>
      </c>
      <c r="O8021">
        <v>260</v>
      </c>
    </row>
    <row r="8022" spans="1:15" x14ac:dyDescent="0.25">
      <c r="A8022" t="s">
        <v>8035</v>
      </c>
      <c r="B8022">
        <v>467</v>
      </c>
      <c r="C8022" s="1" t="str">
        <f>HYPERLINK("http://www.rosaceae.org/gb/gbrowse/malus_x_domestica/?name=MDP0000486228","MDP0000486228")</f>
        <v>MDP0000486228</v>
      </c>
      <c r="D8022">
        <v>64.739999999999995</v>
      </c>
      <c r="E8022">
        <v>329</v>
      </c>
      <c r="F8022">
        <v>116</v>
      </c>
      <c r="G8022">
        <v>21</v>
      </c>
      <c r="H8022">
        <v>26</v>
      </c>
      <c r="I8022">
        <v>333</v>
      </c>
      <c r="J8022">
        <v>1</v>
      </c>
      <c r="K8022">
        <v>69</v>
      </c>
      <c r="L8022">
        <v>397</v>
      </c>
      <c r="M8022">
        <v>1</v>
      </c>
      <c r="N8022">
        <v>4.1891100000000001E-125</v>
      </c>
      <c r="O8022">
        <v>1145</v>
      </c>
    </row>
    <row r="8023" spans="1:15" x14ac:dyDescent="0.25">
      <c r="A8023" t="s">
        <v>8036</v>
      </c>
      <c r="B8023">
        <v>495</v>
      </c>
      <c r="C8023" s="1" t="str">
        <f>HYPERLINK("http://www.rosaceae.org/gb/gbrowse/malus_x_domestica/?name=MDP0000210335","MDP0000210335")</f>
        <v>MDP0000210335</v>
      </c>
      <c r="D8023">
        <v>78.75</v>
      </c>
      <c r="E8023">
        <v>499</v>
      </c>
      <c r="F8023">
        <v>106</v>
      </c>
      <c r="G8023">
        <v>8</v>
      </c>
      <c r="H8023">
        <v>1</v>
      </c>
      <c r="I8023">
        <v>491</v>
      </c>
      <c r="J8023">
        <v>1</v>
      </c>
      <c r="K8023">
        <v>1</v>
      </c>
      <c r="L8023">
        <v>499</v>
      </c>
      <c r="M8023">
        <v>1</v>
      </c>
      <c r="N8023">
        <v>0</v>
      </c>
      <c r="O8023">
        <v>2131</v>
      </c>
    </row>
    <row r="8024" spans="1:15" x14ac:dyDescent="0.25">
      <c r="A8024" t="s">
        <v>8037</v>
      </c>
      <c r="B8024">
        <v>516</v>
      </c>
      <c r="C8024" s="1" t="str">
        <f>HYPERLINK("http://www.rosaceae.org/gb/gbrowse/malus_x_domestica/?name=MDP0000725634","MDP0000725634")</f>
        <v>MDP0000725634</v>
      </c>
      <c r="D8024">
        <v>35.67</v>
      </c>
      <c r="E8024">
        <v>342</v>
      </c>
      <c r="F8024">
        <v>220</v>
      </c>
      <c r="G8024">
        <v>12</v>
      </c>
      <c r="H8024">
        <v>119</v>
      </c>
      <c r="I8024">
        <v>456</v>
      </c>
      <c r="J8024">
        <v>1</v>
      </c>
      <c r="K8024">
        <v>85</v>
      </c>
      <c r="L8024">
        <v>418</v>
      </c>
      <c r="M8024">
        <v>1</v>
      </c>
      <c r="N8024">
        <v>7.7795799999999996E-49</v>
      </c>
      <c r="O8024">
        <v>488</v>
      </c>
    </row>
    <row r="8025" spans="1:15" x14ac:dyDescent="0.25">
      <c r="A8025" t="s">
        <v>8038</v>
      </c>
      <c r="B8025">
        <v>207</v>
      </c>
      <c r="C8025" s="1" t="str">
        <f>HYPERLINK("http://www.rosaceae.org/gb/gbrowse/malus_x_domestica/?name=MDP0000208173","MDP0000208173")</f>
        <v>MDP0000208173</v>
      </c>
      <c r="D8025">
        <v>90.32</v>
      </c>
      <c r="E8025">
        <v>124</v>
      </c>
      <c r="F8025">
        <v>12</v>
      </c>
      <c r="G8025">
        <v>1</v>
      </c>
      <c r="H8025">
        <v>62</v>
      </c>
      <c r="I8025">
        <v>185</v>
      </c>
      <c r="J8025">
        <v>1</v>
      </c>
      <c r="K8025">
        <v>32</v>
      </c>
      <c r="L8025">
        <v>154</v>
      </c>
      <c r="M8025">
        <v>1</v>
      </c>
      <c r="N8025">
        <v>1.73741E-60</v>
      </c>
      <c r="O8025">
        <v>583</v>
      </c>
    </row>
    <row r="8026" spans="1:15" x14ac:dyDescent="0.25">
      <c r="A8026" t="s">
        <v>8039</v>
      </c>
      <c r="B8026">
        <v>1300</v>
      </c>
      <c r="C8026" s="1" t="str">
        <f>HYPERLINK("http://www.rosaceae.org/gb/gbrowse/malus_x_domestica/?name=MDP0000178719","MDP0000178719")</f>
        <v>MDP0000178719</v>
      </c>
      <c r="D8026">
        <v>75.099999999999994</v>
      </c>
      <c r="E8026">
        <v>1193</v>
      </c>
      <c r="F8026">
        <v>297</v>
      </c>
      <c r="G8026">
        <v>49</v>
      </c>
      <c r="H8026">
        <v>96</v>
      </c>
      <c r="I8026">
        <v>1267</v>
      </c>
      <c r="J8026">
        <v>1</v>
      </c>
      <c r="K8026">
        <v>37</v>
      </c>
      <c r="L8026">
        <v>1201</v>
      </c>
      <c r="M8026">
        <v>1</v>
      </c>
      <c r="N8026">
        <v>0</v>
      </c>
      <c r="O8026">
        <v>4668</v>
      </c>
    </row>
    <row r="8027" spans="1:15" x14ac:dyDescent="0.25">
      <c r="A8027" t="s">
        <v>8040</v>
      </c>
      <c r="B8027">
        <v>260</v>
      </c>
      <c r="C8027" s="1" t="str">
        <f>HYPERLINK("http://www.rosaceae.org/gb/gbrowse/malus_x_domestica/?name=MDP0000870406","MDP0000870406")</f>
        <v>MDP0000870406</v>
      </c>
      <c r="D8027">
        <v>48.5</v>
      </c>
      <c r="E8027">
        <v>268</v>
      </c>
      <c r="F8027">
        <v>138</v>
      </c>
      <c r="G8027">
        <v>48</v>
      </c>
      <c r="H8027">
        <v>17</v>
      </c>
      <c r="I8027">
        <v>260</v>
      </c>
      <c r="J8027">
        <v>1</v>
      </c>
      <c r="K8027">
        <v>71</v>
      </c>
      <c r="L8027">
        <v>314</v>
      </c>
      <c r="M8027">
        <v>1</v>
      </c>
      <c r="N8027">
        <v>7.8434900000000001E-55</v>
      </c>
      <c r="O8027">
        <v>536</v>
      </c>
    </row>
    <row r="8028" spans="1:15" x14ac:dyDescent="0.25">
      <c r="A8028" t="s">
        <v>8041</v>
      </c>
      <c r="B8028">
        <v>228</v>
      </c>
      <c r="C8028" s="1" t="str">
        <f>HYPERLINK("http://www.rosaceae.org/gb/gbrowse/malus_x_domestica/?name=MDP0000270062","MDP0000270062")</f>
        <v>MDP0000270062</v>
      </c>
      <c r="D8028">
        <v>52.5</v>
      </c>
      <c r="E8028">
        <v>120</v>
      </c>
      <c r="F8028">
        <v>57</v>
      </c>
      <c r="G8028">
        <v>17</v>
      </c>
      <c r="H8028">
        <v>66</v>
      </c>
      <c r="I8028">
        <v>184</v>
      </c>
      <c r="J8028">
        <v>1</v>
      </c>
      <c r="K8028">
        <v>163</v>
      </c>
      <c r="L8028">
        <v>266</v>
      </c>
      <c r="M8028">
        <v>1</v>
      </c>
      <c r="N8028">
        <v>4.54206E-24</v>
      </c>
      <c r="O8028">
        <v>270</v>
      </c>
    </row>
    <row r="8029" spans="1:15" x14ac:dyDescent="0.25">
      <c r="A8029" t="s">
        <v>8042</v>
      </c>
      <c r="B8029">
        <v>1400</v>
      </c>
      <c r="C8029" s="1" t="str">
        <f>HYPERLINK("http://www.rosaceae.org/gb/gbrowse/malus_x_domestica/?name=MDP0000165669","MDP0000165669")</f>
        <v>MDP0000165669</v>
      </c>
      <c r="D8029">
        <v>54.11</v>
      </c>
      <c r="E8029">
        <v>1423</v>
      </c>
      <c r="F8029">
        <v>653</v>
      </c>
      <c r="G8029">
        <v>46</v>
      </c>
      <c r="H8029">
        <v>1</v>
      </c>
      <c r="I8029">
        <v>1393</v>
      </c>
      <c r="J8029">
        <v>1</v>
      </c>
      <c r="K8029">
        <v>3</v>
      </c>
      <c r="L8029">
        <v>1409</v>
      </c>
      <c r="M8029">
        <v>1</v>
      </c>
      <c r="N8029">
        <v>0</v>
      </c>
      <c r="O8029">
        <v>3526</v>
      </c>
    </row>
    <row r="8030" spans="1:15" x14ac:dyDescent="0.25">
      <c r="A8030" t="s">
        <v>8043</v>
      </c>
      <c r="B8030">
        <v>287</v>
      </c>
      <c r="C8030" s="1" t="str">
        <f>HYPERLINK("http://www.rosaceae.org/gb/gbrowse/malus_x_domestica/?name=MDP0000167145","MDP0000167145")</f>
        <v>MDP0000167145</v>
      </c>
      <c r="D8030">
        <v>29.03</v>
      </c>
      <c r="E8030">
        <v>155</v>
      </c>
      <c r="F8030">
        <v>110</v>
      </c>
      <c r="G8030">
        <v>11</v>
      </c>
      <c r="H8030">
        <v>81</v>
      </c>
      <c r="I8030">
        <v>225</v>
      </c>
      <c r="J8030">
        <v>1</v>
      </c>
      <c r="K8030">
        <v>229</v>
      </c>
      <c r="L8030">
        <v>382</v>
      </c>
      <c r="M8030">
        <v>1</v>
      </c>
      <c r="N8030">
        <v>2.17625E-8</v>
      </c>
      <c r="O8030">
        <v>136</v>
      </c>
    </row>
    <row r="8031" spans="1:15" x14ac:dyDescent="0.25">
      <c r="A8031" t="s">
        <v>8044</v>
      </c>
      <c r="B8031">
        <v>509</v>
      </c>
      <c r="C8031" s="1" t="str">
        <f>HYPERLINK("http://www.rosaceae.org/gb/gbrowse/malus_x_domestica/?name=MDP0000411286","MDP0000411286")</f>
        <v>MDP0000411286</v>
      </c>
      <c r="D8031">
        <v>55.8</v>
      </c>
      <c r="E8031">
        <v>439</v>
      </c>
      <c r="F8031">
        <v>194</v>
      </c>
      <c r="G8031">
        <v>35</v>
      </c>
      <c r="H8031">
        <v>86</v>
      </c>
      <c r="I8031">
        <v>493</v>
      </c>
      <c r="J8031">
        <v>1</v>
      </c>
      <c r="K8031">
        <v>253</v>
      </c>
      <c r="L8031">
        <v>687</v>
      </c>
      <c r="M8031">
        <v>1</v>
      </c>
      <c r="N8031">
        <v>1.01375E-140</v>
      </c>
      <c r="O8031">
        <v>1280</v>
      </c>
    </row>
    <row r="8032" spans="1:15" x14ac:dyDescent="0.25">
      <c r="A8032" t="s">
        <v>8045</v>
      </c>
      <c r="B8032">
        <v>108</v>
      </c>
      <c r="C8032" s="1" t="str">
        <f>HYPERLINK("http://www.rosaceae.org/gb/gbrowse/malus_x_domestica/?name=MDP0000122792","MDP0000122792")</f>
        <v>MDP0000122792</v>
      </c>
      <c r="D8032">
        <v>69.14</v>
      </c>
      <c r="E8032">
        <v>94</v>
      </c>
      <c r="F8032">
        <v>29</v>
      </c>
      <c r="G8032">
        <v>0</v>
      </c>
      <c r="H8032">
        <v>1</v>
      </c>
      <c r="I8032">
        <v>94</v>
      </c>
      <c r="J8032">
        <v>1</v>
      </c>
      <c r="K8032">
        <v>364</v>
      </c>
      <c r="L8032">
        <v>457</v>
      </c>
      <c r="M8032">
        <v>1</v>
      </c>
      <c r="N8032">
        <v>2.78747E-32</v>
      </c>
      <c r="O8032">
        <v>336</v>
      </c>
    </row>
    <row r="8033" spans="1:15" x14ac:dyDescent="0.25">
      <c r="A8033" t="s">
        <v>8046</v>
      </c>
      <c r="B8033">
        <v>695</v>
      </c>
      <c r="C8033" s="1" t="str">
        <f>HYPERLINK("http://www.rosaceae.org/gb/gbrowse/malus_x_domestica/?name=MDP0000147309","MDP0000147309")</f>
        <v>MDP0000147309</v>
      </c>
      <c r="D8033">
        <v>72.27</v>
      </c>
      <c r="E8033">
        <v>559</v>
      </c>
      <c r="F8033">
        <v>155</v>
      </c>
      <c r="G8033">
        <v>12</v>
      </c>
      <c r="H8033">
        <v>134</v>
      </c>
      <c r="I8033">
        <v>692</v>
      </c>
      <c r="J8033">
        <v>1</v>
      </c>
      <c r="K8033">
        <v>1</v>
      </c>
      <c r="L8033">
        <v>547</v>
      </c>
      <c r="M8033">
        <v>1</v>
      </c>
      <c r="N8033">
        <v>0</v>
      </c>
      <c r="O8033">
        <v>2088</v>
      </c>
    </row>
    <row r="8034" spans="1:15" x14ac:dyDescent="0.25">
      <c r="A8034" t="s">
        <v>8047</v>
      </c>
      <c r="B8034">
        <v>680</v>
      </c>
      <c r="C8034" s="1" t="str">
        <f>HYPERLINK("http://www.rosaceae.org/gb/gbrowse/malus_x_domestica/?name=MDP0000871011","MDP0000871011")</f>
        <v>MDP0000871011</v>
      </c>
      <c r="D8034">
        <v>69.5</v>
      </c>
      <c r="E8034">
        <v>682</v>
      </c>
      <c r="F8034">
        <v>208</v>
      </c>
      <c r="G8034">
        <v>28</v>
      </c>
      <c r="H8034">
        <v>4</v>
      </c>
      <c r="I8034">
        <v>680</v>
      </c>
      <c r="J8034">
        <v>1</v>
      </c>
      <c r="K8034">
        <v>5</v>
      </c>
      <c r="L8034">
        <v>663</v>
      </c>
      <c r="M8034">
        <v>1</v>
      </c>
      <c r="N8034">
        <v>0</v>
      </c>
      <c r="O8034">
        <v>2416</v>
      </c>
    </row>
    <row r="8035" spans="1:15" x14ac:dyDescent="0.25">
      <c r="A8035" t="s">
        <v>8048</v>
      </c>
      <c r="B8035">
        <v>404</v>
      </c>
      <c r="C8035" s="1" t="str">
        <f>HYPERLINK("http://www.rosaceae.org/gb/gbrowse/malus_x_domestica/?name=MDP0000242922","MDP0000242922")</f>
        <v>MDP0000242922</v>
      </c>
      <c r="D8035">
        <v>76.010000000000005</v>
      </c>
      <c r="E8035">
        <v>246</v>
      </c>
      <c r="F8035">
        <v>59</v>
      </c>
      <c r="G8035">
        <v>1</v>
      </c>
      <c r="H8035">
        <v>123</v>
      </c>
      <c r="I8035">
        <v>367</v>
      </c>
      <c r="J8035">
        <v>1</v>
      </c>
      <c r="K8035">
        <v>1</v>
      </c>
      <c r="L8035">
        <v>246</v>
      </c>
      <c r="M8035">
        <v>1</v>
      </c>
      <c r="N8035">
        <v>1.67804E-109</v>
      </c>
      <c r="O8035">
        <v>1010</v>
      </c>
    </row>
    <row r="8036" spans="1:15" x14ac:dyDescent="0.25">
      <c r="A8036" t="s">
        <v>8049</v>
      </c>
      <c r="B8036">
        <v>191</v>
      </c>
      <c r="C8036" s="1" t="str">
        <f>HYPERLINK("http://www.rosaceae.org/gb/gbrowse/malus_x_domestica/?name=MDP0000280712","MDP0000280712")</f>
        <v>MDP0000280712</v>
      </c>
      <c r="D8036">
        <v>60.29</v>
      </c>
      <c r="E8036">
        <v>68</v>
      </c>
      <c r="F8036">
        <v>27</v>
      </c>
      <c r="G8036">
        <v>0</v>
      </c>
      <c r="H8036">
        <v>25</v>
      </c>
      <c r="I8036">
        <v>92</v>
      </c>
      <c r="J8036">
        <v>1</v>
      </c>
      <c r="K8036">
        <v>66</v>
      </c>
      <c r="L8036">
        <v>133</v>
      </c>
      <c r="M8036">
        <v>1</v>
      </c>
      <c r="N8036">
        <v>7.17727E-17</v>
      </c>
      <c r="O8036">
        <v>207</v>
      </c>
    </row>
    <row r="8037" spans="1:15" x14ac:dyDescent="0.25">
      <c r="A8037" t="s">
        <v>8050</v>
      </c>
      <c r="B8037">
        <v>510</v>
      </c>
      <c r="C8037" s="1" t="str">
        <f>HYPERLINK("http://www.rosaceae.org/gb/gbrowse/malus_x_domestica/?name=MDP0000183847","MDP0000183847")</f>
        <v>MDP0000183847</v>
      </c>
      <c r="D8037">
        <v>70.78</v>
      </c>
      <c r="E8037">
        <v>380</v>
      </c>
      <c r="F8037">
        <v>111</v>
      </c>
      <c r="G8037">
        <v>51</v>
      </c>
      <c r="H8037">
        <v>107</v>
      </c>
      <c r="I8037">
        <v>486</v>
      </c>
      <c r="J8037">
        <v>1</v>
      </c>
      <c r="K8037">
        <v>1</v>
      </c>
      <c r="L8037">
        <v>329</v>
      </c>
      <c r="M8037">
        <v>1</v>
      </c>
      <c r="N8037">
        <v>2.5799E-150</v>
      </c>
      <c r="O8037">
        <v>1363</v>
      </c>
    </row>
    <row r="8038" spans="1:15" x14ac:dyDescent="0.25">
      <c r="A8038" t="s">
        <v>8051</v>
      </c>
      <c r="B8038">
        <v>72</v>
      </c>
      <c r="C8038" s="1" t="str">
        <f>HYPERLINK("http://www.rosaceae.org/gb/gbrowse/malus_x_domestica/?name=MDP0000185086","MDP0000185086")</f>
        <v>MDP0000185086</v>
      </c>
      <c r="D8038">
        <v>90.27</v>
      </c>
      <c r="E8038">
        <v>72</v>
      </c>
      <c r="F8038">
        <v>7</v>
      </c>
      <c r="G8038">
        <v>0</v>
      </c>
      <c r="H8038">
        <v>1</v>
      </c>
      <c r="I8038">
        <v>72</v>
      </c>
      <c r="J8038">
        <v>1</v>
      </c>
      <c r="K8038">
        <v>1</v>
      </c>
      <c r="L8038">
        <v>72</v>
      </c>
      <c r="M8038">
        <v>1</v>
      </c>
      <c r="N8038">
        <v>4.9348799999999999E-33</v>
      </c>
      <c r="O8038">
        <v>342</v>
      </c>
    </row>
    <row r="8039" spans="1:15" x14ac:dyDescent="0.25">
      <c r="A8039" t="s">
        <v>8052</v>
      </c>
      <c r="B8039">
        <v>440</v>
      </c>
      <c r="C8039" s="1" t="str">
        <f>HYPERLINK("http://www.rosaceae.org/gb/gbrowse/malus_x_domestica/?name=MDP0000311798","MDP0000311798")</f>
        <v>MDP0000311798</v>
      </c>
      <c r="D8039">
        <v>51.79</v>
      </c>
      <c r="E8039">
        <v>446</v>
      </c>
      <c r="F8039">
        <v>215</v>
      </c>
      <c r="G8039">
        <v>30</v>
      </c>
      <c r="H8039">
        <v>17</v>
      </c>
      <c r="I8039">
        <v>435</v>
      </c>
      <c r="J8039">
        <v>1</v>
      </c>
      <c r="K8039">
        <v>38</v>
      </c>
      <c r="L8039">
        <v>480</v>
      </c>
      <c r="M8039">
        <v>1</v>
      </c>
      <c r="N8039">
        <v>2.1147E-113</v>
      </c>
      <c r="O8039">
        <v>1044</v>
      </c>
    </row>
    <row r="8040" spans="1:15" x14ac:dyDescent="0.25">
      <c r="A8040" t="s">
        <v>8053</v>
      </c>
      <c r="B8040">
        <v>272</v>
      </c>
      <c r="C8040" s="1" t="str">
        <f>HYPERLINK("http://www.rosaceae.org/gb/gbrowse/malus_x_domestica/?name=MDP0000281609","MDP0000281609")</f>
        <v>MDP0000281609</v>
      </c>
      <c r="D8040">
        <v>73.069999999999993</v>
      </c>
      <c r="E8040">
        <v>260</v>
      </c>
      <c r="F8040">
        <v>70</v>
      </c>
      <c r="G8040">
        <v>0</v>
      </c>
      <c r="H8040">
        <v>12</v>
      </c>
      <c r="I8040">
        <v>271</v>
      </c>
      <c r="J8040">
        <v>1</v>
      </c>
      <c r="K8040">
        <v>11</v>
      </c>
      <c r="L8040">
        <v>270</v>
      </c>
      <c r="M8040">
        <v>1</v>
      </c>
      <c r="N8040">
        <v>4.8597999999999999E-111</v>
      </c>
      <c r="O8040">
        <v>1021</v>
      </c>
    </row>
    <row r="8041" spans="1:15" x14ac:dyDescent="0.25">
      <c r="A8041" t="s">
        <v>8054</v>
      </c>
      <c r="B8041">
        <v>855</v>
      </c>
      <c r="C8041" s="1" t="str">
        <f>HYPERLINK("http://www.rosaceae.org/gb/gbrowse/malus_x_domestica/?name=MDP0000295212","MDP0000295212")</f>
        <v>MDP0000295212</v>
      </c>
      <c r="D8041">
        <v>70.16</v>
      </c>
      <c r="E8041">
        <v>238</v>
      </c>
      <c r="F8041">
        <v>71</v>
      </c>
      <c r="G8041">
        <v>2</v>
      </c>
      <c r="H8041">
        <v>597</v>
      </c>
      <c r="I8041">
        <v>833</v>
      </c>
      <c r="J8041">
        <v>1</v>
      </c>
      <c r="K8041">
        <v>40</v>
      </c>
      <c r="L8041">
        <v>276</v>
      </c>
      <c r="M8041">
        <v>1</v>
      </c>
      <c r="N8041">
        <v>2.0709999999999999E-96</v>
      </c>
      <c r="O8041">
        <v>900</v>
      </c>
    </row>
    <row r="8042" spans="1:15" x14ac:dyDescent="0.25">
      <c r="A8042" t="s">
        <v>8055</v>
      </c>
      <c r="B8042">
        <v>93</v>
      </c>
      <c r="C8042" s="1" t="str">
        <f>HYPERLINK("http://www.rosaceae.org/gb/gbrowse/malus_x_domestica/?name=MDP0000471520","MDP0000471520")</f>
        <v>MDP0000471520</v>
      </c>
      <c r="D8042">
        <v>56.07</v>
      </c>
      <c r="E8042">
        <v>107</v>
      </c>
      <c r="F8042">
        <v>47</v>
      </c>
      <c r="G8042">
        <v>15</v>
      </c>
      <c r="H8042">
        <v>1</v>
      </c>
      <c r="I8042">
        <v>93</v>
      </c>
      <c r="J8042">
        <v>1</v>
      </c>
      <c r="K8042">
        <v>1</v>
      </c>
      <c r="L8042">
        <v>106</v>
      </c>
      <c r="M8042">
        <v>1</v>
      </c>
      <c r="N8042">
        <v>7.5171099999999993E-24</v>
      </c>
      <c r="O8042">
        <v>263</v>
      </c>
    </row>
    <row r="8043" spans="1:15" x14ac:dyDescent="0.25">
      <c r="A8043" t="s">
        <v>8056</v>
      </c>
      <c r="B8043">
        <v>341</v>
      </c>
      <c r="C8043" s="1" t="str">
        <f>HYPERLINK("http://www.rosaceae.org/gb/gbrowse/malus_x_domestica/?name=MDP0000339542","MDP0000339542")</f>
        <v>MDP0000339542</v>
      </c>
      <c r="D8043">
        <v>81.27</v>
      </c>
      <c r="E8043">
        <v>299</v>
      </c>
      <c r="F8043">
        <v>56</v>
      </c>
      <c r="G8043">
        <v>1</v>
      </c>
      <c r="H8043">
        <v>33</v>
      </c>
      <c r="I8043">
        <v>331</v>
      </c>
      <c r="J8043">
        <v>1</v>
      </c>
      <c r="K8043">
        <v>34</v>
      </c>
      <c r="L8043">
        <v>331</v>
      </c>
      <c r="M8043">
        <v>1</v>
      </c>
      <c r="N8043">
        <v>5.3572999999999998E-147</v>
      </c>
      <c r="O8043">
        <v>1332</v>
      </c>
    </row>
    <row r="8044" spans="1:15" x14ac:dyDescent="0.25">
      <c r="A8044" t="s">
        <v>8057</v>
      </c>
      <c r="B8044">
        <v>337</v>
      </c>
      <c r="C8044" s="1" t="str">
        <f>HYPERLINK("http://www.rosaceae.org/gb/gbrowse/malus_x_domestica/?name=MDP0000276765","MDP0000276765")</f>
        <v>MDP0000276765</v>
      </c>
      <c r="D8044">
        <v>65.91</v>
      </c>
      <c r="E8044">
        <v>355</v>
      </c>
      <c r="F8044">
        <v>121</v>
      </c>
      <c r="G8044">
        <v>23</v>
      </c>
      <c r="H8044">
        <v>1</v>
      </c>
      <c r="I8044">
        <v>337</v>
      </c>
      <c r="J8044">
        <v>1</v>
      </c>
      <c r="K8044">
        <v>1</v>
      </c>
      <c r="L8044">
        <v>350</v>
      </c>
      <c r="M8044">
        <v>1</v>
      </c>
      <c r="N8044">
        <v>6.97269E-129</v>
      </c>
      <c r="O8044">
        <v>1176</v>
      </c>
    </row>
    <row r="8045" spans="1:15" x14ac:dyDescent="0.25">
      <c r="A8045" t="s">
        <v>8058</v>
      </c>
      <c r="B8045">
        <v>249</v>
      </c>
      <c r="C8045" s="1" t="str">
        <f>HYPERLINK("http://www.rosaceae.org/gb/gbrowse/malus_x_domestica/?name=MDP0000560112","MDP0000560112")</f>
        <v>MDP0000560112</v>
      </c>
      <c r="D8045">
        <v>77.510000000000005</v>
      </c>
      <c r="E8045">
        <v>249</v>
      </c>
      <c r="F8045">
        <v>56</v>
      </c>
      <c r="G8045">
        <v>1</v>
      </c>
      <c r="H8045">
        <v>2</v>
      </c>
      <c r="I8045">
        <v>249</v>
      </c>
      <c r="J8045">
        <v>1</v>
      </c>
      <c r="K8045">
        <v>3</v>
      </c>
      <c r="L8045">
        <v>251</v>
      </c>
      <c r="M8045">
        <v>1</v>
      </c>
      <c r="N8045">
        <v>1.6984899999999999E-106</v>
      </c>
      <c r="O8045">
        <v>981</v>
      </c>
    </row>
    <row r="8046" spans="1:15" x14ac:dyDescent="0.25">
      <c r="A8046" t="s">
        <v>8059</v>
      </c>
      <c r="B8046">
        <v>646</v>
      </c>
      <c r="C8046" s="1" t="str">
        <f>HYPERLINK("http://www.rosaceae.org/gb/gbrowse/malus_x_domestica/?name=MDP0000187687","MDP0000187687")</f>
        <v>MDP0000187687</v>
      </c>
      <c r="D8046">
        <v>76.11</v>
      </c>
      <c r="E8046">
        <v>628</v>
      </c>
      <c r="F8046">
        <v>150</v>
      </c>
      <c r="G8046">
        <v>7</v>
      </c>
      <c r="H8046">
        <v>1</v>
      </c>
      <c r="I8046">
        <v>621</v>
      </c>
      <c r="J8046">
        <v>1</v>
      </c>
      <c r="K8046">
        <v>1</v>
      </c>
      <c r="L8046">
        <v>628</v>
      </c>
      <c r="M8046">
        <v>1</v>
      </c>
      <c r="N8046">
        <v>0</v>
      </c>
      <c r="O8046">
        <v>2544</v>
      </c>
    </row>
    <row r="8047" spans="1:15" x14ac:dyDescent="0.25">
      <c r="A8047" t="s">
        <v>8060</v>
      </c>
      <c r="B8047">
        <v>260</v>
      </c>
      <c r="C8047" s="1" t="str">
        <f>HYPERLINK("http://www.rosaceae.org/gb/gbrowse/malus_x_domestica/?name=MDP0000539118","MDP0000539118")</f>
        <v>MDP0000539118</v>
      </c>
      <c r="D8047">
        <v>69.510000000000005</v>
      </c>
      <c r="E8047">
        <v>246</v>
      </c>
      <c r="F8047">
        <v>75</v>
      </c>
      <c r="G8047">
        <v>12</v>
      </c>
      <c r="H8047">
        <v>1</v>
      </c>
      <c r="I8047">
        <v>245</v>
      </c>
      <c r="J8047">
        <v>1</v>
      </c>
      <c r="K8047">
        <v>1</v>
      </c>
      <c r="L8047">
        <v>235</v>
      </c>
      <c r="M8047">
        <v>1</v>
      </c>
      <c r="N8047">
        <v>6.3497700000000004E-93</v>
      </c>
      <c r="O8047">
        <v>865</v>
      </c>
    </row>
    <row r="8048" spans="1:15" x14ac:dyDescent="0.25">
      <c r="A8048" t="s">
        <v>8061</v>
      </c>
      <c r="B8048">
        <v>483</v>
      </c>
      <c r="C8048" s="1" t="str">
        <f>HYPERLINK("http://www.rosaceae.org/gb/gbrowse/malus_x_domestica/?name=MDP0000285600","MDP0000285600")</f>
        <v>MDP0000285600</v>
      </c>
      <c r="D8048">
        <v>63.74</v>
      </c>
      <c r="E8048">
        <v>491</v>
      </c>
      <c r="F8048">
        <v>178</v>
      </c>
      <c r="G8048">
        <v>39</v>
      </c>
      <c r="H8048">
        <v>1</v>
      </c>
      <c r="I8048">
        <v>483</v>
      </c>
      <c r="J8048">
        <v>1</v>
      </c>
      <c r="K8048">
        <v>1</v>
      </c>
      <c r="L8048">
        <v>460</v>
      </c>
      <c r="M8048">
        <v>1</v>
      </c>
      <c r="N8048">
        <v>3.4464899999999999E-171</v>
      </c>
      <c r="O8048">
        <v>1543</v>
      </c>
    </row>
    <row r="8049" spans="1:15" x14ac:dyDescent="0.25">
      <c r="A8049" t="s">
        <v>8062</v>
      </c>
      <c r="B8049">
        <v>761</v>
      </c>
      <c r="C8049" s="1" t="str">
        <f>HYPERLINK("http://www.rosaceae.org/gb/gbrowse/malus_x_domestica/?name=MDP0000263283","MDP0000263283")</f>
        <v>MDP0000263283</v>
      </c>
      <c r="D8049">
        <v>77.94</v>
      </c>
      <c r="E8049">
        <v>721</v>
      </c>
      <c r="F8049">
        <v>159</v>
      </c>
      <c r="G8049">
        <v>32</v>
      </c>
      <c r="H8049">
        <v>5</v>
      </c>
      <c r="I8049">
        <v>725</v>
      </c>
      <c r="J8049">
        <v>1</v>
      </c>
      <c r="K8049">
        <v>9</v>
      </c>
      <c r="L8049">
        <v>697</v>
      </c>
      <c r="M8049">
        <v>1</v>
      </c>
      <c r="N8049">
        <v>0</v>
      </c>
      <c r="O8049">
        <v>2945</v>
      </c>
    </row>
    <row r="8050" spans="1:15" x14ac:dyDescent="0.25">
      <c r="A8050" t="s">
        <v>8063</v>
      </c>
      <c r="B8050">
        <v>211</v>
      </c>
      <c r="C8050" s="1" t="str">
        <f>HYPERLINK("http://www.rosaceae.org/gb/gbrowse/malus_x_domestica/?name=MDP0000137468","MDP0000137468")</f>
        <v>MDP0000137468</v>
      </c>
      <c r="D8050">
        <v>57.54</v>
      </c>
      <c r="E8050">
        <v>212</v>
      </c>
      <c r="F8050">
        <v>90</v>
      </c>
      <c r="G8050">
        <v>3</v>
      </c>
      <c r="H8050">
        <v>1</v>
      </c>
      <c r="I8050">
        <v>211</v>
      </c>
      <c r="J8050">
        <v>1</v>
      </c>
      <c r="K8050">
        <v>1</v>
      </c>
      <c r="L8050">
        <v>210</v>
      </c>
      <c r="M8050">
        <v>1</v>
      </c>
      <c r="N8050">
        <v>8.5716999999999997E-62</v>
      </c>
      <c r="O8050">
        <v>595</v>
      </c>
    </row>
    <row r="8051" spans="1:15" x14ac:dyDescent="0.25">
      <c r="A8051" t="s">
        <v>8064</v>
      </c>
      <c r="B8051">
        <v>767</v>
      </c>
      <c r="C8051" s="1" t="str">
        <f>HYPERLINK("http://www.rosaceae.org/gb/gbrowse/malus_x_domestica/?name=MDP0000175650","MDP0000175650")</f>
        <v>MDP0000175650</v>
      </c>
      <c r="D8051">
        <v>76.989999999999995</v>
      </c>
      <c r="E8051">
        <v>765</v>
      </c>
      <c r="F8051">
        <v>176</v>
      </c>
      <c r="G8051">
        <v>49</v>
      </c>
      <c r="H8051">
        <v>1</v>
      </c>
      <c r="I8051">
        <v>765</v>
      </c>
      <c r="J8051">
        <v>1</v>
      </c>
      <c r="K8051">
        <v>1</v>
      </c>
      <c r="L8051">
        <v>716</v>
      </c>
      <c r="M8051">
        <v>1</v>
      </c>
      <c r="N8051">
        <v>0</v>
      </c>
      <c r="O8051">
        <v>3106</v>
      </c>
    </row>
    <row r="8052" spans="1:15" x14ac:dyDescent="0.25">
      <c r="A8052" t="s">
        <v>8065</v>
      </c>
      <c r="B8052">
        <v>479</v>
      </c>
      <c r="C8052" s="1" t="str">
        <f>HYPERLINK("http://www.rosaceae.org/gb/gbrowse/malus_x_domestica/?name=MDP0000305808","MDP0000305808")</f>
        <v>MDP0000305808</v>
      </c>
      <c r="D8052">
        <v>39.020000000000003</v>
      </c>
      <c r="E8052">
        <v>82</v>
      </c>
      <c r="F8052">
        <v>50</v>
      </c>
      <c r="G8052">
        <v>1</v>
      </c>
      <c r="H8052">
        <v>31</v>
      </c>
      <c r="I8052">
        <v>112</v>
      </c>
      <c r="J8052">
        <v>1</v>
      </c>
      <c r="K8052">
        <v>358</v>
      </c>
      <c r="L8052">
        <v>438</v>
      </c>
      <c r="M8052">
        <v>1</v>
      </c>
      <c r="N8052">
        <v>5.8924399999999996E-11</v>
      </c>
      <c r="O8052">
        <v>161</v>
      </c>
    </row>
    <row r="8053" spans="1:15" x14ac:dyDescent="0.25">
      <c r="A8053" t="s">
        <v>8066</v>
      </c>
      <c r="B8053">
        <v>1638</v>
      </c>
      <c r="C8053" s="1" t="str">
        <f>HYPERLINK("http://www.rosaceae.org/gb/gbrowse/malus_x_domestica/?name=MDP0000185801","MDP0000185801")</f>
        <v>MDP0000185801</v>
      </c>
      <c r="D8053">
        <v>42.15</v>
      </c>
      <c r="E8053">
        <v>306</v>
      </c>
      <c r="F8053">
        <v>177</v>
      </c>
      <c r="G8053">
        <v>20</v>
      </c>
      <c r="H8053">
        <v>375</v>
      </c>
      <c r="I8053">
        <v>677</v>
      </c>
      <c r="J8053">
        <v>1</v>
      </c>
      <c r="K8053">
        <v>86</v>
      </c>
      <c r="L8053">
        <v>374</v>
      </c>
      <c r="M8053">
        <v>1</v>
      </c>
      <c r="N8053">
        <v>1.14326E-60</v>
      </c>
      <c r="O8053">
        <v>595</v>
      </c>
    </row>
    <row r="8054" spans="1:15" x14ac:dyDescent="0.25">
      <c r="A8054" t="s">
        <v>8067</v>
      </c>
      <c r="B8054">
        <v>608</v>
      </c>
      <c r="C8054" s="1" t="str">
        <f>HYPERLINK("http://www.rosaceae.org/gb/gbrowse/malus_x_domestica/?name=MDP0000376261","MDP0000376261")</f>
        <v>MDP0000376261</v>
      </c>
      <c r="D8054">
        <v>39.69</v>
      </c>
      <c r="E8054">
        <v>660</v>
      </c>
      <c r="F8054">
        <v>398</v>
      </c>
      <c r="G8054">
        <v>82</v>
      </c>
      <c r="H8054">
        <v>1</v>
      </c>
      <c r="I8054">
        <v>600</v>
      </c>
      <c r="J8054">
        <v>1</v>
      </c>
      <c r="K8054">
        <v>1</v>
      </c>
      <c r="L8054">
        <v>638</v>
      </c>
      <c r="M8054">
        <v>1</v>
      </c>
      <c r="N8054">
        <v>9.8048799999999999E-105</v>
      </c>
      <c r="O8054">
        <v>971</v>
      </c>
    </row>
    <row r="8055" spans="1:15" x14ac:dyDescent="0.25">
      <c r="A8055" t="s">
        <v>8068</v>
      </c>
      <c r="B8055">
        <v>1738</v>
      </c>
      <c r="C8055" s="1" t="str">
        <f>HYPERLINK("http://www.rosaceae.org/gb/gbrowse/malus_x_domestica/?name=MDP0000265855","MDP0000265855")</f>
        <v>MDP0000265855</v>
      </c>
      <c r="D8055">
        <v>38.659999999999997</v>
      </c>
      <c r="E8055">
        <v>1487</v>
      </c>
      <c r="F8055">
        <v>912</v>
      </c>
      <c r="G8055">
        <v>215</v>
      </c>
      <c r="H8055">
        <v>1</v>
      </c>
      <c r="I8055">
        <v>1340</v>
      </c>
      <c r="J8055">
        <v>1</v>
      </c>
      <c r="K8055">
        <v>3</v>
      </c>
      <c r="L8055">
        <v>1421</v>
      </c>
      <c r="M8055">
        <v>1</v>
      </c>
      <c r="N8055">
        <v>0</v>
      </c>
      <c r="O8055">
        <v>2092</v>
      </c>
    </row>
    <row r="8056" spans="1:15" x14ac:dyDescent="0.25">
      <c r="A8056" t="s">
        <v>8069</v>
      </c>
      <c r="B8056">
        <v>689</v>
      </c>
      <c r="C8056" s="1" t="str">
        <f>HYPERLINK("http://www.rosaceae.org/gb/gbrowse/malus_x_domestica/?name=MDP0000209819","MDP0000209819")</f>
        <v>MDP0000209819</v>
      </c>
      <c r="D8056">
        <v>71.349999999999994</v>
      </c>
      <c r="E8056">
        <v>597</v>
      </c>
      <c r="F8056">
        <v>171</v>
      </c>
      <c r="G8056">
        <v>14</v>
      </c>
      <c r="H8056">
        <v>1</v>
      </c>
      <c r="I8056">
        <v>585</v>
      </c>
      <c r="J8056">
        <v>1</v>
      </c>
      <c r="K8056">
        <v>543</v>
      </c>
      <c r="L8056">
        <v>1137</v>
      </c>
      <c r="M8056">
        <v>1</v>
      </c>
      <c r="N8056">
        <v>0</v>
      </c>
      <c r="O8056">
        <v>2164</v>
      </c>
    </row>
    <row r="8057" spans="1:15" x14ac:dyDescent="0.25">
      <c r="A8057" t="s">
        <v>8070</v>
      </c>
      <c r="B8057">
        <v>216</v>
      </c>
      <c r="C8057" s="1" t="str">
        <f>HYPERLINK("http://www.rosaceae.org/gb/gbrowse/malus_x_domestica/?name=MDP0000312793","MDP0000312793")</f>
        <v>MDP0000312793</v>
      </c>
      <c r="D8057">
        <v>31.2</v>
      </c>
      <c r="E8057">
        <v>141</v>
      </c>
      <c r="F8057">
        <v>97</v>
      </c>
      <c r="G8057">
        <v>5</v>
      </c>
      <c r="H8057">
        <v>34</v>
      </c>
      <c r="I8057">
        <v>174</v>
      </c>
      <c r="J8057">
        <v>1</v>
      </c>
      <c r="K8057">
        <v>318</v>
      </c>
      <c r="L8057">
        <v>453</v>
      </c>
      <c r="M8057">
        <v>1</v>
      </c>
      <c r="N8057">
        <v>9.4721400000000001E-12</v>
      </c>
      <c r="O8057">
        <v>163</v>
      </c>
    </row>
    <row r="8058" spans="1:15" x14ac:dyDescent="0.25">
      <c r="A8058" t="s">
        <v>8071</v>
      </c>
      <c r="B8058">
        <v>290</v>
      </c>
      <c r="C8058" s="1" t="str">
        <f>HYPERLINK("http://www.rosaceae.org/gb/gbrowse/malus_x_domestica/?name=MDP0000309853","MDP0000309853")</f>
        <v>MDP0000309853</v>
      </c>
      <c r="D8058">
        <v>80.89</v>
      </c>
      <c r="E8058">
        <v>178</v>
      </c>
      <c r="F8058">
        <v>34</v>
      </c>
      <c r="G8058">
        <v>10</v>
      </c>
      <c r="H8058">
        <v>113</v>
      </c>
      <c r="I8058">
        <v>290</v>
      </c>
      <c r="J8058">
        <v>1</v>
      </c>
      <c r="K8058">
        <v>477</v>
      </c>
      <c r="L8058">
        <v>644</v>
      </c>
      <c r="M8058">
        <v>1</v>
      </c>
      <c r="N8058">
        <v>2.12977E-78</v>
      </c>
      <c r="O8058">
        <v>740</v>
      </c>
    </row>
    <row r="8059" spans="1:15" x14ac:dyDescent="0.25">
      <c r="A8059" t="s">
        <v>8072</v>
      </c>
      <c r="B8059">
        <v>474</v>
      </c>
      <c r="C8059" s="1" t="str">
        <f>HYPERLINK("http://www.rosaceae.org/gb/gbrowse/malus_x_domestica/?name=MDP0000286003","MDP0000286003")</f>
        <v>MDP0000286003</v>
      </c>
      <c r="D8059">
        <v>87.23</v>
      </c>
      <c r="E8059">
        <v>470</v>
      </c>
      <c r="F8059">
        <v>60</v>
      </c>
      <c r="G8059">
        <v>1</v>
      </c>
      <c r="H8059">
        <v>4</v>
      </c>
      <c r="I8059">
        <v>473</v>
      </c>
      <c r="J8059">
        <v>1</v>
      </c>
      <c r="K8059">
        <v>92</v>
      </c>
      <c r="L8059">
        <v>560</v>
      </c>
      <c r="M8059">
        <v>1</v>
      </c>
      <c r="N8059">
        <v>0</v>
      </c>
      <c r="O8059">
        <v>2242</v>
      </c>
    </row>
    <row r="8060" spans="1:15" x14ac:dyDescent="0.25">
      <c r="A8060" t="s">
        <v>8073</v>
      </c>
      <c r="B8060">
        <v>162</v>
      </c>
      <c r="C8060" s="1" t="str">
        <f>HYPERLINK("http://www.rosaceae.org/gb/gbrowse/malus_x_domestica/?name=MDP0000618810","MDP0000618810")</f>
        <v>MDP0000618810</v>
      </c>
      <c r="D8060">
        <v>87.03</v>
      </c>
      <c r="E8060">
        <v>162</v>
      </c>
      <c r="F8060">
        <v>21</v>
      </c>
      <c r="G8060">
        <v>1</v>
      </c>
      <c r="H8060">
        <v>1</v>
      </c>
      <c r="I8060">
        <v>162</v>
      </c>
      <c r="J8060">
        <v>1</v>
      </c>
      <c r="K8060">
        <v>5</v>
      </c>
      <c r="L8060">
        <v>165</v>
      </c>
      <c r="M8060">
        <v>1</v>
      </c>
      <c r="N8060">
        <v>1.2751800000000001E-77</v>
      </c>
      <c r="O8060">
        <v>729</v>
      </c>
    </row>
    <row r="8061" spans="1:15" x14ac:dyDescent="0.25">
      <c r="A8061" t="s">
        <v>8074</v>
      </c>
      <c r="B8061">
        <v>434</v>
      </c>
      <c r="C8061" s="1" t="str">
        <f>HYPERLINK("http://www.rosaceae.org/gb/gbrowse/malus_x_domestica/?name=MDP0000299324","MDP0000299324")</f>
        <v>MDP0000299324</v>
      </c>
      <c r="D8061">
        <v>51.68</v>
      </c>
      <c r="E8061">
        <v>505</v>
      </c>
      <c r="F8061">
        <v>244</v>
      </c>
      <c r="G8061">
        <v>124</v>
      </c>
      <c r="H8061">
        <v>34</v>
      </c>
      <c r="I8061">
        <v>434</v>
      </c>
      <c r="J8061">
        <v>1</v>
      </c>
      <c r="K8061">
        <v>9</v>
      </c>
      <c r="L8061">
        <v>493</v>
      </c>
      <c r="M8061">
        <v>1</v>
      </c>
      <c r="N8061">
        <v>2.96225E-120</v>
      </c>
      <c r="O8061">
        <v>1103</v>
      </c>
    </row>
    <row r="8062" spans="1:15" x14ac:dyDescent="0.25">
      <c r="A8062" t="s">
        <v>8075</v>
      </c>
      <c r="B8062">
        <v>167</v>
      </c>
      <c r="C8062" s="1" t="str">
        <f>HYPERLINK("http://www.rosaceae.org/gb/gbrowse/malus_x_domestica/?name=MDP0000210519","MDP0000210519")</f>
        <v>MDP0000210519</v>
      </c>
      <c r="D8062">
        <v>47.36</v>
      </c>
      <c r="E8062">
        <v>171</v>
      </c>
      <c r="F8062">
        <v>90</v>
      </c>
      <c r="G8062">
        <v>15</v>
      </c>
      <c r="H8062">
        <v>1</v>
      </c>
      <c r="I8062">
        <v>160</v>
      </c>
      <c r="J8062">
        <v>1</v>
      </c>
      <c r="K8062">
        <v>1</v>
      </c>
      <c r="L8062">
        <v>167</v>
      </c>
      <c r="M8062">
        <v>1</v>
      </c>
      <c r="N8062">
        <v>4.9333799999999997E-30</v>
      </c>
      <c r="O8062">
        <v>319</v>
      </c>
    </row>
    <row r="8063" spans="1:15" x14ac:dyDescent="0.25">
      <c r="A8063" t="s">
        <v>8076</v>
      </c>
      <c r="B8063">
        <v>809</v>
      </c>
      <c r="C8063" s="1" t="str">
        <f>HYPERLINK("http://www.rosaceae.org/gb/gbrowse/malus_x_domestica/?name=MDP0000635687","MDP0000635687")</f>
        <v>MDP0000635687</v>
      </c>
      <c r="D8063">
        <v>65.45</v>
      </c>
      <c r="E8063">
        <v>822</v>
      </c>
      <c r="F8063">
        <v>284</v>
      </c>
      <c r="G8063">
        <v>39</v>
      </c>
      <c r="H8063">
        <v>1</v>
      </c>
      <c r="I8063">
        <v>809</v>
      </c>
      <c r="J8063">
        <v>1</v>
      </c>
      <c r="K8063">
        <v>1</v>
      </c>
      <c r="L8063">
        <v>796</v>
      </c>
      <c r="M8063">
        <v>1</v>
      </c>
      <c r="N8063">
        <v>0</v>
      </c>
      <c r="O8063">
        <v>2723</v>
      </c>
    </row>
    <row r="8064" spans="1:15" x14ac:dyDescent="0.25">
      <c r="A8064" t="s">
        <v>8077</v>
      </c>
      <c r="B8064">
        <v>366</v>
      </c>
      <c r="C8064" s="1" t="str">
        <f>HYPERLINK("http://www.rosaceae.org/gb/gbrowse/malus_x_domestica/?name=MDP0000237360","MDP0000237360")</f>
        <v>MDP0000237360</v>
      </c>
      <c r="D8064">
        <v>38.67</v>
      </c>
      <c r="E8064">
        <v>287</v>
      </c>
      <c r="F8064">
        <v>176</v>
      </c>
      <c r="G8064">
        <v>24</v>
      </c>
      <c r="H8064">
        <v>59</v>
      </c>
      <c r="I8064">
        <v>323</v>
      </c>
      <c r="J8064">
        <v>1</v>
      </c>
      <c r="K8064">
        <v>14</v>
      </c>
      <c r="L8064">
        <v>298</v>
      </c>
      <c r="M8064">
        <v>1</v>
      </c>
      <c r="N8064">
        <v>2.3780000000000001E-45</v>
      </c>
      <c r="O8064">
        <v>456</v>
      </c>
    </row>
    <row r="8065" spans="1:15" x14ac:dyDescent="0.25">
      <c r="A8065" t="s">
        <v>8078</v>
      </c>
      <c r="B8065">
        <v>512</v>
      </c>
      <c r="C8065" s="1" t="str">
        <f>HYPERLINK("http://www.rosaceae.org/gb/gbrowse/malus_x_domestica/?name=MDP0000132296","MDP0000132296")</f>
        <v>MDP0000132296</v>
      </c>
      <c r="D8065">
        <v>28.73</v>
      </c>
      <c r="E8065">
        <v>623</v>
      </c>
      <c r="F8065">
        <v>444</v>
      </c>
      <c r="G8065">
        <v>187</v>
      </c>
      <c r="H8065">
        <v>1</v>
      </c>
      <c r="I8065">
        <v>453</v>
      </c>
      <c r="J8065">
        <v>1</v>
      </c>
      <c r="K8065">
        <v>1</v>
      </c>
      <c r="L8065">
        <v>606</v>
      </c>
      <c r="M8065">
        <v>1</v>
      </c>
      <c r="N8065">
        <v>1.39423E-45</v>
      </c>
      <c r="O8065">
        <v>460</v>
      </c>
    </row>
    <row r="8066" spans="1:15" x14ac:dyDescent="0.25">
      <c r="A8066" t="s">
        <v>8079</v>
      </c>
      <c r="B8066">
        <v>1114</v>
      </c>
      <c r="C8066" s="1" t="str">
        <f>HYPERLINK("http://www.rosaceae.org/gb/gbrowse/malus_x_domestica/?name=MDP0000268526","MDP0000268526")</f>
        <v>MDP0000268526</v>
      </c>
      <c r="D8066">
        <v>65.23</v>
      </c>
      <c r="E8066">
        <v>722</v>
      </c>
      <c r="F8066">
        <v>251</v>
      </c>
      <c r="G8066">
        <v>31</v>
      </c>
      <c r="H8066">
        <v>1</v>
      </c>
      <c r="I8066">
        <v>692</v>
      </c>
      <c r="J8066">
        <v>1</v>
      </c>
      <c r="K8066">
        <v>1</v>
      </c>
      <c r="L8066">
        <v>721</v>
      </c>
      <c r="M8066">
        <v>1</v>
      </c>
      <c r="N8066">
        <v>0</v>
      </c>
      <c r="O8066">
        <v>2468</v>
      </c>
    </row>
    <row r="8067" spans="1:15" x14ac:dyDescent="0.25">
      <c r="A8067" t="s">
        <v>8080</v>
      </c>
      <c r="B8067">
        <v>320</v>
      </c>
      <c r="C8067" s="1" t="str">
        <f>HYPERLINK("http://www.rosaceae.org/gb/gbrowse/malus_x_domestica/?name=MDP0000820525","MDP0000820525")</f>
        <v>MDP0000820525</v>
      </c>
      <c r="D8067">
        <v>56.72</v>
      </c>
      <c r="E8067">
        <v>305</v>
      </c>
      <c r="F8067">
        <v>132</v>
      </c>
      <c r="G8067">
        <v>34</v>
      </c>
      <c r="H8067">
        <v>28</v>
      </c>
      <c r="I8067">
        <v>308</v>
      </c>
      <c r="J8067">
        <v>1</v>
      </c>
      <c r="K8067">
        <v>42</v>
      </c>
      <c r="L8067">
        <v>336</v>
      </c>
      <c r="M8067">
        <v>1</v>
      </c>
      <c r="N8067">
        <v>2.8809499999999998E-96</v>
      </c>
      <c r="O8067">
        <v>894</v>
      </c>
    </row>
    <row r="8068" spans="1:15" x14ac:dyDescent="0.25">
      <c r="A8068" t="s">
        <v>8081</v>
      </c>
      <c r="B8068">
        <v>165</v>
      </c>
      <c r="C8068" s="1" t="str">
        <f>HYPERLINK("http://www.rosaceae.org/gb/gbrowse/malus_x_domestica/?name=MDP0000288520","MDP0000288520")</f>
        <v>MDP0000288520</v>
      </c>
      <c r="D8068">
        <v>96.29</v>
      </c>
      <c r="E8068">
        <v>108</v>
      </c>
      <c r="F8068">
        <v>4</v>
      </c>
      <c r="G8068">
        <v>0</v>
      </c>
      <c r="H8068">
        <v>47</v>
      </c>
      <c r="I8068">
        <v>154</v>
      </c>
      <c r="J8068">
        <v>1</v>
      </c>
      <c r="K8068">
        <v>347</v>
      </c>
      <c r="L8068">
        <v>454</v>
      </c>
      <c r="M8068">
        <v>1</v>
      </c>
      <c r="N8068">
        <v>6.4200000000000004E-59</v>
      </c>
      <c r="O8068">
        <v>568</v>
      </c>
    </row>
    <row r="8069" spans="1:15" x14ac:dyDescent="0.25">
      <c r="A8069" t="s">
        <v>8082</v>
      </c>
      <c r="B8069">
        <v>630</v>
      </c>
      <c r="C8069" s="1" t="str">
        <f>HYPERLINK("http://www.rosaceae.org/gb/gbrowse/malus_x_domestica/?name=MDP0000549807","MDP0000549807")</f>
        <v>MDP0000549807</v>
      </c>
      <c r="D8069">
        <v>68</v>
      </c>
      <c r="E8069">
        <v>625</v>
      </c>
      <c r="F8069">
        <v>200</v>
      </c>
      <c r="G8069">
        <v>32</v>
      </c>
      <c r="H8069">
        <v>23</v>
      </c>
      <c r="I8069">
        <v>630</v>
      </c>
      <c r="J8069">
        <v>1</v>
      </c>
      <c r="K8069">
        <v>25</v>
      </c>
      <c r="L8069">
        <v>634</v>
      </c>
      <c r="M8069">
        <v>1</v>
      </c>
      <c r="N8069">
        <v>0</v>
      </c>
      <c r="O8069">
        <v>2077</v>
      </c>
    </row>
    <row r="8070" spans="1:15" x14ac:dyDescent="0.25">
      <c r="A8070" t="s">
        <v>8083</v>
      </c>
      <c r="B8070">
        <v>863</v>
      </c>
      <c r="C8070" s="1" t="str">
        <f>HYPERLINK("http://www.rosaceae.org/gb/gbrowse/malus_x_domestica/?name=MDP0000237964","MDP0000237964")</f>
        <v>MDP0000237964</v>
      </c>
      <c r="D8070">
        <v>81.2</v>
      </c>
      <c r="E8070">
        <v>516</v>
      </c>
      <c r="F8070">
        <v>97</v>
      </c>
      <c r="G8070">
        <v>5</v>
      </c>
      <c r="H8070">
        <v>29</v>
      </c>
      <c r="I8070">
        <v>542</v>
      </c>
      <c r="J8070">
        <v>1</v>
      </c>
      <c r="K8070">
        <v>29</v>
      </c>
      <c r="L8070">
        <v>541</v>
      </c>
      <c r="M8070">
        <v>1</v>
      </c>
      <c r="N8070">
        <v>0</v>
      </c>
      <c r="O8070">
        <v>2181</v>
      </c>
    </row>
    <row r="8071" spans="1:15" x14ac:dyDescent="0.25">
      <c r="A8071" t="s">
        <v>8084</v>
      </c>
      <c r="B8071">
        <v>366</v>
      </c>
      <c r="C8071" s="1" t="str">
        <f>HYPERLINK("http://www.rosaceae.org/gb/gbrowse/malus_x_domestica/?name=MDP0000328000","MDP0000328000")</f>
        <v>MDP0000328000</v>
      </c>
      <c r="D8071">
        <v>69.48</v>
      </c>
      <c r="E8071">
        <v>331</v>
      </c>
      <c r="F8071">
        <v>101</v>
      </c>
      <c r="G8071">
        <v>9</v>
      </c>
      <c r="H8071">
        <v>1</v>
      </c>
      <c r="I8071">
        <v>330</v>
      </c>
      <c r="J8071">
        <v>1</v>
      </c>
      <c r="K8071">
        <v>1</v>
      </c>
      <c r="L8071">
        <v>323</v>
      </c>
      <c r="M8071">
        <v>1</v>
      </c>
      <c r="N8071">
        <v>6.3146199999999997E-130</v>
      </c>
      <c r="O8071">
        <v>1185</v>
      </c>
    </row>
    <row r="8072" spans="1:15" x14ac:dyDescent="0.25">
      <c r="A8072" t="s">
        <v>8085</v>
      </c>
      <c r="B8072">
        <v>275</v>
      </c>
      <c r="C8072" s="1" t="str">
        <f>HYPERLINK("http://www.rosaceae.org/gb/gbrowse/malus_x_domestica/?name=MDP0000283542","MDP0000283542")</f>
        <v>MDP0000283542</v>
      </c>
      <c r="D8072">
        <v>63.05</v>
      </c>
      <c r="E8072">
        <v>268</v>
      </c>
      <c r="F8072">
        <v>99</v>
      </c>
      <c r="G8072">
        <v>42</v>
      </c>
      <c r="H8072">
        <v>1</v>
      </c>
      <c r="I8072">
        <v>253</v>
      </c>
      <c r="J8072">
        <v>1</v>
      </c>
      <c r="K8072">
        <v>1</v>
      </c>
      <c r="L8072">
        <v>241</v>
      </c>
      <c r="M8072">
        <v>1</v>
      </c>
      <c r="N8072">
        <v>1.24764E-84</v>
      </c>
      <c r="O8072">
        <v>793</v>
      </c>
    </row>
    <row r="8073" spans="1:15" x14ac:dyDescent="0.25">
      <c r="A8073" t="s">
        <v>8086</v>
      </c>
      <c r="B8073">
        <v>334</v>
      </c>
      <c r="C8073" s="1" t="str">
        <f>HYPERLINK("http://www.rosaceae.org/gb/gbrowse/malus_x_domestica/?name=MDP0000254162","MDP0000254162")</f>
        <v>MDP0000254162</v>
      </c>
      <c r="D8073">
        <v>89.41</v>
      </c>
      <c r="E8073">
        <v>340</v>
      </c>
      <c r="F8073">
        <v>36</v>
      </c>
      <c r="G8073">
        <v>15</v>
      </c>
      <c r="H8073">
        <v>4</v>
      </c>
      <c r="I8073">
        <v>334</v>
      </c>
      <c r="J8073">
        <v>1</v>
      </c>
      <c r="K8073">
        <v>1</v>
      </c>
      <c r="L8073">
        <v>334</v>
      </c>
      <c r="M8073">
        <v>1</v>
      </c>
      <c r="N8073">
        <v>3.0286000000000002E-169</v>
      </c>
      <c r="O8073">
        <v>1524</v>
      </c>
    </row>
    <row r="8074" spans="1:15" x14ac:dyDescent="0.25">
      <c r="A8074" t="s">
        <v>8087</v>
      </c>
      <c r="B8074">
        <v>131</v>
      </c>
      <c r="C8074" s="1" t="str">
        <f>HYPERLINK("http://www.rosaceae.org/gb/gbrowse/malus_x_domestica/?name=MDP0000215060","MDP0000215060")</f>
        <v>MDP0000215060</v>
      </c>
      <c r="D8074">
        <v>37.090000000000003</v>
      </c>
      <c r="E8074">
        <v>124</v>
      </c>
      <c r="F8074">
        <v>78</v>
      </c>
      <c r="G8074">
        <v>21</v>
      </c>
      <c r="H8074">
        <v>12</v>
      </c>
      <c r="I8074">
        <v>131</v>
      </c>
      <c r="J8074">
        <v>1</v>
      </c>
      <c r="K8074">
        <v>1006</v>
      </c>
      <c r="L8074">
        <v>1112</v>
      </c>
      <c r="M8074">
        <v>1</v>
      </c>
      <c r="N8074">
        <v>4.6746199999999997E-12</v>
      </c>
      <c r="O8074">
        <v>162</v>
      </c>
    </row>
    <row r="8075" spans="1:15" x14ac:dyDescent="0.25">
      <c r="A8075" t="s">
        <v>8088</v>
      </c>
      <c r="B8075">
        <v>818</v>
      </c>
      <c r="C8075" s="1" t="str">
        <f>HYPERLINK("http://www.rosaceae.org/gb/gbrowse/malus_x_domestica/?name=MDP0000302066","MDP0000302066")</f>
        <v>MDP0000302066</v>
      </c>
      <c r="D8075">
        <v>70.040000000000006</v>
      </c>
      <c r="E8075">
        <v>661</v>
      </c>
      <c r="F8075">
        <v>198</v>
      </c>
      <c r="G8075">
        <v>35</v>
      </c>
      <c r="H8075">
        <v>76</v>
      </c>
      <c r="I8075">
        <v>716</v>
      </c>
      <c r="J8075">
        <v>1</v>
      </c>
      <c r="K8075">
        <v>1</v>
      </c>
      <c r="L8075">
        <v>646</v>
      </c>
      <c r="M8075">
        <v>1</v>
      </c>
      <c r="N8075">
        <v>0</v>
      </c>
      <c r="O8075">
        <v>2303</v>
      </c>
    </row>
    <row r="8076" spans="1:15" x14ac:dyDescent="0.25">
      <c r="A8076" t="s">
        <v>8089</v>
      </c>
      <c r="B8076">
        <v>114</v>
      </c>
      <c r="C8076" s="1" t="str">
        <f>HYPERLINK("http://www.rosaceae.org/gb/gbrowse/malus_x_domestica/?name=MDP0000156222","MDP0000156222")</f>
        <v>MDP0000156222</v>
      </c>
      <c r="D8076">
        <v>69.72</v>
      </c>
      <c r="E8076">
        <v>109</v>
      </c>
      <c r="F8076">
        <v>33</v>
      </c>
      <c r="G8076">
        <v>4</v>
      </c>
      <c r="H8076">
        <v>1</v>
      </c>
      <c r="I8076">
        <v>105</v>
      </c>
      <c r="J8076">
        <v>1</v>
      </c>
      <c r="K8076">
        <v>50</v>
      </c>
      <c r="L8076">
        <v>158</v>
      </c>
      <c r="M8076">
        <v>1</v>
      </c>
      <c r="N8076">
        <v>1.9231600000000001E-39</v>
      </c>
      <c r="O8076">
        <v>398</v>
      </c>
    </row>
    <row r="8077" spans="1:15" x14ac:dyDescent="0.25">
      <c r="A8077" t="s">
        <v>8090</v>
      </c>
      <c r="B8077">
        <v>568</v>
      </c>
      <c r="C8077" s="1" t="str">
        <f>HYPERLINK("http://www.rosaceae.org/gb/gbrowse/malus_x_domestica/?name=MDP0000297184","MDP0000297184")</f>
        <v>MDP0000297184</v>
      </c>
      <c r="D8077">
        <v>85.91</v>
      </c>
      <c r="E8077">
        <v>575</v>
      </c>
      <c r="F8077">
        <v>81</v>
      </c>
      <c r="G8077">
        <v>13</v>
      </c>
      <c r="H8077">
        <v>1</v>
      </c>
      <c r="I8077">
        <v>567</v>
      </c>
      <c r="J8077">
        <v>1</v>
      </c>
      <c r="K8077">
        <v>1</v>
      </c>
      <c r="L8077">
        <v>570</v>
      </c>
      <c r="M8077">
        <v>1</v>
      </c>
      <c r="N8077">
        <v>0</v>
      </c>
      <c r="O8077">
        <v>2619</v>
      </c>
    </row>
    <row r="8078" spans="1:15" x14ac:dyDescent="0.25">
      <c r="A8078" t="s">
        <v>8091</v>
      </c>
      <c r="B8078">
        <v>204</v>
      </c>
      <c r="C8078" s="1" t="str">
        <f>HYPERLINK("http://www.rosaceae.org/gb/gbrowse/malus_x_domestica/?name=MDP0000167808","MDP0000167808")</f>
        <v>MDP0000167808</v>
      </c>
      <c r="D8078">
        <v>43.6</v>
      </c>
      <c r="E8078">
        <v>133</v>
      </c>
      <c r="F8078">
        <v>75</v>
      </c>
      <c r="G8078">
        <v>3</v>
      </c>
      <c r="H8078">
        <v>71</v>
      </c>
      <c r="I8078">
        <v>203</v>
      </c>
      <c r="J8078">
        <v>1</v>
      </c>
      <c r="K8078">
        <v>128</v>
      </c>
      <c r="L8078">
        <v>257</v>
      </c>
      <c r="M8078">
        <v>1</v>
      </c>
      <c r="N8078">
        <v>6.1604600000000006E-29</v>
      </c>
      <c r="O8078">
        <v>311</v>
      </c>
    </row>
    <row r="8079" spans="1:15" x14ac:dyDescent="0.25">
      <c r="A8079" t="s">
        <v>8092</v>
      </c>
      <c r="B8079">
        <v>268</v>
      </c>
      <c r="C8079" s="1" t="str">
        <f>HYPERLINK("http://www.rosaceae.org/gb/gbrowse/malus_x_domestica/?name=MDP0000186626","MDP0000186626")</f>
        <v>MDP0000186626</v>
      </c>
      <c r="D8079">
        <v>73.48</v>
      </c>
      <c r="E8079">
        <v>298</v>
      </c>
      <c r="F8079">
        <v>79</v>
      </c>
      <c r="G8079">
        <v>34</v>
      </c>
      <c r="H8079">
        <v>1</v>
      </c>
      <c r="I8079">
        <v>268</v>
      </c>
      <c r="J8079">
        <v>1</v>
      </c>
      <c r="K8079">
        <v>129</v>
      </c>
      <c r="L8079">
        <v>422</v>
      </c>
      <c r="M8079">
        <v>1</v>
      </c>
      <c r="N8079">
        <v>2.3483199999999999E-120</v>
      </c>
      <c r="O8079">
        <v>1101</v>
      </c>
    </row>
    <row r="8080" spans="1:15" x14ac:dyDescent="0.25">
      <c r="A8080" t="s">
        <v>8093</v>
      </c>
      <c r="B8080">
        <v>995</v>
      </c>
      <c r="C8080" s="1" t="str">
        <f>HYPERLINK("http://www.rosaceae.org/gb/gbrowse/malus_x_domestica/?name=MDP0000594281","MDP0000594281")</f>
        <v>MDP0000594281</v>
      </c>
      <c r="D8080">
        <v>66.28</v>
      </c>
      <c r="E8080">
        <v>350</v>
      </c>
      <c r="F8080">
        <v>118</v>
      </c>
      <c r="G8080">
        <v>2</v>
      </c>
      <c r="H8080">
        <v>646</v>
      </c>
      <c r="I8080">
        <v>993</v>
      </c>
      <c r="J8080">
        <v>1</v>
      </c>
      <c r="K8080">
        <v>377</v>
      </c>
      <c r="L8080">
        <v>726</v>
      </c>
      <c r="M8080">
        <v>1</v>
      </c>
      <c r="N8080">
        <v>4.6634800000000002E-148</v>
      </c>
      <c r="O8080">
        <v>1346</v>
      </c>
    </row>
    <row r="8081" spans="1:15" x14ac:dyDescent="0.25">
      <c r="A8081" t="s">
        <v>8094</v>
      </c>
      <c r="B8081">
        <v>117</v>
      </c>
      <c r="C8081" s="1" t="str">
        <f>HYPERLINK("http://www.rosaceae.org/gb/gbrowse/malus_x_domestica/?name=MDP0000796276","MDP0000796276")</f>
        <v>MDP0000796276</v>
      </c>
      <c r="D8081">
        <v>76.06</v>
      </c>
      <c r="E8081">
        <v>117</v>
      </c>
      <c r="F8081">
        <v>28</v>
      </c>
      <c r="G8081">
        <v>0</v>
      </c>
      <c r="H8081">
        <v>1</v>
      </c>
      <c r="I8081">
        <v>117</v>
      </c>
      <c r="J8081">
        <v>1</v>
      </c>
      <c r="K8081">
        <v>1</v>
      </c>
      <c r="L8081">
        <v>117</v>
      </c>
      <c r="M8081">
        <v>1</v>
      </c>
      <c r="N8081">
        <v>2.4658399999999999E-38</v>
      </c>
      <c r="O8081">
        <v>388</v>
      </c>
    </row>
    <row r="8082" spans="1:15" x14ac:dyDescent="0.25">
      <c r="A8082" t="s">
        <v>8095</v>
      </c>
      <c r="B8082">
        <v>196</v>
      </c>
      <c r="C8082" s="1" t="str">
        <f>HYPERLINK("http://www.rosaceae.org/gb/gbrowse/malus_x_domestica/?name=MDP0000790788","MDP0000790788")</f>
        <v>MDP0000790788</v>
      </c>
      <c r="D8082">
        <v>64.36</v>
      </c>
      <c r="E8082">
        <v>87</v>
      </c>
      <c r="F8082">
        <v>31</v>
      </c>
      <c r="G8082">
        <v>0</v>
      </c>
      <c r="H8082">
        <v>30</v>
      </c>
      <c r="I8082">
        <v>116</v>
      </c>
      <c r="J8082">
        <v>1</v>
      </c>
      <c r="K8082">
        <v>56</v>
      </c>
      <c r="L8082">
        <v>142</v>
      </c>
      <c r="M8082">
        <v>1</v>
      </c>
      <c r="N8082">
        <v>6.5382899999999997E-30</v>
      </c>
      <c r="O8082">
        <v>319</v>
      </c>
    </row>
    <row r="8083" spans="1:15" x14ac:dyDescent="0.25">
      <c r="A8083" t="s">
        <v>8096</v>
      </c>
      <c r="B8083">
        <v>691</v>
      </c>
      <c r="C8083" s="1" t="str">
        <f>HYPERLINK("http://www.rosaceae.org/gb/gbrowse/malus_x_domestica/?name=MDP0000142235","MDP0000142235")</f>
        <v>MDP0000142235</v>
      </c>
      <c r="D8083">
        <v>65.42</v>
      </c>
      <c r="E8083">
        <v>321</v>
      </c>
      <c r="F8083">
        <v>111</v>
      </c>
      <c r="G8083">
        <v>0</v>
      </c>
      <c r="H8083">
        <v>1</v>
      </c>
      <c r="I8083">
        <v>321</v>
      </c>
      <c r="J8083">
        <v>1</v>
      </c>
      <c r="K8083">
        <v>1</v>
      </c>
      <c r="L8083">
        <v>321</v>
      </c>
      <c r="M8083">
        <v>1</v>
      </c>
      <c r="N8083">
        <v>7.1664899999999996E-115</v>
      </c>
      <c r="O8083">
        <v>1059</v>
      </c>
    </row>
    <row r="8084" spans="1:15" x14ac:dyDescent="0.25">
      <c r="A8084" t="s">
        <v>8097</v>
      </c>
      <c r="B8084">
        <v>116</v>
      </c>
      <c r="C8084" s="1" t="str">
        <f>HYPERLINK("http://www.rosaceae.org/gb/gbrowse/malus_x_domestica/?name=MDP0000258744","MDP0000258744")</f>
        <v>MDP0000258744</v>
      </c>
      <c r="D8084">
        <v>38.979999999999997</v>
      </c>
      <c r="E8084">
        <v>118</v>
      </c>
      <c r="F8084">
        <v>72</v>
      </c>
      <c r="G8084">
        <v>5</v>
      </c>
      <c r="H8084">
        <v>1</v>
      </c>
      <c r="I8084">
        <v>116</v>
      </c>
      <c r="J8084">
        <v>1</v>
      </c>
      <c r="K8084">
        <v>1</v>
      </c>
      <c r="L8084">
        <v>115</v>
      </c>
      <c r="M8084">
        <v>1</v>
      </c>
      <c r="N8084">
        <v>9.2955599999999996E-20</v>
      </c>
      <c r="O8084">
        <v>228</v>
      </c>
    </row>
    <row r="8085" spans="1:15" x14ac:dyDescent="0.25">
      <c r="A8085" t="s">
        <v>8098</v>
      </c>
      <c r="B8085">
        <v>619</v>
      </c>
      <c r="C8085" s="1" t="str">
        <f>HYPERLINK("http://www.rosaceae.org/gb/gbrowse/malus_x_domestica/?name=MDP0000136302","MDP0000136302")</f>
        <v>MDP0000136302</v>
      </c>
      <c r="D8085">
        <v>42.48</v>
      </c>
      <c r="E8085">
        <v>579</v>
      </c>
      <c r="F8085">
        <v>333</v>
      </c>
      <c r="G8085">
        <v>89</v>
      </c>
      <c r="H8085">
        <v>19</v>
      </c>
      <c r="I8085">
        <v>578</v>
      </c>
      <c r="J8085">
        <v>1</v>
      </c>
      <c r="K8085">
        <v>3</v>
      </c>
      <c r="L8085">
        <v>511</v>
      </c>
      <c r="M8085">
        <v>1</v>
      </c>
      <c r="N8085">
        <v>1.3715900000000001E-115</v>
      </c>
      <c r="O8085">
        <v>1064</v>
      </c>
    </row>
    <row r="8086" spans="1:15" x14ac:dyDescent="0.25">
      <c r="A8086" t="s">
        <v>8099</v>
      </c>
      <c r="B8086">
        <v>997</v>
      </c>
      <c r="C8086" s="1" t="str">
        <f>HYPERLINK("http://www.rosaceae.org/gb/gbrowse/malus_x_domestica/?name=MDP0000177079","MDP0000177079")</f>
        <v>MDP0000177079</v>
      </c>
      <c r="D8086">
        <v>68.41</v>
      </c>
      <c r="E8086">
        <v>478</v>
      </c>
      <c r="F8086">
        <v>151</v>
      </c>
      <c r="G8086">
        <v>7</v>
      </c>
      <c r="H8086">
        <v>504</v>
      </c>
      <c r="I8086">
        <v>980</v>
      </c>
      <c r="J8086">
        <v>1</v>
      </c>
      <c r="K8086">
        <v>42</v>
      </c>
      <c r="L8086">
        <v>513</v>
      </c>
      <c r="M8086">
        <v>1</v>
      </c>
      <c r="N8086">
        <v>0</v>
      </c>
      <c r="O8086">
        <v>1777</v>
      </c>
    </row>
    <row r="8087" spans="1:15" x14ac:dyDescent="0.25">
      <c r="A8087" t="s">
        <v>8100</v>
      </c>
      <c r="B8087">
        <v>202</v>
      </c>
      <c r="C8087" s="1" t="str">
        <f>HYPERLINK("http://www.rosaceae.org/gb/gbrowse/malus_x_domestica/?name=MDP0000729401","MDP0000729401")</f>
        <v>MDP0000729401</v>
      </c>
      <c r="D8087">
        <v>87.91</v>
      </c>
      <c r="E8087">
        <v>91</v>
      </c>
      <c r="F8087">
        <v>11</v>
      </c>
      <c r="G8087">
        <v>0</v>
      </c>
      <c r="H8087">
        <v>112</v>
      </c>
      <c r="I8087">
        <v>202</v>
      </c>
      <c r="J8087">
        <v>1</v>
      </c>
      <c r="K8087">
        <v>23</v>
      </c>
      <c r="L8087">
        <v>113</v>
      </c>
      <c r="M8087">
        <v>1</v>
      </c>
      <c r="N8087">
        <v>3.9205999999999999E-42</v>
      </c>
      <c r="O8087">
        <v>425</v>
      </c>
    </row>
    <row r="8088" spans="1:15" x14ac:dyDescent="0.25">
      <c r="A8088" t="s">
        <v>8101</v>
      </c>
      <c r="B8088">
        <v>221</v>
      </c>
      <c r="C8088" s="1" t="str">
        <f>HYPERLINK("http://www.rosaceae.org/gb/gbrowse/malus_x_domestica/?name=MDP0000303417","MDP0000303417")</f>
        <v>MDP0000303417</v>
      </c>
      <c r="D8088">
        <v>31.79</v>
      </c>
      <c r="E8088">
        <v>173</v>
      </c>
      <c r="F8088">
        <v>118</v>
      </c>
      <c r="G8088">
        <v>24</v>
      </c>
      <c r="H8088">
        <v>3</v>
      </c>
      <c r="I8088">
        <v>160</v>
      </c>
      <c r="J8088">
        <v>1</v>
      </c>
      <c r="K8088">
        <v>13</v>
      </c>
      <c r="L8088">
        <v>176</v>
      </c>
      <c r="M8088">
        <v>1</v>
      </c>
      <c r="N8088">
        <v>3.8483700000000003E-11</v>
      </c>
      <c r="O8088">
        <v>158</v>
      </c>
    </row>
    <row r="8089" spans="1:15" x14ac:dyDescent="0.25">
      <c r="A8089" t="s">
        <v>8102</v>
      </c>
      <c r="B8089">
        <v>307</v>
      </c>
      <c r="C8089" s="1" t="str">
        <f>HYPERLINK("http://www.rosaceae.org/gb/gbrowse/malus_x_domestica/?name=MDP0000331309","MDP0000331309")</f>
        <v>MDP0000331309</v>
      </c>
      <c r="D8089">
        <v>86.79</v>
      </c>
      <c r="E8089">
        <v>53</v>
      </c>
      <c r="F8089">
        <v>7</v>
      </c>
      <c r="G8089">
        <v>0</v>
      </c>
      <c r="H8089">
        <v>202</v>
      </c>
      <c r="I8089">
        <v>254</v>
      </c>
      <c r="J8089">
        <v>1</v>
      </c>
      <c r="K8089">
        <v>49</v>
      </c>
      <c r="L8089">
        <v>101</v>
      </c>
      <c r="M8089">
        <v>1</v>
      </c>
      <c r="N8089">
        <v>8.0532800000000005E-21</v>
      </c>
      <c r="O8089">
        <v>244</v>
      </c>
    </row>
    <row r="8090" spans="1:15" x14ac:dyDescent="0.25">
      <c r="A8090" t="s">
        <v>8103</v>
      </c>
      <c r="B8090">
        <v>182</v>
      </c>
      <c r="C8090" s="1" t="str">
        <f>HYPERLINK("http://www.rosaceae.org/gb/gbrowse/malus_x_domestica/?name=MDP0000120329","MDP0000120329")</f>
        <v>MDP0000120329</v>
      </c>
      <c r="D8090">
        <v>63.82</v>
      </c>
      <c r="E8090">
        <v>188</v>
      </c>
      <c r="F8090">
        <v>68</v>
      </c>
      <c r="G8090">
        <v>11</v>
      </c>
      <c r="H8090">
        <v>1</v>
      </c>
      <c r="I8090">
        <v>178</v>
      </c>
      <c r="J8090">
        <v>1</v>
      </c>
      <c r="K8090">
        <v>537</v>
      </c>
      <c r="L8090">
        <v>723</v>
      </c>
      <c r="M8090">
        <v>1</v>
      </c>
      <c r="N8090">
        <v>1.6145E-59</v>
      </c>
      <c r="O8090">
        <v>574</v>
      </c>
    </row>
    <row r="8091" spans="1:15" x14ac:dyDescent="0.25">
      <c r="A8091" t="s">
        <v>8104</v>
      </c>
      <c r="B8091">
        <v>729</v>
      </c>
      <c r="C8091" s="1" t="str">
        <f>HYPERLINK("http://www.rosaceae.org/gb/gbrowse/malus_x_domestica/?name=MDP0000317288","MDP0000317288")</f>
        <v>MDP0000317288</v>
      </c>
      <c r="D8091">
        <v>74.2</v>
      </c>
      <c r="E8091">
        <v>473</v>
      </c>
      <c r="F8091">
        <v>122</v>
      </c>
      <c r="G8091">
        <v>27</v>
      </c>
      <c r="H8091">
        <v>22</v>
      </c>
      <c r="I8091">
        <v>486</v>
      </c>
      <c r="J8091">
        <v>1</v>
      </c>
      <c r="K8091">
        <v>74</v>
      </c>
      <c r="L8091">
        <v>527</v>
      </c>
      <c r="M8091">
        <v>1</v>
      </c>
      <c r="N8091">
        <v>0</v>
      </c>
      <c r="O8091">
        <v>1836</v>
      </c>
    </row>
    <row r="8092" spans="1:15" x14ac:dyDescent="0.25">
      <c r="A8092" t="s">
        <v>8105</v>
      </c>
      <c r="B8092">
        <v>222</v>
      </c>
      <c r="C8092" s="1" t="str">
        <f>HYPERLINK("http://www.rosaceae.org/gb/gbrowse/malus_x_domestica/?name=MDP0000172467","MDP0000172467")</f>
        <v>MDP0000172467</v>
      </c>
      <c r="D8092">
        <v>82.2</v>
      </c>
      <c r="E8092">
        <v>118</v>
      </c>
      <c r="F8092">
        <v>21</v>
      </c>
      <c r="G8092">
        <v>0</v>
      </c>
      <c r="H8092">
        <v>2</v>
      </c>
      <c r="I8092">
        <v>119</v>
      </c>
      <c r="J8092">
        <v>1</v>
      </c>
      <c r="K8092">
        <v>3</v>
      </c>
      <c r="L8092">
        <v>120</v>
      </c>
      <c r="M8092">
        <v>1</v>
      </c>
      <c r="N8092">
        <v>5.6034600000000004E-55</v>
      </c>
      <c r="O8092">
        <v>536</v>
      </c>
    </row>
    <row r="8093" spans="1:15" x14ac:dyDescent="0.25">
      <c r="A8093" t="s">
        <v>8106</v>
      </c>
      <c r="B8093">
        <v>120</v>
      </c>
      <c r="C8093" s="1" t="str">
        <f>HYPERLINK("http://www.rosaceae.org/gb/gbrowse/malus_x_domestica/?name=MDP0000620349","MDP0000620349")</f>
        <v>MDP0000620349</v>
      </c>
      <c r="D8093">
        <v>57.14</v>
      </c>
      <c r="E8093">
        <v>98</v>
      </c>
      <c r="F8093">
        <v>42</v>
      </c>
      <c r="G8093">
        <v>4</v>
      </c>
      <c r="H8093">
        <v>5</v>
      </c>
      <c r="I8093">
        <v>98</v>
      </c>
      <c r="J8093">
        <v>1</v>
      </c>
      <c r="K8093">
        <v>102</v>
      </c>
      <c r="L8093">
        <v>199</v>
      </c>
      <c r="M8093">
        <v>1</v>
      </c>
      <c r="N8093">
        <v>1.9390200000000001E-25</v>
      </c>
      <c r="O8093">
        <v>277</v>
      </c>
    </row>
    <row r="8094" spans="1:15" x14ac:dyDescent="0.25">
      <c r="A8094" t="s">
        <v>8107</v>
      </c>
      <c r="B8094">
        <v>328</v>
      </c>
      <c r="C8094" s="1" t="str">
        <f>HYPERLINK("http://www.rosaceae.org/gb/gbrowse/malus_x_domestica/?name=MDP0000668552","MDP0000668552")</f>
        <v>MDP0000668552</v>
      </c>
      <c r="D8094">
        <v>67.790000000000006</v>
      </c>
      <c r="E8094">
        <v>177</v>
      </c>
      <c r="F8094">
        <v>57</v>
      </c>
      <c r="G8094">
        <v>0</v>
      </c>
      <c r="H8094">
        <v>58</v>
      </c>
      <c r="I8094">
        <v>234</v>
      </c>
      <c r="J8094">
        <v>1</v>
      </c>
      <c r="K8094">
        <v>57</v>
      </c>
      <c r="L8094">
        <v>233</v>
      </c>
      <c r="M8094">
        <v>1</v>
      </c>
      <c r="N8094">
        <v>2.6106599999999998E-72</v>
      </c>
      <c r="O8094">
        <v>688</v>
      </c>
    </row>
    <row r="8095" spans="1:15" x14ac:dyDescent="0.25">
      <c r="A8095" t="s">
        <v>8108</v>
      </c>
      <c r="B8095">
        <v>567</v>
      </c>
      <c r="C8095" s="1" t="str">
        <f>HYPERLINK("http://www.rosaceae.org/gb/gbrowse/malus_x_domestica/?name=MDP0000673779","MDP0000673779")</f>
        <v>MDP0000673779</v>
      </c>
      <c r="D8095">
        <v>73.98</v>
      </c>
      <c r="E8095">
        <v>346</v>
      </c>
      <c r="F8095">
        <v>90</v>
      </c>
      <c r="G8095">
        <v>10</v>
      </c>
      <c r="H8095">
        <v>1</v>
      </c>
      <c r="I8095">
        <v>338</v>
      </c>
      <c r="J8095">
        <v>1</v>
      </c>
      <c r="K8095">
        <v>1</v>
      </c>
      <c r="L8095">
        <v>344</v>
      </c>
      <c r="M8095">
        <v>1</v>
      </c>
      <c r="N8095">
        <v>1.7345599999999999E-143</v>
      </c>
      <c r="O8095">
        <v>1304</v>
      </c>
    </row>
    <row r="8096" spans="1:15" x14ac:dyDescent="0.25">
      <c r="A8096" t="s">
        <v>8109</v>
      </c>
      <c r="B8096">
        <v>250</v>
      </c>
      <c r="C8096" s="1" t="str">
        <f>HYPERLINK("http://www.rosaceae.org/gb/gbrowse/malus_x_domestica/?name=MDP0000324166","MDP0000324166")</f>
        <v>MDP0000324166</v>
      </c>
      <c r="D8096">
        <v>71.709999999999994</v>
      </c>
      <c r="E8096">
        <v>251</v>
      </c>
      <c r="F8096">
        <v>71</v>
      </c>
      <c r="G8096">
        <v>9</v>
      </c>
      <c r="H8096">
        <v>1</v>
      </c>
      <c r="I8096">
        <v>250</v>
      </c>
      <c r="J8096">
        <v>1</v>
      </c>
      <c r="K8096">
        <v>1</v>
      </c>
      <c r="L8096">
        <v>243</v>
      </c>
      <c r="M8096">
        <v>1</v>
      </c>
      <c r="N8096">
        <v>3.10386E-93</v>
      </c>
      <c r="O8096">
        <v>867</v>
      </c>
    </row>
    <row r="8097" spans="1:15" x14ac:dyDescent="0.25">
      <c r="A8097" t="s">
        <v>8110</v>
      </c>
      <c r="B8097">
        <v>692</v>
      </c>
      <c r="C8097" s="1" t="str">
        <f>HYPERLINK("http://www.rosaceae.org/gb/gbrowse/malus_x_domestica/?name=MDP0000848736","MDP0000848736")</f>
        <v>MDP0000848736</v>
      </c>
      <c r="D8097">
        <v>78.33</v>
      </c>
      <c r="E8097">
        <v>683</v>
      </c>
      <c r="F8097">
        <v>148</v>
      </c>
      <c r="G8097">
        <v>5</v>
      </c>
      <c r="H8097">
        <v>1</v>
      </c>
      <c r="I8097">
        <v>682</v>
      </c>
      <c r="J8097">
        <v>1</v>
      </c>
      <c r="K8097">
        <v>1</v>
      </c>
      <c r="L8097">
        <v>679</v>
      </c>
      <c r="M8097">
        <v>1</v>
      </c>
      <c r="N8097">
        <v>0</v>
      </c>
      <c r="O8097">
        <v>2857</v>
      </c>
    </row>
    <row r="8098" spans="1:15" x14ac:dyDescent="0.25">
      <c r="A8098" t="s">
        <v>8111</v>
      </c>
      <c r="B8098">
        <v>522</v>
      </c>
      <c r="C8098" s="1" t="str">
        <f>HYPERLINK("http://www.rosaceae.org/gb/gbrowse/malus_x_domestica/?name=MDP0000247921","MDP0000247921")</f>
        <v>MDP0000247921</v>
      </c>
      <c r="D8098">
        <v>33.33</v>
      </c>
      <c r="E8098">
        <v>366</v>
      </c>
      <c r="F8098">
        <v>244</v>
      </c>
      <c r="G8098">
        <v>53</v>
      </c>
      <c r="H8098">
        <v>102</v>
      </c>
      <c r="I8098">
        <v>414</v>
      </c>
      <c r="J8098">
        <v>1</v>
      </c>
      <c r="K8098">
        <v>563</v>
      </c>
      <c r="L8098">
        <v>928</v>
      </c>
      <c r="M8098">
        <v>1</v>
      </c>
      <c r="N8098">
        <v>4.4246600000000001E-60</v>
      </c>
      <c r="O8098">
        <v>585</v>
      </c>
    </row>
    <row r="8099" spans="1:15" x14ac:dyDescent="0.25">
      <c r="A8099" t="s">
        <v>8112</v>
      </c>
      <c r="B8099">
        <v>161</v>
      </c>
      <c r="C8099" s="1" t="str">
        <f>HYPERLINK("http://www.rosaceae.org/gb/gbrowse/malus_x_domestica/?name=MDP0000269651","MDP0000269651")</f>
        <v>MDP0000269651</v>
      </c>
      <c r="D8099">
        <v>65.13</v>
      </c>
      <c r="E8099">
        <v>109</v>
      </c>
      <c r="F8099">
        <v>38</v>
      </c>
      <c r="G8099">
        <v>3</v>
      </c>
      <c r="H8099">
        <v>52</v>
      </c>
      <c r="I8099">
        <v>160</v>
      </c>
      <c r="J8099">
        <v>1</v>
      </c>
      <c r="K8099">
        <v>707</v>
      </c>
      <c r="L8099">
        <v>812</v>
      </c>
      <c r="M8099">
        <v>1</v>
      </c>
      <c r="N8099">
        <v>6.5247200000000001E-35</v>
      </c>
      <c r="O8099">
        <v>361</v>
      </c>
    </row>
    <row r="8100" spans="1:15" x14ac:dyDescent="0.25">
      <c r="A8100" t="s">
        <v>8113</v>
      </c>
      <c r="B8100">
        <v>1042</v>
      </c>
      <c r="C8100" s="1" t="str">
        <f>HYPERLINK("http://www.rosaceae.org/gb/gbrowse/malus_x_domestica/?name=MDP0000453276","MDP0000453276")</f>
        <v>MDP0000453276</v>
      </c>
      <c r="D8100">
        <v>75.930000000000007</v>
      </c>
      <c r="E8100">
        <v>536</v>
      </c>
      <c r="F8100">
        <v>129</v>
      </c>
      <c r="G8100">
        <v>8</v>
      </c>
      <c r="H8100">
        <v>4</v>
      </c>
      <c r="I8100">
        <v>539</v>
      </c>
      <c r="J8100">
        <v>1</v>
      </c>
      <c r="K8100">
        <v>15</v>
      </c>
      <c r="L8100">
        <v>542</v>
      </c>
      <c r="M8100">
        <v>1</v>
      </c>
      <c r="N8100">
        <v>0</v>
      </c>
      <c r="O8100">
        <v>2206</v>
      </c>
    </row>
    <row r="8101" spans="1:15" x14ac:dyDescent="0.25">
      <c r="A8101" t="s">
        <v>8114</v>
      </c>
      <c r="B8101">
        <v>483</v>
      </c>
      <c r="C8101" s="1" t="str">
        <f>HYPERLINK("http://www.rosaceae.org/gb/gbrowse/malus_x_domestica/?name=MDP0000012534","MDP0000012534")</f>
        <v>MDP0000012534</v>
      </c>
      <c r="D8101">
        <v>66.59</v>
      </c>
      <c r="E8101">
        <v>485</v>
      </c>
      <c r="F8101">
        <v>162</v>
      </c>
      <c r="G8101">
        <v>13</v>
      </c>
      <c r="H8101">
        <v>1</v>
      </c>
      <c r="I8101">
        <v>482</v>
      </c>
      <c r="J8101">
        <v>1</v>
      </c>
      <c r="K8101">
        <v>1</v>
      </c>
      <c r="L8101">
        <v>475</v>
      </c>
      <c r="M8101">
        <v>1</v>
      </c>
      <c r="N8101">
        <v>0</v>
      </c>
      <c r="O8101">
        <v>1702</v>
      </c>
    </row>
    <row r="8102" spans="1:15" x14ac:dyDescent="0.25">
      <c r="A8102" t="s">
        <v>8115</v>
      </c>
      <c r="B8102">
        <v>231</v>
      </c>
      <c r="C8102" s="1" t="str">
        <f>HYPERLINK("http://www.rosaceae.org/gb/gbrowse/malus_x_domestica/?name=MDP0000137568","MDP0000137568")</f>
        <v>MDP0000137568</v>
      </c>
      <c r="D8102">
        <v>72.87</v>
      </c>
      <c r="E8102">
        <v>247</v>
      </c>
      <c r="F8102">
        <v>67</v>
      </c>
      <c r="G8102">
        <v>24</v>
      </c>
      <c r="H8102">
        <v>1</v>
      </c>
      <c r="I8102">
        <v>231</v>
      </c>
      <c r="J8102">
        <v>1</v>
      </c>
      <c r="K8102">
        <v>1</v>
      </c>
      <c r="L8102">
        <v>239</v>
      </c>
      <c r="M8102">
        <v>1</v>
      </c>
      <c r="N8102">
        <v>7.5931999999999996E-87</v>
      </c>
      <c r="O8102">
        <v>811</v>
      </c>
    </row>
    <row r="8103" spans="1:15" x14ac:dyDescent="0.25">
      <c r="A8103" t="s">
        <v>8116</v>
      </c>
      <c r="B8103">
        <v>376</v>
      </c>
      <c r="C8103" s="1" t="str">
        <f>HYPERLINK("http://www.rosaceae.org/gb/gbrowse/malus_x_domestica/?name=MDP0000153029","MDP0000153029")</f>
        <v>MDP0000153029</v>
      </c>
      <c r="D8103">
        <v>67.88</v>
      </c>
      <c r="E8103">
        <v>383</v>
      </c>
      <c r="F8103">
        <v>123</v>
      </c>
      <c r="G8103">
        <v>28</v>
      </c>
      <c r="H8103">
        <v>17</v>
      </c>
      <c r="I8103">
        <v>376</v>
      </c>
      <c r="J8103">
        <v>1</v>
      </c>
      <c r="K8103">
        <v>18</v>
      </c>
      <c r="L8103">
        <v>395</v>
      </c>
      <c r="M8103">
        <v>1</v>
      </c>
      <c r="N8103">
        <v>7.8822100000000002E-128</v>
      </c>
      <c r="O8103">
        <v>1168</v>
      </c>
    </row>
    <row r="8104" spans="1:15" x14ac:dyDescent="0.25">
      <c r="A8104" t="s">
        <v>8117</v>
      </c>
      <c r="B8104">
        <v>435</v>
      </c>
      <c r="C8104" s="1" t="str">
        <f>HYPERLINK("http://www.rosaceae.org/gb/gbrowse/malus_x_domestica/?name=MDP0000504527","MDP0000504527")</f>
        <v>MDP0000504527</v>
      </c>
      <c r="D8104">
        <v>79.8</v>
      </c>
      <c r="E8104">
        <v>416</v>
      </c>
      <c r="F8104">
        <v>84</v>
      </c>
      <c r="G8104">
        <v>5</v>
      </c>
      <c r="H8104">
        <v>21</v>
      </c>
      <c r="I8104">
        <v>435</v>
      </c>
      <c r="J8104">
        <v>1</v>
      </c>
      <c r="K8104">
        <v>96</v>
      </c>
      <c r="L8104">
        <v>507</v>
      </c>
      <c r="M8104">
        <v>1</v>
      </c>
      <c r="N8104">
        <v>0</v>
      </c>
      <c r="O8104">
        <v>1822</v>
      </c>
    </row>
    <row r="8105" spans="1:15" x14ac:dyDescent="0.25">
      <c r="A8105" t="s">
        <v>8118</v>
      </c>
      <c r="B8105">
        <v>244</v>
      </c>
      <c r="C8105" s="1" t="str">
        <f>HYPERLINK("http://www.rosaceae.org/gb/gbrowse/malus_x_domestica/?name=MDP0000236542","MDP0000236542")</f>
        <v>MDP0000236542</v>
      </c>
      <c r="D8105">
        <v>84.25</v>
      </c>
      <c r="E8105">
        <v>216</v>
      </c>
      <c r="F8105">
        <v>34</v>
      </c>
      <c r="G8105">
        <v>30</v>
      </c>
      <c r="H8105">
        <v>50</v>
      </c>
      <c r="I8105">
        <v>244</v>
      </c>
      <c r="J8105">
        <v>1</v>
      </c>
      <c r="K8105">
        <v>11</v>
      </c>
      <c r="L8105">
        <v>217</v>
      </c>
      <c r="M8105">
        <v>1</v>
      </c>
      <c r="N8105">
        <v>1.10175E-99</v>
      </c>
      <c r="O8105">
        <v>922</v>
      </c>
    </row>
    <row r="8106" spans="1:15" x14ac:dyDescent="0.25">
      <c r="A8106" t="s">
        <v>8119</v>
      </c>
      <c r="B8106">
        <v>285</v>
      </c>
      <c r="C8106" s="1" t="str">
        <f>HYPERLINK("http://www.rosaceae.org/gb/gbrowse/malus_x_domestica/?name=MDP0000232080","MDP0000232080")</f>
        <v>MDP0000232080</v>
      </c>
      <c r="D8106">
        <v>61.9</v>
      </c>
      <c r="E8106">
        <v>294</v>
      </c>
      <c r="F8106">
        <v>112</v>
      </c>
      <c r="G8106">
        <v>23</v>
      </c>
      <c r="H8106">
        <v>1</v>
      </c>
      <c r="I8106">
        <v>285</v>
      </c>
      <c r="J8106">
        <v>1</v>
      </c>
      <c r="K8106">
        <v>1</v>
      </c>
      <c r="L8106">
        <v>280</v>
      </c>
      <c r="M8106">
        <v>1</v>
      </c>
      <c r="N8106">
        <v>7.2145199999999997E-96</v>
      </c>
      <c r="O8106">
        <v>890</v>
      </c>
    </row>
    <row r="8107" spans="1:15" x14ac:dyDescent="0.25">
      <c r="A8107" t="s">
        <v>8120</v>
      </c>
      <c r="B8107">
        <v>121</v>
      </c>
      <c r="C8107" s="1" t="str">
        <f>HYPERLINK("http://www.rosaceae.org/gb/gbrowse/malus_x_domestica/?name=MDP0000181887","MDP0000181887")</f>
        <v>MDP0000181887</v>
      </c>
      <c r="D8107">
        <v>43.29</v>
      </c>
      <c r="E8107">
        <v>164</v>
      </c>
      <c r="F8107">
        <v>93</v>
      </c>
      <c r="G8107">
        <v>49</v>
      </c>
      <c r="H8107">
        <v>1</v>
      </c>
      <c r="I8107">
        <v>121</v>
      </c>
      <c r="J8107">
        <v>1</v>
      </c>
      <c r="K8107">
        <v>1</v>
      </c>
      <c r="L8107">
        <v>158</v>
      </c>
      <c r="M8107">
        <v>1</v>
      </c>
      <c r="N8107">
        <v>1.8721300000000001E-22</v>
      </c>
      <c r="O8107">
        <v>251</v>
      </c>
    </row>
    <row r="8108" spans="1:15" x14ac:dyDescent="0.25">
      <c r="A8108" t="s">
        <v>8121</v>
      </c>
      <c r="B8108">
        <v>307</v>
      </c>
      <c r="C8108" s="1" t="str">
        <f>HYPERLINK("http://www.rosaceae.org/gb/gbrowse/malus_x_domestica/?name=MDP0000622728","MDP0000622728")</f>
        <v>MDP0000622728</v>
      </c>
      <c r="D8108">
        <v>80</v>
      </c>
      <c r="E8108">
        <v>40</v>
      </c>
      <c r="F8108">
        <v>8</v>
      </c>
      <c r="G8108">
        <v>3</v>
      </c>
      <c r="H8108">
        <v>255</v>
      </c>
      <c r="I8108">
        <v>291</v>
      </c>
      <c r="J8108">
        <v>1</v>
      </c>
      <c r="K8108">
        <v>17</v>
      </c>
      <c r="L8108">
        <v>56</v>
      </c>
      <c r="M8108">
        <v>1</v>
      </c>
      <c r="N8108">
        <v>7.1841500000000002E-12</v>
      </c>
      <c r="O8108">
        <v>166</v>
      </c>
    </row>
    <row r="8109" spans="1:15" x14ac:dyDescent="0.25">
      <c r="A8109" t="s">
        <v>8122</v>
      </c>
      <c r="B8109">
        <v>366</v>
      </c>
      <c r="C8109" s="1" t="str">
        <f>HYPERLINK("http://www.rosaceae.org/gb/gbrowse/malus_x_domestica/?name=MDP0000250901","MDP0000250901")</f>
        <v>MDP0000250901</v>
      </c>
      <c r="D8109">
        <v>69.67</v>
      </c>
      <c r="E8109">
        <v>366</v>
      </c>
      <c r="F8109">
        <v>111</v>
      </c>
      <c r="G8109">
        <v>17</v>
      </c>
      <c r="H8109">
        <v>1</v>
      </c>
      <c r="I8109">
        <v>366</v>
      </c>
      <c r="J8109">
        <v>1</v>
      </c>
      <c r="K8109">
        <v>1</v>
      </c>
      <c r="L8109">
        <v>349</v>
      </c>
      <c r="M8109">
        <v>1</v>
      </c>
      <c r="N8109">
        <v>9.44082E-153</v>
      </c>
      <c r="O8109">
        <v>1382</v>
      </c>
    </row>
    <row r="8110" spans="1:15" x14ac:dyDescent="0.25">
      <c r="A8110" t="s">
        <v>8123</v>
      </c>
      <c r="B8110">
        <v>1202</v>
      </c>
      <c r="C8110" s="1" t="str">
        <f>HYPERLINK("http://www.rosaceae.org/gb/gbrowse/malus_x_domestica/?name=MDP0000299496","MDP0000299496")</f>
        <v>MDP0000299496</v>
      </c>
      <c r="D8110">
        <v>48</v>
      </c>
      <c r="E8110">
        <v>250</v>
      </c>
      <c r="F8110">
        <v>130</v>
      </c>
      <c r="G8110">
        <v>3</v>
      </c>
      <c r="H8110">
        <v>928</v>
      </c>
      <c r="I8110">
        <v>1174</v>
      </c>
      <c r="J8110">
        <v>1</v>
      </c>
      <c r="K8110">
        <v>409</v>
      </c>
      <c r="L8110">
        <v>658</v>
      </c>
      <c r="M8110">
        <v>1</v>
      </c>
      <c r="N8110">
        <v>7.1351199999999995E-66</v>
      </c>
      <c r="O8110">
        <v>638</v>
      </c>
    </row>
    <row r="8111" spans="1:15" x14ac:dyDescent="0.25">
      <c r="A8111" t="s">
        <v>8124</v>
      </c>
      <c r="B8111">
        <v>252</v>
      </c>
      <c r="C8111" s="1" t="str">
        <f>HYPERLINK("http://www.rosaceae.org/gb/gbrowse/malus_x_domestica/?name=MDP0000119961","MDP0000119961")</f>
        <v>MDP0000119961</v>
      </c>
      <c r="D8111">
        <v>68.84</v>
      </c>
      <c r="E8111">
        <v>199</v>
      </c>
      <c r="F8111">
        <v>62</v>
      </c>
      <c r="G8111">
        <v>19</v>
      </c>
      <c r="H8111">
        <v>1</v>
      </c>
      <c r="I8111">
        <v>188</v>
      </c>
      <c r="J8111">
        <v>1</v>
      </c>
      <c r="K8111">
        <v>1</v>
      </c>
      <c r="L8111">
        <v>191</v>
      </c>
      <c r="M8111">
        <v>1</v>
      </c>
      <c r="N8111">
        <v>1.6507900000000001E-72</v>
      </c>
      <c r="O8111">
        <v>688</v>
      </c>
    </row>
    <row r="8112" spans="1:15" x14ac:dyDescent="0.25">
      <c r="A8112" t="s">
        <v>8125</v>
      </c>
      <c r="B8112">
        <v>58</v>
      </c>
      <c r="C8112" s="1" t="str">
        <f>HYPERLINK("http://www.rosaceae.org/gb/gbrowse/malus_x_domestica/?name=MDP0000251137","MDP0000251137")</f>
        <v>MDP0000251137</v>
      </c>
      <c r="D8112">
        <v>69.56</v>
      </c>
      <c r="E8112">
        <v>46</v>
      </c>
      <c r="F8112">
        <v>14</v>
      </c>
      <c r="G8112">
        <v>0</v>
      </c>
      <c r="H8112">
        <v>13</v>
      </c>
      <c r="I8112">
        <v>58</v>
      </c>
      <c r="J8112">
        <v>1</v>
      </c>
      <c r="K8112">
        <v>419</v>
      </c>
      <c r="L8112">
        <v>464</v>
      </c>
      <c r="M8112">
        <v>1</v>
      </c>
      <c r="N8112">
        <v>1.754E-12</v>
      </c>
      <c r="O8112">
        <v>165</v>
      </c>
    </row>
    <row r="8113" spans="1:15" x14ac:dyDescent="0.25">
      <c r="A8113" t="s">
        <v>8126</v>
      </c>
      <c r="B8113">
        <v>277</v>
      </c>
      <c r="C8113" s="1" t="str">
        <f>HYPERLINK("http://www.rosaceae.org/gb/gbrowse/malus_x_domestica/?name=MDP0000725634","MDP0000725634")</f>
        <v>MDP0000725634</v>
      </c>
      <c r="D8113">
        <v>28.76</v>
      </c>
      <c r="E8113">
        <v>219</v>
      </c>
      <c r="F8113">
        <v>156</v>
      </c>
      <c r="G8113">
        <v>27</v>
      </c>
      <c r="H8113">
        <v>63</v>
      </c>
      <c r="I8113">
        <v>261</v>
      </c>
      <c r="J8113">
        <v>1</v>
      </c>
      <c r="K8113">
        <v>200</v>
      </c>
      <c r="L8113">
        <v>411</v>
      </c>
      <c r="M8113">
        <v>1</v>
      </c>
      <c r="N8113">
        <v>8.5672200000000003E-11</v>
      </c>
      <c r="O8113">
        <v>157</v>
      </c>
    </row>
    <row r="8114" spans="1:15" x14ac:dyDescent="0.25">
      <c r="A8114" t="s">
        <v>8127</v>
      </c>
      <c r="B8114">
        <v>869</v>
      </c>
      <c r="C8114" s="1" t="str">
        <f>HYPERLINK("http://www.rosaceae.org/gb/gbrowse/malus_x_domestica/?name=MDP0000258256","MDP0000258256")</f>
        <v>MDP0000258256</v>
      </c>
      <c r="D8114">
        <v>77.599999999999994</v>
      </c>
      <c r="E8114">
        <v>518</v>
      </c>
      <c r="F8114">
        <v>116</v>
      </c>
      <c r="G8114">
        <v>4</v>
      </c>
      <c r="H8114">
        <v>356</v>
      </c>
      <c r="I8114">
        <v>869</v>
      </c>
      <c r="J8114">
        <v>1</v>
      </c>
      <c r="K8114">
        <v>1</v>
      </c>
      <c r="L8114">
        <v>518</v>
      </c>
      <c r="M8114">
        <v>1</v>
      </c>
      <c r="N8114">
        <v>0</v>
      </c>
      <c r="O8114">
        <v>2145</v>
      </c>
    </row>
    <row r="8115" spans="1:15" x14ac:dyDescent="0.25">
      <c r="A8115" t="s">
        <v>8128</v>
      </c>
      <c r="B8115">
        <v>1263</v>
      </c>
      <c r="C8115" s="1" t="str">
        <f>HYPERLINK("http://www.rosaceae.org/gb/gbrowse/malus_x_domestica/?name=MDP0000133853","MDP0000133853")</f>
        <v>MDP0000133853</v>
      </c>
      <c r="D8115">
        <v>82.09</v>
      </c>
      <c r="E8115">
        <v>1301</v>
      </c>
      <c r="F8115">
        <v>233</v>
      </c>
      <c r="G8115">
        <v>77</v>
      </c>
      <c r="H8115">
        <v>1</v>
      </c>
      <c r="I8115">
        <v>1263</v>
      </c>
      <c r="J8115">
        <v>1</v>
      </c>
      <c r="K8115">
        <v>1</v>
      </c>
      <c r="L8115">
        <v>1262</v>
      </c>
      <c r="M8115">
        <v>1</v>
      </c>
      <c r="N8115">
        <v>0</v>
      </c>
      <c r="O8115">
        <v>5592</v>
      </c>
    </row>
    <row r="8116" spans="1:15" x14ac:dyDescent="0.25">
      <c r="A8116" t="s">
        <v>8129</v>
      </c>
      <c r="B8116">
        <v>529</v>
      </c>
      <c r="C8116" s="1" t="str">
        <f>HYPERLINK("http://www.rosaceae.org/gb/gbrowse/malus_x_domestica/?name=MDP0000298523","MDP0000298523")</f>
        <v>MDP0000298523</v>
      </c>
      <c r="D8116">
        <v>50.09</v>
      </c>
      <c r="E8116">
        <v>505</v>
      </c>
      <c r="F8116">
        <v>252</v>
      </c>
      <c r="G8116">
        <v>54</v>
      </c>
      <c r="H8116">
        <v>65</v>
      </c>
      <c r="I8116">
        <v>519</v>
      </c>
      <c r="J8116">
        <v>1</v>
      </c>
      <c r="K8116">
        <v>97</v>
      </c>
      <c r="L8116">
        <v>597</v>
      </c>
      <c r="M8116">
        <v>1</v>
      </c>
      <c r="N8116">
        <v>2.6941800000000002E-131</v>
      </c>
      <c r="O8116">
        <v>1199</v>
      </c>
    </row>
    <row r="8117" spans="1:15" x14ac:dyDescent="0.25">
      <c r="A8117" t="s">
        <v>8130</v>
      </c>
      <c r="B8117">
        <v>470</v>
      </c>
      <c r="C8117" s="1" t="str">
        <f>HYPERLINK("http://www.rosaceae.org/gb/gbrowse/malus_x_domestica/?name=MDP0000316379","MDP0000316379")</f>
        <v>MDP0000316379</v>
      </c>
      <c r="D8117">
        <v>65.59</v>
      </c>
      <c r="E8117">
        <v>465</v>
      </c>
      <c r="F8117">
        <v>160</v>
      </c>
      <c r="G8117">
        <v>3</v>
      </c>
      <c r="H8117">
        <v>7</v>
      </c>
      <c r="I8117">
        <v>470</v>
      </c>
      <c r="J8117">
        <v>1</v>
      </c>
      <c r="K8117">
        <v>26</v>
      </c>
      <c r="L8117">
        <v>488</v>
      </c>
      <c r="M8117">
        <v>1</v>
      </c>
      <c r="N8117">
        <v>2.3968499999999998E-180</v>
      </c>
      <c r="O8117">
        <v>1621</v>
      </c>
    </row>
    <row r="8118" spans="1:15" x14ac:dyDescent="0.25">
      <c r="A8118" t="s">
        <v>8131</v>
      </c>
      <c r="B8118">
        <v>762</v>
      </c>
      <c r="C8118" s="1" t="str">
        <f>HYPERLINK("http://www.rosaceae.org/gb/gbrowse/malus_x_domestica/?name=MDP0000284227","MDP0000284227")</f>
        <v>MDP0000284227</v>
      </c>
      <c r="D8118">
        <v>61.36</v>
      </c>
      <c r="E8118">
        <v>647</v>
      </c>
      <c r="F8118">
        <v>250</v>
      </c>
      <c r="G8118">
        <v>55</v>
      </c>
      <c r="H8118">
        <v>76</v>
      </c>
      <c r="I8118">
        <v>691</v>
      </c>
      <c r="J8118">
        <v>1</v>
      </c>
      <c r="K8118">
        <v>53</v>
      </c>
      <c r="L8118">
        <v>675</v>
      </c>
      <c r="M8118">
        <v>1</v>
      </c>
      <c r="N8118">
        <v>0</v>
      </c>
      <c r="O8118">
        <v>1816</v>
      </c>
    </row>
    <row r="8119" spans="1:15" x14ac:dyDescent="0.25">
      <c r="A8119" t="s">
        <v>8132</v>
      </c>
      <c r="B8119">
        <v>775</v>
      </c>
      <c r="C8119" s="1" t="str">
        <f>HYPERLINK("http://www.rosaceae.org/gb/gbrowse/malus_x_domestica/?name=MDP0000189901","MDP0000189901")</f>
        <v>MDP0000189901</v>
      </c>
      <c r="D8119">
        <v>49.28</v>
      </c>
      <c r="E8119">
        <v>769</v>
      </c>
      <c r="F8119">
        <v>390</v>
      </c>
      <c r="G8119">
        <v>33</v>
      </c>
      <c r="H8119">
        <v>14</v>
      </c>
      <c r="I8119">
        <v>768</v>
      </c>
      <c r="J8119">
        <v>1</v>
      </c>
      <c r="K8119">
        <v>22</v>
      </c>
      <c r="L8119">
        <v>771</v>
      </c>
      <c r="M8119">
        <v>1</v>
      </c>
      <c r="N8119">
        <v>0</v>
      </c>
      <c r="O8119">
        <v>1755</v>
      </c>
    </row>
    <row r="8120" spans="1:15" x14ac:dyDescent="0.25">
      <c r="A8120" t="s">
        <v>8133</v>
      </c>
      <c r="B8120">
        <v>126</v>
      </c>
      <c r="C8120" s="1" t="str">
        <f>HYPERLINK("http://www.rosaceae.org/gb/gbrowse/malus_x_domestica/?name=MDP0000294785","MDP0000294785")</f>
        <v>MDP0000294785</v>
      </c>
      <c r="D8120">
        <v>80.53</v>
      </c>
      <c r="E8120">
        <v>113</v>
      </c>
      <c r="F8120">
        <v>22</v>
      </c>
      <c r="G8120">
        <v>0</v>
      </c>
      <c r="H8120">
        <v>6</v>
      </c>
      <c r="I8120">
        <v>118</v>
      </c>
      <c r="J8120">
        <v>1</v>
      </c>
      <c r="K8120">
        <v>720</v>
      </c>
      <c r="L8120">
        <v>832</v>
      </c>
      <c r="M8120">
        <v>1</v>
      </c>
      <c r="N8120">
        <v>8.7577599999999996E-47</v>
      </c>
      <c r="O8120">
        <v>461</v>
      </c>
    </row>
    <row r="8121" spans="1:15" x14ac:dyDescent="0.25">
      <c r="A8121" t="s">
        <v>8134</v>
      </c>
      <c r="B8121">
        <v>189</v>
      </c>
      <c r="C8121" s="1" t="str">
        <f>HYPERLINK("http://www.rosaceae.org/gb/gbrowse/malus_x_domestica/?name=MDP0000698897","MDP0000698897")</f>
        <v>MDP0000698897</v>
      </c>
      <c r="D8121">
        <v>48.14</v>
      </c>
      <c r="E8121">
        <v>81</v>
      </c>
      <c r="F8121">
        <v>42</v>
      </c>
      <c r="G8121">
        <v>1</v>
      </c>
      <c r="H8121">
        <v>107</v>
      </c>
      <c r="I8121">
        <v>186</v>
      </c>
      <c r="J8121">
        <v>1</v>
      </c>
      <c r="K8121">
        <v>110</v>
      </c>
      <c r="L8121">
        <v>190</v>
      </c>
      <c r="M8121">
        <v>1</v>
      </c>
      <c r="N8121">
        <v>8.6643999999999993E-12</v>
      </c>
      <c r="O8121">
        <v>163</v>
      </c>
    </row>
    <row r="8122" spans="1:15" x14ac:dyDescent="0.25">
      <c r="A8122" t="s">
        <v>8135</v>
      </c>
      <c r="B8122">
        <v>586</v>
      </c>
      <c r="C8122" s="1" t="str">
        <f>HYPERLINK("http://www.rosaceae.org/gb/gbrowse/malus_x_domestica/?name=MDP0000249098","MDP0000249098")</f>
        <v>MDP0000249098</v>
      </c>
      <c r="D8122">
        <v>68.069999999999993</v>
      </c>
      <c r="E8122">
        <v>614</v>
      </c>
      <c r="F8122">
        <v>196</v>
      </c>
      <c r="G8122">
        <v>36</v>
      </c>
      <c r="H8122">
        <v>1</v>
      </c>
      <c r="I8122">
        <v>583</v>
      </c>
      <c r="J8122">
        <v>1</v>
      </c>
      <c r="K8122">
        <v>1</v>
      </c>
      <c r="L8122">
        <v>609</v>
      </c>
      <c r="M8122">
        <v>1</v>
      </c>
      <c r="N8122">
        <v>0</v>
      </c>
      <c r="O8122">
        <v>2080</v>
      </c>
    </row>
    <row r="8123" spans="1:15" x14ac:dyDescent="0.25">
      <c r="A8123" t="s">
        <v>8136</v>
      </c>
      <c r="B8123">
        <v>524</v>
      </c>
      <c r="C8123" s="1" t="str">
        <f>HYPERLINK("http://www.rosaceae.org/gb/gbrowse/malus_x_domestica/?name=MDP0000242921","MDP0000242921")</f>
        <v>MDP0000242921</v>
      </c>
      <c r="D8123">
        <v>70.709999999999994</v>
      </c>
      <c r="E8123">
        <v>379</v>
      </c>
      <c r="F8123">
        <v>111</v>
      </c>
      <c r="G8123">
        <v>5</v>
      </c>
      <c r="H8123">
        <v>21</v>
      </c>
      <c r="I8123">
        <v>395</v>
      </c>
      <c r="J8123">
        <v>1</v>
      </c>
      <c r="K8123">
        <v>102</v>
      </c>
      <c r="L8123">
        <v>479</v>
      </c>
      <c r="M8123">
        <v>1</v>
      </c>
      <c r="N8123">
        <v>1.04741E-154</v>
      </c>
      <c r="O8123">
        <v>1401</v>
      </c>
    </row>
    <row r="8124" spans="1:15" x14ac:dyDescent="0.25">
      <c r="A8124" t="s">
        <v>8137</v>
      </c>
      <c r="B8124">
        <v>125</v>
      </c>
      <c r="C8124" s="1" t="str">
        <f>HYPERLINK("http://www.rosaceae.org/gb/gbrowse/malus_x_domestica/?name=MDP0000186558","MDP0000186558")</f>
        <v>MDP0000186558</v>
      </c>
      <c r="D8124">
        <v>88.7</v>
      </c>
      <c r="E8124">
        <v>62</v>
      </c>
      <c r="F8124">
        <v>7</v>
      </c>
      <c r="G8124">
        <v>0</v>
      </c>
      <c r="H8124">
        <v>1</v>
      </c>
      <c r="I8124">
        <v>62</v>
      </c>
      <c r="J8124">
        <v>1</v>
      </c>
      <c r="K8124">
        <v>1</v>
      </c>
      <c r="L8124">
        <v>62</v>
      </c>
      <c r="M8124">
        <v>1</v>
      </c>
      <c r="N8124">
        <v>5.7330699999999997E-27</v>
      </c>
      <c r="O8124">
        <v>290</v>
      </c>
    </row>
    <row r="8125" spans="1:15" x14ac:dyDescent="0.25">
      <c r="A8125" t="s">
        <v>8138</v>
      </c>
      <c r="B8125">
        <v>1310</v>
      </c>
      <c r="C8125" s="1" t="str">
        <f>HYPERLINK("http://www.rosaceae.org/gb/gbrowse/malus_x_domestica/?name=MDP0000246674","MDP0000246674")</f>
        <v>MDP0000246674</v>
      </c>
      <c r="D8125">
        <v>66.05</v>
      </c>
      <c r="E8125">
        <v>822</v>
      </c>
      <c r="F8125">
        <v>279</v>
      </c>
      <c r="G8125">
        <v>43</v>
      </c>
      <c r="H8125">
        <v>464</v>
      </c>
      <c r="I8125">
        <v>1258</v>
      </c>
      <c r="J8125">
        <v>1</v>
      </c>
      <c r="K8125">
        <v>87</v>
      </c>
      <c r="L8125">
        <v>892</v>
      </c>
      <c r="M8125">
        <v>1</v>
      </c>
      <c r="N8125">
        <v>0</v>
      </c>
      <c r="O8125">
        <v>2734</v>
      </c>
    </row>
    <row r="8126" spans="1:15" x14ac:dyDescent="0.25">
      <c r="A8126" t="s">
        <v>8139</v>
      </c>
      <c r="B8126">
        <v>359</v>
      </c>
      <c r="C8126" s="1" t="str">
        <f>HYPERLINK("http://www.rosaceae.org/gb/gbrowse/malus_x_domestica/?name=MDP0000308230","MDP0000308230")</f>
        <v>MDP0000308230</v>
      </c>
      <c r="D8126">
        <v>96.47</v>
      </c>
      <c r="E8126">
        <v>255</v>
      </c>
      <c r="F8126">
        <v>9</v>
      </c>
      <c r="G8126">
        <v>0</v>
      </c>
      <c r="H8126">
        <v>89</v>
      </c>
      <c r="I8126">
        <v>343</v>
      </c>
      <c r="J8126">
        <v>1</v>
      </c>
      <c r="K8126">
        <v>85</v>
      </c>
      <c r="L8126">
        <v>339</v>
      </c>
      <c r="M8126">
        <v>1</v>
      </c>
      <c r="N8126">
        <v>1.24246E-147</v>
      </c>
      <c r="O8126">
        <v>1338</v>
      </c>
    </row>
    <row r="8127" spans="1:15" x14ac:dyDescent="0.25">
      <c r="A8127" t="s">
        <v>8140</v>
      </c>
      <c r="B8127">
        <v>211</v>
      </c>
      <c r="C8127" s="1" t="str">
        <f>HYPERLINK("http://www.rosaceae.org/gb/gbrowse/malus_x_domestica/?name=MDP0000255523","MDP0000255523")</f>
        <v>MDP0000255523</v>
      </c>
      <c r="D8127">
        <v>46.54</v>
      </c>
      <c r="E8127">
        <v>159</v>
      </c>
      <c r="F8127">
        <v>85</v>
      </c>
      <c r="G8127">
        <v>18</v>
      </c>
      <c r="H8127">
        <v>53</v>
      </c>
      <c r="I8127">
        <v>211</v>
      </c>
      <c r="J8127">
        <v>1</v>
      </c>
      <c r="K8127">
        <v>9</v>
      </c>
      <c r="L8127">
        <v>149</v>
      </c>
      <c r="M8127">
        <v>1</v>
      </c>
      <c r="N8127">
        <v>9.8843600000000006E-31</v>
      </c>
      <c r="O8127">
        <v>327</v>
      </c>
    </row>
    <row r="8128" spans="1:15" x14ac:dyDescent="0.25">
      <c r="A8128" t="s">
        <v>8141</v>
      </c>
      <c r="B8128">
        <v>500</v>
      </c>
      <c r="C8128" s="1" t="str">
        <f>HYPERLINK("http://www.rosaceae.org/gb/gbrowse/malus_x_domestica/?name=MDP0000815435","MDP0000815435")</f>
        <v>MDP0000815435</v>
      </c>
      <c r="D8128">
        <v>88.67</v>
      </c>
      <c r="E8128">
        <v>468</v>
      </c>
      <c r="F8128">
        <v>53</v>
      </c>
      <c r="G8128">
        <v>3</v>
      </c>
      <c r="H8128">
        <v>1</v>
      </c>
      <c r="I8128">
        <v>466</v>
      </c>
      <c r="J8128">
        <v>1</v>
      </c>
      <c r="K8128">
        <v>1</v>
      </c>
      <c r="L8128">
        <v>467</v>
      </c>
      <c r="M8128">
        <v>1</v>
      </c>
      <c r="N8128">
        <v>0</v>
      </c>
      <c r="O8128">
        <v>2207</v>
      </c>
    </row>
    <row r="8129" spans="1:15" x14ac:dyDescent="0.25">
      <c r="A8129" t="s">
        <v>8142</v>
      </c>
      <c r="B8129">
        <v>269</v>
      </c>
      <c r="C8129" s="1" t="str">
        <f>HYPERLINK("http://www.rosaceae.org/gb/gbrowse/malus_x_domestica/?name=MDP0000202935","MDP0000202935")</f>
        <v>MDP0000202935</v>
      </c>
      <c r="D8129">
        <v>74.22</v>
      </c>
      <c r="E8129">
        <v>225</v>
      </c>
      <c r="F8129">
        <v>58</v>
      </c>
      <c r="G8129">
        <v>3</v>
      </c>
      <c r="H8129">
        <v>45</v>
      </c>
      <c r="I8129">
        <v>269</v>
      </c>
      <c r="J8129">
        <v>1</v>
      </c>
      <c r="K8129">
        <v>1</v>
      </c>
      <c r="L8129">
        <v>222</v>
      </c>
      <c r="M8129">
        <v>1</v>
      </c>
      <c r="N8129">
        <v>3.8035900000000003E-89</v>
      </c>
      <c r="O8129">
        <v>832</v>
      </c>
    </row>
    <row r="8130" spans="1:15" x14ac:dyDescent="0.25">
      <c r="A8130" t="s">
        <v>8143</v>
      </c>
      <c r="B8130">
        <v>377</v>
      </c>
      <c r="C8130" s="1" t="str">
        <f>HYPERLINK("http://www.rosaceae.org/gb/gbrowse/malus_x_domestica/?name=MDP0000270835","MDP0000270835")</f>
        <v>MDP0000270835</v>
      </c>
      <c r="D8130">
        <v>79.67</v>
      </c>
      <c r="E8130">
        <v>374</v>
      </c>
      <c r="F8130">
        <v>76</v>
      </c>
      <c r="G8130">
        <v>16</v>
      </c>
      <c r="H8130">
        <v>15</v>
      </c>
      <c r="I8130">
        <v>372</v>
      </c>
      <c r="J8130">
        <v>1</v>
      </c>
      <c r="K8130">
        <v>138</v>
      </c>
      <c r="L8130">
        <v>511</v>
      </c>
      <c r="M8130">
        <v>1</v>
      </c>
      <c r="N8130">
        <v>4.24428E-175</v>
      </c>
      <c r="O8130">
        <v>1575</v>
      </c>
    </row>
    <row r="8131" spans="1:15" x14ac:dyDescent="0.25">
      <c r="A8131" t="s">
        <v>8144</v>
      </c>
      <c r="B8131">
        <v>565</v>
      </c>
      <c r="C8131" s="1" t="str">
        <f>HYPERLINK("http://www.rosaceae.org/gb/gbrowse/malus_x_domestica/?name=MDP0000239998","MDP0000239998")</f>
        <v>MDP0000239998</v>
      </c>
      <c r="D8131">
        <v>53.23</v>
      </c>
      <c r="E8131">
        <v>588</v>
      </c>
      <c r="F8131">
        <v>275</v>
      </c>
      <c r="G8131">
        <v>69</v>
      </c>
      <c r="H8131">
        <v>25</v>
      </c>
      <c r="I8131">
        <v>547</v>
      </c>
      <c r="J8131">
        <v>1</v>
      </c>
      <c r="K8131">
        <v>37</v>
      </c>
      <c r="L8131">
        <v>620</v>
      </c>
      <c r="M8131">
        <v>1</v>
      </c>
      <c r="N8131">
        <v>3.5086799999999997E-173</v>
      </c>
      <c r="O8131">
        <v>1561</v>
      </c>
    </row>
    <row r="8132" spans="1:15" x14ac:dyDescent="0.25">
      <c r="A8132" t="s">
        <v>8145</v>
      </c>
      <c r="B8132">
        <v>215</v>
      </c>
      <c r="C8132" s="1" t="str">
        <f>HYPERLINK("http://www.rosaceae.org/gb/gbrowse/malus_x_domestica/?name=MDP0000749087","MDP0000749087")</f>
        <v>MDP0000749087</v>
      </c>
      <c r="D8132">
        <v>64.03</v>
      </c>
      <c r="E8132">
        <v>203</v>
      </c>
      <c r="F8132">
        <v>73</v>
      </c>
      <c r="G8132">
        <v>15</v>
      </c>
      <c r="H8132">
        <v>1</v>
      </c>
      <c r="I8132">
        <v>201</v>
      </c>
      <c r="J8132">
        <v>1</v>
      </c>
      <c r="K8132">
        <v>92</v>
      </c>
      <c r="L8132">
        <v>281</v>
      </c>
      <c r="M8132">
        <v>1</v>
      </c>
      <c r="N8132">
        <v>2.12954E-65</v>
      </c>
      <c r="O8132">
        <v>626</v>
      </c>
    </row>
    <row r="8133" spans="1:15" x14ac:dyDescent="0.25">
      <c r="A8133" t="s">
        <v>8146</v>
      </c>
      <c r="B8133">
        <v>477</v>
      </c>
      <c r="C8133" s="1" t="str">
        <f>HYPERLINK("http://www.rosaceae.org/gb/gbrowse/malus_x_domestica/?name=MDP0000281445","MDP0000281445")</f>
        <v>MDP0000281445</v>
      </c>
      <c r="D8133">
        <v>50.2</v>
      </c>
      <c r="E8133">
        <v>243</v>
      </c>
      <c r="F8133">
        <v>121</v>
      </c>
      <c r="G8133">
        <v>20</v>
      </c>
      <c r="H8133">
        <v>1</v>
      </c>
      <c r="I8133">
        <v>239</v>
      </c>
      <c r="J8133">
        <v>1</v>
      </c>
      <c r="K8133">
        <v>1</v>
      </c>
      <c r="L8133">
        <v>227</v>
      </c>
      <c r="M8133">
        <v>1</v>
      </c>
      <c r="N8133">
        <v>8.2838200000000003E-55</v>
      </c>
      <c r="O8133">
        <v>539</v>
      </c>
    </row>
    <row r="8134" spans="1:15" x14ac:dyDescent="0.25">
      <c r="A8134" t="s">
        <v>8147</v>
      </c>
      <c r="B8134">
        <v>381</v>
      </c>
      <c r="C8134" s="1" t="str">
        <f>HYPERLINK("http://www.rosaceae.org/gb/gbrowse/malus_x_domestica/?name=MDP0000298955","MDP0000298955")</f>
        <v>MDP0000298955</v>
      </c>
      <c r="D8134">
        <v>56.07</v>
      </c>
      <c r="E8134">
        <v>321</v>
      </c>
      <c r="F8134">
        <v>141</v>
      </c>
      <c r="G8134">
        <v>13</v>
      </c>
      <c r="H8134">
        <v>42</v>
      </c>
      <c r="I8134">
        <v>360</v>
      </c>
      <c r="J8134">
        <v>1</v>
      </c>
      <c r="K8134">
        <v>31</v>
      </c>
      <c r="L8134">
        <v>340</v>
      </c>
      <c r="M8134">
        <v>1</v>
      </c>
      <c r="N8134">
        <v>3.9489300000000002E-100</v>
      </c>
      <c r="O8134">
        <v>929</v>
      </c>
    </row>
    <row r="8135" spans="1:15" x14ac:dyDescent="0.25">
      <c r="A8135" t="s">
        <v>8148</v>
      </c>
      <c r="B8135">
        <v>236</v>
      </c>
      <c r="C8135" s="1" t="str">
        <f>HYPERLINK("http://www.rosaceae.org/gb/gbrowse/malus_x_domestica/?name=MDP0000143958","MDP0000143958")</f>
        <v>MDP0000143958</v>
      </c>
      <c r="D8135">
        <v>77.84</v>
      </c>
      <c r="E8135">
        <v>158</v>
      </c>
      <c r="F8135">
        <v>35</v>
      </c>
      <c r="G8135">
        <v>17</v>
      </c>
      <c r="H8135">
        <v>68</v>
      </c>
      <c r="I8135">
        <v>225</v>
      </c>
      <c r="J8135">
        <v>1</v>
      </c>
      <c r="K8135">
        <v>380</v>
      </c>
      <c r="L8135">
        <v>520</v>
      </c>
      <c r="M8135">
        <v>1</v>
      </c>
      <c r="N8135">
        <v>1.3427800000000001E-62</v>
      </c>
      <c r="O8135">
        <v>602</v>
      </c>
    </row>
    <row r="8136" spans="1:15" x14ac:dyDescent="0.25">
      <c r="A8136" t="s">
        <v>8149</v>
      </c>
      <c r="B8136">
        <v>474</v>
      </c>
      <c r="C8136" s="1" t="str">
        <f>HYPERLINK("http://www.rosaceae.org/gb/gbrowse/malus_x_domestica/?name=MDP0000285599","MDP0000285599")</f>
        <v>MDP0000285599</v>
      </c>
      <c r="D8136">
        <v>82.27</v>
      </c>
      <c r="E8136">
        <v>316</v>
      </c>
      <c r="F8136">
        <v>56</v>
      </c>
      <c r="G8136">
        <v>0</v>
      </c>
      <c r="H8136">
        <v>159</v>
      </c>
      <c r="I8136">
        <v>474</v>
      </c>
      <c r="J8136">
        <v>1</v>
      </c>
      <c r="K8136">
        <v>127</v>
      </c>
      <c r="L8136">
        <v>442</v>
      </c>
      <c r="M8136">
        <v>1</v>
      </c>
      <c r="N8136">
        <v>6.9843600000000002E-155</v>
      </c>
      <c r="O8136">
        <v>1402</v>
      </c>
    </row>
    <row r="8137" spans="1:15" x14ac:dyDescent="0.25">
      <c r="A8137" t="s">
        <v>8150</v>
      </c>
      <c r="B8137">
        <v>689</v>
      </c>
      <c r="C8137" s="1" t="str">
        <f>HYPERLINK("http://www.rosaceae.org/gb/gbrowse/malus_x_domestica/?name=MDP0000219481","MDP0000219481")</f>
        <v>MDP0000219481</v>
      </c>
      <c r="D8137">
        <v>56.26</v>
      </c>
      <c r="E8137">
        <v>830</v>
      </c>
      <c r="F8137">
        <v>363</v>
      </c>
      <c r="G8137">
        <v>168</v>
      </c>
      <c r="H8137">
        <v>1</v>
      </c>
      <c r="I8137">
        <v>689</v>
      </c>
      <c r="J8137">
        <v>1</v>
      </c>
      <c r="K8137">
        <v>1</v>
      </c>
      <c r="L8137">
        <v>803</v>
      </c>
      <c r="M8137">
        <v>1</v>
      </c>
      <c r="N8137">
        <v>0</v>
      </c>
      <c r="O8137">
        <v>2163</v>
      </c>
    </row>
    <row r="8138" spans="1:15" x14ac:dyDescent="0.25">
      <c r="A8138" t="s">
        <v>8151</v>
      </c>
      <c r="B8138">
        <v>628</v>
      </c>
      <c r="C8138" s="1" t="str">
        <f>HYPERLINK("http://www.rosaceae.org/gb/gbrowse/malus_x_domestica/?name=MDP0000184140","MDP0000184140")</f>
        <v>MDP0000184140</v>
      </c>
      <c r="D8138">
        <v>93.85</v>
      </c>
      <c r="E8138">
        <v>342</v>
      </c>
      <c r="F8138">
        <v>21</v>
      </c>
      <c r="G8138">
        <v>0</v>
      </c>
      <c r="H8138">
        <v>287</v>
      </c>
      <c r="I8138">
        <v>628</v>
      </c>
      <c r="J8138">
        <v>1</v>
      </c>
      <c r="K8138">
        <v>240</v>
      </c>
      <c r="L8138">
        <v>581</v>
      </c>
      <c r="M8138">
        <v>1</v>
      </c>
      <c r="N8138">
        <v>0</v>
      </c>
      <c r="O8138">
        <v>1793</v>
      </c>
    </row>
    <row r="8139" spans="1:15" x14ac:dyDescent="0.25">
      <c r="A8139" t="s">
        <v>8152</v>
      </c>
      <c r="B8139">
        <v>419</v>
      </c>
      <c r="C8139" s="1" t="str">
        <f>HYPERLINK("http://www.rosaceae.org/gb/gbrowse/malus_x_domestica/?name=MDP0000390130","MDP0000390130")</f>
        <v>MDP0000390130</v>
      </c>
      <c r="D8139">
        <v>69.41</v>
      </c>
      <c r="E8139">
        <v>376</v>
      </c>
      <c r="F8139">
        <v>115</v>
      </c>
      <c r="G8139">
        <v>42</v>
      </c>
      <c r="H8139">
        <v>1</v>
      </c>
      <c r="I8139">
        <v>351</v>
      </c>
      <c r="J8139">
        <v>1</v>
      </c>
      <c r="K8139">
        <v>1</v>
      </c>
      <c r="L8139">
        <v>359</v>
      </c>
      <c r="M8139">
        <v>1</v>
      </c>
      <c r="N8139">
        <v>2.8875299999999999E-133</v>
      </c>
      <c r="O8139">
        <v>1215</v>
      </c>
    </row>
    <row r="8140" spans="1:15" x14ac:dyDescent="0.25">
      <c r="A8140" t="s">
        <v>8153</v>
      </c>
      <c r="B8140">
        <v>216</v>
      </c>
      <c r="C8140" s="1" t="str">
        <f>HYPERLINK("http://www.rosaceae.org/gb/gbrowse/malus_x_domestica/?name=MDP0000314694","MDP0000314694")</f>
        <v>MDP0000314694</v>
      </c>
      <c r="D8140">
        <v>73.91</v>
      </c>
      <c r="E8140">
        <v>92</v>
      </c>
      <c r="F8140">
        <v>24</v>
      </c>
      <c r="G8140">
        <v>0</v>
      </c>
      <c r="H8140">
        <v>46</v>
      </c>
      <c r="I8140">
        <v>137</v>
      </c>
      <c r="J8140">
        <v>1</v>
      </c>
      <c r="K8140">
        <v>25</v>
      </c>
      <c r="L8140">
        <v>116</v>
      </c>
      <c r="M8140">
        <v>1</v>
      </c>
      <c r="N8140">
        <v>1.5779500000000001E-35</v>
      </c>
      <c r="O8140">
        <v>368</v>
      </c>
    </row>
    <row r="8141" spans="1:15" x14ac:dyDescent="0.25">
      <c r="A8141" t="s">
        <v>8154</v>
      </c>
      <c r="B8141">
        <v>1124</v>
      </c>
      <c r="C8141" s="1" t="str">
        <f>HYPERLINK("http://www.rosaceae.org/gb/gbrowse/malus_x_domestica/?name=MDP0000282086","MDP0000282086")</f>
        <v>MDP0000282086</v>
      </c>
      <c r="D8141">
        <v>71.66</v>
      </c>
      <c r="E8141">
        <v>854</v>
      </c>
      <c r="F8141">
        <v>242</v>
      </c>
      <c r="G8141">
        <v>17</v>
      </c>
      <c r="H8141">
        <v>278</v>
      </c>
      <c r="I8141">
        <v>1121</v>
      </c>
      <c r="J8141">
        <v>1</v>
      </c>
      <c r="K8141">
        <v>221</v>
      </c>
      <c r="L8141">
        <v>1067</v>
      </c>
      <c r="M8141">
        <v>1</v>
      </c>
      <c r="N8141">
        <v>0</v>
      </c>
      <c r="O8141">
        <v>3044</v>
      </c>
    </row>
    <row r="8142" spans="1:15" x14ac:dyDescent="0.25">
      <c r="A8142" t="s">
        <v>8155</v>
      </c>
      <c r="B8142">
        <v>301</v>
      </c>
      <c r="C8142" s="1" t="str">
        <f>HYPERLINK("http://www.rosaceae.org/gb/gbrowse/malus_x_domestica/?name=MDP0000412849","MDP0000412849")</f>
        <v>MDP0000412849</v>
      </c>
      <c r="D8142">
        <v>58.82</v>
      </c>
      <c r="E8142">
        <v>272</v>
      </c>
      <c r="F8142">
        <v>112</v>
      </c>
      <c r="G8142">
        <v>8</v>
      </c>
      <c r="H8142">
        <v>32</v>
      </c>
      <c r="I8142">
        <v>300</v>
      </c>
      <c r="J8142">
        <v>1</v>
      </c>
      <c r="K8142">
        <v>33</v>
      </c>
      <c r="L8142">
        <v>299</v>
      </c>
      <c r="M8142">
        <v>1</v>
      </c>
      <c r="N8142">
        <v>1.04387E-87</v>
      </c>
      <c r="O8142">
        <v>820</v>
      </c>
    </row>
    <row r="8143" spans="1:15" x14ac:dyDescent="0.25">
      <c r="A8143" t="s">
        <v>8156</v>
      </c>
      <c r="B8143">
        <v>303</v>
      </c>
      <c r="C8143" s="1" t="str">
        <f>HYPERLINK("http://www.rosaceae.org/gb/gbrowse/malus_x_domestica/?name=MDP0000900067","MDP0000900067")</f>
        <v>MDP0000900067</v>
      </c>
      <c r="D8143">
        <v>48.28</v>
      </c>
      <c r="E8143">
        <v>350</v>
      </c>
      <c r="F8143">
        <v>181</v>
      </c>
      <c r="G8143">
        <v>49</v>
      </c>
      <c r="H8143">
        <v>1</v>
      </c>
      <c r="I8143">
        <v>302</v>
      </c>
      <c r="J8143">
        <v>1</v>
      </c>
      <c r="K8143">
        <v>1</v>
      </c>
      <c r="L8143">
        <v>349</v>
      </c>
      <c r="M8143">
        <v>1</v>
      </c>
      <c r="N8143">
        <v>5.1258900000000005E-72</v>
      </c>
      <c r="O8143">
        <v>685</v>
      </c>
    </row>
    <row r="8144" spans="1:15" x14ac:dyDescent="0.25">
      <c r="A8144" t="s">
        <v>8157</v>
      </c>
      <c r="B8144">
        <v>576</v>
      </c>
      <c r="C8144" s="1" t="str">
        <f>HYPERLINK("http://www.rosaceae.org/gb/gbrowse/malus_x_domestica/?name=MDP0000283088","MDP0000283088")</f>
        <v>MDP0000283088</v>
      </c>
      <c r="D8144">
        <v>64.569999999999993</v>
      </c>
      <c r="E8144">
        <v>477</v>
      </c>
      <c r="F8144">
        <v>169</v>
      </c>
      <c r="G8144">
        <v>31</v>
      </c>
      <c r="H8144">
        <v>1</v>
      </c>
      <c r="I8144">
        <v>474</v>
      </c>
      <c r="J8144">
        <v>1</v>
      </c>
      <c r="K8144">
        <v>1</v>
      </c>
      <c r="L8144">
        <v>449</v>
      </c>
      <c r="M8144">
        <v>1</v>
      </c>
      <c r="N8144">
        <v>4.98106E-169</v>
      </c>
      <c r="O8144">
        <v>1525</v>
      </c>
    </row>
    <row r="8145" spans="1:15" x14ac:dyDescent="0.25">
      <c r="A8145" t="s">
        <v>8158</v>
      </c>
      <c r="B8145">
        <v>115</v>
      </c>
      <c r="C8145" s="1" t="str">
        <f>HYPERLINK("http://www.rosaceae.org/gb/gbrowse/malus_x_domestica/?name=MDP0000234078","MDP0000234078")</f>
        <v>MDP0000234078</v>
      </c>
      <c r="D8145">
        <v>97.39</v>
      </c>
      <c r="E8145">
        <v>115</v>
      </c>
      <c r="F8145">
        <v>3</v>
      </c>
      <c r="G8145">
        <v>0</v>
      </c>
      <c r="H8145">
        <v>1</v>
      </c>
      <c r="I8145">
        <v>115</v>
      </c>
      <c r="J8145">
        <v>1</v>
      </c>
      <c r="K8145">
        <v>217</v>
      </c>
      <c r="L8145">
        <v>331</v>
      </c>
      <c r="M8145">
        <v>1</v>
      </c>
      <c r="N8145">
        <v>8.32728E-66</v>
      </c>
      <c r="O8145">
        <v>625</v>
      </c>
    </row>
    <row r="8146" spans="1:15" x14ac:dyDescent="0.25">
      <c r="A8146" t="s">
        <v>8159</v>
      </c>
      <c r="B8146">
        <v>391</v>
      </c>
      <c r="C8146" s="1" t="str">
        <f>HYPERLINK("http://www.rosaceae.org/gb/gbrowse/malus_x_domestica/?name=MDP0000340624","MDP0000340624")</f>
        <v>MDP0000340624</v>
      </c>
      <c r="D8146">
        <v>87.87</v>
      </c>
      <c r="E8146">
        <v>404</v>
      </c>
      <c r="F8146">
        <v>49</v>
      </c>
      <c r="G8146">
        <v>15</v>
      </c>
      <c r="H8146">
        <v>1</v>
      </c>
      <c r="I8146">
        <v>389</v>
      </c>
      <c r="J8146">
        <v>1</v>
      </c>
      <c r="K8146">
        <v>1</v>
      </c>
      <c r="L8146">
        <v>404</v>
      </c>
      <c r="M8146">
        <v>1</v>
      </c>
      <c r="N8146">
        <v>0</v>
      </c>
      <c r="O8146">
        <v>1872</v>
      </c>
    </row>
    <row r="8147" spans="1:15" x14ac:dyDescent="0.25">
      <c r="A8147" t="s">
        <v>8160</v>
      </c>
      <c r="B8147">
        <v>231</v>
      </c>
      <c r="C8147" s="1" t="str">
        <f>HYPERLINK("http://www.rosaceae.org/gb/gbrowse/malus_x_domestica/?name=MDP0000849339","MDP0000849339")</f>
        <v>MDP0000849339</v>
      </c>
      <c r="D8147">
        <v>68.040000000000006</v>
      </c>
      <c r="E8147">
        <v>241</v>
      </c>
      <c r="F8147">
        <v>77</v>
      </c>
      <c r="G8147">
        <v>10</v>
      </c>
      <c r="H8147">
        <v>1</v>
      </c>
      <c r="I8147">
        <v>231</v>
      </c>
      <c r="J8147">
        <v>1</v>
      </c>
      <c r="K8147">
        <v>1</v>
      </c>
      <c r="L8147">
        <v>241</v>
      </c>
      <c r="M8147">
        <v>1</v>
      </c>
      <c r="N8147">
        <v>6.6941000000000001E-90</v>
      </c>
      <c r="O8147">
        <v>838</v>
      </c>
    </row>
    <row r="8148" spans="1:15" x14ac:dyDescent="0.25">
      <c r="A8148" t="s">
        <v>8161</v>
      </c>
      <c r="B8148">
        <v>480</v>
      </c>
      <c r="C8148" s="1" t="str">
        <f>HYPERLINK("http://www.rosaceae.org/gb/gbrowse/malus_x_domestica/?name=MDP0000275594","MDP0000275594")</f>
        <v>MDP0000275594</v>
      </c>
      <c r="D8148">
        <v>59.61</v>
      </c>
      <c r="E8148">
        <v>416</v>
      </c>
      <c r="F8148">
        <v>168</v>
      </c>
      <c r="G8148">
        <v>36</v>
      </c>
      <c r="H8148">
        <v>33</v>
      </c>
      <c r="I8148">
        <v>419</v>
      </c>
      <c r="J8148">
        <v>1</v>
      </c>
      <c r="K8148">
        <v>26</v>
      </c>
      <c r="L8148">
        <v>434</v>
      </c>
      <c r="M8148">
        <v>1</v>
      </c>
      <c r="N8148">
        <v>4.2794299999999999E-145</v>
      </c>
      <c r="O8148">
        <v>1318</v>
      </c>
    </row>
    <row r="8149" spans="1:15" x14ac:dyDescent="0.25">
      <c r="A8149" t="s">
        <v>8162</v>
      </c>
      <c r="B8149">
        <v>144</v>
      </c>
      <c r="C8149" s="1" t="str">
        <f>HYPERLINK("http://www.rosaceae.org/gb/gbrowse/malus_x_domestica/?name=MDP0000771887","MDP0000771887")</f>
        <v>MDP0000771887</v>
      </c>
      <c r="D8149">
        <v>67.37</v>
      </c>
      <c r="E8149">
        <v>141</v>
      </c>
      <c r="F8149">
        <v>46</v>
      </c>
      <c r="G8149">
        <v>2</v>
      </c>
      <c r="H8149">
        <v>4</v>
      </c>
      <c r="I8149">
        <v>144</v>
      </c>
      <c r="J8149">
        <v>1</v>
      </c>
      <c r="K8149">
        <v>9</v>
      </c>
      <c r="L8149">
        <v>147</v>
      </c>
      <c r="M8149">
        <v>1</v>
      </c>
      <c r="N8149">
        <v>6.3941799999999997E-46</v>
      </c>
      <c r="O8149">
        <v>455</v>
      </c>
    </row>
    <row r="8150" spans="1:15" x14ac:dyDescent="0.25">
      <c r="A8150" t="s">
        <v>8163</v>
      </c>
      <c r="B8150">
        <v>410</v>
      </c>
      <c r="C8150" s="1" t="str">
        <f>HYPERLINK("http://www.rosaceae.org/gb/gbrowse/malus_x_domestica/?name=MDP0000332757","MDP0000332757")</f>
        <v>MDP0000332757</v>
      </c>
      <c r="D8150">
        <v>85.35</v>
      </c>
      <c r="E8150">
        <v>355</v>
      </c>
      <c r="F8150">
        <v>52</v>
      </c>
      <c r="G8150">
        <v>3</v>
      </c>
      <c r="H8150">
        <v>1</v>
      </c>
      <c r="I8150">
        <v>352</v>
      </c>
      <c r="J8150">
        <v>1</v>
      </c>
      <c r="K8150">
        <v>1</v>
      </c>
      <c r="L8150">
        <v>355</v>
      </c>
      <c r="M8150">
        <v>1</v>
      </c>
      <c r="N8150">
        <v>8.9898799999999994E-173</v>
      </c>
      <c r="O8150">
        <v>1556</v>
      </c>
    </row>
    <row r="8151" spans="1:15" x14ac:dyDescent="0.25">
      <c r="A8151" t="s">
        <v>8164</v>
      </c>
      <c r="B8151">
        <v>800</v>
      </c>
      <c r="C8151" s="1" t="str">
        <f>HYPERLINK("http://www.rosaceae.org/gb/gbrowse/malus_x_domestica/?name=MDP0000635687","MDP0000635687")</f>
        <v>MDP0000635687</v>
      </c>
      <c r="D8151">
        <v>61.18</v>
      </c>
      <c r="E8151">
        <v>809</v>
      </c>
      <c r="F8151">
        <v>314</v>
      </c>
      <c r="G8151">
        <v>22</v>
      </c>
      <c r="H8151">
        <v>1</v>
      </c>
      <c r="I8151">
        <v>800</v>
      </c>
      <c r="J8151">
        <v>1</v>
      </c>
      <c r="K8151">
        <v>1</v>
      </c>
      <c r="L8151">
        <v>796</v>
      </c>
      <c r="M8151">
        <v>1</v>
      </c>
      <c r="N8151">
        <v>0</v>
      </c>
      <c r="O8151">
        <v>2468</v>
      </c>
    </row>
    <row r="8152" spans="1:15" x14ac:dyDescent="0.25">
      <c r="A8152" t="s">
        <v>8165</v>
      </c>
      <c r="B8152">
        <v>349</v>
      </c>
      <c r="C8152" s="1" t="str">
        <f>HYPERLINK("http://www.rosaceae.org/gb/gbrowse/malus_x_domestica/?name=MDP0000319015","MDP0000319015")</f>
        <v>MDP0000319015</v>
      </c>
      <c r="D8152">
        <v>41.2</v>
      </c>
      <c r="E8152">
        <v>216</v>
      </c>
      <c r="F8152">
        <v>127</v>
      </c>
      <c r="G8152">
        <v>23</v>
      </c>
      <c r="H8152">
        <v>115</v>
      </c>
      <c r="I8152">
        <v>311</v>
      </c>
      <c r="J8152">
        <v>1</v>
      </c>
      <c r="K8152">
        <v>144</v>
      </c>
      <c r="L8152">
        <v>355</v>
      </c>
      <c r="M8152">
        <v>1</v>
      </c>
      <c r="N8152">
        <v>2.1902499999999999E-37</v>
      </c>
      <c r="O8152">
        <v>387</v>
      </c>
    </row>
    <row r="8153" spans="1:15" x14ac:dyDescent="0.25">
      <c r="A8153" t="s">
        <v>8166</v>
      </c>
      <c r="B8153">
        <v>580</v>
      </c>
      <c r="C8153" s="1" t="str">
        <f>HYPERLINK("http://www.rosaceae.org/gb/gbrowse/malus_x_domestica/?name=MDP0000313730","MDP0000313730")</f>
        <v>MDP0000313730</v>
      </c>
      <c r="D8153">
        <v>71.400000000000006</v>
      </c>
      <c r="E8153">
        <v>563</v>
      </c>
      <c r="F8153">
        <v>161</v>
      </c>
      <c r="G8153">
        <v>12</v>
      </c>
      <c r="H8153">
        <v>29</v>
      </c>
      <c r="I8153">
        <v>580</v>
      </c>
      <c r="J8153">
        <v>1</v>
      </c>
      <c r="K8153">
        <v>21</v>
      </c>
      <c r="L8153">
        <v>582</v>
      </c>
      <c r="M8153">
        <v>1</v>
      </c>
      <c r="N8153">
        <v>0</v>
      </c>
      <c r="O8153">
        <v>2093</v>
      </c>
    </row>
    <row r="8154" spans="1:15" x14ac:dyDescent="0.25">
      <c r="A8154" t="s">
        <v>8167</v>
      </c>
      <c r="B8154">
        <v>335</v>
      </c>
      <c r="C8154" s="1" t="str">
        <f>HYPERLINK("http://www.rosaceae.org/gb/gbrowse/malus_x_domestica/?name=MDP0000280298","MDP0000280298")</f>
        <v>MDP0000280298</v>
      </c>
      <c r="D8154">
        <v>86.6</v>
      </c>
      <c r="E8154">
        <v>321</v>
      </c>
      <c r="F8154">
        <v>43</v>
      </c>
      <c r="G8154">
        <v>9</v>
      </c>
      <c r="H8154">
        <v>1</v>
      </c>
      <c r="I8154">
        <v>313</v>
      </c>
      <c r="J8154">
        <v>1</v>
      </c>
      <c r="K8154">
        <v>1</v>
      </c>
      <c r="L8154">
        <v>320</v>
      </c>
      <c r="M8154">
        <v>1</v>
      </c>
      <c r="N8154">
        <v>2.18241E-163</v>
      </c>
      <c r="O8154">
        <v>1474</v>
      </c>
    </row>
    <row r="8155" spans="1:15" x14ac:dyDescent="0.25">
      <c r="A8155" t="s">
        <v>8168</v>
      </c>
      <c r="B8155">
        <v>870</v>
      </c>
      <c r="C8155" s="1" t="str">
        <f>HYPERLINK("http://www.rosaceae.org/gb/gbrowse/malus_x_domestica/?name=MDP0000399057","MDP0000399057")</f>
        <v>MDP0000399057</v>
      </c>
      <c r="D8155">
        <v>87.7</v>
      </c>
      <c r="E8155">
        <v>870</v>
      </c>
      <c r="F8155">
        <v>107</v>
      </c>
      <c r="G8155">
        <v>2</v>
      </c>
      <c r="H8155">
        <v>2</v>
      </c>
      <c r="I8155">
        <v>870</v>
      </c>
      <c r="J8155">
        <v>1</v>
      </c>
      <c r="K8155">
        <v>66</v>
      </c>
      <c r="L8155">
        <v>934</v>
      </c>
      <c r="M8155">
        <v>1</v>
      </c>
      <c r="N8155">
        <v>0</v>
      </c>
      <c r="O8155">
        <v>4073</v>
      </c>
    </row>
    <row r="8156" spans="1:15" x14ac:dyDescent="0.25">
      <c r="A8156" t="s">
        <v>8169</v>
      </c>
      <c r="B8156">
        <v>225</v>
      </c>
      <c r="C8156" s="1" t="str">
        <f>HYPERLINK("http://www.rosaceae.org/gb/gbrowse/malus_x_domestica/?name=MDP0000262752","MDP0000262752")</f>
        <v>MDP0000262752</v>
      </c>
      <c r="D8156">
        <v>68.25</v>
      </c>
      <c r="E8156">
        <v>252</v>
      </c>
      <c r="F8156">
        <v>80</v>
      </c>
      <c r="G8156">
        <v>28</v>
      </c>
      <c r="H8156">
        <v>1</v>
      </c>
      <c r="I8156">
        <v>225</v>
      </c>
      <c r="J8156">
        <v>1</v>
      </c>
      <c r="K8156">
        <v>165</v>
      </c>
      <c r="L8156">
        <v>415</v>
      </c>
      <c r="M8156">
        <v>1</v>
      </c>
      <c r="N8156">
        <v>1.5997699999999999E-88</v>
      </c>
      <c r="O8156">
        <v>826</v>
      </c>
    </row>
    <row r="8157" spans="1:15" x14ac:dyDescent="0.25">
      <c r="A8157" t="s">
        <v>8170</v>
      </c>
      <c r="B8157">
        <v>419</v>
      </c>
      <c r="C8157" s="1" t="str">
        <f>HYPERLINK("http://www.rosaceae.org/gb/gbrowse/malus_x_domestica/?name=MDP0000191575","MDP0000191575")</f>
        <v>MDP0000191575</v>
      </c>
      <c r="D8157">
        <v>64.25</v>
      </c>
      <c r="E8157">
        <v>414</v>
      </c>
      <c r="F8157">
        <v>148</v>
      </c>
      <c r="G8157">
        <v>34</v>
      </c>
      <c r="H8157">
        <v>1</v>
      </c>
      <c r="I8157">
        <v>409</v>
      </c>
      <c r="J8157">
        <v>1</v>
      </c>
      <c r="K8157">
        <v>136</v>
      </c>
      <c r="L8157">
        <v>520</v>
      </c>
      <c r="M8157">
        <v>1</v>
      </c>
      <c r="N8157">
        <v>3.4050100000000001E-140</v>
      </c>
      <c r="O8157">
        <v>1275</v>
      </c>
    </row>
    <row r="8158" spans="1:15" x14ac:dyDescent="0.25">
      <c r="A8158" t="s">
        <v>8171</v>
      </c>
      <c r="B8158">
        <v>1188</v>
      </c>
      <c r="C8158" s="1" t="str">
        <f>HYPERLINK("http://www.rosaceae.org/gb/gbrowse/malus_x_domestica/?name=MDP0000311632","MDP0000311632")</f>
        <v>MDP0000311632</v>
      </c>
      <c r="D8158">
        <v>49.59</v>
      </c>
      <c r="E8158">
        <v>867</v>
      </c>
      <c r="F8158">
        <v>437</v>
      </c>
      <c r="G8158">
        <v>143</v>
      </c>
      <c r="H8158">
        <v>16</v>
      </c>
      <c r="I8158">
        <v>853</v>
      </c>
      <c r="J8158">
        <v>1</v>
      </c>
      <c r="K8158">
        <v>10</v>
      </c>
      <c r="L8158">
        <v>762</v>
      </c>
      <c r="M8158">
        <v>1</v>
      </c>
      <c r="N8158">
        <v>0</v>
      </c>
      <c r="O8158">
        <v>1778</v>
      </c>
    </row>
    <row r="8159" spans="1:15" x14ac:dyDescent="0.25">
      <c r="A8159" t="s">
        <v>8172</v>
      </c>
      <c r="B8159">
        <v>195</v>
      </c>
      <c r="C8159" s="1" t="str">
        <f>HYPERLINK("http://www.rosaceae.org/gb/gbrowse/malus_x_domestica/?name=MDP0000300536","MDP0000300536")</f>
        <v>MDP0000300536</v>
      </c>
      <c r="D8159">
        <v>47.23</v>
      </c>
      <c r="E8159">
        <v>163</v>
      </c>
      <c r="F8159">
        <v>86</v>
      </c>
      <c r="G8159">
        <v>7</v>
      </c>
      <c r="H8159">
        <v>34</v>
      </c>
      <c r="I8159">
        <v>191</v>
      </c>
      <c r="J8159">
        <v>1</v>
      </c>
      <c r="K8159">
        <v>629</v>
      </c>
      <c r="L8159">
        <v>789</v>
      </c>
      <c r="M8159">
        <v>1</v>
      </c>
      <c r="N8159">
        <v>1.2816499999999999E-32</v>
      </c>
      <c r="O8159">
        <v>343</v>
      </c>
    </row>
    <row r="8160" spans="1:15" x14ac:dyDescent="0.25">
      <c r="A8160" t="s">
        <v>8173</v>
      </c>
      <c r="B8160">
        <v>141</v>
      </c>
      <c r="C8160" s="1" t="str">
        <f>HYPERLINK("http://www.rosaceae.org/gb/gbrowse/malus_x_domestica/?name=MDP0000283221","MDP0000283221")</f>
        <v>MDP0000283221</v>
      </c>
      <c r="D8160">
        <v>83.33</v>
      </c>
      <c r="E8160">
        <v>48</v>
      </c>
      <c r="F8160">
        <v>8</v>
      </c>
      <c r="G8160">
        <v>0</v>
      </c>
      <c r="H8160">
        <v>40</v>
      </c>
      <c r="I8160">
        <v>87</v>
      </c>
      <c r="J8160">
        <v>1</v>
      </c>
      <c r="K8160">
        <v>1</v>
      </c>
      <c r="L8160">
        <v>48</v>
      </c>
      <c r="M8160">
        <v>1</v>
      </c>
      <c r="N8160">
        <v>4.9675200000000002E-17</v>
      </c>
      <c r="O8160">
        <v>206</v>
      </c>
    </row>
    <row r="8161" spans="1:15" x14ac:dyDescent="0.25">
      <c r="A8161" t="s">
        <v>8174</v>
      </c>
      <c r="B8161">
        <v>813</v>
      </c>
      <c r="C8161" s="1" t="str">
        <f>HYPERLINK("http://www.rosaceae.org/gb/gbrowse/malus_x_domestica/?name=MDP0000296830","MDP0000296830")</f>
        <v>MDP0000296830</v>
      </c>
      <c r="D8161">
        <v>76.459999999999994</v>
      </c>
      <c r="E8161">
        <v>735</v>
      </c>
      <c r="F8161">
        <v>173</v>
      </c>
      <c r="G8161">
        <v>0</v>
      </c>
      <c r="H8161">
        <v>38</v>
      </c>
      <c r="I8161">
        <v>772</v>
      </c>
      <c r="J8161">
        <v>1</v>
      </c>
      <c r="K8161">
        <v>38</v>
      </c>
      <c r="L8161">
        <v>772</v>
      </c>
      <c r="M8161">
        <v>1</v>
      </c>
      <c r="N8161">
        <v>0</v>
      </c>
      <c r="O8161">
        <v>3056</v>
      </c>
    </row>
    <row r="8162" spans="1:15" x14ac:dyDescent="0.25">
      <c r="A8162" t="s">
        <v>8175</v>
      </c>
      <c r="B8162">
        <v>489</v>
      </c>
      <c r="C8162" s="1" t="str">
        <f>HYPERLINK("http://www.rosaceae.org/gb/gbrowse/malus_x_domestica/?name=MDP0000908338","MDP0000908338")</f>
        <v>MDP0000908338</v>
      </c>
      <c r="D8162">
        <v>71.569999999999993</v>
      </c>
      <c r="E8162">
        <v>489</v>
      </c>
      <c r="F8162">
        <v>139</v>
      </c>
      <c r="G8162">
        <v>20</v>
      </c>
      <c r="H8162">
        <v>1</v>
      </c>
      <c r="I8162">
        <v>489</v>
      </c>
      <c r="J8162">
        <v>1</v>
      </c>
      <c r="K8162">
        <v>1</v>
      </c>
      <c r="L8162">
        <v>469</v>
      </c>
      <c r="M8162">
        <v>1</v>
      </c>
      <c r="N8162">
        <v>0</v>
      </c>
      <c r="O8162">
        <v>1848</v>
      </c>
    </row>
    <row r="8163" spans="1:15" x14ac:dyDescent="0.25">
      <c r="A8163" t="s">
        <v>8176</v>
      </c>
      <c r="B8163">
        <v>296</v>
      </c>
      <c r="C8163" s="1" t="str">
        <f>HYPERLINK("http://www.rosaceae.org/gb/gbrowse/malus_x_domestica/?name=MDP0000194001","MDP0000194001")</f>
        <v>MDP0000194001</v>
      </c>
      <c r="D8163">
        <v>42.9</v>
      </c>
      <c r="E8163">
        <v>289</v>
      </c>
      <c r="F8163">
        <v>165</v>
      </c>
      <c r="G8163">
        <v>33</v>
      </c>
      <c r="H8163">
        <v>5</v>
      </c>
      <c r="I8163">
        <v>266</v>
      </c>
      <c r="J8163">
        <v>1</v>
      </c>
      <c r="K8163">
        <v>2</v>
      </c>
      <c r="L8163">
        <v>284</v>
      </c>
      <c r="M8163">
        <v>1</v>
      </c>
      <c r="N8163">
        <v>1.2142100000000001E-53</v>
      </c>
      <c r="O8163">
        <v>526</v>
      </c>
    </row>
    <row r="8164" spans="1:15" x14ac:dyDescent="0.25">
      <c r="A8164" t="s">
        <v>8177</v>
      </c>
      <c r="B8164">
        <v>145</v>
      </c>
      <c r="C8164" s="1" t="str">
        <f>HYPERLINK("http://www.rosaceae.org/gb/gbrowse/malus_x_domestica/?name=MDP0000167808","MDP0000167808")</f>
        <v>MDP0000167808</v>
      </c>
      <c r="D8164">
        <v>52.81</v>
      </c>
      <c r="E8164">
        <v>142</v>
      </c>
      <c r="F8164">
        <v>67</v>
      </c>
      <c r="G8164">
        <v>9</v>
      </c>
      <c r="H8164">
        <v>12</v>
      </c>
      <c r="I8164">
        <v>145</v>
      </c>
      <c r="J8164">
        <v>1</v>
      </c>
      <c r="K8164">
        <v>120</v>
      </c>
      <c r="L8164">
        <v>260</v>
      </c>
      <c r="M8164">
        <v>1</v>
      </c>
      <c r="N8164">
        <v>4.3857600000000002E-39</v>
      </c>
      <c r="O8164">
        <v>396</v>
      </c>
    </row>
    <row r="8165" spans="1:15" x14ac:dyDescent="0.25">
      <c r="A8165" t="s">
        <v>8178</v>
      </c>
      <c r="B8165">
        <v>515</v>
      </c>
      <c r="C8165" s="1" t="str">
        <f>HYPERLINK("http://www.rosaceae.org/gb/gbrowse/malus_x_domestica/?name=MDP0000274017","MDP0000274017")</f>
        <v>MDP0000274017</v>
      </c>
      <c r="D8165">
        <v>80.52</v>
      </c>
      <c r="E8165">
        <v>529</v>
      </c>
      <c r="F8165">
        <v>103</v>
      </c>
      <c r="G8165">
        <v>14</v>
      </c>
      <c r="H8165">
        <v>1</v>
      </c>
      <c r="I8165">
        <v>515</v>
      </c>
      <c r="J8165">
        <v>1</v>
      </c>
      <c r="K8165">
        <v>1</v>
      </c>
      <c r="L8165">
        <v>529</v>
      </c>
      <c r="M8165">
        <v>1</v>
      </c>
      <c r="N8165">
        <v>0</v>
      </c>
      <c r="O8165">
        <v>2235</v>
      </c>
    </row>
    <row r="8166" spans="1:15" x14ac:dyDescent="0.25">
      <c r="A8166" t="s">
        <v>8179</v>
      </c>
      <c r="B8166">
        <v>550</v>
      </c>
      <c r="C8166" s="1" t="str">
        <f>HYPERLINK("http://www.rosaceae.org/gb/gbrowse/malus_x_domestica/?name=MDP0000234487","MDP0000234487")</f>
        <v>MDP0000234487</v>
      </c>
      <c r="D8166">
        <v>85.45</v>
      </c>
      <c r="E8166">
        <v>502</v>
      </c>
      <c r="F8166">
        <v>73</v>
      </c>
      <c r="G8166">
        <v>15</v>
      </c>
      <c r="H8166">
        <v>1</v>
      </c>
      <c r="I8166">
        <v>501</v>
      </c>
      <c r="J8166">
        <v>1</v>
      </c>
      <c r="K8166">
        <v>58</v>
      </c>
      <c r="L8166">
        <v>545</v>
      </c>
      <c r="M8166">
        <v>1</v>
      </c>
      <c r="N8166">
        <v>0</v>
      </c>
      <c r="O8166">
        <v>2269</v>
      </c>
    </row>
    <row r="8167" spans="1:15" x14ac:dyDescent="0.25">
      <c r="A8167" t="s">
        <v>8180</v>
      </c>
      <c r="B8167">
        <v>275</v>
      </c>
      <c r="C8167" s="1" t="str">
        <f>HYPERLINK("http://www.rosaceae.org/gb/gbrowse/malus_x_domestica/?name=MDP0000280921","MDP0000280921")</f>
        <v>MDP0000280921</v>
      </c>
      <c r="D8167">
        <v>51.61</v>
      </c>
      <c r="E8167">
        <v>279</v>
      </c>
      <c r="F8167">
        <v>135</v>
      </c>
      <c r="G8167">
        <v>38</v>
      </c>
      <c r="H8167">
        <v>9</v>
      </c>
      <c r="I8167">
        <v>256</v>
      </c>
      <c r="J8167">
        <v>1</v>
      </c>
      <c r="K8167">
        <v>42</v>
      </c>
      <c r="L8167">
        <v>313</v>
      </c>
      <c r="M8167">
        <v>1</v>
      </c>
      <c r="N8167">
        <v>3.72017E-57</v>
      </c>
      <c r="O8167">
        <v>556</v>
      </c>
    </row>
    <row r="8168" spans="1:15" x14ac:dyDescent="0.25">
      <c r="A8168" t="s">
        <v>8181</v>
      </c>
      <c r="B8168">
        <v>254</v>
      </c>
      <c r="C8168" s="1" t="str">
        <f>HYPERLINK("http://www.rosaceae.org/gb/gbrowse/malus_x_domestica/?name=MDP0000840525","MDP0000840525")</f>
        <v>MDP0000840525</v>
      </c>
      <c r="D8168">
        <v>35.51</v>
      </c>
      <c r="E8168">
        <v>107</v>
      </c>
      <c r="F8168">
        <v>69</v>
      </c>
      <c r="G8168">
        <v>2</v>
      </c>
      <c r="H8168">
        <v>1</v>
      </c>
      <c r="I8168">
        <v>106</v>
      </c>
      <c r="J8168">
        <v>1</v>
      </c>
      <c r="K8168">
        <v>424</v>
      </c>
      <c r="L8168">
        <v>529</v>
      </c>
      <c r="M8168">
        <v>1</v>
      </c>
      <c r="N8168">
        <v>1.22889E-13</v>
      </c>
      <c r="O8168">
        <v>181</v>
      </c>
    </row>
    <row r="8169" spans="1:15" x14ac:dyDescent="0.25">
      <c r="A8169" t="s">
        <v>8182</v>
      </c>
      <c r="B8169">
        <v>335</v>
      </c>
      <c r="C8169" s="1" t="str">
        <f>HYPERLINK("http://www.rosaceae.org/gb/gbrowse/malus_x_domestica/?name=MDP0000478473","MDP0000478473")</f>
        <v>MDP0000478473</v>
      </c>
      <c r="D8169">
        <v>35.89</v>
      </c>
      <c r="E8169">
        <v>351</v>
      </c>
      <c r="F8169">
        <v>225</v>
      </c>
      <c r="G8169">
        <v>49</v>
      </c>
      <c r="H8169">
        <v>6</v>
      </c>
      <c r="I8169">
        <v>318</v>
      </c>
      <c r="J8169">
        <v>1</v>
      </c>
      <c r="K8169">
        <v>4</v>
      </c>
      <c r="L8169">
        <v>343</v>
      </c>
      <c r="M8169">
        <v>1</v>
      </c>
      <c r="N8169">
        <v>9.2108700000000003E-60</v>
      </c>
      <c r="O8169">
        <v>580</v>
      </c>
    </row>
    <row r="8170" spans="1:15" x14ac:dyDescent="0.25">
      <c r="A8170" t="s">
        <v>8183</v>
      </c>
      <c r="B8170">
        <v>118</v>
      </c>
      <c r="C8170" s="1" t="str">
        <f>HYPERLINK("http://www.rosaceae.org/gb/gbrowse/malus_x_domestica/?name=MDP0000274205","MDP0000274205")</f>
        <v>MDP0000274205</v>
      </c>
      <c r="D8170">
        <v>62.28</v>
      </c>
      <c r="E8170">
        <v>114</v>
      </c>
      <c r="F8170">
        <v>43</v>
      </c>
      <c r="G8170">
        <v>1</v>
      </c>
      <c r="H8170">
        <v>5</v>
      </c>
      <c r="I8170">
        <v>117</v>
      </c>
      <c r="J8170">
        <v>1</v>
      </c>
      <c r="K8170">
        <v>1</v>
      </c>
      <c r="L8170">
        <v>114</v>
      </c>
      <c r="M8170">
        <v>1</v>
      </c>
      <c r="N8170">
        <v>5.2975900000000003E-36</v>
      </c>
      <c r="O8170">
        <v>368</v>
      </c>
    </row>
    <row r="8171" spans="1:15" x14ac:dyDescent="0.25">
      <c r="A8171" t="s">
        <v>8184</v>
      </c>
      <c r="B8171">
        <v>621</v>
      </c>
      <c r="C8171" s="1" t="str">
        <f>HYPERLINK("http://www.rosaceae.org/gb/gbrowse/malus_x_domestica/?name=MDP0000261466","MDP0000261466")</f>
        <v>MDP0000261466</v>
      </c>
      <c r="D8171">
        <v>76.89</v>
      </c>
      <c r="E8171">
        <v>580</v>
      </c>
      <c r="F8171">
        <v>134</v>
      </c>
      <c r="G8171">
        <v>27</v>
      </c>
      <c r="H8171">
        <v>1</v>
      </c>
      <c r="I8171">
        <v>570</v>
      </c>
      <c r="J8171">
        <v>1</v>
      </c>
      <c r="K8171">
        <v>1</v>
      </c>
      <c r="L8171">
        <v>563</v>
      </c>
      <c r="M8171">
        <v>1</v>
      </c>
      <c r="N8171">
        <v>0</v>
      </c>
      <c r="O8171">
        <v>2310</v>
      </c>
    </row>
    <row r="8172" spans="1:15" x14ac:dyDescent="0.25">
      <c r="A8172" t="s">
        <v>8185</v>
      </c>
      <c r="B8172">
        <v>520</v>
      </c>
      <c r="C8172" s="1" t="str">
        <f>HYPERLINK("http://www.rosaceae.org/gb/gbrowse/malus_x_domestica/?name=MDP0000177079","MDP0000177079")</f>
        <v>MDP0000177079</v>
      </c>
      <c r="D8172">
        <v>65.349999999999994</v>
      </c>
      <c r="E8172">
        <v>482</v>
      </c>
      <c r="F8172">
        <v>167</v>
      </c>
      <c r="G8172">
        <v>2</v>
      </c>
      <c r="H8172">
        <v>38</v>
      </c>
      <c r="I8172">
        <v>518</v>
      </c>
      <c r="J8172">
        <v>1</v>
      </c>
      <c r="K8172">
        <v>33</v>
      </c>
      <c r="L8172">
        <v>513</v>
      </c>
      <c r="M8172">
        <v>1</v>
      </c>
      <c r="N8172">
        <v>0</v>
      </c>
      <c r="O8172">
        <v>1719</v>
      </c>
    </row>
    <row r="8173" spans="1:15" x14ac:dyDescent="0.25">
      <c r="A8173" t="s">
        <v>8186</v>
      </c>
      <c r="B8173">
        <v>147</v>
      </c>
      <c r="C8173" s="1" t="str">
        <f>HYPERLINK("http://www.rosaceae.org/gb/gbrowse/malus_x_domestica/?name=MDP0000247921","MDP0000247921")</f>
        <v>MDP0000247921</v>
      </c>
      <c r="D8173">
        <v>39.24</v>
      </c>
      <c r="E8173">
        <v>79</v>
      </c>
      <c r="F8173">
        <v>48</v>
      </c>
      <c r="G8173">
        <v>0</v>
      </c>
      <c r="H8173">
        <v>42</v>
      </c>
      <c r="I8173">
        <v>120</v>
      </c>
      <c r="J8173">
        <v>1</v>
      </c>
      <c r="K8173">
        <v>563</v>
      </c>
      <c r="L8173">
        <v>641</v>
      </c>
      <c r="M8173">
        <v>1</v>
      </c>
      <c r="N8173">
        <v>1.28154E-12</v>
      </c>
      <c r="O8173">
        <v>168</v>
      </c>
    </row>
    <row r="8174" spans="1:15" x14ac:dyDescent="0.25">
      <c r="A8174" t="s">
        <v>8187</v>
      </c>
      <c r="B8174">
        <v>285</v>
      </c>
      <c r="C8174" s="1" t="str">
        <f>HYPERLINK("http://www.rosaceae.org/gb/gbrowse/malus_x_domestica/?name=MDP0000769609","MDP0000769609")</f>
        <v>MDP0000769609</v>
      </c>
      <c r="D8174">
        <v>31.37</v>
      </c>
      <c r="E8174">
        <v>290</v>
      </c>
      <c r="F8174">
        <v>199</v>
      </c>
      <c r="G8174">
        <v>37</v>
      </c>
      <c r="H8174">
        <v>7</v>
      </c>
      <c r="I8174">
        <v>279</v>
      </c>
      <c r="J8174">
        <v>1</v>
      </c>
      <c r="K8174">
        <v>176</v>
      </c>
      <c r="L8174">
        <v>445</v>
      </c>
      <c r="M8174">
        <v>1</v>
      </c>
      <c r="N8174">
        <v>1.5093199999999999E-24</v>
      </c>
      <c r="O8174">
        <v>275</v>
      </c>
    </row>
    <row r="8175" spans="1:15" x14ac:dyDescent="0.25">
      <c r="A8175" t="s">
        <v>8188</v>
      </c>
      <c r="B8175">
        <v>103</v>
      </c>
      <c r="C8175" s="1" t="str">
        <f>HYPERLINK("http://www.rosaceae.org/gb/gbrowse/malus_x_domestica/?name=MDP0000263311","MDP0000263311")</f>
        <v>MDP0000263311</v>
      </c>
      <c r="D8175">
        <v>70.73</v>
      </c>
      <c r="E8175">
        <v>82</v>
      </c>
      <c r="F8175">
        <v>24</v>
      </c>
      <c r="G8175">
        <v>8</v>
      </c>
      <c r="H8175">
        <v>1</v>
      </c>
      <c r="I8175">
        <v>82</v>
      </c>
      <c r="J8175">
        <v>1</v>
      </c>
      <c r="K8175">
        <v>23</v>
      </c>
      <c r="L8175">
        <v>96</v>
      </c>
      <c r="M8175">
        <v>1</v>
      </c>
      <c r="N8175">
        <v>1.81115E-23</v>
      </c>
      <c r="O8175">
        <v>260</v>
      </c>
    </row>
    <row r="8176" spans="1:15" x14ac:dyDescent="0.25">
      <c r="A8176" t="s">
        <v>8189</v>
      </c>
      <c r="B8176">
        <v>339</v>
      </c>
      <c r="C8176" s="1" t="str">
        <f>HYPERLINK("http://www.rosaceae.org/gb/gbrowse/malus_x_domestica/?name=MDP0000243618","MDP0000243618")</f>
        <v>MDP0000243618</v>
      </c>
      <c r="D8176">
        <v>83.39</v>
      </c>
      <c r="E8176">
        <v>289</v>
      </c>
      <c r="F8176">
        <v>48</v>
      </c>
      <c r="G8176">
        <v>6</v>
      </c>
      <c r="H8176">
        <v>28</v>
      </c>
      <c r="I8176">
        <v>313</v>
      </c>
      <c r="J8176">
        <v>1</v>
      </c>
      <c r="K8176">
        <v>30</v>
      </c>
      <c r="L8176">
        <v>315</v>
      </c>
      <c r="M8176">
        <v>1</v>
      </c>
      <c r="N8176">
        <v>3.5112999999999999E-136</v>
      </c>
      <c r="O8176">
        <v>1239</v>
      </c>
    </row>
    <row r="8177" spans="1:15" x14ac:dyDescent="0.25">
      <c r="A8177" t="s">
        <v>8190</v>
      </c>
      <c r="B8177">
        <v>396</v>
      </c>
      <c r="C8177" s="1" t="str">
        <f>HYPERLINK("http://www.rosaceae.org/gb/gbrowse/malus_x_domestica/?name=MDP0000197624","MDP0000197624")</f>
        <v>MDP0000197624</v>
      </c>
      <c r="D8177">
        <v>70.17</v>
      </c>
      <c r="E8177">
        <v>352</v>
      </c>
      <c r="F8177">
        <v>105</v>
      </c>
      <c r="G8177">
        <v>17</v>
      </c>
      <c r="H8177">
        <v>62</v>
      </c>
      <c r="I8177">
        <v>396</v>
      </c>
      <c r="J8177">
        <v>1</v>
      </c>
      <c r="K8177">
        <v>100</v>
      </c>
      <c r="L8177">
        <v>451</v>
      </c>
      <c r="M8177">
        <v>1</v>
      </c>
      <c r="N8177">
        <v>1.78777E-142</v>
      </c>
      <c r="O8177">
        <v>1294</v>
      </c>
    </row>
    <row r="8178" spans="1:15" x14ac:dyDescent="0.25">
      <c r="A8178" t="s">
        <v>8191</v>
      </c>
      <c r="B8178">
        <v>382</v>
      </c>
      <c r="C8178" s="1" t="str">
        <f>HYPERLINK("http://www.rosaceae.org/gb/gbrowse/malus_x_domestica/?name=MDP0000187224","MDP0000187224")</f>
        <v>MDP0000187224</v>
      </c>
      <c r="D8178">
        <v>75.97</v>
      </c>
      <c r="E8178">
        <v>383</v>
      </c>
      <c r="F8178">
        <v>92</v>
      </c>
      <c r="G8178">
        <v>6</v>
      </c>
      <c r="H8178">
        <v>4</v>
      </c>
      <c r="I8178">
        <v>382</v>
      </c>
      <c r="J8178">
        <v>1</v>
      </c>
      <c r="K8178">
        <v>118</v>
      </c>
      <c r="L8178">
        <v>498</v>
      </c>
      <c r="M8178">
        <v>1</v>
      </c>
      <c r="N8178">
        <v>4.1396800000000002E-180</v>
      </c>
      <c r="O8178">
        <v>1618</v>
      </c>
    </row>
    <row r="8179" spans="1:15" x14ac:dyDescent="0.25">
      <c r="A8179" t="s">
        <v>8192</v>
      </c>
      <c r="B8179">
        <v>660</v>
      </c>
      <c r="C8179" s="1" t="str">
        <f>HYPERLINK("http://www.rosaceae.org/gb/gbrowse/malus_x_domestica/?name=MDP0000321613","MDP0000321613")</f>
        <v>MDP0000321613</v>
      </c>
      <c r="D8179">
        <v>42.56</v>
      </c>
      <c r="E8179">
        <v>296</v>
      </c>
      <c r="F8179">
        <v>170</v>
      </c>
      <c r="G8179">
        <v>27</v>
      </c>
      <c r="H8179">
        <v>341</v>
      </c>
      <c r="I8179">
        <v>620</v>
      </c>
      <c r="J8179">
        <v>1</v>
      </c>
      <c r="K8179">
        <v>481</v>
      </c>
      <c r="L8179">
        <v>765</v>
      </c>
      <c r="M8179">
        <v>1</v>
      </c>
      <c r="N8179">
        <v>4.7014699999999999E-56</v>
      </c>
      <c r="O8179">
        <v>551</v>
      </c>
    </row>
    <row r="8180" spans="1:15" x14ac:dyDescent="0.25">
      <c r="A8180" t="s">
        <v>8193</v>
      </c>
      <c r="B8180">
        <v>304</v>
      </c>
      <c r="C8180" s="1" t="str">
        <f>HYPERLINK("http://www.rosaceae.org/gb/gbrowse/malus_x_domestica/?name=MDP0000302293","MDP0000302293")</f>
        <v>MDP0000302293</v>
      </c>
      <c r="D8180">
        <v>89.93</v>
      </c>
      <c r="E8180">
        <v>159</v>
      </c>
      <c r="F8180">
        <v>16</v>
      </c>
      <c r="G8180">
        <v>0</v>
      </c>
      <c r="H8180">
        <v>145</v>
      </c>
      <c r="I8180">
        <v>303</v>
      </c>
      <c r="J8180">
        <v>1</v>
      </c>
      <c r="K8180">
        <v>284</v>
      </c>
      <c r="L8180">
        <v>442</v>
      </c>
      <c r="M8180">
        <v>1</v>
      </c>
      <c r="N8180">
        <v>2.9675400000000001E-75</v>
      </c>
      <c r="O8180">
        <v>713</v>
      </c>
    </row>
    <row r="8181" spans="1:15" x14ac:dyDescent="0.25">
      <c r="A8181" t="s">
        <v>8194</v>
      </c>
      <c r="B8181">
        <v>605</v>
      </c>
      <c r="C8181" s="1" t="str">
        <f>HYPERLINK("http://www.rosaceae.org/gb/gbrowse/malus_x_domestica/?name=MDP0000859246","MDP0000859246")</f>
        <v>MDP0000859246</v>
      </c>
      <c r="D8181">
        <v>55.13</v>
      </c>
      <c r="E8181">
        <v>399</v>
      </c>
      <c r="F8181">
        <v>179</v>
      </c>
      <c r="G8181">
        <v>17</v>
      </c>
      <c r="H8181">
        <v>216</v>
      </c>
      <c r="I8181">
        <v>601</v>
      </c>
      <c r="J8181">
        <v>1</v>
      </c>
      <c r="K8181">
        <v>5</v>
      </c>
      <c r="L8181">
        <v>399</v>
      </c>
      <c r="M8181">
        <v>1</v>
      </c>
      <c r="N8181">
        <v>6.0257200000000001E-123</v>
      </c>
      <c r="O8181">
        <v>1128</v>
      </c>
    </row>
    <row r="8182" spans="1:15" x14ac:dyDescent="0.25">
      <c r="A8182" t="s">
        <v>8195</v>
      </c>
      <c r="B8182">
        <v>536</v>
      </c>
      <c r="C8182" s="1" t="str">
        <f>HYPERLINK("http://www.rosaceae.org/gb/gbrowse/malus_x_domestica/?name=MDP0000842314","MDP0000842314")</f>
        <v>MDP0000842314</v>
      </c>
      <c r="D8182">
        <v>94.2</v>
      </c>
      <c r="E8182">
        <v>328</v>
      </c>
      <c r="F8182">
        <v>19</v>
      </c>
      <c r="G8182">
        <v>0</v>
      </c>
      <c r="H8182">
        <v>93</v>
      </c>
      <c r="I8182">
        <v>420</v>
      </c>
      <c r="J8182">
        <v>1</v>
      </c>
      <c r="K8182">
        <v>16</v>
      </c>
      <c r="L8182">
        <v>343</v>
      </c>
      <c r="M8182">
        <v>1</v>
      </c>
      <c r="N8182">
        <v>0</v>
      </c>
      <c r="O8182">
        <v>1723</v>
      </c>
    </row>
    <row r="8183" spans="1:15" x14ac:dyDescent="0.25">
      <c r="A8183" t="s">
        <v>8196</v>
      </c>
      <c r="B8183">
        <v>658</v>
      </c>
      <c r="C8183" s="1" t="str">
        <f>HYPERLINK("http://www.rosaceae.org/gb/gbrowse/malus_x_domestica/?name=MDP0000293970","MDP0000293970")</f>
        <v>MDP0000293970</v>
      </c>
      <c r="D8183">
        <v>38.46</v>
      </c>
      <c r="E8183">
        <v>104</v>
      </c>
      <c r="F8183">
        <v>64</v>
      </c>
      <c r="G8183">
        <v>14</v>
      </c>
      <c r="H8183">
        <v>278</v>
      </c>
      <c r="I8183">
        <v>375</v>
      </c>
      <c r="J8183">
        <v>1</v>
      </c>
      <c r="K8183">
        <v>30</v>
      </c>
      <c r="L8183">
        <v>125</v>
      </c>
      <c r="M8183">
        <v>1</v>
      </c>
      <c r="N8183">
        <v>2.73309E-15</v>
      </c>
      <c r="O8183">
        <v>200</v>
      </c>
    </row>
    <row r="8184" spans="1:15" x14ac:dyDescent="0.25">
      <c r="A8184" t="s">
        <v>8197</v>
      </c>
      <c r="B8184">
        <v>322</v>
      </c>
      <c r="C8184" s="1" t="str">
        <f>HYPERLINK("http://www.rosaceae.org/gb/gbrowse/malus_x_domestica/?name=MDP0000319412","MDP0000319412")</f>
        <v>MDP0000319412</v>
      </c>
      <c r="D8184">
        <v>43.95</v>
      </c>
      <c r="E8184">
        <v>298</v>
      </c>
      <c r="F8184">
        <v>167</v>
      </c>
      <c r="G8184">
        <v>20</v>
      </c>
      <c r="H8184">
        <v>30</v>
      </c>
      <c r="I8184">
        <v>309</v>
      </c>
      <c r="J8184">
        <v>1</v>
      </c>
      <c r="K8184">
        <v>152</v>
      </c>
      <c r="L8184">
        <v>447</v>
      </c>
      <c r="M8184">
        <v>1</v>
      </c>
      <c r="N8184">
        <v>2.81971E-58</v>
      </c>
      <c r="O8184">
        <v>567</v>
      </c>
    </row>
    <row r="8185" spans="1:15" x14ac:dyDescent="0.25">
      <c r="A8185" t="s">
        <v>8198</v>
      </c>
      <c r="B8185">
        <v>229</v>
      </c>
      <c r="C8185" s="1" t="str">
        <f>HYPERLINK("http://www.rosaceae.org/gb/gbrowse/malus_x_domestica/?name=MDP0000261758","MDP0000261758")</f>
        <v>MDP0000261758</v>
      </c>
      <c r="D8185">
        <v>40.07</v>
      </c>
      <c r="E8185">
        <v>252</v>
      </c>
      <c r="F8185">
        <v>151</v>
      </c>
      <c r="G8185">
        <v>43</v>
      </c>
      <c r="H8185">
        <v>2</v>
      </c>
      <c r="I8185">
        <v>229</v>
      </c>
      <c r="J8185">
        <v>1</v>
      </c>
      <c r="K8185">
        <v>139</v>
      </c>
      <c r="L8185">
        <v>371</v>
      </c>
      <c r="M8185">
        <v>1</v>
      </c>
      <c r="N8185">
        <v>1.0005699999999999E-31</v>
      </c>
      <c r="O8185">
        <v>336</v>
      </c>
    </row>
    <row r="8186" spans="1:15" x14ac:dyDescent="0.25">
      <c r="A8186" t="s">
        <v>8199</v>
      </c>
      <c r="B8186">
        <v>636</v>
      </c>
      <c r="C8186" s="1" t="str">
        <f>HYPERLINK("http://www.rosaceae.org/gb/gbrowse/malus_x_domestica/?name=MDP0000202749","MDP0000202749")</f>
        <v>MDP0000202749</v>
      </c>
      <c r="D8186">
        <v>67.239999999999995</v>
      </c>
      <c r="E8186">
        <v>229</v>
      </c>
      <c r="F8186">
        <v>75</v>
      </c>
      <c r="G8186">
        <v>3</v>
      </c>
      <c r="H8186">
        <v>1</v>
      </c>
      <c r="I8186">
        <v>229</v>
      </c>
      <c r="J8186">
        <v>1</v>
      </c>
      <c r="K8186">
        <v>1</v>
      </c>
      <c r="L8186">
        <v>226</v>
      </c>
      <c r="M8186">
        <v>1</v>
      </c>
      <c r="N8186">
        <v>8.0814900000000008E-77</v>
      </c>
      <c r="O8186">
        <v>730</v>
      </c>
    </row>
    <row r="8187" spans="1:15" x14ac:dyDescent="0.25">
      <c r="A8187" t="s">
        <v>8200</v>
      </c>
      <c r="B8187">
        <v>1477</v>
      </c>
      <c r="C8187" s="1" t="str">
        <f>HYPERLINK("http://www.rosaceae.org/gb/gbrowse/malus_x_domestica/?name=MDP0000143678","MDP0000143678")</f>
        <v>MDP0000143678</v>
      </c>
      <c r="D8187">
        <v>38.909999999999997</v>
      </c>
      <c r="E8187">
        <v>555</v>
      </c>
      <c r="F8187">
        <v>339</v>
      </c>
      <c r="G8187">
        <v>88</v>
      </c>
      <c r="H8187">
        <v>859</v>
      </c>
      <c r="I8187">
        <v>1382</v>
      </c>
      <c r="J8187">
        <v>1</v>
      </c>
      <c r="K8187">
        <v>220</v>
      </c>
      <c r="L8187">
        <v>717</v>
      </c>
      <c r="M8187">
        <v>1</v>
      </c>
      <c r="N8187">
        <v>1.1578E-107</v>
      </c>
      <c r="O8187">
        <v>999</v>
      </c>
    </row>
    <row r="8188" spans="1:15" x14ac:dyDescent="0.25">
      <c r="A8188" t="s">
        <v>8201</v>
      </c>
      <c r="B8188">
        <v>291</v>
      </c>
      <c r="C8188" s="1" t="str">
        <f>HYPERLINK("http://www.rosaceae.org/gb/gbrowse/malus_x_domestica/?name=MDP0000187807","MDP0000187807")</f>
        <v>MDP0000187807</v>
      </c>
      <c r="D8188">
        <v>60.32</v>
      </c>
      <c r="E8188">
        <v>184</v>
      </c>
      <c r="F8188">
        <v>73</v>
      </c>
      <c r="G8188">
        <v>10</v>
      </c>
      <c r="H8188">
        <v>9</v>
      </c>
      <c r="I8188">
        <v>184</v>
      </c>
      <c r="J8188">
        <v>1</v>
      </c>
      <c r="K8188">
        <v>17</v>
      </c>
      <c r="L8188">
        <v>198</v>
      </c>
      <c r="M8188">
        <v>1</v>
      </c>
      <c r="N8188">
        <v>4.1680999999999999E-54</v>
      </c>
      <c r="O8188">
        <v>530</v>
      </c>
    </row>
    <row r="8189" spans="1:15" x14ac:dyDescent="0.25">
      <c r="A8189" t="s">
        <v>8202</v>
      </c>
      <c r="B8189">
        <v>484</v>
      </c>
      <c r="C8189" s="1" t="str">
        <f>HYPERLINK("http://www.rosaceae.org/gb/gbrowse/malus_x_domestica/?name=MDP0000071677","MDP0000071677")</f>
        <v>MDP0000071677</v>
      </c>
      <c r="D8189">
        <v>62.11</v>
      </c>
      <c r="E8189">
        <v>483</v>
      </c>
      <c r="F8189">
        <v>183</v>
      </c>
      <c r="G8189">
        <v>9</v>
      </c>
      <c r="H8189">
        <v>1</v>
      </c>
      <c r="I8189">
        <v>482</v>
      </c>
      <c r="J8189">
        <v>1</v>
      </c>
      <c r="K8189">
        <v>1</v>
      </c>
      <c r="L8189">
        <v>475</v>
      </c>
      <c r="M8189">
        <v>1</v>
      </c>
      <c r="N8189">
        <v>1.9542900000000002E-180</v>
      </c>
      <c r="O8189">
        <v>1622</v>
      </c>
    </row>
    <row r="8190" spans="1:15" x14ac:dyDescent="0.25">
      <c r="A8190" t="s">
        <v>8203</v>
      </c>
      <c r="B8190">
        <v>1776</v>
      </c>
      <c r="C8190" s="1" t="str">
        <f>HYPERLINK("http://www.rosaceae.org/gb/gbrowse/malus_x_domestica/?name=MDP0000249521","MDP0000249521")</f>
        <v>MDP0000249521</v>
      </c>
      <c r="D8190">
        <v>54.21</v>
      </c>
      <c r="E8190">
        <v>1199</v>
      </c>
      <c r="F8190">
        <v>549</v>
      </c>
      <c r="G8190">
        <v>81</v>
      </c>
      <c r="H8190">
        <v>60</v>
      </c>
      <c r="I8190">
        <v>1216</v>
      </c>
      <c r="J8190">
        <v>1</v>
      </c>
      <c r="K8190">
        <v>36</v>
      </c>
      <c r="L8190">
        <v>1195</v>
      </c>
      <c r="M8190">
        <v>1</v>
      </c>
      <c r="N8190">
        <v>0</v>
      </c>
      <c r="O8190">
        <v>2976</v>
      </c>
    </row>
    <row r="8191" spans="1:15" x14ac:dyDescent="0.25">
      <c r="A8191" t="s">
        <v>8204</v>
      </c>
      <c r="B8191">
        <v>213</v>
      </c>
      <c r="C8191" s="1" t="str">
        <f>HYPERLINK("http://www.rosaceae.org/gb/gbrowse/malus_x_domestica/?name=MDP0000270176","MDP0000270176")</f>
        <v>MDP0000270176</v>
      </c>
      <c r="D8191">
        <v>82.14</v>
      </c>
      <c r="E8191">
        <v>84</v>
      </c>
      <c r="F8191">
        <v>15</v>
      </c>
      <c r="G8191">
        <v>0</v>
      </c>
      <c r="H8191">
        <v>130</v>
      </c>
      <c r="I8191">
        <v>213</v>
      </c>
      <c r="J8191">
        <v>1</v>
      </c>
      <c r="K8191">
        <v>416</v>
      </c>
      <c r="L8191">
        <v>499</v>
      </c>
      <c r="M8191">
        <v>1</v>
      </c>
      <c r="N8191">
        <v>7.6854899999999999E-39</v>
      </c>
      <c r="O8191">
        <v>397</v>
      </c>
    </row>
    <row r="8192" spans="1:15" x14ac:dyDescent="0.25">
      <c r="A8192" t="s">
        <v>8205</v>
      </c>
      <c r="B8192">
        <v>388</v>
      </c>
      <c r="C8192" s="1" t="str">
        <f>HYPERLINK("http://www.rosaceae.org/gb/gbrowse/malus_x_domestica/?name=MDP0000560467","MDP0000560467")</f>
        <v>MDP0000560467</v>
      </c>
      <c r="D8192">
        <v>72.23</v>
      </c>
      <c r="E8192">
        <v>389</v>
      </c>
      <c r="F8192">
        <v>108</v>
      </c>
      <c r="G8192">
        <v>3</v>
      </c>
      <c r="H8192">
        <v>1</v>
      </c>
      <c r="I8192">
        <v>388</v>
      </c>
      <c r="J8192">
        <v>1</v>
      </c>
      <c r="K8192">
        <v>54</v>
      </c>
      <c r="L8192">
        <v>440</v>
      </c>
      <c r="M8192">
        <v>1</v>
      </c>
      <c r="N8192">
        <v>1.96917E-169</v>
      </c>
      <c r="O8192">
        <v>1526</v>
      </c>
    </row>
    <row r="8193" spans="1:15" x14ac:dyDescent="0.25">
      <c r="A8193" t="s">
        <v>8206</v>
      </c>
      <c r="B8193">
        <v>517</v>
      </c>
      <c r="C8193" s="1" t="str">
        <f>HYPERLINK("http://www.rosaceae.org/gb/gbrowse/malus_x_domestica/?name=MDP0000128444","MDP0000128444")</f>
        <v>MDP0000128444</v>
      </c>
      <c r="D8193">
        <v>27.48</v>
      </c>
      <c r="E8193">
        <v>433</v>
      </c>
      <c r="F8193">
        <v>314</v>
      </c>
      <c r="G8193">
        <v>56</v>
      </c>
      <c r="H8193">
        <v>58</v>
      </c>
      <c r="I8193">
        <v>473</v>
      </c>
      <c r="J8193">
        <v>1</v>
      </c>
      <c r="K8193">
        <v>112</v>
      </c>
      <c r="L8193">
        <v>505</v>
      </c>
      <c r="M8193">
        <v>1</v>
      </c>
      <c r="N8193">
        <v>1.1222800000000001E-30</v>
      </c>
      <c r="O8193">
        <v>331</v>
      </c>
    </row>
    <row r="8194" spans="1:15" x14ac:dyDescent="0.25">
      <c r="A8194" t="s">
        <v>8207</v>
      </c>
      <c r="B8194">
        <v>768</v>
      </c>
      <c r="C8194" s="1" t="str">
        <f>HYPERLINK("http://www.rosaceae.org/gb/gbrowse/malus_x_domestica/?name=MDP0000258604","MDP0000258604")</f>
        <v>MDP0000258604</v>
      </c>
      <c r="D8194">
        <v>71.260000000000005</v>
      </c>
      <c r="E8194">
        <v>776</v>
      </c>
      <c r="F8194">
        <v>223</v>
      </c>
      <c r="G8194">
        <v>20</v>
      </c>
      <c r="H8194">
        <v>1</v>
      </c>
      <c r="I8194">
        <v>768</v>
      </c>
      <c r="J8194">
        <v>1</v>
      </c>
      <c r="K8194">
        <v>1</v>
      </c>
      <c r="L8194">
        <v>764</v>
      </c>
      <c r="M8194">
        <v>1</v>
      </c>
      <c r="N8194">
        <v>0</v>
      </c>
      <c r="O8194">
        <v>2922</v>
      </c>
    </row>
    <row r="8195" spans="1:15" x14ac:dyDescent="0.25">
      <c r="A8195" t="s">
        <v>8208</v>
      </c>
      <c r="B8195">
        <v>200</v>
      </c>
      <c r="C8195" s="1" t="str">
        <f>HYPERLINK("http://www.rosaceae.org/gb/gbrowse/malus_x_domestica/?name=MDP0000316658","MDP0000316658")</f>
        <v>MDP0000316658</v>
      </c>
      <c r="D8195">
        <v>47.87</v>
      </c>
      <c r="E8195">
        <v>94</v>
      </c>
      <c r="F8195">
        <v>49</v>
      </c>
      <c r="G8195">
        <v>5</v>
      </c>
      <c r="H8195">
        <v>14</v>
      </c>
      <c r="I8195">
        <v>107</v>
      </c>
      <c r="J8195">
        <v>1</v>
      </c>
      <c r="K8195">
        <v>12</v>
      </c>
      <c r="L8195">
        <v>100</v>
      </c>
      <c r="M8195">
        <v>1</v>
      </c>
      <c r="N8195">
        <v>6.8268900000000001E-19</v>
      </c>
      <c r="O8195">
        <v>224</v>
      </c>
    </row>
    <row r="8196" spans="1:15" x14ac:dyDescent="0.25">
      <c r="A8196" t="s">
        <v>8209</v>
      </c>
      <c r="B8196">
        <v>322</v>
      </c>
      <c r="C8196" s="1" t="str">
        <f>HYPERLINK("http://www.rosaceae.org/gb/gbrowse/malus_x_domestica/?name=MDP0000181135","MDP0000181135")</f>
        <v>MDP0000181135</v>
      </c>
      <c r="D8196">
        <v>37.67</v>
      </c>
      <c r="E8196">
        <v>215</v>
      </c>
      <c r="F8196">
        <v>134</v>
      </c>
      <c r="G8196">
        <v>35</v>
      </c>
      <c r="H8196">
        <v>133</v>
      </c>
      <c r="I8196">
        <v>314</v>
      </c>
      <c r="J8196">
        <v>1</v>
      </c>
      <c r="K8196">
        <v>218</v>
      </c>
      <c r="L8196">
        <v>430</v>
      </c>
      <c r="M8196">
        <v>1</v>
      </c>
      <c r="N8196">
        <v>1.64039E-27</v>
      </c>
      <c r="O8196">
        <v>302</v>
      </c>
    </row>
    <row r="8197" spans="1:15" x14ac:dyDescent="0.25">
      <c r="A8197" t="s">
        <v>8210</v>
      </c>
      <c r="B8197">
        <v>470</v>
      </c>
      <c r="C8197" s="1" t="str">
        <f>HYPERLINK("http://www.rosaceae.org/gb/gbrowse/malus_x_domestica/?name=MDP0000806502","MDP0000806502")</f>
        <v>MDP0000806502</v>
      </c>
      <c r="D8197">
        <v>76.739999999999995</v>
      </c>
      <c r="E8197">
        <v>443</v>
      </c>
      <c r="F8197">
        <v>103</v>
      </c>
      <c r="G8197">
        <v>8</v>
      </c>
      <c r="H8197">
        <v>35</v>
      </c>
      <c r="I8197">
        <v>470</v>
      </c>
      <c r="J8197">
        <v>1</v>
      </c>
      <c r="K8197">
        <v>16</v>
      </c>
      <c r="L8197">
        <v>457</v>
      </c>
      <c r="M8197">
        <v>1</v>
      </c>
      <c r="N8197">
        <v>0</v>
      </c>
      <c r="O8197">
        <v>1799</v>
      </c>
    </row>
    <row r="8198" spans="1:15" x14ac:dyDescent="0.25">
      <c r="A8198" t="s">
        <v>8211</v>
      </c>
      <c r="B8198">
        <v>319</v>
      </c>
      <c r="C8198" s="1" t="str">
        <f>HYPERLINK("http://www.rosaceae.org/gb/gbrowse/malus_x_domestica/?name=MDP0000293621","MDP0000293621")</f>
        <v>MDP0000293621</v>
      </c>
      <c r="D8198">
        <v>83.23</v>
      </c>
      <c r="E8198">
        <v>173</v>
      </c>
      <c r="F8198">
        <v>29</v>
      </c>
      <c r="G8198">
        <v>0</v>
      </c>
      <c r="H8198">
        <v>146</v>
      </c>
      <c r="I8198">
        <v>318</v>
      </c>
      <c r="J8198">
        <v>1</v>
      </c>
      <c r="K8198">
        <v>514</v>
      </c>
      <c r="L8198">
        <v>686</v>
      </c>
      <c r="M8198">
        <v>1</v>
      </c>
      <c r="N8198">
        <v>1.0488199999999999E-83</v>
      </c>
      <c r="O8198">
        <v>786</v>
      </c>
    </row>
    <row r="8199" spans="1:15" x14ac:dyDescent="0.25">
      <c r="A8199" t="s">
        <v>8212</v>
      </c>
      <c r="B8199">
        <v>307</v>
      </c>
      <c r="C8199" s="1" t="str">
        <f>HYPERLINK("http://www.rosaceae.org/gb/gbrowse/malus_x_domestica/?name=MDP0000216714","MDP0000216714")</f>
        <v>MDP0000216714</v>
      </c>
      <c r="D8199">
        <v>89.13</v>
      </c>
      <c r="E8199">
        <v>46</v>
      </c>
      <c r="F8199">
        <v>5</v>
      </c>
      <c r="G8199">
        <v>0</v>
      </c>
      <c r="H8199">
        <v>172</v>
      </c>
      <c r="I8199">
        <v>217</v>
      </c>
      <c r="J8199">
        <v>1</v>
      </c>
      <c r="K8199">
        <v>30</v>
      </c>
      <c r="L8199">
        <v>75</v>
      </c>
      <c r="M8199">
        <v>1</v>
      </c>
      <c r="N8199">
        <v>3.5870000000000002E-19</v>
      </c>
      <c r="O8199">
        <v>229</v>
      </c>
    </row>
    <row r="8200" spans="1:15" x14ac:dyDescent="0.25">
      <c r="A8200" t="s">
        <v>8213</v>
      </c>
      <c r="B8200">
        <v>136</v>
      </c>
      <c r="C8200" s="1" t="str">
        <f>HYPERLINK("http://www.rosaceae.org/gb/gbrowse/malus_x_domestica/?name=MDP0000139709","MDP0000139709")</f>
        <v>MDP0000139709</v>
      </c>
      <c r="D8200">
        <v>83.08</v>
      </c>
      <c r="E8200">
        <v>136</v>
      </c>
      <c r="F8200">
        <v>23</v>
      </c>
      <c r="G8200">
        <v>1</v>
      </c>
      <c r="H8200">
        <v>1</v>
      </c>
      <c r="I8200">
        <v>136</v>
      </c>
      <c r="J8200">
        <v>1</v>
      </c>
      <c r="K8200">
        <v>1</v>
      </c>
      <c r="L8200">
        <v>135</v>
      </c>
      <c r="M8200">
        <v>1</v>
      </c>
      <c r="N8200">
        <v>2.3759999999999999E-57</v>
      </c>
      <c r="O8200">
        <v>553</v>
      </c>
    </row>
    <row r="8201" spans="1:15" x14ac:dyDescent="0.25">
      <c r="A8201" t="s">
        <v>8214</v>
      </c>
      <c r="B8201">
        <v>517</v>
      </c>
      <c r="C8201" s="1" t="str">
        <f>HYPERLINK("http://www.rosaceae.org/gb/gbrowse/malus_x_domestica/?name=MDP0000213283","MDP0000213283")</f>
        <v>MDP0000213283</v>
      </c>
      <c r="D8201">
        <v>61.34</v>
      </c>
      <c r="E8201">
        <v>489</v>
      </c>
      <c r="F8201">
        <v>189</v>
      </c>
      <c r="G8201">
        <v>3</v>
      </c>
      <c r="H8201">
        <v>24</v>
      </c>
      <c r="I8201">
        <v>512</v>
      </c>
      <c r="J8201">
        <v>1</v>
      </c>
      <c r="K8201">
        <v>25</v>
      </c>
      <c r="L8201">
        <v>510</v>
      </c>
      <c r="M8201">
        <v>1</v>
      </c>
      <c r="N8201">
        <v>0</v>
      </c>
      <c r="O8201">
        <v>1678</v>
      </c>
    </row>
    <row r="8202" spans="1:15" x14ac:dyDescent="0.25">
      <c r="A8202" t="s">
        <v>8215</v>
      </c>
      <c r="B8202">
        <v>444</v>
      </c>
      <c r="C8202" s="1" t="str">
        <f>HYPERLINK("http://www.rosaceae.org/gb/gbrowse/malus_x_domestica/?name=MDP0000310262","MDP0000310262")</f>
        <v>MDP0000310262</v>
      </c>
      <c r="D8202">
        <v>78.989999999999995</v>
      </c>
      <c r="E8202">
        <v>319</v>
      </c>
      <c r="F8202">
        <v>67</v>
      </c>
      <c r="G8202">
        <v>2</v>
      </c>
      <c r="H8202">
        <v>127</v>
      </c>
      <c r="I8202">
        <v>444</v>
      </c>
      <c r="J8202">
        <v>1</v>
      </c>
      <c r="K8202">
        <v>40</v>
      </c>
      <c r="L8202">
        <v>357</v>
      </c>
      <c r="M8202">
        <v>1</v>
      </c>
      <c r="N8202">
        <v>7.3357799999999999E-152</v>
      </c>
      <c r="O8202">
        <v>1376</v>
      </c>
    </row>
    <row r="8203" spans="1:15" x14ac:dyDescent="0.25">
      <c r="A8203" t="s">
        <v>8216</v>
      </c>
      <c r="B8203">
        <v>193</v>
      </c>
      <c r="C8203" s="1" t="str">
        <f>HYPERLINK("http://www.rosaceae.org/gb/gbrowse/malus_x_domestica/?name=MDP0000126335","MDP0000126335")</f>
        <v>MDP0000126335</v>
      </c>
      <c r="D8203">
        <v>53.76</v>
      </c>
      <c r="E8203">
        <v>199</v>
      </c>
      <c r="F8203">
        <v>92</v>
      </c>
      <c r="G8203">
        <v>20</v>
      </c>
      <c r="H8203">
        <v>1</v>
      </c>
      <c r="I8203">
        <v>182</v>
      </c>
      <c r="J8203">
        <v>1</v>
      </c>
      <c r="K8203">
        <v>1</v>
      </c>
      <c r="L8203">
        <v>196</v>
      </c>
      <c r="M8203">
        <v>1</v>
      </c>
      <c r="N8203">
        <v>1.9987800000000001E-39</v>
      </c>
      <c r="O8203">
        <v>401</v>
      </c>
    </row>
    <row r="8204" spans="1:15" x14ac:dyDescent="0.25">
      <c r="A8204" t="s">
        <v>8217</v>
      </c>
      <c r="B8204">
        <v>510</v>
      </c>
      <c r="C8204" s="1" t="str">
        <f>HYPERLINK("http://www.rosaceae.org/gb/gbrowse/malus_x_domestica/?name=MDP0000570037","MDP0000570037")</f>
        <v>MDP0000570037</v>
      </c>
      <c r="D8204">
        <v>67.040000000000006</v>
      </c>
      <c r="E8204">
        <v>531</v>
      </c>
      <c r="F8204">
        <v>175</v>
      </c>
      <c r="G8204">
        <v>24</v>
      </c>
      <c r="H8204">
        <v>1</v>
      </c>
      <c r="I8204">
        <v>510</v>
      </c>
      <c r="J8204">
        <v>1</v>
      </c>
      <c r="K8204">
        <v>1</v>
      </c>
      <c r="L8204">
        <v>528</v>
      </c>
      <c r="M8204">
        <v>1</v>
      </c>
      <c r="N8204">
        <v>0</v>
      </c>
      <c r="O8204">
        <v>1706</v>
      </c>
    </row>
    <row r="8205" spans="1:15" x14ac:dyDescent="0.25">
      <c r="A8205" t="s">
        <v>8218</v>
      </c>
      <c r="B8205">
        <v>122</v>
      </c>
      <c r="C8205" s="1" t="str">
        <f>HYPERLINK("http://www.rosaceae.org/gb/gbrowse/malus_x_domestica/?name=MDP0000154699","MDP0000154699")</f>
        <v>MDP0000154699</v>
      </c>
      <c r="D8205">
        <v>87.6</v>
      </c>
      <c r="E8205">
        <v>121</v>
      </c>
      <c r="F8205">
        <v>15</v>
      </c>
      <c r="G8205">
        <v>0</v>
      </c>
      <c r="H8205">
        <v>1</v>
      </c>
      <c r="I8205">
        <v>121</v>
      </c>
      <c r="J8205">
        <v>1</v>
      </c>
      <c r="K8205">
        <v>45</v>
      </c>
      <c r="L8205">
        <v>165</v>
      </c>
      <c r="M8205">
        <v>1</v>
      </c>
      <c r="N8205">
        <v>6.0912499999999996E-56</v>
      </c>
      <c r="O8205">
        <v>540</v>
      </c>
    </row>
    <row r="8206" spans="1:15" x14ac:dyDescent="0.25">
      <c r="A8206" t="s">
        <v>8219</v>
      </c>
      <c r="B8206">
        <v>947</v>
      </c>
      <c r="C8206" s="1" t="str">
        <f>HYPERLINK("http://www.rosaceae.org/gb/gbrowse/malus_x_domestica/?name=MDP0000597607","MDP0000597607")</f>
        <v>MDP0000597607</v>
      </c>
      <c r="D8206">
        <v>61.26</v>
      </c>
      <c r="E8206">
        <v>475</v>
      </c>
      <c r="F8206">
        <v>184</v>
      </c>
      <c r="G8206">
        <v>16</v>
      </c>
      <c r="H8206">
        <v>14</v>
      </c>
      <c r="I8206">
        <v>487</v>
      </c>
      <c r="J8206">
        <v>1</v>
      </c>
      <c r="K8206">
        <v>22</v>
      </c>
      <c r="L8206">
        <v>481</v>
      </c>
      <c r="M8206">
        <v>1</v>
      </c>
      <c r="N8206">
        <v>4.0367400000000001E-165</v>
      </c>
      <c r="O8206">
        <v>1493</v>
      </c>
    </row>
    <row r="8207" spans="1:15" x14ac:dyDescent="0.25">
      <c r="A8207" t="s">
        <v>8220</v>
      </c>
      <c r="B8207">
        <v>289</v>
      </c>
      <c r="C8207" s="1" t="str">
        <f>HYPERLINK("http://www.rosaceae.org/gb/gbrowse/malus_x_domestica/?name=MDP0000551496","MDP0000551496")</f>
        <v>MDP0000551496</v>
      </c>
      <c r="D8207">
        <v>91.07</v>
      </c>
      <c r="E8207">
        <v>269</v>
      </c>
      <c r="F8207">
        <v>24</v>
      </c>
      <c r="G8207">
        <v>3</v>
      </c>
      <c r="H8207">
        <v>23</v>
      </c>
      <c r="I8207">
        <v>289</v>
      </c>
      <c r="J8207">
        <v>1</v>
      </c>
      <c r="K8207">
        <v>21</v>
      </c>
      <c r="L8207">
        <v>288</v>
      </c>
      <c r="M8207">
        <v>1</v>
      </c>
      <c r="N8207">
        <v>1.44151E-142</v>
      </c>
      <c r="O8207">
        <v>1293</v>
      </c>
    </row>
    <row r="8208" spans="1:15" x14ac:dyDescent="0.25">
      <c r="A8208" t="s">
        <v>8221</v>
      </c>
      <c r="B8208">
        <v>413</v>
      </c>
      <c r="C8208" s="1" t="str">
        <f>HYPERLINK("http://www.rosaceae.org/gb/gbrowse/malus_x_domestica/?name=MDP0000928620","MDP0000928620")</f>
        <v>MDP0000928620</v>
      </c>
      <c r="D8208">
        <v>66.98</v>
      </c>
      <c r="E8208">
        <v>415</v>
      </c>
      <c r="F8208">
        <v>137</v>
      </c>
      <c r="G8208">
        <v>2</v>
      </c>
      <c r="H8208">
        <v>1</v>
      </c>
      <c r="I8208">
        <v>413</v>
      </c>
      <c r="J8208">
        <v>1</v>
      </c>
      <c r="K8208">
        <v>1</v>
      </c>
      <c r="L8208">
        <v>415</v>
      </c>
      <c r="M8208">
        <v>1</v>
      </c>
      <c r="N8208">
        <v>8.5442400000000008E-152</v>
      </c>
      <c r="O8208">
        <v>1375</v>
      </c>
    </row>
    <row r="8209" spans="1:15" x14ac:dyDescent="0.25">
      <c r="A8209" t="s">
        <v>8222</v>
      </c>
      <c r="B8209">
        <v>460</v>
      </c>
      <c r="C8209" s="1" t="str">
        <f>HYPERLINK("http://www.rosaceae.org/gb/gbrowse/malus_x_domestica/?name=MDP0000216139","MDP0000216139")</f>
        <v>MDP0000216139</v>
      </c>
      <c r="D8209">
        <v>32.4</v>
      </c>
      <c r="E8209">
        <v>429</v>
      </c>
      <c r="F8209">
        <v>290</v>
      </c>
      <c r="G8209">
        <v>56</v>
      </c>
      <c r="H8209">
        <v>4</v>
      </c>
      <c r="I8209">
        <v>411</v>
      </c>
      <c r="J8209">
        <v>1</v>
      </c>
      <c r="K8209">
        <v>27</v>
      </c>
      <c r="L8209">
        <v>420</v>
      </c>
      <c r="M8209">
        <v>1</v>
      </c>
      <c r="N8209">
        <v>1.43248E-46</v>
      </c>
      <c r="O8209">
        <v>468</v>
      </c>
    </row>
    <row r="8210" spans="1:15" x14ac:dyDescent="0.25">
      <c r="A8210" t="s">
        <v>8223</v>
      </c>
      <c r="B8210">
        <v>593</v>
      </c>
      <c r="C8210" s="1" t="str">
        <f>HYPERLINK("http://www.rosaceae.org/gb/gbrowse/malus_x_domestica/?name=MDP0000294785","MDP0000294785")</f>
        <v>MDP0000294785</v>
      </c>
      <c r="D8210">
        <v>78.540000000000006</v>
      </c>
      <c r="E8210">
        <v>606</v>
      </c>
      <c r="F8210">
        <v>130</v>
      </c>
      <c r="G8210">
        <v>41</v>
      </c>
      <c r="H8210">
        <v>29</v>
      </c>
      <c r="I8210">
        <v>593</v>
      </c>
      <c r="J8210">
        <v>1</v>
      </c>
      <c r="K8210">
        <v>1</v>
      </c>
      <c r="L8210">
        <v>606</v>
      </c>
      <c r="M8210">
        <v>1</v>
      </c>
      <c r="N8210">
        <v>0</v>
      </c>
      <c r="O8210">
        <v>2435</v>
      </c>
    </row>
    <row r="8211" spans="1:15" x14ac:dyDescent="0.25">
      <c r="A8211" t="s">
        <v>8224</v>
      </c>
      <c r="B8211">
        <v>494</v>
      </c>
      <c r="C8211" s="1" t="str">
        <f>HYPERLINK("http://www.rosaceae.org/gb/gbrowse/malus_x_domestica/?name=MDP0000145582","MDP0000145582")</f>
        <v>MDP0000145582</v>
      </c>
      <c r="D8211">
        <v>44.41</v>
      </c>
      <c r="E8211">
        <v>439</v>
      </c>
      <c r="F8211">
        <v>244</v>
      </c>
      <c r="G8211">
        <v>88</v>
      </c>
      <c r="H8211">
        <v>32</v>
      </c>
      <c r="I8211">
        <v>440</v>
      </c>
      <c r="J8211">
        <v>1</v>
      </c>
      <c r="K8211">
        <v>121</v>
      </c>
      <c r="L8211">
        <v>501</v>
      </c>
      <c r="M8211">
        <v>1</v>
      </c>
      <c r="N8211">
        <v>3.4244100000000002E-98</v>
      </c>
      <c r="O8211">
        <v>913</v>
      </c>
    </row>
    <row r="8212" spans="1:15" x14ac:dyDescent="0.25">
      <c r="A8212" t="s">
        <v>8225</v>
      </c>
      <c r="B8212">
        <v>307</v>
      </c>
      <c r="C8212" s="1" t="str">
        <f>HYPERLINK("http://www.rosaceae.org/gb/gbrowse/malus_x_domestica/?name=MDP0000196404","MDP0000196404")</f>
        <v>MDP0000196404</v>
      </c>
      <c r="D8212">
        <v>51.92</v>
      </c>
      <c r="E8212">
        <v>364</v>
      </c>
      <c r="F8212">
        <v>175</v>
      </c>
      <c r="G8212">
        <v>64</v>
      </c>
      <c r="H8212">
        <v>1</v>
      </c>
      <c r="I8212">
        <v>302</v>
      </c>
      <c r="J8212">
        <v>1</v>
      </c>
      <c r="K8212">
        <v>110</v>
      </c>
      <c r="L8212">
        <v>471</v>
      </c>
      <c r="M8212">
        <v>1</v>
      </c>
      <c r="N8212">
        <v>9.2391299999999997E-94</v>
      </c>
      <c r="O8212">
        <v>873</v>
      </c>
    </row>
    <row r="8213" spans="1:15" x14ac:dyDescent="0.25">
      <c r="A8213" t="s">
        <v>8226</v>
      </c>
      <c r="B8213">
        <v>719</v>
      </c>
      <c r="C8213" s="1" t="str">
        <f>HYPERLINK("http://www.rosaceae.org/gb/gbrowse/malus_x_domestica/?name=MDP0000147310","MDP0000147310")</f>
        <v>MDP0000147310</v>
      </c>
      <c r="D8213">
        <v>71.069999999999993</v>
      </c>
      <c r="E8213">
        <v>695</v>
      </c>
      <c r="F8213">
        <v>201</v>
      </c>
      <c r="G8213">
        <v>25</v>
      </c>
      <c r="H8213">
        <v>1</v>
      </c>
      <c r="I8213">
        <v>683</v>
      </c>
      <c r="J8213">
        <v>1</v>
      </c>
      <c r="K8213">
        <v>1</v>
      </c>
      <c r="L8213">
        <v>682</v>
      </c>
      <c r="M8213">
        <v>1</v>
      </c>
      <c r="N8213">
        <v>0</v>
      </c>
      <c r="O8213">
        <v>2482</v>
      </c>
    </row>
    <row r="8214" spans="1:15" x14ac:dyDescent="0.25">
      <c r="A8214" t="s">
        <v>8227</v>
      </c>
      <c r="B8214">
        <v>293</v>
      </c>
      <c r="C8214" s="1" t="str">
        <f>HYPERLINK("http://www.rosaceae.org/gb/gbrowse/malus_x_domestica/?name=MDP0000137031","MDP0000137031")</f>
        <v>MDP0000137031</v>
      </c>
      <c r="D8214">
        <v>71.69</v>
      </c>
      <c r="E8214">
        <v>265</v>
      </c>
      <c r="F8214">
        <v>75</v>
      </c>
      <c r="G8214">
        <v>28</v>
      </c>
      <c r="H8214">
        <v>27</v>
      </c>
      <c r="I8214">
        <v>263</v>
      </c>
      <c r="J8214">
        <v>1</v>
      </c>
      <c r="K8214">
        <v>57</v>
      </c>
      <c r="L8214">
        <v>321</v>
      </c>
      <c r="M8214">
        <v>1</v>
      </c>
      <c r="N8214">
        <v>9.5770700000000001E-99</v>
      </c>
      <c r="O8214">
        <v>915</v>
      </c>
    </row>
    <row r="8215" spans="1:15" x14ac:dyDescent="0.25">
      <c r="A8215" t="s">
        <v>8228</v>
      </c>
      <c r="B8215">
        <v>583</v>
      </c>
      <c r="C8215" s="1" t="str">
        <f>HYPERLINK("http://www.rosaceae.org/gb/gbrowse/malus_x_domestica/?name=MDP0000314135","MDP0000314135")</f>
        <v>MDP0000314135</v>
      </c>
      <c r="D8215">
        <v>75.64</v>
      </c>
      <c r="E8215">
        <v>624</v>
      </c>
      <c r="F8215">
        <v>152</v>
      </c>
      <c r="G8215">
        <v>53</v>
      </c>
      <c r="H8215">
        <v>1</v>
      </c>
      <c r="I8215">
        <v>572</v>
      </c>
      <c r="J8215">
        <v>1</v>
      </c>
      <c r="K8215">
        <v>108</v>
      </c>
      <c r="L8215">
        <v>730</v>
      </c>
      <c r="M8215">
        <v>1</v>
      </c>
      <c r="N8215">
        <v>0</v>
      </c>
      <c r="O8215">
        <v>2508</v>
      </c>
    </row>
    <row r="8216" spans="1:15" x14ac:dyDescent="0.25">
      <c r="A8216" t="s">
        <v>8229</v>
      </c>
      <c r="B8216">
        <v>137</v>
      </c>
      <c r="C8216" s="1" t="str">
        <f>HYPERLINK("http://www.rosaceae.org/gb/gbrowse/malus_x_domestica/?name=MDP0000228321","MDP0000228321")</f>
        <v>MDP0000228321</v>
      </c>
      <c r="D8216">
        <v>52.08</v>
      </c>
      <c r="E8216">
        <v>144</v>
      </c>
      <c r="F8216">
        <v>69</v>
      </c>
      <c r="G8216">
        <v>28</v>
      </c>
      <c r="H8216">
        <v>1</v>
      </c>
      <c r="I8216">
        <v>135</v>
      </c>
      <c r="J8216">
        <v>1</v>
      </c>
      <c r="K8216">
        <v>36</v>
      </c>
      <c r="L8216">
        <v>160</v>
      </c>
      <c r="M8216">
        <v>1</v>
      </c>
      <c r="N8216">
        <v>3.71803E-29</v>
      </c>
      <c r="O8216">
        <v>310</v>
      </c>
    </row>
    <row r="8217" spans="1:15" x14ac:dyDescent="0.25">
      <c r="A8217" t="s">
        <v>8230</v>
      </c>
      <c r="B8217">
        <v>353</v>
      </c>
      <c r="C8217" s="1" t="str">
        <f>HYPERLINK("http://www.rosaceae.org/gb/gbrowse/malus_x_domestica/?name=MDP0000777336","MDP0000777336")</f>
        <v>MDP0000777336</v>
      </c>
      <c r="D8217">
        <v>58.47</v>
      </c>
      <c r="E8217">
        <v>354</v>
      </c>
      <c r="F8217">
        <v>147</v>
      </c>
      <c r="G8217">
        <v>32</v>
      </c>
      <c r="H8217">
        <v>1</v>
      </c>
      <c r="I8217">
        <v>353</v>
      </c>
      <c r="J8217">
        <v>1</v>
      </c>
      <c r="K8217">
        <v>1</v>
      </c>
      <c r="L8217">
        <v>323</v>
      </c>
      <c r="M8217">
        <v>1</v>
      </c>
      <c r="N8217">
        <v>2.3582299999999998E-97</v>
      </c>
      <c r="O8217">
        <v>904</v>
      </c>
    </row>
    <row r="8218" spans="1:15" x14ac:dyDescent="0.25">
      <c r="A8218" t="s">
        <v>8231</v>
      </c>
      <c r="B8218">
        <v>413</v>
      </c>
      <c r="C8218" s="1" t="str">
        <f>HYPERLINK("http://www.rosaceae.org/gb/gbrowse/malus_x_domestica/?name=MDP0000137117","MDP0000137117")</f>
        <v>MDP0000137117</v>
      </c>
      <c r="D8218">
        <v>75.930000000000007</v>
      </c>
      <c r="E8218">
        <v>295</v>
      </c>
      <c r="F8218">
        <v>71</v>
      </c>
      <c r="G8218">
        <v>2</v>
      </c>
      <c r="H8218">
        <v>119</v>
      </c>
      <c r="I8218">
        <v>413</v>
      </c>
      <c r="J8218">
        <v>1</v>
      </c>
      <c r="K8218">
        <v>1</v>
      </c>
      <c r="L8218">
        <v>293</v>
      </c>
      <c r="M8218">
        <v>1</v>
      </c>
      <c r="N8218">
        <v>3.5529500000000001E-128</v>
      </c>
      <c r="O8218">
        <v>1171</v>
      </c>
    </row>
    <row r="8219" spans="1:15" x14ac:dyDescent="0.25">
      <c r="A8219" t="s">
        <v>8232</v>
      </c>
      <c r="B8219">
        <v>399</v>
      </c>
      <c r="C8219" s="1" t="str">
        <f>HYPERLINK("http://www.rosaceae.org/gb/gbrowse/malus_x_domestica/?name=MDP0000015509","MDP0000015509")</f>
        <v>MDP0000015509</v>
      </c>
      <c r="D8219">
        <v>85.92</v>
      </c>
      <c r="E8219">
        <v>398</v>
      </c>
      <c r="F8219">
        <v>56</v>
      </c>
      <c r="G8219">
        <v>4</v>
      </c>
      <c r="H8219">
        <v>2</v>
      </c>
      <c r="I8219">
        <v>398</v>
      </c>
      <c r="J8219">
        <v>1</v>
      </c>
      <c r="K8219">
        <v>2</v>
      </c>
      <c r="L8219">
        <v>396</v>
      </c>
      <c r="M8219">
        <v>1</v>
      </c>
      <c r="N8219">
        <v>0</v>
      </c>
      <c r="O8219">
        <v>1779</v>
      </c>
    </row>
    <row r="8220" spans="1:15" x14ac:dyDescent="0.25">
      <c r="A8220" t="s">
        <v>8233</v>
      </c>
      <c r="B8220">
        <v>595</v>
      </c>
      <c r="C8220" s="1" t="str">
        <f>HYPERLINK("http://www.rosaceae.org/gb/gbrowse/malus_x_domestica/?name=MDP0000292917","MDP0000292917")</f>
        <v>MDP0000292917</v>
      </c>
      <c r="D8220">
        <v>29.73</v>
      </c>
      <c r="E8220">
        <v>380</v>
      </c>
      <c r="F8220">
        <v>267</v>
      </c>
      <c r="G8220">
        <v>46</v>
      </c>
      <c r="H8220">
        <v>37</v>
      </c>
      <c r="I8220">
        <v>392</v>
      </c>
      <c r="J8220">
        <v>1</v>
      </c>
      <c r="K8220">
        <v>38</v>
      </c>
      <c r="L8220">
        <v>395</v>
      </c>
      <c r="M8220">
        <v>1</v>
      </c>
      <c r="N8220">
        <v>1.20125E-32</v>
      </c>
      <c r="O8220">
        <v>349</v>
      </c>
    </row>
    <row r="8221" spans="1:15" x14ac:dyDescent="0.25">
      <c r="A8221" t="s">
        <v>8234</v>
      </c>
      <c r="B8221">
        <v>354</v>
      </c>
      <c r="C8221" s="1" t="str">
        <f>HYPERLINK("http://www.rosaceae.org/gb/gbrowse/malus_x_domestica/?name=MDP0000231692","MDP0000231692")</f>
        <v>MDP0000231692</v>
      </c>
      <c r="D8221">
        <v>45.58</v>
      </c>
      <c r="E8221">
        <v>272</v>
      </c>
      <c r="F8221">
        <v>148</v>
      </c>
      <c r="G8221">
        <v>44</v>
      </c>
      <c r="H8221">
        <v>77</v>
      </c>
      <c r="I8221">
        <v>325</v>
      </c>
      <c r="J8221">
        <v>1</v>
      </c>
      <c r="K8221">
        <v>253</v>
      </c>
      <c r="L8221">
        <v>503</v>
      </c>
      <c r="M8221">
        <v>1</v>
      </c>
      <c r="N8221">
        <v>1.43332E-46</v>
      </c>
      <c r="O8221">
        <v>466</v>
      </c>
    </row>
    <row r="8222" spans="1:15" x14ac:dyDescent="0.25">
      <c r="A8222" t="s">
        <v>8235</v>
      </c>
      <c r="B8222">
        <v>390</v>
      </c>
      <c r="C8222" s="1" t="str">
        <f>HYPERLINK("http://www.rosaceae.org/gb/gbrowse/malus_x_domestica/?name=MDP0000144793","MDP0000144793")</f>
        <v>MDP0000144793</v>
      </c>
      <c r="D8222">
        <v>60.3</v>
      </c>
      <c r="E8222">
        <v>330</v>
      </c>
      <c r="F8222">
        <v>131</v>
      </c>
      <c r="G8222">
        <v>9</v>
      </c>
      <c r="H8222">
        <v>67</v>
      </c>
      <c r="I8222">
        <v>390</v>
      </c>
      <c r="J8222">
        <v>1</v>
      </c>
      <c r="K8222">
        <v>746</v>
      </c>
      <c r="L8222">
        <v>1072</v>
      </c>
      <c r="M8222">
        <v>1</v>
      </c>
      <c r="N8222">
        <v>1.56115E-102</v>
      </c>
      <c r="O8222">
        <v>950</v>
      </c>
    </row>
    <row r="8223" spans="1:15" x14ac:dyDescent="0.25">
      <c r="A8223" t="s">
        <v>8236</v>
      </c>
      <c r="B8223">
        <v>187</v>
      </c>
      <c r="C8223" s="1" t="str">
        <f>HYPERLINK("http://www.rosaceae.org/gb/gbrowse/malus_x_domestica/?name=MDP0000306164","MDP0000306164")</f>
        <v>MDP0000306164</v>
      </c>
      <c r="D8223">
        <v>76.16</v>
      </c>
      <c r="E8223">
        <v>172</v>
      </c>
      <c r="F8223">
        <v>41</v>
      </c>
      <c r="G8223">
        <v>6</v>
      </c>
      <c r="H8223">
        <v>1</v>
      </c>
      <c r="I8223">
        <v>166</v>
      </c>
      <c r="J8223">
        <v>1</v>
      </c>
      <c r="K8223">
        <v>1</v>
      </c>
      <c r="L8223">
        <v>172</v>
      </c>
      <c r="M8223">
        <v>1</v>
      </c>
      <c r="N8223">
        <v>1.7326999999999999E-70</v>
      </c>
      <c r="O8223">
        <v>669</v>
      </c>
    </row>
    <row r="8224" spans="1:15" x14ac:dyDescent="0.25">
      <c r="A8224" t="s">
        <v>8237</v>
      </c>
      <c r="B8224">
        <v>384</v>
      </c>
      <c r="C8224" s="1" t="str">
        <f>HYPERLINK("http://www.rosaceae.org/gb/gbrowse/malus_x_domestica/?name=MDP0000146231","MDP0000146231")</f>
        <v>MDP0000146231</v>
      </c>
      <c r="D8224">
        <v>83.14</v>
      </c>
      <c r="E8224">
        <v>350</v>
      </c>
      <c r="F8224">
        <v>59</v>
      </c>
      <c r="G8224">
        <v>1</v>
      </c>
      <c r="H8224">
        <v>1</v>
      </c>
      <c r="I8224">
        <v>350</v>
      </c>
      <c r="J8224">
        <v>1</v>
      </c>
      <c r="K8224">
        <v>1</v>
      </c>
      <c r="L8224">
        <v>349</v>
      </c>
      <c r="M8224">
        <v>1</v>
      </c>
      <c r="N8224">
        <v>6.3922299999999997E-174</v>
      </c>
      <c r="O8224">
        <v>1565</v>
      </c>
    </row>
    <row r="8225" spans="1:15" x14ac:dyDescent="0.25">
      <c r="A8225" t="s">
        <v>8238</v>
      </c>
      <c r="B8225">
        <v>361</v>
      </c>
      <c r="C8225" s="1" t="str">
        <f>HYPERLINK("http://www.rosaceae.org/gb/gbrowse/malus_x_domestica/?name=MDP0000281445","MDP0000281445")</f>
        <v>MDP0000281445</v>
      </c>
      <c r="D8225">
        <v>82.68</v>
      </c>
      <c r="E8225">
        <v>358</v>
      </c>
      <c r="F8225">
        <v>62</v>
      </c>
      <c r="G8225">
        <v>2</v>
      </c>
      <c r="H8225">
        <v>4</v>
      </c>
      <c r="I8225">
        <v>361</v>
      </c>
      <c r="J8225">
        <v>1</v>
      </c>
      <c r="K8225">
        <v>348</v>
      </c>
      <c r="L8225">
        <v>703</v>
      </c>
      <c r="M8225">
        <v>1</v>
      </c>
      <c r="N8225">
        <v>4.2311899999999997E-178</v>
      </c>
      <c r="O8225">
        <v>1601</v>
      </c>
    </row>
    <row r="8226" spans="1:15" x14ac:dyDescent="0.25">
      <c r="A8226" t="s">
        <v>8239</v>
      </c>
      <c r="B8226">
        <v>454</v>
      </c>
      <c r="C8226" s="1" t="str">
        <f>HYPERLINK("http://www.rosaceae.org/gb/gbrowse/malus_x_domestica/?name=MDP0000163774","MDP0000163774")</f>
        <v>MDP0000163774</v>
      </c>
      <c r="D8226">
        <v>35.369999999999997</v>
      </c>
      <c r="E8226">
        <v>147</v>
      </c>
      <c r="F8226">
        <v>95</v>
      </c>
      <c r="G8226">
        <v>11</v>
      </c>
      <c r="H8226">
        <v>312</v>
      </c>
      <c r="I8226">
        <v>447</v>
      </c>
      <c r="J8226">
        <v>1</v>
      </c>
      <c r="K8226">
        <v>246</v>
      </c>
      <c r="L8226">
        <v>392</v>
      </c>
      <c r="M8226">
        <v>1</v>
      </c>
      <c r="N8226">
        <v>3.7347400000000001E-20</v>
      </c>
      <c r="O8226">
        <v>240</v>
      </c>
    </row>
    <row r="8227" spans="1:15" x14ac:dyDescent="0.25">
      <c r="A8227" t="s">
        <v>8240</v>
      </c>
      <c r="B8227">
        <v>181</v>
      </c>
      <c r="C8227" s="1" t="str">
        <f>HYPERLINK("http://www.rosaceae.org/gb/gbrowse/malus_x_domestica/?name=MDP0000131337","MDP0000131337")</f>
        <v>MDP0000131337</v>
      </c>
      <c r="D8227">
        <v>61.22</v>
      </c>
      <c r="E8227">
        <v>49</v>
      </c>
      <c r="F8227">
        <v>19</v>
      </c>
      <c r="G8227">
        <v>0</v>
      </c>
      <c r="H8227">
        <v>122</v>
      </c>
      <c r="I8227">
        <v>170</v>
      </c>
      <c r="J8227">
        <v>1</v>
      </c>
      <c r="K8227">
        <v>41</v>
      </c>
      <c r="L8227">
        <v>89</v>
      </c>
      <c r="M8227">
        <v>1</v>
      </c>
      <c r="N8227">
        <v>4.6280200000000003E-12</v>
      </c>
      <c r="O8227">
        <v>165</v>
      </c>
    </row>
    <row r="8228" spans="1:15" x14ac:dyDescent="0.25">
      <c r="A8228" t="s">
        <v>8241</v>
      </c>
      <c r="B8228">
        <v>291</v>
      </c>
      <c r="C8228" s="1" t="str">
        <f>HYPERLINK("http://www.rosaceae.org/gb/gbrowse/malus_x_domestica/?name=MDP0000184581","MDP0000184581")</f>
        <v>MDP0000184581</v>
      </c>
      <c r="D8228">
        <v>79.5</v>
      </c>
      <c r="E8228">
        <v>244</v>
      </c>
      <c r="F8228">
        <v>50</v>
      </c>
      <c r="G8228">
        <v>3</v>
      </c>
      <c r="H8228">
        <v>31</v>
      </c>
      <c r="I8228">
        <v>273</v>
      </c>
      <c r="J8228">
        <v>1</v>
      </c>
      <c r="K8228">
        <v>1</v>
      </c>
      <c r="L8228">
        <v>242</v>
      </c>
      <c r="M8228">
        <v>1</v>
      </c>
      <c r="N8228">
        <v>1.0262099999999999E-111</v>
      </c>
      <c r="O8228">
        <v>1027</v>
      </c>
    </row>
    <row r="8229" spans="1:15" x14ac:dyDescent="0.25">
      <c r="A8229" t="s">
        <v>8242</v>
      </c>
      <c r="B8229">
        <v>350</v>
      </c>
      <c r="C8229" s="1" t="str">
        <f>HYPERLINK("http://www.rosaceae.org/gb/gbrowse/malus_x_domestica/?name=MDP0000798679","MDP0000798679")</f>
        <v>MDP0000798679</v>
      </c>
      <c r="D8229">
        <v>67.61</v>
      </c>
      <c r="E8229">
        <v>352</v>
      </c>
      <c r="F8229">
        <v>114</v>
      </c>
      <c r="G8229">
        <v>20</v>
      </c>
      <c r="H8229">
        <v>1</v>
      </c>
      <c r="I8229">
        <v>350</v>
      </c>
      <c r="J8229">
        <v>1</v>
      </c>
      <c r="K8229">
        <v>1</v>
      </c>
      <c r="L8229">
        <v>334</v>
      </c>
      <c r="M8229">
        <v>1</v>
      </c>
      <c r="N8229">
        <v>1.1722600000000001E-135</v>
      </c>
      <c r="O8229">
        <v>1235</v>
      </c>
    </row>
    <row r="8230" spans="1:15" x14ac:dyDescent="0.25">
      <c r="A8230" t="s">
        <v>8243</v>
      </c>
      <c r="B8230">
        <v>416</v>
      </c>
      <c r="C8230" s="1" t="str">
        <f>HYPERLINK("http://www.rosaceae.org/gb/gbrowse/malus_x_domestica/?name=MDP0000866084","MDP0000866084")</f>
        <v>MDP0000866084</v>
      </c>
      <c r="D8230">
        <v>82.3</v>
      </c>
      <c r="E8230">
        <v>339</v>
      </c>
      <c r="F8230">
        <v>60</v>
      </c>
      <c r="G8230">
        <v>0</v>
      </c>
      <c r="H8230">
        <v>78</v>
      </c>
      <c r="I8230">
        <v>416</v>
      </c>
      <c r="J8230">
        <v>1</v>
      </c>
      <c r="K8230">
        <v>27</v>
      </c>
      <c r="L8230">
        <v>365</v>
      </c>
      <c r="M8230">
        <v>1</v>
      </c>
      <c r="N8230">
        <v>1.70027E-171</v>
      </c>
      <c r="O8230">
        <v>1545</v>
      </c>
    </row>
    <row r="8231" spans="1:15" x14ac:dyDescent="0.25">
      <c r="A8231" t="s">
        <v>8244</v>
      </c>
      <c r="B8231">
        <v>434</v>
      </c>
      <c r="C8231" s="1" t="str">
        <f>HYPERLINK("http://www.rosaceae.org/gb/gbrowse/malus_x_domestica/?name=MDP0000205719","MDP0000205719")</f>
        <v>MDP0000205719</v>
      </c>
      <c r="D8231">
        <v>81.98</v>
      </c>
      <c r="E8231">
        <v>444</v>
      </c>
      <c r="F8231">
        <v>80</v>
      </c>
      <c r="G8231">
        <v>28</v>
      </c>
      <c r="H8231">
        <v>6</v>
      </c>
      <c r="I8231">
        <v>433</v>
      </c>
      <c r="J8231">
        <v>1</v>
      </c>
      <c r="K8231">
        <v>10</v>
      </c>
      <c r="L8231">
        <v>441</v>
      </c>
      <c r="M8231">
        <v>1</v>
      </c>
      <c r="N8231">
        <v>0</v>
      </c>
      <c r="O8231">
        <v>1860</v>
      </c>
    </row>
    <row r="8232" spans="1:15" x14ac:dyDescent="0.25">
      <c r="A8232" t="s">
        <v>8245</v>
      </c>
      <c r="B8232">
        <v>880</v>
      </c>
      <c r="C8232" s="1" t="str">
        <f>HYPERLINK("http://www.rosaceae.org/gb/gbrowse/malus_x_domestica/?name=MDP0000263387","MDP0000263387")</f>
        <v>MDP0000263387</v>
      </c>
      <c r="D8232">
        <v>62.8</v>
      </c>
      <c r="E8232">
        <v>750</v>
      </c>
      <c r="F8232">
        <v>279</v>
      </c>
      <c r="G8232">
        <v>43</v>
      </c>
      <c r="H8232">
        <v>1</v>
      </c>
      <c r="I8232">
        <v>711</v>
      </c>
      <c r="J8232">
        <v>1</v>
      </c>
      <c r="K8232">
        <v>1</v>
      </c>
      <c r="L8232">
        <v>746</v>
      </c>
      <c r="M8232">
        <v>1</v>
      </c>
      <c r="N8232">
        <v>0</v>
      </c>
      <c r="O8232">
        <v>2250</v>
      </c>
    </row>
    <row r="8233" spans="1:15" x14ac:dyDescent="0.25">
      <c r="A8233" t="s">
        <v>8246</v>
      </c>
      <c r="B8233">
        <v>235</v>
      </c>
      <c r="C8233" s="1" t="str">
        <f>HYPERLINK("http://www.rosaceae.org/gb/gbrowse/malus_x_domestica/?name=MDP0000268617","MDP0000268617")</f>
        <v>MDP0000268617</v>
      </c>
      <c r="D8233">
        <v>25</v>
      </c>
      <c r="E8233">
        <v>188</v>
      </c>
      <c r="F8233">
        <v>141</v>
      </c>
      <c r="G8233">
        <v>3</v>
      </c>
      <c r="H8233">
        <v>31</v>
      </c>
      <c r="I8233">
        <v>217</v>
      </c>
      <c r="J8233">
        <v>1</v>
      </c>
      <c r="K8233">
        <v>619</v>
      </c>
      <c r="L8233">
        <v>804</v>
      </c>
      <c r="M8233">
        <v>1</v>
      </c>
      <c r="N8233">
        <v>2.67983E-13</v>
      </c>
      <c r="O8233">
        <v>177</v>
      </c>
    </row>
    <row r="8234" spans="1:15" x14ac:dyDescent="0.25">
      <c r="A8234" t="s">
        <v>8247</v>
      </c>
      <c r="B8234">
        <v>126</v>
      </c>
      <c r="C8234" s="1" t="str">
        <f>HYPERLINK("http://www.rosaceae.org/gb/gbrowse/malus_x_domestica/?name=MDP0000830613","MDP0000830613")</f>
        <v>MDP0000830613</v>
      </c>
      <c r="D8234">
        <v>77.31</v>
      </c>
      <c r="E8234">
        <v>97</v>
      </c>
      <c r="F8234">
        <v>22</v>
      </c>
      <c r="G8234">
        <v>1</v>
      </c>
      <c r="H8234">
        <v>1</v>
      </c>
      <c r="I8234">
        <v>96</v>
      </c>
      <c r="J8234">
        <v>1</v>
      </c>
      <c r="K8234">
        <v>1</v>
      </c>
      <c r="L8234">
        <v>97</v>
      </c>
      <c r="M8234">
        <v>1</v>
      </c>
      <c r="N8234">
        <v>3.5958100000000001E-38</v>
      </c>
      <c r="O8234">
        <v>387</v>
      </c>
    </row>
    <row r="8235" spans="1:15" x14ac:dyDescent="0.25">
      <c r="A8235" t="s">
        <v>8248</v>
      </c>
      <c r="B8235">
        <v>107</v>
      </c>
      <c r="C8235" s="1" t="str">
        <f>HYPERLINK("http://www.rosaceae.org/gb/gbrowse/malus_x_domestica/?name=MDP0000441505","MDP0000441505")</f>
        <v>MDP0000441505</v>
      </c>
      <c r="D8235">
        <v>47.72</v>
      </c>
      <c r="E8235">
        <v>88</v>
      </c>
      <c r="F8235">
        <v>46</v>
      </c>
      <c r="G8235">
        <v>16</v>
      </c>
      <c r="H8235">
        <v>22</v>
      </c>
      <c r="I8235">
        <v>107</v>
      </c>
      <c r="J8235">
        <v>1</v>
      </c>
      <c r="K8235">
        <v>32</v>
      </c>
      <c r="L8235">
        <v>105</v>
      </c>
      <c r="M8235">
        <v>1</v>
      </c>
      <c r="N8235">
        <v>2.20984E-10</v>
      </c>
      <c r="O8235">
        <v>147</v>
      </c>
    </row>
    <row r="8236" spans="1:15" x14ac:dyDescent="0.25">
      <c r="A8236" t="s">
        <v>8249</v>
      </c>
      <c r="B8236">
        <v>91</v>
      </c>
      <c r="C8236" s="1" t="str">
        <f>HYPERLINK("http://www.rosaceae.org/gb/gbrowse/malus_x_domestica/?name=MDP0000183993","MDP0000183993")</f>
        <v>MDP0000183993</v>
      </c>
      <c r="D8236">
        <v>36.36</v>
      </c>
      <c r="E8236">
        <v>99</v>
      </c>
      <c r="F8236">
        <v>63</v>
      </c>
      <c r="G8236">
        <v>27</v>
      </c>
      <c r="H8236">
        <v>10</v>
      </c>
      <c r="I8236">
        <v>81</v>
      </c>
      <c r="J8236">
        <v>1</v>
      </c>
      <c r="K8236">
        <v>82</v>
      </c>
      <c r="L8236">
        <v>180</v>
      </c>
      <c r="M8236">
        <v>1</v>
      </c>
      <c r="N8236">
        <v>1.67826E-9</v>
      </c>
      <c r="O8236">
        <v>139</v>
      </c>
    </row>
    <row r="8237" spans="1:15" x14ac:dyDescent="0.25">
      <c r="A8237" t="s">
        <v>8250</v>
      </c>
      <c r="B8237">
        <v>188</v>
      </c>
      <c r="C8237" s="1" t="str">
        <f>HYPERLINK("http://www.rosaceae.org/gb/gbrowse/malus_x_domestica/?name=MDP0000306808","MDP0000306808")</f>
        <v>MDP0000306808</v>
      </c>
      <c r="D8237">
        <v>53.47</v>
      </c>
      <c r="E8237">
        <v>187</v>
      </c>
      <c r="F8237">
        <v>87</v>
      </c>
      <c r="G8237">
        <v>16</v>
      </c>
      <c r="H8237">
        <v>1</v>
      </c>
      <c r="I8237">
        <v>186</v>
      </c>
      <c r="J8237">
        <v>1</v>
      </c>
      <c r="K8237">
        <v>1</v>
      </c>
      <c r="L8237">
        <v>172</v>
      </c>
      <c r="M8237">
        <v>1</v>
      </c>
      <c r="N8237">
        <v>5.2193800000000001E-46</v>
      </c>
      <c r="O8237">
        <v>458</v>
      </c>
    </row>
    <row r="8238" spans="1:15" x14ac:dyDescent="0.25">
      <c r="A8238" t="s">
        <v>8251</v>
      </c>
      <c r="B8238">
        <v>205</v>
      </c>
      <c r="C8238" s="1" t="str">
        <f>HYPERLINK("http://www.rosaceae.org/gb/gbrowse/malus_x_domestica/?name=MDP0000230606","MDP0000230606")</f>
        <v>MDP0000230606</v>
      </c>
      <c r="D8238">
        <v>93.33</v>
      </c>
      <c r="E8238">
        <v>195</v>
      </c>
      <c r="F8238">
        <v>13</v>
      </c>
      <c r="G8238">
        <v>0</v>
      </c>
      <c r="H8238">
        <v>1</v>
      </c>
      <c r="I8238">
        <v>195</v>
      </c>
      <c r="J8238">
        <v>1</v>
      </c>
      <c r="K8238">
        <v>1</v>
      </c>
      <c r="L8238">
        <v>195</v>
      </c>
      <c r="M8238">
        <v>1</v>
      </c>
      <c r="N8238">
        <v>7.1266299999999999E-106</v>
      </c>
      <c r="O8238">
        <v>975</v>
      </c>
    </row>
    <row r="8239" spans="1:15" x14ac:dyDescent="0.25">
      <c r="A8239" t="s">
        <v>8252</v>
      </c>
      <c r="B8239">
        <v>203</v>
      </c>
      <c r="C8239" s="1" t="str">
        <f>HYPERLINK("http://www.rosaceae.org/gb/gbrowse/malus_x_domestica/?name=MDP0000348697","MDP0000348697")</f>
        <v>MDP0000348697</v>
      </c>
      <c r="D8239">
        <v>96</v>
      </c>
      <c r="E8239">
        <v>100</v>
      </c>
      <c r="F8239">
        <v>4</v>
      </c>
      <c r="G8239">
        <v>0</v>
      </c>
      <c r="H8239">
        <v>1</v>
      </c>
      <c r="I8239">
        <v>100</v>
      </c>
      <c r="J8239">
        <v>1</v>
      </c>
      <c r="K8239">
        <v>69</v>
      </c>
      <c r="L8239">
        <v>168</v>
      </c>
      <c r="M8239">
        <v>1</v>
      </c>
      <c r="N8239">
        <v>1.1196399999999999E-52</v>
      </c>
      <c r="O8239">
        <v>516</v>
      </c>
    </row>
    <row r="8240" spans="1:15" x14ac:dyDescent="0.25">
      <c r="A8240" t="s">
        <v>8253</v>
      </c>
      <c r="B8240">
        <v>410</v>
      </c>
      <c r="C8240" s="1" t="str">
        <f>HYPERLINK("http://www.rosaceae.org/gb/gbrowse/malus_x_domestica/?name=MDP0000286005","MDP0000286005")</f>
        <v>MDP0000286005</v>
      </c>
      <c r="D8240">
        <v>81.81</v>
      </c>
      <c r="E8240">
        <v>121</v>
      </c>
      <c r="F8240">
        <v>22</v>
      </c>
      <c r="G8240">
        <v>1</v>
      </c>
      <c r="H8240">
        <v>90</v>
      </c>
      <c r="I8240">
        <v>209</v>
      </c>
      <c r="J8240">
        <v>1</v>
      </c>
      <c r="K8240">
        <v>78</v>
      </c>
      <c r="L8240">
        <v>198</v>
      </c>
      <c r="M8240">
        <v>1</v>
      </c>
      <c r="N8240">
        <v>6.5564599999999997E-53</v>
      </c>
      <c r="O8240">
        <v>522</v>
      </c>
    </row>
    <row r="8241" spans="1:15" x14ac:dyDescent="0.25">
      <c r="A8241" t="s">
        <v>8254</v>
      </c>
      <c r="B8241">
        <v>495</v>
      </c>
      <c r="C8241" s="1" t="str">
        <f>HYPERLINK("http://www.rosaceae.org/gb/gbrowse/malus_x_domestica/?name=MDP0000275594","MDP0000275594")</f>
        <v>MDP0000275594</v>
      </c>
      <c r="D8241">
        <v>69.349999999999994</v>
      </c>
      <c r="E8241">
        <v>434</v>
      </c>
      <c r="F8241">
        <v>133</v>
      </c>
      <c r="G8241">
        <v>0</v>
      </c>
      <c r="H8241">
        <v>1</v>
      </c>
      <c r="I8241">
        <v>434</v>
      </c>
      <c r="J8241">
        <v>1</v>
      </c>
      <c r="K8241">
        <v>1</v>
      </c>
      <c r="L8241">
        <v>434</v>
      </c>
      <c r="M8241">
        <v>1</v>
      </c>
      <c r="N8241">
        <v>0</v>
      </c>
      <c r="O8241">
        <v>1676</v>
      </c>
    </row>
    <row r="8242" spans="1:15" x14ac:dyDescent="0.25">
      <c r="A8242" t="s">
        <v>8255</v>
      </c>
      <c r="B8242">
        <v>612</v>
      </c>
      <c r="C8242" s="1" t="str">
        <f>HYPERLINK("http://www.rosaceae.org/gb/gbrowse/malus_x_domestica/?name=MDP0000203723","MDP0000203723")</f>
        <v>MDP0000203723</v>
      </c>
      <c r="D8242">
        <v>82.27</v>
      </c>
      <c r="E8242">
        <v>440</v>
      </c>
      <c r="F8242">
        <v>78</v>
      </c>
      <c r="G8242">
        <v>0</v>
      </c>
      <c r="H8242">
        <v>136</v>
      </c>
      <c r="I8242">
        <v>575</v>
      </c>
      <c r="J8242">
        <v>1</v>
      </c>
      <c r="K8242">
        <v>86</v>
      </c>
      <c r="L8242">
        <v>525</v>
      </c>
      <c r="M8242">
        <v>1</v>
      </c>
      <c r="N8242">
        <v>0</v>
      </c>
      <c r="O8242">
        <v>1884</v>
      </c>
    </row>
    <row r="8243" spans="1:15" x14ac:dyDescent="0.25">
      <c r="A8243" t="s">
        <v>8256</v>
      </c>
      <c r="B8243">
        <v>886</v>
      </c>
      <c r="C8243" s="1" t="str">
        <f>HYPERLINK("http://www.rosaceae.org/gb/gbrowse/malus_x_domestica/?name=MDP0000194700","MDP0000194700")</f>
        <v>MDP0000194700</v>
      </c>
      <c r="D8243">
        <v>59.29</v>
      </c>
      <c r="E8243">
        <v>855</v>
      </c>
      <c r="F8243">
        <v>348</v>
      </c>
      <c r="G8243">
        <v>6</v>
      </c>
      <c r="H8243">
        <v>36</v>
      </c>
      <c r="I8243">
        <v>885</v>
      </c>
      <c r="J8243">
        <v>1</v>
      </c>
      <c r="K8243">
        <v>46</v>
      </c>
      <c r="L8243">
        <v>899</v>
      </c>
      <c r="M8243">
        <v>1</v>
      </c>
      <c r="N8243">
        <v>0</v>
      </c>
      <c r="O8243">
        <v>2671</v>
      </c>
    </row>
    <row r="8244" spans="1:15" x14ac:dyDescent="0.25">
      <c r="A8244" t="s">
        <v>8257</v>
      </c>
      <c r="B8244">
        <v>150</v>
      </c>
      <c r="C8244" s="1" t="str">
        <f>HYPERLINK("http://www.rosaceae.org/gb/gbrowse/malus_x_domestica/?name=MDP0000254729","MDP0000254729")</f>
        <v>MDP0000254729</v>
      </c>
      <c r="D8244">
        <v>38.799999999999997</v>
      </c>
      <c r="E8244">
        <v>67</v>
      </c>
      <c r="F8244">
        <v>41</v>
      </c>
      <c r="G8244">
        <v>2</v>
      </c>
      <c r="H8244">
        <v>84</v>
      </c>
      <c r="I8244">
        <v>150</v>
      </c>
      <c r="J8244">
        <v>1</v>
      </c>
      <c r="K8244">
        <v>134</v>
      </c>
      <c r="L8244">
        <v>198</v>
      </c>
      <c r="M8244">
        <v>1</v>
      </c>
      <c r="N8244">
        <v>3.0209500000000001E-7</v>
      </c>
      <c r="O8244">
        <v>122</v>
      </c>
    </row>
    <row r="8245" spans="1:15" x14ac:dyDescent="0.25">
      <c r="A8245" t="s">
        <v>8258</v>
      </c>
      <c r="B8245">
        <v>451</v>
      </c>
      <c r="C8245" s="1" t="str">
        <f>HYPERLINK("http://www.rosaceae.org/gb/gbrowse/malus_x_domestica/?name=MDP0000222923","MDP0000222923")</f>
        <v>MDP0000222923</v>
      </c>
      <c r="D8245">
        <v>53.15</v>
      </c>
      <c r="E8245">
        <v>365</v>
      </c>
      <c r="F8245">
        <v>171</v>
      </c>
      <c r="G8245">
        <v>51</v>
      </c>
      <c r="H8245">
        <v>118</v>
      </c>
      <c r="I8245">
        <v>451</v>
      </c>
      <c r="J8245">
        <v>1</v>
      </c>
      <c r="K8245">
        <v>63</v>
      </c>
      <c r="L8245">
        <v>407</v>
      </c>
      <c r="M8245">
        <v>1</v>
      </c>
      <c r="N8245">
        <v>7.2558899999999999E-88</v>
      </c>
      <c r="O8245">
        <v>824</v>
      </c>
    </row>
    <row r="8246" spans="1:15" x14ac:dyDescent="0.25">
      <c r="A8246" t="s">
        <v>8259</v>
      </c>
      <c r="B8246">
        <v>153</v>
      </c>
      <c r="C8246" s="1" t="str">
        <f>HYPERLINK("http://www.rosaceae.org/gb/gbrowse/malus_x_domestica/?name=MDP0000441699","MDP0000441699")</f>
        <v>MDP0000441699</v>
      </c>
      <c r="D8246">
        <v>63.63</v>
      </c>
      <c r="E8246">
        <v>132</v>
      </c>
      <c r="F8246">
        <v>48</v>
      </c>
      <c r="G8246">
        <v>9</v>
      </c>
      <c r="H8246">
        <v>4</v>
      </c>
      <c r="I8246">
        <v>126</v>
      </c>
      <c r="J8246">
        <v>1</v>
      </c>
      <c r="K8246">
        <v>131</v>
      </c>
      <c r="L8246">
        <v>262</v>
      </c>
      <c r="M8246">
        <v>1</v>
      </c>
      <c r="N8246">
        <v>1.5488700000000001E-45</v>
      </c>
      <c r="O8246">
        <v>452</v>
      </c>
    </row>
    <row r="8247" spans="1:15" x14ac:dyDescent="0.25">
      <c r="A8247" t="s">
        <v>8260</v>
      </c>
      <c r="B8247">
        <v>84</v>
      </c>
      <c r="C8247" s="1" t="str">
        <f>HYPERLINK("http://www.rosaceae.org/gb/gbrowse/malus_x_domestica/?name=MDP0000174606","MDP0000174606")</f>
        <v>MDP0000174606</v>
      </c>
      <c r="D8247">
        <v>64.44</v>
      </c>
      <c r="E8247">
        <v>45</v>
      </c>
      <c r="F8247">
        <v>16</v>
      </c>
      <c r="G8247">
        <v>3</v>
      </c>
      <c r="H8247">
        <v>31</v>
      </c>
      <c r="I8247">
        <v>73</v>
      </c>
      <c r="J8247">
        <v>1</v>
      </c>
      <c r="K8247">
        <v>31</v>
      </c>
      <c r="L8247">
        <v>74</v>
      </c>
      <c r="M8247">
        <v>1</v>
      </c>
      <c r="N8247">
        <v>4.0728800000000003E-8</v>
      </c>
      <c r="O8247">
        <v>127</v>
      </c>
    </row>
    <row r="8248" spans="1:15" x14ac:dyDescent="0.25">
      <c r="A8248" t="s">
        <v>8261</v>
      </c>
      <c r="B8248">
        <v>122</v>
      </c>
      <c r="C8248" s="1" t="str">
        <f>HYPERLINK("http://www.rosaceae.org/gb/gbrowse/malus_x_domestica/?name=MDP0000235575","MDP0000235575")</f>
        <v>MDP0000235575</v>
      </c>
      <c r="D8248">
        <v>96.69</v>
      </c>
      <c r="E8248">
        <v>121</v>
      </c>
      <c r="F8248">
        <v>4</v>
      </c>
      <c r="G8248">
        <v>0</v>
      </c>
      <c r="H8248">
        <v>1</v>
      </c>
      <c r="I8248">
        <v>121</v>
      </c>
      <c r="J8248">
        <v>1</v>
      </c>
      <c r="K8248">
        <v>55</v>
      </c>
      <c r="L8248">
        <v>175</v>
      </c>
      <c r="M8248">
        <v>1</v>
      </c>
      <c r="N8248">
        <v>2.84412E-64</v>
      </c>
      <c r="O8248">
        <v>612</v>
      </c>
    </row>
    <row r="8249" spans="1:15" x14ac:dyDescent="0.25">
      <c r="A8249" t="s">
        <v>8262</v>
      </c>
      <c r="B8249">
        <v>881</v>
      </c>
      <c r="C8249" s="1" t="str">
        <f>HYPERLINK("http://www.rosaceae.org/gb/gbrowse/malus_x_domestica/?name=MDP0000237964","MDP0000237964")</f>
        <v>MDP0000237964</v>
      </c>
      <c r="D8249">
        <v>83.12</v>
      </c>
      <c r="E8249">
        <v>557</v>
      </c>
      <c r="F8249">
        <v>94</v>
      </c>
      <c r="G8249">
        <v>5</v>
      </c>
      <c r="H8249">
        <v>310</v>
      </c>
      <c r="I8249">
        <v>864</v>
      </c>
      <c r="J8249">
        <v>1</v>
      </c>
      <c r="K8249">
        <v>13</v>
      </c>
      <c r="L8249">
        <v>566</v>
      </c>
      <c r="M8249">
        <v>1</v>
      </c>
      <c r="N8249">
        <v>0</v>
      </c>
      <c r="O8249">
        <v>2484</v>
      </c>
    </row>
    <row r="8250" spans="1:15" x14ac:dyDescent="0.25">
      <c r="A8250" t="s">
        <v>8263</v>
      </c>
      <c r="B8250">
        <v>163</v>
      </c>
      <c r="C8250" s="1" t="str">
        <f>HYPERLINK("http://www.rosaceae.org/gb/gbrowse/malus_x_domestica/?name=MDP0000137432","MDP0000137432")</f>
        <v>MDP0000137432</v>
      </c>
      <c r="D8250">
        <v>74.489999999999995</v>
      </c>
      <c r="E8250">
        <v>149</v>
      </c>
      <c r="F8250">
        <v>38</v>
      </c>
      <c r="G8250">
        <v>1</v>
      </c>
      <c r="H8250">
        <v>14</v>
      </c>
      <c r="I8250">
        <v>162</v>
      </c>
      <c r="J8250">
        <v>1</v>
      </c>
      <c r="K8250">
        <v>376</v>
      </c>
      <c r="L8250">
        <v>523</v>
      </c>
      <c r="M8250">
        <v>1</v>
      </c>
      <c r="N8250">
        <v>1.1760100000000001E-62</v>
      </c>
      <c r="O8250">
        <v>600</v>
      </c>
    </row>
    <row r="8251" spans="1:15" x14ac:dyDescent="0.25">
      <c r="A8251" t="s">
        <v>8264</v>
      </c>
      <c r="B8251">
        <v>136</v>
      </c>
      <c r="C8251" s="1" t="str">
        <f>HYPERLINK("http://www.rosaceae.org/gb/gbrowse/malus_x_domestica/?name=MDP0000226394","MDP0000226394")</f>
        <v>MDP0000226394</v>
      </c>
      <c r="D8251">
        <v>36.11</v>
      </c>
      <c r="E8251">
        <v>108</v>
      </c>
      <c r="F8251">
        <v>69</v>
      </c>
      <c r="G8251">
        <v>0</v>
      </c>
      <c r="H8251">
        <v>3</v>
      </c>
      <c r="I8251">
        <v>110</v>
      </c>
      <c r="J8251">
        <v>1</v>
      </c>
      <c r="K8251">
        <v>42</v>
      </c>
      <c r="L8251">
        <v>149</v>
      </c>
      <c r="M8251">
        <v>1</v>
      </c>
      <c r="N8251">
        <v>2.5726099999999998E-13</v>
      </c>
      <c r="O8251">
        <v>173</v>
      </c>
    </row>
    <row r="8252" spans="1:15" x14ac:dyDescent="0.25">
      <c r="A8252" t="s">
        <v>8265</v>
      </c>
      <c r="B8252">
        <v>130</v>
      </c>
      <c r="C8252" s="1" t="str">
        <f>HYPERLINK("http://www.rosaceae.org/gb/gbrowse/malus_x_domestica/?name=MDP0000162755","MDP0000162755")</f>
        <v>MDP0000162755</v>
      </c>
      <c r="D8252">
        <v>92.59</v>
      </c>
      <c r="E8252">
        <v>27</v>
      </c>
      <c r="F8252">
        <v>2</v>
      </c>
      <c r="G8252">
        <v>0</v>
      </c>
      <c r="H8252">
        <v>103</v>
      </c>
      <c r="I8252">
        <v>129</v>
      </c>
      <c r="J8252">
        <v>1</v>
      </c>
      <c r="K8252">
        <v>25</v>
      </c>
      <c r="L8252">
        <v>51</v>
      </c>
      <c r="M8252">
        <v>1</v>
      </c>
      <c r="N8252">
        <v>1.43628E-8</v>
      </c>
      <c r="O8252">
        <v>132</v>
      </c>
    </row>
    <row r="8253" spans="1:15" x14ac:dyDescent="0.25">
      <c r="A8253" t="s">
        <v>8266</v>
      </c>
      <c r="B8253">
        <v>197</v>
      </c>
      <c r="C8253" s="1" t="str">
        <f>HYPERLINK("http://www.rosaceae.org/gb/gbrowse/malus_x_domestica/?name=MDP0000300536","MDP0000300536")</f>
        <v>MDP0000300536</v>
      </c>
      <c r="D8253">
        <v>47.75</v>
      </c>
      <c r="E8253">
        <v>178</v>
      </c>
      <c r="F8253">
        <v>93</v>
      </c>
      <c r="G8253">
        <v>10</v>
      </c>
      <c r="H8253">
        <v>1</v>
      </c>
      <c r="I8253">
        <v>169</v>
      </c>
      <c r="J8253">
        <v>1</v>
      </c>
      <c r="K8253">
        <v>432</v>
      </c>
      <c r="L8253">
        <v>608</v>
      </c>
      <c r="M8253">
        <v>1</v>
      </c>
      <c r="N8253">
        <v>4.5661599999999999E-37</v>
      </c>
      <c r="O8253">
        <v>381</v>
      </c>
    </row>
    <row r="8254" spans="1:15" x14ac:dyDescent="0.25">
      <c r="A8254" t="s">
        <v>8267</v>
      </c>
      <c r="B8254">
        <v>463</v>
      </c>
      <c r="C8254" s="1" t="str">
        <f>HYPERLINK("http://www.rosaceae.org/gb/gbrowse/malus_x_domestica/?name=MDP0000821000","MDP0000821000")</f>
        <v>MDP0000821000</v>
      </c>
      <c r="D8254">
        <v>81.99</v>
      </c>
      <c r="E8254">
        <v>461</v>
      </c>
      <c r="F8254">
        <v>83</v>
      </c>
      <c r="G8254">
        <v>1</v>
      </c>
      <c r="H8254">
        <v>3</v>
      </c>
      <c r="I8254">
        <v>463</v>
      </c>
      <c r="J8254">
        <v>1</v>
      </c>
      <c r="K8254">
        <v>4</v>
      </c>
      <c r="L8254">
        <v>463</v>
      </c>
      <c r="M8254">
        <v>1</v>
      </c>
      <c r="N8254">
        <v>0</v>
      </c>
      <c r="O8254">
        <v>2050</v>
      </c>
    </row>
    <row r="8255" spans="1:15" x14ac:dyDescent="0.25">
      <c r="A8255" t="s">
        <v>8268</v>
      </c>
      <c r="B8255">
        <v>520</v>
      </c>
      <c r="C8255" s="1" t="str">
        <f>HYPERLINK("http://www.rosaceae.org/gb/gbrowse/malus_x_domestica/?name=MDP0000146555","MDP0000146555")</f>
        <v>MDP0000146555</v>
      </c>
      <c r="D8255">
        <v>35.549999999999997</v>
      </c>
      <c r="E8255">
        <v>135</v>
      </c>
      <c r="F8255">
        <v>87</v>
      </c>
      <c r="G8255">
        <v>3</v>
      </c>
      <c r="H8255">
        <v>264</v>
      </c>
      <c r="I8255">
        <v>396</v>
      </c>
      <c r="J8255">
        <v>1</v>
      </c>
      <c r="K8255">
        <v>186</v>
      </c>
      <c r="L8255">
        <v>319</v>
      </c>
      <c r="M8255">
        <v>1</v>
      </c>
      <c r="N8255">
        <v>2.6138299999999999E-17</v>
      </c>
      <c r="O8255">
        <v>216</v>
      </c>
    </row>
    <row r="8256" spans="1:15" x14ac:dyDescent="0.25">
      <c r="A8256" t="s">
        <v>8269</v>
      </c>
      <c r="B8256">
        <v>558</v>
      </c>
      <c r="C8256" s="1" t="str">
        <f>HYPERLINK("http://www.rosaceae.org/gb/gbrowse/malus_x_domestica/?name=MDP0000535048","MDP0000535048")</f>
        <v>MDP0000535048</v>
      </c>
      <c r="D8256">
        <v>29.38</v>
      </c>
      <c r="E8256">
        <v>371</v>
      </c>
      <c r="F8256">
        <v>262</v>
      </c>
      <c r="G8256">
        <v>34</v>
      </c>
      <c r="H8256">
        <v>101</v>
      </c>
      <c r="I8256">
        <v>449</v>
      </c>
      <c r="J8256">
        <v>1</v>
      </c>
      <c r="K8256">
        <v>34</v>
      </c>
      <c r="L8256">
        <v>392</v>
      </c>
      <c r="M8256">
        <v>1</v>
      </c>
      <c r="N8256">
        <v>2.55776E-30</v>
      </c>
      <c r="O8256">
        <v>328</v>
      </c>
    </row>
    <row r="8257" spans="1:15" x14ac:dyDescent="0.25">
      <c r="A8257" t="s">
        <v>8270</v>
      </c>
      <c r="B8257">
        <v>505</v>
      </c>
      <c r="C8257" s="1" t="str">
        <f>HYPERLINK("http://www.rosaceae.org/gb/gbrowse/malus_x_domestica/?name=MDP0000258628","MDP0000258628")</f>
        <v>MDP0000258628</v>
      </c>
      <c r="D8257">
        <v>78.12</v>
      </c>
      <c r="E8257">
        <v>352</v>
      </c>
      <c r="F8257">
        <v>77</v>
      </c>
      <c r="G8257">
        <v>29</v>
      </c>
      <c r="H8257">
        <v>1</v>
      </c>
      <c r="I8257">
        <v>324</v>
      </c>
      <c r="J8257">
        <v>1</v>
      </c>
      <c r="K8257">
        <v>1</v>
      </c>
      <c r="L8257">
        <v>351</v>
      </c>
      <c r="M8257">
        <v>1</v>
      </c>
      <c r="N8257">
        <v>6.3533900000000002E-164</v>
      </c>
      <c r="O8257">
        <v>1480</v>
      </c>
    </row>
    <row r="8258" spans="1:15" x14ac:dyDescent="0.25">
      <c r="A8258" t="s">
        <v>8271</v>
      </c>
      <c r="B8258">
        <v>366</v>
      </c>
      <c r="C8258" s="1" t="str">
        <f>HYPERLINK("http://www.rosaceae.org/gb/gbrowse/malus_x_domestica/?name=MDP0000222224","MDP0000222224")</f>
        <v>MDP0000222224</v>
      </c>
      <c r="D8258">
        <v>69.23</v>
      </c>
      <c r="E8258">
        <v>364</v>
      </c>
      <c r="F8258">
        <v>112</v>
      </c>
      <c r="G8258">
        <v>3</v>
      </c>
      <c r="H8258">
        <v>1</v>
      </c>
      <c r="I8258">
        <v>363</v>
      </c>
      <c r="J8258">
        <v>1</v>
      </c>
      <c r="K8258">
        <v>3</v>
      </c>
      <c r="L8258">
        <v>364</v>
      </c>
      <c r="M8258">
        <v>1</v>
      </c>
      <c r="N8258">
        <v>1.7535400000000001E-146</v>
      </c>
      <c r="O8258">
        <v>1328</v>
      </c>
    </row>
    <row r="8259" spans="1:15" x14ac:dyDescent="0.25">
      <c r="A8259" t="s">
        <v>8272</v>
      </c>
      <c r="B8259">
        <v>146</v>
      </c>
      <c r="C8259" s="1" t="str">
        <f>HYPERLINK("http://www.rosaceae.org/gb/gbrowse/malus_x_domestica/?name=MDP0000167808","MDP0000167808")</f>
        <v>MDP0000167808</v>
      </c>
      <c r="D8259">
        <v>49.13</v>
      </c>
      <c r="E8259">
        <v>116</v>
      </c>
      <c r="F8259">
        <v>59</v>
      </c>
      <c r="G8259">
        <v>0</v>
      </c>
      <c r="H8259">
        <v>31</v>
      </c>
      <c r="I8259">
        <v>146</v>
      </c>
      <c r="J8259">
        <v>1</v>
      </c>
      <c r="K8259">
        <v>142</v>
      </c>
      <c r="L8259">
        <v>257</v>
      </c>
      <c r="M8259">
        <v>1</v>
      </c>
      <c r="N8259">
        <v>3.6090800000000002E-30</v>
      </c>
      <c r="O8259">
        <v>319</v>
      </c>
    </row>
    <row r="8260" spans="1:15" x14ac:dyDescent="0.25">
      <c r="A8260" t="s">
        <v>8273</v>
      </c>
      <c r="B8260">
        <v>101</v>
      </c>
      <c r="C8260" s="1" t="str">
        <f>HYPERLINK("http://www.rosaceae.org/gb/gbrowse/malus_x_domestica/?name=MDP0000423190","MDP0000423190")</f>
        <v>MDP0000423190</v>
      </c>
      <c r="D8260">
        <v>84.33</v>
      </c>
      <c r="E8260">
        <v>83</v>
      </c>
      <c r="F8260">
        <v>13</v>
      </c>
      <c r="G8260">
        <v>0</v>
      </c>
      <c r="H8260">
        <v>1</v>
      </c>
      <c r="I8260">
        <v>83</v>
      </c>
      <c r="J8260">
        <v>1</v>
      </c>
      <c r="K8260">
        <v>1</v>
      </c>
      <c r="L8260">
        <v>83</v>
      </c>
      <c r="M8260">
        <v>1</v>
      </c>
      <c r="N8260">
        <v>1.17767E-34</v>
      </c>
      <c r="O8260">
        <v>356</v>
      </c>
    </row>
    <row r="8261" spans="1:15" x14ac:dyDescent="0.25">
      <c r="A8261" t="s">
        <v>8274</v>
      </c>
      <c r="B8261">
        <v>316</v>
      </c>
      <c r="C8261" s="1" t="str">
        <f>HYPERLINK("http://www.rosaceae.org/gb/gbrowse/malus_x_domestica/?name=MDP0000259995","MDP0000259995")</f>
        <v>MDP0000259995</v>
      </c>
      <c r="D8261">
        <v>68.14</v>
      </c>
      <c r="E8261">
        <v>135</v>
      </c>
      <c r="F8261">
        <v>43</v>
      </c>
      <c r="G8261">
        <v>13</v>
      </c>
      <c r="H8261">
        <v>1</v>
      </c>
      <c r="I8261">
        <v>128</v>
      </c>
      <c r="J8261">
        <v>1</v>
      </c>
      <c r="K8261">
        <v>1</v>
      </c>
      <c r="L8261">
        <v>129</v>
      </c>
      <c r="M8261">
        <v>1</v>
      </c>
      <c r="N8261">
        <v>2.4309700000000001E-42</v>
      </c>
      <c r="O8261">
        <v>429</v>
      </c>
    </row>
    <row r="8262" spans="1:15" x14ac:dyDescent="0.25">
      <c r="A8262" t="s">
        <v>8275</v>
      </c>
      <c r="B8262">
        <v>347</v>
      </c>
      <c r="C8262" s="1" t="str">
        <f>HYPERLINK("http://www.rosaceae.org/gb/gbrowse/malus_x_domestica/?name=MDP0000497756","MDP0000497756")</f>
        <v>MDP0000497756</v>
      </c>
      <c r="D8262">
        <v>86.45</v>
      </c>
      <c r="E8262">
        <v>347</v>
      </c>
      <c r="F8262">
        <v>47</v>
      </c>
      <c r="G8262">
        <v>0</v>
      </c>
      <c r="H8262">
        <v>1</v>
      </c>
      <c r="I8262">
        <v>347</v>
      </c>
      <c r="J8262">
        <v>1</v>
      </c>
      <c r="K8262">
        <v>34</v>
      </c>
      <c r="L8262">
        <v>380</v>
      </c>
      <c r="M8262">
        <v>1</v>
      </c>
      <c r="N8262">
        <v>0</v>
      </c>
      <c r="O8262">
        <v>1630</v>
      </c>
    </row>
    <row r="8263" spans="1:15" x14ac:dyDescent="0.25">
      <c r="A8263" t="s">
        <v>8276</v>
      </c>
      <c r="B8263">
        <v>424</v>
      </c>
      <c r="C8263" s="1" t="str">
        <f>HYPERLINK("http://www.rosaceae.org/gb/gbrowse/malus_x_domestica/?name=MDP0000132958","MDP0000132958")</f>
        <v>MDP0000132958</v>
      </c>
      <c r="D8263">
        <v>71.02</v>
      </c>
      <c r="E8263">
        <v>421</v>
      </c>
      <c r="F8263">
        <v>122</v>
      </c>
      <c r="G8263">
        <v>5</v>
      </c>
      <c r="H8263">
        <v>3</v>
      </c>
      <c r="I8263">
        <v>421</v>
      </c>
      <c r="J8263">
        <v>1</v>
      </c>
      <c r="K8263">
        <v>2</v>
      </c>
      <c r="L8263">
        <v>419</v>
      </c>
      <c r="M8263">
        <v>1</v>
      </c>
      <c r="N8263">
        <v>4.3556299999999999E-180</v>
      </c>
      <c r="O8263">
        <v>1619</v>
      </c>
    </row>
    <row r="8264" spans="1:15" x14ac:dyDescent="0.25">
      <c r="A8264" t="s">
        <v>8277</v>
      </c>
      <c r="B8264">
        <v>616</v>
      </c>
      <c r="C8264" s="1" t="str">
        <f>HYPERLINK("http://www.rosaceae.org/gb/gbrowse/malus_x_domestica/?name=MDP0000406270","MDP0000406270")</f>
        <v>MDP0000406270</v>
      </c>
      <c r="D8264">
        <v>75.48</v>
      </c>
      <c r="E8264">
        <v>616</v>
      </c>
      <c r="F8264">
        <v>151</v>
      </c>
      <c r="G8264">
        <v>3</v>
      </c>
      <c r="H8264">
        <v>1</v>
      </c>
      <c r="I8264">
        <v>616</v>
      </c>
      <c r="J8264">
        <v>1</v>
      </c>
      <c r="K8264">
        <v>1</v>
      </c>
      <c r="L8264">
        <v>613</v>
      </c>
      <c r="M8264">
        <v>1</v>
      </c>
      <c r="N8264">
        <v>0</v>
      </c>
      <c r="O8264">
        <v>2359</v>
      </c>
    </row>
    <row r="8265" spans="1:15" x14ac:dyDescent="0.25">
      <c r="A8265" t="s">
        <v>8278</v>
      </c>
      <c r="B8265">
        <v>553</v>
      </c>
      <c r="C8265" s="1" t="str">
        <f>HYPERLINK("http://www.rosaceae.org/gb/gbrowse/malus_x_domestica/?name=MDP0000478473","MDP0000478473")</f>
        <v>MDP0000478473</v>
      </c>
      <c r="D8265">
        <v>43.2</v>
      </c>
      <c r="E8265">
        <v>493</v>
      </c>
      <c r="F8265">
        <v>280</v>
      </c>
      <c r="G8265">
        <v>58</v>
      </c>
      <c r="H8265">
        <v>6</v>
      </c>
      <c r="I8265">
        <v>463</v>
      </c>
      <c r="J8265">
        <v>1</v>
      </c>
      <c r="K8265">
        <v>4</v>
      </c>
      <c r="L8265">
        <v>473</v>
      </c>
      <c r="M8265">
        <v>1</v>
      </c>
      <c r="N8265">
        <v>2.4275800000000001E-114</v>
      </c>
      <c r="O8265">
        <v>1053</v>
      </c>
    </row>
    <row r="8266" spans="1:15" x14ac:dyDescent="0.25">
      <c r="A8266" t="s">
        <v>8279</v>
      </c>
      <c r="B8266">
        <v>197</v>
      </c>
      <c r="C8266" s="1" t="str">
        <f>HYPERLINK("http://www.rosaceae.org/gb/gbrowse/malus_x_domestica/?name=MDP0000219481","MDP0000219481")</f>
        <v>MDP0000219481</v>
      </c>
      <c r="D8266">
        <v>57.43</v>
      </c>
      <c r="E8266">
        <v>195</v>
      </c>
      <c r="F8266">
        <v>83</v>
      </c>
      <c r="G8266">
        <v>0</v>
      </c>
      <c r="H8266">
        <v>1</v>
      </c>
      <c r="I8266">
        <v>195</v>
      </c>
      <c r="J8266">
        <v>1</v>
      </c>
      <c r="K8266">
        <v>606</v>
      </c>
      <c r="L8266">
        <v>800</v>
      </c>
      <c r="M8266">
        <v>1</v>
      </c>
      <c r="N8266">
        <v>2.1209299999999999E-63</v>
      </c>
      <c r="O8266">
        <v>608</v>
      </c>
    </row>
    <row r="8267" spans="1:15" x14ac:dyDescent="0.25">
      <c r="A8267" t="s">
        <v>8280</v>
      </c>
      <c r="B8267">
        <v>746</v>
      </c>
      <c r="C8267" s="1" t="str">
        <f>HYPERLINK("http://www.rosaceae.org/gb/gbrowse/malus_x_domestica/?name=MDP0000300321","MDP0000300321")</f>
        <v>MDP0000300321</v>
      </c>
      <c r="D8267">
        <v>77.010000000000005</v>
      </c>
      <c r="E8267">
        <v>583</v>
      </c>
      <c r="F8267">
        <v>134</v>
      </c>
      <c r="G8267">
        <v>3</v>
      </c>
      <c r="H8267">
        <v>164</v>
      </c>
      <c r="I8267">
        <v>745</v>
      </c>
      <c r="J8267">
        <v>1</v>
      </c>
      <c r="K8267">
        <v>106</v>
      </c>
      <c r="L8267">
        <v>686</v>
      </c>
      <c r="M8267">
        <v>1</v>
      </c>
      <c r="N8267">
        <v>0</v>
      </c>
      <c r="O8267">
        <v>2373</v>
      </c>
    </row>
    <row r="8268" spans="1:15" x14ac:dyDescent="0.25">
      <c r="A8268" t="s">
        <v>8281</v>
      </c>
      <c r="B8268">
        <v>497</v>
      </c>
      <c r="C8268" s="1" t="str">
        <f>HYPERLINK("http://www.rosaceae.org/gb/gbrowse/malus_x_domestica/?name=MDP0000247921","MDP0000247921")</f>
        <v>MDP0000247921</v>
      </c>
      <c r="D8268">
        <v>24.79</v>
      </c>
      <c r="E8268">
        <v>496</v>
      </c>
      <c r="F8268">
        <v>373</v>
      </c>
      <c r="G8268">
        <v>72</v>
      </c>
      <c r="H8268">
        <v>2</v>
      </c>
      <c r="I8268">
        <v>473</v>
      </c>
      <c r="J8268">
        <v>1</v>
      </c>
      <c r="K8268">
        <v>682</v>
      </c>
      <c r="L8268">
        <v>1129</v>
      </c>
      <c r="M8268">
        <v>1</v>
      </c>
      <c r="N8268">
        <v>1.7109599999999999E-43</v>
      </c>
      <c r="O8268">
        <v>442</v>
      </c>
    </row>
    <row r="8269" spans="1:15" x14ac:dyDescent="0.25">
      <c r="A8269" t="s">
        <v>8282</v>
      </c>
      <c r="B8269">
        <v>504</v>
      </c>
      <c r="C8269" s="1" t="str">
        <f>HYPERLINK("http://www.rosaceae.org/gb/gbrowse/malus_x_domestica/?name=MDP0000305272","MDP0000305272")</f>
        <v>MDP0000305272</v>
      </c>
      <c r="D8269">
        <v>38.619999999999997</v>
      </c>
      <c r="E8269">
        <v>378</v>
      </c>
      <c r="F8269">
        <v>232</v>
      </c>
      <c r="G8269">
        <v>107</v>
      </c>
      <c r="H8269">
        <v>117</v>
      </c>
      <c r="I8269">
        <v>388</v>
      </c>
      <c r="J8269">
        <v>1</v>
      </c>
      <c r="K8269">
        <v>20</v>
      </c>
      <c r="L8269">
        <v>396</v>
      </c>
      <c r="M8269">
        <v>1</v>
      </c>
      <c r="N8269">
        <v>3.1314500000000001E-63</v>
      </c>
      <c r="O8269">
        <v>612</v>
      </c>
    </row>
    <row r="8270" spans="1:15" x14ac:dyDescent="0.25">
      <c r="A8270" t="s">
        <v>8283</v>
      </c>
      <c r="B8270">
        <v>258</v>
      </c>
      <c r="C8270" s="1" t="str">
        <f>HYPERLINK("http://www.rosaceae.org/gb/gbrowse/malus_x_domestica/?name=MDP0000252171","MDP0000252171")</f>
        <v>MDP0000252171</v>
      </c>
      <c r="D8270">
        <v>76.150000000000006</v>
      </c>
      <c r="E8270">
        <v>130</v>
      </c>
      <c r="F8270">
        <v>31</v>
      </c>
      <c r="G8270">
        <v>0</v>
      </c>
      <c r="H8270">
        <v>2</v>
      </c>
      <c r="I8270">
        <v>131</v>
      </c>
      <c r="J8270">
        <v>1</v>
      </c>
      <c r="K8270">
        <v>3</v>
      </c>
      <c r="L8270">
        <v>132</v>
      </c>
      <c r="M8270">
        <v>1</v>
      </c>
      <c r="N8270">
        <v>2.1249399999999999E-55</v>
      </c>
      <c r="O8270">
        <v>541</v>
      </c>
    </row>
    <row r="8271" spans="1:15" x14ac:dyDescent="0.25">
      <c r="A8271" t="s">
        <v>8284</v>
      </c>
      <c r="B8271">
        <v>312</v>
      </c>
      <c r="C8271" s="1" t="str">
        <f>HYPERLINK("http://www.rosaceae.org/gb/gbrowse/malus_x_domestica/?name=MDP0000222672","MDP0000222672")</f>
        <v>MDP0000222672</v>
      </c>
      <c r="D8271">
        <v>39.22</v>
      </c>
      <c r="E8271">
        <v>181</v>
      </c>
      <c r="F8271">
        <v>110</v>
      </c>
      <c r="G8271">
        <v>24</v>
      </c>
      <c r="H8271">
        <v>90</v>
      </c>
      <c r="I8271">
        <v>261</v>
      </c>
      <c r="J8271">
        <v>1</v>
      </c>
      <c r="K8271">
        <v>145</v>
      </c>
      <c r="L8271">
        <v>310</v>
      </c>
      <c r="M8271">
        <v>1</v>
      </c>
      <c r="N8271">
        <v>9.9159699999999998E-20</v>
      </c>
      <c r="O8271">
        <v>234</v>
      </c>
    </row>
    <row r="8272" spans="1:15" x14ac:dyDescent="0.25">
      <c r="A8272" t="s">
        <v>8285</v>
      </c>
      <c r="B8272">
        <v>812</v>
      </c>
      <c r="C8272" s="1" t="str">
        <f>HYPERLINK("http://www.rosaceae.org/gb/gbrowse/malus_x_domestica/?name=MDP0000213014","MDP0000213014")</f>
        <v>MDP0000213014</v>
      </c>
      <c r="D8272">
        <v>83.37</v>
      </c>
      <c r="E8272">
        <v>770</v>
      </c>
      <c r="F8272">
        <v>128</v>
      </c>
      <c r="G8272">
        <v>4</v>
      </c>
      <c r="H8272">
        <v>47</v>
      </c>
      <c r="I8272">
        <v>812</v>
      </c>
      <c r="J8272">
        <v>1</v>
      </c>
      <c r="K8272">
        <v>49</v>
      </c>
      <c r="L8272">
        <v>818</v>
      </c>
      <c r="M8272">
        <v>1</v>
      </c>
      <c r="N8272">
        <v>0</v>
      </c>
      <c r="O8272">
        <v>3443</v>
      </c>
    </row>
    <row r="8273" spans="1:15" x14ac:dyDescent="0.25">
      <c r="A8273" t="s">
        <v>8286</v>
      </c>
      <c r="B8273">
        <v>1444</v>
      </c>
      <c r="C8273" s="1" t="str">
        <f>HYPERLINK("http://www.rosaceae.org/gb/gbrowse/malus_x_domestica/?name=MDP0000185591","MDP0000185591")</f>
        <v>MDP0000185591</v>
      </c>
      <c r="D8273">
        <v>82.37</v>
      </c>
      <c r="E8273">
        <v>573</v>
      </c>
      <c r="F8273">
        <v>101</v>
      </c>
      <c r="G8273">
        <v>33</v>
      </c>
      <c r="H8273">
        <v>1</v>
      </c>
      <c r="I8273">
        <v>559</v>
      </c>
      <c r="J8273">
        <v>1</v>
      </c>
      <c r="K8273">
        <v>1</v>
      </c>
      <c r="L8273">
        <v>554</v>
      </c>
      <c r="M8273">
        <v>1</v>
      </c>
      <c r="N8273">
        <v>0</v>
      </c>
      <c r="O8273">
        <v>2406</v>
      </c>
    </row>
    <row r="8274" spans="1:15" x14ac:dyDescent="0.25">
      <c r="A8274" t="s">
        <v>8287</v>
      </c>
      <c r="B8274">
        <v>686</v>
      </c>
      <c r="C8274" s="1" t="str">
        <f>HYPERLINK("http://www.rosaceae.org/gb/gbrowse/malus_x_domestica/?name=MDP0000272867","MDP0000272867")</f>
        <v>MDP0000272867</v>
      </c>
      <c r="D8274">
        <v>33.770000000000003</v>
      </c>
      <c r="E8274">
        <v>225</v>
      </c>
      <c r="F8274">
        <v>149</v>
      </c>
      <c r="G8274">
        <v>22</v>
      </c>
      <c r="H8274">
        <v>149</v>
      </c>
      <c r="I8274">
        <v>373</v>
      </c>
      <c r="J8274">
        <v>1</v>
      </c>
      <c r="K8274">
        <v>912</v>
      </c>
      <c r="L8274">
        <v>1114</v>
      </c>
      <c r="M8274">
        <v>1</v>
      </c>
      <c r="N8274">
        <v>6.6319200000000006E-36</v>
      </c>
      <c r="O8274">
        <v>378</v>
      </c>
    </row>
    <row r="8275" spans="1:15" x14ac:dyDescent="0.25">
      <c r="A8275" t="s">
        <v>8288</v>
      </c>
      <c r="B8275">
        <v>439</v>
      </c>
      <c r="C8275" s="1" t="str">
        <f>HYPERLINK("http://www.rosaceae.org/gb/gbrowse/malus_x_domestica/?name=MDP0000236472","MDP0000236472")</f>
        <v>MDP0000236472</v>
      </c>
      <c r="D8275">
        <v>80</v>
      </c>
      <c r="E8275">
        <v>370</v>
      </c>
      <c r="F8275">
        <v>74</v>
      </c>
      <c r="G8275">
        <v>4</v>
      </c>
      <c r="H8275">
        <v>1</v>
      </c>
      <c r="I8275">
        <v>368</v>
      </c>
      <c r="J8275">
        <v>1</v>
      </c>
      <c r="K8275">
        <v>1</v>
      </c>
      <c r="L8275">
        <v>368</v>
      </c>
      <c r="M8275">
        <v>1</v>
      </c>
      <c r="N8275">
        <v>1.1572699999999999E-162</v>
      </c>
      <c r="O8275">
        <v>1469</v>
      </c>
    </row>
    <row r="8276" spans="1:15" x14ac:dyDescent="0.25">
      <c r="A8276" t="s">
        <v>8289</v>
      </c>
      <c r="B8276">
        <v>408</v>
      </c>
      <c r="C8276" s="1" t="str">
        <f>HYPERLINK("http://www.rosaceae.org/gb/gbrowse/malus_x_domestica/?name=MDP0000283138","MDP0000283138")</f>
        <v>MDP0000283138</v>
      </c>
      <c r="D8276">
        <v>72.44</v>
      </c>
      <c r="E8276">
        <v>294</v>
      </c>
      <c r="F8276">
        <v>81</v>
      </c>
      <c r="G8276">
        <v>38</v>
      </c>
      <c r="H8276">
        <v>140</v>
      </c>
      <c r="I8276">
        <v>407</v>
      </c>
      <c r="J8276">
        <v>1</v>
      </c>
      <c r="K8276">
        <v>1</v>
      </c>
      <c r="L8276">
        <v>282</v>
      </c>
      <c r="M8276">
        <v>1</v>
      </c>
      <c r="N8276">
        <v>4.3169999999999998E-119</v>
      </c>
      <c r="O8276">
        <v>1093</v>
      </c>
    </row>
    <row r="8277" spans="1:15" x14ac:dyDescent="0.25">
      <c r="A8277" t="s">
        <v>8290</v>
      </c>
      <c r="B8277">
        <v>390</v>
      </c>
      <c r="C8277" s="1" t="str">
        <f>HYPERLINK("http://www.rosaceae.org/gb/gbrowse/malus_x_domestica/?name=MDP0000163774","MDP0000163774")</f>
        <v>MDP0000163774</v>
      </c>
      <c r="D8277">
        <v>39.78</v>
      </c>
      <c r="E8277">
        <v>186</v>
      </c>
      <c r="F8277">
        <v>112</v>
      </c>
      <c r="G8277">
        <v>29</v>
      </c>
      <c r="H8277">
        <v>17</v>
      </c>
      <c r="I8277">
        <v>173</v>
      </c>
      <c r="J8277">
        <v>1</v>
      </c>
      <c r="K8277">
        <v>205</v>
      </c>
      <c r="L8277">
        <v>390</v>
      </c>
      <c r="M8277">
        <v>1</v>
      </c>
      <c r="N8277">
        <v>6.1629899999999998E-28</v>
      </c>
      <c r="O8277">
        <v>306</v>
      </c>
    </row>
    <row r="8278" spans="1:15" x14ac:dyDescent="0.25">
      <c r="A8278" t="s">
        <v>8291</v>
      </c>
      <c r="B8278">
        <v>394</v>
      </c>
      <c r="C8278" s="1" t="str">
        <f>HYPERLINK("http://www.rosaceae.org/gb/gbrowse/malus_x_domestica/?name=MDP0000236536","MDP0000236536")</f>
        <v>MDP0000236536</v>
      </c>
      <c r="D8278">
        <v>48.5</v>
      </c>
      <c r="E8278">
        <v>134</v>
      </c>
      <c r="F8278">
        <v>69</v>
      </c>
      <c r="G8278">
        <v>5</v>
      </c>
      <c r="H8278">
        <v>257</v>
      </c>
      <c r="I8278">
        <v>390</v>
      </c>
      <c r="J8278">
        <v>1</v>
      </c>
      <c r="K8278">
        <v>3</v>
      </c>
      <c r="L8278">
        <v>131</v>
      </c>
      <c r="M8278">
        <v>1</v>
      </c>
      <c r="N8278">
        <v>5.25249E-27</v>
      </c>
      <c r="O8278">
        <v>298</v>
      </c>
    </row>
    <row r="8279" spans="1:15" x14ac:dyDescent="0.25">
      <c r="A8279" t="s">
        <v>8292</v>
      </c>
      <c r="B8279">
        <v>485</v>
      </c>
      <c r="C8279" s="1" t="str">
        <f>HYPERLINK("http://www.rosaceae.org/gb/gbrowse/malus_x_domestica/?name=MDP0000012541","MDP0000012541")</f>
        <v>MDP0000012541</v>
      </c>
      <c r="D8279">
        <v>62.24</v>
      </c>
      <c r="E8279">
        <v>482</v>
      </c>
      <c r="F8279">
        <v>182</v>
      </c>
      <c r="G8279">
        <v>10</v>
      </c>
      <c r="H8279">
        <v>1</v>
      </c>
      <c r="I8279">
        <v>482</v>
      </c>
      <c r="J8279">
        <v>1</v>
      </c>
      <c r="K8279">
        <v>1</v>
      </c>
      <c r="L8279">
        <v>472</v>
      </c>
      <c r="M8279">
        <v>1</v>
      </c>
      <c r="N8279">
        <v>7.7744600000000002E-175</v>
      </c>
      <c r="O8279">
        <v>1574</v>
      </c>
    </row>
    <row r="8280" spans="1:15" x14ac:dyDescent="0.25">
      <c r="A8280" t="s">
        <v>8293</v>
      </c>
      <c r="B8280">
        <v>1322</v>
      </c>
      <c r="C8280" s="1" t="str">
        <f>HYPERLINK("http://www.rosaceae.org/gb/gbrowse/malus_x_domestica/?name=MDP0000137570","MDP0000137570")</f>
        <v>MDP0000137570</v>
      </c>
      <c r="D8280">
        <v>74.400000000000006</v>
      </c>
      <c r="E8280">
        <v>1348</v>
      </c>
      <c r="F8280">
        <v>345</v>
      </c>
      <c r="G8280">
        <v>38</v>
      </c>
      <c r="H8280">
        <v>1</v>
      </c>
      <c r="I8280">
        <v>1318</v>
      </c>
      <c r="J8280">
        <v>1</v>
      </c>
      <c r="K8280">
        <v>1</v>
      </c>
      <c r="L8280">
        <v>1340</v>
      </c>
      <c r="M8280">
        <v>1</v>
      </c>
      <c r="N8280">
        <v>0</v>
      </c>
      <c r="O8280">
        <v>5252</v>
      </c>
    </row>
    <row r="8281" spans="1:15" x14ac:dyDescent="0.25">
      <c r="A8281" t="s">
        <v>8294</v>
      </c>
      <c r="B8281">
        <v>702</v>
      </c>
      <c r="C8281" s="1" t="str">
        <f>HYPERLINK("http://www.rosaceae.org/gb/gbrowse/malus_x_domestica/?name=MDP0000179901","MDP0000179901")</f>
        <v>MDP0000179901</v>
      </c>
      <c r="D8281">
        <v>44.44</v>
      </c>
      <c r="E8281">
        <v>756</v>
      </c>
      <c r="F8281">
        <v>420</v>
      </c>
      <c r="G8281">
        <v>152</v>
      </c>
      <c r="H8281">
        <v>1</v>
      </c>
      <c r="I8281">
        <v>701</v>
      </c>
      <c r="J8281">
        <v>1</v>
      </c>
      <c r="K8281">
        <v>55</v>
      </c>
      <c r="L8281">
        <v>713</v>
      </c>
      <c r="M8281">
        <v>1</v>
      </c>
      <c r="N8281">
        <v>9.4139199999999998E-131</v>
      </c>
      <c r="O8281">
        <v>1196</v>
      </c>
    </row>
    <row r="8282" spans="1:15" x14ac:dyDescent="0.25">
      <c r="A8282" t="s">
        <v>8295</v>
      </c>
      <c r="B8282">
        <v>452</v>
      </c>
      <c r="C8282" s="1" t="str">
        <f>HYPERLINK("http://www.rosaceae.org/gb/gbrowse/malus_x_domestica/?name=MDP0000817734","MDP0000817734")</f>
        <v>MDP0000817734</v>
      </c>
      <c r="D8282">
        <v>76.650000000000006</v>
      </c>
      <c r="E8282">
        <v>437</v>
      </c>
      <c r="F8282">
        <v>102</v>
      </c>
      <c r="G8282">
        <v>7</v>
      </c>
      <c r="H8282">
        <v>20</v>
      </c>
      <c r="I8282">
        <v>452</v>
      </c>
      <c r="J8282">
        <v>1</v>
      </c>
      <c r="K8282">
        <v>22</v>
      </c>
      <c r="L8282">
        <v>455</v>
      </c>
      <c r="M8282">
        <v>1</v>
      </c>
      <c r="N8282">
        <v>0</v>
      </c>
      <c r="O8282">
        <v>1809</v>
      </c>
    </row>
    <row r="8283" spans="1:15" x14ac:dyDescent="0.25">
      <c r="A8283" t="s">
        <v>8296</v>
      </c>
      <c r="B8283">
        <v>247</v>
      </c>
      <c r="C8283" s="1" t="str">
        <f>HYPERLINK("http://www.rosaceae.org/gb/gbrowse/malus_x_domestica/?name=MDP0000187256","MDP0000187256")</f>
        <v>MDP0000187256</v>
      </c>
      <c r="D8283">
        <v>58.77</v>
      </c>
      <c r="E8283">
        <v>131</v>
      </c>
      <c r="F8283">
        <v>54</v>
      </c>
      <c r="G8283">
        <v>0</v>
      </c>
      <c r="H8283">
        <v>61</v>
      </c>
      <c r="I8283">
        <v>191</v>
      </c>
      <c r="J8283">
        <v>1</v>
      </c>
      <c r="K8283">
        <v>148</v>
      </c>
      <c r="L8283">
        <v>278</v>
      </c>
      <c r="M8283">
        <v>1</v>
      </c>
      <c r="N8283">
        <v>6.9981799999999999E-39</v>
      </c>
      <c r="O8283">
        <v>398</v>
      </c>
    </row>
    <row r="8284" spans="1:15" x14ac:dyDescent="0.25">
      <c r="A8284" t="s">
        <v>8297</v>
      </c>
      <c r="B8284">
        <v>868</v>
      </c>
      <c r="C8284" s="1" t="str">
        <f>HYPERLINK("http://www.rosaceae.org/gb/gbrowse/malus_x_domestica/?name=MDP0000258604","MDP0000258604")</f>
        <v>MDP0000258604</v>
      </c>
      <c r="D8284">
        <v>71.989999999999995</v>
      </c>
      <c r="E8284">
        <v>882</v>
      </c>
      <c r="F8284">
        <v>247</v>
      </c>
      <c r="G8284">
        <v>29</v>
      </c>
      <c r="H8284">
        <v>1</v>
      </c>
      <c r="I8284">
        <v>868</v>
      </c>
      <c r="J8284">
        <v>1</v>
      </c>
      <c r="K8284">
        <v>795</v>
      </c>
      <c r="L8284">
        <v>1661</v>
      </c>
      <c r="M8284">
        <v>1</v>
      </c>
      <c r="N8284">
        <v>0</v>
      </c>
      <c r="O8284">
        <v>3330</v>
      </c>
    </row>
    <row r="8285" spans="1:15" x14ac:dyDescent="0.25">
      <c r="A8285" t="s">
        <v>8298</v>
      </c>
      <c r="B8285">
        <v>339</v>
      </c>
      <c r="C8285" s="1" t="str">
        <f>HYPERLINK("http://www.rosaceae.org/gb/gbrowse/malus_x_domestica/?name=MDP0000316658","MDP0000316658")</f>
        <v>MDP0000316658</v>
      </c>
      <c r="D8285">
        <v>42.36</v>
      </c>
      <c r="E8285">
        <v>321</v>
      </c>
      <c r="F8285">
        <v>185</v>
      </c>
      <c r="G8285">
        <v>24</v>
      </c>
      <c r="H8285">
        <v>5</v>
      </c>
      <c r="I8285">
        <v>316</v>
      </c>
      <c r="J8285">
        <v>1</v>
      </c>
      <c r="K8285">
        <v>7</v>
      </c>
      <c r="L8285">
        <v>312</v>
      </c>
      <c r="M8285">
        <v>1</v>
      </c>
      <c r="N8285">
        <v>1.0632E-55</v>
      </c>
      <c r="O8285">
        <v>545</v>
      </c>
    </row>
    <row r="8286" spans="1:15" x14ac:dyDescent="0.25">
      <c r="A8286" t="s">
        <v>8299</v>
      </c>
      <c r="B8286">
        <v>151</v>
      </c>
      <c r="C8286" s="1" t="str">
        <f>HYPERLINK("http://www.rosaceae.org/gb/gbrowse/malus_x_domestica/?name=MDP0000232654","MDP0000232654")</f>
        <v>MDP0000232654</v>
      </c>
      <c r="D8286">
        <v>58.73</v>
      </c>
      <c r="E8286">
        <v>63</v>
      </c>
      <c r="F8286">
        <v>26</v>
      </c>
      <c r="G8286">
        <v>0</v>
      </c>
      <c r="H8286">
        <v>1</v>
      </c>
      <c r="I8286">
        <v>63</v>
      </c>
      <c r="J8286">
        <v>1</v>
      </c>
      <c r="K8286">
        <v>26</v>
      </c>
      <c r="L8286">
        <v>88</v>
      </c>
      <c r="M8286">
        <v>1</v>
      </c>
      <c r="N8286">
        <v>5.6360099999999996E-18</v>
      </c>
      <c r="O8286">
        <v>214</v>
      </c>
    </row>
    <row r="8287" spans="1:15" x14ac:dyDescent="0.25">
      <c r="A8287" t="s">
        <v>8300</v>
      </c>
      <c r="B8287">
        <v>629</v>
      </c>
      <c r="C8287" s="1" t="str">
        <f>HYPERLINK("http://www.rosaceae.org/gb/gbrowse/malus_x_domestica/?name=MDP0000316701","MDP0000316701")</f>
        <v>MDP0000316701</v>
      </c>
      <c r="D8287">
        <v>41.47</v>
      </c>
      <c r="E8287">
        <v>446</v>
      </c>
      <c r="F8287">
        <v>261</v>
      </c>
      <c r="G8287">
        <v>66</v>
      </c>
      <c r="H8287">
        <v>223</v>
      </c>
      <c r="I8287">
        <v>628</v>
      </c>
      <c r="J8287">
        <v>1</v>
      </c>
      <c r="K8287">
        <v>36</v>
      </c>
      <c r="L8287">
        <v>455</v>
      </c>
      <c r="M8287">
        <v>1</v>
      </c>
      <c r="N8287">
        <v>9.0554300000000006E-70</v>
      </c>
      <c r="O8287">
        <v>669</v>
      </c>
    </row>
    <row r="8288" spans="1:15" x14ac:dyDescent="0.25">
      <c r="A8288" t="s">
        <v>8301</v>
      </c>
      <c r="B8288">
        <v>530</v>
      </c>
      <c r="C8288" s="1" t="str">
        <f>HYPERLINK("http://www.rosaceae.org/gb/gbrowse/malus_x_domestica/?name=MDP0000203851","MDP0000203851")</f>
        <v>MDP0000203851</v>
      </c>
      <c r="D8288">
        <v>58.09</v>
      </c>
      <c r="E8288">
        <v>241</v>
      </c>
      <c r="F8288">
        <v>101</v>
      </c>
      <c r="G8288">
        <v>0</v>
      </c>
      <c r="H8288">
        <v>269</v>
      </c>
      <c r="I8288">
        <v>509</v>
      </c>
      <c r="J8288">
        <v>1</v>
      </c>
      <c r="K8288">
        <v>139</v>
      </c>
      <c r="L8288">
        <v>379</v>
      </c>
      <c r="M8288">
        <v>1</v>
      </c>
      <c r="N8288">
        <v>2.7156699999999998E-83</v>
      </c>
      <c r="O8288">
        <v>785</v>
      </c>
    </row>
    <row r="8289" spans="1:15" x14ac:dyDescent="0.25">
      <c r="A8289" t="s">
        <v>8302</v>
      </c>
      <c r="B8289">
        <v>809</v>
      </c>
      <c r="C8289" s="1" t="str">
        <f>HYPERLINK("http://www.rosaceae.org/gb/gbrowse/malus_x_domestica/?name=MDP0000119960","MDP0000119960")</f>
        <v>MDP0000119960</v>
      </c>
      <c r="D8289">
        <v>86.49</v>
      </c>
      <c r="E8289">
        <v>348</v>
      </c>
      <c r="F8289">
        <v>47</v>
      </c>
      <c r="G8289">
        <v>2</v>
      </c>
      <c r="H8289">
        <v>462</v>
      </c>
      <c r="I8289">
        <v>809</v>
      </c>
      <c r="J8289">
        <v>1</v>
      </c>
      <c r="K8289">
        <v>19</v>
      </c>
      <c r="L8289">
        <v>364</v>
      </c>
      <c r="M8289">
        <v>1</v>
      </c>
      <c r="N8289">
        <v>2.7378800000000001E-179</v>
      </c>
      <c r="O8289">
        <v>1615</v>
      </c>
    </row>
    <row r="8290" spans="1:15" x14ac:dyDescent="0.25">
      <c r="A8290" t="s">
        <v>8303</v>
      </c>
      <c r="B8290">
        <v>170</v>
      </c>
      <c r="C8290" s="1" t="str">
        <f>HYPERLINK("http://www.rosaceae.org/gb/gbrowse/malus_x_domestica/?name=MDP0000917650","MDP0000917650")</f>
        <v>MDP0000917650</v>
      </c>
      <c r="D8290">
        <v>49.13</v>
      </c>
      <c r="E8290">
        <v>173</v>
      </c>
      <c r="F8290">
        <v>88</v>
      </c>
      <c r="G8290">
        <v>8</v>
      </c>
      <c r="H8290">
        <v>1</v>
      </c>
      <c r="I8290">
        <v>170</v>
      </c>
      <c r="J8290">
        <v>1</v>
      </c>
      <c r="K8290">
        <v>1</v>
      </c>
      <c r="L8290">
        <v>168</v>
      </c>
      <c r="M8290">
        <v>1</v>
      </c>
      <c r="N8290">
        <v>8.5340000000000003E-38</v>
      </c>
      <c r="O8290">
        <v>386</v>
      </c>
    </row>
    <row r="8291" spans="1:15" x14ac:dyDescent="0.25">
      <c r="A8291" t="s">
        <v>8304</v>
      </c>
      <c r="B8291">
        <v>345</v>
      </c>
      <c r="C8291" s="1" t="str">
        <f>HYPERLINK("http://www.rosaceae.org/gb/gbrowse/malus_x_domestica/?name=MDP0000486228","MDP0000486228")</f>
        <v>MDP0000486228</v>
      </c>
      <c r="D8291">
        <v>59.19</v>
      </c>
      <c r="E8291">
        <v>174</v>
      </c>
      <c r="F8291">
        <v>71</v>
      </c>
      <c r="G8291">
        <v>37</v>
      </c>
      <c r="H8291">
        <v>146</v>
      </c>
      <c r="I8291">
        <v>282</v>
      </c>
      <c r="J8291">
        <v>1</v>
      </c>
      <c r="K8291">
        <v>69</v>
      </c>
      <c r="L8291">
        <v>242</v>
      </c>
      <c r="M8291">
        <v>1</v>
      </c>
      <c r="N8291">
        <v>1.6143599999999999E-54</v>
      </c>
      <c r="O8291">
        <v>535</v>
      </c>
    </row>
    <row r="8292" spans="1:15" x14ac:dyDescent="0.25">
      <c r="A8292" t="s">
        <v>8305</v>
      </c>
      <c r="B8292">
        <v>322</v>
      </c>
      <c r="C8292" s="1" t="str">
        <f>HYPERLINK("http://www.rosaceae.org/gb/gbrowse/malus_x_domestica/?name=MDP0000144695","MDP0000144695")</f>
        <v>MDP0000144695</v>
      </c>
      <c r="D8292">
        <v>75.78</v>
      </c>
      <c r="E8292">
        <v>95</v>
      </c>
      <c r="F8292">
        <v>23</v>
      </c>
      <c r="G8292">
        <v>0</v>
      </c>
      <c r="H8292">
        <v>1</v>
      </c>
      <c r="I8292">
        <v>95</v>
      </c>
      <c r="J8292">
        <v>1</v>
      </c>
      <c r="K8292">
        <v>5</v>
      </c>
      <c r="L8292">
        <v>99</v>
      </c>
      <c r="M8292">
        <v>1</v>
      </c>
      <c r="N8292">
        <v>1.6795299999999999E-32</v>
      </c>
      <c r="O8292">
        <v>345</v>
      </c>
    </row>
    <row r="8293" spans="1:15" x14ac:dyDescent="0.25">
      <c r="A8293" t="s">
        <v>8306</v>
      </c>
      <c r="B8293">
        <v>122</v>
      </c>
      <c r="C8293" s="1" t="str">
        <f>HYPERLINK("http://www.rosaceae.org/gb/gbrowse/malus_x_domestica/?name=MDP0000131669","MDP0000131669")</f>
        <v>MDP0000131669</v>
      </c>
      <c r="D8293">
        <v>48.51</v>
      </c>
      <c r="E8293">
        <v>101</v>
      </c>
      <c r="F8293">
        <v>52</v>
      </c>
      <c r="G8293">
        <v>3</v>
      </c>
      <c r="H8293">
        <v>22</v>
      </c>
      <c r="I8293">
        <v>122</v>
      </c>
      <c r="J8293">
        <v>1</v>
      </c>
      <c r="K8293">
        <v>17</v>
      </c>
      <c r="L8293">
        <v>114</v>
      </c>
      <c r="M8293">
        <v>1</v>
      </c>
      <c r="N8293">
        <v>5.5144499999999999E-25</v>
      </c>
      <c r="O8293">
        <v>273</v>
      </c>
    </row>
    <row r="8294" spans="1:15" x14ac:dyDescent="0.25">
      <c r="A8294" t="s">
        <v>8307</v>
      </c>
      <c r="B8294">
        <v>212</v>
      </c>
      <c r="C8294" s="1" t="str">
        <f>HYPERLINK("http://www.rosaceae.org/gb/gbrowse/malus_x_domestica/?name=MDP0000551907","MDP0000551907")</f>
        <v>MDP0000551907</v>
      </c>
      <c r="D8294">
        <v>57.3</v>
      </c>
      <c r="E8294">
        <v>171</v>
      </c>
      <c r="F8294">
        <v>73</v>
      </c>
      <c r="G8294">
        <v>48</v>
      </c>
      <c r="H8294">
        <v>1</v>
      </c>
      <c r="I8294">
        <v>171</v>
      </c>
      <c r="J8294">
        <v>1</v>
      </c>
      <c r="K8294">
        <v>1</v>
      </c>
      <c r="L8294">
        <v>123</v>
      </c>
      <c r="M8294">
        <v>1</v>
      </c>
      <c r="N8294">
        <v>2.9835799999999999E-49</v>
      </c>
      <c r="O8294">
        <v>487</v>
      </c>
    </row>
    <row r="8295" spans="1:15" x14ac:dyDescent="0.25">
      <c r="A8295" t="s">
        <v>8308</v>
      </c>
      <c r="B8295">
        <v>217</v>
      </c>
      <c r="C8295" s="1" t="str">
        <f>HYPERLINK("http://www.rosaceae.org/gb/gbrowse/malus_x_domestica/?name=MDP0000127594","MDP0000127594")</f>
        <v>MDP0000127594</v>
      </c>
      <c r="D8295">
        <v>67.239999999999995</v>
      </c>
      <c r="E8295">
        <v>229</v>
      </c>
      <c r="F8295">
        <v>75</v>
      </c>
      <c r="G8295">
        <v>33</v>
      </c>
      <c r="H8295">
        <v>1</v>
      </c>
      <c r="I8295">
        <v>217</v>
      </c>
      <c r="J8295">
        <v>1</v>
      </c>
      <c r="K8295">
        <v>1</v>
      </c>
      <c r="L8295">
        <v>208</v>
      </c>
      <c r="M8295">
        <v>1</v>
      </c>
      <c r="N8295">
        <v>1.01176E-72</v>
      </c>
      <c r="O8295">
        <v>689</v>
      </c>
    </row>
    <row r="8296" spans="1:15" x14ac:dyDescent="0.25">
      <c r="A8296" t="s">
        <v>8309</v>
      </c>
      <c r="B8296">
        <v>124</v>
      </c>
      <c r="C8296" s="1" t="str">
        <f>HYPERLINK("http://www.rosaceae.org/gb/gbrowse/malus_x_domestica/?name=MDP0000154697","MDP0000154697")</f>
        <v>MDP0000154697</v>
      </c>
      <c r="D8296">
        <v>44.52</v>
      </c>
      <c r="E8296">
        <v>137</v>
      </c>
      <c r="F8296">
        <v>76</v>
      </c>
      <c r="G8296">
        <v>28</v>
      </c>
      <c r="H8296">
        <v>4</v>
      </c>
      <c r="I8296">
        <v>123</v>
      </c>
      <c r="J8296">
        <v>1</v>
      </c>
      <c r="K8296">
        <v>136</v>
      </c>
      <c r="L8296">
        <v>261</v>
      </c>
      <c r="M8296">
        <v>1</v>
      </c>
      <c r="N8296">
        <v>3.7692500000000002E-18</v>
      </c>
      <c r="O8296">
        <v>214</v>
      </c>
    </row>
    <row r="8297" spans="1:15" x14ac:dyDescent="0.25">
      <c r="A8297" t="s">
        <v>8310</v>
      </c>
      <c r="B8297">
        <v>162</v>
      </c>
      <c r="C8297" s="1" t="str">
        <f>HYPERLINK("http://www.rosaceae.org/gb/gbrowse/malus_x_domestica/?name=MDP0000217043","MDP0000217043")</f>
        <v>MDP0000217043</v>
      </c>
      <c r="D8297">
        <v>82.63</v>
      </c>
      <c r="E8297">
        <v>144</v>
      </c>
      <c r="F8297">
        <v>25</v>
      </c>
      <c r="G8297">
        <v>0</v>
      </c>
      <c r="H8297">
        <v>11</v>
      </c>
      <c r="I8297">
        <v>154</v>
      </c>
      <c r="J8297">
        <v>1</v>
      </c>
      <c r="K8297">
        <v>702</v>
      </c>
      <c r="L8297">
        <v>845</v>
      </c>
      <c r="M8297">
        <v>1</v>
      </c>
      <c r="N8297">
        <v>9.3300999999999997E-62</v>
      </c>
      <c r="O8297">
        <v>593</v>
      </c>
    </row>
    <row r="8298" spans="1:15" x14ac:dyDescent="0.25">
      <c r="A8298" t="s">
        <v>8311</v>
      </c>
      <c r="B8298">
        <v>195</v>
      </c>
      <c r="C8298" s="1" t="str">
        <f>HYPERLINK("http://www.rosaceae.org/gb/gbrowse/malus_x_domestica/?name=MDP0000411586","MDP0000411586")</f>
        <v>MDP0000411586</v>
      </c>
      <c r="D8298">
        <v>61.22</v>
      </c>
      <c r="E8298">
        <v>49</v>
      </c>
      <c r="F8298">
        <v>19</v>
      </c>
      <c r="G8298">
        <v>7</v>
      </c>
      <c r="H8298">
        <v>1</v>
      </c>
      <c r="I8298">
        <v>42</v>
      </c>
      <c r="J8298">
        <v>1</v>
      </c>
      <c r="K8298">
        <v>698</v>
      </c>
      <c r="L8298">
        <v>746</v>
      </c>
      <c r="M8298">
        <v>1</v>
      </c>
      <c r="N8298">
        <v>2.3144499999999999E-8</v>
      </c>
      <c r="O8298">
        <v>133</v>
      </c>
    </row>
    <row r="8299" spans="1:15" x14ac:dyDescent="0.25">
      <c r="A8299" t="s">
        <v>8312</v>
      </c>
      <c r="B8299">
        <v>473</v>
      </c>
      <c r="C8299" s="1" t="str">
        <f>HYPERLINK("http://www.rosaceae.org/gb/gbrowse/malus_x_domestica/?name=MDP0000196404","MDP0000196404")</f>
        <v>MDP0000196404</v>
      </c>
      <c r="D8299">
        <v>64.83</v>
      </c>
      <c r="E8299">
        <v>472</v>
      </c>
      <c r="F8299">
        <v>166</v>
      </c>
      <c r="G8299">
        <v>5</v>
      </c>
      <c r="H8299">
        <v>4</v>
      </c>
      <c r="I8299">
        <v>473</v>
      </c>
      <c r="J8299">
        <v>1</v>
      </c>
      <c r="K8299">
        <v>1</v>
      </c>
      <c r="L8299">
        <v>469</v>
      </c>
      <c r="M8299">
        <v>1</v>
      </c>
      <c r="N8299">
        <v>0</v>
      </c>
      <c r="O8299">
        <v>1625</v>
      </c>
    </row>
    <row r="8300" spans="1:15" x14ac:dyDescent="0.25">
      <c r="A8300" t="s">
        <v>8313</v>
      </c>
      <c r="B8300">
        <v>151</v>
      </c>
      <c r="C8300" s="1" t="str">
        <f>HYPERLINK("http://www.rosaceae.org/gb/gbrowse/malus_x_domestica/?name=MDP0000544967","MDP0000544967")</f>
        <v>MDP0000544967</v>
      </c>
      <c r="D8300">
        <v>82.78</v>
      </c>
      <c r="E8300">
        <v>151</v>
      </c>
      <c r="F8300">
        <v>26</v>
      </c>
      <c r="G8300">
        <v>0</v>
      </c>
      <c r="H8300">
        <v>1</v>
      </c>
      <c r="I8300">
        <v>151</v>
      </c>
      <c r="J8300">
        <v>1</v>
      </c>
      <c r="K8300">
        <v>1</v>
      </c>
      <c r="L8300">
        <v>151</v>
      </c>
      <c r="M8300">
        <v>1</v>
      </c>
      <c r="N8300">
        <v>2.43185E-68</v>
      </c>
      <c r="O8300">
        <v>649</v>
      </c>
    </row>
    <row r="8301" spans="1:15" x14ac:dyDescent="0.25">
      <c r="A8301" t="s">
        <v>8314</v>
      </c>
      <c r="B8301">
        <v>331</v>
      </c>
      <c r="C8301" s="1" t="str">
        <f>HYPERLINK("http://www.rosaceae.org/gb/gbrowse/malus_x_domestica/?name=MDP0000758053","MDP0000758053")</f>
        <v>MDP0000758053</v>
      </c>
      <c r="D8301">
        <v>63.04</v>
      </c>
      <c r="E8301">
        <v>341</v>
      </c>
      <c r="F8301">
        <v>126</v>
      </c>
      <c r="G8301">
        <v>23</v>
      </c>
      <c r="H8301">
        <v>1</v>
      </c>
      <c r="I8301">
        <v>331</v>
      </c>
      <c r="J8301">
        <v>1</v>
      </c>
      <c r="K8301">
        <v>1</v>
      </c>
      <c r="L8301">
        <v>328</v>
      </c>
      <c r="M8301">
        <v>1</v>
      </c>
      <c r="N8301">
        <v>8.2805299999999997E-108</v>
      </c>
      <c r="O8301">
        <v>994</v>
      </c>
    </row>
    <row r="8302" spans="1:15" x14ac:dyDescent="0.25">
      <c r="A8302" t="s">
        <v>8315</v>
      </c>
      <c r="B8302">
        <v>120</v>
      </c>
      <c r="C8302" s="1" t="str">
        <f>HYPERLINK("http://www.rosaceae.org/gb/gbrowse/malus_x_domestica/?name=MDP0000314135","MDP0000314135")</f>
        <v>MDP0000314135</v>
      </c>
      <c r="D8302">
        <v>85.71</v>
      </c>
      <c r="E8302">
        <v>98</v>
      </c>
      <c r="F8302">
        <v>14</v>
      </c>
      <c r="G8302">
        <v>0</v>
      </c>
      <c r="H8302">
        <v>8</v>
      </c>
      <c r="I8302">
        <v>105</v>
      </c>
      <c r="J8302">
        <v>1</v>
      </c>
      <c r="K8302">
        <v>1</v>
      </c>
      <c r="L8302">
        <v>98</v>
      </c>
      <c r="M8302">
        <v>1</v>
      </c>
      <c r="N8302">
        <v>1.9755299999999999E-47</v>
      </c>
      <c r="O8302">
        <v>466</v>
      </c>
    </row>
    <row r="8303" spans="1:15" x14ac:dyDescent="0.25">
      <c r="A8303" t="s">
        <v>8316</v>
      </c>
      <c r="B8303">
        <v>380</v>
      </c>
      <c r="C8303" s="1" t="str">
        <f>HYPERLINK("http://www.rosaceae.org/gb/gbrowse/malus_x_domestica/?name=MDP0000142582","MDP0000142582")</f>
        <v>MDP0000142582</v>
      </c>
      <c r="D8303">
        <v>54.19</v>
      </c>
      <c r="E8303">
        <v>286</v>
      </c>
      <c r="F8303">
        <v>131</v>
      </c>
      <c r="G8303">
        <v>36</v>
      </c>
      <c r="H8303">
        <v>100</v>
      </c>
      <c r="I8303">
        <v>379</v>
      </c>
      <c r="J8303">
        <v>1</v>
      </c>
      <c r="K8303">
        <v>65</v>
      </c>
      <c r="L8303">
        <v>320</v>
      </c>
      <c r="M8303">
        <v>1</v>
      </c>
      <c r="N8303">
        <v>2.4675100000000001E-69</v>
      </c>
      <c r="O8303">
        <v>663</v>
      </c>
    </row>
    <row r="8304" spans="1:15" x14ac:dyDescent="0.25">
      <c r="A8304" t="s">
        <v>8317</v>
      </c>
      <c r="B8304">
        <v>334</v>
      </c>
      <c r="C8304" s="1" t="str">
        <f>HYPERLINK("http://www.rosaceae.org/gb/gbrowse/malus_x_domestica/?name=MDP0000250455","MDP0000250455")</f>
        <v>MDP0000250455</v>
      </c>
      <c r="D8304">
        <v>38.42</v>
      </c>
      <c r="E8304">
        <v>393</v>
      </c>
      <c r="F8304">
        <v>242</v>
      </c>
      <c r="G8304">
        <v>70</v>
      </c>
      <c r="H8304">
        <v>1</v>
      </c>
      <c r="I8304">
        <v>329</v>
      </c>
      <c r="J8304">
        <v>1</v>
      </c>
      <c r="K8304">
        <v>483</v>
      </c>
      <c r="L8304">
        <v>869</v>
      </c>
      <c r="M8304">
        <v>1</v>
      </c>
      <c r="N8304">
        <v>1.0762100000000001E-54</v>
      </c>
      <c r="O8304">
        <v>536</v>
      </c>
    </row>
    <row r="8305" spans="1:15" x14ac:dyDescent="0.25">
      <c r="A8305" t="s">
        <v>8318</v>
      </c>
      <c r="B8305">
        <v>197</v>
      </c>
      <c r="C8305" s="1" t="str">
        <f>HYPERLINK("http://www.rosaceae.org/gb/gbrowse/malus_x_domestica/?name=MDP0000725483","MDP0000725483")</f>
        <v>MDP0000725483</v>
      </c>
      <c r="D8305">
        <v>43.75</v>
      </c>
      <c r="E8305">
        <v>192</v>
      </c>
      <c r="F8305">
        <v>108</v>
      </c>
      <c r="G8305">
        <v>11</v>
      </c>
      <c r="H8305">
        <v>7</v>
      </c>
      <c r="I8305">
        <v>192</v>
      </c>
      <c r="J8305">
        <v>1</v>
      </c>
      <c r="K8305">
        <v>602</v>
      </c>
      <c r="L8305">
        <v>788</v>
      </c>
      <c r="M8305">
        <v>1</v>
      </c>
      <c r="N8305">
        <v>9.5127499999999998E-38</v>
      </c>
      <c r="O8305">
        <v>387</v>
      </c>
    </row>
    <row r="8306" spans="1:15" x14ac:dyDescent="0.25">
      <c r="A8306" t="s">
        <v>8319</v>
      </c>
      <c r="B8306">
        <v>453</v>
      </c>
      <c r="C8306" s="1" t="str">
        <f>HYPERLINK("http://www.rosaceae.org/gb/gbrowse/malus_x_domestica/?name=MDP0000145637","MDP0000145637")</f>
        <v>MDP0000145637</v>
      </c>
      <c r="D8306">
        <v>69.36</v>
      </c>
      <c r="E8306">
        <v>506</v>
      </c>
      <c r="F8306">
        <v>155</v>
      </c>
      <c r="G8306">
        <v>67</v>
      </c>
      <c r="H8306">
        <v>9</v>
      </c>
      <c r="I8306">
        <v>449</v>
      </c>
      <c r="J8306">
        <v>1</v>
      </c>
      <c r="K8306">
        <v>1</v>
      </c>
      <c r="L8306">
        <v>504</v>
      </c>
      <c r="M8306">
        <v>1</v>
      </c>
      <c r="N8306">
        <v>0</v>
      </c>
      <c r="O8306">
        <v>1715</v>
      </c>
    </row>
    <row r="8307" spans="1:15" x14ac:dyDescent="0.25">
      <c r="A8307" t="s">
        <v>8320</v>
      </c>
      <c r="B8307">
        <v>88</v>
      </c>
      <c r="C8307" s="1" t="str">
        <f>HYPERLINK("http://www.rosaceae.org/gb/gbrowse/malus_x_domestica/?name=MDP0000195254","MDP0000195254")</f>
        <v>MDP0000195254</v>
      </c>
      <c r="D8307">
        <v>88.63</v>
      </c>
      <c r="E8307">
        <v>88</v>
      </c>
      <c r="F8307">
        <v>10</v>
      </c>
      <c r="G8307">
        <v>0</v>
      </c>
      <c r="H8307">
        <v>1</v>
      </c>
      <c r="I8307">
        <v>88</v>
      </c>
      <c r="J8307">
        <v>1</v>
      </c>
      <c r="K8307">
        <v>1</v>
      </c>
      <c r="L8307">
        <v>88</v>
      </c>
      <c r="M8307">
        <v>1</v>
      </c>
      <c r="N8307">
        <v>2.6926499999999999E-39</v>
      </c>
      <c r="O8307">
        <v>396</v>
      </c>
    </row>
    <row r="8308" spans="1:15" x14ac:dyDescent="0.25">
      <c r="A8308" t="s">
        <v>8321</v>
      </c>
      <c r="B8308">
        <v>114</v>
      </c>
      <c r="C8308" s="1" t="str">
        <f>HYPERLINK("http://www.rosaceae.org/gb/gbrowse/malus_x_domestica/?name=MDP0000217461","MDP0000217461")</f>
        <v>MDP0000217461</v>
      </c>
      <c r="D8308">
        <v>60.27</v>
      </c>
      <c r="E8308">
        <v>73</v>
      </c>
      <c r="F8308">
        <v>29</v>
      </c>
      <c r="G8308">
        <v>0</v>
      </c>
      <c r="H8308">
        <v>1</v>
      </c>
      <c r="I8308">
        <v>73</v>
      </c>
      <c r="J8308">
        <v>1</v>
      </c>
      <c r="K8308">
        <v>1</v>
      </c>
      <c r="L8308">
        <v>73</v>
      </c>
      <c r="M8308">
        <v>1</v>
      </c>
      <c r="N8308">
        <v>3.93593E-15</v>
      </c>
      <c r="O8308">
        <v>188</v>
      </c>
    </row>
    <row r="8309" spans="1:15" x14ac:dyDescent="0.25">
      <c r="A8309" t="s">
        <v>8322</v>
      </c>
      <c r="B8309">
        <v>294</v>
      </c>
      <c r="C8309" s="1" t="str">
        <f>HYPERLINK("http://www.rosaceae.org/gb/gbrowse/malus_x_domestica/?name=MDP0000132491","MDP0000132491")</f>
        <v>MDP0000132491</v>
      </c>
      <c r="D8309">
        <v>78.92</v>
      </c>
      <c r="E8309">
        <v>299</v>
      </c>
      <c r="F8309">
        <v>63</v>
      </c>
      <c r="G8309">
        <v>10</v>
      </c>
      <c r="H8309">
        <v>1</v>
      </c>
      <c r="I8309">
        <v>294</v>
      </c>
      <c r="J8309">
        <v>1</v>
      </c>
      <c r="K8309">
        <v>1</v>
      </c>
      <c r="L8309">
        <v>294</v>
      </c>
      <c r="M8309">
        <v>1</v>
      </c>
      <c r="N8309">
        <v>6.2812999999999998E-133</v>
      </c>
      <c r="O8309">
        <v>1210</v>
      </c>
    </row>
    <row r="8310" spans="1:15" x14ac:dyDescent="0.25">
      <c r="A8310" t="s">
        <v>8323</v>
      </c>
      <c r="B8310">
        <v>352</v>
      </c>
      <c r="C8310" s="1" t="str">
        <f>HYPERLINK("http://www.rosaceae.org/gb/gbrowse/malus_x_domestica/?name=MDP0000231692","MDP0000231692")</f>
        <v>MDP0000231692</v>
      </c>
      <c r="D8310">
        <v>45.57</v>
      </c>
      <c r="E8310">
        <v>294</v>
      </c>
      <c r="F8310">
        <v>160</v>
      </c>
      <c r="G8310">
        <v>38</v>
      </c>
      <c r="H8310">
        <v>72</v>
      </c>
      <c r="I8310">
        <v>350</v>
      </c>
      <c r="J8310">
        <v>1</v>
      </c>
      <c r="K8310">
        <v>253</v>
      </c>
      <c r="L8310">
        <v>523</v>
      </c>
      <c r="M8310">
        <v>1</v>
      </c>
      <c r="N8310">
        <v>1.13109E-56</v>
      </c>
      <c r="O8310">
        <v>554</v>
      </c>
    </row>
    <row r="8311" spans="1:15" x14ac:dyDescent="0.25">
      <c r="A8311" t="s">
        <v>8324</v>
      </c>
      <c r="B8311">
        <v>687</v>
      </c>
      <c r="C8311" s="1" t="str">
        <f>HYPERLINK("http://www.rosaceae.org/gb/gbrowse/malus_x_domestica/?name=MDP0000258538","MDP0000258538")</f>
        <v>MDP0000258538</v>
      </c>
      <c r="D8311">
        <v>63.4</v>
      </c>
      <c r="E8311">
        <v>694</v>
      </c>
      <c r="F8311">
        <v>254</v>
      </c>
      <c r="G8311">
        <v>37</v>
      </c>
      <c r="H8311">
        <v>1</v>
      </c>
      <c r="I8311">
        <v>668</v>
      </c>
      <c r="J8311">
        <v>1</v>
      </c>
      <c r="K8311">
        <v>1</v>
      </c>
      <c r="L8311">
        <v>683</v>
      </c>
      <c r="M8311">
        <v>1</v>
      </c>
      <c r="N8311">
        <v>0</v>
      </c>
      <c r="O8311">
        <v>2076</v>
      </c>
    </row>
    <row r="8312" spans="1:15" x14ac:dyDescent="0.25">
      <c r="A8312" t="s">
        <v>8325</v>
      </c>
      <c r="B8312">
        <v>1317</v>
      </c>
      <c r="C8312" s="1" t="str">
        <f>HYPERLINK("http://www.rosaceae.org/gb/gbrowse/malus_x_domestica/?name=MDP0000212849","MDP0000212849")</f>
        <v>MDP0000212849</v>
      </c>
      <c r="D8312">
        <v>68.849999999999994</v>
      </c>
      <c r="E8312">
        <v>1188</v>
      </c>
      <c r="F8312">
        <v>370</v>
      </c>
      <c r="G8312">
        <v>0</v>
      </c>
      <c r="H8312">
        <v>54</v>
      </c>
      <c r="I8312">
        <v>1241</v>
      </c>
      <c r="J8312">
        <v>1</v>
      </c>
      <c r="K8312">
        <v>78</v>
      </c>
      <c r="L8312">
        <v>1265</v>
      </c>
      <c r="M8312">
        <v>1</v>
      </c>
      <c r="N8312">
        <v>0</v>
      </c>
      <c r="O8312">
        <v>4353</v>
      </c>
    </row>
    <row r="8313" spans="1:15" x14ac:dyDescent="0.25">
      <c r="A8313" t="s">
        <v>8326</v>
      </c>
      <c r="B8313">
        <v>302</v>
      </c>
      <c r="C8313" s="1" t="str">
        <f>HYPERLINK("http://www.rosaceae.org/gb/gbrowse/malus_x_domestica/?name=MDP0000952085","MDP0000952085")</f>
        <v>MDP0000952085</v>
      </c>
      <c r="D8313">
        <v>72.78</v>
      </c>
      <c r="E8313">
        <v>305</v>
      </c>
      <c r="F8313">
        <v>83</v>
      </c>
      <c r="G8313">
        <v>11</v>
      </c>
      <c r="H8313">
        <v>3</v>
      </c>
      <c r="I8313">
        <v>297</v>
      </c>
      <c r="J8313">
        <v>1</v>
      </c>
      <c r="K8313">
        <v>5</v>
      </c>
      <c r="L8313">
        <v>308</v>
      </c>
      <c r="M8313">
        <v>1</v>
      </c>
      <c r="N8313">
        <v>1.8491099999999999E-118</v>
      </c>
      <c r="O8313">
        <v>1086</v>
      </c>
    </row>
    <row r="8314" spans="1:15" x14ac:dyDescent="0.25">
      <c r="A8314" t="s">
        <v>8327</v>
      </c>
      <c r="B8314">
        <v>274</v>
      </c>
      <c r="C8314" s="1" t="str">
        <f>HYPERLINK("http://www.rosaceae.org/gb/gbrowse/malus_x_domestica/?name=MDP0000144516","MDP0000144516")</f>
        <v>MDP0000144516</v>
      </c>
      <c r="D8314">
        <v>44.36</v>
      </c>
      <c r="E8314">
        <v>275</v>
      </c>
      <c r="F8314">
        <v>153</v>
      </c>
      <c r="G8314">
        <v>22</v>
      </c>
      <c r="H8314">
        <v>1</v>
      </c>
      <c r="I8314">
        <v>274</v>
      </c>
      <c r="J8314">
        <v>1</v>
      </c>
      <c r="K8314">
        <v>13</v>
      </c>
      <c r="L8314">
        <v>266</v>
      </c>
      <c r="M8314">
        <v>1</v>
      </c>
      <c r="N8314">
        <v>1.0532E-44</v>
      </c>
      <c r="O8314">
        <v>449</v>
      </c>
    </row>
    <row r="8315" spans="1:15" x14ac:dyDescent="0.25">
      <c r="A8315" t="s">
        <v>8328</v>
      </c>
      <c r="B8315">
        <v>352</v>
      </c>
      <c r="C8315" s="1" t="str">
        <f>HYPERLINK("http://www.rosaceae.org/gb/gbrowse/malus_x_domestica/?name=MDP0000265855","MDP0000265855")</f>
        <v>MDP0000265855</v>
      </c>
      <c r="D8315">
        <v>34.39</v>
      </c>
      <c r="E8315">
        <v>346</v>
      </c>
      <c r="F8315">
        <v>227</v>
      </c>
      <c r="G8315">
        <v>54</v>
      </c>
      <c r="H8315">
        <v>8</v>
      </c>
      <c r="I8315">
        <v>313</v>
      </c>
      <c r="J8315">
        <v>1</v>
      </c>
      <c r="K8315">
        <v>1072</v>
      </c>
      <c r="L8315">
        <v>1403</v>
      </c>
      <c r="M8315">
        <v>1</v>
      </c>
      <c r="N8315">
        <v>1.0721900000000001E-39</v>
      </c>
      <c r="O8315">
        <v>407</v>
      </c>
    </row>
    <row r="8316" spans="1:15" x14ac:dyDescent="0.25">
      <c r="A8316" t="s">
        <v>8329</v>
      </c>
      <c r="B8316">
        <v>876</v>
      </c>
      <c r="C8316" s="1" t="str">
        <f>HYPERLINK("http://www.rosaceae.org/gb/gbrowse/malus_x_domestica/?name=MDP0000473844","MDP0000473844")</f>
        <v>MDP0000473844</v>
      </c>
      <c r="D8316">
        <v>57.97</v>
      </c>
      <c r="E8316">
        <v>997</v>
      </c>
      <c r="F8316">
        <v>419</v>
      </c>
      <c r="G8316">
        <v>133</v>
      </c>
      <c r="H8316">
        <v>2</v>
      </c>
      <c r="I8316">
        <v>875</v>
      </c>
      <c r="J8316">
        <v>1</v>
      </c>
      <c r="K8316">
        <v>6</v>
      </c>
      <c r="L8316">
        <v>992</v>
      </c>
      <c r="M8316">
        <v>1</v>
      </c>
      <c r="N8316">
        <v>0</v>
      </c>
      <c r="O8316">
        <v>2667</v>
      </c>
    </row>
    <row r="8317" spans="1:15" x14ac:dyDescent="0.25">
      <c r="A8317" t="s">
        <v>8330</v>
      </c>
      <c r="B8317">
        <v>582</v>
      </c>
      <c r="C8317" s="1" t="str">
        <f>HYPERLINK("http://www.rosaceae.org/gb/gbrowse/malus_x_domestica/?name=MDP0000152817","MDP0000152817")</f>
        <v>MDP0000152817</v>
      </c>
      <c r="D8317">
        <v>64.489999999999995</v>
      </c>
      <c r="E8317">
        <v>538</v>
      </c>
      <c r="F8317">
        <v>191</v>
      </c>
      <c r="G8317">
        <v>7</v>
      </c>
      <c r="H8317">
        <v>46</v>
      </c>
      <c r="I8317">
        <v>581</v>
      </c>
      <c r="J8317">
        <v>1</v>
      </c>
      <c r="K8317">
        <v>33</v>
      </c>
      <c r="L8317">
        <v>565</v>
      </c>
      <c r="M8317">
        <v>1</v>
      </c>
      <c r="N8317">
        <v>0</v>
      </c>
      <c r="O8317">
        <v>1835</v>
      </c>
    </row>
    <row r="8318" spans="1:15" x14ac:dyDescent="0.25">
      <c r="A8318" t="s">
        <v>8331</v>
      </c>
      <c r="B8318">
        <v>488</v>
      </c>
      <c r="C8318" s="1" t="str">
        <f>HYPERLINK("http://www.rosaceae.org/gb/gbrowse/malus_x_domestica/?name=MDP0000180936","MDP0000180936")</f>
        <v>MDP0000180936</v>
      </c>
      <c r="D8318">
        <v>87.4</v>
      </c>
      <c r="E8318">
        <v>135</v>
      </c>
      <c r="F8318">
        <v>17</v>
      </c>
      <c r="G8318">
        <v>1</v>
      </c>
      <c r="H8318">
        <v>254</v>
      </c>
      <c r="I8318">
        <v>388</v>
      </c>
      <c r="J8318">
        <v>1</v>
      </c>
      <c r="K8318">
        <v>365</v>
      </c>
      <c r="L8318">
        <v>498</v>
      </c>
      <c r="M8318">
        <v>1</v>
      </c>
      <c r="N8318">
        <v>5.7943900000000001E-65</v>
      </c>
      <c r="O8318">
        <v>627</v>
      </c>
    </row>
    <row r="8319" spans="1:15" x14ac:dyDescent="0.25">
      <c r="A8319" t="s">
        <v>8332</v>
      </c>
      <c r="B8319">
        <v>464</v>
      </c>
      <c r="C8319" s="1" t="str">
        <f>HYPERLINK("http://www.rosaceae.org/gb/gbrowse/malus_x_domestica/?name=MDP0000202507","MDP0000202507")</f>
        <v>MDP0000202507</v>
      </c>
      <c r="D8319">
        <v>96.98</v>
      </c>
      <c r="E8319">
        <v>464</v>
      </c>
      <c r="F8319">
        <v>14</v>
      </c>
      <c r="G8319">
        <v>0</v>
      </c>
      <c r="H8319">
        <v>1</v>
      </c>
      <c r="I8319">
        <v>464</v>
      </c>
      <c r="J8319">
        <v>1</v>
      </c>
      <c r="K8319">
        <v>1</v>
      </c>
      <c r="L8319">
        <v>464</v>
      </c>
      <c r="M8319">
        <v>1</v>
      </c>
      <c r="N8319">
        <v>0</v>
      </c>
      <c r="O8319">
        <v>2387</v>
      </c>
    </row>
    <row r="8320" spans="1:15" x14ac:dyDescent="0.25">
      <c r="A8320" t="s">
        <v>8333</v>
      </c>
      <c r="B8320">
        <v>394</v>
      </c>
      <c r="C8320" s="1" t="str">
        <f>HYPERLINK("http://www.rosaceae.org/gb/gbrowse/malus_x_domestica/?name=MDP0000243434","MDP0000243434")</f>
        <v>MDP0000243434</v>
      </c>
      <c r="D8320">
        <v>60.38</v>
      </c>
      <c r="E8320">
        <v>414</v>
      </c>
      <c r="F8320">
        <v>164</v>
      </c>
      <c r="G8320">
        <v>27</v>
      </c>
      <c r="H8320">
        <v>1</v>
      </c>
      <c r="I8320">
        <v>388</v>
      </c>
      <c r="J8320">
        <v>1</v>
      </c>
      <c r="K8320">
        <v>1</v>
      </c>
      <c r="L8320">
        <v>413</v>
      </c>
      <c r="M8320">
        <v>1</v>
      </c>
      <c r="N8320">
        <v>1.7836999999999999E-126</v>
      </c>
      <c r="O8320">
        <v>1156</v>
      </c>
    </row>
    <row r="8321" spans="1:15" x14ac:dyDescent="0.25">
      <c r="A8321" t="s">
        <v>8334</v>
      </c>
      <c r="B8321">
        <v>173</v>
      </c>
      <c r="C8321" s="1" t="str">
        <f>HYPERLINK("http://www.rosaceae.org/gb/gbrowse/malus_x_domestica/?name=MDP0000914328","MDP0000914328")</f>
        <v>MDP0000914328</v>
      </c>
      <c r="D8321">
        <v>92</v>
      </c>
      <c r="E8321">
        <v>25</v>
      </c>
      <c r="F8321">
        <v>2</v>
      </c>
      <c r="G8321">
        <v>0</v>
      </c>
      <c r="H8321">
        <v>126</v>
      </c>
      <c r="I8321">
        <v>150</v>
      </c>
      <c r="J8321">
        <v>1</v>
      </c>
      <c r="K8321">
        <v>127</v>
      </c>
      <c r="L8321">
        <v>151</v>
      </c>
      <c r="M8321">
        <v>1</v>
      </c>
      <c r="N8321">
        <v>5.4767100000000001E-7</v>
      </c>
      <c r="O8321">
        <v>121</v>
      </c>
    </row>
    <row r="8322" spans="1:15" x14ac:dyDescent="0.25">
      <c r="A8322" t="s">
        <v>8335</v>
      </c>
      <c r="B8322">
        <v>484</v>
      </c>
      <c r="C8322" s="1" t="str">
        <f>HYPERLINK("http://www.rosaceae.org/gb/gbrowse/malus_x_domestica/?name=MDP0000244610","MDP0000244610")</f>
        <v>MDP0000244610</v>
      </c>
      <c r="D8322">
        <v>65.38</v>
      </c>
      <c r="E8322">
        <v>52</v>
      </c>
      <c r="F8322">
        <v>18</v>
      </c>
      <c r="G8322">
        <v>0</v>
      </c>
      <c r="H8322">
        <v>5</v>
      </c>
      <c r="I8322">
        <v>56</v>
      </c>
      <c r="J8322">
        <v>1</v>
      </c>
      <c r="K8322">
        <v>575</v>
      </c>
      <c r="L8322">
        <v>626</v>
      </c>
      <c r="M8322">
        <v>1</v>
      </c>
      <c r="N8322">
        <v>3.7114700000000001E-11</v>
      </c>
      <c r="O8322">
        <v>163</v>
      </c>
    </row>
    <row r="8323" spans="1:15" x14ac:dyDescent="0.25">
      <c r="A8323" t="s">
        <v>8336</v>
      </c>
      <c r="B8323">
        <v>451</v>
      </c>
      <c r="C8323" s="1" t="str">
        <f>HYPERLINK("http://www.rosaceae.org/gb/gbrowse/malus_x_domestica/?name=MDP0000237917","MDP0000237917")</f>
        <v>MDP0000237917</v>
      </c>
      <c r="D8323">
        <v>72.680000000000007</v>
      </c>
      <c r="E8323">
        <v>454</v>
      </c>
      <c r="F8323">
        <v>124</v>
      </c>
      <c r="G8323">
        <v>10</v>
      </c>
      <c r="H8323">
        <v>1</v>
      </c>
      <c r="I8323">
        <v>451</v>
      </c>
      <c r="J8323">
        <v>1</v>
      </c>
      <c r="K8323">
        <v>1</v>
      </c>
      <c r="L8323">
        <v>447</v>
      </c>
      <c r="M8323">
        <v>1</v>
      </c>
      <c r="N8323">
        <v>0</v>
      </c>
      <c r="O8323">
        <v>1664</v>
      </c>
    </row>
    <row r="8324" spans="1:15" x14ac:dyDescent="0.25">
      <c r="A8324" t="s">
        <v>8337</v>
      </c>
      <c r="B8324">
        <v>429</v>
      </c>
      <c r="C8324" s="1" t="str">
        <f>HYPERLINK("http://www.rosaceae.org/gb/gbrowse/malus_x_domestica/?name=MDP0000647231","MDP0000647231")</f>
        <v>MDP0000647231</v>
      </c>
      <c r="D8324">
        <v>77.56</v>
      </c>
      <c r="E8324">
        <v>361</v>
      </c>
      <c r="F8324">
        <v>81</v>
      </c>
      <c r="G8324">
        <v>1</v>
      </c>
      <c r="H8324">
        <v>60</v>
      </c>
      <c r="I8324">
        <v>420</v>
      </c>
      <c r="J8324">
        <v>1</v>
      </c>
      <c r="K8324">
        <v>90</v>
      </c>
      <c r="L8324">
        <v>449</v>
      </c>
      <c r="M8324">
        <v>1</v>
      </c>
      <c r="N8324">
        <v>8.2958100000000003E-170</v>
      </c>
      <c r="O8324">
        <v>1530</v>
      </c>
    </row>
    <row r="8325" spans="1:15" x14ac:dyDescent="0.25">
      <c r="A8325" t="s">
        <v>8338</v>
      </c>
      <c r="B8325">
        <v>252</v>
      </c>
      <c r="C8325" s="1" t="str">
        <f>HYPERLINK("http://www.rosaceae.org/gb/gbrowse/malus_x_domestica/?name=MDP0000535048","MDP0000535048")</f>
        <v>MDP0000535048</v>
      </c>
      <c r="D8325">
        <v>34.270000000000003</v>
      </c>
      <c r="E8325">
        <v>283</v>
      </c>
      <c r="F8325">
        <v>186</v>
      </c>
      <c r="G8325">
        <v>37</v>
      </c>
      <c r="H8325">
        <v>6</v>
      </c>
      <c r="I8325">
        <v>252</v>
      </c>
      <c r="J8325">
        <v>1</v>
      </c>
      <c r="K8325">
        <v>111</v>
      </c>
      <c r="L8325">
        <v>392</v>
      </c>
      <c r="M8325">
        <v>1</v>
      </c>
      <c r="N8325">
        <v>8.6239400000000003E-39</v>
      </c>
      <c r="O8325">
        <v>398</v>
      </c>
    </row>
    <row r="8326" spans="1:15" x14ac:dyDescent="0.25">
      <c r="A8326" t="s">
        <v>8339</v>
      </c>
      <c r="B8326">
        <v>1263</v>
      </c>
      <c r="C8326" s="1" t="str">
        <f>HYPERLINK("http://www.rosaceae.org/gb/gbrowse/malus_x_domestica/?name=MDP0000668608","MDP0000668608")</f>
        <v>MDP0000668608</v>
      </c>
      <c r="D8326">
        <v>88.7</v>
      </c>
      <c r="E8326">
        <v>1266</v>
      </c>
      <c r="F8326">
        <v>143</v>
      </c>
      <c r="G8326">
        <v>4</v>
      </c>
      <c r="H8326">
        <v>1</v>
      </c>
      <c r="I8326">
        <v>1262</v>
      </c>
      <c r="J8326">
        <v>1</v>
      </c>
      <c r="K8326">
        <v>1</v>
      </c>
      <c r="L8326">
        <v>1266</v>
      </c>
      <c r="M8326">
        <v>1</v>
      </c>
      <c r="N8326">
        <v>0</v>
      </c>
      <c r="O8326">
        <v>6044</v>
      </c>
    </row>
    <row r="8327" spans="1:15" x14ac:dyDescent="0.25">
      <c r="A8327" t="s">
        <v>8340</v>
      </c>
      <c r="B8327">
        <v>323</v>
      </c>
      <c r="C8327" s="1" t="str">
        <f>HYPERLINK("http://www.rosaceae.org/gb/gbrowse/malus_x_domestica/?name=MDP0000158091","MDP0000158091")</f>
        <v>MDP0000158091</v>
      </c>
      <c r="D8327">
        <v>71.37</v>
      </c>
      <c r="E8327">
        <v>290</v>
      </c>
      <c r="F8327">
        <v>83</v>
      </c>
      <c r="G8327">
        <v>15</v>
      </c>
      <c r="H8327">
        <v>9</v>
      </c>
      <c r="I8327">
        <v>283</v>
      </c>
      <c r="J8327">
        <v>1</v>
      </c>
      <c r="K8327">
        <v>1</v>
      </c>
      <c r="L8327">
        <v>290</v>
      </c>
      <c r="M8327">
        <v>1</v>
      </c>
      <c r="N8327">
        <v>1.09692E-107</v>
      </c>
      <c r="O8327">
        <v>993</v>
      </c>
    </row>
    <row r="8328" spans="1:15" x14ac:dyDescent="0.25">
      <c r="A8328" t="s">
        <v>8341</v>
      </c>
      <c r="B8328">
        <v>177</v>
      </c>
      <c r="C8328" s="1" t="str">
        <f>HYPERLINK("http://www.rosaceae.org/gb/gbrowse/malus_x_domestica/?name=MDP0000314254","MDP0000314254")</f>
        <v>MDP0000314254</v>
      </c>
      <c r="D8328">
        <v>34.119999999999997</v>
      </c>
      <c r="E8328">
        <v>211</v>
      </c>
      <c r="F8328">
        <v>139</v>
      </c>
      <c r="G8328">
        <v>37</v>
      </c>
      <c r="H8328">
        <v>2</v>
      </c>
      <c r="I8328">
        <v>177</v>
      </c>
      <c r="J8328">
        <v>1</v>
      </c>
      <c r="K8328">
        <v>330</v>
      </c>
      <c r="L8328">
        <v>538</v>
      </c>
      <c r="M8328">
        <v>1</v>
      </c>
      <c r="N8328">
        <v>6.6108E-24</v>
      </c>
      <c r="O8328">
        <v>267</v>
      </c>
    </row>
    <row r="8329" spans="1:15" x14ac:dyDescent="0.25">
      <c r="A8329" t="s">
        <v>8342</v>
      </c>
      <c r="B8329">
        <v>910</v>
      </c>
      <c r="C8329" s="1" t="str">
        <f>HYPERLINK("http://www.rosaceae.org/gb/gbrowse/malus_x_domestica/?name=MDP0000194508","MDP0000194508")</f>
        <v>MDP0000194508</v>
      </c>
      <c r="D8329">
        <v>67.099999999999994</v>
      </c>
      <c r="E8329">
        <v>757</v>
      </c>
      <c r="F8329">
        <v>249</v>
      </c>
      <c r="G8329">
        <v>28</v>
      </c>
      <c r="H8329">
        <v>160</v>
      </c>
      <c r="I8329">
        <v>908</v>
      </c>
      <c r="J8329">
        <v>1</v>
      </c>
      <c r="K8329">
        <v>232</v>
      </c>
      <c r="L8329">
        <v>968</v>
      </c>
      <c r="M8329">
        <v>1</v>
      </c>
      <c r="N8329">
        <v>0</v>
      </c>
      <c r="O8329">
        <v>2339</v>
      </c>
    </row>
    <row r="8330" spans="1:15" x14ac:dyDescent="0.25">
      <c r="A8330" t="s">
        <v>8343</v>
      </c>
      <c r="B8330">
        <v>1657</v>
      </c>
      <c r="C8330" s="1" t="str">
        <f>HYPERLINK("http://www.rosaceae.org/gb/gbrowse/malus_x_domestica/?name=MDP0000210572","MDP0000210572")</f>
        <v>MDP0000210572</v>
      </c>
      <c r="D8330">
        <v>60.53</v>
      </c>
      <c r="E8330">
        <v>669</v>
      </c>
      <c r="F8330">
        <v>264</v>
      </c>
      <c r="G8330">
        <v>71</v>
      </c>
      <c r="H8330">
        <v>270</v>
      </c>
      <c r="I8330">
        <v>877</v>
      </c>
      <c r="J8330">
        <v>1</v>
      </c>
      <c r="K8330">
        <v>52</v>
      </c>
      <c r="L8330">
        <v>710</v>
      </c>
      <c r="M8330">
        <v>1</v>
      </c>
      <c r="N8330">
        <v>0</v>
      </c>
      <c r="O8330">
        <v>1999</v>
      </c>
    </row>
    <row r="8331" spans="1:15" x14ac:dyDescent="0.25">
      <c r="A8331" t="s">
        <v>8344</v>
      </c>
      <c r="B8331">
        <v>352</v>
      </c>
      <c r="C8331" s="1" t="str">
        <f>HYPERLINK("http://www.rosaceae.org/gb/gbrowse/malus_x_domestica/?name=MDP0000052608","MDP0000052608")</f>
        <v>MDP0000052608</v>
      </c>
      <c r="D8331">
        <v>96.44</v>
      </c>
      <c r="E8331">
        <v>309</v>
      </c>
      <c r="F8331">
        <v>11</v>
      </c>
      <c r="G8331">
        <v>0</v>
      </c>
      <c r="H8331">
        <v>1</v>
      </c>
      <c r="I8331">
        <v>309</v>
      </c>
      <c r="J8331">
        <v>1</v>
      </c>
      <c r="K8331">
        <v>1</v>
      </c>
      <c r="L8331">
        <v>309</v>
      </c>
      <c r="M8331">
        <v>1</v>
      </c>
      <c r="N8331">
        <v>5.4606899999999997E-180</v>
      </c>
      <c r="O8331">
        <v>1617</v>
      </c>
    </row>
    <row r="8332" spans="1:15" x14ac:dyDescent="0.25">
      <c r="A8332" t="s">
        <v>8345</v>
      </c>
      <c r="B8332">
        <v>498</v>
      </c>
      <c r="C8332" s="1" t="str">
        <f>HYPERLINK("http://www.rosaceae.org/gb/gbrowse/malus_x_domestica/?name=MDP0000232219","MDP0000232219")</f>
        <v>MDP0000232219</v>
      </c>
      <c r="D8332">
        <v>82.47</v>
      </c>
      <c r="E8332">
        <v>445</v>
      </c>
      <c r="F8332">
        <v>78</v>
      </c>
      <c r="G8332">
        <v>2</v>
      </c>
      <c r="H8332">
        <v>15</v>
      </c>
      <c r="I8332">
        <v>457</v>
      </c>
      <c r="J8332">
        <v>1</v>
      </c>
      <c r="K8332">
        <v>94</v>
      </c>
      <c r="L8332">
        <v>538</v>
      </c>
      <c r="M8332">
        <v>1</v>
      </c>
      <c r="N8332">
        <v>0</v>
      </c>
      <c r="O8332">
        <v>1971</v>
      </c>
    </row>
    <row r="8333" spans="1:15" x14ac:dyDescent="0.25">
      <c r="A8333" t="s">
        <v>8346</v>
      </c>
      <c r="B8333">
        <v>836</v>
      </c>
      <c r="C8333" s="1" t="str">
        <f>HYPERLINK("http://www.rosaceae.org/gb/gbrowse/malus_x_domestica/?name=MDP0000337512","MDP0000337512")</f>
        <v>MDP0000337512</v>
      </c>
      <c r="D8333">
        <v>57.51</v>
      </c>
      <c r="E8333">
        <v>459</v>
      </c>
      <c r="F8333">
        <v>195</v>
      </c>
      <c r="G8333">
        <v>22</v>
      </c>
      <c r="H8333">
        <v>380</v>
      </c>
      <c r="I8333">
        <v>833</v>
      </c>
      <c r="J8333">
        <v>1</v>
      </c>
      <c r="K8333">
        <v>14</v>
      </c>
      <c r="L8333">
        <v>455</v>
      </c>
      <c r="M8333">
        <v>1</v>
      </c>
      <c r="N8333">
        <v>3.1674199999999999E-124</v>
      </c>
      <c r="O8333">
        <v>1140</v>
      </c>
    </row>
    <row r="8334" spans="1:15" x14ac:dyDescent="0.25">
      <c r="A8334" t="s">
        <v>8347</v>
      </c>
      <c r="B8334">
        <v>89</v>
      </c>
      <c r="C8334" s="1" t="str">
        <f>HYPERLINK("http://www.rosaceae.org/gb/gbrowse/malus_x_domestica/?name=MDP0000791184","MDP0000791184")</f>
        <v>MDP0000791184</v>
      </c>
      <c r="D8334">
        <v>69.33</v>
      </c>
      <c r="E8334">
        <v>75</v>
      </c>
      <c r="F8334">
        <v>23</v>
      </c>
      <c r="G8334">
        <v>4</v>
      </c>
      <c r="H8334">
        <v>14</v>
      </c>
      <c r="I8334">
        <v>85</v>
      </c>
      <c r="J8334">
        <v>1</v>
      </c>
      <c r="K8334">
        <v>106</v>
      </c>
      <c r="L8334">
        <v>179</v>
      </c>
      <c r="M8334">
        <v>1</v>
      </c>
      <c r="N8334">
        <v>5.1044199999999998E-22</v>
      </c>
      <c r="O8334">
        <v>247</v>
      </c>
    </row>
    <row r="8335" spans="1:15" x14ac:dyDescent="0.25">
      <c r="A8335" t="s">
        <v>8348</v>
      </c>
      <c r="B8335">
        <v>101</v>
      </c>
      <c r="C8335" s="1" t="str">
        <f>HYPERLINK("http://www.rosaceae.org/gb/gbrowse/malus_x_domestica/?name=MDP0000364214","MDP0000364214")</f>
        <v>MDP0000364214</v>
      </c>
      <c r="D8335">
        <v>67.05</v>
      </c>
      <c r="E8335">
        <v>85</v>
      </c>
      <c r="F8335">
        <v>28</v>
      </c>
      <c r="G8335">
        <v>0</v>
      </c>
      <c r="H8335">
        <v>17</v>
      </c>
      <c r="I8335">
        <v>101</v>
      </c>
      <c r="J8335">
        <v>1</v>
      </c>
      <c r="K8335">
        <v>10</v>
      </c>
      <c r="L8335">
        <v>94</v>
      </c>
      <c r="M8335">
        <v>1</v>
      </c>
      <c r="N8335">
        <v>1.3939599999999999E-28</v>
      </c>
      <c r="O8335">
        <v>304</v>
      </c>
    </row>
    <row r="8336" spans="1:15" x14ac:dyDescent="0.25">
      <c r="A8336" t="s">
        <v>8349</v>
      </c>
      <c r="B8336">
        <v>365</v>
      </c>
      <c r="C8336" s="1" t="str">
        <f>HYPERLINK("http://www.rosaceae.org/gb/gbrowse/malus_x_domestica/?name=MDP0000723826","MDP0000723826")</f>
        <v>MDP0000723826</v>
      </c>
      <c r="D8336">
        <v>54.39</v>
      </c>
      <c r="E8336">
        <v>239</v>
      </c>
      <c r="F8336">
        <v>109</v>
      </c>
      <c r="G8336">
        <v>45</v>
      </c>
      <c r="H8336">
        <v>76</v>
      </c>
      <c r="I8336">
        <v>306</v>
      </c>
      <c r="J8336">
        <v>1</v>
      </c>
      <c r="K8336">
        <v>47</v>
      </c>
      <c r="L8336">
        <v>248</v>
      </c>
      <c r="M8336">
        <v>1</v>
      </c>
      <c r="N8336">
        <v>2.7291100000000001E-46</v>
      </c>
      <c r="O8336">
        <v>464</v>
      </c>
    </row>
    <row r="8337" spans="1:15" x14ac:dyDescent="0.25">
      <c r="A8337" t="s">
        <v>8350</v>
      </c>
      <c r="B8337">
        <v>214</v>
      </c>
      <c r="C8337" s="1" t="str">
        <f>HYPERLINK("http://www.rosaceae.org/gb/gbrowse/malus_x_domestica/?name=MDP0000174607","MDP0000174607")</f>
        <v>MDP0000174607</v>
      </c>
      <c r="D8337">
        <v>69.900000000000006</v>
      </c>
      <c r="E8337">
        <v>206</v>
      </c>
      <c r="F8337">
        <v>62</v>
      </c>
      <c r="G8337">
        <v>22</v>
      </c>
      <c r="H8337">
        <v>22</v>
      </c>
      <c r="I8337">
        <v>212</v>
      </c>
      <c r="J8337">
        <v>1</v>
      </c>
      <c r="K8337">
        <v>181</v>
      </c>
      <c r="L8337">
        <v>379</v>
      </c>
      <c r="M8337">
        <v>1</v>
      </c>
      <c r="N8337">
        <v>8.4681000000000002E-80</v>
      </c>
      <c r="O8337">
        <v>750</v>
      </c>
    </row>
    <row r="8338" spans="1:15" x14ac:dyDescent="0.25">
      <c r="A8338" t="s">
        <v>8351</v>
      </c>
      <c r="B8338">
        <v>346</v>
      </c>
      <c r="C8338" s="1" t="str">
        <f>HYPERLINK("http://www.rosaceae.org/gb/gbrowse/malus_x_domestica/?name=MDP0000815435","MDP0000815435")</f>
        <v>MDP0000815435</v>
      </c>
      <c r="D8338">
        <v>61.13</v>
      </c>
      <c r="E8338">
        <v>247</v>
      </c>
      <c r="F8338">
        <v>96</v>
      </c>
      <c r="G8338">
        <v>33</v>
      </c>
      <c r="H8338">
        <v>130</v>
      </c>
      <c r="I8338">
        <v>346</v>
      </c>
      <c r="J8338">
        <v>1</v>
      </c>
      <c r="K8338">
        <v>126</v>
      </c>
      <c r="L8338">
        <v>369</v>
      </c>
      <c r="M8338">
        <v>1</v>
      </c>
      <c r="N8338">
        <v>5.3114200000000001E-76</v>
      </c>
      <c r="O8338">
        <v>720</v>
      </c>
    </row>
    <row r="8339" spans="1:15" x14ac:dyDescent="0.25">
      <c r="A8339" t="s">
        <v>8352</v>
      </c>
      <c r="B8339">
        <v>714</v>
      </c>
      <c r="C8339" s="1" t="str">
        <f>HYPERLINK("http://www.rosaceae.org/gb/gbrowse/malus_x_domestica/?name=MDP0000729320","MDP0000729320")</f>
        <v>MDP0000729320</v>
      </c>
      <c r="D8339">
        <v>59.33</v>
      </c>
      <c r="E8339">
        <v>450</v>
      </c>
      <c r="F8339">
        <v>183</v>
      </c>
      <c r="G8339">
        <v>2</v>
      </c>
      <c r="H8339">
        <v>1</v>
      </c>
      <c r="I8339">
        <v>450</v>
      </c>
      <c r="J8339">
        <v>1</v>
      </c>
      <c r="K8339">
        <v>6</v>
      </c>
      <c r="L8339">
        <v>453</v>
      </c>
      <c r="M8339">
        <v>1</v>
      </c>
      <c r="N8339">
        <v>9.7994799999999999E-158</v>
      </c>
      <c r="O8339">
        <v>1428</v>
      </c>
    </row>
    <row r="8340" spans="1:15" x14ac:dyDescent="0.25">
      <c r="A8340" t="s">
        <v>8353</v>
      </c>
      <c r="B8340">
        <v>317</v>
      </c>
      <c r="C8340" s="1" t="str">
        <f>HYPERLINK("http://www.rosaceae.org/gb/gbrowse/malus_x_domestica/?name=MDP0000644797","MDP0000644797")</f>
        <v>MDP0000644797</v>
      </c>
      <c r="D8340">
        <v>75</v>
      </c>
      <c r="E8340">
        <v>296</v>
      </c>
      <c r="F8340">
        <v>74</v>
      </c>
      <c r="G8340">
        <v>12</v>
      </c>
      <c r="H8340">
        <v>22</v>
      </c>
      <c r="I8340">
        <v>317</v>
      </c>
      <c r="J8340">
        <v>1</v>
      </c>
      <c r="K8340">
        <v>20</v>
      </c>
      <c r="L8340">
        <v>303</v>
      </c>
      <c r="M8340">
        <v>1</v>
      </c>
      <c r="N8340">
        <v>5.9646700000000001E-128</v>
      </c>
      <c r="O8340">
        <v>1168</v>
      </c>
    </row>
    <row r="8341" spans="1:15" x14ac:dyDescent="0.25">
      <c r="A8341" t="s">
        <v>8354</v>
      </c>
      <c r="B8341">
        <v>576</v>
      </c>
      <c r="C8341" s="1" t="str">
        <f>HYPERLINK("http://www.rosaceae.org/gb/gbrowse/malus_x_domestica/?name=MDP0000328000","MDP0000328000")</f>
        <v>MDP0000328000</v>
      </c>
      <c r="D8341">
        <v>61.38</v>
      </c>
      <c r="E8341">
        <v>492</v>
      </c>
      <c r="F8341">
        <v>190</v>
      </c>
      <c r="G8341">
        <v>33</v>
      </c>
      <c r="H8341">
        <v>1</v>
      </c>
      <c r="I8341">
        <v>472</v>
      </c>
      <c r="J8341">
        <v>1</v>
      </c>
      <c r="K8341">
        <v>1</v>
      </c>
      <c r="L8341">
        <v>479</v>
      </c>
      <c r="M8341">
        <v>1</v>
      </c>
      <c r="N8341">
        <v>6.2360299999999998E-171</v>
      </c>
      <c r="O8341">
        <v>1541</v>
      </c>
    </row>
    <row r="8342" spans="1:15" x14ac:dyDescent="0.25">
      <c r="A8342" t="s">
        <v>8355</v>
      </c>
      <c r="B8342">
        <v>257</v>
      </c>
      <c r="C8342" s="1" t="str">
        <f>HYPERLINK("http://www.rosaceae.org/gb/gbrowse/malus_x_domestica/?name=MDP0000265874","MDP0000265874")</f>
        <v>MDP0000265874</v>
      </c>
      <c r="D8342">
        <v>38.01</v>
      </c>
      <c r="E8342">
        <v>121</v>
      </c>
      <c r="F8342">
        <v>75</v>
      </c>
      <c r="G8342">
        <v>15</v>
      </c>
      <c r="H8342">
        <v>145</v>
      </c>
      <c r="I8342">
        <v>253</v>
      </c>
      <c r="J8342">
        <v>1</v>
      </c>
      <c r="K8342">
        <v>72</v>
      </c>
      <c r="L8342">
        <v>189</v>
      </c>
      <c r="M8342">
        <v>1</v>
      </c>
      <c r="N8342">
        <v>7.2910100000000003E-11</v>
      </c>
      <c r="O8342">
        <v>157</v>
      </c>
    </row>
    <row r="8343" spans="1:15" x14ac:dyDescent="0.25">
      <c r="A8343" t="s">
        <v>8356</v>
      </c>
      <c r="B8343">
        <v>832</v>
      </c>
      <c r="C8343" s="1" t="str">
        <f>HYPERLINK("http://www.rosaceae.org/gb/gbrowse/malus_x_domestica/?name=MDP0000220167","MDP0000220167")</f>
        <v>MDP0000220167</v>
      </c>
      <c r="D8343">
        <v>80.489999999999995</v>
      </c>
      <c r="E8343">
        <v>856</v>
      </c>
      <c r="F8343">
        <v>167</v>
      </c>
      <c r="G8343">
        <v>57</v>
      </c>
      <c r="H8343">
        <v>1</v>
      </c>
      <c r="I8343">
        <v>831</v>
      </c>
      <c r="J8343">
        <v>1</v>
      </c>
      <c r="K8343">
        <v>23</v>
      </c>
      <c r="L8343">
        <v>846</v>
      </c>
      <c r="M8343">
        <v>1</v>
      </c>
      <c r="N8343">
        <v>0</v>
      </c>
      <c r="O8343">
        <v>3564</v>
      </c>
    </row>
    <row r="8344" spans="1:15" x14ac:dyDescent="0.25">
      <c r="A8344" t="s">
        <v>8357</v>
      </c>
      <c r="B8344">
        <v>532</v>
      </c>
      <c r="C8344" s="1" t="str">
        <f>HYPERLINK("http://www.rosaceae.org/gb/gbrowse/malus_x_domestica/?name=MDP0000300536","MDP0000300536")</f>
        <v>MDP0000300536</v>
      </c>
      <c r="D8344">
        <v>39.76</v>
      </c>
      <c r="E8344">
        <v>347</v>
      </c>
      <c r="F8344">
        <v>209</v>
      </c>
      <c r="G8344">
        <v>47</v>
      </c>
      <c r="H8344">
        <v>1</v>
      </c>
      <c r="I8344">
        <v>300</v>
      </c>
      <c r="J8344">
        <v>1</v>
      </c>
      <c r="K8344">
        <v>432</v>
      </c>
      <c r="L8344">
        <v>778</v>
      </c>
      <c r="M8344">
        <v>1</v>
      </c>
      <c r="N8344">
        <v>8.9050199999999998E-61</v>
      </c>
      <c r="O8344">
        <v>591</v>
      </c>
    </row>
    <row r="8345" spans="1:15" x14ac:dyDescent="0.25">
      <c r="A8345" t="s">
        <v>8358</v>
      </c>
      <c r="B8345">
        <v>502</v>
      </c>
      <c r="C8345" s="1" t="str">
        <f>HYPERLINK("http://www.rosaceae.org/gb/gbrowse/malus_x_domestica/?name=MDP0000177906","MDP0000177906")</f>
        <v>MDP0000177906</v>
      </c>
      <c r="D8345">
        <v>72.69</v>
      </c>
      <c r="E8345">
        <v>326</v>
      </c>
      <c r="F8345">
        <v>89</v>
      </c>
      <c r="G8345">
        <v>5</v>
      </c>
      <c r="H8345">
        <v>177</v>
      </c>
      <c r="I8345">
        <v>502</v>
      </c>
      <c r="J8345">
        <v>1</v>
      </c>
      <c r="K8345">
        <v>1</v>
      </c>
      <c r="L8345">
        <v>321</v>
      </c>
      <c r="M8345">
        <v>1</v>
      </c>
      <c r="N8345">
        <v>1.8975200000000001E-133</v>
      </c>
      <c r="O8345">
        <v>1217</v>
      </c>
    </row>
    <row r="8346" spans="1:15" x14ac:dyDescent="0.25">
      <c r="A8346" t="s">
        <v>8359</v>
      </c>
      <c r="B8346">
        <v>175</v>
      </c>
      <c r="C8346" s="1" t="str">
        <f>HYPERLINK("http://www.rosaceae.org/gb/gbrowse/malus_x_domestica/?name=MDP0000157003","MDP0000157003")</f>
        <v>MDP0000157003</v>
      </c>
      <c r="D8346">
        <v>83.72</v>
      </c>
      <c r="E8346">
        <v>43</v>
      </c>
      <c r="F8346">
        <v>7</v>
      </c>
      <c r="G8346">
        <v>0</v>
      </c>
      <c r="H8346">
        <v>40</v>
      </c>
      <c r="I8346">
        <v>82</v>
      </c>
      <c r="J8346">
        <v>1</v>
      </c>
      <c r="K8346">
        <v>881</v>
      </c>
      <c r="L8346">
        <v>923</v>
      </c>
      <c r="M8346">
        <v>1</v>
      </c>
      <c r="N8346">
        <v>5.7945200000000001E-16</v>
      </c>
      <c r="O8346">
        <v>198</v>
      </c>
    </row>
    <row r="8347" spans="1:15" x14ac:dyDescent="0.25">
      <c r="A8347" t="s">
        <v>8360</v>
      </c>
      <c r="B8347">
        <v>438</v>
      </c>
      <c r="C8347" s="1" t="str">
        <f>HYPERLINK("http://www.rosaceae.org/gb/gbrowse/malus_x_domestica/?name=MDP0000535048","MDP0000535048")</f>
        <v>MDP0000535048</v>
      </c>
      <c r="D8347">
        <v>34.119999999999997</v>
      </c>
      <c r="E8347">
        <v>381</v>
      </c>
      <c r="F8347">
        <v>251</v>
      </c>
      <c r="G8347">
        <v>30</v>
      </c>
      <c r="H8347">
        <v>72</v>
      </c>
      <c r="I8347">
        <v>437</v>
      </c>
      <c r="J8347">
        <v>1</v>
      </c>
      <c r="K8347">
        <v>27</v>
      </c>
      <c r="L8347">
        <v>392</v>
      </c>
      <c r="M8347">
        <v>1</v>
      </c>
      <c r="N8347">
        <v>1.1836799999999999E-45</v>
      </c>
      <c r="O8347">
        <v>460</v>
      </c>
    </row>
    <row r="8348" spans="1:15" x14ac:dyDescent="0.25">
      <c r="A8348" t="s">
        <v>8361</v>
      </c>
      <c r="B8348">
        <v>832</v>
      </c>
      <c r="C8348" s="1" t="str">
        <f>HYPERLINK("http://www.rosaceae.org/gb/gbrowse/malus_x_domestica/?name=MDP0000252227","MDP0000252227")</f>
        <v>MDP0000252227</v>
      </c>
      <c r="D8348">
        <v>40.630000000000003</v>
      </c>
      <c r="E8348">
        <v>539</v>
      </c>
      <c r="F8348">
        <v>320</v>
      </c>
      <c r="G8348">
        <v>107</v>
      </c>
      <c r="H8348">
        <v>240</v>
      </c>
      <c r="I8348">
        <v>694</v>
      </c>
      <c r="J8348">
        <v>1</v>
      </c>
      <c r="K8348">
        <v>209</v>
      </c>
      <c r="L8348">
        <v>724</v>
      </c>
      <c r="M8348">
        <v>1</v>
      </c>
      <c r="N8348">
        <v>1.7826499999999999E-73</v>
      </c>
      <c r="O8348">
        <v>702</v>
      </c>
    </row>
    <row r="8349" spans="1:15" x14ac:dyDescent="0.25">
      <c r="A8349" t="s">
        <v>8362</v>
      </c>
      <c r="B8349">
        <v>146</v>
      </c>
      <c r="C8349" s="1" t="str">
        <f>HYPERLINK("http://www.rosaceae.org/gb/gbrowse/malus_x_domestica/?name=MDP0000167808","MDP0000167808")</f>
        <v>MDP0000167808</v>
      </c>
      <c r="D8349">
        <v>47.41</v>
      </c>
      <c r="E8349">
        <v>116</v>
      </c>
      <c r="F8349">
        <v>61</v>
      </c>
      <c r="G8349">
        <v>0</v>
      </c>
      <c r="H8349">
        <v>31</v>
      </c>
      <c r="I8349">
        <v>146</v>
      </c>
      <c r="J8349">
        <v>1</v>
      </c>
      <c r="K8349">
        <v>142</v>
      </c>
      <c r="L8349">
        <v>257</v>
      </c>
      <c r="M8349">
        <v>1</v>
      </c>
      <c r="N8349">
        <v>9.9079399999999999E-29</v>
      </c>
      <c r="O8349">
        <v>307</v>
      </c>
    </row>
    <row r="8350" spans="1:15" x14ac:dyDescent="0.25">
      <c r="A8350" t="s">
        <v>8363</v>
      </c>
      <c r="B8350">
        <v>313</v>
      </c>
      <c r="C8350" s="1" t="str">
        <f>HYPERLINK("http://www.rosaceae.org/gb/gbrowse/malus_x_domestica/?name=MDP0000309723","MDP0000309723")</f>
        <v>MDP0000309723</v>
      </c>
      <c r="D8350">
        <v>82.74</v>
      </c>
      <c r="E8350">
        <v>313</v>
      </c>
      <c r="F8350">
        <v>54</v>
      </c>
      <c r="G8350">
        <v>0</v>
      </c>
      <c r="H8350">
        <v>1</v>
      </c>
      <c r="I8350">
        <v>313</v>
      </c>
      <c r="J8350">
        <v>1</v>
      </c>
      <c r="K8350">
        <v>204</v>
      </c>
      <c r="L8350">
        <v>516</v>
      </c>
      <c r="M8350">
        <v>1</v>
      </c>
      <c r="N8350">
        <v>9.3577100000000001E-150</v>
      </c>
      <c r="O8350">
        <v>1356</v>
      </c>
    </row>
    <row r="8351" spans="1:15" x14ac:dyDescent="0.25">
      <c r="A8351" t="s">
        <v>8364</v>
      </c>
      <c r="B8351">
        <v>145</v>
      </c>
      <c r="C8351" s="1" t="str">
        <f>HYPERLINK("http://www.rosaceae.org/gb/gbrowse/malus_x_domestica/?name=MDP0000304597","MDP0000304597")</f>
        <v>MDP0000304597</v>
      </c>
      <c r="D8351">
        <v>64.86</v>
      </c>
      <c r="E8351">
        <v>148</v>
      </c>
      <c r="F8351">
        <v>52</v>
      </c>
      <c r="G8351">
        <v>6</v>
      </c>
      <c r="H8351">
        <v>3</v>
      </c>
      <c r="I8351">
        <v>145</v>
      </c>
      <c r="J8351">
        <v>1</v>
      </c>
      <c r="K8351">
        <v>577</v>
      </c>
      <c r="L8351">
        <v>723</v>
      </c>
      <c r="M8351">
        <v>1</v>
      </c>
      <c r="N8351">
        <v>1.01601E-47</v>
      </c>
      <c r="O8351">
        <v>471</v>
      </c>
    </row>
    <row r="8352" spans="1:15" x14ac:dyDescent="0.25">
      <c r="A8352" t="s">
        <v>8365</v>
      </c>
      <c r="B8352">
        <v>125</v>
      </c>
      <c r="C8352" s="1" t="str">
        <f>HYPERLINK("http://www.rosaceae.org/gb/gbrowse/malus_x_domestica/?name=MDP0000238643","MDP0000238643")</f>
        <v>MDP0000238643</v>
      </c>
      <c r="D8352">
        <v>47.66</v>
      </c>
      <c r="E8352">
        <v>107</v>
      </c>
      <c r="F8352">
        <v>56</v>
      </c>
      <c r="G8352">
        <v>0</v>
      </c>
      <c r="H8352">
        <v>18</v>
      </c>
      <c r="I8352">
        <v>124</v>
      </c>
      <c r="J8352">
        <v>1</v>
      </c>
      <c r="K8352">
        <v>27</v>
      </c>
      <c r="L8352">
        <v>133</v>
      </c>
      <c r="M8352">
        <v>1</v>
      </c>
      <c r="N8352">
        <v>2.6205600000000002E-22</v>
      </c>
      <c r="O8352">
        <v>250</v>
      </c>
    </row>
    <row r="8353" spans="1:15" x14ac:dyDescent="0.25">
      <c r="A8353" t="s">
        <v>8366</v>
      </c>
      <c r="B8353">
        <v>339</v>
      </c>
      <c r="C8353" s="1" t="str">
        <f>HYPERLINK("http://www.rosaceae.org/gb/gbrowse/malus_x_domestica/?name=MDP0000255694","MDP0000255694")</f>
        <v>MDP0000255694</v>
      </c>
      <c r="D8353">
        <v>65.290000000000006</v>
      </c>
      <c r="E8353">
        <v>291</v>
      </c>
      <c r="F8353">
        <v>101</v>
      </c>
      <c r="G8353">
        <v>62</v>
      </c>
      <c r="H8353">
        <v>87</v>
      </c>
      <c r="I8353">
        <v>315</v>
      </c>
      <c r="J8353">
        <v>1</v>
      </c>
      <c r="K8353">
        <v>499</v>
      </c>
      <c r="L8353">
        <v>789</v>
      </c>
      <c r="M8353">
        <v>1</v>
      </c>
      <c r="N8353">
        <v>7.2653500000000005E-103</v>
      </c>
      <c r="O8353">
        <v>952</v>
      </c>
    </row>
    <row r="8354" spans="1:15" x14ac:dyDescent="0.25">
      <c r="A8354" t="s">
        <v>8367</v>
      </c>
      <c r="B8354">
        <v>186</v>
      </c>
      <c r="C8354" s="1" t="str">
        <f>HYPERLINK("http://www.rosaceae.org/gb/gbrowse/malus_x_domestica/?name=MDP0000178481","MDP0000178481")</f>
        <v>MDP0000178481</v>
      </c>
      <c r="D8354">
        <v>57.14</v>
      </c>
      <c r="E8354">
        <v>63</v>
      </c>
      <c r="F8354">
        <v>27</v>
      </c>
      <c r="G8354">
        <v>1</v>
      </c>
      <c r="H8354">
        <v>123</v>
      </c>
      <c r="I8354">
        <v>185</v>
      </c>
      <c r="J8354">
        <v>1</v>
      </c>
      <c r="K8354">
        <v>174</v>
      </c>
      <c r="L8354">
        <v>235</v>
      </c>
      <c r="M8354">
        <v>1</v>
      </c>
      <c r="N8354">
        <v>2.3348200000000002E-10</v>
      </c>
      <c r="O8354">
        <v>150</v>
      </c>
    </row>
    <row r="8355" spans="1:15" x14ac:dyDescent="0.25">
      <c r="A8355" t="s">
        <v>8368</v>
      </c>
      <c r="B8355">
        <v>173</v>
      </c>
      <c r="C8355" s="1" t="str">
        <f>HYPERLINK("http://www.rosaceae.org/gb/gbrowse/malus_x_domestica/?name=MDP0000225209","MDP0000225209")</f>
        <v>MDP0000225209</v>
      </c>
      <c r="D8355">
        <v>54.09</v>
      </c>
      <c r="E8355">
        <v>61</v>
      </c>
      <c r="F8355">
        <v>28</v>
      </c>
      <c r="G8355">
        <v>5</v>
      </c>
      <c r="H8355">
        <v>3</v>
      </c>
      <c r="I8355">
        <v>58</v>
      </c>
      <c r="J8355">
        <v>1</v>
      </c>
      <c r="K8355">
        <v>30</v>
      </c>
      <c r="L8355">
        <v>90</v>
      </c>
      <c r="M8355">
        <v>1</v>
      </c>
      <c r="N8355">
        <v>3.42542E-14</v>
      </c>
      <c r="O8355">
        <v>183</v>
      </c>
    </row>
    <row r="8356" spans="1:15" x14ac:dyDescent="0.25">
      <c r="A8356" t="s">
        <v>8369</v>
      </c>
      <c r="B8356">
        <v>898</v>
      </c>
      <c r="C8356" s="1" t="str">
        <f>HYPERLINK("http://www.rosaceae.org/gb/gbrowse/malus_x_domestica/?name=MDP0000929634","MDP0000929634")</f>
        <v>MDP0000929634</v>
      </c>
      <c r="D8356">
        <v>86.47</v>
      </c>
      <c r="E8356">
        <v>902</v>
      </c>
      <c r="F8356">
        <v>122</v>
      </c>
      <c r="G8356">
        <v>14</v>
      </c>
      <c r="H8356">
        <v>1</v>
      </c>
      <c r="I8356">
        <v>898</v>
      </c>
      <c r="J8356">
        <v>1</v>
      </c>
      <c r="K8356">
        <v>1</v>
      </c>
      <c r="L8356">
        <v>892</v>
      </c>
      <c r="M8356">
        <v>1</v>
      </c>
      <c r="N8356">
        <v>0</v>
      </c>
      <c r="O8356">
        <v>4030</v>
      </c>
    </row>
    <row r="8357" spans="1:15" x14ac:dyDescent="0.25">
      <c r="A8357" t="s">
        <v>8370</v>
      </c>
      <c r="B8357">
        <v>816</v>
      </c>
      <c r="C8357" s="1" t="str">
        <f>HYPERLINK("http://www.rosaceae.org/gb/gbrowse/malus_x_domestica/?name=MDP0000300321","MDP0000300321")</f>
        <v>MDP0000300321</v>
      </c>
      <c r="D8357">
        <v>77.849999999999994</v>
      </c>
      <c r="E8357">
        <v>596</v>
      </c>
      <c r="F8357">
        <v>132</v>
      </c>
      <c r="G8357">
        <v>2</v>
      </c>
      <c r="H8357">
        <v>127</v>
      </c>
      <c r="I8357">
        <v>721</v>
      </c>
      <c r="J8357">
        <v>1</v>
      </c>
      <c r="K8357">
        <v>106</v>
      </c>
      <c r="L8357">
        <v>700</v>
      </c>
      <c r="M8357">
        <v>1</v>
      </c>
      <c r="N8357">
        <v>0</v>
      </c>
      <c r="O8357">
        <v>2532</v>
      </c>
    </row>
    <row r="8358" spans="1:15" x14ac:dyDescent="0.25">
      <c r="A8358" t="s">
        <v>8371</v>
      </c>
      <c r="B8358">
        <v>106</v>
      </c>
      <c r="C8358" s="1" t="str">
        <f>HYPERLINK("http://www.rosaceae.org/gb/gbrowse/malus_x_domestica/?name=MDP0000291141","MDP0000291141")</f>
        <v>MDP0000291141</v>
      </c>
      <c r="D8358">
        <v>53.42</v>
      </c>
      <c r="E8358">
        <v>73</v>
      </c>
      <c r="F8358">
        <v>34</v>
      </c>
      <c r="G8358">
        <v>0</v>
      </c>
      <c r="H8358">
        <v>34</v>
      </c>
      <c r="I8358">
        <v>106</v>
      </c>
      <c r="J8358">
        <v>1</v>
      </c>
      <c r="K8358">
        <v>494</v>
      </c>
      <c r="L8358">
        <v>566</v>
      </c>
      <c r="M8358">
        <v>1</v>
      </c>
      <c r="N8358">
        <v>5.3125099999999998E-18</v>
      </c>
      <c r="O8358">
        <v>213</v>
      </c>
    </row>
    <row r="8359" spans="1:15" x14ac:dyDescent="0.25">
      <c r="A8359" t="s">
        <v>8372</v>
      </c>
      <c r="B8359">
        <v>215</v>
      </c>
      <c r="C8359" s="1" t="str">
        <f>HYPERLINK("http://www.rosaceae.org/gb/gbrowse/malus_x_domestica/?name=MDP0000717472","MDP0000717472")</f>
        <v>MDP0000717472</v>
      </c>
      <c r="D8359">
        <v>32.57</v>
      </c>
      <c r="E8359">
        <v>175</v>
      </c>
      <c r="F8359">
        <v>118</v>
      </c>
      <c r="G8359">
        <v>17</v>
      </c>
      <c r="H8359">
        <v>4</v>
      </c>
      <c r="I8359">
        <v>170</v>
      </c>
      <c r="J8359">
        <v>1</v>
      </c>
      <c r="K8359">
        <v>5</v>
      </c>
      <c r="L8359">
        <v>170</v>
      </c>
      <c r="M8359">
        <v>1</v>
      </c>
      <c r="N8359">
        <v>6.6626600000000001E-16</v>
      </c>
      <c r="O8359">
        <v>199</v>
      </c>
    </row>
    <row r="8360" spans="1:15" x14ac:dyDescent="0.25">
      <c r="A8360" t="s">
        <v>8373</v>
      </c>
      <c r="B8360">
        <v>343</v>
      </c>
      <c r="C8360" s="1" t="str">
        <f>HYPERLINK("http://www.rosaceae.org/gb/gbrowse/malus_x_domestica/?name=MDP0000216946","MDP0000216946")</f>
        <v>MDP0000216946</v>
      </c>
      <c r="D8360">
        <v>64.22</v>
      </c>
      <c r="E8360">
        <v>341</v>
      </c>
      <c r="F8360">
        <v>122</v>
      </c>
      <c r="G8360">
        <v>2</v>
      </c>
      <c r="H8360">
        <v>3</v>
      </c>
      <c r="I8360">
        <v>341</v>
      </c>
      <c r="J8360">
        <v>1</v>
      </c>
      <c r="K8360">
        <v>4</v>
      </c>
      <c r="L8360">
        <v>344</v>
      </c>
      <c r="M8360">
        <v>1</v>
      </c>
      <c r="N8360">
        <v>6.7931500000000002E-134</v>
      </c>
      <c r="O8360">
        <v>1219</v>
      </c>
    </row>
    <row r="8361" spans="1:15" x14ac:dyDescent="0.25">
      <c r="A8361" t="s">
        <v>8374</v>
      </c>
      <c r="B8361">
        <v>433</v>
      </c>
      <c r="C8361" s="1" t="str">
        <f>HYPERLINK("http://www.rosaceae.org/gb/gbrowse/malus_x_domestica/?name=MDP0000188803","MDP0000188803")</f>
        <v>MDP0000188803</v>
      </c>
      <c r="D8361">
        <v>43.35</v>
      </c>
      <c r="E8361">
        <v>173</v>
      </c>
      <c r="F8361">
        <v>98</v>
      </c>
      <c r="G8361">
        <v>2</v>
      </c>
      <c r="H8361">
        <v>20</v>
      </c>
      <c r="I8361">
        <v>190</v>
      </c>
      <c r="J8361">
        <v>1</v>
      </c>
      <c r="K8361">
        <v>302</v>
      </c>
      <c r="L8361">
        <v>474</v>
      </c>
      <c r="M8361">
        <v>1</v>
      </c>
      <c r="N8361">
        <v>4.1574099999999998E-34</v>
      </c>
      <c r="O8361">
        <v>360</v>
      </c>
    </row>
    <row r="8362" spans="1:15" x14ac:dyDescent="0.25">
      <c r="A8362" t="s">
        <v>8375</v>
      </c>
      <c r="B8362">
        <v>555</v>
      </c>
      <c r="C8362" s="1" t="str">
        <f>HYPERLINK("http://www.rosaceae.org/gb/gbrowse/malus_x_domestica/?name=MDP0000132594","MDP0000132594")</f>
        <v>MDP0000132594</v>
      </c>
      <c r="D8362">
        <v>35.299999999999997</v>
      </c>
      <c r="E8362">
        <v>524</v>
      </c>
      <c r="F8362">
        <v>339</v>
      </c>
      <c r="G8362">
        <v>114</v>
      </c>
      <c r="H8362">
        <v>1</v>
      </c>
      <c r="I8362">
        <v>489</v>
      </c>
      <c r="J8362">
        <v>1</v>
      </c>
      <c r="K8362">
        <v>1</v>
      </c>
      <c r="L8362">
        <v>445</v>
      </c>
      <c r="M8362">
        <v>1</v>
      </c>
      <c r="N8362">
        <v>2.1556699999999998E-50</v>
      </c>
      <c r="O8362">
        <v>502</v>
      </c>
    </row>
    <row r="8363" spans="1:15" x14ac:dyDescent="0.25">
      <c r="A8363" t="s">
        <v>8376</v>
      </c>
      <c r="B8363">
        <v>589</v>
      </c>
      <c r="C8363" s="1" t="str">
        <f>HYPERLINK("http://www.rosaceae.org/gb/gbrowse/malus_x_domestica/?name=MDP0000432182","MDP0000432182")</f>
        <v>MDP0000432182</v>
      </c>
      <c r="D8363">
        <v>84.44</v>
      </c>
      <c r="E8363">
        <v>90</v>
      </c>
      <c r="F8363">
        <v>14</v>
      </c>
      <c r="G8363">
        <v>0</v>
      </c>
      <c r="H8363">
        <v>175</v>
      </c>
      <c r="I8363">
        <v>264</v>
      </c>
      <c r="J8363">
        <v>1</v>
      </c>
      <c r="K8363">
        <v>91</v>
      </c>
      <c r="L8363">
        <v>180</v>
      </c>
      <c r="M8363">
        <v>1</v>
      </c>
      <c r="N8363">
        <v>4.17377E-39</v>
      </c>
      <c r="O8363">
        <v>404</v>
      </c>
    </row>
    <row r="8364" spans="1:15" x14ac:dyDescent="0.25">
      <c r="A8364" t="s">
        <v>8377</v>
      </c>
      <c r="B8364">
        <v>141</v>
      </c>
      <c r="C8364" s="1" t="str">
        <f>HYPERLINK("http://www.rosaceae.org/gb/gbrowse/malus_x_domestica/?name=MDP0000250644","MDP0000250644")</f>
        <v>MDP0000250644</v>
      </c>
      <c r="D8364">
        <v>34.11</v>
      </c>
      <c r="E8364">
        <v>85</v>
      </c>
      <c r="F8364">
        <v>56</v>
      </c>
      <c r="G8364">
        <v>0</v>
      </c>
      <c r="H8364">
        <v>54</v>
      </c>
      <c r="I8364">
        <v>138</v>
      </c>
      <c r="J8364">
        <v>1</v>
      </c>
      <c r="K8364">
        <v>109</v>
      </c>
      <c r="L8364">
        <v>193</v>
      </c>
      <c r="M8364">
        <v>1</v>
      </c>
      <c r="N8364">
        <v>1.74007E-9</v>
      </c>
      <c r="O8364">
        <v>141</v>
      </c>
    </row>
    <row r="8365" spans="1:15" x14ac:dyDescent="0.25">
      <c r="A8365" t="s">
        <v>8378</v>
      </c>
      <c r="B8365">
        <v>241</v>
      </c>
      <c r="C8365" s="1" t="str">
        <f>HYPERLINK("http://www.rosaceae.org/gb/gbrowse/malus_x_domestica/?name=MDP0000905147","MDP0000905147")</f>
        <v>MDP0000905147</v>
      </c>
      <c r="D8365">
        <v>68.06</v>
      </c>
      <c r="E8365">
        <v>238</v>
      </c>
      <c r="F8365">
        <v>76</v>
      </c>
      <c r="G8365">
        <v>0</v>
      </c>
      <c r="H8365">
        <v>4</v>
      </c>
      <c r="I8365">
        <v>241</v>
      </c>
      <c r="J8365">
        <v>1</v>
      </c>
      <c r="K8365">
        <v>70</v>
      </c>
      <c r="L8365">
        <v>307</v>
      </c>
      <c r="M8365">
        <v>1</v>
      </c>
      <c r="N8365">
        <v>8.0062900000000002E-92</v>
      </c>
      <c r="O8365">
        <v>855</v>
      </c>
    </row>
    <row r="8366" spans="1:15" x14ac:dyDescent="0.25">
      <c r="A8366" t="s">
        <v>8379</v>
      </c>
      <c r="B8366">
        <v>387</v>
      </c>
      <c r="C8366" s="1" t="str">
        <f>HYPERLINK("http://www.rosaceae.org/gb/gbrowse/malus_x_domestica/?name=MDP0000319498","MDP0000319498")</f>
        <v>MDP0000319498</v>
      </c>
      <c r="D8366">
        <v>32.840000000000003</v>
      </c>
      <c r="E8366">
        <v>137</v>
      </c>
      <c r="F8366">
        <v>92</v>
      </c>
      <c r="G8366">
        <v>17</v>
      </c>
      <c r="H8366">
        <v>33</v>
      </c>
      <c r="I8366">
        <v>169</v>
      </c>
      <c r="J8366">
        <v>1</v>
      </c>
      <c r="K8366">
        <v>136</v>
      </c>
      <c r="L8366">
        <v>255</v>
      </c>
      <c r="M8366">
        <v>1</v>
      </c>
      <c r="N8366">
        <v>5.2328599999999996E-9</v>
      </c>
      <c r="O8366">
        <v>143</v>
      </c>
    </row>
    <row r="8367" spans="1:15" x14ac:dyDescent="0.25">
      <c r="A8367" t="s">
        <v>8380</v>
      </c>
      <c r="B8367">
        <v>648</v>
      </c>
      <c r="C8367" s="1" t="str">
        <f>HYPERLINK("http://www.rosaceae.org/gb/gbrowse/malus_x_domestica/?name=MDP0000520097","MDP0000520097")</f>
        <v>MDP0000520097</v>
      </c>
      <c r="D8367">
        <v>72.98</v>
      </c>
      <c r="E8367">
        <v>659</v>
      </c>
      <c r="F8367">
        <v>178</v>
      </c>
      <c r="G8367">
        <v>16</v>
      </c>
      <c r="H8367">
        <v>5</v>
      </c>
      <c r="I8367">
        <v>648</v>
      </c>
      <c r="J8367">
        <v>1</v>
      </c>
      <c r="K8367">
        <v>4</v>
      </c>
      <c r="L8367">
        <v>661</v>
      </c>
      <c r="M8367">
        <v>1</v>
      </c>
      <c r="N8367">
        <v>0</v>
      </c>
      <c r="O8367">
        <v>2539</v>
      </c>
    </row>
    <row r="8368" spans="1:15" x14ac:dyDescent="0.25">
      <c r="A8368" t="s">
        <v>8381</v>
      </c>
      <c r="B8368">
        <v>369</v>
      </c>
      <c r="C8368" s="1" t="str">
        <f>HYPERLINK("http://www.rosaceae.org/gb/gbrowse/malus_x_domestica/?name=MDP0000319412","MDP0000319412")</f>
        <v>MDP0000319412</v>
      </c>
      <c r="D8368">
        <v>45.13</v>
      </c>
      <c r="E8368">
        <v>339</v>
      </c>
      <c r="F8368">
        <v>186</v>
      </c>
      <c r="G8368">
        <v>10</v>
      </c>
      <c r="H8368">
        <v>32</v>
      </c>
      <c r="I8368">
        <v>360</v>
      </c>
      <c r="J8368">
        <v>1</v>
      </c>
      <c r="K8368">
        <v>152</v>
      </c>
      <c r="L8368">
        <v>490</v>
      </c>
      <c r="M8368">
        <v>1</v>
      </c>
      <c r="N8368">
        <v>1.80901E-78</v>
      </c>
      <c r="O8368">
        <v>742</v>
      </c>
    </row>
    <row r="8369" spans="1:15" x14ac:dyDescent="0.25">
      <c r="A8369" t="s">
        <v>8382</v>
      </c>
      <c r="B8369">
        <v>288</v>
      </c>
      <c r="C8369" s="1" t="str">
        <f>HYPERLINK("http://www.rosaceae.org/gb/gbrowse/malus_x_domestica/?name=MDP0000296128","MDP0000296128")</f>
        <v>MDP0000296128</v>
      </c>
      <c r="D8369">
        <v>35.200000000000003</v>
      </c>
      <c r="E8369">
        <v>196</v>
      </c>
      <c r="F8369">
        <v>127</v>
      </c>
      <c r="G8369">
        <v>35</v>
      </c>
      <c r="H8369">
        <v>57</v>
      </c>
      <c r="I8369">
        <v>230</v>
      </c>
      <c r="J8369">
        <v>1</v>
      </c>
      <c r="K8369">
        <v>167</v>
      </c>
      <c r="L8369">
        <v>349</v>
      </c>
      <c r="M8369">
        <v>1</v>
      </c>
      <c r="N8369">
        <v>1.54916E-19</v>
      </c>
      <c r="O8369">
        <v>232</v>
      </c>
    </row>
    <row r="8370" spans="1:15" x14ac:dyDescent="0.25">
      <c r="A8370" t="s">
        <v>8383</v>
      </c>
      <c r="B8370">
        <v>211</v>
      </c>
      <c r="C8370" s="1" t="str">
        <f>HYPERLINK("http://www.rosaceae.org/gb/gbrowse/malus_x_domestica/?name=MDP0000246271","MDP0000246271")</f>
        <v>MDP0000246271</v>
      </c>
      <c r="D8370">
        <v>34.9</v>
      </c>
      <c r="E8370">
        <v>106</v>
      </c>
      <c r="F8370">
        <v>69</v>
      </c>
      <c r="G8370">
        <v>18</v>
      </c>
      <c r="H8370">
        <v>2</v>
      </c>
      <c r="I8370">
        <v>106</v>
      </c>
      <c r="J8370">
        <v>1</v>
      </c>
      <c r="K8370">
        <v>67</v>
      </c>
      <c r="L8370">
        <v>155</v>
      </c>
      <c r="M8370">
        <v>1</v>
      </c>
      <c r="N8370">
        <v>7.5555099999999996E-8</v>
      </c>
      <c r="O8370">
        <v>130</v>
      </c>
    </row>
    <row r="8371" spans="1:15" x14ac:dyDescent="0.25">
      <c r="A8371" t="s">
        <v>8384</v>
      </c>
      <c r="B8371">
        <v>536</v>
      </c>
      <c r="C8371" s="1" t="str">
        <f>HYPERLINK("http://www.rosaceae.org/gb/gbrowse/malus_x_domestica/?name=MDP0000453272","MDP0000453272")</f>
        <v>MDP0000453272</v>
      </c>
      <c r="D8371">
        <v>69.98</v>
      </c>
      <c r="E8371">
        <v>513</v>
      </c>
      <c r="F8371">
        <v>154</v>
      </c>
      <c r="G8371">
        <v>23</v>
      </c>
      <c r="H8371">
        <v>25</v>
      </c>
      <c r="I8371">
        <v>520</v>
      </c>
      <c r="J8371">
        <v>1</v>
      </c>
      <c r="K8371">
        <v>35</v>
      </c>
      <c r="L8371">
        <v>541</v>
      </c>
      <c r="M8371">
        <v>1</v>
      </c>
      <c r="N8371">
        <v>0</v>
      </c>
      <c r="O8371">
        <v>1769</v>
      </c>
    </row>
    <row r="8372" spans="1:15" x14ac:dyDescent="0.25">
      <c r="A8372" t="s">
        <v>8385</v>
      </c>
      <c r="B8372">
        <v>543</v>
      </c>
      <c r="C8372" s="1" t="str">
        <f>HYPERLINK("http://www.rosaceae.org/gb/gbrowse/malus_x_domestica/?name=MDP0000124626","MDP0000124626")</f>
        <v>MDP0000124626</v>
      </c>
      <c r="D8372">
        <v>56.68</v>
      </c>
      <c r="E8372">
        <v>404</v>
      </c>
      <c r="F8372">
        <v>175</v>
      </c>
      <c r="G8372">
        <v>5</v>
      </c>
      <c r="H8372">
        <v>138</v>
      </c>
      <c r="I8372">
        <v>537</v>
      </c>
      <c r="J8372">
        <v>1</v>
      </c>
      <c r="K8372">
        <v>79</v>
      </c>
      <c r="L8372">
        <v>481</v>
      </c>
      <c r="M8372">
        <v>1</v>
      </c>
      <c r="N8372">
        <v>5.1142599999999997E-134</v>
      </c>
      <c r="O8372">
        <v>1223</v>
      </c>
    </row>
    <row r="8373" spans="1:15" x14ac:dyDescent="0.25">
      <c r="A8373" t="s">
        <v>8386</v>
      </c>
      <c r="B8373">
        <v>802</v>
      </c>
      <c r="C8373" s="1" t="str">
        <f>HYPERLINK("http://www.rosaceae.org/gb/gbrowse/malus_x_domestica/?name=MDP0000257422","MDP0000257422")</f>
        <v>MDP0000257422</v>
      </c>
      <c r="D8373">
        <v>74.23</v>
      </c>
      <c r="E8373">
        <v>788</v>
      </c>
      <c r="F8373">
        <v>203</v>
      </c>
      <c r="G8373">
        <v>2</v>
      </c>
      <c r="H8373">
        <v>1</v>
      </c>
      <c r="I8373">
        <v>788</v>
      </c>
      <c r="J8373">
        <v>1</v>
      </c>
      <c r="K8373">
        <v>102</v>
      </c>
      <c r="L8373">
        <v>887</v>
      </c>
      <c r="M8373">
        <v>1</v>
      </c>
      <c r="N8373">
        <v>0</v>
      </c>
      <c r="O8373">
        <v>3177</v>
      </c>
    </row>
    <row r="8374" spans="1:15" x14ac:dyDescent="0.25">
      <c r="A8374" t="s">
        <v>8387</v>
      </c>
      <c r="B8374">
        <v>198</v>
      </c>
      <c r="C8374" s="1" t="str">
        <f>HYPERLINK("http://www.rosaceae.org/gb/gbrowse/malus_x_domestica/?name=MDP0000179081","MDP0000179081")</f>
        <v>MDP0000179081</v>
      </c>
      <c r="D8374">
        <v>75</v>
      </c>
      <c r="E8374">
        <v>224</v>
      </c>
      <c r="F8374">
        <v>56</v>
      </c>
      <c r="G8374">
        <v>27</v>
      </c>
      <c r="H8374">
        <v>1</v>
      </c>
      <c r="I8374">
        <v>197</v>
      </c>
      <c r="J8374">
        <v>1</v>
      </c>
      <c r="K8374">
        <v>1</v>
      </c>
      <c r="L8374">
        <v>224</v>
      </c>
      <c r="M8374">
        <v>1</v>
      </c>
      <c r="N8374">
        <v>5.2265600000000002E-95</v>
      </c>
      <c r="O8374">
        <v>881</v>
      </c>
    </row>
    <row r="8375" spans="1:15" x14ac:dyDescent="0.25">
      <c r="A8375" t="s">
        <v>8388</v>
      </c>
      <c r="B8375">
        <v>615</v>
      </c>
      <c r="C8375" s="1" t="str">
        <f>HYPERLINK("http://www.rosaceae.org/gb/gbrowse/malus_x_domestica/?name=MDP0000318606","MDP0000318606")</f>
        <v>MDP0000318606</v>
      </c>
      <c r="D8375">
        <v>56.26</v>
      </c>
      <c r="E8375">
        <v>551</v>
      </c>
      <c r="F8375">
        <v>241</v>
      </c>
      <c r="G8375">
        <v>22</v>
      </c>
      <c r="H8375">
        <v>49</v>
      </c>
      <c r="I8375">
        <v>595</v>
      </c>
      <c r="J8375">
        <v>1</v>
      </c>
      <c r="K8375">
        <v>28</v>
      </c>
      <c r="L8375">
        <v>560</v>
      </c>
      <c r="M8375">
        <v>1</v>
      </c>
      <c r="N8375">
        <v>0</v>
      </c>
      <c r="O8375">
        <v>1731</v>
      </c>
    </row>
    <row r="8376" spans="1:15" x14ac:dyDescent="0.25">
      <c r="A8376" t="s">
        <v>8389</v>
      </c>
      <c r="B8376">
        <v>300</v>
      </c>
      <c r="C8376" s="1" t="str">
        <f>HYPERLINK("http://www.rosaceae.org/gb/gbrowse/malus_x_domestica/?name=MDP0000254363","MDP0000254363")</f>
        <v>MDP0000254363</v>
      </c>
      <c r="D8376">
        <v>58.36</v>
      </c>
      <c r="E8376">
        <v>233</v>
      </c>
      <c r="F8376">
        <v>97</v>
      </c>
      <c r="G8376">
        <v>7</v>
      </c>
      <c r="H8376">
        <v>22</v>
      </c>
      <c r="I8376">
        <v>248</v>
      </c>
      <c r="J8376">
        <v>1</v>
      </c>
      <c r="K8376">
        <v>2</v>
      </c>
      <c r="L8376">
        <v>233</v>
      </c>
      <c r="M8376">
        <v>1</v>
      </c>
      <c r="N8376">
        <v>7.7247699999999999E-73</v>
      </c>
      <c r="O8376">
        <v>692</v>
      </c>
    </row>
    <row r="8377" spans="1:15" x14ac:dyDescent="0.25">
      <c r="A8377" t="s">
        <v>8390</v>
      </c>
      <c r="B8377">
        <v>387</v>
      </c>
      <c r="C8377" s="1" t="str">
        <f>HYPERLINK("http://www.rosaceae.org/gb/gbrowse/malus_x_domestica/?name=MDP0000278575","MDP0000278575")</f>
        <v>MDP0000278575</v>
      </c>
      <c r="D8377">
        <v>37.81</v>
      </c>
      <c r="E8377">
        <v>394</v>
      </c>
      <c r="F8377">
        <v>245</v>
      </c>
      <c r="G8377">
        <v>39</v>
      </c>
      <c r="H8377">
        <v>4</v>
      </c>
      <c r="I8377">
        <v>379</v>
      </c>
      <c r="J8377">
        <v>1</v>
      </c>
      <c r="K8377">
        <v>755</v>
      </c>
      <c r="L8377">
        <v>1127</v>
      </c>
      <c r="M8377">
        <v>1</v>
      </c>
      <c r="N8377">
        <v>5.2037799999999995E-57</v>
      </c>
      <c r="O8377">
        <v>557</v>
      </c>
    </row>
    <row r="8378" spans="1:15" x14ac:dyDescent="0.25">
      <c r="A8378" t="s">
        <v>8391</v>
      </c>
      <c r="B8378">
        <v>577</v>
      </c>
      <c r="C8378" s="1" t="str">
        <f>HYPERLINK("http://www.rosaceae.org/gb/gbrowse/malus_x_domestica/?name=MDP0000190369","MDP0000190369")</f>
        <v>MDP0000190369</v>
      </c>
      <c r="D8378">
        <v>38.770000000000003</v>
      </c>
      <c r="E8378">
        <v>245</v>
      </c>
      <c r="F8378">
        <v>150</v>
      </c>
      <c r="G8378">
        <v>46</v>
      </c>
      <c r="H8378">
        <v>227</v>
      </c>
      <c r="I8378">
        <v>433</v>
      </c>
      <c r="J8378">
        <v>1</v>
      </c>
      <c r="K8378">
        <v>776</v>
      </c>
      <c r="L8378">
        <v>1012</v>
      </c>
      <c r="M8378">
        <v>1</v>
      </c>
      <c r="N8378">
        <v>2.6690899999999999E-26</v>
      </c>
      <c r="O8378">
        <v>294</v>
      </c>
    </row>
    <row r="8379" spans="1:15" x14ac:dyDescent="0.25">
      <c r="A8379" t="s">
        <v>8392</v>
      </c>
      <c r="B8379">
        <v>351</v>
      </c>
      <c r="C8379" s="1" t="str">
        <f>HYPERLINK("http://www.rosaceae.org/gb/gbrowse/malus_x_domestica/?name=MDP0000122791","MDP0000122791")</f>
        <v>MDP0000122791</v>
      </c>
      <c r="D8379">
        <v>86.49</v>
      </c>
      <c r="E8379">
        <v>348</v>
      </c>
      <c r="F8379">
        <v>47</v>
      </c>
      <c r="G8379">
        <v>22</v>
      </c>
      <c r="H8379">
        <v>1</v>
      </c>
      <c r="I8379">
        <v>329</v>
      </c>
      <c r="J8379">
        <v>1</v>
      </c>
      <c r="K8379">
        <v>112</v>
      </c>
      <c r="L8379">
        <v>456</v>
      </c>
      <c r="M8379">
        <v>1</v>
      </c>
      <c r="N8379">
        <v>6.4282300000000002E-179</v>
      </c>
      <c r="O8379">
        <v>1608</v>
      </c>
    </row>
    <row r="8380" spans="1:15" x14ac:dyDescent="0.25">
      <c r="A8380" t="s">
        <v>8393</v>
      </c>
      <c r="B8380">
        <v>419</v>
      </c>
      <c r="C8380" s="1" t="str">
        <f>HYPERLINK("http://www.rosaceae.org/gb/gbrowse/malus_x_domestica/?name=MDP0000156392","MDP0000156392")</f>
        <v>MDP0000156392</v>
      </c>
      <c r="D8380">
        <v>67.02</v>
      </c>
      <c r="E8380">
        <v>464</v>
      </c>
      <c r="F8380">
        <v>153</v>
      </c>
      <c r="G8380">
        <v>57</v>
      </c>
      <c r="H8380">
        <v>1</v>
      </c>
      <c r="I8380">
        <v>419</v>
      </c>
      <c r="J8380">
        <v>1</v>
      </c>
      <c r="K8380">
        <v>1</v>
      </c>
      <c r="L8380">
        <v>452</v>
      </c>
      <c r="M8380">
        <v>1</v>
      </c>
      <c r="N8380">
        <v>1.0163399999999999E-166</v>
      </c>
      <c r="O8380">
        <v>1503</v>
      </c>
    </row>
    <row r="8381" spans="1:15" x14ac:dyDescent="0.25">
      <c r="A8381" t="s">
        <v>8394</v>
      </c>
      <c r="B8381">
        <v>668</v>
      </c>
      <c r="C8381" s="1" t="str">
        <f>HYPERLINK("http://www.rosaceae.org/gb/gbrowse/malus_x_domestica/?name=MDP0000259047","MDP0000259047")</f>
        <v>MDP0000259047</v>
      </c>
      <c r="D8381">
        <v>56.98</v>
      </c>
      <c r="E8381">
        <v>637</v>
      </c>
      <c r="F8381">
        <v>274</v>
      </c>
      <c r="G8381">
        <v>27</v>
      </c>
      <c r="H8381">
        <v>27</v>
      </c>
      <c r="I8381">
        <v>641</v>
      </c>
      <c r="J8381">
        <v>1</v>
      </c>
      <c r="K8381">
        <v>30</v>
      </c>
      <c r="L8381">
        <v>661</v>
      </c>
      <c r="M8381">
        <v>1</v>
      </c>
      <c r="N8381">
        <v>0</v>
      </c>
      <c r="O8381">
        <v>1875</v>
      </c>
    </row>
    <row r="8382" spans="1:15" x14ac:dyDescent="0.25">
      <c r="A8382" t="s">
        <v>8395</v>
      </c>
      <c r="B8382">
        <v>298</v>
      </c>
      <c r="C8382" s="1" t="str">
        <f>HYPERLINK("http://www.rosaceae.org/gb/gbrowse/malus_x_domestica/?name=MDP0000310262","MDP0000310262")</f>
        <v>MDP0000310262</v>
      </c>
      <c r="D8382">
        <v>50.31</v>
      </c>
      <c r="E8382">
        <v>322</v>
      </c>
      <c r="F8382">
        <v>160</v>
      </c>
      <c r="G8382">
        <v>67</v>
      </c>
      <c r="H8382">
        <v>37</v>
      </c>
      <c r="I8382">
        <v>298</v>
      </c>
      <c r="J8382">
        <v>1</v>
      </c>
      <c r="K8382">
        <v>43</v>
      </c>
      <c r="L8382">
        <v>357</v>
      </c>
      <c r="M8382">
        <v>1</v>
      </c>
      <c r="N8382">
        <v>2.3375999999999999E-74</v>
      </c>
      <c r="O8382">
        <v>705</v>
      </c>
    </row>
    <row r="8383" spans="1:15" x14ac:dyDescent="0.25">
      <c r="A8383" t="s">
        <v>8396</v>
      </c>
      <c r="B8383">
        <v>225</v>
      </c>
      <c r="C8383" s="1" t="str">
        <f>HYPERLINK("http://www.rosaceae.org/gb/gbrowse/malus_x_domestica/?name=MDP0000131669","MDP0000131669")</f>
        <v>MDP0000131669</v>
      </c>
      <c r="D8383">
        <v>53.4</v>
      </c>
      <c r="E8383">
        <v>88</v>
      </c>
      <c r="F8383">
        <v>41</v>
      </c>
      <c r="G8383">
        <v>3</v>
      </c>
      <c r="H8383">
        <v>38</v>
      </c>
      <c r="I8383">
        <v>125</v>
      </c>
      <c r="J8383">
        <v>1</v>
      </c>
      <c r="K8383">
        <v>29</v>
      </c>
      <c r="L8383">
        <v>113</v>
      </c>
      <c r="M8383">
        <v>1</v>
      </c>
      <c r="N8383">
        <v>3.6917599999999999E-24</v>
      </c>
      <c r="O8383">
        <v>271</v>
      </c>
    </row>
    <row r="8384" spans="1:15" x14ac:dyDescent="0.25">
      <c r="A8384" t="s">
        <v>8397</v>
      </c>
      <c r="B8384">
        <v>740</v>
      </c>
      <c r="C8384" s="1" t="str">
        <f>HYPERLINK("http://www.rosaceae.org/gb/gbrowse/malus_x_domestica/?name=MDP0000132294","MDP0000132294")</f>
        <v>MDP0000132294</v>
      </c>
      <c r="D8384">
        <v>67.17</v>
      </c>
      <c r="E8384">
        <v>722</v>
      </c>
      <c r="F8384">
        <v>237</v>
      </c>
      <c r="G8384">
        <v>42</v>
      </c>
      <c r="H8384">
        <v>52</v>
      </c>
      <c r="I8384">
        <v>731</v>
      </c>
      <c r="J8384">
        <v>1</v>
      </c>
      <c r="K8384">
        <v>33</v>
      </c>
      <c r="L8384">
        <v>754</v>
      </c>
      <c r="M8384">
        <v>1</v>
      </c>
      <c r="N8384">
        <v>0</v>
      </c>
      <c r="O8384">
        <v>2523</v>
      </c>
    </row>
    <row r="8385" spans="1:15" x14ac:dyDescent="0.25">
      <c r="A8385" t="s">
        <v>8398</v>
      </c>
      <c r="B8385">
        <v>354</v>
      </c>
      <c r="C8385" s="1" t="str">
        <f>HYPERLINK("http://www.rosaceae.org/gb/gbrowse/malus_x_domestica/?name=MDP0000294187","MDP0000294187")</f>
        <v>MDP0000294187</v>
      </c>
      <c r="D8385">
        <v>76.19</v>
      </c>
      <c r="E8385">
        <v>231</v>
      </c>
      <c r="F8385">
        <v>55</v>
      </c>
      <c r="G8385">
        <v>8</v>
      </c>
      <c r="H8385">
        <v>127</v>
      </c>
      <c r="I8385">
        <v>350</v>
      </c>
      <c r="J8385">
        <v>1</v>
      </c>
      <c r="K8385">
        <v>1</v>
      </c>
      <c r="L8385">
        <v>230</v>
      </c>
      <c r="M8385">
        <v>1</v>
      </c>
      <c r="N8385">
        <v>8.3441400000000003E-100</v>
      </c>
      <c r="O8385">
        <v>926</v>
      </c>
    </row>
    <row r="8386" spans="1:15" x14ac:dyDescent="0.25">
      <c r="A8386" t="s">
        <v>8399</v>
      </c>
      <c r="B8386">
        <v>191</v>
      </c>
      <c r="C8386" s="1" t="str">
        <f>HYPERLINK("http://www.rosaceae.org/gb/gbrowse/malus_x_domestica/?name=MDP0000575262","MDP0000575262")</f>
        <v>MDP0000575262</v>
      </c>
      <c r="D8386">
        <v>29.19</v>
      </c>
      <c r="E8386">
        <v>161</v>
      </c>
      <c r="F8386">
        <v>114</v>
      </c>
      <c r="G8386">
        <v>17</v>
      </c>
      <c r="H8386">
        <v>39</v>
      </c>
      <c r="I8386">
        <v>188</v>
      </c>
      <c r="J8386">
        <v>1</v>
      </c>
      <c r="K8386">
        <v>269</v>
      </c>
      <c r="L8386">
        <v>423</v>
      </c>
      <c r="M8386">
        <v>1</v>
      </c>
      <c r="N8386">
        <v>6.7740099999999998E-15</v>
      </c>
      <c r="O8386">
        <v>190</v>
      </c>
    </row>
    <row r="8387" spans="1:15" x14ac:dyDescent="0.25">
      <c r="A8387" t="s">
        <v>8400</v>
      </c>
      <c r="B8387">
        <v>1847</v>
      </c>
      <c r="C8387" s="1" t="str">
        <f>HYPERLINK("http://www.rosaceae.org/gb/gbrowse/malus_x_domestica/?name=MDP0000216575","MDP0000216575")</f>
        <v>MDP0000216575</v>
      </c>
      <c r="D8387">
        <v>68.010000000000005</v>
      </c>
      <c r="E8387">
        <v>888</v>
      </c>
      <c r="F8387">
        <v>284</v>
      </c>
      <c r="G8387">
        <v>65</v>
      </c>
      <c r="H8387">
        <v>1</v>
      </c>
      <c r="I8387">
        <v>845</v>
      </c>
      <c r="J8387">
        <v>1</v>
      </c>
      <c r="K8387">
        <v>1</v>
      </c>
      <c r="L8387">
        <v>866</v>
      </c>
      <c r="M8387">
        <v>1</v>
      </c>
      <c r="N8387">
        <v>0</v>
      </c>
      <c r="O8387">
        <v>3135</v>
      </c>
    </row>
    <row r="8388" spans="1:15" x14ac:dyDescent="0.25">
      <c r="A8388" t="s">
        <v>8401</v>
      </c>
      <c r="B8388">
        <v>1126</v>
      </c>
      <c r="C8388" s="1" t="str">
        <f>HYPERLINK("http://www.rosaceae.org/gb/gbrowse/malus_x_domestica/?name=MDP0000267580","MDP0000267580")</f>
        <v>MDP0000267580</v>
      </c>
      <c r="D8388">
        <v>81.03</v>
      </c>
      <c r="E8388">
        <v>1102</v>
      </c>
      <c r="F8388">
        <v>209</v>
      </c>
      <c r="G8388">
        <v>5</v>
      </c>
      <c r="H8388">
        <v>1</v>
      </c>
      <c r="I8388">
        <v>1098</v>
      </c>
      <c r="J8388">
        <v>1</v>
      </c>
      <c r="K8388">
        <v>1</v>
      </c>
      <c r="L8388">
        <v>1101</v>
      </c>
      <c r="M8388">
        <v>1</v>
      </c>
      <c r="N8388">
        <v>0</v>
      </c>
      <c r="O8388">
        <v>4666</v>
      </c>
    </row>
    <row r="8389" spans="1:15" x14ac:dyDescent="0.25">
      <c r="A8389" t="s">
        <v>8402</v>
      </c>
      <c r="B8389">
        <v>131</v>
      </c>
      <c r="C8389" s="1" t="str">
        <f>HYPERLINK("http://www.rosaceae.org/gb/gbrowse/malus_x_domestica/?name=MDP0000134080","MDP0000134080")</f>
        <v>MDP0000134080</v>
      </c>
      <c r="D8389">
        <v>67.34</v>
      </c>
      <c r="E8389">
        <v>98</v>
      </c>
      <c r="F8389">
        <v>32</v>
      </c>
      <c r="G8389">
        <v>0</v>
      </c>
      <c r="H8389">
        <v>18</v>
      </c>
      <c r="I8389">
        <v>115</v>
      </c>
      <c r="J8389">
        <v>1</v>
      </c>
      <c r="K8389">
        <v>1</v>
      </c>
      <c r="L8389">
        <v>98</v>
      </c>
      <c r="M8389">
        <v>1</v>
      </c>
      <c r="N8389">
        <v>1.2219900000000001E-35</v>
      </c>
      <c r="O8389">
        <v>365</v>
      </c>
    </row>
    <row r="8390" spans="1:15" x14ac:dyDescent="0.25">
      <c r="A8390" t="s">
        <v>8403</v>
      </c>
      <c r="B8390">
        <v>60</v>
      </c>
      <c r="C8390" s="1" t="str">
        <f>HYPERLINK("http://www.rosaceae.org/gb/gbrowse/malus_x_domestica/?name=MDP0000206285","MDP0000206285")</f>
        <v>MDP0000206285</v>
      </c>
      <c r="D8390">
        <v>67.27</v>
      </c>
      <c r="E8390">
        <v>55</v>
      </c>
      <c r="F8390">
        <v>18</v>
      </c>
      <c r="G8390">
        <v>2</v>
      </c>
      <c r="H8390">
        <v>7</v>
      </c>
      <c r="I8390">
        <v>59</v>
      </c>
      <c r="J8390">
        <v>1</v>
      </c>
      <c r="K8390">
        <v>128</v>
      </c>
      <c r="L8390">
        <v>182</v>
      </c>
      <c r="M8390">
        <v>1</v>
      </c>
      <c r="N8390">
        <v>2.1114E-14</v>
      </c>
      <c r="O8390">
        <v>182</v>
      </c>
    </row>
    <row r="8391" spans="1:15" x14ac:dyDescent="0.25">
      <c r="A8391" t="s">
        <v>8404</v>
      </c>
      <c r="B8391">
        <v>1096</v>
      </c>
      <c r="C8391" s="1" t="str">
        <f>HYPERLINK("http://www.rosaceae.org/gb/gbrowse/malus_x_domestica/?name=MDP0000165669","MDP0000165669")</f>
        <v>MDP0000165669</v>
      </c>
      <c r="D8391">
        <v>54.77</v>
      </c>
      <c r="E8391">
        <v>1110</v>
      </c>
      <c r="F8391">
        <v>502</v>
      </c>
      <c r="G8391">
        <v>24</v>
      </c>
      <c r="H8391">
        <v>3</v>
      </c>
      <c r="I8391">
        <v>1092</v>
      </c>
      <c r="J8391">
        <v>1</v>
      </c>
      <c r="K8391">
        <v>5</v>
      </c>
      <c r="L8391">
        <v>1110</v>
      </c>
      <c r="M8391">
        <v>1</v>
      </c>
      <c r="N8391">
        <v>0</v>
      </c>
      <c r="O8391">
        <v>2925</v>
      </c>
    </row>
    <row r="8392" spans="1:15" x14ac:dyDescent="0.25">
      <c r="A8392" t="s">
        <v>8405</v>
      </c>
      <c r="B8392">
        <v>610</v>
      </c>
      <c r="C8392" s="1" t="str">
        <f>HYPERLINK("http://www.rosaceae.org/gb/gbrowse/malus_x_domestica/?name=MDP0000180612","MDP0000180612")</f>
        <v>MDP0000180612</v>
      </c>
      <c r="D8392">
        <v>44.03</v>
      </c>
      <c r="E8392">
        <v>109</v>
      </c>
      <c r="F8392">
        <v>61</v>
      </c>
      <c r="G8392">
        <v>3</v>
      </c>
      <c r="H8392">
        <v>188</v>
      </c>
      <c r="I8392">
        <v>293</v>
      </c>
      <c r="J8392">
        <v>1</v>
      </c>
      <c r="K8392">
        <v>89</v>
      </c>
      <c r="L8392">
        <v>197</v>
      </c>
      <c r="M8392">
        <v>1</v>
      </c>
      <c r="N8392">
        <v>1.25269E-21</v>
      </c>
      <c r="O8392">
        <v>254</v>
      </c>
    </row>
    <row r="8393" spans="1:15" x14ac:dyDescent="0.25">
      <c r="A8393" t="s">
        <v>8406</v>
      </c>
      <c r="B8393">
        <v>420</v>
      </c>
      <c r="C8393" s="1" t="str">
        <f>HYPERLINK("http://www.rosaceae.org/gb/gbrowse/malus_x_domestica/?name=MDP0000196404","MDP0000196404")</f>
        <v>MDP0000196404</v>
      </c>
      <c r="D8393">
        <v>65.510000000000005</v>
      </c>
      <c r="E8393">
        <v>435</v>
      </c>
      <c r="F8393">
        <v>150</v>
      </c>
      <c r="G8393">
        <v>18</v>
      </c>
      <c r="H8393">
        <v>1</v>
      </c>
      <c r="I8393">
        <v>420</v>
      </c>
      <c r="J8393">
        <v>1</v>
      </c>
      <c r="K8393">
        <v>1</v>
      </c>
      <c r="L8393">
        <v>432</v>
      </c>
      <c r="M8393">
        <v>1</v>
      </c>
      <c r="N8393">
        <v>1.7118600000000001E-163</v>
      </c>
      <c r="O8393">
        <v>1476</v>
      </c>
    </row>
    <row r="8394" spans="1:15" x14ac:dyDescent="0.25">
      <c r="A8394" t="s">
        <v>8407</v>
      </c>
      <c r="B8394">
        <v>343</v>
      </c>
      <c r="C8394" s="1" t="str">
        <f>HYPERLINK("http://www.rosaceae.org/gb/gbrowse/malus_x_domestica/?name=MDP0000223153","MDP0000223153")</f>
        <v>MDP0000223153</v>
      </c>
      <c r="D8394">
        <v>44.63</v>
      </c>
      <c r="E8394">
        <v>354</v>
      </c>
      <c r="F8394">
        <v>196</v>
      </c>
      <c r="G8394">
        <v>35</v>
      </c>
      <c r="H8394">
        <v>6</v>
      </c>
      <c r="I8394">
        <v>343</v>
      </c>
      <c r="J8394">
        <v>1</v>
      </c>
      <c r="K8394">
        <v>22</v>
      </c>
      <c r="L8394">
        <v>356</v>
      </c>
      <c r="M8394">
        <v>1</v>
      </c>
      <c r="N8394">
        <v>1.00913E-63</v>
      </c>
      <c r="O8394">
        <v>614</v>
      </c>
    </row>
    <row r="8395" spans="1:15" x14ac:dyDescent="0.25">
      <c r="A8395" t="s">
        <v>8408</v>
      </c>
      <c r="B8395">
        <v>454</v>
      </c>
      <c r="C8395" s="1" t="str">
        <f>HYPERLINK("http://www.rosaceae.org/gb/gbrowse/malus_x_domestica/?name=MDP0000732061","MDP0000732061")</f>
        <v>MDP0000732061</v>
      </c>
      <c r="D8395">
        <v>78.53</v>
      </c>
      <c r="E8395">
        <v>438</v>
      </c>
      <c r="F8395">
        <v>94</v>
      </c>
      <c r="G8395">
        <v>7</v>
      </c>
      <c r="H8395">
        <v>18</v>
      </c>
      <c r="I8395">
        <v>449</v>
      </c>
      <c r="J8395">
        <v>1</v>
      </c>
      <c r="K8395">
        <v>19</v>
      </c>
      <c r="L8395">
        <v>455</v>
      </c>
      <c r="M8395">
        <v>1</v>
      </c>
      <c r="N8395">
        <v>0</v>
      </c>
      <c r="O8395">
        <v>1728</v>
      </c>
    </row>
    <row r="8396" spans="1:15" x14ac:dyDescent="0.25">
      <c r="A8396" t="s">
        <v>8409</v>
      </c>
      <c r="B8396">
        <v>383</v>
      </c>
      <c r="C8396" s="1" t="str">
        <f>HYPERLINK("http://www.rosaceae.org/gb/gbrowse/malus_x_domestica/?name=MDP0000802237","MDP0000802237")</f>
        <v>MDP0000802237</v>
      </c>
      <c r="D8396">
        <v>47.12</v>
      </c>
      <c r="E8396">
        <v>191</v>
      </c>
      <c r="F8396">
        <v>101</v>
      </c>
      <c r="G8396">
        <v>16</v>
      </c>
      <c r="H8396">
        <v>171</v>
      </c>
      <c r="I8396">
        <v>353</v>
      </c>
      <c r="J8396">
        <v>1</v>
      </c>
      <c r="K8396">
        <v>63</v>
      </c>
      <c r="L8396">
        <v>245</v>
      </c>
      <c r="M8396">
        <v>1</v>
      </c>
      <c r="N8396">
        <v>1.01514E-33</v>
      </c>
      <c r="O8396">
        <v>356</v>
      </c>
    </row>
    <row r="8397" spans="1:15" x14ac:dyDescent="0.25">
      <c r="A8397" t="s">
        <v>8410</v>
      </c>
      <c r="B8397">
        <v>442</v>
      </c>
      <c r="C8397" s="1" t="str">
        <f>HYPERLINK("http://www.rosaceae.org/gb/gbrowse/malus_x_domestica/?name=MDP0000725483","MDP0000725483")</f>
        <v>MDP0000725483</v>
      </c>
      <c r="D8397">
        <v>40.869999999999997</v>
      </c>
      <c r="E8397">
        <v>455</v>
      </c>
      <c r="F8397">
        <v>269</v>
      </c>
      <c r="G8397">
        <v>39</v>
      </c>
      <c r="H8397">
        <v>2</v>
      </c>
      <c r="I8397">
        <v>424</v>
      </c>
      <c r="J8397">
        <v>1</v>
      </c>
      <c r="K8397">
        <v>110</v>
      </c>
      <c r="L8397">
        <v>557</v>
      </c>
      <c r="M8397">
        <v>1</v>
      </c>
      <c r="N8397">
        <v>9.7836100000000002E-88</v>
      </c>
      <c r="O8397">
        <v>823</v>
      </c>
    </row>
    <row r="8398" spans="1:15" x14ac:dyDescent="0.25">
      <c r="A8398" t="s">
        <v>8411</v>
      </c>
      <c r="B8398">
        <v>207</v>
      </c>
      <c r="C8398" s="1" t="str">
        <f>HYPERLINK("http://www.rosaceae.org/gb/gbrowse/malus_x_domestica/?name=MDP0000242235","MDP0000242235")</f>
        <v>MDP0000242235</v>
      </c>
      <c r="D8398">
        <v>42.01</v>
      </c>
      <c r="E8398">
        <v>238</v>
      </c>
      <c r="F8398">
        <v>138</v>
      </c>
      <c r="G8398">
        <v>36</v>
      </c>
      <c r="H8398">
        <v>1</v>
      </c>
      <c r="I8398">
        <v>207</v>
      </c>
      <c r="J8398">
        <v>1</v>
      </c>
      <c r="K8398">
        <v>1</v>
      </c>
      <c r="L8398">
        <v>233</v>
      </c>
      <c r="M8398">
        <v>1</v>
      </c>
      <c r="N8398">
        <v>7.2852100000000004E-37</v>
      </c>
      <c r="O8398">
        <v>380</v>
      </c>
    </row>
    <row r="8399" spans="1:15" x14ac:dyDescent="0.25">
      <c r="A8399" t="s">
        <v>8412</v>
      </c>
      <c r="B8399">
        <v>472</v>
      </c>
      <c r="C8399" s="1" t="str">
        <f>HYPERLINK("http://www.rosaceae.org/gb/gbrowse/malus_x_domestica/?name=MDP0000200847","MDP0000200847")</f>
        <v>MDP0000200847</v>
      </c>
      <c r="D8399">
        <v>80.59</v>
      </c>
      <c r="E8399">
        <v>469</v>
      </c>
      <c r="F8399">
        <v>91</v>
      </c>
      <c r="G8399">
        <v>5</v>
      </c>
      <c r="H8399">
        <v>1</v>
      </c>
      <c r="I8399">
        <v>467</v>
      </c>
      <c r="J8399">
        <v>1</v>
      </c>
      <c r="K8399">
        <v>61</v>
      </c>
      <c r="L8399">
        <v>526</v>
      </c>
      <c r="M8399">
        <v>1</v>
      </c>
      <c r="N8399">
        <v>0</v>
      </c>
      <c r="O8399">
        <v>1987</v>
      </c>
    </row>
    <row r="8400" spans="1:15" x14ac:dyDescent="0.25">
      <c r="A8400" t="s">
        <v>8413</v>
      </c>
      <c r="B8400">
        <v>281</v>
      </c>
      <c r="C8400" s="1" t="str">
        <f>HYPERLINK("http://www.rosaceae.org/gb/gbrowse/malus_x_domestica/?name=MDP0000296432","MDP0000296432")</f>
        <v>MDP0000296432</v>
      </c>
      <c r="D8400">
        <v>76.349999999999994</v>
      </c>
      <c r="E8400">
        <v>258</v>
      </c>
      <c r="F8400">
        <v>61</v>
      </c>
      <c r="G8400">
        <v>3</v>
      </c>
      <c r="H8400">
        <v>27</v>
      </c>
      <c r="I8400">
        <v>281</v>
      </c>
      <c r="J8400">
        <v>1</v>
      </c>
      <c r="K8400">
        <v>78</v>
      </c>
      <c r="L8400">
        <v>335</v>
      </c>
      <c r="M8400">
        <v>1</v>
      </c>
      <c r="N8400">
        <v>4.9462499999999998E-113</v>
      </c>
      <c r="O8400">
        <v>1038</v>
      </c>
    </row>
    <row r="8401" spans="1:15" x14ac:dyDescent="0.25">
      <c r="A8401" t="s">
        <v>8414</v>
      </c>
      <c r="B8401">
        <v>994</v>
      </c>
      <c r="C8401" s="1" t="str">
        <f>HYPERLINK("http://www.rosaceae.org/gb/gbrowse/malus_x_domestica/?name=MDP0000207142","MDP0000207142")</f>
        <v>MDP0000207142</v>
      </c>
      <c r="D8401">
        <v>45.45</v>
      </c>
      <c r="E8401">
        <v>902</v>
      </c>
      <c r="F8401">
        <v>492</v>
      </c>
      <c r="G8401">
        <v>98</v>
      </c>
      <c r="H8401">
        <v>63</v>
      </c>
      <c r="I8401">
        <v>956</v>
      </c>
      <c r="J8401">
        <v>1</v>
      </c>
      <c r="K8401">
        <v>18</v>
      </c>
      <c r="L8401">
        <v>829</v>
      </c>
      <c r="M8401">
        <v>1</v>
      </c>
      <c r="N8401">
        <v>0</v>
      </c>
      <c r="O8401">
        <v>1809</v>
      </c>
    </row>
    <row r="8402" spans="1:15" x14ac:dyDescent="0.25">
      <c r="A8402" t="s">
        <v>8415</v>
      </c>
      <c r="B8402">
        <v>113</v>
      </c>
      <c r="C8402" s="1" t="str">
        <f>HYPERLINK("http://www.rosaceae.org/gb/gbrowse/malus_x_domestica/?name=MDP0000388226","MDP0000388226")</f>
        <v>MDP0000388226</v>
      </c>
      <c r="D8402">
        <v>76.66</v>
      </c>
      <c r="E8402">
        <v>120</v>
      </c>
      <c r="F8402">
        <v>28</v>
      </c>
      <c r="G8402">
        <v>7</v>
      </c>
      <c r="H8402">
        <v>1</v>
      </c>
      <c r="I8402">
        <v>113</v>
      </c>
      <c r="J8402">
        <v>1</v>
      </c>
      <c r="K8402">
        <v>1</v>
      </c>
      <c r="L8402">
        <v>120</v>
      </c>
      <c r="M8402">
        <v>1</v>
      </c>
      <c r="N8402">
        <v>9.3998200000000003E-46</v>
      </c>
      <c r="O8402">
        <v>452</v>
      </c>
    </row>
    <row r="8403" spans="1:15" x14ac:dyDescent="0.25">
      <c r="A8403" t="s">
        <v>8416</v>
      </c>
      <c r="B8403">
        <v>315</v>
      </c>
      <c r="C8403" s="1" t="str">
        <f>HYPERLINK("http://www.rosaceae.org/gb/gbrowse/malus_x_domestica/?name=MDP0000128541","MDP0000128541")</f>
        <v>MDP0000128541</v>
      </c>
      <c r="D8403">
        <v>78.239999999999995</v>
      </c>
      <c r="E8403">
        <v>262</v>
      </c>
      <c r="F8403">
        <v>57</v>
      </c>
      <c r="G8403">
        <v>9</v>
      </c>
      <c r="H8403">
        <v>63</v>
      </c>
      <c r="I8403">
        <v>315</v>
      </c>
      <c r="J8403">
        <v>1</v>
      </c>
      <c r="K8403">
        <v>25</v>
      </c>
      <c r="L8403">
        <v>286</v>
      </c>
      <c r="M8403">
        <v>1</v>
      </c>
      <c r="N8403">
        <v>1.1449400000000001E-119</v>
      </c>
      <c r="O8403">
        <v>1096</v>
      </c>
    </row>
    <row r="8404" spans="1:15" x14ac:dyDescent="0.25">
      <c r="A8404" t="s">
        <v>8417</v>
      </c>
      <c r="B8404">
        <v>471</v>
      </c>
      <c r="C8404" s="1" t="str">
        <f>HYPERLINK("http://www.rosaceae.org/gb/gbrowse/malus_x_domestica/?name=MDP0000147846","MDP0000147846")</f>
        <v>MDP0000147846</v>
      </c>
      <c r="D8404">
        <v>39.340000000000003</v>
      </c>
      <c r="E8404">
        <v>460</v>
      </c>
      <c r="F8404">
        <v>279</v>
      </c>
      <c r="G8404">
        <v>78</v>
      </c>
      <c r="H8404">
        <v>27</v>
      </c>
      <c r="I8404">
        <v>471</v>
      </c>
      <c r="J8404">
        <v>1</v>
      </c>
      <c r="K8404">
        <v>168</v>
      </c>
      <c r="L8404">
        <v>564</v>
      </c>
      <c r="M8404">
        <v>1</v>
      </c>
      <c r="N8404">
        <v>1.3429099999999999E-58</v>
      </c>
      <c r="O8404">
        <v>572</v>
      </c>
    </row>
    <row r="8405" spans="1:15" x14ac:dyDescent="0.25">
      <c r="A8405" t="s">
        <v>8418</v>
      </c>
      <c r="B8405">
        <v>406</v>
      </c>
      <c r="C8405" s="1" t="str">
        <f>HYPERLINK("http://www.rosaceae.org/gb/gbrowse/malus_x_domestica/?name=MDP0000181178","MDP0000181178")</f>
        <v>MDP0000181178</v>
      </c>
      <c r="D8405">
        <v>45.47</v>
      </c>
      <c r="E8405">
        <v>475</v>
      </c>
      <c r="F8405">
        <v>259</v>
      </c>
      <c r="G8405">
        <v>102</v>
      </c>
      <c r="H8405">
        <v>5</v>
      </c>
      <c r="I8405">
        <v>405</v>
      </c>
      <c r="J8405">
        <v>1</v>
      </c>
      <c r="K8405">
        <v>4</v>
      </c>
      <c r="L8405">
        <v>450</v>
      </c>
      <c r="M8405">
        <v>1</v>
      </c>
      <c r="N8405">
        <v>1.3693500000000001E-85</v>
      </c>
      <c r="O8405">
        <v>804</v>
      </c>
    </row>
    <row r="8406" spans="1:15" x14ac:dyDescent="0.25">
      <c r="A8406" t="s">
        <v>8419</v>
      </c>
      <c r="B8406">
        <v>405</v>
      </c>
      <c r="C8406" s="1" t="str">
        <f>HYPERLINK("http://www.rosaceae.org/gb/gbrowse/malus_x_domestica/?name=MDP0000204554","MDP0000204554")</f>
        <v>MDP0000204554</v>
      </c>
      <c r="D8406">
        <v>52.34</v>
      </c>
      <c r="E8406">
        <v>426</v>
      </c>
      <c r="F8406">
        <v>203</v>
      </c>
      <c r="G8406">
        <v>46</v>
      </c>
      <c r="H8406">
        <v>5</v>
      </c>
      <c r="I8406">
        <v>402</v>
      </c>
      <c r="J8406">
        <v>1</v>
      </c>
      <c r="K8406">
        <v>1</v>
      </c>
      <c r="L8406">
        <v>408</v>
      </c>
      <c r="M8406">
        <v>1</v>
      </c>
      <c r="N8406">
        <v>2.16004E-113</v>
      </c>
      <c r="O8406">
        <v>1043</v>
      </c>
    </row>
    <row r="8407" spans="1:15" x14ac:dyDescent="0.25">
      <c r="A8407" t="s">
        <v>8420</v>
      </c>
      <c r="B8407">
        <v>759</v>
      </c>
      <c r="C8407" s="1" t="str">
        <f>HYPERLINK("http://www.rosaceae.org/gb/gbrowse/malus_x_domestica/?name=MDP0000306705","MDP0000306705")</f>
        <v>MDP0000306705</v>
      </c>
      <c r="D8407">
        <v>43.39</v>
      </c>
      <c r="E8407">
        <v>802</v>
      </c>
      <c r="F8407">
        <v>454</v>
      </c>
      <c r="G8407">
        <v>77</v>
      </c>
      <c r="H8407">
        <v>7</v>
      </c>
      <c r="I8407">
        <v>737</v>
      </c>
      <c r="J8407">
        <v>1</v>
      </c>
      <c r="K8407">
        <v>11</v>
      </c>
      <c r="L8407">
        <v>806</v>
      </c>
      <c r="M8407">
        <v>1</v>
      </c>
      <c r="N8407">
        <v>4.87616E-166</v>
      </c>
      <c r="O8407">
        <v>1500</v>
      </c>
    </row>
    <row r="8408" spans="1:15" x14ac:dyDescent="0.25">
      <c r="A8408" t="s">
        <v>8421</v>
      </c>
      <c r="B8408">
        <v>696</v>
      </c>
      <c r="C8408" s="1" t="str">
        <f>HYPERLINK("http://www.rosaceae.org/gb/gbrowse/malus_x_domestica/?name=MDP0000169686","MDP0000169686")</f>
        <v>MDP0000169686</v>
      </c>
      <c r="D8408">
        <v>72.040000000000006</v>
      </c>
      <c r="E8408">
        <v>279</v>
      </c>
      <c r="F8408">
        <v>78</v>
      </c>
      <c r="G8408">
        <v>2</v>
      </c>
      <c r="H8408">
        <v>415</v>
      </c>
      <c r="I8408">
        <v>691</v>
      </c>
      <c r="J8408">
        <v>1</v>
      </c>
      <c r="K8408">
        <v>24</v>
      </c>
      <c r="L8408">
        <v>302</v>
      </c>
      <c r="M8408">
        <v>1</v>
      </c>
      <c r="N8408">
        <v>4.6865200000000001E-113</v>
      </c>
      <c r="O8408">
        <v>1043</v>
      </c>
    </row>
    <row r="8409" spans="1:15" x14ac:dyDescent="0.25">
      <c r="A8409" t="s">
        <v>8422</v>
      </c>
      <c r="B8409">
        <v>583</v>
      </c>
      <c r="C8409" s="1" t="str">
        <f>HYPERLINK("http://www.rosaceae.org/gb/gbrowse/malus_x_domestica/?name=MDP0000207727","MDP0000207727")</f>
        <v>MDP0000207727</v>
      </c>
      <c r="D8409">
        <v>70.63</v>
      </c>
      <c r="E8409">
        <v>596</v>
      </c>
      <c r="F8409">
        <v>175</v>
      </c>
      <c r="G8409">
        <v>19</v>
      </c>
      <c r="H8409">
        <v>5</v>
      </c>
      <c r="I8409">
        <v>583</v>
      </c>
      <c r="J8409">
        <v>1</v>
      </c>
      <c r="K8409">
        <v>2</v>
      </c>
      <c r="L8409">
        <v>595</v>
      </c>
      <c r="M8409">
        <v>1</v>
      </c>
      <c r="N8409">
        <v>0</v>
      </c>
      <c r="O8409">
        <v>2232</v>
      </c>
    </row>
    <row r="8410" spans="1:15" x14ac:dyDescent="0.25">
      <c r="A8410" t="s">
        <v>8423</v>
      </c>
      <c r="B8410">
        <v>221</v>
      </c>
      <c r="C8410" s="1" t="str">
        <f>HYPERLINK("http://www.rosaceae.org/gb/gbrowse/malus_x_domestica/?name=MDP0000263283","MDP0000263283")</f>
        <v>MDP0000263283</v>
      </c>
      <c r="D8410">
        <v>61.53</v>
      </c>
      <c r="E8410">
        <v>208</v>
      </c>
      <c r="F8410">
        <v>80</v>
      </c>
      <c r="G8410">
        <v>9</v>
      </c>
      <c r="H8410">
        <v>1</v>
      </c>
      <c r="I8410">
        <v>199</v>
      </c>
      <c r="J8410">
        <v>1</v>
      </c>
      <c r="K8410">
        <v>708</v>
      </c>
      <c r="L8410">
        <v>915</v>
      </c>
      <c r="M8410">
        <v>1</v>
      </c>
      <c r="N8410">
        <v>4.9909599999999999E-64</v>
      </c>
      <c r="O8410">
        <v>614</v>
      </c>
    </row>
    <row r="8411" spans="1:15" x14ac:dyDescent="0.25">
      <c r="A8411" t="s">
        <v>8424</v>
      </c>
      <c r="B8411">
        <v>164</v>
      </c>
      <c r="C8411" s="1" t="str">
        <f>HYPERLINK("http://www.rosaceae.org/gb/gbrowse/malus_x_domestica/?name=MDP0000230652","MDP0000230652")</f>
        <v>MDP0000230652</v>
      </c>
      <c r="D8411">
        <v>53.4</v>
      </c>
      <c r="E8411">
        <v>88</v>
      </c>
      <c r="F8411">
        <v>41</v>
      </c>
      <c r="G8411">
        <v>3</v>
      </c>
      <c r="H8411">
        <v>42</v>
      </c>
      <c r="I8411">
        <v>129</v>
      </c>
      <c r="J8411">
        <v>1</v>
      </c>
      <c r="K8411">
        <v>39</v>
      </c>
      <c r="L8411">
        <v>123</v>
      </c>
      <c r="M8411">
        <v>1</v>
      </c>
      <c r="N8411">
        <v>9.6364200000000001E-18</v>
      </c>
      <c r="O8411">
        <v>213</v>
      </c>
    </row>
    <row r="8412" spans="1:15" x14ac:dyDescent="0.25">
      <c r="A8412" t="s">
        <v>8425</v>
      </c>
      <c r="B8412">
        <v>544</v>
      </c>
      <c r="C8412" s="1" t="str">
        <f>HYPERLINK("http://www.rosaceae.org/gb/gbrowse/malus_x_domestica/?name=MDP0000129547","MDP0000129547")</f>
        <v>MDP0000129547</v>
      </c>
      <c r="D8412">
        <v>65.510000000000005</v>
      </c>
      <c r="E8412">
        <v>551</v>
      </c>
      <c r="F8412">
        <v>190</v>
      </c>
      <c r="G8412">
        <v>10</v>
      </c>
      <c r="H8412">
        <v>1</v>
      </c>
      <c r="I8412">
        <v>544</v>
      </c>
      <c r="J8412">
        <v>1</v>
      </c>
      <c r="K8412">
        <v>1</v>
      </c>
      <c r="L8412">
        <v>548</v>
      </c>
      <c r="M8412">
        <v>1</v>
      </c>
      <c r="N8412">
        <v>0</v>
      </c>
      <c r="O8412">
        <v>1828</v>
      </c>
    </row>
    <row r="8413" spans="1:15" x14ac:dyDescent="0.25">
      <c r="A8413" t="s">
        <v>8426</v>
      </c>
      <c r="B8413">
        <v>366</v>
      </c>
      <c r="C8413" s="1" t="str">
        <f>HYPERLINK("http://www.rosaceae.org/gb/gbrowse/malus_x_domestica/?name=MDP0000243533","MDP0000243533")</f>
        <v>MDP0000243533</v>
      </c>
      <c r="D8413">
        <v>58.03</v>
      </c>
      <c r="E8413">
        <v>336</v>
      </c>
      <c r="F8413">
        <v>141</v>
      </c>
      <c r="G8413">
        <v>32</v>
      </c>
      <c r="H8413">
        <v>2</v>
      </c>
      <c r="I8413">
        <v>322</v>
      </c>
      <c r="J8413">
        <v>1</v>
      </c>
      <c r="K8413">
        <v>1</v>
      </c>
      <c r="L8413">
        <v>319</v>
      </c>
      <c r="M8413">
        <v>1</v>
      </c>
      <c r="N8413">
        <v>4.0313800000000003E-95</v>
      </c>
      <c r="O8413">
        <v>885</v>
      </c>
    </row>
    <row r="8414" spans="1:15" x14ac:dyDescent="0.25">
      <c r="A8414" t="s">
        <v>8427</v>
      </c>
      <c r="B8414">
        <v>406</v>
      </c>
      <c r="C8414" s="1" t="str">
        <f>HYPERLINK("http://www.rosaceae.org/gb/gbrowse/malus_x_domestica/?name=MDP0000238908","MDP0000238908")</f>
        <v>MDP0000238908</v>
      </c>
      <c r="D8414">
        <v>51.38</v>
      </c>
      <c r="E8414">
        <v>72</v>
      </c>
      <c r="F8414">
        <v>35</v>
      </c>
      <c r="G8414">
        <v>2</v>
      </c>
      <c r="H8414">
        <v>335</v>
      </c>
      <c r="I8414">
        <v>404</v>
      </c>
      <c r="J8414">
        <v>1</v>
      </c>
      <c r="K8414">
        <v>349</v>
      </c>
      <c r="L8414">
        <v>420</v>
      </c>
      <c r="M8414">
        <v>1</v>
      </c>
      <c r="N8414">
        <v>9.6137499999999995E-11</v>
      </c>
      <c r="O8414">
        <v>158</v>
      </c>
    </row>
    <row r="8415" spans="1:15" x14ac:dyDescent="0.25">
      <c r="A8415" t="s">
        <v>8428</v>
      </c>
      <c r="B8415">
        <v>97</v>
      </c>
      <c r="C8415" s="1" t="str">
        <f>HYPERLINK("http://www.rosaceae.org/gb/gbrowse/malus_x_domestica/?name=MDP0000251811","MDP0000251811")</f>
        <v>MDP0000251811</v>
      </c>
      <c r="D8415">
        <v>96.9</v>
      </c>
      <c r="E8415">
        <v>97</v>
      </c>
      <c r="F8415">
        <v>3</v>
      </c>
      <c r="G8415">
        <v>0</v>
      </c>
      <c r="H8415">
        <v>1</v>
      </c>
      <c r="I8415">
        <v>97</v>
      </c>
      <c r="J8415">
        <v>1</v>
      </c>
      <c r="K8415">
        <v>297</v>
      </c>
      <c r="L8415">
        <v>393</v>
      </c>
      <c r="M8415">
        <v>1</v>
      </c>
      <c r="N8415">
        <v>4.0061399999999999E-49</v>
      </c>
      <c r="O8415">
        <v>481</v>
      </c>
    </row>
    <row r="8416" spans="1:15" x14ac:dyDescent="0.25">
      <c r="A8416" t="s">
        <v>8429</v>
      </c>
      <c r="B8416">
        <v>377</v>
      </c>
      <c r="C8416" s="1" t="str">
        <f>HYPERLINK("http://www.rosaceae.org/gb/gbrowse/malus_x_domestica/?name=MDP0000121104","MDP0000121104")</f>
        <v>MDP0000121104</v>
      </c>
      <c r="D8416">
        <v>74.3</v>
      </c>
      <c r="E8416">
        <v>397</v>
      </c>
      <c r="F8416">
        <v>102</v>
      </c>
      <c r="G8416">
        <v>61</v>
      </c>
      <c r="H8416">
        <v>1</v>
      </c>
      <c r="I8416">
        <v>365</v>
      </c>
      <c r="J8416">
        <v>1</v>
      </c>
      <c r="K8416">
        <v>1</v>
      </c>
      <c r="L8416">
        <v>368</v>
      </c>
      <c r="M8416">
        <v>1</v>
      </c>
      <c r="N8416">
        <v>7.69736E-165</v>
      </c>
      <c r="O8416">
        <v>1487</v>
      </c>
    </row>
    <row r="8417" spans="1:15" x14ac:dyDescent="0.25">
      <c r="A8417" t="s">
        <v>8430</v>
      </c>
      <c r="B8417">
        <v>1156</v>
      </c>
      <c r="C8417" s="1" t="str">
        <f>HYPERLINK("http://www.rosaceae.org/gb/gbrowse/malus_x_domestica/?name=MDP0000207919","MDP0000207919")</f>
        <v>MDP0000207919</v>
      </c>
      <c r="D8417">
        <v>40.06</v>
      </c>
      <c r="E8417">
        <v>926</v>
      </c>
      <c r="F8417">
        <v>555</v>
      </c>
      <c r="G8417">
        <v>93</v>
      </c>
      <c r="H8417">
        <v>220</v>
      </c>
      <c r="I8417">
        <v>1128</v>
      </c>
      <c r="J8417">
        <v>1</v>
      </c>
      <c r="K8417">
        <v>329</v>
      </c>
      <c r="L8417">
        <v>1178</v>
      </c>
      <c r="M8417">
        <v>1</v>
      </c>
      <c r="N8417">
        <v>2.9984200000000001E-161</v>
      </c>
      <c r="O8417">
        <v>1461</v>
      </c>
    </row>
    <row r="8418" spans="1:15" x14ac:dyDescent="0.25">
      <c r="A8418" t="s">
        <v>8431</v>
      </c>
      <c r="B8418">
        <v>1074</v>
      </c>
      <c r="C8418" s="1" t="str">
        <f>HYPERLINK("http://www.rosaceae.org/gb/gbrowse/malus_x_domestica/?name=MDP0000213697","MDP0000213697")</f>
        <v>MDP0000213697</v>
      </c>
      <c r="D8418">
        <v>58.27</v>
      </c>
      <c r="E8418">
        <v>1124</v>
      </c>
      <c r="F8418">
        <v>469</v>
      </c>
      <c r="G8418">
        <v>125</v>
      </c>
      <c r="H8418">
        <v>20</v>
      </c>
      <c r="I8418">
        <v>1074</v>
      </c>
      <c r="J8418">
        <v>1</v>
      </c>
      <c r="K8418">
        <v>17</v>
      </c>
      <c r="L8418">
        <v>1084</v>
      </c>
      <c r="M8418">
        <v>1</v>
      </c>
      <c r="N8418">
        <v>0</v>
      </c>
      <c r="O8418">
        <v>3073</v>
      </c>
    </row>
    <row r="8419" spans="1:15" x14ac:dyDescent="0.25">
      <c r="A8419" t="s">
        <v>8432</v>
      </c>
      <c r="B8419">
        <v>223</v>
      </c>
      <c r="C8419" s="1" t="str">
        <f>HYPERLINK("http://www.rosaceae.org/gb/gbrowse/malus_x_domestica/?name=MDP0000530457","MDP0000530457")</f>
        <v>MDP0000530457</v>
      </c>
      <c r="D8419">
        <v>51.77</v>
      </c>
      <c r="E8419">
        <v>197</v>
      </c>
      <c r="F8419">
        <v>95</v>
      </c>
      <c r="G8419">
        <v>0</v>
      </c>
      <c r="H8419">
        <v>26</v>
      </c>
      <c r="I8419">
        <v>222</v>
      </c>
      <c r="J8419">
        <v>1</v>
      </c>
      <c r="K8419">
        <v>18</v>
      </c>
      <c r="L8419">
        <v>214</v>
      </c>
      <c r="M8419">
        <v>1</v>
      </c>
      <c r="N8419">
        <v>2.6001799999999999E-55</v>
      </c>
      <c r="O8419">
        <v>539</v>
      </c>
    </row>
    <row r="8420" spans="1:15" x14ac:dyDescent="0.25">
      <c r="A8420" t="s">
        <v>8433</v>
      </c>
      <c r="B8420">
        <v>445</v>
      </c>
      <c r="C8420" s="1" t="str">
        <f>HYPERLINK("http://www.rosaceae.org/gb/gbrowse/malus_x_domestica/?name=MDP0000771151","MDP0000771151")</f>
        <v>MDP0000771151</v>
      </c>
      <c r="D8420">
        <v>90.26</v>
      </c>
      <c r="E8420">
        <v>226</v>
      </c>
      <c r="F8420">
        <v>22</v>
      </c>
      <c r="G8420">
        <v>0</v>
      </c>
      <c r="H8420">
        <v>1</v>
      </c>
      <c r="I8420">
        <v>226</v>
      </c>
      <c r="J8420">
        <v>1</v>
      </c>
      <c r="K8420">
        <v>1</v>
      </c>
      <c r="L8420">
        <v>226</v>
      </c>
      <c r="M8420">
        <v>1</v>
      </c>
      <c r="N8420">
        <v>9.3831800000000002E-119</v>
      </c>
      <c r="O8420">
        <v>1090</v>
      </c>
    </row>
    <row r="8421" spans="1:15" x14ac:dyDescent="0.25">
      <c r="A8421" t="s">
        <v>8434</v>
      </c>
      <c r="B8421">
        <v>470</v>
      </c>
      <c r="C8421" s="1" t="str">
        <f>HYPERLINK("http://www.rosaceae.org/gb/gbrowse/malus_x_domestica/?name=MDP0000663954","MDP0000663954")</f>
        <v>MDP0000663954</v>
      </c>
      <c r="D8421">
        <v>83.41</v>
      </c>
      <c r="E8421">
        <v>410</v>
      </c>
      <c r="F8421">
        <v>68</v>
      </c>
      <c r="G8421">
        <v>4</v>
      </c>
      <c r="H8421">
        <v>61</v>
      </c>
      <c r="I8421">
        <v>469</v>
      </c>
      <c r="J8421">
        <v>1</v>
      </c>
      <c r="K8421">
        <v>107</v>
      </c>
      <c r="L8421">
        <v>513</v>
      </c>
      <c r="M8421">
        <v>1</v>
      </c>
      <c r="N8421">
        <v>0</v>
      </c>
      <c r="O8421">
        <v>1789</v>
      </c>
    </row>
    <row r="8422" spans="1:15" x14ac:dyDescent="0.25">
      <c r="A8422" t="s">
        <v>8435</v>
      </c>
      <c r="B8422">
        <v>493</v>
      </c>
      <c r="C8422" s="1" t="str">
        <f>HYPERLINK("http://www.rosaceae.org/gb/gbrowse/malus_x_domestica/?name=MDP0000286006","MDP0000286006")</f>
        <v>MDP0000286006</v>
      </c>
      <c r="D8422">
        <v>72.34</v>
      </c>
      <c r="E8422">
        <v>141</v>
      </c>
      <c r="F8422">
        <v>39</v>
      </c>
      <c r="G8422">
        <v>4</v>
      </c>
      <c r="H8422">
        <v>352</v>
      </c>
      <c r="I8422">
        <v>492</v>
      </c>
      <c r="J8422">
        <v>1</v>
      </c>
      <c r="K8422">
        <v>914</v>
      </c>
      <c r="L8422">
        <v>1050</v>
      </c>
      <c r="M8422">
        <v>1</v>
      </c>
      <c r="N8422">
        <v>4.9212299999999998E-47</v>
      </c>
      <c r="O8422">
        <v>472</v>
      </c>
    </row>
    <row r="8423" spans="1:15" x14ac:dyDescent="0.25">
      <c r="A8423" t="s">
        <v>8436</v>
      </c>
      <c r="B8423">
        <v>496</v>
      </c>
      <c r="C8423" s="1" t="str">
        <f>HYPERLINK("http://www.rosaceae.org/gb/gbrowse/malus_x_domestica/?name=MDP0000092692","MDP0000092692")</f>
        <v>MDP0000092692</v>
      </c>
      <c r="D8423">
        <v>87.72</v>
      </c>
      <c r="E8423">
        <v>497</v>
      </c>
      <c r="F8423">
        <v>61</v>
      </c>
      <c r="G8423">
        <v>4</v>
      </c>
      <c r="H8423">
        <v>1</v>
      </c>
      <c r="I8423">
        <v>495</v>
      </c>
      <c r="J8423">
        <v>1</v>
      </c>
      <c r="K8423">
        <v>1</v>
      </c>
      <c r="L8423">
        <v>495</v>
      </c>
      <c r="M8423">
        <v>1</v>
      </c>
      <c r="N8423">
        <v>0</v>
      </c>
      <c r="O8423">
        <v>2315</v>
      </c>
    </row>
    <row r="8424" spans="1:15" x14ac:dyDescent="0.25">
      <c r="A8424" t="s">
        <v>8437</v>
      </c>
      <c r="B8424">
        <v>382</v>
      </c>
      <c r="C8424" s="1" t="str">
        <f>HYPERLINK("http://www.rosaceae.org/gb/gbrowse/malus_x_domestica/?name=MDP0000301344","MDP0000301344")</f>
        <v>MDP0000301344</v>
      </c>
      <c r="D8424">
        <v>84.74</v>
      </c>
      <c r="E8424">
        <v>367</v>
      </c>
      <c r="F8424">
        <v>56</v>
      </c>
      <c r="G8424">
        <v>3</v>
      </c>
      <c r="H8424">
        <v>10</v>
      </c>
      <c r="I8424">
        <v>376</v>
      </c>
      <c r="J8424">
        <v>1</v>
      </c>
      <c r="K8424">
        <v>55</v>
      </c>
      <c r="L8424">
        <v>418</v>
      </c>
      <c r="M8424">
        <v>1</v>
      </c>
      <c r="N8424">
        <v>0</v>
      </c>
      <c r="O8424">
        <v>1643</v>
      </c>
    </row>
    <row r="8425" spans="1:15" x14ac:dyDescent="0.25">
      <c r="A8425" t="s">
        <v>8438</v>
      </c>
      <c r="B8425">
        <v>588</v>
      </c>
      <c r="C8425" s="1" t="str">
        <f>HYPERLINK("http://www.rosaceae.org/gb/gbrowse/malus_x_domestica/?name=MDP0000283465","MDP0000283465")</f>
        <v>MDP0000283465</v>
      </c>
      <c r="D8425">
        <v>50.83</v>
      </c>
      <c r="E8425">
        <v>541</v>
      </c>
      <c r="F8425">
        <v>266</v>
      </c>
      <c r="G8425">
        <v>58</v>
      </c>
      <c r="H8425">
        <v>67</v>
      </c>
      <c r="I8425">
        <v>576</v>
      </c>
      <c r="J8425">
        <v>1</v>
      </c>
      <c r="K8425">
        <v>147</v>
      </c>
      <c r="L8425">
        <v>660</v>
      </c>
      <c r="M8425">
        <v>1</v>
      </c>
      <c r="N8425">
        <v>4.5553099999999996E-133</v>
      </c>
      <c r="O8425">
        <v>1215</v>
      </c>
    </row>
    <row r="8426" spans="1:15" x14ac:dyDescent="0.25">
      <c r="A8426" t="s">
        <v>8439</v>
      </c>
      <c r="B8426">
        <v>670</v>
      </c>
      <c r="C8426" s="1" t="str">
        <f>HYPERLINK("http://www.rosaceae.org/gb/gbrowse/malus_x_domestica/?name=MDP0000429728","MDP0000429728")</f>
        <v>MDP0000429728</v>
      </c>
      <c r="D8426">
        <v>79.959999999999994</v>
      </c>
      <c r="E8426">
        <v>649</v>
      </c>
      <c r="F8426">
        <v>130</v>
      </c>
      <c r="G8426">
        <v>7</v>
      </c>
      <c r="H8426">
        <v>26</v>
      </c>
      <c r="I8426">
        <v>670</v>
      </c>
      <c r="J8426">
        <v>1</v>
      </c>
      <c r="K8426">
        <v>1</v>
      </c>
      <c r="L8426">
        <v>646</v>
      </c>
      <c r="M8426">
        <v>1</v>
      </c>
      <c r="N8426">
        <v>0</v>
      </c>
      <c r="O8426">
        <v>2678</v>
      </c>
    </row>
    <row r="8427" spans="1:15" x14ac:dyDescent="0.25">
      <c r="A8427" t="s">
        <v>8440</v>
      </c>
      <c r="B8427">
        <v>421</v>
      </c>
      <c r="C8427" s="1" t="str">
        <f>HYPERLINK("http://www.rosaceae.org/gb/gbrowse/malus_x_domestica/?name=MDP0000192928","MDP0000192928")</f>
        <v>MDP0000192928</v>
      </c>
      <c r="D8427">
        <v>48.01</v>
      </c>
      <c r="E8427">
        <v>404</v>
      </c>
      <c r="F8427">
        <v>210</v>
      </c>
      <c r="G8427">
        <v>48</v>
      </c>
      <c r="H8427">
        <v>1</v>
      </c>
      <c r="I8427">
        <v>384</v>
      </c>
      <c r="J8427">
        <v>1</v>
      </c>
      <c r="K8427">
        <v>1</v>
      </c>
      <c r="L8427">
        <v>376</v>
      </c>
      <c r="M8427">
        <v>1</v>
      </c>
      <c r="N8427">
        <v>1.61036E-97</v>
      </c>
      <c r="O8427">
        <v>907</v>
      </c>
    </row>
    <row r="8428" spans="1:15" x14ac:dyDescent="0.25">
      <c r="A8428" t="s">
        <v>8441</v>
      </c>
      <c r="B8428">
        <v>128</v>
      </c>
      <c r="C8428" s="1" t="str">
        <f>HYPERLINK("http://www.rosaceae.org/gb/gbrowse/malus_x_domestica/?name=MDP0000128138","MDP0000128138")</f>
        <v>MDP0000128138</v>
      </c>
      <c r="D8428">
        <v>97.77</v>
      </c>
      <c r="E8428">
        <v>90</v>
      </c>
      <c r="F8428">
        <v>2</v>
      </c>
      <c r="G8428">
        <v>0</v>
      </c>
      <c r="H8428">
        <v>39</v>
      </c>
      <c r="I8428">
        <v>128</v>
      </c>
      <c r="J8428">
        <v>1</v>
      </c>
      <c r="K8428">
        <v>112</v>
      </c>
      <c r="L8428">
        <v>201</v>
      </c>
      <c r="M8428">
        <v>1</v>
      </c>
      <c r="N8428">
        <v>2.18593E-47</v>
      </c>
      <c r="O8428">
        <v>467</v>
      </c>
    </row>
    <row r="8429" spans="1:15" x14ac:dyDescent="0.25">
      <c r="A8429" t="s">
        <v>8442</v>
      </c>
      <c r="B8429">
        <v>188</v>
      </c>
      <c r="C8429" s="1" t="str">
        <f>HYPERLINK("http://www.rosaceae.org/gb/gbrowse/malus_x_domestica/?name=MDP0000174607","MDP0000174607")</f>
        <v>MDP0000174607</v>
      </c>
      <c r="D8429">
        <v>68.349999999999994</v>
      </c>
      <c r="E8429">
        <v>158</v>
      </c>
      <c r="F8429">
        <v>50</v>
      </c>
      <c r="G8429">
        <v>11</v>
      </c>
      <c r="H8429">
        <v>31</v>
      </c>
      <c r="I8429">
        <v>188</v>
      </c>
      <c r="J8429">
        <v>1</v>
      </c>
      <c r="K8429">
        <v>1</v>
      </c>
      <c r="L8429">
        <v>147</v>
      </c>
      <c r="M8429">
        <v>1</v>
      </c>
      <c r="N8429">
        <v>3.0022799999999997E-54</v>
      </c>
      <c r="O8429">
        <v>529</v>
      </c>
    </row>
    <row r="8430" spans="1:15" x14ac:dyDescent="0.25">
      <c r="A8430" t="s">
        <v>8443</v>
      </c>
      <c r="B8430">
        <v>157</v>
      </c>
      <c r="C8430" s="1" t="str">
        <f>HYPERLINK("http://www.rosaceae.org/gb/gbrowse/malus_x_domestica/?name=MDP0000514389","MDP0000514389")</f>
        <v>MDP0000514389</v>
      </c>
      <c r="D8430">
        <v>66.45</v>
      </c>
      <c r="E8430">
        <v>158</v>
      </c>
      <c r="F8430">
        <v>53</v>
      </c>
      <c r="G8430">
        <v>8</v>
      </c>
      <c r="H8430">
        <v>4</v>
      </c>
      <c r="I8430">
        <v>157</v>
      </c>
      <c r="J8430">
        <v>1</v>
      </c>
      <c r="K8430">
        <v>11</v>
      </c>
      <c r="L8430">
        <v>164</v>
      </c>
      <c r="M8430">
        <v>1</v>
      </c>
      <c r="N8430">
        <v>2.72055E-45</v>
      </c>
      <c r="O8430">
        <v>450</v>
      </c>
    </row>
    <row r="8431" spans="1:15" x14ac:dyDescent="0.25">
      <c r="A8431" t="s">
        <v>8444</v>
      </c>
      <c r="B8431">
        <v>170</v>
      </c>
      <c r="C8431" s="1" t="str">
        <f>HYPERLINK("http://www.rosaceae.org/gb/gbrowse/malus_x_domestica/?name=MDP0000198394","MDP0000198394")</f>
        <v>MDP0000198394</v>
      </c>
      <c r="D8431">
        <v>48.52</v>
      </c>
      <c r="E8431">
        <v>68</v>
      </c>
      <c r="F8431">
        <v>35</v>
      </c>
      <c r="G8431">
        <v>1</v>
      </c>
      <c r="H8431">
        <v>4</v>
      </c>
      <c r="I8431">
        <v>71</v>
      </c>
      <c r="J8431">
        <v>1</v>
      </c>
      <c r="K8431">
        <v>514</v>
      </c>
      <c r="L8431">
        <v>580</v>
      </c>
      <c r="M8431">
        <v>1</v>
      </c>
      <c r="N8431">
        <v>2.65227E-11</v>
      </c>
      <c r="O8431">
        <v>158</v>
      </c>
    </row>
    <row r="8432" spans="1:15" x14ac:dyDescent="0.25">
      <c r="A8432" t="s">
        <v>8445</v>
      </c>
      <c r="B8432">
        <v>501</v>
      </c>
      <c r="C8432" s="1" t="str">
        <f>HYPERLINK("http://www.rosaceae.org/gb/gbrowse/malus_x_domestica/?name=MDP0000171689","MDP0000171689")</f>
        <v>MDP0000171689</v>
      </c>
      <c r="D8432">
        <v>79</v>
      </c>
      <c r="E8432">
        <v>262</v>
      </c>
      <c r="F8432">
        <v>55</v>
      </c>
      <c r="G8432">
        <v>29</v>
      </c>
      <c r="H8432">
        <v>184</v>
      </c>
      <c r="I8432">
        <v>416</v>
      </c>
      <c r="J8432">
        <v>1</v>
      </c>
      <c r="K8432">
        <v>175</v>
      </c>
      <c r="L8432">
        <v>436</v>
      </c>
      <c r="M8432">
        <v>1</v>
      </c>
      <c r="N8432">
        <v>1.31569E-121</v>
      </c>
      <c r="O8432">
        <v>1115</v>
      </c>
    </row>
    <row r="8433" spans="1:15" x14ac:dyDescent="0.25">
      <c r="A8433" t="s">
        <v>8446</v>
      </c>
      <c r="B8433">
        <v>250</v>
      </c>
      <c r="C8433" s="1" t="str">
        <f>HYPERLINK("http://www.rosaceae.org/gb/gbrowse/malus_x_domestica/?name=MDP0000207930","MDP0000207930")</f>
        <v>MDP0000207930</v>
      </c>
      <c r="D8433">
        <v>54.54</v>
      </c>
      <c r="E8433">
        <v>99</v>
      </c>
      <c r="F8433">
        <v>45</v>
      </c>
      <c r="G8433">
        <v>13</v>
      </c>
      <c r="H8433">
        <v>1</v>
      </c>
      <c r="I8433">
        <v>95</v>
      </c>
      <c r="J8433">
        <v>1</v>
      </c>
      <c r="K8433">
        <v>1</v>
      </c>
      <c r="L8433">
        <v>90</v>
      </c>
      <c r="M8433">
        <v>1</v>
      </c>
      <c r="N8433">
        <v>1.05445E-18</v>
      </c>
      <c r="O8433">
        <v>224</v>
      </c>
    </row>
    <row r="8434" spans="1:15" x14ac:dyDescent="0.25">
      <c r="A8434" t="s">
        <v>8447</v>
      </c>
      <c r="B8434">
        <v>548</v>
      </c>
      <c r="C8434" s="1" t="str">
        <f>HYPERLINK("http://www.rosaceae.org/gb/gbrowse/malus_x_domestica/?name=MDP0000328000","MDP0000328000")</f>
        <v>MDP0000328000</v>
      </c>
      <c r="D8434">
        <v>63.58</v>
      </c>
      <c r="E8434">
        <v>552</v>
      </c>
      <c r="F8434">
        <v>201</v>
      </c>
      <c r="G8434">
        <v>21</v>
      </c>
      <c r="H8434">
        <v>1</v>
      </c>
      <c r="I8434">
        <v>547</v>
      </c>
      <c r="J8434">
        <v>1</v>
      </c>
      <c r="K8434">
        <v>1</v>
      </c>
      <c r="L8434">
        <v>536</v>
      </c>
      <c r="M8434">
        <v>1</v>
      </c>
      <c r="N8434">
        <v>0</v>
      </c>
      <c r="O8434">
        <v>1804</v>
      </c>
    </row>
    <row r="8435" spans="1:15" x14ac:dyDescent="0.25">
      <c r="A8435" t="s">
        <v>8448</v>
      </c>
      <c r="B8435">
        <v>374</v>
      </c>
      <c r="C8435" s="1" t="str">
        <f>HYPERLINK("http://www.rosaceae.org/gb/gbrowse/malus_x_domestica/?name=MDP0000145991","MDP0000145991")</f>
        <v>MDP0000145991</v>
      </c>
      <c r="D8435">
        <v>73.209999999999994</v>
      </c>
      <c r="E8435">
        <v>351</v>
      </c>
      <c r="F8435">
        <v>94</v>
      </c>
      <c r="G8435">
        <v>4</v>
      </c>
      <c r="H8435">
        <v>24</v>
      </c>
      <c r="I8435">
        <v>374</v>
      </c>
      <c r="J8435">
        <v>1</v>
      </c>
      <c r="K8435">
        <v>26</v>
      </c>
      <c r="L8435">
        <v>372</v>
      </c>
      <c r="M8435">
        <v>1</v>
      </c>
      <c r="N8435">
        <v>1.1307E-152</v>
      </c>
      <c r="O8435">
        <v>1382</v>
      </c>
    </row>
    <row r="8436" spans="1:15" x14ac:dyDescent="0.25">
      <c r="A8436" t="s">
        <v>8449</v>
      </c>
      <c r="B8436">
        <v>124</v>
      </c>
      <c r="C8436" s="1" t="str">
        <f>HYPERLINK("http://www.rosaceae.org/gb/gbrowse/malus_x_domestica/?name=MDP0000930755","MDP0000930755")</f>
        <v>MDP0000930755</v>
      </c>
      <c r="D8436">
        <v>76.47</v>
      </c>
      <c r="E8436">
        <v>34</v>
      </c>
      <c r="F8436">
        <v>8</v>
      </c>
      <c r="G8436">
        <v>0</v>
      </c>
      <c r="H8436">
        <v>88</v>
      </c>
      <c r="I8436">
        <v>121</v>
      </c>
      <c r="J8436">
        <v>1</v>
      </c>
      <c r="K8436">
        <v>65</v>
      </c>
      <c r="L8436">
        <v>98</v>
      </c>
      <c r="M8436">
        <v>1</v>
      </c>
      <c r="N8436">
        <v>4.6946400000000002E-9</v>
      </c>
      <c r="O8436">
        <v>136</v>
      </c>
    </row>
    <row r="8437" spans="1:15" x14ac:dyDescent="0.25">
      <c r="A8437" t="s">
        <v>8450</v>
      </c>
      <c r="B8437">
        <v>672</v>
      </c>
      <c r="C8437" s="1" t="str">
        <f>HYPERLINK("http://www.rosaceae.org/gb/gbrowse/malus_x_domestica/?name=MDP0000138972","MDP0000138972")</f>
        <v>MDP0000138972</v>
      </c>
      <c r="D8437">
        <v>53.22</v>
      </c>
      <c r="E8437">
        <v>481</v>
      </c>
      <c r="F8437">
        <v>225</v>
      </c>
      <c r="G8437">
        <v>22</v>
      </c>
      <c r="H8437">
        <v>202</v>
      </c>
      <c r="I8437">
        <v>672</v>
      </c>
      <c r="J8437">
        <v>1</v>
      </c>
      <c r="K8437">
        <v>245</v>
      </c>
      <c r="L8437">
        <v>713</v>
      </c>
      <c r="M8437">
        <v>1</v>
      </c>
      <c r="N8437">
        <v>6.2141500000000001E-118</v>
      </c>
      <c r="O8437">
        <v>1085</v>
      </c>
    </row>
    <row r="8438" spans="1:15" x14ac:dyDescent="0.25">
      <c r="A8438" t="s">
        <v>8451</v>
      </c>
      <c r="B8438">
        <v>909</v>
      </c>
      <c r="C8438" s="1" t="str">
        <f>HYPERLINK("http://www.rosaceae.org/gb/gbrowse/malus_x_domestica/?name=MDP0000908647","MDP0000908647")</f>
        <v>MDP0000908647</v>
      </c>
      <c r="D8438">
        <v>84.33</v>
      </c>
      <c r="E8438">
        <v>498</v>
      </c>
      <c r="F8438">
        <v>78</v>
      </c>
      <c r="G8438">
        <v>1</v>
      </c>
      <c r="H8438">
        <v>1</v>
      </c>
      <c r="I8438">
        <v>498</v>
      </c>
      <c r="J8438">
        <v>1</v>
      </c>
      <c r="K8438">
        <v>1</v>
      </c>
      <c r="L8438">
        <v>497</v>
      </c>
      <c r="M8438">
        <v>1</v>
      </c>
      <c r="N8438">
        <v>0</v>
      </c>
      <c r="O8438">
        <v>2215</v>
      </c>
    </row>
    <row r="8439" spans="1:15" x14ac:dyDescent="0.25">
      <c r="A8439" t="s">
        <v>8452</v>
      </c>
      <c r="B8439">
        <v>177</v>
      </c>
      <c r="C8439" s="1" t="str">
        <f>HYPERLINK("http://www.rosaceae.org/gb/gbrowse/malus_x_domestica/?name=MDP0000933146","MDP0000933146")</f>
        <v>MDP0000933146</v>
      </c>
      <c r="D8439">
        <v>50.29</v>
      </c>
      <c r="E8439">
        <v>169</v>
      </c>
      <c r="F8439">
        <v>84</v>
      </c>
      <c r="G8439">
        <v>14</v>
      </c>
      <c r="H8439">
        <v>11</v>
      </c>
      <c r="I8439">
        <v>173</v>
      </c>
      <c r="J8439">
        <v>1</v>
      </c>
      <c r="K8439">
        <v>22</v>
      </c>
      <c r="L8439">
        <v>182</v>
      </c>
      <c r="M8439">
        <v>1</v>
      </c>
      <c r="N8439">
        <v>4.7075E-44</v>
      </c>
      <c r="O8439">
        <v>441</v>
      </c>
    </row>
    <row r="8440" spans="1:15" x14ac:dyDescent="0.25">
      <c r="A8440" t="s">
        <v>8453</v>
      </c>
      <c r="B8440">
        <v>422</v>
      </c>
      <c r="C8440" s="1" t="str">
        <f>HYPERLINK("http://www.rosaceae.org/gb/gbrowse/malus_x_domestica/?name=MDP0000164488","MDP0000164488")</f>
        <v>MDP0000164488</v>
      </c>
      <c r="D8440">
        <v>32.869999999999997</v>
      </c>
      <c r="E8440">
        <v>219</v>
      </c>
      <c r="F8440">
        <v>147</v>
      </c>
      <c r="G8440">
        <v>58</v>
      </c>
      <c r="H8440">
        <v>92</v>
      </c>
      <c r="I8440">
        <v>261</v>
      </c>
      <c r="J8440">
        <v>1</v>
      </c>
      <c r="K8440">
        <v>202</v>
      </c>
      <c r="L8440">
        <v>411</v>
      </c>
      <c r="M8440">
        <v>1</v>
      </c>
      <c r="N8440">
        <v>2.36558E-19</v>
      </c>
      <c r="O8440">
        <v>233</v>
      </c>
    </row>
    <row r="8441" spans="1:15" x14ac:dyDescent="0.25">
      <c r="A8441" t="s">
        <v>8454</v>
      </c>
      <c r="B8441">
        <v>373</v>
      </c>
      <c r="C8441" s="1" t="str">
        <f>HYPERLINK("http://www.rosaceae.org/gb/gbrowse/malus_x_domestica/?name=MDP0000159572","MDP0000159572")</f>
        <v>MDP0000159572</v>
      </c>
      <c r="D8441">
        <v>65.5</v>
      </c>
      <c r="E8441">
        <v>258</v>
      </c>
      <c r="F8441">
        <v>89</v>
      </c>
      <c r="G8441">
        <v>6</v>
      </c>
      <c r="H8441">
        <v>118</v>
      </c>
      <c r="I8441">
        <v>372</v>
      </c>
      <c r="J8441">
        <v>1</v>
      </c>
      <c r="K8441">
        <v>37</v>
      </c>
      <c r="L8441">
        <v>291</v>
      </c>
      <c r="M8441">
        <v>1</v>
      </c>
      <c r="N8441">
        <v>1.1166300000000001E-96</v>
      </c>
      <c r="O8441">
        <v>899</v>
      </c>
    </row>
    <row r="8442" spans="1:15" x14ac:dyDescent="0.25">
      <c r="A8442" t="s">
        <v>8455</v>
      </c>
      <c r="B8442">
        <v>144</v>
      </c>
      <c r="C8442" s="1" t="str">
        <f>HYPERLINK("http://www.rosaceae.org/gb/gbrowse/malus_x_domestica/?name=MDP0000307644","MDP0000307644")</f>
        <v>MDP0000307644</v>
      </c>
      <c r="D8442">
        <v>65.180000000000007</v>
      </c>
      <c r="E8442">
        <v>135</v>
      </c>
      <c r="F8442">
        <v>47</v>
      </c>
      <c r="G8442">
        <v>8</v>
      </c>
      <c r="H8442">
        <v>1</v>
      </c>
      <c r="I8442">
        <v>135</v>
      </c>
      <c r="J8442">
        <v>1</v>
      </c>
      <c r="K8442">
        <v>140</v>
      </c>
      <c r="L8442">
        <v>266</v>
      </c>
      <c r="M8442">
        <v>1</v>
      </c>
      <c r="N8442">
        <v>4.4319599999999999E-44</v>
      </c>
      <c r="O8442">
        <v>439</v>
      </c>
    </row>
    <row r="8443" spans="1:15" x14ac:dyDescent="0.25">
      <c r="A8443" t="s">
        <v>8456</v>
      </c>
      <c r="B8443">
        <v>206</v>
      </c>
      <c r="C8443" s="1" t="str">
        <f>HYPERLINK("http://www.rosaceae.org/gb/gbrowse/malus_x_domestica/?name=MDP0000823039","MDP0000823039")</f>
        <v>MDP0000823039</v>
      </c>
      <c r="D8443">
        <v>34.1</v>
      </c>
      <c r="E8443">
        <v>129</v>
      </c>
      <c r="F8443">
        <v>85</v>
      </c>
      <c r="G8443">
        <v>11</v>
      </c>
      <c r="H8443">
        <v>83</v>
      </c>
      <c r="I8443">
        <v>204</v>
      </c>
      <c r="J8443">
        <v>1</v>
      </c>
      <c r="K8443">
        <v>27</v>
      </c>
      <c r="L8443">
        <v>151</v>
      </c>
      <c r="M8443">
        <v>1</v>
      </c>
      <c r="N8443">
        <v>3.1837200000000003E-11</v>
      </c>
      <c r="O8443">
        <v>159</v>
      </c>
    </row>
    <row r="8444" spans="1:15" x14ac:dyDescent="0.25">
      <c r="A8444" t="s">
        <v>8457</v>
      </c>
      <c r="B8444">
        <v>975</v>
      </c>
      <c r="C8444" s="1" t="str">
        <f>HYPERLINK("http://www.rosaceae.org/gb/gbrowse/malus_x_domestica/?name=MDP0000120371","MDP0000120371")</f>
        <v>MDP0000120371</v>
      </c>
      <c r="D8444">
        <v>71.53</v>
      </c>
      <c r="E8444">
        <v>938</v>
      </c>
      <c r="F8444">
        <v>267</v>
      </c>
      <c r="G8444">
        <v>48</v>
      </c>
      <c r="H8444">
        <v>22</v>
      </c>
      <c r="I8444">
        <v>920</v>
      </c>
      <c r="J8444">
        <v>1</v>
      </c>
      <c r="K8444">
        <v>21</v>
      </c>
      <c r="L8444">
        <v>949</v>
      </c>
      <c r="M8444">
        <v>1</v>
      </c>
      <c r="N8444">
        <v>0</v>
      </c>
      <c r="O8444">
        <v>3487</v>
      </c>
    </row>
    <row r="8445" spans="1:15" x14ac:dyDescent="0.25">
      <c r="A8445" t="s">
        <v>8458</v>
      </c>
      <c r="B8445">
        <v>134</v>
      </c>
      <c r="C8445" s="1" t="str">
        <f>HYPERLINK("http://www.rosaceae.org/gb/gbrowse/malus_x_domestica/?name=MDP0000698897","MDP0000698897")</f>
        <v>MDP0000698897</v>
      </c>
      <c r="D8445">
        <v>48.1</v>
      </c>
      <c r="E8445">
        <v>79</v>
      </c>
      <c r="F8445">
        <v>41</v>
      </c>
      <c r="G8445">
        <v>1</v>
      </c>
      <c r="H8445">
        <v>28</v>
      </c>
      <c r="I8445">
        <v>105</v>
      </c>
      <c r="J8445">
        <v>1</v>
      </c>
      <c r="K8445">
        <v>101</v>
      </c>
      <c r="L8445">
        <v>179</v>
      </c>
      <c r="M8445">
        <v>1</v>
      </c>
      <c r="N8445">
        <v>6.3553699999999995E-14</v>
      </c>
      <c r="O8445">
        <v>178</v>
      </c>
    </row>
    <row r="8446" spans="1:15" x14ac:dyDescent="0.25">
      <c r="A8446" t="s">
        <v>8459</v>
      </c>
      <c r="B8446">
        <v>458</v>
      </c>
      <c r="C8446" s="1" t="str">
        <f>HYPERLINK("http://www.rosaceae.org/gb/gbrowse/malus_x_domestica/?name=MDP0000881502","MDP0000881502")</f>
        <v>MDP0000881502</v>
      </c>
      <c r="D8446">
        <v>50.5</v>
      </c>
      <c r="E8446">
        <v>99</v>
      </c>
      <c r="F8446">
        <v>49</v>
      </c>
      <c r="G8446">
        <v>15</v>
      </c>
      <c r="H8446">
        <v>268</v>
      </c>
      <c r="I8446">
        <v>354</v>
      </c>
      <c r="J8446">
        <v>1</v>
      </c>
      <c r="K8446">
        <v>21</v>
      </c>
      <c r="L8446">
        <v>116</v>
      </c>
      <c r="M8446">
        <v>1</v>
      </c>
      <c r="N8446">
        <v>3.3612999999999999E-20</v>
      </c>
      <c r="O8446">
        <v>240</v>
      </c>
    </row>
    <row r="8447" spans="1:15" x14ac:dyDescent="0.25">
      <c r="A8447" t="s">
        <v>8460</v>
      </c>
      <c r="B8447">
        <v>142</v>
      </c>
      <c r="C8447" s="1" t="str">
        <f>HYPERLINK("http://www.rosaceae.org/gb/gbrowse/malus_x_domestica/?name=MDP0000156607","MDP0000156607")</f>
        <v>MDP0000156607</v>
      </c>
      <c r="D8447">
        <v>63.82</v>
      </c>
      <c r="E8447">
        <v>141</v>
      </c>
      <c r="F8447">
        <v>51</v>
      </c>
      <c r="G8447">
        <v>6</v>
      </c>
      <c r="H8447">
        <v>1</v>
      </c>
      <c r="I8447">
        <v>135</v>
      </c>
      <c r="J8447">
        <v>1</v>
      </c>
      <c r="K8447">
        <v>619</v>
      </c>
      <c r="L8447">
        <v>759</v>
      </c>
      <c r="M8447">
        <v>1</v>
      </c>
      <c r="N8447">
        <v>6.8452899999999999E-47</v>
      </c>
      <c r="O8447">
        <v>463</v>
      </c>
    </row>
    <row r="8448" spans="1:15" x14ac:dyDescent="0.25">
      <c r="A8448" t="s">
        <v>8461</v>
      </c>
      <c r="B8448">
        <v>392</v>
      </c>
      <c r="C8448" s="1" t="str">
        <f>HYPERLINK("http://www.rosaceae.org/gb/gbrowse/malus_x_domestica/?name=MDP0000865059","MDP0000865059")</f>
        <v>MDP0000865059</v>
      </c>
      <c r="D8448">
        <v>63.31</v>
      </c>
      <c r="E8448">
        <v>338</v>
      </c>
      <c r="F8448">
        <v>124</v>
      </c>
      <c r="G8448">
        <v>44</v>
      </c>
      <c r="H8448">
        <v>89</v>
      </c>
      <c r="I8448">
        <v>385</v>
      </c>
      <c r="J8448">
        <v>1</v>
      </c>
      <c r="K8448">
        <v>2</v>
      </c>
      <c r="L8448">
        <v>336</v>
      </c>
      <c r="M8448">
        <v>1</v>
      </c>
      <c r="N8448">
        <v>7.6442900000000004E-115</v>
      </c>
      <c r="O8448">
        <v>1056</v>
      </c>
    </row>
    <row r="8449" spans="1:15" x14ac:dyDescent="0.25">
      <c r="A8449" t="s">
        <v>8462</v>
      </c>
      <c r="B8449">
        <v>782</v>
      </c>
      <c r="C8449" s="1" t="str">
        <f>HYPERLINK("http://www.rosaceae.org/gb/gbrowse/malus_x_domestica/?name=MDP0000255694","MDP0000255694")</f>
        <v>MDP0000255694</v>
      </c>
      <c r="D8449">
        <v>56.43</v>
      </c>
      <c r="E8449">
        <v>762</v>
      </c>
      <c r="F8449">
        <v>332</v>
      </c>
      <c r="G8449">
        <v>107</v>
      </c>
      <c r="H8449">
        <v>66</v>
      </c>
      <c r="I8449">
        <v>736</v>
      </c>
      <c r="J8449">
        <v>1</v>
      </c>
      <c r="K8449">
        <v>47</v>
      </c>
      <c r="L8449">
        <v>792</v>
      </c>
      <c r="M8449">
        <v>1</v>
      </c>
      <c r="N8449">
        <v>0</v>
      </c>
      <c r="O8449">
        <v>1939</v>
      </c>
    </row>
    <row r="8450" spans="1:15" x14ac:dyDescent="0.25">
      <c r="A8450" t="s">
        <v>8463</v>
      </c>
      <c r="B8450">
        <v>483</v>
      </c>
      <c r="C8450" s="1" t="str">
        <f>HYPERLINK("http://www.rosaceae.org/gb/gbrowse/malus_x_domestica/?name=MDP0000143147","MDP0000143147")</f>
        <v>MDP0000143147</v>
      </c>
      <c r="D8450">
        <v>64.44</v>
      </c>
      <c r="E8450">
        <v>571</v>
      </c>
      <c r="F8450">
        <v>203</v>
      </c>
      <c r="G8450">
        <v>88</v>
      </c>
      <c r="H8450">
        <v>1</v>
      </c>
      <c r="I8450">
        <v>483</v>
      </c>
      <c r="J8450">
        <v>1</v>
      </c>
      <c r="K8450">
        <v>1</v>
      </c>
      <c r="L8450">
        <v>571</v>
      </c>
      <c r="M8450">
        <v>1</v>
      </c>
      <c r="N8450">
        <v>0</v>
      </c>
      <c r="O8450">
        <v>1901</v>
      </c>
    </row>
    <row r="8451" spans="1:15" x14ac:dyDescent="0.25">
      <c r="A8451" t="s">
        <v>8464</v>
      </c>
      <c r="B8451">
        <v>129</v>
      </c>
      <c r="C8451" s="1" t="str">
        <f>HYPERLINK("http://www.rosaceae.org/gb/gbrowse/malus_x_domestica/?name=MDP0000144823","MDP0000144823")</f>
        <v>MDP0000144823</v>
      </c>
      <c r="D8451">
        <v>62.28</v>
      </c>
      <c r="E8451">
        <v>114</v>
      </c>
      <c r="F8451">
        <v>43</v>
      </c>
      <c r="G8451">
        <v>5</v>
      </c>
      <c r="H8451">
        <v>13</v>
      </c>
      <c r="I8451">
        <v>126</v>
      </c>
      <c r="J8451">
        <v>1</v>
      </c>
      <c r="K8451">
        <v>56</v>
      </c>
      <c r="L8451">
        <v>164</v>
      </c>
      <c r="M8451">
        <v>1</v>
      </c>
      <c r="N8451">
        <v>7.81002E-35</v>
      </c>
      <c r="O8451">
        <v>358</v>
      </c>
    </row>
    <row r="8452" spans="1:15" x14ac:dyDescent="0.25">
      <c r="A8452" t="s">
        <v>8465</v>
      </c>
      <c r="B8452">
        <v>1055</v>
      </c>
      <c r="C8452" s="1" t="str">
        <f>HYPERLINK("http://www.rosaceae.org/gb/gbrowse/malus_x_domestica/?name=MDP0000251906","MDP0000251906")</f>
        <v>MDP0000251906</v>
      </c>
      <c r="D8452">
        <v>73.61</v>
      </c>
      <c r="E8452">
        <v>993</v>
      </c>
      <c r="F8452">
        <v>262</v>
      </c>
      <c r="G8452">
        <v>42</v>
      </c>
      <c r="H8452">
        <v>20</v>
      </c>
      <c r="I8452">
        <v>987</v>
      </c>
      <c r="J8452">
        <v>1</v>
      </c>
      <c r="K8452">
        <v>24</v>
      </c>
      <c r="L8452">
        <v>999</v>
      </c>
      <c r="M8452">
        <v>1</v>
      </c>
      <c r="N8452">
        <v>0</v>
      </c>
      <c r="O8452">
        <v>3886</v>
      </c>
    </row>
    <row r="8453" spans="1:15" x14ac:dyDescent="0.25">
      <c r="A8453" t="s">
        <v>8466</v>
      </c>
      <c r="B8453">
        <v>660</v>
      </c>
      <c r="C8453" s="1" t="str">
        <f>HYPERLINK("http://www.rosaceae.org/gb/gbrowse/malus_x_domestica/?name=MDP0000229861","MDP0000229861")</f>
        <v>MDP0000229861</v>
      </c>
      <c r="D8453">
        <v>81.77</v>
      </c>
      <c r="E8453">
        <v>653</v>
      </c>
      <c r="F8453">
        <v>119</v>
      </c>
      <c r="G8453">
        <v>21</v>
      </c>
      <c r="H8453">
        <v>18</v>
      </c>
      <c r="I8453">
        <v>659</v>
      </c>
      <c r="J8453">
        <v>1</v>
      </c>
      <c r="K8453">
        <v>26</v>
      </c>
      <c r="L8453">
        <v>668</v>
      </c>
      <c r="M8453">
        <v>1</v>
      </c>
      <c r="N8453">
        <v>0</v>
      </c>
      <c r="O8453">
        <v>2842</v>
      </c>
    </row>
    <row r="8454" spans="1:15" x14ac:dyDescent="0.25">
      <c r="A8454" t="s">
        <v>8467</v>
      </c>
      <c r="B8454">
        <v>182</v>
      </c>
      <c r="C8454" s="1" t="str">
        <f>HYPERLINK("http://www.rosaceae.org/gb/gbrowse/malus_x_domestica/?name=MDP0000579910","MDP0000579910")</f>
        <v>MDP0000579910</v>
      </c>
      <c r="D8454">
        <v>68.25</v>
      </c>
      <c r="E8454">
        <v>126</v>
      </c>
      <c r="F8454">
        <v>40</v>
      </c>
      <c r="G8454">
        <v>1</v>
      </c>
      <c r="H8454">
        <v>26</v>
      </c>
      <c r="I8454">
        <v>150</v>
      </c>
      <c r="J8454">
        <v>1</v>
      </c>
      <c r="K8454">
        <v>121</v>
      </c>
      <c r="L8454">
        <v>246</v>
      </c>
      <c r="M8454">
        <v>1</v>
      </c>
      <c r="N8454">
        <v>2.7899100000000001E-43</v>
      </c>
      <c r="O8454">
        <v>434</v>
      </c>
    </row>
    <row r="8455" spans="1:15" x14ac:dyDescent="0.25">
      <c r="A8455" t="s">
        <v>8468</v>
      </c>
      <c r="B8455">
        <v>228</v>
      </c>
      <c r="C8455" s="1" t="str">
        <f>HYPERLINK("http://www.rosaceae.org/gb/gbrowse/malus_x_domestica/?name=MDP0000859563","MDP0000859563")</f>
        <v>MDP0000859563</v>
      </c>
      <c r="D8455">
        <v>32.58</v>
      </c>
      <c r="E8455">
        <v>178</v>
      </c>
      <c r="F8455">
        <v>120</v>
      </c>
      <c r="G8455">
        <v>35</v>
      </c>
      <c r="H8455">
        <v>50</v>
      </c>
      <c r="I8455">
        <v>196</v>
      </c>
      <c r="J8455">
        <v>1</v>
      </c>
      <c r="K8455">
        <v>13</v>
      </c>
      <c r="L8455">
        <v>186</v>
      </c>
      <c r="M8455">
        <v>1</v>
      </c>
      <c r="N8455">
        <v>1.47937E-8</v>
      </c>
      <c r="O8455">
        <v>136</v>
      </c>
    </row>
    <row r="8456" spans="1:15" x14ac:dyDescent="0.25">
      <c r="A8456" t="s">
        <v>8469</v>
      </c>
      <c r="B8456">
        <v>1160</v>
      </c>
      <c r="C8456" s="1" t="str">
        <f>HYPERLINK("http://www.rosaceae.org/gb/gbrowse/malus_x_domestica/?name=MDP0000252948","MDP0000252948")</f>
        <v>MDP0000252948</v>
      </c>
      <c r="D8456">
        <v>63.48</v>
      </c>
      <c r="E8456">
        <v>1172</v>
      </c>
      <c r="F8456">
        <v>428</v>
      </c>
      <c r="G8456">
        <v>55</v>
      </c>
      <c r="H8456">
        <v>1</v>
      </c>
      <c r="I8456">
        <v>1160</v>
      </c>
      <c r="J8456">
        <v>1</v>
      </c>
      <c r="K8456">
        <v>1</v>
      </c>
      <c r="L8456">
        <v>1129</v>
      </c>
      <c r="M8456">
        <v>1</v>
      </c>
      <c r="N8456">
        <v>0</v>
      </c>
      <c r="O8456">
        <v>3470</v>
      </c>
    </row>
    <row r="8457" spans="1:15" x14ac:dyDescent="0.25">
      <c r="A8457" t="s">
        <v>8470</v>
      </c>
      <c r="B8457">
        <v>214</v>
      </c>
      <c r="C8457" s="1" t="str">
        <f>HYPERLINK("http://www.rosaceae.org/gb/gbrowse/malus_x_domestica/?name=MDP0000247210","MDP0000247210")</f>
        <v>MDP0000247210</v>
      </c>
      <c r="D8457">
        <v>84.8</v>
      </c>
      <c r="E8457">
        <v>125</v>
      </c>
      <c r="F8457">
        <v>19</v>
      </c>
      <c r="G8457">
        <v>0</v>
      </c>
      <c r="H8457">
        <v>32</v>
      </c>
      <c r="I8457">
        <v>156</v>
      </c>
      <c r="J8457">
        <v>1</v>
      </c>
      <c r="K8457">
        <v>81</v>
      </c>
      <c r="L8457">
        <v>205</v>
      </c>
      <c r="M8457">
        <v>1</v>
      </c>
      <c r="N8457">
        <v>1.5675000000000001E-56</v>
      </c>
      <c r="O8457">
        <v>550</v>
      </c>
    </row>
    <row r="8458" spans="1:15" x14ac:dyDescent="0.25">
      <c r="A8458" t="s">
        <v>8471</v>
      </c>
      <c r="B8458">
        <v>323</v>
      </c>
      <c r="C8458" s="1" t="str">
        <f>HYPERLINK("http://www.rosaceae.org/gb/gbrowse/malus_x_domestica/?name=MDP0000211180","MDP0000211180")</f>
        <v>MDP0000211180</v>
      </c>
      <c r="D8458">
        <v>76.260000000000005</v>
      </c>
      <c r="E8458">
        <v>337</v>
      </c>
      <c r="F8458">
        <v>80</v>
      </c>
      <c r="G8458">
        <v>18</v>
      </c>
      <c r="H8458">
        <v>2</v>
      </c>
      <c r="I8458">
        <v>322</v>
      </c>
      <c r="J8458">
        <v>1</v>
      </c>
      <c r="K8458">
        <v>3</v>
      </c>
      <c r="L8458">
        <v>337</v>
      </c>
      <c r="M8458">
        <v>1</v>
      </c>
      <c r="N8458">
        <v>1.33538E-148</v>
      </c>
      <c r="O8458">
        <v>1346</v>
      </c>
    </row>
    <row r="8459" spans="1:15" x14ac:dyDescent="0.25">
      <c r="A8459" t="s">
        <v>8472</v>
      </c>
      <c r="B8459">
        <v>724</v>
      </c>
      <c r="C8459" s="1" t="str">
        <f>HYPERLINK("http://www.rosaceae.org/gb/gbrowse/malus_x_domestica/?name=MDP0000132594","MDP0000132594")</f>
        <v>MDP0000132594</v>
      </c>
      <c r="D8459">
        <v>41.57</v>
      </c>
      <c r="E8459">
        <v>760</v>
      </c>
      <c r="F8459">
        <v>444</v>
      </c>
      <c r="G8459">
        <v>112</v>
      </c>
      <c r="H8459">
        <v>3</v>
      </c>
      <c r="I8459">
        <v>722</v>
      </c>
      <c r="J8459">
        <v>1</v>
      </c>
      <c r="K8459">
        <v>484</v>
      </c>
      <c r="L8459">
        <v>1171</v>
      </c>
      <c r="M8459">
        <v>1</v>
      </c>
      <c r="N8459">
        <v>2.1696000000000001E-120</v>
      </c>
      <c r="O8459">
        <v>1106</v>
      </c>
    </row>
    <row r="8460" spans="1:15" x14ac:dyDescent="0.25">
      <c r="A8460" t="s">
        <v>8473</v>
      </c>
      <c r="B8460">
        <v>144</v>
      </c>
      <c r="C8460" s="1" t="str">
        <f>HYPERLINK("http://www.rosaceae.org/gb/gbrowse/malus_x_domestica/?name=MDP0000191698","MDP0000191698")</f>
        <v>MDP0000191698</v>
      </c>
      <c r="D8460">
        <v>74.66</v>
      </c>
      <c r="E8460">
        <v>150</v>
      </c>
      <c r="F8460">
        <v>38</v>
      </c>
      <c r="G8460">
        <v>17</v>
      </c>
      <c r="H8460">
        <v>1</v>
      </c>
      <c r="I8460">
        <v>144</v>
      </c>
      <c r="J8460">
        <v>1</v>
      </c>
      <c r="K8460">
        <v>1</v>
      </c>
      <c r="L8460">
        <v>139</v>
      </c>
      <c r="M8460">
        <v>1</v>
      </c>
      <c r="N8460">
        <v>8.6942100000000004E-51</v>
      </c>
      <c r="O8460">
        <v>497</v>
      </c>
    </row>
    <row r="8461" spans="1:15" x14ac:dyDescent="0.25">
      <c r="A8461" t="s">
        <v>8474</v>
      </c>
      <c r="B8461">
        <v>379</v>
      </c>
      <c r="C8461" s="1" t="str">
        <f>HYPERLINK("http://www.rosaceae.org/gb/gbrowse/malus_x_domestica/?name=MDP0000265128","MDP0000265128")</f>
        <v>MDP0000265128</v>
      </c>
      <c r="D8461">
        <v>52.26</v>
      </c>
      <c r="E8461">
        <v>243</v>
      </c>
      <c r="F8461">
        <v>116</v>
      </c>
      <c r="G8461">
        <v>2</v>
      </c>
      <c r="H8461">
        <v>1</v>
      </c>
      <c r="I8461">
        <v>242</v>
      </c>
      <c r="J8461">
        <v>1</v>
      </c>
      <c r="K8461">
        <v>1</v>
      </c>
      <c r="L8461">
        <v>242</v>
      </c>
      <c r="M8461">
        <v>1</v>
      </c>
      <c r="N8461">
        <v>1.4438400000000001E-63</v>
      </c>
      <c r="O8461">
        <v>613</v>
      </c>
    </row>
    <row r="8462" spans="1:15" x14ac:dyDescent="0.25">
      <c r="A8462" t="s">
        <v>8475</v>
      </c>
      <c r="B8462">
        <v>432</v>
      </c>
      <c r="C8462" s="1" t="str">
        <f>HYPERLINK("http://www.rosaceae.org/gb/gbrowse/malus_x_domestica/?name=MDP0000361567","MDP0000361567")</f>
        <v>MDP0000361567</v>
      </c>
      <c r="D8462">
        <v>82.89</v>
      </c>
      <c r="E8462">
        <v>152</v>
      </c>
      <c r="F8462">
        <v>26</v>
      </c>
      <c r="G8462">
        <v>0</v>
      </c>
      <c r="H8462">
        <v>239</v>
      </c>
      <c r="I8462">
        <v>390</v>
      </c>
      <c r="J8462">
        <v>1</v>
      </c>
      <c r="K8462">
        <v>26</v>
      </c>
      <c r="L8462">
        <v>177</v>
      </c>
      <c r="M8462">
        <v>1</v>
      </c>
      <c r="N8462">
        <v>1.9530200000000001E-68</v>
      </c>
      <c r="O8462">
        <v>656</v>
      </c>
    </row>
    <row r="8463" spans="1:15" x14ac:dyDescent="0.25">
      <c r="A8463" t="s">
        <v>8476</v>
      </c>
      <c r="B8463">
        <v>253</v>
      </c>
      <c r="C8463" s="1" t="str">
        <f>HYPERLINK("http://www.rosaceae.org/gb/gbrowse/malus_x_domestica/?name=MDP0000661167","MDP0000661167")</f>
        <v>MDP0000661167</v>
      </c>
      <c r="D8463">
        <v>82.75</v>
      </c>
      <c r="E8463">
        <v>87</v>
      </c>
      <c r="F8463">
        <v>15</v>
      </c>
      <c r="G8463">
        <v>5</v>
      </c>
      <c r="H8463">
        <v>172</v>
      </c>
      <c r="I8463">
        <v>253</v>
      </c>
      <c r="J8463">
        <v>1</v>
      </c>
      <c r="K8463">
        <v>45</v>
      </c>
      <c r="L8463">
        <v>131</v>
      </c>
      <c r="M8463">
        <v>1</v>
      </c>
      <c r="N8463">
        <v>5.3092000000000003E-37</v>
      </c>
      <c r="O8463">
        <v>382</v>
      </c>
    </row>
    <row r="8464" spans="1:15" x14ac:dyDescent="0.25">
      <c r="A8464" t="s">
        <v>8477</v>
      </c>
      <c r="B8464">
        <v>307</v>
      </c>
      <c r="C8464" s="1" t="str">
        <f>HYPERLINK("http://www.rosaceae.org/gb/gbrowse/malus_x_domestica/?name=MDP0000905147","MDP0000905147")</f>
        <v>MDP0000905147</v>
      </c>
      <c r="D8464">
        <v>65.28</v>
      </c>
      <c r="E8464">
        <v>265</v>
      </c>
      <c r="F8464">
        <v>92</v>
      </c>
      <c r="G8464">
        <v>1</v>
      </c>
      <c r="H8464">
        <v>43</v>
      </c>
      <c r="I8464">
        <v>307</v>
      </c>
      <c r="J8464">
        <v>1</v>
      </c>
      <c r="K8464">
        <v>44</v>
      </c>
      <c r="L8464">
        <v>307</v>
      </c>
      <c r="M8464">
        <v>1</v>
      </c>
      <c r="N8464">
        <v>7.8146000000000006E-96</v>
      </c>
      <c r="O8464">
        <v>891</v>
      </c>
    </row>
    <row r="8465" spans="1:15" x14ac:dyDescent="0.25">
      <c r="A8465" t="s">
        <v>8478</v>
      </c>
      <c r="B8465">
        <v>121</v>
      </c>
      <c r="C8465" s="1" t="str">
        <f>HYPERLINK("http://www.rosaceae.org/gb/gbrowse/malus_x_domestica/?name=MDP0000182267","MDP0000182267")</f>
        <v>MDP0000182267</v>
      </c>
      <c r="D8465">
        <v>74.569999999999993</v>
      </c>
      <c r="E8465">
        <v>118</v>
      </c>
      <c r="F8465">
        <v>30</v>
      </c>
      <c r="G8465">
        <v>0</v>
      </c>
      <c r="H8465">
        <v>1</v>
      </c>
      <c r="I8465">
        <v>118</v>
      </c>
      <c r="J8465">
        <v>1</v>
      </c>
      <c r="K8465">
        <v>1</v>
      </c>
      <c r="L8465">
        <v>118</v>
      </c>
      <c r="M8465">
        <v>1</v>
      </c>
      <c r="N8465">
        <v>1.7965599999999998E-49</v>
      </c>
      <c r="O8465">
        <v>484</v>
      </c>
    </row>
    <row r="8466" spans="1:15" x14ac:dyDescent="0.25">
      <c r="A8466" t="s">
        <v>8479</v>
      </c>
      <c r="B8466">
        <v>368</v>
      </c>
      <c r="C8466" s="1" t="str">
        <f>HYPERLINK("http://www.rosaceae.org/gb/gbrowse/malus_x_domestica/?name=MDP0000319412","MDP0000319412")</f>
        <v>MDP0000319412</v>
      </c>
      <c r="D8466">
        <v>45.88</v>
      </c>
      <c r="E8466">
        <v>340</v>
      </c>
      <c r="F8466">
        <v>184</v>
      </c>
      <c r="G8466">
        <v>10</v>
      </c>
      <c r="H8466">
        <v>34</v>
      </c>
      <c r="I8466">
        <v>364</v>
      </c>
      <c r="J8466">
        <v>1</v>
      </c>
      <c r="K8466">
        <v>152</v>
      </c>
      <c r="L8466">
        <v>490</v>
      </c>
      <c r="M8466">
        <v>1</v>
      </c>
      <c r="N8466">
        <v>2.4119500000000001E-80</v>
      </c>
      <c r="O8466">
        <v>758</v>
      </c>
    </row>
    <row r="8467" spans="1:15" x14ac:dyDescent="0.25">
      <c r="A8467" t="s">
        <v>8480</v>
      </c>
      <c r="B8467">
        <v>390</v>
      </c>
      <c r="C8467" s="1" t="str">
        <f>HYPERLINK("http://www.rosaceae.org/gb/gbrowse/malus_x_domestica/?name=MDP0000851070","MDP0000851070")</f>
        <v>MDP0000851070</v>
      </c>
      <c r="D8467">
        <v>68.39</v>
      </c>
      <c r="E8467">
        <v>231</v>
      </c>
      <c r="F8467">
        <v>73</v>
      </c>
      <c r="G8467">
        <v>14</v>
      </c>
      <c r="H8467">
        <v>1</v>
      </c>
      <c r="I8467">
        <v>217</v>
      </c>
      <c r="J8467">
        <v>1</v>
      </c>
      <c r="K8467">
        <v>1</v>
      </c>
      <c r="L8467">
        <v>231</v>
      </c>
      <c r="M8467">
        <v>1</v>
      </c>
      <c r="N8467">
        <v>4.3743699999999999E-88</v>
      </c>
      <c r="O8467">
        <v>825</v>
      </c>
    </row>
    <row r="8468" spans="1:15" x14ac:dyDescent="0.25">
      <c r="A8468" t="s">
        <v>8481</v>
      </c>
      <c r="B8468">
        <v>565</v>
      </c>
      <c r="C8468" s="1" t="str">
        <f>HYPERLINK("http://www.rosaceae.org/gb/gbrowse/malus_x_domestica/?name=MDP0000258490","MDP0000258490")</f>
        <v>MDP0000258490</v>
      </c>
      <c r="D8468">
        <v>71.34</v>
      </c>
      <c r="E8468">
        <v>164</v>
      </c>
      <c r="F8468">
        <v>47</v>
      </c>
      <c r="G8468">
        <v>3</v>
      </c>
      <c r="H8468">
        <v>235</v>
      </c>
      <c r="I8468">
        <v>398</v>
      </c>
      <c r="J8468">
        <v>1</v>
      </c>
      <c r="K8468">
        <v>81</v>
      </c>
      <c r="L8468">
        <v>241</v>
      </c>
      <c r="M8468">
        <v>1</v>
      </c>
      <c r="N8468">
        <v>1.0791E-67</v>
      </c>
      <c r="O8468">
        <v>651</v>
      </c>
    </row>
    <row r="8469" spans="1:15" x14ac:dyDescent="0.25">
      <c r="A8469" t="s">
        <v>8482</v>
      </c>
      <c r="B8469">
        <v>574</v>
      </c>
      <c r="C8469" s="1" t="str">
        <f>HYPERLINK("http://www.rosaceae.org/gb/gbrowse/malus_x_domestica/?name=MDP0000159369","MDP0000159369")</f>
        <v>MDP0000159369</v>
      </c>
      <c r="D8469">
        <v>27.43</v>
      </c>
      <c r="E8469">
        <v>328</v>
      </c>
      <c r="F8469">
        <v>238</v>
      </c>
      <c r="G8469">
        <v>54</v>
      </c>
      <c r="H8469">
        <v>262</v>
      </c>
      <c r="I8469">
        <v>572</v>
      </c>
      <c r="J8469">
        <v>1</v>
      </c>
      <c r="K8469">
        <v>24</v>
      </c>
      <c r="L8469">
        <v>314</v>
      </c>
      <c r="M8469">
        <v>1</v>
      </c>
      <c r="N8469">
        <v>1.5032699999999999E-27</v>
      </c>
      <c r="O8469">
        <v>305</v>
      </c>
    </row>
    <row r="8470" spans="1:15" x14ac:dyDescent="0.25">
      <c r="A8470" t="s">
        <v>8483</v>
      </c>
      <c r="B8470">
        <v>222</v>
      </c>
      <c r="C8470" s="1" t="str">
        <f>HYPERLINK("http://www.rosaceae.org/gb/gbrowse/malus_x_domestica/?name=MDP0000495881","MDP0000495881")</f>
        <v>MDP0000495881</v>
      </c>
      <c r="D8470">
        <v>70.73</v>
      </c>
      <c r="E8470">
        <v>205</v>
      </c>
      <c r="F8470">
        <v>60</v>
      </c>
      <c r="G8470">
        <v>3</v>
      </c>
      <c r="H8470">
        <v>1</v>
      </c>
      <c r="I8470">
        <v>203</v>
      </c>
      <c r="J8470">
        <v>1</v>
      </c>
      <c r="K8470">
        <v>1</v>
      </c>
      <c r="L8470">
        <v>204</v>
      </c>
      <c r="M8470">
        <v>1</v>
      </c>
      <c r="N8470">
        <v>2.25986E-79</v>
      </c>
      <c r="O8470">
        <v>747</v>
      </c>
    </row>
    <row r="8471" spans="1:15" x14ac:dyDescent="0.25">
      <c r="A8471" t="s">
        <v>8484</v>
      </c>
      <c r="B8471">
        <v>774</v>
      </c>
      <c r="C8471" s="1" t="str">
        <f>HYPERLINK("http://www.rosaceae.org/gb/gbrowse/malus_x_domestica/?name=MDP0000012541","MDP0000012541")</f>
        <v>MDP0000012541</v>
      </c>
      <c r="D8471">
        <v>60.29</v>
      </c>
      <c r="E8471">
        <v>471</v>
      </c>
      <c r="F8471">
        <v>187</v>
      </c>
      <c r="G8471">
        <v>9</v>
      </c>
      <c r="H8471">
        <v>1</v>
      </c>
      <c r="I8471">
        <v>464</v>
      </c>
      <c r="J8471">
        <v>1</v>
      </c>
      <c r="K8471">
        <v>1</v>
      </c>
      <c r="L8471">
        <v>469</v>
      </c>
      <c r="M8471">
        <v>1</v>
      </c>
      <c r="N8471">
        <v>7.1937199999999996E-170</v>
      </c>
      <c r="O8471">
        <v>1533</v>
      </c>
    </row>
    <row r="8472" spans="1:15" x14ac:dyDescent="0.25">
      <c r="A8472" t="s">
        <v>8485</v>
      </c>
      <c r="B8472">
        <v>55</v>
      </c>
      <c r="C8472" s="1" t="str">
        <f>HYPERLINK("http://www.rosaceae.org/gb/gbrowse/malus_x_domestica/?name=MDP0000319700","MDP0000319700")</f>
        <v>MDP0000319700</v>
      </c>
      <c r="D8472">
        <v>75.92</v>
      </c>
      <c r="E8472">
        <v>54</v>
      </c>
      <c r="F8472">
        <v>13</v>
      </c>
      <c r="G8472">
        <v>0</v>
      </c>
      <c r="H8472">
        <v>1</v>
      </c>
      <c r="I8472">
        <v>54</v>
      </c>
      <c r="J8472">
        <v>1</v>
      </c>
      <c r="K8472">
        <v>1523</v>
      </c>
      <c r="L8472">
        <v>1576</v>
      </c>
      <c r="M8472">
        <v>1</v>
      </c>
      <c r="N8472">
        <v>1.1439100000000001E-20</v>
      </c>
      <c r="O8472">
        <v>236</v>
      </c>
    </row>
    <row r="8473" spans="1:15" x14ac:dyDescent="0.25">
      <c r="A8473" t="s">
        <v>8486</v>
      </c>
      <c r="B8473">
        <v>242</v>
      </c>
      <c r="C8473" s="1" t="str">
        <f>HYPERLINK("http://www.rosaceae.org/gb/gbrowse/malus_x_domestica/?name=MDP0000270177","MDP0000270177")</f>
        <v>MDP0000270177</v>
      </c>
      <c r="D8473">
        <v>80.42</v>
      </c>
      <c r="E8473">
        <v>189</v>
      </c>
      <c r="F8473">
        <v>37</v>
      </c>
      <c r="G8473">
        <v>1</v>
      </c>
      <c r="H8473">
        <v>43</v>
      </c>
      <c r="I8473">
        <v>231</v>
      </c>
      <c r="J8473">
        <v>1</v>
      </c>
      <c r="K8473">
        <v>32</v>
      </c>
      <c r="L8473">
        <v>219</v>
      </c>
      <c r="M8473">
        <v>1</v>
      </c>
      <c r="N8473">
        <v>1.48742E-80</v>
      </c>
      <c r="O8473">
        <v>757</v>
      </c>
    </row>
    <row r="8474" spans="1:15" x14ac:dyDescent="0.25">
      <c r="A8474" t="s">
        <v>8487</v>
      </c>
      <c r="B8474">
        <v>194</v>
      </c>
      <c r="C8474" s="1" t="str">
        <f>HYPERLINK("http://www.rosaceae.org/gb/gbrowse/malus_x_domestica/?name=MDP0000817278","MDP0000817278")</f>
        <v>MDP0000817278</v>
      </c>
      <c r="D8474">
        <v>75.91</v>
      </c>
      <c r="E8474">
        <v>191</v>
      </c>
      <c r="F8474">
        <v>46</v>
      </c>
      <c r="G8474">
        <v>6</v>
      </c>
      <c r="H8474">
        <v>1</v>
      </c>
      <c r="I8474">
        <v>191</v>
      </c>
      <c r="J8474">
        <v>1</v>
      </c>
      <c r="K8474">
        <v>1</v>
      </c>
      <c r="L8474">
        <v>185</v>
      </c>
      <c r="M8474">
        <v>1</v>
      </c>
      <c r="N8474">
        <v>1.66172E-79</v>
      </c>
      <c r="O8474">
        <v>747</v>
      </c>
    </row>
    <row r="8475" spans="1:15" x14ac:dyDescent="0.25">
      <c r="A8475" t="s">
        <v>8488</v>
      </c>
      <c r="B8475">
        <v>609</v>
      </c>
      <c r="C8475" s="1" t="str">
        <f>HYPERLINK("http://www.rosaceae.org/gb/gbrowse/malus_x_domestica/?name=MDP0000318606","MDP0000318606")</f>
        <v>MDP0000318606</v>
      </c>
      <c r="D8475">
        <v>54.36</v>
      </c>
      <c r="E8475">
        <v>561</v>
      </c>
      <c r="F8475">
        <v>256</v>
      </c>
      <c r="G8475">
        <v>30</v>
      </c>
      <c r="H8475">
        <v>44</v>
      </c>
      <c r="I8475">
        <v>597</v>
      </c>
      <c r="J8475">
        <v>1</v>
      </c>
      <c r="K8475">
        <v>30</v>
      </c>
      <c r="L8475">
        <v>567</v>
      </c>
      <c r="M8475">
        <v>1</v>
      </c>
      <c r="N8475">
        <v>0</v>
      </c>
      <c r="O8475">
        <v>1662</v>
      </c>
    </row>
    <row r="8476" spans="1:15" x14ac:dyDescent="0.25">
      <c r="A8476" t="s">
        <v>8489</v>
      </c>
      <c r="B8476">
        <v>238</v>
      </c>
      <c r="C8476" s="1" t="str">
        <f>HYPERLINK("http://www.rosaceae.org/gb/gbrowse/malus_x_domestica/?name=MDP0000254363","MDP0000254363")</f>
        <v>MDP0000254363</v>
      </c>
      <c r="D8476">
        <v>65.83</v>
      </c>
      <c r="E8476">
        <v>240</v>
      </c>
      <c r="F8476">
        <v>82</v>
      </c>
      <c r="G8476">
        <v>4</v>
      </c>
      <c r="H8476">
        <v>1</v>
      </c>
      <c r="I8476">
        <v>238</v>
      </c>
      <c r="J8476">
        <v>1</v>
      </c>
      <c r="K8476">
        <v>1</v>
      </c>
      <c r="L8476">
        <v>238</v>
      </c>
      <c r="M8476">
        <v>1</v>
      </c>
      <c r="N8476">
        <v>8.0682999999999999E-86</v>
      </c>
      <c r="O8476">
        <v>803</v>
      </c>
    </row>
    <row r="8477" spans="1:15" x14ac:dyDescent="0.25">
      <c r="A8477" t="s">
        <v>8490</v>
      </c>
      <c r="B8477">
        <v>122</v>
      </c>
      <c r="C8477" s="1" t="str">
        <f>HYPERLINK("http://www.rosaceae.org/gb/gbrowse/malus_x_domestica/?name=MDP0000638064","MDP0000638064")</f>
        <v>MDP0000638064</v>
      </c>
      <c r="D8477">
        <v>58.82</v>
      </c>
      <c r="E8477">
        <v>51</v>
      </c>
      <c r="F8477">
        <v>21</v>
      </c>
      <c r="G8477">
        <v>1</v>
      </c>
      <c r="H8477">
        <v>39</v>
      </c>
      <c r="I8477">
        <v>88</v>
      </c>
      <c r="J8477">
        <v>1</v>
      </c>
      <c r="K8477">
        <v>91</v>
      </c>
      <c r="L8477">
        <v>141</v>
      </c>
      <c r="M8477">
        <v>1</v>
      </c>
      <c r="N8477">
        <v>2.2498999999999999E-9</v>
      </c>
      <c r="O8477">
        <v>138</v>
      </c>
    </row>
    <row r="8478" spans="1:15" x14ac:dyDescent="0.25">
      <c r="A8478" t="s">
        <v>8491</v>
      </c>
      <c r="B8478">
        <v>599</v>
      </c>
      <c r="C8478" s="1" t="str">
        <f>HYPERLINK("http://www.rosaceae.org/gb/gbrowse/malus_x_domestica/?name=MDP0000156100","MDP0000156100")</f>
        <v>MDP0000156100</v>
      </c>
      <c r="D8478">
        <v>47.66</v>
      </c>
      <c r="E8478">
        <v>621</v>
      </c>
      <c r="F8478">
        <v>325</v>
      </c>
      <c r="G8478">
        <v>71</v>
      </c>
      <c r="H8478">
        <v>16</v>
      </c>
      <c r="I8478">
        <v>593</v>
      </c>
      <c r="J8478">
        <v>1</v>
      </c>
      <c r="K8478">
        <v>89</v>
      </c>
      <c r="L8478">
        <v>681</v>
      </c>
      <c r="M8478">
        <v>1</v>
      </c>
      <c r="N8478">
        <v>3.2372000000000002E-152</v>
      </c>
      <c r="O8478">
        <v>1380</v>
      </c>
    </row>
    <row r="8479" spans="1:15" x14ac:dyDescent="0.25">
      <c r="A8479" t="s">
        <v>8492</v>
      </c>
      <c r="B8479">
        <v>677</v>
      </c>
      <c r="C8479" s="1" t="str">
        <f>HYPERLINK("http://www.rosaceae.org/gb/gbrowse/malus_x_domestica/?name=MDP0000236750","MDP0000236750")</f>
        <v>MDP0000236750</v>
      </c>
      <c r="D8479">
        <v>38.04</v>
      </c>
      <c r="E8479">
        <v>502</v>
      </c>
      <c r="F8479">
        <v>311</v>
      </c>
      <c r="G8479">
        <v>96</v>
      </c>
      <c r="H8479">
        <v>10</v>
      </c>
      <c r="I8479">
        <v>464</v>
      </c>
      <c r="J8479">
        <v>1</v>
      </c>
      <c r="K8479">
        <v>437</v>
      </c>
      <c r="L8479">
        <v>889</v>
      </c>
      <c r="M8479">
        <v>1</v>
      </c>
      <c r="N8479">
        <v>7.0186199999999998E-74</v>
      </c>
      <c r="O8479">
        <v>705</v>
      </c>
    </row>
    <row r="8480" spans="1:15" x14ac:dyDescent="0.25">
      <c r="A8480" t="s">
        <v>8493</v>
      </c>
      <c r="B8480">
        <v>124</v>
      </c>
      <c r="C8480" s="1" t="str">
        <f>HYPERLINK("http://www.rosaceae.org/gb/gbrowse/malus_x_domestica/?name=MDP0000185506","MDP0000185506")</f>
        <v>MDP0000185506</v>
      </c>
      <c r="D8480">
        <v>93.54</v>
      </c>
      <c r="E8480">
        <v>124</v>
      </c>
      <c r="F8480">
        <v>8</v>
      </c>
      <c r="G8480">
        <v>0</v>
      </c>
      <c r="H8480">
        <v>1</v>
      </c>
      <c r="I8480">
        <v>124</v>
      </c>
      <c r="J8480">
        <v>1</v>
      </c>
      <c r="K8480">
        <v>119</v>
      </c>
      <c r="L8480">
        <v>242</v>
      </c>
      <c r="M8480">
        <v>1</v>
      </c>
      <c r="N8480">
        <v>1.40078E-65</v>
      </c>
      <c r="O8480">
        <v>623</v>
      </c>
    </row>
    <row r="8481" spans="1:15" x14ac:dyDescent="0.25">
      <c r="A8481" t="s">
        <v>8494</v>
      </c>
      <c r="B8481">
        <v>177</v>
      </c>
      <c r="C8481" s="1" t="str">
        <f>HYPERLINK("http://www.rosaceae.org/gb/gbrowse/malus_x_domestica/?name=MDP0000129393","MDP0000129393")</f>
        <v>MDP0000129393</v>
      </c>
      <c r="D8481">
        <v>70.959999999999994</v>
      </c>
      <c r="E8481">
        <v>31</v>
      </c>
      <c r="F8481">
        <v>9</v>
      </c>
      <c r="G8481">
        <v>0</v>
      </c>
      <c r="H8481">
        <v>96</v>
      </c>
      <c r="I8481">
        <v>126</v>
      </c>
      <c r="J8481">
        <v>1</v>
      </c>
      <c r="K8481">
        <v>1</v>
      </c>
      <c r="L8481">
        <v>31</v>
      </c>
      <c r="M8481">
        <v>1</v>
      </c>
      <c r="N8481">
        <v>2.6305299999999999E-8</v>
      </c>
      <c r="O8481">
        <v>132</v>
      </c>
    </row>
    <row r="8482" spans="1:15" x14ac:dyDescent="0.25">
      <c r="A8482" t="s">
        <v>8495</v>
      </c>
      <c r="B8482">
        <v>263</v>
      </c>
      <c r="C8482" s="1" t="str">
        <f>HYPERLINK("http://www.rosaceae.org/gb/gbrowse/malus_x_domestica/?name=MDP0000327058","MDP0000327058")</f>
        <v>MDP0000327058</v>
      </c>
      <c r="D8482">
        <v>93.35</v>
      </c>
      <c r="E8482">
        <v>256</v>
      </c>
      <c r="F8482">
        <v>17</v>
      </c>
      <c r="G8482">
        <v>0</v>
      </c>
      <c r="H8482">
        <v>3</v>
      </c>
      <c r="I8482">
        <v>258</v>
      </c>
      <c r="J8482">
        <v>1</v>
      </c>
      <c r="K8482">
        <v>39</v>
      </c>
      <c r="L8482">
        <v>294</v>
      </c>
      <c r="M8482">
        <v>1</v>
      </c>
      <c r="N8482">
        <v>1.3181500000000001E-141</v>
      </c>
      <c r="O8482">
        <v>1284</v>
      </c>
    </row>
    <row r="8483" spans="1:15" x14ac:dyDescent="0.25">
      <c r="A8483" t="s">
        <v>8496</v>
      </c>
      <c r="B8483">
        <v>678</v>
      </c>
      <c r="C8483" s="1" t="str">
        <f>HYPERLINK("http://www.rosaceae.org/gb/gbrowse/malus_x_domestica/?name=MDP0000259047","MDP0000259047")</f>
        <v>MDP0000259047</v>
      </c>
      <c r="D8483">
        <v>60.74</v>
      </c>
      <c r="E8483">
        <v>349</v>
      </c>
      <c r="F8483">
        <v>137</v>
      </c>
      <c r="G8483">
        <v>14</v>
      </c>
      <c r="H8483">
        <v>1</v>
      </c>
      <c r="I8483">
        <v>349</v>
      </c>
      <c r="J8483">
        <v>1</v>
      </c>
      <c r="K8483">
        <v>178</v>
      </c>
      <c r="L8483">
        <v>512</v>
      </c>
      <c r="M8483">
        <v>1</v>
      </c>
      <c r="N8483">
        <v>6.6965300000000002E-127</v>
      </c>
      <c r="O8483">
        <v>1162</v>
      </c>
    </row>
    <row r="8484" spans="1:15" x14ac:dyDescent="0.25">
      <c r="A8484" t="s">
        <v>8497</v>
      </c>
      <c r="B8484">
        <v>111</v>
      </c>
      <c r="C8484" s="1" t="str">
        <f>HYPERLINK("http://www.rosaceae.org/gb/gbrowse/malus_x_domestica/?name=MDP0000325082","MDP0000325082")</f>
        <v>MDP0000325082</v>
      </c>
      <c r="D8484">
        <v>70.66</v>
      </c>
      <c r="E8484">
        <v>75</v>
      </c>
      <c r="F8484">
        <v>22</v>
      </c>
      <c r="G8484">
        <v>2</v>
      </c>
      <c r="H8484">
        <v>14</v>
      </c>
      <c r="I8484">
        <v>88</v>
      </c>
      <c r="J8484">
        <v>1</v>
      </c>
      <c r="K8484">
        <v>46</v>
      </c>
      <c r="L8484">
        <v>118</v>
      </c>
      <c r="M8484">
        <v>1</v>
      </c>
      <c r="N8484">
        <v>1.2966099999999999E-24</v>
      </c>
      <c r="O8484">
        <v>270</v>
      </c>
    </row>
    <row r="8485" spans="1:15" x14ac:dyDescent="0.25">
      <c r="A8485" t="s">
        <v>8498</v>
      </c>
      <c r="B8485">
        <v>303</v>
      </c>
      <c r="C8485" s="1" t="str">
        <f>HYPERLINK("http://www.rosaceae.org/gb/gbrowse/malus_x_domestica/?name=MDP0000131669","MDP0000131669")</f>
        <v>MDP0000131669</v>
      </c>
      <c r="D8485">
        <v>41.66</v>
      </c>
      <c r="E8485">
        <v>84</v>
      </c>
      <c r="F8485">
        <v>49</v>
      </c>
      <c r="G8485">
        <v>0</v>
      </c>
      <c r="H8485">
        <v>135</v>
      </c>
      <c r="I8485">
        <v>218</v>
      </c>
      <c r="J8485">
        <v>1</v>
      </c>
      <c r="K8485">
        <v>30</v>
      </c>
      <c r="L8485">
        <v>113</v>
      </c>
      <c r="M8485">
        <v>1</v>
      </c>
      <c r="N8485">
        <v>1.7599300000000002E-18</v>
      </c>
      <c r="O8485">
        <v>223</v>
      </c>
    </row>
    <row r="8486" spans="1:15" x14ac:dyDescent="0.25">
      <c r="A8486" t="s">
        <v>8499</v>
      </c>
      <c r="B8486">
        <v>952</v>
      </c>
      <c r="C8486" s="1" t="str">
        <f>HYPERLINK("http://www.rosaceae.org/gb/gbrowse/malus_x_domestica/?name=MDP0000718454","MDP0000718454")</f>
        <v>MDP0000718454</v>
      </c>
      <c r="D8486">
        <v>69.319999999999993</v>
      </c>
      <c r="E8486">
        <v>952</v>
      </c>
      <c r="F8486">
        <v>292</v>
      </c>
      <c r="G8486">
        <v>6</v>
      </c>
      <c r="H8486">
        <v>1</v>
      </c>
      <c r="I8486">
        <v>949</v>
      </c>
      <c r="J8486">
        <v>1</v>
      </c>
      <c r="K8486">
        <v>1</v>
      </c>
      <c r="L8486">
        <v>949</v>
      </c>
      <c r="M8486">
        <v>1</v>
      </c>
      <c r="N8486">
        <v>0</v>
      </c>
      <c r="O8486">
        <v>3427</v>
      </c>
    </row>
    <row r="8487" spans="1:15" x14ac:dyDescent="0.25">
      <c r="A8487" t="s">
        <v>8500</v>
      </c>
      <c r="B8487">
        <v>126</v>
      </c>
      <c r="C8487" s="1" t="str">
        <f>HYPERLINK("http://www.rosaceae.org/gb/gbrowse/malus_x_domestica/?name=MDP0000165017","MDP0000165017")</f>
        <v>MDP0000165017</v>
      </c>
      <c r="D8487">
        <v>51.02</v>
      </c>
      <c r="E8487">
        <v>98</v>
      </c>
      <c r="F8487">
        <v>48</v>
      </c>
      <c r="G8487">
        <v>18</v>
      </c>
      <c r="H8487">
        <v>43</v>
      </c>
      <c r="I8487">
        <v>123</v>
      </c>
      <c r="J8487">
        <v>1</v>
      </c>
      <c r="K8487">
        <v>135</v>
      </c>
      <c r="L8487">
        <v>231</v>
      </c>
      <c r="M8487">
        <v>1</v>
      </c>
      <c r="N8487">
        <v>4.4942300000000002E-17</v>
      </c>
      <c r="O8487">
        <v>205</v>
      </c>
    </row>
    <row r="8488" spans="1:15" x14ac:dyDescent="0.25">
      <c r="A8488" t="s">
        <v>8501</v>
      </c>
      <c r="B8488">
        <v>350</v>
      </c>
      <c r="C8488" s="1" t="str">
        <f>HYPERLINK("http://www.rosaceae.org/gb/gbrowse/malus_x_domestica/?name=MDP0000214930","MDP0000214930")</f>
        <v>MDP0000214930</v>
      </c>
      <c r="D8488">
        <v>87.42</v>
      </c>
      <c r="E8488">
        <v>350</v>
      </c>
      <c r="F8488">
        <v>44</v>
      </c>
      <c r="G8488">
        <v>0</v>
      </c>
      <c r="H8488">
        <v>1</v>
      </c>
      <c r="I8488">
        <v>350</v>
      </c>
      <c r="J8488">
        <v>1</v>
      </c>
      <c r="K8488">
        <v>4</v>
      </c>
      <c r="L8488">
        <v>353</v>
      </c>
      <c r="M8488">
        <v>1</v>
      </c>
      <c r="N8488">
        <v>1.9259799999999999E-178</v>
      </c>
      <c r="O8488">
        <v>1604</v>
      </c>
    </row>
    <row r="8489" spans="1:15" x14ac:dyDescent="0.25">
      <c r="A8489" t="s">
        <v>8502</v>
      </c>
      <c r="B8489">
        <v>188</v>
      </c>
      <c r="C8489" s="1" t="str">
        <f>HYPERLINK("http://www.rosaceae.org/gb/gbrowse/malus_x_domestica/?name=MDP0000279220","MDP0000279220")</f>
        <v>MDP0000279220</v>
      </c>
      <c r="D8489">
        <v>75.75</v>
      </c>
      <c r="E8489">
        <v>132</v>
      </c>
      <c r="F8489">
        <v>32</v>
      </c>
      <c r="G8489">
        <v>0</v>
      </c>
      <c r="H8489">
        <v>57</v>
      </c>
      <c r="I8489">
        <v>188</v>
      </c>
      <c r="J8489">
        <v>1</v>
      </c>
      <c r="K8489">
        <v>281</v>
      </c>
      <c r="L8489">
        <v>412</v>
      </c>
      <c r="M8489">
        <v>1</v>
      </c>
      <c r="N8489">
        <v>7.9076200000000007E-52</v>
      </c>
      <c r="O8489">
        <v>508</v>
      </c>
    </row>
    <row r="8490" spans="1:15" x14ac:dyDescent="0.25">
      <c r="A8490" t="s">
        <v>8503</v>
      </c>
      <c r="B8490">
        <v>911</v>
      </c>
      <c r="C8490" s="1" t="str">
        <f>HYPERLINK("http://www.rosaceae.org/gb/gbrowse/malus_x_domestica/?name=MDP0000216575","MDP0000216575")</f>
        <v>MDP0000216575</v>
      </c>
      <c r="D8490">
        <v>74.680000000000007</v>
      </c>
      <c r="E8490">
        <v>881</v>
      </c>
      <c r="F8490">
        <v>223</v>
      </c>
      <c r="G8490">
        <v>55</v>
      </c>
      <c r="H8490">
        <v>1</v>
      </c>
      <c r="I8490">
        <v>832</v>
      </c>
      <c r="J8490">
        <v>1</v>
      </c>
      <c r="K8490">
        <v>1</v>
      </c>
      <c r="L8490">
        <v>875</v>
      </c>
      <c r="M8490">
        <v>1</v>
      </c>
      <c r="N8490">
        <v>0</v>
      </c>
      <c r="O8490">
        <v>3480</v>
      </c>
    </row>
    <row r="8491" spans="1:15" x14ac:dyDescent="0.25">
      <c r="A8491" t="s">
        <v>8504</v>
      </c>
      <c r="B8491">
        <v>215</v>
      </c>
      <c r="C8491" s="1" t="str">
        <f>HYPERLINK("http://www.rosaceae.org/gb/gbrowse/malus_x_domestica/?name=MDP0000316665","MDP0000316665")</f>
        <v>MDP0000316665</v>
      </c>
      <c r="D8491">
        <v>42.23</v>
      </c>
      <c r="E8491">
        <v>161</v>
      </c>
      <c r="F8491">
        <v>93</v>
      </c>
      <c r="G8491">
        <v>11</v>
      </c>
      <c r="H8491">
        <v>1</v>
      </c>
      <c r="I8491">
        <v>157</v>
      </c>
      <c r="J8491">
        <v>1</v>
      </c>
      <c r="K8491">
        <v>406</v>
      </c>
      <c r="L8491">
        <v>559</v>
      </c>
      <c r="M8491">
        <v>1</v>
      </c>
      <c r="N8491">
        <v>1.08562E-29</v>
      </c>
      <c r="O8491">
        <v>318</v>
      </c>
    </row>
    <row r="8492" spans="1:15" x14ac:dyDescent="0.25">
      <c r="A8492" t="s">
        <v>8505</v>
      </c>
      <c r="B8492">
        <v>1384</v>
      </c>
      <c r="C8492" s="1" t="str">
        <f>HYPERLINK("http://www.rosaceae.org/gb/gbrowse/malus_x_domestica/?name=MDP0000561556","MDP0000561556")</f>
        <v>MDP0000561556</v>
      </c>
      <c r="D8492">
        <v>54.32</v>
      </c>
      <c r="E8492">
        <v>1421</v>
      </c>
      <c r="F8492">
        <v>649</v>
      </c>
      <c r="G8492">
        <v>60</v>
      </c>
      <c r="H8492">
        <v>2</v>
      </c>
      <c r="I8492">
        <v>1384</v>
      </c>
      <c r="J8492">
        <v>1</v>
      </c>
      <c r="K8492">
        <v>3</v>
      </c>
      <c r="L8492">
        <v>1401</v>
      </c>
      <c r="M8492">
        <v>1</v>
      </c>
      <c r="N8492">
        <v>0</v>
      </c>
      <c r="O8492">
        <v>3506</v>
      </c>
    </row>
    <row r="8493" spans="1:15" x14ac:dyDescent="0.25">
      <c r="A8493" t="s">
        <v>8506</v>
      </c>
      <c r="B8493">
        <v>368</v>
      </c>
      <c r="C8493" s="1" t="str">
        <f>HYPERLINK("http://www.rosaceae.org/gb/gbrowse/malus_x_domestica/?name=MDP0000853667","MDP0000853667")</f>
        <v>MDP0000853667</v>
      </c>
      <c r="D8493">
        <v>45.29</v>
      </c>
      <c r="E8493">
        <v>234</v>
      </c>
      <c r="F8493">
        <v>128</v>
      </c>
      <c r="G8493">
        <v>18</v>
      </c>
      <c r="H8493">
        <v>1</v>
      </c>
      <c r="I8493">
        <v>234</v>
      </c>
      <c r="J8493">
        <v>1</v>
      </c>
      <c r="K8493">
        <v>14</v>
      </c>
      <c r="L8493">
        <v>229</v>
      </c>
      <c r="M8493">
        <v>1</v>
      </c>
      <c r="N8493">
        <v>8.5078000000000004E-49</v>
      </c>
      <c r="O8493">
        <v>486</v>
      </c>
    </row>
    <row r="8494" spans="1:15" x14ac:dyDescent="0.25">
      <c r="A8494" t="s">
        <v>8507</v>
      </c>
      <c r="B8494">
        <v>256</v>
      </c>
      <c r="C8494" s="1" t="str">
        <f>HYPERLINK("http://www.rosaceae.org/gb/gbrowse/malus_x_domestica/?name=MDP0000432072","MDP0000432072")</f>
        <v>MDP0000432072</v>
      </c>
      <c r="D8494">
        <v>44.73</v>
      </c>
      <c r="E8494">
        <v>266</v>
      </c>
      <c r="F8494">
        <v>147</v>
      </c>
      <c r="G8494">
        <v>51</v>
      </c>
      <c r="H8494">
        <v>8</v>
      </c>
      <c r="I8494">
        <v>231</v>
      </c>
      <c r="J8494">
        <v>1</v>
      </c>
      <c r="K8494">
        <v>580</v>
      </c>
      <c r="L8494">
        <v>836</v>
      </c>
      <c r="M8494">
        <v>1</v>
      </c>
      <c r="N8494">
        <v>1.76273E-51</v>
      </c>
      <c r="O8494">
        <v>507</v>
      </c>
    </row>
    <row r="8495" spans="1:15" x14ac:dyDescent="0.25">
      <c r="A8495" t="s">
        <v>8508</v>
      </c>
      <c r="B8495">
        <v>476</v>
      </c>
      <c r="C8495" s="1" t="str">
        <f>HYPERLINK("http://www.rosaceae.org/gb/gbrowse/malus_x_domestica/?name=MDP0000196404","MDP0000196404")</f>
        <v>MDP0000196404</v>
      </c>
      <c r="D8495">
        <v>63.15</v>
      </c>
      <c r="E8495">
        <v>475</v>
      </c>
      <c r="F8495">
        <v>175</v>
      </c>
      <c r="G8495">
        <v>8</v>
      </c>
      <c r="H8495">
        <v>4</v>
      </c>
      <c r="I8495">
        <v>476</v>
      </c>
      <c r="J8495">
        <v>1</v>
      </c>
      <c r="K8495">
        <v>1</v>
      </c>
      <c r="L8495">
        <v>469</v>
      </c>
      <c r="M8495">
        <v>1</v>
      </c>
      <c r="N8495">
        <v>4.8406799999999999E-172</v>
      </c>
      <c r="O8495">
        <v>1550</v>
      </c>
    </row>
    <row r="8496" spans="1:15" x14ac:dyDescent="0.25">
      <c r="A8496" t="s">
        <v>8509</v>
      </c>
      <c r="B8496">
        <v>231</v>
      </c>
      <c r="C8496" s="1" t="str">
        <f>HYPERLINK("http://www.rosaceae.org/gb/gbrowse/malus_x_domestica/?name=MDP0000317819","MDP0000317819")</f>
        <v>MDP0000317819</v>
      </c>
      <c r="D8496">
        <v>71.900000000000006</v>
      </c>
      <c r="E8496">
        <v>210</v>
      </c>
      <c r="F8496">
        <v>59</v>
      </c>
      <c r="G8496">
        <v>0</v>
      </c>
      <c r="H8496">
        <v>21</v>
      </c>
      <c r="I8496">
        <v>230</v>
      </c>
      <c r="J8496">
        <v>1</v>
      </c>
      <c r="K8496">
        <v>24</v>
      </c>
      <c r="L8496">
        <v>233</v>
      </c>
      <c r="M8496">
        <v>1</v>
      </c>
      <c r="N8496">
        <v>4.4081699999999998E-92</v>
      </c>
      <c r="O8496">
        <v>857</v>
      </c>
    </row>
    <row r="8497" spans="1:15" x14ac:dyDescent="0.25">
      <c r="A8497" t="s">
        <v>8510</v>
      </c>
      <c r="B8497">
        <v>127</v>
      </c>
      <c r="C8497" s="1" t="str">
        <f>HYPERLINK("http://www.rosaceae.org/gb/gbrowse/malus_x_domestica/?name=MDP0000121830","MDP0000121830")</f>
        <v>MDP0000121830</v>
      </c>
      <c r="D8497">
        <v>80.53</v>
      </c>
      <c r="E8497">
        <v>113</v>
      </c>
      <c r="F8497">
        <v>22</v>
      </c>
      <c r="G8497">
        <v>1</v>
      </c>
      <c r="H8497">
        <v>1</v>
      </c>
      <c r="I8497">
        <v>113</v>
      </c>
      <c r="J8497">
        <v>1</v>
      </c>
      <c r="K8497">
        <v>823</v>
      </c>
      <c r="L8497">
        <v>934</v>
      </c>
      <c r="M8497">
        <v>1</v>
      </c>
      <c r="N8497">
        <v>4.9770400000000004E-50</v>
      </c>
      <c r="O8497">
        <v>489</v>
      </c>
    </row>
    <row r="8498" spans="1:15" x14ac:dyDescent="0.25">
      <c r="A8498" t="s">
        <v>8511</v>
      </c>
      <c r="B8498">
        <v>605</v>
      </c>
      <c r="C8498" s="1" t="str">
        <f>HYPERLINK("http://www.rosaceae.org/gb/gbrowse/malus_x_domestica/?name=MDP0000172863","MDP0000172863")</f>
        <v>MDP0000172863</v>
      </c>
      <c r="D8498">
        <v>78.45</v>
      </c>
      <c r="E8498">
        <v>608</v>
      </c>
      <c r="F8498">
        <v>131</v>
      </c>
      <c r="G8498">
        <v>4</v>
      </c>
      <c r="H8498">
        <v>1</v>
      </c>
      <c r="I8498">
        <v>605</v>
      </c>
      <c r="J8498">
        <v>1</v>
      </c>
      <c r="K8498">
        <v>1</v>
      </c>
      <c r="L8498">
        <v>607</v>
      </c>
      <c r="M8498">
        <v>1</v>
      </c>
      <c r="N8498">
        <v>0</v>
      </c>
      <c r="O8498">
        <v>2496</v>
      </c>
    </row>
    <row r="8499" spans="1:15" x14ac:dyDescent="0.25">
      <c r="A8499" t="s">
        <v>8512</v>
      </c>
      <c r="B8499">
        <v>2825</v>
      </c>
      <c r="C8499" s="1" t="str">
        <f>HYPERLINK("http://www.rosaceae.org/gb/gbrowse/malus_x_domestica/?name=MDP0000541780","MDP0000541780")</f>
        <v>MDP0000541780</v>
      </c>
      <c r="D8499">
        <v>58.68</v>
      </c>
      <c r="E8499">
        <v>1728</v>
      </c>
      <c r="F8499">
        <v>714</v>
      </c>
      <c r="G8499">
        <v>150</v>
      </c>
      <c r="H8499">
        <v>179</v>
      </c>
      <c r="I8499">
        <v>1827</v>
      </c>
      <c r="J8499">
        <v>1</v>
      </c>
      <c r="K8499">
        <v>31</v>
      </c>
      <c r="L8499">
        <v>1687</v>
      </c>
      <c r="M8499">
        <v>1</v>
      </c>
      <c r="N8499">
        <v>0</v>
      </c>
      <c r="O8499">
        <v>4854</v>
      </c>
    </row>
    <row r="8500" spans="1:15" x14ac:dyDescent="0.25">
      <c r="A8500" t="s">
        <v>8513</v>
      </c>
      <c r="B8500">
        <v>208</v>
      </c>
      <c r="C8500" s="1" t="str">
        <f>HYPERLINK("http://www.rosaceae.org/gb/gbrowse/malus_x_domestica/?name=MDP0000123888","MDP0000123888")</f>
        <v>MDP0000123888</v>
      </c>
      <c r="D8500">
        <v>83.33</v>
      </c>
      <c r="E8500">
        <v>96</v>
      </c>
      <c r="F8500">
        <v>16</v>
      </c>
      <c r="G8500">
        <v>1</v>
      </c>
      <c r="H8500">
        <v>105</v>
      </c>
      <c r="I8500">
        <v>200</v>
      </c>
      <c r="J8500">
        <v>1</v>
      </c>
      <c r="K8500">
        <v>92</v>
      </c>
      <c r="L8500">
        <v>186</v>
      </c>
      <c r="M8500">
        <v>1</v>
      </c>
      <c r="N8500">
        <v>1.8361699999999999E-45</v>
      </c>
      <c r="O8500">
        <v>454</v>
      </c>
    </row>
    <row r="8501" spans="1:15" x14ac:dyDescent="0.25">
      <c r="A8501" t="s">
        <v>8514</v>
      </c>
      <c r="B8501">
        <v>520</v>
      </c>
      <c r="C8501" s="1" t="str">
        <f>HYPERLINK("http://www.rosaceae.org/gb/gbrowse/malus_x_domestica/?name=MDP0000156544","MDP0000156544")</f>
        <v>MDP0000156544</v>
      </c>
      <c r="D8501">
        <v>51.64</v>
      </c>
      <c r="E8501">
        <v>457</v>
      </c>
      <c r="F8501">
        <v>221</v>
      </c>
      <c r="G8501">
        <v>9</v>
      </c>
      <c r="H8501">
        <v>68</v>
      </c>
      <c r="I8501">
        <v>519</v>
      </c>
      <c r="J8501">
        <v>1</v>
      </c>
      <c r="K8501">
        <v>68</v>
      </c>
      <c r="L8501">
        <v>520</v>
      </c>
      <c r="M8501">
        <v>1</v>
      </c>
      <c r="N8501">
        <v>2.1383200000000001E-134</v>
      </c>
      <c r="O8501">
        <v>1226</v>
      </c>
    </row>
    <row r="8502" spans="1:15" x14ac:dyDescent="0.25">
      <c r="A8502" t="s">
        <v>8515</v>
      </c>
      <c r="B8502">
        <v>445</v>
      </c>
      <c r="C8502" s="1" t="str">
        <f>HYPERLINK("http://www.rosaceae.org/gb/gbrowse/malus_x_domestica/?name=MDP0000242236","MDP0000242236")</f>
        <v>MDP0000242236</v>
      </c>
      <c r="D8502">
        <v>87</v>
      </c>
      <c r="E8502">
        <v>454</v>
      </c>
      <c r="F8502">
        <v>59</v>
      </c>
      <c r="G8502">
        <v>9</v>
      </c>
      <c r="H8502">
        <v>1</v>
      </c>
      <c r="I8502">
        <v>445</v>
      </c>
      <c r="J8502">
        <v>1</v>
      </c>
      <c r="K8502">
        <v>1</v>
      </c>
      <c r="L8502">
        <v>454</v>
      </c>
      <c r="M8502">
        <v>1</v>
      </c>
      <c r="N8502">
        <v>0</v>
      </c>
      <c r="O8502">
        <v>2075</v>
      </c>
    </row>
    <row r="8503" spans="1:15" x14ac:dyDescent="0.25">
      <c r="A8503" t="s">
        <v>8516</v>
      </c>
      <c r="B8503">
        <v>837</v>
      </c>
      <c r="C8503" s="1" t="str">
        <f>HYPERLINK("http://www.rosaceae.org/gb/gbrowse/malus_x_domestica/?name=MDP0000473844","MDP0000473844")</f>
        <v>MDP0000473844</v>
      </c>
      <c r="D8503">
        <v>55.36</v>
      </c>
      <c r="E8503">
        <v>979</v>
      </c>
      <c r="F8503">
        <v>437</v>
      </c>
      <c r="G8503">
        <v>155</v>
      </c>
      <c r="H8503">
        <v>2</v>
      </c>
      <c r="I8503">
        <v>832</v>
      </c>
      <c r="J8503">
        <v>1</v>
      </c>
      <c r="K8503">
        <v>6</v>
      </c>
      <c r="L8503">
        <v>977</v>
      </c>
      <c r="M8503">
        <v>1</v>
      </c>
      <c r="N8503">
        <v>0</v>
      </c>
      <c r="O8503">
        <v>2468</v>
      </c>
    </row>
    <row r="8504" spans="1:15" x14ac:dyDescent="0.25">
      <c r="A8504" t="s">
        <v>8517</v>
      </c>
      <c r="B8504">
        <v>238</v>
      </c>
      <c r="C8504" s="1" t="str">
        <f>HYPERLINK("http://www.rosaceae.org/gb/gbrowse/malus_x_domestica/?name=MDP0000241776","MDP0000241776")</f>
        <v>MDP0000241776</v>
      </c>
      <c r="D8504">
        <v>39.33</v>
      </c>
      <c r="E8504">
        <v>211</v>
      </c>
      <c r="F8504">
        <v>128</v>
      </c>
      <c r="G8504">
        <v>7</v>
      </c>
      <c r="H8504">
        <v>1</v>
      </c>
      <c r="I8504">
        <v>204</v>
      </c>
      <c r="J8504">
        <v>1</v>
      </c>
      <c r="K8504">
        <v>158</v>
      </c>
      <c r="L8504">
        <v>368</v>
      </c>
      <c r="M8504">
        <v>1</v>
      </c>
      <c r="N8504">
        <v>4.3095800000000003E-33</v>
      </c>
      <c r="O8504">
        <v>348</v>
      </c>
    </row>
    <row r="8505" spans="1:15" x14ac:dyDescent="0.25">
      <c r="A8505" t="s">
        <v>8518</v>
      </c>
      <c r="B8505">
        <v>136</v>
      </c>
      <c r="C8505" s="1" t="str">
        <f>HYPERLINK("http://www.rosaceae.org/gb/gbrowse/malus_x_domestica/?name=MDP0000269701","MDP0000269701")</f>
        <v>MDP0000269701</v>
      </c>
      <c r="D8505">
        <v>70.209999999999994</v>
      </c>
      <c r="E8505">
        <v>47</v>
      </c>
      <c r="F8505">
        <v>14</v>
      </c>
      <c r="G8505">
        <v>0</v>
      </c>
      <c r="H8505">
        <v>90</v>
      </c>
      <c r="I8505">
        <v>136</v>
      </c>
      <c r="J8505">
        <v>1</v>
      </c>
      <c r="K8505">
        <v>1415</v>
      </c>
      <c r="L8505">
        <v>1461</v>
      </c>
      <c r="M8505">
        <v>1</v>
      </c>
      <c r="N8505">
        <v>1.4948099999999999E-15</v>
      </c>
      <c r="O8505">
        <v>193</v>
      </c>
    </row>
    <row r="8506" spans="1:15" x14ac:dyDescent="0.25">
      <c r="A8506" t="s">
        <v>8519</v>
      </c>
      <c r="B8506">
        <v>482</v>
      </c>
      <c r="C8506" s="1" t="str">
        <f>HYPERLINK("http://www.rosaceae.org/gb/gbrowse/malus_x_domestica/?name=MDP0000144348","MDP0000144348")</f>
        <v>MDP0000144348</v>
      </c>
      <c r="D8506">
        <v>73.8</v>
      </c>
      <c r="E8506">
        <v>504</v>
      </c>
      <c r="F8506">
        <v>132</v>
      </c>
      <c r="G8506">
        <v>53</v>
      </c>
      <c r="H8506">
        <v>1</v>
      </c>
      <c r="I8506">
        <v>482</v>
      </c>
      <c r="J8506">
        <v>1</v>
      </c>
      <c r="K8506">
        <v>1</v>
      </c>
      <c r="L8506">
        <v>473</v>
      </c>
      <c r="M8506">
        <v>1</v>
      </c>
      <c r="N8506">
        <v>0</v>
      </c>
      <c r="O8506">
        <v>1801</v>
      </c>
    </row>
    <row r="8507" spans="1:15" x14ac:dyDescent="0.25">
      <c r="A8507" t="s">
        <v>8520</v>
      </c>
      <c r="B8507">
        <v>330</v>
      </c>
      <c r="C8507" s="1" t="str">
        <f>HYPERLINK("http://www.rosaceae.org/gb/gbrowse/malus_x_domestica/?name=MDP0000208105","MDP0000208105")</f>
        <v>MDP0000208105</v>
      </c>
      <c r="D8507">
        <v>81.69</v>
      </c>
      <c r="E8507">
        <v>295</v>
      </c>
      <c r="F8507">
        <v>54</v>
      </c>
      <c r="G8507">
        <v>11</v>
      </c>
      <c r="H8507">
        <v>21</v>
      </c>
      <c r="I8507">
        <v>304</v>
      </c>
      <c r="J8507">
        <v>1</v>
      </c>
      <c r="K8507">
        <v>28</v>
      </c>
      <c r="L8507">
        <v>322</v>
      </c>
      <c r="M8507">
        <v>1</v>
      </c>
      <c r="N8507">
        <v>1.7427499999999999E-144</v>
      </c>
      <c r="O8507">
        <v>1310</v>
      </c>
    </row>
    <row r="8508" spans="1:15" x14ac:dyDescent="0.25">
      <c r="A8508" t="s">
        <v>8521</v>
      </c>
      <c r="B8508">
        <v>549</v>
      </c>
      <c r="C8508" s="1" t="str">
        <f>HYPERLINK("http://www.rosaceae.org/gb/gbrowse/malus_x_domestica/?name=MDP0000783676","MDP0000783676")</f>
        <v>MDP0000783676</v>
      </c>
      <c r="D8508">
        <v>74.38</v>
      </c>
      <c r="E8508">
        <v>449</v>
      </c>
      <c r="F8508">
        <v>115</v>
      </c>
      <c r="G8508">
        <v>54</v>
      </c>
      <c r="H8508">
        <v>139</v>
      </c>
      <c r="I8508">
        <v>534</v>
      </c>
      <c r="J8508">
        <v>1</v>
      </c>
      <c r="K8508">
        <v>610</v>
      </c>
      <c r="L8508">
        <v>1057</v>
      </c>
      <c r="M8508">
        <v>1</v>
      </c>
      <c r="N8508">
        <v>0</v>
      </c>
      <c r="O8508">
        <v>1710</v>
      </c>
    </row>
    <row r="8509" spans="1:15" x14ac:dyDescent="0.25">
      <c r="A8509" t="s">
        <v>8522</v>
      </c>
      <c r="B8509">
        <v>174</v>
      </c>
      <c r="C8509" s="1" t="str">
        <f>HYPERLINK("http://www.rosaceae.org/gb/gbrowse/malus_x_domestica/?name=MDP0000141222","MDP0000141222")</f>
        <v>MDP0000141222</v>
      </c>
      <c r="D8509">
        <v>66.37</v>
      </c>
      <c r="E8509">
        <v>113</v>
      </c>
      <c r="F8509">
        <v>38</v>
      </c>
      <c r="G8509">
        <v>5</v>
      </c>
      <c r="H8509">
        <v>64</v>
      </c>
      <c r="I8509">
        <v>174</v>
      </c>
      <c r="J8509">
        <v>1</v>
      </c>
      <c r="K8509">
        <v>32</v>
      </c>
      <c r="L8509">
        <v>141</v>
      </c>
      <c r="M8509">
        <v>1</v>
      </c>
      <c r="N8509">
        <v>1.56245E-32</v>
      </c>
      <c r="O8509">
        <v>341</v>
      </c>
    </row>
    <row r="8510" spans="1:15" x14ac:dyDescent="0.25">
      <c r="A8510" t="s">
        <v>8523</v>
      </c>
      <c r="B8510">
        <v>735</v>
      </c>
      <c r="C8510" s="1" t="str">
        <f>HYPERLINK("http://www.rosaceae.org/gb/gbrowse/malus_x_domestica/?name=MDP0000281445","MDP0000281445")</f>
        <v>MDP0000281445</v>
      </c>
      <c r="D8510">
        <v>64.489999999999995</v>
      </c>
      <c r="E8510">
        <v>766</v>
      </c>
      <c r="F8510">
        <v>272</v>
      </c>
      <c r="G8510">
        <v>41</v>
      </c>
      <c r="H8510">
        <v>1</v>
      </c>
      <c r="I8510">
        <v>725</v>
      </c>
      <c r="J8510">
        <v>1</v>
      </c>
      <c r="K8510">
        <v>788</v>
      </c>
      <c r="L8510">
        <v>1553</v>
      </c>
      <c r="M8510">
        <v>1</v>
      </c>
      <c r="N8510">
        <v>0</v>
      </c>
      <c r="O8510">
        <v>2527</v>
      </c>
    </row>
    <row r="8511" spans="1:15" x14ac:dyDescent="0.25">
      <c r="A8511" t="s">
        <v>8524</v>
      </c>
      <c r="B8511">
        <v>330</v>
      </c>
      <c r="C8511" s="1" t="str">
        <f>HYPERLINK("http://www.rosaceae.org/gb/gbrowse/malus_x_domestica/?name=MDP0000250870","MDP0000250870")</f>
        <v>MDP0000250870</v>
      </c>
      <c r="D8511">
        <v>63.77</v>
      </c>
      <c r="E8511">
        <v>323</v>
      </c>
      <c r="F8511">
        <v>117</v>
      </c>
      <c r="G8511">
        <v>23</v>
      </c>
      <c r="H8511">
        <v>31</v>
      </c>
      <c r="I8511">
        <v>330</v>
      </c>
      <c r="J8511">
        <v>1</v>
      </c>
      <c r="K8511">
        <v>43</v>
      </c>
      <c r="L8511">
        <v>365</v>
      </c>
      <c r="M8511">
        <v>1</v>
      </c>
      <c r="N8511">
        <v>1.06042E-102</v>
      </c>
      <c r="O8511">
        <v>950</v>
      </c>
    </row>
    <row r="8512" spans="1:15" x14ac:dyDescent="0.25">
      <c r="A8512" t="s">
        <v>8525</v>
      </c>
      <c r="B8512">
        <v>591</v>
      </c>
      <c r="C8512" s="1" t="str">
        <f>HYPERLINK("http://www.rosaceae.org/gb/gbrowse/malus_x_domestica/?name=MDP0000263283","MDP0000263283")</f>
        <v>MDP0000263283</v>
      </c>
      <c r="D8512">
        <v>72.709999999999994</v>
      </c>
      <c r="E8512">
        <v>579</v>
      </c>
      <c r="F8512">
        <v>158</v>
      </c>
      <c r="G8512">
        <v>2</v>
      </c>
      <c r="H8512">
        <v>13</v>
      </c>
      <c r="I8512">
        <v>591</v>
      </c>
      <c r="J8512">
        <v>1</v>
      </c>
      <c r="K8512">
        <v>911</v>
      </c>
      <c r="L8512">
        <v>1487</v>
      </c>
      <c r="M8512">
        <v>1</v>
      </c>
      <c r="N8512">
        <v>0</v>
      </c>
      <c r="O8512">
        <v>2315</v>
      </c>
    </row>
    <row r="8513" spans="1:15" x14ac:dyDescent="0.25">
      <c r="A8513" t="s">
        <v>8526</v>
      </c>
      <c r="B8513">
        <v>1601</v>
      </c>
      <c r="C8513" s="1" t="str">
        <f>HYPERLINK("http://www.rosaceae.org/gb/gbrowse/malus_x_domestica/?name=MDP0000154668","MDP0000154668")</f>
        <v>MDP0000154668</v>
      </c>
      <c r="D8513">
        <v>78.510000000000005</v>
      </c>
      <c r="E8513">
        <v>698</v>
      </c>
      <c r="F8513">
        <v>150</v>
      </c>
      <c r="G8513">
        <v>11</v>
      </c>
      <c r="H8513">
        <v>889</v>
      </c>
      <c r="I8513">
        <v>1580</v>
      </c>
      <c r="J8513">
        <v>1</v>
      </c>
      <c r="K8513">
        <v>1</v>
      </c>
      <c r="L8513">
        <v>693</v>
      </c>
      <c r="M8513">
        <v>1</v>
      </c>
      <c r="N8513">
        <v>0</v>
      </c>
      <c r="O8513">
        <v>2940</v>
      </c>
    </row>
    <row r="8514" spans="1:15" x14ac:dyDescent="0.25">
      <c r="A8514" t="s">
        <v>8527</v>
      </c>
      <c r="B8514">
        <v>558</v>
      </c>
      <c r="C8514" s="1" t="str">
        <f>HYPERLINK("http://www.rosaceae.org/gb/gbrowse/malus_x_domestica/?name=MDP0000635271","MDP0000635271")</f>
        <v>MDP0000635271</v>
      </c>
      <c r="D8514">
        <v>52.75</v>
      </c>
      <c r="E8514">
        <v>127</v>
      </c>
      <c r="F8514">
        <v>60</v>
      </c>
      <c r="G8514">
        <v>31</v>
      </c>
      <c r="H8514">
        <v>190</v>
      </c>
      <c r="I8514">
        <v>285</v>
      </c>
      <c r="J8514">
        <v>1</v>
      </c>
      <c r="K8514">
        <v>1</v>
      </c>
      <c r="L8514">
        <v>127</v>
      </c>
      <c r="M8514">
        <v>1</v>
      </c>
      <c r="N8514">
        <v>1.9288E-25</v>
      </c>
      <c r="O8514">
        <v>286</v>
      </c>
    </row>
    <row r="8515" spans="1:15" x14ac:dyDescent="0.25">
      <c r="A8515" t="s">
        <v>8528</v>
      </c>
      <c r="B8515">
        <v>872</v>
      </c>
      <c r="C8515" s="1" t="str">
        <f>HYPERLINK("http://www.rosaceae.org/gb/gbrowse/malus_x_domestica/?name=MDP0000204875","MDP0000204875")</f>
        <v>MDP0000204875</v>
      </c>
      <c r="D8515">
        <v>42.15</v>
      </c>
      <c r="E8515">
        <v>491</v>
      </c>
      <c r="F8515">
        <v>284</v>
      </c>
      <c r="G8515">
        <v>21</v>
      </c>
      <c r="H8515">
        <v>164</v>
      </c>
      <c r="I8515">
        <v>639</v>
      </c>
      <c r="J8515">
        <v>1</v>
      </c>
      <c r="K8515">
        <v>51</v>
      </c>
      <c r="L8515">
        <v>535</v>
      </c>
      <c r="M8515">
        <v>1</v>
      </c>
      <c r="N8515">
        <v>1.68131E-116</v>
      </c>
      <c r="O8515">
        <v>1074</v>
      </c>
    </row>
    <row r="8516" spans="1:15" x14ac:dyDescent="0.25">
      <c r="A8516" t="s">
        <v>8529</v>
      </c>
      <c r="B8516">
        <v>455</v>
      </c>
      <c r="C8516" s="1" t="str">
        <f>HYPERLINK("http://www.rosaceae.org/gb/gbrowse/malus_x_domestica/?name=MDP0000561838","MDP0000561838")</f>
        <v>MDP0000561838</v>
      </c>
      <c r="D8516">
        <v>72.069999999999993</v>
      </c>
      <c r="E8516">
        <v>333</v>
      </c>
      <c r="F8516">
        <v>93</v>
      </c>
      <c r="G8516">
        <v>26</v>
      </c>
      <c r="H8516">
        <v>97</v>
      </c>
      <c r="I8516">
        <v>419</v>
      </c>
      <c r="J8516">
        <v>1</v>
      </c>
      <c r="K8516">
        <v>4</v>
      </c>
      <c r="L8516">
        <v>320</v>
      </c>
      <c r="M8516">
        <v>1</v>
      </c>
      <c r="N8516">
        <v>1.6426299999999999E-129</v>
      </c>
      <c r="O8516">
        <v>1183</v>
      </c>
    </row>
    <row r="8517" spans="1:15" x14ac:dyDescent="0.25">
      <c r="A8517" t="s">
        <v>8530</v>
      </c>
      <c r="B8517">
        <v>644</v>
      </c>
      <c r="C8517" s="1" t="str">
        <f>HYPERLINK("http://www.rosaceae.org/gb/gbrowse/malus_x_domestica/?name=MDP0000438504","MDP0000438504")</f>
        <v>MDP0000438504</v>
      </c>
      <c r="D8517">
        <v>86.28</v>
      </c>
      <c r="E8517">
        <v>226</v>
      </c>
      <c r="F8517">
        <v>31</v>
      </c>
      <c r="G8517">
        <v>0</v>
      </c>
      <c r="H8517">
        <v>125</v>
      </c>
      <c r="I8517">
        <v>350</v>
      </c>
      <c r="J8517">
        <v>1</v>
      </c>
      <c r="K8517">
        <v>1</v>
      </c>
      <c r="L8517">
        <v>226</v>
      </c>
      <c r="M8517">
        <v>1</v>
      </c>
      <c r="N8517">
        <v>3.3730599999999999E-121</v>
      </c>
      <c r="O8517">
        <v>1113</v>
      </c>
    </row>
    <row r="8518" spans="1:15" x14ac:dyDescent="0.25">
      <c r="A8518" t="s">
        <v>8531</v>
      </c>
      <c r="B8518">
        <v>264</v>
      </c>
      <c r="C8518" s="1" t="str">
        <f>HYPERLINK("http://www.rosaceae.org/gb/gbrowse/malus_x_domestica/?name=MDP0000811085","MDP0000811085")</f>
        <v>MDP0000811085</v>
      </c>
      <c r="D8518">
        <v>36.840000000000003</v>
      </c>
      <c r="E8518">
        <v>266</v>
      </c>
      <c r="F8518">
        <v>168</v>
      </c>
      <c r="G8518">
        <v>45</v>
      </c>
      <c r="H8518">
        <v>15</v>
      </c>
      <c r="I8518">
        <v>249</v>
      </c>
      <c r="J8518">
        <v>1</v>
      </c>
      <c r="K8518">
        <v>2</v>
      </c>
      <c r="L8518">
        <v>253</v>
      </c>
      <c r="M8518">
        <v>1</v>
      </c>
      <c r="N8518">
        <v>1.7540399999999999E-35</v>
      </c>
      <c r="O8518">
        <v>369</v>
      </c>
    </row>
    <row r="8519" spans="1:15" x14ac:dyDescent="0.25">
      <c r="A8519" t="s">
        <v>8532</v>
      </c>
      <c r="B8519">
        <v>499</v>
      </c>
      <c r="C8519" s="1" t="str">
        <f>HYPERLINK("http://www.rosaceae.org/gb/gbrowse/malus_x_domestica/?name=MDP0000264059","MDP0000264059")</f>
        <v>MDP0000264059</v>
      </c>
      <c r="D8519">
        <v>36.89</v>
      </c>
      <c r="E8519">
        <v>496</v>
      </c>
      <c r="F8519">
        <v>313</v>
      </c>
      <c r="G8519">
        <v>81</v>
      </c>
      <c r="H8519">
        <v>5</v>
      </c>
      <c r="I8519">
        <v>456</v>
      </c>
      <c r="J8519">
        <v>1</v>
      </c>
      <c r="K8519">
        <v>17</v>
      </c>
      <c r="L8519">
        <v>475</v>
      </c>
      <c r="M8519">
        <v>1</v>
      </c>
      <c r="N8519">
        <v>3.6220199999999998E-64</v>
      </c>
      <c r="O8519">
        <v>620</v>
      </c>
    </row>
    <row r="8520" spans="1:15" x14ac:dyDescent="0.25">
      <c r="A8520" t="s">
        <v>8533</v>
      </c>
      <c r="B8520">
        <v>92</v>
      </c>
      <c r="C8520" s="1" t="str">
        <f>HYPERLINK("http://www.rosaceae.org/gb/gbrowse/malus_x_domestica/?name=MDP0000187157","MDP0000187157")</f>
        <v>MDP0000187157</v>
      </c>
      <c r="D8520">
        <v>97.4</v>
      </c>
      <c r="E8520">
        <v>77</v>
      </c>
      <c r="F8520">
        <v>2</v>
      </c>
      <c r="G8520">
        <v>0</v>
      </c>
      <c r="H8520">
        <v>16</v>
      </c>
      <c r="I8520">
        <v>92</v>
      </c>
      <c r="J8520">
        <v>1</v>
      </c>
      <c r="K8520">
        <v>15</v>
      </c>
      <c r="L8520">
        <v>91</v>
      </c>
      <c r="M8520">
        <v>1</v>
      </c>
      <c r="N8520">
        <v>9.0971999999999999E-39</v>
      </c>
      <c r="O8520">
        <v>392</v>
      </c>
    </row>
    <row r="8521" spans="1:15" x14ac:dyDescent="0.25">
      <c r="A8521" t="s">
        <v>8534</v>
      </c>
      <c r="B8521">
        <v>1056</v>
      </c>
      <c r="C8521" s="1" t="str">
        <f>HYPERLINK("http://www.rosaceae.org/gb/gbrowse/malus_x_domestica/?name=MDP0000257660","MDP0000257660")</f>
        <v>MDP0000257660</v>
      </c>
      <c r="D8521">
        <v>86.94</v>
      </c>
      <c r="E8521">
        <v>590</v>
      </c>
      <c r="F8521">
        <v>77</v>
      </c>
      <c r="G8521">
        <v>0</v>
      </c>
      <c r="H8521">
        <v>1</v>
      </c>
      <c r="I8521">
        <v>590</v>
      </c>
      <c r="J8521">
        <v>1</v>
      </c>
      <c r="K8521">
        <v>1</v>
      </c>
      <c r="L8521">
        <v>590</v>
      </c>
      <c r="M8521">
        <v>1</v>
      </c>
      <c r="N8521">
        <v>0</v>
      </c>
      <c r="O8521">
        <v>2699</v>
      </c>
    </row>
    <row r="8522" spans="1:15" x14ac:dyDescent="0.25">
      <c r="A8522" t="s">
        <v>8535</v>
      </c>
      <c r="B8522">
        <v>295</v>
      </c>
      <c r="C8522" s="1" t="str">
        <f>HYPERLINK("http://www.rosaceae.org/gb/gbrowse/malus_x_domestica/?name=MDP0000230184","MDP0000230184")</f>
        <v>MDP0000230184</v>
      </c>
      <c r="D8522">
        <v>77.7</v>
      </c>
      <c r="E8522">
        <v>296</v>
      </c>
      <c r="F8522">
        <v>66</v>
      </c>
      <c r="G8522">
        <v>4</v>
      </c>
      <c r="H8522">
        <v>1</v>
      </c>
      <c r="I8522">
        <v>293</v>
      </c>
      <c r="J8522">
        <v>1</v>
      </c>
      <c r="K8522">
        <v>1</v>
      </c>
      <c r="L8522">
        <v>295</v>
      </c>
      <c r="M8522">
        <v>1</v>
      </c>
      <c r="N8522">
        <v>5.3806899999999999E-138</v>
      </c>
      <c r="O8522">
        <v>1254</v>
      </c>
    </row>
    <row r="8523" spans="1:15" x14ac:dyDescent="0.25">
      <c r="A8523" t="s">
        <v>8536</v>
      </c>
      <c r="B8523">
        <v>814</v>
      </c>
      <c r="C8523" s="1" t="str">
        <f>HYPERLINK("http://www.rosaceae.org/gb/gbrowse/malus_x_domestica/?name=MDP0000280145","MDP0000280145")</f>
        <v>MDP0000280145</v>
      </c>
      <c r="D8523">
        <v>78.62</v>
      </c>
      <c r="E8523">
        <v>814</v>
      </c>
      <c r="F8523">
        <v>174</v>
      </c>
      <c r="G8523">
        <v>23</v>
      </c>
      <c r="H8523">
        <v>1</v>
      </c>
      <c r="I8523">
        <v>814</v>
      </c>
      <c r="J8523">
        <v>1</v>
      </c>
      <c r="K8523">
        <v>1</v>
      </c>
      <c r="L8523">
        <v>791</v>
      </c>
      <c r="M8523">
        <v>1</v>
      </c>
      <c r="N8523">
        <v>0</v>
      </c>
      <c r="O8523">
        <v>3447</v>
      </c>
    </row>
    <row r="8524" spans="1:15" x14ac:dyDescent="0.25">
      <c r="A8524" t="s">
        <v>8537</v>
      </c>
      <c r="B8524">
        <v>240</v>
      </c>
      <c r="C8524" s="1" t="str">
        <f>HYPERLINK("http://www.rosaceae.org/gb/gbrowse/malus_x_domestica/?name=MDP0000196524","MDP0000196524")</f>
        <v>MDP0000196524</v>
      </c>
      <c r="D8524">
        <v>62.94</v>
      </c>
      <c r="E8524">
        <v>170</v>
      </c>
      <c r="F8524">
        <v>63</v>
      </c>
      <c r="G8524">
        <v>1</v>
      </c>
      <c r="H8524">
        <v>6</v>
      </c>
      <c r="I8524">
        <v>175</v>
      </c>
      <c r="J8524">
        <v>1</v>
      </c>
      <c r="K8524">
        <v>574</v>
      </c>
      <c r="L8524">
        <v>742</v>
      </c>
      <c r="M8524">
        <v>1</v>
      </c>
      <c r="N8524">
        <v>1.7647600000000001E-54</v>
      </c>
      <c r="O8524">
        <v>533</v>
      </c>
    </row>
    <row r="8525" spans="1:15" x14ac:dyDescent="0.25">
      <c r="A8525" t="s">
        <v>8538</v>
      </c>
      <c r="B8525">
        <v>145</v>
      </c>
      <c r="C8525" s="1" t="str">
        <f>HYPERLINK("http://www.rosaceae.org/gb/gbrowse/malus_x_domestica/?name=MDP0000282950","MDP0000282950")</f>
        <v>MDP0000282950</v>
      </c>
      <c r="D8525">
        <v>68.599999999999994</v>
      </c>
      <c r="E8525">
        <v>86</v>
      </c>
      <c r="F8525">
        <v>27</v>
      </c>
      <c r="G8525">
        <v>0</v>
      </c>
      <c r="H8525">
        <v>1</v>
      </c>
      <c r="I8525">
        <v>86</v>
      </c>
      <c r="J8525">
        <v>1</v>
      </c>
      <c r="K8525">
        <v>316</v>
      </c>
      <c r="L8525">
        <v>401</v>
      </c>
      <c r="M8525">
        <v>1</v>
      </c>
      <c r="N8525">
        <v>9.2402300000000002E-30</v>
      </c>
      <c r="O8525">
        <v>316</v>
      </c>
    </row>
    <row r="8526" spans="1:15" x14ac:dyDescent="0.25">
      <c r="A8526" t="s">
        <v>8539</v>
      </c>
      <c r="B8526">
        <v>223</v>
      </c>
      <c r="C8526" s="1" t="str">
        <f>HYPERLINK("http://www.rosaceae.org/gb/gbrowse/malus_x_domestica/?name=MDP0000723824","MDP0000723824")</f>
        <v>MDP0000723824</v>
      </c>
      <c r="D8526">
        <v>78.83</v>
      </c>
      <c r="E8526">
        <v>189</v>
      </c>
      <c r="F8526">
        <v>40</v>
      </c>
      <c r="G8526">
        <v>2</v>
      </c>
      <c r="H8526">
        <v>35</v>
      </c>
      <c r="I8526">
        <v>223</v>
      </c>
      <c r="J8526">
        <v>1</v>
      </c>
      <c r="K8526">
        <v>3</v>
      </c>
      <c r="L8526">
        <v>189</v>
      </c>
      <c r="M8526">
        <v>1</v>
      </c>
      <c r="N8526">
        <v>1.27965E-83</v>
      </c>
      <c r="O8526">
        <v>783</v>
      </c>
    </row>
    <row r="8527" spans="1:15" x14ac:dyDescent="0.25">
      <c r="A8527" t="s">
        <v>8540</v>
      </c>
      <c r="B8527">
        <v>167</v>
      </c>
      <c r="C8527" s="1" t="str">
        <f>HYPERLINK("http://www.rosaceae.org/gb/gbrowse/malus_x_domestica/?name=MDP0000277394","MDP0000277394")</f>
        <v>MDP0000277394</v>
      </c>
      <c r="D8527">
        <v>89.18</v>
      </c>
      <c r="E8527">
        <v>111</v>
      </c>
      <c r="F8527">
        <v>12</v>
      </c>
      <c r="G8527">
        <v>0</v>
      </c>
      <c r="H8527">
        <v>57</v>
      </c>
      <c r="I8527">
        <v>167</v>
      </c>
      <c r="J8527">
        <v>1</v>
      </c>
      <c r="K8527">
        <v>98</v>
      </c>
      <c r="L8527">
        <v>208</v>
      </c>
      <c r="M8527">
        <v>1</v>
      </c>
      <c r="N8527">
        <v>4.3228299999999999E-54</v>
      </c>
      <c r="O8527">
        <v>527</v>
      </c>
    </row>
    <row r="8528" spans="1:15" x14ac:dyDescent="0.25">
      <c r="A8528" t="s">
        <v>8541</v>
      </c>
      <c r="B8528">
        <v>986</v>
      </c>
      <c r="C8528" s="1" t="str">
        <f>HYPERLINK("http://www.rosaceae.org/gb/gbrowse/malus_x_domestica/?name=MDP0000265085","MDP0000265085")</f>
        <v>MDP0000265085</v>
      </c>
      <c r="D8528">
        <v>53.59</v>
      </c>
      <c r="E8528">
        <v>1002</v>
      </c>
      <c r="F8528">
        <v>465</v>
      </c>
      <c r="G8528">
        <v>71</v>
      </c>
      <c r="H8528">
        <v>3</v>
      </c>
      <c r="I8528">
        <v>975</v>
      </c>
      <c r="J8528">
        <v>1</v>
      </c>
      <c r="K8528">
        <v>1</v>
      </c>
      <c r="L8528">
        <v>960</v>
      </c>
      <c r="M8528">
        <v>1</v>
      </c>
      <c r="N8528">
        <v>0</v>
      </c>
      <c r="O8528">
        <v>2368</v>
      </c>
    </row>
    <row r="8529" spans="1:15" x14ac:dyDescent="0.25">
      <c r="A8529" t="s">
        <v>8542</v>
      </c>
      <c r="B8529">
        <v>203</v>
      </c>
      <c r="C8529" s="1" t="str">
        <f>HYPERLINK("http://www.rosaceae.org/gb/gbrowse/malus_x_domestica/?name=MDP0000147129","MDP0000147129")</f>
        <v>MDP0000147129</v>
      </c>
      <c r="D8529">
        <v>40.72</v>
      </c>
      <c r="E8529">
        <v>194</v>
      </c>
      <c r="F8529">
        <v>115</v>
      </c>
      <c r="G8529">
        <v>9</v>
      </c>
      <c r="H8529">
        <v>18</v>
      </c>
      <c r="I8529">
        <v>202</v>
      </c>
      <c r="J8529">
        <v>1</v>
      </c>
      <c r="K8529">
        <v>267</v>
      </c>
      <c r="L8529">
        <v>460</v>
      </c>
      <c r="M8529">
        <v>1</v>
      </c>
      <c r="N8529">
        <v>4.0053700000000003E-30</v>
      </c>
      <c r="O8529">
        <v>321</v>
      </c>
    </row>
    <row r="8530" spans="1:15" x14ac:dyDescent="0.25">
      <c r="A8530" t="s">
        <v>8543</v>
      </c>
      <c r="B8530">
        <v>395</v>
      </c>
      <c r="C8530" s="1" t="str">
        <f>HYPERLINK("http://www.rosaceae.org/gb/gbrowse/malus_x_domestica/?name=MDP0000269532","MDP0000269532")</f>
        <v>MDP0000269532</v>
      </c>
      <c r="D8530">
        <v>69.319999999999993</v>
      </c>
      <c r="E8530">
        <v>238</v>
      </c>
      <c r="F8530">
        <v>73</v>
      </c>
      <c r="G8530">
        <v>30</v>
      </c>
      <c r="H8530">
        <v>128</v>
      </c>
      <c r="I8530">
        <v>365</v>
      </c>
      <c r="J8530">
        <v>1</v>
      </c>
      <c r="K8530">
        <v>1</v>
      </c>
      <c r="L8530">
        <v>208</v>
      </c>
      <c r="M8530">
        <v>1</v>
      </c>
      <c r="N8530">
        <v>6.1700300000000001E-88</v>
      </c>
      <c r="O8530">
        <v>824</v>
      </c>
    </row>
    <row r="8531" spans="1:15" x14ac:dyDescent="0.25">
      <c r="A8531" t="s">
        <v>8544</v>
      </c>
      <c r="B8531">
        <v>1386</v>
      </c>
      <c r="C8531" s="1" t="str">
        <f>HYPERLINK("http://www.rosaceae.org/gb/gbrowse/malus_x_domestica/?name=MDP0000320615","MDP0000320615")</f>
        <v>MDP0000320615</v>
      </c>
      <c r="D8531">
        <v>73.430000000000007</v>
      </c>
      <c r="E8531">
        <v>1393</v>
      </c>
      <c r="F8531">
        <v>370</v>
      </c>
      <c r="G8531">
        <v>63</v>
      </c>
      <c r="H8531">
        <v>2</v>
      </c>
      <c r="I8531">
        <v>1386</v>
      </c>
      <c r="J8531">
        <v>1</v>
      </c>
      <c r="K8531">
        <v>2</v>
      </c>
      <c r="L8531">
        <v>1339</v>
      </c>
      <c r="M8531">
        <v>1</v>
      </c>
      <c r="N8531">
        <v>0</v>
      </c>
      <c r="O8531">
        <v>5367</v>
      </c>
    </row>
    <row r="8532" spans="1:15" x14ac:dyDescent="0.25">
      <c r="A8532" t="s">
        <v>8545</v>
      </c>
      <c r="B8532">
        <v>295</v>
      </c>
      <c r="C8532" s="1" t="str">
        <f>HYPERLINK("http://www.rosaceae.org/gb/gbrowse/malus_x_domestica/?name=MDP0000265727","MDP0000265727")</f>
        <v>MDP0000265727</v>
      </c>
      <c r="D8532">
        <v>58.82</v>
      </c>
      <c r="E8532">
        <v>51</v>
      </c>
      <c r="F8532">
        <v>21</v>
      </c>
      <c r="G8532">
        <v>1</v>
      </c>
      <c r="H8532">
        <v>1</v>
      </c>
      <c r="I8532">
        <v>51</v>
      </c>
      <c r="J8532">
        <v>1</v>
      </c>
      <c r="K8532">
        <v>1</v>
      </c>
      <c r="L8532">
        <v>50</v>
      </c>
      <c r="M8532">
        <v>1</v>
      </c>
      <c r="N8532">
        <v>4.3877899999999999E-7</v>
      </c>
      <c r="O8532">
        <v>125</v>
      </c>
    </row>
    <row r="8533" spans="1:15" x14ac:dyDescent="0.25">
      <c r="A8533" t="s">
        <v>8546</v>
      </c>
      <c r="B8533">
        <v>263</v>
      </c>
      <c r="C8533" s="1" t="str">
        <f>HYPERLINK("http://www.rosaceae.org/gb/gbrowse/malus_x_domestica/?name=MDP0000265874","MDP0000265874")</f>
        <v>MDP0000265874</v>
      </c>
      <c r="D8533">
        <v>39.85</v>
      </c>
      <c r="E8533">
        <v>138</v>
      </c>
      <c r="F8533">
        <v>83</v>
      </c>
      <c r="G8533">
        <v>20</v>
      </c>
      <c r="H8533">
        <v>93</v>
      </c>
      <c r="I8533">
        <v>215</v>
      </c>
      <c r="J8533">
        <v>1</v>
      </c>
      <c r="K8533">
        <v>56</v>
      </c>
      <c r="L8533">
        <v>188</v>
      </c>
      <c r="M8533">
        <v>1</v>
      </c>
      <c r="N8533">
        <v>1.72899E-11</v>
      </c>
      <c r="O8533">
        <v>162</v>
      </c>
    </row>
    <row r="8534" spans="1:15" x14ac:dyDescent="0.25">
      <c r="A8534" t="s">
        <v>8547</v>
      </c>
      <c r="B8534">
        <v>331</v>
      </c>
      <c r="C8534" s="1" t="str">
        <f>HYPERLINK("http://www.rosaceae.org/gb/gbrowse/malus_x_domestica/?name=MDP0000225609","MDP0000225609")</f>
        <v>MDP0000225609</v>
      </c>
      <c r="D8534">
        <v>66.430000000000007</v>
      </c>
      <c r="E8534">
        <v>289</v>
      </c>
      <c r="F8534">
        <v>97</v>
      </c>
      <c r="G8534">
        <v>28</v>
      </c>
      <c r="H8534">
        <v>43</v>
      </c>
      <c r="I8534">
        <v>331</v>
      </c>
      <c r="J8534">
        <v>1</v>
      </c>
      <c r="K8534">
        <v>42</v>
      </c>
      <c r="L8534">
        <v>302</v>
      </c>
      <c r="M8534">
        <v>1</v>
      </c>
      <c r="N8534">
        <v>6.9617300000000002E-102</v>
      </c>
      <c r="O8534">
        <v>943</v>
      </c>
    </row>
    <row r="8535" spans="1:15" x14ac:dyDescent="0.25">
      <c r="A8535" t="s">
        <v>8548</v>
      </c>
      <c r="B8535">
        <v>243</v>
      </c>
      <c r="C8535" s="1" t="str">
        <f>HYPERLINK("http://www.rosaceae.org/gb/gbrowse/malus_x_domestica/?name=MDP0000852395","MDP0000852395")</f>
        <v>MDP0000852395</v>
      </c>
      <c r="D8535">
        <v>47.43</v>
      </c>
      <c r="E8535">
        <v>234</v>
      </c>
      <c r="F8535">
        <v>123</v>
      </c>
      <c r="G8535">
        <v>32</v>
      </c>
      <c r="H8535">
        <v>13</v>
      </c>
      <c r="I8535">
        <v>236</v>
      </c>
      <c r="J8535">
        <v>1</v>
      </c>
      <c r="K8535">
        <v>40</v>
      </c>
      <c r="L8535">
        <v>251</v>
      </c>
      <c r="M8535">
        <v>1</v>
      </c>
      <c r="N8535">
        <v>1.44311E-36</v>
      </c>
      <c r="O8535">
        <v>378</v>
      </c>
    </row>
    <row r="8536" spans="1:15" x14ac:dyDescent="0.25">
      <c r="A8536" t="s">
        <v>8549</v>
      </c>
      <c r="B8536">
        <v>1053</v>
      </c>
      <c r="C8536" s="1" t="str">
        <f>HYPERLINK("http://www.rosaceae.org/gb/gbrowse/malus_x_domestica/?name=MDP0000154049","MDP0000154049")</f>
        <v>MDP0000154049</v>
      </c>
      <c r="D8536">
        <v>61.27</v>
      </c>
      <c r="E8536">
        <v>235</v>
      </c>
      <c r="F8536">
        <v>91</v>
      </c>
      <c r="G8536">
        <v>14</v>
      </c>
      <c r="H8536">
        <v>112</v>
      </c>
      <c r="I8536">
        <v>342</v>
      </c>
      <c r="J8536">
        <v>1</v>
      </c>
      <c r="K8536">
        <v>10</v>
      </c>
      <c r="L8536">
        <v>234</v>
      </c>
      <c r="M8536">
        <v>1</v>
      </c>
      <c r="N8536">
        <v>5.7283199999999995E-73</v>
      </c>
      <c r="O8536">
        <v>699</v>
      </c>
    </row>
    <row r="8537" spans="1:15" x14ac:dyDescent="0.25">
      <c r="A8537" t="s">
        <v>8550</v>
      </c>
      <c r="B8537">
        <v>648</v>
      </c>
      <c r="C8537" s="1" t="str">
        <f>HYPERLINK("http://www.rosaceae.org/gb/gbrowse/malus_x_domestica/?name=MDP0000157652","MDP0000157652")</f>
        <v>MDP0000157652</v>
      </c>
      <c r="D8537">
        <v>68.540000000000006</v>
      </c>
      <c r="E8537">
        <v>585</v>
      </c>
      <c r="F8537">
        <v>184</v>
      </c>
      <c r="G8537">
        <v>36</v>
      </c>
      <c r="H8537">
        <v>99</v>
      </c>
      <c r="I8537">
        <v>648</v>
      </c>
      <c r="J8537">
        <v>1</v>
      </c>
      <c r="K8537">
        <v>197</v>
      </c>
      <c r="L8537">
        <v>780</v>
      </c>
      <c r="M8537">
        <v>1</v>
      </c>
      <c r="N8537">
        <v>0</v>
      </c>
      <c r="O8537">
        <v>2035</v>
      </c>
    </row>
    <row r="8538" spans="1:15" x14ac:dyDescent="0.25">
      <c r="A8538" t="s">
        <v>8551</v>
      </c>
      <c r="B8538">
        <v>178</v>
      </c>
      <c r="C8538" s="1" t="str">
        <f>HYPERLINK("http://www.rosaceae.org/gb/gbrowse/malus_x_domestica/?name=MDP0000303532","MDP0000303532")</f>
        <v>MDP0000303532</v>
      </c>
      <c r="D8538">
        <v>39.869999999999997</v>
      </c>
      <c r="E8538">
        <v>158</v>
      </c>
      <c r="F8538">
        <v>95</v>
      </c>
      <c r="G8538">
        <v>1</v>
      </c>
      <c r="H8538">
        <v>2</v>
      </c>
      <c r="I8538">
        <v>158</v>
      </c>
      <c r="J8538">
        <v>1</v>
      </c>
      <c r="K8538">
        <v>142</v>
      </c>
      <c r="L8538">
        <v>299</v>
      </c>
      <c r="M8538">
        <v>1</v>
      </c>
      <c r="N8538">
        <v>2.88095E-25</v>
      </c>
      <c r="O8538">
        <v>279</v>
      </c>
    </row>
    <row r="8539" spans="1:15" x14ac:dyDescent="0.25">
      <c r="A8539" t="s">
        <v>8552</v>
      </c>
      <c r="B8539">
        <v>515</v>
      </c>
      <c r="C8539" s="1" t="str">
        <f>HYPERLINK("http://www.rosaceae.org/gb/gbrowse/malus_x_domestica/?name=MDP0000478473","MDP0000478473")</f>
        <v>MDP0000478473</v>
      </c>
      <c r="D8539">
        <v>51.45</v>
      </c>
      <c r="E8539">
        <v>480</v>
      </c>
      <c r="F8539">
        <v>233</v>
      </c>
      <c r="G8539">
        <v>27</v>
      </c>
      <c r="H8539">
        <v>32</v>
      </c>
      <c r="I8539">
        <v>511</v>
      </c>
      <c r="J8539">
        <v>1</v>
      </c>
      <c r="K8539">
        <v>27</v>
      </c>
      <c r="L8539">
        <v>479</v>
      </c>
      <c r="M8539">
        <v>1</v>
      </c>
      <c r="N8539">
        <v>1.6804299999999999E-146</v>
      </c>
      <c r="O8539">
        <v>1330</v>
      </c>
    </row>
    <row r="8540" spans="1:15" x14ac:dyDescent="0.25">
      <c r="A8540" t="s">
        <v>8553</v>
      </c>
      <c r="B8540">
        <v>144</v>
      </c>
      <c r="C8540" s="1" t="str">
        <f>HYPERLINK("http://www.rosaceae.org/gb/gbrowse/malus_x_domestica/?name=MDP0000304597","MDP0000304597")</f>
        <v>MDP0000304597</v>
      </c>
      <c r="D8540">
        <v>52.81</v>
      </c>
      <c r="E8540">
        <v>142</v>
      </c>
      <c r="F8540">
        <v>67</v>
      </c>
      <c r="G8540">
        <v>0</v>
      </c>
      <c r="H8540">
        <v>3</v>
      </c>
      <c r="I8540">
        <v>144</v>
      </c>
      <c r="J8540">
        <v>1</v>
      </c>
      <c r="K8540">
        <v>577</v>
      </c>
      <c r="L8540">
        <v>718</v>
      </c>
      <c r="M8540">
        <v>1</v>
      </c>
      <c r="N8540">
        <v>2.5597099999999998E-38</v>
      </c>
      <c r="O8540">
        <v>389</v>
      </c>
    </row>
    <row r="8541" spans="1:15" x14ac:dyDescent="0.25">
      <c r="A8541" t="s">
        <v>8554</v>
      </c>
      <c r="B8541">
        <v>564</v>
      </c>
      <c r="C8541" s="1" t="str">
        <f>HYPERLINK("http://www.rosaceae.org/gb/gbrowse/malus_x_domestica/?name=MDP0000246637","MDP0000246637")</f>
        <v>MDP0000246637</v>
      </c>
      <c r="D8541">
        <v>58.15</v>
      </c>
      <c r="E8541">
        <v>325</v>
      </c>
      <c r="F8541">
        <v>136</v>
      </c>
      <c r="G8541">
        <v>12</v>
      </c>
      <c r="H8541">
        <v>232</v>
      </c>
      <c r="I8541">
        <v>552</v>
      </c>
      <c r="J8541">
        <v>1</v>
      </c>
      <c r="K8541">
        <v>156</v>
      </c>
      <c r="L8541">
        <v>472</v>
      </c>
      <c r="M8541">
        <v>1</v>
      </c>
      <c r="N8541">
        <v>1.8614699999999999E-107</v>
      </c>
      <c r="O8541">
        <v>994</v>
      </c>
    </row>
    <row r="8542" spans="1:15" x14ac:dyDescent="0.25">
      <c r="A8542" t="s">
        <v>8555</v>
      </c>
      <c r="B8542">
        <v>531</v>
      </c>
      <c r="C8542" s="1" t="str">
        <f>HYPERLINK("http://www.rosaceae.org/gb/gbrowse/malus_x_domestica/?name=MDP0000239505","MDP0000239505")</f>
        <v>MDP0000239505</v>
      </c>
      <c r="D8542">
        <v>82.76</v>
      </c>
      <c r="E8542">
        <v>528</v>
      </c>
      <c r="F8542">
        <v>91</v>
      </c>
      <c r="G8542">
        <v>3</v>
      </c>
      <c r="H8542">
        <v>1</v>
      </c>
      <c r="I8542">
        <v>525</v>
      </c>
      <c r="J8542">
        <v>1</v>
      </c>
      <c r="K8542">
        <v>1</v>
      </c>
      <c r="L8542">
        <v>528</v>
      </c>
      <c r="M8542">
        <v>1</v>
      </c>
      <c r="N8542">
        <v>0</v>
      </c>
      <c r="O8542">
        <v>2384</v>
      </c>
    </row>
    <row r="8543" spans="1:15" x14ac:dyDescent="0.25">
      <c r="A8543" t="s">
        <v>8556</v>
      </c>
      <c r="B8543">
        <v>482</v>
      </c>
      <c r="C8543" s="1" t="str">
        <f>HYPERLINK("http://www.rosaceae.org/gb/gbrowse/malus_x_domestica/?name=MDP0000119199","MDP0000119199")</f>
        <v>MDP0000119199</v>
      </c>
      <c r="D8543">
        <v>76.33</v>
      </c>
      <c r="E8543">
        <v>355</v>
      </c>
      <c r="F8543">
        <v>84</v>
      </c>
      <c r="G8543">
        <v>5</v>
      </c>
      <c r="H8543">
        <v>127</v>
      </c>
      <c r="I8543">
        <v>477</v>
      </c>
      <c r="J8543">
        <v>1</v>
      </c>
      <c r="K8543">
        <v>7</v>
      </c>
      <c r="L8543">
        <v>360</v>
      </c>
      <c r="M8543">
        <v>1</v>
      </c>
      <c r="N8543">
        <v>6.4030100000000002E-155</v>
      </c>
      <c r="O8543">
        <v>1402</v>
      </c>
    </row>
    <row r="8544" spans="1:15" x14ac:dyDescent="0.25">
      <c r="A8544" t="s">
        <v>8557</v>
      </c>
      <c r="B8544">
        <v>320</v>
      </c>
      <c r="C8544" s="1" t="str">
        <f>HYPERLINK("http://www.rosaceae.org/gb/gbrowse/malus_x_domestica/?name=MDP0000785794","MDP0000785794")</f>
        <v>MDP0000785794</v>
      </c>
      <c r="D8544">
        <v>68.48</v>
      </c>
      <c r="E8544">
        <v>349</v>
      </c>
      <c r="F8544">
        <v>110</v>
      </c>
      <c r="G8544">
        <v>33</v>
      </c>
      <c r="H8544">
        <v>5</v>
      </c>
      <c r="I8544">
        <v>320</v>
      </c>
      <c r="J8544">
        <v>1</v>
      </c>
      <c r="K8544">
        <v>3</v>
      </c>
      <c r="L8544">
        <v>351</v>
      </c>
      <c r="M8544">
        <v>1</v>
      </c>
      <c r="N8544">
        <v>5.1571299999999998E-131</v>
      </c>
      <c r="O8544">
        <v>1194</v>
      </c>
    </row>
    <row r="8545" spans="1:15" x14ac:dyDescent="0.25">
      <c r="A8545" t="s">
        <v>8558</v>
      </c>
      <c r="B8545">
        <v>512</v>
      </c>
      <c r="C8545" s="1" t="str">
        <f>HYPERLINK("http://www.rosaceae.org/gb/gbrowse/malus_x_domestica/?name=MDP0000641167","MDP0000641167")</f>
        <v>MDP0000641167</v>
      </c>
      <c r="D8545">
        <v>51.29</v>
      </c>
      <c r="E8545">
        <v>232</v>
      </c>
      <c r="F8545">
        <v>113</v>
      </c>
      <c r="G8545">
        <v>8</v>
      </c>
      <c r="H8545">
        <v>17</v>
      </c>
      <c r="I8545">
        <v>244</v>
      </c>
      <c r="J8545">
        <v>1</v>
      </c>
      <c r="K8545">
        <v>19</v>
      </c>
      <c r="L8545">
        <v>246</v>
      </c>
      <c r="M8545">
        <v>1</v>
      </c>
      <c r="N8545">
        <v>2.2143400000000001E-61</v>
      </c>
      <c r="O8545">
        <v>596</v>
      </c>
    </row>
    <row r="8546" spans="1:15" x14ac:dyDescent="0.25">
      <c r="A8546" t="s">
        <v>8559</v>
      </c>
      <c r="B8546">
        <v>570</v>
      </c>
      <c r="C8546" s="1" t="str">
        <f>HYPERLINK("http://www.rosaceae.org/gb/gbrowse/malus_x_domestica/?name=MDP0000185799","MDP0000185799")</f>
        <v>MDP0000185799</v>
      </c>
      <c r="D8546">
        <v>77.14</v>
      </c>
      <c r="E8546">
        <v>547</v>
      </c>
      <c r="F8546">
        <v>125</v>
      </c>
      <c r="G8546">
        <v>24</v>
      </c>
      <c r="H8546">
        <v>15</v>
      </c>
      <c r="I8546">
        <v>537</v>
      </c>
      <c r="J8546">
        <v>1</v>
      </c>
      <c r="K8546">
        <v>16</v>
      </c>
      <c r="L8546">
        <v>562</v>
      </c>
      <c r="M8546">
        <v>1</v>
      </c>
      <c r="N8546">
        <v>0</v>
      </c>
      <c r="O8546">
        <v>2284</v>
      </c>
    </row>
    <row r="8547" spans="1:15" x14ac:dyDescent="0.25">
      <c r="A8547" t="s">
        <v>8560</v>
      </c>
      <c r="B8547">
        <v>160</v>
      </c>
      <c r="C8547" s="1" t="str">
        <f>HYPERLINK("http://www.rosaceae.org/gb/gbrowse/malus_x_domestica/?name=MDP0000271854","MDP0000271854")</f>
        <v>MDP0000271854</v>
      </c>
      <c r="D8547">
        <v>80.53</v>
      </c>
      <c r="E8547">
        <v>113</v>
      </c>
      <c r="F8547">
        <v>22</v>
      </c>
      <c r="G8547">
        <v>3</v>
      </c>
      <c r="H8547">
        <v>14</v>
      </c>
      <c r="I8547">
        <v>123</v>
      </c>
      <c r="J8547">
        <v>1</v>
      </c>
      <c r="K8547">
        <v>223</v>
      </c>
      <c r="L8547">
        <v>335</v>
      </c>
      <c r="M8547">
        <v>1</v>
      </c>
      <c r="N8547">
        <v>1.53915E-43</v>
      </c>
      <c r="O8547">
        <v>435</v>
      </c>
    </row>
    <row r="8548" spans="1:15" x14ac:dyDescent="0.25">
      <c r="A8548" t="s">
        <v>8561</v>
      </c>
      <c r="B8548">
        <v>387</v>
      </c>
      <c r="C8548" s="1" t="str">
        <f>HYPERLINK("http://www.rosaceae.org/gb/gbrowse/malus_x_domestica/?name=MDP0000949110","MDP0000949110")</f>
        <v>MDP0000949110</v>
      </c>
      <c r="D8548">
        <v>83.97</v>
      </c>
      <c r="E8548">
        <v>387</v>
      </c>
      <c r="F8548">
        <v>62</v>
      </c>
      <c r="G8548">
        <v>2</v>
      </c>
      <c r="H8548">
        <v>2</v>
      </c>
      <c r="I8548">
        <v>386</v>
      </c>
      <c r="J8548">
        <v>1</v>
      </c>
      <c r="K8548">
        <v>13</v>
      </c>
      <c r="L8548">
        <v>399</v>
      </c>
      <c r="M8548">
        <v>1</v>
      </c>
      <c r="N8548">
        <v>0</v>
      </c>
      <c r="O8548">
        <v>1746</v>
      </c>
    </row>
    <row r="8549" spans="1:15" x14ac:dyDescent="0.25">
      <c r="A8549" t="s">
        <v>8562</v>
      </c>
      <c r="B8549">
        <v>642</v>
      </c>
      <c r="C8549" s="1" t="str">
        <f>HYPERLINK("http://www.rosaceae.org/gb/gbrowse/malus_x_domestica/?name=MDP0000250644","MDP0000250644")</f>
        <v>MDP0000250644</v>
      </c>
      <c r="D8549">
        <v>34.29</v>
      </c>
      <c r="E8549">
        <v>242</v>
      </c>
      <c r="F8549">
        <v>159</v>
      </c>
      <c r="G8549">
        <v>7</v>
      </c>
      <c r="H8549">
        <v>54</v>
      </c>
      <c r="I8549">
        <v>291</v>
      </c>
      <c r="J8549">
        <v>1</v>
      </c>
      <c r="K8549">
        <v>109</v>
      </c>
      <c r="L8549">
        <v>347</v>
      </c>
      <c r="M8549">
        <v>1</v>
      </c>
      <c r="N8549">
        <v>5.6268100000000001E-41</v>
      </c>
      <c r="O8549">
        <v>421</v>
      </c>
    </row>
    <row r="8550" spans="1:15" x14ac:dyDescent="0.25">
      <c r="A8550" t="s">
        <v>8563</v>
      </c>
      <c r="B8550">
        <v>959</v>
      </c>
      <c r="C8550" s="1" t="str">
        <f>HYPERLINK("http://www.rosaceae.org/gb/gbrowse/malus_x_domestica/?name=MDP0000361567","MDP0000361567")</f>
        <v>MDP0000361567</v>
      </c>
      <c r="D8550">
        <v>74.319999999999993</v>
      </c>
      <c r="E8550">
        <v>148</v>
      </c>
      <c r="F8550">
        <v>38</v>
      </c>
      <c r="G8550">
        <v>0</v>
      </c>
      <c r="H8550">
        <v>19</v>
      </c>
      <c r="I8550">
        <v>166</v>
      </c>
      <c r="J8550">
        <v>1</v>
      </c>
      <c r="K8550">
        <v>31</v>
      </c>
      <c r="L8550">
        <v>178</v>
      </c>
      <c r="M8550">
        <v>1</v>
      </c>
      <c r="N8550">
        <v>1.0750500000000001E-58</v>
      </c>
      <c r="O8550">
        <v>575</v>
      </c>
    </row>
    <row r="8551" spans="1:15" x14ac:dyDescent="0.25">
      <c r="A8551" t="s">
        <v>8564</v>
      </c>
      <c r="B8551">
        <v>271</v>
      </c>
      <c r="C8551" s="1" t="str">
        <f>HYPERLINK("http://www.rosaceae.org/gb/gbrowse/malus_x_domestica/?name=MDP0000308779","MDP0000308779")</f>
        <v>MDP0000308779</v>
      </c>
      <c r="D8551">
        <v>73.209999999999994</v>
      </c>
      <c r="E8551">
        <v>112</v>
      </c>
      <c r="F8551">
        <v>30</v>
      </c>
      <c r="G8551">
        <v>10</v>
      </c>
      <c r="H8551">
        <v>1</v>
      </c>
      <c r="I8551">
        <v>107</v>
      </c>
      <c r="J8551">
        <v>1</v>
      </c>
      <c r="K8551">
        <v>263</v>
      </c>
      <c r="L8551">
        <v>369</v>
      </c>
      <c r="M8551">
        <v>1</v>
      </c>
      <c r="N8551">
        <v>4.3502499999999999E-41</v>
      </c>
      <c r="O8551">
        <v>418</v>
      </c>
    </row>
    <row r="8552" spans="1:15" x14ac:dyDescent="0.25">
      <c r="A8552" t="s">
        <v>8565</v>
      </c>
      <c r="B8552">
        <v>542</v>
      </c>
      <c r="C8552" s="1" t="str">
        <f>HYPERLINK("http://www.rosaceae.org/gb/gbrowse/malus_x_domestica/?name=MDP0000185635","MDP0000185635")</f>
        <v>MDP0000185635</v>
      </c>
      <c r="D8552">
        <v>84.68</v>
      </c>
      <c r="E8552">
        <v>542</v>
      </c>
      <c r="F8552">
        <v>83</v>
      </c>
      <c r="G8552">
        <v>0</v>
      </c>
      <c r="H8552">
        <v>1</v>
      </c>
      <c r="I8552">
        <v>542</v>
      </c>
      <c r="J8552">
        <v>1</v>
      </c>
      <c r="K8552">
        <v>1</v>
      </c>
      <c r="L8552">
        <v>542</v>
      </c>
      <c r="M8552">
        <v>1</v>
      </c>
      <c r="N8552">
        <v>0</v>
      </c>
      <c r="O8552">
        <v>2394</v>
      </c>
    </row>
    <row r="8553" spans="1:15" x14ac:dyDescent="0.25">
      <c r="A8553" t="s">
        <v>8566</v>
      </c>
      <c r="B8553">
        <v>1338</v>
      </c>
      <c r="C8553" s="1" t="str">
        <f>HYPERLINK("http://www.rosaceae.org/gb/gbrowse/malus_x_domestica/?name=MDP0000283138","MDP0000283138")</f>
        <v>MDP0000283138</v>
      </c>
      <c r="D8553">
        <v>63.99</v>
      </c>
      <c r="E8553">
        <v>1336</v>
      </c>
      <c r="F8553">
        <v>481</v>
      </c>
      <c r="G8553">
        <v>135</v>
      </c>
      <c r="H8553">
        <v>57</v>
      </c>
      <c r="I8553">
        <v>1269</v>
      </c>
      <c r="J8553">
        <v>1</v>
      </c>
      <c r="K8553">
        <v>555</v>
      </c>
      <c r="L8553">
        <v>1878</v>
      </c>
      <c r="M8553">
        <v>1</v>
      </c>
      <c r="N8553">
        <v>0</v>
      </c>
      <c r="O8553">
        <v>4189</v>
      </c>
    </row>
    <row r="8554" spans="1:15" x14ac:dyDescent="0.25">
      <c r="A8554" t="s">
        <v>8567</v>
      </c>
      <c r="B8554">
        <v>367</v>
      </c>
      <c r="C8554" s="1" t="str">
        <f>HYPERLINK("http://www.rosaceae.org/gb/gbrowse/malus_x_domestica/?name=MDP0000319412","MDP0000319412")</f>
        <v>MDP0000319412</v>
      </c>
      <c r="D8554">
        <v>51</v>
      </c>
      <c r="E8554">
        <v>347</v>
      </c>
      <c r="F8554">
        <v>170</v>
      </c>
      <c r="G8554">
        <v>8</v>
      </c>
      <c r="H8554">
        <v>29</v>
      </c>
      <c r="I8554">
        <v>367</v>
      </c>
      <c r="J8554">
        <v>1</v>
      </c>
      <c r="K8554">
        <v>144</v>
      </c>
      <c r="L8554">
        <v>490</v>
      </c>
      <c r="M8554">
        <v>1</v>
      </c>
      <c r="N8554">
        <v>5.3695799999999999E-98</v>
      </c>
      <c r="O8554">
        <v>910</v>
      </c>
    </row>
    <row r="8555" spans="1:15" x14ac:dyDescent="0.25">
      <c r="A8555" t="s">
        <v>8568</v>
      </c>
      <c r="B8555">
        <v>413</v>
      </c>
      <c r="C8555" s="1" t="str">
        <f>HYPERLINK("http://www.rosaceae.org/gb/gbrowse/malus_x_domestica/?name=MDP0000185125","MDP0000185125")</f>
        <v>MDP0000185125</v>
      </c>
      <c r="D8555">
        <v>40.57</v>
      </c>
      <c r="E8555">
        <v>69</v>
      </c>
      <c r="F8555">
        <v>41</v>
      </c>
      <c r="G8555">
        <v>0</v>
      </c>
      <c r="H8555">
        <v>255</v>
      </c>
      <c r="I8555">
        <v>323</v>
      </c>
      <c r="J8555">
        <v>1</v>
      </c>
      <c r="K8555">
        <v>74</v>
      </c>
      <c r="L8555">
        <v>142</v>
      </c>
      <c r="M8555">
        <v>1</v>
      </c>
      <c r="N8555">
        <v>6.2210199999999997E-9</v>
      </c>
      <c r="O8555">
        <v>143</v>
      </c>
    </row>
    <row r="8556" spans="1:15" x14ac:dyDescent="0.25">
      <c r="A8556" t="s">
        <v>8569</v>
      </c>
      <c r="B8556">
        <v>255</v>
      </c>
      <c r="C8556" s="1" t="str">
        <f>HYPERLINK("http://www.rosaceae.org/gb/gbrowse/malus_x_domestica/?name=MDP0000245341","MDP0000245341")</f>
        <v>MDP0000245341</v>
      </c>
      <c r="D8556">
        <v>55.26</v>
      </c>
      <c r="E8556">
        <v>228</v>
      </c>
      <c r="F8556">
        <v>102</v>
      </c>
      <c r="G8556">
        <v>8</v>
      </c>
      <c r="H8556">
        <v>34</v>
      </c>
      <c r="I8556">
        <v>255</v>
      </c>
      <c r="J8556">
        <v>1</v>
      </c>
      <c r="K8556">
        <v>253</v>
      </c>
      <c r="L8556">
        <v>478</v>
      </c>
      <c r="M8556">
        <v>1</v>
      </c>
      <c r="N8556">
        <v>1.20794E-66</v>
      </c>
      <c r="O8556">
        <v>638</v>
      </c>
    </row>
    <row r="8557" spans="1:15" x14ac:dyDescent="0.25">
      <c r="A8557" t="s">
        <v>8570</v>
      </c>
      <c r="B8557">
        <v>423</v>
      </c>
      <c r="C8557" s="1" t="str">
        <f>HYPERLINK("http://www.rosaceae.org/gb/gbrowse/malus_x_domestica/?name=MDP0000245541","MDP0000245541")</f>
        <v>MDP0000245541</v>
      </c>
      <c r="D8557">
        <v>59.25</v>
      </c>
      <c r="E8557">
        <v>81</v>
      </c>
      <c r="F8557">
        <v>33</v>
      </c>
      <c r="G8557">
        <v>0</v>
      </c>
      <c r="H8557">
        <v>120</v>
      </c>
      <c r="I8557">
        <v>200</v>
      </c>
      <c r="J8557">
        <v>1</v>
      </c>
      <c r="K8557">
        <v>1041</v>
      </c>
      <c r="L8557">
        <v>1121</v>
      </c>
      <c r="M8557">
        <v>1</v>
      </c>
      <c r="N8557">
        <v>6.4549799999999998E-21</v>
      </c>
      <c r="O8557">
        <v>246</v>
      </c>
    </row>
    <row r="8558" spans="1:15" x14ac:dyDescent="0.25">
      <c r="A8558" t="s">
        <v>8571</v>
      </c>
      <c r="B8558">
        <v>501</v>
      </c>
      <c r="C8558" s="1" t="str">
        <f>HYPERLINK("http://www.rosaceae.org/gb/gbrowse/malus_x_domestica/?name=MDP0000147846","MDP0000147846")</f>
        <v>MDP0000147846</v>
      </c>
      <c r="D8558">
        <v>31.96</v>
      </c>
      <c r="E8558">
        <v>219</v>
      </c>
      <c r="F8558">
        <v>149</v>
      </c>
      <c r="G8558">
        <v>37</v>
      </c>
      <c r="H8558">
        <v>65</v>
      </c>
      <c r="I8558">
        <v>254</v>
      </c>
      <c r="J8558">
        <v>1</v>
      </c>
      <c r="K8558">
        <v>171</v>
      </c>
      <c r="L8558">
        <v>381</v>
      </c>
      <c r="M8558">
        <v>1</v>
      </c>
      <c r="N8558">
        <v>5.3737100000000001E-16</v>
      </c>
      <c r="O8558">
        <v>204</v>
      </c>
    </row>
    <row r="8559" spans="1:15" x14ac:dyDescent="0.25">
      <c r="A8559" t="s">
        <v>8572</v>
      </c>
      <c r="B8559">
        <v>242</v>
      </c>
      <c r="C8559" s="1" t="str">
        <f>HYPERLINK("http://www.rosaceae.org/gb/gbrowse/malus_x_domestica/?name=MDP0000162548","MDP0000162548")</f>
        <v>MDP0000162548</v>
      </c>
      <c r="D8559">
        <v>69.91</v>
      </c>
      <c r="E8559">
        <v>246</v>
      </c>
      <c r="F8559">
        <v>74</v>
      </c>
      <c r="G8559">
        <v>13</v>
      </c>
      <c r="H8559">
        <v>9</v>
      </c>
      <c r="I8559">
        <v>242</v>
      </c>
      <c r="J8559">
        <v>1</v>
      </c>
      <c r="K8559">
        <v>1</v>
      </c>
      <c r="L8559">
        <v>245</v>
      </c>
      <c r="M8559">
        <v>1</v>
      </c>
      <c r="N8559">
        <v>7.8010600000000001E-91</v>
      </c>
      <c r="O8559">
        <v>846</v>
      </c>
    </row>
    <row r="8560" spans="1:15" x14ac:dyDescent="0.25">
      <c r="A8560" t="s">
        <v>8573</v>
      </c>
      <c r="B8560">
        <v>253</v>
      </c>
      <c r="C8560" s="1" t="str">
        <f>HYPERLINK("http://www.rosaceae.org/gb/gbrowse/malus_x_domestica/?name=MDP0000273989","MDP0000273989")</f>
        <v>MDP0000273989</v>
      </c>
      <c r="D8560">
        <v>37.28</v>
      </c>
      <c r="E8560">
        <v>118</v>
      </c>
      <c r="F8560">
        <v>74</v>
      </c>
      <c r="G8560">
        <v>14</v>
      </c>
      <c r="H8560">
        <v>44</v>
      </c>
      <c r="I8560">
        <v>149</v>
      </c>
      <c r="J8560">
        <v>1</v>
      </c>
      <c r="K8560">
        <v>312</v>
      </c>
      <c r="L8560">
        <v>427</v>
      </c>
      <c r="M8560">
        <v>1</v>
      </c>
      <c r="N8560">
        <v>5.4346599999999997E-14</v>
      </c>
      <c r="O8560">
        <v>184</v>
      </c>
    </row>
    <row r="8561" spans="1:15" x14ac:dyDescent="0.25">
      <c r="A8561" t="s">
        <v>8574</v>
      </c>
      <c r="B8561">
        <v>1331</v>
      </c>
      <c r="C8561" s="1" t="str">
        <f>HYPERLINK("http://www.rosaceae.org/gb/gbrowse/malus_x_domestica/?name=MDP0000258605","MDP0000258605")</f>
        <v>MDP0000258605</v>
      </c>
      <c r="D8561">
        <v>80.510000000000005</v>
      </c>
      <c r="E8561">
        <v>1309</v>
      </c>
      <c r="F8561">
        <v>255</v>
      </c>
      <c r="G8561">
        <v>9</v>
      </c>
      <c r="H8561">
        <v>1</v>
      </c>
      <c r="I8561">
        <v>1302</v>
      </c>
      <c r="J8561">
        <v>1</v>
      </c>
      <c r="K8561">
        <v>1</v>
      </c>
      <c r="L8561">
        <v>1307</v>
      </c>
      <c r="M8561">
        <v>1</v>
      </c>
      <c r="N8561">
        <v>0</v>
      </c>
      <c r="O8561">
        <v>5539</v>
      </c>
    </row>
    <row r="8562" spans="1:15" x14ac:dyDescent="0.25">
      <c r="A8562" t="s">
        <v>8575</v>
      </c>
      <c r="B8562">
        <v>537</v>
      </c>
      <c r="C8562" s="1" t="str">
        <f>HYPERLINK("http://www.rosaceae.org/gb/gbrowse/malus_x_domestica/?name=MDP0000218910","MDP0000218910")</f>
        <v>MDP0000218910</v>
      </c>
      <c r="D8562">
        <v>70.2</v>
      </c>
      <c r="E8562">
        <v>537</v>
      </c>
      <c r="F8562">
        <v>160</v>
      </c>
      <c r="G8562">
        <v>21</v>
      </c>
      <c r="H8562">
        <v>7</v>
      </c>
      <c r="I8562">
        <v>537</v>
      </c>
      <c r="J8562">
        <v>1</v>
      </c>
      <c r="K8562">
        <v>13</v>
      </c>
      <c r="L8562">
        <v>534</v>
      </c>
      <c r="M8562">
        <v>1</v>
      </c>
      <c r="N8562">
        <v>0</v>
      </c>
      <c r="O8562">
        <v>1916</v>
      </c>
    </row>
    <row r="8563" spans="1:15" x14ac:dyDescent="0.25">
      <c r="A8563" t="s">
        <v>8576</v>
      </c>
      <c r="B8563">
        <v>344</v>
      </c>
      <c r="C8563" s="1" t="str">
        <f>HYPERLINK("http://www.rosaceae.org/gb/gbrowse/malus_x_domestica/?name=MDP0000688416","MDP0000688416")</f>
        <v>MDP0000688416</v>
      </c>
      <c r="D8563">
        <v>79.930000000000007</v>
      </c>
      <c r="E8563">
        <v>329</v>
      </c>
      <c r="F8563">
        <v>66</v>
      </c>
      <c r="G8563">
        <v>1</v>
      </c>
      <c r="H8563">
        <v>1</v>
      </c>
      <c r="I8563">
        <v>329</v>
      </c>
      <c r="J8563">
        <v>1</v>
      </c>
      <c r="K8563">
        <v>400</v>
      </c>
      <c r="L8563">
        <v>727</v>
      </c>
      <c r="M8563">
        <v>1</v>
      </c>
      <c r="N8563">
        <v>7.9998799999999995E-160</v>
      </c>
      <c r="O8563">
        <v>1443</v>
      </c>
    </row>
    <row r="8564" spans="1:15" x14ac:dyDescent="0.25">
      <c r="A8564" t="s">
        <v>8577</v>
      </c>
      <c r="B8564">
        <v>263</v>
      </c>
      <c r="C8564" s="1" t="str">
        <f>HYPERLINK("http://www.rosaceae.org/gb/gbrowse/malus_x_domestica/?name=MDP0000925584","MDP0000925584")</f>
        <v>MDP0000925584</v>
      </c>
      <c r="D8564">
        <v>51.64</v>
      </c>
      <c r="E8564">
        <v>182</v>
      </c>
      <c r="F8564">
        <v>88</v>
      </c>
      <c r="G8564">
        <v>21</v>
      </c>
      <c r="H8564">
        <v>1</v>
      </c>
      <c r="I8564">
        <v>168</v>
      </c>
      <c r="J8564">
        <v>1</v>
      </c>
      <c r="K8564">
        <v>1</v>
      </c>
      <c r="L8564">
        <v>175</v>
      </c>
      <c r="M8564">
        <v>1</v>
      </c>
      <c r="N8564">
        <v>5.8556199999999997E-34</v>
      </c>
      <c r="O8564">
        <v>356</v>
      </c>
    </row>
    <row r="8565" spans="1:15" x14ac:dyDescent="0.25">
      <c r="A8565" t="s">
        <v>8578</v>
      </c>
      <c r="B8565">
        <v>405</v>
      </c>
      <c r="C8565" s="1" t="str">
        <f>HYPERLINK("http://www.rosaceae.org/gb/gbrowse/malus_x_domestica/?name=MDP0000320087","MDP0000320087")</f>
        <v>MDP0000320087</v>
      </c>
      <c r="D8565">
        <v>87.93</v>
      </c>
      <c r="E8565">
        <v>373</v>
      </c>
      <c r="F8565">
        <v>45</v>
      </c>
      <c r="G8565">
        <v>3</v>
      </c>
      <c r="H8565">
        <v>32</v>
      </c>
      <c r="I8565">
        <v>401</v>
      </c>
      <c r="J8565">
        <v>1</v>
      </c>
      <c r="K8565">
        <v>30</v>
      </c>
      <c r="L8565">
        <v>402</v>
      </c>
      <c r="M8565">
        <v>1</v>
      </c>
      <c r="N8565">
        <v>0</v>
      </c>
      <c r="O8565">
        <v>1740</v>
      </c>
    </row>
    <row r="8566" spans="1:15" x14ac:dyDescent="0.25">
      <c r="A8566" t="s">
        <v>8579</v>
      </c>
      <c r="B8566">
        <v>413</v>
      </c>
      <c r="C8566" s="1" t="str">
        <f>HYPERLINK("http://www.rosaceae.org/gb/gbrowse/malus_x_domestica/?name=MDP0000176147","MDP0000176147")</f>
        <v>MDP0000176147</v>
      </c>
      <c r="D8566">
        <v>77.349999999999994</v>
      </c>
      <c r="E8566">
        <v>371</v>
      </c>
      <c r="F8566">
        <v>84</v>
      </c>
      <c r="G8566">
        <v>11</v>
      </c>
      <c r="H8566">
        <v>1</v>
      </c>
      <c r="I8566">
        <v>360</v>
      </c>
      <c r="J8566">
        <v>1</v>
      </c>
      <c r="K8566">
        <v>1</v>
      </c>
      <c r="L8566">
        <v>371</v>
      </c>
      <c r="M8566">
        <v>1</v>
      </c>
      <c r="N8566">
        <v>6.86798E-157</v>
      </c>
      <c r="O8566">
        <v>1419</v>
      </c>
    </row>
    <row r="8567" spans="1:15" x14ac:dyDescent="0.25">
      <c r="A8567" t="s">
        <v>8580</v>
      </c>
      <c r="B8567">
        <v>169</v>
      </c>
      <c r="C8567" s="1" t="str">
        <f>HYPERLINK("http://www.rosaceae.org/gb/gbrowse/malus_x_domestica/?name=MDP0000917655","MDP0000917655")</f>
        <v>MDP0000917655</v>
      </c>
      <c r="D8567">
        <v>54.67</v>
      </c>
      <c r="E8567">
        <v>139</v>
      </c>
      <c r="F8567">
        <v>63</v>
      </c>
      <c r="G8567">
        <v>0</v>
      </c>
      <c r="H8567">
        <v>30</v>
      </c>
      <c r="I8567">
        <v>168</v>
      </c>
      <c r="J8567">
        <v>1</v>
      </c>
      <c r="K8567">
        <v>28</v>
      </c>
      <c r="L8567">
        <v>166</v>
      </c>
      <c r="M8567">
        <v>1</v>
      </c>
      <c r="N8567">
        <v>4.4987599999999998E-41</v>
      </c>
      <c r="O8567">
        <v>415</v>
      </c>
    </row>
    <row r="8568" spans="1:15" x14ac:dyDescent="0.25">
      <c r="A8568" t="s">
        <v>8581</v>
      </c>
      <c r="B8568">
        <v>1430</v>
      </c>
      <c r="C8568" s="1" t="str">
        <f>HYPERLINK("http://www.rosaceae.org/gb/gbrowse/malus_x_domestica/?name=MDP0000154743","MDP0000154743")</f>
        <v>MDP0000154743</v>
      </c>
      <c r="D8568">
        <v>72.94</v>
      </c>
      <c r="E8568">
        <v>547</v>
      </c>
      <c r="F8568">
        <v>148</v>
      </c>
      <c r="G8568">
        <v>21</v>
      </c>
      <c r="H8568">
        <v>531</v>
      </c>
      <c r="I8568">
        <v>1056</v>
      </c>
      <c r="J8568">
        <v>1</v>
      </c>
      <c r="K8568">
        <v>3</v>
      </c>
      <c r="L8568">
        <v>549</v>
      </c>
      <c r="M8568">
        <v>1</v>
      </c>
      <c r="N8568">
        <v>0</v>
      </c>
      <c r="O8568">
        <v>2051</v>
      </c>
    </row>
    <row r="8569" spans="1:15" x14ac:dyDescent="0.25">
      <c r="A8569" t="s">
        <v>8582</v>
      </c>
      <c r="B8569">
        <v>733</v>
      </c>
      <c r="C8569" s="1" t="str">
        <f>HYPERLINK("http://www.rosaceae.org/gb/gbrowse/malus_x_domestica/?name=MDP0000132583","MDP0000132583")</f>
        <v>MDP0000132583</v>
      </c>
      <c r="D8569">
        <v>84.54</v>
      </c>
      <c r="E8569">
        <v>343</v>
      </c>
      <c r="F8569">
        <v>53</v>
      </c>
      <c r="G8569">
        <v>1</v>
      </c>
      <c r="H8569">
        <v>27</v>
      </c>
      <c r="I8569">
        <v>369</v>
      </c>
      <c r="J8569">
        <v>1</v>
      </c>
      <c r="K8569">
        <v>1</v>
      </c>
      <c r="L8569">
        <v>342</v>
      </c>
      <c r="M8569">
        <v>1</v>
      </c>
      <c r="N8569">
        <v>1.1220700000000001E-171</v>
      </c>
      <c r="O8569">
        <v>1549</v>
      </c>
    </row>
    <row r="8570" spans="1:15" x14ac:dyDescent="0.25">
      <c r="A8570" t="s">
        <v>8583</v>
      </c>
      <c r="B8570">
        <v>244</v>
      </c>
      <c r="C8570" s="1" t="str">
        <f>HYPERLINK("http://www.rosaceae.org/gb/gbrowse/malus_x_domestica/?name=MDP0000153000","MDP0000153000")</f>
        <v>MDP0000153000</v>
      </c>
      <c r="D8570">
        <v>56.37</v>
      </c>
      <c r="E8570">
        <v>243</v>
      </c>
      <c r="F8570">
        <v>106</v>
      </c>
      <c r="G8570">
        <v>1</v>
      </c>
      <c r="H8570">
        <v>2</v>
      </c>
      <c r="I8570">
        <v>244</v>
      </c>
      <c r="J8570">
        <v>1</v>
      </c>
      <c r="K8570">
        <v>62</v>
      </c>
      <c r="L8570">
        <v>303</v>
      </c>
      <c r="M8570">
        <v>1</v>
      </c>
      <c r="N8570">
        <v>2.9483200000000001E-71</v>
      </c>
      <c r="O8570">
        <v>677</v>
      </c>
    </row>
    <row r="8571" spans="1:15" x14ac:dyDescent="0.25">
      <c r="A8571" t="s">
        <v>8584</v>
      </c>
      <c r="B8571">
        <v>284</v>
      </c>
      <c r="C8571" s="1" t="str">
        <f>HYPERLINK("http://www.rosaceae.org/gb/gbrowse/malus_x_domestica/?name=MDP0000149121","MDP0000149121")</f>
        <v>MDP0000149121</v>
      </c>
      <c r="D8571">
        <v>70.78</v>
      </c>
      <c r="E8571">
        <v>267</v>
      </c>
      <c r="F8571">
        <v>78</v>
      </c>
      <c r="G8571">
        <v>2</v>
      </c>
      <c r="H8571">
        <v>19</v>
      </c>
      <c r="I8571">
        <v>283</v>
      </c>
      <c r="J8571">
        <v>1</v>
      </c>
      <c r="K8571">
        <v>21</v>
      </c>
      <c r="L8571">
        <v>287</v>
      </c>
      <c r="M8571">
        <v>1</v>
      </c>
      <c r="N8571">
        <v>3.0828900000000001E-103</v>
      </c>
      <c r="O8571">
        <v>954</v>
      </c>
    </row>
    <row r="8572" spans="1:15" x14ac:dyDescent="0.25">
      <c r="A8572" t="s">
        <v>8585</v>
      </c>
      <c r="B8572">
        <v>320</v>
      </c>
      <c r="C8572" s="1" t="str">
        <f>HYPERLINK("http://www.rosaceae.org/gb/gbrowse/malus_x_domestica/?name=MDP0000321548","MDP0000321548")</f>
        <v>MDP0000321548</v>
      </c>
      <c r="D8572">
        <v>65.349999999999994</v>
      </c>
      <c r="E8572">
        <v>280</v>
      </c>
      <c r="F8572">
        <v>97</v>
      </c>
      <c r="G8572">
        <v>52</v>
      </c>
      <c r="H8572">
        <v>46</v>
      </c>
      <c r="I8572">
        <v>311</v>
      </c>
      <c r="J8572">
        <v>1</v>
      </c>
      <c r="K8572">
        <v>734</v>
      </c>
      <c r="L8572">
        <v>975</v>
      </c>
      <c r="M8572">
        <v>1</v>
      </c>
      <c r="N8572">
        <v>1.2093500000000001E-97</v>
      </c>
      <c r="O8572">
        <v>906</v>
      </c>
    </row>
    <row r="8573" spans="1:15" x14ac:dyDescent="0.25">
      <c r="A8573" t="s">
        <v>8586</v>
      </c>
      <c r="B8573">
        <v>138</v>
      </c>
      <c r="C8573" s="1" t="str">
        <f>HYPERLINK("http://www.rosaceae.org/gb/gbrowse/malus_x_domestica/?name=MDP0000351526","MDP0000351526")</f>
        <v>MDP0000351526</v>
      </c>
      <c r="D8573">
        <v>62.88</v>
      </c>
      <c r="E8573">
        <v>97</v>
      </c>
      <c r="F8573">
        <v>36</v>
      </c>
      <c r="G8573">
        <v>3</v>
      </c>
      <c r="H8573">
        <v>45</v>
      </c>
      <c r="I8573">
        <v>138</v>
      </c>
      <c r="J8573">
        <v>1</v>
      </c>
      <c r="K8573">
        <v>77</v>
      </c>
      <c r="L8573">
        <v>173</v>
      </c>
      <c r="M8573">
        <v>1</v>
      </c>
      <c r="N8573">
        <v>2.3238900000000001E-26</v>
      </c>
      <c r="O8573">
        <v>286</v>
      </c>
    </row>
    <row r="8574" spans="1:15" x14ac:dyDescent="0.25">
      <c r="A8574" t="s">
        <v>8587</v>
      </c>
      <c r="B8574">
        <v>249</v>
      </c>
      <c r="C8574" s="1" t="str">
        <f>HYPERLINK("http://www.rosaceae.org/gb/gbrowse/malus_x_domestica/?name=MDP0000186012","MDP0000186012")</f>
        <v>MDP0000186012</v>
      </c>
      <c r="D8574">
        <v>60</v>
      </c>
      <c r="E8574">
        <v>65</v>
      </c>
      <c r="F8574">
        <v>26</v>
      </c>
      <c r="G8574">
        <v>0</v>
      </c>
      <c r="H8574">
        <v>20</v>
      </c>
      <c r="I8574">
        <v>84</v>
      </c>
      <c r="J8574">
        <v>1</v>
      </c>
      <c r="K8574">
        <v>131</v>
      </c>
      <c r="L8574">
        <v>195</v>
      </c>
      <c r="M8574">
        <v>1</v>
      </c>
      <c r="N8574">
        <v>4.1855299999999999E-17</v>
      </c>
      <c r="O8574">
        <v>210</v>
      </c>
    </row>
    <row r="8575" spans="1:15" x14ac:dyDescent="0.25">
      <c r="A8575" t="s">
        <v>8588</v>
      </c>
      <c r="B8575">
        <v>384</v>
      </c>
      <c r="C8575" s="1" t="str">
        <f>HYPERLINK("http://www.rosaceae.org/gb/gbrowse/malus_x_domestica/?name=MDP0000206106","MDP0000206106")</f>
        <v>MDP0000206106</v>
      </c>
      <c r="D8575">
        <v>73.900000000000006</v>
      </c>
      <c r="E8575">
        <v>364</v>
      </c>
      <c r="F8575">
        <v>95</v>
      </c>
      <c r="G8575">
        <v>7</v>
      </c>
      <c r="H8575">
        <v>13</v>
      </c>
      <c r="I8575">
        <v>374</v>
      </c>
      <c r="J8575">
        <v>1</v>
      </c>
      <c r="K8575">
        <v>357</v>
      </c>
      <c r="L8575">
        <v>715</v>
      </c>
      <c r="M8575">
        <v>1</v>
      </c>
      <c r="N8575">
        <v>8.1989799999999996E-150</v>
      </c>
      <c r="O8575">
        <v>1357</v>
      </c>
    </row>
    <row r="8576" spans="1:15" x14ac:dyDescent="0.25">
      <c r="A8576" t="s">
        <v>8589</v>
      </c>
      <c r="B8576">
        <v>196</v>
      </c>
      <c r="C8576" s="1" t="str">
        <f>HYPERLINK("http://www.rosaceae.org/gb/gbrowse/malus_x_domestica/?name=MDP0000255613","MDP0000255613")</f>
        <v>MDP0000255613</v>
      </c>
      <c r="D8576">
        <v>51.53</v>
      </c>
      <c r="E8576">
        <v>196</v>
      </c>
      <c r="F8576">
        <v>95</v>
      </c>
      <c r="G8576">
        <v>16</v>
      </c>
      <c r="H8576">
        <v>6</v>
      </c>
      <c r="I8576">
        <v>196</v>
      </c>
      <c r="J8576">
        <v>1</v>
      </c>
      <c r="K8576">
        <v>1143</v>
      </c>
      <c r="L8576">
        <v>1327</v>
      </c>
      <c r="M8576">
        <v>1</v>
      </c>
      <c r="N8576">
        <v>2.1153899999999999E-37</v>
      </c>
      <c r="O8576">
        <v>384</v>
      </c>
    </row>
    <row r="8577" spans="1:15" x14ac:dyDescent="0.25">
      <c r="A8577" t="s">
        <v>8590</v>
      </c>
      <c r="B8577">
        <v>152</v>
      </c>
      <c r="C8577" s="1" t="str">
        <f>HYPERLINK("http://www.rosaceae.org/gb/gbrowse/malus_x_domestica/?name=MDP0000205603","MDP0000205603")</f>
        <v>MDP0000205603</v>
      </c>
      <c r="D8577">
        <v>48.43</v>
      </c>
      <c r="E8577">
        <v>64</v>
      </c>
      <c r="F8577">
        <v>33</v>
      </c>
      <c r="G8577">
        <v>0</v>
      </c>
      <c r="H8577">
        <v>83</v>
      </c>
      <c r="I8577">
        <v>146</v>
      </c>
      <c r="J8577">
        <v>1</v>
      </c>
      <c r="K8577">
        <v>64</v>
      </c>
      <c r="L8577">
        <v>127</v>
      </c>
      <c r="M8577">
        <v>1</v>
      </c>
      <c r="N8577">
        <v>2.2007000000000001E-12</v>
      </c>
      <c r="O8577">
        <v>166</v>
      </c>
    </row>
    <row r="8578" spans="1:15" x14ac:dyDescent="0.25">
      <c r="A8578" t="s">
        <v>8591</v>
      </c>
      <c r="B8578">
        <v>432</v>
      </c>
      <c r="C8578" s="1" t="str">
        <f>HYPERLINK("http://www.rosaceae.org/gb/gbrowse/malus_x_domestica/?name=MDP0000149369","MDP0000149369")</f>
        <v>MDP0000149369</v>
      </c>
      <c r="D8578">
        <v>31.84</v>
      </c>
      <c r="E8578">
        <v>402</v>
      </c>
      <c r="F8578">
        <v>274</v>
      </c>
      <c r="G8578">
        <v>106</v>
      </c>
      <c r="H8578">
        <v>29</v>
      </c>
      <c r="I8578">
        <v>428</v>
      </c>
      <c r="J8578">
        <v>1</v>
      </c>
      <c r="K8578">
        <v>52</v>
      </c>
      <c r="L8578">
        <v>349</v>
      </c>
      <c r="M8578">
        <v>1</v>
      </c>
      <c r="N8578">
        <v>9.1381299999999998E-41</v>
      </c>
      <c r="O8578">
        <v>417</v>
      </c>
    </row>
    <row r="8579" spans="1:15" x14ac:dyDescent="0.25">
      <c r="A8579" t="s">
        <v>8592</v>
      </c>
      <c r="B8579">
        <v>125</v>
      </c>
      <c r="C8579" s="1" t="str">
        <f>HYPERLINK("http://www.rosaceae.org/gb/gbrowse/malus_x_domestica/?name=MDP0000676293","MDP0000676293")</f>
        <v>MDP0000676293</v>
      </c>
      <c r="D8579">
        <v>68.37</v>
      </c>
      <c r="E8579">
        <v>117</v>
      </c>
      <c r="F8579">
        <v>37</v>
      </c>
      <c r="G8579">
        <v>1</v>
      </c>
      <c r="H8579">
        <v>1</v>
      </c>
      <c r="I8579">
        <v>116</v>
      </c>
      <c r="J8579">
        <v>1</v>
      </c>
      <c r="K8579">
        <v>97</v>
      </c>
      <c r="L8579">
        <v>213</v>
      </c>
      <c r="M8579">
        <v>1</v>
      </c>
      <c r="N8579">
        <v>1.2331200000000001E-32</v>
      </c>
      <c r="O8579">
        <v>339</v>
      </c>
    </row>
    <row r="8580" spans="1:15" x14ac:dyDescent="0.25">
      <c r="A8580" t="s">
        <v>8593</v>
      </c>
      <c r="B8580">
        <v>349</v>
      </c>
      <c r="C8580" s="1" t="str">
        <f>HYPERLINK("http://www.rosaceae.org/gb/gbrowse/malus_x_domestica/?name=MDP0000026449","MDP0000026449")</f>
        <v>MDP0000026449</v>
      </c>
      <c r="D8580">
        <v>71.209999999999994</v>
      </c>
      <c r="E8580">
        <v>330</v>
      </c>
      <c r="F8580">
        <v>95</v>
      </c>
      <c r="G8580">
        <v>14</v>
      </c>
      <c r="H8580">
        <v>1</v>
      </c>
      <c r="I8580">
        <v>328</v>
      </c>
      <c r="J8580">
        <v>1</v>
      </c>
      <c r="K8580">
        <v>1</v>
      </c>
      <c r="L8580">
        <v>318</v>
      </c>
      <c r="M8580">
        <v>1</v>
      </c>
      <c r="N8580">
        <v>3.7064100000000002E-122</v>
      </c>
      <c r="O8580">
        <v>1118</v>
      </c>
    </row>
    <row r="8581" spans="1:15" x14ac:dyDescent="0.25">
      <c r="A8581" t="s">
        <v>8594</v>
      </c>
      <c r="B8581">
        <v>267</v>
      </c>
      <c r="C8581" s="1" t="str">
        <f>HYPERLINK("http://www.rosaceae.org/gb/gbrowse/malus_x_domestica/?name=MDP0000122086","MDP0000122086")</f>
        <v>MDP0000122086</v>
      </c>
      <c r="D8581">
        <v>67.83</v>
      </c>
      <c r="E8581">
        <v>314</v>
      </c>
      <c r="F8581">
        <v>101</v>
      </c>
      <c r="G8581">
        <v>47</v>
      </c>
      <c r="H8581">
        <v>1</v>
      </c>
      <c r="I8581">
        <v>267</v>
      </c>
      <c r="J8581">
        <v>1</v>
      </c>
      <c r="K8581">
        <v>1</v>
      </c>
      <c r="L8581">
        <v>314</v>
      </c>
      <c r="M8581">
        <v>1</v>
      </c>
      <c r="N8581">
        <v>1.78825E-118</v>
      </c>
      <c r="O8581">
        <v>1085</v>
      </c>
    </row>
    <row r="8582" spans="1:15" x14ac:dyDescent="0.25">
      <c r="A8582" t="s">
        <v>8595</v>
      </c>
      <c r="B8582">
        <v>175</v>
      </c>
      <c r="C8582" s="1" t="str">
        <f>HYPERLINK("http://www.rosaceae.org/gb/gbrowse/malus_x_domestica/?name=MDP0000156544","MDP0000156544")</f>
        <v>MDP0000156544</v>
      </c>
      <c r="D8582">
        <v>53.57</v>
      </c>
      <c r="E8582">
        <v>84</v>
      </c>
      <c r="F8582">
        <v>39</v>
      </c>
      <c r="G8582">
        <v>3</v>
      </c>
      <c r="H8582">
        <v>75</v>
      </c>
      <c r="I8582">
        <v>158</v>
      </c>
      <c r="J8582">
        <v>1</v>
      </c>
      <c r="K8582">
        <v>419</v>
      </c>
      <c r="L8582">
        <v>499</v>
      </c>
      <c r="M8582">
        <v>1</v>
      </c>
      <c r="N8582">
        <v>3.9102299999999997E-20</v>
      </c>
      <c r="O8582">
        <v>234</v>
      </c>
    </row>
    <row r="8583" spans="1:15" x14ac:dyDescent="0.25">
      <c r="A8583" t="s">
        <v>8596</v>
      </c>
      <c r="B8583">
        <v>271</v>
      </c>
      <c r="C8583" s="1" t="str">
        <f>HYPERLINK("http://www.rosaceae.org/gb/gbrowse/malus_x_domestica/?name=MDP0000137117","MDP0000137117")</f>
        <v>MDP0000137117</v>
      </c>
      <c r="D8583">
        <v>63.24</v>
      </c>
      <c r="E8583">
        <v>253</v>
      </c>
      <c r="F8583">
        <v>93</v>
      </c>
      <c r="G8583">
        <v>14</v>
      </c>
      <c r="H8583">
        <v>31</v>
      </c>
      <c r="I8583">
        <v>271</v>
      </c>
      <c r="J8583">
        <v>1</v>
      </c>
      <c r="K8583">
        <v>33</v>
      </c>
      <c r="L8583">
        <v>283</v>
      </c>
      <c r="M8583">
        <v>1</v>
      </c>
      <c r="N8583">
        <v>9.8281300000000003E-79</v>
      </c>
      <c r="O8583">
        <v>742</v>
      </c>
    </row>
    <row r="8584" spans="1:15" x14ac:dyDescent="0.25">
      <c r="A8584" t="s">
        <v>8597</v>
      </c>
      <c r="B8584">
        <v>188</v>
      </c>
      <c r="C8584" s="1" t="str">
        <f>HYPERLINK("http://www.rosaceae.org/gb/gbrowse/malus_x_domestica/?name=MDP0000295739","MDP0000295739")</f>
        <v>MDP0000295739</v>
      </c>
      <c r="D8584">
        <v>44.2</v>
      </c>
      <c r="E8584">
        <v>138</v>
      </c>
      <c r="F8584">
        <v>77</v>
      </c>
      <c r="G8584">
        <v>28</v>
      </c>
      <c r="H8584">
        <v>76</v>
      </c>
      <c r="I8584">
        <v>188</v>
      </c>
      <c r="J8584">
        <v>1</v>
      </c>
      <c r="K8584">
        <v>77</v>
      </c>
      <c r="L8584">
        <v>211</v>
      </c>
      <c r="M8584">
        <v>1</v>
      </c>
      <c r="N8584">
        <v>2.98184E-20</v>
      </c>
      <c r="O8584">
        <v>236</v>
      </c>
    </row>
    <row r="8585" spans="1:15" x14ac:dyDescent="0.25">
      <c r="A8585" t="s">
        <v>8598</v>
      </c>
      <c r="B8585">
        <v>616</v>
      </c>
      <c r="C8585" s="1" t="str">
        <f>HYPERLINK("http://www.rosaceae.org/gb/gbrowse/malus_x_domestica/?name=MDP0000176006","MDP0000176006")</f>
        <v>MDP0000176006</v>
      </c>
      <c r="D8585">
        <v>67.89</v>
      </c>
      <c r="E8585">
        <v>626</v>
      </c>
      <c r="F8585">
        <v>201</v>
      </c>
      <c r="G8585">
        <v>29</v>
      </c>
      <c r="H8585">
        <v>1</v>
      </c>
      <c r="I8585">
        <v>609</v>
      </c>
      <c r="J8585">
        <v>1</v>
      </c>
      <c r="K8585">
        <v>1</v>
      </c>
      <c r="L8585">
        <v>614</v>
      </c>
      <c r="M8585">
        <v>1</v>
      </c>
      <c r="N8585">
        <v>0</v>
      </c>
      <c r="O8585">
        <v>2133</v>
      </c>
    </row>
    <row r="8586" spans="1:15" x14ac:dyDescent="0.25">
      <c r="A8586" t="s">
        <v>8599</v>
      </c>
      <c r="B8586">
        <v>265</v>
      </c>
      <c r="C8586" s="1" t="str">
        <f>HYPERLINK("http://www.rosaceae.org/gb/gbrowse/malus_x_domestica/?name=MDP0000216956","MDP0000216956")</f>
        <v>MDP0000216956</v>
      </c>
      <c r="D8586">
        <v>45.61</v>
      </c>
      <c r="E8586">
        <v>57</v>
      </c>
      <c r="F8586">
        <v>31</v>
      </c>
      <c r="G8586">
        <v>0</v>
      </c>
      <c r="H8586">
        <v>202</v>
      </c>
      <c r="I8586">
        <v>258</v>
      </c>
      <c r="J8586">
        <v>1</v>
      </c>
      <c r="K8586">
        <v>187</v>
      </c>
      <c r="L8586">
        <v>243</v>
      </c>
      <c r="M8586">
        <v>1</v>
      </c>
      <c r="N8586">
        <v>4.5612000000000004E-12</v>
      </c>
      <c r="O8586">
        <v>167</v>
      </c>
    </row>
    <row r="8587" spans="1:15" x14ac:dyDescent="0.25">
      <c r="A8587" t="s">
        <v>8600</v>
      </c>
      <c r="B8587">
        <v>1109</v>
      </c>
      <c r="C8587" s="1" t="str">
        <f>HYPERLINK("http://www.rosaceae.org/gb/gbrowse/malus_x_domestica/?name=MDP0000138499","MDP0000138499")</f>
        <v>MDP0000138499</v>
      </c>
      <c r="D8587">
        <v>44.69</v>
      </c>
      <c r="E8587">
        <v>1103</v>
      </c>
      <c r="F8587">
        <v>610</v>
      </c>
      <c r="G8587">
        <v>137</v>
      </c>
      <c r="H8587">
        <v>42</v>
      </c>
      <c r="I8587">
        <v>1057</v>
      </c>
      <c r="J8587">
        <v>1</v>
      </c>
      <c r="K8587">
        <v>5</v>
      </c>
      <c r="L8587">
        <v>1057</v>
      </c>
      <c r="M8587">
        <v>1</v>
      </c>
      <c r="N8587">
        <v>0</v>
      </c>
      <c r="O8587">
        <v>1915</v>
      </c>
    </row>
    <row r="8588" spans="1:15" x14ac:dyDescent="0.25">
      <c r="A8588" t="s">
        <v>8601</v>
      </c>
      <c r="B8588">
        <v>543</v>
      </c>
      <c r="C8588" s="1" t="str">
        <f>HYPERLINK("http://www.rosaceae.org/gb/gbrowse/malus_x_domestica/?name=MDP0000146673","MDP0000146673")</f>
        <v>MDP0000146673</v>
      </c>
      <c r="D8588">
        <v>63.25</v>
      </c>
      <c r="E8588">
        <v>528</v>
      </c>
      <c r="F8588">
        <v>194</v>
      </c>
      <c r="G8588">
        <v>29</v>
      </c>
      <c r="H8588">
        <v>28</v>
      </c>
      <c r="I8588">
        <v>543</v>
      </c>
      <c r="J8588">
        <v>1</v>
      </c>
      <c r="K8588">
        <v>12</v>
      </c>
      <c r="L8588">
        <v>522</v>
      </c>
      <c r="M8588">
        <v>1</v>
      </c>
      <c r="N8588">
        <v>2.26725E-177</v>
      </c>
      <c r="O8588">
        <v>1596</v>
      </c>
    </row>
    <row r="8589" spans="1:15" x14ac:dyDescent="0.25">
      <c r="A8589" t="s">
        <v>8602</v>
      </c>
      <c r="B8589">
        <v>246</v>
      </c>
      <c r="C8589" s="1" t="str">
        <f>HYPERLINK("http://www.rosaceae.org/gb/gbrowse/malus_x_domestica/?name=MDP0000248514","MDP0000248514")</f>
        <v>MDP0000248514</v>
      </c>
      <c r="D8589">
        <v>37.76</v>
      </c>
      <c r="E8589">
        <v>143</v>
      </c>
      <c r="F8589">
        <v>89</v>
      </c>
      <c r="G8589">
        <v>16</v>
      </c>
      <c r="H8589">
        <v>73</v>
      </c>
      <c r="I8589">
        <v>199</v>
      </c>
      <c r="J8589">
        <v>1</v>
      </c>
      <c r="K8589">
        <v>261</v>
      </c>
      <c r="L8589">
        <v>403</v>
      </c>
      <c r="M8589">
        <v>1</v>
      </c>
      <c r="N8589">
        <v>1.8716899999999999E-17</v>
      </c>
      <c r="O8589">
        <v>213</v>
      </c>
    </row>
    <row r="8590" spans="1:15" x14ac:dyDescent="0.25">
      <c r="A8590" t="s">
        <v>8603</v>
      </c>
      <c r="B8590">
        <v>797</v>
      </c>
      <c r="C8590" s="1" t="str">
        <f>HYPERLINK("http://www.rosaceae.org/gb/gbrowse/malus_x_domestica/?name=MDP0000277933","MDP0000277933")</f>
        <v>MDP0000277933</v>
      </c>
      <c r="D8590">
        <v>80.12</v>
      </c>
      <c r="E8590">
        <v>805</v>
      </c>
      <c r="F8590">
        <v>160</v>
      </c>
      <c r="G8590">
        <v>21</v>
      </c>
      <c r="H8590">
        <v>1</v>
      </c>
      <c r="I8590">
        <v>784</v>
      </c>
      <c r="J8590">
        <v>1</v>
      </c>
      <c r="K8590">
        <v>62</v>
      </c>
      <c r="L8590">
        <v>866</v>
      </c>
      <c r="M8590">
        <v>1</v>
      </c>
      <c r="N8590">
        <v>0</v>
      </c>
      <c r="O8590">
        <v>3301</v>
      </c>
    </row>
    <row r="8591" spans="1:15" x14ac:dyDescent="0.25">
      <c r="A8591" t="s">
        <v>8604</v>
      </c>
      <c r="B8591">
        <v>212</v>
      </c>
      <c r="C8591" s="1" t="str">
        <f>HYPERLINK("http://www.rosaceae.org/gb/gbrowse/malus_x_domestica/?name=MDP0000397306","MDP0000397306")</f>
        <v>MDP0000397306</v>
      </c>
      <c r="D8591">
        <v>65.400000000000006</v>
      </c>
      <c r="E8591">
        <v>211</v>
      </c>
      <c r="F8591">
        <v>73</v>
      </c>
      <c r="G8591">
        <v>2</v>
      </c>
      <c r="H8591">
        <v>2</v>
      </c>
      <c r="I8591">
        <v>212</v>
      </c>
      <c r="J8591">
        <v>1</v>
      </c>
      <c r="K8591">
        <v>1</v>
      </c>
      <c r="L8591">
        <v>209</v>
      </c>
      <c r="M8591">
        <v>1</v>
      </c>
      <c r="N8591">
        <v>2.07026E-72</v>
      </c>
      <c r="O8591">
        <v>686</v>
      </c>
    </row>
    <row r="8592" spans="1:15" x14ac:dyDescent="0.25">
      <c r="A8592" t="s">
        <v>8605</v>
      </c>
      <c r="B8592">
        <v>422</v>
      </c>
      <c r="C8592" s="1" t="str">
        <f>HYPERLINK("http://www.rosaceae.org/gb/gbrowse/malus_x_domestica/?name=MDP0000943304","MDP0000943304")</f>
        <v>MDP0000943304</v>
      </c>
      <c r="D8592">
        <v>67.28</v>
      </c>
      <c r="E8592">
        <v>428</v>
      </c>
      <c r="F8592">
        <v>140</v>
      </c>
      <c r="G8592">
        <v>33</v>
      </c>
      <c r="H8592">
        <v>20</v>
      </c>
      <c r="I8592">
        <v>422</v>
      </c>
      <c r="J8592">
        <v>1</v>
      </c>
      <c r="K8592">
        <v>19</v>
      </c>
      <c r="L8592">
        <v>438</v>
      </c>
      <c r="M8592">
        <v>1</v>
      </c>
      <c r="N8592">
        <v>3.1998700000000001E-157</v>
      </c>
      <c r="O8592">
        <v>1422</v>
      </c>
    </row>
    <row r="8593" spans="1:15" x14ac:dyDescent="0.25">
      <c r="A8593" t="s">
        <v>8606</v>
      </c>
      <c r="B8593">
        <v>401</v>
      </c>
      <c r="C8593" s="1" t="str">
        <f>HYPERLINK("http://www.rosaceae.org/gb/gbrowse/malus_x_domestica/?name=MDP0000672840","MDP0000672840")</f>
        <v>MDP0000672840</v>
      </c>
      <c r="D8593">
        <v>32.92</v>
      </c>
      <c r="E8593">
        <v>404</v>
      </c>
      <c r="F8593">
        <v>271</v>
      </c>
      <c r="G8593">
        <v>69</v>
      </c>
      <c r="H8593">
        <v>10</v>
      </c>
      <c r="I8593">
        <v>358</v>
      </c>
      <c r="J8593">
        <v>1</v>
      </c>
      <c r="K8593">
        <v>8</v>
      </c>
      <c r="L8593">
        <v>397</v>
      </c>
      <c r="M8593">
        <v>1</v>
      </c>
      <c r="N8593">
        <v>1.14395E-43</v>
      </c>
      <c r="O8593">
        <v>442</v>
      </c>
    </row>
    <row r="8594" spans="1:15" x14ac:dyDescent="0.25">
      <c r="A8594" t="s">
        <v>8607</v>
      </c>
      <c r="B8594">
        <v>247</v>
      </c>
      <c r="C8594" s="1" t="str">
        <f>HYPERLINK("http://www.rosaceae.org/gb/gbrowse/malus_x_domestica/?name=MDP0000263282","MDP0000263282")</f>
        <v>MDP0000263282</v>
      </c>
      <c r="D8594">
        <v>44.59</v>
      </c>
      <c r="E8594">
        <v>222</v>
      </c>
      <c r="F8594">
        <v>123</v>
      </c>
      <c r="G8594">
        <v>31</v>
      </c>
      <c r="H8594">
        <v>33</v>
      </c>
      <c r="I8594">
        <v>240</v>
      </c>
      <c r="J8594">
        <v>1</v>
      </c>
      <c r="K8594">
        <v>1</v>
      </c>
      <c r="L8594">
        <v>205</v>
      </c>
      <c r="M8594">
        <v>1</v>
      </c>
      <c r="N8594">
        <v>5.0937199999999999E-41</v>
      </c>
      <c r="O8594">
        <v>417</v>
      </c>
    </row>
    <row r="8595" spans="1:15" x14ac:dyDescent="0.25">
      <c r="A8595" t="s">
        <v>8608</v>
      </c>
      <c r="B8595">
        <v>161</v>
      </c>
      <c r="C8595" s="1" t="str">
        <f>HYPERLINK("http://www.rosaceae.org/gb/gbrowse/malus_x_domestica/?name=MDP0000230652","MDP0000230652")</f>
        <v>MDP0000230652</v>
      </c>
      <c r="D8595">
        <v>45.63</v>
      </c>
      <c r="E8595">
        <v>149</v>
      </c>
      <c r="F8595">
        <v>81</v>
      </c>
      <c r="G8595">
        <v>3</v>
      </c>
      <c r="H8595">
        <v>5</v>
      </c>
      <c r="I8595">
        <v>152</v>
      </c>
      <c r="J8595">
        <v>1</v>
      </c>
      <c r="K8595">
        <v>4</v>
      </c>
      <c r="L8595">
        <v>150</v>
      </c>
      <c r="M8595">
        <v>1</v>
      </c>
      <c r="N8595">
        <v>3.7146400000000001E-21</v>
      </c>
      <c r="O8595">
        <v>242</v>
      </c>
    </row>
    <row r="8596" spans="1:15" x14ac:dyDescent="0.25">
      <c r="A8596" t="s">
        <v>8609</v>
      </c>
      <c r="B8596">
        <v>173</v>
      </c>
      <c r="C8596" s="1" t="str">
        <f>HYPERLINK("http://www.rosaceae.org/gb/gbrowse/malus_x_domestica/?name=MDP0000225903","MDP0000225903")</f>
        <v>MDP0000225903</v>
      </c>
      <c r="D8596">
        <v>57.95</v>
      </c>
      <c r="E8596">
        <v>88</v>
      </c>
      <c r="F8596">
        <v>37</v>
      </c>
      <c r="G8596">
        <v>2</v>
      </c>
      <c r="H8596">
        <v>32</v>
      </c>
      <c r="I8596">
        <v>119</v>
      </c>
      <c r="J8596">
        <v>1</v>
      </c>
      <c r="K8596">
        <v>46</v>
      </c>
      <c r="L8596">
        <v>131</v>
      </c>
      <c r="M8596">
        <v>1</v>
      </c>
      <c r="N8596">
        <v>5.3595999999999999E-24</v>
      </c>
      <c r="O8596">
        <v>267</v>
      </c>
    </row>
    <row r="8597" spans="1:15" x14ac:dyDescent="0.25">
      <c r="A8597" t="s">
        <v>8610</v>
      </c>
      <c r="B8597">
        <v>211</v>
      </c>
      <c r="C8597" s="1" t="str">
        <f>HYPERLINK("http://www.rosaceae.org/gb/gbrowse/malus_x_domestica/?name=MDP0000521048","MDP0000521048")</f>
        <v>MDP0000521048</v>
      </c>
      <c r="D8597">
        <v>82.9</v>
      </c>
      <c r="E8597">
        <v>193</v>
      </c>
      <c r="F8597">
        <v>33</v>
      </c>
      <c r="G8597">
        <v>0</v>
      </c>
      <c r="H8597">
        <v>19</v>
      </c>
      <c r="I8597">
        <v>211</v>
      </c>
      <c r="J8597">
        <v>1</v>
      </c>
      <c r="K8597">
        <v>21</v>
      </c>
      <c r="L8597">
        <v>213</v>
      </c>
      <c r="M8597">
        <v>1</v>
      </c>
      <c r="N8597">
        <v>8.0223599999999994E-89</v>
      </c>
      <c r="O8597">
        <v>828</v>
      </c>
    </row>
    <row r="8598" spans="1:15" x14ac:dyDescent="0.25">
      <c r="A8598" t="s">
        <v>8611</v>
      </c>
      <c r="B8598">
        <v>232</v>
      </c>
      <c r="C8598" s="1" t="str">
        <f>HYPERLINK("http://www.rosaceae.org/gb/gbrowse/malus_x_domestica/?name=MDP0000874064","MDP0000874064")</f>
        <v>MDP0000874064</v>
      </c>
      <c r="D8598">
        <v>31.08</v>
      </c>
      <c r="E8598">
        <v>193</v>
      </c>
      <c r="F8598">
        <v>133</v>
      </c>
      <c r="G8598">
        <v>33</v>
      </c>
      <c r="H8598">
        <v>8</v>
      </c>
      <c r="I8598">
        <v>169</v>
      </c>
      <c r="J8598">
        <v>1</v>
      </c>
      <c r="K8598">
        <v>7</v>
      </c>
      <c r="L8598">
        <v>197</v>
      </c>
      <c r="M8598">
        <v>1</v>
      </c>
      <c r="N8598">
        <v>2.2568299999999999E-10</v>
      </c>
      <c r="O8598">
        <v>152</v>
      </c>
    </row>
    <row r="8599" spans="1:15" x14ac:dyDescent="0.25">
      <c r="A8599" t="s">
        <v>8612</v>
      </c>
      <c r="B8599">
        <v>461</v>
      </c>
      <c r="C8599" s="1" t="str">
        <f>HYPERLINK("http://www.rosaceae.org/gb/gbrowse/malus_x_domestica/?name=MDP0000123549","MDP0000123549")</f>
        <v>MDP0000123549</v>
      </c>
      <c r="D8599">
        <v>64.92</v>
      </c>
      <c r="E8599">
        <v>422</v>
      </c>
      <c r="F8599">
        <v>148</v>
      </c>
      <c r="G8599">
        <v>30</v>
      </c>
      <c r="H8599">
        <v>1</v>
      </c>
      <c r="I8599">
        <v>406</v>
      </c>
      <c r="J8599">
        <v>1</v>
      </c>
      <c r="K8599">
        <v>1</v>
      </c>
      <c r="L8599">
        <v>408</v>
      </c>
      <c r="M8599">
        <v>1</v>
      </c>
      <c r="N8599">
        <v>5.3013300000000004E-147</v>
      </c>
      <c r="O8599">
        <v>1334</v>
      </c>
    </row>
    <row r="8600" spans="1:15" x14ac:dyDescent="0.25">
      <c r="A8600" t="s">
        <v>8613</v>
      </c>
      <c r="B8600">
        <v>574</v>
      </c>
      <c r="C8600" s="1" t="str">
        <f>HYPERLINK("http://www.rosaceae.org/gb/gbrowse/malus_x_domestica/?name=MDP0000279779","MDP0000279779")</f>
        <v>MDP0000279779</v>
      </c>
      <c r="D8600">
        <v>80.400000000000006</v>
      </c>
      <c r="E8600">
        <v>495</v>
      </c>
      <c r="F8600">
        <v>97</v>
      </c>
      <c r="G8600">
        <v>4</v>
      </c>
      <c r="H8600">
        <v>80</v>
      </c>
      <c r="I8600">
        <v>574</v>
      </c>
      <c r="J8600">
        <v>1</v>
      </c>
      <c r="K8600">
        <v>167</v>
      </c>
      <c r="L8600">
        <v>657</v>
      </c>
      <c r="M8600">
        <v>1</v>
      </c>
      <c r="N8600">
        <v>0</v>
      </c>
      <c r="O8600">
        <v>2113</v>
      </c>
    </row>
    <row r="8601" spans="1:15" x14ac:dyDescent="0.25">
      <c r="A8601" t="s">
        <v>8614</v>
      </c>
      <c r="B8601">
        <v>207</v>
      </c>
      <c r="C8601" s="1" t="str">
        <f>HYPERLINK("http://www.rosaceae.org/gb/gbrowse/malus_x_domestica/?name=MDP0000183993","MDP0000183993")</f>
        <v>MDP0000183993</v>
      </c>
      <c r="D8601">
        <v>49.76</v>
      </c>
      <c r="E8601">
        <v>209</v>
      </c>
      <c r="F8601">
        <v>105</v>
      </c>
      <c r="G8601">
        <v>75</v>
      </c>
      <c r="H8601">
        <v>74</v>
      </c>
      <c r="I8601">
        <v>207</v>
      </c>
      <c r="J8601">
        <v>1</v>
      </c>
      <c r="K8601">
        <v>71</v>
      </c>
      <c r="L8601">
        <v>279</v>
      </c>
      <c r="M8601">
        <v>1</v>
      </c>
      <c r="N8601">
        <v>1.5508E-49</v>
      </c>
      <c r="O8601">
        <v>489</v>
      </c>
    </row>
    <row r="8602" spans="1:15" x14ac:dyDescent="0.25">
      <c r="A8602" t="s">
        <v>8615</v>
      </c>
      <c r="B8602">
        <v>352</v>
      </c>
      <c r="C8602" s="1" t="str">
        <f>HYPERLINK("http://www.rosaceae.org/gb/gbrowse/malus_x_domestica/?name=MDP0000262526","MDP0000262526")</f>
        <v>MDP0000262526</v>
      </c>
      <c r="D8602">
        <v>55.24</v>
      </c>
      <c r="E8602">
        <v>362</v>
      </c>
      <c r="F8602">
        <v>162</v>
      </c>
      <c r="G8602">
        <v>48</v>
      </c>
      <c r="H8602">
        <v>1</v>
      </c>
      <c r="I8602">
        <v>337</v>
      </c>
      <c r="J8602">
        <v>1</v>
      </c>
      <c r="K8602">
        <v>1</v>
      </c>
      <c r="L8602">
        <v>339</v>
      </c>
      <c r="M8602">
        <v>1</v>
      </c>
      <c r="N8602">
        <v>1.5123999999999999E-90</v>
      </c>
      <c r="O8602">
        <v>846</v>
      </c>
    </row>
    <row r="8603" spans="1:15" x14ac:dyDescent="0.25">
      <c r="A8603" t="s">
        <v>8616</v>
      </c>
      <c r="B8603">
        <v>504</v>
      </c>
      <c r="C8603" s="1" t="str">
        <f>HYPERLINK("http://www.rosaceae.org/gb/gbrowse/malus_x_domestica/?name=MDP0000530457","MDP0000530457")</f>
        <v>MDP0000530457</v>
      </c>
      <c r="D8603">
        <v>50.51</v>
      </c>
      <c r="E8603">
        <v>194</v>
      </c>
      <c r="F8603">
        <v>96</v>
      </c>
      <c r="G8603">
        <v>1</v>
      </c>
      <c r="H8603">
        <v>310</v>
      </c>
      <c r="I8603">
        <v>503</v>
      </c>
      <c r="J8603">
        <v>1</v>
      </c>
      <c r="K8603">
        <v>21</v>
      </c>
      <c r="L8603">
        <v>213</v>
      </c>
      <c r="M8603">
        <v>1</v>
      </c>
      <c r="N8603">
        <v>9.4559199999999993E-50</v>
      </c>
      <c r="O8603">
        <v>496</v>
      </c>
    </row>
    <row r="8604" spans="1:15" x14ac:dyDescent="0.25">
      <c r="A8604" t="s">
        <v>8617</v>
      </c>
      <c r="B8604">
        <v>520</v>
      </c>
      <c r="C8604" s="1" t="str">
        <f>HYPERLINK("http://www.rosaceae.org/gb/gbrowse/malus_x_domestica/?name=MDP0000300756","MDP0000300756")</f>
        <v>MDP0000300756</v>
      </c>
      <c r="D8604">
        <v>64</v>
      </c>
      <c r="E8604">
        <v>514</v>
      </c>
      <c r="F8604">
        <v>185</v>
      </c>
      <c r="G8604">
        <v>11</v>
      </c>
      <c r="H8604">
        <v>16</v>
      </c>
      <c r="I8604">
        <v>519</v>
      </c>
      <c r="J8604">
        <v>1</v>
      </c>
      <c r="K8604">
        <v>26</v>
      </c>
      <c r="L8604">
        <v>538</v>
      </c>
      <c r="M8604">
        <v>1</v>
      </c>
      <c r="N8604">
        <v>2.2771899999999999E-176</v>
      </c>
      <c r="O8604">
        <v>1588</v>
      </c>
    </row>
    <row r="8605" spans="1:15" x14ac:dyDescent="0.25">
      <c r="A8605" t="s">
        <v>8618</v>
      </c>
      <c r="B8605">
        <v>409</v>
      </c>
      <c r="C8605" s="1" t="str">
        <f>HYPERLINK("http://www.rosaceae.org/gb/gbrowse/malus_x_domestica/?name=MDP0000296225","MDP0000296225")</f>
        <v>MDP0000296225</v>
      </c>
      <c r="D8605">
        <v>76.900000000000006</v>
      </c>
      <c r="E8605">
        <v>407</v>
      </c>
      <c r="F8605">
        <v>94</v>
      </c>
      <c r="G8605">
        <v>1</v>
      </c>
      <c r="H8605">
        <v>2</v>
      </c>
      <c r="I8605">
        <v>408</v>
      </c>
      <c r="J8605">
        <v>1</v>
      </c>
      <c r="K8605">
        <v>1</v>
      </c>
      <c r="L8605">
        <v>406</v>
      </c>
      <c r="M8605">
        <v>1</v>
      </c>
      <c r="N8605">
        <v>0</v>
      </c>
      <c r="O8605">
        <v>1641</v>
      </c>
    </row>
    <row r="8606" spans="1:15" x14ac:dyDescent="0.25">
      <c r="A8606" t="s">
        <v>8619</v>
      </c>
      <c r="B8606">
        <v>343</v>
      </c>
      <c r="C8606" s="1" t="str">
        <f>HYPERLINK("http://www.rosaceae.org/gb/gbrowse/malus_x_domestica/?name=MDP0000286006","MDP0000286006")</f>
        <v>MDP0000286006</v>
      </c>
      <c r="D8606">
        <v>61.71</v>
      </c>
      <c r="E8606">
        <v>350</v>
      </c>
      <c r="F8606">
        <v>134</v>
      </c>
      <c r="G8606">
        <v>9</v>
      </c>
      <c r="H8606">
        <v>1</v>
      </c>
      <c r="I8606">
        <v>343</v>
      </c>
      <c r="J8606">
        <v>1</v>
      </c>
      <c r="K8606">
        <v>1</v>
      </c>
      <c r="L8606">
        <v>348</v>
      </c>
      <c r="M8606">
        <v>1</v>
      </c>
      <c r="N8606">
        <v>1.3288399999999999E-121</v>
      </c>
      <c r="O8606">
        <v>1113</v>
      </c>
    </row>
    <row r="8607" spans="1:15" x14ac:dyDescent="0.25">
      <c r="A8607" t="s">
        <v>8620</v>
      </c>
      <c r="B8607">
        <v>201</v>
      </c>
      <c r="C8607" s="1" t="str">
        <f>HYPERLINK("http://www.rosaceae.org/gb/gbrowse/malus_x_domestica/?name=MDP0000305507","MDP0000305507")</f>
        <v>MDP0000305507</v>
      </c>
      <c r="D8607">
        <v>76.69</v>
      </c>
      <c r="E8607">
        <v>206</v>
      </c>
      <c r="F8607">
        <v>48</v>
      </c>
      <c r="G8607">
        <v>5</v>
      </c>
      <c r="H8607">
        <v>1</v>
      </c>
      <c r="I8607">
        <v>201</v>
      </c>
      <c r="J8607">
        <v>1</v>
      </c>
      <c r="K8607">
        <v>142</v>
      </c>
      <c r="L8607">
        <v>347</v>
      </c>
      <c r="M8607">
        <v>1</v>
      </c>
      <c r="N8607">
        <v>2.1724900000000001E-88</v>
      </c>
      <c r="O8607">
        <v>824</v>
      </c>
    </row>
    <row r="8608" spans="1:15" x14ac:dyDescent="0.25">
      <c r="A8608" t="s">
        <v>8621</v>
      </c>
      <c r="B8608">
        <v>177</v>
      </c>
      <c r="C8608" s="1" t="str">
        <f>HYPERLINK("http://www.rosaceae.org/gb/gbrowse/malus_x_domestica/?name=MDP0000244172","MDP0000244172")</f>
        <v>MDP0000244172</v>
      </c>
      <c r="D8608">
        <v>61.4</v>
      </c>
      <c r="E8608">
        <v>171</v>
      </c>
      <c r="F8608">
        <v>66</v>
      </c>
      <c r="G8608">
        <v>47</v>
      </c>
      <c r="H8608">
        <v>7</v>
      </c>
      <c r="I8608">
        <v>160</v>
      </c>
      <c r="J8608">
        <v>1</v>
      </c>
      <c r="K8608">
        <v>68</v>
      </c>
      <c r="L8608">
        <v>208</v>
      </c>
      <c r="M8608">
        <v>1</v>
      </c>
      <c r="N8608">
        <v>1.83206E-47</v>
      </c>
      <c r="O8608">
        <v>470</v>
      </c>
    </row>
    <row r="8609" spans="1:15" x14ac:dyDescent="0.25">
      <c r="A8609" t="s">
        <v>8622</v>
      </c>
      <c r="B8609">
        <v>131</v>
      </c>
      <c r="C8609" s="1" t="str">
        <f>HYPERLINK("http://www.rosaceae.org/gb/gbrowse/malus_x_domestica/?name=MDP0000437009","MDP0000437009")</f>
        <v>MDP0000437009</v>
      </c>
      <c r="D8609">
        <v>81.67</v>
      </c>
      <c r="E8609">
        <v>131</v>
      </c>
      <c r="F8609">
        <v>24</v>
      </c>
      <c r="G8609">
        <v>0</v>
      </c>
      <c r="H8609">
        <v>1</v>
      </c>
      <c r="I8609">
        <v>131</v>
      </c>
      <c r="J8609">
        <v>1</v>
      </c>
      <c r="K8609">
        <v>161</v>
      </c>
      <c r="L8609">
        <v>291</v>
      </c>
      <c r="M8609">
        <v>1</v>
      </c>
      <c r="N8609">
        <v>1.3413099999999999E-59</v>
      </c>
      <c r="O8609">
        <v>572</v>
      </c>
    </row>
    <row r="8610" spans="1:15" x14ac:dyDescent="0.25">
      <c r="A8610" t="s">
        <v>8623</v>
      </c>
      <c r="B8610">
        <v>383</v>
      </c>
      <c r="C8610" s="1" t="str">
        <f>HYPERLINK("http://www.rosaceae.org/gb/gbrowse/malus_x_domestica/?name=MDP0000500222","MDP0000500222")</f>
        <v>MDP0000500222</v>
      </c>
      <c r="D8610">
        <v>32.85</v>
      </c>
      <c r="E8610">
        <v>207</v>
      </c>
      <c r="F8610">
        <v>139</v>
      </c>
      <c r="G8610">
        <v>46</v>
      </c>
      <c r="H8610">
        <v>54</v>
      </c>
      <c r="I8610">
        <v>239</v>
      </c>
      <c r="J8610">
        <v>1</v>
      </c>
      <c r="K8610">
        <v>73</v>
      </c>
      <c r="L8610">
        <v>254</v>
      </c>
      <c r="M8610">
        <v>1</v>
      </c>
      <c r="N8610">
        <v>2.7781500000000001E-14</v>
      </c>
      <c r="O8610">
        <v>188</v>
      </c>
    </row>
    <row r="8611" spans="1:15" x14ac:dyDescent="0.25">
      <c r="A8611" t="s">
        <v>8624</v>
      </c>
      <c r="B8611">
        <v>939</v>
      </c>
      <c r="C8611" s="1" t="str">
        <f>HYPERLINK("http://www.rosaceae.org/gb/gbrowse/malus_x_domestica/?name=MDP0000194474","MDP0000194474")</f>
        <v>MDP0000194474</v>
      </c>
      <c r="D8611">
        <v>59.86</v>
      </c>
      <c r="E8611">
        <v>867</v>
      </c>
      <c r="F8611">
        <v>348</v>
      </c>
      <c r="G8611">
        <v>155</v>
      </c>
      <c r="H8611">
        <v>81</v>
      </c>
      <c r="I8611">
        <v>904</v>
      </c>
      <c r="J8611">
        <v>1</v>
      </c>
      <c r="K8611">
        <v>663</v>
      </c>
      <c r="L8611">
        <v>1417</v>
      </c>
      <c r="M8611">
        <v>1</v>
      </c>
      <c r="N8611">
        <v>0</v>
      </c>
      <c r="O8611">
        <v>2460</v>
      </c>
    </row>
    <row r="8612" spans="1:15" x14ac:dyDescent="0.25">
      <c r="A8612" t="s">
        <v>8625</v>
      </c>
      <c r="B8612">
        <v>392</v>
      </c>
      <c r="C8612" s="1" t="str">
        <f>HYPERLINK("http://www.rosaceae.org/gb/gbrowse/malus_x_domestica/?name=MDP0000129012","MDP0000129012")</f>
        <v>MDP0000129012</v>
      </c>
      <c r="D8612">
        <v>48.93</v>
      </c>
      <c r="E8612">
        <v>374</v>
      </c>
      <c r="F8612">
        <v>191</v>
      </c>
      <c r="G8612">
        <v>10</v>
      </c>
      <c r="H8612">
        <v>26</v>
      </c>
      <c r="I8612">
        <v>392</v>
      </c>
      <c r="J8612">
        <v>1</v>
      </c>
      <c r="K8612">
        <v>33</v>
      </c>
      <c r="L8612">
        <v>403</v>
      </c>
      <c r="M8612">
        <v>1</v>
      </c>
      <c r="N8612">
        <v>3.62745E-96</v>
      </c>
      <c r="O8612">
        <v>895</v>
      </c>
    </row>
    <row r="8613" spans="1:15" x14ac:dyDescent="0.25">
      <c r="A8613" t="s">
        <v>8626</v>
      </c>
      <c r="B8613">
        <v>324</v>
      </c>
      <c r="C8613" s="1" t="str">
        <f>HYPERLINK("http://www.rosaceae.org/gb/gbrowse/malus_x_domestica/?name=MDP0000946987","MDP0000946987")</f>
        <v>MDP0000946987</v>
      </c>
      <c r="D8613">
        <v>33.43</v>
      </c>
      <c r="E8613">
        <v>314</v>
      </c>
      <c r="F8613">
        <v>209</v>
      </c>
      <c r="G8613">
        <v>45</v>
      </c>
      <c r="H8613">
        <v>9</v>
      </c>
      <c r="I8613">
        <v>285</v>
      </c>
      <c r="J8613">
        <v>1</v>
      </c>
      <c r="K8613">
        <v>25</v>
      </c>
      <c r="L8613">
        <v>330</v>
      </c>
      <c r="M8613">
        <v>1</v>
      </c>
      <c r="N8613">
        <v>5.4181199999999997E-24</v>
      </c>
      <c r="O8613">
        <v>271</v>
      </c>
    </row>
    <row r="8614" spans="1:15" x14ac:dyDescent="0.25">
      <c r="A8614" t="s">
        <v>8627</v>
      </c>
      <c r="B8614">
        <v>1010</v>
      </c>
      <c r="C8614" s="1" t="str">
        <f>HYPERLINK("http://www.rosaceae.org/gb/gbrowse/malus_x_domestica/?name=MDP0000820534","MDP0000820534")</f>
        <v>MDP0000820534</v>
      </c>
      <c r="D8614">
        <v>68.88</v>
      </c>
      <c r="E8614">
        <v>675</v>
      </c>
      <c r="F8614">
        <v>210</v>
      </c>
      <c r="G8614">
        <v>28</v>
      </c>
      <c r="H8614">
        <v>1</v>
      </c>
      <c r="I8614">
        <v>659</v>
      </c>
      <c r="J8614">
        <v>1</v>
      </c>
      <c r="K8614">
        <v>1</v>
      </c>
      <c r="L8614">
        <v>663</v>
      </c>
      <c r="M8614">
        <v>1</v>
      </c>
      <c r="N8614">
        <v>0</v>
      </c>
      <c r="O8614">
        <v>2230</v>
      </c>
    </row>
    <row r="8615" spans="1:15" x14ac:dyDescent="0.25">
      <c r="A8615" t="s">
        <v>8628</v>
      </c>
      <c r="B8615">
        <v>308</v>
      </c>
      <c r="C8615" s="1" t="str">
        <f>HYPERLINK("http://www.rosaceae.org/gb/gbrowse/malus_x_domestica/?name=MDP0000276435","MDP0000276435")</f>
        <v>MDP0000276435</v>
      </c>
      <c r="D8615">
        <v>68.430000000000007</v>
      </c>
      <c r="E8615">
        <v>282</v>
      </c>
      <c r="F8615">
        <v>89</v>
      </c>
      <c r="G8615">
        <v>6</v>
      </c>
      <c r="H8615">
        <v>27</v>
      </c>
      <c r="I8615">
        <v>308</v>
      </c>
      <c r="J8615">
        <v>1</v>
      </c>
      <c r="K8615">
        <v>25</v>
      </c>
      <c r="L8615">
        <v>300</v>
      </c>
      <c r="M8615">
        <v>1</v>
      </c>
      <c r="N8615">
        <v>1.3112399999999999E-111</v>
      </c>
      <c r="O8615">
        <v>1027</v>
      </c>
    </row>
    <row r="8616" spans="1:15" x14ac:dyDescent="0.25">
      <c r="A8616" t="s">
        <v>8629</v>
      </c>
      <c r="B8616">
        <v>136</v>
      </c>
      <c r="C8616" s="1" t="str">
        <f>HYPERLINK("http://www.rosaceae.org/gb/gbrowse/malus_x_domestica/?name=MDP0000198394","MDP0000198394")</f>
        <v>MDP0000198394</v>
      </c>
      <c r="D8616">
        <v>41.48</v>
      </c>
      <c r="E8616">
        <v>94</v>
      </c>
      <c r="F8616">
        <v>55</v>
      </c>
      <c r="G8616">
        <v>3</v>
      </c>
      <c r="H8616">
        <v>4</v>
      </c>
      <c r="I8616">
        <v>95</v>
      </c>
      <c r="J8616">
        <v>1</v>
      </c>
      <c r="K8616">
        <v>514</v>
      </c>
      <c r="L8616">
        <v>606</v>
      </c>
      <c r="M8616">
        <v>1</v>
      </c>
      <c r="N8616">
        <v>7.6133299999999998E-12</v>
      </c>
      <c r="O8616">
        <v>161</v>
      </c>
    </row>
    <row r="8617" spans="1:15" x14ac:dyDescent="0.25">
      <c r="A8617" t="s">
        <v>8630</v>
      </c>
      <c r="B8617">
        <v>605</v>
      </c>
      <c r="C8617" s="1" t="str">
        <f>HYPERLINK("http://www.rosaceae.org/gb/gbrowse/malus_x_domestica/?name=MDP0000234325","MDP0000234325")</f>
        <v>MDP0000234325</v>
      </c>
      <c r="D8617">
        <v>42.55</v>
      </c>
      <c r="E8617">
        <v>618</v>
      </c>
      <c r="F8617">
        <v>355</v>
      </c>
      <c r="G8617">
        <v>45</v>
      </c>
      <c r="H8617">
        <v>1</v>
      </c>
      <c r="I8617">
        <v>584</v>
      </c>
      <c r="J8617">
        <v>1</v>
      </c>
      <c r="K8617">
        <v>1</v>
      </c>
      <c r="L8617">
        <v>607</v>
      </c>
      <c r="M8617">
        <v>1</v>
      </c>
      <c r="N8617">
        <v>1.18173E-130</v>
      </c>
      <c r="O8617">
        <v>1194</v>
      </c>
    </row>
    <row r="8618" spans="1:15" x14ac:dyDescent="0.25">
      <c r="A8618" t="s">
        <v>8631</v>
      </c>
      <c r="B8618">
        <v>163</v>
      </c>
      <c r="C8618" s="1" t="str">
        <f>HYPERLINK("http://www.rosaceae.org/gb/gbrowse/malus_x_domestica/?name=MDP0000278340","MDP0000278340")</f>
        <v>MDP0000278340</v>
      </c>
      <c r="D8618">
        <v>71.239999999999995</v>
      </c>
      <c r="E8618">
        <v>153</v>
      </c>
      <c r="F8618">
        <v>44</v>
      </c>
      <c r="G8618">
        <v>8</v>
      </c>
      <c r="H8618">
        <v>19</v>
      </c>
      <c r="I8618">
        <v>163</v>
      </c>
      <c r="J8618">
        <v>1</v>
      </c>
      <c r="K8618">
        <v>620</v>
      </c>
      <c r="L8618">
        <v>772</v>
      </c>
      <c r="M8618">
        <v>1</v>
      </c>
      <c r="N8618">
        <v>5.0269099999999999E-59</v>
      </c>
      <c r="O8618">
        <v>569</v>
      </c>
    </row>
    <row r="8619" spans="1:15" x14ac:dyDescent="0.25">
      <c r="A8619" t="s">
        <v>8632</v>
      </c>
      <c r="B8619">
        <v>284</v>
      </c>
      <c r="C8619" s="1" t="str">
        <f>HYPERLINK("http://www.rosaceae.org/gb/gbrowse/malus_x_domestica/?name=MDP0000245985","MDP0000245985")</f>
        <v>MDP0000245985</v>
      </c>
      <c r="D8619">
        <v>68.66</v>
      </c>
      <c r="E8619">
        <v>217</v>
      </c>
      <c r="F8619">
        <v>68</v>
      </c>
      <c r="G8619">
        <v>1</v>
      </c>
      <c r="H8619">
        <v>69</v>
      </c>
      <c r="I8619">
        <v>284</v>
      </c>
      <c r="J8619">
        <v>1</v>
      </c>
      <c r="K8619">
        <v>480</v>
      </c>
      <c r="L8619">
        <v>696</v>
      </c>
      <c r="M8619">
        <v>1</v>
      </c>
      <c r="N8619">
        <v>1.9111900000000001E-83</v>
      </c>
      <c r="O8619">
        <v>783</v>
      </c>
    </row>
    <row r="8620" spans="1:15" x14ac:dyDescent="0.25">
      <c r="A8620" t="s">
        <v>8633</v>
      </c>
      <c r="B8620">
        <v>251</v>
      </c>
      <c r="C8620" s="1" t="str">
        <f>HYPERLINK("http://www.rosaceae.org/gb/gbrowse/malus_x_domestica/?name=MDP0000690505","MDP0000690505")</f>
        <v>MDP0000690505</v>
      </c>
      <c r="D8620">
        <v>87.5</v>
      </c>
      <c r="E8620">
        <v>144</v>
      </c>
      <c r="F8620">
        <v>18</v>
      </c>
      <c r="G8620">
        <v>3</v>
      </c>
      <c r="H8620">
        <v>1</v>
      </c>
      <c r="I8620">
        <v>141</v>
      </c>
      <c r="J8620">
        <v>1</v>
      </c>
      <c r="K8620">
        <v>4</v>
      </c>
      <c r="L8620">
        <v>147</v>
      </c>
      <c r="M8620">
        <v>1</v>
      </c>
      <c r="N8620">
        <v>8.7783300000000004E-70</v>
      </c>
      <c r="O8620">
        <v>665</v>
      </c>
    </row>
    <row r="8621" spans="1:15" x14ac:dyDescent="0.25">
      <c r="A8621" t="s">
        <v>8634</v>
      </c>
      <c r="B8621">
        <v>404</v>
      </c>
      <c r="C8621" s="1" t="str">
        <f>HYPERLINK("http://www.rosaceae.org/gb/gbrowse/malus_x_domestica/?name=MDP0000150861","MDP0000150861")</f>
        <v>MDP0000150861</v>
      </c>
      <c r="D8621">
        <v>60.83</v>
      </c>
      <c r="E8621">
        <v>457</v>
      </c>
      <c r="F8621">
        <v>179</v>
      </c>
      <c r="G8621">
        <v>102</v>
      </c>
      <c r="H8621">
        <v>14</v>
      </c>
      <c r="I8621">
        <v>402</v>
      </c>
      <c r="J8621">
        <v>1</v>
      </c>
      <c r="K8621">
        <v>64</v>
      </c>
      <c r="L8621">
        <v>486</v>
      </c>
      <c r="M8621">
        <v>1</v>
      </c>
      <c r="N8621">
        <v>9.7439199999999999E-143</v>
      </c>
      <c r="O8621">
        <v>1296</v>
      </c>
    </row>
    <row r="8622" spans="1:15" x14ac:dyDescent="0.25">
      <c r="A8622" t="s">
        <v>8635</v>
      </c>
      <c r="B8622">
        <v>799</v>
      </c>
      <c r="C8622" s="1" t="str">
        <f>HYPERLINK("http://www.rosaceae.org/gb/gbrowse/malus_x_domestica/?name=MDP0000181835","MDP0000181835")</f>
        <v>MDP0000181835</v>
      </c>
      <c r="D8622">
        <v>75.540000000000006</v>
      </c>
      <c r="E8622">
        <v>728</v>
      </c>
      <c r="F8622">
        <v>178</v>
      </c>
      <c r="G8622">
        <v>4</v>
      </c>
      <c r="H8622">
        <v>71</v>
      </c>
      <c r="I8622">
        <v>797</v>
      </c>
      <c r="J8622">
        <v>1</v>
      </c>
      <c r="K8622">
        <v>1</v>
      </c>
      <c r="L8622">
        <v>725</v>
      </c>
      <c r="M8622">
        <v>1</v>
      </c>
      <c r="N8622">
        <v>0</v>
      </c>
      <c r="O8622">
        <v>2965</v>
      </c>
    </row>
    <row r="8623" spans="1:15" x14ac:dyDescent="0.25">
      <c r="A8623" t="s">
        <v>8636</v>
      </c>
      <c r="B8623">
        <v>596</v>
      </c>
      <c r="C8623" s="1" t="str">
        <f>HYPERLINK("http://www.rosaceae.org/gb/gbrowse/malus_x_domestica/?name=MDP0000120498","MDP0000120498")</f>
        <v>MDP0000120498</v>
      </c>
      <c r="D8623">
        <v>70.23</v>
      </c>
      <c r="E8623">
        <v>561</v>
      </c>
      <c r="F8623">
        <v>167</v>
      </c>
      <c r="G8623">
        <v>69</v>
      </c>
      <c r="H8623">
        <v>94</v>
      </c>
      <c r="I8623">
        <v>596</v>
      </c>
      <c r="J8623">
        <v>1</v>
      </c>
      <c r="K8623">
        <v>3</v>
      </c>
      <c r="L8623">
        <v>552</v>
      </c>
      <c r="M8623">
        <v>1</v>
      </c>
      <c r="N8623">
        <v>0</v>
      </c>
      <c r="O8623">
        <v>1942</v>
      </c>
    </row>
    <row r="8624" spans="1:15" x14ac:dyDescent="0.25">
      <c r="A8624" t="s">
        <v>8637</v>
      </c>
      <c r="B8624">
        <v>778</v>
      </c>
      <c r="C8624" s="1" t="str">
        <f>HYPERLINK("http://www.rosaceae.org/gb/gbrowse/malus_x_domestica/?name=MDP0000225493","MDP0000225493")</f>
        <v>MDP0000225493</v>
      </c>
      <c r="D8624">
        <v>64.66</v>
      </c>
      <c r="E8624">
        <v>733</v>
      </c>
      <c r="F8624">
        <v>259</v>
      </c>
      <c r="G8624">
        <v>60</v>
      </c>
      <c r="H8624">
        <v>53</v>
      </c>
      <c r="I8624">
        <v>757</v>
      </c>
      <c r="J8624">
        <v>1</v>
      </c>
      <c r="K8624">
        <v>1</v>
      </c>
      <c r="L8624">
        <v>701</v>
      </c>
      <c r="M8624">
        <v>1</v>
      </c>
      <c r="N8624">
        <v>0</v>
      </c>
      <c r="O8624">
        <v>2266</v>
      </c>
    </row>
    <row r="8625" spans="1:15" x14ac:dyDescent="0.25">
      <c r="A8625" t="s">
        <v>8638</v>
      </c>
      <c r="B8625">
        <v>323</v>
      </c>
      <c r="C8625" s="1" t="str">
        <f>HYPERLINK("http://www.rosaceae.org/gb/gbrowse/malus_x_domestica/?name=MDP0000321905","MDP0000321905")</f>
        <v>MDP0000321905</v>
      </c>
      <c r="D8625">
        <v>52.34</v>
      </c>
      <c r="E8625">
        <v>149</v>
      </c>
      <c r="F8625">
        <v>71</v>
      </c>
      <c r="G8625">
        <v>5</v>
      </c>
      <c r="H8625">
        <v>2</v>
      </c>
      <c r="I8625">
        <v>147</v>
      </c>
      <c r="J8625">
        <v>1</v>
      </c>
      <c r="K8625">
        <v>11</v>
      </c>
      <c r="L8625">
        <v>157</v>
      </c>
      <c r="M8625">
        <v>1</v>
      </c>
      <c r="N8625">
        <v>3.9494500000000003E-34</v>
      </c>
      <c r="O8625">
        <v>359</v>
      </c>
    </row>
    <row r="8626" spans="1:15" x14ac:dyDescent="0.25">
      <c r="A8626" t="s">
        <v>8639</v>
      </c>
      <c r="B8626">
        <v>404</v>
      </c>
      <c r="C8626" s="1" t="str">
        <f>HYPERLINK("http://www.rosaceae.org/gb/gbrowse/malus_x_domestica/?name=MDP0000318637","MDP0000318637")</f>
        <v>MDP0000318637</v>
      </c>
      <c r="D8626">
        <v>45.58</v>
      </c>
      <c r="E8626">
        <v>408</v>
      </c>
      <c r="F8626">
        <v>222</v>
      </c>
      <c r="G8626">
        <v>31</v>
      </c>
      <c r="H8626">
        <v>3</v>
      </c>
      <c r="I8626">
        <v>398</v>
      </c>
      <c r="J8626">
        <v>1</v>
      </c>
      <c r="K8626">
        <v>36</v>
      </c>
      <c r="L8626">
        <v>424</v>
      </c>
      <c r="M8626">
        <v>1</v>
      </c>
      <c r="N8626">
        <v>1.17863E-90</v>
      </c>
      <c r="O8626">
        <v>847</v>
      </c>
    </row>
    <row r="8627" spans="1:15" x14ac:dyDescent="0.25">
      <c r="A8627" t="s">
        <v>8640</v>
      </c>
      <c r="B8627">
        <v>130</v>
      </c>
      <c r="C8627" s="1" t="str">
        <f>HYPERLINK("http://www.rosaceae.org/gb/gbrowse/malus_x_domestica/?name=MDP0000519067","MDP0000519067")</f>
        <v>MDP0000519067</v>
      </c>
      <c r="D8627">
        <v>49.6</v>
      </c>
      <c r="E8627">
        <v>127</v>
      </c>
      <c r="F8627">
        <v>64</v>
      </c>
      <c r="G8627">
        <v>12</v>
      </c>
      <c r="H8627">
        <v>1</v>
      </c>
      <c r="I8627">
        <v>127</v>
      </c>
      <c r="J8627">
        <v>1</v>
      </c>
      <c r="K8627">
        <v>880</v>
      </c>
      <c r="L8627">
        <v>994</v>
      </c>
      <c r="M8627">
        <v>1</v>
      </c>
      <c r="N8627">
        <v>3.3695900000000002E-31</v>
      </c>
      <c r="O8627">
        <v>327</v>
      </c>
    </row>
    <row r="8628" spans="1:15" x14ac:dyDescent="0.25">
      <c r="A8628" t="s">
        <v>8641</v>
      </c>
      <c r="B8628">
        <v>450</v>
      </c>
      <c r="C8628" s="1" t="str">
        <f>HYPERLINK("http://www.rosaceae.org/gb/gbrowse/malus_x_domestica/?name=MDP0000185981","MDP0000185981")</f>
        <v>MDP0000185981</v>
      </c>
      <c r="D8628">
        <v>43.26</v>
      </c>
      <c r="E8628">
        <v>104</v>
      </c>
      <c r="F8628">
        <v>59</v>
      </c>
      <c r="G8628">
        <v>3</v>
      </c>
      <c r="H8628">
        <v>1</v>
      </c>
      <c r="I8628">
        <v>104</v>
      </c>
      <c r="J8628">
        <v>1</v>
      </c>
      <c r="K8628">
        <v>46</v>
      </c>
      <c r="L8628">
        <v>146</v>
      </c>
      <c r="M8628">
        <v>1</v>
      </c>
      <c r="N8628">
        <v>1.2593699999999999E-17</v>
      </c>
      <c r="O8628">
        <v>218</v>
      </c>
    </row>
    <row r="8629" spans="1:15" x14ac:dyDescent="0.25">
      <c r="A8629" t="s">
        <v>8642</v>
      </c>
      <c r="B8629">
        <v>118</v>
      </c>
      <c r="C8629" s="1" t="str">
        <f>HYPERLINK("http://www.rosaceae.org/gb/gbrowse/malus_x_domestica/?name=MDP0000878409","MDP0000878409")</f>
        <v>MDP0000878409</v>
      </c>
      <c r="D8629">
        <v>47.87</v>
      </c>
      <c r="E8629">
        <v>94</v>
      </c>
      <c r="F8629">
        <v>49</v>
      </c>
      <c r="G8629">
        <v>3</v>
      </c>
      <c r="H8629">
        <v>1</v>
      </c>
      <c r="I8629">
        <v>94</v>
      </c>
      <c r="J8629">
        <v>1</v>
      </c>
      <c r="K8629">
        <v>1</v>
      </c>
      <c r="L8629">
        <v>91</v>
      </c>
      <c r="M8629">
        <v>1</v>
      </c>
      <c r="N8629">
        <v>1.7722600000000001E-14</v>
      </c>
      <c r="O8629">
        <v>182</v>
      </c>
    </row>
    <row r="8630" spans="1:15" x14ac:dyDescent="0.25">
      <c r="A8630" t="s">
        <v>8643</v>
      </c>
      <c r="B8630">
        <v>255</v>
      </c>
      <c r="C8630" s="1" t="str">
        <f>HYPERLINK("http://www.rosaceae.org/gb/gbrowse/malus_x_domestica/?name=MDP0000321133","MDP0000321133")</f>
        <v>MDP0000321133</v>
      </c>
      <c r="D8630">
        <v>66.400000000000006</v>
      </c>
      <c r="E8630">
        <v>256</v>
      </c>
      <c r="F8630">
        <v>86</v>
      </c>
      <c r="G8630">
        <v>1</v>
      </c>
      <c r="H8630">
        <v>1</v>
      </c>
      <c r="I8630">
        <v>255</v>
      </c>
      <c r="J8630">
        <v>1</v>
      </c>
      <c r="K8630">
        <v>1</v>
      </c>
      <c r="L8630">
        <v>256</v>
      </c>
      <c r="M8630">
        <v>1</v>
      </c>
      <c r="N8630">
        <v>3.5194499999999999E-90</v>
      </c>
      <c r="O8630">
        <v>841</v>
      </c>
    </row>
    <row r="8631" spans="1:15" x14ac:dyDescent="0.25">
      <c r="A8631" t="s">
        <v>8644</v>
      </c>
      <c r="B8631">
        <v>232</v>
      </c>
      <c r="C8631" s="1" t="str">
        <f>HYPERLINK("http://www.rosaceae.org/gb/gbrowse/malus_x_domestica/?name=MDP0000269044","MDP0000269044")</f>
        <v>MDP0000269044</v>
      </c>
      <c r="D8631">
        <v>83.45</v>
      </c>
      <c r="E8631">
        <v>133</v>
      </c>
      <c r="F8631">
        <v>22</v>
      </c>
      <c r="G8631">
        <v>0</v>
      </c>
      <c r="H8631">
        <v>98</v>
      </c>
      <c r="I8631">
        <v>230</v>
      </c>
      <c r="J8631">
        <v>1</v>
      </c>
      <c r="K8631">
        <v>1</v>
      </c>
      <c r="L8631">
        <v>133</v>
      </c>
      <c r="M8631">
        <v>1</v>
      </c>
      <c r="N8631">
        <v>5.9984600000000004E-63</v>
      </c>
      <c r="O8631">
        <v>605</v>
      </c>
    </row>
    <row r="8632" spans="1:15" x14ac:dyDescent="0.25">
      <c r="A8632" t="s">
        <v>8645</v>
      </c>
      <c r="B8632">
        <v>791</v>
      </c>
      <c r="C8632" s="1" t="str">
        <f>HYPERLINK("http://www.rosaceae.org/gb/gbrowse/malus_x_domestica/?name=MDP0000870539","MDP0000870539")</f>
        <v>MDP0000870539</v>
      </c>
      <c r="D8632">
        <v>88.81</v>
      </c>
      <c r="E8632">
        <v>769</v>
      </c>
      <c r="F8632">
        <v>86</v>
      </c>
      <c r="G8632">
        <v>0</v>
      </c>
      <c r="H8632">
        <v>1</v>
      </c>
      <c r="I8632">
        <v>769</v>
      </c>
      <c r="J8632">
        <v>1</v>
      </c>
      <c r="K8632">
        <v>1</v>
      </c>
      <c r="L8632">
        <v>769</v>
      </c>
      <c r="M8632">
        <v>1</v>
      </c>
      <c r="N8632">
        <v>0</v>
      </c>
      <c r="O8632">
        <v>3688</v>
      </c>
    </row>
    <row r="8633" spans="1:15" x14ac:dyDescent="0.25">
      <c r="A8633" t="s">
        <v>8646</v>
      </c>
      <c r="B8633">
        <v>373</v>
      </c>
      <c r="C8633" s="1" t="str">
        <f>HYPERLINK("http://www.rosaceae.org/gb/gbrowse/malus_x_domestica/?name=MDP0000226701","MDP0000226701")</f>
        <v>MDP0000226701</v>
      </c>
      <c r="D8633">
        <v>61.73</v>
      </c>
      <c r="E8633">
        <v>345</v>
      </c>
      <c r="F8633">
        <v>132</v>
      </c>
      <c r="G8633">
        <v>38</v>
      </c>
      <c r="H8633">
        <v>42</v>
      </c>
      <c r="I8633">
        <v>373</v>
      </c>
      <c r="J8633">
        <v>1</v>
      </c>
      <c r="K8633">
        <v>1</v>
      </c>
      <c r="L8633">
        <v>320</v>
      </c>
      <c r="M8633">
        <v>1</v>
      </c>
      <c r="N8633">
        <v>4.4085899999999999E-108</v>
      </c>
      <c r="O8633">
        <v>997</v>
      </c>
    </row>
    <row r="8634" spans="1:15" x14ac:dyDescent="0.25">
      <c r="A8634" t="s">
        <v>8647</v>
      </c>
      <c r="B8634">
        <v>136</v>
      </c>
      <c r="C8634" s="1" t="str">
        <f>HYPERLINK("http://www.rosaceae.org/gb/gbrowse/malus_x_domestica/?name=MDP0000697264","MDP0000697264")</f>
        <v>MDP0000697264</v>
      </c>
      <c r="D8634">
        <v>57.01</v>
      </c>
      <c r="E8634">
        <v>114</v>
      </c>
      <c r="F8634">
        <v>49</v>
      </c>
      <c r="G8634">
        <v>0</v>
      </c>
      <c r="H8634">
        <v>23</v>
      </c>
      <c r="I8634">
        <v>136</v>
      </c>
      <c r="J8634">
        <v>1</v>
      </c>
      <c r="K8634">
        <v>23</v>
      </c>
      <c r="L8634">
        <v>136</v>
      </c>
      <c r="M8634">
        <v>1</v>
      </c>
      <c r="N8634">
        <v>4.0124300000000001E-34</v>
      </c>
      <c r="O8634">
        <v>353</v>
      </c>
    </row>
    <row r="8635" spans="1:15" x14ac:dyDescent="0.25">
      <c r="A8635" t="s">
        <v>8648</v>
      </c>
      <c r="B8635">
        <v>514</v>
      </c>
      <c r="C8635" s="1" t="str">
        <f>HYPERLINK("http://www.rosaceae.org/gb/gbrowse/malus_x_domestica/?name=MDP0000933477","MDP0000933477")</f>
        <v>MDP0000933477</v>
      </c>
      <c r="D8635">
        <v>93.07</v>
      </c>
      <c r="E8635">
        <v>419</v>
      </c>
      <c r="F8635">
        <v>29</v>
      </c>
      <c r="G8635">
        <v>21</v>
      </c>
      <c r="H8635">
        <v>96</v>
      </c>
      <c r="I8635">
        <v>514</v>
      </c>
      <c r="J8635">
        <v>1</v>
      </c>
      <c r="K8635">
        <v>2</v>
      </c>
      <c r="L8635">
        <v>399</v>
      </c>
      <c r="M8635">
        <v>1</v>
      </c>
      <c r="N8635">
        <v>0</v>
      </c>
      <c r="O8635">
        <v>2029</v>
      </c>
    </row>
    <row r="8636" spans="1:15" x14ac:dyDescent="0.25">
      <c r="A8636" t="s">
        <v>8649</v>
      </c>
      <c r="B8636">
        <v>561</v>
      </c>
      <c r="C8636" s="1" t="str">
        <f>HYPERLINK("http://www.rosaceae.org/gb/gbrowse/malus_x_domestica/?name=MDP0000299496","MDP0000299496")</f>
        <v>MDP0000299496</v>
      </c>
      <c r="D8636">
        <v>50.5</v>
      </c>
      <c r="E8636">
        <v>297</v>
      </c>
      <c r="F8636">
        <v>147</v>
      </c>
      <c r="G8636">
        <v>0</v>
      </c>
      <c r="H8636">
        <v>265</v>
      </c>
      <c r="I8636">
        <v>561</v>
      </c>
      <c r="J8636">
        <v>1</v>
      </c>
      <c r="K8636">
        <v>465</v>
      </c>
      <c r="L8636">
        <v>761</v>
      </c>
      <c r="M8636">
        <v>1</v>
      </c>
      <c r="N8636">
        <v>4.8553500000000001E-87</v>
      </c>
      <c r="O8636">
        <v>818</v>
      </c>
    </row>
    <row r="8637" spans="1:15" x14ac:dyDescent="0.25">
      <c r="A8637" t="s">
        <v>8650</v>
      </c>
      <c r="B8637">
        <v>306</v>
      </c>
      <c r="C8637" s="1" t="str">
        <f>HYPERLINK("http://www.rosaceae.org/gb/gbrowse/malus_x_domestica/?name=MDP0000833543","MDP0000833543")</f>
        <v>MDP0000833543</v>
      </c>
      <c r="D8637">
        <v>88.28</v>
      </c>
      <c r="E8637">
        <v>111</v>
      </c>
      <c r="F8637">
        <v>13</v>
      </c>
      <c r="G8637">
        <v>0</v>
      </c>
      <c r="H8637">
        <v>36</v>
      </c>
      <c r="I8637">
        <v>146</v>
      </c>
      <c r="J8637">
        <v>1</v>
      </c>
      <c r="K8637">
        <v>93</v>
      </c>
      <c r="L8637">
        <v>203</v>
      </c>
      <c r="M8637">
        <v>1</v>
      </c>
      <c r="N8637">
        <v>4.2100499999999998E-54</v>
      </c>
      <c r="O8637">
        <v>531</v>
      </c>
    </row>
    <row r="8638" spans="1:15" x14ac:dyDescent="0.25">
      <c r="A8638" t="s">
        <v>8651</v>
      </c>
      <c r="B8638">
        <v>210</v>
      </c>
      <c r="C8638" s="1" t="str">
        <f>HYPERLINK("http://www.rosaceae.org/gb/gbrowse/malus_x_domestica/?name=MDP0000690287","MDP0000690287")</f>
        <v>MDP0000690287</v>
      </c>
      <c r="D8638">
        <v>59.43</v>
      </c>
      <c r="E8638">
        <v>212</v>
      </c>
      <c r="F8638">
        <v>86</v>
      </c>
      <c r="G8638">
        <v>3</v>
      </c>
      <c r="H8638">
        <v>1</v>
      </c>
      <c r="I8638">
        <v>209</v>
      </c>
      <c r="J8638">
        <v>1</v>
      </c>
      <c r="K8638">
        <v>5</v>
      </c>
      <c r="L8638">
        <v>216</v>
      </c>
      <c r="M8638">
        <v>1</v>
      </c>
      <c r="N8638">
        <v>1.1925700000000001E-71</v>
      </c>
      <c r="O8638">
        <v>680</v>
      </c>
    </row>
    <row r="8639" spans="1:15" x14ac:dyDescent="0.25">
      <c r="A8639" t="s">
        <v>8652</v>
      </c>
      <c r="B8639">
        <v>288</v>
      </c>
      <c r="C8639" s="1" t="str">
        <f>HYPERLINK("http://www.rosaceae.org/gb/gbrowse/malus_x_domestica/?name=MDP0000815487","MDP0000815487")</f>
        <v>MDP0000815487</v>
      </c>
      <c r="D8639">
        <v>70</v>
      </c>
      <c r="E8639">
        <v>50</v>
      </c>
      <c r="F8639">
        <v>15</v>
      </c>
      <c r="G8639">
        <v>2</v>
      </c>
      <c r="H8639">
        <v>1</v>
      </c>
      <c r="I8639">
        <v>48</v>
      </c>
      <c r="J8639">
        <v>1</v>
      </c>
      <c r="K8639">
        <v>1</v>
      </c>
      <c r="L8639">
        <v>50</v>
      </c>
      <c r="M8639">
        <v>1</v>
      </c>
      <c r="N8639">
        <v>2.5411100000000002E-10</v>
      </c>
      <c r="O8639">
        <v>153</v>
      </c>
    </row>
    <row r="8640" spans="1:15" x14ac:dyDescent="0.25">
      <c r="A8640" t="s">
        <v>8653</v>
      </c>
      <c r="B8640">
        <v>393</v>
      </c>
      <c r="C8640" s="1" t="str">
        <f>HYPERLINK("http://www.rosaceae.org/gb/gbrowse/malus_x_domestica/?name=MDP0000145267","MDP0000145267")</f>
        <v>MDP0000145267</v>
      </c>
      <c r="D8640">
        <v>93.12</v>
      </c>
      <c r="E8640">
        <v>393</v>
      </c>
      <c r="F8640">
        <v>27</v>
      </c>
      <c r="G8640">
        <v>0</v>
      </c>
      <c r="H8640">
        <v>1</v>
      </c>
      <c r="I8640">
        <v>393</v>
      </c>
      <c r="J8640">
        <v>1</v>
      </c>
      <c r="K8640">
        <v>74</v>
      </c>
      <c r="L8640">
        <v>466</v>
      </c>
      <c r="M8640">
        <v>1</v>
      </c>
      <c r="N8640">
        <v>0</v>
      </c>
      <c r="O8640">
        <v>1952</v>
      </c>
    </row>
    <row r="8641" spans="1:15" x14ac:dyDescent="0.25">
      <c r="A8641" t="s">
        <v>8654</v>
      </c>
      <c r="B8641">
        <v>213</v>
      </c>
      <c r="C8641" s="1" t="str">
        <f>HYPERLINK("http://www.rosaceae.org/gb/gbrowse/malus_x_domestica/?name=MDP0000284035","MDP0000284035")</f>
        <v>MDP0000284035</v>
      </c>
      <c r="D8641">
        <v>63.53</v>
      </c>
      <c r="E8641">
        <v>181</v>
      </c>
      <c r="F8641">
        <v>66</v>
      </c>
      <c r="G8641">
        <v>3</v>
      </c>
      <c r="H8641">
        <v>33</v>
      </c>
      <c r="I8641">
        <v>213</v>
      </c>
      <c r="J8641">
        <v>1</v>
      </c>
      <c r="K8641">
        <v>34</v>
      </c>
      <c r="L8641">
        <v>211</v>
      </c>
      <c r="M8641">
        <v>1</v>
      </c>
      <c r="N8641">
        <v>1.33485E-62</v>
      </c>
      <c r="O8641">
        <v>602</v>
      </c>
    </row>
    <row r="8642" spans="1:15" x14ac:dyDescent="0.25">
      <c r="A8642" t="s">
        <v>8655</v>
      </c>
      <c r="B8642">
        <v>258</v>
      </c>
      <c r="C8642" s="1" t="str">
        <f>HYPERLINK("http://www.rosaceae.org/gb/gbrowse/malus_x_domestica/?name=MDP0000790788","MDP0000790788")</f>
        <v>MDP0000790788</v>
      </c>
      <c r="D8642">
        <v>58.55</v>
      </c>
      <c r="E8642">
        <v>222</v>
      </c>
      <c r="F8642">
        <v>92</v>
      </c>
      <c r="G8642">
        <v>16</v>
      </c>
      <c r="H8642">
        <v>32</v>
      </c>
      <c r="I8642">
        <v>249</v>
      </c>
      <c r="J8642">
        <v>1</v>
      </c>
      <c r="K8642">
        <v>22</v>
      </c>
      <c r="L8642">
        <v>231</v>
      </c>
      <c r="M8642">
        <v>1</v>
      </c>
      <c r="N8642">
        <v>1.0022300000000001E-57</v>
      </c>
      <c r="O8642">
        <v>561</v>
      </c>
    </row>
    <row r="8643" spans="1:15" x14ac:dyDescent="0.25">
      <c r="A8643" t="s">
        <v>8656</v>
      </c>
      <c r="B8643">
        <v>456</v>
      </c>
      <c r="C8643" s="1" t="str">
        <f>HYPERLINK("http://www.rosaceae.org/gb/gbrowse/malus_x_domestica/?name=MDP0000173397","MDP0000173397")</f>
        <v>MDP0000173397</v>
      </c>
      <c r="D8643">
        <v>84.81</v>
      </c>
      <c r="E8643">
        <v>461</v>
      </c>
      <c r="F8643">
        <v>70</v>
      </c>
      <c r="G8643">
        <v>10</v>
      </c>
      <c r="H8643">
        <v>1</v>
      </c>
      <c r="I8643">
        <v>456</v>
      </c>
      <c r="J8643">
        <v>1</v>
      </c>
      <c r="K8643">
        <v>163</v>
      </c>
      <c r="L8643">
        <v>618</v>
      </c>
      <c r="M8643">
        <v>1</v>
      </c>
      <c r="N8643">
        <v>0</v>
      </c>
      <c r="O8643">
        <v>2093</v>
      </c>
    </row>
    <row r="8644" spans="1:15" x14ac:dyDescent="0.25">
      <c r="A8644" t="s">
        <v>8657</v>
      </c>
      <c r="B8644">
        <v>109</v>
      </c>
      <c r="C8644" s="1" t="str">
        <f>HYPERLINK("http://www.rosaceae.org/gb/gbrowse/malus_x_domestica/?name=MDP0000406918","MDP0000406918")</f>
        <v>MDP0000406918</v>
      </c>
      <c r="D8644">
        <v>71.17</v>
      </c>
      <c r="E8644">
        <v>111</v>
      </c>
      <c r="F8644">
        <v>32</v>
      </c>
      <c r="G8644">
        <v>7</v>
      </c>
      <c r="H8644">
        <v>1</v>
      </c>
      <c r="I8644">
        <v>108</v>
      </c>
      <c r="J8644">
        <v>1</v>
      </c>
      <c r="K8644">
        <v>112</v>
      </c>
      <c r="L8644">
        <v>218</v>
      </c>
      <c r="M8644">
        <v>1</v>
      </c>
      <c r="N8644">
        <v>1.76728E-38</v>
      </c>
      <c r="O8644">
        <v>389</v>
      </c>
    </row>
    <row r="8645" spans="1:15" x14ac:dyDescent="0.25">
      <c r="A8645" t="s">
        <v>8658</v>
      </c>
      <c r="B8645">
        <v>989</v>
      </c>
      <c r="C8645" s="1" t="str">
        <f>HYPERLINK("http://www.rosaceae.org/gb/gbrowse/malus_x_domestica/?name=MDP0000322075","MDP0000322075")</f>
        <v>MDP0000322075</v>
      </c>
      <c r="D8645">
        <v>80.010000000000005</v>
      </c>
      <c r="E8645">
        <v>1036</v>
      </c>
      <c r="F8645">
        <v>207</v>
      </c>
      <c r="G8645">
        <v>53</v>
      </c>
      <c r="H8645">
        <v>1</v>
      </c>
      <c r="I8645">
        <v>989</v>
      </c>
      <c r="J8645">
        <v>1</v>
      </c>
      <c r="K8645">
        <v>1</v>
      </c>
      <c r="L8645">
        <v>1030</v>
      </c>
      <c r="M8645">
        <v>1</v>
      </c>
      <c r="N8645">
        <v>0</v>
      </c>
      <c r="O8645">
        <v>4332</v>
      </c>
    </row>
    <row r="8646" spans="1:15" x14ac:dyDescent="0.25">
      <c r="A8646" t="s">
        <v>8659</v>
      </c>
      <c r="B8646">
        <v>323</v>
      </c>
      <c r="C8646" s="1" t="str">
        <f>HYPERLINK("http://www.rosaceae.org/gb/gbrowse/malus_x_domestica/?name=MDP0000185869","MDP0000185869")</f>
        <v>MDP0000185869</v>
      </c>
      <c r="D8646">
        <v>85.17</v>
      </c>
      <c r="E8646">
        <v>317</v>
      </c>
      <c r="F8646">
        <v>47</v>
      </c>
      <c r="G8646">
        <v>17</v>
      </c>
      <c r="H8646">
        <v>6</v>
      </c>
      <c r="I8646">
        <v>322</v>
      </c>
      <c r="J8646">
        <v>1</v>
      </c>
      <c r="K8646">
        <v>143</v>
      </c>
      <c r="L8646">
        <v>442</v>
      </c>
      <c r="M8646">
        <v>1</v>
      </c>
      <c r="N8646">
        <v>1.1949900000000001E-157</v>
      </c>
      <c r="O8646">
        <v>1424</v>
      </c>
    </row>
    <row r="8647" spans="1:15" x14ac:dyDescent="0.25">
      <c r="A8647" t="s">
        <v>8660</v>
      </c>
      <c r="B8647">
        <v>619</v>
      </c>
      <c r="C8647" s="1" t="str">
        <f>HYPERLINK("http://www.rosaceae.org/gb/gbrowse/malus_x_domestica/?name=MDP0000224417","MDP0000224417")</f>
        <v>MDP0000224417</v>
      </c>
      <c r="D8647">
        <v>75.040000000000006</v>
      </c>
      <c r="E8647">
        <v>601</v>
      </c>
      <c r="F8647">
        <v>150</v>
      </c>
      <c r="G8647">
        <v>10</v>
      </c>
      <c r="H8647">
        <v>27</v>
      </c>
      <c r="I8647">
        <v>619</v>
      </c>
      <c r="J8647">
        <v>1</v>
      </c>
      <c r="K8647">
        <v>29</v>
      </c>
      <c r="L8647">
        <v>627</v>
      </c>
      <c r="M8647">
        <v>1</v>
      </c>
      <c r="N8647">
        <v>0</v>
      </c>
      <c r="O8647">
        <v>2320</v>
      </c>
    </row>
    <row r="8648" spans="1:15" x14ac:dyDescent="0.25">
      <c r="A8648" t="s">
        <v>8661</v>
      </c>
      <c r="B8648">
        <v>313</v>
      </c>
      <c r="C8648" s="1" t="str">
        <f>HYPERLINK("http://www.rosaceae.org/gb/gbrowse/malus_x_domestica/?name=MDP0000142111","MDP0000142111")</f>
        <v>MDP0000142111</v>
      </c>
      <c r="D8648">
        <v>46.21</v>
      </c>
      <c r="E8648">
        <v>119</v>
      </c>
      <c r="F8648">
        <v>64</v>
      </c>
      <c r="G8648">
        <v>1</v>
      </c>
      <c r="H8648">
        <v>1</v>
      </c>
      <c r="I8648">
        <v>118</v>
      </c>
      <c r="J8648">
        <v>1</v>
      </c>
      <c r="K8648">
        <v>1</v>
      </c>
      <c r="L8648">
        <v>119</v>
      </c>
      <c r="M8648">
        <v>1</v>
      </c>
      <c r="N8648">
        <v>1.9382900000000001E-26</v>
      </c>
      <c r="O8648">
        <v>292</v>
      </c>
    </row>
    <row r="8649" spans="1:15" x14ac:dyDescent="0.25">
      <c r="A8649" t="s">
        <v>8662</v>
      </c>
      <c r="B8649">
        <v>362</v>
      </c>
      <c r="C8649" s="1" t="str">
        <f>HYPERLINK("http://www.rosaceae.org/gb/gbrowse/malus_x_domestica/?name=MDP0000306704","MDP0000306704")</f>
        <v>MDP0000306704</v>
      </c>
      <c r="D8649">
        <v>38.130000000000003</v>
      </c>
      <c r="E8649">
        <v>354</v>
      </c>
      <c r="F8649">
        <v>219</v>
      </c>
      <c r="G8649">
        <v>36</v>
      </c>
      <c r="H8649">
        <v>36</v>
      </c>
      <c r="I8649">
        <v>361</v>
      </c>
      <c r="J8649">
        <v>1</v>
      </c>
      <c r="K8649">
        <v>239</v>
      </c>
      <c r="L8649">
        <v>584</v>
      </c>
      <c r="M8649">
        <v>1</v>
      </c>
      <c r="N8649">
        <v>1.13989E-53</v>
      </c>
      <c r="O8649">
        <v>528</v>
      </c>
    </row>
    <row r="8650" spans="1:15" x14ac:dyDescent="0.25">
      <c r="A8650" t="s">
        <v>8663</v>
      </c>
      <c r="B8650">
        <v>369</v>
      </c>
      <c r="C8650" s="1" t="str">
        <f>HYPERLINK("http://www.rosaceae.org/gb/gbrowse/malus_x_domestica/?name=MDP0000148860","MDP0000148860")</f>
        <v>MDP0000148860</v>
      </c>
      <c r="D8650">
        <v>61.53</v>
      </c>
      <c r="E8650">
        <v>351</v>
      </c>
      <c r="F8650">
        <v>135</v>
      </c>
      <c r="G8650">
        <v>6</v>
      </c>
      <c r="H8650">
        <v>20</v>
      </c>
      <c r="I8650">
        <v>364</v>
      </c>
      <c r="J8650">
        <v>1</v>
      </c>
      <c r="K8650">
        <v>22</v>
      </c>
      <c r="L8650">
        <v>372</v>
      </c>
      <c r="M8650">
        <v>1</v>
      </c>
      <c r="N8650">
        <v>3.3936599999999999E-124</v>
      </c>
      <c r="O8650">
        <v>1136</v>
      </c>
    </row>
    <row r="8651" spans="1:15" x14ac:dyDescent="0.25">
      <c r="A8651" t="s">
        <v>8664</v>
      </c>
      <c r="B8651">
        <v>1089</v>
      </c>
      <c r="C8651" s="1" t="str">
        <f>HYPERLINK("http://www.rosaceae.org/gb/gbrowse/malus_x_domestica/?name=MDP0000175344","MDP0000175344")</f>
        <v>MDP0000175344</v>
      </c>
      <c r="D8651">
        <v>77.02</v>
      </c>
      <c r="E8651">
        <v>936</v>
      </c>
      <c r="F8651">
        <v>215</v>
      </c>
      <c r="G8651">
        <v>18</v>
      </c>
      <c r="H8651">
        <v>171</v>
      </c>
      <c r="I8651">
        <v>1089</v>
      </c>
      <c r="J8651">
        <v>1</v>
      </c>
      <c r="K8651">
        <v>1</v>
      </c>
      <c r="L8651">
        <v>935</v>
      </c>
      <c r="M8651">
        <v>1</v>
      </c>
      <c r="N8651">
        <v>0</v>
      </c>
      <c r="O8651">
        <v>3743</v>
      </c>
    </row>
    <row r="8652" spans="1:15" x14ac:dyDescent="0.25">
      <c r="A8652" t="s">
        <v>8665</v>
      </c>
      <c r="B8652">
        <v>863</v>
      </c>
      <c r="C8652" s="1" t="str">
        <f>HYPERLINK("http://www.rosaceae.org/gb/gbrowse/malus_x_domestica/?name=MDP0000216809","MDP0000216809")</f>
        <v>MDP0000216809</v>
      </c>
      <c r="D8652">
        <v>67.8</v>
      </c>
      <c r="E8652">
        <v>761</v>
      </c>
      <c r="F8652">
        <v>245</v>
      </c>
      <c r="G8652">
        <v>42</v>
      </c>
      <c r="H8652">
        <v>131</v>
      </c>
      <c r="I8652">
        <v>863</v>
      </c>
      <c r="J8652">
        <v>1</v>
      </c>
      <c r="K8652">
        <v>299</v>
      </c>
      <c r="L8652">
        <v>1045</v>
      </c>
      <c r="M8652">
        <v>1</v>
      </c>
      <c r="N8652">
        <v>0</v>
      </c>
      <c r="O8652">
        <v>2570</v>
      </c>
    </row>
    <row r="8653" spans="1:15" x14ac:dyDescent="0.25">
      <c r="A8653" t="s">
        <v>8666</v>
      </c>
      <c r="B8653">
        <v>421</v>
      </c>
      <c r="C8653" s="1" t="str">
        <f>HYPERLINK("http://www.rosaceae.org/gb/gbrowse/malus_x_domestica/?name=MDP0000220421","MDP0000220421")</f>
        <v>MDP0000220421</v>
      </c>
      <c r="D8653">
        <v>72.67</v>
      </c>
      <c r="E8653">
        <v>355</v>
      </c>
      <c r="F8653">
        <v>97</v>
      </c>
      <c r="G8653">
        <v>16</v>
      </c>
      <c r="H8653">
        <v>1</v>
      </c>
      <c r="I8653">
        <v>355</v>
      </c>
      <c r="J8653">
        <v>1</v>
      </c>
      <c r="K8653">
        <v>1</v>
      </c>
      <c r="L8653">
        <v>339</v>
      </c>
      <c r="M8653">
        <v>1</v>
      </c>
      <c r="N8653">
        <v>6.2540999999999995E-137</v>
      </c>
      <c r="O8653">
        <v>1247</v>
      </c>
    </row>
    <row r="8654" spans="1:15" x14ac:dyDescent="0.25">
      <c r="A8654" t="s">
        <v>8667</v>
      </c>
      <c r="B8654">
        <v>377</v>
      </c>
      <c r="C8654" s="1" t="str">
        <f>HYPERLINK("http://www.rosaceae.org/gb/gbrowse/malus_x_domestica/?name=MDP0000133542","MDP0000133542")</f>
        <v>MDP0000133542</v>
      </c>
      <c r="D8654">
        <v>48.93</v>
      </c>
      <c r="E8654">
        <v>374</v>
      </c>
      <c r="F8654">
        <v>191</v>
      </c>
      <c r="G8654">
        <v>35</v>
      </c>
      <c r="H8654">
        <v>1</v>
      </c>
      <c r="I8654">
        <v>365</v>
      </c>
      <c r="J8654">
        <v>1</v>
      </c>
      <c r="K8654">
        <v>1</v>
      </c>
      <c r="L8654">
        <v>348</v>
      </c>
      <c r="M8654">
        <v>1</v>
      </c>
      <c r="N8654">
        <v>5.7905100000000004E-82</v>
      </c>
      <c r="O8654">
        <v>772</v>
      </c>
    </row>
    <row r="8655" spans="1:15" x14ac:dyDescent="0.25">
      <c r="A8655" t="s">
        <v>8668</v>
      </c>
      <c r="B8655">
        <v>775</v>
      </c>
      <c r="C8655" s="1" t="str">
        <f>HYPERLINK("http://www.rosaceae.org/gb/gbrowse/malus_x_domestica/?name=MDP0000315417","MDP0000315417")</f>
        <v>MDP0000315417</v>
      </c>
      <c r="D8655">
        <v>77.650000000000006</v>
      </c>
      <c r="E8655">
        <v>179</v>
      </c>
      <c r="F8655">
        <v>40</v>
      </c>
      <c r="G8655">
        <v>0</v>
      </c>
      <c r="H8655">
        <v>342</v>
      </c>
      <c r="I8655">
        <v>520</v>
      </c>
      <c r="J8655">
        <v>1</v>
      </c>
      <c r="K8655">
        <v>157</v>
      </c>
      <c r="L8655">
        <v>335</v>
      </c>
      <c r="M8655">
        <v>1</v>
      </c>
      <c r="N8655">
        <v>2.26405E-76</v>
      </c>
      <c r="O8655">
        <v>727</v>
      </c>
    </row>
    <row r="8656" spans="1:15" x14ac:dyDescent="0.25">
      <c r="A8656" t="s">
        <v>8669</v>
      </c>
      <c r="B8656">
        <v>801</v>
      </c>
      <c r="C8656" s="1" t="str">
        <f>HYPERLINK("http://www.rosaceae.org/gb/gbrowse/malus_x_domestica/?name=MDP0000200256","MDP0000200256")</f>
        <v>MDP0000200256</v>
      </c>
      <c r="D8656">
        <v>81.99</v>
      </c>
      <c r="E8656">
        <v>783</v>
      </c>
      <c r="F8656">
        <v>141</v>
      </c>
      <c r="G8656">
        <v>9</v>
      </c>
      <c r="H8656">
        <v>24</v>
      </c>
      <c r="I8656">
        <v>797</v>
      </c>
      <c r="J8656">
        <v>1</v>
      </c>
      <c r="K8656">
        <v>24</v>
      </c>
      <c r="L8656">
        <v>806</v>
      </c>
      <c r="M8656">
        <v>1</v>
      </c>
      <c r="N8656">
        <v>0</v>
      </c>
      <c r="O8656">
        <v>3511</v>
      </c>
    </row>
    <row r="8657" spans="1:15" x14ac:dyDescent="0.25">
      <c r="A8657" t="s">
        <v>8670</v>
      </c>
      <c r="B8657">
        <v>198</v>
      </c>
      <c r="C8657" s="1" t="str">
        <f>HYPERLINK("http://www.rosaceae.org/gb/gbrowse/malus_x_domestica/?name=MDP0000223847","MDP0000223847")</f>
        <v>MDP0000223847</v>
      </c>
      <c r="D8657">
        <v>52.94</v>
      </c>
      <c r="E8657">
        <v>136</v>
      </c>
      <c r="F8657">
        <v>64</v>
      </c>
      <c r="G8657">
        <v>6</v>
      </c>
      <c r="H8657">
        <v>5</v>
      </c>
      <c r="I8657">
        <v>136</v>
      </c>
      <c r="J8657">
        <v>1</v>
      </c>
      <c r="K8657">
        <v>102</v>
      </c>
      <c r="L8657">
        <v>235</v>
      </c>
      <c r="M8657">
        <v>1</v>
      </c>
      <c r="N8657">
        <v>5.9859099999999998E-30</v>
      </c>
      <c r="O8657">
        <v>320</v>
      </c>
    </row>
    <row r="8658" spans="1:15" x14ac:dyDescent="0.25">
      <c r="A8658" t="s">
        <v>8671</v>
      </c>
      <c r="B8658">
        <v>442</v>
      </c>
      <c r="C8658" s="1" t="str">
        <f>HYPERLINK("http://www.rosaceae.org/gb/gbrowse/malus_x_domestica/?name=MDP0000252183","MDP0000252183")</f>
        <v>MDP0000252183</v>
      </c>
      <c r="D8658">
        <v>54.95</v>
      </c>
      <c r="E8658">
        <v>444</v>
      </c>
      <c r="F8658">
        <v>200</v>
      </c>
      <c r="G8658">
        <v>62</v>
      </c>
      <c r="H8658">
        <v>1</v>
      </c>
      <c r="I8658">
        <v>442</v>
      </c>
      <c r="J8658">
        <v>1</v>
      </c>
      <c r="K8658">
        <v>27</v>
      </c>
      <c r="L8658">
        <v>410</v>
      </c>
      <c r="M8658">
        <v>1</v>
      </c>
      <c r="N8658">
        <v>2.27293E-115</v>
      </c>
      <c r="O8658">
        <v>1061</v>
      </c>
    </row>
    <row r="8659" spans="1:15" x14ac:dyDescent="0.25">
      <c r="A8659" t="s">
        <v>8672</v>
      </c>
      <c r="B8659">
        <v>226</v>
      </c>
      <c r="C8659" s="1" t="str">
        <f>HYPERLINK("http://www.rosaceae.org/gb/gbrowse/malus_x_domestica/?name=MDP0000315959","MDP0000315959")</f>
        <v>MDP0000315959</v>
      </c>
      <c r="D8659">
        <v>74.599999999999994</v>
      </c>
      <c r="E8659">
        <v>63</v>
      </c>
      <c r="F8659">
        <v>16</v>
      </c>
      <c r="G8659">
        <v>0</v>
      </c>
      <c r="H8659">
        <v>161</v>
      </c>
      <c r="I8659">
        <v>223</v>
      </c>
      <c r="J8659">
        <v>1</v>
      </c>
      <c r="K8659">
        <v>223</v>
      </c>
      <c r="L8659">
        <v>285</v>
      </c>
      <c r="M8659">
        <v>1</v>
      </c>
      <c r="N8659">
        <v>3.2844700000000001E-23</v>
      </c>
      <c r="O8659">
        <v>262</v>
      </c>
    </row>
    <row r="8660" spans="1:15" x14ac:dyDescent="0.25">
      <c r="A8660" t="s">
        <v>8673</v>
      </c>
      <c r="B8660">
        <v>499</v>
      </c>
      <c r="C8660" s="1" t="str">
        <f>HYPERLINK("http://www.rosaceae.org/gb/gbrowse/malus_x_domestica/?name=MDP0000597607","MDP0000597607")</f>
        <v>MDP0000597607</v>
      </c>
      <c r="D8660">
        <v>60.41</v>
      </c>
      <c r="E8660">
        <v>485</v>
      </c>
      <c r="F8660">
        <v>192</v>
      </c>
      <c r="G8660">
        <v>16</v>
      </c>
      <c r="H8660">
        <v>14</v>
      </c>
      <c r="I8660">
        <v>497</v>
      </c>
      <c r="J8660">
        <v>1</v>
      </c>
      <c r="K8660">
        <v>22</v>
      </c>
      <c r="L8660">
        <v>491</v>
      </c>
      <c r="M8660">
        <v>1</v>
      </c>
      <c r="N8660">
        <v>2.85276E-168</v>
      </c>
      <c r="O8660">
        <v>1518</v>
      </c>
    </row>
    <row r="8661" spans="1:15" x14ac:dyDescent="0.25">
      <c r="A8661" t="s">
        <v>8674</v>
      </c>
      <c r="B8661">
        <v>152</v>
      </c>
      <c r="C8661" s="1" t="str">
        <f>HYPERLINK("http://www.rosaceae.org/gb/gbrowse/malus_x_domestica/?name=MDP0000216575","MDP0000216575")</f>
        <v>MDP0000216575</v>
      </c>
      <c r="D8661">
        <v>70.31</v>
      </c>
      <c r="E8661">
        <v>128</v>
      </c>
      <c r="F8661">
        <v>38</v>
      </c>
      <c r="G8661">
        <v>1</v>
      </c>
      <c r="H8661">
        <v>1</v>
      </c>
      <c r="I8661">
        <v>128</v>
      </c>
      <c r="J8661">
        <v>1</v>
      </c>
      <c r="K8661">
        <v>759</v>
      </c>
      <c r="L8661">
        <v>885</v>
      </c>
      <c r="M8661">
        <v>1</v>
      </c>
      <c r="N8661">
        <v>7.0584799999999997E-50</v>
      </c>
      <c r="O8661">
        <v>490</v>
      </c>
    </row>
    <row r="8662" spans="1:15" x14ac:dyDescent="0.25">
      <c r="A8662" t="s">
        <v>8675</v>
      </c>
      <c r="B8662">
        <v>372</v>
      </c>
      <c r="C8662" s="1" t="str">
        <f>HYPERLINK("http://www.rosaceae.org/gb/gbrowse/malus_x_domestica/?name=MDP0000248430","MDP0000248430")</f>
        <v>MDP0000248430</v>
      </c>
      <c r="D8662">
        <v>73.61</v>
      </c>
      <c r="E8662">
        <v>379</v>
      </c>
      <c r="F8662">
        <v>100</v>
      </c>
      <c r="G8662">
        <v>16</v>
      </c>
      <c r="H8662">
        <v>1</v>
      </c>
      <c r="I8662">
        <v>370</v>
      </c>
      <c r="J8662">
        <v>1</v>
      </c>
      <c r="K8662">
        <v>1</v>
      </c>
      <c r="L8662">
        <v>372</v>
      </c>
      <c r="M8662">
        <v>1</v>
      </c>
      <c r="N8662">
        <v>2.37605E-155</v>
      </c>
      <c r="O8662">
        <v>1405</v>
      </c>
    </row>
    <row r="8663" spans="1:15" x14ac:dyDescent="0.25">
      <c r="A8663" t="s">
        <v>8676</v>
      </c>
      <c r="B8663">
        <v>157</v>
      </c>
      <c r="C8663" s="1" t="str">
        <f>HYPERLINK("http://www.rosaceae.org/gb/gbrowse/malus_x_domestica/?name=MDP0000285709","MDP0000285709")</f>
        <v>MDP0000285709</v>
      </c>
      <c r="D8663">
        <v>76.33</v>
      </c>
      <c r="E8663">
        <v>131</v>
      </c>
      <c r="F8663">
        <v>31</v>
      </c>
      <c r="G8663">
        <v>1</v>
      </c>
      <c r="H8663">
        <v>1</v>
      </c>
      <c r="I8663">
        <v>131</v>
      </c>
      <c r="J8663">
        <v>1</v>
      </c>
      <c r="K8663">
        <v>1</v>
      </c>
      <c r="L8663">
        <v>130</v>
      </c>
      <c r="M8663">
        <v>1</v>
      </c>
      <c r="N8663">
        <v>1.1205100000000001E-54</v>
      </c>
      <c r="O8663">
        <v>531</v>
      </c>
    </row>
    <row r="8664" spans="1:15" x14ac:dyDescent="0.25">
      <c r="A8664" t="s">
        <v>8677</v>
      </c>
      <c r="B8664">
        <v>314</v>
      </c>
      <c r="C8664" s="1" t="str">
        <f>HYPERLINK("http://www.rosaceae.org/gb/gbrowse/malus_x_domestica/?name=MDP0000167145","MDP0000167145")</f>
        <v>MDP0000167145</v>
      </c>
      <c r="D8664">
        <v>30.58</v>
      </c>
      <c r="E8664">
        <v>170</v>
      </c>
      <c r="F8664">
        <v>118</v>
      </c>
      <c r="G8664">
        <v>12</v>
      </c>
      <c r="H8664">
        <v>39</v>
      </c>
      <c r="I8664">
        <v>197</v>
      </c>
      <c r="J8664">
        <v>1</v>
      </c>
      <c r="K8664">
        <v>229</v>
      </c>
      <c r="L8664">
        <v>397</v>
      </c>
      <c r="M8664">
        <v>1</v>
      </c>
      <c r="N8664">
        <v>3.5657199999999999E-12</v>
      </c>
      <c r="O8664">
        <v>169</v>
      </c>
    </row>
    <row r="8665" spans="1:15" x14ac:dyDescent="0.25">
      <c r="A8665" t="s">
        <v>8678</v>
      </c>
      <c r="B8665">
        <v>338</v>
      </c>
      <c r="C8665" s="1" t="str">
        <f>HYPERLINK("http://www.rosaceae.org/gb/gbrowse/malus_x_domestica/?name=MDP0000252508","MDP0000252508")</f>
        <v>MDP0000252508</v>
      </c>
      <c r="D8665">
        <v>63.07</v>
      </c>
      <c r="E8665">
        <v>325</v>
      </c>
      <c r="F8665">
        <v>120</v>
      </c>
      <c r="G8665">
        <v>4</v>
      </c>
      <c r="H8665">
        <v>14</v>
      </c>
      <c r="I8665">
        <v>338</v>
      </c>
      <c r="J8665">
        <v>1</v>
      </c>
      <c r="K8665">
        <v>15</v>
      </c>
      <c r="L8665">
        <v>335</v>
      </c>
      <c r="M8665">
        <v>1</v>
      </c>
      <c r="N8665">
        <v>3.8193800000000002E-119</v>
      </c>
      <c r="O8665">
        <v>1092</v>
      </c>
    </row>
    <row r="8666" spans="1:15" x14ac:dyDescent="0.25">
      <c r="A8666" t="s">
        <v>8679</v>
      </c>
      <c r="B8666">
        <v>278</v>
      </c>
      <c r="C8666" s="1" t="str">
        <f>HYPERLINK("http://www.rosaceae.org/gb/gbrowse/malus_x_domestica/?name=MDP0000281481","MDP0000281481")</f>
        <v>MDP0000281481</v>
      </c>
      <c r="D8666">
        <v>76.13</v>
      </c>
      <c r="E8666">
        <v>243</v>
      </c>
      <c r="F8666">
        <v>58</v>
      </c>
      <c r="G8666">
        <v>3</v>
      </c>
      <c r="H8666">
        <v>3</v>
      </c>
      <c r="I8666">
        <v>245</v>
      </c>
      <c r="J8666">
        <v>1</v>
      </c>
      <c r="K8666">
        <v>17</v>
      </c>
      <c r="L8666">
        <v>256</v>
      </c>
      <c r="M8666">
        <v>1</v>
      </c>
      <c r="N8666">
        <v>3.5206299999999996E-105</v>
      </c>
      <c r="O8666">
        <v>971</v>
      </c>
    </row>
    <row r="8667" spans="1:15" x14ac:dyDescent="0.25">
      <c r="A8667" t="s">
        <v>8680</v>
      </c>
      <c r="B8667">
        <v>314</v>
      </c>
      <c r="C8667" s="1" t="str">
        <f>HYPERLINK("http://www.rosaceae.org/gb/gbrowse/malus_x_domestica/?name=MDP0000209651","MDP0000209651")</f>
        <v>MDP0000209651</v>
      </c>
      <c r="D8667">
        <v>39.56</v>
      </c>
      <c r="E8667">
        <v>91</v>
      </c>
      <c r="F8667">
        <v>55</v>
      </c>
      <c r="G8667">
        <v>3</v>
      </c>
      <c r="H8667">
        <v>1</v>
      </c>
      <c r="I8667">
        <v>89</v>
      </c>
      <c r="J8667">
        <v>1</v>
      </c>
      <c r="K8667">
        <v>1</v>
      </c>
      <c r="L8667">
        <v>90</v>
      </c>
      <c r="M8667">
        <v>1</v>
      </c>
      <c r="N8667">
        <v>1.0826E-8</v>
      </c>
      <c r="O8667">
        <v>139</v>
      </c>
    </row>
    <row r="8668" spans="1:15" x14ac:dyDescent="0.25">
      <c r="A8668" t="s">
        <v>8681</v>
      </c>
      <c r="B8668">
        <v>205</v>
      </c>
      <c r="C8668" s="1" t="str">
        <f>HYPERLINK("http://www.rosaceae.org/gb/gbrowse/malus_x_domestica/?name=MDP0000853667","MDP0000853667")</f>
        <v>MDP0000853667</v>
      </c>
      <c r="D8668">
        <v>61.97</v>
      </c>
      <c r="E8668">
        <v>71</v>
      </c>
      <c r="F8668">
        <v>27</v>
      </c>
      <c r="G8668">
        <v>1</v>
      </c>
      <c r="H8668">
        <v>14</v>
      </c>
      <c r="I8668">
        <v>84</v>
      </c>
      <c r="J8668">
        <v>1</v>
      </c>
      <c r="K8668">
        <v>101</v>
      </c>
      <c r="L8668">
        <v>170</v>
      </c>
      <c r="M8668">
        <v>1</v>
      </c>
      <c r="N8668">
        <v>3.53451E-21</v>
      </c>
      <c r="O8668">
        <v>244</v>
      </c>
    </row>
    <row r="8669" spans="1:15" x14ac:dyDescent="0.25">
      <c r="A8669" t="s">
        <v>8682</v>
      </c>
      <c r="B8669">
        <v>477</v>
      </c>
      <c r="C8669" s="1" t="str">
        <f>HYPERLINK("http://www.rosaceae.org/gb/gbrowse/malus_x_domestica/?name=MDP0000371737","MDP0000371737")</f>
        <v>MDP0000371737</v>
      </c>
      <c r="D8669">
        <v>58.07</v>
      </c>
      <c r="E8669">
        <v>458</v>
      </c>
      <c r="F8669">
        <v>192</v>
      </c>
      <c r="G8669">
        <v>31</v>
      </c>
      <c r="H8669">
        <v>34</v>
      </c>
      <c r="I8669">
        <v>477</v>
      </c>
      <c r="J8669">
        <v>1</v>
      </c>
      <c r="K8669">
        <v>1</v>
      </c>
      <c r="L8669">
        <v>441</v>
      </c>
      <c r="M8669">
        <v>1</v>
      </c>
      <c r="N8669">
        <v>3.14269E-146</v>
      </c>
      <c r="O8669">
        <v>1327</v>
      </c>
    </row>
    <row r="8670" spans="1:15" x14ac:dyDescent="0.25">
      <c r="A8670" t="s">
        <v>8683</v>
      </c>
      <c r="B8670">
        <v>646</v>
      </c>
      <c r="C8670" s="1" t="str">
        <f>HYPERLINK("http://www.rosaceae.org/gb/gbrowse/malus_x_domestica/?name=MDP0000240977","MDP0000240977")</f>
        <v>MDP0000240977</v>
      </c>
      <c r="D8670">
        <v>71.42</v>
      </c>
      <c r="E8670">
        <v>126</v>
      </c>
      <c r="F8670">
        <v>36</v>
      </c>
      <c r="G8670">
        <v>2</v>
      </c>
      <c r="H8670">
        <v>105</v>
      </c>
      <c r="I8670">
        <v>229</v>
      </c>
      <c r="J8670">
        <v>1</v>
      </c>
      <c r="K8670">
        <v>201</v>
      </c>
      <c r="L8670">
        <v>325</v>
      </c>
      <c r="M8670">
        <v>1</v>
      </c>
      <c r="N8670">
        <v>9.7341300000000004E-47</v>
      </c>
      <c r="O8670">
        <v>471</v>
      </c>
    </row>
    <row r="8671" spans="1:15" x14ac:dyDescent="0.25">
      <c r="A8671" t="s">
        <v>8684</v>
      </c>
      <c r="B8671">
        <v>122</v>
      </c>
      <c r="C8671" s="1" t="str">
        <f>HYPERLINK("http://www.rosaceae.org/gb/gbrowse/malus_x_domestica/?name=MDP0000124256","MDP0000124256")</f>
        <v>MDP0000124256</v>
      </c>
      <c r="D8671">
        <v>40</v>
      </c>
      <c r="E8671">
        <v>115</v>
      </c>
      <c r="F8671">
        <v>69</v>
      </c>
      <c r="G8671">
        <v>0</v>
      </c>
      <c r="H8671">
        <v>5</v>
      </c>
      <c r="I8671">
        <v>119</v>
      </c>
      <c r="J8671">
        <v>1</v>
      </c>
      <c r="K8671">
        <v>71</v>
      </c>
      <c r="L8671">
        <v>185</v>
      </c>
      <c r="M8671">
        <v>1</v>
      </c>
      <c r="N8671">
        <v>1.0411899999999999E-19</v>
      </c>
      <c r="O8671">
        <v>227</v>
      </c>
    </row>
    <row r="8672" spans="1:15" x14ac:dyDescent="0.25">
      <c r="A8672" t="s">
        <v>8685</v>
      </c>
      <c r="B8672">
        <v>416</v>
      </c>
      <c r="C8672" s="1" t="str">
        <f>HYPERLINK("http://www.rosaceae.org/gb/gbrowse/malus_x_domestica/?name=MDP0000204554","MDP0000204554")</f>
        <v>MDP0000204554</v>
      </c>
      <c r="D8672">
        <v>60.47</v>
      </c>
      <c r="E8672">
        <v>468</v>
      </c>
      <c r="F8672">
        <v>185</v>
      </c>
      <c r="G8672">
        <v>108</v>
      </c>
      <c r="H8672">
        <v>1</v>
      </c>
      <c r="I8672">
        <v>416</v>
      </c>
      <c r="J8672">
        <v>1</v>
      </c>
      <c r="K8672">
        <v>1</v>
      </c>
      <c r="L8672">
        <v>412</v>
      </c>
      <c r="M8672">
        <v>1</v>
      </c>
      <c r="N8672">
        <v>3.3645599999999999E-148</v>
      </c>
      <c r="O8672">
        <v>1344</v>
      </c>
    </row>
    <row r="8673" spans="1:15" x14ac:dyDescent="0.25">
      <c r="A8673" t="s">
        <v>8686</v>
      </c>
      <c r="B8673">
        <v>155</v>
      </c>
      <c r="C8673" s="1" t="str">
        <f>HYPERLINK("http://www.rosaceae.org/gb/gbrowse/malus_x_domestica/?name=MDP0000265671","MDP0000265671")</f>
        <v>MDP0000265671</v>
      </c>
      <c r="D8673">
        <v>70.58</v>
      </c>
      <c r="E8673">
        <v>34</v>
      </c>
      <c r="F8673">
        <v>10</v>
      </c>
      <c r="G8673">
        <v>0</v>
      </c>
      <c r="H8673">
        <v>41</v>
      </c>
      <c r="I8673">
        <v>74</v>
      </c>
      <c r="J8673">
        <v>1</v>
      </c>
      <c r="K8673">
        <v>345</v>
      </c>
      <c r="L8673">
        <v>378</v>
      </c>
      <c r="M8673">
        <v>1</v>
      </c>
      <c r="N8673">
        <v>5.6373799999999998E-9</v>
      </c>
      <c r="O8673">
        <v>137</v>
      </c>
    </row>
    <row r="8674" spans="1:15" x14ac:dyDescent="0.25">
      <c r="A8674" t="s">
        <v>8687</v>
      </c>
      <c r="B8674">
        <v>284</v>
      </c>
      <c r="C8674" s="1" t="str">
        <f>HYPERLINK("http://www.rosaceae.org/gb/gbrowse/malus_x_domestica/?name=MDP0000845392","MDP0000845392")</f>
        <v>MDP0000845392</v>
      </c>
      <c r="D8674">
        <v>30.82</v>
      </c>
      <c r="E8674">
        <v>146</v>
      </c>
      <c r="F8674">
        <v>101</v>
      </c>
      <c r="G8674">
        <v>44</v>
      </c>
      <c r="H8674">
        <v>133</v>
      </c>
      <c r="I8674">
        <v>278</v>
      </c>
      <c r="J8674">
        <v>1</v>
      </c>
      <c r="K8674">
        <v>154</v>
      </c>
      <c r="L8674">
        <v>255</v>
      </c>
      <c r="M8674">
        <v>1</v>
      </c>
      <c r="N8674">
        <v>2.9110699999999999E-13</v>
      </c>
      <c r="O8674">
        <v>178</v>
      </c>
    </row>
    <row r="8675" spans="1:15" x14ac:dyDescent="0.25">
      <c r="A8675" t="s">
        <v>8688</v>
      </c>
      <c r="B8675">
        <v>226</v>
      </c>
      <c r="C8675" s="1" t="str">
        <f>HYPERLINK("http://www.rosaceae.org/gb/gbrowse/malus_x_domestica/?name=MDP0000254890","MDP0000254890")</f>
        <v>MDP0000254890</v>
      </c>
      <c r="D8675">
        <v>66.510000000000005</v>
      </c>
      <c r="E8675">
        <v>224</v>
      </c>
      <c r="F8675">
        <v>75</v>
      </c>
      <c r="G8675">
        <v>0</v>
      </c>
      <c r="H8675">
        <v>3</v>
      </c>
      <c r="I8675">
        <v>226</v>
      </c>
      <c r="J8675">
        <v>1</v>
      </c>
      <c r="K8675">
        <v>4</v>
      </c>
      <c r="L8675">
        <v>227</v>
      </c>
      <c r="M8675">
        <v>1</v>
      </c>
      <c r="N8675">
        <v>8.4334900000000004E-80</v>
      </c>
      <c r="O8675">
        <v>751</v>
      </c>
    </row>
    <row r="8676" spans="1:15" x14ac:dyDescent="0.25">
      <c r="A8676" t="s">
        <v>8689</v>
      </c>
      <c r="B8676">
        <v>269</v>
      </c>
      <c r="C8676" s="1" t="str">
        <f>HYPERLINK("http://www.rosaceae.org/gb/gbrowse/malus_x_domestica/?name=MDP0000147846","MDP0000147846")</f>
        <v>MDP0000147846</v>
      </c>
      <c r="D8676">
        <v>42.69</v>
      </c>
      <c r="E8676">
        <v>178</v>
      </c>
      <c r="F8676">
        <v>102</v>
      </c>
      <c r="G8676">
        <v>37</v>
      </c>
      <c r="H8676">
        <v>95</v>
      </c>
      <c r="I8676">
        <v>269</v>
      </c>
      <c r="J8676">
        <v>1</v>
      </c>
      <c r="K8676">
        <v>421</v>
      </c>
      <c r="L8676">
        <v>564</v>
      </c>
      <c r="M8676">
        <v>1</v>
      </c>
      <c r="N8676">
        <v>3.14346E-27</v>
      </c>
      <c r="O8676">
        <v>298</v>
      </c>
    </row>
    <row r="8677" spans="1:15" x14ac:dyDescent="0.25">
      <c r="A8677" t="s">
        <v>8690</v>
      </c>
      <c r="B8677">
        <v>316</v>
      </c>
      <c r="C8677" s="1" t="str">
        <f>HYPERLINK("http://www.rosaceae.org/gb/gbrowse/malus_x_domestica/?name=MDP0000248364","MDP0000248364")</f>
        <v>MDP0000248364</v>
      </c>
      <c r="D8677">
        <v>55.93</v>
      </c>
      <c r="E8677">
        <v>295</v>
      </c>
      <c r="F8677">
        <v>130</v>
      </c>
      <c r="G8677">
        <v>15</v>
      </c>
      <c r="H8677">
        <v>23</v>
      </c>
      <c r="I8677">
        <v>316</v>
      </c>
      <c r="J8677">
        <v>1</v>
      </c>
      <c r="K8677">
        <v>1</v>
      </c>
      <c r="L8677">
        <v>281</v>
      </c>
      <c r="M8677">
        <v>1</v>
      </c>
      <c r="N8677">
        <v>4.06474E-82</v>
      </c>
      <c r="O8677">
        <v>772</v>
      </c>
    </row>
    <row r="8678" spans="1:15" x14ac:dyDescent="0.25">
      <c r="A8678" t="s">
        <v>8691</v>
      </c>
      <c r="B8678">
        <v>329</v>
      </c>
      <c r="C8678" s="1" t="str">
        <f>HYPERLINK("http://www.rosaceae.org/gb/gbrowse/malus_x_domestica/?name=MDP0000289473","MDP0000289473")</f>
        <v>MDP0000289473</v>
      </c>
      <c r="D8678">
        <v>68.599999999999994</v>
      </c>
      <c r="E8678">
        <v>86</v>
      </c>
      <c r="F8678">
        <v>27</v>
      </c>
      <c r="G8678">
        <v>0</v>
      </c>
      <c r="H8678">
        <v>222</v>
      </c>
      <c r="I8678">
        <v>307</v>
      </c>
      <c r="J8678">
        <v>1</v>
      </c>
      <c r="K8678">
        <v>256</v>
      </c>
      <c r="L8678">
        <v>341</v>
      </c>
      <c r="M8678">
        <v>1</v>
      </c>
      <c r="N8678">
        <v>2.30341E-30</v>
      </c>
      <c r="O8678">
        <v>326</v>
      </c>
    </row>
    <row r="8679" spans="1:15" x14ac:dyDescent="0.25">
      <c r="A8679" t="s">
        <v>8692</v>
      </c>
      <c r="B8679">
        <v>360</v>
      </c>
      <c r="C8679" s="1" t="str">
        <f>HYPERLINK("http://www.rosaceae.org/gb/gbrowse/malus_x_domestica/?name=MDP0000194332","MDP0000194332")</f>
        <v>MDP0000194332</v>
      </c>
      <c r="D8679">
        <v>66.39</v>
      </c>
      <c r="E8679">
        <v>363</v>
      </c>
      <c r="F8679">
        <v>122</v>
      </c>
      <c r="G8679">
        <v>11</v>
      </c>
      <c r="H8679">
        <v>2</v>
      </c>
      <c r="I8679">
        <v>358</v>
      </c>
      <c r="J8679">
        <v>1</v>
      </c>
      <c r="K8679">
        <v>275</v>
      </c>
      <c r="L8679">
        <v>632</v>
      </c>
      <c r="M8679">
        <v>1</v>
      </c>
      <c r="N8679">
        <v>3.5284900000000002E-129</v>
      </c>
      <c r="O8679">
        <v>1179</v>
      </c>
    </row>
    <row r="8680" spans="1:15" x14ac:dyDescent="0.25">
      <c r="A8680" t="s">
        <v>8693</v>
      </c>
      <c r="B8680">
        <v>269</v>
      </c>
      <c r="C8680" s="1" t="str">
        <f>HYPERLINK("http://www.rosaceae.org/gb/gbrowse/malus_x_domestica/?name=MDP0000943304","MDP0000943304")</f>
        <v>MDP0000943304</v>
      </c>
      <c r="D8680">
        <v>53.24</v>
      </c>
      <c r="E8680">
        <v>308</v>
      </c>
      <c r="F8680">
        <v>144</v>
      </c>
      <c r="G8680">
        <v>46</v>
      </c>
      <c r="H8680">
        <v>4</v>
      </c>
      <c r="I8680">
        <v>269</v>
      </c>
      <c r="J8680">
        <v>1</v>
      </c>
      <c r="K8680">
        <v>135</v>
      </c>
      <c r="L8680">
        <v>438</v>
      </c>
      <c r="M8680">
        <v>1</v>
      </c>
      <c r="N8680">
        <v>3.3658700000000003E-79</v>
      </c>
      <c r="O8680">
        <v>746</v>
      </c>
    </row>
    <row r="8681" spans="1:15" x14ac:dyDescent="0.25">
      <c r="A8681" t="s">
        <v>8694</v>
      </c>
      <c r="B8681">
        <v>295</v>
      </c>
      <c r="C8681" s="1" t="str">
        <f>HYPERLINK("http://www.rosaceae.org/gb/gbrowse/malus_x_domestica/?name=MDP0000263282","MDP0000263282")</f>
        <v>MDP0000263282</v>
      </c>
      <c r="D8681">
        <v>55.9</v>
      </c>
      <c r="E8681">
        <v>220</v>
      </c>
      <c r="F8681">
        <v>97</v>
      </c>
      <c r="G8681">
        <v>13</v>
      </c>
      <c r="H8681">
        <v>44</v>
      </c>
      <c r="I8681">
        <v>257</v>
      </c>
      <c r="J8681">
        <v>1</v>
      </c>
      <c r="K8681">
        <v>249</v>
      </c>
      <c r="L8681">
        <v>461</v>
      </c>
      <c r="M8681">
        <v>1</v>
      </c>
      <c r="N8681">
        <v>5.3292700000000003E-56</v>
      </c>
      <c r="O8681">
        <v>547</v>
      </c>
    </row>
    <row r="8682" spans="1:15" x14ac:dyDescent="0.25">
      <c r="A8682" t="s">
        <v>8695</v>
      </c>
      <c r="B8682">
        <v>680</v>
      </c>
      <c r="C8682" s="1" t="str">
        <f>HYPERLINK("http://www.rosaceae.org/gb/gbrowse/malus_x_domestica/?name=MDP0000185801","MDP0000185801")</f>
        <v>MDP0000185801</v>
      </c>
      <c r="D8682">
        <v>36.56</v>
      </c>
      <c r="E8682">
        <v>320</v>
      </c>
      <c r="F8682">
        <v>203</v>
      </c>
      <c r="G8682">
        <v>32</v>
      </c>
      <c r="H8682">
        <v>279</v>
      </c>
      <c r="I8682">
        <v>598</v>
      </c>
      <c r="J8682">
        <v>1</v>
      </c>
      <c r="K8682">
        <v>88</v>
      </c>
      <c r="L8682">
        <v>375</v>
      </c>
      <c r="M8682">
        <v>1</v>
      </c>
      <c r="N8682">
        <v>3.74044E-47</v>
      </c>
      <c r="O8682">
        <v>474</v>
      </c>
    </row>
    <row r="8683" spans="1:15" x14ac:dyDescent="0.25">
      <c r="A8683" t="s">
        <v>8696</v>
      </c>
      <c r="B8683">
        <v>141</v>
      </c>
      <c r="C8683" s="1" t="str">
        <f>HYPERLINK("http://www.rosaceae.org/gb/gbrowse/malus_x_domestica/?name=MDP0000293970","MDP0000293970")</f>
        <v>MDP0000293970</v>
      </c>
      <c r="D8683">
        <v>27.2</v>
      </c>
      <c r="E8683">
        <v>125</v>
      </c>
      <c r="F8683">
        <v>91</v>
      </c>
      <c r="G8683">
        <v>4</v>
      </c>
      <c r="H8683">
        <v>3</v>
      </c>
      <c r="I8683">
        <v>126</v>
      </c>
      <c r="J8683">
        <v>1</v>
      </c>
      <c r="K8683">
        <v>4</v>
      </c>
      <c r="L8683">
        <v>125</v>
      </c>
      <c r="M8683">
        <v>1</v>
      </c>
      <c r="N8683">
        <v>5.0236800000000002E-7</v>
      </c>
      <c r="O8683">
        <v>119</v>
      </c>
    </row>
    <row r="8684" spans="1:15" x14ac:dyDescent="0.25">
      <c r="A8684" t="s">
        <v>8697</v>
      </c>
      <c r="B8684">
        <v>595</v>
      </c>
      <c r="C8684" s="1" t="str">
        <f>HYPERLINK("http://www.rosaceae.org/gb/gbrowse/malus_x_domestica/?name=MDP0000251810","MDP0000251810")</f>
        <v>MDP0000251810</v>
      </c>
      <c r="D8684">
        <v>91.76</v>
      </c>
      <c r="E8684">
        <v>340</v>
      </c>
      <c r="F8684">
        <v>28</v>
      </c>
      <c r="G8684">
        <v>1</v>
      </c>
      <c r="H8684">
        <v>255</v>
      </c>
      <c r="I8684">
        <v>594</v>
      </c>
      <c r="J8684">
        <v>1</v>
      </c>
      <c r="K8684">
        <v>1</v>
      </c>
      <c r="L8684">
        <v>339</v>
      </c>
      <c r="M8684">
        <v>1</v>
      </c>
      <c r="N8684">
        <v>0</v>
      </c>
      <c r="O8684">
        <v>1657</v>
      </c>
    </row>
    <row r="8685" spans="1:15" x14ac:dyDescent="0.25">
      <c r="A8685" t="s">
        <v>8698</v>
      </c>
      <c r="B8685">
        <v>361</v>
      </c>
      <c r="C8685" s="1" t="str">
        <f>HYPERLINK("http://www.rosaceae.org/gb/gbrowse/malus_x_domestica/?name=MDP0000292084","MDP0000292084")</f>
        <v>MDP0000292084</v>
      </c>
      <c r="D8685">
        <v>48.51</v>
      </c>
      <c r="E8685">
        <v>371</v>
      </c>
      <c r="F8685">
        <v>191</v>
      </c>
      <c r="G8685">
        <v>19</v>
      </c>
      <c r="H8685">
        <v>1</v>
      </c>
      <c r="I8685">
        <v>359</v>
      </c>
      <c r="J8685">
        <v>1</v>
      </c>
      <c r="K8685">
        <v>61</v>
      </c>
      <c r="L8685">
        <v>424</v>
      </c>
      <c r="M8685">
        <v>1</v>
      </c>
      <c r="N8685">
        <v>2.6822800000000001E-81</v>
      </c>
      <c r="O8685">
        <v>766</v>
      </c>
    </row>
    <row r="8686" spans="1:15" x14ac:dyDescent="0.25">
      <c r="A8686" t="s">
        <v>8699</v>
      </c>
      <c r="B8686">
        <v>370</v>
      </c>
      <c r="C8686" s="1" t="str">
        <f>HYPERLINK("http://www.rosaceae.org/gb/gbrowse/malus_x_domestica/?name=MDP0000177778","MDP0000177778")</f>
        <v>MDP0000177778</v>
      </c>
      <c r="D8686">
        <v>58.46</v>
      </c>
      <c r="E8686">
        <v>443</v>
      </c>
      <c r="F8686">
        <v>184</v>
      </c>
      <c r="G8686">
        <v>112</v>
      </c>
      <c r="H8686">
        <v>2</v>
      </c>
      <c r="I8686">
        <v>370</v>
      </c>
      <c r="J8686">
        <v>1</v>
      </c>
      <c r="K8686">
        <v>1</v>
      </c>
      <c r="L8686">
        <v>405</v>
      </c>
      <c r="M8686">
        <v>1</v>
      </c>
      <c r="N8686">
        <v>5.4762200000000001E-127</v>
      </c>
      <c r="O8686">
        <v>1160</v>
      </c>
    </row>
    <row r="8687" spans="1:15" x14ac:dyDescent="0.25">
      <c r="A8687" t="s">
        <v>8700</v>
      </c>
      <c r="B8687">
        <v>394</v>
      </c>
      <c r="C8687" s="1" t="str">
        <f>HYPERLINK("http://www.rosaceae.org/gb/gbrowse/malus_x_domestica/?name=MDP0000130320","MDP0000130320")</f>
        <v>MDP0000130320</v>
      </c>
      <c r="D8687">
        <v>36.229999999999997</v>
      </c>
      <c r="E8687">
        <v>207</v>
      </c>
      <c r="F8687">
        <v>132</v>
      </c>
      <c r="G8687">
        <v>30</v>
      </c>
      <c r="H8687">
        <v>188</v>
      </c>
      <c r="I8687">
        <v>366</v>
      </c>
      <c r="J8687">
        <v>1</v>
      </c>
      <c r="K8687">
        <v>269</v>
      </c>
      <c r="L8687">
        <v>473</v>
      </c>
      <c r="M8687">
        <v>1</v>
      </c>
      <c r="N8687">
        <v>3.8607199999999999E-24</v>
      </c>
      <c r="O8687">
        <v>274</v>
      </c>
    </row>
    <row r="8688" spans="1:15" x14ac:dyDescent="0.25">
      <c r="A8688" t="s">
        <v>8701</v>
      </c>
      <c r="B8688">
        <v>1271</v>
      </c>
      <c r="C8688" s="1" t="str">
        <f>HYPERLINK("http://www.rosaceae.org/gb/gbrowse/malus_x_domestica/?name=MDP0000251747","MDP0000251747")</f>
        <v>MDP0000251747</v>
      </c>
      <c r="D8688">
        <v>30.66</v>
      </c>
      <c r="E8688">
        <v>362</v>
      </c>
      <c r="F8688">
        <v>251</v>
      </c>
      <c r="G8688">
        <v>45</v>
      </c>
      <c r="H8688">
        <v>737</v>
      </c>
      <c r="I8688">
        <v>1087</v>
      </c>
      <c r="J8688">
        <v>1</v>
      </c>
      <c r="K8688">
        <v>108</v>
      </c>
      <c r="L8688">
        <v>435</v>
      </c>
      <c r="M8688">
        <v>1</v>
      </c>
      <c r="N8688">
        <v>2.6757999999999998E-35</v>
      </c>
      <c r="O8688">
        <v>375</v>
      </c>
    </row>
    <row r="8689" spans="1:15" x14ac:dyDescent="0.25">
      <c r="A8689" t="s">
        <v>8702</v>
      </c>
      <c r="B8689">
        <v>187</v>
      </c>
      <c r="C8689" s="1" t="str">
        <f>HYPERLINK("http://www.rosaceae.org/gb/gbrowse/malus_x_domestica/?name=MDP0000283941","MDP0000283941")</f>
        <v>MDP0000283941</v>
      </c>
      <c r="D8689">
        <v>66.849999999999994</v>
      </c>
      <c r="E8689">
        <v>175</v>
      </c>
      <c r="F8689">
        <v>58</v>
      </c>
      <c r="G8689">
        <v>15</v>
      </c>
      <c r="H8689">
        <v>1</v>
      </c>
      <c r="I8689">
        <v>173</v>
      </c>
      <c r="J8689">
        <v>1</v>
      </c>
      <c r="K8689">
        <v>111</v>
      </c>
      <c r="L8689">
        <v>272</v>
      </c>
      <c r="M8689">
        <v>1</v>
      </c>
      <c r="N8689">
        <v>4.3147999999999999E-60</v>
      </c>
      <c r="O8689">
        <v>579</v>
      </c>
    </row>
    <row r="8690" spans="1:15" x14ac:dyDescent="0.25">
      <c r="A8690" t="s">
        <v>8703</v>
      </c>
      <c r="B8690">
        <v>866</v>
      </c>
      <c r="C8690" s="1" t="str">
        <f>HYPERLINK("http://www.rosaceae.org/gb/gbrowse/malus_x_domestica/?name=MDP0000125167","MDP0000125167")</f>
        <v>MDP0000125167</v>
      </c>
      <c r="D8690">
        <v>58.3</v>
      </c>
      <c r="E8690">
        <v>355</v>
      </c>
      <c r="F8690">
        <v>148</v>
      </c>
      <c r="G8690">
        <v>6</v>
      </c>
      <c r="H8690">
        <v>510</v>
      </c>
      <c r="I8690">
        <v>864</v>
      </c>
      <c r="J8690">
        <v>1</v>
      </c>
      <c r="K8690">
        <v>106</v>
      </c>
      <c r="L8690">
        <v>454</v>
      </c>
      <c r="M8690">
        <v>1</v>
      </c>
      <c r="N8690">
        <v>6.43587E-121</v>
      </c>
      <c r="O8690">
        <v>1112</v>
      </c>
    </row>
    <row r="8691" spans="1:15" x14ac:dyDescent="0.25">
      <c r="A8691" t="s">
        <v>8704</v>
      </c>
      <c r="B8691">
        <v>137</v>
      </c>
      <c r="C8691" s="1" t="str">
        <f>HYPERLINK("http://www.rosaceae.org/gb/gbrowse/malus_x_domestica/?name=MDP0000186167","MDP0000186167")</f>
        <v>MDP0000186167</v>
      </c>
      <c r="D8691">
        <v>68.47</v>
      </c>
      <c r="E8691">
        <v>92</v>
      </c>
      <c r="F8691">
        <v>29</v>
      </c>
      <c r="G8691">
        <v>10</v>
      </c>
      <c r="H8691">
        <v>48</v>
      </c>
      <c r="I8691">
        <v>137</v>
      </c>
      <c r="J8691">
        <v>1</v>
      </c>
      <c r="K8691">
        <v>51</v>
      </c>
      <c r="L8691">
        <v>134</v>
      </c>
      <c r="M8691">
        <v>1</v>
      </c>
      <c r="N8691">
        <v>2.41066E-27</v>
      </c>
      <c r="O8691">
        <v>294</v>
      </c>
    </row>
    <row r="8692" spans="1:15" x14ac:dyDescent="0.25">
      <c r="A8692" t="s">
        <v>8705</v>
      </c>
      <c r="B8692">
        <v>388</v>
      </c>
      <c r="C8692" s="1" t="str">
        <f>HYPERLINK("http://www.rosaceae.org/gb/gbrowse/malus_x_domestica/?name=MDP0000095336","MDP0000095336")</f>
        <v>MDP0000095336</v>
      </c>
      <c r="D8692">
        <v>58.88</v>
      </c>
      <c r="E8692">
        <v>304</v>
      </c>
      <c r="F8692">
        <v>125</v>
      </c>
      <c r="G8692">
        <v>5</v>
      </c>
      <c r="H8692">
        <v>81</v>
      </c>
      <c r="I8692">
        <v>384</v>
      </c>
      <c r="J8692">
        <v>1</v>
      </c>
      <c r="K8692">
        <v>3</v>
      </c>
      <c r="L8692">
        <v>301</v>
      </c>
      <c r="M8692">
        <v>1</v>
      </c>
      <c r="N8692">
        <v>9.0960000000000004E-100</v>
      </c>
      <c r="O8692">
        <v>926</v>
      </c>
    </row>
    <row r="8693" spans="1:15" x14ac:dyDescent="0.25">
      <c r="A8693" t="s">
        <v>8706</v>
      </c>
      <c r="B8693">
        <v>535</v>
      </c>
      <c r="C8693" s="1" t="str">
        <f>HYPERLINK("http://www.rosaceae.org/gb/gbrowse/malus_x_domestica/?name=MDP0000684830","MDP0000684830")</f>
        <v>MDP0000684830</v>
      </c>
      <c r="D8693">
        <v>93.27</v>
      </c>
      <c r="E8693">
        <v>535</v>
      </c>
      <c r="F8693">
        <v>36</v>
      </c>
      <c r="G8693">
        <v>0</v>
      </c>
      <c r="H8693">
        <v>1</v>
      </c>
      <c r="I8693">
        <v>535</v>
      </c>
      <c r="J8693">
        <v>1</v>
      </c>
      <c r="K8693">
        <v>1</v>
      </c>
      <c r="L8693">
        <v>535</v>
      </c>
      <c r="M8693">
        <v>1</v>
      </c>
      <c r="N8693">
        <v>0</v>
      </c>
      <c r="O8693">
        <v>2680</v>
      </c>
    </row>
    <row r="8694" spans="1:15" x14ac:dyDescent="0.25">
      <c r="A8694" t="s">
        <v>8707</v>
      </c>
      <c r="B8694">
        <v>133</v>
      </c>
      <c r="C8694" s="1" t="str">
        <f>HYPERLINK("http://www.rosaceae.org/gb/gbrowse/malus_x_domestica/?name=MDP0000437009","MDP0000437009")</f>
        <v>MDP0000437009</v>
      </c>
      <c r="D8694">
        <v>77.44</v>
      </c>
      <c r="E8694">
        <v>133</v>
      </c>
      <c r="F8694">
        <v>30</v>
      </c>
      <c r="G8694">
        <v>0</v>
      </c>
      <c r="H8694">
        <v>1</v>
      </c>
      <c r="I8694">
        <v>133</v>
      </c>
      <c r="J8694">
        <v>1</v>
      </c>
      <c r="K8694">
        <v>1</v>
      </c>
      <c r="L8694">
        <v>133</v>
      </c>
      <c r="M8694">
        <v>1</v>
      </c>
      <c r="N8694">
        <v>2.9657199999999998E-56</v>
      </c>
      <c r="O8694">
        <v>543</v>
      </c>
    </row>
    <row r="8695" spans="1:15" x14ac:dyDescent="0.25">
      <c r="A8695" t="s">
        <v>8708</v>
      </c>
      <c r="B8695">
        <v>232</v>
      </c>
      <c r="C8695" s="1" t="str">
        <f>HYPERLINK("http://www.rosaceae.org/gb/gbrowse/malus_x_domestica/?name=MDP0000178263","MDP0000178263")</f>
        <v>MDP0000178263</v>
      </c>
      <c r="D8695">
        <v>60.77</v>
      </c>
      <c r="E8695">
        <v>232</v>
      </c>
      <c r="F8695">
        <v>91</v>
      </c>
      <c r="G8695">
        <v>21</v>
      </c>
      <c r="H8695">
        <v>1</v>
      </c>
      <c r="I8695">
        <v>232</v>
      </c>
      <c r="J8695">
        <v>1</v>
      </c>
      <c r="K8695">
        <v>1</v>
      </c>
      <c r="L8695">
        <v>211</v>
      </c>
      <c r="M8695">
        <v>1</v>
      </c>
      <c r="N8695">
        <v>7.5206599999999996E-60</v>
      </c>
      <c r="O8695">
        <v>579</v>
      </c>
    </row>
    <row r="8696" spans="1:15" x14ac:dyDescent="0.25">
      <c r="A8696" t="s">
        <v>8709</v>
      </c>
      <c r="B8696">
        <v>392</v>
      </c>
      <c r="C8696" s="1" t="str">
        <f>HYPERLINK("http://www.rosaceae.org/gb/gbrowse/malus_x_domestica/?name=MDP0000126804","MDP0000126804")</f>
        <v>MDP0000126804</v>
      </c>
      <c r="D8696">
        <v>65.53</v>
      </c>
      <c r="E8696">
        <v>383</v>
      </c>
      <c r="F8696">
        <v>132</v>
      </c>
      <c r="G8696">
        <v>4</v>
      </c>
      <c r="H8696">
        <v>12</v>
      </c>
      <c r="I8696">
        <v>392</v>
      </c>
      <c r="J8696">
        <v>1</v>
      </c>
      <c r="K8696">
        <v>5</v>
      </c>
      <c r="L8696">
        <v>385</v>
      </c>
      <c r="M8696">
        <v>1</v>
      </c>
      <c r="N8696">
        <v>1.23945E-145</v>
      </c>
      <c r="O8696">
        <v>1321</v>
      </c>
    </row>
    <row r="8697" spans="1:15" x14ac:dyDescent="0.25">
      <c r="A8697" t="s">
        <v>8710</v>
      </c>
      <c r="B8697">
        <v>726</v>
      </c>
      <c r="C8697" s="1" t="str">
        <f>HYPERLINK("http://www.rosaceae.org/gb/gbrowse/malus_x_domestica/?name=MDP0000218141","MDP0000218141")</f>
        <v>MDP0000218141</v>
      </c>
      <c r="D8697">
        <v>69.760000000000005</v>
      </c>
      <c r="E8697">
        <v>377</v>
      </c>
      <c r="F8697">
        <v>114</v>
      </c>
      <c r="G8697">
        <v>38</v>
      </c>
      <c r="H8697">
        <v>350</v>
      </c>
      <c r="I8697">
        <v>726</v>
      </c>
      <c r="J8697">
        <v>1</v>
      </c>
      <c r="K8697">
        <v>289</v>
      </c>
      <c r="L8697">
        <v>627</v>
      </c>
      <c r="M8697">
        <v>1</v>
      </c>
      <c r="N8697">
        <v>4.5344200000000001E-150</v>
      </c>
      <c r="O8697">
        <v>1362</v>
      </c>
    </row>
    <row r="8698" spans="1:15" x14ac:dyDescent="0.25">
      <c r="A8698" t="s">
        <v>8711</v>
      </c>
      <c r="B8698">
        <v>485</v>
      </c>
      <c r="C8698" s="1" t="str">
        <f>HYPERLINK("http://www.rosaceae.org/gb/gbrowse/malus_x_domestica/?name=MDP0000230447","MDP0000230447")</f>
        <v>MDP0000230447</v>
      </c>
      <c r="D8698">
        <v>77.459999999999994</v>
      </c>
      <c r="E8698">
        <v>142</v>
      </c>
      <c r="F8698">
        <v>32</v>
      </c>
      <c r="G8698">
        <v>20</v>
      </c>
      <c r="H8698">
        <v>1</v>
      </c>
      <c r="I8698">
        <v>122</v>
      </c>
      <c r="J8698">
        <v>1</v>
      </c>
      <c r="K8698">
        <v>1</v>
      </c>
      <c r="L8698">
        <v>142</v>
      </c>
      <c r="M8698">
        <v>1</v>
      </c>
      <c r="N8698">
        <v>2.93049E-58</v>
      </c>
      <c r="O8698">
        <v>569</v>
      </c>
    </row>
    <row r="8699" spans="1:15" x14ac:dyDescent="0.25">
      <c r="A8699" t="s">
        <v>8712</v>
      </c>
      <c r="B8699">
        <v>165</v>
      </c>
      <c r="C8699" s="1" t="str">
        <f>HYPERLINK("http://www.rosaceae.org/gb/gbrowse/malus_x_domestica/?name=MDP0000290738","MDP0000290738")</f>
        <v>MDP0000290738</v>
      </c>
      <c r="D8699">
        <v>75.14</v>
      </c>
      <c r="E8699">
        <v>169</v>
      </c>
      <c r="F8699">
        <v>42</v>
      </c>
      <c r="G8699">
        <v>4</v>
      </c>
      <c r="H8699">
        <v>1</v>
      </c>
      <c r="I8699">
        <v>165</v>
      </c>
      <c r="J8699">
        <v>1</v>
      </c>
      <c r="K8699">
        <v>1</v>
      </c>
      <c r="L8699">
        <v>169</v>
      </c>
      <c r="M8699">
        <v>1</v>
      </c>
      <c r="N8699">
        <v>2.0409700000000001E-69</v>
      </c>
      <c r="O8699">
        <v>659</v>
      </c>
    </row>
    <row r="8700" spans="1:15" x14ac:dyDescent="0.25">
      <c r="A8700" t="s">
        <v>8713</v>
      </c>
      <c r="B8700">
        <v>141</v>
      </c>
      <c r="C8700" s="1" t="str">
        <f>HYPERLINK("http://www.rosaceae.org/gb/gbrowse/malus_x_domestica/?name=MDP0000942998","MDP0000942998")</f>
        <v>MDP0000942998</v>
      </c>
      <c r="D8700">
        <v>93.54</v>
      </c>
      <c r="E8700">
        <v>93</v>
      </c>
      <c r="F8700">
        <v>6</v>
      </c>
      <c r="G8700">
        <v>0</v>
      </c>
      <c r="H8700">
        <v>19</v>
      </c>
      <c r="I8700">
        <v>111</v>
      </c>
      <c r="J8700">
        <v>1</v>
      </c>
      <c r="K8700">
        <v>1</v>
      </c>
      <c r="L8700">
        <v>93</v>
      </c>
      <c r="M8700">
        <v>1</v>
      </c>
      <c r="N8700">
        <v>9.6772500000000005E-48</v>
      </c>
      <c r="O8700">
        <v>471</v>
      </c>
    </row>
    <row r="8701" spans="1:15" x14ac:dyDescent="0.25">
      <c r="A8701" t="s">
        <v>8714</v>
      </c>
      <c r="B8701">
        <v>729</v>
      </c>
      <c r="C8701" s="1" t="str">
        <f>HYPERLINK("http://www.rosaceae.org/gb/gbrowse/malus_x_domestica/?name=MDP0000272048","MDP0000272048")</f>
        <v>MDP0000272048</v>
      </c>
      <c r="D8701">
        <v>79.349999999999994</v>
      </c>
      <c r="E8701">
        <v>654</v>
      </c>
      <c r="F8701">
        <v>135</v>
      </c>
      <c r="G8701">
        <v>3</v>
      </c>
      <c r="H8701">
        <v>79</v>
      </c>
      <c r="I8701">
        <v>729</v>
      </c>
      <c r="J8701">
        <v>1</v>
      </c>
      <c r="K8701">
        <v>517</v>
      </c>
      <c r="L8701">
        <v>1170</v>
      </c>
      <c r="M8701">
        <v>1</v>
      </c>
      <c r="N8701">
        <v>0</v>
      </c>
      <c r="O8701">
        <v>2812</v>
      </c>
    </row>
    <row r="8702" spans="1:15" x14ac:dyDescent="0.25">
      <c r="A8702" t="s">
        <v>8715</v>
      </c>
      <c r="B8702">
        <v>157</v>
      </c>
      <c r="C8702" s="1" t="str">
        <f>HYPERLINK("http://www.rosaceae.org/gb/gbrowse/malus_x_domestica/?name=MDP0000249561","MDP0000249561")</f>
        <v>MDP0000249561</v>
      </c>
      <c r="D8702">
        <v>69.59</v>
      </c>
      <c r="E8702">
        <v>148</v>
      </c>
      <c r="F8702">
        <v>45</v>
      </c>
      <c r="G8702">
        <v>8</v>
      </c>
      <c r="H8702">
        <v>15</v>
      </c>
      <c r="I8702">
        <v>157</v>
      </c>
      <c r="J8702">
        <v>1</v>
      </c>
      <c r="K8702">
        <v>13</v>
      </c>
      <c r="L8702">
        <v>157</v>
      </c>
      <c r="M8702">
        <v>1</v>
      </c>
      <c r="N8702">
        <v>2.5832100000000001E-51</v>
      </c>
      <c r="O8702">
        <v>502</v>
      </c>
    </row>
    <row r="8703" spans="1:15" x14ac:dyDescent="0.25">
      <c r="A8703" t="s">
        <v>8716</v>
      </c>
      <c r="B8703">
        <v>357</v>
      </c>
      <c r="C8703" s="1" t="str">
        <f>HYPERLINK("http://www.rosaceae.org/gb/gbrowse/malus_x_domestica/?name=MDP0000288646","MDP0000288646")</f>
        <v>MDP0000288646</v>
      </c>
      <c r="D8703">
        <v>61.9</v>
      </c>
      <c r="E8703">
        <v>357</v>
      </c>
      <c r="F8703">
        <v>136</v>
      </c>
      <c r="G8703">
        <v>12</v>
      </c>
      <c r="H8703">
        <v>1</v>
      </c>
      <c r="I8703">
        <v>357</v>
      </c>
      <c r="J8703">
        <v>1</v>
      </c>
      <c r="K8703">
        <v>1</v>
      </c>
      <c r="L8703">
        <v>345</v>
      </c>
      <c r="M8703">
        <v>1</v>
      </c>
      <c r="N8703">
        <v>5.2302699999999997E-112</v>
      </c>
      <c r="O8703">
        <v>1031</v>
      </c>
    </row>
    <row r="8704" spans="1:15" x14ac:dyDescent="0.25">
      <c r="A8704" t="s">
        <v>8717</v>
      </c>
      <c r="B8704">
        <v>339</v>
      </c>
      <c r="C8704" s="1" t="str">
        <f>HYPERLINK("http://www.rosaceae.org/gb/gbrowse/malus_x_domestica/?name=MDP0000322755","MDP0000322755")</f>
        <v>MDP0000322755</v>
      </c>
      <c r="D8704">
        <v>80.23</v>
      </c>
      <c r="E8704">
        <v>339</v>
      </c>
      <c r="F8704">
        <v>67</v>
      </c>
      <c r="G8704">
        <v>1</v>
      </c>
      <c r="H8704">
        <v>1</v>
      </c>
      <c r="I8704">
        <v>339</v>
      </c>
      <c r="J8704">
        <v>1</v>
      </c>
      <c r="K8704">
        <v>65</v>
      </c>
      <c r="L8704">
        <v>402</v>
      </c>
      <c r="M8704">
        <v>1</v>
      </c>
      <c r="N8704">
        <v>5.9444000000000003E-162</v>
      </c>
      <c r="O8704">
        <v>1461</v>
      </c>
    </row>
    <row r="8705" spans="1:15" x14ac:dyDescent="0.25">
      <c r="A8705" t="s">
        <v>8718</v>
      </c>
      <c r="B8705">
        <v>671</v>
      </c>
      <c r="C8705" s="1" t="str">
        <f>HYPERLINK("http://www.rosaceae.org/gb/gbrowse/malus_x_domestica/?name=MDP0000247921","MDP0000247921")</f>
        <v>MDP0000247921</v>
      </c>
      <c r="D8705">
        <v>24.65</v>
      </c>
      <c r="E8705">
        <v>365</v>
      </c>
      <c r="F8705">
        <v>275</v>
      </c>
      <c r="G8705">
        <v>63</v>
      </c>
      <c r="H8705">
        <v>365</v>
      </c>
      <c r="I8705">
        <v>666</v>
      </c>
      <c r="J8705">
        <v>1</v>
      </c>
      <c r="K8705">
        <v>645</v>
      </c>
      <c r="L8705">
        <v>1009</v>
      </c>
      <c r="M8705">
        <v>1</v>
      </c>
      <c r="N8705">
        <v>2.0647800000000002E-27</v>
      </c>
      <c r="O8705">
        <v>304</v>
      </c>
    </row>
    <row r="8706" spans="1:15" x14ac:dyDescent="0.25">
      <c r="A8706" t="s">
        <v>8719</v>
      </c>
      <c r="B8706">
        <v>131</v>
      </c>
      <c r="C8706" s="1" t="str">
        <f>HYPERLINK("http://www.rosaceae.org/gb/gbrowse/malus_x_domestica/?name=MDP0000214500","MDP0000214500")</f>
        <v>MDP0000214500</v>
      </c>
      <c r="D8706">
        <v>67.930000000000007</v>
      </c>
      <c r="E8706">
        <v>131</v>
      </c>
      <c r="F8706">
        <v>42</v>
      </c>
      <c r="G8706">
        <v>0</v>
      </c>
      <c r="H8706">
        <v>1</v>
      </c>
      <c r="I8706">
        <v>131</v>
      </c>
      <c r="J8706">
        <v>1</v>
      </c>
      <c r="K8706">
        <v>325</v>
      </c>
      <c r="L8706">
        <v>455</v>
      </c>
      <c r="M8706">
        <v>1</v>
      </c>
      <c r="N8706">
        <v>1.9252099999999999E-50</v>
      </c>
      <c r="O8706">
        <v>493</v>
      </c>
    </row>
    <row r="8707" spans="1:15" x14ac:dyDescent="0.25">
      <c r="A8707" t="s">
        <v>8720</v>
      </c>
      <c r="B8707">
        <v>295</v>
      </c>
      <c r="C8707" s="1" t="str">
        <f>HYPERLINK("http://www.rosaceae.org/gb/gbrowse/malus_x_domestica/?name=MDP0000061263","MDP0000061263")</f>
        <v>MDP0000061263</v>
      </c>
      <c r="D8707">
        <v>66.45</v>
      </c>
      <c r="E8707">
        <v>319</v>
      </c>
      <c r="F8707">
        <v>107</v>
      </c>
      <c r="G8707">
        <v>54</v>
      </c>
      <c r="H8707">
        <v>1</v>
      </c>
      <c r="I8707">
        <v>295</v>
      </c>
      <c r="J8707">
        <v>1</v>
      </c>
      <c r="K8707">
        <v>1</v>
      </c>
      <c r="L8707">
        <v>289</v>
      </c>
      <c r="M8707">
        <v>1</v>
      </c>
      <c r="N8707">
        <v>3.0988600000000002E-113</v>
      </c>
      <c r="O8707">
        <v>1040</v>
      </c>
    </row>
    <row r="8708" spans="1:15" x14ac:dyDescent="0.25">
      <c r="A8708" t="s">
        <v>8721</v>
      </c>
      <c r="B8708">
        <v>269</v>
      </c>
      <c r="C8708" s="1" t="str">
        <f>HYPERLINK("http://www.rosaceae.org/gb/gbrowse/malus_x_domestica/?name=MDP0000288728","MDP0000288728")</f>
        <v>MDP0000288728</v>
      </c>
      <c r="D8708">
        <v>63.2</v>
      </c>
      <c r="E8708">
        <v>231</v>
      </c>
      <c r="F8708">
        <v>85</v>
      </c>
      <c r="G8708">
        <v>18</v>
      </c>
      <c r="H8708">
        <v>46</v>
      </c>
      <c r="I8708">
        <v>263</v>
      </c>
      <c r="J8708">
        <v>1</v>
      </c>
      <c r="K8708">
        <v>38</v>
      </c>
      <c r="L8708">
        <v>263</v>
      </c>
      <c r="M8708">
        <v>1</v>
      </c>
      <c r="N8708">
        <v>5.3737000000000001E-77</v>
      </c>
      <c r="O8708">
        <v>727</v>
      </c>
    </row>
    <row r="8709" spans="1:15" x14ac:dyDescent="0.25">
      <c r="A8709" t="s">
        <v>8722</v>
      </c>
      <c r="B8709">
        <v>695</v>
      </c>
      <c r="C8709" s="1" t="str">
        <f>HYPERLINK("http://www.rosaceae.org/gb/gbrowse/malus_x_domestica/?name=MDP0000132521","MDP0000132521")</f>
        <v>MDP0000132521</v>
      </c>
      <c r="D8709">
        <v>83.33</v>
      </c>
      <c r="E8709">
        <v>282</v>
      </c>
      <c r="F8709">
        <v>47</v>
      </c>
      <c r="G8709">
        <v>1</v>
      </c>
      <c r="H8709">
        <v>415</v>
      </c>
      <c r="I8709">
        <v>695</v>
      </c>
      <c r="J8709">
        <v>1</v>
      </c>
      <c r="K8709">
        <v>359</v>
      </c>
      <c r="L8709">
        <v>640</v>
      </c>
      <c r="M8709">
        <v>1</v>
      </c>
      <c r="N8709">
        <v>4.4922700000000001E-138</v>
      </c>
      <c r="O8709">
        <v>1259</v>
      </c>
    </row>
    <row r="8710" spans="1:15" x14ac:dyDescent="0.25">
      <c r="A8710" t="s">
        <v>8723</v>
      </c>
      <c r="B8710">
        <v>960</v>
      </c>
      <c r="C8710" s="1" t="str">
        <f>HYPERLINK("http://www.rosaceae.org/gb/gbrowse/malus_x_domestica/?name=MDP0000263977","MDP0000263977")</f>
        <v>MDP0000263977</v>
      </c>
      <c r="D8710">
        <v>68.7</v>
      </c>
      <c r="E8710">
        <v>377</v>
      </c>
      <c r="F8710">
        <v>118</v>
      </c>
      <c r="G8710">
        <v>1</v>
      </c>
      <c r="H8710">
        <v>580</v>
      </c>
      <c r="I8710">
        <v>955</v>
      </c>
      <c r="J8710">
        <v>1</v>
      </c>
      <c r="K8710">
        <v>2</v>
      </c>
      <c r="L8710">
        <v>378</v>
      </c>
      <c r="M8710">
        <v>1</v>
      </c>
      <c r="N8710">
        <v>9.2182100000000003E-133</v>
      </c>
      <c r="O8710">
        <v>1214</v>
      </c>
    </row>
    <row r="8711" spans="1:15" x14ac:dyDescent="0.25">
      <c r="A8711" t="s">
        <v>8724</v>
      </c>
      <c r="B8711">
        <v>380</v>
      </c>
      <c r="C8711" s="1" t="str">
        <f>HYPERLINK("http://www.rosaceae.org/gb/gbrowse/malus_x_domestica/?name=MDP0000288968","MDP0000288968")</f>
        <v>MDP0000288968</v>
      </c>
      <c r="D8711">
        <v>69.09</v>
      </c>
      <c r="E8711">
        <v>385</v>
      </c>
      <c r="F8711">
        <v>119</v>
      </c>
      <c r="G8711">
        <v>5</v>
      </c>
      <c r="H8711">
        <v>1</v>
      </c>
      <c r="I8711">
        <v>380</v>
      </c>
      <c r="J8711">
        <v>1</v>
      </c>
      <c r="K8711">
        <v>846</v>
      </c>
      <c r="L8711">
        <v>1230</v>
      </c>
      <c r="M8711">
        <v>1</v>
      </c>
      <c r="N8711">
        <v>1.5881E-150</v>
      </c>
      <c r="O8711">
        <v>1363</v>
      </c>
    </row>
    <row r="8712" spans="1:15" x14ac:dyDescent="0.25">
      <c r="A8712" t="s">
        <v>8725</v>
      </c>
      <c r="B8712">
        <v>228</v>
      </c>
      <c r="C8712" s="1" t="str">
        <f>HYPERLINK("http://www.rosaceae.org/gb/gbrowse/malus_x_domestica/?name=MDP0000219819","MDP0000219819")</f>
        <v>MDP0000219819</v>
      </c>
      <c r="D8712">
        <v>73.209999999999994</v>
      </c>
      <c r="E8712">
        <v>112</v>
      </c>
      <c r="F8712">
        <v>30</v>
      </c>
      <c r="G8712">
        <v>2</v>
      </c>
      <c r="H8712">
        <v>114</v>
      </c>
      <c r="I8712">
        <v>223</v>
      </c>
      <c r="J8712">
        <v>1</v>
      </c>
      <c r="K8712">
        <v>74</v>
      </c>
      <c r="L8712">
        <v>185</v>
      </c>
      <c r="M8712">
        <v>1</v>
      </c>
      <c r="N8712">
        <v>2.5819699999999998E-44</v>
      </c>
      <c r="O8712">
        <v>445</v>
      </c>
    </row>
    <row r="8713" spans="1:15" x14ac:dyDescent="0.25">
      <c r="A8713" t="s">
        <v>8726</v>
      </c>
      <c r="B8713">
        <v>370</v>
      </c>
      <c r="C8713" s="1" t="str">
        <f>HYPERLINK("http://www.rosaceae.org/gb/gbrowse/malus_x_domestica/?name=MDP0000933387","MDP0000933387")</f>
        <v>MDP0000933387</v>
      </c>
      <c r="D8713">
        <v>43.63</v>
      </c>
      <c r="E8713">
        <v>330</v>
      </c>
      <c r="F8713">
        <v>186</v>
      </c>
      <c r="G8713">
        <v>22</v>
      </c>
      <c r="H8713">
        <v>2</v>
      </c>
      <c r="I8713">
        <v>317</v>
      </c>
      <c r="J8713">
        <v>1</v>
      </c>
      <c r="K8713">
        <v>10</v>
      </c>
      <c r="L8713">
        <v>331</v>
      </c>
      <c r="M8713">
        <v>1</v>
      </c>
      <c r="N8713">
        <v>5.9517800000000001E-70</v>
      </c>
      <c r="O8713">
        <v>668</v>
      </c>
    </row>
    <row r="8714" spans="1:15" x14ac:dyDescent="0.25">
      <c r="A8714" t="s">
        <v>8727</v>
      </c>
      <c r="B8714">
        <v>447</v>
      </c>
      <c r="C8714" s="1" t="str">
        <f>HYPERLINK("http://www.rosaceae.org/gb/gbrowse/malus_x_domestica/?name=MDP0000390631","MDP0000390631")</f>
        <v>MDP0000390631</v>
      </c>
      <c r="D8714">
        <v>63.81</v>
      </c>
      <c r="E8714">
        <v>456</v>
      </c>
      <c r="F8714">
        <v>165</v>
      </c>
      <c r="G8714">
        <v>35</v>
      </c>
      <c r="H8714">
        <v>1</v>
      </c>
      <c r="I8714">
        <v>447</v>
      </c>
      <c r="J8714">
        <v>1</v>
      </c>
      <c r="K8714">
        <v>1</v>
      </c>
      <c r="L8714">
        <v>430</v>
      </c>
      <c r="M8714">
        <v>1</v>
      </c>
      <c r="N8714">
        <v>4.4119400000000002E-152</v>
      </c>
      <c r="O8714">
        <v>1377</v>
      </c>
    </row>
    <row r="8715" spans="1:15" x14ac:dyDescent="0.25">
      <c r="A8715" t="s">
        <v>8728</v>
      </c>
      <c r="B8715">
        <v>373</v>
      </c>
      <c r="C8715" s="1" t="str">
        <f>HYPERLINK("http://www.rosaceae.org/gb/gbrowse/malus_x_domestica/?name=MDP0000239505","MDP0000239505")</f>
        <v>MDP0000239505</v>
      </c>
      <c r="D8715">
        <v>80.59</v>
      </c>
      <c r="E8715">
        <v>371</v>
      </c>
      <c r="F8715">
        <v>72</v>
      </c>
      <c r="G8715">
        <v>0</v>
      </c>
      <c r="H8715">
        <v>3</v>
      </c>
      <c r="I8715">
        <v>373</v>
      </c>
      <c r="J8715">
        <v>1</v>
      </c>
      <c r="K8715">
        <v>629</v>
      </c>
      <c r="L8715">
        <v>999</v>
      </c>
      <c r="M8715">
        <v>1</v>
      </c>
      <c r="N8715">
        <v>3.2019400000000001E-175</v>
      </c>
      <c r="O8715">
        <v>1576</v>
      </c>
    </row>
    <row r="8716" spans="1:15" x14ac:dyDescent="0.25">
      <c r="A8716" t="s">
        <v>8729</v>
      </c>
      <c r="B8716">
        <v>2309</v>
      </c>
      <c r="C8716" s="1" t="str">
        <f>HYPERLINK("http://www.rosaceae.org/gb/gbrowse/malus_x_domestica/?name=MDP0000201011","MDP0000201011")</f>
        <v>MDP0000201011</v>
      </c>
      <c r="D8716">
        <v>81.709999999999994</v>
      </c>
      <c r="E8716">
        <v>2313</v>
      </c>
      <c r="F8716">
        <v>423</v>
      </c>
      <c r="G8716">
        <v>6</v>
      </c>
      <c r="H8716">
        <v>1</v>
      </c>
      <c r="I8716">
        <v>2309</v>
      </c>
      <c r="J8716">
        <v>1</v>
      </c>
      <c r="K8716">
        <v>1</v>
      </c>
      <c r="L8716">
        <v>2311</v>
      </c>
      <c r="M8716">
        <v>1</v>
      </c>
      <c r="N8716">
        <v>0</v>
      </c>
      <c r="O8716">
        <v>10234</v>
      </c>
    </row>
    <row r="8717" spans="1:15" x14ac:dyDescent="0.25">
      <c r="A8717" t="s">
        <v>8730</v>
      </c>
      <c r="B8717">
        <v>172</v>
      </c>
      <c r="C8717" s="1" t="str">
        <f>HYPERLINK("http://www.rosaceae.org/gb/gbrowse/malus_x_domestica/?name=MDP0000641167","MDP0000641167")</f>
        <v>MDP0000641167</v>
      </c>
      <c r="D8717">
        <v>54.72</v>
      </c>
      <c r="E8717">
        <v>148</v>
      </c>
      <c r="F8717">
        <v>67</v>
      </c>
      <c r="G8717">
        <v>14</v>
      </c>
      <c r="H8717">
        <v>28</v>
      </c>
      <c r="I8717">
        <v>163</v>
      </c>
      <c r="J8717">
        <v>1</v>
      </c>
      <c r="K8717">
        <v>29</v>
      </c>
      <c r="L8717">
        <v>174</v>
      </c>
      <c r="M8717">
        <v>1</v>
      </c>
      <c r="N8717">
        <v>1.43269E-40</v>
      </c>
      <c r="O8717">
        <v>410</v>
      </c>
    </row>
    <row r="8718" spans="1:15" x14ac:dyDescent="0.25">
      <c r="A8718" t="s">
        <v>8731</v>
      </c>
      <c r="B8718">
        <v>518</v>
      </c>
      <c r="C8718" s="1" t="str">
        <f>HYPERLINK("http://www.rosaceae.org/gb/gbrowse/malus_x_domestica/?name=MDP0000320566","MDP0000320566")</f>
        <v>MDP0000320566</v>
      </c>
      <c r="D8718">
        <v>81.3</v>
      </c>
      <c r="E8718">
        <v>460</v>
      </c>
      <c r="F8718">
        <v>86</v>
      </c>
      <c r="G8718">
        <v>0</v>
      </c>
      <c r="H8718">
        <v>47</v>
      </c>
      <c r="I8718">
        <v>506</v>
      </c>
      <c r="J8718">
        <v>1</v>
      </c>
      <c r="K8718">
        <v>1</v>
      </c>
      <c r="L8718">
        <v>460</v>
      </c>
      <c r="M8718">
        <v>1</v>
      </c>
      <c r="N8718">
        <v>0</v>
      </c>
      <c r="O8718">
        <v>2014</v>
      </c>
    </row>
    <row r="8719" spans="1:15" x14ac:dyDescent="0.25">
      <c r="A8719" t="s">
        <v>8732</v>
      </c>
      <c r="B8719">
        <v>227</v>
      </c>
      <c r="C8719" s="1" t="str">
        <f>HYPERLINK("http://www.rosaceae.org/gb/gbrowse/malus_x_domestica/?name=MDP0000319114","MDP0000319114")</f>
        <v>MDP0000319114</v>
      </c>
      <c r="D8719">
        <v>77.64</v>
      </c>
      <c r="E8719">
        <v>85</v>
      </c>
      <c r="F8719">
        <v>19</v>
      </c>
      <c r="G8719">
        <v>2</v>
      </c>
      <c r="H8719">
        <v>1</v>
      </c>
      <c r="I8719">
        <v>85</v>
      </c>
      <c r="J8719">
        <v>1</v>
      </c>
      <c r="K8719">
        <v>123</v>
      </c>
      <c r="L8719">
        <v>205</v>
      </c>
      <c r="M8719">
        <v>1</v>
      </c>
      <c r="N8719">
        <v>1.44594E-31</v>
      </c>
      <c r="O8719">
        <v>335</v>
      </c>
    </row>
    <row r="8720" spans="1:15" x14ac:dyDescent="0.25">
      <c r="A8720" t="s">
        <v>8733</v>
      </c>
      <c r="B8720">
        <v>1461</v>
      </c>
      <c r="C8720" s="1" t="str">
        <f>HYPERLINK("http://www.rosaceae.org/gb/gbrowse/malus_x_domestica/?name=MDP0000119954","MDP0000119954")</f>
        <v>MDP0000119954</v>
      </c>
      <c r="D8720">
        <v>79.05</v>
      </c>
      <c r="E8720">
        <v>783</v>
      </c>
      <c r="F8720">
        <v>164</v>
      </c>
      <c r="G8720">
        <v>8</v>
      </c>
      <c r="H8720">
        <v>41</v>
      </c>
      <c r="I8720">
        <v>820</v>
      </c>
      <c r="J8720">
        <v>1</v>
      </c>
      <c r="K8720">
        <v>13</v>
      </c>
      <c r="L8720">
        <v>790</v>
      </c>
      <c r="M8720">
        <v>1</v>
      </c>
      <c r="N8720">
        <v>0</v>
      </c>
      <c r="O8720">
        <v>3346</v>
      </c>
    </row>
    <row r="8721" spans="1:15" x14ac:dyDescent="0.25">
      <c r="A8721" t="s">
        <v>8734</v>
      </c>
      <c r="B8721">
        <v>404</v>
      </c>
      <c r="C8721" s="1" t="str">
        <f>HYPERLINK("http://www.rosaceae.org/gb/gbrowse/malus_x_domestica/?name=MDP0000236145","MDP0000236145")</f>
        <v>MDP0000236145</v>
      </c>
      <c r="D8721">
        <v>65.19</v>
      </c>
      <c r="E8721">
        <v>408</v>
      </c>
      <c r="F8721">
        <v>142</v>
      </c>
      <c r="G8721">
        <v>12</v>
      </c>
      <c r="H8721">
        <v>8</v>
      </c>
      <c r="I8721">
        <v>404</v>
      </c>
      <c r="J8721">
        <v>1</v>
      </c>
      <c r="K8721">
        <v>13</v>
      </c>
      <c r="L8721">
        <v>419</v>
      </c>
      <c r="M8721">
        <v>1</v>
      </c>
      <c r="N8721">
        <v>1.00425E-153</v>
      </c>
      <c r="O8721">
        <v>1391</v>
      </c>
    </row>
    <row r="8722" spans="1:15" x14ac:dyDescent="0.25">
      <c r="A8722" t="s">
        <v>8735</v>
      </c>
      <c r="B8722">
        <v>362</v>
      </c>
      <c r="C8722" s="1" t="str">
        <f>HYPERLINK("http://www.rosaceae.org/gb/gbrowse/malus_x_domestica/?name=MDP0000480599","MDP0000480599")</f>
        <v>MDP0000480599</v>
      </c>
      <c r="D8722">
        <v>32.14</v>
      </c>
      <c r="E8722">
        <v>168</v>
      </c>
      <c r="F8722">
        <v>114</v>
      </c>
      <c r="G8722">
        <v>0</v>
      </c>
      <c r="H8722">
        <v>191</v>
      </c>
      <c r="I8722">
        <v>358</v>
      </c>
      <c r="J8722">
        <v>1</v>
      </c>
      <c r="K8722">
        <v>257</v>
      </c>
      <c r="L8722">
        <v>424</v>
      </c>
      <c r="M8722">
        <v>1</v>
      </c>
      <c r="N8722">
        <v>2.17104E-18</v>
      </c>
      <c r="O8722">
        <v>224</v>
      </c>
    </row>
    <row r="8723" spans="1:15" x14ac:dyDescent="0.25">
      <c r="A8723" t="s">
        <v>8736</v>
      </c>
      <c r="B8723">
        <v>110</v>
      </c>
      <c r="C8723" s="1" t="str">
        <f>HYPERLINK("http://www.rosaceae.org/gb/gbrowse/malus_x_domestica/?name=MDP0000874044","MDP0000874044")</f>
        <v>MDP0000874044</v>
      </c>
      <c r="D8723">
        <v>62.6</v>
      </c>
      <c r="E8723">
        <v>115</v>
      </c>
      <c r="F8723">
        <v>43</v>
      </c>
      <c r="G8723">
        <v>14</v>
      </c>
      <c r="H8723">
        <v>1</v>
      </c>
      <c r="I8723">
        <v>101</v>
      </c>
      <c r="J8723">
        <v>1</v>
      </c>
      <c r="K8723">
        <v>1</v>
      </c>
      <c r="L8723">
        <v>115</v>
      </c>
      <c r="M8723">
        <v>1</v>
      </c>
      <c r="N8723">
        <v>1.3524799999999999E-28</v>
      </c>
      <c r="O8723">
        <v>304</v>
      </c>
    </row>
    <row r="8724" spans="1:15" x14ac:dyDescent="0.25">
      <c r="A8724" t="s">
        <v>8737</v>
      </c>
      <c r="B8724">
        <v>449</v>
      </c>
      <c r="C8724" s="1" t="str">
        <f>HYPERLINK("http://www.rosaceae.org/gb/gbrowse/malus_x_domestica/?name=MDP0000153031","MDP0000153031")</f>
        <v>MDP0000153031</v>
      </c>
      <c r="D8724">
        <v>71.459999999999994</v>
      </c>
      <c r="E8724">
        <v>410</v>
      </c>
      <c r="F8724">
        <v>117</v>
      </c>
      <c r="G8724">
        <v>28</v>
      </c>
      <c r="H8724">
        <v>36</v>
      </c>
      <c r="I8724">
        <v>417</v>
      </c>
      <c r="J8724">
        <v>1</v>
      </c>
      <c r="K8724">
        <v>38</v>
      </c>
      <c r="L8724">
        <v>447</v>
      </c>
      <c r="M8724">
        <v>1</v>
      </c>
      <c r="N8724">
        <v>2.3456800000000001E-164</v>
      </c>
      <c r="O8724">
        <v>1483</v>
      </c>
    </row>
    <row r="8725" spans="1:15" x14ac:dyDescent="0.25">
      <c r="A8725" t="s">
        <v>8738</v>
      </c>
      <c r="B8725">
        <v>443</v>
      </c>
      <c r="C8725" s="1" t="str">
        <f>HYPERLINK("http://www.rosaceae.org/gb/gbrowse/malus_x_domestica/?name=MDP0000308779","MDP0000308779")</f>
        <v>MDP0000308779</v>
      </c>
      <c r="D8725">
        <v>85.87</v>
      </c>
      <c r="E8725">
        <v>354</v>
      </c>
      <c r="F8725">
        <v>50</v>
      </c>
      <c r="G8725">
        <v>18</v>
      </c>
      <c r="H8725">
        <v>108</v>
      </c>
      <c r="I8725">
        <v>443</v>
      </c>
      <c r="J8725">
        <v>1</v>
      </c>
      <c r="K8725">
        <v>44</v>
      </c>
      <c r="L8725">
        <v>397</v>
      </c>
      <c r="M8725">
        <v>1</v>
      </c>
      <c r="N8725">
        <v>0</v>
      </c>
      <c r="O8725">
        <v>1650</v>
      </c>
    </row>
    <row r="8726" spans="1:15" x14ac:dyDescent="0.25">
      <c r="A8726" t="s">
        <v>8739</v>
      </c>
      <c r="B8726">
        <v>806</v>
      </c>
      <c r="C8726" s="1" t="str">
        <f>HYPERLINK("http://www.rosaceae.org/gb/gbrowse/malus_x_domestica/?name=MDP0000530306","MDP0000530306")</f>
        <v>MDP0000530306</v>
      </c>
      <c r="D8726">
        <v>82.35</v>
      </c>
      <c r="E8726">
        <v>51</v>
      </c>
      <c r="F8726">
        <v>9</v>
      </c>
      <c r="G8726">
        <v>0</v>
      </c>
      <c r="H8726">
        <v>676</v>
      </c>
      <c r="I8726">
        <v>726</v>
      </c>
      <c r="J8726">
        <v>1</v>
      </c>
      <c r="K8726">
        <v>57</v>
      </c>
      <c r="L8726">
        <v>107</v>
      </c>
      <c r="M8726">
        <v>1</v>
      </c>
      <c r="N8726">
        <v>2.4786199999999999E-18</v>
      </c>
      <c r="O8726">
        <v>227</v>
      </c>
    </row>
    <row r="8727" spans="1:15" x14ac:dyDescent="0.25">
      <c r="A8727" t="s">
        <v>8740</v>
      </c>
      <c r="B8727">
        <v>91</v>
      </c>
      <c r="C8727" s="1" t="str">
        <f>HYPERLINK("http://www.rosaceae.org/gb/gbrowse/malus_x_domestica/?name=MDP0000255442","MDP0000255442")</f>
        <v>MDP0000255442</v>
      </c>
      <c r="D8727">
        <v>45.45</v>
      </c>
      <c r="E8727">
        <v>88</v>
      </c>
      <c r="F8727">
        <v>48</v>
      </c>
      <c r="G8727">
        <v>20</v>
      </c>
      <c r="H8727">
        <v>5</v>
      </c>
      <c r="I8727">
        <v>72</v>
      </c>
      <c r="J8727">
        <v>1</v>
      </c>
      <c r="K8727">
        <v>2</v>
      </c>
      <c r="L8727">
        <v>89</v>
      </c>
      <c r="M8727">
        <v>1</v>
      </c>
      <c r="N8727">
        <v>2.5207800000000001E-16</v>
      </c>
      <c r="O8727">
        <v>198</v>
      </c>
    </row>
    <row r="8728" spans="1:15" x14ac:dyDescent="0.25">
      <c r="A8728" t="s">
        <v>8741</v>
      </c>
      <c r="B8728">
        <v>930</v>
      </c>
      <c r="C8728" s="1" t="str">
        <f>HYPERLINK("http://www.rosaceae.org/gb/gbrowse/malus_x_domestica/?name=MDP0000153951","MDP0000153951")</f>
        <v>MDP0000153951</v>
      </c>
      <c r="D8728">
        <v>79.900000000000006</v>
      </c>
      <c r="E8728">
        <v>806</v>
      </c>
      <c r="F8728">
        <v>162</v>
      </c>
      <c r="G8728">
        <v>12</v>
      </c>
      <c r="H8728">
        <v>125</v>
      </c>
      <c r="I8728">
        <v>918</v>
      </c>
      <c r="J8728">
        <v>1</v>
      </c>
      <c r="K8728">
        <v>7</v>
      </c>
      <c r="L8728">
        <v>812</v>
      </c>
      <c r="M8728">
        <v>1</v>
      </c>
      <c r="N8728">
        <v>0</v>
      </c>
      <c r="O8728">
        <v>3465</v>
      </c>
    </row>
    <row r="8729" spans="1:15" x14ac:dyDescent="0.25">
      <c r="A8729" t="s">
        <v>8742</v>
      </c>
      <c r="B8729">
        <v>288</v>
      </c>
      <c r="C8729" s="1" t="str">
        <f>HYPERLINK("http://www.rosaceae.org/gb/gbrowse/malus_x_domestica/?name=MDP0000251733","MDP0000251733")</f>
        <v>MDP0000251733</v>
      </c>
      <c r="D8729">
        <v>45.09</v>
      </c>
      <c r="E8729">
        <v>51</v>
      </c>
      <c r="F8729">
        <v>28</v>
      </c>
      <c r="G8729">
        <v>0</v>
      </c>
      <c r="H8729">
        <v>197</v>
      </c>
      <c r="I8729">
        <v>247</v>
      </c>
      <c r="J8729">
        <v>1</v>
      </c>
      <c r="K8729">
        <v>35</v>
      </c>
      <c r="L8729">
        <v>85</v>
      </c>
      <c r="M8729">
        <v>1</v>
      </c>
      <c r="N8729">
        <v>1.7760600000000001E-8</v>
      </c>
      <c r="O8729">
        <v>137</v>
      </c>
    </row>
    <row r="8730" spans="1:15" x14ac:dyDescent="0.25">
      <c r="A8730" t="s">
        <v>8743</v>
      </c>
      <c r="B8730">
        <v>223</v>
      </c>
      <c r="C8730" s="1" t="str">
        <f>HYPERLINK("http://www.rosaceae.org/gb/gbrowse/malus_x_domestica/?name=MDP0000782166","MDP0000782166")</f>
        <v>MDP0000782166</v>
      </c>
      <c r="D8730">
        <v>36.090000000000003</v>
      </c>
      <c r="E8730">
        <v>205</v>
      </c>
      <c r="F8730">
        <v>131</v>
      </c>
      <c r="G8730">
        <v>27</v>
      </c>
      <c r="H8730">
        <v>7</v>
      </c>
      <c r="I8730">
        <v>187</v>
      </c>
      <c r="J8730">
        <v>1</v>
      </c>
      <c r="K8730">
        <v>5</v>
      </c>
      <c r="L8730">
        <v>206</v>
      </c>
      <c r="M8730">
        <v>1</v>
      </c>
      <c r="N8730">
        <v>2.3163399999999999E-22</v>
      </c>
      <c r="O8730">
        <v>255</v>
      </c>
    </row>
    <row r="8731" spans="1:15" x14ac:dyDescent="0.25">
      <c r="A8731" t="s">
        <v>8744</v>
      </c>
      <c r="B8731">
        <v>332</v>
      </c>
      <c r="C8731" s="1" t="str">
        <f>HYPERLINK("http://www.rosaceae.org/gb/gbrowse/malus_x_domestica/?name=MDP0000902642","MDP0000902642")</f>
        <v>MDP0000902642</v>
      </c>
      <c r="D8731">
        <v>59.66</v>
      </c>
      <c r="E8731">
        <v>295</v>
      </c>
      <c r="F8731">
        <v>119</v>
      </c>
      <c r="G8731">
        <v>6</v>
      </c>
      <c r="H8731">
        <v>16</v>
      </c>
      <c r="I8731">
        <v>306</v>
      </c>
      <c r="J8731">
        <v>1</v>
      </c>
      <c r="K8731">
        <v>16</v>
      </c>
      <c r="L8731">
        <v>308</v>
      </c>
      <c r="M8731">
        <v>1</v>
      </c>
      <c r="N8731">
        <v>1.1848699999999999E-95</v>
      </c>
      <c r="O8731">
        <v>889</v>
      </c>
    </row>
    <row r="8732" spans="1:15" x14ac:dyDescent="0.25">
      <c r="A8732" t="s">
        <v>8745</v>
      </c>
      <c r="B8732">
        <v>177</v>
      </c>
      <c r="C8732" s="1" t="str">
        <f>HYPERLINK("http://www.rosaceae.org/gb/gbrowse/malus_x_domestica/?name=MDP0000257423","MDP0000257423")</f>
        <v>MDP0000257423</v>
      </c>
      <c r="D8732">
        <v>56.75</v>
      </c>
      <c r="E8732">
        <v>185</v>
      </c>
      <c r="F8732">
        <v>80</v>
      </c>
      <c r="G8732">
        <v>17</v>
      </c>
      <c r="H8732">
        <v>1</v>
      </c>
      <c r="I8732">
        <v>176</v>
      </c>
      <c r="J8732">
        <v>1</v>
      </c>
      <c r="K8732">
        <v>45</v>
      </c>
      <c r="L8732">
        <v>221</v>
      </c>
      <c r="M8732">
        <v>1</v>
      </c>
      <c r="N8732">
        <v>1.14853E-46</v>
      </c>
      <c r="O8732">
        <v>463</v>
      </c>
    </row>
    <row r="8733" spans="1:15" x14ac:dyDescent="0.25">
      <c r="A8733" t="s">
        <v>8746</v>
      </c>
      <c r="B8733">
        <v>336</v>
      </c>
      <c r="C8733" s="1" t="str">
        <f>HYPERLINK("http://www.rosaceae.org/gb/gbrowse/malus_x_domestica/?name=MDP0000535058","MDP0000535058")</f>
        <v>MDP0000535058</v>
      </c>
      <c r="D8733">
        <v>50.66</v>
      </c>
      <c r="E8733">
        <v>75</v>
      </c>
      <c r="F8733">
        <v>37</v>
      </c>
      <c r="G8733">
        <v>0</v>
      </c>
      <c r="H8733">
        <v>1</v>
      </c>
      <c r="I8733">
        <v>75</v>
      </c>
      <c r="J8733">
        <v>1</v>
      </c>
      <c r="K8733">
        <v>480</v>
      </c>
      <c r="L8733">
        <v>554</v>
      </c>
      <c r="M8733">
        <v>1</v>
      </c>
      <c r="N8733">
        <v>1.1532700000000001E-18</v>
      </c>
      <c r="O8733">
        <v>226</v>
      </c>
    </row>
    <row r="8734" spans="1:15" x14ac:dyDescent="0.25">
      <c r="A8734" t="s">
        <v>8747</v>
      </c>
      <c r="B8734">
        <v>601</v>
      </c>
      <c r="C8734" s="1" t="str">
        <f>HYPERLINK("http://www.rosaceae.org/gb/gbrowse/malus_x_domestica/?name=MDP0000795821","MDP0000795821")</f>
        <v>MDP0000795821</v>
      </c>
      <c r="D8734">
        <v>74.569999999999993</v>
      </c>
      <c r="E8734">
        <v>582</v>
      </c>
      <c r="F8734">
        <v>148</v>
      </c>
      <c r="G8734">
        <v>1</v>
      </c>
      <c r="H8734">
        <v>18</v>
      </c>
      <c r="I8734">
        <v>598</v>
      </c>
      <c r="J8734">
        <v>1</v>
      </c>
      <c r="K8734">
        <v>20</v>
      </c>
      <c r="L8734">
        <v>601</v>
      </c>
      <c r="M8734">
        <v>1</v>
      </c>
      <c r="N8734">
        <v>0</v>
      </c>
      <c r="O8734">
        <v>2317</v>
      </c>
    </row>
    <row r="8735" spans="1:15" x14ac:dyDescent="0.25">
      <c r="A8735" t="s">
        <v>8748</v>
      </c>
      <c r="B8735">
        <v>277</v>
      </c>
      <c r="C8735" s="1" t="str">
        <f>HYPERLINK("http://www.rosaceae.org/gb/gbrowse/malus_x_domestica/?name=MDP0000186323","MDP0000186323")</f>
        <v>MDP0000186323</v>
      </c>
      <c r="D8735">
        <v>72.3</v>
      </c>
      <c r="E8735">
        <v>65</v>
      </c>
      <c r="F8735">
        <v>18</v>
      </c>
      <c r="G8735">
        <v>3</v>
      </c>
      <c r="H8735">
        <v>50</v>
      </c>
      <c r="I8735">
        <v>114</v>
      </c>
      <c r="J8735">
        <v>1</v>
      </c>
      <c r="K8735">
        <v>1</v>
      </c>
      <c r="L8735">
        <v>62</v>
      </c>
      <c r="M8735">
        <v>1</v>
      </c>
      <c r="N8735">
        <v>1.7806900000000001E-19</v>
      </c>
      <c r="O8735">
        <v>231</v>
      </c>
    </row>
    <row r="8736" spans="1:15" x14ac:dyDescent="0.25">
      <c r="A8736" t="s">
        <v>8749</v>
      </c>
      <c r="B8736">
        <v>162</v>
      </c>
      <c r="C8736" s="1" t="str">
        <f>HYPERLINK("http://www.rosaceae.org/gb/gbrowse/malus_x_domestica/?name=MDP0000316658","MDP0000316658")</f>
        <v>MDP0000316658</v>
      </c>
      <c r="D8736">
        <v>49.36</v>
      </c>
      <c r="E8736">
        <v>79</v>
      </c>
      <c r="F8736">
        <v>40</v>
      </c>
      <c r="G8736">
        <v>0</v>
      </c>
      <c r="H8736">
        <v>12</v>
      </c>
      <c r="I8736">
        <v>90</v>
      </c>
      <c r="J8736">
        <v>1</v>
      </c>
      <c r="K8736">
        <v>12</v>
      </c>
      <c r="L8736">
        <v>90</v>
      </c>
      <c r="M8736">
        <v>1</v>
      </c>
      <c r="N8736">
        <v>9.3713600000000003E-18</v>
      </c>
      <c r="O8736">
        <v>213</v>
      </c>
    </row>
    <row r="8737" spans="1:15" x14ac:dyDescent="0.25">
      <c r="A8737" t="s">
        <v>8750</v>
      </c>
      <c r="B8737">
        <v>704</v>
      </c>
      <c r="C8737" s="1" t="str">
        <f>HYPERLINK("http://www.rosaceae.org/gb/gbrowse/malus_x_domestica/?name=MDP0000195139","MDP0000195139")</f>
        <v>MDP0000195139</v>
      </c>
      <c r="D8737">
        <v>41.38</v>
      </c>
      <c r="E8737">
        <v>389</v>
      </c>
      <c r="F8737">
        <v>228</v>
      </c>
      <c r="G8737">
        <v>14</v>
      </c>
      <c r="H8737">
        <v>157</v>
      </c>
      <c r="I8737">
        <v>534</v>
      </c>
      <c r="J8737">
        <v>1</v>
      </c>
      <c r="K8737">
        <v>565</v>
      </c>
      <c r="L8737">
        <v>950</v>
      </c>
      <c r="M8737">
        <v>1</v>
      </c>
      <c r="N8737">
        <v>2.56521E-61</v>
      </c>
      <c r="O8737">
        <v>597</v>
      </c>
    </row>
    <row r="8738" spans="1:15" x14ac:dyDescent="0.25">
      <c r="A8738" t="s">
        <v>8751</v>
      </c>
      <c r="B8738">
        <v>665</v>
      </c>
      <c r="C8738" s="1" t="str">
        <f>HYPERLINK("http://www.rosaceae.org/gb/gbrowse/malus_x_domestica/?name=MDP0000900345","MDP0000900345")</f>
        <v>MDP0000900345</v>
      </c>
      <c r="D8738">
        <v>68.150000000000006</v>
      </c>
      <c r="E8738">
        <v>515</v>
      </c>
      <c r="F8738">
        <v>164</v>
      </c>
      <c r="G8738">
        <v>42</v>
      </c>
      <c r="H8738">
        <v>4</v>
      </c>
      <c r="I8738">
        <v>517</v>
      </c>
      <c r="J8738">
        <v>1</v>
      </c>
      <c r="K8738">
        <v>5</v>
      </c>
      <c r="L8738">
        <v>478</v>
      </c>
      <c r="M8738">
        <v>1</v>
      </c>
      <c r="N8738">
        <v>0</v>
      </c>
      <c r="O8738">
        <v>1727</v>
      </c>
    </row>
    <row r="8739" spans="1:15" x14ac:dyDescent="0.25">
      <c r="A8739" t="s">
        <v>8752</v>
      </c>
      <c r="B8739">
        <v>104</v>
      </c>
      <c r="C8739" s="1" t="str">
        <f>HYPERLINK("http://www.rosaceae.org/gb/gbrowse/malus_x_domestica/?name=MDP0000460502","MDP0000460502")</f>
        <v>MDP0000460502</v>
      </c>
      <c r="D8739">
        <v>70.209999999999994</v>
      </c>
      <c r="E8739">
        <v>47</v>
      </c>
      <c r="F8739">
        <v>14</v>
      </c>
      <c r="G8739">
        <v>0</v>
      </c>
      <c r="H8739">
        <v>58</v>
      </c>
      <c r="I8739">
        <v>104</v>
      </c>
      <c r="J8739">
        <v>1</v>
      </c>
      <c r="K8739">
        <v>75</v>
      </c>
      <c r="L8739">
        <v>121</v>
      </c>
      <c r="M8739">
        <v>1</v>
      </c>
      <c r="N8739">
        <v>6.1209399999999996E-13</v>
      </c>
      <c r="O8739">
        <v>169</v>
      </c>
    </row>
    <row r="8740" spans="1:15" x14ac:dyDescent="0.25">
      <c r="A8740" t="s">
        <v>8753</v>
      </c>
      <c r="B8740">
        <v>135</v>
      </c>
      <c r="C8740" s="1" t="str">
        <f>HYPERLINK("http://www.rosaceae.org/gb/gbrowse/malus_x_domestica/?name=MDP0000220421","MDP0000220421")</f>
        <v>MDP0000220421</v>
      </c>
      <c r="D8740">
        <v>86.2</v>
      </c>
      <c r="E8740">
        <v>116</v>
      </c>
      <c r="F8740">
        <v>16</v>
      </c>
      <c r="G8740">
        <v>0</v>
      </c>
      <c r="H8740">
        <v>20</v>
      </c>
      <c r="I8740">
        <v>135</v>
      </c>
      <c r="J8740">
        <v>1</v>
      </c>
      <c r="K8740">
        <v>339</v>
      </c>
      <c r="L8740">
        <v>454</v>
      </c>
      <c r="M8740">
        <v>1</v>
      </c>
      <c r="N8740">
        <v>4.0285400000000002E-56</v>
      </c>
      <c r="O8740">
        <v>542</v>
      </c>
    </row>
    <row r="8741" spans="1:15" x14ac:dyDescent="0.25">
      <c r="A8741" t="s">
        <v>8754</v>
      </c>
      <c r="B8741">
        <v>497</v>
      </c>
      <c r="C8741" s="1" t="str">
        <f>HYPERLINK("http://www.rosaceae.org/gb/gbrowse/malus_x_domestica/?name=MDP0000320542","MDP0000320542")</f>
        <v>MDP0000320542</v>
      </c>
      <c r="D8741">
        <v>50.9</v>
      </c>
      <c r="E8741">
        <v>385</v>
      </c>
      <c r="F8741">
        <v>189</v>
      </c>
      <c r="G8741">
        <v>76</v>
      </c>
      <c r="H8741">
        <v>23</v>
      </c>
      <c r="I8741">
        <v>350</v>
      </c>
      <c r="J8741">
        <v>1</v>
      </c>
      <c r="K8741">
        <v>11</v>
      </c>
      <c r="L8741">
        <v>376</v>
      </c>
      <c r="M8741">
        <v>1</v>
      </c>
      <c r="N8741">
        <v>4.2234900000000003E-92</v>
      </c>
      <c r="O8741">
        <v>861</v>
      </c>
    </row>
    <row r="8742" spans="1:15" x14ac:dyDescent="0.25">
      <c r="A8742" t="s">
        <v>8755</v>
      </c>
      <c r="B8742">
        <v>2032</v>
      </c>
      <c r="C8742" s="1" t="str">
        <f>HYPERLINK("http://www.rosaceae.org/gb/gbrowse/malus_x_domestica/?name=MDP0000201316","MDP0000201316")</f>
        <v>MDP0000201316</v>
      </c>
      <c r="D8742">
        <v>57.43</v>
      </c>
      <c r="E8742">
        <v>1736</v>
      </c>
      <c r="F8742">
        <v>739</v>
      </c>
      <c r="G8742">
        <v>143</v>
      </c>
      <c r="H8742">
        <v>154</v>
      </c>
      <c r="I8742">
        <v>1811</v>
      </c>
      <c r="J8742">
        <v>1</v>
      </c>
      <c r="K8742">
        <v>258</v>
      </c>
      <c r="L8742">
        <v>1928</v>
      </c>
      <c r="M8742">
        <v>1</v>
      </c>
      <c r="N8742">
        <v>0</v>
      </c>
      <c r="O8742">
        <v>4394</v>
      </c>
    </row>
    <row r="8743" spans="1:15" x14ac:dyDescent="0.25">
      <c r="A8743" t="s">
        <v>8756</v>
      </c>
      <c r="B8743">
        <v>1121</v>
      </c>
      <c r="C8743" s="1" t="str">
        <f>HYPERLINK("http://www.rosaceae.org/gb/gbrowse/malus_x_domestica/?name=MDP0000158812","MDP0000158812")</f>
        <v>MDP0000158812</v>
      </c>
      <c r="D8743">
        <v>77.22</v>
      </c>
      <c r="E8743">
        <v>830</v>
      </c>
      <c r="F8743">
        <v>189</v>
      </c>
      <c r="G8743">
        <v>60</v>
      </c>
      <c r="H8743">
        <v>12</v>
      </c>
      <c r="I8743">
        <v>790</v>
      </c>
      <c r="J8743">
        <v>1</v>
      </c>
      <c r="K8743">
        <v>12</v>
      </c>
      <c r="L8743">
        <v>832</v>
      </c>
      <c r="M8743">
        <v>1</v>
      </c>
      <c r="N8743">
        <v>0</v>
      </c>
      <c r="O8743">
        <v>3234</v>
      </c>
    </row>
    <row r="8744" spans="1:15" x14ac:dyDescent="0.25">
      <c r="A8744" t="s">
        <v>8757</v>
      </c>
      <c r="B8744">
        <v>758</v>
      </c>
      <c r="C8744" s="1" t="str">
        <f>HYPERLINK("http://www.rosaceae.org/gb/gbrowse/malus_x_domestica/?name=MDP0000307358","MDP0000307358")</f>
        <v>MDP0000307358</v>
      </c>
      <c r="D8744">
        <v>75.239999999999995</v>
      </c>
      <c r="E8744">
        <v>820</v>
      </c>
      <c r="F8744">
        <v>203</v>
      </c>
      <c r="G8744">
        <v>115</v>
      </c>
      <c r="H8744">
        <v>1</v>
      </c>
      <c r="I8744">
        <v>758</v>
      </c>
      <c r="J8744">
        <v>1</v>
      </c>
      <c r="K8744">
        <v>1</v>
      </c>
      <c r="L8744">
        <v>767</v>
      </c>
      <c r="M8744">
        <v>1</v>
      </c>
      <c r="N8744">
        <v>0</v>
      </c>
      <c r="O8744">
        <v>2964</v>
      </c>
    </row>
    <row r="8745" spans="1:15" x14ac:dyDescent="0.25">
      <c r="A8745" t="s">
        <v>8758</v>
      </c>
      <c r="B8745">
        <v>135</v>
      </c>
      <c r="C8745" s="1" t="str">
        <f>HYPERLINK("http://www.rosaceae.org/gb/gbrowse/malus_x_domestica/?name=MDP0000819440","MDP0000819440")</f>
        <v>MDP0000819440</v>
      </c>
      <c r="D8745">
        <v>64.7</v>
      </c>
      <c r="E8745">
        <v>136</v>
      </c>
      <c r="F8745">
        <v>48</v>
      </c>
      <c r="G8745">
        <v>1</v>
      </c>
      <c r="H8745">
        <v>1</v>
      </c>
      <c r="I8745">
        <v>135</v>
      </c>
      <c r="J8745">
        <v>1</v>
      </c>
      <c r="K8745">
        <v>1</v>
      </c>
      <c r="L8745">
        <v>136</v>
      </c>
      <c r="M8745">
        <v>1</v>
      </c>
      <c r="N8745">
        <v>4.32539E-41</v>
      </c>
      <c r="O8745">
        <v>413</v>
      </c>
    </row>
    <row r="8746" spans="1:15" x14ac:dyDescent="0.25">
      <c r="A8746" t="s">
        <v>8759</v>
      </c>
      <c r="B8746">
        <v>948</v>
      </c>
      <c r="C8746" s="1" t="str">
        <f>HYPERLINK("http://www.rosaceae.org/gb/gbrowse/malus_x_domestica/?name=MDP0000597607","MDP0000597607")</f>
        <v>MDP0000597607</v>
      </c>
      <c r="D8746">
        <v>60.21</v>
      </c>
      <c r="E8746">
        <v>465</v>
      </c>
      <c r="F8746">
        <v>185</v>
      </c>
      <c r="G8746">
        <v>5</v>
      </c>
      <c r="H8746">
        <v>1</v>
      </c>
      <c r="I8746">
        <v>464</v>
      </c>
      <c r="J8746">
        <v>1</v>
      </c>
      <c r="K8746">
        <v>22</v>
      </c>
      <c r="L8746">
        <v>482</v>
      </c>
      <c r="M8746">
        <v>1</v>
      </c>
      <c r="N8746">
        <v>1.13897E-159</v>
      </c>
      <c r="O8746">
        <v>1446</v>
      </c>
    </row>
    <row r="8747" spans="1:15" x14ac:dyDescent="0.25">
      <c r="A8747" t="s">
        <v>8760</v>
      </c>
      <c r="B8747">
        <v>878</v>
      </c>
      <c r="C8747" s="1" t="str">
        <f>HYPERLINK("http://www.rosaceae.org/gb/gbrowse/malus_x_domestica/?name=MDP0000216575","MDP0000216575")</f>
        <v>MDP0000216575</v>
      </c>
      <c r="D8747">
        <v>69.48</v>
      </c>
      <c r="E8747">
        <v>924</v>
      </c>
      <c r="F8747">
        <v>282</v>
      </c>
      <c r="G8747">
        <v>85</v>
      </c>
      <c r="H8747">
        <v>1</v>
      </c>
      <c r="I8747">
        <v>878</v>
      </c>
      <c r="J8747">
        <v>1</v>
      </c>
      <c r="K8747">
        <v>1</v>
      </c>
      <c r="L8747">
        <v>885</v>
      </c>
      <c r="M8747">
        <v>1</v>
      </c>
      <c r="N8747">
        <v>0</v>
      </c>
      <c r="O8747">
        <v>3357</v>
      </c>
    </row>
    <row r="8748" spans="1:15" x14ac:dyDescent="0.25">
      <c r="A8748" t="s">
        <v>8761</v>
      </c>
      <c r="B8748">
        <v>671</v>
      </c>
      <c r="C8748" s="1" t="str">
        <f>HYPERLINK("http://www.rosaceae.org/gb/gbrowse/malus_x_domestica/?name=MDP0000215060","MDP0000215060")</f>
        <v>MDP0000215060</v>
      </c>
      <c r="D8748">
        <v>45.87</v>
      </c>
      <c r="E8748">
        <v>678</v>
      </c>
      <c r="F8748">
        <v>367</v>
      </c>
      <c r="G8748">
        <v>66</v>
      </c>
      <c r="H8748">
        <v>7</v>
      </c>
      <c r="I8748">
        <v>665</v>
      </c>
      <c r="J8748">
        <v>1</v>
      </c>
      <c r="K8748">
        <v>503</v>
      </c>
      <c r="L8748">
        <v>1133</v>
      </c>
      <c r="M8748">
        <v>1</v>
      </c>
      <c r="N8748">
        <v>3.4390200000000001E-138</v>
      </c>
      <c r="O8748">
        <v>1260</v>
      </c>
    </row>
    <row r="8749" spans="1:15" x14ac:dyDescent="0.25">
      <c r="A8749" t="s">
        <v>8762</v>
      </c>
      <c r="B8749">
        <v>276</v>
      </c>
      <c r="C8749" s="1" t="str">
        <f>HYPERLINK("http://www.rosaceae.org/gb/gbrowse/malus_x_domestica/?name=MDP0000302554","MDP0000302554")</f>
        <v>MDP0000302554</v>
      </c>
      <c r="D8749">
        <v>37.24</v>
      </c>
      <c r="E8749">
        <v>145</v>
      </c>
      <c r="F8749">
        <v>91</v>
      </c>
      <c r="G8749">
        <v>1</v>
      </c>
      <c r="H8749">
        <v>1</v>
      </c>
      <c r="I8749">
        <v>145</v>
      </c>
      <c r="J8749">
        <v>1</v>
      </c>
      <c r="K8749">
        <v>248</v>
      </c>
      <c r="L8749">
        <v>391</v>
      </c>
      <c r="M8749">
        <v>1</v>
      </c>
      <c r="N8749">
        <v>8.7013200000000007E-24</v>
      </c>
      <c r="O8749">
        <v>269</v>
      </c>
    </row>
    <row r="8750" spans="1:15" x14ac:dyDescent="0.25">
      <c r="A8750" t="s">
        <v>8763</v>
      </c>
      <c r="B8750">
        <v>147</v>
      </c>
      <c r="C8750" s="1" t="str">
        <f>HYPERLINK("http://www.rosaceae.org/gb/gbrowse/malus_x_domestica/?name=MDP0000616265","MDP0000616265")</f>
        <v>MDP0000616265</v>
      </c>
      <c r="D8750">
        <v>63.84</v>
      </c>
      <c r="E8750">
        <v>130</v>
      </c>
      <c r="F8750">
        <v>47</v>
      </c>
      <c r="G8750">
        <v>3</v>
      </c>
      <c r="H8750">
        <v>1</v>
      </c>
      <c r="I8750">
        <v>127</v>
      </c>
      <c r="J8750">
        <v>1</v>
      </c>
      <c r="K8750">
        <v>70</v>
      </c>
      <c r="L8750">
        <v>199</v>
      </c>
      <c r="M8750">
        <v>1</v>
      </c>
      <c r="N8750">
        <v>8.9409700000000004E-46</v>
      </c>
      <c r="O8750">
        <v>454</v>
      </c>
    </row>
    <row r="8751" spans="1:15" x14ac:dyDescent="0.25">
      <c r="A8751" t="s">
        <v>8764</v>
      </c>
      <c r="B8751">
        <v>673</v>
      </c>
      <c r="C8751" s="1" t="str">
        <f>HYPERLINK("http://www.rosaceae.org/gb/gbrowse/malus_x_domestica/?name=MDP0000823142","MDP0000823142")</f>
        <v>MDP0000823142</v>
      </c>
      <c r="D8751">
        <v>44.93</v>
      </c>
      <c r="E8751">
        <v>652</v>
      </c>
      <c r="F8751">
        <v>359</v>
      </c>
      <c r="G8751">
        <v>35</v>
      </c>
      <c r="H8751">
        <v>24</v>
      </c>
      <c r="I8751">
        <v>673</v>
      </c>
      <c r="J8751">
        <v>1</v>
      </c>
      <c r="K8751">
        <v>9</v>
      </c>
      <c r="L8751">
        <v>627</v>
      </c>
      <c r="M8751">
        <v>1</v>
      </c>
      <c r="N8751">
        <v>2.4476799999999999E-172</v>
      </c>
      <c r="O8751">
        <v>1554</v>
      </c>
    </row>
    <row r="8752" spans="1:15" x14ac:dyDescent="0.25">
      <c r="A8752" t="s">
        <v>8765</v>
      </c>
      <c r="B8752">
        <v>1207</v>
      </c>
      <c r="C8752" s="1" t="str">
        <f>HYPERLINK("http://www.rosaceae.org/gb/gbrowse/malus_x_domestica/?name=MDP0000184288","MDP0000184288")</f>
        <v>MDP0000184288</v>
      </c>
      <c r="D8752">
        <v>63.13</v>
      </c>
      <c r="E8752">
        <v>1134</v>
      </c>
      <c r="F8752">
        <v>418</v>
      </c>
      <c r="G8752">
        <v>97</v>
      </c>
      <c r="H8752">
        <v>1</v>
      </c>
      <c r="I8752">
        <v>1070</v>
      </c>
      <c r="J8752">
        <v>1</v>
      </c>
      <c r="K8752">
        <v>43</v>
      </c>
      <c r="L8752">
        <v>1143</v>
      </c>
      <c r="M8752">
        <v>1</v>
      </c>
      <c r="N8752">
        <v>0</v>
      </c>
      <c r="O8752">
        <v>3328</v>
      </c>
    </row>
    <row r="8753" spans="1:15" x14ac:dyDescent="0.25">
      <c r="A8753" t="s">
        <v>8766</v>
      </c>
      <c r="B8753">
        <v>207</v>
      </c>
      <c r="C8753" s="1" t="str">
        <f>HYPERLINK("http://www.rosaceae.org/gb/gbrowse/malus_x_domestica/?name=MDP0000321949","MDP0000321949")</f>
        <v>MDP0000321949</v>
      </c>
      <c r="D8753">
        <v>56.94</v>
      </c>
      <c r="E8753">
        <v>144</v>
      </c>
      <c r="F8753">
        <v>62</v>
      </c>
      <c r="G8753">
        <v>4</v>
      </c>
      <c r="H8753">
        <v>40</v>
      </c>
      <c r="I8753">
        <v>182</v>
      </c>
      <c r="J8753">
        <v>1</v>
      </c>
      <c r="K8753">
        <v>39</v>
      </c>
      <c r="L8753">
        <v>179</v>
      </c>
      <c r="M8753">
        <v>1</v>
      </c>
      <c r="N8753">
        <v>5.0032500000000005E-38</v>
      </c>
      <c r="O8753">
        <v>390</v>
      </c>
    </row>
    <row r="8754" spans="1:15" x14ac:dyDescent="0.25">
      <c r="A8754" t="s">
        <v>8767</v>
      </c>
      <c r="B8754">
        <v>279</v>
      </c>
      <c r="C8754" s="1" t="str">
        <f>HYPERLINK("http://www.rosaceae.org/gb/gbrowse/malus_x_domestica/?name=MDP0000219021","MDP0000219021")</f>
        <v>MDP0000219021</v>
      </c>
      <c r="D8754">
        <v>79.599999999999994</v>
      </c>
      <c r="E8754">
        <v>250</v>
      </c>
      <c r="F8754">
        <v>51</v>
      </c>
      <c r="G8754">
        <v>6</v>
      </c>
      <c r="H8754">
        <v>34</v>
      </c>
      <c r="I8754">
        <v>277</v>
      </c>
      <c r="J8754">
        <v>1</v>
      </c>
      <c r="K8754">
        <v>40</v>
      </c>
      <c r="L8754">
        <v>289</v>
      </c>
      <c r="M8754">
        <v>1</v>
      </c>
      <c r="N8754">
        <v>6.8307400000000004E-112</v>
      </c>
      <c r="O8754">
        <v>1029</v>
      </c>
    </row>
    <row r="8755" spans="1:15" x14ac:dyDescent="0.25">
      <c r="A8755" t="s">
        <v>8768</v>
      </c>
      <c r="B8755">
        <v>230</v>
      </c>
      <c r="C8755" s="1" t="str">
        <f>HYPERLINK("http://www.rosaceae.org/gb/gbrowse/malus_x_domestica/?name=MDP0000203230","MDP0000203230")</f>
        <v>MDP0000203230</v>
      </c>
      <c r="D8755">
        <v>72.37</v>
      </c>
      <c r="E8755">
        <v>181</v>
      </c>
      <c r="F8755">
        <v>50</v>
      </c>
      <c r="G8755">
        <v>3</v>
      </c>
      <c r="H8755">
        <v>45</v>
      </c>
      <c r="I8755">
        <v>225</v>
      </c>
      <c r="J8755">
        <v>1</v>
      </c>
      <c r="K8755">
        <v>3</v>
      </c>
      <c r="L8755">
        <v>180</v>
      </c>
      <c r="M8755">
        <v>1</v>
      </c>
      <c r="N8755">
        <v>2.78308E-69</v>
      </c>
      <c r="O8755">
        <v>660</v>
      </c>
    </row>
    <row r="8756" spans="1:15" x14ac:dyDescent="0.25">
      <c r="A8756" t="s">
        <v>8769</v>
      </c>
      <c r="B8756">
        <v>234</v>
      </c>
      <c r="C8756" s="1" t="str">
        <f>HYPERLINK("http://www.rosaceae.org/gb/gbrowse/malus_x_domestica/?name=MDP0000257359","MDP0000257359")</f>
        <v>MDP0000257359</v>
      </c>
      <c r="D8756">
        <v>40.619999999999997</v>
      </c>
      <c r="E8756">
        <v>128</v>
      </c>
      <c r="F8756">
        <v>76</v>
      </c>
      <c r="G8756">
        <v>34</v>
      </c>
      <c r="H8756">
        <v>26</v>
      </c>
      <c r="I8756">
        <v>151</v>
      </c>
      <c r="J8756">
        <v>1</v>
      </c>
      <c r="K8756">
        <v>322</v>
      </c>
      <c r="L8756">
        <v>417</v>
      </c>
      <c r="M8756">
        <v>1</v>
      </c>
      <c r="N8756">
        <v>1.04479E-13</v>
      </c>
      <c r="O8756">
        <v>181</v>
      </c>
    </row>
    <row r="8757" spans="1:15" x14ac:dyDescent="0.25">
      <c r="A8757" t="s">
        <v>8770</v>
      </c>
      <c r="B8757">
        <v>90</v>
      </c>
      <c r="C8757" s="1" t="str">
        <f>HYPERLINK("http://www.rosaceae.org/gb/gbrowse/malus_x_domestica/?name=MDP0000348421","MDP0000348421")</f>
        <v>MDP0000348421</v>
      </c>
      <c r="D8757">
        <v>45.31</v>
      </c>
      <c r="E8757">
        <v>64</v>
      </c>
      <c r="F8757">
        <v>35</v>
      </c>
      <c r="G8757">
        <v>3</v>
      </c>
      <c r="H8757">
        <v>30</v>
      </c>
      <c r="I8757">
        <v>90</v>
      </c>
      <c r="J8757">
        <v>1</v>
      </c>
      <c r="K8757">
        <v>55</v>
      </c>
      <c r="L8757">
        <v>118</v>
      </c>
      <c r="M8757">
        <v>1</v>
      </c>
      <c r="N8757">
        <v>1.21669E-7</v>
      </c>
      <c r="O8757">
        <v>123</v>
      </c>
    </row>
    <row r="8758" spans="1:15" x14ac:dyDescent="0.25">
      <c r="A8758" t="s">
        <v>8771</v>
      </c>
      <c r="B8758">
        <v>154</v>
      </c>
      <c r="C8758" s="1" t="str">
        <f>HYPERLINK("http://www.rosaceae.org/gb/gbrowse/malus_x_domestica/?name=MDP0000206285","MDP0000206285")</f>
        <v>MDP0000206285</v>
      </c>
      <c r="D8758">
        <v>70.540000000000006</v>
      </c>
      <c r="E8758">
        <v>129</v>
      </c>
      <c r="F8758">
        <v>38</v>
      </c>
      <c r="G8758">
        <v>4</v>
      </c>
      <c r="H8758">
        <v>18</v>
      </c>
      <c r="I8758">
        <v>142</v>
      </c>
      <c r="J8758">
        <v>1</v>
      </c>
      <c r="K8758">
        <v>109</v>
      </c>
      <c r="L8758">
        <v>237</v>
      </c>
      <c r="M8758">
        <v>1</v>
      </c>
      <c r="N8758">
        <v>1.7186199999999999E-48</v>
      </c>
      <c r="O8758">
        <v>478</v>
      </c>
    </row>
    <row r="8759" spans="1:15" x14ac:dyDescent="0.25">
      <c r="A8759" t="s">
        <v>8772</v>
      </c>
      <c r="B8759">
        <v>400</v>
      </c>
      <c r="C8759" s="1" t="str">
        <f>HYPERLINK("http://www.rosaceae.org/gb/gbrowse/malus_x_domestica/?name=MDP0000300113","MDP0000300113")</f>
        <v>MDP0000300113</v>
      </c>
      <c r="D8759">
        <v>82.04</v>
      </c>
      <c r="E8759">
        <v>401</v>
      </c>
      <c r="F8759">
        <v>72</v>
      </c>
      <c r="G8759">
        <v>5</v>
      </c>
      <c r="H8759">
        <v>4</v>
      </c>
      <c r="I8759">
        <v>400</v>
      </c>
      <c r="J8759">
        <v>1</v>
      </c>
      <c r="K8759">
        <v>16</v>
      </c>
      <c r="L8759">
        <v>415</v>
      </c>
      <c r="M8759">
        <v>1</v>
      </c>
      <c r="N8759">
        <v>0</v>
      </c>
      <c r="O8759">
        <v>1757</v>
      </c>
    </row>
    <row r="8760" spans="1:15" x14ac:dyDescent="0.25">
      <c r="A8760" t="s">
        <v>8773</v>
      </c>
      <c r="B8760">
        <v>859</v>
      </c>
      <c r="C8760" s="1" t="str">
        <f>HYPERLINK("http://www.rosaceae.org/gb/gbrowse/malus_x_domestica/?name=MDP0000599231","MDP0000599231")</f>
        <v>MDP0000599231</v>
      </c>
      <c r="D8760">
        <v>47.25</v>
      </c>
      <c r="E8760">
        <v>474</v>
      </c>
      <c r="F8760">
        <v>250</v>
      </c>
      <c r="G8760">
        <v>45</v>
      </c>
      <c r="H8760">
        <v>376</v>
      </c>
      <c r="I8760">
        <v>816</v>
      </c>
      <c r="J8760">
        <v>1</v>
      </c>
      <c r="K8760">
        <v>15</v>
      </c>
      <c r="L8760">
        <v>476</v>
      </c>
      <c r="M8760">
        <v>1</v>
      </c>
      <c r="N8760">
        <v>2.6194600000000001E-110</v>
      </c>
      <c r="O8760">
        <v>1020</v>
      </c>
    </row>
    <row r="8761" spans="1:15" x14ac:dyDescent="0.25">
      <c r="A8761" t="s">
        <v>8774</v>
      </c>
      <c r="B8761">
        <v>218</v>
      </c>
      <c r="C8761" s="1" t="str">
        <f>HYPERLINK("http://www.rosaceae.org/gb/gbrowse/malus_x_domestica/?name=MDP0000254890","MDP0000254890")</f>
        <v>MDP0000254890</v>
      </c>
      <c r="D8761">
        <v>64.7</v>
      </c>
      <c r="E8761">
        <v>170</v>
      </c>
      <c r="F8761">
        <v>60</v>
      </c>
      <c r="G8761">
        <v>5</v>
      </c>
      <c r="H8761">
        <v>54</v>
      </c>
      <c r="I8761">
        <v>218</v>
      </c>
      <c r="J8761">
        <v>1</v>
      </c>
      <c r="K8761">
        <v>227</v>
      </c>
      <c r="L8761">
        <v>396</v>
      </c>
      <c r="M8761">
        <v>1</v>
      </c>
      <c r="N8761">
        <v>1.5428199999999999E-56</v>
      </c>
      <c r="O8761">
        <v>550</v>
      </c>
    </row>
    <row r="8762" spans="1:15" x14ac:dyDescent="0.25">
      <c r="A8762" t="s">
        <v>8775</v>
      </c>
      <c r="B8762">
        <v>552</v>
      </c>
      <c r="C8762" s="1" t="str">
        <f>HYPERLINK("http://www.rosaceae.org/gb/gbrowse/malus_x_domestica/?name=MDP0000573228","MDP0000573228")</f>
        <v>MDP0000573228</v>
      </c>
      <c r="D8762">
        <v>71.83</v>
      </c>
      <c r="E8762">
        <v>490</v>
      </c>
      <c r="F8762">
        <v>138</v>
      </c>
      <c r="G8762">
        <v>10</v>
      </c>
      <c r="H8762">
        <v>19</v>
      </c>
      <c r="I8762">
        <v>500</v>
      </c>
      <c r="J8762">
        <v>1</v>
      </c>
      <c r="K8762">
        <v>1</v>
      </c>
      <c r="L8762">
        <v>488</v>
      </c>
      <c r="M8762">
        <v>1</v>
      </c>
      <c r="N8762">
        <v>0</v>
      </c>
      <c r="O8762">
        <v>1780</v>
      </c>
    </row>
    <row r="8763" spans="1:15" x14ac:dyDescent="0.25">
      <c r="A8763" t="s">
        <v>8776</v>
      </c>
      <c r="B8763">
        <v>147</v>
      </c>
      <c r="C8763" s="1" t="str">
        <f>HYPERLINK("http://www.rosaceae.org/gb/gbrowse/malus_x_domestica/?name=MDP0000188292","MDP0000188292")</f>
        <v>MDP0000188292</v>
      </c>
      <c r="D8763">
        <v>37.200000000000003</v>
      </c>
      <c r="E8763">
        <v>86</v>
      </c>
      <c r="F8763">
        <v>54</v>
      </c>
      <c r="G8763">
        <v>0</v>
      </c>
      <c r="H8763">
        <v>1</v>
      </c>
      <c r="I8763">
        <v>86</v>
      </c>
      <c r="J8763">
        <v>1</v>
      </c>
      <c r="K8763">
        <v>84</v>
      </c>
      <c r="L8763">
        <v>169</v>
      </c>
      <c r="M8763">
        <v>1</v>
      </c>
      <c r="N8763">
        <v>3.2900599999999998E-12</v>
      </c>
      <c r="O8763">
        <v>164</v>
      </c>
    </row>
    <row r="8764" spans="1:15" x14ac:dyDescent="0.25">
      <c r="A8764" t="s">
        <v>8777</v>
      </c>
      <c r="B8764">
        <v>349</v>
      </c>
      <c r="C8764" s="1" t="str">
        <f>HYPERLINK("http://www.rosaceae.org/gb/gbrowse/malus_x_domestica/?name=MDP0000188329","MDP0000188329")</f>
        <v>MDP0000188329</v>
      </c>
      <c r="D8764">
        <v>43.52</v>
      </c>
      <c r="E8764">
        <v>85</v>
      </c>
      <c r="F8764">
        <v>48</v>
      </c>
      <c r="G8764">
        <v>0</v>
      </c>
      <c r="H8764">
        <v>98</v>
      </c>
      <c r="I8764">
        <v>182</v>
      </c>
      <c r="J8764">
        <v>1</v>
      </c>
      <c r="K8764">
        <v>4</v>
      </c>
      <c r="L8764">
        <v>88</v>
      </c>
      <c r="M8764">
        <v>1</v>
      </c>
      <c r="N8764">
        <v>5.6605999999999999E-14</v>
      </c>
      <c r="O8764">
        <v>185</v>
      </c>
    </row>
    <row r="8765" spans="1:15" x14ac:dyDescent="0.25">
      <c r="A8765" t="s">
        <v>8778</v>
      </c>
      <c r="B8765">
        <v>633</v>
      </c>
      <c r="C8765" s="1" t="str">
        <f>HYPERLINK("http://www.rosaceae.org/gb/gbrowse/malus_x_domestica/?name=MDP0000161920","MDP0000161920")</f>
        <v>MDP0000161920</v>
      </c>
      <c r="D8765">
        <v>67.150000000000006</v>
      </c>
      <c r="E8765">
        <v>609</v>
      </c>
      <c r="F8765">
        <v>200</v>
      </c>
      <c r="G8765">
        <v>34</v>
      </c>
      <c r="H8765">
        <v>26</v>
      </c>
      <c r="I8765">
        <v>630</v>
      </c>
      <c r="J8765">
        <v>1</v>
      </c>
      <c r="K8765">
        <v>5</v>
      </c>
      <c r="L8765">
        <v>583</v>
      </c>
      <c r="M8765">
        <v>1</v>
      </c>
      <c r="N8765">
        <v>0</v>
      </c>
      <c r="O8765">
        <v>2129</v>
      </c>
    </row>
    <row r="8766" spans="1:15" x14ac:dyDescent="0.25">
      <c r="A8766" t="s">
        <v>8779</v>
      </c>
      <c r="B8766">
        <v>578</v>
      </c>
      <c r="C8766" s="1" t="str">
        <f>HYPERLINK("http://www.rosaceae.org/gb/gbrowse/malus_x_domestica/?name=MDP0000156016","MDP0000156016")</f>
        <v>MDP0000156016</v>
      </c>
      <c r="D8766">
        <v>50.41</v>
      </c>
      <c r="E8766">
        <v>603</v>
      </c>
      <c r="F8766">
        <v>299</v>
      </c>
      <c r="G8766">
        <v>82</v>
      </c>
      <c r="H8766">
        <v>1</v>
      </c>
      <c r="I8766">
        <v>578</v>
      </c>
      <c r="J8766">
        <v>1</v>
      </c>
      <c r="K8766">
        <v>1</v>
      </c>
      <c r="L8766">
        <v>546</v>
      </c>
      <c r="M8766">
        <v>1</v>
      </c>
      <c r="N8766">
        <v>1.08757E-137</v>
      </c>
      <c r="O8766">
        <v>1255</v>
      </c>
    </row>
    <row r="8767" spans="1:15" x14ac:dyDescent="0.25">
      <c r="A8767" t="s">
        <v>8780</v>
      </c>
      <c r="B8767">
        <v>772</v>
      </c>
      <c r="C8767" s="1" t="str">
        <f>HYPERLINK("http://www.rosaceae.org/gb/gbrowse/malus_x_domestica/?name=MDP0000291049","MDP0000291049")</f>
        <v>MDP0000291049</v>
      </c>
      <c r="D8767">
        <v>72.7</v>
      </c>
      <c r="E8767">
        <v>674</v>
      </c>
      <c r="F8767">
        <v>184</v>
      </c>
      <c r="G8767">
        <v>5</v>
      </c>
      <c r="H8767">
        <v>35</v>
      </c>
      <c r="I8767">
        <v>708</v>
      </c>
      <c r="J8767">
        <v>1</v>
      </c>
      <c r="K8767">
        <v>60</v>
      </c>
      <c r="L8767">
        <v>728</v>
      </c>
      <c r="M8767">
        <v>1</v>
      </c>
      <c r="N8767">
        <v>0</v>
      </c>
      <c r="O8767">
        <v>2615</v>
      </c>
    </row>
    <row r="8768" spans="1:15" x14ac:dyDescent="0.25">
      <c r="A8768" t="s">
        <v>8781</v>
      </c>
      <c r="B8768">
        <v>837</v>
      </c>
      <c r="C8768" s="1" t="str">
        <f>HYPERLINK("http://www.rosaceae.org/gb/gbrowse/malus_x_domestica/?name=MDP0000177779","MDP0000177779")</f>
        <v>MDP0000177779</v>
      </c>
      <c r="D8768">
        <v>62.66</v>
      </c>
      <c r="E8768">
        <v>841</v>
      </c>
      <c r="F8768">
        <v>314</v>
      </c>
      <c r="G8768">
        <v>24</v>
      </c>
      <c r="H8768">
        <v>6</v>
      </c>
      <c r="I8768">
        <v>824</v>
      </c>
      <c r="J8768">
        <v>1</v>
      </c>
      <c r="K8768">
        <v>329</v>
      </c>
      <c r="L8768">
        <v>1167</v>
      </c>
      <c r="M8768">
        <v>1</v>
      </c>
      <c r="N8768">
        <v>0</v>
      </c>
      <c r="O8768">
        <v>2661</v>
      </c>
    </row>
    <row r="8769" spans="1:15" x14ac:dyDescent="0.25">
      <c r="A8769" t="s">
        <v>8782</v>
      </c>
      <c r="B8769">
        <v>429</v>
      </c>
      <c r="C8769" s="1" t="str">
        <f>HYPERLINK("http://www.rosaceae.org/gb/gbrowse/malus_x_domestica/?name=MDP0000156544","MDP0000156544")</f>
        <v>MDP0000156544</v>
      </c>
      <c r="D8769">
        <v>53.52</v>
      </c>
      <c r="E8769">
        <v>213</v>
      </c>
      <c r="F8769">
        <v>99</v>
      </c>
      <c r="G8769">
        <v>25</v>
      </c>
      <c r="H8769">
        <v>16</v>
      </c>
      <c r="I8769">
        <v>205</v>
      </c>
      <c r="J8769">
        <v>1</v>
      </c>
      <c r="K8769">
        <v>80</v>
      </c>
      <c r="L8769">
        <v>290</v>
      </c>
      <c r="M8769">
        <v>1</v>
      </c>
      <c r="N8769">
        <v>2.01002E-52</v>
      </c>
      <c r="O8769">
        <v>518</v>
      </c>
    </row>
    <row r="8770" spans="1:15" x14ac:dyDescent="0.25">
      <c r="A8770" t="s">
        <v>8783</v>
      </c>
      <c r="B8770">
        <v>244</v>
      </c>
      <c r="C8770" s="1" t="str">
        <f>HYPERLINK("http://www.rosaceae.org/gb/gbrowse/malus_x_domestica/?name=MDP0000125167","MDP0000125167")</f>
        <v>MDP0000125167</v>
      </c>
      <c r="D8770">
        <v>40.99</v>
      </c>
      <c r="E8770">
        <v>222</v>
      </c>
      <c r="F8770">
        <v>131</v>
      </c>
      <c r="G8770">
        <v>10</v>
      </c>
      <c r="H8770">
        <v>23</v>
      </c>
      <c r="I8770">
        <v>244</v>
      </c>
      <c r="J8770">
        <v>1</v>
      </c>
      <c r="K8770">
        <v>8</v>
      </c>
      <c r="L8770">
        <v>219</v>
      </c>
      <c r="M8770">
        <v>1</v>
      </c>
      <c r="N8770">
        <v>1.6455999999999999E-39</v>
      </c>
      <c r="O8770">
        <v>404</v>
      </c>
    </row>
    <row r="8771" spans="1:15" x14ac:dyDescent="0.25">
      <c r="A8771" t="s">
        <v>8784</v>
      </c>
      <c r="B8771">
        <v>316</v>
      </c>
      <c r="C8771" s="1" t="str">
        <f>HYPERLINK("http://www.rosaceae.org/gb/gbrowse/malus_x_domestica/?name=MDP0000095336","MDP0000095336")</f>
        <v>MDP0000095336</v>
      </c>
      <c r="D8771">
        <v>43.08</v>
      </c>
      <c r="E8771">
        <v>376</v>
      </c>
      <c r="F8771">
        <v>214</v>
      </c>
      <c r="G8771">
        <v>66</v>
      </c>
      <c r="H8771">
        <v>1</v>
      </c>
      <c r="I8771">
        <v>316</v>
      </c>
      <c r="J8771">
        <v>1</v>
      </c>
      <c r="K8771">
        <v>17</v>
      </c>
      <c r="L8771">
        <v>386</v>
      </c>
      <c r="M8771">
        <v>1</v>
      </c>
      <c r="N8771">
        <v>4.73578E-73</v>
      </c>
      <c r="O8771">
        <v>694</v>
      </c>
    </row>
    <row r="8772" spans="1:15" x14ac:dyDescent="0.25">
      <c r="A8772" t="s">
        <v>8785</v>
      </c>
      <c r="B8772">
        <v>580</v>
      </c>
      <c r="C8772" s="1" t="str">
        <f>HYPERLINK("http://www.rosaceae.org/gb/gbrowse/malus_x_domestica/?name=MDP0000613174","MDP0000613174")</f>
        <v>MDP0000613174</v>
      </c>
      <c r="D8772">
        <v>71</v>
      </c>
      <c r="E8772">
        <v>607</v>
      </c>
      <c r="F8772">
        <v>176</v>
      </c>
      <c r="G8772">
        <v>28</v>
      </c>
      <c r="H8772">
        <v>1</v>
      </c>
      <c r="I8772">
        <v>580</v>
      </c>
      <c r="J8772">
        <v>1</v>
      </c>
      <c r="K8772">
        <v>27</v>
      </c>
      <c r="L8772">
        <v>632</v>
      </c>
      <c r="M8772">
        <v>1</v>
      </c>
      <c r="N8772">
        <v>0</v>
      </c>
      <c r="O8772">
        <v>2144</v>
      </c>
    </row>
    <row r="8773" spans="1:15" x14ac:dyDescent="0.25">
      <c r="A8773" t="s">
        <v>8786</v>
      </c>
      <c r="B8773">
        <v>247</v>
      </c>
      <c r="C8773" s="1" t="str">
        <f>HYPERLINK("http://www.rosaceae.org/gb/gbrowse/malus_x_domestica/?name=MDP0000290855","MDP0000290855")</f>
        <v>MDP0000290855</v>
      </c>
      <c r="D8773">
        <v>83.24</v>
      </c>
      <c r="E8773">
        <v>185</v>
      </c>
      <c r="F8773">
        <v>31</v>
      </c>
      <c r="G8773">
        <v>0</v>
      </c>
      <c r="H8773">
        <v>8</v>
      </c>
      <c r="I8773">
        <v>192</v>
      </c>
      <c r="J8773">
        <v>1</v>
      </c>
      <c r="K8773">
        <v>21</v>
      </c>
      <c r="L8773">
        <v>205</v>
      </c>
      <c r="M8773">
        <v>1</v>
      </c>
      <c r="N8773">
        <v>4.1153000000000003E-86</v>
      </c>
      <c r="O8773">
        <v>805</v>
      </c>
    </row>
    <row r="8774" spans="1:15" x14ac:dyDescent="0.25">
      <c r="A8774" t="s">
        <v>8787</v>
      </c>
      <c r="B8774">
        <v>1103</v>
      </c>
      <c r="C8774" s="1" t="str">
        <f>HYPERLINK("http://www.rosaceae.org/gb/gbrowse/malus_x_domestica/?name=MDP0000524927","MDP0000524927")</f>
        <v>MDP0000524927</v>
      </c>
      <c r="D8774">
        <v>62.69</v>
      </c>
      <c r="E8774">
        <v>1134</v>
      </c>
      <c r="F8774">
        <v>423</v>
      </c>
      <c r="G8774">
        <v>46</v>
      </c>
      <c r="H8774">
        <v>1</v>
      </c>
      <c r="I8774">
        <v>1099</v>
      </c>
      <c r="J8774">
        <v>1</v>
      </c>
      <c r="K8774">
        <v>75</v>
      </c>
      <c r="L8774">
        <v>1197</v>
      </c>
      <c r="M8774">
        <v>1</v>
      </c>
      <c r="N8774">
        <v>0</v>
      </c>
      <c r="O8774">
        <v>3614</v>
      </c>
    </row>
    <row r="8775" spans="1:15" x14ac:dyDescent="0.25">
      <c r="A8775" t="s">
        <v>8788</v>
      </c>
      <c r="B8775">
        <v>180</v>
      </c>
      <c r="C8775" s="1" t="str">
        <f>HYPERLINK("http://www.rosaceae.org/gb/gbrowse/malus_x_domestica/?name=MDP0000144280","MDP0000144280")</f>
        <v>MDP0000144280</v>
      </c>
      <c r="D8775">
        <v>45.5</v>
      </c>
      <c r="E8775">
        <v>178</v>
      </c>
      <c r="F8775">
        <v>97</v>
      </c>
      <c r="G8775">
        <v>18</v>
      </c>
      <c r="H8775">
        <v>1</v>
      </c>
      <c r="I8775">
        <v>178</v>
      </c>
      <c r="J8775">
        <v>1</v>
      </c>
      <c r="K8775">
        <v>1</v>
      </c>
      <c r="L8775">
        <v>160</v>
      </c>
      <c r="M8775">
        <v>1</v>
      </c>
      <c r="N8775">
        <v>8.3000799999999993E-28</v>
      </c>
      <c r="O8775">
        <v>301</v>
      </c>
    </row>
    <row r="8776" spans="1:15" x14ac:dyDescent="0.25">
      <c r="A8776" t="s">
        <v>8789</v>
      </c>
      <c r="B8776">
        <v>309</v>
      </c>
      <c r="C8776" s="1" t="str">
        <f>HYPERLINK("http://www.rosaceae.org/gb/gbrowse/malus_x_domestica/?name=MDP0000337585","MDP0000337585")</f>
        <v>MDP0000337585</v>
      </c>
      <c r="D8776">
        <v>88.93</v>
      </c>
      <c r="E8776">
        <v>253</v>
      </c>
      <c r="F8776">
        <v>28</v>
      </c>
      <c r="G8776">
        <v>3</v>
      </c>
      <c r="H8776">
        <v>60</v>
      </c>
      <c r="I8776">
        <v>309</v>
      </c>
      <c r="J8776">
        <v>1</v>
      </c>
      <c r="K8776">
        <v>15</v>
      </c>
      <c r="L8776">
        <v>267</v>
      </c>
      <c r="M8776">
        <v>1</v>
      </c>
      <c r="N8776">
        <v>1.7858899999999999E-127</v>
      </c>
      <c r="O8776">
        <v>1163</v>
      </c>
    </row>
    <row r="8777" spans="1:15" x14ac:dyDescent="0.25">
      <c r="A8777" t="s">
        <v>8790</v>
      </c>
      <c r="B8777">
        <v>446</v>
      </c>
      <c r="C8777" s="1" t="str">
        <f>HYPERLINK("http://www.rosaceae.org/gb/gbrowse/malus_x_domestica/?name=MDP0000274475","MDP0000274475")</f>
        <v>MDP0000274475</v>
      </c>
      <c r="D8777">
        <v>55.63</v>
      </c>
      <c r="E8777">
        <v>399</v>
      </c>
      <c r="F8777">
        <v>177</v>
      </c>
      <c r="G8777">
        <v>13</v>
      </c>
      <c r="H8777">
        <v>1</v>
      </c>
      <c r="I8777">
        <v>397</v>
      </c>
      <c r="J8777">
        <v>1</v>
      </c>
      <c r="K8777">
        <v>1</v>
      </c>
      <c r="L8777">
        <v>388</v>
      </c>
      <c r="M8777">
        <v>1</v>
      </c>
      <c r="N8777">
        <v>4.6665399999999998E-121</v>
      </c>
      <c r="O8777">
        <v>1110</v>
      </c>
    </row>
    <row r="8778" spans="1:15" x14ac:dyDescent="0.25">
      <c r="A8778" t="s">
        <v>8791</v>
      </c>
      <c r="B8778">
        <v>407</v>
      </c>
      <c r="C8778" s="1" t="str">
        <f>HYPERLINK("http://www.rosaceae.org/gb/gbrowse/malus_x_domestica/?name=MDP0000751780","MDP0000751780")</f>
        <v>MDP0000751780</v>
      </c>
      <c r="D8778">
        <v>44.82</v>
      </c>
      <c r="E8778">
        <v>290</v>
      </c>
      <c r="F8778">
        <v>160</v>
      </c>
      <c r="G8778">
        <v>6</v>
      </c>
      <c r="H8778">
        <v>42</v>
      </c>
      <c r="I8778">
        <v>330</v>
      </c>
      <c r="J8778">
        <v>1</v>
      </c>
      <c r="K8778">
        <v>15</v>
      </c>
      <c r="L8778">
        <v>299</v>
      </c>
      <c r="M8778">
        <v>1</v>
      </c>
      <c r="N8778">
        <v>6.6216600000000004E-71</v>
      </c>
      <c r="O8778">
        <v>677</v>
      </c>
    </row>
    <row r="8779" spans="1:15" x14ac:dyDescent="0.25">
      <c r="A8779" t="s">
        <v>8792</v>
      </c>
      <c r="B8779">
        <v>403</v>
      </c>
      <c r="C8779" s="1" t="str">
        <f>HYPERLINK("http://www.rosaceae.org/gb/gbrowse/malus_x_domestica/?name=MDP0000376738","MDP0000376738")</f>
        <v>MDP0000376738</v>
      </c>
      <c r="D8779">
        <v>60.16</v>
      </c>
      <c r="E8779">
        <v>236</v>
      </c>
      <c r="F8779">
        <v>94</v>
      </c>
      <c r="G8779">
        <v>30</v>
      </c>
      <c r="H8779">
        <v>192</v>
      </c>
      <c r="I8779">
        <v>400</v>
      </c>
      <c r="J8779">
        <v>1</v>
      </c>
      <c r="K8779">
        <v>10</v>
      </c>
      <c r="L8779">
        <v>242</v>
      </c>
      <c r="M8779">
        <v>1</v>
      </c>
      <c r="N8779">
        <v>9.5822400000000002E-74</v>
      </c>
      <c r="O8779">
        <v>701</v>
      </c>
    </row>
    <row r="8780" spans="1:15" x14ac:dyDescent="0.25">
      <c r="A8780" t="s">
        <v>8793</v>
      </c>
      <c r="B8780">
        <v>655</v>
      </c>
      <c r="C8780" s="1" t="str">
        <f>HYPERLINK("http://www.rosaceae.org/gb/gbrowse/malus_x_domestica/?name=MDP0000234325","MDP0000234325")</f>
        <v>MDP0000234325</v>
      </c>
      <c r="D8780">
        <v>41.18</v>
      </c>
      <c r="E8780">
        <v>658</v>
      </c>
      <c r="F8780">
        <v>387</v>
      </c>
      <c r="G8780">
        <v>70</v>
      </c>
      <c r="H8780">
        <v>1</v>
      </c>
      <c r="I8780">
        <v>639</v>
      </c>
      <c r="J8780">
        <v>1</v>
      </c>
      <c r="K8780">
        <v>1</v>
      </c>
      <c r="L8780">
        <v>607</v>
      </c>
      <c r="M8780">
        <v>1</v>
      </c>
      <c r="N8780">
        <v>1.0237499999999999E-131</v>
      </c>
      <c r="O8780">
        <v>1204</v>
      </c>
    </row>
    <row r="8781" spans="1:15" x14ac:dyDescent="0.25">
      <c r="A8781" t="s">
        <v>8794</v>
      </c>
      <c r="B8781">
        <v>214</v>
      </c>
      <c r="C8781" s="1" t="str">
        <f>HYPERLINK("http://www.rosaceae.org/gb/gbrowse/malus_x_domestica/?name=MDP0000732635","MDP0000732635")</f>
        <v>MDP0000732635</v>
      </c>
      <c r="D8781">
        <v>37.07</v>
      </c>
      <c r="E8781">
        <v>178</v>
      </c>
      <c r="F8781">
        <v>112</v>
      </c>
      <c r="G8781">
        <v>11</v>
      </c>
      <c r="H8781">
        <v>34</v>
      </c>
      <c r="I8781">
        <v>208</v>
      </c>
      <c r="J8781">
        <v>1</v>
      </c>
      <c r="K8781">
        <v>57</v>
      </c>
      <c r="L8781">
        <v>226</v>
      </c>
      <c r="M8781">
        <v>1</v>
      </c>
      <c r="N8781">
        <v>1.4936499999999999E-21</v>
      </c>
      <c r="O8781">
        <v>248</v>
      </c>
    </row>
    <row r="8782" spans="1:15" x14ac:dyDescent="0.25">
      <c r="A8782" t="s">
        <v>8795</v>
      </c>
      <c r="B8782">
        <v>370</v>
      </c>
      <c r="C8782" s="1" t="str">
        <f>HYPERLINK("http://www.rosaceae.org/gb/gbrowse/malus_x_domestica/?name=MDP0000826016","MDP0000826016")</f>
        <v>MDP0000826016</v>
      </c>
      <c r="D8782">
        <v>93.13</v>
      </c>
      <c r="E8782">
        <v>364</v>
      </c>
      <c r="F8782">
        <v>25</v>
      </c>
      <c r="G8782">
        <v>0</v>
      </c>
      <c r="H8782">
        <v>1</v>
      </c>
      <c r="I8782">
        <v>364</v>
      </c>
      <c r="J8782">
        <v>1</v>
      </c>
      <c r="K8782">
        <v>1</v>
      </c>
      <c r="L8782">
        <v>364</v>
      </c>
      <c r="M8782">
        <v>1</v>
      </c>
      <c r="N8782">
        <v>0</v>
      </c>
      <c r="O8782">
        <v>1841</v>
      </c>
    </row>
    <row r="8783" spans="1:15" x14ac:dyDescent="0.25">
      <c r="A8783" t="s">
        <v>8796</v>
      </c>
      <c r="B8783">
        <v>882</v>
      </c>
      <c r="C8783" s="1" t="str">
        <f>HYPERLINK("http://www.rosaceae.org/gb/gbrowse/malus_x_domestica/?name=MDP0000282806","MDP0000282806")</f>
        <v>MDP0000282806</v>
      </c>
      <c r="D8783">
        <v>69.290000000000006</v>
      </c>
      <c r="E8783">
        <v>850</v>
      </c>
      <c r="F8783">
        <v>261</v>
      </c>
      <c r="G8783">
        <v>19</v>
      </c>
      <c r="H8783">
        <v>32</v>
      </c>
      <c r="I8783">
        <v>879</v>
      </c>
      <c r="J8783">
        <v>1</v>
      </c>
      <c r="K8783">
        <v>111</v>
      </c>
      <c r="L8783">
        <v>943</v>
      </c>
      <c r="M8783">
        <v>1</v>
      </c>
      <c r="N8783">
        <v>0</v>
      </c>
      <c r="O8783">
        <v>2735</v>
      </c>
    </row>
    <row r="8784" spans="1:15" x14ac:dyDescent="0.25">
      <c r="A8784" t="s">
        <v>8797</v>
      </c>
      <c r="B8784">
        <v>553</v>
      </c>
      <c r="C8784" s="1" t="str">
        <f>HYPERLINK("http://www.rosaceae.org/gb/gbrowse/malus_x_domestica/?name=MDP0000225493","MDP0000225493")</f>
        <v>MDP0000225493</v>
      </c>
      <c r="D8784">
        <v>67.63</v>
      </c>
      <c r="E8784">
        <v>584</v>
      </c>
      <c r="F8784">
        <v>189</v>
      </c>
      <c r="G8784">
        <v>43</v>
      </c>
      <c r="H8784">
        <v>1</v>
      </c>
      <c r="I8784">
        <v>541</v>
      </c>
      <c r="J8784">
        <v>1</v>
      </c>
      <c r="K8784">
        <v>1</v>
      </c>
      <c r="L8784">
        <v>584</v>
      </c>
      <c r="M8784">
        <v>1</v>
      </c>
      <c r="N8784">
        <v>0</v>
      </c>
      <c r="O8784">
        <v>1947</v>
      </c>
    </row>
    <row r="8785" spans="1:15" x14ac:dyDescent="0.25">
      <c r="A8785" t="s">
        <v>8798</v>
      </c>
      <c r="B8785">
        <v>542</v>
      </c>
      <c r="C8785" s="1" t="str">
        <f>HYPERLINK("http://www.rosaceae.org/gb/gbrowse/malus_x_domestica/?name=MDP0000252130","MDP0000252130")</f>
        <v>MDP0000252130</v>
      </c>
      <c r="D8785">
        <v>41.69</v>
      </c>
      <c r="E8785">
        <v>355</v>
      </c>
      <c r="F8785">
        <v>207</v>
      </c>
      <c r="G8785">
        <v>12</v>
      </c>
      <c r="H8785">
        <v>177</v>
      </c>
      <c r="I8785">
        <v>522</v>
      </c>
      <c r="J8785">
        <v>1</v>
      </c>
      <c r="K8785">
        <v>252</v>
      </c>
      <c r="L8785">
        <v>603</v>
      </c>
      <c r="M8785">
        <v>1</v>
      </c>
      <c r="N8785">
        <v>1.2996100000000001E-74</v>
      </c>
      <c r="O8785">
        <v>710</v>
      </c>
    </row>
    <row r="8786" spans="1:15" x14ac:dyDescent="0.25">
      <c r="A8786" t="s">
        <v>8799</v>
      </c>
      <c r="B8786">
        <v>419</v>
      </c>
      <c r="C8786" s="1" t="str">
        <f>HYPERLINK("http://www.rosaceae.org/gb/gbrowse/malus_x_domestica/?name=MDP0000406379","MDP0000406379")</f>
        <v>MDP0000406379</v>
      </c>
      <c r="D8786">
        <v>41.8</v>
      </c>
      <c r="E8786">
        <v>177</v>
      </c>
      <c r="F8786">
        <v>103</v>
      </c>
      <c r="G8786">
        <v>33</v>
      </c>
      <c r="H8786">
        <v>195</v>
      </c>
      <c r="I8786">
        <v>340</v>
      </c>
      <c r="J8786">
        <v>1</v>
      </c>
      <c r="K8786">
        <v>221</v>
      </c>
      <c r="L8786">
        <v>395</v>
      </c>
      <c r="M8786">
        <v>1</v>
      </c>
      <c r="N8786">
        <v>2.7424599999999997E-23</v>
      </c>
      <c r="O8786">
        <v>266</v>
      </c>
    </row>
    <row r="8787" spans="1:15" x14ac:dyDescent="0.25">
      <c r="A8787" t="s">
        <v>8800</v>
      </c>
      <c r="B8787">
        <v>348</v>
      </c>
      <c r="C8787" s="1" t="str">
        <f>HYPERLINK("http://www.rosaceae.org/gb/gbrowse/malus_x_domestica/?name=MDP0000296995","MDP0000296995")</f>
        <v>MDP0000296995</v>
      </c>
      <c r="D8787">
        <v>77.2</v>
      </c>
      <c r="E8787">
        <v>351</v>
      </c>
      <c r="F8787">
        <v>80</v>
      </c>
      <c r="G8787">
        <v>18</v>
      </c>
      <c r="H8787">
        <v>1</v>
      </c>
      <c r="I8787">
        <v>337</v>
      </c>
      <c r="J8787">
        <v>1</v>
      </c>
      <c r="K8787">
        <v>121</v>
      </c>
      <c r="L8787">
        <v>467</v>
      </c>
      <c r="M8787">
        <v>1</v>
      </c>
      <c r="N8787">
        <v>3.1228400000000001E-152</v>
      </c>
      <c r="O8787">
        <v>1378</v>
      </c>
    </row>
    <row r="8788" spans="1:15" x14ac:dyDescent="0.25">
      <c r="A8788" t="s">
        <v>8801</v>
      </c>
      <c r="B8788">
        <v>246</v>
      </c>
      <c r="C8788" s="1" t="str">
        <f>HYPERLINK("http://www.rosaceae.org/gb/gbrowse/malus_x_domestica/?name=MDP0000244697","MDP0000244697")</f>
        <v>MDP0000244697</v>
      </c>
      <c r="D8788">
        <v>46.42</v>
      </c>
      <c r="E8788">
        <v>168</v>
      </c>
      <c r="F8788">
        <v>90</v>
      </c>
      <c r="G8788">
        <v>28</v>
      </c>
      <c r="H8788">
        <v>4</v>
      </c>
      <c r="I8788">
        <v>144</v>
      </c>
      <c r="J8788">
        <v>1</v>
      </c>
      <c r="K8788">
        <v>20</v>
      </c>
      <c r="L8788">
        <v>186</v>
      </c>
      <c r="M8788">
        <v>1</v>
      </c>
      <c r="N8788">
        <v>1.8190800000000001E-29</v>
      </c>
      <c r="O8788">
        <v>317</v>
      </c>
    </row>
    <row r="8789" spans="1:15" x14ac:dyDescent="0.25">
      <c r="A8789" t="s">
        <v>8802</v>
      </c>
      <c r="B8789">
        <v>260</v>
      </c>
      <c r="C8789" s="1" t="str">
        <f>HYPERLINK("http://www.rosaceae.org/gb/gbrowse/malus_x_domestica/?name=MDP0000237182","MDP0000237182")</f>
        <v>MDP0000237182</v>
      </c>
      <c r="D8789">
        <v>28.57</v>
      </c>
      <c r="E8789">
        <v>175</v>
      </c>
      <c r="F8789">
        <v>125</v>
      </c>
      <c r="G8789">
        <v>12</v>
      </c>
      <c r="H8789">
        <v>1</v>
      </c>
      <c r="I8789">
        <v>173</v>
      </c>
      <c r="J8789">
        <v>1</v>
      </c>
      <c r="K8789">
        <v>347</v>
      </c>
      <c r="L8789">
        <v>511</v>
      </c>
      <c r="M8789">
        <v>1</v>
      </c>
      <c r="N8789">
        <v>8.0731799999999999E-13</v>
      </c>
      <c r="O8789">
        <v>174</v>
      </c>
    </row>
    <row r="8790" spans="1:15" x14ac:dyDescent="0.25">
      <c r="A8790" t="s">
        <v>8803</v>
      </c>
      <c r="B8790">
        <v>575</v>
      </c>
      <c r="C8790" s="1" t="str">
        <f>HYPERLINK("http://www.rosaceae.org/gb/gbrowse/malus_x_domestica/?name=MDP0000124256","MDP0000124256")</f>
        <v>MDP0000124256</v>
      </c>
      <c r="D8790">
        <v>34.35</v>
      </c>
      <c r="E8790">
        <v>131</v>
      </c>
      <c r="F8790">
        <v>86</v>
      </c>
      <c r="G8790">
        <v>1</v>
      </c>
      <c r="H8790">
        <v>436</v>
      </c>
      <c r="I8790">
        <v>566</v>
      </c>
      <c r="J8790">
        <v>1</v>
      </c>
      <c r="K8790">
        <v>77</v>
      </c>
      <c r="L8790">
        <v>206</v>
      </c>
      <c r="M8790">
        <v>1</v>
      </c>
      <c r="N8790">
        <v>5.6952699999999996E-16</v>
      </c>
      <c r="O8790">
        <v>205</v>
      </c>
    </row>
    <row r="8791" spans="1:15" x14ac:dyDescent="0.25">
      <c r="A8791" t="s">
        <v>8804</v>
      </c>
      <c r="B8791">
        <v>344</v>
      </c>
      <c r="C8791" s="1" t="str">
        <f>HYPERLINK("http://www.rosaceae.org/gb/gbrowse/malus_x_domestica/?name=MDP0000288968","MDP0000288968")</f>
        <v>MDP0000288968</v>
      </c>
      <c r="D8791">
        <v>60.57</v>
      </c>
      <c r="E8791">
        <v>345</v>
      </c>
      <c r="F8791">
        <v>136</v>
      </c>
      <c r="G8791">
        <v>2</v>
      </c>
      <c r="H8791">
        <v>2</v>
      </c>
      <c r="I8791">
        <v>344</v>
      </c>
      <c r="J8791">
        <v>1</v>
      </c>
      <c r="K8791">
        <v>886</v>
      </c>
      <c r="L8791">
        <v>1230</v>
      </c>
      <c r="M8791">
        <v>1</v>
      </c>
      <c r="N8791">
        <v>3.6037300000000002E-119</v>
      </c>
      <c r="O8791">
        <v>1092</v>
      </c>
    </row>
    <row r="8792" spans="1:15" x14ac:dyDescent="0.25">
      <c r="A8792" t="s">
        <v>8805</v>
      </c>
      <c r="B8792">
        <v>1041</v>
      </c>
      <c r="C8792" s="1" t="str">
        <f>HYPERLINK("http://www.rosaceae.org/gb/gbrowse/malus_x_domestica/?name=MDP0000456401","MDP0000456401")</f>
        <v>MDP0000456401</v>
      </c>
      <c r="D8792">
        <v>53.56</v>
      </c>
      <c r="E8792">
        <v>1051</v>
      </c>
      <c r="F8792">
        <v>488</v>
      </c>
      <c r="G8792">
        <v>50</v>
      </c>
      <c r="H8792">
        <v>11</v>
      </c>
      <c r="I8792">
        <v>1040</v>
      </c>
      <c r="J8792">
        <v>1</v>
      </c>
      <c r="K8792">
        <v>31</v>
      </c>
      <c r="L8792">
        <v>1052</v>
      </c>
      <c r="M8792">
        <v>1</v>
      </c>
      <c r="N8792">
        <v>0</v>
      </c>
      <c r="O8792">
        <v>2524</v>
      </c>
    </row>
    <row r="8793" spans="1:15" x14ac:dyDescent="0.25">
      <c r="A8793" t="s">
        <v>8806</v>
      </c>
      <c r="B8793">
        <v>887</v>
      </c>
      <c r="C8793" s="1" t="str">
        <f>HYPERLINK("http://www.rosaceae.org/gb/gbrowse/malus_x_domestica/?name=MDP0000138527","MDP0000138527")</f>
        <v>MDP0000138527</v>
      </c>
      <c r="D8793">
        <v>34.85</v>
      </c>
      <c r="E8793">
        <v>548</v>
      </c>
      <c r="F8793">
        <v>357</v>
      </c>
      <c r="G8793">
        <v>98</v>
      </c>
      <c r="H8793">
        <v>246</v>
      </c>
      <c r="I8793">
        <v>737</v>
      </c>
      <c r="J8793">
        <v>1</v>
      </c>
      <c r="K8793">
        <v>47</v>
      </c>
      <c r="L8793">
        <v>552</v>
      </c>
      <c r="M8793">
        <v>1</v>
      </c>
      <c r="N8793">
        <v>6.4393200000000004E-70</v>
      </c>
      <c r="O8793">
        <v>672</v>
      </c>
    </row>
    <row r="8794" spans="1:15" x14ac:dyDescent="0.25">
      <c r="A8794" t="s">
        <v>8807</v>
      </c>
      <c r="B8794">
        <v>336</v>
      </c>
      <c r="C8794" s="1" t="str">
        <f>HYPERLINK("http://www.rosaceae.org/gb/gbrowse/malus_x_domestica/?name=MDP0000933387","MDP0000933387")</f>
        <v>MDP0000933387</v>
      </c>
      <c r="D8794">
        <v>64.87</v>
      </c>
      <c r="E8794">
        <v>353</v>
      </c>
      <c r="F8794">
        <v>124</v>
      </c>
      <c r="G8794">
        <v>18</v>
      </c>
      <c r="H8794">
        <v>1</v>
      </c>
      <c r="I8794">
        <v>336</v>
      </c>
      <c r="J8794">
        <v>1</v>
      </c>
      <c r="K8794">
        <v>1</v>
      </c>
      <c r="L8794">
        <v>352</v>
      </c>
      <c r="M8794">
        <v>1</v>
      </c>
      <c r="N8794">
        <v>6.4479699999999995E-125</v>
      </c>
      <c r="O8794">
        <v>1142</v>
      </c>
    </row>
    <row r="8795" spans="1:15" x14ac:dyDescent="0.25">
      <c r="A8795" t="s">
        <v>8808</v>
      </c>
      <c r="B8795">
        <v>374</v>
      </c>
      <c r="C8795" s="1" t="str">
        <f>HYPERLINK("http://www.rosaceae.org/gb/gbrowse/malus_x_domestica/?name=MDP0000306767","MDP0000306767")</f>
        <v>MDP0000306767</v>
      </c>
      <c r="D8795">
        <v>91.97</v>
      </c>
      <c r="E8795">
        <v>374</v>
      </c>
      <c r="F8795">
        <v>30</v>
      </c>
      <c r="G8795">
        <v>0</v>
      </c>
      <c r="H8795">
        <v>1</v>
      </c>
      <c r="I8795">
        <v>374</v>
      </c>
      <c r="J8795">
        <v>1</v>
      </c>
      <c r="K8795">
        <v>1</v>
      </c>
      <c r="L8795">
        <v>374</v>
      </c>
      <c r="M8795">
        <v>1</v>
      </c>
      <c r="N8795">
        <v>0</v>
      </c>
      <c r="O8795">
        <v>1877</v>
      </c>
    </row>
    <row r="8796" spans="1:15" x14ac:dyDescent="0.25">
      <c r="A8796" t="s">
        <v>8809</v>
      </c>
      <c r="B8796">
        <v>256</v>
      </c>
      <c r="C8796" s="1" t="str">
        <f>HYPERLINK("http://www.rosaceae.org/gb/gbrowse/malus_x_domestica/?name=MDP0000372527","MDP0000372527")</f>
        <v>MDP0000372527</v>
      </c>
      <c r="D8796">
        <v>53.95</v>
      </c>
      <c r="E8796">
        <v>291</v>
      </c>
      <c r="F8796">
        <v>134</v>
      </c>
      <c r="G8796">
        <v>37</v>
      </c>
      <c r="H8796">
        <v>1</v>
      </c>
      <c r="I8796">
        <v>256</v>
      </c>
      <c r="J8796">
        <v>1</v>
      </c>
      <c r="K8796">
        <v>1</v>
      </c>
      <c r="L8796">
        <v>289</v>
      </c>
      <c r="M8796">
        <v>1</v>
      </c>
      <c r="N8796">
        <v>3.8997299999999998E-75</v>
      </c>
      <c r="O8796">
        <v>711</v>
      </c>
    </row>
    <row r="8797" spans="1:15" x14ac:dyDescent="0.25">
      <c r="A8797" t="s">
        <v>8810</v>
      </c>
      <c r="B8797">
        <v>741</v>
      </c>
      <c r="C8797" s="1" t="str">
        <f>HYPERLINK("http://www.rosaceae.org/gb/gbrowse/malus_x_domestica/?name=MDP0000490180","MDP0000490180")</f>
        <v>MDP0000490180</v>
      </c>
      <c r="D8797">
        <v>72.959999999999994</v>
      </c>
      <c r="E8797">
        <v>603</v>
      </c>
      <c r="F8797">
        <v>163</v>
      </c>
      <c r="G8797">
        <v>29</v>
      </c>
      <c r="H8797">
        <v>1</v>
      </c>
      <c r="I8797">
        <v>583</v>
      </c>
      <c r="J8797">
        <v>1</v>
      </c>
      <c r="K8797">
        <v>1</v>
      </c>
      <c r="L8797">
        <v>594</v>
      </c>
      <c r="M8797">
        <v>1</v>
      </c>
      <c r="N8797">
        <v>0</v>
      </c>
      <c r="O8797">
        <v>2199</v>
      </c>
    </row>
    <row r="8798" spans="1:15" x14ac:dyDescent="0.25">
      <c r="A8798" t="s">
        <v>8811</v>
      </c>
      <c r="B8798">
        <v>229</v>
      </c>
      <c r="C8798" s="1" t="str">
        <f>HYPERLINK("http://www.rosaceae.org/gb/gbrowse/malus_x_domestica/?name=MDP0000171121","MDP0000171121")</f>
        <v>MDP0000171121</v>
      </c>
      <c r="D8798">
        <v>51.14</v>
      </c>
      <c r="E8798">
        <v>219</v>
      </c>
      <c r="F8798">
        <v>107</v>
      </c>
      <c r="G8798">
        <v>14</v>
      </c>
      <c r="H8798">
        <v>16</v>
      </c>
      <c r="I8798">
        <v>229</v>
      </c>
      <c r="J8798">
        <v>1</v>
      </c>
      <c r="K8798">
        <v>497</v>
      </c>
      <c r="L8798">
        <v>706</v>
      </c>
      <c r="M8798">
        <v>1</v>
      </c>
      <c r="N8798">
        <v>4.4563500000000001E-59</v>
      </c>
      <c r="O8798">
        <v>572</v>
      </c>
    </row>
    <row r="8799" spans="1:15" x14ac:dyDescent="0.25">
      <c r="A8799" t="s">
        <v>8812</v>
      </c>
      <c r="B8799">
        <v>536</v>
      </c>
      <c r="C8799" s="1" t="str">
        <f>HYPERLINK("http://www.rosaceae.org/gb/gbrowse/malus_x_domestica/?name=MDP0000536969","MDP0000536969")</f>
        <v>MDP0000536969</v>
      </c>
      <c r="D8799">
        <v>75.53</v>
      </c>
      <c r="E8799">
        <v>515</v>
      </c>
      <c r="F8799">
        <v>126</v>
      </c>
      <c r="G8799">
        <v>6</v>
      </c>
      <c r="H8799">
        <v>20</v>
      </c>
      <c r="I8799">
        <v>534</v>
      </c>
      <c r="J8799">
        <v>1</v>
      </c>
      <c r="K8799">
        <v>21</v>
      </c>
      <c r="L8799">
        <v>529</v>
      </c>
      <c r="M8799">
        <v>1</v>
      </c>
      <c r="N8799">
        <v>0</v>
      </c>
      <c r="O8799">
        <v>2055</v>
      </c>
    </row>
    <row r="8800" spans="1:15" x14ac:dyDescent="0.25">
      <c r="A8800" t="s">
        <v>8813</v>
      </c>
      <c r="B8800">
        <v>441</v>
      </c>
      <c r="C8800" s="1" t="str">
        <f>HYPERLINK("http://www.rosaceae.org/gb/gbrowse/malus_x_domestica/?name=MDP0000251330","MDP0000251330")</f>
        <v>MDP0000251330</v>
      </c>
      <c r="D8800">
        <v>63.25</v>
      </c>
      <c r="E8800">
        <v>449</v>
      </c>
      <c r="F8800">
        <v>165</v>
      </c>
      <c r="G8800">
        <v>29</v>
      </c>
      <c r="H8800">
        <v>20</v>
      </c>
      <c r="I8800">
        <v>441</v>
      </c>
      <c r="J8800">
        <v>1</v>
      </c>
      <c r="K8800">
        <v>92</v>
      </c>
      <c r="L8800">
        <v>538</v>
      </c>
      <c r="M8800">
        <v>1</v>
      </c>
      <c r="N8800">
        <v>2.76038E-154</v>
      </c>
      <c r="O8800">
        <v>1396</v>
      </c>
    </row>
    <row r="8801" spans="1:15" x14ac:dyDescent="0.25">
      <c r="A8801" t="s">
        <v>8814</v>
      </c>
      <c r="B8801">
        <v>139</v>
      </c>
      <c r="C8801" s="1" t="str">
        <f>HYPERLINK("http://www.rosaceae.org/gb/gbrowse/malus_x_domestica/?name=MDP0000163774","MDP0000163774")</f>
        <v>MDP0000163774</v>
      </c>
      <c r="D8801">
        <v>33.33</v>
      </c>
      <c r="E8801">
        <v>90</v>
      </c>
      <c r="F8801">
        <v>60</v>
      </c>
      <c r="G8801">
        <v>1</v>
      </c>
      <c r="H8801">
        <v>5</v>
      </c>
      <c r="I8801">
        <v>94</v>
      </c>
      <c r="J8801">
        <v>1</v>
      </c>
      <c r="K8801">
        <v>482</v>
      </c>
      <c r="L8801">
        <v>570</v>
      </c>
      <c r="M8801">
        <v>1</v>
      </c>
      <c r="N8801">
        <v>2.9384199999999999E-12</v>
      </c>
      <c r="O8801">
        <v>164</v>
      </c>
    </row>
    <row r="8802" spans="1:15" x14ac:dyDescent="0.25">
      <c r="A8802" t="s">
        <v>8815</v>
      </c>
      <c r="B8802">
        <v>165</v>
      </c>
      <c r="C8802" s="1" t="str">
        <f>HYPERLINK("http://www.rosaceae.org/gb/gbrowse/malus_x_domestica/?name=MDP0000194340","MDP0000194340")</f>
        <v>MDP0000194340</v>
      </c>
      <c r="D8802">
        <v>56</v>
      </c>
      <c r="E8802">
        <v>50</v>
      </c>
      <c r="F8802">
        <v>22</v>
      </c>
      <c r="G8802">
        <v>0</v>
      </c>
      <c r="H8802">
        <v>112</v>
      </c>
      <c r="I8802">
        <v>161</v>
      </c>
      <c r="J8802">
        <v>1</v>
      </c>
      <c r="K8802">
        <v>397</v>
      </c>
      <c r="L8802">
        <v>446</v>
      </c>
      <c r="M8802">
        <v>1</v>
      </c>
      <c r="N8802">
        <v>4.11294E-12</v>
      </c>
      <c r="O8802">
        <v>165</v>
      </c>
    </row>
    <row r="8803" spans="1:15" x14ac:dyDescent="0.25">
      <c r="A8803" t="s">
        <v>8816</v>
      </c>
      <c r="B8803">
        <v>590</v>
      </c>
      <c r="C8803" s="1" t="str">
        <f>HYPERLINK("http://www.rosaceae.org/gb/gbrowse/malus_x_domestica/?name=MDP0000257517","MDP0000257517")</f>
        <v>MDP0000257517</v>
      </c>
      <c r="D8803">
        <v>55.97</v>
      </c>
      <c r="E8803">
        <v>477</v>
      </c>
      <c r="F8803">
        <v>210</v>
      </c>
      <c r="G8803">
        <v>20</v>
      </c>
      <c r="H8803">
        <v>45</v>
      </c>
      <c r="I8803">
        <v>517</v>
      </c>
      <c r="J8803">
        <v>1</v>
      </c>
      <c r="K8803">
        <v>135</v>
      </c>
      <c r="L8803">
        <v>595</v>
      </c>
      <c r="M8803">
        <v>1</v>
      </c>
      <c r="N8803">
        <v>5.0733500000000005E-150</v>
      </c>
      <c r="O8803">
        <v>1361</v>
      </c>
    </row>
    <row r="8804" spans="1:15" x14ac:dyDescent="0.25">
      <c r="A8804" t="s">
        <v>8817</v>
      </c>
      <c r="B8804">
        <v>865</v>
      </c>
      <c r="C8804" s="1" t="str">
        <f>HYPERLINK("http://www.rosaceae.org/gb/gbrowse/malus_x_domestica/?name=MDP0000158475","MDP0000158475")</f>
        <v>MDP0000158475</v>
      </c>
      <c r="D8804">
        <v>69.040000000000006</v>
      </c>
      <c r="E8804">
        <v>798</v>
      </c>
      <c r="F8804">
        <v>247</v>
      </c>
      <c r="G8804">
        <v>8</v>
      </c>
      <c r="H8804">
        <v>65</v>
      </c>
      <c r="I8804">
        <v>858</v>
      </c>
      <c r="J8804">
        <v>1</v>
      </c>
      <c r="K8804">
        <v>24</v>
      </c>
      <c r="L8804">
        <v>817</v>
      </c>
      <c r="M8804">
        <v>1</v>
      </c>
      <c r="N8804">
        <v>0</v>
      </c>
      <c r="O8804">
        <v>2815</v>
      </c>
    </row>
    <row r="8805" spans="1:15" x14ac:dyDescent="0.25">
      <c r="A8805" t="s">
        <v>8818</v>
      </c>
      <c r="B8805">
        <v>760</v>
      </c>
      <c r="C8805" s="1" t="str">
        <f>HYPERLINK("http://www.rosaceae.org/gb/gbrowse/malus_x_domestica/?name=MDP0000321613","MDP0000321613")</f>
        <v>MDP0000321613</v>
      </c>
      <c r="D8805">
        <v>41.15</v>
      </c>
      <c r="E8805">
        <v>277</v>
      </c>
      <c r="F8805">
        <v>163</v>
      </c>
      <c r="G8805">
        <v>25</v>
      </c>
      <c r="H8805">
        <v>82</v>
      </c>
      <c r="I8805">
        <v>345</v>
      </c>
      <c r="J8805">
        <v>1</v>
      </c>
      <c r="K8805">
        <v>358</v>
      </c>
      <c r="L8805">
        <v>622</v>
      </c>
      <c r="M8805">
        <v>1</v>
      </c>
      <c r="N8805">
        <v>1.6209999999999999E-56</v>
      </c>
      <c r="O8805">
        <v>556</v>
      </c>
    </row>
    <row r="8806" spans="1:15" x14ac:dyDescent="0.25">
      <c r="A8806" t="s">
        <v>8819</v>
      </c>
      <c r="B8806">
        <v>546</v>
      </c>
      <c r="C8806" s="1" t="str">
        <f>HYPERLINK("http://www.rosaceae.org/gb/gbrowse/malus_x_domestica/?name=MDP0000123568","MDP0000123568")</f>
        <v>MDP0000123568</v>
      </c>
      <c r="D8806">
        <v>74.45</v>
      </c>
      <c r="E8806">
        <v>462</v>
      </c>
      <c r="F8806">
        <v>118</v>
      </c>
      <c r="G8806">
        <v>30</v>
      </c>
      <c r="H8806">
        <v>61</v>
      </c>
      <c r="I8806">
        <v>520</v>
      </c>
      <c r="J8806">
        <v>1</v>
      </c>
      <c r="K8806">
        <v>101</v>
      </c>
      <c r="L8806">
        <v>534</v>
      </c>
      <c r="M8806">
        <v>1</v>
      </c>
      <c r="N8806">
        <v>0</v>
      </c>
      <c r="O8806">
        <v>1658</v>
      </c>
    </row>
    <row r="8807" spans="1:15" x14ac:dyDescent="0.25">
      <c r="A8807" t="s">
        <v>8820</v>
      </c>
      <c r="B8807">
        <v>353</v>
      </c>
      <c r="C8807" s="1" t="str">
        <f>HYPERLINK("http://www.rosaceae.org/gb/gbrowse/malus_x_domestica/?name=MDP0000500222","MDP0000500222")</f>
        <v>MDP0000500222</v>
      </c>
      <c r="D8807">
        <v>28.88</v>
      </c>
      <c r="E8807">
        <v>367</v>
      </c>
      <c r="F8807">
        <v>261</v>
      </c>
      <c r="G8807">
        <v>90</v>
      </c>
      <c r="H8807">
        <v>10</v>
      </c>
      <c r="I8807">
        <v>310</v>
      </c>
      <c r="J8807">
        <v>1</v>
      </c>
      <c r="K8807">
        <v>58</v>
      </c>
      <c r="L8807">
        <v>400</v>
      </c>
      <c r="M8807">
        <v>1</v>
      </c>
      <c r="N8807">
        <v>1.1661999999999999E-22</v>
      </c>
      <c r="O8807">
        <v>260</v>
      </c>
    </row>
    <row r="8808" spans="1:15" x14ac:dyDescent="0.25">
      <c r="A8808" t="s">
        <v>8821</v>
      </c>
      <c r="B8808">
        <v>671</v>
      </c>
      <c r="C8808" s="1" t="str">
        <f>HYPERLINK("http://www.rosaceae.org/gb/gbrowse/malus_x_domestica/?name=MDP0000203079","MDP0000203079")</f>
        <v>MDP0000203079</v>
      </c>
      <c r="D8808">
        <v>33.17</v>
      </c>
      <c r="E8808">
        <v>434</v>
      </c>
      <c r="F8808">
        <v>290</v>
      </c>
      <c r="G8808">
        <v>64</v>
      </c>
      <c r="H8808">
        <v>5</v>
      </c>
      <c r="I8808">
        <v>412</v>
      </c>
      <c r="J8808">
        <v>1</v>
      </c>
      <c r="K8808">
        <v>5</v>
      </c>
      <c r="L8808">
        <v>400</v>
      </c>
      <c r="M8808">
        <v>1</v>
      </c>
      <c r="N8808">
        <v>7.1105100000000004E-50</v>
      </c>
      <c r="O8808">
        <v>498</v>
      </c>
    </row>
    <row r="8809" spans="1:15" x14ac:dyDescent="0.25">
      <c r="A8809" t="s">
        <v>8822</v>
      </c>
      <c r="B8809">
        <v>1000</v>
      </c>
      <c r="C8809" s="1" t="str">
        <f>HYPERLINK("http://www.rosaceae.org/gb/gbrowse/malus_x_domestica/?name=MDP0000227381","MDP0000227381")</f>
        <v>MDP0000227381</v>
      </c>
      <c r="D8809">
        <v>79.87</v>
      </c>
      <c r="E8809">
        <v>964</v>
      </c>
      <c r="F8809">
        <v>194</v>
      </c>
      <c r="G8809">
        <v>83</v>
      </c>
      <c r="H8809">
        <v>1</v>
      </c>
      <c r="I8809">
        <v>955</v>
      </c>
      <c r="J8809">
        <v>1</v>
      </c>
      <c r="K8809">
        <v>1</v>
      </c>
      <c r="L8809">
        <v>890</v>
      </c>
      <c r="M8809">
        <v>1</v>
      </c>
      <c r="N8809">
        <v>0</v>
      </c>
      <c r="O8809">
        <v>3939</v>
      </c>
    </row>
    <row r="8810" spans="1:15" x14ac:dyDescent="0.25">
      <c r="A8810" t="s">
        <v>8823</v>
      </c>
      <c r="B8810">
        <v>442</v>
      </c>
      <c r="C8810" s="1" t="str">
        <f>HYPERLINK("http://www.rosaceae.org/gb/gbrowse/malus_x_domestica/?name=MDP0000221964","MDP0000221964")</f>
        <v>MDP0000221964</v>
      </c>
      <c r="D8810">
        <v>90</v>
      </c>
      <c r="E8810">
        <v>150</v>
      </c>
      <c r="F8810">
        <v>15</v>
      </c>
      <c r="G8810">
        <v>0</v>
      </c>
      <c r="H8810">
        <v>175</v>
      </c>
      <c r="I8810">
        <v>324</v>
      </c>
      <c r="J8810">
        <v>1</v>
      </c>
      <c r="K8810">
        <v>3</v>
      </c>
      <c r="L8810">
        <v>152</v>
      </c>
      <c r="M8810">
        <v>1</v>
      </c>
      <c r="N8810">
        <v>6.5211700000000002E-77</v>
      </c>
      <c r="O8810">
        <v>729</v>
      </c>
    </row>
    <row r="8811" spans="1:15" x14ac:dyDescent="0.25">
      <c r="A8811" t="s">
        <v>8824</v>
      </c>
      <c r="B8811">
        <v>276</v>
      </c>
      <c r="C8811" s="1" t="str">
        <f>HYPERLINK("http://www.rosaceae.org/gb/gbrowse/malus_x_domestica/?name=MDP0000129618","MDP0000129618")</f>
        <v>MDP0000129618</v>
      </c>
      <c r="D8811">
        <v>56.85</v>
      </c>
      <c r="E8811">
        <v>343</v>
      </c>
      <c r="F8811">
        <v>148</v>
      </c>
      <c r="G8811">
        <v>75</v>
      </c>
      <c r="H8811">
        <v>1</v>
      </c>
      <c r="I8811">
        <v>275</v>
      </c>
      <c r="J8811">
        <v>1</v>
      </c>
      <c r="K8811">
        <v>4</v>
      </c>
      <c r="L8811">
        <v>339</v>
      </c>
      <c r="M8811">
        <v>1</v>
      </c>
      <c r="N8811">
        <v>1.9121000000000001E-99</v>
      </c>
      <c r="O8811">
        <v>921</v>
      </c>
    </row>
    <row r="8812" spans="1:15" x14ac:dyDescent="0.25">
      <c r="A8812" t="s">
        <v>8825</v>
      </c>
      <c r="B8812">
        <v>1434</v>
      </c>
      <c r="C8812" s="1" t="str">
        <f>HYPERLINK("http://www.rosaceae.org/gb/gbrowse/malus_x_domestica/?name=MDP0000186775","MDP0000186775")</f>
        <v>MDP0000186775</v>
      </c>
      <c r="D8812">
        <v>71.930000000000007</v>
      </c>
      <c r="E8812">
        <v>898</v>
      </c>
      <c r="F8812">
        <v>252</v>
      </c>
      <c r="G8812">
        <v>17</v>
      </c>
      <c r="H8812">
        <v>543</v>
      </c>
      <c r="I8812">
        <v>1434</v>
      </c>
      <c r="J8812">
        <v>1</v>
      </c>
      <c r="K8812">
        <v>1</v>
      </c>
      <c r="L8812">
        <v>887</v>
      </c>
      <c r="M8812">
        <v>1</v>
      </c>
      <c r="N8812">
        <v>0</v>
      </c>
      <c r="O8812">
        <v>3368</v>
      </c>
    </row>
    <row r="8813" spans="1:15" x14ac:dyDescent="0.25">
      <c r="A8813" t="s">
        <v>8826</v>
      </c>
      <c r="B8813">
        <v>451</v>
      </c>
      <c r="C8813" s="1" t="str">
        <f>HYPERLINK("http://www.rosaceae.org/gb/gbrowse/malus_x_domestica/?name=MDP0000188494","MDP0000188494")</f>
        <v>MDP0000188494</v>
      </c>
      <c r="D8813">
        <v>69.06</v>
      </c>
      <c r="E8813">
        <v>362</v>
      </c>
      <c r="F8813">
        <v>112</v>
      </c>
      <c r="G8813">
        <v>40</v>
      </c>
      <c r="H8813">
        <v>67</v>
      </c>
      <c r="I8813">
        <v>428</v>
      </c>
      <c r="J8813">
        <v>1</v>
      </c>
      <c r="K8813">
        <v>2</v>
      </c>
      <c r="L8813">
        <v>323</v>
      </c>
      <c r="M8813">
        <v>1</v>
      </c>
      <c r="N8813">
        <v>1.1208999999999999E-141</v>
      </c>
      <c r="O8813">
        <v>1288</v>
      </c>
    </row>
    <row r="8814" spans="1:15" x14ac:dyDescent="0.25">
      <c r="A8814" t="s">
        <v>8827</v>
      </c>
      <c r="B8814">
        <v>432</v>
      </c>
      <c r="C8814" s="1" t="str">
        <f>HYPERLINK("http://www.rosaceae.org/gb/gbrowse/malus_x_domestica/?name=MDP0000236977","MDP0000236977")</f>
        <v>MDP0000236977</v>
      </c>
      <c r="D8814">
        <v>72.959999999999994</v>
      </c>
      <c r="E8814">
        <v>429</v>
      </c>
      <c r="F8814">
        <v>116</v>
      </c>
      <c r="G8814">
        <v>69</v>
      </c>
      <c r="H8814">
        <v>1</v>
      </c>
      <c r="I8814">
        <v>423</v>
      </c>
      <c r="J8814">
        <v>1</v>
      </c>
      <c r="K8814">
        <v>1</v>
      </c>
      <c r="L8814">
        <v>366</v>
      </c>
      <c r="M8814">
        <v>1</v>
      </c>
      <c r="N8814">
        <v>1.71298E-175</v>
      </c>
      <c r="O8814">
        <v>1579</v>
      </c>
    </row>
    <row r="8815" spans="1:15" x14ac:dyDescent="0.25">
      <c r="A8815" t="s">
        <v>8828</v>
      </c>
      <c r="B8815">
        <v>600</v>
      </c>
      <c r="C8815" s="1" t="str">
        <f>HYPERLINK("http://www.rosaceae.org/gb/gbrowse/malus_x_domestica/?name=MDP0000795821","MDP0000795821")</f>
        <v>MDP0000795821</v>
      </c>
      <c r="D8815">
        <v>78</v>
      </c>
      <c r="E8815">
        <v>582</v>
      </c>
      <c r="F8815">
        <v>128</v>
      </c>
      <c r="G8815">
        <v>2</v>
      </c>
      <c r="H8815">
        <v>18</v>
      </c>
      <c r="I8815">
        <v>597</v>
      </c>
      <c r="J8815">
        <v>1</v>
      </c>
      <c r="K8815">
        <v>20</v>
      </c>
      <c r="L8815">
        <v>601</v>
      </c>
      <c r="M8815">
        <v>1</v>
      </c>
      <c r="N8815">
        <v>0</v>
      </c>
      <c r="O8815">
        <v>2415</v>
      </c>
    </row>
    <row r="8816" spans="1:15" x14ac:dyDescent="0.25">
      <c r="A8816" t="s">
        <v>8829</v>
      </c>
      <c r="B8816">
        <v>831</v>
      </c>
      <c r="C8816" s="1" t="str">
        <f>HYPERLINK("http://www.rosaceae.org/gb/gbrowse/malus_x_domestica/?name=MDP0000413760","MDP0000413760")</f>
        <v>MDP0000413760</v>
      </c>
      <c r="D8816">
        <v>82.97</v>
      </c>
      <c r="E8816">
        <v>188</v>
      </c>
      <c r="F8816">
        <v>32</v>
      </c>
      <c r="G8816">
        <v>2</v>
      </c>
      <c r="H8816">
        <v>3</v>
      </c>
      <c r="I8816">
        <v>188</v>
      </c>
      <c r="J8816">
        <v>1</v>
      </c>
      <c r="K8816">
        <v>2</v>
      </c>
      <c r="L8816">
        <v>189</v>
      </c>
      <c r="M8816">
        <v>1</v>
      </c>
      <c r="N8816">
        <v>2.5388699999999999E-86</v>
      </c>
      <c r="O8816">
        <v>813</v>
      </c>
    </row>
    <row r="8817" spans="1:15" x14ac:dyDescent="0.25">
      <c r="A8817" t="s">
        <v>8830</v>
      </c>
      <c r="B8817">
        <v>309</v>
      </c>
      <c r="C8817" s="1" t="str">
        <f>HYPERLINK("http://www.rosaceae.org/gb/gbrowse/malus_x_domestica/?name=MDP0000870056","MDP0000870056")</f>
        <v>MDP0000870056</v>
      </c>
      <c r="D8817">
        <v>65.709999999999994</v>
      </c>
      <c r="E8817">
        <v>35</v>
      </c>
      <c r="F8817">
        <v>12</v>
      </c>
      <c r="G8817">
        <v>2</v>
      </c>
      <c r="H8817">
        <v>275</v>
      </c>
      <c r="I8817">
        <v>309</v>
      </c>
      <c r="J8817">
        <v>1</v>
      </c>
      <c r="K8817">
        <v>277</v>
      </c>
      <c r="L8817">
        <v>309</v>
      </c>
      <c r="M8817">
        <v>1</v>
      </c>
      <c r="N8817">
        <v>2.9992299999999998E-8</v>
      </c>
      <c r="O8817">
        <v>135</v>
      </c>
    </row>
    <row r="8818" spans="1:15" x14ac:dyDescent="0.25">
      <c r="A8818" t="s">
        <v>8831</v>
      </c>
      <c r="B8818">
        <v>471</v>
      </c>
      <c r="C8818" s="1" t="str">
        <f>HYPERLINK("http://www.rosaceae.org/gb/gbrowse/malus_x_domestica/?name=MDP0000131368","MDP0000131368")</f>
        <v>MDP0000131368</v>
      </c>
      <c r="D8818">
        <v>66.38</v>
      </c>
      <c r="E8818">
        <v>470</v>
      </c>
      <c r="F8818">
        <v>158</v>
      </c>
      <c r="G8818">
        <v>12</v>
      </c>
      <c r="H8818">
        <v>3</v>
      </c>
      <c r="I8818">
        <v>471</v>
      </c>
      <c r="J8818">
        <v>1</v>
      </c>
      <c r="K8818">
        <v>6</v>
      </c>
      <c r="L8818">
        <v>464</v>
      </c>
      <c r="M8818">
        <v>1</v>
      </c>
      <c r="N8818">
        <v>7.3141599999999995E-169</v>
      </c>
      <c r="O8818">
        <v>1522</v>
      </c>
    </row>
    <row r="8819" spans="1:15" x14ac:dyDescent="0.25">
      <c r="A8819" t="s">
        <v>8832</v>
      </c>
      <c r="B8819">
        <v>464</v>
      </c>
      <c r="C8819" s="1" t="str">
        <f>HYPERLINK("http://www.rosaceae.org/gb/gbrowse/malus_x_domestica/?name=MDP0000320087","MDP0000320087")</f>
        <v>MDP0000320087</v>
      </c>
      <c r="D8819">
        <v>79.95</v>
      </c>
      <c r="E8819">
        <v>404</v>
      </c>
      <c r="F8819">
        <v>81</v>
      </c>
      <c r="G8819">
        <v>8</v>
      </c>
      <c r="H8819">
        <v>68</v>
      </c>
      <c r="I8819">
        <v>464</v>
      </c>
      <c r="J8819">
        <v>1</v>
      </c>
      <c r="K8819">
        <v>459</v>
      </c>
      <c r="L8819">
        <v>861</v>
      </c>
      <c r="M8819">
        <v>1</v>
      </c>
      <c r="N8819">
        <v>0</v>
      </c>
      <c r="O8819">
        <v>1736</v>
      </c>
    </row>
    <row r="8820" spans="1:15" x14ac:dyDescent="0.25">
      <c r="A8820" t="s">
        <v>8833</v>
      </c>
      <c r="B8820">
        <v>1105</v>
      </c>
      <c r="C8820" s="1" t="str">
        <f>HYPERLINK("http://www.rosaceae.org/gb/gbrowse/malus_x_domestica/?name=MDP0000580715","MDP0000580715")</f>
        <v>MDP0000580715</v>
      </c>
      <c r="D8820">
        <v>75.7</v>
      </c>
      <c r="E8820">
        <v>782</v>
      </c>
      <c r="F8820">
        <v>190</v>
      </c>
      <c r="G8820">
        <v>5</v>
      </c>
      <c r="H8820">
        <v>199</v>
      </c>
      <c r="I8820">
        <v>975</v>
      </c>
      <c r="J8820">
        <v>1</v>
      </c>
      <c r="K8820">
        <v>19</v>
      </c>
      <c r="L8820">
        <v>800</v>
      </c>
      <c r="M8820">
        <v>1</v>
      </c>
      <c r="N8820">
        <v>0</v>
      </c>
      <c r="O8820">
        <v>3240</v>
      </c>
    </row>
    <row r="8821" spans="1:15" x14ac:dyDescent="0.25">
      <c r="A8821" t="s">
        <v>8834</v>
      </c>
      <c r="B8821">
        <v>170</v>
      </c>
      <c r="C8821" s="1" t="str">
        <f>HYPERLINK("http://www.rosaceae.org/gb/gbrowse/malus_x_domestica/?name=MDP0000156388","MDP0000156388")</f>
        <v>MDP0000156388</v>
      </c>
      <c r="D8821">
        <v>74.11</v>
      </c>
      <c r="E8821">
        <v>170</v>
      </c>
      <c r="F8821">
        <v>44</v>
      </c>
      <c r="G8821">
        <v>7</v>
      </c>
      <c r="H8821">
        <v>1</v>
      </c>
      <c r="I8821">
        <v>170</v>
      </c>
      <c r="J8821">
        <v>1</v>
      </c>
      <c r="K8821">
        <v>1</v>
      </c>
      <c r="L8821">
        <v>163</v>
      </c>
      <c r="M8821">
        <v>1</v>
      </c>
      <c r="N8821">
        <v>7.4006799999999997E-69</v>
      </c>
      <c r="O8821">
        <v>654</v>
      </c>
    </row>
    <row r="8822" spans="1:15" x14ac:dyDescent="0.25">
      <c r="A8822" t="s">
        <v>8835</v>
      </c>
      <c r="B8822">
        <v>204</v>
      </c>
      <c r="C8822" s="1" t="str">
        <f>HYPERLINK("http://www.rosaceae.org/gb/gbrowse/malus_x_domestica/?name=MDP0000141893","MDP0000141893")</f>
        <v>MDP0000141893</v>
      </c>
      <c r="D8822">
        <v>90.13</v>
      </c>
      <c r="E8822">
        <v>152</v>
      </c>
      <c r="F8822">
        <v>15</v>
      </c>
      <c r="G8822">
        <v>0</v>
      </c>
      <c r="H8822">
        <v>51</v>
      </c>
      <c r="I8822">
        <v>202</v>
      </c>
      <c r="J8822">
        <v>1</v>
      </c>
      <c r="K8822">
        <v>1</v>
      </c>
      <c r="L8822">
        <v>152</v>
      </c>
      <c r="M8822">
        <v>1</v>
      </c>
      <c r="N8822">
        <v>4.0088200000000002E-72</v>
      </c>
      <c r="O8822">
        <v>684</v>
      </c>
    </row>
    <row r="8823" spans="1:15" x14ac:dyDescent="0.25">
      <c r="A8823" t="s">
        <v>8836</v>
      </c>
      <c r="B8823">
        <v>598</v>
      </c>
      <c r="C8823" s="1" t="str">
        <f>HYPERLINK("http://www.rosaceae.org/gb/gbrowse/malus_x_domestica/?name=MDP0000139264","MDP0000139264")</f>
        <v>MDP0000139264</v>
      </c>
      <c r="D8823">
        <v>45.05</v>
      </c>
      <c r="E8823">
        <v>91</v>
      </c>
      <c r="F8823">
        <v>50</v>
      </c>
      <c r="G8823">
        <v>4</v>
      </c>
      <c r="H8823">
        <v>33</v>
      </c>
      <c r="I8823">
        <v>121</v>
      </c>
      <c r="J8823">
        <v>1</v>
      </c>
      <c r="K8823">
        <v>3</v>
      </c>
      <c r="L8823">
        <v>91</v>
      </c>
      <c r="M8823">
        <v>1</v>
      </c>
      <c r="N8823">
        <v>1.68276E-13</v>
      </c>
      <c r="O8823">
        <v>184</v>
      </c>
    </row>
    <row r="8824" spans="1:15" x14ac:dyDescent="0.25">
      <c r="A8824" t="s">
        <v>8837</v>
      </c>
      <c r="B8824">
        <v>274</v>
      </c>
      <c r="C8824" s="1" t="str">
        <f>HYPERLINK("http://www.rosaceae.org/gb/gbrowse/malus_x_domestica/?name=MDP0000291259","MDP0000291259")</f>
        <v>MDP0000291259</v>
      </c>
      <c r="D8824">
        <v>60.61</v>
      </c>
      <c r="E8824">
        <v>226</v>
      </c>
      <c r="F8824">
        <v>89</v>
      </c>
      <c r="G8824">
        <v>7</v>
      </c>
      <c r="H8824">
        <v>45</v>
      </c>
      <c r="I8824">
        <v>269</v>
      </c>
      <c r="J8824">
        <v>1</v>
      </c>
      <c r="K8824">
        <v>114</v>
      </c>
      <c r="L8824">
        <v>333</v>
      </c>
      <c r="M8824">
        <v>1</v>
      </c>
      <c r="N8824">
        <v>1.0995900000000001E-68</v>
      </c>
      <c r="O8824">
        <v>656</v>
      </c>
    </row>
    <row r="8825" spans="1:15" x14ac:dyDescent="0.25">
      <c r="A8825" t="s">
        <v>8838</v>
      </c>
      <c r="B8825">
        <v>1209</v>
      </c>
      <c r="C8825" s="1" t="str">
        <f>HYPERLINK("http://www.rosaceae.org/gb/gbrowse/malus_x_domestica/?name=MDP0000252022","MDP0000252022")</f>
        <v>MDP0000252022</v>
      </c>
      <c r="D8825">
        <v>44.26</v>
      </c>
      <c r="E8825">
        <v>784</v>
      </c>
      <c r="F8825">
        <v>437</v>
      </c>
      <c r="G8825">
        <v>134</v>
      </c>
      <c r="H8825">
        <v>404</v>
      </c>
      <c r="I8825">
        <v>1098</v>
      </c>
      <c r="J8825">
        <v>1</v>
      </c>
      <c r="K8825">
        <v>1</v>
      </c>
      <c r="L8825">
        <v>739</v>
      </c>
      <c r="M8825">
        <v>1</v>
      </c>
      <c r="N8825">
        <v>1.7578E-143</v>
      </c>
      <c r="O8825">
        <v>1308</v>
      </c>
    </row>
    <row r="8826" spans="1:15" x14ac:dyDescent="0.25">
      <c r="A8826" t="s">
        <v>8839</v>
      </c>
      <c r="B8826">
        <v>212</v>
      </c>
      <c r="C8826" s="1" t="str">
        <f>HYPERLINK("http://www.rosaceae.org/gb/gbrowse/malus_x_domestica/?name=MDP0000630739","MDP0000630739")</f>
        <v>MDP0000630739</v>
      </c>
      <c r="D8826">
        <v>63.63</v>
      </c>
      <c r="E8826">
        <v>242</v>
      </c>
      <c r="F8826">
        <v>88</v>
      </c>
      <c r="G8826">
        <v>30</v>
      </c>
      <c r="H8826">
        <v>1</v>
      </c>
      <c r="I8826">
        <v>212</v>
      </c>
      <c r="J8826">
        <v>1</v>
      </c>
      <c r="K8826">
        <v>547</v>
      </c>
      <c r="L8826">
        <v>788</v>
      </c>
      <c r="M8826">
        <v>1</v>
      </c>
      <c r="N8826">
        <v>9.1837700000000005E-85</v>
      </c>
      <c r="O8826">
        <v>793</v>
      </c>
    </row>
    <row r="8827" spans="1:15" x14ac:dyDescent="0.25">
      <c r="A8827" t="s">
        <v>8840</v>
      </c>
      <c r="B8827">
        <v>209</v>
      </c>
      <c r="C8827" s="1" t="str">
        <f>HYPERLINK("http://www.rosaceae.org/gb/gbrowse/malus_x_domestica/?name=MDP0000507277","MDP0000507277")</f>
        <v>MDP0000507277</v>
      </c>
      <c r="D8827">
        <v>39.44</v>
      </c>
      <c r="E8827">
        <v>218</v>
      </c>
      <c r="F8827">
        <v>132</v>
      </c>
      <c r="G8827">
        <v>35</v>
      </c>
      <c r="H8827">
        <v>2</v>
      </c>
      <c r="I8827">
        <v>206</v>
      </c>
      <c r="J8827">
        <v>1</v>
      </c>
      <c r="K8827">
        <v>861</v>
      </c>
      <c r="L8827">
        <v>1056</v>
      </c>
      <c r="M8827">
        <v>1</v>
      </c>
      <c r="N8827">
        <v>3.7521399999999998E-29</v>
      </c>
      <c r="O8827">
        <v>313</v>
      </c>
    </row>
    <row r="8828" spans="1:15" x14ac:dyDescent="0.25">
      <c r="A8828" t="s">
        <v>8841</v>
      </c>
      <c r="B8828">
        <v>84</v>
      </c>
      <c r="C8828" s="1" t="str">
        <f>HYPERLINK("http://www.rosaceae.org/gb/gbrowse/malus_x_domestica/?name=MDP0000316852","MDP0000316852")</f>
        <v>MDP0000316852</v>
      </c>
      <c r="D8828">
        <v>42.1</v>
      </c>
      <c r="E8828">
        <v>76</v>
      </c>
      <c r="F8828">
        <v>44</v>
      </c>
      <c r="G8828">
        <v>4</v>
      </c>
      <c r="H8828">
        <v>11</v>
      </c>
      <c r="I8828">
        <v>82</v>
      </c>
      <c r="J8828">
        <v>1</v>
      </c>
      <c r="K8828">
        <v>146</v>
      </c>
      <c r="L8828">
        <v>221</v>
      </c>
      <c r="M8828">
        <v>1</v>
      </c>
      <c r="N8828">
        <v>2.1770900000000001E-10</v>
      </c>
      <c r="O8828">
        <v>147</v>
      </c>
    </row>
    <row r="8829" spans="1:15" x14ac:dyDescent="0.25">
      <c r="A8829" t="s">
        <v>8842</v>
      </c>
      <c r="B8829">
        <v>437</v>
      </c>
      <c r="C8829" s="1" t="str">
        <f>HYPERLINK("http://www.rosaceae.org/gb/gbrowse/malus_x_domestica/?name=MDP0000196404","MDP0000196404")</f>
        <v>MDP0000196404</v>
      </c>
      <c r="D8829">
        <v>66.290000000000006</v>
      </c>
      <c r="E8829">
        <v>445</v>
      </c>
      <c r="F8829">
        <v>150</v>
      </c>
      <c r="G8829">
        <v>10</v>
      </c>
      <c r="H8829">
        <v>1</v>
      </c>
      <c r="I8829">
        <v>435</v>
      </c>
      <c r="J8829">
        <v>1</v>
      </c>
      <c r="K8829">
        <v>1</v>
      </c>
      <c r="L8829">
        <v>445</v>
      </c>
      <c r="M8829">
        <v>1</v>
      </c>
      <c r="N8829">
        <v>3.59747E-172</v>
      </c>
      <c r="O8829">
        <v>1551</v>
      </c>
    </row>
    <row r="8830" spans="1:15" x14ac:dyDescent="0.25">
      <c r="A8830" t="s">
        <v>8843</v>
      </c>
      <c r="B8830">
        <v>280</v>
      </c>
      <c r="C8830" s="1" t="str">
        <f>HYPERLINK("http://www.rosaceae.org/gb/gbrowse/malus_x_domestica/?name=MDP0000322036","MDP0000322036")</f>
        <v>MDP0000322036</v>
      </c>
      <c r="D8830">
        <v>31.51</v>
      </c>
      <c r="E8830">
        <v>257</v>
      </c>
      <c r="F8830">
        <v>176</v>
      </c>
      <c r="G8830">
        <v>42</v>
      </c>
      <c r="H8830">
        <v>4</v>
      </c>
      <c r="I8830">
        <v>252</v>
      </c>
      <c r="J8830">
        <v>1</v>
      </c>
      <c r="K8830">
        <v>93</v>
      </c>
      <c r="L8830">
        <v>315</v>
      </c>
      <c r="M8830">
        <v>1</v>
      </c>
      <c r="N8830">
        <v>1.17938E-31</v>
      </c>
      <c r="O8830">
        <v>337</v>
      </c>
    </row>
    <row r="8831" spans="1:15" x14ac:dyDescent="0.25">
      <c r="A8831" t="s">
        <v>8844</v>
      </c>
      <c r="B8831">
        <v>1457</v>
      </c>
      <c r="C8831" s="1" t="str">
        <f>HYPERLINK("http://www.rosaceae.org/gb/gbrowse/malus_x_domestica/?name=MDP0000300795","MDP0000300795")</f>
        <v>MDP0000300795</v>
      </c>
      <c r="D8831">
        <v>75.08</v>
      </c>
      <c r="E8831">
        <v>1128</v>
      </c>
      <c r="F8831">
        <v>281</v>
      </c>
      <c r="G8831">
        <v>10</v>
      </c>
      <c r="H8831">
        <v>3</v>
      </c>
      <c r="I8831">
        <v>1129</v>
      </c>
      <c r="J8831">
        <v>1</v>
      </c>
      <c r="K8831">
        <v>199</v>
      </c>
      <c r="L8831">
        <v>1317</v>
      </c>
      <c r="M8831">
        <v>1</v>
      </c>
      <c r="N8831">
        <v>0</v>
      </c>
      <c r="O8831">
        <v>4631</v>
      </c>
    </row>
    <row r="8832" spans="1:15" x14ac:dyDescent="0.25">
      <c r="A8832" t="s">
        <v>8845</v>
      </c>
      <c r="B8832">
        <v>321</v>
      </c>
      <c r="C8832" s="1" t="str">
        <f>HYPERLINK("http://www.rosaceae.org/gb/gbrowse/malus_x_domestica/?name=MDP0000172862","MDP0000172862")</f>
        <v>MDP0000172862</v>
      </c>
      <c r="D8832">
        <v>87.82</v>
      </c>
      <c r="E8832">
        <v>345</v>
      </c>
      <c r="F8832">
        <v>42</v>
      </c>
      <c r="G8832">
        <v>39</v>
      </c>
      <c r="H8832">
        <v>1</v>
      </c>
      <c r="I8832">
        <v>321</v>
      </c>
      <c r="J8832">
        <v>1</v>
      </c>
      <c r="K8832">
        <v>1</v>
      </c>
      <c r="L8832">
        <v>330</v>
      </c>
      <c r="M8832">
        <v>1</v>
      </c>
      <c r="N8832">
        <v>2.57994E-176</v>
      </c>
      <c r="O8832">
        <v>1585</v>
      </c>
    </row>
    <row r="8833" spans="1:15" x14ac:dyDescent="0.25">
      <c r="A8833" t="s">
        <v>8846</v>
      </c>
      <c r="B8833">
        <v>1619</v>
      </c>
      <c r="C8833" s="1" t="str">
        <f>HYPERLINK("http://www.rosaceae.org/gb/gbrowse/malus_x_domestica/?name=MDP0000782534","MDP0000782534")</f>
        <v>MDP0000782534</v>
      </c>
      <c r="D8833">
        <v>84.92</v>
      </c>
      <c r="E8833">
        <v>1347</v>
      </c>
      <c r="F8833">
        <v>203</v>
      </c>
      <c r="G8833">
        <v>6</v>
      </c>
      <c r="H8833">
        <v>275</v>
      </c>
      <c r="I8833">
        <v>1619</v>
      </c>
      <c r="J8833">
        <v>1</v>
      </c>
      <c r="K8833">
        <v>72</v>
      </c>
      <c r="L8833">
        <v>1414</v>
      </c>
      <c r="M8833">
        <v>1</v>
      </c>
      <c r="N8833">
        <v>0</v>
      </c>
      <c r="O8833">
        <v>6009</v>
      </c>
    </row>
    <row r="8834" spans="1:15" x14ac:dyDescent="0.25">
      <c r="A8834" t="s">
        <v>8847</v>
      </c>
      <c r="B8834">
        <v>398</v>
      </c>
      <c r="C8834" s="1" t="str">
        <f>HYPERLINK("http://www.rosaceae.org/gb/gbrowse/malus_x_domestica/?name=MDP0000159977","MDP0000159977")</f>
        <v>MDP0000159977</v>
      </c>
      <c r="D8834">
        <v>55.55</v>
      </c>
      <c r="E8834">
        <v>378</v>
      </c>
      <c r="F8834">
        <v>168</v>
      </c>
      <c r="G8834">
        <v>11</v>
      </c>
      <c r="H8834">
        <v>1</v>
      </c>
      <c r="I8834">
        <v>371</v>
      </c>
      <c r="J8834">
        <v>1</v>
      </c>
      <c r="K8834">
        <v>1</v>
      </c>
      <c r="L8834">
        <v>374</v>
      </c>
      <c r="M8834">
        <v>1</v>
      </c>
      <c r="N8834">
        <v>2.9258499999999999E-107</v>
      </c>
      <c r="O8834">
        <v>990</v>
      </c>
    </row>
    <row r="8835" spans="1:15" x14ac:dyDescent="0.25">
      <c r="A8835" t="s">
        <v>8848</v>
      </c>
      <c r="B8835">
        <v>519</v>
      </c>
      <c r="C8835" s="1" t="str">
        <f>HYPERLINK("http://www.rosaceae.org/gb/gbrowse/malus_x_domestica/?name=MDP0000232453","MDP0000232453")</f>
        <v>MDP0000232453</v>
      </c>
      <c r="D8835">
        <v>66.48</v>
      </c>
      <c r="E8835">
        <v>188</v>
      </c>
      <c r="F8835">
        <v>63</v>
      </c>
      <c r="G8835">
        <v>7</v>
      </c>
      <c r="H8835">
        <v>337</v>
      </c>
      <c r="I8835">
        <v>517</v>
      </c>
      <c r="J8835">
        <v>1</v>
      </c>
      <c r="K8835">
        <v>281</v>
      </c>
      <c r="L8835">
        <v>468</v>
      </c>
      <c r="M8835">
        <v>1</v>
      </c>
      <c r="N8835">
        <v>7.1123200000000003E-67</v>
      </c>
      <c r="O8835">
        <v>643</v>
      </c>
    </row>
    <row r="8836" spans="1:15" x14ac:dyDescent="0.25">
      <c r="A8836" t="s">
        <v>8849</v>
      </c>
      <c r="B8836">
        <v>136</v>
      </c>
      <c r="C8836" s="1" t="str">
        <f>HYPERLINK("http://www.rosaceae.org/gb/gbrowse/malus_x_domestica/?name=MDP0000322229","MDP0000322229")</f>
        <v>MDP0000322229</v>
      </c>
      <c r="D8836">
        <v>87.5</v>
      </c>
      <c r="E8836">
        <v>136</v>
      </c>
      <c r="F8836">
        <v>17</v>
      </c>
      <c r="G8836">
        <v>0</v>
      </c>
      <c r="H8836">
        <v>1</v>
      </c>
      <c r="I8836">
        <v>136</v>
      </c>
      <c r="J8836">
        <v>1</v>
      </c>
      <c r="K8836">
        <v>37</v>
      </c>
      <c r="L8836">
        <v>172</v>
      </c>
      <c r="M8836">
        <v>1</v>
      </c>
      <c r="N8836">
        <v>3.0720100000000002E-63</v>
      </c>
      <c r="O8836">
        <v>604</v>
      </c>
    </row>
    <row r="8837" spans="1:15" x14ac:dyDescent="0.25">
      <c r="A8837" t="s">
        <v>8850</v>
      </c>
      <c r="B8837">
        <v>328</v>
      </c>
      <c r="C8837" s="1" t="str">
        <f>HYPERLINK("http://www.rosaceae.org/gb/gbrowse/malus_x_domestica/?name=MDP0000292490","MDP0000292490")</f>
        <v>MDP0000292490</v>
      </c>
      <c r="D8837">
        <v>70.09</v>
      </c>
      <c r="E8837">
        <v>331</v>
      </c>
      <c r="F8837">
        <v>99</v>
      </c>
      <c r="G8837">
        <v>10</v>
      </c>
      <c r="H8837">
        <v>1</v>
      </c>
      <c r="I8837">
        <v>321</v>
      </c>
      <c r="J8837">
        <v>1</v>
      </c>
      <c r="K8837">
        <v>1</v>
      </c>
      <c r="L8837">
        <v>331</v>
      </c>
      <c r="M8837">
        <v>1</v>
      </c>
      <c r="N8837">
        <v>1.1135400000000001E-133</v>
      </c>
      <c r="O8837">
        <v>1217</v>
      </c>
    </row>
    <row r="8838" spans="1:15" x14ac:dyDescent="0.25">
      <c r="A8838" t="s">
        <v>8851</v>
      </c>
      <c r="B8838">
        <v>1128</v>
      </c>
      <c r="C8838" s="1" t="str">
        <f>HYPERLINK("http://www.rosaceae.org/gb/gbrowse/malus_x_domestica/?name=MDP0000319760","MDP0000319760")</f>
        <v>MDP0000319760</v>
      </c>
      <c r="D8838">
        <v>70.790000000000006</v>
      </c>
      <c r="E8838">
        <v>1178</v>
      </c>
      <c r="F8838">
        <v>344</v>
      </c>
      <c r="G8838">
        <v>140</v>
      </c>
      <c r="H8838">
        <v>1</v>
      </c>
      <c r="I8838">
        <v>1128</v>
      </c>
      <c r="J8838">
        <v>1</v>
      </c>
      <c r="K8838">
        <v>1</v>
      </c>
      <c r="L8838">
        <v>1088</v>
      </c>
      <c r="M8838">
        <v>1</v>
      </c>
      <c r="N8838">
        <v>0</v>
      </c>
      <c r="O8838">
        <v>4048</v>
      </c>
    </row>
    <row r="8839" spans="1:15" x14ac:dyDescent="0.25">
      <c r="A8839" t="s">
        <v>8852</v>
      </c>
      <c r="B8839">
        <v>361</v>
      </c>
      <c r="C8839" s="1" t="str">
        <f>HYPERLINK("http://www.rosaceae.org/gb/gbrowse/malus_x_domestica/?name=MDP0000186765","MDP0000186765")</f>
        <v>MDP0000186765</v>
      </c>
      <c r="D8839">
        <v>58.19</v>
      </c>
      <c r="E8839">
        <v>299</v>
      </c>
      <c r="F8839">
        <v>125</v>
      </c>
      <c r="G8839">
        <v>35</v>
      </c>
      <c r="H8839">
        <v>1</v>
      </c>
      <c r="I8839">
        <v>272</v>
      </c>
      <c r="J8839">
        <v>1</v>
      </c>
      <c r="K8839">
        <v>1</v>
      </c>
      <c r="L8839">
        <v>291</v>
      </c>
      <c r="M8839">
        <v>1</v>
      </c>
      <c r="N8839">
        <v>5.5351799999999997E-86</v>
      </c>
      <c r="O8839">
        <v>806</v>
      </c>
    </row>
    <row r="8840" spans="1:15" x14ac:dyDescent="0.25">
      <c r="A8840" t="s">
        <v>8853</v>
      </c>
      <c r="B8840">
        <v>377</v>
      </c>
      <c r="C8840" s="1" t="str">
        <f>HYPERLINK("http://www.rosaceae.org/gb/gbrowse/malus_x_domestica/?name=MDP0000268597","MDP0000268597")</f>
        <v>MDP0000268597</v>
      </c>
      <c r="D8840">
        <v>65.349999999999994</v>
      </c>
      <c r="E8840">
        <v>381</v>
      </c>
      <c r="F8840">
        <v>132</v>
      </c>
      <c r="G8840">
        <v>19</v>
      </c>
      <c r="H8840">
        <v>1</v>
      </c>
      <c r="I8840">
        <v>377</v>
      </c>
      <c r="J8840">
        <v>1</v>
      </c>
      <c r="K8840">
        <v>768</v>
      </c>
      <c r="L8840">
        <v>1133</v>
      </c>
      <c r="M8840">
        <v>1</v>
      </c>
      <c r="N8840">
        <v>1.0639899999999999E-141</v>
      </c>
      <c r="O8840">
        <v>1287</v>
      </c>
    </row>
    <row r="8841" spans="1:15" x14ac:dyDescent="0.25">
      <c r="A8841" t="s">
        <v>8854</v>
      </c>
      <c r="B8841">
        <v>294</v>
      </c>
      <c r="C8841" s="1" t="str">
        <f>HYPERLINK("http://www.rosaceae.org/gb/gbrowse/malus_x_domestica/?name=MDP0000796160","MDP0000796160")</f>
        <v>MDP0000796160</v>
      </c>
      <c r="D8841">
        <v>94.86</v>
      </c>
      <c r="E8841">
        <v>292</v>
      </c>
      <c r="F8841">
        <v>15</v>
      </c>
      <c r="G8841">
        <v>0</v>
      </c>
      <c r="H8841">
        <v>1</v>
      </c>
      <c r="I8841">
        <v>292</v>
      </c>
      <c r="J8841">
        <v>1</v>
      </c>
      <c r="K8841">
        <v>1</v>
      </c>
      <c r="L8841">
        <v>292</v>
      </c>
      <c r="M8841">
        <v>1</v>
      </c>
      <c r="N8841">
        <v>4.5689800000000002E-166</v>
      </c>
      <c r="O8841">
        <v>1496</v>
      </c>
    </row>
    <row r="8842" spans="1:15" x14ac:dyDescent="0.25">
      <c r="A8842" t="s">
        <v>8855</v>
      </c>
      <c r="B8842">
        <v>324</v>
      </c>
      <c r="C8842" s="1" t="str">
        <f>HYPERLINK("http://www.rosaceae.org/gb/gbrowse/malus_x_domestica/?name=MDP0000320628","MDP0000320628")</f>
        <v>MDP0000320628</v>
      </c>
      <c r="D8842">
        <v>63.73</v>
      </c>
      <c r="E8842">
        <v>353</v>
      </c>
      <c r="F8842">
        <v>128</v>
      </c>
      <c r="G8842">
        <v>48</v>
      </c>
      <c r="H8842">
        <v>13</v>
      </c>
      <c r="I8842">
        <v>324</v>
      </c>
      <c r="J8842">
        <v>1</v>
      </c>
      <c r="K8842">
        <v>13</v>
      </c>
      <c r="L8842">
        <v>358</v>
      </c>
      <c r="M8842">
        <v>1</v>
      </c>
      <c r="N8842">
        <v>1.5362800000000001E-112</v>
      </c>
      <c r="O8842">
        <v>1035</v>
      </c>
    </row>
    <row r="8843" spans="1:15" x14ac:dyDescent="0.25">
      <c r="A8843" t="s">
        <v>8856</v>
      </c>
      <c r="B8843">
        <v>303</v>
      </c>
      <c r="C8843" s="1" t="str">
        <f>HYPERLINK("http://www.rosaceae.org/gb/gbrowse/malus_x_domestica/?name=MDP0000825508","MDP0000825508")</f>
        <v>MDP0000825508</v>
      </c>
      <c r="D8843">
        <v>75.88</v>
      </c>
      <c r="E8843">
        <v>311</v>
      </c>
      <c r="F8843">
        <v>75</v>
      </c>
      <c r="G8843">
        <v>10</v>
      </c>
      <c r="H8843">
        <v>1</v>
      </c>
      <c r="I8843">
        <v>303</v>
      </c>
      <c r="J8843">
        <v>1</v>
      </c>
      <c r="K8843">
        <v>1</v>
      </c>
      <c r="L8843">
        <v>309</v>
      </c>
      <c r="M8843">
        <v>1</v>
      </c>
      <c r="N8843">
        <v>9.6573799999999997E-132</v>
      </c>
      <c r="O8843">
        <v>1200</v>
      </c>
    </row>
    <row r="8844" spans="1:15" x14ac:dyDescent="0.25">
      <c r="A8844" t="s">
        <v>8857</v>
      </c>
      <c r="B8844">
        <v>246</v>
      </c>
      <c r="C8844" s="1" t="str">
        <f>HYPERLINK("http://www.rosaceae.org/gb/gbrowse/malus_x_domestica/?name=MDP0000255057","MDP0000255057")</f>
        <v>MDP0000255057</v>
      </c>
      <c r="D8844">
        <v>50.22</v>
      </c>
      <c r="E8844">
        <v>219</v>
      </c>
      <c r="F8844">
        <v>109</v>
      </c>
      <c r="G8844">
        <v>48</v>
      </c>
      <c r="H8844">
        <v>4</v>
      </c>
      <c r="I8844">
        <v>174</v>
      </c>
      <c r="J8844">
        <v>1</v>
      </c>
      <c r="K8844">
        <v>611</v>
      </c>
      <c r="L8844">
        <v>829</v>
      </c>
      <c r="M8844">
        <v>1</v>
      </c>
      <c r="N8844">
        <v>4.7978799999999997E-51</v>
      </c>
      <c r="O8844">
        <v>503</v>
      </c>
    </row>
    <row r="8845" spans="1:15" x14ac:dyDescent="0.25">
      <c r="A8845" t="s">
        <v>8858</v>
      </c>
      <c r="B8845">
        <v>435</v>
      </c>
      <c r="C8845" s="1" t="str">
        <f>HYPERLINK("http://www.rosaceae.org/gb/gbrowse/malus_x_domestica/?name=MDP0000268617","MDP0000268617")</f>
        <v>MDP0000268617</v>
      </c>
      <c r="D8845">
        <v>36.69</v>
      </c>
      <c r="E8845">
        <v>218</v>
      </c>
      <c r="F8845">
        <v>138</v>
      </c>
      <c r="G8845">
        <v>9</v>
      </c>
      <c r="H8845">
        <v>28</v>
      </c>
      <c r="I8845">
        <v>245</v>
      </c>
      <c r="J8845">
        <v>1</v>
      </c>
      <c r="K8845">
        <v>601</v>
      </c>
      <c r="L8845">
        <v>809</v>
      </c>
      <c r="M8845">
        <v>1</v>
      </c>
      <c r="N8845">
        <v>3.7152199999999999E-40</v>
      </c>
      <c r="O8845">
        <v>412</v>
      </c>
    </row>
    <row r="8846" spans="1:15" x14ac:dyDescent="0.25">
      <c r="A8846" t="s">
        <v>8859</v>
      </c>
      <c r="B8846">
        <v>543</v>
      </c>
      <c r="C8846" s="1" t="str">
        <f>HYPERLINK("http://www.rosaceae.org/gb/gbrowse/malus_x_domestica/?name=MDP0000267768","MDP0000267768")</f>
        <v>MDP0000267768</v>
      </c>
      <c r="D8846">
        <v>66.14</v>
      </c>
      <c r="E8846">
        <v>381</v>
      </c>
      <c r="F8846">
        <v>129</v>
      </c>
      <c r="G8846">
        <v>14</v>
      </c>
      <c r="H8846">
        <v>2</v>
      </c>
      <c r="I8846">
        <v>370</v>
      </c>
      <c r="J8846">
        <v>1</v>
      </c>
      <c r="K8846">
        <v>13</v>
      </c>
      <c r="L8846">
        <v>391</v>
      </c>
      <c r="M8846">
        <v>1</v>
      </c>
      <c r="N8846">
        <v>4.2810799999999999E-143</v>
      </c>
      <c r="O8846">
        <v>1301</v>
      </c>
    </row>
    <row r="8847" spans="1:15" x14ac:dyDescent="0.25">
      <c r="A8847" t="s">
        <v>8860</v>
      </c>
      <c r="B8847">
        <v>146</v>
      </c>
      <c r="C8847" s="1" t="str">
        <f>HYPERLINK("http://www.rosaceae.org/gb/gbrowse/malus_x_domestica/?name=MDP0000406918","MDP0000406918")</f>
        <v>MDP0000406918</v>
      </c>
      <c r="D8847">
        <v>58.04</v>
      </c>
      <c r="E8847">
        <v>143</v>
      </c>
      <c r="F8847">
        <v>60</v>
      </c>
      <c r="G8847">
        <v>1</v>
      </c>
      <c r="H8847">
        <v>1</v>
      </c>
      <c r="I8847">
        <v>142</v>
      </c>
      <c r="J8847">
        <v>1</v>
      </c>
      <c r="K8847">
        <v>112</v>
      </c>
      <c r="L8847">
        <v>254</v>
      </c>
      <c r="M8847">
        <v>1</v>
      </c>
      <c r="N8847">
        <v>3.1762100000000001E-39</v>
      </c>
      <c r="O8847">
        <v>397</v>
      </c>
    </row>
    <row r="8848" spans="1:15" x14ac:dyDescent="0.25">
      <c r="A8848" t="s">
        <v>8861</v>
      </c>
      <c r="B8848">
        <v>427</v>
      </c>
      <c r="C8848" s="1" t="str">
        <f>HYPERLINK("http://www.rosaceae.org/gb/gbrowse/malus_x_domestica/?name=MDP0000224327","MDP0000224327")</f>
        <v>MDP0000224327</v>
      </c>
      <c r="D8848">
        <v>50.54</v>
      </c>
      <c r="E8848">
        <v>91</v>
      </c>
      <c r="F8848">
        <v>45</v>
      </c>
      <c r="G8848">
        <v>15</v>
      </c>
      <c r="H8848">
        <v>108</v>
      </c>
      <c r="I8848">
        <v>195</v>
      </c>
      <c r="J8848">
        <v>1</v>
      </c>
      <c r="K8848">
        <v>255</v>
      </c>
      <c r="L8848">
        <v>333</v>
      </c>
      <c r="M8848">
        <v>1</v>
      </c>
      <c r="N8848">
        <v>6.3822399999999994E-17</v>
      </c>
      <c r="O8848">
        <v>212</v>
      </c>
    </row>
    <row r="8849" spans="1:15" x14ac:dyDescent="0.25">
      <c r="A8849" t="s">
        <v>8862</v>
      </c>
      <c r="B8849">
        <v>1414</v>
      </c>
      <c r="C8849" s="1" t="str">
        <f>HYPERLINK("http://www.rosaceae.org/gb/gbrowse/malus_x_domestica/?name=MDP0000247921","MDP0000247921")</f>
        <v>MDP0000247921</v>
      </c>
      <c r="D8849">
        <v>30.23</v>
      </c>
      <c r="E8849">
        <v>506</v>
      </c>
      <c r="F8849">
        <v>353</v>
      </c>
      <c r="G8849">
        <v>52</v>
      </c>
      <c r="H8849">
        <v>877</v>
      </c>
      <c r="I8849">
        <v>1353</v>
      </c>
      <c r="J8849">
        <v>1</v>
      </c>
      <c r="K8849">
        <v>641</v>
      </c>
      <c r="L8849">
        <v>1123</v>
      </c>
      <c r="M8849">
        <v>1</v>
      </c>
      <c r="N8849">
        <v>4.33012E-56</v>
      </c>
      <c r="O8849">
        <v>555</v>
      </c>
    </row>
    <row r="8850" spans="1:15" x14ac:dyDescent="0.25">
      <c r="A8850" t="s">
        <v>8863</v>
      </c>
      <c r="B8850">
        <v>653</v>
      </c>
      <c r="C8850" s="1" t="str">
        <f>HYPERLINK("http://www.rosaceae.org/gb/gbrowse/malus_x_domestica/?name=MDP0000193385","MDP0000193385")</f>
        <v>MDP0000193385</v>
      </c>
      <c r="D8850">
        <v>45.17</v>
      </c>
      <c r="E8850">
        <v>560</v>
      </c>
      <c r="F8850">
        <v>307</v>
      </c>
      <c r="G8850">
        <v>95</v>
      </c>
      <c r="H8850">
        <v>1</v>
      </c>
      <c r="I8850">
        <v>500</v>
      </c>
      <c r="J8850">
        <v>1</v>
      </c>
      <c r="K8850">
        <v>3</v>
      </c>
      <c r="L8850">
        <v>527</v>
      </c>
      <c r="M8850">
        <v>1</v>
      </c>
      <c r="N8850">
        <v>1.30943E-104</v>
      </c>
      <c r="O8850">
        <v>970</v>
      </c>
    </row>
    <row r="8851" spans="1:15" x14ac:dyDescent="0.25">
      <c r="A8851" t="s">
        <v>8864</v>
      </c>
      <c r="B8851">
        <v>745</v>
      </c>
      <c r="C8851" s="1" t="str">
        <f>HYPERLINK("http://www.rosaceae.org/gb/gbrowse/malus_x_domestica/?name=MDP0000237521","MDP0000237521")</f>
        <v>MDP0000237521</v>
      </c>
      <c r="D8851">
        <v>69.900000000000006</v>
      </c>
      <c r="E8851">
        <v>442</v>
      </c>
      <c r="F8851">
        <v>133</v>
      </c>
      <c r="G8851">
        <v>7</v>
      </c>
      <c r="H8851">
        <v>1</v>
      </c>
      <c r="I8851">
        <v>442</v>
      </c>
      <c r="J8851">
        <v>1</v>
      </c>
      <c r="K8851">
        <v>269</v>
      </c>
      <c r="L8851">
        <v>703</v>
      </c>
      <c r="M8851">
        <v>1</v>
      </c>
      <c r="N8851">
        <v>7.7112899999999997E-179</v>
      </c>
      <c r="O8851">
        <v>1611</v>
      </c>
    </row>
    <row r="8852" spans="1:15" x14ac:dyDescent="0.25">
      <c r="A8852" t="s">
        <v>8865</v>
      </c>
      <c r="B8852">
        <v>480</v>
      </c>
      <c r="C8852" s="1" t="str">
        <f>HYPERLINK("http://www.rosaceae.org/gb/gbrowse/malus_x_domestica/?name=MDP0000189057","MDP0000189057")</f>
        <v>MDP0000189057</v>
      </c>
      <c r="D8852">
        <v>44.79</v>
      </c>
      <c r="E8852">
        <v>509</v>
      </c>
      <c r="F8852">
        <v>281</v>
      </c>
      <c r="G8852">
        <v>51</v>
      </c>
      <c r="H8852">
        <v>1</v>
      </c>
      <c r="I8852">
        <v>478</v>
      </c>
      <c r="J8852">
        <v>1</v>
      </c>
      <c r="K8852">
        <v>6</v>
      </c>
      <c r="L8852">
        <v>494</v>
      </c>
      <c r="M8852">
        <v>1</v>
      </c>
      <c r="N8852">
        <v>1.9100900000000001E-107</v>
      </c>
      <c r="O8852">
        <v>993</v>
      </c>
    </row>
    <row r="8853" spans="1:15" x14ac:dyDescent="0.25">
      <c r="A8853" t="s">
        <v>8866</v>
      </c>
      <c r="B8853">
        <v>185</v>
      </c>
      <c r="C8853" s="1" t="str">
        <f>HYPERLINK("http://www.rosaceae.org/gb/gbrowse/malus_x_domestica/?name=MDP0000123981","MDP0000123981")</f>
        <v>MDP0000123981</v>
      </c>
      <c r="D8853">
        <v>42.68</v>
      </c>
      <c r="E8853">
        <v>253</v>
      </c>
      <c r="F8853">
        <v>145</v>
      </c>
      <c r="G8853">
        <v>72</v>
      </c>
      <c r="H8853">
        <v>1</v>
      </c>
      <c r="I8853">
        <v>185</v>
      </c>
      <c r="J8853">
        <v>1</v>
      </c>
      <c r="K8853">
        <v>214</v>
      </c>
      <c r="L8853">
        <v>462</v>
      </c>
      <c r="M8853">
        <v>1</v>
      </c>
      <c r="N8853">
        <v>4.0050300000000002E-38</v>
      </c>
      <c r="O8853">
        <v>390</v>
      </c>
    </row>
    <row r="8854" spans="1:15" x14ac:dyDescent="0.25">
      <c r="A8854" t="s">
        <v>8867</v>
      </c>
      <c r="B8854">
        <v>326</v>
      </c>
      <c r="C8854" s="1" t="str">
        <f>HYPERLINK("http://www.rosaceae.org/gb/gbrowse/malus_x_domestica/?name=MDP0000262952","MDP0000262952")</f>
        <v>MDP0000262952</v>
      </c>
      <c r="D8854">
        <v>79.72</v>
      </c>
      <c r="E8854">
        <v>148</v>
      </c>
      <c r="F8854">
        <v>30</v>
      </c>
      <c r="G8854">
        <v>0</v>
      </c>
      <c r="H8854">
        <v>6</v>
      </c>
      <c r="I8854">
        <v>153</v>
      </c>
      <c r="J8854">
        <v>1</v>
      </c>
      <c r="K8854">
        <v>159</v>
      </c>
      <c r="L8854">
        <v>306</v>
      </c>
      <c r="M8854">
        <v>1</v>
      </c>
      <c r="N8854">
        <v>9.4438599999999999E-67</v>
      </c>
      <c r="O8854">
        <v>640</v>
      </c>
    </row>
    <row r="8855" spans="1:15" x14ac:dyDescent="0.25">
      <c r="A8855" t="s">
        <v>8868</v>
      </c>
      <c r="B8855">
        <v>353</v>
      </c>
      <c r="C8855" s="1" t="str">
        <f>HYPERLINK("http://www.rosaceae.org/gb/gbrowse/malus_x_domestica/?name=MDP0000125167","MDP0000125167")</f>
        <v>MDP0000125167</v>
      </c>
      <c r="D8855">
        <v>40.46</v>
      </c>
      <c r="E8855">
        <v>299</v>
      </c>
      <c r="F8855">
        <v>178</v>
      </c>
      <c r="G8855">
        <v>38</v>
      </c>
      <c r="H8855">
        <v>27</v>
      </c>
      <c r="I8855">
        <v>321</v>
      </c>
      <c r="J8855">
        <v>1</v>
      </c>
      <c r="K8855">
        <v>12</v>
      </c>
      <c r="L8855">
        <v>276</v>
      </c>
      <c r="M8855">
        <v>1</v>
      </c>
      <c r="N8855">
        <v>4.00675E-53</v>
      </c>
      <c r="O8855">
        <v>523</v>
      </c>
    </row>
    <row r="8856" spans="1:15" x14ac:dyDescent="0.25">
      <c r="A8856" t="s">
        <v>8869</v>
      </c>
      <c r="B8856">
        <v>417</v>
      </c>
      <c r="C8856" s="1" t="str">
        <f>HYPERLINK("http://www.rosaceae.org/gb/gbrowse/malus_x_domestica/?name=MDP0000186168","MDP0000186168")</f>
        <v>MDP0000186168</v>
      </c>
      <c r="D8856">
        <v>84.5</v>
      </c>
      <c r="E8856">
        <v>426</v>
      </c>
      <c r="F8856">
        <v>66</v>
      </c>
      <c r="G8856">
        <v>9</v>
      </c>
      <c r="H8856">
        <v>1</v>
      </c>
      <c r="I8856">
        <v>417</v>
      </c>
      <c r="J8856">
        <v>1</v>
      </c>
      <c r="K8856">
        <v>1</v>
      </c>
      <c r="L8856">
        <v>426</v>
      </c>
      <c r="M8856">
        <v>1</v>
      </c>
      <c r="N8856">
        <v>0</v>
      </c>
      <c r="O8856">
        <v>1858</v>
      </c>
    </row>
    <row r="8857" spans="1:15" x14ac:dyDescent="0.25">
      <c r="A8857" t="s">
        <v>8870</v>
      </c>
      <c r="B8857">
        <v>560</v>
      </c>
      <c r="C8857" s="1" t="str">
        <f>HYPERLINK("http://www.rosaceae.org/gb/gbrowse/malus_x_domestica/?name=MDP0000165833","MDP0000165833")</f>
        <v>MDP0000165833</v>
      </c>
      <c r="D8857">
        <v>51.9</v>
      </c>
      <c r="E8857">
        <v>657</v>
      </c>
      <c r="F8857">
        <v>316</v>
      </c>
      <c r="G8857">
        <v>176</v>
      </c>
      <c r="H8857">
        <v>13</v>
      </c>
      <c r="I8857">
        <v>558</v>
      </c>
      <c r="J8857">
        <v>1</v>
      </c>
      <c r="K8857">
        <v>24</v>
      </c>
      <c r="L8857">
        <v>615</v>
      </c>
      <c r="M8857">
        <v>1</v>
      </c>
      <c r="N8857">
        <v>5.8065199999999999E-153</v>
      </c>
      <c r="O8857">
        <v>1386</v>
      </c>
    </row>
    <row r="8858" spans="1:15" x14ac:dyDescent="0.25">
      <c r="A8858" t="s">
        <v>8871</v>
      </c>
      <c r="B8858">
        <v>484</v>
      </c>
      <c r="C8858" s="1" t="str">
        <f>HYPERLINK("http://www.rosaceae.org/gb/gbrowse/malus_x_domestica/?name=MDP0000304555","MDP0000304555")</f>
        <v>MDP0000304555</v>
      </c>
      <c r="D8858">
        <v>23.88</v>
      </c>
      <c r="E8858">
        <v>402</v>
      </c>
      <c r="F8858">
        <v>306</v>
      </c>
      <c r="G8858">
        <v>72</v>
      </c>
      <c r="H8858">
        <v>14</v>
      </c>
      <c r="I8858">
        <v>371</v>
      </c>
      <c r="J8858">
        <v>1</v>
      </c>
      <c r="K8858">
        <v>306</v>
      </c>
      <c r="L8858">
        <v>679</v>
      </c>
      <c r="M8858">
        <v>1</v>
      </c>
      <c r="N8858">
        <v>1.44569E-11</v>
      </c>
      <c r="O8858">
        <v>166</v>
      </c>
    </row>
    <row r="8859" spans="1:15" x14ac:dyDescent="0.25">
      <c r="A8859" t="s">
        <v>8872</v>
      </c>
      <c r="B8859">
        <v>1197</v>
      </c>
      <c r="C8859" s="1" t="str">
        <f>HYPERLINK("http://www.rosaceae.org/gb/gbrowse/malus_x_domestica/?name=MDP0000524927","MDP0000524927")</f>
        <v>MDP0000524927</v>
      </c>
      <c r="D8859">
        <v>77.02</v>
      </c>
      <c r="E8859">
        <v>1197</v>
      </c>
      <c r="F8859">
        <v>275</v>
      </c>
      <c r="G8859">
        <v>0</v>
      </c>
      <c r="H8859">
        <v>1</v>
      </c>
      <c r="I8859">
        <v>1197</v>
      </c>
      <c r="J8859">
        <v>1</v>
      </c>
      <c r="K8859">
        <v>1</v>
      </c>
      <c r="L8859">
        <v>1197</v>
      </c>
      <c r="M8859">
        <v>1</v>
      </c>
      <c r="N8859">
        <v>0</v>
      </c>
      <c r="O8859">
        <v>5060</v>
      </c>
    </row>
    <row r="8860" spans="1:15" x14ac:dyDescent="0.25">
      <c r="A8860" t="s">
        <v>8873</v>
      </c>
      <c r="B8860">
        <v>92</v>
      </c>
      <c r="C8860" s="1" t="str">
        <f>HYPERLINK("http://www.rosaceae.org/gb/gbrowse/malus_x_domestica/?name=MDP0000124728","MDP0000124728")</f>
        <v>MDP0000124728</v>
      </c>
      <c r="D8860">
        <v>83.69</v>
      </c>
      <c r="E8860">
        <v>92</v>
      </c>
      <c r="F8860">
        <v>15</v>
      </c>
      <c r="G8860">
        <v>0</v>
      </c>
      <c r="H8860">
        <v>1</v>
      </c>
      <c r="I8860">
        <v>92</v>
      </c>
      <c r="J8860">
        <v>1</v>
      </c>
      <c r="K8860">
        <v>1</v>
      </c>
      <c r="L8860">
        <v>92</v>
      </c>
      <c r="M8860">
        <v>1</v>
      </c>
      <c r="N8860">
        <v>2.7803400000000001E-41</v>
      </c>
      <c r="O8860">
        <v>413</v>
      </c>
    </row>
    <row r="8861" spans="1:15" x14ac:dyDescent="0.25">
      <c r="A8861" t="s">
        <v>8874</v>
      </c>
      <c r="B8861">
        <v>377</v>
      </c>
      <c r="C8861" s="1" t="str">
        <f>HYPERLINK("http://www.rosaceae.org/gb/gbrowse/malus_x_domestica/?name=MDP0000126804","MDP0000126804")</f>
        <v>MDP0000126804</v>
      </c>
      <c r="D8861">
        <v>57.55</v>
      </c>
      <c r="E8861">
        <v>384</v>
      </c>
      <c r="F8861">
        <v>163</v>
      </c>
      <c r="G8861">
        <v>18</v>
      </c>
      <c r="H8861">
        <v>3</v>
      </c>
      <c r="I8861">
        <v>377</v>
      </c>
      <c r="J8861">
        <v>1</v>
      </c>
      <c r="K8861">
        <v>11</v>
      </c>
      <c r="L8861">
        <v>385</v>
      </c>
      <c r="M8861">
        <v>1</v>
      </c>
      <c r="N8861">
        <v>8.5530200000000007E-118</v>
      </c>
      <c r="O8861">
        <v>1081</v>
      </c>
    </row>
    <row r="8862" spans="1:15" x14ac:dyDescent="0.25">
      <c r="A8862" t="s">
        <v>8875</v>
      </c>
      <c r="B8862">
        <v>598</v>
      </c>
      <c r="C8862" s="1" t="str">
        <f>HYPERLINK("http://www.rosaceae.org/gb/gbrowse/malus_x_domestica/?name=MDP0000128139","MDP0000128139")</f>
        <v>MDP0000128139</v>
      </c>
      <c r="D8862">
        <v>78.3</v>
      </c>
      <c r="E8862">
        <v>553</v>
      </c>
      <c r="F8862">
        <v>120</v>
      </c>
      <c r="G8862">
        <v>45</v>
      </c>
      <c r="H8862">
        <v>1</v>
      </c>
      <c r="I8862">
        <v>510</v>
      </c>
      <c r="J8862">
        <v>1</v>
      </c>
      <c r="K8862">
        <v>1</v>
      </c>
      <c r="L8862">
        <v>551</v>
      </c>
      <c r="M8862">
        <v>1</v>
      </c>
      <c r="N8862">
        <v>0</v>
      </c>
      <c r="O8862">
        <v>2244</v>
      </c>
    </row>
    <row r="8863" spans="1:15" x14ac:dyDescent="0.25">
      <c r="A8863" t="s">
        <v>8876</v>
      </c>
      <c r="B8863">
        <v>358</v>
      </c>
      <c r="C8863" s="1" t="str">
        <f>HYPERLINK("http://www.rosaceae.org/gb/gbrowse/malus_x_domestica/?name=MDP0000274475","MDP0000274475")</f>
        <v>MDP0000274475</v>
      </c>
      <c r="D8863">
        <v>72.349999999999994</v>
      </c>
      <c r="E8863">
        <v>293</v>
      </c>
      <c r="F8863">
        <v>81</v>
      </c>
      <c r="G8863">
        <v>41</v>
      </c>
      <c r="H8863">
        <v>42</v>
      </c>
      <c r="I8863">
        <v>293</v>
      </c>
      <c r="J8863">
        <v>1</v>
      </c>
      <c r="K8863">
        <v>425</v>
      </c>
      <c r="L8863">
        <v>717</v>
      </c>
      <c r="M8863">
        <v>1</v>
      </c>
      <c r="N8863">
        <v>3.2021499999999999E-120</v>
      </c>
      <c r="O8863">
        <v>1102</v>
      </c>
    </row>
    <row r="8864" spans="1:15" x14ac:dyDescent="0.25">
      <c r="A8864" t="s">
        <v>8877</v>
      </c>
      <c r="B8864">
        <v>321</v>
      </c>
      <c r="C8864" s="1" t="str">
        <f>HYPERLINK("http://www.rosaceae.org/gb/gbrowse/malus_x_domestica/?name=MDP0000195813","MDP0000195813")</f>
        <v>MDP0000195813</v>
      </c>
      <c r="D8864">
        <v>53.08</v>
      </c>
      <c r="E8864">
        <v>211</v>
      </c>
      <c r="F8864">
        <v>99</v>
      </c>
      <c r="G8864">
        <v>25</v>
      </c>
      <c r="H8864">
        <v>2</v>
      </c>
      <c r="I8864">
        <v>187</v>
      </c>
      <c r="J8864">
        <v>1</v>
      </c>
      <c r="K8864">
        <v>192</v>
      </c>
      <c r="L8864">
        <v>402</v>
      </c>
      <c r="M8864">
        <v>1</v>
      </c>
      <c r="N8864">
        <v>8.7479300000000003E-51</v>
      </c>
      <c r="O8864">
        <v>502</v>
      </c>
    </row>
    <row r="8865" spans="1:15" x14ac:dyDescent="0.25">
      <c r="A8865" t="s">
        <v>8878</v>
      </c>
      <c r="B8865">
        <v>377</v>
      </c>
      <c r="C8865" s="1" t="str">
        <f>HYPERLINK("http://www.rosaceae.org/gb/gbrowse/malus_x_domestica/?name=MDP0000341109","MDP0000341109")</f>
        <v>MDP0000341109</v>
      </c>
      <c r="D8865">
        <v>66.959999999999994</v>
      </c>
      <c r="E8865">
        <v>333</v>
      </c>
      <c r="F8865">
        <v>110</v>
      </c>
      <c r="G8865">
        <v>12</v>
      </c>
      <c r="H8865">
        <v>12</v>
      </c>
      <c r="I8865">
        <v>340</v>
      </c>
      <c r="J8865">
        <v>1</v>
      </c>
      <c r="K8865">
        <v>32</v>
      </c>
      <c r="L8865">
        <v>356</v>
      </c>
      <c r="M8865">
        <v>1</v>
      </c>
      <c r="N8865">
        <v>2.93367E-125</v>
      </c>
      <c r="O8865">
        <v>1145</v>
      </c>
    </row>
    <row r="8866" spans="1:15" x14ac:dyDescent="0.25">
      <c r="A8866" t="s">
        <v>8879</v>
      </c>
      <c r="B8866">
        <v>871</v>
      </c>
      <c r="C8866" s="1" t="str">
        <f>HYPERLINK("http://www.rosaceae.org/gb/gbrowse/malus_x_domestica/?name=MDP0000372045","MDP0000372045")</f>
        <v>MDP0000372045</v>
      </c>
      <c r="D8866">
        <v>82.07</v>
      </c>
      <c r="E8866">
        <v>106</v>
      </c>
      <c r="F8866">
        <v>19</v>
      </c>
      <c r="G8866">
        <v>0</v>
      </c>
      <c r="H8866">
        <v>50</v>
      </c>
      <c r="I8866">
        <v>155</v>
      </c>
      <c r="J8866">
        <v>1</v>
      </c>
      <c r="K8866">
        <v>62</v>
      </c>
      <c r="L8866">
        <v>167</v>
      </c>
      <c r="M8866">
        <v>1</v>
      </c>
      <c r="N8866">
        <v>3.2287599999999999E-48</v>
      </c>
      <c r="O8866">
        <v>485</v>
      </c>
    </row>
    <row r="8867" spans="1:15" x14ac:dyDescent="0.25">
      <c r="A8867" t="s">
        <v>8880</v>
      </c>
      <c r="B8867">
        <v>532</v>
      </c>
      <c r="C8867" s="1" t="str">
        <f>HYPERLINK("http://www.rosaceae.org/gb/gbrowse/malus_x_domestica/?name=MDP0000312731","MDP0000312731")</f>
        <v>MDP0000312731</v>
      </c>
      <c r="D8867">
        <v>65.8</v>
      </c>
      <c r="E8867">
        <v>541</v>
      </c>
      <c r="F8867">
        <v>185</v>
      </c>
      <c r="G8867">
        <v>34</v>
      </c>
      <c r="H8867">
        <v>1</v>
      </c>
      <c r="I8867">
        <v>512</v>
      </c>
      <c r="J8867">
        <v>1</v>
      </c>
      <c r="K8867">
        <v>264</v>
      </c>
      <c r="L8867">
        <v>799</v>
      </c>
      <c r="M8867">
        <v>1</v>
      </c>
      <c r="N8867">
        <v>0</v>
      </c>
      <c r="O8867">
        <v>1847</v>
      </c>
    </row>
    <row r="8868" spans="1:15" x14ac:dyDescent="0.25">
      <c r="A8868" t="s">
        <v>8881</v>
      </c>
      <c r="B8868">
        <v>285</v>
      </c>
      <c r="C8868" s="1" t="str">
        <f>HYPERLINK("http://www.rosaceae.org/gb/gbrowse/malus_x_domestica/?name=MDP0000282806","MDP0000282806")</f>
        <v>MDP0000282806</v>
      </c>
      <c r="D8868">
        <v>50.6</v>
      </c>
      <c r="E8868">
        <v>247</v>
      </c>
      <c r="F8868">
        <v>122</v>
      </c>
      <c r="G8868">
        <v>29</v>
      </c>
      <c r="H8868">
        <v>25</v>
      </c>
      <c r="I8868">
        <v>265</v>
      </c>
      <c r="J8868">
        <v>1</v>
      </c>
      <c r="K8868">
        <v>1040</v>
      </c>
      <c r="L8868">
        <v>1263</v>
      </c>
      <c r="M8868">
        <v>1</v>
      </c>
      <c r="N8868">
        <v>3.8379300000000002E-57</v>
      </c>
      <c r="O8868">
        <v>556</v>
      </c>
    </row>
    <row r="8869" spans="1:15" x14ac:dyDescent="0.25">
      <c r="A8869" t="s">
        <v>8882</v>
      </c>
      <c r="B8869">
        <v>992</v>
      </c>
      <c r="C8869" s="1" t="str">
        <f>HYPERLINK("http://www.rosaceae.org/gb/gbrowse/malus_x_domestica/?name=MDP0000231677","MDP0000231677")</f>
        <v>MDP0000231677</v>
      </c>
      <c r="D8869">
        <v>53.63</v>
      </c>
      <c r="E8869">
        <v>220</v>
      </c>
      <c r="F8869">
        <v>102</v>
      </c>
      <c r="G8869">
        <v>3</v>
      </c>
      <c r="H8869">
        <v>41</v>
      </c>
      <c r="I8869">
        <v>260</v>
      </c>
      <c r="J8869">
        <v>1</v>
      </c>
      <c r="K8869">
        <v>94</v>
      </c>
      <c r="L8869">
        <v>310</v>
      </c>
      <c r="M8869">
        <v>1</v>
      </c>
      <c r="N8869">
        <v>5.3939800000000001E-66</v>
      </c>
      <c r="O8869">
        <v>639</v>
      </c>
    </row>
    <row r="8870" spans="1:15" x14ac:dyDescent="0.25">
      <c r="A8870" t="s">
        <v>8883</v>
      </c>
      <c r="B8870">
        <v>707</v>
      </c>
      <c r="C8870" s="1" t="str">
        <f>HYPERLINK("http://www.rosaceae.org/gb/gbrowse/malus_x_domestica/?name=MDP0000233580","MDP0000233580")</f>
        <v>MDP0000233580</v>
      </c>
      <c r="D8870">
        <v>67.69</v>
      </c>
      <c r="E8870">
        <v>613</v>
      </c>
      <c r="F8870">
        <v>198</v>
      </c>
      <c r="G8870">
        <v>110</v>
      </c>
      <c r="H8870">
        <v>170</v>
      </c>
      <c r="I8870">
        <v>706</v>
      </c>
      <c r="J8870">
        <v>1</v>
      </c>
      <c r="K8870">
        <v>60</v>
      </c>
      <c r="L8870">
        <v>638</v>
      </c>
      <c r="M8870">
        <v>1</v>
      </c>
      <c r="N8870">
        <v>0</v>
      </c>
      <c r="O8870">
        <v>2040</v>
      </c>
    </row>
    <row r="8871" spans="1:15" x14ac:dyDescent="0.25">
      <c r="A8871" t="s">
        <v>8884</v>
      </c>
      <c r="B8871">
        <v>868</v>
      </c>
      <c r="C8871" s="1" t="str">
        <f>HYPERLINK("http://www.rosaceae.org/gb/gbrowse/malus_x_domestica/?name=MDP0000026551","MDP0000026551")</f>
        <v>MDP0000026551</v>
      </c>
      <c r="D8871">
        <v>85.08</v>
      </c>
      <c r="E8871">
        <v>456</v>
      </c>
      <c r="F8871">
        <v>68</v>
      </c>
      <c r="G8871">
        <v>14</v>
      </c>
      <c r="H8871">
        <v>1</v>
      </c>
      <c r="I8871">
        <v>444</v>
      </c>
      <c r="J8871">
        <v>1</v>
      </c>
      <c r="K8871">
        <v>1</v>
      </c>
      <c r="L8871">
        <v>454</v>
      </c>
      <c r="M8871">
        <v>1</v>
      </c>
      <c r="N8871">
        <v>0</v>
      </c>
      <c r="O8871">
        <v>2014</v>
      </c>
    </row>
    <row r="8872" spans="1:15" x14ac:dyDescent="0.25">
      <c r="A8872" t="s">
        <v>8885</v>
      </c>
      <c r="B8872">
        <v>765</v>
      </c>
      <c r="C8872" s="1" t="str">
        <f>HYPERLINK("http://www.rosaceae.org/gb/gbrowse/malus_x_domestica/?name=MDP0000692845","MDP0000692845")</f>
        <v>MDP0000692845</v>
      </c>
      <c r="D8872">
        <v>72.73</v>
      </c>
      <c r="E8872">
        <v>763</v>
      </c>
      <c r="F8872">
        <v>208</v>
      </c>
      <c r="G8872">
        <v>2</v>
      </c>
      <c r="H8872">
        <v>1</v>
      </c>
      <c r="I8872">
        <v>762</v>
      </c>
      <c r="J8872">
        <v>1</v>
      </c>
      <c r="K8872">
        <v>1</v>
      </c>
      <c r="L8872">
        <v>762</v>
      </c>
      <c r="M8872">
        <v>1</v>
      </c>
      <c r="N8872">
        <v>0</v>
      </c>
      <c r="O8872">
        <v>2837</v>
      </c>
    </row>
    <row r="8873" spans="1:15" x14ac:dyDescent="0.25">
      <c r="A8873" t="s">
        <v>8886</v>
      </c>
      <c r="B8873">
        <v>937</v>
      </c>
      <c r="C8873" s="1" t="str">
        <f>HYPERLINK("http://www.rosaceae.org/gb/gbrowse/malus_x_domestica/?name=MDP0000222814","MDP0000222814")</f>
        <v>MDP0000222814</v>
      </c>
      <c r="D8873">
        <v>47.68</v>
      </c>
      <c r="E8873">
        <v>690</v>
      </c>
      <c r="F8873">
        <v>361</v>
      </c>
      <c r="G8873">
        <v>184</v>
      </c>
      <c r="H8873">
        <v>143</v>
      </c>
      <c r="I8873">
        <v>808</v>
      </c>
      <c r="J8873">
        <v>1</v>
      </c>
      <c r="K8873">
        <v>83</v>
      </c>
      <c r="L8873">
        <v>612</v>
      </c>
      <c r="M8873">
        <v>1</v>
      </c>
      <c r="N8873">
        <v>9.0687099999999999E-152</v>
      </c>
      <c r="O8873">
        <v>1378</v>
      </c>
    </row>
    <row r="8874" spans="1:15" x14ac:dyDescent="0.25">
      <c r="A8874" t="s">
        <v>8887</v>
      </c>
      <c r="B8874">
        <v>357</v>
      </c>
      <c r="C8874" s="1" t="str">
        <f>HYPERLINK("http://www.rosaceae.org/gb/gbrowse/malus_x_domestica/?name=MDP0000242006","MDP0000242006")</f>
        <v>MDP0000242006</v>
      </c>
      <c r="D8874">
        <v>88.04</v>
      </c>
      <c r="E8874">
        <v>343</v>
      </c>
      <c r="F8874">
        <v>41</v>
      </c>
      <c r="G8874">
        <v>2</v>
      </c>
      <c r="H8874">
        <v>15</v>
      </c>
      <c r="I8874">
        <v>357</v>
      </c>
      <c r="J8874">
        <v>1</v>
      </c>
      <c r="K8874">
        <v>12</v>
      </c>
      <c r="L8874">
        <v>352</v>
      </c>
      <c r="M8874">
        <v>1</v>
      </c>
      <c r="N8874">
        <v>0</v>
      </c>
      <c r="O8874">
        <v>1630</v>
      </c>
    </row>
    <row r="8875" spans="1:15" x14ac:dyDescent="0.25">
      <c r="A8875" t="s">
        <v>8888</v>
      </c>
      <c r="B8875">
        <v>177</v>
      </c>
      <c r="C8875" s="1" t="str">
        <f>HYPERLINK("http://www.rosaceae.org/gb/gbrowse/malus_x_domestica/?name=MDP0000244697","MDP0000244697")</f>
        <v>MDP0000244697</v>
      </c>
      <c r="D8875">
        <v>48.38</v>
      </c>
      <c r="E8875">
        <v>124</v>
      </c>
      <c r="F8875">
        <v>64</v>
      </c>
      <c r="G8875">
        <v>3</v>
      </c>
      <c r="H8875">
        <v>17</v>
      </c>
      <c r="I8875">
        <v>138</v>
      </c>
      <c r="J8875">
        <v>1</v>
      </c>
      <c r="K8875">
        <v>30</v>
      </c>
      <c r="L8875">
        <v>152</v>
      </c>
      <c r="M8875">
        <v>1</v>
      </c>
      <c r="N8875">
        <v>5.8331000000000003E-24</v>
      </c>
      <c r="O8875">
        <v>267</v>
      </c>
    </row>
    <row r="8876" spans="1:15" x14ac:dyDescent="0.25">
      <c r="A8876" t="s">
        <v>8889</v>
      </c>
      <c r="B8876">
        <v>643</v>
      </c>
      <c r="C8876" s="1" t="str">
        <f>HYPERLINK("http://www.rosaceae.org/gb/gbrowse/malus_x_domestica/?name=MDP0000732599","MDP0000732599")</f>
        <v>MDP0000732599</v>
      </c>
      <c r="D8876">
        <v>70.040000000000006</v>
      </c>
      <c r="E8876">
        <v>247</v>
      </c>
      <c r="F8876">
        <v>74</v>
      </c>
      <c r="G8876">
        <v>0</v>
      </c>
      <c r="H8876">
        <v>1</v>
      </c>
      <c r="I8876">
        <v>247</v>
      </c>
      <c r="J8876">
        <v>1</v>
      </c>
      <c r="K8876">
        <v>1</v>
      </c>
      <c r="L8876">
        <v>247</v>
      </c>
      <c r="M8876">
        <v>1</v>
      </c>
      <c r="N8876">
        <v>1.06272E-98</v>
      </c>
      <c r="O8876">
        <v>919</v>
      </c>
    </row>
    <row r="8877" spans="1:15" x14ac:dyDescent="0.25">
      <c r="A8877" t="s">
        <v>8890</v>
      </c>
      <c r="B8877">
        <v>583</v>
      </c>
      <c r="C8877" s="1" t="str">
        <f>HYPERLINK("http://www.rosaceae.org/gb/gbrowse/malus_x_domestica/?name=MDP0000274582","MDP0000274582")</f>
        <v>MDP0000274582</v>
      </c>
      <c r="D8877">
        <v>70.62</v>
      </c>
      <c r="E8877">
        <v>572</v>
      </c>
      <c r="F8877">
        <v>168</v>
      </c>
      <c r="G8877">
        <v>43</v>
      </c>
      <c r="H8877">
        <v>12</v>
      </c>
      <c r="I8877">
        <v>583</v>
      </c>
      <c r="J8877">
        <v>1</v>
      </c>
      <c r="K8877">
        <v>269</v>
      </c>
      <c r="L8877">
        <v>797</v>
      </c>
      <c r="M8877">
        <v>1</v>
      </c>
      <c r="N8877">
        <v>0</v>
      </c>
      <c r="O8877">
        <v>2100</v>
      </c>
    </row>
    <row r="8878" spans="1:15" x14ac:dyDescent="0.25">
      <c r="A8878" t="s">
        <v>8891</v>
      </c>
      <c r="B8878">
        <v>500</v>
      </c>
      <c r="C8878" s="1" t="str">
        <f>HYPERLINK("http://www.rosaceae.org/gb/gbrowse/malus_x_domestica/?name=MDP0000179937","MDP0000179937")</f>
        <v>MDP0000179937</v>
      </c>
      <c r="D8878">
        <v>53.29</v>
      </c>
      <c r="E8878">
        <v>516</v>
      </c>
      <c r="F8878">
        <v>241</v>
      </c>
      <c r="G8878">
        <v>37</v>
      </c>
      <c r="H8878">
        <v>1</v>
      </c>
      <c r="I8878">
        <v>499</v>
      </c>
      <c r="J8878">
        <v>1</v>
      </c>
      <c r="K8878">
        <v>1</v>
      </c>
      <c r="L8878">
        <v>496</v>
      </c>
      <c r="M8878">
        <v>1</v>
      </c>
      <c r="N8878">
        <v>9.1877500000000005E-143</v>
      </c>
      <c r="O8878">
        <v>1298</v>
      </c>
    </row>
    <row r="8879" spans="1:15" x14ac:dyDescent="0.25">
      <c r="A8879" t="s">
        <v>8892</v>
      </c>
      <c r="B8879">
        <v>162</v>
      </c>
      <c r="C8879" s="1" t="str">
        <f>HYPERLINK("http://www.rosaceae.org/gb/gbrowse/malus_x_domestica/?name=MDP0000200325","MDP0000200325")</f>
        <v>MDP0000200325</v>
      </c>
      <c r="D8879">
        <v>33.01</v>
      </c>
      <c r="E8879">
        <v>106</v>
      </c>
      <c r="F8879">
        <v>71</v>
      </c>
      <c r="G8879">
        <v>8</v>
      </c>
      <c r="H8879">
        <v>1</v>
      </c>
      <c r="I8879">
        <v>106</v>
      </c>
      <c r="J8879">
        <v>1</v>
      </c>
      <c r="K8879">
        <v>838</v>
      </c>
      <c r="L8879">
        <v>935</v>
      </c>
      <c r="M8879">
        <v>1</v>
      </c>
      <c r="N8879">
        <v>2.27532E-8</v>
      </c>
      <c r="O8879">
        <v>132</v>
      </c>
    </row>
    <row r="8880" spans="1:15" x14ac:dyDescent="0.25">
      <c r="A8880" t="s">
        <v>8893</v>
      </c>
      <c r="B8880">
        <v>652</v>
      </c>
      <c r="C8880" s="1" t="str">
        <f>HYPERLINK("http://www.rosaceae.org/gb/gbrowse/malus_x_domestica/?name=MDP0000259940","MDP0000259940")</f>
        <v>MDP0000259940</v>
      </c>
      <c r="D8880">
        <v>54.83</v>
      </c>
      <c r="E8880">
        <v>651</v>
      </c>
      <c r="F8880">
        <v>294</v>
      </c>
      <c r="G8880">
        <v>74</v>
      </c>
      <c r="H8880">
        <v>38</v>
      </c>
      <c r="I8880">
        <v>652</v>
      </c>
      <c r="J8880">
        <v>1</v>
      </c>
      <c r="K8880">
        <v>38</v>
      </c>
      <c r="L8880">
        <v>650</v>
      </c>
      <c r="M8880">
        <v>1</v>
      </c>
      <c r="N8880">
        <v>1.6210999999999999E-167</v>
      </c>
      <c r="O8880">
        <v>1512</v>
      </c>
    </row>
    <row r="8881" spans="1:15" x14ac:dyDescent="0.25">
      <c r="A8881" t="s">
        <v>8894</v>
      </c>
      <c r="B8881">
        <v>225</v>
      </c>
      <c r="C8881" s="1" t="str">
        <f>HYPERLINK("http://www.rosaceae.org/gb/gbrowse/malus_x_domestica/?name=MDP0000841946","MDP0000841946")</f>
        <v>MDP0000841946</v>
      </c>
      <c r="D8881">
        <v>48.01</v>
      </c>
      <c r="E8881">
        <v>227</v>
      </c>
      <c r="F8881">
        <v>118</v>
      </c>
      <c r="G8881">
        <v>8</v>
      </c>
      <c r="H8881">
        <v>1</v>
      </c>
      <c r="I8881">
        <v>225</v>
      </c>
      <c r="J8881">
        <v>1</v>
      </c>
      <c r="K8881">
        <v>1</v>
      </c>
      <c r="L8881">
        <v>221</v>
      </c>
      <c r="M8881">
        <v>1</v>
      </c>
      <c r="N8881">
        <v>5.1645500000000003E-46</v>
      </c>
      <c r="O8881">
        <v>459</v>
      </c>
    </row>
    <row r="8882" spans="1:15" x14ac:dyDescent="0.25">
      <c r="A8882" t="s">
        <v>8895</v>
      </c>
      <c r="B8882">
        <v>175</v>
      </c>
      <c r="C8882" s="1" t="str">
        <f>HYPERLINK("http://www.rosaceae.org/gb/gbrowse/malus_x_domestica/?name=MDP0000860251","MDP0000860251")</f>
        <v>MDP0000860251</v>
      </c>
      <c r="D8882">
        <v>54.54</v>
      </c>
      <c r="E8882">
        <v>176</v>
      </c>
      <c r="F8882">
        <v>80</v>
      </c>
      <c r="G8882">
        <v>6</v>
      </c>
      <c r="H8882">
        <v>4</v>
      </c>
      <c r="I8882">
        <v>175</v>
      </c>
      <c r="J8882">
        <v>1</v>
      </c>
      <c r="K8882">
        <v>5</v>
      </c>
      <c r="L8882">
        <v>178</v>
      </c>
      <c r="M8882">
        <v>1</v>
      </c>
      <c r="N8882">
        <v>5.7376900000000001E-50</v>
      </c>
      <c r="O8882">
        <v>492</v>
      </c>
    </row>
    <row r="8883" spans="1:15" x14ac:dyDescent="0.25">
      <c r="A8883" t="s">
        <v>8896</v>
      </c>
      <c r="B8883">
        <v>746</v>
      </c>
      <c r="C8883" s="1" t="str">
        <f>HYPERLINK("http://www.rosaceae.org/gb/gbrowse/malus_x_domestica/?name=MDP0000244872","MDP0000244872")</f>
        <v>MDP0000244872</v>
      </c>
      <c r="D8883">
        <v>74.22</v>
      </c>
      <c r="E8883">
        <v>388</v>
      </c>
      <c r="F8883">
        <v>100</v>
      </c>
      <c r="G8883">
        <v>3</v>
      </c>
      <c r="H8883">
        <v>18</v>
      </c>
      <c r="I8883">
        <v>402</v>
      </c>
      <c r="J8883">
        <v>1</v>
      </c>
      <c r="K8883">
        <v>9</v>
      </c>
      <c r="L8883">
        <v>396</v>
      </c>
      <c r="M8883">
        <v>1</v>
      </c>
      <c r="N8883">
        <v>7.8671000000000003E-173</v>
      </c>
      <c r="O8883">
        <v>1559</v>
      </c>
    </row>
    <row r="8884" spans="1:15" x14ac:dyDescent="0.25">
      <c r="A8884" t="s">
        <v>8897</v>
      </c>
      <c r="B8884">
        <v>180</v>
      </c>
      <c r="C8884" s="1" t="str">
        <f>HYPERLINK("http://www.rosaceae.org/gb/gbrowse/malus_x_domestica/?name=MDP0000641167","MDP0000641167")</f>
        <v>MDP0000641167</v>
      </c>
      <c r="D8884">
        <v>58.26</v>
      </c>
      <c r="E8884">
        <v>115</v>
      </c>
      <c r="F8884">
        <v>48</v>
      </c>
      <c r="G8884">
        <v>1</v>
      </c>
      <c r="H8884">
        <v>32</v>
      </c>
      <c r="I8884">
        <v>146</v>
      </c>
      <c r="J8884">
        <v>1</v>
      </c>
      <c r="K8884">
        <v>20</v>
      </c>
      <c r="L8884">
        <v>133</v>
      </c>
      <c r="M8884">
        <v>1</v>
      </c>
      <c r="N8884">
        <v>2.3122500000000002E-33</v>
      </c>
      <c r="O8884">
        <v>349</v>
      </c>
    </row>
    <row r="8885" spans="1:15" x14ac:dyDescent="0.25">
      <c r="A8885" t="s">
        <v>8898</v>
      </c>
      <c r="B8885">
        <v>338</v>
      </c>
      <c r="C8885" s="1" t="str">
        <f>HYPERLINK("http://www.rosaceae.org/gb/gbrowse/malus_x_domestica/?name=MDP0000868088","MDP0000868088")</f>
        <v>MDP0000868088</v>
      </c>
      <c r="D8885">
        <v>69.319999999999993</v>
      </c>
      <c r="E8885">
        <v>339</v>
      </c>
      <c r="F8885">
        <v>104</v>
      </c>
      <c r="G8885">
        <v>7</v>
      </c>
      <c r="H8885">
        <v>1</v>
      </c>
      <c r="I8885">
        <v>332</v>
      </c>
      <c r="J8885">
        <v>1</v>
      </c>
      <c r="K8885">
        <v>1</v>
      </c>
      <c r="L8885">
        <v>339</v>
      </c>
      <c r="M8885">
        <v>1</v>
      </c>
      <c r="N8885">
        <v>6.6510299999999996E-134</v>
      </c>
      <c r="O8885">
        <v>1219</v>
      </c>
    </row>
    <row r="8886" spans="1:15" x14ac:dyDescent="0.25">
      <c r="A8886" t="s">
        <v>8899</v>
      </c>
      <c r="B8886">
        <v>594</v>
      </c>
      <c r="C8886" s="1" t="str">
        <f>HYPERLINK("http://www.rosaceae.org/gb/gbrowse/malus_x_domestica/?name=MDP0000158474","MDP0000158474")</f>
        <v>MDP0000158474</v>
      </c>
      <c r="D8886">
        <v>75.62</v>
      </c>
      <c r="E8886">
        <v>599</v>
      </c>
      <c r="F8886">
        <v>146</v>
      </c>
      <c r="G8886">
        <v>30</v>
      </c>
      <c r="H8886">
        <v>25</v>
      </c>
      <c r="I8886">
        <v>593</v>
      </c>
      <c r="J8886">
        <v>1</v>
      </c>
      <c r="K8886">
        <v>3</v>
      </c>
      <c r="L8886">
        <v>601</v>
      </c>
      <c r="M8886">
        <v>1</v>
      </c>
      <c r="N8886">
        <v>0</v>
      </c>
      <c r="O8886">
        <v>2445</v>
      </c>
    </row>
    <row r="8887" spans="1:15" x14ac:dyDescent="0.25">
      <c r="A8887" t="s">
        <v>8900</v>
      </c>
      <c r="B8887">
        <v>103</v>
      </c>
      <c r="C8887" s="1" t="str">
        <f>HYPERLINK("http://www.rosaceae.org/gb/gbrowse/malus_x_domestica/?name=MDP0000336462","MDP0000336462")</f>
        <v>MDP0000336462</v>
      </c>
      <c r="D8887">
        <v>100</v>
      </c>
      <c r="E8887">
        <v>82</v>
      </c>
      <c r="F8887">
        <v>0</v>
      </c>
      <c r="G8887">
        <v>0</v>
      </c>
      <c r="H8887">
        <v>22</v>
      </c>
      <c r="I8887">
        <v>103</v>
      </c>
      <c r="J8887">
        <v>1</v>
      </c>
      <c r="K8887">
        <v>44</v>
      </c>
      <c r="L8887">
        <v>125</v>
      </c>
      <c r="M8887">
        <v>1</v>
      </c>
      <c r="N8887">
        <v>5.1126299999999996E-41</v>
      </c>
      <c r="O8887">
        <v>411</v>
      </c>
    </row>
    <row r="8888" spans="1:15" x14ac:dyDescent="0.25">
      <c r="A8888" t="s">
        <v>8901</v>
      </c>
      <c r="B8888">
        <v>218</v>
      </c>
      <c r="C8888" s="1" t="str">
        <f>HYPERLINK("http://www.rosaceae.org/gb/gbrowse/malus_x_domestica/?name=MDP0000237403","MDP0000237403")</f>
        <v>MDP0000237403</v>
      </c>
      <c r="D8888">
        <v>61.08</v>
      </c>
      <c r="E8888">
        <v>221</v>
      </c>
      <c r="F8888">
        <v>86</v>
      </c>
      <c r="G8888">
        <v>3</v>
      </c>
      <c r="H8888">
        <v>1</v>
      </c>
      <c r="I8888">
        <v>218</v>
      </c>
      <c r="J8888">
        <v>1</v>
      </c>
      <c r="K8888">
        <v>1</v>
      </c>
      <c r="L8888">
        <v>221</v>
      </c>
      <c r="M8888">
        <v>1</v>
      </c>
      <c r="N8888">
        <v>1.31206E-68</v>
      </c>
      <c r="O8888">
        <v>654</v>
      </c>
    </row>
    <row r="8889" spans="1:15" x14ac:dyDescent="0.25">
      <c r="A8889" t="s">
        <v>8902</v>
      </c>
      <c r="B8889">
        <v>362</v>
      </c>
      <c r="C8889" s="1" t="str">
        <f>HYPERLINK("http://www.rosaceae.org/gb/gbrowse/malus_x_domestica/?name=MDP0000178842","MDP0000178842")</f>
        <v>MDP0000178842</v>
      </c>
      <c r="D8889">
        <v>88.67</v>
      </c>
      <c r="E8889">
        <v>362</v>
      </c>
      <c r="F8889">
        <v>41</v>
      </c>
      <c r="G8889">
        <v>0</v>
      </c>
      <c r="H8889">
        <v>1</v>
      </c>
      <c r="I8889">
        <v>362</v>
      </c>
      <c r="J8889">
        <v>1</v>
      </c>
      <c r="K8889">
        <v>28</v>
      </c>
      <c r="L8889">
        <v>389</v>
      </c>
      <c r="M8889">
        <v>1</v>
      </c>
      <c r="N8889">
        <v>0</v>
      </c>
      <c r="O8889">
        <v>1721</v>
      </c>
    </row>
    <row r="8890" spans="1:15" x14ac:dyDescent="0.25">
      <c r="A8890" t="s">
        <v>8903</v>
      </c>
      <c r="B8890">
        <v>780</v>
      </c>
      <c r="C8890" s="1" t="str">
        <f>HYPERLINK("http://www.rosaceae.org/gb/gbrowse/malus_x_domestica/?name=MDP0000372632","MDP0000372632")</f>
        <v>MDP0000372632</v>
      </c>
      <c r="D8890">
        <v>73.680000000000007</v>
      </c>
      <c r="E8890">
        <v>779</v>
      </c>
      <c r="F8890">
        <v>205</v>
      </c>
      <c r="G8890">
        <v>6</v>
      </c>
      <c r="H8890">
        <v>6</v>
      </c>
      <c r="I8890">
        <v>780</v>
      </c>
      <c r="J8890">
        <v>1</v>
      </c>
      <c r="K8890">
        <v>4</v>
      </c>
      <c r="L8890">
        <v>780</v>
      </c>
      <c r="M8890">
        <v>1</v>
      </c>
      <c r="N8890">
        <v>0</v>
      </c>
      <c r="O8890">
        <v>3036</v>
      </c>
    </row>
    <row r="8891" spans="1:15" x14ac:dyDescent="0.25">
      <c r="A8891" t="s">
        <v>8904</v>
      </c>
      <c r="B8891">
        <v>824</v>
      </c>
      <c r="C8891" s="1" t="str">
        <f>HYPERLINK("http://www.rosaceae.org/gb/gbrowse/malus_x_domestica/?name=MDP0000848732","MDP0000848732")</f>
        <v>MDP0000848732</v>
      </c>
      <c r="D8891">
        <v>72.599999999999994</v>
      </c>
      <c r="E8891">
        <v>836</v>
      </c>
      <c r="F8891">
        <v>229</v>
      </c>
      <c r="G8891">
        <v>21</v>
      </c>
      <c r="H8891">
        <v>1</v>
      </c>
      <c r="I8891">
        <v>824</v>
      </c>
      <c r="J8891">
        <v>1</v>
      </c>
      <c r="K8891">
        <v>1</v>
      </c>
      <c r="L8891">
        <v>827</v>
      </c>
      <c r="M8891">
        <v>1</v>
      </c>
      <c r="N8891">
        <v>0</v>
      </c>
      <c r="O8891">
        <v>2999</v>
      </c>
    </row>
    <row r="8892" spans="1:15" x14ac:dyDescent="0.25">
      <c r="A8892" t="s">
        <v>8905</v>
      </c>
      <c r="B8892">
        <v>743</v>
      </c>
      <c r="C8892" s="1" t="str">
        <f>HYPERLINK("http://www.rosaceae.org/gb/gbrowse/malus_x_domestica/?name=MDP0000129619","MDP0000129619")</f>
        <v>MDP0000129619</v>
      </c>
      <c r="D8892">
        <v>57.95</v>
      </c>
      <c r="E8892">
        <v>842</v>
      </c>
      <c r="F8892">
        <v>354</v>
      </c>
      <c r="G8892">
        <v>121</v>
      </c>
      <c r="H8892">
        <v>5</v>
      </c>
      <c r="I8892">
        <v>743</v>
      </c>
      <c r="J8892">
        <v>1</v>
      </c>
      <c r="K8892">
        <v>8</v>
      </c>
      <c r="L8892">
        <v>831</v>
      </c>
      <c r="M8892">
        <v>1</v>
      </c>
      <c r="N8892">
        <v>0</v>
      </c>
      <c r="O8892">
        <v>2278</v>
      </c>
    </row>
    <row r="8893" spans="1:15" x14ac:dyDescent="0.25">
      <c r="A8893" t="s">
        <v>8906</v>
      </c>
      <c r="B8893">
        <v>123</v>
      </c>
      <c r="C8893" s="1" t="str">
        <f>HYPERLINK("http://www.rosaceae.org/gb/gbrowse/malus_x_domestica/?name=MDP0000474570","MDP0000474570")</f>
        <v>MDP0000474570</v>
      </c>
      <c r="D8893">
        <v>76.989999999999995</v>
      </c>
      <c r="E8893">
        <v>113</v>
      </c>
      <c r="F8893">
        <v>26</v>
      </c>
      <c r="G8893">
        <v>2</v>
      </c>
      <c r="H8893">
        <v>1</v>
      </c>
      <c r="I8893">
        <v>111</v>
      </c>
      <c r="J8893">
        <v>1</v>
      </c>
      <c r="K8893">
        <v>198</v>
      </c>
      <c r="L8893">
        <v>310</v>
      </c>
      <c r="M8893">
        <v>1</v>
      </c>
      <c r="N8893">
        <v>4.1842599999999998E-44</v>
      </c>
      <c r="O8893">
        <v>438</v>
      </c>
    </row>
    <row r="8894" spans="1:15" x14ac:dyDescent="0.25">
      <c r="A8894" t="s">
        <v>8907</v>
      </c>
      <c r="B8894">
        <v>504</v>
      </c>
      <c r="C8894" s="1" t="str">
        <f>HYPERLINK("http://www.rosaceae.org/gb/gbrowse/malus_x_domestica/?name=MDP0000201265","MDP0000201265")</f>
        <v>MDP0000201265</v>
      </c>
      <c r="D8894">
        <v>63.63</v>
      </c>
      <c r="E8894">
        <v>374</v>
      </c>
      <c r="F8894">
        <v>136</v>
      </c>
      <c r="G8894">
        <v>7</v>
      </c>
      <c r="H8894">
        <v>129</v>
      </c>
      <c r="I8894">
        <v>502</v>
      </c>
      <c r="J8894">
        <v>1</v>
      </c>
      <c r="K8894">
        <v>87</v>
      </c>
      <c r="L8894">
        <v>453</v>
      </c>
      <c r="M8894">
        <v>1</v>
      </c>
      <c r="N8894">
        <v>6.0823499999999999E-133</v>
      </c>
      <c r="O8894">
        <v>1213</v>
      </c>
    </row>
    <row r="8895" spans="1:15" x14ac:dyDescent="0.25">
      <c r="A8895" t="s">
        <v>8908</v>
      </c>
      <c r="B8895">
        <v>598</v>
      </c>
      <c r="C8895" s="1" t="str">
        <f>HYPERLINK("http://www.rosaceae.org/gb/gbrowse/malus_x_domestica/?name=MDP0000089058","MDP0000089058")</f>
        <v>MDP0000089058</v>
      </c>
      <c r="D8895">
        <v>65.87</v>
      </c>
      <c r="E8895">
        <v>671</v>
      </c>
      <c r="F8895">
        <v>229</v>
      </c>
      <c r="G8895">
        <v>129</v>
      </c>
      <c r="H8895">
        <v>57</v>
      </c>
      <c r="I8895">
        <v>598</v>
      </c>
      <c r="J8895">
        <v>1</v>
      </c>
      <c r="K8895">
        <v>263</v>
      </c>
      <c r="L8895">
        <v>933</v>
      </c>
      <c r="M8895">
        <v>1</v>
      </c>
      <c r="N8895">
        <v>0</v>
      </c>
      <c r="O8895">
        <v>2194</v>
      </c>
    </row>
    <row r="8896" spans="1:15" x14ac:dyDescent="0.25">
      <c r="A8896" t="s">
        <v>8909</v>
      </c>
      <c r="B8896">
        <v>456</v>
      </c>
      <c r="C8896" s="1" t="str">
        <f>HYPERLINK("http://www.rosaceae.org/gb/gbrowse/malus_x_domestica/?name=MDP0000279708","MDP0000279708")</f>
        <v>MDP0000279708</v>
      </c>
      <c r="D8896">
        <v>79.510000000000005</v>
      </c>
      <c r="E8896">
        <v>454</v>
      </c>
      <c r="F8896">
        <v>93</v>
      </c>
      <c r="G8896">
        <v>35</v>
      </c>
      <c r="H8896">
        <v>1</v>
      </c>
      <c r="I8896">
        <v>454</v>
      </c>
      <c r="J8896">
        <v>1</v>
      </c>
      <c r="K8896">
        <v>236</v>
      </c>
      <c r="L8896">
        <v>654</v>
      </c>
      <c r="M8896">
        <v>1</v>
      </c>
      <c r="N8896">
        <v>0</v>
      </c>
      <c r="O8896">
        <v>1950</v>
      </c>
    </row>
    <row r="8897" spans="1:15" x14ac:dyDescent="0.25">
      <c r="A8897" t="s">
        <v>8910</v>
      </c>
      <c r="B8897">
        <v>548</v>
      </c>
      <c r="C8897" s="1" t="str">
        <f>HYPERLINK("http://www.rosaceae.org/gb/gbrowse/malus_x_domestica/?name=MDP0000157525","MDP0000157525")</f>
        <v>MDP0000157525</v>
      </c>
      <c r="D8897">
        <v>79.95</v>
      </c>
      <c r="E8897">
        <v>464</v>
      </c>
      <c r="F8897">
        <v>93</v>
      </c>
      <c r="G8897">
        <v>32</v>
      </c>
      <c r="H8897">
        <v>1</v>
      </c>
      <c r="I8897">
        <v>432</v>
      </c>
      <c r="J8897">
        <v>1</v>
      </c>
      <c r="K8897">
        <v>1</v>
      </c>
      <c r="L8897">
        <v>464</v>
      </c>
      <c r="M8897">
        <v>1</v>
      </c>
      <c r="N8897">
        <v>0</v>
      </c>
      <c r="O8897">
        <v>1954</v>
      </c>
    </row>
    <row r="8898" spans="1:15" x14ac:dyDescent="0.25">
      <c r="A8898" t="s">
        <v>8911</v>
      </c>
      <c r="B8898">
        <v>121</v>
      </c>
      <c r="C8898" s="1" t="str">
        <f>HYPERLINK("http://www.rosaceae.org/gb/gbrowse/malus_x_domestica/?name=MDP0000168516","MDP0000168516")</f>
        <v>MDP0000168516</v>
      </c>
      <c r="D8898">
        <v>67.760000000000005</v>
      </c>
      <c r="E8898">
        <v>121</v>
      </c>
      <c r="F8898">
        <v>39</v>
      </c>
      <c r="G8898">
        <v>1</v>
      </c>
      <c r="H8898">
        <v>1</v>
      </c>
      <c r="I8898">
        <v>121</v>
      </c>
      <c r="J8898">
        <v>1</v>
      </c>
      <c r="K8898">
        <v>1</v>
      </c>
      <c r="L8898">
        <v>120</v>
      </c>
      <c r="M8898">
        <v>1</v>
      </c>
      <c r="N8898">
        <v>7.4940099999999997E-44</v>
      </c>
      <c r="O8898">
        <v>436</v>
      </c>
    </row>
    <row r="8899" spans="1:15" x14ac:dyDescent="0.25">
      <c r="A8899" t="s">
        <v>8912</v>
      </c>
      <c r="B8899">
        <v>520</v>
      </c>
      <c r="C8899" s="1" t="str">
        <f>HYPERLINK("http://www.rosaceae.org/gb/gbrowse/malus_x_domestica/?name=MDP0000236593","MDP0000236593")</f>
        <v>MDP0000236593</v>
      </c>
      <c r="D8899">
        <v>75.709999999999994</v>
      </c>
      <c r="E8899">
        <v>140</v>
      </c>
      <c r="F8899">
        <v>34</v>
      </c>
      <c r="G8899">
        <v>1</v>
      </c>
      <c r="H8899">
        <v>265</v>
      </c>
      <c r="I8899">
        <v>404</v>
      </c>
      <c r="J8899">
        <v>1</v>
      </c>
      <c r="K8899">
        <v>11</v>
      </c>
      <c r="L8899">
        <v>149</v>
      </c>
      <c r="M8899">
        <v>1</v>
      </c>
      <c r="N8899">
        <v>2.2790900000000001E-58</v>
      </c>
      <c r="O8899">
        <v>570</v>
      </c>
    </row>
    <row r="8900" spans="1:15" x14ac:dyDescent="0.25">
      <c r="A8900" t="s">
        <v>8913</v>
      </c>
      <c r="B8900">
        <v>296</v>
      </c>
      <c r="C8900" s="1" t="str">
        <f>HYPERLINK("http://www.rosaceae.org/gb/gbrowse/malus_x_domestica/?name=MDP0000449304","MDP0000449304")</f>
        <v>MDP0000449304</v>
      </c>
      <c r="D8900">
        <v>66.77</v>
      </c>
      <c r="E8900">
        <v>301</v>
      </c>
      <c r="F8900">
        <v>100</v>
      </c>
      <c r="G8900">
        <v>15</v>
      </c>
      <c r="H8900">
        <v>1</v>
      </c>
      <c r="I8900">
        <v>295</v>
      </c>
      <c r="J8900">
        <v>1</v>
      </c>
      <c r="K8900">
        <v>3</v>
      </c>
      <c r="L8900">
        <v>294</v>
      </c>
      <c r="M8900">
        <v>1</v>
      </c>
      <c r="N8900">
        <v>1.2455500000000001E-109</v>
      </c>
      <c r="O8900">
        <v>1009</v>
      </c>
    </row>
    <row r="8901" spans="1:15" x14ac:dyDescent="0.25">
      <c r="A8901" t="s">
        <v>8914</v>
      </c>
      <c r="B8901">
        <v>329</v>
      </c>
      <c r="C8901" s="1" t="str">
        <f>HYPERLINK("http://www.rosaceae.org/gb/gbrowse/malus_x_domestica/?name=MDP0000428265","MDP0000428265")</f>
        <v>MDP0000428265</v>
      </c>
      <c r="D8901">
        <v>46.34</v>
      </c>
      <c r="E8901">
        <v>315</v>
      </c>
      <c r="F8901">
        <v>169</v>
      </c>
      <c r="G8901">
        <v>47</v>
      </c>
      <c r="H8901">
        <v>21</v>
      </c>
      <c r="I8901">
        <v>313</v>
      </c>
      <c r="J8901">
        <v>1</v>
      </c>
      <c r="K8901">
        <v>26</v>
      </c>
      <c r="L8901">
        <v>315</v>
      </c>
      <c r="M8901">
        <v>1</v>
      </c>
      <c r="N8901">
        <v>1.0600900000000001E-59</v>
      </c>
      <c r="O8901">
        <v>579</v>
      </c>
    </row>
    <row r="8902" spans="1:15" x14ac:dyDescent="0.25">
      <c r="A8902" t="s">
        <v>8915</v>
      </c>
      <c r="B8902">
        <v>466</v>
      </c>
      <c r="C8902" s="1" t="str">
        <f>HYPERLINK("http://www.rosaceae.org/gb/gbrowse/malus_x_domestica/?name=MDP0000125644","MDP0000125644")</f>
        <v>MDP0000125644</v>
      </c>
      <c r="D8902">
        <v>31.42</v>
      </c>
      <c r="E8902">
        <v>385</v>
      </c>
      <c r="F8902">
        <v>264</v>
      </c>
      <c r="G8902">
        <v>113</v>
      </c>
      <c r="H8902">
        <v>95</v>
      </c>
      <c r="I8902">
        <v>464</v>
      </c>
      <c r="J8902">
        <v>1</v>
      </c>
      <c r="K8902">
        <v>30</v>
      </c>
      <c r="L8902">
        <v>316</v>
      </c>
      <c r="M8902">
        <v>1</v>
      </c>
      <c r="N8902">
        <v>4.40935E-25</v>
      </c>
      <c r="O8902">
        <v>282</v>
      </c>
    </row>
    <row r="8903" spans="1:15" x14ac:dyDescent="0.25">
      <c r="A8903" t="s">
        <v>8916</v>
      </c>
      <c r="B8903">
        <v>1191</v>
      </c>
      <c r="C8903" s="1" t="str">
        <f>HYPERLINK("http://www.rosaceae.org/gb/gbrowse/malus_x_domestica/?name=MDP0000197822","MDP0000197822")</f>
        <v>MDP0000197822</v>
      </c>
      <c r="D8903">
        <v>56.81</v>
      </c>
      <c r="E8903">
        <v>1174</v>
      </c>
      <c r="F8903">
        <v>507</v>
      </c>
      <c r="G8903">
        <v>117</v>
      </c>
      <c r="H8903">
        <v>86</v>
      </c>
      <c r="I8903">
        <v>1175</v>
      </c>
      <c r="J8903">
        <v>1</v>
      </c>
      <c r="K8903">
        <v>30</v>
      </c>
      <c r="L8903">
        <v>1170</v>
      </c>
      <c r="M8903">
        <v>1</v>
      </c>
      <c r="N8903">
        <v>0</v>
      </c>
      <c r="O8903">
        <v>2937</v>
      </c>
    </row>
    <row r="8904" spans="1:15" x14ac:dyDescent="0.25">
      <c r="A8904" t="s">
        <v>8917</v>
      </c>
      <c r="B8904">
        <v>1589</v>
      </c>
      <c r="C8904" s="1" t="str">
        <f>HYPERLINK("http://www.rosaceae.org/gb/gbrowse/malus_x_domestica/?name=MDP0000411671","MDP0000411671")</f>
        <v>MDP0000411671</v>
      </c>
      <c r="D8904">
        <v>67.08</v>
      </c>
      <c r="E8904">
        <v>556</v>
      </c>
      <c r="F8904">
        <v>183</v>
      </c>
      <c r="G8904">
        <v>6</v>
      </c>
      <c r="H8904">
        <v>1031</v>
      </c>
      <c r="I8904">
        <v>1582</v>
      </c>
      <c r="J8904">
        <v>1</v>
      </c>
      <c r="K8904">
        <v>27</v>
      </c>
      <c r="L8904">
        <v>580</v>
      </c>
      <c r="M8904">
        <v>1</v>
      </c>
      <c r="N8904">
        <v>0</v>
      </c>
      <c r="O8904">
        <v>1941</v>
      </c>
    </row>
    <row r="8905" spans="1:15" x14ac:dyDescent="0.25">
      <c r="A8905" t="s">
        <v>8918</v>
      </c>
      <c r="B8905">
        <v>1026</v>
      </c>
      <c r="C8905" s="1" t="str">
        <f>HYPERLINK("http://www.rosaceae.org/gb/gbrowse/malus_x_domestica/?name=MDP0000288684","MDP0000288684")</f>
        <v>MDP0000288684</v>
      </c>
      <c r="D8905">
        <v>80.7</v>
      </c>
      <c r="E8905">
        <v>1026</v>
      </c>
      <c r="F8905">
        <v>198</v>
      </c>
      <c r="G8905">
        <v>2</v>
      </c>
      <c r="H8905">
        <v>1</v>
      </c>
      <c r="I8905">
        <v>1026</v>
      </c>
      <c r="J8905">
        <v>1</v>
      </c>
      <c r="K8905">
        <v>1</v>
      </c>
      <c r="L8905">
        <v>1024</v>
      </c>
      <c r="M8905">
        <v>1</v>
      </c>
      <c r="N8905">
        <v>0</v>
      </c>
      <c r="O8905">
        <v>4442</v>
      </c>
    </row>
    <row r="8906" spans="1:15" x14ac:dyDescent="0.25">
      <c r="A8906" t="s">
        <v>8919</v>
      </c>
      <c r="B8906">
        <v>326</v>
      </c>
      <c r="C8906" s="1" t="str">
        <f>HYPERLINK("http://www.rosaceae.org/gb/gbrowse/malus_x_domestica/?name=MDP0000379466","MDP0000379466")</f>
        <v>MDP0000379466</v>
      </c>
      <c r="D8906">
        <v>54.58</v>
      </c>
      <c r="E8906">
        <v>240</v>
      </c>
      <c r="F8906">
        <v>109</v>
      </c>
      <c r="G8906">
        <v>11</v>
      </c>
      <c r="H8906">
        <v>40</v>
      </c>
      <c r="I8906">
        <v>279</v>
      </c>
      <c r="J8906">
        <v>1</v>
      </c>
      <c r="K8906">
        <v>53</v>
      </c>
      <c r="L8906">
        <v>281</v>
      </c>
      <c r="M8906">
        <v>1</v>
      </c>
      <c r="N8906">
        <v>3.3004300000000001E-67</v>
      </c>
      <c r="O8906">
        <v>644</v>
      </c>
    </row>
    <row r="8907" spans="1:15" x14ac:dyDescent="0.25">
      <c r="A8907" t="s">
        <v>8920</v>
      </c>
      <c r="B8907">
        <v>998</v>
      </c>
      <c r="C8907" s="1" t="str">
        <f>HYPERLINK("http://www.rosaceae.org/gb/gbrowse/malus_x_domestica/?name=MDP0000305085","MDP0000305085")</f>
        <v>MDP0000305085</v>
      </c>
      <c r="D8907">
        <v>41.5</v>
      </c>
      <c r="E8907">
        <v>106</v>
      </c>
      <c r="F8907">
        <v>62</v>
      </c>
      <c r="G8907">
        <v>2</v>
      </c>
      <c r="H8907">
        <v>649</v>
      </c>
      <c r="I8907">
        <v>754</v>
      </c>
      <c r="J8907">
        <v>1</v>
      </c>
      <c r="K8907">
        <v>186</v>
      </c>
      <c r="L8907">
        <v>289</v>
      </c>
      <c r="M8907">
        <v>1</v>
      </c>
      <c r="N8907">
        <v>9.0876499999999999E-17</v>
      </c>
      <c r="O8907">
        <v>214</v>
      </c>
    </row>
    <row r="8908" spans="1:15" x14ac:dyDescent="0.25">
      <c r="A8908" t="s">
        <v>8921</v>
      </c>
      <c r="B8908">
        <v>142</v>
      </c>
      <c r="C8908" s="1" t="str">
        <f>HYPERLINK("http://www.rosaceae.org/gb/gbrowse/malus_x_domestica/?name=MDP0000297746","MDP0000297746")</f>
        <v>MDP0000297746</v>
      </c>
      <c r="D8908">
        <v>49.05</v>
      </c>
      <c r="E8908">
        <v>159</v>
      </c>
      <c r="F8908">
        <v>81</v>
      </c>
      <c r="G8908">
        <v>31</v>
      </c>
      <c r="H8908">
        <v>11</v>
      </c>
      <c r="I8908">
        <v>139</v>
      </c>
      <c r="J8908">
        <v>1</v>
      </c>
      <c r="K8908">
        <v>272</v>
      </c>
      <c r="L8908">
        <v>429</v>
      </c>
      <c r="M8908">
        <v>1</v>
      </c>
      <c r="N8908">
        <v>6.2237000000000003E-30</v>
      </c>
      <c r="O8908">
        <v>317</v>
      </c>
    </row>
    <row r="8909" spans="1:15" x14ac:dyDescent="0.25">
      <c r="A8909" t="s">
        <v>8922</v>
      </c>
      <c r="B8909">
        <v>721</v>
      </c>
      <c r="C8909" s="1" t="str">
        <f>HYPERLINK("http://www.rosaceae.org/gb/gbrowse/malus_x_domestica/?name=MDP0000318338","MDP0000318338")</f>
        <v>MDP0000318338</v>
      </c>
      <c r="D8909">
        <v>64.02</v>
      </c>
      <c r="E8909">
        <v>567</v>
      </c>
      <c r="F8909">
        <v>204</v>
      </c>
      <c r="G8909">
        <v>30</v>
      </c>
      <c r="H8909">
        <v>128</v>
      </c>
      <c r="I8909">
        <v>667</v>
      </c>
      <c r="J8909">
        <v>1</v>
      </c>
      <c r="K8909">
        <v>137</v>
      </c>
      <c r="L8909">
        <v>700</v>
      </c>
      <c r="M8909">
        <v>1</v>
      </c>
      <c r="N8909">
        <v>0</v>
      </c>
      <c r="O8909">
        <v>1867</v>
      </c>
    </row>
    <row r="8910" spans="1:15" x14ac:dyDescent="0.25">
      <c r="A8910" t="s">
        <v>8923</v>
      </c>
      <c r="B8910">
        <v>166</v>
      </c>
      <c r="C8910" s="1" t="str">
        <f>HYPERLINK("http://www.rosaceae.org/gb/gbrowse/malus_x_domestica/?name=MDP0000288732","MDP0000288732")</f>
        <v>MDP0000288732</v>
      </c>
      <c r="D8910">
        <v>49.54</v>
      </c>
      <c r="E8910">
        <v>111</v>
      </c>
      <c r="F8910">
        <v>56</v>
      </c>
      <c r="G8910">
        <v>7</v>
      </c>
      <c r="H8910">
        <v>6</v>
      </c>
      <c r="I8910">
        <v>114</v>
      </c>
      <c r="J8910">
        <v>1</v>
      </c>
      <c r="K8910">
        <v>107</v>
      </c>
      <c r="L8910">
        <v>212</v>
      </c>
      <c r="M8910">
        <v>1</v>
      </c>
      <c r="N8910">
        <v>9.2578099999999997E-26</v>
      </c>
      <c r="O8910">
        <v>282</v>
      </c>
    </row>
    <row r="8911" spans="1:15" x14ac:dyDescent="0.25">
      <c r="A8911" t="s">
        <v>8924</v>
      </c>
      <c r="B8911">
        <v>698</v>
      </c>
      <c r="C8911" s="1" t="str">
        <f>HYPERLINK("http://www.rosaceae.org/gb/gbrowse/malus_x_domestica/?name=MDP0000142599","MDP0000142599")</f>
        <v>MDP0000142599</v>
      </c>
      <c r="D8911">
        <v>69.05</v>
      </c>
      <c r="E8911">
        <v>669</v>
      </c>
      <c r="F8911">
        <v>207</v>
      </c>
      <c r="G8911">
        <v>4</v>
      </c>
      <c r="H8911">
        <v>1</v>
      </c>
      <c r="I8911">
        <v>666</v>
      </c>
      <c r="J8911">
        <v>1</v>
      </c>
      <c r="K8911">
        <v>1</v>
      </c>
      <c r="L8911">
        <v>668</v>
      </c>
      <c r="M8911">
        <v>1</v>
      </c>
      <c r="N8911">
        <v>0</v>
      </c>
      <c r="O8911">
        <v>2257</v>
      </c>
    </row>
    <row r="8912" spans="1:15" x14ac:dyDescent="0.25">
      <c r="A8912" t="s">
        <v>8925</v>
      </c>
      <c r="B8912">
        <v>438</v>
      </c>
      <c r="C8912" s="1" t="str">
        <f>HYPERLINK("http://www.rosaceae.org/gb/gbrowse/malus_x_domestica/?name=MDP0000201897","MDP0000201897")</f>
        <v>MDP0000201897</v>
      </c>
      <c r="D8912">
        <v>30.55</v>
      </c>
      <c r="E8912">
        <v>144</v>
      </c>
      <c r="F8912">
        <v>100</v>
      </c>
      <c r="G8912">
        <v>11</v>
      </c>
      <c r="H8912">
        <v>6</v>
      </c>
      <c r="I8912">
        <v>145</v>
      </c>
      <c r="J8912">
        <v>1</v>
      </c>
      <c r="K8912">
        <v>665</v>
      </c>
      <c r="L8912">
        <v>801</v>
      </c>
      <c r="M8912">
        <v>1</v>
      </c>
      <c r="N8912">
        <v>1.1089199999999999E-11</v>
      </c>
      <c r="O8912">
        <v>167</v>
      </c>
    </row>
    <row r="8913" spans="1:15" x14ac:dyDescent="0.25">
      <c r="A8913" t="s">
        <v>8926</v>
      </c>
      <c r="B8913">
        <v>151</v>
      </c>
      <c r="C8913" s="1" t="str">
        <f>HYPERLINK("http://www.rosaceae.org/gb/gbrowse/malus_x_domestica/?name=MDP0000182792","MDP0000182792")</f>
        <v>MDP0000182792</v>
      </c>
      <c r="D8913">
        <v>54.34</v>
      </c>
      <c r="E8913">
        <v>46</v>
      </c>
      <c r="F8913">
        <v>21</v>
      </c>
      <c r="G8913">
        <v>0</v>
      </c>
      <c r="H8913">
        <v>106</v>
      </c>
      <c r="I8913">
        <v>151</v>
      </c>
      <c r="J8913">
        <v>1</v>
      </c>
      <c r="K8913">
        <v>497</v>
      </c>
      <c r="L8913">
        <v>542</v>
      </c>
      <c r="M8913">
        <v>1</v>
      </c>
      <c r="N8913">
        <v>7.3822300000000001E-8</v>
      </c>
      <c r="O8913">
        <v>127</v>
      </c>
    </row>
    <row r="8914" spans="1:15" x14ac:dyDescent="0.25">
      <c r="A8914" t="s">
        <v>8927</v>
      </c>
      <c r="B8914">
        <v>183</v>
      </c>
      <c r="C8914" s="1" t="str">
        <f>HYPERLINK("http://www.rosaceae.org/gb/gbrowse/malus_x_domestica/?name=MDP0000275959","MDP0000275959")</f>
        <v>MDP0000275959</v>
      </c>
      <c r="D8914">
        <v>54.05</v>
      </c>
      <c r="E8914">
        <v>74</v>
      </c>
      <c r="F8914">
        <v>34</v>
      </c>
      <c r="G8914">
        <v>6</v>
      </c>
      <c r="H8914">
        <v>107</v>
      </c>
      <c r="I8914">
        <v>174</v>
      </c>
      <c r="J8914">
        <v>1</v>
      </c>
      <c r="K8914">
        <v>1</v>
      </c>
      <c r="L8914">
        <v>74</v>
      </c>
      <c r="M8914">
        <v>1</v>
      </c>
      <c r="N8914">
        <v>4.2133899999999998E-14</v>
      </c>
      <c r="O8914">
        <v>183</v>
      </c>
    </row>
    <row r="8915" spans="1:15" x14ac:dyDescent="0.25">
      <c r="A8915" t="s">
        <v>8928</v>
      </c>
      <c r="B8915">
        <v>1080</v>
      </c>
      <c r="C8915" s="1" t="str">
        <f>HYPERLINK("http://www.rosaceae.org/gb/gbrowse/malus_x_domestica/?name=MDP0000149371","MDP0000149371")</f>
        <v>MDP0000149371</v>
      </c>
      <c r="D8915">
        <v>80.75</v>
      </c>
      <c r="E8915">
        <v>1055</v>
      </c>
      <c r="F8915">
        <v>203</v>
      </c>
      <c r="G8915">
        <v>25</v>
      </c>
      <c r="H8915">
        <v>31</v>
      </c>
      <c r="I8915">
        <v>1080</v>
      </c>
      <c r="J8915">
        <v>1</v>
      </c>
      <c r="K8915">
        <v>29</v>
      </c>
      <c r="L8915">
        <v>1063</v>
      </c>
      <c r="M8915">
        <v>1</v>
      </c>
      <c r="N8915">
        <v>0</v>
      </c>
      <c r="O8915">
        <v>4472</v>
      </c>
    </row>
    <row r="8916" spans="1:15" x14ac:dyDescent="0.25">
      <c r="A8916" t="s">
        <v>8929</v>
      </c>
      <c r="B8916">
        <v>207</v>
      </c>
      <c r="C8916" s="1" t="str">
        <f>HYPERLINK("http://www.rosaceae.org/gb/gbrowse/malus_x_domestica/?name=MDP0000340790","MDP0000340790")</f>
        <v>MDP0000340790</v>
      </c>
      <c r="D8916">
        <v>81.64</v>
      </c>
      <c r="E8916">
        <v>207</v>
      </c>
      <c r="F8916">
        <v>38</v>
      </c>
      <c r="G8916">
        <v>0</v>
      </c>
      <c r="H8916">
        <v>1</v>
      </c>
      <c r="I8916">
        <v>207</v>
      </c>
      <c r="J8916">
        <v>1</v>
      </c>
      <c r="K8916">
        <v>84</v>
      </c>
      <c r="L8916">
        <v>290</v>
      </c>
      <c r="M8916">
        <v>1</v>
      </c>
      <c r="N8916">
        <v>5.25943E-96</v>
      </c>
      <c r="O8916">
        <v>890</v>
      </c>
    </row>
    <row r="8917" spans="1:15" x14ac:dyDescent="0.25">
      <c r="A8917" t="s">
        <v>8930</v>
      </c>
      <c r="B8917">
        <v>677</v>
      </c>
      <c r="C8917" s="1" t="str">
        <f>HYPERLINK("http://www.rosaceae.org/gb/gbrowse/malus_x_domestica/?name=MDP0000266259","MDP0000266259")</f>
        <v>MDP0000266259</v>
      </c>
      <c r="D8917">
        <v>87.04</v>
      </c>
      <c r="E8917">
        <v>664</v>
      </c>
      <c r="F8917">
        <v>86</v>
      </c>
      <c r="G8917">
        <v>2</v>
      </c>
      <c r="H8917">
        <v>1</v>
      </c>
      <c r="I8917">
        <v>662</v>
      </c>
      <c r="J8917">
        <v>1</v>
      </c>
      <c r="K8917">
        <v>1</v>
      </c>
      <c r="L8917">
        <v>664</v>
      </c>
      <c r="M8917">
        <v>1</v>
      </c>
      <c r="N8917">
        <v>0</v>
      </c>
      <c r="O8917">
        <v>3076</v>
      </c>
    </row>
    <row r="8918" spans="1:15" x14ac:dyDescent="0.25">
      <c r="A8918" t="s">
        <v>8931</v>
      </c>
      <c r="B8918">
        <v>337</v>
      </c>
      <c r="C8918" s="1" t="str">
        <f>HYPERLINK("http://www.rosaceae.org/gb/gbrowse/malus_x_domestica/?name=MDP0000815376","MDP0000815376")</f>
        <v>MDP0000815376</v>
      </c>
      <c r="D8918">
        <v>82.88</v>
      </c>
      <c r="E8918">
        <v>111</v>
      </c>
      <c r="F8918">
        <v>19</v>
      </c>
      <c r="G8918">
        <v>0</v>
      </c>
      <c r="H8918">
        <v>227</v>
      </c>
      <c r="I8918">
        <v>337</v>
      </c>
      <c r="J8918">
        <v>1</v>
      </c>
      <c r="K8918">
        <v>101</v>
      </c>
      <c r="L8918">
        <v>211</v>
      </c>
      <c r="M8918">
        <v>1</v>
      </c>
      <c r="N8918">
        <v>2.02384E-50</v>
      </c>
      <c r="O8918">
        <v>499</v>
      </c>
    </row>
    <row r="8919" spans="1:15" x14ac:dyDescent="0.25">
      <c r="A8919" t="s">
        <v>8932</v>
      </c>
      <c r="B8919">
        <v>252</v>
      </c>
      <c r="C8919" s="1" t="str">
        <f>HYPERLINK("http://www.rosaceae.org/gb/gbrowse/malus_x_domestica/?name=MDP0000289123","MDP0000289123")</f>
        <v>MDP0000289123</v>
      </c>
      <c r="D8919">
        <v>31.68</v>
      </c>
      <c r="E8919">
        <v>243</v>
      </c>
      <c r="F8919">
        <v>166</v>
      </c>
      <c r="G8919">
        <v>20</v>
      </c>
      <c r="H8919">
        <v>16</v>
      </c>
      <c r="I8919">
        <v>244</v>
      </c>
      <c r="J8919">
        <v>1</v>
      </c>
      <c r="K8919">
        <v>178</v>
      </c>
      <c r="L8919">
        <v>414</v>
      </c>
      <c r="M8919">
        <v>1</v>
      </c>
      <c r="N8919">
        <v>2.3963699999999998E-24</v>
      </c>
      <c r="O8919">
        <v>273</v>
      </c>
    </row>
    <row r="8920" spans="1:15" x14ac:dyDescent="0.25">
      <c r="A8920" t="s">
        <v>8933</v>
      </c>
      <c r="B8920">
        <v>414</v>
      </c>
      <c r="C8920" s="1" t="str">
        <f>HYPERLINK("http://www.rosaceae.org/gb/gbrowse/malus_x_domestica/?name=MDP0000898327","MDP0000898327")</f>
        <v>MDP0000898327</v>
      </c>
      <c r="D8920">
        <v>80.48</v>
      </c>
      <c r="E8920">
        <v>328</v>
      </c>
      <c r="F8920">
        <v>64</v>
      </c>
      <c r="G8920">
        <v>1</v>
      </c>
      <c r="H8920">
        <v>87</v>
      </c>
      <c r="I8920">
        <v>414</v>
      </c>
      <c r="J8920">
        <v>1</v>
      </c>
      <c r="K8920">
        <v>1</v>
      </c>
      <c r="L8920">
        <v>327</v>
      </c>
      <c r="M8920">
        <v>1</v>
      </c>
      <c r="N8920">
        <v>1.10799E-158</v>
      </c>
      <c r="O8920">
        <v>1434</v>
      </c>
    </row>
    <row r="8921" spans="1:15" x14ac:dyDescent="0.25">
      <c r="A8921" t="s">
        <v>8934</v>
      </c>
      <c r="B8921">
        <v>663</v>
      </c>
      <c r="C8921" s="1" t="str">
        <f>HYPERLINK("http://www.rosaceae.org/gb/gbrowse/malus_x_domestica/?name=MDP0000241310","MDP0000241310")</f>
        <v>MDP0000241310</v>
      </c>
      <c r="D8921">
        <v>66.47</v>
      </c>
      <c r="E8921">
        <v>707</v>
      </c>
      <c r="F8921">
        <v>237</v>
      </c>
      <c r="G8921">
        <v>47</v>
      </c>
      <c r="H8921">
        <v>1</v>
      </c>
      <c r="I8921">
        <v>663</v>
      </c>
      <c r="J8921">
        <v>1</v>
      </c>
      <c r="K8921">
        <v>1</v>
      </c>
      <c r="L8921">
        <v>704</v>
      </c>
      <c r="M8921">
        <v>1</v>
      </c>
      <c r="N8921">
        <v>0</v>
      </c>
      <c r="O8921">
        <v>2401</v>
      </c>
    </row>
    <row r="8922" spans="1:15" x14ac:dyDescent="0.25">
      <c r="A8922" t="s">
        <v>8935</v>
      </c>
      <c r="B8922">
        <v>706</v>
      </c>
      <c r="C8922" s="1" t="str">
        <f>HYPERLINK("http://www.rosaceae.org/gb/gbrowse/malus_x_domestica/?name=MDP0000207142","MDP0000207142")</f>
        <v>MDP0000207142</v>
      </c>
      <c r="D8922">
        <v>42.64</v>
      </c>
      <c r="E8922">
        <v>734</v>
      </c>
      <c r="F8922">
        <v>421</v>
      </c>
      <c r="G8922">
        <v>86</v>
      </c>
      <c r="H8922">
        <v>17</v>
      </c>
      <c r="I8922">
        <v>669</v>
      </c>
      <c r="J8922">
        <v>1</v>
      </c>
      <c r="K8922">
        <v>96</v>
      </c>
      <c r="L8922">
        <v>824</v>
      </c>
      <c r="M8922">
        <v>1</v>
      </c>
      <c r="N8922">
        <v>9.0740000000000002E-147</v>
      </c>
      <c r="O8922">
        <v>1334</v>
      </c>
    </row>
    <row r="8923" spans="1:15" x14ac:dyDescent="0.25">
      <c r="A8923" t="s">
        <v>8936</v>
      </c>
      <c r="B8923">
        <v>159</v>
      </c>
      <c r="C8923" s="1" t="str">
        <f>HYPERLINK("http://www.rosaceae.org/gb/gbrowse/malus_x_domestica/?name=MDP0000183423","MDP0000183423")</f>
        <v>MDP0000183423</v>
      </c>
      <c r="D8923">
        <v>40.49</v>
      </c>
      <c r="E8923">
        <v>163</v>
      </c>
      <c r="F8923">
        <v>97</v>
      </c>
      <c r="G8923">
        <v>13</v>
      </c>
      <c r="H8923">
        <v>8</v>
      </c>
      <c r="I8923">
        <v>157</v>
      </c>
      <c r="J8923">
        <v>1</v>
      </c>
      <c r="K8923">
        <v>296</v>
      </c>
      <c r="L8923">
        <v>458</v>
      </c>
      <c r="M8923">
        <v>1</v>
      </c>
      <c r="N8923">
        <v>2.5387000000000001E-19</v>
      </c>
      <c r="O8923">
        <v>226</v>
      </c>
    </row>
    <row r="8924" spans="1:15" x14ac:dyDescent="0.25">
      <c r="A8924" t="s">
        <v>8937</v>
      </c>
      <c r="B8924">
        <v>795</v>
      </c>
      <c r="C8924" s="1" t="str">
        <f>HYPERLINK("http://www.rosaceae.org/gb/gbrowse/malus_x_domestica/?name=MDP0000443611","MDP0000443611")</f>
        <v>MDP0000443611</v>
      </c>
      <c r="D8924">
        <v>72.180000000000007</v>
      </c>
      <c r="E8924">
        <v>827</v>
      </c>
      <c r="F8924">
        <v>230</v>
      </c>
      <c r="G8924">
        <v>55</v>
      </c>
      <c r="H8924">
        <v>6</v>
      </c>
      <c r="I8924">
        <v>793</v>
      </c>
      <c r="J8924">
        <v>1</v>
      </c>
      <c r="K8924">
        <v>2</v>
      </c>
      <c r="L8924">
        <v>812</v>
      </c>
      <c r="M8924">
        <v>1</v>
      </c>
      <c r="N8924">
        <v>0</v>
      </c>
      <c r="O8924">
        <v>2873</v>
      </c>
    </row>
    <row r="8925" spans="1:15" x14ac:dyDescent="0.25">
      <c r="A8925" t="s">
        <v>8938</v>
      </c>
      <c r="B8925">
        <v>147</v>
      </c>
      <c r="C8925" s="1" t="str">
        <f>HYPERLINK("http://www.rosaceae.org/gb/gbrowse/malus_x_domestica/?name=MDP0000309279","MDP0000309279")</f>
        <v>MDP0000309279</v>
      </c>
      <c r="D8925">
        <v>51.57</v>
      </c>
      <c r="E8925">
        <v>159</v>
      </c>
      <c r="F8925">
        <v>77</v>
      </c>
      <c r="G8925">
        <v>20</v>
      </c>
      <c r="H8925">
        <v>6</v>
      </c>
      <c r="I8925">
        <v>146</v>
      </c>
      <c r="J8925">
        <v>1</v>
      </c>
      <c r="K8925">
        <v>303</v>
      </c>
      <c r="L8925">
        <v>459</v>
      </c>
      <c r="M8925">
        <v>1</v>
      </c>
      <c r="N8925">
        <v>1.1454799999999999E-25</v>
      </c>
      <c r="O8925">
        <v>281</v>
      </c>
    </row>
    <row r="8926" spans="1:15" x14ac:dyDescent="0.25">
      <c r="A8926" t="s">
        <v>8939</v>
      </c>
      <c r="B8926">
        <v>523</v>
      </c>
      <c r="C8926" s="1" t="str">
        <f>HYPERLINK("http://www.rosaceae.org/gb/gbrowse/malus_x_domestica/?name=MDP0000232295","MDP0000232295")</f>
        <v>MDP0000232295</v>
      </c>
      <c r="D8926">
        <v>75.400000000000006</v>
      </c>
      <c r="E8926">
        <v>500</v>
      </c>
      <c r="F8926">
        <v>123</v>
      </c>
      <c r="G8926">
        <v>2</v>
      </c>
      <c r="H8926">
        <v>21</v>
      </c>
      <c r="I8926">
        <v>518</v>
      </c>
      <c r="J8926">
        <v>1</v>
      </c>
      <c r="K8926">
        <v>7</v>
      </c>
      <c r="L8926">
        <v>506</v>
      </c>
      <c r="M8926">
        <v>1</v>
      </c>
      <c r="N8926">
        <v>0</v>
      </c>
      <c r="O8926">
        <v>2021</v>
      </c>
    </row>
    <row r="8927" spans="1:15" x14ac:dyDescent="0.25">
      <c r="A8927" t="s">
        <v>8940</v>
      </c>
      <c r="B8927">
        <v>666</v>
      </c>
      <c r="C8927" s="1" t="str">
        <f>HYPERLINK("http://www.rosaceae.org/gb/gbrowse/malus_x_domestica/?name=MDP0000307555","MDP0000307555")</f>
        <v>MDP0000307555</v>
      </c>
      <c r="D8927">
        <v>74.44</v>
      </c>
      <c r="E8927">
        <v>630</v>
      </c>
      <c r="F8927">
        <v>161</v>
      </c>
      <c r="G8927">
        <v>3</v>
      </c>
      <c r="H8927">
        <v>3</v>
      </c>
      <c r="I8927">
        <v>630</v>
      </c>
      <c r="J8927">
        <v>1</v>
      </c>
      <c r="K8927">
        <v>484</v>
      </c>
      <c r="L8927">
        <v>1112</v>
      </c>
      <c r="M8927">
        <v>1</v>
      </c>
      <c r="N8927">
        <v>0</v>
      </c>
      <c r="O8927">
        <v>2530</v>
      </c>
    </row>
    <row r="8928" spans="1:15" x14ac:dyDescent="0.25">
      <c r="A8928" t="s">
        <v>8941</v>
      </c>
      <c r="B8928">
        <v>173</v>
      </c>
      <c r="C8928" s="1" t="str">
        <f>HYPERLINK("http://www.rosaceae.org/gb/gbrowse/malus_x_domestica/?name=MDP0000188292","MDP0000188292")</f>
        <v>MDP0000188292</v>
      </c>
      <c r="D8928">
        <v>32.69</v>
      </c>
      <c r="E8928">
        <v>156</v>
      </c>
      <c r="F8928">
        <v>105</v>
      </c>
      <c r="G8928">
        <v>33</v>
      </c>
      <c r="H8928">
        <v>3</v>
      </c>
      <c r="I8928">
        <v>155</v>
      </c>
      <c r="J8928">
        <v>1</v>
      </c>
      <c r="K8928">
        <v>25</v>
      </c>
      <c r="L8928">
        <v>150</v>
      </c>
      <c r="M8928">
        <v>1</v>
      </c>
      <c r="N8928">
        <v>2.8707000000000001E-19</v>
      </c>
      <c r="O8928">
        <v>227</v>
      </c>
    </row>
    <row r="8929" spans="1:15" x14ac:dyDescent="0.25">
      <c r="A8929" t="s">
        <v>8942</v>
      </c>
      <c r="B8929">
        <v>149</v>
      </c>
      <c r="C8929" s="1" t="str">
        <f>HYPERLINK("http://www.rosaceae.org/gb/gbrowse/malus_x_domestica/?name=MDP0000949534","MDP0000949534")</f>
        <v>MDP0000949534</v>
      </c>
      <c r="D8929">
        <v>44.51</v>
      </c>
      <c r="E8929">
        <v>164</v>
      </c>
      <c r="F8929">
        <v>91</v>
      </c>
      <c r="G8929">
        <v>32</v>
      </c>
      <c r="H8929">
        <v>1</v>
      </c>
      <c r="I8929">
        <v>139</v>
      </c>
      <c r="J8929">
        <v>1</v>
      </c>
      <c r="K8929">
        <v>1</v>
      </c>
      <c r="L8929">
        <v>157</v>
      </c>
      <c r="M8929">
        <v>1</v>
      </c>
      <c r="N8929">
        <v>1.2294099999999999E-24</v>
      </c>
      <c r="O8929">
        <v>272</v>
      </c>
    </row>
    <row r="8930" spans="1:15" x14ac:dyDescent="0.25">
      <c r="A8930" t="s">
        <v>8943</v>
      </c>
      <c r="B8930">
        <v>241</v>
      </c>
      <c r="C8930" s="1" t="str">
        <f>HYPERLINK("http://www.rosaceae.org/gb/gbrowse/malus_x_domestica/?name=MDP0000943304","MDP0000943304")</f>
        <v>MDP0000943304</v>
      </c>
      <c r="D8930">
        <v>72.849999999999994</v>
      </c>
      <c r="E8930">
        <v>70</v>
      </c>
      <c r="F8930">
        <v>19</v>
      </c>
      <c r="G8930">
        <v>3</v>
      </c>
      <c r="H8930">
        <v>1</v>
      </c>
      <c r="I8930">
        <v>69</v>
      </c>
      <c r="J8930">
        <v>1</v>
      </c>
      <c r="K8930">
        <v>1</v>
      </c>
      <c r="L8930">
        <v>68</v>
      </c>
      <c r="M8930">
        <v>1</v>
      </c>
      <c r="N8930">
        <v>6.4181599999999997E-20</v>
      </c>
      <c r="O8930">
        <v>234</v>
      </c>
    </row>
    <row r="8931" spans="1:15" x14ac:dyDescent="0.25">
      <c r="A8931" t="s">
        <v>8944</v>
      </c>
      <c r="B8931">
        <v>1119</v>
      </c>
      <c r="C8931" s="1" t="str">
        <f>HYPERLINK("http://www.rosaceae.org/gb/gbrowse/malus_x_domestica/?name=MDP0000475729","MDP0000475729")</f>
        <v>MDP0000475729</v>
      </c>
      <c r="D8931">
        <v>69.489999999999995</v>
      </c>
      <c r="E8931">
        <v>1131</v>
      </c>
      <c r="F8931">
        <v>345</v>
      </c>
      <c r="G8931">
        <v>29</v>
      </c>
      <c r="H8931">
        <v>1</v>
      </c>
      <c r="I8931">
        <v>1119</v>
      </c>
      <c r="J8931">
        <v>1</v>
      </c>
      <c r="K8931">
        <v>1</v>
      </c>
      <c r="L8931">
        <v>1114</v>
      </c>
      <c r="M8931">
        <v>1</v>
      </c>
      <c r="N8931">
        <v>0</v>
      </c>
      <c r="O8931">
        <v>4041</v>
      </c>
    </row>
    <row r="8932" spans="1:15" x14ac:dyDescent="0.25">
      <c r="A8932" t="s">
        <v>8945</v>
      </c>
      <c r="B8932">
        <v>297</v>
      </c>
      <c r="C8932" s="1" t="str">
        <f>HYPERLINK("http://www.rosaceae.org/gb/gbrowse/malus_x_domestica/?name=MDP0000345456","MDP0000345456")</f>
        <v>MDP0000345456</v>
      </c>
      <c r="D8932">
        <v>85.36</v>
      </c>
      <c r="E8932">
        <v>82</v>
      </c>
      <c r="F8932">
        <v>12</v>
      </c>
      <c r="G8932">
        <v>0</v>
      </c>
      <c r="H8932">
        <v>216</v>
      </c>
      <c r="I8932">
        <v>297</v>
      </c>
      <c r="J8932">
        <v>1</v>
      </c>
      <c r="K8932">
        <v>95</v>
      </c>
      <c r="L8932">
        <v>176</v>
      </c>
      <c r="M8932">
        <v>1</v>
      </c>
      <c r="N8932">
        <v>3.5116300000000001E-34</v>
      </c>
      <c r="O8932">
        <v>359</v>
      </c>
    </row>
    <row r="8933" spans="1:15" x14ac:dyDescent="0.25">
      <c r="A8933" t="s">
        <v>8946</v>
      </c>
      <c r="B8933">
        <v>265</v>
      </c>
      <c r="C8933" s="1" t="str">
        <f>HYPERLINK("http://www.rosaceae.org/gb/gbrowse/malus_x_domestica/?name=MDP0000855406","MDP0000855406")</f>
        <v>MDP0000855406</v>
      </c>
      <c r="D8933">
        <v>26.66</v>
      </c>
      <c r="E8933">
        <v>90</v>
      </c>
      <c r="F8933">
        <v>66</v>
      </c>
      <c r="G8933">
        <v>3</v>
      </c>
      <c r="H8933">
        <v>3</v>
      </c>
      <c r="I8933">
        <v>92</v>
      </c>
      <c r="J8933">
        <v>1</v>
      </c>
      <c r="K8933">
        <v>2</v>
      </c>
      <c r="L8933">
        <v>88</v>
      </c>
      <c r="M8933">
        <v>1</v>
      </c>
      <c r="N8933">
        <v>2.9599199999999999E-7</v>
      </c>
      <c r="O8933">
        <v>126</v>
      </c>
    </row>
    <row r="8934" spans="1:15" x14ac:dyDescent="0.25">
      <c r="A8934" t="s">
        <v>8947</v>
      </c>
      <c r="B8934">
        <v>1009</v>
      </c>
      <c r="C8934" s="1" t="str">
        <f>HYPERLINK("http://www.rosaceae.org/gb/gbrowse/malus_x_domestica/?name=MDP0000672814","MDP0000672814")</f>
        <v>MDP0000672814</v>
      </c>
      <c r="D8934">
        <v>69.349999999999994</v>
      </c>
      <c r="E8934">
        <v>956</v>
      </c>
      <c r="F8934">
        <v>293</v>
      </c>
      <c r="G8934">
        <v>7</v>
      </c>
      <c r="H8934">
        <v>14</v>
      </c>
      <c r="I8934">
        <v>962</v>
      </c>
      <c r="J8934">
        <v>1</v>
      </c>
      <c r="K8934">
        <v>7</v>
      </c>
      <c r="L8934">
        <v>962</v>
      </c>
      <c r="M8934">
        <v>1</v>
      </c>
      <c r="N8934">
        <v>0</v>
      </c>
      <c r="O8934">
        <v>3399</v>
      </c>
    </row>
    <row r="8935" spans="1:15" x14ac:dyDescent="0.25">
      <c r="A8935" t="s">
        <v>8948</v>
      </c>
      <c r="B8935">
        <v>750</v>
      </c>
      <c r="C8935" s="1" t="str">
        <f>HYPERLINK("http://www.rosaceae.org/gb/gbrowse/malus_x_domestica/?name=MDP0000299496","MDP0000299496")</f>
        <v>MDP0000299496</v>
      </c>
      <c r="D8935">
        <v>30.48</v>
      </c>
      <c r="E8935">
        <v>164</v>
      </c>
      <c r="F8935">
        <v>114</v>
      </c>
      <c r="G8935">
        <v>7</v>
      </c>
      <c r="H8935">
        <v>227</v>
      </c>
      <c r="I8935">
        <v>390</v>
      </c>
      <c r="J8935">
        <v>1</v>
      </c>
      <c r="K8935">
        <v>451</v>
      </c>
      <c r="L8935">
        <v>607</v>
      </c>
      <c r="M8935">
        <v>1</v>
      </c>
      <c r="N8935">
        <v>7.0767999999999997E-13</v>
      </c>
      <c r="O8935">
        <v>179</v>
      </c>
    </row>
    <row r="8936" spans="1:15" x14ac:dyDescent="0.25">
      <c r="A8936" t="s">
        <v>8949</v>
      </c>
      <c r="B8936">
        <v>297</v>
      </c>
      <c r="C8936" s="1" t="str">
        <f>HYPERLINK("http://www.rosaceae.org/gb/gbrowse/malus_x_domestica/?name=MDP0000132805","MDP0000132805")</f>
        <v>MDP0000132805</v>
      </c>
      <c r="D8936">
        <v>55.14</v>
      </c>
      <c r="E8936">
        <v>301</v>
      </c>
      <c r="F8936">
        <v>135</v>
      </c>
      <c r="G8936">
        <v>32</v>
      </c>
      <c r="H8936">
        <v>3</v>
      </c>
      <c r="I8936">
        <v>295</v>
      </c>
      <c r="J8936">
        <v>1</v>
      </c>
      <c r="K8936">
        <v>6</v>
      </c>
      <c r="L8936">
        <v>282</v>
      </c>
      <c r="M8936">
        <v>1</v>
      </c>
      <c r="N8936">
        <v>5.4925399999999997E-74</v>
      </c>
      <c r="O8936">
        <v>702</v>
      </c>
    </row>
    <row r="8937" spans="1:15" x14ac:dyDescent="0.25">
      <c r="A8937" t="s">
        <v>8950</v>
      </c>
      <c r="B8937">
        <v>293</v>
      </c>
      <c r="C8937" s="1" t="str">
        <f>HYPERLINK("http://www.rosaceae.org/gb/gbrowse/malus_x_domestica/?name=MDP0000189057","MDP0000189057")</f>
        <v>MDP0000189057</v>
      </c>
      <c r="D8937">
        <v>44.67</v>
      </c>
      <c r="E8937">
        <v>197</v>
      </c>
      <c r="F8937">
        <v>109</v>
      </c>
      <c r="G8937">
        <v>17</v>
      </c>
      <c r="H8937">
        <v>1</v>
      </c>
      <c r="I8937">
        <v>192</v>
      </c>
      <c r="J8937">
        <v>1</v>
      </c>
      <c r="K8937">
        <v>6</v>
      </c>
      <c r="L8937">
        <v>190</v>
      </c>
      <c r="M8937">
        <v>1</v>
      </c>
      <c r="N8937">
        <v>6.6965100000000001E-38</v>
      </c>
      <c r="O8937">
        <v>391</v>
      </c>
    </row>
    <row r="8938" spans="1:15" x14ac:dyDescent="0.25">
      <c r="A8938" t="s">
        <v>8951</v>
      </c>
      <c r="B8938">
        <v>410</v>
      </c>
      <c r="C8938" s="1" t="str">
        <f>HYPERLINK("http://www.rosaceae.org/gb/gbrowse/malus_x_domestica/?name=MDP0000222394","MDP0000222394")</f>
        <v>MDP0000222394</v>
      </c>
      <c r="D8938">
        <v>64.540000000000006</v>
      </c>
      <c r="E8938">
        <v>392</v>
      </c>
      <c r="F8938">
        <v>139</v>
      </c>
      <c r="G8938">
        <v>16</v>
      </c>
      <c r="H8938">
        <v>24</v>
      </c>
      <c r="I8938">
        <v>410</v>
      </c>
      <c r="J8938">
        <v>1</v>
      </c>
      <c r="K8938">
        <v>21</v>
      </c>
      <c r="L8938">
        <v>401</v>
      </c>
      <c r="M8938">
        <v>1</v>
      </c>
      <c r="N8938">
        <v>3.3656800000000002E-137</v>
      </c>
      <c r="O8938">
        <v>1249</v>
      </c>
    </row>
    <row r="8939" spans="1:15" x14ac:dyDescent="0.25">
      <c r="A8939" t="s">
        <v>8952</v>
      </c>
      <c r="B8939">
        <v>559</v>
      </c>
      <c r="C8939" s="1" t="str">
        <f>HYPERLINK("http://www.rosaceae.org/gb/gbrowse/malus_x_domestica/?name=MDP0000200059","MDP0000200059")</f>
        <v>MDP0000200059</v>
      </c>
      <c r="D8939">
        <v>40.67</v>
      </c>
      <c r="E8939">
        <v>477</v>
      </c>
      <c r="F8939">
        <v>283</v>
      </c>
      <c r="G8939">
        <v>44</v>
      </c>
      <c r="H8939">
        <v>3</v>
      </c>
      <c r="I8939">
        <v>468</v>
      </c>
      <c r="J8939">
        <v>1</v>
      </c>
      <c r="K8939">
        <v>16</v>
      </c>
      <c r="L8939">
        <v>459</v>
      </c>
      <c r="M8939">
        <v>1</v>
      </c>
      <c r="N8939">
        <v>2.28718E-78</v>
      </c>
      <c r="O8939">
        <v>743</v>
      </c>
    </row>
    <row r="8940" spans="1:15" x14ac:dyDescent="0.25">
      <c r="A8940" t="s">
        <v>8953</v>
      </c>
      <c r="B8940">
        <v>714</v>
      </c>
      <c r="C8940" s="1" t="str">
        <f>HYPERLINK("http://www.rosaceae.org/gb/gbrowse/malus_x_domestica/?name=MDP0000235065","MDP0000235065")</f>
        <v>MDP0000235065</v>
      </c>
      <c r="D8940">
        <v>68.23</v>
      </c>
      <c r="E8940">
        <v>743</v>
      </c>
      <c r="F8940">
        <v>236</v>
      </c>
      <c r="G8940">
        <v>39</v>
      </c>
      <c r="H8940">
        <v>1</v>
      </c>
      <c r="I8940">
        <v>706</v>
      </c>
      <c r="J8940">
        <v>1</v>
      </c>
      <c r="K8940">
        <v>1</v>
      </c>
      <c r="L8940">
        <v>741</v>
      </c>
      <c r="M8940">
        <v>1</v>
      </c>
      <c r="N8940">
        <v>0</v>
      </c>
      <c r="O8940">
        <v>2517</v>
      </c>
    </row>
    <row r="8941" spans="1:15" x14ac:dyDescent="0.25">
      <c r="A8941" t="s">
        <v>8954</v>
      </c>
      <c r="B8941">
        <v>939</v>
      </c>
      <c r="C8941" s="1" t="str">
        <f>HYPERLINK("http://www.rosaceae.org/gb/gbrowse/malus_x_domestica/?name=MDP0000146170","MDP0000146170")</f>
        <v>MDP0000146170</v>
      </c>
      <c r="D8941">
        <v>67.819999999999993</v>
      </c>
      <c r="E8941">
        <v>805</v>
      </c>
      <c r="F8941">
        <v>259</v>
      </c>
      <c r="G8941">
        <v>9</v>
      </c>
      <c r="H8941">
        <v>1</v>
      </c>
      <c r="I8941">
        <v>802</v>
      </c>
      <c r="J8941">
        <v>1</v>
      </c>
      <c r="K8941">
        <v>1</v>
      </c>
      <c r="L8941">
        <v>799</v>
      </c>
      <c r="M8941">
        <v>1</v>
      </c>
      <c r="N8941">
        <v>0</v>
      </c>
      <c r="O8941">
        <v>2747</v>
      </c>
    </row>
    <row r="8942" spans="1:15" x14ac:dyDescent="0.25">
      <c r="A8942" t="s">
        <v>8955</v>
      </c>
      <c r="B8942">
        <v>698</v>
      </c>
      <c r="C8942" s="1" t="str">
        <f>HYPERLINK("http://www.rosaceae.org/gb/gbrowse/malus_x_domestica/?name=MDP0000303337","MDP0000303337")</f>
        <v>MDP0000303337</v>
      </c>
      <c r="D8942">
        <v>29.66</v>
      </c>
      <c r="E8942">
        <v>327</v>
      </c>
      <c r="F8942">
        <v>230</v>
      </c>
      <c r="G8942">
        <v>16</v>
      </c>
      <c r="H8942">
        <v>61</v>
      </c>
      <c r="I8942">
        <v>386</v>
      </c>
      <c r="J8942">
        <v>1</v>
      </c>
      <c r="K8942">
        <v>50</v>
      </c>
      <c r="L8942">
        <v>361</v>
      </c>
      <c r="M8942">
        <v>1</v>
      </c>
      <c r="N8942">
        <v>6.4821699999999999E-42</v>
      </c>
      <c r="O8942">
        <v>429</v>
      </c>
    </row>
    <row r="8943" spans="1:15" x14ac:dyDescent="0.25">
      <c r="A8943" t="s">
        <v>8956</v>
      </c>
      <c r="B8943">
        <v>1106</v>
      </c>
      <c r="C8943" s="1" t="str">
        <f>HYPERLINK("http://www.rosaceae.org/gb/gbrowse/malus_x_domestica/?name=MDP0000297798","MDP0000297798")</f>
        <v>MDP0000297798</v>
      </c>
      <c r="D8943">
        <v>64.16</v>
      </c>
      <c r="E8943">
        <v>1211</v>
      </c>
      <c r="F8943">
        <v>434</v>
      </c>
      <c r="G8943">
        <v>256</v>
      </c>
      <c r="H8943">
        <v>1</v>
      </c>
      <c r="I8943">
        <v>1106</v>
      </c>
      <c r="J8943">
        <v>1</v>
      </c>
      <c r="K8943">
        <v>1</v>
      </c>
      <c r="L8943">
        <v>1060</v>
      </c>
      <c r="M8943">
        <v>1</v>
      </c>
      <c r="N8943">
        <v>0</v>
      </c>
      <c r="O8943">
        <v>3687</v>
      </c>
    </row>
    <row r="8944" spans="1:15" x14ac:dyDescent="0.25">
      <c r="A8944" t="s">
        <v>8957</v>
      </c>
      <c r="B8944">
        <v>421</v>
      </c>
      <c r="C8944" s="1" t="str">
        <f>HYPERLINK("http://www.rosaceae.org/gb/gbrowse/malus_x_domestica/?name=MDP0000186557","MDP0000186557")</f>
        <v>MDP0000186557</v>
      </c>
      <c r="D8944">
        <v>75.290000000000006</v>
      </c>
      <c r="E8944">
        <v>421</v>
      </c>
      <c r="F8944">
        <v>104</v>
      </c>
      <c r="G8944">
        <v>3</v>
      </c>
      <c r="H8944">
        <v>1</v>
      </c>
      <c r="I8944">
        <v>421</v>
      </c>
      <c r="J8944">
        <v>1</v>
      </c>
      <c r="K8944">
        <v>1</v>
      </c>
      <c r="L8944">
        <v>418</v>
      </c>
      <c r="M8944">
        <v>1</v>
      </c>
      <c r="N8944">
        <v>0</v>
      </c>
      <c r="O8944">
        <v>1647</v>
      </c>
    </row>
    <row r="8945" spans="1:15" x14ac:dyDescent="0.25">
      <c r="A8945" t="s">
        <v>8958</v>
      </c>
      <c r="B8945">
        <v>287</v>
      </c>
      <c r="C8945" s="1" t="str">
        <f>HYPERLINK("http://www.rosaceae.org/gb/gbrowse/malus_x_domestica/?name=MDP0000130057","MDP0000130057")</f>
        <v>MDP0000130057</v>
      </c>
      <c r="D8945">
        <v>76.73</v>
      </c>
      <c r="E8945">
        <v>288</v>
      </c>
      <c r="F8945">
        <v>67</v>
      </c>
      <c r="G8945">
        <v>1</v>
      </c>
      <c r="H8945">
        <v>1</v>
      </c>
      <c r="I8945">
        <v>287</v>
      </c>
      <c r="J8945">
        <v>1</v>
      </c>
      <c r="K8945">
        <v>1</v>
      </c>
      <c r="L8945">
        <v>288</v>
      </c>
      <c r="M8945">
        <v>1</v>
      </c>
      <c r="N8945">
        <v>3.8096500000000003E-120</v>
      </c>
      <c r="O8945">
        <v>1100</v>
      </c>
    </row>
    <row r="8946" spans="1:15" x14ac:dyDescent="0.25">
      <c r="A8946" t="s">
        <v>8959</v>
      </c>
      <c r="B8946">
        <v>813</v>
      </c>
      <c r="C8946" s="1" t="str">
        <f>HYPERLINK("http://www.rosaceae.org/gb/gbrowse/malus_x_domestica/?name=MDP0000171216","MDP0000171216")</f>
        <v>MDP0000171216</v>
      </c>
      <c r="D8946">
        <v>66.97</v>
      </c>
      <c r="E8946">
        <v>427</v>
      </c>
      <c r="F8946">
        <v>141</v>
      </c>
      <c r="G8946">
        <v>76</v>
      </c>
      <c r="H8946">
        <v>138</v>
      </c>
      <c r="I8946">
        <v>529</v>
      </c>
      <c r="J8946">
        <v>1</v>
      </c>
      <c r="K8946">
        <v>30</v>
      </c>
      <c r="L8946">
        <v>415</v>
      </c>
      <c r="M8946">
        <v>1</v>
      </c>
      <c r="N8946">
        <v>1.7665199999999999E-156</v>
      </c>
      <c r="O8946">
        <v>1418</v>
      </c>
    </row>
    <row r="8947" spans="1:15" x14ac:dyDescent="0.25">
      <c r="A8947" t="s">
        <v>8960</v>
      </c>
      <c r="B8947">
        <v>370</v>
      </c>
      <c r="C8947" s="1" t="str">
        <f>HYPERLINK("http://www.rosaceae.org/gb/gbrowse/malus_x_domestica/?name=MDP0000672291","MDP0000672291")</f>
        <v>MDP0000672291</v>
      </c>
      <c r="D8947">
        <v>55.52</v>
      </c>
      <c r="E8947">
        <v>380</v>
      </c>
      <c r="F8947">
        <v>169</v>
      </c>
      <c r="G8947">
        <v>18</v>
      </c>
      <c r="H8947">
        <v>2</v>
      </c>
      <c r="I8947">
        <v>364</v>
      </c>
      <c r="J8947">
        <v>1</v>
      </c>
      <c r="K8947">
        <v>23</v>
      </c>
      <c r="L8947">
        <v>401</v>
      </c>
      <c r="M8947">
        <v>1</v>
      </c>
      <c r="N8947">
        <v>1.09902E-112</v>
      </c>
      <c r="O8947">
        <v>1037</v>
      </c>
    </row>
    <row r="8948" spans="1:15" x14ac:dyDescent="0.25">
      <c r="A8948" t="s">
        <v>8961</v>
      </c>
      <c r="B8948">
        <v>99</v>
      </c>
      <c r="C8948" s="1" t="str">
        <f>HYPERLINK("http://www.rosaceae.org/gb/gbrowse/malus_x_domestica/?name=MDP0000170777","MDP0000170777")</f>
        <v>MDP0000170777</v>
      </c>
      <c r="D8948">
        <v>85.14</v>
      </c>
      <c r="E8948">
        <v>101</v>
      </c>
      <c r="F8948">
        <v>15</v>
      </c>
      <c r="G8948">
        <v>2</v>
      </c>
      <c r="H8948">
        <v>1</v>
      </c>
      <c r="I8948">
        <v>99</v>
      </c>
      <c r="J8948">
        <v>1</v>
      </c>
      <c r="K8948">
        <v>1</v>
      </c>
      <c r="L8948">
        <v>101</v>
      </c>
      <c r="M8948">
        <v>1</v>
      </c>
      <c r="N8948">
        <v>7.9002699999999998E-44</v>
      </c>
      <c r="O8948">
        <v>435</v>
      </c>
    </row>
    <row r="8949" spans="1:15" x14ac:dyDescent="0.25">
      <c r="A8949" t="s">
        <v>8962</v>
      </c>
      <c r="B8949">
        <v>576</v>
      </c>
      <c r="C8949" s="1" t="str">
        <f>HYPERLINK("http://www.rosaceae.org/gb/gbrowse/malus_x_domestica/?name=MDP0000173365","MDP0000173365")</f>
        <v>MDP0000173365</v>
      </c>
      <c r="D8949">
        <v>80.95</v>
      </c>
      <c r="E8949">
        <v>588</v>
      </c>
      <c r="F8949">
        <v>112</v>
      </c>
      <c r="G8949">
        <v>15</v>
      </c>
      <c r="H8949">
        <v>1</v>
      </c>
      <c r="I8949">
        <v>576</v>
      </c>
      <c r="J8949">
        <v>1</v>
      </c>
      <c r="K8949">
        <v>147</v>
      </c>
      <c r="L8949">
        <v>731</v>
      </c>
      <c r="M8949">
        <v>1</v>
      </c>
      <c r="N8949">
        <v>0</v>
      </c>
      <c r="O8949">
        <v>2465</v>
      </c>
    </row>
    <row r="8950" spans="1:15" x14ac:dyDescent="0.25">
      <c r="A8950" t="s">
        <v>8963</v>
      </c>
      <c r="B8950">
        <v>320</v>
      </c>
      <c r="C8950" s="1" t="str">
        <f>HYPERLINK("http://www.rosaceae.org/gb/gbrowse/malus_x_domestica/?name=MDP0000376738","MDP0000376738")</f>
        <v>MDP0000376738</v>
      </c>
      <c r="D8950">
        <v>69.81</v>
      </c>
      <c r="E8950">
        <v>275</v>
      </c>
      <c r="F8950">
        <v>83</v>
      </c>
      <c r="G8950">
        <v>3</v>
      </c>
      <c r="H8950">
        <v>45</v>
      </c>
      <c r="I8950">
        <v>319</v>
      </c>
      <c r="J8950">
        <v>1</v>
      </c>
      <c r="K8950">
        <v>2</v>
      </c>
      <c r="L8950">
        <v>273</v>
      </c>
      <c r="M8950">
        <v>1</v>
      </c>
      <c r="N8950">
        <v>1.6147999999999999E-107</v>
      </c>
      <c r="O8950">
        <v>992</v>
      </c>
    </row>
    <row r="8951" spans="1:15" x14ac:dyDescent="0.25">
      <c r="A8951" t="s">
        <v>8964</v>
      </c>
      <c r="B8951">
        <v>313</v>
      </c>
      <c r="C8951" s="1" t="str">
        <f>HYPERLINK("http://www.rosaceae.org/gb/gbrowse/malus_x_domestica/?name=MDP0000412427","MDP0000412427")</f>
        <v>MDP0000412427</v>
      </c>
      <c r="D8951">
        <v>71.42</v>
      </c>
      <c r="E8951">
        <v>84</v>
      </c>
      <c r="F8951">
        <v>24</v>
      </c>
      <c r="G8951">
        <v>4</v>
      </c>
      <c r="H8951">
        <v>54</v>
      </c>
      <c r="I8951">
        <v>137</v>
      </c>
      <c r="J8951">
        <v>1</v>
      </c>
      <c r="K8951">
        <v>63</v>
      </c>
      <c r="L8951">
        <v>142</v>
      </c>
      <c r="M8951">
        <v>1</v>
      </c>
      <c r="N8951">
        <v>2.28897E-28</v>
      </c>
      <c r="O8951">
        <v>309</v>
      </c>
    </row>
    <row r="8952" spans="1:15" x14ac:dyDescent="0.25">
      <c r="A8952" t="s">
        <v>8965</v>
      </c>
      <c r="B8952">
        <v>615</v>
      </c>
      <c r="C8952" s="1" t="str">
        <f>HYPERLINK("http://www.rosaceae.org/gb/gbrowse/malus_x_domestica/?name=MDP0000245133","MDP0000245133")</f>
        <v>MDP0000245133</v>
      </c>
      <c r="D8952">
        <v>82.94</v>
      </c>
      <c r="E8952">
        <v>475</v>
      </c>
      <c r="F8952">
        <v>81</v>
      </c>
      <c r="G8952">
        <v>6</v>
      </c>
      <c r="H8952">
        <v>23</v>
      </c>
      <c r="I8952">
        <v>496</v>
      </c>
      <c r="J8952">
        <v>1</v>
      </c>
      <c r="K8952">
        <v>1</v>
      </c>
      <c r="L8952">
        <v>470</v>
      </c>
      <c r="M8952">
        <v>1</v>
      </c>
      <c r="N8952">
        <v>0</v>
      </c>
      <c r="O8952">
        <v>2090</v>
      </c>
    </row>
    <row r="8953" spans="1:15" x14ac:dyDescent="0.25">
      <c r="A8953" t="s">
        <v>8966</v>
      </c>
      <c r="B8953">
        <v>278</v>
      </c>
      <c r="C8953" s="1" t="str">
        <f>HYPERLINK("http://www.rosaceae.org/gb/gbrowse/malus_x_domestica/?name=MDP0000138244","MDP0000138244")</f>
        <v>MDP0000138244</v>
      </c>
      <c r="D8953">
        <v>65.16</v>
      </c>
      <c r="E8953">
        <v>310</v>
      </c>
      <c r="F8953">
        <v>108</v>
      </c>
      <c r="G8953">
        <v>51</v>
      </c>
      <c r="H8953">
        <v>1</v>
      </c>
      <c r="I8953">
        <v>274</v>
      </c>
      <c r="J8953">
        <v>1</v>
      </c>
      <c r="K8953">
        <v>1</v>
      </c>
      <c r="L8953">
        <v>295</v>
      </c>
      <c r="M8953">
        <v>1</v>
      </c>
      <c r="N8953">
        <v>2.4585400000000002E-106</v>
      </c>
      <c r="O8953">
        <v>981</v>
      </c>
    </row>
    <row r="8954" spans="1:15" x14ac:dyDescent="0.25">
      <c r="A8954" t="s">
        <v>8967</v>
      </c>
      <c r="B8954">
        <v>565</v>
      </c>
      <c r="C8954" s="1" t="str">
        <f>HYPERLINK("http://www.rosaceae.org/gb/gbrowse/malus_x_domestica/?name=MDP0000171430","MDP0000171430")</f>
        <v>MDP0000171430</v>
      </c>
      <c r="D8954">
        <v>64.62</v>
      </c>
      <c r="E8954">
        <v>212</v>
      </c>
      <c r="F8954">
        <v>75</v>
      </c>
      <c r="G8954">
        <v>16</v>
      </c>
      <c r="H8954">
        <v>108</v>
      </c>
      <c r="I8954">
        <v>317</v>
      </c>
      <c r="J8954">
        <v>1</v>
      </c>
      <c r="K8954">
        <v>371</v>
      </c>
      <c r="L8954">
        <v>568</v>
      </c>
      <c r="M8954">
        <v>1</v>
      </c>
      <c r="N8954">
        <v>2.8875200000000002E-68</v>
      </c>
      <c r="O8954">
        <v>656</v>
      </c>
    </row>
    <row r="8955" spans="1:15" x14ac:dyDescent="0.25">
      <c r="A8955" t="s">
        <v>8968</v>
      </c>
      <c r="B8955">
        <v>228</v>
      </c>
      <c r="C8955" s="1" t="str">
        <f>HYPERLINK("http://www.rosaceae.org/gb/gbrowse/malus_x_domestica/?name=MDP0000312731","MDP0000312731")</f>
        <v>MDP0000312731</v>
      </c>
      <c r="D8955">
        <v>64.97</v>
      </c>
      <c r="E8955">
        <v>217</v>
      </c>
      <c r="F8955">
        <v>76</v>
      </c>
      <c r="G8955">
        <v>17</v>
      </c>
      <c r="H8955">
        <v>1</v>
      </c>
      <c r="I8955">
        <v>216</v>
      </c>
      <c r="J8955">
        <v>1</v>
      </c>
      <c r="K8955">
        <v>1</v>
      </c>
      <c r="L8955">
        <v>201</v>
      </c>
      <c r="M8955">
        <v>1</v>
      </c>
      <c r="N8955">
        <v>6.3008799999999997E-75</v>
      </c>
      <c r="O8955">
        <v>709</v>
      </c>
    </row>
    <row r="8956" spans="1:15" x14ac:dyDescent="0.25">
      <c r="A8956" t="s">
        <v>8969</v>
      </c>
      <c r="B8956">
        <v>114</v>
      </c>
      <c r="C8956" s="1" t="str">
        <f>HYPERLINK("http://www.rosaceae.org/gb/gbrowse/malus_x_domestica/?name=MDP0000421116","MDP0000421116")</f>
        <v>MDP0000421116</v>
      </c>
      <c r="D8956">
        <v>32.72</v>
      </c>
      <c r="E8956">
        <v>110</v>
      </c>
      <c r="F8956">
        <v>74</v>
      </c>
      <c r="G8956">
        <v>1</v>
      </c>
      <c r="H8956">
        <v>3</v>
      </c>
      <c r="I8956">
        <v>112</v>
      </c>
      <c r="J8956">
        <v>1</v>
      </c>
      <c r="K8956">
        <v>1</v>
      </c>
      <c r="L8956">
        <v>109</v>
      </c>
      <c r="M8956">
        <v>1</v>
      </c>
      <c r="N8956">
        <v>2.6614200000000002E-12</v>
      </c>
      <c r="O8956">
        <v>164</v>
      </c>
    </row>
    <row r="8957" spans="1:15" x14ac:dyDescent="0.25">
      <c r="A8957" t="s">
        <v>8970</v>
      </c>
      <c r="B8957">
        <v>389</v>
      </c>
      <c r="C8957" s="1" t="str">
        <f>HYPERLINK("http://www.rosaceae.org/gb/gbrowse/malus_x_domestica/?name=MDP0000289204","MDP0000289204")</f>
        <v>MDP0000289204</v>
      </c>
      <c r="D8957">
        <v>46.44</v>
      </c>
      <c r="E8957">
        <v>338</v>
      </c>
      <c r="F8957">
        <v>181</v>
      </c>
      <c r="G8957">
        <v>13</v>
      </c>
      <c r="H8957">
        <v>46</v>
      </c>
      <c r="I8957">
        <v>381</v>
      </c>
      <c r="J8957">
        <v>1</v>
      </c>
      <c r="K8957">
        <v>38</v>
      </c>
      <c r="L8957">
        <v>364</v>
      </c>
      <c r="M8957">
        <v>1</v>
      </c>
      <c r="N8957">
        <v>2.0858199999999999E-69</v>
      </c>
      <c r="O8957">
        <v>664</v>
      </c>
    </row>
    <row r="8958" spans="1:15" x14ac:dyDescent="0.25">
      <c r="A8958" t="s">
        <v>8971</v>
      </c>
      <c r="B8958">
        <v>411</v>
      </c>
      <c r="C8958" s="1" t="str">
        <f>HYPERLINK("http://www.rosaceae.org/gb/gbrowse/malus_x_domestica/?name=MDP0000231643","MDP0000231643")</f>
        <v>MDP0000231643</v>
      </c>
      <c r="D8958">
        <v>73.150000000000006</v>
      </c>
      <c r="E8958">
        <v>380</v>
      </c>
      <c r="F8958">
        <v>102</v>
      </c>
      <c r="G8958">
        <v>26</v>
      </c>
      <c r="H8958">
        <v>1</v>
      </c>
      <c r="I8958">
        <v>362</v>
      </c>
      <c r="J8958">
        <v>1</v>
      </c>
      <c r="K8958">
        <v>226</v>
      </c>
      <c r="L8958">
        <v>597</v>
      </c>
      <c r="M8958">
        <v>1</v>
      </c>
      <c r="N8958">
        <v>4.7266199999999997E-157</v>
      </c>
      <c r="O8958">
        <v>1420</v>
      </c>
    </row>
    <row r="8959" spans="1:15" x14ac:dyDescent="0.25">
      <c r="A8959" t="s">
        <v>8972</v>
      </c>
      <c r="B8959">
        <v>769</v>
      </c>
      <c r="C8959" s="1" t="str">
        <f>HYPERLINK("http://www.rosaceae.org/gb/gbrowse/malus_x_domestica/?name=MDP0000692845","MDP0000692845")</f>
        <v>MDP0000692845</v>
      </c>
      <c r="D8959">
        <v>70.89</v>
      </c>
      <c r="E8959">
        <v>756</v>
      </c>
      <c r="F8959">
        <v>220</v>
      </c>
      <c r="G8959">
        <v>6</v>
      </c>
      <c r="H8959">
        <v>1</v>
      </c>
      <c r="I8959">
        <v>754</v>
      </c>
      <c r="J8959">
        <v>1</v>
      </c>
      <c r="K8959">
        <v>1</v>
      </c>
      <c r="L8959">
        <v>752</v>
      </c>
      <c r="M8959">
        <v>1</v>
      </c>
      <c r="N8959">
        <v>0</v>
      </c>
      <c r="O8959">
        <v>2704</v>
      </c>
    </row>
    <row r="8960" spans="1:15" x14ac:dyDescent="0.25">
      <c r="A8960" t="s">
        <v>8973</v>
      </c>
      <c r="B8960">
        <v>310</v>
      </c>
      <c r="C8960" s="1" t="str">
        <f>HYPERLINK("http://www.rosaceae.org/gb/gbrowse/malus_x_domestica/?name=MDP0000254880","MDP0000254880")</f>
        <v>MDP0000254880</v>
      </c>
      <c r="D8960">
        <v>73.22</v>
      </c>
      <c r="E8960">
        <v>310</v>
      </c>
      <c r="F8960">
        <v>83</v>
      </c>
      <c r="G8960">
        <v>20</v>
      </c>
      <c r="H8960">
        <v>1</v>
      </c>
      <c r="I8960">
        <v>310</v>
      </c>
      <c r="J8960">
        <v>1</v>
      </c>
      <c r="K8960">
        <v>1</v>
      </c>
      <c r="L8960">
        <v>290</v>
      </c>
      <c r="M8960">
        <v>1</v>
      </c>
      <c r="N8960">
        <v>1.2539099999999999E-126</v>
      </c>
      <c r="O8960">
        <v>1156</v>
      </c>
    </row>
    <row r="8961" spans="1:15" x14ac:dyDescent="0.25">
      <c r="A8961" t="s">
        <v>8974</v>
      </c>
      <c r="B8961">
        <v>732</v>
      </c>
      <c r="C8961" s="1" t="str">
        <f>HYPERLINK("http://www.rosaceae.org/gb/gbrowse/malus_x_domestica/?name=MDP0000498407","MDP0000498407")</f>
        <v>MDP0000498407</v>
      </c>
      <c r="D8961">
        <v>68.69</v>
      </c>
      <c r="E8961">
        <v>591</v>
      </c>
      <c r="F8961">
        <v>185</v>
      </c>
      <c r="G8961">
        <v>44</v>
      </c>
      <c r="H8961">
        <v>2</v>
      </c>
      <c r="I8961">
        <v>584</v>
      </c>
      <c r="J8961">
        <v>1</v>
      </c>
      <c r="K8961">
        <v>5</v>
      </c>
      <c r="L8961">
        <v>559</v>
      </c>
      <c r="M8961">
        <v>1</v>
      </c>
      <c r="N8961">
        <v>0</v>
      </c>
      <c r="O8961">
        <v>2072</v>
      </c>
    </row>
    <row r="8962" spans="1:15" x14ac:dyDescent="0.25">
      <c r="A8962" t="s">
        <v>8975</v>
      </c>
      <c r="B8962">
        <v>765</v>
      </c>
      <c r="C8962" s="1" t="str">
        <f>HYPERLINK("http://www.rosaceae.org/gb/gbrowse/malus_x_domestica/?name=MDP0000055078","MDP0000055078")</f>
        <v>MDP0000055078</v>
      </c>
      <c r="D8962">
        <v>63.21</v>
      </c>
      <c r="E8962">
        <v>772</v>
      </c>
      <c r="F8962">
        <v>284</v>
      </c>
      <c r="G8962">
        <v>160</v>
      </c>
      <c r="H8962">
        <v>18</v>
      </c>
      <c r="I8962">
        <v>758</v>
      </c>
      <c r="J8962">
        <v>1</v>
      </c>
      <c r="K8962">
        <v>23</v>
      </c>
      <c r="L8962">
        <v>665</v>
      </c>
      <c r="M8962">
        <v>1</v>
      </c>
      <c r="N8962">
        <v>0</v>
      </c>
      <c r="O8962">
        <v>2413</v>
      </c>
    </row>
    <row r="8963" spans="1:15" x14ac:dyDescent="0.25">
      <c r="A8963" t="s">
        <v>8976</v>
      </c>
      <c r="B8963">
        <v>651</v>
      </c>
      <c r="C8963" s="1" t="str">
        <f>HYPERLINK("http://www.rosaceae.org/gb/gbrowse/malus_x_domestica/?name=MDP0000309625","MDP0000309625")</f>
        <v>MDP0000309625</v>
      </c>
      <c r="D8963">
        <v>65.739999999999995</v>
      </c>
      <c r="E8963">
        <v>616</v>
      </c>
      <c r="F8963">
        <v>211</v>
      </c>
      <c r="G8963">
        <v>45</v>
      </c>
      <c r="H8963">
        <v>1</v>
      </c>
      <c r="I8963">
        <v>616</v>
      </c>
      <c r="J8963">
        <v>1</v>
      </c>
      <c r="K8963">
        <v>2</v>
      </c>
      <c r="L8963">
        <v>572</v>
      </c>
      <c r="M8963">
        <v>1</v>
      </c>
      <c r="N8963">
        <v>0</v>
      </c>
      <c r="O8963">
        <v>2059</v>
      </c>
    </row>
    <row r="8964" spans="1:15" x14ac:dyDescent="0.25">
      <c r="A8964" t="s">
        <v>8977</v>
      </c>
      <c r="B8964">
        <v>866</v>
      </c>
      <c r="C8964" s="1" t="str">
        <f>HYPERLINK("http://www.rosaceae.org/gb/gbrowse/malus_x_domestica/?name=MDP0000179936","MDP0000179936")</f>
        <v>MDP0000179936</v>
      </c>
      <c r="D8964">
        <v>73.69</v>
      </c>
      <c r="E8964">
        <v>821</v>
      </c>
      <c r="F8964">
        <v>216</v>
      </c>
      <c r="G8964">
        <v>44</v>
      </c>
      <c r="H8964">
        <v>1</v>
      </c>
      <c r="I8964">
        <v>799</v>
      </c>
      <c r="J8964">
        <v>1</v>
      </c>
      <c r="K8964">
        <v>1</v>
      </c>
      <c r="L8964">
        <v>799</v>
      </c>
      <c r="M8964">
        <v>1</v>
      </c>
      <c r="N8964">
        <v>0</v>
      </c>
      <c r="O8964">
        <v>3086</v>
      </c>
    </row>
    <row r="8965" spans="1:15" x14ac:dyDescent="0.25">
      <c r="A8965" t="s">
        <v>8978</v>
      </c>
      <c r="B8965">
        <v>242</v>
      </c>
      <c r="C8965" s="1" t="str">
        <f>HYPERLINK("http://www.rosaceae.org/gb/gbrowse/malus_x_domestica/?name=MDP0000688401","MDP0000688401")</f>
        <v>MDP0000688401</v>
      </c>
      <c r="D8965">
        <v>66.95</v>
      </c>
      <c r="E8965">
        <v>233</v>
      </c>
      <c r="F8965">
        <v>77</v>
      </c>
      <c r="G8965">
        <v>2</v>
      </c>
      <c r="H8965">
        <v>8</v>
      </c>
      <c r="I8965">
        <v>240</v>
      </c>
      <c r="J8965">
        <v>1</v>
      </c>
      <c r="K8965">
        <v>7</v>
      </c>
      <c r="L8965">
        <v>237</v>
      </c>
      <c r="M8965">
        <v>1</v>
      </c>
      <c r="N8965">
        <v>1.5723199999999999E-90</v>
      </c>
      <c r="O8965">
        <v>843</v>
      </c>
    </row>
    <row r="8966" spans="1:15" x14ac:dyDescent="0.25">
      <c r="A8966" t="s">
        <v>8979</v>
      </c>
      <c r="B8966">
        <v>250</v>
      </c>
      <c r="C8966" s="1" t="str">
        <f>HYPERLINK("http://www.rosaceae.org/gb/gbrowse/malus_x_domestica/?name=MDP0000255292","MDP0000255292")</f>
        <v>MDP0000255292</v>
      </c>
      <c r="D8966">
        <v>81.739999999999995</v>
      </c>
      <c r="E8966">
        <v>252</v>
      </c>
      <c r="F8966">
        <v>46</v>
      </c>
      <c r="G8966">
        <v>3</v>
      </c>
      <c r="H8966">
        <v>1</v>
      </c>
      <c r="I8966">
        <v>250</v>
      </c>
      <c r="J8966">
        <v>1</v>
      </c>
      <c r="K8966">
        <v>4</v>
      </c>
      <c r="L8966">
        <v>254</v>
      </c>
      <c r="M8966">
        <v>1</v>
      </c>
      <c r="N8966">
        <v>6.5842500000000001E-118</v>
      </c>
      <c r="O8966">
        <v>1080</v>
      </c>
    </row>
    <row r="8967" spans="1:15" x14ac:dyDescent="0.25">
      <c r="A8967" t="s">
        <v>8980</v>
      </c>
      <c r="B8967">
        <v>165</v>
      </c>
      <c r="C8967" s="1" t="str">
        <f>HYPERLINK("http://www.rosaceae.org/gb/gbrowse/malus_x_domestica/?name=MDP0000343741","MDP0000343741")</f>
        <v>MDP0000343741</v>
      </c>
      <c r="D8967">
        <v>75.69</v>
      </c>
      <c r="E8967">
        <v>144</v>
      </c>
      <c r="F8967">
        <v>35</v>
      </c>
      <c r="G8967">
        <v>5</v>
      </c>
      <c r="H8967">
        <v>6</v>
      </c>
      <c r="I8967">
        <v>144</v>
      </c>
      <c r="J8967">
        <v>1</v>
      </c>
      <c r="K8967">
        <v>17</v>
      </c>
      <c r="L8967">
        <v>160</v>
      </c>
      <c r="M8967">
        <v>1</v>
      </c>
      <c r="N8967">
        <v>1.5663399999999999E-61</v>
      </c>
      <c r="O8967">
        <v>591</v>
      </c>
    </row>
    <row r="8968" spans="1:15" x14ac:dyDescent="0.25">
      <c r="A8968" t="s">
        <v>8981</v>
      </c>
      <c r="B8968">
        <v>160</v>
      </c>
      <c r="C8968" s="1" t="str">
        <f>HYPERLINK("http://www.rosaceae.org/gb/gbrowse/malus_x_domestica/?name=MDP0000253620","MDP0000253620")</f>
        <v>MDP0000253620</v>
      </c>
      <c r="D8968">
        <v>64.44</v>
      </c>
      <c r="E8968">
        <v>45</v>
      </c>
      <c r="F8968">
        <v>16</v>
      </c>
      <c r="G8968">
        <v>0</v>
      </c>
      <c r="H8968">
        <v>82</v>
      </c>
      <c r="I8968">
        <v>126</v>
      </c>
      <c r="J8968">
        <v>1</v>
      </c>
      <c r="K8968">
        <v>1</v>
      </c>
      <c r="L8968">
        <v>45</v>
      </c>
      <c r="M8968">
        <v>1</v>
      </c>
      <c r="N8968">
        <v>2.7186000000000001E-9</v>
      </c>
      <c r="O8968">
        <v>140</v>
      </c>
    </row>
    <row r="8969" spans="1:15" x14ac:dyDescent="0.25">
      <c r="A8969" t="s">
        <v>8982</v>
      </c>
      <c r="B8969">
        <v>506</v>
      </c>
      <c r="C8969" s="1" t="str">
        <f>HYPERLINK("http://www.rosaceae.org/gb/gbrowse/malus_x_domestica/?name=MDP0000278380","MDP0000278380")</f>
        <v>MDP0000278380</v>
      </c>
      <c r="D8969">
        <v>37.6</v>
      </c>
      <c r="E8969">
        <v>492</v>
      </c>
      <c r="F8969">
        <v>307</v>
      </c>
      <c r="G8969">
        <v>24</v>
      </c>
      <c r="H8969">
        <v>30</v>
      </c>
      <c r="I8969">
        <v>506</v>
      </c>
      <c r="J8969">
        <v>1</v>
      </c>
      <c r="K8969">
        <v>62</v>
      </c>
      <c r="L8969">
        <v>544</v>
      </c>
      <c r="M8969">
        <v>1</v>
      </c>
      <c r="N8969">
        <v>2.094E-87</v>
      </c>
      <c r="O8969">
        <v>820</v>
      </c>
    </row>
    <row r="8970" spans="1:15" x14ac:dyDescent="0.25">
      <c r="A8970" t="s">
        <v>8983</v>
      </c>
      <c r="B8970">
        <v>502</v>
      </c>
      <c r="C8970" s="1" t="str">
        <f>HYPERLINK("http://www.rosaceae.org/gb/gbrowse/malus_x_domestica/?name=MDP0000285057","MDP0000285057")</f>
        <v>MDP0000285057</v>
      </c>
      <c r="D8970">
        <v>62.92</v>
      </c>
      <c r="E8970">
        <v>472</v>
      </c>
      <c r="F8970">
        <v>175</v>
      </c>
      <c r="G8970">
        <v>5</v>
      </c>
      <c r="H8970">
        <v>24</v>
      </c>
      <c r="I8970">
        <v>493</v>
      </c>
      <c r="J8970">
        <v>1</v>
      </c>
      <c r="K8970">
        <v>8</v>
      </c>
      <c r="L8970">
        <v>476</v>
      </c>
      <c r="M8970">
        <v>1</v>
      </c>
      <c r="N8970">
        <v>4.20618E-179</v>
      </c>
      <c r="O8970">
        <v>1611</v>
      </c>
    </row>
    <row r="8971" spans="1:15" x14ac:dyDescent="0.25">
      <c r="A8971" t="s">
        <v>8984</v>
      </c>
      <c r="B8971">
        <v>561</v>
      </c>
      <c r="C8971" s="1" t="str">
        <f>HYPERLINK("http://www.rosaceae.org/gb/gbrowse/malus_x_domestica/?name=MDP0000777415","MDP0000777415")</f>
        <v>MDP0000777415</v>
      </c>
      <c r="D8971">
        <v>71.81</v>
      </c>
      <c r="E8971">
        <v>408</v>
      </c>
      <c r="F8971">
        <v>115</v>
      </c>
      <c r="G8971">
        <v>21</v>
      </c>
      <c r="H8971">
        <v>151</v>
      </c>
      <c r="I8971">
        <v>546</v>
      </c>
      <c r="J8971">
        <v>1</v>
      </c>
      <c r="K8971">
        <v>1</v>
      </c>
      <c r="L8971">
        <v>399</v>
      </c>
      <c r="M8971">
        <v>1</v>
      </c>
      <c r="N8971">
        <v>2.1678500000000001E-163</v>
      </c>
      <c r="O8971">
        <v>1476</v>
      </c>
    </row>
    <row r="8972" spans="1:15" x14ac:dyDescent="0.25">
      <c r="A8972" t="s">
        <v>8985</v>
      </c>
      <c r="B8972">
        <v>375</v>
      </c>
      <c r="C8972" s="1" t="str">
        <f>HYPERLINK("http://www.rosaceae.org/gb/gbrowse/malus_x_domestica/?name=MDP0000197624","MDP0000197624")</f>
        <v>MDP0000197624</v>
      </c>
      <c r="D8972">
        <v>67.14</v>
      </c>
      <c r="E8972">
        <v>140</v>
      </c>
      <c r="F8972">
        <v>46</v>
      </c>
      <c r="G8972">
        <v>17</v>
      </c>
      <c r="H8972">
        <v>66</v>
      </c>
      <c r="I8972">
        <v>188</v>
      </c>
      <c r="J8972">
        <v>1</v>
      </c>
      <c r="K8972">
        <v>312</v>
      </c>
      <c r="L8972">
        <v>451</v>
      </c>
      <c r="M8972">
        <v>1</v>
      </c>
      <c r="N8972">
        <v>1.1029600000000001E-49</v>
      </c>
      <c r="O8972">
        <v>494</v>
      </c>
    </row>
    <row r="8973" spans="1:15" x14ac:dyDescent="0.25">
      <c r="A8973" t="s">
        <v>8986</v>
      </c>
      <c r="B8973">
        <v>396</v>
      </c>
      <c r="C8973" s="1" t="str">
        <f>HYPERLINK("http://www.rosaceae.org/gb/gbrowse/malus_x_domestica/?name=MDP0000724585","MDP0000724585")</f>
        <v>MDP0000724585</v>
      </c>
      <c r="D8973">
        <v>75</v>
      </c>
      <c r="E8973">
        <v>112</v>
      </c>
      <c r="F8973">
        <v>28</v>
      </c>
      <c r="G8973">
        <v>7</v>
      </c>
      <c r="H8973">
        <v>200</v>
      </c>
      <c r="I8973">
        <v>308</v>
      </c>
      <c r="J8973">
        <v>1</v>
      </c>
      <c r="K8973">
        <v>29</v>
      </c>
      <c r="L8973">
        <v>136</v>
      </c>
      <c r="M8973">
        <v>1</v>
      </c>
      <c r="N8973">
        <v>1.2119099999999999E-44</v>
      </c>
      <c r="O8973">
        <v>450</v>
      </c>
    </row>
    <row r="8974" spans="1:15" x14ac:dyDescent="0.25">
      <c r="A8974" t="s">
        <v>8987</v>
      </c>
      <c r="B8974">
        <v>181</v>
      </c>
      <c r="C8974" s="1" t="str">
        <f>HYPERLINK("http://www.rosaceae.org/gb/gbrowse/malus_x_domestica/?name=MDP0000251733","MDP0000251733")</f>
        <v>MDP0000251733</v>
      </c>
      <c r="D8974">
        <v>42.85</v>
      </c>
      <c r="E8974">
        <v>84</v>
      </c>
      <c r="F8974">
        <v>48</v>
      </c>
      <c r="G8974">
        <v>0</v>
      </c>
      <c r="H8974">
        <v>1</v>
      </c>
      <c r="I8974">
        <v>84</v>
      </c>
      <c r="J8974">
        <v>1</v>
      </c>
      <c r="K8974">
        <v>1</v>
      </c>
      <c r="L8974">
        <v>84</v>
      </c>
      <c r="M8974">
        <v>1</v>
      </c>
      <c r="N8974">
        <v>6.8996499999999996E-16</v>
      </c>
      <c r="O8974">
        <v>198</v>
      </c>
    </row>
    <row r="8975" spans="1:15" x14ac:dyDescent="0.25">
      <c r="A8975" t="s">
        <v>8988</v>
      </c>
      <c r="B8975">
        <v>1263</v>
      </c>
      <c r="C8975" s="1" t="str">
        <f>HYPERLINK("http://www.rosaceae.org/gb/gbrowse/malus_x_domestica/?name=MDP0000455445","MDP0000455445")</f>
        <v>MDP0000455445</v>
      </c>
      <c r="D8975">
        <v>48.93</v>
      </c>
      <c r="E8975">
        <v>1318</v>
      </c>
      <c r="F8975">
        <v>673</v>
      </c>
      <c r="G8975">
        <v>89</v>
      </c>
      <c r="H8975">
        <v>1</v>
      </c>
      <c r="I8975">
        <v>1263</v>
      </c>
      <c r="J8975">
        <v>1</v>
      </c>
      <c r="K8975">
        <v>1</v>
      </c>
      <c r="L8975">
        <v>1284</v>
      </c>
      <c r="M8975">
        <v>1</v>
      </c>
      <c r="N8975">
        <v>0</v>
      </c>
      <c r="O8975">
        <v>2756</v>
      </c>
    </row>
    <row r="8976" spans="1:15" x14ac:dyDescent="0.25">
      <c r="A8976" t="s">
        <v>8989</v>
      </c>
      <c r="B8976">
        <v>403</v>
      </c>
      <c r="C8976" s="1" t="str">
        <f>HYPERLINK("http://www.rosaceae.org/gb/gbrowse/malus_x_domestica/?name=MDP0000156057","MDP0000156057")</f>
        <v>MDP0000156057</v>
      </c>
      <c r="D8976">
        <v>74.77</v>
      </c>
      <c r="E8976">
        <v>448</v>
      </c>
      <c r="F8976">
        <v>113</v>
      </c>
      <c r="G8976">
        <v>48</v>
      </c>
      <c r="H8976">
        <v>3</v>
      </c>
      <c r="I8976">
        <v>403</v>
      </c>
      <c r="J8976">
        <v>1</v>
      </c>
      <c r="K8976">
        <v>2</v>
      </c>
      <c r="L8976">
        <v>448</v>
      </c>
      <c r="M8976">
        <v>1</v>
      </c>
      <c r="N8976">
        <v>0</v>
      </c>
      <c r="O8976">
        <v>1730</v>
      </c>
    </row>
    <row r="8977" spans="1:15" x14ac:dyDescent="0.25">
      <c r="A8977" t="s">
        <v>8990</v>
      </c>
      <c r="B8977">
        <v>224</v>
      </c>
      <c r="C8977" s="1" t="str">
        <f>HYPERLINK("http://www.rosaceae.org/gb/gbrowse/malus_x_domestica/?name=MDP0000136497","MDP0000136497")</f>
        <v>MDP0000136497</v>
      </c>
      <c r="D8977">
        <v>52.27</v>
      </c>
      <c r="E8977">
        <v>88</v>
      </c>
      <c r="F8977">
        <v>42</v>
      </c>
      <c r="G8977">
        <v>1</v>
      </c>
      <c r="H8977">
        <v>1</v>
      </c>
      <c r="I8977">
        <v>88</v>
      </c>
      <c r="J8977">
        <v>1</v>
      </c>
      <c r="K8977">
        <v>23</v>
      </c>
      <c r="L8977">
        <v>109</v>
      </c>
      <c r="M8977">
        <v>1</v>
      </c>
      <c r="N8977">
        <v>3.0753900000000001E-22</v>
      </c>
      <c r="O8977">
        <v>254</v>
      </c>
    </row>
    <row r="8978" spans="1:15" x14ac:dyDescent="0.25">
      <c r="A8978" t="s">
        <v>8991</v>
      </c>
      <c r="B8978">
        <v>335</v>
      </c>
      <c r="C8978" s="1" t="str">
        <f>HYPERLINK("http://www.rosaceae.org/gb/gbrowse/malus_x_domestica/?name=MDP0000500222","MDP0000500222")</f>
        <v>MDP0000500222</v>
      </c>
      <c r="D8978">
        <v>31.46</v>
      </c>
      <c r="E8978">
        <v>356</v>
      </c>
      <c r="F8978">
        <v>244</v>
      </c>
      <c r="G8978">
        <v>94</v>
      </c>
      <c r="H8978">
        <v>10</v>
      </c>
      <c r="I8978">
        <v>288</v>
      </c>
      <c r="J8978">
        <v>1</v>
      </c>
      <c r="K8978">
        <v>58</v>
      </c>
      <c r="L8978">
        <v>396</v>
      </c>
      <c r="M8978">
        <v>1</v>
      </c>
      <c r="N8978">
        <v>1.0190400000000001E-27</v>
      </c>
      <c r="O8978">
        <v>304</v>
      </c>
    </row>
    <row r="8979" spans="1:15" x14ac:dyDescent="0.25">
      <c r="A8979" t="s">
        <v>8992</v>
      </c>
      <c r="B8979">
        <v>348</v>
      </c>
      <c r="C8979" s="1" t="str">
        <f>HYPERLINK("http://www.rosaceae.org/gb/gbrowse/malus_x_domestica/?name=MDP0000269239","MDP0000269239")</f>
        <v>MDP0000269239</v>
      </c>
      <c r="D8979">
        <v>45.71</v>
      </c>
      <c r="E8979">
        <v>385</v>
      </c>
      <c r="F8979">
        <v>209</v>
      </c>
      <c r="G8979">
        <v>67</v>
      </c>
      <c r="H8979">
        <v>26</v>
      </c>
      <c r="I8979">
        <v>343</v>
      </c>
      <c r="J8979">
        <v>1</v>
      </c>
      <c r="K8979">
        <v>90</v>
      </c>
      <c r="L8979">
        <v>474</v>
      </c>
      <c r="M8979">
        <v>1</v>
      </c>
      <c r="N8979">
        <v>7.2774400000000004E-83</v>
      </c>
      <c r="O8979">
        <v>779</v>
      </c>
    </row>
    <row r="8980" spans="1:15" x14ac:dyDescent="0.25">
      <c r="A8980" t="s">
        <v>8993</v>
      </c>
      <c r="B8980">
        <v>385</v>
      </c>
      <c r="C8980" s="1" t="str">
        <f>HYPERLINK("http://www.rosaceae.org/gb/gbrowse/malus_x_domestica/?name=MDP0000130786","MDP0000130786")</f>
        <v>MDP0000130786</v>
      </c>
      <c r="D8980">
        <v>59.09</v>
      </c>
      <c r="E8980">
        <v>396</v>
      </c>
      <c r="F8980">
        <v>162</v>
      </c>
      <c r="G8980">
        <v>11</v>
      </c>
      <c r="H8980">
        <v>1</v>
      </c>
      <c r="I8980">
        <v>385</v>
      </c>
      <c r="J8980">
        <v>1</v>
      </c>
      <c r="K8980">
        <v>1</v>
      </c>
      <c r="L8980">
        <v>396</v>
      </c>
      <c r="M8980">
        <v>1</v>
      </c>
      <c r="N8980">
        <v>9.7912000000000001E-97</v>
      </c>
      <c r="O8980">
        <v>899</v>
      </c>
    </row>
    <row r="8981" spans="1:15" x14ac:dyDescent="0.25">
      <c r="A8981" t="s">
        <v>8994</v>
      </c>
      <c r="B8981">
        <v>808</v>
      </c>
      <c r="C8981" s="1" t="str">
        <f>HYPERLINK("http://www.rosaceae.org/gb/gbrowse/malus_x_domestica/?name=MDP0000817919","MDP0000817919")</f>
        <v>MDP0000817919</v>
      </c>
      <c r="D8981">
        <v>74.64</v>
      </c>
      <c r="E8981">
        <v>710</v>
      </c>
      <c r="F8981">
        <v>180</v>
      </c>
      <c r="G8981">
        <v>24</v>
      </c>
      <c r="H8981">
        <v>1</v>
      </c>
      <c r="I8981">
        <v>687</v>
      </c>
      <c r="J8981">
        <v>1</v>
      </c>
      <c r="K8981">
        <v>1</v>
      </c>
      <c r="L8981">
        <v>709</v>
      </c>
      <c r="M8981">
        <v>1</v>
      </c>
      <c r="N8981">
        <v>0</v>
      </c>
      <c r="O8981">
        <v>2739</v>
      </c>
    </row>
    <row r="8982" spans="1:15" x14ac:dyDescent="0.25">
      <c r="A8982" t="s">
        <v>8995</v>
      </c>
      <c r="B8982">
        <v>2350</v>
      </c>
      <c r="C8982" s="1" t="str">
        <f>HYPERLINK("http://www.rosaceae.org/gb/gbrowse/malus_x_domestica/?name=MDP0000241469","MDP0000241469")</f>
        <v>MDP0000241469</v>
      </c>
      <c r="D8982">
        <v>66.41</v>
      </c>
      <c r="E8982">
        <v>1599</v>
      </c>
      <c r="F8982">
        <v>537</v>
      </c>
      <c r="G8982">
        <v>130</v>
      </c>
      <c r="H8982">
        <v>1</v>
      </c>
      <c r="I8982">
        <v>1497</v>
      </c>
      <c r="J8982">
        <v>1</v>
      </c>
      <c r="K8982">
        <v>1</v>
      </c>
      <c r="L8982">
        <v>1571</v>
      </c>
      <c r="M8982">
        <v>1</v>
      </c>
      <c r="N8982">
        <v>0</v>
      </c>
      <c r="O8982">
        <v>5303</v>
      </c>
    </row>
    <row r="8983" spans="1:15" x14ac:dyDescent="0.25">
      <c r="A8983" t="s">
        <v>8996</v>
      </c>
      <c r="B8983">
        <v>481</v>
      </c>
      <c r="C8983" s="1" t="str">
        <f>HYPERLINK("http://www.rosaceae.org/gb/gbrowse/malus_x_domestica/?name=MDP0000291146","MDP0000291146")</f>
        <v>MDP0000291146</v>
      </c>
      <c r="D8983">
        <v>60.56</v>
      </c>
      <c r="E8983">
        <v>459</v>
      </c>
      <c r="F8983">
        <v>181</v>
      </c>
      <c r="G8983">
        <v>41</v>
      </c>
      <c r="H8983">
        <v>63</v>
      </c>
      <c r="I8983">
        <v>480</v>
      </c>
      <c r="J8983">
        <v>1</v>
      </c>
      <c r="K8983">
        <v>73</v>
      </c>
      <c r="L8983">
        <v>531</v>
      </c>
      <c r="M8983">
        <v>1</v>
      </c>
      <c r="N8983">
        <v>2.5031999999999998E-162</v>
      </c>
      <c r="O8983">
        <v>1466</v>
      </c>
    </row>
    <row r="8984" spans="1:15" x14ac:dyDescent="0.25">
      <c r="A8984" t="s">
        <v>8997</v>
      </c>
      <c r="B8984">
        <v>309</v>
      </c>
      <c r="C8984" s="1" t="str">
        <f>HYPERLINK("http://www.rosaceae.org/gb/gbrowse/malus_x_domestica/?name=MDP0000337791","MDP0000337791")</f>
        <v>MDP0000337791</v>
      </c>
      <c r="D8984">
        <v>58.46</v>
      </c>
      <c r="E8984">
        <v>65</v>
      </c>
      <c r="F8984">
        <v>27</v>
      </c>
      <c r="G8984">
        <v>5</v>
      </c>
      <c r="H8984">
        <v>232</v>
      </c>
      <c r="I8984">
        <v>296</v>
      </c>
      <c r="J8984">
        <v>1</v>
      </c>
      <c r="K8984">
        <v>215</v>
      </c>
      <c r="L8984">
        <v>274</v>
      </c>
      <c r="M8984">
        <v>1</v>
      </c>
      <c r="N8984">
        <v>2.82416E-14</v>
      </c>
      <c r="O8984">
        <v>187</v>
      </c>
    </row>
    <row r="8985" spans="1:15" x14ac:dyDescent="0.25">
      <c r="A8985" t="s">
        <v>8998</v>
      </c>
      <c r="B8985">
        <v>147</v>
      </c>
      <c r="C8985" s="1" t="str">
        <f>HYPERLINK("http://www.rosaceae.org/gb/gbrowse/malus_x_domestica/?name=MDP0000874713","MDP0000874713")</f>
        <v>MDP0000874713</v>
      </c>
      <c r="D8985">
        <v>53.17</v>
      </c>
      <c r="E8985">
        <v>173</v>
      </c>
      <c r="F8985">
        <v>81</v>
      </c>
      <c r="G8985">
        <v>27</v>
      </c>
      <c r="H8985">
        <v>2</v>
      </c>
      <c r="I8985">
        <v>147</v>
      </c>
      <c r="J8985">
        <v>1</v>
      </c>
      <c r="K8985">
        <v>3</v>
      </c>
      <c r="L8985">
        <v>175</v>
      </c>
      <c r="M8985">
        <v>1</v>
      </c>
      <c r="N8985">
        <v>4.3389700000000001E-36</v>
      </c>
      <c r="O8985">
        <v>370</v>
      </c>
    </row>
    <row r="8986" spans="1:15" x14ac:dyDescent="0.25">
      <c r="A8986" t="s">
        <v>8999</v>
      </c>
      <c r="B8986">
        <v>1961</v>
      </c>
      <c r="C8986" s="1" t="str">
        <f>HYPERLINK("http://www.rosaceae.org/gb/gbrowse/malus_x_domestica/?name=MDP0000180972","MDP0000180972")</f>
        <v>MDP0000180972</v>
      </c>
      <c r="D8986">
        <v>70.36</v>
      </c>
      <c r="E8986">
        <v>1859</v>
      </c>
      <c r="F8986">
        <v>551</v>
      </c>
      <c r="G8986">
        <v>42</v>
      </c>
      <c r="H8986">
        <v>113</v>
      </c>
      <c r="I8986">
        <v>1961</v>
      </c>
      <c r="J8986">
        <v>1</v>
      </c>
      <c r="K8986">
        <v>57</v>
      </c>
      <c r="L8986">
        <v>1883</v>
      </c>
      <c r="M8986">
        <v>1</v>
      </c>
      <c r="N8986">
        <v>0</v>
      </c>
      <c r="O8986">
        <v>6733</v>
      </c>
    </row>
    <row r="8987" spans="1:15" x14ac:dyDescent="0.25">
      <c r="A8987" t="s">
        <v>9000</v>
      </c>
      <c r="B8987">
        <v>245</v>
      </c>
      <c r="C8987" s="1" t="str">
        <f>HYPERLINK("http://www.rosaceae.org/gb/gbrowse/malus_x_domestica/?name=MDP0000065895","MDP0000065895")</f>
        <v>MDP0000065895</v>
      </c>
      <c r="D8987">
        <v>89.2</v>
      </c>
      <c r="E8987">
        <v>213</v>
      </c>
      <c r="F8987">
        <v>23</v>
      </c>
      <c r="G8987">
        <v>0</v>
      </c>
      <c r="H8987">
        <v>32</v>
      </c>
      <c r="I8987">
        <v>244</v>
      </c>
      <c r="J8987">
        <v>1</v>
      </c>
      <c r="K8987">
        <v>1</v>
      </c>
      <c r="L8987">
        <v>213</v>
      </c>
      <c r="M8987">
        <v>1</v>
      </c>
      <c r="N8987">
        <v>1.54408E-110</v>
      </c>
      <c r="O8987">
        <v>1016</v>
      </c>
    </row>
    <row r="8988" spans="1:15" x14ac:dyDescent="0.25">
      <c r="A8988" t="s">
        <v>9001</v>
      </c>
      <c r="B8988">
        <v>529</v>
      </c>
      <c r="C8988" s="1" t="str">
        <f>HYPERLINK("http://www.rosaceae.org/gb/gbrowse/malus_x_domestica/?name=MDP0000625646","MDP0000625646")</f>
        <v>MDP0000625646</v>
      </c>
      <c r="D8988">
        <v>89.04</v>
      </c>
      <c r="E8988">
        <v>502</v>
      </c>
      <c r="F8988">
        <v>55</v>
      </c>
      <c r="G8988">
        <v>0</v>
      </c>
      <c r="H8988">
        <v>25</v>
      </c>
      <c r="I8988">
        <v>526</v>
      </c>
      <c r="J8988">
        <v>1</v>
      </c>
      <c r="K8988">
        <v>18</v>
      </c>
      <c r="L8988">
        <v>519</v>
      </c>
      <c r="M8988">
        <v>1</v>
      </c>
      <c r="N8988">
        <v>0</v>
      </c>
      <c r="O8988">
        <v>2440</v>
      </c>
    </row>
    <row r="8989" spans="1:15" x14ac:dyDescent="0.25">
      <c r="A8989" t="s">
        <v>9002</v>
      </c>
      <c r="B8989">
        <v>255</v>
      </c>
      <c r="C8989" s="1" t="str">
        <f>HYPERLINK("http://www.rosaceae.org/gb/gbrowse/malus_x_domestica/?name=MDP0000178649","MDP0000178649")</f>
        <v>MDP0000178649</v>
      </c>
      <c r="D8989">
        <v>65.510000000000005</v>
      </c>
      <c r="E8989">
        <v>261</v>
      </c>
      <c r="F8989">
        <v>90</v>
      </c>
      <c r="G8989">
        <v>15</v>
      </c>
      <c r="H8989">
        <v>1</v>
      </c>
      <c r="I8989">
        <v>255</v>
      </c>
      <c r="J8989">
        <v>1</v>
      </c>
      <c r="K8989">
        <v>1</v>
      </c>
      <c r="L8989">
        <v>252</v>
      </c>
      <c r="M8989">
        <v>1</v>
      </c>
      <c r="N8989">
        <v>3.8323600000000002E-84</v>
      </c>
      <c r="O8989">
        <v>789</v>
      </c>
    </row>
    <row r="8990" spans="1:15" x14ac:dyDescent="0.25">
      <c r="A8990" t="s">
        <v>9003</v>
      </c>
      <c r="B8990">
        <v>171</v>
      </c>
      <c r="C8990" s="1" t="str">
        <f>HYPERLINK("http://www.rosaceae.org/gb/gbrowse/malus_x_domestica/?name=MDP0000661416","MDP0000661416")</f>
        <v>MDP0000661416</v>
      </c>
      <c r="D8990">
        <v>59.89</v>
      </c>
      <c r="E8990">
        <v>187</v>
      </c>
      <c r="F8990">
        <v>75</v>
      </c>
      <c r="G8990">
        <v>16</v>
      </c>
      <c r="H8990">
        <v>1</v>
      </c>
      <c r="I8990">
        <v>171</v>
      </c>
      <c r="J8990">
        <v>1</v>
      </c>
      <c r="K8990">
        <v>1</v>
      </c>
      <c r="L8990">
        <v>187</v>
      </c>
      <c r="M8990">
        <v>1</v>
      </c>
      <c r="N8990">
        <v>5.4392800000000003E-55</v>
      </c>
      <c r="O8990">
        <v>535</v>
      </c>
    </row>
    <row r="8991" spans="1:15" x14ac:dyDescent="0.25">
      <c r="A8991" t="s">
        <v>9004</v>
      </c>
      <c r="B8991">
        <v>129</v>
      </c>
      <c r="C8991" s="1" t="str">
        <f>HYPERLINK("http://www.rosaceae.org/gb/gbrowse/malus_x_domestica/?name=MDP0000782085","MDP0000782085")</f>
        <v>MDP0000782085</v>
      </c>
      <c r="D8991">
        <v>87.59</v>
      </c>
      <c r="E8991">
        <v>129</v>
      </c>
      <c r="F8991">
        <v>16</v>
      </c>
      <c r="G8991">
        <v>0</v>
      </c>
      <c r="H8991">
        <v>1</v>
      </c>
      <c r="I8991">
        <v>129</v>
      </c>
      <c r="J8991">
        <v>1</v>
      </c>
      <c r="K8991">
        <v>20</v>
      </c>
      <c r="L8991">
        <v>148</v>
      </c>
      <c r="M8991">
        <v>1</v>
      </c>
      <c r="N8991">
        <v>2.9420999999999999E-64</v>
      </c>
      <c r="O8991">
        <v>612</v>
      </c>
    </row>
    <row r="8992" spans="1:15" x14ac:dyDescent="0.25">
      <c r="A8992" t="s">
        <v>9005</v>
      </c>
      <c r="B8992">
        <v>923</v>
      </c>
      <c r="C8992" s="1" t="str">
        <f>HYPERLINK("http://www.rosaceae.org/gb/gbrowse/malus_x_domestica/?name=MDP0000309729","MDP0000309729")</f>
        <v>MDP0000309729</v>
      </c>
      <c r="D8992">
        <v>59.96</v>
      </c>
      <c r="E8992">
        <v>512</v>
      </c>
      <c r="F8992">
        <v>205</v>
      </c>
      <c r="G8992">
        <v>23</v>
      </c>
      <c r="H8992">
        <v>1</v>
      </c>
      <c r="I8992">
        <v>491</v>
      </c>
      <c r="J8992">
        <v>1</v>
      </c>
      <c r="K8992">
        <v>1</v>
      </c>
      <c r="L8992">
        <v>510</v>
      </c>
      <c r="M8992">
        <v>1</v>
      </c>
      <c r="N8992">
        <v>1.11924E-172</v>
      </c>
      <c r="O8992">
        <v>1558</v>
      </c>
    </row>
    <row r="8993" spans="1:15" x14ac:dyDescent="0.25">
      <c r="A8993" t="s">
        <v>9006</v>
      </c>
      <c r="B8993">
        <v>269</v>
      </c>
      <c r="C8993" s="1" t="str">
        <f>HYPERLINK("http://www.rosaceae.org/gb/gbrowse/malus_x_domestica/?name=MDP0000244350","MDP0000244350")</f>
        <v>MDP0000244350</v>
      </c>
      <c r="D8993">
        <v>62.97</v>
      </c>
      <c r="E8993">
        <v>235</v>
      </c>
      <c r="F8993">
        <v>87</v>
      </c>
      <c r="G8993">
        <v>18</v>
      </c>
      <c r="H8993">
        <v>47</v>
      </c>
      <c r="I8993">
        <v>265</v>
      </c>
      <c r="J8993">
        <v>1</v>
      </c>
      <c r="K8993">
        <v>1</v>
      </c>
      <c r="L8993">
        <v>233</v>
      </c>
      <c r="M8993">
        <v>1</v>
      </c>
      <c r="N8993">
        <v>4.9449599999999998E-76</v>
      </c>
      <c r="O8993">
        <v>719</v>
      </c>
    </row>
    <row r="8994" spans="1:15" x14ac:dyDescent="0.25">
      <c r="A8994" t="s">
        <v>9007</v>
      </c>
      <c r="B8994">
        <v>321</v>
      </c>
      <c r="C8994" s="1" t="str">
        <f>HYPERLINK("http://www.rosaceae.org/gb/gbrowse/malus_x_domestica/?name=MDP0000379466","MDP0000379466")</f>
        <v>MDP0000379466</v>
      </c>
      <c r="D8994">
        <v>59.19</v>
      </c>
      <c r="E8994">
        <v>272</v>
      </c>
      <c r="F8994">
        <v>111</v>
      </c>
      <c r="G8994">
        <v>14</v>
      </c>
      <c r="H8994">
        <v>14</v>
      </c>
      <c r="I8994">
        <v>278</v>
      </c>
      <c r="J8994">
        <v>1</v>
      </c>
      <c r="K8994">
        <v>20</v>
      </c>
      <c r="L8994">
        <v>284</v>
      </c>
      <c r="M8994">
        <v>1</v>
      </c>
      <c r="N8994">
        <v>1.47625E-87</v>
      </c>
      <c r="O8994">
        <v>819</v>
      </c>
    </row>
    <row r="8995" spans="1:15" x14ac:dyDescent="0.25">
      <c r="A8995" t="s">
        <v>9008</v>
      </c>
      <c r="B8995">
        <v>438</v>
      </c>
      <c r="C8995" s="1" t="str">
        <f>HYPERLINK("http://www.rosaceae.org/gb/gbrowse/malus_x_domestica/?name=MDP0000125644","MDP0000125644")</f>
        <v>MDP0000125644</v>
      </c>
      <c r="D8995">
        <v>29.63</v>
      </c>
      <c r="E8995">
        <v>388</v>
      </c>
      <c r="F8995">
        <v>273</v>
      </c>
      <c r="G8995">
        <v>88</v>
      </c>
      <c r="H8995">
        <v>65</v>
      </c>
      <c r="I8995">
        <v>436</v>
      </c>
      <c r="J8995">
        <v>1</v>
      </c>
      <c r="K8995">
        <v>1</v>
      </c>
      <c r="L8995">
        <v>316</v>
      </c>
      <c r="M8995">
        <v>1</v>
      </c>
      <c r="N8995">
        <v>8.7534799999999997E-22</v>
      </c>
      <c r="O8995">
        <v>254</v>
      </c>
    </row>
    <row r="8996" spans="1:15" x14ac:dyDescent="0.25">
      <c r="A8996" t="s">
        <v>9009</v>
      </c>
      <c r="B8996">
        <v>177</v>
      </c>
      <c r="C8996" s="1" t="str">
        <f>HYPERLINK("http://www.rosaceae.org/gb/gbrowse/malus_x_domestica/?name=MDP0000198112","MDP0000198112")</f>
        <v>MDP0000198112</v>
      </c>
      <c r="D8996">
        <v>40.98</v>
      </c>
      <c r="E8996">
        <v>61</v>
      </c>
      <c r="F8996">
        <v>36</v>
      </c>
      <c r="G8996">
        <v>0</v>
      </c>
      <c r="H8996">
        <v>111</v>
      </c>
      <c r="I8996">
        <v>171</v>
      </c>
      <c r="J8996">
        <v>1</v>
      </c>
      <c r="K8996">
        <v>434</v>
      </c>
      <c r="L8996">
        <v>494</v>
      </c>
      <c r="M8996">
        <v>1</v>
      </c>
      <c r="N8996">
        <v>1.5040399999999999E-8</v>
      </c>
      <c r="O8996">
        <v>134</v>
      </c>
    </row>
    <row r="8997" spans="1:15" x14ac:dyDescent="0.25">
      <c r="A8997" t="s">
        <v>9010</v>
      </c>
      <c r="B8997">
        <v>700</v>
      </c>
      <c r="C8997" s="1" t="str">
        <f>HYPERLINK("http://www.rosaceae.org/gb/gbrowse/malus_x_domestica/?name=MDP0000142599","MDP0000142599")</f>
        <v>MDP0000142599</v>
      </c>
      <c r="D8997">
        <v>68.42</v>
      </c>
      <c r="E8997">
        <v>684</v>
      </c>
      <c r="F8997">
        <v>216</v>
      </c>
      <c r="G8997">
        <v>9</v>
      </c>
      <c r="H8997">
        <v>1</v>
      </c>
      <c r="I8997">
        <v>684</v>
      </c>
      <c r="J8997">
        <v>1</v>
      </c>
      <c r="K8997">
        <v>1</v>
      </c>
      <c r="L8997">
        <v>675</v>
      </c>
      <c r="M8997">
        <v>1</v>
      </c>
      <c r="N8997">
        <v>0</v>
      </c>
      <c r="O8997">
        <v>2290</v>
      </c>
    </row>
    <row r="8998" spans="1:15" x14ac:dyDescent="0.25">
      <c r="A8998" t="s">
        <v>9011</v>
      </c>
      <c r="B8998">
        <v>828</v>
      </c>
      <c r="C8998" s="1" t="str">
        <f>HYPERLINK("http://www.rosaceae.org/gb/gbrowse/malus_x_domestica/?name=MDP0000213552","MDP0000213552")</f>
        <v>MDP0000213552</v>
      </c>
      <c r="D8998">
        <v>44.61</v>
      </c>
      <c r="E8998">
        <v>872</v>
      </c>
      <c r="F8998">
        <v>483</v>
      </c>
      <c r="G8998">
        <v>98</v>
      </c>
      <c r="H8998">
        <v>2</v>
      </c>
      <c r="I8998">
        <v>786</v>
      </c>
      <c r="J8998">
        <v>1</v>
      </c>
      <c r="K8998">
        <v>3</v>
      </c>
      <c r="L8998">
        <v>863</v>
      </c>
      <c r="M8998">
        <v>1</v>
      </c>
      <c r="N8998">
        <v>0</v>
      </c>
      <c r="O8998">
        <v>1722</v>
      </c>
    </row>
    <row r="8999" spans="1:15" x14ac:dyDescent="0.25">
      <c r="A8999" t="s">
        <v>9012</v>
      </c>
      <c r="B8999">
        <v>137</v>
      </c>
      <c r="C8999" s="1" t="str">
        <f>HYPERLINK("http://www.rosaceae.org/gb/gbrowse/malus_x_domestica/?name=MDP0000613377","MDP0000613377")</f>
        <v>MDP0000613377</v>
      </c>
      <c r="D8999">
        <v>46.05</v>
      </c>
      <c r="E8999">
        <v>76</v>
      </c>
      <c r="F8999">
        <v>41</v>
      </c>
      <c r="G8999">
        <v>8</v>
      </c>
      <c r="H8999">
        <v>6</v>
      </c>
      <c r="I8999">
        <v>75</v>
      </c>
      <c r="J8999">
        <v>1</v>
      </c>
      <c r="K8999">
        <v>17</v>
      </c>
      <c r="L8999">
        <v>90</v>
      </c>
      <c r="M8999">
        <v>1</v>
      </c>
      <c r="N8999">
        <v>3.4097200000000003E-11</v>
      </c>
      <c r="O8999">
        <v>155</v>
      </c>
    </row>
    <row r="9000" spans="1:15" x14ac:dyDescent="0.25">
      <c r="A9000" t="s">
        <v>9013</v>
      </c>
      <c r="B9000">
        <v>704</v>
      </c>
      <c r="C9000" s="1" t="str">
        <f>HYPERLINK("http://www.rosaceae.org/gb/gbrowse/malus_x_domestica/?name=MDP0000320398","MDP0000320398")</f>
        <v>MDP0000320398</v>
      </c>
      <c r="D9000">
        <v>69.87</v>
      </c>
      <c r="E9000">
        <v>654</v>
      </c>
      <c r="F9000">
        <v>197</v>
      </c>
      <c r="G9000">
        <v>64</v>
      </c>
      <c r="H9000">
        <v>2</v>
      </c>
      <c r="I9000">
        <v>655</v>
      </c>
      <c r="J9000">
        <v>1</v>
      </c>
      <c r="K9000">
        <v>1</v>
      </c>
      <c r="L9000">
        <v>590</v>
      </c>
      <c r="M9000">
        <v>1</v>
      </c>
      <c r="N9000">
        <v>0</v>
      </c>
      <c r="O9000">
        <v>2342</v>
      </c>
    </row>
    <row r="9001" spans="1:15" x14ac:dyDescent="0.25">
      <c r="A9001" t="s">
        <v>9014</v>
      </c>
      <c r="B9001">
        <v>131</v>
      </c>
      <c r="C9001" s="1" t="str">
        <f>HYPERLINK("http://www.rosaceae.org/gb/gbrowse/malus_x_domestica/?name=MDP0000219819","MDP0000219819")</f>
        <v>MDP0000219819</v>
      </c>
      <c r="D9001">
        <v>80.2</v>
      </c>
      <c r="E9001">
        <v>96</v>
      </c>
      <c r="F9001">
        <v>19</v>
      </c>
      <c r="G9001">
        <v>0</v>
      </c>
      <c r="H9001">
        <v>29</v>
      </c>
      <c r="I9001">
        <v>124</v>
      </c>
      <c r="J9001">
        <v>1</v>
      </c>
      <c r="K9001">
        <v>82</v>
      </c>
      <c r="L9001">
        <v>177</v>
      </c>
      <c r="M9001">
        <v>1</v>
      </c>
      <c r="N9001">
        <v>2.2985600000000002E-43</v>
      </c>
      <c r="O9001">
        <v>432</v>
      </c>
    </row>
    <row r="9002" spans="1:15" x14ac:dyDescent="0.25">
      <c r="A9002" t="s">
        <v>9015</v>
      </c>
      <c r="B9002">
        <v>196</v>
      </c>
      <c r="C9002" s="1" t="str">
        <f>HYPERLINK("http://www.rosaceae.org/gb/gbrowse/malus_x_domestica/?name=MDP0000853274","MDP0000853274")</f>
        <v>MDP0000853274</v>
      </c>
      <c r="D9002">
        <v>57.83</v>
      </c>
      <c r="E9002">
        <v>166</v>
      </c>
      <c r="F9002">
        <v>70</v>
      </c>
      <c r="G9002">
        <v>7</v>
      </c>
      <c r="H9002">
        <v>27</v>
      </c>
      <c r="I9002">
        <v>186</v>
      </c>
      <c r="J9002">
        <v>1</v>
      </c>
      <c r="K9002">
        <v>35</v>
      </c>
      <c r="L9002">
        <v>199</v>
      </c>
      <c r="M9002">
        <v>1</v>
      </c>
      <c r="N9002">
        <v>7.3778500000000004E-45</v>
      </c>
      <c r="O9002">
        <v>448</v>
      </c>
    </row>
    <row r="9003" spans="1:15" x14ac:dyDescent="0.25">
      <c r="A9003" t="s">
        <v>9016</v>
      </c>
      <c r="B9003">
        <v>286</v>
      </c>
      <c r="C9003" s="1" t="str">
        <f>HYPERLINK("http://www.rosaceae.org/gb/gbrowse/malus_x_domestica/?name=MDP0000234081","MDP0000234081")</f>
        <v>MDP0000234081</v>
      </c>
      <c r="D9003">
        <v>57.01</v>
      </c>
      <c r="E9003">
        <v>328</v>
      </c>
      <c r="F9003">
        <v>141</v>
      </c>
      <c r="G9003">
        <v>62</v>
      </c>
      <c r="H9003">
        <v>2</v>
      </c>
      <c r="I9003">
        <v>284</v>
      </c>
      <c r="J9003">
        <v>1</v>
      </c>
      <c r="K9003">
        <v>16</v>
      </c>
      <c r="L9003">
        <v>326</v>
      </c>
      <c r="M9003">
        <v>1</v>
      </c>
      <c r="N9003">
        <v>2.71324E-92</v>
      </c>
      <c r="O9003">
        <v>860</v>
      </c>
    </row>
    <row r="9004" spans="1:15" x14ac:dyDescent="0.25">
      <c r="A9004" t="s">
        <v>9017</v>
      </c>
      <c r="B9004">
        <v>190</v>
      </c>
      <c r="C9004" s="1" t="str">
        <f>HYPERLINK("http://www.rosaceae.org/gb/gbrowse/malus_x_domestica/?name=MDP0000406339","MDP0000406339")</f>
        <v>MDP0000406339</v>
      </c>
      <c r="D9004">
        <v>73.150000000000006</v>
      </c>
      <c r="E9004">
        <v>190</v>
      </c>
      <c r="F9004">
        <v>51</v>
      </c>
      <c r="G9004">
        <v>4</v>
      </c>
      <c r="H9004">
        <v>1</v>
      </c>
      <c r="I9004">
        <v>190</v>
      </c>
      <c r="J9004">
        <v>1</v>
      </c>
      <c r="K9004">
        <v>1</v>
      </c>
      <c r="L9004">
        <v>186</v>
      </c>
      <c r="M9004">
        <v>1</v>
      </c>
      <c r="N9004">
        <v>7.9765299999999996E-76</v>
      </c>
      <c r="O9004">
        <v>715</v>
      </c>
    </row>
    <row r="9005" spans="1:15" x14ac:dyDescent="0.25">
      <c r="A9005" t="s">
        <v>9018</v>
      </c>
      <c r="B9005">
        <v>418</v>
      </c>
      <c r="C9005" s="1" t="str">
        <f>HYPERLINK("http://www.rosaceae.org/gb/gbrowse/malus_x_domestica/?name=MDP0000915616","MDP0000915616")</f>
        <v>MDP0000915616</v>
      </c>
      <c r="D9005">
        <v>57.81</v>
      </c>
      <c r="E9005">
        <v>339</v>
      </c>
      <c r="F9005">
        <v>143</v>
      </c>
      <c r="G9005">
        <v>31</v>
      </c>
      <c r="H9005">
        <v>1</v>
      </c>
      <c r="I9005">
        <v>333</v>
      </c>
      <c r="J9005">
        <v>1</v>
      </c>
      <c r="K9005">
        <v>1</v>
      </c>
      <c r="L9005">
        <v>314</v>
      </c>
      <c r="M9005">
        <v>1</v>
      </c>
      <c r="N9005">
        <v>5.8353799999999999E-84</v>
      </c>
      <c r="O9005">
        <v>790</v>
      </c>
    </row>
    <row r="9006" spans="1:15" x14ac:dyDescent="0.25">
      <c r="A9006" t="s">
        <v>9019</v>
      </c>
      <c r="B9006">
        <v>465</v>
      </c>
      <c r="C9006" s="1" t="str">
        <f>HYPERLINK("http://www.rosaceae.org/gb/gbrowse/malus_x_domestica/?name=MDP0000256715","MDP0000256715")</f>
        <v>MDP0000256715</v>
      </c>
      <c r="D9006">
        <v>66.38</v>
      </c>
      <c r="E9006">
        <v>470</v>
      </c>
      <c r="F9006">
        <v>158</v>
      </c>
      <c r="G9006">
        <v>15</v>
      </c>
      <c r="H9006">
        <v>1</v>
      </c>
      <c r="I9006">
        <v>458</v>
      </c>
      <c r="J9006">
        <v>1</v>
      </c>
      <c r="K9006">
        <v>1</v>
      </c>
      <c r="L9006">
        <v>467</v>
      </c>
      <c r="M9006">
        <v>1</v>
      </c>
      <c r="N9006">
        <v>0</v>
      </c>
      <c r="O9006">
        <v>1642</v>
      </c>
    </row>
    <row r="9007" spans="1:15" x14ac:dyDescent="0.25">
      <c r="A9007" t="s">
        <v>9020</v>
      </c>
      <c r="B9007">
        <v>234</v>
      </c>
      <c r="C9007" s="1" t="str">
        <f>HYPERLINK("http://www.rosaceae.org/gb/gbrowse/malus_x_domestica/?name=MDP0000744614","MDP0000744614")</f>
        <v>MDP0000744614</v>
      </c>
      <c r="D9007">
        <v>51</v>
      </c>
      <c r="E9007">
        <v>200</v>
      </c>
      <c r="F9007">
        <v>98</v>
      </c>
      <c r="G9007">
        <v>10</v>
      </c>
      <c r="H9007">
        <v>31</v>
      </c>
      <c r="I9007">
        <v>220</v>
      </c>
      <c r="J9007">
        <v>1</v>
      </c>
      <c r="K9007">
        <v>46</v>
      </c>
      <c r="L9007">
        <v>245</v>
      </c>
      <c r="M9007">
        <v>1</v>
      </c>
      <c r="N9007">
        <v>3.29462E-52</v>
      </c>
      <c r="O9007">
        <v>513</v>
      </c>
    </row>
    <row r="9008" spans="1:15" x14ac:dyDescent="0.25">
      <c r="A9008" t="s">
        <v>9021</v>
      </c>
      <c r="B9008">
        <v>129</v>
      </c>
      <c r="C9008" s="1" t="str">
        <f>HYPERLINK("http://www.rosaceae.org/gb/gbrowse/malus_x_domestica/?name=MDP0000322220","MDP0000322220")</f>
        <v>MDP0000322220</v>
      </c>
      <c r="D9008">
        <v>50</v>
      </c>
      <c r="E9008">
        <v>82</v>
      </c>
      <c r="F9008">
        <v>41</v>
      </c>
      <c r="G9008">
        <v>3</v>
      </c>
      <c r="H9008">
        <v>1</v>
      </c>
      <c r="I9008">
        <v>80</v>
      </c>
      <c r="J9008">
        <v>1</v>
      </c>
      <c r="K9008">
        <v>989</v>
      </c>
      <c r="L9008">
        <v>1069</v>
      </c>
      <c r="M9008">
        <v>1</v>
      </c>
      <c r="N9008">
        <v>8.4680400000000002E-15</v>
      </c>
      <c r="O9008">
        <v>186</v>
      </c>
    </row>
    <row r="9009" spans="1:15" x14ac:dyDescent="0.25">
      <c r="A9009" t="s">
        <v>9022</v>
      </c>
      <c r="B9009">
        <v>773</v>
      </c>
      <c r="C9009" s="1" t="str">
        <f>HYPERLINK("http://www.rosaceae.org/gb/gbrowse/malus_x_domestica/?name=MDP0000292492","MDP0000292492")</f>
        <v>MDP0000292492</v>
      </c>
      <c r="D9009">
        <v>65.08</v>
      </c>
      <c r="E9009">
        <v>782</v>
      </c>
      <c r="F9009">
        <v>273</v>
      </c>
      <c r="G9009">
        <v>53</v>
      </c>
      <c r="H9009">
        <v>1</v>
      </c>
      <c r="I9009">
        <v>773</v>
      </c>
      <c r="J9009">
        <v>1</v>
      </c>
      <c r="K9009">
        <v>784</v>
      </c>
      <c r="L9009">
        <v>1521</v>
      </c>
      <c r="M9009">
        <v>1</v>
      </c>
      <c r="N9009">
        <v>0</v>
      </c>
      <c r="O9009">
        <v>2537</v>
      </c>
    </row>
    <row r="9010" spans="1:15" x14ac:dyDescent="0.25">
      <c r="A9010" t="s">
        <v>9023</v>
      </c>
      <c r="B9010">
        <v>976</v>
      </c>
      <c r="C9010" s="1" t="str">
        <f>HYPERLINK("http://www.rosaceae.org/gb/gbrowse/malus_x_domestica/?name=MDP0000204408","MDP0000204408")</f>
        <v>MDP0000204408</v>
      </c>
      <c r="D9010">
        <v>58.71</v>
      </c>
      <c r="E9010">
        <v>281</v>
      </c>
      <c r="F9010">
        <v>116</v>
      </c>
      <c r="G9010">
        <v>62</v>
      </c>
      <c r="H9010">
        <v>1</v>
      </c>
      <c r="I9010">
        <v>236</v>
      </c>
      <c r="J9010">
        <v>1</v>
      </c>
      <c r="K9010">
        <v>1</v>
      </c>
      <c r="L9010">
        <v>264</v>
      </c>
      <c r="M9010">
        <v>1</v>
      </c>
      <c r="N9010">
        <v>4.3571500000000001E-77</v>
      </c>
      <c r="O9010">
        <v>734</v>
      </c>
    </row>
    <row r="9011" spans="1:15" x14ac:dyDescent="0.25">
      <c r="A9011" t="s">
        <v>9024</v>
      </c>
      <c r="B9011">
        <v>131</v>
      </c>
      <c r="C9011" s="1" t="str">
        <f>HYPERLINK("http://www.rosaceae.org/gb/gbrowse/malus_x_domestica/?name=MDP0000243721","MDP0000243721")</f>
        <v>MDP0000243721</v>
      </c>
      <c r="D9011">
        <v>46.39</v>
      </c>
      <c r="E9011">
        <v>97</v>
      </c>
      <c r="F9011">
        <v>52</v>
      </c>
      <c r="G9011">
        <v>1</v>
      </c>
      <c r="H9011">
        <v>20</v>
      </c>
      <c r="I9011">
        <v>115</v>
      </c>
      <c r="J9011">
        <v>1</v>
      </c>
      <c r="K9011">
        <v>21</v>
      </c>
      <c r="L9011">
        <v>117</v>
      </c>
      <c r="M9011">
        <v>1</v>
      </c>
      <c r="N9011">
        <v>5.7455299999999996E-20</v>
      </c>
      <c r="O9011">
        <v>230</v>
      </c>
    </row>
    <row r="9012" spans="1:15" x14ac:dyDescent="0.25">
      <c r="A9012" t="s">
        <v>9025</v>
      </c>
      <c r="B9012">
        <v>461</v>
      </c>
      <c r="C9012" s="1" t="str">
        <f>HYPERLINK("http://www.rosaceae.org/gb/gbrowse/malus_x_domestica/?name=MDP0000518482","MDP0000518482")</f>
        <v>MDP0000518482</v>
      </c>
      <c r="D9012">
        <v>53.47</v>
      </c>
      <c r="E9012">
        <v>460</v>
      </c>
      <c r="F9012">
        <v>214</v>
      </c>
      <c r="G9012">
        <v>22</v>
      </c>
      <c r="H9012">
        <v>1</v>
      </c>
      <c r="I9012">
        <v>448</v>
      </c>
      <c r="J9012">
        <v>1</v>
      </c>
      <c r="K9012">
        <v>389</v>
      </c>
      <c r="L9012">
        <v>838</v>
      </c>
      <c r="M9012">
        <v>1</v>
      </c>
      <c r="N9012">
        <v>1.65419E-135</v>
      </c>
      <c r="O9012">
        <v>1235</v>
      </c>
    </row>
    <row r="9013" spans="1:15" x14ac:dyDescent="0.25">
      <c r="A9013" t="s">
        <v>9026</v>
      </c>
      <c r="B9013">
        <v>273</v>
      </c>
      <c r="C9013" s="1" t="str">
        <f>HYPERLINK("http://www.rosaceae.org/gb/gbrowse/malus_x_domestica/?name=MDP0000302279","MDP0000302279")</f>
        <v>MDP0000302279</v>
      </c>
      <c r="D9013">
        <v>65.31</v>
      </c>
      <c r="E9013">
        <v>271</v>
      </c>
      <c r="F9013">
        <v>94</v>
      </c>
      <c r="G9013">
        <v>19</v>
      </c>
      <c r="H9013">
        <v>6</v>
      </c>
      <c r="I9013">
        <v>273</v>
      </c>
      <c r="J9013">
        <v>1</v>
      </c>
      <c r="K9013">
        <v>46</v>
      </c>
      <c r="L9013">
        <v>300</v>
      </c>
      <c r="M9013">
        <v>1</v>
      </c>
      <c r="N9013">
        <v>1.40894E-85</v>
      </c>
      <c r="O9013">
        <v>801</v>
      </c>
    </row>
    <row r="9014" spans="1:15" x14ac:dyDescent="0.25">
      <c r="A9014" t="s">
        <v>9027</v>
      </c>
      <c r="B9014">
        <v>270</v>
      </c>
      <c r="C9014" s="1" t="str">
        <f>HYPERLINK("http://www.rosaceae.org/gb/gbrowse/malus_x_domestica/?name=MDP0000670959","MDP0000670959")</f>
        <v>MDP0000670959</v>
      </c>
      <c r="D9014">
        <v>79.66</v>
      </c>
      <c r="E9014">
        <v>241</v>
      </c>
      <c r="F9014">
        <v>49</v>
      </c>
      <c r="G9014">
        <v>1</v>
      </c>
      <c r="H9014">
        <v>30</v>
      </c>
      <c r="I9014">
        <v>270</v>
      </c>
      <c r="J9014">
        <v>1</v>
      </c>
      <c r="K9014">
        <v>2</v>
      </c>
      <c r="L9014">
        <v>241</v>
      </c>
      <c r="M9014">
        <v>1</v>
      </c>
      <c r="N9014">
        <v>1.5850300000000001E-107</v>
      </c>
      <c r="O9014">
        <v>991</v>
      </c>
    </row>
    <row r="9015" spans="1:15" x14ac:dyDescent="0.25">
      <c r="A9015" t="s">
        <v>9028</v>
      </c>
      <c r="B9015">
        <v>221</v>
      </c>
      <c r="C9015" s="1" t="str">
        <f>HYPERLINK("http://www.rosaceae.org/gb/gbrowse/malus_x_domestica/?name=MDP0000177640","MDP0000177640")</f>
        <v>MDP0000177640</v>
      </c>
      <c r="D9015">
        <v>47.16</v>
      </c>
      <c r="E9015">
        <v>159</v>
      </c>
      <c r="F9015">
        <v>84</v>
      </c>
      <c r="G9015">
        <v>5</v>
      </c>
      <c r="H9015">
        <v>8</v>
      </c>
      <c r="I9015">
        <v>161</v>
      </c>
      <c r="J9015">
        <v>1</v>
      </c>
      <c r="K9015">
        <v>96</v>
      </c>
      <c r="L9015">
        <v>254</v>
      </c>
      <c r="M9015">
        <v>1</v>
      </c>
      <c r="N9015">
        <v>3.3172499999999999E-34</v>
      </c>
      <c r="O9015">
        <v>357</v>
      </c>
    </row>
    <row r="9016" spans="1:15" x14ac:dyDescent="0.25">
      <c r="A9016" t="s">
        <v>9029</v>
      </c>
      <c r="B9016">
        <v>120</v>
      </c>
      <c r="C9016" s="1" t="str">
        <f>HYPERLINK("http://www.rosaceae.org/gb/gbrowse/malus_x_domestica/?name=MDP0000186456","MDP0000186456")</f>
        <v>MDP0000186456</v>
      </c>
      <c r="D9016">
        <v>71.42</v>
      </c>
      <c r="E9016">
        <v>112</v>
      </c>
      <c r="F9016">
        <v>32</v>
      </c>
      <c r="G9016">
        <v>0</v>
      </c>
      <c r="H9016">
        <v>9</v>
      </c>
      <c r="I9016">
        <v>120</v>
      </c>
      <c r="J9016">
        <v>1</v>
      </c>
      <c r="K9016">
        <v>256</v>
      </c>
      <c r="L9016">
        <v>367</v>
      </c>
      <c r="M9016">
        <v>1</v>
      </c>
      <c r="N9016">
        <v>3.08137E-39</v>
      </c>
      <c r="O9016">
        <v>396</v>
      </c>
    </row>
    <row r="9017" spans="1:15" x14ac:dyDescent="0.25">
      <c r="A9017" t="s">
        <v>9030</v>
      </c>
      <c r="B9017">
        <v>344</v>
      </c>
      <c r="C9017" s="1" t="str">
        <f>HYPERLINK("http://www.rosaceae.org/gb/gbrowse/malus_x_domestica/?name=MDP0000188292","MDP0000188292")</f>
        <v>MDP0000188292</v>
      </c>
      <c r="D9017">
        <v>34.4</v>
      </c>
      <c r="E9017">
        <v>250</v>
      </c>
      <c r="F9017">
        <v>164</v>
      </c>
      <c r="G9017">
        <v>41</v>
      </c>
      <c r="H9017">
        <v>13</v>
      </c>
      <c r="I9017">
        <v>254</v>
      </c>
      <c r="J9017">
        <v>1</v>
      </c>
      <c r="K9017">
        <v>30</v>
      </c>
      <c r="L9017">
        <v>246</v>
      </c>
      <c r="M9017">
        <v>1</v>
      </c>
      <c r="N9017">
        <v>3.2339099999999998E-32</v>
      </c>
      <c r="O9017">
        <v>343</v>
      </c>
    </row>
    <row r="9018" spans="1:15" x14ac:dyDescent="0.25">
      <c r="A9018" t="s">
        <v>9031</v>
      </c>
      <c r="B9018">
        <v>576</v>
      </c>
      <c r="C9018" s="1" t="str">
        <f>HYPERLINK("http://www.rosaceae.org/gb/gbrowse/malus_x_domestica/?name=MDP0000125282","MDP0000125282")</f>
        <v>MDP0000125282</v>
      </c>
      <c r="D9018">
        <v>55.95</v>
      </c>
      <c r="E9018">
        <v>613</v>
      </c>
      <c r="F9018">
        <v>270</v>
      </c>
      <c r="G9018">
        <v>56</v>
      </c>
      <c r="H9018">
        <v>1</v>
      </c>
      <c r="I9018">
        <v>576</v>
      </c>
      <c r="J9018">
        <v>1</v>
      </c>
      <c r="K9018">
        <v>7</v>
      </c>
      <c r="L9018">
        <v>600</v>
      </c>
      <c r="M9018">
        <v>1</v>
      </c>
      <c r="N9018">
        <v>6.7826099999999996E-169</v>
      </c>
      <c r="O9018">
        <v>1524</v>
      </c>
    </row>
    <row r="9019" spans="1:15" x14ac:dyDescent="0.25">
      <c r="A9019" t="s">
        <v>9032</v>
      </c>
      <c r="B9019">
        <v>404</v>
      </c>
      <c r="C9019" s="1" t="str">
        <f>HYPERLINK("http://www.rosaceae.org/gb/gbrowse/malus_x_domestica/?name=MDP0000943304","MDP0000943304")</f>
        <v>MDP0000943304</v>
      </c>
      <c r="D9019">
        <v>71.319999999999993</v>
      </c>
      <c r="E9019">
        <v>401</v>
      </c>
      <c r="F9019">
        <v>115</v>
      </c>
      <c r="G9019">
        <v>4</v>
      </c>
      <c r="H9019">
        <v>5</v>
      </c>
      <c r="I9019">
        <v>404</v>
      </c>
      <c r="J9019">
        <v>1</v>
      </c>
      <c r="K9019">
        <v>41</v>
      </c>
      <c r="L9019">
        <v>438</v>
      </c>
      <c r="M9019">
        <v>1</v>
      </c>
      <c r="N9019">
        <v>1.9196799999999999E-163</v>
      </c>
      <c r="O9019">
        <v>1475</v>
      </c>
    </row>
    <row r="9020" spans="1:15" x14ac:dyDescent="0.25">
      <c r="A9020" t="s">
        <v>9033</v>
      </c>
      <c r="B9020">
        <v>511</v>
      </c>
      <c r="C9020" s="1" t="str">
        <f>HYPERLINK("http://www.rosaceae.org/gb/gbrowse/malus_x_domestica/?name=MDP0000230767","MDP0000230767")</f>
        <v>MDP0000230767</v>
      </c>
      <c r="D9020">
        <v>65.099999999999994</v>
      </c>
      <c r="E9020">
        <v>364</v>
      </c>
      <c r="F9020">
        <v>127</v>
      </c>
      <c r="G9020">
        <v>16</v>
      </c>
      <c r="H9020">
        <v>24</v>
      </c>
      <c r="I9020">
        <v>377</v>
      </c>
      <c r="J9020">
        <v>1</v>
      </c>
      <c r="K9020">
        <v>98</v>
      </c>
      <c r="L9020">
        <v>455</v>
      </c>
      <c r="M9020">
        <v>1</v>
      </c>
      <c r="N9020">
        <v>3.5442700000000002E-128</v>
      </c>
      <c r="O9020">
        <v>1172</v>
      </c>
    </row>
    <row r="9021" spans="1:15" x14ac:dyDescent="0.25">
      <c r="A9021" t="s">
        <v>9034</v>
      </c>
      <c r="B9021">
        <v>198</v>
      </c>
      <c r="C9021" s="1" t="str">
        <f>HYPERLINK("http://www.rosaceae.org/gb/gbrowse/malus_x_domestica/?name=MDP0000287354","MDP0000287354")</f>
        <v>MDP0000287354</v>
      </c>
      <c r="D9021">
        <v>74.75</v>
      </c>
      <c r="E9021">
        <v>103</v>
      </c>
      <c r="F9021">
        <v>26</v>
      </c>
      <c r="G9021">
        <v>0</v>
      </c>
      <c r="H9021">
        <v>15</v>
      </c>
      <c r="I9021">
        <v>117</v>
      </c>
      <c r="J9021">
        <v>1</v>
      </c>
      <c r="K9021">
        <v>19</v>
      </c>
      <c r="L9021">
        <v>121</v>
      </c>
      <c r="M9021">
        <v>1</v>
      </c>
      <c r="N9021">
        <v>9.5976999999999997E-42</v>
      </c>
      <c r="O9021">
        <v>421</v>
      </c>
    </row>
    <row r="9022" spans="1:15" x14ac:dyDescent="0.25">
      <c r="A9022" t="s">
        <v>9035</v>
      </c>
      <c r="B9022">
        <v>854</v>
      </c>
      <c r="C9022" s="1" t="str">
        <f>HYPERLINK("http://www.rosaceae.org/gb/gbrowse/malus_x_domestica/?name=MDP0000172127","MDP0000172127")</f>
        <v>MDP0000172127</v>
      </c>
      <c r="D9022">
        <v>67.930000000000007</v>
      </c>
      <c r="E9022">
        <v>630</v>
      </c>
      <c r="F9022">
        <v>202</v>
      </c>
      <c r="G9022">
        <v>3</v>
      </c>
      <c r="H9022">
        <v>7</v>
      </c>
      <c r="I9022">
        <v>635</v>
      </c>
      <c r="J9022">
        <v>1</v>
      </c>
      <c r="K9022">
        <v>20</v>
      </c>
      <c r="L9022">
        <v>647</v>
      </c>
      <c r="M9022">
        <v>1</v>
      </c>
      <c r="N9022">
        <v>0</v>
      </c>
      <c r="O9022">
        <v>2162</v>
      </c>
    </row>
    <row r="9023" spans="1:15" x14ac:dyDescent="0.25">
      <c r="A9023" t="s">
        <v>9036</v>
      </c>
      <c r="B9023">
        <v>1301</v>
      </c>
      <c r="C9023" s="1" t="str">
        <f>HYPERLINK("http://www.rosaceae.org/gb/gbrowse/malus_x_domestica/?name=MDP0000812854","MDP0000812854")</f>
        <v>MDP0000812854</v>
      </c>
      <c r="D9023">
        <v>58.5</v>
      </c>
      <c r="E9023">
        <v>1275</v>
      </c>
      <c r="F9023">
        <v>529</v>
      </c>
      <c r="G9023">
        <v>48</v>
      </c>
      <c r="H9023">
        <v>22</v>
      </c>
      <c r="I9023">
        <v>1294</v>
      </c>
      <c r="J9023">
        <v>1</v>
      </c>
      <c r="K9023">
        <v>1</v>
      </c>
      <c r="L9023">
        <v>1229</v>
      </c>
      <c r="M9023">
        <v>1</v>
      </c>
      <c r="N9023">
        <v>0</v>
      </c>
      <c r="O9023">
        <v>3631</v>
      </c>
    </row>
    <row r="9024" spans="1:15" x14ac:dyDescent="0.25">
      <c r="A9024" t="s">
        <v>9037</v>
      </c>
      <c r="B9024">
        <v>767</v>
      </c>
      <c r="C9024" s="1" t="str">
        <f>HYPERLINK("http://www.rosaceae.org/gb/gbrowse/malus_x_domestica/?name=MDP0000887768","MDP0000887768")</f>
        <v>MDP0000887768</v>
      </c>
      <c r="D9024">
        <v>66.61</v>
      </c>
      <c r="E9024">
        <v>683</v>
      </c>
      <c r="F9024">
        <v>228</v>
      </c>
      <c r="G9024">
        <v>48</v>
      </c>
      <c r="H9024">
        <v>87</v>
      </c>
      <c r="I9024">
        <v>755</v>
      </c>
      <c r="J9024">
        <v>1</v>
      </c>
      <c r="K9024">
        <v>115</v>
      </c>
      <c r="L9024">
        <v>763</v>
      </c>
      <c r="M9024">
        <v>1</v>
      </c>
      <c r="N9024">
        <v>0</v>
      </c>
      <c r="O9024">
        <v>2288</v>
      </c>
    </row>
    <row r="9025" spans="1:15" x14ac:dyDescent="0.25">
      <c r="A9025" t="s">
        <v>9038</v>
      </c>
      <c r="B9025">
        <v>612</v>
      </c>
      <c r="C9025" s="1" t="str">
        <f>HYPERLINK("http://www.rosaceae.org/gb/gbrowse/malus_x_domestica/?name=MDP0000264908","MDP0000264908")</f>
        <v>MDP0000264908</v>
      </c>
      <c r="D9025">
        <v>78.2</v>
      </c>
      <c r="E9025">
        <v>624</v>
      </c>
      <c r="F9025">
        <v>136</v>
      </c>
      <c r="G9025">
        <v>24</v>
      </c>
      <c r="H9025">
        <v>4</v>
      </c>
      <c r="I9025">
        <v>612</v>
      </c>
      <c r="J9025">
        <v>1</v>
      </c>
      <c r="K9025">
        <v>5</v>
      </c>
      <c r="L9025">
        <v>619</v>
      </c>
      <c r="M9025">
        <v>1</v>
      </c>
      <c r="N9025">
        <v>0</v>
      </c>
      <c r="O9025">
        <v>2506</v>
      </c>
    </row>
    <row r="9026" spans="1:15" x14ac:dyDescent="0.25">
      <c r="A9026" t="s">
        <v>9039</v>
      </c>
      <c r="B9026">
        <v>1227</v>
      </c>
      <c r="C9026" s="1" t="str">
        <f>HYPERLINK("http://www.rosaceae.org/gb/gbrowse/malus_x_domestica/?name=MDP0000580952","MDP0000580952")</f>
        <v>MDP0000580952</v>
      </c>
      <c r="D9026">
        <v>81.86</v>
      </c>
      <c r="E9026">
        <v>1009</v>
      </c>
      <c r="F9026">
        <v>183</v>
      </c>
      <c r="G9026">
        <v>7</v>
      </c>
      <c r="H9026">
        <v>2</v>
      </c>
      <c r="I9026">
        <v>1007</v>
      </c>
      <c r="J9026">
        <v>1</v>
      </c>
      <c r="K9026">
        <v>601</v>
      </c>
      <c r="L9026">
        <v>1605</v>
      </c>
      <c r="M9026">
        <v>1</v>
      </c>
      <c r="N9026">
        <v>0</v>
      </c>
      <c r="O9026">
        <v>4282</v>
      </c>
    </row>
    <row r="9027" spans="1:15" x14ac:dyDescent="0.25">
      <c r="A9027" t="s">
        <v>9040</v>
      </c>
      <c r="B9027">
        <v>321</v>
      </c>
      <c r="C9027" s="1" t="str">
        <f>HYPERLINK("http://www.rosaceae.org/gb/gbrowse/malus_x_domestica/?name=MDP0000189057","MDP0000189057")</f>
        <v>MDP0000189057</v>
      </c>
      <c r="D9027">
        <v>38.43</v>
      </c>
      <c r="E9027">
        <v>294</v>
      </c>
      <c r="F9027">
        <v>181</v>
      </c>
      <c r="G9027">
        <v>35</v>
      </c>
      <c r="H9027">
        <v>9</v>
      </c>
      <c r="I9027">
        <v>273</v>
      </c>
      <c r="J9027">
        <v>1</v>
      </c>
      <c r="K9027">
        <v>170</v>
      </c>
      <c r="L9027">
        <v>457</v>
      </c>
      <c r="M9027">
        <v>1</v>
      </c>
      <c r="N9027">
        <v>1.36408E-43</v>
      </c>
      <c r="O9027">
        <v>440</v>
      </c>
    </row>
    <row r="9028" spans="1:15" x14ac:dyDescent="0.25">
      <c r="A9028" t="s">
        <v>9041</v>
      </c>
      <c r="B9028">
        <v>231</v>
      </c>
      <c r="C9028" s="1" t="str">
        <f>HYPERLINK("http://www.rosaceae.org/gb/gbrowse/malus_x_domestica/?name=MDP0000282492","MDP0000282492")</f>
        <v>MDP0000282492</v>
      </c>
      <c r="D9028">
        <v>72.55</v>
      </c>
      <c r="E9028">
        <v>215</v>
      </c>
      <c r="F9028">
        <v>59</v>
      </c>
      <c r="G9028">
        <v>2</v>
      </c>
      <c r="H9028">
        <v>19</v>
      </c>
      <c r="I9028">
        <v>231</v>
      </c>
      <c r="J9028">
        <v>1</v>
      </c>
      <c r="K9028">
        <v>19</v>
      </c>
      <c r="L9028">
        <v>233</v>
      </c>
      <c r="M9028">
        <v>1</v>
      </c>
      <c r="N9028">
        <v>4.88087E-86</v>
      </c>
      <c r="O9028">
        <v>804</v>
      </c>
    </row>
    <row r="9029" spans="1:15" x14ac:dyDescent="0.25">
      <c r="A9029" t="s">
        <v>9042</v>
      </c>
      <c r="B9029">
        <v>154</v>
      </c>
      <c r="C9029" s="1" t="str">
        <f>HYPERLINK("http://www.rosaceae.org/gb/gbrowse/malus_x_domestica/?name=MDP0000586415","MDP0000586415")</f>
        <v>MDP0000586415</v>
      </c>
      <c r="D9029">
        <v>71.319999999999993</v>
      </c>
      <c r="E9029">
        <v>136</v>
      </c>
      <c r="F9029">
        <v>39</v>
      </c>
      <c r="G9029">
        <v>2</v>
      </c>
      <c r="H9029">
        <v>19</v>
      </c>
      <c r="I9029">
        <v>153</v>
      </c>
      <c r="J9029">
        <v>1</v>
      </c>
      <c r="K9029">
        <v>19</v>
      </c>
      <c r="L9029">
        <v>153</v>
      </c>
      <c r="M9029">
        <v>1</v>
      </c>
      <c r="N9029">
        <v>1.0767900000000001E-49</v>
      </c>
      <c r="O9029">
        <v>488</v>
      </c>
    </row>
    <row r="9030" spans="1:15" x14ac:dyDescent="0.25">
      <c r="A9030" t="s">
        <v>9043</v>
      </c>
      <c r="B9030">
        <v>328</v>
      </c>
      <c r="C9030" s="1" t="str">
        <f>HYPERLINK("http://www.rosaceae.org/gb/gbrowse/malus_x_domestica/?name=MDP0000137117","MDP0000137117")</f>
        <v>MDP0000137117</v>
      </c>
      <c r="D9030">
        <v>58.54</v>
      </c>
      <c r="E9030">
        <v>275</v>
      </c>
      <c r="F9030">
        <v>114</v>
      </c>
      <c r="G9030">
        <v>21</v>
      </c>
      <c r="H9030">
        <v>64</v>
      </c>
      <c r="I9030">
        <v>328</v>
      </c>
      <c r="J9030">
        <v>1</v>
      </c>
      <c r="K9030">
        <v>30</v>
      </c>
      <c r="L9030">
        <v>293</v>
      </c>
      <c r="M9030">
        <v>1</v>
      </c>
      <c r="N9030">
        <v>7.8536400000000005E-72</v>
      </c>
      <c r="O9030">
        <v>684</v>
      </c>
    </row>
    <row r="9031" spans="1:15" x14ac:dyDescent="0.25">
      <c r="A9031" t="s">
        <v>9044</v>
      </c>
      <c r="B9031">
        <v>675</v>
      </c>
      <c r="C9031" s="1" t="str">
        <f>HYPERLINK("http://www.rosaceae.org/gb/gbrowse/malus_x_domestica/?name=MDP0000202256","MDP0000202256")</f>
        <v>MDP0000202256</v>
      </c>
      <c r="D9031">
        <v>76.72</v>
      </c>
      <c r="E9031">
        <v>494</v>
      </c>
      <c r="F9031">
        <v>115</v>
      </c>
      <c r="G9031">
        <v>51</v>
      </c>
      <c r="H9031">
        <v>1</v>
      </c>
      <c r="I9031">
        <v>458</v>
      </c>
      <c r="J9031">
        <v>1</v>
      </c>
      <c r="K9031">
        <v>1</v>
      </c>
      <c r="L9031">
        <v>479</v>
      </c>
      <c r="M9031">
        <v>1</v>
      </c>
      <c r="N9031">
        <v>0</v>
      </c>
      <c r="O9031">
        <v>1970</v>
      </c>
    </row>
    <row r="9032" spans="1:15" x14ac:dyDescent="0.25">
      <c r="A9032" t="s">
        <v>9045</v>
      </c>
      <c r="B9032">
        <v>434</v>
      </c>
      <c r="C9032" s="1" t="str">
        <f>HYPERLINK("http://www.rosaceae.org/gb/gbrowse/malus_x_domestica/?name=MDP0000860874","MDP0000860874")</f>
        <v>MDP0000860874</v>
      </c>
      <c r="D9032">
        <v>72.33</v>
      </c>
      <c r="E9032">
        <v>441</v>
      </c>
      <c r="F9032">
        <v>122</v>
      </c>
      <c r="G9032">
        <v>9</v>
      </c>
      <c r="H9032">
        <v>1</v>
      </c>
      <c r="I9032">
        <v>433</v>
      </c>
      <c r="J9032">
        <v>1</v>
      </c>
      <c r="K9032">
        <v>1</v>
      </c>
      <c r="L9032">
        <v>440</v>
      </c>
      <c r="M9032">
        <v>1</v>
      </c>
      <c r="N9032">
        <v>0</v>
      </c>
      <c r="O9032">
        <v>1759</v>
      </c>
    </row>
    <row r="9033" spans="1:15" x14ac:dyDescent="0.25">
      <c r="A9033" t="s">
        <v>9046</v>
      </c>
      <c r="B9033">
        <v>244</v>
      </c>
      <c r="C9033" s="1" t="str">
        <f>HYPERLINK("http://www.rosaceae.org/gb/gbrowse/malus_x_domestica/?name=MDP0000228437","MDP0000228437")</f>
        <v>MDP0000228437</v>
      </c>
      <c r="D9033">
        <v>43.94</v>
      </c>
      <c r="E9033">
        <v>157</v>
      </c>
      <c r="F9033">
        <v>88</v>
      </c>
      <c r="G9033">
        <v>1</v>
      </c>
      <c r="H9033">
        <v>1</v>
      </c>
      <c r="I9033">
        <v>156</v>
      </c>
      <c r="J9033">
        <v>1</v>
      </c>
      <c r="K9033">
        <v>1</v>
      </c>
      <c r="L9033">
        <v>157</v>
      </c>
      <c r="M9033">
        <v>1</v>
      </c>
      <c r="N9033">
        <v>5.6722799999999999E-30</v>
      </c>
      <c r="O9033">
        <v>321</v>
      </c>
    </row>
    <row r="9034" spans="1:15" x14ac:dyDescent="0.25">
      <c r="A9034" t="s">
        <v>9047</v>
      </c>
      <c r="B9034">
        <v>543</v>
      </c>
      <c r="C9034" s="1" t="str">
        <f>HYPERLINK("http://www.rosaceae.org/gb/gbrowse/malus_x_domestica/?name=MDP0000212875","MDP0000212875")</f>
        <v>MDP0000212875</v>
      </c>
      <c r="D9034">
        <v>55.86</v>
      </c>
      <c r="E9034">
        <v>571</v>
      </c>
      <c r="F9034">
        <v>252</v>
      </c>
      <c r="G9034">
        <v>103</v>
      </c>
      <c r="H9034">
        <v>6</v>
      </c>
      <c r="I9034">
        <v>519</v>
      </c>
      <c r="J9034">
        <v>1</v>
      </c>
      <c r="K9034">
        <v>11</v>
      </c>
      <c r="L9034">
        <v>535</v>
      </c>
      <c r="M9034">
        <v>1</v>
      </c>
      <c r="N9034">
        <v>4.1810400000000002E-167</v>
      </c>
      <c r="O9034">
        <v>1508</v>
      </c>
    </row>
    <row r="9035" spans="1:15" x14ac:dyDescent="0.25">
      <c r="A9035" t="s">
        <v>9048</v>
      </c>
      <c r="B9035">
        <v>253</v>
      </c>
      <c r="C9035" s="1" t="str">
        <f>HYPERLINK("http://www.rosaceae.org/gb/gbrowse/malus_x_domestica/?name=MDP0000120022","MDP0000120022")</f>
        <v>MDP0000120022</v>
      </c>
      <c r="D9035">
        <v>74.069999999999993</v>
      </c>
      <c r="E9035">
        <v>243</v>
      </c>
      <c r="F9035">
        <v>63</v>
      </c>
      <c r="G9035">
        <v>3</v>
      </c>
      <c r="H9035">
        <v>12</v>
      </c>
      <c r="I9035">
        <v>253</v>
      </c>
      <c r="J9035">
        <v>1</v>
      </c>
      <c r="K9035">
        <v>19</v>
      </c>
      <c r="L9035">
        <v>259</v>
      </c>
      <c r="M9035">
        <v>1</v>
      </c>
      <c r="N9035">
        <v>1.06592E-107</v>
      </c>
      <c r="O9035">
        <v>992</v>
      </c>
    </row>
    <row r="9036" spans="1:15" x14ac:dyDescent="0.25">
      <c r="A9036" t="s">
        <v>9049</v>
      </c>
      <c r="B9036">
        <v>311</v>
      </c>
      <c r="C9036" s="1" t="str">
        <f>HYPERLINK("http://www.rosaceae.org/gb/gbrowse/malus_x_domestica/?name=MDP0000638650","MDP0000638650")</f>
        <v>MDP0000638650</v>
      </c>
      <c r="D9036">
        <v>75</v>
      </c>
      <c r="E9036">
        <v>312</v>
      </c>
      <c r="F9036">
        <v>78</v>
      </c>
      <c r="G9036">
        <v>3</v>
      </c>
      <c r="H9036">
        <v>1</v>
      </c>
      <c r="I9036">
        <v>311</v>
      </c>
      <c r="J9036">
        <v>1</v>
      </c>
      <c r="K9036">
        <v>1</v>
      </c>
      <c r="L9036">
        <v>310</v>
      </c>
      <c r="M9036">
        <v>1</v>
      </c>
      <c r="N9036">
        <v>1.33111E-138</v>
      </c>
      <c r="O9036">
        <v>1259</v>
      </c>
    </row>
    <row r="9037" spans="1:15" x14ac:dyDescent="0.25">
      <c r="A9037" t="s">
        <v>9050</v>
      </c>
      <c r="B9037">
        <v>440</v>
      </c>
      <c r="C9037" s="1" t="str">
        <f>HYPERLINK("http://www.rosaceae.org/gb/gbrowse/malus_x_domestica/?name=MDP0000318606","MDP0000318606")</f>
        <v>MDP0000318606</v>
      </c>
      <c r="D9037">
        <v>48.29</v>
      </c>
      <c r="E9037">
        <v>468</v>
      </c>
      <c r="F9037">
        <v>242</v>
      </c>
      <c r="G9037">
        <v>55</v>
      </c>
      <c r="H9037">
        <v>2</v>
      </c>
      <c r="I9037">
        <v>417</v>
      </c>
      <c r="J9037">
        <v>1</v>
      </c>
      <c r="K9037">
        <v>96</v>
      </c>
      <c r="L9037">
        <v>560</v>
      </c>
      <c r="M9037">
        <v>1</v>
      </c>
      <c r="N9037">
        <v>8.2180500000000004E-122</v>
      </c>
      <c r="O9037">
        <v>1116</v>
      </c>
    </row>
    <row r="9038" spans="1:15" x14ac:dyDescent="0.25">
      <c r="A9038" t="s">
        <v>9051</v>
      </c>
      <c r="B9038">
        <v>238</v>
      </c>
      <c r="C9038" s="1" t="str">
        <f>HYPERLINK("http://www.rosaceae.org/gb/gbrowse/malus_x_domestica/?name=MDP0000289104","MDP0000289104")</f>
        <v>MDP0000289104</v>
      </c>
      <c r="D9038">
        <v>34.340000000000003</v>
      </c>
      <c r="E9038">
        <v>198</v>
      </c>
      <c r="F9038">
        <v>130</v>
      </c>
      <c r="G9038">
        <v>15</v>
      </c>
      <c r="H9038">
        <v>5</v>
      </c>
      <c r="I9038">
        <v>197</v>
      </c>
      <c r="J9038">
        <v>1</v>
      </c>
      <c r="K9038">
        <v>1</v>
      </c>
      <c r="L9038">
        <v>188</v>
      </c>
      <c r="M9038">
        <v>1</v>
      </c>
      <c r="N9038">
        <v>4.4700699999999999E-22</v>
      </c>
      <c r="O9038">
        <v>253</v>
      </c>
    </row>
    <row r="9039" spans="1:15" x14ac:dyDescent="0.25">
      <c r="A9039" t="s">
        <v>9052</v>
      </c>
      <c r="B9039">
        <v>266</v>
      </c>
      <c r="C9039" s="1" t="str">
        <f>HYPERLINK("http://www.rosaceae.org/gb/gbrowse/malus_x_domestica/?name=MDP0000274477","MDP0000274477")</f>
        <v>MDP0000274477</v>
      </c>
      <c r="D9039">
        <v>63.63</v>
      </c>
      <c r="E9039">
        <v>231</v>
      </c>
      <c r="F9039">
        <v>84</v>
      </c>
      <c r="G9039">
        <v>9</v>
      </c>
      <c r="H9039">
        <v>45</v>
      </c>
      <c r="I9039">
        <v>266</v>
      </c>
      <c r="J9039">
        <v>1</v>
      </c>
      <c r="K9039">
        <v>60</v>
      </c>
      <c r="L9039">
        <v>290</v>
      </c>
      <c r="M9039">
        <v>1</v>
      </c>
      <c r="N9039">
        <v>2.57569E-76</v>
      </c>
      <c r="O9039">
        <v>721</v>
      </c>
    </row>
    <row r="9040" spans="1:15" x14ac:dyDescent="0.25">
      <c r="A9040" t="s">
        <v>9053</v>
      </c>
      <c r="B9040">
        <v>1794</v>
      </c>
      <c r="C9040" s="1" t="str">
        <f>HYPERLINK("http://www.rosaceae.org/gb/gbrowse/malus_x_domestica/?name=MDP0000217443","MDP0000217443")</f>
        <v>MDP0000217443</v>
      </c>
      <c r="D9040">
        <v>65.260000000000005</v>
      </c>
      <c r="E9040">
        <v>832</v>
      </c>
      <c r="F9040">
        <v>289</v>
      </c>
      <c r="G9040">
        <v>97</v>
      </c>
      <c r="H9040">
        <v>49</v>
      </c>
      <c r="I9040">
        <v>846</v>
      </c>
      <c r="J9040">
        <v>1</v>
      </c>
      <c r="K9040">
        <v>24</v>
      </c>
      <c r="L9040">
        <v>792</v>
      </c>
      <c r="M9040">
        <v>1</v>
      </c>
      <c r="N9040">
        <v>0</v>
      </c>
      <c r="O9040">
        <v>2685</v>
      </c>
    </row>
    <row r="9041" spans="1:15" x14ac:dyDescent="0.25">
      <c r="A9041" t="s">
        <v>9054</v>
      </c>
      <c r="B9041">
        <v>321</v>
      </c>
      <c r="C9041" s="1" t="str">
        <f>HYPERLINK("http://www.rosaceae.org/gb/gbrowse/malus_x_domestica/?name=MDP0000176747","MDP0000176747")</f>
        <v>MDP0000176747</v>
      </c>
      <c r="D9041">
        <v>67.760000000000005</v>
      </c>
      <c r="E9041">
        <v>304</v>
      </c>
      <c r="F9041">
        <v>98</v>
      </c>
      <c r="G9041">
        <v>8</v>
      </c>
      <c r="H9041">
        <v>11</v>
      </c>
      <c r="I9041">
        <v>314</v>
      </c>
      <c r="J9041">
        <v>1</v>
      </c>
      <c r="K9041">
        <v>12</v>
      </c>
      <c r="L9041">
        <v>307</v>
      </c>
      <c r="M9041">
        <v>1</v>
      </c>
      <c r="N9041">
        <v>4.7925800000000004E-112</v>
      </c>
      <c r="O9041">
        <v>1031</v>
      </c>
    </row>
    <row r="9042" spans="1:15" x14ac:dyDescent="0.25">
      <c r="A9042" t="s">
        <v>9055</v>
      </c>
      <c r="B9042">
        <v>285</v>
      </c>
      <c r="C9042" s="1" t="str">
        <f>HYPERLINK("http://www.rosaceae.org/gb/gbrowse/malus_x_domestica/?name=MDP0000231454","MDP0000231454")</f>
        <v>MDP0000231454</v>
      </c>
      <c r="D9042">
        <v>65.55</v>
      </c>
      <c r="E9042">
        <v>90</v>
      </c>
      <c r="F9042">
        <v>31</v>
      </c>
      <c r="G9042">
        <v>2</v>
      </c>
      <c r="H9042">
        <v>107</v>
      </c>
      <c r="I9042">
        <v>194</v>
      </c>
      <c r="J9042">
        <v>1</v>
      </c>
      <c r="K9042">
        <v>235</v>
      </c>
      <c r="L9042">
        <v>324</v>
      </c>
      <c r="M9042">
        <v>1</v>
      </c>
      <c r="N9042">
        <v>5.0098999999999997E-30</v>
      </c>
      <c r="O9042">
        <v>323</v>
      </c>
    </row>
    <row r="9043" spans="1:15" x14ac:dyDescent="0.25">
      <c r="A9043" t="s">
        <v>9056</v>
      </c>
      <c r="B9043">
        <v>313</v>
      </c>
      <c r="C9043" s="1" t="str">
        <f>HYPERLINK("http://www.rosaceae.org/gb/gbrowse/malus_x_domestica/?name=MDP0000411403","MDP0000411403")</f>
        <v>MDP0000411403</v>
      </c>
      <c r="D9043">
        <v>85.3</v>
      </c>
      <c r="E9043">
        <v>313</v>
      </c>
      <c r="F9043">
        <v>46</v>
      </c>
      <c r="G9043">
        <v>1</v>
      </c>
      <c r="H9043">
        <v>1</v>
      </c>
      <c r="I9043">
        <v>312</v>
      </c>
      <c r="J9043">
        <v>1</v>
      </c>
      <c r="K9043">
        <v>1</v>
      </c>
      <c r="L9043">
        <v>313</v>
      </c>
      <c r="M9043">
        <v>1</v>
      </c>
      <c r="N9043">
        <v>2.1709700000000001E-153</v>
      </c>
      <c r="O9043">
        <v>1387</v>
      </c>
    </row>
    <row r="9044" spans="1:15" x14ac:dyDescent="0.25">
      <c r="A9044" t="s">
        <v>9057</v>
      </c>
      <c r="B9044">
        <v>346</v>
      </c>
      <c r="C9044" s="1" t="str">
        <f>HYPERLINK("http://www.rosaceae.org/gb/gbrowse/malus_x_domestica/?name=MDP0000189780","MDP0000189780")</f>
        <v>MDP0000189780</v>
      </c>
      <c r="D9044">
        <v>56.32</v>
      </c>
      <c r="E9044">
        <v>316</v>
      </c>
      <c r="F9044">
        <v>138</v>
      </c>
      <c r="G9044">
        <v>24</v>
      </c>
      <c r="H9044">
        <v>10</v>
      </c>
      <c r="I9044">
        <v>306</v>
      </c>
      <c r="J9044">
        <v>1</v>
      </c>
      <c r="K9044">
        <v>161</v>
      </c>
      <c r="L9044">
        <v>471</v>
      </c>
      <c r="M9044">
        <v>1</v>
      </c>
      <c r="N9044">
        <v>1.5876799999999999E-97</v>
      </c>
      <c r="O9044">
        <v>906</v>
      </c>
    </row>
    <row r="9045" spans="1:15" x14ac:dyDescent="0.25">
      <c r="A9045" t="s">
        <v>9058</v>
      </c>
      <c r="B9045">
        <v>569</v>
      </c>
      <c r="C9045" s="1" t="str">
        <f>HYPERLINK("http://www.rosaceae.org/gb/gbrowse/malus_x_domestica/?name=MDP0000236127","MDP0000236127")</f>
        <v>MDP0000236127</v>
      </c>
      <c r="D9045">
        <v>44.97</v>
      </c>
      <c r="E9045">
        <v>527</v>
      </c>
      <c r="F9045">
        <v>290</v>
      </c>
      <c r="G9045">
        <v>10</v>
      </c>
      <c r="H9045">
        <v>45</v>
      </c>
      <c r="I9045">
        <v>564</v>
      </c>
      <c r="J9045">
        <v>1</v>
      </c>
      <c r="K9045">
        <v>193</v>
      </c>
      <c r="L9045">
        <v>716</v>
      </c>
      <c r="M9045">
        <v>1</v>
      </c>
      <c r="N9045">
        <v>3.3756399999999999E-135</v>
      </c>
      <c r="O9045">
        <v>1233</v>
      </c>
    </row>
    <row r="9046" spans="1:15" x14ac:dyDescent="0.25">
      <c r="A9046" t="s">
        <v>9059</v>
      </c>
      <c r="B9046">
        <v>830</v>
      </c>
      <c r="C9046" s="1" t="str">
        <f>HYPERLINK("http://www.rosaceae.org/gb/gbrowse/malus_x_domestica/?name=MDP0000338280","MDP0000338280")</f>
        <v>MDP0000338280</v>
      </c>
      <c r="D9046">
        <v>39.17</v>
      </c>
      <c r="E9046">
        <v>388</v>
      </c>
      <c r="F9046">
        <v>236</v>
      </c>
      <c r="G9046">
        <v>104</v>
      </c>
      <c r="H9046">
        <v>129</v>
      </c>
      <c r="I9046">
        <v>486</v>
      </c>
      <c r="J9046">
        <v>1</v>
      </c>
      <c r="K9046">
        <v>49</v>
      </c>
      <c r="L9046">
        <v>362</v>
      </c>
      <c r="M9046">
        <v>1</v>
      </c>
      <c r="N9046">
        <v>3.1039400000000001E-50</v>
      </c>
      <c r="O9046">
        <v>502</v>
      </c>
    </row>
    <row r="9047" spans="1:15" x14ac:dyDescent="0.25">
      <c r="A9047" t="s">
        <v>9060</v>
      </c>
      <c r="B9047">
        <v>253</v>
      </c>
      <c r="C9047" s="1" t="str">
        <f>HYPERLINK("http://www.rosaceae.org/gb/gbrowse/malus_x_domestica/?name=MDP0000284030","MDP0000284030")</f>
        <v>MDP0000284030</v>
      </c>
      <c r="D9047">
        <v>94.5</v>
      </c>
      <c r="E9047">
        <v>91</v>
      </c>
      <c r="F9047">
        <v>5</v>
      </c>
      <c r="G9047">
        <v>0</v>
      </c>
      <c r="H9047">
        <v>3</v>
      </c>
      <c r="I9047">
        <v>93</v>
      </c>
      <c r="J9047">
        <v>1</v>
      </c>
      <c r="K9047">
        <v>135</v>
      </c>
      <c r="L9047">
        <v>225</v>
      </c>
      <c r="M9047">
        <v>1</v>
      </c>
      <c r="N9047">
        <v>7.4509900000000006E-48</v>
      </c>
      <c r="O9047">
        <v>476</v>
      </c>
    </row>
    <row r="9048" spans="1:15" x14ac:dyDescent="0.25">
      <c r="A9048" t="s">
        <v>9061</v>
      </c>
      <c r="B9048">
        <v>370</v>
      </c>
      <c r="C9048" s="1" t="str">
        <f>HYPERLINK("http://www.rosaceae.org/gb/gbrowse/malus_x_domestica/?name=MDP0000289204","MDP0000289204")</f>
        <v>MDP0000289204</v>
      </c>
      <c r="D9048">
        <v>78.69</v>
      </c>
      <c r="E9048">
        <v>338</v>
      </c>
      <c r="F9048">
        <v>72</v>
      </c>
      <c r="G9048">
        <v>0</v>
      </c>
      <c r="H9048">
        <v>14</v>
      </c>
      <c r="I9048">
        <v>351</v>
      </c>
      <c r="J9048">
        <v>1</v>
      </c>
      <c r="K9048">
        <v>26</v>
      </c>
      <c r="L9048">
        <v>363</v>
      </c>
      <c r="M9048">
        <v>1</v>
      </c>
      <c r="N9048">
        <v>4.1068999999999998E-141</v>
      </c>
      <c r="O9048">
        <v>1282</v>
      </c>
    </row>
    <row r="9049" spans="1:15" x14ac:dyDescent="0.25">
      <c r="A9049" t="s">
        <v>9062</v>
      </c>
      <c r="B9049">
        <v>457</v>
      </c>
      <c r="C9049" s="1" t="str">
        <f>HYPERLINK("http://www.rosaceae.org/gb/gbrowse/malus_x_domestica/?name=MDP0000156830","MDP0000156830")</f>
        <v>MDP0000156830</v>
      </c>
      <c r="D9049">
        <v>74.209999999999994</v>
      </c>
      <c r="E9049">
        <v>384</v>
      </c>
      <c r="F9049">
        <v>99</v>
      </c>
      <c r="G9049">
        <v>5</v>
      </c>
      <c r="H9049">
        <v>39</v>
      </c>
      <c r="I9049">
        <v>419</v>
      </c>
      <c r="J9049">
        <v>1</v>
      </c>
      <c r="K9049">
        <v>165</v>
      </c>
      <c r="L9049">
        <v>546</v>
      </c>
      <c r="M9049">
        <v>1</v>
      </c>
      <c r="N9049">
        <v>3.9946500000000001E-163</v>
      </c>
      <c r="O9049">
        <v>1473</v>
      </c>
    </row>
    <row r="9050" spans="1:15" x14ac:dyDescent="0.25">
      <c r="A9050" t="s">
        <v>9063</v>
      </c>
      <c r="B9050">
        <v>764</v>
      </c>
      <c r="C9050" s="1" t="str">
        <f>HYPERLINK("http://www.rosaceae.org/gb/gbrowse/malus_x_domestica/?name=MDP0000223219","MDP0000223219")</f>
        <v>MDP0000223219</v>
      </c>
      <c r="D9050">
        <v>55.76</v>
      </c>
      <c r="E9050">
        <v>703</v>
      </c>
      <c r="F9050">
        <v>311</v>
      </c>
      <c r="G9050">
        <v>29</v>
      </c>
      <c r="H9050">
        <v>27</v>
      </c>
      <c r="I9050">
        <v>707</v>
      </c>
      <c r="J9050">
        <v>1</v>
      </c>
      <c r="K9050">
        <v>35</v>
      </c>
      <c r="L9050">
        <v>730</v>
      </c>
      <c r="M9050">
        <v>1</v>
      </c>
      <c r="N9050">
        <v>0</v>
      </c>
      <c r="O9050">
        <v>1942</v>
      </c>
    </row>
    <row r="9051" spans="1:15" x14ac:dyDescent="0.25">
      <c r="A9051" t="s">
        <v>9064</v>
      </c>
      <c r="B9051">
        <v>533</v>
      </c>
      <c r="C9051" s="1" t="str">
        <f>HYPERLINK("http://www.rosaceae.org/gb/gbrowse/malus_x_domestica/?name=MDP0000253871","MDP0000253871")</f>
        <v>MDP0000253871</v>
      </c>
      <c r="D9051">
        <v>27.27</v>
      </c>
      <c r="E9051">
        <v>198</v>
      </c>
      <c r="F9051">
        <v>144</v>
      </c>
      <c r="G9051">
        <v>13</v>
      </c>
      <c r="H9051">
        <v>84</v>
      </c>
      <c r="I9051">
        <v>269</v>
      </c>
      <c r="J9051">
        <v>1</v>
      </c>
      <c r="K9051">
        <v>330</v>
      </c>
      <c r="L9051">
        <v>526</v>
      </c>
      <c r="M9051">
        <v>1</v>
      </c>
      <c r="N9051">
        <v>1.06948E-12</v>
      </c>
      <c r="O9051">
        <v>176</v>
      </c>
    </row>
    <row r="9052" spans="1:15" x14ac:dyDescent="0.25">
      <c r="A9052" t="s">
        <v>9065</v>
      </c>
      <c r="B9052">
        <v>490</v>
      </c>
      <c r="C9052" s="1" t="str">
        <f>HYPERLINK("http://www.rosaceae.org/gb/gbrowse/malus_x_domestica/?name=MDP0000258767","MDP0000258767")</f>
        <v>MDP0000258767</v>
      </c>
      <c r="D9052">
        <v>82.82</v>
      </c>
      <c r="E9052">
        <v>425</v>
      </c>
      <c r="F9052">
        <v>73</v>
      </c>
      <c r="G9052">
        <v>28</v>
      </c>
      <c r="H9052">
        <v>1</v>
      </c>
      <c r="I9052">
        <v>397</v>
      </c>
      <c r="J9052">
        <v>1</v>
      </c>
      <c r="K9052">
        <v>29</v>
      </c>
      <c r="L9052">
        <v>453</v>
      </c>
      <c r="M9052">
        <v>1</v>
      </c>
      <c r="N9052">
        <v>0</v>
      </c>
      <c r="O9052">
        <v>1822</v>
      </c>
    </row>
    <row r="9053" spans="1:15" x14ac:dyDescent="0.25">
      <c r="A9053" t="s">
        <v>9066</v>
      </c>
      <c r="B9053">
        <v>333</v>
      </c>
      <c r="C9053" s="1" t="str">
        <f>HYPERLINK("http://www.rosaceae.org/gb/gbrowse/malus_x_domestica/?name=MDP0000316658","MDP0000316658")</f>
        <v>MDP0000316658</v>
      </c>
      <c r="D9053">
        <v>30.89</v>
      </c>
      <c r="E9053">
        <v>301</v>
      </c>
      <c r="F9053">
        <v>208</v>
      </c>
      <c r="G9053">
        <v>51</v>
      </c>
      <c r="H9053">
        <v>4</v>
      </c>
      <c r="I9053">
        <v>257</v>
      </c>
      <c r="J9053">
        <v>1</v>
      </c>
      <c r="K9053">
        <v>12</v>
      </c>
      <c r="L9053">
        <v>308</v>
      </c>
      <c r="M9053">
        <v>1</v>
      </c>
      <c r="N9053">
        <v>2.2930400000000001E-20</v>
      </c>
      <c r="O9053">
        <v>240</v>
      </c>
    </row>
    <row r="9054" spans="1:15" x14ac:dyDescent="0.25">
      <c r="A9054" t="s">
        <v>9067</v>
      </c>
      <c r="B9054">
        <v>1960</v>
      </c>
      <c r="C9054" s="1" t="str">
        <f>HYPERLINK("http://www.rosaceae.org/gb/gbrowse/malus_x_domestica/?name=MDP0000290184","MDP0000290184")</f>
        <v>MDP0000290184</v>
      </c>
      <c r="D9054">
        <v>77.069999999999993</v>
      </c>
      <c r="E9054">
        <v>759</v>
      </c>
      <c r="F9054">
        <v>174</v>
      </c>
      <c r="G9054">
        <v>28</v>
      </c>
      <c r="H9054">
        <v>791</v>
      </c>
      <c r="I9054">
        <v>1521</v>
      </c>
      <c r="J9054">
        <v>1</v>
      </c>
      <c r="K9054">
        <v>1</v>
      </c>
      <c r="L9054">
        <v>759</v>
      </c>
      <c r="M9054">
        <v>1</v>
      </c>
      <c r="N9054">
        <v>0</v>
      </c>
      <c r="O9054">
        <v>3039</v>
      </c>
    </row>
    <row r="9055" spans="1:15" x14ac:dyDescent="0.25">
      <c r="A9055" t="s">
        <v>9068</v>
      </c>
      <c r="B9055">
        <v>148</v>
      </c>
      <c r="C9055" s="1" t="str">
        <f>HYPERLINK("http://www.rosaceae.org/gb/gbrowse/malus_x_domestica/?name=MDP0000578301","MDP0000578301")</f>
        <v>MDP0000578301</v>
      </c>
      <c r="D9055">
        <v>38.700000000000003</v>
      </c>
      <c r="E9055">
        <v>124</v>
      </c>
      <c r="F9055">
        <v>76</v>
      </c>
      <c r="G9055">
        <v>8</v>
      </c>
      <c r="H9055">
        <v>24</v>
      </c>
      <c r="I9055">
        <v>141</v>
      </c>
      <c r="J9055">
        <v>1</v>
      </c>
      <c r="K9055">
        <v>918</v>
      </c>
      <c r="L9055">
        <v>1039</v>
      </c>
      <c r="M9055">
        <v>1</v>
      </c>
      <c r="N9055">
        <v>5.7062999999999996E-19</v>
      </c>
      <c r="O9055">
        <v>223</v>
      </c>
    </row>
    <row r="9056" spans="1:15" x14ac:dyDescent="0.25">
      <c r="A9056" t="s">
        <v>9069</v>
      </c>
      <c r="B9056">
        <v>244</v>
      </c>
      <c r="C9056" s="1" t="str">
        <f>HYPERLINK("http://www.rosaceae.org/gb/gbrowse/malus_x_domestica/?name=MDP0000695555","MDP0000695555")</f>
        <v>MDP0000695555</v>
      </c>
      <c r="D9056">
        <v>64.31</v>
      </c>
      <c r="E9056">
        <v>213</v>
      </c>
      <c r="F9056">
        <v>76</v>
      </c>
      <c r="G9056">
        <v>6</v>
      </c>
      <c r="H9056">
        <v>36</v>
      </c>
      <c r="I9056">
        <v>244</v>
      </c>
      <c r="J9056">
        <v>1</v>
      </c>
      <c r="K9056">
        <v>256</v>
      </c>
      <c r="L9056">
        <v>466</v>
      </c>
      <c r="M9056">
        <v>1</v>
      </c>
      <c r="N9056">
        <v>1.68868E-65</v>
      </c>
      <c r="O9056">
        <v>628</v>
      </c>
    </row>
    <row r="9057" spans="1:15" x14ac:dyDescent="0.25">
      <c r="A9057" t="s">
        <v>9070</v>
      </c>
      <c r="B9057">
        <v>532</v>
      </c>
      <c r="C9057" s="1" t="str">
        <f>HYPERLINK("http://www.rosaceae.org/gb/gbrowse/malus_x_domestica/?name=MDP0000285057","MDP0000285057")</f>
        <v>MDP0000285057</v>
      </c>
      <c r="D9057">
        <v>75.099999999999994</v>
      </c>
      <c r="E9057">
        <v>478</v>
      </c>
      <c r="F9057">
        <v>119</v>
      </c>
      <c r="G9057">
        <v>2</v>
      </c>
      <c r="H9057">
        <v>45</v>
      </c>
      <c r="I9057">
        <v>522</v>
      </c>
      <c r="J9057">
        <v>1</v>
      </c>
      <c r="K9057">
        <v>1</v>
      </c>
      <c r="L9057">
        <v>476</v>
      </c>
      <c r="M9057">
        <v>1</v>
      </c>
      <c r="N9057">
        <v>0</v>
      </c>
      <c r="O9057">
        <v>1930</v>
      </c>
    </row>
    <row r="9058" spans="1:15" x14ac:dyDescent="0.25">
      <c r="A9058" t="s">
        <v>9071</v>
      </c>
      <c r="B9058">
        <v>749</v>
      </c>
      <c r="C9058" s="1" t="str">
        <f>HYPERLINK("http://www.rosaceae.org/gb/gbrowse/malus_x_domestica/?name=MDP0000299496","MDP0000299496")</f>
        <v>MDP0000299496</v>
      </c>
      <c r="D9058">
        <v>36.090000000000003</v>
      </c>
      <c r="E9058">
        <v>338</v>
      </c>
      <c r="F9058">
        <v>216</v>
      </c>
      <c r="G9058">
        <v>35</v>
      </c>
      <c r="H9058">
        <v>217</v>
      </c>
      <c r="I9058">
        <v>519</v>
      </c>
      <c r="J9058">
        <v>1</v>
      </c>
      <c r="K9058">
        <v>454</v>
      </c>
      <c r="L9058">
        <v>791</v>
      </c>
      <c r="M9058">
        <v>1</v>
      </c>
      <c r="N9058">
        <v>4.8702199999999999E-59</v>
      </c>
      <c r="O9058">
        <v>577</v>
      </c>
    </row>
    <row r="9059" spans="1:15" x14ac:dyDescent="0.25">
      <c r="A9059" t="s">
        <v>9072</v>
      </c>
      <c r="B9059">
        <v>216</v>
      </c>
      <c r="C9059" s="1" t="str">
        <f>HYPERLINK("http://www.rosaceae.org/gb/gbrowse/malus_x_domestica/?name=MDP0000150000","MDP0000150000")</f>
        <v>MDP0000150000</v>
      </c>
      <c r="D9059">
        <v>39.840000000000003</v>
      </c>
      <c r="E9059">
        <v>128</v>
      </c>
      <c r="F9059">
        <v>77</v>
      </c>
      <c r="G9059">
        <v>8</v>
      </c>
      <c r="H9059">
        <v>3</v>
      </c>
      <c r="I9059">
        <v>122</v>
      </c>
      <c r="J9059">
        <v>1</v>
      </c>
      <c r="K9059">
        <v>198</v>
      </c>
      <c r="L9059">
        <v>325</v>
      </c>
      <c r="M9059">
        <v>1</v>
      </c>
      <c r="N9059">
        <v>1.01055E-18</v>
      </c>
      <c r="O9059">
        <v>224</v>
      </c>
    </row>
    <row r="9060" spans="1:15" x14ac:dyDescent="0.25">
      <c r="A9060" t="s">
        <v>9073</v>
      </c>
      <c r="B9060">
        <v>522</v>
      </c>
      <c r="C9060" s="1" t="str">
        <f>HYPERLINK("http://www.rosaceae.org/gb/gbrowse/malus_x_domestica/?name=MDP0000943643","MDP0000943643")</f>
        <v>MDP0000943643</v>
      </c>
      <c r="D9060">
        <v>93.03</v>
      </c>
      <c r="E9060">
        <v>431</v>
      </c>
      <c r="F9060">
        <v>30</v>
      </c>
      <c r="G9060">
        <v>1</v>
      </c>
      <c r="H9060">
        <v>1</v>
      </c>
      <c r="I9060">
        <v>431</v>
      </c>
      <c r="J9060">
        <v>1</v>
      </c>
      <c r="K9060">
        <v>1</v>
      </c>
      <c r="L9060">
        <v>430</v>
      </c>
      <c r="M9060">
        <v>1</v>
      </c>
      <c r="N9060">
        <v>0</v>
      </c>
      <c r="O9060">
        <v>2125</v>
      </c>
    </row>
    <row r="9061" spans="1:15" x14ac:dyDescent="0.25">
      <c r="A9061" t="s">
        <v>9074</v>
      </c>
      <c r="B9061">
        <v>795</v>
      </c>
      <c r="C9061" s="1" t="str">
        <f>HYPERLINK("http://www.rosaceae.org/gb/gbrowse/malus_x_domestica/?name=MDP0000245757","MDP0000245757")</f>
        <v>MDP0000245757</v>
      </c>
      <c r="D9061">
        <v>83</v>
      </c>
      <c r="E9061">
        <v>712</v>
      </c>
      <c r="F9061">
        <v>121</v>
      </c>
      <c r="G9061">
        <v>1</v>
      </c>
      <c r="H9061">
        <v>53</v>
      </c>
      <c r="I9061">
        <v>764</v>
      </c>
      <c r="J9061">
        <v>1</v>
      </c>
      <c r="K9061">
        <v>52</v>
      </c>
      <c r="L9061">
        <v>762</v>
      </c>
      <c r="M9061">
        <v>1</v>
      </c>
      <c r="N9061">
        <v>0</v>
      </c>
      <c r="O9061">
        <v>3165</v>
      </c>
    </row>
    <row r="9062" spans="1:15" x14ac:dyDescent="0.25">
      <c r="A9062" t="s">
        <v>9075</v>
      </c>
      <c r="B9062">
        <v>1023</v>
      </c>
      <c r="C9062" s="1" t="str">
        <f>HYPERLINK("http://www.rosaceae.org/gb/gbrowse/malus_x_domestica/?name=MDP0000271982","MDP0000271982")</f>
        <v>MDP0000271982</v>
      </c>
      <c r="D9062">
        <v>62.59</v>
      </c>
      <c r="E9062">
        <v>1080</v>
      </c>
      <c r="F9062">
        <v>404</v>
      </c>
      <c r="G9062">
        <v>110</v>
      </c>
      <c r="H9062">
        <v>2</v>
      </c>
      <c r="I9062">
        <v>1019</v>
      </c>
      <c r="J9062">
        <v>1</v>
      </c>
      <c r="K9062">
        <v>1399</v>
      </c>
      <c r="L9062">
        <v>2430</v>
      </c>
      <c r="M9062">
        <v>1</v>
      </c>
      <c r="N9062">
        <v>0</v>
      </c>
      <c r="O9062">
        <v>3160</v>
      </c>
    </row>
    <row r="9063" spans="1:15" x14ac:dyDescent="0.25">
      <c r="A9063" t="s">
        <v>9076</v>
      </c>
      <c r="B9063">
        <v>775</v>
      </c>
      <c r="C9063" s="1" t="str">
        <f>HYPERLINK("http://www.rosaceae.org/gb/gbrowse/malus_x_domestica/?name=MDP0000156058","MDP0000156058")</f>
        <v>MDP0000156058</v>
      </c>
      <c r="D9063">
        <v>70.31</v>
      </c>
      <c r="E9063">
        <v>347</v>
      </c>
      <c r="F9063">
        <v>103</v>
      </c>
      <c r="G9063">
        <v>4</v>
      </c>
      <c r="H9063">
        <v>433</v>
      </c>
      <c r="I9063">
        <v>775</v>
      </c>
      <c r="J9063">
        <v>1</v>
      </c>
      <c r="K9063">
        <v>32</v>
      </c>
      <c r="L9063">
        <v>378</v>
      </c>
      <c r="M9063">
        <v>1</v>
      </c>
      <c r="N9063">
        <v>5.9383000000000002E-146</v>
      </c>
      <c r="O9063">
        <v>1327</v>
      </c>
    </row>
    <row r="9064" spans="1:15" x14ac:dyDescent="0.25">
      <c r="A9064" t="s">
        <v>9077</v>
      </c>
      <c r="B9064">
        <v>144</v>
      </c>
      <c r="C9064" s="1" t="str">
        <f>HYPERLINK("http://www.rosaceae.org/gb/gbrowse/malus_x_domestica/?name=MDP0000549785","MDP0000549785")</f>
        <v>MDP0000549785</v>
      </c>
      <c r="D9064">
        <v>71.77</v>
      </c>
      <c r="E9064">
        <v>124</v>
      </c>
      <c r="F9064">
        <v>35</v>
      </c>
      <c r="G9064">
        <v>0</v>
      </c>
      <c r="H9064">
        <v>21</v>
      </c>
      <c r="I9064">
        <v>144</v>
      </c>
      <c r="J9064">
        <v>1</v>
      </c>
      <c r="K9064">
        <v>96</v>
      </c>
      <c r="L9064">
        <v>219</v>
      </c>
      <c r="M9064">
        <v>1</v>
      </c>
      <c r="N9064">
        <v>3.3066699999999998E-47</v>
      </c>
      <c r="O9064">
        <v>466</v>
      </c>
    </row>
    <row r="9065" spans="1:15" x14ac:dyDescent="0.25">
      <c r="A9065" t="s">
        <v>9078</v>
      </c>
      <c r="B9065">
        <v>447</v>
      </c>
      <c r="C9065" s="1" t="str">
        <f>HYPERLINK("http://www.rosaceae.org/gb/gbrowse/malus_x_domestica/?name=MDP0000142939","MDP0000142939")</f>
        <v>MDP0000142939</v>
      </c>
      <c r="D9065">
        <v>77</v>
      </c>
      <c r="E9065">
        <v>461</v>
      </c>
      <c r="F9065">
        <v>106</v>
      </c>
      <c r="G9065">
        <v>16</v>
      </c>
      <c r="H9065">
        <v>1</v>
      </c>
      <c r="I9065">
        <v>445</v>
      </c>
      <c r="J9065">
        <v>1</v>
      </c>
      <c r="K9065">
        <v>24</v>
      </c>
      <c r="L9065">
        <v>484</v>
      </c>
      <c r="M9065">
        <v>1</v>
      </c>
      <c r="N9065">
        <v>0</v>
      </c>
      <c r="O9065">
        <v>1901</v>
      </c>
    </row>
    <row r="9066" spans="1:15" x14ac:dyDescent="0.25">
      <c r="A9066" t="s">
        <v>9079</v>
      </c>
      <c r="B9066">
        <v>627</v>
      </c>
      <c r="C9066" s="1" t="str">
        <f>HYPERLINK("http://www.rosaceae.org/gb/gbrowse/malus_x_domestica/?name=MDP0000280591","MDP0000280591")</f>
        <v>MDP0000280591</v>
      </c>
      <c r="D9066">
        <v>68.2</v>
      </c>
      <c r="E9066">
        <v>670</v>
      </c>
      <c r="F9066">
        <v>213</v>
      </c>
      <c r="G9066">
        <v>63</v>
      </c>
      <c r="H9066">
        <v>1</v>
      </c>
      <c r="I9066">
        <v>624</v>
      </c>
      <c r="J9066">
        <v>1</v>
      </c>
      <c r="K9066">
        <v>1</v>
      </c>
      <c r="L9066">
        <v>653</v>
      </c>
      <c r="M9066">
        <v>1</v>
      </c>
      <c r="N9066">
        <v>0</v>
      </c>
      <c r="O9066">
        <v>2203</v>
      </c>
    </row>
    <row r="9067" spans="1:15" x14ac:dyDescent="0.25">
      <c r="A9067" t="s">
        <v>9080</v>
      </c>
      <c r="B9067">
        <v>181</v>
      </c>
      <c r="C9067" s="1" t="str">
        <f>HYPERLINK("http://www.rosaceae.org/gb/gbrowse/malus_x_domestica/?name=MDP0000181942","MDP0000181942")</f>
        <v>MDP0000181942</v>
      </c>
      <c r="D9067">
        <v>71.05</v>
      </c>
      <c r="E9067">
        <v>76</v>
      </c>
      <c r="F9067">
        <v>22</v>
      </c>
      <c r="G9067">
        <v>0</v>
      </c>
      <c r="H9067">
        <v>6</v>
      </c>
      <c r="I9067">
        <v>81</v>
      </c>
      <c r="J9067">
        <v>1</v>
      </c>
      <c r="K9067">
        <v>3</v>
      </c>
      <c r="L9067">
        <v>78</v>
      </c>
      <c r="M9067">
        <v>1</v>
      </c>
      <c r="N9067">
        <v>1.20394E-23</v>
      </c>
      <c r="O9067">
        <v>265</v>
      </c>
    </row>
    <row r="9068" spans="1:15" x14ac:dyDescent="0.25">
      <c r="A9068" t="s">
        <v>9081</v>
      </c>
      <c r="B9068">
        <v>376</v>
      </c>
      <c r="C9068" s="1" t="str">
        <f>HYPERLINK("http://www.rosaceae.org/gb/gbrowse/malus_x_domestica/?name=MDP0000153949","MDP0000153949")</f>
        <v>MDP0000153949</v>
      </c>
      <c r="D9068">
        <v>81.33</v>
      </c>
      <c r="E9068">
        <v>225</v>
      </c>
      <c r="F9068">
        <v>42</v>
      </c>
      <c r="G9068">
        <v>7</v>
      </c>
      <c r="H9068">
        <v>1</v>
      </c>
      <c r="I9068">
        <v>221</v>
      </c>
      <c r="J9068">
        <v>1</v>
      </c>
      <c r="K9068">
        <v>1</v>
      </c>
      <c r="L9068">
        <v>222</v>
      </c>
      <c r="M9068">
        <v>1</v>
      </c>
      <c r="N9068">
        <v>4.8585199999999998E-99</v>
      </c>
      <c r="O9068">
        <v>919</v>
      </c>
    </row>
    <row r="9069" spans="1:15" x14ac:dyDescent="0.25">
      <c r="A9069" t="s">
        <v>9082</v>
      </c>
      <c r="B9069">
        <v>936</v>
      </c>
      <c r="C9069" s="1" t="str">
        <f>HYPERLINK("http://www.rosaceae.org/gb/gbrowse/malus_x_domestica/?name=MDP0000202750","MDP0000202750")</f>
        <v>MDP0000202750</v>
      </c>
      <c r="D9069">
        <v>58.96</v>
      </c>
      <c r="E9069">
        <v>948</v>
      </c>
      <c r="F9069">
        <v>389</v>
      </c>
      <c r="G9069">
        <v>130</v>
      </c>
      <c r="H9069">
        <v>32</v>
      </c>
      <c r="I9069">
        <v>936</v>
      </c>
      <c r="J9069">
        <v>1</v>
      </c>
      <c r="K9069">
        <v>29</v>
      </c>
      <c r="L9069">
        <v>889</v>
      </c>
      <c r="M9069">
        <v>1</v>
      </c>
      <c r="N9069">
        <v>0</v>
      </c>
      <c r="O9069">
        <v>2612</v>
      </c>
    </row>
    <row r="9070" spans="1:15" x14ac:dyDescent="0.25">
      <c r="A9070" t="s">
        <v>9083</v>
      </c>
      <c r="B9070">
        <v>1102</v>
      </c>
      <c r="C9070" s="1" t="str">
        <f>HYPERLINK("http://www.rosaceae.org/gb/gbrowse/malus_x_domestica/?name=MDP0000239508","MDP0000239508")</f>
        <v>MDP0000239508</v>
      </c>
      <c r="D9070">
        <v>62.15</v>
      </c>
      <c r="E9070">
        <v>1012</v>
      </c>
      <c r="F9070">
        <v>383</v>
      </c>
      <c r="G9070">
        <v>126</v>
      </c>
      <c r="H9070">
        <v>174</v>
      </c>
      <c r="I9070">
        <v>1102</v>
      </c>
      <c r="J9070">
        <v>1</v>
      </c>
      <c r="K9070">
        <v>48</v>
      </c>
      <c r="L9070">
        <v>1016</v>
      </c>
      <c r="M9070">
        <v>1</v>
      </c>
      <c r="N9070">
        <v>0</v>
      </c>
      <c r="O9070">
        <v>3149</v>
      </c>
    </row>
    <row r="9071" spans="1:15" x14ac:dyDescent="0.25">
      <c r="A9071" t="s">
        <v>9084</v>
      </c>
      <c r="B9071">
        <v>184</v>
      </c>
      <c r="C9071" s="1" t="str">
        <f>HYPERLINK("http://www.rosaceae.org/gb/gbrowse/malus_x_domestica/?name=MDP0000341154","MDP0000341154")</f>
        <v>MDP0000341154</v>
      </c>
      <c r="D9071">
        <v>88.34</v>
      </c>
      <c r="E9071">
        <v>103</v>
      </c>
      <c r="F9071">
        <v>12</v>
      </c>
      <c r="G9071">
        <v>0</v>
      </c>
      <c r="H9071">
        <v>76</v>
      </c>
      <c r="I9071">
        <v>178</v>
      </c>
      <c r="J9071">
        <v>1</v>
      </c>
      <c r="K9071">
        <v>1</v>
      </c>
      <c r="L9071">
        <v>103</v>
      </c>
      <c r="M9071">
        <v>1</v>
      </c>
      <c r="N9071">
        <v>4.5092999999999998E-50</v>
      </c>
      <c r="O9071">
        <v>493</v>
      </c>
    </row>
    <row r="9072" spans="1:15" x14ac:dyDescent="0.25">
      <c r="A9072" t="s">
        <v>9085</v>
      </c>
      <c r="B9072">
        <v>562</v>
      </c>
      <c r="C9072" s="1" t="str">
        <f>HYPERLINK("http://www.rosaceae.org/gb/gbrowse/malus_x_domestica/?name=MDP0000251792","MDP0000251792")</f>
        <v>MDP0000251792</v>
      </c>
      <c r="D9072">
        <v>67.84</v>
      </c>
      <c r="E9072">
        <v>566</v>
      </c>
      <c r="F9072">
        <v>182</v>
      </c>
      <c r="G9072">
        <v>9</v>
      </c>
      <c r="H9072">
        <v>1</v>
      </c>
      <c r="I9072">
        <v>562</v>
      </c>
      <c r="J9072">
        <v>1</v>
      </c>
      <c r="K9072">
        <v>12</v>
      </c>
      <c r="L9072">
        <v>572</v>
      </c>
      <c r="M9072">
        <v>1</v>
      </c>
      <c r="N9072">
        <v>0</v>
      </c>
      <c r="O9072">
        <v>1994</v>
      </c>
    </row>
    <row r="9073" spans="1:15" x14ac:dyDescent="0.25">
      <c r="A9073" t="s">
        <v>9086</v>
      </c>
      <c r="B9073">
        <v>242</v>
      </c>
      <c r="C9073" s="1" t="str">
        <f>HYPERLINK("http://www.rosaceae.org/gb/gbrowse/malus_x_domestica/?name=MDP0000177684","MDP0000177684")</f>
        <v>MDP0000177684</v>
      </c>
      <c r="D9073">
        <v>93.53</v>
      </c>
      <c r="E9073">
        <v>232</v>
      </c>
      <c r="F9073">
        <v>15</v>
      </c>
      <c r="G9073">
        <v>0</v>
      </c>
      <c r="H9073">
        <v>11</v>
      </c>
      <c r="I9073">
        <v>242</v>
      </c>
      <c r="J9073">
        <v>1</v>
      </c>
      <c r="K9073">
        <v>1</v>
      </c>
      <c r="L9073">
        <v>232</v>
      </c>
      <c r="M9073">
        <v>1</v>
      </c>
      <c r="N9073">
        <v>1.12314E-128</v>
      </c>
      <c r="O9073">
        <v>1172</v>
      </c>
    </row>
    <row r="9074" spans="1:15" x14ac:dyDescent="0.25">
      <c r="A9074" t="s">
        <v>9087</v>
      </c>
      <c r="B9074">
        <v>609</v>
      </c>
      <c r="C9074" s="1" t="str">
        <f>HYPERLINK("http://www.rosaceae.org/gb/gbrowse/malus_x_domestica/?name=MDP0000264409","MDP0000264409")</f>
        <v>MDP0000264409</v>
      </c>
      <c r="D9074">
        <v>69.23</v>
      </c>
      <c r="E9074">
        <v>429</v>
      </c>
      <c r="F9074">
        <v>132</v>
      </c>
      <c r="G9074">
        <v>3</v>
      </c>
      <c r="H9074">
        <v>2</v>
      </c>
      <c r="I9074">
        <v>429</v>
      </c>
      <c r="J9074">
        <v>1</v>
      </c>
      <c r="K9074">
        <v>5</v>
      </c>
      <c r="L9074">
        <v>431</v>
      </c>
      <c r="M9074">
        <v>1</v>
      </c>
      <c r="N9074">
        <v>8.5657899999999995E-175</v>
      </c>
      <c r="O9074">
        <v>1575</v>
      </c>
    </row>
    <row r="9075" spans="1:15" x14ac:dyDescent="0.25">
      <c r="A9075" t="s">
        <v>9088</v>
      </c>
      <c r="B9075">
        <v>524</v>
      </c>
      <c r="C9075" s="1" t="str">
        <f>HYPERLINK("http://www.rosaceae.org/gb/gbrowse/malus_x_domestica/?name=MDP0000206133","MDP0000206133")</f>
        <v>MDP0000206133</v>
      </c>
      <c r="D9075">
        <v>62.61</v>
      </c>
      <c r="E9075">
        <v>436</v>
      </c>
      <c r="F9075">
        <v>163</v>
      </c>
      <c r="G9075">
        <v>46</v>
      </c>
      <c r="H9075">
        <v>1</v>
      </c>
      <c r="I9075">
        <v>395</v>
      </c>
      <c r="J9075">
        <v>1</v>
      </c>
      <c r="K9075">
        <v>85</v>
      </c>
      <c r="L9075">
        <v>515</v>
      </c>
      <c r="M9075">
        <v>1</v>
      </c>
      <c r="N9075">
        <v>3.7372199999999998E-141</v>
      </c>
      <c r="O9075">
        <v>1284</v>
      </c>
    </row>
    <row r="9076" spans="1:15" x14ac:dyDescent="0.25">
      <c r="A9076" t="s">
        <v>9089</v>
      </c>
      <c r="B9076">
        <v>447</v>
      </c>
      <c r="C9076" s="1" t="str">
        <f>HYPERLINK("http://www.rosaceae.org/gb/gbrowse/malus_x_domestica/?name=MDP0000282183","MDP0000282183")</f>
        <v>MDP0000282183</v>
      </c>
      <c r="D9076">
        <v>74</v>
      </c>
      <c r="E9076">
        <v>454</v>
      </c>
      <c r="F9076">
        <v>118</v>
      </c>
      <c r="G9076">
        <v>14</v>
      </c>
      <c r="H9076">
        <v>1</v>
      </c>
      <c r="I9076">
        <v>445</v>
      </c>
      <c r="J9076">
        <v>1</v>
      </c>
      <c r="K9076">
        <v>1</v>
      </c>
      <c r="L9076">
        <v>449</v>
      </c>
      <c r="M9076">
        <v>1</v>
      </c>
      <c r="N9076">
        <v>0</v>
      </c>
      <c r="O9076">
        <v>1738</v>
      </c>
    </row>
    <row r="9077" spans="1:15" x14ac:dyDescent="0.25">
      <c r="A9077" t="s">
        <v>9090</v>
      </c>
      <c r="B9077">
        <v>676</v>
      </c>
      <c r="C9077" s="1" t="str">
        <f>HYPERLINK("http://www.rosaceae.org/gb/gbrowse/malus_x_domestica/?name=MDP0000321664","MDP0000321664")</f>
        <v>MDP0000321664</v>
      </c>
      <c r="D9077">
        <v>64.760000000000005</v>
      </c>
      <c r="E9077">
        <v>491</v>
      </c>
      <c r="F9077">
        <v>173</v>
      </c>
      <c r="G9077">
        <v>18</v>
      </c>
      <c r="H9077">
        <v>179</v>
      </c>
      <c r="I9077">
        <v>660</v>
      </c>
      <c r="J9077">
        <v>1</v>
      </c>
      <c r="K9077">
        <v>3</v>
      </c>
      <c r="L9077">
        <v>484</v>
      </c>
      <c r="M9077">
        <v>1</v>
      </c>
      <c r="N9077">
        <v>2.70195E-166</v>
      </c>
      <c r="O9077">
        <v>1502</v>
      </c>
    </row>
    <row r="9078" spans="1:15" x14ac:dyDescent="0.25">
      <c r="A9078" t="s">
        <v>9091</v>
      </c>
      <c r="B9078">
        <v>1070</v>
      </c>
      <c r="C9078" s="1" t="str">
        <f>HYPERLINK("http://www.rosaceae.org/gb/gbrowse/malus_x_domestica/?name=MDP0000179412","MDP0000179412")</f>
        <v>MDP0000179412</v>
      </c>
      <c r="D9078">
        <v>29.29</v>
      </c>
      <c r="E9078">
        <v>990</v>
      </c>
      <c r="F9078">
        <v>700</v>
      </c>
      <c r="G9078">
        <v>54</v>
      </c>
      <c r="H9078">
        <v>32</v>
      </c>
      <c r="I9078">
        <v>997</v>
      </c>
      <c r="J9078">
        <v>1</v>
      </c>
      <c r="K9078">
        <v>40</v>
      </c>
      <c r="L9078">
        <v>999</v>
      </c>
      <c r="M9078">
        <v>1</v>
      </c>
      <c r="N9078">
        <v>3.91165E-98</v>
      </c>
      <c r="O9078">
        <v>916</v>
      </c>
    </row>
    <row r="9079" spans="1:15" x14ac:dyDescent="0.25">
      <c r="A9079" t="s">
        <v>9092</v>
      </c>
      <c r="B9079">
        <v>248</v>
      </c>
      <c r="C9079" s="1" t="str">
        <f>HYPERLINK("http://www.rosaceae.org/gb/gbrowse/malus_x_domestica/?name=MDP0000733653","MDP0000733653")</f>
        <v>MDP0000733653</v>
      </c>
      <c r="D9079">
        <v>85.62</v>
      </c>
      <c r="E9079">
        <v>153</v>
      </c>
      <c r="F9079">
        <v>22</v>
      </c>
      <c r="G9079">
        <v>2</v>
      </c>
      <c r="H9079">
        <v>97</v>
      </c>
      <c r="I9079">
        <v>248</v>
      </c>
      <c r="J9079">
        <v>1</v>
      </c>
      <c r="K9079">
        <v>85</v>
      </c>
      <c r="L9079">
        <v>236</v>
      </c>
      <c r="M9079">
        <v>1</v>
      </c>
      <c r="N9079">
        <v>4.0903E-73</v>
      </c>
      <c r="O9079">
        <v>693</v>
      </c>
    </row>
    <row r="9080" spans="1:15" x14ac:dyDescent="0.25">
      <c r="A9080" t="s">
        <v>9093</v>
      </c>
      <c r="B9080">
        <v>814</v>
      </c>
      <c r="C9080" s="1" t="str">
        <f>HYPERLINK("http://www.rosaceae.org/gb/gbrowse/malus_x_domestica/?name=MDP0000249881","MDP0000249881")</f>
        <v>MDP0000249881</v>
      </c>
      <c r="D9080">
        <v>65.08</v>
      </c>
      <c r="E9080">
        <v>802</v>
      </c>
      <c r="F9080">
        <v>280</v>
      </c>
      <c r="G9080">
        <v>66</v>
      </c>
      <c r="H9080">
        <v>29</v>
      </c>
      <c r="I9080">
        <v>794</v>
      </c>
      <c r="J9080">
        <v>1</v>
      </c>
      <c r="K9080">
        <v>33</v>
      </c>
      <c r="L9080">
        <v>804</v>
      </c>
      <c r="M9080">
        <v>1</v>
      </c>
      <c r="N9080">
        <v>0</v>
      </c>
      <c r="O9080">
        <v>2575</v>
      </c>
    </row>
    <row r="9081" spans="1:15" x14ac:dyDescent="0.25">
      <c r="A9081" t="s">
        <v>9094</v>
      </c>
      <c r="B9081">
        <v>948</v>
      </c>
      <c r="C9081" s="1" t="str">
        <f>HYPERLINK("http://www.rosaceae.org/gb/gbrowse/malus_x_domestica/?name=MDP0000162032","MDP0000162032")</f>
        <v>MDP0000162032</v>
      </c>
      <c r="D9081">
        <v>82.48</v>
      </c>
      <c r="E9081">
        <v>948</v>
      </c>
      <c r="F9081">
        <v>166</v>
      </c>
      <c r="G9081">
        <v>22</v>
      </c>
      <c r="H9081">
        <v>1</v>
      </c>
      <c r="I9081">
        <v>948</v>
      </c>
      <c r="J9081">
        <v>1</v>
      </c>
      <c r="K9081">
        <v>1</v>
      </c>
      <c r="L9081">
        <v>926</v>
      </c>
      <c r="M9081">
        <v>1</v>
      </c>
      <c r="N9081">
        <v>0</v>
      </c>
      <c r="O9081">
        <v>4097</v>
      </c>
    </row>
    <row r="9082" spans="1:15" x14ac:dyDescent="0.25">
      <c r="A9082" t="s">
        <v>9095</v>
      </c>
      <c r="B9082">
        <v>324</v>
      </c>
      <c r="C9082" s="1" t="str">
        <f>HYPERLINK("http://www.rosaceae.org/gb/gbrowse/malus_x_domestica/?name=MDP0000166041","MDP0000166041")</f>
        <v>MDP0000166041</v>
      </c>
      <c r="D9082">
        <v>66.459999999999994</v>
      </c>
      <c r="E9082">
        <v>337</v>
      </c>
      <c r="F9082">
        <v>113</v>
      </c>
      <c r="G9082">
        <v>27</v>
      </c>
      <c r="H9082">
        <v>1</v>
      </c>
      <c r="I9082">
        <v>324</v>
      </c>
      <c r="J9082">
        <v>1</v>
      </c>
      <c r="K9082">
        <v>1</v>
      </c>
      <c r="L9082">
        <v>323</v>
      </c>
      <c r="M9082">
        <v>1</v>
      </c>
      <c r="N9082">
        <v>7.3571199999999995E-120</v>
      </c>
      <c r="O9082">
        <v>1098</v>
      </c>
    </row>
    <row r="9083" spans="1:15" x14ac:dyDescent="0.25">
      <c r="A9083" t="s">
        <v>9096</v>
      </c>
      <c r="B9083">
        <v>391</v>
      </c>
      <c r="C9083" s="1" t="str">
        <f>HYPERLINK("http://www.rosaceae.org/gb/gbrowse/malus_x_domestica/?name=MDP0000518168","MDP0000518168")</f>
        <v>MDP0000518168</v>
      </c>
      <c r="D9083">
        <v>62.68</v>
      </c>
      <c r="E9083">
        <v>402</v>
      </c>
      <c r="F9083">
        <v>150</v>
      </c>
      <c r="G9083">
        <v>16</v>
      </c>
      <c r="H9083">
        <v>1</v>
      </c>
      <c r="I9083">
        <v>391</v>
      </c>
      <c r="J9083">
        <v>1</v>
      </c>
      <c r="K9083">
        <v>1</v>
      </c>
      <c r="L9083">
        <v>397</v>
      </c>
      <c r="M9083">
        <v>1</v>
      </c>
      <c r="N9083">
        <v>2.0737500000000001E-142</v>
      </c>
      <c r="O9083">
        <v>1293</v>
      </c>
    </row>
    <row r="9084" spans="1:15" x14ac:dyDescent="0.25">
      <c r="A9084" t="s">
        <v>9097</v>
      </c>
      <c r="B9084">
        <v>345</v>
      </c>
      <c r="C9084" s="1" t="str">
        <f>HYPERLINK("http://www.rosaceae.org/gb/gbrowse/malus_x_domestica/?name=MDP0000269421","MDP0000269421")</f>
        <v>MDP0000269421</v>
      </c>
      <c r="D9084">
        <v>72.48</v>
      </c>
      <c r="E9084">
        <v>298</v>
      </c>
      <c r="F9084">
        <v>82</v>
      </c>
      <c r="G9084">
        <v>0</v>
      </c>
      <c r="H9084">
        <v>40</v>
      </c>
      <c r="I9084">
        <v>337</v>
      </c>
      <c r="J9084">
        <v>1</v>
      </c>
      <c r="K9084">
        <v>311</v>
      </c>
      <c r="L9084">
        <v>608</v>
      </c>
      <c r="M9084">
        <v>1</v>
      </c>
      <c r="N9084">
        <v>2.9297700000000001E-128</v>
      </c>
      <c r="O9084">
        <v>1171</v>
      </c>
    </row>
    <row r="9085" spans="1:15" x14ac:dyDescent="0.25">
      <c r="A9085" t="s">
        <v>9098</v>
      </c>
      <c r="B9085">
        <v>977</v>
      </c>
      <c r="C9085" s="1" t="str">
        <f>HYPERLINK("http://www.rosaceae.org/gb/gbrowse/malus_x_domestica/?name=MDP0000216575","MDP0000216575")</f>
        <v>MDP0000216575</v>
      </c>
      <c r="D9085">
        <v>77.45</v>
      </c>
      <c r="E9085">
        <v>874</v>
      </c>
      <c r="F9085">
        <v>197</v>
      </c>
      <c r="G9085">
        <v>51</v>
      </c>
      <c r="H9085">
        <v>1</v>
      </c>
      <c r="I9085">
        <v>829</v>
      </c>
      <c r="J9085">
        <v>1</v>
      </c>
      <c r="K9085">
        <v>1</v>
      </c>
      <c r="L9085">
        <v>868</v>
      </c>
      <c r="M9085">
        <v>1</v>
      </c>
      <c r="N9085">
        <v>0</v>
      </c>
      <c r="O9085">
        <v>3603</v>
      </c>
    </row>
    <row r="9086" spans="1:15" x14ac:dyDescent="0.25">
      <c r="A9086" t="s">
        <v>9099</v>
      </c>
      <c r="B9086">
        <v>361</v>
      </c>
      <c r="C9086" s="1" t="str">
        <f>HYPERLINK("http://www.rosaceae.org/gb/gbrowse/malus_x_domestica/?name=MDP0000127852","MDP0000127852")</f>
        <v>MDP0000127852</v>
      </c>
      <c r="D9086">
        <v>55.85</v>
      </c>
      <c r="E9086">
        <v>222</v>
      </c>
      <c r="F9086">
        <v>98</v>
      </c>
      <c r="G9086">
        <v>12</v>
      </c>
      <c r="H9086">
        <v>148</v>
      </c>
      <c r="I9086">
        <v>358</v>
      </c>
      <c r="J9086">
        <v>1</v>
      </c>
      <c r="K9086">
        <v>2</v>
      </c>
      <c r="L9086">
        <v>222</v>
      </c>
      <c r="M9086">
        <v>1</v>
      </c>
      <c r="N9086">
        <v>2.0526899999999999E-54</v>
      </c>
      <c r="O9086">
        <v>534</v>
      </c>
    </row>
    <row r="9087" spans="1:15" x14ac:dyDescent="0.25">
      <c r="A9087" t="s">
        <v>9100</v>
      </c>
      <c r="B9087">
        <v>662</v>
      </c>
      <c r="C9087" s="1" t="str">
        <f>HYPERLINK("http://www.rosaceae.org/gb/gbrowse/malus_x_domestica/?name=MDP0000142599","MDP0000142599")</f>
        <v>MDP0000142599</v>
      </c>
      <c r="D9087">
        <v>66.87</v>
      </c>
      <c r="E9087">
        <v>646</v>
      </c>
      <c r="F9087">
        <v>214</v>
      </c>
      <c r="G9087">
        <v>7</v>
      </c>
      <c r="H9087">
        <v>1</v>
      </c>
      <c r="I9087">
        <v>640</v>
      </c>
      <c r="J9087">
        <v>1</v>
      </c>
      <c r="K9087">
        <v>1</v>
      </c>
      <c r="L9087">
        <v>645</v>
      </c>
      <c r="M9087">
        <v>1</v>
      </c>
      <c r="N9087">
        <v>0</v>
      </c>
      <c r="O9087">
        <v>2147</v>
      </c>
    </row>
    <row r="9088" spans="1:15" x14ac:dyDescent="0.25">
      <c r="A9088" t="s">
        <v>9101</v>
      </c>
      <c r="B9088">
        <v>718</v>
      </c>
      <c r="C9088" s="1" t="str">
        <f>HYPERLINK("http://www.rosaceae.org/gb/gbrowse/malus_x_domestica/?name=MDP0000317700","MDP0000317700")</f>
        <v>MDP0000317700</v>
      </c>
      <c r="D9088">
        <v>48.91</v>
      </c>
      <c r="E9088">
        <v>92</v>
      </c>
      <c r="F9088">
        <v>47</v>
      </c>
      <c r="G9088">
        <v>3</v>
      </c>
      <c r="H9088">
        <v>242</v>
      </c>
      <c r="I9088">
        <v>330</v>
      </c>
      <c r="J9088">
        <v>1</v>
      </c>
      <c r="K9088">
        <v>1</v>
      </c>
      <c r="L9088">
        <v>92</v>
      </c>
      <c r="M9088">
        <v>1</v>
      </c>
      <c r="N9088">
        <v>5.9691500000000005E-20</v>
      </c>
      <c r="O9088">
        <v>240</v>
      </c>
    </row>
    <row r="9089" spans="1:15" x14ac:dyDescent="0.25">
      <c r="A9089" t="s">
        <v>9102</v>
      </c>
      <c r="B9089">
        <v>389</v>
      </c>
      <c r="C9089" s="1" t="str">
        <f>HYPERLINK("http://www.rosaceae.org/gb/gbrowse/malus_x_domestica/?name=MDP0000318279","MDP0000318279")</f>
        <v>MDP0000318279</v>
      </c>
      <c r="D9089">
        <v>35.04</v>
      </c>
      <c r="E9089">
        <v>214</v>
      </c>
      <c r="F9089">
        <v>139</v>
      </c>
      <c r="G9089">
        <v>30</v>
      </c>
      <c r="H9089">
        <v>169</v>
      </c>
      <c r="I9089">
        <v>354</v>
      </c>
      <c r="J9089">
        <v>1</v>
      </c>
      <c r="K9089">
        <v>125</v>
      </c>
      <c r="L9089">
        <v>336</v>
      </c>
      <c r="M9089">
        <v>1</v>
      </c>
      <c r="N9089">
        <v>4.3999300000000001E-27</v>
      </c>
      <c r="O9089">
        <v>299</v>
      </c>
    </row>
    <row r="9090" spans="1:15" x14ac:dyDescent="0.25">
      <c r="A9090" t="s">
        <v>9103</v>
      </c>
      <c r="B9090">
        <v>339</v>
      </c>
      <c r="C9090" s="1" t="str">
        <f>HYPERLINK("http://www.rosaceae.org/gb/gbrowse/malus_x_domestica/?name=MDP0000857608","MDP0000857608")</f>
        <v>MDP0000857608</v>
      </c>
      <c r="D9090">
        <v>60.79</v>
      </c>
      <c r="E9090">
        <v>329</v>
      </c>
      <c r="F9090">
        <v>129</v>
      </c>
      <c r="G9090">
        <v>6</v>
      </c>
      <c r="H9090">
        <v>7</v>
      </c>
      <c r="I9090">
        <v>330</v>
      </c>
      <c r="J9090">
        <v>1</v>
      </c>
      <c r="K9090">
        <v>2</v>
      </c>
      <c r="L9090">
        <v>329</v>
      </c>
      <c r="M9090">
        <v>1</v>
      </c>
      <c r="N9090">
        <v>5.1766000000000002E-121</v>
      </c>
      <c r="O9090">
        <v>1108</v>
      </c>
    </row>
    <row r="9091" spans="1:15" x14ac:dyDescent="0.25">
      <c r="A9091" t="s">
        <v>9104</v>
      </c>
      <c r="B9091">
        <v>204</v>
      </c>
      <c r="C9091" s="1" t="str">
        <f>HYPERLINK("http://www.rosaceae.org/gb/gbrowse/malus_x_domestica/?name=MDP0000869140","MDP0000869140")</f>
        <v>MDP0000869140</v>
      </c>
      <c r="D9091">
        <v>40.590000000000003</v>
      </c>
      <c r="E9091">
        <v>202</v>
      </c>
      <c r="F9091">
        <v>120</v>
      </c>
      <c r="G9091">
        <v>11</v>
      </c>
      <c r="H9091">
        <v>10</v>
      </c>
      <c r="I9091">
        <v>202</v>
      </c>
      <c r="J9091">
        <v>1</v>
      </c>
      <c r="K9091">
        <v>1</v>
      </c>
      <c r="L9091">
        <v>200</v>
      </c>
      <c r="M9091">
        <v>1</v>
      </c>
      <c r="N9091">
        <v>1.04027E-34</v>
      </c>
      <c r="O9091">
        <v>361</v>
      </c>
    </row>
    <row r="9092" spans="1:15" x14ac:dyDescent="0.25">
      <c r="A9092" t="s">
        <v>9105</v>
      </c>
      <c r="B9092">
        <v>1080</v>
      </c>
      <c r="C9092" s="1" t="str">
        <f>HYPERLINK("http://www.rosaceae.org/gb/gbrowse/malus_x_domestica/?name=MDP0000321952","MDP0000321952")</f>
        <v>MDP0000321952</v>
      </c>
      <c r="D9092">
        <v>70.17</v>
      </c>
      <c r="E9092">
        <v>845</v>
      </c>
      <c r="F9092">
        <v>252</v>
      </c>
      <c r="G9092">
        <v>6</v>
      </c>
      <c r="H9092">
        <v>178</v>
      </c>
      <c r="I9092">
        <v>1021</v>
      </c>
      <c r="J9092">
        <v>1</v>
      </c>
      <c r="K9092">
        <v>635</v>
      </c>
      <c r="L9092">
        <v>1474</v>
      </c>
      <c r="M9092">
        <v>1</v>
      </c>
      <c r="N9092">
        <v>0</v>
      </c>
      <c r="O9092">
        <v>2945</v>
      </c>
    </row>
    <row r="9093" spans="1:15" x14ac:dyDescent="0.25">
      <c r="A9093" t="s">
        <v>9106</v>
      </c>
      <c r="B9093">
        <v>355</v>
      </c>
      <c r="C9093" s="1" t="str">
        <f>HYPERLINK("http://www.rosaceae.org/gb/gbrowse/malus_x_domestica/?name=MDP0000601580","MDP0000601580")</f>
        <v>MDP0000601580</v>
      </c>
      <c r="D9093">
        <v>67.23</v>
      </c>
      <c r="E9093">
        <v>354</v>
      </c>
      <c r="F9093">
        <v>116</v>
      </c>
      <c r="G9093">
        <v>19</v>
      </c>
      <c r="H9093">
        <v>1</v>
      </c>
      <c r="I9093">
        <v>354</v>
      </c>
      <c r="J9093">
        <v>1</v>
      </c>
      <c r="K9093">
        <v>1</v>
      </c>
      <c r="L9093">
        <v>335</v>
      </c>
      <c r="M9093">
        <v>1</v>
      </c>
      <c r="N9093">
        <v>1.07629E-127</v>
      </c>
      <c r="O9093">
        <v>1166</v>
      </c>
    </row>
    <row r="9094" spans="1:15" x14ac:dyDescent="0.25">
      <c r="A9094" t="s">
        <v>9107</v>
      </c>
      <c r="B9094">
        <v>443</v>
      </c>
      <c r="C9094" s="1" t="str">
        <f>HYPERLINK("http://www.rosaceae.org/gb/gbrowse/malus_x_domestica/?name=MDP0000235822","MDP0000235822")</f>
        <v>MDP0000235822</v>
      </c>
      <c r="D9094">
        <v>85.36</v>
      </c>
      <c r="E9094">
        <v>444</v>
      </c>
      <c r="F9094">
        <v>65</v>
      </c>
      <c r="G9094">
        <v>2</v>
      </c>
      <c r="H9094">
        <v>1</v>
      </c>
      <c r="I9094">
        <v>443</v>
      </c>
      <c r="J9094">
        <v>1</v>
      </c>
      <c r="K9094">
        <v>95</v>
      </c>
      <c r="L9094">
        <v>537</v>
      </c>
      <c r="M9094">
        <v>1</v>
      </c>
      <c r="N9094">
        <v>0</v>
      </c>
      <c r="O9094">
        <v>2006</v>
      </c>
    </row>
    <row r="9095" spans="1:15" x14ac:dyDescent="0.25">
      <c r="A9095" t="s">
        <v>9108</v>
      </c>
      <c r="B9095">
        <v>756</v>
      </c>
      <c r="C9095" s="1" t="str">
        <f>HYPERLINK("http://www.rosaceae.org/gb/gbrowse/malus_x_domestica/?name=MDP0000292492","MDP0000292492")</f>
        <v>MDP0000292492</v>
      </c>
      <c r="D9095">
        <v>74.52</v>
      </c>
      <c r="E9095">
        <v>738</v>
      </c>
      <c r="F9095">
        <v>188</v>
      </c>
      <c r="G9095">
        <v>3</v>
      </c>
      <c r="H9095">
        <v>11</v>
      </c>
      <c r="I9095">
        <v>745</v>
      </c>
      <c r="J9095">
        <v>1</v>
      </c>
      <c r="K9095">
        <v>23</v>
      </c>
      <c r="L9095">
        <v>760</v>
      </c>
      <c r="M9095">
        <v>1</v>
      </c>
      <c r="N9095">
        <v>0</v>
      </c>
      <c r="O9095">
        <v>2801</v>
      </c>
    </row>
    <row r="9096" spans="1:15" x14ac:dyDescent="0.25">
      <c r="A9096" t="s">
        <v>9109</v>
      </c>
      <c r="B9096">
        <v>139</v>
      </c>
      <c r="C9096" s="1" t="str">
        <f>HYPERLINK("http://www.rosaceae.org/gb/gbrowse/malus_x_domestica/?name=MDP0000254664","MDP0000254664")</f>
        <v>MDP0000254664</v>
      </c>
      <c r="D9096">
        <v>61.19</v>
      </c>
      <c r="E9096">
        <v>67</v>
      </c>
      <c r="F9096">
        <v>26</v>
      </c>
      <c r="G9096">
        <v>0</v>
      </c>
      <c r="H9096">
        <v>9</v>
      </c>
      <c r="I9096">
        <v>75</v>
      </c>
      <c r="J9096">
        <v>1</v>
      </c>
      <c r="K9096">
        <v>376</v>
      </c>
      <c r="L9096">
        <v>442</v>
      </c>
      <c r="M9096">
        <v>1</v>
      </c>
      <c r="N9096">
        <v>2.4817600000000002E-19</v>
      </c>
      <c r="O9096">
        <v>225</v>
      </c>
    </row>
    <row r="9097" spans="1:15" x14ac:dyDescent="0.25">
      <c r="A9097" t="s">
        <v>9110</v>
      </c>
      <c r="B9097">
        <v>1086</v>
      </c>
      <c r="C9097" s="1" t="str">
        <f>HYPERLINK("http://www.rosaceae.org/gb/gbrowse/malus_x_domestica/?name=MDP0000242242","MDP0000242242")</f>
        <v>MDP0000242242</v>
      </c>
      <c r="D9097">
        <v>78.540000000000006</v>
      </c>
      <c r="E9097">
        <v>1072</v>
      </c>
      <c r="F9097">
        <v>230</v>
      </c>
      <c r="G9097">
        <v>82</v>
      </c>
      <c r="H9097">
        <v>58</v>
      </c>
      <c r="I9097">
        <v>1082</v>
      </c>
      <c r="J9097">
        <v>1</v>
      </c>
      <c r="K9097">
        <v>18</v>
      </c>
      <c r="L9097">
        <v>1054</v>
      </c>
      <c r="M9097">
        <v>1</v>
      </c>
      <c r="N9097">
        <v>0</v>
      </c>
      <c r="O9097">
        <v>4427</v>
      </c>
    </row>
    <row r="9098" spans="1:15" x14ac:dyDescent="0.25">
      <c r="A9098" t="s">
        <v>9111</v>
      </c>
      <c r="B9098">
        <v>908</v>
      </c>
      <c r="C9098" s="1" t="str">
        <f>HYPERLINK("http://www.rosaceae.org/gb/gbrowse/malus_x_domestica/?name=MDP0000258985","MDP0000258985")</f>
        <v>MDP0000258985</v>
      </c>
      <c r="D9098">
        <v>48.08</v>
      </c>
      <c r="E9098">
        <v>890</v>
      </c>
      <c r="F9098">
        <v>462</v>
      </c>
      <c r="G9098">
        <v>25</v>
      </c>
      <c r="H9098">
        <v>1</v>
      </c>
      <c r="I9098">
        <v>874</v>
      </c>
      <c r="J9098">
        <v>1</v>
      </c>
      <c r="K9098">
        <v>1</v>
      </c>
      <c r="L9098">
        <v>881</v>
      </c>
      <c r="M9098">
        <v>1</v>
      </c>
      <c r="N9098">
        <v>0</v>
      </c>
      <c r="O9098">
        <v>1981</v>
      </c>
    </row>
    <row r="9099" spans="1:15" x14ac:dyDescent="0.25">
      <c r="A9099" t="s">
        <v>9112</v>
      </c>
      <c r="B9099">
        <v>165</v>
      </c>
      <c r="C9099" s="1" t="str">
        <f>HYPERLINK("http://www.rosaceae.org/gb/gbrowse/malus_x_domestica/?name=MDP0000290738","MDP0000290738")</f>
        <v>MDP0000290738</v>
      </c>
      <c r="D9099">
        <v>67.45</v>
      </c>
      <c r="E9099">
        <v>169</v>
      </c>
      <c r="F9099">
        <v>55</v>
      </c>
      <c r="G9099">
        <v>4</v>
      </c>
      <c r="H9099">
        <v>1</v>
      </c>
      <c r="I9099">
        <v>165</v>
      </c>
      <c r="J9099">
        <v>1</v>
      </c>
      <c r="K9099">
        <v>1</v>
      </c>
      <c r="L9099">
        <v>169</v>
      </c>
      <c r="M9099">
        <v>1</v>
      </c>
      <c r="N9099">
        <v>3.8569200000000002E-61</v>
      </c>
      <c r="O9099">
        <v>587</v>
      </c>
    </row>
    <row r="9100" spans="1:15" x14ac:dyDescent="0.25">
      <c r="A9100" t="s">
        <v>9113</v>
      </c>
      <c r="B9100">
        <v>352</v>
      </c>
      <c r="C9100" s="1" t="str">
        <f>HYPERLINK("http://www.rosaceae.org/gb/gbrowse/malus_x_domestica/?name=MDP0000937205","MDP0000937205")</f>
        <v>MDP0000937205</v>
      </c>
      <c r="D9100">
        <v>60.74</v>
      </c>
      <c r="E9100">
        <v>270</v>
      </c>
      <c r="F9100">
        <v>106</v>
      </c>
      <c r="G9100">
        <v>10</v>
      </c>
      <c r="H9100">
        <v>88</v>
      </c>
      <c r="I9100">
        <v>352</v>
      </c>
      <c r="J9100">
        <v>1</v>
      </c>
      <c r="K9100">
        <v>202</v>
      </c>
      <c r="L9100">
        <v>466</v>
      </c>
      <c r="M9100">
        <v>1</v>
      </c>
      <c r="N9100">
        <v>3.8827399999999999E-90</v>
      </c>
      <c r="O9100">
        <v>842</v>
      </c>
    </row>
    <row r="9101" spans="1:15" x14ac:dyDescent="0.25">
      <c r="A9101" t="s">
        <v>9114</v>
      </c>
      <c r="B9101">
        <v>757</v>
      </c>
      <c r="C9101" s="1" t="str">
        <f>HYPERLINK("http://www.rosaceae.org/gb/gbrowse/malus_x_domestica/?name=MDP0000139304","MDP0000139304")</f>
        <v>MDP0000139304</v>
      </c>
      <c r="D9101">
        <v>62.44</v>
      </c>
      <c r="E9101">
        <v>719</v>
      </c>
      <c r="F9101">
        <v>270</v>
      </c>
      <c r="G9101">
        <v>26</v>
      </c>
      <c r="H9101">
        <v>38</v>
      </c>
      <c r="I9101">
        <v>750</v>
      </c>
      <c r="J9101">
        <v>1</v>
      </c>
      <c r="K9101">
        <v>45</v>
      </c>
      <c r="L9101">
        <v>743</v>
      </c>
      <c r="M9101">
        <v>1</v>
      </c>
      <c r="N9101">
        <v>0</v>
      </c>
      <c r="O9101">
        <v>2136</v>
      </c>
    </row>
    <row r="9102" spans="1:15" x14ac:dyDescent="0.25">
      <c r="A9102" t="s">
        <v>9115</v>
      </c>
      <c r="B9102">
        <v>277</v>
      </c>
      <c r="C9102" s="1" t="str">
        <f>HYPERLINK("http://www.rosaceae.org/gb/gbrowse/malus_x_domestica/?name=MDP0000321050","MDP0000321050")</f>
        <v>MDP0000321050</v>
      </c>
      <c r="D9102">
        <v>76.52</v>
      </c>
      <c r="E9102">
        <v>115</v>
      </c>
      <c r="F9102">
        <v>27</v>
      </c>
      <c r="G9102">
        <v>2</v>
      </c>
      <c r="H9102">
        <v>60</v>
      </c>
      <c r="I9102">
        <v>172</v>
      </c>
      <c r="J9102">
        <v>1</v>
      </c>
      <c r="K9102">
        <v>45</v>
      </c>
      <c r="L9102">
        <v>159</v>
      </c>
      <c r="M9102">
        <v>1</v>
      </c>
      <c r="N9102">
        <v>2.1772300000000001E-45</v>
      </c>
      <c r="O9102">
        <v>455</v>
      </c>
    </row>
    <row r="9103" spans="1:15" x14ac:dyDescent="0.25">
      <c r="A9103" t="s">
        <v>9116</v>
      </c>
      <c r="B9103">
        <v>756</v>
      </c>
      <c r="C9103" s="1" t="str">
        <f>HYPERLINK("http://www.rosaceae.org/gb/gbrowse/malus_x_domestica/?name=MDP0000307703","MDP0000307703")</f>
        <v>MDP0000307703</v>
      </c>
      <c r="D9103">
        <v>65.95</v>
      </c>
      <c r="E9103">
        <v>843</v>
      </c>
      <c r="F9103">
        <v>287</v>
      </c>
      <c r="G9103">
        <v>99</v>
      </c>
      <c r="H9103">
        <v>1</v>
      </c>
      <c r="I9103">
        <v>756</v>
      </c>
      <c r="J9103">
        <v>1</v>
      </c>
      <c r="K9103">
        <v>1</v>
      </c>
      <c r="L9103">
        <v>831</v>
      </c>
      <c r="M9103">
        <v>1</v>
      </c>
      <c r="N9103">
        <v>0</v>
      </c>
      <c r="O9103">
        <v>2786</v>
      </c>
    </row>
    <row r="9104" spans="1:15" x14ac:dyDescent="0.25">
      <c r="A9104" t="s">
        <v>9117</v>
      </c>
      <c r="B9104">
        <v>1090</v>
      </c>
      <c r="C9104" s="1" t="str">
        <f>HYPERLINK("http://www.rosaceae.org/gb/gbrowse/malus_x_domestica/?name=MDP0000228855","MDP0000228855")</f>
        <v>MDP0000228855</v>
      </c>
      <c r="D9104">
        <v>68.05</v>
      </c>
      <c r="E9104">
        <v>1102</v>
      </c>
      <c r="F9104">
        <v>352</v>
      </c>
      <c r="G9104">
        <v>23</v>
      </c>
      <c r="H9104">
        <v>1</v>
      </c>
      <c r="I9104">
        <v>1090</v>
      </c>
      <c r="J9104">
        <v>1</v>
      </c>
      <c r="K9104">
        <v>284</v>
      </c>
      <c r="L9104">
        <v>1374</v>
      </c>
      <c r="M9104">
        <v>1</v>
      </c>
      <c r="N9104">
        <v>0</v>
      </c>
      <c r="O9104">
        <v>3930</v>
      </c>
    </row>
    <row r="9105" spans="1:15" x14ac:dyDescent="0.25">
      <c r="A9105" t="s">
        <v>9118</v>
      </c>
      <c r="B9105">
        <v>991</v>
      </c>
      <c r="C9105" s="1" t="str">
        <f>HYPERLINK("http://www.rosaceae.org/gb/gbrowse/malus_x_domestica/?name=MDP0000308001","MDP0000308001")</f>
        <v>MDP0000308001</v>
      </c>
      <c r="D9105">
        <v>44.66</v>
      </c>
      <c r="E9105">
        <v>356</v>
      </c>
      <c r="F9105">
        <v>197</v>
      </c>
      <c r="G9105">
        <v>53</v>
      </c>
      <c r="H9105">
        <v>38</v>
      </c>
      <c r="I9105">
        <v>341</v>
      </c>
      <c r="J9105">
        <v>1</v>
      </c>
      <c r="K9105">
        <v>156</v>
      </c>
      <c r="L9105">
        <v>510</v>
      </c>
      <c r="M9105">
        <v>1</v>
      </c>
      <c r="N9105">
        <v>8.6487899999999996E-74</v>
      </c>
      <c r="O9105">
        <v>706</v>
      </c>
    </row>
    <row r="9106" spans="1:15" x14ac:dyDescent="0.25">
      <c r="A9106" t="s">
        <v>9119</v>
      </c>
      <c r="B9106">
        <v>96</v>
      </c>
      <c r="C9106" s="1" t="str">
        <f>HYPERLINK("http://www.rosaceae.org/gb/gbrowse/malus_x_domestica/?name=MDP0000324831","MDP0000324831")</f>
        <v>MDP0000324831</v>
      </c>
      <c r="D9106">
        <v>70</v>
      </c>
      <c r="E9106">
        <v>100</v>
      </c>
      <c r="F9106">
        <v>30</v>
      </c>
      <c r="G9106">
        <v>12</v>
      </c>
      <c r="H9106">
        <v>2</v>
      </c>
      <c r="I9106">
        <v>94</v>
      </c>
      <c r="J9106">
        <v>1</v>
      </c>
      <c r="K9106">
        <v>39</v>
      </c>
      <c r="L9106">
        <v>133</v>
      </c>
      <c r="M9106">
        <v>1</v>
      </c>
      <c r="N9106">
        <v>1.34383E-29</v>
      </c>
      <c r="O9106">
        <v>313</v>
      </c>
    </row>
    <row r="9107" spans="1:15" x14ac:dyDescent="0.25">
      <c r="A9107" t="s">
        <v>9120</v>
      </c>
      <c r="B9107">
        <v>498</v>
      </c>
      <c r="C9107" s="1" t="str">
        <f>HYPERLINK("http://www.rosaceae.org/gb/gbrowse/malus_x_domestica/?name=MDP0000475135","MDP0000475135")</f>
        <v>MDP0000475135</v>
      </c>
      <c r="D9107">
        <v>93.53</v>
      </c>
      <c r="E9107">
        <v>464</v>
      </c>
      <c r="F9107">
        <v>30</v>
      </c>
      <c r="G9107">
        <v>0</v>
      </c>
      <c r="H9107">
        <v>14</v>
      </c>
      <c r="I9107">
        <v>477</v>
      </c>
      <c r="J9107">
        <v>1</v>
      </c>
      <c r="K9107">
        <v>93</v>
      </c>
      <c r="L9107">
        <v>556</v>
      </c>
      <c r="M9107">
        <v>1</v>
      </c>
      <c r="N9107">
        <v>0</v>
      </c>
      <c r="O9107">
        <v>2322</v>
      </c>
    </row>
    <row r="9108" spans="1:15" x14ac:dyDescent="0.25">
      <c r="A9108" t="s">
        <v>9121</v>
      </c>
      <c r="B9108">
        <v>686</v>
      </c>
      <c r="C9108" s="1" t="str">
        <f>HYPERLINK("http://www.rosaceae.org/gb/gbrowse/malus_x_domestica/?name=MDP0000725483","MDP0000725483")</f>
        <v>MDP0000725483</v>
      </c>
      <c r="D9108">
        <v>72.790000000000006</v>
      </c>
      <c r="E9108">
        <v>691</v>
      </c>
      <c r="F9108">
        <v>188</v>
      </c>
      <c r="G9108">
        <v>7</v>
      </c>
      <c r="H9108">
        <v>1</v>
      </c>
      <c r="I9108">
        <v>686</v>
      </c>
      <c r="J9108">
        <v>1</v>
      </c>
      <c r="K9108">
        <v>113</v>
      </c>
      <c r="L9108">
        <v>801</v>
      </c>
      <c r="M9108">
        <v>1</v>
      </c>
      <c r="N9108">
        <v>0</v>
      </c>
      <c r="O9108">
        <v>2659</v>
      </c>
    </row>
    <row r="9109" spans="1:15" x14ac:dyDescent="0.25">
      <c r="A9109" t="s">
        <v>9122</v>
      </c>
      <c r="B9109">
        <v>264</v>
      </c>
      <c r="C9109" s="1" t="str">
        <f>HYPERLINK("http://www.rosaceae.org/gb/gbrowse/malus_x_domestica/?name=MDP0000307854","MDP0000307854")</f>
        <v>MDP0000307854</v>
      </c>
      <c r="D9109">
        <v>78.73</v>
      </c>
      <c r="E9109">
        <v>221</v>
      </c>
      <c r="F9109">
        <v>47</v>
      </c>
      <c r="G9109">
        <v>1</v>
      </c>
      <c r="H9109">
        <v>44</v>
      </c>
      <c r="I9109">
        <v>264</v>
      </c>
      <c r="J9109">
        <v>1</v>
      </c>
      <c r="K9109">
        <v>60</v>
      </c>
      <c r="L9109">
        <v>279</v>
      </c>
      <c r="M9109">
        <v>1</v>
      </c>
      <c r="N9109">
        <v>2.3063999999999999E-98</v>
      </c>
      <c r="O9109">
        <v>912</v>
      </c>
    </row>
    <row r="9110" spans="1:15" x14ac:dyDescent="0.25">
      <c r="A9110" t="s">
        <v>9123</v>
      </c>
      <c r="B9110">
        <v>404</v>
      </c>
      <c r="C9110" s="1" t="str">
        <f>HYPERLINK("http://www.rosaceae.org/gb/gbrowse/malus_x_domestica/?name=MDP0000143182","MDP0000143182")</f>
        <v>MDP0000143182</v>
      </c>
      <c r="D9110">
        <v>34.01</v>
      </c>
      <c r="E9110">
        <v>391</v>
      </c>
      <c r="F9110">
        <v>258</v>
      </c>
      <c r="G9110">
        <v>37</v>
      </c>
      <c r="H9110">
        <v>5</v>
      </c>
      <c r="I9110">
        <v>365</v>
      </c>
      <c r="J9110">
        <v>1</v>
      </c>
      <c r="K9110">
        <v>12</v>
      </c>
      <c r="L9110">
        <v>395</v>
      </c>
      <c r="M9110">
        <v>1</v>
      </c>
      <c r="N9110">
        <v>1.9485200000000001E-54</v>
      </c>
      <c r="O9110">
        <v>535</v>
      </c>
    </row>
    <row r="9111" spans="1:15" x14ac:dyDescent="0.25">
      <c r="A9111" t="s">
        <v>9124</v>
      </c>
      <c r="B9111">
        <v>563</v>
      </c>
      <c r="C9111" s="1" t="str">
        <f>HYPERLINK("http://www.rosaceae.org/gb/gbrowse/malus_x_domestica/?name=MDP0000580952","MDP0000580952")</f>
        <v>MDP0000580952</v>
      </c>
      <c r="D9111">
        <v>72.87</v>
      </c>
      <c r="E9111">
        <v>553</v>
      </c>
      <c r="F9111">
        <v>150</v>
      </c>
      <c r="G9111">
        <v>28</v>
      </c>
      <c r="H9111">
        <v>2</v>
      </c>
      <c r="I9111">
        <v>533</v>
      </c>
      <c r="J9111">
        <v>1</v>
      </c>
      <c r="K9111">
        <v>3</v>
      </c>
      <c r="L9111">
        <v>548</v>
      </c>
      <c r="M9111">
        <v>1</v>
      </c>
      <c r="N9111">
        <v>0</v>
      </c>
      <c r="O9111">
        <v>1958</v>
      </c>
    </row>
    <row r="9112" spans="1:15" x14ac:dyDescent="0.25">
      <c r="A9112" t="s">
        <v>9125</v>
      </c>
      <c r="B9112">
        <v>373</v>
      </c>
      <c r="C9112" s="1" t="str">
        <f>HYPERLINK("http://www.rosaceae.org/gb/gbrowse/malus_x_domestica/?name=MDP0000189057","MDP0000189057")</f>
        <v>MDP0000189057</v>
      </c>
      <c r="D9112">
        <v>47.17</v>
      </c>
      <c r="E9112">
        <v>390</v>
      </c>
      <c r="F9112">
        <v>206</v>
      </c>
      <c r="G9112">
        <v>44</v>
      </c>
      <c r="H9112">
        <v>1</v>
      </c>
      <c r="I9112">
        <v>364</v>
      </c>
      <c r="J9112">
        <v>1</v>
      </c>
      <c r="K9112">
        <v>6</v>
      </c>
      <c r="L9112">
        <v>377</v>
      </c>
      <c r="M9112">
        <v>1</v>
      </c>
      <c r="N9112">
        <v>2.2780099999999999E-83</v>
      </c>
      <c r="O9112">
        <v>784</v>
      </c>
    </row>
    <row r="9113" spans="1:15" x14ac:dyDescent="0.25">
      <c r="A9113" t="s">
        <v>9126</v>
      </c>
      <c r="B9113">
        <v>368</v>
      </c>
      <c r="C9113" s="1" t="str">
        <f>HYPERLINK("http://www.rosaceae.org/gb/gbrowse/malus_x_domestica/?name=MDP0000474161","MDP0000474161")</f>
        <v>MDP0000474161</v>
      </c>
      <c r="D9113">
        <v>79.25</v>
      </c>
      <c r="E9113">
        <v>347</v>
      </c>
      <c r="F9113">
        <v>72</v>
      </c>
      <c r="G9113">
        <v>7</v>
      </c>
      <c r="H9113">
        <v>29</v>
      </c>
      <c r="I9113">
        <v>368</v>
      </c>
      <c r="J9113">
        <v>1</v>
      </c>
      <c r="K9113">
        <v>46</v>
      </c>
      <c r="L9113">
        <v>392</v>
      </c>
      <c r="M9113">
        <v>1</v>
      </c>
      <c r="N9113">
        <v>4.4508999999999998E-154</v>
      </c>
      <c r="O9113">
        <v>1394</v>
      </c>
    </row>
    <row r="9114" spans="1:15" x14ac:dyDescent="0.25">
      <c r="A9114" t="s">
        <v>9127</v>
      </c>
      <c r="B9114">
        <v>125</v>
      </c>
      <c r="C9114" s="1" t="str">
        <f>HYPERLINK("http://www.rosaceae.org/gb/gbrowse/malus_x_domestica/?name=MDP0000347398","MDP0000347398")</f>
        <v>MDP0000347398</v>
      </c>
      <c r="D9114">
        <v>67.7</v>
      </c>
      <c r="E9114">
        <v>96</v>
      </c>
      <c r="F9114">
        <v>31</v>
      </c>
      <c r="G9114">
        <v>17</v>
      </c>
      <c r="H9114">
        <v>31</v>
      </c>
      <c r="I9114">
        <v>125</v>
      </c>
      <c r="J9114">
        <v>1</v>
      </c>
      <c r="K9114">
        <v>31</v>
      </c>
      <c r="L9114">
        <v>110</v>
      </c>
      <c r="M9114">
        <v>1</v>
      </c>
      <c r="N9114">
        <v>9.36597E-32</v>
      </c>
      <c r="O9114">
        <v>331</v>
      </c>
    </row>
    <row r="9115" spans="1:15" x14ac:dyDescent="0.25">
      <c r="A9115" t="s">
        <v>9128</v>
      </c>
      <c r="B9115">
        <v>633</v>
      </c>
      <c r="C9115" s="1" t="str">
        <f>HYPERLINK("http://www.rosaceae.org/gb/gbrowse/malus_x_domestica/?name=MDP0000119265","MDP0000119265")</f>
        <v>MDP0000119265</v>
      </c>
      <c r="D9115">
        <v>36.76</v>
      </c>
      <c r="E9115">
        <v>389</v>
      </c>
      <c r="F9115">
        <v>246</v>
      </c>
      <c r="G9115">
        <v>57</v>
      </c>
      <c r="H9115">
        <v>8</v>
      </c>
      <c r="I9115">
        <v>370</v>
      </c>
      <c r="J9115">
        <v>1</v>
      </c>
      <c r="K9115">
        <v>6</v>
      </c>
      <c r="L9115">
        <v>363</v>
      </c>
      <c r="M9115">
        <v>1</v>
      </c>
      <c r="N9115">
        <v>6.9112699999999997E-50</v>
      </c>
      <c r="O9115">
        <v>498</v>
      </c>
    </row>
    <row r="9116" spans="1:15" x14ac:dyDescent="0.25">
      <c r="A9116" t="s">
        <v>9129</v>
      </c>
      <c r="B9116">
        <v>510</v>
      </c>
      <c r="C9116" s="1" t="str">
        <f>HYPERLINK("http://www.rosaceae.org/gb/gbrowse/malus_x_domestica/?name=MDP0000295777","MDP0000295777")</f>
        <v>MDP0000295777</v>
      </c>
      <c r="D9116">
        <v>81.27</v>
      </c>
      <c r="E9116">
        <v>470</v>
      </c>
      <c r="F9116">
        <v>88</v>
      </c>
      <c r="G9116">
        <v>14</v>
      </c>
      <c r="H9116">
        <v>52</v>
      </c>
      <c r="I9116">
        <v>510</v>
      </c>
      <c r="J9116">
        <v>1</v>
      </c>
      <c r="K9116">
        <v>30</v>
      </c>
      <c r="L9116">
        <v>496</v>
      </c>
      <c r="M9116">
        <v>1</v>
      </c>
      <c r="N9116">
        <v>0</v>
      </c>
      <c r="O9116">
        <v>1937</v>
      </c>
    </row>
    <row r="9117" spans="1:15" x14ac:dyDescent="0.25">
      <c r="A9117" t="s">
        <v>9130</v>
      </c>
      <c r="B9117">
        <v>117</v>
      </c>
      <c r="C9117" s="1" t="str">
        <f>HYPERLINK("http://www.rosaceae.org/gb/gbrowse/malus_x_domestica/?name=MDP0000186170","MDP0000186170")</f>
        <v>MDP0000186170</v>
      </c>
      <c r="D9117">
        <v>62.5</v>
      </c>
      <c r="E9117">
        <v>64</v>
      </c>
      <c r="F9117">
        <v>24</v>
      </c>
      <c r="G9117">
        <v>0</v>
      </c>
      <c r="H9117">
        <v>2</v>
      </c>
      <c r="I9117">
        <v>65</v>
      </c>
      <c r="J9117">
        <v>1</v>
      </c>
      <c r="K9117">
        <v>142</v>
      </c>
      <c r="L9117">
        <v>205</v>
      </c>
      <c r="M9117">
        <v>1</v>
      </c>
      <c r="N9117">
        <v>1.40629E-18</v>
      </c>
      <c r="O9117">
        <v>218</v>
      </c>
    </row>
    <row r="9118" spans="1:15" x14ac:dyDescent="0.25">
      <c r="A9118" t="s">
        <v>9131</v>
      </c>
      <c r="B9118">
        <v>403</v>
      </c>
      <c r="C9118" s="1" t="str">
        <f>HYPERLINK("http://www.rosaceae.org/gb/gbrowse/malus_x_domestica/?name=MDP0000162064","MDP0000162064")</f>
        <v>MDP0000162064</v>
      </c>
      <c r="D9118">
        <v>80.650000000000006</v>
      </c>
      <c r="E9118">
        <v>336</v>
      </c>
      <c r="F9118">
        <v>65</v>
      </c>
      <c r="G9118">
        <v>3</v>
      </c>
      <c r="H9118">
        <v>61</v>
      </c>
      <c r="I9118">
        <v>396</v>
      </c>
      <c r="J9118">
        <v>1</v>
      </c>
      <c r="K9118">
        <v>64</v>
      </c>
      <c r="L9118">
        <v>396</v>
      </c>
      <c r="M9118">
        <v>1</v>
      </c>
      <c r="N9118">
        <v>3.2994299999999998E-154</v>
      </c>
      <c r="O9118">
        <v>1395</v>
      </c>
    </row>
    <row r="9119" spans="1:15" x14ac:dyDescent="0.25">
      <c r="A9119" t="s">
        <v>9132</v>
      </c>
      <c r="B9119">
        <v>131</v>
      </c>
      <c r="C9119" s="1" t="str">
        <f>HYPERLINK("http://www.rosaceae.org/gb/gbrowse/malus_x_domestica/?name=MDP0000158230","MDP0000158230")</f>
        <v>MDP0000158230</v>
      </c>
      <c r="D9119">
        <v>49.61</v>
      </c>
      <c r="E9119">
        <v>131</v>
      </c>
      <c r="F9119">
        <v>66</v>
      </c>
      <c r="G9119">
        <v>4</v>
      </c>
      <c r="H9119">
        <v>1</v>
      </c>
      <c r="I9119">
        <v>128</v>
      </c>
      <c r="J9119">
        <v>1</v>
      </c>
      <c r="K9119">
        <v>1</v>
      </c>
      <c r="L9119">
        <v>130</v>
      </c>
      <c r="M9119">
        <v>1</v>
      </c>
      <c r="N9119">
        <v>1.08042E-28</v>
      </c>
      <c r="O9119">
        <v>305</v>
      </c>
    </row>
    <row r="9120" spans="1:15" x14ac:dyDescent="0.25">
      <c r="A9120" t="s">
        <v>9133</v>
      </c>
      <c r="B9120">
        <v>778</v>
      </c>
      <c r="C9120" s="1" t="str">
        <f>HYPERLINK("http://www.rosaceae.org/gb/gbrowse/malus_x_domestica/?name=MDP0000239909","MDP0000239909")</f>
        <v>MDP0000239909</v>
      </c>
      <c r="D9120">
        <v>65.64</v>
      </c>
      <c r="E9120">
        <v>425</v>
      </c>
      <c r="F9120">
        <v>146</v>
      </c>
      <c r="G9120">
        <v>25</v>
      </c>
      <c r="H9120">
        <v>58</v>
      </c>
      <c r="I9120">
        <v>481</v>
      </c>
      <c r="J9120">
        <v>1</v>
      </c>
      <c r="K9120">
        <v>7</v>
      </c>
      <c r="L9120">
        <v>407</v>
      </c>
      <c r="M9120">
        <v>1</v>
      </c>
      <c r="N9120">
        <v>1.4503099999999999E-160</v>
      </c>
      <c r="O9120">
        <v>1453</v>
      </c>
    </row>
    <row r="9121" spans="1:15" x14ac:dyDescent="0.25">
      <c r="A9121" t="s">
        <v>9134</v>
      </c>
      <c r="B9121">
        <v>144</v>
      </c>
      <c r="C9121" s="1" t="str">
        <f>HYPERLINK("http://www.rosaceae.org/gb/gbrowse/malus_x_domestica/?name=MDP0000293207","MDP0000293207")</f>
        <v>MDP0000293207</v>
      </c>
      <c r="D9121">
        <v>42.97</v>
      </c>
      <c r="E9121">
        <v>121</v>
      </c>
      <c r="F9121">
        <v>69</v>
      </c>
      <c r="G9121">
        <v>11</v>
      </c>
      <c r="H9121">
        <v>3</v>
      </c>
      <c r="I9121">
        <v>118</v>
      </c>
      <c r="J9121">
        <v>1</v>
      </c>
      <c r="K9121">
        <v>9</v>
      </c>
      <c r="L9121">
        <v>123</v>
      </c>
      <c r="M9121">
        <v>1</v>
      </c>
      <c r="N9121">
        <v>3.9424599999999998E-16</v>
      </c>
      <c r="O9121">
        <v>198</v>
      </c>
    </row>
    <row r="9122" spans="1:15" x14ac:dyDescent="0.25">
      <c r="A9122" t="s">
        <v>9135</v>
      </c>
      <c r="B9122">
        <v>341</v>
      </c>
      <c r="C9122" s="1" t="str">
        <f>HYPERLINK("http://www.rosaceae.org/gb/gbrowse/malus_x_domestica/?name=MDP0000871409","MDP0000871409")</f>
        <v>MDP0000871409</v>
      </c>
      <c r="D9122">
        <v>51.81</v>
      </c>
      <c r="E9122">
        <v>303</v>
      </c>
      <c r="F9122">
        <v>146</v>
      </c>
      <c r="G9122">
        <v>49</v>
      </c>
      <c r="H9122">
        <v>48</v>
      </c>
      <c r="I9122">
        <v>341</v>
      </c>
      <c r="J9122">
        <v>1</v>
      </c>
      <c r="K9122">
        <v>16</v>
      </c>
      <c r="L9122">
        <v>278</v>
      </c>
      <c r="M9122">
        <v>1</v>
      </c>
      <c r="N9122">
        <v>3.7353499999999998E-67</v>
      </c>
      <c r="O9122">
        <v>644</v>
      </c>
    </row>
    <row r="9123" spans="1:15" x14ac:dyDescent="0.25">
      <c r="A9123" t="s">
        <v>9136</v>
      </c>
      <c r="B9123">
        <v>655</v>
      </c>
      <c r="C9123" s="1" t="str">
        <f>HYPERLINK("http://www.rosaceae.org/gb/gbrowse/malus_x_domestica/?name=MDP0000148159","MDP0000148159")</f>
        <v>MDP0000148159</v>
      </c>
      <c r="D9123">
        <v>44.02</v>
      </c>
      <c r="E9123">
        <v>611</v>
      </c>
      <c r="F9123">
        <v>342</v>
      </c>
      <c r="G9123">
        <v>46</v>
      </c>
      <c r="H9123">
        <v>4</v>
      </c>
      <c r="I9123">
        <v>612</v>
      </c>
      <c r="J9123">
        <v>1</v>
      </c>
      <c r="K9123">
        <v>27</v>
      </c>
      <c r="L9123">
        <v>593</v>
      </c>
      <c r="M9123">
        <v>1</v>
      </c>
      <c r="N9123">
        <v>4.4394000000000001E-136</v>
      </c>
      <c r="O9123">
        <v>1241</v>
      </c>
    </row>
    <row r="9124" spans="1:15" x14ac:dyDescent="0.25">
      <c r="A9124" t="s">
        <v>9137</v>
      </c>
      <c r="B9124">
        <v>501</v>
      </c>
      <c r="C9124" s="1" t="str">
        <f>HYPERLINK("http://www.rosaceae.org/gb/gbrowse/malus_x_domestica/?name=MDP0000255048","MDP0000255048")</f>
        <v>MDP0000255048</v>
      </c>
      <c r="D9124">
        <v>75.78</v>
      </c>
      <c r="E9124">
        <v>479</v>
      </c>
      <c r="F9124">
        <v>116</v>
      </c>
      <c r="G9124">
        <v>8</v>
      </c>
      <c r="H9124">
        <v>24</v>
      </c>
      <c r="I9124">
        <v>501</v>
      </c>
      <c r="J9124">
        <v>1</v>
      </c>
      <c r="K9124">
        <v>19</v>
      </c>
      <c r="L9124">
        <v>490</v>
      </c>
      <c r="M9124">
        <v>1</v>
      </c>
      <c r="N9124">
        <v>0</v>
      </c>
      <c r="O9124">
        <v>1803</v>
      </c>
    </row>
    <row r="9125" spans="1:15" x14ac:dyDescent="0.25">
      <c r="A9125" t="s">
        <v>9138</v>
      </c>
      <c r="B9125">
        <v>541</v>
      </c>
      <c r="C9125" s="1" t="str">
        <f>HYPERLINK("http://www.rosaceae.org/gb/gbrowse/malus_x_domestica/?name=MDP0000926466","MDP0000926466")</f>
        <v>MDP0000926466</v>
      </c>
      <c r="D9125">
        <v>56.41</v>
      </c>
      <c r="E9125">
        <v>546</v>
      </c>
      <c r="F9125">
        <v>238</v>
      </c>
      <c r="G9125">
        <v>37</v>
      </c>
      <c r="H9125">
        <v>11</v>
      </c>
      <c r="I9125">
        <v>541</v>
      </c>
      <c r="J9125">
        <v>1</v>
      </c>
      <c r="K9125">
        <v>12</v>
      </c>
      <c r="L9125">
        <v>535</v>
      </c>
      <c r="M9125">
        <v>1</v>
      </c>
      <c r="N9125">
        <v>1.5928899999999999E-170</v>
      </c>
      <c r="O9125">
        <v>1537</v>
      </c>
    </row>
    <row r="9126" spans="1:15" x14ac:dyDescent="0.25">
      <c r="A9126" t="s">
        <v>9139</v>
      </c>
      <c r="B9126">
        <v>861</v>
      </c>
      <c r="C9126" s="1" t="str">
        <f>HYPERLINK("http://www.rosaceae.org/gb/gbrowse/malus_x_domestica/?name=MDP0000838058","MDP0000838058")</f>
        <v>MDP0000838058</v>
      </c>
      <c r="D9126">
        <v>86.79</v>
      </c>
      <c r="E9126">
        <v>909</v>
      </c>
      <c r="F9126">
        <v>120</v>
      </c>
      <c r="G9126">
        <v>51</v>
      </c>
      <c r="H9126">
        <v>1</v>
      </c>
      <c r="I9126">
        <v>859</v>
      </c>
      <c r="J9126">
        <v>1</v>
      </c>
      <c r="K9126">
        <v>1</v>
      </c>
      <c r="L9126">
        <v>908</v>
      </c>
      <c r="M9126">
        <v>1</v>
      </c>
      <c r="N9126">
        <v>0</v>
      </c>
      <c r="O9126">
        <v>4219</v>
      </c>
    </row>
    <row r="9127" spans="1:15" x14ac:dyDescent="0.25">
      <c r="A9127" t="s">
        <v>9140</v>
      </c>
      <c r="B9127">
        <v>809</v>
      </c>
      <c r="C9127" s="1" t="str">
        <f>HYPERLINK("http://www.rosaceae.org/gb/gbrowse/malus_x_domestica/?name=MDP0000230961","MDP0000230961")</f>
        <v>MDP0000230961</v>
      </c>
      <c r="D9127">
        <v>75.48</v>
      </c>
      <c r="E9127">
        <v>310</v>
      </c>
      <c r="F9127">
        <v>76</v>
      </c>
      <c r="G9127">
        <v>1</v>
      </c>
      <c r="H9127">
        <v>1</v>
      </c>
      <c r="I9127">
        <v>309</v>
      </c>
      <c r="J9127">
        <v>1</v>
      </c>
      <c r="K9127">
        <v>1</v>
      </c>
      <c r="L9127">
        <v>310</v>
      </c>
      <c r="M9127">
        <v>1</v>
      </c>
      <c r="N9127">
        <v>6.7695300000000002E-136</v>
      </c>
      <c r="O9127">
        <v>1241</v>
      </c>
    </row>
    <row r="9128" spans="1:15" x14ac:dyDescent="0.25">
      <c r="A9128" t="s">
        <v>9141</v>
      </c>
      <c r="B9128">
        <v>292</v>
      </c>
      <c r="C9128" s="1" t="str">
        <f>HYPERLINK("http://www.rosaceae.org/gb/gbrowse/malus_x_domestica/?name=MDP0000463584","MDP0000463584")</f>
        <v>MDP0000463584</v>
      </c>
      <c r="D9128">
        <v>64.72</v>
      </c>
      <c r="E9128">
        <v>275</v>
      </c>
      <c r="F9128">
        <v>97</v>
      </c>
      <c r="G9128">
        <v>4</v>
      </c>
      <c r="H9128">
        <v>7</v>
      </c>
      <c r="I9128">
        <v>281</v>
      </c>
      <c r="J9128">
        <v>1</v>
      </c>
      <c r="K9128">
        <v>9</v>
      </c>
      <c r="L9128">
        <v>279</v>
      </c>
      <c r="M9128">
        <v>1</v>
      </c>
      <c r="N9128">
        <v>7.7285499999999999E-101</v>
      </c>
      <c r="O9128">
        <v>933</v>
      </c>
    </row>
    <row r="9129" spans="1:15" x14ac:dyDescent="0.25">
      <c r="A9129" t="s">
        <v>9142</v>
      </c>
      <c r="B9129">
        <v>332</v>
      </c>
      <c r="C9129" s="1" t="str">
        <f>HYPERLINK("http://www.rosaceae.org/gb/gbrowse/malus_x_domestica/?name=MDP0000740071","MDP0000740071")</f>
        <v>MDP0000740071</v>
      </c>
      <c r="D9129">
        <v>50.39</v>
      </c>
      <c r="E9129">
        <v>127</v>
      </c>
      <c r="F9129">
        <v>63</v>
      </c>
      <c r="G9129">
        <v>9</v>
      </c>
      <c r="H9129">
        <v>2</v>
      </c>
      <c r="I9129">
        <v>120</v>
      </c>
      <c r="J9129">
        <v>1</v>
      </c>
      <c r="K9129">
        <v>475</v>
      </c>
      <c r="L9129">
        <v>600</v>
      </c>
      <c r="M9129">
        <v>1</v>
      </c>
      <c r="N9129">
        <v>1.02213E-29</v>
      </c>
      <c r="O9129">
        <v>321</v>
      </c>
    </row>
    <row r="9130" spans="1:15" x14ac:dyDescent="0.25">
      <c r="A9130" t="s">
        <v>9143</v>
      </c>
      <c r="B9130">
        <v>1042</v>
      </c>
      <c r="C9130" s="1" t="str">
        <f>HYPERLINK("http://www.rosaceae.org/gb/gbrowse/malus_x_domestica/?name=MDP0000309369","MDP0000309369")</f>
        <v>MDP0000309369</v>
      </c>
      <c r="D9130">
        <v>70.989999999999995</v>
      </c>
      <c r="E9130">
        <v>1017</v>
      </c>
      <c r="F9130">
        <v>295</v>
      </c>
      <c r="G9130">
        <v>58</v>
      </c>
      <c r="H9130">
        <v>40</v>
      </c>
      <c r="I9130">
        <v>1042</v>
      </c>
      <c r="J9130">
        <v>1</v>
      </c>
      <c r="K9130">
        <v>510</v>
      </c>
      <c r="L9130">
        <v>1482</v>
      </c>
      <c r="M9130">
        <v>1</v>
      </c>
      <c r="N9130">
        <v>0</v>
      </c>
      <c r="O9130">
        <v>3595</v>
      </c>
    </row>
    <row r="9131" spans="1:15" x14ac:dyDescent="0.25">
      <c r="A9131" t="s">
        <v>9144</v>
      </c>
      <c r="B9131">
        <v>141</v>
      </c>
      <c r="C9131" s="1" t="str">
        <f>HYPERLINK("http://www.rosaceae.org/gb/gbrowse/malus_x_domestica/?name=MDP0000385481","MDP0000385481")</f>
        <v>MDP0000385481</v>
      </c>
      <c r="D9131">
        <v>82.11</v>
      </c>
      <c r="E9131">
        <v>123</v>
      </c>
      <c r="F9131">
        <v>22</v>
      </c>
      <c r="G9131">
        <v>0</v>
      </c>
      <c r="H9131">
        <v>19</v>
      </c>
      <c r="I9131">
        <v>141</v>
      </c>
      <c r="J9131">
        <v>1</v>
      </c>
      <c r="K9131">
        <v>236</v>
      </c>
      <c r="L9131">
        <v>358</v>
      </c>
      <c r="M9131">
        <v>1</v>
      </c>
      <c r="N9131">
        <v>4.7490700000000002E-57</v>
      </c>
      <c r="O9131">
        <v>551</v>
      </c>
    </row>
    <row r="9132" spans="1:15" x14ac:dyDescent="0.25">
      <c r="A9132" t="s">
        <v>9145</v>
      </c>
      <c r="B9132">
        <v>1022</v>
      </c>
      <c r="C9132" s="1" t="str">
        <f>HYPERLINK("http://www.rosaceae.org/gb/gbrowse/malus_x_domestica/?name=MDP0000265231","MDP0000265231")</f>
        <v>MDP0000265231</v>
      </c>
      <c r="D9132">
        <v>66.23</v>
      </c>
      <c r="E9132">
        <v>995</v>
      </c>
      <c r="F9132">
        <v>336</v>
      </c>
      <c r="G9132">
        <v>41</v>
      </c>
      <c r="H9132">
        <v>1</v>
      </c>
      <c r="I9132">
        <v>968</v>
      </c>
      <c r="J9132">
        <v>1</v>
      </c>
      <c r="K9132">
        <v>1</v>
      </c>
      <c r="L9132">
        <v>981</v>
      </c>
      <c r="M9132">
        <v>1</v>
      </c>
      <c r="N9132">
        <v>0</v>
      </c>
      <c r="O9132">
        <v>3281</v>
      </c>
    </row>
    <row r="9133" spans="1:15" x14ac:dyDescent="0.25">
      <c r="A9133" t="s">
        <v>9146</v>
      </c>
      <c r="B9133">
        <v>117</v>
      </c>
      <c r="C9133" s="1" t="str">
        <f>HYPERLINK("http://www.rosaceae.org/gb/gbrowse/malus_x_domestica/?name=MDP0000863026","MDP0000863026")</f>
        <v>MDP0000863026</v>
      </c>
      <c r="D9133">
        <v>68.37</v>
      </c>
      <c r="E9133">
        <v>117</v>
      </c>
      <c r="F9133">
        <v>37</v>
      </c>
      <c r="G9133">
        <v>0</v>
      </c>
      <c r="H9133">
        <v>1</v>
      </c>
      <c r="I9133">
        <v>117</v>
      </c>
      <c r="J9133">
        <v>1</v>
      </c>
      <c r="K9133">
        <v>1</v>
      </c>
      <c r="L9133">
        <v>117</v>
      </c>
      <c r="M9133">
        <v>1</v>
      </c>
      <c r="N9133">
        <v>4.3500999999999997E-37</v>
      </c>
      <c r="O9133">
        <v>377</v>
      </c>
    </row>
    <row r="9134" spans="1:15" x14ac:dyDescent="0.25">
      <c r="A9134" t="s">
        <v>9147</v>
      </c>
      <c r="B9134">
        <v>456</v>
      </c>
      <c r="C9134" s="1" t="str">
        <f>HYPERLINK("http://www.rosaceae.org/gb/gbrowse/malus_x_domestica/?name=MDP0000189960","MDP0000189960")</f>
        <v>MDP0000189960</v>
      </c>
      <c r="D9134">
        <v>62.53</v>
      </c>
      <c r="E9134">
        <v>411</v>
      </c>
      <c r="F9134">
        <v>154</v>
      </c>
      <c r="G9134">
        <v>15</v>
      </c>
      <c r="H9134">
        <v>37</v>
      </c>
      <c r="I9134">
        <v>441</v>
      </c>
      <c r="J9134">
        <v>1</v>
      </c>
      <c r="K9134">
        <v>81</v>
      </c>
      <c r="L9134">
        <v>482</v>
      </c>
      <c r="M9134">
        <v>1</v>
      </c>
      <c r="N9134">
        <v>2.7548299999999998E-111</v>
      </c>
      <c r="O9134">
        <v>1026</v>
      </c>
    </row>
    <row r="9135" spans="1:15" x14ac:dyDescent="0.25">
      <c r="A9135" t="s">
        <v>9148</v>
      </c>
      <c r="B9135">
        <v>1064</v>
      </c>
      <c r="C9135" s="1" t="str">
        <f>HYPERLINK("http://www.rosaceae.org/gb/gbrowse/malus_x_domestica/?name=MDP0000933541","MDP0000933541")</f>
        <v>MDP0000933541</v>
      </c>
      <c r="D9135">
        <v>41.9</v>
      </c>
      <c r="E9135">
        <v>747</v>
      </c>
      <c r="F9135">
        <v>434</v>
      </c>
      <c r="G9135">
        <v>110</v>
      </c>
      <c r="H9135">
        <v>11</v>
      </c>
      <c r="I9135">
        <v>650</v>
      </c>
      <c r="J9135">
        <v>1</v>
      </c>
      <c r="K9135">
        <v>14</v>
      </c>
      <c r="L9135">
        <v>757</v>
      </c>
      <c r="M9135">
        <v>1</v>
      </c>
      <c r="N9135">
        <v>7.9977399999999996E-142</v>
      </c>
      <c r="O9135">
        <v>1293</v>
      </c>
    </row>
    <row r="9136" spans="1:15" x14ac:dyDescent="0.25">
      <c r="A9136" t="s">
        <v>9149</v>
      </c>
      <c r="B9136">
        <v>162</v>
      </c>
      <c r="C9136" s="1" t="str">
        <f>HYPERLINK("http://www.rosaceae.org/gb/gbrowse/malus_x_domestica/?name=MDP0000272867","MDP0000272867")</f>
        <v>MDP0000272867</v>
      </c>
      <c r="D9136">
        <v>31.08</v>
      </c>
      <c r="E9136">
        <v>148</v>
      </c>
      <c r="F9136">
        <v>102</v>
      </c>
      <c r="G9136">
        <v>22</v>
      </c>
      <c r="H9136">
        <v>13</v>
      </c>
      <c r="I9136">
        <v>160</v>
      </c>
      <c r="J9136">
        <v>1</v>
      </c>
      <c r="K9136">
        <v>916</v>
      </c>
      <c r="L9136">
        <v>1041</v>
      </c>
      <c r="M9136">
        <v>1</v>
      </c>
      <c r="N9136">
        <v>2.4882500000000001E-16</v>
      </c>
      <c r="O9136">
        <v>201</v>
      </c>
    </row>
    <row r="9137" spans="1:15" x14ac:dyDescent="0.25">
      <c r="A9137" t="s">
        <v>9150</v>
      </c>
      <c r="B9137">
        <v>695</v>
      </c>
      <c r="C9137" s="1" t="str">
        <f>HYPERLINK("http://www.rosaceae.org/gb/gbrowse/malus_x_domestica/?name=MDP0000675937","MDP0000675937")</f>
        <v>MDP0000675937</v>
      </c>
      <c r="D9137">
        <v>85.74</v>
      </c>
      <c r="E9137">
        <v>512</v>
      </c>
      <c r="F9137">
        <v>73</v>
      </c>
      <c r="G9137">
        <v>0</v>
      </c>
      <c r="H9137">
        <v>177</v>
      </c>
      <c r="I9137">
        <v>688</v>
      </c>
      <c r="J9137">
        <v>1</v>
      </c>
      <c r="K9137">
        <v>10</v>
      </c>
      <c r="L9137">
        <v>521</v>
      </c>
      <c r="M9137">
        <v>1</v>
      </c>
      <c r="N9137">
        <v>0</v>
      </c>
      <c r="O9137">
        <v>2410</v>
      </c>
    </row>
    <row r="9138" spans="1:15" x14ac:dyDescent="0.25">
      <c r="A9138" t="s">
        <v>9151</v>
      </c>
      <c r="B9138">
        <v>114</v>
      </c>
      <c r="C9138" s="1" t="str">
        <f>HYPERLINK("http://www.rosaceae.org/gb/gbrowse/malus_x_domestica/?name=MDP0000473823","MDP0000473823")</f>
        <v>MDP0000473823</v>
      </c>
      <c r="D9138">
        <v>45.45</v>
      </c>
      <c r="E9138">
        <v>121</v>
      </c>
      <c r="F9138">
        <v>66</v>
      </c>
      <c r="G9138">
        <v>11</v>
      </c>
      <c r="H9138">
        <v>3</v>
      </c>
      <c r="I9138">
        <v>114</v>
      </c>
      <c r="J9138">
        <v>1</v>
      </c>
      <c r="K9138">
        <v>1</v>
      </c>
      <c r="L9138">
        <v>119</v>
      </c>
      <c r="M9138">
        <v>1</v>
      </c>
      <c r="N9138">
        <v>1.7334999999999999E-23</v>
      </c>
      <c r="O9138">
        <v>260</v>
      </c>
    </row>
    <row r="9139" spans="1:15" x14ac:dyDescent="0.25">
      <c r="A9139" t="s">
        <v>9152</v>
      </c>
      <c r="B9139">
        <v>192</v>
      </c>
      <c r="C9139" s="1" t="str">
        <f>HYPERLINK("http://www.rosaceae.org/gb/gbrowse/malus_x_domestica/?name=MDP0000291102","MDP0000291102")</f>
        <v>MDP0000291102</v>
      </c>
      <c r="D9139">
        <v>56.19</v>
      </c>
      <c r="E9139">
        <v>210</v>
      </c>
      <c r="F9139">
        <v>92</v>
      </c>
      <c r="G9139">
        <v>20</v>
      </c>
      <c r="H9139">
        <v>1</v>
      </c>
      <c r="I9139">
        <v>191</v>
      </c>
      <c r="J9139">
        <v>1</v>
      </c>
      <c r="K9139">
        <v>146</v>
      </c>
      <c r="L9139">
        <v>354</v>
      </c>
      <c r="M9139">
        <v>1</v>
      </c>
      <c r="N9139">
        <v>3.2235000000000001E-52</v>
      </c>
      <c r="O9139">
        <v>512</v>
      </c>
    </row>
    <row r="9140" spans="1:15" x14ac:dyDescent="0.25">
      <c r="A9140" t="s">
        <v>9153</v>
      </c>
      <c r="B9140">
        <v>232</v>
      </c>
      <c r="C9140" s="1" t="str">
        <f>HYPERLINK("http://www.rosaceae.org/gb/gbrowse/malus_x_domestica/?name=MDP0000174615","MDP0000174615")</f>
        <v>MDP0000174615</v>
      </c>
      <c r="D9140">
        <v>35.76</v>
      </c>
      <c r="E9140">
        <v>137</v>
      </c>
      <c r="F9140">
        <v>88</v>
      </c>
      <c r="G9140">
        <v>9</v>
      </c>
      <c r="H9140">
        <v>2</v>
      </c>
      <c r="I9140">
        <v>133</v>
      </c>
      <c r="J9140">
        <v>1</v>
      </c>
      <c r="K9140">
        <v>504</v>
      </c>
      <c r="L9140">
        <v>636</v>
      </c>
      <c r="M9140">
        <v>1</v>
      </c>
      <c r="N9140">
        <v>3.5331999999999998E-18</v>
      </c>
      <c r="O9140">
        <v>219</v>
      </c>
    </row>
    <row r="9141" spans="1:15" x14ac:dyDescent="0.25">
      <c r="A9141" t="s">
        <v>9154</v>
      </c>
      <c r="B9141">
        <v>152</v>
      </c>
      <c r="C9141" s="1" t="str">
        <f>HYPERLINK("http://www.rosaceae.org/gb/gbrowse/malus_x_domestica/?name=MDP0000244872","MDP0000244872")</f>
        <v>MDP0000244872</v>
      </c>
      <c r="D9141">
        <v>53.62</v>
      </c>
      <c r="E9141">
        <v>138</v>
      </c>
      <c r="F9141">
        <v>64</v>
      </c>
      <c r="G9141">
        <v>48</v>
      </c>
      <c r="H9141">
        <v>63</v>
      </c>
      <c r="I9141">
        <v>152</v>
      </c>
      <c r="J9141">
        <v>1</v>
      </c>
      <c r="K9141">
        <v>235</v>
      </c>
      <c r="L9141">
        <v>372</v>
      </c>
      <c r="M9141">
        <v>1</v>
      </c>
      <c r="N9141">
        <v>2.4183900000000001E-32</v>
      </c>
      <c r="O9141">
        <v>338</v>
      </c>
    </row>
    <row r="9142" spans="1:15" x14ac:dyDescent="0.25">
      <c r="A9142" t="s">
        <v>9155</v>
      </c>
      <c r="B9142">
        <v>671</v>
      </c>
      <c r="C9142" s="1" t="str">
        <f>HYPERLINK("http://www.rosaceae.org/gb/gbrowse/malus_x_domestica/?name=MDP0000223025","MDP0000223025")</f>
        <v>MDP0000223025</v>
      </c>
      <c r="D9142">
        <v>34.15</v>
      </c>
      <c r="E9142">
        <v>486</v>
      </c>
      <c r="F9142">
        <v>320</v>
      </c>
      <c r="G9142">
        <v>42</v>
      </c>
      <c r="H9142">
        <v>22</v>
      </c>
      <c r="I9142">
        <v>490</v>
      </c>
      <c r="J9142">
        <v>1</v>
      </c>
      <c r="K9142">
        <v>3</v>
      </c>
      <c r="L9142">
        <v>463</v>
      </c>
      <c r="M9142">
        <v>1</v>
      </c>
      <c r="N9142">
        <v>2.64574E-64</v>
      </c>
      <c r="O9142">
        <v>622</v>
      </c>
    </row>
    <row r="9143" spans="1:15" x14ac:dyDescent="0.25">
      <c r="A9143" t="s">
        <v>9156</v>
      </c>
      <c r="B9143">
        <v>444</v>
      </c>
      <c r="C9143" s="1" t="str">
        <f>HYPERLINK("http://www.rosaceae.org/gb/gbrowse/malus_x_domestica/?name=MDP0000285057","MDP0000285057")</f>
        <v>MDP0000285057</v>
      </c>
      <c r="D9143">
        <v>65.19</v>
      </c>
      <c r="E9143">
        <v>477</v>
      </c>
      <c r="F9143">
        <v>166</v>
      </c>
      <c r="G9143">
        <v>45</v>
      </c>
      <c r="H9143">
        <v>1</v>
      </c>
      <c r="I9143">
        <v>433</v>
      </c>
      <c r="J9143">
        <v>1</v>
      </c>
      <c r="K9143">
        <v>1</v>
      </c>
      <c r="L9143">
        <v>476</v>
      </c>
      <c r="M9143">
        <v>1</v>
      </c>
      <c r="N9143">
        <v>0</v>
      </c>
      <c r="O9143">
        <v>1638</v>
      </c>
    </row>
    <row r="9144" spans="1:15" x14ac:dyDescent="0.25">
      <c r="A9144" t="s">
        <v>9157</v>
      </c>
      <c r="B9144">
        <v>546</v>
      </c>
      <c r="C9144" s="1" t="str">
        <f>HYPERLINK("http://www.rosaceae.org/gb/gbrowse/malus_x_domestica/?name=MDP0000296691","MDP0000296691")</f>
        <v>MDP0000296691</v>
      </c>
      <c r="D9144">
        <v>28.51</v>
      </c>
      <c r="E9144">
        <v>270</v>
      </c>
      <c r="F9144">
        <v>193</v>
      </c>
      <c r="G9144">
        <v>34</v>
      </c>
      <c r="H9144">
        <v>279</v>
      </c>
      <c r="I9144">
        <v>544</v>
      </c>
      <c r="J9144">
        <v>1</v>
      </c>
      <c r="K9144">
        <v>376</v>
      </c>
      <c r="L9144">
        <v>615</v>
      </c>
      <c r="M9144">
        <v>1</v>
      </c>
      <c r="N9144">
        <v>1.1366300000000001E-21</v>
      </c>
      <c r="O9144">
        <v>254</v>
      </c>
    </row>
    <row r="9145" spans="1:15" x14ac:dyDescent="0.25">
      <c r="A9145" t="s">
        <v>9158</v>
      </c>
      <c r="B9145">
        <v>376</v>
      </c>
      <c r="C9145" s="1" t="str">
        <f>HYPERLINK("http://www.rosaceae.org/gb/gbrowse/malus_x_domestica/?name=MDP0000773891","MDP0000773891")</f>
        <v>MDP0000773891</v>
      </c>
      <c r="D9145">
        <v>78.94</v>
      </c>
      <c r="E9145">
        <v>95</v>
      </c>
      <c r="F9145">
        <v>20</v>
      </c>
      <c r="G9145">
        <v>2</v>
      </c>
      <c r="H9145">
        <v>282</v>
      </c>
      <c r="I9145">
        <v>376</v>
      </c>
      <c r="J9145">
        <v>1</v>
      </c>
      <c r="K9145">
        <v>1</v>
      </c>
      <c r="L9145">
        <v>93</v>
      </c>
      <c r="M9145">
        <v>1</v>
      </c>
      <c r="N9145">
        <v>1.86356E-37</v>
      </c>
      <c r="O9145">
        <v>388</v>
      </c>
    </row>
    <row r="9146" spans="1:15" x14ac:dyDescent="0.25">
      <c r="A9146" t="s">
        <v>9159</v>
      </c>
      <c r="B9146">
        <v>621</v>
      </c>
      <c r="C9146" s="1" t="str">
        <f>HYPERLINK("http://www.rosaceae.org/gb/gbrowse/malus_x_domestica/?name=MDP0000921828","MDP0000921828")</f>
        <v>MDP0000921828</v>
      </c>
      <c r="D9146">
        <v>67.44</v>
      </c>
      <c r="E9146">
        <v>602</v>
      </c>
      <c r="F9146">
        <v>196</v>
      </c>
      <c r="G9146">
        <v>7</v>
      </c>
      <c r="H9146">
        <v>16</v>
      </c>
      <c r="I9146">
        <v>612</v>
      </c>
      <c r="J9146">
        <v>1</v>
      </c>
      <c r="K9146">
        <v>16</v>
      </c>
      <c r="L9146">
        <v>615</v>
      </c>
      <c r="M9146">
        <v>1</v>
      </c>
      <c r="N9146">
        <v>0</v>
      </c>
      <c r="O9146">
        <v>2024</v>
      </c>
    </row>
    <row r="9147" spans="1:15" x14ac:dyDescent="0.25">
      <c r="A9147" t="s">
        <v>9160</v>
      </c>
      <c r="B9147">
        <v>673</v>
      </c>
      <c r="C9147" s="1" t="str">
        <f>HYPERLINK("http://www.rosaceae.org/gb/gbrowse/malus_x_domestica/?name=MDP0000278963","MDP0000278963")</f>
        <v>MDP0000278963</v>
      </c>
      <c r="D9147">
        <v>52.24</v>
      </c>
      <c r="E9147">
        <v>712</v>
      </c>
      <c r="F9147">
        <v>340</v>
      </c>
      <c r="G9147">
        <v>92</v>
      </c>
      <c r="H9147">
        <v>1</v>
      </c>
      <c r="I9147">
        <v>663</v>
      </c>
      <c r="J9147">
        <v>1</v>
      </c>
      <c r="K9147">
        <v>74</v>
      </c>
      <c r="L9147">
        <v>742</v>
      </c>
      <c r="M9147">
        <v>1</v>
      </c>
      <c r="N9147">
        <v>0</v>
      </c>
      <c r="O9147">
        <v>1675</v>
      </c>
    </row>
    <row r="9148" spans="1:15" x14ac:dyDescent="0.25">
      <c r="A9148" t="s">
        <v>9161</v>
      </c>
      <c r="B9148">
        <v>604</v>
      </c>
      <c r="C9148" s="1" t="str">
        <f>HYPERLINK("http://www.rosaceae.org/gb/gbrowse/malus_x_domestica/?name=MDP0000833178","MDP0000833178")</f>
        <v>MDP0000833178</v>
      </c>
      <c r="D9148">
        <v>85.52</v>
      </c>
      <c r="E9148">
        <v>463</v>
      </c>
      <c r="F9148">
        <v>67</v>
      </c>
      <c r="G9148">
        <v>8</v>
      </c>
      <c r="H9148">
        <v>142</v>
      </c>
      <c r="I9148">
        <v>604</v>
      </c>
      <c r="J9148">
        <v>1</v>
      </c>
      <c r="K9148">
        <v>1</v>
      </c>
      <c r="L9148">
        <v>455</v>
      </c>
      <c r="M9148">
        <v>1</v>
      </c>
      <c r="N9148">
        <v>0</v>
      </c>
      <c r="O9148">
        <v>2123</v>
      </c>
    </row>
    <row r="9149" spans="1:15" x14ac:dyDescent="0.25">
      <c r="A9149" t="s">
        <v>9162</v>
      </c>
      <c r="B9149">
        <v>103</v>
      </c>
      <c r="C9149" s="1" t="str">
        <f>HYPERLINK("http://www.rosaceae.org/gb/gbrowse/malus_x_domestica/?name=MDP0000336462","MDP0000336462")</f>
        <v>MDP0000336462</v>
      </c>
      <c r="D9149">
        <v>100</v>
      </c>
      <c r="E9149">
        <v>82</v>
      </c>
      <c r="F9149">
        <v>0</v>
      </c>
      <c r="G9149">
        <v>0</v>
      </c>
      <c r="H9149">
        <v>22</v>
      </c>
      <c r="I9149">
        <v>103</v>
      </c>
      <c r="J9149">
        <v>1</v>
      </c>
      <c r="K9149">
        <v>44</v>
      </c>
      <c r="L9149">
        <v>125</v>
      </c>
      <c r="M9149">
        <v>1</v>
      </c>
      <c r="N9149">
        <v>5.1126299999999996E-41</v>
      </c>
      <c r="O9149">
        <v>411</v>
      </c>
    </row>
    <row r="9150" spans="1:15" x14ac:dyDescent="0.25">
      <c r="A9150" t="s">
        <v>9163</v>
      </c>
      <c r="B9150">
        <v>144</v>
      </c>
      <c r="C9150" s="1" t="str">
        <f>HYPERLINK("http://www.rosaceae.org/gb/gbrowse/malus_x_domestica/?name=MDP0000224357","MDP0000224357")</f>
        <v>MDP0000224357</v>
      </c>
      <c r="D9150">
        <v>84.61</v>
      </c>
      <c r="E9150">
        <v>156</v>
      </c>
      <c r="F9150">
        <v>24</v>
      </c>
      <c r="G9150">
        <v>12</v>
      </c>
      <c r="H9150">
        <v>1</v>
      </c>
      <c r="I9150">
        <v>144</v>
      </c>
      <c r="J9150">
        <v>1</v>
      </c>
      <c r="K9150">
        <v>1</v>
      </c>
      <c r="L9150">
        <v>156</v>
      </c>
      <c r="M9150">
        <v>1</v>
      </c>
      <c r="N9150">
        <v>1.49794E-73</v>
      </c>
      <c r="O9150">
        <v>693</v>
      </c>
    </row>
    <row r="9151" spans="1:15" x14ac:dyDescent="0.25">
      <c r="A9151" t="s">
        <v>9164</v>
      </c>
      <c r="B9151">
        <v>373</v>
      </c>
      <c r="C9151" s="1" t="str">
        <f>HYPERLINK("http://www.rosaceae.org/gb/gbrowse/malus_x_domestica/?name=MDP0000909229","MDP0000909229")</f>
        <v>MDP0000909229</v>
      </c>
      <c r="D9151">
        <v>52.94</v>
      </c>
      <c r="E9151">
        <v>170</v>
      </c>
      <c r="F9151">
        <v>80</v>
      </c>
      <c r="G9151">
        <v>2</v>
      </c>
      <c r="H9151">
        <v>1</v>
      </c>
      <c r="I9151">
        <v>168</v>
      </c>
      <c r="J9151">
        <v>1</v>
      </c>
      <c r="K9151">
        <v>41</v>
      </c>
      <c r="L9151">
        <v>210</v>
      </c>
      <c r="M9151">
        <v>1</v>
      </c>
      <c r="N9151">
        <v>4.88055E-45</v>
      </c>
      <c r="O9151">
        <v>453</v>
      </c>
    </row>
    <row r="9152" spans="1:15" x14ac:dyDescent="0.25">
      <c r="A9152" t="s">
        <v>9165</v>
      </c>
      <c r="B9152">
        <v>3070</v>
      </c>
      <c r="C9152" s="1" t="str">
        <f>HYPERLINK("http://www.rosaceae.org/gb/gbrowse/malus_x_domestica/?name=MDP0000133794","MDP0000133794")</f>
        <v>MDP0000133794</v>
      </c>
      <c r="D9152">
        <v>80.67</v>
      </c>
      <c r="E9152">
        <v>771</v>
      </c>
      <c r="F9152">
        <v>149</v>
      </c>
      <c r="G9152">
        <v>4</v>
      </c>
      <c r="H9152">
        <v>61</v>
      </c>
      <c r="I9152">
        <v>827</v>
      </c>
      <c r="J9152">
        <v>1</v>
      </c>
      <c r="K9152">
        <v>22</v>
      </c>
      <c r="L9152">
        <v>792</v>
      </c>
      <c r="M9152">
        <v>1</v>
      </c>
      <c r="N9152">
        <v>0</v>
      </c>
      <c r="O9152">
        <v>3526</v>
      </c>
    </row>
    <row r="9153" spans="1:15" x14ac:dyDescent="0.25">
      <c r="A9153" t="s">
        <v>9166</v>
      </c>
      <c r="B9153">
        <v>1271</v>
      </c>
      <c r="C9153" s="1" t="str">
        <f>HYPERLINK("http://www.rosaceae.org/gb/gbrowse/malus_x_domestica/?name=MDP0000292611","MDP0000292611")</f>
        <v>MDP0000292611</v>
      </c>
      <c r="D9153">
        <v>76.94</v>
      </c>
      <c r="E9153">
        <v>1232</v>
      </c>
      <c r="F9153">
        <v>284</v>
      </c>
      <c r="G9153">
        <v>6</v>
      </c>
      <c r="H9153">
        <v>44</v>
      </c>
      <c r="I9153">
        <v>1271</v>
      </c>
      <c r="J9153">
        <v>1</v>
      </c>
      <c r="K9153">
        <v>1</v>
      </c>
      <c r="L9153">
        <v>1230</v>
      </c>
      <c r="M9153">
        <v>1</v>
      </c>
      <c r="N9153">
        <v>0</v>
      </c>
      <c r="O9153">
        <v>4982</v>
      </c>
    </row>
    <row r="9154" spans="1:15" x14ac:dyDescent="0.25">
      <c r="A9154" t="s">
        <v>9167</v>
      </c>
      <c r="B9154">
        <v>588</v>
      </c>
      <c r="C9154" s="1" t="str">
        <f>HYPERLINK("http://www.rosaceae.org/gb/gbrowse/malus_x_domestica/?name=MDP0000242707","MDP0000242707")</f>
        <v>MDP0000242707</v>
      </c>
      <c r="D9154">
        <v>65.290000000000006</v>
      </c>
      <c r="E9154">
        <v>559</v>
      </c>
      <c r="F9154">
        <v>194</v>
      </c>
      <c r="G9154">
        <v>24</v>
      </c>
      <c r="H9154">
        <v>1</v>
      </c>
      <c r="I9154">
        <v>545</v>
      </c>
      <c r="J9154">
        <v>1</v>
      </c>
      <c r="K9154">
        <v>1</v>
      </c>
      <c r="L9154">
        <v>549</v>
      </c>
      <c r="M9154">
        <v>1</v>
      </c>
      <c r="N9154">
        <v>0</v>
      </c>
      <c r="O9154">
        <v>1765</v>
      </c>
    </row>
    <row r="9155" spans="1:15" x14ac:dyDescent="0.25">
      <c r="A9155" t="s">
        <v>9168</v>
      </c>
      <c r="B9155">
        <v>183</v>
      </c>
      <c r="C9155" s="1" t="str">
        <f>HYPERLINK("http://www.rosaceae.org/gb/gbrowse/malus_x_domestica/?name=MDP0000202751","MDP0000202751")</f>
        <v>MDP0000202751</v>
      </c>
      <c r="D9155">
        <v>57.06</v>
      </c>
      <c r="E9155">
        <v>184</v>
      </c>
      <c r="F9155">
        <v>79</v>
      </c>
      <c r="G9155">
        <v>2</v>
      </c>
      <c r="H9155">
        <v>1</v>
      </c>
      <c r="I9155">
        <v>183</v>
      </c>
      <c r="J9155">
        <v>1</v>
      </c>
      <c r="K9155">
        <v>1</v>
      </c>
      <c r="L9155">
        <v>183</v>
      </c>
      <c r="M9155">
        <v>1</v>
      </c>
      <c r="N9155">
        <v>2.07057E-47</v>
      </c>
      <c r="O9155">
        <v>470</v>
      </c>
    </row>
    <row r="9156" spans="1:15" x14ac:dyDescent="0.25">
      <c r="A9156" t="s">
        <v>9169</v>
      </c>
      <c r="B9156">
        <v>355</v>
      </c>
      <c r="C9156" s="1" t="str">
        <f>HYPERLINK("http://www.rosaceae.org/gb/gbrowse/malus_x_domestica/?name=MDP0000291322","MDP0000291322")</f>
        <v>MDP0000291322</v>
      </c>
      <c r="D9156">
        <v>50.89</v>
      </c>
      <c r="E9156">
        <v>224</v>
      </c>
      <c r="F9156">
        <v>110</v>
      </c>
      <c r="G9156">
        <v>49</v>
      </c>
      <c r="H9156">
        <v>177</v>
      </c>
      <c r="I9156">
        <v>354</v>
      </c>
      <c r="J9156">
        <v>1</v>
      </c>
      <c r="K9156">
        <v>951</v>
      </c>
      <c r="L9156">
        <v>1171</v>
      </c>
      <c r="M9156">
        <v>1</v>
      </c>
      <c r="N9156">
        <v>1.5486099999999999E-52</v>
      </c>
      <c r="O9156">
        <v>518</v>
      </c>
    </row>
    <row r="9157" spans="1:15" x14ac:dyDescent="0.25">
      <c r="A9157" t="s">
        <v>9170</v>
      </c>
      <c r="B9157">
        <v>462</v>
      </c>
      <c r="C9157" s="1" t="str">
        <f>HYPERLINK("http://www.rosaceae.org/gb/gbrowse/malus_x_domestica/?name=MDP0000881763","MDP0000881763")</f>
        <v>MDP0000881763</v>
      </c>
      <c r="D9157">
        <v>74.709999999999994</v>
      </c>
      <c r="E9157">
        <v>439</v>
      </c>
      <c r="F9157">
        <v>111</v>
      </c>
      <c r="G9157">
        <v>3</v>
      </c>
      <c r="H9157">
        <v>18</v>
      </c>
      <c r="I9157">
        <v>454</v>
      </c>
      <c r="J9157">
        <v>1</v>
      </c>
      <c r="K9157">
        <v>31</v>
      </c>
      <c r="L9157">
        <v>468</v>
      </c>
      <c r="M9157">
        <v>1</v>
      </c>
      <c r="N9157">
        <v>0</v>
      </c>
      <c r="O9157">
        <v>1747</v>
      </c>
    </row>
    <row r="9158" spans="1:15" x14ac:dyDescent="0.25">
      <c r="A9158" t="s">
        <v>9171</v>
      </c>
      <c r="B9158">
        <v>354</v>
      </c>
      <c r="C9158" s="1" t="str">
        <f>HYPERLINK("http://www.rosaceae.org/gb/gbrowse/malus_x_domestica/?name=MDP0000218652","MDP0000218652")</f>
        <v>MDP0000218652</v>
      </c>
      <c r="D9158">
        <v>48.18</v>
      </c>
      <c r="E9158">
        <v>330</v>
      </c>
      <c r="F9158">
        <v>171</v>
      </c>
      <c r="G9158">
        <v>25</v>
      </c>
      <c r="H9158">
        <v>3</v>
      </c>
      <c r="I9158">
        <v>331</v>
      </c>
      <c r="J9158">
        <v>1</v>
      </c>
      <c r="K9158">
        <v>10</v>
      </c>
      <c r="L9158">
        <v>315</v>
      </c>
      <c r="M9158">
        <v>1</v>
      </c>
      <c r="N9158">
        <v>2.11528E-85</v>
      </c>
      <c r="O9158">
        <v>801</v>
      </c>
    </row>
    <row r="9159" spans="1:15" x14ac:dyDescent="0.25">
      <c r="A9159" t="s">
        <v>9172</v>
      </c>
      <c r="B9159">
        <v>327</v>
      </c>
      <c r="C9159" s="1" t="str">
        <f>HYPERLINK("http://www.rosaceae.org/gb/gbrowse/malus_x_domestica/?name=MDP0000308131","MDP0000308131")</f>
        <v>MDP0000308131</v>
      </c>
      <c r="D9159">
        <v>72.900000000000006</v>
      </c>
      <c r="E9159">
        <v>251</v>
      </c>
      <c r="F9159">
        <v>68</v>
      </c>
      <c r="G9159">
        <v>5</v>
      </c>
      <c r="H9159">
        <v>1</v>
      </c>
      <c r="I9159">
        <v>251</v>
      </c>
      <c r="J9159">
        <v>1</v>
      </c>
      <c r="K9159">
        <v>36</v>
      </c>
      <c r="L9159">
        <v>281</v>
      </c>
      <c r="M9159">
        <v>1</v>
      </c>
      <c r="N9159">
        <v>1.08437E-94</v>
      </c>
      <c r="O9159">
        <v>881</v>
      </c>
    </row>
    <row r="9160" spans="1:15" x14ac:dyDescent="0.25">
      <c r="A9160" t="s">
        <v>9173</v>
      </c>
      <c r="B9160">
        <v>434</v>
      </c>
      <c r="C9160" s="1" t="str">
        <f>HYPERLINK("http://www.rosaceae.org/gb/gbrowse/malus_x_domestica/?name=MDP0000260476","MDP0000260476")</f>
        <v>MDP0000260476</v>
      </c>
      <c r="D9160">
        <v>68.319999999999993</v>
      </c>
      <c r="E9160">
        <v>221</v>
      </c>
      <c r="F9160">
        <v>70</v>
      </c>
      <c r="G9160">
        <v>40</v>
      </c>
      <c r="H9160">
        <v>221</v>
      </c>
      <c r="I9160">
        <v>420</v>
      </c>
      <c r="J9160">
        <v>1</v>
      </c>
      <c r="K9160">
        <v>483</v>
      </c>
      <c r="L9160">
        <v>684</v>
      </c>
      <c r="M9160">
        <v>1</v>
      </c>
      <c r="N9160">
        <v>2.2198999999999999E-79</v>
      </c>
      <c r="O9160">
        <v>750</v>
      </c>
    </row>
    <row r="9161" spans="1:15" x14ac:dyDescent="0.25">
      <c r="A9161" t="s">
        <v>9174</v>
      </c>
      <c r="B9161">
        <v>597</v>
      </c>
      <c r="C9161" s="1" t="str">
        <f>HYPERLINK("http://www.rosaceae.org/gb/gbrowse/malus_x_domestica/?name=MDP0000218729","MDP0000218729")</f>
        <v>MDP0000218729</v>
      </c>
      <c r="D9161">
        <v>32.93</v>
      </c>
      <c r="E9161">
        <v>498</v>
      </c>
      <c r="F9161">
        <v>334</v>
      </c>
      <c r="G9161">
        <v>86</v>
      </c>
      <c r="H9161">
        <v>82</v>
      </c>
      <c r="I9161">
        <v>513</v>
      </c>
      <c r="J9161">
        <v>1</v>
      </c>
      <c r="K9161">
        <v>178</v>
      </c>
      <c r="L9161">
        <v>655</v>
      </c>
      <c r="M9161">
        <v>1</v>
      </c>
      <c r="N9161">
        <v>9.2376100000000002E-61</v>
      </c>
      <c r="O9161">
        <v>591</v>
      </c>
    </row>
    <row r="9162" spans="1:15" x14ac:dyDescent="0.25">
      <c r="A9162" t="s">
        <v>9175</v>
      </c>
      <c r="B9162">
        <v>193</v>
      </c>
      <c r="C9162" s="1" t="str">
        <f>HYPERLINK("http://www.rosaceae.org/gb/gbrowse/malus_x_domestica/?name=MDP0000172664","MDP0000172664")</f>
        <v>MDP0000172664</v>
      </c>
      <c r="D9162">
        <v>79.010000000000005</v>
      </c>
      <c r="E9162">
        <v>162</v>
      </c>
      <c r="F9162">
        <v>34</v>
      </c>
      <c r="G9162">
        <v>2</v>
      </c>
      <c r="H9162">
        <v>32</v>
      </c>
      <c r="I9162">
        <v>193</v>
      </c>
      <c r="J9162">
        <v>1</v>
      </c>
      <c r="K9162">
        <v>31</v>
      </c>
      <c r="L9162">
        <v>190</v>
      </c>
      <c r="M9162">
        <v>1</v>
      </c>
      <c r="N9162">
        <v>2.03111E-70</v>
      </c>
      <c r="O9162">
        <v>669</v>
      </c>
    </row>
    <row r="9163" spans="1:15" x14ac:dyDescent="0.25">
      <c r="A9163" t="s">
        <v>9176</v>
      </c>
      <c r="B9163">
        <v>220</v>
      </c>
      <c r="C9163" s="1" t="str">
        <f>HYPERLINK("http://www.rosaceae.org/gb/gbrowse/malus_x_domestica/?name=MDP0000670228","MDP0000670228")</f>
        <v>MDP0000670228</v>
      </c>
      <c r="D9163">
        <v>32.700000000000003</v>
      </c>
      <c r="E9163">
        <v>211</v>
      </c>
      <c r="F9163">
        <v>142</v>
      </c>
      <c r="G9163">
        <v>51</v>
      </c>
      <c r="H9163">
        <v>28</v>
      </c>
      <c r="I9163">
        <v>213</v>
      </c>
      <c r="J9163">
        <v>1</v>
      </c>
      <c r="K9163">
        <v>122</v>
      </c>
      <c r="L9163">
        <v>306</v>
      </c>
      <c r="M9163">
        <v>1</v>
      </c>
      <c r="N9163">
        <v>8.5568499999999993E-18</v>
      </c>
      <c r="O9163">
        <v>216</v>
      </c>
    </row>
    <row r="9164" spans="1:15" x14ac:dyDescent="0.25">
      <c r="A9164" t="s">
        <v>9177</v>
      </c>
      <c r="B9164">
        <v>398</v>
      </c>
      <c r="C9164" s="1" t="str">
        <f>HYPERLINK("http://www.rosaceae.org/gb/gbrowse/malus_x_domestica/?name=MDP0000237124","MDP0000237124")</f>
        <v>MDP0000237124</v>
      </c>
      <c r="D9164">
        <v>88.16</v>
      </c>
      <c r="E9164">
        <v>397</v>
      </c>
      <c r="F9164">
        <v>47</v>
      </c>
      <c r="G9164">
        <v>1</v>
      </c>
      <c r="H9164">
        <v>1</v>
      </c>
      <c r="I9164">
        <v>397</v>
      </c>
      <c r="J9164">
        <v>1</v>
      </c>
      <c r="K9164">
        <v>1</v>
      </c>
      <c r="L9164">
        <v>396</v>
      </c>
      <c r="M9164">
        <v>1</v>
      </c>
      <c r="N9164">
        <v>0</v>
      </c>
      <c r="O9164">
        <v>1866</v>
      </c>
    </row>
    <row r="9165" spans="1:15" x14ac:dyDescent="0.25">
      <c r="A9165" t="s">
        <v>9178</v>
      </c>
      <c r="B9165">
        <v>206</v>
      </c>
      <c r="C9165" s="1" t="str">
        <f>HYPERLINK("http://www.rosaceae.org/gb/gbrowse/malus_x_domestica/?name=MDP0000514411","MDP0000514411")</f>
        <v>MDP0000514411</v>
      </c>
      <c r="D9165">
        <v>83.67</v>
      </c>
      <c r="E9165">
        <v>49</v>
      </c>
      <c r="F9165">
        <v>8</v>
      </c>
      <c r="G9165">
        <v>0</v>
      </c>
      <c r="H9165">
        <v>131</v>
      </c>
      <c r="I9165">
        <v>179</v>
      </c>
      <c r="J9165">
        <v>1</v>
      </c>
      <c r="K9165">
        <v>1</v>
      </c>
      <c r="L9165">
        <v>49</v>
      </c>
      <c r="M9165">
        <v>1</v>
      </c>
      <c r="N9165">
        <v>2.5783200000000001E-19</v>
      </c>
      <c r="O9165">
        <v>228</v>
      </c>
    </row>
    <row r="9166" spans="1:15" x14ac:dyDescent="0.25">
      <c r="A9166" t="s">
        <v>9179</v>
      </c>
      <c r="B9166">
        <v>318</v>
      </c>
      <c r="C9166" s="1" t="str">
        <f>HYPERLINK("http://www.rosaceae.org/gb/gbrowse/malus_x_domestica/?name=MDP0000301451","MDP0000301451")</f>
        <v>MDP0000301451</v>
      </c>
      <c r="D9166">
        <v>60.94</v>
      </c>
      <c r="E9166">
        <v>297</v>
      </c>
      <c r="F9166">
        <v>116</v>
      </c>
      <c r="G9166">
        <v>14</v>
      </c>
      <c r="H9166">
        <v>23</v>
      </c>
      <c r="I9166">
        <v>310</v>
      </c>
      <c r="J9166">
        <v>1</v>
      </c>
      <c r="K9166">
        <v>26</v>
      </c>
      <c r="L9166">
        <v>317</v>
      </c>
      <c r="M9166">
        <v>1</v>
      </c>
      <c r="N9166">
        <v>2.7854300000000002E-94</v>
      </c>
      <c r="O9166">
        <v>877</v>
      </c>
    </row>
    <row r="9167" spans="1:15" x14ac:dyDescent="0.25">
      <c r="A9167" t="s">
        <v>9180</v>
      </c>
      <c r="B9167">
        <v>393</v>
      </c>
      <c r="C9167" s="1" t="str">
        <f>HYPERLINK("http://www.rosaceae.org/gb/gbrowse/malus_x_domestica/?name=MDP0000244771","MDP0000244771")</f>
        <v>MDP0000244771</v>
      </c>
      <c r="D9167">
        <v>91.09</v>
      </c>
      <c r="E9167">
        <v>393</v>
      </c>
      <c r="F9167">
        <v>35</v>
      </c>
      <c r="G9167">
        <v>1</v>
      </c>
      <c r="H9167">
        <v>2</v>
      </c>
      <c r="I9167">
        <v>393</v>
      </c>
      <c r="J9167">
        <v>1</v>
      </c>
      <c r="K9167">
        <v>371</v>
      </c>
      <c r="L9167">
        <v>763</v>
      </c>
      <c r="M9167">
        <v>1</v>
      </c>
      <c r="N9167">
        <v>0</v>
      </c>
      <c r="O9167">
        <v>1879</v>
      </c>
    </row>
    <row r="9168" spans="1:15" x14ac:dyDescent="0.25">
      <c r="A9168" t="s">
        <v>9181</v>
      </c>
      <c r="B9168">
        <v>495</v>
      </c>
      <c r="C9168" s="1" t="str">
        <f>HYPERLINK("http://www.rosaceae.org/gb/gbrowse/malus_x_domestica/?name=MDP0000272096","MDP0000272096")</f>
        <v>MDP0000272096</v>
      </c>
      <c r="D9168">
        <v>82.16</v>
      </c>
      <c r="E9168">
        <v>415</v>
      </c>
      <c r="F9168">
        <v>74</v>
      </c>
      <c r="G9168">
        <v>0</v>
      </c>
      <c r="H9168">
        <v>1</v>
      </c>
      <c r="I9168">
        <v>415</v>
      </c>
      <c r="J9168">
        <v>1</v>
      </c>
      <c r="K9168">
        <v>1</v>
      </c>
      <c r="L9168">
        <v>415</v>
      </c>
      <c r="M9168">
        <v>1</v>
      </c>
      <c r="N9168">
        <v>0</v>
      </c>
      <c r="O9168">
        <v>1901</v>
      </c>
    </row>
    <row r="9169" spans="1:15" x14ac:dyDescent="0.25">
      <c r="A9169" t="s">
        <v>9182</v>
      </c>
      <c r="B9169">
        <v>182</v>
      </c>
      <c r="C9169" s="1" t="str">
        <f>HYPERLINK("http://www.rosaceae.org/gb/gbrowse/malus_x_domestica/?name=MDP0000274606","MDP0000274606")</f>
        <v>MDP0000274606</v>
      </c>
      <c r="D9169">
        <v>54.02</v>
      </c>
      <c r="E9169">
        <v>174</v>
      </c>
      <c r="F9169">
        <v>80</v>
      </c>
      <c r="G9169">
        <v>9</v>
      </c>
      <c r="H9169">
        <v>1</v>
      </c>
      <c r="I9169">
        <v>168</v>
      </c>
      <c r="J9169">
        <v>1</v>
      </c>
      <c r="K9169">
        <v>1</v>
      </c>
      <c r="L9169">
        <v>171</v>
      </c>
      <c r="M9169">
        <v>1</v>
      </c>
      <c r="N9169">
        <v>2.4844900000000002E-40</v>
      </c>
      <c r="O9169">
        <v>409</v>
      </c>
    </row>
    <row r="9170" spans="1:15" x14ac:dyDescent="0.25">
      <c r="A9170" t="s">
        <v>9183</v>
      </c>
      <c r="B9170">
        <v>196</v>
      </c>
      <c r="C9170" s="1" t="str">
        <f>HYPERLINK("http://www.rosaceae.org/gb/gbrowse/malus_x_domestica/?name=MDP0000247004","MDP0000247004")</f>
        <v>MDP0000247004</v>
      </c>
      <c r="D9170">
        <v>67.849999999999994</v>
      </c>
      <c r="E9170">
        <v>196</v>
      </c>
      <c r="F9170">
        <v>63</v>
      </c>
      <c r="G9170">
        <v>21</v>
      </c>
      <c r="H9170">
        <v>7</v>
      </c>
      <c r="I9170">
        <v>181</v>
      </c>
      <c r="J9170">
        <v>1</v>
      </c>
      <c r="K9170">
        <v>80</v>
      </c>
      <c r="L9170">
        <v>275</v>
      </c>
      <c r="M9170">
        <v>1</v>
      </c>
      <c r="N9170">
        <v>2.2206300000000002E-71</v>
      </c>
      <c r="O9170">
        <v>677</v>
      </c>
    </row>
    <row r="9171" spans="1:15" x14ac:dyDescent="0.25">
      <c r="A9171" t="s">
        <v>9184</v>
      </c>
      <c r="B9171">
        <v>523</v>
      </c>
      <c r="C9171" s="1" t="str">
        <f>HYPERLINK("http://www.rosaceae.org/gb/gbrowse/malus_x_domestica/?name=MDP0000301845","MDP0000301845")</f>
        <v>MDP0000301845</v>
      </c>
      <c r="D9171">
        <v>72.069999999999993</v>
      </c>
      <c r="E9171">
        <v>512</v>
      </c>
      <c r="F9171">
        <v>143</v>
      </c>
      <c r="G9171">
        <v>10</v>
      </c>
      <c r="H9171">
        <v>1</v>
      </c>
      <c r="I9171">
        <v>508</v>
      </c>
      <c r="J9171">
        <v>1</v>
      </c>
      <c r="K9171">
        <v>1</v>
      </c>
      <c r="L9171">
        <v>506</v>
      </c>
      <c r="M9171">
        <v>1</v>
      </c>
      <c r="N9171">
        <v>0</v>
      </c>
      <c r="O9171">
        <v>1922</v>
      </c>
    </row>
    <row r="9172" spans="1:15" x14ac:dyDescent="0.25">
      <c r="A9172" t="s">
        <v>9185</v>
      </c>
      <c r="B9172">
        <v>170</v>
      </c>
      <c r="C9172" s="1" t="str">
        <f>HYPERLINK("http://www.rosaceae.org/gb/gbrowse/malus_x_domestica/?name=MDP0000276609","MDP0000276609")</f>
        <v>MDP0000276609</v>
      </c>
      <c r="D9172">
        <v>35.22</v>
      </c>
      <c r="E9172">
        <v>88</v>
      </c>
      <c r="F9172">
        <v>57</v>
      </c>
      <c r="G9172">
        <v>1</v>
      </c>
      <c r="H9172">
        <v>84</v>
      </c>
      <c r="I9172">
        <v>170</v>
      </c>
      <c r="J9172">
        <v>1</v>
      </c>
      <c r="K9172">
        <v>290</v>
      </c>
      <c r="L9172">
        <v>377</v>
      </c>
      <c r="M9172">
        <v>1</v>
      </c>
      <c r="N9172">
        <v>1.02482E-10</v>
      </c>
      <c r="O9172">
        <v>153</v>
      </c>
    </row>
    <row r="9173" spans="1:15" x14ac:dyDescent="0.25">
      <c r="A9173" t="s">
        <v>9186</v>
      </c>
      <c r="B9173">
        <v>91</v>
      </c>
      <c r="C9173" s="1" t="str">
        <f>HYPERLINK("http://www.rosaceae.org/gb/gbrowse/malus_x_domestica/?name=MDP0000630739","MDP0000630739")</f>
        <v>MDP0000630739</v>
      </c>
      <c r="D9173">
        <v>55.73</v>
      </c>
      <c r="E9173">
        <v>122</v>
      </c>
      <c r="F9173">
        <v>54</v>
      </c>
      <c r="G9173">
        <v>31</v>
      </c>
      <c r="H9173">
        <v>1</v>
      </c>
      <c r="I9173">
        <v>91</v>
      </c>
      <c r="J9173">
        <v>1</v>
      </c>
      <c r="K9173">
        <v>667</v>
      </c>
      <c r="L9173">
        <v>788</v>
      </c>
      <c r="M9173">
        <v>1</v>
      </c>
      <c r="N9173">
        <v>1.53409E-31</v>
      </c>
      <c r="O9173">
        <v>329</v>
      </c>
    </row>
    <row r="9174" spans="1:15" x14ac:dyDescent="0.25">
      <c r="A9174" t="s">
        <v>9187</v>
      </c>
      <c r="B9174">
        <v>758</v>
      </c>
      <c r="C9174" s="1" t="str">
        <f>HYPERLINK("http://www.rosaceae.org/gb/gbrowse/malus_x_domestica/?name=MDP0000310854","MDP0000310854")</f>
        <v>MDP0000310854</v>
      </c>
      <c r="D9174">
        <v>47.17</v>
      </c>
      <c r="E9174">
        <v>744</v>
      </c>
      <c r="F9174">
        <v>393</v>
      </c>
      <c r="G9174">
        <v>49</v>
      </c>
      <c r="H9174">
        <v>27</v>
      </c>
      <c r="I9174">
        <v>727</v>
      </c>
      <c r="J9174">
        <v>1</v>
      </c>
      <c r="K9174">
        <v>22</v>
      </c>
      <c r="L9174">
        <v>759</v>
      </c>
      <c r="M9174">
        <v>1</v>
      </c>
      <c r="N9174">
        <v>1.5335900000000001E-179</v>
      </c>
      <c r="O9174">
        <v>1617</v>
      </c>
    </row>
    <row r="9175" spans="1:15" x14ac:dyDescent="0.25">
      <c r="A9175" t="s">
        <v>9188</v>
      </c>
      <c r="B9175">
        <v>120</v>
      </c>
      <c r="C9175" s="1" t="str">
        <f>HYPERLINK("http://www.rosaceae.org/gb/gbrowse/malus_x_domestica/?name=MDP0000164201","MDP0000164201")</f>
        <v>MDP0000164201</v>
      </c>
      <c r="D9175">
        <v>66.66</v>
      </c>
      <c r="E9175">
        <v>72</v>
      </c>
      <c r="F9175">
        <v>24</v>
      </c>
      <c r="G9175">
        <v>1</v>
      </c>
      <c r="H9175">
        <v>7</v>
      </c>
      <c r="I9175">
        <v>78</v>
      </c>
      <c r="J9175">
        <v>1</v>
      </c>
      <c r="K9175">
        <v>58</v>
      </c>
      <c r="L9175">
        <v>128</v>
      </c>
      <c r="M9175">
        <v>1</v>
      </c>
      <c r="N9175">
        <v>5.0226200000000002E-23</v>
      </c>
      <c r="O9175">
        <v>256</v>
      </c>
    </row>
    <row r="9176" spans="1:15" x14ac:dyDescent="0.25">
      <c r="A9176" t="s">
        <v>9189</v>
      </c>
      <c r="B9176">
        <v>694</v>
      </c>
      <c r="C9176" s="1" t="str">
        <f>HYPERLINK("http://www.rosaceae.org/gb/gbrowse/malus_x_domestica/?name=MDP0000142599","MDP0000142599")</f>
        <v>MDP0000142599</v>
      </c>
      <c r="D9176">
        <v>68</v>
      </c>
      <c r="E9176">
        <v>647</v>
      </c>
      <c r="F9176">
        <v>207</v>
      </c>
      <c r="G9176">
        <v>2</v>
      </c>
      <c r="H9176">
        <v>1</v>
      </c>
      <c r="I9176">
        <v>646</v>
      </c>
      <c r="J9176">
        <v>1</v>
      </c>
      <c r="K9176">
        <v>1</v>
      </c>
      <c r="L9176">
        <v>646</v>
      </c>
      <c r="M9176">
        <v>1</v>
      </c>
      <c r="N9176">
        <v>0</v>
      </c>
      <c r="O9176">
        <v>2219</v>
      </c>
    </row>
    <row r="9177" spans="1:15" x14ac:dyDescent="0.25">
      <c r="A9177" t="s">
        <v>9190</v>
      </c>
      <c r="B9177">
        <v>267</v>
      </c>
      <c r="C9177" s="1" t="str">
        <f>HYPERLINK("http://www.rosaceae.org/gb/gbrowse/malus_x_domestica/?name=MDP0000293051","MDP0000293051")</f>
        <v>MDP0000293051</v>
      </c>
      <c r="D9177">
        <v>89.72</v>
      </c>
      <c r="E9177">
        <v>253</v>
      </c>
      <c r="F9177">
        <v>26</v>
      </c>
      <c r="G9177">
        <v>2</v>
      </c>
      <c r="H9177">
        <v>15</v>
      </c>
      <c r="I9177">
        <v>267</v>
      </c>
      <c r="J9177">
        <v>1</v>
      </c>
      <c r="K9177">
        <v>15</v>
      </c>
      <c r="L9177">
        <v>265</v>
      </c>
      <c r="M9177">
        <v>1</v>
      </c>
      <c r="N9177">
        <v>6.3838700000000002E-132</v>
      </c>
      <c r="O9177">
        <v>1201</v>
      </c>
    </row>
    <row r="9178" spans="1:15" x14ac:dyDescent="0.25">
      <c r="A9178" t="s">
        <v>9191</v>
      </c>
      <c r="B9178">
        <v>725</v>
      </c>
      <c r="C9178" s="1" t="str">
        <f>HYPERLINK("http://www.rosaceae.org/gb/gbrowse/malus_x_domestica/?name=MDP0000294303","MDP0000294303")</f>
        <v>MDP0000294303</v>
      </c>
      <c r="D9178">
        <v>40.4</v>
      </c>
      <c r="E9178">
        <v>99</v>
      </c>
      <c r="F9178">
        <v>59</v>
      </c>
      <c r="G9178">
        <v>25</v>
      </c>
      <c r="H9178">
        <v>343</v>
      </c>
      <c r="I9178">
        <v>417</v>
      </c>
      <c r="J9178">
        <v>1</v>
      </c>
      <c r="K9178">
        <v>167</v>
      </c>
      <c r="L9178">
        <v>264</v>
      </c>
      <c r="M9178">
        <v>1</v>
      </c>
      <c r="N9178">
        <v>3.66737E-13</v>
      </c>
      <c r="O9178">
        <v>182</v>
      </c>
    </row>
    <row r="9179" spans="1:15" x14ac:dyDescent="0.25">
      <c r="A9179" t="s">
        <v>9192</v>
      </c>
      <c r="B9179">
        <v>331</v>
      </c>
      <c r="C9179" s="1" t="str">
        <f>HYPERLINK("http://www.rosaceae.org/gb/gbrowse/malus_x_domestica/?name=MDP0000857608","MDP0000857608")</f>
        <v>MDP0000857608</v>
      </c>
      <c r="D9179">
        <v>64.239999999999995</v>
      </c>
      <c r="E9179">
        <v>330</v>
      </c>
      <c r="F9179">
        <v>118</v>
      </c>
      <c r="G9179">
        <v>7</v>
      </c>
      <c r="H9179">
        <v>1</v>
      </c>
      <c r="I9179">
        <v>324</v>
      </c>
      <c r="J9179">
        <v>1</v>
      </c>
      <c r="K9179">
        <v>1</v>
      </c>
      <c r="L9179">
        <v>329</v>
      </c>
      <c r="M9179">
        <v>1</v>
      </c>
      <c r="N9179">
        <v>4.5200300000000004E-124</v>
      </c>
      <c r="O9179">
        <v>1134</v>
      </c>
    </row>
    <row r="9180" spans="1:15" x14ac:dyDescent="0.25">
      <c r="A9180" t="s">
        <v>9193</v>
      </c>
      <c r="B9180">
        <v>540</v>
      </c>
      <c r="C9180" s="1" t="str">
        <f>HYPERLINK("http://www.rosaceae.org/gb/gbrowse/malus_x_domestica/?name=MDP0000869140","MDP0000869140")</f>
        <v>MDP0000869140</v>
      </c>
      <c r="D9180">
        <v>39.659999999999997</v>
      </c>
      <c r="E9180">
        <v>179</v>
      </c>
      <c r="F9180">
        <v>108</v>
      </c>
      <c r="G9180">
        <v>14</v>
      </c>
      <c r="H9180">
        <v>1</v>
      </c>
      <c r="I9180">
        <v>165</v>
      </c>
      <c r="J9180">
        <v>1</v>
      </c>
      <c r="K9180">
        <v>1</v>
      </c>
      <c r="L9180">
        <v>179</v>
      </c>
      <c r="M9180">
        <v>1</v>
      </c>
      <c r="N9180">
        <v>6.8423599999999995E-27</v>
      </c>
      <c r="O9180">
        <v>299</v>
      </c>
    </row>
    <row r="9181" spans="1:15" x14ac:dyDescent="0.25">
      <c r="A9181" t="s">
        <v>9194</v>
      </c>
      <c r="B9181">
        <v>350</v>
      </c>
      <c r="C9181" s="1" t="str">
        <f>HYPERLINK("http://www.rosaceae.org/gb/gbrowse/malus_x_domestica/?name=MDP0000232427","MDP0000232427")</f>
        <v>MDP0000232427</v>
      </c>
      <c r="D9181">
        <v>59.39</v>
      </c>
      <c r="E9181">
        <v>330</v>
      </c>
      <c r="F9181">
        <v>134</v>
      </c>
      <c r="G9181">
        <v>59</v>
      </c>
      <c r="H9181">
        <v>75</v>
      </c>
      <c r="I9181">
        <v>347</v>
      </c>
      <c r="J9181">
        <v>1</v>
      </c>
      <c r="K9181">
        <v>1</v>
      </c>
      <c r="L9181">
        <v>328</v>
      </c>
      <c r="M9181">
        <v>1</v>
      </c>
      <c r="N9181">
        <v>2.19446E-102</v>
      </c>
      <c r="O9181">
        <v>948</v>
      </c>
    </row>
    <row r="9182" spans="1:15" x14ac:dyDescent="0.25">
      <c r="A9182" t="s">
        <v>9195</v>
      </c>
      <c r="B9182">
        <v>1165</v>
      </c>
      <c r="C9182" s="1" t="str">
        <f>HYPERLINK("http://www.rosaceae.org/gb/gbrowse/malus_x_domestica/?name=MDP0000321952","MDP0000321952")</f>
        <v>MDP0000321952</v>
      </c>
      <c r="D9182">
        <v>63.85</v>
      </c>
      <c r="E9182">
        <v>855</v>
      </c>
      <c r="F9182">
        <v>309</v>
      </c>
      <c r="G9182">
        <v>18</v>
      </c>
      <c r="H9182">
        <v>313</v>
      </c>
      <c r="I9182">
        <v>1165</v>
      </c>
      <c r="J9182">
        <v>1</v>
      </c>
      <c r="K9182">
        <v>629</v>
      </c>
      <c r="L9182">
        <v>1467</v>
      </c>
      <c r="M9182">
        <v>1</v>
      </c>
      <c r="N9182">
        <v>0</v>
      </c>
      <c r="O9182">
        <v>2682</v>
      </c>
    </row>
    <row r="9183" spans="1:15" x14ac:dyDescent="0.25">
      <c r="A9183" t="s">
        <v>9196</v>
      </c>
      <c r="B9183">
        <v>1107</v>
      </c>
      <c r="C9183" s="1" t="str">
        <f>HYPERLINK("http://www.rosaceae.org/gb/gbrowse/malus_x_domestica/?name=MDP0000170246","MDP0000170246")</f>
        <v>MDP0000170246</v>
      </c>
      <c r="D9183">
        <v>51.57</v>
      </c>
      <c r="E9183">
        <v>1080</v>
      </c>
      <c r="F9183">
        <v>523</v>
      </c>
      <c r="G9183">
        <v>128</v>
      </c>
      <c r="H9183">
        <v>100</v>
      </c>
      <c r="I9183">
        <v>1100</v>
      </c>
      <c r="J9183">
        <v>1</v>
      </c>
      <c r="K9183">
        <v>150</v>
      </c>
      <c r="L9183">
        <v>1180</v>
      </c>
      <c r="M9183">
        <v>1</v>
      </c>
      <c r="N9183">
        <v>0</v>
      </c>
      <c r="O9183">
        <v>2316</v>
      </c>
    </row>
    <row r="9184" spans="1:15" x14ac:dyDescent="0.25">
      <c r="A9184" t="s">
        <v>9197</v>
      </c>
      <c r="B9184">
        <v>630</v>
      </c>
      <c r="C9184" s="1" t="str">
        <f>HYPERLINK("http://www.rosaceae.org/gb/gbrowse/malus_x_domestica/?name=MDP0000235823","MDP0000235823")</f>
        <v>MDP0000235823</v>
      </c>
      <c r="D9184">
        <v>75.98</v>
      </c>
      <c r="E9184">
        <v>633</v>
      </c>
      <c r="F9184">
        <v>152</v>
      </c>
      <c r="G9184">
        <v>3</v>
      </c>
      <c r="H9184">
        <v>1</v>
      </c>
      <c r="I9184">
        <v>630</v>
      </c>
      <c r="J9184">
        <v>1</v>
      </c>
      <c r="K9184">
        <v>29</v>
      </c>
      <c r="L9184">
        <v>661</v>
      </c>
      <c r="M9184">
        <v>1</v>
      </c>
      <c r="N9184">
        <v>0</v>
      </c>
      <c r="O9184">
        <v>2516</v>
      </c>
    </row>
    <row r="9185" spans="1:15" x14ac:dyDescent="0.25">
      <c r="A9185" t="s">
        <v>9198</v>
      </c>
      <c r="B9185">
        <v>71</v>
      </c>
      <c r="C9185" s="1" t="str">
        <f>HYPERLINK("http://www.rosaceae.org/gb/gbrowse/malus_x_domestica/?name=MDP0000338285","MDP0000338285")</f>
        <v>MDP0000338285</v>
      </c>
      <c r="D9185">
        <v>73.23</v>
      </c>
      <c r="E9185">
        <v>71</v>
      </c>
      <c r="F9185">
        <v>19</v>
      </c>
      <c r="G9185">
        <v>1</v>
      </c>
      <c r="H9185">
        <v>1</v>
      </c>
      <c r="I9185">
        <v>71</v>
      </c>
      <c r="J9185">
        <v>1</v>
      </c>
      <c r="K9185">
        <v>1</v>
      </c>
      <c r="L9185">
        <v>70</v>
      </c>
      <c r="M9185">
        <v>1</v>
      </c>
      <c r="N9185">
        <v>6.3817999999999999E-20</v>
      </c>
      <c r="O9185">
        <v>229</v>
      </c>
    </row>
    <row r="9186" spans="1:15" x14ac:dyDescent="0.25">
      <c r="A9186" t="s">
        <v>9199</v>
      </c>
      <c r="B9186">
        <v>217</v>
      </c>
      <c r="C9186" s="1" t="str">
        <f>HYPERLINK("http://www.rosaceae.org/gb/gbrowse/malus_x_domestica/?name=MDP0000322220","MDP0000322220")</f>
        <v>MDP0000322220</v>
      </c>
      <c r="D9186">
        <v>52.21</v>
      </c>
      <c r="E9186">
        <v>226</v>
      </c>
      <c r="F9186">
        <v>108</v>
      </c>
      <c r="G9186">
        <v>43</v>
      </c>
      <c r="H9186">
        <v>9</v>
      </c>
      <c r="I9186">
        <v>202</v>
      </c>
      <c r="J9186">
        <v>1</v>
      </c>
      <c r="K9186">
        <v>440</v>
      </c>
      <c r="L9186">
        <v>654</v>
      </c>
      <c r="M9186">
        <v>1</v>
      </c>
      <c r="N9186">
        <v>9.4347499999999998E-55</v>
      </c>
      <c r="O9186">
        <v>534</v>
      </c>
    </row>
    <row r="9187" spans="1:15" x14ac:dyDescent="0.25">
      <c r="A9187" t="s">
        <v>9200</v>
      </c>
      <c r="B9187">
        <v>215</v>
      </c>
      <c r="C9187" s="1" t="str">
        <f>HYPERLINK("http://www.rosaceae.org/gb/gbrowse/malus_x_domestica/?name=MDP0000641729","MDP0000641729")</f>
        <v>MDP0000641729</v>
      </c>
      <c r="D9187">
        <v>54.71</v>
      </c>
      <c r="E9187">
        <v>53</v>
      </c>
      <c r="F9187">
        <v>24</v>
      </c>
      <c r="G9187">
        <v>5</v>
      </c>
      <c r="H9187">
        <v>6</v>
      </c>
      <c r="I9187">
        <v>53</v>
      </c>
      <c r="J9187">
        <v>1</v>
      </c>
      <c r="K9187">
        <v>7</v>
      </c>
      <c r="L9187">
        <v>59</v>
      </c>
      <c r="M9187">
        <v>1</v>
      </c>
      <c r="N9187">
        <v>1.1014100000000001E-8</v>
      </c>
      <c r="O9187">
        <v>137</v>
      </c>
    </row>
    <row r="9188" spans="1:15" x14ac:dyDescent="0.25">
      <c r="A9188" t="s">
        <v>9201</v>
      </c>
      <c r="B9188">
        <v>1046</v>
      </c>
      <c r="C9188" s="1" t="str">
        <f>HYPERLINK("http://www.rosaceae.org/gb/gbrowse/malus_x_domestica/?name=MDP0000211947","MDP0000211947")</f>
        <v>MDP0000211947</v>
      </c>
      <c r="D9188">
        <v>57.09</v>
      </c>
      <c r="E9188">
        <v>1121</v>
      </c>
      <c r="F9188">
        <v>481</v>
      </c>
      <c r="G9188">
        <v>198</v>
      </c>
      <c r="H9188">
        <v>21</v>
      </c>
      <c r="I9188">
        <v>957</v>
      </c>
      <c r="J9188">
        <v>1</v>
      </c>
      <c r="K9188">
        <v>27</v>
      </c>
      <c r="L9188">
        <v>1133</v>
      </c>
      <c r="M9188">
        <v>1</v>
      </c>
      <c r="N9188">
        <v>0</v>
      </c>
      <c r="O9188">
        <v>2862</v>
      </c>
    </row>
    <row r="9189" spans="1:15" x14ac:dyDescent="0.25">
      <c r="A9189" t="s">
        <v>9202</v>
      </c>
      <c r="B9189">
        <v>232</v>
      </c>
      <c r="C9189" s="1" t="str">
        <f>HYPERLINK("http://www.rosaceae.org/gb/gbrowse/malus_x_domestica/?name=MDP0000303749","MDP0000303749")</f>
        <v>MDP0000303749</v>
      </c>
      <c r="D9189">
        <v>69.349999999999994</v>
      </c>
      <c r="E9189">
        <v>186</v>
      </c>
      <c r="F9189">
        <v>57</v>
      </c>
      <c r="G9189">
        <v>2</v>
      </c>
      <c r="H9189">
        <v>44</v>
      </c>
      <c r="I9189">
        <v>227</v>
      </c>
      <c r="J9189">
        <v>1</v>
      </c>
      <c r="K9189">
        <v>16</v>
      </c>
      <c r="L9189">
        <v>201</v>
      </c>
      <c r="M9189">
        <v>1</v>
      </c>
      <c r="N9189">
        <v>2.2026800000000002E-65</v>
      </c>
      <c r="O9189">
        <v>626</v>
      </c>
    </row>
    <row r="9190" spans="1:15" x14ac:dyDescent="0.25">
      <c r="A9190" t="s">
        <v>9203</v>
      </c>
      <c r="B9190">
        <v>489</v>
      </c>
      <c r="C9190" s="1" t="str">
        <f>HYPERLINK("http://www.rosaceae.org/gb/gbrowse/malus_x_domestica/?name=MDP0000190968","MDP0000190968")</f>
        <v>MDP0000190968</v>
      </c>
      <c r="D9190">
        <v>56.07</v>
      </c>
      <c r="E9190">
        <v>535</v>
      </c>
      <c r="F9190">
        <v>235</v>
      </c>
      <c r="G9190">
        <v>64</v>
      </c>
      <c r="H9190">
        <v>9</v>
      </c>
      <c r="I9190">
        <v>489</v>
      </c>
      <c r="J9190">
        <v>1</v>
      </c>
      <c r="K9190">
        <v>263</v>
      </c>
      <c r="L9190">
        <v>787</v>
      </c>
      <c r="M9190">
        <v>1</v>
      </c>
      <c r="N9190">
        <v>4.5209299999999997E-153</v>
      </c>
      <c r="O9190">
        <v>1386</v>
      </c>
    </row>
    <row r="9191" spans="1:15" x14ac:dyDescent="0.25">
      <c r="A9191" t="s">
        <v>9204</v>
      </c>
      <c r="B9191">
        <v>704</v>
      </c>
      <c r="C9191" s="1" t="str">
        <f>HYPERLINK("http://www.rosaceae.org/gb/gbrowse/malus_x_domestica/?name=MDP0000574555","MDP0000574555")</f>
        <v>MDP0000574555</v>
      </c>
      <c r="D9191">
        <v>80.819999999999993</v>
      </c>
      <c r="E9191">
        <v>704</v>
      </c>
      <c r="F9191">
        <v>135</v>
      </c>
      <c r="G9191">
        <v>0</v>
      </c>
      <c r="H9191">
        <v>1</v>
      </c>
      <c r="I9191">
        <v>704</v>
      </c>
      <c r="J9191">
        <v>1</v>
      </c>
      <c r="K9191">
        <v>1</v>
      </c>
      <c r="L9191">
        <v>704</v>
      </c>
      <c r="M9191">
        <v>1</v>
      </c>
      <c r="N9191">
        <v>0</v>
      </c>
      <c r="O9191">
        <v>3124</v>
      </c>
    </row>
    <row r="9192" spans="1:15" x14ac:dyDescent="0.25">
      <c r="A9192" t="s">
        <v>9205</v>
      </c>
      <c r="B9192">
        <v>634</v>
      </c>
      <c r="C9192" s="1" t="str">
        <f>HYPERLINK("http://www.rosaceae.org/gb/gbrowse/malus_x_domestica/?name=MDP0000192362","MDP0000192362")</f>
        <v>MDP0000192362</v>
      </c>
      <c r="D9192">
        <v>81.13</v>
      </c>
      <c r="E9192">
        <v>636</v>
      </c>
      <c r="F9192">
        <v>120</v>
      </c>
      <c r="G9192">
        <v>8</v>
      </c>
      <c r="H9192">
        <v>1</v>
      </c>
      <c r="I9192">
        <v>633</v>
      </c>
      <c r="J9192">
        <v>1</v>
      </c>
      <c r="K9192">
        <v>1</v>
      </c>
      <c r="L9192">
        <v>631</v>
      </c>
      <c r="M9192">
        <v>1</v>
      </c>
      <c r="N9192">
        <v>0</v>
      </c>
      <c r="O9192">
        <v>2758</v>
      </c>
    </row>
    <row r="9193" spans="1:15" x14ac:dyDescent="0.25">
      <c r="A9193" t="s">
        <v>9206</v>
      </c>
      <c r="B9193">
        <v>361</v>
      </c>
      <c r="C9193" s="1" t="str">
        <f>HYPERLINK("http://www.rosaceae.org/gb/gbrowse/malus_x_domestica/?name=MDP0000321943","MDP0000321943")</f>
        <v>MDP0000321943</v>
      </c>
      <c r="D9193">
        <v>57.01</v>
      </c>
      <c r="E9193">
        <v>328</v>
      </c>
      <c r="F9193">
        <v>141</v>
      </c>
      <c r="G9193">
        <v>38</v>
      </c>
      <c r="H9193">
        <v>51</v>
      </c>
      <c r="I9193">
        <v>345</v>
      </c>
      <c r="J9193">
        <v>1</v>
      </c>
      <c r="K9193">
        <v>27</v>
      </c>
      <c r="L9193">
        <v>349</v>
      </c>
      <c r="M9193">
        <v>1</v>
      </c>
      <c r="N9193">
        <v>4.9904200000000002E-98</v>
      </c>
      <c r="O9193">
        <v>910</v>
      </c>
    </row>
    <row r="9194" spans="1:15" x14ac:dyDescent="0.25">
      <c r="A9194" t="s">
        <v>9207</v>
      </c>
      <c r="B9194">
        <v>262</v>
      </c>
      <c r="C9194" s="1" t="str">
        <f>HYPERLINK("http://www.rosaceae.org/gb/gbrowse/malus_x_domestica/?name=MDP0000310897","MDP0000310897")</f>
        <v>MDP0000310897</v>
      </c>
      <c r="D9194">
        <v>44.08</v>
      </c>
      <c r="E9194">
        <v>186</v>
      </c>
      <c r="F9194">
        <v>104</v>
      </c>
      <c r="G9194">
        <v>13</v>
      </c>
      <c r="H9194">
        <v>24</v>
      </c>
      <c r="I9194">
        <v>204</v>
      </c>
      <c r="J9194">
        <v>1</v>
      </c>
      <c r="K9194">
        <v>27</v>
      </c>
      <c r="L9194">
        <v>204</v>
      </c>
      <c r="M9194">
        <v>1</v>
      </c>
      <c r="N9194">
        <v>1.6381E-32</v>
      </c>
      <c r="O9194">
        <v>344</v>
      </c>
    </row>
    <row r="9195" spans="1:15" x14ac:dyDescent="0.25">
      <c r="A9195" t="s">
        <v>9208</v>
      </c>
      <c r="B9195">
        <v>331</v>
      </c>
      <c r="C9195" s="1" t="str">
        <f>HYPERLINK("http://www.rosaceae.org/gb/gbrowse/malus_x_domestica/?name=MDP0000233598","MDP0000233598")</f>
        <v>MDP0000233598</v>
      </c>
      <c r="D9195">
        <v>26.05</v>
      </c>
      <c r="E9195">
        <v>238</v>
      </c>
      <c r="F9195">
        <v>176</v>
      </c>
      <c r="G9195">
        <v>24</v>
      </c>
      <c r="H9195">
        <v>1</v>
      </c>
      <c r="I9195">
        <v>230</v>
      </c>
      <c r="J9195">
        <v>1</v>
      </c>
      <c r="K9195">
        <v>237</v>
      </c>
      <c r="L9195">
        <v>458</v>
      </c>
      <c r="M9195">
        <v>1</v>
      </c>
      <c r="N9195">
        <v>1.0555499999999999E-18</v>
      </c>
      <c r="O9195">
        <v>226</v>
      </c>
    </row>
    <row r="9196" spans="1:15" x14ac:dyDescent="0.25">
      <c r="A9196" t="s">
        <v>9209</v>
      </c>
      <c r="B9196">
        <v>191</v>
      </c>
      <c r="C9196" s="1" t="str">
        <f>HYPERLINK("http://www.rosaceae.org/gb/gbrowse/malus_x_domestica/?name=MDP0000444367","MDP0000444367")</f>
        <v>MDP0000444367</v>
      </c>
      <c r="D9196">
        <v>83.33</v>
      </c>
      <c r="E9196">
        <v>36</v>
      </c>
      <c r="F9196">
        <v>6</v>
      </c>
      <c r="G9196">
        <v>0</v>
      </c>
      <c r="H9196">
        <v>51</v>
      </c>
      <c r="I9196">
        <v>86</v>
      </c>
      <c r="J9196">
        <v>1</v>
      </c>
      <c r="K9196">
        <v>406</v>
      </c>
      <c r="L9196">
        <v>441</v>
      </c>
      <c r="M9196">
        <v>1</v>
      </c>
      <c r="N9196">
        <v>5.6008899999999997E-9</v>
      </c>
      <c r="O9196">
        <v>139</v>
      </c>
    </row>
    <row r="9197" spans="1:15" x14ac:dyDescent="0.25">
      <c r="A9197" t="s">
        <v>9210</v>
      </c>
      <c r="B9197">
        <v>739</v>
      </c>
      <c r="C9197" s="1" t="str">
        <f>HYPERLINK("http://www.rosaceae.org/gb/gbrowse/malus_x_domestica/?name=MDP0000220527","MDP0000220527")</f>
        <v>MDP0000220527</v>
      </c>
      <c r="D9197">
        <v>61.22</v>
      </c>
      <c r="E9197">
        <v>766</v>
      </c>
      <c r="F9197">
        <v>297</v>
      </c>
      <c r="G9197">
        <v>93</v>
      </c>
      <c r="H9197">
        <v>3</v>
      </c>
      <c r="I9197">
        <v>680</v>
      </c>
      <c r="J9197">
        <v>1</v>
      </c>
      <c r="K9197">
        <v>311</v>
      </c>
      <c r="L9197">
        <v>1071</v>
      </c>
      <c r="M9197">
        <v>1</v>
      </c>
      <c r="N9197">
        <v>0</v>
      </c>
      <c r="O9197">
        <v>2324</v>
      </c>
    </row>
    <row r="9198" spans="1:15" x14ac:dyDescent="0.25">
      <c r="A9198" t="s">
        <v>9211</v>
      </c>
      <c r="B9198">
        <v>1202</v>
      </c>
      <c r="C9198" s="1" t="str">
        <f>HYPERLINK("http://www.rosaceae.org/gb/gbrowse/malus_x_domestica/?name=MDP0000308001","MDP0000308001")</f>
        <v>MDP0000308001</v>
      </c>
      <c r="D9198">
        <v>49</v>
      </c>
      <c r="E9198">
        <v>351</v>
      </c>
      <c r="F9198">
        <v>179</v>
      </c>
      <c r="G9198">
        <v>27</v>
      </c>
      <c r="H9198">
        <v>31</v>
      </c>
      <c r="I9198">
        <v>356</v>
      </c>
      <c r="J9198">
        <v>1</v>
      </c>
      <c r="K9198">
        <v>156</v>
      </c>
      <c r="L9198">
        <v>504</v>
      </c>
      <c r="M9198">
        <v>1</v>
      </c>
      <c r="N9198">
        <v>9.4262500000000008E-84</v>
      </c>
      <c r="O9198">
        <v>792</v>
      </c>
    </row>
    <row r="9199" spans="1:15" x14ac:dyDescent="0.25">
      <c r="A9199" t="s">
        <v>9212</v>
      </c>
      <c r="B9199">
        <v>158</v>
      </c>
      <c r="C9199" s="1" t="str">
        <f>HYPERLINK("http://www.rosaceae.org/gb/gbrowse/malus_x_domestica/?name=MDP0000230652","MDP0000230652")</f>
        <v>MDP0000230652</v>
      </c>
      <c r="D9199">
        <v>52.13</v>
      </c>
      <c r="E9199">
        <v>117</v>
      </c>
      <c r="F9199">
        <v>56</v>
      </c>
      <c r="G9199">
        <v>2</v>
      </c>
      <c r="H9199">
        <v>40</v>
      </c>
      <c r="I9199">
        <v>154</v>
      </c>
      <c r="J9199">
        <v>1</v>
      </c>
      <c r="K9199">
        <v>39</v>
      </c>
      <c r="L9199">
        <v>155</v>
      </c>
      <c r="M9199">
        <v>1</v>
      </c>
      <c r="N9199">
        <v>3.0759899999999998E-22</v>
      </c>
      <c r="O9199">
        <v>252</v>
      </c>
    </row>
    <row r="9200" spans="1:15" x14ac:dyDescent="0.25">
      <c r="A9200" t="s">
        <v>9213</v>
      </c>
      <c r="B9200">
        <v>1027</v>
      </c>
      <c r="C9200" s="1" t="str">
        <f>HYPERLINK("http://www.rosaceae.org/gb/gbrowse/malus_x_domestica/?name=MDP0000289982","MDP0000289982")</f>
        <v>MDP0000289982</v>
      </c>
      <c r="D9200">
        <v>54.56</v>
      </c>
      <c r="E9200">
        <v>766</v>
      </c>
      <c r="F9200">
        <v>348</v>
      </c>
      <c r="G9200">
        <v>25</v>
      </c>
      <c r="H9200">
        <v>1</v>
      </c>
      <c r="I9200">
        <v>756</v>
      </c>
      <c r="J9200">
        <v>1</v>
      </c>
      <c r="K9200">
        <v>378</v>
      </c>
      <c r="L9200">
        <v>1128</v>
      </c>
      <c r="M9200">
        <v>1</v>
      </c>
      <c r="N9200">
        <v>0</v>
      </c>
      <c r="O9200">
        <v>1927</v>
      </c>
    </row>
    <row r="9201" spans="1:15" x14ac:dyDescent="0.25">
      <c r="A9201" t="s">
        <v>9214</v>
      </c>
      <c r="B9201">
        <v>207</v>
      </c>
      <c r="C9201" s="1" t="str">
        <f>HYPERLINK("http://www.rosaceae.org/gb/gbrowse/malus_x_domestica/?name=MDP0000210295","MDP0000210295")</f>
        <v>MDP0000210295</v>
      </c>
      <c r="D9201">
        <v>89.5</v>
      </c>
      <c r="E9201">
        <v>181</v>
      </c>
      <c r="F9201">
        <v>19</v>
      </c>
      <c r="G9201">
        <v>1</v>
      </c>
      <c r="H9201">
        <v>27</v>
      </c>
      <c r="I9201">
        <v>207</v>
      </c>
      <c r="J9201">
        <v>1</v>
      </c>
      <c r="K9201">
        <v>1</v>
      </c>
      <c r="L9201">
        <v>180</v>
      </c>
      <c r="M9201">
        <v>1</v>
      </c>
      <c r="N9201">
        <v>1.1629499999999999E-92</v>
      </c>
      <c r="O9201">
        <v>861</v>
      </c>
    </row>
    <row r="9202" spans="1:15" x14ac:dyDescent="0.25">
      <c r="A9202" t="s">
        <v>9215</v>
      </c>
      <c r="B9202">
        <v>796</v>
      </c>
      <c r="C9202" s="1" t="str">
        <f>HYPERLINK("http://www.rosaceae.org/gb/gbrowse/malus_x_domestica/?name=MDP0000279783","MDP0000279783")</f>
        <v>MDP0000279783</v>
      </c>
      <c r="D9202">
        <v>88.45</v>
      </c>
      <c r="E9202">
        <v>589</v>
      </c>
      <c r="F9202">
        <v>68</v>
      </c>
      <c r="G9202">
        <v>0</v>
      </c>
      <c r="H9202">
        <v>206</v>
      </c>
      <c r="I9202">
        <v>794</v>
      </c>
      <c r="J9202">
        <v>1</v>
      </c>
      <c r="K9202">
        <v>502</v>
      </c>
      <c r="L9202">
        <v>1090</v>
      </c>
      <c r="M9202">
        <v>1</v>
      </c>
      <c r="N9202">
        <v>0</v>
      </c>
      <c r="O9202">
        <v>2831</v>
      </c>
    </row>
    <row r="9203" spans="1:15" x14ac:dyDescent="0.25">
      <c r="A9203" t="s">
        <v>9216</v>
      </c>
      <c r="B9203">
        <v>103</v>
      </c>
      <c r="C9203" s="1" t="str">
        <f>HYPERLINK("http://www.rosaceae.org/gb/gbrowse/malus_x_domestica/?name=MDP0000206547","MDP0000206547")</f>
        <v>MDP0000206547</v>
      </c>
      <c r="D9203">
        <v>97.05</v>
      </c>
      <c r="E9203">
        <v>102</v>
      </c>
      <c r="F9203">
        <v>3</v>
      </c>
      <c r="G9203">
        <v>0</v>
      </c>
      <c r="H9203">
        <v>1</v>
      </c>
      <c r="I9203">
        <v>102</v>
      </c>
      <c r="J9203">
        <v>1</v>
      </c>
      <c r="K9203">
        <v>1</v>
      </c>
      <c r="L9203">
        <v>102</v>
      </c>
      <c r="M9203">
        <v>1</v>
      </c>
      <c r="N9203">
        <v>1.7657500000000001E-53</v>
      </c>
      <c r="O9203">
        <v>519</v>
      </c>
    </row>
    <row r="9204" spans="1:15" x14ac:dyDescent="0.25">
      <c r="A9204" t="s">
        <v>9217</v>
      </c>
      <c r="B9204">
        <v>532</v>
      </c>
      <c r="C9204" s="1" t="str">
        <f>HYPERLINK("http://www.rosaceae.org/gb/gbrowse/malus_x_domestica/?name=MDP0000286589","MDP0000286589")</f>
        <v>MDP0000286589</v>
      </c>
      <c r="D9204">
        <v>58.46</v>
      </c>
      <c r="E9204">
        <v>260</v>
      </c>
      <c r="F9204">
        <v>108</v>
      </c>
      <c r="G9204">
        <v>14</v>
      </c>
      <c r="H9204">
        <v>205</v>
      </c>
      <c r="I9204">
        <v>452</v>
      </c>
      <c r="J9204">
        <v>1</v>
      </c>
      <c r="K9204">
        <v>47</v>
      </c>
      <c r="L9204">
        <v>304</v>
      </c>
      <c r="M9204">
        <v>1</v>
      </c>
      <c r="N9204">
        <v>4.0363599999999998E-85</v>
      </c>
      <c r="O9204">
        <v>801</v>
      </c>
    </row>
    <row r="9205" spans="1:15" x14ac:dyDescent="0.25">
      <c r="A9205" t="s">
        <v>9218</v>
      </c>
      <c r="B9205">
        <v>595</v>
      </c>
      <c r="C9205" s="1" t="str">
        <f>HYPERLINK("http://www.rosaceae.org/gb/gbrowse/malus_x_domestica/?name=MDP0000299496","MDP0000299496")</f>
        <v>MDP0000299496</v>
      </c>
      <c r="D9205">
        <v>37.58</v>
      </c>
      <c r="E9205">
        <v>149</v>
      </c>
      <c r="F9205">
        <v>93</v>
      </c>
      <c r="G9205">
        <v>4</v>
      </c>
      <c r="H9205">
        <v>170</v>
      </c>
      <c r="I9205">
        <v>314</v>
      </c>
      <c r="J9205">
        <v>1</v>
      </c>
      <c r="K9205">
        <v>589</v>
      </c>
      <c r="L9205">
        <v>737</v>
      </c>
      <c r="M9205">
        <v>1</v>
      </c>
      <c r="N9205">
        <v>1.8753099999999999E-21</v>
      </c>
      <c r="O9205">
        <v>252</v>
      </c>
    </row>
    <row r="9206" spans="1:15" x14ac:dyDescent="0.25">
      <c r="A9206" t="s">
        <v>9219</v>
      </c>
      <c r="B9206">
        <v>348</v>
      </c>
      <c r="C9206" s="1" t="str">
        <f>HYPERLINK("http://www.rosaceae.org/gb/gbrowse/malus_x_domestica/?name=MDP0000216946","MDP0000216946")</f>
        <v>MDP0000216946</v>
      </c>
      <c r="D9206">
        <v>81.73</v>
      </c>
      <c r="E9206">
        <v>345</v>
      </c>
      <c r="F9206">
        <v>63</v>
      </c>
      <c r="G9206">
        <v>3</v>
      </c>
      <c r="H9206">
        <v>6</v>
      </c>
      <c r="I9206">
        <v>348</v>
      </c>
      <c r="J9206">
        <v>1</v>
      </c>
      <c r="K9206">
        <v>2</v>
      </c>
      <c r="L9206">
        <v>345</v>
      </c>
      <c r="M9206">
        <v>1</v>
      </c>
      <c r="N9206">
        <v>7.5882199999999994E-169</v>
      </c>
      <c r="O9206">
        <v>1521</v>
      </c>
    </row>
    <row r="9207" spans="1:15" x14ac:dyDescent="0.25">
      <c r="A9207" t="s">
        <v>9220</v>
      </c>
      <c r="B9207">
        <v>1015</v>
      </c>
      <c r="C9207" s="1" t="str">
        <f>HYPERLINK("http://www.rosaceae.org/gb/gbrowse/malus_x_domestica/?name=MDP0000123328","MDP0000123328")</f>
        <v>MDP0000123328</v>
      </c>
      <c r="D9207">
        <v>68.209999999999994</v>
      </c>
      <c r="E9207">
        <v>818</v>
      </c>
      <c r="F9207">
        <v>260</v>
      </c>
      <c r="G9207">
        <v>32</v>
      </c>
      <c r="H9207">
        <v>4</v>
      </c>
      <c r="I9207">
        <v>817</v>
      </c>
      <c r="J9207">
        <v>1</v>
      </c>
      <c r="K9207">
        <v>181</v>
      </c>
      <c r="L9207">
        <v>970</v>
      </c>
      <c r="M9207">
        <v>1</v>
      </c>
      <c r="N9207">
        <v>0</v>
      </c>
      <c r="O9207">
        <v>2846</v>
      </c>
    </row>
    <row r="9208" spans="1:15" x14ac:dyDescent="0.25">
      <c r="A9208" t="s">
        <v>9221</v>
      </c>
      <c r="B9208">
        <v>599</v>
      </c>
      <c r="C9208" s="1" t="str">
        <f>HYPERLINK("http://www.rosaceae.org/gb/gbrowse/malus_x_domestica/?name=MDP0000896511","MDP0000896511")</f>
        <v>MDP0000896511</v>
      </c>
      <c r="D9208">
        <v>83.55</v>
      </c>
      <c r="E9208">
        <v>517</v>
      </c>
      <c r="F9208">
        <v>85</v>
      </c>
      <c r="G9208">
        <v>2</v>
      </c>
      <c r="H9208">
        <v>73</v>
      </c>
      <c r="I9208">
        <v>587</v>
      </c>
      <c r="J9208">
        <v>1</v>
      </c>
      <c r="K9208">
        <v>36</v>
      </c>
      <c r="L9208">
        <v>552</v>
      </c>
      <c r="M9208">
        <v>1</v>
      </c>
      <c r="N9208">
        <v>0</v>
      </c>
      <c r="O9208">
        <v>2268</v>
      </c>
    </row>
    <row r="9209" spans="1:15" x14ac:dyDescent="0.25">
      <c r="A9209" t="s">
        <v>9222</v>
      </c>
      <c r="B9209">
        <v>446</v>
      </c>
      <c r="C9209" s="1" t="str">
        <f>HYPERLINK("http://www.rosaceae.org/gb/gbrowse/malus_x_domestica/?name=MDP0000252674","MDP0000252674")</f>
        <v>MDP0000252674</v>
      </c>
      <c r="D9209">
        <v>79.319999999999993</v>
      </c>
      <c r="E9209">
        <v>445</v>
      </c>
      <c r="F9209">
        <v>92</v>
      </c>
      <c r="G9209">
        <v>2</v>
      </c>
      <c r="H9209">
        <v>1</v>
      </c>
      <c r="I9209">
        <v>445</v>
      </c>
      <c r="J9209">
        <v>1</v>
      </c>
      <c r="K9209">
        <v>40</v>
      </c>
      <c r="L9209">
        <v>482</v>
      </c>
      <c r="M9209">
        <v>1</v>
      </c>
      <c r="N9209">
        <v>0</v>
      </c>
      <c r="O9209">
        <v>1898</v>
      </c>
    </row>
    <row r="9210" spans="1:15" x14ac:dyDescent="0.25">
      <c r="A9210" t="s">
        <v>9223</v>
      </c>
      <c r="B9210">
        <v>540</v>
      </c>
      <c r="C9210" s="1" t="str">
        <f>HYPERLINK("http://www.rosaceae.org/gb/gbrowse/malus_x_domestica/?name=MDP0000186402","MDP0000186402")</f>
        <v>MDP0000186402</v>
      </c>
      <c r="D9210">
        <v>71.88</v>
      </c>
      <c r="E9210">
        <v>473</v>
      </c>
      <c r="F9210">
        <v>133</v>
      </c>
      <c r="G9210">
        <v>71</v>
      </c>
      <c r="H9210">
        <v>23</v>
      </c>
      <c r="I9210">
        <v>426</v>
      </c>
      <c r="J9210">
        <v>1</v>
      </c>
      <c r="K9210">
        <v>90</v>
      </c>
      <c r="L9210">
        <v>560</v>
      </c>
      <c r="M9210">
        <v>1</v>
      </c>
      <c r="N9210">
        <v>0</v>
      </c>
      <c r="O9210">
        <v>1650</v>
      </c>
    </row>
    <row r="9211" spans="1:15" x14ac:dyDescent="0.25">
      <c r="A9211" t="s">
        <v>9224</v>
      </c>
      <c r="B9211">
        <v>399</v>
      </c>
      <c r="C9211" s="1" t="str">
        <f>HYPERLINK("http://www.rosaceae.org/gb/gbrowse/malus_x_domestica/?name=MDP0000443890","MDP0000443890")</f>
        <v>MDP0000443890</v>
      </c>
      <c r="D9211">
        <v>65.05</v>
      </c>
      <c r="E9211">
        <v>186</v>
      </c>
      <c r="F9211">
        <v>65</v>
      </c>
      <c r="G9211">
        <v>1</v>
      </c>
      <c r="H9211">
        <v>202</v>
      </c>
      <c r="I9211">
        <v>386</v>
      </c>
      <c r="J9211">
        <v>1</v>
      </c>
      <c r="K9211">
        <v>74</v>
      </c>
      <c r="L9211">
        <v>259</v>
      </c>
      <c r="M9211">
        <v>1</v>
      </c>
      <c r="N9211">
        <v>9.24894E-63</v>
      </c>
      <c r="O9211">
        <v>607</v>
      </c>
    </row>
    <row r="9212" spans="1:15" x14ac:dyDescent="0.25">
      <c r="A9212" t="s">
        <v>9225</v>
      </c>
      <c r="B9212">
        <v>392</v>
      </c>
      <c r="C9212" s="1" t="str">
        <f>HYPERLINK("http://www.rosaceae.org/gb/gbrowse/malus_x_domestica/?name=MDP0000129012","MDP0000129012")</f>
        <v>MDP0000129012</v>
      </c>
      <c r="D9212">
        <v>54.54</v>
      </c>
      <c r="E9212">
        <v>374</v>
      </c>
      <c r="F9212">
        <v>170</v>
      </c>
      <c r="G9212">
        <v>11</v>
      </c>
      <c r="H9212">
        <v>26</v>
      </c>
      <c r="I9212">
        <v>391</v>
      </c>
      <c r="J9212">
        <v>1</v>
      </c>
      <c r="K9212">
        <v>33</v>
      </c>
      <c r="L9212">
        <v>403</v>
      </c>
      <c r="M9212">
        <v>1</v>
      </c>
      <c r="N9212">
        <v>1.17294E-105</v>
      </c>
      <c r="O9212">
        <v>977</v>
      </c>
    </row>
    <row r="9213" spans="1:15" x14ac:dyDescent="0.25">
      <c r="A9213" t="s">
        <v>9226</v>
      </c>
      <c r="B9213">
        <v>354</v>
      </c>
      <c r="C9213" s="1" t="str">
        <f>HYPERLINK("http://www.rosaceae.org/gb/gbrowse/malus_x_domestica/?name=MDP0000311951","MDP0000311951")</f>
        <v>MDP0000311951</v>
      </c>
      <c r="D9213">
        <v>73.44</v>
      </c>
      <c r="E9213">
        <v>354</v>
      </c>
      <c r="F9213">
        <v>94</v>
      </c>
      <c r="G9213">
        <v>15</v>
      </c>
      <c r="H9213">
        <v>1</v>
      </c>
      <c r="I9213">
        <v>354</v>
      </c>
      <c r="J9213">
        <v>1</v>
      </c>
      <c r="K9213">
        <v>276</v>
      </c>
      <c r="L9213">
        <v>614</v>
      </c>
      <c r="M9213">
        <v>1</v>
      </c>
      <c r="N9213">
        <v>9.5678700000000008E-146</v>
      </c>
      <c r="O9213">
        <v>1322</v>
      </c>
    </row>
    <row r="9214" spans="1:15" x14ac:dyDescent="0.25">
      <c r="A9214" t="s">
        <v>9227</v>
      </c>
      <c r="B9214">
        <v>399</v>
      </c>
      <c r="C9214" s="1" t="str">
        <f>HYPERLINK("http://www.rosaceae.org/gb/gbrowse/malus_x_domestica/?name=MDP0000686221","MDP0000686221")</f>
        <v>MDP0000686221</v>
      </c>
      <c r="D9214">
        <v>49.23</v>
      </c>
      <c r="E9214">
        <v>65</v>
      </c>
      <c r="F9214">
        <v>33</v>
      </c>
      <c r="G9214">
        <v>0</v>
      </c>
      <c r="H9214">
        <v>65</v>
      </c>
      <c r="I9214">
        <v>129</v>
      </c>
      <c r="J9214">
        <v>1</v>
      </c>
      <c r="K9214">
        <v>777</v>
      </c>
      <c r="L9214">
        <v>841</v>
      </c>
      <c r="M9214">
        <v>1</v>
      </c>
      <c r="N9214">
        <v>3.39179E-12</v>
      </c>
      <c r="O9214">
        <v>171</v>
      </c>
    </row>
    <row r="9215" spans="1:15" x14ac:dyDescent="0.25">
      <c r="A9215" t="s">
        <v>9228</v>
      </c>
      <c r="B9215">
        <v>530</v>
      </c>
      <c r="C9215" s="1" t="str">
        <f>HYPERLINK("http://www.rosaceae.org/gb/gbrowse/malus_x_domestica/?name=MDP0000237293","MDP0000237293")</f>
        <v>MDP0000237293</v>
      </c>
      <c r="D9215">
        <v>46.01</v>
      </c>
      <c r="E9215">
        <v>276</v>
      </c>
      <c r="F9215">
        <v>149</v>
      </c>
      <c r="G9215">
        <v>47</v>
      </c>
      <c r="H9215">
        <v>260</v>
      </c>
      <c r="I9215">
        <v>493</v>
      </c>
      <c r="J9215">
        <v>1</v>
      </c>
      <c r="K9215">
        <v>32</v>
      </c>
      <c r="L9215">
        <v>302</v>
      </c>
      <c r="M9215">
        <v>1</v>
      </c>
      <c r="N9215">
        <v>1.32363E-58</v>
      </c>
      <c r="O9215">
        <v>572</v>
      </c>
    </row>
    <row r="9216" spans="1:15" x14ac:dyDescent="0.25">
      <c r="A9216" t="s">
        <v>9229</v>
      </c>
      <c r="B9216">
        <v>529</v>
      </c>
      <c r="C9216" s="1" t="str">
        <f>HYPERLINK("http://www.rosaceae.org/gb/gbrowse/malus_x_domestica/?name=MDP0000926466","MDP0000926466")</f>
        <v>MDP0000926466</v>
      </c>
      <c r="D9216">
        <v>54.81</v>
      </c>
      <c r="E9216">
        <v>540</v>
      </c>
      <c r="F9216">
        <v>244</v>
      </c>
      <c r="G9216">
        <v>39</v>
      </c>
      <c r="H9216">
        <v>6</v>
      </c>
      <c r="I9216">
        <v>526</v>
      </c>
      <c r="J9216">
        <v>1</v>
      </c>
      <c r="K9216">
        <v>12</v>
      </c>
      <c r="L9216">
        <v>531</v>
      </c>
      <c r="M9216">
        <v>1</v>
      </c>
      <c r="N9216">
        <v>8.5179800000000002E-161</v>
      </c>
      <c r="O9216">
        <v>1453</v>
      </c>
    </row>
    <row r="9217" spans="1:15" x14ac:dyDescent="0.25">
      <c r="A9217" t="s">
        <v>9230</v>
      </c>
      <c r="B9217">
        <v>155</v>
      </c>
      <c r="C9217" s="1" t="str">
        <f>HYPERLINK("http://www.rosaceae.org/gb/gbrowse/malus_x_domestica/?name=MDP0000333691","MDP0000333691")</f>
        <v>MDP0000333691</v>
      </c>
      <c r="D9217">
        <v>64.069999999999993</v>
      </c>
      <c r="E9217">
        <v>167</v>
      </c>
      <c r="F9217">
        <v>60</v>
      </c>
      <c r="G9217">
        <v>21</v>
      </c>
      <c r="H9217">
        <v>1</v>
      </c>
      <c r="I9217">
        <v>151</v>
      </c>
      <c r="J9217">
        <v>1</v>
      </c>
      <c r="K9217">
        <v>20</v>
      </c>
      <c r="L9217">
        <v>181</v>
      </c>
      <c r="M9217">
        <v>1</v>
      </c>
      <c r="N9217">
        <v>7.2172900000000002E-49</v>
      </c>
      <c r="O9217">
        <v>481</v>
      </c>
    </row>
    <row r="9218" spans="1:15" x14ac:dyDescent="0.25">
      <c r="A9218" t="s">
        <v>9231</v>
      </c>
      <c r="B9218">
        <v>1884</v>
      </c>
      <c r="C9218" s="1" t="str">
        <f>HYPERLINK("http://www.rosaceae.org/gb/gbrowse/malus_x_domestica/?name=MDP0000274485","MDP0000274485")</f>
        <v>MDP0000274485</v>
      </c>
      <c r="D9218">
        <v>59.8</v>
      </c>
      <c r="E9218">
        <v>204</v>
      </c>
      <c r="F9218">
        <v>82</v>
      </c>
      <c r="G9218">
        <v>0</v>
      </c>
      <c r="H9218">
        <v>1315</v>
      </c>
      <c r="I9218">
        <v>1518</v>
      </c>
      <c r="J9218">
        <v>1</v>
      </c>
      <c r="K9218">
        <v>28</v>
      </c>
      <c r="L9218">
        <v>231</v>
      </c>
      <c r="M9218">
        <v>1</v>
      </c>
      <c r="N9218">
        <v>2.5282200000000001E-69</v>
      </c>
      <c r="O9218">
        <v>670</v>
      </c>
    </row>
    <row r="9219" spans="1:15" x14ac:dyDescent="0.25">
      <c r="A9219" t="s">
        <v>9232</v>
      </c>
      <c r="B9219">
        <v>611</v>
      </c>
      <c r="C9219" s="1" t="str">
        <f>HYPERLINK("http://www.rosaceae.org/gb/gbrowse/malus_x_domestica/?name=MDP0000319624","MDP0000319624")</f>
        <v>MDP0000319624</v>
      </c>
      <c r="D9219">
        <v>69.2</v>
      </c>
      <c r="E9219">
        <v>328</v>
      </c>
      <c r="F9219">
        <v>101</v>
      </c>
      <c r="G9219">
        <v>22</v>
      </c>
      <c r="H9219">
        <v>1</v>
      </c>
      <c r="I9219">
        <v>309</v>
      </c>
      <c r="J9219">
        <v>1</v>
      </c>
      <c r="K9219">
        <v>36</v>
      </c>
      <c r="L9219">
        <v>360</v>
      </c>
      <c r="M9219">
        <v>1</v>
      </c>
      <c r="N9219">
        <v>5.0235000000000002E-130</v>
      </c>
      <c r="O9219">
        <v>1189</v>
      </c>
    </row>
    <row r="9220" spans="1:15" x14ac:dyDescent="0.25">
      <c r="A9220" t="s">
        <v>9233</v>
      </c>
      <c r="B9220">
        <v>157</v>
      </c>
      <c r="C9220" s="1" t="str">
        <f>HYPERLINK("http://www.rosaceae.org/gb/gbrowse/malus_x_domestica/?name=MDP0000193139","MDP0000193139")</f>
        <v>MDP0000193139</v>
      </c>
      <c r="D9220">
        <v>64.55</v>
      </c>
      <c r="E9220">
        <v>158</v>
      </c>
      <c r="F9220">
        <v>56</v>
      </c>
      <c r="G9220">
        <v>7</v>
      </c>
      <c r="H9220">
        <v>1</v>
      </c>
      <c r="I9220">
        <v>157</v>
      </c>
      <c r="J9220">
        <v>1</v>
      </c>
      <c r="K9220">
        <v>1</v>
      </c>
      <c r="L9220">
        <v>152</v>
      </c>
      <c r="M9220">
        <v>1</v>
      </c>
      <c r="N9220">
        <v>5.5578300000000001E-56</v>
      </c>
      <c r="O9220">
        <v>543</v>
      </c>
    </row>
    <row r="9221" spans="1:15" x14ac:dyDescent="0.25">
      <c r="A9221" t="s">
        <v>9234</v>
      </c>
      <c r="B9221">
        <v>542</v>
      </c>
      <c r="C9221" s="1" t="str">
        <f>HYPERLINK("http://www.rosaceae.org/gb/gbrowse/malus_x_domestica/?name=MDP0000298523","MDP0000298523")</f>
        <v>MDP0000298523</v>
      </c>
      <c r="D9221">
        <v>51.72</v>
      </c>
      <c r="E9221">
        <v>493</v>
      </c>
      <c r="F9221">
        <v>238</v>
      </c>
      <c r="G9221">
        <v>26</v>
      </c>
      <c r="H9221">
        <v>75</v>
      </c>
      <c r="I9221">
        <v>541</v>
      </c>
      <c r="J9221">
        <v>1</v>
      </c>
      <c r="K9221">
        <v>99</v>
      </c>
      <c r="L9221">
        <v>591</v>
      </c>
      <c r="M9221">
        <v>1</v>
      </c>
      <c r="N9221">
        <v>4.2824000000000001E-134</v>
      </c>
      <c r="O9221">
        <v>1223</v>
      </c>
    </row>
    <row r="9222" spans="1:15" x14ac:dyDescent="0.25">
      <c r="A9222" t="s">
        <v>9235</v>
      </c>
      <c r="B9222">
        <v>116</v>
      </c>
      <c r="C9222" s="1" t="str">
        <f>HYPERLINK("http://www.rosaceae.org/gb/gbrowse/malus_x_domestica/?name=MDP0000182101","MDP0000182101")</f>
        <v>MDP0000182101</v>
      </c>
      <c r="D9222">
        <v>36.17</v>
      </c>
      <c r="E9222">
        <v>94</v>
      </c>
      <c r="F9222">
        <v>60</v>
      </c>
      <c r="G9222">
        <v>3</v>
      </c>
      <c r="H9222">
        <v>3</v>
      </c>
      <c r="I9222">
        <v>94</v>
      </c>
      <c r="J9222">
        <v>1</v>
      </c>
      <c r="K9222">
        <v>207</v>
      </c>
      <c r="L9222">
        <v>299</v>
      </c>
      <c r="M9222">
        <v>1</v>
      </c>
      <c r="N9222">
        <v>1.8489499999999999E-7</v>
      </c>
      <c r="O9222">
        <v>122</v>
      </c>
    </row>
    <row r="9223" spans="1:15" x14ac:dyDescent="0.25">
      <c r="A9223" t="s">
        <v>9236</v>
      </c>
      <c r="B9223">
        <v>283</v>
      </c>
      <c r="C9223" s="1" t="str">
        <f>HYPERLINK("http://www.rosaceae.org/gb/gbrowse/malus_x_domestica/?name=MDP0000252442","MDP0000252442")</f>
        <v>MDP0000252442</v>
      </c>
      <c r="D9223">
        <v>46.59</v>
      </c>
      <c r="E9223">
        <v>279</v>
      </c>
      <c r="F9223">
        <v>149</v>
      </c>
      <c r="G9223">
        <v>23</v>
      </c>
      <c r="H9223">
        <v>5</v>
      </c>
      <c r="I9223">
        <v>279</v>
      </c>
      <c r="J9223">
        <v>1</v>
      </c>
      <c r="K9223">
        <v>1359</v>
      </c>
      <c r="L9223">
        <v>1618</v>
      </c>
      <c r="M9223">
        <v>1</v>
      </c>
      <c r="N9223">
        <v>4.0896400000000001E-59</v>
      </c>
      <c r="O9223">
        <v>573</v>
      </c>
    </row>
    <row r="9224" spans="1:15" x14ac:dyDescent="0.25">
      <c r="A9224" t="s">
        <v>9237</v>
      </c>
      <c r="B9224">
        <v>290</v>
      </c>
      <c r="C9224" s="1" t="str">
        <f>HYPERLINK("http://www.rosaceae.org/gb/gbrowse/malus_x_domestica/?name=MDP0000313341","MDP0000313341")</f>
        <v>MDP0000313341</v>
      </c>
      <c r="D9224">
        <v>63.41</v>
      </c>
      <c r="E9224">
        <v>41</v>
      </c>
      <c r="F9224">
        <v>15</v>
      </c>
      <c r="G9224">
        <v>0</v>
      </c>
      <c r="H9224">
        <v>118</v>
      </c>
      <c r="I9224">
        <v>158</v>
      </c>
      <c r="J9224">
        <v>1</v>
      </c>
      <c r="K9224">
        <v>96</v>
      </c>
      <c r="L9224">
        <v>136</v>
      </c>
      <c r="M9224">
        <v>1</v>
      </c>
      <c r="N9224">
        <v>4.0977200000000001E-8</v>
      </c>
      <c r="O9224">
        <v>134</v>
      </c>
    </row>
    <row r="9225" spans="1:15" x14ac:dyDescent="0.25">
      <c r="A9225" t="s">
        <v>9238</v>
      </c>
      <c r="B9225">
        <v>341</v>
      </c>
      <c r="C9225" s="1" t="str">
        <f>HYPERLINK("http://www.rosaceae.org/gb/gbrowse/malus_x_domestica/?name=MDP0000225207","MDP0000225207")</f>
        <v>MDP0000225207</v>
      </c>
      <c r="D9225">
        <v>75.33</v>
      </c>
      <c r="E9225">
        <v>296</v>
      </c>
      <c r="F9225">
        <v>73</v>
      </c>
      <c r="G9225">
        <v>2</v>
      </c>
      <c r="H9225">
        <v>1</v>
      </c>
      <c r="I9225">
        <v>294</v>
      </c>
      <c r="J9225">
        <v>1</v>
      </c>
      <c r="K9225">
        <v>19</v>
      </c>
      <c r="L9225">
        <v>314</v>
      </c>
      <c r="M9225">
        <v>1</v>
      </c>
      <c r="N9225">
        <v>9.9853300000000004E-129</v>
      </c>
      <c r="O9225">
        <v>1175</v>
      </c>
    </row>
    <row r="9226" spans="1:15" x14ac:dyDescent="0.25">
      <c r="A9226" t="s">
        <v>9239</v>
      </c>
      <c r="B9226">
        <v>275</v>
      </c>
      <c r="C9226" s="1" t="str">
        <f>HYPERLINK("http://www.rosaceae.org/gb/gbrowse/malus_x_domestica/?name=MDP0000159972","MDP0000159972")</f>
        <v>MDP0000159972</v>
      </c>
      <c r="D9226">
        <v>80.5</v>
      </c>
      <c r="E9226">
        <v>159</v>
      </c>
      <c r="F9226">
        <v>31</v>
      </c>
      <c r="G9226">
        <v>15</v>
      </c>
      <c r="H9226">
        <v>1</v>
      </c>
      <c r="I9226">
        <v>144</v>
      </c>
      <c r="J9226">
        <v>1</v>
      </c>
      <c r="K9226">
        <v>1</v>
      </c>
      <c r="L9226">
        <v>159</v>
      </c>
      <c r="M9226">
        <v>1</v>
      </c>
      <c r="N9226">
        <v>7.8647300000000004E-65</v>
      </c>
      <c r="O9226">
        <v>623</v>
      </c>
    </row>
    <row r="9227" spans="1:15" x14ac:dyDescent="0.25">
      <c r="A9227" t="s">
        <v>9240</v>
      </c>
      <c r="B9227">
        <v>708</v>
      </c>
      <c r="C9227" s="1" t="str">
        <f>HYPERLINK("http://www.rosaceae.org/gb/gbrowse/malus_x_domestica/?name=MDP0000232344","MDP0000232344")</f>
        <v>MDP0000232344</v>
      </c>
      <c r="D9227">
        <v>77.77</v>
      </c>
      <c r="E9227">
        <v>657</v>
      </c>
      <c r="F9227">
        <v>146</v>
      </c>
      <c r="G9227">
        <v>26</v>
      </c>
      <c r="H9227">
        <v>1</v>
      </c>
      <c r="I9227">
        <v>633</v>
      </c>
      <c r="J9227">
        <v>1</v>
      </c>
      <c r="K9227">
        <v>119</v>
      </c>
      <c r="L9227">
        <v>773</v>
      </c>
      <c r="M9227">
        <v>1</v>
      </c>
      <c r="N9227">
        <v>0</v>
      </c>
      <c r="O9227">
        <v>2665</v>
      </c>
    </row>
    <row r="9228" spans="1:15" x14ac:dyDescent="0.25">
      <c r="A9228" t="s">
        <v>9241</v>
      </c>
      <c r="B9228">
        <v>817</v>
      </c>
      <c r="C9228" s="1" t="str">
        <f>HYPERLINK("http://www.rosaceae.org/gb/gbrowse/malus_x_domestica/?name=MDP0000189901","MDP0000189901")</f>
        <v>MDP0000189901</v>
      </c>
      <c r="D9228">
        <v>43.01</v>
      </c>
      <c r="E9228">
        <v>809</v>
      </c>
      <c r="F9228">
        <v>461</v>
      </c>
      <c r="G9228">
        <v>57</v>
      </c>
      <c r="H9228">
        <v>9</v>
      </c>
      <c r="I9228">
        <v>811</v>
      </c>
      <c r="J9228">
        <v>1</v>
      </c>
      <c r="K9228">
        <v>12</v>
      </c>
      <c r="L9228">
        <v>769</v>
      </c>
      <c r="M9228">
        <v>1</v>
      </c>
      <c r="N9228">
        <v>2.8641200000000002E-178</v>
      </c>
      <c r="O9228">
        <v>1606</v>
      </c>
    </row>
    <row r="9229" spans="1:15" x14ac:dyDescent="0.25">
      <c r="A9229" t="s">
        <v>9242</v>
      </c>
      <c r="B9229">
        <v>786</v>
      </c>
      <c r="C9229" s="1" t="str">
        <f>HYPERLINK("http://www.rosaceae.org/gb/gbrowse/malus_x_domestica/?name=MDP0000250644","MDP0000250644")</f>
        <v>MDP0000250644</v>
      </c>
      <c r="D9229">
        <v>33.15</v>
      </c>
      <c r="E9229">
        <v>184</v>
      </c>
      <c r="F9229">
        <v>123</v>
      </c>
      <c r="G9229">
        <v>9</v>
      </c>
      <c r="H9229">
        <v>9</v>
      </c>
      <c r="I9229">
        <v>192</v>
      </c>
      <c r="J9229">
        <v>1</v>
      </c>
      <c r="K9229">
        <v>111</v>
      </c>
      <c r="L9229">
        <v>285</v>
      </c>
      <c r="M9229">
        <v>1</v>
      </c>
      <c r="N9229">
        <v>7.5097800000000004E-26</v>
      </c>
      <c r="O9229">
        <v>291</v>
      </c>
    </row>
    <row r="9230" spans="1:15" x14ac:dyDescent="0.25">
      <c r="A9230" t="s">
        <v>9243</v>
      </c>
      <c r="B9230">
        <v>547</v>
      </c>
      <c r="C9230" s="1" t="str">
        <f>HYPERLINK("http://www.rosaceae.org/gb/gbrowse/malus_x_domestica/?name=MDP0000272005","MDP0000272005")</f>
        <v>MDP0000272005</v>
      </c>
      <c r="D9230">
        <v>66.28</v>
      </c>
      <c r="E9230">
        <v>522</v>
      </c>
      <c r="F9230">
        <v>176</v>
      </c>
      <c r="G9230">
        <v>24</v>
      </c>
      <c r="H9230">
        <v>25</v>
      </c>
      <c r="I9230">
        <v>544</v>
      </c>
      <c r="J9230">
        <v>1</v>
      </c>
      <c r="K9230">
        <v>76</v>
      </c>
      <c r="L9230">
        <v>575</v>
      </c>
      <c r="M9230">
        <v>1</v>
      </c>
      <c r="N9230">
        <v>0</v>
      </c>
      <c r="O9230">
        <v>1790</v>
      </c>
    </row>
    <row r="9231" spans="1:15" x14ac:dyDescent="0.25">
      <c r="A9231" t="s">
        <v>9244</v>
      </c>
      <c r="B9231">
        <v>206</v>
      </c>
      <c r="C9231" s="1" t="str">
        <f>HYPERLINK("http://www.rosaceae.org/gb/gbrowse/malus_x_domestica/?name=MDP0000758655","MDP0000758655")</f>
        <v>MDP0000758655</v>
      </c>
      <c r="D9231">
        <v>55.28</v>
      </c>
      <c r="E9231">
        <v>123</v>
      </c>
      <c r="F9231">
        <v>55</v>
      </c>
      <c r="G9231">
        <v>4</v>
      </c>
      <c r="H9231">
        <v>30</v>
      </c>
      <c r="I9231">
        <v>148</v>
      </c>
      <c r="J9231">
        <v>1</v>
      </c>
      <c r="K9231">
        <v>30</v>
      </c>
      <c r="L9231">
        <v>152</v>
      </c>
      <c r="M9231">
        <v>1</v>
      </c>
      <c r="N9231">
        <v>2.6344900000000001E-31</v>
      </c>
      <c r="O9231">
        <v>332</v>
      </c>
    </row>
    <row r="9232" spans="1:15" x14ac:dyDescent="0.25">
      <c r="A9232" t="s">
        <v>9245</v>
      </c>
      <c r="B9232">
        <v>329</v>
      </c>
      <c r="C9232" s="1" t="str">
        <f>HYPERLINK("http://www.rosaceae.org/gb/gbrowse/malus_x_domestica/?name=MDP0000493644","MDP0000493644")</f>
        <v>MDP0000493644</v>
      </c>
      <c r="D9232">
        <v>64.83</v>
      </c>
      <c r="E9232">
        <v>310</v>
      </c>
      <c r="F9232">
        <v>109</v>
      </c>
      <c r="G9232">
        <v>11</v>
      </c>
      <c r="H9232">
        <v>19</v>
      </c>
      <c r="I9232">
        <v>321</v>
      </c>
      <c r="J9232">
        <v>1</v>
      </c>
      <c r="K9232">
        <v>1</v>
      </c>
      <c r="L9232">
        <v>306</v>
      </c>
      <c r="M9232">
        <v>1</v>
      </c>
      <c r="N9232">
        <v>1.99102E-101</v>
      </c>
      <c r="O9232">
        <v>939</v>
      </c>
    </row>
    <row r="9233" spans="1:15" x14ac:dyDescent="0.25">
      <c r="A9233" t="s">
        <v>9246</v>
      </c>
      <c r="B9233">
        <v>524</v>
      </c>
      <c r="C9233" s="1" t="str">
        <f>HYPERLINK("http://www.rosaceae.org/gb/gbrowse/malus_x_domestica/?name=MDP0000686221","MDP0000686221")</f>
        <v>MDP0000686221</v>
      </c>
      <c r="D9233">
        <v>33.04</v>
      </c>
      <c r="E9233">
        <v>351</v>
      </c>
      <c r="F9233">
        <v>235</v>
      </c>
      <c r="G9233">
        <v>59</v>
      </c>
      <c r="H9233">
        <v>28</v>
      </c>
      <c r="I9233">
        <v>348</v>
      </c>
      <c r="J9233">
        <v>1</v>
      </c>
      <c r="K9233">
        <v>781</v>
      </c>
      <c r="L9233">
        <v>1102</v>
      </c>
      <c r="M9233">
        <v>1</v>
      </c>
      <c r="N9233">
        <v>2.1342500000000001E-30</v>
      </c>
      <c r="O9233">
        <v>329</v>
      </c>
    </row>
    <row r="9234" spans="1:15" x14ac:dyDescent="0.25">
      <c r="A9234" t="s">
        <v>9247</v>
      </c>
      <c r="B9234">
        <v>535</v>
      </c>
      <c r="C9234" s="1" t="str">
        <f>HYPERLINK("http://www.rosaceae.org/gb/gbrowse/malus_x_domestica/?name=MDP0000940086","MDP0000940086")</f>
        <v>MDP0000940086</v>
      </c>
      <c r="D9234">
        <v>72.33</v>
      </c>
      <c r="E9234">
        <v>535</v>
      </c>
      <c r="F9234">
        <v>148</v>
      </c>
      <c r="G9234">
        <v>2</v>
      </c>
      <c r="H9234">
        <v>1</v>
      </c>
      <c r="I9234">
        <v>533</v>
      </c>
      <c r="J9234">
        <v>1</v>
      </c>
      <c r="K9234">
        <v>1</v>
      </c>
      <c r="L9234">
        <v>535</v>
      </c>
      <c r="M9234">
        <v>1</v>
      </c>
      <c r="N9234">
        <v>0</v>
      </c>
      <c r="O9234">
        <v>2028</v>
      </c>
    </row>
    <row r="9235" spans="1:15" x14ac:dyDescent="0.25">
      <c r="A9235" t="s">
        <v>9248</v>
      </c>
      <c r="B9235">
        <v>167</v>
      </c>
      <c r="C9235" s="1" t="str">
        <f>HYPERLINK("http://www.rosaceae.org/gb/gbrowse/malus_x_domestica/?name=MDP0000136726","MDP0000136726")</f>
        <v>MDP0000136726</v>
      </c>
      <c r="D9235">
        <v>60.66</v>
      </c>
      <c r="E9235">
        <v>150</v>
      </c>
      <c r="F9235">
        <v>59</v>
      </c>
      <c r="G9235">
        <v>0</v>
      </c>
      <c r="H9235">
        <v>18</v>
      </c>
      <c r="I9235">
        <v>167</v>
      </c>
      <c r="J9235">
        <v>1</v>
      </c>
      <c r="K9235">
        <v>22</v>
      </c>
      <c r="L9235">
        <v>171</v>
      </c>
      <c r="M9235">
        <v>1</v>
      </c>
      <c r="N9235">
        <v>1.6313900000000001E-48</v>
      </c>
      <c r="O9235">
        <v>479</v>
      </c>
    </row>
    <row r="9236" spans="1:15" x14ac:dyDescent="0.25">
      <c r="A9236" t="s">
        <v>9249</v>
      </c>
      <c r="B9236">
        <v>380</v>
      </c>
      <c r="C9236" s="1" t="str">
        <f>HYPERLINK("http://www.rosaceae.org/gb/gbrowse/malus_x_domestica/?name=MDP0000641167","MDP0000641167")</f>
        <v>MDP0000641167</v>
      </c>
      <c r="D9236">
        <v>49.77</v>
      </c>
      <c r="E9236">
        <v>227</v>
      </c>
      <c r="F9236">
        <v>114</v>
      </c>
      <c r="G9236">
        <v>8</v>
      </c>
      <c r="H9236">
        <v>28</v>
      </c>
      <c r="I9236">
        <v>254</v>
      </c>
      <c r="J9236">
        <v>1</v>
      </c>
      <c r="K9236">
        <v>29</v>
      </c>
      <c r="L9236">
        <v>247</v>
      </c>
      <c r="M9236">
        <v>1</v>
      </c>
      <c r="N9236">
        <v>4.0439799999999999E-63</v>
      </c>
      <c r="O9236">
        <v>610</v>
      </c>
    </row>
    <row r="9237" spans="1:15" x14ac:dyDescent="0.25">
      <c r="A9237" t="s">
        <v>9250</v>
      </c>
      <c r="B9237">
        <v>514</v>
      </c>
      <c r="C9237" s="1" t="str">
        <f>HYPERLINK("http://www.rosaceae.org/gb/gbrowse/malus_x_domestica/?name=MDP0000285057","MDP0000285057")</f>
        <v>MDP0000285057</v>
      </c>
      <c r="D9237">
        <v>73.150000000000006</v>
      </c>
      <c r="E9237">
        <v>473</v>
      </c>
      <c r="F9237">
        <v>127</v>
      </c>
      <c r="G9237">
        <v>6</v>
      </c>
      <c r="H9237">
        <v>32</v>
      </c>
      <c r="I9237">
        <v>504</v>
      </c>
      <c r="J9237">
        <v>1</v>
      </c>
      <c r="K9237">
        <v>10</v>
      </c>
      <c r="L9237">
        <v>476</v>
      </c>
      <c r="M9237">
        <v>1</v>
      </c>
      <c r="N9237">
        <v>0</v>
      </c>
      <c r="O9237">
        <v>1873</v>
      </c>
    </row>
    <row r="9238" spans="1:15" x14ac:dyDescent="0.25">
      <c r="A9238" t="s">
        <v>9251</v>
      </c>
      <c r="B9238">
        <v>669</v>
      </c>
      <c r="C9238" s="1" t="str">
        <f>HYPERLINK("http://www.rosaceae.org/gb/gbrowse/malus_x_domestica/?name=MDP0000699025","MDP0000699025")</f>
        <v>MDP0000699025</v>
      </c>
      <c r="D9238">
        <v>77.81</v>
      </c>
      <c r="E9238">
        <v>667</v>
      </c>
      <c r="F9238">
        <v>148</v>
      </c>
      <c r="G9238">
        <v>33</v>
      </c>
      <c r="H9238">
        <v>7</v>
      </c>
      <c r="I9238">
        <v>669</v>
      </c>
      <c r="J9238">
        <v>1</v>
      </c>
      <c r="K9238">
        <v>168</v>
      </c>
      <c r="L9238">
        <v>805</v>
      </c>
      <c r="M9238">
        <v>1</v>
      </c>
      <c r="N9238">
        <v>0</v>
      </c>
      <c r="O9238">
        <v>2734</v>
      </c>
    </row>
    <row r="9239" spans="1:15" x14ac:dyDescent="0.25">
      <c r="A9239" t="s">
        <v>9252</v>
      </c>
      <c r="B9239">
        <v>344</v>
      </c>
      <c r="C9239" s="1" t="str">
        <f>HYPERLINK("http://www.rosaceae.org/gb/gbrowse/malus_x_domestica/?name=MDP0000167223","MDP0000167223")</f>
        <v>MDP0000167223</v>
      </c>
      <c r="D9239">
        <v>32.11</v>
      </c>
      <c r="E9239">
        <v>218</v>
      </c>
      <c r="F9239">
        <v>148</v>
      </c>
      <c r="G9239">
        <v>21</v>
      </c>
      <c r="H9239">
        <v>80</v>
      </c>
      <c r="I9239">
        <v>297</v>
      </c>
      <c r="J9239">
        <v>1</v>
      </c>
      <c r="K9239">
        <v>295</v>
      </c>
      <c r="L9239">
        <v>491</v>
      </c>
      <c r="M9239">
        <v>1</v>
      </c>
      <c r="N9239">
        <v>4.4597900000000002E-17</v>
      </c>
      <c r="O9239">
        <v>212</v>
      </c>
    </row>
    <row r="9240" spans="1:15" x14ac:dyDescent="0.25">
      <c r="A9240" t="s">
        <v>9253</v>
      </c>
      <c r="B9240">
        <v>559</v>
      </c>
      <c r="C9240" s="1" t="str">
        <f>HYPERLINK("http://www.rosaceae.org/gb/gbrowse/malus_x_domestica/?name=MDP0000680699","MDP0000680699")</f>
        <v>MDP0000680699</v>
      </c>
      <c r="D9240">
        <v>78.22</v>
      </c>
      <c r="E9240">
        <v>418</v>
      </c>
      <c r="F9240">
        <v>91</v>
      </c>
      <c r="G9240">
        <v>26</v>
      </c>
      <c r="H9240">
        <v>142</v>
      </c>
      <c r="I9240">
        <v>559</v>
      </c>
      <c r="J9240">
        <v>1</v>
      </c>
      <c r="K9240">
        <v>40</v>
      </c>
      <c r="L9240">
        <v>431</v>
      </c>
      <c r="M9240">
        <v>1</v>
      </c>
      <c r="N9240">
        <v>0</v>
      </c>
      <c r="O9240">
        <v>1810</v>
      </c>
    </row>
    <row r="9241" spans="1:15" x14ac:dyDescent="0.25">
      <c r="A9241" t="s">
        <v>9254</v>
      </c>
      <c r="B9241">
        <v>444</v>
      </c>
      <c r="C9241" s="1" t="str">
        <f>HYPERLINK("http://www.rosaceae.org/gb/gbrowse/malus_x_domestica/?name=MDP0000130090","MDP0000130090")</f>
        <v>MDP0000130090</v>
      </c>
      <c r="D9241">
        <v>67.8</v>
      </c>
      <c r="E9241">
        <v>382</v>
      </c>
      <c r="F9241">
        <v>123</v>
      </c>
      <c r="G9241">
        <v>12</v>
      </c>
      <c r="H9241">
        <v>74</v>
      </c>
      <c r="I9241">
        <v>444</v>
      </c>
      <c r="J9241">
        <v>1</v>
      </c>
      <c r="K9241">
        <v>21</v>
      </c>
      <c r="L9241">
        <v>401</v>
      </c>
      <c r="M9241">
        <v>1</v>
      </c>
      <c r="N9241">
        <v>2.7940699999999998E-143</v>
      </c>
      <c r="O9241">
        <v>1302</v>
      </c>
    </row>
    <row r="9242" spans="1:15" x14ac:dyDescent="0.25">
      <c r="A9242" t="s">
        <v>9255</v>
      </c>
      <c r="B9242">
        <v>640</v>
      </c>
      <c r="C9242" s="1" t="str">
        <f>HYPERLINK("http://www.rosaceae.org/gb/gbrowse/malus_x_domestica/?name=MDP0000128931","MDP0000128931")</f>
        <v>MDP0000128931</v>
      </c>
      <c r="D9242">
        <v>84.72</v>
      </c>
      <c r="E9242">
        <v>661</v>
      </c>
      <c r="F9242">
        <v>101</v>
      </c>
      <c r="G9242">
        <v>21</v>
      </c>
      <c r="H9242">
        <v>1</v>
      </c>
      <c r="I9242">
        <v>640</v>
      </c>
      <c r="J9242">
        <v>1</v>
      </c>
      <c r="K9242">
        <v>1</v>
      </c>
      <c r="L9242">
        <v>661</v>
      </c>
      <c r="M9242">
        <v>1</v>
      </c>
      <c r="N9242">
        <v>0</v>
      </c>
      <c r="O9242">
        <v>2946</v>
      </c>
    </row>
    <row r="9243" spans="1:15" x14ac:dyDescent="0.25">
      <c r="A9243" t="s">
        <v>9256</v>
      </c>
      <c r="B9243">
        <v>900</v>
      </c>
      <c r="C9243" s="1" t="str">
        <f>HYPERLINK("http://www.rosaceae.org/gb/gbrowse/malus_x_domestica/?name=MDP0000241976","MDP0000241976")</f>
        <v>MDP0000241976</v>
      </c>
      <c r="D9243">
        <v>82.36</v>
      </c>
      <c r="E9243">
        <v>754</v>
      </c>
      <c r="F9243">
        <v>133</v>
      </c>
      <c r="G9243">
        <v>12</v>
      </c>
      <c r="H9243">
        <v>1</v>
      </c>
      <c r="I9243">
        <v>746</v>
      </c>
      <c r="J9243">
        <v>1</v>
      </c>
      <c r="K9243">
        <v>1</v>
      </c>
      <c r="L9243">
        <v>750</v>
      </c>
      <c r="M9243">
        <v>1</v>
      </c>
      <c r="N9243">
        <v>0</v>
      </c>
      <c r="O9243">
        <v>3226</v>
      </c>
    </row>
    <row r="9244" spans="1:15" x14ac:dyDescent="0.25">
      <c r="A9244" t="s">
        <v>9257</v>
      </c>
      <c r="B9244">
        <v>203</v>
      </c>
      <c r="C9244" s="1" t="str">
        <f>HYPERLINK("http://www.rosaceae.org/gb/gbrowse/malus_x_domestica/?name=MDP0000292445","MDP0000292445")</f>
        <v>MDP0000292445</v>
      </c>
      <c r="D9244">
        <v>85.71</v>
      </c>
      <c r="E9244">
        <v>70</v>
      </c>
      <c r="F9244">
        <v>10</v>
      </c>
      <c r="G9244">
        <v>0</v>
      </c>
      <c r="H9244">
        <v>102</v>
      </c>
      <c r="I9244">
        <v>171</v>
      </c>
      <c r="J9244">
        <v>1</v>
      </c>
      <c r="K9244">
        <v>424</v>
      </c>
      <c r="L9244">
        <v>493</v>
      </c>
      <c r="M9244">
        <v>1</v>
      </c>
      <c r="N9244">
        <v>5.4102799999999996E-29</v>
      </c>
      <c r="O9244">
        <v>312</v>
      </c>
    </row>
    <row r="9245" spans="1:15" x14ac:dyDescent="0.25">
      <c r="A9245" t="s">
        <v>9258</v>
      </c>
      <c r="B9245">
        <v>177</v>
      </c>
      <c r="C9245" s="1" t="str">
        <f>HYPERLINK("http://www.rosaceae.org/gb/gbrowse/malus_x_domestica/?name=MDP0000549785","MDP0000549785")</f>
        <v>MDP0000549785</v>
      </c>
      <c r="D9245">
        <v>48.48</v>
      </c>
      <c r="E9245">
        <v>132</v>
      </c>
      <c r="F9245">
        <v>68</v>
      </c>
      <c r="G9245">
        <v>6</v>
      </c>
      <c r="H9245">
        <v>47</v>
      </c>
      <c r="I9245">
        <v>174</v>
      </c>
      <c r="J9245">
        <v>1</v>
      </c>
      <c r="K9245">
        <v>87</v>
      </c>
      <c r="L9245">
        <v>216</v>
      </c>
      <c r="M9245">
        <v>1</v>
      </c>
      <c r="N9245">
        <v>1.29684E-30</v>
      </c>
      <c r="O9245">
        <v>325</v>
      </c>
    </row>
    <row r="9246" spans="1:15" x14ac:dyDescent="0.25">
      <c r="A9246" t="s">
        <v>9259</v>
      </c>
      <c r="B9246">
        <v>745</v>
      </c>
      <c r="C9246" s="1" t="str">
        <f>HYPERLINK("http://www.rosaceae.org/gb/gbrowse/malus_x_domestica/?name=MDP0000155696","MDP0000155696")</f>
        <v>MDP0000155696</v>
      </c>
      <c r="D9246">
        <v>64.260000000000005</v>
      </c>
      <c r="E9246">
        <v>568</v>
      </c>
      <c r="F9246">
        <v>203</v>
      </c>
      <c r="G9246">
        <v>31</v>
      </c>
      <c r="H9246">
        <v>71</v>
      </c>
      <c r="I9246">
        <v>638</v>
      </c>
      <c r="J9246">
        <v>1</v>
      </c>
      <c r="K9246">
        <v>50</v>
      </c>
      <c r="L9246">
        <v>586</v>
      </c>
      <c r="M9246">
        <v>1</v>
      </c>
      <c r="N9246">
        <v>0</v>
      </c>
      <c r="O9246">
        <v>1913</v>
      </c>
    </row>
    <row r="9247" spans="1:15" x14ac:dyDescent="0.25">
      <c r="A9247" t="s">
        <v>9260</v>
      </c>
      <c r="B9247">
        <v>320</v>
      </c>
      <c r="C9247" s="1" t="str">
        <f>HYPERLINK("http://www.rosaceae.org/gb/gbrowse/malus_x_domestica/?name=MDP0000216139","MDP0000216139")</f>
        <v>MDP0000216139</v>
      </c>
      <c r="D9247">
        <v>37.25</v>
      </c>
      <c r="E9247">
        <v>357</v>
      </c>
      <c r="F9247">
        <v>224</v>
      </c>
      <c r="G9247">
        <v>52</v>
      </c>
      <c r="H9247">
        <v>1</v>
      </c>
      <c r="I9247">
        <v>311</v>
      </c>
      <c r="J9247">
        <v>1</v>
      </c>
      <c r="K9247">
        <v>133</v>
      </c>
      <c r="L9247">
        <v>483</v>
      </c>
      <c r="M9247">
        <v>1</v>
      </c>
      <c r="N9247">
        <v>2.4510800000000001E-49</v>
      </c>
      <c r="O9247">
        <v>490</v>
      </c>
    </row>
    <row r="9248" spans="1:15" x14ac:dyDescent="0.25">
      <c r="A9248" t="s">
        <v>9261</v>
      </c>
      <c r="B9248">
        <v>175</v>
      </c>
      <c r="C9248" s="1" t="str">
        <f>HYPERLINK("http://www.rosaceae.org/gb/gbrowse/malus_x_domestica/?name=MDP0000492069","MDP0000492069")</f>
        <v>MDP0000492069</v>
      </c>
      <c r="D9248">
        <v>69.709999999999994</v>
      </c>
      <c r="E9248">
        <v>175</v>
      </c>
      <c r="F9248">
        <v>53</v>
      </c>
      <c r="G9248">
        <v>2</v>
      </c>
      <c r="H9248">
        <v>1</v>
      </c>
      <c r="I9248">
        <v>175</v>
      </c>
      <c r="J9248">
        <v>1</v>
      </c>
      <c r="K9248">
        <v>1</v>
      </c>
      <c r="L9248">
        <v>173</v>
      </c>
      <c r="M9248">
        <v>1</v>
      </c>
      <c r="N9248">
        <v>4.44903E-64</v>
      </c>
      <c r="O9248">
        <v>613</v>
      </c>
    </row>
    <row r="9249" spans="1:15" x14ac:dyDescent="0.25">
      <c r="A9249" t="s">
        <v>9262</v>
      </c>
      <c r="B9249">
        <v>724</v>
      </c>
      <c r="C9249" s="1" t="str">
        <f>HYPERLINK("http://www.rosaceae.org/gb/gbrowse/malus_x_domestica/?name=MDP0000136877","MDP0000136877")</f>
        <v>MDP0000136877</v>
      </c>
      <c r="D9249">
        <v>61.32</v>
      </c>
      <c r="E9249">
        <v>742</v>
      </c>
      <c r="F9249">
        <v>287</v>
      </c>
      <c r="G9249">
        <v>118</v>
      </c>
      <c r="H9249">
        <v>49</v>
      </c>
      <c r="I9249">
        <v>724</v>
      </c>
      <c r="J9249">
        <v>1</v>
      </c>
      <c r="K9249">
        <v>1</v>
      </c>
      <c r="L9249">
        <v>690</v>
      </c>
      <c r="M9249">
        <v>1</v>
      </c>
      <c r="N9249">
        <v>0</v>
      </c>
      <c r="O9249">
        <v>2135</v>
      </c>
    </row>
    <row r="9250" spans="1:15" x14ac:dyDescent="0.25">
      <c r="A9250" t="s">
        <v>9263</v>
      </c>
      <c r="B9250">
        <v>224</v>
      </c>
      <c r="C9250" s="1" t="str">
        <f>HYPERLINK("http://www.rosaceae.org/gb/gbrowse/malus_x_domestica/?name=MDP0000177833","MDP0000177833")</f>
        <v>MDP0000177833</v>
      </c>
      <c r="D9250">
        <v>87.89</v>
      </c>
      <c r="E9250">
        <v>223</v>
      </c>
      <c r="F9250">
        <v>27</v>
      </c>
      <c r="G9250">
        <v>2</v>
      </c>
      <c r="H9250">
        <v>1</v>
      </c>
      <c r="I9250">
        <v>223</v>
      </c>
      <c r="J9250">
        <v>1</v>
      </c>
      <c r="K9250">
        <v>1</v>
      </c>
      <c r="L9250">
        <v>221</v>
      </c>
      <c r="M9250">
        <v>1</v>
      </c>
      <c r="N9250">
        <v>5.3253500000000002E-114</v>
      </c>
      <c r="O9250">
        <v>1045</v>
      </c>
    </row>
    <row r="9251" spans="1:15" x14ac:dyDescent="0.25">
      <c r="A9251" t="s">
        <v>9264</v>
      </c>
      <c r="B9251">
        <v>1072</v>
      </c>
      <c r="C9251" s="1" t="str">
        <f>HYPERLINK("http://www.rosaceae.org/gb/gbrowse/malus_x_domestica/?name=MDP0000184528","MDP0000184528")</f>
        <v>MDP0000184528</v>
      </c>
      <c r="D9251">
        <v>71.790000000000006</v>
      </c>
      <c r="E9251">
        <v>390</v>
      </c>
      <c r="F9251">
        <v>110</v>
      </c>
      <c r="G9251">
        <v>11</v>
      </c>
      <c r="H9251">
        <v>694</v>
      </c>
      <c r="I9251">
        <v>1072</v>
      </c>
      <c r="J9251">
        <v>1</v>
      </c>
      <c r="K9251">
        <v>93</v>
      </c>
      <c r="L9251">
        <v>482</v>
      </c>
      <c r="M9251">
        <v>1</v>
      </c>
      <c r="N9251">
        <v>4.1898899999999999E-156</v>
      </c>
      <c r="O9251">
        <v>1416</v>
      </c>
    </row>
    <row r="9252" spans="1:15" x14ac:dyDescent="0.25">
      <c r="A9252" t="s">
        <v>9265</v>
      </c>
      <c r="B9252">
        <v>486</v>
      </c>
      <c r="C9252" s="1" t="str">
        <f>HYPERLINK("http://www.rosaceae.org/gb/gbrowse/malus_x_domestica/?name=MDP0000558147","MDP0000558147")</f>
        <v>MDP0000558147</v>
      </c>
      <c r="D9252">
        <v>71.33</v>
      </c>
      <c r="E9252">
        <v>471</v>
      </c>
      <c r="F9252">
        <v>135</v>
      </c>
      <c r="G9252">
        <v>11</v>
      </c>
      <c r="H9252">
        <v>1</v>
      </c>
      <c r="I9252">
        <v>471</v>
      </c>
      <c r="J9252">
        <v>1</v>
      </c>
      <c r="K9252">
        <v>1</v>
      </c>
      <c r="L9252">
        <v>460</v>
      </c>
      <c r="M9252">
        <v>1</v>
      </c>
      <c r="N9252">
        <v>0</v>
      </c>
      <c r="O9252">
        <v>1797</v>
      </c>
    </row>
    <row r="9253" spans="1:15" x14ac:dyDescent="0.25">
      <c r="A9253" t="s">
        <v>9266</v>
      </c>
      <c r="B9253">
        <v>169</v>
      </c>
      <c r="C9253" s="1" t="str">
        <f>HYPERLINK("http://www.rosaceae.org/gb/gbrowse/malus_x_domestica/?name=MDP0000926265","MDP0000926265")</f>
        <v>MDP0000926265</v>
      </c>
      <c r="D9253">
        <v>54.6</v>
      </c>
      <c r="E9253">
        <v>141</v>
      </c>
      <c r="F9253">
        <v>64</v>
      </c>
      <c r="G9253">
        <v>3</v>
      </c>
      <c r="H9253">
        <v>30</v>
      </c>
      <c r="I9253">
        <v>169</v>
      </c>
      <c r="J9253">
        <v>1</v>
      </c>
      <c r="K9253">
        <v>2</v>
      </c>
      <c r="L9253">
        <v>140</v>
      </c>
      <c r="M9253">
        <v>1</v>
      </c>
      <c r="N9253">
        <v>4.7338300000000004E-38</v>
      </c>
      <c r="O9253">
        <v>388</v>
      </c>
    </row>
    <row r="9254" spans="1:15" x14ac:dyDescent="0.25">
      <c r="A9254" t="s">
        <v>9267</v>
      </c>
      <c r="B9254">
        <v>269</v>
      </c>
      <c r="C9254" s="1" t="str">
        <f>HYPERLINK("http://www.rosaceae.org/gb/gbrowse/malus_x_domestica/?name=MDP0000297823","MDP0000297823")</f>
        <v>MDP0000297823</v>
      </c>
      <c r="D9254">
        <v>44.28</v>
      </c>
      <c r="E9254">
        <v>70</v>
      </c>
      <c r="F9254">
        <v>39</v>
      </c>
      <c r="G9254">
        <v>6</v>
      </c>
      <c r="H9254">
        <v>3</v>
      </c>
      <c r="I9254">
        <v>72</v>
      </c>
      <c r="J9254">
        <v>1</v>
      </c>
      <c r="K9254">
        <v>108</v>
      </c>
      <c r="L9254">
        <v>171</v>
      </c>
      <c r="M9254">
        <v>1</v>
      </c>
      <c r="N9254">
        <v>1.9809600000000002E-8</v>
      </c>
      <c r="O9254">
        <v>136</v>
      </c>
    </row>
    <row r="9255" spans="1:15" x14ac:dyDescent="0.25">
      <c r="A9255" t="s">
        <v>9268</v>
      </c>
      <c r="B9255">
        <v>438</v>
      </c>
      <c r="C9255" s="1" t="str">
        <f>HYPERLINK("http://www.rosaceae.org/gb/gbrowse/malus_x_domestica/?name=MDP0000197160","MDP0000197160")</f>
        <v>MDP0000197160</v>
      </c>
      <c r="D9255">
        <v>67.959999999999994</v>
      </c>
      <c r="E9255">
        <v>412</v>
      </c>
      <c r="F9255">
        <v>132</v>
      </c>
      <c r="G9255">
        <v>19</v>
      </c>
      <c r="H9255">
        <v>34</v>
      </c>
      <c r="I9255">
        <v>438</v>
      </c>
      <c r="J9255">
        <v>1</v>
      </c>
      <c r="K9255">
        <v>45</v>
      </c>
      <c r="L9255">
        <v>444</v>
      </c>
      <c r="M9255">
        <v>1</v>
      </c>
      <c r="N9255">
        <v>7.94917E-153</v>
      </c>
      <c r="O9255">
        <v>1384</v>
      </c>
    </row>
    <row r="9256" spans="1:15" x14ac:dyDescent="0.25">
      <c r="A9256" t="s">
        <v>9269</v>
      </c>
      <c r="B9256">
        <v>167</v>
      </c>
      <c r="C9256" s="1" t="str">
        <f>HYPERLINK("http://www.rosaceae.org/gb/gbrowse/malus_x_domestica/?name=MDP0000260844","MDP0000260844")</f>
        <v>MDP0000260844</v>
      </c>
      <c r="D9256">
        <v>65.92</v>
      </c>
      <c r="E9256">
        <v>179</v>
      </c>
      <c r="F9256">
        <v>61</v>
      </c>
      <c r="G9256">
        <v>12</v>
      </c>
      <c r="H9256">
        <v>1</v>
      </c>
      <c r="I9256">
        <v>167</v>
      </c>
      <c r="J9256">
        <v>1</v>
      </c>
      <c r="K9256">
        <v>64</v>
      </c>
      <c r="L9256">
        <v>242</v>
      </c>
      <c r="M9256">
        <v>1</v>
      </c>
      <c r="N9256">
        <v>3.9311799999999996E-65</v>
      </c>
      <c r="O9256">
        <v>622</v>
      </c>
    </row>
    <row r="9257" spans="1:15" x14ac:dyDescent="0.25">
      <c r="A9257" t="s">
        <v>9270</v>
      </c>
      <c r="B9257">
        <v>530</v>
      </c>
      <c r="C9257" s="1" t="str">
        <f>HYPERLINK("http://www.rosaceae.org/gb/gbrowse/malus_x_domestica/?name=MDP0000272096","MDP0000272096")</f>
        <v>MDP0000272096</v>
      </c>
      <c r="D9257">
        <v>77.319999999999993</v>
      </c>
      <c r="E9257">
        <v>419</v>
      </c>
      <c r="F9257">
        <v>95</v>
      </c>
      <c r="G9257">
        <v>0</v>
      </c>
      <c r="H9257">
        <v>24</v>
      </c>
      <c r="I9257">
        <v>442</v>
      </c>
      <c r="J9257">
        <v>1</v>
      </c>
      <c r="K9257">
        <v>23</v>
      </c>
      <c r="L9257">
        <v>441</v>
      </c>
      <c r="M9257">
        <v>1</v>
      </c>
      <c r="N9257">
        <v>0</v>
      </c>
      <c r="O9257">
        <v>1801</v>
      </c>
    </row>
    <row r="9258" spans="1:15" x14ac:dyDescent="0.25">
      <c r="A9258" t="s">
        <v>9271</v>
      </c>
      <c r="B9258">
        <v>184</v>
      </c>
      <c r="C9258" s="1" t="str">
        <f>HYPERLINK("http://www.rosaceae.org/gb/gbrowse/malus_x_domestica/?name=MDP0000237964","MDP0000237964")</f>
        <v>MDP0000237964</v>
      </c>
      <c r="D9258">
        <v>79.64</v>
      </c>
      <c r="E9258">
        <v>167</v>
      </c>
      <c r="F9258">
        <v>34</v>
      </c>
      <c r="G9258">
        <v>0</v>
      </c>
      <c r="H9258">
        <v>1</v>
      </c>
      <c r="I9258">
        <v>167</v>
      </c>
      <c r="J9258">
        <v>1</v>
      </c>
      <c r="K9258">
        <v>400</v>
      </c>
      <c r="L9258">
        <v>566</v>
      </c>
      <c r="M9258">
        <v>1</v>
      </c>
      <c r="N9258">
        <v>1.33555E-74</v>
      </c>
      <c r="O9258">
        <v>704</v>
      </c>
    </row>
    <row r="9259" spans="1:15" x14ac:dyDescent="0.25">
      <c r="A9259" t="s">
        <v>9272</v>
      </c>
      <c r="B9259">
        <v>115</v>
      </c>
      <c r="C9259" s="1" t="str">
        <f>HYPERLINK("http://www.rosaceae.org/gb/gbrowse/malus_x_domestica/?name=MDP0000363784","MDP0000363784")</f>
        <v>MDP0000363784</v>
      </c>
      <c r="D9259">
        <v>76.36</v>
      </c>
      <c r="E9259">
        <v>55</v>
      </c>
      <c r="F9259">
        <v>13</v>
      </c>
      <c r="G9259">
        <v>0</v>
      </c>
      <c r="H9259">
        <v>61</v>
      </c>
      <c r="I9259">
        <v>115</v>
      </c>
      <c r="J9259">
        <v>1</v>
      </c>
      <c r="K9259">
        <v>10</v>
      </c>
      <c r="L9259">
        <v>64</v>
      </c>
      <c r="M9259">
        <v>1</v>
      </c>
      <c r="N9259">
        <v>5.6087000000000004E-19</v>
      </c>
      <c r="O9259">
        <v>221</v>
      </c>
    </row>
    <row r="9260" spans="1:15" x14ac:dyDescent="0.25">
      <c r="A9260" t="s">
        <v>9273</v>
      </c>
      <c r="B9260">
        <v>255</v>
      </c>
      <c r="C9260" s="1" t="str">
        <f>HYPERLINK("http://www.rosaceae.org/gb/gbrowse/malus_x_domestica/?name=MDP0000216956","MDP0000216956")</f>
        <v>MDP0000216956</v>
      </c>
      <c r="D9260">
        <v>28.5</v>
      </c>
      <c r="E9260">
        <v>200</v>
      </c>
      <c r="F9260">
        <v>143</v>
      </c>
      <c r="G9260">
        <v>27</v>
      </c>
      <c r="H9260">
        <v>52</v>
      </c>
      <c r="I9260">
        <v>243</v>
      </c>
      <c r="J9260">
        <v>1</v>
      </c>
      <c r="K9260">
        <v>63</v>
      </c>
      <c r="L9260">
        <v>243</v>
      </c>
      <c r="M9260">
        <v>1</v>
      </c>
      <c r="N9260">
        <v>1.8005600000000001E-13</v>
      </c>
      <c r="O9260">
        <v>179</v>
      </c>
    </row>
    <row r="9261" spans="1:15" x14ac:dyDescent="0.25">
      <c r="A9261" t="s">
        <v>9274</v>
      </c>
      <c r="B9261">
        <v>69</v>
      </c>
      <c r="C9261" s="1" t="str">
        <f>HYPERLINK("http://www.rosaceae.org/gb/gbrowse/malus_x_domestica/?name=MDP0000518168","MDP0000518168")</f>
        <v>MDP0000518168</v>
      </c>
      <c r="D9261">
        <v>51.11</v>
      </c>
      <c r="E9261">
        <v>45</v>
      </c>
      <c r="F9261">
        <v>22</v>
      </c>
      <c r="G9261">
        <v>0</v>
      </c>
      <c r="H9261">
        <v>17</v>
      </c>
      <c r="I9261">
        <v>61</v>
      </c>
      <c r="J9261">
        <v>1</v>
      </c>
      <c r="K9261">
        <v>273</v>
      </c>
      <c r="L9261">
        <v>317</v>
      </c>
      <c r="M9261">
        <v>1</v>
      </c>
      <c r="N9261">
        <v>1.27672E-8</v>
      </c>
      <c r="O9261">
        <v>132</v>
      </c>
    </row>
    <row r="9262" spans="1:15" x14ac:dyDescent="0.25">
      <c r="A9262" t="s">
        <v>9275</v>
      </c>
      <c r="B9262">
        <v>332</v>
      </c>
      <c r="C9262" s="1" t="str">
        <f>HYPERLINK("http://www.rosaceae.org/gb/gbrowse/malus_x_domestica/?name=MDP0000458203","MDP0000458203")</f>
        <v>MDP0000458203</v>
      </c>
      <c r="D9262">
        <v>57.95</v>
      </c>
      <c r="E9262">
        <v>283</v>
      </c>
      <c r="F9262">
        <v>119</v>
      </c>
      <c r="G9262">
        <v>6</v>
      </c>
      <c r="H9262">
        <v>51</v>
      </c>
      <c r="I9262">
        <v>332</v>
      </c>
      <c r="J9262">
        <v>1</v>
      </c>
      <c r="K9262">
        <v>38</v>
      </c>
      <c r="L9262">
        <v>315</v>
      </c>
      <c r="M9262">
        <v>1</v>
      </c>
      <c r="N9262">
        <v>8.1467599999999993E-93</v>
      </c>
      <c r="O9262">
        <v>865</v>
      </c>
    </row>
    <row r="9263" spans="1:15" x14ac:dyDescent="0.25">
      <c r="A9263" t="s">
        <v>9276</v>
      </c>
      <c r="B9263">
        <v>498</v>
      </c>
      <c r="C9263" s="1" t="str">
        <f>HYPERLINK("http://www.rosaceae.org/gb/gbrowse/malus_x_domestica/?name=MDP0000241635","MDP0000241635")</f>
        <v>MDP0000241635</v>
      </c>
      <c r="D9263">
        <v>41.17</v>
      </c>
      <c r="E9263">
        <v>391</v>
      </c>
      <c r="F9263">
        <v>230</v>
      </c>
      <c r="G9263">
        <v>28</v>
      </c>
      <c r="H9263">
        <v>1</v>
      </c>
      <c r="I9263">
        <v>381</v>
      </c>
      <c r="J9263">
        <v>1</v>
      </c>
      <c r="K9263">
        <v>60</v>
      </c>
      <c r="L9263">
        <v>432</v>
      </c>
      <c r="M9263">
        <v>1</v>
      </c>
      <c r="N9263">
        <v>1.74563E-69</v>
      </c>
      <c r="O9263">
        <v>666</v>
      </c>
    </row>
    <row r="9264" spans="1:15" x14ac:dyDescent="0.25">
      <c r="A9264" t="s">
        <v>9277</v>
      </c>
      <c r="B9264">
        <v>341</v>
      </c>
      <c r="C9264" s="1" t="str">
        <f>HYPERLINK("http://www.rosaceae.org/gb/gbrowse/malus_x_domestica/?name=MDP0000857608","MDP0000857608")</f>
        <v>MDP0000857608</v>
      </c>
      <c r="D9264">
        <v>60.36</v>
      </c>
      <c r="E9264">
        <v>328</v>
      </c>
      <c r="F9264">
        <v>130</v>
      </c>
      <c r="G9264">
        <v>9</v>
      </c>
      <c r="H9264">
        <v>7</v>
      </c>
      <c r="I9264">
        <v>328</v>
      </c>
      <c r="J9264">
        <v>1</v>
      </c>
      <c r="K9264">
        <v>2</v>
      </c>
      <c r="L9264">
        <v>326</v>
      </c>
      <c r="M9264">
        <v>1</v>
      </c>
      <c r="N9264">
        <v>9.1440599999999999E-116</v>
      </c>
      <c r="O9264">
        <v>1063</v>
      </c>
    </row>
    <row r="9265" spans="1:15" x14ac:dyDescent="0.25">
      <c r="A9265" t="s">
        <v>9278</v>
      </c>
      <c r="B9265">
        <v>269</v>
      </c>
      <c r="C9265" s="1" t="str">
        <f>HYPERLINK("http://www.rosaceae.org/gb/gbrowse/malus_x_domestica/?name=MDP0000869140","MDP0000869140")</f>
        <v>MDP0000869140</v>
      </c>
      <c r="D9265">
        <v>47.47</v>
      </c>
      <c r="E9265">
        <v>198</v>
      </c>
      <c r="F9265">
        <v>104</v>
      </c>
      <c r="G9265">
        <v>8</v>
      </c>
      <c r="H9265">
        <v>1</v>
      </c>
      <c r="I9265">
        <v>196</v>
      </c>
      <c r="J9265">
        <v>1</v>
      </c>
      <c r="K9265">
        <v>1</v>
      </c>
      <c r="L9265">
        <v>192</v>
      </c>
      <c r="M9265">
        <v>1</v>
      </c>
      <c r="N9265">
        <v>1.0329499999999999E-38</v>
      </c>
      <c r="O9265">
        <v>397</v>
      </c>
    </row>
    <row r="9266" spans="1:15" x14ac:dyDescent="0.25">
      <c r="A9266" t="s">
        <v>9279</v>
      </c>
      <c r="B9266">
        <v>275</v>
      </c>
      <c r="C9266" s="1" t="str">
        <f>HYPERLINK("http://www.rosaceae.org/gb/gbrowse/malus_x_domestica/?name=MDP0000301022","MDP0000301022")</f>
        <v>MDP0000301022</v>
      </c>
      <c r="D9266">
        <v>83.48</v>
      </c>
      <c r="E9266">
        <v>218</v>
      </c>
      <c r="F9266">
        <v>36</v>
      </c>
      <c r="G9266">
        <v>0</v>
      </c>
      <c r="H9266">
        <v>58</v>
      </c>
      <c r="I9266">
        <v>275</v>
      </c>
      <c r="J9266">
        <v>1</v>
      </c>
      <c r="K9266">
        <v>212</v>
      </c>
      <c r="L9266">
        <v>429</v>
      </c>
      <c r="M9266">
        <v>1</v>
      </c>
      <c r="N9266">
        <v>7.8301000000000001E-109</v>
      </c>
      <c r="O9266">
        <v>1002</v>
      </c>
    </row>
    <row r="9267" spans="1:15" x14ac:dyDescent="0.25">
      <c r="A9267" t="s">
        <v>9280</v>
      </c>
      <c r="B9267">
        <v>149</v>
      </c>
      <c r="C9267" s="1" t="str">
        <f>HYPERLINK("http://www.rosaceae.org/gb/gbrowse/malus_x_domestica/?name=MDP0000160047","MDP0000160047")</f>
        <v>MDP0000160047</v>
      </c>
      <c r="D9267">
        <v>78.430000000000007</v>
      </c>
      <c r="E9267">
        <v>102</v>
      </c>
      <c r="F9267">
        <v>22</v>
      </c>
      <c r="G9267">
        <v>1</v>
      </c>
      <c r="H9267">
        <v>40</v>
      </c>
      <c r="I9267">
        <v>140</v>
      </c>
      <c r="J9267">
        <v>1</v>
      </c>
      <c r="K9267">
        <v>16</v>
      </c>
      <c r="L9267">
        <v>117</v>
      </c>
      <c r="M9267">
        <v>1</v>
      </c>
      <c r="N9267">
        <v>1.7403199999999999E-34</v>
      </c>
      <c r="O9267">
        <v>357</v>
      </c>
    </row>
    <row r="9268" spans="1:15" x14ac:dyDescent="0.25">
      <c r="A9268" t="s">
        <v>9281</v>
      </c>
      <c r="B9268">
        <v>430</v>
      </c>
      <c r="C9268" s="1" t="str">
        <f>HYPERLINK("http://www.rosaceae.org/gb/gbrowse/malus_x_domestica/?name=MDP0000156175","MDP0000156175")</f>
        <v>MDP0000156175</v>
      </c>
      <c r="D9268">
        <v>81.599999999999994</v>
      </c>
      <c r="E9268">
        <v>386</v>
      </c>
      <c r="F9268">
        <v>71</v>
      </c>
      <c r="G9268">
        <v>12</v>
      </c>
      <c r="H9268">
        <v>21</v>
      </c>
      <c r="I9268">
        <v>394</v>
      </c>
      <c r="J9268">
        <v>1</v>
      </c>
      <c r="K9268">
        <v>1</v>
      </c>
      <c r="L9268">
        <v>386</v>
      </c>
      <c r="M9268">
        <v>1</v>
      </c>
      <c r="N9268">
        <v>0</v>
      </c>
      <c r="O9268">
        <v>1626</v>
      </c>
    </row>
    <row r="9269" spans="1:15" x14ac:dyDescent="0.25">
      <c r="A9269" t="s">
        <v>9282</v>
      </c>
      <c r="B9269">
        <v>1485</v>
      </c>
      <c r="C9269" s="1" t="str">
        <f>HYPERLINK("http://www.rosaceae.org/gb/gbrowse/malus_x_domestica/?name=MDP0000547463","MDP0000547463")</f>
        <v>MDP0000547463</v>
      </c>
      <c r="D9269">
        <v>52.62</v>
      </c>
      <c r="E9269">
        <v>819</v>
      </c>
      <c r="F9269">
        <v>388</v>
      </c>
      <c r="G9269">
        <v>138</v>
      </c>
      <c r="H9269">
        <v>1</v>
      </c>
      <c r="I9269">
        <v>786</v>
      </c>
      <c r="J9269">
        <v>1</v>
      </c>
      <c r="K9269">
        <v>1</v>
      </c>
      <c r="L9269">
        <v>714</v>
      </c>
      <c r="M9269">
        <v>1</v>
      </c>
      <c r="N9269">
        <v>0</v>
      </c>
      <c r="O9269">
        <v>1909</v>
      </c>
    </row>
    <row r="9270" spans="1:15" x14ac:dyDescent="0.25">
      <c r="A9270" t="s">
        <v>9283</v>
      </c>
      <c r="B9270">
        <v>242</v>
      </c>
      <c r="C9270" s="1" t="str">
        <f>HYPERLINK("http://www.rosaceae.org/gb/gbrowse/malus_x_domestica/?name=MDP0000338285","MDP0000338285")</f>
        <v>MDP0000338285</v>
      </c>
      <c r="D9270">
        <v>76.739999999999995</v>
      </c>
      <c r="E9270">
        <v>43</v>
      </c>
      <c r="F9270">
        <v>10</v>
      </c>
      <c r="G9270">
        <v>0</v>
      </c>
      <c r="H9270">
        <v>143</v>
      </c>
      <c r="I9270">
        <v>185</v>
      </c>
      <c r="J9270">
        <v>1</v>
      </c>
      <c r="K9270">
        <v>107</v>
      </c>
      <c r="L9270">
        <v>149</v>
      </c>
      <c r="M9270">
        <v>1</v>
      </c>
      <c r="N9270">
        <v>5.8600199999999997E-13</v>
      </c>
      <c r="O9270">
        <v>174</v>
      </c>
    </row>
    <row r="9271" spans="1:15" x14ac:dyDescent="0.25">
      <c r="A9271" t="s">
        <v>9284</v>
      </c>
      <c r="B9271">
        <v>390</v>
      </c>
      <c r="C9271" s="1" t="str">
        <f>HYPERLINK("http://www.rosaceae.org/gb/gbrowse/malus_x_domestica/?name=MDP0000487114","MDP0000487114")</f>
        <v>MDP0000487114</v>
      </c>
      <c r="D9271">
        <v>65.59</v>
      </c>
      <c r="E9271">
        <v>404</v>
      </c>
      <c r="F9271">
        <v>139</v>
      </c>
      <c r="G9271">
        <v>16</v>
      </c>
      <c r="H9271">
        <v>1</v>
      </c>
      <c r="I9271">
        <v>389</v>
      </c>
      <c r="J9271">
        <v>1</v>
      </c>
      <c r="K9271">
        <v>1</v>
      </c>
      <c r="L9271">
        <v>403</v>
      </c>
      <c r="M9271">
        <v>1</v>
      </c>
      <c r="N9271">
        <v>7.7205000000000004E-143</v>
      </c>
      <c r="O9271">
        <v>1297</v>
      </c>
    </row>
    <row r="9272" spans="1:15" x14ac:dyDescent="0.25">
      <c r="A9272" t="s">
        <v>9285</v>
      </c>
      <c r="B9272">
        <v>170</v>
      </c>
      <c r="C9272" s="1" t="str">
        <f>HYPERLINK("http://www.rosaceae.org/gb/gbrowse/malus_x_domestica/?name=MDP0000383315","MDP0000383315")</f>
        <v>MDP0000383315</v>
      </c>
      <c r="D9272">
        <v>34.78</v>
      </c>
      <c r="E9272">
        <v>253</v>
      </c>
      <c r="F9272">
        <v>165</v>
      </c>
      <c r="G9272">
        <v>89</v>
      </c>
      <c r="H9272">
        <v>1</v>
      </c>
      <c r="I9272">
        <v>169</v>
      </c>
      <c r="J9272">
        <v>1</v>
      </c>
      <c r="K9272">
        <v>1</v>
      </c>
      <c r="L9272">
        <v>248</v>
      </c>
      <c r="M9272">
        <v>1</v>
      </c>
      <c r="N9272">
        <v>3.2077999999999998E-17</v>
      </c>
      <c r="O9272">
        <v>209</v>
      </c>
    </row>
    <row r="9273" spans="1:15" x14ac:dyDescent="0.25">
      <c r="A9273" t="s">
        <v>9286</v>
      </c>
      <c r="B9273">
        <v>294</v>
      </c>
      <c r="C9273" s="1" t="str">
        <f>HYPERLINK("http://www.rosaceae.org/gb/gbrowse/malus_x_domestica/?name=MDP0000849495","MDP0000849495")</f>
        <v>MDP0000849495</v>
      </c>
      <c r="D9273">
        <v>61.78</v>
      </c>
      <c r="E9273">
        <v>280</v>
      </c>
      <c r="F9273">
        <v>107</v>
      </c>
      <c r="G9273">
        <v>10</v>
      </c>
      <c r="H9273">
        <v>18</v>
      </c>
      <c r="I9273">
        <v>294</v>
      </c>
      <c r="J9273">
        <v>1</v>
      </c>
      <c r="K9273">
        <v>221</v>
      </c>
      <c r="L9273">
        <v>493</v>
      </c>
      <c r="M9273">
        <v>1</v>
      </c>
      <c r="N9273">
        <v>3.6998E-88</v>
      </c>
      <c r="O9273">
        <v>824</v>
      </c>
    </row>
    <row r="9274" spans="1:15" x14ac:dyDescent="0.25">
      <c r="A9274" t="s">
        <v>9287</v>
      </c>
      <c r="B9274">
        <v>129</v>
      </c>
      <c r="C9274" s="1" t="str">
        <f>HYPERLINK("http://www.rosaceae.org/gb/gbrowse/malus_x_domestica/?name=MDP0000303748","MDP0000303748")</f>
        <v>MDP0000303748</v>
      </c>
      <c r="D9274">
        <v>86.06</v>
      </c>
      <c r="E9274">
        <v>122</v>
      </c>
      <c r="F9274">
        <v>17</v>
      </c>
      <c r="G9274">
        <v>0</v>
      </c>
      <c r="H9274">
        <v>1</v>
      </c>
      <c r="I9274">
        <v>122</v>
      </c>
      <c r="J9274">
        <v>1</v>
      </c>
      <c r="K9274">
        <v>1</v>
      </c>
      <c r="L9274">
        <v>122</v>
      </c>
      <c r="M9274">
        <v>1</v>
      </c>
      <c r="N9274">
        <v>1.41345E-60</v>
      </c>
      <c r="O9274">
        <v>580</v>
      </c>
    </row>
    <row r="9275" spans="1:15" x14ac:dyDescent="0.25">
      <c r="A9275" t="s">
        <v>9288</v>
      </c>
      <c r="B9275">
        <v>368</v>
      </c>
      <c r="C9275" s="1" t="str">
        <f>HYPERLINK("http://www.rosaceae.org/gb/gbrowse/malus_x_domestica/?name=MDP0000208445","MDP0000208445")</f>
        <v>MDP0000208445</v>
      </c>
      <c r="D9275">
        <v>50.66</v>
      </c>
      <c r="E9275">
        <v>150</v>
      </c>
      <c r="F9275">
        <v>74</v>
      </c>
      <c r="G9275">
        <v>15</v>
      </c>
      <c r="H9275">
        <v>4</v>
      </c>
      <c r="I9275">
        <v>139</v>
      </c>
      <c r="J9275">
        <v>1</v>
      </c>
      <c r="K9275">
        <v>6</v>
      </c>
      <c r="L9275">
        <v>154</v>
      </c>
      <c r="M9275">
        <v>1</v>
      </c>
      <c r="N9275">
        <v>1.2972200000000001E-32</v>
      </c>
      <c r="O9275">
        <v>346</v>
      </c>
    </row>
    <row r="9276" spans="1:15" x14ac:dyDescent="0.25">
      <c r="A9276" t="s">
        <v>9289</v>
      </c>
      <c r="B9276">
        <v>415</v>
      </c>
      <c r="C9276" s="1" t="str">
        <f>HYPERLINK("http://www.rosaceae.org/gb/gbrowse/malus_x_domestica/?name=MDP0000672840","MDP0000672840")</f>
        <v>MDP0000672840</v>
      </c>
      <c r="D9276">
        <v>24.9</v>
      </c>
      <c r="E9276">
        <v>273</v>
      </c>
      <c r="F9276">
        <v>205</v>
      </c>
      <c r="G9276">
        <v>40</v>
      </c>
      <c r="H9276">
        <v>40</v>
      </c>
      <c r="I9276">
        <v>299</v>
      </c>
      <c r="J9276">
        <v>1</v>
      </c>
      <c r="K9276">
        <v>16</v>
      </c>
      <c r="L9276">
        <v>261</v>
      </c>
      <c r="M9276">
        <v>1</v>
      </c>
      <c r="N9276">
        <v>2.5195699999999999E-12</v>
      </c>
      <c r="O9276">
        <v>172</v>
      </c>
    </row>
    <row r="9277" spans="1:15" x14ac:dyDescent="0.25">
      <c r="A9277" t="s">
        <v>9290</v>
      </c>
      <c r="B9277">
        <v>199</v>
      </c>
      <c r="C9277" s="1" t="str">
        <f>HYPERLINK("http://www.rosaceae.org/gb/gbrowse/malus_x_domestica/?name=MDP0000810260","MDP0000810260")</f>
        <v>MDP0000810260</v>
      </c>
      <c r="D9277">
        <v>68.5</v>
      </c>
      <c r="E9277">
        <v>200</v>
      </c>
      <c r="F9277">
        <v>63</v>
      </c>
      <c r="G9277">
        <v>6</v>
      </c>
      <c r="H9277">
        <v>1</v>
      </c>
      <c r="I9277">
        <v>199</v>
      </c>
      <c r="J9277">
        <v>1</v>
      </c>
      <c r="K9277">
        <v>1</v>
      </c>
      <c r="L9277">
        <v>195</v>
      </c>
      <c r="M9277">
        <v>1</v>
      </c>
      <c r="N9277">
        <v>2.6373799999999998E-71</v>
      </c>
      <c r="O9277">
        <v>676</v>
      </c>
    </row>
    <row r="9278" spans="1:15" x14ac:dyDescent="0.25">
      <c r="A9278" t="s">
        <v>9291</v>
      </c>
      <c r="B9278">
        <v>144</v>
      </c>
      <c r="C9278" s="1" t="str">
        <f>HYPERLINK("http://www.rosaceae.org/gb/gbrowse/malus_x_domestica/?name=MDP0000184668","MDP0000184668")</f>
        <v>MDP0000184668</v>
      </c>
      <c r="D9278">
        <v>69.790000000000006</v>
      </c>
      <c r="E9278">
        <v>149</v>
      </c>
      <c r="F9278">
        <v>45</v>
      </c>
      <c r="G9278">
        <v>6</v>
      </c>
      <c r="H9278">
        <v>1</v>
      </c>
      <c r="I9278">
        <v>143</v>
      </c>
      <c r="J9278">
        <v>1</v>
      </c>
      <c r="K9278">
        <v>1</v>
      </c>
      <c r="L9278">
        <v>149</v>
      </c>
      <c r="M9278">
        <v>1</v>
      </c>
      <c r="N9278">
        <v>2.0675699999999999E-55</v>
      </c>
      <c r="O9278">
        <v>537</v>
      </c>
    </row>
    <row r="9279" spans="1:15" x14ac:dyDescent="0.25">
      <c r="A9279" t="s">
        <v>9292</v>
      </c>
      <c r="B9279">
        <v>691</v>
      </c>
      <c r="C9279" s="1" t="str">
        <f>HYPERLINK("http://www.rosaceae.org/gb/gbrowse/malus_x_domestica/?name=MDP0000247921","MDP0000247921")</f>
        <v>MDP0000247921</v>
      </c>
      <c r="D9279">
        <v>27.35</v>
      </c>
      <c r="E9279">
        <v>435</v>
      </c>
      <c r="F9279">
        <v>316</v>
      </c>
      <c r="G9279">
        <v>55</v>
      </c>
      <c r="H9279">
        <v>210</v>
      </c>
      <c r="I9279">
        <v>629</v>
      </c>
      <c r="J9279">
        <v>1</v>
      </c>
      <c r="K9279">
        <v>729</v>
      </c>
      <c r="L9279">
        <v>1123</v>
      </c>
      <c r="M9279">
        <v>1</v>
      </c>
      <c r="N9279">
        <v>8.8022899999999995E-39</v>
      </c>
      <c r="O9279">
        <v>402</v>
      </c>
    </row>
    <row r="9280" spans="1:15" x14ac:dyDescent="0.25">
      <c r="A9280" t="s">
        <v>9293</v>
      </c>
      <c r="B9280">
        <v>151</v>
      </c>
      <c r="C9280" s="1" t="str">
        <f>HYPERLINK("http://www.rosaceae.org/gb/gbrowse/malus_x_domestica/?name=MDP0000943304","MDP0000943304")</f>
        <v>MDP0000943304</v>
      </c>
      <c r="D9280">
        <v>45.37</v>
      </c>
      <c r="E9280">
        <v>108</v>
      </c>
      <c r="F9280">
        <v>59</v>
      </c>
      <c r="G9280">
        <v>12</v>
      </c>
      <c r="H9280">
        <v>6</v>
      </c>
      <c r="I9280">
        <v>104</v>
      </c>
      <c r="J9280">
        <v>1</v>
      </c>
      <c r="K9280">
        <v>307</v>
      </c>
      <c r="L9280">
        <v>411</v>
      </c>
      <c r="M9280">
        <v>1</v>
      </c>
      <c r="N9280">
        <v>4.4260099999999998E-17</v>
      </c>
      <c r="O9280">
        <v>207</v>
      </c>
    </row>
    <row r="9281" spans="1:15" x14ac:dyDescent="0.25">
      <c r="A9281" t="s">
        <v>9294</v>
      </c>
      <c r="B9281">
        <v>294</v>
      </c>
      <c r="C9281" s="1" t="str">
        <f>HYPERLINK("http://www.rosaceae.org/gb/gbrowse/malus_x_domestica/?name=MDP0000939266","MDP0000939266")</f>
        <v>MDP0000939266</v>
      </c>
      <c r="D9281">
        <v>61.16</v>
      </c>
      <c r="E9281">
        <v>291</v>
      </c>
      <c r="F9281">
        <v>113</v>
      </c>
      <c r="G9281">
        <v>9</v>
      </c>
      <c r="H9281">
        <v>4</v>
      </c>
      <c r="I9281">
        <v>293</v>
      </c>
      <c r="J9281">
        <v>1</v>
      </c>
      <c r="K9281">
        <v>64</v>
      </c>
      <c r="L9281">
        <v>346</v>
      </c>
      <c r="M9281">
        <v>1</v>
      </c>
      <c r="N9281">
        <v>9.7165800000000007E-96</v>
      </c>
      <c r="O9281">
        <v>889</v>
      </c>
    </row>
    <row r="9282" spans="1:15" x14ac:dyDescent="0.25">
      <c r="A9282" t="s">
        <v>9295</v>
      </c>
      <c r="B9282">
        <v>405</v>
      </c>
      <c r="C9282" s="1" t="str">
        <f>HYPERLINK("http://www.rosaceae.org/gb/gbrowse/malus_x_domestica/?name=MDP0000263853","MDP0000263853")</f>
        <v>MDP0000263853</v>
      </c>
      <c r="D9282">
        <v>52.67</v>
      </c>
      <c r="E9282">
        <v>262</v>
      </c>
      <c r="F9282">
        <v>124</v>
      </c>
      <c r="G9282">
        <v>45</v>
      </c>
      <c r="H9282">
        <v>1</v>
      </c>
      <c r="I9282">
        <v>217</v>
      </c>
      <c r="J9282">
        <v>1</v>
      </c>
      <c r="K9282">
        <v>393</v>
      </c>
      <c r="L9282">
        <v>654</v>
      </c>
      <c r="M9282">
        <v>1</v>
      </c>
      <c r="N9282">
        <v>5.00029E-67</v>
      </c>
      <c r="O9282">
        <v>644</v>
      </c>
    </row>
    <row r="9283" spans="1:15" x14ac:dyDescent="0.25">
      <c r="A9283" t="s">
        <v>9296</v>
      </c>
      <c r="B9283">
        <v>241</v>
      </c>
      <c r="C9283" s="1" t="str">
        <f>HYPERLINK("http://www.rosaceae.org/gb/gbrowse/malus_x_domestica/?name=MDP0000329239","MDP0000329239")</f>
        <v>MDP0000329239</v>
      </c>
      <c r="D9283">
        <v>71.42</v>
      </c>
      <c r="E9283">
        <v>238</v>
      </c>
      <c r="F9283">
        <v>68</v>
      </c>
      <c r="G9283">
        <v>2</v>
      </c>
      <c r="H9283">
        <v>1</v>
      </c>
      <c r="I9283">
        <v>238</v>
      </c>
      <c r="J9283">
        <v>1</v>
      </c>
      <c r="K9283">
        <v>12</v>
      </c>
      <c r="L9283">
        <v>247</v>
      </c>
      <c r="M9283">
        <v>1</v>
      </c>
      <c r="N9283">
        <v>9.2398000000000003E-87</v>
      </c>
      <c r="O9283">
        <v>811</v>
      </c>
    </row>
    <row r="9284" spans="1:15" x14ac:dyDescent="0.25">
      <c r="A9284" t="s">
        <v>9297</v>
      </c>
      <c r="B9284">
        <v>154</v>
      </c>
      <c r="C9284" s="1" t="str">
        <f>HYPERLINK("http://www.rosaceae.org/gb/gbrowse/malus_x_domestica/?name=MDP0000188183","MDP0000188183")</f>
        <v>MDP0000188183</v>
      </c>
      <c r="D9284">
        <v>83.21</v>
      </c>
      <c r="E9284">
        <v>143</v>
      </c>
      <c r="F9284">
        <v>24</v>
      </c>
      <c r="G9284">
        <v>2</v>
      </c>
      <c r="H9284">
        <v>10</v>
      </c>
      <c r="I9284">
        <v>152</v>
      </c>
      <c r="J9284">
        <v>1</v>
      </c>
      <c r="K9284">
        <v>41</v>
      </c>
      <c r="L9284">
        <v>181</v>
      </c>
      <c r="M9284">
        <v>1</v>
      </c>
      <c r="N9284">
        <v>9.0654999999999993E-68</v>
      </c>
      <c r="O9284">
        <v>644</v>
      </c>
    </row>
    <row r="9285" spans="1:15" x14ac:dyDescent="0.25">
      <c r="A9285" t="s">
        <v>9298</v>
      </c>
      <c r="B9285">
        <v>928</v>
      </c>
      <c r="C9285" s="1" t="str">
        <f>HYPERLINK("http://www.rosaceae.org/gb/gbrowse/malus_x_domestica/?name=MDP0000630979","MDP0000630979")</f>
        <v>MDP0000630979</v>
      </c>
      <c r="D9285">
        <v>53.29</v>
      </c>
      <c r="E9285">
        <v>942</v>
      </c>
      <c r="F9285">
        <v>440</v>
      </c>
      <c r="G9285">
        <v>45</v>
      </c>
      <c r="H9285">
        <v>4</v>
      </c>
      <c r="I9285">
        <v>922</v>
      </c>
      <c r="J9285">
        <v>1</v>
      </c>
      <c r="K9285">
        <v>2</v>
      </c>
      <c r="L9285">
        <v>921</v>
      </c>
      <c r="M9285">
        <v>1</v>
      </c>
      <c r="N9285">
        <v>0</v>
      </c>
      <c r="O9285">
        <v>2387</v>
      </c>
    </row>
    <row r="9286" spans="1:15" x14ac:dyDescent="0.25">
      <c r="A9286" t="s">
        <v>9299</v>
      </c>
      <c r="B9286">
        <v>418</v>
      </c>
      <c r="C9286" s="1" t="str">
        <f>HYPERLINK("http://www.rosaceae.org/gb/gbrowse/malus_x_domestica/?name=MDP0000858763","MDP0000858763")</f>
        <v>MDP0000858763</v>
      </c>
      <c r="D9286">
        <v>78.5</v>
      </c>
      <c r="E9286">
        <v>214</v>
      </c>
      <c r="F9286">
        <v>46</v>
      </c>
      <c r="G9286">
        <v>1</v>
      </c>
      <c r="H9286">
        <v>205</v>
      </c>
      <c r="I9286">
        <v>418</v>
      </c>
      <c r="J9286">
        <v>1</v>
      </c>
      <c r="K9286">
        <v>556</v>
      </c>
      <c r="L9286">
        <v>768</v>
      </c>
      <c r="M9286">
        <v>1</v>
      </c>
      <c r="N9286">
        <v>6.2147199999999998E-97</v>
      </c>
      <c r="O9286">
        <v>902</v>
      </c>
    </row>
    <row r="9287" spans="1:15" x14ac:dyDescent="0.25">
      <c r="A9287" t="s">
        <v>9300</v>
      </c>
      <c r="B9287">
        <v>512</v>
      </c>
      <c r="C9287" s="1" t="str">
        <f>HYPERLINK("http://www.rosaceae.org/gb/gbrowse/malus_x_domestica/?name=MDP0000643220","MDP0000643220")</f>
        <v>MDP0000643220</v>
      </c>
      <c r="D9287">
        <v>82.37</v>
      </c>
      <c r="E9287">
        <v>244</v>
      </c>
      <c r="F9287">
        <v>43</v>
      </c>
      <c r="G9287">
        <v>4</v>
      </c>
      <c r="H9287">
        <v>273</v>
      </c>
      <c r="I9287">
        <v>512</v>
      </c>
      <c r="J9287">
        <v>1</v>
      </c>
      <c r="K9287">
        <v>195</v>
      </c>
      <c r="L9287">
        <v>438</v>
      </c>
      <c r="M9287">
        <v>1</v>
      </c>
      <c r="N9287">
        <v>7.6889400000000004E-113</v>
      </c>
      <c r="O9287">
        <v>1040</v>
      </c>
    </row>
    <row r="9288" spans="1:15" x14ac:dyDescent="0.25">
      <c r="A9288" t="s">
        <v>9301</v>
      </c>
      <c r="B9288">
        <v>506</v>
      </c>
      <c r="C9288" s="1" t="str">
        <f>HYPERLINK("http://www.rosaceae.org/gb/gbrowse/malus_x_domestica/?name=MDP0000169375","MDP0000169375")</f>
        <v>MDP0000169375</v>
      </c>
      <c r="D9288">
        <v>72.72</v>
      </c>
      <c r="E9288">
        <v>473</v>
      </c>
      <c r="F9288">
        <v>129</v>
      </c>
      <c r="G9288">
        <v>50</v>
      </c>
      <c r="H9288">
        <v>36</v>
      </c>
      <c r="I9288">
        <v>506</v>
      </c>
      <c r="J9288">
        <v>1</v>
      </c>
      <c r="K9288">
        <v>40</v>
      </c>
      <c r="L9288">
        <v>464</v>
      </c>
      <c r="M9288">
        <v>1</v>
      </c>
      <c r="N9288">
        <v>0</v>
      </c>
      <c r="O9288">
        <v>1853</v>
      </c>
    </row>
    <row r="9289" spans="1:15" x14ac:dyDescent="0.25">
      <c r="A9289" t="s">
        <v>9302</v>
      </c>
      <c r="B9289">
        <v>149</v>
      </c>
      <c r="C9289" s="1" t="str">
        <f>HYPERLINK("http://www.rosaceae.org/gb/gbrowse/malus_x_domestica/?name=MDP0000164579","MDP0000164579")</f>
        <v>MDP0000164579</v>
      </c>
      <c r="D9289">
        <v>45.07</v>
      </c>
      <c r="E9289">
        <v>71</v>
      </c>
      <c r="F9289">
        <v>39</v>
      </c>
      <c r="G9289">
        <v>1</v>
      </c>
      <c r="H9289">
        <v>68</v>
      </c>
      <c r="I9289">
        <v>138</v>
      </c>
      <c r="J9289">
        <v>1</v>
      </c>
      <c r="K9289">
        <v>139</v>
      </c>
      <c r="L9289">
        <v>208</v>
      </c>
      <c r="M9289">
        <v>1</v>
      </c>
      <c r="N9289">
        <v>1.1168E-10</v>
      </c>
      <c r="O9289">
        <v>151</v>
      </c>
    </row>
    <row r="9290" spans="1:15" x14ac:dyDescent="0.25">
      <c r="A9290" t="s">
        <v>9303</v>
      </c>
      <c r="B9290">
        <v>1963</v>
      </c>
      <c r="C9290" s="1" t="str">
        <f>HYPERLINK("http://www.rosaceae.org/gb/gbrowse/malus_x_domestica/?name=MDP0000607436","MDP0000607436")</f>
        <v>MDP0000607436</v>
      </c>
      <c r="D9290">
        <v>81.209999999999994</v>
      </c>
      <c r="E9290">
        <v>346</v>
      </c>
      <c r="F9290">
        <v>65</v>
      </c>
      <c r="G9290">
        <v>2</v>
      </c>
      <c r="H9290">
        <v>324</v>
      </c>
      <c r="I9290">
        <v>667</v>
      </c>
      <c r="J9290">
        <v>1</v>
      </c>
      <c r="K9290">
        <v>1</v>
      </c>
      <c r="L9290">
        <v>346</v>
      </c>
      <c r="M9290">
        <v>1</v>
      </c>
      <c r="N9290">
        <v>1.12458E-165</v>
      </c>
      <c r="O9290">
        <v>1501</v>
      </c>
    </row>
    <row r="9291" spans="1:15" x14ac:dyDescent="0.25">
      <c r="A9291" t="s">
        <v>9304</v>
      </c>
      <c r="B9291">
        <v>103</v>
      </c>
      <c r="C9291" s="1" t="str">
        <f>HYPERLINK("http://www.rosaceae.org/gb/gbrowse/malus_x_domestica/?name=MDP0000123328","MDP0000123328")</f>
        <v>MDP0000123328</v>
      </c>
      <c r="D9291">
        <v>50</v>
      </c>
      <c r="E9291">
        <v>104</v>
      </c>
      <c r="F9291">
        <v>52</v>
      </c>
      <c r="G9291">
        <v>1</v>
      </c>
      <c r="H9291">
        <v>1</v>
      </c>
      <c r="I9291">
        <v>103</v>
      </c>
      <c r="J9291">
        <v>1</v>
      </c>
      <c r="K9291">
        <v>1</v>
      </c>
      <c r="L9291">
        <v>104</v>
      </c>
      <c r="M9291">
        <v>1</v>
      </c>
      <c r="N9291">
        <v>7.23779E-22</v>
      </c>
      <c r="O9291">
        <v>246</v>
      </c>
    </row>
    <row r="9292" spans="1:15" x14ac:dyDescent="0.25">
      <c r="A9292" t="s">
        <v>9305</v>
      </c>
      <c r="B9292">
        <v>500</v>
      </c>
      <c r="C9292" s="1" t="str">
        <f>HYPERLINK("http://www.rosaceae.org/gb/gbrowse/malus_x_domestica/?name=MDP0000260603","MDP0000260603")</f>
        <v>MDP0000260603</v>
      </c>
      <c r="D9292">
        <v>82.67</v>
      </c>
      <c r="E9292">
        <v>508</v>
      </c>
      <c r="F9292">
        <v>88</v>
      </c>
      <c r="G9292">
        <v>11</v>
      </c>
      <c r="H9292">
        <v>1</v>
      </c>
      <c r="I9292">
        <v>500</v>
      </c>
      <c r="J9292">
        <v>1</v>
      </c>
      <c r="K9292">
        <v>1</v>
      </c>
      <c r="L9292">
        <v>505</v>
      </c>
      <c r="M9292">
        <v>1</v>
      </c>
      <c r="N9292">
        <v>0</v>
      </c>
      <c r="O9292">
        <v>2094</v>
      </c>
    </row>
    <row r="9293" spans="1:15" x14ac:dyDescent="0.25">
      <c r="A9293" t="s">
        <v>9306</v>
      </c>
      <c r="B9293">
        <v>123</v>
      </c>
      <c r="C9293" s="1" t="str">
        <f>HYPERLINK("http://www.rosaceae.org/gb/gbrowse/malus_x_domestica/?name=MDP0000320961","MDP0000320961")</f>
        <v>MDP0000320961</v>
      </c>
      <c r="D9293">
        <v>48.14</v>
      </c>
      <c r="E9293">
        <v>135</v>
      </c>
      <c r="F9293">
        <v>70</v>
      </c>
      <c r="G9293">
        <v>16</v>
      </c>
      <c r="H9293">
        <v>1</v>
      </c>
      <c r="I9293">
        <v>119</v>
      </c>
      <c r="J9293">
        <v>1</v>
      </c>
      <c r="K9293">
        <v>1</v>
      </c>
      <c r="L9293">
        <v>135</v>
      </c>
      <c r="M9293">
        <v>1</v>
      </c>
      <c r="N9293">
        <v>2.5999900000000002E-16</v>
      </c>
      <c r="O9293">
        <v>198</v>
      </c>
    </row>
    <row r="9294" spans="1:15" x14ac:dyDescent="0.25">
      <c r="A9294" t="s">
        <v>9307</v>
      </c>
      <c r="B9294">
        <v>279</v>
      </c>
      <c r="C9294" s="1" t="str">
        <f>HYPERLINK("http://www.rosaceae.org/gb/gbrowse/malus_x_domestica/?name=MDP0000256824","MDP0000256824")</f>
        <v>MDP0000256824</v>
      </c>
      <c r="D9294">
        <v>79.67</v>
      </c>
      <c r="E9294">
        <v>310</v>
      </c>
      <c r="F9294">
        <v>63</v>
      </c>
      <c r="G9294">
        <v>31</v>
      </c>
      <c r="H9294">
        <v>1</v>
      </c>
      <c r="I9294">
        <v>279</v>
      </c>
      <c r="J9294">
        <v>1</v>
      </c>
      <c r="K9294">
        <v>1</v>
      </c>
      <c r="L9294">
        <v>310</v>
      </c>
      <c r="M9294">
        <v>1</v>
      </c>
      <c r="N9294">
        <v>1.3668000000000001E-136</v>
      </c>
      <c r="O9294">
        <v>1242</v>
      </c>
    </row>
    <row r="9295" spans="1:15" x14ac:dyDescent="0.25">
      <c r="A9295" t="s">
        <v>9308</v>
      </c>
      <c r="B9295">
        <v>455</v>
      </c>
      <c r="C9295" s="1" t="str">
        <f>HYPERLINK("http://www.rosaceae.org/gb/gbrowse/malus_x_domestica/?name=MDP0000769656","MDP0000769656")</f>
        <v>MDP0000769656</v>
      </c>
      <c r="D9295">
        <v>51.25</v>
      </c>
      <c r="E9295">
        <v>437</v>
      </c>
      <c r="F9295">
        <v>213</v>
      </c>
      <c r="G9295">
        <v>17</v>
      </c>
      <c r="H9295">
        <v>27</v>
      </c>
      <c r="I9295">
        <v>455</v>
      </c>
      <c r="J9295">
        <v>1</v>
      </c>
      <c r="K9295">
        <v>3</v>
      </c>
      <c r="L9295">
        <v>430</v>
      </c>
      <c r="M9295">
        <v>1</v>
      </c>
      <c r="N9295">
        <v>4.2379199999999996E-112</v>
      </c>
      <c r="O9295">
        <v>1033</v>
      </c>
    </row>
    <row r="9296" spans="1:15" x14ac:dyDescent="0.25">
      <c r="A9296" t="s">
        <v>9309</v>
      </c>
      <c r="B9296">
        <v>240</v>
      </c>
      <c r="C9296" s="1" t="str">
        <f>HYPERLINK("http://www.rosaceae.org/gb/gbrowse/malus_x_domestica/?name=MDP0000950422","MDP0000950422")</f>
        <v>MDP0000950422</v>
      </c>
      <c r="D9296">
        <v>68.3</v>
      </c>
      <c r="E9296">
        <v>224</v>
      </c>
      <c r="F9296">
        <v>71</v>
      </c>
      <c r="G9296">
        <v>1</v>
      </c>
      <c r="H9296">
        <v>1</v>
      </c>
      <c r="I9296">
        <v>223</v>
      </c>
      <c r="J9296">
        <v>1</v>
      </c>
      <c r="K9296">
        <v>1</v>
      </c>
      <c r="L9296">
        <v>224</v>
      </c>
      <c r="M9296">
        <v>1</v>
      </c>
      <c r="N9296">
        <v>2.4609399999999998E-87</v>
      </c>
      <c r="O9296">
        <v>816</v>
      </c>
    </row>
    <row r="9297" spans="1:15" x14ac:dyDescent="0.25">
      <c r="A9297" t="s">
        <v>9310</v>
      </c>
      <c r="B9297">
        <v>360</v>
      </c>
      <c r="C9297" s="1" t="str">
        <f>HYPERLINK("http://www.rosaceae.org/gb/gbrowse/malus_x_domestica/?name=MDP0000161380","MDP0000161380")</f>
        <v>MDP0000161380</v>
      </c>
      <c r="D9297">
        <v>80</v>
      </c>
      <c r="E9297">
        <v>125</v>
      </c>
      <c r="F9297">
        <v>25</v>
      </c>
      <c r="G9297">
        <v>1</v>
      </c>
      <c r="H9297">
        <v>189</v>
      </c>
      <c r="I9297">
        <v>312</v>
      </c>
      <c r="J9297">
        <v>1</v>
      </c>
      <c r="K9297">
        <v>81</v>
      </c>
      <c r="L9297">
        <v>205</v>
      </c>
      <c r="M9297">
        <v>1</v>
      </c>
      <c r="N9297">
        <v>6.8105699999999999E-48</v>
      </c>
      <c r="O9297">
        <v>478</v>
      </c>
    </row>
    <row r="9298" spans="1:15" x14ac:dyDescent="0.25">
      <c r="A9298" t="s">
        <v>9311</v>
      </c>
      <c r="B9298">
        <v>1078</v>
      </c>
      <c r="C9298" s="1" t="str">
        <f>HYPERLINK("http://www.rosaceae.org/gb/gbrowse/malus_x_domestica/?name=MDP0000317823","MDP0000317823")</f>
        <v>MDP0000317823</v>
      </c>
      <c r="D9298">
        <v>85.71</v>
      </c>
      <c r="E9298">
        <v>1106</v>
      </c>
      <c r="F9298">
        <v>158</v>
      </c>
      <c r="G9298">
        <v>34</v>
      </c>
      <c r="H9298">
        <v>1</v>
      </c>
      <c r="I9298">
        <v>1078</v>
      </c>
      <c r="J9298">
        <v>1</v>
      </c>
      <c r="K9298">
        <v>13</v>
      </c>
      <c r="L9298">
        <v>1112</v>
      </c>
      <c r="M9298">
        <v>1</v>
      </c>
      <c r="N9298">
        <v>0</v>
      </c>
      <c r="O9298">
        <v>5045</v>
      </c>
    </row>
    <row r="9299" spans="1:15" x14ac:dyDescent="0.25">
      <c r="A9299" t="s">
        <v>9312</v>
      </c>
      <c r="B9299">
        <v>612</v>
      </c>
      <c r="C9299" s="1" t="str">
        <f>HYPERLINK("http://www.rosaceae.org/gb/gbrowse/malus_x_domestica/?name=MDP0000238271","MDP0000238271")</f>
        <v>MDP0000238271</v>
      </c>
      <c r="D9299">
        <v>37.83</v>
      </c>
      <c r="E9299">
        <v>74</v>
      </c>
      <c r="F9299">
        <v>46</v>
      </c>
      <c r="G9299">
        <v>0</v>
      </c>
      <c r="H9299">
        <v>387</v>
      </c>
      <c r="I9299">
        <v>460</v>
      </c>
      <c r="J9299">
        <v>1</v>
      </c>
      <c r="K9299">
        <v>386</v>
      </c>
      <c r="L9299">
        <v>459</v>
      </c>
      <c r="M9299">
        <v>1</v>
      </c>
      <c r="N9299">
        <v>3.3490800000000002E-10</v>
      </c>
      <c r="O9299">
        <v>155</v>
      </c>
    </row>
    <row r="9300" spans="1:15" x14ac:dyDescent="0.25">
      <c r="A9300" t="s">
        <v>9313</v>
      </c>
      <c r="B9300">
        <v>342</v>
      </c>
      <c r="C9300" s="1" t="str">
        <f>HYPERLINK("http://www.rosaceae.org/gb/gbrowse/malus_x_domestica/?name=MDP0000802237","MDP0000802237")</f>
        <v>MDP0000802237</v>
      </c>
      <c r="D9300">
        <v>40.98</v>
      </c>
      <c r="E9300">
        <v>305</v>
      </c>
      <c r="F9300">
        <v>180</v>
      </c>
      <c r="G9300">
        <v>43</v>
      </c>
      <c r="H9300">
        <v>67</v>
      </c>
      <c r="I9300">
        <v>336</v>
      </c>
      <c r="J9300">
        <v>1</v>
      </c>
      <c r="K9300">
        <v>39</v>
      </c>
      <c r="L9300">
        <v>335</v>
      </c>
      <c r="M9300">
        <v>1</v>
      </c>
      <c r="N9300">
        <v>1.08768E-49</v>
      </c>
      <c r="O9300">
        <v>493</v>
      </c>
    </row>
    <row r="9301" spans="1:15" x14ac:dyDescent="0.25">
      <c r="A9301" t="s">
        <v>9314</v>
      </c>
      <c r="B9301">
        <v>314</v>
      </c>
      <c r="C9301" s="1" t="str">
        <f>HYPERLINK("http://www.rosaceae.org/gb/gbrowse/malus_x_domestica/?name=MDP0000146555","MDP0000146555")</f>
        <v>MDP0000146555</v>
      </c>
      <c r="D9301">
        <v>37.83</v>
      </c>
      <c r="E9301">
        <v>111</v>
      </c>
      <c r="F9301">
        <v>69</v>
      </c>
      <c r="G9301">
        <v>0</v>
      </c>
      <c r="H9301">
        <v>87</v>
      </c>
      <c r="I9301">
        <v>197</v>
      </c>
      <c r="J9301">
        <v>1</v>
      </c>
      <c r="K9301">
        <v>186</v>
      </c>
      <c r="L9301">
        <v>296</v>
      </c>
      <c r="M9301">
        <v>1</v>
      </c>
      <c r="N9301">
        <v>6.4850899999999999E-21</v>
      </c>
      <c r="O9301">
        <v>245</v>
      </c>
    </row>
    <row r="9302" spans="1:15" x14ac:dyDescent="0.25">
      <c r="A9302" t="s">
        <v>9315</v>
      </c>
      <c r="B9302">
        <v>486</v>
      </c>
      <c r="C9302" s="1" t="str">
        <f>HYPERLINK("http://www.rosaceae.org/gb/gbrowse/malus_x_domestica/?name=MDP0000534116","MDP0000534116")</f>
        <v>MDP0000534116</v>
      </c>
      <c r="D9302">
        <v>58.06</v>
      </c>
      <c r="E9302">
        <v>434</v>
      </c>
      <c r="F9302">
        <v>182</v>
      </c>
      <c r="G9302">
        <v>16</v>
      </c>
      <c r="H9302">
        <v>16</v>
      </c>
      <c r="I9302">
        <v>444</v>
      </c>
      <c r="J9302">
        <v>1</v>
      </c>
      <c r="K9302">
        <v>1</v>
      </c>
      <c r="L9302">
        <v>423</v>
      </c>
      <c r="M9302">
        <v>1</v>
      </c>
      <c r="N9302">
        <v>2.0514600000000001E-146</v>
      </c>
      <c r="O9302">
        <v>1329</v>
      </c>
    </row>
    <row r="9303" spans="1:15" x14ac:dyDescent="0.25">
      <c r="A9303" t="s">
        <v>9316</v>
      </c>
      <c r="B9303">
        <v>238</v>
      </c>
      <c r="C9303" s="1" t="str">
        <f>HYPERLINK("http://www.rosaceae.org/gb/gbrowse/malus_x_domestica/?name=MDP0000163774","MDP0000163774")</f>
        <v>MDP0000163774</v>
      </c>
      <c r="D9303">
        <v>28.98</v>
      </c>
      <c r="E9303">
        <v>138</v>
      </c>
      <c r="F9303">
        <v>98</v>
      </c>
      <c r="G9303">
        <v>25</v>
      </c>
      <c r="H9303">
        <v>65</v>
      </c>
      <c r="I9303">
        <v>178</v>
      </c>
      <c r="J9303">
        <v>1</v>
      </c>
      <c r="K9303">
        <v>452</v>
      </c>
      <c r="L9303">
        <v>588</v>
      </c>
      <c r="M9303">
        <v>1</v>
      </c>
      <c r="N9303">
        <v>6.9183500000000003E-12</v>
      </c>
      <c r="O9303">
        <v>165</v>
      </c>
    </row>
    <row r="9304" spans="1:15" x14ac:dyDescent="0.25">
      <c r="A9304" t="s">
        <v>9317</v>
      </c>
      <c r="B9304">
        <v>308</v>
      </c>
      <c r="C9304" s="1" t="str">
        <f>HYPERLINK("http://www.rosaceae.org/gb/gbrowse/malus_x_domestica/?name=MDP0000177127","MDP0000177127")</f>
        <v>MDP0000177127</v>
      </c>
      <c r="D9304">
        <v>65.069999999999993</v>
      </c>
      <c r="E9304">
        <v>209</v>
      </c>
      <c r="F9304">
        <v>73</v>
      </c>
      <c r="G9304">
        <v>5</v>
      </c>
      <c r="H9304">
        <v>101</v>
      </c>
      <c r="I9304">
        <v>307</v>
      </c>
      <c r="J9304">
        <v>1</v>
      </c>
      <c r="K9304">
        <v>119</v>
      </c>
      <c r="L9304">
        <v>324</v>
      </c>
      <c r="M9304">
        <v>1</v>
      </c>
      <c r="N9304">
        <v>9.6665400000000005E-70</v>
      </c>
      <c r="O9304">
        <v>666</v>
      </c>
    </row>
    <row r="9305" spans="1:15" x14ac:dyDescent="0.25">
      <c r="A9305" t="s">
        <v>9318</v>
      </c>
      <c r="B9305">
        <v>274</v>
      </c>
      <c r="C9305" s="1" t="str">
        <f>HYPERLINK("http://www.rosaceae.org/gb/gbrowse/malus_x_domestica/?name=MDP0000262883","MDP0000262883")</f>
        <v>MDP0000262883</v>
      </c>
      <c r="D9305">
        <v>84.79</v>
      </c>
      <c r="E9305">
        <v>263</v>
      </c>
      <c r="F9305">
        <v>40</v>
      </c>
      <c r="G9305">
        <v>4</v>
      </c>
      <c r="H9305">
        <v>1</v>
      </c>
      <c r="I9305">
        <v>259</v>
      </c>
      <c r="J9305">
        <v>1</v>
      </c>
      <c r="K9305">
        <v>620</v>
      </c>
      <c r="L9305">
        <v>882</v>
      </c>
      <c r="M9305">
        <v>1</v>
      </c>
      <c r="N9305">
        <v>1.18108E-138</v>
      </c>
      <c r="O9305">
        <v>1259</v>
      </c>
    </row>
    <row r="9306" spans="1:15" x14ac:dyDescent="0.25">
      <c r="A9306" t="s">
        <v>9319</v>
      </c>
      <c r="B9306">
        <v>222</v>
      </c>
      <c r="C9306" s="1" t="str">
        <f>HYPERLINK("http://www.rosaceae.org/gb/gbrowse/malus_x_domestica/?name=MDP0000273230","MDP0000273230")</f>
        <v>MDP0000273230</v>
      </c>
      <c r="D9306">
        <v>81.17</v>
      </c>
      <c r="E9306">
        <v>170</v>
      </c>
      <c r="F9306">
        <v>32</v>
      </c>
      <c r="G9306">
        <v>1</v>
      </c>
      <c r="H9306">
        <v>51</v>
      </c>
      <c r="I9306">
        <v>220</v>
      </c>
      <c r="J9306">
        <v>1</v>
      </c>
      <c r="K9306">
        <v>138</v>
      </c>
      <c r="L9306">
        <v>306</v>
      </c>
      <c r="M9306">
        <v>1</v>
      </c>
      <c r="N9306">
        <v>4.1901599999999999E-79</v>
      </c>
      <c r="O9306">
        <v>744</v>
      </c>
    </row>
    <row r="9307" spans="1:15" x14ac:dyDescent="0.25">
      <c r="A9307" t="s">
        <v>9320</v>
      </c>
      <c r="B9307">
        <v>558</v>
      </c>
      <c r="C9307" s="1" t="str">
        <f>HYPERLINK("http://www.rosaceae.org/gb/gbrowse/malus_x_domestica/?name=MDP0000154049","MDP0000154049")</f>
        <v>MDP0000154049</v>
      </c>
      <c r="D9307">
        <v>53.71</v>
      </c>
      <c r="E9307">
        <v>229</v>
      </c>
      <c r="F9307">
        <v>106</v>
      </c>
      <c r="G9307">
        <v>41</v>
      </c>
      <c r="H9307">
        <v>78</v>
      </c>
      <c r="I9307">
        <v>283</v>
      </c>
      <c r="J9307">
        <v>1</v>
      </c>
      <c r="K9307">
        <v>19</v>
      </c>
      <c r="L9307">
        <v>229</v>
      </c>
      <c r="M9307">
        <v>1</v>
      </c>
      <c r="N9307">
        <v>5.7621599999999996E-49</v>
      </c>
      <c r="O9307">
        <v>489</v>
      </c>
    </row>
    <row r="9308" spans="1:15" x14ac:dyDescent="0.25">
      <c r="A9308" t="s">
        <v>9321</v>
      </c>
      <c r="B9308">
        <v>388</v>
      </c>
      <c r="C9308" s="1" t="str">
        <f>HYPERLINK("http://www.rosaceae.org/gb/gbrowse/malus_x_domestica/?name=MDP0000282177","MDP0000282177")</f>
        <v>MDP0000282177</v>
      </c>
      <c r="D9308">
        <v>87.84</v>
      </c>
      <c r="E9308">
        <v>255</v>
      </c>
      <c r="F9308">
        <v>31</v>
      </c>
      <c r="G9308">
        <v>5</v>
      </c>
      <c r="H9308">
        <v>139</v>
      </c>
      <c r="I9308">
        <v>388</v>
      </c>
      <c r="J9308">
        <v>1</v>
      </c>
      <c r="K9308">
        <v>183</v>
      </c>
      <c r="L9308">
        <v>437</v>
      </c>
      <c r="M9308">
        <v>1</v>
      </c>
      <c r="N9308">
        <v>2.7566999999999998E-131</v>
      </c>
      <c r="O9308">
        <v>1197</v>
      </c>
    </row>
    <row r="9309" spans="1:15" x14ac:dyDescent="0.25">
      <c r="A9309" t="s">
        <v>9322</v>
      </c>
      <c r="B9309">
        <v>123</v>
      </c>
      <c r="C9309" s="1" t="str">
        <f>HYPERLINK("http://www.rosaceae.org/gb/gbrowse/malus_x_domestica/?name=MDP0000327253","MDP0000327253")</f>
        <v>MDP0000327253</v>
      </c>
      <c r="D9309">
        <v>89.02</v>
      </c>
      <c r="E9309">
        <v>82</v>
      </c>
      <c r="F9309">
        <v>9</v>
      </c>
      <c r="G9309">
        <v>0</v>
      </c>
      <c r="H9309">
        <v>37</v>
      </c>
      <c r="I9309">
        <v>118</v>
      </c>
      <c r="J9309">
        <v>1</v>
      </c>
      <c r="K9309">
        <v>45</v>
      </c>
      <c r="L9309">
        <v>126</v>
      </c>
      <c r="M9309">
        <v>1</v>
      </c>
      <c r="N9309">
        <v>9.6546900000000007E-38</v>
      </c>
      <c r="O9309">
        <v>383</v>
      </c>
    </row>
    <row r="9310" spans="1:15" x14ac:dyDescent="0.25">
      <c r="A9310" t="s">
        <v>9323</v>
      </c>
      <c r="B9310">
        <v>234</v>
      </c>
      <c r="C9310" s="1" t="str">
        <f>HYPERLINK("http://www.rosaceae.org/gb/gbrowse/malus_x_domestica/?name=MDP0000123555","MDP0000123555")</f>
        <v>MDP0000123555</v>
      </c>
      <c r="D9310">
        <v>68.040000000000006</v>
      </c>
      <c r="E9310">
        <v>194</v>
      </c>
      <c r="F9310">
        <v>62</v>
      </c>
      <c r="G9310">
        <v>5</v>
      </c>
      <c r="H9310">
        <v>42</v>
      </c>
      <c r="I9310">
        <v>234</v>
      </c>
      <c r="J9310">
        <v>1</v>
      </c>
      <c r="K9310">
        <v>1</v>
      </c>
      <c r="L9310">
        <v>190</v>
      </c>
      <c r="M9310">
        <v>1</v>
      </c>
      <c r="N9310">
        <v>4.49766E-72</v>
      </c>
      <c r="O9310">
        <v>684</v>
      </c>
    </row>
    <row r="9311" spans="1:15" x14ac:dyDescent="0.25">
      <c r="A9311" t="s">
        <v>9324</v>
      </c>
      <c r="B9311">
        <v>811</v>
      </c>
      <c r="C9311" s="1" t="str">
        <f>HYPERLINK("http://www.rosaceae.org/gb/gbrowse/malus_x_domestica/?name=MDP0000189901","MDP0000189901")</f>
        <v>MDP0000189901</v>
      </c>
      <c r="D9311">
        <v>44.06</v>
      </c>
      <c r="E9311">
        <v>801</v>
      </c>
      <c r="F9311">
        <v>448</v>
      </c>
      <c r="G9311">
        <v>59</v>
      </c>
      <c r="H9311">
        <v>21</v>
      </c>
      <c r="I9311">
        <v>809</v>
      </c>
      <c r="J9311">
        <v>1</v>
      </c>
      <c r="K9311">
        <v>23</v>
      </c>
      <c r="L9311">
        <v>776</v>
      </c>
      <c r="M9311">
        <v>1</v>
      </c>
      <c r="N9311">
        <v>0</v>
      </c>
      <c r="O9311">
        <v>1629</v>
      </c>
    </row>
    <row r="9312" spans="1:15" x14ac:dyDescent="0.25">
      <c r="A9312" t="s">
        <v>9325</v>
      </c>
      <c r="B9312">
        <v>255</v>
      </c>
      <c r="C9312" s="1" t="str">
        <f>HYPERLINK("http://www.rosaceae.org/gb/gbrowse/malus_x_domestica/?name=MDP0000924018","MDP0000924018")</f>
        <v>MDP0000924018</v>
      </c>
      <c r="D9312">
        <v>85.88</v>
      </c>
      <c r="E9312">
        <v>255</v>
      </c>
      <c r="F9312">
        <v>36</v>
      </c>
      <c r="G9312">
        <v>0</v>
      </c>
      <c r="H9312">
        <v>1</v>
      </c>
      <c r="I9312">
        <v>255</v>
      </c>
      <c r="J9312">
        <v>1</v>
      </c>
      <c r="K9312">
        <v>1</v>
      </c>
      <c r="L9312">
        <v>255</v>
      </c>
      <c r="M9312">
        <v>1</v>
      </c>
      <c r="N9312">
        <v>8.9982199999999992E-133</v>
      </c>
      <c r="O9312">
        <v>1208</v>
      </c>
    </row>
    <row r="9313" spans="1:15" x14ac:dyDescent="0.25">
      <c r="A9313" t="s">
        <v>9326</v>
      </c>
      <c r="B9313">
        <v>483</v>
      </c>
      <c r="C9313" s="1" t="str">
        <f>HYPERLINK("http://www.rosaceae.org/gb/gbrowse/malus_x_domestica/?name=MDP0000174615","MDP0000174615")</f>
        <v>MDP0000174615</v>
      </c>
      <c r="D9313">
        <v>39.21</v>
      </c>
      <c r="E9313">
        <v>204</v>
      </c>
      <c r="F9313">
        <v>124</v>
      </c>
      <c r="G9313">
        <v>14</v>
      </c>
      <c r="H9313">
        <v>192</v>
      </c>
      <c r="I9313">
        <v>395</v>
      </c>
      <c r="J9313">
        <v>1</v>
      </c>
      <c r="K9313">
        <v>439</v>
      </c>
      <c r="L9313">
        <v>628</v>
      </c>
      <c r="M9313">
        <v>1</v>
      </c>
      <c r="N9313">
        <v>6.5430399999999996E-32</v>
      </c>
      <c r="O9313">
        <v>342</v>
      </c>
    </row>
    <row r="9314" spans="1:15" x14ac:dyDescent="0.25">
      <c r="A9314" t="s">
        <v>9327</v>
      </c>
      <c r="B9314">
        <v>329</v>
      </c>
      <c r="C9314" s="1" t="str">
        <f>HYPERLINK("http://www.rosaceae.org/gb/gbrowse/malus_x_domestica/?name=MDP0000728753","MDP0000728753")</f>
        <v>MDP0000728753</v>
      </c>
      <c r="D9314">
        <v>65.900000000000006</v>
      </c>
      <c r="E9314">
        <v>308</v>
      </c>
      <c r="F9314">
        <v>105</v>
      </c>
      <c r="G9314">
        <v>5</v>
      </c>
      <c r="H9314">
        <v>25</v>
      </c>
      <c r="I9314">
        <v>329</v>
      </c>
      <c r="J9314">
        <v>1</v>
      </c>
      <c r="K9314">
        <v>25</v>
      </c>
      <c r="L9314">
        <v>330</v>
      </c>
      <c r="M9314">
        <v>1</v>
      </c>
      <c r="N9314">
        <v>6.0745199999999996E-110</v>
      </c>
      <c r="O9314">
        <v>1013</v>
      </c>
    </row>
    <row r="9315" spans="1:15" x14ac:dyDescent="0.25">
      <c r="A9315" t="s">
        <v>9328</v>
      </c>
      <c r="B9315">
        <v>193</v>
      </c>
      <c r="C9315" s="1" t="str">
        <f>HYPERLINK("http://www.rosaceae.org/gb/gbrowse/malus_x_domestica/?name=MDP0000260960","MDP0000260960")</f>
        <v>MDP0000260960</v>
      </c>
      <c r="D9315">
        <v>41.48</v>
      </c>
      <c r="E9315">
        <v>94</v>
      </c>
      <c r="F9315">
        <v>55</v>
      </c>
      <c r="G9315">
        <v>0</v>
      </c>
      <c r="H9315">
        <v>91</v>
      </c>
      <c r="I9315">
        <v>184</v>
      </c>
      <c r="J9315">
        <v>1</v>
      </c>
      <c r="K9315">
        <v>429</v>
      </c>
      <c r="L9315">
        <v>522</v>
      </c>
      <c r="M9315">
        <v>1</v>
      </c>
      <c r="N9315">
        <v>7.2144699999999999E-15</v>
      </c>
      <c r="O9315">
        <v>190</v>
      </c>
    </row>
    <row r="9316" spans="1:15" x14ac:dyDescent="0.25">
      <c r="A9316" t="s">
        <v>9329</v>
      </c>
      <c r="B9316">
        <v>566</v>
      </c>
      <c r="C9316" s="1" t="str">
        <f>HYPERLINK("http://www.rosaceae.org/gb/gbrowse/malus_x_domestica/?name=MDP0000172773","MDP0000172773")</f>
        <v>MDP0000172773</v>
      </c>
      <c r="D9316">
        <v>54.33</v>
      </c>
      <c r="E9316">
        <v>611</v>
      </c>
      <c r="F9316">
        <v>279</v>
      </c>
      <c r="G9316">
        <v>48</v>
      </c>
      <c r="H9316">
        <v>1</v>
      </c>
      <c r="I9316">
        <v>565</v>
      </c>
      <c r="J9316">
        <v>1</v>
      </c>
      <c r="K9316">
        <v>3</v>
      </c>
      <c r="L9316">
        <v>611</v>
      </c>
      <c r="M9316">
        <v>1</v>
      </c>
      <c r="N9316">
        <v>1.7669400000000001E-158</v>
      </c>
      <c r="O9316">
        <v>1434</v>
      </c>
    </row>
    <row r="9317" spans="1:15" x14ac:dyDescent="0.25">
      <c r="A9317" t="s">
        <v>9330</v>
      </c>
      <c r="B9317">
        <v>203</v>
      </c>
      <c r="C9317" s="1" t="str">
        <f>HYPERLINK("http://www.rosaceae.org/gb/gbrowse/malus_x_domestica/?name=MDP0000854242","MDP0000854242")</f>
        <v>MDP0000854242</v>
      </c>
      <c r="D9317">
        <v>73.39</v>
      </c>
      <c r="E9317">
        <v>203</v>
      </c>
      <c r="F9317">
        <v>54</v>
      </c>
      <c r="G9317">
        <v>1</v>
      </c>
      <c r="H9317">
        <v>1</v>
      </c>
      <c r="I9317">
        <v>203</v>
      </c>
      <c r="J9317">
        <v>1</v>
      </c>
      <c r="K9317">
        <v>1</v>
      </c>
      <c r="L9317">
        <v>202</v>
      </c>
      <c r="M9317">
        <v>1</v>
      </c>
      <c r="N9317">
        <v>4.8704399999999998E-75</v>
      </c>
      <c r="O9317">
        <v>709</v>
      </c>
    </row>
    <row r="9318" spans="1:15" x14ac:dyDescent="0.25">
      <c r="A9318" t="s">
        <v>9331</v>
      </c>
      <c r="B9318">
        <v>174</v>
      </c>
      <c r="C9318" s="1" t="str">
        <f>HYPERLINK("http://www.rosaceae.org/gb/gbrowse/malus_x_domestica/?name=MDP0000188012","MDP0000188012")</f>
        <v>MDP0000188012</v>
      </c>
      <c r="D9318">
        <v>31.32</v>
      </c>
      <c r="E9318">
        <v>166</v>
      </c>
      <c r="F9318">
        <v>114</v>
      </c>
      <c r="G9318">
        <v>5</v>
      </c>
      <c r="H9318">
        <v>2</v>
      </c>
      <c r="I9318">
        <v>166</v>
      </c>
      <c r="J9318">
        <v>1</v>
      </c>
      <c r="K9318">
        <v>115</v>
      </c>
      <c r="L9318">
        <v>276</v>
      </c>
      <c r="M9318">
        <v>1</v>
      </c>
      <c r="N9318">
        <v>3.3521199999999999E-18</v>
      </c>
      <c r="O9318">
        <v>218</v>
      </c>
    </row>
    <row r="9319" spans="1:15" x14ac:dyDescent="0.25">
      <c r="A9319" t="s">
        <v>9332</v>
      </c>
      <c r="B9319">
        <v>173</v>
      </c>
      <c r="C9319" s="1" t="str">
        <f>HYPERLINK("http://www.rosaceae.org/gb/gbrowse/malus_x_domestica/?name=MDP0000155620","MDP0000155620")</f>
        <v>MDP0000155620</v>
      </c>
      <c r="D9319">
        <v>27.77</v>
      </c>
      <c r="E9319">
        <v>144</v>
      </c>
      <c r="F9319">
        <v>104</v>
      </c>
      <c r="G9319">
        <v>2</v>
      </c>
      <c r="H9319">
        <v>29</v>
      </c>
      <c r="I9319">
        <v>172</v>
      </c>
      <c r="J9319">
        <v>1</v>
      </c>
      <c r="K9319">
        <v>62</v>
      </c>
      <c r="L9319">
        <v>203</v>
      </c>
      <c r="M9319">
        <v>1</v>
      </c>
      <c r="N9319">
        <v>9.986709999999999E-7</v>
      </c>
      <c r="O9319">
        <v>119</v>
      </c>
    </row>
    <row r="9320" spans="1:15" x14ac:dyDescent="0.25">
      <c r="A9320" t="s">
        <v>9333</v>
      </c>
      <c r="B9320">
        <v>952</v>
      </c>
      <c r="C9320" s="1" t="str">
        <f>HYPERLINK("http://www.rosaceae.org/gb/gbrowse/malus_x_domestica/?name=MDP0000140633","MDP0000140633")</f>
        <v>MDP0000140633</v>
      </c>
      <c r="D9320">
        <v>57.88</v>
      </c>
      <c r="E9320">
        <v>964</v>
      </c>
      <c r="F9320">
        <v>406</v>
      </c>
      <c r="G9320">
        <v>69</v>
      </c>
      <c r="H9320">
        <v>36</v>
      </c>
      <c r="I9320">
        <v>952</v>
      </c>
      <c r="J9320">
        <v>1</v>
      </c>
      <c r="K9320">
        <v>26</v>
      </c>
      <c r="L9320">
        <v>967</v>
      </c>
      <c r="M9320">
        <v>1</v>
      </c>
      <c r="N9320">
        <v>0</v>
      </c>
      <c r="O9320">
        <v>2520</v>
      </c>
    </row>
    <row r="9321" spans="1:15" x14ac:dyDescent="0.25">
      <c r="A9321" t="s">
        <v>9334</v>
      </c>
      <c r="B9321">
        <v>198</v>
      </c>
      <c r="C9321" s="1" t="str">
        <f>HYPERLINK("http://www.rosaceae.org/gb/gbrowse/malus_x_domestica/?name=MDP0000551040","MDP0000551040")</f>
        <v>MDP0000551040</v>
      </c>
      <c r="D9321">
        <v>71.010000000000005</v>
      </c>
      <c r="E9321">
        <v>207</v>
      </c>
      <c r="F9321">
        <v>60</v>
      </c>
      <c r="G9321">
        <v>12</v>
      </c>
      <c r="H9321">
        <v>1</v>
      </c>
      <c r="I9321">
        <v>198</v>
      </c>
      <c r="J9321">
        <v>1</v>
      </c>
      <c r="K9321">
        <v>1</v>
      </c>
      <c r="L9321">
        <v>204</v>
      </c>
      <c r="M9321">
        <v>1</v>
      </c>
      <c r="N9321">
        <v>4.4657799999999998E-62</v>
      </c>
      <c r="O9321">
        <v>597</v>
      </c>
    </row>
    <row r="9322" spans="1:15" x14ac:dyDescent="0.25">
      <c r="A9322" t="s">
        <v>9335</v>
      </c>
      <c r="B9322">
        <v>962</v>
      </c>
      <c r="C9322" s="1" t="str">
        <f>HYPERLINK("http://www.rosaceae.org/gb/gbrowse/malus_x_domestica/?name=MDP0000719875","MDP0000719875")</f>
        <v>MDP0000719875</v>
      </c>
      <c r="D9322">
        <v>83.4</v>
      </c>
      <c r="E9322">
        <v>988</v>
      </c>
      <c r="F9322">
        <v>164</v>
      </c>
      <c r="G9322">
        <v>27</v>
      </c>
      <c r="H9322">
        <v>1</v>
      </c>
      <c r="I9322">
        <v>962</v>
      </c>
      <c r="J9322">
        <v>1</v>
      </c>
      <c r="K9322">
        <v>1</v>
      </c>
      <c r="L9322">
        <v>987</v>
      </c>
      <c r="M9322">
        <v>1</v>
      </c>
      <c r="N9322">
        <v>0</v>
      </c>
      <c r="O9322">
        <v>4409</v>
      </c>
    </row>
    <row r="9323" spans="1:15" x14ac:dyDescent="0.25">
      <c r="A9323" t="s">
        <v>9336</v>
      </c>
      <c r="B9323">
        <v>329</v>
      </c>
      <c r="C9323" s="1" t="str">
        <f>HYPERLINK("http://www.rosaceae.org/gb/gbrowse/malus_x_domestica/?name=MDP0000216333","MDP0000216333")</f>
        <v>MDP0000216333</v>
      </c>
      <c r="D9323">
        <v>56.49</v>
      </c>
      <c r="E9323">
        <v>331</v>
      </c>
      <c r="F9323">
        <v>144</v>
      </c>
      <c r="G9323">
        <v>92</v>
      </c>
      <c r="H9323">
        <v>25</v>
      </c>
      <c r="I9323">
        <v>311</v>
      </c>
      <c r="J9323">
        <v>1</v>
      </c>
      <c r="K9323">
        <v>116</v>
      </c>
      <c r="L9323">
        <v>398</v>
      </c>
      <c r="M9323">
        <v>1</v>
      </c>
      <c r="N9323">
        <v>3.7701799999999999E-86</v>
      </c>
      <c r="O9323">
        <v>807</v>
      </c>
    </row>
    <row r="9324" spans="1:15" x14ac:dyDescent="0.25">
      <c r="A9324" t="s">
        <v>9337</v>
      </c>
      <c r="B9324">
        <v>415</v>
      </c>
      <c r="C9324" s="1" t="str">
        <f>HYPERLINK("http://www.rosaceae.org/gb/gbrowse/malus_x_domestica/?name=MDP0000917158","MDP0000917158")</f>
        <v>MDP0000917158</v>
      </c>
      <c r="D9324">
        <v>65.12</v>
      </c>
      <c r="E9324">
        <v>433</v>
      </c>
      <c r="F9324">
        <v>151</v>
      </c>
      <c r="G9324">
        <v>28</v>
      </c>
      <c r="H9324">
        <v>1</v>
      </c>
      <c r="I9324">
        <v>415</v>
      </c>
      <c r="J9324">
        <v>1</v>
      </c>
      <c r="K9324">
        <v>1</v>
      </c>
      <c r="L9324">
        <v>423</v>
      </c>
      <c r="M9324">
        <v>1</v>
      </c>
      <c r="N9324">
        <v>3.6391999999999998E-154</v>
      </c>
      <c r="O9324">
        <v>1395</v>
      </c>
    </row>
    <row r="9325" spans="1:15" x14ac:dyDescent="0.25">
      <c r="A9325" t="s">
        <v>9338</v>
      </c>
      <c r="B9325">
        <v>312</v>
      </c>
      <c r="C9325" s="1" t="str">
        <f>HYPERLINK("http://www.rosaceae.org/gb/gbrowse/malus_x_domestica/?name=MDP0000870648","MDP0000870648")</f>
        <v>MDP0000870648</v>
      </c>
      <c r="D9325">
        <v>81.84</v>
      </c>
      <c r="E9325">
        <v>314</v>
      </c>
      <c r="F9325">
        <v>57</v>
      </c>
      <c r="G9325">
        <v>6</v>
      </c>
      <c r="H9325">
        <v>1</v>
      </c>
      <c r="I9325">
        <v>312</v>
      </c>
      <c r="J9325">
        <v>1</v>
      </c>
      <c r="K9325">
        <v>1</v>
      </c>
      <c r="L9325">
        <v>310</v>
      </c>
      <c r="M9325">
        <v>1</v>
      </c>
      <c r="N9325">
        <v>2.4494099999999999E-152</v>
      </c>
      <c r="O9325">
        <v>1378</v>
      </c>
    </row>
    <row r="9326" spans="1:15" x14ac:dyDescent="0.25">
      <c r="A9326" t="s">
        <v>9339</v>
      </c>
      <c r="B9326">
        <v>367</v>
      </c>
      <c r="C9326" s="1" t="str">
        <f>HYPERLINK("http://www.rosaceae.org/gb/gbrowse/malus_x_domestica/?name=MDP0000273274","MDP0000273274")</f>
        <v>MDP0000273274</v>
      </c>
      <c r="D9326">
        <v>59.62</v>
      </c>
      <c r="E9326">
        <v>374</v>
      </c>
      <c r="F9326">
        <v>151</v>
      </c>
      <c r="G9326">
        <v>16</v>
      </c>
      <c r="H9326">
        <v>1</v>
      </c>
      <c r="I9326">
        <v>360</v>
      </c>
      <c r="J9326">
        <v>1</v>
      </c>
      <c r="K9326">
        <v>9</v>
      </c>
      <c r="L9326">
        <v>380</v>
      </c>
      <c r="M9326">
        <v>1</v>
      </c>
      <c r="N9326">
        <v>7.4964999999999997E-127</v>
      </c>
      <c r="O9326">
        <v>1159</v>
      </c>
    </row>
    <row r="9327" spans="1:15" x14ac:dyDescent="0.25">
      <c r="A9327" t="s">
        <v>9340</v>
      </c>
      <c r="B9327">
        <v>234</v>
      </c>
      <c r="C9327" s="1" t="str">
        <f>HYPERLINK("http://www.rosaceae.org/gb/gbrowse/malus_x_domestica/?name=MDP0000154119","MDP0000154119")</f>
        <v>MDP0000154119</v>
      </c>
      <c r="D9327">
        <v>43.09</v>
      </c>
      <c r="E9327">
        <v>181</v>
      </c>
      <c r="F9327">
        <v>103</v>
      </c>
      <c r="G9327">
        <v>20</v>
      </c>
      <c r="H9327">
        <v>72</v>
      </c>
      <c r="I9327">
        <v>234</v>
      </c>
      <c r="J9327">
        <v>1</v>
      </c>
      <c r="K9327">
        <v>40</v>
      </c>
      <c r="L9327">
        <v>218</v>
      </c>
      <c r="M9327">
        <v>1</v>
      </c>
      <c r="N9327">
        <v>1.00611E-28</v>
      </c>
      <c r="O9327">
        <v>310</v>
      </c>
    </row>
    <row r="9328" spans="1:15" x14ac:dyDescent="0.25">
      <c r="A9328" t="s">
        <v>9341</v>
      </c>
      <c r="B9328">
        <v>199</v>
      </c>
      <c r="C9328" s="1" t="str">
        <f>HYPERLINK("http://www.rosaceae.org/gb/gbrowse/malus_x_domestica/?name=MDP0000817915","MDP0000817915")</f>
        <v>MDP0000817915</v>
      </c>
      <c r="D9328">
        <v>76.84</v>
      </c>
      <c r="E9328">
        <v>203</v>
      </c>
      <c r="F9328">
        <v>47</v>
      </c>
      <c r="G9328">
        <v>8</v>
      </c>
      <c r="H9328">
        <v>1</v>
      </c>
      <c r="I9328">
        <v>199</v>
      </c>
      <c r="J9328">
        <v>1</v>
      </c>
      <c r="K9328">
        <v>1</v>
      </c>
      <c r="L9328">
        <v>199</v>
      </c>
      <c r="M9328">
        <v>1</v>
      </c>
      <c r="N9328">
        <v>6.0017299999999999E-84</v>
      </c>
      <c r="O9328">
        <v>785</v>
      </c>
    </row>
    <row r="9329" spans="1:15" x14ac:dyDescent="0.25">
      <c r="A9329" t="s">
        <v>9342</v>
      </c>
      <c r="B9329">
        <v>706</v>
      </c>
      <c r="C9329" s="1" t="str">
        <f>HYPERLINK("http://www.rosaceae.org/gb/gbrowse/malus_x_domestica/?name=MDP0000639777","MDP0000639777")</f>
        <v>MDP0000639777</v>
      </c>
      <c r="D9329">
        <v>57.21</v>
      </c>
      <c r="E9329">
        <v>603</v>
      </c>
      <c r="F9329">
        <v>258</v>
      </c>
      <c r="G9329">
        <v>23</v>
      </c>
      <c r="H9329">
        <v>1</v>
      </c>
      <c r="I9329">
        <v>585</v>
      </c>
      <c r="J9329">
        <v>1</v>
      </c>
      <c r="K9329">
        <v>1</v>
      </c>
      <c r="L9329">
        <v>598</v>
      </c>
      <c r="M9329">
        <v>1</v>
      </c>
      <c r="N9329">
        <v>1.0571300000000001E-166</v>
      </c>
      <c r="O9329">
        <v>1506</v>
      </c>
    </row>
    <row r="9330" spans="1:15" x14ac:dyDescent="0.25">
      <c r="A9330" t="s">
        <v>9343</v>
      </c>
      <c r="B9330">
        <v>291</v>
      </c>
      <c r="C9330" s="1" t="str">
        <f>HYPERLINK("http://www.rosaceae.org/gb/gbrowse/malus_x_domestica/?name=MDP0000194823","MDP0000194823")</f>
        <v>MDP0000194823</v>
      </c>
      <c r="D9330">
        <v>67.8</v>
      </c>
      <c r="E9330">
        <v>146</v>
      </c>
      <c r="F9330">
        <v>47</v>
      </c>
      <c r="G9330">
        <v>18</v>
      </c>
      <c r="H9330">
        <v>1</v>
      </c>
      <c r="I9330">
        <v>146</v>
      </c>
      <c r="J9330">
        <v>1</v>
      </c>
      <c r="K9330">
        <v>1</v>
      </c>
      <c r="L9330">
        <v>128</v>
      </c>
      <c r="M9330">
        <v>1</v>
      </c>
      <c r="N9330">
        <v>1.9681699999999998E-52</v>
      </c>
      <c r="O9330">
        <v>516</v>
      </c>
    </row>
    <row r="9331" spans="1:15" x14ac:dyDescent="0.25">
      <c r="A9331" t="s">
        <v>9344</v>
      </c>
      <c r="B9331">
        <v>127</v>
      </c>
      <c r="C9331" s="1" t="str">
        <f>HYPERLINK("http://www.rosaceae.org/gb/gbrowse/malus_x_domestica/?name=MDP0000267614","MDP0000267614")</f>
        <v>MDP0000267614</v>
      </c>
      <c r="D9331">
        <v>65.78</v>
      </c>
      <c r="E9331">
        <v>38</v>
      </c>
      <c r="F9331">
        <v>13</v>
      </c>
      <c r="G9331">
        <v>0</v>
      </c>
      <c r="H9331">
        <v>7</v>
      </c>
      <c r="I9331">
        <v>44</v>
      </c>
      <c r="J9331">
        <v>1</v>
      </c>
      <c r="K9331">
        <v>107</v>
      </c>
      <c r="L9331">
        <v>144</v>
      </c>
      <c r="M9331">
        <v>1</v>
      </c>
      <c r="N9331">
        <v>5.0758100000000003E-11</v>
      </c>
      <c r="O9331">
        <v>153</v>
      </c>
    </row>
    <row r="9332" spans="1:15" x14ac:dyDescent="0.25">
      <c r="A9332" t="s">
        <v>9345</v>
      </c>
      <c r="B9332">
        <v>429</v>
      </c>
      <c r="C9332" s="1" t="str">
        <f>HYPERLINK("http://www.rosaceae.org/gb/gbrowse/malus_x_domestica/?name=MDP0000214472","MDP0000214472")</f>
        <v>MDP0000214472</v>
      </c>
      <c r="D9332">
        <v>61.46</v>
      </c>
      <c r="E9332">
        <v>436</v>
      </c>
      <c r="F9332">
        <v>168</v>
      </c>
      <c r="G9332">
        <v>26</v>
      </c>
      <c r="H9332">
        <v>1</v>
      </c>
      <c r="I9332">
        <v>418</v>
      </c>
      <c r="J9332">
        <v>1</v>
      </c>
      <c r="K9332">
        <v>1</v>
      </c>
      <c r="L9332">
        <v>428</v>
      </c>
      <c r="M9332">
        <v>1</v>
      </c>
      <c r="N9332">
        <v>3.5833E-130</v>
      </c>
      <c r="O9332">
        <v>1188</v>
      </c>
    </row>
    <row r="9333" spans="1:15" x14ac:dyDescent="0.25">
      <c r="A9333" t="s">
        <v>9346</v>
      </c>
      <c r="B9333">
        <v>534</v>
      </c>
      <c r="C9333" s="1" t="str">
        <f>HYPERLINK("http://www.rosaceae.org/gb/gbrowse/malus_x_domestica/?name=MDP0000648216","MDP0000648216")</f>
        <v>MDP0000648216</v>
      </c>
      <c r="D9333">
        <v>41.26</v>
      </c>
      <c r="E9333">
        <v>332</v>
      </c>
      <c r="F9333">
        <v>195</v>
      </c>
      <c r="G9333">
        <v>29</v>
      </c>
      <c r="H9333">
        <v>17</v>
      </c>
      <c r="I9333">
        <v>321</v>
      </c>
      <c r="J9333">
        <v>1</v>
      </c>
      <c r="K9333">
        <v>1</v>
      </c>
      <c r="L9333">
        <v>330</v>
      </c>
      <c r="M9333">
        <v>1</v>
      </c>
      <c r="N9333">
        <v>8.6357999999999996E-68</v>
      </c>
      <c r="O9333">
        <v>651</v>
      </c>
    </row>
    <row r="9334" spans="1:15" x14ac:dyDescent="0.25">
      <c r="A9334" t="s">
        <v>9347</v>
      </c>
      <c r="B9334">
        <v>435</v>
      </c>
      <c r="C9334" s="1" t="str">
        <f>HYPERLINK("http://www.rosaceae.org/gb/gbrowse/malus_x_domestica/?name=MDP0000663500","MDP0000663500")</f>
        <v>MDP0000663500</v>
      </c>
      <c r="D9334">
        <v>83.45</v>
      </c>
      <c r="E9334">
        <v>266</v>
      </c>
      <c r="F9334">
        <v>44</v>
      </c>
      <c r="G9334">
        <v>0</v>
      </c>
      <c r="H9334">
        <v>91</v>
      </c>
      <c r="I9334">
        <v>356</v>
      </c>
      <c r="J9334">
        <v>1</v>
      </c>
      <c r="K9334">
        <v>140</v>
      </c>
      <c r="L9334">
        <v>405</v>
      </c>
      <c r="M9334">
        <v>1</v>
      </c>
      <c r="N9334">
        <v>5.2235699999999996E-131</v>
      </c>
      <c r="O9334">
        <v>1196</v>
      </c>
    </row>
    <row r="9335" spans="1:15" x14ac:dyDescent="0.25">
      <c r="A9335" t="s">
        <v>9348</v>
      </c>
      <c r="B9335">
        <v>865</v>
      </c>
      <c r="C9335" s="1" t="str">
        <f>HYPERLINK("http://www.rosaceae.org/gb/gbrowse/malus_x_domestica/?name=MDP0000297154","MDP0000297154")</f>
        <v>MDP0000297154</v>
      </c>
      <c r="D9335">
        <v>64.150000000000006</v>
      </c>
      <c r="E9335">
        <v>717</v>
      </c>
      <c r="F9335">
        <v>257</v>
      </c>
      <c r="G9335">
        <v>66</v>
      </c>
      <c r="H9335">
        <v>9</v>
      </c>
      <c r="I9335">
        <v>719</v>
      </c>
      <c r="J9335">
        <v>1</v>
      </c>
      <c r="K9335">
        <v>11</v>
      </c>
      <c r="L9335">
        <v>667</v>
      </c>
      <c r="M9335">
        <v>1</v>
      </c>
      <c r="N9335">
        <v>0</v>
      </c>
      <c r="O9335">
        <v>2314</v>
      </c>
    </row>
    <row r="9336" spans="1:15" x14ac:dyDescent="0.25">
      <c r="A9336" t="s">
        <v>9349</v>
      </c>
      <c r="B9336">
        <v>2093</v>
      </c>
      <c r="C9336" s="1" t="str">
        <f>HYPERLINK("http://www.rosaceae.org/gb/gbrowse/malus_x_domestica/?name=MDP0000231385","MDP0000231385")</f>
        <v>MDP0000231385</v>
      </c>
      <c r="D9336">
        <v>39.56</v>
      </c>
      <c r="E9336">
        <v>1160</v>
      </c>
      <c r="F9336">
        <v>701</v>
      </c>
      <c r="G9336">
        <v>283</v>
      </c>
      <c r="H9336">
        <v>761</v>
      </c>
      <c r="I9336">
        <v>1676</v>
      </c>
      <c r="J9336">
        <v>1</v>
      </c>
      <c r="K9336">
        <v>2</v>
      </c>
      <c r="L9336">
        <v>1122</v>
      </c>
      <c r="M9336">
        <v>1</v>
      </c>
      <c r="N9336">
        <v>0</v>
      </c>
      <c r="O9336">
        <v>1632</v>
      </c>
    </row>
    <row r="9337" spans="1:15" x14ac:dyDescent="0.25">
      <c r="A9337" t="s">
        <v>9350</v>
      </c>
      <c r="B9337">
        <v>1145</v>
      </c>
      <c r="C9337" s="1" t="str">
        <f>HYPERLINK("http://www.rosaceae.org/gb/gbrowse/malus_x_domestica/?name=MDP0000195381","MDP0000195381")</f>
        <v>MDP0000195381</v>
      </c>
      <c r="D9337">
        <v>67.099999999999994</v>
      </c>
      <c r="E9337">
        <v>1073</v>
      </c>
      <c r="F9337">
        <v>353</v>
      </c>
      <c r="G9337">
        <v>122</v>
      </c>
      <c r="H9337">
        <v>1</v>
      </c>
      <c r="I9337">
        <v>1056</v>
      </c>
      <c r="J9337">
        <v>1</v>
      </c>
      <c r="K9337">
        <v>1</v>
      </c>
      <c r="L9337">
        <v>968</v>
      </c>
      <c r="M9337">
        <v>1</v>
      </c>
      <c r="N9337">
        <v>0</v>
      </c>
      <c r="O9337">
        <v>3620</v>
      </c>
    </row>
    <row r="9338" spans="1:15" x14ac:dyDescent="0.25">
      <c r="A9338" t="s">
        <v>9351</v>
      </c>
      <c r="B9338">
        <v>152</v>
      </c>
      <c r="C9338" s="1" t="str">
        <f>HYPERLINK("http://www.rosaceae.org/gb/gbrowse/malus_x_domestica/?name=MDP0000125683","MDP0000125683")</f>
        <v>MDP0000125683</v>
      </c>
      <c r="D9338">
        <v>62.9</v>
      </c>
      <c r="E9338">
        <v>62</v>
      </c>
      <c r="F9338">
        <v>23</v>
      </c>
      <c r="G9338">
        <v>8</v>
      </c>
      <c r="H9338">
        <v>88</v>
      </c>
      <c r="I9338">
        <v>141</v>
      </c>
      <c r="J9338">
        <v>1</v>
      </c>
      <c r="K9338">
        <v>107</v>
      </c>
      <c r="L9338">
        <v>168</v>
      </c>
      <c r="M9338">
        <v>1</v>
      </c>
      <c r="N9338">
        <v>6.0362999999999997E-14</v>
      </c>
      <c r="O9338">
        <v>180</v>
      </c>
    </row>
    <row r="9339" spans="1:15" x14ac:dyDescent="0.25">
      <c r="A9339" t="s">
        <v>9352</v>
      </c>
      <c r="B9339">
        <v>564</v>
      </c>
      <c r="C9339" s="1" t="str">
        <f>HYPERLINK("http://www.rosaceae.org/gb/gbrowse/malus_x_domestica/?name=MDP0000177288","MDP0000177288")</f>
        <v>MDP0000177288</v>
      </c>
      <c r="D9339">
        <v>41.61</v>
      </c>
      <c r="E9339">
        <v>507</v>
      </c>
      <c r="F9339">
        <v>296</v>
      </c>
      <c r="G9339">
        <v>62</v>
      </c>
      <c r="H9339">
        <v>38</v>
      </c>
      <c r="I9339">
        <v>513</v>
      </c>
      <c r="J9339">
        <v>1</v>
      </c>
      <c r="K9339">
        <v>372</v>
      </c>
      <c r="L9339">
        <v>847</v>
      </c>
      <c r="M9339">
        <v>1</v>
      </c>
      <c r="N9339">
        <v>1.23472E-84</v>
      </c>
      <c r="O9339">
        <v>797</v>
      </c>
    </row>
    <row r="9340" spans="1:15" x14ac:dyDescent="0.25">
      <c r="A9340" t="s">
        <v>9353</v>
      </c>
      <c r="B9340">
        <v>418</v>
      </c>
      <c r="C9340" s="1" t="str">
        <f>HYPERLINK("http://www.rosaceae.org/gb/gbrowse/malus_x_domestica/?name=MDP0000272096","MDP0000272096")</f>
        <v>MDP0000272096</v>
      </c>
      <c r="D9340">
        <v>59.35</v>
      </c>
      <c r="E9340">
        <v>406</v>
      </c>
      <c r="F9340">
        <v>165</v>
      </c>
      <c r="G9340">
        <v>19</v>
      </c>
      <c r="H9340">
        <v>26</v>
      </c>
      <c r="I9340">
        <v>418</v>
      </c>
      <c r="J9340">
        <v>1</v>
      </c>
      <c r="K9340">
        <v>29</v>
      </c>
      <c r="L9340">
        <v>428</v>
      </c>
      <c r="M9340">
        <v>1</v>
      </c>
      <c r="N9340">
        <v>5.6027199999999997E-138</v>
      </c>
      <c r="O9340">
        <v>1256</v>
      </c>
    </row>
    <row r="9341" spans="1:15" x14ac:dyDescent="0.25">
      <c r="A9341" t="s">
        <v>9354</v>
      </c>
      <c r="B9341">
        <v>273</v>
      </c>
      <c r="C9341" s="1" t="str">
        <f>HYPERLINK("http://www.rosaceae.org/gb/gbrowse/malus_x_domestica/?name=MDP0000304867","MDP0000304867")</f>
        <v>MDP0000304867</v>
      </c>
      <c r="D9341">
        <v>70.5</v>
      </c>
      <c r="E9341">
        <v>217</v>
      </c>
      <c r="F9341">
        <v>64</v>
      </c>
      <c r="G9341">
        <v>12</v>
      </c>
      <c r="H9341">
        <v>1</v>
      </c>
      <c r="I9341">
        <v>206</v>
      </c>
      <c r="J9341">
        <v>1</v>
      </c>
      <c r="K9341">
        <v>1</v>
      </c>
      <c r="L9341">
        <v>216</v>
      </c>
      <c r="M9341">
        <v>1</v>
      </c>
      <c r="N9341">
        <v>2.9142500000000001E-82</v>
      </c>
      <c r="O9341">
        <v>773</v>
      </c>
    </row>
    <row r="9342" spans="1:15" x14ac:dyDescent="0.25">
      <c r="A9342" t="s">
        <v>9355</v>
      </c>
      <c r="B9342">
        <v>281</v>
      </c>
      <c r="C9342" s="1" t="str">
        <f>HYPERLINK("http://www.rosaceae.org/gb/gbrowse/malus_x_domestica/?name=MDP0000293076","MDP0000293076")</f>
        <v>MDP0000293076</v>
      </c>
      <c r="D9342">
        <v>42.04</v>
      </c>
      <c r="E9342">
        <v>88</v>
      </c>
      <c r="F9342">
        <v>51</v>
      </c>
      <c r="G9342">
        <v>9</v>
      </c>
      <c r="H9342">
        <v>112</v>
      </c>
      <c r="I9342">
        <v>190</v>
      </c>
      <c r="J9342">
        <v>1</v>
      </c>
      <c r="K9342">
        <v>4</v>
      </c>
      <c r="L9342">
        <v>91</v>
      </c>
      <c r="M9342">
        <v>1</v>
      </c>
      <c r="N9342">
        <v>3.73606E-16</v>
      </c>
      <c r="O9342">
        <v>203</v>
      </c>
    </row>
    <row r="9343" spans="1:15" x14ac:dyDescent="0.25">
      <c r="A9343" t="s">
        <v>9356</v>
      </c>
      <c r="B9343">
        <v>459</v>
      </c>
      <c r="C9343" s="1" t="str">
        <f>HYPERLINK("http://www.rosaceae.org/gb/gbrowse/malus_x_domestica/?name=MDP0000269421","MDP0000269421")</f>
        <v>MDP0000269421</v>
      </c>
      <c r="D9343">
        <v>54.82</v>
      </c>
      <c r="E9343">
        <v>197</v>
      </c>
      <c r="F9343">
        <v>89</v>
      </c>
      <c r="G9343">
        <v>40</v>
      </c>
      <c r="H9343">
        <v>282</v>
      </c>
      <c r="I9343">
        <v>441</v>
      </c>
      <c r="J9343">
        <v>1</v>
      </c>
      <c r="K9343">
        <v>409</v>
      </c>
      <c r="L9343">
        <v>602</v>
      </c>
      <c r="M9343">
        <v>1</v>
      </c>
      <c r="N9343">
        <v>1.6021699999999999E-53</v>
      </c>
      <c r="O9343">
        <v>528</v>
      </c>
    </row>
    <row r="9344" spans="1:15" x14ac:dyDescent="0.25">
      <c r="A9344" t="s">
        <v>9357</v>
      </c>
      <c r="B9344">
        <v>505</v>
      </c>
      <c r="C9344" s="1" t="str">
        <f>HYPERLINK("http://www.rosaceae.org/gb/gbrowse/malus_x_domestica/?name=MDP0000241635","MDP0000241635")</f>
        <v>MDP0000241635</v>
      </c>
      <c r="D9344">
        <v>47.44</v>
      </c>
      <c r="E9344">
        <v>392</v>
      </c>
      <c r="F9344">
        <v>206</v>
      </c>
      <c r="G9344">
        <v>24</v>
      </c>
      <c r="H9344">
        <v>13</v>
      </c>
      <c r="I9344">
        <v>393</v>
      </c>
      <c r="J9344">
        <v>1</v>
      </c>
      <c r="K9344">
        <v>54</v>
      </c>
      <c r="L9344">
        <v>432</v>
      </c>
      <c r="M9344">
        <v>1</v>
      </c>
      <c r="N9344">
        <v>7.4246900000000004E-87</v>
      </c>
      <c r="O9344">
        <v>816</v>
      </c>
    </row>
    <row r="9345" spans="1:15" x14ac:dyDescent="0.25">
      <c r="A9345" t="s">
        <v>9358</v>
      </c>
      <c r="B9345">
        <v>358</v>
      </c>
      <c r="C9345" s="1" t="str">
        <f>HYPERLINK("http://www.rosaceae.org/gb/gbrowse/malus_x_domestica/?name=MDP0000239826","MDP0000239826")</f>
        <v>MDP0000239826</v>
      </c>
      <c r="D9345">
        <v>25.15</v>
      </c>
      <c r="E9345">
        <v>322</v>
      </c>
      <c r="F9345">
        <v>241</v>
      </c>
      <c r="G9345">
        <v>97</v>
      </c>
      <c r="H9345">
        <v>36</v>
      </c>
      <c r="I9345">
        <v>282</v>
      </c>
      <c r="J9345">
        <v>1</v>
      </c>
      <c r="K9345">
        <v>128</v>
      </c>
      <c r="L9345">
        <v>427</v>
      </c>
      <c r="M9345">
        <v>1</v>
      </c>
      <c r="N9345">
        <v>1.4809500000000001E-17</v>
      </c>
      <c r="O9345">
        <v>216</v>
      </c>
    </row>
    <row r="9346" spans="1:15" x14ac:dyDescent="0.25">
      <c r="A9346" t="s">
        <v>9359</v>
      </c>
      <c r="B9346">
        <v>107</v>
      </c>
      <c r="C9346" s="1" t="str">
        <f>HYPERLINK("http://www.rosaceae.org/gb/gbrowse/malus_x_domestica/?name=MDP0000312598","MDP0000312598")</f>
        <v>MDP0000312598</v>
      </c>
      <c r="D9346">
        <v>68.88</v>
      </c>
      <c r="E9346">
        <v>45</v>
      </c>
      <c r="F9346">
        <v>14</v>
      </c>
      <c r="G9346">
        <v>0</v>
      </c>
      <c r="H9346">
        <v>55</v>
      </c>
      <c r="I9346">
        <v>99</v>
      </c>
      <c r="J9346">
        <v>1</v>
      </c>
      <c r="K9346">
        <v>36</v>
      </c>
      <c r="L9346">
        <v>80</v>
      </c>
      <c r="M9346">
        <v>1</v>
      </c>
      <c r="N9346">
        <v>2.0844699999999999E-10</v>
      </c>
      <c r="O9346">
        <v>147</v>
      </c>
    </row>
    <row r="9347" spans="1:15" x14ac:dyDescent="0.25">
      <c r="A9347" t="s">
        <v>9360</v>
      </c>
      <c r="B9347">
        <v>2488</v>
      </c>
      <c r="C9347" s="1" t="str">
        <f>HYPERLINK("http://www.rosaceae.org/gb/gbrowse/malus_x_domestica/?name=MDP0000321952","MDP0000321952")</f>
        <v>MDP0000321952</v>
      </c>
      <c r="D9347">
        <v>67.540000000000006</v>
      </c>
      <c r="E9347">
        <v>915</v>
      </c>
      <c r="F9347">
        <v>297</v>
      </c>
      <c r="G9347">
        <v>43</v>
      </c>
      <c r="H9347">
        <v>7</v>
      </c>
      <c r="I9347">
        <v>883</v>
      </c>
      <c r="J9347">
        <v>1</v>
      </c>
      <c r="K9347">
        <v>565</v>
      </c>
      <c r="L9347">
        <v>1474</v>
      </c>
      <c r="M9347">
        <v>1</v>
      </c>
      <c r="N9347">
        <v>0</v>
      </c>
      <c r="O9347">
        <v>3035</v>
      </c>
    </row>
    <row r="9348" spans="1:15" x14ac:dyDescent="0.25">
      <c r="A9348" t="s">
        <v>9361</v>
      </c>
      <c r="B9348">
        <v>525</v>
      </c>
      <c r="C9348" s="1" t="str">
        <f>HYPERLINK("http://www.rosaceae.org/gb/gbrowse/malus_x_domestica/?name=MDP0000149108","MDP0000149108")</f>
        <v>MDP0000149108</v>
      </c>
      <c r="D9348">
        <v>82.28</v>
      </c>
      <c r="E9348">
        <v>525</v>
      </c>
      <c r="F9348">
        <v>93</v>
      </c>
      <c r="G9348">
        <v>13</v>
      </c>
      <c r="H9348">
        <v>1</v>
      </c>
      <c r="I9348">
        <v>525</v>
      </c>
      <c r="J9348">
        <v>1</v>
      </c>
      <c r="K9348">
        <v>1</v>
      </c>
      <c r="L9348">
        <v>512</v>
      </c>
      <c r="M9348">
        <v>1</v>
      </c>
      <c r="N9348">
        <v>0</v>
      </c>
      <c r="O9348">
        <v>2251</v>
      </c>
    </row>
    <row r="9349" spans="1:15" x14ac:dyDescent="0.25">
      <c r="A9349" t="s">
        <v>9362</v>
      </c>
      <c r="B9349">
        <v>267</v>
      </c>
      <c r="C9349" s="1" t="str">
        <f>HYPERLINK("http://www.rosaceae.org/gb/gbrowse/malus_x_domestica/?name=MDP0000300095","MDP0000300095")</f>
        <v>MDP0000300095</v>
      </c>
      <c r="D9349">
        <v>83.33</v>
      </c>
      <c r="E9349">
        <v>258</v>
      </c>
      <c r="F9349">
        <v>43</v>
      </c>
      <c r="G9349">
        <v>0</v>
      </c>
      <c r="H9349">
        <v>10</v>
      </c>
      <c r="I9349">
        <v>267</v>
      </c>
      <c r="J9349">
        <v>1</v>
      </c>
      <c r="K9349">
        <v>20</v>
      </c>
      <c r="L9349">
        <v>277</v>
      </c>
      <c r="M9349">
        <v>1</v>
      </c>
      <c r="N9349">
        <v>3.8808299999999998E-122</v>
      </c>
      <c r="O9349">
        <v>1117</v>
      </c>
    </row>
    <row r="9350" spans="1:15" x14ac:dyDescent="0.25">
      <c r="A9350" t="s">
        <v>9363</v>
      </c>
      <c r="B9350">
        <v>279</v>
      </c>
      <c r="C9350" s="1" t="str">
        <f>HYPERLINK("http://www.rosaceae.org/gb/gbrowse/malus_x_domestica/?name=MDP0000338285","MDP0000338285")</f>
        <v>MDP0000338285</v>
      </c>
      <c r="D9350">
        <v>54.08</v>
      </c>
      <c r="E9350">
        <v>98</v>
      </c>
      <c r="F9350">
        <v>45</v>
      </c>
      <c r="G9350">
        <v>30</v>
      </c>
      <c r="H9350">
        <v>4</v>
      </c>
      <c r="I9350">
        <v>71</v>
      </c>
      <c r="J9350">
        <v>1</v>
      </c>
      <c r="K9350">
        <v>174</v>
      </c>
      <c r="L9350">
        <v>271</v>
      </c>
      <c r="M9350">
        <v>1</v>
      </c>
      <c r="N9350">
        <v>1.1959500000000001E-21</v>
      </c>
      <c r="O9350">
        <v>250</v>
      </c>
    </row>
    <row r="9351" spans="1:15" x14ac:dyDescent="0.25">
      <c r="A9351" t="s">
        <v>9364</v>
      </c>
      <c r="B9351">
        <v>232</v>
      </c>
      <c r="C9351" s="1" t="str">
        <f>HYPERLINK("http://www.rosaceae.org/gb/gbrowse/malus_x_domestica/?name=MDP0000165983","MDP0000165983")</f>
        <v>MDP0000165983</v>
      </c>
      <c r="D9351">
        <v>90.94</v>
      </c>
      <c r="E9351">
        <v>232</v>
      </c>
      <c r="F9351">
        <v>21</v>
      </c>
      <c r="G9351">
        <v>3</v>
      </c>
      <c r="H9351">
        <v>1</v>
      </c>
      <c r="I9351">
        <v>232</v>
      </c>
      <c r="J9351">
        <v>1</v>
      </c>
      <c r="K9351">
        <v>1</v>
      </c>
      <c r="L9351">
        <v>229</v>
      </c>
      <c r="M9351">
        <v>1</v>
      </c>
      <c r="N9351">
        <v>7.6440199999999997E-119</v>
      </c>
      <c r="O9351">
        <v>1087</v>
      </c>
    </row>
    <row r="9352" spans="1:15" x14ac:dyDescent="0.25">
      <c r="A9352" t="s">
        <v>9365</v>
      </c>
      <c r="B9352">
        <v>158</v>
      </c>
      <c r="C9352" s="1" t="str">
        <f>HYPERLINK("http://www.rosaceae.org/gb/gbrowse/malus_x_domestica/?name=MDP0000174894","MDP0000174894")</f>
        <v>MDP0000174894</v>
      </c>
      <c r="D9352">
        <v>50.65</v>
      </c>
      <c r="E9352">
        <v>152</v>
      </c>
      <c r="F9352">
        <v>75</v>
      </c>
      <c r="G9352">
        <v>6</v>
      </c>
      <c r="H9352">
        <v>1</v>
      </c>
      <c r="I9352">
        <v>147</v>
      </c>
      <c r="J9352">
        <v>1</v>
      </c>
      <c r="K9352">
        <v>97</v>
      </c>
      <c r="L9352">
        <v>247</v>
      </c>
      <c r="M9352">
        <v>1</v>
      </c>
      <c r="N9352">
        <v>3.1159900000000001E-35</v>
      </c>
      <c r="O9352">
        <v>364</v>
      </c>
    </row>
    <row r="9353" spans="1:15" x14ac:dyDescent="0.25">
      <c r="A9353" t="s">
        <v>9366</v>
      </c>
      <c r="B9353">
        <v>514</v>
      </c>
      <c r="C9353" s="1" t="str">
        <f>HYPERLINK("http://www.rosaceae.org/gb/gbrowse/malus_x_domestica/?name=MDP0000187064","MDP0000187064")</f>
        <v>MDP0000187064</v>
      </c>
      <c r="D9353">
        <v>35.020000000000003</v>
      </c>
      <c r="E9353">
        <v>414</v>
      </c>
      <c r="F9353">
        <v>269</v>
      </c>
      <c r="G9353">
        <v>94</v>
      </c>
      <c r="H9353">
        <v>1</v>
      </c>
      <c r="I9353">
        <v>362</v>
      </c>
      <c r="J9353">
        <v>1</v>
      </c>
      <c r="K9353">
        <v>1</v>
      </c>
      <c r="L9353">
        <v>372</v>
      </c>
      <c r="M9353">
        <v>1</v>
      </c>
      <c r="N9353">
        <v>3.6240699999999999E-48</v>
      </c>
      <c r="O9353">
        <v>482</v>
      </c>
    </row>
    <row r="9354" spans="1:15" x14ac:dyDescent="0.25">
      <c r="A9354" t="s">
        <v>9367</v>
      </c>
      <c r="B9354">
        <v>1414</v>
      </c>
      <c r="C9354" s="1" t="str">
        <f>HYPERLINK("http://www.rosaceae.org/gb/gbrowse/malus_x_domestica/?name=MDP0000326359","MDP0000326359")</f>
        <v>MDP0000326359</v>
      </c>
      <c r="D9354">
        <v>77.45</v>
      </c>
      <c r="E9354">
        <v>479</v>
      </c>
      <c r="F9354">
        <v>108</v>
      </c>
      <c r="G9354">
        <v>1</v>
      </c>
      <c r="H9354">
        <v>519</v>
      </c>
      <c r="I9354">
        <v>997</v>
      </c>
      <c r="J9354">
        <v>1</v>
      </c>
      <c r="K9354">
        <v>22</v>
      </c>
      <c r="L9354">
        <v>499</v>
      </c>
      <c r="M9354">
        <v>1</v>
      </c>
      <c r="N9354">
        <v>0</v>
      </c>
      <c r="O9354">
        <v>2083</v>
      </c>
    </row>
    <row r="9355" spans="1:15" x14ac:dyDescent="0.25">
      <c r="A9355" t="s">
        <v>9368</v>
      </c>
      <c r="B9355">
        <v>178</v>
      </c>
      <c r="C9355" s="1" t="str">
        <f>HYPERLINK("http://www.rosaceae.org/gb/gbrowse/malus_x_domestica/?name=MDP0000181942","MDP0000181942")</f>
        <v>MDP0000181942</v>
      </c>
      <c r="D9355">
        <v>70</v>
      </c>
      <c r="E9355">
        <v>70</v>
      </c>
      <c r="F9355">
        <v>21</v>
      </c>
      <c r="G9355">
        <v>0</v>
      </c>
      <c r="H9355">
        <v>8</v>
      </c>
      <c r="I9355">
        <v>77</v>
      </c>
      <c r="J9355">
        <v>1</v>
      </c>
      <c r="K9355">
        <v>5</v>
      </c>
      <c r="L9355">
        <v>74</v>
      </c>
      <c r="M9355">
        <v>1</v>
      </c>
      <c r="N9355">
        <v>4.3037600000000003E-22</v>
      </c>
      <c r="O9355">
        <v>251</v>
      </c>
    </row>
    <row r="9356" spans="1:15" x14ac:dyDescent="0.25">
      <c r="A9356" t="s">
        <v>9369</v>
      </c>
      <c r="B9356">
        <v>1192</v>
      </c>
      <c r="C9356" s="1" t="str">
        <f>HYPERLINK("http://www.rosaceae.org/gb/gbrowse/malus_x_domestica/?name=MDP0000252227","MDP0000252227")</f>
        <v>MDP0000252227</v>
      </c>
      <c r="D9356">
        <v>52.49</v>
      </c>
      <c r="E9356">
        <v>1061</v>
      </c>
      <c r="F9356">
        <v>504</v>
      </c>
      <c r="G9356">
        <v>100</v>
      </c>
      <c r="H9356">
        <v>104</v>
      </c>
      <c r="I9356">
        <v>1123</v>
      </c>
      <c r="J9356">
        <v>1</v>
      </c>
      <c r="K9356">
        <v>11</v>
      </c>
      <c r="L9356">
        <v>1012</v>
      </c>
      <c r="M9356">
        <v>1</v>
      </c>
      <c r="N9356">
        <v>0</v>
      </c>
      <c r="O9356">
        <v>2476</v>
      </c>
    </row>
    <row r="9357" spans="1:15" x14ac:dyDescent="0.25">
      <c r="A9357" t="s">
        <v>9370</v>
      </c>
      <c r="B9357">
        <v>924</v>
      </c>
      <c r="C9357" s="1" t="str">
        <f>HYPERLINK("http://www.rosaceae.org/gb/gbrowse/malus_x_domestica/?name=MDP0000669809","MDP0000669809")</f>
        <v>MDP0000669809</v>
      </c>
      <c r="D9357">
        <v>66.7</v>
      </c>
      <c r="E9357">
        <v>892</v>
      </c>
      <c r="F9357">
        <v>297</v>
      </c>
      <c r="G9357">
        <v>20</v>
      </c>
      <c r="H9357">
        <v>50</v>
      </c>
      <c r="I9357">
        <v>924</v>
      </c>
      <c r="J9357">
        <v>1</v>
      </c>
      <c r="K9357">
        <v>15</v>
      </c>
      <c r="L9357">
        <v>903</v>
      </c>
      <c r="M9357">
        <v>1</v>
      </c>
      <c r="N9357">
        <v>0</v>
      </c>
      <c r="O9357">
        <v>2961</v>
      </c>
    </row>
    <row r="9358" spans="1:15" x14ac:dyDescent="0.25">
      <c r="A9358" t="s">
        <v>9371</v>
      </c>
      <c r="B9358">
        <v>433</v>
      </c>
      <c r="C9358" s="1" t="str">
        <f>HYPERLINK("http://www.rosaceae.org/gb/gbrowse/malus_x_domestica/?name=MDP0000263137","MDP0000263137")</f>
        <v>MDP0000263137</v>
      </c>
      <c r="D9358">
        <v>60.62</v>
      </c>
      <c r="E9358">
        <v>381</v>
      </c>
      <c r="F9358">
        <v>150</v>
      </c>
      <c r="G9358">
        <v>1</v>
      </c>
      <c r="H9358">
        <v>54</v>
      </c>
      <c r="I9358">
        <v>433</v>
      </c>
      <c r="J9358">
        <v>1</v>
      </c>
      <c r="K9358">
        <v>20</v>
      </c>
      <c r="L9358">
        <v>400</v>
      </c>
      <c r="M9358">
        <v>1</v>
      </c>
      <c r="N9358">
        <v>1.21282E-139</v>
      </c>
      <c r="O9358">
        <v>1270</v>
      </c>
    </row>
    <row r="9359" spans="1:15" x14ac:dyDescent="0.25">
      <c r="A9359" t="s">
        <v>9372</v>
      </c>
      <c r="B9359">
        <v>229</v>
      </c>
      <c r="C9359" s="1" t="str">
        <f>HYPERLINK("http://www.rosaceae.org/gb/gbrowse/malus_x_domestica/?name=MDP0000826052","MDP0000826052")</f>
        <v>MDP0000826052</v>
      </c>
      <c r="D9359">
        <v>86.89</v>
      </c>
      <c r="E9359">
        <v>229</v>
      </c>
      <c r="F9359">
        <v>30</v>
      </c>
      <c r="G9359">
        <v>2</v>
      </c>
      <c r="H9359">
        <v>1</v>
      </c>
      <c r="I9359">
        <v>229</v>
      </c>
      <c r="J9359">
        <v>1</v>
      </c>
      <c r="K9359">
        <v>1</v>
      </c>
      <c r="L9359">
        <v>227</v>
      </c>
      <c r="M9359">
        <v>1</v>
      </c>
      <c r="N9359">
        <v>5.0965900000000001E-114</v>
      </c>
      <c r="O9359">
        <v>1046</v>
      </c>
    </row>
    <row r="9360" spans="1:15" x14ac:dyDescent="0.25">
      <c r="A9360" t="s">
        <v>9373</v>
      </c>
      <c r="B9360">
        <v>473</v>
      </c>
      <c r="C9360" s="1" t="str">
        <f>HYPERLINK("http://www.rosaceae.org/gb/gbrowse/malus_x_domestica/?name=MDP0000121410","MDP0000121410")</f>
        <v>MDP0000121410</v>
      </c>
      <c r="D9360">
        <v>63.81</v>
      </c>
      <c r="E9360">
        <v>503</v>
      </c>
      <c r="F9360">
        <v>182</v>
      </c>
      <c r="G9360">
        <v>67</v>
      </c>
      <c r="H9360">
        <v>1</v>
      </c>
      <c r="I9360">
        <v>468</v>
      </c>
      <c r="J9360">
        <v>1</v>
      </c>
      <c r="K9360">
        <v>124</v>
      </c>
      <c r="L9360">
        <v>594</v>
      </c>
      <c r="M9360">
        <v>1</v>
      </c>
      <c r="N9360">
        <v>6.7656199999999996E-169</v>
      </c>
      <c r="O9360">
        <v>1523</v>
      </c>
    </row>
    <row r="9361" spans="1:15" x14ac:dyDescent="0.25">
      <c r="A9361" t="s">
        <v>9374</v>
      </c>
      <c r="B9361">
        <v>426</v>
      </c>
      <c r="C9361" s="1" t="str">
        <f>HYPERLINK("http://www.rosaceae.org/gb/gbrowse/malus_x_domestica/?name=MDP0000312758","MDP0000312758")</f>
        <v>MDP0000312758</v>
      </c>
      <c r="D9361">
        <v>62.53</v>
      </c>
      <c r="E9361">
        <v>395</v>
      </c>
      <c r="F9361">
        <v>148</v>
      </c>
      <c r="G9361">
        <v>40</v>
      </c>
      <c r="H9361">
        <v>68</v>
      </c>
      <c r="I9361">
        <v>423</v>
      </c>
      <c r="J9361">
        <v>1</v>
      </c>
      <c r="K9361">
        <v>110</v>
      </c>
      <c r="L9361">
        <v>503</v>
      </c>
      <c r="M9361">
        <v>1</v>
      </c>
      <c r="N9361">
        <v>3.5531100000000002E-127</v>
      </c>
      <c r="O9361">
        <v>1162</v>
      </c>
    </row>
    <row r="9362" spans="1:15" x14ac:dyDescent="0.25">
      <c r="A9362" t="s">
        <v>9375</v>
      </c>
      <c r="B9362">
        <v>259</v>
      </c>
      <c r="C9362" s="1" t="str">
        <f>HYPERLINK("http://www.rosaceae.org/gb/gbrowse/malus_x_domestica/?name=MDP0000321050","MDP0000321050")</f>
        <v>MDP0000321050</v>
      </c>
      <c r="D9362">
        <v>66.45</v>
      </c>
      <c r="E9362">
        <v>161</v>
      </c>
      <c r="F9362">
        <v>54</v>
      </c>
      <c r="G9362">
        <v>9</v>
      </c>
      <c r="H9362">
        <v>1</v>
      </c>
      <c r="I9362">
        <v>154</v>
      </c>
      <c r="J9362">
        <v>1</v>
      </c>
      <c r="K9362">
        <v>1</v>
      </c>
      <c r="L9362">
        <v>159</v>
      </c>
      <c r="M9362">
        <v>1</v>
      </c>
      <c r="N9362">
        <v>1.40057E-47</v>
      </c>
      <c r="O9362">
        <v>473</v>
      </c>
    </row>
    <row r="9363" spans="1:15" x14ac:dyDescent="0.25">
      <c r="A9363" t="s">
        <v>9376</v>
      </c>
      <c r="B9363">
        <v>163</v>
      </c>
      <c r="C9363" s="1" t="str">
        <f>HYPERLINK("http://www.rosaceae.org/gb/gbrowse/malus_x_domestica/?name=MDP0000939266","MDP0000939266")</f>
        <v>MDP0000939266</v>
      </c>
      <c r="D9363">
        <v>62.5</v>
      </c>
      <c r="E9363">
        <v>40</v>
      </c>
      <c r="F9363">
        <v>15</v>
      </c>
      <c r="G9363">
        <v>0</v>
      </c>
      <c r="H9363">
        <v>4</v>
      </c>
      <c r="I9363">
        <v>43</v>
      </c>
      <c r="J9363">
        <v>1</v>
      </c>
      <c r="K9363">
        <v>64</v>
      </c>
      <c r="L9363">
        <v>103</v>
      </c>
      <c r="M9363">
        <v>1</v>
      </c>
      <c r="N9363">
        <v>2.1415899999999998E-9</v>
      </c>
      <c r="O9363">
        <v>141</v>
      </c>
    </row>
    <row r="9364" spans="1:15" x14ac:dyDescent="0.25">
      <c r="A9364" t="s">
        <v>9377</v>
      </c>
      <c r="B9364">
        <v>524</v>
      </c>
      <c r="C9364" s="1" t="str">
        <f>HYPERLINK("http://www.rosaceae.org/gb/gbrowse/malus_x_domestica/?name=MDP0000322668","MDP0000322668")</f>
        <v>MDP0000322668</v>
      </c>
      <c r="D9364">
        <v>77.11</v>
      </c>
      <c r="E9364">
        <v>201</v>
      </c>
      <c r="F9364">
        <v>46</v>
      </c>
      <c r="G9364">
        <v>3</v>
      </c>
      <c r="H9364">
        <v>320</v>
      </c>
      <c r="I9364">
        <v>519</v>
      </c>
      <c r="J9364">
        <v>1</v>
      </c>
      <c r="K9364">
        <v>331</v>
      </c>
      <c r="L9364">
        <v>529</v>
      </c>
      <c r="M9364">
        <v>1</v>
      </c>
      <c r="N9364">
        <v>2.0461900000000002E-89</v>
      </c>
      <c r="O9364">
        <v>838</v>
      </c>
    </row>
    <row r="9365" spans="1:15" x14ac:dyDescent="0.25">
      <c r="A9365" t="s">
        <v>9378</v>
      </c>
      <c r="B9365">
        <v>518</v>
      </c>
      <c r="C9365" s="1" t="str">
        <f>HYPERLINK("http://www.rosaceae.org/gb/gbrowse/malus_x_domestica/?name=MDP0000134329","MDP0000134329")</f>
        <v>MDP0000134329</v>
      </c>
      <c r="D9365">
        <v>74</v>
      </c>
      <c r="E9365">
        <v>200</v>
      </c>
      <c r="F9365">
        <v>52</v>
      </c>
      <c r="G9365">
        <v>47</v>
      </c>
      <c r="H9365">
        <v>366</v>
      </c>
      <c r="I9365">
        <v>518</v>
      </c>
      <c r="J9365">
        <v>1</v>
      </c>
      <c r="K9365">
        <v>80</v>
      </c>
      <c r="L9365">
        <v>279</v>
      </c>
      <c r="M9365">
        <v>1</v>
      </c>
      <c r="N9365">
        <v>4.0449199999999998E-77</v>
      </c>
      <c r="O9365">
        <v>732</v>
      </c>
    </row>
    <row r="9366" spans="1:15" x14ac:dyDescent="0.25">
      <c r="A9366" t="s">
        <v>9379</v>
      </c>
      <c r="B9366">
        <v>212</v>
      </c>
      <c r="C9366" s="1" t="str">
        <f>HYPERLINK("http://www.rosaceae.org/gb/gbrowse/malus_x_domestica/?name=MDP0000312793","MDP0000312793")</f>
        <v>MDP0000312793</v>
      </c>
      <c r="D9366">
        <v>45.71</v>
      </c>
      <c r="E9366">
        <v>105</v>
      </c>
      <c r="F9366">
        <v>57</v>
      </c>
      <c r="G9366">
        <v>11</v>
      </c>
      <c r="H9366">
        <v>117</v>
      </c>
      <c r="I9366">
        <v>210</v>
      </c>
      <c r="J9366">
        <v>1</v>
      </c>
      <c r="K9366">
        <v>286</v>
      </c>
      <c r="L9366">
        <v>390</v>
      </c>
      <c r="M9366">
        <v>1</v>
      </c>
      <c r="N9366">
        <v>3.3018099999999999E-16</v>
      </c>
      <c r="O9366">
        <v>202</v>
      </c>
    </row>
    <row r="9367" spans="1:15" x14ac:dyDescent="0.25">
      <c r="A9367" t="s">
        <v>9380</v>
      </c>
      <c r="B9367">
        <v>478</v>
      </c>
      <c r="C9367" s="1" t="str">
        <f>HYPERLINK("http://www.rosaceae.org/gb/gbrowse/malus_x_domestica/?name=MDP0000160966","MDP0000160966")</f>
        <v>MDP0000160966</v>
      </c>
      <c r="D9367">
        <v>49.09</v>
      </c>
      <c r="E9367">
        <v>552</v>
      </c>
      <c r="F9367">
        <v>281</v>
      </c>
      <c r="G9367">
        <v>85</v>
      </c>
      <c r="H9367">
        <v>4</v>
      </c>
      <c r="I9367">
        <v>478</v>
      </c>
      <c r="J9367">
        <v>1</v>
      </c>
      <c r="K9367">
        <v>1</v>
      </c>
      <c r="L9367">
        <v>544</v>
      </c>
      <c r="M9367">
        <v>1</v>
      </c>
      <c r="N9367">
        <v>1.2727900000000001E-136</v>
      </c>
      <c r="O9367">
        <v>1244</v>
      </c>
    </row>
    <row r="9368" spans="1:15" x14ac:dyDescent="0.25">
      <c r="A9368" t="s">
        <v>9381</v>
      </c>
      <c r="B9368">
        <v>141</v>
      </c>
      <c r="C9368" s="1" t="str">
        <f>HYPERLINK("http://www.rosaceae.org/gb/gbrowse/malus_x_domestica/?name=MDP0000394035","MDP0000394035")</f>
        <v>MDP0000394035</v>
      </c>
      <c r="D9368">
        <v>48.55</v>
      </c>
      <c r="E9368">
        <v>138</v>
      </c>
      <c r="F9368">
        <v>71</v>
      </c>
      <c r="G9368">
        <v>24</v>
      </c>
      <c r="H9368">
        <v>5</v>
      </c>
      <c r="I9368">
        <v>141</v>
      </c>
      <c r="J9368">
        <v>1</v>
      </c>
      <c r="K9368">
        <v>1</v>
      </c>
      <c r="L9368">
        <v>115</v>
      </c>
      <c r="M9368">
        <v>1</v>
      </c>
      <c r="N9368">
        <v>1.0151100000000001E-26</v>
      </c>
      <c r="O9368">
        <v>289</v>
      </c>
    </row>
    <row r="9369" spans="1:15" x14ac:dyDescent="0.25">
      <c r="A9369" t="s">
        <v>9382</v>
      </c>
      <c r="B9369">
        <v>602</v>
      </c>
      <c r="C9369" s="1" t="str">
        <f>HYPERLINK("http://www.rosaceae.org/gb/gbrowse/malus_x_domestica/?name=MDP0000130897","MDP0000130897")</f>
        <v>MDP0000130897</v>
      </c>
      <c r="D9369">
        <v>37.03</v>
      </c>
      <c r="E9369">
        <v>135</v>
      </c>
      <c r="F9369">
        <v>85</v>
      </c>
      <c r="G9369">
        <v>7</v>
      </c>
      <c r="H9369">
        <v>473</v>
      </c>
      <c r="I9369">
        <v>601</v>
      </c>
      <c r="J9369">
        <v>1</v>
      </c>
      <c r="K9369">
        <v>454</v>
      </c>
      <c r="L9369">
        <v>587</v>
      </c>
      <c r="M9369">
        <v>1</v>
      </c>
      <c r="N9369">
        <v>2.8854499999999997E-23</v>
      </c>
      <c r="O9369">
        <v>268</v>
      </c>
    </row>
    <row r="9370" spans="1:15" x14ac:dyDescent="0.25">
      <c r="A9370" t="s">
        <v>9383</v>
      </c>
      <c r="B9370">
        <v>354</v>
      </c>
      <c r="C9370" s="1" t="str">
        <f>HYPERLINK("http://www.rosaceae.org/gb/gbrowse/malus_x_domestica/?name=MDP0000533076","MDP0000533076")</f>
        <v>MDP0000533076</v>
      </c>
      <c r="D9370">
        <v>72.38</v>
      </c>
      <c r="E9370">
        <v>373</v>
      </c>
      <c r="F9370">
        <v>103</v>
      </c>
      <c r="G9370">
        <v>32</v>
      </c>
      <c r="H9370">
        <v>6</v>
      </c>
      <c r="I9370">
        <v>350</v>
      </c>
      <c r="J9370">
        <v>1</v>
      </c>
      <c r="K9370">
        <v>4</v>
      </c>
      <c r="L9370">
        <v>372</v>
      </c>
      <c r="M9370">
        <v>1</v>
      </c>
      <c r="N9370">
        <v>2.99137E-156</v>
      </c>
      <c r="O9370">
        <v>1412</v>
      </c>
    </row>
    <row r="9371" spans="1:15" x14ac:dyDescent="0.25">
      <c r="A9371" t="s">
        <v>9384</v>
      </c>
      <c r="B9371">
        <v>463</v>
      </c>
      <c r="C9371" s="1" t="str">
        <f>HYPERLINK("http://www.rosaceae.org/gb/gbrowse/malus_x_domestica/?name=MDP0000729532","MDP0000729532")</f>
        <v>MDP0000729532</v>
      </c>
      <c r="D9371">
        <v>93.44</v>
      </c>
      <c r="E9371">
        <v>458</v>
      </c>
      <c r="F9371">
        <v>30</v>
      </c>
      <c r="G9371">
        <v>1</v>
      </c>
      <c r="H9371">
        <v>6</v>
      </c>
      <c r="I9371">
        <v>463</v>
      </c>
      <c r="J9371">
        <v>1</v>
      </c>
      <c r="K9371">
        <v>83</v>
      </c>
      <c r="L9371">
        <v>539</v>
      </c>
      <c r="M9371">
        <v>1</v>
      </c>
      <c r="N9371">
        <v>0</v>
      </c>
      <c r="O9371">
        <v>2237</v>
      </c>
    </row>
    <row r="9372" spans="1:15" x14ac:dyDescent="0.25">
      <c r="A9372" t="s">
        <v>9385</v>
      </c>
      <c r="B9372">
        <v>795</v>
      </c>
      <c r="C9372" s="1" t="str">
        <f>HYPERLINK("http://www.rosaceae.org/gb/gbrowse/malus_x_domestica/?name=MDP0000941174","MDP0000941174")</f>
        <v>MDP0000941174</v>
      </c>
      <c r="D9372">
        <v>74.739999999999995</v>
      </c>
      <c r="E9372">
        <v>796</v>
      </c>
      <c r="F9372">
        <v>201</v>
      </c>
      <c r="G9372">
        <v>20</v>
      </c>
      <c r="H9372">
        <v>1</v>
      </c>
      <c r="I9372">
        <v>784</v>
      </c>
      <c r="J9372">
        <v>1</v>
      </c>
      <c r="K9372">
        <v>1</v>
      </c>
      <c r="L9372">
        <v>788</v>
      </c>
      <c r="M9372">
        <v>1</v>
      </c>
      <c r="N9372">
        <v>0</v>
      </c>
      <c r="O9372">
        <v>3096</v>
      </c>
    </row>
    <row r="9373" spans="1:15" x14ac:dyDescent="0.25">
      <c r="A9373" t="s">
        <v>9386</v>
      </c>
      <c r="B9373">
        <v>997</v>
      </c>
      <c r="C9373" s="1" t="str">
        <f>HYPERLINK("http://www.rosaceae.org/gb/gbrowse/malus_x_domestica/?name=MDP0000216692","MDP0000216692")</f>
        <v>MDP0000216692</v>
      </c>
      <c r="D9373">
        <v>67.64</v>
      </c>
      <c r="E9373">
        <v>890</v>
      </c>
      <c r="F9373">
        <v>288</v>
      </c>
      <c r="G9373">
        <v>13</v>
      </c>
      <c r="H9373">
        <v>112</v>
      </c>
      <c r="I9373">
        <v>997</v>
      </c>
      <c r="J9373">
        <v>1</v>
      </c>
      <c r="K9373">
        <v>313</v>
      </c>
      <c r="L9373">
        <v>1193</v>
      </c>
      <c r="M9373">
        <v>1</v>
      </c>
      <c r="N9373">
        <v>0</v>
      </c>
      <c r="O9373">
        <v>3120</v>
      </c>
    </row>
    <row r="9374" spans="1:15" x14ac:dyDescent="0.25">
      <c r="A9374" t="s">
        <v>9387</v>
      </c>
      <c r="B9374">
        <v>499</v>
      </c>
      <c r="C9374" s="1" t="str">
        <f>HYPERLINK("http://www.rosaceae.org/gb/gbrowse/malus_x_domestica/?name=MDP0000124509","MDP0000124509")</f>
        <v>MDP0000124509</v>
      </c>
      <c r="D9374">
        <v>78.8</v>
      </c>
      <c r="E9374">
        <v>335</v>
      </c>
      <c r="F9374">
        <v>71</v>
      </c>
      <c r="G9374">
        <v>14</v>
      </c>
      <c r="H9374">
        <v>1</v>
      </c>
      <c r="I9374">
        <v>331</v>
      </c>
      <c r="J9374">
        <v>1</v>
      </c>
      <c r="K9374">
        <v>1</v>
      </c>
      <c r="L9374">
        <v>325</v>
      </c>
      <c r="M9374">
        <v>1</v>
      </c>
      <c r="N9374">
        <v>1.8625599999999999E-142</v>
      </c>
      <c r="O9374">
        <v>1295</v>
      </c>
    </row>
    <row r="9375" spans="1:15" x14ac:dyDescent="0.25">
      <c r="A9375" t="s">
        <v>9388</v>
      </c>
      <c r="B9375">
        <v>346</v>
      </c>
      <c r="C9375" s="1" t="str">
        <f>HYPERLINK("http://www.rosaceae.org/gb/gbrowse/malus_x_domestica/?name=MDP0000314958","MDP0000314958")</f>
        <v>MDP0000314958</v>
      </c>
      <c r="D9375">
        <v>45.07</v>
      </c>
      <c r="E9375">
        <v>264</v>
      </c>
      <c r="F9375">
        <v>145</v>
      </c>
      <c r="G9375">
        <v>40</v>
      </c>
      <c r="H9375">
        <v>111</v>
      </c>
      <c r="I9375">
        <v>339</v>
      </c>
      <c r="J9375">
        <v>1</v>
      </c>
      <c r="K9375">
        <v>278</v>
      </c>
      <c r="L9375">
        <v>536</v>
      </c>
      <c r="M9375">
        <v>1</v>
      </c>
      <c r="N9375">
        <v>1.63559E-52</v>
      </c>
      <c r="O9375">
        <v>518</v>
      </c>
    </row>
    <row r="9376" spans="1:15" x14ac:dyDescent="0.25">
      <c r="A9376" t="s">
        <v>9389</v>
      </c>
      <c r="B9376">
        <v>371</v>
      </c>
      <c r="C9376" s="1" t="str">
        <f>HYPERLINK("http://www.rosaceae.org/gb/gbrowse/malus_x_domestica/?name=MDP0000682471","MDP0000682471")</f>
        <v>MDP0000682471</v>
      </c>
      <c r="D9376">
        <v>71.61</v>
      </c>
      <c r="E9376">
        <v>236</v>
      </c>
      <c r="F9376">
        <v>67</v>
      </c>
      <c r="G9376">
        <v>1</v>
      </c>
      <c r="H9376">
        <v>8</v>
      </c>
      <c r="I9376">
        <v>243</v>
      </c>
      <c r="J9376">
        <v>1</v>
      </c>
      <c r="K9376">
        <v>7</v>
      </c>
      <c r="L9376">
        <v>241</v>
      </c>
      <c r="M9376">
        <v>1</v>
      </c>
      <c r="N9376">
        <v>9.4526900000000008E-99</v>
      </c>
      <c r="O9376">
        <v>917</v>
      </c>
    </row>
    <row r="9377" spans="1:15" x14ac:dyDescent="0.25">
      <c r="A9377" t="s">
        <v>9390</v>
      </c>
      <c r="B9377">
        <v>165</v>
      </c>
      <c r="C9377" s="1" t="str">
        <f>HYPERLINK("http://www.rosaceae.org/gb/gbrowse/malus_x_domestica/?name=MDP0000878686","MDP0000878686")</f>
        <v>MDP0000878686</v>
      </c>
      <c r="D9377">
        <v>46.98</v>
      </c>
      <c r="E9377">
        <v>166</v>
      </c>
      <c r="F9377">
        <v>88</v>
      </c>
      <c r="G9377">
        <v>15</v>
      </c>
      <c r="H9377">
        <v>2</v>
      </c>
      <c r="I9377">
        <v>165</v>
      </c>
      <c r="J9377">
        <v>1</v>
      </c>
      <c r="K9377">
        <v>12</v>
      </c>
      <c r="L9377">
        <v>164</v>
      </c>
      <c r="M9377">
        <v>1</v>
      </c>
      <c r="N9377">
        <v>6.4798400000000007E-27</v>
      </c>
      <c r="O9377">
        <v>292</v>
      </c>
    </row>
    <row r="9378" spans="1:15" x14ac:dyDescent="0.25">
      <c r="A9378" t="s">
        <v>9391</v>
      </c>
      <c r="B9378">
        <v>569</v>
      </c>
      <c r="C9378" s="1" t="str">
        <f>HYPERLINK("http://www.rosaceae.org/gb/gbrowse/malus_x_domestica/?name=MDP0000225623","MDP0000225623")</f>
        <v>MDP0000225623</v>
      </c>
      <c r="D9378">
        <v>47.92</v>
      </c>
      <c r="E9378">
        <v>265</v>
      </c>
      <c r="F9378">
        <v>138</v>
      </c>
      <c r="G9378">
        <v>12</v>
      </c>
      <c r="H9378">
        <v>225</v>
      </c>
      <c r="I9378">
        <v>484</v>
      </c>
      <c r="J9378">
        <v>1</v>
      </c>
      <c r="K9378">
        <v>415</v>
      </c>
      <c r="L9378">
        <v>672</v>
      </c>
      <c r="M9378">
        <v>1</v>
      </c>
      <c r="N9378">
        <v>2.12508E-62</v>
      </c>
      <c r="O9378">
        <v>605</v>
      </c>
    </row>
    <row r="9379" spans="1:15" x14ac:dyDescent="0.25">
      <c r="A9379" t="s">
        <v>9392</v>
      </c>
      <c r="B9379">
        <v>638</v>
      </c>
      <c r="C9379" s="1" t="str">
        <f>HYPERLINK("http://www.rosaceae.org/gb/gbrowse/malus_x_domestica/?name=MDP0000209774","MDP0000209774")</f>
        <v>MDP0000209774</v>
      </c>
      <c r="D9379">
        <v>70.67</v>
      </c>
      <c r="E9379">
        <v>682</v>
      </c>
      <c r="F9379">
        <v>200</v>
      </c>
      <c r="G9379">
        <v>89</v>
      </c>
      <c r="H9379">
        <v>1</v>
      </c>
      <c r="I9379">
        <v>637</v>
      </c>
      <c r="J9379">
        <v>1</v>
      </c>
      <c r="K9379">
        <v>1</v>
      </c>
      <c r="L9379">
        <v>638</v>
      </c>
      <c r="M9379">
        <v>1</v>
      </c>
      <c r="N9379">
        <v>0</v>
      </c>
      <c r="O9379">
        <v>2337</v>
      </c>
    </row>
    <row r="9380" spans="1:15" x14ac:dyDescent="0.25">
      <c r="A9380" t="s">
        <v>9393</v>
      </c>
      <c r="B9380">
        <v>108</v>
      </c>
      <c r="C9380" s="1" t="str">
        <f>HYPERLINK("http://www.rosaceae.org/gb/gbrowse/malus_x_domestica/?name=MDP0000228481","MDP0000228481")</f>
        <v>MDP0000228481</v>
      </c>
      <c r="D9380">
        <v>51.57</v>
      </c>
      <c r="E9380">
        <v>95</v>
      </c>
      <c r="F9380">
        <v>46</v>
      </c>
      <c r="G9380">
        <v>1</v>
      </c>
      <c r="H9380">
        <v>9</v>
      </c>
      <c r="I9380">
        <v>103</v>
      </c>
      <c r="J9380">
        <v>1</v>
      </c>
      <c r="K9380">
        <v>6</v>
      </c>
      <c r="L9380">
        <v>99</v>
      </c>
      <c r="M9380">
        <v>1</v>
      </c>
      <c r="N9380">
        <v>1.0905E-17</v>
      </c>
      <c r="O9380">
        <v>210</v>
      </c>
    </row>
    <row r="9381" spans="1:15" x14ac:dyDescent="0.25">
      <c r="A9381" t="s">
        <v>9394</v>
      </c>
      <c r="B9381">
        <v>1101</v>
      </c>
      <c r="C9381" s="1" t="str">
        <f>HYPERLINK("http://www.rosaceae.org/gb/gbrowse/malus_x_domestica/?name=MDP0000145793","MDP0000145793")</f>
        <v>MDP0000145793</v>
      </c>
      <c r="D9381">
        <v>68.92</v>
      </c>
      <c r="E9381">
        <v>917</v>
      </c>
      <c r="F9381">
        <v>285</v>
      </c>
      <c r="G9381">
        <v>56</v>
      </c>
      <c r="H9381">
        <v>132</v>
      </c>
      <c r="I9381">
        <v>1002</v>
      </c>
      <c r="J9381">
        <v>1</v>
      </c>
      <c r="K9381">
        <v>7</v>
      </c>
      <c r="L9381">
        <v>913</v>
      </c>
      <c r="M9381">
        <v>1</v>
      </c>
      <c r="N9381">
        <v>0</v>
      </c>
      <c r="O9381">
        <v>3168</v>
      </c>
    </row>
    <row r="9382" spans="1:15" x14ac:dyDescent="0.25">
      <c r="A9382" t="s">
        <v>9395</v>
      </c>
      <c r="B9382">
        <v>926</v>
      </c>
      <c r="C9382" s="1" t="str">
        <f>HYPERLINK("http://www.rosaceae.org/gb/gbrowse/malus_x_domestica/?name=MDP0000237320","MDP0000237320")</f>
        <v>MDP0000237320</v>
      </c>
      <c r="D9382">
        <v>64.98</v>
      </c>
      <c r="E9382">
        <v>654</v>
      </c>
      <c r="F9382">
        <v>229</v>
      </c>
      <c r="G9382">
        <v>72</v>
      </c>
      <c r="H9382">
        <v>273</v>
      </c>
      <c r="I9382">
        <v>926</v>
      </c>
      <c r="J9382">
        <v>1</v>
      </c>
      <c r="K9382">
        <v>123</v>
      </c>
      <c r="L9382">
        <v>704</v>
      </c>
      <c r="M9382">
        <v>1</v>
      </c>
      <c r="N9382">
        <v>0</v>
      </c>
      <c r="O9382">
        <v>2186</v>
      </c>
    </row>
    <row r="9383" spans="1:15" x14ac:dyDescent="0.25">
      <c r="A9383" t="s">
        <v>9396</v>
      </c>
      <c r="B9383">
        <v>466</v>
      </c>
      <c r="C9383" s="1" t="str">
        <f>HYPERLINK("http://www.rosaceae.org/gb/gbrowse/malus_x_domestica/?name=MDP0000534116","MDP0000534116")</f>
        <v>MDP0000534116</v>
      </c>
      <c r="D9383">
        <v>58.11</v>
      </c>
      <c r="E9383">
        <v>413</v>
      </c>
      <c r="F9383">
        <v>173</v>
      </c>
      <c r="G9383">
        <v>17</v>
      </c>
      <c r="H9383">
        <v>27</v>
      </c>
      <c r="I9383">
        <v>426</v>
      </c>
      <c r="J9383">
        <v>1</v>
      </c>
      <c r="K9383">
        <v>18</v>
      </c>
      <c r="L9383">
        <v>426</v>
      </c>
      <c r="M9383">
        <v>1</v>
      </c>
      <c r="N9383">
        <v>2.0300999999999999E-139</v>
      </c>
      <c r="O9383">
        <v>1268</v>
      </c>
    </row>
    <row r="9384" spans="1:15" x14ac:dyDescent="0.25">
      <c r="A9384" t="s">
        <v>9397</v>
      </c>
      <c r="B9384">
        <v>158</v>
      </c>
      <c r="C9384" s="1" t="str">
        <f>HYPERLINK("http://www.rosaceae.org/gb/gbrowse/malus_x_domestica/?name=MDP0000642690","MDP0000642690")</f>
        <v>MDP0000642690</v>
      </c>
      <c r="D9384">
        <v>43.85</v>
      </c>
      <c r="E9384">
        <v>171</v>
      </c>
      <c r="F9384">
        <v>96</v>
      </c>
      <c r="G9384">
        <v>29</v>
      </c>
      <c r="H9384">
        <v>12</v>
      </c>
      <c r="I9384">
        <v>154</v>
      </c>
      <c r="J9384">
        <v>1</v>
      </c>
      <c r="K9384">
        <v>34</v>
      </c>
      <c r="L9384">
        <v>203</v>
      </c>
      <c r="M9384">
        <v>1</v>
      </c>
      <c r="N9384">
        <v>1.07375E-26</v>
      </c>
      <c r="O9384">
        <v>290</v>
      </c>
    </row>
    <row r="9385" spans="1:15" x14ac:dyDescent="0.25">
      <c r="A9385" t="s">
        <v>9398</v>
      </c>
      <c r="B9385">
        <v>417</v>
      </c>
      <c r="C9385" s="1" t="str">
        <f>HYPERLINK("http://www.rosaceae.org/gb/gbrowse/malus_x_domestica/?name=MDP0000177126","MDP0000177126")</f>
        <v>MDP0000177126</v>
      </c>
      <c r="D9385">
        <v>71.290000000000006</v>
      </c>
      <c r="E9385">
        <v>418</v>
      </c>
      <c r="F9385">
        <v>120</v>
      </c>
      <c r="G9385">
        <v>4</v>
      </c>
      <c r="H9385">
        <v>1</v>
      </c>
      <c r="I9385">
        <v>417</v>
      </c>
      <c r="J9385">
        <v>1</v>
      </c>
      <c r="K9385">
        <v>1</v>
      </c>
      <c r="L9385">
        <v>415</v>
      </c>
      <c r="M9385">
        <v>1</v>
      </c>
      <c r="N9385">
        <v>3.1221600000000002E-158</v>
      </c>
      <c r="O9385">
        <v>1430</v>
      </c>
    </row>
    <row r="9386" spans="1:15" x14ac:dyDescent="0.25">
      <c r="A9386" t="s">
        <v>9399</v>
      </c>
      <c r="B9386">
        <v>720</v>
      </c>
      <c r="C9386" s="1" t="str">
        <f>HYPERLINK("http://www.rosaceae.org/gb/gbrowse/malus_x_domestica/?name=MDP0000140806","MDP0000140806")</f>
        <v>MDP0000140806</v>
      </c>
      <c r="D9386">
        <v>74.13</v>
      </c>
      <c r="E9386">
        <v>460</v>
      </c>
      <c r="F9386">
        <v>119</v>
      </c>
      <c r="G9386">
        <v>33</v>
      </c>
      <c r="H9386">
        <v>264</v>
      </c>
      <c r="I9386">
        <v>720</v>
      </c>
      <c r="J9386">
        <v>1</v>
      </c>
      <c r="K9386">
        <v>1</v>
      </c>
      <c r="L9386">
        <v>430</v>
      </c>
      <c r="M9386">
        <v>1</v>
      </c>
      <c r="N9386">
        <v>0</v>
      </c>
      <c r="O9386">
        <v>1706</v>
      </c>
    </row>
    <row r="9387" spans="1:15" x14ac:dyDescent="0.25">
      <c r="A9387" t="s">
        <v>9400</v>
      </c>
      <c r="B9387">
        <v>247</v>
      </c>
      <c r="C9387" s="1" t="str">
        <f>HYPERLINK("http://www.rosaceae.org/gb/gbrowse/malus_x_domestica/?name=MDP0000314543","MDP0000314543")</f>
        <v>MDP0000314543</v>
      </c>
      <c r="D9387">
        <v>78.12</v>
      </c>
      <c r="E9387">
        <v>64</v>
      </c>
      <c r="F9387">
        <v>14</v>
      </c>
      <c r="G9387">
        <v>4</v>
      </c>
      <c r="H9387">
        <v>1</v>
      </c>
      <c r="I9387">
        <v>60</v>
      </c>
      <c r="J9387">
        <v>1</v>
      </c>
      <c r="K9387">
        <v>367</v>
      </c>
      <c r="L9387">
        <v>430</v>
      </c>
      <c r="M9387">
        <v>1</v>
      </c>
      <c r="N9387">
        <v>1.10422E-19</v>
      </c>
      <c r="O9387">
        <v>233</v>
      </c>
    </row>
    <row r="9388" spans="1:15" x14ac:dyDescent="0.25">
      <c r="A9388" t="s">
        <v>9401</v>
      </c>
      <c r="B9388">
        <v>286</v>
      </c>
      <c r="C9388" s="1" t="str">
        <f>HYPERLINK("http://www.rosaceae.org/gb/gbrowse/malus_x_domestica/?name=MDP0000252442","MDP0000252442")</f>
        <v>MDP0000252442</v>
      </c>
      <c r="D9388">
        <v>46.4</v>
      </c>
      <c r="E9388">
        <v>278</v>
      </c>
      <c r="F9388">
        <v>149</v>
      </c>
      <c r="G9388">
        <v>24</v>
      </c>
      <c r="H9388">
        <v>7</v>
      </c>
      <c r="I9388">
        <v>282</v>
      </c>
      <c r="J9388">
        <v>1</v>
      </c>
      <c r="K9388">
        <v>1363</v>
      </c>
      <c r="L9388">
        <v>1618</v>
      </c>
      <c r="M9388">
        <v>1</v>
      </c>
      <c r="N9388">
        <v>1.2197600000000001E-58</v>
      </c>
      <c r="O9388">
        <v>569</v>
      </c>
    </row>
    <row r="9389" spans="1:15" x14ac:dyDescent="0.25">
      <c r="A9389" t="s">
        <v>9402</v>
      </c>
      <c r="B9389">
        <v>771</v>
      </c>
      <c r="C9389" s="1" t="str">
        <f>HYPERLINK("http://www.rosaceae.org/gb/gbrowse/malus_x_domestica/?name=MDP0000831994","MDP0000831994")</f>
        <v>MDP0000831994</v>
      </c>
      <c r="D9389">
        <v>68.849999999999994</v>
      </c>
      <c r="E9389">
        <v>777</v>
      </c>
      <c r="F9389">
        <v>242</v>
      </c>
      <c r="G9389">
        <v>18</v>
      </c>
      <c r="H9389">
        <v>1</v>
      </c>
      <c r="I9389">
        <v>771</v>
      </c>
      <c r="J9389">
        <v>1</v>
      </c>
      <c r="K9389">
        <v>1</v>
      </c>
      <c r="L9389">
        <v>765</v>
      </c>
      <c r="M9389">
        <v>1</v>
      </c>
      <c r="N9389">
        <v>0</v>
      </c>
      <c r="O9389">
        <v>2714</v>
      </c>
    </row>
    <row r="9390" spans="1:15" x14ac:dyDescent="0.25">
      <c r="A9390" t="s">
        <v>9403</v>
      </c>
      <c r="B9390">
        <v>129</v>
      </c>
      <c r="C9390" s="1" t="str">
        <f>HYPERLINK("http://www.rosaceae.org/gb/gbrowse/malus_x_domestica/?name=MDP0000327253","MDP0000327253")</f>
        <v>MDP0000327253</v>
      </c>
      <c r="D9390">
        <v>56.86</v>
      </c>
      <c r="E9390">
        <v>102</v>
      </c>
      <c r="F9390">
        <v>44</v>
      </c>
      <c r="G9390">
        <v>3</v>
      </c>
      <c r="H9390">
        <v>19</v>
      </c>
      <c r="I9390">
        <v>118</v>
      </c>
      <c r="J9390">
        <v>1</v>
      </c>
      <c r="K9390">
        <v>25</v>
      </c>
      <c r="L9390">
        <v>125</v>
      </c>
      <c r="M9390">
        <v>1</v>
      </c>
      <c r="N9390">
        <v>1.17922E-23</v>
      </c>
      <c r="O9390">
        <v>262</v>
      </c>
    </row>
    <row r="9391" spans="1:15" x14ac:dyDescent="0.25">
      <c r="A9391" t="s">
        <v>9404</v>
      </c>
      <c r="B9391">
        <v>1298</v>
      </c>
      <c r="C9391" s="1" t="str">
        <f>HYPERLINK("http://www.rosaceae.org/gb/gbrowse/malus_x_domestica/?name=MDP0000320667","MDP0000320667")</f>
        <v>MDP0000320667</v>
      </c>
      <c r="D9391">
        <v>70.63</v>
      </c>
      <c r="E9391">
        <v>1032</v>
      </c>
      <c r="F9391">
        <v>303</v>
      </c>
      <c r="G9391">
        <v>19</v>
      </c>
      <c r="H9391">
        <v>1</v>
      </c>
      <c r="I9391">
        <v>1017</v>
      </c>
      <c r="J9391">
        <v>1</v>
      </c>
      <c r="K9391">
        <v>1</v>
      </c>
      <c r="L9391">
        <v>1028</v>
      </c>
      <c r="M9391">
        <v>1</v>
      </c>
      <c r="N9391">
        <v>0</v>
      </c>
      <c r="O9391">
        <v>3804</v>
      </c>
    </row>
    <row r="9392" spans="1:15" x14ac:dyDescent="0.25">
      <c r="A9392" t="s">
        <v>9405</v>
      </c>
      <c r="B9392">
        <v>903</v>
      </c>
      <c r="C9392" s="1" t="str">
        <f>HYPERLINK("http://www.rosaceae.org/gb/gbrowse/malus_x_domestica/?name=MDP0000179935","MDP0000179935")</f>
        <v>MDP0000179935</v>
      </c>
      <c r="D9392">
        <v>66.66</v>
      </c>
      <c r="E9392">
        <v>309</v>
      </c>
      <c r="F9392">
        <v>103</v>
      </c>
      <c r="G9392">
        <v>21</v>
      </c>
      <c r="H9392">
        <v>613</v>
      </c>
      <c r="I9392">
        <v>900</v>
      </c>
      <c r="J9392">
        <v>1</v>
      </c>
      <c r="K9392">
        <v>75</v>
      </c>
      <c r="L9392">
        <v>383</v>
      </c>
      <c r="M9392">
        <v>1</v>
      </c>
      <c r="N9392">
        <v>4.1212899999999998E-108</v>
      </c>
      <c r="O9392">
        <v>1001</v>
      </c>
    </row>
    <row r="9393" spans="1:15" x14ac:dyDescent="0.25">
      <c r="A9393" t="s">
        <v>9406</v>
      </c>
      <c r="B9393">
        <v>1082</v>
      </c>
      <c r="C9393" s="1" t="str">
        <f>HYPERLINK("http://www.rosaceae.org/gb/gbrowse/malus_x_domestica/?name=MDP0000178757","MDP0000178757")</f>
        <v>MDP0000178757</v>
      </c>
      <c r="D9393">
        <v>67.5</v>
      </c>
      <c r="E9393">
        <v>751</v>
      </c>
      <c r="F9393">
        <v>244</v>
      </c>
      <c r="G9393">
        <v>72</v>
      </c>
      <c r="H9393">
        <v>299</v>
      </c>
      <c r="I9393">
        <v>977</v>
      </c>
      <c r="J9393">
        <v>1</v>
      </c>
      <c r="K9393">
        <v>9</v>
      </c>
      <c r="L9393">
        <v>759</v>
      </c>
      <c r="M9393">
        <v>1</v>
      </c>
      <c r="N9393">
        <v>0</v>
      </c>
      <c r="O9393">
        <v>2591</v>
      </c>
    </row>
    <row r="9394" spans="1:15" x14ac:dyDescent="0.25">
      <c r="A9394" t="s">
        <v>9407</v>
      </c>
      <c r="B9394">
        <v>396</v>
      </c>
      <c r="C9394" s="1" t="str">
        <f>HYPERLINK("http://www.rosaceae.org/gb/gbrowse/malus_x_domestica/?name=MDP0000290660","MDP0000290660")</f>
        <v>MDP0000290660</v>
      </c>
      <c r="D9394">
        <v>78.25</v>
      </c>
      <c r="E9394">
        <v>400</v>
      </c>
      <c r="F9394">
        <v>87</v>
      </c>
      <c r="G9394">
        <v>28</v>
      </c>
      <c r="H9394">
        <v>25</v>
      </c>
      <c r="I9394">
        <v>396</v>
      </c>
      <c r="J9394">
        <v>1</v>
      </c>
      <c r="K9394">
        <v>26</v>
      </c>
      <c r="L9394">
        <v>425</v>
      </c>
      <c r="M9394">
        <v>1</v>
      </c>
      <c r="N9394">
        <v>0</v>
      </c>
      <c r="O9394">
        <v>1676</v>
      </c>
    </row>
    <row r="9395" spans="1:15" x14ac:dyDescent="0.25">
      <c r="A9395" t="s">
        <v>9408</v>
      </c>
      <c r="B9395">
        <v>355</v>
      </c>
      <c r="C9395" s="1" t="str">
        <f>HYPERLINK("http://www.rosaceae.org/gb/gbrowse/malus_x_domestica/?name=MDP0000184450","MDP0000184450")</f>
        <v>MDP0000184450</v>
      </c>
      <c r="D9395">
        <v>86.01</v>
      </c>
      <c r="E9395">
        <v>379</v>
      </c>
      <c r="F9395">
        <v>53</v>
      </c>
      <c r="G9395">
        <v>24</v>
      </c>
      <c r="H9395">
        <v>1</v>
      </c>
      <c r="I9395">
        <v>355</v>
      </c>
      <c r="J9395">
        <v>1</v>
      </c>
      <c r="K9395">
        <v>2</v>
      </c>
      <c r="L9395">
        <v>380</v>
      </c>
      <c r="M9395">
        <v>1</v>
      </c>
      <c r="N9395">
        <v>0</v>
      </c>
      <c r="O9395">
        <v>1646</v>
      </c>
    </row>
    <row r="9396" spans="1:15" x14ac:dyDescent="0.25">
      <c r="A9396" t="s">
        <v>9409</v>
      </c>
      <c r="B9396">
        <v>189</v>
      </c>
      <c r="C9396" s="1" t="str">
        <f>HYPERLINK("http://www.rosaceae.org/gb/gbrowse/malus_x_domestica/?name=MDP0000578301","MDP0000578301")</f>
        <v>MDP0000578301</v>
      </c>
      <c r="D9396">
        <v>43.75</v>
      </c>
      <c r="E9396">
        <v>112</v>
      </c>
      <c r="F9396">
        <v>63</v>
      </c>
      <c r="G9396">
        <v>9</v>
      </c>
      <c r="H9396">
        <v>82</v>
      </c>
      <c r="I9396">
        <v>184</v>
      </c>
      <c r="J9396">
        <v>1</v>
      </c>
      <c r="K9396">
        <v>932</v>
      </c>
      <c r="L9396">
        <v>1043</v>
      </c>
      <c r="M9396">
        <v>1</v>
      </c>
      <c r="N9396">
        <v>7.2030200000000002E-16</v>
      </c>
      <c r="O9396">
        <v>198</v>
      </c>
    </row>
    <row r="9397" spans="1:15" x14ac:dyDescent="0.25">
      <c r="A9397" t="s">
        <v>9410</v>
      </c>
      <c r="B9397">
        <v>611</v>
      </c>
      <c r="C9397" s="1" t="str">
        <f>HYPERLINK("http://www.rosaceae.org/gb/gbrowse/malus_x_domestica/?name=MDP0000282499","MDP0000282499")</f>
        <v>MDP0000282499</v>
      </c>
      <c r="D9397">
        <v>73.33</v>
      </c>
      <c r="E9397">
        <v>330</v>
      </c>
      <c r="F9397">
        <v>88</v>
      </c>
      <c r="G9397">
        <v>8</v>
      </c>
      <c r="H9397">
        <v>257</v>
      </c>
      <c r="I9397">
        <v>583</v>
      </c>
      <c r="J9397">
        <v>1</v>
      </c>
      <c r="K9397">
        <v>685</v>
      </c>
      <c r="L9397">
        <v>1009</v>
      </c>
      <c r="M9397">
        <v>1</v>
      </c>
      <c r="N9397">
        <v>2.8862599999999998E-142</v>
      </c>
      <c r="O9397">
        <v>1294</v>
      </c>
    </row>
    <row r="9398" spans="1:15" x14ac:dyDescent="0.25">
      <c r="A9398" t="s">
        <v>9411</v>
      </c>
      <c r="B9398">
        <v>400</v>
      </c>
      <c r="C9398" s="1" t="str">
        <f>HYPERLINK("http://www.rosaceae.org/gb/gbrowse/malus_x_domestica/?name=MDP0000223878","MDP0000223878")</f>
        <v>MDP0000223878</v>
      </c>
      <c r="D9398">
        <v>65.3</v>
      </c>
      <c r="E9398">
        <v>98</v>
      </c>
      <c r="F9398">
        <v>34</v>
      </c>
      <c r="G9398">
        <v>0</v>
      </c>
      <c r="H9398">
        <v>156</v>
      </c>
      <c r="I9398">
        <v>253</v>
      </c>
      <c r="J9398">
        <v>1</v>
      </c>
      <c r="K9398">
        <v>134</v>
      </c>
      <c r="L9398">
        <v>231</v>
      </c>
      <c r="M9398">
        <v>1</v>
      </c>
      <c r="N9398">
        <v>4.3448399999999998E-33</v>
      </c>
      <c r="O9398">
        <v>351</v>
      </c>
    </row>
    <row r="9399" spans="1:15" x14ac:dyDescent="0.25">
      <c r="A9399" t="s">
        <v>9412</v>
      </c>
      <c r="B9399">
        <v>420</v>
      </c>
      <c r="C9399" s="1" t="str">
        <f>HYPERLINK("http://www.rosaceae.org/gb/gbrowse/malus_x_domestica/?name=MDP0000322220","MDP0000322220")</f>
        <v>MDP0000322220</v>
      </c>
      <c r="D9399">
        <v>54.95</v>
      </c>
      <c r="E9399">
        <v>242</v>
      </c>
      <c r="F9399">
        <v>109</v>
      </c>
      <c r="G9399">
        <v>3</v>
      </c>
      <c r="H9399">
        <v>175</v>
      </c>
      <c r="I9399">
        <v>416</v>
      </c>
      <c r="J9399">
        <v>1</v>
      </c>
      <c r="K9399">
        <v>829</v>
      </c>
      <c r="L9399">
        <v>1067</v>
      </c>
      <c r="M9399">
        <v>1</v>
      </c>
      <c r="N9399">
        <v>1.8628000000000001E-73</v>
      </c>
      <c r="O9399">
        <v>699</v>
      </c>
    </row>
    <row r="9400" spans="1:15" x14ac:dyDescent="0.25">
      <c r="A9400" t="s">
        <v>9413</v>
      </c>
      <c r="B9400">
        <v>434</v>
      </c>
      <c r="C9400" s="1" t="str">
        <f>HYPERLINK("http://www.rosaceae.org/gb/gbrowse/malus_x_domestica/?name=MDP0000125167","MDP0000125167")</f>
        <v>MDP0000125167</v>
      </c>
      <c r="D9400">
        <v>44.54</v>
      </c>
      <c r="E9400">
        <v>458</v>
      </c>
      <c r="F9400">
        <v>254</v>
      </c>
      <c r="G9400">
        <v>43</v>
      </c>
      <c r="H9400">
        <v>3</v>
      </c>
      <c r="I9400">
        <v>428</v>
      </c>
      <c r="J9400">
        <v>1</v>
      </c>
      <c r="K9400">
        <v>4</v>
      </c>
      <c r="L9400">
        <v>450</v>
      </c>
      <c r="M9400">
        <v>1</v>
      </c>
      <c r="N9400">
        <v>8.3002900000000004E-106</v>
      </c>
      <c r="O9400">
        <v>978</v>
      </c>
    </row>
    <row r="9401" spans="1:15" x14ac:dyDescent="0.25">
      <c r="A9401" t="s">
        <v>9414</v>
      </c>
      <c r="B9401">
        <v>146</v>
      </c>
      <c r="C9401" s="1" t="str">
        <f>HYPERLINK("http://www.rosaceae.org/gb/gbrowse/malus_x_domestica/?name=MDP0000933400","MDP0000933400")</f>
        <v>MDP0000933400</v>
      </c>
      <c r="D9401">
        <v>81.63</v>
      </c>
      <c r="E9401">
        <v>147</v>
      </c>
      <c r="F9401">
        <v>27</v>
      </c>
      <c r="G9401">
        <v>3</v>
      </c>
      <c r="H9401">
        <v>1</v>
      </c>
      <c r="I9401">
        <v>145</v>
      </c>
      <c r="J9401">
        <v>1</v>
      </c>
      <c r="K9401">
        <v>1</v>
      </c>
      <c r="L9401">
        <v>146</v>
      </c>
      <c r="M9401">
        <v>1</v>
      </c>
      <c r="N9401">
        <v>9.7207900000000003E-66</v>
      </c>
      <c r="O9401">
        <v>626</v>
      </c>
    </row>
    <row r="9402" spans="1:15" x14ac:dyDescent="0.25">
      <c r="A9402" t="s">
        <v>9415</v>
      </c>
      <c r="B9402">
        <v>810</v>
      </c>
      <c r="C9402" s="1" t="str">
        <f>HYPERLINK("http://www.rosaceae.org/gb/gbrowse/malus_x_domestica/?name=MDP0000123086","MDP0000123086")</f>
        <v>MDP0000123086</v>
      </c>
      <c r="D9402">
        <v>66.709999999999994</v>
      </c>
      <c r="E9402">
        <v>655</v>
      </c>
      <c r="F9402">
        <v>218</v>
      </c>
      <c r="G9402">
        <v>13</v>
      </c>
      <c r="H9402">
        <v>167</v>
      </c>
      <c r="I9402">
        <v>809</v>
      </c>
      <c r="J9402">
        <v>1</v>
      </c>
      <c r="K9402">
        <v>219</v>
      </c>
      <c r="L9402">
        <v>872</v>
      </c>
      <c r="M9402">
        <v>1</v>
      </c>
      <c r="N9402">
        <v>0</v>
      </c>
      <c r="O9402">
        <v>2208</v>
      </c>
    </row>
    <row r="9403" spans="1:15" x14ac:dyDescent="0.25">
      <c r="A9403" t="s">
        <v>9416</v>
      </c>
      <c r="B9403">
        <v>426</v>
      </c>
      <c r="C9403" s="1" t="str">
        <f>HYPERLINK("http://www.rosaceae.org/gb/gbrowse/malus_x_domestica/?name=MDP0000224371","MDP0000224371")</f>
        <v>MDP0000224371</v>
      </c>
      <c r="D9403">
        <v>45.09</v>
      </c>
      <c r="E9403">
        <v>306</v>
      </c>
      <c r="F9403">
        <v>168</v>
      </c>
      <c r="G9403">
        <v>23</v>
      </c>
      <c r="H9403">
        <v>122</v>
      </c>
      <c r="I9403">
        <v>425</v>
      </c>
      <c r="J9403">
        <v>1</v>
      </c>
      <c r="K9403">
        <v>186</v>
      </c>
      <c r="L9403">
        <v>470</v>
      </c>
      <c r="M9403">
        <v>1</v>
      </c>
      <c r="N9403">
        <v>1.4485899999999999E-56</v>
      </c>
      <c r="O9403">
        <v>554</v>
      </c>
    </row>
    <row r="9404" spans="1:15" x14ac:dyDescent="0.25">
      <c r="A9404" t="s">
        <v>9417</v>
      </c>
      <c r="B9404">
        <v>268</v>
      </c>
      <c r="C9404" s="1" t="str">
        <f>HYPERLINK("http://www.rosaceae.org/gb/gbrowse/malus_x_domestica/?name=MDP0000201076","MDP0000201076")</f>
        <v>MDP0000201076</v>
      </c>
      <c r="D9404">
        <v>81.349999999999994</v>
      </c>
      <c r="E9404">
        <v>59</v>
      </c>
      <c r="F9404">
        <v>11</v>
      </c>
      <c r="G9404">
        <v>0</v>
      </c>
      <c r="H9404">
        <v>1</v>
      </c>
      <c r="I9404">
        <v>59</v>
      </c>
      <c r="J9404">
        <v>1</v>
      </c>
      <c r="K9404">
        <v>93</v>
      </c>
      <c r="L9404">
        <v>151</v>
      </c>
      <c r="M9404">
        <v>1</v>
      </c>
      <c r="N9404">
        <v>1.7017799999999999E-22</v>
      </c>
      <c r="O9404">
        <v>257</v>
      </c>
    </row>
    <row r="9405" spans="1:15" x14ac:dyDescent="0.25">
      <c r="A9405" t="s">
        <v>9418</v>
      </c>
      <c r="B9405">
        <v>237</v>
      </c>
      <c r="C9405" s="1" t="str">
        <f>HYPERLINK("http://www.rosaceae.org/gb/gbrowse/malus_x_domestica/?name=MDP0000139577","MDP0000139577")</f>
        <v>MDP0000139577</v>
      </c>
      <c r="D9405">
        <v>64.13</v>
      </c>
      <c r="E9405">
        <v>237</v>
      </c>
      <c r="F9405">
        <v>85</v>
      </c>
      <c r="G9405">
        <v>0</v>
      </c>
      <c r="H9405">
        <v>1</v>
      </c>
      <c r="I9405">
        <v>237</v>
      </c>
      <c r="J9405">
        <v>1</v>
      </c>
      <c r="K9405">
        <v>1</v>
      </c>
      <c r="L9405">
        <v>237</v>
      </c>
      <c r="M9405">
        <v>1</v>
      </c>
      <c r="N9405">
        <v>2.7300699999999998E-86</v>
      </c>
      <c r="O9405">
        <v>807</v>
      </c>
    </row>
    <row r="9406" spans="1:15" x14ac:dyDescent="0.25">
      <c r="A9406" t="s">
        <v>9419</v>
      </c>
      <c r="B9406">
        <v>247</v>
      </c>
      <c r="C9406" s="1" t="str">
        <f>HYPERLINK("http://www.rosaceae.org/gb/gbrowse/malus_x_domestica/?name=MDP0000169635","MDP0000169635")</f>
        <v>MDP0000169635</v>
      </c>
      <c r="D9406">
        <v>64.7</v>
      </c>
      <c r="E9406">
        <v>170</v>
      </c>
      <c r="F9406">
        <v>60</v>
      </c>
      <c r="G9406">
        <v>0</v>
      </c>
      <c r="H9406">
        <v>1</v>
      </c>
      <c r="I9406">
        <v>170</v>
      </c>
      <c r="J9406">
        <v>1</v>
      </c>
      <c r="K9406">
        <v>7</v>
      </c>
      <c r="L9406">
        <v>176</v>
      </c>
      <c r="M9406">
        <v>1</v>
      </c>
      <c r="N9406">
        <v>9.2212499999999997E-66</v>
      </c>
      <c r="O9406">
        <v>630</v>
      </c>
    </row>
    <row r="9407" spans="1:15" x14ac:dyDescent="0.25">
      <c r="A9407" t="s">
        <v>9420</v>
      </c>
      <c r="B9407">
        <v>991</v>
      </c>
      <c r="C9407" s="1" t="str">
        <f>HYPERLINK("http://www.rosaceae.org/gb/gbrowse/malus_x_domestica/?name=MDP0000798771","MDP0000798771")</f>
        <v>MDP0000798771</v>
      </c>
      <c r="D9407">
        <v>40.1</v>
      </c>
      <c r="E9407">
        <v>950</v>
      </c>
      <c r="F9407">
        <v>569</v>
      </c>
      <c r="G9407">
        <v>225</v>
      </c>
      <c r="H9407">
        <v>1</v>
      </c>
      <c r="I9407">
        <v>793</v>
      </c>
      <c r="J9407">
        <v>1</v>
      </c>
      <c r="K9407">
        <v>1</v>
      </c>
      <c r="L9407">
        <v>882</v>
      </c>
      <c r="M9407">
        <v>1</v>
      </c>
      <c r="N9407">
        <v>7.1641600000000004E-148</v>
      </c>
      <c r="O9407">
        <v>1345</v>
      </c>
    </row>
    <row r="9408" spans="1:15" x14ac:dyDescent="0.25">
      <c r="A9408" t="s">
        <v>9421</v>
      </c>
      <c r="B9408">
        <v>248</v>
      </c>
      <c r="C9408" s="1" t="str">
        <f>HYPERLINK("http://www.rosaceae.org/gb/gbrowse/malus_x_domestica/?name=MDP0000917582","MDP0000917582")</f>
        <v>MDP0000917582</v>
      </c>
      <c r="D9408">
        <v>82.66</v>
      </c>
      <c r="E9408">
        <v>248</v>
      </c>
      <c r="F9408">
        <v>43</v>
      </c>
      <c r="G9408">
        <v>0</v>
      </c>
      <c r="H9408">
        <v>1</v>
      </c>
      <c r="I9408">
        <v>248</v>
      </c>
      <c r="J9408">
        <v>1</v>
      </c>
      <c r="K9408">
        <v>1</v>
      </c>
      <c r="L9408">
        <v>248</v>
      </c>
      <c r="M9408">
        <v>1</v>
      </c>
      <c r="N9408">
        <v>2.8040299999999998E-109</v>
      </c>
      <c r="O9408">
        <v>1005</v>
      </c>
    </row>
    <row r="9409" spans="1:15" x14ac:dyDescent="0.25">
      <c r="A9409" t="s">
        <v>9422</v>
      </c>
      <c r="B9409">
        <v>208</v>
      </c>
      <c r="C9409" s="1" t="str">
        <f>HYPERLINK("http://www.rosaceae.org/gb/gbrowse/malus_x_domestica/?name=MDP0000216956","MDP0000216956")</f>
        <v>MDP0000216956</v>
      </c>
      <c r="D9409">
        <v>46.36</v>
      </c>
      <c r="E9409">
        <v>110</v>
      </c>
      <c r="F9409">
        <v>59</v>
      </c>
      <c r="G9409">
        <v>1</v>
      </c>
      <c r="H9409">
        <v>99</v>
      </c>
      <c r="I9409">
        <v>207</v>
      </c>
      <c r="J9409">
        <v>1</v>
      </c>
      <c r="K9409">
        <v>133</v>
      </c>
      <c r="L9409">
        <v>242</v>
      </c>
      <c r="M9409">
        <v>1</v>
      </c>
      <c r="N9409">
        <v>3.0486E-23</v>
      </c>
      <c r="O9409">
        <v>262</v>
      </c>
    </row>
    <row r="9410" spans="1:15" x14ac:dyDescent="0.25">
      <c r="A9410" t="s">
        <v>9423</v>
      </c>
      <c r="B9410">
        <v>1063</v>
      </c>
      <c r="C9410" s="1" t="str">
        <f>HYPERLINK("http://www.rosaceae.org/gb/gbrowse/malus_x_domestica/?name=MDP0000224484","MDP0000224484")</f>
        <v>MDP0000224484</v>
      </c>
      <c r="D9410">
        <v>59.15</v>
      </c>
      <c r="E9410">
        <v>808</v>
      </c>
      <c r="F9410">
        <v>330</v>
      </c>
      <c r="G9410">
        <v>74</v>
      </c>
      <c r="H9410">
        <v>94</v>
      </c>
      <c r="I9410">
        <v>874</v>
      </c>
      <c r="J9410">
        <v>1</v>
      </c>
      <c r="K9410">
        <v>96</v>
      </c>
      <c r="L9410">
        <v>856</v>
      </c>
      <c r="M9410">
        <v>1</v>
      </c>
      <c r="N9410">
        <v>0</v>
      </c>
      <c r="O9410">
        <v>2339</v>
      </c>
    </row>
    <row r="9411" spans="1:15" x14ac:dyDescent="0.25">
      <c r="A9411" t="s">
        <v>9424</v>
      </c>
      <c r="B9411">
        <v>430</v>
      </c>
      <c r="C9411" s="1" t="str">
        <f>HYPERLINK("http://www.rosaceae.org/gb/gbrowse/malus_x_domestica/?name=MDP0000155840","MDP0000155840")</f>
        <v>MDP0000155840</v>
      </c>
      <c r="D9411">
        <v>71.23</v>
      </c>
      <c r="E9411">
        <v>445</v>
      </c>
      <c r="F9411">
        <v>128</v>
      </c>
      <c r="G9411">
        <v>24</v>
      </c>
      <c r="H9411">
        <v>1</v>
      </c>
      <c r="I9411">
        <v>430</v>
      </c>
      <c r="J9411">
        <v>1</v>
      </c>
      <c r="K9411">
        <v>32</v>
      </c>
      <c r="L9411">
        <v>467</v>
      </c>
      <c r="M9411">
        <v>1</v>
      </c>
      <c r="N9411">
        <v>2.24994E-163</v>
      </c>
      <c r="O9411">
        <v>1475</v>
      </c>
    </row>
    <row r="9412" spans="1:15" x14ac:dyDescent="0.25">
      <c r="A9412" t="s">
        <v>9425</v>
      </c>
      <c r="B9412">
        <v>283</v>
      </c>
      <c r="C9412" s="1" t="str">
        <f>HYPERLINK("http://www.rosaceae.org/gb/gbrowse/malus_x_domestica/?name=MDP0000312342","MDP0000312342")</f>
        <v>MDP0000312342</v>
      </c>
      <c r="D9412">
        <v>34.119999999999997</v>
      </c>
      <c r="E9412">
        <v>293</v>
      </c>
      <c r="F9412">
        <v>193</v>
      </c>
      <c r="G9412">
        <v>51</v>
      </c>
      <c r="H9412">
        <v>1</v>
      </c>
      <c r="I9412">
        <v>274</v>
      </c>
      <c r="J9412">
        <v>1</v>
      </c>
      <c r="K9412">
        <v>1</v>
      </c>
      <c r="L9412">
        <v>261</v>
      </c>
      <c r="M9412">
        <v>1</v>
      </c>
      <c r="N9412">
        <v>1.2002999999999999E-28</v>
      </c>
      <c r="O9412">
        <v>311</v>
      </c>
    </row>
    <row r="9413" spans="1:15" x14ac:dyDescent="0.25">
      <c r="A9413" t="s">
        <v>9426</v>
      </c>
      <c r="B9413">
        <v>541</v>
      </c>
      <c r="C9413" s="1" t="str">
        <f>HYPERLINK("http://www.rosaceae.org/gb/gbrowse/malus_x_domestica/?name=MDP0000843359","MDP0000843359")</f>
        <v>MDP0000843359</v>
      </c>
      <c r="D9413">
        <v>72.97</v>
      </c>
      <c r="E9413">
        <v>481</v>
      </c>
      <c r="F9413">
        <v>130</v>
      </c>
      <c r="G9413">
        <v>15</v>
      </c>
      <c r="H9413">
        <v>61</v>
      </c>
      <c r="I9413">
        <v>541</v>
      </c>
      <c r="J9413">
        <v>1</v>
      </c>
      <c r="K9413">
        <v>52</v>
      </c>
      <c r="L9413">
        <v>517</v>
      </c>
      <c r="M9413">
        <v>1</v>
      </c>
      <c r="N9413">
        <v>0</v>
      </c>
      <c r="O9413">
        <v>1797</v>
      </c>
    </row>
    <row r="9414" spans="1:15" x14ac:dyDescent="0.25">
      <c r="A9414" t="s">
        <v>9427</v>
      </c>
      <c r="B9414">
        <v>233</v>
      </c>
      <c r="C9414" s="1" t="str">
        <f>HYPERLINK("http://www.rosaceae.org/gb/gbrowse/malus_x_domestica/?name=MDP0000163229","MDP0000163229")</f>
        <v>MDP0000163229</v>
      </c>
      <c r="D9414">
        <v>76.819999999999993</v>
      </c>
      <c r="E9414">
        <v>233</v>
      </c>
      <c r="F9414">
        <v>54</v>
      </c>
      <c r="G9414">
        <v>1</v>
      </c>
      <c r="H9414">
        <v>1</v>
      </c>
      <c r="I9414">
        <v>233</v>
      </c>
      <c r="J9414">
        <v>1</v>
      </c>
      <c r="K9414">
        <v>1</v>
      </c>
      <c r="L9414">
        <v>232</v>
      </c>
      <c r="M9414">
        <v>1</v>
      </c>
      <c r="N9414">
        <v>5.8736500000000002E-104</v>
      </c>
      <c r="O9414">
        <v>959</v>
      </c>
    </row>
    <row r="9415" spans="1:15" x14ac:dyDescent="0.25">
      <c r="A9415" t="s">
        <v>9428</v>
      </c>
      <c r="B9415">
        <v>468</v>
      </c>
      <c r="C9415" s="1" t="str">
        <f>HYPERLINK("http://www.rosaceae.org/gb/gbrowse/malus_x_domestica/?name=MDP0000730107","MDP0000730107")</f>
        <v>MDP0000730107</v>
      </c>
      <c r="D9415">
        <v>66.239999999999995</v>
      </c>
      <c r="E9415">
        <v>474</v>
      </c>
      <c r="F9415">
        <v>160</v>
      </c>
      <c r="G9415">
        <v>7</v>
      </c>
      <c r="H9415">
        <v>1</v>
      </c>
      <c r="I9415">
        <v>468</v>
      </c>
      <c r="J9415">
        <v>1</v>
      </c>
      <c r="K9415">
        <v>1</v>
      </c>
      <c r="L9415">
        <v>473</v>
      </c>
      <c r="M9415">
        <v>1</v>
      </c>
      <c r="N9415">
        <v>1.3042400000000001E-159</v>
      </c>
      <c r="O9415">
        <v>1443</v>
      </c>
    </row>
    <row r="9416" spans="1:15" x14ac:dyDescent="0.25">
      <c r="A9416" t="s">
        <v>9429</v>
      </c>
      <c r="B9416">
        <v>578</v>
      </c>
      <c r="C9416" s="1" t="str">
        <f>HYPERLINK("http://www.rosaceae.org/gb/gbrowse/malus_x_domestica/?name=MDP0000241323","MDP0000241323")</f>
        <v>MDP0000241323</v>
      </c>
      <c r="D9416">
        <v>77.209999999999994</v>
      </c>
      <c r="E9416">
        <v>509</v>
      </c>
      <c r="F9416">
        <v>116</v>
      </c>
      <c r="G9416">
        <v>5</v>
      </c>
      <c r="H9416">
        <v>58</v>
      </c>
      <c r="I9416">
        <v>565</v>
      </c>
      <c r="J9416">
        <v>1</v>
      </c>
      <c r="K9416">
        <v>26</v>
      </c>
      <c r="L9416">
        <v>530</v>
      </c>
      <c r="M9416">
        <v>1</v>
      </c>
      <c r="N9416">
        <v>0</v>
      </c>
      <c r="O9416">
        <v>2055</v>
      </c>
    </row>
    <row r="9417" spans="1:15" x14ac:dyDescent="0.25">
      <c r="A9417" t="s">
        <v>9430</v>
      </c>
      <c r="B9417">
        <v>870</v>
      </c>
      <c r="C9417" s="1" t="str">
        <f>HYPERLINK("http://www.rosaceae.org/gb/gbrowse/malus_x_domestica/?name=MDP0000233038","MDP0000233038")</f>
        <v>MDP0000233038</v>
      </c>
      <c r="D9417">
        <v>69.98</v>
      </c>
      <c r="E9417">
        <v>863</v>
      </c>
      <c r="F9417">
        <v>259</v>
      </c>
      <c r="G9417">
        <v>28</v>
      </c>
      <c r="H9417">
        <v>3</v>
      </c>
      <c r="I9417">
        <v>837</v>
      </c>
      <c r="J9417">
        <v>1</v>
      </c>
      <c r="K9417">
        <v>773</v>
      </c>
      <c r="L9417">
        <v>1635</v>
      </c>
      <c r="M9417">
        <v>1</v>
      </c>
      <c r="N9417">
        <v>0</v>
      </c>
      <c r="O9417">
        <v>3145</v>
      </c>
    </row>
    <row r="9418" spans="1:15" x14ac:dyDescent="0.25">
      <c r="A9418" t="s">
        <v>9431</v>
      </c>
      <c r="B9418">
        <v>468</v>
      </c>
      <c r="C9418" s="1" t="str">
        <f>HYPERLINK("http://www.rosaceae.org/gb/gbrowse/malus_x_domestica/?name=MDP0000192242","MDP0000192242")</f>
        <v>MDP0000192242</v>
      </c>
      <c r="D9418">
        <v>86.93</v>
      </c>
      <c r="E9418">
        <v>352</v>
      </c>
      <c r="F9418">
        <v>46</v>
      </c>
      <c r="G9418">
        <v>0</v>
      </c>
      <c r="H9418">
        <v>117</v>
      </c>
      <c r="I9418">
        <v>468</v>
      </c>
      <c r="J9418">
        <v>1</v>
      </c>
      <c r="K9418">
        <v>475</v>
      </c>
      <c r="L9418">
        <v>826</v>
      </c>
      <c r="M9418">
        <v>1</v>
      </c>
      <c r="N9418">
        <v>0</v>
      </c>
      <c r="O9418">
        <v>1627</v>
      </c>
    </row>
    <row r="9419" spans="1:15" x14ac:dyDescent="0.25">
      <c r="A9419" t="s">
        <v>9432</v>
      </c>
      <c r="B9419">
        <v>169</v>
      </c>
      <c r="C9419" s="1" t="str">
        <f>HYPERLINK("http://www.rosaceae.org/gb/gbrowse/malus_x_domestica/?name=MDP0000762392","MDP0000762392")</f>
        <v>MDP0000762392</v>
      </c>
      <c r="D9419">
        <v>62.2</v>
      </c>
      <c r="E9419">
        <v>172</v>
      </c>
      <c r="F9419">
        <v>65</v>
      </c>
      <c r="G9419">
        <v>3</v>
      </c>
      <c r="H9419">
        <v>1</v>
      </c>
      <c r="I9419">
        <v>169</v>
      </c>
      <c r="J9419">
        <v>1</v>
      </c>
      <c r="K9419">
        <v>1</v>
      </c>
      <c r="L9419">
        <v>172</v>
      </c>
      <c r="M9419">
        <v>1</v>
      </c>
      <c r="N9419">
        <v>2.9547800000000001E-52</v>
      </c>
      <c r="O9419">
        <v>511</v>
      </c>
    </row>
    <row r="9420" spans="1:15" x14ac:dyDescent="0.25">
      <c r="A9420" t="s">
        <v>9433</v>
      </c>
      <c r="B9420">
        <v>247</v>
      </c>
      <c r="C9420" s="1" t="str">
        <f>HYPERLINK("http://www.rosaceae.org/gb/gbrowse/malus_x_domestica/?name=MDP0000287354","MDP0000287354")</f>
        <v>MDP0000287354</v>
      </c>
      <c r="D9420">
        <v>51.83</v>
      </c>
      <c r="E9420">
        <v>245</v>
      </c>
      <c r="F9420">
        <v>118</v>
      </c>
      <c r="G9420">
        <v>37</v>
      </c>
      <c r="H9420">
        <v>25</v>
      </c>
      <c r="I9420">
        <v>233</v>
      </c>
      <c r="J9420">
        <v>1</v>
      </c>
      <c r="K9420">
        <v>20</v>
      </c>
      <c r="L9420">
        <v>263</v>
      </c>
      <c r="M9420">
        <v>1</v>
      </c>
      <c r="N9420">
        <v>7.6132799999999997E-65</v>
      </c>
      <c r="O9420">
        <v>622</v>
      </c>
    </row>
    <row r="9421" spans="1:15" x14ac:dyDescent="0.25">
      <c r="A9421" t="s">
        <v>9434</v>
      </c>
      <c r="B9421">
        <v>701</v>
      </c>
      <c r="C9421" s="1" t="str">
        <f>HYPERLINK("http://www.rosaceae.org/gb/gbrowse/malus_x_domestica/?name=MDP0000263881","MDP0000263881")</f>
        <v>MDP0000263881</v>
      </c>
      <c r="D9421">
        <v>33.79</v>
      </c>
      <c r="E9421">
        <v>583</v>
      </c>
      <c r="F9421">
        <v>386</v>
      </c>
      <c r="G9421">
        <v>68</v>
      </c>
      <c r="H9421">
        <v>88</v>
      </c>
      <c r="I9421">
        <v>637</v>
      </c>
      <c r="J9421">
        <v>1</v>
      </c>
      <c r="K9421">
        <v>63</v>
      </c>
      <c r="L9421">
        <v>610</v>
      </c>
      <c r="M9421">
        <v>1</v>
      </c>
      <c r="N9421">
        <v>5.6647699999999998E-64</v>
      </c>
      <c r="O9421">
        <v>620</v>
      </c>
    </row>
    <row r="9422" spans="1:15" x14ac:dyDescent="0.25">
      <c r="A9422" t="s">
        <v>9435</v>
      </c>
      <c r="B9422">
        <v>646</v>
      </c>
      <c r="C9422" s="1" t="str">
        <f>HYPERLINK("http://www.rosaceae.org/gb/gbrowse/malus_x_domestica/?name=MDP0000210039","MDP0000210039")</f>
        <v>MDP0000210039</v>
      </c>
      <c r="D9422">
        <v>56.68</v>
      </c>
      <c r="E9422">
        <v>344</v>
      </c>
      <c r="F9422">
        <v>149</v>
      </c>
      <c r="G9422">
        <v>41</v>
      </c>
      <c r="H9422">
        <v>282</v>
      </c>
      <c r="I9422">
        <v>624</v>
      </c>
      <c r="J9422">
        <v>1</v>
      </c>
      <c r="K9422">
        <v>28</v>
      </c>
      <c r="L9422">
        <v>331</v>
      </c>
      <c r="M9422">
        <v>1</v>
      </c>
      <c r="N9422">
        <v>4.9088199999999996E-106</v>
      </c>
      <c r="O9422">
        <v>982</v>
      </c>
    </row>
    <row r="9423" spans="1:15" x14ac:dyDescent="0.25">
      <c r="A9423" t="s">
        <v>9436</v>
      </c>
      <c r="B9423">
        <v>293</v>
      </c>
      <c r="C9423" s="1" t="str">
        <f>HYPERLINK("http://www.rosaceae.org/gb/gbrowse/malus_x_domestica/?name=MDP0000614608","MDP0000614608")</f>
        <v>MDP0000614608</v>
      </c>
      <c r="D9423">
        <v>26.43</v>
      </c>
      <c r="E9423">
        <v>261</v>
      </c>
      <c r="F9423">
        <v>192</v>
      </c>
      <c r="G9423">
        <v>22</v>
      </c>
      <c r="H9423">
        <v>1</v>
      </c>
      <c r="I9423">
        <v>261</v>
      </c>
      <c r="J9423">
        <v>1</v>
      </c>
      <c r="K9423">
        <v>1</v>
      </c>
      <c r="L9423">
        <v>239</v>
      </c>
      <c r="M9423">
        <v>1</v>
      </c>
      <c r="N9423">
        <v>1.1793800000000001E-13</v>
      </c>
      <c r="O9423">
        <v>182</v>
      </c>
    </row>
    <row r="9424" spans="1:15" x14ac:dyDescent="0.25">
      <c r="A9424" t="s">
        <v>9437</v>
      </c>
      <c r="B9424">
        <v>491</v>
      </c>
      <c r="C9424" s="1" t="str">
        <f>HYPERLINK("http://www.rosaceae.org/gb/gbrowse/malus_x_domestica/?name=MDP0000426862","MDP0000426862")</f>
        <v>MDP0000426862</v>
      </c>
      <c r="D9424">
        <v>55.64</v>
      </c>
      <c r="E9424">
        <v>505</v>
      </c>
      <c r="F9424">
        <v>224</v>
      </c>
      <c r="G9424">
        <v>35</v>
      </c>
      <c r="H9424">
        <v>1</v>
      </c>
      <c r="I9424">
        <v>490</v>
      </c>
      <c r="J9424">
        <v>1</v>
      </c>
      <c r="K9424">
        <v>1</v>
      </c>
      <c r="L9424">
        <v>485</v>
      </c>
      <c r="M9424">
        <v>1</v>
      </c>
      <c r="N9424">
        <v>4.0600099999999997E-139</v>
      </c>
      <c r="O9424">
        <v>1266</v>
      </c>
    </row>
    <row r="9425" spans="1:15" x14ac:dyDescent="0.25">
      <c r="A9425" t="s">
        <v>9438</v>
      </c>
      <c r="B9425">
        <v>1147</v>
      </c>
      <c r="C9425" s="1" t="str">
        <f>HYPERLINK("http://www.rosaceae.org/gb/gbrowse/malus_x_domestica/?name=MDP0000661951","MDP0000661951")</f>
        <v>MDP0000661951</v>
      </c>
      <c r="D9425">
        <v>85.95</v>
      </c>
      <c r="E9425">
        <v>484</v>
      </c>
      <c r="F9425">
        <v>68</v>
      </c>
      <c r="G9425">
        <v>24</v>
      </c>
      <c r="H9425">
        <v>52</v>
      </c>
      <c r="I9425">
        <v>531</v>
      </c>
      <c r="J9425">
        <v>1</v>
      </c>
      <c r="K9425">
        <v>1</v>
      </c>
      <c r="L9425">
        <v>464</v>
      </c>
      <c r="M9425">
        <v>1</v>
      </c>
      <c r="N9425">
        <v>0</v>
      </c>
      <c r="O9425">
        <v>2206</v>
      </c>
    </row>
    <row r="9426" spans="1:15" x14ac:dyDescent="0.25">
      <c r="A9426" t="s">
        <v>9439</v>
      </c>
      <c r="B9426">
        <v>365</v>
      </c>
      <c r="C9426" s="1" t="str">
        <f>HYPERLINK("http://www.rosaceae.org/gb/gbrowse/malus_x_domestica/?name=MDP0000136140","MDP0000136140")</f>
        <v>MDP0000136140</v>
      </c>
      <c r="D9426">
        <v>90.22</v>
      </c>
      <c r="E9426">
        <v>133</v>
      </c>
      <c r="F9426">
        <v>13</v>
      </c>
      <c r="G9426">
        <v>0</v>
      </c>
      <c r="H9426">
        <v>24</v>
      </c>
      <c r="I9426">
        <v>156</v>
      </c>
      <c r="J9426">
        <v>1</v>
      </c>
      <c r="K9426">
        <v>512</v>
      </c>
      <c r="L9426">
        <v>644</v>
      </c>
      <c r="M9426">
        <v>1</v>
      </c>
      <c r="N9426">
        <v>1.14853E-67</v>
      </c>
      <c r="O9426">
        <v>649</v>
      </c>
    </row>
    <row r="9427" spans="1:15" x14ac:dyDescent="0.25">
      <c r="A9427" t="s">
        <v>9440</v>
      </c>
      <c r="B9427">
        <v>216</v>
      </c>
      <c r="C9427" s="1" t="str">
        <f>HYPERLINK("http://www.rosaceae.org/gb/gbrowse/malus_x_domestica/?name=MDP0000700517","MDP0000700517")</f>
        <v>MDP0000700517</v>
      </c>
      <c r="D9427">
        <v>27.31</v>
      </c>
      <c r="E9427">
        <v>205</v>
      </c>
      <c r="F9427">
        <v>149</v>
      </c>
      <c r="G9427">
        <v>6</v>
      </c>
      <c r="H9427">
        <v>16</v>
      </c>
      <c r="I9427">
        <v>214</v>
      </c>
      <c r="J9427">
        <v>1</v>
      </c>
      <c r="K9427">
        <v>104</v>
      </c>
      <c r="L9427">
        <v>308</v>
      </c>
      <c r="M9427">
        <v>1</v>
      </c>
      <c r="N9427">
        <v>2.3076599999999999E-19</v>
      </c>
      <c r="O9427">
        <v>229</v>
      </c>
    </row>
    <row r="9428" spans="1:15" x14ac:dyDescent="0.25">
      <c r="A9428" t="s">
        <v>9441</v>
      </c>
      <c r="B9428">
        <v>210</v>
      </c>
      <c r="C9428" s="1" t="str">
        <f>HYPERLINK("http://www.rosaceae.org/gb/gbrowse/malus_x_domestica/?name=MDP0000393478","MDP0000393478")</f>
        <v>MDP0000393478</v>
      </c>
      <c r="D9428">
        <v>44.53</v>
      </c>
      <c r="E9428">
        <v>238</v>
      </c>
      <c r="F9428">
        <v>132</v>
      </c>
      <c r="G9428">
        <v>52</v>
      </c>
      <c r="H9428">
        <v>1</v>
      </c>
      <c r="I9428">
        <v>189</v>
      </c>
      <c r="J9428">
        <v>1</v>
      </c>
      <c r="K9428">
        <v>215</v>
      </c>
      <c r="L9428">
        <v>449</v>
      </c>
      <c r="M9428">
        <v>1</v>
      </c>
      <c r="N9428">
        <v>2.0997200000000002E-48</v>
      </c>
      <c r="O9428">
        <v>479</v>
      </c>
    </row>
    <row r="9429" spans="1:15" x14ac:dyDescent="0.25">
      <c r="A9429" t="s">
        <v>9442</v>
      </c>
      <c r="B9429">
        <v>328</v>
      </c>
      <c r="C9429" s="1" t="str">
        <f>HYPERLINK("http://www.rosaceae.org/gb/gbrowse/malus_x_domestica/?name=MDP0000855406","MDP0000855406")</f>
        <v>MDP0000855406</v>
      </c>
      <c r="D9429">
        <v>26.95</v>
      </c>
      <c r="E9429">
        <v>141</v>
      </c>
      <c r="F9429">
        <v>103</v>
      </c>
      <c r="G9429">
        <v>10</v>
      </c>
      <c r="H9429">
        <v>12</v>
      </c>
      <c r="I9429">
        <v>145</v>
      </c>
      <c r="J9429">
        <v>1</v>
      </c>
      <c r="K9429">
        <v>7</v>
      </c>
      <c r="L9429">
        <v>144</v>
      </c>
      <c r="M9429">
        <v>1</v>
      </c>
      <c r="N9429">
        <v>4.9326899999999999E-7</v>
      </c>
      <c r="O9429">
        <v>125</v>
      </c>
    </row>
    <row r="9430" spans="1:15" x14ac:dyDescent="0.25">
      <c r="A9430" t="s">
        <v>9443</v>
      </c>
      <c r="B9430">
        <v>228</v>
      </c>
      <c r="C9430" s="1" t="str">
        <f>HYPERLINK("http://www.rosaceae.org/gb/gbrowse/malus_x_domestica/?name=MDP0000228573","MDP0000228573")</f>
        <v>MDP0000228573</v>
      </c>
      <c r="D9430">
        <v>31.48</v>
      </c>
      <c r="E9430">
        <v>235</v>
      </c>
      <c r="F9430">
        <v>161</v>
      </c>
      <c r="G9430">
        <v>35</v>
      </c>
      <c r="H9430">
        <v>4</v>
      </c>
      <c r="I9430">
        <v>205</v>
      </c>
      <c r="J9430">
        <v>1</v>
      </c>
      <c r="K9430">
        <v>12</v>
      </c>
      <c r="L9430">
        <v>244</v>
      </c>
      <c r="M9430">
        <v>1</v>
      </c>
      <c r="N9430">
        <v>8.6874099999999999E-32</v>
      </c>
      <c r="O9430">
        <v>337</v>
      </c>
    </row>
    <row r="9431" spans="1:15" x14ac:dyDescent="0.25">
      <c r="A9431" t="s">
        <v>9444</v>
      </c>
      <c r="B9431">
        <v>488</v>
      </c>
      <c r="C9431" s="1" t="str">
        <f>HYPERLINK("http://www.rosaceae.org/gb/gbrowse/malus_x_domestica/?name=MDP0000212810","MDP0000212810")</f>
        <v>MDP0000212810</v>
      </c>
      <c r="D9431">
        <v>77.56</v>
      </c>
      <c r="E9431">
        <v>312</v>
      </c>
      <c r="F9431">
        <v>70</v>
      </c>
      <c r="G9431">
        <v>0</v>
      </c>
      <c r="H9431">
        <v>157</v>
      </c>
      <c r="I9431">
        <v>468</v>
      </c>
      <c r="J9431">
        <v>1</v>
      </c>
      <c r="K9431">
        <v>68</v>
      </c>
      <c r="L9431">
        <v>379</v>
      </c>
      <c r="M9431">
        <v>1</v>
      </c>
      <c r="N9431">
        <v>1.2293699999999999E-146</v>
      </c>
      <c r="O9431">
        <v>1331</v>
      </c>
    </row>
    <row r="9432" spans="1:15" x14ac:dyDescent="0.25">
      <c r="A9432" t="s">
        <v>9445</v>
      </c>
      <c r="B9432">
        <v>127</v>
      </c>
      <c r="C9432" s="1" t="str">
        <f>HYPERLINK("http://www.rosaceae.org/gb/gbrowse/malus_x_domestica/?name=MDP0000297803","MDP0000297803")</f>
        <v>MDP0000297803</v>
      </c>
      <c r="D9432">
        <v>71.42</v>
      </c>
      <c r="E9432">
        <v>126</v>
      </c>
      <c r="F9432">
        <v>36</v>
      </c>
      <c r="G9432">
        <v>1</v>
      </c>
      <c r="H9432">
        <v>1</v>
      </c>
      <c r="I9432">
        <v>125</v>
      </c>
      <c r="J9432">
        <v>1</v>
      </c>
      <c r="K9432">
        <v>891</v>
      </c>
      <c r="L9432">
        <v>1016</v>
      </c>
      <c r="M9432">
        <v>1</v>
      </c>
      <c r="N9432">
        <v>2.19776E-49</v>
      </c>
      <c r="O9432">
        <v>484</v>
      </c>
    </row>
    <row r="9433" spans="1:15" x14ac:dyDescent="0.25">
      <c r="A9433" t="s">
        <v>9446</v>
      </c>
      <c r="B9433">
        <v>484</v>
      </c>
      <c r="C9433" s="1" t="str">
        <f>HYPERLINK("http://www.rosaceae.org/gb/gbrowse/malus_x_domestica/?name=MDP0000258129","MDP0000258129")</f>
        <v>MDP0000258129</v>
      </c>
      <c r="D9433">
        <v>71.45</v>
      </c>
      <c r="E9433">
        <v>480</v>
      </c>
      <c r="F9433">
        <v>137</v>
      </c>
      <c r="G9433">
        <v>13</v>
      </c>
      <c r="H9433">
        <v>1</v>
      </c>
      <c r="I9433">
        <v>470</v>
      </c>
      <c r="J9433">
        <v>1</v>
      </c>
      <c r="K9433">
        <v>278</v>
      </c>
      <c r="L9433">
        <v>754</v>
      </c>
      <c r="M9433">
        <v>1</v>
      </c>
      <c r="N9433">
        <v>0</v>
      </c>
      <c r="O9433">
        <v>1762</v>
      </c>
    </row>
    <row r="9434" spans="1:15" x14ac:dyDescent="0.25">
      <c r="A9434" t="s">
        <v>9447</v>
      </c>
      <c r="B9434">
        <v>875</v>
      </c>
      <c r="C9434" s="1" t="str">
        <f>HYPERLINK("http://www.rosaceae.org/gb/gbrowse/malus_x_domestica/?name=MDP0000258308","MDP0000258308")</f>
        <v>MDP0000258308</v>
      </c>
      <c r="D9434">
        <v>81.510000000000005</v>
      </c>
      <c r="E9434">
        <v>449</v>
      </c>
      <c r="F9434">
        <v>83</v>
      </c>
      <c r="G9434">
        <v>3</v>
      </c>
      <c r="H9434">
        <v>428</v>
      </c>
      <c r="I9434">
        <v>875</v>
      </c>
      <c r="J9434">
        <v>1</v>
      </c>
      <c r="K9434">
        <v>96</v>
      </c>
      <c r="L9434">
        <v>542</v>
      </c>
      <c r="M9434">
        <v>1</v>
      </c>
      <c r="N9434">
        <v>0</v>
      </c>
      <c r="O9434">
        <v>1929</v>
      </c>
    </row>
    <row r="9435" spans="1:15" x14ac:dyDescent="0.25">
      <c r="A9435" t="s">
        <v>9448</v>
      </c>
      <c r="B9435">
        <v>238</v>
      </c>
      <c r="C9435" s="1" t="str">
        <f>HYPERLINK("http://www.rosaceae.org/gb/gbrowse/malus_x_domestica/?name=MDP0000151849","MDP0000151849")</f>
        <v>MDP0000151849</v>
      </c>
      <c r="D9435">
        <v>53.44</v>
      </c>
      <c r="E9435">
        <v>232</v>
      </c>
      <c r="F9435">
        <v>108</v>
      </c>
      <c r="G9435">
        <v>8</v>
      </c>
      <c r="H9435">
        <v>1</v>
      </c>
      <c r="I9435">
        <v>224</v>
      </c>
      <c r="J9435">
        <v>1</v>
      </c>
      <c r="K9435">
        <v>1</v>
      </c>
      <c r="L9435">
        <v>232</v>
      </c>
      <c r="M9435">
        <v>1</v>
      </c>
      <c r="N9435">
        <v>1.2878299999999999E-55</v>
      </c>
      <c r="O9435">
        <v>542</v>
      </c>
    </row>
    <row r="9436" spans="1:15" x14ac:dyDescent="0.25">
      <c r="A9436" t="s">
        <v>9449</v>
      </c>
      <c r="B9436">
        <v>2097</v>
      </c>
      <c r="C9436" s="1" t="str">
        <f>HYPERLINK("http://www.rosaceae.org/gb/gbrowse/malus_x_domestica/?name=MDP0000211988","MDP0000211988")</f>
        <v>MDP0000211988</v>
      </c>
      <c r="D9436">
        <v>57.78</v>
      </c>
      <c r="E9436">
        <v>1592</v>
      </c>
      <c r="F9436">
        <v>672</v>
      </c>
      <c r="G9436">
        <v>148</v>
      </c>
      <c r="H9436">
        <v>1</v>
      </c>
      <c r="I9436">
        <v>1489</v>
      </c>
      <c r="J9436">
        <v>1</v>
      </c>
      <c r="K9436">
        <v>1</v>
      </c>
      <c r="L9436">
        <v>1547</v>
      </c>
      <c r="M9436">
        <v>1</v>
      </c>
      <c r="N9436">
        <v>0</v>
      </c>
      <c r="O9436">
        <v>4359</v>
      </c>
    </row>
    <row r="9437" spans="1:15" x14ac:dyDescent="0.25">
      <c r="A9437" t="s">
        <v>9450</v>
      </c>
      <c r="B9437">
        <v>77</v>
      </c>
      <c r="C9437" s="1" t="str">
        <f>HYPERLINK("http://www.rosaceae.org/gb/gbrowse/malus_x_domestica/?name=MDP0000342813","MDP0000342813")</f>
        <v>MDP0000342813</v>
      </c>
      <c r="D9437">
        <v>87.17</v>
      </c>
      <c r="E9437">
        <v>78</v>
      </c>
      <c r="F9437">
        <v>10</v>
      </c>
      <c r="G9437">
        <v>1</v>
      </c>
      <c r="H9437">
        <v>1</v>
      </c>
      <c r="I9437">
        <v>77</v>
      </c>
      <c r="J9437">
        <v>1</v>
      </c>
      <c r="K9437">
        <v>1</v>
      </c>
      <c r="L9437">
        <v>78</v>
      </c>
      <c r="M9437">
        <v>1</v>
      </c>
      <c r="N9437">
        <v>1.8545199999999999E-34</v>
      </c>
      <c r="O9437">
        <v>355</v>
      </c>
    </row>
    <row r="9438" spans="1:15" x14ac:dyDescent="0.25">
      <c r="A9438" t="s">
        <v>9451</v>
      </c>
      <c r="B9438">
        <v>503</v>
      </c>
      <c r="C9438" s="1" t="str">
        <f>HYPERLINK("http://www.rosaceae.org/gb/gbrowse/malus_x_domestica/?name=MDP0000326359","MDP0000326359")</f>
        <v>MDP0000326359</v>
      </c>
      <c r="D9438">
        <v>78.599999999999994</v>
      </c>
      <c r="E9438">
        <v>486</v>
      </c>
      <c r="F9438">
        <v>104</v>
      </c>
      <c r="G9438">
        <v>3</v>
      </c>
      <c r="H9438">
        <v>16</v>
      </c>
      <c r="I9438">
        <v>501</v>
      </c>
      <c r="J9438">
        <v>1</v>
      </c>
      <c r="K9438">
        <v>15</v>
      </c>
      <c r="L9438">
        <v>497</v>
      </c>
      <c r="M9438">
        <v>1</v>
      </c>
      <c r="N9438">
        <v>0</v>
      </c>
      <c r="O9438">
        <v>2112</v>
      </c>
    </row>
    <row r="9439" spans="1:15" x14ac:dyDescent="0.25">
      <c r="A9439" t="s">
        <v>9452</v>
      </c>
      <c r="B9439">
        <v>331</v>
      </c>
      <c r="C9439" s="1" t="str">
        <f>HYPERLINK("http://www.rosaceae.org/gb/gbrowse/malus_x_domestica/?name=MDP0000188803","MDP0000188803")</f>
        <v>MDP0000188803</v>
      </c>
      <c r="D9439">
        <v>41.74</v>
      </c>
      <c r="E9439">
        <v>206</v>
      </c>
      <c r="F9439">
        <v>120</v>
      </c>
      <c r="G9439">
        <v>14</v>
      </c>
      <c r="H9439">
        <v>76</v>
      </c>
      <c r="I9439">
        <v>276</v>
      </c>
      <c r="J9439">
        <v>1</v>
      </c>
      <c r="K9439">
        <v>307</v>
      </c>
      <c r="L9439">
        <v>503</v>
      </c>
      <c r="M9439">
        <v>1</v>
      </c>
      <c r="N9439">
        <v>2.24304E-37</v>
      </c>
      <c r="O9439">
        <v>387</v>
      </c>
    </row>
    <row r="9440" spans="1:15" x14ac:dyDescent="0.25">
      <c r="A9440" t="s">
        <v>9453</v>
      </c>
      <c r="B9440">
        <v>915</v>
      </c>
      <c r="C9440" s="1" t="str">
        <f>HYPERLINK("http://www.rosaceae.org/gb/gbrowse/malus_x_domestica/?name=MDP0000669809","MDP0000669809")</f>
        <v>MDP0000669809</v>
      </c>
      <c r="D9440">
        <v>60.76</v>
      </c>
      <c r="E9440">
        <v>915</v>
      </c>
      <c r="F9440">
        <v>359</v>
      </c>
      <c r="G9440">
        <v>41</v>
      </c>
      <c r="H9440">
        <v>30</v>
      </c>
      <c r="I9440">
        <v>915</v>
      </c>
      <c r="J9440">
        <v>1</v>
      </c>
      <c r="K9440">
        <v>1</v>
      </c>
      <c r="L9440">
        <v>903</v>
      </c>
      <c r="M9440">
        <v>1</v>
      </c>
      <c r="N9440">
        <v>0</v>
      </c>
      <c r="O9440">
        <v>2685</v>
      </c>
    </row>
    <row r="9441" spans="1:15" x14ac:dyDescent="0.25">
      <c r="A9441" t="s">
        <v>9454</v>
      </c>
      <c r="B9441">
        <v>81</v>
      </c>
      <c r="C9441" s="1" t="str">
        <f>HYPERLINK("http://www.rosaceae.org/gb/gbrowse/malus_x_domestica/?name=MDP0000810262","MDP0000810262")</f>
        <v>MDP0000810262</v>
      </c>
      <c r="D9441">
        <v>61.72</v>
      </c>
      <c r="E9441">
        <v>81</v>
      </c>
      <c r="F9441">
        <v>31</v>
      </c>
      <c r="G9441">
        <v>1</v>
      </c>
      <c r="H9441">
        <v>1</v>
      </c>
      <c r="I9441">
        <v>80</v>
      </c>
      <c r="J9441">
        <v>1</v>
      </c>
      <c r="K9441">
        <v>1</v>
      </c>
      <c r="L9441">
        <v>81</v>
      </c>
      <c r="M9441">
        <v>1</v>
      </c>
      <c r="N9441">
        <v>2.1718400000000001E-22</v>
      </c>
      <c r="O9441">
        <v>251</v>
      </c>
    </row>
    <row r="9442" spans="1:15" x14ac:dyDescent="0.25">
      <c r="A9442" t="s">
        <v>9455</v>
      </c>
      <c r="B9442">
        <v>618</v>
      </c>
      <c r="C9442" s="1" t="str">
        <f>HYPERLINK("http://www.rosaceae.org/gb/gbrowse/malus_x_domestica/?name=MDP0000400831","MDP0000400831")</f>
        <v>MDP0000400831</v>
      </c>
      <c r="D9442">
        <v>76.16</v>
      </c>
      <c r="E9442">
        <v>193</v>
      </c>
      <c r="F9442">
        <v>46</v>
      </c>
      <c r="G9442">
        <v>0</v>
      </c>
      <c r="H9442">
        <v>426</v>
      </c>
      <c r="I9442">
        <v>618</v>
      </c>
      <c r="J9442">
        <v>1</v>
      </c>
      <c r="K9442">
        <v>110</v>
      </c>
      <c r="L9442">
        <v>302</v>
      </c>
      <c r="M9442">
        <v>1</v>
      </c>
      <c r="N9442">
        <v>4.8202199999999998E-90</v>
      </c>
      <c r="O9442">
        <v>844</v>
      </c>
    </row>
    <row r="9443" spans="1:15" x14ac:dyDescent="0.25">
      <c r="A9443" t="s">
        <v>9456</v>
      </c>
      <c r="B9443">
        <v>405</v>
      </c>
      <c r="C9443" s="1" t="str">
        <f>HYPERLINK("http://www.rosaceae.org/gb/gbrowse/malus_x_domestica/?name=MDP0000792734","MDP0000792734")</f>
        <v>MDP0000792734</v>
      </c>
      <c r="D9443">
        <v>47.5</v>
      </c>
      <c r="E9443">
        <v>400</v>
      </c>
      <c r="F9443">
        <v>210</v>
      </c>
      <c r="G9443">
        <v>17</v>
      </c>
      <c r="H9443">
        <v>10</v>
      </c>
      <c r="I9443">
        <v>405</v>
      </c>
      <c r="J9443">
        <v>1</v>
      </c>
      <c r="K9443">
        <v>17</v>
      </c>
      <c r="L9443">
        <v>403</v>
      </c>
      <c r="M9443">
        <v>1</v>
      </c>
      <c r="N9443">
        <v>8.4676100000000005E-92</v>
      </c>
      <c r="O9443">
        <v>857</v>
      </c>
    </row>
    <row r="9444" spans="1:15" x14ac:dyDescent="0.25">
      <c r="A9444" t="s">
        <v>9457</v>
      </c>
      <c r="B9444">
        <v>153</v>
      </c>
      <c r="C9444" s="1" t="str">
        <f>HYPERLINK("http://www.rosaceae.org/gb/gbrowse/malus_x_domestica/?name=MDP0000312758","MDP0000312758")</f>
        <v>MDP0000312758</v>
      </c>
      <c r="D9444">
        <v>79.27</v>
      </c>
      <c r="E9444">
        <v>111</v>
      </c>
      <c r="F9444">
        <v>23</v>
      </c>
      <c r="G9444">
        <v>1</v>
      </c>
      <c r="H9444">
        <v>15</v>
      </c>
      <c r="I9444">
        <v>125</v>
      </c>
      <c r="J9444">
        <v>1</v>
      </c>
      <c r="K9444">
        <v>3</v>
      </c>
      <c r="L9444">
        <v>112</v>
      </c>
      <c r="M9444">
        <v>1</v>
      </c>
      <c r="N9444">
        <v>2.8455199999999999E-48</v>
      </c>
      <c r="O9444">
        <v>476</v>
      </c>
    </row>
    <row r="9445" spans="1:15" x14ac:dyDescent="0.25">
      <c r="A9445" t="s">
        <v>9458</v>
      </c>
      <c r="B9445">
        <v>414</v>
      </c>
      <c r="C9445" s="1" t="str">
        <f>HYPERLINK("http://www.rosaceae.org/gb/gbrowse/malus_x_domestica/?name=MDP0000299209","MDP0000299209")</f>
        <v>MDP0000299209</v>
      </c>
      <c r="D9445">
        <v>59.56</v>
      </c>
      <c r="E9445">
        <v>418</v>
      </c>
      <c r="F9445">
        <v>169</v>
      </c>
      <c r="G9445">
        <v>22</v>
      </c>
      <c r="H9445">
        <v>1</v>
      </c>
      <c r="I9445">
        <v>411</v>
      </c>
      <c r="J9445">
        <v>1</v>
      </c>
      <c r="K9445">
        <v>1</v>
      </c>
      <c r="L9445">
        <v>403</v>
      </c>
      <c r="M9445">
        <v>1</v>
      </c>
      <c r="N9445">
        <v>2.4451600000000001E-133</v>
      </c>
      <c r="O9445">
        <v>1215</v>
      </c>
    </row>
    <row r="9446" spans="1:15" x14ac:dyDescent="0.25">
      <c r="A9446" t="s">
        <v>9459</v>
      </c>
      <c r="B9446">
        <v>479</v>
      </c>
      <c r="C9446" s="1" t="str">
        <f>HYPERLINK("http://www.rosaceae.org/gb/gbrowse/malus_x_domestica/?name=MDP0000271903","MDP0000271903")</f>
        <v>MDP0000271903</v>
      </c>
      <c r="D9446">
        <v>46.92</v>
      </c>
      <c r="E9446">
        <v>228</v>
      </c>
      <c r="F9446">
        <v>121</v>
      </c>
      <c r="G9446">
        <v>4</v>
      </c>
      <c r="H9446">
        <v>131</v>
      </c>
      <c r="I9446">
        <v>354</v>
      </c>
      <c r="J9446">
        <v>1</v>
      </c>
      <c r="K9446">
        <v>24</v>
      </c>
      <c r="L9446">
        <v>251</v>
      </c>
      <c r="M9446">
        <v>1</v>
      </c>
      <c r="N9446">
        <v>1.5834099999999999E-54</v>
      </c>
      <c r="O9446">
        <v>537</v>
      </c>
    </row>
    <row r="9447" spans="1:15" x14ac:dyDescent="0.25">
      <c r="A9447" t="s">
        <v>9460</v>
      </c>
      <c r="B9447">
        <v>171</v>
      </c>
      <c r="C9447" s="1" t="str">
        <f>HYPERLINK("http://www.rosaceae.org/gb/gbrowse/malus_x_domestica/?name=MDP0000124256","MDP0000124256")</f>
        <v>MDP0000124256</v>
      </c>
      <c r="D9447">
        <v>44.44</v>
      </c>
      <c r="E9447">
        <v>144</v>
      </c>
      <c r="F9447">
        <v>80</v>
      </c>
      <c r="G9447">
        <v>0</v>
      </c>
      <c r="H9447">
        <v>17</v>
      </c>
      <c r="I9447">
        <v>160</v>
      </c>
      <c r="J9447">
        <v>1</v>
      </c>
      <c r="K9447">
        <v>62</v>
      </c>
      <c r="L9447">
        <v>205</v>
      </c>
      <c r="M9447">
        <v>1</v>
      </c>
      <c r="N9447">
        <v>3.08344E-27</v>
      </c>
      <c r="O9447">
        <v>295</v>
      </c>
    </row>
    <row r="9448" spans="1:15" x14ac:dyDescent="0.25">
      <c r="A9448" t="s">
        <v>9461</v>
      </c>
      <c r="B9448">
        <v>817</v>
      </c>
      <c r="C9448" s="1" t="str">
        <f>HYPERLINK("http://www.rosaceae.org/gb/gbrowse/malus_x_domestica/?name=MDP0000311452","MDP0000311452")</f>
        <v>MDP0000311452</v>
      </c>
      <c r="D9448">
        <v>87.53</v>
      </c>
      <c r="E9448">
        <v>714</v>
      </c>
      <c r="F9448">
        <v>89</v>
      </c>
      <c r="G9448">
        <v>0</v>
      </c>
      <c r="H9448">
        <v>93</v>
      </c>
      <c r="I9448">
        <v>806</v>
      </c>
      <c r="J9448">
        <v>1</v>
      </c>
      <c r="K9448">
        <v>1</v>
      </c>
      <c r="L9448">
        <v>714</v>
      </c>
      <c r="M9448">
        <v>1</v>
      </c>
      <c r="N9448">
        <v>0</v>
      </c>
      <c r="O9448">
        <v>3371</v>
      </c>
    </row>
    <row r="9449" spans="1:15" x14ac:dyDescent="0.25">
      <c r="A9449" t="s">
        <v>9462</v>
      </c>
      <c r="B9449">
        <v>233</v>
      </c>
      <c r="C9449" s="1" t="str">
        <f>HYPERLINK("http://www.rosaceae.org/gb/gbrowse/malus_x_domestica/?name=MDP0000215866","MDP0000215866")</f>
        <v>MDP0000215866</v>
      </c>
      <c r="D9449">
        <v>38.49</v>
      </c>
      <c r="E9449">
        <v>226</v>
      </c>
      <c r="F9449">
        <v>139</v>
      </c>
      <c r="G9449">
        <v>21</v>
      </c>
      <c r="H9449">
        <v>1</v>
      </c>
      <c r="I9449">
        <v>217</v>
      </c>
      <c r="J9449">
        <v>1</v>
      </c>
      <c r="K9449">
        <v>1</v>
      </c>
      <c r="L9449">
        <v>214</v>
      </c>
      <c r="M9449">
        <v>1</v>
      </c>
      <c r="N9449">
        <v>2.66594E-37</v>
      </c>
      <c r="O9449">
        <v>384</v>
      </c>
    </row>
    <row r="9450" spans="1:15" x14ac:dyDescent="0.25">
      <c r="A9450" t="s">
        <v>9463</v>
      </c>
      <c r="B9450">
        <v>492</v>
      </c>
      <c r="C9450" s="1" t="str">
        <f>HYPERLINK("http://www.rosaceae.org/gb/gbrowse/malus_x_domestica/?name=MDP0000232988","MDP0000232988")</f>
        <v>MDP0000232988</v>
      </c>
      <c r="D9450">
        <v>60.58</v>
      </c>
      <c r="E9450">
        <v>340</v>
      </c>
      <c r="F9450">
        <v>134</v>
      </c>
      <c r="G9450">
        <v>58</v>
      </c>
      <c r="H9450">
        <v>1</v>
      </c>
      <c r="I9450">
        <v>283</v>
      </c>
      <c r="J9450">
        <v>1</v>
      </c>
      <c r="K9450">
        <v>41</v>
      </c>
      <c r="L9450">
        <v>379</v>
      </c>
      <c r="M9450">
        <v>1</v>
      </c>
      <c r="N9450">
        <v>5.0655700000000003E-111</v>
      </c>
      <c r="O9450">
        <v>1024</v>
      </c>
    </row>
    <row r="9451" spans="1:15" x14ac:dyDescent="0.25">
      <c r="A9451" t="s">
        <v>9464</v>
      </c>
      <c r="B9451">
        <v>1377</v>
      </c>
      <c r="C9451" s="1" t="str">
        <f>HYPERLINK("http://www.rosaceae.org/gb/gbrowse/malus_x_domestica/?name=MDP0000295151","MDP0000295151")</f>
        <v>MDP0000295151</v>
      </c>
      <c r="D9451">
        <v>74.239999999999995</v>
      </c>
      <c r="E9451">
        <v>757</v>
      </c>
      <c r="F9451">
        <v>195</v>
      </c>
      <c r="G9451">
        <v>17</v>
      </c>
      <c r="H9451">
        <v>571</v>
      </c>
      <c r="I9451">
        <v>1317</v>
      </c>
      <c r="J9451">
        <v>1</v>
      </c>
      <c r="K9451">
        <v>559</v>
      </c>
      <c r="L9451">
        <v>1308</v>
      </c>
      <c r="M9451">
        <v>1</v>
      </c>
      <c r="N9451">
        <v>0</v>
      </c>
      <c r="O9451">
        <v>2857</v>
      </c>
    </row>
    <row r="9452" spans="1:15" x14ac:dyDescent="0.25">
      <c r="A9452" t="s">
        <v>9465</v>
      </c>
      <c r="B9452">
        <v>219</v>
      </c>
      <c r="C9452" s="1" t="str">
        <f>HYPERLINK("http://www.rosaceae.org/gb/gbrowse/malus_x_domestica/?name=MDP0000279785","MDP0000279785")</f>
        <v>MDP0000279785</v>
      </c>
      <c r="D9452">
        <v>42.28</v>
      </c>
      <c r="E9452">
        <v>298</v>
      </c>
      <c r="F9452">
        <v>172</v>
      </c>
      <c r="G9452">
        <v>83</v>
      </c>
      <c r="H9452">
        <v>1</v>
      </c>
      <c r="I9452">
        <v>218</v>
      </c>
      <c r="J9452">
        <v>1</v>
      </c>
      <c r="K9452">
        <v>83</v>
      </c>
      <c r="L9452">
        <v>377</v>
      </c>
      <c r="M9452">
        <v>1</v>
      </c>
      <c r="N9452">
        <v>2.39552E-35</v>
      </c>
      <c r="O9452">
        <v>367</v>
      </c>
    </row>
    <row r="9453" spans="1:15" x14ac:dyDescent="0.25">
      <c r="A9453" t="s">
        <v>9466</v>
      </c>
      <c r="B9453">
        <v>467</v>
      </c>
      <c r="C9453" s="1" t="str">
        <f>HYPERLINK("http://www.rosaceae.org/gb/gbrowse/malus_x_domestica/?name=MDP0000317700","MDP0000317700")</f>
        <v>MDP0000317700</v>
      </c>
      <c r="D9453">
        <v>28.81</v>
      </c>
      <c r="E9453">
        <v>288</v>
      </c>
      <c r="F9453">
        <v>205</v>
      </c>
      <c r="G9453">
        <v>38</v>
      </c>
      <c r="H9453">
        <v>27</v>
      </c>
      <c r="I9453">
        <v>281</v>
      </c>
      <c r="J9453">
        <v>1</v>
      </c>
      <c r="K9453">
        <v>440</v>
      </c>
      <c r="L9453">
        <v>722</v>
      </c>
      <c r="M9453">
        <v>1</v>
      </c>
      <c r="N9453">
        <v>1.87653E-17</v>
      </c>
      <c r="O9453">
        <v>217</v>
      </c>
    </row>
    <row r="9454" spans="1:15" x14ac:dyDescent="0.25">
      <c r="A9454" t="s">
        <v>9467</v>
      </c>
      <c r="B9454">
        <v>362</v>
      </c>
      <c r="C9454" s="1" t="str">
        <f>HYPERLINK("http://www.rosaceae.org/gb/gbrowse/malus_x_domestica/?name=MDP0000222500","MDP0000222500")</f>
        <v>MDP0000222500</v>
      </c>
      <c r="D9454">
        <v>73.27</v>
      </c>
      <c r="E9454">
        <v>348</v>
      </c>
      <c r="F9454">
        <v>93</v>
      </c>
      <c r="G9454">
        <v>11</v>
      </c>
      <c r="H9454">
        <v>1</v>
      </c>
      <c r="I9454">
        <v>338</v>
      </c>
      <c r="J9454">
        <v>1</v>
      </c>
      <c r="K9454">
        <v>86</v>
      </c>
      <c r="L9454">
        <v>432</v>
      </c>
      <c r="M9454">
        <v>1</v>
      </c>
      <c r="N9454">
        <v>1.20472E-150</v>
      </c>
      <c r="O9454">
        <v>1364</v>
      </c>
    </row>
    <row r="9455" spans="1:15" x14ac:dyDescent="0.25">
      <c r="A9455" t="s">
        <v>9468</v>
      </c>
      <c r="B9455">
        <v>430</v>
      </c>
      <c r="C9455" s="1" t="str">
        <f>HYPERLINK("http://www.rosaceae.org/gb/gbrowse/malus_x_domestica/?name=MDP0000296211","MDP0000296211")</f>
        <v>MDP0000296211</v>
      </c>
      <c r="D9455">
        <v>73.44</v>
      </c>
      <c r="E9455">
        <v>241</v>
      </c>
      <c r="F9455">
        <v>64</v>
      </c>
      <c r="G9455">
        <v>1</v>
      </c>
      <c r="H9455">
        <v>88</v>
      </c>
      <c r="I9455">
        <v>327</v>
      </c>
      <c r="J9455">
        <v>1</v>
      </c>
      <c r="K9455">
        <v>504</v>
      </c>
      <c r="L9455">
        <v>744</v>
      </c>
      <c r="M9455">
        <v>1</v>
      </c>
      <c r="N9455">
        <v>8.9254599999999995E-101</v>
      </c>
      <c r="O9455">
        <v>935</v>
      </c>
    </row>
    <row r="9456" spans="1:15" x14ac:dyDescent="0.25">
      <c r="A9456" t="s">
        <v>9469</v>
      </c>
      <c r="B9456">
        <v>371</v>
      </c>
      <c r="C9456" s="1" t="str">
        <f>HYPERLINK("http://www.rosaceae.org/gb/gbrowse/malus_x_domestica/?name=MDP0000299946","MDP0000299946")</f>
        <v>MDP0000299946</v>
      </c>
      <c r="D9456">
        <v>69.03</v>
      </c>
      <c r="E9456">
        <v>352</v>
      </c>
      <c r="F9456">
        <v>109</v>
      </c>
      <c r="G9456">
        <v>13</v>
      </c>
      <c r="H9456">
        <v>24</v>
      </c>
      <c r="I9456">
        <v>371</v>
      </c>
      <c r="J9456">
        <v>1</v>
      </c>
      <c r="K9456">
        <v>7</v>
      </c>
      <c r="L9456">
        <v>349</v>
      </c>
      <c r="M9456">
        <v>1</v>
      </c>
      <c r="N9456">
        <v>2.4773200000000001E-142</v>
      </c>
      <c r="O9456">
        <v>1293</v>
      </c>
    </row>
    <row r="9457" spans="1:15" x14ac:dyDescent="0.25">
      <c r="A9457" t="s">
        <v>9470</v>
      </c>
      <c r="B9457">
        <v>444</v>
      </c>
      <c r="C9457" s="1" t="str">
        <f>HYPERLINK("http://www.rosaceae.org/gb/gbrowse/malus_x_domestica/?name=MDP0000898910","MDP0000898910")</f>
        <v>MDP0000898910</v>
      </c>
      <c r="D9457">
        <v>91.54</v>
      </c>
      <c r="E9457">
        <v>71</v>
      </c>
      <c r="F9457">
        <v>6</v>
      </c>
      <c r="G9457">
        <v>0</v>
      </c>
      <c r="H9457">
        <v>365</v>
      </c>
      <c r="I9457">
        <v>435</v>
      </c>
      <c r="J9457">
        <v>1</v>
      </c>
      <c r="K9457">
        <v>7</v>
      </c>
      <c r="L9457">
        <v>77</v>
      </c>
      <c r="M9457">
        <v>1</v>
      </c>
      <c r="N9457">
        <v>1.56923E-32</v>
      </c>
      <c r="O9457">
        <v>346</v>
      </c>
    </row>
    <row r="9458" spans="1:15" x14ac:dyDescent="0.25">
      <c r="A9458" t="s">
        <v>9471</v>
      </c>
      <c r="B9458">
        <v>99</v>
      </c>
      <c r="C9458" s="1" t="str">
        <f>HYPERLINK("http://www.rosaceae.org/gb/gbrowse/malus_x_domestica/?name=MDP0000530789","MDP0000530789")</f>
        <v>MDP0000530789</v>
      </c>
      <c r="D9458">
        <v>78.180000000000007</v>
      </c>
      <c r="E9458">
        <v>55</v>
      </c>
      <c r="F9458">
        <v>12</v>
      </c>
      <c r="G9458">
        <v>0</v>
      </c>
      <c r="H9458">
        <v>39</v>
      </c>
      <c r="I9458">
        <v>93</v>
      </c>
      <c r="J9458">
        <v>1</v>
      </c>
      <c r="K9458">
        <v>39</v>
      </c>
      <c r="L9458">
        <v>93</v>
      </c>
      <c r="M9458">
        <v>1</v>
      </c>
      <c r="N9458">
        <v>4.5121299999999997E-19</v>
      </c>
      <c r="O9458">
        <v>222</v>
      </c>
    </row>
    <row r="9459" spans="1:15" x14ac:dyDescent="0.25">
      <c r="A9459" t="s">
        <v>9472</v>
      </c>
      <c r="B9459">
        <v>731</v>
      </c>
      <c r="C9459" s="1" t="str">
        <f>HYPERLINK("http://www.rosaceae.org/gb/gbrowse/malus_x_domestica/?name=MDP0000156100","MDP0000156100")</f>
        <v>MDP0000156100</v>
      </c>
      <c r="D9459">
        <v>60.75</v>
      </c>
      <c r="E9459">
        <v>744</v>
      </c>
      <c r="F9459">
        <v>292</v>
      </c>
      <c r="G9459">
        <v>115</v>
      </c>
      <c r="H9459">
        <v>45</v>
      </c>
      <c r="I9459">
        <v>730</v>
      </c>
      <c r="J9459">
        <v>1</v>
      </c>
      <c r="K9459">
        <v>1</v>
      </c>
      <c r="L9459">
        <v>687</v>
      </c>
      <c r="M9459">
        <v>1</v>
      </c>
      <c r="N9459">
        <v>0</v>
      </c>
      <c r="O9459">
        <v>2141</v>
      </c>
    </row>
    <row r="9460" spans="1:15" x14ac:dyDescent="0.25">
      <c r="A9460" t="s">
        <v>9473</v>
      </c>
      <c r="B9460">
        <v>647</v>
      </c>
      <c r="C9460" s="1" t="str">
        <f>HYPERLINK("http://www.rosaceae.org/gb/gbrowse/malus_x_domestica/?name=MDP0000239532","MDP0000239532")</f>
        <v>MDP0000239532</v>
      </c>
      <c r="D9460">
        <v>68.040000000000006</v>
      </c>
      <c r="E9460">
        <v>507</v>
      </c>
      <c r="F9460">
        <v>162</v>
      </c>
      <c r="G9460">
        <v>52</v>
      </c>
      <c r="H9460">
        <v>117</v>
      </c>
      <c r="I9460">
        <v>621</v>
      </c>
      <c r="J9460">
        <v>1</v>
      </c>
      <c r="K9460">
        <v>58</v>
      </c>
      <c r="L9460">
        <v>514</v>
      </c>
      <c r="M9460">
        <v>1</v>
      </c>
      <c r="N9460">
        <v>0</v>
      </c>
      <c r="O9460">
        <v>1769</v>
      </c>
    </row>
    <row r="9461" spans="1:15" x14ac:dyDescent="0.25">
      <c r="A9461" t="s">
        <v>9474</v>
      </c>
      <c r="B9461">
        <v>222</v>
      </c>
      <c r="C9461" s="1" t="str">
        <f>HYPERLINK("http://www.rosaceae.org/gb/gbrowse/malus_x_domestica/?name=MDP0000207355","MDP0000207355")</f>
        <v>MDP0000207355</v>
      </c>
      <c r="D9461">
        <v>51.72</v>
      </c>
      <c r="E9461">
        <v>87</v>
      </c>
      <c r="F9461">
        <v>42</v>
      </c>
      <c r="G9461">
        <v>1</v>
      </c>
      <c r="H9461">
        <v>130</v>
      </c>
      <c r="I9461">
        <v>215</v>
      </c>
      <c r="J9461">
        <v>1</v>
      </c>
      <c r="K9461">
        <v>226</v>
      </c>
      <c r="L9461">
        <v>312</v>
      </c>
      <c r="M9461">
        <v>1</v>
      </c>
      <c r="N9461">
        <v>1.09492E-17</v>
      </c>
      <c r="O9461">
        <v>215</v>
      </c>
    </row>
    <row r="9462" spans="1:15" x14ac:dyDescent="0.25">
      <c r="A9462" t="s">
        <v>9475</v>
      </c>
      <c r="B9462">
        <v>330</v>
      </c>
      <c r="C9462" s="1" t="str">
        <f>HYPERLINK("http://www.rosaceae.org/gb/gbrowse/malus_x_domestica/?name=MDP0000682471","MDP0000682471")</f>
        <v>MDP0000682471</v>
      </c>
      <c r="D9462">
        <v>77.11</v>
      </c>
      <c r="E9462">
        <v>236</v>
      </c>
      <c r="F9462">
        <v>54</v>
      </c>
      <c r="G9462">
        <v>0</v>
      </c>
      <c r="H9462">
        <v>3</v>
      </c>
      <c r="I9462">
        <v>238</v>
      </c>
      <c r="J9462">
        <v>1</v>
      </c>
      <c r="K9462">
        <v>5</v>
      </c>
      <c r="L9462">
        <v>240</v>
      </c>
      <c r="M9462">
        <v>1</v>
      </c>
      <c r="N9462">
        <v>1.99524E-109</v>
      </c>
      <c r="O9462">
        <v>1008</v>
      </c>
    </row>
    <row r="9463" spans="1:15" x14ac:dyDescent="0.25">
      <c r="A9463" t="s">
        <v>9476</v>
      </c>
      <c r="B9463">
        <v>209</v>
      </c>
      <c r="C9463" s="1" t="str">
        <f>HYPERLINK("http://www.rosaceae.org/gb/gbrowse/malus_x_domestica/?name=MDP0000285103","MDP0000285103")</f>
        <v>MDP0000285103</v>
      </c>
      <c r="D9463">
        <v>48.88</v>
      </c>
      <c r="E9463">
        <v>180</v>
      </c>
      <c r="F9463">
        <v>92</v>
      </c>
      <c r="G9463">
        <v>12</v>
      </c>
      <c r="H9463">
        <v>2</v>
      </c>
      <c r="I9463">
        <v>174</v>
      </c>
      <c r="J9463">
        <v>1</v>
      </c>
      <c r="K9463">
        <v>195</v>
      </c>
      <c r="L9463">
        <v>369</v>
      </c>
      <c r="M9463">
        <v>1</v>
      </c>
      <c r="N9463">
        <v>8.6847400000000005E-41</v>
      </c>
      <c r="O9463">
        <v>414</v>
      </c>
    </row>
    <row r="9464" spans="1:15" x14ac:dyDescent="0.25">
      <c r="A9464" t="s">
        <v>9477</v>
      </c>
      <c r="B9464">
        <v>359</v>
      </c>
      <c r="C9464" s="1" t="str">
        <f>HYPERLINK("http://www.rosaceae.org/gb/gbrowse/malus_x_domestica/?name=MDP0000308826","MDP0000308826")</f>
        <v>MDP0000308826</v>
      </c>
      <c r="D9464">
        <v>36.28</v>
      </c>
      <c r="E9464">
        <v>328</v>
      </c>
      <c r="F9464">
        <v>209</v>
      </c>
      <c r="G9464">
        <v>38</v>
      </c>
      <c r="H9464">
        <v>40</v>
      </c>
      <c r="I9464">
        <v>356</v>
      </c>
      <c r="J9464">
        <v>1</v>
      </c>
      <c r="K9464">
        <v>1</v>
      </c>
      <c r="L9464">
        <v>301</v>
      </c>
      <c r="M9464">
        <v>1</v>
      </c>
      <c r="N9464">
        <v>2.5623800000000001E-39</v>
      </c>
      <c r="O9464">
        <v>404</v>
      </c>
    </row>
    <row r="9465" spans="1:15" x14ac:dyDescent="0.25">
      <c r="A9465" t="s">
        <v>9478</v>
      </c>
      <c r="B9465">
        <v>692</v>
      </c>
      <c r="C9465" s="1" t="str">
        <f>HYPERLINK("http://www.rosaceae.org/gb/gbrowse/malus_x_domestica/?name=MDP0000433807","MDP0000433807")</f>
        <v>MDP0000433807</v>
      </c>
      <c r="D9465">
        <v>32.81</v>
      </c>
      <c r="E9465">
        <v>582</v>
      </c>
      <c r="F9465">
        <v>391</v>
      </c>
      <c r="G9465">
        <v>102</v>
      </c>
      <c r="H9465">
        <v>133</v>
      </c>
      <c r="I9465">
        <v>625</v>
      </c>
      <c r="J9465">
        <v>1</v>
      </c>
      <c r="K9465">
        <v>312</v>
      </c>
      <c r="L9465">
        <v>880</v>
      </c>
      <c r="M9465">
        <v>1</v>
      </c>
      <c r="N9465">
        <v>2.1216699999999999E-60</v>
      </c>
      <c r="O9465">
        <v>589</v>
      </c>
    </row>
    <row r="9466" spans="1:15" x14ac:dyDescent="0.25">
      <c r="A9466" t="s">
        <v>9479</v>
      </c>
      <c r="B9466">
        <v>88</v>
      </c>
      <c r="C9466" s="1" t="str">
        <f>HYPERLINK("http://www.rosaceae.org/gb/gbrowse/malus_x_domestica/?name=MDP0000228481","MDP0000228481")</f>
        <v>MDP0000228481</v>
      </c>
      <c r="D9466">
        <v>59.3</v>
      </c>
      <c r="E9466">
        <v>86</v>
      </c>
      <c r="F9466">
        <v>35</v>
      </c>
      <c r="G9466">
        <v>0</v>
      </c>
      <c r="H9466">
        <v>3</v>
      </c>
      <c r="I9466">
        <v>88</v>
      </c>
      <c r="J9466">
        <v>1</v>
      </c>
      <c r="K9466">
        <v>117</v>
      </c>
      <c r="L9466">
        <v>202</v>
      </c>
      <c r="M9466">
        <v>1</v>
      </c>
      <c r="N9466">
        <v>5.7305500000000003E-24</v>
      </c>
      <c r="O9466">
        <v>264</v>
      </c>
    </row>
    <row r="9467" spans="1:15" x14ac:dyDescent="0.25">
      <c r="A9467" t="s">
        <v>9480</v>
      </c>
      <c r="B9467">
        <v>736</v>
      </c>
      <c r="C9467" s="1" t="str">
        <f>HYPERLINK("http://www.rosaceae.org/gb/gbrowse/malus_x_domestica/?name=MDP0000230963","MDP0000230963")</f>
        <v>MDP0000230963</v>
      </c>
      <c r="D9467">
        <v>62.98</v>
      </c>
      <c r="E9467">
        <v>751</v>
      </c>
      <c r="F9467">
        <v>278</v>
      </c>
      <c r="G9467">
        <v>72</v>
      </c>
      <c r="H9467">
        <v>1</v>
      </c>
      <c r="I9467">
        <v>736</v>
      </c>
      <c r="J9467">
        <v>1</v>
      </c>
      <c r="K9467">
        <v>31</v>
      </c>
      <c r="L9467">
        <v>724</v>
      </c>
      <c r="M9467">
        <v>1</v>
      </c>
      <c r="N9467">
        <v>0</v>
      </c>
      <c r="O9467">
        <v>2372</v>
      </c>
    </row>
    <row r="9468" spans="1:15" x14ac:dyDescent="0.25">
      <c r="A9468" t="s">
        <v>9481</v>
      </c>
      <c r="B9468">
        <v>354</v>
      </c>
      <c r="C9468" s="1" t="str">
        <f>HYPERLINK("http://www.rosaceae.org/gb/gbrowse/malus_x_domestica/?name=MDP0000245541","MDP0000245541")</f>
        <v>MDP0000245541</v>
      </c>
      <c r="D9468">
        <v>57.14</v>
      </c>
      <c r="E9468">
        <v>77</v>
      </c>
      <c r="F9468">
        <v>33</v>
      </c>
      <c r="G9468">
        <v>0</v>
      </c>
      <c r="H9468">
        <v>2</v>
      </c>
      <c r="I9468">
        <v>78</v>
      </c>
      <c r="J9468">
        <v>1</v>
      </c>
      <c r="K9468">
        <v>1045</v>
      </c>
      <c r="L9468">
        <v>1121</v>
      </c>
      <c r="M9468">
        <v>1</v>
      </c>
      <c r="N9468">
        <v>5.5753300000000005E-23</v>
      </c>
      <c r="O9468">
        <v>263</v>
      </c>
    </row>
    <row r="9469" spans="1:15" x14ac:dyDescent="0.25">
      <c r="A9469" t="s">
        <v>9482</v>
      </c>
      <c r="B9469">
        <v>805</v>
      </c>
      <c r="C9469" s="1" t="str">
        <f>HYPERLINK("http://www.rosaceae.org/gb/gbrowse/malus_x_domestica/?name=MDP0000127552","MDP0000127552")</f>
        <v>MDP0000127552</v>
      </c>
      <c r="D9469">
        <v>34.08</v>
      </c>
      <c r="E9469">
        <v>795</v>
      </c>
      <c r="F9469">
        <v>524</v>
      </c>
      <c r="G9469">
        <v>56</v>
      </c>
      <c r="H9469">
        <v>48</v>
      </c>
      <c r="I9469">
        <v>804</v>
      </c>
      <c r="J9469">
        <v>1</v>
      </c>
      <c r="K9469">
        <v>88</v>
      </c>
      <c r="L9469">
        <v>864</v>
      </c>
      <c r="M9469">
        <v>1</v>
      </c>
      <c r="N9469">
        <v>3.7287500000000003E-101</v>
      </c>
      <c r="O9469">
        <v>941</v>
      </c>
    </row>
    <row r="9470" spans="1:15" x14ac:dyDescent="0.25">
      <c r="A9470" t="s">
        <v>9483</v>
      </c>
      <c r="B9470">
        <v>1359</v>
      </c>
      <c r="C9470" s="1" t="str">
        <f>HYPERLINK("http://www.rosaceae.org/gb/gbrowse/malus_x_domestica/?name=MDP0000177125","MDP0000177125")</f>
        <v>MDP0000177125</v>
      </c>
      <c r="D9470">
        <v>45.33</v>
      </c>
      <c r="E9470">
        <v>1105</v>
      </c>
      <c r="F9470">
        <v>604</v>
      </c>
      <c r="G9470">
        <v>188</v>
      </c>
      <c r="H9470">
        <v>321</v>
      </c>
      <c r="I9470">
        <v>1315</v>
      </c>
      <c r="J9470">
        <v>1</v>
      </c>
      <c r="K9470">
        <v>223</v>
      </c>
      <c r="L9470">
        <v>1249</v>
      </c>
      <c r="M9470">
        <v>1</v>
      </c>
      <c r="N9470">
        <v>0</v>
      </c>
      <c r="O9470">
        <v>1924</v>
      </c>
    </row>
    <row r="9471" spans="1:15" x14ac:dyDescent="0.25">
      <c r="A9471" t="s">
        <v>9484</v>
      </c>
      <c r="B9471">
        <v>509</v>
      </c>
      <c r="C9471" s="1" t="str">
        <f>HYPERLINK("http://www.rosaceae.org/gb/gbrowse/malus_x_domestica/?name=MDP0000322366","MDP0000322366")</f>
        <v>MDP0000322366</v>
      </c>
      <c r="D9471">
        <v>70.45</v>
      </c>
      <c r="E9471">
        <v>528</v>
      </c>
      <c r="F9471">
        <v>156</v>
      </c>
      <c r="G9471">
        <v>42</v>
      </c>
      <c r="H9471">
        <v>3</v>
      </c>
      <c r="I9471">
        <v>506</v>
      </c>
      <c r="J9471">
        <v>1</v>
      </c>
      <c r="K9471">
        <v>5</v>
      </c>
      <c r="L9471">
        <v>514</v>
      </c>
      <c r="M9471">
        <v>1</v>
      </c>
      <c r="N9471">
        <v>0</v>
      </c>
      <c r="O9471">
        <v>1845</v>
      </c>
    </row>
    <row r="9472" spans="1:15" x14ac:dyDescent="0.25">
      <c r="A9472" t="s">
        <v>9485</v>
      </c>
      <c r="B9472">
        <v>1101</v>
      </c>
      <c r="C9472" s="1" t="str">
        <f>HYPERLINK("http://www.rosaceae.org/gb/gbrowse/malus_x_domestica/?name=MDP0000200548","MDP0000200548")</f>
        <v>MDP0000200548</v>
      </c>
      <c r="D9472">
        <v>60.89</v>
      </c>
      <c r="E9472">
        <v>629</v>
      </c>
      <c r="F9472">
        <v>246</v>
      </c>
      <c r="G9472">
        <v>63</v>
      </c>
      <c r="H9472">
        <v>3</v>
      </c>
      <c r="I9472">
        <v>577</v>
      </c>
      <c r="J9472">
        <v>1</v>
      </c>
      <c r="K9472">
        <v>71</v>
      </c>
      <c r="L9472">
        <v>690</v>
      </c>
      <c r="M9472">
        <v>1</v>
      </c>
      <c r="N9472">
        <v>0</v>
      </c>
      <c r="O9472">
        <v>1773</v>
      </c>
    </row>
    <row r="9473" spans="1:15" x14ac:dyDescent="0.25">
      <c r="A9473" t="s">
        <v>9486</v>
      </c>
      <c r="B9473">
        <v>150</v>
      </c>
      <c r="C9473" s="1" t="str">
        <f>HYPERLINK("http://www.rosaceae.org/gb/gbrowse/malus_x_domestica/?name=MDP0000157654","MDP0000157654")</f>
        <v>MDP0000157654</v>
      </c>
      <c r="D9473">
        <v>43.15</v>
      </c>
      <c r="E9473">
        <v>146</v>
      </c>
      <c r="F9473">
        <v>83</v>
      </c>
      <c r="G9473">
        <v>15</v>
      </c>
      <c r="H9473">
        <v>1</v>
      </c>
      <c r="I9473">
        <v>143</v>
      </c>
      <c r="J9473">
        <v>1</v>
      </c>
      <c r="K9473">
        <v>99</v>
      </c>
      <c r="L9473">
        <v>232</v>
      </c>
      <c r="M9473">
        <v>1</v>
      </c>
      <c r="N9473">
        <v>9.0511300000000003E-21</v>
      </c>
      <c r="O9473">
        <v>238</v>
      </c>
    </row>
    <row r="9474" spans="1:15" x14ac:dyDescent="0.25">
      <c r="A9474" t="s">
        <v>9487</v>
      </c>
      <c r="B9474">
        <v>149</v>
      </c>
      <c r="C9474" s="1" t="str">
        <f>HYPERLINK("http://www.rosaceae.org/gb/gbrowse/malus_x_domestica/?name=MDP0000933400","MDP0000933400")</f>
        <v>MDP0000933400</v>
      </c>
      <c r="D9474">
        <v>78.760000000000005</v>
      </c>
      <c r="E9474">
        <v>146</v>
      </c>
      <c r="F9474">
        <v>31</v>
      </c>
      <c r="G9474">
        <v>2</v>
      </c>
      <c r="H9474">
        <v>1</v>
      </c>
      <c r="I9474">
        <v>144</v>
      </c>
      <c r="J9474">
        <v>1</v>
      </c>
      <c r="K9474">
        <v>1</v>
      </c>
      <c r="L9474">
        <v>146</v>
      </c>
      <c r="M9474">
        <v>1</v>
      </c>
      <c r="N9474">
        <v>1.5866800000000001E-65</v>
      </c>
      <c r="O9474">
        <v>624</v>
      </c>
    </row>
    <row r="9475" spans="1:15" x14ac:dyDescent="0.25">
      <c r="A9475" t="s">
        <v>9488</v>
      </c>
      <c r="B9475">
        <v>196</v>
      </c>
      <c r="C9475" s="1" t="str">
        <f>HYPERLINK("http://www.rosaceae.org/gb/gbrowse/malus_x_domestica/?name=MDP0000295739","MDP0000295739")</f>
        <v>MDP0000295739</v>
      </c>
      <c r="D9475">
        <v>44.82</v>
      </c>
      <c r="E9475">
        <v>145</v>
      </c>
      <c r="F9475">
        <v>80</v>
      </c>
      <c r="G9475">
        <v>22</v>
      </c>
      <c r="H9475">
        <v>71</v>
      </c>
      <c r="I9475">
        <v>196</v>
      </c>
      <c r="J9475">
        <v>1</v>
      </c>
      <c r="K9475">
        <v>70</v>
      </c>
      <c r="L9475">
        <v>211</v>
      </c>
      <c r="M9475">
        <v>1</v>
      </c>
      <c r="N9475">
        <v>1.57382E-21</v>
      </c>
      <c r="O9475">
        <v>247</v>
      </c>
    </row>
    <row r="9476" spans="1:15" x14ac:dyDescent="0.25">
      <c r="A9476" t="s">
        <v>9489</v>
      </c>
      <c r="B9476">
        <v>540</v>
      </c>
      <c r="C9476" s="1" t="str">
        <f>HYPERLINK("http://www.rosaceae.org/gb/gbrowse/malus_x_domestica/?name=MDP0000310693","MDP0000310693")</f>
        <v>MDP0000310693</v>
      </c>
      <c r="D9476">
        <v>28.07</v>
      </c>
      <c r="E9476">
        <v>431</v>
      </c>
      <c r="F9476">
        <v>310</v>
      </c>
      <c r="G9476">
        <v>68</v>
      </c>
      <c r="H9476">
        <v>1</v>
      </c>
      <c r="I9476">
        <v>387</v>
      </c>
      <c r="J9476">
        <v>1</v>
      </c>
      <c r="K9476">
        <v>122</v>
      </c>
      <c r="L9476">
        <v>528</v>
      </c>
      <c r="M9476">
        <v>1</v>
      </c>
      <c r="N9476">
        <v>2.4161900000000001E-20</v>
      </c>
      <c r="O9476">
        <v>242</v>
      </c>
    </row>
    <row r="9477" spans="1:15" x14ac:dyDescent="0.25">
      <c r="A9477" t="s">
        <v>9490</v>
      </c>
      <c r="B9477">
        <v>235</v>
      </c>
      <c r="C9477" s="1" t="str">
        <f>HYPERLINK("http://www.rosaceae.org/gb/gbrowse/malus_x_domestica/?name=MDP0000296128","MDP0000296128")</f>
        <v>MDP0000296128</v>
      </c>
      <c r="D9477">
        <v>47.82</v>
      </c>
      <c r="E9477">
        <v>92</v>
      </c>
      <c r="F9477">
        <v>48</v>
      </c>
      <c r="G9477">
        <v>13</v>
      </c>
      <c r="H9477">
        <v>146</v>
      </c>
      <c r="I9477">
        <v>224</v>
      </c>
      <c r="J9477">
        <v>1</v>
      </c>
      <c r="K9477">
        <v>250</v>
      </c>
      <c r="L9477">
        <v>341</v>
      </c>
      <c r="M9477">
        <v>1</v>
      </c>
      <c r="N9477">
        <v>1.3735300000000001E-16</v>
      </c>
      <c r="O9477">
        <v>206</v>
      </c>
    </row>
    <row r="9478" spans="1:15" x14ac:dyDescent="0.25">
      <c r="A9478" t="s">
        <v>9491</v>
      </c>
      <c r="B9478">
        <v>206</v>
      </c>
      <c r="C9478" s="1" t="str">
        <f>HYPERLINK("http://www.rosaceae.org/gb/gbrowse/malus_x_domestica/?name=MDP0000885120","MDP0000885120")</f>
        <v>MDP0000885120</v>
      </c>
      <c r="D9478">
        <v>39.36</v>
      </c>
      <c r="E9478">
        <v>188</v>
      </c>
      <c r="F9478">
        <v>114</v>
      </c>
      <c r="G9478">
        <v>31</v>
      </c>
      <c r="H9478">
        <v>28</v>
      </c>
      <c r="I9478">
        <v>198</v>
      </c>
      <c r="J9478">
        <v>1</v>
      </c>
      <c r="K9478">
        <v>29</v>
      </c>
      <c r="L9478">
        <v>202</v>
      </c>
      <c r="M9478">
        <v>1</v>
      </c>
      <c r="N9478">
        <v>3.8483199999999999E-19</v>
      </c>
      <c r="O9478">
        <v>227</v>
      </c>
    </row>
    <row r="9479" spans="1:15" x14ac:dyDescent="0.25">
      <c r="A9479" t="s">
        <v>9492</v>
      </c>
      <c r="B9479">
        <v>155</v>
      </c>
      <c r="C9479" s="1" t="str">
        <f>HYPERLINK("http://www.rosaceae.org/gb/gbrowse/malus_x_domestica/?name=MDP0000144545","MDP0000144545")</f>
        <v>MDP0000144545</v>
      </c>
      <c r="D9479">
        <v>40.47</v>
      </c>
      <c r="E9479">
        <v>84</v>
      </c>
      <c r="F9479">
        <v>50</v>
      </c>
      <c r="G9479">
        <v>18</v>
      </c>
      <c r="H9479">
        <v>70</v>
      </c>
      <c r="I9479">
        <v>141</v>
      </c>
      <c r="J9479">
        <v>1</v>
      </c>
      <c r="K9479">
        <v>96</v>
      </c>
      <c r="L9479">
        <v>173</v>
      </c>
      <c r="M9479">
        <v>1</v>
      </c>
      <c r="N9479">
        <v>4.50158E-8</v>
      </c>
      <c r="O9479">
        <v>129</v>
      </c>
    </row>
    <row r="9480" spans="1:15" x14ac:dyDescent="0.25">
      <c r="A9480" t="s">
        <v>9493</v>
      </c>
      <c r="B9480">
        <v>563</v>
      </c>
      <c r="C9480" s="1" t="str">
        <f>HYPERLINK("http://www.rosaceae.org/gb/gbrowse/malus_x_domestica/?name=MDP0000728757","MDP0000728757")</f>
        <v>MDP0000728757</v>
      </c>
      <c r="D9480">
        <v>83.3</v>
      </c>
      <c r="E9480">
        <v>509</v>
      </c>
      <c r="F9480">
        <v>85</v>
      </c>
      <c r="G9480">
        <v>2</v>
      </c>
      <c r="H9480">
        <v>1</v>
      </c>
      <c r="I9480">
        <v>508</v>
      </c>
      <c r="J9480">
        <v>1</v>
      </c>
      <c r="K9480">
        <v>1</v>
      </c>
      <c r="L9480">
        <v>508</v>
      </c>
      <c r="M9480">
        <v>1</v>
      </c>
      <c r="N9480">
        <v>0</v>
      </c>
      <c r="O9480">
        <v>2306</v>
      </c>
    </row>
    <row r="9481" spans="1:15" x14ac:dyDescent="0.25">
      <c r="A9481" t="s">
        <v>9494</v>
      </c>
      <c r="B9481">
        <v>443</v>
      </c>
      <c r="C9481" s="1" t="str">
        <f>HYPERLINK("http://www.rosaceae.org/gb/gbrowse/malus_x_domestica/?name=MDP0000121129","MDP0000121129")</f>
        <v>MDP0000121129</v>
      </c>
      <c r="D9481">
        <v>82.25</v>
      </c>
      <c r="E9481">
        <v>417</v>
      </c>
      <c r="F9481">
        <v>74</v>
      </c>
      <c r="G9481">
        <v>18</v>
      </c>
      <c r="H9481">
        <v>14</v>
      </c>
      <c r="I9481">
        <v>428</v>
      </c>
      <c r="J9481">
        <v>1</v>
      </c>
      <c r="K9481">
        <v>12</v>
      </c>
      <c r="L9481">
        <v>412</v>
      </c>
      <c r="M9481">
        <v>1</v>
      </c>
      <c r="N9481">
        <v>0</v>
      </c>
      <c r="O9481">
        <v>1821</v>
      </c>
    </row>
    <row r="9482" spans="1:15" x14ac:dyDescent="0.25">
      <c r="A9482" t="s">
        <v>9495</v>
      </c>
      <c r="B9482">
        <v>641</v>
      </c>
      <c r="C9482" s="1" t="str">
        <f>HYPERLINK("http://www.rosaceae.org/gb/gbrowse/malus_x_domestica/?name=MDP0000947744","MDP0000947744")</f>
        <v>MDP0000947744</v>
      </c>
      <c r="D9482">
        <v>67.819999999999993</v>
      </c>
      <c r="E9482">
        <v>662</v>
      </c>
      <c r="F9482">
        <v>213</v>
      </c>
      <c r="G9482">
        <v>49</v>
      </c>
      <c r="H9482">
        <v>1</v>
      </c>
      <c r="I9482">
        <v>641</v>
      </c>
      <c r="J9482">
        <v>1</v>
      </c>
      <c r="K9482">
        <v>1</v>
      </c>
      <c r="L9482">
        <v>634</v>
      </c>
      <c r="M9482">
        <v>1</v>
      </c>
      <c r="N9482">
        <v>0</v>
      </c>
      <c r="O9482">
        <v>2235</v>
      </c>
    </row>
    <row r="9483" spans="1:15" x14ac:dyDescent="0.25">
      <c r="A9483" t="s">
        <v>9496</v>
      </c>
      <c r="B9483">
        <v>512</v>
      </c>
      <c r="C9483" s="1" t="str">
        <f>HYPERLINK("http://www.rosaceae.org/gb/gbrowse/malus_x_domestica/?name=MDP0000125167","MDP0000125167")</f>
        <v>MDP0000125167</v>
      </c>
      <c r="D9483">
        <v>53.49</v>
      </c>
      <c r="E9483">
        <v>458</v>
      </c>
      <c r="F9483">
        <v>213</v>
      </c>
      <c r="G9483">
        <v>11</v>
      </c>
      <c r="H9483">
        <v>14</v>
      </c>
      <c r="I9483">
        <v>471</v>
      </c>
      <c r="J9483">
        <v>1</v>
      </c>
      <c r="K9483">
        <v>8</v>
      </c>
      <c r="L9483">
        <v>454</v>
      </c>
      <c r="M9483">
        <v>1</v>
      </c>
      <c r="N9483">
        <v>2.05733E-142</v>
      </c>
      <c r="O9483">
        <v>1295</v>
      </c>
    </row>
    <row r="9484" spans="1:15" x14ac:dyDescent="0.25">
      <c r="A9484" t="s">
        <v>9497</v>
      </c>
      <c r="B9484">
        <v>318</v>
      </c>
      <c r="C9484" s="1" t="str">
        <f>HYPERLINK("http://www.rosaceae.org/gb/gbrowse/malus_x_domestica/?name=MDP0000652545","MDP0000652545")</f>
        <v>MDP0000652545</v>
      </c>
      <c r="D9484">
        <v>84.27</v>
      </c>
      <c r="E9484">
        <v>318</v>
      </c>
      <c r="F9484">
        <v>50</v>
      </c>
      <c r="G9484">
        <v>0</v>
      </c>
      <c r="H9484">
        <v>1</v>
      </c>
      <c r="I9484">
        <v>318</v>
      </c>
      <c r="J9484">
        <v>1</v>
      </c>
      <c r="K9484">
        <v>1</v>
      </c>
      <c r="L9484">
        <v>318</v>
      </c>
      <c r="M9484">
        <v>1</v>
      </c>
      <c r="N9484">
        <v>4.3164599999999998E-166</v>
      </c>
      <c r="O9484">
        <v>1497</v>
      </c>
    </row>
    <row r="9485" spans="1:15" x14ac:dyDescent="0.25">
      <c r="A9485" t="s">
        <v>9498</v>
      </c>
      <c r="B9485">
        <v>146</v>
      </c>
      <c r="C9485" s="1" t="str">
        <f>HYPERLINK("http://www.rosaceae.org/gb/gbrowse/malus_x_domestica/?name=MDP0000933400","MDP0000933400")</f>
        <v>MDP0000933400</v>
      </c>
      <c r="D9485">
        <v>78.08</v>
      </c>
      <c r="E9485">
        <v>146</v>
      </c>
      <c r="F9485">
        <v>32</v>
      </c>
      <c r="G9485">
        <v>1</v>
      </c>
      <c r="H9485">
        <v>1</v>
      </c>
      <c r="I9485">
        <v>145</v>
      </c>
      <c r="J9485">
        <v>1</v>
      </c>
      <c r="K9485">
        <v>1</v>
      </c>
      <c r="L9485">
        <v>146</v>
      </c>
      <c r="M9485">
        <v>1</v>
      </c>
      <c r="N9485">
        <v>7.0267900000000005E-63</v>
      </c>
      <c r="O9485">
        <v>601</v>
      </c>
    </row>
    <row r="9486" spans="1:15" x14ac:dyDescent="0.25">
      <c r="A9486" t="s">
        <v>9499</v>
      </c>
      <c r="B9486">
        <v>814</v>
      </c>
      <c r="C9486" s="1" t="str">
        <f>HYPERLINK("http://www.rosaceae.org/gb/gbrowse/malus_x_domestica/?name=MDP0000151537","MDP0000151537")</f>
        <v>MDP0000151537</v>
      </c>
      <c r="D9486">
        <v>66.38</v>
      </c>
      <c r="E9486">
        <v>818</v>
      </c>
      <c r="F9486">
        <v>275</v>
      </c>
      <c r="G9486">
        <v>15</v>
      </c>
      <c r="H9486">
        <v>5</v>
      </c>
      <c r="I9486">
        <v>814</v>
      </c>
      <c r="J9486">
        <v>1</v>
      </c>
      <c r="K9486">
        <v>6</v>
      </c>
      <c r="L9486">
        <v>816</v>
      </c>
      <c r="M9486">
        <v>1</v>
      </c>
      <c r="N9486">
        <v>0</v>
      </c>
      <c r="O9486">
        <v>2758</v>
      </c>
    </row>
    <row r="9487" spans="1:15" x14ac:dyDescent="0.25">
      <c r="A9487" t="s">
        <v>9500</v>
      </c>
      <c r="B9487">
        <v>707</v>
      </c>
      <c r="C9487" s="1" t="str">
        <f>HYPERLINK("http://www.rosaceae.org/gb/gbrowse/malus_x_domestica/?name=MDP0000935652","MDP0000935652")</f>
        <v>MDP0000935652</v>
      </c>
      <c r="D9487">
        <v>55.08</v>
      </c>
      <c r="E9487">
        <v>403</v>
      </c>
      <c r="F9487">
        <v>181</v>
      </c>
      <c r="G9487">
        <v>28</v>
      </c>
      <c r="H9487">
        <v>143</v>
      </c>
      <c r="I9487">
        <v>520</v>
      </c>
      <c r="J9487">
        <v>1</v>
      </c>
      <c r="K9487">
        <v>132</v>
      </c>
      <c r="L9487">
        <v>531</v>
      </c>
      <c r="M9487">
        <v>1</v>
      </c>
      <c r="N9487">
        <v>1.26406E-102</v>
      </c>
      <c r="O9487">
        <v>953</v>
      </c>
    </row>
    <row r="9488" spans="1:15" x14ac:dyDescent="0.25">
      <c r="A9488" t="s">
        <v>9501</v>
      </c>
      <c r="B9488">
        <v>524</v>
      </c>
      <c r="C9488" s="1" t="str">
        <f>HYPERLINK("http://www.rosaceae.org/gb/gbrowse/malus_x_domestica/?name=MDP0000256619","MDP0000256619")</f>
        <v>MDP0000256619</v>
      </c>
      <c r="D9488">
        <v>89.31</v>
      </c>
      <c r="E9488">
        <v>524</v>
      </c>
      <c r="F9488">
        <v>56</v>
      </c>
      <c r="G9488">
        <v>8</v>
      </c>
      <c r="H9488">
        <v>1</v>
      </c>
      <c r="I9488">
        <v>524</v>
      </c>
      <c r="J9488">
        <v>1</v>
      </c>
      <c r="K9488">
        <v>1</v>
      </c>
      <c r="L9488">
        <v>516</v>
      </c>
      <c r="M9488">
        <v>1</v>
      </c>
      <c r="N9488">
        <v>0</v>
      </c>
      <c r="O9488">
        <v>2405</v>
      </c>
    </row>
    <row r="9489" spans="1:15" x14ac:dyDescent="0.25">
      <c r="A9489" t="s">
        <v>9502</v>
      </c>
      <c r="B9489">
        <v>156</v>
      </c>
      <c r="C9489" s="1" t="str">
        <f>HYPERLINK("http://www.rosaceae.org/gb/gbrowse/malus_x_domestica/?name=MDP0000273274","MDP0000273274")</f>
        <v>MDP0000273274</v>
      </c>
      <c r="D9489">
        <v>50.4</v>
      </c>
      <c r="E9489">
        <v>125</v>
      </c>
      <c r="F9489">
        <v>62</v>
      </c>
      <c r="G9489">
        <v>8</v>
      </c>
      <c r="H9489">
        <v>8</v>
      </c>
      <c r="I9489">
        <v>124</v>
      </c>
      <c r="J9489">
        <v>1</v>
      </c>
      <c r="K9489">
        <v>21</v>
      </c>
      <c r="L9489">
        <v>145</v>
      </c>
      <c r="M9489">
        <v>1</v>
      </c>
      <c r="N9489">
        <v>7.9534899999999994E-30</v>
      </c>
      <c r="O9489">
        <v>317</v>
      </c>
    </row>
    <row r="9490" spans="1:15" x14ac:dyDescent="0.25">
      <c r="A9490" t="s">
        <v>9503</v>
      </c>
      <c r="B9490">
        <v>1156</v>
      </c>
      <c r="C9490" s="1" t="str">
        <f>HYPERLINK("http://www.rosaceae.org/gb/gbrowse/malus_x_domestica/?name=MDP0000205545","MDP0000205545")</f>
        <v>MDP0000205545</v>
      </c>
      <c r="D9490">
        <v>70.37</v>
      </c>
      <c r="E9490">
        <v>1080</v>
      </c>
      <c r="F9490">
        <v>320</v>
      </c>
      <c r="G9490">
        <v>52</v>
      </c>
      <c r="H9490">
        <v>1</v>
      </c>
      <c r="I9490">
        <v>1066</v>
      </c>
      <c r="J9490">
        <v>1</v>
      </c>
      <c r="K9490">
        <v>1</v>
      </c>
      <c r="L9490">
        <v>1042</v>
      </c>
      <c r="M9490">
        <v>1</v>
      </c>
      <c r="N9490">
        <v>0</v>
      </c>
      <c r="O9490">
        <v>3749</v>
      </c>
    </row>
    <row r="9491" spans="1:15" x14ac:dyDescent="0.25">
      <c r="A9491" t="s">
        <v>9504</v>
      </c>
      <c r="B9491">
        <v>678</v>
      </c>
      <c r="C9491" s="1" t="str">
        <f>HYPERLINK("http://www.rosaceae.org/gb/gbrowse/malus_x_domestica/?name=MDP0000296691","MDP0000296691")</f>
        <v>MDP0000296691</v>
      </c>
      <c r="D9491">
        <v>31.31</v>
      </c>
      <c r="E9491">
        <v>99</v>
      </c>
      <c r="F9491">
        <v>68</v>
      </c>
      <c r="G9491">
        <v>21</v>
      </c>
      <c r="H9491">
        <v>437</v>
      </c>
      <c r="I9491">
        <v>531</v>
      </c>
      <c r="J9491">
        <v>1</v>
      </c>
      <c r="K9491">
        <v>375</v>
      </c>
      <c r="L9491">
        <v>456</v>
      </c>
      <c r="M9491">
        <v>1</v>
      </c>
      <c r="N9491">
        <v>1.5060199999999999E-7</v>
      </c>
      <c r="O9491">
        <v>133</v>
      </c>
    </row>
    <row r="9492" spans="1:15" x14ac:dyDescent="0.25">
      <c r="A9492" t="s">
        <v>9505</v>
      </c>
      <c r="B9492">
        <v>461</v>
      </c>
      <c r="C9492" s="1" t="str">
        <f>HYPERLINK("http://www.rosaceae.org/gb/gbrowse/malus_x_domestica/?name=MDP0000120376","MDP0000120376")</f>
        <v>MDP0000120376</v>
      </c>
      <c r="D9492">
        <v>80.599999999999994</v>
      </c>
      <c r="E9492">
        <v>464</v>
      </c>
      <c r="F9492">
        <v>90</v>
      </c>
      <c r="G9492">
        <v>8</v>
      </c>
      <c r="H9492">
        <v>1</v>
      </c>
      <c r="I9492">
        <v>461</v>
      </c>
      <c r="J9492">
        <v>1</v>
      </c>
      <c r="K9492">
        <v>1</v>
      </c>
      <c r="L9492">
        <v>459</v>
      </c>
      <c r="M9492">
        <v>1</v>
      </c>
      <c r="N9492">
        <v>0</v>
      </c>
      <c r="O9492">
        <v>1961</v>
      </c>
    </row>
    <row r="9493" spans="1:15" x14ac:dyDescent="0.25">
      <c r="A9493" t="s">
        <v>9506</v>
      </c>
      <c r="B9493">
        <v>1077</v>
      </c>
      <c r="C9493" s="1" t="str">
        <f>HYPERLINK("http://www.rosaceae.org/gb/gbrowse/malus_x_domestica/?name=MDP0000897962","MDP0000897962")</f>
        <v>MDP0000897962</v>
      </c>
      <c r="D9493">
        <v>72.930000000000007</v>
      </c>
      <c r="E9493">
        <v>1075</v>
      </c>
      <c r="F9493">
        <v>291</v>
      </c>
      <c r="G9493">
        <v>5</v>
      </c>
      <c r="H9493">
        <v>1</v>
      </c>
      <c r="I9493">
        <v>1073</v>
      </c>
      <c r="J9493">
        <v>1</v>
      </c>
      <c r="K9493">
        <v>25</v>
      </c>
      <c r="L9493">
        <v>1096</v>
      </c>
      <c r="M9493">
        <v>1</v>
      </c>
      <c r="N9493">
        <v>0</v>
      </c>
      <c r="O9493">
        <v>4097</v>
      </c>
    </row>
    <row r="9494" spans="1:15" x14ac:dyDescent="0.25">
      <c r="A9494" t="s">
        <v>9507</v>
      </c>
      <c r="B9494">
        <v>373</v>
      </c>
      <c r="C9494" s="1" t="str">
        <f>HYPERLINK("http://www.rosaceae.org/gb/gbrowse/malus_x_domestica/?name=MDP0000129333","MDP0000129333")</f>
        <v>MDP0000129333</v>
      </c>
      <c r="D9494">
        <v>68.599999999999994</v>
      </c>
      <c r="E9494">
        <v>309</v>
      </c>
      <c r="F9494">
        <v>97</v>
      </c>
      <c r="G9494">
        <v>23</v>
      </c>
      <c r="H9494">
        <v>86</v>
      </c>
      <c r="I9494">
        <v>373</v>
      </c>
      <c r="J9494">
        <v>1</v>
      </c>
      <c r="K9494">
        <v>82</v>
      </c>
      <c r="L9494">
        <v>388</v>
      </c>
      <c r="M9494">
        <v>1</v>
      </c>
      <c r="N9494">
        <v>1.5393700000000001E-111</v>
      </c>
      <c r="O9494">
        <v>1027</v>
      </c>
    </row>
    <row r="9495" spans="1:15" x14ac:dyDescent="0.25">
      <c r="A9495" t="s">
        <v>9508</v>
      </c>
      <c r="B9495">
        <v>393</v>
      </c>
      <c r="C9495" s="1" t="str">
        <f>HYPERLINK("http://www.rosaceae.org/gb/gbrowse/malus_x_domestica/?name=MDP0000218652","MDP0000218652")</f>
        <v>MDP0000218652</v>
      </c>
      <c r="D9495">
        <v>50.71</v>
      </c>
      <c r="E9495">
        <v>278</v>
      </c>
      <c r="F9495">
        <v>137</v>
      </c>
      <c r="G9495">
        <v>9</v>
      </c>
      <c r="H9495">
        <v>6</v>
      </c>
      <c r="I9495">
        <v>274</v>
      </c>
      <c r="J9495">
        <v>1</v>
      </c>
      <c r="K9495">
        <v>14</v>
      </c>
      <c r="L9495">
        <v>291</v>
      </c>
      <c r="M9495">
        <v>1</v>
      </c>
      <c r="N9495">
        <v>8.4989700000000003E-78</v>
      </c>
      <c r="O9495">
        <v>736</v>
      </c>
    </row>
    <row r="9496" spans="1:15" x14ac:dyDescent="0.25">
      <c r="A9496" t="s">
        <v>9509</v>
      </c>
      <c r="B9496">
        <v>447</v>
      </c>
      <c r="C9496" s="1" t="str">
        <f>HYPERLINK("http://www.rosaceae.org/gb/gbrowse/malus_x_domestica/?name=MDP0000155839","MDP0000155839")</f>
        <v>MDP0000155839</v>
      </c>
      <c r="D9496">
        <v>71.87</v>
      </c>
      <c r="E9496">
        <v>288</v>
      </c>
      <c r="F9496">
        <v>81</v>
      </c>
      <c r="G9496">
        <v>37</v>
      </c>
      <c r="H9496">
        <v>9</v>
      </c>
      <c r="I9496">
        <v>259</v>
      </c>
      <c r="J9496">
        <v>1</v>
      </c>
      <c r="K9496">
        <v>10</v>
      </c>
      <c r="L9496">
        <v>297</v>
      </c>
      <c r="M9496">
        <v>1</v>
      </c>
      <c r="N9496">
        <v>4.1501100000000002E-104</v>
      </c>
      <c r="O9496">
        <v>964</v>
      </c>
    </row>
    <row r="9497" spans="1:15" x14ac:dyDescent="0.25">
      <c r="A9497" t="s">
        <v>9510</v>
      </c>
      <c r="B9497">
        <v>228</v>
      </c>
      <c r="C9497" s="1" t="str">
        <f>HYPERLINK("http://www.rosaceae.org/gb/gbrowse/malus_x_domestica/?name=MDP0000580309","MDP0000580309")</f>
        <v>MDP0000580309</v>
      </c>
      <c r="D9497">
        <v>77.87</v>
      </c>
      <c r="E9497">
        <v>226</v>
      </c>
      <c r="F9497">
        <v>50</v>
      </c>
      <c r="G9497">
        <v>0</v>
      </c>
      <c r="H9497">
        <v>1</v>
      </c>
      <c r="I9497">
        <v>226</v>
      </c>
      <c r="J9497">
        <v>1</v>
      </c>
      <c r="K9497">
        <v>1</v>
      </c>
      <c r="L9497">
        <v>226</v>
      </c>
      <c r="M9497">
        <v>1</v>
      </c>
      <c r="N9497">
        <v>2.8038500000000001E-105</v>
      </c>
      <c r="O9497">
        <v>970</v>
      </c>
    </row>
    <row r="9498" spans="1:15" x14ac:dyDescent="0.25">
      <c r="A9498" t="s">
        <v>9511</v>
      </c>
      <c r="B9498">
        <v>409</v>
      </c>
      <c r="C9498" s="1" t="str">
        <f>HYPERLINK("http://www.rosaceae.org/gb/gbrowse/malus_x_domestica/?name=MDP0000163249","MDP0000163249")</f>
        <v>MDP0000163249</v>
      </c>
      <c r="D9498">
        <v>66.260000000000005</v>
      </c>
      <c r="E9498">
        <v>412</v>
      </c>
      <c r="F9498">
        <v>139</v>
      </c>
      <c r="G9498">
        <v>20</v>
      </c>
      <c r="H9498">
        <v>1</v>
      </c>
      <c r="I9498">
        <v>394</v>
      </c>
      <c r="J9498">
        <v>1</v>
      </c>
      <c r="K9498">
        <v>8</v>
      </c>
      <c r="L9498">
        <v>417</v>
      </c>
      <c r="M9498">
        <v>1</v>
      </c>
      <c r="N9498">
        <v>1.3336000000000001E-153</v>
      </c>
      <c r="O9498">
        <v>1390</v>
      </c>
    </row>
    <row r="9499" spans="1:15" x14ac:dyDescent="0.25">
      <c r="A9499" t="s">
        <v>9512</v>
      </c>
      <c r="B9499">
        <v>127</v>
      </c>
      <c r="C9499" s="1" t="str">
        <f>HYPERLINK("http://www.rosaceae.org/gb/gbrowse/malus_x_domestica/?name=MDP0000166802","MDP0000166802")</f>
        <v>MDP0000166802</v>
      </c>
      <c r="D9499">
        <v>67.02</v>
      </c>
      <c r="E9499">
        <v>94</v>
      </c>
      <c r="F9499">
        <v>31</v>
      </c>
      <c r="G9499">
        <v>0</v>
      </c>
      <c r="H9499">
        <v>7</v>
      </c>
      <c r="I9499">
        <v>100</v>
      </c>
      <c r="J9499">
        <v>1</v>
      </c>
      <c r="K9499">
        <v>139</v>
      </c>
      <c r="L9499">
        <v>232</v>
      </c>
      <c r="M9499">
        <v>1</v>
      </c>
      <c r="N9499">
        <v>5.7671999999999996E-31</v>
      </c>
      <c r="O9499">
        <v>325</v>
      </c>
    </row>
    <row r="9500" spans="1:15" x14ac:dyDescent="0.25">
      <c r="A9500" t="s">
        <v>9513</v>
      </c>
      <c r="B9500">
        <v>1197</v>
      </c>
      <c r="C9500" s="1" t="str">
        <f>HYPERLINK("http://www.rosaceae.org/gb/gbrowse/malus_x_domestica/?name=MDP0000165990","MDP0000165990")</f>
        <v>MDP0000165990</v>
      </c>
      <c r="D9500">
        <v>74.75</v>
      </c>
      <c r="E9500">
        <v>828</v>
      </c>
      <c r="F9500">
        <v>209</v>
      </c>
      <c r="G9500">
        <v>34</v>
      </c>
      <c r="H9500">
        <v>404</v>
      </c>
      <c r="I9500">
        <v>1197</v>
      </c>
      <c r="J9500">
        <v>1</v>
      </c>
      <c r="K9500">
        <v>419</v>
      </c>
      <c r="L9500">
        <v>1246</v>
      </c>
      <c r="M9500">
        <v>1</v>
      </c>
      <c r="N9500">
        <v>0</v>
      </c>
      <c r="O9500">
        <v>3216</v>
      </c>
    </row>
    <row r="9501" spans="1:15" x14ac:dyDescent="0.25">
      <c r="A9501" t="s">
        <v>9514</v>
      </c>
      <c r="B9501">
        <v>369</v>
      </c>
      <c r="C9501" s="1" t="str">
        <f>HYPERLINK("http://www.rosaceae.org/gb/gbrowse/malus_x_domestica/?name=MDP0000264701","MDP0000264701")</f>
        <v>MDP0000264701</v>
      </c>
      <c r="D9501">
        <v>65.099999999999994</v>
      </c>
      <c r="E9501">
        <v>341</v>
      </c>
      <c r="F9501">
        <v>119</v>
      </c>
      <c r="G9501">
        <v>2</v>
      </c>
      <c r="H9501">
        <v>27</v>
      </c>
      <c r="I9501">
        <v>366</v>
      </c>
      <c r="J9501">
        <v>1</v>
      </c>
      <c r="K9501">
        <v>103</v>
      </c>
      <c r="L9501">
        <v>442</v>
      </c>
      <c r="M9501">
        <v>1</v>
      </c>
      <c r="N9501">
        <v>4.5734000000000002E-131</v>
      </c>
      <c r="O9501">
        <v>1195</v>
      </c>
    </row>
    <row r="9502" spans="1:15" x14ac:dyDescent="0.25">
      <c r="A9502" t="s">
        <v>9515</v>
      </c>
      <c r="B9502">
        <v>100</v>
      </c>
      <c r="C9502" s="1" t="str">
        <f>HYPERLINK("http://www.rosaceae.org/gb/gbrowse/malus_x_domestica/?name=MDP0000239951","MDP0000239951")</f>
        <v>MDP0000239951</v>
      </c>
      <c r="D9502">
        <v>55.91</v>
      </c>
      <c r="E9502">
        <v>93</v>
      </c>
      <c r="F9502">
        <v>41</v>
      </c>
      <c r="G9502">
        <v>1</v>
      </c>
      <c r="H9502">
        <v>5</v>
      </c>
      <c r="I9502">
        <v>97</v>
      </c>
      <c r="J9502">
        <v>1</v>
      </c>
      <c r="K9502">
        <v>5</v>
      </c>
      <c r="L9502">
        <v>96</v>
      </c>
      <c r="M9502">
        <v>1</v>
      </c>
      <c r="N9502">
        <v>8.6351099999999996E-23</v>
      </c>
      <c r="O9502">
        <v>254</v>
      </c>
    </row>
    <row r="9503" spans="1:15" x14ac:dyDescent="0.25">
      <c r="A9503" t="s">
        <v>9516</v>
      </c>
      <c r="B9503">
        <v>99</v>
      </c>
      <c r="C9503" s="1" t="str">
        <f>HYPERLINK("http://www.rosaceae.org/gb/gbrowse/malus_x_domestica/?name=MDP0000285243","MDP0000285243")</f>
        <v>MDP0000285243</v>
      </c>
      <c r="D9503">
        <v>68.83</v>
      </c>
      <c r="E9503">
        <v>77</v>
      </c>
      <c r="F9503">
        <v>24</v>
      </c>
      <c r="G9503">
        <v>1</v>
      </c>
      <c r="H9503">
        <v>22</v>
      </c>
      <c r="I9503">
        <v>98</v>
      </c>
      <c r="J9503">
        <v>1</v>
      </c>
      <c r="K9503">
        <v>23</v>
      </c>
      <c r="L9503">
        <v>98</v>
      </c>
      <c r="M9503">
        <v>1</v>
      </c>
      <c r="N9503">
        <v>9.4679599999999999E-24</v>
      </c>
      <c r="O9503">
        <v>262</v>
      </c>
    </row>
    <row r="9504" spans="1:15" x14ac:dyDescent="0.25">
      <c r="A9504" t="s">
        <v>9517</v>
      </c>
      <c r="B9504">
        <v>173</v>
      </c>
      <c r="C9504" s="1" t="str">
        <f>HYPERLINK("http://www.rosaceae.org/gb/gbrowse/malus_x_domestica/?name=MDP0000296953","MDP0000296953")</f>
        <v>MDP0000296953</v>
      </c>
      <c r="D9504">
        <v>44.5</v>
      </c>
      <c r="E9504">
        <v>173</v>
      </c>
      <c r="F9504">
        <v>96</v>
      </c>
      <c r="G9504">
        <v>3</v>
      </c>
      <c r="H9504">
        <v>1</v>
      </c>
      <c r="I9504">
        <v>173</v>
      </c>
      <c r="J9504">
        <v>1</v>
      </c>
      <c r="K9504">
        <v>46</v>
      </c>
      <c r="L9504">
        <v>215</v>
      </c>
      <c r="M9504">
        <v>1</v>
      </c>
      <c r="N9504">
        <v>6.3109399999999996E-36</v>
      </c>
      <c r="O9504">
        <v>370</v>
      </c>
    </row>
    <row r="9505" spans="1:15" x14ac:dyDescent="0.25">
      <c r="A9505" t="s">
        <v>9518</v>
      </c>
      <c r="B9505">
        <v>721</v>
      </c>
      <c r="C9505" s="1" t="str">
        <f>HYPERLINK("http://www.rosaceae.org/gb/gbrowse/malus_x_domestica/?name=MDP0000630739","MDP0000630739")</f>
        <v>MDP0000630739</v>
      </c>
      <c r="D9505">
        <v>59.77</v>
      </c>
      <c r="E9505">
        <v>793</v>
      </c>
      <c r="F9505">
        <v>319</v>
      </c>
      <c r="G9505">
        <v>100</v>
      </c>
      <c r="H9505">
        <v>16</v>
      </c>
      <c r="I9505">
        <v>721</v>
      </c>
      <c r="J9505">
        <v>1</v>
      </c>
      <c r="K9505">
        <v>9</v>
      </c>
      <c r="L9505">
        <v>788</v>
      </c>
      <c r="M9505">
        <v>1</v>
      </c>
      <c r="N9505">
        <v>0</v>
      </c>
      <c r="O9505">
        <v>2433</v>
      </c>
    </row>
    <row r="9506" spans="1:15" x14ac:dyDescent="0.25">
      <c r="A9506" t="s">
        <v>9519</v>
      </c>
      <c r="B9506">
        <v>626</v>
      </c>
      <c r="C9506" s="1" t="str">
        <f>HYPERLINK("http://www.rosaceae.org/gb/gbrowse/malus_x_domestica/?name=MDP0000950664","MDP0000950664")</f>
        <v>MDP0000950664</v>
      </c>
      <c r="D9506">
        <v>65.83</v>
      </c>
      <c r="E9506">
        <v>641</v>
      </c>
      <c r="F9506">
        <v>219</v>
      </c>
      <c r="G9506">
        <v>51</v>
      </c>
      <c r="H9506">
        <v>20</v>
      </c>
      <c r="I9506">
        <v>626</v>
      </c>
      <c r="J9506">
        <v>1</v>
      </c>
      <c r="K9506">
        <v>5</v>
      </c>
      <c r="L9506">
        <v>628</v>
      </c>
      <c r="M9506">
        <v>1</v>
      </c>
      <c r="N9506">
        <v>0</v>
      </c>
      <c r="O9506">
        <v>2111</v>
      </c>
    </row>
    <row r="9507" spans="1:15" x14ac:dyDescent="0.25">
      <c r="A9507" t="s">
        <v>9520</v>
      </c>
      <c r="B9507">
        <v>262</v>
      </c>
      <c r="C9507" s="1" t="str">
        <f>HYPERLINK("http://www.rosaceae.org/gb/gbrowse/malus_x_domestica/?name=MDP0000886900","MDP0000886900")</f>
        <v>MDP0000886900</v>
      </c>
      <c r="D9507">
        <v>41.05</v>
      </c>
      <c r="E9507">
        <v>151</v>
      </c>
      <c r="F9507">
        <v>89</v>
      </c>
      <c r="G9507">
        <v>5</v>
      </c>
      <c r="H9507">
        <v>98</v>
      </c>
      <c r="I9507">
        <v>248</v>
      </c>
      <c r="J9507">
        <v>1</v>
      </c>
      <c r="K9507">
        <v>97</v>
      </c>
      <c r="L9507">
        <v>242</v>
      </c>
      <c r="M9507">
        <v>1</v>
      </c>
      <c r="N9507">
        <v>3.9012199999999998E-32</v>
      </c>
      <c r="O9507">
        <v>340</v>
      </c>
    </row>
    <row r="9508" spans="1:15" x14ac:dyDescent="0.25">
      <c r="A9508" t="s">
        <v>9521</v>
      </c>
      <c r="B9508">
        <v>220</v>
      </c>
      <c r="C9508" s="1" t="str">
        <f>HYPERLINK("http://www.rosaceae.org/gb/gbrowse/malus_x_domestica/?name=MDP0000570901","MDP0000570901")</f>
        <v>MDP0000570901</v>
      </c>
      <c r="D9508">
        <v>47.74</v>
      </c>
      <c r="E9508">
        <v>222</v>
      </c>
      <c r="F9508">
        <v>116</v>
      </c>
      <c r="G9508">
        <v>21</v>
      </c>
      <c r="H9508">
        <v>4</v>
      </c>
      <c r="I9508">
        <v>219</v>
      </c>
      <c r="J9508">
        <v>1</v>
      </c>
      <c r="K9508">
        <v>81</v>
      </c>
      <c r="L9508">
        <v>287</v>
      </c>
      <c r="M9508">
        <v>1</v>
      </c>
      <c r="N9508">
        <v>1.2657399999999999E-48</v>
      </c>
      <c r="O9508">
        <v>482</v>
      </c>
    </row>
    <row r="9509" spans="1:15" x14ac:dyDescent="0.25">
      <c r="A9509" t="s">
        <v>9522</v>
      </c>
      <c r="B9509">
        <v>88</v>
      </c>
      <c r="C9509" s="1" t="str">
        <f>HYPERLINK("http://www.rosaceae.org/gb/gbrowse/malus_x_domestica/?name=MDP0000755159","MDP0000755159")</f>
        <v>MDP0000755159</v>
      </c>
      <c r="D9509">
        <v>31.57</v>
      </c>
      <c r="E9509">
        <v>57</v>
      </c>
      <c r="F9509">
        <v>39</v>
      </c>
      <c r="G9509">
        <v>0</v>
      </c>
      <c r="H9509">
        <v>17</v>
      </c>
      <c r="I9509">
        <v>73</v>
      </c>
      <c r="J9509">
        <v>1</v>
      </c>
      <c r="K9509">
        <v>626</v>
      </c>
      <c r="L9509">
        <v>682</v>
      </c>
      <c r="M9509">
        <v>1</v>
      </c>
      <c r="N9509">
        <v>2.6285400000000001E-7</v>
      </c>
      <c r="O9509">
        <v>120</v>
      </c>
    </row>
    <row r="9510" spans="1:15" x14ac:dyDescent="0.25">
      <c r="A9510" t="s">
        <v>9523</v>
      </c>
      <c r="B9510">
        <v>224</v>
      </c>
      <c r="C9510" s="1" t="str">
        <f>HYPERLINK("http://www.rosaceae.org/gb/gbrowse/malus_x_domestica/?name=MDP0000293414","MDP0000293414")</f>
        <v>MDP0000293414</v>
      </c>
      <c r="D9510">
        <v>33.76</v>
      </c>
      <c r="E9510">
        <v>77</v>
      </c>
      <c r="F9510">
        <v>51</v>
      </c>
      <c r="G9510">
        <v>3</v>
      </c>
      <c r="H9510">
        <v>3</v>
      </c>
      <c r="I9510">
        <v>79</v>
      </c>
      <c r="J9510">
        <v>1</v>
      </c>
      <c r="K9510">
        <v>74</v>
      </c>
      <c r="L9510">
        <v>147</v>
      </c>
      <c r="M9510">
        <v>1</v>
      </c>
      <c r="N9510">
        <v>1.2649099999999999E-7</v>
      </c>
      <c r="O9510">
        <v>128</v>
      </c>
    </row>
    <row r="9511" spans="1:15" x14ac:dyDescent="0.25">
      <c r="A9511" t="s">
        <v>9524</v>
      </c>
      <c r="B9511">
        <v>52</v>
      </c>
      <c r="C9511" s="1" t="str">
        <f>HYPERLINK("http://www.rosaceae.org/gb/gbrowse/malus_x_domestica/?name=MDP0000697285","MDP0000697285")</f>
        <v>MDP0000697285</v>
      </c>
      <c r="D9511">
        <v>75</v>
      </c>
      <c r="E9511">
        <v>40</v>
      </c>
      <c r="F9511">
        <v>10</v>
      </c>
      <c r="G9511">
        <v>0</v>
      </c>
      <c r="H9511">
        <v>13</v>
      </c>
      <c r="I9511">
        <v>52</v>
      </c>
      <c r="J9511">
        <v>1</v>
      </c>
      <c r="K9511">
        <v>112</v>
      </c>
      <c r="L9511">
        <v>151</v>
      </c>
      <c r="M9511">
        <v>1</v>
      </c>
      <c r="N9511">
        <v>5.7880200000000002E-12</v>
      </c>
      <c r="O9511">
        <v>161</v>
      </c>
    </row>
    <row r="9512" spans="1:15" x14ac:dyDescent="0.25">
      <c r="A9512" t="s">
        <v>9525</v>
      </c>
      <c r="B9512">
        <v>277</v>
      </c>
      <c r="C9512" s="1" t="str">
        <f>HYPERLINK("http://www.rosaceae.org/gb/gbrowse/malus_x_domestica/?name=MDP0000195579","MDP0000195579")</f>
        <v>MDP0000195579</v>
      </c>
      <c r="D9512">
        <v>66.89</v>
      </c>
      <c r="E9512">
        <v>296</v>
      </c>
      <c r="F9512">
        <v>98</v>
      </c>
      <c r="G9512">
        <v>23</v>
      </c>
      <c r="H9512">
        <v>1</v>
      </c>
      <c r="I9512">
        <v>277</v>
      </c>
      <c r="J9512">
        <v>1</v>
      </c>
      <c r="K9512">
        <v>1</v>
      </c>
      <c r="L9512">
        <v>292</v>
      </c>
      <c r="M9512">
        <v>1</v>
      </c>
      <c r="N9512">
        <v>1.10844E-100</v>
      </c>
      <c r="O9512">
        <v>932</v>
      </c>
    </row>
    <row r="9513" spans="1:15" x14ac:dyDescent="0.25">
      <c r="A9513" t="s">
        <v>9526</v>
      </c>
      <c r="B9513">
        <v>123</v>
      </c>
      <c r="C9513" s="1" t="str">
        <f>HYPERLINK("http://www.rosaceae.org/gb/gbrowse/malus_x_domestica/?name=MDP0000258129","MDP0000258129")</f>
        <v>MDP0000258129</v>
      </c>
      <c r="D9513">
        <v>53.06</v>
      </c>
      <c r="E9513">
        <v>147</v>
      </c>
      <c r="F9513">
        <v>69</v>
      </c>
      <c r="G9513">
        <v>31</v>
      </c>
      <c r="H9513">
        <v>2</v>
      </c>
      <c r="I9513">
        <v>122</v>
      </c>
      <c r="J9513">
        <v>1</v>
      </c>
      <c r="K9513">
        <v>11</v>
      </c>
      <c r="L9513">
        <v>152</v>
      </c>
      <c r="M9513">
        <v>1</v>
      </c>
      <c r="N9513">
        <v>1.4955600000000001E-24</v>
      </c>
      <c r="O9513">
        <v>269</v>
      </c>
    </row>
    <row r="9514" spans="1:15" x14ac:dyDescent="0.25">
      <c r="A9514" t="s">
        <v>9527</v>
      </c>
      <c r="B9514">
        <v>480</v>
      </c>
      <c r="C9514" s="1" t="str">
        <f>HYPERLINK("http://www.rosaceae.org/gb/gbrowse/malus_x_domestica/?name=MDP0000119645","MDP0000119645")</f>
        <v>MDP0000119645</v>
      </c>
      <c r="D9514">
        <v>56.61</v>
      </c>
      <c r="E9514">
        <v>461</v>
      </c>
      <c r="F9514">
        <v>200</v>
      </c>
      <c r="G9514">
        <v>26</v>
      </c>
      <c r="H9514">
        <v>37</v>
      </c>
      <c r="I9514">
        <v>475</v>
      </c>
      <c r="J9514">
        <v>1</v>
      </c>
      <c r="K9514">
        <v>36</v>
      </c>
      <c r="L9514">
        <v>492</v>
      </c>
      <c r="M9514">
        <v>1</v>
      </c>
      <c r="N9514">
        <v>3.7891499999999998E-133</v>
      </c>
      <c r="O9514">
        <v>1215</v>
      </c>
    </row>
    <row r="9515" spans="1:15" x14ac:dyDescent="0.25">
      <c r="A9515" t="s">
        <v>9528</v>
      </c>
      <c r="B9515">
        <v>392</v>
      </c>
      <c r="C9515" s="1" t="str">
        <f>HYPERLINK("http://www.rosaceae.org/gb/gbrowse/malus_x_domestica/?name=MDP0000151849","MDP0000151849")</f>
        <v>MDP0000151849</v>
      </c>
      <c r="D9515">
        <v>93</v>
      </c>
      <c r="E9515">
        <v>400</v>
      </c>
      <c r="F9515">
        <v>28</v>
      </c>
      <c r="G9515">
        <v>9</v>
      </c>
      <c r="H9515">
        <v>1</v>
      </c>
      <c r="I9515">
        <v>392</v>
      </c>
      <c r="J9515">
        <v>1</v>
      </c>
      <c r="K9515">
        <v>305</v>
      </c>
      <c r="L9515">
        <v>703</v>
      </c>
      <c r="M9515">
        <v>1</v>
      </c>
      <c r="N9515">
        <v>0</v>
      </c>
      <c r="O9515">
        <v>1925</v>
      </c>
    </row>
    <row r="9516" spans="1:15" x14ac:dyDescent="0.25">
      <c r="A9516" t="s">
        <v>9529</v>
      </c>
      <c r="B9516">
        <v>92</v>
      </c>
      <c r="C9516" s="1" t="str">
        <f>HYPERLINK("http://www.rosaceae.org/gb/gbrowse/malus_x_domestica/?name=MDP0000784692","MDP0000784692")</f>
        <v>MDP0000784692</v>
      </c>
      <c r="D9516">
        <v>97.22</v>
      </c>
      <c r="E9516">
        <v>72</v>
      </c>
      <c r="F9516">
        <v>2</v>
      </c>
      <c r="G9516">
        <v>0</v>
      </c>
      <c r="H9516">
        <v>1</v>
      </c>
      <c r="I9516">
        <v>72</v>
      </c>
      <c r="J9516">
        <v>1</v>
      </c>
      <c r="K9516">
        <v>1</v>
      </c>
      <c r="L9516">
        <v>72</v>
      </c>
      <c r="M9516">
        <v>1</v>
      </c>
      <c r="N9516">
        <v>9.1787399999999993E-37</v>
      </c>
      <c r="O9516">
        <v>374</v>
      </c>
    </row>
    <row r="9517" spans="1:15" x14ac:dyDescent="0.25">
      <c r="A9517" t="s">
        <v>9530</v>
      </c>
      <c r="B9517">
        <v>370</v>
      </c>
      <c r="C9517" s="1" t="str">
        <f>HYPERLINK("http://www.rosaceae.org/gb/gbrowse/malus_x_domestica/?name=MDP0000605106","MDP0000605106")</f>
        <v>MDP0000605106</v>
      </c>
      <c r="D9517">
        <v>79.86</v>
      </c>
      <c r="E9517">
        <v>288</v>
      </c>
      <c r="F9517">
        <v>58</v>
      </c>
      <c r="G9517">
        <v>0</v>
      </c>
      <c r="H9517">
        <v>63</v>
      </c>
      <c r="I9517">
        <v>350</v>
      </c>
      <c r="J9517">
        <v>1</v>
      </c>
      <c r="K9517">
        <v>142</v>
      </c>
      <c r="L9517">
        <v>429</v>
      </c>
      <c r="M9517">
        <v>1</v>
      </c>
      <c r="N9517">
        <v>4.5459799999999998E-136</v>
      </c>
      <c r="O9517">
        <v>1238</v>
      </c>
    </row>
    <row r="9518" spans="1:15" x14ac:dyDescent="0.25">
      <c r="A9518" t="s">
        <v>9531</v>
      </c>
      <c r="B9518">
        <v>325</v>
      </c>
      <c r="C9518" s="1" t="str">
        <f>HYPERLINK("http://www.rosaceae.org/gb/gbrowse/malus_x_domestica/?name=MDP0000251858","MDP0000251858")</f>
        <v>MDP0000251858</v>
      </c>
      <c r="D9518">
        <v>72.97</v>
      </c>
      <c r="E9518">
        <v>74</v>
      </c>
      <c r="F9518">
        <v>20</v>
      </c>
      <c r="G9518">
        <v>0</v>
      </c>
      <c r="H9518">
        <v>1</v>
      </c>
      <c r="I9518">
        <v>74</v>
      </c>
      <c r="J9518">
        <v>1</v>
      </c>
      <c r="K9518">
        <v>10</v>
      </c>
      <c r="L9518">
        <v>83</v>
      </c>
      <c r="M9518">
        <v>1</v>
      </c>
      <c r="N9518">
        <v>5.2686800000000003E-21</v>
      </c>
      <c r="O9518">
        <v>246</v>
      </c>
    </row>
    <row r="9519" spans="1:15" x14ac:dyDescent="0.25">
      <c r="A9519" t="s">
        <v>9532</v>
      </c>
      <c r="B9519">
        <v>1167</v>
      </c>
      <c r="C9519" s="1" t="str">
        <f>HYPERLINK("http://www.rosaceae.org/gb/gbrowse/malus_x_domestica/?name=MDP0000320717","MDP0000320717")</f>
        <v>MDP0000320717</v>
      </c>
      <c r="D9519">
        <v>64.069999999999993</v>
      </c>
      <c r="E9519">
        <v>1222</v>
      </c>
      <c r="F9519">
        <v>439</v>
      </c>
      <c r="G9519">
        <v>68</v>
      </c>
      <c r="H9519">
        <v>1</v>
      </c>
      <c r="I9519">
        <v>1167</v>
      </c>
      <c r="J9519">
        <v>1</v>
      </c>
      <c r="K9519">
        <v>1</v>
      </c>
      <c r="L9519">
        <v>1209</v>
      </c>
      <c r="M9519">
        <v>1</v>
      </c>
      <c r="N9519">
        <v>0</v>
      </c>
      <c r="O9519">
        <v>3750</v>
      </c>
    </row>
    <row r="9520" spans="1:15" x14ac:dyDescent="0.25">
      <c r="A9520" t="s">
        <v>9533</v>
      </c>
      <c r="B9520">
        <v>368</v>
      </c>
      <c r="C9520" s="1" t="str">
        <f>HYPERLINK("http://www.rosaceae.org/gb/gbrowse/malus_x_domestica/?name=MDP0000783676","MDP0000783676")</f>
        <v>MDP0000783676</v>
      </c>
      <c r="D9520">
        <v>84.78</v>
      </c>
      <c r="E9520">
        <v>184</v>
      </c>
      <c r="F9520">
        <v>28</v>
      </c>
      <c r="G9520">
        <v>1</v>
      </c>
      <c r="H9520">
        <v>185</v>
      </c>
      <c r="I9520">
        <v>368</v>
      </c>
      <c r="J9520">
        <v>1</v>
      </c>
      <c r="K9520">
        <v>883</v>
      </c>
      <c r="L9520">
        <v>1065</v>
      </c>
      <c r="M9520">
        <v>1</v>
      </c>
      <c r="N9520">
        <v>4.9773099999999997E-85</v>
      </c>
      <c r="O9520">
        <v>798</v>
      </c>
    </row>
    <row r="9521" spans="1:15" x14ac:dyDescent="0.25">
      <c r="A9521" t="s">
        <v>9534</v>
      </c>
      <c r="B9521">
        <v>445</v>
      </c>
      <c r="C9521" s="1" t="str">
        <f>HYPERLINK("http://www.rosaceae.org/gb/gbrowse/malus_x_domestica/?name=MDP0000945834","MDP0000945834")</f>
        <v>MDP0000945834</v>
      </c>
      <c r="D9521">
        <v>66</v>
      </c>
      <c r="E9521">
        <v>450</v>
      </c>
      <c r="F9521">
        <v>153</v>
      </c>
      <c r="G9521">
        <v>12</v>
      </c>
      <c r="H9521">
        <v>1</v>
      </c>
      <c r="I9521">
        <v>445</v>
      </c>
      <c r="J9521">
        <v>1</v>
      </c>
      <c r="K9521">
        <v>1</v>
      </c>
      <c r="L9521">
        <v>443</v>
      </c>
      <c r="M9521">
        <v>1</v>
      </c>
      <c r="N9521">
        <v>3.2135499999999997E-160</v>
      </c>
      <c r="O9521">
        <v>1448</v>
      </c>
    </row>
    <row r="9522" spans="1:15" x14ac:dyDescent="0.25">
      <c r="A9522" t="s">
        <v>9535</v>
      </c>
      <c r="B9522">
        <v>511</v>
      </c>
      <c r="C9522" s="1" t="str">
        <f>HYPERLINK("http://www.rosaceae.org/gb/gbrowse/malus_x_domestica/?name=MDP0000269678","MDP0000269678")</f>
        <v>MDP0000269678</v>
      </c>
      <c r="D9522">
        <v>66.41</v>
      </c>
      <c r="E9522">
        <v>527</v>
      </c>
      <c r="F9522">
        <v>177</v>
      </c>
      <c r="G9522">
        <v>31</v>
      </c>
      <c r="H9522">
        <v>1</v>
      </c>
      <c r="I9522">
        <v>511</v>
      </c>
      <c r="J9522">
        <v>1</v>
      </c>
      <c r="K9522">
        <v>1</v>
      </c>
      <c r="L9522">
        <v>512</v>
      </c>
      <c r="M9522">
        <v>1</v>
      </c>
      <c r="N9522">
        <v>0</v>
      </c>
      <c r="O9522">
        <v>1727</v>
      </c>
    </row>
    <row r="9523" spans="1:15" x14ac:dyDescent="0.25">
      <c r="A9523" t="s">
        <v>9536</v>
      </c>
      <c r="B9523">
        <v>886</v>
      </c>
      <c r="C9523" s="1" t="str">
        <f>HYPERLINK("http://www.rosaceae.org/gb/gbrowse/malus_x_domestica/?name=MDP0000228257","MDP0000228257")</f>
        <v>MDP0000228257</v>
      </c>
      <c r="D9523">
        <v>73.58</v>
      </c>
      <c r="E9523">
        <v>405</v>
      </c>
      <c r="F9523">
        <v>107</v>
      </c>
      <c r="G9523">
        <v>4</v>
      </c>
      <c r="H9523">
        <v>3</v>
      </c>
      <c r="I9523">
        <v>404</v>
      </c>
      <c r="J9523">
        <v>1</v>
      </c>
      <c r="K9523">
        <v>1</v>
      </c>
      <c r="L9523">
        <v>404</v>
      </c>
      <c r="M9523">
        <v>1</v>
      </c>
      <c r="N9523">
        <v>5.9048000000000004E-163</v>
      </c>
      <c r="O9523">
        <v>1474</v>
      </c>
    </row>
    <row r="9524" spans="1:15" x14ac:dyDescent="0.25">
      <c r="A9524" t="s">
        <v>9537</v>
      </c>
      <c r="B9524">
        <v>151</v>
      </c>
      <c r="C9524" s="1" t="str">
        <f>HYPERLINK("http://www.rosaceae.org/gb/gbrowse/malus_x_domestica/?name=MDP0000254726","MDP0000254726")</f>
        <v>MDP0000254726</v>
      </c>
      <c r="D9524">
        <v>38.090000000000003</v>
      </c>
      <c r="E9524">
        <v>105</v>
      </c>
      <c r="F9524">
        <v>65</v>
      </c>
      <c r="G9524">
        <v>0</v>
      </c>
      <c r="H9524">
        <v>22</v>
      </c>
      <c r="I9524">
        <v>126</v>
      </c>
      <c r="J9524">
        <v>1</v>
      </c>
      <c r="K9524">
        <v>1</v>
      </c>
      <c r="L9524">
        <v>105</v>
      </c>
      <c r="M9524">
        <v>1</v>
      </c>
      <c r="N9524">
        <v>7.1809800000000001E-17</v>
      </c>
      <c r="O9524">
        <v>205</v>
      </c>
    </row>
    <row r="9525" spans="1:15" x14ac:dyDescent="0.25">
      <c r="A9525" t="s">
        <v>9538</v>
      </c>
      <c r="B9525">
        <v>139</v>
      </c>
      <c r="C9525" s="1" t="str">
        <f>HYPERLINK("http://www.rosaceae.org/gb/gbrowse/malus_x_domestica/?name=MDP0000309449","MDP0000309449")</f>
        <v>MDP0000309449</v>
      </c>
      <c r="D9525">
        <v>71.94</v>
      </c>
      <c r="E9525">
        <v>139</v>
      </c>
      <c r="F9525">
        <v>39</v>
      </c>
      <c r="G9525">
        <v>11</v>
      </c>
      <c r="H9525">
        <v>1</v>
      </c>
      <c r="I9525">
        <v>129</v>
      </c>
      <c r="J9525">
        <v>1</v>
      </c>
      <c r="K9525">
        <v>35</v>
      </c>
      <c r="L9525">
        <v>172</v>
      </c>
      <c r="M9525">
        <v>1</v>
      </c>
      <c r="N9525">
        <v>3.6113600000000004E-49</v>
      </c>
      <c r="O9525">
        <v>483</v>
      </c>
    </row>
    <row r="9526" spans="1:15" x14ac:dyDescent="0.25">
      <c r="A9526" t="s">
        <v>9539</v>
      </c>
      <c r="B9526">
        <v>293</v>
      </c>
      <c r="C9526" s="1" t="str">
        <f>HYPERLINK("http://www.rosaceae.org/gb/gbrowse/malus_x_domestica/?name=MDP0000321050","MDP0000321050")</f>
        <v>MDP0000321050</v>
      </c>
      <c r="D9526">
        <v>70.900000000000006</v>
      </c>
      <c r="E9526">
        <v>110</v>
      </c>
      <c r="F9526">
        <v>32</v>
      </c>
      <c r="G9526">
        <v>2</v>
      </c>
      <c r="H9526">
        <v>80</v>
      </c>
      <c r="I9526">
        <v>187</v>
      </c>
      <c r="J9526">
        <v>1</v>
      </c>
      <c r="K9526">
        <v>50</v>
      </c>
      <c r="L9526">
        <v>159</v>
      </c>
      <c r="M9526">
        <v>1</v>
      </c>
      <c r="N9526">
        <v>4.0230399999999997E-40</v>
      </c>
      <c r="O9526">
        <v>410</v>
      </c>
    </row>
    <row r="9527" spans="1:15" x14ac:dyDescent="0.25">
      <c r="A9527" t="s">
        <v>9540</v>
      </c>
      <c r="B9527">
        <v>301</v>
      </c>
      <c r="C9527" s="1" t="str">
        <f>HYPERLINK("http://www.rosaceae.org/gb/gbrowse/malus_x_domestica/?name=MDP0000229807","MDP0000229807")</f>
        <v>MDP0000229807</v>
      </c>
      <c r="D9527">
        <v>42.38</v>
      </c>
      <c r="E9527">
        <v>243</v>
      </c>
      <c r="F9527">
        <v>140</v>
      </c>
      <c r="G9527">
        <v>65</v>
      </c>
      <c r="H9527">
        <v>1</v>
      </c>
      <c r="I9527">
        <v>237</v>
      </c>
      <c r="J9527">
        <v>1</v>
      </c>
      <c r="K9527">
        <v>1</v>
      </c>
      <c r="L9527">
        <v>184</v>
      </c>
      <c r="M9527">
        <v>1</v>
      </c>
      <c r="N9527">
        <v>6.9784699999999999E-38</v>
      </c>
      <c r="O9527">
        <v>391</v>
      </c>
    </row>
    <row r="9528" spans="1:15" x14ac:dyDescent="0.25">
      <c r="A9528" t="s">
        <v>9541</v>
      </c>
      <c r="B9528">
        <v>131</v>
      </c>
      <c r="C9528" s="1" t="str">
        <f>HYPERLINK("http://www.rosaceae.org/gb/gbrowse/malus_x_domestica/?name=MDP0000227960","MDP0000227960")</f>
        <v>MDP0000227960</v>
      </c>
      <c r="D9528">
        <v>69.34</v>
      </c>
      <c r="E9528">
        <v>137</v>
      </c>
      <c r="F9528">
        <v>42</v>
      </c>
      <c r="G9528">
        <v>13</v>
      </c>
      <c r="H9528">
        <v>1</v>
      </c>
      <c r="I9528">
        <v>124</v>
      </c>
      <c r="J9528">
        <v>1</v>
      </c>
      <c r="K9528">
        <v>238</v>
      </c>
      <c r="L9528">
        <v>374</v>
      </c>
      <c r="M9528">
        <v>1</v>
      </c>
      <c r="N9528">
        <v>1.9257699999999999E-49</v>
      </c>
      <c r="O9528">
        <v>484</v>
      </c>
    </row>
    <row r="9529" spans="1:15" x14ac:dyDescent="0.25">
      <c r="A9529" t="s">
        <v>9542</v>
      </c>
      <c r="B9529">
        <v>1404</v>
      </c>
      <c r="C9529" s="1" t="str">
        <f>HYPERLINK("http://www.rosaceae.org/gb/gbrowse/malus_x_domestica/?name=MDP0000150776","MDP0000150776")</f>
        <v>MDP0000150776</v>
      </c>
      <c r="D9529">
        <v>68.959999999999994</v>
      </c>
      <c r="E9529">
        <v>1405</v>
      </c>
      <c r="F9529">
        <v>436</v>
      </c>
      <c r="G9529">
        <v>28</v>
      </c>
      <c r="H9529">
        <v>13</v>
      </c>
      <c r="I9529">
        <v>1404</v>
      </c>
      <c r="J9529">
        <v>1</v>
      </c>
      <c r="K9529">
        <v>20</v>
      </c>
      <c r="L9529">
        <v>1409</v>
      </c>
      <c r="M9529">
        <v>1</v>
      </c>
      <c r="N9529">
        <v>0</v>
      </c>
      <c r="O9529">
        <v>4776</v>
      </c>
    </row>
    <row r="9530" spans="1:15" x14ac:dyDescent="0.25">
      <c r="A9530" t="s">
        <v>9543</v>
      </c>
      <c r="B9530">
        <v>185</v>
      </c>
      <c r="C9530" s="1" t="str">
        <f>HYPERLINK("http://www.rosaceae.org/gb/gbrowse/malus_x_domestica/?name=MDP0000322668","MDP0000322668")</f>
        <v>MDP0000322668</v>
      </c>
      <c r="D9530">
        <v>75.540000000000006</v>
      </c>
      <c r="E9530">
        <v>184</v>
      </c>
      <c r="F9530">
        <v>45</v>
      </c>
      <c r="G9530">
        <v>3</v>
      </c>
      <c r="H9530">
        <v>1</v>
      </c>
      <c r="I9530">
        <v>183</v>
      </c>
      <c r="J9530">
        <v>1</v>
      </c>
      <c r="K9530">
        <v>348</v>
      </c>
      <c r="L9530">
        <v>529</v>
      </c>
      <c r="M9530">
        <v>1</v>
      </c>
      <c r="N9530">
        <v>5.2152499999999998E-77</v>
      </c>
      <c r="O9530">
        <v>725</v>
      </c>
    </row>
    <row r="9531" spans="1:15" x14ac:dyDescent="0.25">
      <c r="A9531" t="s">
        <v>9544</v>
      </c>
      <c r="B9531">
        <v>1139</v>
      </c>
      <c r="C9531" s="1" t="str">
        <f>HYPERLINK("http://www.rosaceae.org/gb/gbrowse/malus_x_domestica/?name=MDP0000296712","MDP0000296712")</f>
        <v>MDP0000296712</v>
      </c>
      <c r="D9531">
        <v>58.16</v>
      </c>
      <c r="E9531">
        <v>1114</v>
      </c>
      <c r="F9531">
        <v>466</v>
      </c>
      <c r="G9531">
        <v>10</v>
      </c>
      <c r="H9531">
        <v>30</v>
      </c>
      <c r="I9531">
        <v>1139</v>
      </c>
      <c r="J9531">
        <v>1</v>
      </c>
      <c r="K9531">
        <v>38</v>
      </c>
      <c r="L9531">
        <v>1145</v>
      </c>
      <c r="M9531">
        <v>1</v>
      </c>
      <c r="N9531">
        <v>0</v>
      </c>
      <c r="O9531">
        <v>3204</v>
      </c>
    </row>
    <row r="9532" spans="1:15" x14ac:dyDescent="0.25">
      <c r="A9532" t="s">
        <v>9545</v>
      </c>
      <c r="B9532">
        <v>213</v>
      </c>
      <c r="C9532" s="1" t="str">
        <f>HYPERLINK("http://www.rosaceae.org/gb/gbrowse/malus_x_domestica/?name=MDP0000878773","MDP0000878773")</f>
        <v>MDP0000878773</v>
      </c>
      <c r="D9532">
        <v>57.83</v>
      </c>
      <c r="E9532">
        <v>185</v>
      </c>
      <c r="F9532">
        <v>78</v>
      </c>
      <c r="G9532">
        <v>7</v>
      </c>
      <c r="H9532">
        <v>1</v>
      </c>
      <c r="I9532">
        <v>185</v>
      </c>
      <c r="J9532">
        <v>1</v>
      </c>
      <c r="K9532">
        <v>2</v>
      </c>
      <c r="L9532">
        <v>179</v>
      </c>
      <c r="M9532">
        <v>1</v>
      </c>
      <c r="N9532">
        <v>8.6003000000000003E-54</v>
      </c>
      <c r="O9532">
        <v>526</v>
      </c>
    </row>
    <row r="9533" spans="1:15" x14ac:dyDescent="0.25">
      <c r="A9533" t="s">
        <v>9546</v>
      </c>
      <c r="B9533">
        <v>314</v>
      </c>
      <c r="C9533" s="1" t="str">
        <f>HYPERLINK("http://www.rosaceae.org/gb/gbrowse/malus_x_domestica/?name=MDP0000851580","MDP0000851580")</f>
        <v>MDP0000851580</v>
      </c>
      <c r="D9533">
        <v>74.08</v>
      </c>
      <c r="E9533">
        <v>355</v>
      </c>
      <c r="F9533">
        <v>92</v>
      </c>
      <c r="G9533">
        <v>41</v>
      </c>
      <c r="H9533">
        <v>1</v>
      </c>
      <c r="I9533">
        <v>314</v>
      </c>
      <c r="J9533">
        <v>1</v>
      </c>
      <c r="K9533">
        <v>1</v>
      </c>
      <c r="L9533">
        <v>355</v>
      </c>
      <c r="M9533">
        <v>1</v>
      </c>
      <c r="N9533">
        <v>4.2939999999999998E-148</v>
      </c>
      <c r="O9533">
        <v>1341</v>
      </c>
    </row>
    <row r="9534" spans="1:15" x14ac:dyDescent="0.25">
      <c r="A9534" t="s">
        <v>9547</v>
      </c>
      <c r="B9534">
        <v>361</v>
      </c>
      <c r="C9534" s="1" t="str">
        <f>HYPERLINK("http://www.rosaceae.org/gb/gbrowse/malus_x_domestica/?name=MDP0000274423","MDP0000274423")</f>
        <v>MDP0000274423</v>
      </c>
      <c r="D9534">
        <v>80.599999999999994</v>
      </c>
      <c r="E9534">
        <v>361</v>
      </c>
      <c r="F9534">
        <v>70</v>
      </c>
      <c r="G9534">
        <v>0</v>
      </c>
      <c r="H9534">
        <v>1</v>
      </c>
      <c r="I9534">
        <v>361</v>
      </c>
      <c r="J9534">
        <v>1</v>
      </c>
      <c r="K9534">
        <v>1</v>
      </c>
      <c r="L9534">
        <v>361</v>
      </c>
      <c r="M9534">
        <v>1</v>
      </c>
      <c r="N9534">
        <v>5.3126100000000002E-170</v>
      </c>
      <c r="O9534">
        <v>1531</v>
      </c>
    </row>
    <row r="9535" spans="1:15" x14ac:dyDescent="0.25">
      <c r="A9535" t="s">
        <v>9548</v>
      </c>
      <c r="B9535">
        <v>1193</v>
      </c>
      <c r="C9535" s="1" t="str">
        <f>HYPERLINK("http://www.rosaceae.org/gb/gbrowse/malus_x_domestica/?name=MDP0000158090","MDP0000158090")</f>
        <v>MDP0000158090</v>
      </c>
      <c r="D9535">
        <v>83.29</v>
      </c>
      <c r="E9535">
        <v>1197</v>
      </c>
      <c r="F9535">
        <v>200</v>
      </c>
      <c r="G9535">
        <v>31</v>
      </c>
      <c r="H9535">
        <v>1</v>
      </c>
      <c r="I9535">
        <v>1166</v>
      </c>
      <c r="J9535">
        <v>1</v>
      </c>
      <c r="K9535">
        <v>1</v>
      </c>
      <c r="L9535">
        <v>1197</v>
      </c>
      <c r="M9535">
        <v>1</v>
      </c>
      <c r="N9535">
        <v>0</v>
      </c>
      <c r="O9535">
        <v>5190</v>
      </c>
    </row>
    <row r="9536" spans="1:15" x14ac:dyDescent="0.25">
      <c r="A9536" t="s">
        <v>9549</v>
      </c>
      <c r="B9536">
        <v>464</v>
      </c>
      <c r="C9536" s="1" t="str">
        <f>HYPERLINK("http://www.rosaceae.org/gb/gbrowse/malus_x_domestica/?name=MDP0000296211","MDP0000296211")</f>
        <v>MDP0000296211</v>
      </c>
      <c r="D9536">
        <v>90.66</v>
      </c>
      <c r="E9536">
        <v>418</v>
      </c>
      <c r="F9536">
        <v>39</v>
      </c>
      <c r="G9536">
        <v>0</v>
      </c>
      <c r="H9536">
        <v>1</v>
      </c>
      <c r="I9536">
        <v>418</v>
      </c>
      <c r="J9536">
        <v>1</v>
      </c>
      <c r="K9536">
        <v>1</v>
      </c>
      <c r="L9536">
        <v>418</v>
      </c>
      <c r="M9536">
        <v>1</v>
      </c>
      <c r="N9536">
        <v>0</v>
      </c>
      <c r="O9536">
        <v>2098</v>
      </c>
    </row>
    <row r="9537" spans="1:15" x14ac:dyDescent="0.25">
      <c r="A9537" t="s">
        <v>9550</v>
      </c>
      <c r="B9537">
        <v>422</v>
      </c>
      <c r="C9537" s="1" t="str">
        <f>HYPERLINK("http://www.rosaceae.org/gb/gbrowse/malus_x_domestica/?name=MDP0000211202","MDP0000211202")</f>
        <v>MDP0000211202</v>
      </c>
      <c r="D9537">
        <v>55.47</v>
      </c>
      <c r="E9537">
        <v>429</v>
      </c>
      <c r="F9537">
        <v>191</v>
      </c>
      <c r="G9537">
        <v>39</v>
      </c>
      <c r="H9537">
        <v>15</v>
      </c>
      <c r="I9537">
        <v>409</v>
      </c>
      <c r="J9537">
        <v>1</v>
      </c>
      <c r="K9537">
        <v>18</v>
      </c>
      <c r="L9537">
        <v>441</v>
      </c>
      <c r="M9537">
        <v>1</v>
      </c>
      <c r="N9537">
        <v>3.14985E-125</v>
      </c>
      <c r="O9537">
        <v>1146</v>
      </c>
    </row>
    <row r="9538" spans="1:15" x14ac:dyDescent="0.25">
      <c r="A9538" t="s">
        <v>9551</v>
      </c>
      <c r="B9538">
        <v>447</v>
      </c>
      <c r="C9538" s="1" t="str">
        <f>HYPERLINK("http://www.rosaceae.org/gb/gbrowse/malus_x_domestica/?name=MDP0000253113","MDP0000253113")</f>
        <v>MDP0000253113</v>
      </c>
      <c r="D9538">
        <v>57.71</v>
      </c>
      <c r="E9538">
        <v>447</v>
      </c>
      <c r="F9538">
        <v>189</v>
      </c>
      <c r="G9538">
        <v>6</v>
      </c>
      <c r="H9538">
        <v>1</v>
      </c>
      <c r="I9538">
        <v>447</v>
      </c>
      <c r="J9538">
        <v>1</v>
      </c>
      <c r="K9538">
        <v>1</v>
      </c>
      <c r="L9538">
        <v>441</v>
      </c>
      <c r="M9538">
        <v>1</v>
      </c>
      <c r="N9538">
        <v>1.2032299999999999E-144</v>
      </c>
      <c r="O9538">
        <v>1313</v>
      </c>
    </row>
    <row r="9539" spans="1:15" x14ac:dyDescent="0.25">
      <c r="A9539" t="s">
        <v>9552</v>
      </c>
      <c r="B9539">
        <v>142</v>
      </c>
      <c r="C9539" s="1" t="str">
        <f>HYPERLINK("http://www.rosaceae.org/gb/gbrowse/malus_x_domestica/?name=MDP0000130026","MDP0000130026")</f>
        <v>MDP0000130026</v>
      </c>
      <c r="D9539">
        <v>85</v>
      </c>
      <c r="E9539">
        <v>60</v>
      </c>
      <c r="F9539">
        <v>9</v>
      </c>
      <c r="G9539">
        <v>0</v>
      </c>
      <c r="H9539">
        <v>78</v>
      </c>
      <c r="I9539">
        <v>137</v>
      </c>
      <c r="J9539">
        <v>1</v>
      </c>
      <c r="K9539">
        <v>261</v>
      </c>
      <c r="L9539">
        <v>320</v>
      </c>
      <c r="M9539">
        <v>1</v>
      </c>
      <c r="N9539">
        <v>8.9278499999999998E-23</v>
      </c>
      <c r="O9539">
        <v>255</v>
      </c>
    </row>
    <row r="9540" spans="1:15" x14ac:dyDescent="0.25">
      <c r="A9540" t="s">
        <v>9553</v>
      </c>
      <c r="B9540">
        <v>625</v>
      </c>
      <c r="C9540" s="1" t="str">
        <f>HYPERLINK("http://www.rosaceae.org/gb/gbrowse/malus_x_domestica/?name=MDP0000127560","MDP0000127560")</f>
        <v>MDP0000127560</v>
      </c>
      <c r="D9540">
        <v>66.28</v>
      </c>
      <c r="E9540">
        <v>605</v>
      </c>
      <c r="F9540">
        <v>204</v>
      </c>
      <c r="G9540">
        <v>61</v>
      </c>
      <c r="H9540">
        <v>20</v>
      </c>
      <c r="I9540">
        <v>624</v>
      </c>
      <c r="J9540">
        <v>1</v>
      </c>
      <c r="K9540">
        <v>153</v>
      </c>
      <c r="L9540">
        <v>696</v>
      </c>
      <c r="M9540">
        <v>1</v>
      </c>
      <c r="N9540">
        <v>0</v>
      </c>
      <c r="O9540">
        <v>2079</v>
      </c>
    </row>
    <row r="9541" spans="1:15" x14ac:dyDescent="0.25">
      <c r="A9541" t="s">
        <v>9554</v>
      </c>
      <c r="B9541">
        <v>208</v>
      </c>
      <c r="C9541" s="1" t="str">
        <f>HYPERLINK("http://www.rosaceae.org/gb/gbrowse/malus_x_domestica/?name=MDP0000323552","MDP0000323552")</f>
        <v>MDP0000323552</v>
      </c>
      <c r="D9541">
        <v>66.180000000000007</v>
      </c>
      <c r="E9541">
        <v>207</v>
      </c>
      <c r="F9541">
        <v>70</v>
      </c>
      <c r="G9541">
        <v>4</v>
      </c>
      <c r="H9541">
        <v>1</v>
      </c>
      <c r="I9541">
        <v>207</v>
      </c>
      <c r="J9541">
        <v>1</v>
      </c>
      <c r="K9541">
        <v>59</v>
      </c>
      <c r="L9541">
        <v>261</v>
      </c>
      <c r="M9541">
        <v>1</v>
      </c>
      <c r="N9541">
        <v>8.1170300000000002E-70</v>
      </c>
      <c r="O9541">
        <v>664</v>
      </c>
    </row>
    <row r="9542" spans="1:15" x14ac:dyDescent="0.25">
      <c r="A9542" t="s">
        <v>9555</v>
      </c>
      <c r="B9542">
        <v>1200</v>
      </c>
      <c r="C9542" s="1" t="str">
        <f>HYPERLINK("http://www.rosaceae.org/gb/gbrowse/malus_x_domestica/?name=MDP0000205197","MDP0000205197")</f>
        <v>MDP0000205197</v>
      </c>
      <c r="D9542">
        <v>58.08</v>
      </c>
      <c r="E9542">
        <v>408</v>
      </c>
      <c r="F9542">
        <v>171</v>
      </c>
      <c r="G9542">
        <v>25</v>
      </c>
      <c r="H9542">
        <v>782</v>
      </c>
      <c r="I9542">
        <v>1168</v>
      </c>
      <c r="J9542">
        <v>1</v>
      </c>
      <c r="K9542">
        <v>26</v>
      </c>
      <c r="L9542">
        <v>429</v>
      </c>
      <c r="M9542">
        <v>1</v>
      </c>
      <c r="N9542">
        <v>8.9873299999999992E-127</v>
      </c>
      <c r="O9542">
        <v>1163</v>
      </c>
    </row>
    <row r="9543" spans="1:15" x14ac:dyDescent="0.25">
      <c r="A9543" t="s">
        <v>9556</v>
      </c>
      <c r="B9543">
        <v>414</v>
      </c>
      <c r="C9543" s="1" t="str">
        <f>HYPERLINK("http://www.rosaceae.org/gb/gbrowse/malus_x_domestica/?name=MDP0000285103","MDP0000285103")</f>
        <v>MDP0000285103</v>
      </c>
      <c r="D9543">
        <v>41.45</v>
      </c>
      <c r="E9543">
        <v>398</v>
      </c>
      <c r="F9543">
        <v>233</v>
      </c>
      <c r="G9543">
        <v>54</v>
      </c>
      <c r="H9543">
        <v>9</v>
      </c>
      <c r="I9543">
        <v>388</v>
      </c>
      <c r="J9543">
        <v>1</v>
      </c>
      <c r="K9543">
        <v>13</v>
      </c>
      <c r="L9543">
        <v>374</v>
      </c>
      <c r="M9543">
        <v>1</v>
      </c>
      <c r="N9543">
        <v>6.6635200000000002E-71</v>
      </c>
      <c r="O9543">
        <v>677</v>
      </c>
    </row>
    <row r="9544" spans="1:15" x14ac:dyDescent="0.25">
      <c r="A9544" t="s">
        <v>9557</v>
      </c>
      <c r="B9544">
        <v>442</v>
      </c>
      <c r="C9544" s="1" t="str">
        <f>HYPERLINK("http://www.rosaceae.org/gb/gbrowse/malus_x_domestica/?name=MDP0000524493","MDP0000524493")</f>
        <v>MDP0000524493</v>
      </c>
      <c r="D9544">
        <v>72.55</v>
      </c>
      <c r="E9544">
        <v>430</v>
      </c>
      <c r="F9544">
        <v>118</v>
      </c>
      <c r="G9544">
        <v>7</v>
      </c>
      <c r="H9544">
        <v>14</v>
      </c>
      <c r="I9544">
        <v>442</v>
      </c>
      <c r="J9544">
        <v>1</v>
      </c>
      <c r="K9544">
        <v>17</v>
      </c>
      <c r="L9544">
        <v>440</v>
      </c>
      <c r="M9544">
        <v>1</v>
      </c>
      <c r="N9544">
        <v>3.14395E-176</v>
      </c>
      <c r="O9544">
        <v>1586</v>
      </c>
    </row>
    <row r="9545" spans="1:15" x14ac:dyDescent="0.25">
      <c r="A9545" t="s">
        <v>9558</v>
      </c>
      <c r="B9545">
        <v>429</v>
      </c>
      <c r="C9545" s="1" t="str">
        <f>HYPERLINK("http://www.rosaceae.org/gb/gbrowse/malus_x_domestica/?name=MDP0000293658","MDP0000293658")</f>
        <v>MDP0000293658</v>
      </c>
      <c r="D9545">
        <v>37</v>
      </c>
      <c r="E9545">
        <v>327</v>
      </c>
      <c r="F9545">
        <v>206</v>
      </c>
      <c r="G9545">
        <v>30</v>
      </c>
      <c r="H9545">
        <v>34</v>
      </c>
      <c r="I9545">
        <v>357</v>
      </c>
      <c r="J9545">
        <v>1</v>
      </c>
      <c r="K9545">
        <v>42</v>
      </c>
      <c r="L9545">
        <v>341</v>
      </c>
      <c r="M9545">
        <v>1</v>
      </c>
      <c r="N9545">
        <v>1.7188300000000002E-45</v>
      </c>
      <c r="O9545">
        <v>458</v>
      </c>
    </row>
    <row r="9546" spans="1:15" x14ac:dyDescent="0.25">
      <c r="A9546" t="s">
        <v>9559</v>
      </c>
      <c r="B9546">
        <v>299</v>
      </c>
      <c r="C9546" s="1" t="str">
        <f>HYPERLINK("http://www.rosaceae.org/gb/gbrowse/malus_x_domestica/?name=MDP0000162677","MDP0000162677")</f>
        <v>MDP0000162677</v>
      </c>
      <c r="D9546">
        <v>83.57</v>
      </c>
      <c r="E9546">
        <v>280</v>
      </c>
      <c r="F9546">
        <v>46</v>
      </c>
      <c r="G9546">
        <v>2</v>
      </c>
      <c r="H9546">
        <v>20</v>
      </c>
      <c r="I9546">
        <v>299</v>
      </c>
      <c r="J9546">
        <v>1</v>
      </c>
      <c r="K9546">
        <v>22</v>
      </c>
      <c r="L9546">
        <v>299</v>
      </c>
      <c r="M9546">
        <v>1</v>
      </c>
      <c r="N9546">
        <v>5.6792099999999999E-138</v>
      </c>
      <c r="O9546">
        <v>1254</v>
      </c>
    </row>
    <row r="9547" spans="1:15" x14ac:dyDescent="0.25">
      <c r="A9547" t="s">
        <v>9560</v>
      </c>
      <c r="B9547">
        <v>859</v>
      </c>
      <c r="C9547" s="1" t="str">
        <f>HYPERLINK("http://www.rosaceae.org/gb/gbrowse/malus_x_domestica/?name=MDP0000721019","MDP0000721019")</f>
        <v>MDP0000721019</v>
      </c>
      <c r="D9547">
        <v>48.83</v>
      </c>
      <c r="E9547">
        <v>387</v>
      </c>
      <c r="F9547">
        <v>198</v>
      </c>
      <c r="G9547">
        <v>31</v>
      </c>
      <c r="H9547">
        <v>468</v>
      </c>
      <c r="I9547">
        <v>823</v>
      </c>
      <c r="J9547">
        <v>1</v>
      </c>
      <c r="K9547">
        <v>199</v>
      </c>
      <c r="L9547">
        <v>585</v>
      </c>
      <c r="M9547">
        <v>1</v>
      </c>
      <c r="N9547">
        <v>8.0892299999999996E-106</v>
      </c>
      <c r="O9547">
        <v>981</v>
      </c>
    </row>
    <row r="9548" spans="1:15" x14ac:dyDescent="0.25">
      <c r="A9548" t="s">
        <v>9561</v>
      </c>
      <c r="B9548">
        <v>454</v>
      </c>
      <c r="C9548" s="1" t="str">
        <f>HYPERLINK("http://www.rosaceae.org/gb/gbrowse/malus_x_domestica/?name=MDP0000638691","MDP0000638691")</f>
        <v>MDP0000638691</v>
      </c>
      <c r="D9548">
        <v>56.43</v>
      </c>
      <c r="E9548">
        <v>466</v>
      </c>
      <c r="F9548">
        <v>203</v>
      </c>
      <c r="G9548">
        <v>18</v>
      </c>
      <c r="H9548">
        <v>7</v>
      </c>
      <c r="I9548">
        <v>454</v>
      </c>
      <c r="J9548">
        <v>1</v>
      </c>
      <c r="K9548">
        <v>9</v>
      </c>
      <c r="L9548">
        <v>474</v>
      </c>
      <c r="M9548">
        <v>1</v>
      </c>
      <c r="N9548">
        <v>1.00457E-146</v>
      </c>
      <c r="O9548">
        <v>1331</v>
      </c>
    </row>
    <row r="9549" spans="1:15" x14ac:dyDescent="0.25">
      <c r="A9549" t="s">
        <v>9562</v>
      </c>
      <c r="B9549">
        <v>1188</v>
      </c>
      <c r="C9549" s="1" t="str">
        <f>HYPERLINK("http://www.rosaceae.org/gb/gbrowse/malus_x_domestica/?name=MDP0000318637","MDP0000318637")</f>
        <v>MDP0000318637</v>
      </c>
      <c r="D9549">
        <v>48.1</v>
      </c>
      <c r="E9549">
        <v>395</v>
      </c>
      <c r="F9549">
        <v>205</v>
      </c>
      <c r="G9549">
        <v>59</v>
      </c>
      <c r="H9549">
        <v>338</v>
      </c>
      <c r="I9549">
        <v>689</v>
      </c>
      <c r="J9549">
        <v>1</v>
      </c>
      <c r="K9549">
        <v>20</v>
      </c>
      <c r="L9549">
        <v>398</v>
      </c>
      <c r="M9549">
        <v>1</v>
      </c>
      <c r="N9549">
        <v>2.21471E-85</v>
      </c>
      <c r="O9549">
        <v>806</v>
      </c>
    </row>
    <row r="9550" spans="1:15" x14ac:dyDescent="0.25">
      <c r="A9550" t="s">
        <v>9563</v>
      </c>
      <c r="B9550">
        <v>403</v>
      </c>
      <c r="C9550" s="1" t="str">
        <f>HYPERLINK("http://www.rosaceae.org/gb/gbrowse/malus_x_domestica/?name=MDP0000320472","MDP0000320472")</f>
        <v>MDP0000320472</v>
      </c>
      <c r="D9550">
        <v>70.900000000000006</v>
      </c>
      <c r="E9550">
        <v>299</v>
      </c>
      <c r="F9550">
        <v>87</v>
      </c>
      <c r="G9550">
        <v>3</v>
      </c>
      <c r="H9550">
        <v>1</v>
      </c>
      <c r="I9550">
        <v>298</v>
      </c>
      <c r="J9550">
        <v>1</v>
      </c>
      <c r="K9550">
        <v>56</v>
      </c>
      <c r="L9550">
        <v>352</v>
      </c>
      <c r="M9550">
        <v>1</v>
      </c>
      <c r="N9550">
        <v>4.0475899999999998E-111</v>
      </c>
      <c r="O9550">
        <v>1024</v>
      </c>
    </row>
    <row r="9551" spans="1:15" x14ac:dyDescent="0.25">
      <c r="A9551" t="s">
        <v>9564</v>
      </c>
      <c r="B9551">
        <v>167</v>
      </c>
      <c r="C9551" s="1" t="str">
        <f>HYPERLINK("http://www.rosaceae.org/gb/gbrowse/malus_x_domestica/?name=MDP0000534116","MDP0000534116")</f>
        <v>MDP0000534116</v>
      </c>
      <c r="D9551">
        <v>71.75</v>
      </c>
      <c r="E9551">
        <v>131</v>
      </c>
      <c r="F9551">
        <v>37</v>
      </c>
      <c r="G9551">
        <v>2</v>
      </c>
      <c r="H9551">
        <v>28</v>
      </c>
      <c r="I9551">
        <v>158</v>
      </c>
      <c r="J9551">
        <v>1</v>
      </c>
      <c r="K9551">
        <v>319</v>
      </c>
      <c r="L9551">
        <v>447</v>
      </c>
      <c r="M9551">
        <v>1</v>
      </c>
      <c r="N9551">
        <v>6.7426199999999997E-46</v>
      </c>
      <c r="O9551">
        <v>456</v>
      </c>
    </row>
    <row r="9552" spans="1:15" x14ac:dyDescent="0.25">
      <c r="A9552" t="s">
        <v>9565</v>
      </c>
      <c r="B9552">
        <v>490</v>
      </c>
      <c r="C9552" s="1" t="str">
        <f>HYPERLINK("http://www.rosaceae.org/gb/gbrowse/malus_x_domestica/?name=MDP0000163774","MDP0000163774")</f>
        <v>MDP0000163774</v>
      </c>
      <c r="D9552">
        <v>48.48</v>
      </c>
      <c r="E9552">
        <v>66</v>
      </c>
      <c r="F9552">
        <v>34</v>
      </c>
      <c r="G9552">
        <v>0</v>
      </c>
      <c r="H9552">
        <v>238</v>
      </c>
      <c r="I9552">
        <v>303</v>
      </c>
      <c r="J9552">
        <v>1</v>
      </c>
      <c r="K9552">
        <v>73</v>
      </c>
      <c r="L9552">
        <v>138</v>
      </c>
      <c r="M9552">
        <v>1</v>
      </c>
      <c r="N9552">
        <v>6.3762700000000003E-12</v>
      </c>
      <c r="O9552">
        <v>169</v>
      </c>
    </row>
    <row r="9553" spans="1:15" x14ac:dyDescent="0.25">
      <c r="A9553" t="s">
        <v>9566</v>
      </c>
      <c r="B9553">
        <v>304</v>
      </c>
      <c r="C9553" s="1" t="str">
        <f>HYPERLINK("http://www.rosaceae.org/gb/gbrowse/malus_x_domestica/?name=MDP0000757637","MDP0000757637")</f>
        <v>MDP0000757637</v>
      </c>
      <c r="D9553">
        <v>60</v>
      </c>
      <c r="E9553">
        <v>140</v>
      </c>
      <c r="F9553">
        <v>56</v>
      </c>
      <c r="G9553">
        <v>5</v>
      </c>
      <c r="H9553">
        <v>128</v>
      </c>
      <c r="I9553">
        <v>262</v>
      </c>
      <c r="J9553">
        <v>1</v>
      </c>
      <c r="K9553">
        <v>28</v>
      </c>
      <c r="L9553">
        <v>167</v>
      </c>
      <c r="M9553">
        <v>1</v>
      </c>
      <c r="N9553">
        <v>1.10241E-37</v>
      </c>
      <c r="O9553">
        <v>389</v>
      </c>
    </row>
    <row r="9554" spans="1:15" x14ac:dyDescent="0.25">
      <c r="A9554" t="s">
        <v>9567</v>
      </c>
      <c r="B9554">
        <v>612</v>
      </c>
      <c r="C9554" s="1" t="str">
        <f>HYPERLINK("http://www.rosaceae.org/gb/gbrowse/malus_x_domestica/?name=MDP0000729320","MDP0000729320")</f>
        <v>MDP0000729320</v>
      </c>
      <c r="D9554">
        <v>67.88</v>
      </c>
      <c r="E9554">
        <v>439</v>
      </c>
      <c r="F9554">
        <v>141</v>
      </c>
      <c r="G9554">
        <v>0</v>
      </c>
      <c r="H9554">
        <v>7</v>
      </c>
      <c r="I9554">
        <v>445</v>
      </c>
      <c r="J9554">
        <v>1</v>
      </c>
      <c r="K9554">
        <v>4</v>
      </c>
      <c r="L9554">
        <v>442</v>
      </c>
      <c r="M9554">
        <v>1</v>
      </c>
      <c r="N9554">
        <v>7.1042400000000005E-179</v>
      </c>
      <c r="O9554">
        <v>1610</v>
      </c>
    </row>
    <row r="9555" spans="1:15" x14ac:dyDescent="0.25">
      <c r="A9555" t="s">
        <v>9568</v>
      </c>
      <c r="B9555">
        <v>235</v>
      </c>
      <c r="C9555" s="1" t="str">
        <f>HYPERLINK("http://www.rosaceae.org/gb/gbrowse/malus_x_domestica/?name=MDP0000208135","MDP0000208135")</f>
        <v>MDP0000208135</v>
      </c>
      <c r="D9555">
        <v>54.22</v>
      </c>
      <c r="E9555">
        <v>142</v>
      </c>
      <c r="F9555">
        <v>65</v>
      </c>
      <c r="G9555">
        <v>17</v>
      </c>
      <c r="H9555">
        <v>1</v>
      </c>
      <c r="I9555">
        <v>125</v>
      </c>
      <c r="J9555">
        <v>1</v>
      </c>
      <c r="K9555">
        <v>1</v>
      </c>
      <c r="L9555">
        <v>142</v>
      </c>
      <c r="M9555">
        <v>1</v>
      </c>
      <c r="N9555">
        <v>1.6697999999999999E-33</v>
      </c>
      <c r="O9555">
        <v>352</v>
      </c>
    </row>
    <row r="9556" spans="1:15" x14ac:dyDescent="0.25">
      <c r="A9556" t="s">
        <v>9569</v>
      </c>
      <c r="B9556">
        <v>300</v>
      </c>
      <c r="C9556" s="1" t="str">
        <f>HYPERLINK("http://www.rosaceae.org/gb/gbrowse/malus_x_domestica/?name=MDP0000843352","MDP0000843352")</f>
        <v>MDP0000843352</v>
      </c>
      <c r="D9556">
        <v>50.33</v>
      </c>
      <c r="E9556">
        <v>296</v>
      </c>
      <c r="F9556">
        <v>147</v>
      </c>
      <c r="G9556">
        <v>29</v>
      </c>
      <c r="H9556">
        <v>30</v>
      </c>
      <c r="I9556">
        <v>298</v>
      </c>
      <c r="J9556">
        <v>1</v>
      </c>
      <c r="K9556">
        <v>27</v>
      </c>
      <c r="L9556">
        <v>320</v>
      </c>
      <c r="M9556">
        <v>1</v>
      </c>
      <c r="N9556">
        <v>7.7849800000000002E-75</v>
      </c>
      <c r="O9556">
        <v>709</v>
      </c>
    </row>
    <row r="9557" spans="1:15" x14ac:dyDescent="0.25">
      <c r="A9557" t="s">
        <v>9570</v>
      </c>
      <c r="B9557">
        <v>555</v>
      </c>
      <c r="C9557" s="1" t="str">
        <f>HYPERLINK("http://www.rosaceae.org/gb/gbrowse/malus_x_domestica/?name=MDP0000210036","MDP0000210036")</f>
        <v>MDP0000210036</v>
      </c>
      <c r="D9557">
        <v>71.010000000000005</v>
      </c>
      <c r="E9557">
        <v>383</v>
      </c>
      <c r="F9557">
        <v>111</v>
      </c>
      <c r="G9557">
        <v>4</v>
      </c>
      <c r="H9557">
        <v>4</v>
      </c>
      <c r="I9557">
        <v>383</v>
      </c>
      <c r="J9557">
        <v>1</v>
      </c>
      <c r="K9557">
        <v>540</v>
      </c>
      <c r="L9557">
        <v>921</v>
      </c>
      <c r="M9557">
        <v>1</v>
      </c>
      <c r="N9557">
        <v>7.5469799999999994E-160</v>
      </c>
      <c r="O9557">
        <v>1445</v>
      </c>
    </row>
    <row r="9558" spans="1:15" x14ac:dyDescent="0.25">
      <c r="A9558" t="s">
        <v>9571</v>
      </c>
      <c r="B9558">
        <v>605</v>
      </c>
      <c r="C9558" s="1" t="str">
        <f>HYPERLINK("http://www.rosaceae.org/gb/gbrowse/malus_x_domestica/?name=MDP0000814899","MDP0000814899")</f>
        <v>MDP0000814899</v>
      </c>
      <c r="D9558">
        <v>73.099999999999994</v>
      </c>
      <c r="E9558">
        <v>554</v>
      </c>
      <c r="F9558">
        <v>149</v>
      </c>
      <c r="G9558">
        <v>8</v>
      </c>
      <c r="H9558">
        <v>3</v>
      </c>
      <c r="I9558">
        <v>555</v>
      </c>
      <c r="J9558">
        <v>1</v>
      </c>
      <c r="K9558">
        <v>246</v>
      </c>
      <c r="L9558">
        <v>792</v>
      </c>
      <c r="M9558">
        <v>1</v>
      </c>
      <c r="N9558">
        <v>0</v>
      </c>
      <c r="O9558">
        <v>2165</v>
      </c>
    </row>
    <row r="9559" spans="1:15" x14ac:dyDescent="0.25">
      <c r="A9559" t="s">
        <v>9572</v>
      </c>
      <c r="B9559">
        <v>392</v>
      </c>
      <c r="C9559" s="1" t="str">
        <f>HYPERLINK("http://www.rosaceae.org/gb/gbrowse/malus_x_domestica/?name=MDP0000774306","MDP0000774306")</f>
        <v>MDP0000774306</v>
      </c>
      <c r="D9559">
        <v>44.68</v>
      </c>
      <c r="E9559">
        <v>367</v>
      </c>
      <c r="F9559">
        <v>203</v>
      </c>
      <c r="G9559">
        <v>34</v>
      </c>
      <c r="H9559">
        <v>1</v>
      </c>
      <c r="I9559">
        <v>364</v>
      </c>
      <c r="J9559">
        <v>1</v>
      </c>
      <c r="K9559">
        <v>1</v>
      </c>
      <c r="L9559">
        <v>336</v>
      </c>
      <c r="M9559">
        <v>1</v>
      </c>
      <c r="N9559">
        <v>5.9743699999999997E-73</v>
      </c>
      <c r="O9559">
        <v>694</v>
      </c>
    </row>
    <row r="9560" spans="1:15" x14ac:dyDescent="0.25">
      <c r="A9560" t="s">
        <v>9573</v>
      </c>
      <c r="B9560">
        <v>228</v>
      </c>
      <c r="C9560" s="1" t="str">
        <f>HYPERLINK("http://www.rosaceae.org/gb/gbrowse/malus_x_domestica/?name=MDP0000865060","MDP0000865060")</f>
        <v>MDP0000865060</v>
      </c>
      <c r="D9560">
        <v>81.25</v>
      </c>
      <c r="E9560">
        <v>208</v>
      </c>
      <c r="F9560">
        <v>39</v>
      </c>
      <c r="G9560">
        <v>1</v>
      </c>
      <c r="H9560">
        <v>21</v>
      </c>
      <c r="I9560">
        <v>228</v>
      </c>
      <c r="J9560">
        <v>1</v>
      </c>
      <c r="K9560">
        <v>25</v>
      </c>
      <c r="L9560">
        <v>231</v>
      </c>
      <c r="M9560">
        <v>1</v>
      </c>
      <c r="N9560">
        <v>4.4138400000000001E-94</v>
      </c>
      <c r="O9560">
        <v>874</v>
      </c>
    </row>
    <row r="9561" spans="1:15" x14ac:dyDescent="0.25">
      <c r="A9561" t="s">
        <v>9574</v>
      </c>
      <c r="B9561">
        <v>122</v>
      </c>
      <c r="C9561" s="1" t="str">
        <f>HYPERLINK("http://www.rosaceae.org/gb/gbrowse/malus_x_domestica/?name=MDP0000878764","MDP0000878764")</f>
        <v>MDP0000878764</v>
      </c>
      <c r="D9561">
        <v>66</v>
      </c>
      <c r="E9561">
        <v>100</v>
      </c>
      <c r="F9561">
        <v>34</v>
      </c>
      <c r="G9561">
        <v>1</v>
      </c>
      <c r="H9561">
        <v>22</v>
      </c>
      <c r="I9561">
        <v>121</v>
      </c>
      <c r="J9561">
        <v>1</v>
      </c>
      <c r="K9561">
        <v>21</v>
      </c>
      <c r="L9561">
        <v>119</v>
      </c>
      <c r="M9561">
        <v>1</v>
      </c>
      <c r="N9561">
        <v>2.26992E-36</v>
      </c>
      <c r="O9561">
        <v>371</v>
      </c>
    </row>
    <row r="9562" spans="1:15" x14ac:dyDescent="0.25">
      <c r="A9562" t="s">
        <v>9575</v>
      </c>
      <c r="B9562">
        <v>182</v>
      </c>
      <c r="C9562" s="1" t="str">
        <f>HYPERLINK("http://www.rosaceae.org/gb/gbrowse/malus_x_domestica/?name=MDP0000197775","MDP0000197775")</f>
        <v>MDP0000197775</v>
      </c>
      <c r="D9562">
        <v>65.069999999999993</v>
      </c>
      <c r="E9562">
        <v>189</v>
      </c>
      <c r="F9562">
        <v>66</v>
      </c>
      <c r="G9562">
        <v>10</v>
      </c>
      <c r="H9562">
        <v>1</v>
      </c>
      <c r="I9562">
        <v>182</v>
      </c>
      <c r="J9562">
        <v>1</v>
      </c>
      <c r="K9562">
        <v>1</v>
      </c>
      <c r="L9562">
        <v>186</v>
      </c>
      <c r="M9562">
        <v>1</v>
      </c>
      <c r="N9562">
        <v>3.2794199999999997E-61</v>
      </c>
      <c r="O9562">
        <v>589</v>
      </c>
    </row>
    <row r="9563" spans="1:15" x14ac:dyDescent="0.25">
      <c r="A9563" t="s">
        <v>9576</v>
      </c>
      <c r="B9563">
        <v>507</v>
      </c>
      <c r="C9563" s="1" t="str">
        <f>HYPERLINK("http://www.rosaceae.org/gb/gbrowse/malus_x_domestica/?name=MDP0000128287","MDP0000128287")</f>
        <v>MDP0000128287</v>
      </c>
      <c r="D9563">
        <v>77.5</v>
      </c>
      <c r="E9563">
        <v>329</v>
      </c>
      <c r="F9563">
        <v>74</v>
      </c>
      <c r="G9563">
        <v>8</v>
      </c>
      <c r="H9563">
        <v>104</v>
      </c>
      <c r="I9563">
        <v>432</v>
      </c>
      <c r="J9563">
        <v>1</v>
      </c>
      <c r="K9563">
        <v>1</v>
      </c>
      <c r="L9563">
        <v>321</v>
      </c>
      <c r="M9563">
        <v>1</v>
      </c>
      <c r="N9563">
        <v>2.4174700000000001E-147</v>
      </c>
      <c r="O9563">
        <v>1337</v>
      </c>
    </row>
    <row r="9564" spans="1:15" x14ac:dyDescent="0.25">
      <c r="A9564" t="s">
        <v>9577</v>
      </c>
      <c r="B9564">
        <v>598</v>
      </c>
      <c r="C9564" s="1" t="str">
        <f>HYPERLINK("http://www.rosaceae.org/gb/gbrowse/malus_x_domestica/?name=MDP0000611897","MDP0000611897")</f>
        <v>MDP0000611897</v>
      </c>
      <c r="D9564">
        <v>82.65</v>
      </c>
      <c r="E9564">
        <v>588</v>
      </c>
      <c r="F9564">
        <v>102</v>
      </c>
      <c r="G9564">
        <v>24</v>
      </c>
      <c r="H9564">
        <v>24</v>
      </c>
      <c r="I9564">
        <v>595</v>
      </c>
      <c r="J9564">
        <v>1</v>
      </c>
      <c r="K9564">
        <v>26</v>
      </c>
      <c r="L9564">
        <v>605</v>
      </c>
      <c r="M9564">
        <v>1</v>
      </c>
      <c r="N9564">
        <v>0</v>
      </c>
      <c r="O9564">
        <v>2498</v>
      </c>
    </row>
    <row r="9565" spans="1:15" x14ac:dyDescent="0.25">
      <c r="A9565" t="s">
        <v>9578</v>
      </c>
      <c r="B9565">
        <v>129</v>
      </c>
      <c r="C9565" s="1" t="str">
        <f>HYPERLINK("http://www.rosaceae.org/gb/gbrowse/malus_x_domestica/?name=MDP0000070128","MDP0000070128")</f>
        <v>MDP0000070128</v>
      </c>
      <c r="D9565">
        <v>81.53</v>
      </c>
      <c r="E9565">
        <v>130</v>
      </c>
      <c r="F9565">
        <v>24</v>
      </c>
      <c r="G9565">
        <v>1</v>
      </c>
      <c r="H9565">
        <v>1</v>
      </c>
      <c r="I9565">
        <v>129</v>
      </c>
      <c r="J9565">
        <v>1</v>
      </c>
      <c r="K9565">
        <v>1</v>
      </c>
      <c r="L9565">
        <v>130</v>
      </c>
      <c r="M9565">
        <v>1</v>
      </c>
      <c r="N9565">
        <v>8.7168800000000002E-59</v>
      </c>
      <c r="O9565">
        <v>565</v>
      </c>
    </row>
    <row r="9566" spans="1:15" x14ac:dyDescent="0.25">
      <c r="A9566" t="s">
        <v>9579</v>
      </c>
      <c r="B9566">
        <v>273</v>
      </c>
      <c r="C9566" s="1" t="str">
        <f>HYPERLINK("http://www.rosaceae.org/gb/gbrowse/malus_x_domestica/?name=MDP0000503248","MDP0000503248")</f>
        <v>MDP0000503248</v>
      </c>
      <c r="D9566">
        <v>65.599999999999994</v>
      </c>
      <c r="E9566">
        <v>125</v>
      </c>
      <c r="F9566">
        <v>43</v>
      </c>
      <c r="G9566">
        <v>2</v>
      </c>
      <c r="H9566">
        <v>37</v>
      </c>
      <c r="I9566">
        <v>159</v>
      </c>
      <c r="J9566">
        <v>1</v>
      </c>
      <c r="K9566">
        <v>52</v>
      </c>
      <c r="L9566">
        <v>176</v>
      </c>
      <c r="M9566">
        <v>1</v>
      </c>
      <c r="N9566">
        <v>5.1534200000000005E-44</v>
      </c>
      <c r="O9566">
        <v>443</v>
      </c>
    </row>
    <row r="9567" spans="1:15" x14ac:dyDescent="0.25">
      <c r="A9567" t="s">
        <v>9580</v>
      </c>
      <c r="B9567">
        <v>158</v>
      </c>
      <c r="C9567" s="1" t="str">
        <f>HYPERLINK("http://www.rosaceae.org/gb/gbrowse/malus_x_domestica/?name=MDP0000203143","MDP0000203143")</f>
        <v>MDP0000203143</v>
      </c>
      <c r="D9567">
        <v>54.43</v>
      </c>
      <c r="E9567">
        <v>158</v>
      </c>
      <c r="F9567">
        <v>72</v>
      </c>
      <c r="G9567">
        <v>1</v>
      </c>
      <c r="H9567">
        <v>1</v>
      </c>
      <c r="I9567">
        <v>158</v>
      </c>
      <c r="J9567">
        <v>1</v>
      </c>
      <c r="K9567">
        <v>359</v>
      </c>
      <c r="L9567">
        <v>515</v>
      </c>
      <c r="M9567">
        <v>1</v>
      </c>
      <c r="N9567">
        <v>1.7186400000000001E-44</v>
      </c>
      <c r="O9567">
        <v>443</v>
      </c>
    </row>
    <row r="9568" spans="1:15" x14ac:dyDescent="0.25">
      <c r="A9568" t="s">
        <v>9581</v>
      </c>
      <c r="B9568">
        <v>305</v>
      </c>
      <c r="C9568" s="1" t="str">
        <f>HYPERLINK("http://www.rosaceae.org/gb/gbrowse/malus_x_domestica/?name=MDP0000430422","MDP0000430422")</f>
        <v>MDP0000430422</v>
      </c>
      <c r="D9568">
        <v>46.47</v>
      </c>
      <c r="E9568">
        <v>71</v>
      </c>
      <c r="F9568">
        <v>38</v>
      </c>
      <c r="G9568">
        <v>9</v>
      </c>
      <c r="H9568">
        <v>77</v>
      </c>
      <c r="I9568">
        <v>147</v>
      </c>
      <c r="J9568">
        <v>1</v>
      </c>
      <c r="K9568">
        <v>138</v>
      </c>
      <c r="L9568">
        <v>199</v>
      </c>
      <c r="M9568">
        <v>1</v>
      </c>
      <c r="N9568">
        <v>3.03992E-9</v>
      </c>
      <c r="O9568">
        <v>144</v>
      </c>
    </row>
    <row r="9569" spans="1:15" x14ac:dyDescent="0.25">
      <c r="A9569" t="s">
        <v>9582</v>
      </c>
      <c r="B9569">
        <v>315</v>
      </c>
      <c r="C9569" s="1" t="str">
        <f>HYPERLINK("http://www.rosaceae.org/gb/gbrowse/malus_x_domestica/?name=MDP0000247951","MDP0000247951")</f>
        <v>MDP0000247951</v>
      </c>
      <c r="D9569">
        <v>55.09</v>
      </c>
      <c r="E9569">
        <v>314</v>
      </c>
      <c r="F9569">
        <v>141</v>
      </c>
      <c r="G9569">
        <v>16</v>
      </c>
      <c r="H9569">
        <v>1</v>
      </c>
      <c r="I9569">
        <v>308</v>
      </c>
      <c r="J9569">
        <v>1</v>
      </c>
      <c r="K9569">
        <v>1</v>
      </c>
      <c r="L9569">
        <v>304</v>
      </c>
      <c r="M9569">
        <v>1</v>
      </c>
      <c r="N9569">
        <v>2.0838199999999998E-68</v>
      </c>
      <c r="O9569">
        <v>654</v>
      </c>
    </row>
    <row r="9570" spans="1:15" x14ac:dyDescent="0.25">
      <c r="A9570" t="s">
        <v>9583</v>
      </c>
      <c r="B9570">
        <v>243</v>
      </c>
      <c r="C9570" s="1" t="str">
        <f>HYPERLINK("http://www.rosaceae.org/gb/gbrowse/malus_x_domestica/?name=MDP0000933400","MDP0000933400")</f>
        <v>MDP0000933400</v>
      </c>
      <c r="D9570">
        <v>85.93</v>
      </c>
      <c r="E9570">
        <v>128</v>
      </c>
      <c r="F9570">
        <v>18</v>
      </c>
      <c r="G9570">
        <v>0</v>
      </c>
      <c r="H9570">
        <v>18</v>
      </c>
      <c r="I9570">
        <v>145</v>
      </c>
      <c r="J9570">
        <v>1</v>
      </c>
      <c r="K9570">
        <v>19</v>
      </c>
      <c r="L9570">
        <v>146</v>
      </c>
      <c r="M9570">
        <v>1</v>
      </c>
      <c r="N9570">
        <v>1.1437099999999999E-61</v>
      </c>
      <c r="O9570">
        <v>595</v>
      </c>
    </row>
    <row r="9571" spans="1:15" x14ac:dyDescent="0.25">
      <c r="A9571" t="s">
        <v>9584</v>
      </c>
      <c r="B9571">
        <v>163</v>
      </c>
      <c r="C9571" s="1" t="str">
        <f>HYPERLINK("http://www.rosaceae.org/gb/gbrowse/malus_x_domestica/?name=MDP0000195787","MDP0000195787")</f>
        <v>MDP0000195787</v>
      </c>
      <c r="D9571">
        <v>40.31</v>
      </c>
      <c r="E9571">
        <v>129</v>
      </c>
      <c r="F9571">
        <v>77</v>
      </c>
      <c r="G9571">
        <v>17</v>
      </c>
      <c r="H9571">
        <v>34</v>
      </c>
      <c r="I9571">
        <v>151</v>
      </c>
      <c r="J9571">
        <v>1</v>
      </c>
      <c r="K9571">
        <v>33</v>
      </c>
      <c r="L9571">
        <v>155</v>
      </c>
      <c r="M9571">
        <v>1</v>
      </c>
      <c r="N9571">
        <v>8.4675399999999997E-16</v>
      </c>
      <c r="O9571">
        <v>196</v>
      </c>
    </row>
    <row r="9572" spans="1:15" x14ac:dyDescent="0.25">
      <c r="A9572" t="s">
        <v>9585</v>
      </c>
      <c r="B9572">
        <v>318</v>
      </c>
      <c r="C9572" s="1" t="str">
        <f>HYPERLINK("http://www.rosaceae.org/gb/gbrowse/malus_x_domestica/?name=MDP0000156907","MDP0000156907")</f>
        <v>MDP0000156907</v>
      </c>
      <c r="D9572">
        <v>72.64</v>
      </c>
      <c r="E9572">
        <v>234</v>
      </c>
      <c r="F9572">
        <v>64</v>
      </c>
      <c r="G9572">
        <v>0</v>
      </c>
      <c r="H9572">
        <v>3</v>
      </c>
      <c r="I9572">
        <v>236</v>
      </c>
      <c r="J9572">
        <v>1</v>
      </c>
      <c r="K9572">
        <v>39</v>
      </c>
      <c r="L9572">
        <v>272</v>
      </c>
      <c r="M9572">
        <v>1</v>
      </c>
      <c r="N9572">
        <v>3.09917E-100</v>
      </c>
      <c r="O9572">
        <v>929</v>
      </c>
    </row>
    <row r="9573" spans="1:15" x14ac:dyDescent="0.25">
      <c r="A9573" t="s">
        <v>9586</v>
      </c>
      <c r="B9573">
        <v>332</v>
      </c>
      <c r="C9573" s="1" t="str">
        <f>HYPERLINK("http://www.rosaceae.org/gb/gbrowse/malus_x_domestica/?name=MDP0000821699","MDP0000821699")</f>
        <v>MDP0000821699</v>
      </c>
      <c r="D9573">
        <v>86.75</v>
      </c>
      <c r="E9573">
        <v>234</v>
      </c>
      <c r="F9573">
        <v>31</v>
      </c>
      <c r="G9573">
        <v>11</v>
      </c>
      <c r="H9573">
        <v>110</v>
      </c>
      <c r="I9573">
        <v>332</v>
      </c>
      <c r="J9573">
        <v>1</v>
      </c>
      <c r="K9573">
        <v>71</v>
      </c>
      <c r="L9573">
        <v>304</v>
      </c>
      <c r="M9573">
        <v>1</v>
      </c>
      <c r="N9573">
        <v>4.2898300000000001E-118</v>
      </c>
      <c r="O9573">
        <v>1083</v>
      </c>
    </row>
    <row r="9574" spans="1:15" x14ac:dyDescent="0.25">
      <c r="A9574" t="s">
        <v>9587</v>
      </c>
      <c r="B9574">
        <v>516</v>
      </c>
      <c r="C9574" s="1" t="str">
        <f>HYPERLINK("http://www.rosaceae.org/gb/gbrowse/malus_x_domestica/?name=MDP0000270336","MDP0000270336")</f>
        <v>MDP0000270336</v>
      </c>
      <c r="D9574">
        <v>53.4</v>
      </c>
      <c r="E9574">
        <v>88</v>
      </c>
      <c r="F9574">
        <v>41</v>
      </c>
      <c r="G9574">
        <v>3</v>
      </c>
      <c r="H9574">
        <v>54</v>
      </c>
      <c r="I9574">
        <v>139</v>
      </c>
      <c r="J9574">
        <v>1</v>
      </c>
      <c r="K9574">
        <v>15</v>
      </c>
      <c r="L9574">
        <v>101</v>
      </c>
      <c r="M9574">
        <v>1</v>
      </c>
      <c r="N9574">
        <v>1.58122E-19</v>
      </c>
      <c r="O9574">
        <v>235</v>
      </c>
    </row>
    <row r="9575" spans="1:15" x14ac:dyDescent="0.25">
      <c r="A9575" t="s">
        <v>9588</v>
      </c>
      <c r="B9575">
        <v>137</v>
      </c>
      <c r="C9575" s="1" t="str">
        <f>HYPERLINK("http://www.rosaceae.org/gb/gbrowse/malus_x_domestica/?name=MDP0000873667","MDP0000873667")</f>
        <v>MDP0000873667</v>
      </c>
      <c r="D9575">
        <v>69.44</v>
      </c>
      <c r="E9575">
        <v>72</v>
      </c>
      <c r="F9575">
        <v>22</v>
      </c>
      <c r="G9575">
        <v>0</v>
      </c>
      <c r="H9575">
        <v>54</v>
      </c>
      <c r="I9575">
        <v>125</v>
      </c>
      <c r="J9575">
        <v>1</v>
      </c>
      <c r="K9575">
        <v>160</v>
      </c>
      <c r="L9575">
        <v>231</v>
      </c>
      <c r="M9575">
        <v>1</v>
      </c>
      <c r="N9575">
        <v>1.02985E-25</v>
      </c>
      <c r="O9575">
        <v>280</v>
      </c>
    </row>
    <row r="9576" spans="1:15" x14ac:dyDescent="0.25">
      <c r="A9576" t="s">
        <v>9589</v>
      </c>
      <c r="B9576">
        <v>171</v>
      </c>
      <c r="C9576" s="1" t="str">
        <f>HYPERLINK("http://www.rosaceae.org/gb/gbrowse/malus_x_domestica/?name=MDP0000259849","MDP0000259849")</f>
        <v>MDP0000259849</v>
      </c>
      <c r="D9576">
        <v>33.6</v>
      </c>
      <c r="E9576">
        <v>122</v>
      </c>
      <c r="F9576">
        <v>81</v>
      </c>
      <c r="G9576">
        <v>1</v>
      </c>
      <c r="H9576">
        <v>49</v>
      </c>
      <c r="I9576">
        <v>170</v>
      </c>
      <c r="J9576">
        <v>1</v>
      </c>
      <c r="K9576">
        <v>513</v>
      </c>
      <c r="L9576">
        <v>633</v>
      </c>
      <c r="M9576">
        <v>1</v>
      </c>
      <c r="N9576">
        <v>5.68783E-16</v>
      </c>
      <c r="O9576">
        <v>198</v>
      </c>
    </row>
    <row r="9577" spans="1:15" x14ac:dyDescent="0.25">
      <c r="A9577" t="s">
        <v>9590</v>
      </c>
      <c r="B9577">
        <v>455</v>
      </c>
      <c r="C9577" s="1" t="str">
        <f>HYPERLINK("http://www.rosaceae.org/gb/gbrowse/malus_x_domestica/?name=MDP0000247921","MDP0000247921")</f>
        <v>MDP0000247921</v>
      </c>
      <c r="D9577">
        <v>21.13</v>
      </c>
      <c r="E9577">
        <v>492</v>
      </c>
      <c r="F9577">
        <v>388</v>
      </c>
      <c r="G9577">
        <v>123</v>
      </c>
      <c r="H9577">
        <v>2</v>
      </c>
      <c r="I9577">
        <v>416</v>
      </c>
      <c r="J9577">
        <v>1</v>
      </c>
      <c r="K9577">
        <v>682</v>
      </c>
      <c r="L9577">
        <v>1127</v>
      </c>
      <c r="M9577">
        <v>1</v>
      </c>
      <c r="N9577">
        <v>3.4765599999999999E-18</v>
      </c>
      <c r="O9577">
        <v>223</v>
      </c>
    </row>
    <row r="9578" spans="1:15" x14ac:dyDescent="0.25">
      <c r="A9578" t="s">
        <v>9591</v>
      </c>
      <c r="B9578">
        <v>1017</v>
      </c>
      <c r="C9578" s="1" t="str">
        <f>HYPERLINK("http://www.rosaceae.org/gb/gbrowse/malus_x_domestica/?name=MDP0000121454","MDP0000121454")</f>
        <v>MDP0000121454</v>
      </c>
      <c r="D9578">
        <v>72.239999999999995</v>
      </c>
      <c r="E9578">
        <v>490</v>
      </c>
      <c r="F9578">
        <v>136</v>
      </c>
      <c r="G9578">
        <v>62</v>
      </c>
      <c r="H9578">
        <v>1</v>
      </c>
      <c r="I9578">
        <v>440</v>
      </c>
      <c r="J9578">
        <v>1</v>
      </c>
      <c r="K9578">
        <v>1</v>
      </c>
      <c r="L9578">
        <v>478</v>
      </c>
      <c r="M9578">
        <v>1</v>
      </c>
      <c r="N9578">
        <v>0</v>
      </c>
      <c r="O9578">
        <v>1768</v>
      </c>
    </row>
    <row r="9579" spans="1:15" x14ac:dyDescent="0.25">
      <c r="A9579" t="s">
        <v>9592</v>
      </c>
      <c r="B9579">
        <v>128</v>
      </c>
      <c r="C9579" s="1" t="str">
        <f>HYPERLINK("http://www.rosaceae.org/gb/gbrowse/malus_x_domestica/?name=MDP0000531576","MDP0000531576")</f>
        <v>MDP0000531576</v>
      </c>
      <c r="D9579">
        <v>75.78</v>
      </c>
      <c r="E9579">
        <v>128</v>
      </c>
      <c r="F9579">
        <v>31</v>
      </c>
      <c r="G9579">
        <v>2</v>
      </c>
      <c r="H9579">
        <v>1</v>
      </c>
      <c r="I9579">
        <v>128</v>
      </c>
      <c r="J9579">
        <v>1</v>
      </c>
      <c r="K9579">
        <v>1</v>
      </c>
      <c r="L9579">
        <v>126</v>
      </c>
      <c r="M9579">
        <v>1</v>
      </c>
      <c r="N9579">
        <v>5.1983499999999997E-52</v>
      </c>
      <c r="O9579">
        <v>506</v>
      </c>
    </row>
    <row r="9580" spans="1:15" x14ac:dyDescent="0.25">
      <c r="A9580" t="s">
        <v>9593</v>
      </c>
      <c r="B9580">
        <v>318</v>
      </c>
      <c r="C9580" s="1" t="str">
        <f>HYPERLINK("http://www.rosaceae.org/gb/gbrowse/malus_x_domestica/?name=MDP0000416255","MDP0000416255")</f>
        <v>MDP0000416255</v>
      </c>
      <c r="D9580">
        <v>89.87</v>
      </c>
      <c r="E9580">
        <v>316</v>
      </c>
      <c r="F9580">
        <v>32</v>
      </c>
      <c r="G9580">
        <v>0</v>
      </c>
      <c r="H9580">
        <v>1</v>
      </c>
      <c r="I9580">
        <v>316</v>
      </c>
      <c r="J9580">
        <v>1</v>
      </c>
      <c r="K9580">
        <v>1</v>
      </c>
      <c r="L9580">
        <v>316</v>
      </c>
      <c r="M9580">
        <v>1</v>
      </c>
      <c r="N9580">
        <v>3.4427999999999997E-169</v>
      </c>
      <c r="O9580">
        <v>1523</v>
      </c>
    </row>
    <row r="9581" spans="1:15" x14ac:dyDescent="0.25">
      <c r="A9581" t="s">
        <v>9594</v>
      </c>
      <c r="B9581">
        <v>350</v>
      </c>
      <c r="C9581" s="1" t="str">
        <f>HYPERLINK("http://www.rosaceae.org/gb/gbrowse/malus_x_domestica/?name=MDP0000218652","MDP0000218652")</f>
        <v>MDP0000218652</v>
      </c>
      <c r="D9581">
        <v>68.89</v>
      </c>
      <c r="E9581">
        <v>344</v>
      </c>
      <c r="F9581">
        <v>107</v>
      </c>
      <c r="G9581">
        <v>25</v>
      </c>
      <c r="H9581">
        <v>3</v>
      </c>
      <c r="I9581">
        <v>345</v>
      </c>
      <c r="J9581">
        <v>1</v>
      </c>
      <c r="K9581">
        <v>4</v>
      </c>
      <c r="L9581">
        <v>323</v>
      </c>
      <c r="M9581">
        <v>1</v>
      </c>
      <c r="N9581">
        <v>1.0508399999999999E-138</v>
      </c>
      <c r="O9581">
        <v>1261</v>
      </c>
    </row>
    <row r="9582" spans="1:15" x14ac:dyDescent="0.25">
      <c r="A9582" t="s">
        <v>9595</v>
      </c>
      <c r="B9582">
        <v>61</v>
      </c>
      <c r="C9582" s="1" t="str">
        <f>HYPERLINK("http://www.rosaceae.org/gb/gbrowse/malus_x_domestica/?name=MDP0000921515","MDP0000921515")</f>
        <v>MDP0000921515</v>
      </c>
      <c r="D9582">
        <v>87.17</v>
      </c>
      <c r="E9582">
        <v>39</v>
      </c>
      <c r="F9582">
        <v>5</v>
      </c>
      <c r="G9582">
        <v>0</v>
      </c>
      <c r="H9582">
        <v>1</v>
      </c>
      <c r="I9582">
        <v>39</v>
      </c>
      <c r="J9582">
        <v>1</v>
      </c>
      <c r="K9582">
        <v>1</v>
      </c>
      <c r="L9582">
        <v>39</v>
      </c>
      <c r="M9582">
        <v>1</v>
      </c>
      <c r="N9582">
        <v>4.5346E-15</v>
      </c>
      <c r="O9582">
        <v>187</v>
      </c>
    </row>
    <row r="9583" spans="1:15" x14ac:dyDescent="0.25">
      <c r="A9583" t="s">
        <v>9596</v>
      </c>
      <c r="B9583">
        <v>184</v>
      </c>
      <c r="C9583" s="1" t="str">
        <f>HYPERLINK("http://www.rosaceae.org/gb/gbrowse/malus_x_domestica/?name=MDP0000300536","MDP0000300536")</f>
        <v>MDP0000300536</v>
      </c>
      <c r="D9583">
        <v>58.82</v>
      </c>
      <c r="E9583">
        <v>170</v>
      </c>
      <c r="F9583">
        <v>70</v>
      </c>
      <c r="G9583">
        <v>1</v>
      </c>
      <c r="H9583">
        <v>11</v>
      </c>
      <c r="I9583">
        <v>180</v>
      </c>
      <c r="J9583">
        <v>1</v>
      </c>
      <c r="K9583">
        <v>680</v>
      </c>
      <c r="L9583">
        <v>848</v>
      </c>
      <c r="M9583">
        <v>1</v>
      </c>
      <c r="N9583">
        <v>2.53485E-51</v>
      </c>
      <c r="O9583">
        <v>504</v>
      </c>
    </row>
    <row r="9584" spans="1:15" x14ac:dyDescent="0.25">
      <c r="A9584" t="s">
        <v>9597</v>
      </c>
      <c r="B9584">
        <v>404</v>
      </c>
      <c r="C9584" s="1" t="str">
        <f>HYPERLINK("http://www.rosaceae.org/gb/gbrowse/malus_x_domestica/?name=MDP0000193364","MDP0000193364")</f>
        <v>MDP0000193364</v>
      </c>
      <c r="D9584">
        <v>57.1</v>
      </c>
      <c r="E9584">
        <v>338</v>
      </c>
      <c r="F9584">
        <v>145</v>
      </c>
      <c r="G9584">
        <v>15</v>
      </c>
      <c r="H9584">
        <v>9</v>
      </c>
      <c r="I9584">
        <v>333</v>
      </c>
      <c r="J9584">
        <v>1</v>
      </c>
      <c r="K9584">
        <v>110</v>
      </c>
      <c r="L9584">
        <v>445</v>
      </c>
      <c r="M9584">
        <v>1</v>
      </c>
      <c r="N9584">
        <v>2.3802199999999999E-112</v>
      </c>
      <c r="O9584">
        <v>1034</v>
      </c>
    </row>
    <row r="9585" spans="1:15" x14ac:dyDescent="0.25">
      <c r="A9585" t="s">
        <v>9598</v>
      </c>
      <c r="B9585">
        <v>696</v>
      </c>
      <c r="C9585" s="1" t="str">
        <f>HYPERLINK("http://www.rosaceae.org/gb/gbrowse/malus_x_domestica/?name=MDP0000241323","MDP0000241323")</f>
        <v>MDP0000241323</v>
      </c>
      <c r="D9585">
        <v>72.150000000000006</v>
      </c>
      <c r="E9585">
        <v>553</v>
      </c>
      <c r="F9585">
        <v>154</v>
      </c>
      <c r="G9585">
        <v>11</v>
      </c>
      <c r="H9585">
        <v>35</v>
      </c>
      <c r="I9585">
        <v>583</v>
      </c>
      <c r="J9585">
        <v>1</v>
      </c>
      <c r="K9585">
        <v>7</v>
      </c>
      <c r="L9585">
        <v>552</v>
      </c>
      <c r="M9585">
        <v>1</v>
      </c>
      <c r="N9585">
        <v>0</v>
      </c>
      <c r="O9585">
        <v>1993</v>
      </c>
    </row>
    <row r="9586" spans="1:15" x14ac:dyDescent="0.25">
      <c r="A9586" t="s">
        <v>9599</v>
      </c>
      <c r="B9586">
        <v>137</v>
      </c>
      <c r="C9586" s="1" t="str">
        <f>HYPERLINK("http://www.rosaceae.org/gb/gbrowse/malus_x_domestica/?name=MDP0000250663","MDP0000250663")</f>
        <v>MDP0000250663</v>
      </c>
      <c r="D9586">
        <v>56.36</v>
      </c>
      <c r="E9586">
        <v>110</v>
      </c>
      <c r="F9586">
        <v>48</v>
      </c>
      <c r="G9586">
        <v>6</v>
      </c>
      <c r="H9586">
        <v>29</v>
      </c>
      <c r="I9586">
        <v>137</v>
      </c>
      <c r="J9586">
        <v>1</v>
      </c>
      <c r="K9586">
        <v>34</v>
      </c>
      <c r="L9586">
        <v>138</v>
      </c>
      <c r="M9586">
        <v>1</v>
      </c>
      <c r="N9586">
        <v>1.6829300000000001E-29</v>
      </c>
      <c r="O9586">
        <v>313</v>
      </c>
    </row>
    <row r="9587" spans="1:15" x14ac:dyDescent="0.25">
      <c r="A9587" t="s">
        <v>9600</v>
      </c>
      <c r="B9587">
        <v>390</v>
      </c>
      <c r="C9587" s="1" t="str">
        <f>HYPERLINK("http://www.rosaceae.org/gb/gbrowse/malus_x_domestica/?name=MDP0000249523","MDP0000249523")</f>
        <v>MDP0000249523</v>
      </c>
      <c r="D9587">
        <v>42.26</v>
      </c>
      <c r="E9587">
        <v>97</v>
      </c>
      <c r="F9587">
        <v>56</v>
      </c>
      <c r="G9587">
        <v>11</v>
      </c>
      <c r="H9587">
        <v>12</v>
      </c>
      <c r="I9587">
        <v>106</v>
      </c>
      <c r="J9587">
        <v>1</v>
      </c>
      <c r="K9587">
        <v>107</v>
      </c>
      <c r="L9587">
        <v>194</v>
      </c>
      <c r="M9587">
        <v>1</v>
      </c>
      <c r="N9587">
        <v>5.696E-12</v>
      </c>
      <c r="O9587">
        <v>169</v>
      </c>
    </row>
    <row r="9588" spans="1:15" x14ac:dyDescent="0.25">
      <c r="A9588" t="s">
        <v>9601</v>
      </c>
      <c r="B9588">
        <v>319</v>
      </c>
      <c r="C9588" s="1" t="str">
        <f>HYPERLINK("http://www.rosaceae.org/gb/gbrowse/malus_x_domestica/?name=MDP0000933010","MDP0000933010")</f>
        <v>MDP0000933010</v>
      </c>
      <c r="D9588">
        <v>92.28</v>
      </c>
      <c r="E9588">
        <v>324</v>
      </c>
      <c r="F9588">
        <v>25</v>
      </c>
      <c r="G9588">
        <v>5</v>
      </c>
      <c r="H9588">
        <v>1</v>
      </c>
      <c r="I9588">
        <v>319</v>
      </c>
      <c r="J9588">
        <v>1</v>
      </c>
      <c r="K9588">
        <v>1</v>
      </c>
      <c r="L9588">
        <v>324</v>
      </c>
      <c r="M9588">
        <v>1</v>
      </c>
      <c r="N9588">
        <v>5.8861799999999998E-177</v>
      </c>
      <c r="O9588">
        <v>1590</v>
      </c>
    </row>
    <row r="9589" spans="1:15" x14ac:dyDescent="0.25">
      <c r="A9589" t="s">
        <v>9602</v>
      </c>
      <c r="B9589">
        <v>390</v>
      </c>
      <c r="C9589" s="1" t="str">
        <f>HYPERLINK("http://www.rosaceae.org/gb/gbrowse/malus_x_domestica/?name=MDP0000313425","MDP0000313425")</f>
        <v>MDP0000313425</v>
      </c>
      <c r="D9589">
        <v>74.27</v>
      </c>
      <c r="E9589">
        <v>451</v>
      </c>
      <c r="F9589">
        <v>116</v>
      </c>
      <c r="G9589">
        <v>61</v>
      </c>
      <c r="H9589">
        <v>1</v>
      </c>
      <c r="I9589">
        <v>390</v>
      </c>
      <c r="J9589">
        <v>1</v>
      </c>
      <c r="K9589">
        <v>1</v>
      </c>
      <c r="L9589">
        <v>451</v>
      </c>
      <c r="M9589">
        <v>1</v>
      </c>
      <c r="N9589">
        <v>0</v>
      </c>
      <c r="O9589">
        <v>1749</v>
      </c>
    </row>
    <row r="9590" spans="1:15" x14ac:dyDescent="0.25">
      <c r="A9590" t="s">
        <v>9603</v>
      </c>
      <c r="B9590">
        <v>566</v>
      </c>
      <c r="C9590" s="1" t="str">
        <f>HYPERLINK("http://www.rosaceae.org/gb/gbrowse/malus_x_domestica/?name=MDP0000233598","MDP0000233598")</f>
        <v>MDP0000233598</v>
      </c>
      <c r="D9590">
        <v>29.03</v>
      </c>
      <c r="E9590">
        <v>248</v>
      </c>
      <c r="F9590">
        <v>176</v>
      </c>
      <c r="G9590">
        <v>10</v>
      </c>
      <c r="H9590">
        <v>123</v>
      </c>
      <c r="I9590">
        <v>368</v>
      </c>
      <c r="J9590">
        <v>1</v>
      </c>
      <c r="K9590">
        <v>223</v>
      </c>
      <c r="L9590">
        <v>462</v>
      </c>
      <c r="M9590">
        <v>1</v>
      </c>
      <c r="N9590">
        <v>7.0265800000000003E-30</v>
      </c>
      <c r="O9590">
        <v>325</v>
      </c>
    </row>
    <row r="9591" spans="1:15" x14ac:dyDescent="0.25">
      <c r="A9591" t="s">
        <v>9604</v>
      </c>
      <c r="B9591">
        <v>356</v>
      </c>
      <c r="C9591" s="1" t="str">
        <f>HYPERLINK("http://www.rosaceae.org/gb/gbrowse/malus_x_domestica/?name=MDP0000265388","MDP0000265388")</f>
        <v>MDP0000265388</v>
      </c>
      <c r="D9591">
        <v>73.069999999999993</v>
      </c>
      <c r="E9591">
        <v>260</v>
      </c>
      <c r="F9591">
        <v>70</v>
      </c>
      <c r="G9591">
        <v>34</v>
      </c>
      <c r="H9591">
        <v>88</v>
      </c>
      <c r="I9591">
        <v>347</v>
      </c>
      <c r="J9591">
        <v>1</v>
      </c>
      <c r="K9591">
        <v>77</v>
      </c>
      <c r="L9591">
        <v>302</v>
      </c>
      <c r="M9591">
        <v>1</v>
      </c>
      <c r="N9591">
        <v>1.7629E-108</v>
      </c>
      <c r="O9591">
        <v>1000</v>
      </c>
    </row>
    <row r="9592" spans="1:15" x14ac:dyDescent="0.25">
      <c r="A9592" t="s">
        <v>9605</v>
      </c>
      <c r="B9592">
        <v>254</v>
      </c>
      <c r="C9592" s="1" t="str">
        <f>HYPERLINK("http://www.rosaceae.org/gb/gbrowse/malus_x_domestica/?name=MDP0000518168","MDP0000518168")</f>
        <v>MDP0000518168</v>
      </c>
      <c r="D9592">
        <v>51.2</v>
      </c>
      <c r="E9592">
        <v>125</v>
      </c>
      <c r="F9592">
        <v>61</v>
      </c>
      <c r="G9592">
        <v>0</v>
      </c>
      <c r="H9592">
        <v>105</v>
      </c>
      <c r="I9592">
        <v>229</v>
      </c>
      <c r="J9592">
        <v>1</v>
      </c>
      <c r="K9592">
        <v>273</v>
      </c>
      <c r="L9592">
        <v>397</v>
      </c>
      <c r="M9592">
        <v>1</v>
      </c>
      <c r="N9592">
        <v>4.0977900000000001E-32</v>
      </c>
      <c r="O9592">
        <v>340</v>
      </c>
    </row>
    <row r="9593" spans="1:15" x14ac:dyDescent="0.25">
      <c r="A9593" t="s">
        <v>9606</v>
      </c>
      <c r="B9593">
        <v>177</v>
      </c>
      <c r="C9593" s="1" t="str">
        <f>HYPERLINK("http://www.rosaceae.org/gb/gbrowse/malus_x_domestica/?name=MDP0000286673","MDP0000286673")</f>
        <v>MDP0000286673</v>
      </c>
      <c r="D9593">
        <v>67.180000000000007</v>
      </c>
      <c r="E9593">
        <v>64</v>
      </c>
      <c r="F9593">
        <v>21</v>
      </c>
      <c r="G9593">
        <v>0</v>
      </c>
      <c r="H9593">
        <v>102</v>
      </c>
      <c r="I9593">
        <v>165</v>
      </c>
      <c r="J9593">
        <v>1</v>
      </c>
      <c r="K9593">
        <v>46</v>
      </c>
      <c r="L9593">
        <v>109</v>
      </c>
      <c r="M9593">
        <v>1</v>
      </c>
      <c r="N9593">
        <v>8.9399400000000006E-19</v>
      </c>
      <c r="O9593">
        <v>223</v>
      </c>
    </row>
    <row r="9594" spans="1:15" x14ac:dyDescent="0.25">
      <c r="A9594" t="s">
        <v>9607</v>
      </c>
      <c r="B9594">
        <v>196</v>
      </c>
      <c r="C9594" s="1" t="str">
        <f>HYPERLINK("http://www.rosaceae.org/gb/gbrowse/malus_x_domestica/?name=MDP0000249104","MDP0000249104")</f>
        <v>MDP0000249104</v>
      </c>
      <c r="D9594">
        <v>53.79</v>
      </c>
      <c r="E9594">
        <v>158</v>
      </c>
      <c r="F9594">
        <v>73</v>
      </c>
      <c r="G9594">
        <v>8</v>
      </c>
      <c r="H9594">
        <v>4</v>
      </c>
      <c r="I9594">
        <v>154</v>
      </c>
      <c r="J9594">
        <v>1</v>
      </c>
      <c r="K9594">
        <v>2</v>
      </c>
      <c r="L9594">
        <v>158</v>
      </c>
      <c r="M9594">
        <v>1</v>
      </c>
      <c r="N9594">
        <v>3.0748599999999998E-42</v>
      </c>
      <c r="O9594">
        <v>426</v>
      </c>
    </row>
    <row r="9595" spans="1:15" x14ac:dyDescent="0.25">
      <c r="A9595" t="s">
        <v>9608</v>
      </c>
      <c r="B9595">
        <v>1407</v>
      </c>
      <c r="C9595" s="1" t="str">
        <f>HYPERLINK("http://www.rosaceae.org/gb/gbrowse/malus_x_domestica/?name=MDP0000209897","MDP0000209897")</f>
        <v>MDP0000209897</v>
      </c>
      <c r="D9595">
        <v>79.959999999999994</v>
      </c>
      <c r="E9595">
        <v>664</v>
      </c>
      <c r="F9595">
        <v>133</v>
      </c>
      <c r="G9595">
        <v>5</v>
      </c>
      <c r="H9595">
        <v>67</v>
      </c>
      <c r="I9595">
        <v>728</v>
      </c>
      <c r="J9595">
        <v>1</v>
      </c>
      <c r="K9595">
        <v>1</v>
      </c>
      <c r="L9595">
        <v>661</v>
      </c>
      <c r="M9595">
        <v>1</v>
      </c>
      <c r="N9595">
        <v>0</v>
      </c>
      <c r="O9595">
        <v>2717</v>
      </c>
    </row>
    <row r="9596" spans="1:15" x14ac:dyDescent="0.25">
      <c r="A9596" t="s">
        <v>9609</v>
      </c>
      <c r="B9596">
        <v>1090</v>
      </c>
      <c r="C9596" s="1" t="str">
        <f>HYPERLINK("http://www.rosaceae.org/gb/gbrowse/malus_x_domestica/?name=MDP0000172627","MDP0000172627")</f>
        <v>MDP0000172627</v>
      </c>
      <c r="D9596">
        <v>76.650000000000006</v>
      </c>
      <c r="E9596">
        <v>1071</v>
      </c>
      <c r="F9596">
        <v>250</v>
      </c>
      <c r="G9596">
        <v>1</v>
      </c>
      <c r="H9596">
        <v>19</v>
      </c>
      <c r="I9596">
        <v>1089</v>
      </c>
      <c r="J9596">
        <v>1</v>
      </c>
      <c r="K9596">
        <v>19</v>
      </c>
      <c r="L9596">
        <v>1088</v>
      </c>
      <c r="M9596">
        <v>1</v>
      </c>
      <c r="N9596">
        <v>0</v>
      </c>
      <c r="O9596">
        <v>4240</v>
      </c>
    </row>
    <row r="9597" spans="1:15" x14ac:dyDescent="0.25">
      <c r="A9597" t="s">
        <v>9610</v>
      </c>
      <c r="B9597">
        <v>135</v>
      </c>
      <c r="C9597" s="1" t="str">
        <f>HYPERLINK("http://www.rosaceae.org/gb/gbrowse/malus_x_domestica/?name=MDP0000317855","MDP0000317855")</f>
        <v>MDP0000317855</v>
      </c>
      <c r="D9597">
        <v>34.4</v>
      </c>
      <c r="E9597">
        <v>93</v>
      </c>
      <c r="F9597">
        <v>61</v>
      </c>
      <c r="G9597">
        <v>8</v>
      </c>
      <c r="H9597">
        <v>2</v>
      </c>
      <c r="I9597">
        <v>93</v>
      </c>
      <c r="J9597">
        <v>1</v>
      </c>
      <c r="K9597">
        <v>12</v>
      </c>
      <c r="L9597">
        <v>97</v>
      </c>
      <c r="M9597">
        <v>1</v>
      </c>
      <c r="N9597">
        <v>5.2908400000000001E-8</v>
      </c>
      <c r="O9597">
        <v>127</v>
      </c>
    </row>
    <row r="9598" spans="1:15" x14ac:dyDescent="0.25">
      <c r="A9598" t="s">
        <v>9611</v>
      </c>
      <c r="B9598">
        <v>808</v>
      </c>
      <c r="C9598" s="1" t="str">
        <f>HYPERLINK("http://www.rosaceae.org/gb/gbrowse/malus_x_domestica/?name=MDP0000204794","MDP0000204794")</f>
        <v>MDP0000204794</v>
      </c>
      <c r="D9598">
        <v>26.44</v>
      </c>
      <c r="E9598">
        <v>242</v>
      </c>
      <c r="F9598">
        <v>178</v>
      </c>
      <c r="G9598">
        <v>35</v>
      </c>
      <c r="H9598">
        <v>1</v>
      </c>
      <c r="I9598">
        <v>214</v>
      </c>
      <c r="J9598">
        <v>1</v>
      </c>
      <c r="K9598">
        <v>314</v>
      </c>
      <c r="L9598">
        <v>548</v>
      </c>
      <c r="M9598">
        <v>1</v>
      </c>
      <c r="N9598">
        <v>9.6768899999999996E-21</v>
      </c>
      <c r="O9598">
        <v>247</v>
      </c>
    </row>
    <row r="9599" spans="1:15" x14ac:dyDescent="0.25">
      <c r="A9599" t="s">
        <v>9612</v>
      </c>
      <c r="B9599">
        <v>240</v>
      </c>
      <c r="C9599" s="1" t="str">
        <f>HYPERLINK("http://www.rosaceae.org/gb/gbrowse/malus_x_domestica/?name=MDP0000257606","MDP0000257606")</f>
        <v>MDP0000257606</v>
      </c>
      <c r="D9599">
        <v>41.79</v>
      </c>
      <c r="E9599">
        <v>201</v>
      </c>
      <c r="F9599">
        <v>117</v>
      </c>
      <c r="G9599">
        <v>18</v>
      </c>
      <c r="H9599">
        <v>43</v>
      </c>
      <c r="I9599">
        <v>239</v>
      </c>
      <c r="J9599">
        <v>1</v>
      </c>
      <c r="K9599">
        <v>41</v>
      </c>
      <c r="L9599">
        <v>227</v>
      </c>
      <c r="M9599">
        <v>1</v>
      </c>
      <c r="N9599">
        <v>1.0242899999999999E-31</v>
      </c>
      <c r="O9599">
        <v>336</v>
      </c>
    </row>
    <row r="9600" spans="1:15" x14ac:dyDescent="0.25">
      <c r="A9600" t="s">
        <v>9613</v>
      </c>
      <c r="B9600">
        <v>221</v>
      </c>
      <c r="C9600" s="1" t="str">
        <f>HYPERLINK("http://www.rosaceae.org/gb/gbrowse/malus_x_domestica/?name=MDP0000251422","MDP0000251422")</f>
        <v>MDP0000251422</v>
      </c>
      <c r="D9600">
        <v>41.01</v>
      </c>
      <c r="E9600">
        <v>178</v>
      </c>
      <c r="F9600">
        <v>105</v>
      </c>
      <c r="G9600">
        <v>11</v>
      </c>
      <c r="H9600">
        <v>1</v>
      </c>
      <c r="I9600">
        <v>168</v>
      </c>
      <c r="J9600">
        <v>1</v>
      </c>
      <c r="K9600">
        <v>1</v>
      </c>
      <c r="L9600">
        <v>177</v>
      </c>
      <c r="M9600">
        <v>1</v>
      </c>
      <c r="N9600">
        <v>7.5428000000000004E-21</v>
      </c>
      <c r="O9600">
        <v>242</v>
      </c>
    </row>
    <row r="9601" spans="1:15" x14ac:dyDescent="0.25">
      <c r="A9601" t="s">
        <v>9614</v>
      </c>
      <c r="B9601">
        <v>284</v>
      </c>
      <c r="C9601" s="1" t="str">
        <f>HYPERLINK("http://www.rosaceae.org/gb/gbrowse/malus_x_domestica/?name=MDP0000279955","MDP0000279955")</f>
        <v>MDP0000279955</v>
      </c>
      <c r="D9601">
        <v>49.2</v>
      </c>
      <c r="E9601">
        <v>63</v>
      </c>
      <c r="F9601">
        <v>32</v>
      </c>
      <c r="G9601">
        <v>4</v>
      </c>
      <c r="H9601">
        <v>3</v>
      </c>
      <c r="I9601">
        <v>62</v>
      </c>
      <c r="J9601">
        <v>1</v>
      </c>
      <c r="K9601">
        <v>301</v>
      </c>
      <c r="L9601">
        <v>362</v>
      </c>
      <c r="M9601">
        <v>1</v>
      </c>
      <c r="N9601">
        <v>3.2474200000000002E-10</v>
      </c>
      <c r="O9601">
        <v>152</v>
      </c>
    </row>
    <row r="9602" spans="1:15" x14ac:dyDescent="0.25">
      <c r="A9602" t="s">
        <v>9615</v>
      </c>
      <c r="B9602">
        <v>412</v>
      </c>
      <c r="C9602" s="1" t="str">
        <f>HYPERLINK("http://www.rosaceae.org/gb/gbrowse/malus_x_domestica/?name=MDP0000157642","MDP0000157642")</f>
        <v>MDP0000157642</v>
      </c>
      <c r="D9602">
        <v>52.78</v>
      </c>
      <c r="E9602">
        <v>485</v>
      </c>
      <c r="F9602">
        <v>229</v>
      </c>
      <c r="G9602">
        <v>82</v>
      </c>
      <c r="H9602">
        <v>1</v>
      </c>
      <c r="I9602">
        <v>408</v>
      </c>
      <c r="J9602">
        <v>1</v>
      </c>
      <c r="K9602">
        <v>1</v>
      </c>
      <c r="L9602">
        <v>480</v>
      </c>
      <c r="M9602">
        <v>1</v>
      </c>
      <c r="N9602">
        <v>2.2809999999999999E-120</v>
      </c>
      <c r="O9602">
        <v>1104</v>
      </c>
    </row>
    <row r="9603" spans="1:15" x14ac:dyDescent="0.25">
      <c r="A9603" t="s">
        <v>9616</v>
      </c>
      <c r="B9603">
        <v>782</v>
      </c>
      <c r="C9603" s="1" t="str">
        <f>HYPERLINK("http://www.rosaceae.org/gb/gbrowse/malus_x_domestica/?name=MDP0000186276","MDP0000186276")</f>
        <v>MDP0000186276</v>
      </c>
      <c r="D9603">
        <v>72.94</v>
      </c>
      <c r="E9603">
        <v>595</v>
      </c>
      <c r="F9603">
        <v>161</v>
      </c>
      <c r="G9603">
        <v>3</v>
      </c>
      <c r="H9603">
        <v>1</v>
      </c>
      <c r="I9603">
        <v>595</v>
      </c>
      <c r="J9603">
        <v>1</v>
      </c>
      <c r="K9603">
        <v>29</v>
      </c>
      <c r="L9603">
        <v>620</v>
      </c>
      <c r="M9603">
        <v>1</v>
      </c>
      <c r="N9603">
        <v>0</v>
      </c>
      <c r="O9603">
        <v>2238</v>
      </c>
    </row>
    <row r="9604" spans="1:15" x14ac:dyDescent="0.25">
      <c r="A9604" t="s">
        <v>9617</v>
      </c>
      <c r="B9604">
        <v>409</v>
      </c>
      <c r="C9604" s="1" t="str">
        <f>HYPERLINK("http://www.rosaceae.org/gb/gbrowse/malus_x_domestica/?name=MDP0000165740","MDP0000165740")</f>
        <v>MDP0000165740</v>
      </c>
      <c r="D9604">
        <v>60.9</v>
      </c>
      <c r="E9604">
        <v>440</v>
      </c>
      <c r="F9604">
        <v>172</v>
      </c>
      <c r="G9604">
        <v>57</v>
      </c>
      <c r="H9604">
        <v>9</v>
      </c>
      <c r="I9604">
        <v>408</v>
      </c>
      <c r="J9604">
        <v>1</v>
      </c>
      <c r="K9604">
        <v>5</v>
      </c>
      <c r="L9604">
        <v>427</v>
      </c>
      <c r="M9604">
        <v>1</v>
      </c>
      <c r="N9604">
        <v>8.4745799999999994E-135</v>
      </c>
      <c r="O9604">
        <v>1228</v>
      </c>
    </row>
    <row r="9605" spans="1:15" x14ac:dyDescent="0.25">
      <c r="A9605" t="s">
        <v>9618</v>
      </c>
      <c r="B9605">
        <v>580</v>
      </c>
      <c r="C9605" s="1" t="str">
        <f>HYPERLINK("http://www.rosaceae.org/gb/gbrowse/malus_x_domestica/?name=MDP0000200364","MDP0000200364")</f>
        <v>MDP0000200364</v>
      </c>
      <c r="D9605">
        <v>57.54</v>
      </c>
      <c r="E9605">
        <v>610</v>
      </c>
      <c r="F9605">
        <v>259</v>
      </c>
      <c r="G9605">
        <v>104</v>
      </c>
      <c r="H9605">
        <v>56</v>
      </c>
      <c r="I9605">
        <v>575</v>
      </c>
      <c r="J9605">
        <v>1</v>
      </c>
      <c r="K9605">
        <v>34</v>
      </c>
      <c r="L9605">
        <v>629</v>
      </c>
      <c r="M9605">
        <v>1</v>
      </c>
      <c r="N9605">
        <v>2.05134E-179</v>
      </c>
      <c r="O9605">
        <v>1614</v>
      </c>
    </row>
    <row r="9606" spans="1:15" x14ac:dyDescent="0.25">
      <c r="A9606" t="s">
        <v>9619</v>
      </c>
      <c r="B9606">
        <v>43</v>
      </c>
      <c r="C9606" s="1" t="str">
        <f>HYPERLINK("http://www.rosaceae.org/gb/gbrowse/malus_x_domestica/?name=MDP0000216511","MDP0000216511")</f>
        <v>MDP0000216511</v>
      </c>
      <c r="D9606">
        <v>76.47</v>
      </c>
      <c r="E9606">
        <v>34</v>
      </c>
      <c r="F9606">
        <v>8</v>
      </c>
      <c r="G9606">
        <v>0</v>
      </c>
      <c r="H9606">
        <v>3</v>
      </c>
      <c r="I9606">
        <v>36</v>
      </c>
      <c r="J9606">
        <v>1</v>
      </c>
      <c r="K9606">
        <v>68</v>
      </c>
      <c r="L9606">
        <v>101</v>
      </c>
      <c r="M9606">
        <v>1</v>
      </c>
      <c r="N9606">
        <v>2.3764100000000001E-9</v>
      </c>
      <c r="O9606">
        <v>138</v>
      </c>
    </row>
    <row r="9607" spans="1:15" x14ac:dyDescent="0.25">
      <c r="A9607" t="s">
        <v>9620</v>
      </c>
      <c r="B9607">
        <v>434</v>
      </c>
      <c r="C9607" s="1" t="str">
        <f>HYPERLINK("http://www.rosaceae.org/gb/gbrowse/malus_x_domestica/?name=MDP0000314958","MDP0000314958")</f>
        <v>MDP0000314958</v>
      </c>
      <c r="D9607">
        <v>56.29</v>
      </c>
      <c r="E9607">
        <v>135</v>
      </c>
      <c r="F9607">
        <v>59</v>
      </c>
      <c r="G9607">
        <v>0</v>
      </c>
      <c r="H9607">
        <v>235</v>
      </c>
      <c r="I9607">
        <v>369</v>
      </c>
      <c r="J9607">
        <v>1</v>
      </c>
      <c r="K9607">
        <v>369</v>
      </c>
      <c r="L9607">
        <v>503</v>
      </c>
      <c r="M9607">
        <v>1</v>
      </c>
      <c r="N9607">
        <v>4.1676999999999999E-36</v>
      </c>
      <c r="O9607">
        <v>377</v>
      </c>
    </row>
    <row r="9608" spans="1:15" x14ac:dyDescent="0.25">
      <c r="A9608" t="s">
        <v>9621</v>
      </c>
      <c r="B9608">
        <v>481</v>
      </c>
      <c r="C9608" s="1" t="str">
        <f>HYPERLINK("http://www.rosaceae.org/gb/gbrowse/malus_x_domestica/?name=MDP0000725802","MDP0000725802")</f>
        <v>MDP0000725802</v>
      </c>
      <c r="D9608">
        <v>37.83</v>
      </c>
      <c r="E9608">
        <v>407</v>
      </c>
      <c r="F9608">
        <v>253</v>
      </c>
      <c r="G9608">
        <v>64</v>
      </c>
      <c r="H9608">
        <v>133</v>
      </c>
      <c r="I9608">
        <v>480</v>
      </c>
      <c r="J9608">
        <v>1</v>
      </c>
      <c r="K9608">
        <v>311</v>
      </c>
      <c r="L9608">
        <v>712</v>
      </c>
      <c r="M9608">
        <v>1</v>
      </c>
      <c r="N9608">
        <v>1.36012E-50</v>
      </c>
      <c r="O9608">
        <v>503</v>
      </c>
    </row>
    <row r="9609" spans="1:15" x14ac:dyDescent="0.25">
      <c r="A9609" t="s">
        <v>9622</v>
      </c>
      <c r="B9609">
        <v>213</v>
      </c>
      <c r="C9609" s="1" t="str">
        <f>HYPERLINK("http://www.rosaceae.org/gb/gbrowse/malus_x_domestica/?name=MDP0000842189","MDP0000842189")</f>
        <v>MDP0000842189</v>
      </c>
      <c r="D9609">
        <v>76.09</v>
      </c>
      <c r="E9609">
        <v>205</v>
      </c>
      <c r="F9609">
        <v>49</v>
      </c>
      <c r="G9609">
        <v>1</v>
      </c>
      <c r="H9609">
        <v>1</v>
      </c>
      <c r="I9609">
        <v>205</v>
      </c>
      <c r="J9609">
        <v>1</v>
      </c>
      <c r="K9609">
        <v>21</v>
      </c>
      <c r="L9609">
        <v>224</v>
      </c>
      <c r="M9609">
        <v>1</v>
      </c>
      <c r="N9609">
        <v>3.69931E-86</v>
      </c>
      <c r="O9609">
        <v>805</v>
      </c>
    </row>
    <row r="9610" spans="1:15" x14ac:dyDescent="0.25">
      <c r="A9610" t="s">
        <v>9623</v>
      </c>
      <c r="B9610">
        <v>563</v>
      </c>
      <c r="C9610" s="1" t="str">
        <f>HYPERLINK("http://www.rosaceae.org/gb/gbrowse/malus_x_domestica/?name=MDP0000317654","MDP0000317654")</f>
        <v>MDP0000317654</v>
      </c>
      <c r="D9610">
        <v>74.760000000000005</v>
      </c>
      <c r="E9610">
        <v>543</v>
      </c>
      <c r="F9610">
        <v>137</v>
      </c>
      <c r="G9610">
        <v>26</v>
      </c>
      <c r="H9610">
        <v>1</v>
      </c>
      <c r="I9610">
        <v>521</v>
      </c>
      <c r="J9610">
        <v>1</v>
      </c>
      <c r="K9610">
        <v>20</v>
      </c>
      <c r="L9610">
        <v>558</v>
      </c>
      <c r="M9610">
        <v>1</v>
      </c>
      <c r="N9610">
        <v>0</v>
      </c>
      <c r="O9610">
        <v>2138</v>
      </c>
    </row>
    <row r="9611" spans="1:15" x14ac:dyDescent="0.25">
      <c r="A9611" t="s">
        <v>9624</v>
      </c>
      <c r="B9611">
        <v>181</v>
      </c>
      <c r="C9611" s="1" t="str">
        <f>HYPERLINK("http://www.rosaceae.org/gb/gbrowse/malus_x_domestica/?name=MDP0000249104","MDP0000249104")</f>
        <v>MDP0000249104</v>
      </c>
      <c r="D9611">
        <v>42.26</v>
      </c>
      <c r="E9611">
        <v>168</v>
      </c>
      <c r="F9611">
        <v>97</v>
      </c>
      <c r="G9611">
        <v>20</v>
      </c>
      <c r="H9611">
        <v>9</v>
      </c>
      <c r="I9611">
        <v>168</v>
      </c>
      <c r="J9611">
        <v>1</v>
      </c>
      <c r="K9611">
        <v>6</v>
      </c>
      <c r="L9611">
        <v>161</v>
      </c>
      <c r="M9611">
        <v>1</v>
      </c>
      <c r="N9611">
        <v>1.0438199999999999E-26</v>
      </c>
      <c r="O9611">
        <v>291</v>
      </c>
    </row>
    <row r="9612" spans="1:15" x14ac:dyDescent="0.25">
      <c r="A9612" t="s">
        <v>9625</v>
      </c>
      <c r="B9612">
        <v>185</v>
      </c>
      <c r="C9612" s="1" t="str">
        <f>HYPERLINK("http://www.rosaceae.org/gb/gbrowse/malus_x_domestica/?name=MDP0000874044","MDP0000874044")</f>
        <v>MDP0000874044</v>
      </c>
      <c r="D9612">
        <v>77.08</v>
      </c>
      <c r="E9612">
        <v>192</v>
      </c>
      <c r="F9612">
        <v>44</v>
      </c>
      <c r="G9612">
        <v>8</v>
      </c>
      <c r="H9612">
        <v>1</v>
      </c>
      <c r="I9612">
        <v>185</v>
      </c>
      <c r="J9612">
        <v>1</v>
      </c>
      <c r="K9612">
        <v>1</v>
      </c>
      <c r="L9612">
        <v>191</v>
      </c>
      <c r="M9612">
        <v>1</v>
      </c>
      <c r="N9612">
        <v>3.6756500000000001E-75</v>
      </c>
      <c r="O9612">
        <v>709</v>
      </c>
    </row>
    <row r="9613" spans="1:15" x14ac:dyDescent="0.25">
      <c r="A9613" t="s">
        <v>9626</v>
      </c>
      <c r="B9613">
        <v>281</v>
      </c>
      <c r="C9613" s="1" t="str">
        <f>HYPERLINK("http://www.rosaceae.org/gb/gbrowse/malus_x_domestica/?name=MDP0000465400","MDP0000465400")</f>
        <v>MDP0000465400</v>
      </c>
      <c r="D9613">
        <v>82.85</v>
      </c>
      <c r="E9613">
        <v>280</v>
      </c>
      <c r="F9613">
        <v>48</v>
      </c>
      <c r="G9613">
        <v>2</v>
      </c>
      <c r="H9613">
        <v>2</v>
      </c>
      <c r="I9613">
        <v>281</v>
      </c>
      <c r="J9613">
        <v>1</v>
      </c>
      <c r="K9613">
        <v>4</v>
      </c>
      <c r="L9613">
        <v>281</v>
      </c>
      <c r="M9613">
        <v>1</v>
      </c>
      <c r="N9613">
        <v>2.3008099999999998E-134</v>
      </c>
      <c r="O9613">
        <v>1222</v>
      </c>
    </row>
    <row r="9614" spans="1:15" x14ac:dyDescent="0.25">
      <c r="A9614" t="s">
        <v>9627</v>
      </c>
      <c r="B9614">
        <v>281</v>
      </c>
      <c r="C9614" s="1" t="str">
        <f>HYPERLINK("http://www.rosaceae.org/gb/gbrowse/malus_x_domestica/?name=MDP0000319596","MDP0000319596")</f>
        <v>MDP0000319596</v>
      </c>
      <c r="D9614">
        <v>64.28</v>
      </c>
      <c r="E9614">
        <v>182</v>
      </c>
      <c r="F9614">
        <v>65</v>
      </c>
      <c r="G9614">
        <v>5</v>
      </c>
      <c r="H9614">
        <v>19</v>
      </c>
      <c r="I9614">
        <v>195</v>
      </c>
      <c r="J9614">
        <v>1</v>
      </c>
      <c r="K9614">
        <v>19</v>
      </c>
      <c r="L9614">
        <v>200</v>
      </c>
      <c r="M9614">
        <v>1</v>
      </c>
      <c r="N9614">
        <v>3.9478999999999998E-56</v>
      </c>
      <c r="O9614">
        <v>548</v>
      </c>
    </row>
    <row r="9615" spans="1:15" x14ac:dyDescent="0.25">
      <c r="A9615" t="s">
        <v>9628</v>
      </c>
      <c r="B9615">
        <v>1107</v>
      </c>
      <c r="C9615" s="1" t="str">
        <f>HYPERLINK("http://www.rosaceae.org/gb/gbrowse/malus_x_domestica/?name=MDP0000220527","MDP0000220527")</f>
        <v>MDP0000220527</v>
      </c>
      <c r="D9615">
        <v>70.02</v>
      </c>
      <c r="E9615">
        <v>1091</v>
      </c>
      <c r="F9615">
        <v>327</v>
      </c>
      <c r="G9615">
        <v>19</v>
      </c>
      <c r="H9615">
        <v>4</v>
      </c>
      <c r="I9615">
        <v>1082</v>
      </c>
      <c r="J9615">
        <v>1</v>
      </c>
      <c r="K9615">
        <v>5</v>
      </c>
      <c r="L9615">
        <v>1088</v>
      </c>
      <c r="M9615">
        <v>1</v>
      </c>
      <c r="N9615">
        <v>0</v>
      </c>
      <c r="O9615">
        <v>4020</v>
      </c>
    </row>
    <row r="9616" spans="1:15" x14ac:dyDescent="0.25">
      <c r="A9616" t="s">
        <v>9629</v>
      </c>
      <c r="B9616">
        <v>120</v>
      </c>
      <c r="C9616" s="1" t="str">
        <f>HYPERLINK("http://www.rosaceae.org/gb/gbrowse/malus_x_domestica/?name=MDP0000493936","MDP0000493936")</f>
        <v>MDP0000493936</v>
      </c>
      <c r="D9616">
        <v>87.5</v>
      </c>
      <c r="E9616">
        <v>120</v>
      </c>
      <c r="F9616">
        <v>15</v>
      </c>
      <c r="G9616">
        <v>1</v>
      </c>
      <c r="H9616">
        <v>1</v>
      </c>
      <c r="I9616">
        <v>120</v>
      </c>
      <c r="J9616">
        <v>1</v>
      </c>
      <c r="K9616">
        <v>1</v>
      </c>
      <c r="L9616">
        <v>119</v>
      </c>
      <c r="M9616">
        <v>1</v>
      </c>
      <c r="N9616">
        <v>6.6027899999999996E-58</v>
      </c>
      <c r="O9616">
        <v>557</v>
      </c>
    </row>
    <row r="9617" spans="1:15" x14ac:dyDescent="0.25">
      <c r="A9617" t="s">
        <v>9630</v>
      </c>
      <c r="B9617">
        <v>832</v>
      </c>
      <c r="C9617" s="1" t="str">
        <f>HYPERLINK("http://www.rosaceae.org/gb/gbrowse/malus_x_domestica/?name=MDP0000500080","MDP0000500080")</f>
        <v>MDP0000500080</v>
      </c>
      <c r="D9617">
        <v>28.47</v>
      </c>
      <c r="E9617">
        <v>590</v>
      </c>
      <c r="F9617">
        <v>422</v>
      </c>
      <c r="G9617">
        <v>73</v>
      </c>
      <c r="H9617">
        <v>81</v>
      </c>
      <c r="I9617">
        <v>605</v>
      </c>
      <c r="J9617">
        <v>1</v>
      </c>
      <c r="K9617">
        <v>377</v>
      </c>
      <c r="L9617">
        <v>958</v>
      </c>
      <c r="M9617">
        <v>1</v>
      </c>
      <c r="N9617">
        <v>3.7839800000000003E-67</v>
      </c>
      <c r="O9617">
        <v>648</v>
      </c>
    </row>
    <row r="9618" spans="1:15" x14ac:dyDescent="0.25">
      <c r="A9618" t="s">
        <v>9631</v>
      </c>
      <c r="B9618">
        <v>154</v>
      </c>
      <c r="C9618" s="1" t="str">
        <f>HYPERLINK("http://www.rosaceae.org/gb/gbrowse/malus_x_domestica/?name=MDP0000135806","MDP0000135806")</f>
        <v>MDP0000135806</v>
      </c>
      <c r="D9618">
        <v>66.66</v>
      </c>
      <c r="E9618">
        <v>156</v>
      </c>
      <c r="F9618">
        <v>52</v>
      </c>
      <c r="G9618">
        <v>3</v>
      </c>
      <c r="H9618">
        <v>2</v>
      </c>
      <c r="I9618">
        <v>154</v>
      </c>
      <c r="J9618">
        <v>1</v>
      </c>
      <c r="K9618">
        <v>5</v>
      </c>
      <c r="L9618">
        <v>160</v>
      </c>
      <c r="M9618">
        <v>1</v>
      </c>
      <c r="N9618">
        <v>8.0175999999999998E-60</v>
      </c>
      <c r="O9618">
        <v>575</v>
      </c>
    </row>
    <row r="9619" spans="1:15" x14ac:dyDescent="0.25">
      <c r="A9619" t="s">
        <v>9632</v>
      </c>
      <c r="B9619">
        <v>845</v>
      </c>
      <c r="C9619" s="1" t="str">
        <f>HYPERLINK("http://www.rosaceae.org/gb/gbrowse/malus_x_domestica/?name=MDP0000177786","MDP0000177786")</f>
        <v>MDP0000177786</v>
      </c>
      <c r="D9619">
        <v>75.38</v>
      </c>
      <c r="E9619">
        <v>841</v>
      </c>
      <c r="F9619">
        <v>207</v>
      </c>
      <c r="G9619">
        <v>85</v>
      </c>
      <c r="H9619">
        <v>54</v>
      </c>
      <c r="I9619">
        <v>817</v>
      </c>
      <c r="J9619">
        <v>1</v>
      </c>
      <c r="K9619">
        <v>75</v>
      </c>
      <c r="L9619">
        <v>907</v>
      </c>
      <c r="M9619">
        <v>1</v>
      </c>
      <c r="N9619">
        <v>0</v>
      </c>
      <c r="O9619">
        <v>3260</v>
      </c>
    </row>
    <row r="9620" spans="1:15" x14ac:dyDescent="0.25">
      <c r="A9620" t="s">
        <v>9633</v>
      </c>
      <c r="B9620">
        <v>314</v>
      </c>
      <c r="C9620" s="1" t="str">
        <f>HYPERLINK("http://www.rosaceae.org/gb/gbrowse/malus_x_domestica/?name=MDP0000219003","MDP0000219003")</f>
        <v>MDP0000219003</v>
      </c>
      <c r="D9620">
        <v>41.25</v>
      </c>
      <c r="E9620">
        <v>383</v>
      </c>
      <c r="F9620">
        <v>225</v>
      </c>
      <c r="G9620">
        <v>95</v>
      </c>
      <c r="H9620">
        <v>8</v>
      </c>
      <c r="I9620">
        <v>303</v>
      </c>
      <c r="J9620">
        <v>1</v>
      </c>
      <c r="K9620">
        <v>624</v>
      </c>
      <c r="L9620">
        <v>998</v>
      </c>
      <c r="M9620">
        <v>1</v>
      </c>
      <c r="N9620">
        <v>3.5123699999999998E-64</v>
      </c>
      <c r="O9620">
        <v>618</v>
      </c>
    </row>
    <row r="9621" spans="1:15" x14ac:dyDescent="0.25">
      <c r="A9621" t="s">
        <v>9634</v>
      </c>
      <c r="B9621">
        <v>288</v>
      </c>
      <c r="C9621" s="1" t="str">
        <f>HYPERLINK("http://www.rosaceae.org/gb/gbrowse/malus_x_domestica/?name=MDP0000499050","MDP0000499050")</f>
        <v>MDP0000499050</v>
      </c>
      <c r="D9621">
        <v>37.340000000000003</v>
      </c>
      <c r="E9621">
        <v>166</v>
      </c>
      <c r="F9621">
        <v>104</v>
      </c>
      <c r="G9621">
        <v>48</v>
      </c>
      <c r="H9621">
        <v>27</v>
      </c>
      <c r="I9621">
        <v>147</v>
      </c>
      <c r="J9621">
        <v>1</v>
      </c>
      <c r="K9621">
        <v>318</v>
      </c>
      <c r="L9621">
        <v>480</v>
      </c>
      <c r="M9621">
        <v>1</v>
      </c>
      <c r="N9621">
        <v>8.4127799999999995E-25</v>
      </c>
      <c r="O9621">
        <v>278</v>
      </c>
    </row>
    <row r="9622" spans="1:15" x14ac:dyDescent="0.25">
      <c r="A9622" t="s">
        <v>9635</v>
      </c>
      <c r="B9622">
        <v>274</v>
      </c>
      <c r="C9622" s="1" t="str">
        <f>HYPERLINK("http://www.rosaceae.org/gb/gbrowse/malus_x_domestica/?name=MDP0000299846","MDP0000299846")</f>
        <v>MDP0000299846</v>
      </c>
      <c r="D9622">
        <v>74.03</v>
      </c>
      <c r="E9622">
        <v>285</v>
      </c>
      <c r="F9622">
        <v>74</v>
      </c>
      <c r="G9622">
        <v>12</v>
      </c>
      <c r="H9622">
        <v>1</v>
      </c>
      <c r="I9622">
        <v>274</v>
      </c>
      <c r="J9622">
        <v>1</v>
      </c>
      <c r="K9622">
        <v>1</v>
      </c>
      <c r="L9622">
        <v>284</v>
      </c>
      <c r="M9622">
        <v>1</v>
      </c>
      <c r="N9622">
        <v>3.4366300000000002E-109</v>
      </c>
      <c r="O9622">
        <v>1005</v>
      </c>
    </row>
    <row r="9623" spans="1:15" x14ac:dyDescent="0.25">
      <c r="A9623" t="s">
        <v>9636</v>
      </c>
      <c r="B9623">
        <v>377</v>
      </c>
      <c r="C9623" s="1" t="str">
        <f>HYPERLINK("http://www.rosaceae.org/gb/gbrowse/malus_x_domestica/?name=MDP0000256645","MDP0000256645")</f>
        <v>MDP0000256645</v>
      </c>
      <c r="D9623">
        <v>58.64</v>
      </c>
      <c r="E9623">
        <v>399</v>
      </c>
      <c r="F9623">
        <v>165</v>
      </c>
      <c r="G9623">
        <v>47</v>
      </c>
      <c r="H9623">
        <v>1</v>
      </c>
      <c r="I9623">
        <v>377</v>
      </c>
      <c r="J9623">
        <v>1</v>
      </c>
      <c r="K9623">
        <v>1</v>
      </c>
      <c r="L9623">
        <v>374</v>
      </c>
      <c r="M9623">
        <v>1</v>
      </c>
      <c r="N9623">
        <v>4.2485100000000003E-114</v>
      </c>
      <c r="O9623">
        <v>1049</v>
      </c>
    </row>
    <row r="9624" spans="1:15" x14ac:dyDescent="0.25">
      <c r="A9624" t="s">
        <v>9637</v>
      </c>
      <c r="B9624">
        <v>480</v>
      </c>
      <c r="C9624" s="1" t="str">
        <f>HYPERLINK("http://www.rosaceae.org/gb/gbrowse/malus_x_domestica/?name=MDP0000516623","MDP0000516623")</f>
        <v>MDP0000516623</v>
      </c>
      <c r="D9624">
        <v>80.98</v>
      </c>
      <c r="E9624">
        <v>384</v>
      </c>
      <c r="F9624">
        <v>73</v>
      </c>
      <c r="G9624">
        <v>0</v>
      </c>
      <c r="H9624">
        <v>97</v>
      </c>
      <c r="I9624">
        <v>480</v>
      </c>
      <c r="J9624">
        <v>1</v>
      </c>
      <c r="K9624">
        <v>15</v>
      </c>
      <c r="L9624">
        <v>398</v>
      </c>
      <c r="M9624">
        <v>1</v>
      </c>
      <c r="N9624">
        <v>0</v>
      </c>
      <c r="O9624">
        <v>1670</v>
      </c>
    </row>
    <row r="9625" spans="1:15" x14ac:dyDescent="0.25">
      <c r="A9625" t="s">
        <v>9638</v>
      </c>
      <c r="B9625">
        <v>123</v>
      </c>
      <c r="C9625" s="1" t="str">
        <f>HYPERLINK("http://www.rosaceae.org/gb/gbrowse/malus_x_domestica/?name=MDP0000187558","MDP0000187558")</f>
        <v>MDP0000187558</v>
      </c>
      <c r="D9625">
        <v>47.45</v>
      </c>
      <c r="E9625">
        <v>59</v>
      </c>
      <c r="F9625">
        <v>31</v>
      </c>
      <c r="G9625">
        <v>4</v>
      </c>
      <c r="H9625">
        <v>69</v>
      </c>
      <c r="I9625">
        <v>123</v>
      </c>
      <c r="J9625">
        <v>1</v>
      </c>
      <c r="K9625">
        <v>309</v>
      </c>
      <c r="L9625">
        <v>367</v>
      </c>
      <c r="M9625">
        <v>1</v>
      </c>
      <c r="N9625">
        <v>9.1075200000000004E-9</v>
      </c>
      <c r="O9625">
        <v>133</v>
      </c>
    </row>
    <row r="9626" spans="1:15" x14ac:dyDescent="0.25">
      <c r="A9626" t="s">
        <v>9639</v>
      </c>
      <c r="B9626">
        <v>730</v>
      </c>
      <c r="C9626" s="1" t="str">
        <f>HYPERLINK("http://www.rosaceae.org/gb/gbrowse/malus_x_domestica/?name=MDP0000185801","MDP0000185801")</f>
        <v>MDP0000185801</v>
      </c>
      <c r="D9626">
        <v>42.67</v>
      </c>
      <c r="E9626">
        <v>307</v>
      </c>
      <c r="F9626">
        <v>176</v>
      </c>
      <c r="G9626">
        <v>19</v>
      </c>
      <c r="H9626">
        <v>389</v>
      </c>
      <c r="I9626">
        <v>693</v>
      </c>
      <c r="J9626">
        <v>1</v>
      </c>
      <c r="K9626">
        <v>86</v>
      </c>
      <c r="L9626">
        <v>375</v>
      </c>
      <c r="M9626">
        <v>1</v>
      </c>
      <c r="N9626">
        <v>3.3225399999999999E-65</v>
      </c>
      <c r="O9626">
        <v>630</v>
      </c>
    </row>
    <row r="9627" spans="1:15" x14ac:dyDescent="0.25">
      <c r="A9627" t="s">
        <v>9640</v>
      </c>
      <c r="B9627">
        <v>795</v>
      </c>
      <c r="C9627" s="1" t="str">
        <f>HYPERLINK("http://www.rosaceae.org/gb/gbrowse/malus_x_domestica/?name=MDP0000889811","MDP0000889811")</f>
        <v>MDP0000889811</v>
      </c>
      <c r="D9627">
        <v>68.06</v>
      </c>
      <c r="E9627">
        <v>429</v>
      </c>
      <c r="F9627">
        <v>137</v>
      </c>
      <c r="G9627">
        <v>5</v>
      </c>
      <c r="H9627">
        <v>365</v>
      </c>
      <c r="I9627">
        <v>793</v>
      </c>
      <c r="J9627">
        <v>1</v>
      </c>
      <c r="K9627">
        <v>5</v>
      </c>
      <c r="L9627">
        <v>428</v>
      </c>
      <c r="M9627">
        <v>1</v>
      </c>
      <c r="N9627">
        <v>3.62339E-168</v>
      </c>
      <c r="O9627">
        <v>1519</v>
      </c>
    </row>
    <row r="9628" spans="1:15" x14ac:dyDescent="0.25">
      <c r="A9628" t="s">
        <v>9641</v>
      </c>
      <c r="B9628">
        <v>481</v>
      </c>
      <c r="C9628" s="1" t="str">
        <f>HYPERLINK("http://www.rosaceae.org/gb/gbrowse/malus_x_domestica/?name=MDP0000124256","MDP0000124256")</f>
        <v>MDP0000124256</v>
      </c>
      <c r="D9628">
        <v>60.9</v>
      </c>
      <c r="E9628">
        <v>266</v>
      </c>
      <c r="F9628">
        <v>104</v>
      </c>
      <c r="G9628">
        <v>3</v>
      </c>
      <c r="H9628">
        <v>63</v>
      </c>
      <c r="I9628">
        <v>325</v>
      </c>
      <c r="J9628">
        <v>1</v>
      </c>
      <c r="K9628">
        <v>342</v>
      </c>
      <c r="L9628">
        <v>607</v>
      </c>
      <c r="M9628">
        <v>1</v>
      </c>
      <c r="N9628">
        <v>2.1047899999999999E-98</v>
      </c>
      <c r="O9628">
        <v>915</v>
      </c>
    </row>
    <row r="9629" spans="1:15" x14ac:dyDescent="0.25">
      <c r="A9629" t="s">
        <v>9642</v>
      </c>
      <c r="B9629">
        <v>292</v>
      </c>
      <c r="C9629" s="1" t="str">
        <f>HYPERLINK("http://www.rosaceae.org/gb/gbrowse/malus_x_domestica/?name=MDP0000300460","MDP0000300460")</f>
        <v>MDP0000300460</v>
      </c>
      <c r="D9629">
        <v>55.1</v>
      </c>
      <c r="E9629">
        <v>294</v>
      </c>
      <c r="F9629">
        <v>132</v>
      </c>
      <c r="G9629">
        <v>7</v>
      </c>
      <c r="H9629">
        <v>3</v>
      </c>
      <c r="I9629">
        <v>292</v>
      </c>
      <c r="J9629">
        <v>1</v>
      </c>
      <c r="K9629">
        <v>2</v>
      </c>
      <c r="L9629">
        <v>292</v>
      </c>
      <c r="M9629">
        <v>1</v>
      </c>
      <c r="N9629">
        <v>4.9083699999999999E-84</v>
      </c>
      <c r="O9629">
        <v>789</v>
      </c>
    </row>
    <row r="9630" spans="1:15" x14ac:dyDescent="0.25">
      <c r="A9630" t="s">
        <v>9643</v>
      </c>
      <c r="B9630">
        <v>306</v>
      </c>
      <c r="C9630" s="1" t="str">
        <f>HYPERLINK("http://www.rosaceae.org/gb/gbrowse/malus_x_domestica/?name=MDP0000682471","MDP0000682471")</f>
        <v>MDP0000682471</v>
      </c>
      <c r="D9630">
        <v>75.3</v>
      </c>
      <c r="E9630">
        <v>243</v>
      </c>
      <c r="F9630">
        <v>60</v>
      </c>
      <c r="G9630">
        <v>4</v>
      </c>
      <c r="H9630">
        <v>1</v>
      </c>
      <c r="I9630">
        <v>243</v>
      </c>
      <c r="J9630">
        <v>1</v>
      </c>
      <c r="K9630">
        <v>1</v>
      </c>
      <c r="L9630">
        <v>239</v>
      </c>
      <c r="M9630">
        <v>1</v>
      </c>
      <c r="N9630">
        <v>1.4364299999999999E-108</v>
      </c>
      <c r="O9630">
        <v>1000</v>
      </c>
    </row>
    <row r="9631" spans="1:15" x14ac:dyDescent="0.25">
      <c r="A9631" t="s">
        <v>9644</v>
      </c>
      <c r="B9631">
        <v>448</v>
      </c>
      <c r="C9631" s="1" t="str">
        <f>HYPERLINK("http://www.rosaceae.org/gb/gbrowse/malus_x_domestica/?name=MDP0000366609","MDP0000366609")</f>
        <v>MDP0000366609</v>
      </c>
      <c r="D9631">
        <v>78.14</v>
      </c>
      <c r="E9631">
        <v>151</v>
      </c>
      <c r="F9631">
        <v>33</v>
      </c>
      <c r="G9631">
        <v>2</v>
      </c>
      <c r="H9631">
        <v>300</v>
      </c>
      <c r="I9631">
        <v>448</v>
      </c>
      <c r="J9631">
        <v>1</v>
      </c>
      <c r="K9631">
        <v>39</v>
      </c>
      <c r="L9631">
        <v>189</v>
      </c>
      <c r="M9631">
        <v>1</v>
      </c>
      <c r="N9631">
        <v>9.1462800000000008E-65</v>
      </c>
      <c r="O9631">
        <v>624</v>
      </c>
    </row>
    <row r="9632" spans="1:15" x14ac:dyDescent="0.25">
      <c r="A9632" t="s">
        <v>9645</v>
      </c>
      <c r="B9632">
        <v>1444</v>
      </c>
      <c r="C9632" s="1" t="str">
        <f>HYPERLINK("http://www.rosaceae.org/gb/gbrowse/malus_x_domestica/?name=MDP0000934360","MDP0000934360")</f>
        <v>MDP0000934360</v>
      </c>
      <c r="D9632">
        <v>71.84</v>
      </c>
      <c r="E9632">
        <v>483</v>
      </c>
      <c r="F9632">
        <v>136</v>
      </c>
      <c r="G9632">
        <v>6</v>
      </c>
      <c r="H9632">
        <v>1</v>
      </c>
      <c r="I9632">
        <v>479</v>
      </c>
      <c r="J9632">
        <v>1</v>
      </c>
      <c r="K9632">
        <v>1</v>
      </c>
      <c r="L9632">
        <v>481</v>
      </c>
      <c r="M9632">
        <v>1</v>
      </c>
      <c r="N9632">
        <v>0</v>
      </c>
      <c r="O9632">
        <v>1736</v>
      </c>
    </row>
    <row r="9633" spans="1:15" x14ac:dyDescent="0.25">
      <c r="A9633" t="s">
        <v>9646</v>
      </c>
      <c r="B9633">
        <v>861</v>
      </c>
      <c r="C9633" s="1" t="str">
        <f>HYPERLINK("http://www.rosaceae.org/gb/gbrowse/malus_x_domestica/?name=MDP0000275770","MDP0000275770")</f>
        <v>MDP0000275770</v>
      </c>
      <c r="D9633">
        <v>82.18</v>
      </c>
      <c r="E9633">
        <v>859</v>
      </c>
      <c r="F9633">
        <v>153</v>
      </c>
      <c r="G9633">
        <v>10</v>
      </c>
      <c r="H9633">
        <v>5</v>
      </c>
      <c r="I9633">
        <v>861</v>
      </c>
      <c r="J9633">
        <v>1</v>
      </c>
      <c r="K9633">
        <v>10</v>
      </c>
      <c r="L9633">
        <v>860</v>
      </c>
      <c r="M9633">
        <v>1</v>
      </c>
      <c r="N9633">
        <v>0</v>
      </c>
      <c r="O9633">
        <v>3832</v>
      </c>
    </row>
    <row r="9634" spans="1:15" x14ac:dyDescent="0.25">
      <c r="A9634" t="s">
        <v>9647</v>
      </c>
      <c r="B9634">
        <v>868</v>
      </c>
      <c r="C9634" s="1" t="str">
        <f>HYPERLINK("http://www.rosaceae.org/gb/gbrowse/malus_x_domestica/?name=MDP0000681634","MDP0000681634")</f>
        <v>MDP0000681634</v>
      </c>
      <c r="D9634">
        <v>62.32</v>
      </c>
      <c r="E9634">
        <v>852</v>
      </c>
      <c r="F9634">
        <v>321</v>
      </c>
      <c r="G9634">
        <v>24</v>
      </c>
      <c r="H9634">
        <v>1</v>
      </c>
      <c r="I9634">
        <v>850</v>
      </c>
      <c r="J9634">
        <v>1</v>
      </c>
      <c r="K9634">
        <v>1</v>
      </c>
      <c r="L9634">
        <v>830</v>
      </c>
      <c r="M9634">
        <v>1</v>
      </c>
      <c r="N9634">
        <v>0</v>
      </c>
      <c r="O9634">
        <v>2624</v>
      </c>
    </row>
    <row r="9635" spans="1:15" x14ac:dyDescent="0.25">
      <c r="A9635" t="s">
        <v>9648</v>
      </c>
      <c r="B9635">
        <v>262</v>
      </c>
      <c r="C9635" s="1" t="str">
        <f>HYPERLINK("http://www.rosaceae.org/gb/gbrowse/malus_x_domestica/?name=MDP0000125671","MDP0000125671")</f>
        <v>MDP0000125671</v>
      </c>
      <c r="D9635">
        <v>39.770000000000003</v>
      </c>
      <c r="E9635">
        <v>88</v>
      </c>
      <c r="F9635">
        <v>53</v>
      </c>
      <c r="G9635">
        <v>0</v>
      </c>
      <c r="H9635">
        <v>10</v>
      </c>
      <c r="I9635">
        <v>97</v>
      </c>
      <c r="J9635">
        <v>1</v>
      </c>
      <c r="K9635">
        <v>357</v>
      </c>
      <c r="L9635">
        <v>444</v>
      </c>
      <c r="M9635">
        <v>1</v>
      </c>
      <c r="N9635">
        <v>3.5225999999999998E-10</v>
      </c>
      <c r="O9635">
        <v>151</v>
      </c>
    </row>
    <row r="9636" spans="1:15" x14ac:dyDescent="0.25">
      <c r="A9636" t="s">
        <v>9649</v>
      </c>
      <c r="B9636">
        <v>299</v>
      </c>
      <c r="C9636" s="1" t="str">
        <f>HYPERLINK("http://www.rosaceae.org/gb/gbrowse/malus_x_domestica/?name=MDP0000163774","MDP0000163774")</f>
        <v>MDP0000163774</v>
      </c>
      <c r="D9636">
        <v>33.51</v>
      </c>
      <c r="E9636">
        <v>188</v>
      </c>
      <c r="F9636">
        <v>125</v>
      </c>
      <c r="G9636">
        <v>3</v>
      </c>
      <c r="H9636">
        <v>44</v>
      </c>
      <c r="I9636">
        <v>228</v>
      </c>
      <c r="J9636">
        <v>1</v>
      </c>
      <c r="K9636">
        <v>433</v>
      </c>
      <c r="L9636">
        <v>620</v>
      </c>
      <c r="M9636">
        <v>1</v>
      </c>
      <c r="N9636">
        <v>3.2209999999999998E-22</v>
      </c>
      <c r="O9636">
        <v>256</v>
      </c>
    </row>
    <row r="9637" spans="1:15" x14ac:dyDescent="0.25">
      <c r="A9637" t="s">
        <v>9650</v>
      </c>
      <c r="B9637">
        <v>182</v>
      </c>
      <c r="C9637" s="1" t="str">
        <f>HYPERLINK("http://www.rosaceae.org/gb/gbrowse/malus_x_domestica/?name=MDP0000203122","MDP0000203122")</f>
        <v>MDP0000203122</v>
      </c>
      <c r="D9637">
        <v>56.81</v>
      </c>
      <c r="E9637">
        <v>44</v>
      </c>
      <c r="F9637">
        <v>19</v>
      </c>
      <c r="G9637">
        <v>0</v>
      </c>
      <c r="H9637">
        <v>32</v>
      </c>
      <c r="I9637">
        <v>75</v>
      </c>
      <c r="J9637">
        <v>1</v>
      </c>
      <c r="K9637">
        <v>111</v>
      </c>
      <c r="L9637">
        <v>154</v>
      </c>
      <c r="M9637">
        <v>1</v>
      </c>
      <c r="N9637">
        <v>5.2272400000000002E-7</v>
      </c>
      <c r="O9637">
        <v>121</v>
      </c>
    </row>
    <row r="9638" spans="1:15" x14ac:dyDescent="0.25">
      <c r="A9638" t="s">
        <v>9651</v>
      </c>
      <c r="B9638">
        <v>317</v>
      </c>
      <c r="C9638" s="1" t="str">
        <f>HYPERLINK("http://www.rosaceae.org/gb/gbrowse/malus_x_domestica/?name=MDP0000534116","MDP0000534116")</f>
        <v>MDP0000534116</v>
      </c>
      <c r="D9638">
        <v>51.66</v>
      </c>
      <c r="E9638">
        <v>300</v>
      </c>
      <c r="F9638">
        <v>145</v>
      </c>
      <c r="G9638">
        <v>6</v>
      </c>
      <c r="H9638">
        <v>14</v>
      </c>
      <c r="I9638">
        <v>309</v>
      </c>
      <c r="J9638">
        <v>1</v>
      </c>
      <c r="K9638">
        <v>20</v>
      </c>
      <c r="L9638">
        <v>317</v>
      </c>
      <c r="M9638">
        <v>1</v>
      </c>
      <c r="N9638">
        <v>2.1616599999999998E-89</v>
      </c>
      <c r="O9638">
        <v>835</v>
      </c>
    </row>
    <row r="9639" spans="1:15" x14ac:dyDescent="0.25">
      <c r="A9639" t="s">
        <v>9652</v>
      </c>
      <c r="B9639">
        <v>1120</v>
      </c>
      <c r="C9639" s="1" t="str">
        <f>HYPERLINK("http://www.rosaceae.org/gb/gbrowse/malus_x_domestica/?name=MDP0000186321","MDP0000186321")</f>
        <v>MDP0000186321</v>
      </c>
      <c r="D9639">
        <v>66.92</v>
      </c>
      <c r="E9639">
        <v>526</v>
      </c>
      <c r="F9639">
        <v>174</v>
      </c>
      <c r="G9639">
        <v>47</v>
      </c>
      <c r="H9639">
        <v>3</v>
      </c>
      <c r="I9639">
        <v>516</v>
      </c>
      <c r="J9639">
        <v>1</v>
      </c>
      <c r="K9639">
        <v>1</v>
      </c>
      <c r="L9639">
        <v>491</v>
      </c>
      <c r="M9639">
        <v>1</v>
      </c>
      <c r="N9639">
        <v>0</v>
      </c>
      <c r="O9639">
        <v>1823</v>
      </c>
    </row>
    <row r="9640" spans="1:15" x14ac:dyDescent="0.25">
      <c r="A9640" t="s">
        <v>9653</v>
      </c>
      <c r="B9640">
        <v>168</v>
      </c>
      <c r="C9640" s="1" t="str">
        <f>HYPERLINK("http://www.rosaceae.org/gb/gbrowse/malus_x_domestica/?name=MDP0000367870","MDP0000367870")</f>
        <v>MDP0000367870</v>
      </c>
      <c r="D9640">
        <v>91.66</v>
      </c>
      <c r="E9640">
        <v>60</v>
      </c>
      <c r="F9640">
        <v>5</v>
      </c>
      <c r="G9640">
        <v>0</v>
      </c>
      <c r="H9640">
        <v>70</v>
      </c>
      <c r="I9640">
        <v>129</v>
      </c>
      <c r="J9640">
        <v>1</v>
      </c>
      <c r="K9640">
        <v>40</v>
      </c>
      <c r="L9640">
        <v>99</v>
      </c>
      <c r="M9640">
        <v>1</v>
      </c>
      <c r="N9640">
        <v>2.7013E-26</v>
      </c>
      <c r="O9640">
        <v>287</v>
      </c>
    </row>
    <row r="9641" spans="1:15" x14ac:dyDescent="0.25">
      <c r="A9641" t="s">
        <v>9654</v>
      </c>
      <c r="B9641">
        <v>675</v>
      </c>
      <c r="C9641" s="1" t="str">
        <f>HYPERLINK("http://www.rosaceae.org/gb/gbrowse/malus_x_domestica/?name=MDP0000234057","MDP0000234057")</f>
        <v>MDP0000234057</v>
      </c>
      <c r="D9641">
        <v>71.099999999999994</v>
      </c>
      <c r="E9641">
        <v>616</v>
      </c>
      <c r="F9641">
        <v>178</v>
      </c>
      <c r="G9641">
        <v>1</v>
      </c>
      <c r="H9641">
        <v>60</v>
      </c>
      <c r="I9641">
        <v>675</v>
      </c>
      <c r="J9641">
        <v>1</v>
      </c>
      <c r="K9641">
        <v>157</v>
      </c>
      <c r="L9641">
        <v>771</v>
      </c>
      <c r="M9641">
        <v>1</v>
      </c>
      <c r="N9641">
        <v>0</v>
      </c>
      <c r="O9641">
        <v>2279</v>
      </c>
    </row>
    <row r="9642" spans="1:15" x14ac:dyDescent="0.25">
      <c r="A9642" t="s">
        <v>9655</v>
      </c>
      <c r="B9642">
        <v>1130</v>
      </c>
      <c r="C9642" s="1" t="str">
        <f>HYPERLINK("http://www.rosaceae.org/gb/gbrowse/malus_x_domestica/?name=MDP0000270398","MDP0000270398")</f>
        <v>MDP0000270398</v>
      </c>
      <c r="D9642">
        <v>79.22</v>
      </c>
      <c r="E9642">
        <v>1011</v>
      </c>
      <c r="F9642">
        <v>210</v>
      </c>
      <c r="G9642">
        <v>91</v>
      </c>
      <c r="H9642">
        <v>62</v>
      </c>
      <c r="I9642">
        <v>1051</v>
      </c>
      <c r="J9642">
        <v>1</v>
      </c>
      <c r="K9642">
        <v>58</v>
      </c>
      <c r="L9642">
        <v>998</v>
      </c>
      <c r="M9642">
        <v>1</v>
      </c>
      <c r="N9642">
        <v>0</v>
      </c>
      <c r="O9642">
        <v>4223</v>
      </c>
    </row>
    <row r="9643" spans="1:15" x14ac:dyDescent="0.25">
      <c r="A9643" t="s">
        <v>9656</v>
      </c>
      <c r="B9643">
        <v>450</v>
      </c>
      <c r="C9643" s="1" t="str">
        <f>HYPERLINK("http://www.rosaceae.org/gb/gbrowse/malus_x_domestica/?name=MDP0000729320","MDP0000729320")</f>
        <v>MDP0000729320</v>
      </c>
      <c r="D9643">
        <v>65.349999999999994</v>
      </c>
      <c r="E9643">
        <v>456</v>
      </c>
      <c r="F9643">
        <v>158</v>
      </c>
      <c r="G9643">
        <v>13</v>
      </c>
      <c r="H9643">
        <v>7</v>
      </c>
      <c r="I9643">
        <v>449</v>
      </c>
      <c r="J9643">
        <v>1</v>
      </c>
      <c r="K9643">
        <v>4</v>
      </c>
      <c r="L9643">
        <v>459</v>
      </c>
      <c r="M9643">
        <v>1</v>
      </c>
      <c r="N9643">
        <v>1.9995199999999999E-178</v>
      </c>
      <c r="O9643">
        <v>1605</v>
      </c>
    </row>
    <row r="9644" spans="1:15" x14ac:dyDescent="0.25">
      <c r="A9644" t="s">
        <v>9657</v>
      </c>
      <c r="B9644">
        <v>1004</v>
      </c>
      <c r="C9644" s="1" t="str">
        <f>HYPERLINK("http://www.rosaceae.org/gb/gbrowse/malus_x_domestica/?name=MDP0000252442","MDP0000252442")</f>
        <v>MDP0000252442</v>
      </c>
      <c r="D9644">
        <v>72.89</v>
      </c>
      <c r="E9644">
        <v>996</v>
      </c>
      <c r="F9644">
        <v>270</v>
      </c>
      <c r="G9644">
        <v>80</v>
      </c>
      <c r="H9644">
        <v>31</v>
      </c>
      <c r="I9644">
        <v>995</v>
      </c>
      <c r="J9644">
        <v>1</v>
      </c>
      <c r="K9644">
        <v>418</v>
      </c>
      <c r="L9644">
        <v>1364</v>
      </c>
      <c r="M9644">
        <v>1</v>
      </c>
      <c r="N9644">
        <v>0</v>
      </c>
      <c r="O9644">
        <v>3607</v>
      </c>
    </row>
    <row r="9645" spans="1:15" x14ac:dyDescent="0.25">
      <c r="A9645" t="s">
        <v>9658</v>
      </c>
      <c r="B9645">
        <v>428</v>
      </c>
      <c r="C9645" s="1" t="str">
        <f>HYPERLINK("http://www.rosaceae.org/gb/gbrowse/malus_x_domestica/?name=MDP0000222221","MDP0000222221")</f>
        <v>MDP0000222221</v>
      </c>
      <c r="D9645">
        <v>74.150000000000006</v>
      </c>
      <c r="E9645">
        <v>89</v>
      </c>
      <c r="F9645">
        <v>23</v>
      </c>
      <c r="G9645">
        <v>0</v>
      </c>
      <c r="H9645">
        <v>265</v>
      </c>
      <c r="I9645">
        <v>353</v>
      </c>
      <c r="J9645">
        <v>1</v>
      </c>
      <c r="K9645">
        <v>391</v>
      </c>
      <c r="L9645">
        <v>479</v>
      </c>
      <c r="M9645">
        <v>1</v>
      </c>
      <c r="N9645">
        <v>7.5862699999999998E-36</v>
      </c>
      <c r="O9645">
        <v>375</v>
      </c>
    </row>
    <row r="9646" spans="1:15" x14ac:dyDescent="0.25">
      <c r="A9646" t="s">
        <v>9659</v>
      </c>
      <c r="B9646">
        <v>423</v>
      </c>
      <c r="C9646" s="1" t="str">
        <f>HYPERLINK("http://www.rosaceae.org/gb/gbrowse/malus_x_domestica/?name=MDP0000933301","MDP0000933301")</f>
        <v>MDP0000933301</v>
      </c>
      <c r="D9646">
        <v>58.59</v>
      </c>
      <c r="E9646">
        <v>256</v>
      </c>
      <c r="F9646">
        <v>106</v>
      </c>
      <c r="G9646">
        <v>6</v>
      </c>
      <c r="H9646">
        <v>167</v>
      </c>
      <c r="I9646">
        <v>417</v>
      </c>
      <c r="J9646">
        <v>1</v>
      </c>
      <c r="K9646">
        <v>197</v>
      </c>
      <c r="L9646">
        <v>451</v>
      </c>
      <c r="M9646">
        <v>1</v>
      </c>
      <c r="N9646">
        <v>4.3578899999999996E-81</v>
      </c>
      <c r="O9646">
        <v>765</v>
      </c>
    </row>
    <row r="9647" spans="1:15" x14ac:dyDescent="0.25">
      <c r="A9647" t="s">
        <v>9660</v>
      </c>
      <c r="B9647">
        <v>630</v>
      </c>
      <c r="C9647" s="1" t="str">
        <f>HYPERLINK("http://www.rosaceae.org/gb/gbrowse/malus_x_domestica/?name=MDP0000238803","MDP0000238803")</f>
        <v>MDP0000238803</v>
      </c>
      <c r="D9647">
        <v>68.62</v>
      </c>
      <c r="E9647">
        <v>204</v>
      </c>
      <c r="F9647">
        <v>64</v>
      </c>
      <c r="G9647">
        <v>3</v>
      </c>
      <c r="H9647">
        <v>42</v>
      </c>
      <c r="I9647">
        <v>242</v>
      </c>
      <c r="J9647">
        <v>1</v>
      </c>
      <c r="K9647">
        <v>102</v>
      </c>
      <c r="L9647">
        <v>305</v>
      </c>
      <c r="M9647">
        <v>1</v>
      </c>
      <c r="N9647">
        <v>8.0562499999999998E-77</v>
      </c>
      <c r="O9647">
        <v>730</v>
      </c>
    </row>
    <row r="9648" spans="1:15" x14ac:dyDescent="0.25">
      <c r="A9648" t="s">
        <v>9661</v>
      </c>
      <c r="B9648">
        <v>249</v>
      </c>
      <c r="C9648" s="1" t="str">
        <f>HYPERLINK("http://www.rosaceae.org/gb/gbrowse/malus_x_domestica/?name=MDP0000859052","MDP0000859052")</f>
        <v>MDP0000859052</v>
      </c>
      <c r="D9648">
        <v>47.69</v>
      </c>
      <c r="E9648">
        <v>65</v>
      </c>
      <c r="F9648">
        <v>34</v>
      </c>
      <c r="G9648">
        <v>19</v>
      </c>
      <c r="H9648">
        <v>52</v>
      </c>
      <c r="I9648">
        <v>97</v>
      </c>
      <c r="J9648">
        <v>1</v>
      </c>
      <c r="K9648">
        <v>528</v>
      </c>
      <c r="L9648">
        <v>592</v>
      </c>
      <c r="M9648">
        <v>1</v>
      </c>
      <c r="N9648">
        <v>3.1049500000000001E-11</v>
      </c>
      <c r="O9648">
        <v>160</v>
      </c>
    </row>
    <row r="9649" spans="1:15" x14ac:dyDescent="0.25">
      <c r="A9649" t="s">
        <v>9662</v>
      </c>
      <c r="B9649">
        <v>85</v>
      </c>
      <c r="C9649" s="1" t="str">
        <f>HYPERLINK("http://www.rosaceae.org/gb/gbrowse/malus_x_domestica/?name=MDP0000168459","MDP0000168459")</f>
        <v>MDP0000168459</v>
      </c>
      <c r="D9649">
        <v>41.48</v>
      </c>
      <c r="E9649">
        <v>135</v>
      </c>
      <c r="F9649">
        <v>79</v>
      </c>
      <c r="G9649">
        <v>58</v>
      </c>
      <c r="H9649">
        <v>1</v>
      </c>
      <c r="I9649">
        <v>84</v>
      </c>
      <c r="J9649">
        <v>1</v>
      </c>
      <c r="K9649">
        <v>1</v>
      </c>
      <c r="L9649">
        <v>128</v>
      </c>
      <c r="M9649">
        <v>1</v>
      </c>
      <c r="N9649">
        <v>1.6712500000000001E-19</v>
      </c>
      <c r="O9649">
        <v>226</v>
      </c>
    </row>
    <row r="9650" spans="1:15" x14ac:dyDescent="0.25">
      <c r="A9650" t="s">
        <v>9663</v>
      </c>
      <c r="B9650">
        <v>248</v>
      </c>
      <c r="C9650" s="1" t="str">
        <f>HYPERLINK("http://www.rosaceae.org/gb/gbrowse/malus_x_domestica/?name=MDP0000301576","MDP0000301576")</f>
        <v>MDP0000301576</v>
      </c>
      <c r="D9650">
        <v>36.909999999999997</v>
      </c>
      <c r="E9650">
        <v>214</v>
      </c>
      <c r="F9650">
        <v>135</v>
      </c>
      <c r="G9650">
        <v>9</v>
      </c>
      <c r="H9650">
        <v>38</v>
      </c>
      <c r="I9650">
        <v>247</v>
      </c>
      <c r="J9650">
        <v>1</v>
      </c>
      <c r="K9650">
        <v>259</v>
      </c>
      <c r="L9650">
        <v>467</v>
      </c>
      <c r="M9650">
        <v>1</v>
      </c>
      <c r="N9650">
        <v>7.7413600000000003E-31</v>
      </c>
      <c r="O9650">
        <v>329</v>
      </c>
    </row>
    <row r="9651" spans="1:15" x14ac:dyDescent="0.25">
      <c r="A9651" t="s">
        <v>9664</v>
      </c>
      <c r="B9651">
        <v>303</v>
      </c>
      <c r="C9651" s="1" t="str">
        <f>HYPERLINK("http://www.rosaceae.org/gb/gbrowse/malus_x_domestica/?name=MDP0000878764","MDP0000878764")</f>
        <v>MDP0000878764</v>
      </c>
      <c r="D9651">
        <v>51.3</v>
      </c>
      <c r="E9651">
        <v>115</v>
      </c>
      <c r="F9651">
        <v>56</v>
      </c>
      <c r="G9651">
        <v>1</v>
      </c>
      <c r="H9651">
        <v>5</v>
      </c>
      <c r="I9651">
        <v>119</v>
      </c>
      <c r="J9651">
        <v>1</v>
      </c>
      <c r="K9651">
        <v>3</v>
      </c>
      <c r="L9651">
        <v>116</v>
      </c>
      <c r="M9651">
        <v>1</v>
      </c>
      <c r="N9651">
        <v>2.42973E-28</v>
      </c>
      <c r="O9651">
        <v>308</v>
      </c>
    </row>
    <row r="9652" spans="1:15" x14ac:dyDescent="0.25">
      <c r="A9652" t="s">
        <v>9665</v>
      </c>
      <c r="B9652">
        <v>563</v>
      </c>
      <c r="C9652" s="1" t="str">
        <f>HYPERLINK("http://www.rosaceae.org/gb/gbrowse/malus_x_domestica/?name=MDP0000192249","MDP0000192249")</f>
        <v>MDP0000192249</v>
      </c>
      <c r="D9652">
        <v>48.3</v>
      </c>
      <c r="E9652">
        <v>559</v>
      </c>
      <c r="F9652">
        <v>289</v>
      </c>
      <c r="G9652">
        <v>38</v>
      </c>
      <c r="H9652">
        <v>15</v>
      </c>
      <c r="I9652">
        <v>561</v>
      </c>
      <c r="J9652">
        <v>1</v>
      </c>
      <c r="K9652">
        <v>3</v>
      </c>
      <c r="L9652">
        <v>535</v>
      </c>
      <c r="M9652">
        <v>1</v>
      </c>
      <c r="N9652">
        <v>2.27826E-122</v>
      </c>
      <c r="O9652">
        <v>1122</v>
      </c>
    </row>
    <row r="9653" spans="1:15" x14ac:dyDescent="0.25">
      <c r="A9653" t="s">
        <v>9666</v>
      </c>
      <c r="B9653">
        <v>440</v>
      </c>
      <c r="C9653" s="1" t="str">
        <f>HYPERLINK("http://www.rosaceae.org/gb/gbrowse/malus_x_domestica/?name=MDP0000719559","MDP0000719559")</f>
        <v>MDP0000719559</v>
      </c>
      <c r="D9653">
        <v>65.16</v>
      </c>
      <c r="E9653">
        <v>356</v>
      </c>
      <c r="F9653">
        <v>124</v>
      </c>
      <c r="G9653">
        <v>16</v>
      </c>
      <c r="H9653">
        <v>95</v>
      </c>
      <c r="I9653">
        <v>435</v>
      </c>
      <c r="J9653">
        <v>1</v>
      </c>
      <c r="K9653">
        <v>119</v>
      </c>
      <c r="L9653">
        <v>473</v>
      </c>
      <c r="M9653">
        <v>1</v>
      </c>
      <c r="N9653">
        <v>7.3732900000000002E-122</v>
      </c>
      <c r="O9653">
        <v>1117</v>
      </c>
    </row>
    <row r="9654" spans="1:15" x14ac:dyDescent="0.25">
      <c r="A9654" t="s">
        <v>9667</v>
      </c>
      <c r="B9654">
        <v>155</v>
      </c>
      <c r="C9654" s="1" t="str">
        <f>HYPERLINK("http://www.rosaceae.org/gb/gbrowse/malus_x_domestica/?name=MDP0000320631","MDP0000320631")</f>
        <v>MDP0000320631</v>
      </c>
      <c r="D9654">
        <v>68.38</v>
      </c>
      <c r="E9654">
        <v>136</v>
      </c>
      <c r="F9654">
        <v>43</v>
      </c>
      <c r="G9654">
        <v>29</v>
      </c>
      <c r="H9654">
        <v>17</v>
      </c>
      <c r="I9654">
        <v>123</v>
      </c>
      <c r="J9654">
        <v>1</v>
      </c>
      <c r="K9654">
        <v>314</v>
      </c>
      <c r="L9654">
        <v>449</v>
      </c>
      <c r="M9654">
        <v>1</v>
      </c>
      <c r="N9654">
        <v>1.5826099999999999E-45</v>
      </c>
      <c r="O9654">
        <v>452</v>
      </c>
    </row>
    <row r="9655" spans="1:15" x14ac:dyDescent="0.25">
      <c r="A9655" t="s">
        <v>9668</v>
      </c>
      <c r="B9655">
        <v>161</v>
      </c>
      <c r="C9655" s="1" t="str">
        <f>HYPERLINK("http://www.rosaceae.org/gb/gbrowse/malus_x_domestica/?name=MDP0000223726","MDP0000223726")</f>
        <v>MDP0000223726</v>
      </c>
      <c r="D9655">
        <v>84.84</v>
      </c>
      <c r="E9655">
        <v>66</v>
      </c>
      <c r="F9655">
        <v>10</v>
      </c>
      <c r="G9655">
        <v>0</v>
      </c>
      <c r="H9655">
        <v>96</v>
      </c>
      <c r="I9655">
        <v>161</v>
      </c>
      <c r="J9655">
        <v>1</v>
      </c>
      <c r="K9655">
        <v>287</v>
      </c>
      <c r="L9655">
        <v>352</v>
      </c>
      <c r="M9655">
        <v>1</v>
      </c>
      <c r="N9655">
        <v>2.0851099999999998E-27</v>
      </c>
      <c r="O9655">
        <v>296</v>
      </c>
    </row>
    <row r="9656" spans="1:15" x14ac:dyDescent="0.25">
      <c r="A9656" t="s">
        <v>9669</v>
      </c>
      <c r="B9656">
        <v>340</v>
      </c>
      <c r="C9656" s="1" t="str">
        <f>HYPERLINK("http://www.rosaceae.org/gb/gbrowse/malus_x_domestica/?name=MDP0000132360","MDP0000132360")</f>
        <v>MDP0000132360</v>
      </c>
      <c r="D9656">
        <v>72.08</v>
      </c>
      <c r="E9656">
        <v>283</v>
      </c>
      <c r="F9656">
        <v>79</v>
      </c>
      <c r="G9656">
        <v>9</v>
      </c>
      <c r="H9656">
        <v>67</v>
      </c>
      <c r="I9656">
        <v>340</v>
      </c>
      <c r="J9656">
        <v>1</v>
      </c>
      <c r="K9656">
        <v>1</v>
      </c>
      <c r="L9656">
        <v>283</v>
      </c>
      <c r="M9656">
        <v>1</v>
      </c>
      <c r="N9656">
        <v>2.4576300000000002E-115</v>
      </c>
      <c r="O9656">
        <v>1059</v>
      </c>
    </row>
    <row r="9657" spans="1:15" x14ac:dyDescent="0.25">
      <c r="A9657" t="s">
        <v>9670</v>
      </c>
      <c r="B9657">
        <v>193</v>
      </c>
      <c r="C9657" s="1" t="str">
        <f>HYPERLINK("http://www.rosaceae.org/gb/gbrowse/malus_x_domestica/?name=MDP0000503246","MDP0000503246")</f>
        <v>MDP0000503246</v>
      </c>
      <c r="D9657">
        <v>80.36</v>
      </c>
      <c r="E9657">
        <v>163</v>
      </c>
      <c r="F9657">
        <v>32</v>
      </c>
      <c r="G9657">
        <v>1</v>
      </c>
      <c r="H9657">
        <v>31</v>
      </c>
      <c r="I9657">
        <v>193</v>
      </c>
      <c r="J9657">
        <v>1</v>
      </c>
      <c r="K9657">
        <v>33</v>
      </c>
      <c r="L9657">
        <v>194</v>
      </c>
      <c r="M9657">
        <v>1</v>
      </c>
      <c r="N9657">
        <v>1.1218899999999999E-74</v>
      </c>
      <c r="O9657">
        <v>705</v>
      </c>
    </row>
    <row r="9658" spans="1:15" x14ac:dyDescent="0.25">
      <c r="A9658" t="s">
        <v>9671</v>
      </c>
      <c r="B9658">
        <v>845</v>
      </c>
      <c r="C9658" s="1" t="str">
        <f>HYPERLINK("http://www.rosaceae.org/gb/gbrowse/malus_x_domestica/?name=MDP0000242861","MDP0000242861")</f>
        <v>MDP0000242861</v>
      </c>
      <c r="D9658">
        <v>83.9</v>
      </c>
      <c r="E9658">
        <v>870</v>
      </c>
      <c r="F9658">
        <v>140</v>
      </c>
      <c r="G9658">
        <v>55</v>
      </c>
      <c r="H9658">
        <v>1</v>
      </c>
      <c r="I9658">
        <v>845</v>
      </c>
      <c r="J9658">
        <v>1</v>
      </c>
      <c r="K9658">
        <v>1</v>
      </c>
      <c r="L9658">
        <v>840</v>
      </c>
      <c r="M9658">
        <v>1</v>
      </c>
      <c r="N9658">
        <v>0</v>
      </c>
      <c r="O9658">
        <v>3854</v>
      </c>
    </row>
    <row r="9659" spans="1:15" x14ac:dyDescent="0.25">
      <c r="A9659" t="s">
        <v>9672</v>
      </c>
      <c r="B9659">
        <v>670</v>
      </c>
      <c r="C9659" s="1" t="str">
        <f>HYPERLINK("http://www.rosaceae.org/gb/gbrowse/malus_x_domestica/?name=MDP0000248279","MDP0000248279")</f>
        <v>MDP0000248279</v>
      </c>
      <c r="D9659">
        <v>72.75</v>
      </c>
      <c r="E9659">
        <v>690</v>
      </c>
      <c r="F9659">
        <v>188</v>
      </c>
      <c r="G9659">
        <v>21</v>
      </c>
      <c r="H9659">
        <v>1</v>
      </c>
      <c r="I9659">
        <v>670</v>
      </c>
      <c r="J9659">
        <v>1</v>
      </c>
      <c r="K9659">
        <v>1</v>
      </c>
      <c r="L9659">
        <v>689</v>
      </c>
      <c r="M9659">
        <v>1</v>
      </c>
      <c r="N9659">
        <v>0</v>
      </c>
      <c r="O9659">
        <v>2543</v>
      </c>
    </row>
    <row r="9660" spans="1:15" x14ac:dyDescent="0.25">
      <c r="A9660" t="s">
        <v>9673</v>
      </c>
      <c r="B9660">
        <v>476</v>
      </c>
      <c r="C9660" s="1" t="str">
        <f>HYPERLINK("http://www.rosaceae.org/gb/gbrowse/malus_x_domestica/?name=MDP0000940692","MDP0000940692")</f>
        <v>MDP0000940692</v>
      </c>
      <c r="D9660">
        <v>80.84</v>
      </c>
      <c r="E9660">
        <v>402</v>
      </c>
      <c r="F9660">
        <v>77</v>
      </c>
      <c r="G9660">
        <v>16</v>
      </c>
      <c r="H9660">
        <v>90</v>
      </c>
      <c r="I9660">
        <v>475</v>
      </c>
      <c r="J9660">
        <v>1</v>
      </c>
      <c r="K9660">
        <v>18</v>
      </c>
      <c r="L9660">
        <v>419</v>
      </c>
      <c r="M9660">
        <v>1</v>
      </c>
      <c r="N9660">
        <v>0</v>
      </c>
      <c r="O9660">
        <v>1740</v>
      </c>
    </row>
    <row r="9661" spans="1:15" x14ac:dyDescent="0.25">
      <c r="A9661" t="s">
        <v>9674</v>
      </c>
      <c r="B9661">
        <v>424</v>
      </c>
      <c r="C9661" s="1" t="str">
        <f>HYPERLINK("http://www.rosaceae.org/gb/gbrowse/malus_x_domestica/?name=MDP0000844093","MDP0000844093")</f>
        <v>MDP0000844093</v>
      </c>
      <c r="D9661">
        <v>70.400000000000006</v>
      </c>
      <c r="E9661">
        <v>446</v>
      </c>
      <c r="F9661">
        <v>132</v>
      </c>
      <c r="G9661">
        <v>26</v>
      </c>
      <c r="H9661">
        <v>1</v>
      </c>
      <c r="I9661">
        <v>424</v>
      </c>
      <c r="J9661">
        <v>1</v>
      </c>
      <c r="K9661">
        <v>1</v>
      </c>
      <c r="L9661">
        <v>442</v>
      </c>
      <c r="M9661">
        <v>1</v>
      </c>
      <c r="N9661">
        <v>2.4121299999999999E-175</v>
      </c>
      <c r="O9661">
        <v>1578</v>
      </c>
    </row>
    <row r="9662" spans="1:15" x14ac:dyDescent="0.25">
      <c r="A9662" t="s">
        <v>9675</v>
      </c>
      <c r="B9662">
        <v>217</v>
      </c>
      <c r="C9662" s="1" t="str">
        <f>HYPERLINK("http://www.rosaceae.org/gb/gbrowse/malus_x_domestica/?name=MDP0000153963","MDP0000153963")</f>
        <v>MDP0000153963</v>
      </c>
      <c r="D9662">
        <v>50</v>
      </c>
      <c r="E9662">
        <v>76</v>
      </c>
      <c r="F9662">
        <v>38</v>
      </c>
      <c r="G9662">
        <v>3</v>
      </c>
      <c r="H9662">
        <v>136</v>
      </c>
      <c r="I9662">
        <v>210</v>
      </c>
      <c r="J9662">
        <v>1</v>
      </c>
      <c r="K9662">
        <v>192</v>
      </c>
      <c r="L9662">
        <v>265</v>
      </c>
      <c r="M9662">
        <v>1</v>
      </c>
      <c r="N9662">
        <v>4.32162E-14</v>
      </c>
      <c r="O9662">
        <v>184</v>
      </c>
    </row>
    <row r="9663" spans="1:15" x14ac:dyDescent="0.25">
      <c r="A9663" t="s">
        <v>9676</v>
      </c>
      <c r="B9663">
        <v>569</v>
      </c>
      <c r="C9663" s="1" t="str">
        <f>HYPERLINK("http://www.rosaceae.org/gb/gbrowse/malus_x_domestica/?name=MDP0000552080","MDP0000552080")</f>
        <v>MDP0000552080</v>
      </c>
      <c r="D9663">
        <v>83.6</v>
      </c>
      <c r="E9663">
        <v>555</v>
      </c>
      <c r="F9663">
        <v>91</v>
      </c>
      <c r="G9663">
        <v>18</v>
      </c>
      <c r="H9663">
        <v>33</v>
      </c>
      <c r="I9663">
        <v>569</v>
      </c>
      <c r="J9663">
        <v>1</v>
      </c>
      <c r="K9663">
        <v>31</v>
      </c>
      <c r="L9663">
        <v>585</v>
      </c>
      <c r="M9663">
        <v>1</v>
      </c>
      <c r="N9663">
        <v>0</v>
      </c>
      <c r="O9663">
        <v>2427</v>
      </c>
    </row>
    <row r="9664" spans="1:15" x14ac:dyDescent="0.25">
      <c r="A9664" t="s">
        <v>9677</v>
      </c>
      <c r="B9664">
        <v>216</v>
      </c>
      <c r="C9664" s="1" t="str">
        <f>HYPERLINK("http://www.rosaceae.org/gb/gbrowse/malus_x_domestica/?name=MDP0000263750","MDP0000263750")</f>
        <v>MDP0000263750</v>
      </c>
      <c r="D9664">
        <v>61.02</v>
      </c>
      <c r="E9664">
        <v>254</v>
      </c>
      <c r="F9664">
        <v>99</v>
      </c>
      <c r="G9664">
        <v>38</v>
      </c>
      <c r="H9664">
        <v>1</v>
      </c>
      <c r="I9664">
        <v>216</v>
      </c>
      <c r="J9664">
        <v>1</v>
      </c>
      <c r="K9664">
        <v>183</v>
      </c>
      <c r="L9664">
        <v>436</v>
      </c>
      <c r="M9664">
        <v>1</v>
      </c>
      <c r="N9664">
        <v>2.4873E-77</v>
      </c>
      <c r="O9664">
        <v>729</v>
      </c>
    </row>
    <row r="9665" spans="1:15" x14ac:dyDescent="0.25">
      <c r="A9665" t="s">
        <v>9678</v>
      </c>
      <c r="B9665">
        <v>1407</v>
      </c>
      <c r="C9665" s="1" t="str">
        <f>HYPERLINK("http://www.rosaceae.org/gb/gbrowse/malus_x_domestica/?name=MDP0000126227","MDP0000126227")</f>
        <v>MDP0000126227</v>
      </c>
      <c r="D9665">
        <v>63.97</v>
      </c>
      <c r="E9665">
        <v>719</v>
      </c>
      <c r="F9665">
        <v>259</v>
      </c>
      <c r="G9665">
        <v>31</v>
      </c>
      <c r="H9665">
        <v>629</v>
      </c>
      <c r="I9665">
        <v>1337</v>
      </c>
      <c r="J9665">
        <v>1</v>
      </c>
      <c r="K9665">
        <v>2</v>
      </c>
      <c r="L9665">
        <v>699</v>
      </c>
      <c r="M9665">
        <v>1</v>
      </c>
      <c r="N9665">
        <v>0</v>
      </c>
      <c r="O9665">
        <v>2320</v>
      </c>
    </row>
    <row r="9666" spans="1:15" x14ac:dyDescent="0.25">
      <c r="A9666" t="s">
        <v>9679</v>
      </c>
      <c r="B9666">
        <v>547</v>
      </c>
      <c r="C9666" s="1" t="str">
        <f>HYPERLINK("http://www.rosaceae.org/gb/gbrowse/malus_x_domestica/?name=MDP0000850802","MDP0000850802")</f>
        <v>MDP0000850802</v>
      </c>
      <c r="D9666">
        <v>60.43</v>
      </c>
      <c r="E9666">
        <v>546</v>
      </c>
      <c r="F9666">
        <v>216</v>
      </c>
      <c r="G9666">
        <v>31</v>
      </c>
      <c r="H9666">
        <v>33</v>
      </c>
      <c r="I9666">
        <v>547</v>
      </c>
      <c r="J9666">
        <v>1</v>
      </c>
      <c r="K9666">
        <v>33</v>
      </c>
      <c r="L9666">
        <v>578</v>
      </c>
      <c r="M9666">
        <v>1</v>
      </c>
      <c r="N9666">
        <v>0</v>
      </c>
      <c r="O9666">
        <v>1799</v>
      </c>
    </row>
    <row r="9667" spans="1:15" x14ac:dyDescent="0.25">
      <c r="A9667" t="s">
        <v>9680</v>
      </c>
      <c r="B9667">
        <v>331</v>
      </c>
      <c r="C9667" s="1" t="str">
        <f>HYPERLINK("http://www.rosaceae.org/gb/gbrowse/malus_x_domestica/?name=MDP0000273274","MDP0000273274")</f>
        <v>MDP0000273274</v>
      </c>
      <c r="D9667">
        <v>60.3</v>
      </c>
      <c r="E9667">
        <v>330</v>
      </c>
      <c r="F9667">
        <v>131</v>
      </c>
      <c r="G9667">
        <v>6</v>
      </c>
      <c r="H9667">
        <v>8</v>
      </c>
      <c r="I9667">
        <v>331</v>
      </c>
      <c r="J9667">
        <v>1</v>
      </c>
      <c r="K9667">
        <v>21</v>
      </c>
      <c r="L9667">
        <v>350</v>
      </c>
      <c r="M9667">
        <v>1</v>
      </c>
      <c r="N9667">
        <v>3.8034500000000002E-115</v>
      </c>
      <c r="O9667">
        <v>1057</v>
      </c>
    </row>
    <row r="9668" spans="1:15" x14ac:dyDescent="0.25">
      <c r="A9668" t="s">
        <v>9681</v>
      </c>
      <c r="B9668">
        <v>134</v>
      </c>
      <c r="C9668" s="1" t="str">
        <f>HYPERLINK("http://www.rosaceae.org/gb/gbrowse/malus_x_domestica/?name=MDP0000205544","MDP0000205544")</f>
        <v>MDP0000205544</v>
      </c>
      <c r="D9668">
        <v>87.75</v>
      </c>
      <c r="E9668">
        <v>98</v>
      </c>
      <c r="F9668">
        <v>12</v>
      </c>
      <c r="G9668">
        <v>0</v>
      </c>
      <c r="H9668">
        <v>28</v>
      </c>
      <c r="I9668">
        <v>125</v>
      </c>
      <c r="J9668">
        <v>1</v>
      </c>
      <c r="K9668">
        <v>1</v>
      </c>
      <c r="L9668">
        <v>98</v>
      </c>
      <c r="M9668">
        <v>1</v>
      </c>
      <c r="N9668">
        <v>2.4505399999999999E-49</v>
      </c>
      <c r="O9668">
        <v>484</v>
      </c>
    </row>
    <row r="9669" spans="1:15" x14ac:dyDescent="0.25">
      <c r="A9669" t="s">
        <v>9682</v>
      </c>
      <c r="B9669">
        <v>463</v>
      </c>
      <c r="C9669" s="1" t="str">
        <f>HYPERLINK("http://www.rosaceae.org/gb/gbrowse/malus_x_domestica/?name=MDP0000212044","MDP0000212044")</f>
        <v>MDP0000212044</v>
      </c>
      <c r="D9669">
        <v>77.36</v>
      </c>
      <c r="E9669">
        <v>349</v>
      </c>
      <c r="F9669">
        <v>79</v>
      </c>
      <c r="G9669">
        <v>3</v>
      </c>
      <c r="H9669">
        <v>113</v>
      </c>
      <c r="I9669">
        <v>459</v>
      </c>
      <c r="J9669">
        <v>1</v>
      </c>
      <c r="K9669">
        <v>192</v>
      </c>
      <c r="L9669">
        <v>539</v>
      </c>
      <c r="M9669">
        <v>1</v>
      </c>
      <c r="N9669">
        <v>1.8286200000000001E-154</v>
      </c>
      <c r="O9669">
        <v>1398</v>
      </c>
    </row>
    <row r="9670" spans="1:15" x14ac:dyDescent="0.25">
      <c r="A9670" t="s">
        <v>9683</v>
      </c>
      <c r="B9670">
        <v>137</v>
      </c>
      <c r="C9670" s="1" t="str">
        <f>HYPERLINK("http://www.rosaceae.org/gb/gbrowse/malus_x_domestica/?name=MDP0000241635","MDP0000241635")</f>
        <v>MDP0000241635</v>
      </c>
      <c r="D9670">
        <v>59.83</v>
      </c>
      <c r="E9670">
        <v>122</v>
      </c>
      <c r="F9670">
        <v>49</v>
      </c>
      <c r="G9670">
        <v>0</v>
      </c>
      <c r="H9670">
        <v>6</v>
      </c>
      <c r="I9670">
        <v>127</v>
      </c>
      <c r="J9670">
        <v>1</v>
      </c>
      <c r="K9670">
        <v>53</v>
      </c>
      <c r="L9670">
        <v>174</v>
      </c>
      <c r="M9670">
        <v>1</v>
      </c>
      <c r="N9670">
        <v>8.4052199999999996E-36</v>
      </c>
      <c r="O9670">
        <v>367</v>
      </c>
    </row>
    <row r="9671" spans="1:15" x14ac:dyDescent="0.25">
      <c r="A9671" t="s">
        <v>9684</v>
      </c>
      <c r="B9671">
        <v>1033</v>
      </c>
      <c r="C9671" s="1" t="str">
        <f>HYPERLINK("http://www.rosaceae.org/gb/gbrowse/malus_x_domestica/?name=MDP0000869084","MDP0000869084")</f>
        <v>MDP0000869084</v>
      </c>
      <c r="D9671">
        <v>43</v>
      </c>
      <c r="E9671">
        <v>758</v>
      </c>
      <c r="F9671">
        <v>432</v>
      </c>
      <c r="G9671">
        <v>106</v>
      </c>
      <c r="H9671">
        <v>2</v>
      </c>
      <c r="I9671">
        <v>656</v>
      </c>
      <c r="J9671">
        <v>1</v>
      </c>
      <c r="K9671">
        <v>19</v>
      </c>
      <c r="L9671">
        <v>773</v>
      </c>
      <c r="M9671">
        <v>1</v>
      </c>
      <c r="N9671">
        <v>8.0897700000000001E-132</v>
      </c>
      <c r="O9671">
        <v>1206</v>
      </c>
    </row>
    <row r="9672" spans="1:15" x14ac:dyDescent="0.25">
      <c r="A9672" t="s">
        <v>9685</v>
      </c>
      <c r="B9672">
        <v>516</v>
      </c>
      <c r="C9672" s="1" t="str">
        <f>HYPERLINK("http://www.rosaceae.org/gb/gbrowse/malus_x_domestica/?name=MDP0000089058","MDP0000089058")</f>
        <v>MDP0000089058</v>
      </c>
      <c r="D9672">
        <v>90.9</v>
      </c>
      <c r="E9672">
        <v>286</v>
      </c>
      <c r="F9672">
        <v>26</v>
      </c>
      <c r="G9672">
        <v>2</v>
      </c>
      <c r="H9672">
        <v>1</v>
      </c>
      <c r="I9672">
        <v>286</v>
      </c>
      <c r="J9672">
        <v>1</v>
      </c>
      <c r="K9672">
        <v>1</v>
      </c>
      <c r="L9672">
        <v>284</v>
      </c>
      <c r="M9672">
        <v>1</v>
      </c>
      <c r="N9672">
        <v>2.4669899999999999E-154</v>
      </c>
      <c r="O9672">
        <v>1398</v>
      </c>
    </row>
    <row r="9673" spans="1:15" x14ac:dyDescent="0.25">
      <c r="A9673" t="s">
        <v>9686</v>
      </c>
      <c r="B9673">
        <v>424</v>
      </c>
      <c r="C9673" s="1" t="str">
        <f>HYPERLINK("http://www.rosaceae.org/gb/gbrowse/malus_x_domestica/?name=MDP0000319369","MDP0000319369")</f>
        <v>MDP0000319369</v>
      </c>
      <c r="D9673">
        <v>82.31</v>
      </c>
      <c r="E9673">
        <v>441</v>
      </c>
      <c r="F9673">
        <v>78</v>
      </c>
      <c r="G9673">
        <v>17</v>
      </c>
      <c r="H9673">
        <v>1</v>
      </c>
      <c r="I9673">
        <v>424</v>
      </c>
      <c r="J9673">
        <v>1</v>
      </c>
      <c r="K9673">
        <v>1</v>
      </c>
      <c r="L9673">
        <v>441</v>
      </c>
      <c r="M9673">
        <v>1</v>
      </c>
      <c r="N9673">
        <v>0</v>
      </c>
      <c r="O9673">
        <v>1930</v>
      </c>
    </row>
    <row r="9674" spans="1:15" x14ac:dyDescent="0.25">
      <c r="A9674" t="s">
        <v>9687</v>
      </c>
      <c r="B9674">
        <v>244</v>
      </c>
      <c r="C9674" s="1" t="str">
        <f>HYPERLINK("http://www.rosaceae.org/gb/gbrowse/malus_x_domestica/?name=MDP0000137221","MDP0000137221")</f>
        <v>MDP0000137221</v>
      </c>
      <c r="D9674">
        <v>63.39</v>
      </c>
      <c r="E9674">
        <v>112</v>
      </c>
      <c r="F9674">
        <v>41</v>
      </c>
      <c r="G9674">
        <v>4</v>
      </c>
      <c r="H9674">
        <v>52</v>
      </c>
      <c r="I9674">
        <v>159</v>
      </c>
      <c r="J9674">
        <v>1</v>
      </c>
      <c r="K9674">
        <v>22</v>
      </c>
      <c r="L9674">
        <v>133</v>
      </c>
      <c r="M9674">
        <v>1</v>
      </c>
      <c r="N9674">
        <v>3.6766700000000001E-29</v>
      </c>
      <c r="O9674">
        <v>314</v>
      </c>
    </row>
    <row r="9675" spans="1:15" x14ac:dyDescent="0.25">
      <c r="A9675" t="s">
        <v>9688</v>
      </c>
      <c r="B9675">
        <v>446</v>
      </c>
      <c r="C9675" s="1" t="str">
        <f>HYPERLINK("http://www.rosaceae.org/gb/gbrowse/malus_x_domestica/?name=MDP0000163248","MDP0000163248")</f>
        <v>MDP0000163248</v>
      </c>
      <c r="D9675">
        <v>88.66</v>
      </c>
      <c r="E9675">
        <v>450</v>
      </c>
      <c r="F9675">
        <v>51</v>
      </c>
      <c r="G9675">
        <v>4</v>
      </c>
      <c r="H9675">
        <v>1</v>
      </c>
      <c r="I9675">
        <v>446</v>
      </c>
      <c r="J9675">
        <v>1</v>
      </c>
      <c r="K9675">
        <v>1</v>
      </c>
      <c r="L9675">
        <v>450</v>
      </c>
      <c r="M9675">
        <v>1</v>
      </c>
      <c r="N9675">
        <v>0</v>
      </c>
      <c r="O9675">
        <v>2087</v>
      </c>
    </row>
    <row r="9676" spans="1:15" x14ac:dyDescent="0.25">
      <c r="A9676" t="s">
        <v>9689</v>
      </c>
      <c r="B9676">
        <v>543</v>
      </c>
      <c r="C9676" s="1" t="str">
        <f>HYPERLINK("http://www.rosaceae.org/gb/gbrowse/malus_x_domestica/?name=MDP0000125687","MDP0000125687")</f>
        <v>MDP0000125687</v>
      </c>
      <c r="D9676">
        <v>73.25</v>
      </c>
      <c r="E9676">
        <v>587</v>
      </c>
      <c r="F9676">
        <v>157</v>
      </c>
      <c r="G9676">
        <v>71</v>
      </c>
      <c r="H9676">
        <v>9</v>
      </c>
      <c r="I9676">
        <v>524</v>
      </c>
      <c r="J9676">
        <v>1</v>
      </c>
      <c r="K9676">
        <v>8</v>
      </c>
      <c r="L9676">
        <v>594</v>
      </c>
      <c r="M9676">
        <v>1</v>
      </c>
      <c r="N9676">
        <v>0</v>
      </c>
      <c r="O9676">
        <v>2183</v>
      </c>
    </row>
    <row r="9677" spans="1:15" x14ac:dyDescent="0.25">
      <c r="A9677" t="s">
        <v>9690</v>
      </c>
      <c r="B9677">
        <v>637</v>
      </c>
      <c r="C9677" s="1" t="str">
        <f>HYPERLINK("http://www.rosaceae.org/gb/gbrowse/malus_x_domestica/?name=MDP0000314158","MDP0000314158")</f>
        <v>MDP0000314158</v>
      </c>
      <c r="D9677">
        <v>31.01</v>
      </c>
      <c r="E9677">
        <v>216</v>
      </c>
      <c r="F9677">
        <v>149</v>
      </c>
      <c r="G9677">
        <v>4</v>
      </c>
      <c r="H9677">
        <v>351</v>
      </c>
      <c r="I9677">
        <v>565</v>
      </c>
      <c r="J9677">
        <v>1</v>
      </c>
      <c r="K9677">
        <v>331</v>
      </c>
      <c r="L9677">
        <v>543</v>
      </c>
      <c r="M9677">
        <v>1</v>
      </c>
      <c r="N9677">
        <v>1.5781099999999999E-19</v>
      </c>
      <c r="O9677">
        <v>236</v>
      </c>
    </row>
    <row r="9678" spans="1:15" x14ac:dyDescent="0.25">
      <c r="A9678" t="s">
        <v>9691</v>
      </c>
      <c r="B9678">
        <v>254</v>
      </c>
      <c r="C9678" s="1" t="str">
        <f>HYPERLINK("http://www.rosaceae.org/gb/gbrowse/malus_x_domestica/?name=MDP0000165349","MDP0000165349")</f>
        <v>MDP0000165349</v>
      </c>
      <c r="D9678">
        <v>43.27</v>
      </c>
      <c r="E9678">
        <v>171</v>
      </c>
      <c r="F9678">
        <v>97</v>
      </c>
      <c r="G9678">
        <v>7</v>
      </c>
      <c r="H9678">
        <v>15</v>
      </c>
      <c r="I9678">
        <v>179</v>
      </c>
      <c r="J9678">
        <v>1</v>
      </c>
      <c r="K9678">
        <v>23</v>
      </c>
      <c r="L9678">
        <v>192</v>
      </c>
      <c r="M9678">
        <v>1</v>
      </c>
      <c r="N9678">
        <v>1.6805400000000001E-27</v>
      </c>
      <c r="O9678">
        <v>300</v>
      </c>
    </row>
    <row r="9679" spans="1:15" x14ac:dyDescent="0.25">
      <c r="A9679" t="s">
        <v>9692</v>
      </c>
      <c r="B9679">
        <v>1469</v>
      </c>
      <c r="C9679" s="1" t="str">
        <f>HYPERLINK("http://www.rosaceae.org/gb/gbrowse/malus_x_domestica/?name=MDP0000308990","MDP0000308990")</f>
        <v>MDP0000308990</v>
      </c>
      <c r="D9679">
        <v>78.23</v>
      </c>
      <c r="E9679">
        <v>1438</v>
      </c>
      <c r="F9679">
        <v>313</v>
      </c>
      <c r="G9679">
        <v>36</v>
      </c>
      <c r="H9679">
        <v>1</v>
      </c>
      <c r="I9679">
        <v>1423</v>
      </c>
      <c r="J9679">
        <v>1</v>
      </c>
      <c r="K9679">
        <v>157</v>
      </c>
      <c r="L9679">
        <v>1573</v>
      </c>
      <c r="M9679">
        <v>1</v>
      </c>
      <c r="N9679">
        <v>0</v>
      </c>
      <c r="O9679">
        <v>5852</v>
      </c>
    </row>
    <row r="9680" spans="1:15" x14ac:dyDescent="0.25">
      <c r="A9680" t="s">
        <v>9693</v>
      </c>
      <c r="B9680">
        <v>161</v>
      </c>
      <c r="C9680" s="1" t="str">
        <f>HYPERLINK("http://www.rosaceae.org/gb/gbrowse/malus_x_domestica/?name=MDP0000132875","MDP0000132875")</f>
        <v>MDP0000132875</v>
      </c>
      <c r="D9680">
        <v>75.150000000000006</v>
      </c>
      <c r="E9680">
        <v>165</v>
      </c>
      <c r="F9680">
        <v>41</v>
      </c>
      <c r="G9680">
        <v>5</v>
      </c>
      <c r="H9680">
        <v>1</v>
      </c>
      <c r="I9680">
        <v>160</v>
      </c>
      <c r="J9680">
        <v>1</v>
      </c>
      <c r="K9680">
        <v>19</v>
      </c>
      <c r="L9680">
        <v>183</v>
      </c>
      <c r="M9680">
        <v>1</v>
      </c>
      <c r="N9680">
        <v>5.6030900000000003E-71</v>
      </c>
      <c r="O9680">
        <v>672</v>
      </c>
    </row>
    <row r="9681" spans="1:15" x14ac:dyDescent="0.25">
      <c r="A9681" t="s">
        <v>9694</v>
      </c>
      <c r="B9681">
        <v>876</v>
      </c>
      <c r="C9681" s="1" t="str">
        <f>HYPERLINK("http://www.rosaceae.org/gb/gbrowse/malus_x_domestica/?name=MDP0000292449","MDP0000292449")</f>
        <v>MDP0000292449</v>
      </c>
      <c r="D9681">
        <v>63.29</v>
      </c>
      <c r="E9681">
        <v>820</v>
      </c>
      <c r="F9681">
        <v>301</v>
      </c>
      <c r="G9681">
        <v>49</v>
      </c>
      <c r="H9681">
        <v>97</v>
      </c>
      <c r="I9681">
        <v>876</v>
      </c>
      <c r="J9681">
        <v>1</v>
      </c>
      <c r="K9681">
        <v>1</v>
      </c>
      <c r="L9681">
        <v>811</v>
      </c>
      <c r="M9681">
        <v>1</v>
      </c>
      <c r="N9681">
        <v>0</v>
      </c>
      <c r="O9681">
        <v>2448</v>
      </c>
    </row>
    <row r="9682" spans="1:15" x14ac:dyDescent="0.25">
      <c r="A9682" t="s">
        <v>9695</v>
      </c>
      <c r="B9682">
        <v>297</v>
      </c>
      <c r="C9682" s="1" t="str">
        <f>HYPERLINK("http://www.rosaceae.org/gb/gbrowse/malus_x_domestica/?name=MDP0000145511","MDP0000145511")</f>
        <v>MDP0000145511</v>
      </c>
      <c r="D9682">
        <v>59.7</v>
      </c>
      <c r="E9682">
        <v>268</v>
      </c>
      <c r="F9682">
        <v>108</v>
      </c>
      <c r="G9682">
        <v>48</v>
      </c>
      <c r="H9682">
        <v>1</v>
      </c>
      <c r="I9682">
        <v>220</v>
      </c>
      <c r="J9682">
        <v>1</v>
      </c>
      <c r="K9682">
        <v>1</v>
      </c>
      <c r="L9682">
        <v>268</v>
      </c>
      <c r="M9682">
        <v>1</v>
      </c>
      <c r="N9682">
        <v>2.5697800000000002E-75</v>
      </c>
      <c r="O9682">
        <v>713</v>
      </c>
    </row>
    <row r="9683" spans="1:15" x14ac:dyDescent="0.25">
      <c r="A9683" t="s">
        <v>9696</v>
      </c>
      <c r="B9683">
        <v>304</v>
      </c>
      <c r="C9683" s="1" t="str">
        <f>HYPERLINK("http://www.rosaceae.org/gb/gbrowse/malus_x_domestica/?name=MDP0000134805","MDP0000134805")</f>
        <v>MDP0000134805</v>
      </c>
      <c r="D9683">
        <v>79.61</v>
      </c>
      <c r="E9683">
        <v>309</v>
      </c>
      <c r="F9683">
        <v>63</v>
      </c>
      <c r="G9683">
        <v>7</v>
      </c>
      <c r="H9683">
        <v>1</v>
      </c>
      <c r="I9683">
        <v>304</v>
      </c>
      <c r="J9683">
        <v>1</v>
      </c>
      <c r="K9683">
        <v>1</v>
      </c>
      <c r="L9683">
        <v>307</v>
      </c>
      <c r="M9683">
        <v>1</v>
      </c>
      <c r="N9683">
        <v>1.98738E-134</v>
      </c>
      <c r="O9683">
        <v>1223</v>
      </c>
    </row>
    <row r="9684" spans="1:15" x14ac:dyDescent="0.25">
      <c r="A9684" t="s">
        <v>9697</v>
      </c>
      <c r="B9684">
        <v>368</v>
      </c>
      <c r="C9684" s="1" t="str">
        <f>HYPERLINK("http://www.rosaceae.org/gb/gbrowse/malus_x_domestica/?name=MDP0000598998","MDP0000598998")</f>
        <v>MDP0000598998</v>
      </c>
      <c r="D9684">
        <v>52.22</v>
      </c>
      <c r="E9684">
        <v>360</v>
      </c>
      <c r="F9684">
        <v>172</v>
      </c>
      <c r="G9684">
        <v>15</v>
      </c>
      <c r="H9684">
        <v>20</v>
      </c>
      <c r="I9684">
        <v>367</v>
      </c>
      <c r="J9684">
        <v>1</v>
      </c>
      <c r="K9684">
        <v>19</v>
      </c>
      <c r="L9684">
        <v>375</v>
      </c>
      <c r="M9684">
        <v>1</v>
      </c>
      <c r="N9684">
        <v>1.3949700000000001E-98</v>
      </c>
      <c r="O9684">
        <v>915</v>
      </c>
    </row>
    <row r="9685" spans="1:15" x14ac:dyDescent="0.25">
      <c r="A9685" t="s">
        <v>9698</v>
      </c>
      <c r="B9685">
        <v>355</v>
      </c>
      <c r="C9685" s="1" t="str">
        <f>HYPERLINK("http://www.rosaceae.org/gb/gbrowse/malus_x_domestica/?name=MDP0000426862","MDP0000426862")</f>
        <v>MDP0000426862</v>
      </c>
      <c r="D9685">
        <v>61.77</v>
      </c>
      <c r="E9685">
        <v>225</v>
      </c>
      <c r="F9685">
        <v>86</v>
      </c>
      <c r="G9685">
        <v>6</v>
      </c>
      <c r="H9685">
        <v>114</v>
      </c>
      <c r="I9685">
        <v>332</v>
      </c>
      <c r="J9685">
        <v>1</v>
      </c>
      <c r="K9685">
        <v>239</v>
      </c>
      <c r="L9685">
        <v>463</v>
      </c>
      <c r="M9685">
        <v>1</v>
      </c>
      <c r="N9685">
        <v>1.05043E-67</v>
      </c>
      <c r="O9685">
        <v>649</v>
      </c>
    </row>
    <row r="9686" spans="1:15" x14ac:dyDescent="0.25">
      <c r="A9686" t="s">
        <v>9699</v>
      </c>
      <c r="B9686">
        <v>1384</v>
      </c>
      <c r="C9686" s="1" t="str">
        <f>HYPERLINK("http://www.rosaceae.org/gb/gbrowse/malus_x_domestica/?name=MDP0000740279","MDP0000740279")</f>
        <v>MDP0000740279</v>
      </c>
      <c r="D9686">
        <v>65.28</v>
      </c>
      <c r="E9686">
        <v>749</v>
      </c>
      <c r="F9686">
        <v>260</v>
      </c>
      <c r="G9686">
        <v>45</v>
      </c>
      <c r="H9686">
        <v>112</v>
      </c>
      <c r="I9686">
        <v>858</v>
      </c>
      <c r="J9686">
        <v>1</v>
      </c>
      <c r="K9686">
        <v>27</v>
      </c>
      <c r="L9686">
        <v>732</v>
      </c>
      <c r="M9686">
        <v>1</v>
      </c>
      <c r="N9686">
        <v>0</v>
      </c>
      <c r="O9686">
        <v>2530</v>
      </c>
    </row>
    <row r="9687" spans="1:15" x14ac:dyDescent="0.25">
      <c r="A9687" t="s">
        <v>9700</v>
      </c>
      <c r="B9687">
        <v>221</v>
      </c>
      <c r="C9687" s="1" t="str">
        <f>HYPERLINK("http://www.rosaceae.org/gb/gbrowse/malus_x_domestica/?name=MDP0000275880","MDP0000275880")</f>
        <v>MDP0000275880</v>
      </c>
      <c r="D9687">
        <v>67.28</v>
      </c>
      <c r="E9687">
        <v>214</v>
      </c>
      <c r="F9687">
        <v>70</v>
      </c>
      <c r="G9687">
        <v>37</v>
      </c>
      <c r="H9687">
        <v>1</v>
      </c>
      <c r="I9687">
        <v>188</v>
      </c>
      <c r="J9687">
        <v>1</v>
      </c>
      <c r="K9687">
        <v>52</v>
      </c>
      <c r="L9687">
        <v>254</v>
      </c>
      <c r="M9687">
        <v>1</v>
      </c>
      <c r="N9687">
        <v>5.6905600000000001E-72</v>
      </c>
      <c r="O9687">
        <v>683</v>
      </c>
    </row>
    <row r="9688" spans="1:15" x14ac:dyDescent="0.25">
      <c r="A9688" t="s">
        <v>9701</v>
      </c>
      <c r="B9688">
        <v>153</v>
      </c>
      <c r="C9688" s="1" t="str">
        <f>HYPERLINK("http://www.rosaceae.org/gb/gbrowse/malus_x_domestica/?name=MDP0000459932","MDP0000459932")</f>
        <v>MDP0000459932</v>
      </c>
      <c r="D9688">
        <v>62.5</v>
      </c>
      <c r="E9688">
        <v>152</v>
      </c>
      <c r="F9688">
        <v>57</v>
      </c>
      <c r="G9688">
        <v>11</v>
      </c>
      <c r="H9688">
        <v>10</v>
      </c>
      <c r="I9688">
        <v>150</v>
      </c>
      <c r="J9688">
        <v>1</v>
      </c>
      <c r="K9688">
        <v>252</v>
      </c>
      <c r="L9688">
        <v>403</v>
      </c>
      <c r="M9688">
        <v>1</v>
      </c>
      <c r="N9688">
        <v>5.4051200000000005E-51</v>
      </c>
      <c r="O9688">
        <v>499</v>
      </c>
    </row>
    <row r="9689" spans="1:15" x14ac:dyDescent="0.25">
      <c r="A9689" t="s">
        <v>9702</v>
      </c>
      <c r="B9689">
        <v>902</v>
      </c>
      <c r="C9689" s="1" t="str">
        <f>HYPERLINK("http://www.rosaceae.org/gb/gbrowse/malus_x_domestica/?name=MDP0000136140","MDP0000136140")</f>
        <v>MDP0000136140</v>
      </c>
      <c r="D9689">
        <v>74.16</v>
      </c>
      <c r="E9689">
        <v>418</v>
      </c>
      <c r="F9689">
        <v>108</v>
      </c>
      <c r="G9689">
        <v>38</v>
      </c>
      <c r="H9689">
        <v>403</v>
      </c>
      <c r="I9689">
        <v>820</v>
      </c>
      <c r="J9689">
        <v>1</v>
      </c>
      <c r="K9689">
        <v>487</v>
      </c>
      <c r="L9689">
        <v>866</v>
      </c>
      <c r="M9689">
        <v>1</v>
      </c>
      <c r="N9689">
        <v>0</v>
      </c>
      <c r="O9689">
        <v>1632</v>
      </c>
    </row>
    <row r="9690" spans="1:15" x14ac:dyDescent="0.25">
      <c r="A9690" t="s">
        <v>9703</v>
      </c>
      <c r="B9690">
        <v>235</v>
      </c>
      <c r="C9690" s="1" t="str">
        <f>HYPERLINK("http://www.rosaceae.org/gb/gbrowse/malus_x_domestica/?name=MDP0000161222","MDP0000161222")</f>
        <v>MDP0000161222</v>
      </c>
      <c r="D9690">
        <v>29.76</v>
      </c>
      <c r="E9690">
        <v>168</v>
      </c>
      <c r="F9690">
        <v>118</v>
      </c>
      <c r="G9690">
        <v>12</v>
      </c>
      <c r="H9690">
        <v>42</v>
      </c>
      <c r="I9690">
        <v>208</v>
      </c>
      <c r="J9690">
        <v>1</v>
      </c>
      <c r="K9690">
        <v>657</v>
      </c>
      <c r="L9690">
        <v>813</v>
      </c>
      <c r="M9690">
        <v>1</v>
      </c>
      <c r="N9690">
        <v>9.5285499999999998E-12</v>
      </c>
      <c r="O9690">
        <v>164</v>
      </c>
    </row>
    <row r="9691" spans="1:15" x14ac:dyDescent="0.25">
      <c r="A9691" t="s">
        <v>9704</v>
      </c>
      <c r="B9691">
        <v>159</v>
      </c>
      <c r="C9691" s="1" t="str">
        <f>HYPERLINK("http://www.rosaceae.org/gb/gbrowse/malus_x_domestica/?name=MDP0000167676","MDP0000167676")</f>
        <v>MDP0000167676</v>
      </c>
      <c r="D9691">
        <v>57.26</v>
      </c>
      <c r="E9691">
        <v>117</v>
      </c>
      <c r="F9691">
        <v>50</v>
      </c>
      <c r="G9691">
        <v>4</v>
      </c>
      <c r="H9691">
        <v>42</v>
      </c>
      <c r="I9691">
        <v>155</v>
      </c>
      <c r="J9691">
        <v>1</v>
      </c>
      <c r="K9691">
        <v>55</v>
      </c>
      <c r="L9691">
        <v>170</v>
      </c>
      <c r="M9691">
        <v>1</v>
      </c>
      <c r="N9691">
        <v>1.4840199999999999E-29</v>
      </c>
      <c r="O9691">
        <v>315</v>
      </c>
    </row>
    <row r="9692" spans="1:15" x14ac:dyDescent="0.25">
      <c r="A9692" t="s">
        <v>9705</v>
      </c>
      <c r="B9692">
        <v>695</v>
      </c>
      <c r="C9692" s="1" t="str">
        <f>HYPERLINK("http://www.rosaceae.org/gb/gbrowse/malus_x_domestica/?name=MDP0000273083","MDP0000273083")</f>
        <v>MDP0000273083</v>
      </c>
      <c r="D9692">
        <v>50.5</v>
      </c>
      <c r="E9692">
        <v>699</v>
      </c>
      <c r="F9692">
        <v>346</v>
      </c>
      <c r="G9692">
        <v>54</v>
      </c>
      <c r="H9692">
        <v>26</v>
      </c>
      <c r="I9692">
        <v>686</v>
      </c>
      <c r="J9692">
        <v>1</v>
      </c>
      <c r="K9692">
        <v>132</v>
      </c>
      <c r="L9692">
        <v>814</v>
      </c>
      <c r="M9692">
        <v>1</v>
      </c>
      <c r="N9692">
        <v>0</v>
      </c>
      <c r="O9692">
        <v>1774</v>
      </c>
    </row>
    <row r="9693" spans="1:15" x14ac:dyDescent="0.25">
      <c r="A9693" t="s">
        <v>9706</v>
      </c>
      <c r="B9693">
        <v>204</v>
      </c>
      <c r="C9693" s="1" t="str">
        <f>HYPERLINK("http://www.rosaceae.org/gb/gbrowse/malus_x_domestica/?name=MDP0000156152","MDP0000156152")</f>
        <v>MDP0000156152</v>
      </c>
      <c r="D9693">
        <v>39.729999999999997</v>
      </c>
      <c r="E9693">
        <v>151</v>
      </c>
      <c r="F9693">
        <v>91</v>
      </c>
      <c r="G9693">
        <v>22</v>
      </c>
      <c r="H9693">
        <v>24</v>
      </c>
      <c r="I9693">
        <v>160</v>
      </c>
      <c r="J9693">
        <v>1</v>
      </c>
      <c r="K9693">
        <v>7</v>
      </c>
      <c r="L9693">
        <v>149</v>
      </c>
      <c r="M9693">
        <v>1</v>
      </c>
      <c r="N9693">
        <v>6.3917300000000004E-17</v>
      </c>
      <c r="O9693">
        <v>208</v>
      </c>
    </row>
    <row r="9694" spans="1:15" x14ac:dyDescent="0.25">
      <c r="A9694" t="s">
        <v>9707</v>
      </c>
      <c r="B9694">
        <v>539</v>
      </c>
      <c r="C9694" s="1" t="str">
        <f>HYPERLINK("http://www.rosaceae.org/gb/gbrowse/malus_x_domestica/?name=MDP0000907712","MDP0000907712")</f>
        <v>MDP0000907712</v>
      </c>
      <c r="D9694">
        <v>72.459999999999994</v>
      </c>
      <c r="E9694">
        <v>552</v>
      </c>
      <c r="F9694">
        <v>152</v>
      </c>
      <c r="G9694">
        <v>23</v>
      </c>
      <c r="H9694">
        <v>1</v>
      </c>
      <c r="I9694">
        <v>536</v>
      </c>
      <c r="J9694">
        <v>1</v>
      </c>
      <c r="K9694">
        <v>1</v>
      </c>
      <c r="L9694">
        <v>545</v>
      </c>
      <c r="M9694">
        <v>1</v>
      </c>
      <c r="N9694">
        <v>0</v>
      </c>
      <c r="O9694">
        <v>1999</v>
      </c>
    </row>
    <row r="9695" spans="1:15" x14ac:dyDescent="0.25">
      <c r="A9695" t="s">
        <v>9708</v>
      </c>
      <c r="B9695">
        <v>413</v>
      </c>
      <c r="C9695" s="1" t="str">
        <f>HYPERLINK("http://www.rosaceae.org/gb/gbrowse/malus_x_domestica/?name=MDP0000265840","MDP0000265840")</f>
        <v>MDP0000265840</v>
      </c>
      <c r="D9695">
        <v>70.209999999999994</v>
      </c>
      <c r="E9695">
        <v>423</v>
      </c>
      <c r="F9695">
        <v>126</v>
      </c>
      <c r="G9695">
        <v>14</v>
      </c>
      <c r="H9695">
        <v>1</v>
      </c>
      <c r="I9695">
        <v>413</v>
      </c>
      <c r="J9695">
        <v>1</v>
      </c>
      <c r="K9695">
        <v>1</v>
      </c>
      <c r="L9695">
        <v>419</v>
      </c>
      <c r="M9695">
        <v>1</v>
      </c>
      <c r="N9695">
        <v>4.2306400000000001E-159</v>
      </c>
      <c r="O9695">
        <v>1438</v>
      </c>
    </row>
    <row r="9696" spans="1:15" x14ac:dyDescent="0.25">
      <c r="A9696" t="s">
        <v>9709</v>
      </c>
      <c r="B9696">
        <v>125</v>
      </c>
      <c r="C9696" s="1" t="str">
        <f>HYPERLINK("http://www.rosaceae.org/gb/gbrowse/malus_x_domestica/?name=MDP0000781442","MDP0000781442")</f>
        <v>MDP0000781442</v>
      </c>
      <c r="D9696">
        <v>88.18</v>
      </c>
      <c r="E9696">
        <v>127</v>
      </c>
      <c r="F9696">
        <v>15</v>
      </c>
      <c r="G9696">
        <v>3</v>
      </c>
      <c r="H9696">
        <v>1</v>
      </c>
      <c r="I9696">
        <v>125</v>
      </c>
      <c r="J9696">
        <v>1</v>
      </c>
      <c r="K9696">
        <v>1</v>
      </c>
      <c r="L9696">
        <v>126</v>
      </c>
      <c r="M9696">
        <v>1</v>
      </c>
      <c r="N9696">
        <v>1.4943399999999999E-60</v>
      </c>
      <c r="O9696">
        <v>580</v>
      </c>
    </row>
    <row r="9697" spans="1:15" x14ac:dyDescent="0.25">
      <c r="A9697" t="s">
        <v>9710</v>
      </c>
      <c r="B9697">
        <v>508</v>
      </c>
      <c r="C9697" s="1" t="str">
        <f>HYPERLINK("http://www.rosaceae.org/gb/gbrowse/malus_x_domestica/?name=MDP0000759015","MDP0000759015")</f>
        <v>MDP0000759015</v>
      </c>
      <c r="D9697">
        <v>76.05</v>
      </c>
      <c r="E9697">
        <v>451</v>
      </c>
      <c r="F9697">
        <v>108</v>
      </c>
      <c r="G9697">
        <v>18</v>
      </c>
      <c r="H9697">
        <v>75</v>
      </c>
      <c r="I9697">
        <v>507</v>
      </c>
      <c r="J9697">
        <v>1</v>
      </c>
      <c r="K9697">
        <v>1</v>
      </c>
      <c r="L9697">
        <v>451</v>
      </c>
      <c r="M9697">
        <v>1</v>
      </c>
      <c r="N9697">
        <v>0</v>
      </c>
      <c r="O9697">
        <v>1883</v>
      </c>
    </row>
    <row r="9698" spans="1:15" x14ac:dyDescent="0.25">
      <c r="A9698" t="s">
        <v>9711</v>
      </c>
      <c r="B9698">
        <v>736</v>
      </c>
      <c r="C9698" s="1" t="str">
        <f>HYPERLINK("http://www.rosaceae.org/gb/gbrowse/malus_x_domestica/?name=MDP0000270811","MDP0000270811")</f>
        <v>MDP0000270811</v>
      </c>
      <c r="D9698">
        <v>64.02</v>
      </c>
      <c r="E9698">
        <v>731</v>
      </c>
      <c r="F9698">
        <v>263</v>
      </c>
      <c r="G9698">
        <v>20</v>
      </c>
      <c r="H9698">
        <v>1</v>
      </c>
      <c r="I9698">
        <v>731</v>
      </c>
      <c r="J9698">
        <v>1</v>
      </c>
      <c r="K9698">
        <v>1</v>
      </c>
      <c r="L9698">
        <v>711</v>
      </c>
      <c r="M9698">
        <v>1</v>
      </c>
      <c r="N9698">
        <v>0</v>
      </c>
      <c r="O9698">
        <v>2356</v>
      </c>
    </row>
    <row r="9699" spans="1:15" x14ac:dyDescent="0.25">
      <c r="A9699" t="s">
        <v>9712</v>
      </c>
      <c r="B9699">
        <v>113</v>
      </c>
      <c r="C9699" s="1" t="str">
        <f>HYPERLINK("http://www.rosaceae.org/gb/gbrowse/malus_x_domestica/?name=MDP0000216511","MDP0000216511")</f>
        <v>MDP0000216511</v>
      </c>
      <c r="D9699">
        <v>58.82</v>
      </c>
      <c r="E9699">
        <v>68</v>
      </c>
      <c r="F9699">
        <v>28</v>
      </c>
      <c r="G9699">
        <v>6</v>
      </c>
      <c r="H9699">
        <v>28</v>
      </c>
      <c r="I9699">
        <v>90</v>
      </c>
      <c r="J9699">
        <v>1</v>
      </c>
      <c r="K9699">
        <v>205</v>
      </c>
      <c r="L9699">
        <v>271</v>
      </c>
      <c r="M9699">
        <v>1</v>
      </c>
      <c r="N9699">
        <v>1.80424E-12</v>
      </c>
      <c r="O9699">
        <v>165</v>
      </c>
    </row>
    <row r="9700" spans="1:15" x14ac:dyDescent="0.25">
      <c r="A9700" t="s">
        <v>9713</v>
      </c>
      <c r="B9700">
        <v>608</v>
      </c>
      <c r="C9700" s="1" t="str">
        <f>HYPERLINK("http://www.rosaceae.org/gb/gbrowse/malus_x_domestica/?name=MDP0000138927","MDP0000138927")</f>
        <v>MDP0000138927</v>
      </c>
      <c r="D9700">
        <v>83.27</v>
      </c>
      <c r="E9700">
        <v>556</v>
      </c>
      <c r="F9700">
        <v>93</v>
      </c>
      <c r="G9700">
        <v>3</v>
      </c>
      <c r="H9700">
        <v>54</v>
      </c>
      <c r="I9700">
        <v>608</v>
      </c>
      <c r="J9700">
        <v>1</v>
      </c>
      <c r="K9700">
        <v>10</v>
      </c>
      <c r="L9700">
        <v>563</v>
      </c>
      <c r="M9700">
        <v>1</v>
      </c>
      <c r="N9700">
        <v>0</v>
      </c>
      <c r="O9700">
        <v>2473</v>
      </c>
    </row>
    <row r="9701" spans="1:15" x14ac:dyDescent="0.25">
      <c r="A9701" t="s">
        <v>9714</v>
      </c>
      <c r="B9701">
        <v>431</v>
      </c>
      <c r="C9701" s="1" t="str">
        <f>HYPERLINK("http://www.rosaceae.org/gb/gbrowse/malus_x_domestica/?name=MDP0000348471","MDP0000348471")</f>
        <v>MDP0000348471</v>
      </c>
      <c r="D9701">
        <v>59.16</v>
      </c>
      <c r="E9701">
        <v>431</v>
      </c>
      <c r="F9701">
        <v>176</v>
      </c>
      <c r="G9701">
        <v>21</v>
      </c>
      <c r="H9701">
        <v>1</v>
      </c>
      <c r="I9701">
        <v>431</v>
      </c>
      <c r="J9701">
        <v>1</v>
      </c>
      <c r="K9701">
        <v>3</v>
      </c>
      <c r="L9701">
        <v>412</v>
      </c>
      <c r="M9701">
        <v>1</v>
      </c>
      <c r="N9701">
        <v>9.3175999999999995E-136</v>
      </c>
      <c r="O9701">
        <v>1237</v>
      </c>
    </row>
    <row r="9702" spans="1:15" x14ac:dyDescent="0.25">
      <c r="A9702" t="s">
        <v>9715</v>
      </c>
      <c r="B9702">
        <v>1842</v>
      </c>
      <c r="C9702" s="1" t="str">
        <f>HYPERLINK("http://www.rosaceae.org/gb/gbrowse/malus_x_domestica/?name=MDP0000233228","MDP0000233228")</f>
        <v>MDP0000233228</v>
      </c>
      <c r="D9702">
        <v>65.41</v>
      </c>
      <c r="E9702">
        <v>1194</v>
      </c>
      <c r="F9702">
        <v>413</v>
      </c>
      <c r="G9702">
        <v>41</v>
      </c>
      <c r="H9702">
        <v>653</v>
      </c>
      <c r="I9702">
        <v>1825</v>
      </c>
      <c r="J9702">
        <v>1</v>
      </c>
      <c r="K9702">
        <v>749</v>
      </c>
      <c r="L9702">
        <v>1922</v>
      </c>
      <c r="M9702">
        <v>1</v>
      </c>
      <c r="N9702">
        <v>0</v>
      </c>
      <c r="O9702">
        <v>3776</v>
      </c>
    </row>
    <row r="9703" spans="1:15" x14ac:dyDescent="0.25">
      <c r="A9703" t="s">
        <v>9716</v>
      </c>
      <c r="B9703">
        <v>707</v>
      </c>
      <c r="C9703" s="1" t="str">
        <f>HYPERLINK("http://www.rosaceae.org/gb/gbrowse/malus_x_domestica/?name=MDP0000735252","MDP0000735252")</f>
        <v>MDP0000735252</v>
      </c>
      <c r="D9703">
        <v>79.400000000000006</v>
      </c>
      <c r="E9703">
        <v>709</v>
      </c>
      <c r="F9703">
        <v>146</v>
      </c>
      <c r="G9703">
        <v>5</v>
      </c>
      <c r="H9703">
        <v>1</v>
      </c>
      <c r="I9703">
        <v>707</v>
      </c>
      <c r="J9703">
        <v>1</v>
      </c>
      <c r="K9703">
        <v>1</v>
      </c>
      <c r="L9703">
        <v>706</v>
      </c>
      <c r="M9703">
        <v>1</v>
      </c>
      <c r="N9703">
        <v>0</v>
      </c>
      <c r="O9703">
        <v>3013</v>
      </c>
    </row>
    <row r="9704" spans="1:15" x14ac:dyDescent="0.25">
      <c r="A9704" t="s">
        <v>9717</v>
      </c>
      <c r="B9704">
        <v>284</v>
      </c>
      <c r="C9704" s="1" t="str">
        <f>HYPERLINK("http://www.rosaceae.org/gb/gbrowse/malus_x_domestica/?name=MDP0000252089","MDP0000252089")</f>
        <v>MDP0000252089</v>
      </c>
      <c r="D9704">
        <v>64.260000000000005</v>
      </c>
      <c r="E9704">
        <v>291</v>
      </c>
      <c r="F9704">
        <v>104</v>
      </c>
      <c r="G9704">
        <v>16</v>
      </c>
      <c r="H9704">
        <v>1</v>
      </c>
      <c r="I9704">
        <v>284</v>
      </c>
      <c r="J9704">
        <v>1</v>
      </c>
      <c r="K9704">
        <v>1</v>
      </c>
      <c r="L9704">
        <v>282</v>
      </c>
      <c r="M9704">
        <v>1</v>
      </c>
      <c r="N9704">
        <v>1.0905299999999999E-90</v>
      </c>
      <c r="O9704">
        <v>846</v>
      </c>
    </row>
    <row r="9705" spans="1:15" x14ac:dyDescent="0.25">
      <c r="A9705" t="s">
        <v>9718</v>
      </c>
      <c r="B9705">
        <v>221</v>
      </c>
      <c r="C9705" s="1" t="str">
        <f>HYPERLINK("http://www.rosaceae.org/gb/gbrowse/malus_x_domestica/?name=MDP0000254726","MDP0000254726")</f>
        <v>MDP0000254726</v>
      </c>
      <c r="D9705">
        <v>30.82</v>
      </c>
      <c r="E9705">
        <v>133</v>
      </c>
      <c r="F9705">
        <v>92</v>
      </c>
      <c r="G9705">
        <v>0</v>
      </c>
      <c r="H9705">
        <v>43</v>
      </c>
      <c r="I9705">
        <v>175</v>
      </c>
      <c r="J9705">
        <v>1</v>
      </c>
      <c r="K9705">
        <v>1</v>
      </c>
      <c r="L9705">
        <v>133</v>
      </c>
      <c r="M9705">
        <v>1</v>
      </c>
      <c r="N9705">
        <v>5.6879799999999996E-16</v>
      </c>
      <c r="O9705">
        <v>200</v>
      </c>
    </row>
    <row r="9706" spans="1:15" x14ac:dyDescent="0.25">
      <c r="A9706" t="s">
        <v>9719</v>
      </c>
      <c r="B9706">
        <v>2414</v>
      </c>
      <c r="C9706" s="1" t="str">
        <f>HYPERLINK("http://www.rosaceae.org/gb/gbrowse/malus_x_domestica/?name=MDP0000234427","MDP0000234427")</f>
        <v>MDP0000234427</v>
      </c>
      <c r="D9706">
        <v>65.83</v>
      </c>
      <c r="E9706">
        <v>2327</v>
      </c>
      <c r="F9706">
        <v>795</v>
      </c>
      <c r="G9706">
        <v>188</v>
      </c>
      <c r="H9706">
        <v>2</v>
      </c>
      <c r="I9706">
        <v>2318</v>
      </c>
      <c r="J9706">
        <v>1</v>
      </c>
      <c r="K9706">
        <v>4</v>
      </c>
      <c r="L9706">
        <v>2152</v>
      </c>
      <c r="M9706">
        <v>1</v>
      </c>
      <c r="N9706">
        <v>0</v>
      </c>
      <c r="O9706">
        <v>7608</v>
      </c>
    </row>
    <row r="9707" spans="1:15" x14ac:dyDescent="0.25">
      <c r="A9707" t="s">
        <v>9720</v>
      </c>
      <c r="B9707">
        <v>643</v>
      </c>
      <c r="C9707" s="1" t="str">
        <f>HYPERLINK("http://www.rosaceae.org/gb/gbrowse/malus_x_domestica/?name=MDP0000801540","MDP0000801540")</f>
        <v>MDP0000801540</v>
      </c>
      <c r="D9707">
        <v>56.87</v>
      </c>
      <c r="E9707">
        <v>684</v>
      </c>
      <c r="F9707">
        <v>295</v>
      </c>
      <c r="G9707">
        <v>96</v>
      </c>
      <c r="H9707">
        <v>15</v>
      </c>
      <c r="I9707">
        <v>643</v>
      </c>
      <c r="J9707">
        <v>1</v>
      </c>
      <c r="K9707">
        <v>17</v>
      </c>
      <c r="L9707">
        <v>659</v>
      </c>
      <c r="M9707">
        <v>1</v>
      </c>
      <c r="N9707">
        <v>0</v>
      </c>
      <c r="O9707">
        <v>1764</v>
      </c>
    </row>
    <row r="9708" spans="1:15" x14ac:dyDescent="0.25">
      <c r="A9708" t="s">
        <v>9721</v>
      </c>
      <c r="B9708">
        <v>250</v>
      </c>
      <c r="C9708" s="1" t="str">
        <f>HYPERLINK("http://www.rosaceae.org/gb/gbrowse/malus_x_domestica/?name=MDP0000405576","MDP0000405576")</f>
        <v>MDP0000405576</v>
      </c>
      <c r="D9708">
        <v>50.19</v>
      </c>
      <c r="E9708">
        <v>259</v>
      </c>
      <c r="F9708">
        <v>129</v>
      </c>
      <c r="G9708">
        <v>29</v>
      </c>
      <c r="H9708">
        <v>18</v>
      </c>
      <c r="I9708">
        <v>249</v>
      </c>
      <c r="J9708">
        <v>1</v>
      </c>
      <c r="K9708">
        <v>17</v>
      </c>
      <c r="L9708">
        <v>273</v>
      </c>
      <c r="M9708">
        <v>1</v>
      </c>
      <c r="N9708">
        <v>7.7900199999999996E-56</v>
      </c>
      <c r="O9708">
        <v>544</v>
      </c>
    </row>
    <row r="9709" spans="1:15" x14ac:dyDescent="0.25">
      <c r="A9709" t="s">
        <v>9722</v>
      </c>
      <c r="B9709">
        <v>633</v>
      </c>
      <c r="C9709" s="1" t="str">
        <f>HYPERLINK("http://www.rosaceae.org/gb/gbrowse/malus_x_domestica/?name=MDP0000220526","MDP0000220526")</f>
        <v>MDP0000220526</v>
      </c>
      <c r="D9709">
        <v>77.650000000000006</v>
      </c>
      <c r="E9709">
        <v>367</v>
      </c>
      <c r="F9709">
        <v>82</v>
      </c>
      <c r="G9709">
        <v>18</v>
      </c>
      <c r="H9709">
        <v>285</v>
      </c>
      <c r="I9709">
        <v>633</v>
      </c>
      <c r="J9709">
        <v>1</v>
      </c>
      <c r="K9709">
        <v>32</v>
      </c>
      <c r="L9709">
        <v>398</v>
      </c>
      <c r="M9709">
        <v>1</v>
      </c>
      <c r="N9709">
        <v>5.3919399999999998E-158</v>
      </c>
      <c r="O9709">
        <v>1430</v>
      </c>
    </row>
    <row r="9710" spans="1:15" x14ac:dyDescent="0.25">
      <c r="A9710" t="s">
        <v>9723</v>
      </c>
      <c r="B9710">
        <v>887</v>
      </c>
      <c r="C9710" s="1" t="str">
        <f>HYPERLINK("http://www.rosaceae.org/gb/gbrowse/malus_x_domestica/?name=MDP0000139147","MDP0000139147")</f>
        <v>MDP0000139147</v>
      </c>
      <c r="D9710">
        <v>57.96</v>
      </c>
      <c r="E9710">
        <v>383</v>
      </c>
      <c r="F9710">
        <v>161</v>
      </c>
      <c r="G9710">
        <v>32</v>
      </c>
      <c r="H9710">
        <v>315</v>
      </c>
      <c r="I9710">
        <v>670</v>
      </c>
      <c r="J9710">
        <v>1</v>
      </c>
      <c r="K9710">
        <v>19</v>
      </c>
      <c r="L9710">
        <v>396</v>
      </c>
      <c r="M9710">
        <v>1</v>
      </c>
      <c r="N9710">
        <v>1.22833E-115</v>
      </c>
      <c r="O9710">
        <v>1066</v>
      </c>
    </row>
    <row r="9711" spans="1:15" x14ac:dyDescent="0.25">
      <c r="A9711" t="s">
        <v>9724</v>
      </c>
      <c r="B9711">
        <v>108</v>
      </c>
      <c r="C9711" s="1" t="str">
        <f>HYPERLINK("http://www.rosaceae.org/gb/gbrowse/malus_x_domestica/?name=MDP0000901389","MDP0000901389")</f>
        <v>MDP0000901389</v>
      </c>
      <c r="D9711">
        <v>58.09</v>
      </c>
      <c r="E9711">
        <v>105</v>
      </c>
      <c r="F9711">
        <v>44</v>
      </c>
      <c r="G9711">
        <v>4</v>
      </c>
      <c r="H9711">
        <v>4</v>
      </c>
      <c r="I9711">
        <v>108</v>
      </c>
      <c r="J9711">
        <v>1</v>
      </c>
      <c r="K9711">
        <v>270</v>
      </c>
      <c r="L9711">
        <v>370</v>
      </c>
      <c r="M9711">
        <v>1</v>
      </c>
      <c r="N9711">
        <v>7.8531700000000003E-28</v>
      </c>
      <c r="O9711">
        <v>297</v>
      </c>
    </row>
    <row r="9712" spans="1:15" x14ac:dyDescent="0.25">
      <c r="A9712" t="s">
        <v>9725</v>
      </c>
      <c r="B9712">
        <v>512</v>
      </c>
      <c r="C9712" s="1" t="str">
        <f>HYPERLINK("http://www.rosaceae.org/gb/gbrowse/malus_x_domestica/?name=MDP0000317117","MDP0000317117")</f>
        <v>MDP0000317117</v>
      </c>
      <c r="D9712">
        <v>48.39</v>
      </c>
      <c r="E9712">
        <v>312</v>
      </c>
      <c r="F9712">
        <v>161</v>
      </c>
      <c r="G9712">
        <v>31</v>
      </c>
      <c r="H9712">
        <v>189</v>
      </c>
      <c r="I9712">
        <v>482</v>
      </c>
      <c r="J9712">
        <v>1</v>
      </c>
      <c r="K9712">
        <v>272</v>
      </c>
      <c r="L9712">
        <v>570</v>
      </c>
      <c r="M9712">
        <v>1</v>
      </c>
      <c r="N9712">
        <v>2.53794E-51</v>
      </c>
      <c r="O9712">
        <v>509</v>
      </c>
    </row>
    <row r="9713" spans="1:15" x14ac:dyDescent="0.25">
      <c r="A9713" t="s">
        <v>9726</v>
      </c>
      <c r="B9713">
        <v>305</v>
      </c>
      <c r="C9713" s="1" t="str">
        <f>HYPERLINK("http://www.rosaceae.org/gb/gbrowse/malus_x_domestica/?name=MDP0000878773","MDP0000878773")</f>
        <v>MDP0000878773</v>
      </c>
      <c r="D9713">
        <v>52.99</v>
      </c>
      <c r="E9713">
        <v>317</v>
      </c>
      <c r="F9713">
        <v>149</v>
      </c>
      <c r="G9713">
        <v>31</v>
      </c>
      <c r="H9713">
        <v>1</v>
      </c>
      <c r="I9713">
        <v>292</v>
      </c>
      <c r="J9713">
        <v>1</v>
      </c>
      <c r="K9713">
        <v>2</v>
      </c>
      <c r="L9713">
        <v>312</v>
      </c>
      <c r="M9713">
        <v>1</v>
      </c>
      <c r="N9713">
        <v>5.9436899999999999E-85</v>
      </c>
      <c r="O9713">
        <v>797</v>
      </c>
    </row>
    <row r="9714" spans="1:15" x14ac:dyDescent="0.25">
      <c r="A9714" t="s">
        <v>9727</v>
      </c>
      <c r="B9714">
        <v>196</v>
      </c>
      <c r="C9714" s="1" t="str">
        <f>HYPERLINK("http://www.rosaceae.org/gb/gbrowse/malus_x_domestica/?name=MDP0000542944","MDP0000542944")</f>
        <v>MDP0000542944</v>
      </c>
      <c r="D9714">
        <v>59.59</v>
      </c>
      <c r="E9714">
        <v>198</v>
      </c>
      <c r="F9714">
        <v>80</v>
      </c>
      <c r="G9714">
        <v>7</v>
      </c>
      <c r="H9714">
        <v>1</v>
      </c>
      <c r="I9714">
        <v>196</v>
      </c>
      <c r="J9714">
        <v>1</v>
      </c>
      <c r="K9714">
        <v>1</v>
      </c>
      <c r="L9714">
        <v>193</v>
      </c>
      <c r="M9714">
        <v>1</v>
      </c>
      <c r="N9714">
        <v>2.6820200000000001E-53</v>
      </c>
      <c r="O9714">
        <v>521</v>
      </c>
    </row>
    <row r="9715" spans="1:15" x14ac:dyDescent="0.25">
      <c r="A9715" t="s">
        <v>9728</v>
      </c>
      <c r="B9715">
        <v>355</v>
      </c>
      <c r="C9715" s="1" t="str">
        <f>HYPERLINK("http://www.rosaceae.org/gb/gbrowse/malus_x_domestica/?name=MDP0000668135","MDP0000668135")</f>
        <v>MDP0000668135</v>
      </c>
      <c r="D9715">
        <v>85.63</v>
      </c>
      <c r="E9715">
        <v>355</v>
      </c>
      <c r="F9715">
        <v>51</v>
      </c>
      <c r="G9715">
        <v>0</v>
      </c>
      <c r="H9715">
        <v>1</v>
      </c>
      <c r="I9715">
        <v>355</v>
      </c>
      <c r="J9715">
        <v>1</v>
      </c>
      <c r="K9715">
        <v>1</v>
      </c>
      <c r="L9715">
        <v>355</v>
      </c>
      <c r="M9715">
        <v>1</v>
      </c>
      <c r="N9715">
        <v>1.2952399999999999E-179</v>
      </c>
      <c r="O9715">
        <v>1614</v>
      </c>
    </row>
    <row r="9716" spans="1:15" x14ac:dyDescent="0.25">
      <c r="A9716" t="s">
        <v>9729</v>
      </c>
      <c r="B9716">
        <v>437</v>
      </c>
      <c r="C9716" s="1" t="str">
        <f>HYPERLINK("http://www.rosaceae.org/gb/gbrowse/malus_x_domestica/?name=MDP0000247921","MDP0000247921")</f>
        <v>MDP0000247921</v>
      </c>
      <c r="D9716">
        <v>28.49</v>
      </c>
      <c r="E9716">
        <v>179</v>
      </c>
      <c r="F9716">
        <v>128</v>
      </c>
      <c r="G9716">
        <v>9</v>
      </c>
      <c r="H9716">
        <v>164</v>
      </c>
      <c r="I9716">
        <v>333</v>
      </c>
      <c r="J9716">
        <v>1</v>
      </c>
      <c r="K9716">
        <v>740</v>
      </c>
      <c r="L9716">
        <v>918</v>
      </c>
      <c r="M9716">
        <v>1</v>
      </c>
      <c r="N9716">
        <v>2.85549E-19</v>
      </c>
      <c r="O9716">
        <v>232</v>
      </c>
    </row>
    <row r="9717" spans="1:15" x14ac:dyDescent="0.25">
      <c r="A9717" t="s">
        <v>9730</v>
      </c>
      <c r="B9717">
        <v>699</v>
      </c>
      <c r="C9717" s="1" t="str">
        <f>HYPERLINK("http://www.rosaceae.org/gb/gbrowse/malus_x_domestica/?name=MDP0000405669","MDP0000405669")</f>
        <v>MDP0000405669</v>
      </c>
      <c r="D9717">
        <v>54.39</v>
      </c>
      <c r="E9717">
        <v>364</v>
      </c>
      <c r="F9717">
        <v>166</v>
      </c>
      <c r="G9717">
        <v>19</v>
      </c>
      <c r="H9717">
        <v>1</v>
      </c>
      <c r="I9717">
        <v>350</v>
      </c>
      <c r="J9717">
        <v>1</v>
      </c>
      <c r="K9717">
        <v>368</v>
      </c>
      <c r="L9717">
        <v>726</v>
      </c>
      <c r="M9717">
        <v>1</v>
      </c>
      <c r="N9717">
        <v>5.9367699999999999E-92</v>
      </c>
      <c r="O9717">
        <v>861</v>
      </c>
    </row>
    <row r="9718" spans="1:15" x14ac:dyDescent="0.25">
      <c r="A9718" t="s">
        <v>9731</v>
      </c>
      <c r="B9718">
        <v>223</v>
      </c>
      <c r="C9718" s="1" t="str">
        <f>HYPERLINK("http://www.rosaceae.org/gb/gbrowse/malus_x_domestica/?name=MDP0000186967","MDP0000186967")</f>
        <v>MDP0000186967</v>
      </c>
      <c r="D9718">
        <v>54.62</v>
      </c>
      <c r="E9718">
        <v>119</v>
      </c>
      <c r="F9718">
        <v>54</v>
      </c>
      <c r="G9718">
        <v>9</v>
      </c>
      <c r="H9718">
        <v>1</v>
      </c>
      <c r="I9718">
        <v>117</v>
      </c>
      <c r="J9718">
        <v>1</v>
      </c>
      <c r="K9718">
        <v>1</v>
      </c>
      <c r="L9718">
        <v>112</v>
      </c>
      <c r="M9718">
        <v>1</v>
      </c>
      <c r="N9718">
        <v>5.5100899999999998E-26</v>
      </c>
      <c r="O9718">
        <v>286</v>
      </c>
    </row>
    <row r="9719" spans="1:15" x14ac:dyDescent="0.25">
      <c r="A9719" t="s">
        <v>9732</v>
      </c>
      <c r="B9719">
        <v>402</v>
      </c>
      <c r="C9719" s="1" t="str">
        <f>HYPERLINK("http://www.rosaceae.org/gb/gbrowse/malus_x_domestica/?name=MDP0000845685","MDP0000845685")</f>
        <v>MDP0000845685</v>
      </c>
      <c r="D9719">
        <v>51.91</v>
      </c>
      <c r="E9719">
        <v>391</v>
      </c>
      <c r="F9719">
        <v>188</v>
      </c>
      <c r="G9719">
        <v>5</v>
      </c>
      <c r="H9719">
        <v>13</v>
      </c>
      <c r="I9719">
        <v>402</v>
      </c>
      <c r="J9719">
        <v>1</v>
      </c>
      <c r="K9719">
        <v>19</v>
      </c>
      <c r="L9719">
        <v>405</v>
      </c>
      <c r="M9719">
        <v>1</v>
      </c>
      <c r="N9719">
        <v>6.7552699999999995E-117</v>
      </c>
      <c r="O9719">
        <v>1074</v>
      </c>
    </row>
    <row r="9720" spans="1:15" x14ac:dyDescent="0.25">
      <c r="A9720" t="s">
        <v>9733</v>
      </c>
      <c r="B9720">
        <v>442</v>
      </c>
      <c r="C9720" s="1" t="str">
        <f>HYPERLINK("http://www.rosaceae.org/gb/gbrowse/malus_x_domestica/?name=MDP0000253112","MDP0000253112")</f>
        <v>MDP0000253112</v>
      </c>
      <c r="D9720">
        <v>60.85</v>
      </c>
      <c r="E9720">
        <v>442</v>
      </c>
      <c r="F9720">
        <v>173</v>
      </c>
      <c r="G9720">
        <v>1</v>
      </c>
      <c r="H9720">
        <v>2</v>
      </c>
      <c r="I9720">
        <v>442</v>
      </c>
      <c r="J9720">
        <v>1</v>
      </c>
      <c r="K9720">
        <v>45</v>
      </c>
      <c r="L9720">
        <v>486</v>
      </c>
      <c r="M9720">
        <v>1</v>
      </c>
      <c r="N9720">
        <v>8.16972E-163</v>
      </c>
      <c r="O9720">
        <v>1470</v>
      </c>
    </row>
    <row r="9721" spans="1:15" x14ac:dyDescent="0.25">
      <c r="A9721" t="s">
        <v>9734</v>
      </c>
      <c r="B9721">
        <v>387</v>
      </c>
      <c r="C9721" s="1" t="str">
        <f>HYPERLINK("http://www.rosaceae.org/gb/gbrowse/malus_x_domestica/?name=MDP0000194990","MDP0000194990")</f>
        <v>MDP0000194990</v>
      </c>
      <c r="D9721">
        <v>52.32</v>
      </c>
      <c r="E9721">
        <v>409</v>
      </c>
      <c r="F9721">
        <v>195</v>
      </c>
      <c r="G9721">
        <v>41</v>
      </c>
      <c r="H9721">
        <v>1</v>
      </c>
      <c r="I9721">
        <v>386</v>
      </c>
      <c r="J9721">
        <v>1</v>
      </c>
      <c r="K9721">
        <v>1</v>
      </c>
      <c r="L9721">
        <v>391</v>
      </c>
      <c r="M9721">
        <v>1</v>
      </c>
      <c r="N9721">
        <v>1.2036999999999999E-99</v>
      </c>
      <c r="O9721">
        <v>925</v>
      </c>
    </row>
    <row r="9722" spans="1:15" x14ac:dyDescent="0.25">
      <c r="A9722" t="s">
        <v>9735</v>
      </c>
      <c r="B9722">
        <v>549</v>
      </c>
      <c r="C9722" s="1" t="str">
        <f>HYPERLINK("http://www.rosaceae.org/gb/gbrowse/malus_x_domestica/?name=MDP0000182615","MDP0000182615")</f>
        <v>MDP0000182615</v>
      </c>
      <c r="D9722">
        <v>82.7</v>
      </c>
      <c r="E9722">
        <v>422</v>
      </c>
      <c r="F9722">
        <v>73</v>
      </c>
      <c r="G9722">
        <v>11</v>
      </c>
      <c r="H9722">
        <v>1</v>
      </c>
      <c r="I9722">
        <v>411</v>
      </c>
      <c r="J9722">
        <v>1</v>
      </c>
      <c r="K9722">
        <v>107</v>
      </c>
      <c r="L9722">
        <v>528</v>
      </c>
      <c r="M9722">
        <v>1</v>
      </c>
      <c r="N9722">
        <v>0</v>
      </c>
      <c r="O9722">
        <v>1859</v>
      </c>
    </row>
    <row r="9723" spans="1:15" x14ac:dyDescent="0.25">
      <c r="A9723" t="s">
        <v>9736</v>
      </c>
      <c r="B9723">
        <v>617</v>
      </c>
      <c r="C9723" s="1" t="str">
        <f>HYPERLINK("http://www.rosaceae.org/gb/gbrowse/malus_x_domestica/?name=MDP0000205199","MDP0000205199")</f>
        <v>MDP0000205199</v>
      </c>
      <c r="D9723">
        <v>70.89</v>
      </c>
      <c r="E9723">
        <v>615</v>
      </c>
      <c r="F9723">
        <v>179</v>
      </c>
      <c r="G9723">
        <v>12</v>
      </c>
      <c r="H9723">
        <v>1</v>
      </c>
      <c r="I9723">
        <v>612</v>
      </c>
      <c r="J9723">
        <v>1</v>
      </c>
      <c r="K9723">
        <v>55</v>
      </c>
      <c r="L9723">
        <v>660</v>
      </c>
      <c r="M9723">
        <v>1</v>
      </c>
      <c r="N9723">
        <v>0</v>
      </c>
      <c r="O9723">
        <v>2251</v>
      </c>
    </row>
    <row r="9724" spans="1:15" x14ac:dyDescent="0.25">
      <c r="A9724" t="s">
        <v>9737</v>
      </c>
      <c r="B9724">
        <v>271</v>
      </c>
      <c r="C9724" s="1" t="str">
        <f>HYPERLINK("http://www.rosaceae.org/gb/gbrowse/malus_x_domestica/?name=MDP0000753318","MDP0000753318")</f>
        <v>MDP0000753318</v>
      </c>
      <c r="D9724">
        <v>55.63</v>
      </c>
      <c r="E9724">
        <v>284</v>
      </c>
      <c r="F9724">
        <v>126</v>
      </c>
      <c r="G9724">
        <v>17</v>
      </c>
      <c r="H9724">
        <v>3</v>
      </c>
      <c r="I9724">
        <v>271</v>
      </c>
      <c r="J9724">
        <v>1</v>
      </c>
      <c r="K9724">
        <v>49</v>
      </c>
      <c r="L9724">
        <v>330</v>
      </c>
      <c r="M9724">
        <v>1</v>
      </c>
      <c r="N9724">
        <v>5.3757000000000002E-88</v>
      </c>
      <c r="O9724">
        <v>822</v>
      </c>
    </row>
    <row r="9725" spans="1:15" x14ac:dyDescent="0.25">
      <c r="A9725" t="s">
        <v>9738</v>
      </c>
      <c r="B9725">
        <v>88</v>
      </c>
      <c r="C9725" s="1" t="str">
        <f>HYPERLINK("http://www.rosaceae.org/gb/gbrowse/malus_x_domestica/?name=MDP0000320827","MDP0000320827")</f>
        <v>MDP0000320827</v>
      </c>
      <c r="D9725">
        <v>55.88</v>
      </c>
      <c r="E9725">
        <v>68</v>
      </c>
      <c r="F9725">
        <v>30</v>
      </c>
      <c r="G9725">
        <v>4</v>
      </c>
      <c r="H9725">
        <v>6</v>
      </c>
      <c r="I9725">
        <v>70</v>
      </c>
      <c r="J9725">
        <v>1</v>
      </c>
      <c r="K9725">
        <v>183</v>
      </c>
      <c r="L9725">
        <v>249</v>
      </c>
      <c r="M9725">
        <v>1</v>
      </c>
      <c r="N9725">
        <v>5.2932600000000004E-10</v>
      </c>
      <c r="O9725">
        <v>144</v>
      </c>
    </row>
    <row r="9726" spans="1:15" x14ac:dyDescent="0.25">
      <c r="A9726" t="s">
        <v>9739</v>
      </c>
      <c r="B9726">
        <v>1343</v>
      </c>
      <c r="C9726" s="1" t="str">
        <f>HYPERLINK("http://www.rosaceae.org/gb/gbrowse/malus_x_domestica/?name=MDP0000202153","MDP0000202153")</f>
        <v>MDP0000202153</v>
      </c>
      <c r="D9726">
        <v>72.39</v>
      </c>
      <c r="E9726">
        <v>884</v>
      </c>
      <c r="F9726">
        <v>244</v>
      </c>
      <c r="G9726">
        <v>71</v>
      </c>
      <c r="H9726">
        <v>500</v>
      </c>
      <c r="I9726">
        <v>1315</v>
      </c>
      <c r="J9726">
        <v>1</v>
      </c>
      <c r="K9726">
        <v>22</v>
      </c>
      <c r="L9726">
        <v>902</v>
      </c>
      <c r="M9726">
        <v>1</v>
      </c>
      <c r="N9726">
        <v>0</v>
      </c>
      <c r="O9726">
        <v>3248</v>
      </c>
    </row>
    <row r="9727" spans="1:15" x14ac:dyDescent="0.25">
      <c r="A9727" t="s">
        <v>9740</v>
      </c>
      <c r="B9727">
        <v>422</v>
      </c>
      <c r="C9727" s="1" t="str">
        <f>HYPERLINK("http://www.rosaceae.org/gb/gbrowse/malus_x_domestica/?name=MDP0000686221","MDP0000686221")</f>
        <v>MDP0000686221</v>
      </c>
      <c r="D9727">
        <v>35.51</v>
      </c>
      <c r="E9727">
        <v>352</v>
      </c>
      <c r="F9727">
        <v>227</v>
      </c>
      <c r="G9727">
        <v>36</v>
      </c>
      <c r="H9727">
        <v>47</v>
      </c>
      <c r="I9727">
        <v>384</v>
      </c>
      <c r="J9727">
        <v>1</v>
      </c>
      <c r="K9727">
        <v>781</v>
      </c>
      <c r="L9727">
        <v>1110</v>
      </c>
      <c r="M9727">
        <v>1</v>
      </c>
      <c r="N9727">
        <v>5.7694699999999999E-52</v>
      </c>
      <c r="O9727">
        <v>514</v>
      </c>
    </row>
    <row r="9728" spans="1:15" x14ac:dyDescent="0.25">
      <c r="A9728" t="s">
        <v>9741</v>
      </c>
      <c r="B9728">
        <v>347</v>
      </c>
      <c r="C9728" s="1" t="str">
        <f>HYPERLINK("http://www.rosaceae.org/gb/gbrowse/malus_x_domestica/?name=MDP0000162679","MDP0000162679")</f>
        <v>MDP0000162679</v>
      </c>
      <c r="D9728">
        <v>64</v>
      </c>
      <c r="E9728">
        <v>225</v>
      </c>
      <c r="F9728">
        <v>81</v>
      </c>
      <c r="G9728">
        <v>18</v>
      </c>
      <c r="H9728">
        <v>1</v>
      </c>
      <c r="I9728">
        <v>216</v>
      </c>
      <c r="J9728">
        <v>1</v>
      </c>
      <c r="K9728">
        <v>1</v>
      </c>
      <c r="L9728">
        <v>216</v>
      </c>
      <c r="M9728">
        <v>1</v>
      </c>
      <c r="N9728">
        <v>4.1381799999999998E-59</v>
      </c>
      <c r="O9728">
        <v>574</v>
      </c>
    </row>
    <row r="9729" spans="1:15" x14ac:dyDescent="0.25">
      <c r="A9729" t="s">
        <v>9742</v>
      </c>
      <c r="B9729">
        <v>254</v>
      </c>
      <c r="C9729" s="1" t="str">
        <f>HYPERLINK("http://www.rosaceae.org/gb/gbrowse/malus_x_domestica/?name=MDP0000317821","MDP0000317821")</f>
        <v>MDP0000317821</v>
      </c>
      <c r="D9729">
        <v>57.94</v>
      </c>
      <c r="E9729">
        <v>214</v>
      </c>
      <c r="F9729">
        <v>90</v>
      </c>
      <c r="G9729">
        <v>6</v>
      </c>
      <c r="H9729">
        <v>36</v>
      </c>
      <c r="I9729">
        <v>249</v>
      </c>
      <c r="J9729">
        <v>1</v>
      </c>
      <c r="K9729">
        <v>54</v>
      </c>
      <c r="L9729">
        <v>261</v>
      </c>
      <c r="M9729">
        <v>1</v>
      </c>
      <c r="N9729">
        <v>1.4419099999999999E-66</v>
      </c>
      <c r="O9729">
        <v>637</v>
      </c>
    </row>
    <row r="9730" spans="1:15" x14ac:dyDescent="0.25">
      <c r="A9730" t="s">
        <v>9743</v>
      </c>
      <c r="B9730">
        <v>99</v>
      </c>
      <c r="C9730" s="1" t="str">
        <f>HYPERLINK("http://www.rosaceae.org/gb/gbrowse/malus_x_domestica/?name=MDP0000383450","MDP0000383450")</f>
        <v>MDP0000383450</v>
      </c>
      <c r="D9730">
        <v>41.66</v>
      </c>
      <c r="E9730">
        <v>84</v>
      </c>
      <c r="F9730">
        <v>49</v>
      </c>
      <c r="G9730">
        <v>0</v>
      </c>
      <c r="H9730">
        <v>16</v>
      </c>
      <c r="I9730">
        <v>99</v>
      </c>
      <c r="J9730">
        <v>1</v>
      </c>
      <c r="K9730">
        <v>413</v>
      </c>
      <c r="L9730">
        <v>496</v>
      </c>
      <c r="M9730">
        <v>1</v>
      </c>
      <c r="N9730">
        <v>3.5751699999999999E-16</v>
      </c>
      <c r="O9730">
        <v>197</v>
      </c>
    </row>
    <row r="9731" spans="1:15" x14ac:dyDescent="0.25">
      <c r="A9731" t="s">
        <v>9744</v>
      </c>
      <c r="B9731">
        <v>181</v>
      </c>
      <c r="C9731" s="1" t="str">
        <f>HYPERLINK("http://www.rosaceae.org/gb/gbrowse/malus_x_domestica/?name=MDP0000162755","MDP0000162755")</f>
        <v>MDP0000162755</v>
      </c>
      <c r="D9731">
        <v>88.88</v>
      </c>
      <c r="E9731">
        <v>27</v>
      </c>
      <c r="F9731">
        <v>3</v>
      </c>
      <c r="G9731">
        <v>0</v>
      </c>
      <c r="H9731">
        <v>154</v>
      </c>
      <c r="I9731">
        <v>180</v>
      </c>
      <c r="J9731">
        <v>1</v>
      </c>
      <c r="K9731">
        <v>25</v>
      </c>
      <c r="L9731">
        <v>51</v>
      </c>
      <c r="M9731">
        <v>1</v>
      </c>
      <c r="N9731">
        <v>6.3639E-7</v>
      </c>
      <c r="O9731">
        <v>121</v>
      </c>
    </row>
    <row r="9732" spans="1:15" x14ac:dyDescent="0.25">
      <c r="A9732" t="s">
        <v>9745</v>
      </c>
      <c r="B9732">
        <v>1297</v>
      </c>
      <c r="C9732" s="1" t="str">
        <f>HYPERLINK("http://www.rosaceae.org/gb/gbrowse/malus_x_domestica/?name=MDP0000178729","MDP0000178729")</f>
        <v>MDP0000178729</v>
      </c>
      <c r="D9732">
        <v>82.76</v>
      </c>
      <c r="E9732">
        <v>1294</v>
      </c>
      <c r="F9732">
        <v>223</v>
      </c>
      <c r="G9732">
        <v>41</v>
      </c>
      <c r="H9732">
        <v>1</v>
      </c>
      <c r="I9732">
        <v>1271</v>
      </c>
      <c r="J9732">
        <v>1</v>
      </c>
      <c r="K9732">
        <v>254</v>
      </c>
      <c r="L9732">
        <v>1529</v>
      </c>
      <c r="M9732">
        <v>1</v>
      </c>
      <c r="N9732">
        <v>0</v>
      </c>
      <c r="O9732">
        <v>5689</v>
      </c>
    </row>
    <row r="9733" spans="1:15" x14ac:dyDescent="0.25">
      <c r="A9733" t="s">
        <v>9746</v>
      </c>
      <c r="B9733">
        <v>490</v>
      </c>
      <c r="C9733" s="1" t="str">
        <f>HYPERLINK("http://www.rosaceae.org/gb/gbrowse/malus_x_domestica/?name=MDP0000534116","MDP0000534116")</f>
        <v>MDP0000534116</v>
      </c>
      <c r="D9733">
        <v>55.39</v>
      </c>
      <c r="E9733">
        <v>426</v>
      </c>
      <c r="F9733">
        <v>190</v>
      </c>
      <c r="G9733">
        <v>20</v>
      </c>
      <c r="H9733">
        <v>28</v>
      </c>
      <c r="I9733">
        <v>451</v>
      </c>
      <c r="J9733">
        <v>1</v>
      </c>
      <c r="K9733">
        <v>19</v>
      </c>
      <c r="L9733">
        <v>426</v>
      </c>
      <c r="M9733">
        <v>1</v>
      </c>
      <c r="N9733">
        <v>5.2569600000000003E-131</v>
      </c>
      <c r="O9733">
        <v>1196</v>
      </c>
    </row>
    <row r="9734" spans="1:15" x14ac:dyDescent="0.25">
      <c r="A9734" t="s">
        <v>9747</v>
      </c>
      <c r="B9734">
        <v>1670</v>
      </c>
      <c r="C9734" s="1" t="str">
        <f>HYPERLINK("http://www.rosaceae.org/gb/gbrowse/malus_x_domestica/?name=MDP0000176129","MDP0000176129")</f>
        <v>MDP0000176129</v>
      </c>
      <c r="D9734">
        <v>79.680000000000007</v>
      </c>
      <c r="E9734">
        <v>960</v>
      </c>
      <c r="F9734">
        <v>195</v>
      </c>
      <c r="G9734">
        <v>40</v>
      </c>
      <c r="H9734">
        <v>2</v>
      </c>
      <c r="I9734">
        <v>953</v>
      </c>
      <c r="J9734">
        <v>1</v>
      </c>
      <c r="K9734">
        <v>7</v>
      </c>
      <c r="L9734">
        <v>934</v>
      </c>
      <c r="M9734">
        <v>1</v>
      </c>
      <c r="N9734">
        <v>0</v>
      </c>
      <c r="O9734">
        <v>4042</v>
      </c>
    </row>
    <row r="9735" spans="1:15" x14ac:dyDescent="0.25">
      <c r="A9735" t="s">
        <v>9748</v>
      </c>
      <c r="B9735">
        <v>809</v>
      </c>
      <c r="C9735" s="1" t="str">
        <f>HYPERLINK("http://www.rosaceae.org/gb/gbrowse/malus_x_domestica/?name=MDP0000279052","MDP0000279052")</f>
        <v>MDP0000279052</v>
      </c>
      <c r="D9735">
        <v>75.44</v>
      </c>
      <c r="E9735">
        <v>452</v>
      </c>
      <c r="F9735">
        <v>111</v>
      </c>
      <c r="G9735">
        <v>10</v>
      </c>
      <c r="H9735">
        <v>24</v>
      </c>
      <c r="I9735">
        <v>468</v>
      </c>
      <c r="J9735">
        <v>1</v>
      </c>
      <c r="K9735">
        <v>31</v>
      </c>
      <c r="L9735">
        <v>479</v>
      </c>
      <c r="M9735">
        <v>1</v>
      </c>
      <c r="N9735">
        <v>0</v>
      </c>
      <c r="O9735">
        <v>1710</v>
      </c>
    </row>
    <row r="9736" spans="1:15" x14ac:dyDescent="0.25">
      <c r="A9736" t="s">
        <v>9749</v>
      </c>
      <c r="B9736">
        <v>306</v>
      </c>
      <c r="C9736" s="1" t="str">
        <f>HYPERLINK("http://www.rosaceae.org/gb/gbrowse/malus_x_domestica/?name=MDP0000514128","MDP0000514128")</f>
        <v>MDP0000514128</v>
      </c>
      <c r="D9736">
        <v>83.81</v>
      </c>
      <c r="E9736">
        <v>309</v>
      </c>
      <c r="F9736">
        <v>50</v>
      </c>
      <c r="G9736">
        <v>6</v>
      </c>
      <c r="H9736">
        <v>1</v>
      </c>
      <c r="I9736">
        <v>306</v>
      </c>
      <c r="J9736">
        <v>1</v>
      </c>
      <c r="K9736">
        <v>1</v>
      </c>
      <c r="L9736">
        <v>306</v>
      </c>
      <c r="M9736">
        <v>1</v>
      </c>
      <c r="N9736">
        <v>1.02756E-141</v>
      </c>
      <c r="O9736">
        <v>1286</v>
      </c>
    </row>
    <row r="9737" spans="1:15" x14ac:dyDescent="0.25">
      <c r="A9737" t="s">
        <v>9750</v>
      </c>
      <c r="B9737">
        <v>406</v>
      </c>
      <c r="C9737" s="1" t="str">
        <f>HYPERLINK("http://www.rosaceae.org/gb/gbrowse/malus_x_domestica/?name=MDP0000273653","MDP0000273653")</f>
        <v>MDP0000273653</v>
      </c>
      <c r="D9737">
        <v>83.72</v>
      </c>
      <c r="E9737">
        <v>258</v>
      </c>
      <c r="F9737">
        <v>42</v>
      </c>
      <c r="G9737">
        <v>1</v>
      </c>
      <c r="H9737">
        <v>1</v>
      </c>
      <c r="I9737">
        <v>257</v>
      </c>
      <c r="J9737">
        <v>1</v>
      </c>
      <c r="K9737">
        <v>69</v>
      </c>
      <c r="L9737">
        <v>326</v>
      </c>
      <c r="M9737">
        <v>1</v>
      </c>
      <c r="N9737">
        <v>3.2787599999999998E-124</v>
      </c>
      <c r="O9737">
        <v>1137</v>
      </c>
    </row>
    <row r="9738" spans="1:15" x14ac:dyDescent="0.25">
      <c r="A9738" t="s">
        <v>9751</v>
      </c>
      <c r="B9738">
        <v>288</v>
      </c>
      <c r="C9738" s="1" t="str">
        <f>HYPERLINK("http://www.rosaceae.org/gb/gbrowse/malus_x_domestica/?name=MDP0000195573","MDP0000195573")</f>
        <v>MDP0000195573</v>
      </c>
      <c r="D9738">
        <v>25.19</v>
      </c>
      <c r="E9738">
        <v>258</v>
      </c>
      <c r="F9738">
        <v>193</v>
      </c>
      <c r="G9738">
        <v>77</v>
      </c>
      <c r="H9738">
        <v>25</v>
      </c>
      <c r="I9738">
        <v>281</v>
      </c>
      <c r="J9738">
        <v>1</v>
      </c>
      <c r="K9738">
        <v>42</v>
      </c>
      <c r="L9738">
        <v>223</v>
      </c>
      <c r="M9738">
        <v>1</v>
      </c>
      <c r="N9738">
        <v>1.40563E-9</v>
      </c>
      <c r="O9738">
        <v>146</v>
      </c>
    </row>
    <row r="9739" spans="1:15" x14ac:dyDescent="0.25">
      <c r="A9739" t="s">
        <v>9752</v>
      </c>
      <c r="B9739">
        <v>147</v>
      </c>
      <c r="C9739" s="1" t="str">
        <f>HYPERLINK("http://www.rosaceae.org/gb/gbrowse/malus_x_domestica/?name=MDP0000815832","MDP0000815832")</f>
        <v>MDP0000815832</v>
      </c>
      <c r="D9739">
        <v>56.66</v>
      </c>
      <c r="E9739">
        <v>150</v>
      </c>
      <c r="F9739">
        <v>65</v>
      </c>
      <c r="G9739">
        <v>5</v>
      </c>
      <c r="H9739">
        <v>3</v>
      </c>
      <c r="I9739">
        <v>147</v>
      </c>
      <c r="J9739">
        <v>1</v>
      </c>
      <c r="K9739">
        <v>4</v>
      </c>
      <c r="L9739">
        <v>153</v>
      </c>
      <c r="M9739">
        <v>1</v>
      </c>
      <c r="N9739">
        <v>5.5666299999999997E-40</v>
      </c>
      <c r="O9739">
        <v>404</v>
      </c>
    </row>
    <row r="9740" spans="1:15" x14ac:dyDescent="0.25">
      <c r="A9740" t="s">
        <v>9753</v>
      </c>
      <c r="B9740">
        <v>599</v>
      </c>
      <c r="C9740" s="1" t="str">
        <f>HYPERLINK("http://www.rosaceae.org/gb/gbrowse/malus_x_domestica/?name=MDP0000193447","MDP0000193447")</f>
        <v>MDP0000193447</v>
      </c>
      <c r="D9740">
        <v>57.93</v>
      </c>
      <c r="E9740">
        <v>611</v>
      </c>
      <c r="F9740">
        <v>257</v>
      </c>
      <c r="G9740">
        <v>42</v>
      </c>
      <c r="H9740">
        <v>1</v>
      </c>
      <c r="I9740">
        <v>593</v>
      </c>
      <c r="J9740">
        <v>1</v>
      </c>
      <c r="K9740">
        <v>1</v>
      </c>
      <c r="L9740">
        <v>587</v>
      </c>
      <c r="M9740">
        <v>1</v>
      </c>
      <c r="N9740">
        <v>0</v>
      </c>
      <c r="O9740">
        <v>1661</v>
      </c>
    </row>
    <row r="9741" spans="1:15" x14ac:dyDescent="0.25">
      <c r="A9741" t="s">
        <v>9754</v>
      </c>
      <c r="B9741">
        <v>380</v>
      </c>
      <c r="C9741" s="1" t="str">
        <f>HYPERLINK("http://www.rosaceae.org/gb/gbrowse/malus_x_domestica/?name=MDP0000228800","MDP0000228800")</f>
        <v>MDP0000228800</v>
      </c>
      <c r="D9741">
        <v>88.88</v>
      </c>
      <c r="E9741">
        <v>45</v>
      </c>
      <c r="F9741">
        <v>5</v>
      </c>
      <c r="G9741">
        <v>0</v>
      </c>
      <c r="H9741">
        <v>148</v>
      </c>
      <c r="I9741">
        <v>192</v>
      </c>
      <c r="J9741">
        <v>1</v>
      </c>
      <c r="K9741">
        <v>17</v>
      </c>
      <c r="L9741">
        <v>61</v>
      </c>
      <c r="M9741">
        <v>1</v>
      </c>
      <c r="N9741">
        <v>3.2971099999999999E-19</v>
      </c>
      <c r="O9741">
        <v>231</v>
      </c>
    </row>
    <row r="9742" spans="1:15" x14ac:dyDescent="0.25">
      <c r="A9742" t="s">
        <v>9755</v>
      </c>
      <c r="B9742">
        <v>219</v>
      </c>
      <c r="C9742" s="1" t="str">
        <f>HYPERLINK("http://www.rosaceae.org/gb/gbrowse/malus_x_domestica/?name=MDP0000757637","MDP0000757637")</f>
        <v>MDP0000757637</v>
      </c>
      <c r="D9742">
        <v>64.45</v>
      </c>
      <c r="E9742">
        <v>166</v>
      </c>
      <c r="F9742">
        <v>59</v>
      </c>
      <c r="G9742">
        <v>1</v>
      </c>
      <c r="H9742">
        <v>1</v>
      </c>
      <c r="I9742">
        <v>165</v>
      </c>
      <c r="J9742">
        <v>1</v>
      </c>
      <c r="K9742">
        <v>1</v>
      </c>
      <c r="L9742">
        <v>166</v>
      </c>
      <c r="M9742">
        <v>1</v>
      </c>
      <c r="N9742">
        <v>2.63324E-54</v>
      </c>
      <c r="O9742">
        <v>530</v>
      </c>
    </row>
    <row r="9743" spans="1:15" x14ac:dyDescent="0.25">
      <c r="A9743" t="s">
        <v>9756</v>
      </c>
      <c r="B9743">
        <v>132</v>
      </c>
      <c r="C9743" s="1" t="str">
        <f>HYPERLINK("http://www.rosaceae.org/gb/gbrowse/malus_x_domestica/?name=MDP0000473823","MDP0000473823")</f>
        <v>MDP0000473823</v>
      </c>
      <c r="D9743">
        <v>37.5</v>
      </c>
      <c r="E9743">
        <v>96</v>
      </c>
      <c r="F9743">
        <v>60</v>
      </c>
      <c r="G9743">
        <v>2</v>
      </c>
      <c r="H9743">
        <v>37</v>
      </c>
      <c r="I9743">
        <v>132</v>
      </c>
      <c r="J9743">
        <v>1</v>
      </c>
      <c r="K9743">
        <v>26</v>
      </c>
      <c r="L9743">
        <v>119</v>
      </c>
      <c r="M9743">
        <v>1</v>
      </c>
      <c r="N9743">
        <v>1.9165400000000001E-9</v>
      </c>
      <c r="O9743">
        <v>140</v>
      </c>
    </row>
    <row r="9744" spans="1:15" x14ac:dyDescent="0.25">
      <c r="A9744" t="s">
        <v>9757</v>
      </c>
      <c r="B9744">
        <v>189</v>
      </c>
      <c r="C9744" s="1" t="str">
        <f>HYPERLINK("http://www.rosaceae.org/gb/gbrowse/malus_x_domestica/?name=MDP0000473823","MDP0000473823")</f>
        <v>MDP0000473823</v>
      </c>
      <c r="D9744">
        <v>41.81</v>
      </c>
      <c r="E9744">
        <v>110</v>
      </c>
      <c r="F9744">
        <v>64</v>
      </c>
      <c r="G9744">
        <v>15</v>
      </c>
      <c r="H9744">
        <v>92</v>
      </c>
      <c r="I9744">
        <v>188</v>
      </c>
      <c r="J9744">
        <v>1</v>
      </c>
      <c r="K9744">
        <v>12</v>
      </c>
      <c r="L9744">
        <v>119</v>
      </c>
      <c r="M9744">
        <v>1</v>
      </c>
      <c r="N9744">
        <v>4.0212699999999999E-12</v>
      </c>
      <c r="O9744">
        <v>166</v>
      </c>
    </row>
    <row r="9745" spans="1:15" x14ac:dyDescent="0.25">
      <c r="A9745" t="s">
        <v>9758</v>
      </c>
      <c r="B9745">
        <v>382</v>
      </c>
      <c r="C9745" s="1" t="str">
        <f>HYPERLINK("http://www.rosaceae.org/gb/gbrowse/malus_x_domestica/?name=MDP0000298742","MDP0000298742")</f>
        <v>MDP0000298742</v>
      </c>
      <c r="D9745">
        <v>34.58</v>
      </c>
      <c r="E9745">
        <v>292</v>
      </c>
      <c r="F9745">
        <v>191</v>
      </c>
      <c r="G9745">
        <v>56</v>
      </c>
      <c r="H9745">
        <v>1</v>
      </c>
      <c r="I9745">
        <v>245</v>
      </c>
      <c r="J9745">
        <v>1</v>
      </c>
      <c r="K9745">
        <v>186</v>
      </c>
      <c r="L9745">
        <v>468</v>
      </c>
      <c r="M9745">
        <v>1</v>
      </c>
      <c r="N9745">
        <v>2.6825599999999999E-36</v>
      </c>
      <c r="O9745">
        <v>378</v>
      </c>
    </row>
    <row r="9746" spans="1:15" x14ac:dyDescent="0.25">
      <c r="A9746" t="s">
        <v>9759</v>
      </c>
      <c r="B9746">
        <v>265</v>
      </c>
      <c r="C9746" s="1" t="str">
        <f>HYPERLINK("http://www.rosaceae.org/gb/gbrowse/malus_x_domestica/?name=MDP0000243523","MDP0000243523")</f>
        <v>MDP0000243523</v>
      </c>
      <c r="D9746">
        <v>69.05</v>
      </c>
      <c r="E9746">
        <v>265</v>
      </c>
      <c r="F9746">
        <v>82</v>
      </c>
      <c r="G9746">
        <v>44</v>
      </c>
      <c r="H9746">
        <v>1</v>
      </c>
      <c r="I9746">
        <v>265</v>
      </c>
      <c r="J9746">
        <v>1</v>
      </c>
      <c r="K9746">
        <v>1</v>
      </c>
      <c r="L9746">
        <v>221</v>
      </c>
      <c r="M9746">
        <v>1</v>
      </c>
      <c r="N9746">
        <v>6.3160399999999998E-98</v>
      </c>
      <c r="O9746">
        <v>908</v>
      </c>
    </row>
    <row r="9747" spans="1:15" x14ac:dyDescent="0.25">
      <c r="A9747" t="s">
        <v>9760</v>
      </c>
      <c r="B9747">
        <v>113</v>
      </c>
      <c r="C9747" s="1" t="str">
        <f>HYPERLINK("http://www.rosaceae.org/gb/gbrowse/malus_x_domestica/?name=MDP0000356969","MDP0000356969")</f>
        <v>MDP0000356969</v>
      </c>
      <c r="D9747">
        <v>83.33</v>
      </c>
      <c r="E9747">
        <v>30</v>
      </c>
      <c r="F9747">
        <v>5</v>
      </c>
      <c r="G9747">
        <v>0</v>
      </c>
      <c r="H9747">
        <v>61</v>
      </c>
      <c r="I9747">
        <v>90</v>
      </c>
      <c r="J9747">
        <v>1</v>
      </c>
      <c r="K9747">
        <v>98</v>
      </c>
      <c r="L9747">
        <v>127</v>
      </c>
      <c r="M9747">
        <v>1</v>
      </c>
      <c r="N9747">
        <v>1.24089E-8</v>
      </c>
      <c r="O9747">
        <v>132</v>
      </c>
    </row>
    <row r="9748" spans="1:15" x14ac:dyDescent="0.25">
      <c r="A9748" t="s">
        <v>9761</v>
      </c>
      <c r="B9748">
        <v>194</v>
      </c>
      <c r="C9748" s="1" t="str">
        <f>HYPERLINK("http://www.rosaceae.org/gb/gbrowse/malus_x_domestica/?name=MDP0000132406","MDP0000132406")</f>
        <v>MDP0000132406</v>
      </c>
      <c r="D9748">
        <v>41.6</v>
      </c>
      <c r="E9748">
        <v>137</v>
      </c>
      <c r="F9748">
        <v>80</v>
      </c>
      <c r="G9748">
        <v>13</v>
      </c>
      <c r="H9748">
        <v>18</v>
      </c>
      <c r="I9748">
        <v>152</v>
      </c>
      <c r="J9748">
        <v>1</v>
      </c>
      <c r="K9748">
        <v>186</v>
      </c>
      <c r="L9748">
        <v>311</v>
      </c>
      <c r="M9748">
        <v>1</v>
      </c>
      <c r="N9748">
        <v>1.4301700000000001E-21</v>
      </c>
      <c r="O9748">
        <v>247</v>
      </c>
    </row>
    <row r="9749" spans="1:15" x14ac:dyDescent="0.25">
      <c r="A9749" t="s">
        <v>9762</v>
      </c>
      <c r="B9749">
        <v>198</v>
      </c>
      <c r="C9749" s="1" t="str">
        <f>HYPERLINK("http://www.rosaceae.org/gb/gbrowse/malus_x_domestica/?name=MDP0000362980","MDP0000362980")</f>
        <v>MDP0000362980</v>
      </c>
      <c r="D9749">
        <v>41.74</v>
      </c>
      <c r="E9749">
        <v>103</v>
      </c>
      <c r="F9749">
        <v>60</v>
      </c>
      <c r="G9749">
        <v>0</v>
      </c>
      <c r="H9749">
        <v>55</v>
      </c>
      <c r="I9749">
        <v>157</v>
      </c>
      <c r="J9749">
        <v>1</v>
      </c>
      <c r="K9749">
        <v>59</v>
      </c>
      <c r="L9749">
        <v>161</v>
      </c>
      <c r="M9749">
        <v>1</v>
      </c>
      <c r="N9749">
        <v>1.66381E-14</v>
      </c>
      <c r="O9749">
        <v>187</v>
      </c>
    </row>
    <row r="9750" spans="1:15" x14ac:dyDescent="0.25">
      <c r="A9750" t="s">
        <v>9763</v>
      </c>
      <c r="B9750">
        <v>170</v>
      </c>
      <c r="C9750" s="1" t="str">
        <f>HYPERLINK("http://www.rosaceae.org/gb/gbrowse/malus_x_domestica/?name=MDP0000534116","MDP0000534116")</f>
        <v>MDP0000534116</v>
      </c>
      <c r="D9750">
        <v>68.180000000000007</v>
      </c>
      <c r="E9750">
        <v>110</v>
      </c>
      <c r="F9750">
        <v>35</v>
      </c>
      <c r="G9750">
        <v>2</v>
      </c>
      <c r="H9750">
        <v>5</v>
      </c>
      <c r="I9750">
        <v>114</v>
      </c>
      <c r="J9750">
        <v>1</v>
      </c>
      <c r="K9750">
        <v>319</v>
      </c>
      <c r="L9750">
        <v>426</v>
      </c>
      <c r="M9750">
        <v>1</v>
      </c>
      <c r="N9750">
        <v>2.3801800000000001E-39</v>
      </c>
      <c r="O9750">
        <v>400</v>
      </c>
    </row>
    <row r="9751" spans="1:15" x14ac:dyDescent="0.25">
      <c r="A9751" t="s">
        <v>9764</v>
      </c>
      <c r="B9751">
        <v>260</v>
      </c>
      <c r="C9751" s="1" t="str">
        <f>HYPERLINK("http://www.rosaceae.org/gb/gbrowse/malus_x_domestica/?name=MDP0000935120","MDP0000935120")</f>
        <v>MDP0000935120</v>
      </c>
      <c r="D9751">
        <v>78.430000000000007</v>
      </c>
      <c r="E9751">
        <v>102</v>
      </c>
      <c r="F9751">
        <v>22</v>
      </c>
      <c r="G9751">
        <v>0</v>
      </c>
      <c r="H9751">
        <v>142</v>
      </c>
      <c r="I9751">
        <v>243</v>
      </c>
      <c r="J9751">
        <v>1</v>
      </c>
      <c r="K9751">
        <v>30</v>
      </c>
      <c r="L9751">
        <v>131</v>
      </c>
      <c r="M9751">
        <v>1</v>
      </c>
      <c r="N9751">
        <v>6.3413699999999998E-40</v>
      </c>
      <c r="O9751">
        <v>407</v>
      </c>
    </row>
    <row r="9752" spans="1:15" x14ac:dyDescent="0.25">
      <c r="A9752" t="s">
        <v>9765</v>
      </c>
      <c r="B9752">
        <v>618</v>
      </c>
      <c r="C9752" s="1" t="str">
        <f>HYPERLINK("http://www.rosaceae.org/gb/gbrowse/malus_x_domestica/?name=MDP0000194876","MDP0000194876")</f>
        <v>MDP0000194876</v>
      </c>
      <c r="D9752">
        <v>78.430000000000007</v>
      </c>
      <c r="E9752">
        <v>612</v>
      </c>
      <c r="F9752">
        <v>132</v>
      </c>
      <c r="G9752">
        <v>0</v>
      </c>
      <c r="H9752">
        <v>1</v>
      </c>
      <c r="I9752">
        <v>612</v>
      </c>
      <c r="J9752">
        <v>1</v>
      </c>
      <c r="K9752">
        <v>43</v>
      </c>
      <c r="L9752">
        <v>654</v>
      </c>
      <c r="M9752">
        <v>1</v>
      </c>
      <c r="N9752">
        <v>0</v>
      </c>
      <c r="O9752">
        <v>2641</v>
      </c>
    </row>
    <row r="9753" spans="1:15" x14ac:dyDescent="0.25">
      <c r="A9753" t="s">
        <v>9766</v>
      </c>
      <c r="B9753">
        <v>405</v>
      </c>
      <c r="C9753" s="1" t="str">
        <f>HYPERLINK("http://www.rosaceae.org/gb/gbrowse/malus_x_domestica/?name=MDP0000460504","MDP0000460504")</f>
        <v>MDP0000460504</v>
      </c>
      <c r="D9753">
        <v>65.55</v>
      </c>
      <c r="E9753">
        <v>418</v>
      </c>
      <c r="F9753">
        <v>144</v>
      </c>
      <c r="G9753">
        <v>15</v>
      </c>
      <c r="H9753">
        <v>1</v>
      </c>
      <c r="I9753">
        <v>404</v>
      </c>
      <c r="J9753">
        <v>1</v>
      </c>
      <c r="K9753">
        <v>1</v>
      </c>
      <c r="L9753">
        <v>417</v>
      </c>
      <c r="M9753">
        <v>1</v>
      </c>
      <c r="N9753">
        <v>1.45121E-161</v>
      </c>
      <c r="O9753">
        <v>1459</v>
      </c>
    </row>
    <row r="9754" spans="1:15" x14ac:dyDescent="0.25">
      <c r="A9754" t="s">
        <v>9767</v>
      </c>
      <c r="B9754">
        <v>292</v>
      </c>
      <c r="C9754" s="1" t="str">
        <f>HYPERLINK("http://www.rosaceae.org/gb/gbrowse/malus_x_domestica/?name=MDP0000846147","MDP0000846147")</f>
        <v>MDP0000846147</v>
      </c>
      <c r="D9754">
        <v>56.56</v>
      </c>
      <c r="E9754">
        <v>297</v>
      </c>
      <c r="F9754">
        <v>129</v>
      </c>
      <c r="G9754">
        <v>36</v>
      </c>
      <c r="H9754">
        <v>25</v>
      </c>
      <c r="I9754">
        <v>287</v>
      </c>
      <c r="J9754">
        <v>1</v>
      </c>
      <c r="K9754">
        <v>55</v>
      </c>
      <c r="L9754">
        <v>349</v>
      </c>
      <c r="M9754">
        <v>1</v>
      </c>
      <c r="N9754">
        <v>5.6142800000000004E-81</v>
      </c>
      <c r="O9754">
        <v>762</v>
      </c>
    </row>
    <row r="9755" spans="1:15" x14ac:dyDescent="0.25">
      <c r="A9755" t="s">
        <v>9768</v>
      </c>
      <c r="B9755">
        <v>568</v>
      </c>
      <c r="C9755" s="1" t="str">
        <f>HYPERLINK("http://www.rosaceae.org/gb/gbrowse/malus_x_domestica/?name=MDP0000274127","MDP0000274127")</f>
        <v>MDP0000274127</v>
      </c>
      <c r="D9755">
        <v>47.38</v>
      </c>
      <c r="E9755">
        <v>382</v>
      </c>
      <c r="F9755">
        <v>201</v>
      </c>
      <c r="G9755">
        <v>20</v>
      </c>
      <c r="H9755">
        <v>199</v>
      </c>
      <c r="I9755">
        <v>565</v>
      </c>
      <c r="J9755">
        <v>1</v>
      </c>
      <c r="K9755">
        <v>467</v>
      </c>
      <c r="L9755">
        <v>843</v>
      </c>
      <c r="M9755">
        <v>1</v>
      </c>
      <c r="N9755">
        <v>1.7241199999999999E-85</v>
      </c>
      <c r="O9755">
        <v>804</v>
      </c>
    </row>
    <row r="9756" spans="1:15" x14ac:dyDescent="0.25">
      <c r="A9756" t="s">
        <v>9769</v>
      </c>
      <c r="B9756">
        <v>442</v>
      </c>
      <c r="C9756" s="1" t="str">
        <f>HYPERLINK("http://www.rosaceae.org/gb/gbrowse/malus_x_domestica/?name=MDP0000184309","MDP0000184309")</f>
        <v>MDP0000184309</v>
      </c>
      <c r="D9756">
        <v>60.04</v>
      </c>
      <c r="E9756">
        <v>408</v>
      </c>
      <c r="F9756">
        <v>163</v>
      </c>
      <c r="G9756">
        <v>18</v>
      </c>
      <c r="H9756">
        <v>16</v>
      </c>
      <c r="I9756">
        <v>420</v>
      </c>
      <c r="J9756">
        <v>1</v>
      </c>
      <c r="K9756">
        <v>89</v>
      </c>
      <c r="L9756">
        <v>481</v>
      </c>
      <c r="M9756">
        <v>1</v>
      </c>
      <c r="N9756">
        <v>3.34487E-135</v>
      </c>
      <c r="O9756">
        <v>1232</v>
      </c>
    </row>
    <row r="9757" spans="1:15" x14ac:dyDescent="0.25">
      <c r="A9757" t="s">
        <v>9770</v>
      </c>
      <c r="B9757">
        <v>1103</v>
      </c>
      <c r="C9757" s="1" t="str">
        <f>HYPERLINK("http://www.rosaceae.org/gb/gbrowse/malus_x_domestica/?name=MDP0000269856","MDP0000269856")</f>
        <v>MDP0000269856</v>
      </c>
      <c r="D9757">
        <v>70.87</v>
      </c>
      <c r="E9757">
        <v>1171</v>
      </c>
      <c r="F9757">
        <v>341</v>
      </c>
      <c r="G9757">
        <v>104</v>
      </c>
      <c r="H9757">
        <v>32</v>
      </c>
      <c r="I9757">
        <v>1103</v>
      </c>
      <c r="J9757">
        <v>1</v>
      </c>
      <c r="K9757">
        <v>14</v>
      </c>
      <c r="L9757">
        <v>1179</v>
      </c>
      <c r="M9757">
        <v>1</v>
      </c>
      <c r="N9757">
        <v>0</v>
      </c>
      <c r="O9757">
        <v>4203</v>
      </c>
    </row>
    <row r="9758" spans="1:15" x14ac:dyDescent="0.25">
      <c r="A9758" t="s">
        <v>9771</v>
      </c>
      <c r="B9758">
        <v>306</v>
      </c>
      <c r="C9758" s="1" t="str">
        <f>HYPERLINK("http://www.rosaceae.org/gb/gbrowse/malus_x_domestica/?name=MDP0000873667","MDP0000873667")</f>
        <v>MDP0000873667</v>
      </c>
      <c r="D9758">
        <v>69.62</v>
      </c>
      <c r="E9758">
        <v>293</v>
      </c>
      <c r="F9758">
        <v>89</v>
      </c>
      <c r="G9758">
        <v>6</v>
      </c>
      <c r="H9758">
        <v>13</v>
      </c>
      <c r="I9758">
        <v>305</v>
      </c>
      <c r="J9758">
        <v>1</v>
      </c>
      <c r="K9758">
        <v>8</v>
      </c>
      <c r="L9758">
        <v>294</v>
      </c>
      <c r="M9758">
        <v>1</v>
      </c>
      <c r="N9758">
        <v>2.6980200000000002E-121</v>
      </c>
      <c r="O9758">
        <v>1110</v>
      </c>
    </row>
    <row r="9759" spans="1:15" x14ac:dyDescent="0.25">
      <c r="A9759" t="s">
        <v>9772</v>
      </c>
      <c r="B9759">
        <v>447</v>
      </c>
      <c r="C9759" s="1" t="str">
        <f>HYPERLINK("http://www.rosaceae.org/gb/gbrowse/malus_x_domestica/?name=MDP0000271388","MDP0000271388")</f>
        <v>MDP0000271388</v>
      </c>
      <c r="D9759">
        <v>58.63</v>
      </c>
      <c r="E9759">
        <v>440</v>
      </c>
      <c r="F9759">
        <v>182</v>
      </c>
      <c r="G9759">
        <v>57</v>
      </c>
      <c r="H9759">
        <v>1</v>
      </c>
      <c r="I9759">
        <v>418</v>
      </c>
      <c r="J9759">
        <v>1</v>
      </c>
      <c r="K9759">
        <v>15</v>
      </c>
      <c r="L9759">
        <v>419</v>
      </c>
      <c r="M9759">
        <v>1</v>
      </c>
      <c r="N9759">
        <v>1.2852500000000001E-118</v>
      </c>
      <c r="O9759">
        <v>1089</v>
      </c>
    </row>
    <row r="9760" spans="1:15" x14ac:dyDescent="0.25">
      <c r="A9760" t="s">
        <v>9773</v>
      </c>
      <c r="B9760">
        <v>471</v>
      </c>
      <c r="C9760" s="1" t="str">
        <f>HYPERLINK("http://www.rosaceae.org/gb/gbrowse/malus_x_domestica/?name=MDP0000869086","MDP0000869086")</f>
        <v>MDP0000869086</v>
      </c>
      <c r="D9760">
        <v>84.32</v>
      </c>
      <c r="E9760">
        <v>472</v>
      </c>
      <c r="F9760">
        <v>74</v>
      </c>
      <c r="G9760">
        <v>12</v>
      </c>
      <c r="H9760">
        <v>1</v>
      </c>
      <c r="I9760">
        <v>471</v>
      </c>
      <c r="J9760">
        <v>1</v>
      </c>
      <c r="K9760">
        <v>1</v>
      </c>
      <c r="L9760">
        <v>461</v>
      </c>
      <c r="M9760">
        <v>1</v>
      </c>
      <c r="N9760">
        <v>0</v>
      </c>
      <c r="O9760">
        <v>2125</v>
      </c>
    </row>
    <row r="9761" spans="1:15" x14ac:dyDescent="0.25">
      <c r="A9761" t="s">
        <v>9774</v>
      </c>
      <c r="B9761">
        <v>221</v>
      </c>
      <c r="C9761" s="1" t="str">
        <f>HYPERLINK("http://www.rosaceae.org/gb/gbrowse/malus_x_domestica/?name=MDP0000159369","MDP0000159369")</f>
        <v>MDP0000159369</v>
      </c>
      <c r="D9761">
        <v>37.119999999999997</v>
      </c>
      <c r="E9761">
        <v>202</v>
      </c>
      <c r="F9761">
        <v>127</v>
      </c>
      <c r="G9761">
        <v>67</v>
      </c>
      <c r="H9761">
        <v>31</v>
      </c>
      <c r="I9761">
        <v>165</v>
      </c>
      <c r="J9761">
        <v>1</v>
      </c>
      <c r="K9761">
        <v>32</v>
      </c>
      <c r="L9761">
        <v>233</v>
      </c>
      <c r="M9761">
        <v>1</v>
      </c>
      <c r="N9761">
        <v>1.79323E-26</v>
      </c>
      <c r="O9761">
        <v>291</v>
      </c>
    </row>
    <row r="9762" spans="1:15" x14ac:dyDescent="0.25">
      <c r="A9762" t="s">
        <v>9775</v>
      </c>
      <c r="B9762">
        <v>364</v>
      </c>
      <c r="C9762" s="1" t="str">
        <f>HYPERLINK("http://www.rosaceae.org/gb/gbrowse/malus_x_domestica/?name=MDP0000315498","MDP0000315498")</f>
        <v>MDP0000315498</v>
      </c>
      <c r="D9762">
        <v>77.05</v>
      </c>
      <c r="E9762">
        <v>340</v>
      </c>
      <c r="F9762">
        <v>78</v>
      </c>
      <c r="G9762">
        <v>0</v>
      </c>
      <c r="H9762">
        <v>25</v>
      </c>
      <c r="I9762">
        <v>364</v>
      </c>
      <c r="J9762">
        <v>1</v>
      </c>
      <c r="K9762">
        <v>29</v>
      </c>
      <c r="L9762">
        <v>368</v>
      </c>
      <c r="M9762">
        <v>1</v>
      </c>
      <c r="N9762">
        <v>6.32566E-155</v>
      </c>
      <c r="O9762">
        <v>1401</v>
      </c>
    </row>
    <row r="9763" spans="1:15" x14ac:dyDescent="0.25">
      <c r="A9763" t="s">
        <v>9776</v>
      </c>
      <c r="B9763">
        <v>543</v>
      </c>
      <c r="C9763" s="1" t="str">
        <f>HYPERLINK("http://www.rosaceae.org/gb/gbrowse/malus_x_domestica/?name=MDP0000230636","MDP0000230636")</f>
        <v>MDP0000230636</v>
      </c>
      <c r="D9763">
        <v>74.27</v>
      </c>
      <c r="E9763">
        <v>548</v>
      </c>
      <c r="F9763">
        <v>141</v>
      </c>
      <c r="G9763">
        <v>40</v>
      </c>
      <c r="H9763">
        <v>1</v>
      </c>
      <c r="I9763">
        <v>536</v>
      </c>
      <c r="J9763">
        <v>1</v>
      </c>
      <c r="K9763">
        <v>1</v>
      </c>
      <c r="L9763">
        <v>520</v>
      </c>
      <c r="M9763">
        <v>1</v>
      </c>
      <c r="N9763">
        <v>0</v>
      </c>
      <c r="O9763">
        <v>2111</v>
      </c>
    </row>
    <row r="9764" spans="1:15" x14ac:dyDescent="0.25">
      <c r="A9764" t="s">
        <v>9777</v>
      </c>
      <c r="B9764">
        <v>462</v>
      </c>
      <c r="C9764" s="1" t="str">
        <f>HYPERLINK("http://www.rosaceae.org/gb/gbrowse/malus_x_domestica/?name=MDP0000296339","MDP0000296339")</f>
        <v>MDP0000296339</v>
      </c>
      <c r="D9764">
        <v>78.680000000000007</v>
      </c>
      <c r="E9764">
        <v>427</v>
      </c>
      <c r="F9764">
        <v>91</v>
      </c>
      <c r="G9764">
        <v>6</v>
      </c>
      <c r="H9764">
        <v>38</v>
      </c>
      <c r="I9764">
        <v>462</v>
      </c>
      <c r="J9764">
        <v>1</v>
      </c>
      <c r="K9764">
        <v>60</v>
      </c>
      <c r="L9764">
        <v>482</v>
      </c>
      <c r="M9764">
        <v>1</v>
      </c>
      <c r="N9764">
        <v>0</v>
      </c>
      <c r="O9764">
        <v>1793</v>
      </c>
    </row>
    <row r="9765" spans="1:15" x14ac:dyDescent="0.25">
      <c r="A9765" t="s">
        <v>9778</v>
      </c>
      <c r="B9765">
        <v>342</v>
      </c>
      <c r="C9765" s="1" t="str">
        <f>HYPERLINK("http://www.rosaceae.org/gb/gbrowse/malus_x_domestica/?name=MDP0000238779","MDP0000238779")</f>
        <v>MDP0000238779</v>
      </c>
      <c r="D9765">
        <v>77.56</v>
      </c>
      <c r="E9765">
        <v>370</v>
      </c>
      <c r="F9765">
        <v>83</v>
      </c>
      <c r="G9765">
        <v>28</v>
      </c>
      <c r="H9765">
        <v>1</v>
      </c>
      <c r="I9765">
        <v>342</v>
      </c>
      <c r="J9765">
        <v>1</v>
      </c>
      <c r="K9765">
        <v>1</v>
      </c>
      <c r="L9765">
        <v>370</v>
      </c>
      <c r="M9765">
        <v>1</v>
      </c>
      <c r="N9765">
        <v>1.9013000000000001E-166</v>
      </c>
      <c r="O9765">
        <v>1500</v>
      </c>
    </row>
    <row r="9766" spans="1:15" x14ac:dyDescent="0.25">
      <c r="A9766" t="s">
        <v>9779</v>
      </c>
      <c r="B9766">
        <v>262</v>
      </c>
      <c r="C9766" s="1" t="str">
        <f>HYPERLINK("http://www.rosaceae.org/gb/gbrowse/malus_x_domestica/?name=MDP0000855406","MDP0000855406")</f>
        <v>MDP0000855406</v>
      </c>
      <c r="D9766">
        <v>30.95</v>
      </c>
      <c r="E9766">
        <v>126</v>
      </c>
      <c r="F9766">
        <v>87</v>
      </c>
      <c r="G9766">
        <v>19</v>
      </c>
      <c r="H9766">
        <v>11</v>
      </c>
      <c r="I9766">
        <v>121</v>
      </c>
      <c r="J9766">
        <v>1</v>
      </c>
      <c r="K9766">
        <v>11</v>
      </c>
      <c r="L9766">
        <v>132</v>
      </c>
      <c r="M9766">
        <v>1</v>
      </c>
      <c r="N9766">
        <v>1.37291E-8</v>
      </c>
      <c r="O9766">
        <v>137</v>
      </c>
    </row>
    <row r="9767" spans="1:15" x14ac:dyDescent="0.25">
      <c r="A9767" t="s">
        <v>9780</v>
      </c>
      <c r="B9767">
        <v>1248</v>
      </c>
      <c r="C9767" s="1" t="str">
        <f>HYPERLINK("http://www.rosaceae.org/gb/gbrowse/malus_x_domestica/?name=MDP0000229949","MDP0000229949")</f>
        <v>MDP0000229949</v>
      </c>
      <c r="D9767">
        <v>65.19</v>
      </c>
      <c r="E9767">
        <v>635</v>
      </c>
      <c r="F9767">
        <v>221</v>
      </c>
      <c r="G9767">
        <v>112</v>
      </c>
      <c r="H9767">
        <v>611</v>
      </c>
      <c r="I9767">
        <v>1244</v>
      </c>
      <c r="J9767">
        <v>1</v>
      </c>
      <c r="K9767">
        <v>199</v>
      </c>
      <c r="L9767">
        <v>722</v>
      </c>
      <c r="M9767">
        <v>1</v>
      </c>
      <c r="N9767">
        <v>0</v>
      </c>
      <c r="O9767">
        <v>2027</v>
      </c>
    </row>
    <row r="9768" spans="1:15" x14ac:dyDescent="0.25">
      <c r="A9768" t="s">
        <v>9781</v>
      </c>
      <c r="B9768">
        <v>806</v>
      </c>
      <c r="C9768" s="1" t="str">
        <f>HYPERLINK("http://www.rosaceae.org/gb/gbrowse/malus_x_domestica/?name=MDP0000222790","MDP0000222790")</f>
        <v>MDP0000222790</v>
      </c>
      <c r="D9768">
        <v>53.26</v>
      </c>
      <c r="E9768">
        <v>826</v>
      </c>
      <c r="F9768">
        <v>386</v>
      </c>
      <c r="G9768">
        <v>44</v>
      </c>
      <c r="H9768">
        <v>13</v>
      </c>
      <c r="I9768">
        <v>806</v>
      </c>
      <c r="J9768">
        <v>1</v>
      </c>
      <c r="K9768">
        <v>52</v>
      </c>
      <c r="L9768">
        <v>865</v>
      </c>
      <c r="M9768">
        <v>1</v>
      </c>
      <c r="N9768">
        <v>0</v>
      </c>
      <c r="O9768">
        <v>2051</v>
      </c>
    </row>
    <row r="9769" spans="1:15" x14ac:dyDescent="0.25">
      <c r="A9769" t="s">
        <v>9782</v>
      </c>
      <c r="B9769">
        <v>212</v>
      </c>
      <c r="C9769" s="1" t="str">
        <f>HYPERLINK("http://www.rosaceae.org/gb/gbrowse/malus_x_domestica/?name=MDP0000132875","MDP0000132875")</f>
        <v>MDP0000132875</v>
      </c>
      <c r="D9769">
        <v>73.17</v>
      </c>
      <c r="E9769">
        <v>164</v>
      </c>
      <c r="F9769">
        <v>44</v>
      </c>
      <c r="G9769">
        <v>2</v>
      </c>
      <c r="H9769">
        <v>1</v>
      </c>
      <c r="I9769">
        <v>162</v>
      </c>
      <c r="J9769">
        <v>1</v>
      </c>
      <c r="K9769">
        <v>19</v>
      </c>
      <c r="L9769">
        <v>182</v>
      </c>
      <c r="M9769">
        <v>1</v>
      </c>
      <c r="N9769">
        <v>7.2435200000000005E-69</v>
      </c>
      <c r="O9769">
        <v>656</v>
      </c>
    </row>
    <row r="9770" spans="1:15" x14ac:dyDescent="0.25">
      <c r="A9770" t="s">
        <v>9783</v>
      </c>
      <c r="B9770">
        <v>137</v>
      </c>
      <c r="C9770" s="1" t="str">
        <f>HYPERLINK("http://www.rosaceae.org/gb/gbrowse/malus_x_domestica/?name=MDP0000695104","MDP0000695104")</f>
        <v>MDP0000695104</v>
      </c>
      <c r="D9770">
        <v>57.02</v>
      </c>
      <c r="E9770">
        <v>121</v>
      </c>
      <c r="F9770">
        <v>52</v>
      </c>
      <c r="G9770">
        <v>0</v>
      </c>
      <c r="H9770">
        <v>1</v>
      </c>
      <c r="I9770">
        <v>121</v>
      </c>
      <c r="J9770">
        <v>1</v>
      </c>
      <c r="K9770">
        <v>26</v>
      </c>
      <c r="L9770">
        <v>146</v>
      </c>
      <c r="M9770">
        <v>1</v>
      </c>
      <c r="N9770">
        <v>7.4207199999999997E-34</v>
      </c>
      <c r="O9770">
        <v>351</v>
      </c>
    </row>
    <row r="9771" spans="1:15" x14ac:dyDescent="0.25">
      <c r="A9771" t="s">
        <v>9784</v>
      </c>
      <c r="B9771">
        <v>152</v>
      </c>
      <c r="C9771" s="1" t="str">
        <f>HYPERLINK("http://www.rosaceae.org/gb/gbrowse/malus_x_domestica/?name=MDP0000211807","MDP0000211807")</f>
        <v>MDP0000211807</v>
      </c>
      <c r="D9771">
        <v>64.510000000000005</v>
      </c>
      <c r="E9771">
        <v>155</v>
      </c>
      <c r="F9771">
        <v>55</v>
      </c>
      <c r="G9771">
        <v>5</v>
      </c>
      <c r="H9771">
        <v>3</v>
      </c>
      <c r="I9771">
        <v>152</v>
      </c>
      <c r="J9771">
        <v>1</v>
      </c>
      <c r="K9771">
        <v>17</v>
      </c>
      <c r="L9771">
        <v>171</v>
      </c>
      <c r="M9771">
        <v>1</v>
      </c>
      <c r="N9771">
        <v>3.35995E-49</v>
      </c>
      <c r="O9771">
        <v>484</v>
      </c>
    </row>
    <row r="9772" spans="1:15" x14ac:dyDescent="0.25">
      <c r="A9772" t="s">
        <v>9785</v>
      </c>
      <c r="B9772">
        <v>666</v>
      </c>
      <c r="C9772" s="1" t="str">
        <f>HYPERLINK("http://www.rosaceae.org/gb/gbrowse/malus_x_domestica/?name=MDP0000168614","MDP0000168614")</f>
        <v>MDP0000168614</v>
      </c>
      <c r="D9772">
        <v>49.41</v>
      </c>
      <c r="E9772">
        <v>255</v>
      </c>
      <c r="F9772">
        <v>129</v>
      </c>
      <c r="G9772">
        <v>57</v>
      </c>
      <c r="H9772">
        <v>445</v>
      </c>
      <c r="I9772">
        <v>663</v>
      </c>
      <c r="J9772">
        <v>1</v>
      </c>
      <c r="K9772">
        <v>1</v>
      </c>
      <c r="L9772">
        <v>234</v>
      </c>
      <c r="M9772">
        <v>1</v>
      </c>
      <c r="N9772">
        <v>5.6191500000000005E-54</v>
      </c>
      <c r="O9772">
        <v>533</v>
      </c>
    </row>
    <row r="9773" spans="1:15" x14ac:dyDescent="0.25">
      <c r="A9773" t="s">
        <v>9786</v>
      </c>
      <c r="B9773">
        <v>403</v>
      </c>
      <c r="C9773" s="1" t="str">
        <f>HYPERLINK("http://www.rosaceae.org/gb/gbrowse/malus_x_domestica/?name=MDP0000191344","MDP0000191344")</f>
        <v>MDP0000191344</v>
      </c>
      <c r="D9773">
        <v>49.76</v>
      </c>
      <c r="E9773">
        <v>428</v>
      </c>
      <c r="F9773">
        <v>215</v>
      </c>
      <c r="G9773">
        <v>65</v>
      </c>
      <c r="H9773">
        <v>1</v>
      </c>
      <c r="I9773">
        <v>393</v>
      </c>
      <c r="J9773">
        <v>1</v>
      </c>
      <c r="K9773">
        <v>10</v>
      </c>
      <c r="L9773">
        <v>407</v>
      </c>
      <c r="M9773">
        <v>1</v>
      </c>
      <c r="N9773">
        <v>3.5849100000000003E-98</v>
      </c>
      <c r="O9773">
        <v>912</v>
      </c>
    </row>
    <row r="9774" spans="1:15" x14ac:dyDescent="0.25">
      <c r="A9774" t="s">
        <v>9787</v>
      </c>
      <c r="B9774">
        <v>804</v>
      </c>
      <c r="C9774" s="1" t="str">
        <f>HYPERLINK("http://www.rosaceae.org/gb/gbrowse/malus_x_domestica/?name=MDP0000630739","MDP0000630739")</f>
        <v>MDP0000630739</v>
      </c>
      <c r="D9774">
        <v>64.319999999999993</v>
      </c>
      <c r="E9774">
        <v>796</v>
      </c>
      <c r="F9774">
        <v>284</v>
      </c>
      <c r="G9774">
        <v>21</v>
      </c>
      <c r="H9774">
        <v>14</v>
      </c>
      <c r="I9774">
        <v>804</v>
      </c>
      <c r="J9774">
        <v>1</v>
      </c>
      <c r="K9774">
        <v>9</v>
      </c>
      <c r="L9774">
        <v>788</v>
      </c>
      <c r="M9774">
        <v>1</v>
      </c>
      <c r="N9774">
        <v>0</v>
      </c>
      <c r="O9774">
        <v>2743</v>
      </c>
    </row>
    <row r="9775" spans="1:15" x14ac:dyDescent="0.25">
      <c r="A9775" t="s">
        <v>9788</v>
      </c>
      <c r="B9775">
        <v>192</v>
      </c>
      <c r="C9775" s="1" t="str">
        <f>HYPERLINK("http://www.rosaceae.org/gb/gbrowse/malus_x_domestica/?name=MDP0000237389","MDP0000237389")</f>
        <v>MDP0000237389</v>
      </c>
      <c r="D9775">
        <v>75.400000000000006</v>
      </c>
      <c r="E9775">
        <v>61</v>
      </c>
      <c r="F9775">
        <v>15</v>
      </c>
      <c r="G9775">
        <v>0</v>
      </c>
      <c r="H9775">
        <v>1</v>
      </c>
      <c r="I9775">
        <v>61</v>
      </c>
      <c r="J9775">
        <v>1</v>
      </c>
      <c r="K9775">
        <v>253</v>
      </c>
      <c r="L9775">
        <v>313</v>
      </c>
      <c r="M9775">
        <v>1</v>
      </c>
      <c r="N9775">
        <v>8.3454700000000002E-23</v>
      </c>
      <c r="O9775">
        <v>258</v>
      </c>
    </row>
    <row r="9776" spans="1:15" x14ac:dyDescent="0.25">
      <c r="A9776" t="s">
        <v>9789</v>
      </c>
      <c r="B9776">
        <v>429</v>
      </c>
      <c r="C9776" s="1" t="str">
        <f>HYPERLINK("http://www.rosaceae.org/gb/gbrowse/malus_x_domestica/?name=MDP0000432072","MDP0000432072")</f>
        <v>MDP0000432072</v>
      </c>
      <c r="D9776">
        <v>35.020000000000003</v>
      </c>
      <c r="E9776">
        <v>334</v>
      </c>
      <c r="F9776">
        <v>217</v>
      </c>
      <c r="G9776">
        <v>92</v>
      </c>
      <c r="H9776">
        <v>155</v>
      </c>
      <c r="I9776">
        <v>408</v>
      </c>
      <c r="J9776">
        <v>1</v>
      </c>
      <c r="K9776">
        <v>515</v>
      </c>
      <c r="L9776">
        <v>836</v>
      </c>
      <c r="M9776">
        <v>1</v>
      </c>
      <c r="N9776">
        <v>1.8428100000000001E-35</v>
      </c>
      <c r="O9776">
        <v>372</v>
      </c>
    </row>
    <row r="9777" spans="1:15" x14ac:dyDescent="0.25">
      <c r="A9777" t="s">
        <v>9790</v>
      </c>
      <c r="B9777">
        <v>361</v>
      </c>
      <c r="C9777" s="1" t="str">
        <f>HYPERLINK("http://www.rosaceae.org/gb/gbrowse/malus_x_domestica/?name=MDP0000167676","MDP0000167676")</f>
        <v>MDP0000167676</v>
      </c>
      <c r="D9777">
        <v>47.96</v>
      </c>
      <c r="E9777">
        <v>123</v>
      </c>
      <c r="F9777">
        <v>64</v>
      </c>
      <c r="G9777">
        <v>14</v>
      </c>
      <c r="H9777">
        <v>28</v>
      </c>
      <c r="I9777">
        <v>137</v>
      </c>
      <c r="J9777">
        <v>1</v>
      </c>
      <c r="K9777">
        <v>32</v>
      </c>
      <c r="L9777">
        <v>153</v>
      </c>
      <c r="M9777">
        <v>1</v>
      </c>
      <c r="N9777">
        <v>3.0657600000000003E-23</v>
      </c>
      <c r="O9777">
        <v>265</v>
      </c>
    </row>
    <row r="9778" spans="1:15" x14ac:dyDescent="0.25">
      <c r="A9778" t="s">
        <v>9791</v>
      </c>
      <c r="B9778">
        <v>509</v>
      </c>
      <c r="C9778" s="1" t="str">
        <f>HYPERLINK("http://www.rosaceae.org/gb/gbrowse/malus_x_domestica/?name=MDP0000316225","MDP0000316225")</f>
        <v>MDP0000316225</v>
      </c>
      <c r="D9778">
        <v>65.61</v>
      </c>
      <c r="E9778">
        <v>509</v>
      </c>
      <c r="F9778">
        <v>175</v>
      </c>
      <c r="G9778">
        <v>2</v>
      </c>
      <c r="H9778">
        <v>1</v>
      </c>
      <c r="I9778">
        <v>508</v>
      </c>
      <c r="J9778">
        <v>1</v>
      </c>
      <c r="K9778">
        <v>1</v>
      </c>
      <c r="L9778">
        <v>508</v>
      </c>
      <c r="M9778">
        <v>1</v>
      </c>
      <c r="N9778">
        <v>0</v>
      </c>
      <c r="O9778">
        <v>1701</v>
      </c>
    </row>
    <row r="9779" spans="1:15" x14ac:dyDescent="0.25">
      <c r="A9779" t="s">
        <v>9792</v>
      </c>
      <c r="B9779">
        <v>406</v>
      </c>
      <c r="C9779" s="1" t="str">
        <f>HYPERLINK("http://www.rosaceae.org/gb/gbrowse/malus_x_domestica/?name=MDP0000772731","MDP0000772731")</f>
        <v>MDP0000772731</v>
      </c>
      <c r="D9779">
        <v>40.68</v>
      </c>
      <c r="E9779">
        <v>263</v>
      </c>
      <c r="F9779">
        <v>156</v>
      </c>
      <c r="G9779">
        <v>30</v>
      </c>
      <c r="H9779">
        <v>5</v>
      </c>
      <c r="I9779">
        <v>266</v>
      </c>
      <c r="J9779">
        <v>1</v>
      </c>
      <c r="K9779">
        <v>9</v>
      </c>
      <c r="L9779">
        <v>242</v>
      </c>
      <c r="M9779">
        <v>1</v>
      </c>
      <c r="N9779">
        <v>1.80981E-44</v>
      </c>
      <c r="O9779">
        <v>449</v>
      </c>
    </row>
    <row r="9780" spans="1:15" x14ac:dyDescent="0.25">
      <c r="A9780" t="s">
        <v>9793</v>
      </c>
      <c r="B9780">
        <v>513</v>
      </c>
      <c r="C9780" s="1" t="str">
        <f>HYPERLINK("http://www.rosaceae.org/gb/gbrowse/malus_x_domestica/?name=MDP0000728757","MDP0000728757")</f>
        <v>MDP0000728757</v>
      </c>
      <c r="D9780">
        <v>63.93</v>
      </c>
      <c r="E9780">
        <v>513</v>
      </c>
      <c r="F9780">
        <v>185</v>
      </c>
      <c r="G9780">
        <v>13</v>
      </c>
      <c r="H9780">
        <v>7</v>
      </c>
      <c r="I9780">
        <v>513</v>
      </c>
      <c r="J9780">
        <v>1</v>
      </c>
      <c r="K9780">
        <v>8</v>
      </c>
      <c r="L9780">
        <v>513</v>
      </c>
      <c r="M9780">
        <v>1</v>
      </c>
      <c r="N9780">
        <v>0</v>
      </c>
      <c r="O9780">
        <v>1780</v>
      </c>
    </row>
    <row r="9781" spans="1:15" x14ac:dyDescent="0.25">
      <c r="A9781" t="s">
        <v>9794</v>
      </c>
      <c r="B9781">
        <v>1355</v>
      </c>
      <c r="C9781" s="1" t="str">
        <f>HYPERLINK("http://www.rosaceae.org/gb/gbrowse/malus_x_domestica/?name=MDP0000289242","MDP0000289242")</f>
        <v>MDP0000289242</v>
      </c>
      <c r="D9781">
        <v>54.72</v>
      </c>
      <c r="E9781">
        <v>1111</v>
      </c>
      <c r="F9781">
        <v>503</v>
      </c>
      <c r="G9781">
        <v>94</v>
      </c>
      <c r="H9781">
        <v>15</v>
      </c>
      <c r="I9781">
        <v>1108</v>
      </c>
      <c r="J9781">
        <v>1</v>
      </c>
      <c r="K9781">
        <v>23</v>
      </c>
      <c r="L9781">
        <v>1056</v>
      </c>
      <c r="M9781">
        <v>1</v>
      </c>
      <c r="N9781">
        <v>0</v>
      </c>
      <c r="O9781">
        <v>2780</v>
      </c>
    </row>
    <row r="9782" spans="1:15" x14ac:dyDescent="0.25">
      <c r="A9782" t="s">
        <v>9795</v>
      </c>
      <c r="B9782">
        <v>63</v>
      </c>
      <c r="C9782" s="1" t="str">
        <f>HYPERLINK("http://www.rosaceae.org/gb/gbrowse/malus_x_domestica/?name=MDP0000263575","MDP0000263575")</f>
        <v>MDP0000263575</v>
      </c>
      <c r="D9782">
        <v>97.67</v>
      </c>
      <c r="E9782">
        <v>43</v>
      </c>
      <c r="F9782">
        <v>1</v>
      </c>
      <c r="G9782">
        <v>0</v>
      </c>
      <c r="H9782">
        <v>1</v>
      </c>
      <c r="I9782">
        <v>43</v>
      </c>
      <c r="J9782">
        <v>1</v>
      </c>
      <c r="K9782">
        <v>1</v>
      </c>
      <c r="L9782">
        <v>43</v>
      </c>
      <c r="M9782">
        <v>1</v>
      </c>
      <c r="N9782">
        <v>2.1369600000000001E-20</v>
      </c>
      <c r="O9782">
        <v>233</v>
      </c>
    </row>
    <row r="9783" spans="1:15" x14ac:dyDescent="0.25">
      <c r="A9783" t="s">
        <v>9796</v>
      </c>
      <c r="B9783">
        <v>255</v>
      </c>
      <c r="C9783" s="1" t="str">
        <f>HYPERLINK("http://www.rosaceae.org/gb/gbrowse/malus_x_domestica/?name=MDP0000803089","MDP0000803089")</f>
        <v>MDP0000803089</v>
      </c>
      <c r="D9783">
        <v>68.36</v>
      </c>
      <c r="E9783">
        <v>294</v>
      </c>
      <c r="F9783">
        <v>93</v>
      </c>
      <c r="G9783">
        <v>41</v>
      </c>
      <c r="H9783">
        <v>1</v>
      </c>
      <c r="I9783">
        <v>253</v>
      </c>
      <c r="J9783">
        <v>1</v>
      </c>
      <c r="K9783">
        <v>1</v>
      </c>
      <c r="L9783">
        <v>294</v>
      </c>
      <c r="M9783">
        <v>1</v>
      </c>
      <c r="N9783">
        <v>2.2145499999999998E-105</v>
      </c>
      <c r="O9783">
        <v>972</v>
      </c>
    </row>
    <row r="9784" spans="1:15" x14ac:dyDescent="0.25">
      <c r="A9784" t="s">
        <v>9797</v>
      </c>
      <c r="B9784">
        <v>187</v>
      </c>
      <c r="C9784" s="1" t="str">
        <f>HYPERLINK("http://www.rosaceae.org/gb/gbrowse/malus_x_domestica/?name=MDP0000343963","MDP0000343963")</f>
        <v>MDP0000343963</v>
      </c>
      <c r="D9784">
        <v>78.400000000000006</v>
      </c>
      <c r="E9784">
        <v>125</v>
      </c>
      <c r="F9784">
        <v>27</v>
      </c>
      <c r="G9784">
        <v>0</v>
      </c>
      <c r="H9784">
        <v>1</v>
      </c>
      <c r="I9784">
        <v>125</v>
      </c>
      <c r="J9784">
        <v>1</v>
      </c>
      <c r="K9784">
        <v>1</v>
      </c>
      <c r="L9784">
        <v>125</v>
      </c>
      <c r="M9784">
        <v>1</v>
      </c>
      <c r="N9784">
        <v>1.5645399999999999E-48</v>
      </c>
      <c r="O9784">
        <v>480</v>
      </c>
    </row>
    <row r="9785" spans="1:15" x14ac:dyDescent="0.25">
      <c r="A9785" t="s">
        <v>9798</v>
      </c>
      <c r="B9785">
        <v>589</v>
      </c>
      <c r="C9785" s="1" t="str">
        <f>HYPERLINK("http://www.rosaceae.org/gb/gbrowse/malus_x_domestica/?name=MDP0000274944","MDP0000274944")</f>
        <v>MDP0000274944</v>
      </c>
      <c r="D9785">
        <v>50</v>
      </c>
      <c r="E9785">
        <v>612</v>
      </c>
      <c r="F9785">
        <v>306</v>
      </c>
      <c r="G9785">
        <v>50</v>
      </c>
      <c r="H9785">
        <v>1</v>
      </c>
      <c r="I9785">
        <v>574</v>
      </c>
      <c r="J9785">
        <v>1</v>
      </c>
      <c r="K9785">
        <v>1</v>
      </c>
      <c r="L9785">
        <v>600</v>
      </c>
      <c r="M9785">
        <v>1</v>
      </c>
      <c r="N9785">
        <v>7.6642200000000003E-130</v>
      </c>
      <c r="O9785">
        <v>1187</v>
      </c>
    </row>
    <row r="9786" spans="1:15" x14ac:dyDescent="0.25">
      <c r="A9786" t="s">
        <v>9799</v>
      </c>
      <c r="B9786">
        <v>135</v>
      </c>
      <c r="C9786" s="1" t="str">
        <f>HYPERLINK("http://www.rosaceae.org/gb/gbrowse/malus_x_domestica/?name=MDP0000266381","MDP0000266381")</f>
        <v>MDP0000266381</v>
      </c>
      <c r="D9786">
        <v>77.5</v>
      </c>
      <c r="E9786">
        <v>40</v>
      </c>
      <c r="F9786">
        <v>9</v>
      </c>
      <c r="G9786">
        <v>0</v>
      </c>
      <c r="H9786">
        <v>70</v>
      </c>
      <c r="I9786">
        <v>109</v>
      </c>
      <c r="J9786">
        <v>1</v>
      </c>
      <c r="K9786">
        <v>250</v>
      </c>
      <c r="L9786">
        <v>289</v>
      </c>
      <c r="M9786">
        <v>1</v>
      </c>
      <c r="N9786">
        <v>4.78397E-10</v>
      </c>
      <c r="O9786">
        <v>145</v>
      </c>
    </row>
    <row r="9787" spans="1:15" x14ac:dyDescent="0.25">
      <c r="A9787" t="s">
        <v>9800</v>
      </c>
      <c r="B9787">
        <v>1383</v>
      </c>
      <c r="C9787" s="1" t="str">
        <f>HYPERLINK("http://www.rosaceae.org/gb/gbrowse/malus_x_domestica/?name=MDP0000788110","MDP0000788110")</f>
        <v>MDP0000788110</v>
      </c>
      <c r="D9787">
        <v>82.88</v>
      </c>
      <c r="E9787">
        <v>1385</v>
      </c>
      <c r="F9787">
        <v>237</v>
      </c>
      <c r="G9787">
        <v>9</v>
      </c>
      <c r="H9787">
        <v>1</v>
      </c>
      <c r="I9787">
        <v>1383</v>
      </c>
      <c r="J9787">
        <v>1</v>
      </c>
      <c r="K9787">
        <v>1</v>
      </c>
      <c r="L9787">
        <v>1378</v>
      </c>
      <c r="M9787">
        <v>1</v>
      </c>
      <c r="N9787">
        <v>0</v>
      </c>
      <c r="O9787">
        <v>6141</v>
      </c>
    </row>
    <row r="9788" spans="1:15" x14ac:dyDescent="0.25">
      <c r="A9788" t="s">
        <v>9801</v>
      </c>
      <c r="B9788">
        <v>272</v>
      </c>
      <c r="C9788" s="1" t="str">
        <f>HYPERLINK("http://www.rosaceae.org/gb/gbrowse/malus_x_domestica/?name=MDP0000340069","MDP0000340069")</f>
        <v>MDP0000340069</v>
      </c>
      <c r="D9788">
        <v>61.26</v>
      </c>
      <c r="E9788">
        <v>222</v>
      </c>
      <c r="F9788">
        <v>86</v>
      </c>
      <c r="G9788">
        <v>6</v>
      </c>
      <c r="H9788">
        <v>2</v>
      </c>
      <c r="I9788">
        <v>221</v>
      </c>
      <c r="J9788">
        <v>1</v>
      </c>
      <c r="K9788">
        <v>6</v>
      </c>
      <c r="L9788">
        <v>223</v>
      </c>
      <c r="M9788">
        <v>1</v>
      </c>
      <c r="N9788">
        <v>1.19093E-69</v>
      </c>
      <c r="O9788">
        <v>664</v>
      </c>
    </row>
    <row r="9789" spans="1:15" x14ac:dyDescent="0.25">
      <c r="A9789" t="s">
        <v>9802</v>
      </c>
      <c r="B9789">
        <v>477</v>
      </c>
      <c r="C9789" s="1" t="str">
        <f>HYPERLINK("http://www.rosaceae.org/gb/gbrowse/malus_x_domestica/?name=MDP0000181135","MDP0000181135")</f>
        <v>MDP0000181135</v>
      </c>
      <c r="D9789">
        <v>37.11</v>
      </c>
      <c r="E9789">
        <v>458</v>
      </c>
      <c r="F9789">
        <v>288</v>
      </c>
      <c r="G9789">
        <v>39</v>
      </c>
      <c r="H9789">
        <v>16</v>
      </c>
      <c r="I9789">
        <v>463</v>
      </c>
      <c r="J9789">
        <v>1</v>
      </c>
      <c r="K9789">
        <v>10</v>
      </c>
      <c r="L9789">
        <v>438</v>
      </c>
      <c r="M9789">
        <v>1</v>
      </c>
      <c r="N9789">
        <v>5.4534400000000001E-58</v>
      </c>
      <c r="O9789">
        <v>566</v>
      </c>
    </row>
    <row r="9790" spans="1:15" x14ac:dyDescent="0.25">
      <c r="A9790" t="s">
        <v>9803</v>
      </c>
      <c r="B9790">
        <v>1075</v>
      </c>
      <c r="C9790" s="1" t="str">
        <f>HYPERLINK("http://www.rosaceae.org/gb/gbrowse/malus_x_domestica/?name=MDP0000304705","MDP0000304705")</f>
        <v>MDP0000304705</v>
      </c>
      <c r="D9790">
        <v>47.86</v>
      </c>
      <c r="E9790">
        <v>1126</v>
      </c>
      <c r="F9790">
        <v>587</v>
      </c>
      <c r="G9790">
        <v>109</v>
      </c>
      <c r="H9790">
        <v>1</v>
      </c>
      <c r="I9790">
        <v>1058</v>
      </c>
      <c r="J9790">
        <v>1</v>
      </c>
      <c r="K9790">
        <v>1345</v>
      </c>
      <c r="L9790">
        <v>2429</v>
      </c>
      <c r="M9790">
        <v>1</v>
      </c>
      <c r="N9790">
        <v>0</v>
      </c>
      <c r="O9790">
        <v>2275</v>
      </c>
    </row>
    <row r="9791" spans="1:15" x14ac:dyDescent="0.25">
      <c r="A9791" t="s">
        <v>9804</v>
      </c>
      <c r="B9791">
        <v>181</v>
      </c>
      <c r="C9791" s="1" t="str">
        <f>HYPERLINK("http://www.rosaceae.org/gb/gbrowse/malus_x_domestica/?name=MDP0000249104","MDP0000249104")</f>
        <v>MDP0000249104</v>
      </c>
      <c r="D9791">
        <v>42.35</v>
      </c>
      <c r="E9791">
        <v>170</v>
      </c>
      <c r="F9791">
        <v>98</v>
      </c>
      <c r="G9791">
        <v>22</v>
      </c>
      <c r="H9791">
        <v>8</v>
      </c>
      <c r="I9791">
        <v>168</v>
      </c>
      <c r="J9791">
        <v>1</v>
      </c>
      <c r="K9791">
        <v>5</v>
      </c>
      <c r="L9791">
        <v>161</v>
      </c>
      <c r="M9791">
        <v>1</v>
      </c>
      <c r="N9791">
        <v>3.4988600000000004E-27</v>
      </c>
      <c r="O9791">
        <v>295</v>
      </c>
    </row>
    <row r="9792" spans="1:15" x14ac:dyDescent="0.25">
      <c r="A9792" t="s">
        <v>9805</v>
      </c>
      <c r="B9792">
        <v>366</v>
      </c>
      <c r="C9792" s="1" t="str">
        <f>HYPERLINK("http://www.rosaceae.org/gb/gbrowse/malus_x_domestica/?name=MDP0000222932","MDP0000222932")</f>
        <v>MDP0000222932</v>
      </c>
      <c r="D9792">
        <v>81.23</v>
      </c>
      <c r="E9792">
        <v>341</v>
      </c>
      <c r="F9792">
        <v>64</v>
      </c>
      <c r="G9792">
        <v>3</v>
      </c>
      <c r="H9792">
        <v>2</v>
      </c>
      <c r="I9792">
        <v>340</v>
      </c>
      <c r="J9792">
        <v>1</v>
      </c>
      <c r="K9792">
        <v>152</v>
      </c>
      <c r="L9792">
        <v>491</v>
      </c>
      <c r="M9792">
        <v>1</v>
      </c>
      <c r="N9792">
        <v>1.6061600000000001E-161</v>
      </c>
      <c r="O9792">
        <v>1458</v>
      </c>
    </row>
    <row r="9793" spans="1:15" x14ac:dyDescent="0.25">
      <c r="A9793" t="s">
        <v>9806</v>
      </c>
      <c r="B9793">
        <v>284</v>
      </c>
      <c r="C9793" s="1" t="str">
        <f>HYPERLINK("http://www.rosaceae.org/gb/gbrowse/malus_x_domestica/?name=MDP0000926385","MDP0000926385")</f>
        <v>MDP0000926385</v>
      </c>
      <c r="D9793">
        <v>76.28</v>
      </c>
      <c r="E9793">
        <v>253</v>
      </c>
      <c r="F9793">
        <v>60</v>
      </c>
      <c r="G9793">
        <v>0</v>
      </c>
      <c r="H9793">
        <v>32</v>
      </c>
      <c r="I9793">
        <v>284</v>
      </c>
      <c r="J9793">
        <v>1</v>
      </c>
      <c r="K9793">
        <v>28</v>
      </c>
      <c r="L9793">
        <v>280</v>
      </c>
      <c r="M9793">
        <v>1</v>
      </c>
      <c r="N9793">
        <v>1.6602699999999999E-108</v>
      </c>
      <c r="O9793">
        <v>999</v>
      </c>
    </row>
    <row r="9794" spans="1:15" x14ac:dyDescent="0.25">
      <c r="A9794" t="s">
        <v>9807</v>
      </c>
      <c r="B9794">
        <v>298</v>
      </c>
      <c r="C9794" s="1" t="str">
        <f>HYPERLINK("http://www.rosaceae.org/gb/gbrowse/malus_x_domestica/?name=MDP0000756246","MDP0000756246")</f>
        <v>MDP0000756246</v>
      </c>
      <c r="D9794">
        <v>60.33</v>
      </c>
      <c r="E9794">
        <v>295</v>
      </c>
      <c r="F9794">
        <v>117</v>
      </c>
      <c r="G9794">
        <v>22</v>
      </c>
      <c r="H9794">
        <v>1</v>
      </c>
      <c r="I9794">
        <v>291</v>
      </c>
      <c r="J9794">
        <v>1</v>
      </c>
      <c r="K9794">
        <v>1</v>
      </c>
      <c r="L9794">
        <v>277</v>
      </c>
      <c r="M9794">
        <v>1</v>
      </c>
      <c r="N9794">
        <v>3.0900100000000001E-90</v>
      </c>
      <c r="O9794">
        <v>842</v>
      </c>
    </row>
    <row r="9795" spans="1:15" x14ac:dyDescent="0.25">
      <c r="A9795" t="s">
        <v>9808</v>
      </c>
      <c r="B9795">
        <v>671</v>
      </c>
      <c r="C9795" s="1" t="str">
        <f>HYPERLINK("http://www.rosaceae.org/gb/gbrowse/malus_x_domestica/?name=MDP0000155328","MDP0000155328")</f>
        <v>MDP0000155328</v>
      </c>
      <c r="D9795">
        <v>65.47</v>
      </c>
      <c r="E9795">
        <v>672</v>
      </c>
      <c r="F9795">
        <v>232</v>
      </c>
      <c r="G9795">
        <v>17</v>
      </c>
      <c r="H9795">
        <v>11</v>
      </c>
      <c r="I9795">
        <v>669</v>
      </c>
      <c r="J9795">
        <v>1</v>
      </c>
      <c r="K9795">
        <v>1</v>
      </c>
      <c r="L9795">
        <v>668</v>
      </c>
      <c r="M9795">
        <v>1</v>
      </c>
      <c r="N9795">
        <v>0</v>
      </c>
      <c r="O9795">
        <v>2097</v>
      </c>
    </row>
    <row r="9796" spans="1:15" x14ac:dyDescent="0.25">
      <c r="A9796" t="s">
        <v>9809</v>
      </c>
      <c r="B9796">
        <v>1040</v>
      </c>
      <c r="C9796" s="1" t="str">
        <f>HYPERLINK("http://www.rosaceae.org/gb/gbrowse/malus_x_domestica/?name=MDP0000268035","MDP0000268035")</f>
        <v>MDP0000268035</v>
      </c>
      <c r="D9796">
        <v>54.56</v>
      </c>
      <c r="E9796">
        <v>515</v>
      </c>
      <c r="F9796">
        <v>234</v>
      </c>
      <c r="G9796">
        <v>31</v>
      </c>
      <c r="H9796">
        <v>1</v>
      </c>
      <c r="I9796">
        <v>485</v>
      </c>
      <c r="J9796">
        <v>1</v>
      </c>
      <c r="K9796">
        <v>1</v>
      </c>
      <c r="L9796">
        <v>514</v>
      </c>
      <c r="M9796">
        <v>1</v>
      </c>
      <c r="N9796">
        <v>3.04538E-132</v>
      </c>
      <c r="O9796">
        <v>1210</v>
      </c>
    </row>
    <row r="9797" spans="1:15" x14ac:dyDescent="0.25">
      <c r="A9797" t="s">
        <v>9810</v>
      </c>
      <c r="B9797">
        <v>501</v>
      </c>
      <c r="C9797" s="1" t="str">
        <f>HYPERLINK("http://www.rosaceae.org/gb/gbrowse/malus_x_domestica/?name=MDP0000322668","MDP0000322668")</f>
        <v>MDP0000322668</v>
      </c>
      <c r="D9797">
        <v>76</v>
      </c>
      <c r="E9797">
        <v>125</v>
      </c>
      <c r="F9797">
        <v>30</v>
      </c>
      <c r="G9797">
        <v>3</v>
      </c>
      <c r="H9797">
        <v>372</v>
      </c>
      <c r="I9797">
        <v>495</v>
      </c>
      <c r="J9797">
        <v>1</v>
      </c>
      <c r="K9797">
        <v>407</v>
      </c>
      <c r="L9797">
        <v>529</v>
      </c>
      <c r="M9797">
        <v>1</v>
      </c>
      <c r="N9797">
        <v>2.5089200000000002E-53</v>
      </c>
      <c r="O9797">
        <v>526</v>
      </c>
    </row>
    <row r="9798" spans="1:15" x14ac:dyDescent="0.25">
      <c r="A9798" t="s">
        <v>9811</v>
      </c>
      <c r="B9798">
        <v>333</v>
      </c>
      <c r="C9798" s="1" t="str">
        <f>HYPERLINK("http://www.rosaceae.org/gb/gbrowse/malus_x_domestica/?name=MDP0000513047","MDP0000513047")</f>
        <v>MDP0000513047</v>
      </c>
      <c r="D9798">
        <v>29.5</v>
      </c>
      <c r="E9798">
        <v>200</v>
      </c>
      <c r="F9798">
        <v>141</v>
      </c>
      <c r="G9798">
        <v>71</v>
      </c>
      <c r="H9798">
        <v>34</v>
      </c>
      <c r="I9798">
        <v>162</v>
      </c>
      <c r="J9798">
        <v>1</v>
      </c>
      <c r="K9798">
        <v>145</v>
      </c>
      <c r="L9798">
        <v>344</v>
      </c>
      <c r="M9798">
        <v>1</v>
      </c>
      <c r="N9798">
        <v>4.74155E-18</v>
      </c>
      <c r="O9798">
        <v>220</v>
      </c>
    </row>
    <row r="9799" spans="1:15" x14ac:dyDescent="0.25">
      <c r="A9799" t="s">
        <v>9812</v>
      </c>
      <c r="B9799">
        <v>192</v>
      </c>
      <c r="C9799" s="1" t="str">
        <f>HYPERLINK("http://www.rosaceae.org/gb/gbrowse/malus_x_domestica/?name=MDP0000542944","MDP0000542944")</f>
        <v>MDP0000542944</v>
      </c>
      <c r="D9799">
        <v>62.62</v>
      </c>
      <c r="E9799">
        <v>198</v>
      </c>
      <c r="F9799">
        <v>74</v>
      </c>
      <c r="G9799">
        <v>11</v>
      </c>
      <c r="H9799">
        <v>1</v>
      </c>
      <c r="I9799">
        <v>192</v>
      </c>
      <c r="J9799">
        <v>1</v>
      </c>
      <c r="K9799">
        <v>1</v>
      </c>
      <c r="L9799">
        <v>193</v>
      </c>
      <c r="M9799">
        <v>1</v>
      </c>
      <c r="N9799">
        <v>4.8880100000000002E-55</v>
      </c>
      <c r="O9799">
        <v>536</v>
      </c>
    </row>
    <row r="9800" spans="1:15" x14ac:dyDescent="0.25">
      <c r="A9800" t="s">
        <v>9813</v>
      </c>
      <c r="B9800">
        <v>800</v>
      </c>
      <c r="C9800" s="1" t="str">
        <f>HYPERLINK("http://www.rosaceae.org/gb/gbrowse/malus_x_domestica/?name=MDP0000177786","MDP0000177786")</f>
        <v>MDP0000177786</v>
      </c>
      <c r="D9800">
        <v>73.319999999999993</v>
      </c>
      <c r="E9800">
        <v>821</v>
      </c>
      <c r="F9800">
        <v>219</v>
      </c>
      <c r="G9800">
        <v>82</v>
      </c>
      <c r="H9800">
        <v>54</v>
      </c>
      <c r="I9800">
        <v>792</v>
      </c>
      <c r="J9800">
        <v>1</v>
      </c>
      <c r="K9800">
        <v>75</v>
      </c>
      <c r="L9800">
        <v>895</v>
      </c>
      <c r="M9800">
        <v>1</v>
      </c>
      <c r="N9800">
        <v>0</v>
      </c>
      <c r="O9800">
        <v>3107</v>
      </c>
    </row>
    <row r="9801" spans="1:15" x14ac:dyDescent="0.25">
      <c r="A9801" t="s">
        <v>9814</v>
      </c>
      <c r="B9801">
        <v>158</v>
      </c>
      <c r="C9801" s="1" t="str">
        <f>HYPERLINK("http://www.rosaceae.org/gb/gbrowse/malus_x_domestica/?name=MDP0000305455","MDP0000305455")</f>
        <v>MDP0000305455</v>
      </c>
      <c r="D9801">
        <v>42.06</v>
      </c>
      <c r="E9801">
        <v>233</v>
      </c>
      <c r="F9801">
        <v>135</v>
      </c>
      <c r="G9801">
        <v>80</v>
      </c>
      <c r="H9801">
        <v>3</v>
      </c>
      <c r="I9801">
        <v>157</v>
      </c>
      <c r="J9801">
        <v>1</v>
      </c>
      <c r="K9801">
        <v>611</v>
      </c>
      <c r="L9801">
        <v>841</v>
      </c>
      <c r="M9801">
        <v>1</v>
      </c>
      <c r="N9801">
        <v>3.2468500000000002E-37</v>
      </c>
      <c r="O9801">
        <v>381</v>
      </c>
    </row>
    <row r="9802" spans="1:15" x14ac:dyDescent="0.25">
      <c r="A9802" t="s">
        <v>9815</v>
      </c>
      <c r="B9802">
        <v>366</v>
      </c>
      <c r="C9802" s="1" t="str">
        <f>HYPERLINK("http://www.rosaceae.org/gb/gbrowse/malus_x_domestica/?name=MDP0000580841","MDP0000580841")</f>
        <v>MDP0000580841</v>
      </c>
      <c r="D9802">
        <v>52.23</v>
      </c>
      <c r="E9802">
        <v>358</v>
      </c>
      <c r="F9802">
        <v>171</v>
      </c>
      <c r="G9802">
        <v>47</v>
      </c>
      <c r="H9802">
        <v>5</v>
      </c>
      <c r="I9802">
        <v>350</v>
      </c>
      <c r="J9802">
        <v>1</v>
      </c>
      <c r="K9802">
        <v>4</v>
      </c>
      <c r="L9802">
        <v>326</v>
      </c>
      <c r="M9802">
        <v>1</v>
      </c>
      <c r="N9802">
        <v>1.16523E-88</v>
      </c>
      <c r="O9802">
        <v>830</v>
      </c>
    </row>
    <row r="9803" spans="1:15" x14ac:dyDescent="0.25">
      <c r="A9803" t="s">
        <v>9816</v>
      </c>
      <c r="B9803">
        <v>617</v>
      </c>
      <c r="C9803" s="1" t="str">
        <f>HYPERLINK("http://www.rosaceae.org/gb/gbrowse/malus_x_domestica/?name=MDP0000320212","MDP0000320212")</f>
        <v>MDP0000320212</v>
      </c>
      <c r="D9803">
        <v>81.69</v>
      </c>
      <c r="E9803">
        <v>612</v>
      </c>
      <c r="F9803">
        <v>112</v>
      </c>
      <c r="G9803">
        <v>3</v>
      </c>
      <c r="H9803">
        <v>8</v>
      </c>
      <c r="I9803">
        <v>617</v>
      </c>
      <c r="J9803">
        <v>1</v>
      </c>
      <c r="K9803">
        <v>467</v>
      </c>
      <c r="L9803">
        <v>1077</v>
      </c>
      <c r="M9803">
        <v>1</v>
      </c>
      <c r="N9803">
        <v>0</v>
      </c>
      <c r="O9803">
        <v>2617</v>
      </c>
    </row>
    <row r="9804" spans="1:15" x14ac:dyDescent="0.25">
      <c r="A9804" t="s">
        <v>9817</v>
      </c>
      <c r="B9804">
        <v>396</v>
      </c>
      <c r="C9804" s="1" t="str">
        <f>HYPERLINK("http://www.rosaceae.org/gb/gbrowse/malus_x_domestica/?name=MDP0000845685","MDP0000845685")</f>
        <v>MDP0000845685</v>
      </c>
      <c r="D9804">
        <v>75.06</v>
      </c>
      <c r="E9804">
        <v>393</v>
      </c>
      <c r="F9804">
        <v>98</v>
      </c>
      <c r="G9804">
        <v>3</v>
      </c>
      <c r="H9804">
        <v>5</v>
      </c>
      <c r="I9804">
        <v>394</v>
      </c>
      <c r="J9804">
        <v>1</v>
      </c>
      <c r="K9804">
        <v>13</v>
      </c>
      <c r="L9804">
        <v>405</v>
      </c>
      <c r="M9804">
        <v>1</v>
      </c>
      <c r="N9804">
        <v>7.8962299999999995E-170</v>
      </c>
      <c r="O9804">
        <v>1530</v>
      </c>
    </row>
    <row r="9805" spans="1:15" x14ac:dyDescent="0.25">
      <c r="A9805" t="s">
        <v>9818</v>
      </c>
      <c r="B9805">
        <v>441</v>
      </c>
      <c r="C9805" s="1" t="str">
        <f>HYPERLINK("http://www.rosaceae.org/gb/gbrowse/malus_x_domestica/?name=MDP0000253112","MDP0000253112")</f>
        <v>MDP0000253112</v>
      </c>
      <c r="D9805">
        <v>64.180000000000007</v>
      </c>
      <c r="E9805">
        <v>444</v>
      </c>
      <c r="F9805">
        <v>159</v>
      </c>
      <c r="G9805">
        <v>3</v>
      </c>
      <c r="H9805">
        <v>1</v>
      </c>
      <c r="I9805">
        <v>441</v>
      </c>
      <c r="J9805">
        <v>1</v>
      </c>
      <c r="K9805">
        <v>43</v>
      </c>
      <c r="L9805">
        <v>486</v>
      </c>
      <c r="M9805">
        <v>1</v>
      </c>
      <c r="N9805">
        <v>3.7456900000000002E-166</v>
      </c>
      <c r="O9805">
        <v>1499</v>
      </c>
    </row>
    <row r="9806" spans="1:15" x14ac:dyDescent="0.25">
      <c r="A9806" t="s">
        <v>9819</v>
      </c>
      <c r="B9806">
        <v>1612</v>
      </c>
      <c r="C9806" s="1" t="str">
        <f>HYPERLINK("http://www.rosaceae.org/gb/gbrowse/malus_x_domestica/?name=MDP0000231077","MDP0000231077")</f>
        <v>MDP0000231077</v>
      </c>
      <c r="D9806">
        <v>68.400000000000006</v>
      </c>
      <c r="E9806">
        <v>1836</v>
      </c>
      <c r="F9806">
        <v>580</v>
      </c>
      <c r="G9806">
        <v>259</v>
      </c>
      <c r="H9806">
        <v>1</v>
      </c>
      <c r="I9806">
        <v>1612</v>
      </c>
      <c r="J9806">
        <v>1</v>
      </c>
      <c r="K9806">
        <v>1</v>
      </c>
      <c r="L9806">
        <v>1801</v>
      </c>
      <c r="M9806">
        <v>1</v>
      </c>
      <c r="N9806">
        <v>0</v>
      </c>
      <c r="O9806">
        <v>6274</v>
      </c>
    </row>
    <row r="9807" spans="1:15" x14ac:dyDescent="0.25">
      <c r="A9807" t="s">
        <v>9820</v>
      </c>
      <c r="B9807">
        <v>208</v>
      </c>
      <c r="C9807" s="1" t="str">
        <f>HYPERLINK("http://www.rosaceae.org/gb/gbrowse/malus_x_domestica/?name=MDP0000230447","MDP0000230447")</f>
        <v>MDP0000230447</v>
      </c>
      <c r="D9807">
        <v>73.94</v>
      </c>
      <c r="E9807">
        <v>142</v>
      </c>
      <c r="F9807">
        <v>37</v>
      </c>
      <c r="G9807">
        <v>2</v>
      </c>
      <c r="H9807">
        <v>1</v>
      </c>
      <c r="I9807">
        <v>140</v>
      </c>
      <c r="J9807">
        <v>1</v>
      </c>
      <c r="K9807">
        <v>1</v>
      </c>
      <c r="L9807">
        <v>142</v>
      </c>
      <c r="M9807">
        <v>1</v>
      </c>
      <c r="N9807">
        <v>1.4382E-53</v>
      </c>
      <c r="O9807">
        <v>524</v>
      </c>
    </row>
    <row r="9808" spans="1:15" x14ac:dyDescent="0.25">
      <c r="A9808" t="s">
        <v>9821</v>
      </c>
      <c r="B9808">
        <v>344</v>
      </c>
      <c r="C9808" s="1" t="str">
        <f>HYPERLINK("http://www.rosaceae.org/gb/gbrowse/malus_x_domestica/?name=MDP0000462809","MDP0000462809")</f>
        <v>MDP0000462809</v>
      </c>
      <c r="D9808">
        <v>82.84</v>
      </c>
      <c r="E9808">
        <v>344</v>
      </c>
      <c r="F9808">
        <v>59</v>
      </c>
      <c r="G9808">
        <v>0</v>
      </c>
      <c r="H9808">
        <v>1</v>
      </c>
      <c r="I9808">
        <v>344</v>
      </c>
      <c r="J9808">
        <v>1</v>
      </c>
      <c r="K9808">
        <v>1</v>
      </c>
      <c r="L9808">
        <v>344</v>
      </c>
      <c r="M9808">
        <v>1</v>
      </c>
      <c r="N9808">
        <v>4.1692899999999999E-163</v>
      </c>
      <c r="O9808">
        <v>1471</v>
      </c>
    </row>
    <row r="9809" spans="1:15" x14ac:dyDescent="0.25">
      <c r="A9809" t="s">
        <v>9822</v>
      </c>
      <c r="B9809">
        <v>348</v>
      </c>
      <c r="C9809" s="1" t="str">
        <f>HYPERLINK("http://www.rosaceae.org/gb/gbrowse/malus_x_domestica/?name=MDP0000227262","MDP0000227262")</f>
        <v>MDP0000227262</v>
      </c>
      <c r="D9809">
        <v>33.43</v>
      </c>
      <c r="E9809">
        <v>341</v>
      </c>
      <c r="F9809">
        <v>227</v>
      </c>
      <c r="G9809">
        <v>22</v>
      </c>
      <c r="H9809">
        <v>19</v>
      </c>
      <c r="I9809">
        <v>348</v>
      </c>
      <c r="J9809">
        <v>1</v>
      </c>
      <c r="K9809">
        <v>173</v>
      </c>
      <c r="L9809">
        <v>502</v>
      </c>
      <c r="M9809">
        <v>1</v>
      </c>
      <c r="N9809">
        <v>4.2460000000000002E-42</v>
      </c>
      <c r="O9809">
        <v>428</v>
      </c>
    </row>
    <row r="9810" spans="1:15" x14ac:dyDescent="0.25">
      <c r="A9810" t="s">
        <v>9823</v>
      </c>
      <c r="B9810">
        <v>396</v>
      </c>
      <c r="C9810" s="1" t="str">
        <f>HYPERLINK("http://www.rosaceae.org/gb/gbrowse/malus_x_domestica/?name=MDP0000276970","MDP0000276970")</f>
        <v>MDP0000276970</v>
      </c>
      <c r="D9810">
        <v>35.67</v>
      </c>
      <c r="E9810">
        <v>370</v>
      </c>
      <c r="F9810">
        <v>238</v>
      </c>
      <c r="G9810">
        <v>88</v>
      </c>
      <c r="H9810">
        <v>54</v>
      </c>
      <c r="I9810">
        <v>351</v>
      </c>
      <c r="J9810">
        <v>1</v>
      </c>
      <c r="K9810">
        <v>29</v>
      </c>
      <c r="L9810">
        <v>382</v>
      </c>
      <c r="M9810">
        <v>1</v>
      </c>
      <c r="N9810">
        <v>4.7137599999999998E-50</v>
      </c>
      <c r="O9810">
        <v>497</v>
      </c>
    </row>
    <row r="9811" spans="1:15" x14ac:dyDescent="0.25">
      <c r="A9811" t="s">
        <v>9824</v>
      </c>
      <c r="B9811">
        <v>350</v>
      </c>
      <c r="C9811" s="1" t="str">
        <f>HYPERLINK("http://www.rosaceae.org/gb/gbrowse/malus_x_domestica/?name=MDP0000902543","MDP0000902543")</f>
        <v>MDP0000902543</v>
      </c>
      <c r="D9811">
        <v>26.91</v>
      </c>
      <c r="E9811">
        <v>353</v>
      </c>
      <c r="F9811">
        <v>258</v>
      </c>
      <c r="G9811">
        <v>46</v>
      </c>
      <c r="H9811">
        <v>27</v>
      </c>
      <c r="I9811">
        <v>348</v>
      </c>
      <c r="J9811">
        <v>1</v>
      </c>
      <c r="K9811">
        <v>32</v>
      </c>
      <c r="L9811">
        <v>369</v>
      </c>
      <c r="M9811">
        <v>1</v>
      </c>
      <c r="N9811">
        <v>4.5267399999999999E-22</v>
      </c>
      <c r="O9811">
        <v>255</v>
      </c>
    </row>
    <row r="9812" spans="1:15" x14ac:dyDescent="0.25">
      <c r="A9812" t="s">
        <v>9825</v>
      </c>
      <c r="B9812">
        <v>479</v>
      </c>
      <c r="C9812" s="1" t="str">
        <f>HYPERLINK("http://www.rosaceae.org/gb/gbrowse/malus_x_domestica/?name=MDP0000234689","MDP0000234689")</f>
        <v>MDP0000234689</v>
      </c>
      <c r="D9812">
        <v>71.45</v>
      </c>
      <c r="E9812">
        <v>480</v>
      </c>
      <c r="F9812">
        <v>137</v>
      </c>
      <c r="G9812">
        <v>11</v>
      </c>
      <c r="H9812">
        <v>1</v>
      </c>
      <c r="I9812">
        <v>475</v>
      </c>
      <c r="J9812">
        <v>1</v>
      </c>
      <c r="K9812">
        <v>7</v>
      </c>
      <c r="L9812">
        <v>480</v>
      </c>
      <c r="M9812">
        <v>1</v>
      </c>
      <c r="N9812">
        <v>0</v>
      </c>
      <c r="O9812">
        <v>1750</v>
      </c>
    </row>
    <row r="9813" spans="1:15" x14ac:dyDescent="0.25">
      <c r="A9813" t="s">
        <v>9826</v>
      </c>
      <c r="B9813">
        <v>383</v>
      </c>
      <c r="C9813" s="1" t="str">
        <f>HYPERLINK("http://www.rosaceae.org/gb/gbrowse/malus_x_domestica/?name=MDP0000768256","MDP0000768256")</f>
        <v>MDP0000768256</v>
      </c>
      <c r="D9813">
        <v>73</v>
      </c>
      <c r="E9813">
        <v>363</v>
      </c>
      <c r="F9813">
        <v>98</v>
      </c>
      <c r="G9813">
        <v>9</v>
      </c>
      <c r="H9813">
        <v>30</v>
      </c>
      <c r="I9813">
        <v>383</v>
      </c>
      <c r="J9813">
        <v>1</v>
      </c>
      <c r="K9813">
        <v>30</v>
      </c>
      <c r="L9813">
        <v>392</v>
      </c>
      <c r="M9813">
        <v>1</v>
      </c>
      <c r="N9813">
        <v>9.1003099999999993E-152</v>
      </c>
      <c r="O9813">
        <v>1374</v>
      </c>
    </row>
    <row r="9814" spans="1:15" x14ac:dyDescent="0.25">
      <c r="A9814" t="s">
        <v>9827</v>
      </c>
      <c r="B9814">
        <v>466</v>
      </c>
      <c r="C9814" s="1" t="str">
        <f>HYPERLINK("http://www.rosaceae.org/gb/gbrowse/malus_x_domestica/?name=MDP0000300189","MDP0000300189")</f>
        <v>MDP0000300189</v>
      </c>
      <c r="D9814">
        <v>37.89</v>
      </c>
      <c r="E9814">
        <v>446</v>
      </c>
      <c r="F9814">
        <v>277</v>
      </c>
      <c r="G9814">
        <v>15</v>
      </c>
      <c r="H9814">
        <v>23</v>
      </c>
      <c r="I9814">
        <v>464</v>
      </c>
      <c r="J9814">
        <v>1</v>
      </c>
      <c r="K9814">
        <v>15</v>
      </c>
      <c r="L9814">
        <v>449</v>
      </c>
      <c r="M9814">
        <v>1</v>
      </c>
      <c r="N9814">
        <v>1.2857399999999999E-74</v>
      </c>
      <c r="O9814">
        <v>710</v>
      </c>
    </row>
    <row r="9815" spans="1:15" x14ac:dyDescent="0.25">
      <c r="A9815" t="s">
        <v>9828</v>
      </c>
      <c r="B9815">
        <v>284</v>
      </c>
      <c r="C9815" s="1" t="str">
        <f>HYPERLINK("http://www.rosaceae.org/gb/gbrowse/malus_x_domestica/?name=MDP0000235468","MDP0000235468")</f>
        <v>MDP0000235468</v>
      </c>
      <c r="D9815">
        <v>35.799999999999997</v>
      </c>
      <c r="E9815">
        <v>229</v>
      </c>
      <c r="F9815">
        <v>147</v>
      </c>
      <c r="G9815">
        <v>52</v>
      </c>
      <c r="H9815">
        <v>26</v>
      </c>
      <c r="I9815">
        <v>204</v>
      </c>
      <c r="J9815">
        <v>1</v>
      </c>
      <c r="K9815">
        <v>52</v>
      </c>
      <c r="L9815">
        <v>278</v>
      </c>
      <c r="M9815">
        <v>1</v>
      </c>
      <c r="N9815">
        <v>4.5468999999999999E-29</v>
      </c>
      <c r="O9815">
        <v>314</v>
      </c>
    </row>
    <row r="9816" spans="1:15" x14ac:dyDescent="0.25">
      <c r="A9816" t="s">
        <v>9829</v>
      </c>
      <c r="B9816">
        <v>236</v>
      </c>
      <c r="C9816" s="1" t="str">
        <f>HYPERLINK("http://www.rosaceae.org/gb/gbrowse/malus_x_domestica/?name=MDP0000285037","MDP0000285037")</f>
        <v>MDP0000285037</v>
      </c>
      <c r="D9816">
        <v>48.82</v>
      </c>
      <c r="E9816">
        <v>170</v>
      </c>
      <c r="F9816">
        <v>87</v>
      </c>
      <c r="G9816">
        <v>24</v>
      </c>
      <c r="H9816">
        <v>32</v>
      </c>
      <c r="I9816">
        <v>180</v>
      </c>
      <c r="J9816">
        <v>1</v>
      </c>
      <c r="K9816">
        <v>1</v>
      </c>
      <c r="L9816">
        <v>167</v>
      </c>
      <c r="M9816">
        <v>1</v>
      </c>
      <c r="N9816">
        <v>3.1396999999999998E-39</v>
      </c>
      <c r="O9816">
        <v>401</v>
      </c>
    </row>
    <row r="9817" spans="1:15" x14ac:dyDescent="0.25">
      <c r="A9817" t="s">
        <v>9830</v>
      </c>
      <c r="B9817">
        <v>608</v>
      </c>
      <c r="C9817" s="1" t="str">
        <f>HYPERLINK("http://www.rosaceae.org/gb/gbrowse/malus_x_domestica/?name=MDP0000251173","MDP0000251173")</f>
        <v>MDP0000251173</v>
      </c>
      <c r="D9817">
        <v>81.95</v>
      </c>
      <c r="E9817">
        <v>604</v>
      </c>
      <c r="F9817">
        <v>109</v>
      </c>
      <c r="G9817">
        <v>2</v>
      </c>
      <c r="H9817">
        <v>6</v>
      </c>
      <c r="I9817">
        <v>608</v>
      </c>
      <c r="J9817">
        <v>1</v>
      </c>
      <c r="K9817">
        <v>4</v>
      </c>
      <c r="L9817">
        <v>606</v>
      </c>
      <c r="M9817">
        <v>1</v>
      </c>
      <c r="N9817">
        <v>0</v>
      </c>
      <c r="O9817">
        <v>2693</v>
      </c>
    </row>
    <row r="9818" spans="1:15" x14ac:dyDescent="0.25">
      <c r="A9818" t="s">
        <v>9831</v>
      </c>
      <c r="B9818">
        <v>236</v>
      </c>
      <c r="C9818" s="1" t="str">
        <f>HYPERLINK("http://www.rosaceae.org/gb/gbrowse/malus_x_domestica/?name=MDP0000304471","MDP0000304471")</f>
        <v>MDP0000304471</v>
      </c>
      <c r="D9818">
        <v>35.450000000000003</v>
      </c>
      <c r="E9818">
        <v>110</v>
      </c>
      <c r="F9818">
        <v>71</v>
      </c>
      <c r="G9818">
        <v>14</v>
      </c>
      <c r="H9818">
        <v>38</v>
      </c>
      <c r="I9818">
        <v>146</v>
      </c>
      <c r="J9818">
        <v>1</v>
      </c>
      <c r="K9818">
        <v>38</v>
      </c>
      <c r="L9818">
        <v>134</v>
      </c>
      <c r="M9818">
        <v>1</v>
      </c>
      <c r="N9818">
        <v>1.3290899999999999E-11</v>
      </c>
      <c r="O9818">
        <v>163</v>
      </c>
    </row>
    <row r="9819" spans="1:15" x14ac:dyDescent="0.25">
      <c r="A9819" t="s">
        <v>9832</v>
      </c>
      <c r="B9819">
        <v>207</v>
      </c>
      <c r="C9819" s="1" t="str">
        <f>HYPERLINK("http://www.rosaceae.org/gb/gbrowse/malus_x_domestica/?name=MDP0000249929","MDP0000249929")</f>
        <v>MDP0000249929</v>
      </c>
      <c r="D9819">
        <v>73.78</v>
      </c>
      <c r="E9819">
        <v>206</v>
      </c>
      <c r="F9819">
        <v>54</v>
      </c>
      <c r="G9819">
        <v>9</v>
      </c>
      <c r="H9819">
        <v>3</v>
      </c>
      <c r="I9819">
        <v>207</v>
      </c>
      <c r="J9819">
        <v>1</v>
      </c>
      <c r="K9819">
        <v>2</v>
      </c>
      <c r="L9819">
        <v>199</v>
      </c>
      <c r="M9819">
        <v>1</v>
      </c>
      <c r="N9819">
        <v>5.8858499999999995E-82</v>
      </c>
      <c r="O9819">
        <v>769</v>
      </c>
    </row>
    <row r="9820" spans="1:15" x14ac:dyDescent="0.25">
      <c r="A9820" t="s">
        <v>9833</v>
      </c>
      <c r="B9820">
        <v>166</v>
      </c>
      <c r="C9820" s="1" t="str">
        <f>HYPERLINK("http://www.rosaceae.org/gb/gbrowse/malus_x_domestica/?name=MDP0000483412","MDP0000483412")</f>
        <v>MDP0000483412</v>
      </c>
      <c r="D9820">
        <v>38.799999999999997</v>
      </c>
      <c r="E9820">
        <v>67</v>
      </c>
      <c r="F9820">
        <v>41</v>
      </c>
      <c r="G9820">
        <v>6</v>
      </c>
      <c r="H9820">
        <v>84</v>
      </c>
      <c r="I9820">
        <v>144</v>
      </c>
      <c r="J9820">
        <v>1</v>
      </c>
      <c r="K9820">
        <v>320</v>
      </c>
      <c r="L9820">
        <v>386</v>
      </c>
      <c r="M9820">
        <v>1</v>
      </c>
      <c r="N9820">
        <v>9.7868400000000003E-7</v>
      </c>
      <c r="O9820">
        <v>118</v>
      </c>
    </row>
    <row r="9821" spans="1:15" x14ac:dyDescent="0.25">
      <c r="A9821" t="s">
        <v>9834</v>
      </c>
      <c r="B9821">
        <v>286</v>
      </c>
      <c r="C9821" s="1" t="str">
        <f>HYPERLINK("http://www.rosaceae.org/gb/gbrowse/malus_x_domestica/?name=MDP0000492744","MDP0000492744")</f>
        <v>MDP0000492744</v>
      </c>
      <c r="D9821">
        <v>88.12</v>
      </c>
      <c r="E9821">
        <v>278</v>
      </c>
      <c r="F9821">
        <v>33</v>
      </c>
      <c r="G9821">
        <v>2</v>
      </c>
      <c r="H9821">
        <v>11</v>
      </c>
      <c r="I9821">
        <v>286</v>
      </c>
      <c r="J9821">
        <v>1</v>
      </c>
      <c r="K9821">
        <v>12</v>
      </c>
      <c r="L9821">
        <v>289</v>
      </c>
      <c r="M9821">
        <v>1</v>
      </c>
      <c r="N9821">
        <v>4.6382400000000001E-142</v>
      </c>
      <c r="O9821">
        <v>1289</v>
      </c>
    </row>
    <row r="9822" spans="1:15" x14ac:dyDescent="0.25">
      <c r="A9822" t="s">
        <v>9835</v>
      </c>
      <c r="B9822">
        <v>649</v>
      </c>
      <c r="C9822" s="1" t="str">
        <f>HYPERLINK("http://www.rosaceae.org/gb/gbrowse/malus_x_domestica/?name=MDP0000796629","MDP0000796629")</f>
        <v>MDP0000796629</v>
      </c>
      <c r="D9822">
        <v>68.25</v>
      </c>
      <c r="E9822">
        <v>649</v>
      </c>
      <c r="F9822">
        <v>206</v>
      </c>
      <c r="G9822">
        <v>4</v>
      </c>
      <c r="H9822">
        <v>1</v>
      </c>
      <c r="I9822">
        <v>649</v>
      </c>
      <c r="J9822">
        <v>1</v>
      </c>
      <c r="K9822">
        <v>1</v>
      </c>
      <c r="L9822">
        <v>645</v>
      </c>
      <c r="M9822">
        <v>1</v>
      </c>
      <c r="N9822">
        <v>0</v>
      </c>
      <c r="O9822">
        <v>2245</v>
      </c>
    </row>
    <row r="9823" spans="1:15" x14ac:dyDescent="0.25">
      <c r="A9823" t="s">
        <v>9836</v>
      </c>
      <c r="B9823">
        <v>278</v>
      </c>
      <c r="C9823" s="1" t="str">
        <f>HYPERLINK("http://www.rosaceae.org/gb/gbrowse/malus_x_domestica/?name=MDP0000937443","MDP0000937443")</f>
        <v>MDP0000937443</v>
      </c>
      <c r="D9823">
        <v>47.82</v>
      </c>
      <c r="E9823">
        <v>207</v>
      </c>
      <c r="F9823">
        <v>108</v>
      </c>
      <c r="G9823">
        <v>8</v>
      </c>
      <c r="H9823">
        <v>25</v>
      </c>
      <c r="I9823">
        <v>224</v>
      </c>
      <c r="J9823">
        <v>1</v>
      </c>
      <c r="K9823">
        <v>31</v>
      </c>
      <c r="L9823">
        <v>236</v>
      </c>
      <c r="M9823">
        <v>1</v>
      </c>
      <c r="N9823">
        <v>6.1690099999999997E-41</v>
      </c>
      <c r="O9823">
        <v>417</v>
      </c>
    </row>
    <row r="9824" spans="1:15" x14ac:dyDescent="0.25">
      <c r="A9824" t="s">
        <v>9837</v>
      </c>
      <c r="B9824">
        <v>774</v>
      </c>
      <c r="C9824" s="1" t="str">
        <f>HYPERLINK("http://www.rosaceae.org/gb/gbrowse/malus_x_domestica/?name=MDP0000284901","MDP0000284901")</f>
        <v>MDP0000284901</v>
      </c>
      <c r="D9824">
        <v>48.64</v>
      </c>
      <c r="E9824">
        <v>777</v>
      </c>
      <c r="F9824">
        <v>399</v>
      </c>
      <c r="G9824">
        <v>18</v>
      </c>
      <c r="H9824">
        <v>9</v>
      </c>
      <c r="I9824">
        <v>774</v>
      </c>
      <c r="J9824">
        <v>1</v>
      </c>
      <c r="K9824">
        <v>69</v>
      </c>
      <c r="L9824">
        <v>838</v>
      </c>
      <c r="M9824">
        <v>1</v>
      </c>
      <c r="N9824">
        <v>0</v>
      </c>
      <c r="O9824">
        <v>1863</v>
      </c>
    </row>
    <row r="9825" spans="1:15" x14ac:dyDescent="0.25">
      <c r="A9825" t="s">
        <v>9838</v>
      </c>
      <c r="B9825">
        <v>326</v>
      </c>
      <c r="C9825" s="1" t="str">
        <f>HYPERLINK("http://www.rosaceae.org/gb/gbrowse/malus_x_domestica/?name=MDP0000313816","MDP0000313816")</f>
        <v>MDP0000313816</v>
      </c>
      <c r="D9825">
        <v>82.78</v>
      </c>
      <c r="E9825">
        <v>302</v>
      </c>
      <c r="F9825">
        <v>52</v>
      </c>
      <c r="G9825">
        <v>4</v>
      </c>
      <c r="H9825">
        <v>19</v>
      </c>
      <c r="I9825">
        <v>320</v>
      </c>
      <c r="J9825">
        <v>1</v>
      </c>
      <c r="K9825">
        <v>173</v>
      </c>
      <c r="L9825">
        <v>470</v>
      </c>
      <c r="M9825">
        <v>1</v>
      </c>
      <c r="N9825">
        <v>5.5547500000000001E-142</v>
      </c>
      <c r="O9825">
        <v>1289</v>
      </c>
    </row>
    <row r="9826" spans="1:15" x14ac:dyDescent="0.25">
      <c r="A9826" t="s">
        <v>9839</v>
      </c>
      <c r="B9826">
        <v>466</v>
      </c>
      <c r="C9826" s="1" t="str">
        <f>HYPERLINK("http://www.rosaceae.org/gb/gbrowse/malus_x_domestica/?name=MDP0000534116","MDP0000534116")</f>
        <v>MDP0000534116</v>
      </c>
      <c r="D9826">
        <v>51.49</v>
      </c>
      <c r="E9826">
        <v>402</v>
      </c>
      <c r="F9826">
        <v>195</v>
      </c>
      <c r="G9826">
        <v>28</v>
      </c>
      <c r="H9826">
        <v>30</v>
      </c>
      <c r="I9826">
        <v>419</v>
      </c>
      <c r="J9826">
        <v>1</v>
      </c>
      <c r="K9826">
        <v>39</v>
      </c>
      <c r="L9826">
        <v>424</v>
      </c>
      <c r="M9826">
        <v>1</v>
      </c>
      <c r="N9826">
        <v>2.4162299999999998E-114</v>
      </c>
      <c r="O9826">
        <v>1052</v>
      </c>
    </row>
    <row r="9827" spans="1:15" x14ac:dyDescent="0.25">
      <c r="A9827" t="s">
        <v>9840</v>
      </c>
      <c r="B9827">
        <v>961</v>
      </c>
      <c r="C9827" s="1" t="str">
        <f>HYPERLINK("http://www.rosaceae.org/gb/gbrowse/malus_x_domestica/?name=MDP0000243725","MDP0000243725")</f>
        <v>MDP0000243725</v>
      </c>
      <c r="D9827">
        <v>69.28</v>
      </c>
      <c r="E9827">
        <v>420</v>
      </c>
      <c r="F9827">
        <v>129</v>
      </c>
      <c r="G9827">
        <v>8</v>
      </c>
      <c r="H9827">
        <v>2</v>
      </c>
      <c r="I9827">
        <v>421</v>
      </c>
      <c r="J9827">
        <v>1</v>
      </c>
      <c r="K9827">
        <v>221</v>
      </c>
      <c r="L9827">
        <v>632</v>
      </c>
      <c r="M9827">
        <v>1</v>
      </c>
      <c r="N9827">
        <v>5.69461E-158</v>
      </c>
      <c r="O9827">
        <v>1432</v>
      </c>
    </row>
    <row r="9828" spans="1:15" x14ac:dyDescent="0.25">
      <c r="A9828" t="s">
        <v>9841</v>
      </c>
      <c r="B9828">
        <v>238</v>
      </c>
      <c r="C9828" s="1" t="str">
        <f>HYPERLINK("http://www.rosaceae.org/gb/gbrowse/malus_x_domestica/?name=MDP0000227882","MDP0000227882")</f>
        <v>MDP0000227882</v>
      </c>
      <c r="D9828">
        <v>86.34</v>
      </c>
      <c r="E9828">
        <v>205</v>
      </c>
      <c r="F9828">
        <v>28</v>
      </c>
      <c r="G9828">
        <v>2</v>
      </c>
      <c r="H9828">
        <v>35</v>
      </c>
      <c r="I9828">
        <v>238</v>
      </c>
      <c r="J9828">
        <v>1</v>
      </c>
      <c r="K9828">
        <v>1</v>
      </c>
      <c r="L9828">
        <v>204</v>
      </c>
      <c r="M9828">
        <v>1</v>
      </c>
      <c r="N9828">
        <v>3.63725E-100</v>
      </c>
      <c r="O9828">
        <v>926</v>
      </c>
    </row>
    <row r="9829" spans="1:15" x14ac:dyDescent="0.25">
      <c r="A9829" t="s">
        <v>9842</v>
      </c>
      <c r="B9829">
        <v>890</v>
      </c>
      <c r="C9829" s="1" t="str">
        <f>HYPERLINK("http://www.rosaceae.org/gb/gbrowse/malus_x_domestica/?name=MDP0000195063","MDP0000195063")</f>
        <v>MDP0000195063</v>
      </c>
      <c r="D9829">
        <v>64.98</v>
      </c>
      <c r="E9829">
        <v>831</v>
      </c>
      <c r="F9829">
        <v>291</v>
      </c>
      <c r="G9829">
        <v>19</v>
      </c>
      <c r="H9829">
        <v>73</v>
      </c>
      <c r="I9829">
        <v>889</v>
      </c>
      <c r="J9829">
        <v>1</v>
      </c>
      <c r="K9829">
        <v>24</v>
      </c>
      <c r="L9829">
        <v>849</v>
      </c>
      <c r="M9829">
        <v>1</v>
      </c>
      <c r="N9829">
        <v>0</v>
      </c>
      <c r="O9829">
        <v>3003</v>
      </c>
    </row>
    <row r="9830" spans="1:15" x14ac:dyDescent="0.25">
      <c r="A9830" t="s">
        <v>9843</v>
      </c>
      <c r="B9830">
        <v>237</v>
      </c>
      <c r="C9830" s="1" t="str">
        <f>HYPERLINK("http://www.rosaceae.org/gb/gbrowse/malus_x_domestica/?name=MDP0000274127","MDP0000274127")</f>
        <v>MDP0000274127</v>
      </c>
      <c r="D9830">
        <v>80.09</v>
      </c>
      <c r="E9830">
        <v>211</v>
      </c>
      <c r="F9830">
        <v>42</v>
      </c>
      <c r="G9830">
        <v>0</v>
      </c>
      <c r="H9830">
        <v>4</v>
      </c>
      <c r="I9830">
        <v>214</v>
      </c>
      <c r="J9830">
        <v>1</v>
      </c>
      <c r="K9830">
        <v>254</v>
      </c>
      <c r="L9830">
        <v>464</v>
      </c>
      <c r="M9830">
        <v>1</v>
      </c>
      <c r="N9830">
        <v>9.8362499999999996E-97</v>
      </c>
      <c r="O9830">
        <v>897</v>
      </c>
    </row>
    <row r="9831" spans="1:15" x14ac:dyDescent="0.25">
      <c r="A9831" t="s">
        <v>9844</v>
      </c>
      <c r="B9831">
        <v>288</v>
      </c>
      <c r="C9831" s="1" t="str">
        <f>HYPERLINK("http://www.rosaceae.org/gb/gbrowse/malus_x_domestica/?name=MDP0000235373","MDP0000235373")</f>
        <v>MDP0000235373</v>
      </c>
      <c r="D9831">
        <v>78.069999999999993</v>
      </c>
      <c r="E9831">
        <v>301</v>
      </c>
      <c r="F9831">
        <v>66</v>
      </c>
      <c r="G9831">
        <v>14</v>
      </c>
      <c r="H9831">
        <v>1</v>
      </c>
      <c r="I9831">
        <v>287</v>
      </c>
      <c r="J9831">
        <v>1</v>
      </c>
      <c r="K9831">
        <v>32</v>
      </c>
      <c r="L9831">
        <v>332</v>
      </c>
      <c r="M9831">
        <v>1</v>
      </c>
      <c r="N9831">
        <v>1.0033000000000001E-136</v>
      </c>
      <c r="O9831">
        <v>1243</v>
      </c>
    </row>
    <row r="9832" spans="1:15" x14ac:dyDescent="0.25">
      <c r="A9832" t="s">
        <v>9845</v>
      </c>
      <c r="B9832">
        <v>133</v>
      </c>
      <c r="C9832" s="1" t="str">
        <f>HYPERLINK("http://www.rosaceae.org/gb/gbrowse/malus_x_domestica/?name=MDP0000295092","MDP0000295092")</f>
        <v>MDP0000295092</v>
      </c>
      <c r="D9832">
        <v>65.180000000000007</v>
      </c>
      <c r="E9832">
        <v>135</v>
      </c>
      <c r="F9832">
        <v>47</v>
      </c>
      <c r="G9832">
        <v>3</v>
      </c>
      <c r="H9832">
        <v>1</v>
      </c>
      <c r="I9832">
        <v>132</v>
      </c>
      <c r="J9832">
        <v>1</v>
      </c>
      <c r="K9832">
        <v>375</v>
      </c>
      <c r="L9832">
        <v>509</v>
      </c>
      <c r="M9832">
        <v>1</v>
      </c>
      <c r="N9832">
        <v>5.7053899999999997E-44</v>
      </c>
      <c r="O9832">
        <v>437</v>
      </c>
    </row>
    <row r="9833" spans="1:15" x14ac:dyDescent="0.25">
      <c r="A9833" t="s">
        <v>9846</v>
      </c>
      <c r="B9833">
        <v>326</v>
      </c>
      <c r="C9833" s="1" t="str">
        <f>HYPERLINK("http://www.rosaceae.org/gb/gbrowse/malus_x_domestica/?name=MDP0000192297","MDP0000192297")</f>
        <v>MDP0000192297</v>
      </c>
      <c r="D9833">
        <v>38.770000000000003</v>
      </c>
      <c r="E9833">
        <v>294</v>
      </c>
      <c r="F9833">
        <v>180</v>
      </c>
      <c r="G9833">
        <v>67</v>
      </c>
      <c r="H9833">
        <v>59</v>
      </c>
      <c r="I9833">
        <v>315</v>
      </c>
      <c r="J9833">
        <v>1</v>
      </c>
      <c r="K9833">
        <v>61</v>
      </c>
      <c r="L9833">
        <v>324</v>
      </c>
      <c r="M9833">
        <v>1</v>
      </c>
      <c r="N9833">
        <v>4.3468800000000002E-38</v>
      </c>
      <c r="O9833">
        <v>393</v>
      </c>
    </row>
    <row r="9834" spans="1:15" x14ac:dyDescent="0.25">
      <c r="A9834" t="s">
        <v>9847</v>
      </c>
      <c r="B9834">
        <v>108</v>
      </c>
      <c r="C9834" s="1" t="str">
        <f>HYPERLINK("http://www.rosaceae.org/gb/gbrowse/malus_x_domestica/?name=MDP0000258610","MDP0000258610")</f>
        <v>MDP0000258610</v>
      </c>
      <c r="D9834">
        <v>78.430000000000007</v>
      </c>
      <c r="E9834">
        <v>102</v>
      </c>
      <c r="F9834">
        <v>22</v>
      </c>
      <c r="G9834">
        <v>4</v>
      </c>
      <c r="H9834">
        <v>5</v>
      </c>
      <c r="I9834">
        <v>105</v>
      </c>
      <c r="J9834">
        <v>1</v>
      </c>
      <c r="K9834">
        <v>3</v>
      </c>
      <c r="L9834">
        <v>101</v>
      </c>
      <c r="M9834">
        <v>1</v>
      </c>
      <c r="N9834">
        <v>1.08325E-40</v>
      </c>
      <c r="O9834">
        <v>408</v>
      </c>
    </row>
    <row r="9835" spans="1:15" x14ac:dyDescent="0.25">
      <c r="A9835" t="s">
        <v>9848</v>
      </c>
      <c r="B9835">
        <v>232</v>
      </c>
      <c r="C9835" s="1" t="str">
        <f>HYPERLINK("http://www.rosaceae.org/gb/gbrowse/malus_x_domestica/?name=MDP0000499527","MDP0000499527")</f>
        <v>MDP0000499527</v>
      </c>
      <c r="D9835">
        <v>57.62</v>
      </c>
      <c r="E9835">
        <v>177</v>
      </c>
      <c r="F9835">
        <v>75</v>
      </c>
      <c r="G9835">
        <v>4</v>
      </c>
      <c r="H9835">
        <v>57</v>
      </c>
      <c r="I9835">
        <v>232</v>
      </c>
      <c r="J9835">
        <v>1</v>
      </c>
      <c r="K9835">
        <v>40</v>
      </c>
      <c r="L9835">
        <v>213</v>
      </c>
      <c r="M9835">
        <v>1</v>
      </c>
      <c r="N9835">
        <v>3.3507400000000003E-57</v>
      </c>
      <c r="O9835">
        <v>556</v>
      </c>
    </row>
    <row r="9836" spans="1:15" x14ac:dyDescent="0.25">
      <c r="A9836" t="s">
        <v>9849</v>
      </c>
      <c r="B9836">
        <v>366</v>
      </c>
      <c r="C9836" s="1" t="str">
        <f>HYPERLINK("http://www.rosaceae.org/gb/gbrowse/malus_x_domestica/?name=MDP0000774306","MDP0000774306")</f>
        <v>MDP0000774306</v>
      </c>
      <c r="D9836">
        <v>43.36</v>
      </c>
      <c r="E9836">
        <v>339</v>
      </c>
      <c r="F9836">
        <v>192</v>
      </c>
      <c r="G9836">
        <v>22</v>
      </c>
      <c r="H9836">
        <v>24</v>
      </c>
      <c r="I9836">
        <v>343</v>
      </c>
      <c r="J9836">
        <v>1</v>
      </c>
      <c r="K9836">
        <v>14</v>
      </c>
      <c r="L9836">
        <v>349</v>
      </c>
      <c r="M9836">
        <v>1</v>
      </c>
      <c r="N9836">
        <v>8.70942E-57</v>
      </c>
      <c r="O9836">
        <v>555</v>
      </c>
    </row>
    <row r="9837" spans="1:15" x14ac:dyDescent="0.25">
      <c r="A9837" t="s">
        <v>9850</v>
      </c>
      <c r="B9837">
        <v>94</v>
      </c>
      <c r="C9837" s="1" t="str">
        <f>HYPERLINK("http://www.rosaceae.org/gb/gbrowse/malus_x_domestica/?name=MDP0000338377","MDP0000338377")</f>
        <v>MDP0000338377</v>
      </c>
      <c r="D9837">
        <v>72.22</v>
      </c>
      <c r="E9837">
        <v>72</v>
      </c>
      <c r="F9837">
        <v>20</v>
      </c>
      <c r="G9837">
        <v>0</v>
      </c>
      <c r="H9837">
        <v>23</v>
      </c>
      <c r="I9837">
        <v>94</v>
      </c>
      <c r="J9837">
        <v>1</v>
      </c>
      <c r="K9837">
        <v>44</v>
      </c>
      <c r="L9837">
        <v>115</v>
      </c>
      <c r="M9837">
        <v>1</v>
      </c>
      <c r="N9837">
        <v>3.0923400000000002E-26</v>
      </c>
      <c r="O9837">
        <v>284</v>
      </c>
    </row>
    <row r="9838" spans="1:15" x14ac:dyDescent="0.25">
      <c r="A9838" t="s">
        <v>9851</v>
      </c>
      <c r="B9838">
        <v>489</v>
      </c>
      <c r="C9838" s="1" t="str">
        <f>HYPERLINK("http://www.rosaceae.org/gb/gbrowse/malus_x_domestica/?name=MDP0000804707","MDP0000804707")</f>
        <v>MDP0000804707</v>
      </c>
      <c r="D9838">
        <v>29.46</v>
      </c>
      <c r="E9838">
        <v>560</v>
      </c>
      <c r="F9838">
        <v>395</v>
      </c>
      <c r="G9838">
        <v>114</v>
      </c>
      <c r="H9838">
        <v>2</v>
      </c>
      <c r="I9838">
        <v>462</v>
      </c>
      <c r="J9838">
        <v>1</v>
      </c>
      <c r="K9838">
        <v>8</v>
      </c>
      <c r="L9838">
        <v>552</v>
      </c>
      <c r="M9838">
        <v>1</v>
      </c>
      <c r="N9838">
        <v>3.6307000000000002E-46</v>
      </c>
      <c r="O9838">
        <v>465</v>
      </c>
    </row>
    <row r="9839" spans="1:15" x14ac:dyDescent="0.25">
      <c r="A9839" t="s">
        <v>9852</v>
      </c>
      <c r="B9839">
        <v>981</v>
      </c>
      <c r="C9839" s="1" t="str">
        <f>HYPERLINK("http://www.rosaceae.org/gb/gbrowse/malus_x_domestica/?name=MDP0000189624","MDP0000189624")</f>
        <v>MDP0000189624</v>
      </c>
      <c r="D9839">
        <v>36.78</v>
      </c>
      <c r="E9839">
        <v>1150</v>
      </c>
      <c r="F9839">
        <v>727</v>
      </c>
      <c r="G9839">
        <v>243</v>
      </c>
      <c r="H9839">
        <v>1</v>
      </c>
      <c r="I9839">
        <v>976</v>
      </c>
      <c r="J9839">
        <v>1</v>
      </c>
      <c r="K9839">
        <v>107</v>
      </c>
      <c r="L9839">
        <v>1187</v>
      </c>
      <c r="M9839">
        <v>1</v>
      </c>
      <c r="N9839">
        <v>1.7510800000000001E-133</v>
      </c>
      <c r="O9839">
        <v>1221</v>
      </c>
    </row>
    <row r="9840" spans="1:15" x14ac:dyDescent="0.25">
      <c r="A9840" t="s">
        <v>9853</v>
      </c>
      <c r="B9840">
        <v>464</v>
      </c>
      <c r="C9840" s="1" t="str">
        <f>HYPERLINK("http://www.rosaceae.org/gb/gbrowse/malus_x_domestica/?name=MDP0000264754","MDP0000264754")</f>
        <v>MDP0000264754</v>
      </c>
      <c r="D9840">
        <v>74.17</v>
      </c>
      <c r="E9840">
        <v>302</v>
      </c>
      <c r="F9840">
        <v>78</v>
      </c>
      <c r="G9840">
        <v>8</v>
      </c>
      <c r="H9840">
        <v>170</v>
      </c>
      <c r="I9840">
        <v>464</v>
      </c>
      <c r="J9840">
        <v>1</v>
      </c>
      <c r="K9840">
        <v>278</v>
      </c>
      <c r="L9840">
        <v>578</v>
      </c>
      <c r="M9840">
        <v>1</v>
      </c>
      <c r="N9840">
        <v>2.09094E-133</v>
      </c>
      <c r="O9840">
        <v>1217</v>
      </c>
    </row>
    <row r="9841" spans="1:15" x14ac:dyDescent="0.25">
      <c r="A9841" t="s">
        <v>9854</v>
      </c>
      <c r="B9841">
        <v>618</v>
      </c>
      <c r="C9841" s="1" t="str">
        <f>HYPERLINK("http://www.rosaceae.org/gb/gbrowse/malus_x_domestica/?name=MDP0000263152","MDP0000263152")</f>
        <v>MDP0000263152</v>
      </c>
      <c r="D9841">
        <v>60.53</v>
      </c>
      <c r="E9841">
        <v>603</v>
      </c>
      <c r="F9841">
        <v>238</v>
      </c>
      <c r="G9841">
        <v>13</v>
      </c>
      <c r="H9841">
        <v>21</v>
      </c>
      <c r="I9841">
        <v>618</v>
      </c>
      <c r="J9841">
        <v>1</v>
      </c>
      <c r="K9841">
        <v>24</v>
      </c>
      <c r="L9841">
        <v>618</v>
      </c>
      <c r="M9841">
        <v>1</v>
      </c>
      <c r="N9841">
        <v>0</v>
      </c>
      <c r="O9841">
        <v>1775</v>
      </c>
    </row>
    <row r="9842" spans="1:15" x14ac:dyDescent="0.25">
      <c r="A9842" t="s">
        <v>9855</v>
      </c>
      <c r="B9842">
        <v>698</v>
      </c>
      <c r="C9842" s="1" t="str">
        <f>HYPERLINK("http://www.rosaceae.org/gb/gbrowse/malus_x_domestica/?name=MDP0000298466","MDP0000298466")</f>
        <v>MDP0000298466</v>
      </c>
      <c r="D9842">
        <v>44.62</v>
      </c>
      <c r="E9842">
        <v>688</v>
      </c>
      <c r="F9842">
        <v>381</v>
      </c>
      <c r="G9842">
        <v>61</v>
      </c>
      <c r="H9842">
        <v>39</v>
      </c>
      <c r="I9842">
        <v>697</v>
      </c>
      <c r="J9842">
        <v>1</v>
      </c>
      <c r="K9842">
        <v>103</v>
      </c>
      <c r="L9842">
        <v>758</v>
      </c>
      <c r="M9842">
        <v>1</v>
      </c>
      <c r="N9842">
        <v>2.12472E-148</v>
      </c>
      <c r="O9842">
        <v>1348</v>
      </c>
    </row>
    <row r="9843" spans="1:15" x14ac:dyDescent="0.25">
      <c r="A9843" t="s">
        <v>9856</v>
      </c>
      <c r="B9843">
        <v>392</v>
      </c>
      <c r="C9843" s="1" t="str">
        <f>HYPERLINK("http://www.rosaceae.org/gb/gbrowse/malus_x_domestica/?name=MDP0000238780","MDP0000238780")</f>
        <v>MDP0000238780</v>
      </c>
      <c r="D9843">
        <v>64.7</v>
      </c>
      <c r="E9843">
        <v>51</v>
      </c>
      <c r="F9843">
        <v>18</v>
      </c>
      <c r="G9843">
        <v>2</v>
      </c>
      <c r="H9843">
        <v>169</v>
      </c>
      <c r="I9843">
        <v>218</v>
      </c>
      <c r="J9843">
        <v>1</v>
      </c>
      <c r="K9843">
        <v>130</v>
      </c>
      <c r="L9843">
        <v>179</v>
      </c>
      <c r="M9843">
        <v>1</v>
      </c>
      <c r="N9843">
        <v>1.19602E-9</v>
      </c>
      <c r="O9843">
        <v>149</v>
      </c>
    </row>
    <row r="9844" spans="1:15" x14ac:dyDescent="0.25">
      <c r="A9844" t="s">
        <v>9857</v>
      </c>
      <c r="B9844">
        <v>690</v>
      </c>
      <c r="C9844" s="1" t="str">
        <f>HYPERLINK("http://www.rosaceae.org/gb/gbrowse/malus_x_domestica/?name=MDP0000172662","MDP0000172662")</f>
        <v>MDP0000172662</v>
      </c>
      <c r="D9844">
        <v>72.709999999999994</v>
      </c>
      <c r="E9844">
        <v>689</v>
      </c>
      <c r="F9844">
        <v>188</v>
      </c>
      <c r="G9844">
        <v>32</v>
      </c>
      <c r="H9844">
        <v>7</v>
      </c>
      <c r="I9844">
        <v>688</v>
      </c>
      <c r="J9844">
        <v>1</v>
      </c>
      <c r="K9844">
        <v>43</v>
      </c>
      <c r="L9844">
        <v>706</v>
      </c>
      <c r="M9844">
        <v>1</v>
      </c>
      <c r="N9844">
        <v>0</v>
      </c>
      <c r="O9844">
        <v>2577</v>
      </c>
    </row>
    <row r="9845" spans="1:15" x14ac:dyDescent="0.25">
      <c r="A9845" t="s">
        <v>9858</v>
      </c>
      <c r="B9845">
        <v>111</v>
      </c>
      <c r="C9845" s="1" t="str">
        <f>HYPERLINK("http://www.rosaceae.org/gb/gbrowse/malus_x_domestica/?name=MDP0000244304","MDP0000244304")</f>
        <v>MDP0000244304</v>
      </c>
      <c r="D9845">
        <v>73.87</v>
      </c>
      <c r="E9845">
        <v>111</v>
      </c>
      <c r="F9845">
        <v>29</v>
      </c>
      <c r="G9845">
        <v>1</v>
      </c>
      <c r="H9845">
        <v>1</v>
      </c>
      <c r="I9845">
        <v>111</v>
      </c>
      <c r="J9845">
        <v>1</v>
      </c>
      <c r="K9845">
        <v>1</v>
      </c>
      <c r="L9845">
        <v>110</v>
      </c>
      <c r="M9845">
        <v>1</v>
      </c>
      <c r="N9845">
        <v>5.4192000000000001E-41</v>
      </c>
      <c r="O9845">
        <v>411</v>
      </c>
    </row>
    <row r="9846" spans="1:15" x14ac:dyDescent="0.25">
      <c r="A9846" t="s">
        <v>9859</v>
      </c>
      <c r="B9846">
        <v>199</v>
      </c>
      <c r="C9846" s="1" t="str">
        <f>HYPERLINK("http://www.rosaceae.org/gb/gbrowse/malus_x_domestica/?name=MDP0000226294","MDP0000226294")</f>
        <v>MDP0000226294</v>
      </c>
      <c r="D9846">
        <v>42.42</v>
      </c>
      <c r="E9846">
        <v>198</v>
      </c>
      <c r="F9846">
        <v>114</v>
      </c>
      <c r="G9846">
        <v>4</v>
      </c>
      <c r="H9846">
        <v>1</v>
      </c>
      <c r="I9846">
        <v>197</v>
      </c>
      <c r="J9846">
        <v>1</v>
      </c>
      <c r="K9846">
        <v>609</v>
      </c>
      <c r="L9846">
        <v>803</v>
      </c>
      <c r="M9846">
        <v>1</v>
      </c>
      <c r="N9846">
        <v>3.1726600000000002E-38</v>
      </c>
      <c r="O9846">
        <v>391</v>
      </c>
    </row>
    <row r="9847" spans="1:15" x14ac:dyDescent="0.25">
      <c r="A9847" t="s">
        <v>9860</v>
      </c>
      <c r="B9847">
        <v>439</v>
      </c>
      <c r="C9847" s="1" t="str">
        <f>HYPERLINK("http://www.rosaceae.org/gb/gbrowse/malus_x_domestica/?name=MDP0000899702","MDP0000899702")</f>
        <v>MDP0000899702</v>
      </c>
      <c r="D9847">
        <v>66.760000000000005</v>
      </c>
      <c r="E9847">
        <v>343</v>
      </c>
      <c r="F9847">
        <v>114</v>
      </c>
      <c r="G9847">
        <v>19</v>
      </c>
      <c r="H9847">
        <v>1</v>
      </c>
      <c r="I9847">
        <v>324</v>
      </c>
      <c r="J9847">
        <v>1</v>
      </c>
      <c r="K9847">
        <v>1</v>
      </c>
      <c r="L9847">
        <v>343</v>
      </c>
      <c r="M9847">
        <v>1</v>
      </c>
      <c r="N9847">
        <v>1.77171E-132</v>
      </c>
      <c r="O9847">
        <v>1208</v>
      </c>
    </row>
    <row r="9848" spans="1:15" x14ac:dyDescent="0.25">
      <c r="A9848" t="s">
        <v>9861</v>
      </c>
      <c r="B9848">
        <v>174</v>
      </c>
      <c r="C9848" s="1" t="str">
        <f>HYPERLINK("http://www.rosaceae.org/gb/gbrowse/malus_x_domestica/?name=MDP0000132875","MDP0000132875")</f>
        <v>MDP0000132875</v>
      </c>
      <c r="D9848">
        <v>68.260000000000005</v>
      </c>
      <c r="E9848">
        <v>167</v>
      </c>
      <c r="F9848">
        <v>53</v>
      </c>
      <c r="G9848">
        <v>3</v>
      </c>
      <c r="H9848">
        <v>5</v>
      </c>
      <c r="I9848">
        <v>171</v>
      </c>
      <c r="J9848">
        <v>1</v>
      </c>
      <c r="K9848">
        <v>20</v>
      </c>
      <c r="L9848">
        <v>183</v>
      </c>
      <c r="M9848">
        <v>1</v>
      </c>
      <c r="N9848">
        <v>8.92517E-65</v>
      </c>
      <c r="O9848">
        <v>619</v>
      </c>
    </row>
    <row r="9849" spans="1:15" x14ac:dyDescent="0.25">
      <c r="A9849" t="s">
        <v>9862</v>
      </c>
      <c r="B9849">
        <v>1944</v>
      </c>
      <c r="C9849" s="1" t="str">
        <f>HYPERLINK("http://www.rosaceae.org/gb/gbrowse/malus_x_domestica/?name=MDP0000685651","MDP0000685651")</f>
        <v>MDP0000685651</v>
      </c>
      <c r="D9849">
        <v>63.19</v>
      </c>
      <c r="E9849">
        <v>1951</v>
      </c>
      <c r="F9849">
        <v>718</v>
      </c>
      <c r="G9849">
        <v>13</v>
      </c>
      <c r="H9849">
        <v>1</v>
      </c>
      <c r="I9849">
        <v>1941</v>
      </c>
      <c r="J9849">
        <v>1</v>
      </c>
      <c r="K9849">
        <v>35</v>
      </c>
      <c r="L9849">
        <v>1982</v>
      </c>
      <c r="M9849">
        <v>1</v>
      </c>
      <c r="N9849">
        <v>0</v>
      </c>
      <c r="O9849">
        <v>5900</v>
      </c>
    </row>
    <row r="9850" spans="1:15" x14ac:dyDescent="0.25">
      <c r="A9850" t="s">
        <v>9863</v>
      </c>
      <c r="B9850">
        <v>159</v>
      </c>
      <c r="C9850" s="1" t="str">
        <f>HYPERLINK("http://www.rosaceae.org/gb/gbrowse/malus_x_domestica/?name=MDP0000811790","MDP0000811790")</f>
        <v>MDP0000811790</v>
      </c>
      <c r="D9850">
        <v>52.73</v>
      </c>
      <c r="E9850">
        <v>146</v>
      </c>
      <c r="F9850">
        <v>69</v>
      </c>
      <c r="G9850">
        <v>8</v>
      </c>
      <c r="H9850">
        <v>1</v>
      </c>
      <c r="I9850">
        <v>145</v>
      </c>
      <c r="J9850">
        <v>1</v>
      </c>
      <c r="K9850">
        <v>1</v>
      </c>
      <c r="L9850">
        <v>139</v>
      </c>
      <c r="M9850">
        <v>1</v>
      </c>
      <c r="N9850">
        <v>4.3854000000000002E-33</v>
      </c>
      <c r="O9850">
        <v>345</v>
      </c>
    </row>
    <row r="9851" spans="1:15" x14ac:dyDescent="0.25">
      <c r="A9851" t="s">
        <v>9864</v>
      </c>
      <c r="B9851">
        <v>1299</v>
      </c>
      <c r="C9851" s="1" t="str">
        <f>HYPERLINK("http://www.rosaceae.org/gb/gbrowse/malus_x_domestica/?name=MDP0000247378","MDP0000247378")</f>
        <v>MDP0000247378</v>
      </c>
      <c r="D9851">
        <v>76.23</v>
      </c>
      <c r="E9851">
        <v>1300</v>
      </c>
      <c r="F9851">
        <v>309</v>
      </c>
      <c r="G9851">
        <v>71</v>
      </c>
      <c r="H9851">
        <v>1</v>
      </c>
      <c r="I9851">
        <v>1281</v>
      </c>
      <c r="J9851">
        <v>1</v>
      </c>
      <c r="K9851">
        <v>1</v>
      </c>
      <c r="L9851">
        <v>1248</v>
      </c>
      <c r="M9851">
        <v>1</v>
      </c>
      <c r="N9851">
        <v>0</v>
      </c>
      <c r="O9851">
        <v>5097</v>
      </c>
    </row>
    <row r="9852" spans="1:15" x14ac:dyDescent="0.25">
      <c r="A9852" t="s">
        <v>9865</v>
      </c>
      <c r="B9852">
        <v>728</v>
      </c>
      <c r="C9852" s="1" t="str">
        <f>HYPERLINK("http://www.rosaceae.org/gb/gbrowse/malus_x_domestica/?name=MDP0000513880","MDP0000513880")</f>
        <v>MDP0000513880</v>
      </c>
      <c r="D9852">
        <v>70.3</v>
      </c>
      <c r="E9852">
        <v>357</v>
      </c>
      <c r="F9852">
        <v>106</v>
      </c>
      <c r="G9852">
        <v>10</v>
      </c>
      <c r="H9852">
        <v>79</v>
      </c>
      <c r="I9852">
        <v>433</v>
      </c>
      <c r="J9852">
        <v>1</v>
      </c>
      <c r="K9852">
        <v>13</v>
      </c>
      <c r="L9852">
        <v>361</v>
      </c>
      <c r="M9852">
        <v>1</v>
      </c>
      <c r="N9852">
        <v>1.4571600000000001E-134</v>
      </c>
      <c r="O9852">
        <v>1229</v>
      </c>
    </row>
    <row r="9853" spans="1:15" x14ac:dyDescent="0.25">
      <c r="A9853" t="s">
        <v>9866</v>
      </c>
      <c r="B9853">
        <v>534</v>
      </c>
      <c r="C9853" s="1" t="str">
        <f>HYPERLINK("http://www.rosaceae.org/gb/gbrowse/malus_x_domestica/?name=MDP0000558493","MDP0000558493")</f>
        <v>MDP0000558493</v>
      </c>
      <c r="D9853">
        <v>70.56</v>
      </c>
      <c r="E9853">
        <v>428</v>
      </c>
      <c r="F9853">
        <v>126</v>
      </c>
      <c r="G9853">
        <v>52</v>
      </c>
      <c r="H9853">
        <v>126</v>
      </c>
      <c r="I9853">
        <v>534</v>
      </c>
      <c r="J9853">
        <v>1</v>
      </c>
      <c r="K9853">
        <v>1</v>
      </c>
      <c r="L9853">
        <v>395</v>
      </c>
      <c r="M9853">
        <v>1</v>
      </c>
      <c r="N9853">
        <v>8.9915499999999997E-159</v>
      </c>
      <c r="O9853">
        <v>1436</v>
      </c>
    </row>
    <row r="9854" spans="1:15" x14ac:dyDescent="0.25">
      <c r="A9854" t="s">
        <v>9867</v>
      </c>
      <c r="B9854">
        <v>235</v>
      </c>
      <c r="C9854" s="1" t="str">
        <f>HYPERLINK("http://www.rosaceae.org/gb/gbrowse/malus_x_domestica/?name=MDP0000794936","MDP0000794936")</f>
        <v>MDP0000794936</v>
      </c>
      <c r="D9854">
        <v>78.569999999999993</v>
      </c>
      <c r="E9854">
        <v>56</v>
      </c>
      <c r="F9854">
        <v>12</v>
      </c>
      <c r="G9854">
        <v>0</v>
      </c>
      <c r="H9854">
        <v>156</v>
      </c>
      <c r="I9854">
        <v>211</v>
      </c>
      <c r="J9854">
        <v>1</v>
      </c>
      <c r="K9854">
        <v>150</v>
      </c>
      <c r="L9854">
        <v>205</v>
      </c>
      <c r="M9854">
        <v>1</v>
      </c>
      <c r="N9854">
        <v>4.2342600000000001E-18</v>
      </c>
      <c r="O9854">
        <v>219</v>
      </c>
    </row>
    <row r="9855" spans="1:15" x14ac:dyDescent="0.25">
      <c r="A9855" t="s">
        <v>9868</v>
      </c>
      <c r="B9855">
        <v>501</v>
      </c>
      <c r="C9855" s="1" t="str">
        <f>HYPERLINK("http://www.rosaceae.org/gb/gbrowse/malus_x_domestica/?name=MDP0000446336","MDP0000446336")</f>
        <v>MDP0000446336</v>
      </c>
      <c r="D9855">
        <v>44.04</v>
      </c>
      <c r="E9855">
        <v>168</v>
      </c>
      <c r="F9855">
        <v>94</v>
      </c>
      <c r="G9855">
        <v>13</v>
      </c>
      <c r="H9855">
        <v>13</v>
      </c>
      <c r="I9855">
        <v>179</v>
      </c>
      <c r="J9855">
        <v>1</v>
      </c>
      <c r="K9855">
        <v>148</v>
      </c>
      <c r="L9855">
        <v>303</v>
      </c>
      <c r="M9855">
        <v>1</v>
      </c>
      <c r="N9855">
        <v>7.53714E-29</v>
      </c>
      <c r="O9855">
        <v>315</v>
      </c>
    </row>
    <row r="9856" spans="1:15" x14ac:dyDescent="0.25">
      <c r="A9856" t="s">
        <v>9869</v>
      </c>
      <c r="B9856">
        <v>181</v>
      </c>
      <c r="C9856" s="1" t="str">
        <f>HYPERLINK("http://www.rosaceae.org/gb/gbrowse/malus_x_domestica/?name=MDP0000738991","MDP0000738991")</f>
        <v>MDP0000738991</v>
      </c>
      <c r="D9856">
        <v>85.27</v>
      </c>
      <c r="E9856">
        <v>129</v>
      </c>
      <c r="F9856">
        <v>19</v>
      </c>
      <c r="G9856">
        <v>1</v>
      </c>
      <c r="H9856">
        <v>54</v>
      </c>
      <c r="I9856">
        <v>181</v>
      </c>
      <c r="J9856">
        <v>1</v>
      </c>
      <c r="K9856">
        <v>140</v>
      </c>
      <c r="L9856">
        <v>268</v>
      </c>
      <c r="M9856">
        <v>1</v>
      </c>
      <c r="N9856">
        <v>2.0676799999999999E-57</v>
      </c>
      <c r="O9856">
        <v>556</v>
      </c>
    </row>
    <row r="9857" spans="1:15" x14ac:dyDescent="0.25">
      <c r="A9857" t="s">
        <v>9870</v>
      </c>
      <c r="B9857">
        <v>522</v>
      </c>
      <c r="C9857" s="1" t="str">
        <f>HYPERLINK("http://www.rosaceae.org/gb/gbrowse/malus_x_domestica/?name=MDP0000209319","MDP0000209319")</f>
        <v>MDP0000209319</v>
      </c>
      <c r="D9857">
        <v>72.569999999999993</v>
      </c>
      <c r="E9857">
        <v>536</v>
      </c>
      <c r="F9857">
        <v>147</v>
      </c>
      <c r="G9857">
        <v>19</v>
      </c>
      <c r="H9857">
        <v>5</v>
      </c>
      <c r="I9857">
        <v>522</v>
      </c>
      <c r="J9857">
        <v>1</v>
      </c>
      <c r="K9857">
        <v>83</v>
      </c>
      <c r="L9857">
        <v>617</v>
      </c>
      <c r="M9857">
        <v>1</v>
      </c>
      <c r="N9857">
        <v>0</v>
      </c>
      <c r="O9857">
        <v>2015</v>
      </c>
    </row>
    <row r="9858" spans="1:15" x14ac:dyDescent="0.25">
      <c r="A9858" t="s">
        <v>9871</v>
      </c>
      <c r="B9858">
        <v>320</v>
      </c>
      <c r="C9858" s="1" t="str">
        <f>HYPERLINK("http://www.rosaceae.org/gb/gbrowse/malus_x_domestica/?name=MDP0000321984","MDP0000321984")</f>
        <v>MDP0000321984</v>
      </c>
      <c r="D9858">
        <v>42.22</v>
      </c>
      <c r="E9858">
        <v>180</v>
      </c>
      <c r="F9858">
        <v>104</v>
      </c>
      <c r="G9858">
        <v>21</v>
      </c>
      <c r="H9858">
        <v>160</v>
      </c>
      <c r="I9858">
        <v>320</v>
      </c>
      <c r="J9858">
        <v>1</v>
      </c>
      <c r="K9858">
        <v>19</v>
      </c>
      <c r="L9858">
        <v>196</v>
      </c>
      <c r="M9858">
        <v>1</v>
      </c>
      <c r="N9858">
        <v>7.4764199999999996E-30</v>
      </c>
      <c r="O9858">
        <v>322</v>
      </c>
    </row>
    <row r="9859" spans="1:15" x14ac:dyDescent="0.25">
      <c r="A9859" t="s">
        <v>9872</v>
      </c>
      <c r="B9859">
        <v>159</v>
      </c>
      <c r="C9859" s="1" t="str">
        <f>HYPERLINK("http://www.rosaceae.org/gb/gbrowse/malus_x_domestica/?name=MDP0000167676","MDP0000167676")</f>
        <v>MDP0000167676</v>
      </c>
      <c r="D9859">
        <v>48.61</v>
      </c>
      <c r="E9859">
        <v>144</v>
      </c>
      <c r="F9859">
        <v>74</v>
      </c>
      <c r="G9859">
        <v>10</v>
      </c>
      <c r="H9859">
        <v>15</v>
      </c>
      <c r="I9859">
        <v>155</v>
      </c>
      <c r="J9859">
        <v>1</v>
      </c>
      <c r="K9859">
        <v>34</v>
      </c>
      <c r="L9859">
        <v>170</v>
      </c>
      <c r="M9859">
        <v>1</v>
      </c>
      <c r="N9859">
        <v>1.1748400000000001E-29</v>
      </c>
      <c r="O9859">
        <v>316</v>
      </c>
    </row>
    <row r="9860" spans="1:15" x14ac:dyDescent="0.25">
      <c r="A9860" t="s">
        <v>9873</v>
      </c>
      <c r="B9860">
        <v>540</v>
      </c>
      <c r="C9860" s="1" t="str">
        <f>HYPERLINK("http://www.rosaceae.org/gb/gbrowse/malus_x_domestica/?name=MDP0000316485","MDP0000316485")</f>
        <v>MDP0000316485</v>
      </c>
      <c r="D9860">
        <v>67.95</v>
      </c>
      <c r="E9860">
        <v>518</v>
      </c>
      <c r="F9860">
        <v>166</v>
      </c>
      <c r="G9860">
        <v>8</v>
      </c>
      <c r="H9860">
        <v>20</v>
      </c>
      <c r="I9860">
        <v>533</v>
      </c>
      <c r="J9860">
        <v>1</v>
      </c>
      <c r="K9860">
        <v>1</v>
      </c>
      <c r="L9860">
        <v>514</v>
      </c>
      <c r="M9860">
        <v>1</v>
      </c>
      <c r="N9860">
        <v>0</v>
      </c>
      <c r="O9860">
        <v>1780</v>
      </c>
    </row>
    <row r="9861" spans="1:15" x14ac:dyDescent="0.25">
      <c r="A9861" t="s">
        <v>9874</v>
      </c>
      <c r="B9861">
        <v>376</v>
      </c>
      <c r="C9861" s="1" t="str">
        <f>HYPERLINK("http://www.rosaceae.org/gb/gbrowse/malus_x_domestica/?name=MDP0000811085","MDP0000811085")</f>
        <v>MDP0000811085</v>
      </c>
      <c r="D9861">
        <v>41.91</v>
      </c>
      <c r="E9861">
        <v>334</v>
      </c>
      <c r="F9861">
        <v>194</v>
      </c>
      <c r="G9861">
        <v>29</v>
      </c>
      <c r="H9861">
        <v>63</v>
      </c>
      <c r="I9861">
        <v>375</v>
      </c>
      <c r="J9861">
        <v>1</v>
      </c>
      <c r="K9861">
        <v>87</v>
      </c>
      <c r="L9861">
        <v>412</v>
      </c>
      <c r="M9861">
        <v>1</v>
      </c>
      <c r="N9861">
        <v>8.5053799999999998E-67</v>
      </c>
      <c r="O9861">
        <v>641</v>
      </c>
    </row>
    <row r="9862" spans="1:15" x14ac:dyDescent="0.25">
      <c r="A9862" t="s">
        <v>9875</v>
      </c>
      <c r="B9862">
        <v>223</v>
      </c>
      <c r="C9862" s="1" t="str">
        <f>HYPERLINK("http://www.rosaceae.org/gb/gbrowse/malus_x_domestica/?name=MDP0000180376","MDP0000180376")</f>
        <v>MDP0000180376</v>
      </c>
      <c r="D9862">
        <v>85.65</v>
      </c>
      <c r="E9862">
        <v>223</v>
      </c>
      <c r="F9862">
        <v>32</v>
      </c>
      <c r="G9862">
        <v>0</v>
      </c>
      <c r="H9862">
        <v>1</v>
      </c>
      <c r="I9862">
        <v>223</v>
      </c>
      <c r="J9862">
        <v>1</v>
      </c>
      <c r="K9862">
        <v>374</v>
      </c>
      <c r="L9862">
        <v>596</v>
      </c>
      <c r="M9862">
        <v>1</v>
      </c>
      <c r="N9862">
        <v>1.6163099999999999E-112</v>
      </c>
      <c r="O9862">
        <v>1033</v>
      </c>
    </row>
    <row r="9863" spans="1:15" x14ac:dyDescent="0.25">
      <c r="A9863" t="s">
        <v>9876</v>
      </c>
      <c r="B9863">
        <v>503</v>
      </c>
      <c r="C9863" s="1" t="str">
        <f>HYPERLINK("http://www.rosaceae.org/gb/gbrowse/malus_x_domestica/?name=MDP0000676705","MDP0000676705")</f>
        <v>MDP0000676705</v>
      </c>
      <c r="D9863">
        <v>78.11</v>
      </c>
      <c r="E9863">
        <v>489</v>
      </c>
      <c r="F9863">
        <v>107</v>
      </c>
      <c r="G9863">
        <v>3</v>
      </c>
      <c r="H9863">
        <v>2</v>
      </c>
      <c r="I9863">
        <v>487</v>
      </c>
      <c r="J9863">
        <v>1</v>
      </c>
      <c r="K9863">
        <v>9</v>
      </c>
      <c r="L9863">
        <v>497</v>
      </c>
      <c r="M9863">
        <v>1</v>
      </c>
      <c r="N9863">
        <v>0</v>
      </c>
      <c r="O9863">
        <v>2054</v>
      </c>
    </row>
    <row r="9864" spans="1:15" x14ac:dyDescent="0.25">
      <c r="A9864" t="s">
        <v>9877</v>
      </c>
      <c r="B9864">
        <v>353</v>
      </c>
      <c r="C9864" s="1" t="str">
        <f>HYPERLINK("http://www.rosaceae.org/gb/gbrowse/malus_x_domestica/?name=MDP0000262840","MDP0000262840")</f>
        <v>MDP0000262840</v>
      </c>
      <c r="D9864">
        <v>59.77</v>
      </c>
      <c r="E9864">
        <v>358</v>
      </c>
      <c r="F9864">
        <v>144</v>
      </c>
      <c r="G9864">
        <v>18</v>
      </c>
      <c r="H9864">
        <v>1</v>
      </c>
      <c r="I9864">
        <v>353</v>
      </c>
      <c r="J9864">
        <v>1</v>
      </c>
      <c r="K9864">
        <v>1</v>
      </c>
      <c r="L9864">
        <v>345</v>
      </c>
      <c r="M9864">
        <v>1</v>
      </c>
      <c r="N9864">
        <v>1.5954300000000001E-121</v>
      </c>
      <c r="O9864">
        <v>1113</v>
      </c>
    </row>
    <row r="9865" spans="1:15" x14ac:dyDescent="0.25">
      <c r="A9865" t="s">
        <v>9878</v>
      </c>
      <c r="B9865">
        <v>710</v>
      </c>
      <c r="C9865" s="1" t="str">
        <f>HYPERLINK("http://www.rosaceae.org/gb/gbrowse/malus_x_domestica/?name=MDP0000263576","MDP0000263576")</f>
        <v>MDP0000263576</v>
      </c>
      <c r="D9865">
        <v>70.66</v>
      </c>
      <c r="E9865">
        <v>726</v>
      </c>
      <c r="F9865">
        <v>213</v>
      </c>
      <c r="G9865">
        <v>36</v>
      </c>
      <c r="H9865">
        <v>1</v>
      </c>
      <c r="I9865">
        <v>710</v>
      </c>
      <c r="J9865">
        <v>1</v>
      </c>
      <c r="K9865">
        <v>859</v>
      </c>
      <c r="L9865">
        <v>1564</v>
      </c>
      <c r="M9865">
        <v>1</v>
      </c>
      <c r="N9865">
        <v>0</v>
      </c>
      <c r="O9865">
        <v>2441</v>
      </c>
    </row>
    <row r="9866" spans="1:15" x14ac:dyDescent="0.25">
      <c r="A9866" t="s">
        <v>9879</v>
      </c>
      <c r="B9866">
        <v>353</v>
      </c>
      <c r="C9866" s="1" t="str">
        <f>HYPERLINK("http://www.rosaceae.org/gb/gbrowse/malus_x_domestica/?name=MDP0000169446","MDP0000169446")</f>
        <v>MDP0000169446</v>
      </c>
      <c r="D9866">
        <v>79.8</v>
      </c>
      <c r="E9866">
        <v>203</v>
      </c>
      <c r="F9866">
        <v>41</v>
      </c>
      <c r="G9866">
        <v>0</v>
      </c>
      <c r="H9866">
        <v>151</v>
      </c>
      <c r="I9866">
        <v>353</v>
      </c>
      <c r="J9866">
        <v>1</v>
      </c>
      <c r="K9866">
        <v>1061</v>
      </c>
      <c r="L9866">
        <v>1263</v>
      </c>
      <c r="M9866">
        <v>1</v>
      </c>
      <c r="N9866">
        <v>1.2836199999999999E-94</v>
      </c>
      <c r="O9866">
        <v>881</v>
      </c>
    </row>
    <row r="9867" spans="1:15" x14ac:dyDescent="0.25">
      <c r="A9867" t="s">
        <v>9880</v>
      </c>
      <c r="B9867">
        <v>193</v>
      </c>
      <c r="C9867" s="1" t="str">
        <f>HYPERLINK("http://www.rosaceae.org/gb/gbrowse/malus_x_domestica/?name=MDP0000803090","MDP0000803090")</f>
        <v>MDP0000803090</v>
      </c>
      <c r="D9867">
        <v>77.94</v>
      </c>
      <c r="E9867">
        <v>136</v>
      </c>
      <c r="F9867">
        <v>30</v>
      </c>
      <c r="G9867">
        <v>5</v>
      </c>
      <c r="H9867">
        <v>1</v>
      </c>
      <c r="I9867">
        <v>132</v>
      </c>
      <c r="J9867">
        <v>1</v>
      </c>
      <c r="K9867">
        <v>1</v>
      </c>
      <c r="L9867">
        <v>135</v>
      </c>
      <c r="M9867">
        <v>1</v>
      </c>
      <c r="N9867">
        <v>1.30151E-51</v>
      </c>
      <c r="O9867">
        <v>506</v>
      </c>
    </row>
    <row r="9868" spans="1:15" x14ac:dyDescent="0.25">
      <c r="A9868" t="s">
        <v>9881</v>
      </c>
      <c r="B9868">
        <v>611</v>
      </c>
      <c r="C9868" s="1" t="str">
        <f>HYPERLINK("http://www.rosaceae.org/gb/gbrowse/malus_x_domestica/?name=MDP0000308148","MDP0000308148")</f>
        <v>MDP0000308148</v>
      </c>
      <c r="D9868">
        <v>67.03</v>
      </c>
      <c r="E9868">
        <v>537</v>
      </c>
      <c r="F9868">
        <v>177</v>
      </c>
      <c r="G9868">
        <v>12</v>
      </c>
      <c r="H9868">
        <v>81</v>
      </c>
      <c r="I9868">
        <v>611</v>
      </c>
      <c r="J9868">
        <v>1</v>
      </c>
      <c r="K9868">
        <v>104</v>
      </c>
      <c r="L9868">
        <v>634</v>
      </c>
      <c r="M9868">
        <v>1</v>
      </c>
      <c r="N9868">
        <v>0</v>
      </c>
      <c r="O9868">
        <v>1675</v>
      </c>
    </row>
    <row r="9869" spans="1:15" x14ac:dyDescent="0.25">
      <c r="A9869" t="s">
        <v>9882</v>
      </c>
      <c r="B9869">
        <v>214</v>
      </c>
      <c r="C9869" s="1" t="str">
        <f>HYPERLINK("http://www.rosaceae.org/gb/gbrowse/malus_x_domestica/?name=MDP0000794101","MDP0000794101")</f>
        <v>MDP0000794101</v>
      </c>
      <c r="D9869">
        <v>64.75</v>
      </c>
      <c r="E9869">
        <v>227</v>
      </c>
      <c r="F9869">
        <v>80</v>
      </c>
      <c r="G9869">
        <v>14</v>
      </c>
      <c r="H9869">
        <v>1</v>
      </c>
      <c r="I9869">
        <v>214</v>
      </c>
      <c r="J9869">
        <v>1</v>
      </c>
      <c r="K9869">
        <v>1</v>
      </c>
      <c r="L9869">
        <v>226</v>
      </c>
      <c r="M9869">
        <v>1</v>
      </c>
      <c r="N9869">
        <v>4.6936900000000001E-72</v>
      </c>
      <c r="O9869">
        <v>683</v>
      </c>
    </row>
    <row r="9870" spans="1:15" x14ac:dyDescent="0.25">
      <c r="A9870" t="s">
        <v>9883</v>
      </c>
      <c r="B9870">
        <v>592</v>
      </c>
      <c r="C9870" s="1" t="str">
        <f>HYPERLINK("http://www.rosaceae.org/gb/gbrowse/malus_x_domestica/?name=MDP0000204698","MDP0000204698")</f>
        <v>MDP0000204698</v>
      </c>
      <c r="D9870">
        <v>73.510000000000005</v>
      </c>
      <c r="E9870">
        <v>472</v>
      </c>
      <c r="F9870">
        <v>125</v>
      </c>
      <c r="G9870">
        <v>4</v>
      </c>
      <c r="H9870">
        <v>117</v>
      </c>
      <c r="I9870">
        <v>584</v>
      </c>
      <c r="J9870">
        <v>1</v>
      </c>
      <c r="K9870">
        <v>1</v>
      </c>
      <c r="L9870">
        <v>472</v>
      </c>
      <c r="M9870">
        <v>1</v>
      </c>
      <c r="N9870">
        <v>0</v>
      </c>
      <c r="O9870">
        <v>1694</v>
      </c>
    </row>
    <row r="9871" spans="1:15" x14ac:dyDescent="0.25">
      <c r="A9871" t="s">
        <v>9884</v>
      </c>
      <c r="B9871">
        <v>2180</v>
      </c>
      <c r="C9871" s="1" t="str">
        <f>HYPERLINK("http://www.rosaceae.org/gb/gbrowse/malus_x_domestica/?name=MDP0000503094","MDP0000503094")</f>
        <v>MDP0000503094</v>
      </c>
      <c r="D9871">
        <v>73.959999999999994</v>
      </c>
      <c r="E9871">
        <v>2228</v>
      </c>
      <c r="F9871">
        <v>580</v>
      </c>
      <c r="G9871">
        <v>61</v>
      </c>
      <c r="H9871">
        <v>1</v>
      </c>
      <c r="I9871">
        <v>2179</v>
      </c>
      <c r="J9871">
        <v>1</v>
      </c>
      <c r="K9871">
        <v>747</v>
      </c>
      <c r="L9871">
        <v>2962</v>
      </c>
      <c r="M9871">
        <v>1</v>
      </c>
      <c r="N9871">
        <v>0</v>
      </c>
      <c r="O9871">
        <v>8488</v>
      </c>
    </row>
    <row r="9872" spans="1:15" x14ac:dyDescent="0.25">
      <c r="A9872" t="s">
        <v>9885</v>
      </c>
      <c r="B9872">
        <v>458</v>
      </c>
      <c r="C9872" s="1" t="str">
        <f>HYPERLINK("http://www.rosaceae.org/gb/gbrowse/malus_x_domestica/?name=MDP0000805328","MDP0000805328")</f>
        <v>MDP0000805328</v>
      </c>
      <c r="D9872">
        <v>53.75</v>
      </c>
      <c r="E9872">
        <v>493</v>
      </c>
      <c r="F9872">
        <v>228</v>
      </c>
      <c r="G9872">
        <v>48</v>
      </c>
      <c r="H9872">
        <v>1</v>
      </c>
      <c r="I9872">
        <v>446</v>
      </c>
      <c r="J9872">
        <v>1</v>
      </c>
      <c r="K9872">
        <v>1</v>
      </c>
      <c r="L9872">
        <v>492</v>
      </c>
      <c r="M9872">
        <v>1</v>
      </c>
      <c r="N9872">
        <v>1.6822299999999999E-134</v>
      </c>
      <c r="O9872">
        <v>1226</v>
      </c>
    </row>
    <row r="9873" spans="1:15" x14ac:dyDescent="0.25">
      <c r="A9873" t="s">
        <v>9886</v>
      </c>
      <c r="B9873">
        <v>753</v>
      </c>
      <c r="C9873" s="1" t="str">
        <f>HYPERLINK("http://www.rosaceae.org/gb/gbrowse/malus_x_domestica/?name=MDP0000147846","MDP0000147846")</f>
        <v>MDP0000147846</v>
      </c>
      <c r="D9873">
        <v>29.67</v>
      </c>
      <c r="E9873">
        <v>374</v>
      </c>
      <c r="F9873">
        <v>263</v>
      </c>
      <c r="G9873">
        <v>74</v>
      </c>
      <c r="H9873">
        <v>167</v>
      </c>
      <c r="I9873">
        <v>491</v>
      </c>
      <c r="J9873">
        <v>1</v>
      </c>
      <c r="K9873">
        <v>199</v>
      </c>
      <c r="L9873">
        <v>547</v>
      </c>
      <c r="M9873">
        <v>1</v>
      </c>
      <c r="N9873">
        <v>2.4352000000000001E-25</v>
      </c>
      <c r="O9873">
        <v>287</v>
      </c>
    </row>
    <row r="9874" spans="1:15" x14ac:dyDescent="0.25">
      <c r="A9874" t="s">
        <v>9887</v>
      </c>
      <c r="B9874">
        <v>374</v>
      </c>
      <c r="C9874" s="1" t="str">
        <f>HYPERLINK("http://www.rosaceae.org/gb/gbrowse/malus_x_domestica/?name=MDP0000199110","MDP0000199110")</f>
        <v>MDP0000199110</v>
      </c>
      <c r="D9874">
        <v>43.34</v>
      </c>
      <c r="E9874">
        <v>293</v>
      </c>
      <c r="F9874">
        <v>166</v>
      </c>
      <c r="G9874">
        <v>33</v>
      </c>
      <c r="H9874">
        <v>31</v>
      </c>
      <c r="I9874">
        <v>313</v>
      </c>
      <c r="J9874">
        <v>1</v>
      </c>
      <c r="K9874">
        <v>1</v>
      </c>
      <c r="L9874">
        <v>270</v>
      </c>
      <c r="M9874">
        <v>1</v>
      </c>
      <c r="N9874">
        <v>4.7652100000000002E-54</v>
      </c>
      <c r="O9874">
        <v>531</v>
      </c>
    </row>
    <row r="9875" spans="1:15" x14ac:dyDescent="0.25">
      <c r="A9875" t="s">
        <v>9888</v>
      </c>
      <c r="B9875">
        <v>505</v>
      </c>
      <c r="C9875" s="1" t="str">
        <f>HYPERLINK("http://www.rosaceae.org/gb/gbrowse/malus_x_domestica/?name=MDP0000186455","MDP0000186455")</f>
        <v>MDP0000186455</v>
      </c>
      <c r="D9875">
        <v>78.709999999999994</v>
      </c>
      <c r="E9875">
        <v>545</v>
      </c>
      <c r="F9875">
        <v>116</v>
      </c>
      <c r="G9875">
        <v>40</v>
      </c>
      <c r="H9875">
        <v>1</v>
      </c>
      <c r="I9875">
        <v>505</v>
      </c>
      <c r="J9875">
        <v>1</v>
      </c>
      <c r="K9875">
        <v>2</v>
      </c>
      <c r="L9875">
        <v>546</v>
      </c>
      <c r="M9875">
        <v>1</v>
      </c>
      <c r="N9875">
        <v>0</v>
      </c>
      <c r="O9875">
        <v>2254</v>
      </c>
    </row>
    <row r="9876" spans="1:15" x14ac:dyDescent="0.25">
      <c r="A9876" t="s">
        <v>9889</v>
      </c>
      <c r="B9876">
        <v>168</v>
      </c>
      <c r="C9876" s="1" t="str">
        <f>HYPERLINK("http://www.rosaceae.org/gb/gbrowse/malus_x_domestica/?name=MDP0000255057","MDP0000255057")</f>
        <v>MDP0000255057</v>
      </c>
      <c r="D9876">
        <v>71.05</v>
      </c>
      <c r="E9876">
        <v>76</v>
      </c>
      <c r="F9876">
        <v>22</v>
      </c>
      <c r="G9876">
        <v>0</v>
      </c>
      <c r="H9876">
        <v>61</v>
      </c>
      <c r="I9876">
        <v>136</v>
      </c>
      <c r="J9876">
        <v>1</v>
      </c>
      <c r="K9876">
        <v>659</v>
      </c>
      <c r="L9876">
        <v>734</v>
      </c>
      <c r="M9876">
        <v>1</v>
      </c>
      <c r="N9876">
        <v>6.2220999999999996E-26</v>
      </c>
      <c r="O9876">
        <v>284</v>
      </c>
    </row>
    <row r="9877" spans="1:15" x14ac:dyDescent="0.25">
      <c r="A9877" t="s">
        <v>9890</v>
      </c>
      <c r="B9877">
        <v>166</v>
      </c>
      <c r="C9877" s="1" t="str">
        <f>HYPERLINK("http://www.rosaceae.org/gb/gbrowse/malus_x_domestica/?name=MDP0000179031","MDP0000179031")</f>
        <v>MDP0000179031</v>
      </c>
      <c r="D9877">
        <v>71.42</v>
      </c>
      <c r="E9877">
        <v>140</v>
      </c>
      <c r="F9877">
        <v>40</v>
      </c>
      <c r="G9877">
        <v>0</v>
      </c>
      <c r="H9877">
        <v>2</v>
      </c>
      <c r="I9877">
        <v>141</v>
      </c>
      <c r="J9877">
        <v>1</v>
      </c>
      <c r="K9877">
        <v>3</v>
      </c>
      <c r="L9877">
        <v>142</v>
      </c>
      <c r="M9877">
        <v>1</v>
      </c>
      <c r="N9877">
        <v>4.0866099999999999E-55</v>
      </c>
      <c r="O9877">
        <v>535</v>
      </c>
    </row>
    <row r="9878" spans="1:15" x14ac:dyDescent="0.25">
      <c r="A9878" t="s">
        <v>9891</v>
      </c>
      <c r="B9878">
        <v>185</v>
      </c>
      <c r="C9878" s="1" t="str">
        <f>HYPERLINK("http://www.rosaceae.org/gb/gbrowse/malus_x_domestica/?name=MDP0000850301","MDP0000850301")</f>
        <v>MDP0000850301</v>
      </c>
      <c r="D9878">
        <v>62.1</v>
      </c>
      <c r="E9878">
        <v>190</v>
      </c>
      <c r="F9878">
        <v>72</v>
      </c>
      <c r="G9878">
        <v>7</v>
      </c>
      <c r="H9878">
        <v>1</v>
      </c>
      <c r="I9878">
        <v>185</v>
      </c>
      <c r="J9878">
        <v>1</v>
      </c>
      <c r="K9878">
        <v>1</v>
      </c>
      <c r="L9878">
        <v>188</v>
      </c>
      <c r="M9878">
        <v>1</v>
      </c>
      <c r="N9878">
        <v>2.35668E-54</v>
      </c>
      <c r="O9878">
        <v>530</v>
      </c>
    </row>
    <row r="9879" spans="1:15" x14ac:dyDescent="0.25">
      <c r="A9879" t="s">
        <v>9892</v>
      </c>
      <c r="B9879">
        <v>146</v>
      </c>
      <c r="C9879" s="1" t="str">
        <f>HYPERLINK("http://www.rosaceae.org/gb/gbrowse/malus_x_domestica/?name=MDP0000211153","MDP0000211153")</f>
        <v>MDP0000211153</v>
      </c>
      <c r="D9879">
        <v>46.95</v>
      </c>
      <c r="E9879">
        <v>164</v>
      </c>
      <c r="F9879">
        <v>87</v>
      </c>
      <c r="G9879">
        <v>29</v>
      </c>
      <c r="H9879">
        <v>1</v>
      </c>
      <c r="I9879">
        <v>146</v>
      </c>
      <c r="J9879">
        <v>1</v>
      </c>
      <c r="K9879">
        <v>1</v>
      </c>
      <c r="L9879">
        <v>153</v>
      </c>
      <c r="M9879">
        <v>1</v>
      </c>
      <c r="N9879">
        <v>8.6797799999999996E-25</v>
      </c>
      <c r="O9879">
        <v>273</v>
      </c>
    </row>
    <row r="9880" spans="1:15" x14ac:dyDescent="0.25">
      <c r="A9880" t="s">
        <v>9893</v>
      </c>
      <c r="B9880">
        <v>261</v>
      </c>
      <c r="C9880" s="1" t="str">
        <f>HYPERLINK("http://www.rosaceae.org/gb/gbrowse/malus_x_domestica/?name=MDP0000322668","MDP0000322668")</f>
        <v>MDP0000322668</v>
      </c>
      <c r="D9880">
        <v>73.91</v>
      </c>
      <c r="E9880">
        <v>184</v>
      </c>
      <c r="F9880">
        <v>48</v>
      </c>
      <c r="G9880">
        <v>3</v>
      </c>
      <c r="H9880">
        <v>1</v>
      </c>
      <c r="I9880">
        <v>183</v>
      </c>
      <c r="J9880">
        <v>1</v>
      </c>
      <c r="K9880">
        <v>348</v>
      </c>
      <c r="L9880">
        <v>529</v>
      </c>
      <c r="M9880">
        <v>1</v>
      </c>
      <c r="N9880">
        <v>1.55364E-78</v>
      </c>
      <c r="O9880">
        <v>740</v>
      </c>
    </row>
    <row r="9881" spans="1:15" x14ac:dyDescent="0.25">
      <c r="A9881" t="s">
        <v>9894</v>
      </c>
      <c r="B9881">
        <v>735</v>
      </c>
      <c r="C9881" s="1" t="str">
        <f>HYPERLINK("http://www.rosaceae.org/gb/gbrowse/malus_x_domestica/?name=MDP0000632704","MDP0000632704")</f>
        <v>MDP0000632704</v>
      </c>
      <c r="D9881">
        <v>44.11</v>
      </c>
      <c r="E9881">
        <v>340</v>
      </c>
      <c r="F9881">
        <v>190</v>
      </c>
      <c r="G9881">
        <v>61</v>
      </c>
      <c r="H9881">
        <v>34</v>
      </c>
      <c r="I9881">
        <v>317</v>
      </c>
      <c r="J9881">
        <v>1</v>
      </c>
      <c r="K9881">
        <v>1</v>
      </c>
      <c r="L9881">
        <v>335</v>
      </c>
      <c r="M9881">
        <v>1</v>
      </c>
      <c r="N9881">
        <v>5.66242E-67</v>
      </c>
      <c r="O9881">
        <v>646</v>
      </c>
    </row>
    <row r="9882" spans="1:15" x14ac:dyDescent="0.25">
      <c r="A9882" t="s">
        <v>9895</v>
      </c>
      <c r="B9882">
        <v>361</v>
      </c>
      <c r="C9882" s="1" t="str">
        <f>HYPERLINK("http://www.rosaceae.org/gb/gbrowse/malus_x_domestica/?name=MDP0000163720","MDP0000163720")</f>
        <v>MDP0000163720</v>
      </c>
      <c r="D9882">
        <v>78.88</v>
      </c>
      <c r="E9882">
        <v>360</v>
      </c>
      <c r="F9882">
        <v>76</v>
      </c>
      <c r="G9882">
        <v>1</v>
      </c>
      <c r="H9882">
        <v>1</v>
      </c>
      <c r="I9882">
        <v>360</v>
      </c>
      <c r="J9882">
        <v>1</v>
      </c>
      <c r="K9882">
        <v>1</v>
      </c>
      <c r="L9882">
        <v>359</v>
      </c>
      <c r="M9882">
        <v>1</v>
      </c>
      <c r="N9882">
        <v>1.3729300000000001E-175</v>
      </c>
      <c r="O9882">
        <v>1579</v>
      </c>
    </row>
    <row r="9883" spans="1:15" x14ac:dyDescent="0.25">
      <c r="A9883" t="s">
        <v>9896</v>
      </c>
      <c r="B9883">
        <v>265</v>
      </c>
      <c r="C9883" s="1" t="str">
        <f>HYPERLINK("http://www.rosaceae.org/gb/gbrowse/malus_x_domestica/?name=MDP0000314543","MDP0000314543")</f>
        <v>MDP0000314543</v>
      </c>
      <c r="D9883">
        <v>73.33</v>
      </c>
      <c r="E9883">
        <v>120</v>
      </c>
      <c r="F9883">
        <v>32</v>
      </c>
      <c r="G9883">
        <v>14</v>
      </c>
      <c r="H9883">
        <v>71</v>
      </c>
      <c r="I9883">
        <v>176</v>
      </c>
      <c r="J9883">
        <v>1</v>
      </c>
      <c r="K9883">
        <v>368</v>
      </c>
      <c r="L9883">
        <v>487</v>
      </c>
      <c r="M9883">
        <v>1</v>
      </c>
      <c r="N9883">
        <v>1.6352900000000001E-39</v>
      </c>
      <c r="O9883">
        <v>404</v>
      </c>
    </row>
    <row r="9884" spans="1:15" x14ac:dyDescent="0.25">
      <c r="A9884" t="s">
        <v>9897</v>
      </c>
      <c r="B9884">
        <v>157</v>
      </c>
      <c r="C9884" s="1" t="str">
        <f>HYPERLINK("http://www.rosaceae.org/gb/gbrowse/malus_x_domestica/?name=MDP0000232260","MDP0000232260")</f>
        <v>MDP0000232260</v>
      </c>
      <c r="D9884">
        <v>69.44</v>
      </c>
      <c r="E9884">
        <v>144</v>
      </c>
      <c r="F9884">
        <v>44</v>
      </c>
      <c r="G9884">
        <v>0</v>
      </c>
      <c r="H9884">
        <v>1</v>
      </c>
      <c r="I9884">
        <v>144</v>
      </c>
      <c r="J9884">
        <v>1</v>
      </c>
      <c r="K9884">
        <v>1</v>
      </c>
      <c r="L9884">
        <v>144</v>
      </c>
      <c r="M9884">
        <v>1</v>
      </c>
      <c r="N9884">
        <v>5.8448499999999997E-55</v>
      </c>
      <c r="O9884">
        <v>534</v>
      </c>
    </row>
    <row r="9885" spans="1:15" x14ac:dyDescent="0.25">
      <c r="A9885" t="s">
        <v>9898</v>
      </c>
      <c r="B9885">
        <v>130</v>
      </c>
      <c r="C9885" s="1" t="str">
        <f>HYPERLINK("http://www.rosaceae.org/gb/gbrowse/malus_x_domestica/?name=MDP0000396530","MDP0000396530")</f>
        <v>MDP0000396530</v>
      </c>
      <c r="D9885">
        <v>66.14</v>
      </c>
      <c r="E9885">
        <v>127</v>
      </c>
      <c r="F9885">
        <v>43</v>
      </c>
      <c r="G9885">
        <v>1</v>
      </c>
      <c r="H9885">
        <v>1</v>
      </c>
      <c r="I9885">
        <v>126</v>
      </c>
      <c r="J9885">
        <v>1</v>
      </c>
      <c r="K9885">
        <v>904</v>
      </c>
      <c r="L9885">
        <v>1030</v>
      </c>
      <c r="M9885">
        <v>1</v>
      </c>
      <c r="N9885">
        <v>1.4091499999999999E-45</v>
      </c>
      <c r="O9885">
        <v>451</v>
      </c>
    </row>
    <row r="9886" spans="1:15" x14ac:dyDescent="0.25">
      <c r="A9886" t="s">
        <v>9899</v>
      </c>
      <c r="B9886">
        <v>761</v>
      </c>
      <c r="C9886" s="1" t="str">
        <f>HYPERLINK("http://www.rosaceae.org/gb/gbrowse/malus_x_domestica/?name=MDP0000159111","MDP0000159111")</f>
        <v>MDP0000159111</v>
      </c>
      <c r="D9886">
        <v>82.43</v>
      </c>
      <c r="E9886">
        <v>780</v>
      </c>
      <c r="F9886">
        <v>137</v>
      </c>
      <c r="G9886">
        <v>24</v>
      </c>
      <c r="H9886">
        <v>1</v>
      </c>
      <c r="I9886">
        <v>761</v>
      </c>
      <c r="J9886">
        <v>1</v>
      </c>
      <c r="K9886">
        <v>1</v>
      </c>
      <c r="L9886">
        <v>775</v>
      </c>
      <c r="M9886">
        <v>1</v>
      </c>
      <c r="N9886">
        <v>0</v>
      </c>
      <c r="O9886">
        <v>3432</v>
      </c>
    </row>
    <row r="9887" spans="1:15" x14ac:dyDescent="0.25">
      <c r="A9887" t="s">
        <v>9900</v>
      </c>
      <c r="B9887">
        <v>589</v>
      </c>
      <c r="C9887" s="1" t="str">
        <f>HYPERLINK("http://www.rosaceae.org/gb/gbrowse/malus_x_domestica/?name=MDP0000268783","MDP0000268783")</f>
        <v>MDP0000268783</v>
      </c>
      <c r="D9887">
        <v>77.599999999999994</v>
      </c>
      <c r="E9887">
        <v>594</v>
      </c>
      <c r="F9887">
        <v>133</v>
      </c>
      <c r="G9887">
        <v>13</v>
      </c>
      <c r="H9887">
        <v>1</v>
      </c>
      <c r="I9887">
        <v>589</v>
      </c>
      <c r="J9887">
        <v>1</v>
      </c>
      <c r="K9887">
        <v>1</v>
      </c>
      <c r="L9887">
        <v>586</v>
      </c>
      <c r="M9887">
        <v>1</v>
      </c>
      <c r="N9887">
        <v>0</v>
      </c>
      <c r="O9887">
        <v>2337</v>
      </c>
    </row>
    <row r="9888" spans="1:15" x14ac:dyDescent="0.25">
      <c r="A9888" t="s">
        <v>9901</v>
      </c>
      <c r="B9888">
        <v>440</v>
      </c>
      <c r="C9888" s="1" t="str">
        <f>HYPERLINK("http://www.rosaceae.org/gb/gbrowse/malus_x_domestica/?name=MDP0000316738","MDP0000316738")</f>
        <v>MDP0000316738</v>
      </c>
      <c r="D9888">
        <v>64.569999999999993</v>
      </c>
      <c r="E9888">
        <v>446</v>
      </c>
      <c r="F9888">
        <v>158</v>
      </c>
      <c r="G9888">
        <v>22</v>
      </c>
      <c r="H9888">
        <v>1</v>
      </c>
      <c r="I9888">
        <v>431</v>
      </c>
      <c r="J9888">
        <v>1</v>
      </c>
      <c r="K9888">
        <v>1</v>
      </c>
      <c r="L9888">
        <v>439</v>
      </c>
      <c r="M9888">
        <v>1</v>
      </c>
      <c r="N9888">
        <v>9.2861700000000004E-161</v>
      </c>
      <c r="O9888">
        <v>1452</v>
      </c>
    </row>
    <row r="9889" spans="1:15" x14ac:dyDescent="0.25">
      <c r="A9889" t="s">
        <v>9902</v>
      </c>
      <c r="B9889">
        <v>317</v>
      </c>
      <c r="C9889" s="1" t="str">
        <f>HYPERLINK("http://www.rosaceae.org/gb/gbrowse/malus_x_domestica/?name=MDP0000187498","MDP0000187498")</f>
        <v>MDP0000187498</v>
      </c>
      <c r="D9889">
        <v>79.31</v>
      </c>
      <c r="E9889">
        <v>319</v>
      </c>
      <c r="F9889">
        <v>66</v>
      </c>
      <c r="G9889">
        <v>8</v>
      </c>
      <c r="H9889">
        <v>1</v>
      </c>
      <c r="I9889">
        <v>317</v>
      </c>
      <c r="J9889">
        <v>1</v>
      </c>
      <c r="K9889">
        <v>36</v>
      </c>
      <c r="L9889">
        <v>348</v>
      </c>
      <c r="M9889">
        <v>1</v>
      </c>
      <c r="N9889">
        <v>2.2148899999999998E-149</v>
      </c>
      <c r="O9889">
        <v>1353</v>
      </c>
    </row>
    <row r="9890" spans="1:15" x14ac:dyDescent="0.25">
      <c r="A9890" t="s">
        <v>9903</v>
      </c>
      <c r="B9890">
        <v>390</v>
      </c>
      <c r="C9890" s="1" t="str">
        <f>HYPERLINK("http://www.rosaceae.org/gb/gbrowse/malus_x_domestica/?name=MDP0000223823","MDP0000223823")</f>
        <v>MDP0000223823</v>
      </c>
      <c r="D9890">
        <v>68.849999999999994</v>
      </c>
      <c r="E9890">
        <v>305</v>
      </c>
      <c r="F9890">
        <v>95</v>
      </c>
      <c r="G9890">
        <v>12</v>
      </c>
      <c r="H9890">
        <v>60</v>
      </c>
      <c r="I9890">
        <v>354</v>
      </c>
      <c r="J9890">
        <v>1</v>
      </c>
      <c r="K9890">
        <v>120</v>
      </c>
      <c r="L9890">
        <v>422</v>
      </c>
      <c r="M9890">
        <v>1</v>
      </c>
      <c r="N9890">
        <v>4.3766300000000002E-115</v>
      </c>
      <c r="O9890">
        <v>1058</v>
      </c>
    </row>
    <row r="9891" spans="1:15" x14ac:dyDescent="0.25">
      <c r="A9891" t="s">
        <v>9904</v>
      </c>
      <c r="B9891">
        <v>417</v>
      </c>
      <c r="C9891" s="1" t="str">
        <f>HYPERLINK("http://www.rosaceae.org/gb/gbrowse/malus_x_domestica/?name=MDP0000226971","MDP0000226971")</f>
        <v>MDP0000226971</v>
      </c>
      <c r="D9891">
        <v>45</v>
      </c>
      <c r="E9891">
        <v>360</v>
      </c>
      <c r="F9891">
        <v>198</v>
      </c>
      <c r="G9891">
        <v>30</v>
      </c>
      <c r="H9891">
        <v>37</v>
      </c>
      <c r="I9891">
        <v>390</v>
      </c>
      <c r="J9891">
        <v>1</v>
      </c>
      <c r="K9891">
        <v>29</v>
      </c>
      <c r="L9891">
        <v>364</v>
      </c>
      <c r="M9891">
        <v>1</v>
      </c>
      <c r="N9891">
        <v>1.7120199999999999E-72</v>
      </c>
      <c r="O9891">
        <v>691</v>
      </c>
    </row>
    <row r="9892" spans="1:15" x14ac:dyDescent="0.25">
      <c r="A9892" t="s">
        <v>9905</v>
      </c>
      <c r="B9892">
        <v>506</v>
      </c>
      <c r="C9892" s="1" t="str">
        <f>HYPERLINK("http://www.rosaceae.org/gb/gbrowse/malus_x_domestica/?name=MDP0000250644","MDP0000250644")</f>
        <v>MDP0000250644</v>
      </c>
      <c r="D9892">
        <v>24.52</v>
      </c>
      <c r="E9892">
        <v>261</v>
      </c>
      <c r="F9892">
        <v>197</v>
      </c>
      <c r="G9892">
        <v>52</v>
      </c>
      <c r="H9892">
        <v>5</v>
      </c>
      <c r="I9892">
        <v>228</v>
      </c>
      <c r="J9892">
        <v>1</v>
      </c>
      <c r="K9892">
        <v>107</v>
      </c>
      <c r="L9892">
        <v>352</v>
      </c>
      <c r="M9892">
        <v>1</v>
      </c>
      <c r="N9892">
        <v>1.99895E-17</v>
      </c>
      <c r="O9892">
        <v>217</v>
      </c>
    </row>
    <row r="9893" spans="1:15" x14ac:dyDescent="0.25">
      <c r="A9893" t="s">
        <v>9906</v>
      </c>
      <c r="B9893">
        <v>1025</v>
      </c>
      <c r="C9893" s="1" t="str">
        <f>HYPERLINK("http://www.rosaceae.org/gb/gbrowse/malus_x_domestica/?name=MDP0000225623","MDP0000225623")</f>
        <v>MDP0000225623</v>
      </c>
      <c r="D9893">
        <v>46.95</v>
      </c>
      <c r="E9893">
        <v>607</v>
      </c>
      <c r="F9893">
        <v>322</v>
      </c>
      <c r="G9893">
        <v>38</v>
      </c>
      <c r="H9893">
        <v>420</v>
      </c>
      <c r="I9893">
        <v>1005</v>
      </c>
      <c r="J9893">
        <v>1</v>
      </c>
      <c r="K9893">
        <v>80</v>
      </c>
      <c r="L9893">
        <v>669</v>
      </c>
      <c r="M9893">
        <v>1</v>
      </c>
      <c r="N9893">
        <v>1.3561799999999999E-149</v>
      </c>
      <c r="O9893">
        <v>1360</v>
      </c>
    </row>
    <row r="9894" spans="1:15" x14ac:dyDescent="0.25">
      <c r="A9894" t="s">
        <v>9907</v>
      </c>
      <c r="B9894">
        <v>660</v>
      </c>
      <c r="C9894" s="1" t="str">
        <f>HYPERLINK("http://www.rosaceae.org/gb/gbrowse/malus_x_domestica/?name=MDP0000234689","MDP0000234689")</f>
        <v>MDP0000234689</v>
      </c>
      <c r="D9894">
        <v>65.34</v>
      </c>
      <c r="E9894">
        <v>606</v>
      </c>
      <c r="F9894">
        <v>210</v>
      </c>
      <c r="G9894">
        <v>35</v>
      </c>
      <c r="H9894">
        <v>76</v>
      </c>
      <c r="I9894">
        <v>657</v>
      </c>
      <c r="J9894">
        <v>1</v>
      </c>
      <c r="K9894">
        <v>5</v>
      </c>
      <c r="L9894">
        <v>599</v>
      </c>
      <c r="M9894">
        <v>1</v>
      </c>
      <c r="N9894">
        <v>0</v>
      </c>
      <c r="O9894">
        <v>1944</v>
      </c>
    </row>
    <row r="9895" spans="1:15" x14ac:dyDescent="0.25">
      <c r="A9895" t="s">
        <v>9908</v>
      </c>
      <c r="B9895">
        <v>527</v>
      </c>
      <c r="C9895" s="1" t="str">
        <f>HYPERLINK("http://www.rosaceae.org/gb/gbrowse/malus_x_domestica/?name=MDP0000164868","MDP0000164868")</f>
        <v>MDP0000164868</v>
      </c>
      <c r="D9895">
        <v>94.27</v>
      </c>
      <c r="E9895">
        <v>524</v>
      </c>
      <c r="F9895">
        <v>30</v>
      </c>
      <c r="G9895">
        <v>0</v>
      </c>
      <c r="H9895">
        <v>1</v>
      </c>
      <c r="I9895">
        <v>524</v>
      </c>
      <c r="J9895">
        <v>1</v>
      </c>
      <c r="K9895">
        <v>1</v>
      </c>
      <c r="L9895">
        <v>524</v>
      </c>
      <c r="M9895">
        <v>1</v>
      </c>
      <c r="N9895">
        <v>0</v>
      </c>
      <c r="O9895">
        <v>2670</v>
      </c>
    </row>
    <row r="9896" spans="1:15" x14ac:dyDescent="0.25">
      <c r="A9896" t="s">
        <v>9909</v>
      </c>
      <c r="B9896">
        <v>792</v>
      </c>
      <c r="C9896" s="1" t="str">
        <f>HYPERLINK("http://www.rosaceae.org/gb/gbrowse/malus_x_domestica/?name=MDP0000123097","MDP0000123097")</f>
        <v>MDP0000123097</v>
      </c>
      <c r="D9896">
        <v>67.83</v>
      </c>
      <c r="E9896">
        <v>830</v>
      </c>
      <c r="F9896">
        <v>267</v>
      </c>
      <c r="G9896">
        <v>44</v>
      </c>
      <c r="H9896">
        <v>1</v>
      </c>
      <c r="I9896">
        <v>790</v>
      </c>
      <c r="J9896">
        <v>1</v>
      </c>
      <c r="K9896">
        <v>13</v>
      </c>
      <c r="L9896">
        <v>838</v>
      </c>
      <c r="M9896">
        <v>1</v>
      </c>
      <c r="N9896">
        <v>0</v>
      </c>
      <c r="O9896">
        <v>2807</v>
      </c>
    </row>
    <row r="9897" spans="1:15" x14ac:dyDescent="0.25">
      <c r="A9897" t="s">
        <v>9910</v>
      </c>
      <c r="B9897">
        <v>245</v>
      </c>
      <c r="C9897" s="1" t="str">
        <f>HYPERLINK("http://www.rosaceae.org/gb/gbrowse/malus_x_domestica/?name=MDP0000640144","MDP0000640144")</f>
        <v>MDP0000640144</v>
      </c>
      <c r="D9897">
        <v>86.57</v>
      </c>
      <c r="E9897">
        <v>149</v>
      </c>
      <c r="F9897">
        <v>20</v>
      </c>
      <c r="G9897">
        <v>12</v>
      </c>
      <c r="H9897">
        <v>1</v>
      </c>
      <c r="I9897">
        <v>149</v>
      </c>
      <c r="J9897">
        <v>1</v>
      </c>
      <c r="K9897">
        <v>1</v>
      </c>
      <c r="L9897">
        <v>137</v>
      </c>
      <c r="M9897">
        <v>1</v>
      </c>
      <c r="N9897">
        <v>1.02836E-73</v>
      </c>
      <c r="O9897">
        <v>699</v>
      </c>
    </row>
    <row r="9898" spans="1:15" x14ac:dyDescent="0.25">
      <c r="A9898" t="s">
        <v>9911</v>
      </c>
      <c r="B9898">
        <v>247</v>
      </c>
      <c r="C9898" s="1" t="str">
        <f>HYPERLINK("http://www.rosaceae.org/gb/gbrowse/malus_x_domestica/?name=MDP0000146760","MDP0000146760")</f>
        <v>MDP0000146760</v>
      </c>
      <c r="D9898">
        <v>57.86</v>
      </c>
      <c r="E9898">
        <v>159</v>
      </c>
      <c r="F9898">
        <v>67</v>
      </c>
      <c r="G9898">
        <v>9</v>
      </c>
      <c r="H9898">
        <v>13</v>
      </c>
      <c r="I9898">
        <v>166</v>
      </c>
      <c r="J9898">
        <v>1</v>
      </c>
      <c r="K9898">
        <v>67</v>
      </c>
      <c r="L9898">
        <v>221</v>
      </c>
      <c r="M9898">
        <v>1</v>
      </c>
      <c r="N9898">
        <v>2.8362899999999998E-46</v>
      </c>
      <c r="O9898">
        <v>462</v>
      </c>
    </row>
    <row r="9899" spans="1:15" x14ac:dyDescent="0.25">
      <c r="A9899" t="s">
        <v>9912</v>
      </c>
      <c r="B9899">
        <v>1263</v>
      </c>
      <c r="C9899" s="1" t="str">
        <f>HYPERLINK("http://www.rosaceae.org/gb/gbrowse/malus_x_domestica/?name=MDP0000292611","MDP0000292611")</f>
        <v>MDP0000292611</v>
      </c>
      <c r="D9899">
        <v>77.8</v>
      </c>
      <c r="E9899">
        <v>1230</v>
      </c>
      <c r="F9899">
        <v>273</v>
      </c>
      <c r="G9899">
        <v>7</v>
      </c>
      <c r="H9899">
        <v>39</v>
      </c>
      <c r="I9899">
        <v>1262</v>
      </c>
      <c r="J9899">
        <v>1</v>
      </c>
      <c r="K9899">
        <v>1</v>
      </c>
      <c r="L9899">
        <v>1229</v>
      </c>
      <c r="M9899">
        <v>1</v>
      </c>
      <c r="N9899">
        <v>0</v>
      </c>
      <c r="O9899">
        <v>5110</v>
      </c>
    </row>
    <row r="9900" spans="1:15" x14ac:dyDescent="0.25">
      <c r="A9900" t="s">
        <v>9913</v>
      </c>
      <c r="B9900">
        <v>921</v>
      </c>
      <c r="C9900" s="1" t="str">
        <f>HYPERLINK("http://www.rosaceae.org/gb/gbrowse/malus_x_domestica/?name=MDP0000856196","MDP0000856196")</f>
        <v>MDP0000856196</v>
      </c>
      <c r="D9900">
        <v>84.77</v>
      </c>
      <c r="E9900">
        <v>854</v>
      </c>
      <c r="F9900">
        <v>130</v>
      </c>
      <c r="G9900">
        <v>0</v>
      </c>
      <c r="H9900">
        <v>68</v>
      </c>
      <c r="I9900">
        <v>921</v>
      </c>
      <c r="J9900">
        <v>1</v>
      </c>
      <c r="K9900">
        <v>1</v>
      </c>
      <c r="L9900">
        <v>854</v>
      </c>
      <c r="M9900">
        <v>1</v>
      </c>
      <c r="N9900">
        <v>0</v>
      </c>
      <c r="O9900">
        <v>4033</v>
      </c>
    </row>
    <row r="9901" spans="1:15" x14ac:dyDescent="0.25">
      <c r="A9901" t="s">
        <v>9914</v>
      </c>
      <c r="B9901">
        <v>959</v>
      </c>
      <c r="C9901" s="1" t="str">
        <f>HYPERLINK("http://www.rosaceae.org/gb/gbrowse/malus_x_domestica/?name=MDP0000205635","MDP0000205635")</f>
        <v>MDP0000205635</v>
      </c>
      <c r="D9901">
        <v>84.43</v>
      </c>
      <c r="E9901">
        <v>167</v>
      </c>
      <c r="F9901">
        <v>26</v>
      </c>
      <c r="G9901">
        <v>1</v>
      </c>
      <c r="H9901">
        <v>476</v>
      </c>
      <c r="I9901">
        <v>642</v>
      </c>
      <c r="J9901">
        <v>1</v>
      </c>
      <c r="K9901">
        <v>29</v>
      </c>
      <c r="L9901">
        <v>194</v>
      </c>
      <c r="M9901">
        <v>1</v>
      </c>
      <c r="N9901">
        <v>1.8855800000000001E-77</v>
      </c>
      <c r="O9901">
        <v>737</v>
      </c>
    </row>
    <row r="9902" spans="1:15" x14ac:dyDescent="0.25">
      <c r="A9902" t="s">
        <v>9915</v>
      </c>
      <c r="B9902">
        <v>925</v>
      </c>
      <c r="C9902" s="1" t="str">
        <f>HYPERLINK("http://www.rosaceae.org/gb/gbrowse/malus_x_domestica/?name=MDP0000296541","MDP0000296541")</f>
        <v>MDP0000296541</v>
      </c>
      <c r="D9902">
        <v>49.44</v>
      </c>
      <c r="E9902">
        <v>542</v>
      </c>
      <c r="F9902">
        <v>274</v>
      </c>
      <c r="G9902">
        <v>50</v>
      </c>
      <c r="H9902">
        <v>411</v>
      </c>
      <c r="I9902">
        <v>925</v>
      </c>
      <c r="J9902">
        <v>1</v>
      </c>
      <c r="K9902">
        <v>690</v>
      </c>
      <c r="L9902">
        <v>1208</v>
      </c>
      <c r="M9902">
        <v>1</v>
      </c>
      <c r="N9902">
        <v>9.2271399999999998E-128</v>
      </c>
      <c r="O9902">
        <v>1171</v>
      </c>
    </row>
    <row r="9903" spans="1:15" x14ac:dyDescent="0.25">
      <c r="A9903" t="s">
        <v>9916</v>
      </c>
      <c r="B9903">
        <v>150</v>
      </c>
      <c r="C9903" s="1" t="str">
        <f>HYPERLINK("http://www.rosaceae.org/gb/gbrowse/malus_x_domestica/?name=MDP0000258440","MDP0000258440")</f>
        <v>MDP0000258440</v>
      </c>
      <c r="D9903">
        <v>60.26</v>
      </c>
      <c r="E9903">
        <v>151</v>
      </c>
      <c r="F9903">
        <v>60</v>
      </c>
      <c r="G9903">
        <v>9</v>
      </c>
      <c r="H9903">
        <v>2</v>
      </c>
      <c r="I9903">
        <v>150</v>
      </c>
      <c r="J9903">
        <v>1</v>
      </c>
      <c r="K9903">
        <v>1089</v>
      </c>
      <c r="L9903">
        <v>1232</v>
      </c>
      <c r="M9903">
        <v>1</v>
      </c>
      <c r="N9903">
        <v>2.6386600000000001E-42</v>
      </c>
      <c r="O9903">
        <v>424</v>
      </c>
    </row>
    <row r="9904" spans="1:15" x14ac:dyDescent="0.25">
      <c r="A9904" t="s">
        <v>9917</v>
      </c>
      <c r="B9904">
        <v>426</v>
      </c>
      <c r="C9904" s="1" t="str">
        <f>HYPERLINK("http://www.rosaceae.org/gb/gbrowse/malus_x_domestica/?name=MDP0000370644","MDP0000370644")</f>
        <v>MDP0000370644</v>
      </c>
      <c r="D9904">
        <v>68.67</v>
      </c>
      <c r="E9904">
        <v>431</v>
      </c>
      <c r="F9904">
        <v>135</v>
      </c>
      <c r="G9904">
        <v>9</v>
      </c>
      <c r="H9904">
        <v>1</v>
      </c>
      <c r="I9904">
        <v>424</v>
      </c>
      <c r="J9904">
        <v>1</v>
      </c>
      <c r="K9904">
        <v>1</v>
      </c>
      <c r="L9904">
        <v>429</v>
      </c>
      <c r="M9904">
        <v>1</v>
      </c>
      <c r="N9904">
        <v>1.2804499999999999E-165</v>
      </c>
      <c r="O9904">
        <v>1494</v>
      </c>
    </row>
    <row r="9905" spans="1:15" x14ac:dyDescent="0.25">
      <c r="A9905" t="s">
        <v>9918</v>
      </c>
      <c r="B9905">
        <v>475</v>
      </c>
      <c r="C9905" s="1" t="str">
        <f>HYPERLINK("http://www.rosaceae.org/gb/gbrowse/malus_x_domestica/?name=MDP0000884524","MDP0000884524")</f>
        <v>MDP0000884524</v>
      </c>
      <c r="D9905">
        <v>40.92</v>
      </c>
      <c r="E9905">
        <v>303</v>
      </c>
      <c r="F9905">
        <v>179</v>
      </c>
      <c r="G9905">
        <v>14</v>
      </c>
      <c r="H9905">
        <v>178</v>
      </c>
      <c r="I9905">
        <v>471</v>
      </c>
      <c r="J9905">
        <v>1</v>
      </c>
      <c r="K9905">
        <v>207</v>
      </c>
      <c r="L9905">
        <v>504</v>
      </c>
      <c r="M9905">
        <v>1</v>
      </c>
      <c r="N9905">
        <v>5.5711299999999999E-52</v>
      </c>
      <c r="O9905">
        <v>515</v>
      </c>
    </row>
    <row r="9906" spans="1:15" x14ac:dyDescent="0.25">
      <c r="A9906" t="s">
        <v>9919</v>
      </c>
      <c r="B9906">
        <v>181</v>
      </c>
      <c r="C9906" s="1" t="str">
        <f>HYPERLINK("http://www.rosaceae.org/gb/gbrowse/malus_x_domestica/?name=MDP0000757111","MDP0000757111")</f>
        <v>MDP0000757111</v>
      </c>
      <c r="D9906">
        <v>41.73</v>
      </c>
      <c r="E9906">
        <v>127</v>
      </c>
      <c r="F9906">
        <v>74</v>
      </c>
      <c r="G9906">
        <v>5</v>
      </c>
      <c r="H9906">
        <v>1</v>
      </c>
      <c r="I9906">
        <v>122</v>
      </c>
      <c r="J9906">
        <v>1</v>
      </c>
      <c r="K9906">
        <v>1</v>
      </c>
      <c r="L9906">
        <v>127</v>
      </c>
      <c r="M9906">
        <v>1</v>
      </c>
      <c r="N9906">
        <v>1.0037800000000001E-17</v>
      </c>
      <c r="O9906">
        <v>214</v>
      </c>
    </row>
    <row r="9907" spans="1:15" x14ac:dyDescent="0.25">
      <c r="A9907" t="s">
        <v>9920</v>
      </c>
      <c r="B9907">
        <v>373</v>
      </c>
      <c r="C9907" s="1" t="str">
        <f>HYPERLINK("http://www.rosaceae.org/gb/gbrowse/malus_x_domestica/?name=MDP0000149527","MDP0000149527")</f>
        <v>MDP0000149527</v>
      </c>
      <c r="D9907">
        <v>81.739999999999995</v>
      </c>
      <c r="E9907">
        <v>367</v>
      </c>
      <c r="F9907">
        <v>67</v>
      </c>
      <c r="G9907">
        <v>11</v>
      </c>
      <c r="H9907">
        <v>13</v>
      </c>
      <c r="I9907">
        <v>372</v>
      </c>
      <c r="J9907">
        <v>1</v>
      </c>
      <c r="K9907">
        <v>14</v>
      </c>
      <c r="L9907">
        <v>376</v>
      </c>
      <c r="M9907">
        <v>1</v>
      </c>
      <c r="N9907">
        <v>7.5037200000000001E-173</v>
      </c>
      <c r="O9907">
        <v>1556</v>
      </c>
    </row>
    <row r="9908" spans="1:15" x14ac:dyDescent="0.25">
      <c r="A9908" t="s">
        <v>9921</v>
      </c>
      <c r="B9908">
        <v>125</v>
      </c>
      <c r="C9908" s="1" t="str">
        <f>HYPERLINK("http://www.rosaceae.org/gb/gbrowse/malus_x_domestica/?name=MDP0000878764","MDP0000878764")</f>
        <v>MDP0000878764</v>
      </c>
      <c r="D9908">
        <v>46.21</v>
      </c>
      <c r="E9908">
        <v>119</v>
      </c>
      <c r="F9908">
        <v>64</v>
      </c>
      <c r="G9908">
        <v>3</v>
      </c>
      <c r="H9908">
        <v>7</v>
      </c>
      <c r="I9908">
        <v>124</v>
      </c>
      <c r="J9908">
        <v>1</v>
      </c>
      <c r="K9908">
        <v>3</v>
      </c>
      <c r="L9908">
        <v>119</v>
      </c>
      <c r="M9908">
        <v>1</v>
      </c>
      <c r="N9908">
        <v>8.2168899999999998E-23</v>
      </c>
      <c r="O9908">
        <v>254</v>
      </c>
    </row>
    <row r="9909" spans="1:15" x14ac:dyDescent="0.25">
      <c r="A9909" t="s">
        <v>9922</v>
      </c>
      <c r="B9909">
        <v>821</v>
      </c>
      <c r="C9909" s="1" t="str">
        <f>HYPERLINK("http://www.rosaceae.org/gb/gbrowse/malus_x_domestica/?name=MDP0000194425","MDP0000194425")</f>
        <v>MDP0000194425</v>
      </c>
      <c r="D9909">
        <v>78.45</v>
      </c>
      <c r="E9909">
        <v>427</v>
      </c>
      <c r="F9909">
        <v>92</v>
      </c>
      <c r="G9909">
        <v>51</v>
      </c>
      <c r="H9909">
        <v>405</v>
      </c>
      <c r="I9909">
        <v>821</v>
      </c>
      <c r="J9909">
        <v>1</v>
      </c>
      <c r="K9909">
        <v>4</v>
      </c>
      <c r="L9909">
        <v>389</v>
      </c>
      <c r="M9909">
        <v>1</v>
      </c>
      <c r="N9909">
        <v>0</v>
      </c>
      <c r="O9909">
        <v>1737</v>
      </c>
    </row>
    <row r="9910" spans="1:15" x14ac:dyDescent="0.25">
      <c r="A9910" t="s">
        <v>9923</v>
      </c>
      <c r="B9910">
        <v>347</v>
      </c>
      <c r="C9910" s="1" t="str">
        <f>HYPERLINK("http://www.rosaceae.org/gb/gbrowse/malus_x_domestica/?name=MDP0000185406","MDP0000185406")</f>
        <v>MDP0000185406</v>
      </c>
      <c r="D9910">
        <v>56.94</v>
      </c>
      <c r="E9910">
        <v>288</v>
      </c>
      <c r="F9910">
        <v>124</v>
      </c>
      <c r="G9910">
        <v>15</v>
      </c>
      <c r="H9910">
        <v>33</v>
      </c>
      <c r="I9910">
        <v>313</v>
      </c>
      <c r="J9910">
        <v>1</v>
      </c>
      <c r="K9910">
        <v>12</v>
      </c>
      <c r="L9910">
        <v>291</v>
      </c>
      <c r="M9910">
        <v>1</v>
      </c>
      <c r="N9910">
        <v>1.75561E-81</v>
      </c>
      <c r="O9910">
        <v>767</v>
      </c>
    </row>
    <row r="9911" spans="1:15" x14ac:dyDescent="0.25">
      <c r="A9911" t="s">
        <v>9924</v>
      </c>
      <c r="B9911">
        <v>484</v>
      </c>
      <c r="C9911" s="1" t="str">
        <f>HYPERLINK("http://www.rosaceae.org/gb/gbrowse/malus_x_domestica/?name=MDP0000225623","MDP0000225623")</f>
        <v>MDP0000225623</v>
      </c>
      <c r="D9911">
        <v>42.97</v>
      </c>
      <c r="E9911">
        <v>249</v>
      </c>
      <c r="F9911">
        <v>142</v>
      </c>
      <c r="G9911">
        <v>26</v>
      </c>
      <c r="H9911">
        <v>247</v>
      </c>
      <c r="I9911">
        <v>483</v>
      </c>
      <c r="J9911">
        <v>1</v>
      </c>
      <c r="K9911">
        <v>418</v>
      </c>
      <c r="L9911">
        <v>652</v>
      </c>
      <c r="M9911">
        <v>1</v>
      </c>
      <c r="N9911">
        <v>8.5285500000000001E-48</v>
      </c>
      <c r="O9911">
        <v>479</v>
      </c>
    </row>
    <row r="9912" spans="1:15" x14ac:dyDescent="0.25">
      <c r="A9912" t="s">
        <v>9925</v>
      </c>
      <c r="B9912">
        <v>106</v>
      </c>
      <c r="C9912" s="1" t="str">
        <f>HYPERLINK("http://www.rosaceae.org/gb/gbrowse/malus_x_domestica/?name=MDP0000553610","MDP0000553610")</f>
        <v>MDP0000553610</v>
      </c>
      <c r="D9912">
        <v>57.69</v>
      </c>
      <c r="E9912">
        <v>78</v>
      </c>
      <c r="F9912">
        <v>33</v>
      </c>
      <c r="G9912">
        <v>7</v>
      </c>
      <c r="H9912">
        <v>16</v>
      </c>
      <c r="I9912">
        <v>93</v>
      </c>
      <c r="J9912">
        <v>1</v>
      </c>
      <c r="K9912">
        <v>19</v>
      </c>
      <c r="L9912">
        <v>89</v>
      </c>
      <c r="M9912">
        <v>1</v>
      </c>
      <c r="N9912">
        <v>2.10414E-18</v>
      </c>
      <c r="O9912">
        <v>216</v>
      </c>
    </row>
    <row r="9913" spans="1:15" x14ac:dyDescent="0.25">
      <c r="A9913" t="s">
        <v>9926</v>
      </c>
      <c r="B9913">
        <v>926</v>
      </c>
      <c r="C9913" s="1" t="str">
        <f>HYPERLINK("http://www.rosaceae.org/gb/gbrowse/malus_x_domestica/?name=MDP0000242079","MDP0000242079")</f>
        <v>MDP0000242079</v>
      </c>
      <c r="D9913">
        <v>78.12</v>
      </c>
      <c r="E9913">
        <v>791</v>
      </c>
      <c r="F9913">
        <v>173</v>
      </c>
      <c r="G9913">
        <v>4</v>
      </c>
      <c r="H9913">
        <v>66</v>
      </c>
      <c r="I9913">
        <v>854</v>
      </c>
      <c r="J9913">
        <v>1</v>
      </c>
      <c r="K9913">
        <v>227</v>
      </c>
      <c r="L9913">
        <v>1015</v>
      </c>
      <c r="M9913">
        <v>1</v>
      </c>
      <c r="N9913">
        <v>0</v>
      </c>
      <c r="O9913">
        <v>3174</v>
      </c>
    </row>
    <row r="9914" spans="1:15" x14ac:dyDescent="0.25">
      <c r="A9914" t="s">
        <v>9927</v>
      </c>
      <c r="B9914">
        <v>729</v>
      </c>
      <c r="C9914" s="1" t="str">
        <f>HYPERLINK("http://www.rosaceae.org/gb/gbrowse/malus_x_domestica/?name=MDP0000232836","MDP0000232836")</f>
        <v>MDP0000232836</v>
      </c>
      <c r="D9914">
        <v>75.739999999999995</v>
      </c>
      <c r="E9914">
        <v>767</v>
      </c>
      <c r="F9914">
        <v>186</v>
      </c>
      <c r="G9914">
        <v>38</v>
      </c>
      <c r="H9914">
        <v>1</v>
      </c>
      <c r="I9914">
        <v>729</v>
      </c>
      <c r="J9914">
        <v>1</v>
      </c>
      <c r="K9914">
        <v>1</v>
      </c>
      <c r="L9914">
        <v>767</v>
      </c>
      <c r="M9914">
        <v>1</v>
      </c>
      <c r="N9914">
        <v>0</v>
      </c>
      <c r="O9914">
        <v>3165</v>
      </c>
    </row>
    <row r="9915" spans="1:15" x14ac:dyDescent="0.25">
      <c r="A9915" t="s">
        <v>9928</v>
      </c>
      <c r="B9915">
        <v>358</v>
      </c>
      <c r="C9915" s="1" t="str">
        <f>HYPERLINK("http://www.rosaceae.org/gb/gbrowse/malus_x_domestica/?name=MDP0000774306","MDP0000774306")</f>
        <v>MDP0000774306</v>
      </c>
      <c r="D9915">
        <v>46.76</v>
      </c>
      <c r="E9915">
        <v>340</v>
      </c>
      <c r="F9915">
        <v>181</v>
      </c>
      <c r="G9915">
        <v>7</v>
      </c>
      <c r="H9915">
        <v>1</v>
      </c>
      <c r="I9915">
        <v>337</v>
      </c>
      <c r="J9915">
        <v>1</v>
      </c>
      <c r="K9915">
        <v>1</v>
      </c>
      <c r="L9915">
        <v>336</v>
      </c>
      <c r="M9915">
        <v>1</v>
      </c>
      <c r="N9915">
        <v>1.2040600000000001E-69</v>
      </c>
      <c r="O9915">
        <v>665</v>
      </c>
    </row>
    <row r="9916" spans="1:15" x14ac:dyDescent="0.25">
      <c r="A9916" t="s">
        <v>9929</v>
      </c>
      <c r="B9916">
        <v>323</v>
      </c>
      <c r="C9916" s="1" t="str">
        <f>HYPERLINK("http://www.rosaceae.org/gb/gbrowse/malus_x_domestica/?name=MDP0000945042","MDP0000945042")</f>
        <v>MDP0000945042</v>
      </c>
      <c r="D9916">
        <v>84.51</v>
      </c>
      <c r="E9916">
        <v>297</v>
      </c>
      <c r="F9916">
        <v>46</v>
      </c>
      <c r="G9916">
        <v>0</v>
      </c>
      <c r="H9916">
        <v>25</v>
      </c>
      <c r="I9916">
        <v>321</v>
      </c>
      <c r="J9916">
        <v>1</v>
      </c>
      <c r="K9916">
        <v>87</v>
      </c>
      <c r="L9916">
        <v>383</v>
      </c>
      <c r="M9916">
        <v>1</v>
      </c>
      <c r="N9916">
        <v>1.7856700000000001E-153</v>
      </c>
      <c r="O9916">
        <v>1388</v>
      </c>
    </row>
    <row r="9917" spans="1:15" x14ac:dyDescent="0.25">
      <c r="A9917" t="s">
        <v>9930</v>
      </c>
      <c r="B9917">
        <v>505</v>
      </c>
      <c r="C9917" s="1" t="str">
        <f>HYPERLINK("http://www.rosaceae.org/gb/gbrowse/malus_x_domestica/?name=MDP0000177288","MDP0000177288")</f>
        <v>MDP0000177288</v>
      </c>
      <c r="D9917">
        <v>68.849999999999994</v>
      </c>
      <c r="E9917">
        <v>122</v>
      </c>
      <c r="F9917">
        <v>38</v>
      </c>
      <c r="G9917">
        <v>1</v>
      </c>
      <c r="H9917">
        <v>372</v>
      </c>
      <c r="I9917">
        <v>492</v>
      </c>
      <c r="J9917">
        <v>1</v>
      </c>
      <c r="K9917">
        <v>95</v>
      </c>
      <c r="L9917">
        <v>216</v>
      </c>
      <c r="M9917">
        <v>1</v>
      </c>
      <c r="N9917">
        <v>3.7601400000000002E-45</v>
      </c>
      <c r="O9917">
        <v>456</v>
      </c>
    </row>
    <row r="9918" spans="1:15" x14ac:dyDescent="0.25">
      <c r="A9918" t="s">
        <v>9931</v>
      </c>
      <c r="B9918">
        <v>627</v>
      </c>
      <c r="C9918" s="1" t="str">
        <f>HYPERLINK("http://www.rosaceae.org/gb/gbrowse/malus_x_domestica/?name=MDP0000298555","MDP0000298555")</f>
        <v>MDP0000298555</v>
      </c>
      <c r="D9918">
        <v>66.44</v>
      </c>
      <c r="E9918">
        <v>590</v>
      </c>
      <c r="F9918">
        <v>198</v>
      </c>
      <c r="G9918">
        <v>35</v>
      </c>
      <c r="H9918">
        <v>40</v>
      </c>
      <c r="I9918">
        <v>625</v>
      </c>
      <c r="J9918">
        <v>1</v>
      </c>
      <c r="K9918">
        <v>36</v>
      </c>
      <c r="L9918">
        <v>594</v>
      </c>
      <c r="M9918">
        <v>1</v>
      </c>
      <c r="N9918">
        <v>0</v>
      </c>
      <c r="O9918">
        <v>1931</v>
      </c>
    </row>
    <row r="9919" spans="1:15" x14ac:dyDescent="0.25">
      <c r="A9919" t="s">
        <v>9932</v>
      </c>
      <c r="B9919">
        <v>685</v>
      </c>
      <c r="C9919" s="1" t="str">
        <f>HYPERLINK("http://www.rosaceae.org/gb/gbrowse/malus_x_domestica/?name=MDP0000320276","MDP0000320276")</f>
        <v>MDP0000320276</v>
      </c>
      <c r="D9919">
        <v>66.05</v>
      </c>
      <c r="E9919">
        <v>713</v>
      </c>
      <c r="F9919">
        <v>242</v>
      </c>
      <c r="G9919">
        <v>37</v>
      </c>
      <c r="H9919">
        <v>1</v>
      </c>
      <c r="I9919">
        <v>681</v>
      </c>
      <c r="J9919">
        <v>1</v>
      </c>
      <c r="K9919">
        <v>1</v>
      </c>
      <c r="L9919">
        <v>708</v>
      </c>
      <c r="M9919">
        <v>1</v>
      </c>
      <c r="N9919">
        <v>0</v>
      </c>
      <c r="O9919">
        <v>2196</v>
      </c>
    </row>
    <row r="9920" spans="1:15" x14ac:dyDescent="0.25">
      <c r="A9920" t="s">
        <v>9933</v>
      </c>
      <c r="B9920">
        <v>1083</v>
      </c>
      <c r="C9920" s="1" t="str">
        <f>HYPERLINK("http://www.rosaceae.org/gb/gbrowse/malus_x_domestica/?name=MDP0000153100","MDP0000153100")</f>
        <v>MDP0000153100</v>
      </c>
      <c r="D9920">
        <v>89.24</v>
      </c>
      <c r="E9920">
        <v>530</v>
      </c>
      <c r="F9920">
        <v>57</v>
      </c>
      <c r="G9920">
        <v>10</v>
      </c>
      <c r="H9920">
        <v>1</v>
      </c>
      <c r="I9920">
        <v>523</v>
      </c>
      <c r="J9920">
        <v>1</v>
      </c>
      <c r="K9920">
        <v>1</v>
      </c>
      <c r="L9920">
        <v>527</v>
      </c>
      <c r="M9920">
        <v>1</v>
      </c>
      <c r="N9920">
        <v>0</v>
      </c>
      <c r="O9920">
        <v>2512</v>
      </c>
    </row>
    <row r="9921" spans="1:15" x14ac:dyDescent="0.25">
      <c r="A9921" t="s">
        <v>9934</v>
      </c>
      <c r="B9921">
        <v>146</v>
      </c>
      <c r="C9921" s="1" t="str">
        <f>HYPERLINK("http://www.rosaceae.org/gb/gbrowse/malus_x_domestica/?name=MDP0000862532","MDP0000862532")</f>
        <v>MDP0000862532</v>
      </c>
      <c r="D9921">
        <v>50.68</v>
      </c>
      <c r="E9921">
        <v>146</v>
      </c>
      <c r="F9921">
        <v>72</v>
      </c>
      <c r="G9921">
        <v>21</v>
      </c>
      <c r="H9921">
        <v>1</v>
      </c>
      <c r="I9921">
        <v>146</v>
      </c>
      <c r="J9921">
        <v>1</v>
      </c>
      <c r="K9921">
        <v>527</v>
      </c>
      <c r="L9921">
        <v>651</v>
      </c>
      <c r="M9921">
        <v>1</v>
      </c>
      <c r="N9921">
        <v>2.5000899999999998E-30</v>
      </c>
      <c r="O9921">
        <v>321</v>
      </c>
    </row>
    <row r="9922" spans="1:15" x14ac:dyDescent="0.25">
      <c r="A9922" t="s">
        <v>9935</v>
      </c>
      <c r="B9922">
        <v>789</v>
      </c>
      <c r="C9922" s="1" t="str">
        <f>HYPERLINK("http://www.rosaceae.org/gb/gbrowse/malus_x_domestica/?name=MDP0000556339","MDP0000556339")</f>
        <v>MDP0000556339</v>
      </c>
      <c r="D9922">
        <v>87.17</v>
      </c>
      <c r="E9922">
        <v>647</v>
      </c>
      <c r="F9922">
        <v>83</v>
      </c>
      <c r="G9922">
        <v>0</v>
      </c>
      <c r="H9922">
        <v>143</v>
      </c>
      <c r="I9922">
        <v>789</v>
      </c>
      <c r="J9922">
        <v>1</v>
      </c>
      <c r="K9922">
        <v>13</v>
      </c>
      <c r="L9922">
        <v>659</v>
      </c>
      <c r="M9922">
        <v>1</v>
      </c>
      <c r="N9922">
        <v>0</v>
      </c>
      <c r="O9922">
        <v>3018</v>
      </c>
    </row>
    <row r="9923" spans="1:15" x14ac:dyDescent="0.25">
      <c r="A9923" t="s">
        <v>9936</v>
      </c>
      <c r="B9923">
        <v>114</v>
      </c>
      <c r="C9923" s="1" t="str">
        <f>HYPERLINK("http://www.rosaceae.org/gb/gbrowse/malus_x_domestica/?name=MDP0000322089","MDP0000322089")</f>
        <v>MDP0000322089</v>
      </c>
      <c r="D9923">
        <v>35.950000000000003</v>
      </c>
      <c r="E9923">
        <v>89</v>
      </c>
      <c r="F9923">
        <v>57</v>
      </c>
      <c r="G9923">
        <v>0</v>
      </c>
      <c r="H9923">
        <v>26</v>
      </c>
      <c r="I9923">
        <v>114</v>
      </c>
      <c r="J9923">
        <v>1</v>
      </c>
      <c r="K9923">
        <v>797</v>
      </c>
      <c r="L9923">
        <v>885</v>
      </c>
      <c r="M9923">
        <v>1</v>
      </c>
      <c r="N9923">
        <v>1.27823E-9</v>
      </c>
      <c r="O9923">
        <v>140</v>
      </c>
    </row>
    <row r="9924" spans="1:15" x14ac:dyDescent="0.25">
      <c r="A9924" t="s">
        <v>9937</v>
      </c>
      <c r="B9924">
        <v>266</v>
      </c>
      <c r="C9924" s="1" t="str">
        <f>HYPERLINK("http://www.rosaceae.org/gb/gbrowse/malus_x_domestica/?name=MDP0000774306","MDP0000774306")</f>
        <v>MDP0000774306</v>
      </c>
      <c r="D9924">
        <v>40.299999999999997</v>
      </c>
      <c r="E9924">
        <v>263</v>
      </c>
      <c r="F9924">
        <v>157</v>
      </c>
      <c r="G9924">
        <v>18</v>
      </c>
      <c r="H9924">
        <v>12</v>
      </c>
      <c r="I9924">
        <v>266</v>
      </c>
      <c r="J9924">
        <v>1</v>
      </c>
      <c r="K9924">
        <v>1</v>
      </c>
      <c r="L9924">
        <v>253</v>
      </c>
      <c r="M9924">
        <v>1</v>
      </c>
      <c r="N9924">
        <v>7.1410399999999999E-41</v>
      </c>
      <c r="O9924">
        <v>416</v>
      </c>
    </row>
    <row r="9925" spans="1:15" x14ac:dyDescent="0.25">
      <c r="A9925" t="s">
        <v>9938</v>
      </c>
      <c r="B9925">
        <v>723</v>
      </c>
      <c r="C9925" s="1" t="str">
        <f>HYPERLINK("http://www.rosaceae.org/gb/gbrowse/malus_x_domestica/?name=MDP0000262973","MDP0000262973")</f>
        <v>MDP0000262973</v>
      </c>
      <c r="D9925">
        <v>68.16</v>
      </c>
      <c r="E9925">
        <v>600</v>
      </c>
      <c r="F9925">
        <v>191</v>
      </c>
      <c r="G9925">
        <v>37</v>
      </c>
      <c r="H9925">
        <v>149</v>
      </c>
      <c r="I9925">
        <v>716</v>
      </c>
      <c r="J9925">
        <v>1</v>
      </c>
      <c r="K9925">
        <v>5</v>
      </c>
      <c r="L9925">
        <v>599</v>
      </c>
      <c r="M9925">
        <v>1</v>
      </c>
      <c r="N9925">
        <v>0</v>
      </c>
      <c r="O9925">
        <v>2008</v>
      </c>
    </row>
    <row r="9926" spans="1:15" x14ac:dyDescent="0.25">
      <c r="A9926" t="s">
        <v>9939</v>
      </c>
      <c r="B9926">
        <v>610</v>
      </c>
      <c r="C9926" s="1" t="str">
        <f>HYPERLINK("http://www.rosaceae.org/gb/gbrowse/malus_x_domestica/?name=MDP0000658202","MDP0000658202")</f>
        <v>MDP0000658202</v>
      </c>
      <c r="D9926">
        <v>61.43</v>
      </c>
      <c r="E9926">
        <v>503</v>
      </c>
      <c r="F9926">
        <v>194</v>
      </c>
      <c r="G9926">
        <v>28</v>
      </c>
      <c r="H9926">
        <v>1</v>
      </c>
      <c r="I9926">
        <v>495</v>
      </c>
      <c r="J9926">
        <v>1</v>
      </c>
      <c r="K9926">
        <v>1</v>
      </c>
      <c r="L9926">
        <v>483</v>
      </c>
      <c r="M9926">
        <v>1</v>
      </c>
      <c r="N9926">
        <v>1.1523800000000001E-165</v>
      </c>
      <c r="O9926">
        <v>1496</v>
      </c>
    </row>
    <row r="9927" spans="1:15" x14ac:dyDescent="0.25">
      <c r="A9927" t="s">
        <v>9940</v>
      </c>
      <c r="B9927">
        <v>597</v>
      </c>
      <c r="C9927" s="1" t="str">
        <f>HYPERLINK("http://www.rosaceae.org/gb/gbrowse/malus_x_domestica/?name=MDP0000288670","MDP0000288670")</f>
        <v>MDP0000288670</v>
      </c>
      <c r="D9927">
        <v>49.19</v>
      </c>
      <c r="E9927">
        <v>624</v>
      </c>
      <c r="F9927">
        <v>317</v>
      </c>
      <c r="G9927">
        <v>76</v>
      </c>
      <c r="H9927">
        <v>4</v>
      </c>
      <c r="I9927">
        <v>595</v>
      </c>
      <c r="J9927">
        <v>1</v>
      </c>
      <c r="K9927">
        <v>6</v>
      </c>
      <c r="L9927">
        <v>585</v>
      </c>
      <c r="M9927">
        <v>1</v>
      </c>
      <c r="N9927">
        <v>6.0195700000000003E-128</v>
      </c>
      <c r="O9927">
        <v>1171</v>
      </c>
    </row>
    <row r="9928" spans="1:15" x14ac:dyDescent="0.25">
      <c r="A9928" t="s">
        <v>9941</v>
      </c>
      <c r="B9928">
        <v>1028</v>
      </c>
      <c r="C9928" s="1" t="str">
        <f>HYPERLINK("http://www.rosaceae.org/gb/gbrowse/malus_x_domestica/?name=MDP0000297746","MDP0000297746")</f>
        <v>MDP0000297746</v>
      </c>
      <c r="D9928">
        <v>91.96</v>
      </c>
      <c r="E9928">
        <v>1021</v>
      </c>
      <c r="F9928">
        <v>82</v>
      </c>
      <c r="G9928">
        <v>2</v>
      </c>
      <c r="H9928">
        <v>8</v>
      </c>
      <c r="I9928">
        <v>1028</v>
      </c>
      <c r="J9928">
        <v>1</v>
      </c>
      <c r="K9928">
        <v>492</v>
      </c>
      <c r="L9928">
        <v>1510</v>
      </c>
      <c r="M9928">
        <v>1</v>
      </c>
      <c r="N9928">
        <v>0</v>
      </c>
      <c r="O9928">
        <v>5139</v>
      </c>
    </row>
    <row r="9929" spans="1:15" x14ac:dyDescent="0.25">
      <c r="A9929" t="s">
        <v>9942</v>
      </c>
      <c r="B9929">
        <v>620</v>
      </c>
      <c r="C9929" s="1" t="str">
        <f>HYPERLINK("http://www.rosaceae.org/gb/gbrowse/malus_x_domestica/?name=MDP0000935996","MDP0000935996")</f>
        <v>MDP0000935996</v>
      </c>
      <c r="D9929">
        <v>65.45</v>
      </c>
      <c r="E9929">
        <v>634</v>
      </c>
      <c r="F9929">
        <v>219</v>
      </c>
      <c r="G9929">
        <v>78</v>
      </c>
      <c r="H9929">
        <v>1</v>
      </c>
      <c r="I9929">
        <v>619</v>
      </c>
      <c r="J9929">
        <v>1</v>
      </c>
      <c r="K9929">
        <v>1</v>
      </c>
      <c r="L9929">
        <v>571</v>
      </c>
      <c r="M9929">
        <v>1</v>
      </c>
      <c r="N9929">
        <v>0</v>
      </c>
      <c r="O9929">
        <v>1957</v>
      </c>
    </row>
    <row r="9930" spans="1:15" x14ac:dyDescent="0.25">
      <c r="A9930" t="s">
        <v>9943</v>
      </c>
      <c r="B9930">
        <v>4143</v>
      </c>
      <c r="C9930" s="1" t="str">
        <f>HYPERLINK("http://www.rosaceae.org/gb/gbrowse/malus_x_domestica/?name=MDP0000261713","MDP0000261713")</f>
        <v>MDP0000261713</v>
      </c>
      <c r="D9930">
        <v>35.17</v>
      </c>
      <c r="E9930">
        <v>1197</v>
      </c>
      <c r="F9930">
        <v>776</v>
      </c>
      <c r="G9930">
        <v>164</v>
      </c>
      <c r="H9930">
        <v>1155</v>
      </c>
      <c r="I9930">
        <v>2256</v>
      </c>
      <c r="J9930">
        <v>1</v>
      </c>
      <c r="K9930">
        <v>2309</v>
      </c>
      <c r="L9930">
        <v>3436</v>
      </c>
      <c r="M9930">
        <v>1</v>
      </c>
      <c r="N9930">
        <v>7.3134299999999995E-109</v>
      </c>
      <c r="O9930">
        <v>1014</v>
      </c>
    </row>
    <row r="9931" spans="1:15" x14ac:dyDescent="0.25">
      <c r="A9931" t="s">
        <v>9944</v>
      </c>
      <c r="B9931">
        <v>124</v>
      </c>
      <c r="C9931" s="1" t="str">
        <f>HYPERLINK("http://www.rosaceae.org/gb/gbrowse/malus_x_domestica/?name=MDP0000177956","MDP0000177956")</f>
        <v>MDP0000177956</v>
      </c>
      <c r="D9931">
        <v>69.02</v>
      </c>
      <c r="E9931">
        <v>113</v>
      </c>
      <c r="F9931">
        <v>35</v>
      </c>
      <c r="G9931">
        <v>0</v>
      </c>
      <c r="H9931">
        <v>12</v>
      </c>
      <c r="I9931">
        <v>124</v>
      </c>
      <c r="J9931">
        <v>1</v>
      </c>
      <c r="K9931">
        <v>28</v>
      </c>
      <c r="L9931">
        <v>140</v>
      </c>
      <c r="M9931">
        <v>1</v>
      </c>
      <c r="N9931">
        <v>1.25614E-38</v>
      </c>
      <c r="O9931">
        <v>391</v>
      </c>
    </row>
    <row r="9932" spans="1:15" x14ac:dyDescent="0.25">
      <c r="A9932" t="s">
        <v>9945</v>
      </c>
      <c r="B9932">
        <v>563</v>
      </c>
      <c r="C9932" s="1" t="str">
        <f>HYPERLINK("http://www.rosaceae.org/gb/gbrowse/malus_x_domestica/?name=MDP0000459932","MDP0000459932")</f>
        <v>MDP0000459932</v>
      </c>
      <c r="D9932">
        <v>67.099999999999994</v>
      </c>
      <c r="E9932">
        <v>152</v>
      </c>
      <c r="F9932">
        <v>50</v>
      </c>
      <c r="G9932">
        <v>0</v>
      </c>
      <c r="H9932">
        <v>409</v>
      </c>
      <c r="I9932">
        <v>560</v>
      </c>
      <c r="J9932">
        <v>1</v>
      </c>
      <c r="K9932">
        <v>252</v>
      </c>
      <c r="L9932">
        <v>403</v>
      </c>
      <c r="M9932">
        <v>1</v>
      </c>
      <c r="N9932">
        <v>1.40724E-57</v>
      </c>
      <c r="O9932">
        <v>564</v>
      </c>
    </row>
    <row r="9933" spans="1:15" x14ac:dyDescent="0.25">
      <c r="A9933" t="s">
        <v>9946</v>
      </c>
      <c r="B9933">
        <v>1048</v>
      </c>
      <c r="C9933" s="1" t="str">
        <f>HYPERLINK("http://www.rosaceae.org/gb/gbrowse/malus_x_domestica/?name=MDP0000287519","MDP0000287519")</f>
        <v>MDP0000287519</v>
      </c>
      <c r="D9933">
        <v>48.97</v>
      </c>
      <c r="E9933">
        <v>243</v>
      </c>
      <c r="F9933">
        <v>124</v>
      </c>
      <c r="G9933">
        <v>11</v>
      </c>
      <c r="H9933">
        <v>808</v>
      </c>
      <c r="I9933">
        <v>1040</v>
      </c>
      <c r="J9933">
        <v>1</v>
      </c>
      <c r="K9933">
        <v>461</v>
      </c>
      <c r="L9933">
        <v>702</v>
      </c>
      <c r="M9933">
        <v>1</v>
      </c>
      <c r="N9933">
        <v>6.7521199999999995E-63</v>
      </c>
      <c r="O9933">
        <v>612</v>
      </c>
    </row>
    <row r="9934" spans="1:15" x14ac:dyDescent="0.25">
      <c r="A9934" t="s">
        <v>9947</v>
      </c>
      <c r="B9934">
        <v>519</v>
      </c>
      <c r="C9934" s="1" t="str">
        <f>HYPERLINK("http://www.rosaceae.org/gb/gbrowse/malus_x_domestica/?name=MDP0000505556","MDP0000505556")</f>
        <v>MDP0000505556</v>
      </c>
      <c r="D9934">
        <v>67.69</v>
      </c>
      <c r="E9934">
        <v>520</v>
      </c>
      <c r="F9934">
        <v>168</v>
      </c>
      <c r="G9934">
        <v>9</v>
      </c>
      <c r="H9934">
        <v>1</v>
      </c>
      <c r="I9934">
        <v>519</v>
      </c>
      <c r="J9934">
        <v>1</v>
      </c>
      <c r="K9934">
        <v>1</v>
      </c>
      <c r="L9934">
        <v>512</v>
      </c>
      <c r="M9934">
        <v>1</v>
      </c>
      <c r="N9934">
        <v>0</v>
      </c>
      <c r="O9934">
        <v>1837</v>
      </c>
    </row>
    <row r="9935" spans="1:15" x14ac:dyDescent="0.25">
      <c r="A9935" t="s">
        <v>9948</v>
      </c>
      <c r="B9935">
        <v>157</v>
      </c>
      <c r="C9935" s="1" t="str">
        <f>HYPERLINK("http://www.rosaceae.org/gb/gbrowse/malus_x_domestica/?name=MDP0000255437","MDP0000255437")</f>
        <v>MDP0000255437</v>
      </c>
      <c r="D9935">
        <v>80.95</v>
      </c>
      <c r="E9935">
        <v>168</v>
      </c>
      <c r="F9935">
        <v>32</v>
      </c>
      <c r="G9935">
        <v>12</v>
      </c>
      <c r="H9935">
        <v>2</v>
      </c>
      <c r="I9935">
        <v>157</v>
      </c>
      <c r="J9935">
        <v>1</v>
      </c>
      <c r="K9935">
        <v>5</v>
      </c>
      <c r="L9935">
        <v>172</v>
      </c>
      <c r="M9935">
        <v>1</v>
      </c>
      <c r="N9935">
        <v>4.0931899999999999E-75</v>
      </c>
      <c r="O9935">
        <v>708</v>
      </c>
    </row>
    <row r="9936" spans="1:15" x14ac:dyDescent="0.25">
      <c r="A9936" t="s">
        <v>9949</v>
      </c>
      <c r="B9936">
        <v>330</v>
      </c>
      <c r="C9936" s="1" t="str">
        <f>HYPERLINK("http://www.rosaceae.org/gb/gbrowse/malus_x_domestica/?name=MDP0000251031","MDP0000251031")</f>
        <v>MDP0000251031</v>
      </c>
      <c r="D9936">
        <v>88.6</v>
      </c>
      <c r="E9936">
        <v>237</v>
      </c>
      <c r="F9936">
        <v>27</v>
      </c>
      <c r="G9936">
        <v>0</v>
      </c>
      <c r="H9936">
        <v>94</v>
      </c>
      <c r="I9936">
        <v>330</v>
      </c>
      <c r="J9936">
        <v>1</v>
      </c>
      <c r="K9936">
        <v>280</v>
      </c>
      <c r="L9936">
        <v>516</v>
      </c>
      <c r="M9936">
        <v>1</v>
      </c>
      <c r="N9936">
        <v>2.4907099999999999E-121</v>
      </c>
      <c r="O9936">
        <v>1111</v>
      </c>
    </row>
    <row r="9937" spans="1:15" x14ac:dyDescent="0.25">
      <c r="A9937" t="s">
        <v>9950</v>
      </c>
      <c r="B9937">
        <v>409</v>
      </c>
      <c r="C9937" s="1" t="str">
        <f>HYPERLINK("http://www.rosaceae.org/gb/gbrowse/malus_x_domestica/?name=MDP0000341930","MDP0000341930")</f>
        <v>MDP0000341930</v>
      </c>
      <c r="D9937">
        <v>76.709999999999994</v>
      </c>
      <c r="E9937">
        <v>408</v>
      </c>
      <c r="F9937">
        <v>95</v>
      </c>
      <c r="G9937">
        <v>31</v>
      </c>
      <c r="H9937">
        <v>1</v>
      </c>
      <c r="I9937">
        <v>408</v>
      </c>
      <c r="J9937">
        <v>1</v>
      </c>
      <c r="K9937">
        <v>23</v>
      </c>
      <c r="L9937">
        <v>399</v>
      </c>
      <c r="M9937">
        <v>1</v>
      </c>
      <c r="N9937">
        <v>1.4395999999999999E-177</v>
      </c>
      <c r="O9937">
        <v>1597</v>
      </c>
    </row>
    <row r="9938" spans="1:15" x14ac:dyDescent="0.25">
      <c r="A9938" t="s">
        <v>9951</v>
      </c>
      <c r="B9938">
        <v>263</v>
      </c>
      <c r="C9938" s="1" t="str">
        <f>HYPERLINK("http://www.rosaceae.org/gb/gbrowse/malus_x_domestica/?name=MDP0000215301","MDP0000215301")</f>
        <v>MDP0000215301</v>
      </c>
      <c r="D9938">
        <v>70.58</v>
      </c>
      <c r="E9938">
        <v>272</v>
      </c>
      <c r="F9938">
        <v>80</v>
      </c>
      <c r="G9938">
        <v>11</v>
      </c>
      <c r="H9938">
        <v>1</v>
      </c>
      <c r="I9938">
        <v>263</v>
      </c>
      <c r="J9938">
        <v>1</v>
      </c>
      <c r="K9938">
        <v>1</v>
      </c>
      <c r="L9938">
        <v>270</v>
      </c>
      <c r="M9938">
        <v>1</v>
      </c>
      <c r="N9938">
        <v>1.9256E-100</v>
      </c>
      <c r="O9938">
        <v>929</v>
      </c>
    </row>
    <row r="9939" spans="1:15" x14ac:dyDescent="0.25">
      <c r="A9939" t="s">
        <v>9952</v>
      </c>
      <c r="B9939">
        <v>355</v>
      </c>
      <c r="C9939" s="1" t="str">
        <f>HYPERLINK("http://www.rosaceae.org/gb/gbrowse/malus_x_domestica/?name=MDP0000146360","MDP0000146360")</f>
        <v>MDP0000146360</v>
      </c>
      <c r="D9939">
        <v>68.34</v>
      </c>
      <c r="E9939">
        <v>357</v>
      </c>
      <c r="F9939">
        <v>113</v>
      </c>
      <c r="G9939">
        <v>9</v>
      </c>
      <c r="H9939">
        <v>1</v>
      </c>
      <c r="I9939">
        <v>355</v>
      </c>
      <c r="J9939">
        <v>1</v>
      </c>
      <c r="K9939">
        <v>1</v>
      </c>
      <c r="L9939">
        <v>350</v>
      </c>
      <c r="M9939">
        <v>1</v>
      </c>
      <c r="N9939">
        <v>2.9024600000000001E-130</v>
      </c>
      <c r="O9939">
        <v>1188</v>
      </c>
    </row>
    <row r="9940" spans="1:15" x14ac:dyDescent="0.25">
      <c r="A9940" t="s">
        <v>9953</v>
      </c>
      <c r="B9940">
        <v>436</v>
      </c>
      <c r="C9940" s="1" t="str">
        <f>HYPERLINK("http://www.rosaceae.org/gb/gbrowse/malus_x_domestica/?name=MDP0000303536","MDP0000303536")</f>
        <v>MDP0000303536</v>
      </c>
      <c r="D9940">
        <v>57.39</v>
      </c>
      <c r="E9940">
        <v>169</v>
      </c>
      <c r="F9940">
        <v>72</v>
      </c>
      <c r="G9940">
        <v>12</v>
      </c>
      <c r="H9940">
        <v>267</v>
      </c>
      <c r="I9940">
        <v>433</v>
      </c>
      <c r="J9940">
        <v>1</v>
      </c>
      <c r="K9940">
        <v>332</v>
      </c>
      <c r="L9940">
        <v>490</v>
      </c>
      <c r="M9940">
        <v>1</v>
      </c>
      <c r="N9940">
        <v>7.5628000000000002E-45</v>
      </c>
      <c r="O9940">
        <v>453</v>
      </c>
    </row>
    <row r="9941" spans="1:15" x14ac:dyDescent="0.25">
      <c r="A9941" t="s">
        <v>9954</v>
      </c>
      <c r="B9941">
        <v>289</v>
      </c>
      <c r="C9941" s="1" t="str">
        <f>HYPERLINK("http://www.rosaceae.org/gb/gbrowse/malus_x_domestica/?name=MDP0000325742","MDP0000325742")</f>
        <v>MDP0000325742</v>
      </c>
      <c r="D9941">
        <v>88.88</v>
      </c>
      <c r="E9941">
        <v>45</v>
      </c>
      <c r="F9941">
        <v>5</v>
      </c>
      <c r="G9941">
        <v>0</v>
      </c>
      <c r="H9941">
        <v>126</v>
      </c>
      <c r="I9941">
        <v>170</v>
      </c>
      <c r="J9941">
        <v>1</v>
      </c>
      <c r="K9941">
        <v>141</v>
      </c>
      <c r="L9941">
        <v>185</v>
      </c>
      <c r="M9941">
        <v>1</v>
      </c>
      <c r="N9941">
        <v>1.68089E-15</v>
      </c>
      <c r="O9941">
        <v>197</v>
      </c>
    </row>
    <row r="9942" spans="1:15" x14ac:dyDescent="0.25">
      <c r="A9942" t="s">
        <v>9955</v>
      </c>
      <c r="B9942">
        <v>126</v>
      </c>
      <c r="C9942" s="1" t="str">
        <f>HYPERLINK("http://www.rosaceae.org/gb/gbrowse/malus_x_domestica/?name=MDP0000451570","MDP0000451570")</f>
        <v>MDP0000451570</v>
      </c>
      <c r="D9942">
        <v>41</v>
      </c>
      <c r="E9942">
        <v>100</v>
      </c>
      <c r="F9942">
        <v>59</v>
      </c>
      <c r="G9942">
        <v>2</v>
      </c>
      <c r="H9942">
        <v>23</v>
      </c>
      <c r="I9942">
        <v>122</v>
      </c>
      <c r="J9942">
        <v>1</v>
      </c>
      <c r="K9942">
        <v>989</v>
      </c>
      <c r="L9942">
        <v>1086</v>
      </c>
      <c r="M9942">
        <v>1</v>
      </c>
      <c r="N9942">
        <v>7.6000900000000004E-18</v>
      </c>
      <c r="O9942">
        <v>212</v>
      </c>
    </row>
    <row r="9943" spans="1:15" x14ac:dyDescent="0.25">
      <c r="A9943" t="s">
        <v>9956</v>
      </c>
      <c r="B9943">
        <v>159</v>
      </c>
      <c r="C9943" s="1" t="str">
        <f>HYPERLINK("http://www.rosaceae.org/gb/gbrowse/malus_x_domestica/?name=MDP0000167676","MDP0000167676")</f>
        <v>MDP0000167676</v>
      </c>
      <c r="D9943">
        <v>51.42</v>
      </c>
      <c r="E9943">
        <v>140</v>
      </c>
      <c r="F9943">
        <v>68</v>
      </c>
      <c r="G9943">
        <v>13</v>
      </c>
      <c r="H9943">
        <v>28</v>
      </c>
      <c r="I9943">
        <v>155</v>
      </c>
      <c r="J9943">
        <v>1</v>
      </c>
      <c r="K9943">
        <v>32</v>
      </c>
      <c r="L9943">
        <v>170</v>
      </c>
      <c r="M9943">
        <v>1</v>
      </c>
      <c r="N9943">
        <v>6.0250399999999998E-31</v>
      </c>
      <c r="O9943">
        <v>327</v>
      </c>
    </row>
    <row r="9944" spans="1:15" x14ac:dyDescent="0.25">
      <c r="A9944" t="s">
        <v>9957</v>
      </c>
      <c r="B9944">
        <v>513</v>
      </c>
      <c r="C9944" s="1" t="str">
        <f>HYPERLINK("http://www.rosaceae.org/gb/gbrowse/malus_x_domestica/?name=MDP0000316485","MDP0000316485")</f>
        <v>MDP0000316485</v>
      </c>
      <c r="D9944">
        <v>63.86</v>
      </c>
      <c r="E9944">
        <v>512</v>
      </c>
      <c r="F9944">
        <v>185</v>
      </c>
      <c r="G9944">
        <v>4</v>
      </c>
      <c r="H9944">
        <v>1</v>
      </c>
      <c r="I9944">
        <v>512</v>
      </c>
      <c r="J9944">
        <v>1</v>
      </c>
      <c r="K9944">
        <v>1</v>
      </c>
      <c r="L9944">
        <v>508</v>
      </c>
      <c r="M9944">
        <v>1</v>
      </c>
      <c r="N9944">
        <v>0</v>
      </c>
      <c r="O9944">
        <v>1722</v>
      </c>
    </row>
    <row r="9945" spans="1:15" x14ac:dyDescent="0.25">
      <c r="A9945" t="s">
        <v>9958</v>
      </c>
      <c r="B9945">
        <v>287</v>
      </c>
      <c r="C9945" s="1" t="str">
        <f>HYPERLINK("http://www.rosaceae.org/gb/gbrowse/malus_x_domestica/?name=MDP0000811085","MDP0000811085")</f>
        <v>MDP0000811085</v>
      </c>
      <c r="D9945">
        <v>44.77</v>
      </c>
      <c r="E9945">
        <v>306</v>
      </c>
      <c r="F9945">
        <v>169</v>
      </c>
      <c r="G9945">
        <v>30</v>
      </c>
      <c r="H9945">
        <v>2</v>
      </c>
      <c r="I9945">
        <v>286</v>
      </c>
      <c r="J9945">
        <v>1</v>
      </c>
      <c r="K9945">
        <v>116</v>
      </c>
      <c r="L9945">
        <v>412</v>
      </c>
      <c r="M9945">
        <v>1</v>
      </c>
      <c r="N9945">
        <v>1.01954E-62</v>
      </c>
      <c r="O9945">
        <v>605</v>
      </c>
    </row>
    <row r="9946" spans="1:15" x14ac:dyDescent="0.25">
      <c r="A9946" t="s">
        <v>9959</v>
      </c>
      <c r="B9946">
        <v>416</v>
      </c>
      <c r="C9946" s="1" t="str">
        <f>HYPERLINK("http://www.rosaceae.org/gb/gbrowse/malus_x_domestica/?name=MDP0000511046","MDP0000511046")</f>
        <v>MDP0000511046</v>
      </c>
      <c r="D9946">
        <v>68.569999999999993</v>
      </c>
      <c r="E9946">
        <v>420</v>
      </c>
      <c r="F9946">
        <v>132</v>
      </c>
      <c r="G9946">
        <v>12</v>
      </c>
      <c r="H9946">
        <v>1</v>
      </c>
      <c r="I9946">
        <v>416</v>
      </c>
      <c r="J9946">
        <v>1</v>
      </c>
      <c r="K9946">
        <v>1</v>
      </c>
      <c r="L9946">
        <v>412</v>
      </c>
      <c r="M9946">
        <v>1</v>
      </c>
      <c r="N9946">
        <v>5.0989600000000004E-153</v>
      </c>
      <c r="O9946">
        <v>1385</v>
      </c>
    </row>
    <row r="9947" spans="1:15" x14ac:dyDescent="0.25">
      <c r="A9947" t="s">
        <v>9960</v>
      </c>
      <c r="B9947">
        <v>612</v>
      </c>
      <c r="C9947" s="1" t="str">
        <f>HYPERLINK("http://www.rosaceae.org/gb/gbrowse/malus_x_domestica/?name=MDP0000726747","MDP0000726747")</f>
        <v>MDP0000726747</v>
      </c>
      <c r="D9947">
        <v>72.099999999999994</v>
      </c>
      <c r="E9947">
        <v>638</v>
      </c>
      <c r="F9947">
        <v>178</v>
      </c>
      <c r="G9947">
        <v>43</v>
      </c>
      <c r="H9947">
        <v>1</v>
      </c>
      <c r="I9947">
        <v>604</v>
      </c>
      <c r="J9947">
        <v>1</v>
      </c>
      <c r="K9947">
        <v>1</v>
      </c>
      <c r="L9947">
        <v>629</v>
      </c>
      <c r="M9947">
        <v>1</v>
      </c>
      <c r="N9947">
        <v>0</v>
      </c>
      <c r="O9947">
        <v>2395</v>
      </c>
    </row>
    <row r="9948" spans="1:15" x14ac:dyDescent="0.25">
      <c r="A9948" t="s">
        <v>9961</v>
      </c>
      <c r="B9948">
        <v>163</v>
      </c>
      <c r="C9948" s="1" t="str">
        <f>HYPERLINK("http://www.rosaceae.org/gb/gbrowse/malus_x_domestica/?name=MDP0000656794","MDP0000656794")</f>
        <v>MDP0000656794</v>
      </c>
      <c r="D9948">
        <v>80.349999999999994</v>
      </c>
      <c r="E9948">
        <v>168</v>
      </c>
      <c r="F9948">
        <v>33</v>
      </c>
      <c r="G9948">
        <v>6</v>
      </c>
      <c r="H9948">
        <v>1</v>
      </c>
      <c r="I9948">
        <v>162</v>
      </c>
      <c r="J9948">
        <v>1</v>
      </c>
      <c r="K9948">
        <v>51</v>
      </c>
      <c r="L9948">
        <v>218</v>
      </c>
      <c r="M9948">
        <v>1</v>
      </c>
      <c r="N9948">
        <v>2.1905099999999999E-75</v>
      </c>
      <c r="O9948">
        <v>710</v>
      </c>
    </row>
    <row r="9949" spans="1:15" x14ac:dyDescent="0.25">
      <c r="A9949" t="s">
        <v>9962</v>
      </c>
      <c r="B9949">
        <v>488</v>
      </c>
      <c r="C9949" s="1" t="str">
        <f>HYPERLINK("http://www.rosaceae.org/gb/gbrowse/malus_x_domestica/?name=MDP0000158077","MDP0000158077")</f>
        <v>MDP0000158077</v>
      </c>
      <c r="D9949">
        <v>85.83</v>
      </c>
      <c r="E9949">
        <v>487</v>
      </c>
      <c r="F9949">
        <v>69</v>
      </c>
      <c r="G9949">
        <v>1</v>
      </c>
      <c r="H9949">
        <v>1</v>
      </c>
      <c r="I9949">
        <v>486</v>
      </c>
      <c r="J9949">
        <v>1</v>
      </c>
      <c r="K9949">
        <v>177</v>
      </c>
      <c r="L9949">
        <v>663</v>
      </c>
      <c r="M9949">
        <v>1</v>
      </c>
      <c r="N9949">
        <v>0</v>
      </c>
      <c r="O9949">
        <v>2261</v>
      </c>
    </row>
    <row r="9950" spans="1:15" x14ac:dyDescent="0.25">
      <c r="A9950" t="s">
        <v>9963</v>
      </c>
      <c r="B9950">
        <v>795</v>
      </c>
      <c r="C9950" s="1" t="str">
        <f>HYPERLINK("http://www.rosaceae.org/gb/gbrowse/malus_x_domestica/?name=MDP0000212585","MDP0000212585")</f>
        <v>MDP0000212585</v>
      </c>
      <c r="D9950">
        <v>63.03</v>
      </c>
      <c r="E9950">
        <v>560</v>
      </c>
      <c r="F9950">
        <v>207</v>
      </c>
      <c r="G9950">
        <v>41</v>
      </c>
      <c r="H9950">
        <v>40</v>
      </c>
      <c r="I9950">
        <v>574</v>
      </c>
      <c r="J9950">
        <v>1</v>
      </c>
      <c r="K9950">
        <v>1</v>
      </c>
      <c r="L9950">
        <v>544</v>
      </c>
      <c r="M9950">
        <v>1</v>
      </c>
      <c r="N9950">
        <v>5.6775600000000003E-173</v>
      </c>
      <c r="O9950">
        <v>1560</v>
      </c>
    </row>
    <row r="9951" spans="1:15" x14ac:dyDescent="0.25">
      <c r="A9951" t="s">
        <v>9964</v>
      </c>
      <c r="B9951">
        <v>265</v>
      </c>
      <c r="C9951" s="1" t="str">
        <f>HYPERLINK("http://www.rosaceae.org/gb/gbrowse/malus_x_domestica/?name=MDP0000573176","MDP0000573176")</f>
        <v>MDP0000573176</v>
      </c>
      <c r="D9951">
        <v>52.28</v>
      </c>
      <c r="E9951">
        <v>285</v>
      </c>
      <c r="F9951">
        <v>136</v>
      </c>
      <c r="G9951">
        <v>28</v>
      </c>
      <c r="H9951">
        <v>1</v>
      </c>
      <c r="I9951">
        <v>265</v>
      </c>
      <c r="J9951">
        <v>1</v>
      </c>
      <c r="K9951">
        <v>1</v>
      </c>
      <c r="L9951">
        <v>277</v>
      </c>
      <c r="M9951">
        <v>1</v>
      </c>
      <c r="N9951">
        <v>1.7500899999999999E-64</v>
      </c>
      <c r="O9951">
        <v>619</v>
      </c>
    </row>
    <row r="9952" spans="1:15" x14ac:dyDescent="0.25">
      <c r="A9952" t="s">
        <v>9965</v>
      </c>
      <c r="B9952">
        <v>149</v>
      </c>
      <c r="C9952" s="1" t="str">
        <f>HYPERLINK("http://www.rosaceae.org/gb/gbrowse/malus_x_domestica/?name=MDP0000122856","MDP0000122856")</f>
        <v>MDP0000122856</v>
      </c>
      <c r="D9952">
        <v>62.29</v>
      </c>
      <c r="E9952">
        <v>61</v>
      </c>
      <c r="F9952">
        <v>23</v>
      </c>
      <c r="G9952">
        <v>0</v>
      </c>
      <c r="H9952">
        <v>70</v>
      </c>
      <c r="I9952">
        <v>130</v>
      </c>
      <c r="J9952">
        <v>1</v>
      </c>
      <c r="K9952">
        <v>28</v>
      </c>
      <c r="L9952">
        <v>88</v>
      </c>
      <c r="M9952">
        <v>1</v>
      </c>
      <c r="N9952">
        <v>1.9809499999999999E-19</v>
      </c>
      <c r="O9952">
        <v>227</v>
      </c>
    </row>
    <row r="9953" spans="1:15" x14ac:dyDescent="0.25">
      <c r="A9953" t="s">
        <v>9966</v>
      </c>
      <c r="B9953">
        <v>440</v>
      </c>
      <c r="C9953" s="1" t="str">
        <f>HYPERLINK("http://www.rosaceae.org/gb/gbrowse/malus_x_domestica/?name=MDP0000319244","MDP0000319244")</f>
        <v>MDP0000319244</v>
      </c>
      <c r="D9953">
        <v>91.09</v>
      </c>
      <c r="E9953">
        <v>337</v>
      </c>
      <c r="F9953">
        <v>30</v>
      </c>
      <c r="G9953">
        <v>2</v>
      </c>
      <c r="H9953">
        <v>31</v>
      </c>
      <c r="I9953">
        <v>365</v>
      </c>
      <c r="J9953">
        <v>1</v>
      </c>
      <c r="K9953">
        <v>40</v>
      </c>
      <c r="L9953">
        <v>376</v>
      </c>
      <c r="M9953">
        <v>1</v>
      </c>
      <c r="N9953">
        <v>2.1265899999999999E-180</v>
      </c>
      <c r="O9953">
        <v>1622</v>
      </c>
    </row>
    <row r="9954" spans="1:15" x14ac:dyDescent="0.25">
      <c r="A9954" t="s">
        <v>9967</v>
      </c>
      <c r="B9954">
        <v>595</v>
      </c>
      <c r="C9954" s="1" t="str">
        <f>HYPERLINK("http://www.rosaceae.org/gb/gbrowse/malus_x_domestica/?name=MDP0000735335","MDP0000735335")</f>
        <v>MDP0000735335</v>
      </c>
      <c r="D9954">
        <v>64.66</v>
      </c>
      <c r="E9954">
        <v>665</v>
      </c>
      <c r="F9954">
        <v>235</v>
      </c>
      <c r="G9954">
        <v>72</v>
      </c>
      <c r="H9954">
        <v>1</v>
      </c>
      <c r="I9954">
        <v>595</v>
      </c>
      <c r="J9954">
        <v>1</v>
      </c>
      <c r="K9954">
        <v>1</v>
      </c>
      <c r="L9954">
        <v>663</v>
      </c>
      <c r="M9954">
        <v>1</v>
      </c>
      <c r="N9954">
        <v>0</v>
      </c>
      <c r="O9954">
        <v>2076</v>
      </c>
    </row>
    <row r="9955" spans="1:15" x14ac:dyDescent="0.25">
      <c r="A9955" t="s">
        <v>9968</v>
      </c>
      <c r="B9955">
        <v>413</v>
      </c>
      <c r="C9955" s="1" t="str">
        <f>HYPERLINK("http://www.rosaceae.org/gb/gbrowse/malus_x_domestica/?name=MDP0000127332","MDP0000127332")</f>
        <v>MDP0000127332</v>
      </c>
      <c r="D9955">
        <v>62.16</v>
      </c>
      <c r="E9955">
        <v>259</v>
      </c>
      <c r="F9955">
        <v>98</v>
      </c>
      <c r="G9955">
        <v>0</v>
      </c>
      <c r="H9955">
        <v>18</v>
      </c>
      <c r="I9955">
        <v>276</v>
      </c>
      <c r="J9955">
        <v>1</v>
      </c>
      <c r="K9955">
        <v>102</v>
      </c>
      <c r="L9955">
        <v>360</v>
      </c>
      <c r="M9955">
        <v>1</v>
      </c>
      <c r="N9955">
        <v>2.15876E-91</v>
      </c>
      <c r="O9955">
        <v>854</v>
      </c>
    </row>
    <row r="9956" spans="1:15" x14ac:dyDescent="0.25">
      <c r="A9956" t="s">
        <v>9969</v>
      </c>
      <c r="B9956">
        <v>1221</v>
      </c>
      <c r="C9956" s="1" t="str">
        <f>HYPERLINK("http://www.rosaceae.org/gb/gbrowse/malus_x_domestica/?name=MDP0000290119","MDP0000290119")</f>
        <v>MDP0000290119</v>
      </c>
      <c r="D9956">
        <v>68.44</v>
      </c>
      <c r="E9956">
        <v>770</v>
      </c>
      <c r="F9956">
        <v>243</v>
      </c>
      <c r="G9956">
        <v>73</v>
      </c>
      <c r="H9956">
        <v>15</v>
      </c>
      <c r="I9956">
        <v>734</v>
      </c>
      <c r="J9956">
        <v>1</v>
      </c>
      <c r="K9956">
        <v>14</v>
      </c>
      <c r="L9956">
        <v>760</v>
      </c>
      <c r="M9956">
        <v>1</v>
      </c>
      <c r="N9956">
        <v>0</v>
      </c>
      <c r="O9956">
        <v>2626</v>
      </c>
    </row>
    <row r="9957" spans="1:15" x14ac:dyDescent="0.25">
      <c r="A9957" t="s">
        <v>9970</v>
      </c>
      <c r="B9957">
        <v>908</v>
      </c>
      <c r="C9957" s="1" t="str">
        <f>HYPERLINK("http://www.rosaceae.org/gb/gbrowse/malus_x_domestica/?name=MDP0000296098","MDP0000296098")</f>
        <v>MDP0000296098</v>
      </c>
      <c r="D9957">
        <v>49.16</v>
      </c>
      <c r="E9957">
        <v>781</v>
      </c>
      <c r="F9957">
        <v>397</v>
      </c>
      <c r="G9957">
        <v>103</v>
      </c>
      <c r="H9957">
        <v>1</v>
      </c>
      <c r="I9957">
        <v>746</v>
      </c>
      <c r="J9957">
        <v>1</v>
      </c>
      <c r="K9957">
        <v>2</v>
      </c>
      <c r="L9957">
        <v>714</v>
      </c>
      <c r="M9957">
        <v>1</v>
      </c>
      <c r="N9957">
        <v>1.62739E-169</v>
      </c>
      <c r="O9957">
        <v>1531</v>
      </c>
    </row>
    <row r="9958" spans="1:15" x14ac:dyDescent="0.25">
      <c r="A9958" t="s">
        <v>9971</v>
      </c>
      <c r="B9958">
        <v>328</v>
      </c>
      <c r="C9958" s="1" t="str">
        <f>HYPERLINK("http://www.rosaceae.org/gb/gbrowse/malus_x_domestica/?name=MDP0000223153","MDP0000223153")</f>
        <v>MDP0000223153</v>
      </c>
      <c r="D9958">
        <v>44.55</v>
      </c>
      <c r="E9958">
        <v>294</v>
      </c>
      <c r="F9958">
        <v>163</v>
      </c>
      <c r="G9958">
        <v>23</v>
      </c>
      <c r="H9958">
        <v>7</v>
      </c>
      <c r="I9958">
        <v>294</v>
      </c>
      <c r="J9958">
        <v>1</v>
      </c>
      <c r="K9958">
        <v>5</v>
      </c>
      <c r="L9958">
        <v>281</v>
      </c>
      <c r="M9958">
        <v>1</v>
      </c>
      <c r="N9958">
        <v>2.12961E-55</v>
      </c>
      <c r="O9958">
        <v>542</v>
      </c>
    </row>
    <row r="9959" spans="1:15" x14ac:dyDescent="0.25">
      <c r="A9959" t="s">
        <v>9972</v>
      </c>
      <c r="B9959">
        <v>526</v>
      </c>
      <c r="C9959" s="1" t="str">
        <f>HYPERLINK("http://www.rosaceae.org/gb/gbrowse/malus_x_domestica/?name=MDP0000297861","MDP0000297861")</f>
        <v>MDP0000297861</v>
      </c>
      <c r="D9959">
        <v>87.86</v>
      </c>
      <c r="E9959">
        <v>445</v>
      </c>
      <c r="F9959">
        <v>54</v>
      </c>
      <c r="G9959">
        <v>0</v>
      </c>
      <c r="H9959">
        <v>82</v>
      </c>
      <c r="I9959">
        <v>526</v>
      </c>
      <c r="J9959">
        <v>1</v>
      </c>
      <c r="K9959">
        <v>103</v>
      </c>
      <c r="L9959">
        <v>547</v>
      </c>
      <c r="M9959">
        <v>1</v>
      </c>
      <c r="N9959">
        <v>0</v>
      </c>
      <c r="O9959">
        <v>2109</v>
      </c>
    </row>
    <row r="9960" spans="1:15" x14ac:dyDescent="0.25">
      <c r="A9960" t="s">
        <v>9973</v>
      </c>
      <c r="B9960">
        <v>1082</v>
      </c>
      <c r="C9960" s="1" t="str">
        <f>HYPERLINK("http://www.rosaceae.org/gb/gbrowse/malus_x_domestica/?name=MDP0000245433","MDP0000245433")</f>
        <v>MDP0000245433</v>
      </c>
      <c r="D9960">
        <v>51.92</v>
      </c>
      <c r="E9960">
        <v>364</v>
      </c>
      <c r="F9960">
        <v>175</v>
      </c>
      <c r="G9960">
        <v>53</v>
      </c>
      <c r="H9960">
        <v>624</v>
      </c>
      <c r="I9960">
        <v>961</v>
      </c>
      <c r="J9960">
        <v>1</v>
      </c>
      <c r="K9960">
        <v>1</v>
      </c>
      <c r="L9960">
        <v>337</v>
      </c>
      <c r="M9960">
        <v>1</v>
      </c>
      <c r="N9960">
        <v>3.4798600000000001E-84</v>
      </c>
      <c r="O9960">
        <v>796</v>
      </c>
    </row>
    <row r="9961" spans="1:15" x14ac:dyDescent="0.25">
      <c r="A9961" t="s">
        <v>9974</v>
      </c>
      <c r="B9961">
        <v>632</v>
      </c>
      <c r="C9961" s="1" t="str">
        <f>HYPERLINK("http://www.rosaceae.org/gb/gbrowse/malus_x_domestica/?name=MDP0000220523","MDP0000220523")</f>
        <v>MDP0000220523</v>
      </c>
      <c r="D9961">
        <v>80.37</v>
      </c>
      <c r="E9961">
        <v>632</v>
      </c>
      <c r="F9961">
        <v>124</v>
      </c>
      <c r="G9961">
        <v>4</v>
      </c>
      <c r="H9961">
        <v>1</v>
      </c>
      <c r="I9961">
        <v>629</v>
      </c>
      <c r="J9961">
        <v>1</v>
      </c>
      <c r="K9961">
        <v>1</v>
      </c>
      <c r="L9961">
        <v>631</v>
      </c>
      <c r="M9961">
        <v>1</v>
      </c>
      <c r="N9961">
        <v>0</v>
      </c>
      <c r="O9961">
        <v>2642</v>
      </c>
    </row>
    <row r="9962" spans="1:15" x14ac:dyDescent="0.25">
      <c r="A9962" t="s">
        <v>9975</v>
      </c>
      <c r="B9962">
        <v>198</v>
      </c>
      <c r="C9962" s="1" t="str">
        <f>HYPERLINK("http://www.rosaceae.org/gb/gbrowse/malus_x_domestica/?name=MDP0000833769","MDP0000833769")</f>
        <v>MDP0000833769</v>
      </c>
      <c r="D9962">
        <v>69.66</v>
      </c>
      <c r="E9962">
        <v>211</v>
      </c>
      <c r="F9962">
        <v>64</v>
      </c>
      <c r="G9962">
        <v>13</v>
      </c>
      <c r="H9962">
        <v>1</v>
      </c>
      <c r="I9962">
        <v>198</v>
      </c>
      <c r="J9962">
        <v>1</v>
      </c>
      <c r="K9962">
        <v>1</v>
      </c>
      <c r="L9962">
        <v>211</v>
      </c>
      <c r="M9962">
        <v>1</v>
      </c>
      <c r="N9962">
        <v>2.10141E-72</v>
      </c>
      <c r="O9962">
        <v>686</v>
      </c>
    </row>
    <row r="9963" spans="1:15" x14ac:dyDescent="0.25">
      <c r="A9963" t="s">
        <v>9976</v>
      </c>
      <c r="B9963">
        <v>442</v>
      </c>
      <c r="C9963" s="1" t="str">
        <f>HYPERLINK("http://www.rosaceae.org/gb/gbrowse/malus_x_domestica/?name=MDP0000188175","MDP0000188175")</f>
        <v>MDP0000188175</v>
      </c>
      <c r="D9963">
        <v>30.8</v>
      </c>
      <c r="E9963">
        <v>435</v>
      </c>
      <c r="F9963">
        <v>301</v>
      </c>
      <c r="G9963">
        <v>40</v>
      </c>
      <c r="H9963">
        <v>25</v>
      </c>
      <c r="I9963">
        <v>439</v>
      </c>
      <c r="J9963">
        <v>1</v>
      </c>
      <c r="K9963">
        <v>31</v>
      </c>
      <c r="L9963">
        <v>445</v>
      </c>
      <c r="M9963">
        <v>1</v>
      </c>
      <c r="N9963">
        <v>7.2146400000000002E-45</v>
      </c>
      <c r="O9963">
        <v>453</v>
      </c>
    </row>
    <row r="9964" spans="1:15" x14ac:dyDescent="0.25">
      <c r="A9964" t="s">
        <v>9977</v>
      </c>
      <c r="B9964">
        <v>335</v>
      </c>
      <c r="C9964" s="1" t="str">
        <f>HYPERLINK("http://www.rosaceae.org/gb/gbrowse/malus_x_domestica/?name=MDP0000214088","MDP0000214088")</f>
        <v>MDP0000214088</v>
      </c>
      <c r="D9964">
        <v>66.959999999999994</v>
      </c>
      <c r="E9964">
        <v>330</v>
      </c>
      <c r="F9964">
        <v>109</v>
      </c>
      <c r="G9964">
        <v>46</v>
      </c>
      <c r="H9964">
        <v>6</v>
      </c>
      <c r="I9964">
        <v>313</v>
      </c>
      <c r="J9964">
        <v>1</v>
      </c>
      <c r="K9964">
        <v>61</v>
      </c>
      <c r="L9964">
        <v>366</v>
      </c>
      <c r="M9964">
        <v>1</v>
      </c>
      <c r="N9964">
        <v>5.3512700000000003E-120</v>
      </c>
      <c r="O9964">
        <v>1099</v>
      </c>
    </row>
    <row r="9965" spans="1:15" x14ac:dyDescent="0.25">
      <c r="A9965" t="s">
        <v>9978</v>
      </c>
      <c r="B9965">
        <v>711</v>
      </c>
      <c r="C9965" s="1" t="str">
        <f>HYPERLINK("http://www.rosaceae.org/gb/gbrowse/malus_x_domestica/?name=MDP0000261874","MDP0000261874")</f>
        <v>MDP0000261874</v>
      </c>
      <c r="D9965">
        <v>66.98</v>
      </c>
      <c r="E9965">
        <v>733</v>
      </c>
      <c r="F9965">
        <v>242</v>
      </c>
      <c r="G9965">
        <v>52</v>
      </c>
      <c r="H9965">
        <v>17</v>
      </c>
      <c r="I9965">
        <v>710</v>
      </c>
      <c r="J9965">
        <v>1</v>
      </c>
      <c r="K9965">
        <v>27</v>
      </c>
      <c r="L9965">
        <v>746</v>
      </c>
      <c r="M9965">
        <v>1</v>
      </c>
      <c r="N9965">
        <v>0</v>
      </c>
      <c r="O9965">
        <v>2426</v>
      </c>
    </row>
    <row r="9966" spans="1:15" x14ac:dyDescent="0.25">
      <c r="A9966" t="s">
        <v>9979</v>
      </c>
      <c r="B9966">
        <v>192</v>
      </c>
      <c r="C9966" s="1" t="str">
        <f>HYPERLINK("http://www.rosaceae.org/gb/gbrowse/malus_x_domestica/?name=MDP0000542944","MDP0000542944")</f>
        <v>MDP0000542944</v>
      </c>
      <c r="D9966">
        <v>62.62</v>
      </c>
      <c r="E9966">
        <v>198</v>
      </c>
      <c r="F9966">
        <v>74</v>
      </c>
      <c r="G9966">
        <v>11</v>
      </c>
      <c r="H9966">
        <v>1</v>
      </c>
      <c r="I9966">
        <v>192</v>
      </c>
      <c r="J9966">
        <v>1</v>
      </c>
      <c r="K9966">
        <v>1</v>
      </c>
      <c r="L9966">
        <v>193</v>
      </c>
      <c r="M9966">
        <v>1</v>
      </c>
      <c r="N9966">
        <v>2.54969E-55</v>
      </c>
      <c r="O9966">
        <v>538</v>
      </c>
    </row>
    <row r="9967" spans="1:15" x14ac:dyDescent="0.25">
      <c r="A9967" t="s">
        <v>9980</v>
      </c>
      <c r="B9967">
        <v>599</v>
      </c>
      <c r="C9967" s="1" t="str">
        <f>HYPERLINK("http://www.rosaceae.org/gb/gbrowse/malus_x_domestica/?name=MDP0000946733","MDP0000946733")</f>
        <v>MDP0000946733</v>
      </c>
      <c r="D9967">
        <v>53.34</v>
      </c>
      <c r="E9967">
        <v>628</v>
      </c>
      <c r="F9967">
        <v>293</v>
      </c>
      <c r="G9967">
        <v>95</v>
      </c>
      <c r="H9967">
        <v>1</v>
      </c>
      <c r="I9967">
        <v>584</v>
      </c>
      <c r="J9967">
        <v>1</v>
      </c>
      <c r="K9967">
        <v>1</v>
      </c>
      <c r="L9967">
        <v>577</v>
      </c>
      <c r="M9967">
        <v>1</v>
      </c>
      <c r="N9967">
        <v>8.4506300000000005E-152</v>
      </c>
      <c r="O9967">
        <v>1376</v>
      </c>
    </row>
    <row r="9968" spans="1:15" x14ac:dyDescent="0.25">
      <c r="A9968" t="s">
        <v>9981</v>
      </c>
      <c r="B9968">
        <v>397</v>
      </c>
      <c r="C9968" s="1" t="str">
        <f>HYPERLINK("http://www.rosaceae.org/gb/gbrowse/malus_x_domestica/?name=MDP0000232260","MDP0000232260")</f>
        <v>MDP0000232260</v>
      </c>
      <c r="D9968">
        <v>68.02</v>
      </c>
      <c r="E9968">
        <v>416</v>
      </c>
      <c r="F9968">
        <v>133</v>
      </c>
      <c r="G9968">
        <v>23</v>
      </c>
      <c r="H9968">
        <v>1</v>
      </c>
      <c r="I9968">
        <v>397</v>
      </c>
      <c r="J9968">
        <v>1</v>
      </c>
      <c r="K9968">
        <v>145</v>
      </c>
      <c r="L9968">
        <v>556</v>
      </c>
      <c r="M9968">
        <v>1</v>
      </c>
      <c r="N9968">
        <v>1.8924900000000001E-159</v>
      </c>
      <c r="O9968">
        <v>1440</v>
      </c>
    </row>
    <row r="9969" spans="1:15" x14ac:dyDescent="0.25">
      <c r="A9969" t="s">
        <v>9982</v>
      </c>
      <c r="B9969">
        <v>659</v>
      </c>
      <c r="C9969" s="1" t="str">
        <f>HYPERLINK("http://www.rosaceae.org/gb/gbrowse/malus_x_domestica/?name=MDP0000398882","MDP0000398882")</f>
        <v>MDP0000398882</v>
      </c>
      <c r="D9969">
        <v>80.12</v>
      </c>
      <c r="E9969">
        <v>624</v>
      </c>
      <c r="F9969">
        <v>124</v>
      </c>
      <c r="G9969">
        <v>4</v>
      </c>
      <c r="H9969">
        <v>1</v>
      </c>
      <c r="I9969">
        <v>621</v>
      </c>
      <c r="J9969">
        <v>1</v>
      </c>
      <c r="K9969">
        <v>1</v>
      </c>
      <c r="L9969">
        <v>623</v>
      </c>
      <c r="M9969">
        <v>1</v>
      </c>
      <c r="N9969">
        <v>0</v>
      </c>
      <c r="O9969">
        <v>2656</v>
      </c>
    </row>
    <row r="9970" spans="1:15" x14ac:dyDescent="0.25">
      <c r="A9970" t="s">
        <v>9983</v>
      </c>
      <c r="B9970">
        <v>227</v>
      </c>
      <c r="C9970" s="1" t="str">
        <f>HYPERLINK("http://www.rosaceae.org/gb/gbrowse/malus_x_domestica/?name=MDP0000329362","MDP0000329362")</f>
        <v>MDP0000329362</v>
      </c>
      <c r="D9970">
        <v>75.14</v>
      </c>
      <c r="E9970">
        <v>173</v>
      </c>
      <c r="F9970">
        <v>43</v>
      </c>
      <c r="G9970">
        <v>10</v>
      </c>
      <c r="H9970">
        <v>2</v>
      </c>
      <c r="I9970">
        <v>168</v>
      </c>
      <c r="J9970">
        <v>1</v>
      </c>
      <c r="K9970">
        <v>56</v>
      </c>
      <c r="L9970">
        <v>224</v>
      </c>
      <c r="M9970">
        <v>1</v>
      </c>
      <c r="N9970">
        <v>7.08927E-73</v>
      </c>
      <c r="O9970">
        <v>691</v>
      </c>
    </row>
    <row r="9971" spans="1:15" x14ac:dyDescent="0.25">
      <c r="A9971" t="s">
        <v>9984</v>
      </c>
      <c r="B9971">
        <v>540</v>
      </c>
      <c r="C9971" s="1" t="str">
        <f>HYPERLINK("http://www.rosaceae.org/gb/gbrowse/malus_x_domestica/?name=MDP0000138115","MDP0000138115")</f>
        <v>MDP0000138115</v>
      </c>
      <c r="D9971">
        <v>66.66</v>
      </c>
      <c r="E9971">
        <v>456</v>
      </c>
      <c r="F9971">
        <v>152</v>
      </c>
      <c r="G9971">
        <v>15</v>
      </c>
      <c r="H9971">
        <v>90</v>
      </c>
      <c r="I9971">
        <v>540</v>
      </c>
      <c r="J9971">
        <v>1</v>
      </c>
      <c r="K9971">
        <v>1</v>
      </c>
      <c r="L9971">
        <v>446</v>
      </c>
      <c r="M9971">
        <v>1</v>
      </c>
      <c r="N9971">
        <v>7.1398599999999996E-168</v>
      </c>
      <c r="O9971">
        <v>1515</v>
      </c>
    </row>
    <row r="9972" spans="1:15" x14ac:dyDescent="0.25">
      <c r="A9972" t="s">
        <v>9985</v>
      </c>
      <c r="B9972">
        <v>69</v>
      </c>
      <c r="C9972" s="1" t="str">
        <f>HYPERLINK("http://www.rosaceae.org/gb/gbrowse/malus_x_domestica/?name=MDP0000216604","MDP0000216604")</f>
        <v>MDP0000216604</v>
      </c>
      <c r="D9972">
        <v>82.6</v>
      </c>
      <c r="E9972">
        <v>69</v>
      </c>
      <c r="F9972">
        <v>12</v>
      </c>
      <c r="G9972">
        <v>0</v>
      </c>
      <c r="H9972">
        <v>1</v>
      </c>
      <c r="I9972">
        <v>69</v>
      </c>
      <c r="J9972">
        <v>1</v>
      </c>
      <c r="K9972">
        <v>1</v>
      </c>
      <c r="L9972">
        <v>69</v>
      </c>
      <c r="M9972">
        <v>1</v>
      </c>
      <c r="N9972">
        <v>6.7403800000000003E-25</v>
      </c>
      <c r="O9972">
        <v>272</v>
      </c>
    </row>
    <row r="9973" spans="1:15" x14ac:dyDescent="0.25">
      <c r="A9973" t="s">
        <v>9986</v>
      </c>
      <c r="B9973">
        <v>902</v>
      </c>
      <c r="C9973" s="1" t="str">
        <f>HYPERLINK("http://www.rosaceae.org/gb/gbrowse/malus_x_domestica/?name=MDP0000441166","MDP0000441166")</f>
        <v>MDP0000441166</v>
      </c>
      <c r="D9973">
        <v>46.66</v>
      </c>
      <c r="E9973">
        <v>975</v>
      </c>
      <c r="F9973">
        <v>520</v>
      </c>
      <c r="G9973">
        <v>119</v>
      </c>
      <c r="H9973">
        <v>1</v>
      </c>
      <c r="I9973">
        <v>902</v>
      </c>
      <c r="J9973">
        <v>1</v>
      </c>
      <c r="K9973">
        <v>1</v>
      </c>
      <c r="L9973">
        <v>929</v>
      </c>
      <c r="M9973">
        <v>1</v>
      </c>
      <c r="N9973">
        <v>0</v>
      </c>
      <c r="O9973">
        <v>1841</v>
      </c>
    </row>
    <row r="9974" spans="1:15" x14ac:dyDescent="0.25">
      <c r="A9974" t="s">
        <v>9987</v>
      </c>
      <c r="B9974">
        <v>512</v>
      </c>
      <c r="C9974" s="1" t="str">
        <f>HYPERLINK("http://www.rosaceae.org/gb/gbrowse/malus_x_domestica/?name=MDP0000769656","MDP0000769656")</f>
        <v>MDP0000769656</v>
      </c>
      <c r="D9974">
        <v>33.840000000000003</v>
      </c>
      <c r="E9974">
        <v>523</v>
      </c>
      <c r="F9974">
        <v>346</v>
      </c>
      <c r="G9974">
        <v>104</v>
      </c>
      <c r="H9974">
        <v>1</v>
      </c>
      <c r="I9974">
        <v>511</v>
      </c>
      <c r="J9974">
        <v>1</v>
      </c>
      <c r="K9974">
        <v>1</v>
      </c>
      <c r="L9974">
        <v>431</v>
      </c>
      <c r="M9974">
        <v>1</v>
      </c>
      <c r="N9974">
        <v>1.5696100000000001E-68</v>
      </c>
      <c r="O9974">
        <v>658</v>
      </c>
    </row>
    <row r="9975" spans="1:15" x14ac:dyDescent="0.25">
      <c r="A9975" t="s">
        <v>9988</v>
      </c>
      <c r="B9975">
        <v>327</v>
      </c>
      <c r="C9975" s="1" t="str">
        <f>HYPERLINK("http://www.rosaceae.org/gb/gbrowse/malus_x_domestica/?name=MDP0000753318","MDP0000753318")</f>
        <v>MDP0000753318</v>
      </c>
      <c r="D9975">
        <v>83.71</v>
      </c>
      <c r="E9975">
        <v>307</v>
      </c>
      <c r="F9975">
        <v>50</v>
      </c>
      <c r="G9975">
        <v>9</v>
      </c>
      <c r="H9975">
        <v>27</v>
      </c>
      <c r="I9975">
        <v>327</v>
      </c>
      <c r="J9975">
        <v>1</v>
      </c>
      <c r="K9975">
        <v>27</v>
      </c>
      <c r="L9975">
        <v>330</v>
      </c>
      <c r="M9975">
        <v>1</v>
      </c>
      <c r="N9975">
        <v>1.1604199999999999E-148</v>
      </c>
      <c r="O9975">
        <v>1346</v>
      </c>
    </row>
    <row r="9976" spans="1:15" x14ac:dyDescent="0.25">
      <c r="A9976" t="s">
        <v>9989</v>
      </c>
      <c r="B9976">
        <v>185</v>
      </c>
      <c r="C9976" s="1" t="str">
        <f>HYPERLINK("http://www.rosaceae.org/gb/gbrowse/malus_x_domestica/?name=MDP0000296691","MDP0000296691")</f>
        <v>MDP0000296691</v>
      </c>
      <c r="D9976">
        <v>33.96</v>
      </c>
      <c r="E9976">
        <v>106</v>
      </c>
      <c r="F9976">
        <v>70</v>
      </c>
      <c r="G9976">
        <v>9</v>
      </c>
      <c r="H9976">
        <v>73</v>
      </c>
      <c r="I9976">
        <v>174</v>
      </c>
      <c r="J9976">
        <v>1</v>
      </c>
      <c r="K9976">
        <v>516</v>
      </c>
      <c r="L9976">
        <v>616</v>
      </c>
      <c r="M9976">
        <v>1</v>
      </c>
      <c r="N9976">
        <v>1.66831E-8</v>
      </c>
      <c r="O9976">
        <v>134</v>
      </c>
    </row>
    <row r="9977" spans="1:15" x14ac:dyDescent="0.25">
      <c r="A9977" t="s">
        <v>9990</v>
      </c>
      <c r="B9977">
        <v>313</v>
      </c>
      <c r="C9977" s="1" t="str">
        <f>HYPERLINK("http://www.rosaceae.org/gb/gbrowse/malus_x_domestica/?name=MDP0000122345","MDP0000122345")</f>
        <v>MDP0000122345</v>
      </c>
      <c r="D9977">
        <v>84.64</v>
      </c>
      <c r="E9977">
        <v>228</v>
      </c>
      <c r="F9977">
        <v>35</v>
      </c>
      <c r="G9977">
        <v>0</v>
      </c>
      <c r="H9977">
        <v>1</v>
      </c>
      <c r="I9977">
        <v>228</v>
      </c>
      <c r="J9977">
        <v>1</v>
      </c>
      <c r="K9977">
        <v>235</v>
      </c>
      <c r="L9977">
        <v>462</v>
      </c>
      <c r="M9977">
        <v>1</v>
      </c>
      <c r="N9977">
        <v>6.3976499999999997E-109</v>
      </c>
      <c r="O9977">
        <v>1004</v>
      </c>
    </row>
    <row r="9978" spans="1:15" x14ac:dyDescent="0.25">
      <c r="A9978" t="s">
        <v>9991</v>
      </c>
      <c r="B9978">
        <v>175</v>
      </c>
      <c r="C9978" s="1" t="str">
        <f>HYPERLINK("http://www.rosaceae.org/gb/gbrowse/malus_x_domestica/?name=MDP0000788247","MDP0000788247")</f>
        <v>MDP0000788247</v>
      </c>
      <c r="D9978">
        <v>69.87</v>
      </c>
      <c r="E9978">
        <v>83</v>
      </c>
      <c r="F9978">
        <v>25</v>
      </c>
      <c r="G9978">
        <v>10</v>
      </c>
      <c r="H9978">
        <v>82</v>
      </c>
      <c r="I9978">
        <v>162</v>
      </c>
      <c r="J9978">
        <v>1</v>
      </c>
      <c r="K9978">
        <v>293</v>
      </c>
      <c r="L9978">
        <v>367</v>
      </c>
      <c r="M9978">
        <v>1</v>
      </c>
      <c r="N9978">
        <v>6.5499700000000002E-25</v>
      </c>
      <c r="O9978">
        <v>275</v>
      </c>
    </row>
    <row r="9979" spans="1:15" x14ac:dyDescent="0.25">
      <c r="A9979" t="s">
        <v>9992</v>
      </c>
      <c r="B9979">
        <v>828</v>
      </c>
      <c r="C9979" s="1" t="str">
        <f>HYPERLINK("http://www.rosaceae.org/gb/gbrowse/malus_x_domestica/?name=MDP0000220160","MDP0000220160")</f>
        <v>MDP0000220160</v>
      </c>
      <c r="D9979">
        <v>77.430000000000007</v>
      </c>
      <c r="E9979">
        <v>820</v>
      </c>
      <c r="F9979">
        <v>185</v>
      </c>
      <c r="G9979">
        <v>29</v>
      </c>
      <c r="H9979">
        <v>31</v>
      </c>
      <c r="I9979">
        <v>828</v>
      </c>
      <c r="J9979">
        <v>1</v>
      </c>
      <c r="K9979">
        <v>30</v>
      </c>
      <c r="L9979">
        <v>842</v>
      </c>
      <c r="M9979">
        <v>1</v>
      </c>
      <c r="N9979">
        <v>0</v>
      </c>
      <c r="O9979">
        <v>3245</v>
      </c>
    </row>
    <row r="9980" spans="1:15" x14ac:dyDescent="0.25">
      <c r="A9980" t="s">
        <v>9993</v>
      </c>
      <c r="B9980">
        <v>315</v>
      </c>
      <c r="C9980" s="1" t="str">
        <f>HYPERLINK("http://www.rosaceae.org/gb/gbrowse/malus_x_domestica/?name=MDP0000296708","MDP0000296708")</f>
        <v>MDP0000296708</v>
      </c>
      <c r="D9980">
        <v>55.68</v>
      </c>
      <c r="E9980">
        <v>264</v>
      </c>
      <c r="F9980">
        <v>117</v>
      </c>
      <c r="G9980">
        <v>9</v>
      </c>
      <c r="H9980">
        <v>52</v>
      </c>
      <c r="I9980">
        <v>315</v>
      </c>
      <c r="J9980">
        <v>1</v>
      </c>
      <c r="K9980">
        <v>42</v>
      </c>
      <c r="L9980">
        <v>296</v>
      </c>
      <c r="M9980">
        <v>1</v>
      </c>
      <c r="N9980">
        <v>5.0491500000000002E-66</v>
      </c>
      <c r="O9980">
        <v>634</v>
      </c>
    </row>
    <row r="9981" spans="1:15" x14ac:dyDescent="0.25">
      <c r="A9981" t="s">
        <v>9994</v>
      </c>
      <c r="B9981">
        <v>784</v>
      </c>
      <c r="C9981" s="1" t="str">
        <f>HYPERLINK("http://www.rosaceae.org/gb/gbrowse/malus_x_domestica/?name=MDP0000156544","MDP0000156544")</f>
        <v>MDP0000156544</v>
      </c>
      <c r="D9981">
        <v>72.540000000000006</v>
      </c>
      <c r="E9981">
        <v>488</v>
      </c>
      <c r="F9981">
        <v>134</v>
      </c>
      <c r="G9981">
        <v>6</v>
      </c>
      <c r="H9981">
        <v>303</v>
      </c>
      <c r="I9981">
        <v>784</v>
      </c>
      <c r="J9981">
        <v>1</v>
      </c>
      <c r="K9981">
        <v>34</v>
      </c>
      <c r="L9981">
        <v>521</v>
      </c>
      <c r="M9981">
        <v>1</v>
      </c>
      <c r="N9981">
        <v>0</v>
      </c>
      <c r="O9981">
        <v>1922</v>
      </c>
    </row>
    <row r="9982" spans="1:15" x14ac:dyDescent="0.25">
      <c r="A9982" t="s">
        <v>9995</v>
      </c>
      <c r="B9982">
        <v>875</v>
      </c>
      <c r="C9982" s="1" t="str">
        <f>HYPERLINK("http://www.rosaceae.org/gb/gbrowse/malus_x_domestica/?name=MDP0000183455","MDP0000183455")</f>
        <v>MDP0000183455</v>
      </c>
      <c r="D9982">
        <v>72.3</v>
      </c>
      <c r="E9982">
        <v>426</v>
      </c>
      <c r="F9982">
        <v>118</v>
      </c>
      <c r="G9982">
        <v>0</v>
      </c>
      <c r="H9982">
        <v>389</v>
      </c>
      <c r="I9982">
        <v>814</v>
      </c>
      <c r="J9982">
        <v>1</v>
      </c>
      <c r="K9982">
        <v>1</v>
      </c>
      <c r="L9982">
        <v>426</v>
      </c>
      <c r="M9982">
        <v>1</v>
      </c>
      <c r="N9982">
        <v>0</v>
      </c>
      <c r="O9982">
        <v>1645</v>
      </c>
    </row>
    <row r="9983" spans="1:15" x14ac:dyDescent="0.25">
      <c r="A9983" t="s">
        <v>9996</v>
      </c>
      <c r="B9983">
        <v>523</v>
      </c>
      <c r="C9983" s="1" t="str">
        <f>HYPERLINK("http://www.rosaceae.org/gb/gbrowse/malus_x_domestica/?name=MDP0000534116","MDP0000534116")</f>
        <v>MDP0000534116</v>
      </c>
      <c r="D9983">
        <v>54.35</v>
      </c>
      <c r="E9983">
        <v>425</v>
      </c>
      <c r="F9983">
        <v>194</v>
      </c>
      <c r="G9983">
        <v>19</v>
      </c>
      <c r="H9983">
        <v>28</v>
      </c>
      <c r="I9983">
        <v>450</v>
      </c>
      <c r="J9983">
        <v>1</v>
      </c>
      <c r="K9983">
        <v>19</v>
      </c>
      <c r="L9983">
        <v>426</v>
      </c>
      <c r="M9983">
        <v>1</v>
      </c>
      <c r="N9983">
        <v>1.05372E-125</v>
      </c>
      <c r="O9983">
        <v>1151</v>
      </c>
    </row>
    <row r="9984" spans="1:15" x14ac:dyDescent="0.25">
      <c r="A9984" t="s">
        <v>9997</v>
      </c>
      <c r="B9984">
        <v>173</v>
      </c>
      <c r="C9984" s="1" t="str">
        <f>HYPERLINK("http://www.rosaceae.org/gb/gbrowse/malus_x_domestica/?name=MDP0000283032","MDP0000283032")</f>
        <v>MDP0000283032</v>
      </c>
      <c r="D9984">
        <v>33.33</v>
      </c>
      <c r="E9984">
        <v>84</v>
      </c>
      <c r="F9984">
        <v>56</v>
      </c>
      <c r="G9984">
        <v>0</v>
      </c>
      <c r="H9984">
        <v>78</v>
      </c>
      <c r="I9984">
        <v>161</v>
      </c>
      <c r="J9984">
        <v>1</v>
      </c>
      <c r="K9984">
        <v>417</v>
      </c>
      <c r="L9984">
        <v>500</v>
      </c>
      <c r="M9984">
        <v>1</v>
      </c>
      <c r="N9984">
        <v>7.27106E-8</v>
      </c>
      <c r="O9984">
        <v>128</v>
      </c>
    </row>
    <row r="9985" spans="1:15" x14ac:dyDescent="0.25">
      <c r="A9985" t="s">
        <v>9998</v>
      </c>
      <c r="B9985">
        <v>673</v>
      </c>
      <c r="C9985" s="1" t="str">
        <f>HYPERLINK("http://www.rosaceae.org/gb/gbrowse/malus_x_domestica/?name=MDP0000251174","MDP0000251174")</f>
        <v>MDP0000251174</v>
      </c>
      <c r="D9985">
        <v>86.59</v>
      </c>
      <c r="E9985">
        <v>567</v>
      </c>
      <c r="F9985">
        <v>76</v>
      </c>
      <c r="G9985">
        <v>12</v>
      </c>
      <c r="H9985">
        <v>1</v>
      </c>
      <c r="I9985">
        <v>558</v>
      </c>
      <c r="J9985">
        <v>1</v>
      </c>
      <c r="K9985">
        <v>1</v>
      </c>
      <c r="L9985">
        <v>564</v>
      </c>
      <c r="M9985">
        <v>1</v>
      </c>
      <c r="N9985">
        <v>0</v>
      </c>
      <c r="O9985">
        <v>2457</v>
      </c>
    </row>
    <row r="9986" spans="1:15" x14ac:dyDescent="0.25">
      <c r="A9986" t="s">
        <v>9999</v>
      </c>
      <c r="B9986">
        <v>340</v>
      </c>
      <c r="C9986" s="1" t="str">
        <f>HYPERLINK("http://www.rosaceae.org/gb/gbrowse/malus_x_domestica/?name=MDP0000264024","MDP0000264024")</f>
        <v>MDP0000264024</v>
      </c>
      <c r="D9986">
        <v>51.88</v>
      </c>
      <c r="E9986">
        <v>345</v>
      </c>
      <c r="F9986">
        <v>166</v>
      </c>
      <c r="G9986">
        <v>8</v>
      </c>
      <c r="H9986">
        <v>1</v>
      </c>
      <c r="I9986">
        <v>338</v>
      </c>
      <c r="J9986">
        <v>1</v>
      </c>
      <c r="K9986">
        <v>1</v>
      </c>
      <c r="L9986">
        <v>344</v>
      </c>
      <c r="M9986">
        <v>1</v>
      </c>
      <c r="N9986">
        <v>8.1558199999999998E-93</v>
      </c>
      <c r="O9986">
        <v>865</v>
      </c>
    </row>
    <row r="9987" spans="1:15" x14ac:dyDescent="0.25">
      <c r="A9987" t="s">
        <v>10000</v>
      </c>
      <c r="B9987">
        <v>721</v>
      </c>
      <c r="C9987" s="1" t="str">
        <f>HYPERLINK("http://www.rosaceae.org/gb/gbrowse/malus_x_domestica/?name=MDP0000156135","MDP0000156135")</f>
        <v>MDP0000156135</v>
      </c>
      <c r="D9987">
        <v>53.61</v>
      </c>
      <c r="E9987">
        <v>774</v>
      </c>
      <c r="F9987">
        <v>359</v>
      </c>
      <c r="G9987">
        <v>92</v>
      </c>
      <c r="H9987">
        <v>7</v>
      </c>
      <c r="I9987">
        <v>721</v>
      </c>
      <c r="J9987">
        <v>1</v>
      </c>
      <c r="K9987">
        <v>19</v>
      </c>
      <c r="L9987">
        <v>759</v>
      </c>
      <c r="M9987">
        <v>1</v>
      </c>
      <c r="N9987">
        <v>0</v>
      </c>
      <c r="O9987">
        <v>1911</v>
      </c>
    </row>
    <row r="9988" spans="1:15" x14ac:dyDescent="0.25">
      <c r="A9988" t="s">
        <v>10001</v>
      </c>
      <c r="B9988">
        <v>500</v>
      </c>
      <c r="C9988" s="1" t="str">
        <f>HYPERLINK("http://www.rosaceae.org/gb/gbrowse/malus_x_domestica/?name=MDP0000770759","MDP0000770759")</f>
        <v>MDP0000770759</v>
      </c>
      <c r="D9988">
        <v>78.58</v>
      </c>
      <c r="E9988">
        <v>509</v>
      </c>
      <c r="F9988">
        <v>109</v>
      </c>
      <c r="G9988">
        <v>15</v>
      </c>
      <c r="H9988">
        <v>1</v>
      </c>
      <c r="I9988">
        <v>499</v>
      </c>
      <c r="J9988">
        <v>1</v>
      </c>
      <c r="K9988">
        <v>1</v>
      </c>
      <c r="L9988">
        <v>504</v>
      </c>
      <c r="M9988">
        <v>1</v>
      </c>
      <c r="N9988">
        <v>0</v>
      </c>
      <c r="O9988">
        <v>2010</v>
      </c>
    </row>
    <row r="9989" spans="1:15" x14ac:dyDescent="0.25">
      <c r="A9989" t="s">
        <v>10002</v>
      </c>
      <c r="B9989">
        <v>252</v>
      </c>
      <c r="C9989" s="1" t="str">
        <f>HYPERLINK("http://www.rosaceae.org/gb/gbrowse/malus_x_domestica/?name=MDP0000249929","MDP0000249929")</f>
        <v>MDP0000249929</v>
      </c>
      <c r="D9989">
        <v>79.41</v>
      </c>
      <c r="E9989">
        <v>204</v>
      </c>
      <c r="F9989">
        <v>42</v>
      </c>
      <c r="G9989">
        <v>0</v>
      </c>
      <c r="H9989">
        <v>24</v>
      </c>
      <c r="I9989">
        <v>227</v>
      </c>
      <c r="J9989">
        <v>1</v>
      </c>
      <c r="K9989">
        <v>205</v>
      </c>
      <c r="L9989">
        <v>408</v>
      </c>
      <c r="M9989">
        <v>1</v>
      </c>
      <c r="N9989">
        <v>3.7738400000000001E-98</v>
      </c>
      <c r="O9989">
        <v>909</v>
      </c>
    </row>
    <row r="9990" spans="1:15" x14ac:dyDescent="0.25">
      <c r="A9990" t="s">
        <v>10003</v>
      </c>
      <c r="B9990">
        <v>173</v>
      </c>
      <c r="C9990" s="1" t="str">
        <f>HYPERLINK("http://www.rosaceae.org/gb/gbrowse/malus_x_domestica/?name=MDP0000135679","MDP0000135679")</f>
        <v>MDP0000135679</v>
      </c>
      <c r="D9990">
        <v>88.48</v>
      </c>
      <c r="E9990">
        <v>165</v>
      </c>
      <c r="F9990">
        <v>19</v>
      </c>
      <c r="G9990">
        <v>0</v>
      </c>
      <c r="H9990">
        <v>1</v>
      </c>
      <c r="I9990">
        <v>165</v>
      </c>
      <c r="J9990">
        <v>1</v>
      </c>
      <c r="K9990">
        <v>713</v>
      </c>
      <c r="L9990">
        <v>877</v>
      </c>
      <c r="M9990">
        <v>1</v>
      </c>
      <c r="N9990">
        <v>1.89236E-75</v>
      </c>
      <c r="O9990">
        <v>711</v>
      </c>
    </row>
    <row r="9991" spans="1:15" x14ac:dyDescent="0.25">
      <c r="A9991" t="s">
        <v>10004</v>
      </c>
      <c r="B9991">
        <v>929</v>
      </c>
      <c r="C9991" s="1" t="str">
        <f>HYPERLINK("http://www.rosaceae.org/gb/gbrowse/malus_x_domestica/?name=MDP0000321294","MDP0000321294")</f>
        <v>MDP0000321294</v>
      </c>
      <c r="D9991">
        <v>54.42</v>
      </c>
      <c r="E9991">
        <v>531</v>
      </c>
      <c r="F9991">
        <v>242</v>
      </c>
      <c r="G9991">
        <v>27</v>
      </c>
      <c r="H9991">
        <v>217</v>
      </c>
      <c r="I9991">
        <v>732</v>
      </c>
      <c r="J9991">
        <v>1</v>
      </c>
      <c r="K9991">
        <v>58</v>
      </c>
      <c r="L9991">
        <v>576</v>
      </c>
      <c r="M9991">
        <v>1</v>
      </c>
      <c r="N9991">
        <v>9.4746099999999996E-140</v>
      </c>
      <c r="O9991">
        <v>1274</v>
      </c>
    </row>
    <row r="9992" spans="1:15" x14ac:dyDescent="0.25">
      <c r="A9992" t="s">
        <v>10005</v>
      </c>
      <c r="B9992">
        <v>337</v>
      </c>
      <c r="C9992" s="1" t="str">
        <f>HYPERLINK("http://www.rosaceae.org/gb/gbrowse/malus_x_domestica/?name=MDP0000140233","MDP0000140233")</f>
        <v>MDP0000140233</v>
      </c>
      <c r="D9992">
        <v>72.69</v>
      </c>
      <c r="E9992">
        <v>249</v>
      </c>
      <c r="F9992">
        <v>68</v>
      </c>
      <c r="G9992">
        <v>3</v>
      </c>
      <c r="H9992">
        <v>92</v>
      </c>
      <c r="I9992">
        <v>337</v>
      </c>
      <c r="J9992">
        <v>1</v>
      </c>
      <c r="K9992">
        <v>57</v>
      </c>
      <c r="L9992">
        <v>305</v>
      </c>
      <c r="M9992">
        <v>1</v>
      </c>
      <c r="N9992">
        <v>8.6624899999999997E-100</v>
      </c>
      <c r="O9992">
        <v>925</v>
      </c>
    </row>
    <row r="9993" spans="1:15" x14ac:dyDescent="0.25">
      <c r="A9993" t="s">
        <v>10006</v>
      </c>
      <c r="B9993">
        <v>314</v>
      </c>
      <c r="C9993" s="1" t="str">
        <f>HYPERLINK("http://www.rosaceae.org/gb/gbrowse/malus_x_domestica/?name=MDP0000280971","MDP0000280971")</f>
        <v>MDP0000280971</v>
      </c>
      <c r="D9993">
        <v>87.22</v>
      </c>
      <c r="E9993">
        <v>313</v>
      </c>
      <c r="F9993">
        <v>40</v>
      </c>
      <c r="G9993">
        <v>2</v>
      </c>
      <c r="H9993">
        <v>1</v>
      </c>
      <c r="I9993">
        <v>311</v>
      </c>
      <c r="J9993">
        <v>1</v>
      </c>
      <c r="K9993">
        <v>1</v>
      </c>
      <c r="L9993">
        <v>313</v>
      </c>
      <c r="M9993">
        <v>1</v>
      </c>
      <c r="N9993">
        <v>5.4378800000000001E-168</v>
      </c>
      <c r="O9993">
        <v>1513</v>
      </c>
    </row>
    <row r="9994" spans="1:15" x14ac:dyDescent="0.25">
      <c r="A9994" t="s">
        <v>10007</v>
      </c>
      <c r="B9994">
        <v>124</v>
      </c>
      <c r="C9994" s="1" t="str">
        <f>HYPERLINK("http://www.rosaceae.org/gb/gbrowse/malus_x_domestica/?name=MDP0000878764","MDP0000878764")</f>
        <v>MDP0000878764</v>
      </c>
      <c r="D9994">
        <v>51.28</v>
      </c>
      <c r="E9994">
        <v>117</v>
      </c>
      <c r="F9994">
        <v>57</v>
      </c>
      <c r="G9994">
        <v>4</v>
      </c>
      <c r="H9994">
        <v>8</v>
      </c>
      <c r="I9994">
        <v>124</v>
      </c>
      <c r="J9994">
        <v>1</v>
      </c>
      <c r="K9994">
        <v>7</v>
      </c>
      <c r="L9994">
        <v>119</v>
      </c>
      <c r="M9994">
        <v>1</v>
      </c>
      <c r="N9994">
        <v>5.2067899999999996E-26</v>
      </c>
      <c r="O9994">
        <v>282</v>
      </c>
    </row>
    <row r="9995" spans="1:15" x14ac:dyDescent="0.25">
      <c r="A9995" t="s">
        <v>10008</v>
      </c>
      <c r="B9995">
        <v>212</v>
      </c>
      <c r="C9995" s="1" t="str">
        <f>HYPERLINK("http://www.rosaceae.org/gb/gbrowse/malus_x_domestica/?name=MDP0000257313","MDP0000257313")</f>
        <v>MDP0000257313</v>
      </c>
      <c r="D9995">
        <v>69.31</v>
      </c>
      <c r="E9995">
        <v>189</v>
      </c>
      <c r="F9995">
        <v>58</v>
      </c>
      <c r="G9995">
        <v>0</v>
      </c>
      <c r="H9995">
        <v>24</v>
      </c>
      <c r="I9995">
        <v>212</v>
      </c>
      <c r="J9995">
        <v>1</v>
      </c>
      <c r="K9995">
        <v>24</v>
      </c>
      <c r="L9995">
        <v>212</v>
      </c>
      <c r="M9995">
        <v>1</v>
      </c>
      <c r="N9995">
        <v>5.3164600000000002E-71</v>
      </c>
      <c r="O9995">
        <v>674</v>
      </c>
    </row>
    <row r="9996" spans="1:15" x14ac:dyDescent="0.25">
      <c r="A9996" t="s">
        <v>10009</v>
      </c>
      <c r="B9996">
        <v>728</v>
      </c>
      <c r="C9996" s="1" t="str">
        <f>HYPERLINK("http://www.rosaceae.org/gb/gbrowse/malus_x_domestica/?name=MDP0000195309","MDP0000195309")</f>
        <v>MDP0000195309</v>
      </c>
      <c r="D9996">
        <v>57.56</v>
      </c>
      <c r="E9996">
        <v>747</v>
      </c>
      <c r="F9996">
        <v>317</v>
      </c>
      <c r="G9996">
        <v>26</v>
      </c>
      <c r="H9996">
        <v>1</v>
      </c>
      <c r="I9996">
        <v>728</v>
      </c>
      <c r="J9996">
        <v>1</v>
      </c>
      <c r="K9996">
        <v>1</v>
      </c>
      <c r="L9996">
        <v>740</v>
      </c>
      <c r="M9996">
        <v>1</v>
      </c>
      <c r="N9996">
        <v>0</v>
      </c>
      <c r="O9996">
        <v>2148</v>
      </c>
    </row>
    <row r="9997" spans="1:15" x14ac:dyDescent="0.25">
      <c r="A9997" t="s">
        <v>10010</v>
      </c>
      <c r="B9997">
        <v>209</v>
      </c>
      <c r="C9997" s="1" t="str">
        <f>HYPERLINK("http://www.rosaceae.org/gb/gbrowse/malus_x_domestica/?name=MDP0000128423","MDP0000128423")</f>
        <v>MDP0000128423</v>
      </c>
      <c r="D9997">
        <v>76.81</v>
      </c>
      <c r="E9997">
        <v>207</v>
      </c>
      <c r="F9997">
        <v>48</v>
      </c>
      <c r="G9997">
        <v>3</v>
      </c>
      <c r="H9997">
        <v>1</v>
      </c>
      <c r="I9997">
        <v>206</v>
      </c>
      <c r="J9997">
        <v>1</v>
      </c>
      <c r="K9997">
        <v>77</v>
      </c>
      <c r="L9997">
        <v>281</v>
      </c>
      <c r="M9997">
        <v>1</v>
      </c>
      <c r="N9997">
        <v>2.7806800000000002E-84</v>
      </c>
      <c r="O9997">
        <v>789</v>
      </c>
    </row>
    <row r="9998" spans="1:15" x14ac:dyDescent="0.25">
      <c r="A9998" t="s">
        <v>10011</v>
      </c>
      <c r="B9998">
        <v>250</v>
      </c>
      <c r="C9998" s="1" t="str">
        <f>HYPERLINK("http://www.rosaceae.org/gb/gbrowse/malus_x_domestica/?name=MDP0000787808","MDP0000787808")</f>
        <v>MDP0000787808</v>
      </c>
      <c r="D9998">
        <v>72.37</v>
      </c>
      <c r="E9998">
        <v>257</v>
      </c>
      <c r="F9998">
        <v>71</v>
      </c>
      <c r="G9998">
        <v>18</v>
      </c>
      <c r="H9998">
        <v>1</v>
      </c>
      <c r="I9998">
        <v>245</v>
      </c>
      <c r="J9998">
        <v>1</v>
      </c>
      <c r="K9998">
        <v>1</v>
      </c>
      <c r="L9998">
        <v>251</v>
      </c>
      <c r="M9998">
        <v>1</v>
      </c>
      <c r="N9998">
        <v>1.95702E-101</v>
      </c>
      <c r="O9998">
        <v>938</v>
      </c>
    </row>
    <row r="9999" spans="1:15" x14ac:dyDescent="0.25">
      <c r="A9999" t="s">
        <v>10012</v>
      </c>
      <c r="B9999">
        <v>642</v>
      </c>
      <c r="C9999" s="1" t="str">
        <f>HYPERLINK("http://www.rosaceae.org/gb/gbrowse/malus_x_domestica/?name=MDP0000188414","MDP0000188414")</f>
        <v>MDP0000188414</v>
      </c>
      <c r="D9999">
        <v>70.94</v>
      </c>
      <c r="E9999">
        <v>444</v>
      </c>
      <c r="F9999">
        <v>129</v>
      </c>
      <c r="G9999">
        <v>26</v>
      </c>
      <c r="H9999">
        <v>216</v>
      </c>
      <c r="I9999">
        <v>642</v>
      </c>
      <c r="J9999">
        <v>1</v>
      </c>
      <c r="K9999">
        <v>1</v>
      </c>
      <c r="L9999">
        <v>435</v>
      </c>
      <c r="M9999">
        <v>1</v>
      </c>
      <c r="N9999">
        <v>1.0391200000000001E-169</v>
      </c>
      <c r="O9999">
        <v>1531</v>
      </c>
    </row>
    <row r="10000" spans="1:15" x14ac:dyDescent="0.25">
      <c r="A10000" t="s">
        <v>10013</v>
      </c>
      <c r="B10000">
        <v>1024</v>
      </c>
      <c r="C10000" s="1" t="str">
        <f>HYPERLINK("http://www.rosaceae.org/gb/gbrowse/malus_x_domestica/?name=MDP0000188563","MDP0000188563")</f>
        <v>MDP0000188563</v>
      </c>
      <c r="D10000">
        <v>56.38</v>
      </c>
      <c r="E10000">
        <v>1034</v>
      </c>
      <c r="F10000">
        <v>451</v>
      </c>
      <c r="G10000">
        <v>136</v>
      </c>
      <c r="H10000">
        <v>58</v>
      </c>
      <c r="I10000">
        <v>1024</v>
      </c>
      <c r="J10000">
        <v>1</v>
      </c>
      <c r="K10000">
        <v>11</v>
      </c>
      <c r="L10000">
        <v>975</v>
      </c>
      <c r="M10000">
        <v>1</v>
      </c>
      <c r="N10000">
        <v>0</v>
      </c>
      <c r="O10000">
        <v>2553</v>
      </c>
    </row>
    <row r="10001" spans="1:15" x14ac:dyDescent="0.25">
      <c r="A10001" t="s">
        <v>10014</v>
      </c>
      <c r="B10001">
        <v>104</v>
      </c>
      <c r="C10001" s="1" t="str">
        <f>HYPERLINK("http://www.rosaceae.org/gb/gbrowse/malus_x_domestica/?name=MDP0000310247","MDP0000310247")</f>
        <v>MDP0000310247</v>
      </c>
      <c r="D10001">
        <v>70.73</v>
      </c>
      <c r="E10001">
        <v>82</v>
      </c>
      <c r="F10001">
        <v>24</v>
      </c>
      <c r="G10001">
        <v>0</v>
      </c>
      <c r="H10001">
        <v>23</v>
      </c>
      <c r="I10001">
        <v>104</v>
      </c>
      <c r="J10001">
        <v>1</v>
      </c>
      <c r="K10001">
        <v>27</v>
      </c>
      <c r="L10001">
        <v>108</v>
      </c>
      <c r="M10001">
        <v>1</v>
      </c>
      <c r="N10001">
        <v>1.65821E-28</v>
      </c>
      <c r="O10001">
        <v>303</v>
      </c>
    </row>
    <row r="10002" spans="1:15" x14ac:dyDescent="0.25">
      <c r="A10002" t="s">
        <v>10015</v>
      </c>
      <c r="B10002">
        <v>928</v>
      </c>
      <c r="C10002" s="1" t="str">
        <f>HYPERLINK("http://www.rosaceae.org/gb/gbrowse/malus_x_domestica/?name=MDP0000256894","MDP0000256894")</f>
        <v>MDP0000256894</v>
      </c>
      <c r="D10002">
        <v>76.650000000000006</v>
      </c>
      <c r="E10002">
        <v>814</v>
      </c>
      <c r="F10002">
        <v>190</v>
      </c>
      <c r="G10002">
        <v>12</v>
      </c>
      <c r="H10002">
        <v>1</v>
      </c>
      <c r="I10002">
        <v>802</v>
      </c>
      <c r="J10002">
        <v>1</v>
      </c>
      <c r="K10002">
        <v>1</v>
      </c>
      <c r="L10002">
        <v>814</v>
      </c>
      <c r="M10002">
        <v>1</v>
      </c>
      <c r="N10002">
        <v>0</v>
      </c>
      <c r="O10002">
        <v>3114</v>
      </c>
    </row>
    <row r="10003" spans="1:15" x14ac:dyDescent="0.25">
      <c r="A10003" t="s">
        <v>10016</v>
      </c>
      <c r="B10003">
        <v>773</v>
      </c>
      <c r="C10003" s="1" t="str">
        <f>HYPERLINK("http://www.rosaceae.org/gb/gbrowse/malus_x_domestica/?name=MDP0000186402","MDP0000186402")</f>
        <v>MDP0000186402</v>
      </c>
      <c r="D10003">
        <v>26</v>
      </c>
      <c r="E10003">
        <v>400</v>
      </c>
      <c r="F10003">
        <v>296</v>
      </c>
      <c r="G10003">
        <v>70</v>
      </c>
      <c r="H10003">
        <v>289</v>
      </c>
      <c r="I10003">
        <v>634</v>
      </c>
      <c r="J10003">
        <v>1</v>
      </c>
      <c r="K10003">
        <v>124</v>
      </c>
      <c r="L10003">
        <v>507</v>
      </c>
      <c r="M10003">
        <v>1</v>
      </c>
      <c r="N10003">
        <v>4.6949400000000003E-25</v>
      </c>
      <c r="O10003">
        <v>284</v>
      </c>
    </row>
    <row r="10004" spans="1:15" x14ac:dyDescent="0.25">
      <c r="A10004" t="s">
        <v>10017</v>
      </c>
      <c r="B10004">
        <v>371</v>
      </c>
      <c r="C10004" s="1" t="str">
        <f>HYPERLINK("http://www.rosaceae.org/gb/gbrowse/malus_x_domestica/?name=MDP0000942852","MDP0000942852")</f>
        <v>MDP0000942852</v>
      </c>
      <c r="D10004">
        <v>67.47</v>
      </c>
      <c r="E10004">
        <v>372</v>
      </c>
      <c r="F10004">
        <v>121</v>
      </c>
      <c r="G10004">
        <v>14</v>
      </c>
      <c r="H10004">
        <v>1</v>
      </c>
      <c r="I10004">
        <v>371</v>
      </c>
      <c r="J10004">
        <v>1</v>
      </c>
      <c r="K10004">
        <v>1</v>
      </c>
      <c r="L10004">
        <v>359</v>
      </c>
      <c r="M10004">
        <v>1</v>
      </c>
      <c r="N10004">
        <v>4.8364900000000001E-108</v>
      </c>
      <c r="O10004">
        <v>997</v>
      </c>
    </row>
    <row r="10005" spans="1:15" x14ac:dyDescent="0.25">
      <c r="A10005" t="s">
        <v>10018</v>
      </c>
      <c r="B10005">
        <v>799</v>
      </c>
      <c r="C10005" s="1" t="str">
        <f>HYPERLINK("http://www.rosaceae.org/gb/gbrowse/malus_x_domestica/?name=MDP0000264731","MDP0000264731")</f>
        <v>MDP0000264731</v>
      </c>
      <c r="D10005">
        <v>66.52</v>
      </c>
      <c r="E10005">
        <v>460</v>
      </c>
      <c r="F10005">
        <v>154</v>
      </c>
      <c r="G10005">
        <v>21</v>
      </c>
      <c r="H10005">
        <v>8</v>
      </c>
      <c r="I10005">
        <v>461</v>
      </c>
      <c r="J10005">
        <v>1</v>
      </c>
      <c r="K10005">
        <v>213</v>
      </c>
      <c r="L10005">
        <v>657</v>
      </c>
      <c r="M10005">
        <v>1</v>
      </c>
      <c r="N10005">
        <v>0</v>
      </c>
      <c r="O10005">
        <v>1662</v>
      </c>
    </row>
    <row r="10006" spans="1:15" x14ac:dyDescent="0.25">
      <c r="A10006" t="s">
        <v>10019</v>
      </c>
      <c r="B10006">
        <v>276</v>
      </c>
      <c r="C10006" s="1" t="str">
        <f>HYPERLINK("http://www.rosaceae.org/gb/gbrowse/malus_x_domestica/?name=MDP0000150729","MDP0000150729")</f>
        <v>MDP0000150729</v>
      </c>
      <c r="D10006">
        <v>88.8</v>
      </c>
      <c r="E10006">
        <v>277</v>
      </c>
      <c r="F10006">
        <v>31</v>
      </c>
      <c r="G10006">
        <v>1</v>
      </c>
      <c r="H10006">
        <v>1</v>
      </c>
      <c r="I10006">
        <v>276</v>
      </c>
      <c r="J10006">
        <v>1</v>
      </c>
      <c r="K10006">
        <v>1</v>
      </c>
      <c r="L10006">
        <v>277</v>
      </c>
      <c r="M10006">
        <v>1</v>
      </c>
      <c r="N10006">
        <v>6.3885199999999996E-140</v>
      </c>
      <c r="O10006">
        <v>1270</v>
      </c>
    </row>
    <row r="10007" spans="1:15" x14ac:dyDescent="0.25">
      <c r="A10007" t="s">
        <v>10020</v>
      </c>
      <c r="B10007">
        <v>544</v>
      </c>
      <c r="C10007" s="1" t="str">
        <f>HYPERLINK("http://www.rosaceae.org/gb/gbrowse/malus_x_domestica/?name=MDP0000163774","MDP0000163774")</f>
        <v>MDP0000163774</v>
      </c>
      <c r="D10007">
        <v>51</v>
      </c>
      <c r="E10007">
        <v>100</v>
      </c>
      <c r="F10007">
        <v>49</v>
      </c>
      <c r="G10007">
        <v>2</v>
      </c>
      <c r="H10007">
        <v>113</v>
      </c>
      <c r="I10007">
        <v>212</v>
      </c>
      <c r="J10007">
        <v>1</v>
      </c>
      <c r="K10007">
        <v>72</v>
      </c>
      <c r="L10007">
        <v>169</v>
      </c>
      <c r="M10007">
        <v>1</v>
      </c>
      <c r="N10007">
        <v>1.9288299999999999E-23</v>
      </c>
      <c r="O10007">
        <v>269</v>
      </c>
    </row>
    <row r="10008" spans="1:15" x14ac:dyDescent="0.25">
      <c r="A10008" t="s">
        <v>10021</v>
      </c>
      <c r="B10008">
        <v>204</v>
      </c>
      <c r="C10008" s="1" t="str">
        <f>HYPERLINK("http://www.rosaceae.org/gb/gbrowse/malus_x_domestica/?name=MDP0000881983","MDP0000881983")</f>
        <v>MDP0000881983</v>
      </c>
      <c r="D10008">
        <v>46.04</v>
      </c>
      <c r="E10008">
        <v>215</v>
      </c>
      <c r="F10008">
        <v>116</v>
      </c>
      <c r="G10008">
        <v>28</v>
      </c>
      <c r="H10008">
        <v>3</v>
      </c>
      <c r="I10008">
        <v>189</v>
      </c>
      <c r="J10008">
        <v>1</v>
      </c>
      <c r="K10008">
        <v>350</v>
      </c>
      <c r="L10008">
        <v>564</v>
      </c>
      <c r="M10008">
        <v>1</v>
      </c>
      <c r="N10008">
        <v>2.3721E-40</v>
      </c>
      <c r="O10008">
        <v>410</v>
      </c>
    </row>
    <row r="10009" spans="1:15" x14ac:dyDescent="0.25">
      <c r="A10009" t="s">
        <v>10022</v>
      </c>
      <c r="B10009">
        <v>100</v>
      </c>
      <c r="C10009" s="1" t="str">
        <f>HYPERLINK("http://www.rosaceae.org/gb/gbrowse/malus_x_domestica/?name=MDP0000774306","MDP0000774306")</f>
        <v>MDP0000774306</v>
      </c>
      <c r="D10009">
        <v>46.03</v>
      </c>
      <c r="E10009">
        <v>63</v>
      </c>
      <c r="F10009">
        <v>34</v>
      </c>
      <c r="G10009">
        <v>1</v>
      </c>
      <c r="H10009">
        <v>1</v>
      </c>
      <c r="I10009">
        <v>62</v>
      </c>
      <c r="J10009">
        <v>1</v>
      </c>
      <c r="K10009">
        <v>272</v>
      </c>
      <c r="L10009">
        <v>334</v>
      </c>
      <c r="M10009">
        <v>1</v>
      </c>
      <c r="N10009">
        <v>2.15282E-8</v>
      </c>
      <c r="O10009">
        <v>130</v>
      </c>
    </row>
    <row r="10010" spans="1:15" x14ac:dyDescent="0.25">
      <c r="A10010" t="s">
        <v>10023</v>
      </c>
      <c r="B10010">
        <v>618</v>
      </c>
      <c r="C10010" s="1" t="str">
        <f>HYPERLINK("http://www.rosaceae.org/gb/gbrowse/malus_x_domestica/?name=MDP0000202831","MDP0000202831")</f>
        <v>MDP0000202831</v>
      </c>
      <c r="D10010">
        <v>59.73</v>
      </c>
      <c r="E10010">
        <v>601</v>
      </c>
      <c r="F10010">
        <v>242</v>
      </c>
      <c r="G10010">
        <v>17</v>
      </c>
      <c r="H10010">
        <v>2</v>
      </c>
      <c r="I10010">
        <v>596</v>
      </c>
      <c r="J10010">
        <v>1</v>
      </c>
      <c r="K10010">
        <v>1</v>
      </c>
      <c r="L10010">
        <v>590</v>
      </c>
      <c r="M10010">
        <v>1</v>
      </c>
      <c r="N10010">
        <v>0</v>
      </c>
      <c r="O10010">
        <v>1725</v>
      </c>
    </row>
    <row r="10011" spans="1:15" x14ac:dyDescent="0.25">
      <c r="A10011" t="s">
        <v>10024</v>
      </c>
      <c r="B10011">
        <v>272</v>
      </c>
      <c r="C10011" s="1" t="str">
        <f>HYPERLINK("http://www.rosaceae.org/gb/gbrowse/malus_x_domestica/?name=MDP0000023975","MDP0000023975")</f>
        <v>MDP0000023975</v>
      </c>
      <c r="D10011">
        <v>72.319999999999993</v>
      </c>
      <c r="E10011">
        <v>271</v>
      </c>
      <c r="F10011">
        <v>75</v>
      </c>
      <c r="G10011">
        <v>4</v>
      </c>
      <c r="H10011">
        <v>1</v>
      </c>
      <c r="I10011">
        <v>271</v>
      </c>
      <c r="J10011">
        <v>1</v>
      </c>
      <c r="K10011">
        <v>1</v>
      </c>
      <c r="L10011">
        <v>267</v>
      </c>
      <c r="M10011">
        <v>1</v>
      </c>
      <c r="N10011">
        <v>4.0471500000000001E-109</v>
      </c>
      <c r="O10011">
        <v>1004</v>
      </c>
    </row>
    <row r="10012" spans="1:15" x14ac:dyDescent="0.25">
      <c r="A10012" t="s">
        <v>10025</v>
      </c>
      <c r="B10012">
        <v>3081</v>
      </c>
      <c r="C10012" s="1" t="str">
        <f>HYPERLINK("http://www.rosaceae.org/gb/gbrowse/malus_x_domestica/?name=MDP0000230475","MDP0000230475")</f>
        <v>MDP0000230475</v>
      </c>
      <c r="D10012">
        <v>64.37</v>
      </c>
      <c r="E10012">
        <v>1701</v>
      </c>
      <c r="F10012">
        <v>606</v>
      </c>
      <c r="G10012">
        <v>50</v>
      </c>
      <c r="H10012">
        <v>1232</v>
      </c>
      <c r="I10012">
        <v>2903</v>
      </c>
      <c r="J10012">
        <v>1</v>
      </c>
      <c r="K10012">
        <v>1</v>
      </c>
      <c r="L10012">
        <v>1680</v>
      </c>
      <c r="M10012">
        <v>1</v>
      </c>
      <c r="N10012">
        <v>0</v>
      </c>
      <c r="O10012">
        <v>5197</v>
      </c>
    </row>
    <row r="10013" spans="1:15" x14ac:dyDescent="0.25">
      <c r="A10013" t="s">
        <v>10026</v>
      </c>
      <c r="B10013">
        <v>2067</v>
      </c>
      <c r="C10013" s="1" t="str">
        <f>HYPERLINK("http://www.rosaceae.org/gb/gbrowse/malus_x_domestica/?name=MDP0000089058","MDP0000089058")</f>
        <v>MDP0000089058</v>
      </c>
      <c r="D10013">
        <v>85.29</v>
      </c>
      <c r="E10013">
        <v>1020</v>
      </c>
      <c r="F10013">
        <v>150</v>
      </c>
      <c r="G10013">
        <v>11</v>
      </c>
      <c r="H10013">
        <v>1055</v>
      </c>
      <c r="I10013">
        <v>2067</v>
      </c>
      <c r="J10013">
        <v>1</v>
      </c>
      <c r="K10013">
        <v>1</v>
      </c>
      <c r="L10013">
        <v>1016</v>
      </c>
      <c r="M10013">
        <v>1</v>
      </c>
      <c r="N10013">
        <v>0</v>
      </c>
      <c r="O10013">
        <v>4809</v>
      </c>
    </row>
    <row r="10014" spans="1:15" x14ac:dyDescent="0.25">
      <c r="A10014" t="s">
        <v>10027</v>
      </c>
      <c r="B10014">
        <v>122</v>
      </c>
      <c r="C10014" s="1" t="str">
        <f>HYPERLINK("http://www.rosaceae.org/gb/gbrowse/malus_x_domestica/?name=MDP0000263151","MDP0000263151")</f>
        <v>MDP0000263151</v>
      </c>
      <c r="D10014">
        <v>74.59</v>
      </c>
      <c r="E10014">
        <v>122</v>
      </c>
      <c r="F10014">
        <v>31</v>
      </c>
      <c r="G10014">
        <v>0</v>
      </c>
      <c r="H10014">
        <v>1</v>
      </c>
      <c r="I10014">
        <v>122</v>
      </c>
      <c r="J10014">
        <v>1</v>
      </c>
      <c r="K10014">
        <v>1</v>
      </c>
      <c r="L10014">
        <v>122</v>
      </c>
      <c r="M10014">
        <v>1</v>
      </c>
      <c r="N10014">
        <v>3.6103600000000001E-47</v>
      </c>
      <c r="O10014">
        <v>464</v>
      </c>
    </row>
    <row r="10015" spans="1:15" x14ac:dyDescent="0.25">
      <c r="A10015" t="s">
        <v>10028</v>
      </c>
      <c r="B10015">
        <v>526</v>
      </c>
      <c r="C10015" s="1" t="str">
        <f>HYPERLINK("http://www.rosaceae.org/gb/gbrowse/malus_x_domestica/?name=MDP0000208027","MDP0000208027")</f>
        <v>MDP0000208027</v>
      </c>
      <c r="D10015">
        <v>87.8</v>
      </c>
      <c r="E10015">
        <v>164</v>
      </c>
      <c r="F10015">
        <v>20</v>
      </c>
      <c r="G10015">
        <v>0</v>
      </c>
      <c r="H10015">
        <v>360</v>
      </c>
      <c r="I10015">
        <v>523</v>
      </c>
      <c r="J10015">
        <v>1</v>
      </c>
      <c r="K10015">
        <v>1</v>
      </c>
      <c r="L10015">
        <v>164</v>
      </c>
      <c r="M10015">
        <v>1</v>
      </c>
      <c r="N10015">
        <v>1.4386900000000001E-83</v>
      </c>
      <c r="O10015">
        <v>787</v>
      </c>
    </row>
    <row r="10016" spans="1:15" x14ac:dyDescent="0.25">
      <c r="A10016" t="s">
        <v>10029</v>
      </c>
      <c r="B10016">
        <v>389</v>
      </c>
      <c r="C10016" s="1" t="str">
        <f>HYPERLINK("http://www.rosaceae.org/gb/gbrowse/malus_x_domestica/?name=MDP0000291555","MDP0000291555")</f>
        <v>MDP0000291555</v>
      </c>
      <c r="D10016">
        <v>57.14</v>
      </c>
      <c r="E10016">
        <v>385</v>
      </c>
      <c r="F10016">
        <v>165</v>
      </c>
      <c r="G10016">
        <v>42</v>
      </c>
      <c r="H10016">
        <v>1</v>
      </c>
      <c r="I10016">
        <v>343</v>
      </c>
      <c r="J10016">
        <v>1</v>
      </c>
      <c r="K10016">
        <v>1</v>
      </c>
      <c r="L10016">
        <v>385</v>
      </c>
      <c r="M10016">
        <v>1</v>
      </c>
      <c r="N10016">
        <v>8.54809E-125</v>
      </c>
      <c r="O10016">
        <v>1142</v>
      </c>
    </row>
    <row r="10017" spans="1:15" x14ac:dyDescent="0.25">
      <c r="A10017" t="s">
        <v>10030</v>
      </c>
      <c r="B10017">
        <v>504</v>
      </c>
      <c r="C10017" s="1" t="str">
        <f>HYPERLINK("http://www.rosaceae.org/gb/gbrowse/malus_x_domestica/?name=MDP0000714217","MDP0000714217")</f>
        <v>MDP0000714217</v>
      </c>
      <c r="D10017">
        <v>26.66</v>
      </c>
      <c r="E10017">
        <v>435</v>
      </c>
      <c r="F10017">
        <v>319</v>
      </c>
      <c r="G10017">
        <v>61</v>
      </c>
      <c r="H10017">
        <v>78</v>
      </c>
      <c r="I10017">
        <v>504</v>
      </c>
      <c r="J10017">
        <v>1</v>
      </c>
      <c r="K10017">
        <v>86</v>
      </c>
      <c r="L10017">
        <v>467</v>
      </c>
      <c r="M10017">
        <v>1</v>
      </c>
      <c r="N10017">
        <v>4.4115900000000003E-32</v>
      </c>
      <c r="O10017">
        <v>343</v>
      </c>
    </row>
    <row r="10018" spans="1:15" x14ac:dyDescent="0.25">
      <c r="A10018" t="s">
        <v>10031</v>
      </c>
      <c r="B10018">
        <v>271</v>
      </c>
      <c r="C10018" s="1" t="str">
        <f>HYPERLINK("http://www.rosaceae.org/gb/gbrowse/malus_x_domestica/?name=MDP0000443139","MDP0000443139")</f>
        <v>MDP0000443139</v>
      </c>
      <c r="D10018">
        <v>84.5</v>
      </c>
      <c r="E10018">
        <v>271</v>
      </c>
      <c r="F10018">
        <v>42</v>
      </c>
      <c r="G10018">
        <v>0</v>
      </c>
      <c r="H10018">
        <v>1</v>
      </c>
      <c r="I10018">
        <v>271</v>
      </c>
      <c r="J10018">
        <v>1</v>
      </c>
      <c r="K10018">
        <v>1</v>
      </c>
      <c r="L10018">
        <v>271</v>
      </c>
      <c r="M10018">
        <v>1</v>
      </c>
      <c r="N10018">
        <v>4.5700599999999997E-130</v>
      </c>
      <c r="O10018">
        <v>1185</v>
      </c>
    </row>
    <row r="10019" spans="1:15" x14ac:dyDescent="0.25">
      <c r="A10019" t="s">
        <v>10032</v>
      </c>
      <c r="B10019">
        <v>271</v>
      </c>
      <c r="C10019" s="1" t="str">
        <f>HYPERLINK("http://www.rosaceae.org/gb/gbrowse/malus_x_domestica/?name=MDP0000293500","MDP0000293500")</f>
        <v>MDP0000293500</v>
      </c>
      <c r="D10019">
        <v>46.46</v>
      </c>
      <c r="E10019">
        <v>99</v>
      </c>
      <c r="F10019">
        <v>53</v>
      </c>
      <c r="G10019">
        <v>0</v>
      </c>
      <c r="H10019">
        <v>172</v>
      </c>
      <c r="I10019">
        <v>270</v>
      </c>
      <c r="J10019">
        <v>1</v>
      </c>
      <c r="K10019">
        <v>24</v>
      </c>
      <c r="L10019">
        <v>122</v>
      </c>
      <c r="M10019">
        <v>1</v>
      </c>
      <c r="N10019">
        <v>3.2919300000000001E-24</v>
      </c>
      <c r="O10019">
        <v>272</v>
      </c>
    </row>
    <row r="10020" spans="1:15" x14ac:dyDescent="0.25">
      <c r="A10020" t="s">
        <v>10033</v>
      </c>
      <c r="B10020">
        <v>474</v>
      </c>
      <c r="C10020" s="1" t="str">
        <f>HYPERLINK("http://www.rosaceae.org/gb/gbrowse/malus_x_domestica/?name=MDP0000219591","MDP0000219591")</f>
        <v>MDP0000219591</v>
      </c>
      <c r="D10020">
        <v>77.180000000000007</v>
      </c>
      <c r="E10020">
        <v>504</v>
      </c>
      <c r="F10020">
        <v>115</v>
      </c>
      <c r="G10020">
        <v>65</v>
      </c>
      <c r="H10020">
        <v>35</v>
      </c>
      <c r="I10020">
        <v>473</v>
      </c>
      <c r="J10020">
        <v>1</v>
      </c>
      <c r="K10020">
        <v>3</v>
      </c>
      <c r="L10020">
        <v>506</v>
      </c>
      <c r="M10020">
        <v>1</v>
      </c>
      <c r="N10020">
        <v>0</v>
      </c>
      <c r="O10020">
        <v>1962</v>
      </c>
    </row>
    <row r="10021" spans="1:15" x14ac:dyDescent="0.25">
      <c r="A10021" t="s">
        <v>10034</v>
      </c>
      <c r="B10021">
        <v>784</v>
      </c>
      <c r="C10021" s="1" t="str">
        <f>HYPERLINK("http://www.rosaceae.org/gb/gbrowse/malus_x_domestica/?name=MDP0000214281","MDP0000214281")</f>
        <v>MDP0000214281</v>
      </c>
      <c r="D10021">
        <v>50.07</v>
      </c>
      <c r="E10021">
        <v>711</v>
      </c>
      <c r="F10021">
        <v>355</v>
      </c>
      <c r="G10021">
        <v>77</v>
      </c>
      <c r="H10021">
        <v>1</v>
      </c>
      <c r="I10021">
        <v>697</v>
      </c>
      <c r="J10021">
        <v>1</v>
      </c>
      <c r="K10021">
        <v>1</v>
      </c>
      <c r="L10021">
        <v>648</v>
      </c>
      <c r="M10021">
        <v>1</v>
      </c>
      <c r="N10021">
        <v>2.45125E-165</v>
      </c>
      <c r="O10021">
        <v>1494</v>
      </c>
    </row>
    <row r="10022" spans="1:15" x14ac:dyDescent="0.25">
      <c r="A10022" t="s">
        <v>10035</v>
      </c>
      <c r="B10022">
        <v>656</v>
      </c>
      <c r="C10022" s="1" t="str">
        <f>HYPERLINK("http://www.rosaceae.org/gb/gbrowse/malus_x_domestica/?name=MDP0000216466","MDP0000216466")</f>
        <v>MDP0000216466</v>
      </c>
      <c r="D10022">
        <v>60.12</v>
      </c>
      <c r="E10022">
        <v>652</v>
      </c>
      <c r="F10022">
        <v>260</v>
      </c>
      <c r="G10022">
        <v>12</v>
      </c>
      <c r="H10022">
        <v>14</v>
      </c>
      <c r="I10022">
        <v>656</v>
      </c>
      <c r="J10022">
        <v>1</v>
      </c>
      <c r="K10022">
        <v>10</v>
      </c>
      <c r="L10022">
        <v>658</v>
      </c>
      <c r="M10022">
        <v>1</v>
      </c>
      <c r="N10022">
        <v>0</v>
      </c>
      <c r="O10022">
        <v>2138</v>
      </c>
    </row>
    <row r="10023" spans="1:15" x14ac:dyDescent="0.25">
      <c r="A10023" t="s">
        <v>10036</v>
      </c>
      <c r="B10023">
        <v>199</v>
      </c>
      <c r="C10023" s="1" t="str">
        <f>HYPERLINK("http://www.rosaceae.org/gb/gbrowse/malus_x_domestica/?name=MDP0000248865","MDP0000248865")</f>
        <v>MDP0000248865</v>
      </c>
      <c r="D10023">
        <v>68.489999999999995</v>
      </c>
      <c r="E10023">
        <v>73</v>
      </c>
      <c r="F10023">
        <v>23</v>
      </c>
      <c r="G10023">
        <v>6</v>
      </c>
      <c r="H10023">
        <v>90</v>
      </c>
      <c r="I10023">
        <v>156</v>
      </c>
      <c r="J10023">
        <v>1</v>
      </c>
      <c r="K10023">
        <v>20</v>
      </c>
      <c r="L10023">
        <v>92</v>
      </c>
      <c r="M10023">
        <v>1</v>
      </c>
      <c r="N10023">
        <v>1.1718E-20</v>
      </c>
      <c r="O10023">
        <v>240</v>
      </c>
    </row>
    <row r="10024" spans="1:15" x14ac:dyDescent="0.25">
      <c r="A10024" t="s">
        <v>10037</v>
      </c>
      <c r="B10024">
        <v>698</v>
      </c>
      <c r="C10024" s="1" t="str">
        <f>HYPERLINK("http://www.rosaceae.org/gb/gbrowse/malus_x_domestica/?name=MDP0000843691","MDP0000843691")</f>
        <v>MDP0000843691</v>
      </c>
      <c r="D10024">
        <v>67.61</v>
      </c>
      <c r="E10024">
        <v>667</v>
      </c>
      <c r="F10024">
        <v>216</v>
      </c>
      <c r="G10024">
        <v>17</v>
      </c>
      <c r="H10024">
        <v>1</v>
      </c>
      <c r="I10024">
        <v>654</v>
      </c>
      <c r="J10024">
        <v>1</v>
      </c>
      <c r="K10024">
        <v>1</v>
      </c>
      <c r="L10024">
        <v>663</v>
      </c>
      <c r="M10024">
        <v>1</v>
      </c>
      <c r="N10024">
        <v>0</v>
      </c>
      <c r="O10024">
        <v>2282</v>
      </c>
    </row>
    <row r="10025" spans="1:15" x14ac:dyDescent="0.25">
      <c r="A10025" t="s">
        <v>10038</v>
      </c>
      <c r="B10025">
        <v>652</v>
      </c>
      <c r="C10025" s="1" t="str">
        <f>HYPERLINK("http://www.rosaceae.org/gb/gbrowse/malus_x_domestica/?name=MDP0000381084","MDP0000381084")</f>
        <v>MDP0000381084</v>
      </c>
      <c r="D10025">
        <v>87.27</v>
      </c>
      <c r="E10025">
        <v>220</v>
      </c>
      <c r="F10025">
        <v>28</v>
      </c>
      <c r="G10025">
        <v>0</v>
      </c>
      <c r="H10025">
        <v>101</v>
      </c>
      <c r="I10025">
        <v>320</v>
      </c>
      <c r="J10025">
        <v>1</v>
      </c>
      <c r="K10025">
        <v>3</v>
      </c>
      <c r="L10025">
        <v>222</v>
      </c>
      <c r="M10025">
        <v>1</v>
      </c>
      <c r="N10025">
        <v>1.7347300000000001E-106</v>
      </c>
      <c r="O10025">
        <v>986</v>
      </c>
    </row>
    <row r="10026" spans="1:15" x14ac:dyDescent="0.25">
      <c r="A10026" t="s">
        <v>10039</v>
      </c>
      <c r="B10026">
        <v>383</v>
      </c>
      <c r="C10026" s="1" t="str">
        <f>HYPERLINK("http://www.rosaceae.org/gb/gbrowse/malus_x_domestica/?name=MDP0000215300","MDP0000215300")</f>
        <v>MDP0000215300</v>
      </c>
      <c r="D10026">
        <v>69.25</v>
      </c>
      <c r="E10026">
        <v>387</v>
      </c>
      <c r="F10026">
        <v>119</v>
      </c>
      <c r="G10026">
        <v>17</v>
      </c>
      <c r="H10026">
        <v>1</v>
      </c>
      <c r="I10026">
        <v>383</v>
      </c>
      <c r="J10026">
        <v>1</v>
      </c>
      <c r="K10026">
        <v>1</v>
      </c>
      <c r="L10026">
        <v>374</v>
      </c>
      <c r="M10026">
        <v>1</v>
      </c>
      <c r="N10026">
        <v>9.4907499999999997E-151</v>
      </c>
      <c r="O10026">
        <v>1365</v>
      </c>
    </row>
    <row r="10027" spans="1:15" x14ac:dyDescent="0.25">
      <c r="A10027" t="s">
        <v>10040</v>
      </c>
      <c r="B10027">
        <v>853</v>
      </c>
      <c r="C10027" s="1" t="str">
        <f>HYPERLINK("http://www.rosaceae.org/gb/gbrowse/malus_x_domestica/?name=MDP0000249051","MDP0000249051")</f>
        <v>MDP0000249051</v>
      </c>
      <c r="D10027">
        <v>52.35</v>
      </c>
      <c r="E10027">
        <v>871</v>
      </c>
      <c r="F10027">
        <v>415</v>
      </c>
      <c r="G10027">
        <v>175</v>
      </c>
      <c r="H10027">
        <v>15</v>
      </c>
      <c r="I10027">
        <v>834</v>
      </c>
      <c r="J10027">
        <v>1</v>
      </c>
      <c r="K10027">
        <v>4</v>
      </c>
      <c r="L10027">
        <v>750</v>
      </c>
      <c r="M10027">
        <v>1</v>
      </c>
      <c r="N10027">
        <v>0</v>
      </c>
      <c r="O10027">
        <v>1921</v>
      </c>
    </row>
    <row r="10028" spans="1:15" x14ac:dyDescent="0.25">
      <c r="A10028" t="s">
        <v>10041</v>
      </c>
      <c r="B10028">
        <v>245</v>
      </c>
      <c r="C10028" s="1" t="str">
        <f>HYPERLINK("http://www.rosaceae.org/gb/gbrowse/malus_x_domestica/?name=MDP0000247249","MDP0000247249")</f>
        <v>MDP0000247249</v>
      </c>
      <c r="D10028">
        <v>92.94</v>
      </c>
      <c r="E10028">
        <v>241</v>
      </c>
      <c r="F10028">
        <v>17</v>
      </c>
      <c r="G10028">
        <v>0</v>
      </c>
      <c r="H10028">
        <v>5</v>
      </c>
      <c r="I10028">
        <v>245</v>
      </c>
      <c r="J10028">
        <v>1</v>
      </c>
      <c r="K10028">
        <v>94</v>
      </c>
      <c r="L10028">
        <v>334</v>
      </c>
      <c r="M10028">
        <v>1</v>
      </c>
      <c r="N10028">
        <v>1.82862E-131</v>
      </c>
      <c r="O10028">
        <v>1197</v>
      </c>
    </row>
    <row r="10029" spans="1:15" x14ac:dyDescent="0.25">
      <c r="A10029" t="s">
        <v>10042</v>
      </c>
      <c r="B10029">
        <v>252</v>
      </c>
      <c r="C10029" s="1" t="str">
        <f>HYPERLINK("http://www.rosaceae.org/gb/gbrowse/malus_x_domestica/?name=MDP0000313138","MDP0000313138")</f>
        <v>MDP0000313138</v>
      </c>
      <c r="D10029">
        <v>29.92</v>
      </c>
      <c r="E10029">
        <v>137</v>
      </c>
      <c r="F10029">
        <v>96</v>
      </c>
      <c r="G10029">
        <v>5</v>
      </c>
      <c r="H10029">
        <v>3</v>
      </c>
      <c r="I10029">
        <v>138</v>
      </c>
      <c r="J10029">
        <v>1</v>
      </c>
      <c r="K10029">
        <v>77</v>
      </c>
      <c r="L10029">
        <v>209</v>
      </c>
      <c r="M10029">
        <v>1</v>
      </c>
      <c r="N10029">
        <v>2.5078900000000001E-11</v>
      </c>
      <c r="O10029">
        <v>161</v>
      </c>
    </row>
    <row r="10030" spans="1:15" x14ac:dyDescent="0.25">
      <c r="A10030" t="s">
        <v>10043</v>
      </c>
      <c r="B10030">
        <v>156</v>
      </c>
      <c r="C10030" s="1" t="str">
        <f>HYPERLINK("http://www.rosaceae.org/gb/gbrowse/malus_x_domestica/?name=MDP0000167676","MDP0000167676")</f>
        <v>MDP0000167676</v>
      </c>
      <c r="D10030">
        <v>48.57</v>
      </c>
      <c r="E10030">
        <v>140</v>
      </c>
      <c r="F10030">
        <v>72</v>
      </c>
      <c r="G10030">
        <v>14</v>
      </c>
      <c r="H10030">
        <v>28</v>
      </c>
      <c r="I10030">
        <v>154</v>
      </c>
      <c r="J10030">
        <v>1</v>
      </c>
      <c r="K10030">
        <v>32</v>
      </c>
      <c r="L10030">
        <v>170</v>
      </c>
      <c r="M10030">
        <v>1</v>
      </c>
      <c r="N10030">
        <v>6.6254400000000002E-27</v>
      </c>
      <c r="O10030">
        <v>292</v>
      </c>
    </row>
    <row r="10031" spans="1:15" x14ac:dyDescent="0.25">
      <c r="A10031" t="s">
        <v>10044</v>
      </c>
      <c r="B10031">
        <v>478</v>
      </c>
      <c r="C10031" s="1" t="str">
        <f>HYPERLINK("http://www.rosaceae.org/gb/gbrowse/malus_x_domestica/?name=MDP0000316485","MDP0000316485")</f>
        <v>MDP0000316485</v>
      </c>
      <c r="D10031">
        <v>65.33</v>
      </c>
      <c r="E10031">
        <v>476</v>
      </c>
      <c r="F10031">
        <v>165</v>
      </c>
      <c r="G10031">
        <v>4</v>
      </c>
      <c r="H10031">
        <v>1</v>
      </c>
      <c r="I10031">
        <v>476</v>
      </c>
      <c r="J10031">
        <v>1</v>
      </c>
      <c r="K10031">
        <v>1</v>
      </c>
      <c r="L10031">
        <v>472</v>
      </c>
      <c r="M10031">
        <v>1</v>
      </c>
      <c r="N10031">
        <v>0</v>
      </c>
      <c r="O10031">
        <v>1643</v>
      </c>
    </row>
    <row r="10032" spans="1:15" x14ac:dyDescent="0.25">
      <c r="A10032" t="s">
        <v>10045</v>
      </c>
      <c r="B10032">
        <v>765</v>
      </c>
      <c r="C10032" s="1" t="str">
        <f>HYPERLINK("http://www.rosaceae.org/gb/gbrowse/malus_x_domestica/?name=MDP0000136463","MDP0000136463")</f>
        <v>MDP0000136463</v>
      </c>
      <c r="D10032">
        <v>44.49</v>
      </c>
      <c r="E10032">
        <v>409</v>
      </c>
      <c r="F10032">
        <v>227</v>
      </c>
      <c r="G10032">
        <v>27</v>
      </c>
      <c r="H10032">
        <v>376</v>
      </c>
      <c r="I10032">
        <v>765</v>
      </c>
      <c r="J10032">
        <v>1</v>
      </c>
      <c r="K10032">
        <v>2</v>
      </c>
      <c r="L10032">
        <v>402</v>
      </c>
      <c r="M10032">
        <v>1</v>
      </c>
      <c r="N10032">
        <v>7.1180300000000003E-73</v>
      </c>
      <c r="O10032">
        <v>697</v>
      </c>
    </row>
    <row r="10033" spans="1:15" x14ac:dyDescent="0.25">
      <c r="A10033" t="s">
        <v>10046</v>
      </c>
      <c r="B10033">
        <v>302</v>
      </c>
      <c r="C10033" s="1" t="str">
        <f>HYPERLINK("http://www.rosaceae.org/gb/gbrowse/malus_x_domestica/?name=MDP0000332261","MDP0000332261")</f>
        <v>MDP0000332261</v>
      </c>
      <c r="D10033">
        <v>39.520000000000003</v>
      </c>
      <c r="E10033">
        <v>210</v>
      </c>
      <c r="F10033">
        <v>127</v>
      </c>
      <c r="G10033">
        <v>17</v>
      </c>
      <c r="H10033">
        <v>50</v>
      </c>
      <c r="I10033">
        <v>253</v>
      </c>
      <c r="J10033">
        <v>1</v>
      </c>
      <c r="K10033">
        <v>1</v>
      </c>
      <c r="L10033">
        <v>199</v>
      </c>
      <c r="M10033">
        <v>1</v>
      </c>
      <c r="N10033">
        <v>3.0222999999999997E-35</v>
      </c>
      <c r="O10033">
        <v>368</v>
      </c>
    </row>
    <row r="10034" spans="1:15" x14ac:dyDescent="0.25">
      <c r="A10034" t="s">
        <v>10047</v>
      </c>
      <c r="B10034">
        <v>341</v>
      </c>
      <c r="C10034" s="1" t="str">
        <f>HYPERLINK("http://www.rosaceae.org/gb/gbrowse/malus_x_domestica/?name=MDP0000262840","MDP0000262840")</f>
        <v>MDP0000262840</v>
      </c>
      <c r="D10034">
        <v>60.86</v>
      </c>
      <c r="E10034">
        <v>345</v>
      </c>
      <c r="F10034">
        <v>135</v>
      </c>
      <c r="G10034">
        <v>10</v>
      </c>
      <c r="H10034">
        <v>3</v>
      </c>
      <c r="I10034">
        <v>341</v>
      </c>
      <c r="J10034">
        <v>1</v>
      </c>
      <c r="K10034">
        <v>5</v>
      </c>
      <c r="L10034">
        <v>345</v>
      </c>
      <c r="M10034">
        <v>1</v>
      </c>
      <c r="N10034">
        <v>5.4446399999999999E-120</v>
      </c>
      <c r="O10034">
        <v>1099</v>
      </c>
    </row>
    <row r="10035" spans="1:15" x14ac:dyDescent="0.25">
      <c r="A10035" t="s">
        <v>10048</v>
      </c>
      <c r="B10035">
        <v>797</v>
      </c>
      <c r="C10035" s="1" t="str">
        <f>HYPERLINK("http://www.rosaceae.org/gb/gbrowse/malus_x_domestica/?name=MDP0000922136","MDP0000922136")</f>
        <v>MDP0000922136</v>
      </c>
      <c r="D10035">
        <v>65.03</v>
      </c>
      <c r="E10035">
        <v>635</v>
      </c>
      <c r="F10035">
        <v>222</v>
      </c>
      <c r="G10035">
        <v>48</v>
      </c>
      <c r="H10035">
        <v>199</v>
      </c>
      <c r="I10035">
        <v>797</v>
      </c>
      <c r="J10035">
        <v>1</v>
      </c>
      <c r="K10035">
        <v>185</v>
      </c>
      <c r="L10035">
        <v>807</v>
      </c>
      <c r="M10035">
        <v>1</v>
      </c>
      <c r="N10035">
        <v>0</v>
      </c>
      <c r="O10035">
        <v>2124</v>
      </c>
    </row>
    <row r="10036" spans="1:15" x14ac:dyDescent="0.25">
      <c r="A10036" t="s">
        <v>10049</v>
      </c>
      <c r="B10036">
        <v>117</v>
      </c>
      <c r="C10036" s="1" t="str">
        <f>HYPERLINK("http://www.rosaceae.org/gb/gbrowse/malus_x_domestica/?name=MDP0000442105","MDP0000442105")</f>
        <v>MDP0000442105</v>
      </c>
      <c r="D10036">
        <v>77.27</v>
      </c>
      <c r="E10036">
        <v>44</v>
      </c>
      <c r="F10036">
        <v>10</v>
      </c>
      <c r="G10036">
        <v>0</v>
      </c>
      <c r="H10036">
        <v>18</v>
      </c>
      <c r="I10036">
        <v>61</v>
      </c>
      <c r="J10036">
        <v>1</v>
      </c>
      <c r="K10036">
        <v>2</v>
      </c>
      <c r="L10036">
        <v>45</v>
      </c>
      <c r="M10036">
        <v>1</v>
      </c>
      <c r="N10036">
        <v>4.30798E-13</v>
      </c>
      <c r="O10036">
        <v>170</v>
      </c>
    </row>
    <row r="10037" spans="1:15" x14ac:dyDescent="0.25">
      <c r="A10037" t="s">
        <v>10050</v>
      </c>
      <c r="B10037">
        <v>192</v>
      </c>
      <c r="C10037" s="1" t="str">
        <f>HYPERLINK("http://www.rosaceae.org/gb/gbrowse/malus_x_domestica/?name=MDP0000185766","MDP0000185766")</f>
        <v>MDP0000185766</v>
      </c>
      <c r="D10037">
        <v>68.3</v>
      </c>
      <c r="E10037">
        <v>183</v>
      </c>
      <c r="F10037">
        <v>58</v>
      </c>
      <c r="G10037">
        <v>21</v>
      </c>
      <c r="H10037">
        <v>17</v>
      </c>
      <c r="I10037">
        <v>192</v>
      </c>
      <c r="J10037">
        <v>1</v>
      </c>
      <c r="K10037">
        <v>1</v>
      </c>
      <c r="L10037">
        <v>169</v>
      </c>
      <c r="M10037">
        <v>1</v>
      </c>
      <c r="N10037">
        <v>6.6443399999999996E-61</v>
      </c>
      <c r="O10037">
        <v>586</v>
      </c>
    </row>
    <row r="10038" spans="1:15" x14ac:dyDescent="0.25">
      <c r="A10038" t="s">
        <v>10051</v>
      </c>
      <c r="B10038">
        <v>243</v>
      </c>
      <c r="C10038" s="1" t="str">
        <f>HYPERLINK("http://www.rosaceae.org/gb/gbrowse/malus_x_domestica/?name=MDP0000916479","MDP0000916479")</f>
        <v>MDP0000916479</v>
      </c>
      <c r="D10038">
        <v>27.77</v>
      </c>
      <c r="E10038">
        <v>180</v>
      </c>
      <c r="F10038">
        <v>130</v>
      </c>
      <c r="G10038">
        <v>13</v>
      </c>
      <c r="H10038">
        <v>6</v>
      </c>
      <c r="I10038">
        <v>184</v>
      </c>
      <c r="J10038">
        <v>1</v>
      </c>
      <c r="K10038">
        <v>58</v>
      </c>
      <c r="L10038">
        <v>225</v>
      </c>
      <c r="M10038">
        <v>1</v>
      </c>
      <c r="N10038">
        <v>9.2634200000000005E-12</v>
      </c>
      <c r="O10038">
        <v>164</v>
      </c>
    </row>
    <row r="10039" spans="1:15" x14ac:dyDescent="0.25">
      <c r="A10039" t="s">
        <v>10052</v>
      </c>
      <c r="B10039">
        <v>258</v>
      </c>
      <c r="C10039" s="1" t="str">
        <f>HYPERLINK("http://www.rosaceae.org/gb/gbrowse/malus_x_domestica/?name=MDP0000197456","MDP0000197456")</f>
        <v>MDP0000197456</v>
      </c>
      <c r="D10039">
        <v>83.8</v>
      </c>
      <c r="E10039">
        <v>210</v>
      </c>
      <c r="F10039">
        <v>34</v>
      </c>
      <c r="G10039">
        <v>1</v>
      </c>
      <c r="H10039">
        <v>45</v>
      </c>
      <c r="I10039">
        <v>254</v>
      </c>
      <c r="J10039">
        <v>1</v>
      </c>
      <c r="K10039">
        <v>38</v>
      </c>
      <c r="L10039">
        <v>246</v>
      </c>
      <c r="M10039">
        <v>1</v>
      </c>
      <c r="N10039">
        <v>3.6704300000000001E-98</v>
      </c>
      <c r="O10039">
        <v>910</v>
      </c>
    </row>
    <row r="10040" spans="1:15" x14ac:dyDescent="0.25">
      <c r="A10040" t="s">
        <v>10053</v>
      </c>
      <c r="B10040">
        <v>542</v>
      </c>
      <c r="C10040" s="1" t="str">
        <f>HYPERLINK("http://www.rosaceae.org/gb/gbrowse/malus_x_domestica/?name=MDP0000136323","MDP0000136323")</f>
        <v>MDP0000136323</v>
      </c>
      <c r="D10040">
        <v>78.08</v>
      </c>
      <c r="E10040">
        <v>73</v>
      </c>
      <c r="F10040">
        <v>16</v>
      </c>
      <c r="G10040">
        <v>2</v>
      </c>
      <c r="H10040">
        <v>455</v>
      </c>
      <c r="I10040">
        <v>527</v>
      </c>
      <c r="J10040">
        <v>1</v>
      </c>
      <c r="K10040">
        <v>167</v>
      </c>
      <c r="L10040">
        <v>237</v>
      </c>
      <c r="M10040">
        <v>1</v>
      </c>
      <c r="N10040">
        <v>7.2938200000000003E-24</v>
      </c>
      <c r="O10040">
        <v>273</v>
      </c>
    </row>
    <row r="10041" spans="1:15" x14ac:dyDescent="0.25">
      <c r="A10041" t="s">
        <v>10054</v>
      </c>
      <c r="B10041">
        <v>1067</v>
      </c>
      <c r="C10041" s="1" t="str">
        <f>HYPERLINK("http://www.rosaceae.org/gb/gbrowse/malus_x_domestica/?name=MDP0000304705","MDP0000304705")</f>
        <v>MDP0000304705</v>
      </c>
      <c r="D10041">
        <v>49.9</v>
      </c>
      <c r="E10041">
        <v>1068</v>
      </c>
      <c r="F10041">
        <v>535</v>
      </c>
      <c r="G10041">
        <v>66</v>
      </c>
      <c r="H10041">
        <v>1</v>
      </c>
      <c r="I10041">
        <v>1022</v>
      </c>
      <c r="J10041">
        <v>1</v>
      </c>
      <c r="K10041">
        <v>1345</v>
      </c>
      <c r="L10041">
        <v>2392</v>
      </c>
      <c r="M10041">
        <v>1</v>
      </c>
      <c r="N10041">
        <v>0</v>
      </c>
      <c r="O10041">
        <v>2302</v>
      </c>
    </row>
    <row r="10042" spans="1:15" x14ac:dyDescent="0.25">
      <c r="A10042" t="s">
        <v>10055</v>
      </c>
      <c r="B10042">
        <v>277</v>
      </c>
      <c r="C10042" s="1" t="str">
        <f>HYPERLINK("http://www.rosaceae.org/gb/gbrowse/malus_x_domestica/?name=MDP0000279745","MDP0000279745")</f>
        <v>MDP0000279745</v>
      </c>
      <c r="D10042">
        <v>37.43</v>
      </c>
      <c r="E10042">
        <v>187</v>
      </c>
      <c r="F10042">
        <v>117</v>
      </c>
      <c r="G10042">
        <v>18</v>
      </c>
      <c r="H10042">
        <v>8</v>
      </c>
      <c r="I10042">
        <v>177</v>
      </c>
      <c r="J10042">
        <v>1</v>
      </c>
      <c r="K10042">
        <v>590</v>
      </c>
      <c r="L10042">
        <v>775</v>
      </c>
      <c r="M10042">
        <v>1</v>
      </c>
      <c r="N10042">
        <v>1.97896E-29</v>
      </c>
      <c r="O10042">
        <v>317</v>
      </c>
    </row>
    <row r="10043" spans="1:15" x14ac:dyDescent="0.25">
      <c r="A10043" t="s">
        <v>10056</v>
      </c>
      <c r="B10043">
        <v>120</v>
      </c>
      <c r="C10043" s="1" t="str">
        <f>HYPERLINK("http://www.rosaceae.org/gb/gbrowse/malus_x_domestica/?name=MDP0000290737","MDP0000290737")</f>
        <v>MDP0000290737</v>
      </c>
      <c r="D10043">
        <v>61.42</v>
      </c>
      <c r="E10043">
        <v>70</v>
      </c>
      <c r="F10043">
        <v>27</v>
      </c>
      <c r="G10043">
        <v>1</v>
      </c>
      <c r="H10043">
        <v>13</v>
      </c>
      <c r="I10043">
        <v>82</v>
      </c>
      <c r="J10043">
        <v>1</v>
      </c>
      <c r="K10043">
        <v>169</v>
      </c>
      <c r="L10043">
        <v>237</v>
      </c>
      <c r="M10043">
        <v>1</v>
      </c>
      <c r="N10043">
        <v>8.5772300000000001E-19</v>
      </c>
      <c r="O10043">
        <v>219</v>
      </c>
    </row>
    <row r="10044" spans="1:15" x14ac:dyDescent="0.25">
      <c r="A10044" t="s">
        <v>10057</v>
      </c>
      <c r="B10044">
        <v>120</v>
      </c>
      <c r="C10044" s="1" t="str">
        <f>HYPERLINK("http://www.rosaceae.org/gb/gbrowse/malus_x_domestica/?name=MDP0000486185","MDP0000486185")</f>
        <v>MDP0000486185</v>
      </c>
      <c r="D10044">
        <v>95.78</v>
      </c>
      <c r="E10044">
        <v>95</v>
      </c>
      <c r="F10044">
        <v>4</v>
      </c>
      <c r="G10044">
        <v>0</v>
      </c>
      <c r="H10044">
        <v>1</v>
      </c>
      <c r="I10044">
        <v>95</v>
      </c>
      <c r="J10044">
        <v>1</v>
      </c>
      <c r="K10044">
        <v>1</v>
      </c>
      <c r="L10044">
        <v>95</v>
      </c>
      <c r="M10044">
        <v>1</v>
      </c>
      <c r="N10044">
        <v>1.56349E-48</v>
      </c>
      <c r="O10044">
        <v>476</v>
      </c>
    </row>
    <row r="10045" spans="1:15" x14ac:dyDescent="0.25">
      <c r="A10045" t="s">
        <v>10058</v>
      </c>
      <c r="B10045">
        <v>719</v>
      </c>
      <c r="C10045" s="1" t="str">
        <f>HYPERLINK("http://www.rosaceae.org/gb/gbrowse/malus_x_domestica/?name=MDP0000249104","MDP0000249104")</f>
        <v>MDP0000249104</v>
      </c>
      <c r="D10045">
        <v>61.9</v>
      </c>
      <c r="E10045">
        <v>105</v>
      </c>
      <c r="F10045">
        <v>40</v>
      </c>
      <c r="G10045">
        <v>0</v>
      </c>
      <c r="H10045">
        <v>85</v>
      </c>
      <c r="I10045">
        <v>189</v>
      </c>
      <c r="J10045">
        <v>1</v>
      </c>
      <c r="K10045">
        <v>54</v>
      </c>
      <c r="L10045">
        <v>158</v>
      </c>
      <c r="M10045">
        <v>1</v>
      </c>
      <c r="N10045">
        <v>1.55583E-30</v>
      </c>
      <c r="O10045">
        <v>331</v>
      </c>
    </row>
    <row r="10046" spans="1:15" x14ac:dyDescent="0.25">
      <c r="A10046" t="s">
        <v>10059</v>
      </c>
      <c r="B10046">
        <v>176</v>
      </c>
      <c r="C10046" s="1" t="str">
        <f>HYPERLINK("http://www.rosaceae.org/gb/gbrowse/malus_x_domestica/?name=MDP0000223154","MDP0000223154")</f>
        <v>MDP0000223154</v>
      </c>
      <c r="D10046">
        <v>64.73</v>
      </c>
      <c r="E10046">
        <v>173</v>
      </c>
      <c r="F10046">
        <v>61</v>
      </c>
      <c r="G10046">
        <v>9</v>
      </c>
      <c r="H10046">
        <v>1</v>
      </c>
      <c r="I10046">
        <v>173</v>
      </c>
      <c r="J10046">
        <v>1</v>
      </c>
      <c r="K10046">
        <v>1</v>
      </c>
      <c r="L10046">
        <v>164</v>
      </c>
      <c r="M10046">
        <v>1</v>
      </c>
      <c r="N10046">
        <v>1.86461E-58</v>
      </c>
      <c r="O10046">
        <v>565</v>
      </c>
    </row>
    <row r="10047" spans="1:15" x14ac:dyDescent="0.25">
      <c r="A10047" t="s">
        <v>10060</v>
      </c>
      <c r="B10047">
        <v>733</v>
      </c>
      <c r="C10047" s="1" t="str">
        <f>HYPERLINK("http://www.rosaceae.org/gb/gbrowse/malus_x_domestica/?name=MDP0000239290","MDP0000239290")</f>
        <v>MDP0000239290</v>
      </c>
      <c r="D10047">
        <v>72.47</v>
      </c>
      <c r="E10047">
        <v>734</v>
      </c>
      <c r="F10047">
        <v>202</v>
      </c>
      <c r="G10047">
        <v>1</v>
      </c>
      <c r="H10047">
        <v>1</v>
      </c>
      <c r="I10047">
        <v>733</v>
      </c>
      <c r="J10047">
        <v>1</v>
      </c>
      <c r="K10047">
        <v>1</v>
      </c>
      <c r="L10047">
        <v>734</v>
      </c>
      <c r="M10047">
        <v>1</v>
      </c>
      <c r="N10047">
        <v>0</v>
      </c>
      <c r="O10047">
        <v>2778</v>
      </c>
    </row>
    <row r="10048" spans="1:15" x14ac:dyDescent="0.25">
      <c r="A10048" t="s">
        <v>10061</v>
      </c>
      <c r="B10048">
        <v>622</v>
      </c>
      <c r="C10048" s="1" t="str">
        <f>HYPERLINK("http://www.rosaceae.org/gb/gbrowse/malus_x_domestica/?name=MDP0000198665","MDP0000198665")</f>
        <v>MDP0000198665</v>
      </c>
      <c r="D10048">
        <v>84.97</v>
      </c>
      <c r="E10048">
        <v>659</v>
      </c>
      <c r="F10048">
        <v>99</v>
      </c>
      <c r="G10048">
        <v>37</v>
      </c>
      <c r="H10048">
        <v>1</v>
      </c>
      <c r="I10048">
        <v>622</v>
      </c>
      <c r="J10048">
        <v>1</v>
      </c>
      <c r="K10048">
        <v>1</v>
      </c>
      <c r="L10048">
        <v>659</v>
      </c>
      <c r="M10048">
        <v>1</v>
      </c>
      <c r="N10048">
        <v>0</v>
      </c>
      <c r="O10048">
        <v>2915</v>
      </c>
    </row>
    <row r="10049" spans="1:15" x14ac:dyDescent="0.25">
      <c r="A10049" t="s">
        <v>10062</v>
      </c>
      <c r="B10049">
        <v>189</v>
      </c>
      <c r="C10049" s="1" t="str">
        <f>HYPERLINK("http://www.rosaceae.org/gb/gbrowse/malus_x_domestica/?name=MDP0000322668","MDP0000322668")</f>
        <v>MDP0000322668</v>
      </c>
      <c r="D10049">
        <v>75</v>
      </c>
      <c r="E10049">
        <v>184</v>
      </c>
      <c r="F10049">
        <v>46</v>
      </c>
      <c r="G10049">
        <v>3</v>
      </c>
      <c r="H10049">
        <v>1</v>
      </c>
      <c r="I10049">
        <v>183</v>
      </c>
      <c r="J10049">
        <v>1</v>
      </c>
      <c r="K10049">
        <v>348</v>
      </c>
      <c r="L10049">
        <v>529</v>
      </c>
      <c r="M10049">
        <v>1</v>
      </c>
      <c r="N10049">
        <v>2.3700599999999999E-80</v>
      </c>
      <c r="O10049">
        <v>754</v>
      </c>
    </row>
    <row r="10050" spans="1:15" x14ac:dyDescent="0.25">
      <c r="A10050" t="s">
        <v>10063</v>
      </c>
      <c r="B10050">
        <v>447</v>
      </c>
      <c r="C10050" s="1" t="str">
        <f>HYPERLINK("http://www.rosaceae.org/gb/gbrowse/malus_x_domestica/?name=MDP0000188175","MDP0000188175")</f>
        <v>MDP0000188175</v>
      </c>
      <c r="D10050">
        <v>35.93</v>
      </c>
      <c r="E10050">
        <v>423</v>
      </c>
      <c r="F10050">
        <v>271</v>
      </c>
      <c r="G10050">
        <v>22</v>
      </c>
      <c r="H10050">
        <v>36</v>
      </c>
      <c r="I10050">
        <v>444</v>
      </c>
      <c r="J10050">
        <v>1</v>
      </c>
      <c r="K10050">
        <v>31</v>
      </c>
      <c r="L10050">
        <v>445</v>
      </c>
      <c r="M10050">
        <v>1</v>
      </c>
      <c r="N10050">
        <v>4.3099299999999999E-60</v>
      </c>
      <c r="O10050">
        <v>584</v>
      </c>
    </row>
    <row r="10051" spans="1:15" x14ac:dyDescent="0.25">
      <c r="A10051" t="s">
        <v>10064</v>
      </c>
      <c r="B10051">
        <v>310</v>
      </c>
      <c r="C10051" s="1" t="str">
        <f>HYPERLINK("http://www.rosaceae.org/gb/gbrowse/malus_x_domestica/?name=MDP0000628052","MDP0000628052")</f>
        <v>MDP0000628052</v>
      </c>
      <c r="D10051">
        <v>67.459999999999994</v>
      </c>
      <c r="E10051">
        <v>252</v>
      </c>
      <c r="F10051">
        <v>82</v>
      </c>
      <c r="G10051">
        <v>17</v>
      </c>
      <c r="H10051">
        <v>60</v>
      </c>
      <c r="I10051">
        <v>297</v>
      </c>
      <c r="J10051">
        <v>1</v>
      </c>
      <c r="K10051">
        <v>39</v>
      </c>
      <c r="L10051">
        <v>287</v>
      </c>
      <c r="M10051">
        <v>1</v>
      </c>
      <c r="N10051">
        <v>1.50753E-95</v>
      </c>
      <c r="O10051">
        <v>888</v>
      </c>
    </row>
    <row r="10052" spans="1:15" x14ac:dyDescent="0.25">
      <c r="A10052" t="s">
        <v>10065</v>
      </c>
      <c r="B10052">
        <v>623</v>
      </c>
      <c r="C10052" s="1" t="str">
        <f>HYPERLINK("http://www.rosaceae.org/gb/gbrowse/malus_x_domestica/?name=MDP0000669665","MDP0000669665")</f>
        <v>MDP0000669665</v>
      </c>
      <c r="D10052">
        <v>72.569999999999993</v>
      </c>
      <c r="E10052">
        <v>660</v>
      </c>
      <c r="F10052">
        <v>181</v>
      </c>
      <c r="G10052">
        <v>38</v>
      </c>
      <c r="H10052">
        <v>1</v>
      </c>
      <c r="I10052">
        <v>623</v>
      </c>
      <c r="J10052">
        <v>1</v>
      </c>
      <c r="K10052">
        <v>4</v>
      </c>
      <c r="L10052">
        <v>662</v>
      </c>
      <c r="M10052">
        <v>1</v>
      </c>
      <c r="N10052">
        <v>0</v>
      </c>
      <c r="O10052">
        <v>2572</v>
      </c>
    </row>
    <row r="10053" spans="1:15" x14ac:dyDescent="0.25">
      <c r="A10053" t="s">
        <v>10066</v>
      </c>
      <c r="B10053">
        <v>137</v>
      </c>
      <c r="C10053" s="1" t="str">
        <f>HYPERLINK("http://www.rosaceae.org/gb/gbrowse/malus_x_domestica/?name=MDP0000792050","MDP0000792050")</f>
        <v>MDP0000792050</v>
      </c>
      <c r="D10053">
        <v>61.16</v>
      </c>
      <c r="E10053">
        <v>103</v>
      </c>
      <c r="F10053">
        <v>40</v>
      </c>
      <c r="G10053">
        <v>3</v>
      </c>
      <c r="H10053">
        <v>23</v>
      </c>
      <c r="I10053">
        <v>125</v>
      </c>
      <c r="J10053">
        <v>1</v>
      </c>
      <c r="K10053">
        <v>25</v>
      </c>
      <c r="L10053">
        <v>124</v>
      </c>
      <c r="M10053">
        <v>1</v>
      </c>
      <c r="N10053">
        <v>1.9545200000000001E-31</v>
      </c>
      <c r="O10053">
        <v>330</v>
      </c>
    </row>
    <row r="10054" spans="1:15" x14ac:dyDescent="0.25">
      <c r="A10054" t="s">
        <v>10067</v>
      </c>
      <c r="B10054">
        <v>665</v>
      </c>
      <c r="C10054" s="1" t="str">
        <f>HYPERLINK("http://www.rosaceae.org/gb/gbrowse/malus_x_domestica/?name=MDP0000171750","MDP0000171750")</f>
        <v>MDP0000171750</v>
      </c>
      <c r="D10054">
        <v>81.459999999999994</v>
      </c>
      <c r="E10054">
        <v>286</v>
      </c>
      <c r="F10054">
        <v>53</v>
      </c>
      <c r="G10054">
        <v>5</v>
      </c>
      <c r="H10054">
        <v>1</v>
      </c>
      <c r="I10054">
        <v>281</v>
      </c>
      <c r="J10054">
        <v>1</v>
      </c>
      <c r="K10054">
        <v>71</v>
      </c>
      <c r="L10054">
        <v>356</v>
      </c>
      <c r="M10054">
        <v>1</v>
      </c>
      <c r="N10054">
        <v>1.77674E-134</v>
      </c>
      <c r="O10054">
        <v>1227</v>
      </c>
    </row>
    <row r="10055" spans="1:15" x14ac:dyDescent="0.25">
      <c r="A10055" t="s">
        <v>10068</v>
      </c>
      <c r="B10055">
        <v>383</v>
      </c>
      <c r="C10055" s="1" t="str">
        <f>HYPERLINK("http://www.rosaceae.org/gb/gbrowse/malus_x_domestica/?name=MDP0000167482","MDP0000167482")</f>
        <v>MDP0000167482</v>
      </c>
      <c r="D10055">
        <v>63.29</v>
      </c>
      <c r="E10055">
        <v>395</v>
      </c>
      <c r="F10055">
        <v>145</v>
      </c>
      <c r="G10055">
        <v>41</v>
      </c>
      <c r="H10055">
        <v>1</v>
      </c>
      <c r="I10055">
        <v>383</v>
      </c>
      <c r="J10055">
        <v>1</v>
      </c>
      <c r="K10055">
        <v>1</v>
      </c>
      <c r="L10055">
        <v>366</v>
      </c>
      <c r="M10055">
        <v>1</v>
      </c>
      <c r="N10055">
        <v>8.6164300000000006E-139</v>
      </c>
      <c r="O10055">
        <v>1262</v>
      </c>
    </row>
    <row r="10056" spans="1:15" x14ac:dyDescent="0.25">
      <c r="A10056" t="s">
        <v>10069</v>
      </c>
      <c r="B10056">
        <v>297</v>
      </c>
      <c r="C10056" s="1" t="str">
        <f>HYPERLINK("http://www.rosaceae.org/gb/gbrowse/malus_x_domestica/?name=MDP0000260941","MDP0000260941")</f>
        <v>MDP0000260941</v>
      </c>
      <c r="D10056">
        <v>40.75</v>
      </c>
      <c r="E10056">
        <v>346</v>
      </c>
      <c r="F10056">
        <v>205</v>
      </c>
      <c r="G10056">
        <v>52</v>
      </c>
      <c r="H10056">
        <v>1</v>
      </c>
      <c r="I10056">
        <v>294</v>
      </c>
      <c r="J10056">
        <v>1</v>
      </c>
      <c r="K10056">
        <v>1</v>
      </c>
      <c r="L10056">
        <v>346</v>
      </c>
      <c r="M10056">
        <v>1</v>
      </c>
      <c r="N10056">
        <v>6.6757800000000003E-63</v>
      </c>
      <c r="O10056">
        <v>606</v>
      </c>
    </row>
    <row r="10057" spans="1:15" x14ac:dyDescent="0.25">
      <c r="A10057" t="s">
        <v>10070</v>
      </c>
      <c r="B10057">
        <v>537</v>
      </c>
      <c r="C10057" s="1" t="str">
        <f>HYPERLINK("http://www.rosaceae.org/gb/gbrowse/malus_x_domestica/?name=MDP0000542904","MDP0000542904")</f>
        <v>MDP0000542904</v>
      </c>
      <c r="D10057">
        <v>59.1</v>
      </c>
      <c r="E10057">
        <v>401</v>
      </c>
      <c r="F10057">
        <v>164</v>
      </c>
      <c r="G10057">
        <v>105</v>
      </c>
      <c r="H10057">
        <v>1</v>
      </c>
      <c r="I10057">
        <v>331</v>
      </c>
      <c r="J10057">
        <v>1</v>
      </c>
      <c r="K10057">
        <v>1</v>
      </c>
      <c r="L10057">
        <v>366</v>
      </c>
      <c r="M10057">
        <v>1</v>
      </c>
      <c r="N10057">
        <v>8.1316700000000001E-127</v>
      </c>
      <c r="O10057">
        <v>1160</v>
      </c>
    </row>
    <row r="10058" spans="1:15" x14ac:dyDescent="0.25">
      <c r="A10058" t="s">
        <v>10071</v>
      </c>
      <c r="B10058">
        <v>426</v>
      </c>
      <c r="C10058" s="1" t="str">
        <f>HYPERLINK("http://www.rosaceae.org/gb/gbrowse/malus_x_domestica/?name=MDP0000563698","MDP0000563698")</f>
        <v>MDP0000563698</v>
      </c>
      <c r="D10058">
        <v>26.01</v>
      </c>
      <c r="E10058">
        <v>419</v>
      </c>
      <c r="F10058">
        <v>310</v>
      </c>
      <c r="G10058">
        <v>100</v>
      </c>
      <c r="H10058">
        <v>8</v>
      </c>
      <c r="I10058">
        <v>385</v>
      </c>
      <c r="J10058">
        <v>1</v>
      </c>
      <c r="K10058">
        <v>29</v>
      </c>
      <c r="L10058">
        <v>388</v>
      </c>
      <c r="M10058">
        <v>1</v>
      </c>
      <c r="N10058">
        <v>4.8268099999999999E-20</v>
      </c>
      <c r="O10058">
        <v>239</v>
      </c>
    </row>
    <row r="10059" spans="1:15" x14ac:dyDescent="0.25">
      <c r="A10059" t="s">
        <v>10072</v>
      </c>
      <c r="B10059">
        <v>625</v>
      </c>
      <c r="C10059" s="1" t="str">
        <f>HYPERLINK("http://www.rosaceae.org/gb/gbrowse/malus_x_domestica/?name=MDP0000121129","MDP0000121129")</f>
        <v>MDP0000121129</v>
      </c>
      <c r="D10059">
        <v>64.739999999999995</v>
      </c>
      <c r="E10059">
        <v>468</v>
      </c>
      <c r="F10059">
        <v>165</v>
      </c>
      <c r="G10059">
        <v>94</v>
      </c>
      <c r="H10059">
        <v>11</v>
      </c>
      <c r="I10059">
        <v>451</v>
      </c>
      <c r="J10059">
        <v>1</v>
      </c>
      <c r="K10059">
        <v>11</v>
      </c>
      <c r="L10059">
        <v>411</v>
      </c>
      <c r="M10059">
        <v>1</v>
      </c>
      <c r="N10059">
        <v>5.9074900000000001E-164</v>
      </c>
      <c r="O10059">
        <v>1481</v>
      </c>
    </row>
    <row r="10060" spans="1:15" x14ac:dyDescent="0.25">
      <c r="A10060" t="s">
        <v>10073</v>
      </c>
      <c r="B10060">
        <v>2139</v>
      </c>
      <c r="C10060" s="1" t="str">
        <f>HYPERLINK("http://www.rosaceae.org/gb/gbrowse/malus_x_domestica/?name=MDP0000182612","MDP0000182612")</f>
        <v>MDP0000182612</v>
      </c>
      <c r="D10060">
        <v>64.12</v>
      </c>
      <c r="E10060">
        <v>1427</v>
      </c>
      <c r="F10060">
        <v>512</v>
      </c>
      <c r="G10060">
        <v>73</v>
      </c>
      <c r="H10060">
        <v>24</v>
      </c>
      <c r="I10060">
        <v>1442</v>
      </c>
      <c r="J10060">
        <v>1</v>
      </c>
      <c r="K10060">
        <v>23</v>
      </c>
      <c r="L10060">
        <v>1384</v>
      </c>
      <c r="M10060">
        <v>1</v>
      </c>
      <c r="N10060">
        <v>0</v>
      </c>
      <c r="O10060">
        <v>4604</v>
      </c>
    </row>
    <row r="10061" spans="1:15" x14ac:dyDescent="0.25">
      <c r="A10061" t="s">
        <v>10074</v>
      </c>
      <c r="B10061">
        <v>336</v>
      </c>
      <c r="C10061" s="1" t="str">
        <f>HYPERLINK("http://www.rosaceae.org/gb/gbrowse/malus_x_domestica/?name=MDP0000276577","MDP0000276577")</f>
        <v>MDP0000276577</v>
      </c>
      <c r="D10061">
        <v>72.69</v>
      </c>
      <c r="E10061">
        <v>315</v>
      </c>
      <c r="F10061">
        <v>86</v>
      </c>
      <c r="G10061">
        <v>9</v>
      </c>
      <c r="H10061">
        <v>25</v>
      </c>
      <c r="I10061">
        <v>336</v>
      </c>
      <c r="J10061">
        <v>1</v>
      </c>
      <c r="K10061">
        <v>6</v>
      </c>
      <c r="L10061">
        <v>314</v>
      </c>
      <c r="M10061">
        <v>1</v>
      </c>
      <c r="N10061">
        <v>8.5630200000000005E-125</v>
      </c>
      <c r="O10061">
        <v>1141</v>
      </c>
    </row>
    <row r="10062" spans="1:15" x14ac:dyDescent="0.25">
      <c r="A10062" t="s">
        <v>10075</v>
      </c>
      <c r="B10062">
        <v>597</v>
      </c>
      <c r="C10062" s="1" t="str">
        <f>HYPERLINK("http://www.rosaceae.org/gb/gbrowse/malus_x_domestica/?name=MDP0000299496","MDP0000299496")</f>
        <v>MDP0000299496</v>
      </c>
      <c r="D10062">
        <v>40.79</v>
      </c>
      <c r="E10062">
        <v>277</v>
      </c>
      <c r="F10062">
        <v>164</v>
      </c>
      <c r="G10062">
        <v>0</v>
      </c>
      <c r="H10062">
        <v>1</v>
      </c>
      <c r="I10062">
        <v>277</v>
      </c>
      <c r="J10062">
        <v>1</v>
      </c>
      <c r="K10062">
        <v>515</v>
      </c>
      <c r="L10062">
        <v>791</v>
      </c>
      <c r="M10062">
        <v>1</v>
      </c>
      <c r="N10062">
        <v>1.8785400000000001E-58</v>
      </c>
      <c r="O10062">
        <v>571</v>
      </c>
    </row>
    <row r="10063" spans="1:15" x14ac:dyDescent="0.25">
      <c r="A10063" t="s">
        <v>10076</v>
      </c>
      <c r="B10063">
        <v>491</v>
      </c>
      <c r="C10063" s="1" t="str">
        <f>HYPERLINK("http://www.rosaceae.org/gb/gbrowse/malus_x_domestica/?name=MDP0000188801","MDP0000188801")</f>
        <v>MDP0000188801</v>
      </c>
      <c r="D10063">
        <v>66.25</v>
      </c>
      <c r="E10063">
        <v>483</v>
      </c>
      <c r="F10063">
        <v>163</v>
      </c>
      <c r="G10063">
        <v>57</v>
      </c>
      <c r="H10063">
        <v>1</v>
      </c>
      <c r="I10063">
        <v>466</v>
      </c>
      <c r="J10063">
        <v>1</v>
      </c>
      <c r="K10063">
        <v>1</v>
      </c>
      <c r="L10063">
        <v>443</v>
      </c>
      <c r="M10063">
        <v>1</v>
      </c>
      <c r="N10063">
        <v>1.4435100000000001E-166</v>
      </c>
      <c r="O10063">
        <v>1503</v>
      </c>
    </row>
    <row r="10064" spans="1:15" x14ac:dyDescent="0.25">
      <c r="A10064" t="s">
        <v>10077</v>
      </c>
      <c r="B10064">
        <v>638</v>
      </c>
      <c r="C10064" s="1" t="str">
        <f>HYPERLINK("http://www.rosaceae.org/gb/gbrowse/malus_x_domestica/?name=MDP0000144545","MDP0000144545")</f>
        <v>MDP0000144545</v>
      </c>
      <c r="D10064">
        <v>46.85</v>
      </c>
      <c r="E10064">
        <v>589</v>
      </c>
      <c r="F10064">
        <v>313</v>
      </c>
      <c r="G10064">
        <v>48</v>
      </c>
      <c r="H10064">
        <v>7</v>
      </c>
      <c r="I10064">
        <v>583</v>
      </c>
      <c r="J10064">
        <v>1</v>
      </c>
      <c r="K10064">
        <v>23</v>
      </c>
      <c r="L10064">
        <v>575</v>
      </c>
      <c r="M10064">
        <v>1</v>
      </c>
      <c r="N10064">
        <v>2.3976200000000002E-137</v>
      </c>
      <c r="O10064">
        <v>1252</v>
      </c>
    </row>
    <row r="10065" spans="1:15" x14ac:dyDescent="0.25">
      <c r="A10065" t="s">
        <v>10078</v>
      </c>
      <c r="B10065">
        <v>429</v>
      </c>
      <c r="C10065" s="1" t="str">
        <f>HYPERLINK("http://www.rosaceae.org/gb/gbrowse/malus_x_domestica/?name=MDP0000654783","MDP0000654783")</f>
        <v>MDP0000654783</v>
      </c>
      <c r="D10065">
        <v>46.08</v>
      </c>
      <c r="E10065">
        <v>421</v>
      </c>
      <c r="F10065">
        <v>227</v>
      </c>
      <c r="G10065">
        <v>28</v>
      </c>
      <c r="H10065">
        <v>3</v>
      </c>
      <c r="I10065">
        <v>416</v>
      </c>
      <c r="J10065">
        <v>1</v>
      </c>
      <c r="K10065">
        <v>8</v>
      </c>
      <c r="L10065">
        <v>407</v>
      </c>
      <c r="M10065">
        <v>1</v>
      </c>
      <c r="N10065">
        <v>1.6295899999999999E-85</v>
      </c>
      <c r="O10065">
        <v>803</v>
      </c>
    </row>
    <row r="10066" spans="1:15" x14ac:dyDescent="0.25">
      <c r="A10066" t="s">
        <v>10079</v>
      </c>
      <c r="B10066">
        <v>135</v>
      </c>
      <c r="C10066" s="1" t="str">
        <f>HYPERLINK("http://www.rosaceae.org/gb/gbrowse/malus_x_domestica/?name=MDP0000207132","MDP0000207132")</f>
        <v>MDP0000207132</v>
      </c>
      <c r="D10066">
        <v>38.18</v>
      </c>
      <c r="E10066">
        <v>110</v>
      </c>
      <c r="F10066">
        <v>68</v>
      </c>
      <c r="G10066">
        <v>0</v>
      </c>
      <c r="H10066">
        <v>1</v>
      </c>
      <c r="I10066">
        <v>110</v>
      </c>
      <c r="J10066">
        <v>1</v>
      </c>
      <c r="K10066">
        <v>71</v>
      </c>
      <c r="L10066">
        <v>180</v>
      </c>
      <c r="M10066">
        <v>1</v>
      </c>
      <c r="N10066">
        <v>2.2337299999999999E-18</v>
      </c>
      <c r="O10066">
        <v>217</v>
      </c>
    </row>
    <row r="10067" spans="1:15" x14ac:dyDescent="0.25">
      <c r="A10067" t="s">
        <v>10080</v>
      </c>
      <c r="B10067">
        <v>565</v>
      </c>
      <c r="C10067" s="1" t="str">
        <f>HYPERLINK("http://www.rosaceae.org/gb/gbrowse/malus_x_domestica/?name=MDP0000262886","MDP0000262886")</f>
        <v>MDP0000262886</v>
      </c>
      <c r="D10067">
        <v>60.57</v>
      </c>
      <c r="E10067">
        <v>104</v>
      </c>
      <c r="F10067">
        <v>41</v>
      </c>
      <c r="G10067">
        <v>0</v>
      </c>
      <c r="H10067">
        <v>454</v>
      </c>
      <c r="I10067">
        <v>557</v>
      </c>
      <c r="J10067">
        <v>1</v>
      </c>
      <c r="K10067">
        <v>13</v>
      </c>
      <c r="L10067">
        <v>116</v>
      </c>
      <c r="M10067">
        <v>1</v>
      </c>
      <c r="N10067">
        <v>7.4908300000000003E-32</v>
      </c>
      <c r="O10067">
        <v>342</v>
      </c>
    </row>
    <row r="10068" spans="1:15" x14ac:dyDescent="0.25">
      <c r="A10068" t="s">
        <v>10081</v>
      </c>
      <c r="B10068">
        <v>493</v>
      </c>
      <c r="C10068" s="1" t="str">
        <f>HYPERLINK("http://www.rosaceae.org/gb/gbrowse/malus_x_domestica/?name=MDP0000534116","MDP0000534116")</f>
        <v>MDP0000534116</v>
      </c>
      <c r="D10068">
        <v>52.68</v>
      </c>
      <c r="E10068">
        <v>429</v>
      </c>
      <c r="F10068">
        <v>203</v>
      </c>
      <c r="G10068">
        <v>21</v>
      </c>
      <c r="H10068">
        <v>24</v>
      </c>
      <c r="I10068">
        <v>449</v>
      </c>
      <c r="J10068">
        <v>1</v>
      </c>
      <c r="K10068">
        <v>16</v>
      </c>
      <c r="L10068">
        <v>426</v>
      </c>
      <c r="M10068">
        <v>1</v>
      </c>
      <c r="N10068">
        <v>4.3191399999999999E-123</v>
      </c>
      <c r="O10068">
        <v>1128</v>
      </c>
    </row>
    <row r="10069" spans="1:15" x14ac:dyDescent="0.25">
      <c r="A10069" t="s">
        <v>10082</v>
      </c>
      <c r="B10069">
        <v>449</v>
      </c>
      <c r="C10069" s="1" t="str">
        <f>HYPERLINK("http://www.rosaceae.org/gb/gbrowse/malus_x_domestica/?name=MDP0000295418","MDP0000295418")</f>
        <v>MDP0000295418</v>
      </c>
      <c r="D10069">
        <v>41.27</v>
      </c>
      <c r="E10069">
        <v>424</v>
      </c>
      <c r="F10069">
        <v>249</v>
      </c>
      <c r="G10069">
        <v>21</v>
      </c>
      <c r="H10069">
        <v>30</v>
      </c>
      <c r="I10069">
        <v>448</v>
      </c>
      <c r="J10069">
        <v>1</v>
      </c>
      <c r="K10069">
        <v>3</v>
      </c>
      <c r="L10069">
        <v>410</v>
      </c>
      <c r="M10069">
        <v>1</v>
      </c>
      <c r="N10069">
        <v>9.3756699999999994E-76</v>
      </c>
      <c r="O10069">
        <v>719</v>
      </c>
    </row>
    <row r="10070" spans="1:15" x14ac:dyDescent="0.25">
      <c r="A10070" t="s">
        <v>10083</v>
      </c>
      <c r="B10070">
        <v>915</v>
      </c>
      <c r="C10070" s="1" t="str">
        <f>HYPERLINK("http://www.rosaceae.org/gb/gbrowse/malus_x_domestica/?name=MDP0000257212","MDP0000257212")</f>
        <v>MDP0000257212</v>
      </c>
      <c r="D10070">
        <v>83.85</v>
      </c>
      <c r="E10070">
        <v>514</v>
      </c>
      <c r="F10070">
        <v>83</v>
      </c>
      <c r="G10070">
        <v>36</v>
      </c>
      <c r="H10070">
        <v>47</v>
      </c>
      <c r="I10070">
        <v>558</v>
      </c>
      <c r="J10070">
        <v>1</v>
      </c>
      <c r="K10070">
        <v>5</v>
      </c>
      <c r="L10070">
        <v>484</v>
      </c>
      <c r="M10070">
        <v>1</v>
      </c>
      <c r="N10070">
        <v>0</v>
      </c>
      <c r="O10070">
        <v>2281</v>
      </c>
    </row>
    <row r="10071" spans="1:15" x14ac:dyDescent="0.25">
      <c r="A10071" t="s">
        <v>10084</v>
      </c>
      <c r="B10071">
        <v>601</v>
      </c>
      <c r="C10071" s="1" t="str">
        <f>HYPERLINK("http://www.rosaceae.org/gb/gbrowse/malus_x_domestica/?name=MDP0000175609","MDP0000175609")</f>
        <v>MDP0000175609</v>
      </c>
      <c r="D10071">
        <v>73.83</v>
      </c>
      <c r="E10071">
        <v>581</v>
      </c>
      <c r="F10071">
        <v>152</v>
      </c>
      <c r="G10071">
        <v>25</v>
      </c>
      <c r="H10071">
        <v>41</v>
      </c>
      <c r="I10071">
        <v>601</v>
      </c>
      <c r="J10071">
        <v>1</v>
      </c>
      <c r="K10071">
        <v>134</v>
      </c>
      <c r="L10071">
        <v>709</v>
      </c>
      <c r="M10071">
        <v>1</v>
      </c>
      <c r="N10071">
        <v>0</v>
      </c>
      <c r="O10071">
        <v>2244</v>
      </c>
    </row>
    <row r="10072" spans="1:15" x14ac:dyDescent="0.25">
      <c r="A10072" t="s">
        <v>10085</v>
      </c>
      <c r="B10072">
        <v>202</v>
      </c>
      <c r="C10072" s="1" t="str">
        <f>HYPERLINK("http://www.rosaceae.org/gb/gbrowse/malus_x_domestica/?name=MDP0000210699","MDP0000210699")</f>
        <v>MDP0000210699</v>
      </c>
      <c r="D10072">
        <v>80</v>
      </c>
      <c r="E10072">
        <v>75</v>
      </c>
      <c r="F10072">
        <v>15</v>
      </c>
      <c r="G10072">
        <v>0</v>
      </c>
      <c r="H10072">
        <v>2</v>
      </c>
      <c r="I10072">
        <v>76</v>
      </c>
      <c r="J10072">
        <v>1</v>
      </c>
      <c r="K10072">
        <v>234</v>
      </c>
      <c r="L10072">
        <v>308</v>
      </c>
      <c r="M10072">
        <v>1</v>
      </c>
      <c r="N10072">
        <v>1.05245E-31</v>
      </c>
      <c r="O10072">
        <v>335</v>
      </c>
    </row>
    <row r="10073" spans="1:15" x14ac:dyDescent="0.25">
      <c r="A10073" t="s">
        <v>10086</v>
      </c>
      <c r="B10073">
        <v>618</v>
      </c>
      <c r="C10073" s="1" t="str">
        <f>HYPERLINK("http://www.rosaceae.org/gb/gbrowse/malus_x_domestica/?name=MDP0000266039","MDP0000266039")</f>
        <v>MDP0000266039</v>
      </c>
      <c r="D10073">
        <v>74.16</v>
      </c>
      <c r="E10073">
        <v>298</v>
      </c>
      <c r="F10073">
        <v>77</v>
      </c>
      <c r="G10073">
        <v>5</v>
      </c>
      <c r="H10073">
        <v>189</v>
      </c>
      <c r="I10073">
        <v>486</v>
      </c>
      <c r="J10073">
        <v>1</v>
      </c>
      <c r="K10073">
        <v>1</v>
      </c>
      <c r="L10073">
        <v>293</v>
      </c>
      <c r="M10073">
        <v>1</v>
      </c>
      <c r="N10073">
        <v>2.7981600000000001E-124</v>
      </c>
      <c r="O10073">
        <v>1139</v>
      </c>
    </row>
    <row r="10074" spans="1:15" x14ac:dyDescent="0.25">
      <c r="A10074" t="s">
        <v>10087</v>
      </c>
      <c r="B10074">
        <v>406</v>
      </c>
      <c r="C10074" s="1" t="str">
        <f>HYPERLINK("http://www.rosaceae.org/gb/gbrowse/malus_x_domestica/?name=MDP0000852699","MDP0000852699")</f>
        <v>MDP0000852699</v>
      </c>
      <c r="D10074">
        <v>60.95</v>
      </c>
      <c r="E10074">
        <v>315</v>
      </c>
      <c r="F10074">
        <v>123</v>
      </c>
      <c r="G10074">
        <v>11</v>
      </c>
      <c r="H10074">
        <v>25</v>
      </c>
      <c r="I10074">
        <v>331</v>
      </c>
      <c r="J10074">
        <v>1</v>
      </c>
      <c r="K10074">
        <v>26</v>
      </c>
      <c r="L10074">
        <v>337</v>
      </c>
      <c r="M10074">
        <v>1</v>
      </c>
      <c r="N10074">
        <v>3.7407599999999997E-101</v>
      </c>
      <c r="O10074">
        <v>938</v>
      </c>
    </row>
    <row r="10075" spans="1:15" x14ac:dyDescent="0.25">
      <c r="A10075" t="s">
        <v>10088</v>
      </c>
      <c r="B10075">
        <v>141</v>
      </c>
      <c r="C10075" s="1" t="str">
        <f>HYPERLINK("http://www.rosaceae.org/gb/gbrowse/malus_x_domestica/?name=MDP0000261154","MDP0000261154")</f>
        <v>MDP0000261154</v>
      </c>
      <c r="D10075">
        <v>26.98</v>
      </c>
      <c r="E10075">
        <v>126</v>
      </c>
      <c r="F10075">
        <v>92</v>
      </c>
      <c r="G10075">
        <v>8</v>
      </c>
      <c r="H10075">
        <v>1</v>
      </c>
      <c r="I10075">
        <v>118</v>
      </c>
      <c r="J10075">
        <v>1</v>
      </c>
      <c r="K10075">
        <v>88</v>
      </c>
      <c r="L10075">
        <v>213</v>
      </c>
      <c r="M10075">
        <v>1</v>
      </c>
      <c r="N10075">
        <v>8.7107800000000004E-8</v>
      </c>
      <c r="O10075">
        <v>126</v>
      </c>
    </row>
    <row r="10076" spans="1:15" x14ac:dyDescent="0.25">
      <c r="A10076" t="s">
        <v>10089</v>
      </c>
      <c r="B10076">
        <v>536</v>
      </c>
      <c r="C10076" s="1" t="str">
        <f>HYPERLINK("http://www.rosaceae.org/gb/gbrowse/malus_x_domestica/?name=MDP0000271200","MDP0000271200")</f>
        <v>MDP0000271200</v>
      </c>
      <c r="D10076">
        <v>65.78</v>
      </c>
      <c r="E10076">
        <v>494</v>
      </c>
      <c r="F10076">
        <v>169</v>
      </c>
      <c r="G10076">
        <v>26</v>
      </c>
      <c r="H10076">
        <v>1</v>
      </c>
      <c r="I10076">
        <v>487</v>
      </c>
      <c r="J10076">
        <v>1</v>
      </c>
      <c r="K10076">
        <v>1</v>
      </c>
      <c r="L10076">
        <v>475</v>
      </c>
      <c r="M10076">
        <v>1</v>
      </c>
      <c r="N10076">
        <v>2.3264700000000001E-176</v>
      </c>
      <c r="O10076">
        <v>1588</v>
      </c>
    </row>
    <row r="10077" spans="1:15" x14ac:dyDescent="0.25">
      <c r="A10077" t="s">
        <v>10090</v>
      </c>
      <c r="B10077">
        <v>433</v>
      </c>
      <c r="C10077" s="1" t="str">
        <f>HYPERLINK("http://www.rosaceae.org/gb/gbrowse/malus_x_domestica/?name=MDP0000221432","MDP0000221432")</f>
        <v>MDP0000221432</v>
      </c>
      <c r="D10077">
        <v>50.43</v>
      </c>
      <c r="E10077">
        <v>464</v>
      </c>
      <c r="F10077">
        <v>230</v>
      </c>
      <c r="G10077">
        <v>36</v>
      </c>
      <c r="H10077">
        <v>1</v>
      </c>
      <c r="I10077">
        <v>429</v>
      </c>
      <c r="J10077">
        <v>1</v>
      </c>
      <c r="K10077">
        <v>66</v>
      </c>
      <c r="L10077">
        <v>528</v>
      </c>
      <c r="M10077">
        <v>1</v>
      </c>
      <c r="N10077">
        <v>3.5421000000000003E-126</v>
      </c>
      <c r="O10077">
        <v>1154</v>
      </c>
    </row>
    <row r="10078" spans="1:15" x14ac:dyDescent="0.25">
      <c r="A10078" t="s">
        <v>10091</v>
      </c>
      <c r="B10078">
        <v>820</v>
      </c>
      <c r="C10078" s="1" t="str">
        <f>HYPERLINK("http://www.rosaceae.org/gb/gbrowse/malus_x_domestica/?name=MDP0000271903","MDP0000271903")</f>
        <v>MDP0000271903</v>
      </c>
      <c r="D10078">
        <v>37.89</v>
      </c>
      <c r="E10078">
        <v>475</v>
      </c>
      <c r="F10078">
        <v>295</v>
      </c>
      <c r="G10078">
        <v>94</v>
      </c>
      <c r="H10078">
        <v>36</v>
      </c>
      <c r="I10078">
        <v>419</v>
      </c>
      <c r="J10078">
        <v>1</v>
      </c>
      <c r="K10078">
        <v>15</v>
      </c>
      <c r="L10078">
        <v>486</v>
      </c>
      <c r="M10078">
        <v>1</v>
      </c>
      <c r="N10078">
        <v>4.5614199999999999E-84</v>
      </c>
      <c r="O10078">
        <v>794</v>
      </c>
    </row>
    <row r="10079" spans="1:15" x14ac:dyDescent="0.25">
      <c r="A10079" t="s">
        <v>10092</v>
      </c>
      <c r="B10079">
        <v>362</v>
      </c>
      <c r="C10079" s="1" t="str">
        <f>HYPERLINK("http://www.rosaceae.org/gb/gbrowse/malus_x_domestica/?name=MDP0000216438","MDP0000216438")</f>
        <v>MDP0000216438</v>
      </c>
      <c r="D10079">
        <v>72.599999999999994</v>
      </c>
      <c r="E10079">
        <v>365</v>
      </c>
      <c r="F10079">
        <v>100</v>
      </c>
      <c r="G10079">
        <v>4</v>
      </c>
      <c r="H10079">
        <v>1</v>
      </c>
      <c r="I10079">
        <v>362</v>
      </c>
      <c r="J10079">
        <v>1</v>
      </c>
      <c r="K10079">
        <v>1</v>
      </c>
      <c r="L10079">
        <v>364</v>
      </c>
      <c r="M10079">
        <v>1</v>
      </c>
      <c r="N10079">
        <v>1.4255700000000001E-145</v>
      </c>
      <c r="O10079">
        <v>1320</v>
      </c>
    </row>
    <row r="10080" spans="1:15" x14ac:dyDescent="0.25">
      <c r="A10080" t="s">
        <v>10093</v>
      </c>
      <c r="B10080">
        <v>619</v>
      </c>
      <c r="C10080" s="1" t="str">
        <f>HYPERLINK("http://www.rosaceae.org/gb/gbrowse/malus_x_domestica/?name=MDP0000257707","MDP0000257707")</f>
        <v>MDP0000257707</v>
      </c>
      <c r="D10080">
        <v>48.47</v>
      </c>
      <c r="E10080">
        <v>557</v>
      </c>
      <c r="F10080">
        <v>287</v>
      </c>
      <c r="G10080">
        <v>106</v>
      </c>
      <c r="H10080">
        <v>89</v>
      </c>
      <c r="I10080">
        <v>618</v>
      </c>
      <c r="J10080">
        <v>1</v>
      </c>
      <c r="K10080">
        <v>15</v>
      </c>
      <c r="L10080">
        <v>492</v>
      </c>
      <c r="M10080">
        <v>1</v>
      </c>
      <c r="N10080">
        <v>2.5978200000000001E-128</v>
      </c>
      <c r="O10080">
        <v>1174</v>
      </c>
    </row>
    <row r="10081" spans="1:15" x14ac:dyDescent="0.25">
      <c r="A10081" t="s">
        <v>10094</v>
      </c>
      <c r="B10081">
        <v>764</v>
      </c>
      <c r="C10081" s="1" t="str">
        <f>HYPERLINK("http://www.rosaceae.org/gb/gbrowse/malus_x_domestica/?name=MDP0000132406","MDP0000132406")</f>
        <v>MDP0000132406</v>
      </c>
      <c r="D10081">
        <v>31.25</v>
      </c>
      <c r="E10081">
        <v>400</v>
      </c>
      <c r="F10081">
        <v>275</v>
      </c>
      <c r="G10081">
        <v>81</v>
      </c>
      <c r="H10081">
        <v>29</v>
      </c>
      <c r="I10081">
        <v>421</v>
      </c>
      <c r="J10081">
        <v>1</v>
      </c>
      <c r="K10081">
        <v>125</v>
      </c>
      <c r="L10081">
        <v>450</v>
      </c>
      <c r="M10081">
        <v>1</v>
      </c>
      <c r="N10081">
        <v>8.7035700000000002E-36</v>
      </c>
      <c r="O10081">
        <v>377</v>
      </c>
    </row>
    <row r="10082" spans="1:15" x14ac:dyDescent="0.25">
      <c r="A10082" t="s">
        <v>10095</v>
      </c>
      <c r="B10082">
        <v>514</v>
      </c>
      <c r="C10082" s="1" t="str">
        <f>HYPERLINK("http://www.rosaceae.org/gb/gbrowse/malus_x_domestica/?name=MDP0000758868","MDP0000758868")</f>
        <v>MDP0000758868</v>
      </c>
      <c r="D10082">
        <v>75.569999999999993</v>
      </c>
      <c r="E10082">
        <v>520</v>
      </c>
      <c r="F10082">
        <v>127</v>
      </c>
      <c r="G10082">
        <v>24</v>
      </c>
      <c r="H10082">
        <v>1</v>
      </c>
      <c r="I10082">
        <v>496</v>
      </c>
      <c r="J10082">
        <v>1</v>
      </c>
      <c r="K10082">
        <v>1</v>
      </c>
      <c r="L10082">
        <v>520</v>
      </c>
      <c r="M10082">
        <v>1</v>
      </c>
      <c r="N10082">
        <v>0</v>
      </c>
      <c r="O10082">
        <v>2055</v>
      </c>
    </row>
    <row r="10083" spans="1:15" x14ac:dyDescent="0.25">
      <c r="A10083" t="s">
        <v>10096</v>
      </c>
      <c r="B10083">
        <v>1209</v>
      </c>
      <c r="C10083" s="1" t="str">
        <f>HYPERLINK("http://www.rosaceae.org/gb/gbrowse/malus_x_domestica/?name=MDP0000155272","MDP0000155272")</f>
        <v>MDP0000155272</v>
      </c>
      <c r="D10083">
        <v>71.150000000000006</v>
      </c>
      <c r="E10083">
        <v>1158</v>
      </c>
      <c r="F10083">
        <v>334</v>
      </c>
      <c r="G10083">
        <v>86</v>
      </c>
      <c r="H10083">
        <v>89</v>
      </c>
      <c r="I10083">
        <v>1209</v>
      </c>
      <c r="J10083">
        <v>1</v>
      </c>
      <c r="K10083">
        <v>85</v>
      </c>
      <c r="L10083">
        <v>1193</v>
      </c>
      <c r="M10083">
        <v>1</v>
      </c>
      <c r="N10083">
        <v>0</v>
      </c>
      <c r="O10083">
        <v>4137</v>
      </c>
    </row>
    <row r="10084" spans="1:15" x14ac:dyDescent="0.25">
      <c r="A10084" t="s">
        <v>10097</v>
      </c>
      <c r="B10084">
        <v>710</v>
      </c>
      <c r="C10084" s="1" t="str">
        <f>HYPERLINK("http://www.rosaceae.org/gb/gbrowse/malus_x_domestica/?name=MDP0000194764","MDP0000194764")</f>
        <v>MDP0000194764</v>
      </c>
      <c r="D10084">
        <v>43.58</v>
      </c>
      <c r="E10084">
        <v>273</v>
      </c>
      <c r="F10084">
        <v>154</v>
      </c>
      <c r="G10084">
        <v>19</v>
      </c>
      <c r="H10084">
        <v>3</v>
      </c>
      <c r="I10084">
        <v>264</v>
      </c>
      <c r="J10084">
        <v>1</v>
      </c>
      <c r="K10084">
        <v>207</v>
      </c>
      <c r="L10084">
        <v>471</v>
      </c>
      <c r="M10084">
        <v>1</v>
      </c>
      <c r="N10084">
        <v>5.13611E-61</v>
      </c>
      <c r="O10084">
        <v>594</v>
      </c>
    </row>
    <row r="10085" spans="1:15" x14ac:dyDescent="0.25">
      <c r="A10085" t="s">
        <v>10098</v>
      </c>
      <c r="B10085">
        <v>112</v>
      </c>
      <c r="C10085" s="1" t="str">
        <f>HYPERLINK("http://www.rosaceae.org/gb/gbrowse/malus_x_domestica/?name=MDP0000260817","MDP0000260817")</f>
        <v>MDP0000260817</v>
      </c>
      <c r="D10085">
        <v>69.62</v>
      </c>
      <c r="E10085">
        <v>79</v>
      </c>
      <c r="F10085">
        <v>24</v>
      </c>
      <c r="G10085">
        <v>0</v>
      </c>
      <c r="H10085">
        <v>16</v>
      </c>
      <c r="I10085">
        <v>94</v>
      </c>
      <c r="J10085">
        <v>1</v>
      </c>
      <c r="K10085">
        <v>15</v>
      </c>
      <c r="L10085">
        <v>93</v>
      </c>
      <c r="M10085">
        <v>1</v>
      </c>
      <c r="N10085">
        <v>4.3263799999999998E-29</v>
      </c>
      <c r="O10085">
        <v>308</v>
      </c>
    </row>
    <row r="10086" spans="1:15" x14ac:dyDescent="0.25">
      <c r="A10086" t="s">
        <v>10099</v>
      </c>
      <c r="B10086">
        <v>104</v>
      </c>
      <c r="C10086" s="1" t="str">
        <f>HYPERLINK("http://www.rosaceae.org/gb/gbrowse/malus_x_domestica/?name=MDP0000310247","MDP0000310247")</f>
        <v>MDP0000310247</v>
      </c>
      <c r="D10086">
        <v>75.599999999999994</v>
      </c>
      <c r="E10086">
        <v>82</v>
      </c>
      <c r="F10086">
        <v>20</v>
      </c>
      <c r="G10086">
        <v>0</v>
      </c>
      <c r="H10086">
        <v>23</v>
      </c>
      <c r="I10086">
        <v>104</v>
      </c>
      <c r="J10086">
        <v>1</v>
      </c>
      <c r="K10086">
        <v>27</v>
      </c>
      <c r="L10086">
        <v>108</v>
      </c>
      <c r="M10086">
        <v>1</v>
      </c>
      <c r="N10086">
        <v>2.0240899999999999E-31</v>
      </c>
      <c r="O10086">
        <v>328</v>
      </c>
    </row>
    <row r="10087" spans="1:15" x14ac:dyDescent="0.25">
      <c r="A10087" t="s">
        <v>10100</v>
      </c>
      <c r="B10087">
        <v>822</v>
      </c>
      <c r="C10087" s="1" t="str">
        <f>HYPERLINK("http://www.rosaceae.org/gb/gbrowse/malus_x_domestica/?name=MDP0000834632","MDP0000834632")</f>
        <v>MDP0000834632</v>
      </c>
      <c r="D10087">
        <v>86.57</v>
      </c>
      <c r="E10087">
        <v>149</v>
      </c>
      <c r="F10087">
        <v>20</v>
      </c>
      <c r="G10087">
        <v>3</v>
      </c>
      <c r="H10087">
        <v>677</v>
      </c>
      <c r="I10087">
        <v>822</v>
      </c>
      <c r="J10087">
        <v>1</v>
      </c>
      <c r="K10087">
        <v>14</v>
      </c>
      <c r="L10087">
        <v>162</v>
      </c>
      <c r="M10087">
        <v>1</v>
      </c>
      <c r="N10087">
        <v>6.6819000000000003E-72</v>
      </c>
      <c r="O10087">
        <v>689</v>
      </c>
    </row>
    <row r="10088" spans="1:15" x14ac:dyDescent="0.25">
      <c r="A10088" t="s">
        <v>10101</v>
      </c>
      <c r="B10088">
        <v>135</v>
      </c>
      <c r="C10088" s="1" t="str">
        <f>HYPERLINK("http://www.rosaceae.org/gb/gbrowse/malus_x_domestica/?name=MDP0000408630","MDP0000408630")</f>
        <v>MDP0000408630</v>
      </c>
      <c r="D10088">
        <v>32.53</v>
      </c>
      <c r="E10088">
        <v>126</v>
      </c>
      <c r="F10088">
        <v>85</v>
      </c>
      <c r="G10088">
        <v>8</v>
      </c>
      <c r="H10088">
        <v>12</v>
      </c>
      <c r="I10088">
        <v>132</v>
      </c>
      <c r="J10088">
        <v>1</v>
      </c>
      <c r="K10088">
        <v>4</v>
      </c>
      <c r="L10088">
        <v>126</v>
      </c>
      <c r="M10088">
        <v>1</v>
      </c>
      <c r="N10088">
        <v>1.3012899999999999E-11</v>
      </c>
      <c r="O10088">
        <v>159</v>
      </c>
    </row>
    <row r="10089" spans="1:15" x14ac:dyDescent="0.25">
      <c r="A10089" t="s">
        <v>10102</v>
      </c>
      <c r="B10089">
        <v>336</v>
      </c>
      <c r="C10089" s="1" t="str">
        <f>HYPERLINK("http://www.rosaceae.org/gb/gbrowse/malus_x_domestica/?name=MDP0000212039","MDP0000212039")</f>
        <v>MDP0000212039</v>
      </c>
      <c r="D10089">
        <v>43.11</v>
      </c>
      <c r="E10089">
        <v>109</v>
      </c>
      <c r="F10089">
        <v>62</v>
      </c>
      <c r="G10089">
        <v>7</v>
      </c>
      <c r="H10089">
        <v>67</v>
      </c>
      <c r="I10089">
        <v>169</v>
      </c>
      <c r="J10089">
        <v>1</v>
      </c>
      <c r="K10089">
        <v>190</v>
      </c>
      <c r="L10089">
        <v>297</v>
      </c>
      <c r="M10089">
        <v>1</v>
      </c>
      <c r="N10089">
        <v>2.8644000000000003E-17</v>
      </c>
      <c r="O10089">
        <v>213</v>
      </c>
    </row>
    <row r="10090" spans="1:15" x14ac:dyDescent="0.25">
      <c r="A10090" t="s">
        <v>10103</v>
      </c>
      <c r="B10090">
        <v>73</v>
      </c>
      <c r="C10090" s="1" t="str">
        <f>HYPERLINK("http://www.rosaceae.org/gb/gbrowse/malus_x_domestica/?name=MDP0000150418","MDP0000150418")</f>
        <v>MDP0000150418</v>
      </c>
      <c r="D10090">
        <v>70.58</v>
      </c>
      <c r="E10090">
        <v>51</v>
      </c>
      <c r="F10090">
        <v>15</v>
      </c>
      <c r="G10090">
        <v>0</v>
      </c>
      <c r="H10090">
        <v>23</v>
      </c>
      <c r="I10090">
        <v>73</v>
      </c>
      <c r="J10090">
        <v>1</v>
      </c>
      <c r="K10090">
        <v>550</v>
      </c>
      <c r="L10090">
        <v>600</v>
      </c>
      <c r="M10090">
        <v>1</v>
      </c>
      <c r="N10090">
        <v>3.7541600000000002E-16</v>
      </c>
      <c r="O10090">
        <v>197</v>
      </c>
    </row>
    <row r="10091" spans="1:15" x14ac:dyDescent="0.25">
      <c r="A10091" t="s">
        <v>10104</v>
      </c>
      <c r="B10091">
        <v>405</v>
      </c>
      <c r="C10091" s="1" t="str">
        <f>HYPERLINK("http://www.rosaceae.org/gb/gbrowse/malus_x_domestica/?name=MDP0000186402","MDP0000186402")</f>
        <v>MDP0000186402</v>
      </c>
      <c r="D10091">
        <v>40.25</v>
      </c>
      <c r="E10091">
        <v>77</v>
      </c>
      <c r="F10091">
        <v>46</v>
      </c>
      <c r="G10091">
        <v>0</v>
      </c>
      <c r="H10091">
        <v>166</v>
      </c>
      <c r="I10091">
        <v>242</v>
      </c>
      <c r="J10091">
        <v>1</v>
      </c>
      <c r="K10091">
        <v>450</v>
      </c>
      <c r="L10091">
        <v>526</v>
      </c>
      <c r="M10091">
        <v>1</v>
      </c>
      <c r="N10091">
        <v>3.0787600000000001E-13</v>
      </c>
      <c r="O10091">
        <v>180</v>
      </c>
    </row>
    <row r="10092" spans="1:15" x14ac:dyDescent="0.25">
      <c r="A10092" t="s">
        <v>10105</v>
      </c>
      <c r="B10092">
        <v>772</v>
      </c>
      <c r="C10092" s="1" t="str">
        <f>HYPERLINK("http://www.rosaceae.org/gb/gbrowse/malus_x_domestica/?name=MDP0000265620","MDP0000265620")</f>
        <v>MDP0000265620</v>
      </c>
      <c r="D10092">
        <v>50.9</v>
      </c>
      <c r="E10092">
        <v>444</v>
      </c>
      <c r="F10092">
        <v>218</v>
      </c>
      <c r="G10092">
        <v>43</v>
      </c>
      <c r="H10092">
        <v>278</v>
      </c>
      <c r="I10092">
        <v>717</v>
      </c>
      <c r="J10092">
        <v>1</v>
      </c>
      <c r="K10092">
        <v>465</v>
      </c>
      <c r="L10092">
        <v>869</v>
      </c>
      <c r="M10092">
        <v>1</v>
      </c>
      <c r="N10092">
        <v>2.0489E-117</v>
      </c>
      <c r="O10092">
        <v>1081</v>
      </c>
    </row>
    <row r="10093" spans="1:15" x14ac:dyDescent="0.25">
      <c r="A10093" t="s">
        <v>10106</v>
      </c>
      <c r="B10093">
        <v>344</v>
      </c>
      <c r="C10093" s="1" t="str">
        <f>HYPERLINK("http://www.rosaceae.org/gb/gbrowse/malus_x_domestica/?name=MDP0000774306","MDP0000774306")</f>
        <v>MDP0000774306</v>
      </c>
      <c r="D10093">
        <v>37.75</v>
      </c>
      <c r="E10093">
        <v>339</v>
      </c>
      <c r="F10093">
        <v>211</v>
      </c>
      <c r="G10093">
        <v>50</v>
      </c>
      <c r="H10093">
        <v>13</v>
      </c>
      <c r="I10093">
        <v>310</v>
      </c>
      <c r="J10093">
        <v>1</v>
      </c>
      <c r="K10093">
        <v>1</v>
      </c>
      <c r="L10093">
        <v>330</v>
      </c>
      <c r="M10093">
        <v>1</v>
      </c>
      <c r="N10093">
        <v>1.6394599999999999E-44</v>
      </c>
      <c r="O10093">
        <v>449</v>
      </c>
    </row>
    <row r="10094" spans="1:15" x14ac:dyDescent="0.25">
      <c r="A10094" t="s">
        <v>10107</v>
      </c>
      <c r="B10094">
        <v>989</v>
      </c>
      <c r="C10094" s="1" t="str">
        <f>HYPERLINK("http://www.rosaceae.org/gb/gbrowse/malus_x_domestica/?name=MDP0000185801","MDP0000185801")</f>
        <v>MDP0000185801</v>
      </c>
      <c r="D10094">
        <v>74.42</v>
      </c>
      <c r="E10094">
        <v>305</v>
      </c>
      <c r="F10094">
        <v>78</v>
      </c>
      <c r="G10094">
        <v>35</v>
      </c>
      <c r="H10094">
        <v>659</v>
      </c>
      <c r="I10094">
        <v>941</v>
      </c>
      <c r="J10094">
        <v>1</v>
      </c>
      <c r="K10094">
        <v>84</v>
      </c>
      <c r="L10094">
        <v>375</v>
      </c>
      <c r="M10094">
        <v>1</v>
      </c>
      <c r="N10094">
        <v>2.1802799999999999E-128</v>
      </c>
      <c r="O10094">
        <v>1177</v>
      </c>
    </row>
    <row r="10095" spans="1:15" x14ac:dyDescent="0.25">
      <c r="A10095" t="s">
        <v>10108</v>
      </c>
      <c r="B10095">
        <v>540</v>
      </c>
      <c r="C10095" s="1" t="str">
        <f>HYPERLINK("http://www.rosaceae.org/gb/gbrowse/malus_x_domestica/?name=MDP0000189628","MDP0000189628")</f>
        <v>MDP0000189628</v>
      </c>
      <c r="D10095">
        <v>72.12</v>
      </c>
      <c r="E10095">
        <v>531</v>
      </c>
      <c r="F10095">
        <v>148</v>
      </c>
      <c r="G10095">
        <v>6</v>
      </c>
      <c r="H10095">
        <v>15</v>
      </c>
      <c r="I10095">
        <v>539</v>
      </c>
      <c r="J10095">
        <v>1</v>
      </c>
      <c r="K10095">
        <v>39</v>
      </c>
      <c r="L10095">
        <v>569</v>
      </c>
      <c r="M10095">
        <v>1</v>
      </c>
      <c r="N10095">
        <v>0</v>
      </c>
      <c r="O10095">
        <v>2091</v>
      </c>
    </row>
    <row r="10096" spans="1:15" x14ac:dyDescent="0.25">
      <c r="A10096" t="s">
        <v>10109</v>
      </c>
      <c r="B10096">
        <v>220</v>
      </c>
      <c r="C10096" s="1" t="str">
        <f>HYPERLINK("http://www.rosaceae.org/gb/gbrowse/malus_x_domestica/?name=MDP0000216956","MDP0000216956")</f>
        <v>MDP0000216956</v>
      </c>
      <c r="D10096">
        <v>27.72</v>
      </c>
      <c r="E10096">
        <v>220</v>
      </c>
      <c r="F10096">
        <v>159</v>
      </c>
      <c r="G10096">
        <v>27</v>
      </c>
      <c r="H10096">
        <v>22</v>
      </c>
      <c r="I10096">
        <v>216</v>
      </c>
      <c r="J10096">
        <v>1</v>
      </c>
      <c r="K10096">
        <v>24</v>
      </c>
      <c r="L10096">
        <v>241</v>
      </c>
      <c r="M10096">
        <v>1</v>
      </c>
      <c r="N10096">
        <v>9.3041399999999999E-17</v>
      </c>
      <c r="O10096">
        <v>207</v>
      </c>
    </row>
    <row r="10097" spans="1:15" x14ac:dyDescent="0.25">
      <c r="A10097" t="s">
        <v>10110</v>
      </c>
      <c r="B10097">
        <v>231</v>
      </c>
      <c r="C10097" s="1" t="str">
        <f>HYPERLINK("http://www.rosaceae.org/gb/gbrowse/malus_x_domestica/?name=MDP0000207132","MDP0000207132")</f>
        <v>MDP0000207132</v>
      </c>
      <c r="D10097">
        <v>35.5</v>
      </c>
      <c r="E10097">
        <v>138</v>
      </c>
      <c r="F10097">
        <v>89</v>
      </c>
      <c r="G10097">
        <v>3</v>
      </c>
      <c r="H10097">
        <v>66</v>
      </c>
      <c r="I10097">
        <v>203</v>
      </c>
      <c r="J10097">
        <v>1</v>
      </c>
      <c r="K10097">
        <v>46</v>
      </c>
      <c r="L10097">
        <v>180</v>
      </c>
      <c r="M10097">
        <v>1</v>
      </c>
      <c r="N10097">
        <v>1.6278599999999999E-17</v>
      </c>
      <c r="O10097">
        <v>214</v>
      </c>
    </row>
    <row r="10098" spans="1:15" x14ac:dyDescent="0.25">
      <c r="A10098" t="s">
        <v>10111</v>
      </c>
      <c r="B10098">
        <v>343</v>
      </c>
      <c r="C10098" s="1" t="str">
        <f>HYPERLINK("http://www.rosaceae.org/gb/gbrowse/malus_x_domestica/?name=MDP0000269604","MDP0000269604")</f>
        <v>MDP0000269604</v>
      </c>
      <c r="D10098">
        <v>85.17</v>
      </c>
      <c r="E10098">
        <v>344</v>
      </c>
      <c r="F10098">
        <v>51</v>
      </c>
      <c r="G10098">
        <v>1</v>
      </c>
      <c r="H10098">
        <v>1</v>
      </c>
      <c r="I10098">
        <v>343</v>
      </c>
      <c r="J10098">
        <v>1</v>
      </c>
      <c r="K10098">
        <v>1</v>
      </c>
      <c r="L10098">
        <v>344</v>
      </c>
      <c r="M10098">
        <v>1</v>
      </c>
      <c r="N10098">
        <v>3.5574099999999998E-178</v>
      </c>
      <c r="O10098">
        <v>1601</v>
      </c>
    </row>
    <row r="10099" spans="1:15" x14ac:dyDescent="0.25">
      <c r="A10099" t="s">
        <v>10112</v>
      </c>
      <c r="B10099">
        <v>1571</v>
      </c>
      <c r="C10099" s="1" t="str">
        <f>HYPERLINK("http://www.rosaceae.org/gb/gbrowse/malus_x_domestica/?name=MDP0000453050","MDP0000453050")</f>
        <v>MDP0000453050</v>
      </c>
      <c r="D10099">
        <v>62.22</v>
      </c>
      <c r="E10099">
        <v>773</v>
      </c>
      <c r="F10099">
        <v>292</v>
      </c>
      <c r="G10099">
        <v>17</v>
      </c>
      <c r="H10099">
        <v>808</v>
      </c>
      <c r="I10099">
        <v>1571</v>
      </c>
      <c r="J10099">
        <v>1</v>
      </c>
      <c r="K10099">
        <v>43</v>
      </c>
      <c r="L10099">
        <v>807</v>
      </c>
      <c r="M10099">
        <v>1</v>
      </c>
      <c r="N10099">
        <v>0</v>
      </c>
      <c r="O10099">
        <v>2491</v>
      </c>
    </row>
    <row r="10100" spans="1:15" x14ac:dyDescent="0.25">
      <c r="A10100" t="s">
        <v>10113</v>
      </c>
      <c r="B10100">
        <v>592</v>
      </c>
      <c r="C10100" s="1" t="str">
        <f>HYPERLINK("http://www.rosaceae.org/gb/gbrowse/malus_x_domestica/?name=MDP0000293245","MDP0000293245")</f>
        <v>MDP0000293245</v>
      </c>
      <c r="D10100">
        <v>67.959999999999994</v>
      </c>
      <c r="E10100">
        <v>512</v>
      </c>
      <c r="F10100">
        <v>164</v>
      </c>
      <c r="G10100">
        <v>41</v>
      </c>
      <c r="H10100">
        <v>87</v>
      </c>
      <c r="I10100">
        <v>592</v>
      </c>
      <c r="J10100">
        <v>1</v>
      </c>
      <c r="K10100">
        <v>4</v>
      </c>
      <c r="L10100">
        <v>480</v>
      </c>
      <c r="M10100">
        <v>1</v>
      </c>
      <c r="N10100">
        <v>0</v>
      </c>
      <c r="O10100">
        <v>1729</v>
      </c>
    </row>
    <row r="10101" spans="1:15" x14ac:dyDescent="0.25">
      <c r="A10101" t="s">
        <v>10114</v>
      </c>
      <c r="B10101">
        <v>305</v>
      </c>
      <c r="C10101" s="1" t="str">
        <f>HYPERLINK("http://www.rosaceae.org/gb/gbrowse/malus_x_domestica/?name=MDP0000168485","MDP0000168485")</f>
        <v>MDP0000168485</v>
      </c>
      <c r="D10101">
        <v>70.87</v>
      </c>
      <c r="E10101">
        <v>206</v>
      </c>
      <c r="F10101">
        <v>60</v>
      </c>
      <c r="G10101">
        <v>17</v>
      </c>
      <c r="H10101">
        <v>49</v>
      </c>
      <c r="I10101">
        <v>237</v>
      </c>
      <c r="J10101">
        <v>1</v>
      </c>
      <c r="K10101">
        <v>19</v>
      </c>
      <c r="L10101">
        <v>224</v>
      </c>
      <c r="M10101">
        <v>1</v>
      </c>
      <c r="N10101">
        <v>1.51367E-83</v>
      </c>
      <c r="O10101">
        <v>785</v>
      </c>
    </row>
    <row r="10102" spans="1:15" x14ac:dyDescent="0.25">
      <c r="A10102" t="s">
        <v>10115</v>
      </c>
      <c r="B10102">
        <v>292</v>
      </c>
      <c r="C10102" s="1" t="str">
        <f>HYPERLINK("http://www.rosaceae.org/gb/gbrowse/malus_x_domestica/?name=MDP0000196504","MDP0000196504")</f>
        <v>MDP0000196504</v>
      </c>
      <c r="D10102">
        <v>47.15</v>
      </c>
      <c r="E10102">
        <v>176</v>
      </c>
      <c r="F10102">
        <v>93</v>
      </c>
      <c r="G10102">
        <v>33</v>
      </c>
      <c r="H10102">
        <v>17</v>
      </c>
      <c r="I10102">
        <v>186</v>
      </c>
      <c r="J10102">
        <v>1</v>
      </c>
      <c r="K10102">
        <v>13</v>
      </c>
      <c r="L10102">
        <v>161</v>
      </c>
      <c r="M10102">
        <v>1</v>
      </c>
      <c r="N10102">
        <v>1.4030299999999999E-29</v>
      </c>
      <c r="O10102">
        <v>319</v>
      </c>
    </row>
    <row r="10103" spans="1:15" x14ac:dyDescent="0.25">
      <c r="A10103" t="s">
        <v>10116</v>
      </c>
      <c r="B10103">
        <v>781</v>
      </c>
      <c r="C10103" s="1" t="str">
        <f>HYPERLINK("http://www.rosaceae.org/gb/gbrowse/malus_x_domestica/?name=MDP0000317550","MDP0000317550")</f>
        <v>MDP0000317550</v>
      </c>
      <c r="D10103">
        <v>67.87</v>
      </c>
      <c r="E10103">
        <v>330</v>
      </c>
      <c r="F10103">
        <v>106</v>
      </c>
      <c r="G10103">
        <v>1</v>
      </c>
      <c r="H10103">
        <v>7</v>
      </c>
      <c r="I10103">
        <v>336</v>
      </c>
      <c r="J10103">
        <v>1</v>
      </c>
      <c r="K10103">
        <v>21</v>
      </c>
      <c r="L10103">
        <v>349</v>
      </c>
      <c r="M10103">
        <v>1</v>
      </c>
      <c r="N10103">
        <v>1.54635E-127</v>
      </c>
      <c r="O10103">
        <v>1168</v>
      </c>
    </row>
    <row r="10104" spans="1:15" x14ac:dyDescent="0.25">
      <c r="A10104" t="s">
        <v>10117</v>
      </c>
      <c r="B10104">
        <v>376</v>
      </c>
      <c r="C10104" s="1" t="str">
        <f>HYPERLINK("http://www.rosaceae.org/gb/gbrowse/malus_x_domestica/?name=MDP0000177488","MDP0000177488")</f>
        <v>MDP0000177488</v>
      </c>
      <c r="D10104">
        <v>68.59</v>
      </c>
      <c r="E10104">
        <v>398</v>
      </c>
      <c r="F10104">
        <v>125</v>
      </c>
      <c r="G10104">
        <v>24</v>
      </c>
      <c r="H10104">
        <v>1</v>
      </c>
      <c r="I10104">
        <v>374</v>
      </c>
      <c r="J10104">
        <v>1</v>
      </c>
      <c r="K10104">
        <v>1</v>
      </c>
      <c r="L10104">
        <v>398</v>
      </c>
      <c r="M10104">
        <v>1</v>
      </c>
      <c r="N10104">
        <v>2.1587399999999999E-163</v>
      </c>
      <c r="O10104">
        <v>1474</v>
      </c>
    </row>
    <row r="10105" spans="1:15" x14ac:dyDescent="0.25">
      <c r="A10105" t="s">
        <v>10118</v>
      </c>
      <c r="B10105">
        <v>289</v>
      </c>
      <c r="C10105" s="1" t="str">
        <f>HYPERLINK("http://www.rosaceae.org/gb/gbrowse/malus_x_domestica/?name=MDP0000396778","MDP0000396778")</f>
        <v>MDP0000396778</v>
      </c>
      <c r="D10105">
        <v>80.98</v>
      </c>
      <c r="E10105">
        <v>163</v>
      </c>
      <c r="F10105">
        <v>31</v>
      </c>
      <c r="G10105">
        <v>10</v>
      </c>
      <c r="H10105">
        <v>9</v>
      </c>
      <c r="I10105">
        <v>171</v>
      </c>
      <c r="J10105">
        <v>1</v>
      </c>
      <c r="K10105">
        <v>8</v>
      </c>
      <c r="L10105">
        <v>160</v>
      </c>
      <c r="M10105">
        <v>1</v>
      </c>
      <c r="N10105">
        <v>4.0373199999999999E-72</v>
      </c>
      <c r="O10105">
        <v>686</v>
      </c>
    </row>
    <row r="10106" spans="1:15" x14ac:dyDescent="0.25">
      <c r="A10106" t="s">
        <v>10119</v>
      </c>
      <c r="B10106">
        <v>799</v>
      </c>
      <c r="C10106" s="1" t="str">
        <f>HYPERLINK("http://www.rosaceae.org/gb/gbrowse/malus_x_domestica/?name=MDP0000197948","MDP0000197948")</f>
        <v>MDP0000197948</v>
      </c>
      <c r="D10106">
        <v>65.040000000000006</v>
      </c>
      <c r="E10106">
        <v>718</v>
      </c>
      <c r="F10106">
        <v>251</v>
      </c>
      <c r="G10106">
        <v>18</v>
      </c>
      <c r="H10106">
        <v>17</v>
      </c>
      <c r="I10106">
        <v>726</v>
      </c>
      <c r="J10106">
        <v>1</v>
      </c>
      <c r="K10106">
        <v>17</v>
      </c>
      <c r="L10106">
        <v>724</v>
      </c>
      <c r="M10106">
        <v>1</v>
      </c>
      <c r="N10106">
        <v>0</v>
      </c>
      <c r="O10106">
        <v>2479</v>
      </c>
    </row>
    <row r="10107" spans="1:15" x14ac:dyDescent="0.25">
      <c r="A10107" t="s">
        <v>10120</v>
      </c>
      <c r="B10107">
        <v>369</v>
      </c>
      <c r="C10107" s="1" t="str">
        <f>HYPERLINK("http://www.rosaceae.org/gb/gbrowse/malus_x_domestica/?name=MDP0000290966","MDP0000290966")</f>
        <v>MDP0000290966</v>
      </c>
      <c r="D10107">
        <v>32.51</v>
      </c>
      <c r="E10107">
        <v>163</v>
      </c>
      <c r="F10107">
        <v>110</v>
      </c>
      <c r="G10107">
        <v>0</v>
      </c>
      <c r="H10107">
        <v>207</v>
      </c>
      <c r="I10107">
        <v>369</v>
      </c>
      <c r="J10107">
        <v>1</v>
      </c>
      <c r="K10107">
        <v>121</v>
      </c>
      <c r="L10107">
        <v>283</v>
      </c>
      <c r="M10107">
        <v>1</v>
      </c>
      <c r="N10107">
        <v>7.7157799999999996E-25</v>
      </c>
      <c r="O10107">
        <v>279</v>
      </c>
    </row>
    <row r="10108" spans="1:15" x14ac:dyDescent="0.25">
      <c r="A10108" t="s">
        <v>10121</v>
      </c>
      <c r="B10108">
        <v>574</v>
      </c>
      <c r="C10108" s="1" t="str">
        <f>HYPERLINK("http://www.rosaceae.org/gb/gbrowse/malus_x_domestica/?name=MDP0000197340","MDP0000197340")</f>
        <v>MDP0000197340</v>
      </c>
      <c r="D10108">
        <v>63.01</v>
      </c>
      <c r="E10108">
        <v>365</v>
      </c>
      <c r="F10108">
        <v>135</v>
      </c>
      <c r="G10108">
        <v>47</v>
      </c>
      <c r="H10108">
        <v>1</v>
      </c>
      <c r="I10108">
        <v>325</v>
      </c>
      <c r="J10108">
        <v>1</v>
      </c>
      <c r="K10108">
        <v>1</v>
      </c>
      <c r="L10108">
        <v>358</v>
      </c>
      <c r="M10108">
        <v>1</v>
      </c>
      <c r="N10108">
        <v>1.15976E-116</v>
      </c>
      <c r="O10108">
        <v>1073</v>
      </c>
    </row>
    <row r="10109" spans="1:15" x14ac:dyDescent="0.25">
      <c r="A10109" t="s">
        <v>10122</v>
      </c>
      <c r="B10109">
        <v>486</v>
      </c>
      <c r="C10109" s="1" t="str">
        <f>HYPERLINK("http://www.rosaceae.org/gb/gbrowse/malus_x_domestica/?name=MDP0000143680","MDP0000143680")</f>
        <v>MDP0000143680</v>
      </c>
      <c r="D10109">
        <v>69.900000000000006</v>
      </c>
      <c r="E10109">
        <v>505</v>
      </c>
      <c r="F10109">
        <v>152</v>
      </c>
      <c r="G10109">
        <v>42</v>
      </c>
      <c r="H10109">
        <v>15</v>
      </c>
      <c r="I10109">
        <v>486</v>
      </c>
      <c r="J10109">
        <v>1</v>
      </c>
      <c r="K10109">
        <v>18</v>
      </c>
      <c r="L10109">
        <v>513</v>
      </c>
      <c r="M10109">
        <v>1</v>
      </c>
      <c r="N10109">
        <v>0</v>
      </c>
      <c r="O10109">
        <v>1768</v>
      </c>
    </row>
    <row r="10110" spans="1:15" x14ac:dyDescent="0.25">
      <c r="A10110" t="s">
        <v>10123</v>
      </c>
      <c r="B10110">
        <v>273</v>
      </c>
      <c r="C10110" s="1" t="str">
        <f>HYPERLINK("http://www.rosaceae.org/gb/gbrowse/malus_x_domestica/?name=MDP0000168272","MDP0000168272")</f>
        <v>MDP0000168272</v>
      </c>
      <c r="D10110">
        <v>62.19</v>
      </c>
      <c r="E10110">
        <v>246</v>
      </c>
      <c r="F10110">
        <v>93</v>
      </c>
      <c r="G10110">
        <v>3</v>
      </c>
      <c r="H10110">
        <v>2</v>
      </c>
      <c r="I10110">
        <v>246</v>
      </c>
      <c r="J10110">
        <v>1</v>
      </c>
      <c r="K10110">
        <v>139</v>
      </c>
      <c r="L10110">
        <v>382</v>
      </c>
      <c r="M10110">
        <v>1</v>
      </c>
      <c r="N10110">
        <v>3.9037400000000002E-81</v>
      </c>
      <c r="O10110">
        <v>763</v>
      </c>
    </row>
    <row r="10111" spans="1:15" x14ac:dyDescent="0.25">
      <c r="A10111" t="s">
        <v>10124</v>
      </c>
      <c r="B10111">
        <v>256</v>
      </c>
      <c r="C10111" s="1" t="str">
        <f>HYPERLINK("http://www.rosaceae.org/gb/gbrowse/malus_x_domestica/?name=MDP0000198054","MDP0000198054")</f>
        <v>MDP0000198054</v>
      </c>
      <c r="D10111">
        <v>61.03</v>
      </c>
      <c r="E10111">
        <v>213</v>
      </c>
      <c r="F10111">
        <v>83</v>
      </c>
      <c r="G10111">
        <v>10</v>
      </c>
      <c r="H10111">
        <v>44</v>
      </c>
      <c r="I10111">
        <v>255</v>
      </c>
      <c r="J10111">
        <v>1</v>
      </c>
      <c r="K10111">
        <v>131</v>
      </c>
      <c r="L10111">
        <v>334</v>
      </c>
      <c r="M10111">
        <v>1</v>
      </c>
      <c r="N10111">
        <v>7.9511399999999993E-64</v>
      </c>
      <c r="O10111">
        <v>614</v>
      </c>
    </row>
    <row r="10112" spans="1:15" x14ac:dyDescent="0.25">
      <c r="A10112" t="s">
        <v>10125</v>
      </c>
      <c r="B10112">
        <v>346</v>
      </c>
      <c r="C10112" s="1" t="str">
        <f>HYPERLINK("http://www.rosaceae.org/gb/gbrowse/malus_x_domestica/?name=MDP0000470996","MDP0000470996")</f>
        <v>MDP0000470996</v>
      </c>
      <c r="D10112">
        <v>78.959999999999994</v>
      </c>
      <c r="E10112">
        <v>347</v>
      </c>
      <c r="F10112">
        <v>73</v>
      </c>
      <c r="G10112">
        <v>1</v>
      </c>
      <c r="H10112">
        <v>1</v>
      </c>
      <c r="I10112">
        <v>346</v>
      </c>
      <c r="J10112">
        <v>1</v>
      </c>
      <c r="K10112">
        <v>1</v>
      </c>
      <c r="L10112">
        <v>347</v>
      </c>
      <c r="M10112">
        <v>1</v>
      </c>
      <c r="N10112">
        <v>7.6000900000000007E-164</v>
      </c>
      <c r="O10112">
        <v>1478</v>
      </c>
    </row>
    <row r="10113" spans="1:15" x14ac:dyDescent="0.25">
      <c r="A10113" t="s">
        <v>10126</v>
      </c>
      <c r="B10113">
        <v>141</v>
      </c>
      <c r="C10113" s="1" t="str">
        <f>HYPERLINK("http://www.rosaceae.org/gb/gbrowse/malus_x_domestica/?name=MDP0000121817","MDP0000121817")</f>
        <v>MDP0000121817</v>
      </c>
      <c r="D10113">
        <v>34.28</v>
      </c>
      <c r="E10113">
        <v>70</v>
      </c>
      <c r="F10113">
        <v>46</v>
      </c>
      <c r="G10113">
        <v>0</v>
      </c>
      <c r="H10113">
        <v>65</v>
      </c>
      <c r="I10113">
        <v>134</v>
      </c>
      <c r="J10113">
        <v>1</v>
      </c>
      <c r="K10113">
        <v>20</v>
      </c>
      <c r="L10113">
        <v>89</v>
      </c>
      <c r="M10113">
        <v>1</v>
      </c>
      <c r="N10113">
        <v>3.1730000000000001E-9</v>
      </c>
      <c r="O10113">
        <v>138</v>
      </c>
    </row>
    <row r="10114" spans="1:15" x14ac:dyDescent="0.25">
      <c r="A10114" t="s">
        <v>10127</v>
      </c>
      <c r="B10114">
        <v>202</v>
      </c>
      <c r="C10114" s="1" t="str">
        <f>HYPERLINK("http://www.rosaceae.org/gb/gbrowse/malus_x_domestica/?name=MDP0000234152","MDP0000234152")</f>
        <v>MDP0000234152</v>
      </c>
      <c r="D10114">
        <v>31.42</v>
      </c>
      <c r="E10114">
        <v>140</v>
      </c>
      <c r="F10114">
        <v>96</v>
      </c>
      <c r="G10114">
        <v>3</v>
      </c>
      <c r="H10114">
        <v>1</v>
      </c>
      <c r="I10114">
        <v>137</v>
      </c>
      <c r="J10114">
        <v>1</v>
      </c>
      <c r="K10114">
        <v>1</v>
      </c>
      <c r="L10114">
        <v>140</v>
      </c>
      <c r="M10114">
        <v>1</v>
      </c>
      <c r="N10114">
        <v>4.5170599999999998E-14</v>
      </c>
      <c r="O10114">
        <v>183</v>
      </c>
    </row>
    <row r="10115" spans="1:15" x14ac:dyDescent="0.25">
      <c r="A10115" t="s">
        <v>10128</v>
      </c>
      <c r="B10115">
        <v>734</v>
      </c>
      <c r="C10115" s="1" t="str">
        <f>HYPERLINK("http://www.rosaceae.org/gb/gbrowse/malus_x_domestica/?name=MDP0000691953","MDP0000691953")</f>
        <v>MDP0000691953</v>
      </c>
      <c r="D10115">
        <v>45.62</v>
      </c>
      <c r="E10115">
        <v>732</v>
      </c>
      <c r="F10115">
        <v>398</v>
      </c>
      <c r="G10115">
        <v>80</v>
      </c>
      <c r="H10115">
        <v>53</v>
      </c>
      <c r="I10115">
        <v>729</v>
      </c>
      <c r="J10115">
        <v>1</v>
      </c>
      <c r="K10115">
        <v>260</v>
      </c>
      <c r="L10115">
        <v>966</v>
      </c>
      <c r="M10115">
        <v>1</v>
      </c>
      <c r="N10115">
        <v>1.55036E-155</v>
      </c>
      <c r="O10115">
        <v>1409</v>
      </c>
    </row>
    <row r="10116" spans="1:15" x14ac:dyDescent="0.25">
      <c r="A10116" t="s">
        <v>10129</v>
      </c>
      <c r="B10116">
        <v>516</v>
      </c>
      <c r="C10116" s="1" t="str">
        <f>HYPERLINK("http://www.rosaceae.org/gb/gbrowse/malus_x_domestica/?name=MDP0000316225","MDP0000316225")</f>
        <v>MDP0000316225</v>
      </c>
      <c r="D10116">
        <v>66.53</v>
      </c>
      <c r="E10116">
        <v>508</v>
      </c>
      <c r="F10116">
        <v>170</v>
      </c>
      <c r="G10116">
        <v>5</v>
      </c>
      <c r="H10116">
        <v>1</v>
      </c>
      <c r="I10116">
        <v>505</v>
      </c>
      <c r="J10116">
        <v>1</v>
      </c>
      <c r="K10116">
        <v>1</v>
      </c>
      <c r="L10116">
        <v>506</v>
      </c>
      <c r="M10116">
        <v>1</v>
      </c>
      <c r="N10116">
        <v>0</v>
      </c>
      <c r="O10116">
        <v>1794</v>
      </c>
    </row>
    <row r="10117" spans="1:15" x14ac:dyDescent="0.25">
      <c r="A10117" t="s">
        <v>10130</v>
      </c>
      <c r="B10117">
        <v>429</v>
      </c>
      <c r="C10117" s="1" t="str">
        <f>HYPERLINK("http://www.rosaceae.org/gb/gbrowse/malus_x_domestica/?name=MDP0000811085","MDP0000811085")</f>
        <v>MDP0000811085</v>
      </c>
      <c r="D10117">
        <v>43.94</v>
      </c>
      <c r="E10117">
        <v>421</v>
      </c>
      <c r="F10117">
        <v>236</v>
      </c>
      <c r="G10117">
        <v>34</v>
      </c>
      <c r="H10117">
        <v>32</v>
      </c>
      <c r="I10117">
        <v>428</v>
      </c>
      <c r="J10117">
        <v>1</v>
      </c>
      <c r="K10117">
        <v>2</v>
      </c>
      <c r="L10117">
        <v>412</v>
      </c>
      <c r="M10117">
        <v>1</v>
      </c>
      <c r="N10117">
        <v>2.3538100000000001E-83</v>
      </c>
      <c r="O10117">
        <v>785</v>
      </c>
    </row>
    <row r="10118" spans="1:15" x14ac:dyDescent="0.25">
      <c r="A10118" t="s">
        <v>10131</v>
      </c>
      <c r="B10118">
        <v>507</v>
      </c>
      <c r="C10118" s="1" t="str">
        <f>HYPERLINK("http://www.rosaceae.org/gb/gbrowse/malus_x_domestica/?name=MDP0000154434","MDP0000154434")</f>
        <v>MDP0000154434</v>
      </c>
      <c r="D10118">
        <v>42.06</v>
      </c>
      <c r="E10118">
        <v>359</v>
      </c>
      <c r="F10118">
        <v>208</v>
      </c>
      <c r="G10118">
        <v>43</v>
      </c>
      <c r="H10118">
        <v>183</v>
      </c>
      <c r="I10118">
        <v>506</v>
      </c>
      <c r="J10118">
        <v>1</v>
      </c>
      <c r="K10118">
        <v>42</v>
      </c>
      <c r="L10118">
        <v>392</v>
      </c>
      <c r="M10118">
        <v>1</v>
      </c>
      <c r="N10118">
        <v>3.9638799999999999E-53</v>
      </c>
      <c r="O10118">
        <v>525</v>
      </c>
    </row>
    <row r="10119" spans="1:15" x14ac:dyDescent="0.25">
      <c r="A10119" t="s">
        <v>10132</v>
      </c>
      <c r="B10119">
        <v>319</v>
      </c>
      <c r="C10119" s="1" t="str">
        <f>HYPERLINK("http://www.rosaceae.org/gb/gbrowse/malus_x_domestica/?name=MDP0000776131","MDP0000776131")</f>
        <v>MDP0000776131</v>
      </c>
      <c r="D10119">
        <v>56.71</v>
      </c>
      <c r="E10119">
        <v>67</v>
      </c>
      <c r="F10119">
        <v>29</v>
      </c>
      <c r="G10119">
        <v>2</v>
      </c>
      <c r="H10119">
        <v>241</v>
      </c>
      <c r="I10119">
        <v>307</v>
      </c>
      <c r="J10119">
        <v>1</v>
      </c>
      <c r="K10119">
        <v>253</v>
      </c>
      <c r="L10119">
        <v>317</v>
      </c>
      <c r="M10119">
        <v>1</v>
      </c>
      <c r="N10119">
        <v>2.8191000000000001E-11</v>
      </c>
      <c r="O10119">
        <v>162</v>
      </c>
    </row>
    <row r="10120" spans="1:15" x14ac:dyDescent="0.25">
      <c r="A10120" t="s">
        <v>10133</v>
      </c>
      <c r="B10120">
        <v>341</v>
      </c>
      <c r="C10120" s="1" t="str">
        <f>HYPERLINK("http://www.rosaceae.org/gb/gbrowse/malus_x_domestica/?name=MDP0000130015","MDP0000130015")</f>
        <v>MDP0000130015</v>
      </c>
      <c r="D10120">
        <v>57.34</v>
      </c>
      <c r="E10120">
        <v>347</v>
      </c>
      <c r="F10120">
        <v>148</v>
      </c>
      <c r="G10120">
        <v>13</v>
      </c>
      <c r="H10120">
        <v>1</v>
      </c>
      <c r="I10120">
        <v>340</v>
      </c>
      <c r="J10120">
        <v>1</v>
      </c>
      <c r="K10120">
        <v>4</v>
      </c>
      <c r="L10120">
        <v>344</v>
      </c>
      <c r="M10120">
        <v>1</v>
      </c>
      <c r="N10120">
        <v>4.18092E-110</v>
      </c>
      <c r="O10120">
        <v>1014</v>
      </c>
    </row>
    <row r="10121" spans="1:15" x14ac:dyDescent="0.25">
      <c r="A10121" t="s">
        <v>10134</v>
      </c>
      <c r="B10121">
        <v>497</v>
      </c>
      <c r="C10121" s="1" t="str">
        <f>HYPERLINK("http://www.rosaceae.org/gb/gbrowse/malus_x_domestica/?name=MDP0000263577","MDP0000263577")</f>
        <v>MDP0000263577</v>
      </c>
      <c r="D10121">
        <v>63.96</v>
      </c>
      <c r="E10121">
        <v>505</v>
      </c>
      <c r="F10121">
        <v>182</v>
      </c>
      <c r="G10121">
        <v>58</v>
      </c>
      <c r="H10121">
        <v>40</v>
      </c>
      <c r="I10121">
        <v>487</v>
      </c>
      <c r="J10121">
        <v>1</v>
      </c>
      <c r="K10121">
        <v>41</v>
      </c>
      <c r="L10121">
        <v>544</v>
      </c>
      <c r="M10121">
        <v>1</v>
      </c>
      <c r="N10121">
        <v>4.8732600000000001E-174</v>
      </c>
      <c r="O10121">
        <v>1567</v>
      </c>
    </row>
    <row r="10122" spans="1:15" x14ac:dyDescent="0.25">
      <c r="A10122" t="s">
        <v>10135</v>
      </c>
      <c r="B10122">
        <v>106</v>
      </c>
      <c r="C10122" s="1" t="str">
        <f>HYPERLINK("http://www.rosaceae.org/gb/gbrowse/malus_x_domestica/?name=MDP0000949005","MDP0000949005")</f>
        <v>MDP0000949005</v>
      </c>
      <c r="D10122">
        <v>46.46</v>
      </c>
      <c r="E10122">
        <v>99</v>
      </c>
      <c r="F10122">
        <v>53</v>
      </c>
      <c r="G10122">
        <v>3</v>
      </c>
      <c r="H10122">
        <v>9</v>
      </c>
      <c r="I10122">
        <v>106</v>
      </c>
      <c r="J10122">
        <v>1</v>
      </c>
      <c r="K10122">
        <v>11</v>
      </c>
      <c r="L10122">
        <v>107</v>
      </c>
      <c r="M10122">
        <v>1</v>
      </c>
      <c r="N10122">
        <v>1.00161E-17</v>
      </c>
      <c r="O10122">
        <v>210</v>
      </c>
    </row>
    <row r="10123" spans="1:15" x14ac:dyDescent="0.25">
      <c r="A10123" t="s">
        <v>10136</v>
      </c>
      <c r="B10123">
        <v>161</v>
      </c>
      <c r="C10123" s="1" t="str">
        <f>HYPERLINK("http://www.rosaceae.org/gb/gbrowse/malus_x_domestica/?name=MDP0000452572","MDP0000452572")</f>
        <v>MDP0000452572</v>
      </c>
      <c r="D10123">
        <v>69.75</v>
      </c>
      <c r="E10123">
        <v>162</v>
      </c>
      <c r="F10123">
        <v>49</v>
      </c>
      <c r="G10123">
        <v>1</v>
      </c>
      <c r="H10123">
        <v>1</v>
      </c>
      <c r="I10123">
        <v>161</v>
      </c>
      <c r="J10123">
        <v>1</v>
      </c>
      <c r="K10123">
        <v>109</v>
      </c>
      <c r="L10123">
        <v>270</v>
      </c>
      <c r="M10123">
        <v>1</v>
      </c>
      <c r="N10123">
        <v>2.28077E-63</v>
      </c>
      <c r="O10123">
        <v>606</v>
      </c>
    </row>
    <row r="10124" spans="1:15" x14ac:dyDescent="0.25">
      <c r="A10124" t="s">
        <v>10137</v>
      </c>
      <c r="B10124">
        <v>138</v>
      </c>
      <c r="C10124" s="1" t="str">
        <f>HYPERLINK("http://www.rosaceae.org/gb/gbrowse/malus_x_domestica/?name=MDP0000932000","MDP0000932000")</f>
        <v>MDP0000932000</v>
      </c>
      <c r="D10124">
        <v>40.25</v>
      </c>
      <c r="E10124">
        <v>77</v>
      </c>
      <c r="F10124">
        <v>46</v>
      </c>
      <c r="G10124">
        <v>0</v>
      </c>
      <c r="H10124">
        <v>40</v>
      </c>
      <c r="I10124">
        <v>116</v>
      </c>
      <c r="J10124">
        <v>1</v>
      </c>
      <c r="K10124">
        <v>46</v>
      </c>
      <c r="L10124">
        <v>122</v>
      </c>
      <c r="M10124">
        <v>1</v>
      </c>
      <c r="N10124">
        <v>7.3247900000000003E-9</v>
      </c>
      <c r="O10124">
        <v>135</v>
      </c>
    </row>
    <row r="10125" spans="1:15" x14ac:dyDescent="0.25">
      <c r="A10125" t="s">
        <v>10138</v>
      </c>
      <c r="B10125">
        <v>377</v>
      </c>
      <c r="C10125" s="1" t="str">
        <f>HYPERLINK("http://www.rosaceae.org/gb/gbrowse/malus_x_domestica/?name=MDP0000145825","MDP0000145825")</f>
        <v>MDP0000145825</v>
      </c>
      <c r="D10125">
        <v>56.23</v>
      </c>
      <c r="E10125">
        <v>393</v>
      </c>
      <c r="F10125">
        <v>172</v>
      </c>
      <c r="G10125">
        <v>49</v>
      </c>
      <c r="H10125">
        <v>1</v>
      </c>
      <c r="I10125">
        <v>377</v>
      </c>
      <c r="J10125">
        <v>1</v>
      </c>
      <c r="K10125">
        <v>1</v>
      </c>
      <c r="L10125">
        <v>360</v>
      </c>
      <c r="M10125">
        <v>1</v>
      </c>
      <c r="N10125">
        <v>1.1049600000000001E-97</v>
      </c>
      <c r="O10125">
        <v>908</v>
      </c>
    </row>
    <row r="10126" spans="1:15" x14ac:dyDescent="0.25">
      <c r="A10126" t="s">
        <v>10139</v>
      </c>
      <c r="B10126">
        <v>544</v>
      </c>
      <c r="C10126" s="1" t="str">
        <f>HYPERLINK("http://www.rosaceae.org/gb/gbrowse/malus_x_domestica/?name=MDP0000514416","MDP0000514416")</f>
        <v>MDP0000514416</v>
      </c>
      <c r="D10126">
        <v>53.99</v>
      </c>
      <c r="E10126">
        <v>576</v>
      </c>
      <c r="F10126">
        <v>265</v>
      </c>
      <c r="G10126">
        <v>56</v>
      </c>
      <c r="H10126">
        <v>12</v>
      </c>
      <c r="I10126">
        <v>543</v>
      </c>
      <c r="J10126">
        <v>1</v>
      </c>
      <c r="K10126">
        <v>13</v>
      </c>
      <c r="L10126">
        <v>576</v>
      </c>
      <c r="M10126">
        <v>1</v>
      </c>
      <c r="N10126">
        <v>1.2856100000000001E-156</v>
      </c>
      <c r="O10126">
        <v>1418</v>
      </c>
    </row>
    <row r="10127" spans="1:15" x14ac:dyDescent="0.25">
      <c r="A10127" t="s">
        <v>10140</v>
      </c>
      <c r="B10127">
        <v>1170</v>
      </c>
      <c r="C10127" s="1" t="str">
        <f>HYPERLINK("http://www.rosaceae.org/gb/gbrowse/malus_x_domestica/?name=MDP0000809746","MDP0000809746")</f>
        <v>MDP0000809746</v>
      </c>
      <c r="D10127">
        <v>90.8</v>
      </c>
      <c r="E10127">
        <v>729</v>
      </c>
      <c r="F10127">
        <v>67</v>
      </c>
      <c r="G10127">
        <v>0</v>
      </c>
      <c r="H10127">
        <v>1</v>
      </c>
      <c r="I10127">
        <v>729</v>
      </c>
      <c r="J10127">
        <v>1</v>
      </c>
      <c r="K10127">
        <v>1</v>
      </c>
      <c r="L10127">
        <v>729</v>
      </c>
      <c r="M10127">
        <v>1</v>
      </c>
      <c r="N10127">
        <v>0</v>
      </c>
      <c r="O10127">
        <v>3566</v>
      </c>
    </row>
    <row r="10128" spans="1:15" x14ac:dyDescent="0.25">
      <c r="A10128" t="s">
        <v>10141</v>
      </c>
      <c r="B10128">
        <v>930</v>
      </c>
      <c r="C10128" s="1" t="str">
        <f>HYPERLINK("http://www.rosaceae.org/gb/gbrowse/malus_x_domestica/?name=MDP0000290118","MDP0000290118")</f>
        <v>MDP0000290118</v>
      </c>
      <c r="D10128">
        <v>51.21</v>
      </c>
      <c r="E10128">
        <v>1074</v>
      </c>
      <c r="F10128">
        <v>524</v>
      </c>
      <c r="G10128">
        <v>160</v>
      </c>
      <c r="H10128">
        <v>1</v>
      </c>
      <c r="I10128">
        <v>925</v>
      </c>
      <c r="J10128">
        <v>1</v>
      </c>
      <c r="K10128">
        <v>1</v>
      </c>
      <c r="L10128">
        <v>1063</v>
      </c>
      <c r="M10128">
        <v>1</v>
      </c>
      <c r="N10128">
        <v>0</v>
      </c>
      <c r="O10128">
        <v>2528</v>
      </c>
    </row>
    <row r="10129" spans="1:15" x14ac:dyDescent="0.25">
      <c r="A10129" t="s">
        <v>10142</v>
      </c>
      <c r="B10129">
        <v>211</v>
      </c>
      <c r="C10129" s="1" t="str">
        <f>HYPERLINK("http://www.rosaceae.org/gb/gbrowse/malus_x_domestica/?name=MDP0000286444","MDP0000286444")</f>
        <v>MDP0000286444</v>
      </c>
      <c r="D10129">
        <v>78.66</v>
      </c>
      <c r="E10129">
        <v>75</v>
      </c>
      <c r="F10129">
        <v>16</v>
      </c>
      <c r="G10129">
        <v>0</v>
      </c>
      <c r="H10129">
        <v>22</v>
      </c>
      <c r="I10129">
        <v>96</v>
      </c>
      <c r="J10129">
        <v>1</v>
      </c>
      <c r="K10129">
        <v>464</v>
      </c>
      <c r="L10129">
        <v>538</v>
      </c>
      <c r="M10129">
        <v>1</v>
      </c>
      <c r="N10129">
        <v>6.0433700000000002E-30</v>
      </c>
      <c r="O10129">
        <v>320</v>
      </c>
    </row>
    <row r="10130" spans="1:15" x14ac:dyDescent="0.25">
      <c r="A10130" t="s">
        <v>10143</v>
      </c>
      <c r="B10130">
        <v>157</v>
      </c>
      <c r="C10130" s="1" t="str">
        <f>HYPERLINK("http://www.rosaceae.org/gb/gbrowse/malus_x_domestica/?name=MDP0000202829","MDP0000202829")</f>
        <v>MDP0000202829</v>
      </c>
      <c r="D10130">
        <v>40.380000000000003</v>
      </c>
      <c r="E10130">
        <v>156</v>
      </c>
      <c r="F10130">
        <v>93</v>
      </c>
      <c r="G10130">
        <v>14</v>
      </c>
      <c r="H10130">
        <v>13</v>
      </c>
      <c r="I10130">
        <v>154</v>
      </c>
      <c r="J10130">
        <v>1</v>
      </c>
      <c r="K10130">
        <v>25</v>
      </c>
      <c r="L10130">
        <v>180</v>
      </c>
      <c r="M10130">
        <v>1</v>
      </c>
      <c r="N10130">
        <v>2.2417400000000001E-22</v>
      </c>
      <c r="O10130">
        <v>253</v>
      </c>
    </row>
    <row r="10131" spans="1:15" x14ac:dyDescent="0.25">
      <c r="A10131" t="s">
        <v>10144</v>
      </c>
      <c r="B10131">
        <v>953</v>
      </c>
      <c r="C10131" s="1" t="str">
        <f>HYPERLINK("http://www.rosaceae.org/gb/gbrowse/malus_x_domestica/?name=MDP0000277305","MDP0000277305")</f>
        <v>MDP0000277305</v>
      </c>
      <c r="D10131">
        <v>62.68</v>
      </c>
      <c r="E10131">
        <v>1013</v>
      </c>
      <c r="F10131">
        <v>378</v>
      </c>
      <c r="G10131">
        <v>78</v>
      </c>
      <c r="H10131">
        <v>1</v>
      </c>
      <c r="I10131">
        <v>943</v>
      </c>
      <c r="J10131">
        <v>1</v>
      </c>
      <c r="K10131">
        <v>607</v>
      </c>
      <c r="L10131">
        <v>1611</v>
      </c>
      <c r="M10131">
        <v>1</v>
      </c>
      <c r="N10131">
        <v>0</v>
      </c>
      <c r="O10131">
        <v>3113</v>
      </c>
    </row>
    <row r="10132" spans="1:15" x14ac:dyDescent="0.25">
      <c r="A10132" t="s">
        <v>10145</v>
      </c>
      <c r="B10132">
        <v>651</v>
      </c>
      <c r="C10132" s="1" t="str">
        <f>HYPERLINK("http://www.rosaceae.org/gb/gbrowse/malus_x_domestica/?name=MDP0000139875","MDP0000139875")</f>
        <v>MDP0000139875</v>
      </c>
      <c r="D10132">
        <v>81.69</v>
      </c>
      <c r="E10132">
        <v>639</v>
      </c>
      <c r="F10132">
        <v>117</v>
      </c>
      <c r="G10132">
        <v>14</v>
      </c>
      <c r="H10132">
        <v>14</v>
      </c>
      <c r="I10132">
        <v>650</v>
      </c>
      <c r="J10132">
        <v>1</v>
      </c>
      <c r="K10132">
        <v>13</v>
      </c>
      <c r="L10132">
        <v>639</v>
      </c>
      <c r="M10132">
        <v>1</v>
      </c>
      <c r="N10132">
        <v>0</v>
      </c>
      <c r="O10132">
        <v>2797</v>
      </c>
    </row>
    <row r="10133" spans="1:15" x14ac:dyDescent="0.25">
      <c r="A10133" t="s">
        <v>10146</v>
      </c>
      <c r="B10133">
        <v>848</v>
      </c>
      <c r="C10133" s="1" t="str">
        <f>HYPERLINK("http://www.rosaceae.org/gb/gbrowse/malus_x_domestica/?name=MDP0000500938","MDP0000500938")</f>
        <v>MDP0000500938</v>
      </c>
      <c r="D10133">
        <v>78.8</v>
      </c>
      <c r="E10133">
        <v>854</v>
      </c>
      <c r="F10133">
        <v>181</v>
      </c>
      <c r="G10133">
        <v>7</v>
      </c>
      <c r="H10133">
        <v>1</v>
      </c>
      <c r="I10133">
        <v>848</v>
      </c>
      <c r="J10133">
        <v>1</v>
      </c>
      <c r="K10133">
        <v>1</v>
      </c>
      <c r="L10133">
        <v>853</v>
      </c>
      <c r="M10133">
        <v>1</v>
      </c>
      <c r="N10133">
        <v>0</v>
      </c>
      <c r="O10133">
        <v>3497</v>
      </c>
    </row>
    <row r="10134" spans="1:15" x14ac:dyDescent="0.25">
      <c r="A10134" t="s">
        <v>10147</v>
      </c>
      <c r="B10134">
        <v>608</v>
      </c>
      <c r="C10134" s="1" t="str">
        <f>HYPERLINK("http://www.rosaceae.org/gb/gbrowse/malus_x_domestica/?name=MDP0000181135","MDP0000181135")</f>
        <v>MDP0000181135</v>
      </c>
      <c r="D10134">
        <v>35.659999999999997</v>
      </c>
      <c r="E10134">
        <v>286</v>
      </c>
      <c r="F10134">
        <v>184</v>
      </c>
      <c r="G10134">
        <v>14</v>
      </c>
      <c r="H10134">
        <v>314</v>
      </c>
      <c r="I10134">
        <v>590</v>
      </c>
      <c r="J10134">
        <v>1</v>
      </c>
      <c r="K10134">
        <v>149</v>
      </c>
      <c r="L10134">
        <v>429</v>
      </c>
      <c r="M10134">
        <v>1</v>
      </c>
      <c r="N10134">
        <v>2.9585400000000001E-36</v>
      </c>
      <c r="O10134">
        <v>380</v>
      </c>
    </row>
    <row r="10135" spans="1:15" x14ac:dyDescent="0.25">
      <c r="A10135" t="s">
        <v>10148</v>
      </c>
      <c r="B10135">
        <v>665</v>
      </c>
      <c r="C10135" s="1" t="str">
        <f>HYPERLINK("http://www.rosaceae.org/gb/gbrowse/malus_x_domestica/?name=MDP0000698860","MDP0000698860")</f>
        <v>MDP0000698860</v>
      </c>
      <c r="D10135">
        <v>62.24</v>
      </c>
      <c r="E10135">
        <v>437</v>
      </c>
      <c r="F10135">
        <v>165</v>
      </c>
      <c r="G10135">
        <v>17</v>
      </c>
      <c r="H10135">
        <v>238</v>
      </c>
      <c r="I10135">
        <v>661</v>
      </c>
      <c r="J10135">
        <v>1</v>
      </c>
      <c r="K10135">
        <v>1</v>
      </c>
      <c r="L10135">
        <v>433</v>
      </c>
      <c r="M10135">
        <v>1</v>
      </c>
      <c r="N10135">
        <v>3.7420399999999998E-155</v>
      </c>
      <c r="O10135">
        <v>1406</v>
      </c>
    </row>
    <row r="10136" spans="1:15" x14ac:dyDescent="0.25">
      <c r="A10136" t="s">
        <v>10149</v>
      </c>
      <c r="B10136">
        <v>1109</v>
      </c>
      <c r="C10136" s="1" t="str">
        <f>HYPERLINK("http://www.rosaceae.org/gb/gbrowse/malus_x_domestica/?name=MDP0000304900","MDP0000304900")</f>
        <v>MDP0000304900</v>
      </c>
      <c r="D10136">
        <v>47.57</v>
      </c>
      <c r="E10136">
        <v>969</v>
      </c>
      <c r="F10136">
        <v>508</v>
      </c>
      <c r="G10136">
        <v>126</v>
      </c>
      <c r="H10136">
        <v>19</v>
      </c>
      <c r="I10136">
        <v>871</v>
      </c>
      <c r="J10136">
        <v>1</v>
      </c>
      <c r="K10136">
        <v>431</v>
      </c>
      <c r="L10136">
        <v>1389</v>
      </c>
      <c r="M10136">
        <v>1</v>
      </c>
      <c r="N10136">
        <v>0</v>
      </c>
      <c r="O10136">
        <v>1852</v>
      </c>
    </row>
    <row r="10137" spans="1:15" x14ac:dyDescent="0.25">
      <c r="A10137" t="s">
        <v>10150</v>
      </c>
      <c r="B10137">
        <v>189</v>
      </c>
      <c r="C10137" s="1" t="str">
        <f>HYPERLINK("http://www.rosaceae.org/gb/gbrowse/malus_x_domestica/?name=MDP0000322668","MDP0000322668")</f>
        <v>MDP0000322668</v>
      </c>
      <c r="D10137">
        <v>72.28</v>
      </c>
      <c r="E10137">
        <v>184</v>
      </c>
      <c r="F10137">
        <v>51</v>
      </c>
      <c r="G10137">
        <v>3</v>
      </c>
      <c r="H10137">
        <v>1</v>
      </c>
      <c r="I10137">
        <v>183</v>
      </c>
      <c r="J10137">
        <v>1</v>
      </c>
      <c r="K10137">
        <v>348</v>
      </c>
      <c r="L10137">
        <v>529</v>
      </c>
      <c r="M10137">
        <v>1</v>
      </c>
      <c r="N10137">
        <v>9.9719899999999997E-74</v>
      </c>
      <c r="O10137">
        <v>697</v>
      </c>
    </row>
    <row r="10138" spans="1:15" x14ac:dyDescent="0.25">
      <c r="A10138" t="s">
        <v>10151</v>
      </c>
      <c r="B10138">
        <v>416</v>
      </c>
      <c r="C10138" s="1" t="str">
        <f>HYPERLINK("http://www.rosaceae.org/gb/gbrowse/malus_x_domestica/?name=MDP0000125626","MDP0000125626")</f>
        <v>MDP0000125626</v>
      </c>
      <c r="D10138">
        <v>89.45</v>
      </c>
      <c r="E10138">
        <v>256</v>
      </c>
      <c r="F10138">
        <v>27</v>
      </c>
      <c r="G10138">
        <v>3</v>
      </c>
      <c r="H10138">
        <v>1</v>
      </c>
      <c r="I10138">
        <v>256</v>
      </c>
      <c r="J10138">
        <v>1</v>
      </c>
      <c r="K10138">
        <v>1</v>
      </c>
      <c r="L10138">
        <v>253</v>
      </c>
      <c r="M10138">
        <v>1</v>
      </c>
      <c r="N10138">
        <v>1.09553E-133</v>
      </c>
      <c r="O10138">
        <v>1219</v>
      </c>
    </row>
    <row r="10139" spans="1:15" x14ac:dyDescent="0.25">
      <c r="A10139" t="s">
        <v>10152</v>
      </c>
      <c r="B10139">
        <v>418</v>
      </c>
      <c r="C10139" s="1" t="str">
        <f>HYPERLINK("http://www.rosaceae.org/gb/gbrowse/malus_x_domestica/?name=MDP0000781136","MDP0000781136")</f>
        <v>MDP0000781136</v>
      </c>
      <c r="D10139">
        <v>72</v>
      </c>
      <c r="E10139">
        <v>418</v>
      </c>
      <c r="F10139">
        <v>117</v>
      </c>
      <c r="G10139">
        <v>0</v>
      </c>
      <c r="H10139">
        <v>1</v>
      </c>
      <c r="I10139">
        <v>418</v>
      </c>
      <c r="J10139">
        <v>1</v>
      </c>
      <c r="K10139">
        <v>1</v>
      </c>
      <c r="L10139">
        <v>418</v>
      </c>
      <c r="M10139">
        <v>1</v>
      </c>
      <c r="N10139">
        <v>5.0119299999999998E-177</v>
      </c>
      <c r="O10139">
        <v>1592</v>
      </c>
    </row>
    <row r="10140" spans="1:15" x14ac:dyDescent="0.25">
      <c r="A10140" t="s">
        <v>10153</v>
      </c>
      <c r="B10140">
        <v>124</v>
      </c>
      <c r="C10140" s="1" t="str">
        <f>HYPERLINK("http://www.rosaceae.org/gb/gbrowse/malus_x_domestica/?name=MDP0000322393","MDP0000322393")</f>
        <v>MDP0000322393</v>
      </c>
      <c r="D10140">
        <v>53.24</v>
      </c>
      <c r="E10140">
        <v>77</v>
      </c>
      <c r="F10140">
        <v>36</v>
      </c>
      <c r="G10140">
        <v>2</v>
      </c>
      <c r="H10140">
        <v>1</v>
      </c>
      <c r="I10140">
        <v>77</v>
      </c>
      <c r="J10140">
        <v>1</v>
      </c>
      <c r="K10140">
        <v>1</v>
      </c>
      <c r="L10140">
        <v>75</v>
      </c>
      <c r="M10140">
        <v>1</v>
      </c>
      <c r="N10140">
        <v>5.8689400000000003E-16</v>
      </c>
      <c r="O10140">
        <v>195</v>
      </c>
    </row>
    <row r="10141" spans="1:15" x14ac:dyDescent="0.25">
      <c r="A10141" t="s">
        <v>10154</v>
      </c>
      <c r="B10141">
        <v>332</v>
      </c>
      <c r="C10141" s="1" t="str">
        <f>HYPERLINK("http://www.rosaceae.org/gb/gbrowse/malus_x_domestica/?name=MDP0000154199","MDP0000154199")</f>
        <v>MDP0000154199</v>
      </c>
      <c r="D10141">
        <v>60.81</v>
      </c>
      <c r="E10141">
        <v>342</v>
      </c>
      <c r="F10141">
        <v>134</v>
      </c>
      <c r="G10141">
        <v>12</v>
      </c>
      <c r="H10141">
        <v>1</v>
      </c>
      <c r="I10141">
        <v>332</v>
      </c>
      <c r="J10141">
        <v>1</v>
      </c>
      <c r="K10141">
        <v>1</v>
      </c>
      <c r="L10141">
        <v>340</v>
      </c>
      <c r="M10141">
        <v>1</v>
      </c>
      <c r="N10141">
        <v>9.0250199999999998E-114</v>
      </c>
      <c r="O10141">
        <v>1046</v>
      </c>
    </row>
    <row r="10142" spans="1:15" x14ac:dyDescent="0.25">
      <c r="A10142" t="s">
        <v>10155</v>
      </c>
      <c r="B10142">
        <v>109</v>
      </c>
      <c r="C10142" s="1" t="str">
        <f>HYPERLINK("http://www.rosaceae.org/gb/gbrowse/malus_x_domestica/?name=MDP0000328670","MDP0000328670")</f>
        <v>MDP0000328670</v>
      </c>
      <c r="D10142">
        <v>87.05</v>
      </c>
      <c r="E10142">
        <v>85</v>
      </c>
      <c r="F10142">
        <v>11</v>
      </c>
      <c r="G10142">
        <v>0</v>
      </c>
      <c r="H10142">
        <v>8</v>
      </c>
      <c r="I10142">
        <v>92</v>
      </c>
      <c r="J10142">
        <v>1</v>
      </c>
      <c r="K10142">
        <v>32</v>
      </c>
      <c r="L10142">
        <v>116</v>
      </c>
      <c r="M10142">
        <v>1</v>
      </c>
      <c r="N10142">
        <v>4.7658599999999997E-41</v>
      </c>
      <c r="O10142">
        <v>411</v>
      </c>
    </row>
    <row r="10143" spans="1:15" x14ac:dyDescent="0.25">
      <c r="A10143" t="s">
        <v>10156</v>
      </c>
      <c r="B10143">
        <v>166</v>
      </c>
      <c r="C10143" s="1" t="str">
        <f>HYPERLINK("http://www.rosaceae.org/gb/gbrowse/malus_x_domestica/?name=MDP0000259249","MDP0000259249")</f>
        <v>MDP0000259249</v>
      </c>
      <c r="D10143">
        <v>45.8</v>
      </c>
      <c r="E10143">
        <v>155</v>
      </c>
      <c r="F10143">
        <v>84</v>
      </c>
      <c r="G10143">
        <v>13</v>
      </c>
      <c r="H10143">
        <v>1</v>
      </c>
      <c r="I10143">
        <v>142</v>
      </c>
      <c r="J10143">
        <v>1</v>
      </c>
      <c r="K10143">
        <v>1</v>
      </c>
      <c r="L10143">
        <v>155</v>
      </c>
      <c r="M10143">
        <v>1</v>
      </c>
      <c r="N10143">
        <v>2.09349E-31</v>
      </c>
      <c r="O10143">
        <v>331</v>
      </c>
    </row>
    <row r="10144" spans="1:15" x14ac:dyDescent="0.25">
      <c r="A10144" t="s">
        <v>10157</v>
      </c>
      <c r="B10144">
        <v>489</v>
      </c>
      <c r="C10144" s="1" t="str">
        <f>HYPERLINK("http://www.rosaceae.org/gb/gbrowse/malus_x_domestica/?name=MDP0000311359","MDP0000311359")</f>
        <v>MDP0000311359</v>
      </c>
      <c r="D10144">
        <v>84.21</v>
      </c>
      <c r="E10144">
        <v>456</v>
      </c>
      <c r="F10144">
        <v>72</v>
      </c>
      <c r="G10144">
        <v>6</v>
      </c>
      <c r="H10144">
        <v>1</v>
      </c>
      <c r="I10144">
        <v>451</v>
      </c>
      <c r="J10144">
        <v>1</v>
      </c>
      <c r="K10144">
        <v>15</v>
      </c>
      <c r="L10144">
        <v>469</v>
      </c>
      <c r="M10144">
        <v>1</v>
      </c>
      <c r="N10144">
        <v>0</v>
      </c>
      <c r="O10144">
        <v>2066</v>
      </c>
    </row>
    <row r="10145" spans="1:15" x14ac:dyDescent="0.25">
      <c r="A10145" t="s">
        <v>10158</v>
      </c>
      <c r="B10145">
        <v>162</v>
      </c>
      <c r="C10145" s="1" t="str">
        <f>HYPERLINK("http://www.rosaceae.org/gb/gbrowse/malus_x_domestica/?name=MDP0000234369","MDP0000234369")</f>
        <v>MDP0000234369</v>
      </c>
      <c r="D10145">
        <v>36.979999999999997</v>
      </c>
      <c r="E10145">
        <v>73</v>
      </c>
      <c r="F10145">
        <v>46</v>
      </c>
      <c r="G10145">
        <v>0</v>
      </c>
      <c r="H10145">
        <v>84</v>
      </c>
      <c r="I10145">
        <v>156</v>
      </c>
      <c r="J10145">
        <v>1</v>
      </c>
      <c r="K10145">
        <v>271</v>
      </c>
      <c r="L10145">
        <v>343</v>
      </c>
      <c r="M10145">
        <v>1</v>
      </c>
      <c r="N10145">
        <v>2.45205E-9</v>
      </c>
      <c r="O10145">
        <v>141</v>
      </c>
    </row>
    <row r="10146" spans="1:15" x14ac:dyDescent="0.25">
      <c r="A10146" t="s">
        <v>10159</v>
      </c>
      <c r="B10146">
        <v>603</v>
      </c>
      <c r="C10146" s="1" t="str">
        <f>HYPERLINK("http://www.rosaceae.org/gb/gbrowse/malus_x_domestica/?name=MDP0000256668","MDP0000256668")</f>
        <v>MDP0000256668</v>
      </c>
      <c r="D10146">
        <v>51.24</v>
      </c>
      <c r="E10146">
        <v>642</v>
      </c>
      <c r="F10146">
        <v>313</v>
      </c>
      <c r="G10146">
        <v>109</v>
      </c>
      <c r="H10146">
        <v>26</v>
      </c>
      <c r="I10146">
        <v>603</v>
      </c>
      <c r="J10146">
        <v>1</v>
      </c>
      <c r="K10146">
        <v>31</v>
      </c>
      <c r="L10146">
        <v>627</v>
      </c>
      <c r="M10146">
        <v>1</v>
      </c>
      <c r="N10146">
        <v>4.4237300000000004E-139</v>
      </c>
      <c r="O10146">
        <v>1267</v>
      </c>
    </row>
    <row r="10147" spans="1:15" x14ac:dyDescent="0.25">
      <c r="A10147" t="s">
        <v>10160</v>
      </c>
      <c r="B10147">
        <v>227</v>
      </c>
      <c r="C10147" s="1" t="str">
        <f>HYPERLINK("http://www.rosaceae.org/gb/gbrowse/malus_x_domestica/?name=MDP0000300658","MDP0000300658")</f>
        <v>MDP0000300658</v>
      </c>
      <c r="D10147">
        <v>32.270000000000003</v>
      </c>
      <c r="E10147">
        <v>220</v>
      </c>
      <c r="F10147">
        <v>149</v>
      </c>
      <c r="G10147">
        <v>62</v>
      </c>
      <c r="H10147">
        <v>47</v>
      </c>
      <c r="I10147">
        <v>205</v>
      </c>
      <c r="J10147">
        <v>1</v>
      </c>
      <c r="K10147">
        <v>279</v>
      </c>
      <c r="L10147">
        <v>497</v>
      </c>
      <c r="M10147">
        <v>1</v>
      </c>
      <c r="N10147">
        <v>1.07607E-14</v>
      </c>
      <c r="O10147">
        <v>189</v>
      </c>
    </row>
    <row r="10148" spans="1:15" x14ac:dyDescent="0.25">
      <c r="A10148" t="s">
        <v>10161</v>
      </c>
      <c r="B10148">
        <v>489</v>
      </c>
      <c r="C10148" s="1" t="str">
        <f>HYPERLINK("http://www.rosaceae.org/gb/gbrowse/malus_x_domestica/?name=MDP0000259687","MDP0000259687")</f>
        <v>MDP0000259687</v>
      </c>
      <c r="D10148">
        <v>83.82</v>
      </c>
      <c r="E10148">
        <v>408</v>
      </c>
      <c r="F10148">
        <v>66</v>
      </c>
      <c r="G10148">
        <v>22</v>
      </c>
      <c r="H10148">
        <v>29</v>
      </c>
      <c r="I10148">
        <v>415</v>
      </c>
      <c r="J10148">
        <v>1</v>
      </c>
      <c r="K10148">
        <v>71</v>
      </c>
      <c r="L10148">
        <v>477</v>
      </c>
      <c r="M10148">
        <v>1</v>
      </c>
      <c r="N10148">
        <v>0</v>
      </c>
      <c r="O10148">
        <v>1789</v>
      </c>
    </row>
    <row r="10149" spans="1:15" x14ac:dyDescent="0.25">
      <c r="A10149" t="s">
        <v>10162</v>
      </c>
      <c r="B10149">
        <v>335</v>
      </c>
      <c r="C10149" s="1" t="str">
        <f>HYPERLINK("http://www.rosaceae.org/gb/gbrowse/malus_x_domestica/?name=MDP0000287757","MDP0000287757")</f>
        <v>MDP0000287757</v>
      </c>
      <c r="D10149">
        <v>74.63</v>
      </c>
      <c r="E10149">
        <v>343</v>
      </c>
      <c r="F10149">
        <v>87</v>
      </c>
      <c r="G10149">
        <v>18</v>
      </c>
      <c r="H10149">
        <v>1</v>
      </c>
      <c r="I10149">
        <v>327</v>
      </c>
      <c r="J10149">
        <v>1</v>
      </c>
      <c r="K10149">
        <v>1</v>
      </c>
      <c r="L10149">
        <v>341</v>
      </c>
      <c r="M10149">
        <v>1</v>
      </c>
      <c r="N10149">
        <v>8.6044900000000006E-151</v>
      </c>
      <c r="O10149">
        <v>1365</v>
      </c>
    </row>
    <row r="10150" spans="1:15" x14ac:dyDescent="0.25">
      <c r="A10150" t="s">
        <v>10163</v>
      </c>
      <c r="B10150">
        <v>320</v>
      </c>
      <c r="C10150" s="1" t="str">
        <f>HYPERLINK("http://www.rosaceae.org/gb/gbrowse/malus_x_domestica/?name=MDP0000158045","MDP0000158045")</f>
        <v>MDP0000158045</v>
      </c>
      <c r="D10150">
        <v>77.150000000000006</v>
      </c>
      <c r="E10150">
        <v>302</v>
      </c>
      <c r="F10150">
        <v>69</v>
      </c>
      <c r="G10150">
        <v>7</v>
      </c>
      <c r="H10150">
        <v>20</v>
      </c>
      <c r="I10150">
        <v>320</v>
      </c>
      <c r="J10150">
        <v>1</v>
      </c>
      <c r="K10150">
        <v>16</v>
      </c>
      <c r="L10150">
        <v>311</v>
      </c>
      <c r="M10150">
        <v>1</v>
      </c>
      <c r="N10150">
        <v>1.4259799999999999E-133</v>
      </c>
      <c r="O10150">
        <v>1216</v>
      </c>
    </row>
    <row r="10151" spans="1:15" x14ac:dyDescent="0.25">
      <c r="A10151" t="s">
        <v>10164</v>
      </c>
      <c r="B10151">
        <v>412</v>
      </c>
      <c r="C10151" s="1" t="str">
        <f>HYPERLINK("http://www.rosaceae.org/gb/gbrowse/malus_x_domestica/?name=MDP0000227262","MDP0000227262")</f>
        <v>MDP0000227262</v>
      </c>
      <c r="D10151">
        <v>48.55</v>
      </c>
      <c r="E10151">
        <v>449</v>
      </c>
      <c r="F10151">
        <v>231</v>
      </c>
      <c r="G10151">
        <v>67</v>
      </c>
      <c r="H10151">
        <v>1</v>
      </c>
      <c r="I10151">
        <v>383</v>
      </c>
      <c r="J10151">
        <v>1</v>
      </c>
      <c r="K10151">
        <v>224</v>
      </c>
      <c r="L10151">
        <v>671</v>
      </c>
      <c r="M10151">
        <v>1</v>
      </c>
      <c r="N10151">
        <v>2.4469600000000001E-108</v>
      </c>
      <c r="O10151">
        <v>1000</v>
      </c>
    </row>
    <row r="10152" spans="1:15" x14ac:dyDescent="0.25">
      <c r="A10152" t="s">
        <v>10165</v>
      </c>
      <c r="B10152">
        <v>1361</v>
      </c>
      <c r="C10152" s="1" t="str">
        <f>HYPERLINK("http://www.rosaceae.org/gb/gbrowse/malus_x_domestica/?name=MDP0000263372","MDP0000263372")</f>
        <v>MDP0000263372</v>
      </c>
      <c r="D10152">
        <v>54.37</v>
      </c>
      <c r="E10152">
        <v>1462</v>
      </c>
      <c r="F10152">
        <v>667</v>
      </c>
      <c r="G10152">
        <v>171</v>
      </c>
      <c r="H10152">
        <v>1</v>
      </c>
      <c r="I10152">
        <v>1349</v>
      </c>
      <c r="J10152">
        <v>1</v>
      </c>
      <c r="K10152">
        <v>299</v>
      </c>
      <c r="L10152">
        <v>1702</v>
      </c>
      <c r="M10152">
        <v>1</v>
      </c>
      <c r="N10152">
        <v>0</v>
      </c>
      <c r="O10152">
        <v>3450</v>
      </c>
    </row>
    <row r="10153" spans="1:15" x14ac:dyDescent="0.25">
      <c r="A10153" t="s">
        <v>10166</v>
      </c>
      <c r="B10153">
        <v>712</v>
      </c>
      <c r="C10153" s="1" t="str">
        <f>HYPERLINK("http://www.rosaceae.org/gb/gbrowse/malus_x_domestica/?name=MDP0000225623","MDP0000225623")</f>
        <v>MDP0000225623</v>
      </c>
      <c r="D10153">
        <v>49.75</v>
      </c>
      <c r="E10153">
        <v>615</v>
      </c>
      <c r="F10153">
        <v>309</v>
      </c>
      <c r="G10153">
        <v>35</v>
      </c>
      <c r="H10153">
        <v>88</v>
      </c>
      <c r="I10153">
        <v>692</v>
      </c>
      <c r="J10153">
        <v>1</v>
      </c>
      <c r="K10153">
        <v>80</v>
      </c>
      <c r="L10153">
        <v>669</v>
      </c>
      <c r="M10153">
        <v>1</v>
      </c>
      <c r="N10153">
        <v>4.1330700000000003E-160</v>
      </c>
      <c r="O10153">
        <v>1449</v>
      </c>
    </row>
    <row r="10154" spans="1:15" x14ac:dyDescent="0.25">
      <c r="A10154" t="s">
        <v>10167</v>
      </c>
      <c r="B10154">
        <v>454</v>
      </c>
      <c r="C10154" s="1" t="str">
        <f>HYPERLINK("http://www.rosaceae.org/gb/gbrowse/malus_x_domestica/?name=MDP0000233356","MDP0000233356")</f>
        <v>MDP0000233356</v>
      </c>
      <c r="D10154">
        <v>74.099999999999994</v>
      </c>
      <c r="E10154">
        <v>448</v>
      </c>
      <c r="F10154">
        <v>116</v>
      </c>
      <c r="G10154">
        <v>10</v>
      </c>
      <c r="H10154">
        <v>1</v>
      </c>
      <c r="I10154">
        <v>440</v>
      </c>
      <c r="J10154">
        <v>1</v>
      </c>
      <c r="K10154">
        <v>1</v>
      </c>
      <c r="L10154">
        <v>446</v>
      </c>
      <c r="M10154">
        <v>1</v>
      </c>
      <c r="N10154">
        <v>0</v>
      </c>
      <c r="O10154">
        <v>1751</v>
      </c>
    </row>
    <row r="10155" spans="1:15" x14ac:dyDescent="0.25">
      <c r="A10155" t="s">
        <v>10168</v>
      </c>
      <c r="B10155">
        <v>218</v>
      </c>
      <c r="C10155" s="1" t="str">
        <f>HYPERLINK("http://www.rosaceae.org/gb/gbrowse/malus_x_domestica/?name=MDP0000211494","MDP0000211494")</f>
        <v>MDP0000211494</v>
      </c>
      <c r="D10155">
        <v>96.66</v>
      </c>
      <c r="E10155">
        <v>60</v>
      </c>
      <c r="F10155">
        <v>2</v>
      </c>
      <c r="G10155">
        <v>0</v>
      </c>
      <c r="H10155">
        <v>123</v>
      </c>
      <c r="I10155">
        <v>182</v>
      </c>
      <c r="J10155">
        <v>1</v>
      </c>
      <c r="K10155">
        <v>119</v>
      </c>
      <c r="L10155">
        <v>178</v>
      </c>
      <c r="M10155">
        <v>1</v>
      </c>
      <c r="N10155">
        <v>2.01394E-29</v>
      </c>
      <c r="O10155">
        <v>316</v>
      </c>
    </row>
    <row r="10156" spans="1:15" x14ac:dyDescent="0.25">
      <c r="A10156" t="s">
        <v>10169</v>
      </c>
      <c r="B10156">
        <v>211</v>
      </c>
      <c r="C10156" s="1" t="str">
        <f>HYPERLINK("http://www.rosaceae.org/gb/gbrowse/malus_x_domestica/?name=MDP0000362243","MDP0000362243")</f>
        <v>MDP0000362243</v>
      </c>
      <c r="D10156">
        <v>53.26</v>
      </c>
      <c r="E10156">
        <v>184</v>
      </c>
      <c r="F10156">
        <v>86</v>
      </c>
      <c r="G10156">
        <v>17</v>
      </c>
      <c r="H10156">
        <v>31</v>
      </c>
      <c r="I10156">
        <v>209</v>
      </c>
      <c r="J10156">
        <v>1</v>
      </c>
      <c r="K10156">
        <v>114</v>
      </c>
      <c r="L10156">
        <v>285</v>
      </c>
      <c r="M10156">
        <v>1</v>
      </c>
      <c r="N10156">
        <v>1.0302500000000001E-31</v>
      </c>
      <c r="O10156">
        <v>335</v>
      </c>
    </row>
    <row r="10157" spans="1:15" x14ac:dyDescent="0.25">
      <c r="A10157" t="s">
        <v>10170</v>
      </c>
      <c r="B10157">
        <v>277</v>
      </c>
      <c r="C10157" s="1" t="str">
        <f>HYPERLINK("http://www.rosaceae.org/gb/gbrowse/malus_x_domestica/?name=MDP0000235432","MDP0000235432")</f>
        <v>MDP0000235432</v>
      </c>
      <c r="D10157">
        <v>56.47</v>
      </c>
      <c r="E10157">
        <v>85</v>
      </c>
      <c r="F10157">
        <v>37</v>
      </c>
      <c r="G10157">
        <v>8</v>
      </c>
      <c r="H10157">
        <v>167</v>
      </c>
      <c r="I10157">
        <v>250</v>
      </c>
      <c r="J10157">
        <v>1</v>
      </c>
      <c r="K10157">
        <v>265</v>
      </c>
      <c r="L10157">
        <v>342</v>
      </c>
      <c r="M10157">
        <v>1</v>
      </c>
      <c r="N10157">
        <v>1.22398E-17</v>
      </c>
      <c r="O10157">
        <v>216</v>
      </c>
    </row>
    <row r="10158" spans="1:15" x14ac:dyDescent="0.25">
      <c r="A10158" t="s">
        <v>10171</v>
      </c>
      <c r="B10158">
        <v>501</v>
      </c>
      <c r="C10158" s="1" t="str">
        <f>HYPERLINK("http://www.rosaceae.org/gb/gbrowse/malus_x_domestica/?name=MDP0000534116","MDP0000534116")</f>
        <v>MDP0000534116</v>
      </c>
      <c r="D10158">
        <v>56.14</v>
      </c>
      <c r="E10158">
        <v>431</v>
      </c>
      <c r="F10158">
        <v>189</v>
      </c>
      <c r="G10158">
        <v>12</v>
      </c>
      <c r="H10158">
        <v>22</v>
      </c>
      <c r="I10158">
        <v>449</v>
      </c>
      <c r="J10158">
        <v>1</v>
      </c>
      <c r="K10158">
        <v>5</v>
      </c>
      <c r="L10158">
        <v>426</v>
      </c>
      <c r="M10158">
        <v>1</v>
      </c>
      <c r="N10158">
        <v>2.1805099999999999E-134</v>
      </c>
      <c r="O10158">
        <v>1225</v>
      </c>
    </row>
    <row r="10159" spans="1:15" x14ac:dyDescent="0.25">
      <c r="A10159" t="s">
        <v>10172</v>
      </c>
      <c r="B10159">
        <v>522</v>
      </c>
      <c r="C10159" s="1" t="str">
        <f>HYPERLINK("http://www.rosaceae.org/gb/gbrowse/malus_x_domestica/?name=MDP0000176820","MDP0000176820")</f>
        <v>MDP0000176820</v>
      </c>
      <c r="D10159">
        <v>64.95</v>
      </c>
      <c r="E10159">
        <v>545</v>
      </c>
      <c r="F10159">
        <v>191</v>
      </c>
      <c r="G10159">
        <v>77</v>
      </c>
      <c r="H10159">
        <v>33</v>
      </c>
      <c r="I10159">
        <v>517</v>
      </c>
      <c r="J10159">
        <v>1</v>
      </c>
      <c r="K10159">
        <v>1</v>
      </c>
      <c r="L10159">
        <v>528</v>
      </c>
      <c r="M10159">
        <v>1</v>
      </c>
      <c r="N10159">
        <v>0</v>
      </c>
      <c r="O10159">
        <v>1778</v>
      </c>
    </row>
    <row r="10160" spans="1:15" x14ac:dyDescent="0.25">
      <c r="A10160" t="s">
        <v>10173</v>
      </c>
      <c r="B10160">
        <v>687</v>
      </c>
      <c r="C10160" s="1" t="str">
        <f>HYPERLINK("http://www.rosaceae.org/gb/gbrowse/malus_x_domestica/?name=MDP0000165255","MDP0000165255")</f>
        <v>MDP0000165255</v>
      </c>
      <c r="D10160">
        <v>61.84</v>
      </c>
      <c r="E10160">
        <v>650</v>
      </c>
      <c r="F10160">
        <v>248</v>
      </c>
      <c r="G10160">
        <v>57</v>
      </c>
      <c r="H10160">
        <v>65</v>
      </c>
      <c r="I10160">
        <v>670</v>
      </c>
      <c r="J10160">
        <v>1</v>
      </c>
      <c r="K10160">
        <v>23</v>
      </c>
      <c r="L10160">
        <v>659</v>
      </c>
      <c r="M10160">
        <v>1</v>
      </c>
      <c r="N10160">
        <v>0</v>
      </c>
      <c r="O10160">
        <v>2001</v>
      </c>
    </row>
    <row r="10161" spans="1:15" x14ac:dyDescent="0.25">
      <c r="A10161" t="s">
        <v>10174</v>
      </c>
      <c r="B10161">
        <v>120</v>
      </c>
      <c r="C10161" s="1" t="str">
        <f>HYPERLINK("http://www.rosaceae.org/gb/gbrowse/malus_x_domestica/?name=MDP0000225010","MDP0000225010")</f>
        <v>MDP0000225010</v>
      </c>
      <c r="D10161">
        <v>54.02</v>
      </c>
      <c r="E10161">
        <v>87</v>
      </c>
      <c r="F10161">
        <v>40</v>
      </c>
      <c r="G10161">
        <v>1</v>
      </c>
      <c r="H10161">
        <v>25</v>
      </c>
      <c r="I10161">
        <v>111</v>
      </c>
      <c r="J10161">
        <v>1</v>
      </c>
      <c r="K10161">
        <v>21</v>
      </c>
      <c r="L10161">
        <v>106</v>
      </c>
      <c r="M10161">
        <v>1</v>
      </c>
      <c r="N10161">
        <v>7.88604E-21</v>
      </c>
      <c r="O10161">
        <v>237</v>
      </c>
    </row>
    <row r="10162" spans="1:15" x14ac:dyDescent="0.25">
      <c r="A10162" t="s">
        <v>10175</v>
      </c>
      <c r="B10162">
        <v>277</v>
      </c>
      <c r="C10162" s="1" t="str">
        <f>HYPERLINK("http://www.rosaceae.org/gb/gbrowse/malus_x_domestica/?name=MDP0000265970","MDP0000265970")</f>
        <v>MDP0000265970</v>
      </c>
      <c r="D10162">
        <v>33.33</v>
      </c>
      <c r="E10162">
        <v>189</v>
      </c>
      <c r="F10162">
        <v>126</v>
      </c>
      <c r="G10162">
        <v>18</v>
      </c>
      <c r="H10162">
        <v>32</v>
      </c>
      <c r="I10162">
        <v>217</v>
      </c>
      <c r="J10162">
        <v>1</v>
      </c>
      <c r="K10162">
        <v>47</v>
      </c>
      <c r="L10162">
        <v>220</v>
      </c>
      <c r="M10162">
        <v>1</v>
      </c>
      <c r="N10162">
        <v>8.4788099999999996E-18</v>
      </c>
      <c r="O10162">
        <v>217</v>
      </c>
    </row>
    <row r="10163" spans="1:15" x14ac:dyDescent="0.25">
      <c r="A10163" t="s">
        <v>10176</v>
      </c>
      <c r="B10163">
        <v>249</v>
      </c>
      <c r="C10163" s="1" t="str">
        <f>HYPERLINK("http://www.rosaceae.org/gb/gbrowse/malus_x_domestica/?name=MDP0000565270","MDP0000565270")</f>
        <v>MDP0000565270</v>
      </c>
      <c r="D10163">
        <v>67.39</v>
      </c>
      <c r="E10163">
        <v>273</v>
      </c>
      <c r="F10163">
        <v>89</v>
      </c>
      <c r="G10163">
        <v>25</v>
      </c>
      <c r="H10163">
        <v>1</v>
      </c>
      <c r="I10163">
        <v>249</v>
      </c>
      <c r="J10163">
        <v>1</v>
      </c>
      <c r="K10163">
        <v>1</v>
      </c>
      <c r="L10163">
        <v>272</v>
      </c>
      <c r="M10163">
        <v>1</v>
      </c>
      <c r="N10163">
        <v>1.11144E-101</v>
      </c>
      <c r="O10163">
        <v>940</v>
      </c>
    </row>
    <row r="10164" spans="1:15" x14ac:dyDescent="0.25">
      <c r="A10164" t="s">
        <v>10177</v>
      </c>
      <c r="B10164">
        <v>961</v>
      </c>
      <c r="C10164" s="1" t="str">
        <f>HYPERLINK("http://www.rosaceae.org/gb/gbrowse/malus_x_domestica/?name=MDP0000719875","MDP0000719875")</f>
        <v>MDP0000719875</v>
      </c>
      <c r="D10164">
        <v>87.03</v>
      </c>
      <c r="E10164">
        <v>987</v>
      </c>
      <c r="F10164">
        <v>128</v>
      </c>
      <c r="G10164">
        <v>26</v>
      </c>
      <c r="H10164">
        <v>1</v>
      </c>
      <c r="I10164">
        <v>961</v>
      </c>
      <c r="J10164">
        <v>1</v>
      </c>
      <c r="K10164">
        <v>1</v>
      </c>
      <c r="L10164">
        <v>987</v>
      </c>
      <c r="M10164">
        <v>1</v>
      </c>
      <c r="N10164">
        <v>0</v>
      </c>
      <c r="O10164">
        <v>4597</v>
      </c>
    </row>
    <row r="10165" spans="1:15" x14ac:dyDescent="0.25">
      <c r="A10165" t="s">
        <v>10178</v>
      </c>
      <c r="B10165">
        <v>272</v>
      </c>
      <c r="C10165" s="1" t="str">
        <f>HYPERLINK("http://www.rosaceae.org/gb/gbrowse/malus_x_domestica/?name=MDP0000120797","MDP0000120797")</f>
        <v>MDP0000120797</v>
      </c>
      <c r="D10165">
        <v>66.77</v>
      </c>
      <c r="E10165">
        <v>301</v>
      </c>
      <c r="F10165">
        <v>100</v>
      </c>
      <c r="G10165">
        <v>31</v>
      </c>
      <c r="H10165">
        <v>1</v>
      </c>
      <c r="I10165">
        <v>272</v>
      </c>
      <c r="J10165">
        <v>1</v>
      </c>
      <c r="K10165">
        <v>1</v>
      </c>
      <c r="L10165">
        <v>299</v>
      </c>
      <c r="M10165">
        <v>1</v>
      </c>
      <c r="N10165">
        <v>1.36956E-105</v>
      </c>
      <c r="O10165">
        <v>974</v>
      </c>
    </row>
    <row r="10166" spans="1:15" x14ac:dyDescent="0.25">
      <c r="A10166" t="s">
        <v>10179</v>
      </c>
      <c r="B10166">
        <v>265</v>
      </c>
      <c r="C10166" s="1" t="str">
        <f>HYPERLINK("http://www.rosaceae.org/gb/gbrowse/malus_x_domestica/?name=MDP0000356050","MDP0000356050")</f>
        <v>MDP0000356050</v>
      </c>
      <c r="D10166">
        <v>80.069999999999993</v>
      </c>
      <c r="E10166">
        <v>266</v>
      </c>
      <c r="F10166">
        <v>53</v>
      </c>
      <c r="G10166">
        <v>1</v>
      </c>
      <c r="H10166">
        <v>1</v>
      </c>
      <c r="I10166">
        <v>265</v>
      </c>
      <c r="J10166">
        <v>1</v>
      </c>
      <c r="K10166">
        <v>15</v>
      </c>
      <c r="L10166">
        <v>280</v>
      </c>
      <c r="M10166">
        <v>1</v>
      </c>
      <c r="N10166">
        <v>5.76847E-123</v>
      </c>
      <c r="O10166">
        <v>1124</v>
      </c>
    </row>
    <row r="10167" spans="1:15" x14ac:dyDescent="0.25">
      <c r="A10167" t="s">
        <v>10180</v>
      </c>
      <c r="B10167">
        <v>384</v>
      </c>
      <c r="C10167" s="1" t="str">
        <f>HYPERLINK("http://www.rosaceae.org/gb/gbrowse/malus_x_domestica/?name=MDP0000295963","MDP0000295963")</f>
        <v>MDP0000295963</v>
      </c>
      <c r="D10167">
        <v>69.06</v>
      </c>
      <c r="E10167">
        <v>375</v>
      </c>
      <c r="F10167">
        <v>116</v>
      </c>
      <c r="G10167">
        <v>35</v>
      </c>
      <c r="H10167">
        <v>3</v>
      </c>
      <c r="I10167">
        <v>347</v>
      </c>
      <c r="J10167">
        <v>1</v>
      </c>
      <c r="K10167">
        <v>4</v>
      </c>
      <c r="L10167">
        <v>373</v>
      </c>
      <c r="M10167">
        <v>1</v>
      </c>
      <c r="N10167">
        <v>1.5886800000000001E-141</v>
      </c>
      <c r="O10167">
        <v>1286</v>
      </c>
    </row>
    <row r="10168" spans="1:15" x14ac:dyDescent="0.25">
      <c r="A10168" t="s">
        <v>10181</v>
      </c>
      <c r="B10168">
        <v>524</v>
      </c>
      <c r="C10168" s="1" t="str">
        <f>HYPERLINK("http://www.rosaceae.org/gb/gbrowse/malus_x_domestica/?name=MDP0000286136","MDP0000286136")</f>
        <v>MDP0000286136</v>
      </c>
      <c r="D10168">
        <v>47.94</v>
      </c>
      <c r="E10168">
        <v>536</v>
      </c>
      <c r="F10168">
        <v>279</v>
      </c>
      <c r="G10168">
        <v>24</v>
      </c>
      <c r="H10168">
        <v>1</v>
      </c>
      <c r="I10168">
        <v>519</v>
      </c>
      <c r="J10168">
        <v>1</v>
      </c>
      <c r="K10168">
        <v>1</v>
      </c>
      <c r="L10168">
        <v>529</v>
      </c>
      <c r="M10168">
        <v>1</v>
      </c>
      <c r="N10168">
        <v>3.2720700000000001E-139</v>
      </c>
      <c r="O10168">
        <v>1267</v>
      </c>
    </row>
    <row r="10169" spans="1:15" x14ac:dyDescent="0.25">
      <c r="A10169" t="s">
        <v>10182</v>
      </c>
      <c r="B10169">
        <v>229</v>
      </c>
      <c r="C10169" s="1" t="str">
        <f>HYPERLINK("http://www.rosaceae.org/gb/gbrowse/malus_x_domestica/?name=MDP0000282778","MDP0000282778")</f>
        <v>MDP0000282778</v>
      </c>
      <c r="D10169">
        <v>49</v>
      </c>
      <c r="E10169">
        <v>200</v>
      </c>
      <c r="F10169">
        <v>102</v>
      </c>
      <c r="G10169">
        <v>2</v>
      </c>
      <c r="H10169">
        <v>12</v>
      </c>
      <c r="I10169">
        <v>211</v>
      </c>
      <c r="J10169">
        <v>1</v>
      </c>
      <c r="K10169">
        <v>16</v>
      </c>
      <c r="L10169">
        <v>213</v>
      </c>
      <c r="M10169">
        <v>1</v>
      </c>
      <c r="N10169">
        <v>2.3528499999999998E-46</v>
      </c>
      <c r="O10169">
        <v>462</v>
      </c>
    </row>
    <row r="10170" spans="1:15" x14ac:dyDescent="0.25">
      <c r="A10170" t="s">
        <v>10183</v>
      </c>
      <c r="B10170">
        <v>357</v>
      </c>
      <c r="C10170" s="1" t="str">
        <f>HYPERLINK("http://www.rosaceae.org/gb/gbrowse/malus_x_domestica/?name=MDP0000244335","MDP0000244335")</f>
        <v>MDP0000244335</v>
      </c>
      <c r="D10170">
        <v>68.91</v>
      </c>
      <c r="E10170">
        <v>370</v>
      </c>
      <c r="F10170">
        <v>115</v>
      </c>
      <c r="G10170">
        <v>16</v>
      </c>
      <c r="H10170">
        <v>1</v>
      </c>
      <c r="I10170">
        <v>355</v>
      </c>
      <c r="J10170">
        <v>1</v>
      </c>
      <c r="K10170">
        <v>8</v>
      </c>
      <c r="L10170">
        <v>376</v>
      </c>
      <c r="M10170">
        <v>1</v>
      </c>
      <c r="N10170">
        <v>1.1242499999999999E-148</v>
      </c>
      <c r="O10170">
        <v>1347</v>
      </c>
    </row>
    <row r="10171" spans="1:15" x14ac:dyDescent="0.25">
      <c r="A10171" t="s">
        <v>10184</v>
      </c>
      <c r="B10171">
        <v>526</v>
      </c>
      <c r="C10171" s="1" t="str">
        <f>HYPERLINK("http://www.rosaceae.org/gb/gbrowse/malus_x_domestica/?name=MDP0000644255","MDP0000644255")</f>
        <v>MDP0000644255</v>
      </c>
      <c r="D10171">
        <v>78.650000000000006</v>
      </c>
      <c r="E10171">
        <v>534</v>
      </c>
      <c r="F10171">
        <v>114</v>
      </c>
      <c r="G10171">
        <v>11</v>
      </c>
      <c r="H10171">
        <v>1</v>
      </c>
      <c r="I10171">
        <v>526</v>
      </c>
      <c r="J10171">
        <v>1</v>
      </c>
      <c r="K10171">
        <v>26</v>
      </c>
      <c r="L10171">
        <v>556</v>
      </c>
      <c r="M10171">
        <v>1</v>
      </c>
      <c r="N10171">
        <v>0</v>
      </c>
      <c r="O10171">
        <v>2212</v>
      </c>
    </row>
    <row r="10172" spans="1:15" x14ac:dyDescent="0.25">
      <c r="A10172" t="s">
        <v>10185</v>
      </c>
      <c r="B10172">
        <v>2031</v>
      </c>
      <c r="C10172" s="1" t="str">
        <f>HYPERLINK("http://www.rosaceae.org/gb/gbrowse/malus_x_domestica/?name=MDP0000148571","MDP0000148571")</f>
        <v>MDP0000148571</v>
      </c>
      <c r="D10172">
        <v>81.5</v>
      </c>
      <c r="E10172">
        <v>2076</v>
      </c>
      <c r="F10172">
        <v>384</v>
      </c>
      <c r="G10172">
        <v>62</v>
      </c>
      <c r="H10172">
        <v>1</v>
      </c>
      <c r="I10172">
        <v>2031</v>
      </c>
      <c r="J10172">
        <v>1</v>
      </c>
      <c r="K10172">
        <v>1</v>
      </c>
      <c r="L10172">
        <v>2059</v>
      </c>
      <c r="M10172">
        <v>1</v>
      </c>
      <c r="N10172">
        <v>0</v>
      </c>
      <c r="O10172">
        <v>8855</v>
      </c>
    </row>
    <row r="10173" spans="1:15" x14ac:dyDescent="0.25">
      <c r="A10173" t="s">
        <v>10186</v>
      </c>
      <c r="B10173">
        <v>580</v>
      </c>
      <c r="C10173" s="1" t="str">
        <f>HYPERLINK("http://www.rosaceae.org/gb/gbrowse/malus_x_domestica/?name=MDP0000132406","MDP0000132406")</f>
        <v>MDP0000132406</v>
      </c>
      <c r="D10173">
        <v>33.68</v>
      </c>
      <c r="E10173">
        <v>478</v>
      </c>
      <c r="F10173">
        <v>317</v>
      </c>
      <c r="G10173">
        <v>84</v>
      </c>
      <c r="H10173">
        <v>115</v>
      </c>
      <c r="I10173">
        <v>571</v>
      </c>
      <c r="J10173">
        <v>1</v>
      </c>
      <c r="K10173">
        <v>36</v>
      </c>
      <c r="L10173">
        <v>450</v>
      </c>
      <c r="M10173">
        <v>1</v>
      </c>
      <c r="N10173">
        <v>1.3794999999999999E-51</v>
      </c>
      <c r="O10173">
        <v>512</v>
      </c>
    </row>
    <row r="10174" spans="1:15" x14ac:dyDescent="0.25">
      <c r="A10174" t="s">
        <v>10187</v>
      </c>
      <c r="B10174">
        <v>254</v>
      </c>
      <c r="C10174" s="1" t="str">
        <f>HYPERLINK("http://www.rosaceae.org/gb/gbrowse/malus_x_domestica/?name=MDP0000296681","MDP0000296681")</f>
        <v>MDP0000296681</v>
      </c>
      <c r="D10174">
        <v>66.400000000000006</v>
      </c>
      <c r="E10174">
        <v>256</v>
      </c>
      <c r="F10174">
        <v>86</v>
      </c>
      <c r="G10174">
        <v>21</v>
      </c>
      <c r="H10174">
        <v>3</v>
      </c>
      <c r="I10174">
        <v>237</v>
      </c>
      <c r="J10174">
        <v>1</v>
      </c>
      <c r="K10174">
        <v>531</v>
      </c>
      <c r="L10174">
        <v>786</v>
      </c>
      <c r="M10174">
        <v>1</v>
      </c>
      <c r="N10174">
        <v>7.5273700000000004E-93</v>
      </c>
      <c r="O10174">
        <v>864</v>
      </c>
    </row>
    <row r="10175" spans="1:15" x14ac:dyDescent="0.25">
      <c r="A10175" t="s">
        <v>10188</v>
      </c>
      <c r="B10175">
        <v>681</v>
      </c>
      <c r="C10175" s="1" t="str">
        <f>HYPERLINK("http://www.rosaceae.org/gb/gbrowse/malus_x_domestica/?name=MDP0000807952","MDP0000807952")</f>
        <v>MDP0000807952</v>
      </c>
      <c r="D10175">
        <v>72.09</v>
      </c>
      <c r="E10175">
        <v>681</v>
      </c>
      <c r="F10175">
        <v>190</v>
      </c>
      <c r="G10175">
        <v>52</v>
      </c>
      <c r="H10175">
        <v>23</v>
      </c>
      <c r="I10175">
        <v>651</v>
      </c>
      <c r="J10175">
        <v>1</v>
      </c>
      <c r="K10175">
        <v>23</v>
      </c>
      <c r="L10175">
        <v>703</v>
      </c>
      <c r="M10175">
        <v>1</v>
      </c>
      <c r="N10175">
        <v>0</v>
      </c>
      <c r="O10175">
        <v>2612</v>
      </c>
    </row>
    <row r="10176" spans="1:15" x14ac:dyDescent="0.25">
      <c r="A10176" t="s">
        <v>10189</v>
      </c>
      <c r="B10176">
        <v>703</v>
      </c>
      <c r="C10176" s="1" t="str">
        <f>HYPERLINK("http://www.rosaceae.org/gb/gbrowse/malus_x_domestica/?name=MDP0000088431","MDP0000088431")</f>
        <v>MDP0000088431</v>
      </c>
      <c r="D10176">
        <v>65.42</v>
      </c>
      <c r="E10176">
        <v>619</v>
      </c>
      <c r="F10176">
        <v>214</v>
      </c>
      <c r="G10176">
        <v>48</v>
      </c>
      <c r="H10176">
        <v>1</v>
      </c>
      <c r="I10176">
        <v>610</v>
      </c>
      <c r="J10176">
        <v>1</v>
      </c>
      <c r="K10176">
        <v>1</v>
      </c>
      <c r="L10176">
        <v>580</v>
      </c>
      <c r="M10176">
        <v>1</v>
      </c>
      <c r="N10176">
        <v>0</v>
      </c>
      <c r="O10176">
        <v>1954</v>
      </c>
    </row>
    <row r="10177" spans="1:15" x14ac:dyDescent="0.25">
      <c r="A10177" t="s">
        <v>10190</v>
      </c>
      <c r="B10177">
        <v>216</v>
      </c>
      <c r="C10177" s="1" t="str">
        <f>HYPERLINK("http://www.rosaceae.org/gb/gbrowse/malus_x_domestica/?name=MDP0000226188","MDP0000226188")</f>
        <v>MDP0000226188</v>
      </c>
      <c r="D10177">
        <v>85.29</v>
      </c>
      <c r="E10177">
        <v>102</v>
      </c>
      <c r="F10177">
        <v>15</v>
      </c>
      <c r="G10177">
        <v>0</v>
      </c>
      <c r="H10177">
        <v>107</v>
      </c>
      <c r="I10177">
        <v>208</v>
      </c>
      <c r="J10177">
        <v>1</v>
      </c>
      <c r="K10177">
        <v>300</v>
      </c>
      <c r="L10177">
        <v>401</v>
      </c>
      <c r="M10177">
        <v>1</v>
      </c>
      <c r="N10177">
        <v>4.03812E-46</v>
      </c>
      <c r="O10177">
        <v>460</v>
      </c>
    </row>
    <row r="10178" spans="1:15" x14ac:dyDescent="0.25">
      <c r="A10178" t="s">
        <v>10191</v>
      </c>
      <c r="B10178">
        <v>395</v>
      </c>
      <c r="C10178" s="1" t="str">
        <f>HYPERLINK("http://www.rosaceae.org/gb/gbrowse/malus_x_domestica/?name=MDP0000822541","MDP0000822541")</f>
        <v>MDP0000822541</v>
      </c>
      <c r="D10178">
        <v>72.569999999999993</v>
      </c>
      <c r="E10178">
        <v>350</v>
      </c>
      <c r="F10178">
        <v>96</v>
      </c>
      <c r="G10178">
        <v>1</v>
      </c>
      <c r="H10178">
        <v>46</v>
      </c>
      <c r="I10178">
        <v>395</v>
      </c>
      <c r="J10178">
        <v>1</v>
      </c>
      <c r="K10178">
        <v>78</v>
      </c>
      <c r="L10178">
        <v>426</v>
      </c>
      <c r="M10178">
        <v>1</v>
      </c>
      <c r="N10178">
        <v>1.1236500000000001E-149</v>
      </c>
      <c r="O10178">
        <v>1356</v>
      </c>
    </row>
    <row r="10179" spans="1:15" x14ac:dyDescent="0.25">
      <c r="A10179" t="s">
        <v>10192</v>
      </c>
      <c r="B10179">
        <v>763</v>
      </c>
      <c r="C10179" s="1" t="str">
        <f>HYPERLINK("http://www.rosaceae.org/gb/gbrowse/malus_x_domestica/?name=MDP0000266652","MDP0000266652")</f>
        <v>MDP0000266652</v>
      </c>
      <c r="D10179">
        <v>61.17</v>
      </c>
      <c r="E10179">
        <v>425</v>
      </c>
      <c r="F10179">
        <v>165</v>
      </c>
      <c r="G10179">
        <v>34</v>
      </c>
      <c r="H10179">
        <v>342</v>
      </c>
      <c r="I10179">
        <v>733</v>
      </c>
      <c r="J10179">
        <v>1</v>
      </c>
      <c r="K10179">
        <v>26</v>
      </c>
      <c r="L10179">
        <v>449</v>
      </c>
      <c r="M10179">
        <v>1</v>
      </c>
      <c r="N10179">
        <v>3.5876899999999999E-152</v>
      </c>
      <c r="O10179">
        <v>1381</v>
      </c>
    </row>
    <row r="10180" spans="1:15" x14ac:dyDescent="0.25">
      <c r="A10180" t="s">
        <v>10193</v>
      </c>
      <c r="B10180">
        <v>354</v>
      </c>
      <c r="C10180" s="1" t="str">
        <f>HYPERLINK("http://www.rosaceae.org/gb/gbrowse/malus_x_domestica/?name=MDP0000204511","MDP0000204511")</f>
        <v>MDP0000204511</v>
      </c>
      <c r="D10180">
        <v>52.8</v>
      </c>
      <c r="E10180">
        <v>303</v>
      </c>
      <c r="F10180">
        <v>143</v>
      </c>
      <c r="G10180">
        <v>9</v>
      </c>
      <c r="H10180">
        <v>10</v>
      </c>
      <c r="I10180">
        <v>307</v>
      </c>
      <c r="J10180">
        <v>1</v>
      </c>
      <c r="K10180">
        <v>20</v>
      </c>
      <c r="L10180">
        <v>318</v>
      </c>
      <c r="M10180">
        <v>1</v>
      </c>
      <c r="N10180">
        <v>1.6779799999999999E-78</v>
      </c>
      <c r="O10180">
        <v>742</v>
      </c>
    </row>
    <row r="10181" spans="1:15" x14ac:dyDescent="0.25">
      <c r="A10181" t="s">
        <v>10194</v>
      </c>
      <c r="B10181">
        <v>321</v>
      </c>
      <c r="C10181" s="1" t="str">
        <f>HYPERLINK("http://www.rosaceae.org/gb/gbrowse/malus_x_domestica/?name=MDP0000167949","MDP0000167949")</f>
        <v>MDP0000167949</v>
      </c>
      <c r="D10181">
        <v>64.19</v>
      </c>
      <c r="E10181">
        <v>310</v>
      </c>
      <c r="F10181">
        <v>111</v>
      </c>
      <c r="G10181">
        <v>14</v>
      </c>
      <c r="H10181">
        <v>12</v>
      </c>
      <c r="I10181">
        <v>321</v>
      </c>
      <c r="J10181">
        <v>1</v>
      </c>
      <c r="K10181">
        <v>583</v>
      </c>
      <c r="L10181">
        <v>878</v>
      </c>
      <c r="M10181">
        <v>1</v>
      </c>
      <c r="N10181">
        <v>1.10455E-109</v>
      </c>
      <c r="O10181">
        <v>1010</v>
      </c>
    </row>
    <row r="10182" spans="1:15" x14ac:dyDescent="0.25">
      <c r="A10182" t="s">
        <v>10195</v>
      </c>
      <c r="B10182">
        <v>580</v>
      </c>
      <c r="C10182" s="1" t="str">
        <f>HYPERLINK("http://www.rosaceae.org/gb/gbrowse/malus_x_domestica/?name=MDP0000797241","MDP0000797241")</f>
        <v>MDP0000797241</v>
      </c>
      <c r="D10182">
        <v>41.77</v>
      </c>
      <c r="E10182">
        <v>553</v>
      </c>
      <c r="F10182">
        <v>322</v>
      </c>
      <c r="G10182">
        <v>48</v>
      </c>
      <c r="H10182">
        <v>52</v>
      </c>
      <c r="I10182">
        <v>580</v>
      </c>
      <c r="J10182">
        <v>1</v>
      </c>
      <c r="K10182">
        <v>21</v>
      </c>
      <c r="L10182">
        <v>549</v>
      </c>
      <c r="M10182">
        <v>1</v>
      </c>
      <c r="N10182">
        <v>6.59062E-96</v>
      </c>
      <c r="O10182">
        <v>894</v>
      </c>
    </row>
    <row r="10183" spans="1:15" x14ac:dyDescent="0.25">
      <c r="A10183" t="s">
        <v>10196</v>
      </c>
      <c r="B10183">
        <v>1227</v>
      </c>
      <c r="C10183" s="1" t="str">
        <f>HYPERLINK("http://www.rosaceae.org/gb/gbrowse/malus_x_domestica/?name=MDP0000128061","MDP0000128061")</f>
        <v>MDP0000128061</v>
      </c>
      <c r="D10183">
        <v>69.010000000000005</v>
      </c>
      <c r="E10183">
        <v>355</v>
      </c>
      <c r="F10183">
        <v>110</v>
      </c>
      <c r="G10183">
        <v>44</v>
      </c>
      <c r="H10183">
        <v>883</v>
      </c>
      <c r="I10183">
        <v>1224</v>
      </c>
      <c r="J10183">
        <v>1</v>
      </c>
      <c r="K10183">
        <v>12</v>
      </c>
      <c r="L10183">
        <v>335</v>
      </c>
      <c r="M10183">
        <v>1</v>
      </c>
      <c r="N10183">
        <v>1.9161599999999999E-132</v>
      </c>
      <c r="O10183">
        <v>1212</v>
      </c>
    </row>
    <row r="10184" spans="1:15" x14ac:dyDescent="0.25">
      <c r="A10184" t="s">
        <v>10197</v>
      </c>
      <c r="B10184">
        <v>960</v>
      </c>
      <c r="C10184" s="1" t="str">
        <f>HYPERLINK("http://www.rosaceae.org/gb/gbrowse/malus_x_domestica/?name=MDP0000184309","MDP0000184309")</f>
        <v>MDP0000184309</v>
      </c>
      <c r="D10184">
        <v>53.38</v>
      </c>
      <c r="E10184">
        <v>738</v>
      </c>
      <c r="F10184">
        <v>344</v>
      </c>
      <c r="G10184">
        <v>22</v>
      </c>
      <c r="H10184">
        <v>1</v>
      </c>
      <c r="I10184">
        <v>731</v>
      </c>
      <c r="J10184">
        <v>1</v>
      </c>
      <c r="K10184">
        <v>1</v>
      </c>
      <c r="L10184">
        <v>723</v>
      </c>
      <c r="M10184">
        <v>1</v>
      </c>
      <c r="N10184">
        <v>0</v>
      </c>
      <c r="O10184">
        <v>1976</v>
      </c>
    </row>
    <row r="10185" spans="1:15" x14ac:dyDescent="0.25">
      <c r="A10185" t="s">
        <v>10198</v>
      </c>
      <c r="B10185">
        <v>650</v>
      </c>
      <c r="C10185" s="1" t="str">
        <f>HYPERLINK("http://www.rosaceae.org/gb/gbrowse/malus_x_domestica/?name=MDP0000203270","MDP0000203270")</f>
        <v>MDP0000203270</v>
      </c>
      <c r="D10185">
        <v>73.930000000000007</v>
      </c>
      <c r="E10185">
        <v>495</v>
      </c>
      <c r="F10185">
        <v>129</v>
      </c>
      <c r="G10185">
        <v>36</v>
      </c>
      <c r="H10185">
        <v>184</v>
      </c>
      <c r="I10185">
        <v>642</v>
      </c>
      <c r="J10185">
        <v>1</v>
      </c>
      <c r="K10185">
        <v>25</v>
      </c>
      <c r="L10185">
        <v>519</v>
      </c>
      <c r="M10185">
        <v>1</v>
      </c>
      <c r="N10185">
        <v>0</v>
      </c>
      <c r="O10185">
        <v>1957</v>
      </c>
    </row>
    <row r="10186" spans="1:15" x14ac:dyDescent="0.25">
      <c r="A10186" t="s">
        <v>10199</v>
      </c>
      <c r="B10186">
        <v>779</v>
      </c>
      <c r="C10186" s="1" t="str">
        <f>HYPERLINK("http://www.rosaceae.org/gb/gbrowse/malus_x_domestica/?name=MDP0000248100","MDP0000248100")</f>
        <v>MDP0000248100</v>
      </c>
      <c r="D10186">
        <v>90.84</v>
      </c>
      <c r="E10186">
        <v>273</v>
      </c>
      <c r="F10186">
        <v>25</v>
      </c>
      <c r="G10186">
        <v>0</v>
      </c>
      <c r="H10186">
        <v>64</v>
      </c>
      <c r="I10186">
        <v>336</v>
      </c>
      <c r="J10186">
        <v>1</v>
      </c>
      <c r="K10186">
        <v>1</v>
      </c>
      <c r="L10186">
        <v>273</v>
      </c>
      <c r="M10186">
        <v>1</v>
      </c>
      <c r="N10186">
        <v>1.24315E-150</v>
      </c>
      <c r="O10186">
        <v>1367</v>
      </c>
    </row>
    <row r="10187" spans="1:15" x14ac:dyDescent="0.25">
      <c r="A10187" t="s">
        <v>10200</v>
      </c>
      <c r="B10187">
        <v>256</v>
      </c>
      <c r="C10187" s="1" t="str">
        <f>HYPERLINK("http://www.rosaceae.org/gb/gbrowse/malus_x_domestica/?name=MDP0000774306","MDP0000774306")</f>
        <v>MDP0000774306</v>
      </c>
      <c r="D10187">
        <v>34.43</v>
      </c>
      <c r="E10187">
        <v>212</v>
      </c>
      <c r="F10187">
        <v>139</v>
      </c>
      <c r="G10187">
        <v>21</v>
      </c>
      <c r="H10187">
        <v>51</v>
      </c>
      <c r="I10187">
        <v>254</v>
      </c>
      <c r="J10187">
        <v>1</v>
      </c>
      <c r="K10187">
        <v>112</v>
      </c>
      <c r="L10187">
        <v>310</v>
      </c>
      <c r="M10187">
        <v>1</v>
      </c>
      <c r="N10187">
        <v>3.9944499999999998E-21</v>
      </c>
      <c r="O10187">
        <v>245</v>
      </c>
    </row>
    <row r="10188" spans="1:15" x14ac:dyDescent="0.25">
      <c r="A10188" t="s">
        <v>10201</v>
      </c>
      <c r="B10188">
        <v>480</v>
      </c>
      <c r="C10188" s="1" t="str">
        <f>HYPERLINK("http://www.rosaceae.org/gb/gbrowse/malus_x_domestica/?name=MDP0000273759","MDP0000273759")</f>
        <v>MDP0000273759</v>
      </c>
      <c r="D10188">
        <v>94.37</v>
      </c>
      <c r="E10188">
        <v>480</v>
      </c>
      <c r="F10188">
        <v>27</v>
      </c>
      <c r="G10188">
        <v>0</v>
      </c>
      <c r="H10188">
        <v>1</v>
      </c>
      <c r="I10188">
        <v>480</v>
      </c>
      <c r="J10188">
        <v>1</v>
      </c>
      <c r="K10188">
        <v>1</v>
      </c>
      <c r="L10188">
        <v>480</v>
      </c>
      <c r="M10188">
        <v>1</v>
      </c>
      <c r="N10188">
        <v>0</v>
      </c>
      <c r="O10188">
        <v>2437</v>
      </c>
    </row>
    <row r="10189" spans="1:15" x14ac:dyDescent="0.25">
      <c r="A10189" t="s">
        <v>10202</v>
      </c>
      <c r="B10189">
        <v>327</v>
      </c>
      <c r="C10189" s="1" t="str">
        <f>HYPERLINK("http://www.rosaceae.org/gb/gbrowse/malus_x_domestica/?name=MDP0000242070","MDP0000242070")</f>
        <v>MDP0000242070</v>
      </c>
      <c r="D10189">
        <v>62.01</v>
      </c>
      <c r="E10189">
        <v>308</v>
      </c>
      <c r="F10189">
        <v>117</v>
      </c>
      <c r="G10189">
        <v>33</v>
      </c>
      <c r="H10189">
        <v>21</v>
      </c>
      <c r="I10189">
        <v>327</v>
      </c>
      <c r="J10189">
        <v>1</v>
      </c>
      <c r="K10189">
        <v>1</v>
      </c>
      <c r="L10189">
        <v>276</v>
      </c>
      <c r="M10189">
        <v>1</v>
      </c>
      <c r="N10189">
        <v>2.4514E-101</v>
      </c>
      <c r="O10189">
        <v>938</v>
      </c>
    </row>
    <row r="10190" spans="1:15" x14ac:dyDescent="0.25">
      <c r="A10190" t="s">
        <v>10203</v>
      </c>
      <c r="B10190">
        <v>167</v>
      </c>
      <c r="C10190" s="1" t="str">
        <f>HYPERLINK("http://www.rosaceae.org/gb/gbrowse/malus_x_domestica/?name=MDP0000222512","MDP0000222512")</f>
        <v>MDP0000222512</v>
      </c>
      <c r="D10190">
        <v>51.94</v>
      </c>
      <c r="E10190">
        <v>77</v>
      </c>
      <c r="F10190">
        <v>37</v>
      </c>
      <c r="G10190">
        <v>3</v>
      </c>
      <c r="H10190">
        <v>29</v>
      </c>
      <c r="I10190">
        <v>102</v>
      </c>
      <c r="J10190">
        <v>1</v>
      </c>
      <c r="K10190">
        <v>16</v>
      </c>
      <c r="L10190">
        <v>92</v>
      </c>
      <c r="M10190">
        <v>1</v>
      </c>
      <c r="N10190">
        <v>1.37165E-13</v>
      </c>
      <c r="O10190">
        <v>177</v>
      </c>
    </row>
    <row r="10191" spans="1:15" x14ac:dyDescent="0.25">
      <c r="A10191" t="s">
        <v>10204</v>
      </c>
      <c r="B10191">
        <v>325</v>
      </c>
      <c r="C10191" s="1" t="str">
        <f>HYPERLINK("http://www.rosaceae.org/gb/gbrowse/malus_x_domestica/?name=MDP0000264823","MDP0000264823")</f>
        <v>MDP0000264823</v>
      </c>
      <c r="D10191">
        <v>36.97</v>
      </c>
      <c r="E10191">
        <v>119</v>
      </c>
      <c r="F10191">
        <v>75</v>
      </c>
      <c r="G10191">
        <v>9</v>
      </c>
      <c r="H10191">
        <v>146</v>
      </c>
      <c r="I10191">
        <v>263</v>
      </c>
      <c r="J10191">
        <v>1</v>
      </c>
      <c r="K10191">
        <v>856</v>
      </c>
      <c r="L10191">
        <v>966</v>
      </c>
      <c r="M10191">
        <v>1</v>
      </c>
      <c r="N10191">
        <v>3.7240799999999998E-9</v>
      </c>
      <c r="O10191">
        <v>143</v>
      </c>
    </row>
    <row r="10192" spans="1:15" x14ac:dyDescent="0.25">
      <c r="A10192" t="s">
        <v>10205</v>
      </c>
      <c r="B10192">
        <v>137</v>
      </c>
      <c r="C10192" s="1" t="str">
        <f>HYPERLINK("http://www.rosaceae.org/gb/gbrowse/malus_x_domestica/?name=MDP0000294628","MDP0000294628")</f>
        <v>MDP0000294628</v>
      </c>
      <c r="D10192">
        <v>81.05</v>
      </c>
      <c r="E10192">
        <v>95</v>
      </c>
      <c r="F10192">
        <v>18</v>
      </c>
      <c r="G10192">
        <v>0</v>
      </c>
      <c r="H10192">
        <v>8</v>
      </c>
      <c r="I10192">
        <v>102</v>
      </c>
      <c r="J10192">
        <v>1</v>
      </c>
      <c r="K10192">
        <v>434</v>
      </c>
      <c r="L10192">
        <v>528</v>
      </c>
      <c r="M10192">
        <v>1</v>
      </c>
      <c r="N10192">
        <v>2.3422200000000002E-40</v>
      </c>
      <c r="O10192">
        <v>407</v>
      </c>
    </row>
    <row r="10193" spans="1:15" x14ac:dyDescent="0.25">
      <c r="A10193" t="s">
        <v>10206</v>
      </c>
      <c r="B10193">
        <v>310</v>
      </c>
      <c r="C10193" s="1" t="str">
        <f>HYPERLINK("http://www.rosaceae.org/gb/gbrowse/malus_x_domestica/?name=MDP0000169921","MDP0000169921")</f>
        <v>MDP0000169921</v>
      </c>
      <c r="D10193">
        <v>62.97</v>
      </c>
      <c r="E10193">
        <v>289</v>
      </c>
      <c r="F10193">
        <v>107</v>
      </c>
      <c r="G10193">
        <v>20</v>
      </c>
      <c r="H10193">
        <v>30</v>
      </c>
      <c r="I10193">
        <v>309</v>
      </c>
      <c r="J10193">
        <v>1</v>
      </c>
      <c r="K10193">
        <v>71</v>
      </c>
      <c r="L10193">
        <v>348</v>
      </c>
      <c r="M10193">
        <v>1</v>
      </c>
      <c r="N10193">
        <v>8.4064399999999996E-96</v>
      </c>
      <c r="O10193">
        <v>890</v>
      </c>
    </row>
    <row r="10194" spans="1:15" x14ac:dyDescent="0.25">
      <c r="A10194" t="s">
        <v>10207</v>
      </c>
      <c r="B10194">
        <v>157</v>
      </c>
      <c r="C10194" s="1" t="str">
        <f>HYPERLINK("http://www.rosaceae.org/gb/gbrowse/malus_x_domestica/?name=MDP0000349483","MDP0000349483")</f>
        <v>MDP0000349483</v>
      </c>
      <c r="D10194">
        <v>59.87</v>
      </c>
      <c r="E10194">
        <v>157</v>
      </c>
      <c r="F10194">
        <v>63</v>
      </c>
      <c r="G10194">
        <v>7</v>
      </c>
      <c r="H10194">
        <v>1</v>
      </c>
      <c r="I10194">
        <v>157</v>
      </c>
      <c r="J10194">
        <v>1</v>
      </c>
      <c r="K10194">
        <v>31</v>
      </c>
      <c r="L10194">
        <v>180</v>
      </c>
      <c r="M10194">
        <v>1</v>
      </c>
      <c r="N10194">
        <v>6.1133100000000001E-44</v>
      </c>
      <c r="O10194">
        <v>439</v>
      </c>
    </row>
    <row r="10195" spans="1:15" x14ac:dyDescent="0.25">
      <c r="A10195" t="s">
        <v>10208</v>
      </c>
      <c r="B10195">
        <v>518</v>
      </c>
      <c r="C10195" s="1" t="str">
        <f>HYPERLINK("http://www.rosaceae.org/gb/gbrowse/malus_x_domestica/?name=MDP0000293246","MDP0000293246")</f>
        <v>MDP0000293246</v>
      </c>
      <c r="D10195">
        <v>83.78</v>
      </c>
      <c r="E10195">
        <v>555</v>
      </c>
      <c r="F10195">
        <v>90</v>
      </c>
      <c r="G10195">
        <v>38</v>
      </c>
      <c r="H10195">
        <v>1</v>
      </c>
      <c r="I10195">
        <v>518</v>
      </c>
      <c r="J10195">
        <v>1</v>
      </c>
      <c r="K10195">
        <v>1</v>
      </c>
      <c r="L10195">
        <v>554</v>
      </c>
      <c r="M10195">
        <v>1</v>
      </c>
      <c r="N10195">
        <v>0</v>
      </c>
      <c r="O10195">
        <v>2434</v>
      </c>
    </row>
    <row r="10196" spans="1:15" x14ac:dyDescent="0.25">
      <c r="A10196" t="s">
        <v>10209</v>
      </c>
      <c r="B10196">
        <v>298</v>
      </c>
      <c r="C10196" s="1" t="str">
        <f>HYPERLINK("http://www.rosaceae.org/gb/gbrowse/malus_x_domestica/?name=MDP0000779747","MDP0000779747")</f>
        <v>MDP0000779747</v>
      </c>
      <c r="D10196">
        <v>46.78</v>
      </c>
      <c r="E10196">
        <v>109</v>
      </c>
      <c r="F10196">
        <v>58</v>
      </c>
      <c r="G10196">
        <v>28</v>
      </c>
      <c r="H10196">
        <v>82</v>
      </c>
      <c r="I10196">
        <v>162</v>
      </c>
      <c r="J10196">
        <v>1</v>
      </c>
      <c r="K10196">
        <v>87</v>
      </c>
      <c r="L10196">
        <v>195</v>
      </c>
      <c r="M10196">
        <v>1</v>
      </c>
      <c r="N10196">
        <v>1.9609999999999998E-18</v>
      </c>
      <c r="O10196">
        <v>223</v>
      </c>
    </row>
    <row r="10197" spans="1:15" x14ac:dyDescent="0.25">
      <c r="A10197" t="s">
        <v>10210</v>
      </c>
      <c r="B10197">
        <v>481</v>
      </c>
      <c r="C10197" s="1" t="str">
        <f>HYPERLINK("http://www.rosaceae.org/gb/gbrowse/malus_x_domestica/?name=MDP0000477221","MDP0000477221")</f>
        <v>MDP0000477221</v>
      </c>
      <c r="D10197">
        <v>77.5</v>
      </c>
      <c r="E10197">
        <v>200</v>
      </c>
      <c r="F10197">
        <v>45</v>
      </c>
      <c r="G10197">
        <v>0</v>
      </c>
      <c r="H10197">
        <v>245</v>
      </c>
      <c r="I10197">
        <v>444</v>
      </c>
      <c r="J10197">
        <v>1</v>
      </c>
      <c r="K10197">
        <v>280</v>
      </c>
      <c r="L10197">
        <v>479</v>
      </c>
      <c r="M10197">
        <v>1</v>
      </c>
      <c r="N10197">
        <v>4.65812E-92</v>
      </c>
      <c r="O10197">
        <v>860</v>
      </c>
    </row>
    <row r="10198" spans="1:15" x14ac:dyDescent="0.25">
      <c r="A10198" t="s">
        <v>10211</v>
      </c>
      <c r="B10198">
        <v>634</v>
      </c>
      <c r="C10198" s="1" t="str">
        <f>HYPERLINK("http://www.rosaceae.org/gb/gbrowse/malus_x_domestica/?name=MDP0000302779","MDP0000302779")</f>
        <v>MDP0000302779</v>
      </c>
      <c r="D10198">
        <v>64.010000000000005</v>
      </c>
      <c r="E10198">
        <v>678</v>
      </c>
      <c r="F10198">
        <v>244</v>
      </c>
      <c r="G10198">
        <v>46</v>
      </c>
      <c r="H10198">
        <v>1</v>
      </c>
      <c r="I10198">
        <v>634</v>
      </c>
      <c r="J10198">
        <v>1</v>
      </c>
      <c r="K10198">
        <v>1</v>
      </c>
      <c r="L10198">
        <v>676</v>
      </c>
      <c r="M10198">
        <v>1</v>
      </c>
      <c r="N10198">
        <v>0</v>
      </c>
      <c r="O10198">
        <v>2213</v>
      </c>
    </row>
    <row r="10199" spans="1:15" x14ac:dyDescent="0.25">
      <c r="A10199" t="s">
        <v>10212</v>
      </c>
      <c r="B10199">
        <v>327</v>
      </c>
      <c r="C10199" s="1" t="str">
        <f>HYPERLINK("http://www.rosaceae.org/gb/gbrowse/malus_x_domestica/?name=MDP0000216467","MDP0000216467")</f>
        <v>MDP0000216467</v>
      </c>
      <c r="D10199">
        <v>85.84</v>
      </c>
      <c r="E10199">
        <v>332</v>
      </c>
      <c r="F10199">
        <v>47</v>
      </c>
      <c r="G10199">
        <v>7</v>
      </c>
      <c r="H10199">
        <v>1</v>
      </c>
      <c r="I10199">
        <v>325</v>
      </c>
      <c r="J10199">
        <v>1</v>
      </c>
      <c r="K10199">
        <v>1</v>
      </c>
      <c r="L10199">
        <v>332</v>
      </c>
      <c r="M10199">
        <v>1</v>
      </c>
      <c r="N10199">
        <v>2.4659E-167</v>
      </c>
      <c r="O10199">
        <v>1507</v>
      </c>
    </row>
    <row r="10200" spans="1:15" x14ac:dyDescent="0.25">
      <c r="A10200" t="s">
        <v>10213</v>
      </c>
      <c r="B10200">
        <v>217</v>
      </c>
      <c r="C10200" s="1" t="str">
        <f>HYPERLINK("http://www.rosaceae.org/gb/gbrowse/malus_x_domestica/?name=MDP0000690287","MDP0000690287")</f>
        <v>MDP0000690287</v>
      </c>
      <c r="D10200">
        <v>81.010000000000005</v>
      </c>
      <c r="E10200">
        <v>216</v>
      </c>
      <c r="F10200">
        <v>41</v>
      </c>
      <c r="G10200">
        <v>1</v>
      </c>
      <c r="H10200">
        <v>1</v>
      </c>
      <c r="I10200">
        <v>216</v>
      </c>
      <c r="J10200">
        <v>1</v>
      </c>
      <c r="K10200">
        <v>1</v>
      </c>
      <c r="L10200">
        <v>215</v>
      </c>
      <c r="M10200">
        <v>1</v>
      </c>
      <c r="N10200">
        <v>6.7762400000000002E-103</v>
      </c>
      <c r="O10200">
        <v>949</v>
      </c>
    </row>
    <row r="10201" spans="1:15" x14ac:dyDescent="0.25">
      <c r="A10201" t="s">
        <v>10214</v>
      </c>
      <c r="B10201">
        <v>253</v>
      </c>
      <c r="C10201" s="1" t="str">
        <f>HYPERLINK("http://www.rosaceae.org/gb/gbrowse/malus_x_domestica/?name=MDP0000470116","MDP0000470116")</f>
        <v>MDP0000470116</v>
      </c>
      <c r="D10201">
        <v>76.05</v>
      </c>
      <c r="E10201">
        <v>238</v>
      </c>
      <c r="F10201">
        <v>57</v>
      </c>
      <c r="G10201">
        <v>0</v>
      </c>
      <c r="H10201">
        <v>15</v>
      </c>
      <c r="I10201">
        <v>252</v>
      </c>
      <c r="J10201">
        <v>1</v>
      </c>
      <c r="K10201">
        <v>77</v>
      </c>
      <c r="L10201">
        <v>314</v>
      </c>
      <c r="M10201">
        <v>1</v>
      </c>
      <c r="N10201">
        <v>9.5912500000000004E-98</v>
      </c>
      <c r="O10201">
        <v>906</v>
      </c>
    </row>
    <row r="10202" spans="1:15" x14ac:dyDescent="0.25">
      <c r="A10202" t="s">
        <v>10215</v>
      </c>
      <c r="B10202">
        <v>804</v>
      </c>
      <c r="C10202" s="1" t="str">
        <f>HYPERLINK("http://www.rosaceae.org/gb/gbrowse/malus_x_domestica/?name=MDP0000297575","MDP0000297575")</f>
        <v>MDP0000297575</v>
      </c>
      <c r="D10202">
        <v>48.91</v>
      </c>
      <c r="E10202">
        <v>783</v>
      </c>
      <c r="F10202">
        <v>400</v>
      </c>
      <c r="G10202">
        <v>108</v>
      </c>
      <c r="H10202">
        <v>1</v>
      </c>
      <c r="I10202">
        <v>750</v>
      </c>
      <c r="J10202">
        <v>1</v>
      </c>
      <c r="K10202">
        <v>1</v>
      </c>
      <c r="L10202">
        <v>708</v>
      </c>
      <c r="M10202">
        <v>1</v>
      </c>
      <c r="N10202">
        <v>2.5028199999999999E-176</v>
      </c>
      <c r="O10202">
        <v>1589</v>
      </c>
    </row>
    <row r="10203" spans="1:15" x14ac:dyDescent="0.25">
      <c r="A10203" t="s">
        <v>10216</v>
      </c>
      <c r="B10203">
        <v>402</v>
      </c>
      <c r="C10203" s="1" t="str">
        <f>HYPERLINK("http://www.rosaceae.org/gb/gbrowse/malus_x_domestica/?name=MDP0000308911","MDP0000308911")</f>
        <v>MDP0000308911</v>
      </c>
      <c r="D10203">
        <v>64.33</v>
      </c>
      <c r="E10203">
        <v>429</v>
      </c>
      <c r="F10203">
        <v>153</v>
      </c>
      <c r="G10203">
        <v>46</v>
      </c>
      <c r="H10203">
        <v>1</v>
      </c>
      <c r="I10203">
        <v>402</v>
      </c>
      <c r="J10203">
        <v>1</v>
      </c>
      <c r="K10203">
        <v>50</v>
      </c>
      <c r="L10203">
        <v>459</v>
      </c>
      <c r="M10203">
        <v>1</v>
      </c>
      <c r="N10203">
        <v>2.5816E-154</v>
      </c>
      <c r="O10203">
        <v>1396</v>
      </c>
    </row>
    <row r="10204" spans="1:15" x14ac:dyDescent="0.25">
      <c r="A10204" t="s">
        <v>10217</v>
      </c>
      <c r="B10204">
        <v>575</v>
      </c>
      <c r="C10204" s="1" t="str">
        <f>HYPERLINK("http://www.rosaceae.org/gb/gbrowse/malus_x_domestica/?name=MDP0000133157","MDP0000133157")</f>
        <v>MDP0000133157</v>
      </c>
      <c r="D10204">
        <v>73.680000000000007</v>
      </c>
      <c r="E10204">
        <v>532</v>
      </c>
      <c r="F10204">
        <v>140</v>
      </c>
      <c r="G10204">
        <v>22</v>
      </c>
      <c r="H10204">
        <v>60</v>
      </c>
      <c r="I10204">
        <v>569</v>
      </c>
      <c r="J10204">
        <v>1</v>
      </c>
      <c r="K10204">
        <v>9</v>
      </c>
      <c r="L10204">
        <v>540</v>
      </c>
      <c r="M10204">
        <v>1</v>
      </c>
      <c r="N10204">
        <v>0</v>
      </c>
      <c r="O10204">
        <v>1969</v>
      </c>
    </row>
    <row r="10205" spans="1:15" x14ac:dyDescent="0.25">
      <c r="A10205" t="s">
        <v>10218</v>
      </c>
      <c r="B10205">
        <v>432</v>
      </c>
      <c r="C10205" s="1" t="str">
        <f>HYPERLINK("http://www.rosaceae.org/gb/gbrowse/malus_x_domestica/?name=MDP0000254078","MDP0000254078")</f>
        <v>MDP0000254078</v>
      </c>
      <c r="D10205">
        <v>71.290000000000006</v>
      </c>
      <c r="E10205">
        <v>432</v>
      </c>
      <c r="F10205">
        <v>124</v>
      </c>
      <c r="G10205">
        <v>11</v>
      </c>
      <c r="H10205">
        <v>1</v>
      </c>
      <c r="I10205">
        <v>431</v>
      </c>
      <c r="J10205">
        <v>1</v>
      </c>
      <c r="K10205">
        <v>1</v>
      </c>
      <c r="L10205">
        <v>422</v>
      </c>
      <c r="M10205">
        <v>1</v>
      </c>
      <c r="N10205">
        <v>0</v>
      </c>
      <c r="O10205">
        <v>1644</v>
      </c>
    </row>
    <row r="10206" spans="1:15" x14ac:dyDescent="0.25">
      <c r="A10206" t="s">
        <v>10219</v>
      </c>
      <c r="B10206">
        <v>231</v>
      </c>
      <c r="C10206" s="1" t="str">
        <f>HYPERLINK("http://www.rosaceae.org/gb/gbrowse/malus_x_domestica/?name=MDP0000228872","MDP0000228872")</f>
        <v>MDP0000228872</v>
      </c>
      <c r="D10206">
        <v>80.59</v>
      </c>
      <c r="E10206">
        <v>237</v>
      </c>
      <c r="F10206">
        <v>46</v>
      </c>
      <c r="G10206">
        <v>6</v>
      </c>
      <c r="H10206">
        <v>1</v>
      </c>
      <c r="I10206">
        <v>231</v>
      </c>
      <c r="J10206">
        <v>1</v>
      </c>
      <c r="K10206">
        <v>1</v>
      </c>
      <c r="L10206">
        <v>237</v>
      </c>
      <c r="M10206">
        <v>1</v>
      </c>
      <c r="N10206">
        <v>3.06409E-109</v>
      </c>
      <c r="O10206">
        <v>1005</v>
      </c>
    </row>
    <row r="10207" spans="1:15" x14ac:dyDescent="0.25">
      <c r="A10207" t="s">
        <v>10220</v>
      </c>
      <c r="B10207">
        <v>239</v>
      </c>
      <c r="C10207" s="1" t="str">
        <f>HYPERLINK("http://www.rosaceae.org/gb/gbrowse/malus_x_domestica/?name=MDP0000788170","MDP0000788170")</f>
        <v>MDP0000788170</v>
      </c>
      <c r="D10207">
        <v>74.47</v>
      </c>
      <c r="E10207">
        <v>239</v>
      </c>
      <c r="F10207">
        <v>61</v>
      </c>
      <c r="G10207">
        <v>1</v>
      </c>
      <c r="H10207">
        <v>1</v>
      </c>
      <c r="I10207">
        <v>239</v>
      </c>
      <c r="J10207">
        <v>1</v>
      </c>
      <c r="K10207">
        <v>1</v>
      </c>
      <c r="L10207">
        <v>238</v>
      </c>
      <c r="M10207">
        <v>1</v>
      </c>
      <c r="N10207">
        <v>2.9195399999999998E-106</v>
      </c>
      <c r="O10207">
        <v>979</v>
      </c>
    </row>
    <row r="10208" spans="1:15" x14ac:dyDescent="0.25">
      <c r="A10208" t="s">
        <v>10221</v>
      </c>
      <c r="B10208">
        <v>468</v>
      </c>
      <c r="C10208" s="1" t="str">
        <f>HYPERLINK("http://www.rosaceae.org/gb/gbrowse/malus_x_domestica/?name=MDP0000125644","MDP0000125644")</f>
        <v>MDP0000125644</v>
      </c>
      <c r="D10208">
        <v>38.93</v>
      </c>
      <c r="E10208">
        <v>226</v>
      </c>
      <c r="F10208">
        <v>138</v>
      </c>
      <c r="G10208">
        <v>41</v>
      </c>
      <c r="H10208">
        <v>195</v>
      </c>
      <c r="I10208">
        <v>409</v>
      </c>
      <c r="J10208">
        <v>1</v>
      </c>
      <c r="K10208">
        <v>30</v>
      </c>
      <c r="L10208">
        <v>225</v>
      </c>
      <c r="M10208">
        <v>1</v>
      </c>
      <c r="N10208">
        <v>9.3981300000000003E-24</v>
      </c>
      <c r="O10208">
        <v>271</v>
      </c>
    </row>
    <row r="10209" spans="1:15" x14ac:dyDescent="0.25">
      <c r="A10209" t="s">
        <v>10222</v>
      </c>
      <c r="B10209">
        <v>536</v>
      </c>
      <c r="C10209" s="1" t="str">
        <f>HYPERLINK("http://www.rosaceae.org/gb/gbrowse/malus_x_domestica/?name=MDP0000260301","MDP0000260301")</f>
        <v>MDP0000260301</v>
      </c>
      <c r="D10209">
        <v>67.06</v>
      </c>
      <c r="E10209">
        <v>498</v>
      </c>
      <c r="F10209">
        <v>164</v>
      </c>
      <c r="G10209">
        <v>3</v>
      </c>
      <c r="H10209">
        <v>41</v>
      </c>
      <c r="I10209">
        <v>535</v>
      </c>
      <c r="J10209">
        <v>1</v>
      </c>
      <c r="K10209">
        <v>5</v>
      </c>
      <c r="L10209">
        <v>502</v>
      </c>
      <c r="M10209">
        <v>1</v>
      </c>
      <c r="N10209">
        <v>0</v>
      </c>
      <c r="O10209">
        <v>1828</v>
      </c>
    </row>
    <row r="10210" spans="1:15" x14ac:dyDescent="0.25">
      <c r="A10210" t="s">
        <v>10223</v>
      </c>
      <c r="B10210">
        <v>430</v>
      </c>
      <c r="C10210" s="1" t="str">
        <f>HYPERLINK("http://www.rosaceae.org/gb/gbrowse/malus_x_domestica/?name=MDP0000811085","MDP0000811085")</f>
        <v>MDP0000811085</v>
      </c>
      <c r="D10210">
        <v>47</v>
      </c>
      <c r="E10210">
        <v>417</v>
      </c>
      <c r="F10210">
        <v>221</v>
      </c>
      <c r="G10210">
        <v>29</v>
      </c>
      <c r="H10210">
        <v>34</v>
      </c>
      <c r="I10210">
        <v>429</v>
      </c>
      <c r="J10210">
        <v>1</v>
      </c>
      <c r="K10210">
        <v>4</v>
      </c>
      <c r="L10210">
        <v>412</v>
      </c>
      <c r="M10210">
        <v>1</v>
      </c>
      <c r="N10210">
        <v>4.3251700000000001E-96</v>
      </c>
      <c r="O10210">
        <v>894</v>
      </c>
    </row>
    <row r="10211" spans="1:15" x14ac:dyDescent="0.25">
      <c r="A10211" t="s">
        <v>10224</v>
      </c>
      <c r="B10211">
        <v>664</v>
      </c>
      <c r="C10211" s="1" t="str">
        <f>HYPERLINK("http://www.rosaceae.org/gb/gbrowse/malus_x_domestica/?name=MDP0000229639","MDP0000229639")</f>
        <v>MDP0000229639</v>
      </c>
      <c r="D10211">
        <v>49.77</v>
      </c>
      <c r="E10211">
        <v>436</v>
      </c>
      <c r="F10211">
        <v>219</v>
      </c>
      <c r="G10211">
        <v>97</v>
      </c>
      <c r="H10211">
        <v>6</v>
      </c>
      <c r="I10211">
        <v>357</v>
      </c>
      <c r="J10211">
        <v>1</v>
      </c>
      <c r="K10211">
        <v>50</v>
      </c>
      <c r="L10211">
        <v>472</v>
      </c>
      <c r="M10211">
        <v>1</v>
      </c>
      <c r="N10211">
        <v>1.7303100000000002E-104</v>
      </c>
      <c r="O10211">
        <v>969</v>
      </c>
    </row>
    <row r="10212" spans="1:15" x14ac:dyDescent="0.25">
      <c r="A10212" t="s">
        <v>10225</v>
      </c>
      <c r="B10212">
        <v>746</v>
      </c>
      <c r="C10212" s="1" t="str">
        <f>HYPERLINK("http://www.rosaceae.org/gb/gbrowse/malus_x_domestica/?name=MDP0000289246","MDP0000289246")</f>
        <v>MDP0000289246</v>
      </c>
      <c r="D10212">
        <v>79.67</v>
      </c>
      <c r="E10212">
        <v>748</v>
      </c>
      <c r="F10212">
        <v>152</v>
      </c>
      <c r="G10212">
        <v>2</v>
      </c>
      <c r="H10212">
        <v>1</v>
      </c>
      <c r="I10212">
        <v>746</v>
      </c>
      <c r="J10212">
        <v>1</v>
      </c>
      <c r="K10212">
        <v>1</v>
      </c>
      <c r="L10212">
        <v>748</v>
      </c>
      <c r="M10212">
        <v>1</v>
      </c>
      <c r="N10212">
        <v>0</v>
      </c>
      <c r="O10212">
        <v>3185</v>
      </c>
    </row>
    <row r="10213" spans="1:15" x14ac:dyDescent="0.25">
      <c r="A10213" t="s">
        <v>10226</v>
      </c>
      <c r="B10213">
        <v>336</v>
      </c>
      <c r="C10213" s="1" t="str">
        <f>HYPERLINK("http://www.rosaceae.org/gb/gbrowse/malus_x_domestica/?name=MDP0000130015","MDP0000130015")</f>
        <v>MDP0000130015</v>
      </c>
      <c r="D10213">
        <v>53.31</v>
      </c>
      <c r="E10213">
        <v>347</v>
      </c>
      <c r="F10213">
        <v>162</v>
      </c>
      <c r="G10213">
        <v>16</v>
      </c>
      <c r="H10213">
        <v>1</v>
      </c>
      <c r="I10213">
        <v>336</v>
      </c>
      <c r="J10213">
        <v>1</v>
      </c>
      <c r="K10213">
        <v>4</v>
      </c>
      <c r="L10213">
        <v>345</v>
      </c>
      <c r="M10213">
        <v>1</v>
      </c>
      <c r="N10213">
        <v>9.7781199999999996E-99</v>
      </c>
      <c r="O10213">
        <v>916</v>
      </c>
    </row>
    <row r="10214" spans="1:15" x14ac:dyDescent="0.25">
      <c r="A10214" t="s">
        <v>10227</v>
      </c>
      <c r="B10214">
        <v>426</v>
      </c>
      <c r="C10214" s="1" t="str">
        <f>HYPERLINK("http://www.rosaceae.org/gb/gbrowse/malus_x_domestica/?name=MDP0000261721","MDP0000261721")</f>
        <v>MDP0000261721</v>
      </c>
      <c r="D10214">
        <v>70.709999999999994</v>
      </c>
      <c r="E10214">
        <v>420</v>
      </c>
      <c r="F10214">
        <v>123</v>
      </c>
      <c r="G10214">
        <v>12</v>
      </c>
      <c r="H10214">
        <v>1</v>
      </c>
      <c r="I10214">
        <v>417</v>
      </c>
      <c r="J10214">
        <v>1</v>
      </c>
      <c r="K10214">
        <v>1</v>
      </c>
      <c r="L10214">
        <v>411</v>
      </c>
      <c r="M10214">
        <v>1</v>
      </c>
      <c r="N10214">
        <v>2.7093299999999999E-170</v>
      </c>
      <c r="O10214">
        <v>1534</v>
      </c>
    </row>
    <row r="10215" spans="1:15" x14ac:dyDescent="0.25">
      <c r="A10215" t="s">
        <v>10228</v>
      </c>
      <c r="B10215">
        <v>396</v>
      </c>
      <c r="C10215" s="1" t="str">
        <f>HYPERLINK("http://www.rosaceae.org/gb/gbrowse/malus_x_domestica/?name=MDP0000282167","MDP0000282167")</f>
        <v>MDP0000282167</v>
      </c>
      <c r="D10215">
        <v>75.7</v>
      </c>
      <c r="E10215">
        <v>321</v>
      </c>
      <c r="F10215">
        <v>78</v>
      </c>
      <c r="G10215">
        <v>20</v>
      </c>
      <c r="H10215">
        <v>79</v>
      </c>
      <c r="I10215">
        <v>379</v>
      </c>
      <c r="J10215">
        <v>1</v>
      </c>
      <c r="K10215">
        <v>35</v>
      </c>
      <c r="L10215">
        <v>355</v>
      </c>
      <c r="M10215">
        <v>1</v>
      </c>
      <c r="N10215">
        <v>2.2030800000000001E-141</v>
      </c>
      <c r="O10215">
        <v>1285</v>
      </c>
    </row>
    <row r="10216" spans="1:15" x14ac:dyDescent="0.25">
      <c r="A10216" t="s">
        <v>10229</v>
      </c>
      <c r="B10216">
        <v>402</v>
      </c>
      <c r="C10216" s="1" t="str">
        <f>HYPERLINK("http://www.rosaceae.org/gb/gbrowse/malus_x_domestica/?name=MDP0000803096","MDP0000803096")</f>
        <v>MDP0000803096</v>
      </c>
      <c r="D10216">
        <v>45.13</v>
      </c>
      <c r="E10216">
        <v>339</v>
      </c>
      <c r="F10216">
        <v>186</v>
      </c>
      <c r="G10216">
        <v>38</v>
      </c>
      <c r="H10216">
        <v>66</v>
      </c>
      <c r="I10216">
        <v>385</v>
      </c>
      <c r="J10216">
        <v>1</v>
      </c>
      <c r="K10216">
        <v>64</v>
      </c>
      <c r="L10216">
        <v>383</v>
      </c>
      <c r="M10216">
        <v>1</v>
      </c>
      <c r="N10216">
        <v>1.3870299999999999E-52</v>
      </c>
      <c r="O10216">
        <v>519</v>
      </c>
    </row>
    <row r="10217" spans="1:15" x14ac:dyDescent="0.25">
      <c r="A10217" t="s">
        <v>10230</v>
      </c>
      <c r="B10217">
        <v>323</v>
      </c>
      <c r="C10217" s="1" t="str">
        <f>HYPERLINK("http://www.rosaceae.org/gb/gbrowse/malus_x_domestica/?name=MDP0000597087","MDP0000597087")</f>
        <v>MDP0000597087</v>
      </c>
      <c r="D10217">
        <v>64.52</v>
      </c>
      <c r="E10217">
        <v>234</v>
      </c>
      <c r="F10217">
        <v>83</v>
      </c>
      <c r="G10217">
        <v>0</v>
      </c>
      <c r="H10217">
        <v>1</v>
      </c>
      <c r="I10217">
        <v>234</v>
      </c>
      <c r="J10217">
        <v>1</v>
      </c>
      <c r="K10217">
        <v>1</v>
      </c>
      <c r="L10217">
        <v>234</v>
      </c>
      <c r="M10217">
        <v>1</v>
      </c>
      <c r="N10217">
        <v>1.0585199999999999E-86</v>
      </c>
      <c r="O10217">
        <v>812</v>
      </c>
    </row>
    <row r="10218" spans="1:15" x14ac:dyDescent="0.25">
      <c r="A10218" t="s">
        <v>10231</v>
      </c>
      <c r="B10218">
        <v>2208</v>
      </c>
      <c r="C10218" s="1" t="str">
        <f>HYPERLINK("http://www.rosaceae.org/gb/gbrowse/malus_x_domestica/?name=MDP0000306801","MDP0000306801")</f>
        <v>MDP0000306801</v>
      </c>
      <c r="D10218">
        <v>62.36</v>
      </c>
      <c r="E10218">
        <v>999</v>
      </c>
      <c r="F10218">
        <v>376</v>
      </c>
      <c r="G10218">
        <v>63</v>
      </c>
      <c r="H10218">
        <v>1</v>
      </c>
      <c r="I10218">
        <v>993</v>
      </c>
      <c r="J10218">
        <v>1</v>
      </c>
      <c r="K10218">
        <v>1</v>
      </c>
      <c r="L10218">
        <v>942</v>
      </c>
      <c r="M10218">
        <v>1</v>
      </c>
      <c r="N10218">
        <v>0</v>
      </c>
      <c r="O10218">
        <v>3030</v>
      </c>
    </row>
    <row r="10219" spans="1:15" x14ac:dyDescent="0.25">
      <c r="A10219" t="s">
        <v>10232</v>
      </c>
      <c r="B10219">
        <v>48</v>
      </c>
      <c r="C10219" s="1" t="str">
        <f>HYPERLINK("http://www.rosaceae.org/gb/gbrowse/malus_x_domestica/?name=MDP0000293970","MDP0000293970")</f>
        <v>MDP0000293970</v>
      </c>
      <c r="D10219">
        <v>55.31</v>
      </c>
      <c r="E10219">
        <v>47</v>
      </c>
      <c r="F10219">
        <v>21</v>
      </c>
      <c r="G10219">
        <v>0</v>
      </c>
      <c r="H10219">
        <v>1</v>
      </c>
      <c r="I10219">
        <v>47</v>
      </c>
      <c r="J10219">
        <v>1</v>
      </c>
      <c r="K10219">
        <v>421</v>
      </c>
      <c r="L10219">
        <v>467</v>
      </c>
      <c r="M10219">
        <v>1</v>
      </c>
      <c r="N10219">
        <v>4.13215E-9</v>
      </c>
      <c r="O10219">
        <v>136</v>
      </c>
    </row>
    <row r="10220" spans="1:15" x14ac:dyDescent="0.25">
      <c r="A10220" t="s">
        <v>10233</v>
      </c>
      <c r="B10220">
        <v>514</v>
      </c>
      <c r="C10220" s="1" t="str">
        <f>HYPERLINK("http://www.rosaceae.org/gb/gbrowse/malus_x_domestica/?name=MDP0000317119","MDP0000317119")</f>
        <v>MDP0000317119</v>
      </c>
      <c r="D10220">
        <v>56</v>
      </c>
      <c r="E10220">
        <v>500</v>
      </c>
      <c r="F10220">
        <v>220</v>
      </c>
      <c r="G10220">
        <v>10</v>
      </c>
      <c r="H10220">
        <v>2</v>
      </c>
      <c r="I10220">
        <v>497</v>
      </c>
      <c r="J10220">
        <v>1</v>
      </c>
      <c r="K10220">
        <v>51</v>
      </c>
      <c r="L10220">
        <v>544</v>
      </c>
      <c r="M10220">
        <v>1</v>
      </c>
      <c r="N10220">
        <v>8.2240200000000005E-157</v>
      </c>
      <c r="O10220">
        <v>1419</v>
      </c>
    </row>
    <row r="10221" spans="1:15" x14ac:dyDescent="0.25">
      <c r="A10221" t="s">
        <v>10234</v>
      </c>
      <c r="B10221">
        <v>518</v>
      </c>
      <c r="C10221" s="1" t="str">
        <f>HYPERLINK("http://www.rosaceae.org/gb/gbrowse/malus_x_domestica/?name=MDP0000289397","MDP0000289397")</f>
        <v>MDP0000289397</v>
      </c>
      <c r="D10221">
        <v>75.47</v>
      </c>
      <c r="E10221">
        <v>522</v>
      </c>
      <c r="F10221">
        <v>128</v>
      </c>
      <c r="G10221">
        <v>17</v>
      </c>
      <c r="H10221">
        <v>9</v>
      </c>
      <c r="I10221">
        <v>518</v>
      </c>
      <c r="J10221">
        <v>1</v>
      </c>
      <c r="K10221">
        <v>100</v>
      </c>
      <c r="L10221">
        <v>616</v>
      </c>
      <c r="M10221">
        <v>1</v>
      </c>
      <c r="N10221">
        <v>0</v>
      </c>
      <c r="O10221">
        <v>1978</v>
      </c>
    </row>
    <row r="10222" spans="1:15" x14ac:dyDescent="0.25">
      <c r="A10222" t="s">
        <v>10235</v>
      </c>
      <c r="B10222">
        <v>197</v>
      </c>
      <c r="C10222" s="1" t="str">
        <f>HYPERLINK("http://www.rosaceae.org/gb/gbrowse/malus_x_domestica/?name=MDP0000232369","MDP0000232369")</f>
        <v>MDP0000232369</v>
      </c>
      <c r="D10222">
        <v>94.41</v>
      </c>
      <c r="E10222">
        <v>179</v>
      </c>
      <c r="F10222">
        <v>10</v>
      </c>
      <c r="G10222">
        <v>0</v>
      </c>
      <c r="H10222">
        <v>1</v>
      </c>
      <c r="I10222">
        <v>179</v>
      </c>
      <c r="J10222">
        <v>1</v>
      </c>
      <c r="K10222">
        <v>37</v>
      </c>
      <c r="L10222">
        <v>215</v>
      </c>
      <c r="M10222">
        <v>1</v>
      </c>
      <c r="N10222">
        <v>4.3413900000000001E-96</v>
      </c>
      <c r="O10222">
        <v>890</v>
      </c>
    </row>
    <row r="10223" spans="1:15" x14ac:dyDescent="0.25">
      <c r="A10223" t="s">
        <v>10236</v>
      </c>
      <c r="B10223">
        <v>828</v>
      </c>
      <c r="C10223" s="1" t="str">
        <f>HYPERLINK("http://www.rosaceae.org/gb/gbrowse/malus_x_domestica/?name=MDP0000232304","MDP0000232304")</f>
        <v>MDP0000232304</v>
      </c>
      <c r="D10223">
        <v>56.42</v>
      </c>
      <c r="E10223">
        <v>599</v>
      </c>
      <c r="F10223">
        <v>261</v>
      </c>
      <c r="G10223">
        <v>43</v>
      </c>
      <c r="H10223">
        <v>226</v>
      </c>
      <c r="I10223">
        <v>797</v>
      </c>
      <c r="J10223">
        <v>1</v>
      </c>
      <c r="K10223">
        <v>1</v>
      </c>
      <c r="L10223">
        <v>583</v>
      </c>
      <c r="M10223">
        <v>1</v>
      </c>
      <c r="N10223">
        <v>7.2498500000000003E-165</v>
      </c>
      <c r="O10223">
        <v>1490</v>
      </c>
    </row>
    <row r="10224" spans="1:15" x14ac:dyDescent="0.25">
      <c r="A10224" t="s">
        <v>10237</v>
      </c>
      <c r="B10224">
        <v>821</v>
      </c>
      <c r="C10224" s="1" t="str">
        <f>HYPERLINK("http://www.rosaceae.org/gb/gbrowse/malus_x_domestica/?name=MDP0000276724","MDP0000276724")</f>
        <v>MDP0000276724</v>
      </c>
      <c r="D10224">
        <v>69.900000000000006</v>
      </c>
      <c r="E10224">
        <v>432</v>
      </c>
      <c r="F10224">
        <v>130</v>
      </c>
      <c r="G10224">
        <v>75</v>
      </c>
      <c r="H10224">
        <v>5</v>
      </c>
      <c r="I10224">
        <v>367</v>
      </c>
      <c r="J10224">
        <v>1</v>
      </c>
      <c r="K10224">
        <v>6</v>
      </c>
      <c r="L10224">
        <v>431</v>
      </c>
      <c r="M10224">
        <v>1</v>
      </c>
      <c r="N10224">
        <v>1.48921E-151</v>
      </c>
      <c r="O10224">
        <v>1376</v>
      </c>
    </row>
    <row r="10225" spans="1:15" x14ac:dyDescent="0.25">
      <c r="A10225" t="s">
        <v>10238</v>
      </c>
      <c r="B10225">
        <v>694</v>
      </c>
      <c r="C10225" s="1" t="str">
        <f>HYPERLINK("http://www.rosaceae.org/gb/gbrowse/malus_x_domestica/?name=MDP0000186765","MDP0000186765")</f>
        <v>MDP0000186765</v>
      </c>
      <c r="D10225">
        <v>54.5</v>
      </c>
      <c r="E10225">
        <v>466</v>
      </c>
      <c r="F10225">
        <v>212</v>
      </c>
      <c r="G10225">
        <v>85</v>
      </c>
      <c r="H10225">
        <v>15</v>
      </c>
      <c r="I10225">
        <v>419</v>
      </c>
      <c r="J10225">
        <v>1</v>
      </c>
      <c r="K10225">
        <v>9</v>
      </c>
      <c r="L10225">
        <v>450</v>
      </c>
      <c r="M10225">
        <v>1</v>
      </c>
      <c r="N10225">
        <v>8.8768800000000004E-114</v>
      </c>
      <c r="O10225">
        <v>1049</v>
      </c>
    </row>
    <row r="10226" spans="1:15" x14ac:dyDescent="0.25">
      <c r="A10226" t="s">
        <v>10239</v>
      </c>
      <c r="B10226">
        <v>357</v>
      </c>
      <c r="C10226" s="1" t="str">
        <f>HYPERLINK("http://www.rosaceae.org/gb/gbrowse/malus_x_domestica/?name=MDP0000407053","MDP0000407053")</f>
        <v>MDP0000407053</v>
      </c>
      <c r="D10226">
        <v>31.56</v>
      </c>
      <c r="E10226">
        <v>453</v>
      </c>
      <c r="F10226">
        <v>310</v>
      </c>
      <c r="G10226">
        <v>130</v>
      </c>
      <c r="H10226">
        <v>18</v>
      </c>
      <c r="I10226">
        <v>356</v>
      </c>
      <c r="J10226">
        <v>1</v>
      </c>
      <c r="K10226">
        <v>3</v>
      </c>
      <c r="L10226">
        <v>439</v>
      </c>
      <c r="M10226">
        <v>1</v>
      </c>
      <c r="N10226">
        <v>1.41925E-35</v>
      </c>
      <c r="O10226">
        <v>372</v>
      </c>
    </row>
    <row r="10227" spans="1:15" x14ac:dyDescent="0.25">
      <c r="A10227" t="s">
        <v>10240</v>
      </c>
      <c r="B10227">
        <v>946</v>
      </c>
      <c r="C10227" s="1" t="str">
        <f>HYPERLINK("http://www.rosaceae.org/gb/gbrowse/malus_x_domestica/?name=MDP0000252508","MDP0000252508")</f>
        <v>MDP0000252508</v>
      </c>
      <c r="D10227">
        <v>62</v>
      </c>
      <c r="E10227">
        <v>329</v>
      </c>
      <c r="F10227">
        <v>125</v>
      </c>
      <c r="G10227">
        <v>4</v>
      </c>
      <c r="H10227">
        <v>621</v>
      </c>
      <c r="I10227">
        <v>946</v>
      </c>
      <c r="J10227">
        <v>1</v>
      </c>
      <c r="K10227">
        <v>8</v>
      </c>
      <c r="L10227">
        <v>335</v>
      </c>
      <c r="M10227">
        <v>1</v>
      </c>
      <c r="N10227">
        <v>2.8517199999999998E-122</v>
      </c>
      <c r="O10227">
        <v>1124</v>
      </c>
    </row>
    <row r="10228" spans="1:15" x14ac:dyDescent="0.25">
      <c r="A10228" t="s">
        <v>10241</v>
      </c>
      <c r="B10228">
        <v>1050</v>
      </c>
      <c r="C10228" s="1" t="str">
        <f>HYPERLINK("http://www.rosaceae.org/gb/gbrowse/malus_x_domestica/?name=MDP0000652797","MDP0000652797")</f>
        <v>MDP0000652797</v>
      </c>
      <c r="D10228">
        <v>85.51</v>
      </c>
      <c r="E10228">
        <v>587</v>
      </c>
      <c r="F10228">
        <v>85</v>
      </c>
      <c r="G10228">
        <v>0</v>
      </c>
      <c r="H10228">
        <v>1</v>
      </c>
      <c r="I10228">
        <v>587</v>
      </c>
      <c r="J10228">
        <v>1</v>
      </c>
      <c r="K10228">
        <v>17</v>
      </c>
      <c r="L10228">
        <v>603</v>
      </c>
      <c r="M10228">
        <v>1</v>
      </c>
      <c r="N10228">
        <v>0</v>
      </c>
      <c r="O10228">
        <v>2758</v>
      </c>
    </row>
    <row r="10229" spans="1:15" x14ac:dyDescent="0.25">
      <c r="A10229" t="s">
        <v>10242</v>
      </c>
      <c r="B10229">
        <v>535</v>
      </c>
      <c r="C10229" s="1" t="str">
        <f>HYPERLINK("http://www.rosaceae.org/gb/gbrowse/malus_x_domestica/?name=MDP0000294628","MDP0000294628")</f>
        <v>MDP0000294628</v>
      </c>
      <c r="D10229">
        <v>31.74</v>
      </c>
      <c r="E10229">
        <v>293</v>
      </c>
      <c r="F10229">
        <v>200</v>
      </c>
      <c r="G10229">
        <v>57</v>
      </c>
      <c r="H10229">
        <v>8</v>
      </c>
      <c r="I10229">
        <v>280</v>
      </c>
      <c r="J10229">
        <v>1</v>
      </c>
      <c r="K10229">
        <v>45</v>
      </c>
      <c r="L10229">
        <v>300</v>
      </c>
      <c r="M10229">
        <v>1</v>
      </c>
      <c r="N10229">
        <v>8.3390899999999993E-24</v>
      </c>
      <c r="O10229">
        <v>272</v>
      </c>
    </row>
    <row r="10230" spans="1:15" x14ac:dyDescent="0.25">
      <c r="A10230" t="s">
        <v>10243</v>
      </c>
      <c r="B10230">
        <v>253</v>
      </c>
      <c r="C10230" s="1" t="str">
        <f>HYPERLINK("http://www.rosaceae.org/gb/gbrowse/malus_x_domestica/?name=MDP0000658711","MDP0000658711")</f>
        <v>MDP0000658711</v>
      </c>
      <c r="D10230">
        <v>67.37</v>
      </c>
      <c r="E10230">
        <v>187</v>
      </c>
      <c r="F10230">
        <v>61</v>
      </c>
      <c r="G10230">
        <v>0</v>
      </c>
      <c r="H10230">
        <v>67</v>
      </c>
      <c r="I10230">
        <v>253</v>
      </c>
      <c r="J10230">
        <v>1</v>
      </c>
      <c r="K10230">
        <v>15</v>
      </c>
      <c r="L10230">
        <v>201</v>
      </c>
      <c r="M10230">
        <v>1</v>
      </c>
      <c r="N10230">
        <v>2.6294200000000001E-72</v>
      </c>
      <c r="O10230">
        <v>687</v>
      </c>
    </row>
    <row r="10231" spans="1:15" x14ac:dyDescent="0.25">
      <c r="A10231" t="s">
        <v>10244</v>
      </c>
      <c r="B10231">
        <v>474</v>
      </c>
      <c r="C10231" s="1" t="str">
        <f>HYPERLINK("http://www.rosaceae.org/gb/gbrowse/malus_x_domestica/?name=MDP0000534116","MDP0000534116")</f>
        <v>MDP0000534116</v>
      </c>
      <c r="D10231">
        <v>53.86</v>
      </c>
      <c r="E10231">
        <v>440</v>
      </c>
      <c r="F10231">
        <v>203</v>
      </c>
      <c r="G10231">
        <v>16</v>
      </c>
      <c r="H10231">
        <v>7</v>
      </c>
      <c r="I10231">
        <v>444</v>
      </c>
      <c r="J10231">
        <v>1</v>
      </c>
      <c r="K10231">
        <v>1</v>
      </c>
      <c r="L10231">
        <v>426</v>
      </c>
      <c r="M10231">
        <v>1</v>
      </c>
      <c r="N10231">
        <v>5.32487E-141</v>
      </c>
      <c r="O10231">
        <v>1282</v>
      </c>
    </row>
    <row r="10232" spans="1:15" x14ac:dyDescent="0.25">
      <c r="A10232" t="s">
        <v>10245</v>
      </c>
      <c r="B10232">
        <v>342</v>
      </c>
      <c r="C10232" s="1" t="str">
        <f>HYPERLINK("http://www.rosaceae.org/gb/gbrowse/malus_x_domestica/?name=MDP0000247605","MDP0000247605")</f>
        <v>MDP0000247605</v>
      </c>
      <c r="D10232">
        <v>47.83</v>
      </c>
      <c r="E10232">
        <v>324</v>
      </c>
      <c r="F10232">
        <v>169</v>
      </c>
      <c r="G10232">
        <v>7</v>
      </c>
      <c r="H10232">
        <v>4</v>
      </c>
      <c r="I10232">
        <v>325</v>
      </c>
      <c r="J10232">
        <v>1</v>
      </c>
      <c r="K10232">
        <v>3</v>
      </c>
      <c r="L10232">
        <v>321</v>
      </c>
      <c r="M10232">
        <v>1</v>
      </c>
      <c r="N10232">
        <v>7.6432000000000004E-87</v>
      </c>
      <c r="O10232">
        <v>814</v>
      </c>
    </row>
    <row r="10233" spans="1:15" x14ac:dyDescent="0.25">
      <c r="A10233" t="s">
        <v>10246</v>
      </c>
      <c r="B10233">
        <v>439</v>
      </c>
      <c r="C10233" s="1" t="str">
        <f>HYPERLINK("http://www.rosaceae.org/gb/gbrowse/malus_x_domestica/?name=MDP0000289874","MDP0000289874")</f>
        <v>MDP0000289874</v>
      </c>
      <c r="D10233">
        <v>77.72</v>
      </c>
      <c r="E10233">
        <v>413</v>
      </c>
      <c r="F10233">
        <v>92</v>
      </c>
      <c r="G10233">
        <v>12</v>
      </c>
      <c r="H10233">
        <v>39</v>
      </c>
      <c r="I10233">
        <v>439</v>
      </c>
      <c r="J10233">
        <v>1</v>
      </c>
      <c r="K10233">
        <v>1493</v>
      </c>
      <c r="L10233">
        <v>1905</v>
      </c>
      <c r="M10233">
        <v>1</v>
      </c>
      <c r="N10233">
        <v>0</v>
      </c>
      <c r="O10233">
        <v>1704</v>
      </c>
    </row>
    <row r="10234" spans="1:15" x14ac:dyDescent="0.25">
      <c r="A10234" t="s">
        <v>10247</v>
      </c>
      <c r="B10234">
        <v>570</v>
      </c>
      <c r="C10234" s="1" t="str">
        <f>HYPERLINK("http://www.rosaceae.org/gb/gbrowse/malus_x_domestica/?name=MDP0000298031","MDP0000298031")</f>
        <v>MDP0000298031</v>
      </c>
      <c r="D10234">
        <v>91.85</v>
      </c>
      <c r="E10234">
        <v>577</v>
      </c>
      <c r="F10234">
        <v>47</v>
      </c>
      <c r="G10234">
        <v>7</v>
      </c>
      <c r="H10234">
        <v>1</v>
      </c>
      <c r="I10234">
        <v>570</v>
      </c>
      <c r="J10234">
        <v>1</v>
      </c>
      <c r="K10234">
        <v>328</v>
      </c>
      <c r="L10234">
        <v>904</v>
      </c>
      <c r="M10234">
        <v>1</v>
      </c>
      <c r="N10234">
        <v>0</v>
      </c>
      <c r="O10234">
        <v>2834</v>
      </c>
    </row>
    <row r="10235" spans="1:15" x14ac:dyDescent="0.25">
      <c r="A10235" t="s">
        <v>10248</v>
      </c>
      <c r="B10235">
        <v>822</v>
      </c>
      <c r="C10235" s="1" t="str">
        <f>HYPERLINK("http://www.rosaceae.org/gb/gbrowse/malus_x_domestica/?name=MDP0000244711","MDP0000244711")</f>
        <v>MDP0000244711</v>
      </c>
      <c r="D10235">
        <v>63.69</v>
      </c>
      <c r="E10235">
        <v>617</v>
      </c>
      <c r="F10235">
        <v>224</v>
      </c>
      <c r="G10235">
        <v>26</v>
      </c>
      <c r="H10235">
        <v>142</v>
      </c>
      <c r="I10235">
        <v>743</v>
      </c>
      <c r="J10235">
        <v>1</v>
      </c>
      <c r="K10235">
        <v>24</v>
      </c>
      <c r="L10235">
        <v>629</v>
      </c>
      <c r="M10235">
        <v>1</v>
      </c>
      <c r="N10235">
        <v>0</v>
      </c>
      <c r="O10235">
        <v>1883</v>
      </c>
    </row>
    <row r="10236" spans="1:15" x14ac:dyDescent="0.25">
      <c r="A10236" t="s">
        <v>10249</v>
      </c>
      <c r="B10236">
        <v>372</v>
      </c>
      <c r="C10236" s="1" t="str">
        <f>HYPERLINK("http://www.rosaceae.org/gb/gbrowse/malus_x_domestica/?name=MDP0000200810","MDP0000200810")</f>
        <v>MDP0000200810</v>
      </c>
      <c r="D10236">
        <v>61.6</v>
      </c>
      <c r="E10236">
        <v>112</v>
      </c>
      <c r="F10236">
        <v>43</v>
      </c>
      <c r="G10236">
        <v>8</v>
      </c>
      <c r="H10236">
        <v>10</v>
      </c>
      <c r="I10236">
        <v>113</v>
      </c>
      <c r="J10236">
        <v>1</v>
      </c>
      <c r="K10236">
        <v>36</v>
      </c>
      <c r="L10236">
        <v>147</v>
      </c>
      <c r="M10236">
        <v>1</v>
      </c>
      <c r="N10236">
        <v>1.8718299999999999E-28</v>
      </c>
      <c r="O10236">
        <v>310</v>
      </c>
    </row>
    <row r="10237" spans="1:15" x14ac:dyDescent="0.25">
      <c r="A10237" t="s">
        <v>10250</v>
      </c>
      <c r="B10237">
        <v>1290</v>
      </c>
      <c r="C10237" s="1" t="str">
        <f>HYPERLINK("http://www.rosaceae.org/gb/gbrowse/malus_x_domestica/?name=MDP0000230592","MDP0000230592")</f>
        <v>MDP0000230592</v>
      </c>
      <c r="D10237">
        <v>82.94</v>
      </c>
      <c r="E10237">
        <v>340</v>
      </c>
      <c r="F10237">
        <v>58</v>
      </c>
      <c r="G10237">
        <v>3</v>
      </c>
      <c r="H10237">
        <v>438</v>
      </c>
      <c r="I10237">
        <v>777</v>
      </c>
      <c r="J10237">
        <v>1</v>
      </c>
      <c r="K10237">
        <v>253</v>
      </c>
      <c r="L10237">
        <v>589</v>
      </c>
      <c r="M10237">
        <v>1</v>
      </c>
      <c r="N10237">
        <v>6.4032399999999997E-161</v>
      </c>
      <c r="O10237">
        <v>1458</v>
      </c>
    </row>
    <row r="10238" spans="1:15" x14ac:dyDescent="0.25">
      <c r="A10238" t="s">
        <v>10251</v>
      </c>
      <c r="B10238">
        <v>818</v>
      </c>
      <c r="C10238" s="1" t="str">
        <f>HYPERLINK("http://www.rosaceae.org/gb/gbrowse/malus_x_domestica/?name=MDP0000309290","MDP0000309290")</f>
        <v>MDP0000309290</v>
      </c>
      <c r="D10238">
        <v>68.84</v>
      </c>
      <c r="E10238">
        <v>825</v>
      </c>
      <c r="F10238">
        <v>257</v>
      </c>
      <c r="G10238">
        <v>10</v>
      </c>
      <c r="H10238">
        <v>2</v>
      </c>
      <c r="I10238">
        <v>818</v>
      </c>
      <c r="J10238">
        <v>1</v>
      </c>
      <c r="K10238">
        <v>5</v>
      </c>
      <c r="L10238">
        <v>827</v>
      </c>
      <c r="M10238">
        <v>1</v>
      </c>
      <c r="N10238">
        <v>0</v>
      </c>
      <c r="O10238">
        <v>2980</v>
      </c>
    </row>
    <row r="10239" spans="1:15" x14ac:dyDescent="0.25">
      <c r="A10239" t="s">
        <v>10252</v>
      </c>
      <c r="B10239">
        <v>429</v>
      </c>
      <c r="C10239" s="1" t="str">
        <f>HYPERLINK("http://www.rosaceae.org/gb/gbrowse/malus_x_domestica/?name=MDP0000181681","MDP0000181681")</f>
        <v>MDP0000181681</v>
      </c>
      <c r="D10239">
        <v>39.619999999999997</v>
      </c>
      <c r="E10239">
        <v>376</v>
      </c>
      <c r="F10239">
        <v>227</v>
      </c>
      <c r="G10239">
        <v>41</v>
      </c>
      <c r="H10239">
        <v>42</v>
      </c>
      <c r="I10239">
        <v>391</v>
      </c>
      <c r="J10239">
        <v>1</v>
      </c>
      <c r="K10239">
        <v>39</v>
      </c>
      <c r="L10239">
        <v>399</v>
      </c>
      <c r="M10239">
        <v>1</v>
      </c>
      <c r="N10239">
        <v>4.9279499999999998E-67</v>
      </c>
      <c r="O10239">
        <v>644</v>
      </c>
    </row>
    <row r="10240" spans="1:15" x14ac:dyDescent="0.25">
      <c r="A10240" t="s">
        <v>10253</v>
      </c>
      <c r="B10240">
        <v>400</v>
      </c>
      <c r="C10240" s="1" t="str">
        <f>HYPERLINK("http://www.rosaceae.org/gb/gbrowse/malus_x_domestica/?name=MDP0000168543","MDP0000168543")</f>
        <v>MDP0000168543</v>
      </c>
      <c r="D10240">
        <v>64.5</v>
      </c>
      <c r="E10240">
        <v>417</v>
      </c>
      <c r="F10240">
        <v>148</v>
      </c>
      <c r="G10240">
        <v>33</v>
      </c>
      <c r="H10240">
        <v>1</v>
      </c>
      <c r="I10240">
        <v>397</v>
      </c>
      <c r="J10240">
        <v>1</v>
      </c>
      <c r="K10240">
        <v>1</v>
      </c>
      <c r="L10240">
        <v>404</v>
      </c>
      <c r="M10240">
        <v>1</v>
      </c>
      <c r="N10240">
        <v>2.7945600000000001E-145</v>
      </c>
      <c r="O10240">
        <v>1318</v>
      </c>
    </row>
    <row r="10241" spans="1:15" x14ac:dyDescent="0.25">
      <c r="A10241" t="s">
        <v>10254</v>
      </c>
      <c r="B10241">
        <v>238</v>
      </c>
      <c r="C10241" s="1" t="str">
        <f>HYPERLINK("http://www.rosaceae.org/gb/gbrowse/malus_x_domestica/?name=MDP0000302532","MDP0000302532")</f>
        <v>MDP0000302532</v>
      </c>
      <c r="D10241">
        <v>32.17</v>
      </c>
      <c r="E10241">
        <v>258</v>
      </c>
      <c r="F10241">
        <v>175</v>
      </c>
      <c r="G10241">
        <v>72</v>
      </c>
      <c r="H10241">
        <v>1</v>
      </c>
      <c r="I10241">
        <v>202</v>
      </c>
      <c r="J10241">
        <v>1</v>
      </c>
      <c r="K10241">
        <v>1</v>
      </c>
      <c r="L10241">
        <v>242</v>
      </c>
      <c r="M10241">
        <v>1</v>
      </c>
      <c r="N10241">
        <v>8.2858600000000001E-23</v>
      </c>
      <c r="O10241">
        <v>259</v>
      </c>
    </row>
    <row r="10242" spans="1:15" x14ac:dyDescent="0.25">
      <c r="A10242" t="s">
        <v>10255</v>
      </c>
      <c r="B10242">
        <v>320</v>
      </c>
      <c r="C10242" s="1" t="str">
        <f>HYPERLINK("http://www.rosaceae.org/gb/gbrowse/malus_x_domestica/?name=MDP0000158045","MDP0000158045")</f>
        <v>MDP0000158045</v>
      </c>
      <c r="D10242">
        <v>72.260000000000005</v>
      </c>
      <c r="E10242">
        <v>292</v>
      </c>
      <c r="F10242">
        <v>81</v>
      </c>
      <c r="G10242">
        <v>8</v>
      </c>
      <c r="H10242">
        <v>30</v>
      </c>
      <c r="I10242">
        <v>320</v>
      </c>
      <c r="J10242">
        <v>1</v>
      </c>
      <c r="K10242">
        <v>27</v>
      </c>
      <c r="L10242">
        <v>311</v>
      </c>
      <c r="M10242">
        <v>1</v>
      </c>
      <c r="N10242">
        <v>4.3084900000000003E-118</v>
      </c>
      <c r="O10242">
        <v>1083</v>
      </c>
    </row>
    <row r="10243" spans="1:15" x14ac:dyDescent="0.25">
      <c r="A10243" t="s">
        <v>10256</v>
      </c>
      <c r="B10243">
        <v>534</v>
      </c>
      <c r="C10243" s="1" t="str">
        <f>HYPERLINK("http://www.rosaceae.org/gb/gbrowse/malus_x_domestica/?name=MDP0000227262","MDP0000227262")</f>
        <v>MDP0000227262</v>
      </c>
      <c r="D10243">
        <v>58.69</v>
      </c>
      <c r="E10243">
        <v>506</v>
      </c>
      <c r="F10243">
        <v>209</v>
      </c>
      <c r="G10243">
        <v>29</v>
      </c>
      <c r="H10243">
        <v>45</v>
      </c>
      <c r="I10243">
        <v>534</v>
      </c>
      <c r="J10243">
        <v>1</v>
      </c>
      <c r="K10243">
        <v>179</v>
      </c>
      <c r="L10243">
        <v>671</v>
      </c>
      <c r="M10243">
        <v>1</v>
      </c>
      <c r="N10243">
        <v>6.9543500000000005E-153</v>
      </c>
      <c r="O10243">
        <v>1385</v>
      </c>
    </row>
    <row r="10244" spans="1:15" x14ac:dyDescent="0.25">
      <c r="A10244" t="s">
        <v>10257</v>
      </c>
      <c r="B10244">
        <v>333</v>
      </c>
      <c r="C10244" s="1" t="str">
        <f>HYPERLINK("http://www.rosaceae.org/gb/gbrowse/malus_x_domestica/?name=MDP0000294813","MDP0000294813")</f>
        <v>MDP0000294813</v>
      </c>
      <c r="D10244">
        <v>72.52</v>
      </c>
      <c r="E10244">
        <v>353</v>
      </c>
      <c r="F10244">
        <v>97</v>
      </c>
      <c r="G10244">
        <v>46</v>
      </c>
      <c r="H10244">
        <v>1</v>
      </c>
      <c r="I10244">
        <v>307</v>
      </c>
      <c r="J10244">
        <v>1</v>
      </c>
      <c r="K10244">
        <v>1</v>
      </c>
      <c r="L10244">
        <v>353</v>
      </c>
      <c r="M10244">
        <v>1</v>
      </c>
      <c r="N10244">
        <v>1.24349E-145</v>
      </c>
      <c r="O10244">
        <v>1320</v>
      </c>
    </row>
    <row r="10245" spans="1:15" x14ac:dyDescent="0.25">
      <c r="A10245" t="s">
        <v>10258</v>
      </c>
      <c r="B10245">
        <v>166</v>
      </c>
      <c r="C10245" s="1" t="str">
        <f>HYPERLINK("http://www.rosaceae.org/gb/gbrowse/malus_x_domestica/?name=MDP0000150438","MDP0000150438")</f>
        <v>MDP0000150438</v>
      </c>
      <c r="D10245">
        <v>55.47</v>
      </c>
      <c r="E10245">
        <v>137</v>
      </c>
      <c r="F10245">
        <v>61</v>
      </c>
      <c r="G10245">
        <v>5</v>
      </c>
      <c r="H10245">
        <v>28</v>
      </c>
      <c r="I10245">
        <v>159</v>
      </c>
      <c r="J10245">
        <v>1</v>
      </c>
      <c r="K10245">
        <v>1</v>
      </c>
      <c r="L10245">
        <v>137</v>
      </c>
      <c r="M10245">
        <v>1</v>
      </c>
      <c r="N10245">
        <v>2.77455E-38</v>
      </c>
      <c r="O10245">
        <v>390</v>
      </c>
    </row>
    <row r="10246" spans="1:15" x14ac:dyDescent="0.25">
      <c r="A10246" t="s">
        <v>10259</v>
      </c>
      <c r="B10246">
        <v>232</v>
      </c>
      <c r="C10246" s="1" t="str">
        <f>HYPERLINK("http://www.rosaceae.org/gb/gbrowse/malus_x_domestica/?name=MDP0000124066","MDP0000124066")</f>
        <v>MDP0000124066</v>
      </c>
      <c r="D10246">
        <v>61.06</v>
      </c>
      <c r="E10246">
        <v>226</v>
      </c>
      <c r="F10246">
        <v>88</v>
      </c>
      <c r="G10246">
        <v>4</v>
      </c>
      <c r="H10246">
        <v>1</v>
      </c>
      <c r="I10246">
        <v>226</v>
      </c>
      <c r="J10246">
        <v>1</v>
      </c>
      <c r="K10246">
        <v>1</v>
      </c>
      <c r="L10246">
        <v>222</v>
      </c>
      <c r="M10246">
        <v>1</v>
      </c>
      <c r="N10246">
        <v>2.6840199999999999E-74</v>
      </c>
      <c r="O10246">
        <v>703</v>
      </c>
    </row>
    <row r="10247" spans="1:15" x14ac:dyDescent="0.25">
      <c r="A10247" t="s">
        <v>10260</v>
      </c>
      <c r="B10247">
        <v>890</v>
      </c>
      <c r="C10247" s="1" t="str">
        <f>HYPERLINK("http://www.rosaceae.org/gb/gbrowse/malus_x_domestica/?name=MDP0000236081","MDP0000236081")</f>
        <v>MDP0000236081</v>
      </c>
      <c r="D10247">
        <v>68.099999999999994</v>
      </c>
      <c r="E10247">
        <v>925</v>
      </c>
      <c r="F10247">
        <v>295</v>
      </c>
      <c r="G10247">
        <v>51</v>
      </c>
      <c r="H10247">
        <v>1</v>
      </c>
      <c r="I10247">
        <v>890</v>
      </c>
      <c r="J10247">
        <v>1</v>
      </c>
      <c r="K10247">
        <v>1</v>
      </c>
      <c r="L10247">
        <v>909</v>
      </c>
      <c r="M10247">
        <v>1</v>
      </c>
      <c r="N10247">
        <v>0</v>
      </c>
      <c r="O10247">
        <v>3298</v>
      </c>
    </row>
    <row r="10248" spans="1:15" x14ac:dyDescent="0.25">
      <c r="A10248" t="s">
        <v>10261</v>
      </c>
      <c r="B10248">
        <v>440</v>
      </c>
      <c r="C10248" s="1" t="str">
        <f>HYPERLINK("http://www.rosaceae.org/gb/gbrowse/malus_x_domestica/?name=MDP0000613331","MDP0000613331")</f>
        <v>MDP0000613331</v>
      </c>
      <c r="D10248">
        <v>90.66</v>
      </c>
      <c r="E10248">
        <v>439</v>
      </c>
      <c r="F10248">
        <v>41</v>
      </c>
      <c r="G10248">
        <v>0</v>
      </c>
      <c r="H10248">
        <v>2</v>
      </c>
      <c r="I10248">
        <v>440</v>
      </c>
      <c r="J10248">
        <v>1</v>
      </c>
      <c r="K10248">
        <v>4</v>
      </c>
      <c r="L10248">
        <v>442</v>
      </c>
      <c r="M10248">
        <v>1</v>
      </c>
      <c r="N10248">
        <v>0</v>
      </c>
      <c r="O10248">
        <v>2117</v>
      </c>
    </row>
    <row r="10249" spans="1:15" x14ac:dyDescent="0.25">
      <c r="A10249" t="s">
        <v>10262</v>
      </c>
      <c r="B10249">
        <v>429</v>
      </c>
      <c r="C10249" s="1" t="str">
        <f>HYPERLINK("http://www.rosaceae.org/gb/gbrowse/malus_x_domestica/?name=MDP0000534116","MDP0000534116")</f>
        <v>MDP0000534116</v>
      </c>
      <c r="D10249">
        <v>52.54</v>
      </c>
      <c r="E10249">
        <v>432</v>
      </c>
      <c r="F10249">
        <v>205</v>
      </c>
      <c r="G10249">
        <v>52</v>
      </c>
      <c r="H10249">
        <v>9</v>
      </c>
      <c r="I10249">
        <v>397</v>
      </c>
      <c r="J10249">
        <v>1</v>
      </c>
      <c r="K10249">
        <v>1</v>
      </c>
      <c r="L10249">
        <v>423</v>
      </c>
      <c r="M10249">
        <v>1</v>
      </c>
      <c r="N10249">
        <v>5.5972299999999997E-117</v>
      </c>
      <c r="O10249">
        <v>1075</v>
      </c>
    </row>
    <row r="10250" spans="1:15" x14ac:dyDescent="0.25">
      <c r="A10250" t="s">
        <v>10263</v>
      </c>
      <c r="B10250">
        <v>511</v>
      </c>
      <c r="C10250" s="1" t="str">
        <f>HYPERLINK("http://www.rosaceae.org/gb/gbrowse/malus_x_domestica/?name=MDP0000130759","MDP0000130759")</f>
        <v>MDP0000130759</v>
      </c>
      <c r="D10250">
        <v>73.87</v>
      </c>
      <c r="E10250">
        <v>310</v>
      </c>
      <c r="F10250">
        <v>81</v>
      </c>
      <c r="G10250">
        <v>1</v>
      </c>
      <c r="H10250">
        <v>188</v>
      </c>
      <c r="I10250">
        <v>497</v>
      </c>
      <c r="J10250">
        <v>1</v>
      </c>
      <c r="K10250">
        <v>62</v>
      </c>
      <c r="L10250">
        <v>370</v>
      </c>
      <c r="M10250">
        <v>1</v>
      </c>
      <c r="N10250">
        <v>3.3663200000000002E-133</v>
      </c>
      <c r="O10250">
        <v>1215</v>
      </c>
    </row>
    <row r="10251" spans="1:15" x14ac:dyDescent="0.25">
      <c r="A10251" t="s">
        <v>10264</v>
      </c>
      <c r="B10251">
        <v>378</v>
      </c>
      <c r="C10251" s="1" t="str">
        <f>HYPERLINK("http://www.rosaceae.org/gb/gbrowse/malus_x_domestica/?name=MDP0000282778","MDP0000282778")</f>
        <v>MDP0000282778</v>
      </c>
      <c r="D10251">
        <v>38.61</v>
      </c>
      <c r="E10251">
        <v>360</v>
      </c>
      <c r="F10251">
        <v>221</v>
      </c>
      <c r="G10251">
        <v>41</v>
      </c>
      <c r="H10251">
        <v>50</v>
      </c>
      <c r="I10251">
        <v>372</v>
      </c>
      <c r="J10251">
        <v>1</v>
      </c>
      <c r="K10251">
        <v>853</v>
      </c>
      <c r="L10251">
        <v>1208</v>
      </c>
      <c r="M10251">
        <v>1</v>
      </c>
      <c r="N10251">
        <v>1.60385E-62</v>
      </c>
      <c r="O10251">
        <v>604</v>
      </c>
    </row>
    <row r="10252" spans="1:15" x14ac:dyDescent="0.25">
      <c r="A10252" t="s">
        <v>10265</v>
      </c>
      <c r="B10252">
        <v>114</v>
      </c>
      <c r="C10252" s="1" t="str">
        <f>HYPERLINK("http://www.rosaceae.org/gb/gbrowse/malus_x_domestica/?name=MDP0000161193","MDP0000161193")</f>
        <v>MDP0000161193</v>
      </c>
      <c r="D10252">
        <v>34.479999999999997</v>
      </c>
      <c r="E10252">
        <v>87</v>
      </c>
      <c r="F10252">
        <v>57</v>
      </c>
      <c r="G10252">
        <v>0</v>
      </c>
      <c r="H10252">
        <v>14</v>
      </c>
      <c r="I10252">
        <v>100</v>
      </c>
      <c r="J10252">
        <v>1</v>
      </c>
      <c r="K10252">
        <v>252</v>
      </c>
      <c r="L10252">
        <v>338</v>
      </c>
      <c r="M10252">
        <v>1</v>
      </c>
      <c r="N10252">
        <v>3.81226E-10</v>
      </c>
      <c r="O10252">
        <v>145</v>
      </c>
    </row>
    <row r="10253" spans="1:15" x14ac:dyDescent="0.25">
      <c r="A10253" t="s">
        <v>10266</v>
      </c>
      <c r="B10253">
        <v>345</v>
      </c>
      <c r="C10253" s="1" t="str">
        <f>HYPERLINK("http://www.rosaceae.org/gb/gbrowse/malus_x_domestica/?name=MDP0000295324","MDP0000295324")</f>
        <v>MDP0000295324</v>
      </c>
      <c r="D10253">
        <v>79.61</v>
      </c>
      <c r="E10253">
        <v>260</v>
      </c>
      <c r="F10253">
        <v>53</v>
      </c>
      <c r="G10253">
        <v>12</v>
      </c>
      <c r="H10253">
        <v>97</v>
      </c>
      <c r="I10253">
        <v>344</v>
      </c>
      <c r="J10253">
        <v>1</v>
      </c>
      <c r="K10253">
        <v>7</v>
      </c>
      <c r="L10253">
        <v>266</v>
      </c>
      <c r="M10253">
        <v>1</v>
      </c>
      <c r="N10253">
        <v>1.1748899999999999E-114</v>
      </c>
      <c r="O10253">
        <v>1053</v>
      </c>
    </row>
    <row r="10254" spans="1:15" x14ac:dyDescent="0.25">
      <c r="A10254" t="s">
        <v>10267</v>
      </c>
      <c r="B10254">
        <v>170</v>
      </c>
      <c r="C10254" s="1" t="str">
        <f>HYPERLINK("http://www.rosaceae.org/gb/gbrowse/malus_x_domestica/?name=MDP0000756893","MDP0000756893")</f>
        <v>MDP0000756893</v>
      </c>
      <c r="D10254">
        <v>72.02</v>
      </c>
      <c r="E10254">
        <v>168</v>
      </c>
      <c r="F10254">
        <v>47</v>
      </c>
      <c r="G10254">
        <v>0</v>
      </c>
      <c r="H10254">
        <v>3</v>
      </c>
      <c r="I10254">
        <v>170</v>
      </c>
      <c r="J10254">
        <v>1</v>
      </c>
      <c r="K10254">
        <v>1</v>
      </c>
      <c r="L10254">
        <v>168</v>
      </c>
      <c r="M10254">
        <v>1</v>
      </c>
      <c r="N10254">
        <v>3.2915500000000001E-72</v>
      </c>
      <c r="O10254">
        <v>683</v>
      </c>
    </row>
    <row r="10255" spans="1:15" x14ac:dyDescent="0.25">
      <c r="A10255" t="s">
        <v>10268</v>
      </c>
      <c r="B10255">
        <v>328</v>
      </c>
      <c r="C10255" s="1" t="str">
        <f>HYPERLINK("http://www.rosaceae.org/gb/gbrowse/malus_x_domestica/?name=MDP0000189755","MDP0000189755")</f>
        <v>MDP0000189755</v>
      </c>
      <c r="D10255">
        <v>67.239999999999995</v>
      </c>
      <c r="E10255">
        <v>58</v>
      </c>
      <c r="F10255">
        <v>19</v>
      </c>
      <c r="G10255">
        <v>0</v>
      </c>
      <c r="H10255">
        <v>265</v>
      </c>
      <c r="I10255">
        <v>322</v>
      </c>
      <c r="J10255">
        <v>1</v>
      </c>
      <c r="K10255">
        <v>266</v>
      </c>
      <c r="L10255">
        <v>323</v>
      </c>
      <c r="M10255">
        <v>1</v>
      </c>
      <c r="N10255">
        <v>1.54174E-18</v>
      </c>
      <c r="O10255">
        <v>224</v>
      </c>
    </row>
    <row r="10256" spans="1:15" x14ac:dyDescent="0.25">
      <c r="A10256" t="s">
        <v>10269</v>
      </c>
      <c r="B10256">
        <v>347</v>
      </c>
      <c r="C10256" s="1" t="str">
        <f>HYPERLINK("http://www.rosaceae.org/gb/gbrowse/malus_x_domestica/?name=MDP0000128118","MDP0000128118")</f>
        <v>MDP0000128118</v>
      </c>
      <c r="D10256">
        <v>66.66</v>
      </c>
      <c r="E10256">
        <v>351</v>
      </c>
      <c r="F10256">
        <v>117</v>
      </c>
      <c r="G10256">
        <v>13</v>
      </c>
      <c r="H10256">
        <v>1</v>
      </c>
      <c r="I10256">
        <v>347</v>
      </c>
      <c r="J10256">
        <v>1</v>
      </c>
      <c r="K10256">
        <v>1</v>
      </c>
      <c r="L10256">
        <v>342</v>
      </c>
      <c r="M10256">
        <v>1</v>
      </c>
      <c r="N10256">
        <v>8.3825999999999996E-128</v>
      </c>
      <c r="O10256">
        <v>1167</v>
      </c>
    </row>
    <row r="10257" spans="1:15" x14ac:dyDescent="0.25">
      <c r="A10257" t="s">
        <v>10270</v>
      </c>
      <c r="B10257">
        <v>342</v>
      </c>
      <c r="C10257" s="1" t="str">
        <f>HYPERLINK("http://www.rosaceae.org/gb/gbrowse/malus_x_domestica/?name=MDP0000273608","MDP0000273608")</f>
        <v>MDP0000273608</v>
      </c>
      <c r="D10257">
        <v>74.58</v>
      </c>
      <c r="E10257">
        <v>303</v>
      </c>
      <c r="F10257">
        <v>77</v>
      </c>
      <c r="G10257">
        <v>29</v>
      </c>
      <c r="H10257">
        <v>1</v>
      </c>
      <c r="I10257">
        <v>284</v>
      </c>
      <c r="J10257">
        <v>1</v>
      </c>
      <c r="K10257">
        <v>1</v>
      </c>
      <c r="L10257">
        <v>293</v>
      </c>
      <c r="M10257">
        <v>1</v>
      </c>
      <c r="N10257">
        <v>2.9735300000000001E-120</v>
      </c>
      <c r="O10257">
        <v>1102</v>
      </c>
    </row>
    <row r="10258" spans="1:15" x14ac:dyDescent="0.25">
      <c r="A10258" t="s">
        <v>10271</v>
      </c>
      <c r="B10258">
        <v>257</v>
      </c>
      <c r="C10258" s="1" t="str">
        <f>HYPERLINK("http://www.rosaceae.org/gb/gbrowse/malus_x_domestica/?name=MDP0000436303","MDP0000436303")</f>
        <v>MDP0000436303</v>
      </c>
      <c r="D10258">
        <v>71.010000000000005</v>
      </c>
      <c r="E10258">
        <v>138</v>
      </c>
      <c r="F10258">
        <v>40</v>
      </c>
      <c r="G10258">
        <v>0</v>
      </c>
      <c r="H10258">
        <v>1</v>
      </c>
      <c r="I10258">
        <v>138</v>
      </c>
      <c r="J10258">
        <v>1</v>
      </c>
      <c r="K10258">
        <v>5</v>
      </c>
      <c r="L10258">
        <v>142</v>
      </c>
      <c r="M10258">
        <v>1</v>
      </c>
      <c r="N10258">
        <v>7.82727E-54</v>
      </c>
      <c r="O10258">
        <v>527</v>
      </c>
    </row>
    <row r="10259" spans="1:15" x14ac:dyDescent="0.25">
      <c r="A10259" t="s">
        <v>10272</v>
      </c>
      <c r="B10259">
        <v>96</v>
      </c>
      <c r="C10259" s="1" t="str">
        <f>HYPERLINK("http://www.rosaceae.org/gb/gbrowse/malus_x_domestica/?name=MDP0000356050","MDP0000356050")</f>
        <v>MDP0000356050</v>
      </c>
      <c r="D10259">
        <v>85.41</v>
      </c>
      <c r="E10259">
        <v>96</v>
      </c>
      <c r="F10259">
        <v>14</v>
      </c>
      <c r="G10259">
        <v>0</v>
      </c>
      <c r="H10259">
        <v>1</v>
      </c>
      <c r="I10259">
        <v>96</v>
      </c>
      <c r="J10259">
        <v>1</v>
      </c>
      <c r="K10259">
        <v>283</v>
      </c>
      <c r="L10259">
        <v>378</v>
      </c>
      <c r="M10259">
        <v>1</v>
      </c>
      <c r="N10259">
        <v>6.8657599999999998E-44</v>
      </c>
      <c r="O10259">
        <v>436</v>
      </c>
    </row>
    <row r="10260" spans="1:15" x14ac:dyDescent="0.25">
      <c r="A10260" t="s">
        <v>10273</v>
      </c>
      <c r="B10260">
        <v>447</v>
      </c>
      <c r="C10260" s="1" t="str">
        <f>HYPERLINK("http://www.rosaceae.org/gb/gbrowse/malus_x_domestica/?name=MDP0000141538","MDP0000141538")</f>
        <v>MDP0000141538</v>
      </c>
      <c r="D10260">
        <v>69.91</v>
      </c>
      <c r="E10260">
        <v>452</v>
      </c>
      <c r="F10260">
        <v>136</v>
      </c>
      <c r="G10260">
        <v>7</v>
      </c>
      <c r="H10260">
        <v>1</v>
      </c>
      <c r="I10260">
        <v>447</v>
      </c>
      <c r="J10260">
        <v>1</v>
      </c>
      <c r="K10260">
        <v>1</v>
      </c>
      <c r="L10260">
        <v>450</v>
      </c>
      <c r="M10260">
        <v>1</v>
      </c>
      <c r="N10260">
        <v>1.3861100000000001E-174</v>
      </c>
      <c r="O10260">
        <v>1572</v>
      </c>
    </row>
    <row r="10261" spans="1:15" x14ac:dyDescent="0.25">
      <c r="A10261" t="s">
        <v>10274</v>
      </c>
      <c r="B10261">
        <v>532</v>
      </c>
      <c r="C10261" s="1" t="str">
        <f>HYPERLINK("http://www.rosaceae.org/gb/gbrowse/malus_x_domestica/?name=MDP0000214215","MDP0000214215")</f>
        <v>MDP0000214215</v>
      </c>
      <c r="D10261">
        <v>63.61</v>
      </c>
      <c r="E10261">
        <v>525</v>
      </c>
      <c r="F10261">
        <v>191</v>
      </c>
      <c r="G10261">
        <v>30</v>
      </c>
      <c r="H10261">
        <v>22</v>
      </c>
      <c r="I10261">
        <v>522</v>
      </c>
      <c r="J10261">
        <v>1</v>
      </c>
      <c r="K10261">
        <v>21</v>
      </c>
      <c r="L10261">
        <v>539</v>
      </c>
      <c r="M10261">
        <v>1</v>
      </c>
      <c r="N10261">
        <v>0</v>
      </c>
      <c r="O10261">
        <v>1680</v>
      </c>
    </row>
    <row r="10262" spans="1:15" x14ac:dyDescent="0.25">
      <c r="A10262" t="s">
        <v>10275</v>
      </c>
      <c r="B10262">
        <v>117</v>
      </c>
      <c r="C10262" s="1" t="str">
        <f>HYPERLINK("http://www.rosaceae.org/gb/gbrowse/malus_x_domestica/?name=MDP0000207132","MDP0000207132")</f>
        <v>MDP0000207132</v>
      </c>
      <c r="D10262">
        <v>32.200000000000003</v>
      </c>
      <c r="E10262">
        <v>118</v>
      </c>
      <c r="F10262">
        <v>80</v>
      </c>
      <c r="G10262">
        <v>2</v>
      </c>
      <c r="H10262">
        <v>2</v>
      </c>
      <c r="I10262">
        <v>117</v>
      </c>
      <c r="J10262">
        <v>1</v>
      </c>
      <c r="K10262">
        <v>50</v>
      </c>
      <c r="L10262">
        <v>167</v>
      </c>
      <c r="M10262">
        <v>1</v>
      </c>
      <c r="N10262">
        <v>8.0476499999999997E-16</v>
      </c>
      <c r="O10262">
        <v>194</v>
      </c>
    </row>
    <row r="10263" spans="1:15" x14ac:dyDescent="0.25">
      <c r="A10263" t="s">
        <v>10276</v>
      </c>
      <c r="B10263">
        <v>378</v>
      </c>
      <c r="C10263" s="1" t="str">
        <f>HYPERLINK("http://www.rosaceae.org/gb/gbrowse/malus_x_domestica/?name=MDP0000244335","MDP0000244335")</f>
        <v>MDP0000244335</v>
      </c>
      <c r="D10263">
        <v>65.55</v>
      </c>
      <c r="E10263">
        <v>389</v>
      </c>
      <c r="F10263">
        <v>134</v>
      </c>
      <c r="G10263">
        <v>44</v>
      </c>
      <c r="H10263">
        <v>1</v>
      </c>
      <c r="I10263">
        <v>374</v>
      </c>
      <c r="J10263">
        <v>1</v>
      </c>
      <c r="K10263">
        <v>8</v>
      </c>
      <c r="L10263">
        <v>367</v>
      </c>
      <c r="M10263">
        <v>1</v>
      </c>
      <c r="N10263">
        <v>4.3020799999999998E-141</v>
      </c>
      <c r="O10263">
        <v>1282</v>
      </c>
    </row>
    <row r="10264" spans="1:15" x14ac:dyDescent="0.25">
      <c r="A10264" t="s">
        <v>10277</v>
      </c>
      <c r="B10264">
        <v>661</v>
      </c>
      <c r="C10264" s="1" t="str">
        <f>HYPERLINK("http://www.rosaceae.org/gb/gbrowse/malus_x_domestica/?name=MDP0000292513","MDP0000292513")</f>
        <v>MDP0000292513</v>
      </c>
      <c r="D10264">
        <v>76.08</v>
      </c>
      <c r="E10264">
        <v>414</v>
      </c>
      <c r="F10264">
        <v>99</v>
      </c>
      <c r="G10264">
        <v>11</v>
      </c>
      <c r="H10264">
        <v>60</v>
      </c>
      <c r="I10264">
        <v>466</v>
      </c>
      <c r="J10264">
        <v>1</v>
      </c>
      <c r="K10264">
        <v>1</v>
      </c>
      <c r="L10264">
        <v>410</v>
      </c>
      <c r="M10264">
        <v>1</v>
      </c>
      <c r="N10264">
        <v>0</v>
      </c>
      <c r="O10264">
        <v>1687</v>
      </c>
    </row>
    <row r="10265" spans="1:15" x14ac:dyDescent="0.25">
      <c r="A10265" t="s">
        <v>10278</v>
      </c>
      <c r="B10265">
        <v>376</v>
      </c>
      <c r="C10265" s="1" t="str">
        <f>HYPERLINK("http://www.rosaceae.org/gb/gbrowse/malus_x_domestica/?name=MDP0000422721","MDP0000422721")</f>
        <v>MDP0000422721</v>
      </c>
      <c r="D10265">
        <v>75.599999999999994</v>
      </c>
      <c r="E10265">
        <v>164</v>
      </c>
      <c r="F10265">
        <v>40</v>
      </c>
      <c r="G10265">
        <v>0</v>
      </c>
      <c r="H10265">
        <v>212</v>
      </c>
      <c r="I10265">
        <v>375</v>
      </c>
      <c r="J10265">
        <v>1</v>
      </c>
      <c r="K10265">
        <v>155</v>
      </c>
      <c r="L10265">
        <v>318</v>
      </c>
      <c r="M10265">
        <v>1</v>
      </c>
      <c r="N10265">
        <v>1.4713700000000001E-75</v>
      </c>
      <c r="O10265">
        <v>717</v>
      </c>
    </row>
    <row r="10266" spans="1:15" x14ac:dyDescent="0.25">
      <c r="A10266" t="s">
        <v>10279</v>
      </c>
      <c r="B10266">
        <v>284</v>
      </c>
      <c r="C10266" s="1" t="str">
        <f>HYPERLINK("http://www.rosaceae.org/gb/gbrowse/malus_x_domestica/?name=MDP0000267657","MDP0000267657")</f>
        <v>MDP0000267657</v>
      </c>
      <c r="D10266">
        <v>56.25</v>
      </c>
      <c r="E10266">
        <v>160</v>
      </c>
      <c r="F10266">
        <v>70</v>
      </c>
      <c r="G10266">
        <v>8</v>
      </c>
      <c r="H10266">
        <v>69</v>
      </c>
      <c r="I10266">
        <v>228</v>
      </c>
      <c r="J10266">
        <v>1</v>
      </c>
      <c r="K10266">
        <v>67</v>
      </c>
      <c r="L10266">
        <v>218</v>
      </c>
      <c r="M10266">
        <v>1</v>
      </c>
      <c r="N10266">
        <v>3.2425099999999999E-44</v>
      </c>
      <c r="O10266">
        <v>445</v>
      </c>
    </row>
    <row r="10267" spans="1:15" x14ac:dyDescent="0.25">
      <c r="A10267" t="s">
        <v>10280</v>
      </c>
      <c r="B10267">
        <v>171</v>
      </c>
      <c r="C10267" s="1" t="str">
        <f>HYPERLINK("http://www.rosaceae.org/gb/gbrowse/malus_x_domestica/?name=MDP0000560696","MDP0000560696")</f>
        <v>MDP0000560696</v>
      </c>
      <c r="D10267">
        <v>64.73</v>
      </c>
      <c r="E10267">
        <v>173</v>
      </c>
      <c r="F10267">
        <v>61</v>
      </c>
      <c r="G10267">
        <v>6</v>
      </c>
      <c r="H10267">
        <v>1</v>
      </c>
      <c r="I10267">
        <v>171</v>
      </c>
      <c r="J10267">
        <v>1</v>
      </c>
      <c r="K10267">
        <v>1</v>
      </c>
      <c r="L10267">
        <v>169</v>
      </c>
      <c r="M10267">
        <v>1</v>
      </c>
      <c r="N10267">
        <v>2.24743E-53</v>
      </c>
      <c r="O10267">
        <v>521</v>
      </c>
    </row>
    <row r="10268" spans="1:15" x14ac:dyDescent="0.25">
      <c r="A10268" t="s">
        <v>10281</v>
      </c>
      <c r="B10268">
        <v>850</v>
      </c>
      <c r="C10268" s="1" t="str">
        <f>HYPERLINK("http://www.rosaceae.org/gb/gbrowse/malus_x_domestica/?name=MDP0000188563","MDP0000188563")</f>
        <v>MDP0000188563</v>
      </c>
      <c r="D10268">
        <v>81.209999999999994</v>
      </c>
      <c r="E10268">
        <v>820</v>
      </c>
      <c r="F10268">
        <v>154</v>
      </c>
      <c r="G10268">
        <v>11</v>
      </c>
      <c r="H10268">
        <v>1</v>
      </c>
      <c r="I10268">
        <v>817</v>
      </c>
      <c r="J10268">
        <v>1</v>
      </c>
      <c r="K10268">
        <v>1034</v>
      </c>
      <c r="L10268">
        <v>1845</v>
      </c>
      <c r="M10268">
        <v>1</v>
      </c>
      <c r="N10268">
        <v>0</v>
      </c>
      <c r="O10268">
        <v>3681</v>
      </c>
    </row>
    <row r="10269" spans="1:15" x14ac:dyDescent="0.25">
      <c r="A10269" t="s">
        <v>10282</v>
      </c>
      <c r="B10269">
        <v>994</v>
      </c>
      <c r="C10269" s="1" t="str">
        <f>HYPERLINK("http://www.rosaceae.org/gb/gbrowse/malus_x_domestica/?name=MDP0000208202","MDP0000208202")</f>
        <v>MDP0000208202</v>
      </c>
      <c r="D10269">
        <v>60.98</v>
      </c>
      <c r="E10269">
        <v>364</v>
      </c>
      <c r="F10269">
        <v>142</v>
      </c>
      <c r="G10269">
        <v>18</v>
      </c>
      <c r="H10269">
        <v>19</v>
      </c>
      <c r="I10269">
        <v>369</v>
      </c>
      <c r="J10269">
        <v>1</v>
      </c>
      <c r="K10269">
        <v>4</v>
      </c>
      <c r="L10269">
        <v>362</v>
      </c>
      <c r="M10269">
        <v>1</v>
      </c>
      <c r="N10269">
        <v>7.6082400000000002E-125</v>
      </c>
      <c r="O10269">
        <v>1146</v>
      </c>
    </row>
    <row r="10270" spans="1:15" x14ac:dyDescent="0.25">
      <c r="A10270" t="s">
        <v>10283</v>
      </c>
      <c r="B10270">
        <v>353</v>
      </c>
      <c r="C10270" s="1" t="str">
        <f>HYPERLINK("http://www.rosaceae.org/gb/gbrowse/malus_x_domestica/?name=MDP0000147478","MDP0000147478")</f>
        <v>MDP0000147478</v>
      </c>
      <c r="D10270">
        <v>62.83</v>
      </c>
      <c r="E10270">
        <v>331</v>
      </c>
      <c r="F10270">
        <v>123</v>
      </c>
      <c r="G10270">
        <v>5</v>
      </c>
      <c r="H10270">
        <v>25</v>
      </c>
      <c r="I10270">
        <v>353</v>
      </c>
      <c r="J10270">
        <v>1</v>
      </c>
      <c r="K10270">
        <v>6</v>
      </c>
      <c r="L10270">
        <v>333</v>
      </c>
      <c r="M10270">
        <v>1</v>
      </c>
      <c r="N10270">
        <v>1.3325E-109</v>
      </c>
      <c r="O10270">
        <v>1010</v>
      </c>
    </row>
    <row r="10271" spans="1:15" x14ac:dyDescent="0.25">
      <c r="A10271" t="s">
        <v>10284</v>
      </c>
      <c r="B10271">
        <v>375</v>
      </c>
      <c r="C10271" s="1" t="str">
        <f>HYPERLINK("http://www.rosaceae.org/gb/gbrowse/malus_x_domestica/?name=MDP0000163637","MDP0000163637")</f>
        <v>MDP0000163637</v>
      </c>
      <c r="D10271">
        <v>55.02</v>
      </c>
      <c r="E10271">
        <v>358</v>
      </c>
      <c r="F10271">
        <v>161</v>
      </c>
      <c r="G10271">
        <v>16</v>
      </c>
      <c r="H10271">
        <v>23</v>
      </c>
      <c r="I10271">
        <v>375</v>
      </c>
      <c r="J10271">
        <v>1</v>
      </c>
      <c r="K10271">
        <v>26</v>
      </c>
      <c r="L10271">
        <v>372</v>
      </c>
      <c r="M10271">
        <v>1</v>
      </c>
      <c r="N10271">
        <v>1.24379E-95</v>
      </c>
      <c r="O10271">
        <v>890</v>
      </c>
    </row>
    <row r="10272" spans="1:15" x14ac:dyDescent="0.25">
      <c r="A10272" t="s">
        <v>10285</v>
      </c>
      <c r="B10272">
        <v>181</v>
      </c>
      <c r="C10272" s="1" t="str">
        <f>HYPERLINK("http://www.rosaceae.org/gb/gbrowse/malus_x_domestica/?name=MDP0000763585","MDP0000763585")</f>
        <v>MDP0000763585</v>
      </c>
      <c r="D10272">
        <v>80.209999999999994</v>
      </c>
      <c r="E10272">
        <v>182</v>
      </c>
      <c r="F10272">
        <v>36</v>
      </c>
      <c r="G10272">
        <v>1</v>
      </c>
      <c r="H10272">
        <v>1</v>
      </c>
      <c r="I10272">
        <v>181</v>
      </c>
      <c r="J10272">
        <v>1</v>
      </c>
      <c r="K10272">
        <v>286</v>
      </c>
      <c r="L10272">
        <v>467</v>
      </c>
      <c r="M10272">
        <v>1</v>
      </c>
      <c r="N10272">
        <v>3.8958399999999998E-88</v>
      </c>
      <c r="O10272">
        <v>821</v>
      </c>
    </row>
    <row r="10273" spans="1:15" x14ac:dyDescent="0.25">
      <c r="A10273" t="s">
        <v>10286</v>
      </c>
      <c r="B10273">
        <v>200</v>
      </c>
      <c r="C10273" s="1" t="str">
        <f>HYPERLINK("http://www.rosaceae.org/gb/gbrowse/malus_x_domestica/?name=MDP0000821933","MDP0000821933")</f>
        <v>MDP0000821933</v>
      </c>
      <c r="D10273">
        <v>56.66</v>
      </c>
      <c r="E10273">
        <v>210</v>
      </c>
      <c r="F10273">
        <v>91</v>
      </c>
      <c r="G10273">
        <v>38</v>
      </c>
      <c r="H10273">
        <v>12</v>
      </c>
      <c r="I10273">
        <v>188</v>
      </c>
      <c r="J10273">
        <v>1</v>
      </c>
      <c r="K10273">
        <v>132</v>
      </c>
      <c r="L10273">
        <v>336</v>
      </c>
      <c r="M10273">
        <v>1</v>
      </c>
      <c r="N10273">
        <v>6.0999400000000004E-62</v>
      </c>
      <c r="O10273">
        <v>596</v>
      </c>
    </row>
    <row r="10274" spans="1:15" x14ac:dyDescent="0.25">
      <c r="A10274" t="s">
        <v>10287</v>
      </c>
      <c r="B10274">
        <v>868</v>
      </c>
      <c r="C10274" s="1" t="str">
        <f>HYPERLINK("http://www.rosaceae.org/gb/gbrowse/malus_x_domestica/?name=MDP0000150727","MDP0000150727")</f>
        <v>MDP0000150727</v>
      </c>
      <c r="D10274">
        <v>85.54</v>
      </c>
      <c r="E10274">
        <v>823</v>
      </c>
      <c r="F10274">
        <v>119</v>
      </c>
      <c r="G10274">
        <v>4</v>
      </c>
      <c r="H10274">
        <v>50</v>
      </c>
      <c r="I10274">
        <v>868</v>
      </c>
      <c r="J10274">
        <v>1</v>
      </c>
      <c r="K10274">
        <v>1</v>
      </c>
      <c r="L10274">
        <v>823</v>
      </c>
      <c r="M10274">
        <v>1</v>
      </c>
      <c r="N10274">
        <v>0</v>
      </c>
      <c r="O10274">
        <v>3695</v>
      </c>
    </row>
    <row r="10275" spans="1:15" x14ac:dyDescent="0.25">
      <c r="A10275" t="s">
        <v>10288</v>
      </c>
      <c r="B10275">
        <v>131</v>
      </c>
      <c r="C10275" s="1" t="str">
        <f>HYPERLINK("http://www.rosaceae.org/gb/gbrowse/malus_x_domestica/?name=MDP0000372629","MDP0000372629")</f>
        <v>MDP0000372629</v>
      </c>
      <c r="D10275">
        <v>53.84</v>
      </c>
      <c r="E10275">
        <v>143</v>
      </c>
      <c r="F10275">
        <v>66</v>
      </c>
      <c r="G10275">
        <v>26</v>
      </c>
      <c r="H10275">
        <v>6</v>
      </c>
      <c r="I10275">
        <v>131</v>
      </c>
      <c r="J10275">
        <v>1</v>
      </c>
      <c r="K10275">
        <v>5</v>
      </c>
      <c r="L10275">
        <v>138</v>
      </c>
      <c r="M10275">
        <v>1</v>
      </c>
      <c r="N10275">
        <v>7.7338600000000001E-31</v>
      </c>
      <c r="O10275">
        <v>324</v>
      </c>
    </row>
    <row r="10276" spans="1:15" x14ac:dyDescent="0.25">
      <c r="A10276" t="s">
        <v>10289</v>
      </c>
      <c r="B10276">
        <v>378</v>
      </c>
      <c r="C10276" s="1" t="str">
        <f>HYPERLINK("http://www.rosaceae.org/gb/gbrowse/malus_x_domestica/?name=MDP0000774306","MDP0000774306")</f>
        <v>MDP0000774306</v>
      </c>
      <c r="D10276">
        <v>45.88</v>
      </c>
      <c r="E10276">
        <v>340</v>
      </c>
      <c r="F10276">
        <v>184</v>
      </c>
      <c r="G10276">
        <v>12</v>
      </c>
      <c r="H10276">
        <v>12</v>
      </c>
      <c r="I10276">
        <v>343</v>
      </c>
      <c r="J10276">
        <v>1</v>
      </c>
      <c r="K10276">
        <v>1</v>
      </c>
      <c r="L10276">
        <v>336</v>
      </c>
      <c r="M10276">
        <v>1</v>
      </c>
      <c r="N10276">
        <v>1.86322E-63</v>
      </c>
      <c r="O10276">
        <v>612</v>
      </c>
    </row>
    <row r="10277" spans="1:15" x14ac:dyDescent="0.25">
      <c r="A10277" t="s">
        <v>10290</v>
      </c>
      <c r="B10277">
        <v>325</v>
      </c>
      <c r="C10277" s="1" t="str">
        <f>HYPERLINK("http://www.rosaceae.org/gb/gbrowse/malus_x_domestica/?name=MDP0000156763","MDP0000156763")</f>
        <v>MDP0000156763</v>
      </c>
      <c r="D10277">
        <v>72.34</v>
      </c>
      <c r="E10277">
        <v>264</v>
      </c>
      <c r="F10277">
        <v>73</v>
      </c>
      <c r="G10277">
        <v>7</v>
      </c>
      <c r="H10277">
        <v>64</v>
      </c>
      <c r="I10277">
        <v>323</v>
      </c>
      <c r="J10277">
        <v>1</v>
      </c>
      <c r="K10277">
        <v>3</v>
      </c>
      <c r="L10277">
        <v>263</v>
      </c>
      <c r="M10277">
        <v>1</v>
      </c>
      <c r="N10277">
        <v>4.31298E-107</v>
      </c>
      <c r="O10277">
        <v>988</v>
      </c>
    </row>
    <row r="10278" spans="1:15" x14ac:dyDescent="0.25">
      <c r="A10278" t="s">
        <v>10291</v>
      </c>
      <c r="B10278">
        <v>150</v>
      </c>
      <c r="C10278" s="1" t="str">
        <f>HYPERLINK("http://www.rosaceae.org/gb/gbrowse/malus_x_domestica/?name=MDP0000286962","MDP0000286962")</f>
        <v>MDP0000286962</v>
      </c>
      <c r="D10278">
        <v>48.73</v>
      </c>
      <c r="E10278">
        <v>158</v>
      </c>
      <c r="F10278">
        <v>81</v>
      </c>
      <c r="G10278">
        <v>13</v>
      </c>
      <c r="H10278">
        <v>1</v>
      </c>
      <c r="I10278">
        <v>149</v>
      </c>
      <c r="J10278">
        <v>1</v>
      </c>
      <c r="K10278">
        <v>1</v>
      </c>
      <c r="L10278">
        <v>154</v>
      </c>
      <c r="M10278">
        <v>1</v>
      </c>
      <c r="N10278">
        <v>2.80142E-37</v>
      </c>
      <c r="O10278">
        <v>381</v>
      </c>
    </row>
    <row r="10279" spans="1:15" x14ac:dyDescent="0.25">
      <c r="A10279" t="s">
        <v>10292</v>
      </c>
      <c r="B10279">
        <v>677</v>
      </c>
      <c r="C10279" s="1" t="str">
        <f>HYPERLINK("http://www.rosaceae.org/gb/gbrowse/malus_x_domestica/?name=MDP0000600662","MDP0000600662")</f>
        <v>MDP0000600662</v>
      </c>
      <c r="D10279">
        <v>60.21</v>
      </c>
      <c r="E10279">
        <v>646</v>
      </c>
      <c r="F10279">
        <v>257</v>
      </c>
      <c r="G10279">
        <v>12</v>
      </c>
      <c r="H10279">
        <v>34</v>
      </c>
      <c r="I10279">
        <v>675</v>
      </c>
      <c r="J10279">
        <v>1</v>
      </c>
      <c r="K10279">
        <v>45</v>
      </c>
      <c r="L10279">
        <v>682</v>
      </c>
      <c r="M10279">
        <v>1</v>
      </c>
      <c r="N10279">
        <v>0</v>
      </c>
      <c r="O10279">
        <v>2005</v>
      </c>
    </row>
    <row r="10280" spans="1:15" x14ac:dyDescent="0.25">
      <c r="A10280" t="s">
        <v>10293</v>
      </c>
      <c r="B10280">
        <v>437</v>
      </c>
      <c r="C10280" s="1" t="str">
        <f>HYPERLINK("http://www.rosaceae.org/gb/gbrowse/malus_x_domestica/?name=MDP0000222512","MDP0000222512")</f>
        <v>MDP0000222512</v>
      </c>
      <c r="D10280">
        <v>51.76</v>
      </c>
      <c r="E10280">
        <v>226</v>
      </c>
      <c r="F10280">
        <v>109</v>
      </c>
      <c r="G10280">
        <v>68</v>
      </c>
      <c r="H10280">
        <v>1</v>
      </c>
      <c r="I10280">
        <v>159</v>
      </c>
      <c r="J10280">
        <v>1</v>
      </c>
      <c r="K10280">
        <v>94</v>
      </c>
      <c r="L10280">
        <v>318</v>
      </c>
      <c r="M10280">
        <v>1</v>
      </c>
      <c r="N10280">
        <v>1.41379E-55</v>
      </c>
      <c r="O10280">
        <v>545</v>
      </c>
    </row>
    <row r="10281" spans="1:15" x14ac:dyDescent="0.25">
      <c r="A10281" t="s">
        <v>10294</v>
      </c>
      <c r="B10281">
        <v>298</v>
      </c>
      <c r="C10281" s="1" t="str">
        <f>HYPERLINK("http://www.rosaceae.org/gb/gbrowse/malus_x_domestica/?name=MDP0000189832","MDP0000189832")</f>
        <v>MDP0000189832</v>
      </c>
      <c r="D10281">
        <v>57.14</v>
      </c>
      <c r="E10281">
        <v>126</v>
      </c>
      <c r="F10281">
        <v>54</v>
      </c>
      <c r="G10281">
        <v>35</v>
      </c>
      <c r="H10281">
        <v>196</v>
      </c>
      <c r="I10281">
        <v>286</v>
      </c>
      <c r="J10281">
        <v>1</v>
      </c>
      <c r="K10281">
        <v>75</v>
      </c>
      <c r="L10281">
        <v>200</v>
      </c>
      <c r="M10281">
        <v>1</v>
      </c>
      <c r="N10281">
        <v>4.6153200000000002E-30</v>
      </c>
      <c r="O10281">
        <v>323</v>
      </c>
    </row>
    <row r="10282" spans="1:15" x14ac:dyDescent="0.25">
      <c r="A10282" t="s">
        <v>10295</v>
      </c>
      <c r="B10282">
        <v>485</v>
      </c>
      <c r="C10282" s="1" t="str">
        <f>HYPERLINK("http://www.rosaceae.org/gb/gbrowse/malus_x_domestica/?name=MDP0000390049","MDP0000390049")</f>
        <v>MDP0000390049</v>
      </c>
      <c r="D10282">
        <v>65.209999999999994</v>
      </c>
      <c r="E10282">
        <v>460</v>
      </c>
      <c r="F10282">
        <v>160</v>
      </c>
      <c r="G10282">
        <v>16</v>
      </c>
      <c r="H10282">
        <v>1</v>
      </c>
      <c r="I10282">
        <v>460</v>
      </c>
      <c r="J10282">
        <v>1</v>
      </c>
      <c r="K10282">
        <v>1</v>
      </c>
      <c r="L10282">
        <v>444</v>
      </c>
      <c r="M10282">
        <v>1</v>
      </c>
      <c r="N10282">
        <v>7.6480200000000001E-174</v>
      </c>
      <c r="O10282">
        <v>1566</v>
      </c>
    </row>
    <row r="10283" spans="1:15" x14ac:dyDescent="0.25">
      <c r="A10283" t="s">
        <v>10296</v>
      </c>
      <c r="B10283">
        <v>151</v>
      </c>
      <c r="C10283" s="1" t="str">
        <f>HYPERLINK("http://www.rosaceae.org/gb/gbrowse/malus_x_domestica/?name=MDP0000207132","MDP0000207132")</f>
        <v>MDP0000207132</v>
      </c>
      <c r="D10283">
        <v>44.77</v>
      </c>
      <c r="E10283">
        <v>134</v>
      </c>
      <c r="F10283">
        <v>74</v>
      </c>
      <c r="G10283">
        <v>0</v>
      </c>
      <c r="H10283">
        <v>1</v>
      </c>
      <c r="I10283">
        <v>134</v>
      </c>
      <c r="J10283">
        <v>1</v>
      </c>
      <c r="K10283">
        <v>80</v>
      </c>
      <c r="L10283">
        <v>213</v>
      </c>
      <c r="M10283">
        <v>1</v>
      </c>
      <c r="N10283">
        <v>2.4602099999999998E-28</v>
      </c>
      <c r="O10283">
        <v>304</v>
      </c>
    </row>
    <row r="10284" spans="1:15" x14ac:dyDescent="0.25">
      <c r="A10284" t="s">
        <v>10297</v>
      </c>
      <c r="B10284">
        <v>367</v>
      </c>
      <c r="C10284" s="1" t="str">
        <f>HYPERLINK("http://www.rosaceae.org/gb/gbrowse/malus_x_domestica/?name=MDP0000291231","MDP0000291231")</f>
        <v>MDP0000291231</v>
      </c>
      <c r="D10284">
        <v>71.38</v>
      </c>
      <c r="E10284">
        <v>367</v>
      </c>
      <c r="F10284">
        <v>105</v>
      </c>
      <c r="G10284">
        <v>7</v>
      </c>
      <c r="H10284">
        <v>1</v>
      </c>
      <c r="I10284">
        <v>367</v>
      </c>
      <c r="J10284">
        <v>1</v>
      </c>
      <c r="K10284">
        <v>1</v>
      </c>
      <c r="L10284">
        <v>360</v>
      </c>
      <c r="M10284">
        <v>1</v>
      </c>
      <c r="N10284">
        <v>1.7261100000000001E-156</v>
      </c>
      <c r="O10284">
        <v>1415</v>
      </c>
    </row>
    <row r="10285" spans="1:15" x14ac:dyDescent="0.25">
      <c r="A10285" t="s">
        <v>10298</v>
      </c>
      <c r="B10285">
        <v>238</v>
      </c>
      <c r="C10285" s="1" t="str">
        <f>HYPERLINK("http://www.rosaceae.org/gb/gbrowse/malus_x_domestica/?name=MDP0000848210","MDP0000848210")</f>
        <v>MDP0000848210</v>
      </c>
      <c r="D10285">
        <v>91.17</v>
      </c>
      <c r="E10285">
        <v>102</v>
      </c>
      <c r="F10285">
        <v>9</v>
      </c>
      <c r="G10285">
        <v>0</v>
      </c>
      <c r="H10285">
        <v>20</v>
      </c>
      <c r="I10285">
        <v>121</v>
      </c>
      <c r="J10285">
        <v>1</v>
      </c>
      <c r="K10285">
        <v>18</v>
      </c>
      <c r="L10285">
        <v>119</v>
      </c>
      <c r="M10285">
        <v>1</v>
      </c>
      <c r="N10285">
        <v>4.9404900000000003E-51</v>
      </c>
      <c r="O10285">
        <v>503</v>
      </c>
    </row>
    <row r="10286" spans="1:15" x14ac:dyDescent="0.25">
      <c r="A10286" t="s">
        <v>10299</v>
      </c>
      <c r="B10286">
        <v>194</v>
      </c>
      <c r="C10286" s="1" t="str">
        <f>HYPERLINK("http://www.rosaceae.org/gb/gbrowse/malus_x_domestica/?name=MDP0000795631","MDP0000795631")</f>
        <v>MDP0000795631</v>
      </c>
      <c r="D10286">
        <v>62.9</v>
      </c>
      <c r="E10286">
        <v>186</v>
      </c>
      <c r="F10286">
        <v>69</v>
      </c>
      <c r="G10286">
        <v>5</v>
      </c>
      <c r="H10286">
        <v>13</v>
      </c>
      <c r="I10286">
        <v>193</v>
      </c>
      <c r="J10286">
        <v>1</v>
      </c>
      <c r="K10286">
        <v>12</v>
      </c>
      <c r="L10286">
        <v>197</v>
      </c>
      <c r="M10286">
        <v>1</v>
      </c>
      <c r="N10286">
        <v>1.38113E-55</v>
      </c>
      <c r="O10286">
        <v>541</v>
      </c>
    </row>
    <row r="10287" spans="1:15" x14ac:dyDescent="0.25">
      <c r="A10287" t="s">
        <v>10300</v>
      </c>
      <c r="B10287">
        <v>239</v>
      </c>
      <c r="C10287" s="1" t="str">
        <f>HYPERLINK("http://www.rosaceae.org/gb/gbrowse/malus_x_domestica/?name=MDP0000694363","MDP0000694363")</f>
        <v>MDP0000694363</v>
      </c>
      <c r="D10287">
        <v>54.11</v>
      </c>
      <c r="E10287">
        <v>231</v>
      </c>
      <c r="F10287">
        <v>106</v>
      </c>
      <c r="G10287">
        <v>8</v>
      </c>
      <c r="H10287">
        <v>1</v>
      </c>
      <c r="I10287">
        <v>228</v>
      </c>
      <c r="J10287">
        <v>1</v>
      </c>
      <c r="K10287">
        <v>1</v>
      </c>
      <c r="L10287">
        <v>226</v>
      </c>
      <c r="M10287">
        <v>1</v>
      </c>
      <c r="N10287">
        <v>1.29529E-60</v>
      </c>
      <c r="O10287">
        <v>585</v>
      </c>
    </row>
    <row r="10288" spans="1:15" x14ac:dyDescent="0.25">
      <c r="A10288" t="s">
        <v>10301</v>
      </c>
      <c r="B10288">
        <v>886</v>
      </c>
      <c r="C10288" s="1" t="str">
        <f>HYPERLINK("http://www.rosaceae.org/gb/gbrowse/malus_x_domestica/?name=MDP0000216466","MDP0000216466")</f>
        <v>MDP0000216466</v>
      </c>
      <c r="D10288">
        <v>64.92</v>
      </c>
      <c r="E10288">
        <v>633</v>
      </c>
      <c r="F10288">
        <v>222</v>
      </c>
      <c r="G10288">
        <v>12</v>
      </c>
      <c r="H10288">
        <v>9</v>
      </c>
      <c r="I10288">
        <v>632</v>
      </c>
      <c r="J10288">
        <v>1</v>
      </c>
      <c r="K10288">
        <v>5</v>
      </c>
      <c r="L10288">
        <v>634</v>
      </c>
      <c r="M10288">
        <v>1</v>
      </c>
      <c r="N10288">
        <v>0</v>
      </c>
      <c r="O10288">
        <v>2246</v>
      </c>
    </row>
    <row r="10289" spans="1:15" x14ac:dyDescent="0.25">
      <c r="A10289" t="s">
        <v>10302</v>
      </c>
      <c r="B10289">
        <v>437</v>
      </c>
      <c r="C10289" s="1" t="str">
        <f>HYPERLINK("http://www.rosaceae.org/gb/gbrowse/malus_x_domestica/?name=MDP0000144105","MDP0000144105")</f>
        <v>MDP0000144105</v>
      </c>
      <c r="D10289">
        <v>64.709999999999994</v>
      </c>
      <c r="E10289">
        <v>445</v>
      </c>
      <c r="F10289">
        <v>157</v>
      </c>
      <c r="G10289">
        <v>29</v>
      </c>
      <c r="H10289">
        <v>3</v>
      </c>
      <c r="I10289">
        <v>432</v>
      </c>
      <c r="J10289">
        <v>1</v>
      </c>
      <c r="K10289">
        <v>2</v>
      </c>
      <c r="L10289">
        <v>432</v>
      </c>
      <c r="M10289">
        <v>1</v>
      </c>
      <c r="N10289">
        <v>1.2584099999999999E-140</v>
      </c>
      <c r="O10289">
        <v>1279</v>
      </c>
    </row>
    <row r="10290" spans="1:15" x14ac:dyDescent="0.25">
      <c r="A10290" t="s">
        <v>10303</v>
      </c>
      <c r="B10290">
        <v>278</v>
      </c>
      <c r="C10290" s="1" t="str">
        <f>HYPERLINK("http://www.rosaceae.org/gb/gbrowse/malus_x_domestica/?name=MDP0000622488","MDP0000622488")</f>
        <v>MDP0000622488</v>
      </c>
      <c r="D10290">
        <v>93.77</v>
      </c>
      <c r="E10290">
        <v>257</v>
      </c>
      <c r="F10290">
        <v>16</v>
      </c>
      <c r="G10290">
        <v>0</v>
      </c>
      <c r="H10290">
        <v>22</v>
      </c>
      <c r="I10290">
        <v>278</v>
      </c>
      <c r="J10290">
        <v>1</v>
      </c>
      <c r="K10290">
        <v>24</v>
      </c>
      <c r="L10290">
        <v>280</v>
      </c>
      <c r="M10290">
        <v>1</v>
      </c>
      <c r="N10290">
        <v>3.5132700000000001E-141</v>
      </c>
      <c r="O10290">
        <v>1281</v>
      </c>
    </row>
    <row r="10291" spans="1:15" x14ac:dyDescent="0.25">
      <c r="A10291" t="s">
        <v>10304</v>
      </c>
      <c r="B10291">
        <v>732</v>
      </c>
      <c r="C10291" s="1" t="str">
        <f>HYPERLINK("http://www.rosaceae.org/gb/gbrowse/malus_x_domestica/?name=MDP0000238674","MDP0000238674")</f>
        <v>MDP0000238674</v>
      </c>
      <c r="D10291">
        <v>64.010000000000005</v>
      </c>
      <c r="E10291">
        <v>742</v>
      </c>
      <c r="F10291">
        <v>267</v>
      </c>
      <c r="G10291">
        <v>86</v>
      </c>
      <c r="H10291">
        <v>1</v>
      </c>
      <c r="I10291">
        <v>723</v>
      </c>
      <c r="J10291">
        <v>1</v>
      </c>
      <c r="K10291">
        <v>1</v>
      </c>
      <c r="L10291">
        <v>675</v>
      </c>
      <c r="M10291">
        <v>1</v>
      </c>
      <c r="N10291">
        <v>0</v>
      </c>
      <c r="O10291">
        <v>2123</v>
      </c>
    </row>
    <row r="10292" spans="1:15" x14ac:dyDescent="0.25">
      <c r="A10292" t="s">
        <v>10305</v>
      </c>
      <c r="B10292">
        <v>608</v>
      </c>
      <c r="C10292" s="1" t="str">
        <f>HYPERLINK("http://www.rosaceae.org/gb/gbrowse/malus_x_domestica/?name=MDP0000500210","MDP0000500210")</f>
        <v>MDP0000500210</v>
      </c>
      <c r="D10292">
        <v>79.22</v>
      </c>
      <c r="E10292">
        <v>568</v>
      </c>
      <c r="F10292">
        <v>118</v>
      </c>
      <c r="G10292">
        <v>13</v>
      </c>
      <c r="H10292">
        <v>11</v>
      </c>
      <c r="I10292">
        <v>566</v>
      </c>
      <c r="J10292">
        <v>1</v>
      </c>
      <c r="K10292">
        <v>17</v>
      </c>
      <c r="L10292">
        <v>583</v>
      </c>
      <c r="M10292">
        <v>1</v>
      </c>
      <c r="N10292">
        <v>0</v>
      </c>
      <c r="O10292">
        <v>2329</v>
      </c>
    </row>
    <row r="10293" spans="1:15" x14ac:dyDescent="0.25">
      <c r="A10293" t="s">
        <v>10306</v>
      </c>
      <c r="B10293">
        <v>814</v>
      </c>
      <c r="C10293" s="1" t="str">
        <f>HYPERLINK("http://www.rosaceae.org/gb/gbrowse/malus_x_domestica/?name=MDP0000503228","MDP0000503228")</f>
        <v>MDP0000503228</v>
      </c>
      <c r="D10293">
        <v>87.64</v>
      </c>
      <c r="E10293">
        <v>793</v>
      </c>
      <c r="F10293">
        <v>98</v>
      </c>
      <c r="G10293">
        <v>17</v>
      </c>
      <c r="H10293">
        <v>17</v>
      </c>
      <c r="I10293">
        <v>792</v>
      </c>
      <c r="J10293">
        <v>1</v>
      </c>
      <c r="K10293">
        <v>103</v>
      </c>
      <c r="L10293">
        <v>895</v>
      </c>
      <c r="M10293">
        <v>1</v>
      </c>
      <c r="N10293">
        <v>0</v>
      </c>
      <c r="O10293">
        <v>3711</v>
      </c>
    </row>
    <row r="10294" spans="1:15" x14ac:dyDescent="0.25">
      <c r="A10294" t="s">
        <v>10307</v>
      </c>
      <c r="B10294">
        <v>132</v>
      </c>
      <c r="C10294" s="1" t="str">
        <f>HYPERLINK("http://www.rosaceae.org/gb/gbrowse/malus_x_domestica/?name=MDP0000377183","MDP0000377183")</f>
        <v>MDP0000377183</v>
      </c>
      <c r="D10294">
        <v>74.319999999999993</v>
      </c>
      <c r="E10294">
        <v>74</v>
      </c>
      <c r="F10294">
        <v>19</v>
      </c>
      <c r="G10294">
        <v>0</v>
      </c>
      <c r="H10294">
        <v>59</v>
      </c>
      <c r="I10294">
        <v>132</v>
      </c>
      <c r="J10294">
        <v>1</v>
      </c>
      <c r="K10294">
        <v>22</v>
      </c>
      <c r="L10294">
        <v>95</v>
      </c>
      <c r="M10294">
        <v>1</v>
      </c>
      <c r="N10294">
        <v>2.7994000000000002E-26</v>
      </c>
      <c r="O10294">
        <v>285</v>
      </c>
    </row>
    <row r="10295" spans="1:15" x14ac:dyDescent="0.25">
      <c r="A10295" t="s">
        <v>10308</v>
      </c>
      <c r="B10295">
        <v>279</v>
      </c>
      <c r="C10295" s="1" t="str">
        <f>HYPERLINK("http://www.rosaceae.org/gb/gbrowse/malus_x_domestica/?name=MDP0000400129","MDP0000400129")</f>
        <v>MDP0000400129</v>
      </c>
      <c r="D10295">
        <v>59.35</v>
      </c>
      <c r="E10295">
        <v>187</v>
      </c>
      <c r="F10295">
        <v>76</v>
      </c>
      <c r="G10295">
        <v>17</v>
      </c>
      <c r="H10295">
        <v>72</v>
      </c>
      <c r="I10295">
        <v>257</v>
      </c>
      <c r="J10295">
        <v>1</v>
      </c>
      <c r="K10295">
        <v>70</v>
      </c>
      <c r="L10295">
        <v>240</v>
      </c>
      <c r="M10295">
        <v>1</v>
      </c>
      <c r="N10295">
        <v>7.2509E-50</v>
      </c>
      <c r="O10295">
        <v>494</v>
      </c>
    </row>
    <row r="10296" spans="1:15" x14ac:dyDescent="0.25">
      <c r="A10296" t="s">
        <v>10309</v>
      </c>
      <c r="B10296">
        <v>254</v>
      </c>
      <c r="C10296" s="1" t="str">
        <f>HYPERLINK("http://www.rosaceae.org/gb/gbrowse/malus_x_domestica/?name=MDP0000270113","MDP0000270113")</f>
        <v>MDP0000270113</v>
      </c>
      <c r="D10296">
        <v>65</v>
      </c>
      <c r="E10296">
        <v>220</v>
      </c>
      <c r="F10296">
        <v>77</v>
      </c>
      <c r="G10296">
        <v>26</v>
      </c>
      <c r="H10296">
        <v>2</v>
      </c>
      <c r="I10296">
        <v>218</v>
      </c>
      <c r="J10296">
        <v>1</v>
      </c>
      <c r="K10296">
        <v>916</v>
      </c>
      <c r="L10296">
        <v>1112</v>
      </c>
      <c r="M10296">
        <v>1</v>
      </c>
      <c r="N10296">
        <v>1.2276699999999999E-74</v>
      </c>
      <c r="O10296">
        <v>707</v>
      </c>
    </row>
    <row r="10297" spans="1:15" x14ac:dyDescent="0.25">
      <c r="A10297" t="s">
        <v>10310</v>
      </c>
      <c r="B10297">
        <v>613</v>
      </c>
      <c r="C10297" s="1" t="str">
        <f>HYPERLINK("http://www.rosaceae.org/gb/gbrowse/malus_x_domestica/?name=MDP0000128857","MDP0000128857")</f>
        <v>MDP0000128857</v>
      </c>
      <c r="D10297">
        <v>26.74</v>
      </c>
      <c r="E10297">
        <v>243</v>
      </c>
      <c r="F10297">
        <v>178</v>
      </c>
      <c r="G10297">
        <v>22</v>
      </c>
      <c r="H10297">
        <v>3</v>
      </c>
      <c r="I10297">
        <v>232</v>
      </c>
      <c r="J10297">
        <v>1</v>
      </c>
      <c r="K10297">
        <v>507</v>
      </c>
      <c r="L10297">
        <v>740</v>
      </c>
      <c r="M10297">
        <v>1</v>
      </c>
      <c r="N10297">
        <v>1.57861E-21</v>
      </c>
      <c r="O10297">
        <v>253</v>
      </c>
    </row>
    <row r="10298" spans="1:15" x14ac:dyDescent="0.25">
      <c r="A10298" t="s">
        <v>10311</v>
      </c>
      <c r="B10298">
        <v>660</v>
      </c>
      <c r="C10298" s="1" t="str">
        <f>HYPERLINK("http://www.rosaceae.org/gb/gbrowse/malus_x_domestica/?name=MDP0000260301","MDP0000260301")</f>
        <v>MDP0000260301</v>
      </c>
      <c r="D10298">
        <v>66.86</v>
      </c>
      <c r="E10298">
        <v>498</v>
      </c>
      <c r="F10298">
        <v>165</v>
      </c>
      <c r="G10298">
        <v>3</v>
      </c>
      <c r="H10298">
        <v>165</v>
      </c>
      <c r="I10298">
        <v>659</v>
      </c>
      <c r="J10298">
        <v>1</v>
      </c>
      <c r="K10298">
        <v>5</v>
      </c>
      <c r="L10298">
        <v>502</v>
      </c>
      <c r="M10298">
        <v>1</v>
      </c>
      <c r="N10298">
        <v>0</v>
      </c>
      <c r="O10298">
        <v>1829</v>
      </c>
    </row>
    <row r="10299" spans="1:15" x14ac:dyDescent="0.25">
      <c r="A10299" t="s">
        <v>10312</v>
      </c>
      <c r="B10299">
        <v>241</v>
      </c>
      <c r="C10299" s="1" t="str">
        <f>HYPERLINK("http://www.rosaceae.org/gb/gbrowse/malus_x_domestica/?name=MDP0000140259","MDP0000140259")</f>
        <v>MDP0000140259</v>
      </c>
      <c r="D10299">
        <v>70.58</v>
      </c>
      <c r="E10299">
        <v>119</v>
      </c>
      <c r="F10299">
        <v>35</v>
      </c>
      <c r="G10299">
        <v>0</v>
      </c>
      <c r="H10299">
        <v>101</v>
      </c>
      <c r="I10299">
        <v>219</v>
      </c>
      <c r="J10299">
        <v>1</v>
      </c>
      <c r="K10299">
        <v>270</v>
      </c>
      <c r="L10299">
        <v>388</v>
      </c>
      <c r="M10299">
        <v>1</v>
      </c>
      <c r="N10299">
        <v>2.7157900000000001E-51</v>
      </c>
      <c r="O10299">
        <v>505</v>
      </c>
    </row>
    <row r="10300" spans="1:15" x14ac:dyDescent="0.25">
      <c r="A10300" t="s">
        <v>10313</v>
      </c>
      <c r="B10300">
        <v>123</v>
      </c>
      <c r="C10300" s="1" t="str">
        <f>HYPERLINK("http://www.rosaceae.org/gb/gbrowse/malus_x_domestica/?name=MDP0000169611","MDP0000169611")</f>
        <v>MDP0000169611</v>
      </c>
      <c r="D10300">
        <v>61.81</v>
      </c>
      <c r="E10300">
        <v>110</v>
      </c>
      <c r="F10300">
        <v>42</v>
      </c>
      <c r="G10300">
        <v>0</v>
      </c>
      <c r="H10300">
        <v>1</v>
      </c>
      <c r="I10300">
        <v>110</v>
      </c>
      <c r="J10300">
        <v>1</v>
      </c>
      <c r="K10300">
        <v>55</v>
      </c>
      <c r="L10300">
        <v>164</v>
      </c>
      <c r="M10300">
        <v>1</v>
      </c>
      <c r="N10300">
        <v>8.8869700000000006E-36</v>
      </c>
      <c r="O10300">
        <v>366</v>
      </c>
    </row>
    <row r="10301" spans="1:15" x14ac:dyDescent="0.25">
      <c r="A10301" t="s">
        <v>10314</v>
      </c>
      <c r="B10301">
        <v>371</v>
      </c>
      <c r="C10301" s="1" t="str">
        <f>HYPERLINK("http://www.rosaceae.org/gb/gbrowse/malus_x_domestica/?name=MDP0000155396","MDP0000155396")</f>
        <v>MDP0000155396</v>
      </c>
      <c r="D10301">
        <v>59.69</v>
      </c>
      <c r="E10301">
        <v>263</v>
      </c>
      <c r="F10301">
        <v>106</v>
      </c>
      <c r="G10301">
        <v>3</v>
      </c>
      <c r="H10301">
        <v>42</v>
      </c>
      <c r="I10301">
        <v>301</v>
      </c>
      <c r="J10301">
        <v>1</v>
      </c>
      <c r="K10301">
        <v>37</v>
      </c>
      <c r="L10301">
        <v>299</v>
      </c>
      <c r="M10301">
        <v>1</v>
      </c>
      <c r="N10301">
        <v>5.1351500000000003E-74</v>
      </c>
      <c r="O10301">
        <v>703</v>
      </c>
    </row>
    <row r="10302" spans="1:15" x14ac:dyDescent="0.25">
      <c r="A10302" t="s">
        <v>10315</v>
      </c>
      <c r="B10302">
        <v>470</v>
      </c>
      <c r="C10302" s="1" t="str">
        <f>HYPERLINK("http://www.rosaceae.org/gb/gbrowse/malus_x_domestica/?name=MDP0000261721","MDP0000261721")</f>
        <v>MDP0000261721</v>
      </c>
      <c r="D10302">
        <v>70.13</v>
      </c>
      <c r="E10302">
        <v>509</v>
      </c>
      <c r="F10302">
        <v>152</v>
      </c>
      <c r="G10302">
        <v>79</v>
      </c>
      <c r="H10302">
        <v>1</v>
      </c>
      <c r="I10302">
        <v>462</v>
      </c>
      <c r="J10302">
        <v>1</v>
      </c>
      <c r="K10302">
        <v>525</v>
      </c>
      <c r="L10302">
        <v>1001</v>
      </c>
      <c r="M10302">
        <v>1</v>
      </c>
      <c r="N10302">
        <v>0</v>
      </c>
      <c r="O10302">
        <v>1832</v>
      </c>
    </row>
    <row r="10303" spans="1:15" x14ac:dyDescent="0.25">
      <c r="A10303" t="s">
        <v>10316</v>
      </c>
      <c r="B10303">
        <v>601</v>
      </c>
      <c r="C10303" s="1" t="str">
        <f>HYPERLINK("http://www.rosaceae.org/gb/gbrowse/malus_x_domestica/?name=MDP0000330474","MDP0000330474")</f>
        <v>MDP0000330474</v>
      </c>
      <c r="D10303">
        <v>85.34</v>
      </c>
      <c r="E10303">
        <v>307</v>
      </c>
      <c r="F10303">
        <v>45</v>
      </c>
      <c r="G10303">
        <v>0</v>
      </c>
      <c r="H10303">
        <v>1</v>
      </c>
      <c r="I10303">
        <v>307</v>
      </c>
      <c r="J10303">
        <v>1</v>
      </c>
      <c r="K10303">
        <v>1</v>
      </c>
      <c r="L10303">
        <v>307</v>
      </c>
      <c r="M10303">
        <v>1</v>
      </c>
      <c r="N10303">
        <v>1.8724099999999998E-155</v>
      </c>
      <c r="O10303">
        <v>1408</v>
      </c>
    </row>
    <row r="10304" spans="1:15" x14ac:dyDescent="0.25">
      <c r="A10304" t="s">
        <v>10317</v>
      </c>
      <c r="B10304">
        <v>237</v>
      </c>
      <c r="C10304" s="1" t="str">
        <f>HYPERLINK("http://www.rosaceae.org/gb/gbrowse/malus_x_domestica/?name=MDP0000234955","MDP0000234955")</f>
        <v>MDP0000234955</v>
      </c>
      <c r="D10304">
        <v>51.46</v>
      </c>
      <c r="E10304">
        <v>171</v>
      </c>
      <c r="F10304">
        <v>83</v>
      </c>
      <c r="G10304">
        <v>21</v>
      </c>
      <c r="H10304">
        <v>1</v>
      </c>
      <c r="I10304">
        <v>162</v>
      </c>
      <c r="J10304">
        <v>1</v>
      </c>
      <c r="K10304">
        <v>1</v>
      </c>
      <c r="L10304">
        <v>159</v>
      </c>
      <c r="M10304">
        <v>1</v>
      </c>
      <c r="N10304">
        <v>2.01905E-33</v>
      </c>
      <c r="O10304">
        <v>351</v>
      </c>
    </row>
    <row r="10305" spans="1:15" x14ac:dyDescent="0.25">
      <c r="A10305" t="s">
        <v>10318</v>
      </c>
      <c r="B10305">
        <v>446</v>
      </c>
      <c r="C10305" s="1" t="str">
        <f>HYPERLINK("http://www.rosaceae.org/gb/gbrowse/malus_x_domestica/?name=MDP0000330374","MDP0000330374")</f>
        <v>MDP0000330374</v>
      </c>
      <c r="D10305">
        <v>76.06</v>
      </c>
      <c r="E10305">
        <v>447</v>
      </c>
      <c r="F10305">
        <v>107</v>
      </c>
      <c r="G10305">
        <v>3</v>
      </c>
      <c r="H10305">
        <v>1</v>
      </c>
      <c r="I10305">
        <v>446</v>
      </c>
      <c r="J10305">
        <v>1</v>
      </c>
      <c r="K10305">
        <v>1</v>
      </c>
      <c r="L10305">
        <v>445</v>
      </c>
      <c r="M10305">
        <v>1</v>
      </c>
      <c r="N10305">
        <v>0</v>
      </c>
      <c r="O10305">
        <v>1774</v>
      </c>
    </row>
    <row r="10306" spans="1:15" x14ac:dyDescent="0.25">
      <c r="A10306" t="s">
        <v>10319</v>
      </c>
      <c r="B10306">
        <v>146</v>
      </c>
      <c r="C10306" s="1" t="str">
        <f>HYPERLINK("http://www.rosaceae.org/gb/gbrowse/malus_x_domestica/?name=MDP0000613377","MDP0000613377")</f>
        <v>MDP0000613377</v>
      </c>
      <c r="D10306">
        <v>44.59</v>
      </c>
      <c r="E10306">
        <v>74</v>
      </c>
      <c r="F10306">
        <v>41</v>
      </c>
      <c r="G10306">
        <v>11</v>
      </c>
      <c r="H10306">
        <v>4</v>
      </c>
      <c r="I10306">
        <v>68</v>
      </c>
      <c r="J10306">
        <v>1</v>
      </c>
      <c r="K10306">
        <v>6</v>
      </c>
      <c r="L10306">
        <v>77</v>
      </c>
      <c r="M10306">
        <v>1</v>
      </c>
      <c r="N10306">
        <v>1.15738E-10</v>
      </c>
      <c r="O10306">
        <v>151</v>
      </c>
    </row>
    <row r="10307" spans="1:15" x14ac:dyDescent="0.25">
      <c r="A10307" t="s">
        <v>10320</v>
      </c>
      <c r="B10307">
        <v>264</v>
      </c>
      <c r="C10307" s="1" t="str">
        <f>HYPERLINK("http://www.rosaceae.org/gb/gbrowse/malus_x_domestica/?name=MDP0000427068","MDP0000427068")</f>
        <v>MDP0000427068</v>
      </c>
      <c r="D10307">
        <v>36.15</v>
      </c>
      <c r="E10307">
        <v>213</v>
      </c>
      <c r="F10307">
        <v>136</v>
      </c>
      <c r="G10307">
        <v>25</v>
      </c>
      <c r="H10307">
        <v>67</v>
      </c>
      <c r="I10307">
        <v>262</v>
      </c>
      <c r="J10307">
        <v>1</v>
      </c>
      <c r="K10307">
        <v>237</v>
      </c>
      <c r="L10307">
        <v>441</v>
      </c>
      <c r="M10307">
        <v>1</v>
      </c>
      <c r="N10307">
        <v>7.8963900000000001E-26</v>
      </c>
      <c r="O10307">
        <v>286</v>
      </c>
    </row>
    <row r="10308" spans="1:15" x14ac:dyDescent="0.25">
      <c r="A10308" t="s">
        <v>10321</v>
      </c>
      <c r="B10308">
        <v>198</v>
      </c>
      <c r="C10308" s="1" t="str">
        <f>HYPERLINK("http://www.rosaceae.org/gb/gbrowse/malus_x_domestica/?name=MDP0000397961","MDP0000397961")</f>
        <v>MDP0000397961</v>
      </c>
      <c r="D10308">
        <v>42.05</v>
      </c>
      <c r="E10308">
        <v>107</v>
      </c>
      <c r="F10308">
        <v>62</v>
      </c>
      <c r="G10308">
        <v>13</v>
      </c>
      <c r="H10308">
        <v>65</v>
      </c>
      <c r="I10308">
        <v>159</v>
      </c>
      <c r="J10308">
        <v>1</v>
      </c>
      <c r="K10308">
        <v>48</v>
      </c>
      <c r="L10308">
        <v>153</v>
      </c>
      <c r="M10308">
        <v>1</v>
      </c>
      <c r="N10308">
        <v>1.36306E-11</v>
      </c>
      <c r="O10308">
        <v>161</v>
      </c>
    </row>
    <row r="10309" spans="1:15" x14ac:dyDescent="0.25">
      <c r="A10309" t="s">
        <v>10322</v>
      </c>
      <c r="B10309">
        <v>1126</v>
      </c>
      <c r="C10309" s="1" t="str">
        <f>HYPERLINK("http://www.rosaceae.org/gb/gbrowse/malus_x_domestica/?name=MDP0000290117","MDP0000290117")</f>
        <v>MDP0000290117</v>
      </c>
      <c r="D10309">
        <v>81.48</v>
      </c>
      <c r="E10309">
        <v>524</v>
      </c>
      <c r="F10309">
        <v>97</v>
      </c>
      <c r="G10309">
        <v>22</v>
      </c>
      <c r="H10309">
        <v>173</v>
      </c>
      <c r="I10309">
        <v>693</v>
      </c>
      <c r="J10309">
        <v>1</v>
      </c>
      <c r="K10309">
        <v>1</v>
      </c>
      <c r="L10309">
        <v>505</v>
      </c>
      <c r="M10309">
        <v>1</v>
      </c>
      <c r="N10309">
        <v>0</v>
      </c>
      <c r="O10309">
        <v>2246</v>
      </c>
    </row>
    <row r="10310" spans="1:15" x14ac:dyDescent="0.25">
      <c r="A10310" t="s">
        <v>10323</v>
      </c>
      <c r="B10310">
        <v>535</v>
      </c>
      <c r="C10310" s="1" t="str">
        <f>HYPERLINK("http://www.rosaceae.org/gb/gbrowse/malus_x_domestica/?name=MDP0000260121","MDP0000260121")</f>
        <v>MDP0000260121</v>
      </c>
      <c r="D10310">
        <v>70.39</v>
      </c>
      <c r="E10310">
        <v>510</v>
      </c>
      <c r="F10310">
        <v>151</v>
      </c>
      <c r="G10310">
        <v>21</v>
      </c>
      <c r="H10310">
        <v>31</v>
      </c>
      <c r="I10310">
        <v>534</v>
      </c>
      <c r="J10310">
        <v>1</v>
      </c>
      <c r="K10310">
        <v>744</v>
      </c>
      <c r="L10310">
        <v>1238</v>
      </c>
      <c r="M10310">
        <v>1</v>
      </c>
      <c r="N10310">
        <v>0</v>
      </c>
      <c r="O10310">
        <v>1878</v>
      </c>
    </row>
    <row r="10311" spans="1:15" x14ac:dyDescent="0.25">
      <c r="A10311" t="s">
        <v>10324</v>
      </c>
      <c r="B10311">
        <v>324</v>
      </c>
      <c r="C10311" s="1" t="str">
        <f>HYPERLINK("http://www.rosaceae.org/gb/gbrowse/malus_x_domestica/?name=MDP0000845124","MDP0000845124")</f>
        <v>MDP0000845124</v>
      </c>
      <c r="D10311">
        <v>61.49</v>
      </c>
      <c r="E10311">
        <v>348</v>
      </c>
      <c r="F10311">
        <v>134</v>
      </c>
      <c r="G10311">
        <v>25</v>
      </c>
      <c r="H10311">
        <v>1</v>
      </c>
      <c r="I10311">
        <v>324</v>
      </c>
      <c r="J10311">
        <v>1</v>
      </c>
      <c r="K10311">
        <v>1</v>
      </c>
      <c r="L10311">
        <v>347</v>
      </c>
      <c r="M10311">
        <v>1</v>
      </c>
      <c r="N10311">
        <v>9.0221899999999997E-107</v>
      </c>
      <c r="O10311">
        <v>985</v>
      </c>
    </row>
    <row r="10312" spans="1:15" x14ac:dyDescent="0.25">
      <c r="A10312" t="s">
        <v>10325</v>
      </c>
      <c r="B10312">
        <v>436</v>
      </c>
      <c r="C10312" s="1" t="str">
        <f>HYPERLINK("http://www.rosaceae.org/gb/gbrowse/malus_x_domestica/?name=MDP0000545129","MDP0000545129")</f>
        <v>MDP0000545129</v>
      </c>
      <c r="D10312">
        <v>41.96</v>
      </c>
      <c r="E10312">
        <v>224</v>
      </c>
      <c r="F10312">
        <v>130</v>
      </c>
      <c r="G10312">
        <v>20</v>
      </c>
      <c r="H10312">
        <v>71</v>
      </c>
      <c r="I10312">
        <v>275</v>
      </c>
      <c r="J10312">
        <v>1</v>
      </c>
      <c r="K10312">
        <v>223</v>
      </c>
      <c r="L10312">
        <v>445</v>
      </c>
      <c r="M10312">
        <v>1</v>
      </c>
      <c r="N10312">
        <v>1.8053E-36</v>
      </c>
      <c r="O10312">
        <v>380</v>
      </c>
    </row>
    <row r="10313" spans="1:15" x14ac:dyDescent="0.25">
      <c r="A10313" t="s">
        <v>10326</v>
      </c>
      <c r="B10313">
        <v>427</v>
      </c>
      <c r="C10313" s="1" t="str">
        <f>HYPERLINK("http://www.rosaceae.org/gb/gbrowse/malus_x_domestica/?name=MDP0000277305","MDP0000277305")</f>
        <v>MDP0000277305</v>
      </c>
      <c r="D10313">
        <v>62.87</v>
      </c>
      <c r="E10313">
        <v>396</v>
      </c>
      <c r="F10313">
        <v>147</v>
      </c>
      <c r="G10313">
        <v>8</v>
      </c>
      <c r="H10313">
        <v>1</v>
      </c>
      <c r="I10313">
        <v>391</v>
      </c>
      <c r="J10313">
        <v>1</v>
      </c>
      <c r="K10313">
        <v>1</v>
      </c>
      <c r="L10313">
        <v>393</v>
      </c>
      <c r="M10313">
        <v>1</v>
      </c>
      <c r="N10313">
        <v>6.2841299999999997E-128</v>
      </c>
      <c r="O10313">
        <v>1169</v>
      </c>
    </row>
    <row r="10314" spans="1:15" x14ac:dyDescent="0.25">
      <c r="A10314" t="s">
        <v>10327</v>
      </c>
      <c r="B10314">
        <v>569</v>
      </c>
      <c r="C10314" s="1" t="str">
        <f>HYPERLINK("http://www.rosaceae.org/gb/gbrowse/malus_x_domestica/?name=MDP0000137411","MDP0000137411")</f>
        <v>MDP0000137411</v>
      </c>
      <c r="D10314">
        <v>64.61</v>
      </c>
      <c r="E10314">
        <v>585</v>
      </c>
      <c r="F10314">
        <v>207</v>
      </c>
      <c r="G10314">
        <v>28</v>
      </c>
      <c r="H10314">
        <v>1</v>
      </c>
      <c r="I10314">
        <v>569</v>
      </c>
      <c r="J10314">
        <v>1</v>
      </c>
      <c r="K10314">
        <v>1</v>
      </c>
      <c r="L10314">
        <v>573</v>
      </c>
      <c r="M10314">
        <v>1</v>
      </c>
      <c r="N10314">
        <v>0</v>
      </c>
      <c r="O10314">
        <v>1781</v>
      </c>
    </row>
    <row r="10315" spans="1:15" x14ac:dyDescent="0.25">
      <c r="A10315" t="s">
        <v>10328</v>
      </c>
      <c r="B10315">
        <v>555</v>
      </c>
      <c r="C10315" s="1" t="str">
        <f>HYPERLINK("http://www.rosaceae.org/gb/gbrowse/malus_x_domestica/?name=MDP0000672291","MDP0000672291")</f>
        <v>MDP0000672291</v>
      </c>
      <c r="D10315">
        <v>33.909999999999997</v>
      </c>
      <c r="E10315">
        <v>286</v>
      </c>
      <c r="F10315">
        <v>189</v>
      </c>
      <c r="G10315">
        <v>78</v>
      </c>
      <c r="H10315">
        <v>9</v>
      </c>
      <c r="I10315">
        <v>282</v>
      </c>
      <c r="J10315">
        <v>1</v>
      </c>
      <c r="K10315">
        <v>167</v>
      </c>
      <c r="L10315">
        <v>386</v>
      </c>
      <c r="M10315">
        <v>1</v>
      </c>
      <c r="N10315">
        <v>1.8191899999999999E-31</v>
      </c>
      <c r="O10315">
        <v>338</v>
      </c>
    </row>
    <row r="10316" spans="1:15" x14ac:dyDescent="0.25">
      <c r="A10316" t="s">
        <v>10329</v>
      </c>
      <c r="B10316">
        <v>623</v>
      </c>
      <c r="C10316" s="1" t="str">
        <f>HYPERLINK("http://www.rosaceae.org/gb/gbrowse/malus_x_domestica/?name=MDP0000311911","MDP0000311911")</f>
        <v>MDP0000311911</v>
      </c>
      <c r="D10316">
        <v>76.02</v>
      </c>
      <c r="E10316">
        <v>609</v>
      </c>
      <c r="F10316">
        <v>146</v>
      </c>
      <c r="G10316">
        <v>8</v>
      </c>
      <c r="H10316">
        <v>1</v>
      </c>
      <c r="I10316">
        <v>607</v>
      </c>
      <c r="J10316">
        <v>1</v>
      </c>
      <c r="K10316">
        <v>1</v>
      </c>
      <c r="L10316">
        <v>603</v>
      </c>
      <c r="M10316">
        <v>1</v>
      </c>
      <c r="N10316">
        <v>0</v>
      </c>
      <c r="O10316">
        <v>2257</v>
      </c>
    </row>
    <row r="10317" spans="1:15" x14ac:dyDescent="0.25">
      <c r="A10317" t="s">
        <v>10330</v>
      </c>
      <c r="B10317">
        <v>608</v>
      </c>
      <c r="C10317" s="1" t="str">
        <f>HYPERLINK("http://www.rosaceae.org/gb/gbrowse/malus_x_domestica/?name=MDP0000266961","MDP0000266961")</f>
        <v>MDP0000266961</v>
      </c>
      <c r="D10317">
        <v>51.29</v>
      </c>
      <c r="E10317">
        <v>425</v>
      </c>
      <c r="F10317">
        <v>207</v>
      </c>
      <c r="G10317">
        <v>11</v>
      </c>
      <c r="H10317">
        <v>183</v>
      </c>
      <c r="I10317">
        <v>603</v>
      </c>
      <c r="J10317">
        <v>1</v>
      </c>
      <c r="K10317">
        <v>231</v>
      </c>
      <c r="L10317">
        <v>648</v>
      </c>
      <c r="M10317">
        <v>1</v>
      </c>
      <c r="N10317">
        <v>5.2020100000000003E-104</v>
      </c>
      <c r="O10317">
        <v>964</v>
      </c>
    </row>
    <row r="10318" spans="1:15" x14ac:dyDescent="0.25">
      <c r="A10318" t="s">
        <v>10331</v>
      </c>
      <c r="B10318">
        <v>365</v>
      </c>
      <c r="C10318" s="1" t="str">
        <f>HYPERLINK("http://www.rosaceae.org/gb/gbrowse/malus_x_domestica/?name=MDP0000211165","MDP0000211165")</f>
        <v>MDP0000211165</v>
      </c>
      <c r="D10318">
        <v>81.05</v>
      </c>
      <c r="E10318">
        <v>380</v>
      </c>
      <c r="F10318">
        <v>72</v>
      </c>
      <c r="G10318">
        <v>20</v>
      </c>
      <c r="H10318">
        <v>1</v>
      </c>
      <c r="I10318">
        <v>361</v>
      </c>
      <c r="J10318">
        <v>1</v>
      </c>
      <c r="K10318">
        <v>108</v>
      </c>
      <c r="L10318">
        <v>486</v>
      </c>
      <c r="M10318">
        <v>1</v>
      </c>
      <c r="N10318">
        <v>0</v>
      </c>
      <c r="O10318">
        <v>1660</v>
      </c>
    </row>
    <row r="10319" spans="1:15" x14ac:dyDescent="0.25">
      <c r="A10319" t="s">
        <v>10332</v>
      </c>
      <c r="B10319">
        <v>778</v>
      </c>
      <c r="C10319" s="1" t="str">
        <f>HYPERLINK("http://www.rosaceae.org/gb/gbrowse/malus_x_domestica/?name=MDP0000460903","MDP0000460903")</f>
        <v>MDP0000460903</v>
      </c>
      <c r="D10319">
        <v>80.77</v>
      </c>
      <c r="E10319">
        <v>775</v>
      </c>
      <c r="F10319">
        <v>149</v>
      </c>
      <c r="G10319">
        <v>3</v>
      </c>
      <c r="H10319">
        <v>1</v>
      </c>
      <c r="I10319">
        <v>775</v>
      </c>
      <c r="J10319">
        <v>1</v>
      </c>
      <c r="K10319">
        <v>1</v>
      </c>
      <c r="L10319">
        <v>772</v>
      </c>
      <c r="M10319">
        <v>1</v>
      </c>
      <c r="N10319">
        <v>0</v>
      </c>
      <c r="O10319">
        <v>3308</v>
      </c>
    </row>
    <row r="10320" spans="1:15" x14ac:dyDescent="0.25">
      <c r="A10320" t="s">
        <v>10333</v>
      </c>
      <c r="B10320">
        <v>337</v>
      </c>
      <c r="C10320" s="1" t="str">
        <f>HYPERLINK("http://www.rosaceae.org/gb/gbrowse/malus_x_domestica/?name=MDP0000247605","MDP0000247605")</f>
        <v>MDP0000247605</v>
      </c>
      <c r="D10320">
        <v>51.47</v>
      </c>
      <c r="E10320">
        <v>340</v>
      </c>
      <c r="F10320">
        <v>165</v>
      </c>
      <c r="G10320">
        <v>7</v>
      </c>
      <c r="H10320">
        <v>1</v>
      </c>
      <c r="I10320">
        <v>337</v>
      </c>
      <c r="J10320">
        <v>1</v>
      </c>
      <c r="K10320">
        <v>1</v>
      </c>
      <c r="L10320">
        <v>336</v>
      </c>
      <c r="M10320">
        <v>1</v>
      </c>
      <c r="N10320">
        <v>1.32802E-93</v>
      </c>
      <c r="O10320">
        <v>872</v>
      </c>
    </row>
    <row r="10321" spans="1:15" x14ac:dyDescent="0.25">
      <c r="A10321" t="s">
        <v>10334</v>
      </c>
      <c r="B10321">
        <v>1771</v>
      </c>
      <c r="C10321" s="1" t="str">
        <f>HYPERLINK("http://www.rosaceae.org/gb/gbrowse/malus_x_domestica/?name=MDP0000234709","MDP0000234709")</f>
        <v>MDP0000234709</v>
      </c>
      <c r="D10321">
        <v>81.05</v>
      </c>
      <c r="E10321">
        <v>1568</v>
      </c>
      <c r="F10321">
        <v>297</v>
      </c>
      <c r="G10321">
        <v>35</v>
      </c>
      <c r="H10321">
        <v>1</v>
      </c>
      <c r="I10321">
        <v>1557</v>
      </c>
      <c r="J10321">
        <v>1</v>
      </c>
      <c r="K10321">
        <v>1</v>
      </c>
      <c r="L10321">
        <v>1544</v>
      </c>
      <c r="M10321">
        <v>1</v>
      </c>
      <c r="N10321">
        <v>0</v>
      </c>
      <c r="O10321">
        <v>6669</v>
      </c>
    </row>
    <row r="10322" spans="1:15" x14ac:dyDescent="0.25">
      <c r="A10322" t="s">
        <v>10335</v>
      </c>
      <c r="B10322">
        <v>629</v>
      </c>
      <c r="C10322" s="1" t="str">
        <f>HYPERLINK("http://www.rosaceae.org/gb/gbrowse/malus_x_domestica/?name=MDP0000261942","MDP0000261942")</f>
        <v>MDP0000261942</v>
      </c>
      <c r="D10322">
        <v>68.75</v>
      </c>
      <c r="E10322">
        <v>640</v>
      </c>
      <c r="F10322">
        <v>200</v>
      </c>
      <c r="G10322">
        <v>73</v>
      </c>
      <c r="H10322">
        <v>1</v>
      </c>
      <c r="I10322">
        <v>629</v>
      </c>
      <c r="J10322">
        <v>1</v>
      </c>
      <c r="K10322">
        <v>289</v>
      </c>
      <c r="L10322">
        <v>866</v>
      </c>
      <c r="M10322">
        <v>1</v>
      </c>
      <c r="N10322">
        <v>0</v>
      </c>
      <c r="O10322">
        <v>2192</v>
      </c>
    </row>
    <row r="10323" spans="1:15" x14ac:dyDescent="0.25">
      <c r="A10323" t="s">
        <v>10336</v>
      </c>
      <c r="B10323">
        <v>481</v>
      </c>
      <c r="C10323" s="1" t="str">
        <f>HYPERLINK("http://www.rosaceae.org/gb/gbrowse/malus_x_domestica/?name=MDP0000902760","MDP0000902760")</f>
        <v>MDP0000902760</v>
      </c>
      <c r="D10323">
        <v>32.18</v>
      </c>
      <c r="E10323">
        <v>466</v>
      </c>
      <c r="F10323">
        <v>316</v>
      </c>
      <c r="G10323">
        <v>50</v>
      </c>
      <c r="H10323">
        <v>27</v>
      </c>
      <c r="I10323">
        <v>471</v>
      </c>
      <c r="J10323">
        <v>1</v>
      </c>
      <c r="K10323">
        <v>37</v>
      </c>
      <c r="L10323">
        <v>473</v>
      </c>
      <c r="M10323">
        <v>1</v>
      </c>
      <c r="N10323">
        <v>2.5277399999999999E-42</v>
      </c>
      <c r="O10323">
        <v>431</v>
      </c>
    </row>
    <row r="10324" spans="1:15" x14ac:dyDescent="0.25">
      <c r="A10324" t="s">
        <v>10337</v>
      </c>
      <c r="B10324">
        <v>756</v>
      </c>
      <c r="C10324" s="1" t="str">
        <f>HYPERLINK("http://www.rosaceae.org/gb/gbrowse/malus_x_domestica/?name=MDP0000774306","MDP0000774306")</f>
        <v>MDP0000774306</v>
      </c>
      <c r="D10324">
        <v>40</v>
      </c>
      <c r="E10324">
        <v>360</v>
      </c>
      <c r="F10324">
        <v>216</v>
      </c>
      <c r="G10324">
        <v>33</v>
      </c>
      <c r="H10324">
        <v>16</v>
      </c>
      <c r="I10324">
        <v>360</v>
      </c>
      <c r="J10324">
        <v>1</v>
      </c>
      <c r="K10324">
        <v>2</v>
      </c>
      <c r="L10324">
        <v>343</v>
      </c>
      <c r="M10324">
        <v>1</v>
      </c>
      <c r="N10324">
        <v>8.8526999999999999E-50</v>
      </c>
      <c r="O10324">
        <v>498</v>
      </c>
    </row>
    <row r="10325" spans="1:15" x14ac:dyDescent="0.25">
      <c r="A10325" t="s">
        <v>10338</v>
      </c>
      <c r="B10325">
        <v>334</v>
      </c>
      <c r="C10325" s="1" t="str">
        <f>HYPERLINK("http://www.rosaceae.org/gb/gbrowse/malus_x_domestica/?name=MDP0000266271","MDP0000266271")</f>
        <v>MDP0000266271</v>
      </c>
      <c r="D10325">
        <v>76.400000000000006</v>
      </c>
      <c r="E10325">
        <v>284</v>
      </c>
      <c r="F10325">
        <v>67</v>
      </c>
      <c r="G10325">
        <v>2</v>
      </c>
      <c r="H10325">
        <v>44</v>
      </c>
      <c r="I10325">
        <v>327</v>
      </c>
      <c r="J10325">
        <v>1</v>
      </c>
      <c r="K10325">
        <v>59</v>
      </c>
      <c r="L10325">
        <v>340</v>
      </c>
      <c r="M10325">
        <v>1</v>
      </c>
      <c r="N10325">
        <v>1.11672E-128</v>
      </c>
      <c r="O10325">
        <v>1174</v>
      </c>
    </row>
    <row r="10326" spans="1:15" x14ac:dyDescent="0.25">
      <c r="A10326" t="s">
        <v>10339</v>
      </c>
      <c r="B10326">
        <v>567</v>
      </c>
      <c r="C10326" s="1" t="str">
        <f>HYPERLINK("http://www.rosaceae.org/gb/gbrowse/malus_x_domestica/?name=MDP0000494775","MDP0000494775")</f>
        <v>MDP0000494775</v>
      </c>
      <c r="D10326">
        <v>80.510000000000005</v>
      </c>
      <c r="E10326">
        <v>431</v>
      </c>
      <c r="F10326">
        <v>84</v>
      </c>
      <c r="G10326">
        <v>0</v>
      </c>
      <c r="H10326">
        <v>2</v>
      </c>
      <c r="I10326">
        <v>432</v>
      </c>
      <c r="J10326">
        <v>1</v>
      </c>
      <c r="K10326">
        <v>5</v>
      </c>
      <c r="L10326">
        <v>435</v>
      </c>
      <c r="M10326">
        <v>1</v>
      </c>
      <c r="N10326">
        <v>0</v>
      </c>
      <c r="O10326">
        <v>1902</v>
      </c>
    </row>
    <row r="10327" spans="1:15" x14ac:dyDescent="0.25">
      <c r="A10327" t="s">
        <v>10340</v>
      </c>
      <c r="B10327">
        <v>542</v>
      </c>
      <c r="C10327" s="1" t="str">
        <f>HYPERLINK("http://www.rosaceae.org/gb/gbrowse/malus_x_domestica/?name=MDP0000570102","MDP0000570102")</f>
        <v>MDP0000570102</v>
      </c>
      <c r="D10327">
        <v>49.72</v>
      </c>
      <c r="E10327">
        <v>364</v>
      </c>
      <c r="F10327">
        <v>183</v>
      </c>
      <c r="G10327">
        <v>8</v>
      </c>
      <c r="H10327">
        <v>1</v>
      </c>
      <c r="I10327">
        <v>356</v>
      </c>
      <c r="J10327">
        <v>1</v>
      </c>
      <c r="K10327">
        <v>156</v>
      </c>
      <c r="L10327">
        <v>519</v>
      </c>
      <c r="M10327">
        <v>1</v>
      </c>
      <c r="N10327">
        <v>5.8468599999999996E-96</v>
      </c>
      <c r="O10327">
        <v>894</v>
      </c>
    </row>
    <row r="10328" spans="1:15" x14ac:dyDescent="0.25">
      <c r="A10328" t="s">
        <v>10341</v>
      </c>
      <c r="B10328">
        <v>679</v>
      </c>
      <c r="C10328" s="1" t="str">
        <f>HYPERLINK("http://www.rosaceae.org/gb/gbrowse/malus_x_domestica/?name=MDP0000529682","MDP0000529682")</f>
        <v>MDP0000529682</v>
      </c>
      <c r="D10328">
        <v>74.56</v>
      </c>
      <c r="E10328">
        <v>684</v>
      </c>
      <c r="F10328">
        <v>174</v>
      </c>
      <c r="G10328">
        <v>8</v>
      </c>
      <c r="H10328">
        <v>1</v>
      </c>
      <c r="I10328">
        <v>677</v>
      </c>
      <c r="J10328">
        <v>1</v>
      </c>
      <c r="K10328">
        <v>1</v>
      </c>
      <c r="L10328">
        <v>683</v>
      </c>
      <c r="M10328">
        <v>1</v>
      </c>
      <c r="N10328">
        <v>0</v>
      </c>
      <c r="O10328">
        <v>2626</v>
      </c>
    </row>
    <row r="10329" spans="1:15" x14ac:dyDescent="0.25">
      <c r="A10329" t="s">
        <v>10342</v>
      </c>
      <c r="B10329">
        <v>280</v>
      </c>
      <c r="C10329" s="1" t="str">
        <f>HYPERLINK("http://www.rosaceae.org/gb/gbrowse/malus_x_domestica/?name=MDP0000628982","MDP0000628982")</f>
        <v>MDP0000628982</v>
      </c>
      <c r="D10329">
        <v>55.97</v>
      </c>
      <c r="E10329">
        <v>293</v>
      </c>
      <c r="F10329">
        <v>129</v>
      </c>
      <c r="G10329">
        <v>22</v>
      </c>
      <c r="H10329">
        <v>1</v>
      </c>
      <c r="I10329">
        <v>276</v>
      </c>
      <c r="J10329">
        <v>1</v>
      </c>
      <c r="K10329">
        <v>4</v>
      </c>
      <c r="L10329">
        <v>291</v>
      </c>
      <c r="M10329">
        <v>1</v>
      </c>
      <c r="N10329">
        <v>1.7646800000000002E-80</v>
      </c>
      <c r="O10329">
        <v>758</v>
      </c>
    </row>
    <row r="10330" spans="1:15" x14ac:dyDescent="0.25">
      <c r="A10330" t="s">
        <v>10343</v>
      </c>
      <c r="B10330">
        <v>435</v>
      </c>
      <c r="C10330" s="1" t="str">
        <f>HYPERLINK("http://www.rosaceae.org/gb/gbrowse/malus_x_domestica/?name=MDP0000769656","MDP0000769656")</f>
        <v>MDP0000769656</v>
      </c>
      <c r="D10330">
        <v>50.34</v>
      </c>
      <c r="E10330">
        <v>429</v>
      </c>
      <c r="F10330">
        <v>213</v>
      </c>
      <c r="G10330">
        <v>6</v>
      </c>
      <c r="H10330">
        <v>8</v>
      </c>
      <c r="I10330">
        <v>435</v>
      </c>
      <c r="J10330">
        <v>1</v>
      </c>
      <c r="K10330">
        <v>7</v>
      </c>
      <c r="L10330">
        <v>430</v>
      </c>
      <c r="M10330">
        <v>1</v>
      </c>
      <c r="N10330">
        <v>1.29409E-109</v>
      </c>
      <c r="O10330">
        <v>1011</v>
      </c>
    </row>
    <row r="10331" spans="1:15" x14ac:dyDescent="0.25">
      <c r="A10331" t="s">
        <v>10344</v>
      </c>
      <c r="B10331">
        <v>165</v>
      </c>
      <c r="C10331" s="1" t="str">
        <f>HYPERLINK("http://www.rosaceae.org/gb/gbrowse/malus_x_domestica/?name=MDP0000188253","MDP0000188253")</f>
        <v>MDP0000188253</v>
      </c>
      <c r="D10331">
        <v>73.209999999999994</v>
      </c>
      <c r="E10331">
        <v>168</v>
      </c>
      <c r="F10331">
        <v>45</v>
      </c>
      <c r="G10331">
        <v>5</v>
      </c>
      <c r="H10331">
        <v>1</v>
      </c>
      <c r="I10331">
        <v>165</v>
      </c>
      <c r="J10331">
        <v>1</v>
      </c>
      <c r="K10331">
        <v>1</v>
      </c>
      <c r="L10331">
        <v>166</v>
      </c>
      <c r="M10331">
        <v>1</v>
      </c>
      <c r="N10331">
        <v>1.1407499999999999E-61</v>
      </c>
      <c r="O10331">
        <v>592</v>
      </c>
    </row>
    <row r="10332" spans="1:15" x14ac:dyDescent="0.25">
      <c r="A10332" t="s">
        <v>10345</v>
      </c>
      <c r="B10332">
        <v>960</v>
      </c>
      <c r="C10332" s="1" t="str">
        <f>HYPERLINK("http://www.rosaceae.org/gb/gbrowse/malus_x_domestica/?name=MDP0000318860","MDP0000318860")</f>
        <v>MDP0000318860</v>
      </c>
      <c r="D10332">
        <v>62.53</v>
      </c>
      <c r="E10332">
        <v>315</v>
      </c>
      <c r="F10332">
        <v>118</v>
      </c>
      <c r="G10332">
        <v>6</v>
      </c>
      <c r="H10332">
        <v>103</v>
      </c>
      <c r="I10332">
        <v>412</v>
      </c>
      <c r="J10332">
        <v>1</v>
      </c>
      <c r="K10332">
        <v>46</v>
      </c>
      <c r="L10332">
        <v>359</v>
      </c>
      <c r="M10332">
        <v>1</v>
      </c>
      <c r="N10332">
        <v>9.0557300000000001E-108</v>
      </c>
      <c r="O10332">
        <v>999</v>
      </c>
    </row>
    <row r="10333" spans="1:15" x14ac:dyDescent="0.25">
      <c r="A10333" t="s">
        <v>10346</v>
      </c>
      <c r="B10333">
        <v>192</v>
      </c>
      <c r="C10333" s="1" t="str">
        <f>HYPERLINK("http://www.rosaceae.org/gb/gbrowse/malus_x_domestica/?name=MDP0000168968","MDP0000168968")</f>
        <v>MDP0000168968</v>
      </c>
      <c r="D10333">
        <v>68.75</v>
      </c>
      <c r="E10333">
        <v>144</v>
      </c>
      <c r="F10333">
        <v>45</v>
      </c>
      <c r="G10333">
        <v>5</v>
      </c>
      <c r="H10333">
        <v>1</v>
      </c>
      <c r="I10333">
        <v>139</v>
      </c>
      <c r="J10333">
        <v>1</v>
      </c>
      <c r="K10333">
        <v>910</v>
      </c>
      <c r="L10333">
        <v>1053</v>
      </c>
      <c r="M10333">
        <v>1</v>
      </c>
      <c r="N10333">
        <v>5.4575200000000002E-49</v>
      </c>
      <c r="O10333">
        <v>484</v>
      </c>
    </row>
    <row r="10334" spans="1:15" x14ac:dyDescent="0.25">
      <c r="A10334" t="s">
        <v>10347</v>
      </c>
      <c r="B10334">
        <v>1057</v>
      </c>
      <c r="C10334" s="1" t="str">
        <f>HYPERLINK("http://www.rosaceae.org/gb/gbrowse/malus_x_domestica/?name=MDP0000156361","MDP0000156361")</f>
        <v>MDP0000156361</v>
      </c>
      <c r="D10334">
        <v>65.45</v>
      </c>
      <c r="E10334">
        <v>1152</v>
      </c>
      <c r="F10334">
        <v>398</v>
      </c>
      <c r="G10334">
        <v>103</v>
      </c>
      <c r="H10334">
        <v>1</v>
      </c>
      <c r="I10334">
        <v>1057</v>
      </c>
      <c r="J10334">
        <v>1</v>
      </c>
      <c r="K10334">
        <v>56</v>
      </c>
      <c r="L10334">
        <v>1199</v>
      </c>
      <c r="M10334">
        <v>1</v>
      </c>
      <c r="N10334">
        <v>0</v>
      </c>
      <c r="O10334">
        <v>3721</v>
      </c>
    </row>
    <row r="10335" spans="1:15" x14ac:dyDescent="0.25">
      <c r="A10335" t="s">
        <v>10348</v>
      </c>
      <c r="B10335">
        <v>672</v>
      </c>
      <c r="C10335" s="1" t="str">
        <f>HYPERLINK("http://www.rosaceae.org/gb/gbrowse/malus_x_domestica/?name=MDP0000263140","MDP0000263140")</f>
        <v>MDP0000263140</v>
      </c>
      <c r="D10335">
        <v>84.25</v>
      </c>
      <c r="E10335">
        <v>654</v>
      </c>
      <c r="F10335">
        <v>103</v>
      </c>
      <c r="G10335">
        <v>3</v>
      </c>
      <c r="H10335">
        <v>1</v>
      </c>
      <c r="I10335">
        <v>652</v>
      </c>
      <c r="J10335">
        <v>1</v>
      </c>
      <c r="K10335">
        <v>1</v>
      </c>
      <c r="L10335">
        <v>653</v>
      </c>
      <c r="M10335">
        <v>1</v>
      </c>
      <c r="N10335">
        <v>0</v>
      </c>
      <c r="O10335">
        <v>2884</v>
      </c>
    </row>
    <row r="10336" spans="1:15" x14ac:dyDescent="0.25">
      <c r="A10336" t="s">
        <v>10349</v>
      </c>
      <c r="B10336">
        <v>373</v>
      </c>
      <c r="C10336" s="1" t="str">
        <f>HYPERLINK("http://www.rosaceae.org/gb/gbrowse/malus_x_domestica/?name=MDP0000534116","MDP0000534116")</f>
        <v>MDP0000534116</v>
      </c>
      <c r="D10336">
        <v>60.96</v>
      </c>
      <c r="E10336">
        <v>187</v>
      </c>
      <c r="F10336">
        <v>73</v>
      </c>
      <c r="G10336">
        <v>16</v>
      </c>
      <c r="H10336">
        <v>174</v>
      </c>
      <c r="I10336">
        <v>352</v>
      </c>
      <c r="J10336">
        <v>1</v>
      </c>
      <c r="K10336">
        <v>270</v>
      </c>
      <c r="L10336">
        <v>448</v>
      </c>
      <c r="M10336">
        <v>1</v>
      </c>
      <c r="N10336">
        <v>2.1831700000000001E-57</v>
      </c>
      <c r="O10336">
        <v>560</v>
      </c>
    </row>
    <row r="10337" spans="1:15" x14ac:dyDescent="0.25">
      <c r="A10337" t="s">
        <v>10350</v>
      </c>
      <c r="B10337">
        <v>198</v>
      </c>
      <c r="C10337" s="1" t="str">
        <f>HYPERLINK("http://www.rosaceae.org/gb/gbrowse/malus_x_domestica/?name=MDP0000144516","MDP0000144516")</f>
        <v>MDP0000144516</v>
      </c>
      <c r="D10337">
        <v>36.869999999999997</v>
      </c>
      <c r="E10337">
        <v>179</v>
      </c>
      <c r="F10337">
        <v>113</v>
      </c>
      <c r="G10337">
        <v>17</v>
      </c>
      <c r="H10337">
        <v>10</v>
      </c>
      <c r="I10337">
        <v>178</v>
      </c>
      <c r="J10337">
        <v>1</v>
      </c>
      <c r="K10337">
        <v>35</v>
      </c>
      <c r="L10337">
        <v>206</v>
      </c>
      <c r="M10337">
        <v>1</v>
      </c>
      <c r="N10337">
        <v>1.14133E-19</v>
      </c>
      <c r="O10337">
        <v>231</v>
      </c>
    </row>
    <row r="10338" spans="1:15" x14ac:dyDescent="0.25">
      <c r="A10338" t="s">
        <v>10351</v>
      </c>
      <c r="B10338">
        <v>305</v>
      </c>
      <c r="C10338" s="1" t="str">
        <f>HYPERLINK("http://www.rosaceae.org/gb/gbrowse/malus_x_domestica/?name=MDP0000239329","MDP0000239329")</f>
        <v>MDP0000239329</v>
      </c>
      <c r="D10338">
        <v>62.63</v>
      </c>
      <c r="E10338">
        <v>182</v>
      </c>
      <c r="F10338">
        <v>68</v>
      </c>
      <c r="G10338">
        <v>11</v>
      </c>
      <c r="H10338">
        <v>134</v>
      </c>
      <c r="I10338">
        <v>304</v>
      </c>
      <c r="J10338">
        <v>1</v>
      </c>
      <c r="K10338">
        <v>42</v>
      </c>
      <c r="L10338">
        <v>223</v>
      </c>
      <c r="M10338">
        <v>1</v>
      </c>
      <c r="N10338">
        <v>2.9500099999999998E-55</v>
      </c>
      <c r="O10338">
        <v>541</v>
      </c>
    </row>
    <row r="10339" spans="1:15" x14ac:dyDescent="0.25">
      <c r="A10339" t="s">
        <v>10352</v>
      </c>
      <c r="B10339">
        <v>977</v>
      </c>
      <c r="C10339" s="1" t="str">
        <f>HYPERLINK("http://www.rosaceae.org/gb/gbrowse/malus_x_domestica/?name=MDP0000176409","MDP0000176409")</f>
        <v>MDP0000176409</v>
      </c>
      <c r="D10339">
        <v>66.23</v>
      </c>
      <c r="E10339">
        <v>995</v>
      </c>
      <c r="F10339">
        <v>336</v>
      </c>
      <c r="G10339">
        <v>103</v>
      </c>
      <c r="H10339">
        <v>1</v>
      </c>
      <c r="I10339">
        <v>945</v>
      </c>
      <c r="J10339">
        <v>1</v>
      </c>
      <c r="K10339">
        <v>1</v>
      </c>
      <c r="L10339">
        <v>942</v>
      </c>
      <c r="M10339">
        <v>1</v>
      </c>
      <c r="N10339">
        <v>0</v>
      </c>
      <c r="O10339">
        <v>3200</v>
      </c>
    </row>
    <row r="10340" spans="1:15" x14ac:dyDescent="0.25">
      <c r="A10340" t="s">
        <v>10353</v>
      </c>
      <c r="B10340">
        <v>281</v>
      </c>
      <c r="C10340" s="1" t="str">
        <f>HYPERLINK("http://www.rosaceae.org/gb/gbrowse/malus_x_domestica/?name=MDP0000195573","MDP0000195573")</f>
        <v>MDP0000195573</v>
      </c>
      <c r="D10340">
        <v>29.69</v>
      </c>
      <c r="E10340">
        <v>165</v>
      </c>
      <c r="F10340">
        <v>116</v>
      </c>
      <c r="G10340">
        <v>26</v>
      </c>
      <c r="H10340">
        <v>7</v>
      </c>
      <c r="I10340">
        <v>158</v>
      </c>
      <c r="J10340">
        <v>1</v>
      </c>
      <c r="K10340">
        <v>70</v>
      </c>
      <c r="L10340">
        <v>221</v>
      </c>
      <c r="M10340">
        <v>1</v>
      </c>
      <c r="N10340">
        <v>3.7447300000000001E-8</v>
      </c>
      <c r="O10340">
        <v>134</v>
      </c>
    </row>
    <row r="10341" spans="1:15" x14ac:dyDescent="0.25">
      <c r="A10341" t="s">
        <v>10354</v>
      </c>
      <c r="B10341">
        <v>1400</v>
      </c>
      <c r="C10341" s="1" t="str">
        <f>HYPERLINK("http://www.rosaceae.org/gb/gbrowse/malus_x_domestica/?name=MDP0000155805","MDP0000155805")</f>
        <v>MDP0000155805</v>
      </c>
      <c r="D10341">
        <v>82.4</v>
      </c>
      <c r="E10341">
        <v>1421</v>
      </c>
      <c r="F10341">
        <v>250</v>
      </c>
      <c r="G10341">
        <v>62</v>
      </c>
      <c r="H10341">
        <v>14</v>
      </c>
      <c r="I10341">
        <v>1379</v>
      </c>
      <c r="J10341">
        <v>1</v>
      </c>
      <c r="K10341">
        <v>332</v>
      </c>
      <c r="L10341">
        <v>1745</v>
      </c>
      <c r="M10341">
        <v>1</v>
      </c>
      <c r="N10341">
        <v>0</v>
      </c>
      <c r="O10341">
        <v>6230</v>
      </c>
    </row>
    <row r="10342" spans="1:15" x14ac:dyDescent="0.25">
      <c r="A10342" t="s">
        <v>10355</v>
      </c>
      <c r="B10342">
        <v>665</v>
      </c>
      <c r="C10342" s="1" t="str">
        <f>HYPERLINK("http://www.rosaceae.org/gb/gbrowse/malus_x_domestica/?name=MDP0000240332","MDP0000240332")</f>
        <v>MDP0000240332</v>
      </c>
      <c r="D10342">
        <v>74.58</v>
      </c>
      <c r="E10342">
        <v>484</v>
      </c>
      <c r="F10342">
        <v>123</v>
      </c>
      <c r="G10342">
        <v>14</v>
      </c>
      <c r="H10342">
        <v>175</v>
      </c>
      <c r="I10342">
        <v>648</v>
      </c>
      <c r="J10342">
        <v>1</v>
      </c>
      <c r="K10342">
        <v>134</v>
      </c>
      <c r="L10342">
        <v>613</v>
      </c>
      <c r="M10342">
        <v>1</v>
      </c>
      <c r="N10342">
        <v>0</v>
      </c>
      <c r="O10342">
        <v>1921</v>
      </c>
    </row>
    <row r="10343" spans="1:15" x14ac:dyDescent="0.25">
      <c r="A10343" t="s">
        <v>10356</v>
      </c>
      <c r="B10343">
        <v>732</v>
      </c>
      <c r="C10343" s="1" t="str">
        <f>HYPERLINK("http://www.rosaceae.org/gb/gbrowse/malus_x_domestica/?name=MDP0000648669","MDP0000648669")</f>
        <v>MDP0000648669</v>
      </c>
      <c r="D10343">
        <v>71.790000000000006</v>
      </c>
      <c r="E10343">
        <v>741</v>
      </c>
      <c r="F10343">
        <v>209</v>
      </c>
      <c r="G10343">
        <v>13</v>
      </c>
      <c r="H10343">
        <v>1</v>
      </c>
      <c r="I10343">
        <v>732</v>
      </c>
      <c r="J10343">
        <v>1</v>
      </c>
      <c r="K10343">
        <v>1</v>
      </c>
      <c r="L10343">
        <v>737</v>
      </c>
      <c r="M10343">
        <v>1</v>
      </c>
      <c r="N10343">
        <v>0</v>
      </c>
      <c r="O10343">
        <v>2581</v>
      </c>
    </row>
    <row r="10344" spans="1:15" x14ac:dyDescent="0.25">
      <c r="A10344" t="s">
        <v>10357</v>
      </c>
      <c r="B10344">
        <v>446</v>
      </c>
      <c r="C10344" s="1" t="str">
        <f>HYPERLINK("http://www.rosaceae.org/gb/gbrowse/malus_x_domestica/?name=MDP0000166875","MDP0000166875")</f>
        <v>MDP0000166875</v>
      </c>
      <c r="D10344">
        <v>67.58</v>
      </c>
      <c r="E10344">
        <v>435</v>
      </c>
      <c r="F10344">
        <v>141</v>
      </c>
      <c r="G10344">
        <v>27</v>
      </c>
      <c r="H10344">
        <v>1</v>
      </c>
      <c r="I10344">
        <v>410</v>
      </c>
      <c r="J10344">
        <v>1</v>
      </c>
      <c r="K10344">
        <v>1</v>
      </c>
      <c r="L10344">
        <v>433</v>
      </c>
      <c r="M10344">
        <v>1</v>
      </c>
      <c r="N10344">
        <v>4.1457899999999997E-155</v>
      </c>
      <c r="O10344">
        <v>1404</v>
      </c>
    </row>
    <row r="10345" spans="1:15" x14ac:dyDescent="0.25">
      <c r="A10345" t="s">
        <v>10358</v>
      </c>
      <c r="B10345">
        <v>359</v>
      </c>
      <c r="C10345" s="1" t="str">
        <f>HYPERLINK("http://www.rosaceae.org/gb/gbrowse/malus_x_domestica/?name=MDP0000119076","MDP0000119076")</f>
        <v>MDP0000119076</v>
      </c>
      <c r="D10345">
        <v>73.66</v>
      </c>
      <c r="E10345">
        <v>357</v>
      </c>
      <c r="F10345">
        <v>94</v>
      </c>
      <c r="G10345">
        <v>7</v>
      </c>
      <c r="H10345">
        <v>6</v>
      </c>
      <c r="I10345">
        <v>356</v>
      </c>
      <c r="J10345">
        <v>1</v>
      </c>
      <c r="K10345">
        <v>3</v>
      </c>
      <c r="L10345">
        <v>358</v>
      </c>
      <c r="M10345">
        <v>1</v>
      </c>
      <c r="N10345">
        <v>1.9807500000000001E-150</v>
      </c>
      <c r="O10345">
        <v>1362</v>
      </c>
    </row>
    <row r="10346" spans="1:15" x14ac:dyDescent="0.25">
      <c r="A10346" t="s">
        <v>10359</v>
      </c>
      <c r="B10346">
        <v>1063</v>
      </c>
      <c r="C10346" s="1" t="str">
        <f>HYPERLINK("http://www.rosaceae.org/gb/gbrowse/malus_x_domestica/?name=MDP0000292511","MDP0000292511")</f>
        <v>MDP0000292511</v>
      </c>
      <c r="D10346">
        <v>75.38</v>
      </c>
      <c r="E10346">
        <v>841</v>
      </c>
      <c r="F10346">
        <v>207</v>
      </c>
      <c r="G10346">
        <v>5</v>
      </c>
      <c r="H10346">
        <v>181</v>
      </c>
      <c r="I10346">
        <v>1016</v>
      </c>
      <c r="J10346">
        <v>1</v>
      </c>
      <c r="K10346">
        <v>390</v>
      </c>
      <c r="L10346">
        <v>1230</v>
      </c>
      <c r="M10346">
        <v>1</v>
      </c>
      <c r="N10346">
        <v>0</v>
      </c>
      <c r="O10346">
        <v>3450</v>
      </c>
    </row>
    <row r="10347" spans="1:15" x14ac:dyDescent="0.25">
      <c r="A10347" t="s">
        <v>10360</v>
      </c>
      <c r="B10347">
        <v>365</v>
      </c>
      <c r="C10347" s="1" t="str">
        <f>HYPERLINK("http://www.rosaceae.org/gb/gbrowse/malus_x_domestica/?name=MDP0000725634","MDP0000725634")</f>
        <v>MDP0000725634</v>
      </c>
      <c r="D10347">
        <v>31.11</v>
      </c>
      <c r="E10347">
        <v>225</v>
      </c>
      <c r="F10347">
        <v>155</v>
      </c>
      <c r="G10347">
        <v>35</v>
      </c>
      <c r="H10347">
        <v>169</v>
      </c>
      <c r="I10347">
        <v>359</v>
      </c>
      <c r="J10347">
        <v>1</v>
      </c>
      <c r="K10347">
        <v>193</v>
      </c>
      <c r="L10347">
        <v>416</v>
      </c>
      <c r="M10347">
        <v>1</v>
      </c>
      <c r="N10347">
        <v>7.1226499999999996E-18</v>
      </c>
      <c r="O10347">
        <v>219</v>
      </c>
    </row>
    <row r="10348" spans="1:15" x14ac:dyDescent="0.25">
      <c r="A10348" t="s">
        <v>10361</v>
      </c>
      <c r="B10348">
        <v>304</v>
      </c>
      <c r="C10348" s="1" t="str">
        <f>HYPERLINK("http://www.rosaceae.org/gb/gbrowse/malus_x_domestica/?name=MDP0000296681","MDP0000296681")</f>
        <v>MDP0000296681</v>
      </c>
      <c r="D10348">
        <v>74.75</v>
      </c>
      <c r="E10348">
        <v>103</v>
      </c>
      <c r="F10348">
        <v>26</v>
      </c>
      <c r="G10348">
        <v>0</v>
      </c>
      <c r="H10348">
        <v>1</v>
      </c>
      <c r="I10348">
        <v>103</v>
      </c>
      <c r="J10348">
        <v>1</v>
      </c>
      <c r="K10348">
        <v>839</v>
      </c>
      <c r="L10348">
        <v>941</v>
      </c>
      <c r="M10348">
        <v>1</v>
      </c>
      <c r="N10348">
        <v>7.0739399999999998E-43</v>
      </c>
      <c r="O10348">
        <v>434</v>
      </c>
    </row>
    <row r="10349" spans="1:15" x14ac:dyDescent="0.25">
      <c r="A10349" t="s">
        <v>10362</v>
      </c>
      <c r="B10349">
        <v>651</v>
      </c>
      <c r="C10349" s="1" t="str">
        <f>HYPERLINK("http://www.rosaceae.org/gb/gbrowse/malus_x_domestica/?name=MDP0000469526","MDP0000469526")</f>
        <v>MDP0000469526</v>
      </c>
      <c r="D10349">
        <v>33.68</v>
      </c>
      <c r="E10349">
        <v>288</v>
      </c>
      <c r="F10349">
        <v>191</v>
      </c>
      <c r="G10349">
        <v>34</v>
      </c>
      <c r="H10349">
        <v>382</v>
      </c>
      <c r="I10349">
        <v>640</v>
      </c>
      <c r="J10349">
        <v>1</v>
      </c>
      <c r="K10349">
        <v>80</v>
      </c>
      <c r="L10349">
        <v>362</v>
      </c>
      <c r="M10349">
        <v>1</v>
      </c>
      <c r="N10349">
        <v>3.7153499999999999E-34</v>
      </c>
      <c r="O10349">
        <v>362</v>
      </c>
    </row>
    <row r="10350" spans="1:15" x14ac:dyDescent="0.25">
      <c r="A10350" t="s">
        <v>10363</v>
      </c>
      <c r="B10350">
        <v>665</v>
      </c>
      <c r="C10350" s="1" t="str">
        <f>HYPERLINK("http://www.rosaceae.org/gb/gbrowse/malus_x_domestica/?name=MDP0000285709","MDP0000285709")</f>
        <v>MDP0000285709</v>
      </c>
      <c r="D10350">
        <v>69.38</v>
      </c>
      <c r="E10350">
        <v>343</v>
      </c>
      <c r="F10350">
        <v>105</v>
      </c>
      <c r="G10350">
        <v>5</v>
      </c>
      <c r="H10350">
        <v>2</v>
      </c>
      <c r="I10350">
        <v>340</v>
      </c>
      <c r="J10350">
        <v>1</v>
      </c>
      <c r="K10350">
        <v>238</v>
      </c>
      <c r="L10350">
        <v>579</v>
      </c>
      <c r="M10350">
        <v>1</v>
      </c>
      <c r="N10350">
        <v>5.7634700000000001E-133</v>
      </c>
      <c r="O10350">
        <v>1214</v>
      </c>
    </row>
    <row r="10351" spans="1:15" x14ac:dyDescent="0.25">
      <c r="A10351" t="s">
        <v>10364</v>
      </c>
      <c r="B10351">
        <v>377</v>
      </c>
      <c r="C10351" s="1" t="str">
        <f>HYPERLINK("http://www.rosaceae.org/gb/gbrowse/malus_x_domestica/?name=MDP0000822541","MDP0000822541")</f>
        <v>MDP0000822541</v>
      </c>
      <c r="D10351">
        <v>65.900000000000006</v>
      </c>
      <c r="E10351">
        <v>349</v>
      </c>
      <c r="F10351">
        <v>119</v>
      </c>
      <c r="G10351">
        <v>1</v>
      </c>
      <c r="H10351">
        <v>30</v>
      </c>
      <c r="I10351">
        <v>377</v>
      </c>
      <c r="J10351">
        <v>1</v>
      </c>
      <c r="K10351">
        <v>78</v>
      </c>
      <c r="L10351">
        <v>426</v>
      </c>
      <c r="M10351">
        <v>1</v>
      </c>
      <c r="N10351">
        <v>2.9008700000000003E-135</v>
      </c>
      <c r="O10351">
        <v>1232</v>
      </c>
    </row>
    <row r="10352" spans="1:15" x14ac:dyDescent="0.25">
      <c r="A10352" t="s">
        <v>10365</v>
      </c>
      <c r="B10352">
        <v>491</v>
      </c>
      <c r="C10352" s="1" t="str">
        <f>HYPERLINK("http://www.rosaceae.org/gb/gbrowse/malus_x_domestica/?name=MDP0000177779","MDP0000177779")</f>
        <v>MDP0000177779</v>
      </c>
      <c r="D10352">
        <v>27.87</v>
      </c>
      <c r="E10352">
        <v>226</v>
      </c>
      <c r="F10352">
        <v>163</v>
      </c>
      <c r="G10352">
        <v>20</v>
      </c>
      <c r="H10352">
        <v>265</v>
      </c>
      <c r="I10352">
        <v>481</v>
      </c>
      <c r="J10352">
        <v>1</v>
      </c>
      <c r="K10352">
        <v>82</v>
      </c>
      <c r="L10352">
        <v>296</v>
      </c>
      <c r="M10352">
        <v>1</v>
      </c>
      <c r="N10352">
        <v>1.6140799999999998E-11</v>
      </c>
      <c r="O10352">
        <v>166</v>
      </c>
    </row>
    <row r="10353" spans="1:15" x14ac:dyDescent="0.25">
      <c r="A10353" t="s">
        <v>10366</v>
      </c>
      <c r="B10353">
        <v>603</v>
      </c>
      <c r="C10353" s="1" t="str">
        <f>HYPERLINK("http://www.rosaceae.org/gb/gbrowse/malus_x_domestica/?name=MDP0000296691","MDP0000296691")</f>
        <v>MDP0000296691</v>
      </c>
      <c r="D10353">
        <v>24.73</v>
      </c>
      <c r="E10353">
        <v>279</v>
      </c>
      <c r="F10353">
        <v>210</v>
      </c>
      <c r="G10353">
        <v>65</v>
      </c>
      <c r="H10353">
        <v>60</v>
      </c>
      <c r="I10353">
        <v>297</v>
      </c>
      <c r="J10353">
        <v>1</v>
      </c>
      <c r="K10353">
        <v>365</v>
      </c>
      <c r="L10353">
        <v>619</v>
      </c>
      <c r="M10353">
        <v>1</v>
      </c>
      <c r="N10353">
        <v>1.09336E-10</v>
      </c>
      <c r="O10353">
        <v>159</v>
      </c>
    </row>
    <row r="10354" spans="1:15" x14ac:dyDescent="0.25">
      <c r="A10354" t="s">
        <v>10367</v>
      </c>
      <c r="B10354">
        <v>115</v>
      </c>
      <c r="C10354" s="1" t="str">
        <f>HYPERLINK("http://www.rosaceae.org/gb/gbrowse/malus_x_domestica/?name=MDP0000196711","MDP0000196711")</f>
        <v>MDP0000196711</v>
      </c>
      <c r="D10354">
        <v>74.41</v>
      </c>
      <c r="E10354">
        <v>43</v>
      </c>
      <c r="F10354">
        <v>11</v>
      </c>
      <c r="G10354">
        <v>0</v>
      </c>
      <c r="H10354">
        <v>41</v>
      </c>
      <c r="I10354">
        <v>83</v>
      </c>
      <c r="J10354">
        <v>1</v>
      </c>
      <c r="K10354">
        <v>1</v>
      </c>
      <c r="L10354">
        <v>43</v>
      </c>
      <c r="M10354">
        <v>1</v>
      </c>
      <c r="N10354">
        <v>2.2253200000000001E-13</v>
      </c>
      <c r="O10354">
        <v>173</v>
      </c>
    </row>
    <row r="10355" spans="1:15" x14ac:dyDescent="0.25">
      <c r="A10355" t="s">
        <v>10368</v>
      </c>
      <c r="B10355">
        <v>1095</v>
      </c>
      <c r="C10355" s="1" t="str">
        <f>HYPERLINK("http://www.rosaceae.org/gb/gbrowse/malus_x_domestica/?name=MDP0000184309","MDP0000184309")</f>
        <v>MDP0000184309</v>
      </c>
      <c r="D10355">
        <v>63.92</v>
      </c>
      <c r="E10355">
        <v>754</v>
      </c>
      <c r="F10355">
        <v>272</v>
      </c>
      <c r="G10355">
        <v>10</v>
      </c>
      <c r="H10355">
        <v>1</v>
      </c>
      <c r="I10355">
        <v>752</v>
      </c>
      <c r="J10355">
        <v>1</v>
      </c>
      <c r="K10355">
        <v>1</v>
      </c>
      <c r="L10355">
        <v>746</v>
      </c>
      <c r="M10355">
        <v>1</v>
      </c>
      <c r="N10355">
        <v>0</v>
      </c>
      <c r="O10355">
        <v>2523</v>
      </c>
    </row>
    <row r="10356" spans="1:15" x14ac:dyDescent="0.25">
      <c r="A10356" t="s">
        <v>10369</v>
      </c>
      <c r="B10356">
        <v>506</v>
      </c>
      <c r="C10356" s="1" t="str">
        <f>HYPERLINK("http://www.rosaceae.org/gb/gbrowse/malus_x_domestica/?name=MDP0000126755","MDP0000126755")</f>
        <v>MDP0000126755</v>
      </c>
      <c r="D10356">
        <v>68.03</v>
      </c>
      <c r="E10356">
        <v>438</v>
      </c>
      <c r="F10356">
        <v>140</v>
      </c>
      <c r="G10356">
        <v>35</v>
      </c>
      <c r="H10356">
        <v>8</v>
      </c>
      <c r="I10356">
        <v>432</v>
      </c>
      <c r="J10356">
        <v>1</v>
      </c>
      <c r="K10356">
        <v>25</v>
      </c>
      <c r="L10356">
        <v>440</v>
      </c>
      <c r="M10356">
        <v>1</v>
      </c>
      <c r="N10356">
        <v>4.7618300000000003E-160</v>
      </c>
      <c r="O10356">
        <v>1447</v>
      </c>
    </row>
    <row r="10357" spans="1:15" x14ac:dyDescent="0.25">
      <c r="A10357" t="s">
        <v>10370</v>
      </c>
      <c r="B10357">
        <v>246</v>
      </c>
      <c r="C10357" s="1" t="str">
        <f>HYPERLINK("http://www.rosaceae.org/gb/gbrowse/malus_x_domestica/?name=MDP0000774306","MDP0000774306")</f>
        <v>MDP0000774306</v>
      </c>
      <c r="D10357">
        <v>44.35</v>
      </c>
      <c r="E10357">
        <v>239</v>
      </c>
      <c r="F10357">
        <v>133</v>
      </c>
      <c r="G10357">
        <v>9</v>
      </c>
      <c r="H10357">
        <v>12</v>
      </c>
      <c r="I10357">
        <v>243</v>
      </c>
      <c r="J10357">
        <v>1</v>
      </c>
      <c r="K10357">
        <v>1</v>
      </c>
      <c r="L10357">
        <v>237</v>
      </c>
      <c r="M10357">
        <v>1</v>
      </c>
      <c r="N10357">
        <v>5.8701099999999999E-46</v>
      </c>
      <c r="O10357">
        <v>459</v>
      </c>
    </row>
    <row r="10358" spans="1:15" x14ac:dyDescent="0.25">
      <c r="A10358" t="s">
        <v>10371</v>
      </c>
      <c r="B10358">
        <v>163</v>
      </c>
      <c r="C10358" s="1" t="str">
        <f>HYPERLINK("http://www.rosaceae.org/gb/gbrowse/malus_x_domestica/?name=MDP0000259616","MDP0000259616")</f>
        <v>MDP0000259616</v>
      </c>
      <c r="D10358">
        <v>81.25</v>
      </c>
      <c r="E10358">
        <v>160</v>
      </c>
      <c r="F10358">
        <v>30</v>
      </c>
      <c r="G10358">
        <v>0</v>
      </c>
      <c r="H10358">
        <v>1</v>
      </c>
      <c r="I10358">
        <v>160</v>
      </c>
      <c r="J10358">
        <v>1</v>
      </c>
      <c r="K10358">
        <v>1</v>
      </c>
      <c r="L10358">
        <v>160</v>
      </c>
      <c r="M10358">
        <v>1</v>
      </c>
      <c r="N10358">
        <v>8.6735199999999994E-77</v>
      </c>
      <c r="O10358">
        <v>722</v>
      </c>
    </row>
    <row r="10359" spans="1:15" x14ac:dyDescent="0.25">
      <c r="A10359" t="s">
        <v>10372</v>
      </c>
      <c r="B10359">
        <v>726</v>
      </c>
      <c r="C10359" s="1" t="str">
        <f>HYPERLINK("http://www.rosaceae.org/gb/gbrowse/malus_x_domestica/?name=MDP0000276007","MDP0000276007")</f>
        <v>MDP0000276007</v>
      </c>
      <c r="D10359">
        <v>85.61</v>
      </c>
      <c r="E10359">
        <v>723</v>
      </c>
      <c r="F10359">
        <v>104</v>
      </c>
      <c r="G10359">
        <v>2</v>
      </c>
      <c r="H10359">
        <v>6</v>
      </c>
      <c r="I10359">
        <v>726</v>
      </c>
      <c r="J10359">
        <v>1</v>
      </c>
      <c r="K10359">
        <v>2</v>
      </c>
      <c r="L10359">
        <v>724</v>
      </c>
      <c r="M10359">
        <v>1</v>
      </c>
      <c r="N10359">
        <v>0</v>
      </c>
      <c r="O10359">
        <v>3284</v>
      </c>
    </row>
    <row r="10360" spans="1:15" x14ac:dyDescent="0.25">
      <c r="A10360" t="s">
        <v>10373</v>
      </c>
      <c r="B10360">
        <v>315</v>
      </c>
      <c r="C10360" s="1" t="str">
        <f>HYPERLINK("http://www.rosaceae.org/gb/gbrowse/malus_x_domestica/?name=MDP0000243237","MDP0000243237")</f>
        <v>MDP0000243237</v>
      </c>
      <c r="D10360">
        <v>75</v>
      </c>
      <c r="E10360">
        <v>340</v>
      </c>
      <c r="F10360">
        <v>85</v>
      </c>
      <c r="G10360">
        <v>26</v>
      </c>
      <c r="H10360">
        <v>2</v>
      </c>
      <c r="I10360">
        <v>315</v>
      </c>
      <c r="J10360">
        <v>1</v>
      </c>
      <c r="K10360">
        <v>1</v>
      </c>
      <c r="L10360">
        <v>340</v>
      </c>
      <c r="M10360">
        <v>1</v>
      </c>
      <c r="N10360">
        <v>1.0122399999999999E-141</v>
      </c>
      <c r="O10360">
        <v>1286</v>
      </c>
    </row>
    <row r="10361" spans="1:15" x14ac:dyDescent="0.25">
      <c r="A10361" t="s">
        <v>10374</v>
      </c>
      <c r="B10361">
        <v>215</v>
      </c>
      <c r="C10361" s="1" t="str">
        <f>HYPERLINK("http://www.rosaceae.org/gb/gbrowse/malus_x_domestica/?name=MDP0000279220","MDP0000279220")</f>
        <v>MDP0000279220</v>
      </c>
      <c r="D10361">
        <v>77.349999999999994</v>
      </c>
      <c r="E10361">
        <v>106</v>
      </c>
      <c r="F10361">
        <v>24</v>
      </c>
      <c r="G10361">
        <v>0</v>
      </c>
      <c r="H10361">
        <v>39</v>
      </c>
      <c r="I10361">
        <v>144</v>
      </c>
      <c r="J10361">
        <v>1</v>
      </c>
      <c r="K10361">
        <v>258</v>
      </c>
      <c r="L10361">
        <v>363</v>
      </c>
      <c r="M10361">
        <v>1</v>
      </c>
      <c r="N10361">
        <v>2.9199999999999999E-41</v>
      </c>
      <c r="O10361">
        <v>418</v>
      </c>
    </row>
    <row r="10362" spans="1:15" x14ac:dyDescent="0.25">
      <c r="A10362" t="s">
        <v>10375</v>
      </c>
      <c r="B10362">
        <v>155</v>
      </c>
      <c r="C10362" s="1" t="str">
        <f>HYPERLINK("http://www.rosaceae.org/gb/gbrowse/malus_x_domestica/?name=MDP0000340087","MDP0000340087")</f>
        <v>MDP0000340087</v>
      </c>
      <c r="D10362">
        <v>97.95</v>
      </c>
      <c r="E10362">
        <v>98</v>
      </c>
      <c r="F10362">
        <v>2</v>
      </c>
      <c r="G10362">
        <v>0</v>
      </c>
      <c r="H10362">
        <v>58</v>
      </c>
      <c r="I10362">
        <v>155</v>
      </c>
      <c r="J10362">
        <v>1</v>
      </c>
      <c r="K10362">
        <v>2</v>
      </c>
      <c r="L10362">
        <v>99</v>
      </c>
      <c r="M10362">
        <v>1</v>
      </c>
      <c r="N10362">
        <v>3.4050200000000001E-50</v>
      </c>
      <c r="O10362">
        <v>492</v>
      </c>
    </row>
    <row r="10363" spans="1:15" x14ac:dyDescent="0.25">
      <c r="A10363" t="s">
        <v>10376</v>
      </c>
      <c r="B10363">
        <v>274</v>
      </c>
      <c r="C10363" s="1" t="str">
        <f>HYPERLINK("http://www.rosaceae.org/gb/gbrowse/malus_x_domestica/?name=MDP0000772731","MDP0000772731")</f>
        <v>MDP0000772731</v>
      </c>
      <c r="D10363">
        <v>39.92</v>
      </c>
      <c r="E10363">
        <v>278</v>
      </c>
      <c r="F10363">
        <v>167</v>
      </c>
      <c r="G10363">
        <v>33</v>
      </c>
      <c r="H10363">
        <v>9</v>
      </c>
      <c r="I10363">
        <v>267</v>
      </c>
      <c r="J10363">
        <v>1</v>
      </c>
      <c r="K10363">
        <v>6</v>
      </c>
      <c r="L10363">
        <v>269</v>
      </c>
      <c r="M10363">
        <v>1</v>
      </c>
      <c r="N10363">
        <v>1.3656800000000001E-40</v>
      </c>
      <c r="O10363">
        <v>414</v>
      </c>
    </row>
    <row r="10364" spans="1:15" x14ac:dyDescent="0.25">
      <c r="A10364" t="s">
        <v>10377</v>
      </c>
      <c r="B10364">
        <v>579</v>
      </c>
      <c r="C10364" s="1" t="str">
        <f>HYPERLINK("http://www.rosaceae.org/gb/gbrowse/malus_x_domestica/?name=MDP0000171532","MDP0000171532")</f>
        <v>MDP0000171532</v>
      </c>
      <c r="D10364">
        <v>66.58</v>
      </c>
      <c r="E10364">
        <v>395</v>
      </c>
      <c r="F10364">
        <v>132</v>
      </c>
      <c r="G10364">
        <v>60</v>
      </c>
      <c r="H10364">
        <v>203</v>
      </c>
      <c r="I10364">
        <v>579</v>
      </c>
      <c r="J10364">
        <v>1</v>
      </c>
      <c r="K10364">
        <v>94</v>
      </c>
      <c r="L10364">
        <v>446</v>
      </c>
      <c r="M10364">
        <v>1</v>
      </c>
      <c r="N10364">
        <v>2.4237900000000002E-143</v>
      </c>
      <c r="O10364">
        <v>1303</v>
      </c>
    </row>
    <row r="10365" spans="1:15" x14ac:dyDescent="0.25">
      <c r="A10365" t="s">
        <v>10378</v>
      </c>
      <c r="B10365">
        <v>730</v>
      </c>
      <c r="C10365" s="1" t="str">
        <f>HYPERLINK("http://www.rosaceae.org/gb/gbrowse/malus_x_domestica/?name=MDP0000847149","MDP0000847149")</f>
        <v>MDP0000847149</v>
      </c>
      <c r="D10365">
        <v>66.8</v>
      </c>
      <c r="E10365">
        <v>497</v>
      </c>
      <c r="F10365">
        <v>165</v>
      </c>
      <c r="G10365">
        <v>3</v>
      </c>
      <c r="H10365">
        <v>23</v>
      </c>
      <c r="I10365">
        <v>519</v>
      </c>
      <c r="J10365">
        <v>1</v>
      </c>
      <c r="K10365">
        <v>20</v>
      </c>
      <c r="L10365">
        <v>513</v>
      </c>
      <c r="M10365">
        <v>1</v>
      </c>
      <c r="N10365">
        <v>0</v>
      </c>
      <c r="O10365">
        <v>1713</v>
      </c>
    </row>
    <row r="10366" spans="1:15" x14ac:dyDescent="0.25">
      <c r="A10366" t="s">
        <v>10379</v>
      </c>
      <c r="B10366">
        <v>630</v>
      </c>
      <c r="C10366" s="1" t="str">
        <f>HYPERLINK("http://www.rosaceae.org/gb/gbrowse/malus_x_domestica/?name=MDP0000196817","MDP0000196817")</f>
        <v>MDP0000196817</v>
      </c>
      <c r="D10366">
        <v>82.5</v>
      </c>
      <c r="E10366">
        <v>623</v>
      </c>
      <c r="F10366">
        <v>109</v>
      </c>
      <c r="G10366">
        <v>4</v>
      </c>
      <c r="H10366">
        <v>1</v>
      </c>
      <c r="I10366">
        <v>620</v>
      </c>
      <c r="J10366">
        <v>1</v>
      </c>
      <c r="K10366">
        <v>1</v>
      </c>
      <c r="L10366">
        <v>622</v>
      </c>
      <c r="M10366">
        <v>1</v>
      </c>
      <c r="N10366">
        <v>0</v>
      </c>
      <c r="O10366">
        <v>2729</v>
      </c>
    </row>
    <row r="10367" spans="1:15" x14ac:dyDescent="0.25">
      <c r="A10367" t="s">
        <v>10380</v>
      </c>
      <c r="B10367">
        <v>169</v>
      </c>
      <c r="C10367" s="1" t="str">
        <f>HYPERLINK("http://www.rosaceae.org/gb/gbrowse/malus_x_domestica/?name=MDP0000210504","MDP0000210504")</f>
        <v>MDP0000210504</v>
      </c>
      <c r="D10367">
        <v>60.91</v>
      </c>
      <c r="E10367">
        <v>174</v>
      </c>
      <c r="F10367">
        <v>68</v>
      </c>
      <c r="G10367">
        <v>9</v>
      </c>
      <c r="H10367">
        <v>1</v>
      </c>
      <c r="I10367">
        <v>166</v>
      </c>
      <c r="J10367">
        <v>1</v>
      </c>
      <c r="K10367">
        <v>1</v>
      </c>
      <c r="L10367">
        <v>173</v>
      </c>
      <c r="M10367">
        <v>1</v>
      </c>
      <c r="N10367">
        <v>1.4417599999999999E-52</v>
      </c>
      <c r="O10367">
        <v>514</v>
      </c>
    </row>
    <row r="10368" spans="1:15" x14ac:dyDescent="0.25">
      <c r="A10368" t="s">
        <v>10381</v>
      </c>
      <c r="B10368">
        <v>1232</v>
      </c>
      <c r="C10368" s="1" t="str">
        <f>HYPERLINK("http://www.rosaceae.org/gb/gbrowse/malus_x_domestica/?name=MDP0000686778","MDP0000686778")</f>
        <v>MDP0000686778</v>
      </c>
      <c r="D10368">
        <v>36.409999999999997</v>
      </c>
      <c r="E10368">
        <v>324</v>
      </c>
      <c r="F10368">
        <v>206</v>
      </c>
      <c r="G10368">
        <v>22</v>
      </c>
      <c r="H10368">
        <v>654</v>
      </c>
      <c r="I10368">
        <v>968</v>
      </c>
      <c r="J10368">
        <v>1</v>
      </c>
      <c r="K10368">
        <v>101</v>
      </c>
      <c r="L10368">
        <v>411</v>
      </c>
      <c r="M10368">
        <v>1</v>
      </c>
      <c r="N10368">
        <v>2.07467E-46</v>
      </c>
      <c r="O10368">
        <v>471</v>
      </c>
    </row>
    <row r="10369" spans="1:15" x14ac:dyDescent="0.25">
      <c r="A10369" t="s">
        <v>10382</v>
      </c>
      <c r="B10369">
        <v>150</v>
      </c>
      <c r="C10369" s="1" t="str">
        <f>HYPERLINK("http://www.rosaceae.org/gb/gbrowse/malus_x_domestica/?name=MDP0000257557","MDP0000257557")</f>
        <v>MDP0000257557</v>
      </c>
      <c r="D10369">
        <v>66.66</v>
      </c>
      <c r="E10369">
        <v>66</v>
      </c>
      <c r="F10369">
        <v>22</v>
      </c>
      <c r="G10369">
        <v>1</v>
      </c>
      <c r="H10369">
        <v>49</v>
      </c>
      <c r="I10369">
        <v>114</v>
      </c>
      <c r="J10369">
        <v>1</v>
      </c>
      <c r="K10369">
        <v>146</v>
      </c>
      <c r="L10369">
        <v>210</v>
      </c>
      <c r="M10369">
        <v>1</v>
      </c>
      <c r="N10369">
        <v>1.3976E-18</v>
      </c>
      <c r="O10369">
        <v>220</v>
      </c>
    </row>
    <row r="10370" spans="1:15" x14ac:dyDescent="0.25">
      <c r="A10370" t="s">
        <v>10383</v>
      </c>
      <c r="B10370">
        <v>391</v>
      </c>
      <c r="C10370" s="1" t="str">
        <f>HYPERLINK("http://www.rosaceae.org/gb/gbrowse/malus_x_domestica/?name=MDP0000899702","MDP0000899702")</f>
        <v>MDP0000899702</v>
      </c>
      <c r="D10370">
        <v>68.12</v>
      </c>
      <c r="E10370">
        <v>342</v>
      </c>
      <c r="F10370">
        <v>109</v>
      </c>
      <c r="G10370">
        <v>19</v>
      </c>
      <c r="H10370">
        <v>1</v>
      </c>
      <c r="I10370">
        <v>323</v>
      </c>
      <c r="J10370">
        <v>1</v>
      </c>
      <c r="K10370">
        <v>1</v>
      </c>
      <c r="L10370">
        <v>342</v>
      </c>
      <c r="M10370">
        <v>1</v>
      </c>
      <c r="N10370">
        <v>3.05107E-134</v>
      </c>
      <c r="O10370">
        <v>1223</v>
      </c>
    </row>
    <row r="10371" spans="1:15" x14ac:dyDescent="0.25">
      <c r="A10371" t="s">
        <v>10384</v>
      </c>
      <c r="B10371">
        <v>253</v>
      </c>
      <c r="C10371" s="1" t="str">
        <f>HYPERLINK("http://www.rosaceae.org/gb/gbrowse/malus_x_domestica/?name=MDP0000303485","MDP0000303485")</f>
        <v>MDP0000303485</v>
      </c>
      <c r="D10371">
        <v>70.400000000000006</v>
      </c>
      <c r="E10371">
        <v>98</v>
      </c>
      <c r="F10371">
        <v>29</v>
      </c>
      <c r="G10371">
        <v>0</v>
      </c>
      <c r="H10371">
        <v>137</v>
      </c>
      <c r="I10371">
        <v>234</v>
      </c>
      <c r="J10371">
        <v>1</v>
      </c>
      <c r="K10371">
        <v>75</v>
      </c>
      <c r="L10371">
        <v>172</v>
      </c>
      <c r="M10371">
        <v>1</v>
      </c>
      <c r="N10371">
        <v>1.03585E-33</v>
      </c>
      <c r="O10371">
        <v>354</v>
      </c>
    </row>
    <row r="10372" spans="1:15" x14ac:dyDescent="0.25">
      <c r="A10372" t="s">
        <v>10385</v>
      </c>
      <c r="B10372">
        <v>656</v>
      </c>
      <c r="C10372" s="1" t="str">
        <f>HYPERLINK("http://www.rosaceae.org/gb/gbrowse/malus_x_domestica/?name=MDP0000216466","MDP0000216466")</f>
        <v>MDP0000216466</v>
      </c>
      <c r="D10372">
        <v>64.349999999999994</v>
      </c>
      <c r="E10372">
        <v>662</v>
      </c>
      <c r="F10372">
        <v>236</v>
      </c>
      <c r="G10372">
        <v>17</v>
      </c>
      <c r="H10372">
        <v>4</v>
      </c>
      <c r="I10372">
        <v>656</v>
      </c>
      <c r="J10372">
        <v>1</v>
      </c>
      <c r="K10372">
        <v>5</v>
      </c>
      <c r="L10372">
        <v>658</v>
      </c>
      <c r="M10372">
        <v>1</v>
      </c>
      <c r="N10372">
        <v>0</v>
      </c>
      <c r="O10372">
        <v>2329</v>
      </c>
    </row>
    <row r="10373" spans="1:15" x14ac:dyDescent="0.25">
      <c r="A10373" t="s">
        <v>10386</v>
      </c>
      <c r="B10373">
        <v>268</v>
      </c>
      <c r="C10373" s="1" t="str">
        <f>HYPERLINK("http://www.rosaceae.org/gb/gbrowse/malus_x_domestica/?name=MDP0000131033","MDP0000131033")</f>
        <v>MDP0000131033</v>
      </c>
      <c r="D10373">
        <v>54.97</v>
      </c>
      <c r="E10373">
        <v>211</v>
      </c>
      <c r="F10373">
        <v>95</v>
      </c>
      <c r="G10373">
        <v>11</v>
      </c>
      <c r="H10373">
        <v>25</v>
      </c>
      <c r="I10373">
        <v>230</v>
      </c>
      <c r="J10373">
        <v>1</v>
      </c>
      <c r="K10373">
        <v>24</v>
      </c>
      <c r="L10373">
        <v>228</v>
      </c>
      <c r="M10373">
        <v>1</v>
      </c>
      <c r="N10373">
        <v>9.3265700000000005E-54</v>
      </c>
      <c r="O10373">
        <v>527</v>
      </c>
    </row>
    <row r="10374" spans="1:15" x14ac:dyDescent="0.25">
      <c r="A10374" t="s">
        <v>10387</v>
      </c>
      <c r="B10374">
        <v>362</v>
      </c>
      <c r="C10374" s="1" t="str">
        <f>HYPERLINK("http://www.rosaceae.org/gb/gbrowse/malus_x_domestica/?name=MDP0000320827","MDP0000320827")</f>
        <v>MDP0000320827</v>
      </c>
      <c r="D10374">
        <v>59.71</v>
      </c>
      <c r="E10374">
        <v>345</v>
      </c>
      <c r="F10374">
        <v>139</v>
      </c>
      <c r="G10374">
        <v>9</v>
      </c>
      <c r="H10374">
        <v>26</v>
      </c>
      <c r="I10374">
        <v>362</v>
      </c>
      <c r="J10374">
        <v>1</v>
      </c>
      <c r="K10374">
        <v>1</v>
      </c>
      <c r="L10374">
        <v>344</v>
      </c>
      <c r="M10374">
        <v>1</v>
      </c>
      <c r="N10374">
        <v>1.2097E-107</v>
      </c>
      <c r="O10374">
        <v>993</v>
      </c>
    </row>
    <row r="10375" spans="1:15" x14ac:dyDescent="0.25">
      <c r="A10375" t="s">
        <v>10388</v>
      </c>
      <c r="B10375">
        <v>542</v>
      </c>
      <c r="C10375" s="1" t="str">
        <f>HYPERLINK("http://www.rosaceae.org/gb/gbrowse/malus_x_domestica/?name=MDP0000300103","MDP0000300103")</f>
        <v>MDP0000300103</v>
      </c>
      <c r="D10375">
        <v>81.569999999999993</v>
      </c>
      <c r="E10375">
        <v>331</v>
      </c>
      <c r="F10375">
        <v>61</v>
      </c>
      <c r="G10375">
        <v>2</v>
      </c>
      <c r="H10375">
        <v>40</v>
      </c>
      <c r="I10375">
        <v>369</v>
      </c>
      <c r="J10375">
        <v>1</v>
      </c>
      <c r="K10375">
        <v>35</v>
      </c>
      <c r="L10375">
        <v>364</v>
      </c>
      <c r="M10375">
        <v>1</v>
      </c>
      <c r="N10375">
        <v>6.4467900000000003E-162</v>
      </c>
      <c r="O10375">
        <v>1463</v>
      </c>
    </row>
    <row r="10376" spans="1:15" x14ac:dyDescent="0.25">
      <c r="A10376" t="s">
        <v>10389</v>
      </c>
      <c r="B10376">
        <v>456</v>
      </c>
      <c r="C10376" s="1" t="str">
        <f>HYPERLINK("http://www.rosaceae.org/gb/gbrowse/malus_x_domestica/?name=MDP0000247921","MDP0000247921")</f>
        <v>MDP0000247921</v>
      </c>
      <c r="D10376">
        <v>35.96</v>
      </c>
      <c r="E10376">
        <v>203</v>
      </c>
      <c r="F10376">
        <v>130</v>
      </c>
      <c r="G10376">
        <v>43</v>
      </c>
      <c r="H10376">
        <v>26</v>
      </c>
      <c r="I10376">
        <v>185</v>
      </c>
      <c r="J10376">
        <v>1</v>
      </c>
      <c r="K10376">
        <v>562</v>
      </c>
      <c r="L10376">
        <v>764</v>
      </c>
      <c r="M10376">
        <v>1</v>
      </c>
      <c r="N10376">
        <v>2.2886400000000001E-31</v>
      </c>
      <c r="O10376">
        <v>337</v>
      </c>
    </row>
    <row r="10377" spans="1:15" x14ac:dyDescent="0.25">
      <c r="A10377" t="s">
        <v>10390</v>
      </c>
      <c r="B10377">
        <v>273</v>
      </c>
      <c r="C10377" s="1" t="str">
        <f>HYPERLINK("http://www.rosaceae.org/gb/gbrowse/malus_x_domestica/?name=MDP0000581831","MDP0000581831")</f>
        <v>MDP0000581831</v>
      </c>
      <c r="D10377">
        <v>42.22</v>
      </c>
      <c r="E10377">
        <v>225</v>
      </c>
      <c r="F10377">
        <v>130</v>
      </c>
      <c r="G10377">
        <v>30</v>
      </c>
      <c r="H10377">
        <v>1</v>
      </c>
      <c r="I10377">
        <v>219</v>
      </c>
      <c r="J10377">
        <v>1</v>
      </c>
      <c r="K10377">
        <v>1</v>
      </c>
      <c r="L10377">
        <v>201</v>
      </c>
      <c r="M10377">
        <v>1</v>
      </c>
      <c r="N10377">
        <v>9.0577399999999994E-27</v>
      </c>
      <c r="O10377">
        <v>294</v>
      </c>
    </row>
    <row r="10378" spans="1:15" x14ac:dyDescent="0.25">
      <c r="A10378" t="s">
        <v>10391</v>
      </c>
      <c r="B10378">
        <v>101</v>
      </c>
      <c r="C10378" s="1" t="str">
        <f>HYPERLINK("http://www.rosaceae.org/gb/gbrowse/malus_x_domestica/?name=MDP0000137412","MDP0000137412")</f>
        <v>MDP0000137412</v>
      </c>
      <c r="D10378">
        <v>57.77</v>
      </c>
      <c r="E10378">
        <v>45</v>
      </c>
      <c r="F10378">
        <v>19</v>
      </c>
      <c r="G10378">
        <v>0</v>
      </c>
      <c r="H10378">
        <v>54</v>
      </c>
      <c r="I10378">
        <v>98</v>
      </c>
      <c r="J10378">
        <v>1</v>
      </c>
      <c r="K10378">
        <v>467</v>
      </c>
      <c r="L10378">
        <v>511</v>
      </c>
      <c r="M10378">
        <v>1</v>
      </c>
      <c r="N10378">
        <v>6.7784999999999998E-12</v>
      </c>
      <c r="O10378">
        <v>160</v>
      </c>
    </row>
    <row r="10379" spans="1:15" x14ac:dyDescent="0.25">
      <c r="A10379" t="s">
        <v>10392</v>
      </c>
      <c r="B10379">
        <v>464</v>
      </c>
      <c r="C10379" s="1" t="str">
        <f>HYPERLINK("http://www.rosaceae.org/gb/gbrowse/malus_x_domestica/?name=MDP0000296691","MDP0000296691")</f>
        <v>MDP0000296691</v>
      </c>
      <c r="D10379">
        <v>30.06</v>
      </c>
      <c r="E10379">
        <v>143</v>
      </c>
      <c r="F10379">
        <v>100</v>
      </c>
      <c r="G10379">
        <v>16</v>
      </c>
      <c r="H10379">
        <v>76</v>
      </c>
      <c r="I10379">
        <v>210</v>
      </c>
      <c r="J10379">
        <v>1</v>
      </c>
      <c r="K10379">
        <v>536</v>
      </c>
      <c r="L10379">
        <v>670</v>
      </c>
      <c r="M10379">
        <v>1</v>
      </c>
      <c r="N10379">
        <v>9.2569400000000005E-9</v>
      </c>
      <c r="O10379">
        <v>142</v>
      </c>
    </row>
    <row r="10380" spans="1:15" x14ac:dyDescent="0.25">
      <c r="A10380" t="s">
        <v>10393</v>
      </c>
      <c r="B10380">
        <v>192</v>
      </c>
      <c r="C10380" s="1" t="str">
        <f>HYPERLINK("http://www.rosaceae.org/gb/gbrowse/malus_x_domestica/?name=MDP0000676720","MDP0000676720")</f>
        <v>MDP0000676720</v>
      </c>
      <c r="D10380">
        <v>63.04</v>
      </c>
      <c r="E10380">
        <v>184</v>
      </c>
      <c r="F10380">
        <v>68</v>
      </c>
      <c r="G10380">
        <v>10</v>
      </c>
      <c r="H10380">
        <v>14</v>
      </c>
      <c r="I10380">
        <v>191</v>
      </c>
      <c r="J10380">
        <v>1</v>
      </c>
      <c r="K10380">
        <v>5</v>
      </c>
      <c r="L10380">
        <v>184</v>
      </c>
      <c r="M10380">
        <v>1</v>
      </c>
      <c r="N10380">
        <v>3.7061500000000001E-60</v>
      </c>
      <c r="O10380">
        <v>580</v>
      </c>
    </row>
    <row r="10381" spans="1:15" x14ac:dyDescent="0.25">
      <c r="A10381" t="s">
        <v>10394</v>
      </c>
      <c r="B10381">
        <v>159</v>
      </c>
      <c r="C10381" s="1" t="str">
        <f>HYPERLINK("http://www.rosaceae.org/gb/gbrowse/malus_x_domestica/?name=MDP0000121631","MDP0000121631")</f>
        <v>MDP0000121631</v>
      </c>
      <c r="D10381">
        <v>45.13</v>
      </c>
      <c r="E10381">
        <v>113</v>
      </c>
      <c r="F10381">
        <v>62</v>
      </c>
      <c r="G10381">
        <v>27</v>
      </c>
      <c r="H10381">
        <v>11</v>
      </c>
      <c r="I10381">
        <v>107</v>
      </c>
      <c r="J10381">
        <v>1</v>
      </c>
      <c r="K10381">
        <v>133</v>
      </c>
      <c r="L10381">
        <v>234</v>
      </c>
      <c r="M10381">
        <v>1</v>
      </c>
      <c r="N10381">
        <v>3.54144E-22</v>
      </c>
      <c r="O10381">
        <v>251</v>
      </c>
    </row>
    <row r="10382" spans="1:15" x14ac:dyDescent="0.25">
      <c r="A10382" t="s">
        <v>10395</v>
      </c>
      <c r="B10382">
        <v>166</v>
      </c>
      <c r="C10382" s="1" t="str">
        <f>HYPERLINK("http://www.rosaceae.org/gb/gbrowse/malus_x_domestica/?name=MDP0000234152","MDP0000234152")</f>
        <v>MDP0000234152</v>
      </c>
      <c r="D10382">
        <v>33.090000000000003</v>
      </c>
      <c r="E10382">
        <v>142</v>
      </c>
      <c r="F10382">
        <v>95</v>
      </c>
      <c r="G10382">
        <v>3</v>
      </c>
      <c r="H10382">
        <v>1</v>
      </c>
      <c r="I10382">
        <v>141</v>
      </c>
      <c r="J10382">
        <v>1</v>
      </c>
      <c r="K10382">
        <v>1</v>
      </c>
      <c r="L10382">
        <v>140</v>
      </c>
      <c r="M10382">
        <v>1</v>
      </c>
      <c r="N10382">
        <v>2.1739699999999999E-16</v>
      </c>
      <c r="O10382">
        <v>202</v>
      </c>
    </row>
    <row r="10383" spans="1:15" x14ac:dyDescent="0.25">
      <c r="A10383" t="s">
        <v>10396</v>
      </c>
      <c r="B10383">
        <v>492</v>
      </c>
      <c r="C10383" s="1" t="str">
        <f>HYPERLINK("http://www.rosaceae.org/gb/gbrowse/malus_x_domestica/?name=MDP0000380205","MDP0000380205")</f>
        <v>MDP0000380205</v>
      </c>
      <c r="D10383">
        <v>28.85</v>
      </c>
      <c r="E10383">
        <v>357</v>
      </c>
      <c r="F10383">
        <v>254</v>
      </c>
      <c r="G10383">
        <v>35</v>
      </c>
      <c r="H10383">
        <v>112</v>
      </c>
      <c r="I10383">
        <v>463</v>
      </c>
      <c r="J10383">
        <v>1</v>
      </c>
      <c r="K10383">
        <v>172</v>
      </c>
      <c r="L10383">
        <v>498</v>
      </c>
      <c r="M10383">
        <v>1</v>
      </c>
      <c r="N10383">
        <v>1.3340700000000001E-22</v>
      </c>
      <c r="O10383">
        <v>261</v>
      </c>
    </row>
    <row r="10384" spans="1:15" x14ac:dyDescent="0.25">
      <c r="A10384" t="s">
        <v>10397</v>
      </c>
      <c r="B10384">
        <v>332</v>
      </c>
      <c r="C10384" s="1" t="str">
        <f>HYPERLINK("http://www.rosaceae.org/gb/gbrowse/malus_x_domestica/?name=MDP0000133105","MDP0000133105")</f>
        <v>MDP0000133105</v>
      </c>
      <c r="D10384">
        <v>62.61</v>
      </c>
      <c r="E10384">
        <v>337</v>
      </c>
      <c r="F10384">
        <v>126</v>
      </c>
      <c r="G10384">
        <v>25</v>
      </c>
      <c r="H10384">
        <v>14</v>
      </c>
      <c r="I10384">
        <v>332</v>
      </c>
      <c r="J10384">
        <v>1</v>
      </c>
      <c r="K10384">
        <v>5</v>
      </c>
      <c r="L10384">
        <v>334</v>
      </c>
      <c r="M10384">
        <v>1</v>
      </c>
      <c r="N10384">
        <v>7.8902799999999996E-117</v>
      </c>
      <c r="O10384">
        <v>1072</v>
      </c>
    </row>
    <row r="10385" spans="1:15" x14ac:dyDescent="0.25">
      <c r="A10385" t="s">
        <v>10398</v>
      </c>
      <c r="B10385">
        <v>546</v>
      </c>
      <c r="C10385" s="1" t="str">
        <f>HYPERLINK("http://www.rosaceae.org/gb/gbrowse/malus_x_domestica/?name=MDP0000261721","MDP0000261721")</f>
        <v>MDP0000261721</v>
      </c>
      <c r="D10385">
        <v>50.34</v>
      </c>
      <c r="E10385">
        <v>433</v>
      </c>
      <c r="F10385">
        <v>215</v>
      </c>
      <c r="G10385">
        <v>57</v>
      </c>
      <c r="H10385">
        <v>81</v>
      </c>
      <c r="I10385">
        <v>485</v>
      </c>
      <c r="J10385">
        <v>1</v>
      </c>
      <c r="K10385">
        <v>1000</v>
      </c>
      <c r="L10385">
        <v>1403</v>
      </c>
      <c r="M10385">
        <v>1</v>
      </c>
      <c r="N10385">
        <v>6.6415200000000001E-91</v>
      </c>
      <c r="O10385">
        <v>851</v>
      </c>
    </row>
    <row r="10386" spans="1:15" x14ac:dyDescent="0.25">
      <c r="A10386" t="s">
        <v>10399</v>
      </c>
      <c r="B10386">
        <v>282</v>
      </c>
      <c r="C10386" s="1" t="str">
        <f>HYPERLINK("http://www.rosaceae.org/gb/gbrowse/malus_x_domestica/?name=MDP0000182565","MDP0000182565")</f>
        <v>MDP0000182565</v>
      </c>
      <c r="D10386">
        <v>59.29</v>
      </c>
      <c r="E10386">
        <v>312</v>
      </c>
      <c r="F10386">
        <v>127</v>
      </c>
      <c r="G10386">
        <v>30</v>
      </c>
      <c r="H10386">
        <v>1</v>
      </c>
      <c r="I10386">
        <v>282</v>
      </c>
      <c r="J10386">
        <v>1</v>
      </c>
      <c r="K10386">
        <v>1</v>
      </c>
      <c r="L10386">
        <v>312</v>
      </c>
      <c r="M10386">
        <v>1</v>
      </c>
      <c r="N10386">
        <v>1.0062800000000001E-99</v>
      </c>
      <c r="O10386">
        <v>924</v>
      </c>
    </row>
    <row r="10387" spans="1:15" x14ac:dyDescent="0.25">
      <c r="A10387" t="s">
        <v>10400</v>
      </c>
      <c r="B10387">
        <v>161</v>
      </c>
      <c r="C10387" s="1" t="str">
        <f>HYPERLINK("http://www.rosaceae.org/gb/gbrowse/malus_x_domestica/?name=MDP0000309061","MDP0000309061")</f>
        <v>MDP0000309061</v>
      </c>
      <c r="D10387">
        <v>66.069999999999993</v>
      </c>
      <c r="E10387">
        <v>112</v>
      </c>
      <c r="F10387">
        <v>38</v>
      </c>
      <c r="G10387">
        <v>2</v>
      </c>
      <c r="H10387">
        <v>20</v>
      </c>
      <c r="I10387">
        <v>129</v>
      </c>
      <c r="J10387">
        <v>1</v>
      </c>
      <c r="K10387">
        <v>1042</v>
      </c>
      <c r="L10387">
        <v>1153</v>
      </c>
      <c r="M10387">
        <v>1</v>
      </c>
      <c r="N10387">
        <v>1.33565E-38</v>
      </c>
      <c r="O10387">
        <v>393</v>
      </c>
    </row>
    <row r="10388" spans="1:15" x14ac:dyDescent="0.25">
      <c r="A10388" t="s">
        <v>10401</v>
      </c>
      <c r="B10388">
        <v>901</v>
      </c>
      <c r="C10388" s="1" t="str">
        <f>HYPERLINK("http://www.rosaceae.org/gb/gbrowse/malus_x_domestica/?name=MDP0000585462","MDP0000585462")</f>
        <v>MDP0000585462</v>
      </c>
      <c r="D10388">
        <v>79.290000000000006</v>
      </c>
      <c r="E10388">
        <v>908</v>
      </c>
      <c r="F10388">
        <v>188</v>
      </c>
      <c r="G10388">
        <v>14</v>
      </c>
      <c r="H10388">
        <v>1</v>
      </c>
      <c r="I10388">
        <v>900</v>
      </c>
      <c r="J10388">
        <v>1</v>
      </c>
      <c r="K10388">
        <v>1</v>
      </c>
      <c r="L10388">
        <v>902</v>
      </c>
      <c r="M10388">
        <v>1</v>
      </c>
      <c r="N10388">
        <v>0</v>
      </c>
      <c r="O10388">
        <v>3906</v>
      </c>
    </row>
    <row r="10389" spans="1:15" x14ac:dyDescent="0.25">
      <c r="A10389" t="s">
        <v>10402</v>
      </c>
      <c r="B10389">
        <v>302</v>
      </c>
      <c r="C10389" s="1" t="str">
        <f>HYPERLINK("http://www.rosaceae.org/gb/gbrowse/malus_x_domestica/?name=MDP0000259013","MDP0000259013")</f>
        <v>MDP0000259013</v>
      </c>
      <c r="D10389">
        <v>44.44</v>
      </c>
      <c r="E10389">
        <v>270</v>
      </c>
      <c r="F10389">
        <v>150</v>
      </c>
      <c r="G10389">
        <v>7</v>
      </c>
      <c r="H10389">
        <v>7</v>
      </c>
      <c r="I10389">
        <v>274</v>
      </c>
      <c r="J10389">
        <v>1</v>
      </c>
      <c r="K10389">
        <v>12</v>
      </c>
      <c r="L10389">
        <v>276</v>
      </c>
      <c r="M10389">
        <v>1</v>
      </c>
      <c r="N10389">
        <v>2.2477499999999998E-49</v>
      </c>
      <c r="O10389">
        <v>490</v>
      </c>
    </row>
    <row r="10390" spans="1:15" x14ac:dyDescent="0.25">
      <c r="A10390" t="s">
        <v>10403</v>
      </c>
      <c r="B10390">
        <v>102</v>
      </c>
      <c r="C10390" s="1" t="str">
        <f>HYPERLINK("http://www.rosaceae.org/gb/gbrowse/malus_x_domestica/?name=MDP0000299496","MDP0000299496")</f>
        <v>MDP0000299496</v>
      </c>
      <c r="D10390">
        <v>36.06</v>
      </c>
      <c r="E10390">
        <v>122</v>
      </c>
      <c r="F10390">
        <v>78</v>
      </c>
      <c r="G10390">
        <v>26</v>
      </c>
      <c r="H10390">
        <v>3</v>
      </c>
      <c r="I10390">
        <v>98</v>
      </c>
      <c r="J10390">
        <v>1</v>
      </c>
      <c r="K10390">
        <v>478</v>
      </c>
      <c r="L10390">
        <v>599</v>
      </c>
      <c r="M10390">
        <v>1</v>
      </c>
      <c r="N10390">
        <v>3.26633E-15</v>
      </c>
      <c r="O10390">
        <v>189</v>
      </c>
    </row>
    <row r="10391" spans="1:15" x14ac:dyDescent="0.25">
      <c r="A10391" t="s">
        <v>10404</v>
      </c>
      <c r="B10391">
        <v>486</v>
      </c>
      <c r="C10391" s="1" t="str">
        <f>HYPERLINK("http://www.rosaceae.org/gb/gbrowse/malus_x_domestica/?name=MDP0000317119","MDP0000317119")</f>
        <v>MDP0000317119</v>
      </c>
      <c r="D10391">
        <v>57.43</v>
      </c>
      <c r="E10391">
        <v>491</v>
      </c>
      <c r="F10391">
        <v>209</v>
      </c>
      <c r="G10391">
        <v>28</v>
      </c>
      <c r="H10391">
        <v>2</v>
      </c>
      <c r="I10391">
        <v>465</v>
      </c>
      <c r="J10391">
        <v>1</v>
      </c>
      <c r="K10391">
        <v>51</v>
      </c>
      <c r="L10391">
        <v>540</v>
      </c>
      <c r="M10391">
        <v>1</v>
      </c>
      <c r="N10391">
        <v>8.56914E-165</v>
      </c>
      <c r="O10391">
        <v>1488</v>
      </c>
    </row>
    <row r="10392" spans="1:15" x14ac:dyDescent="0.25">
      <c r="A10392" t="s">
        <v>10405</v>
      </c>
      <c r="B10392">
        <v>524</v>
      </c>
      <c r="C10392" s="1" t="str">
        <f>HYPERLINK("http://www.rosaceae.org/gb/gbrowse/malus_x_domestica/?name=MDP0000205236","MDP0000205236")</f>
        <v>MDP0000205236</v>
      </c>
      <c r="D10392">
        <v>72.81</v>
      </c>
      <c r="E10392">
        <v>526</v>
      </c>
      <c r="F10392">
        <v>143</v>
      </c>
      <c r="G10392">
        <v>11</v>
      </c>
      <c r="H10392">
        <v>9</v>
      </c>
      <c r="I10392">
        <v>523</v>
      </c>
      <c r="J10392">
        <v>1</v>
      </c>
      <c r="K10392">
        <v>11</v>
      </c>
      <c r="L10392">
        <v>536</v>
      </c>
      <c r="M10392">
        <v>1</v>
      </c>
      <c r="N10392">
        <v>0</v>
      </c>
      <c r="O10392">
        <v>1963</v>
      </c>
    </row>
    <row r="10393" spans="1:15" x14ac:dyDescent="0.25">
      <c r="A10393" t="s">
        <v>10406</v>
      </c>
      <c r="B10393">
        <v>450</v>
      </c>
      <c r="C10393" s="1" t="str">
        <f>HYPERLINK("http://www.rosaceae.org/gb/gbrowse/malus_x_domestica/?name=MDP0000832105","MDP0000832105")</f>
        <v>MDP0000832105</v>
      </c>
      <c r="D10393">
        <v>95.68</v>
      </c>
      <c r="E10393">
        <v>440</v>
      </c>
      <c r="F10393">
        <v>19</v>
      </c>
      <c r="G10393">
        <v>0</v>
      </c>
      <c r="H10393">
        <v>1</v>
      </c>
      <c r="I10393">
        <v>440</v>
      </c>
      <c r="J10393">
        <v>1</v>
      </c>
      <c r="K10393">
        <v>1</v>
      </c>
      <c r="L10393">
        <v>440</v>
      </c>
      <c r="M10393">
        <v>1</v>
      </c>
      <c r="N10393">
        <v>0</v>
      </c>
      <c r="O10393">
        <v>2261</v>
      </c>
    </row>
    <row r="10394" spans="1:15" x14ac:dyDescent="0.25">
      <c r="A10394" t="s">
        <v>10407</v>
      </c>
      <c r="B10394">
        <v>268</v>
      </c>
      <c r="C10394" s="1" t="str">
        <f>HYPERLINK("http://www.rosaceae.org/gb/gbrowse/malus_x_domestica/?name=MDP0000849143","MDP0000849143")</f>
        <v>MDP0000849143</v>
      </c>
      <c r="D10394">
        <v>81.91</v>
      </c>
      <c r="E10394">
        <v>271</v>
      </c>
      <c r="F10394">
        <v>49</v>
      </c>
      <c r="G10394">
        <v>3</v>
      </c>
      <c r="H10394">
        <v>1</v>
      </c>
      <c r="I10394">
        <v>268</v>
      </c>
      <c r="J10394">
        <v>1</v>
      </c>
      <c r="K10394">
        <v>1</v>
      </c>
      <c r="L10394">
        <v>271</v>
      </c>
      <c r="M10394">
        <v>1</v>
      </c>
      <c r="N10394">
        <v>2.8614900000000001E-129</v>
      </c>
      <c r="O10394">
        <v>1178</v>
      </c>
    </row>
    <row r="10395" spans="1:15" x14ac:dyDescent="0.25">
      <c r="A10395" t="s">
        <v>10408</v>
      </c>
      <c r="B10395">
        <v>108</v>
      </c>
      <c r="C10395" s="1" t="str">
        <f>HYPERLINK("http://www.rosaceae.org/gb/gbrowse/malus_x_domestica/?name=MDP0000179859","MDP0000179859")</f>
        <v>MDP0000179859</v>
      </c>
      <c r="D10395">
        <v>56.66</v>
      </c>
      <c r="E10395">
        <v>60</v>
      </c>
      <c r="F10395">
        <v>26</v>
      </c>
      <c r="G10395">
        <v>1</v>
      </c>
      <c r="H10395">
        <v>49</v>
      </c>
      <c r="I10395">
        <v>108</v>
      </c>
      <c r="J10395">
        <v>1</v>
      </c>
      <c r="K10395">
        <v>68</v>
      </c>
      <c r="L10395">
        <v>126</v>
      </c>
      <c r="M10395">
        <v>1</v>
      </c>
      <c r="N10395">
        <v>3.3695599999999997E-11</v>
      </c>
      <c r="O10395">
        <v>154</v>
      </c>
    </row>
    <row r="10396" spans="1:15" x14ac:dyDescent="0.25">
      <c r="A10396" t="s">
        <v>10409</v>
      </c>
      <c r="B10396">
        <v>607</v>
      </c>
      <c r="C10396" s="1" t="str">
        <f>HYPERLINK("http://www.rosaceae.org/gb/gbrowse/malus_x_domestica/?name=MDP0000286452","MDP0000286452")</f>
        <v>MDP0000286452</v>
      </c>
      <c r="D10396">
        <v>84.84</v>
      </c>
      <c r="E10396">
        <v>607</v>
      </c>
      <c r="F10396">
        <v>92</v>
      </c>
      <c r="G10396">
        <v>2</v>
      </c>
      <c r="H10396">
        <v>1</v>
      </c>
      <c r="I10396">
        <v>607</v>
      </c>
      <c r="J10396">
        <v>1</v>
      </c>
      <c r="K10396">
        <v>1</v>
      </c>
      <c r="L10396">
        <v>605</v>
      </c>
      <c r="M10396">
        <v>1</v>
      </c>
      <c r="N10396">
        <v>0</v>
      </c>
      <c r="O10396">
        <v>2811</v>
      </c>
    </row>
    <row r="10397" spans="1:15" x14ac:dyDescent="0.25">
      <c r="A10397" t="s">
        <v>10410</v>
      </c>
      <c r="B10397">
        <v>506</v>
      </c>
      <c r="C10397" s="1" t="str">
        <f>HYPERLINK("http://www.rosaceae.org/gb/gbrowse/malus_x_domestica/?name=MDP0000265580","MDP0000265580")</f>
        <v>MDP0000265580</v>
      </c>
      <c r="D10397">
        <v>78.41</v>
      </c>
      <c r="E10397">
        <v>278</v>
      </c>
      <c r="F10397">
        <v>60</v>
      </c>
      <c r="G10397">
        <v>10</v>
      </c>
      <c r="H10397">
        <v>175</v>
      </c>
      <c r="I10397">
        <v>443</v>
      </c>
      <c r="J10397">
        <v>1</v>
      </c>
      <c r="K10397">
        <v>369</v>
      </c>
      <c r="L10397">
        <v>645</v>
      </c>
      <c r="M10397">
        <v>1</v>
      </c>
      <c r="N10397">
        <v>9.2193300000000005E-126</v>
      </c>
      <c r="O10397">
        <v>1151</v>
      </c>
    </row>
    <row r="10398" spans="1:15" x14ac:dyDescent="0.25">
      <c r="A10398" t="s">
        <v>10411</v>
      </c>
      <c r="B10398">
        <v>243</v>
      </c>
      <c r="C10398" s="1" t="str">
        <f>HYPERLINK("http://www.rosaceae.org/gb/gbrowse/malus_x_domestica/?name=MDP0000129051","MDP0000129051")</f>
        <v>MDP0000129051</v>
      </c>
      <c r="D10398">
        <v>82.17</v>
      </c>
      <c r="E10398">
        <v>258</v>
      </c>
      <c r="F10398">
        <v>46</v>
      </c>
      <c r="G10398">
        <v>15</v>
      </c>
      <c r="H10398">
        <v>1</v>
      </c>
      <c r="I10398">
        <v>243</v>
      </c>
      <c r="J10398">
        <v>1</v>
      </c>
      <c r="K10398">
        <v>1</v>
      </c>
      <c r="L10398">
        <v>258</v>
      </c>
      <c r="M10398">
        <v>1</v>
      </c>
      <c r="N10398">
        <v>9.2001000000000005E-122</v>
      </c>
      <c r="O10398">
        <v>1113</v>
      </c>
    </row>
    <row r="10399" spans="1:15" x14ac:dyDescent="0.25">
      <c r="A10399" t="s">
        <v>10412</v>
      </c>
      <c r="B10399">
        <v>552</v>
      </c>
      <c r="C10399" s="1" t="str">
        <f>HYPERLINK("http://www.rosaceae.org/gb/gbrowse/malus_x_domestica/?name=MDP0000311911","MDP0000311911")</f>
        <v>MDP0000311911</v>
      </c>
      <c r="D10399">
        <v>61.15</v>
      </c>
      <c r="E10399">
        <v>659</v>
      </c>
      <c r="F10399">
        <v>256</v>
      </c>
      <c r="G10399">
        <v>121</v>
      </c>
      <c r="H10399">
        <v>9</v>
      </c>
      <c r="I10399">
        <v>549</v>
      </c>
      <c r="J10399">
        <v>1</v>
      </c>
      <c r="K10399">
        <v>642</v>
      </c>
      <c r="L10399">
        <v>1297</v>
      </c>
      <c r="M10399">
        <v>1</v>
      </c>
      <c r="N10399">
        <v>0</v>
      </c>
      <c r="O10399">
        <v>2073</v>
      </c>
    </row>
    <row r="10400" spans="1:15" x14ac:dyDescent="0.25">
      <c r="A10400" t="s">
        <v>10413</v>
      </c>
      <c r="B10400">
        <v>415</v>
      </c>
      <c r="C10400" s="1" t="str">
        <f>HYPERLINK("http://www.rosaceae.org/gb/gbrowse/malus_x_domestica/?name=MDP0000298783","MDP0000298783")</f>
        <v>MDP0000298783</v>
      </c>
      <c r="D10400">
        <v>85.98</v>
      </c>
      <c r="E10400">
        <v>264</v>
      </c>
      <c r="F10400">
        <v>37</v>
      </c>
      <c r="G10400">
        <v>23</v>
      </c>
      <c r="H10400">
        <v>34</v>
      </c>
      <c r="I10400">
        <v>274</v>
      </c>
      <c r="J10400">
        <v>1</v>
      </c>
      <c r="K10400">
        <v>253</v>
      </c>
      <c r="L10400">
        <v>516</v>
      </c>
      <c r="M10400">
        <v>1</v>
      </c>
      <c r="N10400">
        <v>1.0489E-128</v>
      </c>
      <c r="O10400">
        <v>1176</v>
      </c>
    </row>
    <row r="10401" spans="1:15" x14ac:dyDescent="0.25">
      <c r="A10401" t="s">
        <v>10414</v>
      </c>
      <c r="B10401">
        <v>272</v>
      </c>
      <c r="C10401" s="1" t="str">
        <f>HYPERLINK("http://www.rosaceae.org/gb/gbrowse/malus_x_domestica/?name=MDP0000855406","MDP0000855406")</f>
        <v>MDP0000855406</v>
      </c>
      <c r="D10401">
        <v>24.6</v>
      </c>
      <c r="E10401">
        <v>126</v>
      </c>
      <c r="F10401">
        <v>95</v>
      </c>
      <c r="G10401">
        <v>17</v>
      </c>
      <c r="H10401">
        <v>3</v>
      </c>
      <c r="I10401">
        <v>114</v>
      </c>
      <c r="J10401">
        <v>1</v>
      </c>
      <c r="K10401">
        <v>2</v>
      </c>
      <c r="L10401">
        <v>124</v>
      </c>
      <c r="M10401">
        <v>1</v>
      </c>
      <c r="N10401">
        <v>1.3287E-8</v>
      </c>
      <c r="O10401">
        <v>138</v>
      </c>
    </row>
    <row r="10402" spans="1:15" x14ac:dyDescent="0.25">
      <c r="A10402" t="s">
        <v>10415</v>
      </c>
      <c r="B10402">
        <v>434</v>
      </c>
      <c r="C10402" s="1" t="str">
        <f>HYPERLINK("http://www.rosaceae.org/gb/gbrowse/malus_x_domestica/?name=MDP0000237182","MDP0000237182")</f>
        <v>MDP0000237182</v>
      </c>
      <c r="D10402">
        <v>36.75</v>
      </c>
      <c r="E10402">
        <v>117</v>
      </c>
      <c r="F10402">
        <v>74</v>
      </c>
      <c r="G10402">
        <v>2</v>
      </c>
      <c r="H10402">
        <v>18</v>
      </c>
      <c r="I10402">
        <v>132</v>
      </c>
      <c r="J10402">
        <v>1</v>
      </c>
      <c r="K10402">
        <v>395</v>
      </c>
      <c r="L10402">
        <v>511</v>
      </c>
      <c r="M10402">
        <v>1</v>
      </c>
      <c r="N10402">
        <v>9.0347500000000003E-15</v>
      </c>
      <c r="O10402">
        <v>193</v>
      </c>
    </row>
    <row r="10403" spans="1:15" x14ac:dyDescent="0.25">
      <c r="A10403" t="s">
        <v>10416</v>
      </c>
      <c r="B10403">
        <v>325</v>
      </c>
      <c r="C10403" s="1" t="str">
        <f>HYPERLINK("http://www.rosaceae.org/gb/gbrowse/malus_x_domestica/?name=MDP0000247605","MDP0000247605")</f>
        <v>MDP0000247605</v>
      </c>
      <c r="D10403">
        <v>47.07</v>
      </c>
      <c r="E10403">
        <v>342</v>
      </c>
      <c r="F10403">
        <v>181</v>
      </c>
      <c r="G10403">
        <v>23</v>
      </c>
      <c r="H10403">
        <v>1</v>
      </c>
      <c r="I10403">
        <v>324</v>
      </c>
      <c r="J10403">
        <v>1</v>
      </c>
      <c r="K10403">
        <v>1</v>
      </c>
      <c r="L10403">
        <v>337</v>
      </c>
      <c r="M10403">
        <v>1</v>
      </c>
      <c r="N10403">
        <v>1.5318699999999999E-80</v>
      </c>
      <c r="O10403">
        <v>759</v>
      </c>
    </row>
    <row r="10404" spans="1:15" x14ac:dyDescent="0.25">
      <c r="A10404" t="s">
        <v>10417</v>
      </c>
      <c r="B10404">
        <v>520</v>
      </c>
      <c r="C10404" s="1" t="str">
        <f>HYPERLINK("http://www.rosaceae.org/gb/gbrowse/malus_x_domestica/?name=MDP0000259421","MDP0000259421")</f>
        <v>MDP0000259421</v>
      </c>
      <c r="D10404">
        <v>83.05</v>
      </c>
      <c r="E10404">
        <v>478</v>
      </c>
      <c r="F10404">
        <v>81</v>
      </c>
      <c r="G10404">
        <v>22</v>
      </c>
      <c r="H10404">
        <v>1</v>
      </c>
      <c r="I10404">
        <v>456</v>
      </c>
      <c r="J10404">
        <v>1</v>
      </c>
      <c r="K10404">
        <v>1297</v>
      </c>
      <c r="L10404">
        <v>1774</v>
      </c>
      <c r="M10404">
        <v>1</v>
      </c>
      <c r="N10404">
        <v>0</v>
      </c>
      <c r="O10404">
        <v>2164</v>
      </c>
    </row>
    <row r="10405" spans="1:15" x14ac:dyDescent="0.25">
      <c r="A10405" t="s">
        <v>10418</v>
      </c>
      <c r="B10405">
        <v>803</v>
      </c>
      <c r="C10405" s="1" t="str">
        <f>HYPERLINK("http://www.rosaceae.org/gb/gbrowse/malus_x_domestica/?name=MDP0000177788","MDP0000177788")</f>
        <v>MDP0000177788</v>
      </c>
      <c r="D10405">
        <v>80.72</v>
      </c>
      <c r="E10405">
        <v>804</v>
      </c>
      <c r="F10405">
        <v>155</v>
      </c>
      <c r="G10405">
        <v>3</v>
      </c>
      <c r="H10405">
        <v>1</v>
      </c>
      <c r="I10405">
        <v>803</v>
      </c>
      <c r="J10405">
        <v>1</v>
      </c>
      <c r="K10405">
        <v>1</v>
      </c>
      <c r="L10405">
        <v>802</v>
      </c>
      <c r="M10405">
        <v>1</v>
      </c>
      <c r="N10405">
        <v>0</v>
      </c>
      <c r="O10405">
        <v>3466</v>
      </c>
    </row>
    <row r="10406" spans="1:15" x14ac:dyDescent="0.25">
      <c r="A10406" t="s">
        <v>10419</v>
      </c>
      <c r="B10406">
        <v>488</v>
      </c>
      <c r="C10406" s="1" t="str">
        <f>HYPERLINK("http://www.rosaceae.org/gb/gbrowse/malus_x_domestica/?name=MDP0000868551","MDP0000868551")</f>
        <v>MDP0000868551</v>
      </c>
      <c r="D10406">
        <v>71.02</v>
      </c>
      <c r="E10406">
        <v>421</v>
      </c>
      <c r="F10406">
        <v>122</v>
      </c>
      <c r="G10406">
        <v>8</v>
      </c>
      <c r="H10406">
        <v>67</v>
      </c>
      <c r="I10406">
        <v>480</v>
      </c>
      <c r="J10406">
        <v>1</v>
      </c>
      <c r="K10406">
        <v>14</v>
      </c>
      <c r="L10406">
        <v>433</v>
      </c>
      <c r="M10406">
        <v>1</v>
      </c>
      <c r="N10406">
        <v>9.7374299999999994E-174</v>
      </c>
      <c r="O10406">
        <v>1565</v>
      </c>
    </row>
    <row r="10407" spans="1:15" x14ac:dyDescent="0.25">
      <c r="A10407" t="s">
        <v>10420</v>
      </c>
      <c r="B10407">
        <v>767</v>
      </c>
      <c r="C10407" s="1" t="str">
        <f>HYPERLINK("http://www.rosaceae.org/gb/gbrowse/malus_x_domestica/?name=MDP0000865079","MDP0000865079")</f>
        <v>MDP0000865079</v>
      </c>
      <c r="D10407">
        <v>80.05</v>
      </c>
      <c r="E10407">
        <v>682</v>
      </c>
      <c r="F10407">
        <v>136</v>
      </c>
      <c r="G10407">
        <v>5</v>
      </c>
      <c r="H10407">
        <v>1</v>
      </c>
      <c r="I10407">
        <v>681</v>
      </c>
      <c r="J10407">
        <v>1</v>
      </c>
      <c r="K10407">
        <v>1</v>
      </c>
      <c r="L10407">
        <v>678</v>
      </c>
      <c r="M10407">
        <v>1</v>
      </c>
      <c r="N10407">
        <v>0</v>
      </c>
      <c r="O10407">
        <v>2813</v>
      </c>
    </row>
    <row r="10408" spans="1:15" x14ac:dyDescent="0.25">
      <c r="A10408" t="s">
        <v>10421</v>
      </c>
      <c r="B10408">
        <v>584</v>
      </c>
      <c r="C10408" s="1" t="str">
        <f>HYPERLINK("http://www.rosaceae.org/gb/gbrowse/malus_x_domestica/?name=MDP0000256238","MDP0000256238")</f>
        <v>MDP0000256238</v>
      </c>
      <c r="D10408">
        <v>76.3</v>
      </c>
      <c r="E10408">
        <v>519</v>
      </c>
      <c r="F10408">
        <v>123</v>
      </c>
      <c r="G10408">
        <v>11</v>
      </c>
      <c r="H10408">
        <v>1</v>
      </c>
      <c r="I10408">
        <v>518</v>
      </c>
      <c r="J10408">
        <v>1</v>
      </c>
      <c r="K10408">
        <v>220</v>
      </c>
      <c r="L10408">
        <v>728</v>
      </c>
      <c r="M10408">
        <v>1</v>
      </c>
      <c r="N10408">
        <v>0</v>
      </c>
      <c r="O10408">
        <v>1995</v>
      </c>
    </row>
    <row r="10409" spans="1:15" x14ac:dyDescent="0.25">
      <c r="A10409" t="s">
        <v>10422</v>
      </c>
      <c r="B10409">
        <v>568</v>
      </c>
      <c r="C10409" s="1" t="str">
        <f>HYPERLINK("http://www.rosaceae.org/gb/gbrowse/malus_x_domestica/?name=MDP0000194908","MDP0000194908")</f>
        <v>MDP0000194908</v>
      </c>
      <c r="D10409">
        <v>75.8</v>
      </c>
      <c r="E10409">
        <v>587</v>
      </c>
      <c r="F10409">
        <v>142</v>
      </c>
      <c r="G10409">
        <v>45</v>
      </c>
      <c r="H10409">
        <v>1</v>
      </c>
      <c r="I10409">
        <v>542</v>
      </c>
      <c r="J10409">
        <v>1</v>
      </c>
      <c r="K10409">
        <v>1</v>
      </c>
      <c r="L10409">
        <v>587</v>
      </c>
      <c r="M10409">
        <v>1</v>
      </c>
      <c r="N10409">
        <v>0</v>
      </c>
      <c r="O10409">
        <v>2266</v>
      </c>
    </row>
    <row r="10410" spans="1:15" x14ac:dyDescent="0.25">
      <c r="A10410" t="s">
        <v>10423</v>
      </c>
      <c r="B10410">
        <v>310</v>
      </c>
      <c r="C10410" s="1" t="str">
        <f>HYPERLINK("http://www.rosaceae.org/gb/gbrowse/malus_x_domestica/?name=MDP0000125288","MDP0000125288")</f>
        <v>MDP0000125288</v>
      </c>
      <c r="D10410">
        <v>82.2</v>
      </c>
      <c r="E10410">
        <v>309</v>
      </c>
      <c r="F10410">
        <v>55</v>
      </c>
      <c r="G10410">
        <v>1</v>
      </c>
      <c r="H10410">
        <v>1</v>
      </c>
      <c r="I10410">
        <v>309</v>
      </c>
      <c r="J10410">
        <v>1</v>
      </c>
      <c r="K10410">
        <v>323</v>
      </c>
      <c r="L10410">
        <v>630</v>
      </c>
      <c r="M10410">
        <v>1</v>
      </c>
      <c r="N10410">
        <v>7.2895899999999999E-156</v>
      </c>
      <c r="O10410">
        <v>1408</v>
      </c>
    </row>
    <row r="10411" spans="1:15" x14ac:dyDescent="0.25">
      <c r="A10411" t="s">
        <v>10424</v>
      </c>
      <c r="B10411">
        <v>278</v>
      </c>
      <c r="C10411" s="1" t="str">
        <f>HYPERLINK("http://www.rosaceae.org/gb/gbrowse/malus_x_domestica/?name=MDP0000785820","MDP0000785820")</f>
        <v>MDP0000785820</v>
      </c>
      <c r="D10411">
        <v>52.32</v>
      </c>
      <c r="E10411">
        <v>279</v>
      </c>
      <c r="F10411">
        <v>133</v>
      </c>
      <c r="G10411">
        <v>24</v>
      </c>
      <c r="H10411">
        <v>1</v>
      </c>
      <c r="I10411">
        <v>278</v>
      </c>
      <c r="J10411">
        <v>1</v>
      </c>
      <c r="K10411">
        <v>1</v>
      </c>
      <c r="L10411">
        <v>256</v>
      </c>
      <c r="M10411">
        <v>1</v>
      </c>
      <c r="N10411">
        <v>2.84162E-67</v>
      </c>
      <c r="O10411">
        <v>644</v>
      </c>
    </row>
    <row r="10412" spans="1:15" x14ac:dyDescent="0.25">
      <c r="A10412" t="s">
        <v>10425</v>
      </c>
      <c r="B10412">
        <v>171</v>
      </c>
      <c r="C10412" s="1" t="str">
        <f>HYPERLINK("http://www.rosaceae.org/gb/gbrowse/malus_x_domestica/?name=MDP0000302532","MDP0000302532")</f>
        <v>MDP0000302532</v>
      </c>
      <c r="D10412">
        <v>32.119999999999997</v>
      </c>
      <c r="E10412">
        <v>193</v>
      </c>
      <c r="F10412">
        <v>131</v>
      </c>
      <c r="G10412">
        <v>42</v>
      </c>
      <c r="H10412">
        <v>3</v>
      </c>
      <c r="I10412">
        <v>154</v>
      </c>
      <c r="J10412">
        <v>1</v>
      </c>
      <c r="K10412">
        <v>88</v>
      </c>
      <c r="L10412">
        <v>279</v>
      </c>
      <c r="M10412">
        <v>1</v>
      </c>
      <c r="N10412">
        <v>2.5494500000000002E-21</v>
      </c>
      <c r="O10412">
        <v>244</v>
      </c>
    </row>
    <row r="10413" spans="1:15" x14ac:dyDescent="0.25">
      <c r="A10413" t="s">
        <v>10426</v>
      </c>
      <c r="B10413">
        <v>277</v>
      </c>
      <c r="C10413" s="1" t="str">
        <f>HYPERLINK("http://www.rosaceae.org/gb/gbrowse/malus_x_domestica/?name=MDP0000158045","MDP0000158045")</f>
        <v>MDP0000158045</v>
      </c>
      <c r="D10413">
        <v>69.819999999999993</v>
      </c>
      <c r="E10413">
        <v>285</v>
      </c>
      <c r="F10413">
        <v>86</v>
      </c>
      <c r="G10413">
        <v>15</v>
      </c>
      <c r="H10413">
        <v>1</v>
      </c>
      <c r="I10413">
        <v>277</v>
      </c>
      <c r="J10413">
        <v>1</v>
      </c>
      <c r="K10413">
        <v>34</v>
      </c>
      <c r="L10413">
        <v>311</v>
      </c>
      <c r="M10413">
        <v>1</v>
      </c>
      <c r="N10413">
        <v>3.5852000000000001E-109</v>
      </c>
      <c r="O10413">
        <v>1005</v>
      </c>
    </row>
    <row r="10414" spans="1:15" x14ac:dyDescent="0.25">
      <c r="A10414" t="s">
        <v>10427</v>
      </c>
      <c r="B10414">
        <v>397</v>
      </c>
      <c r="C10414" s="1" t="str">
        <f>HYPERLINK("http://www.rosaceae.org/gb/gbrowse/malus_x_domestica/?name=MDP0000139386","MDP0000139386")</f>
        <v>MDP0000139386</v>
      </c>
      <c r="D10414">
        <v>62.79</v>
      </c>
      <c r="E10414">
        <v>387</v>
      </c>
      <c r="F10414">
        <v>144</v>
      </c>
      <c r="G10414">
        <v>12</v>
      </c>
      <c r="H10414">
        <v>11</v>
      </c>
      <c r="I10414">
        <v>397</v>
      </c>
      <c r="J10414">
        <v>1</v>
      </c>
      <c r="K10414">
        <v>12</v>
      </c>
      <c r="L10414">
        <v>386</v>
      </c>
      <c r="M10414">
        <v>1</v>
      </c>
      <c r="N10414">
        <v>3.9428899999999998E-131</v>
      </c>
      <c r="O10414">
        <v>1196</v>
      </c>
    </row>
    <row r="10415" spans="1:15" x14ac:dyDescent="0.25">
      <c r="A10415" t="s">
        <v>10428</v>
      </c>
      <c r="B10415">
        <v>2310</v>
      </c>
      <c r="C10415" s="1" t="str">
        <f>HYPERLINK("http://www.rosaceae.org/gb/gbrowse/malus_x_domestica/?name=MDP0000318858","MDP0000318858")</f>
        <v>MDP0000318858</v>
      </c>
      <c r="D10415">
        <v>83.14</v>
      </c>
      <c r="E10415">
        <v>2249</v>
      </c>
      <c r="F10415">
        <v>379</v>
      </c>
      <c r="G10415">
        <v>52</v>
      </c>
      <c r="H10415">
        <v>1</v>
      </c>
      <c r="I10415">
        <v>2224</v>
      </c>
      <c r="J10415">
        <v>1</v>
      </c>
      <c r="K10415">
        <v>1</v>
      </c>
      <c r="L10415">
        <v>2222</v>
      </c>
      <c r="M10415">
        <v>1</v>
      </c>
      <c r="N10415">
        <v>0</v>
      </c>
      <c r="O10415">
        <v>9944</v>
      </c>
    </row>
    <row r="10416" spans="1:15" x14ac:dyDescent="0.25">
      <c r="A10416" t="s">
        <v>10429</v>
      </c>
      <c r="B10416">
        <v>266</v>
      </c>
      <c r="C10416" s="1" t="str">
        <f>HYPERLINK("http://www.rosaceae.org/gb/gbrowse/malus_x_domestica/?name=MDP0000311623","MDP0000311623")</f>
        <v>MDP0000311623</v>
      </c>
      <c r="D10416">
        <v>75.23</v>
      </c>
      <c r="E10416">
        <v>214</v>
      </c>
      <c r="F10416">
        <v>53</v>
      </c>
      <c r="G10416">
        <v>9</v>
      </c>
      <c r="H10416">
        <v>62</v>
      </c>
      <c r="I10416">
        <v>266</v>
      </c>
      <c r="J10416">
        <v>1</v>
      </c>
      <c r="K10416">
        <v>48</v>
      </c>
      <c r="L10416">
        <v>261</v>
      </c>
      <c r="M10416">
        <v>1</v>
      </c>
      <c r="N10416">
        <v>9.5097500000000006E-89</v>
      </c>
      <c r="O10416">
        <v>829</v>
      </c>
    </row>
    <row r="10417" spans="1:15" x14ac:dyDescent="0.25">
      <c r="A10417" t="s">
        <v>10430</v>
      </c>
      <c r="B10417">
        <v>435</v>
      </c>
      <c r="C10417" s="1" t="str">
        <f>HYPERLINK("http://www.rosaceae.org/gb/gbrowse/malus_x_domestica/?name=MDP0000240458","MDP0000240458")</f>
        <v>MDP0000240458</v>
      </c>
      <c r="D10417">
        <v>82.06</v>
      </c>
      <c r="E10417">
        <v>446</v>
      </c>
      <c r="F10417">
        <v>80</v>
      </c>
      <c r="G10417">
        <v>19</v>
      </c>
      <c r="H10417">
        <v>1</v>
      </c>
      <c r="I10417">
        <v>435</v>
      </c>
      <c r="J10417">
        <v>1</v>
      </c>
      <c r="K10417">
        <v>1</v>
      </c>
      <c r="L10417">
        <v>438</v>
      </c>
      <c r="M10417">
        <v>1</v>
      </c>
      <c r="N10417">
        <v>0</v>
      </c>
      <c r="O10417">
        <v>1926</v>
      </c>
    </row>
    <row r="10418" spans="1:15" x14ac:dyDescent="0.25">
      <c r="A10418" t="s">
        <v>10431</v>
      </c>
      <c r="B10418">
        <v>184</v>
      </c>
      <c r="C10418" s="1" t="str">
        <f>HYPERLINK("http://www.rosaceae.org/gb/gbrowse/malus_x_domestica/?name=MDP0000274606","MDP0000274606")</f>
        <v>MDP0000274606</v>
      </c>
      <c r="D10418">
        <v>53.67</v>
      </c>
      <c r="E10418">
        <v>177</v>
      </c>
      <c r="F10418">
        <v>82</v>
      </c>
      <c r="G10418">
        <v>13</v>
      </c>
      <c r="H10418">
        <v>1</v>
      </c>
      <c r="I10418">
        <v>170</v>
      </c>
      <c r="J10418">
        <v>1</v>
      </c>
      <c r="K10418">
        <v>1</v>
      </c>
      <c r="L10418">
        <v>171</v>
      </c>
      <c r="M10418">
        <v>1</v>
      </c>
      <c r="N10418">
        <v>4.8289600000000004E-44</v>
      </c>
      <c r="O10418">
        <v>441</v>
      </c>
    </row>
    <row r="10419" spans="1:15" x14ac:dyDescent="0.25">
      <c r="A10419" t="s">
        <v>10432</v>
      </c>
      <c r="B10419">
        <v>2029</v>
      </c>
      <c r="C10419" s="1" t="str">
        <f>HYPERLINK("http://www.rosaceae.org/gb/gbrowse/malus_x_domestica/?name=MDP0000250441","MDP0000250441")</f>
        <v>MDP0000250441</v>
      </c>
      <c r="D10419">
        <v>78.430000000000007</v>
      </c>
      <c r="E10419">
        <v>807</v>
      </c>
      <c r="F10419">
        <v>174</v>
      </c>
      <c r="G10419">
        <v>25</v>
      </c>
      <c r="H10419">
        <v>590</v>
      </c>
      <c r="I10419">
        <v>1371</v>
      </c>
      <c r="J10419">
        <v>1</v>
      </c>
      <c r="K10419">
        <v>1</v>
      </c>
      <c r="L10419">
        <v>807</v>
      </c>
      <c r="M10419">
        <v>1</v>
      </c>
      <c r="N10419">
        <v>0</v>
      </c>
      <c r="O10419">
        <v>3334</v>
      </c>
    </row>
    <row r="10420" spans="1:15" x14ac:dyDescent="0.25">
      <c r="A10420" t="s">
        <v>10433</v>
      </c>
      <c r="B10420">
        <v>372</v>
      </c>
      <c r="C10420" s="1" t="str">
        <f>HYPERLINK("http://www.rosaceae.org/gb/gbrowse/malus_x_domestica/?name=MDP0000321902","MDP0000321902")</f>
        <v>MDP0000321902</v>
      </c>
      <c r="D10420">
        <v>33.619999999999997</v>
      </c>
      <c r="E10420">
        <v>229</v>
      </c>
      <c r="F10420">
        <v>152</v>
      </c>
      <c r="G10420">
        <v>31</v>
      </c>
      <c r="H10420">
        <v>172</v>
      </c>
      <c r="I10420">
        <v>372</v>
      </c>
      <c r="J10420">
        <v>1</v>
      </c>
      <c r="K10420">
        <v>8</v>
      </c>
      <c r="L10420">
        <v>233</v>
      </c>
      <c r="M10420">
        <v>1</v>
      </c>
      <c r="N10420">
        <v>7.6105499999999997E-25</v>
      </c>
      <c r="O10420">
        <v>279</v>
      </c>
    </row>
    <row r="10421" spans="1:15" x14ac:dyDescent="0.25">
      <c r="A10421" t="s">
        <v>10434</v>
      </c>
      <c r="B10421">
        <v>274</v>
      </c>
      <c r="C10421" s="1" t="str">
        <f>HYPERLINK("http://www.rosaceae.org/gb/gbrowse/malus_x_domestica/?name=MDP0000170987","MDP0000170987")</f>
        <v>MDP0000170987</v>
      </c>
      <c r="D10421">
        <v>52.41</v>
      </c>
      <c r="E10421">
        <v>124</v>
      </c>
      <c r="F10421">
        <v>59</v>
      </c>
      <c r="G10421">
        <v>41</v>
      </c>
      <c r="H10421">
        <v>23</v>
      </c>
      <c r="I10421">
        <v>105</v>
      </c>
      <c r="J10421">
        <v>1</v>
      </c>
      <c r="K10421">
        <v>78</v>
      </c>
      <c r="L10421">
        <v>201</v>
      </c>
      <c r="M10421">
        <v>1</v>
      </c>
      <c r="N10421">
        <v>7.2730100000000004E-27</v>
      </c>
      <c r="O10421">
        <v>295</v>
      </c>
    </row>
    <row r="10422" spans="1:15" x14ac:dyDescent="0.25">
      <c r="A10422" t="s">
        <v>10435</v>
      </c>
      <c r="B10422">
        <v>141</v>
      </c>
      <c r="C10422" s="1" t="str">
        <f>HYPERLINK("http://www.rosaceae.org/gb/gbrowse/malus_x_domestica/?name=MDP0000282778","MDP0000282778")</f>
        <v>MDP0000282778</v>
      </c>
      <c r="D10422">
        <v>53.28</v>
      </c>
      <c r="E10422">
        <v>137</v>
      </c>
      <c r="F10422">
        <v>64</v>
      </c>
      <c r="G10422">
        <v>0</v>
      </c>
      <c r="H10422">
        <v>2</v>
      </c>
      <c r="I10422">
        <v>138</v>
      </c>
      <c r="J10422">
        <v>1</v>
      </c>
      <c r="K10422">
        <v>10</v>
      </c>
      <c r="L10422">
        <v>146</v>
      </c>
      <c r="M10422">
        <v>1</v>
      </c>
      <c r="N10422">
        <v>7.1851099999999995E-39</v>
      </c>
      <c r="O10422">
        <v>394</v>
      </c>
    </row>
    <row r="10423" spans="1:15" x14ac:dyDescent="0.25">
      <c r="A10423" t="s">
        <v>10436</v>
      </c>
      <c r="B10423">
        <v>140</v>
      </c>
      <c r="C10423" s="1" t="str">
        <f>HYPERLINK("http://www.rosaceae.org/gb/gbrowse/malus_x_domestica/?name=MDP0000124089","MDP0000124089")</f>
        <v>MDP0000124089</v>
      </c>
      <c r="D10423">
        <v>84.84</v>
      </c>
      <c r="E10423">
        <v>99</v>
      </c>
      <c r="F10423">
        <v>15</v>
      </c>
      <c r="G10423">
        <v>0</v>
      </c>
      <c r="H10423">
        <v>17</v>
      </c>
      <c r="I10423">
        <v>115</v>
      </c>
      <c r="J10423">
        <v>1</v>
      </c>
      <c r="K10423">
        <v>105</v>
      </c>
      <c r="L10423">
        <v>203</v>
      </c>
      <c r="M10423">
        <v>1</v>
      </c>
      <c r="N10423">
        <v>8.57284E-48</v>
      </c>
      <c r="O10423">
        <v>471</v>
      </c>
    </row>
    <row r="10424" spans="1:15" x14ac:dyDescent="0.25">
      <c r="A10424" t="s">
        <v>10437</v>
      </c>
      <c r="B10424">
        <v>1070</v>
      </c>
      <c r="C10424" s="1" t="str">
        <f>HYPERLINK("http://www.rosaceae.org/gb/gbrowse/malus_x_domestica/?name=MDP0000266204","MDP0000266204")</f>
        <v>MDP0000266204</v>
      </c>
      <c r="D10424">
        <v>61.48</v>
      </c>
      <c r="E10424">
        <v>1119</v>
      </c>
      <c r="F10424">
        <v>431</v>
      </c>
      <c r="G10424">
        <v>100</v>
      </c>
      <c r="H10424">
        <v>5</v>
      </c>
      <c r="I10424">
        <v>1070</v>
      </c>
      <c r="J10424">
        <v>1</v>
      </c>
      <c r="K10424">
        <v>11</v>
      </c>
      <c r="L10424">
        <v>1082</v>
      </c>
      <c r="M10424">
        <v>1</v>
      </c>
      <c r="N10424">
        <v>0</v>
      </c>
      <c r="O10424">
        <v>3314</v>
      </c>
    </row>
    <row r="10425" spans="1:15" x14ac:dyDescent="0.25">
      <c r="A10425" t="s">
        <v>10438</v>
      </c>
      <c r="B10425">
        <v>572</v>
      </c>
      <c r="C10425" s="1" t="str">
        <f>HYPERLINK("http://www.rosaceae.org/gb/gbrowse/malus_x_domestica/?name=MDP0000312032","MDP0000312032")</f>
        <v>MDP0000312032</v>
      </c>
      <c r="D10425">
        <v>80.2</v>
      </c>
      <c r="E10425">
        <v>586</v>
      </c>
      <c r="F10425">
        <v>116</v>
      </c>
      <c r="G10425">
        <v>20</v>
      </c>
      <c r="H10425">
        <v>7</v>
      </c>
      <c r="I10425">
        <v>572</v>
      </c>
      <c r="J10425">
        <v>1</v>
      </c>
      <c r="K10425">
        <v>20</v>
      </c>
      <c r="L10425">
        <v>605</v>
      </c>
      <c r="M10425">
        <v>1</v>
      </c>
      <c r="N10425">
        <v>0</v>
      </c>
      <c r="O10425">
        <v>2462</v>
      </c>
    </row>
    <row r="10426" spans="1:15" x14ac:dyDescent="0.25">
      <c r="A10426" t="s">
        <v>10439</v>
      </c>
      <c r="B10426">
        <v>1428</v>
      </c>
      <c r="C10426" s="1" t="str">
        <f>HYPERLINK("http://www.rosaceae.org/gb/gbrowse/malus_x_domestica/?name=MDP0000142107","MDP0000142107")</f>
        <v>MDP0000142107</v>
      </c>
      <c r="D10426">
        <v>56.85</v>
      </c>
      <c r="E10426">
        <v>1423</v>
      </c>
      <c r="F10426">
        <v>614</v>
      </c>
      <c r="G10426">
        <v>197</v>
      </c>
      <c r="H10426">
        <v>78</v>
      </c>
      <c r="I10426">
        <v>1321</v>
      </c>
      <c r="J10426">
        <v>1</v>
      </c>
      <c r="K10426">
        <v>1</v>
      </c>
      <c r="L10426">
        <v>1405</v>
      </c>
      <c r="M10426">
        <v>1</v>
      </c>
      <c r="N10426">
        <v>0</v>
      </c>
      <c r="O10426">
        <v>3809</v>
      </c>
    </row>
    <row r="10427" spans="1:15" x14ac:dyDescent="0.25">
      <c r="A10427" t="s">
        <v>10440</v>
      </c>
      <c r="B10427">
        <v>411</v>
      </c>
      <c r="C10427" s="1" t="str">
        <f>HYPERLINK("http://www.rosaceae.org/gb/gbrowse/malus_x_domestica/?name=MDP0000245483","MDP0000245483")</f>
        <v>MDP0000245483</v>
      </c>
      <c r="D10427">
        <v>88.46</v>
      </c>
      <c r="E10427">
        <v>338</v>
      </c>
      <c r="F10427">
        <v>39</v>
      </c>
      <c r="G10427">
        <v>0</v>
      </c>
      <c r="H10427">
        <v>21</v>
      </c>
      <c r="I10427">
        <v>358</v>
      </c>
      <c r="J10427">
        <v>1</v>
      </c>
      <c r="K10427">
        <v>29</v>
      </c>
      <c r="L10427">
        <v>366</v>
      </c>
      <c r="M10427">
        <v>1</v>
      </c>
      <c r="N10427">
        <v>1.15647E-178</v>
      </c>
      <c r="O10427">
        <v>1606</v>
      </c>
    </row>
    <row r="10428" spans="1:15" x14ac:dyDescent="0.25">
      <c r="A10428" t="s">
        <v>10441</v>
      </c>
      <c r="B10428">
        <v>258</v>
      </c>
      <c r="C10428" s="1" t="str">
        <f>HYPERLINK("http://www.rosaceae.org/gb/gbrowse/malus_x_domestica/?name=MDP0000182859","MDP0000182859")</f>
        <v>MDP0000182859</v>
      </c>
      <c r="D10428">
        <v>38.229999999999997</v>
      </c>
      <c r="E10428">
        <v>204</v>
      </c>
      <c r="F10428">
        <v>126</v>
      </c>
      <c r="G10428">
        <v>12</v>
      </c>
      <c r="H10428">
        <v>15</v>
      </c>
      <c r="I10428">
        <v>206</v>
      </c>
      <c r="J10428">
        <v>1</v>
      </c>
      <c r="K10428">
        <v>95</v>
      </c>
      <c r="L10428">
        <v>298</v>
      </c>
      <c r="M10428">
        <v>1</v>
      </c>
      <c r="N10428">
        <v>5.3544899999999997E-33</v>
      </c>
      <c r="O10428">
        <v>348</v>
      </c>
    </row>
    <row r="10429" spans="1:15" x14ac:dyDescent="0.25">
      <c r="A10429" t="s">
        <v>10442</v>
      </c>
      <c r="B10429">
        <v>292</v>
      </c>
      <c r="C10429" s="1" t="str">
        <f>HYPERLINK("http://www.rosaceae.org/gb/gbrowse/malus_x_domestica/?name=MDP0000282229","MDP0000282229")</f>
        <v>MDP0000282229</v>
      </c>
      <c r="D10429">
        <v>45.83</v>
      </c>
      <c r="E10429">
        <v>336</v>
      </c>
      <c r="F10429">
        <v>182</v>
      </c>
      <c r="G10429">
        <v>71</v>
      </c>
      <c r="H10429">
        <v>2</v>
      </c>
      <c r="I10429">
        <v>269</v>
      </c>
      <c r="J10429">
        <v>1</v>
      </c>
      <c r="K10429">
        <v>3</v>
      </c>
      <c r="L10429">
        <v>335</v>
      </c>
      <c r="M10429">
        <v>1</v>
      </c>
      <c r="N10429">
        <v>8.4162199999999995E-66</v>
      </c>
      <c r="O10429">
        <v>631</v>
      </c>
    </row>
    <row r="10430" spans="1:15" x14ac:dyDescent="0.25">
      <c r="A10430" t="s">
        <v>10443</v>
      </c>
      <c r="B10430">
        <v>340</v>
      </c>
      <c r="C10430" s="1" t="str">
        <f>HYPERLINK("http://www.rosaceae.org/gb/gbrowse/malus_x_domestica/?name=MDP0000311461","MDP0000311461")</f>
        <v>MDP0000311461</v>
      </c>
      <c r="D10430">
        <v>41.96</v>
      </c>
      <c r="E10430">
        <v>112</v>
      </c>
      <c r="F10430">
        <v>65</v>
      </c>
      <c r="G10430">
        <v>3</v>
      </c>
      <c r="H10430">
        <v>196</v>
      </c>
      <c r="I10430">
        <v>305</v>
      </c>
      <c r="J10430">
        <v>1</v>
      </c>
      <c r="K10430">
        <v>86</v>
      </c>
      <c r="L10430">
        <v>196</v>
      </c>
      <c r="M10430">
        <v>1</v>
      </c>
      <c r="N10430">
        <v>5.13586E-19</v>
      </c>
      <c r="O10430">
        <v>229</v>
      </c>
    </row>
    <row r="10431" spans="1:15" x14ac:dyDescent="0.25">
      <c r="A10431" t="s">
        <v>10444</v>
      </c>
      <c r="B10431">
        <v>594</v>
      </c>
      <c r="C10431" s="1" t="str">
        <f>HYPERLINK("http://www.rosaceae.org/gb/gbrowse/malus_x_domestica/?name=MDP0000791571","MDP0000791571")</f>
        <v>MDP0000791571</v>
      </c>
      <c r="D10431">
        <v>75.17</v>
      </c>
      <c r="E10431">
        <v>560</v>
      </c>
      <c r="F10431">
        <v>139</v>
      </c>
      <c r="G10431">
        <v>27</v>
      </c>
      <c r="H10431">
        <v>61</v>
      </c>
      <c r="I10431">
        <v>594</v>
      </c>
      <c r="J10431">
        <v>1</v>
      </c>
      <c r="K10431">
        <v>1</v>
      </c>
      <c r="L10431">
        <v>559</v>
      </c>
      <c r="M10431">
        <v>1</v>
      </c>
      <c r="N10431">
        <v>0</v>
      </c>
      <c r="O10431">
        <v>2148</v>
      </c>
    </row>
    <row r="10432" spans="1:15" x14ac:dyDescent="0.25">
      <c r="A10432" t="s">
        <v>10445</v>
      </c>
      <c r="B10432">
        <v>716</v>
      </c>
      <c r="C10432" s="1" t="str">
        <f>HYPERLINK("http://www.rosaceae.org/gb/gbrowse/malus_x_domestica/?name=MDP0000149241","MDP0000149241")</f>
        <v>MDP0000149241</v>
      </c>
      <c r="D10432">
        <v>69.44</v>
      </c>
      <c r="E10432">
        <v>671</v>
      </c>
      <c r="F10432">
        <v>205</v>
      </c>
      <c r="G10432">
        <v>33</v>
      </c>
      <c r="H10432">
        <v>64</v>
      </c>
      <c r="I10432">
        <v>714</v>
      </c>
      <c r="J10432">
        <v>1</v>
      </c>
      <c r="K10432">
        <v>1</v>
      </c>
      <c r="L10432">
        <v>658</v>
      </c>
      <c r="M10432">
        <v>1</v>
      </c>
      <c r="N10432">
        <v>0</v>
      </c>
      <c r="O10432">
        <v>2530</v>
      </c>
    </row>
    <row r="10433" spans="1:15" x14ac:dyDescent="0.25">
      <c r="A10433" t="s">
        <v>10446</v>
      </c>
      <c r="B10433">
        <v>145</v>
      </c>
      <c r="C10433" s="1" t="str">
        <f>HYPERLINK("http://www.rosaceae.org/gb/gbrowse/malus_x_domestica/?name=MDP0000842380","MDP0000842380")</f>
        <v>MDP0000842380</v>
      </c>
      <c r="D10433">
        <v>79.86</v>
      </c>
      <c r="E10433">
        <v>144</v>
      </c>
      <c r="F10433">
        <v>29</v>
      </c>
      <c r="G10433">
        <v>1</v>
      </c>
      <c r="H10433">
        <v>1</v>
      </c>
      <c r="I10433">
        <v>144</v>
      </c>
      <c r="J10433">
        <v>1</v>
      </c>
      <c r="K10433">
        <v>1</v>
      </c>
      <c r="L10433">
        <v>143</v>
      </c>
      <c r="M10433">
        <v>1</v>
      </c>
      <c r="N10433">
        <v>3.9757100000000002E-61</v>
      </c>
      <c r="O10433">
        <v>586</v>
      </c>
    </row>
    <row r="10434" spans="1:15" x14ac:dyDescent="0.25">
      <c r="A10434" t="s">
        <v>10447</v>
      </c>
      <c r="B10434">
        <v>763</v>
      </c>
      <c r="C10434" s="1" t="str">
        <f>HYPERLINK("http://www.rosaceae.org/gb/gbrowse/malus_x_domestica/?name=MDP0000165802","MDP0000165802")</f>
        <v>MDP0000165802</v>
      </c>
      <c r="D10434">
        <v>31.05</v>
      </c>
      <c r="E10434">
        <v>380</v>
      </c>
      <c r="F10434">
        <v>262</v>
      </c>
      <c r="G10434">
        <v>66</v>
      </c>
      <c r="H10434">
        <v>13</v>
      </c>
      <c r="I10434">
        <v>364</v>
      </c>
      <c r="J10434">
        <v>1</v>
      </c>
      <c r="K10434">
        <v>365</v>
      </c>
      <c r="L10434">
        <v>706</v>
      </c>
      <c r="M10434">
        <v>1</v>
      </c>
      <c r="N10434">
        <v>1.20604E-27</v>
      </c>
      <c r="O10434">
        <v>307</v>
      </c>
    </row>
    <row r="10435" spans="1:15" x14ac:dyDescent="0.25">
      <c r="A10435" t="s">
        <v>10448</v>
      </c>
      <c r="B10435">
        <v>237</v>
      </c>
      <c r="C10435" s="1" t="str">
        <f>HYPERLINK("http://www.rosaceae.org/gb/gbrowse/malus_x_domestica/?name=MDP0000329192","MDP0000329192")</f>
        <v>MDP0000329192</v>
      </c>
      <c r="D10435">
        <v>71.56</v>
      </c>
      <c r="E10435">
        <v>211</v>
      </c>
      <c r="F10435">
        <v>60</v>
      </c>
      <c r="G10435">
        <v>13</v>
      </c>
      <c r="H10435">
        <v>27</v>
      </c>
      <c r="I10435">
        <v>237</v>
      </c>
      <c r="J10435">
        <v>1</v>
      </c>
      <c r="K10435">
        <v>29</v>
      </c>
      <c r="L10435">
        <v>226</v>
      </c>
      <c r="M10435">
        <v>1</v>
      </c>
      <c r="N10435">
        <v>8.1564400000000001E-81</v>
      </c>
      <c r="O10435">
        <v>760</v>
      </c>
    </row>
    <row r="10436" spans="1:15" x14ac:dyDescent="0.25">
      <c r="A10436" t="s">
        <v>10449</v>
      </c>
      <c r="B10436">
        <v>169</v>
      </c>
      <c r="C10436" s="1" t="str">
        <f>HYPERLINK("http://www.rosaceae.org/gb/gbrowse/malus_x_domestica/?name=MDP0000284691","MDP0000284691")</f>
        <v>MDP0000284691</v>
      </c>
      <c r="D10436">
        <v>52.57</v>
      </c>
      <c r="E10436">
        <v>175</v>
      </c>
      <c r="F10436">
        <v>83</v>
      </c>
      <c r="G10436">
        <v>11</v>
      </c>
      <c r="H10436">
        <v>5</v>
      </c>
      <c r="I10436">
        <v>169</v>
      </c>
      <c r="J10436">
        <v>1</v>
      </c>
      <c r="K10436">
        <v>16</v>
      </c>
      <c r="L10436">
        <v>189</v>
      </c>
      <c r="M10436">
        <v>1</v>
      </c>
      <c r="N10436">
        <v>4.80791E-42</v>
      </c>
      <c r="O10436">
        <v>423</v>
      </c>
    </row>
    <row r="10437" spans="1:15" x14ac:dyDescent="0.25">
      <c r="A10437" t="s">
        <v>10450</v>
      </c>
      <c r="B10437">
        <v>166</v>
      </c>
      <c r="C10437" s="1" t="str">
        <f>HYPERLINK("http://www.rosaceae.org/gb/gbrowse/malus_x_domestica/?name=MDP0000214824","MDP0000214824")</f>
        <v>MDP0000214824</v>
      </c>
      <c r="D10437">
        <v>95.18</v>
      </c>
      <c r="E10437">
        <v>166</v>
      </c>
      <c r="F10437">
        <v>8</v>
      </c>
      <c r="G10437">
        <v>0</v>
      </c>
      <c r="H10437">
        <v>1</v>
      </c>
      <c r="I10437">
        <v>166</v>
      </c>
      <c r="J10437">
        <v>1</v>
      </c>
      <c r="K10437">
        <v>172</v>
      </c>
      <c r="L10437">
        <v>337</v>
      </c>
      <c r="M10437">
        <v>1</v>
      </c>
      <c r="N10437">
        <v>8.7918800000000002E-89</v>
      </c>
      <c r="O10437">
        <v>826</v>
      </c>
    </row>
    <row r="10438" spans="1:15" x14ac:dyDescent="0.25">
      <c r="A10438" t="s">
        <v>10451</v>
      </c>
      <c r="B10438">
        <v>144</v>
      </c>
      <c r="C10438" s="1" t="str">
        <f>HYPERLINK("http://www.rosaceae.org/gb/gbrowse/malus_x_domestica/?name=MDP0000297823","MDP0000297823")</f>
        <v>MDP0000297823</v>
      </c>
      <c r="D10438">
        <v>42.85</v>
      </c>
      <c r="E10438">
        <v>70</v>
      </c>
      <c r="F10438">
        <v>40</v>
      </c>
      <c r="G10438">
        <v>6</v>
      </c>
      <c r="H10438">
        <v>3</v>
      </c>
      <c r="I10438">
        <v>72</v>
      </c>
      <c r="J10438">
        <v>1</v>
      </c>
      <c r="K10438">
        <v>108</v>
      </c>
      <c r="L10438">
        <v>171</v>
      </c>
      <c r="M10438">
        <v>1</v>
      </c>
      <c r="N10438">
        <v>7.89835E-8</v>
      </c>
      <c r="O10438">
        <v>127</v>
      </c>
    </row>
    <row r="10439" spans="1:15" x14ac:dyDescent="0.25">
      <c r="A10439" t="s">
        <v>10452</v>
      </c>
      <c r="B10439">
        <v>307</v>
      </c>
      <c r="C10439" s="1" t="str">
        <f>HYPERLINK("http://www.rosaceae.org/gb/gbrowse/malus_x_domestica/?name=MDP0000816730","MDP0000816730")</f>
        <v>MDP0000816730</v>
      </c>
      <c r="D10439">
        <v>59.56</v>
      </c>
      <c r="E10439">
        <v>183</v>
      </c>
      <c r="F10439">
        <v>74</v>
      </c>
      <c r="G10439">
        <v>16</v>
      </c>
      <c r="H10439">
        <v>47</v>
      </c>
      <c r="I10439">
        <v>225</v>
      </c>
      <c r="J10439">
        <v>1</v>
      </c>
      <c r="K10439">
        <v>14</v>
      </c>
      <c r="L10439">
        <v>184</v>
      </c>
      <c r="M10439">
        <v>1</v>
      </c>
      <c r="N10439">
        <v>1.4067799999999999E-53</v>
      </c>
      <c r="O10439">
        <v>526</v>
      </c>
    </row>
    <row r="10440" spans="1:15" x14ac:dyDescent="0.25">
      <c r="A10440" t="s">
        <v>10453</v>
      </c>
      <c r="B10440">
        <v>427</v>
      </c>
      <c r="C10440" s="1" t="str">
        <f>HYPERLINK("http://www.rosaceae.org/gb/gbrowse/malus_x_domestica/?name=MDP0000905103","MDP0000905103")</f>
        <v>MDP0000905103</v>
      </c>
      <c r="D10440">
        <v>84.39</v>
      </c>
      <c r="E10440">
        <v>378</v>
      </c>
      <c r="F10440">
        <v>59</v>
      </c>
      <c r="G10440">
        <v>0</v>
      </c>
      <c r="H10440">
        <v>50</v>
      </c>
      <c r="I10440">
        <v>427</v>
      </c>
      <c r="J10440">
        <v>1</v>
      </c>
      <c r="K10440">
        <v>10</v>
      </c>
      <c r="L10440">
        <v>387</v>
      </c>
      <c r="M10440">
        <v>1</v>
      </c>
      <c r="N10440">
        <v>0</v>
      </c>
      <c r="O10440">
        <v>1751</v>
      </c>
    </row>
    <row r="10441" spans="1:15" x14ac:dyDescent="0.25">
      <c r="A10441" t="s">
        <v>10454</v>
      </c>
      <c r="B10441">
        <v>179</v>
      </c>
      <c r="C10441" s="1" t="str">
        <f>HYPERLINK("http://www.rosaceae.org/gb/gbrowse/malus_x_domestica/?name=MDP0000232116","MDP0000232116")</f>
        <v>MDP0000232116</v>
      </c>
      <c r="D10441">
        <v>72.36</v>
      </c>
      <c r="E10441">
        <v>76</v>
      </c>
      <c r="F10441">
        <v>21</v>
      </c>
      <c r="G10441">
        <v>1</v>
      </c>
      <c r="H10441">
        <v>29</v>
      </c>
      <c r="I10441">
        <v>103</v>
      </c>
      <c r="J10441">
        <v>1</v>
      </c>
      <c r="K10441">
        <v>8</v>
      </c>
      <c r="L10441">
        <v>83</v>
      </c>
      <c r="M10441">
        <v>1</v>
      </c>
      <c r="N10441">
        <v>2.2550700000000001E-20</v>
      </c>
      <c r="O10441">
        <v>236</v>
      </c>
    </row>
    <row r="10442" spans="1:15" x14ac:dyDescent="0.25">
      <c r="A10442" t="s">
        <v>10455</v>
      </c>
      <c r="B10442">
        <v>136</v>
      </c>
      <c r="C10442" s="1" t="str">
        <f>HYPERLINK("http://www.rosaceae.org/gb/gbrowse/malus_x_domestica/?name=MDP0000763585","MDP0000763585")</f>
        <v>MDP0000763585</v>
      </c>
      <c r="D10442">
        <v>75.36</v>
      </c>
      <c r="E10442">
        <v>138</v>
      </c>
      <c r="F10442">
        <v>34</v>
      </c>
      <c r="G10442">
        <v>2</v>
      </c>
      <c r="H10442">
        <v>1</v>
      </c>
      <c r="I10442">
        <v>136</v>
      </c>
      <c r="J10442">
        <v>1</v>
      </c>
      <c r="K10442">
        <v>330</v>
      </c>
      <c r="L10442">
        <v>467</v>
      </c>
      <c r="M10442">
        <v>1</v>
      </c>
      <c r="N10442">
        <v>2.9237E-61</v>
      </c>
      <c r="O10442">
        <v>587</v>
      </c>
    </row>
    <row r="10443" spans="1:15" x14ac:dyDescent="0.25">
      <c r="A10443" t="s">
        <v>10456</v>
      </c>
      <c r="B10443">
        <v>647</v>
      </c>
      <c r="C10443" s="1" t="str">
        <f>HYPERLINK("http://www.rosaceae.org/gb/gbrowse/malus_x_domestica/?name=MDP0000198154","MDP0000198154")</f>
        <v>MDP0000198154</v>
      </c>
      <c r="D10443">
        <v>42.6</v>
      </c>
      <c r="E10443">
        <v>744</v>
      </c>
      <c r="F10443">
        <v>427</v>
      </c>
      <c r="G10443">
        <v>142</v>
      </c>
      <c r="H10443">
        <v>3</v>
      </c>
      <c r="I10443">
        <v>645</v>
      </c>
      <c r="J10443">
        <v>1</v>
      </c>
      <c r="K10443">
        <v>1</v>
      </c>
      <c r="L10443">
        <v>703</v>
      </c>
      <c r="M10443">
        <v>1</v>
      </c>
      <c r="N10443">
        <v>6.8799599999999996E-128</v>
      </c>
      <c r="O10443">
        <v>1171</v>
      </c>
    </row>
    <row r="10444" spans="1:15" x14ac:dyDescent="0.25">
      <c r="A10444" t="s">
        <v>10457</v>
      </c>
      <c r="B10444">
        <v>347</v>
      </c>
      <c r="C10444" s="1" t="str">
        <f>HYPERLINK("http://www.rosaceae.org/gb/gbrowse/malus_x_domestica/?name=MDP0000076511","MDP0000076511")</f>
        <v>MDP0000076511</v>
      </c>
      <c r="D10444">
        <v>82.71</v>
      </c>
      <c r="E10444">
        <v>353</v>
      </c>
      <c r="F10444">
        <v>61</v>
      </c>
      <c r="G10444">
        <v>9</v>
      </c>
      <c r="H10444">
        <v>1</v>
      </c>
      <c r="I10444">
        <v>344</v>
      </c>
      <c r="J10444">
        <v>1</v>
      </c>
      <c r="K10444">
        <v>1</v>
      </c>
      <c r="L10444">
        <v>353</v>
      </c>
      <c r="M10444">
        <v>1</v>
      </c>
      <c r="N10444">
        <v>4.0383599999999998E-172</v>
      </c>
      <c r="O10444">
        <v>1549</v>
      </c>
    </row>
    <row r="10445" spans="1:15" x14ac:dyDescent="0.25">
      <c r="A10445" t="s">
        <v>10458</v>
      </c>
      <c r="B10445">
        <v>365</v>
      </c>
      <c r="C10445" s="1" t="str">
        <f>HYPERLINK("http://www.rosaceae.org/gb/gbrowse/malus_x_domestica/?name=MDP0000484847","MDP0000484847")</f>
        <v>MDP0000484847</v>
      </c>
      <c r="D10445">
        <v>45</v>
      </c>
      <c r="E10445">
        <v>260</v>
      </c>
      <c r="F10445">
        <v>143</v>
      </c>
      <c r="G10445">
        <v>37</v>
      </c>
      <c r="H10445">
        <v>105</v>
      </c>
      <c r="I10445">
        <v>363</v>
      </c>
      <c r="J10445">
        <v>1</v>
      </c>
      <c r="K10445">
        <v>9</v>
      </c>
      <c r="L10445">
        <v>232</v>
      </c>
      <c r="M10445">
        <v>1</v>
      </c>
      <c r="N10445">
        <v>1.0793600000000001E-51</v>
      </c>
      <c r="O10445">
        <v>511</v>
      </c>
    </row>
    <row r="10446" spans="1:15" x14ac:dyDescent="0.25">
      <c r="A10446" t="s">
        <v>10459</v>
      </c>
      <c r="B10446">
        <v>395</v>
      </c>
      <c r="C10446" s="1" t="str">
        <f>HYPERLINK("http://www.rosaceae.org/gb/gbrowse/malus_x_domestica/?name=MDP0000804526","MDP0000804526")</f>
        <v>MDP0000804526</v>
      </c>
      <c r="D10446">
        <v>52.38</v>
      </c>
      <c r="E10446">
        <v>168</v>
      </c>
      <c r="F10446">
        <v>80</v>
      </c>
      <c r="G10446">
        <v>12</v>
      </c>
      <c r="H10446">
        <v>228</v>
      </c>
      <c r="I10446">
        <v>395</v>
      </c>
      <c r="J10446">
        <v>1</v>
      </c>
      <c r="K10446">
        <v>119</v>
      </c>
      <c r="L10446">
        <v>274</v>
      </c>
      <c r="M10446">
        <v>1</v>
      </c>
      <c r="N10446">
        <v>1.8414699999999999E-28</v>
      </c>
      <c r="O10446">
        <v>311</v>
      </c>
    </row>
    <row r="10447" spans="1:15" x14ac:dyDescent="0.25">
      <c r="A10447" t="s">
        <v>10460</v>
      </c>
      <c r="B10447">
        <v>170</v>
      </c>
      <c r="C10447" s="1" t="str">
        <f>HYPERLINK("http://www.rosaceae.org/gb/gbrowse/malus_x_domestica/?name=MDP0000774306","MDP0000774306")</f>
        <v>MDP0000774306</v>
      </c>
      <c r="D10447">
        <v>45.16</v>
      </c>
      <c r="E10447">
        <v>62</v>
      </c>
      <c r="F10447">
        <v>34</v>
      </c>
      <c r="G10447">
        <v>1</v>
      </c>
      <c r="H10447">
        <v>1</v>
      </c>
      <c r="I10447">
        <v>61</v>
      </c>
      <c r="J10447">
        <v>1</v>
      </c>
      <c r="K10447">
        <v>272</v>
      </c>
      <c r="L10447">
        <v>333</v>
      </c>
      <c r="M10447">
        <v>1</v>
      </c>
      <c r="N10447">
        <v>9.0504800000000005E-8</v>
      </c>
      <c r="O10447">
        <v>127</v>
      </c>
    </row>
    <row r="10448" spans="1:15" x14ac:dyDescent="0.25">
      <c r="A10448" t="s">
        <v>10461</v>
      </c>
      <c r="B10448">
        <v>194</v>
      </c>
      <c r="C10448" s="1" t="str">
        <f>HYPERLINK("http://www.rosaceae.org/gb/gbrowse/malus_x_domestica/?name=MDP0000369361","MDP0000369361")</f>
        <v>MDP0000369361</v>
      </c>
      <c r="D10448">
        <v>87.41</v>
      </c>
      <c r="E10448">
        <v>143</v>
      </c>
      <c r="F10448">
        <v>18</v>
      </c>
      <c r="G10448">
        <v>0</v>
      </c>
      <c r="H10448">
        <v>52</v>
      </c>
      <c r="I10448">
        <v>194</v>
      </c>
      <c r="J10448">
        <v>1</v>
      </c>
      <c r="K10448">
        <v>29</v>
      </c>
      <c r="L10448">
        <v>171</v>
      </c>
      <c r="M10448">
        <v>1</v>
      </c>
      <c r="N10448">
        <v>5.6769299999999998E-72</v>
      </c>
      <c r="O10448">
        <v>682</v>
      </c>
    </row>
    <row r="10449" spans="1:15" x14ac:dyDescent="0.25">
      <c r="A10449" t="s">
        <v>10462</v>
      </c>
      <c r="B10449">
        <v>338</v>
      </c>
      <c r="C10449" s="1" t="str">
        <f>HYPERLINK("http://www.rosaceae.org/gb/gbrowse/malus_x_domestica/?name=MDP0000127763","MDP0000127763")</f>
        <v>MDP0000127763</v>
      </c>
      <c r="D10449">
        <v>44.58</v>
      </c>
      <c r="E10449">
        <v>314</v>
      </c>
      <c r="F10449">
        <v>174</v>
      </c>
      <c r="G10449">
        <v>27</v>
      </c>
      <c r="H10449">
        <v>46</v>
      </c>
      <c r="I10449">
        <v>332</v>
      </c>
      <c r="J10449">
        <v>1</v>
      </c>
      <c r="K10449">
        <v>100</v>
      </c>
      <c r="L10449">
        <v>413</v>
      </c>
      <c r="M10449">
        <v>1</v>
      </c>
      <c r="N10449">
        <v>8.9492400000000002E-60</v>
      </c>
      <c r="O10449">
        <v>580</v>
      </c>
    </row>
    <row r="10450" spans="1:15" x14ac:dyDescent="0.25">
      <c r="A10450" t="s">
        <v>10463</v>
      </c>
      <c r="B10450">
        <v>275</v>
      </c>
      <c r="C10450" s="1" t="str">
        <f>HYPERLINK("http://www.rosaceae.org/gb/gbrowse/malus_x_domestica/?name=MDP0000222512","MDP0000222512")</f>
        <v>MDP0000222512</v>
      </c>
      <c r="D10450">
        <v>63.52</v>
      </c>
      <c r="E10450">
        <v>318</v>
      </c>
      <c r="F10450">
        <v>116</v>
      </c>
      <c r="G10450">
        <v>71</v>
      </c>
      <c r="H10450">
        <v>25</v>
      </c>
      <c r="I10450">
        <v>275</v>
      </c>
      <c r="J10450">
        <v>1</v>
      </c>
      <c r="K10450">
        <v>21</v>
      </c>
      <c r="L10450">
        <v>334</v>
      </c>
      <c r="M10450">
        <v>1</v>
      </c>
      <c r="N10450">
        <v>7.4520800000000003E-107</v>
      </c>
      <c r="O10450">
        <v>985</v>
      </c>
    </row>
    <row r="10451" spans="1:15" x14ac:dyDescent="0.25">
      <c r="A10451" t="s">
        <v>10464</v>
      </c>
      <c r="B10451">
        <v>170</v>
      </c>
      <c r="C10451" s="1" t="str">
        <f>HYPERLINK("http://www.rosaceae.org/gb/gbrowse/malus_x_domestica/?name=MDP0000263150","MDP0000263150")</f>
        <v>MDP0000263150</v>
      </c>
      <c r="D10451">
        <v>69.040000000000006</v>
      </c>
      <c r="E10451">
        <v>168</v>
      </c>
      <c r="F10451">
        <v>52</v>
      </c>
      <c r="G10451">
        <v>7</v>
      </c>
      <c r="H10451">
        <v>1</v>
      </c>
      <c r="I10451">
        <v>167</v>
      </c>
      <c r="J10451">
        <v>1</v>
      </c>
      <c r="K10451">
        <v>1</v>
      </c>
      <c r="L10451">
        <v>162</v>
      </c>
      <c r="M10451">
        <v>1</v>
      </c>
      <c r="N10451">
        <v>4.2830000000000004E-56</v>
      </c>
      <c r="O10451">
        <v>544</v>
      </c>
    </row>
    <row r="10452" spans="1:15" x14ac:dyDescent="0.25">
      <c r="A10452" t="s">
        <v>10465</v>
      </c>
      <c r="B10452">
        <v>107</v>
      </c>
      <c r="C10452" s="1" t="str">
        <f>HYPERLINK("http://www.rosaceae.org/gb/gbrowse/malus_x_domestica/?name=MDP0000251733","MDP0000251733")</f>
        <v>MDP0000251733</v>
      </c>
      <c r="D10452">
        <v>47.72</v>
      </c>
      <c r="E10452">
        <v>88</v>
      </c>
      <c r="F10452">
        <v>46</v>
      </c>
      <c r="G10452">
        <v>0</v>
      </c>
      <c r="H10452">
        <v>1</v>
      </c>
      <c r="I10452">
        <v>88</v>
      </c>
      <c r="J10452">
        <v>1</v>
      </c>
      <c r="K10452">
        <v>1</v>
      </c>
      <c r="L10452">
        <v>88</v>
      </c>
      <c r="M10452">
        <v>1</v>
      </c>
      <c r="N10452">
        <v>4.5918000000000001E-20</v>
      </c>
      <c r="O10452">
        <v>230</v>
      </c>
    </row>
    <row r="10453" spans="1:15" x14ac:dyDescent="0.25">
      <c r="A10453" t="s">
        <v>10466</v>
      </c>
      <c r="B10453">
        <v>316</v>
      </c>
      <c r="C10453" s="1" t="str">
        <f>HYPERLINK("http://www.rosaceae.org/gb/gbrowse/malus_x_domestica/?name=MDP0000216803","MDP0000216803")</f>
        <v>MDP0000216803</v>
      </c>
      <c r="D10453">
        <v>79.34</v>
      </c>
      <c r="E10453">
        <v>276</v>
      </c>
      <c r="F10453">
        <v>57</v>
      </c>
      <c r="G10453">
        <v>1</v>
      </c>
      <c r="H10453">
        <v>25</v>
      </c>
      <c r="I10453">
        <v>300</v>
      </c>
      <c r="J10453">
        <v>1</v>
      </c>
      <c r="K10453">
        <v>28</v>
      </c>
      <c r="L10453">
        <v>302</v>
      </c>
      <c r="M10453">
        <v>1</v>
      </c>
      <c r="N10453">
        <v>3.4525600000000001E-127</v>
      </c>
      <c r="O10453">
        <v>1161</v>
      </c>
    </row>
    <row r="10454" spans="1:15" x14ac:dyDescent="0.25">
      <c r="A10454" t="s">
        <v>10467</v>
      </c>
      <c r="B10454">
        <v>369</v>
      </c>
      <c r="C10454" s="1" t="str">
        <f>HYPERLINK("http://www.rosaceae.org/gb/gbrowse/malus_x_domestica/?name=MDP0000210505","MDP0000210505")</f>
        <v>MDP0000210505</v>
      </c>
      <c r="D10454">
        <v>84.21</v>
      </c>
      <c r="E10454">
        <v>228</v>
      </c>
      <c r="F10454">
        <v>36</v>
      </c>
      <c r="G10454">
        <v>2</v>
      </c>
      <c r="H10454">
        <v>142</v>
      </c>
      <c r="I10454">
        <v>369</v>
      </c>
      <c r="J10454">
        <v>1</v>
      </c>
      <c r="K10454">
        <v>5</v>
      </c>
      <c r="L10454">
        <v>230</v>
      </c>
      <c r="M10454">
        <v>1</v>
      </c>
      <c r="N10454">
        <v>7.7744300000000005E-114</v>
      </c>
      <c r="O10454">
        <v>1047</v>
      </c>
    </row>
    <row r="10455" spans="1:15" x14ac:dyDescent="0.25">
      <c r="A10455" t="s">
        <v>10468</v>
      </c>
      <c r="B10455">
        <v>578</v>
      </c>
      <c r="C10455" s="1" t="str">
        <f>HYPERLINK("http://www.rosaceae.org/gb/gbrowse/malus_x_domestica/?name=MDP0000230709","MDP0000230709")</f>
        <v>MDP0000230709</v>
      </c>
      <c r="D10455">
        <v>79.06</v>
      </c>
      <c r="E10455">
        <v>578</v>
      </c>
      <c r="F10455">
        <v>121</v>
      </c>
      <c r="G10455">
        <v>0</v>
      </c>
      <c r="H10455">
        <v>1</v>
      </c>
      <c r="I10455">
        <v>578</v>
      </c>
      <c r="J10455">
        <v>1</v>
      </c>
      <c r="K10455">
        <v>1</v>
      </c>
      <c r="L10455">
        <v>578</v>
      </c>
      <c r="M10455">
        <v>1</v>
      </c>
      <c r="N10455">
        <v>0</v>
      </c>
      <c r="O10455">
        <v>2438</v>
      </c>
    </row>
    <row r="10456" spans="1:15" x14ac:dyDescent="0.25">
      <c r="A10456" t="s">
        <v>10469</v>
      </c>
      <c r="B10456">
        <v>215</v>
      </c>
      <c r="C10456" s="1" t="str">
        <f>HYPERLINK("http://www.rosaceae.org/gb/gbrowse/malus_x_domestica/?name=MDP0000260701","MDP0000260701")</f>
        <v>MDP0000260701</v>
      </c>
      <c r="D10456">
        <v>53.84</v>
      </c>
      <c r="E10456">
        <v>143</v>
      </c>
      <c r="F10456">
        <v>66</v>
      </c>
      <c r="G10456">
        <v>1</v>
      </c>
      <c r="H10456">
        <v>44</v>
      </c>
      <c r="I10456">
        <v>186</v>
      </c>
      <c r="J10456">
        <v>1</v>
      </c>
      <c r="K10456">
        <v>34</v>
      </c>
      <c r="L10456">
        <v>175</v>
      </c>
      <c r="M10456">
        <v>1</v>
      </c>
      <c r="N10456">
        <v>2.2191199999999999E-38</v>
      </c>
      <c r="O10456">
        <v>393</v>
      </c>
    </row>
    <row r="10457" spans="1:15" x14ac:dyDescent="0.25">
      <c r="A10457" t="s">
        <v>10470</v>
      </c>
      <c r="B10457">
        <v>218</v>
      </c>
      <c r="C10457" s="1" t="str">
        <f>HYPERLINK("http://www.rosaceae.org/gb/gbrowse/malus_x_domestica/?name=MDP0000250002","MDP0000250002")</f>
        <v>MDP0000250002</v>
      </c>
      <c r="D10457">
        <v>47.01</v>
      </c>
      <c r="E10457">
        <v>134</v>
      </c>
      <c r="F10457">
        <v>71</v>
      </c>
      <c r="G10457">
        <v>2</v>
      </c>
      <c r="H10457">
        <v>1</v>
      </c>
      <c r="I10457">
        <v>134</v>
      </c>
      <c r="J10457">
        <v>1</v>
      </c>
      <c r="K10457">
        <v>1</v>
      </c>
      <c r="L10457">
        <v>132</v>
      </c>
      <c r="M10457">
        <v>1</v>
      </c>
      <c r="N10457">
        <v>7.7260600000000003E-25</v>
      </c>
      <c r="O10457">
        <v>276</v>
      </c>
    </row>
    <row r="10458" spans="1:15" x14ac:dyDescent="0.25">
      <c r="A10458" t="s">
        <v>10471</v>
      </c>
      <c r="B10458">
        <v>461</v>
      </c>
      <c r="C10458" s="1" t="str">
        <f>HYPERLINK("http://www.rosaceae.org/gb/gbrowse/malus_x_domestica/?name=MDP0000320872","MDP0000320872")</f>
        <v>MDP0000320872</v>
      </c>
      <c r="D10458">
        <v>86.19</v>
      </c>
      <c r="E10458">
        <v>449</v>
      </c>
      <c r="F10458">
        <v>62</v>
      </c>
      <c r="G10458">
        <v>4</v>
      </c>
      <c r="H10458">
        <v>1</v>
      </c>
      <c r="I10458">
        <v>449</v>
      </c>
      <c r="J10458">
        <v>1</v>
      </c>
      <c r="K10458">
        <v>11</v>
      </c>
      <c r="L10458">
        <v>455</v>
      </c>
      <c r="M10458">
        <v>1</v>
      </c>
      <c r="N10458">
        <v>0</v>
      </c>
      <c r="O10458">
        <v>2073</v>
      </c>
    </row>
    <row r="10459" spans="1:15" x14ac:dyDescent="0.25">
      <c r="A10459" t="s">
        <v>10472</v>
      </c>
      <c r="B10459">
        <v>774</v>
      </c>
      <c r="C10459" s="1" t="str">
        <f>HYPERLINK("http://www.rosaceae.org/gb/gbrowse/malus_x_domestica/?name=MDP0000265970","MDP0000265970")</f>
        <v>MDP0000265970</v>
      </c>
      <c r="D10459">
        <v>67.040000000000006</v>
      </c>
      <c r="E10459">
        <v>176</v>
      </c>
      <c r="F10459">
        <v>58</v>
      </c>
      <c r="G10459">
        <v>2</v>
      </c>
      <c r="H10459">
        <v>356</v>
      </c>
      <c r="I10459">
        <v>530</v>
      </c>
      <c r="J10459">
        <v>1</v>
      </c>
      <c r="K10459">
        <v>43</v>
      </c>
      <c r="L10459">
        <v>217</v>
      </c>
      <c r="M10459">
        <v>1</v>
      </c>
      <c r="N10459">
        <v>8.6203600000000005E-64</v>
      </c>
      <c r="O10459">
        <v>619</v>
      </c>
    </row>
    <row r="10460" spans="1:15" x14ac:dyDescent="0.25">
      <c r="A10460" t="s">
        <v>10473</v>
      </c>
      <c r="B10460">
        <v>210</v>
      </c>
      <c r="C10460" s="1" t="str">
        <f>HYPERLINK("http://www.rosaceae.org/gb/gbrowse/malus_x_domestica/?name=MDP0000274266","MDP0000274266")</f>
        <v>MDP0000274266</v>
      </c>
      <c r="D10460">
        <v>28.97</v>
      </c>
      <c r="E10460">
        <v>176</v>
      </c>
      <c r="F10460">
        <v>125</v>
      </c>
      <c r="G10460">
        <v>26</v>
      </c>
      <c r="H10460">
        <v>37</v>
      </c>
      <c r="I10460">
        <v>208</v>
      </c>
      <c r="J10460">
        <v>1</v>
      </c>
      <c r="K10460">
        <v>55</v>
      </c>
      <c r="L10460">
        <v>208</v>
      </c>
      <c r="M10460">
        <v>1</v>
      </c>
      <c r="N10460">
        <v>6.82149E-13</v>
      </c>
      <c r="O10460">
        <v>173</v>
      </c>
    </row>
    <row r="10461" spans="1:15" x14ac:dyDescent="0.25">
      <c r="A10461" t="s">
        <v>10474</v>
      </c>
      <c r="B10461">
        <v>413</v>
      </c>
      <c r="C10461" s="1" t="str">
        <f>HYPERLINK("http://www.rosaceae.org/gb/gbrowse/malus_x_domestica/?name=MDP0000262982","MDP0000262982")</f>
        <v>MDP0000262982</v>
      </c>
      <c r="D10461">
        <v>59.38</v>
      </c>
      <c r="E10461">
        <v>389</v>
      </c>
      <c r="F10461">
        <v>158</v>
      </c>
      <c r="G10461">
        <v>3</v>
      </c>
      <c r="H10461">
        <v>8</v>
      </c>
      <c r="I10461">
        <v>394</v>
      </c>
      <c r="J10461">
        <v>1</v>
      </c>
      <c r="K10461">
        <v>17</v>
      </c>
      <c r="L10461">
        <v>404</v>
      </c>
      <c r="M10461">
        <v>1</v>
      </c>
      <c r="N10461">
        <v>3.3706500000000002E-137</v>
      </c>
      <c r="O10461">
        <v>1249</v>
      </c>
    </row>
    <row r="10462" spans="1:15" x14ac:dyDescent="0.25">
      <c r="A10462" t="s">
        <v>10475</v>
      </c>
      <c r="B10462">
        <v>178</v>
      </c>
      <c r="C10462" s="1" t="str">
        <f>HYPERLINK("http://www.rosaceae.org/gb/gbrowse/malus_x_domestica/?name=MDP0000403195","MDP0000403195")</f>
        <v>MDP0000403195</v>
      </c>
      <c r="D10462">
        <v>76.92</v>
      </c>
      <c r="E10462">
        <v>195</v>
      </c>
      <c r="F10462">
        <v>45</v>
      </c>
      <c r="G10462">
        <v>17</v>
      </c>
      <c r="H10462">
        <v>1</v>
      </c>
      <c r="I10462">
        <v>178</v>
      </c>
      <c r="J10462">
        <v>1</v>
      </c>
      <c r="K10462">
        <v>3</v>
      </c>
      <c r="L10462">
        <v>197</v>
      </c>
      <c r="M10462">
        <v>1</v>
      </c>
      <c r="N10462">
        <v>3.5846800000000003E-77</v>
      </c>
      <c r="O10462">
        <v>726</v>
      </c>
    </row>
    <row r="10463" spans="1:15" x14ac:dyDescent="0.25">
      <c r="A10463" t="s">
        <v>10476</v>
      </c>
      <c r="B10463">
        <v>170</v>
      </c>
      <c r="C10463" s="1" t="str">
        <f>HYPERLINK("http://www.rosaceae.org/gb/gbrowse/malus_x_domestica/?name=MDP0000133159","MDP0000133159")</f>
        <v>MDP0000133159</v>
      </c>
      <c r="D10463">
        <v>77.3</v>
      </c>
      <c r="E10463">
        <v>141</v>
      </c>
      <c r="F10463">
        <v>32</v>
      </c>
      <c r="G10463">
        <v>0</v>
      </c>
      <c r="H10463">
        <v>1</v>
      </c>
      <c r="I10463">
        <v>141</v>
      </c>
      <c r="J10463">
        <v>1</v>
      </c>
      <c r="K10463">
        <v>1</v>
      </c>
      <c r="L10463">
        <v>141</v>
      </c>
      <c r="M10463">
        <v>1</v>
      </c>
      <c r="N10463">
        <v>2.2867499999999999E-62</v>
      </c>
      <c r="O10463">
        <v>598</v>
      </c>
    </row>
    <row r="10464" spans="1:15" x14ac:dyDescent="0.25">
      <c r="A10464" t="s">
        <v>10477</v>
      </c>
      <c r="B10464">
        <v>1112</v>
      </c>
      <c r="C10464" s="1" t="str">
        <f>HYPERLINK("http://www.rosaceae.org/gb/gbrowse/malus_x_domestica/?name=MDP0000235029","MDP0000235029")</f>
        <v>MDP0000235029</v>
      </c>
      <c r="D10464">
        <v>74.72</v>
      </c>
      <c r="E10464">
        <v>1100</v>
      </c>
      <c r="F10464">
        <v>278</v>
      </c>
      <c r="G10464">
        <v>8</v>
      </c>
      <c r="H10464">
        <v>1</v>
      </c>
      <c r="I10464">
        <v>1093</v>
      </c>
      <c r="J10464">
        <v>1</v>
      </c>
      <c r="K10464">
        <v>1</v>
      </c>
      <c r="L10464">
        <v>1099</v>
      </c>
      <c r="M10464">
        <v>1</v>
      </c>
      <c r="N10464">
        <v>0</v>
      </c>
      <c r="O10464">
        <v>4142</v>
      </c>
    </row>
    <row r="10465" spans="1:15" x14ac:dyDescent="0.25">
      <c r="A10465" t="s">
        <v>10478</v>
      </c>
      <c r="B10465">
        <v>421</v>
      </c>
      <c r="C10465" s="1" t="str">
        <f>HYPERLINK("http://www.rosaceae.org/gb/gbrowse/malus_x_domestica/?name=MDP0000581832","MDP0000581832")</f>
        <v>MDP0000581832</v>
      </c>
      <c r="D10465">
        <v>77.64</v>
      </c>
      <c r="E10465">
        <v>425</v>
      </c>
      <c r="F10465">
        <v>95</v>
      </c>
      <c r="G10465">
        <v>24</v>
      </c>
      <c r="H10465">
        <v>19</v>
      </c>
      <c r="I10465">
        <v>421</v>
      </c>
      <c r="J10465">
        <v>1</v>
      </c>
      <c r="K10465">
        <v>20</v>
      </c>
      <c r="L10465">
        <v>442</v>
      </c>
      <c r="M10465">
        <v>1</v>
      </c>
      <c r="N10465">
        <v>0</v>
      </c>
      <c r="O10465">
        <v>1669</v>
      </c>
    </row>
    <row r="10466" spans="1:15" x14ac:dyDescent="0.25">
      <c r="A10466" t="s">
        <v>10479</v>
      </c>
      <c r="B10466">
        <v>518</v>
      </c>
      <c r="C10466" s="1" t="str">
        <f>HYPERLINK("http://www.rosaceae.org/gb/gbrowse/malus_x_domestica/?name=MDP0000137412","MDP0000137412")</f>
        <v>MDP0000137412</v>
      </c>
      <c r="D10466">
        <v>66.930000000000007</v>
      </c>
      <c r="E10466">
        <v>499</v>
      </c>
      <c r="F10466">
        <v>165</v>
      </c>
      <c r="G10466">
        <v>4</v>
      </c>
      <c r="H10466">
        <v>13</v>
      </c>
      <c r="I10466">
        <v>510</v>
      </c>
      <c r="J10466">
        <v>1</v>
      </c>
      <c r="K10466">
        <v>14</v>
      </c>
      <c r="L10466">
        <v>509</v>
      </c>
      <c r="M10466">
        <v>1</v>
      </c>
      <c r="N10466">
        <v>0</v>
      </c>
      <c r="O10466">
        <v>1736</v>
      </c>
    </row>
    <row r="10467" spans="1:15" x14ac:dyDescent="0.25">
      <c r="A10467" t="s">
        <v>10480</v>
      </c>
      <c r="B10467">
        <v>491</v>
      </c>
      <c r="C10467" s="1" t="str">
        <f>HYPERLINK("http://www.rosaceae.org/gb/gbrowse/malus_x_domestica/?name=MDP0000228868","MDP0000228868")</f>
        <v>MDP0000228868</v>
      </c>
      <c r="D10467">
        <v>27.63</v>
      </c>
      <c r="E10467">
        <v>199</v>
      </c>
      <c r="F10467">
        <v>144</v>
      </c>
      <c r="G10467">
        <v>5</v>
      </c>
      <c r="H10467">
        <v>19</v>
      </c>
      <c r="I10467">
        <v>216</v>
      </c>
      <c r="J10467">
        <v>1</v>
      </c>
      <c r="K10467">
        <v>597</v>
      </c>
      <c r="L10467">
        <v>791</v>
      </c>
      <c r="M10467">
        <v>1</v>
      </c>
      <c r="N10467">
        <v>2.0178099999999999E-18</v>
      </c>
      <c r="O10467">
        <v>225</v>
      </c>
    </row>
    <row r="10468" spans="1:15" x14ac:dyDescent="0.25">
      <c r="A10468" t="s">
        <v>10481</v>
      </c>
      <c r="B10468">
        <v>393</v>
      </c>
      <c r="C10468" s="1" t="str">
        <f>HYPERLINK("http://www.rosaceae.org/gb/gbrowse/malus_x_domestica/?name=MDP0000295191","MDP0000295191")</f>
        <v>MDP0000295191</v>
      </c>
      <c r="D10468">
        <v>32.380000000000003</v>
      </c>
      <c r="E10468">
        <v>386</v>
      </c>
      <c r="F10468">
        <v>261</v>
      </c>
      <c r="G10468">
        <v>46</v>
      </c>
      <c r="H10468">
        <v>10</v>
      </c>
      <c r="I10468">
        <v>364</v>
      </c>
      <c r="J10468">
        <v>1</v>
      </c>
      <c r="K10468">
        <v>2</v>
      </c>
      <c r="L10468">
        <v>372</v>
      </c>
      <c r="M10468">
        <v>1</v>
      </c>
      <c r="N10468">
        <v>2.7154099999999999E-42</v>
      </c>
      <c r="O10468">
        <v>430</v>
      </c>
    </row>
    <row r="10469" spans="1:15" x14ac:dyDescent="0.25">
      <c r="A10469" t="s">
        <v>10482</v>
      </c>
      <c r="B10469">
        <v>196</v>
      </c>
      <c r="C10469" s="1" t="str">
        <f>HYPERLINK("http://www.rosaceae.org/gb/gbrowse/malus_x_domestica/?name=MDP0000638634","MDP0000638634")</f>
        <v>MDP0000638634</v>
      </c>
      <c r="D10469">
        <v>30.3</v>
      </c>
      <c r="E10469">
        <v>198</v>
      </c>
      <c r="F10469">
        <v>138</v>
      </c>
      <c r="G10469">
        <v>24</v>
      </c>
      <c r="H10469">
        <v>1</v>
      </c>
      <c r="I10469">
        <v>190</v>
      </c>
      <c r="J10469">
        <v>1</v>
      </c>
      <c r="K10469">
        <v>23</v>
      </c>
      <c r="L10469">
        <v>204</v>
      </c>
      <c r="M10469">
        <v>1</v>
      </c>
      <c r="N10469">
        <v>2.3728400000000001E-15</v>
      </c>
      <c r="O10469">
        <v>194</v>
      </c>
    </row>
    <row r="10470" spans="1:15" x14ac:dyDescent="0.25">
      <c r="A10470" t="s">
        <v>10483</v>
      </c>
      <c r="B10470">
        <v>567</v>
      </c>
      <c r="C10470" s="1" t="str">
        <f>HYPERLINK("http://www.rosaceae.org/gb/gbrowse/malus_x_domestica/?name=MDP0000319550","MDP0000319550")</f>
        <v>MDP0000319550</v>
      </c>
      <c r="D10470">
        <v>61.74</v>
      </c>
      <c r="E10470">
        <v>562</v>
      </c>
      <c r="F10470">
        <v>215</v>
      </c>
      <c r="G10470">
        <v>7</v>
      </c>
      <c r="H10470">
        <v>12</v>
      </c>
      <c r="I10470">
        <v>566</v>
      </c>
      <c r="J10470">
        <v>1</v>
      </c>
      <c r="K10470">
        <v>21</v>
      </c>
      <c r="L10470">
        <v>582</v>
      </c>
      <c r="M10470">
        <v>1</v>
      </c>
      <c r="N10470">
        <v>0</v>
      </c>
      <c r="O10470">
        <v>1813</v>
      </c>
    </row>
    <row r="10471" spans="1:15" x14ac:dyDescent="0.25">
      <c r="A10471" t="s">
        <v>10484</v>
      </c>
      <c r="B10471">
        <v>1297</v>
      </c>
      <c r="C10471" s="1" t="str">
        <f>HYPERLINK("http://www.rosaceae.org/gb/gbrowse/malus_x_domestica/?name=MDP0000726619","MDP0000726619")</f>
        <v>MDP0000726619</v>
      </c>
      <c r="D10471">
        <v>56.49</v>
      </c>
      <c r="E10471">
        <v>1294</v>
      </c>
      <c r="F10471">
        <v>563</v>
      </c>
      <c r="G10471">
        <v>16</v>
      </c>
      <c r="H10471">
        <v>1</v>
      </c>
      <c r="I10471">
        <v>1285</v>
      </c>
      <c r="J10471">
        <v>1</v>
      </c>
      <c r="K10471">
        <v>1</v>
      </c>
      <c r="L10471">
        <v>1287</v>
      </c>
      <c r="M10471">
        <v>1</v>
      </c>
      <c r="N10471">
        <v>0</v>
      </c>
      <c r="O10471">
        <v>3467</v>
      </c>
    </row>
    <row r="10472" spans="1:15" x14ac:dyDescent="0.25">
      <c r="A10472" t="s">
        <v>10485</v>
      </c>
      <c r="B10472">
        <v>159</v>
      </c>
      <c r="C10472" s="1" t="str">
        <f>HYPERLINK("http://www.rosaceae.org/gb/gbrowse/malus_x_domestica/?name=MDP0000589864","MDP0000589864")</f>
        <v>MDP0000589864</v>
      </c>
      <c r="D10472">
        <v>64.13</v>
      </c>
      <c r="E10472">
        <v>145</v>
      </c>
      <c r="F10472">
        <v>52</v>
      </c>
      <c r="G10472">
        <v>14</v>
      </c>
      <c r="H10472">
        <v>28</v>
      </c>
      <c r="I10472">
        <v>159</v>
      </c>
      <c r="J10472">
        <v>1</v>
      </c>
      <c r="K10472">
        <v>21</v>
      </c>
      <c r="L10472">
        <v>164</v>
      </c>
      <c r="M10472">
        <v>1</v>
      </c>
      <c r="N10472">
        <v>4.1258200000000001E-42</v>
      </c>
      <c r="O10472">
        <v>423</v>
      </c>
    </row>
    <row r="10473" spans="1:15" x14ac:dyDescent="0.25">
      <c r="A10473" t="s">
        <v>10486</v>
      </c>
      <c r="B10473">
        <v>329</v>
      </c>
      <c r="C10473" s="1" t="str">
        <f>HYPERLINK("http://www.rosaceae.org/gb/gbrowse/malus_x_domestica/?name=MDP0000156973","MDP0000156973")</f>
        <v>MDP0000156973</v>
      </c>
      <c r="D10473">
        <v>40.799999999999997</v>
      </c>
      <c r="E10473">
        <v>321</v>
      </c>
      <c r="F10473">
        <v>190</v>
      </c>
      <c r="G10473">
        <v>11</v>
      </c>
      <c r="H10473">
        <v>1</v>
      </c>
      <c r="I10473">
        <v>319</v>
      </c>
      <c r="J10473">
        <v>1</v>
      </c>
      <c r="K10473">
        <v>1</v>
      </c>
      <c r="L10473">
        <v>312</v>
      </c>
      <c r="M10473">
        <v>1</v>
      </c>
      <c r="N10473">
        <v>8.80016E-69</v>
      </c>
      <c r="O10473">
        <v>658</v>
      </c>
    </row>
    <row r="10474" spans="1:15" x14ac:dyDescent="0.25">
      <c r="A10474" t="s">
        <v>10487</v>
      </c>
      <c r="B10474">
        <v>385</v>
      </c>
      <c r="C10474" s="1" t="str">
        <f>HYPERLINK("http://www.rosaceae.org/gb/gbrowse/malus_x_domestica/?name=MDP0000656802","MDP0000656802")</f>
        <v>MDP0000656802</v>
      </c>
      <c r="D10474">
        <v>78.7</v>
      </c>
      <c r="E10474">
        <v>385</v>
      </c>
      <c r="F10474">
        <v>82</v>
      </c>
      <c r="G10474">
        <v>8</v>
      </c>
      <c r="H10474">
        <v>1</v>
      </c>
      <c r="I10474">
        <v>385</v>
      </c>
      <c r="J10474">
        <v>1</v>
      </c>
      <c r="K10474">
        <v>1</v>
      </c>
      <c r="L10474">
        <v>377</v>
      </c>
      <c r="M10474">
        <v>1</v>
      </c>
      <c r="N10474">
        <v>4.1521499999999999E-178</v>
      </c>
      <c r="O10474">
        <v>1601</v>
      </c>
    </row>
    <row r="10475" spans="1:15" x14ac:dyDescent="0.25">
      <c r="A10475" t="s">
        <v>10488</v>
      </c>
      <c r="B10475">
        <v>740</v>
      </c>
      <c r="C10475" s="1" t="str">
        <f>HYPERLINK("http://www.rosaceae.org/gb/gbrowse/malus_x_domestica/?name=MDP0000300852","MDP0000300852")</f>
        <v>MDP0000300852</v>
      </c>
      <c r="D10475">
        <v>57.3</v>
      </c>
      <c r="E10475">
        <v>520</v>
      </c>
      <c r="F10475">
        <v>222</v>
      </c>
      <c r="G10475">
        <v>54</v>
      </c>
      <c r="H10475">
        <v>270</v>
      </c>
      <c r="I10475">
        <v>740</v>
      </c>
      <c r="J10475">
        <v>1</v>
      </c>
      <c r="K10475">
        <v>320</v>
      </c>
      <c r="L10475">
        <v>834</v>
      </c>
      <c r="M10475">
        <v>1</v>
      </c>
      <c r="N10475">
        <v>1.8474100000000001E-159</v>
      </c>
      <c r="O10475">
        <v>1443</v>
      </c>
    </row>
    <row r="10476" spans="1:15" x14ac:dyDescent="0.25">
      <c r="A10476" t="s">
        <v>10489</v>
      </c>
      <c r="B10476">
        <v>157</v>
      </c>
      <c r="C10476" s="1" t="str">
        <f>HYPERLINK("http://www.rosaceae.org/gb/gbrowse/malus_x_domestica/?name=MDP0000240032","MDP0000240032")</f>
        <v>MDP0000240032</v>
      </c>
      <c r="D10476">
        <v>80.14</v>
      </c>
      <c r="E10476">
        <v>141</v>
      </c>
      <c r="F10476">
        <v>28</v>
      </c>
      <c r="G10476">
        <v>0</v>
      </c>
      <c r="H10476">
        <v>17</v>
      </c>
      <c r="I10476">
        <v>157</v>
      </c>
      <c r="J10476">
        <v>1</v>
      </c>
      <c r="K10476">
        <v>17</v>
      </c>
      <c r="L10476">
        <v>157</v>
      </c>
      <c r="M10476">
        <v>1</v>
      </c>
      <c r="N10476">
        <v>1.57574E-58</v>
      </c>
      <c r="O10476">
        <v>564</v>
      </c>
    </row>
    <row r="10477" spans="1:15" x14ac:dyDescent="0.25">
      <c r="A10477" t="s">
        <v>10490</v>
      </c>
      <c r="B10477">
        <v>1183</v>
      </c>
      <c r="C10477" s="1" t="str">
        <f>HYPERLINK("http://www.rosaceae.org/gb/gbrowse/malus_x_domestica/?name=MDP0000319861","MDP0000319861")</f>
        <v>MDP0000319861</v>
      </c>
      <c r="D10477">
        <v>62.65</v>
      </c>
      <c r="E10477">
        <v>972</v>
      </c>
      <c r="F10477">
        <v>363</v>
      </c>
      <c r="G10477">
        <v>21</v>
      </c>
      <c r="H10477">
        <v>228</v>
      </c>
      <c r="I10477">
        <v>1183</v>
      </c>
      <c r="J10477">
        <v>1</v>
      </c>
      <c r="K10477">
        <v>138</v>
      </c>
      <c r="L10477">
        <v>1104</v>
      </c>
      <c r="M10477">
        <v>1</v>
      </c>
      <c r="N10477">
        <v>0</v>
      </c>
      <c r="O10477">
        <v>3127</v>
      </c>
    </row>
    <row r="10478" spans="1:15" x14ac:dyDescent="0.25">
      <c r="A10478" t="s">
        <v>10491</v>
      </c>
      <c r="B10478">
        <v>369</v>
      </c>
      <c r="C10478" s="1" t="str">
        <f>HYPERLINK("http://www.rosaceae.org/gb/gbrowse/malus_x_domestica/?name=MDP0000206106","MDP0000206106")</f>
        <v>MDP0000206106</v>
      </c>
      <c r="D10478">
        <v>50.31</v>
      </c>
      <c r="E10478">
        <v>318</v>
      </c>
      <c r="F10478">
        <v>158</v>
      </c>
      <c r="G10478">
        <v>16</v>
      </c>
      <c r="H10478">
        <v>40</v>
      </c>
      <c r="I10478">
        <v>354</v>
      </c>
      <c r="J10478">
        <v>1</v>
      </c>
      <c r="K10478">
        <v>19</v>
      </c>
      <c r="L10478">
        <v>323</v>
      </c>
      <c r="M10478">
        <v>1</v>
      </c>
      <c r="N10478">
        <v>2.08651E-75</v>
      </c>
      <c r="O10478">
        <v>715</v>
      </c>
    </row>
    <row r="10479" spans="1:15" x14ac:dyDescent="0.25">
      <c r="A10479" t="s">
        <v>10492</v>
      </c>
      <c r="B10479">
        <v>127</v>
      </c>
      <c r="C10479" s="1" t="str">
        <f>HYPERLINK("http://www.rosaceae.org/gb/gbrowse/malus_x_domestica/?name=MDP0000253152","MDP0000253152")</f>
        <v>MDP0000253152</v>
      </c>
      <c r="D10479">
        <v>66.92</v>
      </c>
      <c r="E10479">
        <v>130</v>
      </c>
      <c r="F10479">
        <v>43</v>
      </c>
      <c r="G10479">
        <v>9</v>
      </c>
      <c r="H10479">
        <v>1</v>
      </c>
      <c r="I10479">
        <v>121</v>
      </c>
      <c r="J10479">
        <v>1</v>
      </c>
      <c r="K10479">
        <v>1</v>
      </c>
      <c r="L10479">
        <v>130</v>
      </c>
      <c r="M10479">
        <v>1</v>
      </c>
      <c r="N10479">
        <v>2.8531200000000002E-41</v>
      </c>
      <c r="O10479">
        <v>414</v>
      </c>
    </row>
    <row r="10480" spans="1:15" x14ac:dyDescent="0.25">
      <c r="A10480" t="s">
        <v>10493</v>
      </c>
      <c r="B10480">
        <v>1047</v>
      </c>
      <c r="C10480" s="1" t="str">
        <f>HYPERLINK("http://www.rosaceae.org/gb/gbrowse/malus_x_domestica/?name=MDP0000283839","MDP0000283839")</f>
        <v>MDP0000283839</v>
      </c>
      <c r="D10480">
        <v>74.25</v>
      </c>
      <c r="E10480">
        <v>800</v>
      </c>
      <c r="F10480">
        <v>206</v>
      </c>
      <c r="G10480">
        <v>24</v>
      </c>
      <c r="H10480">
        <v>1</v>
      </c>
      <c r="I10480">
        <v>784</v>
      </c>
      <c r="J10480">
        <v>1</v>
      </c>
      <c r="K10480">
        <v>1</v>
      </c>
      <c r="L10480">
        <v>792</v>
      </c>
      <c r="M10480">
        <v>1</v>
      </c>
      <c r="N10480">
        <v>0</v>
      </c>
      <c r="O10480">
        <v>3087</v>
      </c>
    </row>
    <row r="10481" spans="1:15" x14ac:dyDescent="0.25">
      <c r="A10481" t="s">
        <v>10494</v>
      </c>
      <c r="B10481">
        <v>521</v>
      </c>
      <c r="C10481" s="1" t="str">
        <f>HYPERLINK("http://www.rosaceae.org/gb/gbrowse/malus_x_domestica/?name=MDP0000737014","MDP0000737014")</f>
        <v>MDP0000737014</v>
      </c>
      <c r="D10481">
        <v>52.4</v>
      </c>
      <c r="E10481">
        <v>500</v>
      </c>
      <c r="F10481">
        <v>238</v>
      </c>
      <c r="G10481">
        <v>56</v>
      </c>
      <c r="H10481">
        <v>9</v>
      </c>
      <c r="I10481">
        <v>490</v>
      </c>
      <c r="J10481">
        <v>1</v>
      </c>
      <c r="K10481">
        <v>27</v>
      </c>
      <c r="L10481">
        <v>488</v>
      </c>
      <c r="M10481">
        <v>1</v>
      </c>
      <c r="N10481">
        <v>1.39585E-117</v>
      </c>
      <c r="O10481">
        <v>1081</v>
      </c>
    </row>
    <row r="10482" spans="1:15" x14ac:dyDescent="0.25">
      <c r="A10482" t="s">
        <v>10495</v>
      </c>
      <c r="B10482">
        <v>165</v>
      </c>
      <c r="C10482" s="1" t="str">
        <f>HYPERLINK("http://www.rosaceae.org/gb/gbrowse/malus_x_domestica/?name=MDP0000846055","MDP0000846055")</f>
        <v>MDP0000846055</v>
      </c>
      <c r="D10482">
        <v>38.33</v>
      </c>
      <c r="E10482">
        <v>120</v>
      </c>
      <c r="F10482">
        <v>74</v>
      </c>
      <c r="G10482">
        <v>7</v>
      </c>
      <c r="H10482">
        <v>46</v>
      </c>
      <c r="I10482">
        <v>164</v>
      </c>
      <c r="J10482">
        <v>1</v>
      </c>
      <c r="K10482">
        <v>204</v>
      </c>
      <c r="L10482">
        <v>317</v>
      </c>
      <c r="M10482">
        <v>1</v>
      </c>
      <c r="N10482">
        <v>4.32032E-15</v>
      </c>
      <c r="O10482">
        <v>190</v>
      </c>
    </row>
    <row r="10483" spans="1:15" x14ac:dyDescent="0.25">
      <c r="A10483" t="s">
        <v>10496</v>
      </c>
      <c r="B10483">
        <v>592</v>
      </c>
      <c r="C10483" s="1" t="str">
        <f>HYPERLINK("http://www.rosaceae.org/gb/gbrowse/malus_x_domestica/?name=MDP0000326344","MDP0000326344")</f>
        <v>MDP0000326344</v>
      </c>
      <c r="D10483">
        <v>45.14</v>
      </c>
      <c r="E10483">
        <v>319</v>
      </c>
      <c r="F10483">
        <v>175</v>
      </c>
      <c r="G10483">
        <v>15</v>
      </c>
      <c r="H10483">
        <v>155</v>
      </c>
      <c r="I10483">
        <v>458</v>
      </c>
      <c r="J10483">
        <v>1</v>
      </c>
      <c r="K10483">
        <v>14</v>
      </c>
      <c r="L10483">
        <v>332</v>
      </c>
      <c r="M10483">
        <v>1</v>
      </c>
      <c r="N10483">
        <v>2.6640500000000002E-55</v>
      </c>
      <c r="O10483">
        <v>544</v>
      </c>
    </row>
    <row r="10484" spans="1:15" x14ac:dyDescent="0.25">
      <c r="A10484" t="s">
        <v>10497</v>
      </c>
      <c r="B10484">
        <v>719</v>
      </c>
      <c r="C10484" s="1" t="str">
        <f>HYPERLINK("http://www.rosaceae.org/gb/gbrowse/malus_x_domestica/?name=MDP0000778974","MDP0000778974")</f>
        <v>MDP0000778974</v>
      </c>
      <c r="D10484">
        <v>82.61</v>
      </c>
      <c r="E10484">
        <v>719</v>
      </c>
      <c r="F10484">
        <v>125</v>
      </c>
      <c r="G10484">
        <v>0</v>
      </c>
      <c r="H10484">
        <v>1</v>
      </c>
      <c r="I10484">
        <v>719</v>
      </c>
      <c r="J10484">
        <v>1</v>
      </c>
      <c r="K10484">
        <v>1</v>
      </c>
      <c r="L10484">
        <v>719</v>
      </c>
      <c r="M10484">
        <v>1</v>
      </c>
      <c r="N10484">
        <v>0</v>
      </c>
      <c r="O10484">
        <v>3264</v>
      </c>
    </row>
    <row r="10485" spans="1:15" x14ac:dyDescent="0.25">
      <c r="A10485" t="s">
        <v>10498</v>
      </c>
      <c r="B10485">
        <v>731</v>
      </c>
      <c r="C10485" s="1" t="str">
        <f>HYPERLINK("http://www.rosaceae.org/gb/gbrowse/malus_x_domestica/?name=MDP0000558834","MDP0000558834")</f>
        <v>MDP0000558834</v>
      </c>
      <c r="D10485">
        <v>69.52</v>
      </c>
      <c r="E10485">
        <v>571</v>
      </c>
      <c r="F10485">
        <v>174</v>
      </c>
      <c r="G10485">
        <v>40</v>
      </c>
      <c r="H10485">
        <v>43</v>
      </c>
      <c r="I10485">
        <v>574</v>
      </c>
      <c r="J10485">
        <v>1</v>
      </c>
      <c r="K10485">
        <v>50</v>
      </c>
      <c r="L10485">
        <v>619</v>
      </c>
      <c r="M10485">
        <v>1</v>
      </c>
      <c r="N10485">
        <v>0</v>
      </c>
      <c r="O10485">
        <v>1967</v>
      </c>
    </row>
    <row r="10486" spans="1:15" x14ac:dyDescent="0.25">
      <c r="A10486" t="s">
        <v>10499</v>
      </c>
      <c r="B10486">
        <v>319</v>
      </c>
      <c r="C10486" s="1" t="str">
        <f>HYPERLINK("http://www.rosaceae.org/gb/gbrowse/malus_x_domestica/?name=MDP0000220519","MDP0000220519")</f>
        <v>MDP0000220519</v>
      </c>
      <c r="D10486">
        <v>72.72</v>
      </c>
      <c r="E10486">
        <v>154</v>
      </c>
      <c r="F10486">
        <v>42</v>
      </c>
      <c r="G10486">
        <v>0</v>
      </c>
      <c r="H10486">
        <v>164</v>
      </c>
      <c r="I10486">
        <v>317</v>
      </c>
      <c r="J10486">
        <v>1</v>
      </c>
      <c r="K10486">
        <v>216</v>
      </c>
      <c r="L10486">
        <v>369</v>
      </c>
      <c r="M10486">
        <v>1</v>
      </c>
      <c r="N10486">
        <v>1.1011400000000001E-59</v>
      </c>
      <c r="O10486">
        <v>579</v>
      </c>
    </row>
    <row r="10487" spans="1:15" x14ac:dyDescent="0.25">
      <c r="A10487" t="s">
        <v>10500</v>
      </c>
      <c r="B10487">
        <v>448</v>
      </c>
      <c r="C10487" s="1" t="str">
        <f>HYPERLINK("http://www.rosaceae.org/gb/gbrowse/malus_x_domestica/?name=MDP0000212916","MDP0000212916")</f>
        <v>MDP0000212916</v>
      </c>
      <c r="D10487">
        <v>34.229999999999997</v>
      </c>
      <c r="E10487">
        <v>444</v>
      </c>
      <c r="F10487">
        <v>292</v>
      </c>
      <c r="G10487">
        <v>76</v>
      </c>
      <c r="H10487">
        <v>31</v>
      </c>
      <c r="I10487">
        <v>434</v>
      </c>
      <c r="J10487">
        <v>1</v>
      </c>
      <c r="K10487">
        <v>23</v>
      </c>
      <c r="L10487">
        <v>430</v>
      </c>
      <c r="M10487">
        <v>1</v>
      </c>
      <c r="N10487">
        <v>1.3889199999999999E-62</v>
      </c>
      <c r="O10487">
        <v>606</v>
      </c>
    </row>
    <row r="10488" spans="1:15" x14ac:dyDescent="0.25">
      <c r="A10488" t="s">
        <v>10501</v>
      </c>
      <c r="B10488">
        <v>2329</v>
      </c>
      <c r="C10488" s="1" t="str">
        <f>HYPERLINK("http://www.rosaceae.org/gb/gbrowse/malus_x_domestica/?name=MDP0000305994","MDP0000305994")</f>
        <v>MDP0000305994</v>
      </c>
      <c r="D10488">
        <v>80.03</v>
      </c>
      <c r="E10488">
        <v>661</v>
      </c>
      <c r="F10488">
        <v>132</v>
      </c>
      <c r="G10488">
        <v>10</v>
      </c>
      <c r="H10488">
        <v>52</v>
      </c>
      <c r="I10488">
        <v>705</v>
      </c>
      <c r="J10488">
        <v>1</v>
      </c>
      <c r="K10488">
        <v>55</v>
      </c>
      <c r="L10488">
        <v>712</v>
      </c>
      <c r="M10488">
        <v>1</v>
      </c>
      <c r="N10488">
        <v>0</v>
      </c>
      <c r="O10488">
        <v>2709</v>
      </c>
    </row>
    <row r="10489" spans="1:15" x14ac:dyDescent="0.25">
      <c r="A10489" t="s">
        <v>10502</v>
      </c>
      <c r="B10489">
        <v>410</v>
      </c>
      <c r="C10489" s="1" t="str">
        <f>HYPERLINK("http://www.rosaceae.org/gb/gbrowse/malus_x_domestica/?name=MDP0000165935","MDP0000165935")</f>
        <v>MDP0000165935</v>
      </c>
      <c r="D10489">
        <v>73.67</v>
      </c>
      <c r="E10489">
        <v>433</v>
      </c>
      <c r="F10489">
        <v>114</v>
      </c>
      <c r="G10489">
        <v>36</v>
      </c>
      <c r="H10489">
        <v>1</v>
      </c>
      <c r="I10489">
        <v>399</v>
      </c>
      <c r="J10489">
        <v>1</v>
      </c>
      <c r="K10489">
        <v>107</v>
      </c>
      <c r="L10489">
        <v>537</v>
      </c>
      <c r="M10489">
        <v>1</v>
      </c>
      <c r="N10489">
        <v>2.33336E-163</v>
      </c>
      <c r="O10489">
        <v>1474</v>
      </c>
    </row>
    <row r="10490" spans="1:15" x14ac:dyDescent="0.25">
      <c r="A10490" t="s">
        <v>10503</v>
      </c>
      <c r="B10490">
        <v>126</v>
      </c>
      <c r="C10490" s="1" t="str">
        <f>HYPERLINK("http://www.rosaceae.org/gb/gbrowse/malus_x_domestica/?name=MDP0000912172","MDP0000912172")</f>
        <v>MDP0000912172</v>
      </c>
      <c r="D10490">
        <v>59.71</v>
      </c>
      <c r="E10490">
        <v>139</v>
      </c>
      <c r="F10490">
        <v>56</v>
      </c>
      <c r="G10490">
        <v>16</v>
      </c>
      <c r="H10490">
        <v>1</v>
      </c>
      <c r="I10490">
        <v>126</v>
      </c>
      <c r="J10490">
        <v>1</v>
      </c>
      <c r="K10490">
        <v>1</v>
      </c>
      <c r="L10490">
        <v>136</v>
      </c>
      <c r="M10490">
        <v>1</v>
      </c>
      <c r="N10490">
        <v>6.8975099999999995E-36</v>
      </c>
      <c r="O10490">
        <v>367</v>
      </c>
    </row>
    <row r="10491" spans="1:15" x14ac:dyDescent="0.25">
      <c r="A10491" t="s">
        <v>10504</v>
      </c>
      <c r="B10491">
        <v>828</v>
      </c>
      <c r="C10491" s="1" t="str">
        <f>HYPERLINK("http://www.rosaceae.org/gb/gbrowse/malus_x_domestica/?name=MDP0000214360","MDP0000214360")</f>
        <v>MDP0000214360</v>
      </c>
      <c r="D10491">
        <v>52.25</v>
      </c>
      <c r="E10491">
        <v>555</v>
      </c>
      <c r="F10491">
        <v>265</v>
      </c>
      <c r="G10491">
        <v>33</v>
      </c>
      <c r="H10491">
        <v>249</v>
      </c>
      <c r="I10491">
        <v>783</v>
      </c>
      <c r="J10491">
        <v>1</v>
      </c>
      <c r="K10491">
        <v>408</v>
      </c>
      <c r="L10491">
        <v>949</v>
      </c>
      <c r="M10491">
        <v>1</v>
      </c>
      <c r="N10491">
        <v>1.83681E-152</v>
      </c>
      <c r="O10491">
        <v>1383</v>
      </c>
    </row>
    <row r="10492" spans="1:15" x14ac:dyDescent="0.25">
      <c r="A10492" t="s">
        <v>10505</v>
      </c>
      <c r="B10492">
        <v>1897</v>
      </c>
      <c r="C10492" s="1" t="str">
        <f>HYPERLINK("http://www.rosaceae.org/gb/gbrowse/malus_x_domestica/?name=MDP0000267175","MDP0000267175")</f>
        <v>MDP0000267175</v>
      </c>
      <c r="D10492">
        <v>76.099999999999994</v>
      </c>
      <c r="E10492">
        <v>699</v>
      </c>
      <c r="F10492">
        <v>167</v>
      </c>
      <c r="G10492">
        <v>35</v>
      </c>
      <c r="H10492">
        <v>1053</v>
      </c>
      <c r="I10492">
        <v>1746</v>
      </c>
      <c r="J10492">
        <v>1</v>
      </c>
      <c r="K10492">
        <v>77</v>
      </c>
      <c r="L10492">
        <v>745</v>
      </c>
      <c r="M10492">
        <v>1</v>
      </c>
      <c r="N10492">
        <v>0</v>
      </c>
      <c r="O10492">
        <v>2742</v>
      </c>
    </row>
    <row r="10493" spans="1:15" x14ac:dyDescent="0.25">
      <c r="A10493" t="s">
        <v>10506</v>
      </c>
      <c r="B10493">
        <v>626</v>
      </c>
      <c r="C10493" s="1" t="str">
        <f>HYPERLINK("http://www.rosaceae.org/gb/gbrowse/malus_x_domestica/?name=MDP0000299496","MDP0000299496")</f>
        <v>MDP0000299496</v>
      </c>
      <c r="D10493">
        <v>31.03</v>
      </c>
      <c r="E10493">
        <v>522</v>
      </c>
      <c r="F10493">
        <v>360</v>
      </c>
      <c r="G10493">
        <v>75</v>
      </c>
      <c r="H10493">
        <v>57</v>
      </c>
      <c r="I10493">
        <v>528</v>
      </c>
      <c r="J10493">
        <v>1</v>
      </c>
      <c r="K10493">
        <v>280</v>
      </c>
      <c r="L10493">
        <v>776</v>
      </c>
      <c r="M10493">
        <v>1</v>
      </c>
      <c r="N10493">
        <v>1.19979E-57</v>
      </c>
      <c r="O10493">
        <v>565</v>
      </c>
    </row>
    <row r="10494" spans="1:15" x14ac:dyDescent="0.25">
      <c r="A10494" t="s">
        <v>10507</v>
      </c>
      <c r="B10494">
        <v>164</v>
      </c>
      <c r="C10494" s="1" t="str">
        <f>HYPERLINK("http://www.rosaceae.org/gb/gbrowse/malus_x_domestica/?name=MDP0000193906","MDP0000193906")</f>
        <v>MDP0000193906</v>
      </c>
      <c r="D10494">
        <v>76.62</v>
      </c>
      <c r="E10494">
        <v>154</v>
      </c>
      <c r="F10494">
        <v>36</v>
      </c>
      <c r="G10494">
        <v>0</v>
      </c>
      <c r="H10494">
        <v>10</v>
      </c>
      <c r="I10494">
        <v>163</v>
      </c>
      <c r="J10494">
        <v>1</v>
      </c>
      <c r="K10494">
        <v>90</v>
      </c>
      <c r="L10494">
        <v>243</v>
      </c>
      <c r="M10494">
        <v>1</v>
      </c>
      <c r="N10494">
        <v>1.08511E-68</v>
      </c>
      <c r="O10494">
        <v>652</v>
      </c>
    </row>
    <row r="10495" spans="1:15" x14ac:dyDescent="0.25">
      <c r="A10495" t="s">
        <v>10508</v>
      </c>
      <c r="B10495">
        <v>626</v>
      </c>
      <c r="C10495" s="1" t="str">
        <f>HYPERLINK("http://www.rosaceae.org/gb/gbrowse/malus_x_domestica/?name=MDP0000293639","MDP0000293639")</f>
        <v>MDP0000293639</v>
      </c>
      <c r="D10495">
        <v>32.380000000000003</v>
      </c>
      <c r="E10495">
        <v>599</v>
      </c>
      <c r="F10495">
        <v>405</v>
      </c>
      <c r="G10495">
        <v>29</v>
      </c>
      <c r="H10495">
        <v>29</v>
      </c>
      <c r="I10495">
        <v>612</v>
      </c>
      <c r="J10495">
        <v>1</v>
      </c>
      <c r="K10495">
        <v>40</v>
      </c>
      <c r="L10495">
        <v>624</v>
      </c>
      <c r="M10495">
        <v>1</v>
      </c>
      <c r="N10495">
        <v>2.69899E-81</v>
      </c>
      <c r="O10495">
        <v>769</v>
      </c>
    </row>
    <row r="10496" spans="1:15" x14ac:dyDescent="0.25">
      <c r="A10496" t="s">
        <v>10509</v>
      </c>
      <c r="B10496">
        <v>460</v>
      </c>
      <c r="C10496" s="1" t="str">
        <f>HYPERLINK("http://www.rosaceae.org/gb/gbrowse/malus_x_domestica/?name=MDP0000319338","MDP0000319338")</f>
        <v>MDP0000319338</v>
      </c>
      <c r="D10496">
        <v>85.06</v>
      </c>
      <c r="E10496">
        <v>221</v>
      </c>
      <c r="F10496">
        <v>33</v>
      </c>
      <c r="G10496">
        <v>2</v>
      </c>
      <c r="H10496">
        <v>242</v>
      </c>
      <c r="I10496">
        <v>460</v>
      </c>
      <c r="J10496">
        <v>1</v>
      </c>
      <c r="K10496">
        <v>836</v>
      </c>
      <c r="L10496">
        <v>1056</v>
      </c>
      <c r="M10496">
        <v>1</v>
      </c>
      <c r="N10496">
        <v>1.59363E-110</v>
      </c>
      <c r="O10496">
        <v>1019</v>
      </c>
    </row>
    <row r="10497" spans="1:15" x14ac:dyDescent="0.25">
      <c r="A10497" t="s">
        <v>10510</v>
      </c>
      <c r="B10497">
        <v>385</v>
      </c>
      <c r="C10497" s="1" t="str">
        <f>HYPERLINK("http://www.rosaceae.org/gb/gbrowse/malus_x_domestica/?name=MDP0000095336","MDP0000095336")</f>
        <v>MDP0000095336</v>
      </c>
      <c r="D10497">
        <v>50.37</v>
      </c>
      <c r="E10497">
        <v>395</v>
      </c>
      <c r="F10497">
        <v>196</v>
      </c>
      <c r="G10497">
        <v>61</v>
      </c>
      <c r="H10497">
        <v>41</v>
      </c>
      <c r="I10497">
        <v>385</v>
      </c>
      <c r="J10497">
        <v>1</v>
      </c>
      <c r="K10497">
        <v>2</v>
      </c>
      <c r="L10497">
        <v>385</v>
      </c>
      <c r="M10497">
        <v>1</v>
      </c>
      <c r="N10497">
        <v>2.49278E-96</v>
      </c>
      <c r="O10497">
        <v>896</v>
      </c>
    </row>
    <row r="10498" spans="1:15" x14ac:dyDescent="0.25">
      <c r="A10498" t="s">
        <v>10511</v>
      </c>
      <c r="B10498">
        <v>282</v>
      </c>
      <c r="C10498" s="1" t="str">
        <f>HYPERLINK("http://www.rosaceae.org/gb/gbrowse/malus_x_domestica/?name=MDP0000125288","MDP0000125288")</f>
        <v>MDP0000125288</v>
      </c>
      <c r="D10498">
        <v>74.430000000000007</v>
      </c>
      <c r="E10498">
        <v>266</v>
      </c>
      <c r="F10498">
        <v>68</v>
      </c>
      <c r="G10498">
        <v>8</v>
      </c>
      <c r="H10498">
        <v>12</v>
      </c>
      <c r="I10498">
        <v>276</v>
      </c>
      <c r="J10498">
        <v>1</v>
      </c>
      <c r="K10498">
        <v>18</v>
      </c>
      <c r="L10498">
        <v>276</v>
      </c>
      <c r="M10498">
        <v>1</v>
      </c>
      <c r="N10498">
        <v>6.9384600000000001E-116</v>
      </c>
      <c r="O10498">
        <v>1063</v>
      </c>
    </row>
    <row r="10499" spans="1:15" x14ac:dyDescent="0.25">
      <c r="A10499" t="s">
        <v>10512</v>
      </c>
      <c r="B10499">
        <v>890</v>
      </c>
      <c r="C10499" s="1" t="str">
        <f>HYPERLINK("http://www.rosaceae.org/gb/gbrowse/malus_x_domestica/?name=MDP0000171121","MDP0000171121")</f>
        <v>MDP0000171121</v>
      </c>
      <c r="D10499">
        <v>69.73</v>
      </c>
      <c r="E10499">
        <v>892</v>
      </c>
      <c r="F10499">
        <v>270</v>
      </c>
      <c r="G10499">
        <v>38</v>
      </c>
      <c r="H10499">
        <v>1</v>
      </c>
      <c r="I10499">
        <v>890</v>
      </c>
      <c r="J10499">
        <v>1</v>
      </c>
      <c r="K10499">
        <v>3</v>
      </c>
      <c r="L10499">
        <v>858</v>
      </c>
      <c r="M10499">
        <v>1</v>
      </c>
      <c r="N10499">
        <v>0</v>
      </c>
      <c r="O10499">
        <v>3151</v>
      </c>
    </row>
    <row r="10500" spans="1:15" x14ac:dyDescent="0.25">
      <c r="A10500" t="s">
        <v>10513</v>
      </c>
      <c r="B10500">
        <v>280</v>
      </c>
      <c r="C10500" s="1" t="str">
        <f>HYPERLINK("http://www.rosaceae.org/gb/gbrowse/malus_x_domestica/?name=MDP0000769656","MDP0000769656")</f>
        <v>MDP0000769656</v>
      </c>
      <c r="D10500">
        <v>41.69</v>
      </c>
      <c r="E10500">
        <v>319</v>
      </c>
      <c r="F10500">
        <v>186</v>
      </c>
      <c r="G10500">
        <v>52</v>
      </c>
      <c r="H10500">
        <v>8</v>
      </c>
      <c r="I10500">
        <v>280</v>
      </c>
      <c r="J10500">
        <v>1</v>
      </c>
      <c r="K10500">
        <v>7</v>
      </c>
      <c r="L10500">
        <v>319</v>
      </c>
      <c r="M10500">
        <v>1</v>
      </c>
      <c r="N10500">
        <v>1.34969E-55</v>
      </c>
      <c r="O10500">
        <v>543</v>
      </c>
    </row>
    <row r="10501" spans="1:15" x14ac:dyDescent="0.25">
      <c r="A10501" t="s">
        <v>10514</v>
      </c>
      <c r="B10501">
        <v>219</v>
      </c>
      <c r="C10501" s="1" t="str">
        <f>HYPERLINK("http://www.rosaceae.org/gb/gbrowse/malus_x_domestica/?name=MDP0000490749","MDP0000490749")</f>
        <v>MDP0000490749</v>
      </c>
      <c r="D10501">
        <v>61.87</v>
      </c>
      <c r="E10501">
        <v>160</v>
      </c>
      <c r="F10501">
        <v>61</v>
      </c>
      <c r="G10501">
        <v>0</v>
      </c>
      <c r="H10501">
        <v>1</v>
      </c>
      <c r="I10501">
        <v>160</v>
      </c>
      <c r="J10501">
        <v>1</v>
      </c>
      <c r="K10501">
        <v>1</v>
      </c>
      <c r="L10501">
        <v>160</v>
      </c>
      <c r="M10501">
        <v>1</v>
      </c>
      <c r="N10501">
        <v>1.20225E-53</v>
      </c>
      <c r="O10501">
        <v>525</v>
      </c>
    </row>
    <row r="10502" spans="1:15" x14ac:dyDescent="0.25">
      <c r="A10502" t="s">
        <v>10515</v>
      </c>
      <c r="B10502">
        <v>213</v>
      </c>
      <c r="C10502" s="1" t="str">
        <f>HYPERLINK("http://www.rosaceae.org/gb/gbrowse/malus_x_domestica/?name=MDP0000272952","MDP0000272952")</f>
        <v>MDP0000272952</v>
      </c>
      <c r="D10502">
        <v>44.71</v>
      </c>
      <c r="E10502">
        <v>123</v>
      </c>
      <c r="F10502">
        <v>68</v>
      </c>
      <c r="G10502">
        <v>30</v>
      </c>
      <c r="H10502">
        <v>71</v>
      </c>
      <c r="I10502">
        <v>163</v>
      </c>
      <c r="J10502">
        <v>1</v>
      </c>
      <c r="K10502">
        <v>162</v>
      </c>
      <c r="L10502">
        <v>284</v>
      </c>
      <c r="M10502">
        <v>1</v>
      </c>
      <c r="N10502">
        <v>4.8044299999999996E-19</v>
      </c>
      <c r="O10502">
        <v>226</v>
      </c>
    </row>
    <row r="10503" spans="1:15" x14ac:dyDescent="0.25">
      <c r="A10503" t="s">
        <v>10516</v>
      </c>
      <c r="B10503">
        <v>828</v>
      </c>
      <c r="C10503" s="1" t="str">
        <f>HYPERLINK("http://www.rosaceae.org/gb/gbrowse/malus_x_domestica/?name=MDP0000318854","MDP0000318854")</f>
        <v>MDP0000318854</v>
      </c>
      <c r="D10503">
        <v>81.540000000000006</v>
      </c>
      <c r="E10503">
        <v>661</v>
      </c>
      <c r="F10503">
        <v>122</v>
      </c>
      <c r="G10503">
        <v>5</v>
      </c>
      <c r="H10503">
        <v>41</v>
      </c>
      <c r="I10503">
        <v>700</v>
      </c>
      <c r="J10503">
        <v>1</v>
      </c>
      <c r="K10503">
        <v>1</v>
      </c>
      <c r="L10503">
        <v>657</v>
      </c>
      <c r="M10503">
        <v>1</v>
      </c>
      <c r="N10503">
        <v>0</v>
      </c>
      <c r="O10503">
        <v>2816</v>
      </c>
    </row>
    <row r="10504" spans="1:15" x14ac:dyDescent="0.25">
      <c r="A10504" t="s">
        <v>10517</v>
      </c>
      <c r="B10504">
        <v>301</v>
      </c>
      <c r="C10504" s="1" t="str">
        <f>HYPERLINK("http://www.rosaceae.org/gb/gbrowse/malus_x_domestica/?name=MDP0000704644","MDP0000704644")</f>
        <v>MDP0000704644</v>
      </c>
      <c r="D10504">
        <v>54.41</v>
      </c>
      <c r="E10504">
        <v>204</v>
      </c>
      <c r="F10504">
        <v>93</v>
      </c>
      <c r="G10504">
        <v>2</v>
      </c>
      <c r="H10504">
        <v>2</v>
      </c>
      <c r="I10504">
        <v>205</v>
      </c>
      <c r="J10504">
        <v>1</v>
      </c>
      <c r="K10504">
        <v>12</v>
      </c>
      <c r="L10504">
        <v>213</v>
      </c>
      <c r="M10504">
        <v>1</v>
      </c>
      <c r="N10504">
        <v>9.1453499999999996E-55</v>
      </c>
      <c r="O10504">
        <v>536</v>
      </c>
    </row>
    <row r="10505" spans="1:15" x14ac:dyDescent="0.25">
      <c r="A10505" t="s">
        <v>10518</v>
      </c>
      <c r="B10505">
        <v>352</v>
      </c>
      <c r="C10505" s="1" t="str">
        <f>HYPERLINK("http://www.rosaceae.org/gb/gbrowse/malus_x_domestica/?name=MDP0000477969","MDP0000477969")</f>
        <v>MDP0000477969</v>
      </c>
      <c r="D10505">
        <v>58.51</v>
      </c>
      <c r="E10505">
        <v>364</v>
      </c>
      <c r="F10505">
        <v>151</v>
      </c>
      <c r="G10505">
        <v>21</v>
      </c>
      <c r="H10505">
        <v>1</v>
      </c>
      <c r="I10505">
        <v>352</v>
      </c>
      <c r="J10505">
        <v>1</v>
      </c>
      <c r="K10505">
        <v>1</v>
      </c>
      <c r="L10505">
        <v>355</v>
      </c>
      <c r="M10505">
        <v>1</v>
      </c>
      <c r="N10505">
        <v>3.09417E-96</v>
      </c>
      <c r="O10505">
        <v>895</v>
      </c>
    </row>
    <row r="10506" spans="1:15" x14ac:dyDescent="0.25">
      <c r="A10506" t="s">
        <v>10519</v>
      </c>
      <c r="B10506">
        <v>462</v>
      </c>
      <c r="C10506" s="1" t="str">
        <f>HYPERLINK("http://www.rosaceae.org/gb/gbrowse/malus_x_domestica/?name=MDP0000534116","MDP0000534116")</f>
        <v>MDP0000534116</v>
      </c>
      <c r="D10506">
        <v>58.87</v>
      </c>
      <c r="E10506">
        <v>462</v>
      </c>
      <c r="F10506">
        <v>190</v>
      </c>
      <c r="G10506">
        <v>19</v>
      </c>
      <c r="H10506">
        <v>14</v>
      </c>
      <c r="I10506">
        <v>461</v>
      </c>
      <c r="J10506">
        <v>1</v>
      </c>
      <c r="K10506">
        <v>1</v>
      </c>
      <c r="L10506">
        <v>457</v>
      </c>
      <c r="M10506">
        <v>1</v>
      </c>
      <c r="N10506">
        <v>1.7230300000000001E-148</v>
      </c>
      <c r="O10506">
        <v>1347</v>
      </c>
    </row>
    <row r="10507" spans="1:15" x14ac:dyDescent="0.25">
      <c r="A10507" t="s">
        <v>10520</v>
      </c>
      <c r="B10507">
        <v>514</v>
      </c>
      <c r="C10507" s="1" t="str">
        <f>HYPERLINK("http://www.rosaceae.org/gb/gbrowse/malus_x_domestica/?name=MDP0000316852","MDP0000316852")</f>
        <v>MDP0000316852</v>
      </c>
      <c r="D10507">
        <v>32.090000000000003</v>
      </c>
      <c r="E10507">
        <v>324</v>
      </c>
      <c r="F10507">
        <v>220</v>
      </c>
      <c r="G10507">
        <v>48</v>
      </c>
      <c r="H10507">
        <v>199</v>
      </c>
      <c r="I10507">
        <v>480</v>
      </c>
      <c r="J10507">
        <v>1</v>
      </c>
      <c r="K10507">
        <v>481</v>
      </c>
      <c r="L10507">
        <v>798</v>
      </c>
      <c r="M10507">
        <v>1</v>
      </c>
      <c r="N10507">
        <v>7.4041000000000003E-30</v>
      </c>
      <c r="O10507">
        <v>324</v>
      </c>
    </row>
    <row r="10508" spans="1:15" x14ac:dyDescent="0.25">
      <c r="A10508" t="s">
        <v>10521</v>
      </c>
      <c r="B10508">
        <v>281</v>
      </c>
      <c r="C10508" s="1" t="str">
        <f>HYPERLINK("http://www.rosaceae.org/gb/gbrowse/malus_x_domestica/?name=MDP0000282778","MDP0000282778")</f>
        <v>MDP0000282778</v>
      </c>
      <c r="D10508">
        <v>46.72</v>
      </c>
      <c r="E10508">
        <v>229</v>
      </c>
      <c r="F10508">
        <v>122</v>
      </c>
      <c r="G10508">
        <v>9</v>
      </c>
      <c r="H10508">
        <v>1</v>
      </c>
      <c r="I10508">
        <v>221</v>
      </c>
      <c r="J10508">
        <v>1</v>
      </c>
      <c r="K10508">
        <v>124</v>
      </c>
      <c r="L10508">
        <v>351</v>
      </c>
      <c r="M10508">
        <v>1</v>
      </c>
      <c r="N10508">
        <v>1.6615599999999999E-48</v>
      </c>
      <c r="O10508">
        <v>482</v>
      </c>
    </row>
    <row r="10509" spans="1:15" x14ac:dyDescent="0.25">
      <c r="A10509" t="s">
        <v>10522</v>
      </c>
      <c r="B10509">
        <v>303</v>
      </c>
      <c r="C10509" s="1" t="str">
        <f>HYPERLINK("http://www.rosaceae.org/gb/gbrowse/malus_x_domestica/?name=MDP0000182939","MDP0000182939")</f>
        <v>MDP0000182939</v>
      </c>
      <c r="D10509">
        <v>67.459999999999994</v>
      </c>
      <c r="E10509">
        <v>249</v>
      </c>
      <c r="F10509">
        <v>81</v>
      </c>
      <c r="G10509">
        <v>28</v>
      </c>
      <c r="H10509">
        <v>17</v>
      </c>
      <c r="I10509">
        <v>248</v>
      </c>
      <c r="J10509">
        <v>1</v>
      </c>
      <c r="K10509">
        <v>18</v>
      </c>
      <c r="L10509">
        <v>255</v>
      </c>
      <c r="M10509">
        <v>1</v>
      </c>
      <c r="N10509">
        <v>8.4295300000000007E-83</v>
      </c>
      <c r="O10509">
        <v>778</v>
      </c>
    </row>
    <row r="10510" spans="1:15" x14ac:dyDescent="0.25">
      <c r="A10510" t="s">
        <v>10523</v>
      </c>
      <c r="B10510">
        <v>80</v>
      </c>
      <c r="C10510" s="1" t="str">
        <f>HYPERLINK("http://www.rosaceae.org/gb/gbrowse/malus_x_domestica/?name=MDP0000618484","MDP0000618484")</f>
        <v>MDP0000618484</v>
      </c>
      <c r="D10510">
        <v>70.45</v>
      </c>
      <c r="E10510">
        <v>88</v>
      </c>
      <c r="F10510">
        <v>26</v>
      </c>
      <c r="G10510">
        <v>18</v>
      </c>
      <c r="H10510">
        <v>11</v>
      </c>
      <c r="I10510">
        <v>80</v>
      </c>
      <c r="J10510">
        <v>1</v>
      </c>
      <c r="K10510">
        <v>1</v>
      </c>
      <c r="L10510">
        <v>88</v>
      </c>
      <c r="M10510">
        <v>1</v>
      </c>
      <c r="N10510">
        <v>1.0790400000000001E-28</v>
      </c>
      <c r="O10510">
        <v>305</v>
      </c>
    </row>
    <row r="10511" spans="1:15" x14ac:dyDescent="0.25">
      <c r="A10511" t="s">
        <v>10524</v>
      </c>
      <c r="B10511">
        <v>372</v>
      </c>
      <c r="C10511" s="1" t="str">
        <f>HYPERLINK("http://www.rosaceae.org/gb/gbrowse/malus_x_domestica/?name=MDP0000563698","MDP0000563698")</f>
        <v>MDP0000563698</v>
      </c>
      <c r="D10511">
        <v>54.97</v>
      </c>
      <c r="E10511">
        <v>211</v>
      </c>
      <c r="F10511">
        <v>95</v>
      </c>
      <c r="G10511">
        <v>11</v>
      </c>
      <c r="H10511">
        <v>156</v>
      </c>
      <c r="I10511">
        <v>357</v>
      </c>
      <c r="J10511">
        <v>1</v>
      </c>
      <c r="K10511">
        <v>205</v>
      </c>
      <c r="L10511">
        <v>413</v>
      </c>
      <c r="M10511">
        <v>1</v>
      </c>
      <c r="N10511">
        <v>2.7736599999999998E-53</v>
      </c>
      <c r="O10511">
        <v>525</v>
      </c>
    </row>
    <row r="10512" spans="1:15" x14ac:dyDescent="0.25">
      <c r="A10512" t="s">
        <v>10525</v>
      </c>
      <c r="B10512">
        <v>275</v>
      </c>
      <c r="C10512" s="1" t="str">
        <f>HYPERLINK("http://www.rosaceae.org/gb/gbrowse/malus_x_domestica/?name=MDP0000806502","MDP0000806502")</f>
        <v>MDP0000806502</v>
      </c>
      <c r="D10512">
        <v>39.28</v>
      </c>
      <c r="E10512">
        <v>140</v>
      </c>
      <c r="F10512">
        <v>85</v>
      </c>
      <c r="G10512">
        <v>12</v>
      </c>
      <c r="H10512">
        <v>17</v>
      </c>
      <c r="I10512">
        <v>144</v>
      </c>
      <c r="J10512">
        <v>1</v>
      </c>
      <c r="K10512">
        <v>54</v>
      </c>
      <c r="L10512">
        <v>193</v>
      </c>
      <c r="M10512">
        <v>1</v>
      </c>
      <c r="N10512">
        <v>2.0479799999999998E-15</v>
      </c>
      <c r="O10512">
        <v>196</v>
      </c>
    </row>
    <row r="10513" spans="1:15" x14ac:dyDescent="0.25">
      <c r="A10513" t="s">
        <v>10526</v>
      </c>
      <c r="B10513">
        <v>313</v>
      </c>
      <c r="C10513" s="1" t="str">
        <f>HYPERLINK("http://www.rosaceae.org/gb/gbrowse/malus_x_domestica/?name=MDP0000214907","MDP0000214907")</f>
        <v>MDP0000214907</v>
      </c>
      <c r="D10513">
        <v>64.11</v>
      </c>
      <c r="E10513">
        <v>287</v>
      </c>
      <c r="F10513">
        <v>103</v>
      </c>
      <c r="G10513">
        <v>16</v>
      </c>
      <c r="H10513">
        <v>42</v>
      </c>
      <c r="I10513">
        <v>312</v>
      </c>
      <c r="J10513">
        <v>1</v>
      </c>
      <c r="K10513">
        <v>23</v>
      </c>
      <c r="L10513">
        <v>309</v>
      </c>
      <c r="M10513">
        <v>1</v>
      </c>
      <c r="N10513">
        <v>1.1208799999999999E-102</v>
      </c>
      <c r="O10513">
        <v>950</v>
      </c>
    </row>
    <row r="10514" spans="1:15" x14ac:dyDescent="0.25">
      <c r="A10514" t="s">
        <v>10527</v>
      </c>
      <c r="B10514">
        <v>578</v>
      </c>
      <c r="C10514" s="1" t="str">
        <f>HYPERLINK("http://www.rosaceae.org/gb/gbrowse/malus_x_domestica/?name=MDP0000312032","MDP0000312032")</f>
        <v>MDP0000312032</v>
      </c>
      <c r="D10514">
        <v>78.94</v>
      </c>
      <c r="E10514">
        <v>589</v>
      </c>
      <c r="F10514">
        <v>124</v>
      </c>
      <c r="G10514">
        <v>14</v>
      </c>
      <c r="H10514">
        <v>4</v>
      </c>
      <c r="I10514">
        <v>578</v>
      </c>
      <c r="J10514">
        <v>1</v>
      </c>
      <c r="K10514">
        <v>17</v>
      </c>
      <c r="L10514">
        <v>605</v>
      </c>
      <c r="M10514">
        <v>1</v>
      </c>
      <c r="N10514">
        <v>0</v>
      </c>
      <c r="O10514">
        <v>2431</v>
      </c>
    </row>
    <row r="10515" spans="1:15" x14ac:dyDescent="0.25">
      <c r="A10515" t="s">
        <v>10528</v>
      </c>
      <c r="B10515">
        <v>280</v>
      </c>
      <c r="C10515" s="1" t="str">
        <f>HYPERLINK("http://www.rosaceae.org/gb/gbrowse/malus_x_domestica/?name=MDP0000921349","MDP0000921349")</f>
        <v>MDP0000921349</v>
      </c>
      <c r="D10515">
        <v>65</v>
      </c>
      <c r="E10515">
        <v>280</v>
      </c>
      <c r="F10515">
        <v>98</v>
      </c>
      <c r="G10515">
        <v>7</v>
      </c>
      <c r="H10515">
        <v>1</v>
      </c>
      <c r="I10515">
        <v>279</v>
      </c>
      <c r="J10515">
        <v>1</v>
      </c>
      <c r="K10515">
        <v>1</v>
      </c>
      <c r="L10515">
        <v>274</v>
      </c>
      <c r="M10515">
        <v>1</v>
      </c>
      <c r="N10515">
        <v>1.2799800000000001E-94</v>
      </c>
      <c r="O10515">
        <v>880</v>
      </c>
    </row>
    <row r="10516" spans="1:15" x14ac:dyDescent="0.25">
      <c r="A10516" t="s">
        <v>10529</v>
      </c>
      <c r="B10516">
        <v>550</v>
      </c>
      <c r="C10516" s="1" t="str">
        <f>HYPERLINK("http://www.rosaceae.org/gb/gbrowse/malus_x_domestica/?name=MDP0000261927","MDP0000261927")</f>
        <v>MDP0000261927</v>
      </c>
      <c r="D10516">
        <v>77.33</v>
      </c>
      <c r="E10516">
        <v>547</v>
      </c>
      <c r="F10516">
        <v>124</v>
      </c>
      <c r="G10516">
        <v>0</v>
      </c>
      <c r="H10516">
        <v>2</v>
      </c>
      <c r="I10516">
        <v>548</v>
      </c>
      <c r="J10516">
        <v>1</v>
      </c>
      <c r="K10516">
        <v>4</v>
      </c>
      <c r="L10516">
        <v>550</v>
      </c>
      <c r="M10516">
        <v>1</v>
      </c>
      <c r="N10516">
        <v>0</v>
      </c>
      <c r="O10516">
        <v>2313</v>
      </c>
    </row>
    <row r="10517" spans="1:15" x14ac:dyDescent="0.25">
      <c r="A10517" t="s">
        <v>10530</v>
      </c>
      <c r="B10517">
        <v>235</v>
      </c>
      <c r="C10517" s="1" t="str">
        <f>HYPERLINK("http://www.rosaceae.org/gb/gbrowse/malus_x_domestica/?name=MDP0000853517","MDP0000853517")</f>
        <v>MDP0000853517</v>
      </c>
      <c r="D10517">
        <v>66.959999999999994</v>
      </c>
      <c r="E10517">
        <v>227</v>
      </c>
      <c r="F10517">
        <v>75</v>
      </c>
      <c r="G10517">
        <v>14</v>
      </c>
      <c r="H10517">
        <v>13</v>
      </c>
      <c r="I10517">
        <v>233</v>
      </c>
      <c r="J10517">
        <v>1</v>
      </c>
      <c r="K10517">
        <v>12</v>
      </c>
      <c r="L10517">
        <v>230</v>
      </c>
      <c r="M10517">
        <v>1</v>
      </c>
      <c r="N10517">
        <v>5.1678800000000001E-79</v>
      </c>
      <c r="O10517">
        <v>744</v>
      </c>
    </row>
    <row r="10518" spans="1:15" x14ac:dyDescent="0.25">
      <c r="A10518" t="s">
        <v>10531</v>
      </c>
      <c r="B10518">
        <v>256</v>
      </c>
      <c r="C10518" s="1" t="str">
        <f>HYPERLINK("http://www.rosaceae.org/gb/gbrowse/malus_x_domestica/?name=MDP0000268834","MDP0000268834")</f>
        <v>MDP0000268834</v>
      </c>
      <c r="D10518">
        <v>84.57</v>
      </c>
      <c r="E10518">
        <v>214</v>
      </c>
      <c r="F10518">
        <v>33</v>
      </c>
      <c r="G10518">
        <v>1</v>
      </c>
      <c r="H10518">
        <v>41</v>
      </c>
      <c r="I10518">
        <v>253</v>
      </c>
      <c r="J10518">
        <v>1</v>
      </c>
      <c r="K10518">
        <v>1</v>
      </c>
      <c r="L10518">
        <v>214</v>
      </c>
      <c r="M10518">
        <v>1</v>
      </c>
      <c r="N10518">
        <v>8.6099600000000002E-106</v>
      </c>
      <c r="O10518">
        <v>975</v>
      </c>
    </row>
    <row r="10519" spans="1:15" x14ac:dyDescent="0.25">
      <c r="A10519" t="s">
        <v>10532</v>
      </c>
      <c r="B10519">
        <v>239</v>
      </c>
      <c r="C10519" s="1" t="str">
        <f>HYPERLINK("http://www.rosaceae.org/gb/gbrowse/malus_x_domestica/?name=MDP0000265089","MDP0000265089")</f>
        <v>MDP0000265089</v>
      </c>
      <c r="D10519">
        <v>79.36</v>
      </c>
      <c r="E10519">
        <v>63</v>
      </c>
      <c r="F10519">
        <v>13</v>
      </c>
      <c r="G10519">
        <v>0</v>
      </c>
      <c r="H10519">
        <v>175</v>
      </c>
      <c r="I10519">
        <v>237</v>
      </c>
      <c r="J10519">
        <v>1</v>
      </c>
      <c r="K10519">
        <v>77</v>
      </c>
      <c r="L10519">
        <v>139</v>
      </c>
      <c r="M10519">
        <v>1</v>
      </c>
      <c r="N10519">
        <v>1.9058500000000001E-23</v>
      </c>
      <c r="O10519">
        <v>265</v>
      </c>
    </row>
    <row r="10520" spans="1:15" x14ac:dyDescent="0.25">
      <c r="A10520" t="s">
        <v>10533</v>
      </c>
      <c r="B10520">
        <v>264</v>
      </c>
      <c r="C10520" s="1" t="str">
        <f>HYPERLINK("http://www.rosaceae.org/gb/gbrowse/malus_x_domestica/?name=MDP0000886138","MDP0000886138")</f>
        <v>MDP0000886138</v>
      </c>
      <c r="D10520">
        <v>70.22</v>
      </c>
      <c r="E10520">
        <v>262</v>
      </c>
      <c r="F10520">
        <v>78</v>
      </c>
      <c r="G10520">
        <v>1</v>
      </c>
      <c r="H10520">
        <v>1</v>
      </c>
      <c r="I10520">
        <v>262</v>
      </c>
      <c r="J10520">
        <v>1</v>
      </c>
      <c r="K10520">
        <v>1</v>
      </c>
      <c r="L10520">
        <v>261</v>
      </c>
      <c r="M10520">
        <v>1</v>
      </c>
      <c r="N10520">
        <v>9.9783699999999997E-111</v>
      </c>
      <c r="O10520">
        <v>1018</v>
      </c>
    </row>
    <row r="10521" spans="1:15" x14ac:dyDescent="0.25">
      <c r="A10521" t="s">
        <v>10534</v>
      </c>
      <c r="B10521">
        <v>233</v>
      </c>
      <c r="C10521" s="1" t="str">
        <f>HYPERLINK("http://www.rosaceae.org/gb/gbrowse/malus_x_domestica/?name=MDP0000329986","MDP0000329986")</f>
        <v>MDP0000329986</v>
      </c>
      <c r="D10521">
        <v>78.239999999999995</v>
      </c>
      <c r="E10521">
        <v>216</v>
      </c>
      <c r="F10521">
        <v>47</v>
      </c>
      <c r="G10521">
        <v>5</v>
      </c>
      <c r="H10521">
        <v>18</v>
      </c>
      <c r="I10521">
        <v>233</v>
      </c>
      <c r="J10521">
        <v>1</v>
      </c>
      <c r="K10521">
        <v>35</v>
      </c>
      <c r="L10521">
        <v>245</v>
      </c>
      <c r="M10521">
        <v>1</v>
      </c>
      <c r="N10521">
        <v>7.4989599999999998E-96</v>
      </c>
      <c r="O10521">
        <v>889</v>
      </c>
    </row>
    <row r="10522" spans="1:15" x14ac:dyDescent="0.25">
      <c r="A10522" t="s">
        <v>10535</v>
      </c>
      <c r="B10522">
        <v>952</v>
      </c>
      <c r="C10522" s="1" t="str">
        <f>HYPERLINK("http://www.rosaceae.org/gb/gbrowse/malus_x_domestica/?name=MDP0000868785","MDP0000868785")</f>
        <v>MDP0000868785</v>
      </c>
      <c r="D10522">
        <v>54.95</v>
      </c>
      <c r="E10522">
        <v>1019</v>
      </c>
      <c r="F10522">
        <v>459</v>
      </c>
      <c r="G10522">
        <v>95</v>
      </c>
      <c r="H10522">
        <v>4</v>
      </c>
      <c r="I10522">
        <v>949</v>
      </c>
      <c r="J10522">
        <v>1</v>
      </c>
      <c r="K10522">
        <v>2</v>
      </c>
      <c r="L10522">
        <v>998</v>
      </c>
      <c r="M10522">
        <v>1</v>
      </c>
      <c r="N10522">
        <v>0</v>
      </c>
      <c r="O10522">
        <v>2555</v>
      </c>
    </row>
    <row r="10523" spans="1:15" x14ac:dyDescent="0.25">
      <c r="A10523" t="s">
        <v>10536</v>
      </c>
      <c r="B10523">
        <v>284</v>
      </c>
      <c r="C10523" s="1" t="str">
        <f>HYPERLINK("http://www.rosaceae.org/gb/gbrowse/malus_x_domestica/?name=MDP0000219992","MDP0000219992")</f>
        <v>MDP0000219992</v>
      </c>
      <c r="D10523">
        <v>71.7</v>
      </c>
      <c r="E10523">
        <v>258</v>
      </c>
      <c r="F10523">
        <v>73</v>
      </c>
      <c r="G10523">
        <v>3</v>
      </c>
      <c r="H10523">
        <v>10</v>
      </c>
      <c r="I10523">
        <v>267</v>
      </c>
      <c r="J10523">
        <v>1</v>
      </c>
      <c r="K10523">
        <v>7</v>
      </c>
      <c r="L10523">
        <v>261</v>
      </c>
      <c r="M10523">
        <v>1</v>
      </c>
      <c r="N10523">
        <v>3.0301100000000002E-105</v>
      </c>
      <c r="O10523">
        <v>971</v>
      </c>
    </row>
    <row r="10524" spans="1:15" x14ac:dyDescent="0.25">
      <c r="A10524" t="s">
        <v>10537</v>
      </c>
      <c r="B10524">
        <v>399</v>
      </c>
      <c r="C10524" s="1" t="str">
        <f>HYPERLINK("http://www.rosaceae.org/gb/gbrowse/malus_x_domestica/?name=MDP0000121362","MDP0000121362")</f>
        <v>MDP0000121362</v>
      </c>
      <c r="D10524">
        <v>42.1</v>
      </c>
      <c r="E10524">
        <v>95</v>
      </c>
      <c r="F10524">
        <v>55</v>
      </c>
      <c r="G10524">
        <v>7</v>
      </c>
      <c r="H10524">
        <v>209</v>
      </c>
      <c r="I10524">
        <v>298</v>
      </c>
      <c r="J10524">
        <v>1</v>
      </c>
      <c r="K10524">
        <v>268</v>
      </c>
      <c r="L10524">
        <v>360</v>
      </c>
      <c r="M10524">
        <v>1</v>
      </c>
      <c r="N10524">
        <v>1.84407E-13</v>
      </c>
      <c r="O10524">
        <v>181</v>
      </c>
    </row>
    <row r="10525" spans="1:15" x14ac:dyDescent="0.25">
      <c r="A10525" t="s">
        <v>10538</v>
      </c>
      <c r="B10525">
        <v>1271</v>
      </c>
      <c r="C10525" s="1" t="str">
        <f>HYPERLINK("http://www.rosaceae.org/gb/gbrowse/malus_x_domestica/?name=MDP0000239522","MDP0000239522")</f>
        <v>MDP0000239522</v>
      </c>
      <c r="D10525">
        <v>66.37</v>
      </c>
      <c r="E10525">
        <v>1276</v>
      </c>
      <c r="F10525">
        <v>429</v>
      </c>
      <c r="G10525">
        <v>69</v>
      </c>
      <c r="H10525">
        <v>39</v>
      </c>
      <c r="I10525">
        <v>1271</v>
      </c>
      <c r="J10525">
        <v>1</v>
      </c>
      <c r="K10525">
        <v>1</v>
      </c>
      <c r="L10525">
        <v>1250</v>
      </c>
      <c r="M10525">
        <v>1</v>
      </c>
      <c r="N10525">
        <v>0</v>
      </c>
      <c r="O10525">
        <v>4281</v>
      </c>
    </row>
    <row r="10526" spans="1:15" x14ac:dyDescent="0.25">
      <c r="A10526" t="s">
        <v>10539</v>
      </c>
      <c r="B10526">
        <v>368</v>
      </c>
      <c r="C10526" s="1" t="str">
        <f>HYPERLINK("http://www.rosaceae.org/gb/gbrowse/malus_x_domestica/?name=MDP0000778016","MDP0000778016")</f>
        <v>MDP0000778016</v>
      </c>
      <c r="D10526">
        <v>84.22</v>
      </c>
      <c r="E10526">
        <v>317</v>
      </c>
      <c r="F10526">
        <v>50</v>
      </c>
      <c r="G10526">
        <v>0</v>
      </c>
      <c r="H10526">
        <v>52</v>
      </c>
      <c r="I10526">
        <v>368</v>
      </c>
      <c r="J10526">
        <v>1</v>
      </c>
      <c r="K10526">
        <v>33</v>
      </c>
      <c r="L10526">
        <v>349</v>
      </c>
      <c r="M10526">
        <v>1</v>
      </c>
      <c r="N10526">
        <v>4.1205300000000002E-161</v>
      </c>
      <c r="O10526">
        <v>1454</v>
      </c>
    </row>
    <row r="10527" spans="1:15" x14ac:dyDescent="0.25">
      <c r="A10527" t="s">
        <v>10540</v>
      </c>
      <c r="B10527">
        <v>342</v>
      </c>
      <c r="C10527" s="1" t="str">
        <f>HYPERLINK("http://www.rosaceae.org/gb/gbrowse/malus_x_domestica/?name=MDP0000924612","MDP0000924612")</f>
        <v>MDP0000924612</v>
      </c>
      <c r="D10527">
        <v>88.59</v>
      </c>
      <c r="E10527">
        <v>342</v>
      </c>
      <c r="F10527">
        <v>39</v>
      </c>
      <c r="G10527">
        <v>0</v>
      </c>
      <c r="H10527">
        <v>1</v>
      </c>
      <c r="I10527">
        <v>342</v>
      </c>
      <c r="J10527">
        <v>1</v>
      </c>
      <c r="K10527">
        <v>1</v>
      </c>
      <c r="L10527">
        <v>342</v>
      </c>
      <c r="M10527">
        <v>1</v>
      </c>
      <c r="N10527">
        <v>0</v>
      </c>
      <c r="O10527">
        <v>1648</v>
      </c>
    </row>
    <row r="10528" spans="1:15" x14ac:dyDescent="0.25">
      <c r="A10528" t="s">
        <v>10541</v>
      </c>
      <c r="B10528">
        <v>211</v>
      </c>
      <c r="C10528" s="1" t="str">
        <f>HYPERLINK("http://www.rosaceae.org/gb/gbrowse/malus_x_domestica/?name=MDP0000194710","MDP0000194710")</f>
        <v>MDP0000194710</v>
      </c>
      <c r="D10528">
        <v>88.62</v>
      </c>
      <c r="E10528">
        <v>211</v>
      </c>
      <c r="F10528">
        <v>24</v>
      </c>
      <c r="G10528">
        <v>3</v>
      </c>
      <c r="H10528">
        <v>1</v>
      </c>
      <c r="I10528">
        <v>211</v>
      </c>
      <c r="J10528">
        <v>1</v>
      </c>
      <c r="K10528">
        <v>6</v>
      </c>
      <c r="L10528">
        <v>213</v>
      </c>
      <c r="M10528">
        <v>1</v>
      </c>
      <c r="N10528">
        <v>4.8360499999999996E-108</v>
      </c>
      <c r="O10528">
        <v>994</v>
      </c>
    </row>
    <row r="10529" spans="1:15" x14ac:dyDescent="0.25">
      <c r="A10529" t="s">
        <v>10542</v>
      </c>
      <c r="B10529">
        <v>427</v>
      </c>
      <c r="C10529" s="1" t="str">
        <f>HYPERLINK("http://www.rosaceae.org/gb/gbrowse/malus_x_domestica/?name=MDP0000279892","MDP0000279892")</f>
        <v>MDP0000279892</v>
      </c>
      <c r="D10529">
        <v>76.27</v>
      </c>
      <c r="E10529">
        <v>413</v>
      </c>
      <c r="F10529">
        <v>98</v>
      </c>
      <c r="G10529">
        <v>35</v>
      </c>
      <c r="H10529">
        <v>1</v>
      </c>
      <c r="I10529">
        <v>404</v>
      </c>
      <c r="J10529">
        <v>1</v>
      </c>
      <c r="K10529">
        <v>1</v>
      </c>
      <c r="L10529">
        <v>387</v>
      </c>
      <c r="M10529">
        <v>1</v>
      </c>
      <c r="N10529">
        <v>0</v>
      </c>
      <c r="O10529">
        <v>1700</v>
      </c>
    </row>
    <row r="10530" spans="1:15" x14ac:dyDescent="0.25">
      <c r="A10530" t="s">
        <v>10543</v>
      </c>
      <c r="B10530">
        <v>120</v>
      </c>
      <c r="C10530" s="1" t="str">
        <f>HYPERLINK("http://www.rosaceae.org/gb/gbrowse/malus_x_domestica/?name=MDP0000220519","MDP0000220519")</f>
        <v>MDP0000220519</v>
      </c>
      <c r="D10530">
        <v>78.78</v>
      </c>
      <c r="E10530">
        <v>33</v>
      </c>
      <c r="F10530">
        <v>7</v>
      </c>
      <c r="G10530">
        <v>0</v>
      </c>
      <c r="H10530">
        <v>33</v>
      </c>
      <c r="I10530">
        <v>65</v>
      </c>
      <c r="J10530">
        <v>1</v>
      </c>
      <c r="K10530">
        <v>38</v>
      </c>
      <c r="L10530">
        <v>70</v>
      </c>
      <c r="M10530">
        <v>1</v>
      </c>
      <c r="N10530">
        <v>3.4090500000000002E-7</v>
      </c>
      <c r="O10530">
        <v>119</v>
      </c>
    </row>
    <row r="10531" spans="1:15" x14ac:dyDescent="0.25">
      <c r="A10531" t="s">
        <v>10544</v>
      </c>
      <c r="B10531">
        <v>298</v>
      </c>
      <c r="C10531" s="1" t="str">
        <f>HYPERLINK("http://www.rosaceae.org/gb/gbrowse/malus_x_domestica/?name=MDP0000196711","MDP0000196711")</f>
        <v>MDP0000196711</v>
      </c>
      <c r="D10531">
        <v>82.19</v>
      </c>
      <c r="E10531">
        <v>292</v>
      </c>
      <c r="F10531">
        <v>52</v>
      </c>
      <c r="G10531">
        <v>3</v>
      </c>
      <c r="H10531">
        <v>6</v>
      </c>
      <c r="I10531">
        <v>295</v>
      </c>
      <c r="J10531">
        <v>1</v>
      </c>
      <c r="K10531">
        <v>41</v>
      </c>
      <c r="L10531">
        <v>331</v>
      </c>
      <c r="M10531">
        <v>1</v>
      </c>
      <c r="N10531">
        <v>1.59093E-135</v>
      </c>
      <c r="O10531">
        <v>1233</v>
      </c>
    </row>
    <row r="10532" spans="1:15" x14ac:dyDescent="0.25">
      <c r="A10532" t="s">
        <v>10545</v>
      </c>
      <c r="B10532">
        <v>188</v>
      </c>
      <c r="C10532" s="1" t="str">
        <f>HYPERLINK("http://www.rosaceae.org/gb/gbrowse/malus_x_domestica/?name=MDP0000295088","MDP0000295088")</f>
        <v>MDP0000295088</v>
      </c>
      <c r="D10532">
        <v>78.94</v>
      </c>
      <c r="E10532">
        <v>190</v>
      </c>
      <c r="F10532">
        <v>40</v>
      </c>
      <c r="G10532">
        <v>2</v>
      </c>
      <c r="H10532">
        <v>1</v>
      </c>
      <c r="I10532">
        <v>188</v>
      </c>
      <c r="J10532">
        <v>1</v>
      </c>
      <c r="K10532">
        <v>1</v>
      </c>
      <c r="L10532">
        <v>190</v>
      </c>
      <c r="M10532">
        <v>1</v>
      </c>
      <c r="N10532">
        <v>1.4294599999999999E-81</v>
      </c>
      <c r="O10532">
        <v>765</v>
      </c>
    </row>
    <row r="10533" spans="1:15" x14ac:dyDescent="0.25">
      <c r="A10533" t="s">
        <v>10546</v>
      </c>
      <c r="B10533">
        <v>236</v>
      </c>
      <c r="C10533" s="1" t="str">
        <f>HYPERLINK("http://www.rosaceae.org/gb/gbrowse/malus_x_domestica/?name=MDP0000128949","MDP0000128949")</f>
        <v>MDP0000128949</v>
      </c>
      <c r="D10533">
        <v>64.36</v>
      </c>
      <c r="E10533">
        <v>275</v>
      </c>
      <c r="F10533">
        <v>98</v>
      </c>
      <c r="G10533">
        <v>40</v>
      </c>
      <c r="H10533">
        <v>1</v>
      </c>
      <c r="I10533">
        <v>236</v>
      </c>
      <c r="J10533">
        <v>1</v>
      </c>
      <c r="K10533">
        <v>1</v>
      </c>
      <c r="L10533">
        <v>274</v>
      </c>
      <c r="M10533">
        <v>1</v>
      </c>
      <c r="N10533">
        <v>5.3610399999999996E-93</v>
      </c>
      <c r="O10533">
        <v>865</v>
      </c>
    </row>
    <row r="10534" spans="1:15" x14ac:dyDescent="0.25">
      <c r="A10534" t="s">
        <v>10547</v>
      </c>
      <c r="B10534">
        <v>415</v>
      </c>
      <c r="C10534" s="1" t="str">
        <f>HYPERLINK("http://www.rosaceae.org/gb/gbrowse/malus_x_domestica/?name=MDP0000448457","MDP0000448457")</f>
        <v>MDP0000448457</v>
      </c>
      <c r="D10534">
        <v>74.45</v>
      </c>
      <c r="E10534">
        <v>415</v>
      </c>
      <c r="F10534">
        <v>106</v>
      </c>
      <c r="G10534">
        <v>3</v>
      </c>
      <c r="H10534">
        <v>1</v>
      </c>
      <c r="I10534">
        <v>414</v>
      </c>
      <c r="J10534">
        <v>1</v>
      </c>
      <c r="K10534">
        <v>1</v>
      </c>
      <c r="L10534">
        <v>413</v>
      </c>
      <c r="M10534">
        <v>1</v>
      </c>
      <c r="N10534">
        <v>2.5974699999999999E-166</v>
      </c>
      <c r="O10534">
        <v>1500</v>
      </c>
    </row>
    <row r="10535" spans="1:15" x14ac:dyDescent="0.25">
      <c r="A10535" t="s">
        <v>10548</v>
      </c>
      <c r="B10535">
        <v>165</v>
      </c>
      <c r="C10535" s="1" t="str">
        <f>HYPERLINK("http://www.rosaceae.org/gb/gbrowse/malus_x_domestica/?name=MDP0000213374","MDP0000213374")</f>
        <v>MDP0000213374</v>
      </c>
      <c r="D10535">
        <v>73.88</v>
      </c>
      <c r="E10535">
        <v>157</v>
      </c>
      <c r="F10535">
        <v>41</v>
      </c>
      <c r="G10535">
        <v>0</v>
      </c>
      <c r="H10535">
        <v>1</v>
      </c>
      <c r="I10535">
        <v>157</v>
      </c>
      <c r="J10535">
        <v>1</v>
      </c>
      <c r="K10535">
        <v>1</v>
      </c>
      <c r="L10535">
        <v>157</v>
      </c>
      <c r="M10535">
        <v>1</v>
      </c>
      <c r="N10535">
        <v>1.8977199999999999E-61</v>
      </c>
      <c r="O10535">
        <v>590</v>
      </c>
    </row>
    <row r="10536" spans="1:15" x14ac:dyDescent="0.25">
      <c r="A10536" t="s">
        <v>10549</v>
      </c>
      <c r="B10536">
        <v>507</v>
      </c>
      <c r="C10536" s="1" t="str">
        <f>HYPERLINK("http://www.rosaceae.org/gb/gbrowse/malus_x_domestica/?name=MDP0000166777","MDP0000166777")</f>
        <v>MDP0000166777</v>
      </c>
      <c r="D10536">
        <v>71.95</v>
      </c>
      <c r="E10536">
        <v>378</v>
      </c>
      <c r="F10536">
        <v>106</v>
      </c>
      <c r="G10536">
        <v>2</v>
      </c>
      <c r="H10536">
        <v>130</v>
      </c>
      <c r="I10536">
        <v>507</v>
      </c>
      <c r="J10536">
        <v>1</v>
      </c>
      <c r="K10536">
        <v>18</v>
      </c>
      <c r="L10536">
        <v>393</v>
      </c>
      <c r="M10536">
        <v>1</v>
      </c>
      <c r="N10536">
        <v>4.8668099999999999E-151</v>
      </c>
      <c r="O10536">
        <v>1369</v>
      </c>
    </row>
    <row r="10537" spans="1:15" x14ac:dyDescent="0.25">
      <c r="A10537" t="s">
        <v>10550</v>
      </c>
      <c r="B10537">
        <v>234</v>
      </c>
      <c r="C10537" s="1" t="str">
        <f>HYPERLINK("http://www.rosaceae.org/gb/gbrowse/malus_x_domestica/?name=MDP0000259615","MDP0000259615")</f>
        <v>MDP0000259615</v>
      </c>
      <c r="D10537">
        <v>73.33</v>
      </c>
      <c r="E10537">
        <v>165</v>
      </c>
      <c r="F10537">
        <v>44</v>
      </c>
      <c r="G10537">
        <v>0</v>
      </c>
      <c r="H10537">
        <v>70</v>
      </c>
      <c r="I10537">
        <v>234</v>
      </c>
      <c r="J10537">
        <v>1</v>
      </c>
      <c r="K10537">
        <v>1</v>
      </c>
      <c r="L10537">
        <v>165</v>
      </c>
      <c r="M10537">
        <v>1</v>
      </c>
      <c r="N10537">
        <v>1.2447199999999999E-71</v>
      </c>
      <c r="O10537">
        <v>680</v>
      </c>
    </row>
    <row r="10538" spans="1:15" x14ac:dyDescent="0.25">
      <c r="A10538" t="s">
        <v>10551</v>
      </c>
      <c r="B10538">
        <v>515</v>
      </c>
      <c r="C10538" s="1" t="str">
        <f>HYPERLINK("http://www.rosaceae.org/gb/gbrowse/malus_x_domestica/?name=MDP0000161022","MDP0000161022")</f>
        <v>MDP0000161022</v>
      </c>
      <c r="D10538">
        <v>44.02</v>
      </c>
      <c r="E10538">
        <v>134</v>
      </c>
      <c r="F10538">
        <v>75</v>
      </c>
      <c r="G10538">
        <v>12</v>
      </c>
      <c r="H10538">
        <v>364</v>
      </c>
      <c r="I10538">
        <v>496</v>
      </c>
      <c r="J10538">
        <v>1</v>
      </c>
      <c r="K10538">
        <v>466</v>
      </c>
      <c r="L10538">
        <v>588</v>
      </c>
      <c r="M10538">
        <v>1</v>
      </c>
      <c r="N10538">
        <v>2.80517E-19</v>
      </c>
      <c r="O10538">
        <v>233</v>
      </c>
    </row>
    <row r="10539" spans="1:15" x14ac:dyDescent="0.25">
      <c r="A10539" t="s">
        <v>10552</v>
      </c>
      <c r="B10539">
        <v>447</v>
      </c>
      <c r="C10539" s="1" t="str">
        <f>HYPERLINK("http://www.rosaceae.org/gb/gbrowse/malus_x_domestica/?name=MDP0000285103","MDP0000285103")</f>
        <v>MDP0000285103</v>
      </c>
      <c r="D10539">
        <v>47.18</v>
      </c>
      <c r="E10539">
        <v>320</v>
      </c>
      <c r="F10539">
        <v>169</v>
      </c>
      <c r="G10539">
        <v>17</v>
      </c>
      <c r="H10539">
        <v>12</v>
      </c>
      <c r="I10539">
        <v>327</v>
      </c>
      <c r="J10539">
        <v>1</v>
      </c>
      <c r="K10539">
        <v>12</v>
      </c>
      <c r="L10539">
        <v>318</v>
      </c>
      <c r="M10539">
        <v>1</v>
      </c>
      <c r="N10539">
        <v>2.4999200000000001E-68</v>
      </c>
      <c r="O10539">
        <v>655</v>
      </c>
    </row>
    <row r="10540" spans="1:15" x14ac:dyDescent="0.25">
      <c r="A10540" t="s">
        <v>10553</v>
      </c>
      <c r="B10540">
        <v>459</v>
      </c>
      <c r="C10540" s="1" t="str">
        <f>HYPERLINK("http://www.rosaceae.org/gb/gbrowse/malus_x_domestica/?name=MDP0000332388","MDP0000332388")</f>
        <v>MDP0000332388</v>
      </c>
      <c r="D10540">
        <v>53.73</v>
      </c>
      <c r="E10540">
        <v>67</v>
      </c>
      <c r="F10540">
        <v>31</v>
      </c>
      <c r="G10540">
        <v>0</v>
      </c>
      <c r="H10540">
        <v>92</v>
      </c>
      <c r="I10540">
        <v>158</v>
      </c>
      <c r="J10540">
        <v>1</v>
      </c>
      <c r="K10540">
        <v>36</v>
      </c>
      <c r="L10540">
        <v>102</v>
      </c>
      <c r="M10540">
        <v>1</v>
      </c>
      <c r="N10540">
        <v>8.8990799999999996E-10</v>
      </c>
      <c r="O10540">
        <v>150</v>
      </c>
    </row>
    <row r="10541" spans="1:15" x14ac:dyDescent="0.25">
      <c r="A10541" t="s">
        <v>10554</v>
      </c>
      <c r="B10541">
        <v>1244</v>
      </c>
      <c r="C10541" s="1" t="str">
        <f>HYPERLINK("http://www.rosaceae.org/gb/gbrowse/malus_x_domestica/?name=MDP0000281110","MDP0000281110")</f>
        <v>MDP0000281110</v>
      </c>
      <c r="D10541">
        <v>84.15</v>
      </c>
      <c r="E10541">
        <v>1199</v>
      </c>
      <c r="F10541">
        <v>190</v>
      </c>
      <c r="G10541">
        <v>32</v>
      </c>
      <c r="H10541">
        <v>1</v>
      </c>
      <c r="I10541">
        <v>1197</v>
      </c>
      <c r="J10541">
        <v>1</v>
      </c>
      <c r="K10541">
        <v>1</v>
      </c>
      <c r="L10541">
        <v>1169</v>
      </c>
      <c r="M10541">
        <v>1</v>
      </c>
      <c r="N10541">
        <v>0</v>
      </c>
      <c r="O10541">
        <v>5178</v>
      </c>
    </row>
    <row r="10542" spans="1:15" x14ac:dyDescent="0.25">
      <c r="A10542" t="s">
        <v>10555</v>
      </c>
      <c r="B10542">
        <v>200</v>
      </c>
      <c r="C10542" s="1" t="str">
        <f>HYPERLINK("http://www.rosaceae.org/gb/gbrowse/malus_x_domestica/?name=MDP0000196816","MDP0000196816")</f>
        <v>MDP0000196816</v>
      </c>
      <c r="D10542">
        <v>67.27</v>
      </c>
      <c r="E10542">
        <v>165</v>
      </c>
      <c r="F10542">
        <v>54</v>
      </c>
      <c r="G10542">
        <v>0</v>
      </c>
      <c r="H10542">
        <v>13</v>
      </c>
      <c r="I10542">
        <v>177</v>
      </c>
      <c r="J10542">
        <v>1</v>
      </c>
      <c r="K10542">
        <v>26</v>
      </c>
      <c r="L10542">
        <v>190</v>
      </c>
      <c r="M10542">
        <v>1</v>
      </c>
      <c r="N10542">
        <v>1.00116E-50</v>
      </c>
      <c r="O10542">
        <v>499</v>
      </c>
    </row>
    <row r="10543" spans="1:15" x14ac:dyDescent="0.25">
      <c r="A10543" t="s">
        <v>10556</v>
      </c>
      <c r="B10543">
        <v>264</v>
      </c>
      <c r="C10543" s="1" t="str">
        <f>HYPERLINK("http://www.rosaceae.org/gb/gbrowse/malus_x_domestica/?name=MDP0000419318","MDP0000419318")</f>
        <v>MDP0000419318</v>
      </c>
      <c r="D10543">
        <v>73.88</v>
      </c>
      <c r="E10543">
        <v>268</v>
      </c>
      <c r="F10543">
        <v>70</v>
      </c>
      <c r="G10543">
        <v>4</v>
      </c>
      <c r="H10543">
        <v>1</v>
      </c>
      <c r="I10543">
        <v>264</v>
      </c>
      <c r="J10543">
        <v>1</v>
      </c>
      <c r="K10543">
        <v>1</v>
      </c>
      <c r="L10543">
        <v>268</v>
      </c>
      <c r="M10543">
        <v>1</v>
      </c>
      <c r="N10543">
        <v>3.8522300000000002E-113</v>
      </c>
      <c r="O10543">
        <v>1039</v>
      </c>
    </row>
    <row r="10544" spans="1:15" x14ac:dyDescent="0.25">
      <c r="A10544" t="s">
        <v>10557</v>
      </c>
      <c r="B10544">
        <v>659</v>
      </c>
      <c r="C10544" s="1" t="str">
        <f>HYPERLINK("http://www.rosaceae.org/gb/gbrowse/malus_x_domestica/?name=MDP0000231369","MDP0000231369")</f>
        <v>MDP0000231369</v>
      </c>
      <c r="D10544">
        <v>81.13</v>
      </c>
      <c r="E10544">
        <v>562</v>
      </c>
      <c r="F10544">
        <v>106</v>
      </c>
      <c r="G10544">
        <v>11</v>
      </c>
      <c r="H10544">
        <v>64</v>
      </c>
      <c r="I10544">
        <v>621</v>
      </c>
      <c r="J10544">
        <v>1</v>
      </c>
      <c r="K10544">
        <v>22</v>
      </c>
      <c r="L10544">
        <v>576</v>
      </c>
      <c r="M10544">
        <v>1</v>
      </c>
      <c r="N10544">
        <v>0</v>
      </c>
      <c r="O10544">
        <v>2360</v>
      </c>
    </row>
    <row r="10545" spans="1:15" x14ac:dyDescent="0.25">
      <c r="A10545" t="s">
        <v>10558</v>
      </c>
      <c r="B10545">
        <v>454</v>
      </c>
      <c r="C10545" s="1" t="str">
        <f>HYPERLINK("http://www.rosaceae.org/gb/gbrowse/malus_x_domestica/?name=MDP0000249776","MDP0000249776")</f>
        <v>MDP0000249776</v>
      </c>
      <c r="D10545">
        <v>48.68</v>
      </c>
      <c r="E10545">
        <v>76</v>
      </c>
      <c r="F10545">
        <v>39</v>
      </c>
      <c r="G10545">
        <v>3</v>
      </c>
      <c r="H10545">
        <v>382</v>
      </c>
      <c r="I10545">
        <v>454</v>
      </c>
      <c r="J10545">
        <v>1</v>
      </c>
      <c r="K10545">
        <v>124</v>
      </c>
      <c r="L10545">
        <v>199</v>
      </c>
      <c r="M10545">
        <v>1</v>
      </c>
      <c r="N10545">
        <v>1.93586E-13</v>
      </c>
      <c r="O10545">
        <v>182</v>
      </c>
    </row>
    <row r="10546" spans="1:15" x14ac:dyDescent="0.25">
      <c r="A10546" t="s">
        <v>10559</v>
      </c>
      <c r="B10546">
        <v>507</v>
      </c>
      <c r="C10546" s="1" t="str">
        <f>HYPERLINK("http://www.rosaceae.org/gb/gbrowse/malus_x_domestica/?name=MDP0000711750","MDP0000711750")</f>
        <v>MDP0000711750</v>
      </c>
      <c r="D10546">
        <v>89.44</v>
      </c>
      <c r="E10546">
        <v>436</v>
      </c>
      <c r="F10546">
        <v>46</v>
      </c>
      <c r="G10546">
        <v>2</v>
      </c>
      <c r="H10546">
        <v>30</v>
      </c>
      <c r="I10546">
        <v>463</v>
      </c>
      <c r="J10546">
        <v>1</v>
      </c>
      <c r="K10546">
        <v>39</v>
      </c>
      <c r="L10546">
        <v>474</v>
      </c>
      <c r="M10546">
        <v>1</v>
      </c>
      <c r="N10546">
        <v>0</v>
      </c>
      <c r="O10546">
        <v>2057</v>
      </c>
    </row>
    <row r="10547" spans="1:15" x14ac:dyDescent="0.25">
      <c r="A10547" t="s">
        <v>10560</v>
      </c>
      <c r="B10547">
        <v>481</v>
      </c>
      <c r="C10547" s="1" t="str">
        <f>HYPERLINK("http://www.rosaceae.org/gb/gbrowse/malus_x_domestica/?name=MDP0000265970","MDP0000265970")</f>
        <v>MDP0000265970</v>
      </c>
      <c r="D10547">
        <v>57.47</v>
      </c>
      <c r="E10547">
        <v>214</v>
      </c>
      <c r="F10547">
        <v>91</v>
      </c>
      <c r="G10547">
        <v>5</v>
      </c>
      <c r="H10547">
        <v>270</v>
      </c>
      <c r="I10547">
        <v>479</v>
      </c>
      <c r="J10547">
        <v>1</v>
      </c>
      <c r="K10547">
        <v>16</v>
      </c>
      <c r="L10547">
        <v>228</v>
      </c>
      <c r="M10547">
        <v>1</v>
      </c>
      <c r="N10547">
        <v>4.3251699999999999E-60</v>
      </c>
      <c r="O10547">
        <v>585</v>
      </c>
    </row>
    <row r="10548" spans="1:15" x14ac:dyDescent="0.25">
      <c r="A10548" t="s">
        <v>10561</v>
      </c>
      <c r="B10548">
        <v>217</v>
      </c>
      <c r="C10548" s="1" t="str">
        <f>HYPERLINK("http://www.rosaceae.org/gb/gbrowse/malus_x_domestica/?name=MDP0000398863","MDP0000398863")</f>
        <v>MDP0000398863</v>
      </c>
      <c r="D10548">
        <v>52.65</v>
      </c>
      <c r="E10548">
        <v>226</v>
      </c>
      <c r="F10548">
        <v>107</v>
      </c>
      <c r="G10548">
        <v>17</v>
      </c>
      <c r="H10548">
        <v>1</v>
      </c>
      <c r="I10548">
        <v>213</v>
      </c>
      <c r="J10548">
        <v>1</v>
      </c>
      <c r="K10548">
        <v>1</v>
      </c>
      <c r="L10548">
        <v>222</v>
      </c>
      <c r="M10548">
        <v>1</v>
      </c>
      <c r="N10548">
        <v>2.6314000000000002E-56</v>
      </c>
      <c r="O10548">
        <v>548</v>
      </c>
    </row>
    <row r="10549" spans="1:15" x14ac:dyDescent="0.25">
      <c r="A10549" t="s">
        <v>10562</v>
      </c>
      <c r="B10549">
        <v>319</v>
      </c>
      <c r="C10549" s="1" t="str">
        <f>HYPERLINK("http://www.rosaceae.org/gb/gbrowse/malus_x_domestica/?name=MDP0000271231","MDP0000271231")</f>
        <v>MDP0000271231</v>
      </c>
      <c r="D10549">
        <v>100</v>
      </c>
      <c r="E10549">
        <v>94</v>
      </c>
      <c r="F10549">
        <v>0</v>
      </c>
      <c r="G10549">
        <v>0</v>
      </c>
      <c r="H10549">
        <v>26</v>
      </c>
      <c r="I10549">
        <v>119</v>
      </c>
      <c r="J10549">
        <v>1</v>
      </c>
      <c r="K10549">
        <v>12</v>
      </c>
      <c r="L10549">
        <v>105</v>
      </c>
      <c r="M10549">
        <v>1</v>
      </c>
      <c r="N10549">
        <v>2.4587799999999999E-51</v>
      </c>
      <c r="O10549">
        <v>507</v>
      </c>
    </row>
    <row r="10550" spans="1:15" x14ac:dyDescent="0.25">
      <c r="A10550" t="s">
        <v>10563</v>
      </c>
      <c r="B10550">
        <v>368</v>
      </c>
      <c r="C10550" s="1" t="str">
        <f>HYPERLINK("http://www.rosaceae.org/gb/gbrowse/malus_x_domestica/?name=MDP0000140106","MDP0000140106")</f>
        <v>MDP0000140106</v>
      </c>
      <c r="D10550">
        <v>60</v>
      </c>
      <c r="E10550">
        <v>305</v>
      </c>
      <c r="F10550">
        <v>122</v>
      </c>
      <c r="G10550">
        <v>2</v>
      </c>
      <c r="H10550">
        <v>1</v>
      </c>
      <c r="I10550">
        <v>304</v>
      </c>
      <c r="J10550">
        <v>1</v>
      </c>
      <c r="K10550">
        <v>1</v>
      </c>
      <c r="L10550">
        <v>304</v>
      </c>
      <c r="M10550">
        <v>1</v>
      </c>
      <c r="N10550">
        <v>7.5886399999999994E-98</v>
      </c>
      <c r="O10550">
        <v>909</v>
      </c>
    </row>
    <row r="10551" spans="1:15" x14ac:dyDescent="0.25">
      <c r="A10551" t="s">
        <v>10564</v>
      </c>
      <c r="B10551">
        <v>672</v>
      </c>
      <c r="C10551" s="1" t="str">
        <f>HYPERLINK("http://www.rosaceae.org/gb/gbrowse/malus_x_domestica/?name=MDP0000215513","MDP0000215513")</f>
        <v>MDP0000215513</v>
      </c>
      <c r="D10551">
        <v>75.28</v>
      </c>
      <c r="E10551">
        <v>441</v>
      </c>
      <c r="F10551">
        <v>109</v>
      </c>
      <c r="G10551">
        <v>41</v>
      </c>
      <c r="H10551">
        <v>198</v>
      </c>
      <c r="I10551">
        <v>619</v>
      </c>
      <c r="J10551">
        <v>1</v>
      </c>
      <c r="K10551">
        <v>12</v>
      </c>
      <c r="L10551">
        <v>430</v>
      </c>
      <c r="M10551">
        <v>1</v>
      </c>
      <c r="N10551">
        <v>0</v>
      </c>
      <c r="O10551">
        <v>1738</v>
      </c>
    </row>
    <row r="10552" spans="1:15" x14ac:dyDescent="0.25">
      <c r="A10552" t="s">
        <v>10565</v>
      </c>
      <c r="B10552">
        <v>500</v>
      </c>
      <c r="C10552" s="1" t="str">
        <f>HYPERLINK("http://www.rosaceae.org/gb/gbrowse/malus_x_domestica/?name=MDP0000422684","MDP0000422684")</f>
        <v>MDP0000422684</v>
      </c>
      <c r="D10552">
        <v>79.2</v>
      </c>
      <c r="E10552">
        <v>505</v>
      </c>
      <c r="F10552">
        <v>105</v>
      </c>
      <c r="G10552">
        <v>10</v>
      </c>
      <c r="H10552">
        <v>1</v>
      </c>
      <c r="I10552">
        <v>497</v>
      </c>
      <c r="J10552">
        <v>1</v>
      </c>
      <c r="K10552">
        <v>1</v>
      </c>
      <c r="L10552">
        <v>503</v>
      </c>
      <c r="M10552">
        <v>1</v>
      </c>
      <c r="N10552">
        <v>0</v>
      </c>
      <c r="O10552">
        <v>2006</v>
      </c>
    </row>
    <row r="10553" spans="1:15" x14ac:dyDescent="0.25">
      <c r="A10553" t="s">
        <v>10566</v>
      </c>
      <c r="B10553">
        <v>234</v>
      </c>
      <c r="C10553" s="1" t="str">
        <f>HYPERLINK("http://www.rosaceae.org/gb/gbrowse/malus_x_domestica/?name=MDP0000157644","MDP0000157644")</f>
        <v>MDP0000157644</v>
      </c>
      <c r="D10553">
        <v>56.71</v>
      </c>
      <c r="E10553">
        <v>134</v>
      </c>
      <c r="F10553">
        <v>58</v>
      </c>
      <c r="G10553">
        <v>0</v>
      </c>
      <c r="H10553">
        <v>91</v>
      </c>
      <c r="I10553">
        <v>224</v>
      </c>
      <c r="J10553">
        <v>1</v>
      </c>
      <c r="K10553">
        <v>324</v>
      </c>
      <c r="L10553">
        <v>457</v>
      </c>
      <c r="M10553">
        <v>1</v>
      </c>
      <c r="N10553">
        <v>2.53066E-41</v>
      </c>
      <c r="O10553">
        <v>419</v>
      </c>
    </row>
    <row r="10554" spans="1:15" x14ac:dyDescent="0.25">
      <c r="A10554" t="s">
        <v>10567</v>
      </c>
      <c r="B10554">
        <v>488</v>
      </c>
      <c r="C10554" s="1" t="str">
        <f>HYPERLINK("http://www.rosaceae.org/gb/gbrowse/malus_x_domestica/?name=MDP0000319550","MDP0000319550")</f>
        <v>MDP0000319550</v>
      </c>
      <c r="D10554">
        <v>60.98</v>
      </c>
      <c r="E10554">
        <v>469</v>
      </c>
      <c r="F10554">
        <v>183</v>
      </c>
      <c r="G10554">
        <v>3</v>
      </c>
      <c r="H10554">
        <v>11</v>
      </c>
      <c r="I10554">
        <v>479</v>
      </c>
      <c r="J10554">
        <v>1</v>
      </c>
      <c r="K10554">
        <v>44</v>
      </c>
      <c r="L10554">
        <v>509</v>
      </c>
      <c r="M10554">
        <v>1</v>
      </c>
      <c r="N10554">
        <v>9.6733300000000006E-168</v>
      </c>
      <c r="O10554">
        <v>1513</v>
      </c>
    </row>
    <row r="10555" spans="1:15" x14ac:dyDescent="0.25">
      <c r="A10555" t="s">
        <v>10568</v>
      </c>
      <c r="B10555">
        <v>108</v>
      </c>
      <c r="C10555" s="1" t="str">
        <f>HYPERLINK("http://www.rosaceae.org/gb/gbrowse/malus_x_domestica/?name=MDP0000302554","MDP0000302554")</f>
        <v>MDP0000302554</v>
      </c>
      <c r="D10555">
        <v>44.76</v>
      </c>
      <c r="E10555">
        <v>105</v>
      </c>
      <c r="F10555">
        <v>58</v>
      </c>
      <c r="G10555">
        <v>1</v>
      </c>
      <c r="H10555">
        <v>1</v>
      </c>
      <c r="I10555">
        <v>105</v>
      </c>
      <c r="J10555">
        <v>1</v>
      </c>
      <c r="K10555">
        <v>422</v>
      </c>
      <c r="L10555">
        <v>525</v>
      </c>
      <c r="M10555">
        <v>1</v>
      </c>
      <c r="N10555">
        <v>2.8912699999999998E-21</v>
      </c>
      <c r="O10555">
        <v>241</v>
      </c>
    </row>
    <row r="10556" spans="1:15" x14ac:dyDescent="0.25">
      <c r="A10556" t="s">
        <v>10569</v>
      </c>
      <c r="B10556">
        <v>209</v>
      </c>
      <c r="C10556" s="1" t="str">
        <f>HYPERLINK("http://www.rosaceae.org/gb/gbrowse/malus_x_domestica/?name=MDP0000400398","MDP0000400398")</f>
        <v>MDP0000400398</v>
      </c>
      <c r="D10556">
        <v>35.83</v>
      </c>
      <c r="E10556">
        <v>173</v>
      </c>
      <c r="F10556">
        <v>111</v>
      </c>
      <c r="G10556">
        <v>3</v>
      </c>
      <c r="H10556">
        <v>11</v>
      </c>
      <c r="I10556">
        <v>181</v>
      </c>
      <c r="J10556">
        <v>1</v>
      </c>
      <c r="K10556">
        <v>721</v>
      </c>
      <c r="L10556">
        <v>892</v>
      </c>
      <c r="M10556">
        <v>1</v>
      </c>
      <c r="N10556">
        <v>2.90287E-22</v>
      </c>
      <c r="O10556">
        <v>254</v>
      </c>
    </row>
    <row r="10557" spans="1:15" x14ac:dyDescent="0.25">
      <c r="A10557" t="s">
        <v>10570</v>
      </c>
      <c r="B10557">
        <v>316</v>
      </c>
      <c r="C10557" s="1" t="str">
        <f>HYPERLINK("http://www.rosaceae.org/gb/gbrowse/malus_x_domestica/?name=MDP0000203079","MDP0000203079")</f>
        <v>MDP0000203079</v>
      </c>
      <c r="D10557">
        <v>41.88</v>
      </c>
      <c r="E10557">
        <v>234</v>
      </c>
      <c r="F10557">
        <v>136</v>
      </c>
      <c r="G10557">
        <v>22</v>
      </c>
      <c r="H10557">
        <v>30</v>
      </c>
      <c r="I10557">
        <v>252</v>
      </c>
      <c r="J10557">
        <v>1</v>
      </c>
      <c r="K10557">
        <v>5</v>
      </c>
      <c r="L10557">
        <v>227</v>
      </c>
      <c r="M10557">
        <v>1</v>
      </c>
      <c r="N10557">
        <v>1.1201700000000001E-38</v>
      </c>
      <c r="O10557">
        <v>398</v>
      </c>
    </row>
    <row r="10558" spans="1:15" x14ac:dyDescent="0.25">
      <c r="A10558" t="s">
        <v>10571</v>
      </c>
      <c r="B10558">
        <v>741</v>
      </c>
      <c r="C10558" s="1" t="str">
        <f>HYPERLINK("http://www.rosaceae.org/gb/gbrowse/malus_x_domestica/?name=MDP0000242371","MDP0000242371")</f>
        <v>MDP0000242371</v>
      </c>
      <c r="D10558">
        <v>70.459999999999994</v>
      </c>
      <c r="E10558">
        <v>640</v>
      </c>
      <c r="F10558">
        <v>189</v>
      </c>
      <c r="G10558">
        <v>12</v>
      </c>
      <c r="H10558">
        <v>97</v>
      </c>
      <c r="I10558">
        <v>730</v>
      </c>
      <c r="J10558">
        <v>1</v>
      </c>
      <c r="K10558">
        <v>107</v>
      </c>
      <c r="L10558">
        <v>740</v>
      </c>
      <c r="M10558">
        <v>1</v>
      </c>
      <c r="N10558">
        <v>0</v>
      </c>
      <c r="O10558">
        <v>2298</v>
      </c>
    </row>
    <row r="10559" spans="1:15" x14ac:dyDescent="0.25">
      <c r="A10559" t="s">
        <v>10572</v>
      </c>
      <c r="B10559">
        <v>843</v>
      </c>
      <c r="C10559" s="1" t="str">
        <f>HYPERLINK("http://www.rosaceae.org/gb/gbrowse/malus_x_domestica/?name=MDP0000643268","MDP0000643268")</f>
        <v>MDP0000643268</v>
      </c>
      <c r="D10559">
        <v>84.01</v>
      </c>
      <c r="E10559">
        <v>763</v>
      </c>
      <c r="F10559">
        <v>122</v>
      </c>
      <c r="G10559">
        <v>15</v>
      </c>
      <c r="H10559">
        <v>1</v>
      </c>
      <c r="I10559">
        <v>749</v>
      </c>
      <c r="J10559">
        <v>1</v>
      </c>
      <c r="K10559">
        <v>1</v>
      </c>
      <c r="L10559">
        <v>762</v>
      </c>
      <c r="M10559">
        <v>1</v>
      </c>
      <c r="N10559">
        <v>0</v>
      </c>
      <c r="O10559">
        <v>3321</v>
      </c>
    </row>
    <row r="10560" spans="1:15" x14ac:dyDescent="0.25">
      <c r="A10560" t="s">
        <v>10573</v>
      </c>
      <c r="B10560">
        <v>321</v>
      </c>
      <c r="C10560" s="1" t="str">
        <f>HYPERLINK("http://www.rosaceae.org/gb/gbrowse/malus_x_domestica/?name=MDP0000156973","MDP0000156973")</f>
        <v>MDP0000156973</v>
      </c>
      <c r="D10560">
        <v>42.8</v>
      </c>
      <c r="E10560">
        <v>299</v>
      </c>
      <c r="F10560">
        <v>171</v>
      </c>
      <c r="G10560">
        <v>5</v>
      </c>
      <c r="H10560">
        <v>1</v>
      </c>
      <c r="I10560">
        <v>297</v>
      </c>
      <c r="J10560">
        <v>1</v>
      </c>
      <c r="K10560">
        <v>1</v>
      </c>
      <c r="L10560">
        <v>296</v>
      </c>
      <c r="M10560">
        <v>1</v>
      </c>
      <c r="N10560">
        <v>4.85552E-67</v>
      </c>
      <c r="O10560">
        <v>642</v>
      </c>
    </row>
    <row r="10561" spans="1:15" x14ac:dyDescent="0.25">
      <c r="A10561" t="s">
        <v>10574</v>
      </c>
      <c r="B10561">
        <v>225</v>
      </c>
      <c r="C10561" s="1" t="str">
        <f>HYPERLINK("http://www.rosaceae.org/gb/gbrowse/malus_x_domestica/?name=MDP0000309382","MDP0000309382")</f>
        <v>MDP0000309382</v>
      </c>
      <c r="D10561">
        <v>42.13</v>
      </c>
      <c r="E10561">
        <v>197</v>
      </c>
      <c r="F10561">
        <v>114</v>
      </c>
      <c r="G10561">
        <v>35</v>
      </c>
      <c r="H10561">
        <v>12</v>
      </c>
      <c r="I10561">
        <v>200</v>
      </c>
      <c r="J10561">
        <v>1</v>
      </c>
      <c r="K10561">
        <v>16</v>
      </c>
      <c r="L10561">
        <v>185</v>
      </c>
      <c r="M10561">
        <v>1</v>
      </c>
      <c r="N10561">
        <v>4.0037100000000002E-32</v>
      </c>
      <c r="O10561">
        <v>339</v>
      </c>
    </row>
    <row r="10562" spans="1:15" x14ac:dyDescent="0.25">
      <c r="A10562" t="s">
        <v>10575</v>
      </c>
      <c r="B10562">
        <v>546</v>
      </c>
      <c r="C10562" s="1" t="str">
        <f>HYPERLINK("http://www.rosaceae.org/gb/gbrowse/malus_x_domestica/?name=MDP0000610239","MDP0000610239")</f>
        <v>MDP0000610239</v>
      </c>
      <c r="D10562">
        <v>86.53</v>
      </c>
      <c r="E10562">
        <v>505</v>
      </c>
      <c r="F10562">
        <v>68</v>
      </c>
      <c r="G10562">
        <v>2</v>
      </c>
      <c r="H10562">
        <v>42</v>
      </c>
      <c r="I10562">
        <v>545</v>
      </c>
      <c r="J10562">
        <v>1</v>
      </c>
      <c r="K10562">
        <v>7</v>
      </c>
      <c r="L10562">
        <v>510</v>
      </c>
      <c r="M10562">
        <v>1</v>
      </c>
      <c r="N10562">
        <v>0</v>
      </c>
      <c r="O10562">
        <v>2297</v>
      </c>
    </row>
    <row r="10563" spans="1:15" x14ac:dyDescent="0.25">
      <c r="A10563" t="s">
        <v>10576</v>
      </c>
      <c r="B10563">
        <v>414</v>
      </c>
      <c r="C10563" s="1" t="str">
        <f>HYPERLINK("http://www.rosaceae.org/gb/gbrowse/malus_x_domestica/?name=MDP0000182943","MDP0000182943")</f>
        <v>MDP0000182943</v>
      </c>
      <c r="D10563">
        <v>61.21</v>
      </c>
      <c r="E10563">
        <v>410</v>
      </c>
      <c r="F10563">
        <v>159</v>
      </c>
      <c r="G10563">
        <v>40</v>
      </c>
      <c r="H10563">
        <v>9</v>
      </c>
      <c r="I10563">
        <v>414</v>
      </c>
      <c r="J10563">
        <v>1</v>
      </c>
      <c r="K10563">
        <v>8</v>
      </c>
      <c r="L10563">
        <v>381</v>
      </c>
      <c r="M10563">
        <v>1</v>
      </c>
      <c r="N10563">
        <v>4.8064300000000003E-133</v>
      </c>
      <c r="O10563">
        <v>1213</v>
      </c>
    </row>
    <row r="10564" spans="1:15" x14ac:dyDescent="0.25">
      <c r="A10564" t="s">
        <v>10577</v>
      </c>
      <c r="B10564">
        <v>224</v>
      </c>
      <c r="C10564" s="1" t="str">
        <f>HYPERLINK("http://www.rosaceae.org/gb/gbrowse/malus_x_domestica/?name=MDP0000202290","MDP0000202290")</f>
        <v>MDP0000202290</v>
      </c>
      <c r="D10564">
        <v>60.64</v>
      </c>
      <c r="E10564">
        <v>216</v>
      </c>
      <c r="F10564">
        <v>85</v>
      </c>
      <c r="G10564">
        <v>2</v>
      </c>
      <c r="H10564">
        <v>4</v>
      </c>
      <c r="I10564">
        <v>217</v>
      </c>
      <c r="J10564">
        <v>1</v>
      </c>
      <c r="K10564">
        <v>172</v>
      </c>
      <c r="L10564">
        <v>387</v>
      </c>
      <c r="M10564">
        <v>1</v>
      </c>
      <c r="N10564">
        <v>4.6940199999999998E-60</v>
      </c>
      <c r="O10564">
        <v>580</v>
      </c>
    </row>
    <row r="10565" spans="1:15" x14ac:dyDescent="0.25">
      <c r="A10565" t="s">
        <v>10578</v>
      </c>
      <c r="B10565">
        <v>269</v>
      </c>
      <c r="C10565" s="1" t="str">
        <f>HYPERLINK("http://www.rosaceae.org/gb/gbrowse/malus_x_domestica/?name=MDP0000888050","MDP0000888050")</f>
        <v>MDP0000888050</v>
      </c>
      <c r="D10565">
        <v>85.76</v>
      </c>
      <c r="E10565">
        <v>260</v>
      </c>
      <c r="F10565">
        <v>37</v>
      </c>
      <c r="G10565">
        <v>0</v>
      </c>
      <c r="H10565">
        <v>7</v>
      </c>
      <c r="I10565">
        <v>266</v>
      </c>
      <c r="J10565">
        <v>1</v>
      </c>
      <c r="K10565">
        <v>6</v>
      </c>
      <c r="L10565">
        <v>265</v>
      </c>
      <c r="M10565">
        <v>1</v>
      </c>
      <c r="N10565">
        <v>7.6986199999999997E-132</v>
      </c>
      <c r="O10565">
        <v>1200</v>
      </c>
    </row>
    <row r="10566" spans="1:15" x14ac:dyDescent="0.25">
      <c r="A10566" t="s">
        <v>10579</v>
      </c>
      <c r="B10566">
        <v>154</v>
      </c>
      <c r="C10566" s="1" t="str">
        <f>HYPERLINK("http://www.rosaceae.org/gb/gbrowse/malus_x_domestica/?name=MDP0000473309","MDP0000473309")</f>
        <v>MDP0000473309</v>
      </c>
      <c r="D10566">
        <v>59.57</v>
      </c>
      <c r="E10566">
        <v>141</v>
      </c>
      <c r="F10566">
        <v>57</v>
      </c>
      <c r="G10566">
        <v>18</v>
      </c>
      <c r="H10566">
        <v>1</v>
      </c>
      <c r="I10566">
        <v>140</v>
      </c>
      <c r="J10566">
        <v>1</v>
      </c>
      <c r="K10566">
        <v>1</v>
      </c>
      <c r="L10566">
        <v>124</v>
      </c>
      <c r="M10566">
        <v>1</v>
      </c>
      <c r="N10566">
        <v>6.9456800000000004E-37</v>
      </c>
      <c r="O10566">
        <v>378</v>
      </c>
    </row>
    <row r="10567" spans="1:15" x14ac:dyDescent="0.25">
      <c r="A10567" t="s">
        <v>10580</v>
      </c>
      <c r="B10567">
        <v>1250</v>
      </c>
      <c r="C10567" s="1" t="str">
        <f>HYPERLINK("http://www.rosaceae.org/gb/gbrowse/malus_x_domestica/?name=MDP0000320690","MDP0000320690")</f>
        <v>MDP0000320690</v>
      </c>
      <c r="D10567">
        <v>83.17</v>
      </c>
      <c r="E10567">
        <v>1260</v>
      </c>
      <c r="F10567">
        <v>212</v>
      </c>
      <c r="G10567">
        <v>30</v>
      </c>
      <c r="H10567">
        <v>1</v>
      </c>
      <c r="I10567">
        <v>1250</v>
      </c>
      <c r="J10567">
        <v>1</v>
      </c>
      <c r="K10567">
        <v>1</v>
      </c>
      <c r="L10567">
        <v>1240</v>
      </c>
      <c r="M10567">
        <v>1</v>
      </c>
      <c r="N10567">
        <v>0</v>
      </c>
      <c r="O10567">
        <v>5458</v>
      </c>
    </row>
    <row r="10568" spans="1:15" x14ac:dyDescent="0.25">
      <c r="A10568" t="s">
        <v>10581</v>
      </c>
      <c r="B10568">
        <v>450</v>
      </c>
      <c r="C10568" s="1" t="str">
        <f>HYPERLINK("http://www.rosaceae.org/gb/gbrowse/malus_x_domestica/?name=MDP0000181135","MDP0000181135")</f>
        <v>MDP0000181135</v>
      </c>
      <c r="D10568">
        <v>33.630000000000003</v>
      </c>
      <c r="E10568">
        <v>449</v>
      </c>
      <c r="F10568">
        <v>298</v>
      </c>
      <c r="G10568">
        <v>35</v>
      </c>
      <c r="H10568">
        <v>11</v>
      </c>
      <c r="I10568">
        <v>443</v>
      </c>
      <c r="J10568">
        <v>1</v>
      </c>
      <c r="K10568">
        <v>5</v>
      </c>
      <c r="L10568">
        <v>434</v>
      </c>
      <c r="M10568">
        <v>1</v>
      </c>
      <c r="N10568">
        <v>4.2174499999999999E-50</v>
      </c>
      <c r="O10568">
        <v>498</v>
      </c>
    </row>
    <row r="10569" spans="1:15" x14ac:dyDescent="0.25">
      <c r="A10569" t="s">
        <v>10582</v>
      </c>
      <c r="B10569">
        <v>907</v>
      </c>
      <c r="C10569" s="1" t="str">
        <f>HYPERLINK("http://www.rosaceae.org/gb/gbrowse/malus_x_domestica/?name=MDP0000265776","MDP0000265776")</f>
        <v>MDP0000265776</v>
      </c>
      <c r="D10569">
        <v>59.21</v>
      </c>
      <c r="E10569">
        <v>456</v>
      </c>
      <c r="F10569">
        <v>186</v>
      </c>
      <c r="G10569">
        <v>9</v>
      </c>
      <c r="H10569">
        <v>1</v>
      </c>
      <c r="I10569">
        <v>454</v>
      </c>
      <c r="J10569">
        <v>1</v>
      </c>
      <c r="K10569">
        <v>426</v>
      </c>
      <c r="L10569">
        <v>874</v>
      </c>
      <c r="M10569">
        <v>1</v>
      </c>
      <c r="N10569">
        <v>1.7924600000000001E-148</v>
      </c>
      <c r="O10569">
        <v>1349</v>
      </c>
    </row>
    <row r="10570" spans="1:15" x14ac:dyDescent="0.25">
      <c r="A10570" t="s">
        <v>10583</v>
      </c>
      <c r="B10570">
        <v>257</v>
      </c>
      <c r="C10570" s="1" t="str">
        <f>HYPERLINK("http://www.rosaceae.org/gb/gbrowse/malus_x_domestica/?name=MDP0000739471","MDP0000739471")</f>
        <v>MDP0000739471</v>
      </c>
      <c r="D10570">
        <v>89.06</v>
      </c>
      <c r="E10570">
        <v>256</v>
      </c>
      <c r="F10570">
        <v>28</v>
      </c>
      <c r="G10570">
        <v>0</v>
      </c>
      <c r="H10570">
        <v>1</v>
      </c>
      <c r="I10570">
        <v>256</v>
      </c>
      <c r="J10570">
        <v>1</v>
      </c>
      <c r="K10570">
        <v>1</v>
      </c>
      <c r="L10570">
        <v>256</v>
      </c>
      <c r="M10570">
        <v>1</v>
      </c>
      <c r="N10570">
        <v>2.37809E-134</v>
      </c>
      <c r="O10570">
        <v>1222</v>
      </c>
    </row>
    <row r="10571" spans="1:15" x14ac:dyDescent="0.25">
      <c r="A10571" t="s">
        <v>10584</v>
      </c>
      <c r="B10571">
        <v>428</v>
      </c>
      <c r="C10571" s="1" t="str">
        <f>HYPERLINK("http://www.rosaceae.org/gb/gbrowse/malus_x_domestica/?name=MDP0000255102","MDP0000255102")</f>
        <v>MDP0000255102</v>
      </c>
      <c r="D10571">
        <v>87.21</v>
      </c>
      <c r="E10571">
        <v>391</v>
      </c>
      <c r="F10571">
        <v>50</v>
      </c>
      <c r="G10571">
        <v>0</v>
      </c>
      <c r="H10571">
        <v>29</v>
      </c>
      <c r="I10571">
        <v>419</v>
      </c>
      <c r="J10571">
        <v>1</v>
      </c>
      <c r="K10571">
        <v>65</v>
      </c>
      <c r="L10571">
        <v>455</v>
      </c>
      <c r="M10571">
        <v>1</v>
      </c>
      <c r="N10571">
        <v>0</v>
      </c>
      <c r="O10571">
        <v>1790</v>
      </c>
    </row>
    <row r="10572" spans="1:15" x14ac:dyDescent="0.25">
      <c r="A10572" t="s">
        <v>10585</v>
      </c>
      <c r="B10572">
        <v>177</v>
      </c>
      <c r="C10572" s="1" t="str">
        <f>HYPERLINK("http://www.rosaceae.org/gb/gbrowse/malus_x_domestica/?name=MDP0000214642","MDP0000214642")</f>
        <v>MDP0000214642</v>
      </c>
      <c r="D10572">
        <v>63.02</v>
      </c>
      <c r="E10572">
        <v>119</v>
      </c>
      <c r="F10572">
        <v>44</v>
      </c>
      <c r="G10572">
        <v>0</v>
      </c>
      <c r="H10572">
        <v>1</v>
      </c>
      <c r="I10572">
        <v>119</v>
      </c>
      <c r="J10572">
        <v>1</v>
      </c>
      <c r="K10572">
        <v>149</v>
      </c>
      <c r="L10572">
        <v>267</v>
      </c>
      <c r="M10572">
        <v>1</v>
      </c>
      <c r="N10572">
        <v>5.1689900000000002E-38</v>
      </c>
      <c r="O10572">
        <v>388</v>
      </c>
    </row>
    <row r="10573" spans="1:15" x14ac:dyDescent="0.25">
      <c r="A10573" t="s">
        <v>10586</v>
      </c>
      <c r="B10573">
        <v>210</v>
      </c>
      <c r="C10573" s="1" t="str">
        <f>HYPERLINK("http://www.rosaceae.org/gb/gbrowse/malus_x_domestica/?name=MDP0000276291","MDP0000276291")</f>
        <v>MDP0000276291</v>
      </c>
      <c r="D10573">
        <v>46.06</v>
      </c>
      <c r="E10573">
        <v>89</v>
      </c>
      <c r="F10573">
        <v>48</v>
      </c>
      <c r="G10573">
        <v>14</v>
      </c>
      <c r="H10573">
        <v>11</v>
      </c>
      <c r="I10573">
        <v>93</v>
      </c>
      <c r="J10573">
        <v>1</v>
      </c>
      <c r="K10573">
        <v>7</v>
      </c>
      <c r="L10573">
        <v>87</v>
      </c>
      <c r="M10573">
        <v>1</v>
      </c>
      <c r="N10573">
        <v>1.2145499999999999E-8</v>
      </c>
      <c r="O10573">
        <v>136</v>
      </c>
    </row>
    <row r="10574" spans="1:15" x14ac:dyDescent="0.25">
      <c r="A10574" t="s">
        <v>10587</v>
      </c>
      <c r="B10574">
        <v>161</v>
      </c>
      <c r="C10574" s="1" t="str">
        <f>HYPERLINK("http://www.rosaceae.org/gb/gbrowse/malus_x_domestica/?name=MDP0000314158","MDP0000314158")</f>
        <v>MDP0000314158</v>
      </c>
      <c r="D10574">
        <v>32.14</v>
      </c>
      <c r="E10574">
        <v>112</v>
      </c>
      <c r="F10574">
        <v>76</v>
      </c>
      <c r="G10574">
        <v>2</v>
      </c>
      <c r="H10574">
        <v>48</v>
      </c>
      <c r="I10574">
        <v>159</v>
      </c>
      <c r="J10574">
        <v>1</v>
      </c>
      <c r="K10574">
        <v>400</v>
      </c>
      <c r="L10574">
        <v>509</v>
      </c>
      <c r="M10574">
        <v>1</v>
      </c>
      <c r="N10574">
        <v>2.55702E-14</v>
      </c>
      <c r="O10574">
        <v>183</v>
      </c>
    </row>
    <row r="10575" spans="1:15" x14ac:dyDescent="0.25">
      <c r="A10575" t="s">
        <v>10588</v>
      </c>
      <c r="B10575">
        <v>143</v>
      </c>
      <c r="C10575" s="1" t="str">
        <f>HYPERLINK("http://www.rosaceae.org/gb/gbrowse/malus_x_domestica/?name=MDP0000216169","MDP0000216169")</f>
        <v>MDP0000216169</v>
      </c>
      <c r="D10575">
        <v>73.45</v>
      </c>
      <c r="E10575">
        <v>113</v>
      </c>
      <c r="F10575">
        <v>30</v>
      </c>
      <c r="G10575">
        <v>0</v>
      </c>
      <c r="H10575">
        <v>1</v>
      </c>
      <c r="I10575">
        <v>113</v>
      </c>
      <c r="J10575">
        <v>1</v>
      </c>
      <c r="K10575">
        <v>1</v>
      </c>
      <c r="L10575">
        <v>113</v>
      </c>
      <c r="M10575">
        <v>1</v>
      </c>
      <c r="N10575">
        <v>5.4508499999999998E-39</v>
      </c>
      <c r="O10575">
        <v>395</v>
      </c>
    </row>
    <row r="10576" spans="1:15" x14ac:dyDescent="0.25">
      <c r="A10576" t="s">
        <v>10589</v>
      </c>
      <c r="B10576">
        <v>845</v>
      </c>
      <c r="C10576" s="1" t="str">
        <f>HYPERLINK("http://www.rosaceae.org/gb/gbrowse/malus_x_domestica/?name=MDP0000212622","MDP0000212622")</f>
        <v>MDP0000212622</v>
      </c>
      <c r="D10576">
        <v>72.63</v>
      </c>
      <c r="E10576">
        <v>866</v>
      </c>
      <c r="F10576">
        <v>237</v>
      </c>
      <c r="G10576">
        <v>63</v>
      </c>
      <c r="H10576">
        <v>39</v>
      </c>
      <c r="I10576">
        <v>844</v>
      </c>
      <c r="J10576">
        <v>1</v>
      </c>
      <c r="K10576">
        <v>45</v>
      </c>
      <c r="L10576">
        <v>907</v>
      </c>
      <c r="M10576">
        <v>1</v>
      </c>
      <c r="N10576">
        <v>0</v>
      </c>
      <c r="O10576">
        <v>3353</v>
      </c>
    </row>
    <row r="10577" spans="1:15" x14ac:dyDescent="0.25">
      <c r="A10577" t="s">
        <v>10590</v>
      </c>
      <c r="B10577">
        <v>1261</v>
      </c>
      <c r="C10577" s="1" t="str">
        <f>HYPERLINK("http://www.rosaceae.org/gb/gbrowse/malus_x_domestica/?name=MDP0000173679","MDP0000173679")</f>
        <v>MDP0000173679</v>
      </c>
      <c r="D10577">
        <v>77.849999999999994</v>
      </c>
      <c r="E10577">
        <v>1287</v>
      </c>
      <c r="F10577">
        <v>285</v>
      </c>
      <c r="G10577">
        <v>56</v>
      </c>
      <c r="H10577">
        <v>31</v>
      </c>
      <c r="I10577">
        <v>1261</v>
      </c>
      <c r="J10577">
        <v>1</v>
      </c>
      <c r="K10577">
        <v>33</v>
      </c>
      <c r="L10577">
        <v>1319</v>
      </c>
      <c r="M10577">
        <v>1</v>
      </c>
      <c r="N10577">
        <v>0</v>
      </c>
      <c r="O10577">
        <v>5252</v>
      </c>
    </row>
    <row r="10578" spans="1:15" x14ac:dyDescent="0.25">
      <c r="A10578" t="s">
        <v>10591</v>
      </c>
      <c r="B10578">
        <v>256</v>
      </c>
      <c r="C10578" s="1" t="str">
        <f>HYPERLINK("http://www.rosaceae.org/gb/gbrowse/malus_x_domestica/?name=MDP0000202898","MDP0000202898")</f>
        <v>MDP0000202898</v>
      </c>
      <c r="D10578">
        <v>61.3</v>
      </c>
      <c r="E10578">
        <v>168</v>
      </c>
      <c r="F10578">
        <v>65</v>
      </c>
      <c r="G10578">
        <v>2</v>
      </c>
      <c r="H10578">
        <v>1</v>
      </c>
      <c r="I10578">
        <v>168</v>
      </c>
      <c r="J10578">
        <v>1</v>
      </c>
      <c r="K10578">
        <v>1</v>
      </c>
      <c r="L10578">
        <v>166</v>
      </c>
      <c r="M10578">
        <v>1</v>
      </c>
      <c r="N10578">
        <v>1.8351599999999999E-56</v>
      </c>
      <c r="O10578">
        <v>550</v>
      </c>
    </row>
    <row r="10579" spans="1:15" x14ac:dyDescent="0.25">
      <c r="A10579" t="s">
        <v>10592</v>
      </c>
      <c r="B10579">
        <v>392</v>
      </c>
      <c r="C10579" s="1" t="str">
        <f>HYPERLINK("http://www.rosaceae.org/gb/gbrowse/malus_x_domestica/?name=MDP0000337873","MDP0000337873")</f>
        <v>MDP0000337873</v>
      </c>
      <c r="D10579">
        <v>34.630000000000003</v>
      </c>
      <c r="E10579">
        <v>332</v>
      </c>
      <c r="F10579">
        <v>217</v>
      </c>
      <c r="G10579">
        <v>21</v>
      </c>
      <c r="H10579">
        <v>14</v>
      </c>
      <c r="I10579">
        <v>336</v>
      </c>
      <c r="J10579">
        <v>1</v>
      </c>
      <c r="K10579">
        <v>12</v>
      </c>
      <c r="L10579">
        <v>331</v>
      </c>
      <c r="M10579">
        <v>1</v>
      </c>
      <c r="N10579">
        <v>2.6299300000000001E-54</v>
      </c>
      <c r="O10579">
        <v>534</v>
      </c>
    </row>
    <row r="10580" spans="1:15" x14ac:dyDescent="0.25">
      <c r="A10580" t="s">
        <v>10593</v>
      </c>
      <c r="B10580">
        <v>763</v>
      </c>
      <c r="C10580" s="1" t="str">
        <f>HYPERLINK("http://www.rosaceae.org/gb/gbrowse/malus_x_domestica/?name=MDP0000763924","MDP0000763924")</f>
        <v>MDP0000763924</v>
      </c>
      <c r="D10580">
        <v>70.09</v>
      </c>
      <c r="E10580">
        <v>769</v>
      </c>
      <c r="F10580">
        <v>230</v>
      </c>
      <c r="G10580">
        <v>16</v>
      </c>
      <c r="H10580">
        <v>1</v>
      </c>
      <c r="I10580">
        <v>763</v>
      </c>
      <c r="J10580">
        <v>1</v>
      </c>
      <c r="K10580">
        <v>1</v>
      </c>
      <c r="L10580">
        <v>759</v>
      </c>
      <c r="M10580">
        <v>1</v>
      </c>
      <c r="N10580">
        <v>0</v>
      </c>
      <c r="O10580">
        <v>2688</v>
      </c>
    </row>
    <row r="10581" spans="1:15" x14ac:dyDescent="0.25">
      <c r="A10581" t="s">
        <v>10594</v>
      </c>
      <c r="B10581">
        <v>307</v>
      </c>
      <c r="C10581" s="1" t="str">
        <f>HYPERLINK("http://www.rosaceae.org/gb/gbrowse/malus_x_domestica/?name=MDP0000244949","MDP0000244949")</f>
        <v>MDP0000244949</v>
      </c>
      <c r="D10581">
        <v>76.53</v>
      </c>
      <c r="E10581">
        <v>196</v>
      </c>
      <c r="F10581">
        <v>46</v>
      </c>
      <c r="G10581">
        <v>2</v>
      </c>
      <c r="H10581">
        <v>68</v>
      </c>
      <c r="I10581">
        <v>262</v>
      </c>
      <c r="J10581">
        <v>1</v>
      </c>
      <c r="K10581">
        <v>1</v>
      </c>
      <c r="L10581">
        <v>195</v>
      </c>
      <c r="M10581">
        <v>1</v>
      </c>
      <c r="N10581">
        <v>1.8083599999999999E-79</v>
      </c>
      <c r="O10581">
        <v>749</v>
      </c>
    </row>
    <row r="10582" spans="1:15" x14ac:dyDescent="0.25">
      <c r="A10582" t="s">
        <v>10595</v>
      </c>
      <c r="B10582">
        <v>1722</v>
      </c>
      <c r="C10582" s="1" t="str">
        <f>HYPERLINK("http://www.rosaceae.org/gb/gbrowse/malus_x_domestica/?name=MDP0000280087","MDP0000280087")</f>
        <v>MDP0000280087</v>
      </c>
      <c r="D10582">
        <v>61.85</v>
      </c>
      <c r="E10582">
        <v>624</v>
      </c>
      <c r="F10582">
        <v>238</v>
      </c>
      <c r="G10582">
        <v>18</v>
      </c>
      <c r="H10582">
        <v>1065</v>
      </c>
      <c r="I10582">
        <v>1677</v>
      </c>
      <c r="J10582">
        <v>1</v>
      </c>
      <c r="K10582">
        <v>330</v>
      </c>
      <c r="L10582">
        <v>946</v>
      </c>
      <c r="M10582">
        <v>1</v>
      </c>
      <c r="N10582">
        <v>0</v>
      </c>
      <c r="O10582">
        <v>2136</v>
      </c>
    </row>
    <row r="10583" spans="1:15" x14ac:dyDescent="0.25">
      <c r="A10583" t="s">
        <v>10596</v>
      </c>
      <c r="B10583">
        <v>804</v>
      </c>
      <c r="C10583" s="1" t="str">
        <f>HYPERLINK("http://www.rosaceae.org/gb/gbrowse/malus_x_domestica/?name=MDP0000256238","MDP0000256238")</f>
        <v>MDP0000256238</v>
      </c>
      <c r="D10583">
        <v>71.569999999999993</v>
      </c>
      <c r="E10583">
        <v>95</v>
      </c>
      <c r="F10583">
        <v>27</v>
      </c>
      <c r="G10583">
        <v>0</v>
      </c>
      <c r="H10583">
        <v>195</v>
      </c>
      <c r="I10583">
        <v>289</v>
      </c>
      <c r="J10583">
        <v>1</v>
      </c>
      <c r="K10583">
        <v>2</v>
      </c>
      <c r="L10583">
        <v>96</v>
      </c>
      <c r="M10583">
        <v>1</v>
      </c>
      <c r="N10583">
        <v>3.6707200000000002E-35</v>
      </c>
      <c r="O10583">
        <v>372</v>
      </c>
    </row>
    <row r="10584" spans="1:15" x14ac:dyDescent="0.25">
      <c r="A10584" t="s">
        <v>10597</v>
      </c>
      <c r="B10584">
        <v>541</v>
      </c>
      <c r="C10584" s="1" t="str">
        <f>HYPERLINK("http://www.rosaceae.org/gb/gbrowse/malus_x_domestica/?name=MDP0000751972","MDP0000751972")</f>
        <v>MDP0000751972</v>
      </c>
      <c r="D10584">
        <v>56.52</v>
      </c>
      <c r="E10584">
        <v>391</v>
      </c>
      <c r="F10584">
        <v>170</v>
      </c>
      <c r="G10584">
        <v>17</v>
      </c>
      <c r="H10584">
        <v>156</v>
      </c>
      <c r="I10584">
        <v>538</v>
      </c>
      <c r="J10584">
        <v>1</v>
      </c>
      <c r="K10584">
        <v>2</v>
      </c>
      <c r="L10584">
        <v>383</v>
      </c>
      <c r="M10584">
        <v>1</v>
      </c>
      <c r="N10584">
        <v>1.3571799999999999E-118</v>
      </c>
      <c r="O10584">
        <v>1090</v>
      </c>
    </row>
    <row r="10585" spans="1:15" x14ac:dyDescent="0.25">
      <c r="A10585" t="s">
        <v>10598</v>
      </c>
      <c r="B10585">
        <v>747</v>
      </c>
      <c r="C10585" s="1" t="str">
        <f>HYPERLINK("http://www.rosaceae.org/gb/gbrowse/malus_x_domestica/?name=MDP0000211382","MDP0000211382")</f>
        <v>MDP0000211382</v>
      </c>
      <c r="D10585">
        <v>74.459999999999994</v>
      </c>
      <c r="E10585">
        <v>748</v>
      </c>
      <c r="F10585">
        <v>191</v>
      </c>
      <c r="G10585">
        <v>14</v>
      </c>
      <c r="H10585">
        <v>5</v>
      </c>
      <c r="I10585">
        <v>747</v>
      </c>
      <c r="J10585">
        <v>1</v>
      </c>
      <c r="K10585">
        <v>3</v>
      </c>
      <c r="L10585">
        <v>741</v>
      </c>
      <c r="M10585">
        <v>1</v>
      </c>
      <c r="N10585">
        <v>0</v>
      </c>
      <c r="O10585">
        <v>2835</v>
      </c>
    </row>
    <row r="10586" spans="1:15" x14ac:dyDescent="0.25">
      <c r="A10586" t="s">
        <v>10599</v>
      </c>
      <c r="B10586">
        <v>520</v>
      </c>
      <c r="C10586" s="1" t="str">
        <f>HYPERLINK("http://www.rosaceae.org/gb/gbrowse/malus_x_domestica/?name=MDP0000779831","MDP0000779831")</f>
        <v>MDP0000779831</v>
      </c>
      <c r="D10586">
        <v>37.14</v>
      </c>
      <c r="E10586">
        <v>175</v>
      </c>
      <c r="F10586">
        <v>110</v>
      </c>
      <c r="G10586">
        <v>20</v>
      </c>
      <c r="H10586">
        <v>1</v>
      </c>
      <c r="I10586">
        <v>156</v>
      </c>
      <c r="J10586">
        <v>1</v>
      </c>
      <c r="K10586">
        <v>336</v>
      </c>
      <c r="L10586">
        <v>509</v>
      </c>
      <c r="M10586">
        <v>1</v>
      </c>
      <c r="N10586">
        <v>3.7054499999999998E-22</v>
      </c>
      <c r="O10586">
        <v>258</v>
      </c>
    </row>
    <row r="10587" spans="1:15" x14ac:dyDescent="0.25">
      <c r="A10587" t="s">
        <v>10600</v>
      </c>
      <c r="B10587">
        <v>437</v>
      </c>
      <c r="C10587" s="1" t="str">
        <f>HYPERLINK("http://www.rosaceae.org/gb/gbrowse/malus_x_domestica/?name=MDP0000769656","MDP0000769656")</f>
        <v>MDP0000769656</v>
      </c>
      <c r="D10587">
        <v>54.04</v>
      </c>
      <c r="E10587">
        <v>433</v>
      </c>
      <c r="F10587">
        <v>199</v>
      </c>
      <c r="G10587">
        <v>7</v>
      </c>
      <c r="H10587">
        <v>7</v>
      </c>
      <c r="I10587">
        <v>437</v>
      </c>
      <c r="J10587">
        <v>1</v>
      </c>
      <c r="K10587">
        <v>3</v>
      </c>
      <c r="L10587">
        <v>430</v>
      </c>
      <c r="M10587">
        <v>1</v>
      </c>
      <c r="N10587">
        <v>5.0088600000000001E-124</v>
      </c>
      <c r="O10587">
        <v>1135</v>
      </c>
    </row>
    <row r="10588" spans="1:15" x14ac:dyDescent="0.25">
      <c r="A10588" t="s">
        <v>10601</v>
      </c>
      <c r="B10588">
        <v>482</v>
      </c>
      <c r="C10588" s="1" t="str">
        <f>HYPERLINK("http://www.rosaceae.org/gb/gbrowse/malus_x_domestica/?name=MDP0000239909","MDP0000239909")</f>
        <v>MDP0000239909</v>
      </c>
      <c r="D10588">
        <v>66.739999999999995</v>
      </c>
      <c r="E10588">
        <v>418</v>
      </c>
      <c r="F10588">
        <v>139</v>
      </c>
      <c r="G10588">
        <v>29</v>
      </c>
      <c r="H10588">
        <v>16</v>
      </c>
      <c r="I10588">
        <v>432</v>
      </c>
      <c r="J10588">
        <v>1</v>
      </c>
      <c r="K10588">
        <v>7</v>
      </c>
      <c r="L10588">
        <v>396</v>
      </c>
      <c r="M10588">
        <v>1</v>
      </c>
      <c r="N10588">
        <v>1.7432E-153</v>
      </c>
      <c r="O10588">
        <v>1390</v>
      </c>
    </row>
    <row r="10589" spans="1:15" x14ac:dyDescent="0.25">
      <c r="A10589" t="s">
        <v>10602</v>
      </c>
      <c r="B10589">
        <v>448</v>
      </c>
      <c r="C10589" s="1" t="str">
        <f>HYPERLINK("http://www.rosaceae.org/gb/gbrowse/malus_x_domestica/?name=MDP0000928674","MDP0000928674")</f>
        <v>MDP0000928674</v>
      </c>
      <c r="D10589">
        <v>72.25</v>
      </c>
      <c r="E10589">
        <v>501</v>
      </c>
      <c r="F10589">
        <v>139</v>
      </c>
      <c r="G10589">
        <v>53</v>
      </c>
      <c r="H10589">
        <v>1</v>
      </c>
      <c r="I10589">
        <v>448</v>
      </c>
      <c r="J10589">
        <v>1</v>
      </c>
      <c r="K10589">
        <v>1</v>
      </c>
      <c r="L10589">
        <v>501</v>
      </c>
      <c r="M10589">
        <v>1</v>
      </c>
      <c r="N10589">
        <v>0</v>
      </c>
      <c r="O10589">
        <v>1753</v>
      </c>
    </row>
    <row r="10590" spans="1:15" x14ac:dyDescent="0.25">
      <c r="A10590" t="s">
        <v>10603</v>
      </c>
      <c r="B10590">
        <v>1211</v>
      </c>
      <c r="C10590" s="1" t="str">
        <f>HYPERLINK("http://www.rosaceae.org/gb/gbrowse/malus_x_domestica/?name=MDP0000249675","MDP0000249675")</f>
        <v>MDP0000249675</v>
      </c>
      <c r="D10590">
        <v>55.58</v>
      </c>
      <c r="E10590">
        <v>815</v>
      </c>
      <c r="F10590">
        <v>362</v>
      </c>
      <c r="G10590">
        <v>40</v>
      </c>
      <c r="H10590">
        <v>420</v>
      </c>
      <c r="I10590">
        <v>1211</v>
      </c>
      <c r="J10590">
        <v>1</v>
      </c>
      <c r="K10590">
        <v>955</v>
      </c>
      <c r="L10590">
        <v>1752</v>
      </c>
      <c r="M10590">
        <v>1</v>
      </c>
      <c r="N10590">
        <v>0</v>
      </c>
      <c r="O10590">
        <v>2092</v>
      </c>
    </row>
    <row r="10591" spans="1:15" x14ac:dyDescent="0.25">
      <c r="A10591" t="s">
        <v>10604</v>
      </c>
      <c r="B10591">
        <v>351</v>
      </c>
      <c r="C10591" s="1" t="str">
        <f>HYPERLINK("http://www.rosaceae.org/gb/gbrowse/malus_x_domestica/?name=MDP0000432351","MDP0000432351")</f>
        <v>MDP0000432351</v>
      </c>
      <c r="D10591">
        <v>30.84</v>
      </c>
      <c r="E10591">
        <v>308</v>
      </c>
      <c r="F10591">
        <v>213</v>
      </c>
      <c r="G10591">
        <v>81</v>
      </c>
      <c r="H10591">
        <v>63</v>
      </c>
      <c r="I10591">
        <v>297</v>
      </c>
      <c r="J10591">
        <v>1</v>
      </c>
      <c r="K10591">
        <v>129</v>
      </c>
      <c r="L10591">
        <v>428</v>
      </c>
      <c r="M10591">
        <v>1</v>
      </c>
      <c r="N10591">
        <v>1.03942E-17</v>
      </c>
      <c r="O10591">
        <v>218</v>
      </c>
    </row>
    <row r="10592" spans="1:15" x14ac:dyDescent="0.25">
      <c r="A10592" t="s">
        <v>10605</v>
      </c>
      <c r="B10592">
        <v>194</v>
      </c>
      <c r="C10592" s="1" t="str">
        <f>HYPERLINK("http://www.rosaceae.org/gb/gbrowse/malus_x_domestica/?name=MDP0000267318","MDP0000267318")</f>
        <v>MDP0000267318</v>
      </c>
      <c r="D10592">
        <v>100</v>
      </c>
      <c r="E10592">
        <v>110</v>
      </c>
      <c r="F10592">
        <v>0</v>
      </c>
      <c r="G10592">
        <v>0</v>
      </c>
      <c r="H10592">
        <v>1</v>
      </c>
      <c r="I10592">
        <v>110</v>
      </c>
      <c r="J10592">
        <v>1</v>
      </c>
      <c r="K10592">
        <v>806</v>
      </c>
      <c r="L10592">
        <v>915</v>
      </c>
      <c r="M10592">
        <v>1</v>
      </c>
      <c r="N10592">
        <v>2.66222E-65</v>
      </c>
      <c r="O10592">
        <v>624</v>
      </c>
    </row>
    <row r="10593" spans="1:15" x14ac:dyDescent="0.25">
      <c r="A10593" t="s">
        <v>10606</v>
      </c>
      <c r="B10593">
        <v>229</v>
      </c>
      <c r="C10593" s="1" t="str">
        <f>HYPERLINK("http://www.rosaceae.org/gb/gbrowse/malus_x_domestica/?name=MDP0000231779","MDP0000231779")</f>
        <v>MDP0000231779</v>
      </c>
      <c r="D10593">
        <v>42.41</v>
      </c>
      <c r="E10593">
        <v>224</v>
      </c>
      <c r="F10593">
        <v>129</v>
      </c>
      <c r="G10593">
        <v>12</v>
      </c>
      <c r="H10593">
        <v>15</v>
      </c>
      <c r="I10593">
        <v>229</v>
      </c>
      <c r="J10593">
        <v>1</v>
      </c>
      <c r="K10593">
        <v>14</v>
      </c>
      <c r="L10593">
        <v>234</v>
      </c>
      <c r="M10593">
        <v>1</v>
      </c>
      <c r="N10593">
        <v>4.0832600000000001E-44</v>
      </c>
      <c r="O10593">
        <v>443</v>
      </c>
    </row>
    <row r="10594" spans="1:15" x14ac:dyDescent="0.25">
      <c r="A10594" t="s">
        <v>10607</v>
      </c>
      <c r="B10594">
        <v>379</v>
      </c>
      <c r="C10594" s="1" t="str">
        <f>HYPERLINK("http://www.rosaceae.org/gb/gbrowse/malus_x_domestica/?name=MDP0000601705","MDP0000601705")</f>
        <v>MDP0000601705</v>
      </c>
      <c r="D10594">
        <v>60.68</v>
      </c>
      <c r="E10594">
        <v>379</v>
      </c>
      <c r="F10594">
        <v>149</v>
      </c>
      <c r="G10594">
        <v>35</v>
      </c>
      <c r="H10594">
        <v>1</v>
      </c>
      <c r="I10594">
        <v>379</v>
      </c>
      <c r="J10594">
        <v>1</v>
      </c>
      <c r="K10594">
        <v>1</v>
      </c>
      <c r="L10594">
        <v>344</v>
      </c>
      <c r="M10594">
        <v>1</v>
      </c>
      <c r="N10594">
        <v>2.4455799999999999E-116</v>
      </c>
      <c r="O10594">
        <v>1068</v>
      </c>
    </row>
    <row r="10595" spans="1:15" x14ac:dyDescent="0.25">
      <c r="A10595" t="s">
        <v>10608</v>
      </c>
      <c r="B10595">
        <v>249</v>
      </c>
      <c r="C10595" s="1" t="str">
        <f>HYPERLINK("http://www.rosaceae.org/gb/gbrowse/malus_x_domestica/?name=MDP0000020140","MDP0000020140")</f>
        <v>MDP0000020140</v>
      </c>
      <c r="D10595">
        <v>35.29</v>
      </c>
      <c r="E10595">
        <v>136</v>
      </c>
      <c r="F10595">
        <v>88</v>
      </c>
      <c r="G10595">
        <v>4</v>
      </c>
      <c r="H10595">
        <v>46</v>
      </c>
      <c r="I10595">
        <v>178</v>
      </c>
      <c r="J10595">
        <v>1</v>
      </c>
      <c r="K10595">
        <v>587</v>
      </c>
      <c r="L10595">
        <v>721</v>
      </c>
      <c r="M10595">
        <v>1</v>
      </c>
      <c r="N10595">
        <v>1.34722E-13</v>
      </c>
      <c r="O10595">
        <v>180</v>
      </c>
    </row>
    <row r="10596" spans="1:15" x14ac:dyDescent="0.25">
      <c r="A10596" t="s">
        <v>10609</v>
      </c>
      <c r="B10596">
        <v>571</v>
      </c>
      <c r="C10596" s="1" t="str">
        <f>HYPERLINK("http://www.rosaceae.org/gb/gbrowse/malus_x_domestica/?name=MDP0000485534","MDP0000485534")</f>
        <v>MDP0000485534</v>
      </c>
      <c r="D10596">
        <v>59.74</v>
      </c>
      <c r="E10596">
        <v>554</v>
      </c>
      <c r="F10596">
        <v>223</v>
      </c>
      <c r="G10596">
        <v>81</v>
      </c>
      <c r="H10596">
        <v>1</v>
      </c>
      <c r="I10596">
        <v>552</v>
      </c>
      <c r="J10596">
        <v>1</v>
      </c>
      <c r="K10596">
        <v>122</v>
      </c>
      <c r="L10596">
        <v>596</v>
      </c>
      <c r="M10596">
        <v>1</v>
      </c>
      <c r="N10596">
        <v>1.8698199999999999E-173</v>
      </c>
      <c r="O10596">
        <v>1563</v>
      </c>
    </row>
    <row r="10597" spans="1:15" x14ac:dyDescent="0.25">
      <c r="A10597" t="s">
        <v>10610</v>
      </c>
      <c r="B10597">
        <v>90</v>
      </c>
      <c r="C10597" s="1" t="str">
        <f>HYPERLINK("http://www.rosaceae.org/gb/gbrowse/malus_x_domestica/?name=MDP0000221160","MDP0000221160")</f>
        <v>MDP0000221160</v>
      </c>
      <c r="D10597">
        <v>93.1</v>
      </c>
      <c r="E10597">
        <v>29</v>
      </c>
      <c r="F10597">
        <v>2</v>
      </c>
      <c r="G10597">
        <v>0</v>
      </c>
      <c r="H10597">
        <v>1</v>
      </c>
      <c r="I10597">
        <v>29</v>
      </c>
      <c r="J10597">
        <v>1</v>
      </c>
      <c r="K10597">
        <v>63</v>
      </c>
      <c r="L10597">
        <v>91</v>
      </c>
      <c r="M10597">
        <v>1</v>
      </c>
      <c r="N10597">
        <v>1.9081199999999998E-9</v>
      </c>
      <c r="O10597">
        <v>139</v>
      </c>
    </row>
    <row r="10598" spans="1:15" x14ac:dyDescent="0.25">
      <c r="A10598" t="s">
        <v>10611</v>
      </c>
      <c r="B10598">
        <v>178</v>
      </c>
      <c r="C10598" s="1" t="str">
        <f>HYPERLINK("http://www.rosaceae.org/gb/gbrowse/malus_x_domestica/?name=MDP0000272708","MDP0000272708")</f>
        <v>MDP0000272708</v>
      </c>
      <c r="D10598">
        <v>73.83</v>
      </c>
      <c r="E10598">
        <v>107</v>
      </c>
      <c r="F10598">
        <v>28</v>
      </c>
      <c r="G10598">
        <v>0</v>
      </c>
      <c r="H10598">
        <v>25</v>
      </c>
      <c r="I10598">
        <v>131</v>
      </c>
      <c r="J10598">
        <v>1</v>
      </c>
      <c r="K10598">
        <v>833</v>
      </c>
      <c r="L10598">
        <v>939</v>
      </c>
      <c r="M10598">
        <v>1</v>
      </c>
      <c r="N10598">
        <v>1.08748E-47</v>
      </c>
      <c r="O10598">
        <v>472</v>
      </c>
    </row>
    <row r="10599" spans="1:15" x14ac:dyDescent="0.25">
      <c r="A10599" t="s">
        <v>10612</v>
      </c>
      <c r="B10599">
        <v>426</v>
      </c>
      <c r="C10599" s="1" t="str">
        <f>HYPERLINK("http://www.rosaceae.org/gb/gbrowse/malus_x_domestica/?name=MDP0000313956","MDP0000313956")</f>
        <v>MDP0000313956</v>
      </c>
      <c r="D10599">
        <v>53.05</v>
      </c>
      <c r="E10599">
        <v>524</v>
      </c>
      <c r="F10599">
        <v>246</v>
      </c>
      <c r="G10599">
        <v>125</v>
      </c>
      <c r="H10599">
        <v>2</v>
      </c>
      <c r="I10599">
        <v>426</v>
      </c>
      <c r="J10599">
        <v>1</v>
      </c>
      <c r="K10599">
        <v>3</v>
      </c>
      <c r="L10599">
        <v>500</v>
      </c>
      <c r="M10599">
        <v>1</v>
      </c>
      <c r="N10599">
        <v>2.3708900000000001E-141</v>
      </c>
      <c r="O10599">
        <v>1285</v>
      </c>
    </row>
    <row r="10600" spans="1:15" x14ac:dyDescent="0.25">
      <c r="A10600" t="s">
        <v>10613</v>
      </c>
      <c r="B10600">
        <v>740</v>
      </c>
      <c r="C10600" s="1" t="str">
        <f>HYPERLINK("http://www.rosaceae.org/gb/gbrowse/malus_x_domestica/?name=MDP0000260367","MDP0000260367")</f>
        <v>MDP0000260367</v>
      </c>
      <c r="D10600">
        <v>75.89</v>
      </c>
      <c r="E10600">
        <v>639</v>
      </c>
      <c r="F10600">
        <v>154</v>
      </c>
      <c r="G10600">
        <v>66</v>
      </c>
      <c r="H10600">
        <v>2</v>
      </c>
      <c r="I10600">
        <v>619</v>
      </c>
      <c r="J10600">
        <v>1</v>
      </c>
      <c r="K10600">
        <v>4</v>
      </c>
      <c r="L10600">
        <v>597</v>
      </c>
      <c r="M10600">
        <v>1</v>
      </c>
      <c r="N10600">
        <v>0</v>
      </c>
      <c r="O10600">
        <v>2467</v>
      </c>
    </row>
    <row r="10601" spans="1:15" x14ac:dyDescent="0.25">
      <c r="A10601" t="s">
        <v>10614</v>
      </c>
      <c r="B10601">
        <v>152</v>
      </c>
      <c r="C10601" s="1" t="str">
        <f>HYPERLINK("http://www.rosaceae.org/gb/gbrowse/malus_x_domestica/?name=MDP0000371907","MDP0000371907")</f>
        <v>MDP0000371907</v>
      </c>
      <c r="D10601">
        <v>78.37</v>
      </c>
      <c r="E10601">
        <v>148</v>
      </c>
      <c r="F10601">
        <v>32</v>
      </c>
      <c r="G10601">
        <v>4</v>
      </c>
      <c r="H10601">
        <v>1</v>
      </c>
      <c r="I10601">
        <v>144</v>
      </c>
      <c r="J10601">
        <v>1</v>
      </c>
      <c r="K10601">
        <v>1</v>
      </c>
      <c r="L10601">
        <v>148</v>
      </c>
      <c r="M10601">
        <v>1</v>
      </c>
      <c r="N10601">
        <v>3.9848700000000001E-65</v>
      </c>
      <c r="O10601">
        <v>621</v>
      </c>
    </row>
    <row r="10602" spans="1:15" x14ac:dyDescent="0.25">
      <c r="A10602" t="s">
        <v>10615</v>
      </c>
      <c r="B10602">
        <v>273</v>
      </c>
      <c r="C10602" s="1" t="str">
        <f>HYPERLINK("http://www.rosaceae.org/gb/gbrowse/malus_x_domestica/?name=MDP0000950137","MDP0000950137")</f>
        <v>MDP0000950137</v>
      </c>
      <c r="D10602">
        <v>83.82</v>
      </c>
      <c r="E10602">
        <v>68</v>
      </c>
      <c r="F10602">
        <v>11</v>
      </c>
      <c r="G10602">
        <v>0</v>
      </c>
      <c r="H10602">
        <v>136</v>
      </c>
      <c r="I10602">
        <v>203</v>
      </c>
      <c r="J10602">
        <v>1</v>
      </c>
      <c r="K10602">
        <v>285</v>
      </c>
      <c r="L10602">
        <v>352</v>
      </c>
      <c r="M10602">
        <v>1</v>
      </c>
      <c r="N10602">
        <v>5.3561899999999998E-26</v>
      </c>
      <c r="O10602">
        <v>288</v>
      </c>
    </row>
    <row r="10603" spans="1:15" x14ac:dyDescent="0.25">
      <c r="A10603" t="s">
        <v>10616</v>
      </c>
      <c r="B10603">
        <v>139</v>
      </c>
      <c r="C10603" s="1" t="str">
        <f>HYPERLINK("http://www.rosaceae.org/gb/gbrowse/malus_x_domestica/?name=MDP0000664405","MDP0000664405")</f>
        <v>MDP0000664405</v>
      </c>
      <c r="D10603">
        <v>86.56</v>
      </c>
      <c r="E10603">
        <v>134</v>
      </c>
      <c r="F10603">
        <v>18</v>
      </c>
      <c r="G10603">
        <v>0</v>
      </c>
      <c r="H10603">
        <v>3</v>
      </c>
      <c r="I10603">
        <v>136</v>
      </c>
      <c r="J10603">
        <v>1</v>
      </c>
      <c r="K10603">
        <v>66</v>
      </c>
      <c r="L10603">
        <v>199</v>
      </c>
      <c r="M10603">
        <v>1</v>
      </c>
      <c r="N10603">
        <v>1.0194399999999999E-66</v>
      </c>
      <c r="O10603">
        <v>634</v>
      </c>
    </row>
    <row r="10604" spans="1:15" x14ac:dyDescent="0.25">
      <c r="A10604" t="s">
        <v>10617</v>
      </c>
      <c r="B10604">
        <v>377</v>
      </c>
      <c r="C10604" s="1" t="str">
        <f>HYPERLINK("http://www.rosaceae.org/gb/gbrowse/malus_x_domestica/?name=MDP0000774288","MDP0000774288")</f>
        <v>MDP0000774288</v>
      </c>
      <c r="D10604">
        <v>99.2</v>
      </c>
      <c r="E10604">
        <v>377</v>
      </c>
      <c r="F10604">
        <v>3</v>
      </c>
      <c r="G10604">
        <v>0</v>
      </c>
      <c r="H10604">
        <v>1</v>
      </c>
      <c r="I10604">
        <v>377</v>
      </c>
      <c r="J10604">
        <v>1</v>
      </c>
      <c r="K10604">
        <v>1</v>
      </c>
      <c r="L10604">
        <v>377</v>
      </c>
      <c r="M10604">
        <v>1</v>
      </c>
      <c r="N10604">
        <v>0</v>
      </c>
      <c r="O10604">
        <v>2014</v>
      </c>
    </row>
    <row r="10605" spans="1:15" x14ac:dyDescent="0.25">
      <c r="A10605" t="s">
        <v>10618</v>
      </c>
      <c r="B10605">
        <v>468</v>
      </c>
      <c r="C10605" s="1" t="str">
        <f>HYPERLINK("http://www.rosaceae.org/gb/gbrowse/malus_x_domestica/?name=MDP0000271479","MDP0000271479")</f>
        <v>MDP0000271479</v>
      </c>
      <c r="D10605">
        <v>66.53</v>
      </c>
      <c r="E10605">
        <v>251</v>
      </c>
      <c r="F10605">
        <v>84</v>
      </c>
      <c r="G10605">
        <v>23</v>
      </c>
      <c r="H10605">
        <v>240</v>
      </c>
      <c r="I10605">
        <v>468</v>
      </c>
      <c r="J10605">
        <v>1</v>
      </c>
      <c r="K10605">
        <v>116</v>
      </c>
      <c r="L10605">
        <v>365</v>
      </c>
      <c r="M10605">
        <v>1</v>
      </c>
      <c r="N10605">
        <v>2.38409E-93</v>
      </c>
      <c r="O10605">
        <v>871</v>
      </c>
    </row>
    <row r="10606" spans="1:15" x14ac:dyDescent="0.25">
      <c r="A10606" t="s">
        <v>10619</v>
      </c>
      <c r="B10606">
        <v>260</v>
      </c>
      <c r="C10606" s="1" t="str">
        <f>HYPERLINK("http://www.rosaceae.org/gb/gbrowse/malus_x_domestica/?name=MDP0000159955","MDP0000159955")</f>
        <v>MDP0000159955</v>
      </c>
      <c r="D10606">
        <v>39.81</v>
      </c>
      <c r="E10606">
        <v>216</v>
      </c>
      <c r="F10606">
        <v>130</v>
      </c>
      <c r="G10606">
        <v>9</v>
      </c>
      <c r="H10606">
        <v>1</v>
      </c>
      <c r="I10606">
        <v>210</v>
      </c>
      <c r="J10606">
        <v>1</v>
      </c>
      <c r="K10606">
        <v>308</v>
      </c>
      <c r="L10606">
        <v>520</v>
      </c>
      <c r="M10606">
        <v>1</v>
      </c>
      <c r="N10606">
        <v>5.7126600000000001E-26</v>
      </c>
      <c r="O10606">
        <v>287</v>
      </c>
    </row>
    <row r="10607" spans="1:15" x14ac:dyDescent="0.25">
      <c r="A10607" t="s">
        <v>10620</v>
      </c>
      <c r="B10607">
        <v>251</v>
      </c>
      <c r="C10607" s="1" t="str">
        <f>HYPERLINK("http://www.rosaceae.org/gb/gbrowse/malus_x_domestica/?name=MDP0000451569","MDP0000451569")</f>
        <v>MDP0000451569</v>
      </c>
      <c r="D10607">
        <v>53.81</v>
      </c>
      <c r="E10607">
        <v>223</v>
      </c>
      <c r="F10607">
        <v>103</v>
      </c>
      <c r="G10607">
        <v>41</v>
      </c>
      <c r="H10607">
        <v>1</v>
      </c>
      <c r="I10607">
        <v>223</v>
      </c>
      <c r="J10607">
        <v>1</v>
      </c>
      <c r="K10607">
        <v>13</v>
      </c>
      <c r="L10607">
        <v>194</v>
      </c>
      <c r="M10607">
        <v>1</v>
      </c>
      <c r="N10607">
        <v>3.1357799999999999E-52</v>
      </c>
      <c r="O10607">
        <v>513</v>
      </c>
    </row>
    <row r="10608" spans="1:15" x14ac:dyDescent="0.25">
      <c r="A10608" t="s">
        <v>10621</v>
      </c>
      <c r="B10608">
        <v>204</v>
      </c>
      <c r="C10608" s="1" t="str">
        <f>HYPERLINK("http://www.rosaceae.org/gb/gbrowse/malus_x_domestica/?name=MDP0000270108","MDP0000270108")</f>
        <v>MDP0000270108</v>
      </c>
      <c r="D10608">
        <v>63.24</v>
      </c>
      <c r="E10608">
        <v>185</v>
      </c>
      <c r="F10608">
        <v>68</v>
      </c>
      <c r="G10608">
        <v>2</v>
      </c>
      <c r="H10608">
        <v>20</v>
      </c>
      <c r="I10608">
        <v>204</v>
      </c>
      <c r="J10608">
        <v>1</v>
      </c>
      <c r="K10608">
        <v>29</v>
      </c>
      <c r="L10608">
        <v>211</v>
      </c>
      <c r="M10608">
        <v>1</v>
      </c>
      <c r="N10608">
        <v>6.9133199999999996E-63</v>
      </c>
      <c r="O10608">
        <v>604</v>
      </c>
    </row>
    <row r="10609" spans="1:15" x14ac:dyDescent="0.25">
      <c r="A10609" t="s">
        <v>10622</v>
      </c>
      <c r="B10609">
        <v>587</v>
      </c>
      <c r="C10609" s="1" t="str">
        <f>HYPERLINK("http://www.rosaceae.org/gb/gbrowse/malus_x_domestica/?name=MDP0000868782","MDP0000868782")</f>
        <v>MDP0000868782</v>
      </c>
      <c r="D10609">
        <v>74.28</v>
      </c>
      <c r="E10609">
        <v>556</v>
      </c>
      <c r="F10609">
        <v>143</v>
      </c>
      <c r="G10609">
        <v>4</v>
      </c>
      <c r="H10609">
        <v>32</v>
      </c>
      <c r="I10609">
        <v>587</v>
      </c>
      <c r="J10609">
        <v>1</v>
      </c>
      <c r="K10609">
        <v>34</v>
      </c>
      <c r="L10609">
        <v>585</v>
      </c>
      <c r="M10609">
        <v>1</v>
      </c>
      <c r="N10609">
        <v>0</v>
      </c>
      <c r="O10609">
        <v>2154</v>
      </c>
    </row>
    <row r="10610" spans="1:15" x14ac:dyDescent="0.25">
      <c r="A10610" t="s">
        <v>10623</v>
      </c>
      <c r="B10610">
        <v>352</v>
      </c>
      <c r="C10610" s="1" t="str">
        <f>HYPERLINK("http://www.rosaceae.org/gb/gbrowse/malus_x_domestica/?name=MDP0000847579","MDP0000847579")</f>
        <v>MDP0000847579</v>
      </c>
      <c r="D10610">
        <v>36.26</v>
      </c>
      <c r="E10610">
        <v>273</v>
      </c>
      <c r="F10610">
        <v>174</v>
      </c>
      <c r="G10610">
        <v>75</v>
      </c>
      <c r="H10610">
        <v>73</v>
      </c>
      <c r="I10610">
        <v>306</v>
      </c>
      <c r="J10610">
        <v>1</v>
      </c>
      <c r="K10610">
        <v>58</v>
      </c>
      <c r="L10610">
        <v>294</v>
      </c>
      <c r="M10610">
        <v>1</v>
      </c>
      <c r="N10610">
        <v>3.6075300000000002E-27</v>
      </c>
      <c r="O10610">
        <v>299</v>
      </c>
    </row>
    <row r="10611" spans="1:15" x14ac:dyDescent="0.25">
      <c r="A10611" t="s">
        <v>10624</v>
      </c>
      <c r="B10611">
        <v>824</v>
      </c>
      <c r="C10611" s="1" t="str">
        <f>HYPERLINK("http://www.rosaceae.org/gb/gbrowse/malus_x_domestica/?name=MDP0000239523","MDP0000239523")</f>
        <v>MDP0000239523</v>
      </c>
      <c r="D10611">
        <v>72.77</v>
      </c>
      <c r="E10611">
        <v>819</v>
      </c>
      <c r="F10611">
        <v>223</v>
      </c>
      <c r="G10611">
        <v>37</v>
      </c>
      <c r="H10611">
        <v>23</v>
      </c>
      <c r="I10611">
        <v>824</v>
      </c>
      <c r="J10611">
        <v>1</v>
      </c>
      <c r="K10611">
        <v>23</v>
      </c>
      <c r="L10611">
        <v>821</v>
      </c>
      <c r="M10611">
        <v>1</v>
      </c>
      <c r="N10611">
        <v>0</v>
      </c>
      <c r="O10611">
        <v>2925</v>
      </c>
    </row>
    <row r="10612" spans="1:15" x14ac:dyDescent="0.25">
      <c r="A10612" t="s">
        <v>10625</v>
      </c>
      <c r="B10612">
        <v>332</v>
      </c>
      <c r="C10612" s="1" t="str">
        <f>HYPERLINK("http://www.rosaceae.org/gb/gbrowse/malus_x_domestica/?name=MDP0000184490","MDP0000184490")</f>
        <v>MDP0000184490</v>
      </c>
      <c r="D10612">
        <v>45.29</v>
      </c>
      <c r="E10612">
        <v>223</v>
      </c>
      <c r="F10612">
        <v>122</v>
      </c>
      <c r="G10612">
        <v>43</v>
      </c>
      <c r="H10612">
        <v>149</v>
      </c>
      <c r="I10612">
        <v>330</v>
      </c>
      <c r="J10612">
        <v>1</v>
      </c>
      <c r="K10612">
        <v>365</v>
      </c>
      <c r="L10612">
        <v>585</v>
      </c>
      <c r="M10612">
        <v>1</v>
      </c>
      <c r="N10612">
        <v>1.4095099999999999E-43</v>
      </c>
      <c r="O10612">
        <v>440</v>
      </c>
    </row>
    <row r="10613" spans="1:15" x14ac:dyDescent="0.25">
      <c r="A10613" t="s">
        <v>10626</v>
      </c>
      <c r="B10613">
        <v>375</v>
      </c>
      <c r="C10613" s="1" t="str">
        <f>HYPERLINK("http://www.rosaceae.org/gb/gbrowse/malus_x_domestica/?name=MDP0000183142","MDP0000183142")</f>
        <v>MDP0000183142</v>
      </c>
      <c r="D10613">
        <v>71</v>
      </c>
      <c r="E10613">
        <v>100</v>
      </c>
      <c r="F10613">
        <v>29</v>
      </c>
      <c r="G10613">
        <v>2</v>
      </c>
      <c r="H10613">
        <v>7</v>
      </c>
      <c r="I10613">
        <v>104</v>
      </c>
      <c r="J10613">
        <v>1</v>
      </c>
      <c r="K10613">
        <v>145</v>
      </c>
      <c r="L10613">
        <v>244</v>
      </c>
      <c r="M10613">
        <v>1</v>
      </c>
      <c r="N10613">
        <v>9.0752800000000001E-32</v>
      </c>
      <c r="O10613">
        <v>339</v>
      </c>
    </row>
    <row r="10614" spans="1:15" x14ac:dyDescent="0.25">
      <c r="A10614" t="s">
        <v>10627</v>
      </c>
      <c r="B10614">
        <v>268</v>
      </c>
      <c r="C10614" s="1" t="str">
        <f>HYPERLINK("http://www.rosaceae.org/gb/gbrowse/malus_x_domestica/?name=MDP0000206199","MDP0000206199")</f>
        <v>MDP0000206199</v>
      </c>
      <c r="D10614">
        <v>35.18</v>
      </c>
      <c r="E10614">
        <v>162</v>
      </c>
      <c r="F10614">
        <v>105</v>
      </c>
      <c r="G10614">
        <v>20</v>
      </c>
      <c r="H10614">
        <v>6</v>
      </c>
      <c r="I10614">
        <v>148</v>
      </c>
      <c r="J10614">
        <v>1</v>
      </c>
      <c r="K10614">
        <v>9</v>
      </c>
      <c r="L10614">
        <v>169</v>
      </c>
      <c r="M10614">
        <v>1</v>
      </c>
      <c r="N10614">
        <v>4.2584599999999997E-24</v>
      </c>
      <c r="O10614">
        <v>271</v>
      </c>
    </row>
    <row r="10615" spans="1:15" x14ac:dyDescent="0.25">
      <c r="A10615" t="s">
        <v>10628</v>
      </c>
      <c r="B10615">
        <v>474</v>
      </c>
      <c r="C10615" s="1" t="str">
        <f>HYPERLINK("http://www.rosaceae.org/gb/gbrowse/malus_x_domestica/?name=MDP0000498527","MDP0000498527")</f>
        <v>MDP0000498527</v>
      </c>
      <c r="D10615">
        <v>29.47</v>
      </c>
      <c r="E10615">
        <v>173</v>
      </c>
      <c r="F10615">
        <v>122</v>
      </c>
      <c r="G10615">
        <v>5</v>
      </c>
      <c r="H10615">
        <v>60</v>
      </c>
      <c r="I10615">
        <v>231</v>
      </c>
      <c r="J10615">
        <v>1</v>
      </c>
      <c r="K10615">
        <v>177</v>
      </c>
      <c r="L10615">
        <v>345</v>
      </c>
      <c r="M10615">
        <v>1</v>
      </c>
      <c r="N10615">
        <v>1.6339800000000001E-14</v>
      </c>
      <c r="O10615">
        <v>191</v>
      </c>
    </row>
    <row r="10616" spans="1:15" x14ac:dyDescent="0.25">
      <c r="A10616" t="s">
        <v>10629</v>
      </c>
      <c r="B10616">
        <v>1051</v>
      </c>
      <c r="C10616" s="1" t="str">
        <f>HYPERLINK("http://www.rosaceae.org/gb/gbrowse/malus_x_domestica/?name=MDP0000279892","MDP0000279892")</f>
        <v>MDP0000279892</v>
      </c>
      <c r="D10616">
        <v>73.52</v>
      </c>
      <c r="E10616">
        <v>544</v>
      </c>
      <c r="F10616">
        <v>144</v>
      </c>
      <c r="G10616">
        <v>14</v>
      </c>
      <c r="H10616">
        <v>491</v>
      </c>
      <c r="I10616">
        <v>1027</v>
      </c>
      <c r="J10616">
        <v>1</v>
      </c>
      <c r="K10616">
        <v>923</v>
      </c>
      <c r="L10616">
        <v>1459</v>
      </c>
      <c r="M10616">
        <v>1</v>
      </c>
      <c r="N10616">
        <v>0</v>
      </c>
      <c r="O10616">
        <v>2015</v>
      </c>
    </row>
    <row r="10617" spans="1:15" x14ac:dyDescent="0.25">
      <c r="A10617" t="s">
        <v>10630</v>
      </c>
      <c r="B10617">
        <v>279</v>
      </c>
      <c r="C10617" s="1" t="str">
        <f>HYPERLINK("http://www.rosaceae.org/gb/gbrowse/malus_x_domestica/?name=MDP0000198394","MDP0000198394")</f>
        <v>MDP0000198394</v>
      </c>
      <c r="D10617">
        <v>38.99</v>
      </c>
      <c r="E10617">
        <v>259</v>
      </c>
      <c r="F10617">
        <v>158</v>
      </c>
      <c r="G10617">
        <v>17</v>
      </c>
      <c r="H10617">
        <v>1</v>
      </c>
      <c r="I10617">
        <v>245</v>
      </c>
      <c r="J10617">
        <v>1</v>
      </c>
      <c r="K10617">
        <v>535</v>
      </c>
      <c r="L10617">
        <v>790</v>
      </c>
      <c r="M10617">
        <v>1</v>
      </c>
      <c r="N10617">
        <v>1.71746E-39</v>
      </c>
      <c r="O10617">
        <v>404</v>
      </c>
    </row>
    <row r="10618" spans="1:15" x14ac:dyDescent="0.25">
      <c r="A10618" t="s">
        <v>10631</v>
      </c>
      <c r="B10618">
        <v>642</v>
      </c>
      <c r="C10618" s="1" t="str">
        <f>HYPERLINK("http://www.rosaceae.org/gb/gbrowse/malus_x_domestica/?name=MDP0000473750","MDP0000473750")</f>
        <v>MDP0000473750</v>
      </c>
      <c r="D10618">
        <v>68.06</v>
      </c>
      <c r="E10618">
        <v>620</v>
      </c>
      <c r="F10618">
        <v>198</v>
      </c>
      <c r="G10618">
        <v>8</v>
      </c>
      <c r="H10618">
        <v>1</v>
      </c>
      <c r="I10618">
        <v>620</v>
      </c>
      <c r="J10618">
        <v>1</v>
      </c>
      <c r="K10618">
        <v>1</v>
      </c>
      <c r="L10618">
        <v>612</v>
      </c>
      <c r="M10618">
        <v>1</v>
      </c>
      <c r="N10618">
        <v>0</v>
      </c>
      <c r="O10618">
        <v>2141</v>
      </c>
    </row>
    <row r="10619" spans="1:15" x14ac:dyDescent="0.25">
      <c r="A10619" t="s">
        <v>10632</v>
      </c>
      <c r="B10619">
        <v>494</v>
      </c>
      <c r="C10619" s="1" t="str">
        <f>HYPERLINK("http://www.rosaceae.org/gb/gbrowse/malus_x_domestica/?name=MDP0000290494","MDP0000290494")</f>
        <v>MDP0000290494</v>
      </c>
      <c r="D10619">
        <v>82.64</v>
      </c>
      <c r="E10619">
        <v>409</v>
      </c>
      <c r="F10619">
        <v>71</v>
      </c>
      <c r="G10619">
        <v>4</v>
      </c>
      <c r="H10619">
        <v>3</v>
      </c>
      <c r="I10619">
        <v>411</v>
      </c>
      <c r="J10619">
        <v>1</v>
      </c>
      <c r="K10619">
        <v>2</v>
      </c>
      <c r="L10619">
        <v>406</v>
      </c>
      <c r="M10619">
        <v>1</v>
      </c>
      <c r="N10619">
        <v>0</v>
      </c>
      <c r="O10619">
        <v>1831</v>
      </c>
    </row>
    <row r="10620" spans="1:15" x14ac:dyDescent="0.25">
      <c r="A10620" t="s">
        <v>10633</v>
      </c>
      <c r="B10620">
        <v>381</v>
      </c>
      <c r="C10620" s="1" t="str">
        <f>HYPERLINK("http://www.rosaceae.org/gb/gbrowse/malus_x_domestica/?name=MDP0000312342","MDP0000312342")</f>
        <v>MDP0000312342</v>
      </c>
      <c r="D10620">
        <v>37.92</v>
      </c>
      <c r="E10620">
        <v>356</v>
      </c>
      <c r="F10620">
        <v>221</v>
      </c>
      <c r="G10620">
        <v>42</v>
      </c>
      <c r="H10620">
        <v>30</v>
      </c>
      <c r="I10620">
        <v>366</v>
      </c>
      <c r="J10620">
        <v>1</v>
      </c>
      <c r="K10620">
        <v>12</v>
      </c>
      <c r="L10620">
        <v>344</v>
      </c>
      <c r="M10620">
        <v>1</v>
      </c>
      <c r="N10620">
        <v>2.9458000000000001E-46</v>
      </c>
      <c r="O10620">
        <v>464</v>
      </c>
    </row>
    <row r="10621" spans="1:15" x14ac:dyDescent="0.25">
      <c r="A10621" t="s">
        <v>10634</v>
      </c>
      <c r="B10621">
        <v>133</v>
      </c>
      <c r="C10621" s="1" t="str">
        <f>HYPERLINK("http://www.rosaceae.org/gb/gbrowse/malus_x_domestica/?name=MDP0000208709","MDP0000208709")</f>
        <v>MDP0000208709</v>
      </c>
      <c r="D10621">
        <v>90.97</v>
      </c>
      <c r="E10621">
        <v>133</v>
      </c>
      <c r="F10621">
        <v>12</v>
      </c>
      <c r="G10621">
        <v>0</v>
      </c>
      <c r="H10621">
        <v>1</v>
      </c>
      <c r="I10621">
        <v>133</v>
      </c>
      <c r="J10621">
        <v>1</v>
      </c>
      <c r="K10621">
        <v>1</v>
      </c>
      <c r="L10621">
        <v>133</v>
      </c>
      <c r="M10621">
        <v>1</v>
      </c>
      <c r="N10621">
        <v>7.6531599999999999E-67</v>
      </c>
      <c r="O10621">
        <v>635</v>
      </c>
    </row>
    <row r="10622" spans="1:15" x14ac:dyDescent="0.25">
      <c r="A10622" t="s">
        <v>10635</v>
      </c>
      <c r="B10622">
        <v>395</v>
      </c>
      <c r="C10622" s="1" t="str">
        <f>HYPERLINK("http://www.rosaceae.org/gb/gbrowse/malus_x_domestica/?name=MDP0000161033","MDP0000161033")</f>
        <v>MDP0000161033</v>
      </c>
      <c r="D10622">
        <v>53.57</v>
      </c>
      <c r="E10622">
        <v>56</v>
      </c>
      <c r="F10622">
        <v>26</v>
      </c>
      <c r="G10622">
        <v>0</v>
      </c>
      <c r="H10622">
        <v>184</v>
      </c>
      <c r="I10622">
        <v>239</v>
      </c>
      <c r="J10622">
        <v>1</v>
      </c>
      <c r="K10622">
        <v>78</v>
      </c>
      <c r="L10622">
        <v>133</v>
      </c>
      <c r="M10622">
        <v>1</v>
      </c>
      <c r="N10622">
        <v>2.13136E-13</v>
      </c>
      <c r="O10622">
        <v>181</v>
      </c>
    </row>
    <row r="10623" spans="1:15" x14ac:dyDescent="0.25">
      <c r="A10623" t="s">
        <v>10636</v>
      </c>
      <c r="B10623">
        <v>371</v>
      </c>
      <c r="C10623" s="1" t="str">
        <f>HYPERLINK("http://www.rosaceae.org/gb/gbrowse/malus_x_domestica/?name=MDP0000259616","MDP0000259616")</f>
        <v>MDP0000259616</v>
      </c>
      <c r="D10623">
        <v>64.150000000000006</v>
      </c>
      <c r="E10623">
        <v>159</v>
      </c>
      <c r="F10623">
        <v>57</v>
      </c>
      <c r="G10623">
        <v>25</v>
      </c>
      <c r="H10623">
        <v>1</v>
      </c>
      <c r="I10623">
        <v>159</v>
      </c>
      <c r="J10623">
        <v>1</v>
      </c>
      <c r="K10623">
        <v>1</v>
      </c>
      <c r="L10623">
        <v>134</v>
      </c>
      <c r="M10623">
        <v>1</v>
      </c>
      <c r="N10623">
        <v>7.4539400000000007E-55</v>
      </c>
      <c r="O10623">
        <v>538</v>
      </c>
    </row>
    <row r="10624" spans="1:15" x14ac:dyDescent="0.25">
      <c r="A10624" t="s">
        <v>10637</v>
      </c>
      <c r="B10624">
        <v>179</v>
      </c>
      <c r="C10624" s="1" t="str">
        <f>HYPERLINK("http://www.rosaceae.org/gb/gbrowse/malus_x_domestica/?name=MDP0000303291","MDP0000303291")</f>
        <v>MDP0000303291</v>
      </c>
      <c r="D10624">
        <v>71.72</v>
      </c>
      <c r="E10624">
        <v>145</v>
      </c>
      <c r="F10624">
        <v>41</v>
      </c>
      <c r="G10624">
        <v>25</v>
      </c>
      <c r="H10624">
        <v>1</v>
      </c>
      <c r="I10624">
        <v>120</v>
      </c>
      <c r="J10624">
        <v>1</v>
      </c>
      <c r="K10624">
        <v>41</v>
      </c>
      <c r="L10624">
        <v>185</v>
      </c>
      <c r="M10624">
        <v>1</v>
      </c>
      <c r="N10624">
        <v>3.2532800000000002E-51</v>
      </c>
      <c r="O10624">
        <v>502</v>
      </c>
    </row>
    <row r="10625" spans="1:15" x14ac:dyDescent="0.25">
      <c r="A10625" t="s">
        <v>10638</v>
      </c>
      <c r="B10625">
        <v>480</v>
      </c>
      <c r="C10625" s="1" t="str">
        <f>HYPERLINK("http://www.rosaceae.org/gb/gbrowse/malus_x_domestica/?name=MDP0000241635","MDP0000241635")</f>
        <v>MDP0000241635</v>
      </c>
      <c r="D10625">
        <v>42.04</v>
      </c>
      <c r="E10625">
        <v>283</v>
      </c>
      <c r="F10625">
        <v>164</v>
      </c>
      <c r="G10625">
        <v>29</v>
      </c>
      <c r="H10625">
        <v>3</v>
      </c>
      <c r="I10625">
        <v>259</v>
      </c>
      <c r="J10625">
        <v>1</v>
      </c>
      <c r="K10625">
        <v>185</v>
      </c>
      <c r="L10625">
        <v>464</v>
      </c>
      <c r="M10625">
        <v>1</v>
      </c>
      <c r="N10625">
        <v>6.5092700000000001E-51</v>
      </c>
      <c r="O10625">
        <v>505</v>
      </c>
    </row>
    <row r="10626" spans="1:15" x14ac:dyDescent="0.25">
      <c r="A10626" t="s">
        <v>10639</v>
      </c>
      <c r="B10626">
        <v>201</v>
      </c>
      <c r="C10626" s="1" t="str">
        <f>HYPERLINK("http://www.rosaceae.org/gb/gbrowse/malus_x_domestica/?name=MDP0000732600","MDP0000732600")</f>
        <v>MDP0000732600</v>
      </c>
      <c r="D10626">
        <v>67.75</v>
      </c>
      <c r="E10626">
        <v>214</v>
      </c>
      <c r="F10626">
        <v>69</v>
      </c>
      <c r="G10626">
        <v>31</v>
      </c>
      <c r="H10626">
        <v>1</v>
      </c>
      <c r="I10626">
        <v>183</v>
      </c>
      <c r="J10626">
        <v>1</v>
      </c>
      <c r="K10626">
        <v>1</v>
      </c>
      <c r="L10626">
        <v>214</v>
      </c>
      <c r="M10626">
        <v>1</v>
      </c>
      <c r="N10626">
        <v>8.14003E-79</v>
      </c>
      <c r="O10626">
        <v>741</v>
      </c>
    </row>
    <row r="10627" spans="1:15" x14ac:dyDescent="0.25">
      <c r="A10627" t="s">
        <v>10640</v>
      </c>
      <c r="B10627">
        <v>269</v>
      </c>
      <c r="C10627" s="1" t="str">
        <f>HYPERLINK("http://www.rosaceae.org/gb/gbrowse/malus_x_domestica/?name=MDP0000874708","MDP0000874708")</f>
        <v>MDP0000874708</v>
      </c>
      <c r="D10627">
        <v>81.39</v>
      </c>
      <c r="E10627">
        <v>172</v>
      </c>
      <c r="F10627">
        <v>32</v>
      </c>
      <c r="G10627">
        <v>4</v>
      </c>
      <c r="H10627">
        <v>102</v>
      </c>
      <c r="I10627">
        <v>269</v>
      </c>
      <c r="J10627">
        <v>1</v>
      </c>
      <c r="K10627">
        <v>1</v>
      </c>
      <c r="L10627">
        <v>172</v>
      </c>
      <c r="M10627">
        <v>1</v>
      </c>
      <c r="N10627">
        <v>9.5594100000000002E-76</v>
      </c>
      <c r="O10627">
        <v>717</v>
      </c>
    </row>
    <row r="10628" spans="1:15" x14ac:dyDescent="0.25">
      <c r="A10628" t="s">
        <v>10641</v>
      </c>
      <c r="B10628">
        <v>200</v>
      </c>
      <c r="C10628" s="1" t="str">
        <f>HYPERLINK("http://www.rosaceae.org/gb/gbrowse/malus_x_domestica/?name=MDP0000176768","MDP0000176768")</f>
        <v>MDP0000176768</v>
      </c>
      <c r="D10628">
        <v>38.950000000000003</v>
      </c>
      <c r="E10628">
        <v>172</v>
      </c>
      <c r="F10628">
        <v>105</v>
      </c>
      <c r="G10628">
        <v>14</v>
      </c>
      <c r="H10628">
        <v>11</v>
      </c>
      <c r="I10628">
        <v>178</v>
      </c>
      <c r="J10628">
        <v>1</v>
      </c>
      <c r="K10628">
        <v>13</v>
      </c>
      <c r="L10628">
        <v>174</v>
      </c>
      <c r="M10628">
        <v>1</v>
      </c>
      <c r="N10628">
        <v>1.1631400000000001E-22</v>
      </c>
      <c r="O10628">
        <v>257</v>
      </c>
    </row>
    <row r="10629" spans="1:15" x14ac:dyDescent="0.25">
      <c r="A10629" t="s">
        <v>10642</v>
      </c>
      <c r="B10629">
        <v>175</v>
      </c>
      <c r="C10629" s="1" t="str">
        <f>HYPERLINK("http://www.rosaceae.org/gb/gbrowse/malus_x_domestica/?name=MDP0000850418","MDP0000850418")</f>
        <v>MDP0000850418</v>
      </c>
      <c r="D10629">
        <v>79.48</v>
      </c>
      <c r="E10629">
        <v>39</v>
      </c>
      <c r="F10629">
        <v>8</v>
      </c>
      <c r="G10629">
        <v>0</v>
      </c>
      <c r="H10629">
        <v>1</v>
      </c>
      <c r="I10629">
        <v>39</v>
      </c>
      <c r="J10629">
        <v>1</v>
      </c>
      <c r="K10629">
        <v>149</v>
      </c>
      <c r="L10629">
        <v>187</v>
      </c>
      <c r="M10629">
        <v>1</v>
      </c>
      <c r="N10629">
        <v>1.4052499999999999E-10</v>
      </c>
      <c r="O10629">
        <v>152</v>
      </c>
    </row>
    <row r="10630" spans="1:15" x14ac:dyDescent="0.25">
      <c r="A10630" t="s">
        <v>10643</v>
      </c>
      <c r="B10630">
        <v>248</v>
      </c>
      <c r="C10630" s="1" t="str">
        <f>HYPERLINK("http://www.rosaceae.org/gb/gbrowse/malus_x_domestica/?name=MDP0000656661","MDP0000656661")</f>
        <v>MDP0000656661</v>
      </c>
      <c r="D10630">
        <v>61.15</v>
      </c>
      <c r="E10630">
        <v>139</v>
      </c>
      <c r="F10630">
        <v>54</v>
      </c>
      <c r="G10630">
        <v>2</v>
      </c>
      <c r="H10630">
        <v>107</v>
      </c>
      <c r="I10630">
        <v>245</v>
      </c>
      <c r="J10630">
        <v>1</v>
      </c>
      <c r="K10630">
        <v>176</v>
      </c>
      <c r="L10630">
        <v>312</v>
      </c>
      <c r="M10630">
        <v>1</v>
      </c>
      <c r="N10630">
        <v>9.6001100000000003E-37</v>
      </c>
      <c r="O10630">
        <v>380</v>
      </c>
    </row>
    <row r="10631" spans="1:15" x14ac:dyDescent="0.25">
      <c r="A10631" t="s">
        <v>10644</v>
      </c>
      <c r="B10631">
        <v>572</v>
      </c>
      <c r="C10631" s="1" t="str">
        <f>HYPERLINK("http://www.rosaceae.org/gb/gbrowse/malus_x_domestica/?name=MDP0000196815","MDP0000196815")</f>
        <v>MDP0000196815</v>
      </c>
      <c r="D10631">
        <v>76.81</v>
      </c>
      <c r="E10631">
        <v>591</v>
      </c>
      <c r="F10631">
        <v>137</v>
      </c>
      <c r="G10631">
        <v>27</v>
      </c>
      <c r="H10631">
        <v>1</v>
      </c>
      <c r="I10631">
        <v>571</v>
      </c>
      <c r="J10631">
        <v>1</v>
      </c>
      <c r="K10631">
        <v>1</v>
      </c>
      <c r="L10631">
        <v>584</v>
      </c>
      <c r="M10631">
        <v>1</v>
      </c>
      <c r="N10631">
        <v>0</v>
      </c>
      <c r="O10631">
        <v>2299</v>
      </c>
    </row>
    <row r="10632" spans="1:15" x14ac:dyDescent="0.25">
      <c r="A10632" t="s">
        <v>10645</v>
      </c>
      <c r="B10632">
        <v>1859</v>
      </c>
      <c r="C10632" s="1" t="str">
        <f>HYPERLINK("http://www.rosaceae.org/gb/gbrowse/malus_x_domestica/?name=MDP0000848218","MDP0000848218")</f>
        <v>MDP0000848218</v>
      </c>
      <c r="D10632">
        <v>71.72</v>
      </c>
      <c r="E10632">
        <v>1860</v>
      </c>
      <c r="F10632">
        <v>526</v>
      </c>
      <c r="G10632">
        <v>14</v>
      </c>
      <c r="H10632">
        <v>1</v>
      </c>
      <c r="I10632">
        <v>1855</v>
      </c>
      <c r="J10632">
        <v>1</v>
      </c>
      <c r="K10632">
        <v>34</v>
      </c>
      <c r="L10632">
        <v>1884</v>
      </c>
      <c r="M10632">
        <v>1</v>
      </c>
      <c r="N10632">
        <v>0</v>
      </c>
      <c r="O10632">
        <v>7006</v>
      </c>
    </row>
    <row r="10633" spans="1:15" x14ac:dyDescent="0.25">
      <c r="A10633" t="s">
        <v>10646</v>
      </c>
      <c r="B10633">
        <v>276</v>
      </c>
      <c r="C10633" s="1" t="str">
        <f>HYPERLINK("http://www.rosaceae.org/gb/gbrowse/malus_x_domestica/?name=MDP0000199052","MDP0000199052")</f>
        <v>MDP0000199052</v>
      </c>
      <c r="D10633">
        <v>73.42</v>
      </c>
      <c r="E10633">
        <v>301</v>
      </c>
      <c r="F10633">
        <v>80</v>
      </c>
      <c r="G10633">
        <v>39</v>
      </c>
      <c r="H10633">
        <v>1</v>
      </c>
      <c r="I10633">
        <v>265</v>
      </c>
      <c r="J10633">
        <v>1</v>
      </c>
      <c r="K10633">
        <v>1</v>
      </c>
      <c r="L10633">
        <v>298</v>
      </c>
      <c r="M10633">
        <v>1</v>
      </c>
      <c r="N10633">
        <v>1.8223099999999999E-121</v>
      </c>
      <c r="O10633">
        <v>1111</v>
      </c>
    </row>
    <row r="10634" spans="1:15" x14ac:dyDescent="0.25">
      <c r="A10634" t="s">
        <v>10647</v>
      </c>
      <c r="B10634">
        <v>131</v>
      </c>
      <c r="C10634" s="1" t="str">
        <f>HYPERLINK("http://www.rosaceae.org/gb/gbrowse/malus_x_domestica/?name=MDP0000902360","MDP0000902360")</f>
        <v>MDP0000902360</v>
      </c>
      <c r="D10634">
        <v>48.23</v>
      </c>
      <c r="E10634">
        <v>85</v>
      </c>
      <c r="F10634">
        <v>44</v>
      </c>
      <c r="G10634">
        <v>9</v>
      </c>
      <c r="H10634">
        <v>55</v>
      </c>
      <c r="I10634">
        <v>130</v>
      </c>
      <c r="J10634">
        <v>1</v>
      </c>
      <c r="K10634">
        <v>61</v>
      </c>
      <c r="L10634">
        <v>145</v>
      </c>
      <c r="M10634">
        <v>1</v>
      </c>
      <c r="N10634">
        <v>3.0518399999999999E-15</v>
      </c>
      <c r="O10634">
        <v>189</v>
      </c>
    </row>
    <row r="10635" spans="1:15" x14ac:dyDescent="0.25">
      <c r="A10635" t="s">
        <v>10648</v>
      </c>
      <c r="B10635">
        <v>739</v>
      </c>
      <c r="C10635" s="1" t="str">
        <f>HYPERLINK("http://www.rosaceae.org/gb/gbrowse/malus_x_domestica/?name=MDP0000275723","MDP0000275723")</f>
        <v>MDP0000275723</v>
      </c>
      <c r="D10635">
        <v>47.76</v>
      </c>
      <c r="E10635">
        <v>739</v>
      </c>
      <c r="F10635">
        <v>386</v>
      </c>
      <c r="G10635">
        <v>89</v>
      </c>
      <c r="H10635">
        <v>1</v>
      </c>
      <c r="I10635">
        <v>683</v>
      </c>
      <c r="J10635">
        <v>1</v>
      </c>
      <c r="K10635">
        <v>1</v>
      </c>
      <c r="L10635">
        <v>706</v>
      </c>
      <c r="M10635">
        <v>1</v>
      </c>
      <c r="N10635">
        <v>1.60789E-172</v>
      </c>
      <c r="O10635">
        <v>1556</v>
      </c>
    </row>
    <row r="10636" spans="1:15" x14ac:dyDescent="0.25">
      <c r="A10636" t="s">
        <v>10649</v>
      </c>
      <c r="B10636">
        <v>203</v>
      </c>
      <c r="C10636" s="1" t="str">
        <f>HYPERLINK("http://www.rosaceae.org/gb/gbrowse/malus_x_domestica/?name=MDP0000132567","MDP0000132567")</f>
        <v>MDP0000132567</v>
      </c>
      <c r="D10636">
        <v>75.28</v>
      </c>
      <c r="E10636">
        <v>178</v>
      </c>
      <c r="F10636">
        <v>44</v>
      </c>
      <c r="G10636">
        <v>0</v>
      </c>
      <c r="H10636">
        <v>26</v>
      </c>
      <c r="I10636">
        <v>203</v>
      </c>
      <c r="J10636">
        <v>1</v>
      </c>
      <c r="K10636">
        <v>57</v>
      </c>
      <c r="L10636">
        <v>234</v>
      </c>
      <c r="M10636">
        <v>1</v>
      </c>
      <c r="N10636">
        <v>1.5519500000000001E-77</v>
      </c>
      <c r="O10636">
        <v>730</v>
      </c>
    </row>
    <row r="10637" spans="1:15" x14ac:dyDescent="0.25">
      <c r="A10637" t="s">
        <v>10650</v>
      </c>
      <c r="B10637">
        <v>817</v>
      </c>
      <c r="C10637" s="1" t="str">
        <f>HYPERLINK("http://www.rosaceae.org/gb/gbrowse/malus_x_domestica/?name=MDP0000319194","MDP0000319194")</f>
        <v>MDP0000319194</v>
      </c>
      <c r="D10637">
        <v>30.49</v>
      </c>
      <c r="E10637">
        <v>305</v>
      </c>
      <c r="F10637">
        <v>212</v>
      </c>
      <c r="G10637">
        <v>34</v>
      </c>
      <c r="H10637">
        <v>456</v>
      </c>
      <c r="I10637">
        <v>730</v>
      </c>
      <c r="J10637">
        <v>1</v>
      </c>
      <c r="K10637">
        <v>374</v>
      </c>
      <c r="L10637">
        <v>674</v>
      </c>
      <c r="M10637">
        <v>1</v>
      </c>
      <c r="N10637">
        <v>7.74637E-27</v>
      </c>
      <c r="O10637">
        <v>300</v>
      </c>
    </row>
    <row r="10638" spans="1:15" x14ac:dyDescent="0.25">
      <c r="A10638" t="s">
        <v>10651</v>
      </c>
      <c r="B10638">
        <v>611</v>
      </c>
      <c r="C10638" s="1" t="str">
        <f>HYPERLINK("http://www.rosaceae.org/gb/gbrowse/malus_x_domestica/?name=MDP0000864705","MDP0000864705")</f>
        <v>MDP0000864705</v>
      </c>
      <c r="D10638">
        <v>82.4</v>
      </c>
      <c r="E10638">
        <v>591</v>
      </c>
      <c r="F10638">
        <v>104</v>
      </c>
      <c r="G10638">
        <v>2</v>
      </c>
      <c r="H10638">
        <v>23</v>
      </c>
      <c r="I10638">
        <v>611</v>
      </c>
      <c r="J10638">
        <v>1</v>
      </c>
      <c r="K10638">
        <v>22</v>
      </c>
      <c r="L10638">
        <v>612</v>
      </c>
      <c r="M10638">
        <v>1</v>
      </c>
      <c r="N10638">
        <v>0</v>
      </c>
      <c r="O10638">
        <v>2612</v>
      </c>
    </row>
    <row r="10639" spans="1:15" x14ac:dyDescent="0.25">
      <c r="A10639" t="s">
        <v>10652</v>
      </c>
      <c r="B10639">
        <v>268</v>
      </c>
      <c r="C10639" s="1" t="str">
        <f>HYPERLINK("http://www.rosaceae.org/gb/gbrowse/malus_x_domestica/?name=MDP0000349941","MDP0000349941")</f>
        <v>MDP0000349941</v>
      </c>
      <c r="D10639">
        <v>86.51</v>
      </c>
      <c r="E10639">
        <v>267</v>
      </c>
      <c r="F10639">
        <v>36</v>
      </c>
      <c r="G10639">
        <v>5</v>
      </c>
      <c r="H10639">
        <v>1</v>
      </c>
      <c r="I10639">
        <v>267</v>
      </c>
      <c r="J10639">
        <v>1</v>
      </c>
      <c r="K10639">
        <v>1</v>
      </c>
      <c r="L10639">
        <v>262</v>
      </c>
      <c r="M10639">
        <v>1</v>
      </c>
      <c r="N10639">
        <v>3.6406099999999996E-133</v>
      </c>
      <c r="O10639">
        <v>1212</v>
      </c>
    </row>
    <row r="10640" spans="1:15" x14ac:dyDescent="0.25">
      <c r="A10640" t="s">
        <v>10653</v>
      </c>
      <c r="B10640">
        <v>297</v>
      </c>
      <c r="C10640" s="1" t="str">
        <f>HYPERLINK("http://www.rosaceae.org/gb/gbrowse/malus_x_domestica/?name=MDP0000861708","MDP0000861708")</f>
        <v>MDP0000861708</v>
      </c>
      <c r="D10640">
        <v>53.04</v>
      </c>
      <c r="E10640">
        <v>328</v>
      </c>
      <c r="F10640">
        <v>154</v>
      </c>
      <c r="G10640">
        <v>32</v>
      </c>
      <c r="H10640">
        <v>1</v>
      </c>
      <c r="I10640">
        <v>297</v>
      </c>
      <c r="J10640">
        <v>1</v>
      </c>
      <c r="K10640">
        <v>1</v>
      </c>
      <c r="L10640">
        <v>327</v>
      </c>
      <c r="M10640">
        <v>1</v>
      </c>
      <c r="N10640">
        <v>1.9372900000000001E-71</v>
      </c>
      <c r="O10640">
        <v>680</v>
      </c>
    </row>
    <row r="10641" spans="1:15" x14ac:dyDescent="0.25">
      <c r="A10641" t="s">
        <v>10654</v>
      </c>
      <c r="B10641">
        <v>702</v>
      </c>
      <c r="C10641" s="1" t="str">
        <f>HYPERLINK("http://www.rosaceae.org/gb/gbrowse/malus_x_domestica/?name=MDP0000287346","MDP0000287346")</f>
        <v>MDP0000287346</v>
      </c>
      <c r="D10641">
        <v>45.65</v>
      </c>
      <c r="E10641">
        <v>587</v>
      </c>
      <c r="F10641">
        <v>319</v>
      </c>
      <c r="G10641">
        <v>41</v>
      </c>
      <c r="H10641">
        <v>121</v>
      </c>
      <c r="I10641">
        <v>689</v>
      </c>
      <c r="J10641">
        <v>1</v>
      </c>
      <c r="K10641">
        <v>6</v>
      </c>
      <c r="L10641">
        <v>569</v>
      </c>
      <c r="M10641">
        <v>1</v>
      </c>
      <c r="N10641">
        <v>7.5978199999999996E-122</v>
      </c>
      <c r="O10641">
        <v>1119</v>
      </c>
    </row>
    <row r="10642" spans="1:15" x14ac:dyDescent="0.25">
      <c r="A10642" t="s">
        <v>10655</v>
      </c>
      <c r="B10642">
        <v>600</v>
      </c>
      <c r="C10642" s="1" t="str">
        <f>HYPERLINK("http://www.rosaceae.org/gb/gbrowse/malus_x_domestica/?name=MDP0000803920","MDP0000803920")</f>
        <v>MDP0000803920</v>
      </c>
      <c r="D10642">
        <v>55.41</v>
      </c>
      <c r="E10642">
        <v>572</v>
      </c>
      <c r="F10642">
        <v>255</v>
      </c>
      <c r="G10642">
        <v>44</v>
      </c>
      <c r="H10642">
        <v>34</v>
      </c>
      <c r="I10642">
        <v>594</v>
      </c>
      <c r="J10642">
        <v>1</v>
      </c>
      <c r="K10642">
        <v>46</v>
      </c>
      <c r="L10642">
        <v>584</v>
      </c>
      <c r="M10642">
        <v>1</v>
      </c>
      <c r="N10642">
        <v>3.5179100000000002E-160</v>
      </c>
      <c r="O10642">
        <v>1449</v>
      </c>
    </row>
    <row r="10643" spans="1:15" x14ac:dyDescent="0.25">
      <c r="A10643" t="s">
        <v>10656</v>
      </c>
      <c r="B10643">
        <v>421</v>
      </c>
      <c r="C10643" s="1" t="str">
        <f>HYPERLINK("http://www.rosaceae.org/gb/gbrowse/malus_x_domestica/?name=MDP0000811085","MDP0000811085")</f>
        <v>MDP0000811085</v>
      </c>
      <c r="D10643">
        <v>45.3</v>
      </c>
      <c r="E10643">
        <v>415</v>
      </c>
      <c r="F10643">
        <v>227</v>
      </c>
      <c r="G10643">
        <v>34</v>
      </c>
      <c r="H10643">
        <v>34</v>
      </c>
      <c r="I10643">
        <v>420</v>
      </c>
      <c r="J10643">
        <v>1</v>
      </c>
      <c r="K10643">
        <v>4</v>
      </c>
      <c r="L10643">
        <v>412</v>
      </c>
      <c r="M10643">
        <v>1</v>
      </c>
      <c r="N10643">
        <v>1.78356E-90</v>
      </c>
      <c r="O10643">
        <v>846</v>
      </c>
    </row>
    <row r="10644" spans="1:15" x14ac:dyDescent="0.25">
      <c r="A10644" t="s">
        <v>10657</v>
      </c>
      <c r="B10644">
        <v>204</v>
      </c>
      <c r="C10644" s="1" t="str">
        <f>HYPERLINK("http://www.rosaceae.org/gb/gbrowse/malus_x_domestica/?name=MDP0000312634","MDP0000312634")</f>
        <v>MDP0000312634</v>
      </c>
      <c r="D10644">
        <v>44.82</v>
      </c>
      <c r="E10644">
        <v>116</v>
      </c>
      <c r="F10644">
        <v>64</v>
      </c>
      <c r="G10644">
        <v>16</v>
      </c>
      <c r="H10644">
        <v>87</v>
      </c>
      <c r="I10644">
        <v>186</v>
      </c>
      <c r="J10644">
        <v>1</v>
      </c>
      <c r="K10644">
        <v>292</v>
      </c>
      <c r="L10644">
        <v>407</v>
      </c>
      <c r="M10644">
        <v>1</v>
      </c>
      <c r="N10644">
        <v>1.02016E-15</v>
      </c>
      <c r="O10644">
        <v>197</v>
      </c>
    </row>
    <row r="10645" spans="1:15" x14ac:dyDescent="0.25">
      <c r="A10645" t="s">
        <v>10658</v>
      </c>
      <c r="B10645">
        <v>1497</v>
      </c>
      <c r="C10645" s="1" t="str">
        <f>HYPERLINK("http://www.rosaceae.org/gb/gbrowse/malus_x_domestica/?name=MDP0000255780","MDP0000255780")</f>
        <v>MDP0000255780</v>
      </c>
      <c r="D10645">
        <v>45.66</v>
      </c>
      <c r="E10645">
        <v>530</v>
      </c>
      <c r="F10645">
        <v>288</v>
      </c>
      <c r="G10645">
        <v>55</v>
      </c>
      <c r="H10645">
        <v>159</v>
      </c>
      <c r="I10645">
        <v>686</v>
      </c>
      <c r="J10645">
        <v>1</v>
      </c>
      <c r="K10645">
        <v>776</v>
      </c>
      <c r="L10645">
        <v>1252</v>
      </c>
      <c r="M10645">
        <v>1</v>
      </c>
      <c r="N10645">
        <v>3.7048599999999997E-117</v>
      </c>
      <c r="O10645">
        <v>1081</v>
      </c>
    </row>
    <row r="10646" spans="1:15" x14ac:dyDescent="0.25">
      <c r="A10646" t="s">
        <v>10659</v>
      </c>
      <c r="B10646">
        <v>330</v>
      </c>
      <c r="C10646" s="1" t="str">
        <f>HYPERLINK("http://www.rosaceae.org/gb/gbrowse/malus_x_domestica/?name=MDP0000202290","MDP0000202290")</f>
        <v>MDP0000202290</v>
      </c>
      <c r="D10646">
        <v>60.9</v>
      </c>
      <c r="E10646">
        <v>330</v>
      </c>
      <c r="F10646">
        <v>129</v>
      </c>
      <c r="G10646">
        <v>4</v>
      </c>
      <c r="H10646">
        <v>1</v>
      </c>
      <c r="I10646">
        <v>329</v>
      </c>
      <c r="J10646">
        <v>1</v>
      </c>
      <c r="K10646">
        <v>425</v>
      </c>
      <c r="L10646">
        <v>751</v>
      </c>
      <c r="M10646">
        <v>1</v>
      </c>
      <c r="N10646">
        <v>8.6102200000000004E-102</v>
      </c>
      <c r="O10646">
        <v>942</v>
      </c>
    </row>
    <row r="10647" spans="1:15" x14ac:dyDescent="0.25">
      <c r="A10647" t="s">
        <v>10660</v>
      </c>
      <c r="B10647">
        <v>676</v>
      </c>
      <c r="C10647" s="1" t="str">
        <f>HYPERLINK("http://www.rosaceae.org/gb/gbrowse/malus_x_domestica/?name=MDP0000782875","MDP0000782875")</f>
        <v>MDP0000782875</v>
      </c>
      <c r="D10647">
        <v>72.239999999999995</v>
      </c>
      <c r="E10647">
        <v>609</v>
      </c>
      <c r="F10647">
        <v>169</v>
      </c>
      <c r="G10647">
        <v>9</v>
      </c>
      <c r="H10647">
        <v>1</v>
      </c>
      <c r="I10647">
        <v>605</v>
      </c>
      <c r="J10647">
        <v>1</v>
      </c>
      <c r="K10647">
        <v>1</v>
      </c>
      <c r="L10647">
        <v>604</v>
      </c>
      <c r="M10647">
        <v>1</v>
      </c>
      <c r="N10647">
        <v>0</v>
      </c>
      <c r="O10647">
        <v>2379</v>
      </c>
    </row>
    <row r="10648" spans="1:15" x14ac:dyDescent="0.25">
      <c r="A10648" t="s">
        <v>10661</v>
      </c>
      <c r="B10648">
        <v>488</v>
      </c>
      <c r="C10648" s="1" t="str">
        <f>HYPERLINK("http://www.rosaceae.org/gb/gbrowse/malus_x_domestica/?name=MDP0000121410","MDP0000121410")</f>
        <v>MDP0000121410</v>
      </c>
      <c r="D10648">
        <v>26.13</v>
      </c>
      <c r="E10648">
        <v>329</v>
      </c>
      <c r="F10648">
        <v>243</v>
      </c>
      <c r="G10648">
        <v>40</v>
      </c>
      <c r="H10648">
        <v>140</v>
      </c>
      <c r="I10648">
        <v>433</v>
      </c>
      <c r="J10648">
        <v>1</v>
      </c>
      <c r="K10648">
        <v>235</v>
      </c>
      <c r="L10648">
        <v>558</v>
      </c>
      <c r="M10648">
        <v>1</v>
      </c>
      <c r="N10648">
        <v>2.4806E-27</v>
      </c>
      <c r="O10648">
        <v>302</v>
      </c>
    </row>
    <row r="10649" spans="1:15" x14ac:dyDescent="0.25">
      <c r="A10649" t="s">
        <v>10662</v>
      </c>
      <c r="B10649">
        <v>213</v>
      </c>
      <c r="C10649" s="1" t="str">
        <f>HYPERLINK("http://www.rosaceae.org/gb/gbrowse/malus_x_domestica/?name=MDP0000188337","MDP0000188337")</f>
        <v>MDP0000188337</v>
      </c>
      <c r="D10649">
        <v>76.260000000000005</v>
      </c>
      <c r="E10649">
        <v>198</v>
      </c>
      <c r="F10649">
        <v>47</v>
      </c>
      <c r="G10649">
        <v>0</v>
      </c>
      <c r="H10649">
        <v>16</v>
      </c>
      <c r="I10649">
        <v>213</v>
      </c>
      <c r="J10649">
        <v>1</v>
      </c>
      <c r="K10649">
        <v>240</v>
      </c>
      <c r="L10649">
        <v>437</v>
      </c>
      <c r="M10649">
        <v>1</v>
      </c>
      <c r="N10649">
        <v>2.8081100000000001E-87</v>
      </c>
      <c r="O10649">
        <v>815</v>
      </c>
    </row>
    <row r="10650" spans="1:15" x14ac:dyDescent="0.25">
      <c r="A10650" t="s">
        <v>10663</v>
      </c>
      <c r="B10650">
        <v>271</v>
      </c>
      <c r="C10650" s="1" t="str">
        <f>HYPERLINK("http://www.rosaceae.org/gb/gbrowse/malus_x_domestica/?name=MDP0000232306","MDP0000232306")</f>
        <v>MDP0000232306</v>
      </c>
      <c r="D10650">
        <v>42.97</v>
      </c>
      <c r="E10650">
        <v>121</v>
      </c>
      <c r="F10650">
        <v>69</v>
      </c>
      <c r="G10650">
        <v>17</v>
      </c>
      <c r="H10650">
        <v>143</v>
      </c>
      <c r="I10650">
        <v>259</v>
      </c>
      <c r="J10650">
        <v>1</v>
      </c>
      <c r="K10650">
        <v>167</v>
      </c>
      <c r="L10650">
        <v>274</v>
      </c>
      <c r="M10650">
        <v>1</v>
      </c>
      <c r="N10650">
        <v>1.5947700000000001E-20</v>
      </c>
      <c r="O10650">
        <v>240</v>
      </c>
    </row>
    <row r="10651" spans="1:15" x14ac:dyDescent="0.25">
      <c r="A10651" t="s">
        <v>10664</v>
      </c>
      <c r="B10651">
        <v>321</v>
      </c>
      <c r="C10651" s="1" t="str">
        <f>HYPERLINK("http://www.rosaceae.org/gb/gbrowse/malus_x_domestica/?name=MDP0000147846","MDP0000147846")</f>
        <v>MDP0000147846</v>
      </c>
      <c r="D10651">
        <v>34.75</v>
      </c>
      <c r="E10651">
        <v>328</v>
      </c>
      <c r="F10651">
        <v>214</v>
      </c>
      <c r="G10651">
        <v>90</v>
      </c>
      <c r="H10651">
        <v>40</v>
      </c>
      <c r="I10651">
        <v>286</v>
      </c>
      <c r="J10651">
        <v>1</v>
      </c>
      <c r="K10651">
        <v>192</v>
      </c>
      <c r="L10651">
        <v>510</v>
      </c>
      <c r="M10651">
        <v>1</v>
      </c>
      <c r="N10651">
        <v>1.8462800000000001E-35</v>
      </c>
      <c r="O10651">
        <v>370</v>
      </c>
    </row>
    <row r="10652" spans="1:15" x14ac:dyDescent="0.25">
      <c r="A10652" t="s">
        <v>10665</v>
      </c>
      <c r="B10652">
        <v>646</v>
      </c>
      <c r="C10652" s="1" t="str">
        <f>HYPERLINK("http://www.rosaceae.org/gb/gbrowse/malus_x_domestica/?name=MDP0000337709","MDP0000337709")</f>
        <v>MDP0000337709</v>
      </c>
      <c r="D10652">
        <v>74.5</v>
      </c>
      <c r="E10652">
        <v>353</v>
      </c>
      <c r="F10652">
        <v>90</v>
      </c>
      <c r="G10652">
        <v>21</v>
      </c>
      <c r="H10652">
        <v>1</v>
      </c>
      <c r="I10652">
        <v>353</v>
      </c>
      <c r="J10652">
        <v>1</v>
      </c>
      <c r="K10652">
        <v>1</v>
      </c>
      <c r="L10652">
        <v>332</v>
      </c>
      <c r="M10652">
        <v>1</v>
      </c>
      <c r="N10652">
        <v>1.78332E-145</v>
      </c>
      <c r="O10652">
        <v>1322</v>
      </c>
    </row>
    <row r="10653" spans="1:15" x14ac:dyDescent="0.25">
      <c r="A10653" t="s">
        <v>10666</v>
      </c>
      <c r="B10653">
        <v>192</v>
      </c>
      <c r="C10653" s="1" t="str">
        <f>HYPERLINK("http://www.rosaceae.org/gb/gbrowse/malus_x_domestica/?name=MDP0000278149","MDP0000278149")</f>
        <v>MDP0000278149</v>
      </c>
      <c r="D10653">
        <v>52.84</v>
      </c>
      <c r="E10653">
        <v>193</v>
      </c>
      <c r="F10653">
        <v>91</v>
      </c>
      <c r="G10653">
        <v>14</v>
      </c>
      <c r="H10653">
        <v>1</v>
      </c>
      <c r="I10653">
        <v>183</v>
      </c>
      <c r="J10653">
        <v>1</v>
      </c>
      <c r="K10653">
        <v>89</v>
      </c>
      <c r="L10653">
        <v>277</v>
      </c>
      <c r="M10653">
        <v>1</v>
      </c>
      <c r="N10653">
        <v>5.4654299999999997E-44</v>
      </c>
      <c r="O10653">
        <v>441</v>
      </c>
    </row>
    <row r="10654" spans="1:15" x14ac:dyDescent="0.25">
      <c r="A10654" t="s">
        <v>10667</v>
      </c>
      <c r="B10654">
        <v>373</v>
      </c>
      <c r="C10654" s="1" t="str">
        <f>HYPERLINK("http://www.rosaceae.org/gb/gbrowse/malus_x_domestica/?name=MDP0000326344","MDP0000326344")</f>
        <v>MDP0000326344</v>
      </c>
      <c r="D10654">
        <v>41.66</v>
      </c>
      <c r="E10654">
        <v>312</v>
      </c>
      <c r="F10654">
        <v>182</v>
      </c>
      <c r="G10654">
        <v>37</v>
      </c>
      <c r="H10654">
        <v>25</v>
      </c>
      <c r="I10654">
        <v>300</v>
      </c>
      <c r="J10654">
        <v>1</v>
      </c>
      <c r="K10654">
        <v>13</v>
      </c>
      <c r="L10654">
        <v>323</v>
      </c>
      <c r="M10654">
        <v>1</v>
      </c>
      <c r="N10654">
        <v>1.15033E-51</v>
      </c>
      <c r="O10654">
        <v>511</v>
      </c>
    </row>
    <row r="10655" spans="1:15" x14ac:dyDescent="0.25">
      <c r="A10655" t="s">
        <v>10668</v>
      </c>
      <c r="B10655">
        <v>213</v>
      </c>
      <c r="C10655" s="1" t="str">
        <f>HYPERLINK("http://www.rosaceae.org/gb/gbrowse/malus_x_domestica/?name=MDP0000500222","MDP0000500222")</f>
        <v>MDP0000500222</v>
      </c>
      <c r="D10655">
        <v>28.93</v>
      </c>
      <c r="E10655">
        <v>159</v>
      </c>
      <c r="F10655">
        <v>113</v>
      </c>
      <c r="G10655">
        <v>14</v>
      </c>
      <c r="H10655">
        <v>49</v>
      </c>
      <c r="I10655">
        <v>205</v>
      </c>
      <c r="J10655">
        <v>1</v>
      </c>
      <c r="K10655">
        <v>134</v>
      </c>
      <c r="L10655">
        <v>280</v>
      </c>
      <c r="M10655">
        <v>1</v>
      </c>
      <c r="N10655">
        <v>7.9422199999999993E-12</v>
      </c>
      <c r="O10655">
        <v>164</v>
      </c>
    </row>
    <row r="10656" spans="1:15" x14ac:dyDescent="0.25">
      <c r="A10656" t="s">
        <v>10669</v>
      </c>
      <c r="B10656">
        <v>108</v>
      </c>
      <c r="C10656" s="1" t="str">
        <f>HYPERLINK("http://www.rosaceae.org/gb/gbrowse/malus_x_domestica/?name=MDP0000668869","MDP0000668869")</f>
        <v>MDP0000668869</v>
      </c>
      <c r="D10656">
        <v>48.23</v>
      </c>
      <c r="E10656">
        <v>85</v>
      </c>
      <c r="F10656">
        <v>44</v>
      </c>
      <c r="G10656">
        <v>19</v>
      </c>
      <c r="H10656">
        <v>11</v>
      </c>
      <c r="I10656">
        <v>81</v>
      </c>
      <c r="J10656">
        <v>1</v>
      </c>
      <c r="K10656">
        <v>287</v>
      </c>
      <c r="L10656">
        <v>366</v>
      </c>
      <c r="M10656">
        <v>1</v>
      </c>
      <c r="N10656">
        <v>2.9231200000000002E-12</v>
      </c>
      <c r="O10656">
        <v>163</v>
      </c>
    </row>
    <row r="10657" spans="1:15" x14ac:dyDescent="0.25">
      <c r="A10657" t="s">
        <v>10670</v>
      </c>
      <c r="B10657">
        <v>74</v>
      </c>
      <c r="C10657" s="1" t="str">
        <f>HYPERLINK("http://www.rosaceae.org/gb/gbrowse/malus_x_domestica/?name=MDP0000549178","MDP0000549178")</f>
        <v>MDP0000549178</v>
      </c>
      <c r="D10657">
        <v>64.58</v>
      </c>
      <c r="E10657">
        <v>48</v>
      </c>
      <c r="F10657">
        <v>17</v>
      </c>
      <c r="G10657">
        <v>0</v>
      </c>
      <c r="H10657">
        <v>1</v>
      </c>
      <c r="I10657">
        <v>48</v>
      </c>
      <c r="J10657">
        <v>1</v>
      </c>
      <c r="K10657">
        <v>114</v>
      </c>
      <c r="L10657">
        <v>161</v>
      </c>
      <c r="M10657">
        <v>1</v>
      </c>
      <c r="N10657">
        <v>5.6363100000000003E-14</v>
      </c>
      <c r="O10657">
        <v>178</v>
      </c>
    </row>
    <row r="10658" spans="1:15" x14ac:dyDescent="0.25">
      <c r="A10658" t="s">
        <v>10671</v>
      </c>
      <c r="B10658">
        <v>798</v>
      </c>
      <c r="C10658" s="1" t="str">
        <f>HYPERLINK("http://www.rosaceae.org/gb/gbrowse/malus_x_domestica/?name=MDP0000191110","MDP0000191110")</f>
        <v>MDP0000191110</v>
      </c>
      <c r="D10658">
        <v>66.59</v>
      </c>
      <c r="E10658">
        <v>437</v>
      </c>
      <c r="F10658">
        <v>146</v>
      </c>
      <c r="G10658">
        <v>44</v>
      </c>
      <c r="H10658">
        <v>1</v>
      </c>
      <c r="I10658">
        <v>430</v>
      </c>
      <c r="J10658">
        <v>1</v>
      </c>
      <c r="K10658">
        <v>16</v>
      </c>
      <c r="L10658">
        <v>415</v>
      </c>
      <c r="M10658">
        <v>1</v>
      </c>
      <c r="N10658">
        <v>4.7252299999999998E-170</v>
      </c>
      <c r="O10658">
        <v>1535</v>
      </c>
    </row>
    <row r="10659" spans="1:15" x14ac:dyDescent="0.25">
      <c r="A10659" t="s">
        <v>10672</v>
      </c>
      <c r="B10659">
        <v>949</v>
      </c>
      <c r="C10659" s="1" t="str">
        <f>HYPERLINK("http://www.rosaceae.org/gb/gbrowse/malus_x_domestica/?name=MDP0000283623","MDP0000283623")</f>
        <v>MDP0000283623</v>
      </c>
      <c r="D10659">
        <v>43.71</v>
      </c>
      <c r="E10659">
        <v>183</v>
      </c>
      <c r="F10659">
        <v>103</v>
      </c>
      <c r="G10659">
        <v>17</v>
      </c>
      <c r="H10659">
        <v>411</v>
      </c>
      <c r="I10659">
        <v>591</v>
      </c>
      <c r="J10659">
        <v>1</v>
      </c>
      <c r="K10659">
        <v>29</v>
      </c>
      <c r="L10659">
        <v>196</v>
      </c>
      <c r="M10659">
        <v>1</v>
      </c>
      <c r="N10659">
        <v>5.6268599999999998E-35</v>
      </c>
      <c r="O10659">
        <v>371</v>
      </c>
    </row>
    <row r="10660" spans="1:15" x14ac:dyDescent="0.25">
      <c r="A10660" t="s">
        <v>10673</v>
      </c>
      <c r="B10660">
        <v>251</v>
      </c>
      <c r="C10660" s="1" t="str">
        <f>HYPERLINK("http://www.rosaceae.org/gb/gbrowse/malus_x_domestica/?name=MDP0000202898","MDP0000202898")</f>
        <v>MDP0000202898</v>
      </c>
      <c r="D10660">
        <v>69.16</v>
      </c>
      <c r="E10660">
        <v>227</v>
      </c>
      <c r="F10660">
        <v>70</v>
      </c>
      <c r="G10660">
        <v>5</v>
      </c>
      <c r="H10660">
        <v>1</v>
      </c>
      <c r="I10660">
        <v>223</v>
      </c>
      <c r="J10660">
        <v>1</v>
      </c>
      <c r="K10660">
        <v>1</v>
      </c>
      <c r="L10660">
        <v>226</v>
      </c>
      <c r="M10660">
        <v>1</v>
      </c>
      <c r="N10660">
        <v>5.3330100000000005E-91</v>
      </c>
      <c r="O10660">
        <v>848</v>
      </c>
    </row>
    <row r="10661" spans="1:15" x14ac:dyDescent="0.25">
      <c r="A10661" t="s">
        <v>10674</v>
      </c>
      <c r="B10661">
        <v>159</v>
      </c>
      <c r="C10661" s="1" t="str">
        <f>HYPERLINK("http://www.rosaceae.org/gb/gbrowse/malus_x_domestica/?name=MDP0000122961","MDP0000122961")</f>
        <v>MDP0000122961</v>
      </c>
      <c r="D10661">
        <v>43.57</v>
      </c>
      <c r="E10661">
        <v>140</v>
      </c>
      <c r="F10661">
        <v>79</v>
      </c>
      <c r="G10661">
        <v>16</v>
      </c>
      <c r="H10661">
        <v>24</v>
      </c>
      <c r="I10661">
        <v>151</v>
      </c>
      <c r="J10661">
        <v>1</v>
      </c>
      <c r="K10661">
        <v>1006</v>
      </c>
      <c r="L10661">
        <v>1141</v>
      </c>
      <c r="M10661">
        <v>1</v>
      </c>
      <c r="N10661">
        <v>6.2926399999999996E-25</v>
      </c>
      <c r="O10661">
        <v>275</v>
      </c>
    </row>
    <row r="10662" spans="1:15" x14ac:dyDescent="0.25">
      <c r="A10662" t="s">
        <v>10675</v>
      </c>
      <c r="B10662">
        <v>546</v>
      </c>
      <c r="C10662" s="1" t="str">
        <f>HYPERLINK("http://www.rosaceae.org/gb/gbrowse/malus_x_domestica/?name=MDP0000155925","MDP0000155925")</f>
        <v>MDP0000155925</v>
      </c>
      <c r="D10662">
        <v>68.45</v>
      </c>
      <c r="E10662">
        <v>485</v>
      </c>
      <c r="F10662">
        <v>153</v>
      </c>
      <c r="G10662">
        <v>55</v>
      </c>
      <c r="H10662">
        <v>109</v>
      </c>
      <c r="I10662">
        <v>538</v>
      </c>
      <c r="J10662">
        <v>1</v>
      </c>
      <c r="K10662">
        <v>105</v>
      </c>
      <c r="L10662">
        <v>589</v>
      </c>
      <c r="M10662">
        <v>1</v>
      </c>
      <c r="N10662">
        <v>0</v>
      </c>
      <c r="O10662">
        <v>1662</v>
      </c>
    </row>
    <row r="10663" spans="1:15" x14ac:dyDescent="0.25">
      <c r="A10663" t="s">
        <v>10676</v>
      </c>
      <c r="B10663">
        <v>203</v>
      </c>
      <c r="C10663" s="1" t="str">
        <f>HYPERLINK("http://www.rosaceae.org/gb/gbrowse/malus_x_domestica/?name=MDP0000219003","MDP0000219003")</f>
        <v>MDP0000219003</v>
      </c>
      <c r="D10663">
        <v>57.25</v>
      </c>
      <c r="E10663">
        <v>131</v>
      </c>
      <c r="F10663">
        <v>56</v>
      </c>
      <c r="G10663">
        <v>19</v>
      </c>
      <c r="H10663">
        <v>80</v>
      </c>
      <c r="I10663">
        <v>198</v>
      </c>
      <c r="J10663">
        <v>1</v>
      </c>
      <c r="K10663">
        <v>777</v>
      </c>
      <c r="L10663">
        <v>900</v>
      </c>
      <c r="M10663">
        <v>1</v>
      </c>
      <c r="N10663">
        <v>2.1250600000000001E-29</v>
      </c>
      <c r="O10663">
        <v>315</v>
      </c>
    </row>
    <row r="10664" spans="1:15" x14ac:dyDescent="0.25">
      <c r="A10664" t="s">
        <v>10677</v>
      </c>
      <c r="B10664">
        <v>137</v>
      </c>
      <c r="C10664" s="1" t="str">
        <f>HYPERLINK("http://www.rosaceae.org/gb/gbrowse/malus_x_domestica/?name=MDP0000396530","MDP0000396530")</f>
        <v>MDP0000396530</v>
      </c>
      <c r="D10664">
        <v>66.41</v>
      </c>
      <c r="E10664">
        <v>134</v>
      </c>
      <c r="F10664">
        <v>45</v>
      </c>
      <c r="G10664">
        <v>1</v>
      </c>
      <c r="H10664">
        <v>1</v>
      </c>
      <c r="I10664">
        <v>133</v>
      </c>
      <c r="J10664">
        <v>1</v>
      </c>
      <c r="K10664">
        <v>904</v>
      </c>
      <c r="L10664">
        <v>1037</v>
      </c>
      <c r="M10664">
        <v>1</v>
      </c>
      <c r="N10664">
        <v>4.2244800000000002E-49</v>
      </c>
      <c r="O10664">
        <v>482</v>
      </c>
    </row>
    <row r="10665" spans="1:15" x14ac:dyDescent="0.25">
      <c r="A10665" t="s">
        <v>10678</v>
      </c>
      <c r="B10665">
        <v>335</v>
      </c>
      <c r="C10665" s="1" t="str">
        <f>HYPERLINK("http://www.rosaceae.org/gb/gbrowse/malus_x_domestica/?name=MDP0000523831","MDP0000523831")</f>
        <v>MDP0000523831</v>
      </c>
      <c r="D10665">
        <v>52.63</v>
      </c>
      <c r="E10665">
        <v>228</v>
      </c>
      <c r="F10665">
        <v>108</v>
      </c>
      <c r="G10665">
        <v>30</v>
      </c>
      <c r="H10665">
        <v>98</v>
      </c>
      <c r="I10665">
        <v>306</v>
      </c>
      <c r="J10665">
        <v>1</v>
      </c>
      <c r="K10665">
        <v>95</v>
      </c>
      <c r="L10665">
        <v>311</v>
      </c>
      <c r="M10665">
        <v>1</v>
      </c>
      <c r="N10665">
        <v>2.13024E-45</v>
      </c>
      <c r="O10665">
        <v>456</v>
      </c>
    </row>
    <row r="10666" spans="1:15" x14ac:dyDescent="0.25">
      <c r="A10666" t="s">
        <v>10679</v>
      </c>
      <c r="B10666">
        <v>223</v>
      </c>
      <c r="C10666" s="1" t="str">
        <f>HYPERLINK("http://www.rosaceae.org/gb/gbrowse/malus_x_domestica/?name=MDP0000214691","MDP0000214691")</f>
        <v>MDP0000214691</v>
      </c>
      <c r="D10666">
        <v>73.89</v>
      </c>
      <c r="E10666">
        <v>203</v>
      </c>
      <c r="F10666">
        <v>53</v>
      </c>
      <c r="G10666">
        <v>0</v>
      </c>
      <c r="H10666">
        <v>21</v>
      </c>
      <c r="I10666">
        <v>223</v>
      </c>
      <c r="J10666">
        <v>1</v>
      </c>
      <c r="K10666">
        <v>24</v>
      </c>
      <c r="L10666">
        <v>226</v>
      </c>
      <c r="M10666">
        <v>1</v>
      </c>
      <c r="N10666">
        <v>1.9116300000000001E-80</v>
      </c>
      <c r="O10666">
        <v>756</v>
      </c>
    </row>
    <row r="10667" spans="1:15" x14ac:dyDescent="0.25">
      <c r="A10667" t="s">
        <v>10680</v>
      </c>
      <c r="B10667">
        <v>174</v>
      </c>
      <c r="C10667" s="1" t="str">
        <f>HYPERLINK("http://www.rosaceae.org/gb/gbrowse/malus_x_domestica/?name=MDP0000313034","MDP0000313034")</f>
        <v>MDP0000313034</v>
      </c>
      <c r="D10667">
        <v>73.680000000000007</v>
      </c>
      <c r="E10667">
        <v>114</v>
      </c>
      <c r="F10667">
        <v>30</v>
      </c>
      <c r="G10667">
        <v>2</v>
      </c>
      <c r="H10667">
        <v>15</v>
      </c>
      <c r="I10667">
        <v>126</v>
      </c>
      <c r="J10667">
        <v>1</v>
      </c>
      <c r="K10667">
        <v>200</v>
      </c>
      <c r="L10667">
        <v>313</v>
      </c>
      <c r="M10667">
        <v>1</v>
      </c>
      <c r="N10667">
        <v>1.7927499999999999E-47</v>
      </c>
      <c r="O10667">
        <v>470</v>
      </c>
    </row>
    <row r="10668" spans="1:15" x14ac:dyDescent="0.25">
      <c r="A10668" t="s">
        <v>10681</v>
      </c>
      <c r="B10668">
        <v>272</v>
      </c>
      <c r="C10668" s="1" t="str">
        <f>HYPERLINK("http://www.rosaceae.org/gb/gbrowse/malus_x_domestica/?name=MDP0000208213","MDP0000208213")</f>
        <v>MDP0000208213</v>
      </c>
      <c r="D10668">
        <v>49.62</v>
      </c>
      <c r="E10668">
        <v>270</v>
      </c>
      <c r="F10668">
        <v>136</v>
      </c>
      <c r="G10668">
        <v>30</v>
      </c>
      <c r="H10668">
        <v>27</v>
      </c>
      <c r="I10668">
        <v>272</v>
      </c>
      <c r="J10668">
        <v>1</v>
      </c>
      <c r="K10668">
        <v>28</v>
      </c>
      <c r="L10668">
        <v>291</v>
      </c>
      <c r="M10668">
        <v>1</v>
      </c>
      <c r="N10668">
        <v>3.1394899999999998E-64</v>
      </c>
      <c r="O10668">
        <v>617</v>
      </c>
    </row>
    <row r="10669" spans="1:15" x14ac:dyDescent="0.25">
      <c r="A10669" t="s">
        <v>10682</v>
      </c>
      <c r="B10669">
        <v>625</v>
      </c>
      <c r="C10669" s="1" t="str">
        <f>HYPERLINK("http://www.rosaceae.org/gb/gbrowse/malus_x_domestica/?name=MDP0000826600","MDP0000826600")</f>
        <v>MDP0000826600</v>
      </c>
      <c r="D10669">
        <v>77.069999999999993</v>
      </c>
      <c r="E10669">
        <v>602</v>
      </c>
      <c r="F10669">
        <v>138</v>
      </c>
      <c r="G10669">
        <v>6</v>
      </c>
      <c r="H10669">
        <v>29</v>
      </c>
      <c r="I10669">
        <v>625</v>
      </c>
      <c r="J10669">
        <v>1</v>
      </c>
      <c r="K10669">
        <v>29</v>
      </c>
      <c r="L10669">
        <v>629</v>
      </c>
      <c r="M10669">
        <v>1</v>
      </c>
      <c r="N10669">
        <v>0</v>
      </c>
      <c r="O10669">
        <v>2500</v>
      </c>
    </row>
    <row r="10670" spans="1:15" x14ac:dyDescent="0.25">
      <c r="A10670" t="s">
        <v>10683</v>
      </c>
      <c r="B10670">
        <v>129</v>
      </c>
      <c r="C10670" s="1" t="str">
        <f>HYPERLINK("http://www.rosaceae.org/gb/gbrowse/malus_x_domestica/?name=MDP0000551700","MDP0000551700")</f>
        <v>MDP0000551700</v>
      </c>
      <c r="D10670">
        <v>56.6</v>
      </c>
      <c r="E10670">
        <v>53</v>
      </c>
      <c r="F10670">
        <v>23</v>
      </c>
      <c r="G10670">
        <v>0</v>
      </c>
      <c r="H10670">
        <v>29</v>
      </c>
      <c r="I10670">
        <v>81</v>
      </c>
      <c r="J10670">
        <v>1</v>
      </c>
      <c r="K10670">
        <v>32</v>
      </c>
      <c r="L10670">
        <v>84</v>
      </c>
      <c r="M10670">
        <v>1</v>
      </c>
      <c r="N10670">
        <v>7.2934800000000005E-12</v>
      </c>
      <c r="O10670">
        <v>160</v>
      </c>
    </row>
    <row r="10671" spans="1:15" x14ac:dyDescent="0.25">
      <c r="A10671" t="s">
        <v>10684</v>
      </c>
      <c r="B10671">
        <v>588</v>
      </c>
      <c r="C10671" s="1" t="str">
        <f>HYPERLINK("http://www.rosaceae.org/gb/gbrowse/malus_x_domestica/?name=MDP0000794316","MDP0000794316")</f>
        <v>MDP0000794316</v>
      </c>
      <c r="D10671">
        <v>85.04</v>
      </c>
      <c r="E10671">
        <v>595</v>
      </c>
      <c r="F10671">
        <v>89</v>
      </c>
      <c r="G10671">
        <v>7</v>
      </c>
      <c r="H10671">
        <v>1</v>
      </c>
      <c r="I10671">
        <v>588</v>
      </c>
      <c r="J10671">
        <v>1</v>
      </c>
      <c r="K10671">
        <v>1</v>
      </c>
      <c r="L10671">
        <v>595</v>
      </c>
      <c r="M10671">
        <v>1</v>
      </c>
      <c r="N10671">
        <v>0</v>
      </c>
      <c r="O10671">
        <v>2756</v>
      </c>
    </row>
    <row r="10672" spans="1:15" x14ac:dyDescent="0.25">
      <c r="A10672" t="s">
        <v>10685</v>
      </c>
      <c r="B10672">
        <v>307</v>
      </c>
      <c r="C10672" s="1" t="str">
        <f>HYPERLINK("http://www.rosaceae.org/gb/gbrowse/malus_x_domestica/?name=MDP0000245830","MDP0000245830")</f>
        <v>MDP0000245830</v>
      </c>
      <c r="D10672">
        <v>72.430000000000007</v>
      </c>
      <c r="E10672">
        <v>312</v>
      </c>
      <c r="F10672">
        <v>86</v>
      </c>
      <c r="G10672">
        <v>7</v>
      </c>
      <c r="H10672">
        <v>1</v>
      </c>
      <c r="I10672">
        <v>307</v>
      </c>
      <c r="J10672">
        <v>1</v>
      </c>
      <c r="K10672">
        <v>1</v>
      </c>
      <c r="L10672">
        <v>310</v>
      </c>
      <c r="M10672">
        <v>1</v>
      </c>
      <c r="N10672">
        <v>4.1385900000000001E-130</v>
      </c>
      <c r="O10672">
        <v>1186</v>
      </c>
    </row>
    <row r="10673" spans="1:15" x14ac:dyDescent="0.25">
      <c r="A10673" t="s">
        <v>10686</v>
      </c>
      <c r="B10673">
        <v>152</v>
      </c>
      <c r="C10673" s="1" t="str">
        <f>HYPERLINK("http://www.rosaceae.org/gb/gbrowse/malus_x_domestica/?name=MDP0000301932","MDP0000301932")</f>
        <v>MDP0000301932</v>
      </c>
      <c r="D10673">
        <v>77.41</v>
      </c>
      <c r="E10673">
        <v>124</v>
      </c>
      <c r="F10673">
        <v>28</v>
      </c>
      <c r="G10673">
        <v>1</v>
      </c>
      <c r="H10673">
        <v>1</v>
      </c>
      <c r="I10673">
        <v>124</v>
      </c>
      <c r="J10673">
        <v>1</v>
      </c>
      <c r="K10673">
        <v>1</v>
      </c>
      <c r="L10673">
        <v>123</v>
      </c>
      <c r="M10673">
        <v>1</v>
      </c>
      <c r="N10673">
        <v>5.9205600000000003E-52</v>
      </c>
      <c r="O10673">
        <v>508</v>
      </c>
    </row>
    <row r="10674" spans="1:15" x14ac:dyDescent="0.25">
      <c r="A10674" t="s">
        <v>10687</v>
      </c>
      <c r="B10674">
        <v>451</v>
      </c>
      <c r="C10674" s="1" t="str">
        <f>HYPERLINK("http://www.rosaceae.org/gb/gbrowse/malus_x_domestica/?name=MDP0000264380","MDP0000264380")</f>
        <v>MDP0000264380</v>
      </c>
      <c r="D10674">
        <v>86</v>
      </c>
      <c r="E10674">
        <v>443</v>
      </c>
      <c r="F10674">
        <v>62</v>
      </c>
      <c r="G10674">
        <v>7</v>
      </c>
      <c r="H10674">
        <v>10</v>
      </c>
      <c r="I10674">
        <v>445</v>
      </c>
      <c r="J10674">
        <v>1</v>
      </c>
      <c r="K10674">
        <v>49</v>
      </c>
      <c r="L10674">
        <v>491</v>
      </c>
      <c r="M10674">
        <v>1</v>
      </c>
      <c r="N10674">
        <v>0</v>
      </c>
      <c r="O10674">
        <v>1999</v>
      </c>
    </row>
    <row r="10675" spans="1:15" x14ac:dyDescent="0.25">
      <c r="A10675" t="s">
        <v>10688</v>
      </c>
      <c r="B10675">
        <v>387</v>
      </c>
      <c r="C10675" s="1" t="str">
        <f>HYPERLINK("http://www.rosaceae.org/gb/gbrowse/malus_x_domestica/?name=MDP0000566907","MDP0000566907")</f>
        <v>MDP0000566907</v>
      </c>
      <c r="D10675">
        <v>38.119999999999997</v>
      </c>
      <c r="E10675">
        <v>160</v>
      </c>
      <c r="F10675">
        <v>99</v>
      </c>
      <c r="G10675">
        <v>14</v>
      </c>
      <c r="H10675">
        <v>148</v>
      </c>
      <c r="I10675">
        <v>305</v>
      </c>
      <c r="J10675">
        <v>1</v>
      </c>
      <c r="K10675">
        <v>146</v>
      </c>
      <c r="L10675">
        <v>293</v>
      </c>
      <c r="M10675">
        <v>1</v>
      </c>
      <c r="N10675">
        <v>1.22135E-20</v>
      </c>
      <c r="O10675">
        <v>243</v>
      </c>
    </row>
    <row r="10676" spans="1:15" x14ac:dyDescent="0.25">
      <c r="A10676" t="s">
        <v>10689</v>
      </c>
      <c r="B10676">
        <v>222</v>
      </c>
      <c r="C10676" s="1" t="str">
        <f>HYPERLINK("http://www.rosaceae.org/gb/gbrowse/malus_x_domestica/?name=MDP0000836051","MDP0000836051")</f>
        <v>MDP0000836051</v>
      </c>
      <c r="D10676">
        <v>61.71</v>
      </c>
      <c r="E10676">
        <v>222</v>
      </c>
      <c r="F10676">
        <v>85</v>
      </c>
      <c r="G10676">
        <v>5</v>
      </c>
      <c r="H10676">
        <v>1</v>
      </c>
      <c r="I10676">
        <v>222</v>
      </c>
      <c r="J10676">
        <v>1</v>
      </c>
      <c r="K10676">
        <v>1</v>
      </c>
      <c r="L10676">
        <v>217</v>
      </c>
      <c r="M10676">
        <v>1</v>
      </c>
      <c r="N10676">
        <v>1.5193500000000001E-67</v>
      </c>
      <c r="O10676">
        <v>645</v>
      </c>
    </row>
    <row r="10677" spans="1:15" x14ac:dyDescent="0.25">
      <c r="A10677" t="s">
        <v>10690</v>
      </c>
      <c r="B10677">
        <v>595</v>
      </c>
      <c r="C10677" s="1" t="str">
        <f>HYPERLINK("http://www.rosaceae.org/gb/gbrowse/malus_x_domestica/?name=MDP0000235902","MDP0000235902")</f>
        <v>MDP0000235902</v>
      </c>
      <c r="D10677">
        <v>29.41</v>
      </c>
      <c r="E10677">
        <v>272</v>
      </c>
      <c r="F10677">
        <v>192</v>
      </c>
      <c r="G10677">
        <v>47</v>
      </c>
      <c r="H10677">
        <v>31</v>
      </c>
      <c r="I10677">
        <v>257</v>
      </c>
      <c r="J10677">
        <v>1</v>
      </c>
      <c r="K10677">
        <v>232</v>
      </c>
      <c r="L10677">
        <v>501</v>
      </c>
      <c r="M10677">
        <v>1</v>
      </c>
      <c r="N10677">
        <v>4.3532000000000002E-23</v>
      </c>
      <c r="O10677">
        <v>266</v>
      </c>
    </row>
    <row r="10678" spans="1:15" x14ac:dyDescent="0.25">
      <c r="A10678" t="s">
        <v>10691</v>
      </c>
      <c r="B10678">
        <v>782</v>
      </c>
      <c r="C10678" s="1" t="str">
        <f>HYPERLINK("http://www.rosaceae.org/gb/gbrowse/malus_x_domestica/?name=MDP0000154371","MDP0000154371")</f>
        <v>MDP0000154371</v>
      </c>
      <c r="D10678">
        <v>79.680000000000007</v>
      </c>
      <c r="E10678">
        <v>773</v>
      </c>
      <c r="F10678">
        <v>157</v>
      </c>
      <c r="G10678">
        <v>7</v>
      </c>
      <c r="H10678">
        <v>1</v>
      </c>
      <c r="I10678">
        <v>769</v>
      </c>
      <c r="J10678">
        <v>1</v>
      </c>
      <c r="K10678">
        <v>1</v>
      </c>
      <c r="L10678">
        <v>770</v>
      </c>
      <c r="M10678">
        <v>1</v>
      </c>
      <c r="N10678">
        <v>0</v>
      </c>
      <c r="O10678">
        <v>3267</v>
      </c>
    </row>
    <row r="10679" spans="1:15" x14ac:dyDescent="0.25">
      <c r="A10679" t="s">
        <v>10692</v>
      </c>
      <c r="B10679">
        <v>504</v>
      </c>
      <c r="C10679" s="1" t="str">
        <f>HYPERLINK("http://www.rosaceae.org/gb/gbrowse/malus_x_domestica/?name=MDP0000534116","MDP0000534116")</f>
        <v>MDP0000534116</v>
      </c>
      <c r="D10679">
        <v>76.42</v>
      </c>
      <c r="E10679">
        <v>492</v>
      </c>
      <c r="F10679">
        <v>116</v>
      </c>
      <c r="G10679">
        <v>10</v>
      </c>
      <c r="H10679">
        <v>8</v>
      </c>
      <c r="I10679">
        <v>499</v>
      </c>
      <c r="J10679">
        <v>1</v>
      </c>
      <c r="K10679">
        <v>1</v>
      </c>
      <c r="L10679">
        <v>482</v>
      </c>
      <c r="M10679">
        <v>1</v>
      </c>
      <c r="N10679">
        <v>0</v>
      </c>
      <c r="O10679">
        <v>1922</v>
      </c>
    </row>
    <row r="10680" spans="1:15" x14ac:dyDescent="0.25">
      <c r="A10680" t="s">
        <v>10693</v>
      </c>
      <c r="B10680">
        <v>492</v>
      </c>
      <c r="C10680" s="1" t="str">
        <f>HYPERLINK("http://www.rosaceae.org/gb/gbrowse/malus_x_domestica/?name=MDP0000270825","MDP0000270825")</f>
        <v>MDP0000270825</v>
      </c>
      <c r="D10680">
        <v>71.38</v>
      </c>
      <c r="E10680">
        <v>304</v>
      </c>
      <c r="F10680">
        <v>87</v>
      </c>
      <c r="G10680">
        <v>5</v>
      </c>
      <c r="H10680">
        <v>1</v>
      </c>
      <c r="I10680">
        <v>301</v>
      </c>
      <c r="J10680">
        <v>1</v>
      </c>
      <c r="K10680">
        <v>1</v>
      </c>
      <c r="L10680">
        <v>302</v>
      </c>
      <c r="M10680">
        <v>1</v>
      </c>
      <c r="N10680">
        <v>5.9323300000000003E-113</v>
      </c>
      <c r="O10680">
        <v>1040</v>
      </c>
    </row>
    <row r="10681" spans="1:15" x14ac:dyDescent="0.25">
      <c r="A10681" t="s">
        <v>10694</v>
      </c>
      <c r="B10681">
        <v>374</v>
      </c>
      <c r="C10681" s="1" t="str">
        <f>HYPERLINK("http://www.rosaceae.org/gb/gbrowse/malus_x_domestica/?name=MDP0000181794","MDP0000181794")</f>
        <v>MDP0000181794</v>
      </c>
      <c r="D10681">
        <v>43.68</v>
      </c>
      <c r="E10681">
        <v>380</v>
      </c>
      <c r="F10681">
        <v>214</v>
      </c>
      <c r="G10681">
        <v>75</v>
      </c>
      <c r="H10681">
        <v>67</v>
      </c>
      <c r="I10681">
        <v>374</v>
      </c>
      <c r="J10681">
        <v>1</v>
      </c>
      <c r="K10681">
        <v>145</v>
      </c>
      <c r="L10681">
        <v>521</v>
      </c>
      <c r="M10681">
        <v>1</v>
      </c>
      <c r="N10681">
        <v>1.6147800000000001E-74</v>
      </c>
      <c r="O10681">
        <v>708</v>
      </c>
    </row>
    <row r="10682" spans="1:15" x14ac:dyDescent="0.25">
      <c r="A10682" t="s">
        <v>10695</v>
      </c>
      <c r="B10682">
        <v>125</v>
      </c>
      <c r="C10682" s="1" t="str">
        <f>HYPERLINK("http://www.rosaceae.org/gb/gbrowse/malus_x_domestica/?name=MDP0000939537","MDP0000939537")</f>
        <v>MDP0000939537</v>
      </c>
      <c r="D10682">
        <v>93.6</v>
      </c>
      <c r="E10682">
        <v>125</v>
      </c>
      <c r="F10682">
        <v>8</v>
      </c>
      <c r="G10682">
        <v>0</v>
      </c>
      <c r="H10682">
        <v>1</v>
      </c>
      <c r="I10682">
        <v>125</v>
      </c>
      <c r="J10682">
        <v>1</v>
      </c>
      <c r="K10682">
        <v>1</v>
      </c>
      <c r="L10682">
        <v>125</v>
      </c>
      <c r="M10682">
        <v>1</v>
      </c>
      <c r="N10682">
        <v>3.4380300000000003E-64</v>
      </c>
      <c r="O10682">
        <v>611</v>
      </c>
    </row>
    <row r="10683" spans="1:15" x14ac:dyDescent="0.25">
      <c r="A10683" t="s">
        <v>10696</v>
      </c>
      <c r="B10683">
        <v>113</v>
      </c>
      <c r="C10683" s="1" t="str">
        <f>HYPERLINK("http://www.rosaceae.org/gb/gbrowse/malus_x_domestica/?name=MDP0000208717","MDP0000208717")</f>
        <v>MDP0000208717</v>
      </c>
      <c r="D10683">
        <v>67.56</v>
      </c>
      <c r="E10683">
        <v>111</v>
      </c>
      <c r="F10683">
        <v>36</v>
      </c>
      <c r="G10683">
        <v>0</v>
      </c>
      <c r="H10683">
        <v>1</v>
      </c>
      <c r="I10683">
        <v>111</v>
      </c>
      <c r="J10683">
        <v>1</v>
      </c>
      <c r="K10683">
        <v>206</v>
      </c>
      <c r="L10683">
        <v>316</v>
      </c>
      <c r="M10683">
        <v>1</v>
      </c>
      <c r="N10683">
        <v>1.09358E-41</v>
      </c>
      <c r="O10683">
        <v>417</v>
      </c>
    </row>
    <row r="10684" spans="1:15" x14ac:dyDescent="0.25">
      <c r="A10684" t="s">
        <v>10697</v>
      </c>
      <c r="B10684">
        <v>514</v>
      </c>
      <c r="C10684" s="1" t="str">
        <f>HYPERLINK("http://www.rosaceae.org/gb/gbrowse/malus_x_domestica/?name=MDP0000167844","MDP0000167844")</f>
        <v>MDP0000167844</v>
      </c>
      <c r="D10684">
        <v>56.06</v>
      </c>
      <c r="E10684">
        <v>264</v>
      </c>
      <c r="F10684">
        <v>116</v>
      </c>
      <c r="G10684">
        <v>7</v>
      </c>
      <c r="H10684">
        <v>254</v>
      </c>
      <c r="I10684">
        <v>511</v>
      </c>
      <c r="J10684">
        <v>1</v>
      </c>
      <c r="K10684">
        <v>1</v>
      </c>
      <c r="L10684">
        <v>263</v>
      </c>
      <c r="M10684">
        <v>1</v>
      </c>
      <c r="N10684">
        <v>7.3208599999999995E-69</v>
      </c>
      <c r="O10684">
        <v>660</v>
      </c>
    </row>
    <row r="10685" spans="1:15" x14ac:dyDescent="0.25">
      <c r="A10685" t="s">
        <v>10698</v>
      </c>
      <c r="B10685">
        <v>512</v>
      </c>
      <c r="C10685" s="1" t="str">
        <f>HYPERLINK("http://www.rosaceae.org/gb/gbrowse/malus_x_domestica/?name=MDP0000188977","MDP0000188977")</f>
        <v>MDP0000188977</v>
      </c>
      <c r="D10685">
        <v>72.44</v>
      </c>
      <c r="E10685">
        <v>508</v>
      </c>
      <c r="F10685">
        <v>140</v>
      </c>
      <c r="G10685">
        <v>3</v>
      </c>
      <c r="H10685">
        <v>5</v>
      </c>
      <c r="I10685">
        <v>512</v>
      </c>
      <c r="J10685">
        <v>1</v>
      </c>
      <c r="K10685">
        <v>9</v>
      </c>
      <c r="L10685">
        <v>513</v>
      </c>
      <c r="M10685">
        <v>1</v>
      </c>
      <c r="N10685">
        <v>0</v>
      </c>
      <c r="O10685">
        <v>2013</v>
      </c>
    </row>
    <row r="10686" spans="1:15" x14ac:dyDescent="0.25">
      <c r="A10686" t="s">
        <v>10699</v>
      </c>
      <c r="B10686">
        <v>1376</v>
      </c>
      <c r="C10686" s="1" t="str">
        <f>HYPERLINK("http://www.rosaceae.org/gb/gbrowse/malus_x_domestica/?name=MDP0000143891","MDP0000143891")</f>
        <v>MDP0000143891</v>
      </c>
      <c r="D10686">
        <v>79.63</v>
      </c>
      <c r="E10686">
        <v>221</v>
      </c>
      <c r="F10686">
        <v>45</v>
      </c>
      <c r="G10686">
        <v>11</v>
      </c>
      <c r="H10686">
        <v>951</v>
      </c>
      <c r="I10686">
        <v>1171</v>
      </c>
      <c r="J10686">
        <v>1</v>
      </c>
      <c r="K10686">
        <v>1</v>
      </c>
      <c r="L10686">
        <v>210</v>
      </c>
      <c r="M10686">
        <v>1</v>
      </c>
      <c r="N10686">
        <v>1.9416800000000001E-101</v>
      </c>
      <c r="O10686">
        <v>946</v>
      </c>
    </row>
    <row r="10687" spans="1:15" x14ac:dyDescent="0.25">
      <c r="A10687" t="s">
        <v>10700</v>
      </c>
      <c r="B10687">
        <v>588</v>
      </c>
      <c r="C10687" s="1" t="str">
        <f>HYPERLINK("http://www.rosaceae.org/gb/gbrowse/malus_x_domestica/?name=MDP0000312032","MDP0000312032")</f>
        <v>MDP0000312032</v>
      </c>
      <c r="D10687">
        <v>80.650000000000006</v>
      </c>
      <c r="E10687">
        <v>579</v>
      </c>
      <c r="F10687">
        <v>112</v>
      </c>
      <c r="G10687">
        <v>29</v>
      </c>
      <c r="H10687">
        <v>28</v>
      </c>
      <c r="I10687">
        <v>588</v>
      </c>
      <c r="J10687">
        <v>1</v>
      </c>
      <c r="K10687">
        <v>38</v>
      </c>
      <c r="L10687">
        <v>605</v>
      </c>
      <c r="M10687">
        <v>1</v>
      </c>
      <c r="N10687">
        <v>0</v>
      </c>
      <c r="O10687">
        <v>2469</v>
      </c>
    </row>
    <row r="10688" spans="1:15" x14ac:dyDescent="0.25">
      <c r="A10688" t="s">
        <v>10701</v>
      </c>
      <c r="B10688">
        <v>239</v>
      </c>
      <c r="C10688" s="1" t="str">
        <f>HYPERLINK("http://www.rosaceae.org/gb/gbrowse/malus_x_domestica/?name=MDP0000184998","MDP0000184998")</f>
        <v>MDP0000184998</v>
      </c>
      <c r="D10688">
        <v>78.37</v>
      </c>
      <c r="E10688">
        <v>259</v>
      </c>
      <c r="F10688">
        <v>56</v>
      </c>
      <c r="G10688">
        <v>27</v>
      </c>
      <c r="H10688">
        <v>1</v>
      </c>
      <c r="I10688">
        <v>239</v>
      </c>
      <c r="J10688">
        <v>1</v>
      </c>
      <c r="K10688">
        <v>1</v>
      </c>
      <c r="L10688">
        <v>252</v>
      </c>
      <c r="M10688">
        <v>1</v>
      </c>
      <c r="N10688">
        <v>6.0787999999999999E-109</v>
      </c>
      <c r="O10688">
        <v>1002</v>
      </c>
    </row>
    <row r="10689" spans="1:15" x14ac:dyDescent="0.25">
      <c r="A10689" t="s">
        <v>10702</v>
      </c>
      <c r="B10689">
        <v>156</v>
      </c>
      <c r="C10689" s="1" t="str">
        <f>HYPERLINK("http://www.rosaceae.org/gb/gbrowse/malus_x_domestica/?name=MDP0000296357","MDP0000296357")</f>
        <v>MDP0000296357</v>
      </c>
      <c r="D10689">
        <v>61.44</v>
      </c>
      <c r="E10689">
        <v>83</v>
      </c>
      <c r="F10689">
        <v>32</v>
      </c>
      <c r="G10689">
        <v>0</v>
      </c>
      <c r="H10689">
        <v>1</v>
      </c>
      <c r="I10689">
        <v>83</v>
      </c>
      <c r="J10689">
        <v>1</v>
      </c>
      <c r="K10689">
        <v>35</v>
      </c>
      <c r="L10689">
        <v>117</v>
      </c>
      <c r="M10689">
        <v>1</v>
      </c>
      <c r="N10689">
        <v>2.8566500000000001E-22</v>
      </c>
      <c r="O10689">
        <v>252</v>
      </c>
    </row>
    <row r="10690" spans="1:15" x14ac:dyDescent="0.25">
      <c r="A10690" t="s">
        <v>10703</v>
      </c>
      <c r="B10690">
        <v>1057</v>
      </c>
      <c r="C10690" s="1" t="str">
        <f>HYPERLINK("http://www.rosaceae.org/gb/gbrowse/malus_x_domestica/?name=MDP0000184663","MDP0000184663")</f>
        <v>MDP0000184663</v>
      </c>
      <c r="D10690">
        <v>56.15</v>
      </c>
      <c r="E10690">
        <v>967</v>
      </c>
      <c r="F10690">
        <v>424</v>
      </c>
      <c r="G10690">
        <v>117</v>
      </c>
      <c r="H10690">
        <v>33</v>
      </c>
      <c r="I10690">
        <v>921</v>
      </c>
      <c r="J10690">
        <v>1</v>
      </c>
      <c r="K10690">
        <v>21</v>
      </c>
      <c r="L10690">
        <v>948</v>
      </c>
      <c r="M10690">
        <v>1</v>
      </c>
      <c r="N10690">
        <v>0</v>
      </c>
      <c r="O10690">
        <v>2544</v>
      </c>
    </row>
    <row r="10691" spans="1:15" x14ac:dyDescent="0.25">
      <c r="A10691" t="s">
        <v>10704</v>
      </c>
      <c r="B10691">
        <v>234</v>
      </c>
      <c r="C10691" s="1" t="str">
        <f>HYPERLINK("http://www.rosaceae.org/gb/gbrowse/malus_x_domestica/?name=MDP0000608906","MDP0000608906")</f>
        <v>MDP0000608906</v>
      </c>
      <c r="D10691">
        <v>51.74</v>
      </c>
      <c r="E10691">
        <v>201</v>
      </c>
      <c r="F10691">
        <v>97</v>
      </c>
      <c r="G10691">
        <v>29</v>
      </c>
      <c r="H10691">
        <v>34</v>
      </c>
      <c r="I10691">
        <v>207</v>
      </c>
      <c r="J10691">
        <v>1</v>
      </c>
      <c r="K10691">
        <v>161</v>
      </c>
      <c r="L10691">
        <v>359</v>
      </c>
      <c r="M10691">
        <v>1</v>
      </c>
      <c r="N10691">
        <v>1.21297E-45</v>
      </c>
      <c r="O10691">
        <v>456</v>
      </c>
    </row>
    <row r="10692" spans="1:15" x14ac:dyDescent="0.25">
      <c r="A10692" t="s">
        <v>10705</v>
      </c>
      <c r="B10692">
        <v>568</v>
      </c>
      <c r="C10692" s="1" t="str">
        <f>HYPERLINK("http://www.rosaceae.org/gb/gbrowse/malus_x_domestica/?name=MDP0000268208","MDP0000268208")</f>
        <v>MDP0000268208</v>
      </c>
      <c r="D10692">
        <v>69.400000000000006</v>
      </c>
      <c r="E10692">
        <v>438</v>
      </c>
      <c r="F10692">
        <v>134</v>
      </c>
      <c r="G10692">
        <v>28</v>
      </c>
      <c r="H10692">
        <v>94</v>
      </c>
      <c r="I10692">
        <v>505</v>
      </c>
      <c r="J10692">
        <v>1</v>
      </c>
      <c r="K10692">
        <v>31</v>
      </c>
      <c r="L10692">
        <v>466</v>
      </c>
      <c r="M10692">
        <v>1</v>
      </c>
      <c r="N10692">
        <v>2.8545599999999999E-159</v>
      </c>
      <c r="O10692">
        <v>1441</v>
      </c>
    </row>
    <row r="10693" spans="1:15" x14ac:dyDescent="0.25">
      <c r="A10693" t="s">
        <v>10706</v>
      </c>
      <c r="B10693">
        <v>171</v>
      </c>
      <c r="C10693" s="1" t="str">
        <f>HYPERLINK("http://www.rosaceae.org/gb/gbrowse/malus_x_domestica/?name=MDP0000648733","MDP0000648733")</f>
        <v>MDP0000648733</v>
      </c>
      <c r="D10693">
        <v>55.68</v>
      </c>
      <c r="E10693">
        <v>167</v>
      </c>
      <c r="F10693">
        <v>74</v>
      </c>
      <c r="G10693">
        <v>11</v>
      </c>
      <c r="H10693">
        <v>2</v>
      </c>
      <c r="I10693">
        <v>167</v>
      </c>
      <c r="J10693">
        <v>1</v>
      </c>
      <c r="K10693">
        <v>4</v>
      </c>
      <c r="L10693">
        <v>160</v>
      </c>
      <c r="M10693">
        <v>1</v>
      </c>
      <c r="N10693">
        <v>8.4889500000000003E-45</v>
      </c>
      <c r="O10693">
        <v>447</v>
      </c>
    </row>
    <row r="10694" spans="1:15" x14ac:dyDescent="0.25">
      <c r="A10694" t="s">
        <v>10707</v>
      </c>
      <c r="B10694">
        <v>437</v>
      </c>
      <c r="C10694" s="1" t="str">
        <f>HYPERLINK("http://www.rosaceae.org/gb/gbrowse/malus_x_domestica/?name=MDP0000270106","MDP0000270106")</f>
        <v>MDP0000270106</v>
      </c>
      <c r="D10694">
        <v>63.14</v>
      </c>
      <c r="E10694">
        <v>369</v>
      </c>
      <c r="F10694">
        <v>136</v>
      </c>
      <c r="G10694">
        <v>25</v>
      </c>
      <c r="H10694">
        <v>1</v>
      </c>
      <c r="I10694">
        <v>357</v>
      </c>
      <c r="J10694">
        <v>1</v>
      </c>
      <c r="K10694">
        <v>1</v>
      </c>
      <c r="L10694">
        <v>356</v>
      </c>
      <c r="M10694">
        <v>1</v>
      </c>
      <c r="N10694">
        <v>5.4998899999999996E-118</v>
      </c>
      <c r="O10694">
        <v>1083</v>
      </c>
    </row>
    <row r="10695" spans="1:15" x14ac:dyDescent="0.25">
      <c r="A10695" t="s">
        <v>10708</v>
      </c>
      <c r="B10695">
        <v>580</v>
      </c>
      <c r="C10695" s="1" t="str">
        <f>HYPERLINK("http://www.rosaceae.org/gb/gbrowse/malus_x_domestica/?name=MDP0000194779","MDP0000194779")</f>
        <v>MDP0000194779</v>
      </c>
      <c r="D10695">
        <v>70.430000000000007</v>
      </c>
      <c r="E10695">
        <v>575</v>
      </c>
      <c r="F10695">
        <v>170</v>
      </c>
      <c r="G10695">
        <v>1</v>
      </c>
      <c r="H10695">
        <v>1</v>
      </c>
      <c r="I10695">
        <v>575</v>
      </c>
      <c r="J10695">
        <v>1</v>
      </c>
      <c r="K10695">
        <v>1</v>
      </c>
      <c r="L10695">
        <v>574</v>
      </c>
      <c r="M10695">
        <v>1</v>
      </c>
      <c r="N10695">
        <v>0</v>
      </c>
      <c r="O10695">
        <v>2143</v>
      </c>
    </row>
    <row r="10696" spans="1:15" x14ac:dyDescent="0.25">
      <c r="A10696" t="s">
        <v>10709</v>
      </c>
      <c r="B10696">
        <v>530</v>
      </c>
      <c r="C10696" s="1" t="str">
        <f>HYPERLINK("http://www.rosaceae.org/gb/gbrowse/malus_x_domestica/?name=MDP0000940086","MDP0000940086")</f>
        <v>MDP0000940086</v>
      </c>
      <c r="D10696">
        <v>72.319999999999993</v>
      </c>
      <c r="E10696">
        <v>524</v>
      </c>
      <c r="F10696">
        <v>145</v>
      </c>
      <c r="G10696">
        <v>2</v>
      </c>
      <c r="H10696">
        <v>1</v>
      </c>
      <c r="I10696">
        <v>522</v>
      </c>
      <c r="J10696">
        <v>1</v>
      </c>
      <c r="K10696">
        <v>1</v>
      </c>
      <c r="L10696">
        <v>524</v>
      </c>
      <c r="M10696">
        <v>1</v>
      </c>
      <c r="N10696">
        <v>0</v>
      </c>
      <c r="O10696">
        <v>2006</v>
      </c>
    </row>
    <row r="10697" spans="1:15" x14ac:dyDescent="0.25">
      <c r="A10697" t="s">
        <v>10710</v>
      </c>
      <c r="B10697">
        <v>789</v>
      </c>
      <c r="C10697" s="1" t="str">
        <f>HYPERLINK("http://www.rosaceae.org/gb/gbrowse/malus_x_domestica/?name=MDP0000124500","MDP0000124500")</f>
        <v>MDP0000124500</v>
      </c>
      <c r="D10697">
        <v>64.2</v>
      </c>
      <c r="E10697">
        <v>799</v>
      </c>
      <c r="F10697">
        <v>286</v>
      </c>
      <c r="G10697">
        <v>26</v>
      </c>
      <c r="H10697">
        <v>1</v>
      </c>
      <c r="I10697">
        <v>776</v>
      </c>
      <c r="J10697">
        <v>1</v>
      </c>
      <c r="K10697">
        <v>1</v>
      </c>
      <c r="L10697">
        <v>796</v>
      </c>
      <c r="M10697">
        <v>1</v>
      </c>
      <c r="N10697">
        <v>0</v>
      </c>
      <c r="O10697">
        <v>2594</v>
      </c>
    </row>
    <row r="10698" spans="1:15" x14ac:dyDescent="0.25">
      <c r="A10698" t="s">
        <v>10711</v>
      </c>
      <c r="B10698">
        <v>217</v>
      </c>
      <c r="C10698" s="1" t="str">
        <f>HYPERLINK("http://www.rosaceae.org/gb/gbrowse/malus_x_domestica/?name=MDP0000147129","MDP0000147129")</f>
        <v>MDP0000147129</v>
      </c>
      <c r="D10698">
        <v>55.35</v>
      </c>
      <c r="E10698">
        <v>112</v>
      </c>
      <c r="F10698">
        <v>50</v>
      </c>
      <c r="G10698">
        <v>2</v>
      </c>
      <c r="H10698">
        <v>79</v>
      </c>
      <c r="I10698">
        <v>188</v>
      </c>
      <c r="J10698">
        <v>1</v>
      </c>
      <c r="K10698">
        <v>316</v>
      </c>
      <c r="L10698">
        <v>427</v>
      </c>
      <c r="M10698">
        <v>1</v>
      </c>
      <c r="N10698">
        <v>1.94822E-28</v>
      </c>
      <c r="O10698">
        <v>307</v>
      </c>
    </row>
    <row r="10699" spans="1:15" x14ac:dyDescent="0.25">
      <c r="A10699" t="s">
        <v>10712</v>
      </c>
      <c r="B10699">
        <v>281</v>
      </c>
      <c r="C10699" s="1" t="str">
        <f>HYPERLINK("http://www.rosaceae.org/gb/gbrowse/malus_x_domestica/?name=MDP0000479436","MDP0000479436")</f>
        <v>MDP0000479436</v>
      </c>
      <c r="D10699">
        <v>73.069999999999993</v>
      </c>
      <c r="E10699">
        <v>260</v>
      </c>
      <c r="F10699">
        <v>70</v>
      </c>
      <c r="G10699">
        <v>5</v>
      </c>
      <c r="H10699">
        <v>16</v>
      </c>
      <c r="I10699">
        <v>273</v>
      </c>
      <c r="J10699">
        <v>1</v>
      </c>
      <c r="K10699">
        <v>116</v>
      </c>
      <c r="L10699">
        <v>372</v>
      </c>
      <c r="M10699">
        <v>1</v>
      </c>
      <c r="N10699">
        <v>3.8910899999999998E-106</v>
      </c>
      <c r="O10699">
        <v>979</v>
      </c>
    </row>
    <row r="10700" spans="1:15" x14ac:dyDescent="0.25">
      <c r="A10700" t="s">
        <v>10713</v>
      </c>
      <c r="B10700">
        <v>292</v>
      </c>
      <c r="C10700" s="1" t="str">
        <f>HYPERLINK("http://www.rosaceae.org/gb/gbrowse/malus_x_domestica/?name=MDP0000574451","MDP0000574451")</f>
        <v>MDP0000574451</v>
      </c>
      <c r="D10700">
        <v>35.5</v>
      </c>
      <c r="E10700">
        <v>307</v>
      </c>
      <c r="F10700">
        <v>198</v>
      </c>
      <c r="G10700">
        <v>41</v>
      </c>
      <c r="H10700">
        <v>20</v>
      </c>
      <c r="I10700">
        <v>285</v>
      </c>
      <c r="J10700">
        <v>1</v>
      </c>
      <c r="K10700">
        <v>52</v>
      </c>
      <c r="L10700">
        <v>358</v>
      </c>
      <c r="M10700">
        <v>1</v>
      </c>
      <c r="N10700">
        <v>3.8416899999999999E-37</v>
      </c>
      <c r="O10700">
        <v>384</v>
      </c>
    </row>
    <row r="10701" spans="1:15" x14ac:dyDescent="0.25">
      <c r="A10701" t="s">
        <v>10714</v>
      </c>
      <c r="B10701">
        <v>75</v>
      </c>
      <c r="C10701" s="1" t="str">
        <f>HYPERLINK("http://www.rosaceae.org/gb/gbrowse/malus_x_domestica/?name=MDP0000293966","MDP0000293966")</f>
        <v>MDP0000293966</v>
      </c>
      <c r="D10701">
        <v>42.7</v>
      </c>
      <c r="E10701">
        <v>96</v>
      </c>
      <c r="F10701">
        <v>55</v>
      </c>
      <c r="G10701">
        <v>38</v>
      </c>
      <c r="H10701">
        <v>16</v>
      </c>
      <c r="I10701">
        <v>75</v>
      </c>
      <c r="J10701">
        <v>1</v>
      </c>
      <c r="K10701">
        <v>67</v>
      </c>
      <c r="L10701">
        <v>160</v>
      </c>
      <c r="M10701">
        <v>1</v>
      </c>
      <c r="N10701">
        <v>1.69087E-12</v>
      </c>
      <c r="O10701">
        <v>165</v>
      </c>
    </row>
    <row r="10702" spans="1:15" x14ac:dyDescent="0.25">
      <c r="A10702" t="s">
        <v>10715</v>
      </c>
      <c r="B10702">
        <v>226</v>
      </c>
      <c r="C10702" s="1" t="str">
        <f>HYPERLINK("http://www.rosaceae.org/gb/gbrowse/malus_x_domestica/?name=MDP0000728845","MDP0000728845")</f>
        <v>MDP0000728845</v>
      </c>
      <c r="D10702">
        <v>32.32</v>
      </c>
      <c r="E10702">
        <v>99</v>
      </c>
      <c r="F10702">
        <v>67</v>
      </c>
      <c r="G10702">
        <v>3</v>
      </c>
      <c r="H10702">
        <v>1</v>
      </c>
      <c r="I10702">
        <v>99</v>
      </c>
      <c r="J10702">
        <v>1</v>
      </c>
      <c r="K10702">
        <v>2</v>
      </c>
      <c r="L10702">
        <v>97</v>
      </c>
      <c r="M10702">
        <v>1</v>
      </c>
      <c r="N10702">
        <v>1.59577E-9</v>
      </c>
      <c r="O10702">
        <v>144</v>
      </c>
    </row>
    <row r="10703" spans="1:15" x14ac:dyDescent="0.25">
      <c r="A10703" t="s">
        <v>10716</v>
      </c>
      <c r="B10703">
        <v>374</v>
      </c>
      <c r="C10703" s="1" t="str">
        <f>HYPERLINK("http://www.rosaceae.org/gb/gbrowse/malus_x_domestica/?name=MDP0000834641","MDP0000834641")</f>
        <v>MDP0000834641</v>
      </c>
      <c r="D10703">
        <v>74.75</v>
      </c>
      <c r="E10703">
        <v>412</v>
      </c>
      <c r="F10703">
        <v>104</v>
      </c>
      <c r="G10703">
        <v>38</v>
      </c>
      <c r="H10703">
        <v>1</v>
      </c>
      <c r="I10703">
        <v>374</v>
      </c>
      <c r="J10703">
        <v>1</v>
      </c>
      <c r="K10703">
        <v>18</v>
      </c>
      <c r="L10703">
        <v>429</v>
      </c>
      <c r="M10703">
        <v>1</v>
      </c>
      <c r="N10703">
        <v>0</v>
      </c>
      <c r="O10703">
        <v>1642</v>
      </c>
    </row>
    <row r="10704" spans="1:15" x14ac:dyDescent="0.25">
      <c r="A10704" t="s">
        <v>10717</v>
      </c>
      <c r="B10704">
        <v>196</v>
      </c>
      <c r="C10704" s="1" t="str">
        <f>HYPERLINK("http://www.rosaceae.org/gb/gbrowse/malus_x_domestica/?name=MDP0000160801","MDP0000160801")</f>
        <v>MDP0000160801</v>
      </c>
      <c r="D10704">
        <v>56.43</v>
      </c>
      <c r="E10704">
        <v>101</v>
      </c>
      <c r="F10704">
        <v>44</v>
      </c>
      <c r="G10704">
        <v>3</v>
      </c>
      <c r="H10704">
        <v>97</v>
      </c>
      <c r="I10704">
        <v>196</v>
      </c>
      <c r="J10704">
        <v>1</v>
      </c>
      <c r="K10704">
        <v>89</v>
      </c>
      <c r="L10704">
        <v>187</v>
      </c>
      <c r="M10704">
        <v>1</v>
      </c>
      <c r="N10704">
        <v>3.5609599999999999E-25</v>
      </c>
      <c r="O10704">
        <v>279</v>
      </c>
    </row>
    <row r="10705" spans="1:15" x14ac:dyDescent="0.25">
      <c r="A10705" t="s">
        <v>10718</v>
      </c>
      <c r="B10705">
        <v>150</v>
      </c>
      <c r="C10705" s="1" t="str">
        <f>HYPERLINK("http://www.rosaceae.org/gb/gbrowse/malus_x_domestica/?name=MDP0000134764","MDP0000134764")</f>
        <v>MDP0000134764</v>
      </c>
      <c r="D10705">
        <v>67.47</v>
      </c>
      <c r="E10705">
        <v>123</v>
      </c>
      <c r="F10705">
        <v>40</v>
      </c>
      <c r="G10705">
        <v>0</v>
      </c>
      <c r="H10705">
        <v>28</v>
      </c>
      <c r="I10705">
        <v>150</v>
      </c>
      <c r="J10705">
        <v>1</v>
      </c>
      <c r="K10705">
        <v>1</v>
      </c>
      <c r="L10705">
        <v>123</v>
      </c>
      <c r="M10705">
        <v>1</v>
      </c>
      <c r="N10705">
        <v>6.6717099999999998E-37</v>
      </c>
      <c r="O10705">
        <v>378</v>
      </c>
    </row>
    <row r="10706" spans="1:15" x14ac:dyDescent="0.25">
      <c r="A10706" t="s">
        <v>10719</v>
      </c>
      <c r="B10706">
        <v>293</v>
      </c>
      <c r="C10706" s="1" t="str">
        <f>HYPERLINK("http://www.rosaceae.org/gb/gbrowse/malus_x_domestica/?name=MDP0000275865","MDP0000275865")</f>
        <v>MDP0000275865</v>
      </c>
      <c r="D10706">
        <v>64.760000000000005</v>
      </c>
      <c r="E10706">
        <v>210</v>
      </c>
      <c r="F10706">
        <v>74</v>
      </c>
      <c r="G10706">
        <v>27</v>
      </c>
      <c r="H10706">
        <v>52</v>
      </c>
      <c r="I10706">
        <v>234</v>
      </c>
      <c r="J10706">
        <v>1</v>
      </c>
      <c r="K10706">
        <v>390</v>
      </c>
      <c r="L10706">
        <v>599</v>
      </c>
      <c r="M10706">
        <v>1</v>
      </c>
      <c r="N10706">
        <v>3.2345100000000001E-73</v>
      </c>
      <c r="O10706">
        <v>695</v>
      </c>
    </row>
    <row r="10707" spans="1:15" x14ac:dyDescent="0.25">
      <c r="A10707" t="s">
        <v>10720</v>
      </c>
      <c r="B10707">
        <v>788</v>
      </c>
      <c r="C10707" s="1" t="str">
        <f>HYPERLINK("http://www.rosaceae.org/gb/gbrowse/malus_x_domestica/?name=MDP0000198151","MDP0000198151")</f>
        <v>MDP0000198151</v>
      </c>
      <c r="D10707">
        <v>70.83</v>
      </c>
      <c r="E10707">
        <v>703</v>
      </c>
      <c r="F10707">
        <v>205</v>
      </c>
      <c r="G10707">
        <v>49</v>
      </c>
      <c r="H10707">
        <v>54</v>
      </c>
      <c r="I10707">
        <v>722</v>
      </c>
      <c r="J10707">
        <v>1</v>
      </c>
      <c r="K10707">
        <v>1</v>
      </c>
      <c r="L10707">
        <v>688</v>
      </c>
      <c r="M10707">
        <v>1</v>
      </c>
      <c r="N10707">
        <v>0</v>
      </c>
      <c r="O10707">
        <v>2497</v>
      </c>
    </row>
    <row r="10708" spans="1:15" x14ac:dyDescent="0.25">
      <c r="A10708" t="s">
        <v>10721</v>
      </c>
      <c r="B10708">
        <v>188</v>
      </c>
      <c r="C10708" s="1" t="str">
        <f>HYPERLINK("http://www.rosaceae.org/gb/gbrowse/malus_x_domestica/?name=MDP0000188968","MDP0000188968")</f>
        <v>MDP0000188968</v>
      </c>
      <c r="D10708">
        <v>31.08</v>
      </c>
      <c r="E10708">
        <v>193</v>
      </c>
      <c r="F10708">
        <v>133</v>
      </c>
      <c r="G10708">
        <v>24</v>
      </c>
      <c r="H10708">
        <v>3</v>
      </c>
      <c r="I10708">
        <v>180</v>
      </c>
      <c r="J10708">
        <v>1</v>
      </c>
      <c r="K10708">
        <v>258</v>
      </c>
      <c r="L10708">
        <v>441</v>
      </c>
      <c r="M10708">
        <v>1</v>
      </c>
      <c r="N10708">
        <v>2.26611E-17</v>
      </c>
      <c r="O10708">
        <v>211</v>
      </c>
    </row>
    <row r="10709" spans="1:15" x14ac:dyDescent="0.25">
      <c r="A10709" t="s">
        <v>10722</v>
      </c>
      <c r="B10709">
        <v>695</v>
      </c>
      <c r="C10709" s="1" t="str">
        <f>HYPERLINK("http://www.rosaceae.org/gb/gbrowse/malus_x_domestica/?name=MDP0000300177","MDP0000300177")</f>
        <v>MDP0000300177</v>
      </c>
      <c r="D10709">
        <v>74.459999999999994</v>
      </c>
      <c r="E10709">
        <v>603</v>
      </c>
      <c r="F10709">
        <v>154</v>
      </c>
      <c r="G10709">
        <v>31</v>
      </c>
      <c r="H10709">
        <v>106</v>
      </c>
      <c r="I10709">
        <v>689</v>
      </c>
      <c r="J10709">
        <v>1</v>
      </c>
      <c r="K10709">
        <v>13</v>
      </c>
      <c r="L10709">
        <v>603</v>
      </c>
      <c r="M10709">
        <v>1</v>
      </c>
      <c r="N10709">
        <v>0</v>
      </c>
      <c r="O10709">
        <v>2346</v>
      </c>
    </row>
    <row r="10710" spans="1:15" x14ac:dyDescent="0.25">
      <c r="A10710" t="s">
        <v>10723</v>
      </c>
      <c r="B10710">
        <v>382</v>
      </c>
      <c r="C10710" s="1" t="str">
        <f>HYPERLINK("http://www.rosaceae.org/gb/gbrowse/malus_x_domestica/?name=MDP0000774306","MDP0000774306")</f>
        <v>MDP0000774306</v>
      </c>
      <c r="D10710">
        <v>45.5</v>
      </c>
      <c r="E10710">
        <v>334</v>
      </c>
      <c r="F10710">
        <v>182</v>
      </c>
      <c r="G10710">
        <v>37</v>
      </c>
      <c r="H10710">
        <v>15</v>
      </c>
      <c r="I10710">
        <v>312</v>
      </c>
      <c r="J10710">
        <v>1</v>
      </c>
      <c r="K10710">
        <v>4</v>
      </c>
      <c r="L10710">
        <v>336</v>
      </c>
      <c r="M10710">
        <v>1</v>
      </c>
      <c r="N10710">
        <v>7.6798499999999997E-63</v>
      </c>
      <c r="O10710">
        <v>607</v>
      </c>
    </row>
    <row r="10711" spans="1:15" x14ac:dyDescent="0.25">
      <c r="A10711" t="s">
        <v>10724</v>
      </c>
      <c r="B10711">
        <v>267</v>
      </c>
      <c r="C10711" s="1" t="str">
        <f>HYPERLINK("http://www.rosaceae.org/gb/gbrowse/malus_x_domestica/?name=MDP0000120732","MDP0000120732")</f>
        <v>MDP0000120732</v>
      </c>
      <c r="D10711">
        <v>78.37</v>
      </c>
      <c r="E10711">
        <v>222</v>
      </c>
      <c r="F10711">
        <v>48</v>
      </c>
      <c r="G10711">
        <v>26</v>
      </c>
      <c r="H10711">
        <v>72</v>
      </c>
      <c r="I10711">
        <v>267</v>
      </c>
      <c r="J10711">
        <v>1</v>
      </c>
      <c r="K10711">
        <v>75</v>
      </c>
      <c r="L10711">
        <v>296</v>
      </c>
      <c r="M10711">
        <v>1</v>
      </c>
      <c r="N10711">
        <v>6.8921399999999995E-98</v>
      </c>
      <c r="O10711">
        <v>907</v>
      </c>
    </row>
    <row r="10712" spans="1:15" x14ac:dyDescent="0.25">
      <c r="A10712" t="s">
        <v>10725</v>
      </c>
      <c r="B10712">
        <v>912</v>
      </c>
      <c r="C10712" s="1" t="str">
        <f>HYPERLINK("http://www.rosaceae.org/gb/gbrowse/malus_x_domestica/?name=MDP0000208487","MDP0000208487")</f>
        <v>MDP0000208487</v>
      </c>
      <c r="D10712">
        <v>77.81</v>
      </c>
      <c r="E10712">
        <v>329</v>
      </c>
      <c r="F10712">
        <v>73</v>
      </c>
      <c r="G10712">
        <v>0</v>
      </c>
      <c r="H10712">
        <v>25</v>
      </c>
      <c r="I10712">
        <v>353</v>
      </c>
      <c r="J10712">
        <v>1</v>
      </c>
      <c r="K10712">
        <v>144</v>
      </c>
      <c r="L10712">
        <v>472</v>
      </c>
      <c r="M10712">
        <v>1</v>
      </c>
      <c r="N10712">
        <v>4.5070900000000003E-155</v>
      </c>
      <c r="O10712">
        <v>1406</v>
      </c>
    </row>
    <row r="10713" spans="1:15" x14ac:dyDescent="0.25">
      <c r="A10713" t="s">
        <v>10726</v>
      </c>
      <c r="B10713">
        <v>415</v>
      </c>
      <c r="C10713" s="1" t="str">
        <f>HYPERLINK("http://www.rosaceae.org/gb/gbrowse/malus_x_domestica/?name=MDP0000878686","MDP0000878686")</f>
        <v>MDP0000878686</v>
      </c>
      <c r="D10713">
        <v>39.69</v>
      </c>
      <c r="E10713">
        <v>398</v>
      </c>
      <c r="F10713">
        <v>240</v>
      </c>
      <c r="G10713">
        <v>55</v>
      </c>
      <c r="H10713">
        <v>2</v>
      </c>
      <c r="I10713">
        <v>391</v>
      </c>
      <c r="J10713">
        <v>1</v>
      </c>
      <c r="K10713">
        <v>1</v>
      </c>
      <c r="L10713">
        <v>351</v>
      </c>
      <c r="M10713">
        <v>1</v>
      </c>
      <c r="N10713">
        <v>1.13215E-66</v>
      </c>
      <c r="O10713">
        <v>641</v>
      </c>
    </row>
    <row r="10714" spans="1:15" x14ac:dyDescent="0.25">
      <c r="A10714" t="s">
        <v>10727</v>
      </c>
      <c r="B10714">
        <v>692</v>
      </c>
      <c r="C10714" s="1" t="str">
        <f>HYPERLINK("http://www.rosaceae.org/gb/gbrowse/malus_x_domestica/?name=MDP0000292845","MDP0000292845")</f>
        <v>MDP0000292845</v>
      </c>
      <c r="D10714">
        <v>70.349999999999994</v>
      </c>
      <c r="E10714">
        <v>732</v>
      </c>
      <c r="F10714">
        <v>217</v>
      </c>
      <c r="G10714">
        <v>45</v>
      </c>
      <c r="H10714">
        <v>1</v>
      </c>
      <c r="I10714">
        <v>692</v>
      </c>
      <c r="J10714">
        <v>1</v>
      </c>
      <c r="K10714">
        <v>1</v>
      </c>
      <c r="L10714">
        <v>727</v>
      </c>
      <c r="M10714">
        <v>1</v>
      </c>
      <c r="N10714">
        <v>0</v>
      </c>
      <c r="O10714">
        <v>2597</v>
      </c>
    </row>
    <row r="10715" spans="1:15" x14ac:dyDescent="0.25">
      <c r="A10715" t="s">
        <v>10728</v>
      </c>
      <c r="B10715">
        <v>340</v>
      </c>
      <c r="C10715" s="1" t="str">
        <f>HYPERLINK("http://www.rosaceae.org/gb/gbrowse/malus_x_domestica/?name=MDP0000275454","MDP0000275454")</f>
        <v>MDP0000275454</v>
      </c>
      <c r="D10715">
        <v>35.79</v>
      </c>
      <c r="E10715">
        <v>338</v>
      </c>
      <c r="F10715">
        <v>217</v>
      </c>
      <c r="G10715">
        <v>47</v>
      </c>
      <c r="H10715">
        <v>3</v>
      </c>
      <c r="I10715">
        <v>295</v>
      </c>
      <c r="J10715">
        <v>1</v>
      </c>
      <c r="K10715">
        <v>46</v>
      </c>
      <c r="L10715">
        <v>381</v>
      </c>
      <c r="M10715">
        <v>1</v>
      </c>
      <c r="N10715">
        <v>2.9186699999999999E-40</v>
      </c>
      <c r="O10715">
        <v>412</v>
      </c>
    </row>
    <row r="10716" spans="1:15" x14ac:dyDescent="0.25">
      <c r="A10716" t="s">
        <v>10729</v>
      </c>
      <c r="B10716">
        <v>159</v>
      </c>
      <c r="C10716" s="1" t="str">
        <f>HYPERLINK("http://www.rosaceae.org/gb/gbrowse/malus_x_domestica/?name=MDP0000196858","MDP0000196858")</f>
        <v>MDP0000196858</v>
      </c>
      <c r="D10716">
        <v>48.1</v>
      </c>
      <c r="E10716">
        <v>79</v>
      </c>
      <c r="F10716">
        <v>41</v>
      </c>
      <c r="G10716">
        <v>6</v>
      </c>
      <c r="H10716">
        <v>36</v>
      </c>
      <c r="I10716">
        <v>114</v>
      </c>
      <c r="J10716">
        <v>1</v>
      </c>
      <c r="K10716">
        <v>186</v>
      </c>
      <c r="L10716">
        <v>258</v>
      </c>
      <c r="M10716">
        <v>1</v>
      </c>
      <c r="N10716">
        <v>6.4746299999999996E-13</v>
      </c>
      <c r="O10716">
        <v>171</v>
      </c>
    </row>
    <row r="10717" spans="1:15" x14ac:dyDescent="0.25">
      <c r="A10717" t="s">
        <v>10730</v>
      </c>
      <c r="B10717">
        <v>952</v>
      </c>
      <c r="C10717" s="1" t="str">
        <f>HYPERLINK("http://www.rosaceae.org/gb/gbrowse/malus_x_domestica/?name=MDP0000287331","MDP0000287331")</f>
        <v>MDP0000287331</v>
      </c>
      <c r="D10717">
        <v>77.510000000000005</v>
      </c>
      <c r="E10717">
        <v>1005</v>
      </c>
      <c r="F10717">
        <v>226</v>
      </c>
      <c r="G10717">
        <v>53</v>
      </c>
      <c r="H10717">
        <v>1</v>
      </c>
      <c r="I10717">
        <v>952</v>
      </c>
      <c r="J10717">
        <v>1</v>
      </c>
      <c r="K10717">
        <v>1</v>
      </c>
      <c r="L10717">
        <v>1005</v>
      </c>
      <c r="M10717">
        <v>1</v>
      </c>
      <c r="N10717">
        <v>0</v>
      </c>
      <c r="O10717">
        <v>4097</v>
      </c>
    </row>
    <row r="10718" spans="1:15" x14ac:dyDescent="0.25">
      <c r="A10718" t="s">
        <v>10731</v>
      </c>
      <c r="B10718">
        <v>294</v>
      </c>
      <c r="C10718" s="1" t="str">
        <f>HYPERLINK("http://www.rosaceae.org/gb/gbrowse/malus_x_domestica/?name=MDP0000281518","MDP0000281518")</f>
        <v>MDP0000281518</v>
      </c>
      <c r="D10718">
        <v>70.959999999999994</v>
      </c>
      <c r="E10718">
        <v>248</v>
      </c>
      <c r="F10718">
        <v>72</v>
      </c>
      <c r="G10718">
        <v>1</v>
      </c>
      <c r="H10718">
        <v>47</v>
      </c>
      <c r="I10718">
        <v>294</v>
      </c>
      <c r="J10718">
        <v>1</v>
      </c>
      <c r="K10718">
        <v>1</v>
      </c>
      <c r="L10718">
        <v>247</v>
      </c>
      <c r="M10718">
        <v>1</v>
      </c>
      <c r="N10718">
        <v>5.5491400000000005E-100</v>
      </c>
      <c r="O10718">
        <v>926</v>
      </c>
    </row>
    <row r="10719" spans="1:15" x14ac:dyDescent="0.25">
      <c r="A10719" t="s">
        <v>10732</v>
      </c>
      <c r="B10719">
        <v>274</v>
      </c>
      <c r="C10719" s="1" t="str">
        <f>HYPERLINK("http://www.rosaceae.org/gb/gbrowse/malus_x_domestica/?name=MDP0000308680","MDP0000308680")</f>
        <v>MDP0000308680</v>
      </c>
      <c r="D10719">
        <v>38</v>
      </c>
      <c r="E10719">
        <v>100</v>
      </c>
      <c r="F10719">
        <v>62</v>
      </c>
      <c r="G10719">
        <v>2</v>
      </c>
      <c r="H10719">
        <v>45</v>
      </c>
      <c r="I10719">
        <v>142</v>
      </c>
      <c r="J10719">
        <v>1</v>
      </c>
      <c r="K10719">
        <v>197</v>
      </c>
      <c r="L10719">
        <v>296</v>
      </c>
      <c r="M10719">
        <v>1</v>
      </c>
      <c r="N10719">
        <v>4.4251899999999999E-14</v>
      </c>
      <c r="O10719">
        <v>185</v>
      </c>
    </row>
    <row r="10720" spans="1:15" x14ac:dyDescent="0.25">
      <c r="A10720" t="s">
        <v>10733</v>
      </c>
      <c r="B10720">
        <v>411</v>
      </c>
      <c r="C10720" s="1" t="str">
        <f>HYPERLINK("http://www.rosaceae.org/gb/gbrowse/malus_x_domestica/?name=MDP0000306760","MDP0000306760")</f>
        <v>MDP0000306760</v>
      </c>
      <c r="D10720">
        <v>40.590000000000003</v>
      </c>
      <c r="E10720">
        <v>234</v>
      </c>
      <c r="F10720">
        <v>139</v>
      </c>
      <c r="G10720">
        <v>45</v>
      </c>
      <c r="H10720">
        <v>6</v>
      </c>
      <c r="I10720">
        <v>229</v>
      </c>
      <c r="J10720">
        <v>1</v>
      </c>
      <c r="K10720">
        <v>4</v>
      </c>
      <c r="L10720">
        <v>202</v>
      </c>
      <c r="M10720">
        <v>1</v>
      </c>
      <c r="N10720">
        <v>1.0457100000000001E-36</v>
      </c>
      <c r="O10720">
        <v>382</v>
      </c>
    </row>
    <row r="10721" spans="1:15" x14ac:dyDescent="0.25">
      <c r="A10721" t="s">
        <v>10734</v>
      </c>
      <c r="B10721">
        <v>117</v>
      </c>
      <c r="C10721" s="1" t="str">
        <f>HYPERLINK("http://www.rosaceae.org/gb/gbrowse/malus_x_domestica/?name=MDP0000294904","MDP0000294904")</f>
        <v>MDP0000294904</v>
      </c>
      <c r="D10721">
        <v>53.75</v>
      </c>
      <c r="E10721">
        <v>80</v>
      </c>
      <c r="F10721">
        <v>37</v>
      </c>
      <c r="G10721">
        <v>7</v>
      </c>
      <c r="H10721">
        <v>1</v>
      </c>
      <c r="I10721">
        <v>80</v>
      </c>
      <c r="J10721">
        <v>1</v>
      </c>
      <c r="K10721">
        <v>1</v>
      </c>
      <c r="L10721">
        <v>73</v>
      </c>
      <c r="M10721">
        <v>1</v>
      </c>
      <c r="N10721">
        <v>4.7561300000000003E-17</v>
      </c>
      <c r="O10721">
        <v>204</v>
      </c>
    </row>
    <row r="10722" spans="1:15" x14ac:dyDescent="0.25">
      <c r="A10722" t="s">
        <v>10735</v>
      </c>
      <c r="B10722">
        <v>144</v>
      </c>
      <c r="C10722" s="1" t="str">
        <f>HYPERLINK("http://www.rosaceae.org/gb/gbrowse/malus_x_domestica/?name=MDP0000509428","MDP0000509428")</f>
        <v>MDP0000509428</v>
      </c>
      <c r="D10722">
        <v>77.45</v>
      </c>
      <c r="E10722">
        <v>102</v>
      </c>
      <c r="F10722">
        <v>23</v>
      </c>
      <c r="G10722">
        <v>0</v>
      </c>
      <c r="H10722">
        <v>1</v>
      </c>
      <c r="I10722">
        <v>102</v>
      </c>
      <c r="J10722">
        <v>1</v>
      </c>
      <c r="K10722">
        <v>1</v>
      </c>
      <c r="L10722">
        <v>102</v>
      </c>
      <c r="M10722">
        <v>1</v>
      </c>
      <c r="N10722">
        <v>6.0401600000000004E-41</v>
      </c>
      <c r="O10722">
        <v>412</v>
      </c>
    </row>
    <row r="10723" spans="1:15" x14ac:dyDescent="0.25">
      <c r="A10723" t="s">
        <v>10736</v>
      </c>
      <c r="B10723">
        <v>164</v>
      </c>
      <c r="C10723" s="1" t="str">
        <f>HYPERLINK("http://www.rosaceae.org/gb/gbrowse/malus_x_domestica/?name=MDP0000304966","MDP0000304966")</f>
        <v>MDP0000304966</v>
      </c>
      <c r="D10723">
        <v>51.38</v>
      </c>
      <c r="E10723">
        <v>181</v>
      </c>
      <c r="F10723">
        <v>88</v>
      </c>
      <c r="G10723">
        <v>27</v>
      </c>
      <c r="H10723">
        <v>1</v>
      </c>
      <c r="I10723">
        <v>163</v>
      </c>
      <c r="J10723">
        <v>1</v>
      </c>
      <c r="K10723">
        <v>1</v>
      </c>
      <c r="L10723">
        <v>172</v>
      </c>
      <c r="M10723">
        <v>1</v>
      </c>
      <c r="N10723">
        <v>6.1143499999999998E-33</v>
      </c>
      <c r="O10723">
        <v>344</v>
      </c>
    </row>
    <row r="10724" spans="1:15" x14ac:dyDescent="0.25">
      <c r="A10724" t="s">
        <v>10737</v>
      </c>
      <c r="B10724">
        <v>298</v>
      </c>
      <c r="C10724" s="1" t="str">
        <f>HYPERLINK("http://www.rosaceae.org/gb/gbrowse/malus_x_domestica/?name=MDP0000243940","MDP0000243940")</f>
        <v>MDP0000243940</v>
      </c>
      <c r="D10724">
        <v>44.12</v>
      </c>
      <c r="E10724">
        <v>315</v>
      </c>
      <c r="F10724">
        <v>176</v>
      </c>
      <c r="G10724">
        <v>39</v>
      </c>
      <c r="H10724">
        <v>1</v>
      </c>
      <c r="I10724">
        <v>298</v>
      </c>
      <c r="J10724">
        <v>1</v>
      </c>
      <c r="K10724">
        <v>1</v>
      </c>
      <c r="L10724">
        <v>293</v>
      </c>
      <c r="M10724">
        <v>1</v>
      </c>
      <c r="N10724">
        <v>1.74217E-52</v>
      </c>
      <c r="O10724">
        <v>517</v>
      </c>
    </row>
    <row r="10725" spans="1:15" x14ac:dyDescent="0.25">
      <c r="A10725" t="s">
        <v>10738</v>
      </c>
      <c r="B10725">
        <v>808</v>
      </c>
      <c r="C10725" s="1" t="str">
        <f>HYPERLINK("http://www.rosaceae.org/gb/gbrowse/malus_x_domestica/?name=MDP0000269525","MDP0000269525")</f>
        <v>MDP0000269525</v>
      </c>
      <c r="D10725">
        <v>42.76</v>
      </c>
      <c r="E10725">
        <v>594</v>
      </c>
      <c r="F10725">
        <v>340</v>
      </c>
      <c r="G10725">
        <v>25</v>
      </c>
      <c r="H10725">
        <v>69</v>
      </c>
      <c r="I10725">
        <v>661</v>
      </c>
      <c r="J10725">
        <v>1</v>
      </c>
      <c r="K10725">
        <v>59</v>
      </c>
      <c r="L10725">
        <v>628</v>
      </c>
      <c r="M10725">
        <v>1</v>
      </c>
      <c r="N10725">
        <v>1.4602999999999999E-126</v>
      </c>
      <c r="O10725">
        <v>1160</v>
      </c>
    </row>
    <row r="10726" spans="1:15" x14ac:dyDescent="0.25">
      <c r="A10726" t="s">
        <v>10739</v>
      </c>
      <c r="B10726">
        <v>348</v>
      </c>
      <c r="C10726" s="1" t="str">
        <f>HYPERLINK("http://www.rosaceae.org/gb/gbrowse/malus_x_domestica/?name=MDP0000251439","MDP0000251439")</f>
        <v>MDP0000251439</v>
      </c>
      <c r="D10726">
        <v>61.02</v>
      </c>
      <c r="E10726">
        <v>331</v>
      </c>
      <c r="F10726">
        <v>129</v>
      </c>
      <c r="G10726">
        <v>10</v>
      </c>
      <c r="H10726">
        <v>19</v>
      </c>
      <c r="I10726">
        <v>341</v>
      </c>
      <c r="J10726">
        <v>1</v>
      </c>
      <c r="K10726">
        <v>11</v>
      </c>
      <c r="L10726">
        <v>339</v>
      </c>
      <c r="M10726">
        <v>1</v>
      </c>
      <c r="N10726">
        <v>1.24487E-101</v>
      </c>
      <c r="O10726">
        <v>941</v>
      </c>
    </row>
    <row r="10727" spans="1:15" x14ac:dyDescent="0.25">
      <c r="A10727" t="s">
        <v>10740</v>
      </c>
      <c r="B10727">
        <v>300</v>
      </c>
      <c r="C10727" s="1" t="str">
        <f>HYPERLINK("http://www.rosaceae.org/gb/gbrowse/malus_x_domestica/?name=MDP0000839889","MDP0000839889")</f>
        <v>MDP0000839889</v>
      </c>
      <c r="D10727">
        <v>53.9</v>
      </c>
      <c r="E10727">
        <v>282</v>
      </c>
      <c r="F10727">
        <v>130</v>
      </c>
      <c r="G10727">
        <v>14</v>
      </c>
      <c r="H10727">
        <v>30</v>
      </c>
      <c r="I10727">
        <v>300</v>
      </c>
      <c r="J10727">
        <v>1</v>
      </c>
      <c r="K10727">
        <v>31</v>
      </c>
      <c r="L10727">
        <v>309</v>
      </c>
      <c r="M10727">
        <v>1</v>
      </c>
      <c r="N10727">
        <v>4.75704E-76</v>
      </c>
      <c r="O10727">
        <v>720</v>
      </c>
    </row>
    <row r="10728" spans="1:15" x14ac:dyDescent="0.25">
      <c r="A10728" t="s">
        <v>10741</v>
      </c>
      <c r="B10728">
        <v>763</v>
      </c>
      <c r="C10728" s="1" t="str">
        <f>HYPERLINK("http://www.rosaceae.org/gb/gbrowse/malus_x_domestica/?name=MDP0000295839","MDP0000295839")</f>
        <v>MDP0000295839</v>
      </c>
      <c r="D10728">
        <v>63.02</v>
      </c>
      <c r="E10728">
        <v>384</v>
      </c>
      <c r="F10728">
        <v>142</v>
      </c>
      <c r="G10728">
        <v>58</v>
      </c>
      <c r="H10728">
        <v>433</v>
      </c>
      <c r="I10728">
        <v>761</v>
      </c>
      <c r="J10728">
        <v>1</v>
      </c>
      <c r="K10728">
        <v>1</v>
      </c>
      <c r="L10728">
        <v>381</v>
      </c>
      <c r="M10728">
        <v>1</v>
      </c>
      <c r="N10728">
        <v>1.00674E-132</v>
      </c>
      <c r="O10728">
        <v>1213</v>
      </c>
    </row>
    <row r="10729" spans="1:15" x14ac:dyDescent="0.25">
      <c r="A10729" t="s">
        <v>10742</v>
      </c>
      <c r="B10729">
        <v>102</v>
      </c>
      <c r="C10729" s="1" t="str">
        <f>HYPERLINK("http://www.rosaceae.org/gb/gbrowse/malus_x_domestica/?name=MDP0000277362","MDP0000277362")</f>
        <v>MDP0000277362</v>
      </c>
      <c r="D10729">
        <v>56.69</v>
      </c>
      <c r="E10729">
        <v>127</v>
      </c>
      <c r="F10729">
        <v>55</v>
      </c>
      <c r="G10729">
        <v>28</v>
      </c>
      <c r="H10729">
        <v>1</v>
      </c>
      <c r="I10729">
        <v>99</v>
      </c>
      <c r="J10729">
        <v>1</v>
      </c>
      <c r="K10729">
        <v>363</v>
      </c>
      <c r="L10729">
        <v>489</v>
      </c>
      <c r="M10729">
        <v>1</v>
      </c>
      <c r="N10729">
        <v>2.1769999999999999E-33</v>
      </c>
      <c r="O10729">
        <v>345</v>
      </c>
    </row>
    <row r="10730" spans="1:15" x14ac:dyDescent="0.25">
      <c r="A10730" t="s">
        <v>10743</v>
      </c>
      <c r="B10730">
        <v>223</v>
      </c>
      <c r="C10730" s="1" t="str">
        <f>HYPERLINK("http://www.rosaceae.org/gb/gbrowse/malus_x_domestica/?name=MDP0000250703","MDP0000250703")</f>
        <v>MDP0000250703</v>
      </c>
      <c r="D10730">
        <v>33.33</v>
      </c>
      <c r="E10730">
        <v>111</v>
      </c>
      <c r="F10730">
        <v>74</v>
      </c>
      <c r="G10730">
        <v>1</v>
      </c>
      <c r="H10730">
        <v>112</v>
      </c>
      <c r="I10730">
        <v>221</v>
      </c>
      <c r="J10730">
        <v>1</v>
      </c>
      <c r="K10730">
        <v>390</v>
      </c>
      <c r="L10730">
        <v>500</v>
      </c>
      <c r="M10730">
        <v>1</v>
      </c>
      <c r="N10730">
        <v>2.42344E-10</v>
      </c>
      <c r="O10730">
        <v>151</v>
      </c>
    </row>
    <row r="10731" spans="1:15" x14ac:dyDescent="0.25">
      <c r="A10731" t="s">
        <v>10744</v>
      </c>
      <c r="B10731">
        <v>194</v>
      </c>
      <c r="C10731" s="1" t="str">
        <f>HYPERLINK("http://www.rosaceae.org/gb/gbrowse/malus_x_domestica/?name=MDP0000499035","MDP0000499035")</f>
        <v>MDP0000499035</v>
      </c>
      <c r="D10731">
        <v>98.36</v>
      </c>
      <c r="E10731">
        <v>122</v>
      </c>
      <c r="F10731">
        <v>2</v>
      </c>
      <c r="G10731">
        <v>0</v>
      </c>
      <c r="H10731">
        <v>25</v>
      </c>
      <c r="I10731">
        <v>146</v>
      </c>
      <c r="J10731">
        <v>1</v>
      </c>
      <c r="K10731">
        <v>100</v>
      </c>
      <c r="L10731">
        <v>221</v>
      </c>
      <c r="M10731">
        <v>1</v>
      </c>
      <c r="N10731">
        <v>3.1484300000000002E-62</v>
      </c>
      <c r="O10731">
        <v>598</v>
      </c>
    </row>
    <row r="10732" spans="1:15" x14ac:dyDescent="0.25">
      <c r="A10732" t="s">
        <v>10745</v>
      </c>
      <c r="B10732">
        <v>204</v>
      </c>
      <c r="C10732" s="1" t="str">
        <f>HYPERLINK("http://www.rosaceae.org/gb/gbrowse/malus_x_domestica/?name=MDP0000159766","MDP0000159766")</f>
        <v>MDP0000159766</v>
      </c>
      <c r="D10732">
        <v>76.47</v>
      </c>
      <c r="E10732">
        <v>153</v>
      </c>
      <c r="F10732">
        <v>36</v>
      </c>
      <c r="G10732">
        <v>0</v>
      </c>
      <c r="H10732">
        <v>23</v>
      </c>
      <c r="I10732">
        <v>175</v>
      </c>
      <c r="J10732">
        <v>1</v>
      </c>
      <c r="K10732">
        <v>13</v>
      </c>
      <c r="L10732">
        <v>165</v>
      </c>
      <c r="M10732">
        <v>1</v>
      </c>
      <c r="N10732">
        <v>6.6767100000000002E-68</v>
      </c>
      <c r="O10732">
        <v>647</v>
      </c>
    </row>
    <row r="10733" spans="1:15" x14ac:dyDescent="0.25">
      <c r="A10733" t="s">
        <v>10746</v>
      </c>
      <c r="B10733">
        <v>47</v>
      </c>
      <c r="C10733" s="1" t="str">
        <f>HYPERLINK("http://www.rosaceae.org/gb/gbrowse/malus_x_domestica/?name=MDP0000430983","MDP0000430983")</f>
        <v>MDP0000430983</v>
      </c>
      <c r="D10733">
        <v>69.760000000000005</v>
      </c>
      <c r="E10733">
        <v>43</v>
      </c>
      <c r="F10733">
        <v>13</v>
      </c>
      <c r="G10733">
        <v>0</v>
      </c>
      <c r="H10733">
        <v>1</v>
      </c>
      <c r="I10733">
        <v>43</v>
      </c>
      <c r="J10733">
        <v>1</v>
      </c>
      <c r="K10733">
        <v>1</v>
      </c>
      <c r="L10733">
        <v>43</v>
      </c>
      <c r="M10733">
        <v>1</v>
      </c>
      <c r="N10733">
        <v>1.27563E-15</v>
      </c>
      <c r="O10733">
        <v>192</v>
      </c>
    </row>
    <row r="10734" spans="1:15" x14ac:dyDescent="0.25">
      <c r="A10734" t="s">
        <v>10747</v>
      </c>
      <c r="B10734">
        <v>392</v>
      </c>
      <c r="C10734" s="1" t="str">
        <f>HYPERLINK("http://www.rosaceae.org/gb/gbrowse/malus_x_domestica/?name=MDP0000242368","MDP0000242368")</f>
        <v>MDP0000242368</v>
      </c>
      <c r="D10734">
        <v>59.38</v>
      </c>
      <c r="E10734">
        <v>357</v>
      </c>
      <c r="F10734">
        <v>145</v>
      </c>
      <c r="G10734">
        <v>9</v>
      </c>
      <c r="H10734">
        <v>4</v>
      </c>
      <c r="I10734">
        <v>360</v>
      </c>
      <c r="J10734">
        <v>1</v>
      </c>
      <c r="K10734">
        <v>3</v>
      </c>
      <c r="L10734">
        <v>350</v>
      </c>
      <c r="M10734">
        <v>1</v>
      </c>
      <c r="N10734">
        <v>1.6888200000000002E-114</v>
      </c>
      <c r="O10734">
        <v>1053</v>
      </c>
    </row>
    <row r="10735" spans="1:15" x14ac:dyDescent="0.25">
      <c r="A10735" t="s">
        <v>10748</v>
      </c>
      <c r="B10735">
        <v>141</v>
      </c>
      <c r="C10735" s="1" t="str">
        <f>HYPERLINK("http://www.rosaceae.org/gb/gbrowse/malus_x_domestica/?name=MDP0000186122","MDP0000186122")</f>
        <v>MDP0000186122</v>
      </c>
      <c r="D10735">
        <v>76.150000000000006</v>
      </c>
      <c r="E10735">
        <v>151</v>
      </c>
      <c r="F10735">
        <v>36</v>
      </c>
      <c r="G10735">
        <v>11</v>
      </c>
      <c r="H10735">
        <v>1</v>
      </c>
      <c r="I10735">
        <v>140</v>
      </c>
      <c r="J10735">
        <v>1</v>
      </c>
      <c r="K10735">
        <v>286</v>
      </c>
      <c r="L10735">
        <v>436</v>
      </c>
      <c r="M10735">
        <v>1</v>
      </c>
      <c r="N10735">
        <v>2.99608E-63</v>
      </c>
      <c r="O10735">
        <v>604</v>
      </c>
    </row>
    <row r="10736" spans="1:15" x14ac:dyDescent="0.25">
      <c r="A10736" t="s">
        <v>10749</v>
      </c>
      <c r="B10736">
        <v>626</v>
      </c>
      <c r="C10736" s="1" t="str">
        <f>HYPERLINK("http://www.rosaceae.org/gb/gbrowse/malus_x_domestica/?name=MDP0000156408","MDP0000156408")</f>
        <v>MDP0000156408</v>
      </c>
      <c r="D10736">
        <v>61.7</v>
      </c>
      <c r="E10736">
        <v>645</v>
      </c>
      <c r="F10736">
        <v>247</v>
      </c>
      <c r="G10736">
        <v>30</v>
      </c>
      <c r="H10736">
        <v>1</v>
      </c>
      <c r="I10736">
        <v>626</v>
      </c>
      <c r="J10736">
        <v>1</v>
      </c>
      <c r="K10736">
        <v>1</v>
      </c>
      <c r="L10736">
        <v>634</v>
      </c>
      <c r="M10736">
        <v>1</v>
      </c>
      <c r="N10736">
        <v>0</v>
      </c>
      <c r="O10736">
        <v>1798</v>
      </c>
    </row>
    <row r="10737" spans="1:15" x14ac:dyDescent="0.25">
      <c r="A10737" t="s">
        <v>10750</v>
      </c>
      <c r="B10737">
        <v>368</v>
      </c>
      <c r="C10737" s="1" t="str">
        <f>HYPERLINK("http://www.rosaceae.org/gb/gbrowse/malus_x_domestica/?name=MDP0000123018","MDP0000123018")</f>
        <v>MDP0000123018</v>
      </c>
      <c r="D10737">
        <v>87.11</v>
      </c>
      <c r="E10737">
        <v>326</v>
      </c>
      <c r="F10737">
        <v>42</v>
      </c>
      <c r="G10737">
        <v>6</v>
      </c>
      <c r="H10737">
        <v>48</v>
      </c>
      <c r="I10737">
        <v>368</v>
      </c>
      <c r="J10737">
        <v>1</v>
      </c>
      <c r="K10737">
        <v>63</v>
      </c>
      <c r="L10737">
        <v>387</v>
      </c>
      <c r="M10737">
        <v>1</v>
      </c>
      <c r="N10737">
        <v>2.1817299999999998E-167</v>
      </c>
      <c r="O10737">
        <v>1509</v>
      </c>
    </row>
    <row r="10738" spans="1:15" x14ac:dyDescent="0.25">
      <c r="A10738" t="s">
        <v>10751</v>
      </c>
      <c r="B10738">
        <v>124</v>
      </c>
      <c r="C10738" s="1" t="str">
        <f>HYPERLINK("http://www.rosaceae.org/gb/gbrowse/malus_x_domestica/?name=MDP0000704196","MDP0000704196")</f>
        <v>MDP0000704196</v>
      </c>
      <c r="D10738">
        <v>83.06</v>
      </c>
      <c r="E10738">
        <v>124</v>
      </c>
      <c r="F10738">
        <v>21</v>
      </c>
      <c r="G10738">
        <v>1</v>
      </c>
      <c r="H10738">
        <v>1</v>
      </c>
      <c r="I10738">
        <v>124</v>
      </c>
      <c r="J10738">
        <v>1</v>
      </c>
      <c r="K10738">
        <v>1</v>
      </c>
      <c r="L10738">
        <v>123</v>
      </c>
      <c r="M10738">
        <v>1</v>
      </c>
      <c r="N10738">
        <v>3.85559E-55</v>
      </c>
      <c r="O10738">
        <v>533</v>
      </c>
    </row>
    <row r="10739" spans="1:15" x14ac:dyDescent="0.25">
      <c r="A10739" t="s">
        <v>10752</v>
      </c>
      <c r="B10739">
        <v>240</v>
      </c>
      <c r="C10739" s="1" t="str">
        <f>HYPERLINK("http://www.rosaceae.org/gb/gbrowse/malus_x_domestica/?name=MDP0000201190","MDP0000201190")</f>
        <v>MDP0000201190</v>
      </c>
      <c r="D10739">
        <v>62.34</v>
      </c>
      <c r="E10739">
        <v>239</v>
      </c>
      <c r="F10739">
        <v>90</v>
      </c>
      <c r="G10739">
        <v>11</v>
      </c>
      <c r="H10739">
        <v>1</v>
      </c>
      <c r="I10739">
        <v>234</v>
      </c>
      <c r="J10739">
        <v>1</v>
      </c>
      <c r="K10739">
        <v>747</v>
      </c>
      <c r="L10739">
        <v>979</v>
      </c>
      <c r="M10739">
        <v>1</v>
      </c>
      <c r="N10739">
        <v>6.2458400000000002E-69</v>
      </c>
      <c r="O10739">
        <v>657</v>
      </c>
    </row>
    <row r="10740" spans="1:15" x14ac:dyDescent="0.25">
      <c r="A10740" t="s">
        <v>10753</v>
      </c>
      <c r="B10740">
        <v>656</v>
      </c>
      <c r="C10740" s="1" t="str">
        <f>HYPERLINK("http://www.rosaceae.org/gb/gbrowse/malus_x_domestica/?name=MDP0000203469","MDP0000203469")</f>
        <v>MDP0000203469</v>
      </c>
      <c r="D10740">
        <v>39.17</v>
      </c>
      <c r="E10740">
        <v>531</v>
      </c>
      <c r="F10740">
        <v>323</v>
      </c>
      <c r="G10740">
        <v>66</v>
      </c>
      <c r="H10740">
        <v>137</v>
      </c>
      <c r="I10740">
        <v>653</v>
      </c>
      <c r="J10740">
        <v>1</v>
      </c>
      <c r="K10740">
        <v>71</v>
      </c>
      <c r="L10740">
        <v>549</v>
      </c>
      <c r="M10740">
        <v>1</v>
      </c>
      <c r="N10740">
        <v>6.35862E-83</v>
      </c>
      <c r="O10740">
        <v>783</v>
      </c>
    </row>
    <row r="10741" spans="1:15" x14ac:dyDescent="0.25">
      <c r="A10741" t="s">
        <v>10754</v>
      </c>
      <c r="B10741">
        <v>594</v>
      </c>
      <c r="C10741" s="1" t="str">
        <f>HYPERLINK("http://www.rosaceae.org/gb/gbrowse/malus_x_domestica/?name=MDP0000183061","MDP0000183061")</f>
        <v>MDP0000183061</v>
      </c>
      <c r="D10741">
        <v>62.74</v>
      </c>
      <c r="E10741">
        <v>561</v>
      </c>
      <c r="F10741">
        <v>209</v>
      </c>
      <c r="G10741">
        <v>31</v>
      </c>
      <c r="H10741">
        <v>48</v>
      </c>
      <c r="I10741">
        <v>594</v>
      </c>
      <c r="J10741">
        <v>1</v>
      </c>
      <c r="K10741">
        <v>163</v>
      </c>
      <c r="L10741">
        <v>706</v>
      </c>
      <c r="M10741">
        <v>1</v>
      </c>
      <c r="N10741">
        <v>0</v>
      </c>
      <c r="O10741">
        <v>1745</v>
      </c>
    </row>
    <row r="10742" spans="1:15" x14ac:dyDescent="0.25">
      <c r="A10742" t="s">
        <v>10755</v>
      </c>
      <c r="B10742">
        <v>556</v>
      </c>
      <c r="C10742" s="1" t="str">
        <f>HYPERLINK("http://www.rosaceae.org/gb/gbrowse/malus_x_domestica/?name=MDP0000134067","MDP0000134067")</f>
        <v>MDP0000134067</v>
      </c>
      <c r="D10742">
        <v>59.52</v>
      </c>
      <c r="E10742">
        <v>546</v>
      </c>
      <c r="F10742">
        <v>221</v>
      </c>
      <c r="G10742">
        <v>60</v>
      </c>
      <c r="H10742">
        <v>2</v>
      </c>
      <c r="I10742">
        <v>533</v>
      </c>
      <c r="J10742">
        <v>1</v>
      </c>
      <c r="K10742">
        <v>1</v>
      </c>
      <c r="L10742">
        <v>500</v>
      </c>
      <c r="M10742">
        <v>1</v>
      </c>
      <c r="N10742">
        <v>2.5448200000000001E-176</v>
      </c>
      <c r="O10742">
        <v>1588</v>
      </c>
    </row>
    <row r="10743" spans="1:15" x14ac:dyDescent="0.25">
      <c r="A10743" t="s">
        <v>10756</v>
      </c>
      <c r="B10743">
        <v>216</v>
      </c>
      <c r="C10743" s="1" t="str">
        <f>HYPERLINK("http://www.rosaceae.org/gb/gbrowse/malus_x_domestica/?name=MDP0000268880","MDP0000268880")</f>
        <v>MDP0000268880</v>
      </c>
      <c r="D10743">
        <v>61.45</v>
      </c>
      <c r="E10743">
        <v>96</v>
      </c>
      <c r="F10743">
        <v>37</v>
      </c>
      <c r="G10743">
        <v>7</v>
      </c>
      <c r="H10743">
        <v>120</v>
      </c>
      <c r="I10743">
        <v>215</v>
      </c>
      <c r="J10743">
        <v>1</v>
      </c>
      <c r="K10743">
        <v>2</v>
      </c>
      <c r="L10743">
        <v>90</v>
      </c>
      <c r="M10743">
        <v>1</v>
      </c>
      <c r="N10743">
        <v>1.7207300000000002E-24</v>
      </c>
      <c r="O10743">
        <v>273</v>
      </c>
    </row>
    <row r="10744" spans="1:15" x14ac:dyDescent="0.25">
      <c r="A10744" t="s">
        <v>10757</v>
      </c>
      <c r="B10744">
        <v>643</v>
      </c>
      <c r="C10744" s="1" t="str">
        <f>HYPERLINK("http://www.rosaceae.org/gb/gbrowse/malus_x_domestica/?name=MDP0000913709","MDP0000913709")</f>
        <v>MDP0000913709</v>
      </c>
      <c r="D10744">
        <v>90.71</v>
      </c>
      <c r="E10744">
        <v>334</v>
      </c>
      <c r="F10744">
        <v>31</v>
      </c>
      <c r="G10744">
        <v>0</v>
      </c>
      <c r="H10744">
        <v>310</v>
      </c>
      <c r="I10744">
        <v>643</v>
      </c>
      <c r="J10744">
        <v>1</v>
      </c>
      <c r="K10744">
        <v>1</v>
      </c>
      <c r="L10744">
        <v>334</v>
      </c>
      <c r="M10744">
        <v>1</v>
      </c>
      <c r="N10744">
        <v>3.57086E-177</v>
      </c>
      <c r="O10744">
        <v>1596</v>
      </c>
    </row>
    <row r="10745" spans="1:15" x14ac:dyDescent="0.25">
      <c r="A10745" t="s">
        <v>10758</v>
      </c>
      <c r="B10745">
        <v>242</v>
      </c>
      <c r="C10745" s="1" t="str">
        <f>HYPERLINK("http://www.rosaceae.org/gb/gbrowse/malus_x_domestica/?name=MDP0000202115","MDP0000202115")</f>
        <v>MDP0000202115</v>
      </c>
      <c r="D10745">
        <v>70.37</v>
      </c>
      <c r="E10745">
        <v>243</v>
      </c>
      <c r="F10745">
        <v>72</v>
      </c>
      <c r="G10745">
        <v>9</v>
      </c>
      <c r="H10745">
        <v>1</v>
      </c>
      <c r="I10745">
        <v>242</v>
      </c>
      <c r="J10745">
        <v>1</v>
      </c>
      <c r="K10745">
        <v>1</v>
      </c>
      <c r="L10745">
        <v>235</v>
      </c>
      <c r="M10745">
        <v>1</v>
      </c>
      <c r="N10745">
        <v>1.1248399999999999E-94</v>
      </c>
      <c r="O10745">
        <v>879</v>
      </c>
    </row>
    <row r="10746" spans="1:15" x14ac:dyDescent="0.25">
      <c r="A10746" t="s">
        <v>10759</v>
      </c>
      <c r="B10746">
        <v>383</v>
      </c>
      <c r="C10746" s="1" t="str">
        <f>HYPERLINK("http://www.rosaceae.org/gb/gbrowse/malus_x_domestica/?name=MDP0000189391","MDP0000189391")</f>
        <v>MDP0000189391</v>
      </c>
      <c r="D10746">
        <v>57.48</v>
      </c>
      <c r="E10746">
        <v>294</v>
      </c>
      <c r="F10746">
        <v>125</v>
      </c>
      <c r="G10746">
        <v>3</v>
      </c>
      <c r="H10746">
        <v>89</v>
      </c>
      <c r="I10746">
        <v>379</v>
      </c>
      <c r="J10746">
        <v>1</v>
      </c>
      <c r="K10746">
        <v>287</v>
      </c>
      <c r="L10746">
        <v>580</v>
      </c>
      <c r="M10746">
        <v>1</v>
      </c>
      <c r="N10746">
        <v>1.4993399999999999E-98</v>
      </c>
      <c r="O10746">
        <v>915</v>
      </c>
    </row>
    <row r="10747" spans="1:15" x14ac:dyDescent="0.25">
      <c r="A10747" t="s">
        <v>10760</v>
      </c>
      <c r="B10747">
        <v>208</v>
      </c>
      <c r="C10747" s="1" t="str">
        <f>HYPERLINK("http://www.rosaceae.org/gb/gbrowse/malus_x_domestica/?name=MDP0000924194","MDP0000924194")</f>
        <v>MDP0000924194</v>
      </c>
      <c r="D10747">
        <v>55.65</v>
      </c>
      <c r="E10747">
        <v>230</v>
      </c>
      <c r="F10747">
        <v>102</v>
      </c>
      <c r="G10747">
        <v>27</v>
      </c>
      <c r="H10747">
        <v>2</v>
      </c>
      <c r="I10747">
        <v>208</v>
      </c>
      <c r="J10747">
        <v>1</v>
      </c>
      <c r="K10747">
        <v>1</v>
      </c>
      <c r="L10747">
        <v>226</v>
      </c>
      <c r="M10747">
        <v>1</v>
      </c>
      <c r="N10747">
        <v>6.0913000000000003E-53</v>
      </c>
      <c r="O10747">
        <v>518</v>
      </c>
    </row>
    <row r="10748" spans="1:15" x14ac:dyDescent="0.25">
      <c r="A10748" t="s">
        <v>10761</v>
      </c>
      <c r="B10748">
        <v>646</v>
      </c>
      <c r="C10748" s="1" t="str">
        <f>HYPERLINK("http://www.rosaceae.org/gb/gbrowse/malus_x_domestica/?name=MDP0000326344","MDP0000326344")</f>
        <v>MDP0000326344</v>
      </c>
      <c r="D10748">
        <v>40.93</v>
      </c>
      <c r="E10748">
        <v>342</v>
      </c>
      <c r="F10748">
        <v>202</v>
      </c>
      <c r="G10748">
        <v>48</v>
      </c>
      <c r="H10748">
        <v>25</v>
      </c>
      <c r="I10748">
        <v>323</v>
      </c>
      <c r="J10748">
        <v>1</v>
      </c>
      <c r="K10748">
        <v>13</v>
      </c>
      <c r="L10748">
        <v>349</v>
      </c>
      <c r="M10748">
        <v>1</v>
      </c>
      <c r="N10748">
        <v>1.8001700000000001E-55</v>
      </c>
      <c r="O10748">
        <v>546</v>
      </c>
    </row>
    <row r="10749" spans="1:15" x14ac:dyDescent="0.25">
      <c r="A10749" t="s">
        <v>10762</v>
      </c>
      <c r="B10749">
        <v>395</v>
      </c>
      <c r="C10749" s="1" t="str">
        <f>HYPERLINK("http://www.rosaceae.org/gb/gbrowse/malus_x_domestica/?name=MDP0000276691","MDP0000276691")</f>
        <v>MDP0000276691</v>
      </c>
      <c r="D10749">
        <v>68.819999999999993</v>
      </c>
      <c r="E10749">
        <v>401</v>
      </c>
      <c r="F10749">
        <v>125</v>
      </c>
      <c r="G10749">
        <v>10</v>
      </c>
      <c r="H10749">
        <v>1</v>
      </c>
      <c r="I10749">
        <v>395</v>
      </c>
      <c r="J10749">
        <v>1</v>
      </c>
      <c r="K10749">
        <v>1</v>
      </c>
      <c r="L10749">
        <v>397</v>
      </c>
      <c r="M10749">
        <v>1</v>
      </c>
      <c r="N10749">
        <v>4.4160499999999997E-148</v>
      </c>
      <c r="O10749">
        <v>1342</v>
      </c>
    </row>
    <row r="10750" spans="1:15" x14ac:dyDescent="0.25">
      <c r="A10750" t="s">
        <v>10763</v>
      </c>
      <c r="B10750">
        <v>325</v>
      </c>
      <c r="C10750" s="1" t="str">
        <f>HYPERLINK("http://www.rosaceae.org/gb/gbrowse/malus_x_domestica/?name=MDP0000150490","MDP0000150490")</f>
        <v>MDP0000150490</v>
      </c>
      <c r="D10750">
        <v>80.2</v>
      </c>
      <c r="E10750">
        <v>288</v>
      </c>
      <c r="F10750">
        <v>57</v>
      </c>
      <c r="G10750">
        <v>12</v>
      </c>
      <c r="H10750">
        <v>21</v>
      </c>
      <c r="I10750">
        <v>308</v>
      </c>
      <c r="J10750">
        <v>1</v>
      </c>
      <c r="K10750">
        <v>165</v>
      </c>
      <c r="L10750">
        <v>440</v>
      </c>
      <c r="M10750">
        <v>1</v>
      </c>
      <c r="N10750">
        <v>4.9728299999999995E-134</v>
      </c>
      <c r="O10750">
        <v>1220</v>
      </c>
    </row>
    <row r="10751" spans="1:15" x14ac:dyDescent="0.25">
      <c r="A10751" t="s">
        <v>10764</v>
      </c>
      <c r="B10751">
        <v>351</v>
      </c>
      <c r="C10751" s="1" t="str">
        <f>HYPERLINK("http://www.rosaceae.org/gb/gbrowse/malus_x_domestica/?name=MDP0000286477","MDP0000286477")</f>
        <v>MDP0000286477</v>
      </c>
      <c r="D10751">
        <v>56.61</v>
      </c>
      <c r="E10751">
        <v>136</v>
      </c>
      <c r="F10751">
        <v>59</v>
      </c>
      <c r="G10751">
        <v>8</v>
      </c>
      <c r="H10751">
        <v>1</v>
      </c>
      <c r="I10751">
        <v>132</v>
      </c>
      <c r="J10751">
        <v>1</v>
      </c>
      <c r="K10751">
        <v>1</v>
      </c>
      <c r="L10751">
        <v>132</v>
      </c>
      <c r="M10751">
        <v>1</v>
      </c>
      <c r="N10751">
        <v>7.4658199999999999E-37</v>
      </c>
      <c r="O10751">
        <v>383</v>
      </c>
    </row>
    <row r="10752" spans="1:15" x14ac:dyDescent="0.25">
      <c r="A10752" t="s">
        <v>10765</v>
      </c>
      <c r="B10752">
        <v>382</v>
      </c>
      <c r="C10752" s="1" t="str">
        <f>HYPERLINK("http://www.rosaceae.org/gb/gbrowse/malus_x_domestica/?name=MDP0000688533","MDP0000688533")</f>
        <v>MDP0000688533</v>
      </c>
      <c r="D10752">
        <v>42.93</v>
      </c>
      <c r="E10752">
        <v>382</v>
      </c>
      <c r="F10752">
        <v>218</v>
      </c>
      <c r="G10752">
        <v>89</v>
      </c>
      <c r="H10752">
        <v>1</v>
      </c>
      <c r="I10752">
        <v>302</v>
      </c>
      <c r="J10752">
        <v>1</v>
      </c>
      <c r="K10752">
        <v>163</v>
      </c>
      <c r="L10752">
        <v>535</v>
      </c>
      <c r="M10752">
        <v>1</v>
      </c>
      <c r="N10752">
        <v>2.8437200000000001E-65</v>
      </c>
      <c r="O10752">
        <v>628</v>
      </c>
    </row>
    <row r="10753" spans="1:15" x14ac:dyDescent="0.25">
      <c r="A10753" t="s">
        <v>10766</v>
      </c>
      <c r="B10753">
        <v>235</v>
      </c>
      <c r="C10753" s="1" t="str">
        <f>HYPERLINK("http://www.rosaceae.org/gb/gbrowse/malus_x_domestica/?name=MDP0000278580","MDP0000278580")</f>
        <v>MDP0000278580</v>
      </c>
      <c r="D10753">
        <v>67.72</v>
      </c>
      <c r="E10753">
        <v>158</v>
      </c>
      <c r="F10753">
        <v>51</v>
      </c>
      <c r="G10753">
        <v>1</v>
      </c>
      <c r="H10753">
        <v>60</v>
      </c>
      <c r="I10753">
        <v>217</v>
      </c>
      <c r="J10753">
        <v>1</v>
      </c>
      <c r="K10753">
        <v>645</v>
      </c>
      <c r="L10753">
        <v>801</v>
      </c>
      <c r="M10753">
        <v>1</v>
      </c>
      <c r="N10753">
        <v>4.0445400000000003E-61</v>
      </c>
      <c r="O10753">
        <v>590</v>
      </c>
    </row>
    <row r="10754" spans="1:15" x14ac:dyDescent="0.25">
      <c r="A10754" t="s">
        <v>10767</v>
      </c>
      <c r="B10754">
        <v>108</v>
      </c>
      <c r="C10754" s="1" t="str">
        <f>HYPERLINK("http://www.rosaceae.org/gb/gbrowse/malus_x_domestica/?name=MDP0000292256","MDP0000292256")</f>
        <v>MDP0000292256</v>
      </c>
      <c r="D10754">
        <v>93.51</v>
      </c>
      <c r="E10754">
        <v>108</v>
      </c>
      <c r="F10754">
        <v>7</v>
      </c>
      <c r="G10754">
        <v>0</v>
      </c>
      <c r="H10754">
        <v>1</v>
      </c>
      <c r="I10754">
        <v>108</v>
      </c>
      <c r="J10754">
        <v>1</v>
      </c>
      <c r="K10754">
        <v>301</v>
      </c>
      <c r="L10754">
        <v>408</v>
      </c>
      <c r="M10754">
        <v>1</v>
      </c>
      <c r="N10754">
        <v>2.5663899999999999E-58</v>
      </c>
      <c r="O10754">
        <v>560</v>
      </c>
    </row>
    <row r="10755" spans="1:15" x14ac:dyDescent="0.25">
      <c r="A10755" t="s">
        <v>10768</v>
      </c>
      <c r="B10755">
        <v>297</v>
      </c>
      <c r="C10755" s="1" t="str">
        <f>HYPERLINK("http://www.rosaceae.org/gb/gbrowse/malus_x_domestica/?name=MDP0000177291","MDP0000177291")</f>
        <v>MDP0000177291</v>
      </c>
      <c r="D10755">
        <v>60.18</v>
      </c>
      <c r="E10755">
        <v>329</v>
      </c>
      <c r="F10755">
        <v>131</v>
      </c>
      <c r="G10755">
        <v>40</v>
      </c>
      <c r="H10755">
        <v>6</v>
      </c>
      <c r="I10755">
        <v>297</v>
      </c>
      <c r="J10755">
        <v>1</v>
      </c>
      <c r="K10755">
        <v>79</v>
      </c>
      <c r="L10755">
        <v>404</v>
      </c>
      <c r="M10755">
        <v>1</v>
      </c>
      <c r="N10755">
        <v>1.93324E-107</v>
      </c>
      <c r="O10755">
        <v>990</v>
      </c>
    </row>
    <row r="10756" spans="1:15" x14ac:dyDescent="0.25">
      <c r="A10756" t="s">
        <v>10769</v>
      </c>
      <c r="B10756">
        <v>767</v>
      </c>
      <c r="C10756" s="1" t="str">
        <f>HYPERLINK("http://www.rosaceae.org/gb/gbrowse/malus_x_domestica/?name=MDP0000186402","MDP0000186402")</f>
        <v>MDP0000186402</v>
      </c>
      <c r="D10756">
        <v>36.03</v>
      </c>
      <c r="E10756">
        <v>111</v>
      </c>
      <c r="F10756">
        <v>71</v>
      </c>
      <c r="G10756">
        <v>0</v>
      </c>
      <c r="H10756">
        <v>409</v>
      </c>
      <c r="I10756">
        <v>519</v>
      </c>
      <c r="J10756">
        <v>1</v>
      </c>
      <c r="K10756">
        <v>424</v>
      </c>
      <c r="L10756">
        <v>534</v>
      </c>
      <c r="M10756">
        <v>1</v>
      </c>
      <c r="N10756">
        <v>7.4427500000000005E-16</v>
      </c>
      <c r="O10756">
        <v>205</v>
      </c>
    </row>
    <row r="10757" spans="1:15" x14ac:dyDescent="0.25">
      <c r="A10757" t="s">
        <v>10770</v>
      </c>
      <c r="B10757">
        <v>617</v>
      </c>
      <c r="C10757" s="1" t="str">
        <f>HYPERLINK("http://www.rosaceae.org/gb/gbrowse/malus_x_domestica/?name=MDP0000319708","MDP0000319708")</f>
        <v>MDP0000319708</v>
      </c>
      <c r="D10757">
        <v>85.17</v>
      </c>
      <c r="E10757">
        <v>506</v>
      </c>
      <c r="F10757">
        <v>75</v>
      </c>
      <c r="G10757">
        <v>3</v>
      </c>
      <c r="H10757">
        <v>114</v>
      </c>
      <c r="I10757">
        <v>617</v>
      </c>
      <c r="J10757">
        <v>1</v>
      </c>
      <c r="K10757">
        <v>167</v>
      </c>
      <c r="L10757">
        <v>671</v>
      </c>
      <c r="M10757">
        <v>1</v>
      </c>
      <c r="N10757">
        <v>0</v>
      </c>
      <c r="O10757">
        <v>2289</v>
      </c>
    </row>
    <row r="10758" spans="1:15" x14ac:dyDescent="0.25">
      <c r="A10758" t="s">
        <v>10771</v>
      </c>
      <c r="B10758">
        <v>591</v>
      </c>
      <c r="C10758" s="1" t="str">
        <f>HYPERLINK("http://www.rosaceae.org/gb/gbrowse/malus_x_domestica/?name=MDP0000299243","MDP0000299243")</f>
        <v>MDP0000299243</v>
      </c>
      <c r="D10758">
        <v>80.06</v>
      </c>
      <c r="E10758">
        <v>572</v>
      </c>
      <c r="F10758">
        <v>114</v>
      </c>
      <c r="G10758">
        <v>10</v>
      </c>
      <c r="H10758">
        <v>25</v>
      </c>
      <c r="I10758">
        <v>591</v>
      </c>
      <c r="J10758">
        <v>1</v>
      </c>
      <c r="K10758">
        <v>45</v>
      </c>
      <c r="L10758">
        <v>611</v>
      </c>
      <c r="M10758">
        <v>1</v>
      </c>
      <c r="N10758">
        <v>0</v>
      </c>
      <c r="O10758">
        <v>2501</v>
      </c>
    </row>
    <row r="10759" spans="1:15" x14ac:dyDescent="0.25">
      <c r="A10759" t="s">
        <v>10772</v>
      </c>
      <c r="B10759">
        <v>286</v>
      </c>
      <c r="C10759" s="1" t="str">
        <f>HYPERLINK("http://www.rosaceae.org/gb/gbrowse/malus_x_domestica/?name=MDP0000652920","MDP0000652920")</f>
        <v>MDP0000652920</v>
      </c>
      <c r="D10759">
        <v>66.66</v>
      </c>
      <c r="E10759">
        <v>264</v>
      </c>
      <c r="F10759">
        <v>88</v>
      </c>
      <c r="G10759">
        <v>2</v>
      </c>
      <c r="H10759">
        <v>1</v>
      </c>
      <c r="I10759">
        <v>262</v>
      </c>
      <c r="J10759">
        <v>1</v>
      </c>
      <c r="K10759">
        <v>3</v>
      </c>
      <c r="L10759">
        <v>266</v>
      </c>
      <c r="M10759">
        <v>1</v>
      </c>
      <c r="N10759">
        <v>1.8925199999999999E-97</v>
      </c>
      <c r="O10759">
        <v>904</v>
      </c>
    </row>
    <row r="10760" spans="1:15" x14ac:dyDescent="0.25">
      <c r="A10760" t="s">
        <v>10773</v>
      </c>
      <c r="B10760">
        <v>1062</v>
      </c>
      <c r="C10760" s="1" t="str">
        <f>HYPERLINK("http://www.rosaceae.org/gb/gbrowse/malus_x_domestica/?name=MDP0000130706","MDP0000130706")</f>
        <v>MDP0000130706</v>
      </c>
      <c r="D10760">
        <v>66.11</v>
      </c>
      <c r="E10760">
        <v>850</v>
      </c>
      <c r="F10760">
        <v>288</v>
      </c>
      <c r="G10760">
        <v>15</v>
      </c>
      <c r="H10760">
        <v>220</v>
      </c>
      <c r="I10760">
        <v>1062</v>
      </c>
      <c r="J10760">
        <v>1</v>
      </c>
      <c r="K10760">
        <v>10</v>
      </c>
      <c r="L10760">
        <v>851</v>
      </c>
      <c r="M10760">
        <v>1</v>
      </c>
      <c r="N10760">
        <v>0</v>
      </c>
      <c r="O10760">
        <v>2632</v>
      </c>
    </row>
    <row r="10761" spans="1:15" x14ac:dyDescent="0.25">
      <c r="A10761" t="s">
        <v>10774</v>
      </c>
      <c r="B10761">
        <v>265</v>
      </c>
      <c r="C10761" s="1" t="str">
        <f>HYPERLINK("http://www.rosaceae.org/gb/gbrowse/malus_x_domestica/?name=MDP0000318849","MDP0000318849")</f>
        <v>MDP0000318849</v>
      </c>
      <c r="D10761">
        <v>66.040000000000006</v>
      </c>
      <c r="E10761">
        <v>268</v>
      </c>
      <c r="F10761">
        <v>91</v>
      </c>
      <c r="G10761">
        <v>11</v>
      </c>
      <c r="H10761">
        <v>3</v>
      </c>
      <c r="I10761">
        <v>261</v>
      </c>
      <c r="J10761">
        <v>1</v>
      </c>
      <c r="K10761">
        <v>4</v>
      </c>
      <c r="L10761">
        <v>269</v>
      </c>
      <c r="M10761">
        <v>1</v>
      </c>
      <c r="N10761">
        <v>3.3298999999999999E-90</v>
      </c>
      <c r="O10761">
        <v>841</v>
      </c>
    </row>
    <row r="10762" spans="1:15" x14ac:dyDescent="0.25">
      <c r="A10762" t="s">
        <v>10775</v>
      </c>
      <c r="B10762">
        <v>240</v>
      </c>
      <c r="C10762" s="1" t="str">
        <f>HYPERLINK("http://www.rosaceae.org/gb/gbrowse/malus_x_domestica/?name=MDP0000318036","MDP0000318036")</f>
        <v>MDP0000318036</v>
      </c>
      <c r="D10762">
        <v>56.75</v>
      </c>
      <c r="E10762">
        <v>185</v>
      </c>
      <c r="F10762">
        <v>80</v>
      </c>
      <c r="G10762">
        <v>2</v>
      </c>
      <c r="H10762">
        <v>20</v>
      </c>
      <c r="I10762">
        <v>203</v>
      </c>
      <c r="J10762">
        <v>1</v>
      </c>
      <c r="K10762">
        <v>1</v>
      </c>
      <c r="L10762">
        <v>184</v>
      </c>
      <c r="M10762">
        <v>1</v>
      </c>
      <c r="N10762">
        <v>6.7661900000000005E-52</v>
      </c>
      <c r="O10762">
        <v>510</v>
      </c>
    </row>
    <row r="10763" spans="1:15" x14ac:dyDescent="0.25">
      <c r="A10763" t="s">
        <v>10776</v>
      </c>
      <c r="B10763">
        <v>529</v>
      </c>
      <c r="C10763" s="1" t="str">
        <f>HYPERLINK("http://www.rosaceae.org/gb/gbrowse/malus_x_domestica/?name=MDP0000274912","MDP0000274912")</f>
        <v>MDP0000274912</v>
      </c>
      <c r="D10763">
        <v>73.38</v>
      </c>
      <c r="E10763">
        <v>571</v>
      </c>
      <c r="F10763">
        <v>152</v>
      </c>
      <c r="G10763">
        <v>44</v>
      </c>
      <c r="H10763">
        <v>3</v>
      </c>
      <c r="I10763">
        <v>529</v>
      </c>
      <c r="J10763">
        <v>1</v>
      </c>
      <c r="K10763">
        <v>172</v>
      </c>
      <c r="L10763">
        <v>742</v>
      </c>
      <c r="M10763">
        <v>1</v>
      </c>
      <c r="N10763">
        <v>0</v>
      </c>
      <c r="O10763">
        <v>2143</v>
      </c>
    </row>
    <row r="10764" spans="1:15" x14ac:dyDescent="0.25">
      <c r="A10764" t="s">
        <v>10777</v>
      </c>
      <c r="B10764">
        <v>275</v>
      </c>
      <c r="C10764" s="1" t="str">
        <f>HYPERLINK("http://www.rosaceae.org/gb/gbrowse/malus_x_domestica/?name=MDP0000289424","MDP0000289424")</f>
        <v>MDP0000289424</v>
      </c>
      <c r="D10764">
        <v>66.91</v>
      </c>
      <c r="E10764">
        <v>133</v>
      </c>
      <c r="F10764">
        <v>44</v>
      </c>
      <c r="G10764">
        <v>3</v>
      </c>
      <c r="H10764">
        <v>74</v>
      </c>
      <c r="I10764">
        <v>205</v>
      </c>
      <c r="J10764">
        <v>1</v>
      </c>
      <c r="K10764">
        <v>45</v>
      </c>
      <c r="L10764">
        <v>175</v>
      </c>
      <c r="M10764">
        <v>1</v>
      </c>
      <c r="N10764">
        <v>6.4786699999999997E-43</v>
      </c>
      <c r="O10764">
        <v>434</v>
      </c>
    </row>
    <row r="10765" spans="1:15" x14ac:dyDescent="0.25">
      <c r="A10765" t="s">
        <v>10778</v>
      </c>
      <c r="B10765">
        <v>104</v>
      </c>
      <c r="C10765" s="1" t="str">
        <f>HYPERLINK("http://www.rosaceae.org/gb/gbrowse/malus_x_domestica/?name=MDP0000295321","MDP0000295321")</f>
        <v>MDP0000295321</v>
      </c>
      <c r="D10765">
        <v>41.66</v>
      </c>
      <c r="E10765">
        <v>72</v>
      </c>
      <c r="F10765">
        <v>42</v>
      </c>
      <c r="G10765">
        <v>1</v>
      </c>
      <c r="H10765">
        <v>1</v>
      </c>
      <c r="I10765">
        <v>72</v>
      </c>
      <c r="J10765">
        <v>1</v>
      </c>
      <c r="K10765">
        <v>416</v>
      </c>
      <c r="L10765">
        <v>486</v>
      </c>
      <c r="M10765">
        <v>1</v>
      </c>
      <c r="N10765">
        <v>2.3869899999999998E-9</v>
      </c>
      <c r="O10765">
        <v>138</v>
      </c>
    </row>
    <row r="10766" spans="1:15" x14ac:dyDescent="0.25">
      <c r="A10766" t="s">
        <v>10779</v>
      </c>
      <c r="B10766">
        <v>505</v>
      </c>
      <c r="C10766" s="1" t="str">
        <f>HYPERLINK("http://www.rosaceae.org/gb/gbrowse/malus_x_domestica/?name=MDP0000760357","MDP0000760357")</f>
        <v>MDP0000760357</v>
      </c>
      <c r="D10766">
        <v>77.069999999999993</v>
      </c>
      <c r="E10766">
        <v>301</v>
      </c>
      <c r="F10766">
        <v>69</v>
      </c>
      <c r="G10766">
        <v>0</v>
      </c>
      <c r="H10766">
        <v>36</v>
      </c>
      <c r="I10766">
        <v>336</v>
      </c>
      <c r="J10766">
        <v>1</v>
      </c>
      <c r="K10766">
        <v>35</v>
      </c>
      <c r="L10766">
        <v>335</v>
      </c>
      <c r="M10766">
        <v>1</v>
      </c>
      <c r="N10766">
        <v>2.43114E-139</v>
      </c>
      <c r="O10766">
        <v>1268</v>
      </c>
    </row>
    <row r="10767" spans="1:15" x14ac:dyDescent="0.25">
      <c r="A10767" t="s">
        <v>10780</v>
      </c>
      <c r="B10767">
        <v>572</v>
      </c>
      <c r="C10767" s="1" t="str">
        <f>HYPERLINK("http://www.rosaceae.org/gb/gbrowse/malus_x_domestica/?name=MDP0000317119","MDP0000317119")</f>
        <v>MDP0000317119</v>
      </c>
      <c r="D10767">
        <v>59.66</v>
      </c>
      <c r="E10767">
        <v>533</v>
      </c>
      <c r="F10767">
        <v>215</v>
      </c>
      <c r="G10767">
        <v>11</v>
      </c>
      <c r="H10767">
        <v>28</v>
      </c>
      <c r="I10767">
        <v>555</v>
      </c>
      <c r="J10767">
        <v>1</v>
      </c>
      <c r="K10767">
        <v>17</v>
      </c>
      <c r="L10767">
        <v>543</v>
      </c>
      <c r="M10767">
        <v>1</v>
      </c>
      <c r="N10767">
        <v>0</v>
      </c>
      <c r="O10767">
        <v>1666</v>
      </c>
    </row>
    <row r="10768" spans="1:15" x14ac:dyDescent="0.25">
      <c r="A10768" t="s">
        <v>10781</v>
      </c>
      <c r="B10768">
        <v>363</v>
      </c>
      <c r="C10768" s="1" t="str">
        <f>HYPERLINK("http://www.rosaceae.org/gb/gbrowse/malus_x_domestica/?name=MDP0000120551","MDP0000120551")</f>
        <v>MDP0000120551</v>
      </c>
      <c r="D10768">
        <v>46</v>
      </c>
      <c r="E10768">
        <v>313</v>
      </c>
      <c r="F10768">
        <v>169</v>
      </c>
      <c r="G10768">
        <v>24</v>
      </c>
      <c r="H10768">
        <v>4</v>
      </c>
      <c r="I10768">
        <v>297</v>
      </c>
      <c r="J10768">
        <v>1</v>
      </c>
      <c r="K10768">
        <v>157</v>
      </c>
      <c r="L10768">
        <v>464</v>
      </c>
      <c r="M10768">
        <v>1</v>
      </c>
      <c r="N10768">
        <v>6.6795700000000004E-69</v>
      </c>
      <c r="O10768">
        <v>659</v>
      </c>
    </row>
    <row r="10769" spans="1:15" x14ac:dyDescent="0.25">
      <c r="A10769" t="s">
        <v>10782</v>
      </c>
      <c r="B10769">
        <v>330</v>
      </c>
      <c r="C10769" s="1" t="str">
        <f>HYPERLINK("http://www.rosaceae.org/gb/gbrowse/malus_x_domestica/?name=MDP0000541588","MDP0000541588")</f>
        <v>MDP0000541588</v>
      </c>
      <c r="D10769">
        <v>77.010000000000005</v>
      </c>
      <c r="E10769">
        <v>87</v>
      </c>
      <c r="F10769">
        <v>20</v>
      </c>
      <c r="G10769">
        <v>0</v>
      </c>
      <c r="H10769">
        <v>33</v>
      </c>
      <c r="I10769">
        <v>119</v>
      </c>
      <c r="J10769">
        <v>1</v>
      </c>
      <c r="K10769">
        <v>1</v>
      </c>
      <c r="L10769">
        <v>87</v>
      </c>
      <c r="M10769">
        <v>1</v>
      </c>
      <c r="N10769">
        <v>3.6253000000000002E-35</v>
      </c>
      <c r="O10769">
        <v>368</v>
      </c>
    </row>
    <row r="10770" spans="1:15" x14ac:dyDescent="0.25">
      <c r="A10770" t="s">
        <v>10783</v>
      </c>
      <c r="B10770">
        <v>322</v>
      </c>
      <c r="C10770" s="1" t="str">
        <f>HYPERLINK("http://www.rosaceae.org/gb/gbrowse/malus_x_domestica/?name=MDP0000066637","MDP0000066637")</f>
        <v>MDP0000066637</v>
      </c>
      <c r="D10770">
        <v>78.069999999999993</v>
      </c>
      <c r="E10770">
        <v>333</v>
      </c>
      <c r="F10770">
        <v>73</v>
      </c>
      <c r="G10770">
        <v>11</v>
      </c>
      <c r="H10770">
        <v>1</v>
      </c>
      <c r="I10770">
        <v>322</v>
      </c>
      <c r="J10770">
        <v>1</v>
      </c>
      <c r="K10770">
        <v>1</v>
      </c>
      <c r="L10770">
        <v>333</v>
      </c>
      <c r="M10770">
        <v>1</v>
      </c>
      <c r="N10770">
        <v>6.2877499999999998E-141</v>
      </c>
      <c r="O10770">
        <v>1280</v>
      </c>
    </row>
    <row r="10771" spans="1:15" x14ac:dyDescent="0.25">
      <c r="A10771" t="s">
        <v>10784</v>
      </c>
      <c r="B10771">
        <v>370</v>
      </c>
      <c r="C10771" s="1" t="str">
        <f>HYPERLINK("http://www.rosaceae.org/gb/gbrowse/malus_x_domestica/?name=MDP0000312032","MDP0000312032")</f>
        <v>MDP0000312032</v>
      </c>
      <c r="D10771">
        <v>64.77</v>
      </c>
      <c r="E10771">
        <v>318</v>
      </c>
      <c r="F10771">
        <v>112</v>
      </c>
      <c r="G10771">
        <v>31</v>
      </c>
      <c r="H10771">
        <v>73</v>
      </c>
      <c r="I10771">
        <v>370</v>
      </c>
      <c r="J10771">
        <v>1</v>
      </c>
      <c r="K10771">
        <v>1</v>
      </c>
      <c r="L10771">
        <v>307</v>
      </c>
      <c r="M10771">
        <v>1</v>
      </c>
      <c r="N10771">
        <v>1.3106300000000001E-109</v>
      </c>
      <c r="O10771">
        <v>1010</v>
      </c>
    </row>
    <row r="10772" spans="1:15" x14ac:dyDescent="0.25">
      <c r="A10772" t="s">
        <v>10785</v>
      </c>
      <c r="B10772">
        <v>326</v>
      </c>
      <c r="C10772" s="1" t="str">
        <f>HYPERLINK("http://www.rosaceae.org/gb/gbrowse/malus_x_domestica/?name=MDP0000150995","MDP0000150995")</f>
        <v>MDP0000150995</v>
      </c>
      <c r="D10772">
        <v>67.349999999999994</v>
      </c>
      <c r="E10772">
        <v>193</v>
      </c>
      <c r="F10772">
        <v>63</v>
      </c>
      <c r="G10772">
        <v>17</v>
      </c>
      <c r="H10772">
        <v>58</v>
      </c>
      <c r="I10772">
        <v>233</v>
      </c>
      <c r="J10772">
        <v>1</v>
      </c>
      <c r="K10772">
        <v>1</v>
      </c>
      <c r="L10772">
        <v>193</v>
      </c>
      <c r="M10772">
        <v>1</v>
      </c>
      <c r="N10772">
        <v>3.3569399999999999E-66</v>
      </c>
      <c r="O10772">
        <v>635</v>
      </c>
    </row>
    <row r="10773" spans="1:15" x14ac:dyDescent="0.25">
      <c r="A10773" t="s">
        <v>10786</v>
      </c>
      <c r="B10773">
        <v>534</v>
      </c>
      <c r="C10773" s="1" t="str">
        <f>HYPERLINK("http://www.rosaceae.org/gb/gbrowse/malus_x_domestica/?name=MDP0000295452","MDP0000295452")</f>
        <v>MDP0000295452</v>
      </c>
      <c r="D10773">
        <v>60</v>
      </c>
      <c r="E10773">
        <v>525</v>
      </c>
      <c r="F10773">
        <v>210</v>
      </c>
      <c r="G10773">
        <v>7</v>
      </c>
      <c r="H10773">
        <v>12</v>
      </c>
      <c r="I10773">
        <v>532</v>
      </c>
      <c r="J10773">
        <v>1</v>
      </c>
      <c r="K10773">
        <v>67</v>
      </c>
      <c r="L10773">
        <v>588</v>
      </c>
      <c r="M10773">
        <v>1</v>
      </c>
      <c r="N10773">
        <v>0</v>
      </c>
      <c r="O10773">
        <v>1659</v>
      </c>
    </row>
    <row r="10774" spans="1:15" x14ac:dyDescent="0.25">
      <c r="A10774" t="s">
        <v>10787</v>
      </c>
      <c r="B10774">
        <v>450</v>
      </c>
      <c r="C10774" s="1" t="str">
        <f>HYPERLINK("http://www.rosaceae.org/gb/gbrowse/malus_x_domestica/?name=MDP0000192928","MDP0000192928")</f>
        <v>MDP0000192928</v>
      </c>
      <c r="D10774">
        <v>55.76</v>
      </c>
      <c r="E10774">
        <v>52</v>
      </c>
      <c r="F10774">
        <v>23</v>
      </c>
      <c r="G10774">
        <v>2</v>
      </c>
      <c r="H10774">
        <v>18</v>
      </c>
      <c r="I10774">
        <v>67</v>
      </c>
      <c r="J10774">
        <v>1</v>
      </c>
      <c r="K10774">
        <v>4</v>
      </c>
      <c r="L10774">
        <v>55</v>
      </c>
      <c r="M10774">
        <v>1</v>
      </c>
      <c r="N10774">
        <v>1.31607E-9</v>
      </c>
      <c r="O10774">
        <v>149</v>
      </c>
    </row>
    <row r="10775" spans="1:15" x14ac:dyDescent="0.25">
      <c r="A10775" t="s">
        <v>10788</v>
      </c>
      <c r="B10775">
        <v>299</v>
      </c>
      <c r="C10775" s="1" t="str">
        <f>HYPERLINK("http://www.rosaceae.org/gb/gbrowse/malus_x_domestica/?name=MDP0000886900","MDP0000886900")</f>
        <v>MDP0000886900</v>
      </c>
      <c r="D10775">
        <v>28.57</v>
      </c>
      <c r="E10775">
        <v>112</v>
      </c>
      <c r="F10775">
        <v>80</v>
      </c>
      <c r="G10775">
        <v>3</v>
      </c>
      <c r="H10775">
        <v>111</v>
      </c>
      <c r="I10775">
        <v>221</v>
      </c>
      <c r="J10775">
        <v>1</v>
      </c>
      <c r="K10775">
        <v>98</v>
      </c>
      <c r="L10775">
        <v>207</v>
      </c>
      <c r="M10775">
        <v>1</v>
      </c>
      <c r="N10775">
        <v>6.0450599999999998E-9</v>
      </c>
      <c r="O10775">
        <v>141</v>
      </c>
    </row>
    <row r="10776" spans="1:15" x14ac:dyDescent="0.25">
      <c r="A10776" t="s">
        <v>10789</v>
      </c>
      <c r="B10776">
        <v>476</v>
      </c>
      <c r="C10776" s="1" t="str">
        <f>HYPERLINK("http://www.rosaceae.org/gb/gbrowse/malus_x_domestica/?name=MDP0000902760","MDP0000902760")</f>
        <v>MDP0000902760</v>
      </c>
      <c r="D10776">
        <v>31.11</v>
      </c>
      <c r="E10776">
        <v>421</v>
      </c>
      <c r="F10776">
        <v>290</v>
      </c>
      <c r="G10776">
        <v>56</v>
      </c>
      <c r="H10776">
        <v>70</v>
      </c>
      <c r="I10776">
        <v>464</v>
      </c>
      <c r="J10776">
        <v>1</v>
      </c>
      <c r="K10776">
        <v>83</v>
      </c>
      <c r="L10776">
        <v>473</v>
      </c>
      <c r="M10776">
        <v>1</v>
      </c>
      <c r="N10776">
        <v>4.5476799999999999E-42</v>
      </c>
      <c r="O10776">
        <v>429</v>
      </c>
    </row>
    <row r="10777" spans="1:15" x14ac:dyDescent="0.25">
      <c r="A10777" t="s">
        <v>10790</v>
      </c>
      <c r="B10777">
        <v>649</v>
      </c>
      <c r="C10777" s="1" t="str">
        <f>HYPERLINK("http://www.rosaceae.org/gb/gbrowse/malus_x_domestica/?name=MDP0000779831","MDP0000779831")</f>
        <v>MDP0000779831</v>
      </c>
      <c r="D10777">
        <v>68.61</v>
      </c>
      <c r="E10777">
        <v>513</v>
      </c>
      <c r="F10777">
        <v>161</v>
      </c>
      <c r="G10777">
        <v>6</v>
      </c>
      <c r="H10777">
        <v>95</v>
      </c>
      <c r="I10777">
        <v>603</v>
      </c>
      <c r="J10777">
        <v>1</v>
      </c>
      <c r="K10777">
        <v>338</v>
      </c>
      <c r="L10777">
        <v>848</v>
      </c>
      <c r="M10777">
        <v>1</v>
      </c>
      <c r="N10777">
        <v>0</v>
      </c>
      <c r="O10777">
        <v>1842</v>
      </c>
    </row>
    <row r="10778" spans="1:15" x14ac:dyDescent="0.25">
      <c r="A10778" t="s">
        <v>10791</v>
      </c>
      <c r="B10778">
        <v>473</v>
      </c>
      <c r="C10778" s="1" t="str">
        <f>HYPERLINK("http://www.rosaceae.org/gb/gbrowse/malus_x_domestica/?name=MDP0000272096","MDP0000272096")</f>
        <v>MDP0000272096</v>
      </c>
      <c r="D10778">
        <v>41.98</v>
      </c>
      <c r="E10778">
        <v>393</v>
      </c>
      <c r="F10778">
        <v>228</v>
      </c>
      <c r="G10778">
        <v>28</v>
      </c>
      <c r="H10778">
        <v>67</v>
      </c>
      <c r="I10778">
        <v>457</v>
      </c>
      <c r="J10778">
        <v>1</v>
      </c>
      <c r="K10778">
        <v>49</v>
      </c>
      <c r="L10778">
        <v>415</v>
      </c>
      <c r="M10778">
        <v>1</v>
      </c>
      <c r="N10778">
        <v>6.8354900000000006E-76</v>
      </c>
      <c r="O10778">
        <v>721</v>
      </c>
    </row>
    <row r="10779" spans="1:15" x14ac:dyDescent="0.25">
      <c r="A10779" t="s">
        <v>10792</v>
      </c>
      <c r="B10779">
        <v>428</v>
      </c>
      <c r="C10779" s="1" t="str">
        <f>HYPERLINK("http://www.rosaceae.org/gb/gbrowse/malus_x_domestica/?name=MDP0000123172","MDP0000123172")</f>
        <v>MDP0000123172</v>
      </c>
      <c r="D10779">
        <v>47.02</v>
      </c>
      <c r="E10779">
        <v>168</v>
      </c>
      <c r="F10779">
        <v>89</v>
      </c>
      <c r="G10779">
        <v>19</v>
      </c>
      <c r="H10779">
        <v>1</v>
      </c>
      <c r="I10779">
        <v>158</v>
      </c>
      <c r="J10779">
        <v>1</v>
      </c>
      <c r="K10779">
        <v>1</v>
      </c>
      <c r="L10779">
        <v>159</v>
      </c>
      <c r="M10779">
        <v>1</v>
      </c>
      <c r="N10779">
        <v>8.2016300000000001E-26</v>
      </c>
      <c r="O10779">
        <v>288</v>
      </c>
    </row>
    <row r="10780" spans="1:15" x14ac:dyDescent="0.25">
      <c r="A10780" t="s">
        <v>10793</v>
      </c>
      <c r="B10780">
        <v>187</v>
      </c>
      <c r="C10780" s="1" t="str">
        <f>HYPERLINK("http://www.rosaceae.org/gb/gbrowse/malus_x_domestica/?name=MDP0000732600","MDP0000732600")</f>
        <v>MDP0000732600</v>
      </c>
      <c r="D10780">
        <v>69.86</v>
      </c>
      <c r="E10780">
        <v>146</v>
      </c>
      <c r="F10780">
        <v>44</v>
      </c>
      <c r="G10780">
        <v>13</v>
      </c>
      <c r="H10780">
        <v>10</v>
      </c>
      <c r="I10780">
        <v>142</v>
      </c>
      <c r="J10780">
        <v>1</v>
      </c>
      <c r="K10780">
        <v>45</v>
      </c>
      <c r="L10780">
        <v>190</v>
      </c>
      <c r="M10780">
        <v>1</v>
      </c>
      <c r="N10780">
        <v>4.9781299999999996E-56</v>
      </c>
      <c r="O10780">
        <v>544</v>
      </c>
    </row>
    <row r="10781" spans="1:15" x14ac:dyDescent="0.25">
      <c r="A10781" t="s">
        <v>10794</v>
      </c>
      <c r="B10781">
        <v>194</v>
      </c>
      <c r="C10781" s="1" t="str">
        <f>HYPERLINK("http://www.rosaceae.org/gb/gbrowse/malus_x_domestica/?name=MDP0000219041","MDP0000219041")</f>
        <v>MDP0000219041</v>
      </c>
      <c r="D10781">
        <v>62.09</v>
      </c>
      <c r="E10781">
        <v>153</v>
      </c>
      <c r="F10781">
        <v>58</v>
      </c>
      <c r="G10781">
        <v>27</v>
      </c>
      <c r="H10781">
        <v>69</v>
      </c>
      <c r="I10781">
        <v>194</v>
      </c>
      <c r="J10781">
        <v>1</v>
      </c>
      <c r="K10781">
        <v>86</v>
      </c>
      <c r="L10781">
        <v>238</v>
      </c>
      <c r="M10781">
        <v>1</v>
      </c>
      <c r="N10781">
        <v>5.8228799999999994E-42</v>
      </c>
      <c r="O10781">
        <v>423</v>
      </c>
    </row>
    <row r="10782" spans="1:15" x14ac:dyDescent="0.25">
      <c r="A10782" t="s">
        <v>10795</v>
      </c>
      <c r="B10782">
        <v>242</v>
      </c>
      <c r="C10782" s="1" t="str">
        <f>HYPERLINK("http://www.rosaceae.org/gb/gbrowse/malus_x_domestica/?name=MDP0000207486","MDP0000207486")</f>
        <v>MDP0000207486</v>
      </c>
      <c r="D10782">
        <v>74.17</v>
      </c>
      <c r="E10782">
        <v>182</v>
      </c>
      <c r="F10782">
        <v>47</v>
      </c>
      <c r="G10782">
        <v>8</v>
      </c>
      <c r="H10782">
        <v>20</v>
      </c>
      <c r="I10782">
        <v>193</v>
      </c>
      <c r="J10782">
        <v>1</v>
      </c>
      <c r="K10782">
        <v>27</v>
      </c>
      <c r="L10782">
        <v>208</v>
      </c>
      <c r="M10782">
        <v>1</v>
      </c>
      <c r="N10782">
        <v>3.85619E-75</v>
      </c>
      <c r="O10782">
        <v>711</v>
      </c>
    </row>
    <row r="10783" spans="1:15" x14ac:dyDescent="0.25">
      <c r="A10783" t="s">
        <v>10796</v>
      </c>
      <c r="B10783">
        <v>314</v>
      </c>
      <c r="C10783" s="1" t="str">
        <f>HYPERLINK("http://www.rosaceae.org/gb/gbrowse/malus_x_domestica/?name=MDP0000230184","MDP0000230184")</f>
        <v>MDP0000230184</v>
      </c>
      <c r="D10783">
        <v>81.16</v>
      </c>
      <c r="E10783">
        <v>308</v>
      </c>
      <c r="F10783">
        <v>58</v>
      </c>
      <c r="G10783">
        <v>1</v>
      </c>
      <c r="H10783">
        <v>1</v>
      </c>
      <c r="I10783">
        <v>308</v>
      </c>
      <c r="J10783">
        <v>1</v>
      </c>
      <c r="K10783">
        <v>5</v>
      </c>
      <c r="L10783">
        <v>311</v>
      </c>
      <c r="M10783">
        <v>1</v>
      </c>
      <c r="N10783">
        <v>8.0817199999999994E-154</v>
      </c>
      <c r="O10783">
        <v>1391</v>
      </c>
    </row>
    <row r="10784" spans="1:15" x14ac:dyDescent="0.25">
      <c r="A10784" t="s">
        <v>10797</v>
      </c>
      <c r="B10784">
        <v>302</v>
      </c>
      <c r="C10784" s="1" t="str">
        <f>HYPERLINK("http://www.rosaceae.org/gb/gbrowse/malus_x_domestica/?name=MDP0000773823","MDP0000773823")</f>
        <v>MDP0000773823</v>
      </c>
      <c r="D10784">
        <v>61.6</v>
      </c>
      <c r="E10784">
        <v>250</v>
      </c>
      <c r="F10784">
        <v>96</v>
      </c>
      <c r="G10784">
        <v>27</v>
      </c>
      <c r="H10784">
        <v>78</v>
      </c>
      <c r="I10784">
        <v>302</v>
      </c>
      <c r="J10784">
        <v>1</v>
      </c>
      <c r="K10784">
        <v>123</v>
      </c>
      <c r="L10784">
        <v>370</v>
      </c>
      <c r="M10784">
        <v>1</v>
      </c>
      <c r="N10784">
        <v>5.7090099999999998E-86</v>
      </c>
      <c r="O10784">
        <v>805</v>
      </c>
    </row>
    <row r="10785" spans="1:15" x14ac:dyDescent="0.25">
      <c r="A10785" t="s">
        <v>10798</v>
      </c>
      <c r="B10785">
        <v>467</v>
      </c>
      <c r="C10785" s="1" t="str">
        <f>HYPERLINK("http://www.rosaceae.org/gb/gbrowse/malus_x_domestica/?name=MDP0000195409","MDP0000195409")</f>
        <v>MDP0000195409</v>
      </c>
      <c r="D10785">
        <v>50.1</v>
      </c>
      <c r="E10785">
        <v>489</v>
      </c>
      <c r="F10785">
        <v>244</v>
      </c>
      <c r="G10785">
        <v>91</v>
      </c>
      <c r="H10785">
        <v>10</v>
      </c>
      <c r="I10785">
        <v>465</v>
      </c>
      <c r="J10785">
        <v>1</v>
      </c>
      <c r="K10785">
        <v>8</v>
      </c>
      <c r="L10785">
        <v>438</v>
      </c>
      <c r="M10785">
        <v>1</v>
      </c>
      <c r="N10785">
        <v>5.2430300000000003E-128</v>
      </c>
      <c r="O10785">
        <v>1170</v>
      </c>
    </row>
    <row r="10786" spans="1:15" x14ac:dyDescent="0.25">
      <c r="A10786" t="s">
        <v>10799</v>
      </c>
      <c r="B10786">
        <v>371</v>
      </c>
      <c r="C10786" s="1" t="str">
        <f>HYPERLINK("http://www.rosaceae.org/gb/gbrowse/malus_x_domestica/?name=MDP0000500222","MDP0000500222")</f>
        <v>MDP0000500222</v>
      </c>
      <c r="D10786">
        <v>40.590000000000003</v>
      </c>
      <c r="E10786">
        <v>367</v>
      </c>
      <c r="F10786">
        <v>218</v>
      </c>
      <c r="G10786">
        <v>36</v>
      </c>
      <c r="H10786">
        <v>19</v>
      </c>
      <c r="I10786">
        <v>371</v>
      </c>
      <c r="J10786">
        <v>1</v>
      </c>
      <c r="K10786">
        <v>77</v>
      </c>
      <c r="L10786">
        <v>421</v>
      </c>
      <c r="M10786">
        <v>1</v>
      </c>
      <c r="N10786">
        <v>5.4598099999999999E-64</v>
      </c>
      <c r="O10786">
        <v>617</v>
      </c>
    </row>
    <row r="10787" spans="1:15" x14ac:dyDescent="0.25">
      <c r="A10787" t="s">
        <v>10800</v>
      </c>
      <c r="B10787">
        <v>903</v>
      </c>
      <c r="C10787" s="1" t="str">
        <f>HYPERLINK("http://www.rosaceae.org/gb/gbrowse/malus_x_domestica/?name=MDP0000276328","MDP0000276328")</f>
        <v>MDP0000276328</v>
      </c>
      <c r="D10787">
        <v>64.010000000000005</v>
      </c>
      <c r="E10787">
        <v>264</v>
      </c>
      <c r="F10787">
        <v>95</v>
      </c>
      <c r="G10787">
        <v>27</v>
      </c>
      <c r="H10787">
        <v>87</v>
      </c>
      <c r="I10787">
        <v>350</v>
      </c>
      <c r="J10787">
        <v>1</v>
      </c>
      <c r="K10787">
        <v>150</v>
      </c>
      <c r="L10787">
        <v>386</v>
      </c>
      <c r="M10787">
        <v>1</v>
      </c>
      <c r="N10787">
        <v>1.9377399999999998E-92</v>
      </c>
      <c r="O10787">
        <v>866</v>
      </c>
    </row>
    <row r="10788" spans="1:15" x14ac:dyDescent="0.25">
      <c r="A10788" t="s">
        <v>10801</v>
      </c>
      <c r="B10788">
        <v>354</v>
      </c>
      <c r="C10788" s="1" t="str">
        <f>HYPERLINK("http://www.rosaceae.org/gb/gbrowse/malus_x_domestica/?name=MDP0000774306","MDP0000774306")</f>
        <v>MDP0000774306</v>
      </c>
      <c r="D10788">
        <v>39.590000000000003</v>
      </c>
      <c r="E10788">
        <v>346</v>
      </c>
      <c r="F10788">
        <v>209</v>
      </c>
      <c r="G10788">
        <v>46</v>
      </c>
      <c r="H10788">
        <v>14</v>
      </c>
      <c r="I10788">
        <v>317</v>
      </c>
      <c r="J10788">
        <v>1</v>
      </c>
      <c r="K10788">
        <v>2</v>
      </c>
      <c r="L10788">
        <v>343</v>
      </c>
      <c r="M10788">
        <v>1</v>
      </c>
      <c r="N10788">
        <v>7.9949300000000005E-46</v>
      </c>
      <c r="O10788">
        <v>460</v>
      </c>
    </row>
    <row r="10789" spans="1:15" x14ac:dyDescent="0.25">
      <c r="A10789" t="s">
        <v>10802</v>
      </c>
      <c r="B10789">
        <v>569</v>
      </c>
      <c r="C10789" s="1" t="str">
        <f>HYPERLINK("http://www.rosaceae.org/gb/gbrowse/malus_x_domestica/?name=MDP0000292886","MDP0000292886")</f>
        <v>MDP0000292886</v>
      </c>
      <c r="D10789">
        <v>49.06</v>
      </c>
      <c r="E10789">
        <v>214</v>
      </c>
      <c r="F10789">
        <v>109</v>
      </c>
      <c r="G10789">
        <v>5</v>
      </c>
      <c r="H10789">
        <v>360</v>
      </c>
      <c r="I10789">
        <v>568</v>
      </c>
      <c r="J10789">
        <v>1</v>
      </c>
      <c r="K10789">
        <v>8</v>
      </c>
      <c r="L10789">
        <v>221</v>
      </c>
      <c r="M10789">
        <v>1</v>
      </c>
      <c r="N10789">
        <v>2.4398799999999999E-46</v>
      </c>
      <c r="O10789">
        <v>467</v>
      </c>
    </row>
    <row r="10790" spans="1:15" x14ac:dyDescent="0.25">
      <c r="A10790" t="s">
        <v>10803</v>
      </c>
      <c r="B10790">
        <v>180</v>
      </c>
      <c r="C10790" s="1" t="str">
        <f>HYPERLINK("http://www.rosaceae.org/gb/gbrowse/malus_x_domestica/?name=MDP0000286960","MDP0000286960")</f>
        <v>MDP0000286960</v>
      </c>
      <c r="D10790">
        <v>52.5</v>
      </c>
      <c r="E10790">
        <v>120</v>
      </c>
      <c r="F10790">
        <v>57</v>
      </c>
      <c r="G10790">
        <v>17</v>
      </c>
      <c r="H10790">
        <v>42</v>
      </c>
      <c r="I10790">
        <v>160</v>
      </c>
      <c r="J10790">
        <v>1</v>
      </c>
      <c r="K10790">
        <v>114</v>
      </c>
      <c r="L10790">
        <v>217</v>
      </c>
      <c r="M10790">
        <v>1</v>
      </c>
      <c r="N10790">
        <v>3.3456700000000002E-25</v>
      </c>
      <c r="O10790">
        <v>278</v>
      </c>
    </row>
    <row r="10791" spans="1:15" x14ac:dyDescent="0.25">
      <c r="A10791" t="s">
        <v>10804</v>
      </c>
      <c r="B10791">
        <v>319</v>
      </c>
      <c r="C10791" s="1" t="str">
        <f>HYPERLINK("http://www.rosaceae.org/gb/gbrowse/malus_x_domestica/?name=MDP0000336421","MDP0000336421")</f>
        <v>MDP0000336421</v>
      </c>
      <c r="D10791">
        <v>92.41</v>
      </c>
      <c r="E10791">
        <v>290</v>
      </c>
      <c r="F10791">
        <v>22</v>
      </c>
      <c r="G10791">
        <v>0</v>
      </c>
      <c r="H10791">
        <v>30</v>
      </c>
      <c r="I10791">
        <v>319</v>
      </c>
      <c r="J10791">
        <v>1</v>
      </c>
      <c r="K10791">
        <v>34</v>
      </c>
      <c r="L10791">
        <v>323</v>
      </c>
      <c r="M10791">
        <v>1</v>
      </c>
      <c r="N10791">
        <v>3.1131800000000001E-158</v>
      </c>
      <c r="O10791">
        <v>1429</v>
      </c>
    </row>
    <row r="10792" spans="1:15" x14ac:dyDescent="0.25">
      <c r="A10792" t="s">
        <v>10805</v>
      </c>
      <c r="B10792">
        <v>565</v>
      </c>
      <c r="C10792" s="1" t="str">
        <f>HYPERLINK("http://www.rosaceae.org/gb/gbrowse/malus_x_domestica/?name=MDP0000131298","MDP0000131298")</f>
        <v>MDP0000131298</v>
      </c>
      <c r="D10792">
        <v>44.85</v>
      </c>
      <c r="E10792">
        <v>486</v>
      </c>
      <c r="F10792">
        <v>268</v>
      </c>
      <c r="G10792">
        <v>23</v>
      </c>
      <c r="H10792">
        <v>100</v>
      </c>
      <c r="I10792">
        <v>563</v>
      </c>
      <c r="J10792">
        <v>1</v>
      </c>
      <c r="K10792">
        <v>146</v>
      </c>
      <c r="L10792">
        <v>630</v>
      </c>
      <c r="M10792">
        <v>1</v>
      </c>
      <c r="N10792">
        <v>2.21511E-119</v>
      </c>
      <c r="O10792">
        <v>1097</v>
      </c>
    </row>
    <row r="10793" spans="1:15" x14ac:dyDescent="0.25">
      <c r="A10793" t="s">
        <v>10806</v>
      </c>
      <c r="B10793">
        <v>485</v>
      </c>
      <c r="C10793" s="1" t="str">
        <f>HYPERLINK("http://www.rosaceae.org/gb/gbrowse/malus_x_domestica/?name=MDP0000089058","MDP0000089058")</f>
        <v>MDP0000089058</v>
      </c>
      <c r="D10793">
        <v>57.14</v>
      </c>
      <c r="E10793">
        <v>105</v>
      </c>
      <c r="F10793">
        <v>45</v>
      </c>
      <c r="G10793">
        <v>13</v>
      </c>
      <c r="H10793">
        <v>347</v>
      </c>
      <c r="I10793">
        <v>438</v>
      </c>
      <c r="J10793">
        <v>1</v>
      </c>
      <c r="K10793">
        <v>786</v>
      </c>
      <c r="L10793">
        <v>890</v>
      </c>
      <c r="M10793">
        <v>1</v>
      </c>
      <c r="N10793">
        <v>2.52637E-23</v>
      </c>
      <c r="O10793">
        <v>267</v>
      </c>
    </row>
    <row r="10794" spans="1:15" x14ac:dyDescent="0.25">
      <c r="A10794" t="s">
        <v>10807</v>
      </c>
      <c r="B10794">
        <v>164</v>
      </c>
      <c r="C10794" s="1" t="str">
        <f>HYPERLINK("http://www.rosaceae.org/gb/gbrowse/malus_x_domestica/?name=MDP0000138018","MDP0000138018")</f>
        <v>MDP0000138018</v>
      </c>
      <c r="D10794">
        <v>36.979999999999997</v>
      </c>
      <c r="E10794">
        <v>146</v>
      </c>
      <c r="F10794">
        <v>92</v>
      </c>
      <c r="G10794">
        <v>36</v>
      </c>
      <c r="H10794">
        <v>1</v>
      </c>
      <c r="I10794">
        <v>110</v>
      </c>
      <c r="J10794">
        <v>1</v>
      </c>
      <c r="K10794">
        <v>296</v>
      </c>
      <c r="L10794">
        <v>441</v>
      </c>
      <c r="M10794">
        <v>1</v>
      </c>
      <c r="N10794">
        <v>4.0486299999999999E-16</v>
      </c>
      <c r="O10794">
        <v>199</v>
      </c>
    </row>
    <row r="10795" spans="1:15" x14ac:dyDescent="0.25">
      <c r="A10795" t="s">
        <v>10808</v>
      </c>
      <c r="B10795">
        <v>300</v>
      </c>
      <c r="C10795" s="1" t="str">
        <f>HYPERLINK("http://www.rosaceae.org/gb/gbrowse/malus_x_domestica/?name=MDP0000205660","MDP0000205660")</f>
        <v>MDP0000205660</v>
      </c>
      <c r="D10795">
        <v>64.7</v>
      </c>
      <c r="E10795">
        <v>102</v>
      </c>
      <c r="F10795">
        <v>36</v>
      </c>
      <c r="G10795">
        <v>14</v>
      </c>
      <c r="H10795">
        <v>16</v>
      </c>
      <c r="I10795">
        <v>103</v>
      </c>
      <c r="J10795">
        <v>1</v>
      </c>
      <c r="K10795">
        <v>148</v>
      </c>
      <c r="L10795">
        <v>249</v>
      </c>
      <c r="M10795">
        <v>1</v>
      </c>
      <c r="N10795">
        <v>2.80442E-28</v>
      </c>
      <c r="O10795">
        <v>308</v>
      </c>
    </row>
    <row r="10796" spans="1:15" x14ac:dyDescent="0.25">
      <c r="A10796" t="s">
        <v>10809</v>
      </c>
      <c r="B10796">
        <v>285</v>
      </c>
      <c r="C10796" s="1" t="str">
        <f>HYPERLINK("http://www.rosaceae.org/gb/gbrowse/malus_x_domestica/?name=MDP0000281114","MDP0000281114")</f>
        <v>MDP0000281114</v>
      </c>
      <c r="D10796">
        <v>76.56</v>
      </c>
      <c r="E10796">
        <v>128</v>
      </c>
      <c r="F10796">
        <v>30</v>
      </c>
      <c r="G10796">
        <v>10</v>
      </c>
      <c r="H10796">
        <v>163</v>
      </c>
      <c r="I10796">
        <v>282</v>
      </c>
      <c r="J10796">
        <v>1</v>
      </c>
      <c r="K10796">
        <v>81</v>
      </c>
      <c r="L10796">
        <v>206</v>
      </c>
      <c r="M10796">
        <v>1</v>
      </c>
      <c r="N10796">
        <v>1.9575599999999999E-48</v>
      </c>
      <c r="O10796">
        <v>481</v>
      </c>
    </row>
    <row r="10797" spans="1:15" x14ac:dyDescent="0.25">
      <c r="A10797" t="s">
        <v>10810</v>
      </c>
      <c r="B10797">
        <v>569</v>
      </c>
      <c r="C10797" s="1" t="str">
        <f>HYPERLINK("http://www.rosaceae.org/gb/gbrowse/malus_x_domestica/?name=MDP0000237964","MDP0000237964")</f>
        <v>MDP0000237964</v>
      </c>
      <c r="D10797">
        <v>49.18</v>
      </c>
      <c r="E10797">
        <v>549</v>
      </c>
      <c r="F10797">
        <v>279</v>
      </c>
      <c r="G10797">
        <v>18</v>
      </c>
      <c r="H10797">
        <v>36</v>
      </c>
      <c r="I10797">
        <v>569</v>
      </c>
      <c r="J10797">
        <v>1</v>
      </c>
      <c r="K10797">
        <v>595</v>
      </c>
      <c r="L10797">
        <v>1140</v>
      </c>
      <c r="M10797">
        <v>1</v>
      </c>
      <c r="N10797">
        <v>1.62681E-149</v>
      </c>
      <c r="O10797">
        <v>1356</v>
      </c>
    </row>
    <row r="10798" spans="1:15" x14ac:dyDescent="0.25">
      <c r="A10798" t="s">
        <v>10811</v>
      </c>
      <c r="B10798">
        <v>697</v>
      </c>
      <c r="C10798" s="1" t="str">
        <f>HYPERLINK("http://www.rosaceae.org/gb/gbrowse/malus_x_domestica/?name=MDP0000588797","MDP0000588797")</f>
        <v>MDP0000588797</v>
      </c>
      <c r="D10798">
        <v>78.17</v>
      </c>
      <c r="E10798">
        <v>646</v>
      </c>
      <c r="F10798">
        <v>141</v>
      </c>
      <c r="G10798">
        <v>8</v>
      </c>
      <c r="H10798">
        <v>1</v>
      </c>
      <c r="I10798">
        <v>639</v>
      </c>
      <c r="J10798">
        <v>1</v>
      </c>
      <c r="K10798">
        <v>1</v>
      </c>
      <c r="L10798">
        <v>645</v>
      </c>
      <c r="M10798">
        <v>1</v>
      </c>
      <c r="N10798">
        <v>0</v>
      </c>
      <c r="O10798">
        <v>2612</v>
      </c>
    </row>
    <row r="10799" spans="1:15" x14ac:dyDescent="0.25">
      <c r="A10799" t="s">
        <v>10812</v>
      </c>
      <c r="B10799">
        <v>156</v>
      </c>
      <c r="C10799" s="1" t="str">
        <f>HYPERLINK("http://www.rosaceae.org/gb/gbrowse/malus_x_domestica/?name=MDP0000807738","MDP0000807738")</f>
        <v>MDP0000807738</v>
      </c>
      <c r="D10799">
        <v>64.86</v>
      </c>
      <c r="E10799">
        <v>111</v>
      </c>
      <c r="F10799">
        <v>39</v>
      </c>
      <c r="G10799">
        <v>19</v>
      </c>
      <c r="H10799">
        <v>6</v>
      </c>
      <c r="I10799">
        <v>97</v>
      </c>
      <c r="J10799">
        <v>1</v>
      </c>
      <c r="K10799">
        <v>64</v>
      </c>
      <c r="L10799">
        <v>174</v>
      </c>
      <c r="M10799">
        <v>1</v>
      </c>
      <c r="N10799">
        <v>1.0814399999999999E-34</v>
      </c>
      <c r="O10799">
        <v>359</v>
      </c>
    </row>
    <row r="10800" spans="1:15" x14ac:dyDescent="0.25">
      <c r="A10800" t="s">
        <v>10813</v>
      </c>
      <c r="B10800">
        <v>688</v>
      </c>
      <c r="C10800" s="1" t="str">
        <f>HYPERLINK("http://www.rosaceae.org/gb/gbrowse/malus_x_domestica/?name=MDP0000423436","MDP0000423436")</f>
        <v>MDP0000423436</v>
      </c>
      <c r="D10800">
        <v>66.08</v>
      </c>
      <c r="E10800">
        <v>687</v>
      </c>
      <c r="F10800">
        <v>233</v>
      </c>
      <c r="G10800">
        <v>38</v>
      </c>
      <c r="H10800">
        <v>20</v>
      </c>
      <c r="I10800">
        <v>686</v>
      </c>
      <c r="J10800">
        <v>1</v>
      </c>
      <c r="K10800">
        <v>15</v>
      </c>
      <c r="L10800">
        <v>683</v>
      </c>
      <c r="M10800">
        <v>1</v>
      </c>
      <c r="N10800">
        <v>0</v>
      </c>
      <c r="O10800">
        <v>2238</v>
      </c>
    </row>
    <row r="10801" spans="1:15" x14ac:dyDescent="0.25">
      <c r="A10801" t="s">
        <v>10814</v>
      </c>
      <c r="B10801">
        <v>255</v>
      </c>
      <c r="C10801" s="1" t="str">
        <f>HYPERLINK("http://www.rosaceae.org/gb/gbrowse/malus_x_domestica/?name=MDP0000180375","MDP0000180375")</f>
        <v>MDP0000180375</v>
      </c>
      <c r="D10801">
        <v>47.73</v>
      </c>
      <c r="E10801">
        <v>243</v>
      </c>
      <c r="F10801">
        <v>127</v>
      </c>
      <c r="G10801">
        <v>22</v>
      </c>
      <c r="H10801">
        <v>1</v>
      </c>
      <c r="I10801">
        <v>228</v>
      </c>
      <c r="J10801">
        <v>1</v>
      </c>
      <c r="K10801">
        <v>1</v>
      </c>
      <c r="L10801">
        <v>236</v>
      </c>
      <c r="M10801">
        <v>1</v>
      </c>
      <c r="N10801">
        <v>1.51282E-38</v>
      </c>
      <c r="O10801">
        <v>395</v>
      </c>
    </row>
    <row r="10802" spans="1:15" x14ac:dyDescent="0.25">
      <c r="A10802" t="s">
        <v>10815</v>
      </c>
      <c r="B10802">
        <v>501</v>
      </c>
      <c r="C10802" s="1" t="str">
        <f>HYPERLINK("http://www.rosaceae.org/gb/gbrowse/malus_x_domestica/?name=MDP0000945293","MDP0000945293")</f>
        <v>MDP0000945293</v>
      </c>
      <c r="D10802">
        <v>75.31</v>
      </c>
      <c r="E10802">
        <v>474</v>
      </c>
      <c r="F10802">
        <v>117</v>
      </c>
      <c r="G10802">
        <v>10</v>
      </c>
      <c r="H10802">
        <v>36</v>
      </c>
      <c r="I10802">
        <v>499</v>
      </c>
      <c r="J10802">
        <v>1</v>
      </c>
      <c r="K10802">
        <v>30</v>
      </c>
      <c r="L10802">
        <v>503</v>
      </c>
      <c r="M10802">
        <v>1</v>
      </c>
      <c r="N10802">
        <v>0</v>
      </c>
      <c r="O10802">
        <v>1927</v>
      </c>
    </row>
    <row r="10803" spans="1:15" x14ac:dyDescent="0.25">
      <c r="A10803" t="s">
        <v>10816</v>
      </c>
      <c r="B10803">
        <v>645</v>
      </c>
      <c r="C10803" s="1" t="str">
        <f>HYPERLINK("http://www.rosaceae.org/gb/gbrowse/malus_x_domestica/?name=MDP0000251579","MDP0000251579")</f>
        <v>MDP0000251579</v>
      </c>
      <c r="D10803">
        <v>76.97</v>
      </c>
      <c r="E10803">
        <v>417</v>
      </c>
      <c r="F10803">
        <v>96</v>
      </c>
      <c r="G10803">
        <v>10</v>
      </c>
      <c r="H10803">
        <v>146</v>
      </c>
      <c r="I10803">
        <v>552</v>
      </c>
      <c r="J10803">
        <v>1</v>
      </c>
      <c r="K10803">
        <v>14</v>
      </c>
      <c r="L10803">
        <v>430</v>
      </c>
      <c r="M10803">
        <v>1</v>
      </c>
      <c r="N10803">
        <v>0</v>
      </c>
      <c r="O10803">
        <v>1634</v>
      </c>
    </row>
    <row r="10804" spans="1:15" x14ac:dyDescent="0.25">
      <c r="A10804" t="s">
        <v>10817</v>
      </c>
      <c r="B10804">
        <v>1018</v>
      </c>
      <c r="C10804" s="1" t="str">
        <f>HYPERLINK("http://www.rosaceae.org/gb/gbrowse/malus_x_domestica/?name=MDP0000231435","MDP0000231435")</f>
        <v>MDP0000231435</v>
      </c>
      <c r="D10804">
        <v>79.2</v>
      </c>
      <c r="E10804">
        <v>779</v>
      </c>
      <c r="F10804">
        <v>162</v>
      </c>
      <c r="G10804">
        <v>87</v>
      </c>
      <c r="H10804">
        <v>30</v>
      </c>
      <c r="I10804">
        <v>785</v>
      </c>
      <c r="J10804">
        <v>1</v>
      </c>
      <c r="K10804">
        <v>164</v>
      </c>
      <c r="L10804">
        <v>878</v>
      </c>
      <c r="M10804">
        <v>1</v>
      </c>
      <c r="N10804">
        <v>0</v>
      </c>
      <c r="O10804">
        <v>3104</v>
      </c>
    </row>
    <row r="10805" spans="1:15" x14ac:dyDescent="0.25">
      <c r="A10805" t="s">
        <v>10818</v>
      </c>
      <c r="B10805">
        <v>145</v>
      </c>
      <c r="C10805" s="1" t="str">
        <f>HYPERLINK("http://www.rosaceae.org/gb/gbrowse/malus_x_domestica/?name=MDP0000184950","MDP0000184950")</f>
        <v>MDP0000184950</v>
      </c>
      <c r="D10805">
        <v>69.33</v>
      </c>
      <c r="E10805">
        <v>75</v>
      </c>
      <c r="F10805">
        <v>23</v>
      </c>
      <c r="G10805">
        <v>0</v>
      </c>
      <c r="H10805">
        <v>71</v>
      </c>
      <c r="I10805">
        <v>145</v>
      </c>
      <c r="J10805">
        <v>1</v>
      </c>
      <c r="K10805">
        <v>279</v>
      </c>
      <c r="L10805">
        <v>353</v>
      </c>
      <c r="M10805">
        <v>1</v>
      </c>
      <c r="N10805">
        <v>1.0566099999999999E-27</v>
      </c>
      <c r="O10805">
        <v>298</v>
      </c>
    </row>
    <row r="10806" spans="1:15" x14ac:dyDescent="0.25">
      <c r="A10806" t="s">
        <v>10819</v>
      </c>
      <c r="B10806">
        <v>469</v>
      </c>
      <c r="C10806" s="1" t="str">
        <f>HYPERLINK("http://www.rosaceae.org/gb/gbrowse/malus_x_domestica/?name=MDP0000184288","MDP0000184288")</f>
        <v>MDP0000184288</v>
      </c>
      <c r="D10806">
        <v>44</v>
      </c>
      <c r="E10806">
        <v>50</v>
      </c>
      <c r="F10806">
        <v>28</v>
      </c>
      <c r="G10806">
        <v>0</v>
      </c>
      <c r="H10806">
        <v>15</v>
      </c>
      <c r="I10806">
        <v>64</v>
      </c>
      <c r="J10806">
        <v>1</v>
      </c>
      <c r="K10806">
        <v>694</v>
      </c>
      <c r="L10806">
        <v>743</v>
      </c>
      <c r="M10806">
        <v>1</v>
      </c>
      <c r="N10806">
        <v>4.77659E-8</v>
      </c>
      <c r="O10806">
        <v>136</v>
      </c>
    </row>
    <row r="10807" spans="1:15" x14ac:dyDescent="0.25">
      <c r="A10807" t="s">
        <v>10820</v>
      </c>
      <c r="B10807">
        <v>372</v>
      </c>
      <c r="C10807" s="1" t="str">
        <f>HYPERLINK("http://www.rosaceae.org/gb/gbrowse/malus_x_domestica/?name=MDP0000257842","MDP0000257842")</f>
        <v>MDP0000257842</v>
      </c>
      <c r="D10807">
        <v>45.71</v>
      </c>
      <c r="E10807">
        <v>420</v>
      </c>
      <c r="F10807">
        <v>228</v>
      </c>
      <c r="G10807">
        <v>70</v>
      </c>
      <c r="H10807">
        <v>17</v>
      </c>
      <c r="I10807">
        <v>372</v>
      </c>
      <c r="J10807">
        <v>1</v>
      </c>
      <c r="K10807">
        <v>12</v>
      </c>
      <c r="L10807">
        <v>425</v>
      </c>
      <c r="M10807">
        <v>1</v>
      </c>
      <c r="N10807">
        <v>2.48767E-83</v>
      </c>
      <c r="O10807">
        <v>784</v>
      </c>
    </row>
    <row r="10808" spans="1:15" x14ac:dyDescent="0.25">
      <c r="A10808" t="s">
        <v>10821</v>
      </c>
      <c r="B10808">
        <v>464</v>
      </c>
      <c r="C10808" s="1" t="str">
        <f>HYPERLINK("http://www.rosaceae.org/gb/gbrowse/malus_x_domestica/?name=MDP0000077736","MDP0000077736")</f>
        <v>MDP0000077736</v>
      </c>
      <c r="D10808">
        <v>86.48</v>
      </c>
      <c r="E10808">
        <v>466</v>
      </c>
      <c r="F10808">
        <v>63</v>
      </c>
      <c r="G10808">
        <v>2</v>
      </c>
      <c r="H10808">
        <v>1</v>
      </c>
      <c r="I10808">
        <v>464</v>
      </c>
      <c r="J10808">
        <v>1</v>
      </c>
      <c r="K10808">
        <v>1</v>
      </c>
      <c r="L10808">
        <v>466</v>
      </c>
      <c r="M10808">
        <v>1</v>
      </c>
      <c r="N10808">
        <v>0</v>
      </c>
      <c r="O10808">
        <v>2125</v>
      </c>
    </row>
    <row r="10809" spans="1:15" x14ac:dyDescent="0.25">
      <c r="A10809" t="s">
        <v>10822</v>
      </c>
      <c r="B10809">
        <v>161</v>
      </c>
      <c r="C10809" s="1" t="str">
        <f>HYPERLINK("http://www.rosaceae.org/gb/gbrowse/malus_x_domestica/?name=MDP0000253428","MDP0000253428")</f>
        <v>MDP0000253428</v>
      </c>
      <c r="D10809">
        <v>68.09</v>
      </c>
      <c r="E10809">
        <v>163</v>
      </c>
      <c r="F10809">
        <v>52</v>
      </c>
      <c r="G10809">
        <v>30</v>
      </c>
      <c r="H10809">
        <v>29</v>
      </c>
      <c r="I10809">
        <v>161</v>
      </c>
      <c r="J10809">
        <v>1</v>
      </c>
      <c r="K10809">
        <v>1</v>
      </c>
      <c r="L10809">
        <v>163</v>
      </c>
      <c r="M10809">
        <v>1</v>
      </c>
      <c r="N10809">
        <v>5.8621399999999999E-59</v>
      </c>
      <c r="O10809">
        <v>568</v>
      </c>
    </row>
    <row r="10810" spans="1:15" x14ac:dyDescent="0.25">
      <c r="A10810" t="s">
        <v>10823</v>
      </c>
      <c r="B10810">
        <v>507</v>
      </c>
      <c r="C10810" s="1" t="str">
        <f>HYPERLINK("http://www.rosaceae.org/gb/gbrowse/malus_x_domestica/?name=MDP0000174754","MDP0000174754")</f>
        <v>MDP0000174754</v>
      </c>
      <c r="D10810">
        <v>53.18</v>
      </c>
      <c r="E10810">
        <v>220</v>
      </c>
      <c r="F10810">
        <v>103</v>
      </c>
      <c r="G10810">
        <v>6</v>
      </c>
      <c r="H10810">
        <v>107</v>
      </c>
      <c r="I10810">
        <v>324</v>
      </c>
      <c r="J10810">
        <v>1</v>
      </c>
      <c r="K10810">
        <v>24</v>
      </c>
      <c r="L10810">
        <v>239</v>
      </c>
      <c r="M10810">
        <v>1</v>
      </c>
      <c r="N10810">
        <v>1.14307E-54</v>
      </c>
      <c r="O10810">
        <v>538</v>
      </c>
    </row>
    <row r="10811" spans="1:15" x14ac:dyDescent="0.25">
      <c r="A10811" t="s">
        <v>10824</v>
      </c>
      <c r="B10811">
        <v>101</v>
      </c>
      <c r="C10811" s="1" t="str">
        <f>HYPERLINK("http://www.rosaceae.org/gb/gbrowse/malus_x_domestica/?name=MDP0000190724","MDP0000190724")</f>
        <v>MDP0000190724</v>
      </c>
      <c r="D10811">
        <v>46.96</v>
      </c>
      <c r="E10811">
        <v>66</v>
      </c>
      <c r="F10811">
        <v>35</v>
      </c>
      <c r="G10811">
        <v>1</v>
      </c>
      <c r="H10811">
        <v>35</v>
      </c>
      <c r="I10811">
        <v>100</v>
      </c>
      <c r="J10811">
        <v>1</v>
      </c>
      <c r="K10811">
        <v>21</v>
      </c>
      <c r="L10811">
        <v>85</v>
      </c>
      <c r="M10811">
        <v>1</v>
      </c>
      <c r="N10811">
        <v>5.1469899999999997E-12</v>
      </c>
      <c r="O10811">
        <v>161</v>
      </c>
    </row>
    <row r="10812" spans="1:15" x14ac:dyDescent="0.25">
      <c r="A10812" t="s">
        <v>10825</v>
      </c>
      <c r="B10812">
        <v>163</v>
      </c>
      <c r="C10812" s="1" t="str">
        <f>HYPERLINK("http://www.rosaceae.org/gb/gbrowse/malus_x_domestica/?name=MDP0000129400","MDP0000129400")</f>
        <v>MDP0000129400</v>
      </c>
      <c r="D10812">
        <v>40.78</v>
      </c>
      <c r="E10812">
        <v>76</v>
      </c>
      <c r="F10812">
        <v>45</v>
      </c>
      <c r="G10812">
        <v>3</v>
      </c>
      <c r="H10812">
        <v>33</v>
      </c>
      <c r="I10812">
        <v>108</v>
      </c>
      <c r="J10812">
        <v>1</v>
      </c>
      <c r="K10812">
        <v>48</v>
      </c>
      <c r="L10812">
        <v>120</v>
      </c>
      <c r="M10812">
        <v>1</v>
      </c>
      <c r="N10812">
        <v>1.53255E-12</v>
      </c>
      <c r="O10812">
        <v>168</v>
      </c>
    </row>
    <row r="10813" spans="1:15" x14ac:dyDescent="0.25">
      <c r="A10813" t="s">
        <v>10826</v>
      </c>
      <c r="B10813">
        <v>275</v>
      </c>
      <c r="C10813" s="1" t="str">
        <f>HYPERLINK("http://www.rosaceae.org/gb/gbrowse/malus_x_domestica/?name=MDP0000148840","MDP0000148840")</f>
        <v>MDP0000148840</v>
      </c>
      <c r="D10813">
        <v>68.260000000000005</v>
      </c>
      <c r="E10813">
        <v>230</v>
      </c>
      <c r="F10813">
        <v>73</v>
      </c>
      <c r="G10813">
        <v>42</v>
      </c>
      <c r="H10813">
        <v>52</v>
      </c>
      <c r="I10813">
        <v>275</v>
      </c>
      <c r="J10813">
        <v>1</v>
      </c>
      <c r="K10813">
        <v>7</v>
      </c>
      <c r="L10813">
        <v>200</v>
      </c>
      <c r="M10813">
        <v>1</v>
      </c>
      <c r="N10813">
        <v>4.6224900000000001E-85</v>
      </c>
      <c r="O10813">
        <v>797</v>
      </c>
    </row>
    <row r="10814" spans="1:15" x14ac:dyDescent="0.25">
      <c r="A10814" t="s">
        <v>10827</v>
      </c>
      <c r="B10814">
        <v>285</v>
      </c>
      <c r="C10814" s="1" t="str">
        <f>HYPERLINK("http://www.rosaceae.org/gb/gbrowse/malus_x_domestica/?name=MDP0000272868","MDP0000272868")</f>
        <v>MDP0000272868</v>
      </c>
      <c r="D10814">
        <v>64.510000000000005</v>
      </c>
      <c r="E10814">
        <v>217</v>
      </c>
      <c r="F10814">
        <v>77</v>
      </c>
      <c r="G10814">
        <v>29</v>
      </c>
      <c r="H10814">
        <v>74</v>
      </c>
      <c r="I10814">
        <v>285</v>
      </c>
      <c r="J10814">
        <v>1</v>
      </c>
      <c r="K10814">
        <v>782</v>
      </c>
      <c r="L10814">
        <v>974</v>
      </c>
      <c r="M10814">
        <v>1</v>
      </c>
      <c r="N10814">
        <v>6.4620800000000006E-73</v>
      </c>
      <c r="O10814">
        <v>693</v>
      </c>
    </row>
    <row r="10815" spans="1:15" x14ac:dyDescent="0.25">
      <c r="A10815" t="s">
        <v>10828</v>
      </c>
      <c r="B10815">
        <v>717</v>
      </c>
      <c r="C10815" s="1" t="str">
        <f>HYPERLINK("http://www.rosaceae.org/gb/gbrowse/malus_x_domestica/?name=MDP0000813339","MDP0000813339")</f>
        <v>MDP0000813339</v>
      </c>
      <c r="D10815">
        <v>78.930000000000007</v>
      </c>
      <c r="E10815">
        <v>731</v>
      </c>
      <c r="F10815">
        <v>154</v>
      </c>
      <c r="G10815">
        <v>15</v>
      </c>
      <c r="H10815">
        <v>1</v>
      </c>
      <c r="I10815">
        <v>717</v>
      </c>
      <c r="J10815">
        <v>1</v>
      </c>
      <c r="K10815">
        <v>1</v>
      </c>
      <c r="L10815">
        <v>730</v>
      </c>
      <c r="M10815">
        <v>1</v>
      </c>
      <c r="N10815">
        <v>0</v>
      </c>
      <c r="O10815">
        <v>3005</v>
      </c>
    </row>
    <row r="10816" spans="1:15" x14ac:dyDescent="0.25">
      <c r="A10816" t="s">
        <v>10829</v>
      </c>
      <c r="B10816">
        <v>419</v>
      </c>
      <c r="C10816" s="1" t="str">
        <f>HYPERLINK("http://www.rosaceae.org/gb/gbrowse/malus_x_domestica/?name=MDP0000147846","MDP0000147846")</f>
        <v>MDP0000147846</v>
      </c>
      <c r="D10816">
        <v>35.14</v>
      </c>
      <c r="E10816">
        <v>441</v>
      </c>
      <c r="F10816">
        <v>286</v>
      </c>
      <c r="G10816">
        <v>75</v>
      </c>
      <c r="H10816">
        <v>12</v>
      </c>
      <c r="I10816">
        <v>418</v>
      </c>
      <c r="J10816">
        <v>1</v>
      </c>
      <c r="K10816">
        <v>165</v>
      </c>
      <c r="L10816">
        <v>564</v>
      </c>
      <c r="M10816">
        <v>1</v>
      </c>
      <c r="N10816">
        <v>2.4874900000000001E-43</v>
      </c>
      <c r="O10816">
        <v>439</v>
      </c>
    </row>
    <row r="10817" spans="1:15" x14ac:dyDescent="0.25">
      <c r="A10817" t="s">
        <v>10830</v>
      </c>
      <c r="B10817">
        <v>339</v>
      </c>
      <c r="C10817" s="1" t="str">
        <f>HYPERLINK("http://www.rosaceae.org/gb/gbrowse/malus_x_domestica/?name=MDP0000202291","MDP0000202291")</f>
        <v>MDP0000202291</v>
      </c>
      <c r="D10817">
        <v>72.98</v>
      </c>
      <c r="E10817">
        <v>359</v>
      </c>
      <c r="F10817">
        <v>97</v>
      </c>
      <c r="G10817">
        <v>54</v>
      </c>
      <c r="H10817">
        <v>1</v>
      </c>
      <c r="I10817">
        <v>339</v>
      </c>
      <c r="J10817">
        <v>1</v>
      </c>
      <c r="K10817">
        <v>1</v>
      </c>
      <c r="L10817">
        <v>325</v>
      </c>
      <c r="M10817">
        <v>1</v>
      </c>
      <c r="N10817">
        <v>2.1610600000000001E-141</v>
      </c>
      <c r="O10817">
        <v>1284</v>
      </c>
    </row>
    <row r="10818" spans="1:15" x14ac:dyDescent="0.25">
      <c r="A10818" t="s">
        <v>10831</v>
      </c>
      <c r="B10818">
        <v>387</v>
      </c>
      <c r="C10818" s="1" t="str">
        <f>HYPERLINK("http://www.rosaceae.org/gb/gbrowse/malus_x_domestica/?name=MDP0000888053","MDP0000888053")</f>
        <v>MDP0000888053</v>
      </c>
      <c r="D10818">
        <v>76.22</v>
      </c>
      <c r="E10818">
        <v>387</v>
      </c>
      <c r="F10818">
        <v>92</v>
      </c>
      <c r="G10818">
        <v>40</v>
      </c>
      <c r="H10818">
        <v>1</v>
      </c>
      <c r="I10818">
        <v>387</v>
      </c>
      <c r="J10818">
        <v>1</v>
      </c>
      <c r="K10818">
        <v>1</v>
      </c>
      <c r="L10818">
        <v>347</v>
      </c>
      <c r="M10818">
        <v>1</v>
      </c>
      <c r="N10818">
        <v>1.7793800000000002E-161</v>
      </c>
      <c r="O10818">
        <v>1458</v>
      </c>
    </row>
    <row r="10819" spans="1:15" x14ac:dyDescent="0.25">
      <c r="A10819" t="s">
        <v>10832</v>
      </c>
      <c r="B10819">
        <v>643</v>
      </c>
      <c r="C10819" s="1" t="str">
        <f>HYPERLINK("http://www.rosaceae.org/gb/gbrowse/malus_x_domestica/?name=MDP0000541757","MDP0000541757")</f>
        <v>MDP0000541757</v>
      </c>
      <c r="D10819">
        <v>61.14</v>
      </c>
      <c r="E10819">
        <v>314</v>
      </c>
      <c r="F10819">
        <v>122</v>
      </c>
      <c r="G10819">
        <v>26</v>
      </c>
      <c r="H10819">
        <v>353</v>
      </c>
      <c r="I10819">
        <v>643</v>
      </c>
      <c r="J10819">
        <v>1</v>
      </c>
      <c r="K10819">
        <v>473</v>
      </c>
      <c r="L10819">
        <v>783</v>
      </c>
      <c r="M10819">
        <v>1</v>
      </c>
      <c r="N10819">
        <v>1.1357500000000001E-99</v>
      </c>
      <c r="O10819">
        <v>927</v>
      </c>
    </row>
    <row r="10820" spans="1:15" x14ac:dyDescent="0.25">
      <c r="A10820" t="s">
        <v>10833</v>
      </c>
      <c r="B10820">
        <v>701</v>
      </c>
      <c r="C10820" s="1" t="str">
        <f>HYPERLINK("http://www.rosaceae.org/gb/gbrowse/malus_x_domestica/?name=MDP0000275191","MDP0000275191")</f>
        <v>MDP0000275191</v>
      </c>
      <c r="D10820">
        <v>50</v>
      </c>
      <c r="E10820">
        <v>62</v>
      </c>
      <c r="F10820">
        <v>31</v>
      </c>
      <c r="G10820">
        <v>0</v>
      </c>
      <c r="H10820">
        <v>239</v>
      </c>
      <c r="I10820">
        <v>300</v>
      </c>
      <c r="J10820">
        <v>1</v>
      </c>
      <c r="K10820">
        <v>76</v>
      </c>
      <c r="L10820">
        <v>137</v>
      </c>
      <c r="M10820">
        <v>1</v>
      </c>
      <c r="N10820">
        <v>1.72901E-13</v>
      </c>
      <c r="O10820">
        <v>184</v>
      </c>
    </row>
    <row r="10821" spans="1:15" x14ac:dyDescent="0.25">
      <c r="A10821" t="s">
        <v>10834</v>
      </c>
      <c r="B10821">
        <v>302</v>
      </c>
      <c r="C10821" s="1" t="str">
        <f>HYPERLINK("http://www.rosaceae.org/gb/gbrowse/malus_x_domestica/?name=MDP0000124256","MDP0000124256")</f>
        <v>MDP0000124256</v>
      </c>
      <c r="D10821">
        <v>39.79</v>
      </c>
      <c r="E10821">
        <v>196</v>
      </c>
      <c r="F10821">
        <v>118</v>
      </c>
      <c r="G10821">
        <v>6</v>
      </c>
      <c r="H10821">
        <v>86</v>
      </c>
      <c r="I10821">
        <v>280</v>
      </c>
      <c r="J10821">
        <v>1</v>
      </c>
      <c r="K10821">
        <v>4</v>
      </c>
      <c r="L10821">
        <v>194</v>
      </c>
      <c r="M10821">
        <v>1</v>
      </c>
      <c r="N10821">
        <v>4.5895699999999999E-33</v>
      </c>
      <c r="O10821">
        <v>349</v>
      </c>
    </row>
    <row r="10822" spans="1:15" x14ac:dyDescent="0.25">
      <c r="A10822" t="s">
        <v>10835</v>
      </c>
      <c r="B10822">
        <v>248</v>
      </c>
      <c r="C10822" s="1" t="str">
        <f>HYPERLINK("http://www.rosaceae.org/gb/gbrowse/malus_x_domestica/?name=MDP0000290114","MDP0000290114")</f>
        <v>MDP0000290114</v>
      </c>
      <c r="D10822">
        <v>79.83</v>
      </c>
      <c r="E10822">
        <v>248</v>
      </c>
      <c r="F10822">
        <v>50</v>
      </c>
      <c r="G10822">
        <v>0</v>
      </c>
      <c r="H10822">
        <v>1</v>
      </c>
      <c r="I10822">
        <v>248</v>
      </c>
      <c r="J10822">
        <v>1</v>
      </c>
      <c r="K10822">
        <v>1</v>
      </c>
      <c r="L10822">
        <v>248</v>
      </c>
      <c r="M10822">
        <v>1</v>
      </c>
      <c r="N10822">
        <v>3.8468299999999998E-112</v>
      </c>
      <c r="O10822">
        <v>1030</v>
      </c>
    </row>
    <row r="10823" spans="1:15" x14ac:dyDescent="0.25">
      <c r="A10823" t="s">
        <v>10836</v>
      </c>
      <c r="B10823">
        <v>678</v>
      </c>
      <c r="C10823" s="1" t="str">
        <f>HYPERLINK("http://www.rosaceae.org/gb/gbrowse/malus_x_domestica/?name=MDP0000165255","MDP0000165255")</f>
        <v>MDP0000165255</v>
      </c>
      <c r="D10823">
        <v>75.959999999999994</v>
      </c>
      <c r="E10823">
        <v>649</v>
      </c>
      <c r="F10823">
        <v>156</v>
      </c>
      <c r="G10823">
        <v>53</v>
      </c>
      <c r="H10823">
        <v>65</v>
      </c>
      <c r="I10823">
        <v>672</v>
      </c>
      <c r="J10823">
        <v>1</v>
      </c>
      <c r="K10823">
        <v>34</v>
      </c>
      <c r="L10823">
        <v>670</v>
      </c>
      <c r="M10823">
        <v>1</v>
      </c>
      <c r="N10823">
        <v>0</v>
      </c>
      <c r="O10823">
        <v>2522</v>
      </c>
    </row>
    <row r="10824" spans="1:15" x14ac:dyDescent="0.25">
      <c r="A10824" t="s">
        <v>10837</v>
      </c>
      <c r="B10824">
        <v>256</v>
      </c>
      <c r="C10824" s="1" t="str">
        <f>HYPERLINK("http://www.rosaceae.org/gb/gbrowse/malus_x_domestica/?name=MDP0000345134","MDP0000345134")</f>
        <v>MDP0000345134</v>
      </c>
      <c r="D10824">
        <v>74.52</v>
      </c>
      <c r="E10824">
        <v>263</v>
      </c>
      <c r="F10824">
        <v>67</v>
      </c>
      <c r="G10824">
        <v>7</v>
      </c>
      <c r="H10824">
        <v>1</v>
      </c>
      <c r="I10824">
        <v>256</v>
      </c>
      <c r="J10824">
        <v>1</v>
      </c>
      <c r="K10824">
        <v>1</v>
      </c>
      <c r="L10824">
        <v>263</v>
      </c>
      <c r="M10824">
        <v>1</v>
      </c>
      <c r="N10824">
        <v>5.0476399999999997E-106</v>
      </c>
      <c r="O10824">
        <v>977</v>
      </c>
    </row>
    <row r="10825" spans="1:15" x14ac:dyDescent="0.25">
      <c r="A10825" t="s">
        <v>10838</v>
      </c>
      <c r="B10825">
        <v>377</v>
      </c>
      <c r="C10825" s="1" t="str">
        <f>HYPERLINK("http://www.rosaceae.org/gb/gbrowse/malus_x_domestica/?name=MDP0000876630","MDP0000876630")</f>
        <v>MDP0000876630</v>
      </c>
      <c r="D10825">
        <v>26.08</v>
      </c>
      <c r="E10825">
        <v>230</v>
      </c>
      <c r="F10825">
        <v>170</v>
      </c>
      <c r="G10825">
        <v>17</v>
      </c>
      <c r="H10825">
        <v>124</v>
      </c>
      <c r="I10825">
        <v>351</v>
      </c>
      <c r="J10825">
        <v>1</v>
      </c>
      <c r="K10825">
        <v>240</v>
      </c>
      <c r="L10825">
        <v>454</v>
      </c>
      <c r="M10825">
        <v>1</v>
      </c>
      <c r="N10825">
        <v>1.74572E-16</v>
      </c>
      <c r="O10825">
        <v>207</v>
      </c>
    </row>
    <row r="10826" spans="1:15" x14ac:dyDescent="0.25">
      <c r="A10826" t="s">
        <v>10839</v>
      </c>
      <c r="B10826">
        <v>395</v>
      </c>
      <c r="C10826" s="1" t="str">
        <f>HYPERLINK("http://www.rosaceae.org/gb/gbrowse/malus_x_domestica/?name=MDP0000946984","MDP0000946984")</f>
        <v>MDP0000946984</v>
      </c>
      <c r="D10826">
        <v>34.04</v>
      </c>
      <c r="E10826">
        <v>326</v>
      </c>
      <c r="F10826">
        <v>215</v>
      </c>
      <c r="G10826">
        <v>47</v>
      </c>
      <c r="H10826">
        <v>17</v>
      </c>
      <c r="I10826">
        <v>313</v>
      </c>
      <c r="J10826">
        <v>1</v>
      </c>
      <c r="K10826">
        <v>26</v>
      </c>
      <c r="L10826">
        <v>333</v>
      </c>
      <c r="M10826">
        <v>1</v>
      </c>
      <c r="N10826">
        <v>2.5489500000000003E-29</v>
      </c>
      <c r="O10826">
        <v>318</v>
      </c>
    </row>
    <row r="10827" spans="1:15" x14ac:dyDescent="0.25">
      <c r="A10827" t="s">
        <v>10840</v>
      </c>
      <c r="B10827">
        <v>1487</v>
      </c>
      <c r="C10827" s="1" t="str">
        <f>HYPERLINK("http://www.rosaceae.org/gb/gbrowse/malus_x_domestica/?name=MDP0000231348","MDP0000231348")</f>
        <v>MDP0000231348</v>
      </c>
      <c r="D10827">
        <v>77.83</v>
      </c>
      <c r="E10827">
        <v>1480</v>
      </c>
      <c r="F10827">
        <v>328</v>
      </c>
      <c r="G10827">
        <v>36</v>
      </c>
      <c r="H10827">
        <v>1</v>
      </c>
      <c r="I10827">
        <v>1478</v>
      </c>
      <c r="J10827">
        <v>1</v>
      </c>
      <c r="K10827">
        <v>1</v>
      </c>
      <c r="L10827">
        <v>1446</v>
      </c>
      <c r="M10827">
        <v>1</v>
      </c>
      <c r="N10827">
        <v>0</v>
      </c>
      <c r="O10827">
        <v>5975</v>
      </c>
    </row>
    <row r="10828" spans="1:15" x14ac:dyDescent="0.25">
      <c r="A10828" t="s">
        <v>10841</v>
      </c>
      <c r="B10828">
        <v>522</v>
      </c>
      <c r="C10828" s="1" t="str">
        <f>HYPERLINK("http://www.rosaceae.org/gb/gbrowse/malus_x_domestica/?name=MDP0000216173","MDP0000216173")</f>
        <v>MDP0000216173</v>
      </c>
      <c r="D10828">
        <v>86.31</v>
      </c>
      <c r="E10828">
        <v>431</v>
      </c>
      <c r="F10828">
        <v>59</v>
      </c>
      <c r="G10828">
        <v>0</v>
      </c>
      <c r="H10828">
        <v>1</v>
      </c>
      <c r="I10828">
        <v>431</v>
      </c>
      <c r="J10828">
        <v>1</v>
      </c>
      <c r="K10828">
        <v>1</v>
      </c>
      <c r="L10828">
        <v>431</v>
      </c>
      <c r="M10828">
        <v>1</v>
      </c>
      <c r="N10828">
        <v>0</v>
      </c>
      <c r="O10828">
        <v>1996</v>
      </c>
    </row>
    <row r="10829" spans="1:15" x14ac:dyDescent="0.25">
      <c r="A10829" t="s">
        <v>10842</v>
      </c>
      <c r="B10829">
        <v>169</v>
      </c>
      <c r="C10829" s="1" t="str">
        <f>HYPERLINK("http://www.rosaceae.org/gb/gbrowse/malus_x_domestica/?name=MDP0000202128","MDP0000202128")</f>
        <v>MDP0000202128</v>
      </c>
      <c r="D10829">
        <v>66.94</v>
      </c>
      <c r="E10829">
        <v>118</v>
      </c>
      <c r="F10829">
        <v>39</v>
      </c>
      <c r="G10829">
        <v>4</v>
      </c>
      <c r="H10829">
        <v>30</v>
      </c>
      <c r="I10829">
        <v>145</v>
      </c>
      <c r="J10829">
        <v>1</v>
      </c>
      <c r="K10829">
        <v>27</v>
      </c>
      <c r="L10829">
        <v>142</v>
      </c>
      <c r="M10829">
        <v>1</v>
      </c>
      <c r="N10829">
        <v>6.61126E-37</v>
      </c>
      <c r="O10829">
        <v>379</v>
      </c>
    </row>
    <row r="10830" spans="1:15" x14ac:dyDescent="0.25">
      <c r="A10830" t="s">
        <v>10843</v>
      </c>
      <c r="B10830">
        <v>486</v>
      </c>
      <c r="C10830" s="1" t="str">
        <f>HYPERLINK("http://www.rosaceae.org/gb/gbrowse/malus_x_domestica/?name=MDP0000301950","MDP0000301950")</f>
        <v>MDP0000301950</v>
      </c>
      <c r="D10830">
        <v>79.09</v>
      </c>
      <c r="E10830">
        <v>464</v>
      </c>
      <c r="F10830">
        <v>97</v>
      </c>
      <c r="G10830">
        <v>15</v>
      </c>
      <c r="H10830">
        <v>1</v>
      </c>
      <c r="I10830">
        <v>459</v>
      </c>
      <c r="J10830">
        <v>1</v>
      </c>
      <c r="K10830">
        <v>1</v>
      </c>
      <c r="L10830">
        <v>454</v>
      </c>
      <c r="M10830">
        <v>1</v>
      </c>
      <c r="N10830">
        <v>0</v>
      </c>
      <c r="O10830">
        <v>1903</v>
      </c>
    </row>
    <row r="10831" spans="1:15" x14ac:dyDescent="0.25">
      <c r="A10831" t="s">
        <v>10844</v>
      </c>
      <c r="B10831">
        <v>281</v>
      </c>
      <c r="C10831" s="1" t="str">
        <f>HYPERLINK("http://www.rosaceae.org/gb/gbrowse/malus_x_domestica/?name=MDP0000241386","MDP0000241386")</f>
        <v>MDP0000241386</v>
      </c>
      <c r="D10831">
        <v>39.369999999999997</v>
      </c>
      <c r="E10831">
        <v>127</v>
      </c>
      <c r="F10831">
        <v>77</v>
      </c>
      <c r="G10831">
        <v>32</v>
      </c>
      <c r="H10831">
        <v>6</v>
      </c>
      <c r="I10831">
        <v>100</v>
      </c>
      <c r="J10831">
        <v>1</v>
      </c>
      <c r="K10831">
        <v>54</v>
      </c>
      <c r="L10831">
        <v>180</v>
      </c>
      <c r="M10831">
        <v>1</v>
      </c>
      <c r="N10831">
        <v>1.5548200000000001E-18</v>
      </c>
      <c r="O10831">
        <v>223</v>
      </c>
    </row>
    <row r="10832" spans="1:15" x14ac:dyDescent="0.25">
      <c r="A10832" t="s">
        <v>10845</v>
      </c>
      <c r="B10832">
        <v>183</v>
      </c>
      <c r="C10832" s="1" t="str">
        <f>HYPERLINK("http://www.rosaceae.org/gb/gbrowse/malus_x_domestica/?name=MDP0000284481","MDP0000284481")</f>
        <v>MDP0000284481</v>
      </c>
      <c r="D10832">
        <v>53.04</v>
      </c>
      <c r="E10832">
        <v>164</v>
      </c>
      <c r="F10832">
        <v>77</v>
      </c>
      <c r="G10832">
        <v>29</v>
      </c>
      <c r="H10832">
        <v>23</v>
      </c>
      <c r="I10832">
        <v>158</v>
      </c>
      <c r="J10832">
        <v>1</v>
      </c>
      <c r="K10832">
        <v>204</v>
      </c>
      <c r="L10832">
        <v>366</v>
      </c>
      <c r="M10832">
        <v>1</v>
      </c>
      <c r="N10832">
        <v>1.18904E-32</v>
      </c>
      <c r="O10832">
        <v>343</v>
      </c>
    </row>
    <row r="10833" spans="1:15" x14ac:dyDescent="0.25">
      <c r="A10833" t="s">
        <v>10846</v>
      </c>
      <c r="B10833">
        <v>859</v>
      </c>
      <c r="C10833" s="1" t="str">
        <f>HYPERLINK("http://www.rosaceae.org/gb/gbrowse/malus_x_domestica/?name=MDP0000702098","MDP0000702098")</f>
        <v>MDP0000702098</v>
      </c>
      <c r="D10833">
        <v>90.03</v>
      </c>
      <c r="E10833">
        <v>512</v>
      </c>
      <c r="F10833">
        <v>51</v>
      </c>
      <c r="G10833">
        <v>5</v>
      </c>
      <c r="H10833">
        <v>353</v>
      </c>
      <c r="I10833">
        <v>859</v>
      </c>
      <c r="J10833">
        <v>1</v>
      </c>
      <c r="K10833">
        <v>116</v>
      </c>
      <c r="L10833">
        <v>627</v>
      </c>
      <c r="M10833">
        <v>1</v>
      </c>
      <c r="N10833">
        <v>0</v>
      </c>
      <c r="O10833">
        <v>2462</v>
      </c>
    </row>
    <row r="10834" spans="1:15" x14ac:dyDescent="0.25">
      <c r="A10834" t="s">
        <v>10847</v>
      </c>
      <c r="B10834">
        <v>368</v>
      </c>
      <c r="C10834" s="1" t="str">
        <f>HYPERLINK("http://www.rosaceae.org/gb/gbrowse/malus_x_domestica/?name=MDP0000305455","MDP0000305455")</f>
        <v>MDP0000305455</v>
      </c>
      <c r="D10834">
        <v>68.53</v>
      </c>
      <c r="E10834">
        <v>375</v>
      </c>
      <c r="F10834">
        <v>118</v>
      </c>
      <c r="G10834">
        <v>16</v>
      </c>
      <c r="H10834">
        <v>4</v>
      </c>
      <c r="I10834">
        <v>367</v>
      </c>
      <c r="J10834">
        <v>1</v>
      </c>
      <c r="K10834">
        <v>472</v>
      </c>
      <c r="L10834">
        <v>841</v>
      </c>
      <c r="M10834">
        <v>1</v>
      </c>
      <c r="N10834">
        <v>1.27543E-148</v>
      </c>
      <c r="O10834">
        <v>1347</v>
      </c>
    </row>
    <row r="10835" spans="1:15" x14ac:dyDescent="0.25">
      <c r="A10835" t="s">
        <v>10848</v>
      </c>
      <c r="B10835">
        <v>221</v>
      </c>
      <c r="C10835" s="1" t="str">
        <f>HYPERLINK("http://www.rosaceae.org/gb/gbrowse/malus_x_domestica/?name=MDP0000203957","MDP0000203957")</f>
        <v>MDP0000203957</v>
      </c>
      <c r="D10835">
        <v>78.23</v>
      </c>
      <c r="E10835">
        <v>170</v>
      </c>
      <c r="F10835">
        <v>37</v>
      </c>
      <c r="G10835">
        <v>0</v>
      </c>
      <c r="H10835">
        <v>52</v>
      </c>
      <c r="I10835">
        <v>221</v>
      </c>
      <c r="J10835">
        <v>1</v>
      </c>
      <c r="K10835">
        <v>1570</v>
      </c>
      <c r="L10835">
        <v>1739</v>
      </c>
      <c r="M10835">
        <v>1</v>
      </c>
      <c r="N10835">
        <v>1.28756E-75</v>
      </c>
      <c r="O10835">
        <v>714</v>
      </c>
    </row>
    <row r="10836" spans="1:15" x14ac:dyDescent="0.25">
      <c r="A10836" t="s">
        <v>10849</v>
      </c>
      <c r="B10836">
        <v>514</v>
      </c>
      <c r="C10836" s="1" t="str">
        <f>HYPERLINK("http://www.rosaceae.org/gb/gbrowse/malus_x_domestica/?name=MDP0000265388","MDP0000265388")</f>
        <v>MDP0000265388</v>
      </c>
      <c r="D10836">
        <v>56.65</v>
      </c>
      <c r="E10836">
        <v>323</v>
      </c>
      <c r="F10836">
        <v>140</v>
      </c>
      <c r="G10836">
        <v>43</v>
      </c>
      <c r="H10836">
        <v>1</v>
      </c>
      <c r="I10836">
        <v>317</v>
      </c>
      <c r="J10836">
        <v>1</v>
      </c>
      <c r="K10836">
        <v>360</v>
      </c>
      <c r="L10836">
        <v>645</v>
      </c>
      <c r="M10836">
        <v>1</v>
      </c>
      <c r="N10836">
        <v>7.1109600000000007E-83</v>
      </c>
      <c r="O10836">
        <v>781</v>
      </c>
    </row>
    <row r="10837" spans="1:15" x14ac:dyDescent="0.25">
      <c r="A10837" t="s">
        <v>10850</v>
      </c>
      <c r="B10837">
        <v>469</v>
      </c>
      <c r="C10837" s="1" t="str">
        <f>HYPERLINK("http://www.rosaceae.org/gb/gbrowse/malus_x_domestica/?name=MDP0000500222","MDP0000500222")</f>
        <v>MDP0000500222</v>
      </c>
      <c r="D10837">
        <v>23.85</v>
      </c>
      <c r="E10837">
        <v>348</v>
      </c>
      <c r="F10837">
        <v>265</v>
      </c>
      <c r="G10837">
        <v>40</v>
      </c>
      <c r="H10837">
        <v>87</v>
      </c>
      <c r="I10837">
        <v>403</v>
      </c>
      <c r="J10837">
        <v>1</v>
      </c>
      <c r="K10837">
        <v>51</v>
      </c>
      <c r="L10837">
        <v>389</v>
      </c>
      <c r="M10837">
        <v>1</v>
      </c>
      <c r="N10837">
        <v>2.30999E-10</v>
      </c>
      <c r="O10837">
        <v>156</v>
      </c>
    </row>
    <row r="10838" spans="1:15" x14ac:dyDescent="0.25">
      <c r="A10838" t="s">
        <v>10851</v>
      </c>
      <c r="B10838">
        <v>383</v>
      </c>
      <c r="C10838" s="1" t="str">
        <f>HYPERLINK("http://www.rosaceae.org/gb/gbrowse/malus_x_domestica/?name=MDP0000121700","MDP0000121700")</f>
        <v>MDP0000121700</v>
      </c>
      <c r="D10838">
        <v>45.5</v>
      </c>
      <c r="E10838">
        <v>178</v>
      </c>
      <c r="F10838">
        <v>97</v>
      </c>
      <c r="G10838">
        <v>40</v>
      </c>
      <c r="H10838">
        <v>29</v>
      </c>
      <c r="I10838">
        <v>206</v>
      </c>
      <c r="J10838">
        <v>1</v>
      </c>
      <c r="K10838">
        <v>303</v>
      </c>
      <c r="L10838">
        <v>440</v>
      </c>
      <c r="M10838">
        <v>1</v>
      </c>
      <c r="N10838">
        <v>7.0889700000000005E-35</v>
      </c>
      <c r="O10838">
        <v>366</v>
      </c>
    </row>
    <row r="10839" spans="1:15" x14ac:dyDescent="0.25">
      <c r="A10839" t="s">
        <v>10852</v>
      </c>
      <c r="B10839">
        <v>387</v>
      </c>
      <c r="C10839" s="1" t="str">
        <f>HYPERLINK("http://www.rosaceae.org/gb/gbrowse/malus_x_domestica/?name=MDP0000240575","MDP0000240575")</f>
        <v>MDP0000240575</v>
      </c>
      <c r="D10839">
        <v>53.62</v>
      </c>
      <c r="E10839">
        <v>386</v>
      </c>
      <c r="F10839">
        <v>179</v>
      </c>
      <c r="G10839">
        <v>28</v>
      </c>
      <c r="H10839">
        <v>5</v>
      </c>
      <c r="I10839">
        <v>386</v>
      </c>
      <c r="J10839">
        <v>1</v>
      </c>
      <c r="K10839">
        <v>123</v>
      </c>
      <c r="L10839">
        <v>484</v>
      </c>
      <c r="M10839">
        <v>1</v>
      </c>
      <c r="N10839">
        <v>6.4861900000000002E-103</v>
      </c>
      <c r="O10839">
        <v>953</v>
      </c>
    </row>
    <row r="10840" spans="1:15" x14ac:dyDescent="0.25">
      <c r="A10840" t="s">
        <v>10853</v>
      </c>
      <c r="B10840">
        <v>331</v>
      </c>
      <c r="C10840" s="1" t="str">
        <f>HYPERLINK("http://www.rosaceae.org/gb/gbrowse/malus_x_domestica/?name=MDP0000282680","MDP0000282680")</f>
        <v>MDP0000282680</v>
      </c>
      <c r="D10840">
        <v>73.27</v>
      </c>
      <c r="E10840">
        <v>232</v>
      </c>
      <c r="F10840">
        <v>62</v>
      </c>
      <c r="G10840">
        <v>16</v>
      </c>
      <c r="H10840">
        <v>115</v>
      </c>
      <c r="I10840">
        <v>330</v>
      </c>
      <c r="J10840">
        <v>1</v>
      </c>
      <c r="K10840">
        <v>137</v>
      </c>
      <c r="L10840">
        <v>368</v>
      </c>
      <c r="M10840">
        <v>1</v>
      </c>
      <c r="N10840">
        <v>7.0322799999999998E-96</v>
      </c>
      <c r="O10840">
        <v>891</v>
      </c>
    </row>
    <row r="10841" spans="1:15" x14ac:dyDescent="0.25">
      <c r="A10841" t="s">
        <v>10854</v>
      </c>
      <c r="B10841">
        <v>422</v>
      </c>
      <c r="C10841" s="1" t="str">
        <f>HYPERLINK("http://www.rosaceae.org/gb/gbrowse/malus_x_domestica/?name=MDP0000769656","MDP0000769656")</f>
        <v>MDP0000769656</v>
      </c>
      <c r="D10841">
        <v>58.15</v>
      </c>
      <c r="E10841">
        <v>411</v>
      </c>
      <c r="F10841">
        <v>172</v>
      </c>
      <c r="G10841">
        <v>7</v>
      </c>
      <c r="H10841">
        <v>7</v>
      </c>
      <c r="I10841">
        <v>413</v>
      </c>
      <c r="J10841">
        <v>1</v>
      </c>
      <c r="K10841">
        <v>18</v>
      </c>
      <c r="L10841">
        <v>425</v>
      </c>
      <c r="M10841">
        <v>1</v>
      </c>
      <c r="N10841">
        <v>5.6827899999999999E-133</v>
      </c>
      <c r="O10841">
        <v>1212</v>
      </c>
    </row>
    <row r="10842" spans="1:15" x14ac:dyDescent="0.25">
      <c r="A10842" t="s">
        <v>10855</v>
      </c>
      <c r="B10842">
        <v>328</v>
      </c>
      <c r="C10842" s="1" t="str">
        <f>HYPERLINK("http://www.rosaceae.org/gb/gbrowse/malus_x_domestica/?name=MDP0000151634","MDP0000151634")</f>
        <v>MDP0000151634</v>
      </c>
      <c r="D10842">
        <v>72.17</v>
      </c>
      <c r="E10842">
        <v>327</v>
      </c>
      <c r="F10842">
        <v>91</v>
      </c>
      <c r="G10842">
        <v>7</v>
      </c>
      <c r="H10842">
        <v>6</v>
      </c>
      <c r="I10842">
        <v>328</v>
      </c>
      <c r="J10842">
        <v>1</v>
      </c>
      <c r="K10842">
        <v>3</v>
      </c>
      <c r="L10842">
        <v>326</v>
      </c>
      <c r="M10842">
        <v>1</v>
      </c>
      <c r="N10842">
        <v>9.2706699999999998E-133</v>
      </c>
      <c r="O10842">
        <v>1209</v>
      </c>
    </row>
    <row r="10843" spans="1:15" x14ac:dyDescent="0.25">
      <c r="A10843" t="s">
        <v>10856</v>
      </c>
      <c r="B10843">
        <v>315</v>
      </c>
      <c r="C10843" s="1" t="str">
        <f>HYPERLINK("http://www.rosaceae.org/gb/gbrowse/malus_x_domestica/?name=MDP0000237596","MDP0000237596")</f>
        <v>MDP0000237596</v>
      </c>
      <c r="D10843">
        <v>64.72</v>
      </c>
      <c r="E10843">
        <v>326</v>
      </c>
      <c r="F10843">
        <v>115</v>
      </c>
      <c r="G10843">
        <v>43</v>
      </c>
      <c r="H10843">
        <v>1</v>
      </c>
      <c r="I10843">
        <v>312</v>
      </c>
      <c r="J10843">
        <v>1</v>
      </c>
      <c r="K10843">
        <v>1</v>
      </c>
      <c r="L10843">
        <v>297</v>
      </c>
      <c r="M10843">
        <v>1</v>
      </c>
      <c r="N10843">
        <v>1.3812300000000001E-105</v>
      </c>
      <c r="O10843">
        <v>975</v>
      </c>
    </row>
    <row r="10844" spans="1:15" x14ac:dyDescent="0.25">
      <c r="A10844" t="s">
        <v>10857</v>
      </c>
      <c r="B10844">
        <v>324</v>
      </c>
      <c r="C10844" s="1" t="str">
        <f>HYPERLINK("http://www.rosaceae.org/gb/gbrowse/malus_x_domestica/?name=MDP0000119034","MDP0000119034")</f>
        <v>MDP0000119034</v>
      </c>
      <c r="D10844">
        <v>76.819999999999993</v>
      </c>
      <c r="E10844">
        <v>315</v>
      </c>
      <c r="F10844">
        <v>73</v>
      </c>
      <c r="G10844">
        <v>3</v>
      </c>
      <c r="H10844">
        <v>1</v>
      </c>
      <c r="I10844">
        <v>313</v>
      </c>
      <c r="J10844">
        <v>1</v>
      </c>
      <c r="K10844">
        <v>1</v>
      </c>
      <c r="L10844">
        <v>314</v>
      </c>
      <c r="M10844">
        <v>1</v>
      </c>
      <c r="N10844">
        <v>1.5003799999999999E-136</v>
      </c>
      <c r="O10844">
        <v>1242</v>
      </c>
    </row>
    <row r="10845" spans="1:15" x14ac:dyDescent="0.25">
      <c r="A10845" t="s">
        <v>10858</v>
      </c>
      <c r="B10845">
        <v>1026</v>
      </c>
      <c r="C10845" s="1" t="str">
        <f>HYPERLINK("http://www.rosaceae.org/gb/gbrowse/malus_x_domestica/?name=MDP0000309380","MDP0000309380")</f>
        <v>MDP0000309380</v>
      </c>
      <c r="D10845">
        <v>64.53</v>
      </c>
      <c r="E10845">
        <v>172</v>
      </c>
      <c r="F10845">
        <v>61</v>
      </c>
      <c r="G10845">
        <v>27</v>
      </c>
      <c r="H10845">
        <v>845</v>
      </c>
      <c r="I10845">
        <v>997</v>
      </c>
      <c r="J10845">
        <v>1</v>
      </c>
      <c r="K10845">
        <v>3</v>
      </c>
      <c r="L10845">
        <v>166</v>
      </c>
      <c r="M10845">
        <v>1</v>
      </c>
      <c r="N10845">
        <v>2.7188999999999998E-56</v>
      </c>
      <c r="O10845">
        <v>555</v>
      </c>
    </row>
    <row r="10846" spans="1:15" x14ac:dyDescent="0.25">
      <c r="A10846" t="s">
        <v>10859</v>
      </c>
      <c r="B10846">
        <v>178</v>
      </c>
      <c r="C10846" s="1" t="str">
        <f>HYPERLINK("http://www.rosaceae.org/gb/gbrowse/malus_x_domestica/?name=MDP0000318035","MDP0000318035")</f>
        <v>MDP0000318035</v>
      </c>
      <c r="D10846">
        <v>64.67</v>
      </c>
      <c r="E10846">
        <v>184</v>
      </c>
      <c r="F10846">
        <v>65</v>
      </c>
      <c r="G10846">
        <v>9</v>
      </c>
      <c r="H10846">
        <v>4</v>
      </c>
      <c r="I10846">
        <v>178</v>
      </c>
      <c r="J10846">
        <v>1</v>
      </c>
      <c r="K10846">
        <v>6</v>
      </c>
      <c r="L10846">
        <v>189</v>
      </c>
      <c r="M10846">
        <v>1</v>
      </c>
      <c r="N10846">
        <v>3.4902099999999998E-54</v>
      </c>
      <c r="O10846">
        <v>528</v>
      </c>
    </row>
    <row r="10847" spans="1:15" x14ac:dyDescent="0.25">
      <c r="A10847" t="s">
        <v>10860</v>
      </c>
      <c r="B10847">
        <v>186</v>
      </c>
      <c r="C10847" s="1" t="str">
        <f>HYPERLINK("http://www.rosaceae.org/gb/gbrowse/malus_x_domestica/?name=MDP0000379861","MDP0000379861")</f>
        <v>MDP0000379861</v>
      </c>
      <c r="D10847">
        <v>86.98</v>
      </c>
      <c r="E10847">
        <v>169</v>
      </c>
      <c r="F10847">
        <v>22</v>
      </c>
      <c r="G10847">
        <v>1</v>
      </c>
      <c r="H10847">
        <v>19</v>
      </c>
      <c r="I10847">
        <v>186</v>
      </c>
      <c r="J10847">
        <v>1</v>
      </c>
      <c r="K10847">
        <v>173</v>
      </c>
      <c r="L10847">
        <v>341</v>
      </c>
      <c r="M10847">
        <v>1</v>
      </c>
      <c r="N10847">
        <v>1.6918399999999999E-85</v>
      </c>
      <c r="O10847">
        <v>798</v>
      </c>
    </row>
    <row r="10848" spans="1:15" x14ac:dyDescent="0.25">
      <c r="A10848" t="s">
        <v>10861</v>
      </c>
      <c r="B10848">
        <v>162</v>
      </c>
      <c r="C10848" s="1" t="str">
        <f>HYPERLINK("http://www.rosaceae.org/gb/gbrowse/malus_x_domestica/?name=MDP0000157736","MDP0000157736")</f>
        <v>MDP0000157736</v>
      </c>
      <c r="D10848">
        <v>55.68</v>
      </c>
      <c r="E10848">
        <v>176</v>
      </c>
      <c r="F10848">
        <v>78</v>
      </c>
      <c r="G10848">
        <v>17</v>
      </c>
      <c r="H10848">
        <v>1</v>
      </c>
      <c r="I10848">
        <v>162</v>
      </c>
      <c r="J10848">
        <v>1</v>
      </c>
      <c r="K10848">
        <v>1</v>
      </c>
      <c r="L10848">
        <v>173</v>
      </c>
      <c r="M10848">
        <v>1</v>
      </c>
      <c r="N10848">
        <v>1.13994E-32</v>
      </c>
      <c r="O10848">
        <v>342</v>
      </c>
    </row>
    <row r="10849" spans="1:15" x14ac:dyDescent="0.25">
      <c r="A10849" t="s">
        <v>10862</v>
      </c>
      <c r="B10849">
        <v>557</v>
      </c>
      <c r="C10849" s="1" t="str">
        <f>HYPERLINK("http://www.rosaceae.org/gb/gbrowse/malus_x_domestica/?name=MDP0000136844","MDP0000136844")</f>
        <v>MDP0000136844</v>
      </c>
      <c r="D10849">
        <v>47.66</v>
      </c>
      <c r="E10849">
        <v>193</v>
      </c>
      <c r="F10849">
        <v>101</v>
      </c>
      <c r="G10849">
        <v>13</v>
      </c>
      <c r="H10849">
        <v>125</v>
      </c>
      <c r="I10849">
        <v>307</v>
      </c>
      <c r="J10849">
        <v>1</v>
      </c>
      <c r="K10849">
        <v>667</v>
      </c>
      <c r="L10849">
        <v>856</v>
      </c>
      <c r="M10849">
        <v>1</v>
      </c>
      <c r="N10849">
        <v>4.2344900000000002E-39</v>
      </c>
      <c r="O10849">
        <v>404</v>
      </c>
    </row>
    <row r="10850" spans="1:15" x14ac:dyDescent="0.25">
      <c r="A10850" t="s">
        <v>10863</v>
      </c>
      <c r="B10850">
        <v>335</v>
      </c>
      <c r="C10850" s="1" t="str">
        <f>HYPERLINK("http://www.rosaceae.org/gb/gbrowse/malus_x_domestica/?name=MDP0000722954","MDP0000722954")</f>
        <v>MDP0000722954</v>
      </c>
      <c r="D10850">
        <v>53.78</v>
      </c>
      <c r="E10850">
        <v>370</v>
      </c>
      <c r="F10850">
        <v>171</v>
      </c>
      <c r="G10850">
        <v>58</v>
      </c>
      <c r="H10850">
        <v>1</v>
      </c>
      <c r="I10850">
        <v>335</v>
      </c>
      <c r="J10850">
        <v>1</v>
      </c>
      <c r="K10850">
        <v>1</v>
      </c>
      <c r="L10850">
        <v>347</v>
      </c>
      <c r="M10850">
        <v>1</v>
      </c>
      <c r="N10850">
        <v>1.3284199999999999E-91</v>
      </c>
      <c r="O10850">
        <v>855</v>
      </c>
    </row>
    <row r="10851" spans="1:15" x14ac:dyDescent="0.25">
      <c r="A10851" t="s">
        <v>10864</v>
      </c>
      <c r="B10851">
        <v>413</v>
      </c>
      <c r="C10851" s="1" t="str">
        <f>HYPERLINK("http://www.rosaceae.org/gb/gbrowse/malus_x_domestica/?name=MDP0000166337","MDP0000166337")</f>
        <v>MDP0000166337</v>
      </c>
      <c r="D10851">
        <v>55.74</v>
      </c>
      <c r="E10851">
        <v>409</v>
      </c>
      <c r="F10851">
        <v>181</v>
      </c>
      <c r="G10851">
        <v>48</v>
      </c>
      <c r="H10851">
        <v>49</v>
      </c>
      <c r="I10851">
        <v>413</v>
      </c>
      <c r="J10851">
        <v>1</v>
      </c>
      <c r="K10851">
        <v>135</v>
      </c>
      <c r="L10851">
        <v>539</v>
      </c>
      <c r="M10851">
        <v>1</v>
      </c>
      <c r="N10851">
        <v>6.4193300000000003E-131</v>
      </c>
      <c r="O10851">
        <v>1195</v>
      </c>
    </row>
    <row r="10852" spans="1:15" x14ac:dyDescent="0.25">
      <c r="A10852" t="s">
        <v>10865</v>
      </c>
      <c r="B10852">
        <v>407</v>
      </c>
      <c r="C10852" s="1" t="str">
        <f>HYPERLINK("http://www.rosaceae.org/gb/gbrowse/malus_x_domestica/?name=MDP0000525641","MDP0000525641")</f>
        <v>MDP0000525641</v>
      </c>
      <c r="D10852">
        <v>66.42</v>
      </c>
      <c r="E10852">
        <v>411</v>
      </c>
      <c r="F10852">
        <v>138</v>
      </c>
      <c r="G10852">
        <v>4</v>
      </c>
      <c r="H10852">
        <v>1</v>
      </c>
      <c r="I10852">
        <v>407</v>
      </c>
      <c r="J10852">
        <v>1</v>
      </c>
      <c r="K10852">
        <v>1</v>
      </c>
      <c r="L10852">
        <v>411</v>
      </c>
      <c r="M10852">
        <v>1</v>
      </c>
      <c r="N10852">
        <v>8.3124700000000002E-150</v>
      </c>
      <c r="O10852">
        <v>1357</v>
      </c>
    </row>
    <row r="10853" spans="1:15" x14ac:dyDescent="0.25">
      <c r="A10853" t="s">
        <v>10866</v>
      </c>
      <c r="B10853">
        <v>373</v>
      </c>
      <c r="C10853" s="1" t="str">
        <f>HYPERLINK("http://www.rosaceae.org/gb/gbrowse/malus_x_domestica/?name=MDP0000314371","MDP0000314371")</f>
        <v>MDP0000314371</v>
      </c>
      <c r="D10853">
        <v>59.15</v>
      </c>
      <c r="E10853">
        <v>355</v>
      </c>
      <c r="F10853">
        <v>145</v>
      </c>
      <c r="G10853">
        <v>10</v>
      </c>
      <c r="H10853">
        <v>7</v>
      </c>
      <c r="I10853">
        <v>355</v>
      </c>
      <c r="J10853">
        <v>1</v>
      </c>
      <c r="K10853">
        <v>2</v>
      </c>
      <c r="L10853">
        <v>352</v>
      </c>
      <c r="M10853">
        <v>1</v>
      </c>
      <c r="N10853">
        <v>1.79703E-124</v>
      </c>
      <c r="O10853">
        <v>1139</v>
      </c>
    </row>
    <row r="10854" spans="1:15" x14ac:dyDescent="0.25">
      <c r="A10854" t="s">
        <v>10867</v>
      </c>
      <c r="B10854">
        <v>322</v>
      </c>
      <c r="C10854" s="1" t="str">
        <f>HYPERLINK("http://www.rosaceae.org/gb/gbrowse/malus_x_domestica/?name=MDP0000066637","MDP0000066637")</f>
        <v>MDP0000066637</v>
      </c>
      <c r="D10854">
        <v>74.77</v>
      </c>
      <c r="E10854">
        <v>333</v>
      </c>
      <c r="F10854">
        <v>84</v>
      </c>
      <c r="G10854">
        <v>11</v>
      </c>
      <c r="H10854">
        <v>1</v>
      </c>
      <c r="I10854">
        <v>322</v>
      </c>
      <c r="J10854">
        <v>1</v>
      </c>
      <c r="K10854">
        <v>1</v>
      </c>
      <c r="L10854">
        <v>333</v>
      </c>
      <c r="M10854">
        <v>1</v>
      </c>
      <c r="N10854">
        <v>6.1429899999999998E-135</v>
      </c>
      <c r="O10854">
        <v>1228</v>
      </c>
    </row>
    <row r="10855" spans="1:15" x14ac:dyDescent="0.25">
      <c r="A10855" t="s">
        <v>10868</v>
      </c>
      <c r="B10855">
        <v>2200</v>
      </c>
      <c r="C10855" s="1" t="str">
        <f>HYPERLINK("http://www.rosaceae.org/gb/gbrowse/malus_x_domestica/?name=MDP0000135666","MDP0000135666")</f>
        <v>MDP0000135666</v>
      </c>
      <c r="D10855">
        <v>22.19</v>
      </c>
      <c r="E10855">
        <v>392</v>
      </c>
      <c r="F10855">
        <v>305</v>
      </c>
      <c r="G10855">
        <v>99</v>
      </c>
      <c r="H10855">
        <v>1891</v>
      </c>
      <c r="I10855">
        <v>2193</v>
      </c>
      <c r="J10855">
        <v>1</v>
      </c>
      <c r="K10855">
        <v>245</v>
      </c>
      <c r="L10855">
        <v>626</v>
      </c>
      <c r="M10855">
        <v>1</v>
      </c>
      <c r="N10855">
        <v>5.31917E-13</v>
      </c>
      <c r="O10855">
        <v>185</v>
      </c>
    </row>
    <row r="10856" spans="1:15" x14ac:dyDescent="0.25">
      <c r="A10856" t="s">
        <v>10869</v>
      </c>
      <c r="B10856">
        <v>273</v>
      </c>
      <c r="C10856" s="1" t="str">
        <f>HYPERLINK("http://www.rosaceae.org/gb/gbrowse/malus_x_domestica/?name=MDP0000312032","MDP0000312032")</f>
        <v>MDP0000312032</v>
      </c>
      <c r="D10856">
        <v>91.57</v>
      </c>
      <c r="E10856">
        <v>273</v>
      </c>
      <c r="F10856">
        <v>23</v>
      </c>
      <c r="G10856">
        <v>0</v>
      </c>
      <c r="H10856">
        <v>1</v>
      </c>
      <c r="I10856">
        <v>273</v>
      </c>
      <c r="J10856">
        <v>1</v>
      </c>
      <c r="K10856">
        <v>333</v>
      </c>
      <c r="L10856">
        <v>605</v>
      </c>
      <c r="M10856">
        <v>1</v>
      </c>
      <c r="N10856">
        <v>1.70383E-149</v>
      </c>
      <c r="O10856">
        <v>1353</v>
      </c>
    </row>
    <row r="10857" spans="1:15" x14ac:dyDescent="0.25">
      <c r="A10857" t="s">
        <v>10870</v>
      </c>
      <c r="B10857">
        <v>320</v>
      </c>
      <c r="C10857" s="1" t="str">
        <f>HYPERLINK("http://www.rosaceae.org/gb/gbrowse/malus_x_domestica/?name=MDP0000846313","MDP0000846313")</f>
        <v>MDP0000846313</v>
      </c>
      <c r="D10857">
        <v>69.13</v>
      </c>
      <c r="E10857">
        <v>230</v>
      </c>
      <c r="F10857">
        <v>71</v>
      </c>
      <c r="G10857">
        <v>31</v>
      </c>
      <c r="H10857">
        <v>105</v>
      </c>
      <c r="I10857">
        <v>320</v>
      </c>
      <c r="J10857">
        <v>1</v>
      </c>
      <c r="K10857">
        <v>106</v>
      </c>
      <c r="L10857">
        <v>318</v>
      </c>
      <c r="M10857">
        <v>1</v>
      </c>
      <c r="N10857">
        <v>1.83287E-73</v>
      </c>
      <c r="O10857">
        <v>698</v>
      </c>
    </row>
    <row r="10858" spans="1:15" x14ac:dyDescent="0.25">
      <c r="A10858" t="s">
        <v>10871</v>
      </c>
      <c r="B10858">
        <v>110</v>
      </c>
      <c r="C10858" s="1" t="str">
        <f>HYPERLINK("http://www.rosaceae.org/gb/gbrowse/malus_x_domestica/?name=MDP0000271579","MDP0000271579")</f>
        <v>MDP0000271579</v>
      </c>
      <c r="D10858">
        <v>43.24</v>
      </c>
      <c r="E10858">
        <v>74</v>
      </c>
      <c r="F10858">
        <v>42</v>
      </c>
      <c r="G10858">
        <v>5</v>
      </c>
      <c r="H10858">
        <v>41</v>
      </c>
      <c r="I10858">
        <v>109</v>
      </c>
      <c r="J10858">
        <v>1</v>
      </c>
      <c r="K10858">
        <v>245</v>
      </c>
      <c r="L10858">
        <v>318</v>
      </c>
      <c r="M10858">
        <v>1</v>
      </c>
      <c r="N10858">
        <v>2.88254E-8</v>
      </c>
      <c r="O10858">
        <v>129</v>
      </c>
    </row>
    <row r="10859" spans="1:15" x14ac:dyDescent="0.25">
      <c r="A10859" t="s">
        <v>10872</v>
      </c>
      <c r="B10859">
        <v>512</v>
      </c>
      <c r="C10859" s="1" t="str">
        <f>HYPERLINK("http://www.rosaceae.org/gb/gbrowse/malus_x_domestica/?name=MDP0000171955","MDP0000171955")</f>
        <v>MDP0000171955</v>
      </c>
      <c r="D10859">
        <v>65.58</v>
      </c>
      <c r="E10859">
        <v>462</v>
      </c>
      <c r="F10859">
        <v>159</v>
      </c>
      <c r="G10859">
        <v>51</v>
      </c>
      <c r="H10859">
        <v>43</v>
      </c>
      <c r="I10859">
        <v>467</v>
      </c>
      <c r="J10859">
        <v>1</v>
      </c>
      <c r="K10859">
        <v>49</v>
      </c>
      <c r="L10859">
        <v>496</v>
      </c>
      <c r="M10859">
        <v>1</v>
      </c>
      <c r="N10859">
        <v>3.9099400000000002E-172</v>
      </c>
      <c r="O10859">
        <v>1551</v>
      </c>
    </row>
    <row r="10860" spans="1:15" x14ac:dyDescent="0.25">
      <c r="A10860" t="s">
        <v>10873</v>
      </c>
      <c r="B10860">
        <v>372</v>
      </c>
      <c r="C10860" s="1" t="str">
        <f>HYPERLINK("http://www.rosaceae.org/gb/gbrowse/malus_x_domestica/?name=MDP0000234809","MDP0000234809")</f>
        <v>MDP0000234809</v>
      </c>
      <c r="D10860">
        <v>81.75</v>
      </c>
      <c r="E10860">
        <v>137</v>
      </c>
      <c r="F10860">
        <v>25</v>
      </c>
      <c r="G10860">
        <v>0</v>
      </c>
      <c r="H10860">
        <v>234</v>
      </c>
      <c r="I10860">
        <v>370</v>
      </c>
      <c r="J10860">
        <v>1</v>
      </c>
      <c r="K10860">
        <v>197</v>
      </c>
      <c r="L10860">
        <v>333</v>
      </c>
      <c r="M10860">
        <v>1</v>
      </c>
      <c r="N10860">
        <v>4.9625100000000001E-61</v>
      </c>
      <c r="O10860">
        <v>591</v>
      </c>
    </row>
    <row r="10861" spans="1:15" x14ac:dyDescent="0.25">
      <c r="A10861" t="s">
        <v>10874</v>
      </c>
      <c r="B10861">
        <v>288</v>
      </c>
      <c r="C10861" s="1" t="str">
        <f>HYPERLINK("http://www.rosaceae.org/gb/gbrowse/malus_x_domestica/?name=MDP0000362412","MDP0000362412")</f>
        <v>MDP0000362412</v>
      </c>
      <c r="D10861">
        <v>93.22</v>
      </c>
      <c r="E10861">
        <v>251</v>
      </c>
      <c r="F10861">
        <v>17</v>
      </c>
      <c r="G10861">
        <v>5</v>
      </c>
      <c r="H10861">
        <v>1</v>
      </c>
      <c r="I10861">
        <v>251</v>
      </c>
      <c r="J10861">
        <v>1</v>
      </c>
      <c r="K10861">
        <v>39</v>
      </c>
      <c r="L10861">
        <v>284</v>
      </c>
      <c r="M10861">
        <v>1</v>
      </c>
      <c r="N10861">
        <v>3.71827E-136</v>
      </c>
      <c r="O10861">
        <v>1238</v>
      </c>
    </row>
    <row r="10862" spans="1:15" x14ac:dyDescent="0.25">
      <c r="A10862" t="s">
        <v>10875</v>
      </c>
      <c r="B10862">
        <v>200</v>
      </c>
      <c r="C10862" s="1" t="str">
        <f>HYPERLINK("http://www.rosaceae.org/gb/gbrowse/malus_x_domestica/?name=MDP0000300402","MDP0000300402")</f>
        <v>MDP0000300402</v>
      </c>
      <c r="D10862">
        <v>89.67</v>
      </c>
      <c r="E10862">
        <v>155</v>
      </c>
      <c r="F10862">
        <v>16</v>
      </c>
      <c r="G10862">
        <v>0</v>
      </c>
      <c r="H10862">
        <v>14</v>
      </c>
      <c r="I10862">
        <v>168</v>
      </c>
      <c r="J10862">
        <v>1</v>
      </c>
      <c r="K10862">
        <v>433</v>
      </c>
      <c r="L10862">
        <v>587</v>
      </c>
      <c r="M10862">
        <v>1</v>
      </c>
      <c r="N10862">
        <v>3.0888399999999998E-78</v>
      </c>
      <c r="O10862">
        <v>736</v>
      </c>
    </row>
    <row r="10863" spans="1:15" x14ac:dyDescent="0.25">
      <c r="A10863" t="s">
        <v>10876</v>
      </c>
      <c r="B10863">
        <v>282</v>
      </c>
      <c r="C10863" s="1" t="str">
        <f>HYPERLINK("http://www.rosaceae.org/gb/gbrowse/malus_x_domestica/?name=MDP0000178119","MDP0000178119")</f>
        <v>MDP0000178119</v>
      </c>
      <c r="D10863">
        <v>57.93</v>
      </c>
      <c r="E10863">
        <v>126</v>
      </c>
      <c r="F10863">
        <v>53</v>
      </c>
      <c r="G10863">
        <v>4</v>
      </c>
      <c r="H10863">
        <v>126</v>
      </c>
      <c r="I10863">
        <v>251</v>
      </c>
      <c r="J10863">
        <v>1</v>
      </c>
      <c r="K10863">
        <v>286</v>
      </c>
      <c r="L10863">
        <v>407</v>
      </c>
      <c r="M10863">
        <v>1</v>
      </c>
      <c r="N10863">
        <v>8.9753100000000008E-34</v>
      </c>
      <c r="O10863">
        <v>355</v>
      </c>
    </row>
    <row r="10864" spans="1:15" x14ac:dyDescent="0.25">
      <c r="A10864" t="s">
        <v>10877</v>
      </c>
      <c r="B10864">
        <v>456</v>
      </c>
      <c r="C10864" s="1" t="str">
        <f>HYPERLINK("http://www.rosaceae.org/gb/gbrowse/malus_x_domestica/?name=MDP0000147129","MDP0000147129")</f>
        <v>MDP0000147129</v>
      </c>
      <c r="D10864">
        <v>42.48</v>
      </c>
      <c r="E10864">
        <v>459</v>
      </c>
      <c r="F10864">
        <v>264</v>
      </c>
      <c r="G10864">
        <v>40</v>
      </c>
      <c r="H10864">
        <v>1</v>
      </c>
      <c r="I10864">
        <v>440</v>
      </c>
      <c r="J10864">
        <v>1</v>
      </c>
      <c r="K10864">
        <v>1</v>
      </c>
      <c r="L10864">
        <v>438</v>
      </c>
      <c r="M10864">
        <v>1</v>
      </c>
      <c r="N10864">
        <v>3.9851499999999999E-75</v>
      </c>
      <c r="O10864">
        <v>714</v>
      </c>
    </row>
    <row r="10865" spans="1:15" x14ac:dyDescent="0.25">
      <c r="A10865" t="s">
        <v>10878</v>
      </c>
      <c r="B10865">
        <v>216</v>
      </c>
      <c r="C10865" s="1" t="str">
        <f>HYPERLINK("http://www.rosaceae.org/gb/gbrowse/malus_x_domestica/?name=MDP0000227463","MDP0000227463")</f>
        <v>MDP0000227463</v>
      </c>
      <c r="D10865">
        <v>87.01</v>
      </c>
      <c r="E10865">
        <v>208</v>
      </c>
      <c r="F10865">
        <v>27</v>
      </c>
      <c r="G10865">
        <v>0</v>
      </c>
      <c r="H10865">
        <v>1</v>
      </c>
      <c r="I10865">
        <v>208</v>
      </c>
      <c r="J10865">
        <v>1</v>
      </c>
      <c r="K10865">
        <v>771</v>
      </c>
      <c r="L10865">
        <v>978</v>
      </c>
      <c r="M10865">
        <v>1</v>
      </c>
      <c r="N10865">
        <v>1.5941000000000001E-115</v>
      </c>
      <c r="O10865">
        <v>1058</v>
      </c>
    </row>
    <row r="10866" spans="1:15" x14ac:dyDescent="0.25">
      <c r="A10866" t="s">
        <v>10879</v>
      </c>
      <c r="B10866">
        <v>133</v>
      </c>
      <c r="C10866" s="1" t="str">
        <f>HYPERLINK("http://www.rosaceae.org/gb/gbrowse/malus_x_domestica/?name=MDP0000178329","MDP0000178329")</f>
        <v>MDP0000178329</v>
      </c>
      <c r="D10866">
        <v>61.53</v>
      </c>
      <c r="E10866">
        <v>52</v>
      </c>
      <c r="F10866">
        <v>20</v>
      </c>
      <c r="G10866">
        <v>6</v>
      </c>
      <c r="H10866">
        <v>55</v>
      </c>
      <c r="I10866">
        <v>104</v>
      </c>
      <c r="J10866">
        <v>1</v>
      </c>
      <c r="K10866">
        <v>30</v>
      </c>
      <c r="L10866">
        <v>77</v>
      </c>
      <c r="M10866">
        <v>1</v>
      </c>
      <c r="N10866">
        <v>8.0424099999999994E-11</v>
      </c>
      <c r="O10866">
        <v>152</v>
      </c>
    </row>
    <row r="10867" spans="1:15" x14ac:dyDescent="0.25">
      <c r="A10867" t="s">
        <v>10880</v>
      </c>
      <c r="B10867">
        <v>264</v>
      </c>
      <c r="C10867" s="1" t="str">
        <f>HYPERLINK("http://www.rosaceae.org/gb/gbrowse/malus_x_domestica/?name=MDP0000153787","MDP0000153787")</f>
        <v>MDP0000153787</v>
      </c>
      <c r="D10867">
        <v>70.209999999999994</v>
      </c>
      <c r="E10867">
        <v>235</v>
      </c>
      <c r="F10867">
        <v>70</v>
      </c>
      <c r="G10867">
        <v>2</v>
      </c>
      <c r="H10867">
        <v>32</v>
      </c>
      <c r="I10867">
        <v>264</v>
      </c>
      <c r="J10867">
        <v>1</v>
      </c>
      <c r="K10867">
        <v>67</v>
      </c>
      <c r="L10867">
        <v>301</v>
      </c>
      <c r="M10867">
        <v>1</v>
      </c>
      <c r="N10867">
        <v>4.5428800000000001E-91</v>
      </c>
      <c r="O10867">
        <v>849</v>
      </c>
    </row>
    <row r="10868" spans="1:15" x14ac:dyDescent="0.25">
      <c r="A10868" t="s">
        <v>10881</v>
      </c>
      <c r="B10868">
        <v>252</v>
      </c>
      <c r="C10868" s="1" t="str">
        <f>HYPERLINK("http://www.rosaceae.org/gb/gbrowse/malus_x_domestica/?name=MDP0000302143","MDP0000302143")</f>
        <v>MDP0000302143</v>
      </c>
      <c r="D10868">
        <v>84.23</v>
      </c>
      <c r="E10868">
        <v>241</v>
      </c>
      <c r="F10868">
        <v>38</v>
      </c>
      <c r="G10868">
        <v>8</v>
      </c>
      <c r="H10868">
        <v>1</v>
      </c>
      <c r="I10868">
        <v>238</v>
      </c>
      <c r="J10868">
        <v>1</v>
      </c>
      <c r="K10868">
        <v>1</v>
      </c>
      <c r="L10868">
        <v>236</v>
      </c>
      <c r="M10868">
        <v>1</v>
      </c>
      <c r="N10868">
        <v>8.5705099999999999E-118</v>
      </c>
      <c r="O10868">
        <v>1079</v>
      </c>
    </row>
    <row r="10869" spans="1:15" x14ac:dyDescent="0.25">
      <c r="A10869" t="s">
        <v>10882</v>
      </c>
      <c r="B10869">
        <v>1239</v>
      </c>
      <c r="C10869" s="1" t="str">
        <f>HYPERLINK("http://www.rosaceae.org/gb/gbrowse/malus_x_domestica/?name=MDP0000491511","MDP0000491511")</f>
        <v>MDP0000491511</v>
      </c>
      <c r="D10869">
        <v>78.09</v>
      </c>
      <c r="E10869">
        <v>1251</v>
      </c>
      <c r="F10869">
        <v>274</v>
      </c>
      <c r="G10869">
        <v>94</v>
      </c>
      <c r="H10869">
        <v>1</v>
      </c>
      <c r="I10869">
        <v>1239</v>
      </c>
      <c r="J10869">
        <v>1</v>
      </c>
      <c r="K10869">
        <v>1</v>
      </c>
      <c r="L10869">
        <v>1169</v>
      </c>
      <c r="M10869">
        <v>1</v>
      </c>
      <c r="N10869">
        <v>0</v>
      </c>
      <c r="O10869">
        <v>5096</v>
      </c>
    </row>
    <row r="10870" spans="1:15" x14ac:dyDescent="0.25">
      <c r="A10870" t="s">
        <v>10883</v>
      </c>
      <c r="B10870">
        <v>702</v>
      </c>
      <c r="C10870" s="1" t="str">
        <f>HYPERLINK("http://www.rosaceae.org/gb/gbrowse/malus_x_domestica/?name=MDP0000271707","MDP0000271707")</f>
        <v>MDP0000271707</v>
      </c>
      <c r="D10870">
        <v>83.43</v>
      </c>
      <c r="E10870">
        <v>670</v>
      </c>
      <c r="F10870">
        <v>111</v>
      </c>
      <c r="G10870">
        <v>28</v>
      </c>
      <c r="H10870">
        <v>36</v>
      </c>
      <c r="I10870">
        <v>702</v>
      </c>
      <c r="J10870">
        <v>1</v>
      </c>
      <c r="K10870">
        <v>9</v>
      </c>
      <c r="L10870">
        <v>653</v>
      </c>
      <c r="M10870">
        <v>1</v>
      </c>
      <c r="N10870">
        <v>0</v>
      </c>
      <c r="O10870">
        <v>2933</v>
      </c>
    </row>
    <row r="10871" spans="1:15" x14ac:dyDescent="0.25">
      <c r="A10871" t="s">
        <v>10884</v>
      </c>
      <c r="B10871">
        <v>316</v>
      </c>
      <c r="C10871" s="1" t="str">
        <f>HYPERLINK("http://www.rosaceae.org/gb/gbrowse/malus_x_domestica/?name=MDP0000436890","MDP0000436890")</f>
        <v>MDP0000436890</v>
      </c>
      <c r="D10871">
        <v>73.959999999999994</v>
      </c>
      <c r="E10871">
        <v>315</v>
      </c>
      <c r="F10871">
        <v>82</v>
      </c>
      <c r="G10871">
        <v>3</v>
      </c>
      <c r="H10871">
        <v>1</v>
      </c>
      <c r="I10871">
        <v>314</v>
      </c>
      <c r="J10871">
        <v>1</v>
      </c>
      <c r="K10871">
        <v>77</v>
      </c>
      <c r="L10871">
        <v>389</v>
      </c>
      <c r="M10871">
        <v>1</v>
      </c>
      <c r="N10871">
        <v>2.2301099999999999E-138</v>
      </c>
      <c r="O10871">
        <v>1258</v>
      </c>
    </row>
    <row r="10872" spans="1:15" x14ac:dyDescent="0.25">
      <c r="A10872" t="s">
        <v>10885</v>
      </c>
      <c r="B10872">
        <v>251</v>
      </c>
      <c r="C10872" s="1" t="str">
        <f>HYPERLINK("http://www.rosaceae.org/gb/gbrowse/malus_x_domestica/?name=MDP0000236750","MDP0000236750")</f>
        <v>MDP0000236750</v>
      </c>
      <c r="D10872">
        <v>45.97</v>
      </c>
      <c r="E10872">
        <v>87</v>
      </c>
      <c r="F10872">
        <v>47</v>
      </c>
      <c r="G10872">
        <v>3</v>
      </c>
      <c r="H10872">
        <v>79</v>
      </c>
      <c r="I10872">
        <v>165</v>
      </c>
      <c r="J10872">
        <v>1</v>
      </c>
      <c r="K10872">
        <v>39</v>
      </c>
      <c r="L10872">
        <v>122</v>
      </c>
      <c r="M10872">
        <v>1</v>
      </c>
      <c r="N10872">
        <v>1.01874E-16</v>
      </c>
      <c r="O10872">
        <v>207</v>
      </c>
    </row>
    <row r="10873" spans="1:15" x14ac:dyDescent="0.25">
      <c r="A10873" t="s">
        <v>10886</v>
      </c>
      <c r="B10873">
        <v>253</v>
      </c>
      <c r="C10873" s="1" t="str">
        <f>HYPERLINK("http://www.rosaceae.org/gb/gbrowse/malus_x_domestica/?name=MDP0000410714","MDP0000410714")</f>
        <v>MDP0000410714</v>
      </c>
      <c r="D10873">
        <v>81.02</v>
      </c>
      <c r="E10873">
        <v>195</v>
      </c>
      <c r="F10873">
        <v>37</v>
      </c>
      <c r="G10873">
        <v>0</v>
      </c>
      <c r="H10873">
        <v>1</v>
      </c>
      <c r="I10873">
        <v>195</v>
      </c>
      <c r="J10873">
        <v>1</v>
      </c>
      <c r="K10873">
        <v>1</v>
      </c>
      <c r="L10873">
        <v>195</v>
      </c>
      <c r="M10873">
        <v>1</v>
      </c>
      <c r="N10873">
        <v>1.44775E-87</v>
      </c>
      <c r="O10873">
        <v>818</v>
      </c>
    </row>
    <row r="10874" spans="1:15" x14ac:dyDescent="0.25">
      <c r="A10874" t="s">
        <v>10887</v>
      </c>
      <c r="B10874">
        <v>1154</v>
      </c>
      <c r="C10874" s="1" t="str">
        <f>HYPERLINK("http://www.rosaceae.org/gb/gbrowse/malus_x_domestica/?name=MDP0000319396","MDP0000319396")</f>
        <v>MDP0000319396</v>
      </c>
      <c r="D10874">
        <v>77.03</v>
      </c>
      <c r="E10874">
        <v>1093</v>
      </c>
      <c r="F10874">
        <v>251</v>
      </c>
      <c r="G10874">
        <v>14</v>
      </c>
      <c r="H10874">
        <v>60</v>
      </c>
      <c r="I10874">
        <v>1141</v>
      </c>
      <c r="J10874">
        <v>1</v>
      </c>
      <c r="K10874">
        <v>30</v>
      </c>
      <c r="L10874">
        <v>1119</v>
      </c>
      <c r="M10874">
        <v>1</v>
      </c>
      <c r="N10874">
        <v>0</v>
      </c>
      <c r="O10874">
        <v>4582</v>
      </c>
    </row>
    <row r="10875" spans="1:15" x14ac:dyDescent="0.25">
      <c r="A10875" t="s">
        <v>10888</v>
      </c>
      <c r="B10875">
        <v>467</v>
      </c>
      <c r="C10875" s="1" t="str">
        <f>HYPERLINK("http://www.rosaceae.org/gb/gbrowse/malus_x_domestica/?name=MDP0000247921","MDP0000247921")</f>
        <v>MDP0000247921</v>
      </c>
      <c r="D10875">
        <v>27.74</v>
      </c>
      <c r="E10875">
        <v>465</v>
      </c>
      <c r="F10875">
        <v>336</v>
      </c>
      <c r="G10875">
        <v>93</v>
      </c>
      <c r="H10875">
        <v>1</v>
      </c>
      <c r="I10875">
        <v>414</v>
      </c>
      <c r="J10875">
        <v>1</v>
      </c>
      <c r="K10875">
        <v>711</v>
      </c>
      <c r="L10875">
        <v>1133</v>
      </c>
      <c r="M10875">
        <v>1</v>
      </c>
      <c r="N10875">
        <v>2.2370499999999999E-44</v>
      </c>
      <c r="O10875">
        <v>449</v>
      </c>
    </row>
    <row r="10876" spans="1:15" x14ac:dyDescent="0.25">
      <c r="A10876" t="s">
        <v>10889</v>
      </c>
      <c r="B10876">
        <v>1211</v>
      </c>
      <c r="C10876" s="1" t="str">
        <f>HYPERLINK("http://www.rosaceae.org/gb/gbrowse/malus_x_domestica/?name=MDP0000491511","MDP0000491511")</f>
        <v>MDP0000491511</v>
      </c>
      <c r="D10876">
        <v>90.5</v>
      </c>
      <c r="E10876">
        <v>1211</v>
      </c>
      <c r="F10876">
        <v>115</v>
      </c>
      <c r="G10876">
        <v>42</v>
      </c>
      <c r="H10876">
        <v>1</v>
      </c>
      <c r="I10876">
        <v>1211</v>
      </c>
      <c r="J10876">
        <v>1</v>
      </c>
      <c r="K10876">
        <v>1</v>
      </c>
      <c r="L10876">
        <v>1169</v>
      </c>
      <c r="M10876">
        <v>1</v>
      </c>
      <c r="N10876">
        <v>0</v>
      </c>
      <c r="O10876">
        <v>5903</v>
      </c>
    </row>
    <row r="10877" spans="1:15" x14ac:dyDescent="0.25">
      <c r="A10877" t="s">
        <v>10890</v>
      </c>
      <c r="B10877">
        <v>354</v>
      </c>
      <c r="C10877" s="1" t="str">
        <f>HYPERLINK("http://www.rosaceae.org/gb/gbrowse/malus_x_domestica/?name=MDP0000772835","MDP0000772835")</f>
        <v>MDP0000772835</v>
      </c>
      <c r="D10877">
        <v>58.43</v>
      </c>
      <c r="E10877">
        <v>243</v>
      </c>
      <c r="F10877">
        <v>101</v>
      </c>
      <c r="G10877">
        <v>3</v>
      </c>
      <c r="H10877">
        <v>1</v>
      </c>
      <c r="I10877">
        <v>240</v>
      </c>
      <c r="J10877">
        <v>1</v>
      </c>
      <c r="K10877">
        <v>1</v>
      </c>
      <c r="L10877">
        <v>243</v>
      </c>
      <c r="M10877">
        <v>1</v>
      </c>
      <c r="N10877">
        <v>5.8625000000000003E-80</v>
      </c>
      <c r="O10877">
        <v>754</v>
      </c>
    </row>
    <row r="10878" spans="1:15" x14ac:dyDescent="0.25">
      <c r="A10878" t="s">
        <v>10891</v>
      </c>
      <c r="B10878">
        <v>791</v>
      </c>
      <c r="C10878" s="1" t="str">
        <f>HYPERLINK("http://www.rosaceae.org/gb/gbrowse/malus_x_domestica/?name=MDP0000280452","MDP0000280452")</f>
        <v>MDP0000280452</v>
      </c>
      <c r="D10878">
        <v>74.16</v>
      </c>
      <c r="E10878">
        <v>782</v>
      </c>
      <c r="F10878">
        <v>202</v>
      </c>
      <c r="G10878">
        <v>18</v>
      </c>
      <c r="H10878">
        <v>25</v>
      </c>
      <c r="I10878">
        <v>791</v>
      </c>
      <c r="J10878">
        <v>1</v>
      </c>
      <c r="K10878">
        <v>38</v>
      </c>
      <c r="L10878">
        <v>816</v>
      </c>
      <c r="M10878">
        <v>1</v>
      </c>
      <c r="N10878">
        <v>0</v>
      </c>
      <c r="O10878">
        <v>3077</v>
      </c>
    </row>
    <row r="10879" spans="1:15" x14ac:dyDescent="0.25">
      <c r="A10879" t="s">
        <v>10892</v>
      </c>
      <c r="B10879">
        <v>421</v>
      </c>
      <c r="C10879" s="1" t="str">
        <f>HYPERLINK("http://www.rosaceae.org/gb/gbrowse/malus_x_domestica/?name=MDP0000275270","MDP0000275270")</f>
        <v>MDP0000275270</v>
      </c>
      <c r="D10879">
        <v>76.88</v>
      </c>
      <c r="E10879">
        <v>199</v>
      </c>
      <c r="F10879">
        <v>46</v>
      </c>
      <c r="G10879">
        <v>6</v>
      </c>
      <c r="H10879">
        <v>188</v>
      </c>
      <c r="I10879">
        <v>386</v>
      </c>
      <c r="J10879">
        <v>1</v>
      </c>
      <c r="K10879">
        <v>105</v>
      </c>
      <c r="L10879">
        <v>297</v>
      </c>
      <c r="M10879">
        <v>1</v>
      </c>
      <c r="N10879">
        <v>1.7280200000000001E-84</v>
      </c>
      <c r="O10879">
        <v>794</v>
      </c>
    </row>
    <row r="10880" spans="1:15" x14ac:dyDescent="0.25">
      <c r="A10880" t="s">
        <v>10893</v>
      </c>
      <c r="B10880">
        <v>243</v>
      </c>
      <c r="C10880" s="1" t="str">
        <f>HYPERLINK("http://www.rosaceae.org/gb/gbrowse/malus_x_domestica/?name=MDP0000151477","MDP0000151477")</f>
        <v>MDP0000151477</v>
      </c>
      <c r="D10880">
        <v>41.27</v>
      </c>
      <c r="E10880">
        <v>172</v>
      </c>
      <c r="F10880">
        <v>101</v>
      </c>
      <c r="G10880">
        <v>12</v>
      </c>
      <c r="H10880">
        <v>73</v>
      </c>
      <c r="I10880">
        <v>236</v>
      </c>
      <c r="J10880">
        <v>1</v>
      </c>
      <c r="K10880">
        <v>134</v>
      </c>
      <c r="L10880">
        <v>301</v>
      </c>
      <c r="M10880">
        <v>1</v>
      </c>
      <c r="N10880">
        <v>2.7547600000000001E-22</v>
      </c>
      <c r="O10880">
        <v>255</v>
      </c>
    </row>
    <row r="10881" spans="1:15" x14ac:dyDescent="0.25">
      <c r="A10881" t="s">
        <v>10894</v>
      </c>
      <c r="B10881">
        <v>305</v>
      </c>
      <c r="C10881" s="1" t="str">
        <f>HYPERLINK("http://www.rosaceae.org/gb/gbrowse/malus_x_domestica/?name=MDP0000627305","MDP0000627305")</f>
        <v>MDP0000627305</v>
      </c>
      <c r="D10881">
        <v>54.03</v>
      </c>
      <c r="E10881">
        <v>322</v>
      </c>
      <c r="F10881">
        <v>148</v>
      </c>
      <c r="G10881">
        <v>38</v>
      </c>
      <c r="H10881">
        <v>3</v>
      </c>
      <c r="I10881">
        <v>298</v>
      </c>
      <c r="J10881">
        <v>1</v>
      </c>
      <c r="K10881">
        <v>2</v>
      </c>
      <c r="L10881">
        <v>311</v>
      </c>
      <c r="M10881">
        <v>1</v>
      </c>
      <c r="N10881">
        <v>2.4622600000000001E-74</v>
      </c>
      <c r="O10881">
        <v>705</v>
      </c>
    </row>
    <row r="10882" spans="1:15" x14ac:dyDescent="0.25">
      <c r="A10882" t="s">
        <v>10895</v>
      </c>
      <c r="B10882">
        <v>515</v>
      </c>
      <c r="C10882" s="1" t="str">
        <f>HYPERLINK("http://www.rosaceae.org/gb/gbrowse/malus_x_domestica/?name=MDP0000176769","MDP0000176769")</f>
        <v>MDP0000176769</v>
      </c>
      <c r="D10882">
        <v>69.42</v>
      </c>
      <c r="E10882">
        <v>543</v>
      </c>
      <c r="F10882">
        <v>166</v>
      </c>
      <c r="G10882">
        <v>44</v>
      </c>
      <c r="H10882">
        <v>1</v>
      </c>
      <c r="I10882">
        <v>515</v>
      </c>
      <c r="J10882">
        <v>1</v>
      </c>
      <c r="K10882">
        <v>6</v>
      </c>
      <c r="L10882">
        <v>532</v>
      </c>
      <c r="M10882">
        <v>1</v>
      </c>
      <c r="N10882">
        <v>0</v>
      </c>
      <c r="O10882">
        <v>1871</v>
      </c>
    </row>
    <row r="10883" spans="1:15" x14ac:dyDescent="0.25">
      <c r="A10883" t="s">
        <v>10896</v>
      </c>
      <c r="B10883">
        <v>632</v>
      </c>
      <c r="C10883" s="1" t="str">
        <f>HYPERLINK("http://www.rosaceae.org/gb/gbrowse/malus_x_domestica/?name=MDP0000165946","MDP0000165946")</f>
        <v>MDP0000165946</v>
      </c>
      <c r="D10883">
        <v>78</v>
      </c>
      <c r="E10883">
        <v>632</v>
      </c>
      <c r="F10883">
        <v>139</v>
      </c>
      <c r="G10883">
        <v>0</v>
      </c>
      <c r="H10883">
        <v>1</v>
      </c>
      <c r="I10883">
        <v>632</v>
      </c>
      <c r="J10883">
        <v>1</v>
      </c>
      <c r="K10883">
        <v>47</v>
      </c>
      <c r="L10883">
        <v>678</v>
      </c>
      <c r="M10883">
        <v>1</v>
      </c>
      <c r="N10883">
        <v>0</v>
      </c>
      <c r="O10883">
        <v>2687</v>
      </c>
    </row>
    <row r="10884" spans="1:15" x14ac:dyDescent="0.25">
      <c r="A10884" t="s">
        <v>10897</v>
      </c>
      <c r="B10884">
        <v>172</v>
      </c>
      <c r="C10884" s="1" t="str">
        <f>HYPERLINK("http://www.rosaceae.org/gb/gbrowse/malus_x_domestica/?name=MDP0000821561","MDP0000821561")</f>
        <v>MDP0000821561</v>
      </c>
      <c r="D10884">
        <v>79.650000000000006</v>
      </c>
      <c r="E10884">
        <v>172</v>
      </c>
      <c r="F10884">
        <v>35</v>
      </c>
      <c r="G10884">
        <v>1</v>
      </c>
      <c r="H10884">
        <v>1</v>
      </c>
      <c r="I10884">
        <v>172</v>
      </c>
      <c r="J10884">
        <v>1</v>
      </c>
      <c r="K10884">
        <v>1</v>
      </c>
      <c r="L10884">
        <v>171</v>
      </c>
      <c r="M10884">
        <v>1</v>
      </c>
      <c r="N10884">
        <v>1.7336600000000001E-73</v>
      </c>
      <c r="O10884">
        <v>694</v>
      </c>
    </row>
    <row r="10885" spans="1:15" x14ac:dyDescent="0.25">
      <c r="A10885" t="s">
        <v>10898</v>
      </c>
      <c r="B10885">
        <v>1035</v>
      </c>
      <c r="C10885" s="1" t="str">
        <f>HYPERLINK("http://www.rosaceae.org/gb/gbrowse/malus_x_domestica/?name=MDP0000254650","MDP0000254650")</f>
        <v>MDP0000254650</v>
      </c>
      <c r="D10885">
        <v>67.790000000000006</v>
      </c>
      <c r="E10885">
        <v>531</v>
      </c>
      <c r="F10885">
        <v>171</v>
      </c>
      <c r="G10885">
        <v>11</v>
      </c>
      <c r="H10885">
        <v>503</v>
      </c>
      <c r="I10885">
        <v>1022</v>
      </c>
      <c r="J10885">
        <v>1</v>
      </c>
      <c r="K10885">
        <v>508</v>
      </c>
      <c r="L10885">
        <v>1038</v>
      </c>
      <c r="M10885">
        <v>1</v>
      </c>
      <c r="N10885">
        <v>0</v>
      </c>
      <c r="O10885">
        <v>1789</v>
      </c>
    </row>
    <row r="10886" spans="1:15" x14ac:dyDescent="0.25">
      <c r="A10886" t="s">
        <v>10899</v>
      </c>
      <c r="B10886">
        <v>310</v>
      </c>
      <c r="C10886" s="1" t="str">
        <f>HYPERLINK("http://www.rosaceae.org/gb/gbrowse/malus_x_domestica/?name=MDP0000171771","MDP0000171771")</f>
        <v>MDP0000171771</v>
      </c>
      <c r="D10886">
        <v>31.21</v>
      </c>
      <c r="E10886">
        <v>189</v>
      </c>
      <c r="F10886">
        <v>130</v>
      </c>
      <c r="G10886">
        <v>31</v>
      </c>
      <c r="H10886">
        <v>28</v>
      </c>
      <c r="I10886">
        <v>202</v>
      </c>
      <c r="J10886">
        <v>1</v>
      </c>
      <c r="K10886">
        <v>31</v>
      </c>
      <c r="L10886">
        <v>202</v>
      </c>
      <c r="M10886">
        <v>1</v>
      </c>
      <c r="N10886">
        <v>4.6415300000000003E-15</v>
      </c>
      <c r="O10886">
        <v>194</v>
      </c>
    </row>
    <row r="10887" spans="1:15" x14ac:dyDescent="0.25">
      <c r="A10887" t="s">
        <v>10900</v>
      </c>
      <c r="B10887">
        <v>286</v>
      </c>
      <c r="C10887" s="1" t="str">
        <f>HYPERLINK("http://www.rosaceae.org/gb/gbrowse/malus_x_domestica/?name=MDP0000250002","MDP0000250002")</f>
        <v>MDP0000250002</v>
      </c>
      <c r="D10887">
        <v>38.31</v>
      </c>
      <c r="E10887">
        <v>107</v>
      </c>
      <c r="F10887">
        <v>66</v>
      </c>
      <c r="G10887">
        <v>4</v>
      </c>
      <c r="H10887">
        <v>167</v>
      </c>
      <c r="I10887">
        <v>273</v>
      </c>
      <c r="J10887">
        <v>1</v>
      </c>
      <c r="K10887">
        <v>15</v>
      </c>
      <c r="L10887">
        <v>117</v>
      </c>
      <c r="M10887">
        <v>1</v>
      </c>
      <c r="N10887">
        <v>5.4178799999999999E-9</v>
      </c>
      <c r="O10887">
        <v>141</v>
      </c>
    </row>
    <row r="10888" spans="1:15" x14ac:dyDescent="0.25">
      <c r="A10888" t="s">
        <v>10901</v>
      </c>
      <c r="B10888">
        <v>1386</v>
      </c>
      <c r="C10888" s="1" t="str">
        <f>HYPERLINK("http://www.rosaceae.org/gb/gbrowse/malus_x_domestica/?name=MDP0000308305","MDP0000308305")</f>
        <v>MDP0000308305</v>
      </c>
      <c r="D10888">
        <v>57.36</v>
      </c>
      <c r="E10888">
        <v>978</v>
      </c>
      <c r="F10888">
        <v>417</v>
      </c>
      <c r="G10888">
        <v>100</v>
      </c>
      <c r="H10888">
        <v>2</v>
      </c>
      <c r="I10888">
        <v>921</v>
      </c>
      <c r="J10888">
        <v>1</v>
      </c>
      <c r="K10888">
        <v>32</v>
      </c>
      <c r="L10888">
        <v>967</v>
      </c>
      <c r="M10888">
        <v>1</v>
      </c>
      <c r="N10888">
        <v>0</v>
      </c>
      <c r="O10888">
        <v>2716</v>
      </c>
    </row>
    <row r="10889" spans="1:15" x14ac:dyDescent="0.25">
      <c r="A10889" t="s">
        <v>10902</v>
      </c>
      <c r="B10889">
        <v>479</v>
      </c>
      <c r="C10889" s="1" t="str">
        <f>HYPERLINK("http://www.rosaceae.org/gb/gbrowse/malus_x_domestica/?name=MDP0000260220","MDP0000260220")</f>
        <v>MDP0000260220</v>
      </c>
      <c r="D10889">
        <v>81.91</v>
      </c>
      <c r="E10889">
        <v>481</v>
      </c>
      <c r="F10889">
        <v>87</v>
      </c>
      <c r="G10889">
        <v>4</v>
      </c>
      <c r="H10889">
        <v>1</v>
      </c>
      <c r="I10889">
        <v>478</v>
      </c>
      <c r="J10889">
        <v>1</v>
      </c>
      <c r="K10889">
        <v>1</v>
      </c>
      <c r="L10889">
        <v>480</v>
      </c>
      <c r="M10889">
        <v>1</v>
      </c>
      <c r="N10889">
        <v>0</v>
      </c>
      <c r="O10889">
        <v>1997</v>
      </c>
    </row>
    <row r="10890" spans="1:15" x14ac:dyDescent="0.25">
      <c r="A10890" t="s">
        <v>10903</v>
      </c>
      <c r="B10890">
        <v>1012</v>
      </c>
      <c r="C10890" s="1" t="str">
        <f>HYPERLINK("http://www.rosaceae.org/gb/gbrowse/malus_x_domestica/?name=MDP0000175450","MDP0000175450")</f>
        <v>MDP0000175450</v>
      </c>
      <c r="D10890">
        <v>78.94</v>
      </c>
      <c r="E10890">
        <v>475</v>
      </c>
      <c r="F10890">
        <v>100</v>
      </c>
      <c r="G10890">
        <v>3</v>
      </c>
      <c r="H10890">
        <v>539</v>
      </c>
      <c r="I10890">
        <v>1012</v>
      </c>
      <c r="J10890">
        <v>1</v>
      </c>
      <c r="K10890">
        <v>43</v>
      </c>
      <c r="L10890">
        <v>515</v>
      </c>
      <c r="M10890">
        <v>1</v>
      </c>
      <c r="N10890">
        <v>0</v>
      </c>
      <c r="O10890">
        <v>1823</v>
      </c>
    </row>
    <row r="10891" spans="1:15" x14ac:dyDescent="0.25">
      <c r="A10891" t="s">
        <v>10904</v>
      </c>
      <c r="B10891">
        <v>238</v>
      </c>
      <c r="C10891" s="1" t="str">
        <f>HYPERLINK("http://www.rosaceae.org/gb/gbrowse/malus_x_domestica/?name=MDP0000246192","MDP0000246192")</f>
        <v>MDP0000246192</v>
      </c>
      <c r="D10891">
        <v>84.11</v>
      </c>
      <c r="E10891">
        <v>170</v>
      </c>
      <c r="F10891">
        <v>27</v>
      </c>
      <c r="G10891">
        <v>3</v>
      </c>
      <c r="H10891">
        <v>53</v>
      </c>
      <c r="I10891">
        <v>220</v>
      </c>
      <c r="J10891">
        <v>1</v>
      </c>
      <c r="K10891">
        <v>56</v>
      </c>
      <c r="L10891">
        <v>224</v>
      </c>
      <c r="M10891">
        <v>1</v>
      </c>
      <c r="N10891">
        <v>9.3948300000000005E-79</v>
      </c>
      <c r="O10891">
        <v>742</v>
      </c>
    </row>
    <row r="10892" spans="1:15" x14ac:dyDescent="0.25">
      <c r="A10892" t="s">
        <v>10905</v>
      </c>
      <c r="B10892">
        <v>775</v>
      </c>
      <c r="C10892" s="1" t="str">
        <f>HYPERLINK("http://www.rosaceae.org/gb/gbrowse/malus_x_domestica/?name=MDP0000161056","MDP0000161056")</f>
        <v>MDP0000161056</v>
      </c>
      <c r="D10892">
        <v>70.05</v>
      </c>
      <c r="E10892">
        <v>798</v>
      </c>
      <c r="F10892">
        <v>239</v>
      </c>
      <c r="G10892">
        <v>29</v>
      </c>
      <c r="H10892">
        <v>1</v>
      </c>
      <c r="I10892">
        <v>774</v>
      </c>
      <c r="J10892">
        <v>1</v>
      </c>
      <c r="K10892">
        <v>1</v>
      </c>
      <c r="L10892">
        <v>793</v>
      </c>
      <c r="M10892">
        <v>1</v>
      </c>
      <c r="N10892">
        <v>0</v>
      </c>
      <c r="O10892">
        <v>2980</v>
      </c>
    </row>
    <row r="10893" spans="1:15" x14ac:dyDescent="0.25">
      <c r="A10893" t="s">
        <v>10906</v>
      </c>
      <c r="B10893">
        <v>724</v>
      </c>
      <c r="C10893" s="1" t="str">
        <f>HYPERLINK("http://www.rosaceae.org/gb/gbrowse/malus_x_domestica/?name=MDP0000276676","MDP0000276676")</f>
        <v>MDP0000276676</v>
      </c>
      <c r="D10893">
        <v>83.91</v>
      </c>
      <c r="E10893">
        <v>628</v>
      </c>
      <c r="F10893">
        <v>101</v>
      </c>
      <c r="G10893">
        <v>8</v>
      </c>
      <c r="H10893">
        <v>105</v>
      </c>
      <c r="I10893">
        <v>724</v>
      </c>
      <c r="J10893">
        <v>1</v>
      </c>
      <c r="K10893">
        <v>1</v>
      </c>
      <c r="L10893">
        <v>628</v>
      </c>
      <c r="M10893">
        <v>1</v>
      </c>
      <c r="N10893">
        <v>0</v>
      </c>
      <c r="O10893">
        <v>2851</v>
      </c>
    </row>
    <row r="10894" spans="1:15" x14ac:dyDescent="0.25">
      <c r="A10894" t="s">
        <v>10907</v>
      </c>
      <c r="B10894">
        <v>1128</v>
      </c>
      <c r="C10894" s="1" t="str">
        <f>HYPERLINK("http://www.rosaceae.org/gb/gbrowse/malus_x_domestica/?name=MDP0000138698","MDP0000138698")</f>
        <v>MDP0000138698</v>
      </c>
      <c r="D10894">
        <v>65.66</v>
      </c>
      <c r="E10894">
        <v>332</v>
      </c>
      <c r="F10894">
        <v>114</v>
      </c>
      <c r="G10894">
        <v>17</v>
      </c>
      <c r="H10894">
        <v>36</v>
      </c>
      <c r="I10894">
        <v>357</v>
      </c>
      <c r="J10894">
        <v>1</v>
      </c>
      <c r="K10894">
        <v>90</v>
      </c>
      <c r="L10894">
        <v>414</v>
      </c>
      <c r="M10894">
        <v>1</v>
      </c>
      <c r="N10894">
        <v>2.1659399999999999E-124</v>
      </c>
      <c r="O10894">
        <v>1143</v>
      </c>
    </row>
    <row r="10895" spans="1:15" x14ac:dyDescent="0.25">
      <c r="A10895" t="s">
        <v>10908</v>
      </c>
      <c r="B10895">
        <v>212</v>
      </c>
      <c r="C10895" s="1" t="str">
        <f>HYPERLINK("http://www.rosaceae.org/gb/gbrowse/malus_x_domestica/?name=MDP0000688401","MDP0000688401")</f>
        <v>MDP0000688401</v>
      </c>
      <c r="D10895">
        <v>74.739999999999995</v>
      </c>
      <c r="E10895">
        <v>194</v>
      </c>
      <c r="F10895">
        <v>49</v>
      </c>
      <c r="G10895">
        <v>1</v>
      </c>
      <c r="H10895">
        <v>19</v>
      </c>
      <c r="I10895">
        <v>212</v>
      </c>
      <c r="J10895">
        <v>1</v>
      </c>
      <c r="K10895">
        <v>46</v>
      </c>
      <c r="L10895">
        <v>238</v>
      </c>
      <c r="M10895">
        <v>1</v>
      </c>
      <c r="N10895">
        <v>2.03011E-82</v>
      </c>
      <c r="O10895">
        <v>773</v>
      </c>
    </row>
    <row r="10896" spans="1:15" x14ac:dyDescent="0.25">
      <c r="A10896" t="s">
        <v>10909</v>
      </c>
      <c r="B10896">
        <v>155</v>
      </c>
      <c r="C10896" s="1" t="str">
        <f>HYPERLINK("http://www.rosaceae.org/gb/gbrowse/malus_x_domestica/?name=MDP0000315011","MDP0000315011")</f>
        <v>MDP0000315011</v>
      </c>
      <c r="D10896">
        <v>69.849999999999994</v>
      </c>
      <c r="E10896">
        <v>136</v>
      </c>
      <c r="F10896">
        <v>41</v>
      </c>
      <c r="G10896">
        <v>1</v>
      </c>
      <c r="H10896">
        <v>1</v>
      </c>
      <c r="I10896">
        <v>136</v>
      </c>
      <c r="J10896">
        <v>1</v>
      </c>
      <c r="K10896">
        <v>108</v>
      </c>
      <c r="L10896">
        <v>242</v>
      </c>
      <c r="M10896">
        <v>1</v>
      </c>
      <c r="N10896">
        <v>1.3153000000000001E-50</v>
      </c>
      <c r="O10896">
        <v>496</v>
      </c>
    </row>
    <row r="10897" spans="1:15" x14ac:dyDescent="0.25">
      <c r="A10897" t="s">
        <v>10910</v>
      </c>
      <c r="B10897">
        <v>159</v>
      </c>
      <c r="C10897" s="1" t="str">
        <f>HYPERLINK("http://www.rosaceae.org/gb/gbrowse/malus_x_domestica/?name=MDP0000203814","MDP0000203814")</f>
        <v>MDP0000203814</v>
      </c>
      <c r="D10897">
        <v>60</v>
      </c>
      <c r="E10897">
        <v>95</v>
      </c>
      <c r="F10897">
        <v>38</v>
      </c>
      <c r="G10897">
        <v>17</v>
      </c>
      <c r="H10897">
        <v>66</v>
      </c>
      <c r="I10897">
        <v>158</v>
      </c>
      <c r="J10897">
        <v>1</v>
      </c>
      <c r="K10897">
        <v>1</v>
      </c>
      <c r="L10897">
        <v>80</v>
      </c>
      <c r="M10897">
        <v>1</v>
      </c>
      <c r="N10897">
        <v>7.8803500000000005E-26</v>
      </c>
      <c r="O10897">
        <v>283</v>
      </c>
    </row>
    <row r="10898" spans="1:15" x14ac:dyDescent="0.25">
      <c r="A10898" t="s">
        <v>10911</v>
      </c>
      <c r="B10898">
        <v>178</v>
      </c>
      <c r="C10898" s="1" t="str">
        <f>HYPERLINK("http://www.rosaceae.org/gb/gbrowse/malus_x_domestica/?name=MDP0000225602","MDP0000225602")</f>
        <v>MDP0000225602</v>
      </c>
      <c r="D10898">
        <v>56.12</v>
      </c>
      <c r="E10898">
        <v>155</v>
      </c>
      <c r="F10898">
        <v>68</v>
      </c>
      <c r="G10898">
        <v>0</v>
      </c>
      <c r="H10898">
        <v>3</v>
      </c>
      <c r="I10898">
        <v>157</v>
      </c>
      <c r="J10898">
        <v>1</v>
      </c>
      <c r="K10898">
        <v>617</v>
      </c>
      <c r="L10898">
        <v>771</v>
      </c>
      <c r="M10898">
        <v>1</v>
      </c>
      <c r="N10898">
        <v>4.1743099999999998E-41</v>
      </c>
      <c r="O10898">
        <v>415</v>
      </c>
    </row>
    <row r="10899" spans="1:15" x14ac:dyDescent="0.25">
      <c r="A10899" t="s">
        <v>10912</v>
      </c>
      <c r="B10899">
        <v>172</v>
      </c>
      <c r="C10899" s="1" t="str">
        <f>HYPERLINK("http://www.rosaceae.org/gb/gbrowse/malus_x_domestica/?name=MDP0000878992","MDP0000878992")</f>
        <v>MDP0000878992</v>
      </c>
      <c r="D10899">
        <v>46.2</v>
      </c>
      <c r="E10899">
        <v>145</v>
      </c>
      <c r="F10899">
        <v>78</v>
      </c>
      <c r="G10899">
        <v>3</v>
      </c>
      <c r="H10899">
        <v>28</v>
      </c>
      <c r="I10899">
        <v>170</v>
      </c>
      <c r="J10899">
        <v>1</v>
      </c>
      <c r="K10899">
        <v>44</v>
      </c>
      <c r="L10899">
        <v>187</v>
      </c>
      <c r="M10899">
        <v>1</v>
      </c>
      <c r="N10899">
        <v>6.8949400000000002E-31</v>
      </c>
      <c r="O10899">
        <v>327</v>
      </c>
    </row>
    <row r="10900" spans="1:15" x14ac:dyDescent="0.25">
      <c r="A10900" t="s">
        <v>10913</v>
      </c>
      <c r="B10900">
        <v>510</v>
      </c>
      <c r="C10900" s="1" t="str">
        <f>HYPERLINK("http://www.rosaceae.org/gb/gbrowse/malus_x_domestica/?name=MDP0000183725","MDP0000183725")</f>
        <v>MDP0000183725</v>
      </c>
      <c r="D10900">
        <v>87.56</v>
      </c>
      <c r="E10900">
        <v>555</v>
      </c>
      <c r="F10900">
        <v>69</v>
      </c>
      <c r="G10900">
        <v>45</v>
      </c>
      <c r="H10900">
        <v>1</v>
      </c>
      <c r="I10900">
        <v>510</v>
      </c>
      <c r="J10900">
        <v>1</v>
      </c>
      <c r="K10900">
        <v>1</v>
      </c>
      <c r="L10900">
        <v>555</v>
      </c>
      <c r="M10900">
        <v>1</v>
      </c>
      <c r="N10900">
        <v>0</v>
      </c>
      <c r="O10900">
        <v>2504</v>
      </c>
    </row>
    <row r="10901" spans="1:15" x14ac:dyDescent="0.25">
      <c r="A10901" t="s">
        <v>10914</v>
      </c>
      <c r="B10901">
        <v>189</v>
      </c>
      <c r="C10901" s="1" t="str">
        <f>HYPERLINK("http://www.rosaceae.org/gb/gbrowse/malus_x_domestica/?name=MDP0000148221","MDP0000148221")</f>
        <v>MDP0000148221</v>
      </c>
      <c r="D10901">
        <v>65</v>
      </c>
      <c r="E10901">
        <v>180</v>
      </c>
      <c r="F10901">
        <v>63</v>
      </c>
      <c r="G10901">
        <v>43</v>
      </c>
      <c r="H10901">
        <v>47</v>
      </c>
      <c r="I10901">
        <v>183</v>
      </c>
      <c r="J10901">
        <v>1</v>
      </c>
      <c r="K10901">
        <v>1</v>
      </c>
      <c r="L10901">
        <v>180</v>
      </c>
      <c r="M10901">
        <v>1</v>
      </c>
      <c r="N10901">
        <v>4.4609599999999998E-57</v>
      </c>
      <c r="O10901">
        <v>553</v>
      </c>
    </row>
    <row r="10902" spans="1:15" x14ac:dyDescent="0.25">
      <c r="A10902" t="s">
        <v>10915</v>
      </c>
      <c r="B10902">
        <v>834</v>
      </c>
      <c r="C10902" s="1" t="str">
        <f>HYPERLINK("http://www.rosaceae.org/gb/gbrowse/malus_x_domestica/?name=MDP0000156410","MDP0000156410")</f>
        <v>MDP0000156410</v>
      </c>
      <c r="D10902">
        <v>64.5</v>
      </c>
      <c r="E10902">
        <v>817</v>
      </c>
      <c r="F10902">
        <v>290</v>
      </c>
      <c r="G10902">
        <v>37</v>
      </c>
      <c r="H10902">
        <v>1</v>
      </c>
      <c r="I10902">
        <v>785</v>
      </c>
      <c r="J10902">
        <v>1</v>
      </c>
      <c r="K10902">
        <v>55</v>
      </c>
      <c r="L10902">
        <v>866</v>
      </c>
      <c r="M10902">
        <v>1</v>
      </c>
      <c r="N10902">
        <v>0</v>
      </c>
      <c r="O10902">
        <v>2476</v>
      </c>
    </row>
    <row r="10903" spans="1:15" x14ac:dyDescent="0.25">
      <c r="A10903" t="s">
        <v>10916</v>
      </c>
      <c r="B10903">
        <v>203</v>
      </c>
      <c r="C10903" s="1" t="str">
        <f>HYPERLINK("http://www.rosaceae.org/gb/gbrowse/malus_x_domestica/?name=MDP0000704196","MDP0000704196")</f>
        <v>MDP0000704196</v>
      </c>
      <c r="D10903">
        <v>82.88</v>
      </c>
      <c r="E10903">
        <v>111</v>
      </c>
      <c r="F10903">
        <v>19</v>
      </c>
      <c r="G10903">
        <v>0</v>
      </c>
      <c r="H10903">
        <v>93</v>
      </c>
      <c r="I10903">
        <v>203</v>
      </c>
      <c r="J10903">
        <v>1</v>
      </c>
      <c r="K10903">
        <v>13</v>
      </c>
      <c r="L10903">
        <v>123</v>
      </c>
      <c r="M10903">
        <v>1</v>
      </c>
      <c r="N10903">
        <v>4.0167499999999996E-49</v>
      </c>
      <c r="O10903">
        <v>485</v>
      </c>
    </row>
    <row r="10904" spans="1:15" x14ac:dyDescent="0.25">
      <c r="A10904" t="s">
        <v>10917</v>
      </c>
      <c r="B10904">
        <v>313</v>
      </c>
      <c r="C10904" s="1" t="str">
        <f>HYPERLINK("http://www.rosaceae.org/gb/gbrowse/malus_x_domestica/?name=MDP0000202292","MDP0000202292")</f>
        <v>MDP0000202292</v>
      </c>
      <c r="D10904">
        <v>50.85</v>
      </c>
      <c r="E10904">
        <v>293</v>
      </c>
      <c r="F10904">
        <v>144</v>
      </c>
      <c r="G10904">
        <v>36</v>
      </c>
      <c r="H10904">
        <v>32</v>
      </c>
      <c r="I10904">
        <v>313</v>
      </c>
      <c r="J10904">
        <v>1</v>
      </c>
      <c r="K10904">
        <v>1</v>
      </c>
      <c r="L10904">
        <v>268</v>
      </c>
      <c r="M10904">
        <v>1</v>
      </c>
      <c r="N10904">
        <v>1.33107E-56</v>
      </c>
      <c r="O10904">
        <v>552</v>
      </c>
    </row>
    <row r="10905" spans="1:15" x14ac:dyDescent="0.25">
      <c r="A10905" t="s">
        <v>10918</v>
      </c>
      <c r="B10905">
        <v>277</v>
      </c>
      <c r="C10905" s="1" t="str">
        <f>HYPERLINK("http://www.rosaceae.org/gb/gbrowse/malus_x_domestica/?name=MDP0000307850","MDP0000307850")</f>
        <v>MDP0000307850</v>
      </c>
      <c r="D10905">
        <v>71.94</v>
      </c>
      <c r="E10905">
        <v>278</v>
      </c>
      <c r="F10905">
        <v>78</v>
      </c>
      <c r="G10905">
        <v>1</v>
      </c>
      <c r="H10905">
        <v>1</v>
      </c>
      <c r="I10905">
        <v>277</v>
      </c>
      <c r="J10905">
        <v>1</v>
      </c>
      <c r="K10905">
        <v>1</v>
      </c>
      <c r="L10905">
        <v>278</v>
      </c>
      <c r="M10905">
        <v>1</v>
      </c>
      <c r="N10905">
        <v>1.48901E-118</v>
      </c>
      <c r="O10905">
        <v>1086</v>
      </c>
    </row>
    <row r="10906" spans="1:15" x14ac:dyDescent="0.25">
      <c r="A10906" t="s">
        <v>10919</v>
      </c>
      <c r="B10906">
        <v>566</v>
      </c>
      <c r="C10906" s="1" t="str">
        <f>HYPERLINK("http://www.rosaceae.org/gb/gbrowse/malus_x_domestica/?name=MDP0000195510","MDP0000195510")</f>
        <v>MDP0000195510</v>
      </c>
      <c r="D10906">
        <v>59</v>
      </c>
      <c r="E10906">
        <v>561</v>
      </c>
      <c r="F10906">
        <v>230</v>
      </c>
      <c r="G10906">
        <v>51</v>
      </c>
      <c r="H10906">
        <v>4</v>
      </c>
      <c r="I10906">
        <v>533</v>
      </c>
      <c r="J10906">
        <v>1</v>
      </c>
      <c r="K10906">
        <v>5</v>
      </c>
      <c r="L10906">
        <v>545</v>
      </c>
      <c r="M10906">
        <v>1</v>
      </c>
      <c r="N10906">
        <v>5.3768000000000003E-176</v>
      </c>
      <c r="O10906">
        <v>1585</v>
      </c>
    </row>
    <row r="10907" spans="1:15" x14ac:dyDescent="0.25">
      <c r="A10907" t="s">
        <v>10920</v>
      </c>
      <c r="B10907">
        <v>166</v>
      </c>
      <c r="C10907" s="1" t="str">
        <f>HYPERLINK("http://www.rosaceae.org/gb/gbrowse/malus_x_domestica/?name=MDP0000124256","MDP0000124256")</f>
        <v>MDP0000124256</v>
      </c>
      <c r="D10907">
        <v>37</v>
      </c>
      <c r="E10907">
        <v>127</v>
      </c>
      <c r="F10907">
        <v>80</v>
      </c>
      <c r="G10907">
        <v>11</v>
      </c>
      <c r="H10907">
        <v>45</v>
      </c>
      <c r="I10907">
        <v>160</v>
      </c>
      <c r="J10907">
        <v>1</v>
      </c>
      <c r="K10907">
        <v>50</v>
      </c>
      <c r="L10907">
        <v>176</v>
      </c>
      <c r="M10907">
        <v>1</v>
      </c>
      <c r="N10907">
        <v>1.48104E-16</v>
      </c>
      <c r="O10907">
        <v>203</v>
      </c>
    </row>
    <row r="10908" spans="1:15" x14ac:dyDescent="0.25">
      <c r="A10908" t="s">
        <v>10921</v>
      </c>
      <c r="B10908">
        <v>564</v>
      </c>
      <c r="C10908" s="1" t="str">
        <f>HYPERLINK("http://www.rosaceae.org/gb/gbrowse/malus_x_domestica/?name=MDP0000295452","MDP0000295452")</f>
        <v>MDP0000295452</v>
      </c>
      <c r="D10908">
        <v>56.46</v>
      </c>
      <c r="E10908">
        <v>565</v>
      </c>
      <c r="F10908">
        <v>246</v>
      </c>
      <c r="G10908">
        <v>20</v>
      </c>
      <c r="H10908">
        <v>7</v>
      </c>
      <c r="I10908">
        <v>562</v>
      </c>
      <c r="J10908">
        <v>1</v>
      </c>
      <c r="K10908">
        <v>35</v>
      </c>
      <c r="L10908">
        <v>588</v>
      </c>
      <c r="M10908">
        <v>1</v>
      </c>
      <c r="N10908">
        <v>0</v>
      </c>
      <c r="O10908">
        <v>1650</v>
      </c>
    </row>
    <row r="10909" spans="1:15" x14ac:dyDescent="0.25">
      <c r="A10909" t="s">
        <v>10922</v>
      </c>
      <c r="B10909">
        <v>219</v>
      </c>
      <c r="C10909" s="1" t="str">
        <f>HYPERLINK("http://www.rosaceae.org/gb/gbrowse/malus_x_domestica/?name=MDP0000290113","MDP0000290113")</f>
        <v>MDP0000290113</v>
      </c>
      <c r="D10909">
        <v>73.680000000000007</v>
      </c>
      <c r="E10909">
        <v>228</v>
      </c>
      <c r="F10909">
        <v>60</v>
      </c>
      <c r="G10909">
        <v>30</v>
      </c>
      <c r="H10909">
        <v>1</v>
      </c>
      <c r="I10909">
        <v>199</v>
      </c>
      <c r="J10909">
        <v>1</v>
      </c>
      <c r="K10909">
        <v>1</v>
      </c>
      <c r="L10909">
        <v>227</v>
      </c>
      <c r="M10909">
        <v>1</v>
      </c>
      <c r="N10909">
        <v>1.50375E-87</v>
      </c>
      <c r="O10909">
        <v>817</v>
      </c>
    </row>
    <row r="10910" spans="1:15" x14ac:dyDescent="0.25">
      <c r="A10910" t="s">
        <v>10923</v>
      </c>
      <c r="B10910">
        <v>828</v>
      </c>
      <c r="C10910" s="1" t="str">
        <f>HYPERLINK("http://www.rosaceae.org/gb/gbrowse/malus_x_domestica/?name=MDP0000458584","MDP0000458584")</f>
        <v>MDP0000458584</v>
      </c>
      <c r="D10910">
        <v>93.55</v>
      </c>
      <c r="E10910">
        <v>714</v>
      </c>
      <c r="F10910">
        <v>46</v>
      </c>
      <c r="G10910">
        <v>0</v>
      </c>
      <c r="H10910">
        <v>1</v>
      </c>
      <c r="I10910">
        <v>714</v>
      </c>
      <c r="J10910">
        <v>1</v>
      </c>
      <c r="K10910">
        <v>1</v>
      </c>
      <c r="L10910">
        <v>714</v>
      </c>
      <c r="M10910">
        <v>1</v>
      </c>
      <c r="N10910">
        <v>0</v>
      </c>
      <c r="O10910">
        <v>3571</v>
      </c>
    </row>
    <row r="10911" spans="1:15" x14ac:dyDescent="0.25">
      <c r="A10911" t="s">
        <v>10924</v>
      </c>
      <c r="B10911">
        <v>146</v>
      </c>
      <c r="C10911" s="1" t="str">
        <f>HYPERLINK("http://www.rosaceae.org/gb/gbrowse/malus_x_domestica/?name=MDP0000757192","MDP0000757192")</f>
        <v>MDP0000757192</v>
      </c>
      <c r="D10911">
        <v>70.540000000000006</v>
      </c>
      <c r="E10911">
        <v>146</v>
      </c>
      <c r="F10911">
        <v>43</v>
      </c>
      <c r="G10911">
        <v>0</v>
      </c>
      <c r="H10911">
        <v>1</v>
      </c>
      <c r="I10911">
        <v>146</v>
      </c>
      <c r="J10911">
        <v>1</v>
      </c>
      <c r="K10911">
        <v>1</v>
      </c>
      <c r="L10911">
        <v>146</v>
      </c>
      <c r="M10911">
        <v>1</v>
      </c>
      <c r="N10911">
        <v>3.0603900000000001E-52</v>
      </c>
      <c r="O10911">
        <v>510</v>
      </c>
    </row>
    <row r="10912" spans="1:15" x14ac:dyDescent="0.25">
      <c r="A10912" t="s">
        <v>10925</v>
      </c>
      <c r="B10912">
        <v>141</v>
      </c>
      <c r="C10912" s="1" t="str">
        <f>HYPERLINK("http://www.rosaceae.org/gb/gbrowse/malus_x_domestica/?name=MDP0000183142","MDP0000183142")</f>
        <v>MDP0000183142</v>
      </c>
      <c r="D10912">
        <v>63.82</v>
      </c>
      <c r="E10912">
        <v>47</v>
      </c>
      <c r="F10912">
        <v>17</v>
      </c>
      <c r="G10912">
        <v>2</v>
      </c>
      <c r="H10912">
        <v>9</v>
      </c>
      <c r="I10912">
        <v>53</v>
      </c>
      <c r="J10912">
        <v>1</v>
      </c>
      <c r="K10912">
        <v>145</v>
      </c>
      <c r="L10912">
        <v>191</v>
      </c>
      <c r="M10912">
        <v>1</v>
      </c>
      <c r="N10912">
        <v>6.5592299999999999E-8</v>
      </c>
      <c r="O10912">
        <v>127</v>
      </c>
    </row>
    <row r="10913" spans="1:15" x14ac:dyDescent="0.25">
      <c r="A10913" t="s">
        <v>10926</v>
      </c>
      <c r="B10913">
        <v>726</v>
      </c>
      <c r="C10913" s="1" t="str">
        <f>HYPERLINK("http://www.rosaceae.org/gb/gbrowse/malus_x_domestica/?name=MDP0000135423","MDP0000135423")</f>
        <v>MDP0000135423</v>
      </c>
      <c r="D10913">
        <v>81.96</v>
      </c>
      <c r="E10913">
        <v>765</v>
      </c>
      <c r="F10913">
        <v>138</v>
      </c>
      <c r="G10913">
        <v>41</v>
      </c>
      <c r="H10913">
        <v>1</v>
      </c>
      <c r="I10913">
        <v>726</v>
      </c>
      <c r="J10913">
        <v>1</v>
      </c>
      <c r="K10913">
        <v>1</v>
      </c>
      <c r="L10913">
        <v>763</v>
      </c>
      <c r="M10913">
        <v>1</v>
      </c>
      <c r="N10913">
        <v>0</v>
      </c>
      <c r="O10913">
        <v>3187</v>
      </c>
    </row>
    <row r="10914" spans="1:15" x14ac:dyDescent="0.25">
      <c r="A10914" t="s">
        <v>10927</v>
      </c>
      <c r="B10914">
        <v>599</v>
      </c>
      <c r="C10914" s="1" t="str">
        <f>HYPERLINK("http://www.rosaceae.org/gb/gbrowse/malus_x_domestica/?name=MDP0000140212","MDP0000140212")</f>
        <v>MDP0000140212</v>
      </c>
      <c r="D10914">
        <v>33.15</v>
      </c>
      <c r="E10914">
        <v>184</v>
      </c>
      <c r="F10914">
        <v>123</v>
      </c>
      <c r="G10914">
        <v>45</v>
      </c>
      <c r="H10914">
        <v>199</v>
      </c>
      <c r="I10914">
        <v>376</v>
      </c>
      <c r="J10914">
        <v>1</v>
      </c>
      <c r="K10914">
        <v>113</v>
      </c>
      <c r="L10914">
        <v>257</v>
      </c>
      <c r="M10914">
        <v>1</v>
      </c>
      <c r="N10914">
        <v>2.4772700000000001E-10</v>
      </c>
      <c r="O10914">
        <v>156</v>
      </c>
    </row>
    <row r="10915" spans="1:15" x14ac:dyDescent="0.25">
      <c r="A10915" t="s">
        <v>10928</v>
      </c>
      <c r="B10915">
        <v>131</v>
      </c>
      <c r="C10915" s="1" t="str">
        <f>HYPERLINK("http://www.rosaceae.org/gb/gbrowse/malus_x_domestica/?name=MDP0000301951","MDP0000301951")</f>
        <v>MDP0000301951</v>
      </c>
      <c r="D10915">
        <v>82.35</v>
      </c>
      <c r="E10915">
        <v>85</v>
      </c>
      <c r="F10915">
        <v>15</v>
      </c>
      <c r="G10915">
        <v>0</v>
      </c>
      <c r="H10915">
        <v>37</v>
      </c>
      <c r="I10915">
        <v>121</v>
      </c>
      <c r="J10915">
        <v>1</v>
      </c>
      <c r="K10915">
        <v>281</v>
      </c>
      <c r="L10915">
        <v>365</v>
      </c>
      <c r="M10915">
        <v>1</v>
      </c>
      <c r="N10915">
        <v>5.9061699999999996E-40</v>
      </c>
      <c r="O10915">
        <v>403</v>
      </c>
    </row>
    <row r="10916" spans="1:15" x14ac:dyDescent="0.25">
      <c r="A10916" t="s">
        <v>10929</v>
      </c>
      <c r="B10916">
        <v>148</v>
      </c>
      <c r="C10916" s="1" t="str">
        <f>HYPERLINK("http://www.rosaceae.org/gb/gbrowse/malus_x_domestica/?name=MDP0000825602","MDP0000825602")</f>
        <v>MDP0000825602</v>
      </c>
      <c r="D10916">
        <v>58.78</v>
      </c>
      <c r="E10916">
        <v>148</v>
      </c>
      <c r="F10916">
        <v>61</v>
      </c>
      <c r="G10916">
        <v>3</v>
      </c>
      <c r="H10916">
        <v>1</v>
      </c>
      <c r="I10916">
        <v>148</v>
      </c>
      <c r="J10916">
        <v>1</v>
      </c>
      <c r="K10916">
        <v>1</v>
      </c>
      <c r="L10916">
        <v>145</v>
      </c>
      <c r="M10916">
        <v>1</v>
      </c>
      <c r="N10916">
        <v>1.5400699999999999E-47</v>
      </c>
      <c r="O10916">
        <v>469</v>
      </c>
    </row>
    <row r="10917" spans="1:15" x14ac:dyDescent="0.25">
      <c r="A10917" t="s">
        <v>10930</v>
      </c>
      <c r="B10917">
        <v>409</v>
      </c>
      <c r="C10917" s="1" t="str">
        <f>HYPERLINK("http://www.rosaceae.org/gb/gbrowse/malus_x_domestica/?name=MDP0000623003","MDP0000623003")</f>
        <v>MDP0000623003</v>
      </c>
      <c r="D10917">
        <v>40</v>
      </c>
      <c r="E10917">
        <v>105</v>
      </c>
      <c r="F10917">
        <v>63</v>
      </c>
      <c r="G10917">
        <v>13</v>
      </c>
      <c r="H10917">
        <v>275</v>
      </c>
      <c r="I10917">
        <v>366</v>
      </c>
      <c r="J10917">
        <v>1</v>
      </c>
      <c r="K10917">
        <v>37</v>
      </c>
      <c r="L10917">
        <v>141</v>
      </c>
      <c r="M10917">
        <v>1</v>
      </c>
      <c r="N10917">
        <v>5.14564E-14</v>
      </c>
      <c r="O10917">
        <v>186</v>
      </c>
    </row>
    <row r="10918" spans="1:15" x14ac:dyDescent="0.25">
      <c r="A10918" t="s">
        <v>10931</v>
      </c>
      <c r="B10918">
        <v>1214</v>
      </c>
      <c r="C10918" s="1" t="str">
        <f>HYPERLINK("http://www.rosaceae.org/gb/gbrowse/malus_x_domestica/?name=MDP0000291334","MDP0000291334")</f>
        <v>MDP0000291334</v>
      </c>
      <c r="D10918">
        <v>63.42</v>
      </c>
      <c r="E10918">
        <v>853</v>
      </c>
      <c r="F10918">
        <v>312</v>
      </c>
      <c r="G10918">
        <v>71</v>
      </c>
      <c r="H10918">
        <v>7</v>
      </c>
      <c r="I10918">
        <v>807</v>
      </c>
      <c r="J10918">
        <v>1</v>
      </c>
      <c r="K10918">
        <v>1</v>
      </c>
      <c r="L10918">
        <v>834</v>
      </c>
      <c r="M10918">
        <v>1</v>
      </c>
      <c r="N10918">
        <v>0</v>
      </c>
      <c r="O10918">
        <v>2673</v>
      </c>
    </row>
    <row r="10919" spans="1:15" x14ac:dyDescent="0.25">
      <c r="A10919" t="s">
        <v>10932</v>
      </c>
      <c r="B10919">
        <v>396</v>
      </c>
      <c r="C10919" s="1" t="str">
        <f>HYPERLINK("http://www.rosaceae.org/gb/gbrowse/malus_x_domestica/?name=MDP0000774306","MDP0000774306")</f>
        <v>MDP0000774306</v>
      </c>
      <c r="D10919">
        <v>40.159999999999997</v>
      </c>
      <c r="E10919">
        <v>361</v>
      </c>
      <c r="F10919">
        <v>216</v>
      </c>
      <c r="G10919">
        <v>31</v>
      </c>
      <c r="H10919">
        <v>14</v>
      </c>
      <c r="I10919">
        <v>362</v>
      </c>
      <c r="J10919">
        <v>1</v>
      </c>
      <c r="K10919">
        <v>2</v>
      </c>
      <c r="L10919">
        <v>343</v>
      </c>
      <c r="M10919">
        <v>1</v>
      </c>
      <c r="N10919">
        <v>8.0960800000000003E-55</v>
      </c>
      <c r="O10919">
        <v>538</v>
      </c>
    </row>
    <row r="10920" spans="1:15" x14ac:dyDescent="0.25">
      <c r="A10920" t="s">
        <v>10933</v>
      </c>
      <c r="B10920">
        <v>224</v>
      </c>
      <c r="C10920" s="1" t="str">
        <f>HYPERLINK("http://www.rosaceae.org/gb/gbrowse/malus_x_domestica/?name=MDP0000125300","MDP0000125300")</f>
        <v>MDP0000125300</v>
      </c>
      <c r="D10920">
        <v>45.56</v>
      </c>
      <c r="E10920">
        <v>169</v>
      </c>
      <c r="F10920">
        <v>92</v>
      </c>
      <c r="G10920">
        <v>22</v>
      </c>
      <c r="H10920">
        <v>39</v>
      </c>
      <c r="I10920">
        <v>201</v>
      </c>
      <c r="J10920">
        <v>1</v>
      </c>
      <c r="K10920">
        <v>40</v>
      </c>
      <c r="L10920">
        <v>192</v>
      </c>
      <c r="M10920">
        <v>1</v>
      </c>
      <c r="N10920">
        <v>7.5595900000000003E-28</v>
      </c>
      <c r="O10920">
        <v>302</v>
      </c>
    </row>
    <row r="10921" spans="1:15" x14ac:dyDescent="0.25">
      <c r="A10921" t="s">
        <v>10934</v>
      </c>
      <c r="B10921">
        <v>241</v>
      </c>
      <c r="C10921" s="1" t="str">
        <f>HYPERLINK("http://www.rosaceae.org/gb/gbrowse/malus_x_domestica/?name=MDP0000490749","MDP0000490749")</f>
        <v>MDP0000490749</v>
      </c>
      <c r="D10921">
        <v>58.6</v>
      </c>
      <c r="E10921">
        <v>215</v>
      </c>
      <c r="F10921">
        <v>89</v>
      </c>
      <c r="G10921">
        <v>0</v>
      </c>
      <c r="H10921">
        <v>16</v>
      </c>
      <c r="I10921">
        <v>230</v>
      </c>
      <c r="J10921">
        <v>1</v>
      </c>
      <c r="K10921">
        <v>1</v>
      </c>
      <c r="L10921">
        <v>215</v>
      </c>
      <c r="M10921">
        <v>1</v>
      </c>
      <c r="N10921">
        <v>1.3979399999999999E-68</v>
      </c>
      <c r="O10921">
        <v>654</v>
      </c>
    </row>
    <row r="10922" spans="1:15" x14ac:dyDescent="0.25">
      <c r="A10922" t="s">
        <v>10935</v>
      </c>
      <c r="B10922">
        <v>576</v>
      </c>
      <c r="C10922" s="1" t="str">
        <f>HYPERLINK("http://www.rosaceae.org/gb/gbrowse/malus_x_domestica/?name=MDP0000275857","MDP0000275857")</f>
        <v>MDP0000275857</v>
      </c>
      <c r="D10922">
        <v>68.8</v>
      </c>
      <c r="E10922">
        <v>529</v>
      </c>
      <c r="F10922">
        <v>165</v>
      </c>
      <c r="G10922">
        <v>16</v>
      </c>
      <c r="H10922">
        <v>56</v>
      </c>
      <c r="I10922">
        <v>573</v>
      </c>
      <c r="J10922">
        <v>1</v>
      </c>
      <c r="K10922">
        <v>5</v>
      </c>
      <c r="L10922">
        <v>528</v>
      </c>
      <c r="M10922">
        <v>1</v>
      </c>
      <c r="N10922">
        <v>0</v>
      </c>
      <c r="O10922">
        <v>1865</v>
      </c>
    </row>
    <row r="10923" spans="1:15" x14ac:dyDescent="0.25">
      <c r="A10923" t="s">
        <v>10936</v>
      </c>
      <c r="B10923">
        <v>208</v>
      </c>
      <c r="C10923" s="1" t="str">
        <f>HYPERLINK("http://www.rosaceae.org/gb/gbrowse/malus_x_domestica/?name=MDP0000347407","MDP0000347407")</f>
        <v>MDP0000347407</v>
      </c>
      <c r="D10923">
        <v>69.45</v>
      </c>
      <c r="E10923">
        <v>203</v>
      </c>
      <c r="F10923">
        <v>62</v>
      </c>
      <c r="G10923">
        <v>2</v>
      </c>
      <c r="H10923">
        <v>7</v>
      </c>
      <c r="I10923">
        <v>207</v>
      </c>
      <c r="J10923">
        <v>1</v>
      </c>
      <c r="K10923">
        <v>7</v>
      </c>
      <c r="L10923">
        <v>209</v>
      </c>
      <c r="M10923">
        <v>1</v>
      </c>
      <c r="N10923">
        <v>9.6602899999999997E-74</v>
      </c>
      <c r="O10923">
        <v>698</v>
      </c>
    </row>
    <row r="10924" spans="1:15" x14ac:dyDescent="0.25">
      <c r="A10924" t="s">
        <v>10937</v>
      </c>
      <c r="B10924">
        <v>492</v>
      </c>
      <c r="C10924" s="1" t="str">
        <f>HYPERLINK("http://www.rosaceae.org/gb/gbrowse/malus_x_domestica/?name=MDP0000217335","MDP0000217335")</f>
        <v>MDP0000217335</v>
      </c>
      <c r="D10924">
        <v>41.33</v>
      </c>
      <c r="E10924">
        <v>404</v>
      </c>
      <c r="F10924">
        <v>237</v>
      </c>
      <c r="G10924">
        <v>26</v>
      </c>
      <c r="H10924">
        <v>103</v>
      </c>
      <c r="I10924">
        <v>492</v>
      </c>
      <c r="J10924">
        <v>1</v>
      </c>
      <c r="K10924">
        <v>31</v>
      </c>
      <c r="L10924">
        <v>422</v>
      </c>
      <c r="M10924">
        <v>1</v>
      </c>
      <c r="N10924">
        <v>3.92153E-73</v>
      </c>
      <c r="O10924">
        <v>697</v>
      </c>
    </row>
    <row r="10925" spans="1:15" x14ac:dyDescent="0.25">
      <c r="A10925" t="s">
        <v>10938</v>
      </c>
      <c r="B10925">
        <v>820</v>
      </c>
      <c r="C10925" s="1" t="str">
        <f>HYPERLINK("http://www.rosaceae.org/gb/gbrowse/malus_x_domestica/?name=MDP0000309290","MDP0000309290")</f>
        <v>MDP0000309290</v>
      </c>
      <c r="D10925">
        <v>70.13</v>
      </c>
      <c r="E10925">
        <v>797</v>
      </c>
      <c r="F10925">
        <v>238</v>
      </c>
      <c r="G10925">
        <v>12</v>
      </c>
      <c r="H10925">
        <v>1</v>
      </c>
      <c r="I10925">
        <v>789</v>
      </c>
      <c r="J10925">
        <v>1</v>
      </c>
      <c r="K10925">
        <v>7</v>
      </c>
      <c r="L10925">
        <v>799</v>
      </c>
      <c r="M10925">
        <v>1</v>
      </c>
      <c r="N10925">
        <v>0</v>
      </c>
      <c r="O10925">
        <v>2944</v>
      </c>
    </row>
    <row r="10926" spans="1:15" x14ac:dyDescent="0.25">
      <c r="A10926" t="s">
        <v>10939</v>
      </c>
      <c r="B10926">
        <v>98</v>
      </c>
      <c r="C10926" s="1" t="str">
        <f>HYPERLINK("http://www.rosaceae.org/gb/gbrowse/malus_x_domestica/?name=MDP0000299896","MDP0000299896")</f>
        <v>MDP0000299896</v>
      </c>
      <c r="D10926">
        <v>79.06</v>
      </c>
      <c r="E10926">
        <v>86</v>
      </c>
      <c r="F10926">
        <v>18</v>
      </c>
      <c r="G10926">
        <v>2</v>
      </c>
      <c r="H10926">
        <v>10</v>
      </c>
      <c r="I10926">
        <v>93</v>
      </c>
      <c r="J10926">
        <v>1</v>
      </c>
      <c r="K10926">
        <v>1113</v>
      </c>
      <c r="L10926">
        <v>1198</v>
      </c>
      <c r="M10926">
        <v>1</v>
      </c>
      <c r="N10926">
        <v>1.3439E-35</v>
      </c>
      <c r="O10926">
        <v>364</v>
      </c>
    </row>
    <row r="10927" spans="1:15" x14ac:dyDescent="0.25">
      <c r="A10927" t="s">
        <v>10940</v>
      </c>
      <c r="B10927">
        <v>64</v>
      </c>
      <c r="C10927" s="1" t="str">
        <f>HYPERLINK("http://www.rosaceae.org/gb/gbrowse/malus_x_domestica/?name=MDP0000707036","MDP0000707036")</f>
        <v>MDP0000707036</v>
      </c>
      <c r="D10927">
        <v>70.31</v>
      </c>
      <c r="E10927">
        <v>64</v>
      </c>
      <c r="F10927">
        <v>19</v>
      </c>
      <c r="G10927">
        <v>1</v>
      </c>
      <c r="H10927">
        <v>1</v>
      </c>
      <c r="I10927">
        <v>64</v>
      </c>
      <c r="J10927">
        <v>1</v>
      </c>
      <c r="K10927">
        <v>1</v>
      </c>
      <c r="L10927">
        <v>63</v>
      </c>
      <c r="M10927">
        <v>1</v>
      </c>
      <c r="N10927">
        <v>4.5173800000000001E-18</v>
      </c>
      <c r="O10927">
        <v>213</v>
      </c>
    </row>
    <row r="10928" spans="1:15" x14ac:dyDescent="0.25">
      <c r="A10928" t="s">
        <v>10941</v>
      </c>
      <c r="B10928">
        <v>736</v>
      </c>
      <c r="C10928" s="1" t="str">
        <f>HYPERLINK("http://www.rosaceae.org/gb/gbrowse/malus_x_domestica/?name=MDP0000769656","MDP0000769656")</f>
        <v>MDP0000769656</v>
      </c>
      <c r="D10928">
        <v>41.41</v>
      </c>
      <c r="E10928">
        <v>367</v>
      </c>
      <c r="F10928">
        <v>215</v>
      </c>
      <c r="G10928">
        <v>26</v>
      </c>
      <c r="H10928">
        <v>362</v>
      </c>
      <c r="I10928">
        <v>723</v>
      </c>
      <c r="J10928">
        <v>1</v>
      </c>
      <c r="K10928">
        <v>1</v>
      </c>
      <c r="L10928">
        <v>346</v>
      </c>
      <c r="M10928">
        <v>1</v>
      </c>
      <c r="N10928">
        <v>2.5217400000000001E-71</v>
      </c>
      <c r="O10928">
        <v>683</v>
      </c>
    </row>
    <row r="10929" spans="1:15" x14ac:dyDescent="0.25">
      <c r="A10929" t="s">
        <v>10942</v>
      </c>
      <c r="B10929">
        <v>510</v>
      </c>
      <c r="C10929" s="1" t="str">
        <f>HYPERLINK("http://www.rosaceae.org/gb/gbrowse/malus_x_domestica/?name=MDP0000253781","MDP0000253781")</f>
        <v>MDP0000253781</v>
      </c>
      <c r="D10929">
        <v>66.260000000000005</v>
      </c>
      <c r="E10929">
        <v>335</v>
      </c>
      <c r="F10929">
        <v>113</v>
      </c>
      <c r="G10929">
        <v>17</v>
      </c>
      <c r="H10929">
        <v>112</v>
      </c>
      <c r="I10929">
        <v>443</v>
      </c>
      <c r="J10929">
        <v>1</v>
      </c>
      <c r="K10929">
        <v>22</v>
      </c>
      <c r="L10929">
        <v>342</v>
      </c>
      <c r="M10929">
        <v>1</v>
      </c>
      <c r="N10929">
        <v>3.5529400000000002E-111</v>
      </c>
      <c r="O10929">
        <v>1025</v>
      </c>
    </row>
    <row r="10930" spans="1:15" x14ac:dyDescent="0.25">
      <c r="A10930" t="s">
        <v>10943</v>
      </c>
      <c r="B10930">
        <v>780</v>
      </c>
      <c r="C10930" s="1" t="str">
        <f>HYPERLINK("http://www.rosaceae.org/gb/gbrowse/malus_x_domestica/?name=MDP0000267783","MDP0000267783")</f>
        <v>MDP0000267783</v>
      </c>
      <c r="D10930">
        <v>74.489999999999995</v>
      </c>
      <c r="E10930">
        <v>745</v>
      </c>
      <c r="F10930">
        <v>190</v>
      </c>
      <c r="G10930">
        <v>29</v>
      </c>
      <c r="H10930">
        <v>1</v>
      </c>
      <c r="I10930">
        <v>728</v>
      </c>
      <c r="J10930">
        <v>1</v>
      </c>
      <c r="K10930">
        <v>3</v>
      </c>
      <c r="L10930">
        <v>735</v>
      </c>
      <c r="M10930">
        <v>1</v>
      </c>
      <c r="N10930">
        <v>0</v>
      </c>
      <c r="O10930">
        <v>2956</v>
      </c>
    </row>
    <row r="10931" spans="1:15" x14ac:dyDescent="0.25">
      <c r="A10931" t="s">
        <v>10944</v>
      </c>
      <c r="B10931">
        <v>280</v>
      </c>
      <c r="C10931" s="1" t="str">
        <f>HYPERLINK("http://www.rosaceae.org/gb/gbrowse/malus_x_domestica/?name=MDP0000310268","MDP0000310268")</f>
        <v>MDP0000310268</v>
      </c>
      <c r="D10931">
        <v>74.64</v>
      </c>
      <c r="E10931">
        <v>280</v>
      </c>
      <c r="F10931">
        <v>71</v>
      </c>
      <c r="G10931">
        <v>3</v>
      </c>
      <c r="H10931">
        <v>1</v>
      </c>
      <c r="I10931">
        <v>279</v>
      </c>
      <c r="J10931">
        <v>1</v>
      </c>
      <c r="K10931">
        <v>1</v>
      </c>
      <c r="L10931">
        <v>278</v>
      </c>
      <c r="M10931">
        <v>1</v>
      </c>
      <c r="N10931">
        <v>1.22059E-114</v>
      </c>
      <c r="O10931">
        <v>1052</v>
      </c>
    </row>
    <row r="10932" spans="1:15" x14ac:dyDescent="0.25">
      <c r="A10932" t="s">
        <v>10945</v>
      </c>
      <c r="B10932">
        <v>471</v>
      </c>
      <c r="C10932" s="1" t="str">
        <f>HYPERLINK("http://www.rosaceae.org/gb/gbrowse/malus_x_domestica/?name=MDP0000128265","MDP0000128265")</f>
        <v>MDP0000128265</v>
      </c>
      <c r="D10932">
        <v>49.17</v>
      </c>
      <c r="E10932">
        <v>482</v>
      </c>
      <c r="F10932">
        <v>245</v>
      </c>
      <c r="G10932">
        <v>29</v>
      </c>
      <c r="H10932">
        <v>7</v>
      </c>
      <c r="I10932">
        <v>471</v>
      </c>
      <c r="J10932">
        <v>1</v>
      </c>
      <c r="K10932">
        <v>5</v>
      </c>
      <c r="L10932">
        <v>474</v>
      </c>
      <c r="M10932">
        <v>1</v>
      </c>
      <c r="N10932">
        <v>1.26399E-123</v>
      </c>
      <c r="O10932">
        <v>1132</v>
      </c>
    </row>
    <row r="10933" spans="1:15" x14ac:dyDescent="0.25">
      <c r="A10933" t="s">
        <v>10946</v>
      </c>
      <c r="B10933">
        <v>375</v>
      </c>
      <c r="C10933" s="1" t="str">
        <f>HYPERLINK("http://www.rosaceae.org/gb/gbrowse/malus_x_domestica/?name=MDP0000151496","MDP0000151496")</f>
        <v>MDP0000151496</v>
      </c>
      <c r="D10933">
        <v>75.41</v>
      </c>
      <c r="E10933">
        <v>358</v>
      </c>
      <c r="F10933">
        <v>88</v>
      </c>
      <c r="G10933">
        <v>24</v>
      </c>
      <c r="H10933">
        <v>11</v>
      </c>
      <c r="I10933">
        <v>346</v>
      </c>
      <c r="J10933">
        <v>1</v>
      </c>
      <c r="K10933">
        <v>65</v>
      </c>
      <c r="L10933">
        <v>420</v>
      </c>
      <c r="M10933">
        <v>1</v>
      </c>
      <c r="N10933">
        <v>5.7535099999999996E-165</v>
      </c>
      <c r="O10933">
        <v>1488</v>
      </c>
    </row>
    <row r="10934" spans="1:15" x14ac:dyDescent="0.25">
      <c r="A10934" t="s">
        <v>10947</v>
      </c>
      <c r="B10934">
        <v>453</v>
      </c>
      <c r="C10934" s="1" t="str">
        <f>HYPERLINK("http://www.rosaceae.org/gb/gbrowse/malus_x_domestica/?name=MDP0000596287","MDP0000596287")</f>
        <v>MDP0000596287</v>
      </c>
      <c r="D10934">
        <v>79.27</v>
      </c>
      <c r="E10934">
        <v>304</v>
      </c>
      <c r="F10934">
        <v>63</v>
      </c>
      <c r="G10934">
        <v>33</v>
      </c>
      <c r="H10934">
        <v>183</v>
      </c>
      <c r="I10934">
        <v>453</v>
      </c>
      <c r="J10934">
        <v>1</v>
      </c>
      <c r="K10934">
        <v>3</v>
      </c>
      <c r="L10934">
        <v>306</v>
      </c>
      <c r="M10934">
        <v>1</v>
      </c>
      <c r="N10934">
        <v>2.1152899999999999E-129</v>
      </c>
      <c r="O10934">
        <v>1182</v>
      </c>
    </row>
    <row r="10935" spans="1:15" x14ac:dyDescent="0.25">
      <c r="A10935" t="s">
        <v>10948</v>
      </c>
      <c r="B10935">
        <v>513</v>
      </c>
      <c r="C10935" s="1" t="str">
        <f>HYPERLINK("http://www.rosaceae.org/gb/gbrowse/malus_x_domestica/?name=MDP0000305189","MDP0000305189")</f>
        <v>MDP0000305189</v>
      </c>
      <c r="D10935">
        <v>78.5</v>
      </c>
      <c r="E10935">
        <v>521</v>
      </c>
      <c r="F10935">
        <v>112</v>
      </c>
      <c r="G10935">
        <v>13</v>
      </c>
      <c r="H10935">
        <v>1</v>
      </c>
      <c r="I10935">
        <v>513</v>
      </c>
      <c r="J10935">
        <v>1</v>
      </c>
      <c r="K10935">
        <v>1</v>
      </c>
      <c r="L10935">
        <v>516</v>
      </c>
      <c r="M10935">
        <v>1</v>
      </c>
      <c r="N10935">
        <v>0</v>
      </c>
      <c r="O10935">
        <v>2089</v>
      </c>
    </row>
    <row r="10936" spans="1:15" x14ac:dyDescent="0.25">
      <c r="A10936" t="s">
        <v>10949</v>
      </c>
      <c r="B10936">
        <v>156</v>
      </c>
      <c r="C10936" s="1" t="str">
        <f>HYPERLINK("http://www.rosaceae.org/gb/gbrowse/malus_x_domestica/?name=MDP0000207132","MDP0000207132")</f>
        <v>MDP0000207132</v>
      </c>
      <c r="D10936">
        <v>44.94</v>
      </c>
      <c r="E10936">
        <v>89</v>
      </c>
      <c r="F10936">
        <v>49</v>
      </c>
      <c r="G10936">
        <v>0</v>
      </c>
      <c r="H10936">
        <v>11</v>
      </c>
      <c r="I10936">
        <v>99</v>
      </c>
      <c r="J10936">
        <v>1</v>
      </c>
      <c r="K10936">
        <v>28</v>
      </c>
      <c r="L10936">
        <v>116</v>
      </c>
      <c r="M10936">
        <v>1</v>
      </c>
      <c r="N10936">
        <v>5.86129E-18</v>
      </c>
      <c r="O10936">
        <v>215</v>
      </c>
    </row>
    <row r="10937" spans="1:15" x14ac:dyDescent="0.25">
      <c r="A10937" t="s">
        <v>10950</v>
      </c>
      <c r="B10937">
        <v>407</v>
      </c>
      <c r="C10937" s="1" t="str">
        <f>HYPERLINK("http://www.rosaceae.org/gb/gbrowse/malus_x_domestica/?name=MDP0000656802","MDP0000656802")</f>
        <v>MDP0000656802</v>
      </c>
      <c r="D10937">
        <v>65.680000000000007</v>
      </c>
      <c r="E10937">
        <v>373</v>
      </c>
      <c r="F10937">
        <v>128</v>
      </c>
      <c r="G10937">
        <v>35</v>
      </c>
      <c r="H10937">
        <v>53</v>
      </c>
      <c r="I10937">
        <v>391</v>
      </c>
      <c r="J10937">
        <v>1</v>
      </c>
      <c r="K10937">
        <v>1</v>
      </c>
      <c r="L10937">
        <v>372</v>
      </c>
      <c r="M10937">
        <v>1</v>
      </c>
      <c r="N10937">
        <v>2.59527E-136</v>
      </c>
      <c r="O10937">
        <v>1241</v>
      </c>
    </row>
    <row r="10938" spans="1:15" x14ac:dyDescent="0.25">
      <c r="A10938" t="s">
        <v>10951</v>
      </c>
      <c r="B10938">
        <v>489</v>
      </c>
      <c r="C10938" s="1" t="str">
        <f>HYPERLINK("http://www.rosaceae.org/gb/gbrowse/malus_x_domestica/?name=MDP0000181794","MDP0000181794")</f>
        <v>MDP0000181794</v>
      </c>
      <c r="D10938">
        <v>52.97</v>
      </c>
      <c r="E10938">
        <v>470</v>
      </c>
      <c r="F10938">
        <v>221</v>
      </c>
      <c r="G10938">
        <v>16</v>
      </c>
      <c r="H10938">
        <v>26</v>
      </c>
      <c r="I10938">
        <v>483</v>
      </c>
      <c r="J10938">
        <v>1</v>
      </c>
      <c r="K10938">
        <v>48</v>
      </c>
      <c r="L10938">
        <v>513</v>
      </c>
      <c r="M10938">
        <v>1</v>
      </c>
      <c r="N10938">
        <v>6.2491700000000003E-130</v>
      </c>
      <c r="O10938">
        <v>1187</v>
      </c>
    </row>
    <row r="10939" spans="1:15" x14ac:dyDescent="0.25">
      <c r="A10939" t="s">
        <v>10952</v>
      </c>
      <c r="B10939">
        <v>364</v>
      </c>
      <c r="C10939" s="1" t="str">
        <f>HYPERLINK("http://www.rosaceae.org/gb/gbrowse/malus_x_domestica/?name=MDP0000155578","MDP0000155578")</f>
        <v>MDP0000155578</v>
      </c>
      <c r="D10939">
        <v>62.6</v>
      </c>
      <c r="E10939">
        <v>230</v>
      </c>
      <c r="F10939">
        <v>86</v>
      </c>
      <c r="G10939">
        <v>2</v>
      </c>
      <c r="H10939">
        <v>1</v>
      </c>
      <c r="I10939">
        <v>230</v>
      </c>
      <c r="J10939">
        <v>1</v>
      </c>
      <c r="K10939">
        <v>1</v>
      </c>
      <c r="L10939">
        <v>228</v>
      </c>
      <c r="M10939">
        <v>1</v>
      </c>
      <c r="N10939">
        <v>1.2199000000000001E-76</v>
      </c>
      <c r="O10939">
        <v>726</v>
      </c>
    </row>
    <row r="10940" spans="1:15" x14ac:dyDescent="0.25">
      <c r="A10940" t="s">
        <v>10953</v>
      </c>
      <c r="B10940">
        <v>99</v>
      </c>
      <c r="C10940" s="1" t="str">
        <f>HYPERLINK("http://www.rosaceae.org/gb/gbrowse/malus_x_domestica/?name=MDP0000618484","MDP0000618484")</f>
        <v>MDP0000618484</v>
      </c>
      <c r="D10940">
        <v>71.42</v>
      </c>
      <c r="E10940">
        <v>112</v>
      </c>
      <c r="F10940">
        <v>32</v>
      </c>
      <c r="G10940">
        <v>17</v>
      </c>
      <c r="H10940">
        <v>1</v>
      </c>
      <c r="I10940">
        <v>95</v>
      </c>
      <c r="J10940">
        <v>1</v>
      </c>
      <c r="K10940">
        <v>1</v>
      </c>
      <c r="L10940">
        <v>112</v>
      </c>
      <c r="M10940">
        <v>1</v>
      </c>
      <c r="N10940">
        <v>7.1537799999999998E-41</v>
      </c>
      <c r="O10940">
        <v>410</v>
      </c>
    </row>
    <row r="10941" spans="1:15" x14ac:dyDescent="0.25">
      <c r="A10941" t="s">
        <v>10954</v>
      </c>
      <c r="B10941">
        <v>134</v>
      </c>
      <c r="C10941" s="1" t="str">
        <f>HYPERLINK("http://www.rosaceae.org/gb/gbrowse/malus_x_domestica/?name=MDP0000819586","MDP0000819586")</f>
        <v>MDP0000819586</v>
      </c>
      <c r="D10941">
        <v>54.79</v>
      </c>
      <c r="E10941">
        <v>146</v>
      </c>
      <c r="F10941">
        <v>66</v>
      </c>
      <c r="G10941">
        <v>31</v>
      </c>
      <c r="H10941">
        <v>1</v>
      </c>
      <c r="I10941">
        <v>130</v>
      </c>
      <c r="J10941">
        <v>1</v>
      </c>
      <c r="K10941">
        <v>1</v>
      </c>
      <c r="L10941">
        <v>131</v>
      </c>
      <c r="M10941">
        <v>1</v>
      </c>
      <c r="N10941">
        <v>7.8630800000000003E-28</v>
      </c>
      <c r="O10941">
        <v>298</v>
      </c>
    </row>
    <row r="10942" spans="1:15" x14ac:dyDescent="0.25">
      <c r="A10942" t="s">
        <v>10955</v>
      </c>
      <c r="B10942">
        <v>679</v>
      </c>
      <c r="C10942" s="1" t="str">
        <f>HYPERLINK("http://www.rosaceae.org/gb/gbrowse/malus_x_domestica/?name=MDP0000256242","MDP0000256242")</f>
        <v>MDP0000256242</v>
      </c>
      <c r="D10942">
        <v>40.18</v>
      </c>
      <c r="E10942">
        <v>433</v>
      </c>
      <c r="F10942">
        <v>259</v>
      </c>
      <c r="G10942">
        <v>59</v>
      </c>
      <c r="H10942">
        <v>290</v>
      </c>
      <c r="I10942">
        <v>676</v>
      </c>
      <c r="J10942">
        <v>1</v>
      </c>
      <c r="K10942">
        <v>1</v>
      </c>
      <c r="L10942">
        <v>420</v>
      </c>
      <c r="M10942">
        <v>1</v>
      </c>
      <c r="N10942">
        <v>1.1839400000000001E-66</v>
      </c>
      <c r="O10942">
        <v>643</v>
      </c>
    </row>
    <row r="10943" spans="1:15" x14ac:dyDescent="0.25">
      <c r="A10943" t="s">
        <v>10956</v>
      </c>
      <c r="B10943">
        <v>681</v>
      </c>
      <c r="C10943" s="1" t="str">
        <f>HYPERLINK("http://www.rosaceae.org/gb/gbrowse/malus_x_domestica/?name=MDP0000950137","MDP0000950137")</f>
        <v>MDP0000950137</v>
      </c>
      <c r="D10943">
        <v>41.3</v>
      </c>
      <c r="E10943">
        <v>184</v>
      </c>
      <c r="F10943">
        <v>108</v>
      </c>
      <c r="G10943">
        <v>44</v>
      </c>
      <c r="H10943">
        <v>120</v>
      </c>
      <c r="I10943">
        <v>274</v>
      </c>
      <c r="J10943">
        <v>1</v>
      </c>
      <c r="K10943">
        <v>59</v>
      </c>
      <c r="L10943">
        <v>227</v>
      </c>
      <c r="M10943">
        <v>1</v>
      </c>
      <c r="N10943">
        <v>1.1076600000000001E-20</v>
      </c>
      <c r="O10943">
        <v>246</v>
      </c>
    </row>
    <row r="10944" spans="1:15" x14ac:dyDescent="0.25">
      <c r="A10944" t="s">
        <v>10957</v>
      </c>
      <c r="B10944">
        <v>789</v>
      </c>
      <c r="C10944" s="1" t="str">
        <f>HYPERLINK("http://www.rosaceae.org/gb/gbrowse/malus_x_domestica/?name=MDP0000647267","MDP0000647267")</f>
        <v>MDP0000647267</v>
      </c>
      <c r="D10944">
        <v>76.03</v>
      </c>
      <c r="E10944">
        <v>772</v>
      </c>
      <c r="F10944">
        <v>185</v>
      </c>
      <c r="G10944">
        <v>19</v>
      </c>
      <c r="H10944">
        <v>1</v>
      </c>
      <c r="I10944">
        <v>760</v>
      </c>
      <c r="J10944">
        <v>1</v>
      </c>
      <c r="K10944">
        <v>1</v>
      </c>
      <c r="L10944">
        <v>765</v>
      </c>
      <c r="M10944">
        <v>1</v>
      </c>
      <c r="N10944">
        <v>0</v>
      </c>
      <c r="O10944">
        <v>2977</v>
      </c>
    </row>
    <row r="10945" spans="1:15" x14ac:dyDescent="0.25">
      <c r="A10945" t="s">
        <v>10958</v>
      </c>
      <c r="B10945">
        <v>426</v>
      </c>
      <c r="C10945" s="1" t="str">
        <f>HYPERLINK("http://www.rosaceae.org/gb/gbrowse/malus_x_domestica/?name=MDP0000716544","MDP0000716544")</f>
        <v>MDP0000716544</v>
      </c>
      <c r="D10945">
        <v>48.19</v>
      </c>
      <c r="E10945">
        <v>415</v>
      </c>
      <c r="F10945">
        <v>215</v>
      </c>
      <c r="G10945">
        <v>14</v>
      </c>
      <c r="H10945">
        <v>14</v>
      </c>
      <c r="I10945">
        <v>420</v>
      </c>
      <c r="J10945">
        <v>1</v>
      </c>
      <c r="K10945">
        <v>23</v>
      </c>
      <c r="L10945">
        <v>431</v>
      </c>
      <c r="M10945">
        <v>1</v>
      </c>
      <c r="N10945">
        <v>1.39933E-89</v>
      </c>
      <c r="O10945">
        <v>838</v>
      </c>
    </row>
    <row r="10946" spans="1:15" x14ac:dyDescent="0.25">
      <c r="A10946" t="s">
        <v>10959</v>
      </c>
      <c r="B10946">
        <v>118</v>
      </c>
      <c r="C10946" s="1" t="str">
        <f>HYPERLINK("http://www.rosaceae.org/gb/gbrowse/malus_x_domestica/?name=MDP0000234809","MDP0000234809")</f>
        <v>MDP0000234809</v>
      </c>
      <c r="D10946">
        <v>72.03</v>
      </c>
      <c r="E10946">
        <v>118</v>
      </c>
      <c r="F10946">
        <v>33</v>
      </c>
      <c r="G10946">
        <v>1</v>
      </c>
      <c r="H10946">
        <v>1</v>
      </c>
      <c r="I10946">
        <v>118</v>
      </c>
      <c r="J10946">
        <v>1</v>
      </c>
      <c r="K10946">
        <v>462</v>
      </c>
      <c r="L10946">
        <v>578</v>
      </c>
      <c r="M10946">
        <v>1</v>
      </c>
      <c r="N10946">
        <v>7.6981599999999996E-42</v>
      </c>
      <c r="O10946">
        <v>418</v>
      </c>
    </row>
    <row r="10947" spans="1:15" x14ac:dyDescent="0.25">
      <c r="A10947" t="s">
        <v>10960</v>
      </c>
      <c r="B10947">
        <v>256</v>
      </c>
      <c r="C10947" s="1" t="str">
        <f>HYPERLINK("http://www.rosaceae.org/gb/gbrowse/malus_x_domestica/?name=MDP0000377183","MDP0000377183")</f>
        <v>MDP0000377183</v>
      </c>
      <c r="D10947">
        <v>72.849999999999994</v>
      </c>
      <c r="E10947">
        <v>70</v>
      </c>
      <c r="F10947">
        <v>19</v>
      </c>
      <c r="G10947">
        <v>0</v>
      </c>
      <c r="H10947">
        <v>187</v>
      </c>
      <c r="I10947">
        <v>256</v>
      </c>
      <c r="J10947">
        <v>1</v>
      </c>
      <c r="K10947">
        <v>26</v>
      </c>
      <c r="L10947">
        <v>95</v>
      </c>
      <c r="M10947">
        <v>1</v>
      </c>
      <c r="N10947">
        <v>1.03318E-23</v>
      </c>
      <c r="O10947">
        <v>268</v>
      </c>
    </row>
    <row r="10948" spans="1:15" x14ac:dyDescent="0.25">
      <c r="A10948" t="s">
        <v>10961</v>
      </c>
      <c r="B10948">
        <v>372</v>
      </c>
      <c r="C10948" s="1" t="str">
        <f>HYPERLINK("http://www.rosaceae.org/gb/gbrowse/malus_x_domestica/?name=MDP0000300402","MDP0000300402")</f>
        <v>MDP0000300402</v>
      </c>
      <c r="D10948">
        <v>73.78</v>
      </c>
      <c r="E10948">
        <v>164</v>
      </c>
      <c r="F10948">
        <v>43</v>
      </c>
      <c r="G10948">
        <v>8</v>
      </c>
      <c r="H10948">
        <v>1</v>
      </c>
      <c r="I10948">
        <v>158</v>
      </c>
      <c r="J10948">
        <v>1</v>
      </c>
      <c r="K10948">
        <v>1</v>
      </c>
      <c r="L10948">
        <v>162</v>
      </c>
      <c r="M10948">
        <v>1</v>
      </c>
      <c r="N10948">
        <v>1.9009999999999999E-61</v>
      </c>
      <c r="O10948">
        <v>595</v>
      </c>
    </row>
    <row r="10949" spans="1:15" x14ac:dyDescent="0.25">
      <c r="A10949" t="s">
        <v>10962</v>
      </c>
      <c r="B10949">
        <v>219</v>
      </c>
      <c r="C10949" s="1" t="str">
        <f>HYPERLINK("http://www.rosaceae.org/gb/gbrowse/malus_x_domestica/?name=MDP0000137279","MDP0000137279")</f>
        <v>MDP0000137279</v>
      </c>
      <c r="D10949">
        <v>75.77</v>
      </c>
      <c r="E10949">
        <v>227</v>
      </c>
      <c r="F10949">
        <v>55</v>
      </c>
      <c r="G10949">
        <v>23</v>
      </c>
      <c r="H10949">
        <v>1</v>
      </c>
      <c r="I10949">
        <v>204</v>
      </c>
      <c r="J10949">
        <v>1</v>
      </c>
      <c r="K10949">
        <v>1</v>
      </c>
      <c r="L10949">
        <v>227</v>
      </c>
      <c r="M10949">
        <v>1</v>
      </c>
      <c r="N10949">
        <v>7.9620099999999998E-94</v>
      </c>
      <c r="O10949">
        <v>871</v>
      </c>
    </row>
    <row r="10950" spans="1:15" x14ac:dyDescent="0.25">
      <c r="A10950" t="s">
        <v>10963</v>
      </c>
      <c r="B10950">
        <v>332</v>
      </c>
      <c r="C10950" s="1" t="str">
        <f>HYPERLINK("http://www.rosaceae.org/gb/gbrowse/malus_x_domestica/?name=MDP0000795593","MDP0000795593")</f>
        <v>MDP0000795593</v>
      </c>
      <c r="D10950">
        <v>65.11</v>
      </c>
      <c r="E10950">
        <v>301</v>
      </c>
      <c r="F10950">
        <v>105</v>
      </c>
      <c r="G10950">
        <v>7</v>
      </c>
      <c r="H10950">
        <v>1</v>
      </c>
      <c r="I10950">
        <v>297</v>
      </c>
      <c r="J10950">
        <v>1</v>
      </c>
      <c r="K10950">
        <v>1</v>
      </c>
      <c r="L10950">
        <v>298</v>
      </c>
      <c r="M10950">
        <v>1</v>
      </c>
      <c r="N10950">
        <v>1.31642E-106</v>
      </c>
      <c r="O10950">
        <v>984</v>
      </c>
    </row>
    <row r="10951" spans="1:15" x14ac:dyDescent="0.25">
      <c r="A10951" t="s">
        <v>10964</v>
      </c>
      <c r="B10951">
        <v>153</v>
      </c>
      <c r="C10951" s="1" t="str">
        <f>HYPERLINK("http://www.rosaceae.org/gb/gbrowse/malus_x_domestica/?name=MDP0000352053","MDP0000352053")</f>
        <v>MDP0000352053</v>
      </c>
      <c r="D10951">
        <v>39.020000000000003</v>
      </c>
      <c r="E10951">
        <v>82</v>
      </c>
      <c r="F10951">
        <v>50</v>
      </c>
      <c r="G10951">
        <v>22</v>
      </c>
      <c r="H10951">
        <v>81</v>
      </c>
      <c r="I10951">
        <v>150</v>
      </c>
      <c r="J10951">
        <v>1</v>
      </c>
      <c r="K10951">
        <v>274</v>
      </c>
      <c r="L10951">
        <v>345</v>
      </c>
      <c r="M10951">
        <v>1</v>
      </c>
      <c r="N10951">
        <v>8.5880800000000002E-8</v>
      </c>
      <c r="O10951">
        <v>127</v>
      </c>
    </row>
    <row r="10952" spans="1:15" x14ac:dyDescent="0.25">
      <c r="A10952" t="s">
        <v>10965</v>
      </c>
      <c r="B10952">
        <v>631</v>
      </c>
      <c r="C10952" s="1" t="str">
        <f>HYPERLINK("http://www.rosaceae.org/gb/gbrowse/malus_x_domestica/?name=MDP0000905414","MDP0000905414")</f>
        <v>MDP0000905414</v>
      </c>
      <c r="D10952">
        <v>76.17</v>
      </c>
      <c r="E10952">
        <v>638</v>
      </c>
      <c r="F10952">
        <v>152</v>
      </c>
      <c r="G10952">
        <v>12</v>
      </c>
      <c r="H10952">
        <v>1</v>
      </c>
      <c r="I10952">
        <v>631</v>
      </c>
      <c r="J10952">
        <v>1</v>
      </c>
      <c r="K10952">
        <v>1</v>
      </c>
      <c r="L10952">
        <v>633</v>
      </c>
      <c r="M10952">
        <v>1</v>
      </c>
      <c r="N10952">
        <v>0</v>
      </c>
      <c r="O10952">
        <v>2458</v>
      </c>
    </row>
    <row r="10953" spans="1:15" x14ac:dyDescent="0.25">
      <c r="A10953" t="s">
        <v>10966</v>
      </c>
      <c r="B10953">
        <v>186</v>
      </c>
      <c r="C10953" s="1" t="str">
        <f>HYPERLINK("http://www.rosaceae.org/gb/gbrowse/malus_x_domestica/?name=MDP0000289261","MDP0000289261")</f>
        <v>MDP0000289261</v>
      </c>
      <c r="D10953">
        <v>35.130000000000003</v>
      </c>
      <c r="E10953">
        <v>185</v>
      </c>
      <c r="F10953">
        <v>120</v>
      </c>
      <c r="G10953">
        <v>52</v>
      </c>
      <c r="H10953">
        <v>2</v>
      </c>
      <c r="I10953">
        <v>140</v>
      </c>
      <c r="J10953">
        <v>1</v>
      </c>
      <c r="K10953">
        <v>3</v>
      </c>
      <c r="L10953">
        <v>181</v>
      </c>
      <c r="M10953">
        <v>1</v>
      </c>
      <c r="N10953">
        <v>4.46442E-19</v>
      </c>
      <c r="O10953">
        <v>226</v>
      </c>
    </row>
    <row r="10954" spans="1:15" x14ac:dyDescent="0.25">
      <c r="A10954" t="s">
        <v>10967</v>
      </c>
      <c r="B10954">
        <v>509</v>
      </c>
      <c r="C10954" s="1" t="str">
        <f>HYPERLINK("http://www.rosaceae.org/gb/gbrowse/malus_x_domestica/?name=MDP0000195675","MDP0000195675")</f>
        <v>MDP0000195675</v>
      </c>
      <c r="D10954">
        <v>33.94</v>
      </c>
      <c r="E10954">
        <v>548</v>
      </c>
      <c r="F10954">
        <v>362</v>
      </c>
      <c r="G10954">
        <v>71</v>
      </c>
      <c r="H10954">
        <v>20</v>
      </c>
      <c r="I10954">
        <v>506</v>
      </c>
      <c r="J10954">
        <v>1</v>
      </c>
      <c r="K10954">
        <v>21</v>
      </c>
      <c r="L10954">
        <v>558</v>
      </c>
      <c r="M10954">
        <v>1</v>
      </c>
      <c r="N10954">
        <v>1.6604100000000001E-21</v>
      </c>
      <c r="O10954">
        <v>252</v>
      </c>
    </row>
    <row r="10955" spans="1:15" x14ac:dyDescent="0.25">
      <c r="A10955" t="s">
        <v>10968</v>
      </c>
      <c r="B10955">
        <v>547</v>
      </c>
      <c r="C10955" s="1" t="str">
        <f>HYPERLINK("http://www.rosaceae.org/gb/gbrowse/malus_x_domestica/?name=MDP0000232670","MDP0000232670")</f>
        <v>MDP0000232670</v>
      </c>
      <c r="D10955">
        <v>90.59</v>
      </c>
      <c r="E10955">
        <v>234</v>
      </c>
      <c r="F10955">
        <v>22</v>
      </c>
      <c r="G10955">
        <v>0</v>
      </c>
      <c r="H10955">
        <v>314</v>
      </c>
      <c r="I10955">
        <v>547</v>
      </c>
      <c r="J10955">
        <v>1</v>
      </c>
      <c r="K10955">
        <v>4</v>
      </c>
      <c r="L10955">
        <v>237</v>
      </c>
      <c r="M10955">
        <v>1</v>
      </c>
      <c r="N10955">
        <v>1.02662E-121</v>
      </c>
      <c r="O10955">
        <v>1117</v>
      </c>
    </row>
    <row r="10956" spans="1:15" x14ac:dyDescent="0.25">
      <c r="A10956" t="s">
        <v>10969</v>
      </c>
      <c r="B10956">
        <v>87</v>
      </c>
      <c r="C10956" s="1" t="str">
        <f>HYPERLINK("http://www.rosaceae.org/gb/gbrowse/malus_x_domestica/?name=MDP0000295085","MDP0000295085")</f>
        <v>MDP0000295085</v>
      </c>
      <c r="D10956">
        <v>51.61</v>
      </c>
      <c r="E10956">
        <v>93</v>
      </c>
      <c r="F10956">
        <v>45</v>
      </c>
      <c r="G10956">
        <v>32</v>
      </c>
      <c r="H10956">
        <v>22</v>
      </c>
      <c r="I10956">
        <v>82</v>
      </c>
      <c r="J10956">
        <v>1</v>
      </c>
      <c r="K10956">
        <v>674</v>
      </c>
      <c r="L10956">
        <v>766</v>
      </c>
      <c r="M10956">
        <v>1</v>
      </c>
      <c r="N10956">
        <v>6.11407E-13</v>
      </c>
      <c r="O10956">
        <v>169</v>
      </c>
    </row>
    <row r="10957" spans="1:15" x14ac:dyDescent="0.25">
      <c r="A10957" t="s">
        <v>10970</v>
      </c>
      <c r="B10957">
        <v>512</v>
      </c>
      <c r="C10957" s="1" t="str">
        <f>HYPERLINK("http://www.rosaceae.org/gb/gbrowse/malus_x_domestica/?name=MDP0000300215","MDP0000300215")</f>
        <v>MDP0000300215</v>
      </c>
      <c r="D10957">
        <v>73.099999999999994</v>
      </c>
      <c r="E10957">
        <v>487</v>
      </c>
      <c r="F10957">
        <v>131</v>
      </c>
      <c r="G10957">
        <v>4</v>
      </c>
      <c r="H10957">
        <v>30</v>
      </c>
      <c r="I10957">
        <v>512</v>
      </c>
      <c r="J10957">
        <v>1</v>
      </c>
      <c r="K10957">
        <v>495</v>
      </c>
      <c r="L10957">
        <v>981</v>
      </c>
      <c r="M10957">
        <v>1</v>
      </c>
      <c r="N10957">
        <v>0</v>
      </c>
      <c r="O10957">
        <v>1795</v>
      </c>
    </row>
    <row r="10958" spans="1:15" x14ac:dyDescent="0.25">
      <c r="A10958" t="s">
        <v>10971</v>
      </c>
      <c r="B10958">
        <v>369</v>
      </c>
      <c r="C10958" s="1" t="str">
        <f>HYPERLINK("http://www.rosaceae.org/gb/gbrowse/malus_x_domestica/?name=MDP0000166779","MDP0000166779")</f>
        <v>MDP0000166779</v>
      </c>
      <c r="D10958">
        <v>41.8</v>
      </c>
      <c r="E10958">
        <v>244</v>
      </c>
      <c r="F10958">
        <v>142</v>
      </c>
      <c r="G10958">
        <v>12</v>
      </c>
      <c r="H10958">
        <v>2</v>
      </c>
      <c r="I10958">
        <v>240</v>
      </c>
      <c r="J10958">
        <v>1</v>
      </c>
      <c r="K10958">
        <v>116</v>
      </c>
      <c r="L10958">
        <v>352</v>
      </c>
      <c r="M10958">
        <v>1</v>
      </c>
      <c r="N10958">
        <v>5.5564599999999999E-35</v>
      </c>
      <c r="O10958">
        <v>367</v>
      </c>
    </row>
    <row r="10959" spans="1:15" x14ac:dyDescent="0.25">
      <c r="A10959" t="s">
        <v>10972</v>
      </c>
      <c r="B10959">
        <v>288</v>
      </c>
      <c r="C10959" s="1" t="str">
        <f>HYPERLINK("http://www.rosaceae.org/gb/gbrowse/malus_x_domestica/?name=MDP0000340753","MDP0000340753")</f>
        <v>MDP0000340753</v>
      </c>
      <c r="D10959">
        <v>74.239999999999995</v>
      </c>
      <c r="E10959">
        <v>299</v>
      </c>
      <c r="F10959">
        <v>77</v>
      </c>
      <c r="G10959">
        <v>12</v>
      </c>
      <c r="H10959">
        <v>1</v>
      </c>
      <c r="I10959">
        <v>288</v>
      </c>
      <c r="J10959">
        <v>1</v>
      </c>
      <c r="K10959">
        <v>3</v>
      </c>
      <c r="L10959">
        <v>300</v>
      </c>
      <c r="M10959">
        <v>1</v>
      </c>
      <c r="N10959">
        <v>5.4769599999999999E-124</v>
      </c>
      <c r="O10959">
        <v>1133</v>
      </c>
    </row>
    <row r="10960" spans="1:15" x14ac:dyDescent="0.25">
      <c r="A10960" t="s">
        <v>10973</v>
      </c>
      <c r="B10960">
        <v>520</v>
      </c>
      <c r="C10960" s="1" t="str">
        <f>HYPERLINK("http://www.rosaceae.org/gb/gbrowse/malus_x_domestica/?name=MDP0000237694","MDP0000237694")</f>
        <v>MDP0000237694</v>
      </c>
      <c r="D10960">
        <v>77.73</v>
      </c>
      <c r="E10960">
        <v>494</v>
      </c>
      <c r="F10960">
        <v>110</v>
      </c>
      <c r="G10960">
        <v>46</v>
      </c>
      <c r="H10960">
        <v>1</v>
      </c>
      <c r="I10960">
        <v>450</v>
      </c>
      <c r="J10960">
        <v>1</v>
      </c>
      <c r="K10960">
        <v>1</v>
      </c>
      <c r="L10960">
        <v>492</v>
      </c>
      <c r="M10960">
        <v>1</v>
      </c>
      <c r="N10960">
        <v>0</v>
      </c>
      <c r="O10960">
        <v>1908</v>
      </c>
    </row>
    <row r="10961" spans="1:15" x14ac:dyDescent="0.25">
      <c r="A10961" t="s">
        <v>10974</v>
      </c>
      <c r="B10961">
        <v>131</v>
      </c>
      <c r="C10961" s="1" t="str">
        <f>HYPERLINK("http://www.rosaceae.org/gb/gbrowse/malus_x_domestica/?name=MDP0000322442","MDP0000322442")</f>
        <v>MDP0000322442</v>
      </c>
      <c r="D10961">
        <v>63.35</v>
      </c>
      <c r="E10961">
        <v>131</v>
      </c>
      <c r="F10961">
        <v>48</v>
      </c>
      <c r="G10961">
        <v>1</v>
      </c>
      <c r="H10961">
        <v>1</v>
      </c>
      <c r="I10961">
        <v>131</v>
      </c>
      <c r="J10961">
        <v>1</v>
      </c>
      <c r="K10961">
        <v>505</v>
      </c>
      <c r="L10961">
        <v>634</v>
      </c>
      <c r="M10961">
        <v>1</v>
      </c>
      <c r="N10961">
        <v>7.5055899999999995E-48</v>
      </c>
      <c r="O10961">
        <v>471</v>
      </c>
    </row>
    <row r="10962" spans="1:15" x14ac:dyDescent="0.25">
      <c r="A10962" t="s">
        <v>10975</v>
      </c>
      <c r="B10962">
        <v>476</v>
      </c>
      <c r="C10962" s="1" t="str">
        <f>HYPERLINK("http://www.rosaceae.org/gb/gbrowse/malus_x_domestica/?name=MDP0000321041","MDP0000321041")</f>
        <v>MDP0000321041</v>
      </c>
      <c r="D10962">
        <v>99.57</v>
      </c>
      <c r="E10962">
        <v>476</v>
      </c>
      <c r="F10962">
        <v>2</v>
      </c>
      <c r="G10962">
        <v>0</v>
      </c>
      <c r="H10962">
        <v>1</v>
      </c>
      <c r="I10962">
        <v>476</v>
      </c>
      <c r="J10962">
        <v>1</v>
      </c>
      <c r="K10962">
        <v>1</v>
      </c>
      <c r="L10962">
        <v>476</v>
      </c>
      <c r="M10962">
        <v>1</v>
      </c>
      <c r="N10962">
        <v>0</v>
      </c>
      <c r="O10962">
        <v>2487</v>
      </c>
    </row>
    <row r="10963" spans="1:15" x14ac:dyDescent="0.25">
      <c r="A10963" t="s">
        <v>10976</v>
      </c>
      <c r="B10963">
        <v>421</v>
      </c>
      <c r="C10963" s="1" t="str">
        <f>HYPERLINK("http://www.rosaceae.org/gb/gbrowse/malus_x_domestica/?name=MDP0000281114","MDP0000281114")</f>
        <v>MDP0000281114</v>
      </c>
      <c r="D10963">
        <v>66.03</v>
      </c>
      <c r="E10963">
        <v>159</v>
      </c>
      <c r="F10963">
        <v>54</v>
      </c>
      <c r="G10963">
        <v>1</v>
      </c>
      <c r="H10963">
        <v>263</v>
      </c>
      <c r="I10963">
        <v>421</v>
      </c>
      <c r="J10963">
        <v>1</v>
      </c>
      <c r="K10963">
        <v>232</v>
      </c>
      <c r="L10963">
        <v>389</v>
      </c>
      <c r="M10963">
        <v>1</v>
      </c>
      <c r="N10963">
        <v>3.6629500000000001E-54</v>
      </c>
      <c r="O10963">
        <v>533</v>
      </c>
    </row>
    <row r="10964" spans="1:15" x14ac:dyDescent="0.25">
      <c r="A10964" t="s">
        <v>10977</v>
      </c>
      <c r="B10964">
        <v>297</v>
      </c>
      <c r="C10964" s="1" t="str">
        <f>HYPERLINK("http://www.rosaceae.org/gb/gbrowse/malus_x_domestica/?name=MDP0000656663","MDP0000656663")</f>
        <v>MDP0000656663</v>
      </c>
      <c r="D10964">
        <v>58.13</v>
      </c>
      <c r="E10964">
        <v>289</v>
      </c>
      <c r="F10964">
        <v>121</v>
      </c>
      <c r="G10964">
        <v>28</v>
      </c>
      <c r="H10964">
        <v>20</v>
      </c>
      <c r="I10964">
        <v>286</v>
      </c>
      <c r="J10964">
        <v>1</v>
      </c>
      <c r="K10964">
        <v>19</v>
      </c>
      <c r="L10964">
        <v>301</v>
      </c>
      <c r="M10964">
        <v>1</v>
      </c>
      <c r="N10964">
        <v>2.5011699999999999E-82</v>
      </c>
      <c r="O10964">
        <v>774</v>
      </c>
    </row>
    <row r="10965" spans="1:15" x14ac:dyDescent="0.25">
      <c r="A10965" t="s">
        <v>10978</v>
      </c>
      <c r="B10965">
        <v>839</v>
      </c>
      <c r="C10965" s="1" t="str">
        <f>HYPERLINK("http://www.rosaceae.org/gb/gbrowse/malus_x_domestica/?name=MDP0000310133","MDP0000310133")</f>
        <v>MDP0000310133</v>
      </c>
      <c r="D10965">
        <v>62.59</v>
      </c>
      <c r="E10965">
        <v>826</v>
      </c>
      <c r="F10965">
        <v>309</v>
      </c>
      <c r="G10965">
        <v>16</v>
      </c>
      <c r="H10965">
        <v>3</v>
      </c>
      <c r="I10965">
        <v>825</v>
      </c>
      <c r="J10965">
        <v>1</v>
      </c>
      <c r="K10965">
        <v>29</v>
      </c>
      <c r="L10965">
        <v>841</v>
      </c>
      <c r="M10965">
        <v>1</v>
      </c>
      <c r="N10965">
        <v>0</v>
      </c>
      <c r="O10965">
        <v>2684</v>
      </c>
    </row>
    <row r="10966" spans="1:15" x14ac:dyDescent="0.25">
      <c r="A10966" t="s">
        <v>10979</v>
      </c>
      <c r="B10966">
        <v>929</v>
      </c>
      <c r="C10966" s="1" t="str">
        <f>HYPERLINK("http://www.rosaceae.org/gb/gbrowse/malus_x_domestica/?name=MDP0000848219","MDP0000848219")</f>
        <v>MDP0000848219</v>
      </c>
      <c r="D10966">
        <v>58.5</v>
      </c>
      <c r="E10966">
        <v>952</v>
      </c>
      <c r="F10966">
        <v>395</v>
      </c>
      <c r="G10966">
        <v>77</v>
      </c>
      <c r="H10966">
        <v>1</v>
      </c>
      <c r="I10966">
        <v>928</v>
      </c>
      <c r="J10966">
        <v>1</v>
      </c>
      <c r="K10966">
        <v>1</v>
      </c>
      <c r="L10966">
        <v>899</v>
      </c>
      <c r="M10966">
        <v>1</v>
      </c>
      <c r="N10966">
        <v>0</v>
      </c>
      <c r="O10966">
        <v>2548</v>
      </c>
    </row>
    <row r="10967" spans="1:15" x14ac:dyDescent="0.25">
      <c r="A10967" t="s">
        <v>10980</v>
      </c>
      <c r="B10967">
        <v>526</v>
      </c>
      <c r="C10967" s="1" t="str">
        <f>HYPERLINK("http://www.rosaceae.org/gb/gbrowse/malus_x_domestica/?name=MDP0000186482","MDP0000186482")</f>
        <v>MDP0000186482</v>
      </c>
      <c r="D10967">
        <v>59.57</v>
      </c>
      <c r="E10967">
        <v>616</v>
      </c>
      <c r="F10967">
        <v>249</v>
      </c>
      <c r="G10967">
        <v>99</v>
      </c>
      <c r="H10967">
        <v>10</v>
      </c>
      <c r="I10967">
        <v>526</v>
      </c>
      <c r="J10967">
        <v>1</v>
      </c>
      <c r="K10967">
        <v>3</v>
      </c>
      <c r="L10967">
        <v>618</v>
      </c>
      <c r="M10967">
        <v>1</v>
      </c>
      <c r="N10967">
        <v>0</v>
      </c>
      <c r="O10967">
        <v>1861</v>
      </c>
    </row>
    <row r="10968" spans="1:15" x14ac:dyDescent="0.25">
      <c r="A10968" t="s">
        <v>10981</v>
      </c>
      <c r="B10968">
        <v>695</v>
      </c>
      <c r="C10968" s="1" t="str">
        <f>HYPERLINK("http://www.rosaceae.org/gb/gbrowse/malus_x_domestica/?name=MDP0000451981","MDP0000451981")</f>
        <v>MDP0000451981</v>
      </c>
      <c r="D10968">
        <v>77.180000000000007</v>
      </c>
      <c r="E10968">
        <v>697</v>
      </c>
      <c r="F10968">
        <v>159</v>
      </c>
      <c r="G10968">
        <v>4</v>
      </c>
      <c r="H10968">
        <v>1</v>
      </c>
      <c r="I10968">
        <v>695</v>
      </c>
      <c r="J10968">
        <v>1</v>
      </c>
      <c r="K10968">
        <v>1</v>
      </c>
      <c r="L10968">
        <v>695</v>
      </c>
      <c r="M10968">
        <v>1</v>
      </c>
      <c r="N10968">
        <v>0</v>
      </c>
      <c r="O10968">
        <v>2951</v>
      </c>
    </row>
    <row r="10969" spans="1:15" x14ac:dyDescent="0.25">
      <c r="A10969" t="s">
        <v>10982</v>
      </c>
      <c r="B10969">
        <v>1239</v>
      </c>
      <c r="C10969" s="1" t="str">
        <f>HYPERLINK("http://www.rosaceae.org/gb/gbrowse/malus_x_domestica/?name=MDP0000465174","MDP0000465174")</f>
        <v>MDP0000465174</v>
      </c>
      <c r="D10969">
        <v>42.93</v>
      </c>
      <c r="E10969">
        <v>1365</v>
      </c>
      <c r="F10969">
        <v>779</v>
      </c>
      <c r="G10969">
        <v>212</v>
      </c>
      <c r="H10969">
        <v>11</v>
      </c>
      <c r="I10969">
        <v>1223</v>
      </c>
      <c r="J10969">
        <v>1</v>
      </c>
      <c r="K10969">
        <v>18</v>
      </c>
      <c r="L10969">
        <v>1322</v>
      </c>
      <c r="M10969">
        <v>1</v>
      </c>
      <c r="N10969">
        <v>0</v>
      </c>
      <c r="O10969">
        <v>2344</v>
      </c>
    </row>
    <row r="10970" spans="1:15" x14ac:dyDescent="0.25">
      <c r="A10970" t="s">
        <v>10983</v>
      </c>
      <c r="B10970">
        <v>460</v>
      </c>
      <c r="C10970" s="1" t="str">
        <f>HYPERLINK("http://www.rosaceae.org/gb/gbrowse/malus_x_domestica/?name=MDP0000140282","MDP0000140282")</f>
        <v>MDP0000140282</v>
      </c>
      <c r="D10970">
        <v>78.42</v>
      </c>
      <c r="E10970">
        <v>431</v>
      </c>
      <c r="F10970">
        <v>93</v>
      </c>
      <c r="G10970">
        <v>4</v>
      </c>
      <c r="H10970">
        <v>33</v>
      </c>
      <c r="I10970">
        <v>460</v>
      </c>
      <c r="J10970">
        <v>1</v>
      </c>
      <c r="K10970">
        <v>38</v>
      </c>
      <c r="L10970">
        <v>467</v>
      </c>
      <c r="M10970">
        <v>1</v>
      </c>
      <c r="N10970">
        <v>0</v>
      </c>
      <c r="O10970">
        <v>1782</v>
      </c>
    </row>
    <row r="10971" spans="1:15" x14ac:dyDescent="0.25">
      <c r="A10971" t="s">
        <v>10984</v>
      </c>
      <c r="B10971">
        <v>392</v>
      </c>
      <c r="C10971" s="1" t="str">
        <f>HYPERLINK("http://www.rosaceae.org/gb/gbrowse/malus_x_domestica/?name=MDP0000262555","MDP0000262555")</f>
        <v>MDP0000262555</v>
      </c>
      <c r="D10971">
        <v>79.599999999999994</v>
      </c>
      <c r="E10971">
        <v>358</v>
      </c>
      <c r="F10971">
        <v>73</v>
      </c>
      <c r="G10971">
        <v>10</v>
      </c>
      <c r="H10971">
        <v>37</v>
      </c>
      <c r="I10971">
        <v>392</v>
      </c>
      <c r="J10971">
        <v>1</v>
      </c>
      <c r="K10971">
        <v>63</v>
      </c>
      <c r="L10971">
        <v>412</v>
      </c>
      <c r="M10971">
        <v>1</v>
      </c>
      <c r="N10971">
        <v>4.4553100000000002E-164</v>
      </c>
      <c r="O10971">
        <v>1480</v>
      </c>
    </row>
    <row r="10972" spans="1:15" x14ac:dyDescent="0.25">
      <c r="A10972" t="s">
        <v>10985</v>
      </c>
      <c r="B10972">
        <v>1486</v>
      </c>
      <c r="C10972" s="1" t="str">
        <f>HYPERLINK("http://www.rosaceae.org/gb/gbrowse/malus_x_domestica/?name=MDP0000741963","MDP0000741963")</f>
        <v>MDP0000741963</v>
      </c>
      <c r="D10972">
        <v>66.31</v>
      </c>
      <c r="E10972">
        <v>662</v>
      </c>
      <c r="F10972">
        <v>223</v>
      </c>
      <c r="G10972">
        <v>116</v>
      </c>
      <c r="H10972">
        <v>861</v>
      </c>
      <c r="I10972">
        <v>1484</v>
      </c>
      <c r="J10972">
        <v>1</v>
      </c>
      <c r="K10972">
        <v>1</v>
      </c>
      <c r="L10972">
        <v>584</v>
      </c>
      <c r="M10972">
        <v>1</v>
      </c>
      <c r="N10972">
        <v>0</v>
      </c>
      <c r="O10972">
        <v>2137</v>
      </c>
    </row>
    <row r="10973" spans="1:15" x14ac:dyDescent="0.25">
      <c r="A10973" t="s">
        <v>10986</v>
      </c>
      <c r="B10973">
        <v>522</v>
      </c>
      <c r="C10973" s="1" t="str">
        <f>HYPERLINK("http://www.rosaceae.org/gb/gbrowse/malus_x_domestica/?name=MDP0000161912","MDP0000161912")</f>
        <v>MDP0000161912</v>
      </c>
      <c r="D10973">
        <v>50.65</v>
      </c>
      <c r="E10973">
        <v>535</v>
      </c>
      <c r="F10973">
        <v>264</v>
      </c>
      <c r="G10973">
        <v>35</v>
      </c>
      <c r="H10973">
        <v>1</v>
      </c>
      <c r="I10973">
        <v>519</v>
      </c>
      <c r="J10973">
        <v>1</v>
      </c>
      <c r="K10973">
        <v>835</v>
      </c>
      <c r="L10973">
        <v>1350</v>
      </c>
      <c r="M10973">
        <v>1</v>
      </c>
      <c r="N10973">
        <v>7.1038099999999999E-125</v>
      </c>
      <c r="O10973">
        <v>1144</v>
      </c>
    </row>
    <row r="10974" spans="1:15" x14ac:dyDescent="0.25">
      <c r="A10974" t="s">
        <v>10987</v>
      </c>
      <c r="B10974">
        <v>548</v>
      </c>
      <c r="C10974" s="1" t="str">
        <f>HYPERLINK("http://www.rosaceae.org/gb/gbrowse/malus_x_domestica/?name=MDP0000904071","MDP0000904071")</f>
        <v>MDP0000904071</v>
      </c>
      <c r="D10974">
        <v>53.55</v>
      </c>
      <c r="E10974">
        <v>366</v>
      </c>
      <c r="F10974">
        <v>170</v>
      </c>
      <c r="G10974">
        <v>20</v>
      </c>
      <c r="H10974">
        <v>199</v>
      </c>
      <c r="I10974">
        <v>546</v>
      </c>
      <c r="J10974">
        <v>1</v>
      </c>
      <c r="K10974">
        <v>1</v>
      </c>
      <c r="L10974">
        <v>364</v>
      </c>
      <c r="M10974">
        <v>1</v>
      </c>
      <c r="N10974">
        <v>2.70638E-95</v>
      </c>
      <c r="O10974">
        <v>889</v>
      </c>
    </row>
    <row r="10975" spans="1:15" x14ac:dyDescent="0.25">
      <c r="A10975" t="s">
        <v>10988</v>
      </c>
      <c r="B10975">
        <v>287</v>
      </c>
      <c r="C10975" s="1" t="str">
        <f>HYPERLINK("http://www.rosaceae.org/gb/gbrowse/malus_x_domestica/?name=MDP0000184950","MDP0000184950")</f>
        <v>MDP0000184950</v>
      </c>
      <c r="D10975">
        <v>85.76</v>
      </c>
      <c r="E10975">
        <v>274</v>
      </c>
      <c r="F10975">
        <v>39</v>
      </c>
      <c r="G10975">
        <v>2</v>
      </c>
      <c r="H10975">
        <v>1</v>
      </c>
      <c r="I10975">
        <v>272</v>
      </c>
      <c r="J10975">
        <v>1</v>
      </c>
      <c r="K10975">
        <v>88</v>
      </c>
      <c r="L10975">
        <v>361</v>
      </c>
      <c r="M10975">
        <v>1</v>
      </c>
      <c r="N10975">
        <v>8.7923299999999995E-142</v>
      </c>
      <c r="O10975">
        <v>1286</v>
      </c>
    </row>
    <row r="10976" spans="1:15" x14ac:dyDescent="0.25">
      <c r="A10976" t="s">
        <v>10989</v>
      </c>
      <c r="B10976">
        <v>320</v>
      </c>
      <c r="C10976" s="1" t="str">
        <f>HYPERLINK("http://www.rosaceae.org/gb/gbrowse/malus_x_domestica/?name=MDP0000192308","MDP0000192308")</f>
        <v>MDP0000192308</v>
      </c>
      <c r="D10976">
        <v>30.54</v>
      </c>
      <c r="E10976">
        <v>239</v>
      </c>
      <c r="F10976">
        <v>166</v>
      </c>
      <c r="G10976">
        <v>14</v>
      </c>
      <c r="H10976">
        <v>4</v>
      </c>
      <c r="I10976">
        <v>241</v>
      </c>
      <c r="J10976">
        <v>1</v>
      </c>
      <c r="K10976">
        <v>195</v>
      </c>
      <c r="L10976">
        <v>420</v>
      </c>
      <c r="M10976">
        <v>1</v>
      </c>
      <c r="N10976">
        <v>7.5763100000000005E-13</v>
      </c>
      <c r="O10976">
        <v>175</v>
      </c>
    </row>
    <row r="10977" spans="1:15" x14ac:dyDescent="0.25">
      <c r="A10977" t="s">
        <v>10990</v>
      </c>
      <c r="B10977">
        <v>331</v>
      </c>
      <c r="C10977" s="1" t="str">
        <f>HYPERLINK("http://www.rosaceae.org/gb/gbrowse/malus_x_domestica/?name=MDP0000236134","MDP0000236134")</f>
        <v>MDP0000236134</v>
      </c>
      <c r="D10977">
        <v>25.38</v>
      </c>
      <c r="E10977">
        <v>386</v>
      </c>
      <c r="F10977">
        <v>288</v>
      </c>
      <c r="G10977">
        <v>90</v>
      </c>
      <c r="H10977">
        <v>2</v>
      </c>
      <c r="I10977">
        <v>325</v>
      </c>
      <c r="J10977">
        <v>1</v>
      </c>
      <c r="K10977">
        <v>402</v>
      </c>
      <c r="L10977">
        <v>759</v>
      </c>
      <c r="M10977">
        <v>1</v>
      </c>
      <c r="N10977">
        <v>2.9388599999999998E-26</v>
      </c>
      <c r="O10977">
        <v>291</v>
      </c>
    </row>
    <row r="10978" spans="1:15" x14ac:dyDescent="0.25">
      <c r="A10978" t="s">
        <v>10991</v>
      </c>
      <c r="B10978">
        <v>140</v>
      </c>
      <c r="C10978" s="1" t="str">
        <f>HYPERLINK("http://www.rosaceae.org/gb/gbrowse/malus_x_domestica/?name=MDP0000255636","MDP0000255636")</f>
        <v>MDP0000255636</v>
      </c>
      <c r="D10978">
        <v>65</v>
      </c>
      <c r="E10978">
        <v>140</v>
      </c>
      <c r="F10978">
        <v>49</v>
      </c>
      <c r="G10978">
        <v>1</v>
      </c>
      <c r="H10978">
        <v>1</v>
      </c>
      <c r="I10978">
        <v>140</v>
      </c>
      <c r="J10978">
        <v>1</v>
      </c>
      <c r="K10978">
        <v>355</v>
      </c>
      <c r="L10978">
        <v>493</v>
      </c>
      <c r="M10978">
        <v>1</v>
      </c>
      <c r="N10978">
        <v>5.5919500000000004E-54</v>
      </c>
      <c r="O10978">
        <v>524</v>
      </c>
    </row>
    <row r="10979" spans="1:15" x14ac:dyDescent="0.25">
      <c r="A10979" t="s">
        <v>10992</v>
      </c>
      <c r="B10979">
        <v>507</v>
      </c>
      <c r="C10979" s="1" t="str">
        <f>HYPERLINK("http://www.rosaceae.org/gb/gbrowse/malus_x_domestica/?name=MDP0000426020","MDP0000426020")</f>
        <v>MDP0000426020</v>
      </c>
      <c r="D10979">
        <v>53.37</v>
      </c>
      <c r="E10979">
        <v>341</v>
      </c>
      <c r="F10979">
        <v>159</v>
      </c>
      <c r="G10979">
        <v>1</v>
      </c>
      <c r="H10979">
        <v>7</v>
      </c>
      <c r="I10979">
        <v>347</v>
      </c>
      <c r="J10979">
        <v>1</v>
      </c>
      <c r="K10979">
        <v>559</v>
      </c>
      <c r="L10979">
        <v>898</v>
      </c>
      <c r="M10979">
        <v>1</v>
      </c>
      <c r="N10979">
        <v>9.3931700000000006E-99</v>
      </c>
      <c r="O10979">
        <v>918</v>
      </c>
    </row>
    <row r="10980" spans="1:15" x14ac:dyDescent="0.25">
      <c r="A10980" t="s">
        <v>10993</v>
      </c>
      <c r="B10980">
        <v>457</v>
      </c>
      <c r="C10980" s="1" t="str">
        <f>HYPERLINK("http://www.rosaceae.org/gb/gbrowse/malus_x_domestica/?name=MDP0000912152","MDP0000912152")</f>
        <v>MDP0000912152</v>
      </c>
      <c r="D10980">
        <v>52.76</v>
      </c>
      <c r="E10980">
        <v>398</v>
      </c>
      <c r="F10980">
        <v>188</v>
      </c>
      <c r="G10980">
        <v>56</v>
      </c>
      <c r="H10980">
        <v>1</v>
      </c>
      <c r="I10980">
        <v>353</v>
      </c>
      <c r="J10980">
        <v>1</v>
      </c>
      <c r="K10980">
        <v>1</v>
      </c>
      <c r="L10980">
        <v>387</v>
      </c>
      <c r="M10980">
        <v>1</v>
      </c>
      <c r="N10980">
        <v>1.57881E-84</v>
      </c>
      <c r="O10980">
        <v>795</v>
      </c>
    </row>
    <row r="10981" spans="1:15" x14ac:dyDescent="0.25">
      <c r="A10981" t="s">
        <v>10994</v>
      </c>
      <c r="B10981">
        <v>333</v>
      </c>
      <c r="C10981" s="1" t="str">
        <f>HYPERLINK("http://www.rosaceae.org/gb/gbrowse/malus_x_domestica/?name=MDP0000189570","MDP0000189570")</f>
        <v>MDP0000189570</v>
      </c>
      <c r="D10981">
        <v>88.99</v>
      </c>
      <c r="E10981">
        <v>318</v>
      </c>
      <c r="F10981">
        <v>35</v>
      </c>
      <c r="G10981">
        <v>7</v>
      </c>
      <c r="H10981">
        <v>21</v>
      </c>
      <c r="I10981">
        <v>331</v>
      </c>
      <c r="J10981">
        <v>1</v>
      </c>
      <c r="K10981">
        <v>118</v>
      </c>
      <c r="L10981">
        <v>435</v>
      </c>
      <c r="M10981">
        <v>1</v>
      </c>
      <c r="N10981">
        <v>1.7577099999999999E-160</v>
      </c>
      <c r="O10981">
        <v>1448</v>
      </c>
    </row>
    <row r="10982" spans="1:15" x14ac:dyDescent="0.25">
      <c r="A10982" t="s">
        <v>10995</v>
      </c>
      <c r="B10982">
        <v>161</v>
      </c>
      <c r="C10982" s="1" t="str">
        <f>HYPERLINK("http://www.rosaceae.org/gb/gbrowse/malus_x_domestica/?name=MDP0000321032","MDP0000321032")</f>
        <v>MDP0000321032</v>
      </c>
      <c r="D10982">
        <v>77.319999999999993</v>
      </c>
      <c r="E10982">
        <v>172</v>
      </c>
      <c r="F10982">
        <v>39</v>
      </c>
      <c r="G10982">
        <v>13</v>
      </c>
      <c r="H10982">
        <v>3</v>
      </c>
      <c r="I10982">
        <v>161</v>
      </c>
      <c r="J10982">
        <v>1</v>
      </c>
      <c r="K10982">
        <v>41</v>
      </c>
      <c r="L10982">
        <v>212</v>
      </c>
      <c r="M10982">
        <v>1</v>
      </c>
      <c r="N10982">
        <v>5.2836700000000002E-72</v>
      </c>
      <c r="O10982">
        <v>681</v>
      </c>
    </row>
    <row r="10983" spans="1:15" x14ac:dyDescent="0.25">
      <c r="A10983" t="s">
        <v>10996</v>
      </c>
      <c r="B10983">
        <v>452</v>
      </c>
      <c r="C10983" s="1" t="str">
        <f>HYPERLINK("http://www.rosaceae.org/gb/gbrowse/malus_x_domestica/?name=MDP0000147846","MDP0000147846")</f>
        <v>MDP0000147846</v>
      </c>
      <c r="D10983">
        <v>34.18</v>
      </c>
      <c r="E10983">
        <v>468</v>
      </c>
      <c r="F10983">
        <v>308</v>
      </c>
      <c r="G10983">
        <v>102</v>
      </c>
      <c r="H10983">
        <v>15</v>
      </c>
      <c r="I10983">
        <v>451</v>
      </c>
      <c r="J10983">
        <v>1</v>
      </c>
      <c r="K10983">
        <v>168</v>
      </c>
      <c r="L10983">
        <v>564</v>
      </c>
      <c r="M10983">
        <v>1</v>
      </c>
      <c r="N10983">
        <v>1.40002E-46</v>
      </c>
      <c r="O10983">
        <v>468</v>
      </c>
    </row>
    <row r="10984" spans="1:15" x14ac:dyDescent="0.25">
      <c r="A10984" t="s">
        <v>10997</v>
      </c>
      <c r="B10984">
        <v>382</v>
      </c>
      <c r="C10984" s="1" t="str">
        <f>HYPERLINK("http://www.rosaceae.org/gb/gbrowse/malus_x_domestica/?name=MDP0000768444","MDP0000768444")</f>
        <v>MDP0000768444</v>
      </c>
      <c r="D10984">
        <v>53.97</v>
      </c>
      <c r="E10984">
        <v>302</v>
      </c>
      <c r="F10984">
        <v>139</v>
      </c>
      <c r="G10984">
        <v>13</v>
      </c>
      <c r="H10984">
        <v>1</v>
      </c>
      <c r="I10984">
        <v>290</v>
      </c>
      <c r="J10984">
        <v>1</v>
      </c>
      <c r="K10984">
        <v>1</v>
      </c>
      <c r="L10984">
        <v>301</v>
      </c>
      <c r="M10984">
        <v>1</v>
      </c>
      <c r="N10984">
        <v>2.2434400000000002E-77</v>
      </c>
      <c r="O10984">
        <v>732</v>
      </c>
    </row>
    <row r="10985" spans="1:15" x14ac:dyDescent="0.25">
      <c r="A10985" t="s">
        <v>10998</v>
      </c>
      <c r="B10985">
        <v>361</v>
      </c>
      <c r="C10985" s="1" t="str">
        <f>HYPERLINK("http://www.rosaceae.org/gb/gbrowse/malus_x_domestica/?name=MDP0000215116","MDP0000215116")</f>
        <v>MDP0000215116</v>
      </c>
      <c r="D10985">
        <v>56.01</v>
      </c>
      <c r="E10985">
        <v>366</v>
      </c>
      <c r="F10985">
        <v>161</v>
      </c>
      <c r="G10985">
        <v>17</v>
      </c>
      <c r="H10985">
        <v>1</v>
      </c>
      <c r="I10985">
        <v>361</v>
      </c>
      <c r="J10985">
        <v>1</v>
      </c>
      <c r="K10985">
        <v>26</v>
      </c>
      <c r="L10985">
        <v>379</v>
      </c>
      <c r="M10985">
        <v>1</v>
      </c>
      <c r="N10985">
        <v>6.9494400000000006E-107</v>
      </c>
      <c r="O10985">
        <v>987</v>
      </c>
    </row>
    <row r="10986" spans="1:15" x14ac:dyDescent="0.25">
      <c r="A10986" t="s">
        <v>10999</v>
      </c>
      <c r="B10986">
        <v>249</v>
      </c>
      <c r="C10986" s="1" t="str">
        <f>HYPERLINK("http://www.rosaceae.org/gb/gbrowse/malus_x_domestica/?name=MDP0000295439","MDP0000295439")</f>
        <v>MDP0000295439</v>
      </c>
      <c r="D10986">
        <v>72.349999999999994</v>
      </c>
      <c r="E10986">
        <v>246</v>
      </c>
      <c r="F10986">
        <v>68</v>
      </c>
      <c r="G10986">
        <v>43</v>
      </c>
      <c r="H10986">
        <v>46</v>
      </c>
      <c r="I10986">
        <v>248</v>
      </c>
      <c r="J10986">
        <v>1</v>
      </c>
      <c r="K10986">
        <v>1</v>
      </c>
      <c r="L10986">
        <v>246</v>
      </c>
      <c r="M10986">
        <v>1</v>
      </c>
      <c r="N10986">
        <v>4.79351E-96</v>
      </c>
      <c r="O10986">
        <v>891</v>
      </c>
    </row>
    <row r="10987" spans="1:15" x14ac:dyDescent="0.25">
      <c r="A10987" t="s">
        <v>11000</v>
      </c>
      <c r="B10987">
        <v>114</v>
      </c>
      <c r="C10987" s="1" t="str">
        <f>HYPERLINK("http://www.rosaceae.org/gb/gbrowse/malus_x_domestica/?name=MDP0000219727","MDP0000219727")</f>
        <v>MDP0000219727</v>
      </c>
      <c r="D10987">
        <v>59.45</v>
      </c>
      <c r="E10987">
        <v>74</v>
      </c>
      <c r="F10987">
        <v>30</v>
      </c>
      <c r="G10987">
        <v>0</v>
      </c>
      <c r="H10987">
        <v>1</v>
      </c>
      <c r="I10987">
        <v>74</v>
      </c>
      <c r="J10987">
        <v>1</v>
      </c>
      <c r="K10987">
        <v>19</v>
      </c>
      <c r="L10987">
        <v>92</v>
      </c>
      <c r="M10987">
        <v>1</v>
      </c>
      <c r="N10987">
        <v>2.4852400000000002E-18</v>
      </c>
      <c r="O10987">
        <v>216</v>
      </c>
    </row>
    <row r="10988" spans="1:15" x14ac:dyDescent="0.25">
      <c r="A10988" t="s">
        <v>11001</v>
      </c>
      <c r="B10988">
        <v>586</v>
      </c>
      <c r="C10988" s="1" t="str">
        <f>HYPERLINK("http://www.rosaceae.org/gb/gbrowse/malus_x_domestica/?name=MDP0000295452","MDP0000295452")</f>
        <v>MDP0000295452</v>
      </c>
      <c r="D10988">
        <v>54.61</v>
      </c>
      <c r="E10988">
        <v>553</v>
      </c>
      <c r="F10988">
        <v>251</v>
      </c>
      <c r="G10988">
        <v>47</v>
      </c>
      <c r="H10988">
        <v>44</v>
      </c>
      <c r="I10988">
        <v>586</v>
      </c>
      <c r="J10988">
        <v>1</v>
      </c>
      <c r="K10988">
        <v>75</v>
      </c>
      <c r="L10988">
        <v>590</v>
      </c>
      <c r="M10988">
        <v>1</v>
      </c>
      <c r="N10988">
        <v>4.96195E-169</v>
      </c>
      <c r="O10988">
        <v>1525</v>
      </c>
    </row>
    <row r="10989" spans="1:15" x14ac:dyDescent="0.25">
      <c r="A10989" t="s">
        <v>11002</v>
      </c>
      <c r="B10989">
        <v>493</v>
      </c>
      <c r="C10989" s="1" t="str">
        <f>HYPERLINK("http://www.rosaceae.org/gb/gbrowse/malus_x_domestica/?name=MDP0000191541","MDP0000191541")</f>
        <v>MDP0000191541</v>
      </c>
      <c r="D10989">
        <v>53.19</v>
      </c>
      <c r="E10989">
        <v>470</v>
      </c>
      <c r="F10989">
        <v>220</v>
      </c>
      <c r="G10989">
        <v>96</v>
      </c>
      <c r="H10989">
        <v>41</v>
      </c>
      <c r="I10989">
        <v>493</v>
      </c>
      <c r="J10989">
        <v>1</v>
      </c>
      <c r="K10989">
        <v>19</v>
      </c>
      <c r="L10989">
        <v>409</v>
      </c>
      <c r="M10989">
        <v>1</v>
      </c>
      <c r="N10989">
        <v>3.4439400000000002E-127</v>
      </c>
      <c r="O10989">
        <v>1163</v>
      </c>
    </row>
    <row r="10990" spans="1:15" x14ac:dyDescent="0.25">
      <c r="A10990" t="s">
        <v>11003</v>
      </c>
      <c r="B10990">
        <v>214</v>
      </c>
      <c r="C10990" s="1" t="str">
        <f>HYPERLINK("http://www.rosaceae.org/gb/gbrowse/malus_x_domestica/?name=MDP0000321089","MDP0000321089")</f>
        <v>MDP0000321089</v>
      </c>
      <c r="D10990">
        <v>47.47</v>
      </c>
      <c r="E10990">
        <v>99</v>
      </c>
      <c r="F10990">
        <v>52</v>
      </c>
      <c r="G10990">
        <v>3</v>
      </c>
      <c r="H10990">
        <v>6</v>
      </c>
      <c r="I10990">
        <v>102</v>
      </c>
      <c r="J10990">
        <v>1</v>
      </c>
      <c r="K10990">
        <v>18</v>
      </c>
      <c r="L10990">
        <v>115</v>
      </c>
      <c r="M10990">
        <v>1</v>
      </c>
      <c r="N10990">
        <v>1.7357E-21</v>
      </c>
      <c r="O10990">
        <v>247</v>
      </c>
    </row>
    <row r="10991" spans="1:15" x14ac:dyDescent="0.25">
      <c r="A10991" t="s">
        <v>11004</v>
      </c>
      <c r="B10991">
        <v>202</v>
      </c>
      <c r="C10991" s="1" t="str">
        <f>HYPERLINK("http://www.rosaceae.org/gb/gbrowse/malus_x_domestica/?name=MDP0000127915","MDP0000127915")</f>
        <v>MDP0000127915</v>
      </c>
      <c r="D10991">
        <v>74.2</v>
      </c>
      <c r="E10991">
        <v>221</v>
      </c>
      <c r="F10991">
        <v>57</v>
      </c>
      <c r="G10991">
        <v>21</v>
      </c>
      <c r="H10991">
        <v>1</v>
      </c>
      <c r="I10991">
        <v>200</v>
      </c>
      <c r="J10991">
        <v>1</v>
      </c>
      <c r="K10991">
        <v>1</v>
      </c>
      <c r="L10991">
        <v>221</v>
      </c>
      <c r="M10991">
        <v>1</v>
      </c>
      <c r="N10991">
        <v>5.3487599999999999E-93</v>
      </c>
      <c r="O10991">
        <v>864</v>
      </c>
    </row>
    <row r="10992" spans="1:15" x14ac:dyDescent="0.25">
      <c r="A10992" t="s">
        <v>11005</v>
      </c>
      <c r="B10992">
        <v>291</v>
      </c>
      <c r="C10992" s="1" t="str">
        <f>HYPERLINK("http://www.rosaceae.org/gb/gbrowse/malus_x_domestica/?name=MDP0000700517","MDP0000700517")</f>
        <v>MDP0000700517</v>
      </c>
      <c r="D10992">
        <v>29.83</v>
      </c>
      <c r="E10992">
        <v>124</v>
      </c>
      <c r="F10992">
        <v>87</v>
      </c>
      <c r="G10992">
        <v>7</v>
      </c>
      <c r="H10992">
        <v>65</v>
      </c>
      <c r="I10992">
        <v>183</v>
      </c>
      <c r="J10992">
        <v>1</v>
      </c>
      <c r="K10992">
        <v>243</v>
      </c>
      <c r="L10992">
        <v>364</v>
      </c>
      <c r="M10992">
        <v>1</v>
      </c>
      <c r="N10992">
        <v>1.7298200000000001E-8</v>
      </c>
      <c r="O10992">
        <v>137</v>
      </c>
    </row>
    <row r="10993" spans="1:15" x14ac:dyDescent="0.25">
      <c r="A10993" t="s">
        <v>11006</v>
      </c>
      <c r="B10993">
        <v>312</v>
      </c>
      <c r="C10993" s="1" t="str">
        <f>HYPERLINK("http://www.rosaceae.org/gb/gbrowse/malus_x_domestica/?name=MDP0000575262","MDP0000575262")</f>
        <v>MDP0000575262</v>
      </c>
      <c r="D10993">
        <v>31.05</v>
      </c>
      <c r="E10993">
        <v>190</v>
      </c>
      <c r="F10993">
        <v>131</v>
      </c>
      <c r="G10993">
        <v>17</v>
      </c>
      <c r="H10993">
        <v>10</v>
      </c>
      <c r="I10993">
        <v>199</v>
      </c>
      <c r="J10993">
        <v>1</v>
      </c>
      <c r="K10993">
        <v>286</v>
      </c>
      <c r="L10993">
        <v>458</v>
      </c>
      <c r="M10993">
        <v>1</v>
      </c>
      <c r="N10993">
        <v>1.6377899999999999E-15</v>
      </c>
      <c r="O10993">
        <v>198</v>
      </c>
    </row>
    <row r="10994" spans="1:15" x14ac:dyDescent="0.25">
      <c r="A10994" t="s">
        <v>11007</v>
      </c>
      <c r="B10994">
        <v>153</v>
      </c>
      <c r="C10994" s="1" t="str">
        <f>HYPERLINK("http://www.rosaceae.org/gb/gbrowse/malus_x_domestica/?name=MDP0000319447","MDP0000319447")</f>
        <v>MDP0000319447</v>
      </c>
      <c r="D10994">
        <v>36.6</v>
      </c>
      <c r="E10994">
        <v>112</v>
      </c>
      <c r="F10994">
        <v>71</v>
      </c>
      <c r="G10994">
        <v>7</v>
      </c>
      <c r="H10994">
        <v>1</v>
      </c>
      <c r="I10994">
        <v>106</v>
      </c>
      <c r="J10994">
        <v>1</v>
      </c>
      <c r="K10994">
        <v>1111</v>
      </c>
      <c r="L10994">
        <v>1221</v>
      </c>
      <c r="M10994">
        <v>1</v>
      </c>
      <c r="N10994">
        <v>1.63132E-10</v>
      </c>
      <c r="O10994">
        <v>150</v>
      </c>
    </row>
    <row r="10995" spans="1:15" x14ac:dyDescent="0.25">
      <c r="A10995" t="s">
        <v>11008</v>
      </c>
      <c r="B10995">
        <v>533</v>
      </c>
      <c r="C10995" s="1" t="str">
        <f>HYPERLINK("http://www.rosaceae.org/gb/gbrowse/malus_x_domestica/?name=MDP0000538003","MDP0000538003")</f>
        <v>MDP0000538003</v>
      </c>
      <c r="D10995">
        <v>40.54</v>
      </c>
      <c r="E10995">
        <v>481</v>
      </c>
      <c r="F10995">
        <v>286</v>
      </c>
      <c r="G10995">
        <v>50</v>
      </c>
      <c r="H10995">
        <v>24</v>
      </c>
      <c r="I10995">
        <v>499</v>
      </c>
      <c r="J10995">
        <v>1</v>
      </c>
      <c r="K10995">
        <v>112</v>
      </c>
      <c r="L10995">
        <v>547</v>
      </c>
      <c r="M10995">
        <v>1</v>
      </c>
      <c r="N10995">
        <v>3.17543E-86</v>
      </c>
      <c r="O10995">
        <v>810</v>
      </c>
    </row>
    <row r="10996" spans="1:15" x14ac:dyDescent="0.25">
      <c r="A10996" t="s">
        <v>11009</v>
      </c>
      <c r="B10996">
        <v>207</v>
      </c>
      <c r="C10996" s="1" t="str">
        <f>HYPERLINK("http://www.rosaceae.org/gb/gbrowse/malus_x_domestica/?name=MDP0000312793","MDP0000312793")</f>
        <v>MDP0000312793</v>
      </c>
      <c r="D10996">
        <v>33.619999999999997</v>
      </c>
      <c r="E10996">
        <v>116</v>
      </c>
      <c r="F10996">
        <v>77</v>
      </c>
      <c r="G10996">
        <v>28</v>
      </c>
      <c r="H10996">
        <v>66</v>
      </c>
      <c r="I10996">
        <v>158</v>
      </c>
      <c r="J10996">
        <v>1</v>
      </c>
      <c r="K10996">
        <v>255</v>
      </c>
      <c r="L10996">
        <v>365</v>
      </c>
      <c r="M10996">
        <v>1</v>
      </c>
      <c r="N10996">
        <v>8.1884299999999997E-8</v>
      </c>
      <c r="O10996">
        <v>129</v>
      </c>
    </row>
    <row r="10997" spans="1:15" x14ac:dyDescent="0.25">
      <c r="A10997" t="s">
        <v>11010</v>
      </c>
      <c r="B10997">
        <v>226</v>
      </c>
      <c r="C10997" s="1" t="str">
        <f>HYPERLINK("http://www.rosaceae.org/gb/gbrowse/malus_x_domestica/?name=MDP0000226301","MDP0000226301")</f>
        <v>MDP0000226301</v>
      </c>
      <c r="D10997">
        <v>76.41</v>
      </c>
      <c r="E10997">
        <v>212</v>
      </c>
      <c r="F10997">
        <v>50</v>
      </c>
      <c r="G10997">
        <v>2</v>
      </c>
      <c r="H10997">
        <v>1</v>
      </c>
      <c r="I10997">
        <v>210</v>
      </c>
      <c r="J10997">
        <v>1</v>
      </c>
      <c r="K10997">
        <v>105</v>
      </c>
      <c r="L10997">
        <v>316</v>
      </c>
      <c r="M10997">
        <v>1</v>
      </c>
      <c r="N10997">
        <v>1.42039E-94</v>
      </c>
      <c r="O10997">
        <v>878</v>
      </c>
    </row>
    <row r="10998" spans="1:15" x14ac:dyDescent="0.25">
      <c r="A10998" t="s">
        <v>11011</v>
      </c>
      <c r="B10998">
        <v>562</v>
      </c>
      <c r="C10998" s="1" t="str">
        <f>HYPERLINK("http://www.rosaceae.org/gb/gbrowse/malus_x_domestica/?name=MDP0000119965","MDP0000119965")</f>
        <v>MDP0000119965</v>
      </c>
      <c r="D10998">
        <v>46.51</v>
      </c>
      <c r="E10998">
        <v>344</v>
      </c>
      <c r="F10998">
        <v>184</v>
      </c>
      <c r="G10998">
        <v>26</v>
      </c>
      <c r="H10998">
        <v>1</v>
      </c>
      <c r="I10998">
        <v>332</v>
      </c>
      <c r="J10998">
        <v>1</v>
      </c>
      <c r="K10998">
        <v>1</v>
      </c>
      <c r="L10998">
        <v>330</v>
      </c>
      <c r="M10998">
        <v>1</v>
      </c>
      <c r="N10998">
        <v>5.9195199999999995E-73</v>
      </c>
      <c r="O10998">
        <v>696</v>
      </c>
    </row>
    <row r="10999" spans="1:15" x14ac:dyDescent="0.25">
      <c r="A10999" t="s">
        <v>11012</v>
      </c>
      <c r="B10999">
        <v>991</v>
      </c>
      <c r="C10999" s="1" t="str">
        <f>HYPERLINK("http://www.rosaceae.org/gb/gbrowse/malus_x_domestica/?name=MDP0000211603","MDP0000211603")</f>
        <v>MDP0000211603</v>
      </c>
      <c r="D10999">
        <v>73.84</v>
      </c>
      <c r="E10999">
        <v>367</v>
      </c>
      <c r="F10999">
        <v>96</v>
      </c>
      <c r="G10999">
        <v>13</v>
      </c>
      <c r="H10999">
        <v>4</v>
      </c>
      <c r="I10999">
        <v>369</v>
      </c>
      <c r="J10999">
        <v>1</v>
      </c>
      <c r="K10999">
        <v>8</v>
      </c>
      <c r="L10999">
        <v>362</v>
      </c>
      <c r="M10999">
        <v>1</v>
      </c>
      <c r="N10999">
        <v>2.8546800000000002E-156</v>
      </c>
      <c r="O10999">
        <v>1417</v>
      </c>
    </row>
    <row r="11000" spans="1:15" x14ac:dyDescent="0.25">
      <c r="A11000" t="s">
        <v>11013</v>
      </c>
      <c r="B11000">
        <v>565</v>
      </c>
      <c r="C11000" s="1" t="str">
        <f>HYPERLINK("http://www.rosaceae.org/gb/gbrowse/malus_x_domestica/?name=MDP0000690427","MDP0000690427")</f>
        <v>MDP0000690427</v>
      </c>
      <c r="D11000">
        <v>76.650000000000006</v>
      </c>
      <c r="E11000">
        <v>574</v>
      </c>
      <c r="F11000">
        <v>134</v>
      </c>
      <c r="G11000">
        <v>13</v>
      </c>
      <c r="H11000">
        <v>1</v>
      </c>
      <c r="I11000">
        <v>562</v>
      </c>
      <c r="J11000">
        <v>1</v>
      </c>
      <c r="K11000">
        <v>1</v>
      </c>
      <c r="L11000">
        <v>573</v>
      </c>
      <c r="M11000">
        <v>1</v>
      </c>
      <c r="N11000">
        <v>0</v>
      </c>
      <c r="O11000">
        <v>2231</v>
      </c>
    </row>
    <row r="11001" spans="1:15" x14ac:dyDescent="0.25">
      <c r="A11001" t="s">
        <v>11014</v>
      </c>
      <c r="B11001">
        <v>574</v>
      </c>
      <c r="C11001" s="1" t="str">
        <f>HYPERLINK("http://www.rosaceae.org/gb/gbrowse/malus_x_domestica/?name=MDP0000322220","MDP0000322220")</f>
        <v>MDP0000322220</v>
      </c>
      <c r="D11001">
        <v>70.45</v>
      </c>
      <c r="E11001">
        <v>44</v>
      </c>
      <c r="F11001">
        <v>13</v>
      </c>
      <c r="G11001">
        <v>0</v>
      </c>
      <c r="H11001">
        <v>531</v>
      </c>
      <c r="I11001">
        <v>574</v>
      </c>
      <c r="J11001">
        <v>1</v>
      </c>
      <c r="K11001">
        <v>579</v>
      </c>
      <c r="L11001">
        <v>622</v>
      </c>
      <c r="M11001">
        <v>1</v>
      </c>
      <c r="N11001">
        <v>7.5581400000000006E-11</v>
      </c>
      <c r="O11001">
        <v>161</v>
      </c>
    </row>
    <row r="11002" spans="1:15" x14ac:dyDescent="0.25">
      <c r="A11002" t="s">
        <v>11015</v>
      </c>
      <c r="B11002">
        <v>208</v>
      </c>
      <c r="C11002" s="1" t="str">
        <f>HYPERLINK("http://www.rosaceae.org/gb/gbrowse/malus_x_domestica/?name=MDP0000301813","MDP0000301813")</f>
        <v>MDP0000301813</v>
      </c>
      <c r="D11002">
        <v>70.209999999999994</v>
      </c>
      <c r="E11002">
        <v>47</v>
      </c>
      <c r="F11002">
        <v>14</v>
      </c>
      <c r="G11002">
        <v>0</v>
      </c>
      <c r="H11002">
        <v>162</v>
      </c>
      <c r="I11002">
        <v>208</v>
      </c>
      <c r="J11002">
        <v>1</v>
      </c>
      <c r="K11002">
        <v>465</v>
      </c>
      <c r="L11002">
        <v>511</v>
      </c>
      <c r="M11002">
        <v>1</v>
      </c>
      <c r="N11002">
        <v>5.1719000000000004E-13</v>
      </c>
      <c r="O11002">
        <v>174</v>
      </c>
    </row>
    <row r="11003" spans="1:15" x14ac:dyDescent="0.25">
      <c r="A11003" t="s">
        <v>11016</v>
      </c>
      <c r="B11003">
        <v>583</v>
      </c>
      <c r="C11003" s="1" t="str">
        <f>HYPERLINK("http://www.rosaceae.org/gb/gbrowse/malus_x_domestica/?name=MDP0000291335","MDP0000291335")</f>
        <v>MDP0000291335</v>
      </c>
      <c r="D11003">
        <v>39.69</v>
      </c>
      <c r="E11003">
        <v>388</v>
      </c>
      <c r="F11003">
        <v>234</v>
      </c>
      <c r="G11003">
        <v>70</v>
      </c>
      <c r="H11003">
        <v>119</v>
      </c>
      <c r="I11003">
        <v>489</v>
      </c>
      <c r="J11003">
        <v>1</v>
      </c>
      <c r="K11003">
        <v>111</v>
      </c>
      <c r="L11003">
        <v>445</v>
      </c>
      <c r="M11003">
        <v>1</v>
      </c>
      <c r="N11003">
        <v>1.6234900000000001E-58</v>
      </c>
      <c r="O11003">
        <v>572</v>
      </c>
    </row>
    <row r="11004" spans="1:15" x14ac:dyDescent="0.25">
      <c r="A11004" t="s">
        <v>11017</v>
      </c>
      <c r="B11004">
        <v>461</v>
      </c>
      <c r="C11004" s="1" t="str">
        <f>HYPERLINK("http://www.rosaceae.org/gb/gbrowse/malus_x_domestica/?name=MDP0000118848","MDP0000118848")</f>
        <v>MDP0000118848</v>
      </c>
      <c r="D11004">
        <v>31.25</v>
      </c>
      <c r="E11004">
        <v>272</v>
      </c>
      <c r="F11004">
        <v>187</v>
      </c>
      <c r="G11004">
        <v>6</v>
      </c>
      <c r="H11004">
        <v>146</v>
      </c>
      <c r="I11004">
        <v>417</v>
      </c>
      <c r="J11004">
        <v>1</v>
      </c>
      <c r="K11004">
        <v>99</v>
      </c>
      <c r="L11004">
        <v>364</v>
      </c>
      <c r="M11004">
        <v>1</v>
      </c>
      <c r="N11004">
        <v>2.7438100000000002E-30</v>
      </c>
      <c r="O11004">
        <v>327</v>
      </c>
    </row>
    <row r="11005" spans="1:15" x14ac:dyDescent="0.25">
      <c r="A11005" t="s">
        <v>11018</v>
      </c>
      <c r="B11005">
        <v>279</v>
      </c>
      <c r="C11005" s="1" t="str">
        <f>HYPERLINK("http://www.rosaceae.org/gb/gbrowse/malus_x_domestica/?name=MDP0000722827","MDP0000722827")</f>
        <v>MDP0000722827</v>
      </c>
      <c r="D11005">
        <v>57.89</v>
      </c>
      <c r="E11005">
        <v>247</v>
      </c>
      <c r="F11005">
        <v>104</v>
      </c>
      <c r="G11005">
        <v>19</v>
      </c>
      <c r="H11005">
        <v>1</v>
      </c>
      <c r="I11005">
        <v>232</v>
      </c>
      <c r="J11005">
        <v>1</v>
      </c>
      <c r="K11005">
        <v>1</v>
      </c>
      <c r="L11005">
        <v>243</v>
      </c>
      <c r="M11005">
        <v>1</v>
      </c>
      <c r="N11005">
        <v>3.8612699999999997E-65</v>
      </c>
      <c r="O11005">
        <v>625</v>
      </c>
    </row>
    <row r="11006" spans="1:15" x14ac:dyDescent="0.25">
      <c r="A11006" t="s">
        <v>11019</v>
      </c>
      <c r="B11006">
        <v>223</v>
      </c>
      <c r="C11006" s="1" t="str">
        <f>HYPERLINK("http://www.rosaceae.org/gb/gbrowse/malus_x_domestica/?name=MDP0000490749","MDP0000490749")</f>
        <v>MDP0000490749</v>
      </c>
      <c r="D11006">
        <v>66.040000000000006</v>
      </c>
      <c r="E11006">
        <v>215</v>
      </c>
      <c r="F11006">
        <v>73</v>
      </c>
      <c r="G11006">
        <v>0</v>
      </c>
      <c r="H11006">
        <v>1</v>
      </c>
      <c r="I11006">
        <v>215</v>
      </c>
      <c r="J11006">
        <v>1</v>
      </c>
      <c r="K11006">
        <v>1</v>
      </c>
      <c r="L11006">
        <v>215</v>
      </c>
      <c r="M11006">
        <v>1</v>
      </c>
      <c r="N11006">
        <v>2.9756599999999997E-79</v>
      </c>
      <c r="O11006">
        <v>746</v>
      </c>
    </row>
    <row r="11007" spans="1:15" x14ac:dyDescent="0.25">
      <c r="A11007" t="s">
        <v>11020</v>
      </c>
      <c r="B11007">
        <v>1141</v>
      </c>
      <c r="C11007" s="1" t="str">
        <f>HYPERLINK("http://www.rosaceae.org/gb/gbrowse/malus_x_domestica/?name=MDP0000216230","MDP0000216230")</f>
        <v>MDP0000216230</v>
      </c>
      <c r="D11007">
        <v>55.45</v>
      </c>
      <c r="E11007">
        <v>1275</v>
      </c>
      <c r="F11007">
        <v>568</v>
      </c>
      <c r="G11007">
        <v>170</v>
      </c>
      <c r="H11007">
        <v>22</v>
      </c>
      <c r="I11007">
        <v>1130</v>
      </c>
      <c r="J11007">
        <v>1</v>
      </c>
      <c r="K11007">
        <v>32</v>
      </c>
      <c r="L11007">
        <v>1302</v>
      </c>
      <c r="M11007">
        <v>1</v>
      </c>
      <c r="N11007">
        <v>0</v>
      </c>
      <c r="O11007">
        <v>3244</v>
      </c>
    </row>
    <row r="11008" spans="1:15" x14ac:dyDescent="0.25">
      <c r="A11008" t="s">
        <v>11021</v>
      </c>
      <c r="B11008">
        <v>276</v>
      </c>
      <c r="C11008" s="1" t="str">
        <f>HYPERLINK("http://www.rosaceae.org/gb/gbrowse/malus_x_domestica/?name=MDP0000137420","MDP0000137420")</f>
        <v>MDP0000137420</v>
      </c>
      <c r="D11008">
        <v>78.94</v>
      </c>
      <c r="E11008">
        <v>247</v>
      </c>
      <c r="F11008">
        <v>52</v>
      </c>
      <c r="G11008">
        <v>18</v>
      </c>
      <c r="H11008">
        <v>39</v>
      </c>
      <c r="I11008">
        <v>268</v>
      </c>
      <c r="J11008">
        <v>1</v>
      </c>
      <c r="K11008">
        <v>47</v>
      </c>
      <c r="L11008">
        <v>292</v>
      </c>
      <c r="M11008">
        <v>1</v>
      </c>
      <c r="N11008">
        <v>1.35616E-104</v>
      </c>
      <c r="O11008">
        <v>966</v>
      </c>
    </row>
    <row r="11009" spans="1:15" x14ac:dyDescent="0.25">
      <c r="A11009" t="s">
        <v>11022</v>
      </c>
      <c r="B11009">
        <v>282</v>
      </c>
      <c r="C11009" s="1" t="str">
        <f>HYPERLINK("http://www.rosaceae.org/gb/gbrowse/malus_x_domestica/?name=MDP0000182948","MDP0000182948")</f>
        <v>MDP0000182948</v>
      </c>
      <c r="D11009">
        <v>85.71</v>
      </c>
      <c r="E11009">
        <v>154</v>
      </c>
      <c r="F11009">
        <v>22</v>
      </c>
      <c r="G11009">
        <v>0</v>
      </c>
      <c r="H11009">
        <v>117</v>
      </c>
      <c r="I11009">
        <v>270</v>
      </c>
      <c r="J11009">
        <v>1</v>
      </c>
      <c r="K11009">
        <v>69</v>
      </c>
      <c r="L11009">
        <v>222</v>
      </c>
      <c r="M11009">
        <v>1</v>
      </c>
      <c r="N11009">
        <v>4.9046599999999997E-75</v>
      </c>
      <c r="O11009">
        <v>711</v>
      </c>
    </row>
    <row r="11010" spans="1:15" x14ac:dyDescent="0.25">
      <c r="A11010" t="s">
        <v>11023</v>
      </c>
      <c r="B11010">
        <v>566</v>
      </c>
      <c r="C11010" s="1" t="str">
        <f>HYPERLINK("http://www.rosaceae.org/gb/gbrowse/malus_x_domestica/?name=MDP0000298185","MDP0000298185")</f>
        <v>MDP0000298185</v>
      </c>
      <c r="D11010">
        <v>83.89</v>
      </c>
      <c r="E11010">
        <v>565</v>
      </c>
      <c r="F11010">
        <v>91</v>
      </c>
      <c r="G11010">
        <v>1</v>
      </c>
      <c r="H11010">
        <v>1</v>
      </c>
      <c r="I11010">
        <v>564</v>
      </c>
      <c r="J11010">
        <v>1</v>
      </c>
      <c r="K11010">
        <v>76</v>
      </c>
      <c r="L11010">
        <v>640</v>
      </c>
      <c r="M11010">
        <v>1</v>
      </c>
      <c r="N11010">
        <v>0</v>
      </c>
      <c r="O11010">
        <v>2584</v>
      </c>
    </row>
    <row r="11011" spans="1:15" x14ac:dyDescent="0.25">
      <c r="A11011" t="s">
        <v>11024</v>
      </c>
      <c r="B11011">
        <v>163</v>
      </c>
      <c r="C11011" s="1" t="str">
        <f>HYPERLINK("http://www.rosaceae.org/gb/gbrowse/malus_x_domestica/?name=MDP0000621545","MDP0000621545")</f>
        <v>MDP0000621545</v>
      </c>
      <c r="D11011">
        <v>86.56</v>
      </c>
      <c r="E11011">
        <v>67</v>
      </c>
      <c r="F11011">
        <v>9</v>
      </c>
      <c r="G11011">
        <v>0</v>
      </c>
      <c r="H11011">
        <v>94</v>
      </c>
      <c r="I11011">
        <v>160</v>
      </c>
      <c r="J11011">
        <v>1</v>
      </c>
      <c r="K11011">
        <v>593</v>
      </c>
      <c r="L11011">
        <v>659</v>
      </c>
      <c r="M11011">
        <v>1</v>
      </c>
      <c r="N11011">
        <v>2.9480900000000002E-29</v>
      </c>
      <c r="O11011">
        <v>312</v>
      </c>
    </row>
    <row r="11012" spans="1:15" x14ac:dyDescent="0.25">
      <c r="A11012" t="s">
        <v>11025</v>
      </c>
      <c r="B11012">
        <v>218</v>
      </c>
      <c r="C11012" s="1" t="str">
        <f>HYPERLINK("http://www.rosaceae.org/gb/gbrowse/malus_x_domestica/?name=MDP0000304929","MDP0000304929")</f>
        <v>MDP0000304929</v>
      </c>
      <c r="D11012">
        <v>87.91</v>
      </c>
      <c r="E11012">
        <v>149</v>
      </c>
      <c r="F11012">
        <v>18</v>
      </c>
      <c r="G11012">
        <v>0</v>
      </c>
      <c r="H11012">
        <v>1</v>
      </c>
      <c r="I11012">
        <v>149</v>
      </c>
      <c r="J11012">
        <v>1</v>
      </c>
      <c r="K11012">
        <v>1</v>
      </c>
      <c r="L11012">
        <v>149</v>
      </c>
      <c r="M11012">
        <v>1</v>
      </c>
      <c r="N11012">
        <v>1.1117E-64</v>
      </c>
      <c r="O11012">
        <v>620</v>
      </c>
    </row>
    <row r="11013" spans="1:15" x14ac:dyDescent="0.25">
      <c r="A11013" t="s">
        <v>11026</v>
      </c>
      <c r="B11013">
        <v>400</v>
      </c>
      <c r="C11013" s="1" t="str">
        <f>HYPERLINK("http://www.rosaceae.org/gb/gbrowse/malus_x_domestica/?name=MDP0000462818","MDP0000462818")</f>
        <v>MDP0000462818</v>
      </c>
      <c r="D11013">
        <v>72.63</v>
      </c>
      <c r="E11013">
        <v>402</v>
      </c>
      <c r="F11013">
        <v>110</v>
      </c>
      <c r="G11013">
        <v>13</v>
      </c>
      <c r="H11013">
        <v>1</v>
      </c>
      <c r="I11013">
        <v>399</v>
      </c>
      <c r="J11013">
        <v>1</v>
      </c>
      <c r="K11013">
        <v>1</v>
      </c>
      <c r="L11013">
        <v>392</v>
      </c>
      <c r="M11013">
        <v>1</v>
      </c>
      <c r="N11013">
        <v>1.1391199999999999E-161</v>
      </c>
      <c r="O11013">
        <v>1460</v>
      </c>
    </row>
    <row r="11014" spans="1:15" x14ac:dyDescent="0.25">
      <c r="A11014" t="s">
        <v>11027</v>
      </c>
      <c r="B11014">
        <v>534</v>
      </c>
      <c r="C11014" s="1" t="str">
        <f>HYPERLINK("http://www.rosaceae.org/gb/gbrowse/malus_x_domestica/?name=MDP0000654068","MDP0000654068")</f>
        <v>MDP0000654068</v>
      </c>
      <c r="D11014">
        <v>88</v>
      </c>
      <c r="E11014">
        <v>517</v>
      </c>
      <c r="F11014">
        <v>62</v>
      </c>
      <c r="G11014">
        <v>8</v>
      </c>
      <c r="H11014">
        <v>21</v>
      </c>
      <c r="I11014">
        <v>534</v>
      </c>
      <c r="J11014">
        <v>1</v>
      </c>
      <c r="K11014">
        <v>28</v>
      </c>
      <c r="L11014">
        <v>539</v>
      </c>
      <c r="M11014">
        <v>1</v>
      </c>
      <c r="N11014">
        <v>0</v>
      </c>
      <c r="O11014">
        <v>2431</v>
      </c>
    </row>
    <row r="11015" spans="1:15" x14ac:dyDescent="0.25">
      <c r="A11015" t="s">
        <v>11028</v>
      </c>
      <c r="B11015">
        <v>315</v>
      </c>
      <c r="C11015" s="1" t="str">
        <f>HYPERLINK("http://www.rosaceae.org/gb/gbrowse/malus_x_domestica/?name=MDP0000161947","MDP0000161947")</f>
        <v>MDP0000161947</v>
      </c>
      <c r="D11015">
        <v>60.3</v>
      </c>
      <c r="E11015">
        <v>330</v>
      </c>
      <c r="F11015">
        <v>131</v>
      </c>
      <c r="G11015">
        <v>25</v>
      </c>
      <c r="H11015">
        <v>7</v>
      </c>
      <c r="I11015">
        <v>311</v>
      </c>
      <c r="J11015">
        <v>1</v>
      </c>
      <c r="K11015">
        <v>18</v>
      </c>
      <c r="L11015">
        <v>347</v>
      </c>
      <c r="M11015">
        <v>1</v>
      </c>
      <c r="N11015">
        <v>2.3560199999999999E-105</v>
      </c>
      <c r="O11015">
        <v>973</v>
      </c>
    </row>
    <row r="11016" spans="1:15" x14ac:dyDescent="0.25">
      <c r="A11016" t="s">
        <v>11029</v>
      </c>
      <c r="B11016">
        <v>594</v>
      </c>
      <c r="C11016" s="1" t="str">
        <f>HYPERLINK("http://www.rosaceae.org/gb/gbrowse/malus_x_domestica/?name=MDP0000273230","MDP0000273230")</f>
        <v>MDP0000273230</v>
      </c>
      <c r="D11016">
        <v>89.08</v>
      </c>
      <c r="E11016">
        <v>174</v>
      </c>
      <c r="F11016">
        <v>19</v>
      </c>
      <c r="G11016">
        <v>0</v>
      </c>
      <c r="H11016">
        <v>421</v>
      </c>
      <c r="I11016">
        <v>594</v>
      </c>
      <c r="J11016">
        <v>1</v>
      </c>
      <c r="K11016">
        <v>134</v>
      </c>
      <c r="L11016">
        <v>307</v>
      </c>
      <c r="M11016">
        <v>1</v>
      </c>
      <c r="N11016">
        <v>5.2489199999999999E-90</v>
      </c>
      <c r="O11016">
        <v>843</v>
      </c>
    </row>
    <row r="11017" spans="1:15" x14ac:dyDescent="0.25">
      <c r="A11017" t="s">
        <v>11030</v>
      </c>
      <c r="B11017">
        <v>177</v>
      </c>
      <c r="C11017" s="1" t="str">
        <f>HYPERLINK("http://www.rosaceae.org/gb/gbrowse/malus_x_domestica/?name=MDP0000277370","MDP0000277370")</f>
        <v>MDP0000277370</v>
      </c>
      <c r="D11017">
        <v>69.59</v>
      </c>
      <c r="E11017">
        <v>171</v>
      </c>
      <c r="F11017">
        <v>52</v>
      </c>
      <c r="G11017">
        <v>1</v>
      </c>
      <c r="H11017">
        <v>7</v>
      </c>
      <c r="I11017">
        <v>176</v>
      </c>
      <c r="J11017">
        <v>1</v>
      </c>
      <c r="K11017">
        <v>303</v>
      </c>
      <c r="L11017">
        <v>473</v>
      </c>
      <c r="M11017">
        <v>1</v>
      </c>
      <c r="N11017">
        <v>5.3518299999999997E-62</v>
      </c>
      <c r="O11017">
        <v>595</v>
      </c>
    </row>
    <row r="11018" spans="1:15" x14ac:dyDescent="0.25">
      <c r="A11018" t="s">
        <v>11031</v>
      </c>
      <c r="B11018">
        <v>292</v>
      </c>
      <c r="C11018" s="1" t="str">
        <f>HYPERLINK("http://www.rosaceae.org/gb/gbrowse/malus_x_domestica/?name=MDP0000588485","MDP0000588485")</f>
        <v>MDP0000588485</v>
      </c>
      <c r="D11018">
        <v>30.66</v>
      </c>
      <c r="E11018">
        <v>287</v>
      </c>
      <c r="F11018">
        <v>199</v>
      </c>
      <c r="G11018">
        <v>24</v>
      </c>
      <c r="H11018">
        <v>5</v>
      </c>
      <c r="I11018">
        <v>290</v>
      </c>
      <c r="J11018">
        <v>1</v>
      </c>
      <c r="K11018">
        <v>172</v>
      </c>
      <c r="L11018">
        <v>435</v>
      </c>
      <c r="M11018">
        <v>1</v>
      </c>
      <c r="N11018">
        <v>1.0742700000000001E-29</v>
      </c>
      <c r="O11018">
        <v>320</v>
      </c>
    </row>
    <row r="11019" spans="1:15" x14ac:dyDescent="0.25">
      <c r="A11019" t="s">
        <v>11032</v>
      </c>
      <c r="B11019">
        <v>1450</v>
      </c>
      <c r="C11019" s="1" t="str">
        <f>HYPERLINK("http://www.rosaceae.org/gb/gbrowse/malus_x_domestica/?name=MDP0000498527","MDP0000498527")</f>
        <v>MDP0000498527</v>
      </c>
      <c r="D11019">
        <v>57.89</v>
      </c>
      <c r="E11019">
        <v>228</v>
      </c>
      <c r="F11019">
        <v>96</v>
      </c>
      <c r="G11019">
        <v>8</v>
      </c>
      <c r="H11019">
        <v>39</v>
      </c>
      <c r="I11019">
        <v>265</v>
      </c>
      <c r="J11019">
        <v>1</v>
      </c>
      <c r="K11019">
        <v>178</v>
      </c>
      <c r="L11019">
        <v>398</v>
      </c>
      <c r="M11019">
        <v>1</v>
      </c>
      <c r="N11019">
        <v>1.4972499999999999E-72</v>
      </c>
      <c r="O11019">
        <v>697</v>
      </c>
    </row>
    <row r="11020" spans="1:15" x14ac:dyDescent="0.25">
      <c r="A11020" t="s">
        <v>11033</v>
      </c>
      <c r="B11020">
        <v>72</v>
      </c>
      <c r="C11020" s="1" t="str">
        <f>HYPERLINK("http://www.rosaceae.org/gb/gbrowse/malus_x_domestica/?name=MDP0000214773","MDP0000214773")</f>
        <v>MDP0000214773</v>
      </c>
      <c r="D11020">
        <v>79.16</v>
      </c>
      <c r="E11020">
        <v>48</v>
      </c>
      <c r="F11020">
        <v>10</v>
      </c>
      <c r="G11020">
        <v>3</v>
      </c>
      <c r="H11020">
        <v>1</v>
      </c>
      <c r="I11020">
        <v>48</v>
      </c>
      <c r="J11020">
        <v>1</v>
      </c>
      <c r="K11020">
        <v>1</v>
      </c>
      <c r="L11020">
        <v>45</v>
      </c>
      <c r="M11020">
        <v>1</v>
      </c>
      <c r="N11020">
        <v>9.5129100000000005E-14</v>
      </c>
      <c r="O11020">
        <v>176</v>
      </c>
    </row>
    <row r="11021" spans="1:15" x14ac:dyDescent="0.25">
      <c r="A11021" t="s">
        <v>11034</v>
      </c>
      <c r="B11021">
        <v>210</v>
      </c>
      <c r="C11021" s="1" t="str">
        <f>HYPERLINK("http://www.rosaceae.org/gb/gbrowse/malus_x_domestica/?name=MDP0000173566","MDP0000173566")</f>
        <v>MDP0000173566</v>
      </c>
      <c r="D11021">
        <v>81.97</v>
      </c>
      <c r="E11021">
        <v>172</v>
      </c>
      <c r="F11021">
        <v>31</v>
      </c>
      <c r="G11021">
        <v>1</v>
      </c>
      <c r="H11021">
        <v>39</v>
      </c>
      <c r="I11021">
        <v>210</v>
      </c>
      <c r="J11021">
        <v>1</v>
      </c>
      <c r="K11021">
        <v>48</v>
      </c>
      <c r="L11021">
        <v>218</v>
      </c>
      <c r="M11021">
        <v>1</v>
      </c>
      <c r="N11021">
        <v>3.8296899999999997E-76</v>
      </c>
      <c r="O11021">
        <v>719</v>
      </c>
    </row>
    <row r="11022" spans="1:15" x14ac:dyDescent="0.25">
      <c r="A11022" t="s">
        <v>11035</v>
      </c>
      <c r="B11022">
        <v>492</v>
      </c>
      <c r="C11022" s="1" t="str">
        <f>HYPERLINK("http://www.rosaceae.org/gb/gbrowse/malus_x_domestica/?name=MDP0000181794","MDP0000181794")</f>
        <v>MDP0000181794</v>
      </c>
      <c r="D11022">
        <v>52.95</v>
      </c>
      <c r="E11022">
        <v>474</v>
      </c>
      <c r="F11022">
        <v>223</v>
      </c>
      <c r="G11022">
        <v>13</v>
      </c>
      <c r="H11022">
        <v>24</v>
      </c>
      <c r="I11022">
        <v>485</v>
      </c>
      <c r="J11022">
        <v>1</v>
      </c>
      <c r="K11022">
        <v>45</v>
      </c>
      <c r="L11022">
        <v>517</v>
      </c>
      <c r="M11022">
        <v>1</v>
      </c>
      <c r="N11022">
        <v>3.6932200000000003E-136</v>
      </c>
      <c r="O11022">
        <v>1241</v>
      </c>
    </row>
    <row r="11023" spans="1:15" x14ac:dyDescent="0.25">
      <c r="A11023" t="s">
        <v>11036</v>
      </c>
      <c r="B11023">
        <v>370</v>
      </c>
      <c r="C11023" s="1" t="str">
        <f>HYPERLINK("http://www.rosaceae.org/gb/gbrowse/malus_x_domestica/?name=MDP0000155579","MDP0000155579")</f>
        <v>MDP0000155579</v>
      </c>
      <c r="D11023">
        <v>73.239999999999995</v>
      </c>
      <c r="E11023">
        <v>370</v>
      </c>
      <c r="F11023">
        <v>99</v>
      </c>
      <c r="G11023">
        <v>6</v>
      </c>
      <c r="H11023">
        <v>4</v>
      </c>
      <c r="I11023">
        <v>370</v>
      </c>
      <c r="J11023">
        <v>1</v>
      </c>
      <c r="K11023">
        <v>74</v>
      </c>
      <c r="L11023">
        <v>440</v>
      </c>
      <c r="M11023">
        <v>1</v>
      </c>
      <c r="N11023">
        <v>4.1590999999999998E-155</v>
      </c>
      <c r="O11023">
        <v>1403</v>
      </c>
    </row>
    <row r="11024" spans="1:15" x14ac:dyDescent="0.25">
      <c r="A11024" t="s">
        <v>11037</v>
      </c>
      <c r="B11024">
        <v>411</v>
      </c>
      <c r="C11024" s="1" t="str">
        <f>HYPERLINK("http://www.rosaceae.org/gb/gbrowse/malus_x_domestica/?name=MDP0000173893","MDP0000173893")</f>
        <v>MDP0000173893</v>
      </c>
      <c r="D11024">
        <v>58.28</v>
      </c>
      <c r="E11024">
        <v>163</v>
      </c>
      <c r="F11024">
        <v>68</v>
      </c>
      <c r="G11024">
        <v>8</v>
      </c>
      <c r="H11024">
        <v>39</v>
      </c>
      <c r="I11024">
        <v>199</v>
      </c>
      <c r="J11024">
        <v>1</v>
      </c>
      <c r="K11024">
        <v>31</v>
      </c>
      <c r="L11024">
        <v>187</v>
      </c>
      <c r="M11024">
        <v>1</v>
      </c>
      <c r="N11024">
        <v>6.8741800000000001E-45</v>
      </c>
      <c r="O11024">
        <v>453</v>
      </c>
    </row>
    <row r="11025" spans="1:15" x14ac:dyDescent="0.25">
      <c r="A11025" t="s">
        <v>11038</v>
      </c>
      <c r="B11025">
        <v>403</v>
      </c>
      <c r="C11025" s="1" t="str">
        <f>HYPERLINK("http://www.rosaceae.org/gb/gbrowse/malus_x_domestica/?name=MDP0000188175","MDP0000188175")</f>
        <v>MDP0000188175</v>
      </c>
      <c r="D11025">
        <v>29.38</v>
      </c>
      <c r="E11025">
        <v>439</v>
      </c>
      <c r="F11025">
        <v>310</v>
      </c>
      <c r="G11025">
        <v>69</v>
      </c>
      <c r="H11025">
        <v>27</v>
      </c>
      <c r="I11025">
        <v>400</v>
      </c>
      <c r="J11025">
        <v>1</v>
      </c>
      <c r="K11025">
        <v>11</v>
      </c>
      <c r="L11025">
        <v>445</v>
      </c>
      <c r="M11025">
        <v>1</v>
      </c>
      <c r="N11025">
        <v>3.0099799999999999E-39</v>
      </c>
      <c r="O11025">
        <v>404</v>
      </c>
    </row>
    <row r="11026" spans="1:15" x14ac:dyDescent="0.25">
      <c r="A11026" t="s">
        <v>11039</v>
      </c>
      <c r="B11026">
        <v>192</v>
      </c>
      <c r="C11026" s="1" t="str">
        <f>HYPERLINK("http://www.rosaceae.org/gb/gbrowse/malus_x_domestica/?name=MDP0000665070","MDP0000665070")</f>
        <v>MDP0000665070</v>
      </c>
      <c r="D11026">
        <v>78.75</v>
      </c>
      <c r="E11026">
        <v>193</v>
      </c>
      <c r="F11026">
        <v>41</v>
      </c>
      <c r="G11026">
        <v>1</v>
      </c>
      <c r="H11026">
        <v>1</v>
      </c>
      <c r="I11026">
        <v>192</v>
      </c>
      <c r="J11026">
        <v>1</v>
      </c>
      <c r="K11026">
        <v>1</v>
      </c>
      <c r="L11026">
        <v>193</v>
      </c>
      <c r="M11026">
        <v>1</v>
      </c>
      <c r="N11026">
        <v>7.3015900000000001E-81</v>
      </c>
      <c r="O11026">
        <v>759</v>
      </c>
    </row>
    <row r="11027" spans="1:15" x14ac:dyDescent="0.25">
      <c r="A11027" t="s">
        <v>11040</v>
      </c>
      <c r="B11027">
        <v>252</v>
      </c>
      <c r="C11027" s="1" t="str">
        <f>HYPERLINK("http://www.rosaceae.org/gb/gbrowse/malus_x_domestica/?name=MDP0000200045","MDP0000200045")</f>
        <v>MDP0000200045</v>
      </c>
      <c r="D11027">
        <v>65.34</v>
      </c>
      <c r="E11027">
        <v>277</v>
      </c>
      <c r="F11027">
        <v>96</v>
      </c>
      <c r="G11027">
        <v>27</v>
      </c>
      <c r="H11027">
        <v>1</v>
      </c>
      <c r="I11027">
        <v>252</v>
      </c>
      <c r="J11027">
        <v>1</v>
      </c>
      <c r="K11027">
        <v>44</v>
      </c>
      <c r="L11027">
        <v>318</v>
      </c>
      <c r="M11027">
        <v>1</v>
      </c>
      <c r="N11027">
        <v>2.6353699999999998E-99</v>
      </c>
      <c r="O11027">
        <v>919</v>
      </c>
    </row>
    <row r="11028" spans="1:15" x14ac:dyDescent="0.25">
      <c r="A11028" t="s">
        <v>11041</v>
      </c>
      <c r="B11028">
        <v>481</v>
      </c>
      <c r="C11028" s="1" t="str">
        <f>HYPERLINK("http://www.rosaceae.org/gb/gbrowse/malus_x_domestica/?name=MDP0000225623","MDP0000225623")</f>
        <v>MDP0000225623</v>
      </c>
      <c r="D11028">
        <v>40.880000000000003</v>
      </c>
      <c r="E11028">
        <v>384</v>
      </c>
      <c r="F11028">
        <v>227</v>
      </c>
      <c r="G11028">
        <v>46</v>
      </c>
      <c r="H11028">
        <v>118</v>
      </c>
      <c r="I11028">
        <v>470</v>
      </c>
      <c r="J11028">
        <v>1</v>
      </c>
      <c r="K11028">
        <v>285</v>
      </c>
      <c r="L11028">
        <v>653</v>
      </c>
      <c r="M11028">
        <v>1</v>
      </c>
      <c r="N11028">
        <v>2.66351E-63</v>
      </c>
      <c r="O11028">
        <v>612</v>
      </c>
    </row>
    <row r="11029" spans="1:15" x14ac:dyDescent="0.25">
      <c r="A11029" t="s">
        <v>11042</v>
      </c>
      <c r="B11029">
        <v>626</v>
      </c>
      <c r="C11029" s="1" t="str">
        <f>HYPERLINK("http://www.rosaceae.org/gb/gbrowse/malus_x_domestica/?name=MDP0000226068","MDP0000226068")</f>
        <v>MDP0000226068</v>
      </c>
      <c r="D11029">
        <v>43.54</v>
      </c>
      <c r="E11029">
        <v>542</v>
      </c>
      <c r="F11029">
        <v>306</v>
      </c>
      <c r="G11029">
        <v>95</v>
      </c>
      <c r="H11029">
        <v>106</v>
      </c>
      <c r="I11029">
        <v>563</v>
      </c>
      <c r="J11029">
        <v>1</v>
      </c>
      <c r="K11029">
        <v>670</v>
      </c>
      <c r="L11029">
        <v>1200</v>
      </c>
      <c r="M11029">
        <v>1</v>
      </c>
      <c r="N11029">
        <v>2.4849400000000001E-107</v>
      </c>
      <c r="O11029">
        <v>993</v>
      </c>
    </row>
    <row r="11030" spans="1:15" x14ac:dyDescent="0.25">
      <c r="A11030" t="s">
        <v>11043</v>
      </c>
      <c r="B11030">
        <v>1383</v>
      </c>
      <c r="C11030" s="1" t="str">
        <f>HYPERLINK("http://www.rosaceae.org/gb/gbrowse/malus_x_domestica/?name=MDP0000264736","MDP0000264736")</f>
        <v>MDP0000264736</v>
      </c>
      <c r="D11030">
        <v>73.59</v>
      </c>
      <c r="E11030">
        <v>924</v>
      </c>
      <c r="F11030">
        <v>244</v>
      </c>
      <c r="G11030">
        <v>21</v>
      </c>
      <c r="H11030">
        <v>471</v>
      </c>
      <c r="I11030">
        <v>1383</v>
      </c>
      <c r="J11030">
        <v>1</v>
      </c>
      <c r="K11030">
        <v>528</v>
      </c>
      <c r="L11030">
        <v>1441</v>
      </c>
      <c r="M11030">
        <v>1</v>
      </c>
      <c r="N11030">
        <v>0</v>
      </c>
      <c r="O11030">
        <v>3532</v>
      </c>
    </row>
    <row r="11031" spans="1:15" x14ac:dyDescent="0.25">
      <c r="A11031" t="s">
        <v>11044</v>
      </c>
      <c r="B11031">
        <v>831</v>
      </c>
      <c r="C11031" s="1" t="str">
        <f>HYPERLINK("http://www.rosaceae.org/gb/gbrowse/malus_x_domestica/?name=MDP0000221463","MDP0000221463")</f>
        <v>MDP0000221463</v>
      </c>
      <c r="D11031">
        <v>77.17</v>
      </c>
      <c r="E11031">
        <v>828</v>
      </c>
      <c r="F11031">
        <v>189</v>
      </c>
      <c r="G11031">
        <v>3</v>
      </c>
      <c r="H11031">
        <v>4</v>
      </c>
      <c r="I11031">
        <v>831</v>
      </c>
      <c r="J11031">
        <v>1</v>
      </c>
      <c r="K11031">
        <v>3</v>
      </c>
      <c r="L11031">
        <v>827</v>
      </c>
      <c r="M11031">
        <v>1</v>
      </c>
      <c r="N11031">
        <v>0</v>
      </c>
      <c r="O11031">
        <v>3388</v>
      </c>
    </row>
    <row r="11032" spans="1:15" x14ac:dyDescent="0.25">
      <c r="A11032" t="s">
        <v>11045</v>
      </c>
      <c r="B11032">
        <v>678</v>
      </c>
      <c r="C11032" s="1" t="str">
        <f>HYPERLINK("http://www.rosaceae.org/gb/gbrowse/malus_x_domestica/?name=MDP0000578467","MDP0000578467")</f>
        <v>MDP0000578467</v>
      </c>
      <c r="D11032">
        <v>67.540000000000006</v>
      </c>
      <c r="E11032">
        <v>724</v>
      </c>
      <c r="F11032">
        <v>235</v>
      </c>
      <c r="G11032">
        <v>50</v>
      </c>
      <c r="H11032">
        <v>2</v>
      </c>
      <c r="I11032">
        <v>678</v>
      </c>
      <c r="J11032">
        <v>1</v>
      </c>
      <c r="K11032">
        <v>6</v>
      </c>
      <c r="L11032">
        <v>726</v>
      </c>
      <c r="M11032">
        <v>1</v>
      </c>
      <c r="N11032">
        <v>0</v>
      </c>
      <c r="O11032">
        <v>2411</v>
      </c>
    </row>
    <row r="11033" spans="1:15" x14ac:dyDescent="0.25">
      <c r="A11033" t="s">
        <v>11046</v>
      </c>
      <c r="B11033">
        <v>136</v>
      </c>
      <c r="C11033" s="1" t="str">
        <f>HYPERLINK("http://www.rosaceae.org/gb/gbrowse/malus_x_domestica/?name=MDP0000198394","MDP0000198394")</f>
        <v>MDP0000198394</v>
      </c>
      <c r="D11033">
        <v>41.48</v>
      </c>
      <c r="E11033">
        <v>94</v>
      </c>
      <c r="F11033">
        <v>55</v>
      </c>
      <c r="G11033">
        <v>3</v>
      </c>
      <c r="H11033">
        <v>4</v>
      </c>
      <c r="I11033">
        <v>95</v>
      </c>
      <c r="J11033">
        <v>1</v>
      </c>
      <c r="K11033">
        <v>514</v>
      </c>
      <c r="L11033">
        <v>606</v>
      </c>
      <c r="M11033">
        <v>1</v>
      </c>
      <c r="N11033">
        <v>7.6133299999999998E-12</v>
      </c>
      <c r="O11033">
        <v>161</v>
      </c>
    </row>
    <row r="11034" spans="1:15" x14ac:dyDescent="0.25">
      <c r="A11034" t="s">
        <v>11047</v>
      </c>
      <c r="B11034">
        <v>133</v>
      </c>
      <c r="C11034" s="1" t="str">
        <f>HYPERLINK("http://www.rosaceae.org/gb/gbrowse/malus_x_domestica/?name=MDP0000179778","MDP0000179778")</f>
        <v>MDP0000179778</v>
      </c>
      <c r="D11034">
        <v>77.61</v>
      </c>
      <c r="E11034">
        <v>67</v>
      </c>
      <c r="F11034">
        <v>15</v>
      </c>
      <c r="G11034">
        <v>0</v>
      </c>
      <c r="H11034">
        <v>48</v>
      </c>
      <c r="I11034">
        <v>114</v>
      </c>
      <c r="J11034">
        <v>1</v>
      </c>
      <c r="K11034">
        <v>54</v>
      </c>
      <c r="L11034">
        <v>120</v>
      </c>
      <c r="M11034">
        <v>1</v>
      </c>
      <c r="N11034">
        <v>1.25544E-28</v>
      </c>
      <c r="O11034">
        <v>305</v>
      </c>
    </row>
    <row r="11035" spans="1:15" x14ac:dyDescent="0.25">
      <c r="A11035" t="s">
        <v>11048</v>
      </c>
      <c r="B11035">
        <v>195</v>
      </c>
      <c r="C11035" s="1" t="str">
        <f>HYPERLINK("http://www.rosaceae.org/gb/gbrowse/malus_x_domestica/?name=MDP0000211934","MDP0000211934")</f>
        <v>MDP0000211934</v>
      </c>
      <c r="D11035">
        <v>79.69</v>
      </c>
      <c r="E11035">
        <v>133</v>
      </c>
      <c r="F11035">
        <v>27</v>
      </c>
      <c r="G11035">
        <v>4</v>
      </c>
      <c r="H11035">
        <v>64</v>
      </c>
      <c r="I11035">
        <v>195</v>
      </c>
      <c r="J11035">
        <v>1</v>
      </c>
      <c r="K11035">
        <v>54</v>
      </c>
      <c r="L11035">
        <v>183</v>
      </c>
      <c r="M11035">
        <v>1</v>
      </c>
      <c r="N11035">
        <v>6.0585800000000002E-56</v>
      </c>
      <c r="O11035">
        <v>544</v>
      </c>
    </row>
    <row r="11036" spans="1:15" x14ac:dyDescent="0.25">
      <c r="A11036" t="s">
        <v>11049</v>
      </c>
      <c r="B11036">
        <v>180</v>
      </c>
      <c r="C11036" s="1" t="str">
        <f>HYPERLINK("http://www.rosaceae.org/gb/gbrowse/malus_x_domestica/?name=MDP0000241635","MDP0000241635")</f>
        <v>MDP0000241635</v>
      </c>
      <c r="D11036">
        <v>44.23</v>
      </c>
      <c r="E11036">
        <v>52</v>
      </c>
      <c r="F11036">
        <v>29</v>
      </c>
      <c r="G11036">
        <v>0</v>
      </c>
      <c r="H11036">
        <v>2</v>
      </c>
      <c r="I11036">
        <v>53</v>
      </c>
      <c r="J11036">
        <v>1</v>
      </c>
      <c r="K11036">
        <v>118</v>
      </c>
      <c r="L11036">
        <v>169</v>
      </c>
      <c r="M11036">
        <v>1</v>
      </c>
      <c r="N11036">
        <v>2.8454499999999998E-8</v>
      </c>
      <c r="O11036">
        <v>132</v>
      </c>
    </row>
    <row r="11037" spans="1:15" x14ac:dyDescent="0.25">
      <c r="A11037" t="s">
        <v>11050</v>
      </c>
      <c r="B11037">
        <v>241</v>
      </c>
      <c r="C11037" s="1" t="str">
        <f>HYPERLINK("http://www.rosaceae.org/gb/gbrowse/malus_x_domestica/?name=MDP0000241792","MDP0000241792")</f>
        <v>MDP0000241792</v>
      </c>
      <c r="D11037">
        <v>64.930000000000007</v>
      </c>
      <c r="E11037">
        <v>231</v>
      </c>
      <c r="F11037">
        <v>81</v>
      </c>
      <c r="G11037">
        <v>23</v>
      </c>
      <c r="H11037">
        <v>20</v>
      </c>
      <c r="I11037">
        <v>241</v>
      </c>
      <c r="J11037">
        <v>1</v>
      </c>
      <c r="K11037">
        <v>23</v>
      </c>
      <c r="L11037">
        <v>239</v>
      </c>
      <c r="M11037">
        <v>1</v>
      </c>
      <c r="N11037">
        <v>6.64284E-74</v>
      </c>
      <c r="O11037">
        <v>700</v>
      </c>
    </row>
    <row r="11038" spans="1:15" x14ac:dyDescent="0.25">
      <c r="A11038" t="s">
        <v>11051</v>
      </c>
      <c r="B11038">
        <v>348</v>
      </c>
      <c r="C11038" s="1" t="str">
        <f>HYPERLINK("http://www.rosaceae.org/gb/gbrowse/malus_x_domestica/?name=MDP0000295085","MDP0000295085")</f>
        <v>MDP0000295085</v>
      </c>
      <c r="D11038">
        <v>63.71</v>
      </c>
      <c r="E11038">
        <v>237</v>
      </c>
      <c r="F11038">
        <v>86</v>
      </c>
      <c r="G11038">
        <v>38</v>
      </c>
      <c r="H11038">
        <v>60</v>
      </c>
      <c r="I11038">
        <v>272</v>
      </c>
      <c r="J11038">
        <v>1</v>
      </c>
      <c r="K11038">
        <v>880</v>
      </c>
      <c r="L11038">
        <v>1102</v>
      </c>
      <c r="M11038">
        <v>1</v>
      </c>
      <c r="N11038">
        <v>8.0484900000000002E-81</v>
      </c>
      <c r="O11038">
        <v>762</v>
      </c>
    </row>
    <row r="11039" spans="1:15" x14ac:dyDescent="0.25">
      <c r="A11039" t="s">
        <v>11052</v>
      </c>
      <c r="B11039">
        <v>127</v>
      </c>
      <c r="C11039" s="1" t="str">
        <f>HYPERLINK("http://www.rosaceae.org/gb/gbrowse/malus_x_domestica/?name=MDP0000312342","MDP0000312342")</f>
        <v>MDP0000312342</v>
      </c>
      <c r="D11039">
        <v>37.14</v>
      </c>
      <c r="E11039">
        <v>105</v>
      </c>
      <c r="F11039">
        <v>66</v>
      </c>
      <c r="G11039">
        <v>11</v>
      </c>
      <c r="H11039">
        <v>11</v>
      </c>
      <c r="I11039">
        <v>115</v>
      </c>
      <c r="J11039">
        <v>1</v>
      </c>
      <c r="K11039">
        <v>205</v>
      </c>
      <c r="L11039">
        <v>298</v>
      </c>
      <c r="M11039">
        <v>1</v>
      </c>
      <c r="N11039">
        <v>3.3454000000000002E-10</v>
      </c>
      <c r="O11039">
        <v>146</v>
      </c>
    </row>
    <row r="11040" spans="1:15" x14ac:dyDescent="0.25">
      <c r="A11040" t="s">
        <v>11053</v>
      </c>
      <c r="B11040">
        <v>136</v>
      </c>
      <c r="C11040" s="1" t="str">
        <f>HYPERLINK("http://www.rosaceae.org/gb/gbrowse/malus_x_domestica/?name=MDP0000260962","MDP0000260962")</f>
        <v>MDP0000260962</v>
      </c>
      <c r="D11040">
        <v>68.14</v>
      </c>
      <c r="E11040">
        <v>135</v>
      </c>
      <c r="F11040">
        <v>43</v>
      </c>
      <c r="G11040">
        <v>0</v>
      </c>
      <c r="H11040">
        <v>1</v>
      </c>
      <c r="I11040">
        <v>135</v>
      </c>
      <c r="J11040">
        <v>1</v>
      </c>
      <c r="K11040">
        <v>152</v>
      </c>
      <c r="L11040">
        <v>286</v>
      </c>
      <c r="M11040">
        <v>1</v>
      </c>
      <c r="N11040">
        <v>7.5277300000000001E-51</v>
      </c>
      <c r="O11040">
        <v>497</v>
      </c>
    </row>
    <row r="11041" spans="1:15" x14ac:dyDescent="0.25">
      <c r="A11041" t="s">
        <v>11054</v>
      </c>
      <c r="B11041">
        <v>718</v>
      </c>
      <c r="C11041" s="1" t="str">
        <f>HYPERLINK("http://www.rosaceae.org/gb/gbrowse/malus_x_domestica/?name=MDP0000321212","MDP0000321212")</f>
        <v>MDP0000321212</v>
      </c>
      <c r="D11041">
        <v>54.45</v>
      </c>
      <c r="E11041">
        <v>740</v>
      </c>
      <c r="F11041">
        <v>337</v>
      </c>
      <c r="G11041">
        <v>58</v>
      </c>
      <c r="H11041">
        <v>1</v>
      </c>
      <c r="I11041">
        <v>715</v>
      </c>
      <c r="J11041">
        <v>1</v>
      </c>
      <c r="K11041">
        <v>1</v>
      </c>
      <c r="L11041">
        <v>707</v>
      </c>
      <c r="M11041">
        <v>1</v>
      </c>
      <c r="N11041">
        <v>0</v>
      </c>
      <c r="O11041">
        <v>1739</v>
      </c>
    </row>
    <row r="11042" spans="1:15" x14ac:dyDescent="0.25">
      <c r="A11042" t="s">
        <v>11055</v>
      </c>
      <c r="B11042">
        <v>512</v>
      </c>
      <c r="C11042" s="1" t="str">
        <f>HYPERLINK("http://www.rosaceae.org/gb/gbrowse/malus_x_domestica/?name=MDP0000835519","MDP0000835519")</f>
        <v>MDP0000835519</v>
      </c>
      <c r="D11042">
        <v>77.25</v>
      </c>
      <c r="E11042">
        <v>400</v>
      </c>
      <c r="F11042">
        <v>91</v>
      </c>
      <c r="G11042">
        <v>0</v>
      </c>
      <c r="H11042">
        <v>1</v>
      </c>
      <c r="I11042">
        <v>400</v>
      </c>
      <c r="J11042">
        <v>1</v>
      </c>
      <c r="K11042">
        <v>1</v>
      </c>
      <c r="L11042">
        <v>400</v>
      </c>
      <c r="M11042">
        <v>1</v>
      </c>
      <c r="N11042">
        <v>0</v>
      </c>
      <c r="O11042">
        <v>1691</v>
      </c>
    </row>
    <row r="11043" spans="1:15" x14ac:dyDescent="0.25">
      <c r="A11043" t="s">
        <v>11056</v>
      </c>
      <c r="B11043">
        <v>578</v>
      </c>
      <c r="C11043" s="1" t="str">
        <f>HYPERLINK("http://www.rosaceae.org/gb/gbrowse/malus_x_domestica/?name=MDP0000252894","MDP0000252894")</f>
        <v>MDP0000252894</v>
      </c>
      <c r="D11043">
        <v>83.83</v>
      </c>
      <c r="E11043">
        <v>198</v>
      </c>
      <c r="F11043">
        <v>32</v>
      </c>
      <c r="G11043">
        <v>1</v>
      </c>
      <c r="H11043">
        <v>14</v>
      </c>
      <c r="I11043">
        <v>210</v>
      </c>
      <c r="J11043">
        <v>1</v>
      </c>
      <c r="K11043">
        <v>154</v>
      </c>
      <c r="L11043">
        <v>351</v>
      </c>
      <c r="M11043">
        <v>1</v>
      </c>
      <c r="N11043">
        <v>5.6556399999999998E-91</v>
      </c>
      <c r="O11043">
        <v>852</v>
      </c>
    </row>
    <row r="11044" spans="1:15" x14ac:dyDescent="0.25">
      <c r="A11044" t="s">
        <v>11057</v>
      </c>
      <c r="B11044">
        <v>403</v>
      </c>
      <c r="C11044" s="1" t="str">
        <f>HYPERLINK("http://www.rosaceae.org/gb/gbrowse/malus_x_domestica/?name=MDP0000160065","MDP0000160065")</f>
        <v>MDP0000160065</v>
      </c>
      <c r="D11044">
        <v>63</v>
      </c>
      <c r="E11044">
        <v>273</v>
      </c>
      <c r="F11044">
        <v>101</v>
      </c>
      <c r="G11044">
        <v>6</v>
      </c>
      <c r="H11044">
        <v>89</v>
      </c>
      <c r="I11044">
        <v>355</v>
      </c>
      <c r="J11044">
        <v>1</v>
      </c>
      <c r="K11044">
        <v>129</v>
      </c>
      <c r="L11044">
        <v>401</v>
      </c>
      <c r="M11044">
        <v>1</v>
      </c>
      <c r="N11044">
        <v>1.5196599999999999E-94</v>
      </c>
      <c r="O11044">
        <v>881</v>
      </c>
    </row>
    <row r="11045" spans="1:15" x14ac:dyDescent="0.25">
      <c r="A11045" t="s">
        <v>11058</v>
      </c>
      <c r="B11045">
        <v>477</v>
      </c>
      <c r="C11045" s="1" t="str">
        <f>HYPERLINK("http://www.rosaceae.org/gb/gbrowse/malus_x_domestica/?name=MDP0000321042","MDP0000321042")</f>
        <v>MDP0000321042</v>
      </c>
      <c r="D11045">
        <v>77.959999999999994</v>
      </c>
      <c r="E11045">
        <v>463</v>
      </c>
      <c r="F11045">
        <v>102</v>
      </c>
      <c r="G11045">
        <v>6</v>
      </c>
      <c r="H11045">
        <v>20</v>
      </c>
      <c r="I11045">
        <v>477</v>
      </c>
      <c r="J11045">
        <v>1</v>
      </c>
      <c r="K11045">
        <v>20</v>
      </c>
      <c r="L11045">
        <v>481</v>
      </c>
      <c r="M11045">
        <v>1</v>
      </c>
      <c r="N11045">
        <v>0</v>
      </c>
      <c r="O11045">
        <v>1953</v>
      </c>
    </row>
    <row r="11046" spans="1:15" x14ac:dyDescent="0.25">
      <c r="A11046" t="s">
        <v>11059</v>
      </c>
      <c r="B11046">
        <v>153</v>
      </c>
      <c r="C11046" s="1" t="str">
        <f>HYPERLINK("http://www.rosaceae.org/gb/gbrowse/malus_x_domestica/?name=MDP0000231527","MDP0000231527")</f>
        <v>MDP0000231527</v>
      </c>
      <c r="D11046">
        <v>72.84</v>
      </c>
      <c r="E11046">
        <v>151</v>
      </c>
      <c r="F11046">
        <v>41</v>
      </c>
      <c r="G11046">
        <v>5</v>
      </c>
      <c r="H11046">
        <v>7</v>
      </c>
      <c r="I11046">
        <v>153</v>
      </c>
      <c r="J11046">
        <v>1</v>
      </c>
      <c r="K11046">
        <v>41</v>
      </c>
      <c r="L11046">
        <v>190</v>
      </c>
      <c r="M11046">
        <v>1</v>
      </c>
      <c r="N11046">
        <v>2.4033000000000001E-55</v>
      </c>
      <c r="O11046">
        <v>537</v>
      </c>
    </row>
    <row r="11047" spans="1:15" x14ac:dyDescent="0.25">
      <c r="A11047" t="s">
        <v>11060</v>
      </c>
      <c r="B11047">
        <v>350</v>
      </c>
      <c r="C11047" s="1" t="str">
        <f>HYPERLINK("http://www.rosaceae.org/gb/gbrowse/malus_x_domestica/?name=MDP0000267681","MDP0000267681")</f>
        <v>MDP0000267681</v>
      </c>
      <c r="D11047">
        <v>35.26</v>
      </c>
      <c r="E11047">
        <v>224</v>
      </c>
      <c r="F11047">
        <v>145</v>
      </c>
      <c r="G11047">
        <v>34</v>
      </c>
      <c r="H11047">
        <v>4</v>
      </c>
      <c r="I11047">
        <v>207</v>
      </c>
      <c r="J11047">
        <v>1</v>
      </c>
      <c r="K11047">
        <v>6</v>
      </c>
      <c r="L11047">
        <v>215</v>
      </c>
      <c r="M11047">
        <v>1</v>
      </c>
      <c r="N11047">
        <v>7.4701600000000006E-21</v>
      </c>
      <c r="O11047">
        <v>245</v>
      </c>
    </row>
    <row r="11048" spans="1:15" x14ac:dyDescent="0.25">
      <c r="A11048" t="s">
        <v>11061</v>
      </c>
      <c r="B11048">
        <v>462</v>
      </c>
      <c r="C11048" s="1" t="str">
        <f>HYPERLINK("http://www.rosaceae.org/gb/gbrowse/malus_x_domestica/?name=MDP0000769741","MDP0000769741")</f>
        <v>MDP0000769741</v>
      </c>
      <c r="D11048">
        <v>77.77</v>
      </c>
      <c r="E11048">
        <v>486</v>
      </c>
      <c r="F11048">
        <v>108</v>
      </c>
      <c r="G11048">
        <v>44</v>
      </c>
      <c r="H11048">
        <v>16</v>
      </c>
      <c r="I11048">
        <v>462</v>
      </c>
      <c r="J11048">
        <v>1</v>
      </c>
      <c r="K11048">
        <v>10</v>
      </c>
      <c r="L11048">
        <v>490</v>
      </c>
      <c r="M11048">
        <v>1</v>
      </c>
      <c r="N11048">
        <v>0</v>
      </c>
      <c r="O11048">
        <v>1895</v>
      </c>
    </row>
    <row r="11049" spans="1:15" x14ac:dyDescent="0.25">
      <c r="A11049" t="s">
        <v>11062</v>
      </c>
      <c r="B11049">
        <v>614</v>
      </c>
      <c r="C11049" s="1" t="str">
        <f>HYPERLINK("http://www.rosaceae.org/gb/gbrowse/malus_x_domestica/?name=MDP0000812621","MDP0000812621")</f>
        <v>MDP0000812621</v>
      </c>
      <c r="D11049">
        <v>79.44</v>
      </c>
      <c r="E11049">
        <v>608</v>
      </c>
      <c r="F11049">
        <v>125</v>
      </c>
      <c r="G11049">
        <v>2</v>
      </c>
      <c r="H11049">
        <v>5</v>
      </c>
      <c r="I11049">
        <v>612</v>
      </c>
      <c r="J11049">
        <v>1</v>
      </c>
      <c r="K11049">
        <v>23</v>
      </c>
      <c r="L11049">
        <v>628</v>
      </c>
      <c r="M11049">
        <v>1</v>
      </c>
      <c r="N11049">
        <v>0</v>
      </c>
      <c r="O11049">
        <v>2569</v>
      </c>
    </row>
    <row r="11050" spans="1:15" x14ac:dyDescent="0.25">
      <c r="A11050" t="s">
        <v>11063</v>
      </c>
      <c r="B11050">
        <v>229</v>
      </c>
      <c r="C11050" s="1" t="str">
        <f>HYPERLINK("http://www.rosaceae.org/gb/gbrowse/malus_x_domestica/?name=MDP0000319179","MDP0000319179")</f>
        <v>MDP0000319179</v>
      </c>
      <c r="D11050">
        <v>40.93</v>
      </c>
      <c r="E11050">
        <v>149</v>
      </c>
      <c r="F11050">
        <v>88</v>
      </c>
      <c r="G11050">
        <v>21</v>
      </c>
      <c r="H11050">
        <v>1</v>
      </c>
      <c r="I11050">
        <v>141</v>
      </c>
      <c r="J11050">
        <v>1</v>
      </c>
      <c r="K11050">
        <v>1</v>
      </c>
      <c r="L11050">
        <v>136</v>
      </c>
      <c r="M11050">
        <v>1</v>
      </c>
      <c r="N11050">
        <v>6.8955499999999995E-21</v>
      </c>
      <c r="O11050">
        <v>243</v>
      </c>
    </row>
    <row r="11051" spans="1:15" x14ac:dyDescent="0.25">
      <c r="A11051" t="s">
        <v>11064</v>
      </c>
      <c r="B11051">
        <v>552</v>
      </c>
      <c r="C11051" s="1" t="str">
        <f>HYPERLINK("http://www.rosaceae.org/gb/gbrowse/malus_x_domestica/?name=MDP0000316265","MDP0000316265")</f>
        <v>MDP0000316265</v>
      </c>
      <c r="D11051">
        <v>74.010000000000005</v>
      </c>
      <c r="E11051">
        <v>535</v>
      </c>
      <c r="F11051">
        <v>139</v>
      </c>
      <c r="G11051">
        <v>20</v>
      </c>
      <c r="H11051">
        <v>26</v>
      </c>
      <c r="I11051">
        <v>540</v>
      </c>
      <c r="J11051">
        <v>1</v>
      </c>
      <c r="K11051">
        <v>227</v>
      </c>
      <c r="L11051">
        <v>761</v>
      </c>
      <c r="M11051">
        <v>1</v>
      </c>
      <c r="N11051">
        <v>0</v>
      </c>
      <c r="O11051">
        <v>2113</v>
      </c>
    </row>
    <row r="11052" spans="1:15" x14ac:dyDescent="0.25">
      <c r="A11052" t="s">
        <v>11065</v>
      </c>
      <c r="B11052">
        <v>134</v>
      </c>
      <c r="C11052" s="1" t="str">
        <f>HYPERLINK("http://www.rosaceae.org/gb/gbrowse/malus_x_domestica/?name=MDP0000256680","MDP0000256680")</f>
        <v>MDP0000256680</v>
      </c>
      <c r="D11052">
        <v>51.54</v>
      </c>
      <c r="E11052">
        <v>97</v>
      </c>
      <c r="F11052">
        <v>47</v>
      </c>
      <c r="G11052">
        <v>2</v>
      </c>
      <c r="H11052">
        <v>33</v>
      </c>
      <c r="I11052">
        <v>129</v>
      </c>
      <c r="J11052">
        <v>1</v>
      </c>
      <c r="K11052">
        <v>160</v>
      </c>
      <c r="L11052">
        <v>254</v>
      </c>
      <c r="M11052">
        <v>1</v>
      </c>
      <c r="N11052">
        <v>4.32213E-20</v>
      </c>
      <c r="O11052">
        <v>232</v>
      </c>
    </row>
    <row r="11053" spans="1:15" x14ac:dyDescent="0.25">
      <c r="A11053" t="s">
        <v>11066</v>
      </c>
      <c r="B11053">
        <v>446</v>
      </c>
      <c r="C11053" s="1" t="str">
        <f>HYPERLINK("http://www.rosaceae.org/gb/gbrowse/malus_x_domestica/?name=MDP0000233598","MDP0000233598")</f>
        <v>MDP0000233598</v>
      </c>
      <c r="D11053">
        <v>27.56</v>
      </c>
      <c r="E11053">
        <v>185</v>
      </c>
      <c r="F11053">
        <v>134</v>
      </c>
      <c r="G11053">
        <v>12</v>
      </c>
      <c r="H11053">
        <v>1</v>
      </c>
      <c r="I11053">
        <v>180</v>
      </c>
      <c r="J11053">
        <v>1</v>
      </c>
      <c r="K11053">
        <v>281</v>
      </c>
      <c r="L11053">
        <v>458</v>
      </c>
      <c r="M11053">
        <v>1</v>
      </c>
      <c r="N11053">
        <v>7.4413500000000007E-8</v>
      </c>
      <c r="O11053">
        <v>134</v>
      </c>
    </row>
    <row r="11054" spans="1:15" x14ac:dyDescent="0.25">
      <c r="A11054" t="s">
        <v>11067</v>
      </c>
      <c r="B11054">
        <v>611</v>
      </c>
      <c r="C11054" s="1" t="str">
        <f>HYPERLINK("http://www.rosaceae.org/gb/gbrowse/malus_x_domestica/?name=MDP0000173686","MDP0000173686")</f>
        <v>MDP0000173686</v>
      </c>
      <c r="D11054">
        <v>60.15</v>
      </c>
      <c r="E11054">
        <v>660</v>
      </c>
      <c r="F11054">
        <v>263</v>
      </c>
      <c r="G11054">
        <v>80</v>
      </c>
      <c r="H11054">
        <v>1</v>
      </c>
      <c r="I11054">
        <v>601</v>
      </c>
      <c r="J11054">
        <v>1</v>
      </c>
      <c r="K11054">
        <v>1</v>
      </c>
      <c r="L11054">
        <v>639</v>
      </c>
      <c r="M11054">
        <v>1</v>
      </c>
      <c r="N11054">
        <v>0</v>
      </c>
      <c r="O11054">
        <v>1892</v>
      </c>
    </row>
    <row r="11055" spans="1:15" x14ac:dyDescent="0.25">
      <c r="A11055" t="s">
        <v>11068</v>
      </c>
      <c r="B11055">
        <v>654</v>
      </c>
      <c r="C11055" s="1" t="str">
        <f>HYPERLINK("http://www.rosaceae.org/gb/gbrowse/malus_x_domestica/?name=MDP0000793615","MDP0000793615")</f>
        <v>MDP0000793615</v>
      </c>
      <c r="D11055">
        <v>68.569999999999993</v>
      </c>
      <c r="E11055">
        <v>681</v>
      </c>
      <c r="F11055">
        <v>214</v>
      </c>
      <c r="G11055">
        <v>51</v>
      </c>
      <c r="H11055">
        <v>1</v>
      </c>
      <c r="I11055">
        <v>641</v>
      </c>
      <c r="J11055">
        <v>1</v>
      </c>
      <c r="K11055">
        <v>1</v>
      </c>
      <c r="L11055">
        <v>670</v>
      </c>
      <c r="M11055">
        <v>1</v>
      </c>
      <c r="N11055">
        <v>0</v>
      </c>
      <c r="O11055">
        <v>2249</v>
      </c>
    </row>
    <row r="11056" spans="1:15" x14ac:dyDescent="0.25">
      <c r="A11056" t="s">
        <v>11069</v>
      </c>
      <c r="B11056">
        <v>593</v>
      </c>
      <c r="C11056" s="1" t="str">
        <f>HYPERLINK("http://www.rosaceae.org/gb/gbrowse/malus_x_domestica/?name=MDP0000160372","MDP0000160372")</f>
        <v>MDP0000160372</v>
      </c>
      <c r="D11056">
        <v>78.72</v>
      </c>
      <c r="E11056">
        <v>47</v>
      </c>
      <c r="F11056">
        <v>10</v>
      </c>
      <c r="G11056">
        <v>1</v>
      </c>
      <c r="H11056">
        <v>13</v>
      </c>
      <c r="I11056">
        <v>59</v>
      </c>
      <c r="J11056">
        <v>1</v>
      </c>
      <c r="K11056">
        <v>109</v>
      </c>
      <c r="L11056">
        <v>154</v>
      </c>
      <c r="M11056">
        <v>1</v>
      </c>
      <c r="N11056">
        <v>1.07061E-12</v>
      </c>
      <c r="O11056">
        <v>177</v>
      </c>
    </row>
    <row r="11057" spans="1:15" x14ac:dyDescent="0.25">
      <c r="A11057" t="s">
        <v>11070</v>
      </c>
      <c r="B11057">
        <v>214</v>
      </c>
      <c r="C11057" s="1" t="str">
        <f>HYPERLINK("http://www.rosaceae.org/gb/gbrowse/malus_x_domestica/?name=MDP0000188957","MDP0000188957")</f>
        <v>MDP0000188957</v>
      </c>
      <c r="D11057">
        <v>69.150000000000006</v>
      </c>
      <c r="E11057">
        <v>201</v>
      </c>
      <c r="F11057">
        <v>62</v>
      </c>
      <c r="G11057">
        <v>1</v>
      </c>
      <c r="H11057">
        <v>3</v>
      </c>
      <c r="I11057">
        <v>202</v>
      </c>
      <c r="J11057">
        <v>1</v>
      </c>
      <c r="K11057">
        <v>76</v>
      </c>
      <c r="L11057">
        <v>276</v>
      </c>
      <c r="M11057">
        <v>1</v>
      </c>
      <c r="N11057">
        <v>4.5264800000000001E-82</v>
      </c>
      <c r="O11057">
        <v>770</v>
      </c>
    </row>
    <row r="11058" spans="1:15" x14ac:dyDescent="0.25">
      <c r="A11058" t="s">
        <v>11071</v>
      </c>
      <c r="B11058">
        <v>903</v>
      </c>
      <c r="C11058" s="1" t="str">
        <f>HYPERLINK("http://www.rosaceae.org/gb/gbrowse/malus_x_domestica/?name=MDP0000235734","MDP0000235734")</f>
        <v>MDP0000235734</v>
      </c>
      <c r="D11058">
        <v>63.4</v>
      </c>
      <c r="E11058">
        <v>839</v>
      </c>
      <c r="F11058">
        <v>307</v>
      </c>
      <c r="G11058">
        <v>44</v>
      </c>
      <c r="H11058">
        <v>69</v>
      </c>
      <c r="I11058">
        <v>903</v>
      </c>
      <c r="J11058">
        <v>1</v>
      </c>
      <c r="K11058">
        <v>3</v>
      </c>
      <c r="L11058">
        <v>801</v>
      </c>
      <c r="M11058">
        <v>1</v>
      </c>
      <c r="N11058">
        <v>0</v>
      </c>
      <c r="O11058">
        <v>2687</v>
      </c>
    </row>
    <row r="11059" spans="1:15" x14ac:dyDescent="0.25">
      <c r="A11059" t="s">
        <v>11072</v>
      </c>
      <c r="B11059">
        <v>325</v>
      </c>
      <c r="C11059" s="1" t="str">
        <f>HYPERLINK("http://www.rosaceae.org/gb/gbrowse/malus_x_domestica/?name=MDP0000233115","MDP0000233115")</f>
        <v>MDP0000233115</v>
      </c>
      <c r="D11059">
        <v>87.75</v>
      </c>
      <c r="E11059">
        <v>245</v>
      </c>
      <c r="F11059">
        <v>30</v>
      </c>
      <c r="G11059">
        <v>1</v>
      </c>
      <c r="H11059">
        <v>81</v>
      </c>
      <c r="I11059">
        <v>325</v>
      </c>
      <c r="J11059">
        <v>1</v>
      </c>
      <c r="K11059">
        <v>100</v>
      </c>
      <c r="L11059">
        <v>343</v>
      </c>
      <c r="M11059">
        <v>1</v>
      </c>
      <c r="N11059">
        <v>1.09203E-125</v>
      </c>
      <c r="O11059">
        <v>1148</v>
      </c>
    </row>
    <row r="11060" spans="1:15" x14ac:dyDescent="0.25">
      <c r="A11060" t="s">
        <v>11073</v>
      </c>
      <c r="B11060">
        <v>591</v>
      </c>
      <c r="C11060" s="1" t="str">
        <f>HYPERLINK("http://www.rosaceae.org/gb/gbrowse/malus_x_domestica/?name=MDP0000700245","MDP0000700245")</f>
        <v>MDP0000700245</v>
      </c>
      <c r="D11060">
        <v>32.869999999999997</v>
      </c>
      <c r="E11060">
        <v>587</v>
      </c>
      <c r="F11060">
        <v>394</v>
      </c>
      <c r="G11060">
        <v>144</v>
      </c>
      <c r="H11060">
        <v>43</v>
      </c>
      <c r="I11060">
        <v>547</v>
      </c>
      <c r="J11060">
        <v>1</v>
      </c>
      <c r="K11060">
        <v>80</v>
      </c>
      <c r="L11060">
        <v>604</v>
      </c>
      <c r="M11060">
        <v>1</v>
      </c>
      <c r="N11060">
        <v>1.2079100000000001E-42</v>
      </c>
      <c r="O11060">
        <v>435</v>
      </c>
    </row>
    <row r="11061" spans="1:15" x14ac:dyDescent="0.25">
      <c r="A11061" t="s">
        <v>11074</v>
      </c>
      <c r="B11061">
        <v>709</v>
      </c>
      <c r="C11061" s="1" t="str">
        <f>HYPERLINK("http://www.rosaceae.org/gb/gbrowse/malus_x_domestica/?name=MDP0000157686","MDP0000157686")</f>
        <v>MDP0000157686</v>
      </c>
      <c r="D11061">
        <v>64.87</v>
      </c>
      <c r="E11061">
        <v>726</v>
      </c>
      <c r="F11061">
        <v>255</v>
      </c>
      <c r="G11061">
        <v>30</v>
      </c>
      <c r="H11061">
        <v>1</v>
      </c>
      <c r="I11061">
        <v>708</v>
      </c>
      <c r="J11061">
        <v>1</v>
      </c>
      <c r="K11061">
        <v>1</v>
      </c>
      <c r="L11061">
        <v>714</v>
      </c>
      <c r="M11061">
        <v>1</v>
      </c>
      <c r="N11061">
        <v>0</v>
      </c>
      <c r="O11061">
        <v>2352</v>
      </c>
    </row>
    <row r="11062" spans="1:15" x14ac:dyDescent="0.25">
      <c r="A11062" t="s">
        <v>11075</v>
      </c>
      <c r="B11062">
        <v>169</v>
      </c>
      <c r="C11062" s="1" t="str">
        <f>HYPERLINK("http://www.rosaceae.org/gb/gbrowse/malus_x_domestica/?name=MDP0000468324","MDP0000468324")</f>
        <v>MDP0000468324</v>
      </c>
      <c r="D11062">
        <v>80.64</v>
      </c>
      <c r="E11062">
        <v>31</v>
      </c>
      <c r="F11062">
        <v>6</v>
      </c>
      <c r="G11062">
        <v>0</v>
      </c>
      <c r="H11062">
        <v>132</v>
      </c>
      <c r="I11062">
        <v>162</v>
      </c>
      <c r="J11062">
        <v>1</v>
      </c>
      <c r="K11062">
        <v>138</v>
      </c>
      <c r="L11062">
        <v>168</v>
      </c>
      <c r="M11062">
        <v>1</v>
      </c>
      <c r="N11062">
        <v>4.9757199999999999E-10</v>
      </c>
      <c r="O11062">
        <v>147</v>
      </c>
    </row>
    <row r="11063" spans="1:15" x14ac:dyDescent="0.25">
      <c r="A11063" t="s">
        <v>11076</v>
      </c>
      <c r="B11063">
        <v>512</v>
      </c>
      <c r="C11063" s="1" t="str">
        <f>HYPERLINK("http://www.rosaceae.org/gb/gbrowse/malus_x_domestica/?name=MDP0000124824","MDP0000124824")</f>
        <v>MDP0000124824</v>
      </c>
      <c r="D11063">
        <v>73.42</v>
      </c>
      <c r="E11063">
        <v>523</v>
      </c>
      <c r="F11063">
        <v>139</v>
      </c>
      <c r="G11063">
        <v>15</v>
      </c>
      <c r="H11063">
        <v>1</v>
      </c>
      <c r="I11063">
        <v>508</v>
      </c>
      <c r="J11063">
        <v>1</v>
      </c>
      <c r="K11063">
        <v>38</v>
      </c>
      <c r="L11063">
        <v>560</v>
      </c>
      <c r="M11063">
        <v>1</v>
      </c>
      <c r="N11063">
        <v>0</v>
      </c>
      <c r="O11063">
        <v>1964</v>
      </c>
    </row>
    <row r="11064" spans="1:15" x14ac:dyDescent="0.25">
      <c r="A11064" t="s">
        <v>11077</v>
      </c>
      <c r="B11064">
        <v>649</v>
      </c>
      <c r="C11064" s="1" t="str">
        <f>HYPERLINK("http://www.rosaceae.org/gb/gbrowse/malus_x_domestica/?name=MDP0000768445","MDP0000768445")</f>
        <v>MDP0000768445</v>
      </c>
      <c r="D11064">
        <v>59.07</v>
      </c>
      <c r="E11064">
        <v>667</v>
      </c>
      <c r="F11064">
        <v>273</v>
      </c>
      <c r="G11064">
        <v>56</v>
      </c>
      <c r="H11064">
        <v>1</v>
      </c>
      <c r="I11064">
        <v>649</v>
      </c>
      <c r="J11064">
        <v>1</v>
      </c>
      <c r="K11064">
        <v>1</v>
      </c>
      <c r="L11064">
        <v>629</v>
      </c>
      <c r="M11064">
        <v>1</v>
      </c>
      <c r="N11064">
        <v>0</v>
      </c>
      <c r="O11064">
        <v>1858</v>
      </c>
    </row>
    <row r="11065" spans="1:15" x14ac:dyDescent="0.25">
      <c r="A11065" t="s">
        <v>11078</v>
      </c>
      <c r="B11065">
        <v>673</v>
      </c>
      <c r="C11065" s="1" t="str">
        <f>HYPERLINK("http://www.rosaceae.org/gb/gbrowse/malus_x_domestica/?name=MDP0000288370","MDP0000288370")</f>
        <v>MDP0000288370</v>
      </c>
      <c r="D11065">
        <v>47.27</v>
      </c>
      <c r="E11065">
        <v>696</v>
      </c>
      <c r="F11065">
        <v>367</v>
      </c>
      <c r="G11065">
        <v>77</v>
      </c>
      <c r="H11065">
        <v>12</v>
      </c>
      <c r="I11065">
        <v>672</v>
      </c>
      <c r="J11065">
        <v>1</v>
      </c>
      <c r="K11065">
        <v>427</v>
      </c>
      <c r="L11065">
        <v>1080</v>
      </c>
      <c r="M11065">
        <v>1</v>
      </c>
      <c r="N11065">
        <v>8.8623800000000002E-166</v>
      </c>
      <c r="O11065">
        <v>1497</v>
      </c>
    </row>
    <row r="11066" spans="1:15" x14ac:dyDescent="0.25">
      <c r="A11066" t="s">
        <v>11079</v>
      </c>
      <c r="B11066">
        <v>448</v>
      </c>
      <c r="C11066" s="1" t="str">
        <f>HYPERLINK("http://www.rosaceae.org/gb/gbrowse/malus_x_domestica/?name=MDP0000296508","MDP0000296508")</f>
        <v>MDP0000296508</v>
      </c>
      <c r="D11066">
        <v>72.25</v>
      </c>
      <c r="E11066">
        <v>465</v>
      </c>
      <c r="F11066">
        <v>129</v>
      </c>
      <c r="G11066">
        <v>27</v>
      </c>
      <c r="H11066">
        <v>1</v>
      </c>
      <c r="I11066">
        <v>448</v>
      </c>
      <c r="J11066">
        <v>1</v>
      </c>
      <c r="K11066">
        <v>1</v>
      </c>
      <c r="L11066">
        <v>455</v>
      </c>
      <c r="M11066">
        <v>1</v>
      </c>
      <c r="N11066">
        <v>4.0412999999999997E-177</v>
      </c>
      <c r="O11066">
        <v>1593</v>
      </c>
    </row>
    <row r="11067" spans="1:15" x14ac:dyDescent="0.25">
      <c r="A11067" t="s">
        <v>11080</v>
      </c>
      <c r="B11067">
        <v>119</v>
      </c>
      <c r="C11067" s="1" t="str">
        <f>HYPERLINK("http://www.rosaceae.org/gb/gbrowse/malus_x_domestica/?name=MDP0000181895","MDP0000181895")</f>
        <v>MDP0000181895</v>
      </c>
      <c r="D11067">
        <v>49.51</v>
      </c>
      <c r="E11067">
        <v>103</v>
      </c>
      <c r="F11067">
        <v>52</v>
      </c>
      <c r="G11067">
        <v>2</v>
      </c>
      <c r="H11067">
        <v>14</v>
      </c>
      <c r="I11067">
        <v>116</v>
      </c>
      <c r="J11067">
        <v>1</v>
      </c>
      <c r="K11067">
        <v>619</v>
      </c>
      <c r="L11067">
        <v>719</v>
      </c>
      <c r="M11067">
        <v>1</v>
      </c>
      <c r="N11067">
        <v>2.90515E-24</v>
      </c>
      <c r="O11067">
        <v>267</v>
      </c>
    </row>
    <row r="11068" spans="1:15" x14ac:dyDescent="0.25">
      <c r="A11068" t="s">
        <v>11081</v>
      </c>
      <c r="B11068">
        <v>540</v>
      </c>
      <c r="C11068" s="1" t="str">
        <f>HYPERLINK("http://www.rosaceae.org/gb/gbrowse/malus_x_domestica/?name=MDP0000295452","MDP0000295452")</f>
        <v>MDP0000295452</v>
      </c>
      <c r="D11068">
        <v>55.02</v>
      </c>
      <c r="E11068">
        <v>547</v>
      </c>
      <c r="F11068">
        <v>246</v>
      </c>
      <c r="G11068">
        <v>33</v>
      </c>
      <c r="H11068">
        <v>19</v>
      </c>
      <c r="I11068">
        <v>538</v>
      </c>
      <c r="J11068">
        <v>1</v>
      </c>
      <c r="K11068">
        <v>48</v>
      </c>
      <c r="L11068">
        <v>588</v>
      </c>
      <c r="M11068">
        <v>1</v>
      </c>
      <c r="N11068">
        <v>1.2815100000000001E-164</v>
      </c>
      <c r="O11068">
        <v>1486</v>
      </c>
    </row>
    <row r="11069" spans="1:15" x14ac:dyDescent="0.25">
      <c r="A11069" t="s">
        <v>11082</v>
      </c>
      <c r="B11069">
        <v>170</v>
      </c>
      <c r="C11069" s="1" t="str">
        <f>HYPERLINK("http://www.rosaceae.org/gb/gbrowse/malus_x_domestica/?name=MDP0000172375","MDP0000172375")</f>
        <v>MDP0000172375</v>
      </c>
      <c r="D11069">
        <v>50</v>
      </c>
      <c r="E11069">
        <v>124</v>
      </c>
      <c r="F11069">
        <v>62</v>
      </c>
      <c r="G11069">
        <v>7</v>
      </c>
      <c r="H11069">
        <v>43</v>
      </c>
      <c r="I11069">
        <v>166</v>
      </c>
      <c r="J11069">
        <v>1</v>
      </c>
      <c r="K11069">
        <v>37</v>
      </c>
      <c r="L11069">
        <v>153</v>
      </c>
      <c r="M11069">
        <v>1</v>
      </c>
      <c r="N11069">
        <v>3.8463199999999999E-24</v>
      </c>
      <c r="O11069">
        <v>269</v>
      </c>
    </row>
    <row r="11070" spans="1:15" x14ac:dyDescent="0.25">
      <c r="A11070" t="s">
        <v>11083</v>
      </c>
      <c r="B11070">
        <v>505</v>
      </c>
      <c r="C11070" s="1" t="str">
        <f>HYPERLINK("http://www.rosaceae.org/gb/gbrowse/malus_x_domestica/?name=MDP0000282628","MDP0000282628")</f>
        <v>MDP0000282628</v>
      </c>
      <c r="D11070">
        <v>73.459999999999994</v>
      </c>
      <c r="E11070">
        <v>505</v>
      </c>
      <c r="F11070">
        <v>134</v>
      </c>
      <c r="G11070">
        <v>0</v>
      </c>
      <c r="H11070">
        <v>1</v>
      </c>
      <c r="I11070">
        <v>505</v>
      </c>
      <c r="J11070">
        <v>1</v>
      </c>
      <c r="K11070">
        <v>1</v>
      </c>
      <c r="L11070">
        <v>505</v>
      </c>
      <c r="M11070">
        <v>1</v>
      </c>
      <c r="N11070">
        <v>0</v>
      </c>
      <c r="O11070">
        <v>2008</v>
      </c>
    </row>
    <row r="11071" spans="1:15" x14ac:dyDescent="0.25">
      <c r="A11071" t="s">
        <v>11084</v>
      </c>
      <c r="B11071">
        <v>419</v>
      </c>
      <c r="C11071" s="1" t="str">
        <f>HYPERLINK("http://www.rosaceae.org/gb/gbrowse/malus_x_domestica/?name=MDP0000319941","MDP0000319941")</f>
        <v>MDP0000319941</v>
      </c>
      <c r="D11071">
        <v>48.57</v>
      </c>
      <c r="E11071">
        <v>455</v>
      </c>
      <c r="F11071">
        <v>234</v>
      </c>
      <c r="G11071">
        <v>95</v>
      </c>
      <c r="H11071">
        <v>1</v>
      </c>
      <c r="I11071">
        <v>416</v>
      </c>
      <c r="J11071">
        <v>1</v>
      </c>
      <c r="K11071">
        <v>3</v>
      </c>
      <c r="L11071">
        <v>401</v>
      </c>
      <c r="M11071">
        <v>1</v>
      </c>
      <c r="N11071">
        <v>2.5605900000000001E-87</v>
      </c>
      <c r="O11071">
        <v>819</v>
      </c>
    </row>
    <row r="11072" spans="1:15" x14ac:dyDescent="0.25">
      <c r="A11072" t="s">
        <v>11085</v>
      </c>
      <c r="B11072">
        <v>352</v>
      </c>
      <c r="C11072" s="1" t="str">
        <f>HYPERLINK("http://www.rosaceae.org/gb/gbrowse/malus_x_domestica/?name=MDP0000700517","MDP0000700517")</f>
        <v>MDP0000700517</v>
      </c>
      <c r="D11072">
        <v>35.29</v>
      </c>
      <c r="E11072">
        <v>136</v>
      </c>
      <c r="F11072">
        <v>88</v>
      </c>
      <c r="G11072">
        <v>10</v>
      </c>
      <c r="H11072">
        <v>97</v>
      </c>
      <c r="I11072">
        <v>225</v>
      </c>
      <c r="J11072">
        <v>1</v>
      </c>
      <c r="K11072">
        <v>245</v>
      </c>
      <c r="L11072">
        <v>377</v>
      </c>
      <c r="M11072">
        <v>1</v>
      </c>
      <c r="N11072">
        <v>5.9792100000000005E-11</v>
      </c>
      <c r="O11072">
        <v>159</v>
      </c>
    </row>
    <row r="11073" spans="1:15" x14ac:dyDescent="0.25">
      <c r="A11073" t="s">
        <v>11086</v>
      </c>
      <c r="B11073">
        <v>273</v>
      </c>
      <c r="C11073" s="1" t="str">
        <f>HYPERLINK("http://www.rosaceae.org/gb/gbrowse/malus_x_domestica/?name=MDP0000248712","MDP0000248712")</f>
        <v>MDP0000248712</v>
      </c>
      <c r="D11073">
        <v>84.57</v>
      </c>
      <c r="E11073">
        <v>188</v>
      </c>
      <c r="F11073">
        <v>29</v>
      </c>
      <c r="G11073">
        <v>0</v>
      </c>
      <c r="H11073">
        <v>47</v>
      </c>
      <c r="I11073">
        <v>234</v>
      </c>
      <c r="J11073">
        <v>1</v>
      </c>
      <c r="K11073">
        <v>82</v>
      </c>
      <c r="L11073">
        <v>269</v>
      </c>
      <c r="M11073">
        <v>1</v>
      </c>
      <c r="N11073">
        <v>9.8190200000000005E-94</v>
      </c>
      <c r="O11073">
        <v>872</v>
      </c>
    </row>
    <row r="11074" spans="1:15" x14ac:dyDescent="0.25">
      <c r="A11074" t="s">
        <v>11087</v>
      </c>
      <c r="B11074">
        <v>298</v>
      </c>
      <c r="C11074" s="1" t="str">
        <f>HYPERLINK("http://www.rosaceae.org/gb/gbrowse/malus_x_domestica/?name=MDP0000286006","MDP0000286006")</f>
        <v>MDP0000286006</v>
      </c>
      <c r="D11074">
        <v>28.72</v>
      </c>
      <c r="E11074">
        <v>188</v>
      </c>
      <c r="F11074">
        <v>134</v>
      </c>
      <c r="G11074">
        <v>29</v>
      </c>
      <c r="H11074">
        <v>87</v>
      </c>
      <c r="I11074">
        <v>273</v>
      </c>
      <c r="J11074">
        <v>1</v>
      </c>
      <c r="K11074">
        <v>143</v>
      </c>
      <c r="L11074">
        <v>302</v>
      </c>
      <c r="M11074">
        <v>1</v>
      </c>
      <c r="N11074">
        <v>1.8524299999999999E-13</v>
      </c>
      <c r="O11074">
        <v>180</v>
      </c>
    </row>
    <row r="11075" spans="1:15" x14ac:dyDescent="0.25">
      <c r="A11075" t="s">
        <v>11088</v>
      </c>
      <c r="B11075">
        <v>581</v>
      </c>
      <c r="C11075" s="1" t="str">
        <f>HYPERLINK("http://www.rosaceae.org/gb/gbrowse/malus_x_domestica/?name=MDP0000860211","MDP0000860211")</f>
        <v>MDP0000860211</v>
      </c>
      <c r="D11075">
        <v>33.659999999999997</v>
      </c>
      <c r="E11075">
        <v>199</v>
      </c>
      <c r="F11075">
        <v>132</v>
      </c>
      <c r="G11075">
        <v>16</v>
      </c>
      <c r="H11075">
        <v>150</v>
      </c>
      <c r="I11075">
        <v>346</v>
      </c>
      <c r="J11075">
        <v>1</v>
      </c>
      <c r="K11075">
        <v>86</v>
      </c>
      <c r="L11075">
        <v>270</v>
      </c>
      <c r="M11075">
        <v>1</v>
      </c>
      <c r="N11075">
        <v>1.4323500000000001E-15</v>
      </c>
      <c r="O11075">
        <v>201</v>
      </c>
    </row>
    <row r="11076" spans="1:15" x14ac:dyDescent="0.25">
      <c r="A11076" t="s">
        <v>11089</v>
      </c>
      <c r="B11076">
        <v>89</v>
      </c>
      <c r="C11076" s="1" t="str">
        <f>HYPERLINK("http://www.rosaceae.org/gb/gbrowse/malus_x_domestica/?name=MDP0000247249","MDP0000247249")</f>
        <v>MDP0000247249</v>
      </c>
      <c r="D11076">
        <v>81.569999999999993</v>
      </c>
      <c r="E11076">
        <v>38</v>
      </c>
      <c r="F11076">
        <v>7</v>
      </c>
      <c r="G11076">
        <v>0</v>
      </c>
      <c r="H11076">
        <v>2</v>
      </c>
      <c r="I11076">
        <v>39</v>
      </c>
      <c r="J11076">
        <v>1</v>
      </c>
      <c r="K11076">
        <v>168</v>
      </c>
      <c r="L11076">
        <v>205</v>
      </c>
      <c r="M11076">
        <v>1</v>
      </c>
      <c r="N11076">
        <v>3.0754700000000001E-14</v>
      </c>
      <c r="O11076">
        <v>180</v>
      </c>
    </row>
    <row r="11077" spans="1:15" x14ac:dyDescent="0.25">
      <c r="A11077" t="s">
        <v>11090</v>
      </c>
      <c r="B11077">
        <v>172</v>
      </c>
      <c r="C11077" s="1" t="str">
        <f>HYPERLINK("http://www.rosaceae.org/gb/gbrowse/malus_x_domestica/?name=MDP0000226301","MDP0000226301")</f>
        <v>MDP0000226301</v>
      </c>
      <c r="D11077">
        <v>45.37</v>
      </c>
      <c r="E11077">
        <v>108</v>
      </c>
      <c r="F11077">
        <v>59</v>
      </c>
      <c r="G11077">
        <v>11</v>
      </c>
      <c r="H11077">
        <v>1</v>
      </c>
      <c r="I11077">
        <v>97</v>
      </c>
      <c r="J11077">
        <v>1</v>
      </c>
      <c r="K11077">
        <v>1</v>
      </c>
      <c r="L11077">
        <v>108</v>
      </c>
      <c r="M11077">
        <v>1</v>
      </c>
      <c r="N11077">
        <v>3.6195599999999999E-9</v>
      </c>
      <c r="O11077">
        <v>140</v>
      </c>
    </row>
    <row r="11078" spans="1:15" x14ac:dyDescent="0.25">
      <c r="A11078" t="s">
        <v>11091</v>
      </c>
      <c r="B11078">
        <v>429</v>
      </c>
      <c r="C11078" s="1" t="str">
        <f>HYPERLINK("http://www.rosaceae.org/gb/gbrowse/malus_x_domestica/?name=MDP0000235326","MDP0000235326")</f>
        <v>MDP0000235326</v>
      </c>
      <c r="D11078">
        <v>31.31</v>
      </c>
      <c r="E11078">
        <v>198</v>
      </c>
      <c r="F11078">
        <v>136</v>
      </c>
      <c r="G11078">
        <v>31</v>
      </c>
      <c r="H11078">
        <v>88</v>
      </c>
      <c r="I11078">
        <v>276</v>
      </c>
      <c r="J11078">
        <v>1</v>
      </c>
      <c r="K11078">
        <v>16</v>
      </c>
      <c r="L11078">
        <v>191</v>
      </c>
      <c r="M11078">
        <v>1</v>
      </c>
      <c r="N11078">
        <v>1.66445E-12</v>
      </c>
      <c r="O11078">
        <v>174</v>
      </c>
    </row>
    <row r="11079" spans="1:15" x14ac:dyDescent="0.25">
      <c r="A11079" t="s">
        <v>11092</v>
      </c>
      <c r="B11079">
        <v>263</v>
      </c>
      <c r="C11079" s="1" t="str">
        <f>HYPERLINK("http://www.rosaceae.org/gb/gbrowse/malus_x_domestica/?name=MDP0000419029","MDP0000419029")</f>
        <v>MDP0000419029</v>
      </c>
      <c r="D11079">
        <v>80.150000000000006</v>
      </c>
      <c r="E11079">
        <v>262</v>
      </c>
      <c r="F11079">
        <v>52</v>
      </c>
      <c r="G11079">
        <v>3</v>
      </c>
      <c r="H11079">
        <v>1</v>
      </c>
      <c r="I11079">
        <v>259</v>
      </c>
      <c r="J11079">
        <v>1</v>
      </c>
      <c r="K11079">
        <v>9</v>
      </c>
      <c r="L11079">
        <v>270</v>
      </c>
      <c r="M11079">
        <v>1</v>
      </c>
      <c r="N11079">
        <v>1.1601200000000001E-121</v>
      </c>
      <c r="O11079">
        <v>1112</v>
      </c>
    </row>
    <row r="11080" spans="1:15" x14ac:dyDescent="0.25">
      <c r="A11080" t="s">
        <v>11093</v>
      </c>
      <c r="B11080">
        <v>191</v>
      </c>
      <c r="C11080" s="1" t="str">
        <f>HYPERLINK("http://www.rosaceae.org/gb/gbrowse/malus_x_domestica/?name=MDP0000267409","MDP0000267409")</f>
        <v>MDP0000267409</v>
      </c>
      <c r="D11080">
        <v>45.74</v>
      </c>
      <c r="E11080">
        <v>188</v>
      </c>
      <c r="F11080">
        <v>102</v>
      </c>
      <c r="G11080">
        <v>4</v>
      </c>
      <c r="H11080">
        <v>3</v>
      </c>
      <c r="I11080">
        <v>189</v>
      </c>
      <c r="J11080">
        <v>1</v>
      </c>
      <c r="K11080">
        <v>813</v>
      </c>
      <c r="L11080">
        <v>997</v>
      </c>
      <c r="M11080">
        <v>1</v>
      </c>
      <c r="N11080">
        <v>6.2385700000000003E-40</v>
      </c>
      <c r="O11080">
        <v>406</v>
      </c>
    </row>
    <row r="11081" spans="1:15" x14ac:dyDescent="0.25">
      <c r="A11081" t="s">
        <v>11094</v>
      </c>
      <c r="B11081">
        <v>266</v>
      </c>
      <c r="C11081" s="1" t="str">
        <f>HYPERLINK("http://www.rosaceae.org/gb/gbrowse/malus_x_domestica/?name=MDP0000279304","MDP0000279304")</f>
        <v>MDP0000279304</v>
      </c>
      <c r="D11081">
        <v>55.84</v>
      </c>
      <c r="E11081">
        <v>265</v>
      </c>
      <c r="F11081">
        <v>117</v>
      </c>
      <c r="G11081">
        <v>13</v>
      </c>
      <c r="H11081">
        <v>13</v>
      </c>
      <c r="I11081">
        <v>266</v>
      </c>
      <c r="J11081">
        <v>1</v>
      </c>
      <c r="K11081">
        <v>121</v>
      </c>
      <c r="L11081">
        <v>383</v>
      </c>
      <c r="M11081">
        <v>1</v>
      </c>
      <c r="N11081">
        <v>4.03942E-78</v>
      </c>
      <c r="O11081">
        <v>737</v>
      </c>
    </row>
    <row r="11082" spans="1:15" x14ac:dyDescent="0.25">
      <c r="A11082" t="s">
        <v>11095</v>
      </c>
      <c r="B11082">
        <v>575</v>
      </c>
      <c r="C11082" s="1" t="str">
        <f>HYPERLINK("http://www.rosaceae.org/gb/gbrowse/malus_x_domestica/?name=MDP0000155922","MDP0000155922")</f>
        <v>MDP0000155922</v>
      </c>
      <c r="D11082">
        <v>62.76</v>
      </c>
      <c r="E11082">
        <v>94</v>
      </c>
      <c r="F11082">
        <v>35</v>
      </c>
      <c r="G11082">
        <v>1</v>
      </c>
      <c r="H11082">
        <v>1</v>
      </c>
      <c r="I11082">
        <v>93</v>
      </c>
      <c r="J11082">
        <v>1</v>
      </c>
      <c r="K11082">
        <v>278</v>
      </c>
      <c r="L11082">
        <v>371</v>
      </c>
      <c r="M11082">
        <v>1</v>
      </c>
      <c r="N11082">
        <v>7.6113299999999995E-23</v>
      </c>
      <c r="O11082">
        <v>264</v>
      </c>
    </row>
    <row r="11083" spans="1:15" x14ac:dyDescent="0.25">
      <c r="A11083" t="s">
        <v>11096</v>
      </c>
      <c r="B11083">
        <v>378</v>
      </c>
      <c r="C11083" s="1" t="str">
        <f>HYPERLINK("http://www.rosaceae.org/gb/gbrowse/malus_x_domestica/?name=MDP0000240122","MDP0000240122")</f>
        <v>MDP0000240122</v>
      </c>
      <c r="D11083">
        <v>53.63</v>
      </c>
      <c r="E11083">
        <v>330</v>
      </c>
      <c r="F11083">
        <v>153</v>
      </c>
      <c r="G11083">
        <v>46</v>
      </c>
      <c r="H11083">
        <v>7</v>
      </c>
      <c r="I11083">
        <v>292</v>
      </c>
      <c r="J11083">
        <v>1</v>
      </c>
      <c r="K11083">
        <v>127</v>
      </c>
      <c r="L11083">
        <v>454</v>
      </c>
      <c r="M11083">
        <v>1</v>
      </c>
      <c r="N11083">
        <v>4.2606900000000001E-88</v>
      </c>
      <c r="O11083">
        <v>825</v>
      </c>
    </row>
    <row r="11084" spans="1:15" x14ac:dyDescent="0.25">
      <c r="A11084" t="s">
        <v>11097</v>
      </c>
      <c r="B11084">
        <v>354</v>
      </c>
      <c r="C11084" s="1" t="str">
        <f>HYPERLINK("http://www.rosaceae.org/gb/gbrowse/malus_x_domestica/?name=MDP0000169335","MDP0000169335")</f>
        <v>MDP0000169335</v>
      </c>
      <c r="D11084">
        <v>77.14</v>
      </c>
      <c r="E11084">
        <v>175</v>
      </c>
      <c r="F11084">
        <v>40</v>
      </c>
      <c r="G11084">
        <v>0</v>
      </c>
      <c r="H11084">
        <v>70</v>
      </c>
      <c r="I11084">
        <v>244</v>
      </c>
      <c r="J11084">
        <v>1</v>
      </c>
      <c r="K11084">
        <v>71</v>
      </c>
      <c r="L11084">
        <v>245</v>
      </c>
      <c r="M11084">
        <v>1</v>
      </c>
      <c r="N11084">
        <v>1.5709999999999999E-75</v>
      </c>
      <c r="O11084">
        <v>716</v>
      </c>
    </row>
    <row r="11085" spans="1:15" x14ac:dyDescent="0.25">
      <c r="A11085" t="s">
        <v>11098</v>
      </c>
      <c r="B11085">
        <v>409</v>
      </c>
      <c r="C11085" s="1" t="str">
        <f>HYPERLINK("http://www.rosaceae.org/gb/gbrowse/malus_x_domestica/?name=MDP0000216231","MDP0000216231")</f>
        <v>MDP0000216231</v>
      </c>
      <c r="D11085">
        <v>62.02</v>
      </c>
      <c r="E11085">
        <v>316</v>
      </c>
      <c r="F11085">
        <v>120</v>
      </c>
      <c r="G11085">
        <v>14</v>
      </c>
      <c r="H11085">
        <v>71</v>
      </c>
      <c r="I11085">
        <v>378</v>
      </c>
      <c r="J11085">
        <v>1</v>
      </c>
      <c r="K11085">
        <v>65</v>
      </c>
      <c r="L11085">
        <v>374</v>
      </c>
      <c r="M11085">
        <v>1</v>
      </c>
      <c r="N11085">
        <v>2.2757300000000001E-94</v>
      </c>
      <c r="O11085">
        <v>879</v>
      </c>
    </row>
    <row r="11086" spans="1:15" x14ac:dyDescent="0.25">
      <c r="A11086" t="s">
        <v>11099</v>
      </c>
      <c r="B11086">
        <v>1650</v>
      </c>
      <c r="C11086" s="1" t="str">
        <f>HYPERLINK("http://www.rosaceae.org/gb/gbrowse/malus_x_domestica/?name=MDP0000237840","MDP0000237840")</f>
        <v>MDP0000237840</v>
      </c>
      <c r="D11086">
        <v>40.14</v>
      </c>
      <c r="E11086">
        <v>700</v>
      </c>
      <c r="F11086">
        <v>419</v>
      </c>
      <c r="G11086">
        <v>115</v>
      </c>
      <c r="H11086">
        <v>346</v>
      </c>
      <c r="I11086">
        <v>1026</v>
      </c>
      <c r="J11086">
        <v>1</v>
      </c>
      <c r="K11086">
        <v>429</v>
      </c>
      <c r="L11086">
        <v>1032</v>
      </c>
      <c r="M11086">
        <v>1</v>
      </c>
      <c r="N11086">
        <v>4.0078299999999999E-135</v>
      </c>
      <c r="O11086">
        <v>1237</v>
      </c>
    </row>
    <row r="11087" spans="1:15" x14ac:dyDescent="0.25">
      <c r="A11087" t="s">
        <v>11100</v>
      </c>
      <c r="B11087">
        <v>1148</v>
      </c>
      <c r="C11087" s="1" t="str">
        <f>HYPERLINK("http://www.rosaceae.org/gb/gbrowse/malus_x_domestica/?name=MDP0000640130","MDP0000640130")</f>
        <v>MDP0000640130</v>
      </c>
      <c r="D11087">
        <v>69.78</v>
      </c>
      <c r="E11087">
        <v>662</v>
      </c>
      <c r="F11087">
        <v>200</v>
      </c>
      <c r="G11087">
        <v>25</v>
      </c>
      <c r="H11087">
        <v>511</v>
      </c>
      <c r="I11087">
        <v>1148</v>
      </c>
      <c r="J11087">
        <v>1</v>
      </c>
      <c r="K11087">
        <v>1</v>
      </c>
      <c r="L11087">
        <v>661</v>
      </c>
      <c r="M11087">
        <v>1</v>
      </c>
      <c r="N11087">
        <v>0</v>
      </c>
      <c r="O11087">
        <v>2254</v>
      </c>
    </row>
    <row r="11088" spans="1:15" x14ac:dyDescent="0.25">
      <c r="A11088" t="s">
        <v>11101</v>
      </c>
      <c r="B11088">
        <v>196</v>
      </c>
      <c r="C11088" s="1" t="str">
        <f>HYPERLINK("http://www.rosaceae.org/gb/gbrowse/malus_x_domestica/?name=MDP0000532838","MDP0000532838")</f>
        <v>MDP0000532838</v>
      </c>
      <c r="D11088">
        <v>83.5</v>
      </c>
      <c r="E11088">
        <v>97</v>
      </c>
      <c r="F11088">
        <v>16</v>
      </c>
      <c r="G11088">
        <v>0</v>
      </c>
      <c r="H11088">
        <v>29</v>
      </c>
      <c r="I11088">
        <v>125</v>
      </c>
      <c r="J11088">
        <v>1</v>
      </c>
      <c r="K11088">
        <v>29</v>
      </c>
      <c r="L11088">
        <v>125</v>
      </c>
      <c r="M11088">
        <v>1</v>
      </c>
      <c r="N11088">
        <v>1.6593100000000001E-40</v>
      </c>
      <c r="O11088">
        <v>411</v>
      </c>
    </row>
    <row r="11089" spans="1:15" x14ac:dyDescent="0.25">
      <c r="A11089" t="s">
        <v>11102</v>
      </c>
      <c r="B11089">
        <v>350</v>
      </c>
      <c r="C11089" s="1" t="str">
        <f>HYPERLINK("http://www.rosaceae.org/gb/gbrowse/malus_x_domestica/?name=MDP0000241635","MDP0000241635")</f>
        <v>MDP0000241635</v>
      </c>
      <c r="D11089">
        <v>53.07</v>
      </c>
      <c r="E11089">
        <v>407</v>
      </c>
      <c r="F11089">
        <v>191</v>
      </c>
      <c r="G11089">
        <v>57</v>
      </c>
      <c r="H11089">
        <v>1</v>
      </c>
      <c r="I11089">
        <v>350</v>
      </c>
      <c r="J11089">
        <v>1</v>
      </c>
      <c r="K11089">
        <v>58</v>
      </c>
      <c r="L11089">
        <v>464</v>
      </c>
      <c r="M11089">
        <v>1</v>
      </c>
      <c r="N11089">
        <v>2.1724400000000001E-108</v>
      </c>
      <c r="O11089">
        <v>1000</v>
      </c>
    </row>
    <row r="11090" spans="1:15" x14ac:dyDescent="0.25">
      <c r="A11090" t="s">
        <v>11103</v>
      </c>
      <c r="B11090">
        <v>682</v>
      </c>
      <c r="C11090" s="1" t="str">
        <f>HYPERLINK("http://www.rosaceae.org/gb/gbrowse/malus_x_domestica/?name=MDP0000676644","MDP0000676644")</f>
        <v>MDP0000676644</v>
      </c>
      <c r="D11090">
        <v>75.069999999999993</v>
      </c>
      <c r="E11090">
        <v>682</v>
      </c>
      <c r="F11090">
        <v>170</v>
      </c>
      <c r="G11090">
        <v>1</v>
      </c>
      <c r="H11090">
        <v>1</v>
      </c>
      <c r="I11090">
        <v>682</v>
      </c>
      <c r="J11090">
        <v>1</v>
      </c>
      <c r="K11090">
        <v>1</v>
      </c>
      <c r="L11090">
        <v>681</v>
      </c>
      <c r="M11090">
        <v>1</v>
      </c>
      <c r="N11090">
        <v>0</v>
      </c>
      <c r="O11090">
        <v>2765</v>
      </c>
    </row>
    <row r="11091" spans="1:15" x14ac:dyDescent="0.25">
      <c r="A11091" t="s">
        <v>11104</v>
      </c>
      <c r="B11091">
        <v>486</v>
      </c>
      <c r="C11091" s="1" t="str">
        <f>HYPERLINK("http://www.rosaceae.org/gb/gbrowse/malus_x_domestica/?name=MDP0000707034","MDP0000707034")</f>
        <v>MDP0000707034</v>
      </c>
      <c r="D11091">
        <v>70.78</v>
      </c>
      <c r="E11091">
        <v>486</v>
      </c>
      <c r="F11091">
        <v>142</v>
      </c>
      <c r="G11091">
        <v>41</v>
      </c>
      <c r="H11091">
        <v>1</v>
      </c>
      <c r="I11091">
        <v>486</v>
      </c>
      <c r="J11091">
        <v>1</v>
      </c>
      <c r="K11091">
        <v>1</v>
      </c>
      <c r="L11091">
        <v>445</v>
      </c>
      <c r="M11091">
        <v>1</v>
      </c>
      <c r="N11091">
        <v>0</v>
      </c>
      <c r="O11091">
        <v>1704</v>
      </c>
    </row>
    <row r="11092" spans="1:15" x14ac:dyDescent="0.25">
      <c r="A11092" t="s">
        <v>11105</v>
      </c>
      <c r="B11092">
        <v>171</v>
      </c>
      <c r="C11092" s="1" t="str">
        <f>HYPERLINK("http://www.rosaceae.org/gb/gbrowse/malus_x_domestica/?name=MDP0000279461","MDP0000279461")</f>
        <v>MDP0000279461</v>
      </c>
      <c r="D11092">
        <v>68.5</v>
      </c>
      <c r="E11092">
        <v>127</v>
      </c>
      <c r="F11092">
        <v>40</v>
      </c>
      <c r="G11092">
        <v>20</v>
      </c>
      <c r="H11092">
        <v>45</v>
      </c>
      <c r="I11092">
        <v>154</v>
      </c>
      <c r="J11092">
        <v>1</v>
      </c>
      <c r="K11092">
        <v>1004</v>
      </c>
      <c r="L11092">
        <v>1127</v>
      </c>
      <c r="M11092">
        <v>1</v>
      </c>
      <c r="N11092">
        <v>2.0060499999999998E-42</v>
      </c>
      <c r="O11092">
        <v>426</v>
      </c>
    </row>
    <row r="11093" spans="1:15" x14ac:dyDescent="0.25">
      <c r="A11093" t="s">
        <v>11106</v>
      </c>
      <c r="B11093">
        <v>983</v>
      </c>
      <c r="C11093" s="1" t="str">
        <f>HYPERLINK("http://www.rosaceae.org/gb/gbrowse/malus_x_domestica/?name=MDP0000281414","MDP0000281414")</f>
        <v>MDP0000281414</v>
      </c>
      <c r="D11093">
        <v>72.900000000000006</v>
      </c>
      <c r="E11093">
        <v>978</v>
      </c>
      <c r="F11093">
        <v>265</v>
      </c>
      <c r="G11093">
        <v>55</v>
      </c>
      <c r="H11093">
        <v>1</v>
      </c>
      <c r="I11093">
        <v>970</v>
      </c>
      <c r="J11093">
        <v>1</v>
      </c>
      <c r="K11093">
        <v>1</v>
      </c>
      <c r="L11093">
        <v>931</v>
      </c>
      <c r="M11093">
        <v>1</v>
      </c>
      <c r="N11093">
        <v>0</v>
      </c>
      <c r="O11093">
        <v>3747</v>
      </c>
    </row>
    <row r="11094" spans="1:15" x14ac:dyDescent="0.25">
      <c r="A11094" t="s">
        <v>11107</v>
      </c>
      <c r="B11094">
        <v>279</v>
      </c>
      <c r="C11094" s="1" t="str">
        <f>HYPERLINK("http://www.rosaceae.org/gb/gbrowse/malus_x_domestica/?name=MDP0000311156","MDP0000311156")</f>
        <v>MDP0000311156</v>
      </c>
      <c r="D11094">
        <v>91.66</v>
      </c>
      <c r="E11094">
        <v>108</v>
      </c>
      <c r="F11094">
        <v>9</v>
      </c>
      <c r="G11094">
        <v>0</v>
      </c>
      <c r="H11094">
        <v>130</v>
      </c>
      <c r="I11094">
        <v>237</v>
      </c>
      <c r="J11094">
        <v>1</v>
      </c>
      <c r="K11094">
        <v>245</v>
      </c>
      <c r="L11094">
        <v>352</v>
      </c>
      <c r="M11094">
        <v>1</v>
      </c>
      <c r="N11094">
        <v>3.1706399999999998E-54</v>
      </c>
      <c r="O11094">
        <v>531</v>
      </c>
    </row>
    <row r="11095" spans="1:15" x14ac:dyDescent="0.25">
      <c r="A11095" t="s">
        <v>11108</v>
      </c>
      <c r="B11095">
        <v>400</v>
      </c>
      <c r="C11095" s="1" t="str">
        <f>HYPERLINK("http://www.rosaceae.org/gb/gbrowse/malus_x_domestica/?name=MDP0000320772","MDP0000320772")</f>
        <v>MDP0000320772</v>
      </c>
      <c r="D11095">
        <v>71.010000000000005</v>
      </c>
      <c r="E11095">
        <v>138</v>
      </c>
      <c r="F11095">
        <v>40</v>
      </c>
      <c r="G11095">
        <v>14</v>
      </c>
      <c r="H11095">
        <v>1</v>
      </c>
      <c r="I11095">
        <v>138</v>
      </c>
      <c r="J11095">
        <v>1</v>
      </c>
      <c r="K11095">
        <v>1</v>
      </c>
      <c r="L11095">
        <v>124</v>
      </c>
      <c r="M11095">
        <v>1</v>
      </c>
      <c r="N11095">
        <v>4.5375300000000001E-56</v>
      </c>
      <c r="O11095">
        <v>549</v>
      </c>
    </row>
    <row r="11096" spans="1:15" x14ac:dyDescent="0.25">
      <c r="A11096" t="s">
        <v>11109</v>
      </c>
      <c r="B11096">
        <v>69</v>
      </c>
      <c r="C11096" s="1" t="str">
        <f>HYPERLINK("http://www.rosaceae.org/gb/gbrowse/malus_x_domestica/?name=MDP0000674793","MDP0000674793")</f>
        <v>MDP0000674793</v>
      </c>
      <c r="D11096">
        <v>55.88</v>
      </c>
      <c r="E11096">
        <v>68</v>
      </c>
      <c r="F11096">
        <v>30</v>
      </c>
      <c r="G11096">
        <v>0</v>
      </c>
      <c r="H11096">
        <v>1</v>
      </c>
      <c r="I11096">
        <v>68</v>
      </c>
      <c r="J11096">
        <v>1</v>
      </c>
      <c r="K11096">
        <v>1</v>
      </c>
      <c r="L11096">
        <v>68</v>
      </c>
      <c r="M11096">
        <v>1</v>
      </c>
      <c r="N11096">
        <v>1.01683E-16</v>
      </c>
      <c r="O11096">
        <v>202</v>
      </c>
    </row>
    <row r="11097" spans="1:15" x14ac:dyDescent="0.25">
      <c r="A11097" t="s">
        <v>11110</v>
      </c>
      <c r="B11097">
        <v>421</v>
      </c>
      <c r="C11097" s="1" t="str">
        <f>HYPERLINK("http://www.rosaceae.org/gb/gbrowse/malus_x_domestica/?name=MDP0000363804","MDP0000363804")</f>
        <v>MDP0000363804</v>
      </c>
      <c r="D11097">
        <v>75.59</v>
      </c>
      <c r="E11097">
        <v>254</v>
      </c>
      <c r="F11097">
        <v>62</v>
      </c>
      <c r="G11097">
        <v>11</v>
      </c>
      <c r="H11097">
        <v>67</v>
      </c>
      <c r="I11097">
        <v>309</v>
      </c>
      <c r="J11097">
        <v>1</v>
      </c>
      <c r="K11097">
        <v>3</v>
      </c>
      <c r="L11097">
        <v>256</v>
      </c>
      <c r="M11097">
        <v>1</v>
      </c>
      <c r="N11097">
        <v>9.4298899999999994E-102</v>
      </c>
      <c r="O11097">
        <v>943</v>
      </c>
    </row>
    <row r="11098" spans="1:15" x14ac:dyDescent="0.25">
      <c r="A11098" t="s">
        <v>11111</v>
      </c>
      <c r="B11098">
        <v>288</v>
      </c>
      <c r="C11098" s="1" t="str">
        <f>HYPERLINK("http://www.rosaceae.org/gb/gbrowse/malus_x_domestica/?name=MDP0000171771","MDP0000171771")</f>
        <v>MDP0000171771</v>
      </c>
      <c r="D11098">
        <v>28.57</v>
      </c>
      <c r="E11098">
        <v>189</v>
      </c>
      <c r="F11098">
        <v>135</v>
      </c>
      <c r="G11098">
        <v>31</v>
      </c>
      <c r="H11098">
        <v>27</v>
      </c>
      <c r="I11098">
        <v>201</v>
      </c>
      <c r="J11098">
        <v>1</v>
      </c>
      <c r="K11098">
        <v>31</v>
      </c>
      <c r="L11098">
        <v>202</v>
      </c>
      <c r="M11098">
        <v>1</v>
      </c>
      <c r="N11098">
        <v>2.2779199999999997E-13</v>
      </c>
      <c r="O11098">
        <v>179</v>
      </c>
    </row>
    <row r="11099" spans="1:15" x14ac:dyDescent="0.25">
      <c r="A11099" t="s">
        <v>11112</v>
      </c>
      <c r="B11099">
        <v>568</v>
      </c>
      <c r="C11099" s="1" t="str">
        <f>HYPERLINK("http://www.rosaceae.org/gb/gbrowse/malus_x_domestica/?name=MDP0000679625","MDP0000679625")</f>
        <v>MDP0000679625</v>
      </c>
      <c r="D11099">
        <v>75.7</v>
      </c>
      <c r="E11099">
        <v>535</v>
      </c>
      <c r="F11099">
        <v>130</v>
      </c>
      <c r="G11099">
        <v>3</v>
      </c>
      <c r="H11099">
        <v>34</v>
      </c>
      <c r="I11099">
        <v>568</v>
      </c>
      <c r="J11099">
        <v>1</v>
      </c>
      <c r="K11099">
        <v>38</v>
      </c>
      <c r="L11099">
        <v>569</v>
      </c>
      <c r="M11099">
        <v>1</v>
      </c>
      <c r="N11099">
        <v>0</v>
      </c>
      <c r="O11099">
        <v>1999</v>
      </c>
    </row>
    <row r="11100" spans="1:15" x14ac:dyDescent="0.25">
      <c r="A11100" t="s">
        <v>11113</v>
      </c>
      <c r="B11100">
        <v>863</v>
      </c>
      <c r="C11100" s="1" t="str">
        <f>HYPERLINK("http://www.rosaceae.org/gb/gbrowse/malus_x_domestica/?name=MDP0000302250","MDP0000302250")</f>
        <v>MDP0000302250</v>
      </c>
      <c r="D11100">
        <v>74.37</v>
      </c>
      <c r="E11100">
        <v>765</v>
      </c>
      <c r="F11100">
        <v>196</v>
      </c>
      <c r="G11100">
        <v>12</v>
      </c>
      <c r="H11100">
        <v>105</v>
      </c>
      <c r="I11100">
        <v>863</v>
      </c>
      <c r="J11100">
        <v>1</v>
      </c>
      <c r="K11100">
        <v>70</v>
      </c>
      <c r="L11100">
        <v>828</v>
      </c>
      <c r="M11100">
        <v>1</v>
      </c>
      <c r="N11100">
        <v>0</v>
      </c>
      <c r="O11100">
        <v>2868</v>
      </c>
    </row>
    <row r="11101" spans="1:15" x14ac:dyDescent="0.25">
      <c r="A11101" t="s">
        <v>11114</v>
      </c>
      <c r="B11101">
        <v>451</v>
      </c>
      <c r="C11101" s="1" t="str">
        <f>HYPERLINK("http://www.rosaceae.org/gb/gbrowse/malus_x_domestica/?name=MDP0000686132","MDP0000686132")</f>
        <v>MDP0000686132</v>
      </c>
      <c r="D11101">
        <v>59.52</v>
      </c>
      <c r="E11101">
        <v>420</v>
      </c>
      <c r="F11101">
        <v>170</v>
      </c>
      <c r="G11101">
        <v>18</v>
      </c>
      <c r="H11101">
        <v>20</v>
      </c>
      <c r="I11101">
        <v>434</v>
      </c>
      <c r="J11101">
        <v>1</v>
      </c>
      <c r="K11101">
        <v>20</v>
      </c>
      <c r="L11101">
        <v>426</v>
      </c>
      <c r="M11101">
        <v>1</v>
      </c>
      <c r="N11101">
        <v>1.4102499999999999E-126</v>
      </c>
      <c r="O11101">
        <v>1158</v>
      </c>
    </row>
    <row r="11102" spans="1:15" x14ac:dyDescent="0.25">
      <c r="A11102" t="s">
        <v>11115</v>
      </c>
      <c r="B11102">
        <v>471</v>
      </c>
      <c r="C11102" s="1" t="str">
        <f>HYPERLINK("http://www.rosaceae.org/gb/gbrowse/malus_x_domestica/?name=MDP0000181794","MDP0000181794")</f>
        <v>MDP0000181794</v>
      </c>
      <c r="D11102">
        <v>41.87</v>
      </c>
      <c r="E11102">
        <v>449</v>
      </c>
      <c r="F11102">
        <v>261</v>
      </c>
      <c r="G11102">
        <v>16</v>
      </c>
      <c r="H11102">
        <v>12</v>
      </c>
      <c r="I11102">
        <v>450</v>
      </c>
      <c r="J11102">
        <v>1</v>
      </c>
      <c r="K11102">
        <v>48</v>
      </c>
      <c r="L11102">
        <v>490</v>
      </c>
      <c r="M11102">
        <v>1</v>
      </c>
      <c r="N11102">
        <v>6.4977200000000002E-88</v>
      </c>
      <c r="O11102">
        <v>824</v>
      </c>
    </row>
    <row r="11103" spans="1:15" x14ac:dyDescent="0.25">
      <c r="A11103" t="s">
        <v>11116</v>
      </c>
      <c r="B11103">
        <v>363</v>
      </c>
      <c r="C11103" s="1" t="str">
        <f>HYPERLINK("http://www.rosaceae.org/gb/gbrowse/malus_x_domestica/?name=MDP0000282203","MDP0000282203")</f>
        <v>MDP0000282203</v>
      </c>
      <c r="D11103">
        <v>65.459999999999994</v>
      </c>
      <c r="E11103">
        <v>388</v>
      </c>
      <c r="F11103">
        <v>134</v>
      </c>
      <c r="G11103">
        <v>45</v>
      </c>
      <c r="H11103">
        <v>11</v>
      </c>
      <c r="I11103">
        <v>363</v>
      </c>
      <c r="J11103">
        <v>1</v>
      </c>
      <c r="K11103">
        <v>1</v>
      </c>
      <c r="L11103">
        <v>378</v>
      </c>
      <c r="M11103">
        <v>1</v>
      </c>
      <c r="N11103">
        <v>3.43584E-146</v>
      </c>
      <c r="O11103">
        <v>1326</v>
      </c>
    </row>
    <row r="11104" spans="1:15" x14ac:dyDescent="0.25">
      <c r="A11104" t="s">
        <v>11117</v>
      </c>
      <c r="B11104">
        <v>226</v>
      </c>
      <c r="C11104" s="1" t="str">
        <f>HYPERLINK("http://www.rosaceae.org/gb/gbrowse/malus_x_domestica/?name=MDP0000208717","MDP0000208717")</f>
        <v>MDP0000208717</v>
      </c>
      <c r="D11104">
        <v>62.43</v>
      </c>
      <c r="E11104">
        <v>197</v>
      </c>
      <c r="F11104">
        <v>74</v>
      </c>
      <c r="G11104">
        <v>7</v>
      </c>
      <c r="H11104">
        <v>37</v>
      </c>
      <c r="I11104">
        <v>226</v>
      </c>
      <c r="J11104">
        <v>1</v>
      </c>
      <c r="K11104">
        <v>149</v>
      </c>
      <c r="L11104">
        <v>345</v>
      </c>
      <c r="M11104">
        <v>1</v>
      </c>
      <c r="N11104">
        <v>1.1242100000000001E-66</v>
      </c>
      <c r="O11104">
        <v>637</v>
      </c>
    </row>
    <row r="11105" spans="1:15" x14ac:dyDescent="0.25">
      <c r="A11105" t="s">
        <v>11118</v>
      </c>
      <c r="B11105">
        <v>325</v>
      </c>
      <c r="C11105" s="1" t="str">
        <f>HYPERLINK("http://www.rosaceae.org/gb/gbrowse/malus_x_domestica/?name=MDP0000066637","MDP0000066637")</f>
        <v>MDP0000066637</v>
      </c>
      <c r="D11105">
        <v>73.349999999999994</v>
      </c>
      <c r="E11105">
        <v>334</v>
      </c>
      <c r="F11105">
        <v>89</v>
      </c>
      <c r="G11105">
        <v>9</v>
      </c>
      <c r="H11105">
        <v>1</v>
      </c>
      <c r="I11105">
        <v>325</v>
      </c>
      <c r="J11105">
        <v>1</v>
      </c>
      <c r="K11105">
        <v>1</v>
      </c>
      <c r="L11105">
        <v>334</v>
      </c>
      <c r="M11105">
        <v>1</v>
      </c>
      <c r="N11105">
        <v>2.3657700000000001E-135</v>
      </c>
      <c r="O11105">
        <v>1232</v>
      </c>
    </row>
    <row r="11106" spans="1:15" x14ac:dyDescent="0.25">
      <c r="A11106" t="s">
        <v>11119</v>
      </c>
      <c r="B11106">
        <v>407</v>
      </c>
      <c r="C11106" s="1" t="str">
        <f>HYPERLINK("http://www.rosaceae.org/gb/gbrowse/malus_x_domestica/?name=MDP0000161842","MDP0000161842")</f>
        <v>MDP0000161842</v>
      </c>
      <c r="D11106">
        <v>81.680000000000007</v>
      </c>
      <c r="E11106">
        <v>404</v>
      </c>
      <c r="F11106">
        <v>74</v>
      </c>
      <c r="G11106">
        <v>0</v>
      </c>
      <c r="H11106">
        <v>4</v>
      </c>
      <c r="I11106">
        <v>407</v>
      </c>
      <c r="J11106">
        <v>1</v>
      </c>
      <c r="K11106">
        <v>2</v>
      </c>
      <c r="L11106">
        <v>405</v>
      </c>
      <c r="M11106">
        <v>1</v>
      </c>
      <c r="N11106">
        <v>0</v>
      </c>
      <c r="O11106">
        <v>1771</v>
      </c>
    </row>
    <row r="11107" spans="1:15" x14ac:dyDescent="0.25">
      <c r="A11107" t="s">
        <v>11120</v>
      </c>
      <c r="B11107">
        <v>374</v>
      </c>
      <c r="C11107" s="1" t="str">
        <f>HYPERLINK("http://www.rosaceae.org/gb/gbrowse/malus_x_domestica/?name=MDP0000875341","MDP0000875341")</f>
        <v>MDP0000875341</v>
      </c>
      <c r="D11107">
        <v>44.79</v>
      </c>
      <c r="E11107">
        <v>413</v>
      </c>
      <c r="F11107">
        <v>228</v>
      </c>
      <c r="G11107">
        <v>44</v>
      </c>
      <c r="H11107">
        <v>1</v>
      </c>
      <c r="I11107">
        <v>374</v>
      </c>
      <c r="J11107">
        <v>1</v>
      </c>
      <c r="K11107">
        <v>1</v>
      </c>
      <c r="L11107">
        <v>408</v>
      </c>
      <c r="M11107">
        <v>1</v>
      </c>
      <c r="N11107">
        <v>1.5118299999999999E-71</v>
      </c>
      <c r="O11107">
        <v>682</v>
      </c>
    </row>
    <row r="11108" spans="1:15" x14ac:dyDescent="0.25">
      <c r="A11108" t="s">
        <v>11121</v>
      </c>
      <c r="B11108">
        <v>737</v>
      </c>
      <c r="C11108" s="1" t="str">
        <f>HYPERLINK("http://www.rosaceae.org/gb/gbrowse/malus_x_domestica/?name=MDP0000185125","MDP0000185125")</f>
        <v>MDP0000185125</v>
      </c>
      <c r="D11108">
        <v>34.92</v>
      </c>
      <c r="E11108">
        <v>126</v>
      </c>
      <c r="F11108">
        <v>82</v>
      </c>
      <c r="G11108">
        <v>10</v>
      </c>
      <c r="H11108">
        <v>528</v>
      </c>
      <c r="I11108">
        <v>647</v>
      </c>
      <c r="J11108">
        <v>1</v>
      </c>
      <c r="K11108">
        <v>12</v>
      </c>
      <c r="L11108">
        <v>133</v>
      </c>
      <c r="M11108">
        <v>1</v>
      </c>
      <c r="N11108">
        <v>1.0002299999999999E-14</v>
      </c>
      <c r="O11108">
        <v>195</v>
      </c>
    </row>
    <row r="11109" spans="1:15" x14ac:dyDescent="0.25">
      <c r="A11109" t="s">
        <v>11122</v>
      </c>
      <c r="B11109">
        <v>412</v>
      </c>
      <c r="C11109" s="1" t="str">
        <f>HYPERLINK("http://www.rosaceae.org/gb/gbrowse/malus_x_domestica/?name=MDP0000274386","MDP0000274386")</f>
        <v>MDP0000274386</v>
      </c>
      <c r="D11109">
        <v>38.93</v>
      </c>
      <c r="E11109">
        <v>113</v>
      </c>
      <c r="F11109">
        <v>69</v>
      </c>
      <c r="G11109">
        <v>18</v>
      </c>
      <c r="H11109">
        <v>172</v>
      </c>
      <c r="I11109">
        <v>271</v>
      </c>
      <c r="J11109">
        <v>1</v>
      </c>
      <c r="K11109">
        <v>124</v>
      </c>
      <c r="L11109">
        <v>231</v>
      </c>
      <c r="M11109">
        <v>1</v>
      </c>
      <c r="N11109">
        <v>2.0576299999999999E-15</v>
      </c>
      <c r="O11109">
        <v>198</v>
      </c>
    </row>
    <row r="11110" spans="1:15" x14ac:dyDescent="0.25">
      <c r="A11110" t="s">
        <v>11123</v>
      </c>
      <c r="B11110">
        <v>346</v>
      </c>
      <c r="C11110" s="1" t="str">
        <f>HYPERLINK("http://www.rosaceae.org/gb/gbrowse/malus_x_domestica/?name=MDP0000304097","MDP0000304097")</f>
        <v>MDP0000304097</v>
      </c>
      <c r="D11110">
        <v>73.37</v>
      </c>
      <c r="E11110">
        <v>154</v>
      </c>
      <c r="F11110">
        <v>41</v>
      </c>
      <c r="G11110">
        <v>4</v>
      </c>
      <c r="H11110">
        <v>195</v>
      </c>
      <c r="I11110">
        <v>346</v>
      </c>
      <c r="J11110">
        <v>1</v>
      </c>
      <c r="K11110">
        <v>4</v>
      </c>
      <c r="L11110">
        <v>155</v>
      </c>
      <c r="M11110">
        <v>1</v>
      </c>
      <c r="N11110">
        <v>1.4627899999999999E-63</v>
      </c>
      <c r="O11110">
        <v>613</v>
      </c>
    </row>
    <row r="11111" spans="1:15" x14ac:dyDescent="0.25">
      <c r="A11111" t="s">
        <v>11124</v>
      </c>
      <c r="B11111">
        <v>240</v>
      </c>
      <c r="C11111" s="1" t="str">
        <f>HYPERLINK("http://www.rosaceae.org/gb/gbrowse/malus_x_domestica/?name=MDP0000241245","MDP0000241245")</f>
        <v>MDP0000241245</v>
      </c>
      <c r="D11111">
        <v>29.23</v>
      </c>
      <c r="E11111">
        <v>236</v>
      </c>
      <c r="F11111">
        <v>167</v>
      </c>
      <c r="G11111">
        <v>75</v>
      </c>
      <c r="H11111">
        <v>5</v>
      </c>
      <c r="I11111">
        <v>237</v>
      </c>
      <c r="J11111">
        <v>1</v>
      </c>
      <c r="K11111">
        <v>39</v>
      </c>
      <c r="L11111">
        <v>202</v>
      </c>
      <c r="M11111">
        <v>1</v>
      </c>
      <c r="N11111">
        <v>1.4227500000000001E-20</v>
      </c>
      <c r="O11111">
        <v>240</v>
      </c>
    </row>
    <row r="11112" spans="1:15" x14ac:dyDescent="0.25">
      <c r="A11112" t="s">
        <v>11125</v>
      </c>
      <c r="B11112">
        <v>209</v>
      </c>
      <c r="C11112" s="1" t="str">
        <f>HYPERLINK("http://www.rosaceae.org/gb/gbrowse/malus_x_domestica/?name=MDP0000188173","MDP0000188173")</f>
        <v>MDP0000188173</v>
      </c>
      <c r="D11112">
        <v>43.9</v>
      </c>
      <c r="E11112">
        <v>205</v>
      </c>
      <c r="F11112">
        <v>115</v>
      </c>
      <c r="G11112">
        <v>29</v>
      </c>
      <c r="H11112">
        <v>33</v>
      </c>
      <c r="I11112">
        <v>209</v>
      </c>
      <c r="J11112">
        <v>1</v>
      </c>
      <c r="K11112">
        <v>59</v>
      </c>
      <c r="L11112">
        <v>262</v>
      </c>
      <c r="M11112">
        <v>1</v>
      </c>
      <c r="N11112">
        <v>1.0555699999999999E-29</v>
      </c>
      <c r="O11112">
        <v>318</v>
      </c>
    </row>
    <row r="11113" spans="1:15" x14ac:dyDescent="0.25">
      <c r="A11113" t="s">
        <v>11126</v>
      </c>
      <c r="B11113">
        <v>407</v>
      </c>
      <c r="C11113" s="1" t="str">
        <f>HYPERLINK("http://www.rosaceae.org/gb/gbrowse/malus_x_domestica/?name=MDP0000642234","MDP0000642234")</f>
        <v>MDP0000642234</v>
      </c>
      <c r="D11113">
        <v>55.6</v>
      </c>
      <c r="E11113">
        <v>437</v>
      </c>
      <c r="F11113">
        <v>194</v>
      </c>
      <c r="G11113">
        <v>42</v>
      </c>
      <c r="H11113">
        <v>1</v>
      </c>
      <c r="I11113">
        <v>404</v>
      </c>
      <c r="J11113">
        <v>1</v>
      </c>
      <c r="K11113">
        <v>1</v>
      </c>
      <c r="L11113">
        <v>428</v>
      </c>
      <c r="M11113">
        <v>1</v>
      </c>
      <c r="N11113">
        <v>5.0057700000000004E-115</v>
      </c>
      <c r="O11113">
        <v>1057</v>
      </c>
    </row>
    <row r="11114" spans="1:15" x14ac:dyDescent="0.25">
      <c r="A11114" t="s">
        <v>11127</v>
      </c>
      <c r="B11114">
        <v>1096</v>
      </c>
      <c r="C11114" s="1" t="str">
        <f>HYPERLINK("http://www.rosaceae.org/gb/gbrowse/malus_x_domestica/?name=MDP0000813710","MDP0000813710")</f>
        <v>MDP0000813710</v>
      </c>
      <c r="D11114">
        <v>83.78</v>
      </c>
      <c r="E11114">
        <v>370</v>
      </c>
      <c r="F11114">
        <v>60</v>
      </c>
      <c r="G11114">
        <v>0</v>
      </c>
      <c r="H11114">
        <v>146</v>
      </c>
      <c r="I11114">
        <v>515</v>
      </c>
      <c r="J11114">
        <v>1</v>
      </c>
      <c r="K11114">
        <v>1</v>
      </c>
      <c r="L11114">
        <v>370</v>
      </c>
      <c r="M11114">
        <v>1</v>
      </c>
      <c r="N11114">
        <v>0</v>
      </c>
      <c r="O11114">
        <v>1629</v>
      </c>
    </row>
    <row r="11115" spans="1:15" x14ac:dyDescent="0.25">
      <c r="A11115" t="s">
        <v>11128</v>
      </c>
      <c r="B11115">
        <v>362</v>
      </c>
      <c r="C11115" s="1" t="str">
        <f>HYPERLINK("http://www.rosaceae.org/gb/gbrowse/malus_x_domestica/?name=MDP0000164738","MDP0000164738")</f>
        <v>MDP0000164738</v>
      </c>
      <c r="D11115">
        <v>72.819999999999993</v>
      </c>
      <c r="E11115">
        <v>379</v>
      </c>
      <c r="F11115">
        <v>103</v>
      </c>
      <c r="G11115">
        <v>19</v>
      </c>
      <c r="H11115">
        <v>1</v>
      </c>
      <c r="I11115">
        <v>360</v>
      </c>
      <c r="J11115">
        <v>1</v>
      </c>
      <c r="K11115">
        <v>1</v>
      </c>
      <c r="L11115">
        <v>379</v>
      </c>
      <c r="M11115">
        <v>1</v>
      </c>
      <c r="N11115">
        <v>6.1251999999999997E-153</v>
      </c>
      <c r="O11115">
        <v>1384</v>
      </c>
    </row>
    <row r="11116" spans="1:15" x14ac:dyDescent="0.25">
      <c r="A11116" t="s">
        <v>11129</v>
      </c>
      <c r="B11116">
        <v>158</v>
      </c>
      <c r="C11116" s="1" t="str">
        <f>HYPERLINK("http://www.rosaceae.org/gb/gbrowse/malus_x_domestica/?name=MDP0000764682","MDP0000764682")</f>
        <v>MDP0000764682</v>
      </c>
      <c r="D11116">
        <v>62.35</v>
      </c>
      <c r="E11116">
        <v>85</v>
      </c>
      <c r="F11116">
        <v>32</v>
      </c>
      <c r="G11116">
        <v>1</v>
      </c>
      <c r="H11116">
        <v>73</v>
      </c>
      <c r="I11116">
        <v>157</v>
      </c>
      <c r="J11116">
        <v>1</v>
      </c>
      <c r="K11116">
        <v>19</v>
      </c>
      <c r="L11116">
        <v>102</v>
      </c>
      <c r="M11116">
        <v>1</v>
      </c>
      <c r="N11116">
        <v>1.7286300000000001E-24</v>
      </c>
      <c r="O11116">
        <v>271</v>
      </c>
    </row>
    <row r="11117" spans="1:15" x14ac:dyDescent="0.25">
      <c r="A11117" t="s">
        <v>11130</v>
      </c>
      <c r="B11117">
        <v>753</v>
      </c>
      <c r="C11117" s="1" t="str">
        <f>HYPERLINK("http://www.rosaceae.org/gb/gbrowse/malus_x_domestica/?name=MDP0000444438","MDP0000444438")</f>
        <v>MDP0000444438</v>
      </c>
      <c r="D11117">
        <v>51.97</v>
      </c>
      <c r="E11117">
        <v>783</v>
      </c>
      <c r="F11117">
        <v>376</v>
      </c>
      <c r="G11117">
        <v>50</v>
      </c>
      <c r="H11117">
        <v>13</v>
      </c>
      <c r="I11117">
        <v>745</v>
      </c>
      <c r="J11117">
        <v>1</v>
      </c>
      <c r="K11117">
        <v>20</v>
      </c>
      <c r="L11117">
        <v>802</v>
      </c>
      <c r="M11117">
        <v>1</v>
      </c>
      <c r="N11117">
        <v>0</v>
      </c>
      <c r="O11117">
        <v>2100</v>
      </c>
    </row>
    <row r="11118" spans="1:15" x14ac:dyDescent="0.25">
      <c r="A11118" t="s">
        <v>11131</v>
      </c>
      <c r="B11118">
        <v>2585</v>
      </c>
      <c r="C11118" s="1" t="str">
        <f>HYPERLINK("http://www.rosaceae.org/gb/gbrowse/malus_x_domestica/?name=MDP0000049035","MDP0000049035")</f>
        <v>MDP0000049035</v>
      </c>
      <c r="D11118">
        <v>88.78</v>
      </c>
      <c r="E11118">
        <v>1552</v>
      </c>
      <c r="F11118">
        <v>174</v>
      </c>
      <c r="G11118">
        <v>77</v>
      </c>
      <c r="H11118">
        <v>1019</v>
      </c>
      <c r="I11118">
        <v>2570</v>
      </c>
      <c r="J11118">
        <v>1</v>
      </c>
      <c r="K11118">
        <v>1</v>
      </c>
      <c r="L11118">
        <v>1475</v>
      </c>
      <c r="M11118">
        <v>1</v>
      </c>
      <c r="N11118">
        <v>0</v>
      </c>
      <c r="O11118">
        <v>7303</v>
      </c>
    </row>
    <row r="11119" spans="1:15" x14ac:dyDescent="0.25">
      <c r="A11119" t="s">
        <v>11132</v>
      </c>
      <c r="B11119">
        <v>799</v>
      </c>
      <c r="C11119" s="1" t="str">
        <f>HYPERLINK("http://www.rosaceae.org/gb/gbrowse/malus_x_domestica/?name=MDP0000776779","MDP0000776779")</f>
        <v>MDP0000776779</v>
      </c>
      <c r="D11119">
        <v>74.260000000000005</v>
      </c>
      <c r="E11119">
        <v>855</v>
      </c>
      <c r="F11119">
        <v>220</v>
      </c>
      <c r="G11119">
        <v>70</v>
      </c>
      <c r="H11119">
        <v>15</v>
      </c>
      <c r="I11119">
        <v>799</v>
      </c>
      <c r="J11119">
        <v>1</v>
      </c>
      <c r="K11119">
        <v>15</v>
      </c>
      <c r="L11119">
        <v>869</v>
      </c>
      <c r="M11119">
        <v>1</v>
      </c>
      <c r="N11119">
        <v>0</v>
      </c>
      <c r="O11119">
        <v>3405</v>
      </c>
    </row>
    <row r="11120" spans="1:15" x14ac:dyDescent="0.25">
      <c r="A11120" t="s">
        <v>11133</v>
      </c>
      <c r="B11120">
        <v>381</v>
      </c>
      <c r="C11120" s="1" t="str">
        <f>HYPERLINK("http://www.rosaceae.org/gb/gbrowse/malus_x_domestica/?name=MDP0000894933","MDP0000894933")</f>
        <v>MDP0000894933</v>
      </c>
      <c r="D11120">
        <v>56.62</v>
      </c>
      <c r="E11120">
        <v>415</v>
      </c>
      <c r="F11120">
        <v>180</v>
      </c>
      <c r="G11120">
        <v>48</v>
      </c>
      <c r="H11120">
        <v>9</v>
      </c>
      <c r="I11120">
        <v>377</v>
      </c>
      <c r="J11120">
        <v>1</v>
      </c>
      <c r="K11120">
        <v>7</v>
      </c>
      <c r="L11120">
        <v>419</v>
      </c>
      <c r="M11120">
        <v>1</v>
      </c>
      <c r="N11120">
        <v>6.9619999999999999E-130</v>
      </c>
      <c r="O11120">
        <v>1185</v>
      </c>
    </row>
    <row r="11121" spans="1:15" x14ac:dyDescent="0.25">
      <c r="A11121" t="s">
        <v>11134</v>
      </c>
      <c r="B11121">
        <v>252</v>
      </c>
      <c r="C11121" s="1" t="str">
        <f>HYPERLINK("http://www.rosaceae.org/gb/gbrowse/malus_x_domestica/?name=MDP0000256671","MDP0000256671")</f>
        <v>MDP0000256671</v>
      </c>
      <c r="D11121">
        <v>70.12</v>
      </c>
      <c r="E11121">
        <v>241</v>
      </c>
      <c r="F11121">
        <v>72</v>
      </c>
      <c r="G11121">
        <v>17</v>
      </c>
      <c r="H11121">
        <v>1</v>
      </c>
      <c r="I11121">
        <v>238</v>
      </c>
      <c r="J11121">
        <v>1</v>
      </c>
      <c r="K11121">
        <v>350</v>
      </c>
      <c r="L11121">
        <v>576</v>
      </c>
      <c r="M11121">
        <v>1</v>
      </c>
      <c r="N11121">
        <v>7.8080900000000002E-94</v>
      </c>
      <c r="O11121">
        <v>872</v>
      </c>
    </row>
    <row r="11122" spans="1:15" x14ac:dyDescent="0.25">
      <c r="A11122" t="s">
        <v>11135</v>
      </c>
      <c r="B11122">
        <v>241</v>
      </c>
      <c r="C11122" s="1" t="str">
        <f>HYPERLINK("http://www.rosaceae.org/gb/gbrowse/malus_x_domestica/?name=MDP0000417211","MDP0000417211")</f>
        <v>MDP0000417211</v>
      </c>
      <c r="D11122">
        <v>53.57</v>
      </c>
      <c r="E11122">
        <v>112</v>
      </c>
      <c r="F11122">
        <v>52</v>
      </c>
      <c r="G11122">
        <v>3</v>
      </c>
      <c r="H11122">
        <v>99</v>
      </c>
      <c r="I11122">
        <v>207</v>
      </c>
      <c r="J11122">
        <v>1</v>
      </c>
      <c r="K11122">
        <v>32</v>
      </c>
      <c r="L11122">
        <v>143</v>
      </c>
      <c r="M11122">
        <v>1</v>
      </c>
      <c r="N11122">
        <v>1.72929E-25</v>
      </c>
      <c r="O11122">
        <v>283</v>
      </c>
    </row>
    <row r="11123" spans="1:15" x14ac:dyDescent="0.25">
      <c r="A11123" t="s">
        <v>11136</v>
      </c>
      <c r="B11123">
        <v>388</v>
      </c>
      <c r="C11123" s="1" t="str">
        <f>HYPERLINK("http://www.rosaceae.org/gb/gbrowse/malus_x_domestica/?name=MDP0000800703","MDP0000800703")</f>
        <v>MDP0000800703</v>
      </c>
      <c r="D11123">
        <v>76.400000000000006</v>
      </c>
      <c r="E11123">
        <v>250</v>
      </c>
      <c r="F11123">
        <v>59</v>
      </c>
      <c r="G11123">
        <v>11</v>
      </c>
      <c r="H11123">
        <v>145</v>
      </c>
      <c r="I11123">
        <v>388</v>
      </c>
      <c r="J11123">
        <v>1</v>
      </c>
      <c r="K11123">
        <v>151</v>
      </c>
      <c r="L11123">
        <v>395</v>
      </c>
      <c r="M11123">
        <v>1</v>
      </c>
      <c r="N11123">
        <v>5.2913399999999997E-98</v>
      </c>
      <c r="O11123">
        <v>910</v>
      </c>
    </row>
    <row r="11124" spans="1:15" x14ac:dyDescent="0.25">
      <c r="A11124" t="s">
        <v>11137</v>
      </c>
      <c r="B11124">
        <v>97</v>
      </c>
      <c r="C11124" s="1" t="str">
        <f>HYPERLINK("http://www.rosaceae.org/gb/gbrowse/malus_x_domestica/?name=MDP0000247378","MDP0000247378")</f>
        <v>MDP0000247378</v>
      </c>
      <c r="D11124">
        <v>73.25</v>
      </c>
      <c r="E11124">
        <v>86</v>
      </c>
      <c r="F11124">
        <v>23</v>
      </c>
      <c r="G11124">
        <v>8</v>
      </c>
      <c r="H11124">
        <v>15</v>
      </c>
      <c r="I11124">
        <v>92</v>
      </c>
      <c r="J11124">
        <v>1</v>
      </c>
      <c r="K11124">
        <v>17</v>
      </c>
      <c r="L11124">
        <v>102</v>
      </c>
      <c r="M11124">
        <v>1</v>
      </c>
      <c r="N11124">
        <v>1.3977199999999999E-26</v>
      </c>
      <c r="O11124">
        <v>287</v>
      </c>
    </row>
    <row r="11125" spans="1:15" x14ac:dyDescent="0.25">
      <c r="A11125" t="s">
        <v>11138</v>
      </c>
      <c r="B11125">
        <v>287</v>
      </c>
      <c r="C11125" s="1" t="str">
        <f>HYPERLINK("http://www.rosaceae.org/gb/gbrowse/malus_x_domestica/?name=MDP0000295085","MDP0000295085")</f>
        <v>MDP0000295085</v>
      </c>
      <c r="D11125">
        <v>52.12</v>
      </c>
      <c r="E11125">
        <v>188</v>
      </c>
      <c r="F11125">
        <v>90</v>
      </c>
      <c r="G11125">
        <v>61</v>
      </c>
      <c r="H11125">
        <v>143</v>
      </c>
      <c r="I11125">
        <v>269</v>
      </c>
      <c r="J11125">
        <v>1</v>
      </c>
      <c r="K11125">
        <v>673</v>
      </c>
      <c r="L11125">
        <v>860</v>
      </c>
      <c r="M11125">
        <v>1</v>
      </c>
      <c r="N11125">
        <v>8.9089100000000001E-39</v>
      </c>
      <c r="O11125">
        <v>398</v>
      </c>
    </row>
    <row r="11126" spans="1:15" x14ac:dyDescent="0.25">
      <c r="A11126" t="s">
        <v>11139</v>
      </c>
      <c r="B11126">
        <v>393</v>
      </c>
      <c r="C11126" s="1" t="str">
        <f>HYPERLINK("http://www.rosaceae.org/gb/gbrowse/malus_x_domestica/?name=MDP0000500222","MDP0000500222")</f>
        <v>MDP0000500222</v>
      </c>
      <c r="D11126">
        <v>39.229999999999997</v>
      </c>
      <c r="E11126">
        <v>390</v>
      </c>
      <c r="F11126">
        <v>237</v>
      </c>
      <c r="G11126">
        <v>57</v>
      </c>
      <c r="H11126">
        <v>19</v>
      </c>
      <c r="I11126">
        <v>386</v>
      </c>
      <c r="J11126">
        <v>1</v>
      </c>
      <c r="K11126">
        <v>70</v>
      </c>
      <c r="L11126">
        <v>424</v>
      </c>
      <c r="M11126">
        <v>1</v>
      </c>
      <c r="N11126">
        <v>2.7721600000000001E-57</v>
      </c>
      <c r="O11126">
        <v>559</v>
      </c>
    </row>
    <row r="11127" spans="1:15" x14ac:dyDescent="0.25">
      <c r="A11127" t="s">
        <v>11140</v>
      </c>
      <c r="B11127">
        <v>495</v>
      </c>
      <c r="C11127" s="1" t="str">
        <f>HYPERLINK("http://www.rosaceae.org/gb/gbrowse/malus_x_domestica/?name=MDP0000230511","MDP0000230511")</f>
        <v>MDP0000230511</v>
      </c>
      <c r="D11127">
        <v>58.68</v>
      </c>
      <c r="E11127">
        <v>213</v>
      </c>
      <c r="F11127">
        <v>88</v>
      </c>
      <c r="G11127">
        <v>5</v>
      </c>
      <c r="H11127">
        <v>4</v>
      </c>
      <c r="I11127">
        <v>212</v>
      </c>
      <c r="J11127">
        <v>1</v>
      </c>
      <c r="K11127">
        <v>2</v>
      </c>
      <c r="L11127">
        <v>213</v>
      </c>
      <c r="M11127">
        <v>1</v>
      </c>
      <c r="N11127">
        <v>2.8684900000000002E-56</v>
      </c>
      <c r="O11127">
        <v>552</v>
      </c>
    </row>
    <row r="11128" spans="1:15" x14ac:dyDescent="0.25">
      <c r="A11128" t="s">
        <v>11141</v>
      </c>
      <c r="B11128">
        <v>642</v>
      </c>
      <c r="C11128" s="1" t="str">
        <f>HYPERLINK("http://www.rosaceae.org/gb/gbrowse/malus_x_domestica/?name=MDP0000243357","MDP0000243357")</f>
        <v>MDP0000243357</v>
      </c>
      <c r="D11128">
        <v>80.400000000000006</v>
      </c>
      <c r="E11128">
        <v>541</v>
      </c>
      <c r="F11128">
        <v>106</v>
      </c>
      <c r="G11128">
        <v>4</v>
      </c>
      <c r="H11128">
        <v>106</v>
      </c>
      <c r="I11128">
        <v>642</v>
      </c>
      <c r="J11128">
        <v>1</v>
      </c>
      <c r="K11128">
        <v>367</v>
      </c>
      <c r="L11128">
        <v>907</v>
      </c>
      <c r="M11128">
        <v>1</v>
      </c>
      <c r="N11128">
        <v>0</v>
      </c>
      <c r="O11128">
        <v>2427</v>
      </c>
    </row>
    <row r="11129" spans="1:15" x14ac:dyDescent="0.25">
      <c r="A11129" t="s">
        <v>11142</v>
      </c>
      <c r="B11129">
        <v>201</v>
      </c>
      <c r="C11129" s="1" t="str">
        <f>HYPERLINK("http://www.rosaceae.org/gb/gbrowse/malus_x_domestica/?name=MDP0000279719","MDP0000279719")</f>
        <v>MDP0000279719</v>
      </c>
      <c r="D11129">
        <v>83.09</v>
      </c>
      <c r="E11129">
        <v>71</v>
      </c>
      <c r="F11129">
        <v>12</v>
      </c>
      <c r="G11129">
        <v>0</v>
      </c>
      <c r="H11129">
        <v>7</v>
      </c>
      <c r="I11129">
        <v>77</v>
      </c>
      <c r="J11129">
        <v>1</v>
      </c>
      <c r="K11129">
        <v>797</v>
      </c>
      <c r="L11129">
        <v>867</v>
      </c>
      <c r="M11129">
        <v>1</v>
      </c>
      <c r="N11129">
        <v>9.1153900000000006E-34</v>
      </c>
      <c r="O11129">
        <v>353</v>
      </c>
    </row>
    <row r="11130" spans="1:15" x14ac:dyDescent="0.25">
      <c r="A11130" t="s">
        <v>11143</v>
      </c>
      <c r="B11130">
        <v>242</v>
      </c>
      <c r="C11130" s="1" t="str">
        <f>HYPERLINK("http://www.rosaceae.org/gb/gbrowse/malus_x_domestica/?name=MDP0000635271","MDP0000635271")</f>
        <v>MDP0000635271</v>
      </c>
      <c r="D11130">
        <v>74.010000000000005</v>
      </c>
      <c r="E11130">
        <v>127</v>
      </c>
      <c r="F11130">
        <v>33</v>
      </c>
      <c r="G11130">
        <v>0</v>
      </c>
      <c r="H11130">
        <v>1</v>
      </c>
      <c r="I11130">
        <v>127</v>
      </c>
      <c r="J11130">
        <v>1</v>
      </c>
      <c r="K11130">
        <v>1</v>
      </c>
      <c r="L11130">
        <v>127</v>
      </c>
      <c r="M11130">
        <v>1</v>
      </c>
      <c r="N11130">
        <v>9.3253000000000004E-51</v>
      </c>
      <c r="O11130">
        <v>500</v>
      </c>
    </row>
    <row r="11131" spans="1:15" x14ac:dyDescent="0.25">
      <c r="A11131" t="s">
        <v>11144</v>
      </c>
      <c r="B11131">
        <v>362</v>
      </c>
      <c r="C11131" s="1" t="str">
        <f>HYPERLINK("http://www.rosaceae.org/gb/gbrowse/malus_x_domestica/?name=MDP0000237690","MDP0000237690")</f>
        <v>MDP0000237690</v>
      </c>
      <c r="D11131">
        <v>88.92</v>
      </c>
      <c r="E11131">
        <v>307</v>
      </c>
      <c r="F11131">
        <v>34</v>
      </c>
      <c r="G11131">
        <v>0</v>
      </c>
      <c r="H11131">
        <v>56</v>
      </c>
      <c r="I11131">
        <v>362</v>
      </c>
      <c r="J11131">
        <v>1</v>
      </c>
      <c r="K11131">
        <v>1</v>
      </c>
      <c r="L11131">
        <v>307</v>
      </c>
      <c r="M11131">
        <v>1</v>
      </c>
      <c r="N11131">
        <v>1.7039E-163</v>
      </c>
      <c r="O11131">
        <v>1475</v>
      </c>
    </row>
    <row r="11132" spans="1:15" x14ac:dyDescent="0.25">
      <c r="A11132" t="s">
        <v>11145</v>
      </c>
      <c r="B11132">
        <v>662</v>
      </c>
      <c r="C11132" s="1" t="str">
        <f>HYPERLINK("http://www.rosaceae.org/gb/gbrowse/malus_x_domestica/?name=MDP0000295614","MDP0000295614")</f>
        <v>MDP0000295614</v>
      </c>
      <c r="D11132">
        <v>61.38</v>
      </c>
      <c r="E11132">
        <v>404</v>
      </c>
      <c r="F11132">
        <v>156</v>
      </c>
      <c r="G11132">
        <v>35</v>
      </c>
      <c r="H11132">
        <v>127</v>
      </c>
      <c r="I11132">
        <v>497</v>
      </c>
      <c r="J11132">
        <v>1</v>
      </c>
      <c r="K11132">
        <v>392</v>
      </c>
      <c r="L11132">
        <v>793</v>
      </c>
      <c r="M11132">
        <v>1</v>
      </c>
      <c r="N11132">
        <v>1.1928399999999999E-137</v>
      </c>
      <c r="O11132">
        <v>1255</v>
      </c>
    </row>
    <row r="11133" spans="1:15" x14ac:dyDescent="0.25">
      <c r="A11133" t="s">
        <v>11146</v>
      </c>
      <c r="B11133">
        <v>531</v>
      </c>
      <c r="C11133" s="1" t="str">
        <f>HYPERLINK("http://www.rosaceae.org/gb/gbrowse/malus_x_domestica/?name=MDP0000309129","MDP0000309129")</f>
        <v>MDP0000309129</v>
      </c>
      <c r="D11133">
        <v>66.41</v>
      </c>
      <c r="E11133">
        <v>396</v>
      </c>
      <c r="F11133">
        <v>133</v>
      </c>
      <c r="G11133">
        <v>17</v>
      </c>
      <c r="H11133">
        <v>14</v>
      </c>
      <c r="I11133">
        <v>400</v>
      </c>
      <c r="J11133">
        <v>1</v>
      </c>
      <c r="K11133">
        <v>251</v>
      </c>
      <c r="L11133">
        <v>638</v>
      </c>
      <c r="M11133">
        <v>1</v>
      </c>
      <c r="N11133">
        <v>4.2244499999999999E-150</v>
      </c>
      <c r="O11133">
        <v>1361</v>
      </c>
    </row>
    <row r="11134" spans="1:15" x14ac:dyDescent="0.25">
      <c r="A11134" t="s">
        <v>11147</v>
      </c>
      <c r="B11134">
        <v>517</v>
      </c>
      <c r="C11134" s="1" t="str">
        <f>HYPERLINK("http://www.rosaceae.org/gb/gbrowse/malus_x_domestica/?name=MDP0000941407","MDP0000941407")</f>
        <v>MDP0000941407</v>
      </c>
      <c r="D11134">
        <v>77.3</v>
      </c>
      <c r="E11134">
        <v>304</v>
      </c>
      <c r="F11134">
        <v>69</v>
      </c>
      <c r="G11134">
        <v>10</v>
      </c>
      <c r="H11134">
        <v>198</v>
      </c>
      <c r="I11134">
        <v>491</v>
      </c>
      <c r="J11134">
        <v>1</v>
      </c>
      <c r="K11134">
        <v>1</v>
      </c>
      <c r="L11134">
        <v>304</v>
      </c>
      <c r="M11134">
        <v>1</v>
      </c>
      <c r="N11134">
        <v>1.8409699999999999E-136</v>
      </c>
      <c r="O11134">
        <v>1243</v>
      </c>
    </row>
    <row r="11135" spans="1:15" x14ac:dyDescent="0.25">
      <c r="A11135" t="s">
        <v>11148</v>
      </c>
      <c r="B11135">
        <v>160</v>
      </c>
      <c r="C11135" s="1" t="str">
        <f>HYPERLINK("http://www.rosaceae.org/gb/gbrowse/malus_x_domestica/?name=MDP0000240055","MDP0000240055")</f>
        <v>MDP0000240055</v>
      </c>
      <c r="D11135">
        <v>67.790000000000006</v>
      </c>
      <c r="E11135">
        <v>59</v>
      </c>
      <c r="F11135">
        <v>19</v>
      </c>
      <c r="G11135">
        <v>2</v>
      </c>
      <c r="H11135">
        <v>92</v>
      </c>
      <c r="I11135">
        <v>150</v>
      </c>
      <c r="J11135">
        <v>1</v>
      </c>
      <c r="K11135">
        <v>680</v>
      </c>
      <c r="L11135">
        <v>736</v>
      </c>
      <c r="M11135">
        <v>1</v>
      </c>
      <c r="N11135">
        <v>6.5681799999999998E-17</v>
      </c>
      <c r="O11135">
        <v>206</v>
      </c>
    </row>
    <row r="11136" spans="1:15" x14ac:dyDescent="0.25">
      <c r="A11136" t="s">
        <v>11149</v>
      </c>
      <c r="B11136">
        <v>702</v>
      </c>
      <c r="C11136" s="1" t="str">
        <f>HYPERLINK("http://www.rosaceae.org/gb/gbrowse/malus_x_domestica/?name=MDP0000293580","MDP0000293580")</f>
        <v>MDP0000293580</v>
      </c>
      <c r="D11136">
        <v>81.760000000000005</v>
      </c>
      <c r="E11136">
        <v>702</v>
      </c>
      <c r="F11136">
        <v>128</v>
      </c>
      <c r="G11136">
        <v>8</v>
      </c>
      <c r="H11136">
        <v>1</v>
      </c>
      <c r="I11136">
        <v>702</v>
      </c>
      <c r="J11136">
        <v>1</v>
      </c>
      <c r="K11136">
        <v>87</v>
      </c>
      <c r="L11136">
        <v>780</v>
      </c>
      <c r="M11136">
        <v>1</v>
      </c>
      <c r="N11136">
        <v>0</v>
      </c>
      <c r="O11136">
        <v>2948</v>
      </c>
    </row>
    <row r="11137" spans="1:15" x14ac:dyDescent="0.25">
      <c r="A11137" t="s">
        <v>11150</v>
      </c>
      <c r="B11137">
        <v>939</v>
      </c>
      <c r="C11137" s="1" t="str">
        <f>HYPERLINK("http://www.rosaceae.org/gb/gbrowse/malus_x_domestica/?name=MDP0000234814","MDP0000234814")</f>
        <v>MDP0000234814</v>
      </c>
      <c r="D11137">
        <v>86.12</v>
      </c>
      <c r="E11137">
        <v>656</v>
      </c>
      <c r="F11137">
        <v>91</v>
      </c>
      <c r="G11137">
        <v>5</v>
      </c>
      <c r="H11137">
        <v>1</v>
      </c>
      <c r="I11137">
        <v>651</v>
      </c>
      <c r="J11137">
        <v>1</v>
      </c>
      <c r="K11137">
        <v>2</v>
      </c>
      <c r="L11137">
        <v>657</v>
      </c>
      <c r="M11137">
        <v>1</v>
      </c>
      <c r="N11137">
        <v>0</v>
      </c>
      <c r="O11137">
        <v>3096</v>
      </c>
    </row>
    <row r="11138" spans="1:15" x14ac:dyDescent="0.25">
      <c r="A11138" t="s">
        <v>11151</v>
      </c>
      <c r="B11138">
        <v>211</v>
      </c>
      <c r="C11138" s="1" t="str">
        <f>HYPERLINK("http://www.rosaceae.org/gb/gbrowse/malus_x_domestica/?name=MDP0000255617","MDP0000255617")</f>
        <v>MDP0000255617</v>
      </c>
      <c r="D11138">
        <v>63.1</v>
      </c>
      <c r="E11138">
        <v>187</v>
      </c>
      <c r="F11138">
        <v>69</v>
      </c>
      <c r="G11138">
        <v>1</v>
      </c>
      <c r="H11138">
        <v>1</v>
      </c>
      <c r="I11138">
        <v>187</v>
      </c>
      <c r="J11138">
        <v>1</v>
      </c>
      <c r="K11138">
        <v>114</v>
      </c>
      <c r="L11138">
        <v>299</v>
      </c>
      <c r="M11138">
        <v>1</v>
      </c>
      <c r="N11138">
        <v>1.89151E-65</v>
      </c>
      <c r="O11138">
        <v>626</v>
      </c>
    </row>
    <row r="11139" spans="1:15" x14ac:dyDescent="0.25">
      <c r="A11139" t="s">
        <v>11152</v>
      </c>
      <c r="B11139">
        <v>1092</v>
      </c>
      <c r="C11139" s="1" t="str">
        <f>HYPERLINK("http://www.rosaceae.org/gb/gbrowse/malus_x_domestica/?name=MDP0000612208","MDP0000612208")</f>
        <v>MDP0000612208</v>
      </c>
      <c r="D11139">
        <v>62.47</v>
      </c>
      <c r="E11139">
        <v>1114</v>
      </c>
      <c r="F11139">
        <v>418</v>
      </c>
      <c r="G11139">
        <v>27</v>
      </c>
      <c r="H11139">
        <v>1</v>
      </c>
      <c r="I11139">
        <v>1088</v>
      </c>
      <c r="J11139">
        <v>1</v>
      </c>
      <c r="K11139">
        <v>30</v>
      </c>
      <c r="L11139">
        <v>1142</v>
      </c>
      <c r="M11139">
        <v>1</v>
      </c>
      <c r="N11139">
        <v>0</v>
      </c>
      <c r="O11139">
        <v>3458</v>
      </c>
    </row>
    <row r="11140" spans="1:15" x14ac:dyDescent="0.25">
      <c r="A11140" t="s">
        <v>11153</v>
      </c>
      <c r="B11140">
        <v>202</v>
      </c>
      <c r="C11140" s="1" t="str">
        <f>HYPERLINK("http://www.rosaceae.org/gb/gbrowse/malus_x_domestica/?name=MDP0000169611","MDP0000169611")</f>
        <v>MDP0000169611</v>
      </c>
      <c r="D11140">
        <v>69.040000000000006</v>
      </c>
      <c r="E11140">
        <v>84</v>
      </c>
      <c r="F11140">
        <v>26</v>
      </c>
      <c r="G11140">
        <v>0</v>
      </c>
      <c r="H11140">
        <v>28</v>
      </c>
      <c r="I11140">
        <v>111</v>
      </c>
      <c r="J11140">
        <v>1</v>
      </c>
      <c r="K11140">
        <v>76</v>
      </c>
      <c r="L11140">
        <v>159</v>
      </c>
      <c r="M11140">
        <v>1</v>
      </c>
      <c r="N11140">
        <v>5.2262899999999995E-29</v>
      </c>
      <c r="O11140">
        <v>312</v>
      </c>
    </row>
    <row r="11141" spans="1:15" x14ac:dyDescent="0.25">
      <c r="A11141" t="s">
        <v>11154</v>
      </c>
      <c r="B11141">
        <v>1471</v>
      </c>
      <c r="C11141" s="1" t="str">
        <f>HYPERLINK("http://www.rosaceae.org/gb/gbrowse/malus_x_domestica/?name=MDP0000163791","MDP0000163791")</f>
        <v>MDP0000163791</v>
      </c>
      <c r="D11141">
        <v>73.89</v>
      </c>
      <c r="E11141">
        <v>406</v>
      </c>
      <c r="F11141">
        <v>106</v>
      </c>
      <c r="G11141">
        <v>15</v>
      </c>
      <c r="H11141">
        <v>924</v>
      </c>
      <c r="I11141">
        <v>1315</v>
      </c>
      <c r="J11141">
        <v>1</v>
      </c>
      <c r="K11141">
        <v>3</v>
      </c>
      <c r="L11141">
        <v>407</v>
      </c>
      <c r="M11141">
        <v>1</v>
      </c>
      <c r="N11141">
        <v>1.5425300000000001E-167</v>
      </c>
      <c r="O11141">
        <v>1516</v>
      </c>
    </row>
    <row r="11142" spans="1:15" x14ac:dyDescent="0.25">
      <c r="A11142" t="s">
        <v>11155</v>
      </c>
      <c r="B11142">
        <v>142</v>
      </c>
      <c r="C11142" s="1" t="str">
        <f>HYPERLINK("http://www.rosaceae.org/gb/gbrowse/malus_x_domestica/?name=MDP0000254341","MDP0000254341")</f>
        <v>MDP0000254341</v>
      </c>
      <c r="D11142">
        <v>85.86</v>
      </c>
      <c r="E11142">
        <v>92</v>
      </c>
      <c r="F11142">
        <v>13</v>
      </c>
      <c r="G11142">
        <v>0</v>
      </c>
      <c r="H11142">
        <v>50</v>
      </c>
      <c r="I11142">
        <v>141</v>
      </c>
      <c r="J11142">
        <v>1</v>
      </c>
      <c r="K11142">
        <v>56</v>
      </c>
      <c r="L11142">
        <v>147</v>
      </c>
      <c r="M11142">
        <v>1</v>
      </c>
      <c r="N11142">
        <v>2.4550600000000001E-44</v>
      </c>
      <c r="O11142">
        <v>441</v>
      </c>
    </row>
    <row r="11143" spans="1:15" x14ac:dyDescent="0.25">
      <c r="A11143" t="s">
        <v>11156</v>
      </c>
      <c r="B11143">
        <v>914</v>
      </c>
      <c r="C11143" s="1" t="str">
        <f>HYPERLINK("http://www.rosaceae.org/gb/gbrowse/malus_x_domestica/?name=MDP0000594490","MDP0000594490")</f>
        <v>MDP0000594490</v>
      </c>
      <c r="D11143">
        <v>66.09</v>
      </c>
      <c r="E11143">
        <v>926</v>
      </c>
      <c r="F11143">
        <v>314</v>
      </c>
      <c r="G11143">
        <v>19</v>
      </c>
      <c r="H11143">
        <v>1</v>
      </c>
      <c r="I11143">
        <v>912</v>
      </c>
      <c r="J11143">
        <v>1</v>
      </c>
      <c r="K11143">
        <v>411</v>
      </c>
      <c r="L11143">
        <v>1331</v>
      </c>
      <c r="M11143">
        <v>1</v>
      </c>
      <c r="N11143">
        <v>0</v>
      </c>
      <c r="O11143">
        <v>3123</v>
      </c>
    </row>
    <row r="11144" spans="1:15" x14ac:dyDescent="0.25">
      <c r="A11144" t="s">
        <v>11157</v>
      </c>
      <c r="B11144">
        <v>432</v>
      </c>
      <c r="C11144" s="1" t="str">
        <f>HYPERLINK("http://www.rosaceae.org/gb/gbrowse/malus_x_domestica/?name=MDP0000267098","MDP0000267098")</f>
        <v>MDP0000267098</v>
      </c>
      <c r="D11144">
        <v>80.86</v>
      </c>
      <c r="E11144">
        <v>418</v>
      </c>
      <c r="F11144">
        <v>80</v>
      </c>
      <c r="G11144">
        <v>11</v>
      </c>
      <c r="H11144">
        <v>22</v>
      </c>
      <c r="I11144">
        <v>432</v>
      </c>
      <c r="J11144">
        <v>1</v>
      </c>
      <c r="K11144">
        <v>35</v>
      </c>
      <c r="L11144">
        <v>448</v>
      </c>
      <c r="M11144">
        <v>1</v>
      </c>
      <c r="N11144">
        <v>0</v>
      </c>
      <c r="O11144">
        <v>1707</v>
      </c>
    </row>
    <row r="11145" spans="1:15" x14ac:dyDescent="0.25">
      <c r="A11145" t="s">
        <v>11158</v>
      </c>
      <c r="B11145">
        <v>680</v>
      </c>
      <c r="C11145" s="1" t="str">
        <f>HYPERLINK("http://www.rosaceae.org/gb/gbrowse/malus_x_domestica/?name=MDP0000173687","MDP0000173687")</f>
        <v>MDP0000173687</v>
      </c>
      <c r="D11145">
        <v>86.03</v>
      </c>
      <c r="E11145">
        <v>659</v>
      </c>
      <c r="F11145">
        <v>92</v>
      </c>
      <c r="G11145">
        <v>4</v>
      </c>
      <c r="H11145">
        <v>15</v>
      </c>
      <c r="I11145">
        <v>669</v>
      </c>
      <c r="J11145">
        <v>1</v>
      </c>
      <c r="K11145">
        <v>1</v>
      </c>
      <c r="L11145">
        <v>659</v>
      </c>
      <c r="M11145">
        <v>1</v>
      </c>
      <c r="N11145">
        <v>0</v>
      </c>
      <c r="O11145">
        <v>3076</v>
      </c>
    </row>
    <row r="11146" spans="1:15" x14ac:dyDescent="0.25">
      <c r="A11146" t="s">
        <v>11159</v>
      </c>
      <c r="B11146">
        <v>519</v>
      </c>
      <c r="C11146" s="1" t="str">
        <f>HYPERLINK("http://www.rosaceae.org/gb/gbrowse/malus_x_domestica/?name=MDP0000133102","MDP0000133102")</f>
        <v>MDP0000133102</v>
      </c>
      <c r="D11146">
        <v>87.95</v>
      </c>
      <c r="E11146">
        <v>465</v>
      </c>
      <c r="F11146">
        <v>56</v>
      </c>
      <c r="G11146">
        <v>4</v>
      </c>
      <c r="H11146">
        <v>21</v>
      </c>
      <c r="I11146">
        <v>483</v>
      </c>
      <c r="J11146">
        <v>1</v>
      </c>
      <c r="K11146">
        <v>43</v>
      </c>
      <c r="L11146">
        <v>505</v>
      </c>
      <c r="M11146">
        <v>1</v>
      </c>
      <c r="N11146">
        <v>0</v>
      </c>
      <c r="O11146">
        <v>2190</v>
      </c>
    </row>
    <row r="11147" spans="1:15" x14ac:dyDescent="0.25">
      <c r="A11147" t="s">
        <v>11160</v>
      </c>
      <c r="B11147">
        <v>238</v>
      </c>
      <c r="C11147" s="1" t="str">
        <f>HYPERLINK("http://www.rosaceae.org/gb/gbrowse/malus_x_domestica/?name=MDP0000278929","MDP0000278929")</f>
        <v>MDP0000278929</v>
      </c>
      <c r="D11147">
        <v>58.82</v>
      </c>
      <c r="E11147">
        <v>187</v>
      </c>
      <c r="F11147">
        <v>77</v>
      </c>
      <c r="G11147">
        <v>9</v>
      </c>
      <c r="H11147">
        <v>30</v>
      </c>
      <c r="I11147">
        <v>214</v>
      </c>
      <c r="J11147">
        <v>1</v>
      </c>
      <c r="K11147">
        <v>238</v>
      </c>
      <c r="L11147">
        <v>417</v>
      </c>
      <c r="M11147">
        <v>1</v>
      </c>
      <c r="N11147">
        <v>5.1405199999999999E-58</v>
      </c>
      <c r="O11147">
        <v>563</v>
      </c>
    </row>
    <row r="11148" spans="1:15" x14ac:dyDescent="0.25">
      <c r="A11148" t="s">
        <v>11161</v>
      </c>
      <c r="B11148">
        <v>821</v>
      </c>
      <c r="C11148" s="1" t="str">
        <f>HYPERLINK("http://www.rosaceae.org/gb/gbrowse/malus_x_domestica/?name=MDP0000287519","MDP0000287519")</f>
        <v>MDP0000287519</v>
      </c>
      <c r="D11148">
        <v>29.83</v>
      </c>
      <c r="E11148">
        <v>238</v>
      </c>
      <c r="F11148">
        <v>167</v>
      </c>
      <c r="G11148">
        <v>60</v>
      </c>
      <c r="H11148">
        <v>396</v>
      </c>
      <c r="I11148">
        <v>582</v>
      </c>
      <c r="J11148">
        <v>1</v>
      </c>
      <c r="K11148">
        <v>18</v>
      </c>
      <c r="L11148">
        <v>246</v>
      </c>
      <c r="M11148">
        <v>1</v>
      </c>
      <c r="N11148">
        <v>7.7368000000000003E-22</v>
      </c>
      <c r="O11148">
        <v>257</v>
      </c>
    </row>
    <row r="11149" spans="1:15" x14ac:dyDescent="0.25">
      <c r="A11149" t="s">
        <v>11162</v>
      </c>
      <c r="B11149">
        <v>440</v>
      </c>
      <c r="C11149" s="1" t="str">
        <f>HYPERLINK("http://www.rosaceae.org/gb/gbrowse/malus_x_domestica/?name=MDP0000565238","MDP0000565238")</f>
        <v>MDP0000565238</v>
      </c>
      <c r="D11149">
        <v>48.03</v>
      </c>
      <c r="E11149">
        <v>433</v>
      </c>
      <c r="F11149">
        <v>225</v>
      </c>
      <c r="G11149">
        <v>29</v>
      </c>
      <c r="H11149">
        <v>26</v>
      </c>
      <c r="I11149">
        <v>440</v>
      </c>
      <c r="J11149">
        <v>1</v>
      </c>
      <c r="K11149">
        <v>104</v>
      </c>
      <c r="L11149">
        <v>525</v>
      </c>
      <c r="M11149">
        <v>1</v>
      </c>
      <c r="N11149">
        <v>9.9111899999999996E-109</v>
      </c>
      <c r="O11149">
        <v>1004</v>
      </c>
    </row>
    <row r="11150" spans="1:15" x14ac:dyDescent="0.25">
      <c r="A11150" t="s">
        <v>11163</v>
      </c>
      <c r="B11150">
        <v>287</v>
      </c>
      <c r="C11150" s="1" t="str">
        <f>HYPERLINK("http://www.rosaceae.org/gb/gbrowse/malus_x_domestica/?name=MDP0000201897","MDP0000201897")</f>
        <v>MDP0000201897</v>
      </c>
      <c r="D11150">
        <v>29.76</v>
      </c>
      <c r="E11150">
        <v>168</v>
      </c>
      <c r="F11150">
        <v>118</v>
      </c>
      <c r="G11150">
        <v>11</v>
      </c>
      <c r="H11150">
        <v>6</v>
      </c>
      <c r="I11150">
        <v>169</v>
      </c>
      <c r="J11150">
        <v>1</v>
      </c>
      <c r="K11150">
        <v>665</v>
      </c>
      <c r="L11150">
        <v>825</v>
      </c>
      <c r="M11150">
        <v>1</v>
      </c>
      <c r="N11150">
        <v>6.0122500000000005E-14</v>
      </c>
      <c r="O11150">
        <v>184</v>
      </c>
    </row>
    <row r="11151" spans="1:15" x14ac:dyDescent="0.25">
      <c r="A11151" t="s">
        <v>11164</v>
      </c>
      <c r="B11151">
        <v>381</v>
      </c>
      <c r="C11151" s="1" t="str">
        <f>HYPERLINK("http://www.rosaceae.org/gb/gbrowse/malus_x_domestica/?name=MDP0000211134","MDP0000211134")</f>
        <v>MDP0000211134</v>
      </c>
      <c r="D11151">
        <v>40</v>
      </c>
      <c r="E11151">
        <v>360</v>
      </c>
      <c r="F11151">
        <v>216</v>
      </c>
      <c r="G11151">
        <v>36</v>
      </c>
      <c r="H11151">
        <v>23</v>
      </c>
      <c r="I11151">
        <v>371</v>
      </c>
      <c r="J11151">
        <v>1</v>
      </c>
      <c r="K11151">
        <v>1</v>
      </c>
      <c r="L11151">
        <v>335</v>
      </c>
      <c r="M11151">
        <v>1</v>
      </c>
      <c r="N11151">
        <v>9.6051000000000008E-56</v>
      </c>
      <c r="O11151">
        <v>546</v>
      </c>
    </row>
    <row r="11152" spans="1:15" x14ac:dyDescent="0.25">
      <c r="A11152" t="s">
        <v>11165</v>
      </c>
      <c r="B11152">
        <v>228</v>
      </c>
      <c r="C11152" s="1" t="str">
        <f>HYPERLINK("http://www.rosaceae.org/gb/gbrowse/malus_x_domestica/?name=MDP0000156582","MDP0000156582")</f>
        <v>MDP0000156582</v>
      </c>
      <c r="D11152">
        <v>34.74</v>
      </c>
      <c r="E11152">
        <v>118</v>
      </c>
      <c r="F11152">
        <v>77</v>
      </c>
      <c r="G11152">
        <v>27</v>
      </c>
      <c r="H11152">
        <v>3</v>
      </c>
      <c r="I11152">
        <v>94</v>
      </c>
      <c r="J11152">
        <v>1</v>
      </c>
      <c r="K11152">
        <v>135</v>
      </c>
      <c r="L11152">
        <v>251</v>
      </c>
      <c r="M11152">
        <v>1</v>
      </c>
      <c r="N11152">
        <v>7.1625899999999996E-7</v>
      </c>
      <c r="O11152">
        <v>122</v>
      </c>
    </row>
    <row r="11153" spans="1:15" x14ac:dyDescent="0.25">
      <c r="A11153" t="s">
        <v>11166</v>
      </c>
      <c r="B11153">
        <v>212</v>
      </c>
      <c r="C11153" s="1" t="str">
        <f>HYPERLINK("http://www.rosaceae.org/gb/gbrowse/malus_x_domestica/?name=MDP0000205657","MDP0000205657")</f>
        <v>MDP0000205657</v>
      </c>
      <c r="D11153">
        <v>51.38</v>
      </c>
      <c r="E11153">
        <v>181</v>
      </c>
      <c r="F11153">
        <v>88</v>
      </c>
      <c r="G11153">
        <v>45</v>
      </c>
      <c r="H11153">
        <v>75</v>
      </c>
      <c r="I11153">
        <v>212</v>
      </c>
      <c r="J11153">
        <v>1</v>
      </c>
      <c r="K11153">
        <v>1</v>
      </c>
      <c r="L11153">
        <v>179</v>
      </c>
      <c r="M11153">
        <v>1</v>
      </c>
      <c r="N11153">
        <v>7.1365000000000001E-34</v>
      </c>
      <c r="O11153">
        <v>354</v>
      </c>
    </row>
    <row r="11154" spans="1:15" x14ac:dyDescent="0.25">
      <c r="A11154" t="s">
        <v>11167</v>
      </c>
      <c r="B11154">
        <v>200</v>
      </c>
      <c r="C11154" s="1" t="str">
        <f>HYPERLINK("http://www.rosaceae.org/gb/gbrowse/malus_x_domestica/?name=MDP0000156412","MDP0000156412")</f>
        <v>MDP0000156412</v>
      </c>
      <c r="D11154">
        <v>55.78</v>
      </c>
      <c r="E11154">
        <v>190</v>
      </c>
      <c r="F11154">
        <v>84</v>
      </c>
      <c r="G11154">
        <v>5</v>
      </c>
      <c r="H11154">
        <v>10</v>
      </c>
      <c r="I11154">
        <v>196</v>
      </c>
      <c r="J11154">
        <v>1</v>
      </c>
      <c r="K11154">
        <v>46</v>
      </c>
      <c r="L11154">
        <v>233</v>
      </c>
      <c r="M11154">
        <v>1</v>
      </c>
      <c r="N11154">
        <v>1.28555E-51</v>
      </c>
      <c r="O11154">
        <v>507</v>
      </c>
    </row>
    <row r="11155" spans="1:15" x14ac:dyDescent="0.25">
      <c r="A11155" t="s">
        <v>11168</v>
      </c>
      <c r="B11155">
        <v>446</v>
      </c>
      <c r="C11155" s="1" t="str">
        <f>HYPERLINK("http://www.rosaceae.org/gb/gbrowse/malus_x_domestica/?name=MDP0000288817","MDP0000288817")</f>
        <v>MDP0000288817</v>
      </c>
      <c r="D11155">
        <v>58.58</v>
      </c>
      <c r="E11155">
        <v>437</v>
      </c>
      <c r="F11155">
        <v>181</v>
      </c>
      <c r="G11155">
        <v>6</v>
      </c>
      <c r="H11155">
        <v>10</v>
      </c>
      <c r="I11155">
        <v>441</v>
      </c>
      <c r="J11155">
        <v>1</v>
      </c>
      <c r="K11155">
        <v>649</v>
      </c>
      <c r="L11155">
        <v>1084</v>
      </c>
      <c r="M11155">
        <v>1</v>
      </c>
      <c r="N11155">
        <v>1.05067E-141</v>
      </c>
      <c r="O11155">
        <v>1288</v>
      </c>
    </row>
    <row r="11156" spans="1:15" x14ac:dyDescent="0.25">
      <c r="A11156" t="s">
        <v>11169</v>
      </c>
      <c r="B11156">
        <v>378</v>
      </c>
      <c r="C11156" s="1" t="str">
        <f>HYPERLINK("http://www.rosaceae.org/gb/gbrowse/malus_x_domestica/?name=MDP0000768445","MDP0000768445")</f>
        <v>MDP0000768445</v>
      </c>
      <c r="D11156">
        <v>51.95</v>
      </c>
      <c r="E11156">
        <v>383</v>
      </c>
      <c r="F11156">
        <v>184</v>
      </c>
      <c r="G11156">
        <v>60</v>
      </c>
      <c r="H11156">
        <v>1</v>
      </c>
      <c r="I11156">
        <v>366</v>
      </c>
      <c r="J11156">
        <v>1</v>
      </c>
      <c r="K11156">
        <v>1</v>
      </c>
      <c r="L11156">
        <v>340</v>
      </c>
      <c r="M11156">
        <v>1</v>
      </c>
      <c r="N11156">
        <v>1.99749E-82</v>
      </c>
      <c r="O11156">
        <v>776</v>
      </c>
    </row>
    <row r="11157" spans="1:15" x14ac:dyDescent="0.25">
      <c r="A11157" t="s">
        <v>11170</v>
      </c>
      <c r="B11157">
        <v>527</v>
      </c>
      <c r="C11157" s="1" t="str">
        <f>HYPERLINK("http://www.rosaceae.org/gb/gbrowse/malus_x_domestica/?name=MDP0000288370","MDP0000288370")</f>
        <v>MDP0000288370</v>
      </c>
      <c r="D11157">
        <v>50.52</v>
      </c>
      <c r="E11157">
        <v>378</v>
      </c>
      <c r="F11157">
        <v>187</v>
      </c>
      <c r="G11157">
        <v>40</v>
      </c>
      <c r="H11157">
        <v>179</v>
      </c>
      <c r="I11157">
        <v>518</v>
      </c>
      <c r="J11157">
        <v>1</v>
      </c>
      <c r="K11157">
        <v>749</v>
      </c>
      <c r="L11157">
        <v>1124</v>
      </c>
      <c r="M11157">
        <v>1</v>
      </c>
      <c r="N11157">
        <v>3.2789299999999999E-99</v>
      </c>
      <c r="O11157">
        <v>922</v>
      </c>
    </row>
    <row r="11158" spans="1:15" x14ac:dyDescent="0.25">
      <c r="A11158" t="s">
        <v>11171</v>
      </c>
      <c r="B11158">
        <v>502</v>
      </c>
      <c r="C11158" s="1" t="str">
        <f>HYPERLINK("http://www.rosaceae.org/gb/gbrowse/malus_x_domestica/?name=MDP0000208046","MDP0000208046")</f>
        <v>MDP0000208046</v>
      </c>
      <c r="D11158">
        <v>82.1</v>
      </c>
      <c r="E11158">
        <v>419</v>
      </c>
      <c r="F11158">
        <v>75</v>
      </c>
      <c r="G11158">
        <v>5</v>
      </c>
      <c r="H11158">
        <v>20</v>
      </c>
      <c r="I11158">
        <v>437</v>
      </c>
      <c r="J11158">
        <v>1</v>
      </c>
      <c r="K11158">
        <v>1</v>
      </c>
      <c r="L11158">
        <v>415</v>
      </c>
      <c r="M11158">
        <v>1</v>
      </c>
      <c r="N11158">
        <v>0</v>
      </c>
      <c r="O11158">
        <v>1859</v>
      </c>
    </row>
    <row r="11159" spans="1:15" x14ac:dyDescent="0.25">
      <c r="A11159" t="s">
        <v>11172</v>
      </c>
      <c r="B11159">
        <v>440</v>
      </c>
      <c r="C11159" s="1" t="str">
        <f>HYPERLINK("http://www.rosaceae.org/gb/gbrowse/malus_x_domestica/?name=MDP0000822921","MDP0000822921")</f>
        <v>MDP0000822921</v>
      </c>
      <c r="D11159">
        <v>74.16</v>
      </c>
      <c r="E11159">
        <v>418</v>
      </c>
      <c r="F11159">
        <v>108</v>
      </c>
      <c r="G11159">
        <v>5</v>
      </c>
      <c r="H11159">
        <v>19</v>
      </c>
      <c r="I11159">
        <v>435</v>
      </c>
      <c r="J11159">
        <v>1</v>
      </c>
      <c r="K11159">
        <v>20</v>
      </c>
      <c r="L11159">
        <v>433</v>
      </c>
      <c r="M11159">
        <v>1</v>
      </c>
      <c r="N11159">
        <v>0</v>
      </c>
      <c r="O11159">
        <v>1665</v>
      </c>
    </row>
    <row r="11160" spans="1:15" x14ac:dyDescent="0.25">
      <c r="A11160" t="s">
        <v>11173</v>
      </c>
      <c r="B11160">
        <v>623</v>
      </c>
      <c r="C11160" s="1" t="str">
        <f>HYPERLINK("http://www.rosaceae.org/gb/gbrowse/malus_x_domestica/?name=MDP0000844729","MDP0000844729")</f>
        <v>MDP0000844729</v>
      </c>
      <c r="D11160">
        <v>96.62</v>
      </c>
      <c r="E11160">
        <v>623</v>
      </c>
      <c r="F11160">
        <v>21</v>
      </c>
      <c r="G11160">
        <v>0</v>
      </c>
      <c r="H11160">
        <v>1</v>
      </c>
      <c r="I11160">
        <v>623</v>
      </c>
      <c r="J11160">
        <v>1</v>
      </c>
      <c r="K11160">
        <v>1</v>
      </c>
      <c r="L11160">
        <v>623</v>
      </c>
      <c r="M11160">
        <v>1</v>
      </c>
      <c r="N11160">
        <v>0</v>
      </c>
      <c r="O11160">
        <v>3237</v>
      </c>
    </row>
    <row r="11161" spans="1:15" x14ac:dyDescent="0.25">
      <c r="A11161" t="s">
        <v>11174</v>
      </c>
      <c r="B11161">
        <v>363</v>
      </c>
      <c r="C11161" s="1" t="str">
        <f>HYPERLINK("http://www.rosaceae.org/gb/gbrowse/malus_x_domestica/?name=MDP0000128887","MDP0000128887")</f>
        <v>MDP0000128887</v>
      </c>
      <c r="D11161">
        <v>40.049999999999997</v>
      </c>
      <c r="E11161">
        <v>367</v>
      </c>
      <c r="F11161">
        <v>220</v>
      </c>
      <c r="G11161">
        <v>65</v>
      </c>
      <c r="H11161">
        <v>13</v>
      </c>
      <c r="I11161">
        <v>354</v>
      </c>
      <c r="J11161">
        <v>1</v>
      </c>
      <c r="K11161">
        <v>37</v>
      </c>
      <c r="L11161">
        <v>363</v>
      </c>
      <c r="M11161">
        <v>1</v>
      </c>
      <c r="N11161">
        <v>1.19377E-51</v>
      </c>
      <c r="O11161">
        <v>510</v>
      </c>
    </row>
    <row r="11162" spans="1:15" x14ac:dyDescent="0.25">
      <c r="A11162" t="s">
        <v>11175</v>
      </c>
      <c r="B11162">
        <v>114</v>
      </c>
      <c r="C11162" s="1" t="str">
        <f>HYPERLINK("http://www.rosaceae.org/gb/gbrowse/malus_x_domestica/?name=MDP0000312793","MDP0000312793")</f>
        <v>MDP0000312793</v>
      </c>
      <c r="D11162">
        <v>36.020000000000003</v>
      </c>
      <c r="E11162">
        <v>136</v>
      </c>
      <c r="F11162">
        <v>87</v>
      </c>
      <c r="G11162">
        <v>29</v>
      </c>
      <c r="H11162">
        <v>1</v>
      </c>
      <c r="I11162">
        <v>114</v>
      </c>
      <c r="J11162">
        <v>1</v>
      </c>
      <c r="K11162">
        <v>249</v>
      </c>
      <c r="L11162">
        <v>377</v>
      </c>
      <c r="M11162">
        <v>1</v>
      </c>
      <c r="N11162">
        <v>1.35315E-14</v>
      </c>
      <c r="O11162">
        <v>183</v>
      </c>
    </row>
    <row r="11163" spans="1:15" x14ac:dyDescent="0.25">
      <c r="A11163" t="s">
        <v>11176</v>
      </c>
      <c r="B11163">
        <v>137</v>
      </c>
      <c r="C11163" s="1" t="str">
        <f>HYPERLINK("http://www.rosaceae.org/gb/gbrowse/malus_x_domestica/?name=MDP0000232052","MDP0000232052")</f>
        <v>MDP0000232052</v>
      </c>
      <c r="D11163">
        <v>63.91</v>
      </c>
      <c r="E11163">
        <v>97</v>
      </c>
      <c r="F11163">
        <v>35</v>
      </c>
      <c r="G11163">
        <v>1</v>
      </c>
      <c r="H11163">
        <v>7</v>
      </c>
      <c r="I11163">
        <v>103</v>
      </c>
      <c r="J11163">
        <v>1</v>
      </c>
      <c r="K11163">
        <v>161</v>
      </c>
      <c r="L11163">
        <v>256</v>
      </c>
      <c r="M11163">
        <v>1</v>
      </c>
      <c r="N11163">
        <v>7.2435700000000001E-31</v>
      </c>
      <c r="O11163">
        <v>325</v>
      </c>
    </row>
    <row r="11164" spans="1:15" x14ac:dyDescent="0.25">
      <c r="A11164" t="s">
        <v>11177</v>
      </c>
      <c r="B11164">
        <v>323</v>
      </c>
      <c r="C11164" s="1" t="str">
        <f>HYPERLINK("http://www.rosaceae.org/gb/gbrowse/malus_x_domestica/?name=MDP0000231072","MDP0000231072")</f>
        <v>MDP0000231072</v>
      </c>
      <c r="D11164">
        <v>47.36</v>
      </c>
      <c r="E11164">
        <v>190</v>
      </c>
      <c r="F11164">
        <v>100</v>
      </c>
      <c r="G11164">
        <v>34</v>
      </c>
      <c r="H11164">
        <v>141</v>
      </c>
      <c r="I11164">
        <v>322</v>
      </c>
      <c r="J11164">
        <v>1</v>
      </c>
      <c r="K11164">
        <v>4</v>
      </c>
      <c r="L11164">
        <v>167</v>
      </c>
      <c r="M11164">
        <v>1</v>
      </c>
      <c r="N11164">
        <v>2.02368E-38</v>
      </c>
      <c r="O11164">
        <v>396</v>
      </c>
    </row>
    <row r="11165" spans="1:15" x14ac:dyDescent="0.25">
      <c r="A11165" t="s">
        <v>11178</v>
      </c>
      <c r="B11165">
        <v>137</v>
      </c>
      <c r="C11165" s="1" t="str">
        <f>HYPERLINK("http://www.rosaceae.org/gb/gbrowse/malus_x_domestica/?name=MDP0000419029","MDP0000419029")</f>
        <v>MDP0000419029</v>
      </c>
      <c r="D11165">
        <v>82.48</v>
      </c>
      <c r="E11165">
        <v>137</v>
      </c>
      <c r="F11165">
        <v>24</v>
      </c>
      <c r="G11165">
        <v>0</v>
      </c>
      <c r="H11165">
        <v>1</v>
      </c>
      <c r="I11165">
        <v>137</v>
      </c>
      <c r="J11165">
        <v>1</v>
      </c>
      <c r="K11165">
        <v>307</v>
      </c>
      <c r="L11165">
        <v>443</v>
      </c>
      <c r="M11165">
        <v>1</v>
      </c>
      <c r="N11165">
        <v>1.7209800000000002E-67</v>
      </c>
      <c r="O11165">
        <v>641</v>
      </c>
    </row>
    <row r="11166" spans="1:15" x14ac:dyDescent="0.25">
      <c r="A11166" t="s">
        <v>11179</v>
      </c>
      <c r="B11166">
        <v>337</v>
      </c>
      <c r="C11166" s="1" t="str">
        <f>HYPERLINK("http://www.rosaceae.org/gb/gbrowse/malus_x_domestica/?name=MDP0000688533","MDP0000688533")</f>
        <v>MDP0000688533</v>
      </c>
      <c r="D11166">
        <v>50.98</v>
      </c>
      <c r="E11166">
        <v>304</v>
      </c>
      <c r="F11166">
        <v>149</v>
      </c>
      <c r="G11166">
        <v>24</v>
      </c>
      <c r="H11166">
        <v>47</v>
      </c>
      <c r="I11166">
        <v>332</v>
      </c>
      <c r="J11166">
        <v>1</v>
      </c>
      <c r="K11166">
        <v>96</v>
      </c>
      <c r="L11166">
        <v>393</v>
      </c>
      <c r="M11166">
        <v>1</v>
      </c>
      <c r="N11166">
        <v>1.0233300000000001E-71</v>
      </c>
      <c r="O11166">
        <v>683</v>
      </c>
    </row>
    <row r="11167" spans="1:15" x14ac:dyDescent="0.25">
      <c r="A11167" t="s">
        <v>11180</v>
      </c>
      <c r="B11167">
        <v>618</v>
      </c>
      <c r="C11167" s="1" t="str">
        <f>HYPERLINK("http://www.rosaceae.org/gb/gbrowse/malus_x_domestica/?name=MDP0000320783","MDP0000320783")</f>
        <v>MDP0000320783</v>
      </c>
      <c r="D11167">
        <v>41.89</v>
      </c>
      <c r="E11167">
        <v>685</v>
      </c>
      <c r="F11167">
        <v>398</v>
      </c>
      <c r="G11167">
        <v>168</v>
      </c>
      <c r="H11167">
        <v>78</v>
      </c>
      <c r="I11167">
        <v>617</v>
      </c>
      <c r="J11167">
        <v>1</v>
      </c>
      <c r="K11167">
        <v>64</v>
      </c>
      <c r="L11167">
        <v>725</v>
      </c>
      <c r="M11167">
        <v>1</v>
      </c>
      <c r="N11167">
        <v>1.8779899999999999E-118</v>
      </c>
      <c r="O11167">
        <v>1089</v>
      </c>
    </row>
    <row r="11168" spans="1:15" x14ac:dyDescent="0.25">
      <c r="A11168" t="s">
        <v>11181</v>
      </c>
      <c r="B11168">
        <v>342</v>
      </c>
      <c r="C11168" s="1" t="str">
        <f>HYPERLINK("http://www.rosaceae.org/gb/gbrowse/malus_x_domestica/?name=MDP0000291335","MDP0000291335")</f>
        <v>MDP0000291335</v>
      </c>
      <c r="D11168">
        <v>57</v>
      </c>
      <c r="E11168">
        <v>314</v>
      </c>
      <c r="F11168">
        <v>135</v>
      </c>
      <c r="G11168">
        <v>65</v>
      </c>
      <c r="H11168">
        <v>35</v>
      </c>
      <c r="I11168">
        <v>341</v>
      </c>
      <c r="J11168">
        <v>1</v>
      </c>
      <c r="K11168">
        <v>587</v>
      </c>
      <c r="L11168">
        <v>842</v>
      </c>
      <c r="M11168">
        <v>1</v>
      </c>
      <c r="N11168">
        <v>1.0309099999999999E-90</v>
      </c>
      <c r="O11168">
        <v>847</v>
      </c>
    </row>
    <row r="11169" spans="1:15" x14ac:dyDescent="0.25">
      <c r="A11169" t="s">
        <v>11182</v>
      </c>
      <c r="B11169">
        <v>715</v>
      </c>
      <c r="C11169" s="1" t="str">
        <f>HYPERLINK("http://www.rosaceae.org/gb/gbrowse/malus_x_domestica/?name=MDP0000307313","MDP0000307313")</f>
        <v>MDP0000307313</v>
      </c>
      <c r="D11169">
        <v>63</v>
      </c>
      <c r="E11169">
        <v>619</v>
      </c>
      <c r="F11169">
        <v>229</v>
      </c>
      <c r="G11169">
        <v>11</v>
      </c>
      <c r="H11169">
        <v>99</v>
      </c>
      <c r="I11169">
        <v>712</v>
      </c>
      <c r="J11169">
        <v>1</v>
      </c>
      <c r="K11169">
        <v>341</v>
      </c>
      <c r="L11169">
        <v>953</v>
      </c>
      <c r="M11169">
        <v>1</v>
      </c>
      <c r="N11169">
        <v>0</v>
      </c>
      <c r="O11169">
        <v>1948</v>
      </c>
    </row>
    <row r="11170" spans="1:15" x14ac:dyDescent="0.25">
      <c r="A11170" t="s">
        <v>11183</v>
      </c>
      <c r="B11170">
        <v>728</v>
      </c>
      <c r="C11170" s="1" t="str">
        <f>HYPERLINK("http://www.rosaceae.org/gb/gbrowse/malus_x_domestica/?name=MDP0000763092","MDP0000763092")</f>
        <v>MDP0000763092</v>
      </c>
      <c r="D11170">
        <v>61.81</v>
      </c>
      <c r="E11170">
        <v>639</v>
      </c>
      <c r="F11170">
        <v>244</v>
      </c>
      <c r="G11170">
        <v>30</v>
      </c>
      <c r="H11170">
        <v>31</v>
      </c>
      <c r="I11170">
        <v>650</v>
      </c>
      <c r="J11170">
        <v>1</v>
      </c>
      <c r="K11170">
        <v>29</v>
      </c>
      <c r="L11170">
        <v>656</v>
      </c>
      <c r="M11170">
        <v>1</v>
      </c>
      <c r="N11170">
        <v>0</v>
      </c>
      <c r="O11170">
        <v>1957</v>
      </c>
    </row>
    <row r="11171" spans="1:15" x14ac:dyDescent="0.25">
      <c r="A11171" t="s">
        <v>11184</v>
      </c>
      <c r="B11171">
        <v>1151</v>
      </c>
      <c r="C11171" s="1" t="str">
        <f>HYPERLINK("http://www.rosaceae.org/gb/gbrowse/malus_x_domestica/?name=MDP0000741963","MDP0000741963")</f>
        <v>MDP0000741963</v>
      </c>
      <c r="D11171">
        <v>66.010000000000005</v>
      </c>
      <c r="E11171">
        <v>662</v>
      </c>
      <c r="F11171">
        <v>225</v>
      </c>
      <c r="G11171">
        <v>116</v>
      </c>
      <c r="H11171">
        <v>526</v>
      </c>
      <c r="I11171">
        <v>1149</v>
      </c>
      <c r="J11171">
        <v>1</v>
      </c>
      <c r="K11171">
        <v>1</v>
      </c>
      <c r="L11171">
        <v>584</v>
      </c>
      <c r="M11171">
        <v>1</v>
      </c>
      <c r="N11171">
        <v>0</v>
      </c>
      <c r="O11171">
        <v>2134</v>
      </c>
    </row>
    <row r="11172" spans="1:15" x14ac:dyDescent="0.25">
      <c r="A11172" t="s">
        <v>11185</v>
      </c>
      <c r="B11172">
        <v>133</v>
      </c>
      <c r="C11172" s="1" t="str">
        <f>HYPERLINK("http://www.rosaceae.org/gb/gbrowse/malus_x_domestica/?name=MDP0000298548","MDP0000298548")</f>
        <v>MDP0000298548</v>
      </c>
      <c r="D11172">
        <v>63.41</v>
      </c>
      <c r="E11172">
        <v>41</v>
      </c>
      <c r="F11172">
        <v>15</v>
      </c>
      <c r="G11172">
        <v>0</v>
      </c>
      <c r="H11172">
        <v>92</v>
      </c>
      <c r="I11172">
        <v>132</v>
      </c>
      <c r="J11172">
        <v>1</v>
      </c>
      <c r="K11172">
        <v>96</v>
      </c>
      <c r="L11172">
        <v>136</v>
      </c>
      <c r="M11172">
        <v>1</v>
      </c>
      <c r="N11172">
        <v>3.4665800000000001E-7</v>
      </c>
      <c r="O11172">
        <v>120</v>
      </c>
    </row>
    <row r="11173" spans="1:15" x14ac:dyDescent="0.25">
      <c r="A11173" t="s">
        <v>11186</v>
      </c>
      <c r="B11173">
        <v>475</v>
      </c>
      <c r="C11173" s="1" t="str">
        <f>HYPERLINK("http://www.rosaceae.org/gb/gbrowse/malus_x_domestica/?name=MDP0000182948","MDP0000182948")</f>
        <v>MDP0000182948</v>
      </c>
      <c r="D11173">
        <v>89.77</v>
      </c>
      <c r="E11173">
        <v>264</v>
      </c>
      <c r="F11173">
        <v>27</v>
      </c>
      <c r="G11173">
        <v>0</v>
      </c>
      <c r="H11173">
        <v>41</v>
      </c>
      <c r="I11173">
        <v>304</v>
      </c>
      <c r="J11173">
        <v>1</v>
      </c>
      <c r="K11173">
        <v>834</v>
      </c>
      <c r="L11173">
        <v>1097</v>
      </c>
      <c r="M11173">
        <v>1</v>
      </c>
      <c r="N11173">
        <v>3.4598799999999997E-141</v>
      </c>
      <c r="O11173">
        <v>1284</v>
      </c>
    </row>
    <row r="11174" spans="1:15" x14ac:dyDescent="0.25">
      <c r="A11174" t="s">
        <v>11187</v>
      </c>
      <c r="B11174">
        <v>501</v>
      </c>
      <c r="C11174" s="1" t="str">
        <f>HYPERLINK("http://www.rosaceae.org/gb/gbrowse/malus_x_domestica/?name=MDP0000222340","MDP0000222340")</f>
        <v>MDP0000222340</v>
      </c>
      <c r="D11174">
        <v>48.9</v>
      </c>
      <c r="E11174">
        <v>503</v>
      </c>
      <c r="F11174">
        <v>257</v>
      </c>
      <c r="G11174">
        <v>20</v>
      </c>
      <c r="H11174">
        <v>1</v>
      </c>
      <c r="I11174">
        <v>491</v>
      </c>
      <c r="J11174">
        <v>1</v>
      </c>
      <c r="K11174">
        <v>1</v>
      </c>
      <c r="L11174">
        <v>495</v>
      </c>
      <c r="M11174">
        <v>1</v>
      </c>
      <c r="N11174">
        <v>4.3811400000000001E-116</v>
      </c>
      <c r="O11174">
        <v>1068</v>
      </c>
    </row>
    <row r="11175" spans="1:15" x14ac:dyDescent="0.25">
      <c r="A11175" t="s">
        <v>11188</v>
      </c>
      <c r="B11175">
        <v>401</v>
      </c>
      <c r="C11175" s="1" t="str">
        <f>HYPERLINK("http://www.rosaceae.org/gb/gbrowse/malus_x_domestica/?name=MDP0000220074","MDP0000220074")</f>
        <v>MDP0000220074</v>
      </c>
      <c r="D11175">
        <v>81.680000000000007</v>
      </c>
      <c r="E11175">
        <v>333</v>
      </c>
      <c r="F11175">
        <v>61</v>
      </c>
      <c r="G11175">
        <v>4</v>
      </c>
      <c r="H11175">
        <v>69</v>
      </c>
      <c r="I11175">
        <v>401</v>
      </c>
      <c r="J11175">
        <v>1</v>
      </c>
      <c r="K11175">
        <v>81</v>
      </c>
      <c r="L11175">
        <v>409</v>
      </c>
      <c r="M11175">
        <v>1</v>
      </c>
      <c r="N11175">
        <v>1.09947E-151</v>
      </c>
      <c r="O11175">
        <v>1374</v>
      </c>
    </row>
    <row r="11176" spans="1:15" x14ac:dyDescent="0.25">
      <c r="A11176" t="s">
        <v>11189</v>
      </c>
      <c r="B11176">
        <v>259</v>
      </c>
      <c r="C11176" s="1" t="str">
        <f>HYPERLINK("http://www.rosaceae.org/gb/gbrowse/malus_x_domestica/?name=MDP0000156682","MDP0000156682")</f>
        <v>MDP0000156682</v>
      </c>
      <c r="D11176">
        <v>58.42</v>
      </c>
      <c r="E11176">
        <v>89</v>
      </c>
      <c r="F11176">
        <v>37</v>
      </c>
      <c r="G11176">
        <v>5</v>
      </c>
      <c r="H11176">
        <v>148</v>
      </c>
      <c r="I11176">
        <v>231</v>
      </c>
      <c r="J11176">
        <v>1</v>
      </c>
      <c r="K11176">
        <v>1</v>
      </c>
      <c r="L11176">
        <v>89</v>
      </c>
      <c r="M11176">
        <v>1</v>
      </c>
      <c r="N11176">
        <v>1.1550800000000001E-21</v>
      </c>
      <c r="O11176">
        <v>250</v>
      </c>
    </row>
    <row r="11177" spans="1:15" x14ac:dyDescent="0.25">
      <c r="A11177" t="s">
        <v>11190</v>
      </c>
      <c r="B11177">
        <v>1119</v>
      </c>
      <c r="C11177" s="1" t="str">
        <f>HYPERLINK("http://www.rosaceae.org/gb/gbrowse/malus_x_domestica/?name=MDP0000292881","MDP0000292881")</f>
        <v>MDP0000292881</v>
      </c>
      <c r="D11177">
        <v>93.26</v>
      </c>
      <c r="E11177">
        <v>1069</v>
      </c>
      <c r="F11177">
        <v>72</v>
      </c>
      <c r="G11177">
        <v>6</v>
      </c>
      <c r="H11177">
        <v>48</v>
      </c>
      <c r="I11177">
        <v>1113</v>
      </c>
      <c r="J11177">
        <v>1</v>
      </c>
      <c r="K11177">
        <v>1</v>
      </c>
      <c r="L11177">
        <v>1066</v>
      </c>
      <c r="M11177">
        <v>1</v>
      </c>
      <c r="N11177">
        <v>0</v>
      </c>
      <c r="O11177">
        <v>5419</v>
      </c>
    </row>
    <row r="11178" spans="1:15" x14ac:dyDescent="0.25">
      <c r="A11178" t="s">
        <v>11191</v>
      </c>
      <c r="B11178">
        <v>272</v>
      </c>
      <c r="C11178" s="1" t="str">
        <f>HYPERLINK("http://www.rosaceae.org/gb/gbrowse/malus_x_domestica/?name=MDP0000872301","MDP0000872301")</f>
        <v>MDP0000872301</v>
      </c>
      <c r="D11178">
        <v>81.92</v>
      </c>
      <c r="E11178">
        <v>249</v>
      </c>
      <c r="F11178">
        <v>45</v>
      </c>
      <c r="G11178">
        <v>0</v>
      </c>
      <c r="H11178">
        <v>24</v>
      </c>
      <c r="I11178">
        <v>272</v>
      </c>
      <c r="J11178">
        <v>1</v>
      </c>
      <c r="K11178">
        <v>1</v>
      </c>
      <c r="L11178">
        <v>249</v>
      </c>
      <c r="M11178">
        <v>1</v>
      </c>
      <c r="N11178">
        <v>1.0635E-114</v>
      </c>
      <c r="O11178">
        <v>1053</v>
      </c>
    </row>
    <row r="11179" spans="1:15" x14ac:dyDescent="0.25">
      <c r="A11179" t="s">
        <v>11192</v>
      </c>
      <c r="B11179">
        <v>1190</v>
      </c>
      <c r="C11179" s="1" t="str">
        <f>HYPERLINK("http://www.rosaceae.org/gb/gbrowse/malus_x_domestica/?name=MDP0000300669","MDP0000300669")</f>
        <v>MDP0000300669</v>
      </c>
      <c r="D11179">
        <v>84.57</v>
      </c>
      <c r="E11179">
        <v>1199</v>
      </c>
      <c r="F11179">
        <v>185</v>
      </c>
      <c r="G11179">
        <v>23</v>
      </c>
      <c r="H11179">
        <v>1</v>
      </c>
      <c r="I11179">
        <v>1190</v>
      </c>
      <c r="J11179">
        <v>1</v>
      </c>
      <c r="K11179">
        <v>1</v>
      </c>
      <c r="L11179">
        <v>1185</v>
      </c>
      <c r="M11179">
        <v>1</v>
      </c>
      <c r="N11179">
        <v>0</v>
      </c>
      <c r="O11179">
        <v>5338</v>
      </c>
    </row>
    <row r="11180" spans="1:15" x14ac:dyDescent="0.25">
      <c r="A11180" t="s">
        <v>11193</v>
      </c>
      <c r="B11180">
        <v>639</v>
      </c>
      <c r="C11180" s="1" t="str">
        <f>HYPERLINK("http://www.rosaceae.org/gb/gbrowse/malus_x_domestica/?name=MDP0000224315","MDP0000224315")</f>
        <v>MDP0000224315</v>
      </c>
      <c r="D11180">
        <v>36.299999999999997</v>
      </c>
      <c r="E11180">
        <v>146</v>
      </c>
      <c r="F11180">
        <v>93</v>
      </c>
      <c r="G11180">
        <v>4</v>
      </c>
      <c r="H11180">
        <v>5</v>
      </c>
      <c r="I11180">
        <v>148</v>
      </c>
      <c r="J11180">
        <v>1</v>
      </c>
      <c r="K11180">
        <v>62</v>
      </c>
      <c r="L11180">
        <v>205</v>
      </c>
      <c r="M11180">
        <v>1</v>
      </c>
      <c r="N11180">
        <v>4.5366900000000002E-16</v>
      </c>
      <c r="O11180">
        <v>206</v>
      </c>
    </row>
    <row r="11181" spans="1:15" x14ac:dyDescent="0.25">
      <c r="A11181" t="s">
        <v>11194</v>
      </c>
      <c r="B11181">
        <v>169</v>
      </c>
      <c r="C11181" s="1" t="str">
        <f>HYPERLINK("http://www.rosaceae.org/gb/gbrowse/malus_x_domestica/?name=MDP0000318032","MDP0000318032")</f>
        <v>MDP0000318032</v>
      </c>
      <c r="D11181">
        <v>92.76</v>
      </c>
      <c r="E11181">
        <v>152</v>
      </c>
      <c r="F11181">
        <v>11</v>
      </c>
      <c r="G11181">
        <v>0</v>
      </c>
      <c r="H11181">
        <v>1</v>
      </c>
      <c r="I11181">
        <v>152</v>
      </c>
      <c r="J11181">
        <v>1</v>
      </c>
      <c r="K11181">
        <v>1</v>
      </c>
      <c r="L11181">
        <v>152</v>
      </c>
      <c r="M11181">
        <v>1</v>
      </c>
      <c r="N11181">
        <v>2.3376799999999999E-83</v>
      </c>
      <c r="O11181">
        <v>779</v>
      </c>
    </row>
    <row r="11182" spans="1:15" x14ac:dyDescent="0.25">
      <c r="A11182" t="s">
        <v>11195</v>
      </c>
      <c r="B11182">
        <v>831</v>
      </c>
      <c r="C11182" s="1" t="str">
        <f>HYPERLINK("http://www.rosaceae.org/gb/gbrowse/malus_x_domestica/?name=MDP0000269498","MDP0000269498")</f>
        <v>MDP0000269498</v>
      </c>
      <c r="D11182">
        <v>84.57</v>
      </c>
      <c r="E11182">
        <v>849</v>
      </c>
      <c r="F11182">
        <v>131</v>
      </c>
      <c r="G11182">
        <v>23</v>
      </c>
      <c r="H11182">
        <v>1</v>
      </c>
      <c r="I11182">
        <v>831</v>
      </c>
      <c r="J11182">
        <v>1</v>
      </c>
      <c r="K11182">
        <v>1</v>
      </c>
      <c r="L11182">
        <v>844</v>
      </c>
      <c r="M11182">
        <v>1</v>
      </c>
      <c r="N11182">
        <v>0</v>
      </c>
      <c r="O11182">
        <v>3764</v>
      </c>
    </row>
    <row r="11183" spans="1:15" x14ac:dyDescent="0.25">
      <c r="A11183" t="s">
        <v>11196</v>
      </c>
      <c r="B11183">
        <v>220</v>
      </c>
      <c r="C11183" s="1" t="str">
        <f>HYPERLINK("http://www.rosaceae.org/gb/gbrowse/malus_x_domestica/?name=MDP0000720497","MDP0000720497")</f>
        <v>MDP0000720497</v>
      </c>
      <c r="D11183">
        <v>84.72</v>
      </c>
      <c r="E11183">
        <v>72</v>
      </c>
      <c r="F11183">
        <v>11</v>
      </c>
      <c r="G11183">
        <v>0</v>
      </c>
      <c r="H11183">
        <v>11</v>
      </c>
      <c r="I11183">
        <v>82</v>
      </c>
      <c r="J11183">
        <v>1</v>
      </c>
      <c r="K11183">
        <v>52</v>
      </c>
      <c r="L11183">
        <v>123</v>
      </c>
      <c r="M11183">
        <v>1</v>
      </c>
      <c r="N11183">
        <v>5.4780300000000004E-31</v>
      </c>
      <c r="O11183">
        <v>329</v>
      </c>
    </row>
    <row r="11184" spans="1:15" x14ac:dyDescent="0.25">
      <c r="A11184" t="s">
        <v>11197</v>
      </c>
      <c r="B11184">
        <v>363</v>
      </c>
      <c r="C11184" s="1" t="str">
        <f>HYPERLINK("http://www.rosaceae.org/gb/gbrowse/malus_x_domestica/?name=MDP0000478769","MDP0000478769")</f>
        <v>MDP0000478769</v>
      </c>
      <c r="D11184">
        <v>78.209999999999994</v>
      </c>
      <c r="E11184">
        <v>358</v>
      </c>
      <c r="F11184">
        <v>78</v>
      </c>
      <c r="G11184">
        <v>0</v>
      </c>
      <c r="H11184">
        <v>1</v>
      </c>
      <c r="I11184">
        <v>358</v>
      </c>
      <c r="J11184">
        <v>1</v>
      </c>
      <c r="K11184">
        <v>54</v>
      </c>
      <c r="L11184">
        <v>411</v>
      </c>
      <c r="M11184">
        <v>1</v>
      </c>
      <c r="N11184">
        <v>3.4426000000000002E-168</v>
      </c>
      <c r="O11184">
        <v>1515</v>
      </c>
    </row>
    <row r="11185" spans="1:15" x14ac:dyDescent="0.25">
      <c r="A11185" t="s">
        <v>11198</v>
      </c>
      <c r="B11185">
        <v>305</v>
      </c>
      <c r="C11185" s="1" t="str">
        <f>HYPERLINK("http://www.rosaceae.org/gb/gbrowse/malus_x_domestica/?name=MDP0000286168","MDP0000286168")</f>
        <v>MDP0000286168</v>
      </c>
      <c r="D11185">
        <v>66.459999999999994</v>
      </c>
      <c r="E11185">
        <v>328</v>
      </c>
      <c r="F11185">
        <v>110</v>
      </c>
      <c r="G11185">
        <v>41</v>
      </c>
      <c r="H11185">
        <v>1</v>
      </c>
      <c r="I11185">
        <v>298</v>
      </c>
      <c r="J11185">
        <v>1</v>
      </c>
      <c r="K11185">
        <v>1</v>
      </c>
      <c r="L11185">
        <v>317</v>
      </c>
      <c r="M11185">
        <v>1</v>
      </c>
      <c r="N11185">
        <v>3.8158999999999999E-117</v>
      </c>
      <c r="O11185">
        <v>1074</v>
      </c>
    </row>
    <row r="11186" spans="1:15" x14ac:dyDescent="0.25">
      <c r="A11186" t="s">
        <v>11199</v>
      </c>
      <c r="B11186">
        <v>492</v>
      </c>
      <c r="C11186" s="1" t="str">
        <f>HYPERLINK("http://www.rosaceae.org/gb/gbrowse/malus_x_domestica/?name=MDP0000181794","MDP0000181794")</f>
        <v>MDP0000181794</v>
      </c>
      <c r="D11186">
        <v>44.8</v>
      </c>
      <c r="E11186">
        <v>500</v>
      </c>
      <c r="F11186">
        <v>276</v>
      </c>
      <c r="G11186">
        <v>20</v>
      </c>
      <c r="H11186">
        <v>1</v>
      </c>
      <c r="I11186">
        <v>485</v>
      </c>
      <c r="J11186">
        <v>1</v>
      </c>
      <c r="K11186">
        <v>23</v>
      </c>
      <c r="L11186">
        <v>517</v>
      </c>
      <c r="M11186">
        <v>1</v>
      </c>
      <c r="N11186">
        <v>2.09606E-104</v>
      </c>
      <c r="O11186">
        <v>967</v>
      </c>
    </row>
    <row r="11187" spans="1:15" x14ac:dyDescent="0.25">
      <c r="A11187" t="s">
        <v>11200</v>
      </c>
      <c r="B11187">
        <v>343</v>
      </c>
      <c r="C11187" s="1" t="str">
        <f>HYPERLINK("http://www.rosaceae.org/gb/gbrowse/malus_x_domestica/?name=MDP0000226326","MDP0000226326")</f>
        <v>MDP0000226326</v>
      </c>
      <c r="D11187">
        <v>66.66</v>
      </c>
      <c r="E11187">
        <v>342</v>
      </c>
      <c r="F11187">
        <v>114</v>
      </c>
      <c r="G11187">
        <v>16</v>
      </c>
      <c r="H11187">
        <v>14</v>
      </c>
      <c r="I11187">
        <v>341</v>
      </c>
      <c r="J11187">
        <v>1</v>
      </c>
      <c r="K11187">
        <v>27</v>
      </c>
      <c r="L11187">
        <v>366</v>
      </c>
      <c r="M11187">
        <v>1</v>
      </c>
      <c r="N11187">
        <v>8.1547999999999996E-137</v>
      </c>
      <c r="O11187">
        <v>1245</v>
      </c>
    </row>
    <row r="11188" spans="1:15" x14ac:dyDescent="0.25">
      <c r="A11188" t="s">
        <v>11201</v>
      </c>
      <c r="B11188">
        <v>669</v>
      </c>
      <c r="C11188" s="1" t="str">
        <f>HYPERLINK("http://www.rosaceae.org/gb/gbrowse/malus_x_domestica/?name=MDP0000478657","MDP0000478657")</f>
        <v>MDP0000478657</v>
      </c>
      <c r="D11188">
        <v>70.14</v>
      </c>
      <c r="E11188">
        <v>603</v>
      </c>
      <c r="F11188">
        <v>180</v>
      </c>
      <c r="G11188">
        <v>1</v>
      </c>
      <c r="H11188">
        <v>21</v>
      </c>
      <c r="I11188">
        <v>623</v>
      </c>
      <c r="J11188">
        <v>1</v>
      </c>
      <c r="K11188">
        <v>21</v>
      </c>
      <c r="L11188">
        <v>622</v>
      </c>
      <c r="M11188">
        <v>1</v>
      </c>
      <c r="N11188">
        <v>0</v>
      </c>
      <c r="O11188">
        <v>2179</v>
      </c>
    </row>
    <row r="11189" spans="1:15" x14ac:dyDescent="0.25">
      <c r="A11189" t="s">
        <v>11202</v>
      </c>
      <c r="B11189">
        <v>1053</v>
      </c>
      <c r="C11189" s="1" t="str">
        <f>HYPERLINK("http://www.rosaceae.org/gb/gbrowse/malus_x_domestica/?name=MDP0000265452","MDP0000265452")</f>
        <v>MDP0000265452</v>
      </c>
      <c r="D11189">
        <v>83.33</v>
      </c>
      <c r="E11189">
        <v>354</v>
      </c>
      <c r="F11189">
        <v>59</v>
      </c>
      <c r="G11189">
        <v>0</v>
      </c>
      <c r="H11189">
        <v>697</v>
      </c>
      <c r="I11189">
        <v>1050</v>
      </c>
      <c r="J11189">
        <v>1</v>
      </c>
      <c r="K11189">
        <v>571</v>
      </c>
      <c r="L11189">
        <v>924</v>
      </c>
      <c r="M11189">
        <v>1</v>
      </c>
      <c r="N11189">
        <v>0</v>
      </c>
      <c r="O11189">
        <v>1655</v>
      </c>
    </row>
    <row r="11190" spans="1:15" x14ac:dyDescent="0.25">
      <c r="A11190" t="s">
        <v>11203</v>
      </c>
      <c r="B11190">
        <v>412</v>
      </c>
      <c r="C11190" s="1" t="str">
        <f>HYPERLINK("http://www.rosaceae.org/gb/gbrowse/malus_x_domestica/?name=MDP0000271854","MDP0000271854")</f>
        <v>MDP0000271854</v>
      </c>
      <c r="D11190">
        <v>75.8</v>
      </c>
      <c r="E11190">
        <v>124</v>
      </c>
      <c r="F11190">
        <v>30</v>
      </c>
      <c r="G11190">
        <v>2</v>
      </c>
      <c r="H11190">
        <v>4</v>
      </c>
      <c r="I11190">
        <v>125</v>
      </c>
      <c r="J11190">
        <v>1</v>
      </c>
      <c r="K11190">
        <v>138</v>
      </c>
      <c r="L11190">
        <v>261</v>
      </c>
      <c r="M11190">
        <v>1</v>
      </c>
      <c r="N11190">
        <v>3.5655199999999999E-47</v>
      </c>
      <c r="O11190">
        <v>472</v>
      </c>
    </row>
    <row r="11191" spans="1:15" x14ac:dyDescent="0.25">
      <c r="A11191" t="s">
        <v>11204</v>
      </c>
      <c r="B11191">
        <v>198</v>
      </c>
      <c r="C11191" s="1" t="str">
        <f>HYPERLINK("http://www.rosaceae.org/gb/gbrowse/malus_x_domestica/?name=MDP0000290966","MDP0000290966")</f>
        <v>MDP0000290966</v>
      </c>
      <c r="D11191">
        <v>29.31</v>
      </c>
      <c r="E11191">
        <v>174</v>
      </c>
      <c r="F11191">
        <v>123</v>
      </c>
      <c r="G11191">
        <v>25</v>
      </c>
      <c r="H11191">
        <v>5</v>
      </c>
      <c r="I11191">
        <v>177</v>
      </c>
      <c r="J11191">
        <v>1</v>
      </c>
      <c r="K11191">
        <v>42</v>
      </c>
      <c r="L11191">
        <v>191</v>
      </c>
      <c r="M11191">
        <v>1</v>
      </c>
      <c r="N11191">
        <v>3.7722300000000003E-11</v>
      </c>
      <c r="O11191">
        <v>158</v>
      </c>
    </row>
    <row r="11192" spans="1:15" x14ac:dyDescent="0.25">
      <c r="A11192" t="s">
        <v>11205</v>
      </c>
      <c r="B11192">
        <v>147</v>
      </c>
      <c r="C11192" s="1" t="str">
        <f>HYPERLINK("http://www.rosaceae.org/gb/gbrowse/malus_x_domestica/?name=MDP0000317741","MDP0000317741")</f>
        <v>MDP0000317741</v>
      </c>
      <c r="D11192">
        <v>43.93</v>
      </c>
      <c r="E11192">
        <v>132</v>
      </c>
      <c r="F11192">
        <v>74</v>
      </c>
      <c r="G11192">
        <v>13</v>
      </c>
      <c r="H11192">
        <v>6</v>
      </c>
      <c r="I11192">
        <v>134</v>
      </c>
      <c r="J11192">
        <v>1</v>
      </c>
      <c r="K11192">
        <v>22</v>
      </c>
      <c r="L11192">
        <v>143</v>
      </c>
      <c r="M11192">
        <v>1</v>
      </c>
      <c r="N11192">
        <v>8.4244799999999999E-21</v>
      </c>
      <c r="O11192">
        <v>239</v>
      </c>
    </row>
    <row r="11193" spans="1:15" x14ac:dyDescent="0.25">
      <c r="A11193" t="s">
        <v>11206</v>
      </c>
      <c r="B11193">
        <v>265</v>
      </c>
      <c r="C11193" s="1" t="str">
        <f>HYPERLINK("http://www.rosaceae.org/gb/gbrowse/malus_x_domestica/?name=MDP0000280971","MDP0000280971")</f>
        <v>MDP0000280971</v>
      </c>
      <c r="D11193">
        <v>38.51</v>
      </c>
      <c r="E11193">
        <v>283</v>
      </c>
      <c r="F11193">
        <v>174</v>
      </c>
      <c r="G11193">
        <v>63</v>
      </c>
      <c r="H11193">
        <v>1</v>
      </c>
      <c r="I11193">
        <v>234</v>
      </c>
      <c r="J11193">
        <v>1</v>
      </c>
      <c r="K11193">
        <v>710</v>
      </c>
      <c r="L11193">
        <v>978</v>
      </c>
      <c r="M11193">
        <v>1</v>
      </c>
      <c r="N11193">
        <v>6.6623399999999995E-29</v>
      </c>
      <c r="O11193">
        <v>313</v>
      </c>
    </row>
    <row r="11194" spans="1:15" x14ac:dyDescent="0.25">
      <c r="A11194" t="s">
        <v>11207</v>
      </c>
      <c r="B11194">
        <v>512</v>
      </c>
      <c r="C11194" s="1" t="str">
        <f>HYPERLINK("http://www.rosaceae.org/gb/gbrowse/malus_x_domestica/?name=MDP0000201076","MDP0000201076")</f>
        <v>MDP0000201076</v>
      </c>
      <c r="D11194">
        <v>66.66</v>
      </c>
      <c r="E11194">
        <v>162</v>
      </c>
      <c r="F11194">
        <v>54</v>
      </c>
      <c r="G11194">
        <v>16</v>
      </c>
      <c r="H11194">
        <v>144</v>
      </c>
      <c r="I11194">
        <v>305</v>
      </c>
      <c r="J11194">
        <v>1</v>
      </c>
      <c r="K11194">
        <v>6</v>
      </c>
      <c r="L11194">
        <v>151</v>
      </c>
      <c r="M11194">
        <v>1</v>
      </c>
      <c r="N11194">
        <v>3.8451000000000002E-57</v>
      </c>
      <c r="O11194">
        <v>559</v>
      </c>
    </row>
    <row r="11195" spans="1:15" x14ac:dyDescent="0.25">
      <c r="A11195" t="s">
        <v>11208</v>
      </c>
      <c r="B11195">
        <v>512</v>
      </c>
      <c r="C11195" s="1" t="str">
        <f>HYPERLINK("http://www.rosaceae.org/gb/gbrowse/malus_x_domestica/?name=MDP0000186417","MDP0000186417")</f>
        <v>MDP0000186417</v>
      </c>
      <c r="D11195">
        <v>43.2</v>
      </c>
      <c r="E11195">
        <v>567</v>
      </c>
      <c r="F11195">
        <v>322</v>
      </c>
      <c r="G11195">
        <v>115</v>
      </c>
      <c r="H11195">
        <v>16</v>
      </c>
      <c r="I11195">
        <v>512</v>
      </c>
      <c r="J11195">
        <v>1</v>
      </c>
      <c r="K11195">
        <v>166</v>
      </c>
      <c r="L11195">
        <v>687</v>
      </c>
      <c r="M11195">
        <v>1</v>
      </c>
      <c r="N11195">
        <v>1.83381E-107</v>
      </c>
      <c r="O11195">
        <v>993</v>
      </c>
    </row>
    <row r="11196" spans="1:15" x14ac:dyDescent="0.25">
      <c r="A11196" t="s">
        <v>11209</v>
      </c>
      <c r="B11196">
        <v>492</v>
      </c>
      <c r="C11196" s="1" t="str">
        <f>HYPERLINK("http://www.rosaceae.org/gb/gbrowse/malus_x_domestica/?name=MDP0000153655","MDP0000153655")</f>
        <v>MDP0000153655</v>
      </c>
      <c r="D11196">
        <v>50</v>
      </c>
      <c r="E11196">
        <v>114</v>
      </c>
      <c r="F11196">
        <v>57</v>
      </c>
      <c r="G11196">
        <v>30</v>
      </c>
      <c r="H11196">
        <v>210</v>
      </c>
      <c r="I11196">
        <v>293</v>
      </c>
      <c r="J11196">
        <v>1</v>
      </c>
      <c r="K11196">
        <v>92</v>
      </c>
      <c r="L11196">
        <v>205</v>
      </c>
      <c r="M11196">
        <v>1</v>
      </c>
      <c r="N11196">
        <v>4.0156200000000001E-20</v>
      </c>
      <c r="O11196">
        <v>240</v>
      </c>
    </row>
    <row r="11197" spans="1:15" x14ac:dyDescent="0.25">
      <c r="A11197" t="s">
        <v>11210</v>
      </c>
      <c r="B11197">
        <v>794</v>
      </c>
      <c r="C11197" s="1" t="str">
        <f>HYPERLINK("http://www.rosaceae.org/gb/gbrowse/malus_x_domestica/?name=MDP0000284901","MDP0000284901")</f>
        <v>MDP0000284901</v>
      </c>
      <c r="D11197">
        <v>54.61</v>
      </c>
      <c r="E11197">
        <v>769</v>
      </c>
      <c r="F11197">
        <v>349</v>
      </c>
      <c r="G11197">
        <v>10</v>
      </c>
      <c r="H11197">
        <v>24</v>
      </c>
      <c r="I11197">
        <v>784</v>
      </c>
      <c r="J11197">
        <v>1</v>
      </c>
      <c r="K11197">
        <v>74</v>
      </c>
      <c r="L11197">
        <v>840</v>
      </c>
      <c r="M11197">
        <v>1</v>
      </c>
      <c r="N11197">
        <v>0</v>
      </c>
      <c r="O11197">
        <v>2134</v>
      </c>
    </row>
    <row r="11198" spans="1:15" x14ac:dyDescent="0.25">
      <c r="A11198" t="s">
        <v>11211</v>
      </c>
      <c r="B11198">
        <v>237</v>
      </c>
      <c r="C11198" s="1" t="str">
        <f>HYPERLINK("http://www.rosaceae.org/gb/gbrowse/malus_x_domestica/?name=MDP0000199669","MDP0000199669")</f>
        <v>MDP0000199669</v>
      </c>
      <c r="D11198">
        <v>64.77</v>
      </c>
      <c r="E11198">
        <v>176</v>
      </c>
      <c r="F11198">
        <v>62</v>
      </c>
      <c r="G11198">
        <v>2</v>
      </c>
      <c r="H11198">
        <v>50</v>
      </c>
      <c r="I11198">
        <v>225</v>
      </c>
      <c r="J11198">
        <v>1</v>
      </c>
      <c r="K11198">
        <v>54</v>
      </c>
      <c r="L11198">
        <v>227</v>
      </c>
      <c r="M11198">
        <v>1</v>
      </c>
      <c r="N11198">
        <v>2.4250200000000001E-63</v>
      </c>
      <c r="O11198">
        <v>609</v>
      </c>
    </row>
    <row r="11199" spans="1:15" x14ac:dyDescent="0.25">
      <c r="A11199" t="s">
        <v>11212</v>
      </c>
      <c r="B11199">
        <v>74</v>
      </c>
      <c r="C11199" s="1" t="str">
        <f>HYPERLINK("http://www.rosaceae.org/gb/gbrowse/malus_x_domestica/?name=MDP0000835337","MDP0000835337")</f>
        <v>MDP0000835337</v>
      </c>
      <c r="D11199">
        <v>81.08</v>
      </c>
      <c r="E11199">
        <v>74</v>
      </c>
      <c r="F11199">
        <v>14</v>
      </c>
      <c r="G11199">
        <v>0</v>
      </c>
      <c r="H11199">
        <v>1</v>
      </c>
      <c r="I11199">
        <v>74</v>
      </c>
      <c r="J11199">
        <v>1</v>
      </c>
      <c r="K11199">
        <v>1</v>
      </c>
      <c r="L11199">
        <v>74</v>
      </c>
      <c r="M11199">
        <v>1</v>
      </c>
      <c r="N11199">
        <v>6.2010299999999997E-30</v>
      </c>
      <c r="O11199">
        <v>316</v>
      </c>
    </row>
    <row r="11200" spans="1:15" x14ac:dyDescent="0.25">
      <c r="A11200" t="s">
        <v>11213</v>
      </c>
      <c r="B11200">
        <v>287</v>
      </c>
      <c r="C11200" s="1" t="str">
        <f>HYPERLINK("http://www.rosaceae.org/gb/gbrowse/malus_x_domestica/?name=MDP0000241790","MDP0000241790")</f>
        <v>MDP0000241790</v>
      </c>
      <c r="D11200">
        <v>65.63</v>
      </c>
      <c r="E11200">
        <v>291</v>
      </c>
      <c r="F11200">
        <v>100</v>
      </c>
      <c r="G11200">
        <v>6</v>
      </c>
      <c r="H11200">
        <v>2</v>
      </c>
      <c r="I11200">
        <v>287</v>
      </c>
      <c r="J11200">
        <v>1</v>
      </c>
      <c r="K11200">
        <v>688</v>
      </c>
      <c r="L11200">
        <v>977</v>
      </c>
      <c r="M11200">
        <v>1</v>
      </c>
      <c r="N11200">
        <v>1.05255E-96</v>
      </c>
      <c r="O11200">
        <v>898</v>
      </c>
    </row>
    <row r="11201" spans="1:15" x14ac:dyDescent="0.25">
      <c r="A11201" t="s">
        <v>11214</v>
      </c>
      <c r="B11201">
        <v>458</v>
      </c>
      <c r="C11201" s="1" t="str">
        <f>HYPERLINK("http://www.rosaceae.org/gb/gbrowse/malus_x_domestica/?name=MDP0000181256","MDP0000181256")</f>
        <v>MDP0000181256</v>
      </c>
      <c r="D11201">
        <v>81.66</v>
      </c>
      <c r="E11201">
        <v>480</v>
      </c>
      <c r="F11201">
        <v>88</v>
      </c>
      <c r="G11201">
        <v>33</v>
      </c>
      <c r="H11201">
        <v>1</v>
      </c>
      <c r="I11201">
        <v>458</v>
      </c>
      <c r="J11201">
        <v>1</v>
      </c>
      <c r="K11201">
        <v>1</v>
      </c>
      <c r="L11201">
        <v>469</v>
      </c>
      <c r="M11201">
        <v>1</v>
      </c>
      <c r="N11201">
        <v>0</v>
      </c>
      <c r="O11201">
        <v>2041</v>
      </c>
    </row>
    <row r="11202" spans="1:15" x14ac:dyDescent="0.25">
      <c r="A11202" t="s">
        <v>11215</v>
      </c>
      <c r="B11202">
        <v>767</v>
      </c>
      <c r="C11202" s="1" t="str">
        <f>HYPERLINK("http://www.rosaceae.org/gb/gbrowse/malus_x_domestica/?name=MDP0000015338","MDP0000015338")</f>
        <v>MDP0000015338</v>
      </c>
      <c r="D11202">
        <v>67.19</v>
      </c>
      <c r="E11202">
        <v>762</v>
      </c>
      <c r="F11202">
        <v>250</v>
      </c>
      <c r="G11202">
        <v>5</v>
      </c>
      <c r="H11202">
        <v>1</v>
      </c>
      <c r="I11202">
        <v>757</v>
      </c>
      <c r="J11202">
        <v>1</v>
      </c>
      <c r="K11202">
        <v>1</v>
      </c>
      <c r="L11202">
        <v>762</v>
      </c>
      <c r="M11202">
        <v>1</v>
      </c>
      <c r="N11202">
        <v>0</v>
      </c>
      <c r="O11202">
        <v>2732</v>
      </c>
    </row>
    <row r="11203" spans="1:15" x14ac:dyDescent="0.25">
      <c r="A11203" t="s">
        <v>11216</v>
      </c>
      <c r="B11203">
        <v>424</v>
      </c>
      <c r="C11203" s="1" t="str">
        <f>HYPERLINK("http://www.rosaceae.org/gb/gbrowse/malus_x_domestica/?name=MDP0000204530","MDP0000204530")</f>
        <v>MDP0000204530</v>
      </c>
      <c r="D11203">
        <v>46.57</v>
      </c>
      <c r="E11203">
        <v>350</v>
      </c>
      <c r="F11203">
        <v>187</v>
      </c>
      <c r="G11203">
        <v>56</v>
      </c>
      <c r="H11203">
        <v>14</v>
      </c>
      <c r="I11203">
        <v>342</v>
      </c>
      <c r="J11203">
        <v>1</v>
      </c>
      <c r="K11203">
        <v>18</v>
      </c>
      <c r="L11203">
        <v>332</v>
      </c>
      <c r="M11203">
        <v>1</v>
      </c>
      <c r="N11203">
        <v>1.8235499999999999E-75</v>
      </c>
      <c r="O11203">
        <v>717</v>
      </c>
    </row>
    <row r="11204" spans="1:15" x14ac:dyDescent="0.25">
      <c r="A11204" t="s">
        <v>11217</v>
      </c>
      <c r="B11204">
        <v>1027</v>
      </c>
      <c r="C11204" s="1" t="str">
        <f>HYPERLINK("http://www.rosaceae.org/gb/gbrowse/malus_x_domestica/?name=MDP0000204875","MDP0000204875")</f>
        <v>MDP0000204875</v>
      </c>
      <c r="D11204">
        <v>60.7</v>
      </c>
      <c r="E11204">
        <v>934</v>
      </c>
      <c r="F11204">
        <v>367</v>
      </c>
      <c r="G11204">
        <v>95</v>
      </c>
      <c r="H11204">
        <v>122</v>
      </c>
      <c r="I11204">
        <v>1006</v>
      </c>
      <c r="J11204">
        <v>1</v>
      </c>
      <c r="K11204">
        <v>3</v>
      </c>
      <c r="L11204">
        <v>890</v>
      </c>
      <c r="M11204">
        <v>1</v>
      </c>
      <c r="N11204">
        <v>0</v>
      </c>
      <c r="O11204">
        <v>2738</v>
      </c>
    </row>
    <row r="11205" spans="1:15" x14ac:dyDescent="0.25">
      <c r="A11205" t="s">
        <v>11218</v>
      </c>
      <c r="B11205">
        <v>238</v>
      </c>
      <c r="C11205" s="1" t="str">
        <f>HYPERLINK("http://www.rosaceae.org/gb/gbrowse/malus_x_domestica/?name=MDP0000300295","MDP0000300295")</f>
        <v>MDP0000300295</v>
      </c>
      <c r="D11205">
        <v>44.7</v>
      </c>
      <c r="E11205">
        <v>255</v>
      </c>
      <c r="F11205">
        <v>141</v>
      </c>
      <c r="G11205">
        <v>35</v>
      </c>
      <c r="H11205">
        <v>5</v>
      </c>
      <c r="I11205">
        <v>238</v>
      </c>
      <c r="J11205">
        <v>1</v>
      </c>
      <c r="K11205">
        <v>6</v>
      </c>
      <c r="L11205">
        <v>246</v>
      </c>
      <c r="M11205">
        <v>1</v>
      </c>
      <c r="N11205">
        <v>3.05215E-43</v>
      </c>
      <c r="O11205">
        <v>436</v>
      </c>
    </row>
    <row r="11206" spans="1:15" x14ac:dyDescent="0.25">
      <c r="A11206" t="s">
        <v>11219</v>
      </c>
      <c r="B11206">
        <v>446</v>
      </c>
      <c r="C11206" s="1" t="str">
        <f>HYPERLINK("http://www.rosaceae.org/gb/gbrowse/malus_x_domestica/?name=MDP0000288817","MDP0000288817")</f>
        <v>MDP0000288817</v>
      </c>
      <c r="D11206">
        <v>46.24</v>
      </c>
      <c r="E11206">
        <v>426</v>
      </c>
      <c r="F11206">
        <v>229</v>
      </c>
      <c r="G11206">
        <v>19</v>
      </c>
      <c r="H11206">
        <v>20</v>
      </c>
      <c r="I11206">
        <v>443</v>
      </c>
      <c r="J11206">
        <v>1</v>
      </c>
      <c r="K11206">
        <v>654</v>
      </c>
      <c r="L11206">
        <v>1062</v>
      </c>
      <c r="M11206">
        <v>1</v>
      </c>
      <c r="N11206">
        <v>3.9110800000000002E-97</v>
      </c>
      <c r="O11206">
        <v>904</v>
      </c>
    </row>
    <row r="11207" spans="1:15" x14ac:dyDescent="0.25">
      <c r="A11207" t="s">
        <v>11220</v>
      </c>
      <c r="B11207">
        <v>332</v>
      </c>
      <c r="C11207" s="1" t="str">
        <f>HYPERLINK("http://www.rosaceae.org/gb/gbrowse/malus_x_domestica/?name=MDP0000685813","MDP0000685813")</f>
        <v>MDP0000685813</v>
      </c>
      <c r="D11207">
        <v>48.84</v>
      </c>
      <c r="E11207">
        <v>303</v>
      </c>
      <c r="F11207">
        <v>155</v>
      </c>
      <c r="G11207">
        <v>14</v>
      </c>
      <c r="H11207">
        <v>39</v>
      </c>
      <c r="I11207">
        <v>332</v>
      </c>
      <c r="J11207">
        <v>1</v>
      </c>
      <c r="K11207">
        <v>1</v>
      </c>
      <c r="L11207">
        <v>298</v>
      </c>
      <c r="M11207">
        <v>1</v>
      </c>
      <c r="N11207">
        <v>1.29923E-65</v>
      </c>
      <c r="O11207">
        <v>630</v>
      </c>
    </row>
    <row r="11208" spans="1:15" x14ac:dyDescent="0.25">
      <c r="A11208" t="s">
        <v>11221</v>
      </c>
      <c r="B11208">
        <v>176</v>
      </c>
      <c r="C11208" s="1" t="str">
        <f>HYPERLINK("http://www.rosaceae.org/gb/gbrowse/malus_x_domestica/?name=MDP0000140235","MDP0000140235")</f>
        <v>MDP0000140235</v>
      </c>
      <c r="D11208">
        <v>96.89</v>
      </c>
      <c r="E11208">
        <v>129</v>
      </c>
      <c r="F11208">
        <v>4</v>
      </c>
      <c r="G11208">
        <v>0</v>
      </c>
      <c r="H11208">
        <v>45</v>
      </c>
      <c r="I11208">
        <v>173</v>
      </c>
      <c r="J11208">
        <v>1</v>
      </c>
      <c r="K11208">
        <v>53</v>
      </c>
      <c r="L11208">
        <v>181</v>
      </c>
      <c r="M11208">
        <v>1</v>
      </c>
      <c r="N11208">
        <v>1.4592099999999999E-69</v>
      </c>
      <c r="O11208">
        <v>661</v>
      </c>
    </row>
    <row r="11209" spans="1:15" x14ac:dyDescent="0.25">
      <c r="A11209" t="s">
        <v>11222</v>
      </c>
      <c r="B11209">
        <v>224</v>
      </c>
      <c r="C11209" s="1" t="str">
        <f>HYPERLINK("http://www.rosaceae.org/gb/gbrowse/malus_x_domestica/?name=MDP0000173577","MDP0000173577")</f>
        <v>MDP0000173577</v>
      </c>
      <c r="D11209">
        <v>64.44</v>
      </c>
      <c r="E11209">
        <v>45</v>
      </c>
      <c r="F11209">
        <v>16</v>
      </c>
      <c r="G11209">
        <v>7</v>
      </c>
      <c r="H11209">
        <v>28</v>
      </c>
      <c r="I11209">
        <v>72</v>
      </c>
      <c r="J11209">
        <v>1</v>
      </c>
      <c r="K11209">
        <v>504</v>
      </c>
      <c r="L11209">
        <v>541</v>
      </c>
      <c r="M11209">
        <v>1</v>
      </c>
      <c r="N11209">
        <v>2.3051999999999999E-9</v>
      </c>
      <c r="O11209">
        <v>143</v>
      </c>
    </row>
    <row r="11210" spans="1:15" x14ac:dyDescent="0.25">
      <c r="A11210" t="s">
        <v>11223</v>
      </c>
      <c r="B11210">
        <v>214</v>
      </c>
      <c r="C11210" s="1" t="str">
        <f>HYPERLINK("http://www.rosaceae.org/gb/gbrowse/malus_x_domestica/?name=MDP0000328145","MDP0000328145")</f>
        <v>MDP0000328145</v>
      </c>
      <c r="D11210">
        <v>66.97</v>
      </c>
      <c r="E11210">
        <v>109</v>
      </c>
      <c r="F11210">
        <v>36</v>
      </c>
      <c r="G11210">
        <v>0</v>
      </c>
      <c r="H11210">
        <v>106</v>
      </c>
      <c r="I11210">
        <v>214</v>
      </c>
      <c r="J11210">
        <v>1</v>
      </c>
      <c r="K11210">
        <v>6</v>
      </c>
      <c r="L11210">
        <v>114</v>
      </c>
      <c r="M11210">
        <v>1</v>
      </c>
      <c r="N11210">
        <v>9.3204400000000001E-37</v>
      </c>
      <c r="O11210">
        <v>379</v>
      </c>
    </row>
    <row r="11211" spans="1:15" x14ac:dyDescent="0.25">
      <c r="A11211" t="s">
        <v>11224</v>
      </c>
      <c r="B11211">
        <v>91</v>
      </c>
      <c r="C11211" s="1" t="str">
        <f>HYPERLINK("http://www.rosaceae.org/gb/gbrowse/malus_x_domestica/?name=MDP0000135898","MDP0000135898")</f>
        <v>MDP0000135898</v>
      </c>
      <c r="D11211">
        <v>88.88</v>
      </c>
      <c r="E11211">
        <v>63</v>
      </c>
      <c r="F11211">
        <v>7</v>
      </c>
      <c r="G11211">
        <v>0</v>
      </c>
      <c r="H11211">
        <v>1</v>
      </c>
      <c r="I11211">
        <v>63</v>
      </c>
      <c r="J11211">
        <v>1</v>
      </c>
      <c r="K11211">
        <v>1</v>
      </c>
      <c r="L11211">
        <v>63</v>
      </c>
      <c r="M11211">
        <v>1</v>
      </c>
      <c r="N11211">
        <v>3.6873299999999999E-28</v>
      </c>
      <c r="O11211">
        <v>300</v>
      </c>
    </row>
    <row r="11212" spans="1:15" x14ac:dyDescent="0.25">
      <c r="A11212" t="s">
        <v>11225</v>
      </c>
      <c r="B11212">
        <v>413</v>
      </c>
      <c r="C11212" s="1" t="str">
        <f>HYPERLINK("http://www.rosaceae.org/gb/gbrowse/malus_x_domestica/?name=MDP0000292084","MDP0000292084")</f>
        <v>MDP0000292084</v>
      </c>
      <c r="D11212">
        <v>66</v>
      </c>
      <c r="E11212">
        <v>100</v>
      </c>
      <c r="F11212">
        <v>34</v>
      </c>
      <c r="G11212">
        <v>1</v>
      </c>
      <c r="H11212">
        <v>120</v>
      </c>
      <c r="I11212">
        <v>218</v>
      </c>
      <c r="J11212">
        <v>1</v>
      </c>
      <c r="K11212">
        <v>296</v>
      </c>
      <c r="L11212">
        <v>395</v>
      </c>
      <c r="M11212">
        <v>1</v>
      </c>
      <c r="N11212">
        <v>2.0022699999999999E-34</v>
      </c>
      <c r="O11212">
        <v>362</v>
      </c>
    </row>
    <row r="11213" spans="1:15" x14ac:dyDescent="0.25">
      <c r="A11213" t="s">
        <v>11226</v>
      </c>
      <c r="B11213">
        <v>365</v>
      </c>
      <c r="C11213" s="1" t="str">
        <f>HYPERLINK("http://www.rosaceae.org/gb/gbrowse/malus_x_domestica/?name=MDP0000085889","MDP0000085889")</f>
        <v>MDP0000085889</v>
      </c>
      <c r="D11213">
        <v>91.19</v>
      </c>
      <c r="E11213">
        <v>318</v>
      </c>
      <c r="F11213">
        <v>28</v>
      </c>
      <c r="G11213">
        <v>0</v>
      </c>
      <c r="H11213">
        <v>48</v>
      </c>
      <c r="I11213">
        <v>365</v>
      </c>
      <c r="J11213">
        <v>1</v>
      </c>
      <c r="K11213">
        <v>49</v>
      </c>
      <c r="L11213">
        <v>366</v>
      </c>
      <c r="M11213">
        <v>1</v>
      </c>
      <c r="N11213">
        <v>1.1263600000000001E-163</v>
      </c>
      <c r="O11213">
        <v>1476</v>
      </c>
    </row>
    <row r="11214" spans="1:15" x14ac:dyDescent="0.25">
      <c r="A11214" t="s">
        <v>11227</v>
      </c>
      <c r="B11214">
        <v>1354</v>
      </c>
      <c r="C11214" s="1" t="str">
        <f>HYPERLINK("http://www.rosaceae.org/gb/gbrowse/malus_x_domestica/?name=MDP0000240055","MDP0000240055")</f>
        <v>MDP0000240055</v>
      </c>
      <c r="D11214">
        <v>81.53</v>
      </c>
      <c r="E11214">
        <v>769</v>
      </c>
      <c r="F11214">
        <v>142</v>
      </c>
      <c r="G11214">
        <v>14</v>
      </c>
      <c r="H11214">
        <v>1</v>
      </c>
      <c r="I11214">
        <v>765</v>
      </c>
      <c r="J11214">
        <v>1</v>
      </c>
      <c r="K11214">
        <v>1</v>
      </c>
      <c r="L11214">
        <v>759</v>
      </c>
      <c r="M11214">
        <v>1</v>
      </c>
      <c r="N11214">
        <v>0</v>
      </c>
      <c r="O11214">
        <v>3458</v>
      </c>
    </row>
    <row r="11215" spans="1:15" x14ac:dyDescent="0.25">
      <c r="A11215" t="s">
        <v>11228</v>
      </c>
      <c r="B11215">
        <v>601</v>
      </c>
      <c r="C11215" s="1" t="str">
        <f>HYPERLINK("http://www.rosaceae.org/gb/gbrowse/malus_x_domestica/?name=MDP0000269028","MDP0000269028")</f>
        <v>MDP0000269028</v>
      </c>
      <c r="D11215">
        <v>79.069999999999993</v>
      </c>
      <c r="E11215">
        <v>626</v>
      </c>
      <c r="F11215">
        <v>131</v>
      </c>
      <c r="G11215">
        <v>35</v>
      </c>
      <c r="H11215">
        <v>1</v>
      </c>
      <c r="I11215">
        <v>601</v>
      </c>
      <c r="J11215">
        <v>1</v>
      </c>
      <c r="K11215">
        <v>1</v>
      </c>
      <c r="L11215">
        <v>616</v>
      </c>
      <c r="M11215">
        <v>1</v>
      </c>
      <c r="N11215">
        <v>0</v>
      </c>
      <c r="O11215">
        <v>2499</v>
      </c>
    </row>
    <row r="11216" spans="1:15" x14ac:dyDescent="0.25">
      <c r="A11216" t="s">
        <v>11229</v>
      </c>
      <c r="B11216">
        <v>548</v>
      </c>
      <c r="C11216" s="1" t="str">
        <f>HYPERLINK("http://www.rosaceae.org/gb/gbrowse/malus_x_domestica/?name=MDP0000294811","MDP0000294811")</f>
        <v>MDP0000294811</v>
      </c>
      <c r="D11216">
        <v>70.92</v>
      </c>
      <c r="E11216">
        <v>540</v>
      </c>
      <c r="F11216">
        <v>157</v>
      </c>
      <c r="G11216">
        <v>55</v>
      </c>
      <c r="H11216">
        <v>56</v>
      </c>
      <c r="I11216">
        <v>543</v>
      </c>
      <c r="J11216">
        <v>1</v>
      </c>
      <c r="K11216">
        <v>109</v>
      </c>
      <c r="L11216">
        <v>645</v>
      </c>
      <c r="M11216">
        <v>1</v>
      </c>
      <c r="N11216">
        <v>0</v>
      </c>
      <c r="O11216">
        <v>1852</v>
      </c>
    </row>
    <row r="11217" spans="1:15" x14ac:dyDescent="0.25">
      <c r="A11217" t="s">
        <v>11230</v>
      </c>
      <c r="B11217">
        <v>663</v>
      </c>
      <c r="C11217" s="1" t="str">
        <f>HYPERLINK("http://www.rosaceae.org/gb/gbrowse/malus_x_domestica/?name=MDP0000133475","MDP0000133475")</f>
        <v>MDP0000133475</v>
      </c>
      <c r="D11217">
        <v>80.150000000000006</v>
      </c>
      <c r="E11217">
        <v>514</v>
      </c>
      <c r="F11217">
        <v>102</v>
      </c>
      <c r="G11217">
        <v>1</v>
      </c>
      <c r="H11217">
        <v>26</v>
      </c>
      <c r="I11217">
        <v>539</v>
      </c>
      <c r="J11217">
        <v>1</v>
      </c>
      <c r="K11217">
        <v>28</v>
      </c>
      <c r="L11217">
        <v>540</v>
      </c>
      <c r="M11217">
        <v>1</v>
      </c>
      <c r="N11217">
        <v>0</v>
      </c>
      <c r="O11217">
        <v>2239</v>
      </c>
    </row>
    <row r="11218" spans="1:15" x14ac:dyDescent="0.25">
      <c r="A11218" t="s">
        <v>11231</v>
      </c>
      <c r="B11218">
        <v>70</v>
      </c>
      <c r="C11218" s="1" t="str">
        <f>HYPERLINK("http://www.rosaceae.org/gb/gbrowse/malus_x_domestica/?name=MDP0000205158","MDP0000205158")</f>
        <v>MDP0000205158</v>
      </c>
      <c r="D11218">
        <v>58.97</v>
      </c>
      <c r="E11218">
        <v>78</v>
      </c>
      <c r="F11218">
        <v>32</v>
      </c>
      <c r="G11218">
        <v>18</v>
      </c>
      <c r="H11218">
        <v>7</v>
      </c>
      <c r="I11218">
        <v>66</v>
      </c>
      <c r="J11218">
        <v>1</v>
      </c>
      <c r="K11218">
        <v>5</v>
      </c>
      <c r="L11218">
        <v>82</v>
      </c>
      <c r="M11218">
        <v>1</v>
      </c>
      <c r="N11218">
        <v>2.5164499999999999E-17</v>
      </c>
      <c r="O11218">
        <v>207</v>
      </c>
    </row>
    <row r="11219" spans="1:15" x14ac:dyDescent="0.25">
      <c r="A11219" t="s">
        <v>11232</v>
      </c>
      <c r="B11219">
        <v>388</v>
      </c>
      <c r="C11219" s="1" t="str">
        <f>HYPERLINK("http://www.rosaceae.org/gb/gbrowse/malus_x_domestica/?name=MDP0000159601","MDP0000159601")</f>
        <v>MDP0000159601</v>
      </c>
      <c r="D11219">
        <v>76.33</v>
      </c>
      <c r="E11219">
        <v>338</v>
      </c>
      <c r="F11219">
        <v>80</v>
      </c>
      <c r="G11219">
        <v>8</v>
      </c>
      <c r="H11219">
        <v>34</v>
      </c>
      <c r="I11219">
        <v>364</v>
      </c>
      <c r="J11219">
        <v>1</v>
      </c>
      <c r="K11219">
        <v>108</v>
      </c>
      <c r="L11219">
        <v>444</v>
      </c>
      <c r="M11219">
        <v>1</v>
      </c>
      <c r="N11219">
        <v>2.01278E-151</v>
      </c>
      <c r="O11219">
        <v>1371</v>
      </c>
    </row>
    <row r="11220" spans="1:15" x14ac:dyDescent="0.25">
      <c r="A11220" t="s">
        <v>11233</v>
      </c>
      <c r="B11220">
        <v>302</v>
      </c>
      <c r="C11220" s="1" t="str">
        <f>HYPERLINK("http://www.rosaceae.org/gb/gbrowse/malus_x_domestica/?name=MDP0000163791","MDP0000163791")</f>
        <v>MDP0000163791</v>
      </c>
      <c r="D11220">
        <v>62.31</v>
      </c>
      <c r="E11220">
        <v>276</v>
      </c>
      <c r="F11220">
        <v>104</v>
      </c>
      <c r="G11220">
        <v>48</v>
      </c>
      <c r="H11220">
        <v>68</v>
      </c>
      <c r="I11220">
        <v>296</v>
      </c>
      <c r="J11220">
        <v>1</v>
      </c>
      <c r="K11220">
        <v>113</v>
      </c>
      <c r="L11220">
        <v>387</v>
      </c>
      <c r="M11220">
        <v>1</v>
      </c>
      <c r="N11220">
        <v>7.7070099999999996E-87</v>
      </c>
      <c r="O11220">
        <v>813</v>
      </c>
    </row>
    <row r="11221" spans="1:15" x14ac:dyDescent="0.25">
      <c r="A11221" t="s">
        <v>11234</v>
      </c>
      <c r="B11221">
        <v>435</v>
      </c>
      <c r="C11221" s="1" t="str">
        <f>HYPERLINK("http://www.rosaceae.org/gb/gbrowse/malus_x_domestica/?name=MDP0000242420","MDP0000242420")</f>
        <v>MDP0000242420</v>
      </c>
      <c r="D11221">
        <v>88.68</v>
      </c>
      <c r="E11221">
        <v>433</v>
      </c>
      <c r="F11221">
        <v>49</v>
      </c>
      <c r="G11221">
        <v>0</v>
      </c>
      <c r="H11221">
        <v>3</v>
      </c>
      <c r="I11221">
        <v>435</v>
      </c>
      <c r="J11221">
        <v>1</v>
      </c>
      <c r="K11221">
        <v>47</v>
      </c>
      <c r="L11221">
        <v>479</v>
      </c>
      <c r="M11221">
        <v>1</v>
      </c>
      <c r="N11221">
        <v>0</v>
      </c>
      <c r="O11221">
        <v>2072</v>
      </c>
    </row>
    <row r="11222" spans="1:15" x14ac:dyDescent="0.25">
      <c r="A11222" t="s">
        <v>11235</v>
      </c>
      <c r="B11222">
        <v>210</v>
      </c>
      <c r="C11222" s="1" t="str">
        <f>HYPERLINK("http://www.rosaceae.org/gb/gbrowse/malus_x_domestica/?name=MDP0000319412","MDP0000319412")</f>
        <v>MDP0000319412</v>
      </c>
      <c r="D11222">
        <v>45.92</v>
      </c>
      <c r="E11222">
        <v>135</v>
      </c>
      <c r="F11222">
        <v>73</v>
      </c>
      <c r="G11222">
        <v>15</v>
      </c>
      <c r="H11222">
        <v>1</v>
      </c>
      <c r="I11222">
        <v>135</v>
      </c>
      <c r="J11222">
        <v>1</v>
      </c>
      <c r="K11222">
        <v>1</v>
      </c>
      <c r="L11222">
        <v>120</v>
      </c>
      <c r="M11222">
        <v>1</v>
      </c>
      <c r="N11222">
        <v>1.8216399999999999E-20</v>
      </c>
      <c r="O11222">
        <v>238</v>
      </c>
    </row>
    <row r="11223" spans="1:15" x14ac:dyDescent="0.25">
      <c r="A11223" t="s">
        <v>11236</v>
      </c>
      <c r="B11223">
        <v>530</v>
      </c>
      <c r="C11223" s="1" t="str">
        <f>HYPERLINK("http://www.rosaceae.org/gb/gbrowse/malus_x_domestica/?name=MDP0000267098","MDP0000267098")</f>
        <v>MDP0000267098</v>
      </c>
      <c r="D11223">
        <v>69.790000000000006</v>
      </c>
      <c r="E11223">
        <v>447</v>
      </c>
      <c r="F11223">
        <v>135</v>
      </c>
      <c r="G11223">
        <v>22</v>
      </c>
      <c r="H11223">
        <v>1</v>
      </c>
      <c r="I11223">
        <v>425</v>
      </c>
      <c r="J11223">
        <v>1</v>
      </c>
      <c r="K11223">
        <v>1</v>
      </c>
      <c r="L11223">
        <v>447</v>
      </c>
      <c r="M11223">
        <v>1</v>
      </c>
      <c r="N11223">
        <v>2.3351600000000001E-172</v>
      </c>
      <c r="O11223">
        <v>1553</v>
      </c>
    </row>
    <row r="11224" spans="1:15" x14ac:dyDescent="0.25">
      <c r="A11224" t="s">
        <v>11237</v>
      </c>
      <c r="B11224">
        <v>423</v>
      </c>
      <c r="C11224" s="1" t="str">
        <f>HYPERLINK("http://www.rosaceae.org/gb/gbrowse/malus_x_domestica/?name=MDP0000192014","MDP0000192014")</f>
        <v>MDP0000192014</v>
      </c>
      <c r="D11224">
        <v>62.14</v>
      </c>
      <c r="E11224">
        <v>428</v>
      </c>
      <c r="F11224">
        <v>162</v>
      </c>
      <c r="G11224">
        <v>20</v>
      </c>
      <c r="H11224">
        <v>1</v>
      </c>
      <c r="I11224">
        <v>411</v>
      </c>
      <c r="J11224">
        <v>1</v>
      </c>
      <c r="K11224">
        <v>1</v>
      </c>
      <c r="L11224">
        <v>425</v>
      </c>
      <c r="M11224">
        <v>1</v>
      </c>
      <c r="N11224">
        <v>4.8958299999999998E-140</v>
      </c>
      <c r="O11224">
        <v>1273</v>
      </c>
    </row>
    <row r="11225" spans="1:15" x14ac:dyDescent="0.25">
      <c r="A11225" t="s">
        <v>11238</v>
      </c>
      <c r="B11225">
        <v>630</v>
      </c>
      <c r="C11225" s="1" t="str">
        <f>HYPERLINK("http://www.rosaceae.org/gb/gbrowse/malus_x_domestica/?name=MDP0000184962","MDP0000184962")</f>
        <v>MDP0000184962</v>
      </c>
      <c r="D11225">
        <v>57.79</v>
      </c>
      <c r="E11225">
        <v>609</v>
      </c>
      <c r="F11225">
        <v>257</v>
      </c>
      <c r="G11225">
        <v>26</v>
      </c>
      <c r="H11225">
        <v>42</v>
      </c>
      <c r="I11225">
        <v>625</v>
      </c>
      <c r="J11225">
        <v>1</v>
      </c>
      <c r="K11225">
        <v>1</v>
      </c>
      <c r="L11225">
        <v>608</v>
      </c>
      <c r="M11225">
        <v>1</v>
      </c>
      <c r="N11225">
        <v>2.00683E-180</v>
      </c>
      <c r="O11225">
        <v>1623</v>
      </c>
    </row>
    <row r="11226" spans="1:15" x14ac:dyDescent="0.25">
      <c r="A11226" t="s">
        <v>11239</v>
      </c>
      <c r="B11226">
        <v>620</v>
      </c>
      <c r="C11226" s="1" t="str">
        <f>HYPERLINK("http://www.rosaceae.org/gb/gbrowse/malus_x_domestica/?name=MDP0000277290","MDP0000277290")</f>
        <v>MDP0000277290</v>
      </c>
      <c r="D11226">
        <v>83.36</v>
      </c>
      <c r="E11226">
        <v>619</v>
      </c>
      <c r="F11226">
        <v>103</v>
      </c>
      <c r="G11226">
        <v>35</v>
      </c>
      <c r="H11226">
        <v>1</v>
      </c>
      <c r="I11226">
        <v>619</v>
      </c>
      <c r="J11226">
        <v>1</v>
      </c>
      <c r="K11226">
        <v>1</v>
      </c>
      <c r="L11226">
        <v>584</v>
      </c>
      <c r="M11226">
        <v>1</v>
      </c>
      <c r="N11226">
        <v>0</v>
      </c>
      <c r="O11226">
        <v>2639</v>
      </c>
    </row>
    <row r="11227" spans="1:15" x14ac:dyDescent="0.25">
      <c r="A11227" t="s">
        <v>11240</v>
      </c>
      <c r="B11227">
        <v>41</v>
      </c>
      <c r="C11227" s="1" t="str">
        <f>HYPERLINK("http://www.rosaceae.org/gb/gbrowse/malus_x_domestica/?name=MDP0000285649","MDP0000285649")</f>
        <v>MDP0000285649</v>
      </c>
      <c r="D11227">
        <v>78.94</v>
      </c>
      <c r="E11227">
        <v>38</v>
      </c>
      <c r="F11227">
        <v>8</v>
      </c>
      <c r="G11227">
        <v>0</v>
      </c>
      <c r="H11227">
        <v>2</v>
      </c>
      <c r="I11227">
        <v>39</v>
      </c>
      <c r="J11227">
        <v>1</v>
      </c>
      <c r="K11227">
        <v>428</v>
      </c>
      <c r="L11227">
        <v>465</v>
      </c>
      <c r="M11227">
        <v>1</v>
      </c>
      <c r="N11227">
        <v>6.5530200000000003E-12</v>
      </c>
      <c r="O11227">
        <v>160</v>
      </c>
    </row>
    <row r="11228" spans="1:15" x14ac:dyDescent="0.25">
      <c r="A11228" t="s">
        <v>11241</v>
      </c>
      <c r="B11228">
        <v>104</v>
      </c>
      <c r="C11228" s="1" t="str">
        <f>HYPERLINK("http://www.rosaceae.org/gb/gbrowse/malus_x_domestica/?name=MDP0000786569","MDP0000786569")</f>
        <v>MDP0000786569</v>
      </c>
      <c r="D11228">
        <v>65.599999999999994</v>
      </c>
      <c r="E11228">
        <v>125</v>
      </c>
      <c r="F11228">
        <v>43</v>
      </c>
      <c r="G11228">
        <v>33</v>
      </c>
      <c r="H11228">
        <v>13</v>
      </c>
      <c r="I11228">
        <v>104</v>
      </c>
      <c r="J11228">
        <v>1</v>
      </c>
      <c r="K11228">
        <v>20</v>
      </c>
      <c r="L11228">
        <v>144</v>
      </c>
      <c r="M11228">
        <v>1</v>
      </c>
      <c r="N11228">
        <v>6.33194E-40</v>
      </c>
      <c r="O11228">
        <v>402</v>
      </c>
    </row>
    <row r="11229" spans="1:15" x14ac:dyDescent="0.25">
      <c r="A11229" t="s">
        <v>11242</v>
      </c>
      <c r="B11229">
        <v>170</v>
      </c>
      <c r="C11229" s="1" t="str">
        <f>HYPERLINK("http://www.rosaceae.org/gb/gbrowse/malus_x_domestica/?name=MDP0000864240","MDP0000864240")</f>
        <v>MDP0000864240</v>
      </c>
      <c r="D11229">
        <v>57.22</v>
      </c>
      <c r="E11229">
        <v>166</v>
      </c>
      <c r="F11229">
        <v>71</v>
      </c>
      <c r="G11229">
        <v>18</v>
      </c>
      <c r="H11229">
        <v>20</v>
      </c>
      <c r="I11229">
        <v>167</v>
      </c>
      <c r="J11229">
        <v>1</v>
      </c>
      <c r="K11229">
        <v>41</v>
      </c>
      <c r="L11229">
        <v>206</v>
      </c>
      <c r="M11229">
        <v>1</v>
      </c>
      <c r="N11229">
        <v>1.8203300000000001E-43</v>
      </c>
      <c r="O11229">
        <v>435</v>
      </c>
    </row>
    <row r="11230" spans="1:15" x14ac:dyDescent="0.25">
      <c r="A11230" t="s">
        <v>11243</v>
      </c>
      <c r="B11230">
        <v>194</v>
      </c>
      <c r="C11230" s="1" t="str">
        <f>HYPERLINK("http://www.rosaceae.org/gb/gbrowse/malus_x_domestica/?name=MDP0000297511","MDP0000297511")</f>
        <v>MDP0000297511</v>
      </c>
      <c r="D11230">
        <v>63.07</v>
      </c>
      <c r="E11230">
        <v>195</v>
      </c>
      <c r="F11230">
        <v>72</v>
      </c>
      <c r="G11230">
        <v>5</v>
      </c>
      <c r="H11230">
        <v>1</v>
      </c>
      <c r="I11230">
        <v>193</v>
      </c>
      <c r="J11230">
        <v>1</v>
      </c>
      <c r="K11230">
        <v>575</v>
      </c>
      <c r="L11230">
        <v>766</v>
      </c>
      <c r="M11230">
        <v>1</v>
      </c>
      <c r="N11230">
        <v>1.53625E-62</v>
      </c>
      <c r="O11230">
        <v>601</v>
      </c>
    </row>
    <row r="11231" spans="1:15" x14ac:dyDescent="0.25">
      <c r="A11231" t="s">
        <v>11244</v>
      </c>
      <c r="B11231">
        <v>468</v>
      </c>
      <c r="C11231" s="1" t="str">
        <f>HYPERLINK("http://www.rosaceae.org/gb/gbrowse/malus_x_domestica/?name=MDP0000211134","MDP0000211134")</f>
        <v>MDP0000211134</v>
      </c>
      <c r="D11231">
        <v>36.17</v>
      </c>
      <c r="E11231">
        <v>376</v>
      </c>
      <c r="F11231">
        <v>240</v>
      </c>
      <c r="G11231">
        <v>64</v>
      </c>
      <c r="H11231">
        <v>50</v>
      </c>
      <c r="I11231">
        <v>381</v>
      </c>
      <c r="J11231">
        <v>1</v>
      </c>
      <c r="K11231">
        <v>1</v>
      </c>
      <c r="L11231">
        <v>356</v>
      </c>
      <c r="M11231">
        <v>1</v>
      </c>
      <c r="N11231">
        <v>2.0429799999999999E-50</v>
      </c>
      <c r="O11231">
        <v>501</v>
      </c>
    </row>
    <row r="11232" spans="1:15" x14ac:dyDescent="0.25">
      <c r="A11232" t="s">
        <v>11245</v>
      </c>
      <c r="B11232">
        <v>847</v>
      </c>
      <c r="C11232" s="1" t="str">
        <f>HYPERLINK("http://www.rosaceae.org/gb/gbrowse/malus_x_domestica/?name=MDP0000156440","MDP0000156440")</f>
        <v>MDP0000156440</v>
      </c>
      <c r="D11232">
        <v>70.099999999999994</v>
      </c>
      <c r="E11232">
        <v>592</v>
      </c>
      <c r="F11232">
        <v>177</v>
      </c>
      <c r="G11232">
        <v>92</v>
      </c>
      <c r="H11232">
        <v>1</v>
      </c>
      <c r="I11232">
        <v>503</v>
      </c>
      <c r="J11232">
        <v>1</v>
      </c>
      <c r="K11232">
        <v>1</v>
      </c>
      <c r="L11232">
        <v>589</v>
      </c>
      <c r="M11232">
        <v>1</v>
      </c>
      <c r="N11232">
        <v>0</v>
      </c>
      <c r="O11232">
        <v>1974</v>
      </c>
    </row>
    <row r="11233" spans="1:15" x14ac:dyDescent="0.25">
      <c r="A11233" t="s">
        <v>11246</v>
      </c>
      <c r="B11233">
        <v>654</v>
      </c>
      <c r="C11233" s="1" t="str">
        <f>HYPERLINK("http://www.rosaceae.org/gb/gbrowse/malus_x_domestica/?name=MDP0000300805","MDP0000300805")</f>
        <v>MDP0000300805</v>
      </c>
      <c r="D11233">
        <v>80.239999999999995</v>
      </c>
      <c r="E11233">
        <v>663</v>
      </c>
      <c r="F11233">
        <v>131</v>
      </c>
      <c r="G11233">
        <v>28</v>
      </c>
      <c r="H11233">
        <v>9</v>
      </c>
      <c r="I11233">
        <v>646</v>
      </c>
      <c r="J11233">
        <v>1</v>
      </c>
      <c r="K11233">
        <v>69</v>
      </c>
      <c r="L11233">
        <v>728</v>
      </c>
      <c r="M11233">
        <v>1</v>
      </c>
      <c r="N11233">
        <v>0</v>
      </c>
      <c r="O11233">
        <v>2685</v>
      </c>
    </row>
    <row r="11234" spans="1:15" x14ac:dyDescent="0.25">
      <c r="A11234" t="s">
        <v>11247</v>
      </c>
      <c r="B11234">
        <v>423</v>
      </c>
      <c r="C11234" s="1" t="str">
        <f>HYPERLINK("http://www.rosaceae.org/gb/gbrowse/malus_x_domestica/?name=MDP0000263585","MDP0000263585")</f>
        <v>MDP0000263585</v>
      </c>
      <c r="D11234">
        <v>82.61</v>
      </c>
      <c r="E11234">
        <v>420</v>
      </c>
      <c r="F11234">
        <v>73</v>
      </c>
      <c r="G11234">
        <v>6</v>
      </c>
      <c r="H11234">
        <v>1</v>
      </c>
      <c r="I11234">
        <v>420</v>
      </c>
      <c r="J11234">
        <v>1</v>
      </c>
      <c r="K11234">
        <v>1</v>
      </c>
      <c r="L11234">
        <v>414</v>
      </c>
      <c r="M11234">
        <v>1</v>
      </c>
      <c r="N11234">
        <v>0</v>
      </c>
      <c r="O11234">
        <v>1844</v>
      </c>
    </row>
    <row r="11235" spans="1:15" x14ac:dyDescent="0.25">
      <c r="A11235" t="s">
        <v>11248</v>
      </c>
      <c r="B11235">
        <v>264</v>
      </c>
      <c r="C11235" s="1" t="str">
        <f>HYPERLINK("http://www.rosaceae.org/gb/gbrowse/malus_x_domestica/?name=MDP0000182948","MDP0000182948")</f>
        <v>MDP0000182948</v>
      </c>
      <c r="D11235">
        <v>66.83</v>
      </c>
      <c r="E11235">
        <v>202</v>
      </c>
      <c r="F11235">
        <v>67</v>
      </c>
      <c r="G11235">
        <v>44</v>
      </c>
      <c r="H11235">
        <v>51</v>
      </c>
      <c r="I11235">
        <v>252</v>
      </c>
      <c r="J11235">
        <v>1</v>
      </c>
      <c r="K11235">
        <v>65</v>
      </c>
      <c r="L11235">
        <v>222</v>
      </c>
      <c r="M11235">
        <v>1</v>
      </c>
      <c r="N11235">
        <v>8.6895200000000001E-70</v>
      </c>
      <c r="O11235">
        <v>665</v>
      </c>
    </row>
    <row r="11236" spans="1:15" x14ac:dyDescent="0.25">
      <c r="A11236" t="s">
        <v>11249</v>
      </c>
      <c r="B11236">
        <v>357</v>
      </c>
      <c r="C11236" s="1" t="str">
        <f>HYPERLINK("http://www.rosaceae.org/gb/gbrowse/malus_x_domestica/?name=MDP0000288817","MDP0000288817")</f>
        <v>MDP0000288817</v>
      </c>
      <c r="D11236">
        <v>47.15</v>
      </c>
      <c r="E11236">
        <v>299</v>
      </c>
      <c r="F11236">
        <v>158</v>
      </c>
      <c r="G11236">
        <v>17</v>
      </c>
      <c r="H11236">
        <v>67</v>
      </c>
      <c r="I11236">
        <v>355</v>
      </c>
      <c r="J11236">
        <v>1</v>
      </c>
      <c r="K11236">
        <v>786</v>
      </c>
      <c r="L11236">
        <v>1077</v>
      </c>
      <c r="M11236">
        <v>1</v>
      </c>
      <c r="N11236">
        <v>2.91185E-60</v>
      </c>
      <c r="O11236">
        <v>585</v>
      </c>
    </row>
    <row r="11237" spans="1:15" x14ac:dyDescent="0.25">
      <c r="A11237" t="s">
        <v>11250</v>
      </c>
      <c r="B11237">
        <v>266</v>
      </c>
      <c r="C11237" s="1" t="str">
        <f>HYPERLINK("http://www.rosaceae.org/gb/gbrowse/malus_x_domestica/?name=MDP0000768445","MDP0000768445")</f>
        <v>MDP0000768445</v>
      </c>
      <c r="D11237">
        <v>76.86</v>
      </c>
      <c r="E11237">
        <v>268</v>
      </c>
      <c r="F11237">
        <v>62</v>
      </c>
      <c r="G11237">
        <v>3</v>
      </c>
      <c r="H11237">
        <v>1</v>
      </c>
      <c r="I11237">
        <v>266</v>
      </c>
      <c r="J11237">
        <v>1</v>
      </c>
      <c r="K11237">
        <v>363</v>
      </c>
      <c r="L11237">
        <v>629</v>
      </c>
      <c r="M11237">
        <v>1</v>
      </c>
      <c r="N11237">
        <v>4.4464399999999998E-121</v>
      </c>
      <c r="O11237">
        <v>1107</v>
      </c>
    </row>
    <row r="11238" spans="1:15" x14ac:dyDescent="0.25">
      <c r="A11238" t="s">
        <v>11251</v>
      </c>
      <c r="B11238">
        <v>448</v>
      </c>
      <c r="C11238" s="1" t="str">
        <f>HYPERLINK("http://www.rosaceae.org/gb/gbrowse/malus_x_domestica/?name=MDP0000189238","MDP0000189238")</f>
        <v>MDP0000189238</v>
      </c>
      <c r="D11238">
        <v>85.54</v>
      </c>
      <c r="E11238">
        <v>332</v>
      </c>
      <c r="F11238">
        <v>48</v>
      </c>
      <c r="G11238">
        <v>1</v>
      </c>
      <c r="H11238">
        <v>1</v>
      </c>
      <c r="I11238">
        <v>331</v>
      </c>
      <c r="J11238">
        <v>1</v>
      </c>
      <c r="K11238">
        <v>1</v>
      </c>
      <c r="L11238">
        <v>332</v>
      </c>
      <c r="M11238">
        <v>1</v>
      </c>
      <c r="N11238">
        <v>1.64599E-167</v>
      </c>
      <c r="O11238">
        <v>1511</v>
      </c>
    </row>
    <row r="11239" spans="1:15" x14ac:dyDescent="0.25">
      <c r="A11239" t="s">
        <v>11252</v>
      </c>
      <c r="B11239">
        <v>665</v>
      </c>
      <c r="C11239" s="1" t="str">
        <f>HYPERLINK("http://www.rosaceae.org/gb/gbrowse/malus_x_domestica/?name=MDP0000180139","MDP0000180139")</f>
        <v>MDP0000180139</v>
      </c>
      <c r="D11239">
        <v>75.209999999999994</v>
      </c>
      <c r="E11239">
        <v>690</v>
      </c>
      <c r="F11239">
        <v>171</v>
      </c>
      <c r="G11239">
        <v>25</v>
      </c>
      <c r="H11239">
        <v>1</v>
      </c>
      <c r="I11239">
        <v>665</v>
      </c>
      <c r="J11239">
        <v>1</v>
      </c>
      <c r="K11239">
        <v>1</v>
      </c>
      <c r="L11239">
        <v>690</v>
      </c>
      <c r="M11239">
        <v>1</v>
      </c>
      <c r="N11239">
        <v>0</v>
      </c>
      <c r="O11239">
        <v>2671</v>
      </c>
    </row>
    <row r="11240" spans="1:15" x14ac:dyDescent="0.25">
      <c r="A11240" t="s">
        <v>11253</v>
      </c>
      <c r="B11240">
        <v>855</v>
      </c>
      <c r="C11240" s="1" t="str">
        <f>HYPERLINK("http://www.rosaceae.org/gb/gbrowse/malus_x_domestica/?name=MDP0000913703","MDP0000913703")</f>
        <v>MDP0000913703</v>
      </c>
      <c r="D11240">
        <v>87.95</v>
      </c>
      <c r="E11240">
        <v>855</v>
      </c>
      <c r="F11240">
        <v>103</v>
      </c>
      <c r="G11240">
        <v>7</v>
      </c>
      <c r="H11240">
        <v>1</v>
      </c>
      <c r="I11240">
        <v>855</v>
      </c>
      <c r="J11240">
        <v>1</v>
      </c>
      <c r="K11240">
        <v>1</v>
      </c>
      <c r="L11240">
        <v>848</v>
      </c>
      <c r="M11240">
        <v>1</v>
      </c>
      <c r="N11240">
        <v>0</v>
      </c>
      <c r="O11240">
        <v>4074</v>
      </c>
    </row>
    <row r="11241" spans="1:15" x14ac:dyDescent="0.25">
      <c r="A11241" t="s">
        <v>11254</v>
      </c>
      <c r="B11241">
        <v>272</v>
      </c>
      <c r="C11241" s="1" t="str">
        <f>HYPERLINK("http://www.rosaceae.org/gb/gbrowse/malus_x_domestica/?name=MDP0000147323","MDP0000147323")</f>
        <v>MDP0000147323</v>
      </c>
      <c r="D11241">
        <v>75.66</v>
      </c>
      <c r="E11241">
        <v>263</v>
      </c>
      <c r="F11241">
        <v>64</v>
      </c>
      <c r="G11241">
        <v>0</v>
      </c>
      <c r="H11241">
        <v>10</v>
      </c>
      <c r="I11241">
        <v>272</v>
      </c>
      <c r="J11241">
        <v>1</v>
      </c>
      <c r="K11241">
        <v>28</v>
      </c>
      <c r="L11241">
        <v>290</v>
      </c>
      <c r="M11241">
        <v>1</v>
      </c>
      <c r="N11241">
        <v>2.1971900000000002E-115</v>
      </c>
      <c r="O11241">
        <v>1058</v>
      </c>
    </row>
    <row r="11242" spans="1:15" x14ac:dyDescent="0.25">
      <c r="A11242" t="s">
        <v>11255</v>
      </c>
      <c r="B11242">
        <v>1234</v>
      </c>
      <c r="C11242" s="1" t="str">
        <f>HYPERLINK("http://www.rosaceae.org/gb/gbrowse/malus_x_domestica/?name=MDP0000937952","MDP0000937952")</f>
        <v>MDP0000937952</v>
      </c>
      <c r="D11242">
        <v>69.3</v>
      </c>
      <c r="E11242">
        <v>1036</v>
      </c>
      <c r="F11242">
        <v>318</v>
      </c>
      <c r="G11242">
        <v>44</v>
      </c>
      <c r="H11242">
        <v>229</v>
      </c>
      <c r="I11242">
        <v>1234</v>
      </c>
      <c r="J11242">
        <v>1</v>
      </c>
      <c r="K11242">
        <v>17</v>
      </c>
      <c r="L11242">
        <v>1038</v>
      </c>
      <c r="M11242">
        <v>1</v>
      </c>
      <c r="N11242">
        <v>0</v>
      </c>
      <c r="O11242">
        <v>3567</v>
      </c>
    </row>
    <row r="11243" spans="1:15" x14ac:dyDescent="0.25">
      <c r="A11243" t="s">
        <v>11256</v>
      </c>
      <c r="B11243">
        <v>173</v>
      </c>
      <c r="C11243" s="1" t="str">
        <f>HYPERLINK("http://www.rosaceae.org/gb/gbrowse/malus_x_domestica/?name=MDP0000321097","MDP0000321097")</f>
        <v>MDP0000321097</v>
      </c>
      <c r="D11243">
        <v>57.3</v>
      </c>
      <c r="E11243">
        <v>89</v>
      </c>
      <c r="F11243">
        <v>38</v>
      </c>
      <c r="G11243">
        <v>10</v>
      </c>
      <c r="H11243">
        <v>1</v>
      </c>
      <c r="I11243">
        <v>87</v>
      </c>
      <c r="J11243">
        <v>1</v>
      </c>
      <c r="K11243">
        <v>1</v>
      </c>
      <c r="L11243">
        <v>81</v>
      </c>
      <c r="M11243">
        <v>1</v>
      </c>
      <c r="N11243">
        <v>2.4954099999999999E-13</v>
      </c>
      <c r="O11243">
        <v>175</v>
      </c>
    </row>
    <row r="11244" spans="1:15" x14ac:dyDescent="0.25">
      <c r="A11244" t="s">
        <v>11257</v>
      </c>
      <c r="B11244">
        <v>720</v>
      </c>
      <c r="C11244" s="1" t="str">
        <f>HYPERLINK("http://www.rosaceae.org/gb/gbrowse/malus_x_domestica/?name=MDP0000172296","MDP0000172296")</f>
        <v>MDP0000172296</v>
      </c>
      <c r="D11244">
        <v>58.64</v>
      </c>
      <c r="E11244">
        <v>711</v>
      </c>
      <c r="F11244">
        <v>294</v>
      </c>
      <c r="G11244">
        <v>46</v>
      </c>
      <c r="H11244">
        <v>53</v>
      </c>
      <c r="I11244">
        <v>718</v>
      </c>
      <c r="J11244">
        <v>1</v>
      </c>
      <c r="K11244">
        <v>56</v>
      </c>
      <c r="L11244">
        <v>765</v>
      </c>
      <c r="M11244">
        <v>1</v>
      </c>
      <c r="N11244">
        <v>0</v>
      </c>
      <c r="O11244">
        <v>1870</v>
      </c>
    </row>
    <row r="11245" spans="1:15" x14ac:dyDescent="0.25">
      <c r="A11245" t="s">
        <v>11258</v>
      </c>
      <c r="B11245">
        <v>461</v>
      </c>
      <c r="C11245" s="1" t="str">
        <f>HYPERLINK("http://www.rosaceae.org/gb/gbrowse/malus_x_domestica/?name=MDP0000216956","MDP0000216956")</f>
        <v>MDP0000216956</v>
      </c>
      <c r="D11245">
        <v>50.63</v>
      </c>
      <c r="E11245">
        <v>79</v>
      </c>
      <c r="F11245">
        <v>39</v>
      </c>
      <c r="G11245">
        <v>8</v>
      </c>
      <c r="H11245">
        <v>219</v>
      </c>
      <c r="I11245">
        <v>291</v>
      </c>
      <c r="J11245">
        <v>1</v>
      </c>
      <c r="K11245">
        <v>165</v>
      </c>
      <c r="L11245">
        <v>241</v>
      </c>
      <c r="M11245">
        <v>1</v>
      </c>
      <c r="N11245">
        <v>1.1567999999999999E-16</v>
      </c>
      <c r="O11245">
        <v>210</v>
      </c>
    </row>
    <row r="11246" spans="1:15" x14ac:dyDescent="0.25">
      <c r="A11246" t="s">
        <v>11259</v>
      </c>
      <c r="B11246">
        <v>1346</v>
      </c>
      <c r="C11246" s="1" t="str">
        <f>HYPERLINK("http://www.rosaceae.org/gb/gbrowse/malus_x_domestica/?name=MDP0000226302","MDP0000226302")</f>
        <v>MDP0000226302</v>
      </c>
      <c r="D11246">
        <v>59.45</v>
      </c>
      <c r="E11246">
        <v>957</v>
      </c>
      <c r="F11246">
        <v>388</v>
      </c>
      <c r="G11246">
        <v>86</v>
      </c>
      <c r="H11246">
        <v>419</v>
      </c>
      <c r="I11246">
        <v>1333</v>
      </c>
      <c r="J11246">
        <v>1</v>
      </c>
      <c r="K11246">
        <v>491</v>
      </c>
      <c r="L11246">
        <v>1403</v>
      </c>
      <c r="M11246">
        <v>1</v>
      </c>
      <c r="N11246">
        <v>0</v>
      </c>
      <c r="O11246">
        <v>2726</v>
      </c>
    </row>
    <row r="11247" spans="1:15" x14ac:dyDescent="0.25">
      <c r="A11247" t="s">
        <v>11260</v>
      </c>
      <c r="B11247">
        <v>257</v>
      </c>
      <c r="C11247" s="1" t="str">
        <f>HYPERLINK("http://www.rosaceae.org/gb/gbrowse/malus_x_domestica/?name=MDP0000138517","MDP0000138517")</f>
        <v>MDP0000138517</v>
      </c>
      <c r="D11247">
        <v>30.96</v>
      </c>
      <c r="E11247">
        <v>197</v>
      </c>
      <c r="F11247">
        <v>136</v>
      </c>
      <c r="G11247">
        <v>31</v>
      </c>
      <c r="H11247">
        <v>30</v>
      </c>
      <c r="I11247">
        <v>201</v>
      </c>
      <c r="J11247">
        <v>1</v>
      </c>
      <c r="K11247">
        <v>238</v>
      </c>
      <c r="L11247">
        <v>428</v>
      </c>
      <c r="M11247">
        <v>1</v>
      </c>
      <c r="N11247">
        <v>5.8674200000000001E-12</v>
      </c>
      <c r="O11247">
        <v>166</v>
      </c>
    </row>
    <row r="11248" spans="1:15" x14ac:dyDescent="0.25">
      <c r="A11248" t="s">
        <v>11261</v>
      </c>
      <c r="B11248">
        <v>412</v>
      </c>
      <c r="C11248" s="1" t="str">
        <f>HYPERLINK("http://www.rosaceae.org/gb/gbrowse/malus_x_domestica/?name=MDP0000288052","MDP0000288052")</f>
        <v>MDP0000288052</v>
      </c>
      <c r="D11248">
        <v>83.88</v>
      </c>
      <c r="E11248">
        <v>391</v>
      </c>
      <c r="F11248">
        <v>63</v>
      </c>
      <c r="G11248">
        <v>4</v>
      </c>
      <c r="H11248">
        <v>22</v>
      </c>
      <c r="I11248">
        <v>410</v>
      </c>
      <c r="J11248">
        <v>1</v>
      </c>
      <c r="K11248">
        <v>1</v>
      </c>
      <c r="L11248">
        <v>389</v>
      </c>
      <c r="M11248">
        <v>1</v>
      </c>
      <c r="N11248">
        <v>0</v>
      </c>
      <c r="O11248">
        <v>1747</v>
      </c>
    </row>
    <row r="11249" spans="1:15" x14ac:dyDescent="0.25">
      <c r="A11249" t="s">
        <v>11262</v>
      </c>
      <c r="B11249">
        <v>243</v>
      </c>
      <c r="C11249" s="1" t="str">
        <f>HYPERLINK("http://www.rosaceae.org/gb/gbrowse/malus_x_domestica/?name=MDP0000285802","MDP0000285802")</f>
        <v>MDP0000285802</v>
      </c>
      <c r="D11249">
        <v>56.3</v>
      </c>
      <c r="E11249">
        <v>238</v>
      </c>
      <c r="F11249">
        <v>104</v>
      </c>
      <c r="G11249">
        <v>5</v>
      </c>
      <c r="H11249">
        <v>1</v>
      </c>
      <c r="I11249">
        <v>238</v>
      </c>
      <c r="J11249">
        <v>1</v>
      </c>
      <c r="K11249">
        <v>94</v>
      </c>
      <c r="L11249">
        <v>326</v>
      </c>
      <c r="M11249">
        <v>1</v>
      </c>
      <c r="N11249">
        <v>8.6616600000000005E-71</v>
      </c>
      <c r="O11249">
        <v>673</v>
      </c>
    </row>
    <row r="11250" spans="1:15" x14ac:dyDescent="0.25">
      <c r="A11250" t="s">
        <v>11263</v>
      </c>
      <c r="B11250">
        <v>885</v>
      </c>
      <c r="C11250" s="1" t="str">
        <f>HYPERLINK("http://www.rosaceae.org/gb/gbrowse/malus_x_domestica/?name=MDP0000927091","MDP0000927091")</f>
        <v>MDP0000927091</v>
      </c>
      <c r="D11250">
        <v>75.66</v>
      </c>
      <c r="E11250">
        <v>896</v>
      </c>
      <c r="F11250">
        <v>218</v>
      </c>
      <c r="G11250">
        <v>36</v>
      </c>
      <c r="H11250">
        <v>1</v>
      </c>
      <c r="I11250">
        <v>885</v>
      </c>
      <c r="J11250">
        <v>1</v>
      </c>
      <c r="K11250">
        <v>1</v>
      </c>
      <c r="L11250">
        <v>871</v>
      </c>
      <c r="M11250">
        <v>1</v>
      </c>
      <c r="N11250">
        <v>0</v>
      </c>
      <c r="O11250">
        <v>3530</v>
      </c>
    </row>
    <row r="11251" spans="1:15" x14ac:dyDescent="0.25">
      <c r="A11251" t="s">
        <v>11264</v>
      </c>
      <c r="B11251">
        <v>492</v>
      </c>
      <c r="C11251" s="1" t="str">
        <f>HYPERLINK("http://www.rosaceae.org/gb/gbrowse/malus_x_domestica/?name=MDP0000909614","MDP0000909614")</f>
        <v>MDP0000909614</v>
      </c>
      <c r="D11251">
        <v>77.05</v>
      </c>
      <c r="E11251">
        <v>475</v>
      </c>
      <c r="F11251">
        <v>109</v>
      </c>
      <c r="G11251">
        <v>2</v>
      </c>
      <c r="H11251">
        <v>2</v>
      </c>
      <c r="I11251">
        <v>474</v>
      </c>
      <c r="J11251">
        <v>1</v>
      </c>
      <c r="K11251">
        <v>3</v>
      </c>
      <c r="L11251">
        <v>477</v>
      </c>
      <c r="M11251">
        <v>1</v>
      </c>
      <c r="N11251">
        <v>0</v>
      </c>
      <c r="O11251">
        <v>1829</v>
      </c>
    </row>
    <row r="11252" spans="1:15" x14ac:dyDescent="0.25">
      <c r="A11252" t="s">
        <v>11265</v>
      </c>
      <c r="B11252">
        <v>341</v>
      </c>
      <c r="C11252" s="1" t="str">
        <f>HYPERLINK("http://www.rosaceae.org/gb/gbrowse/malus_x_domestica/?name=MDP0000155922","MDP0000155922")</f>
        <v>MDP0000155922</v>
      </c>
      <c r="D11252">
        <v>70.12</v>
      </c>
      <c r="E11252">
        <v>231</v>
      </c>
      <c r="F11252">
        <v>69</v>
      </c>
      <c r="G11252">
        <v>4</v>
      </c>
      <c r="H11252">
        <v>35</v>
      </c>
      <c r="I11252">
        <v>261</v>
      </c>
      <c r="J11252">
        <v>1</v>
      </c>
      <c r="K11252">
        <v>134</v>
      </c>
      <c r="L11252">
        <v>364</v>
      </c>
      <c r="M11252">
        <v>1</v>
      </c>
      <c r="N11252">
        <v>6.5515900000000006E-86</v>
      </c>
      <c r="O11252">
        <v>806</v>
      </c>
    </row>
    <row r="11253" spans="1:15" x14ac:dyDescent="0.25">
      <c r="A11253" t="s">
        <v>11266</v>
      </c>
      <c r="B11253">
        <v>891</v>
      </c>
      <c r="C11253" s="1" t="str">
        <f>HYPERLINK("http://www.rosaceae.org/gb/gbrowse/malus_x_domestica/?name=MDP0000277348","MDP0000277348")</f>
        <v>MDP0000277348</v>
      </c>
      <c r="D11253">
        <v>58.83</v>
      </c>
      <c r="E11253">
        <v>826</v>
      </c>
      <c r="F11253">
        <v>340</v>
      </c>
      <c r="G11253">
        <v>74</v>
      </c>
      <c r="H11253">
        <v>47</v>
      </c>
      <c r="I11253">
        <v>810</v>
      </c>
      <c r="J11253">
        <v>1</v>
      </c>
      <c r="K11253">
        <v>31</v>
      </c>
      <c r="L11253">
        <v>844</v>
      </c>
      <c r="M11253">
        <v>1</v>
      </c>
      <c r="N11253">
        <v>0</v>
      </c>
      <c r="O11253">
        <v>2315</v>
      </c>
    </row>
    <row r="11254" spans="1:15" x14ac:dyDescent="0.25">
      <c r="A11254" t="s">
        <v>11267</v>
      </c>
      <c r="B11254">
        <v>167</v>
      </c>
      <c r="C11254" s="1" t="str">
        <f>HYPERLINK("http://www.rosaceae.org/gb/gbrowse/malus_x_domestica/?name=MDP0000563698","MDP0000563698")</f>
        <v>MDP0000563698</v>
      </c>
      <c r="D11254">
        <v>39.340000000000003</v>
      </c>
      <c r="E11254">
        <v>61</v>
      </c>
      <c r="F11254">
        <v>37</v>
      </c>
      <c r="G11254">
        <v>2</v>
      </c>
      <c r="H11254">
        <v>78</v>
      </c>
      <c r="I11254">
        <v>138</v>
      </c>
      <c r="J11254">
        <v>1</v>
      </c>
      <c r="K11254">
        <v>337</v>
      </c>
      <c r="L11254">
        <v>395</v>
      </c>
      <c r="M11254">
        <v>1</v>
      </c>
      <c r="N11254">
        <v>6.8192800000000002E-7</v>
      </c>
      <c r="O11254">
        <v>120</v>
      </c>
    </row>
    <row r="11255" spans="1:15" x14ac:dyDescent="0.25">
      <c r="A11255" t="s">
        <v>11268</v>
      </c>
      <c r="B11255">
        <v>1623</v>
      </c>
      <c r="C11255" s="1" t="str">
        <f>HYPERLINK("http://www.rosaceae.org/gb/gbrowse/malus_x_domestica/?name=MDP0000308704","MDP0000308704")</f>
        <v>MDP0000308704</v>
      </c>
      <c r="D11255">
        <v>73.44</v>
      </c>
      <c r="E11255">
        <v>1657</v>
      </c>
      <c r="F11255">
        <v>440</v>
      </c>
      <c r="G11255">
        <v>83</v>
      </c>
      <c r="H11255">
        <v>1</v>
      </c>
      <c r="I11255">
        <v>1615</v>
      </c>
      <c r="J11255">
        <v>1</v>
      </c>
      <c r="K11255">
        <v>1</v>
      </c>
      <c r="L11255">
        <v>1616</v>
      </c>
      <c r="M11255">
        <v>1</v>
      </c>
      <c r="N11255">
        <v>0</v>
      </c>
      <c r="O11255">
        <v>6260</v>
      </c>
    </row>
    <row r="11256" spans="1:15" x14ac:dyDescent="0.25">
      <c r="A11256" t="s">
        <v>11269</v>
      </c>
      <c r="B11256">
        <v>612</v>
      </c>
      <c r="C11256" s="1" t="str">
        <f>HYPERLINK("http://www.rosaceae.org/gb/gbrowse/malus_x_domestica/?name=MDP0000130026","MDP0000130026")</f>
        <v>MDP0000130026</v>
      </c>
      <c r="D11256">
        <v>84.32</v>
      </c>
      <c r="E11256">
        <v>485</v>
      </c>
      <c r="F11256">
        <v>76</v>
      </c>
      <c r="G11256">
        <v>10</v>
      </c>
      <c r="H11256">
        <v>16</v>
      </c>
      <c r="I11256">
        <v>500</v>
      </c>
      <c r="J11256">
        <v>1</v>
      </c>
      <c r="K11256">
        <v>1</v>
      </c>
      <c r="L11256">
        <v>475</v>
      </c>
      <c r="M11256">
        <v>1</v>
      </c>
      <c r="N11256">
        <v>0</v>
      </c>
      <c r="O11256">
        <v>2139</v>
      </c>
    </row>
    <row r="11257" spans="1:15" x14ac:dyDescent="0.25">
      <c r="A11257" t="s">
        <v>11270</v>
      </c>
      <c r="B11257">
        <v>429</v>
      </c>
      <c r="C11257" s="1" t="str">
        <f>HYPERLINK("http://www.rosaceae.org/gb/gbrowse/malus_x_domestica/?name=MDP0000796758","MDP0000796758")</f>
        <v>MDP0000796758</v>
      </c>
      <c r="D11257">
        <v>58.93</v>
      </c>
      <c r="E11257">
        <v>414</v>
      </c>
      <c r="F11257">
        <v>170</v>
      </c>
      <c r="G11257">
        <v>23</v>
      </c>
      <c r="H11257">
        <v>1</v>
      </c>
      <c r="I11257">
        <v>404</v>
      </c>
      <c r="J11257">
        <v>1</v>
      </c>
      <c r="K11257">
        <v>1</v>
      </c>
      <c r="L11257">
        <v>401</v>
      </c>
      <c r="M11257">
        <v>1</v>
      </c>
      <c r="N11257">
        <v>1.20635E-115</v>
      </c>
      <c r="O11257">
        <v>1063</v>
      </c>
    </row>
    <row r="11258" spans="1:15" x14ac:dyDescent="0.25">
      <c r="A11258" t="s">
        <v>11271</v>
      </c>
      <c r="B11258">
        <v>560</v>
      </c>
      <c r="C11258" s="1" t="str">
        <f>HYPERLINK("http://www.rosaceae.org/gb/gbrowse/malus_x_domestica/?name=MDP0000293344","MDP0000293344")</f>
        <v>MDP0000293344</v>
      </c>
      <c r="D11258">
        <v>76.209999999999994</v>
      </c>
      <c r="E11258">
        <v>555</v>
      </c>
      <c r="F11258">
        <v>132</v>
      </c>
      <c r="G11258">
        <v>11</v>
      </c>
      <c r="H11258">
        <v>1</v>
      </c>
      <c r="I11258">
        <v>549</v>
      </c>
      <c r="J11258">
        <v>1</v>
      </c>
      <c r="K11258">
        <v>1</v>
      </c>
      <c r="L11258">
        <v>550</v>
      </c>
      <c r="M11258">
        <v>1</v>
      </c>
      <c r="N11258">
        <v>0</v>
      </c>
      <c r="O11258">
        <v>2110</v>
      </c>
    </row>
    <row r="11259" spans="1:15" x14ac:dyDescent="0.25">
      <c r="A11259" t="s">
        <v>11272</v>
      </c>
      <c r="B11259">
        <v>1021</v>
      </c>
      <c r="C11259" s="1" t="str">
        <f>HYPERLINK("http://www.rosaceae.org/gb/gbrowse/malus_x_domestica/?name=MDP0000181464","MDP0000181464")</f>
        <v>MDP0000181464</v>
      </c>
      <c r="D11259">
        <v>78.900000000000006</v>
      </c>
      <c r="E11259">
        <v>1043</v>
      </c>
      <c r="F11259">
        <v>220</v>
      </c>
      <c r="G11259">
        <v>55</v>
      </c>
      <c r="H11259">
        <v>1</v>
      </c>
      <c r="I11259">
        <v>1014</v>
      </c>
      <c r="J11259">
        <v>1</v>
      </c>
      <c r="K11259">
        <v>1</v>
      </c>
      <c r="L11259">
        <v>1017</v>
      </c>
      <c r="M11259">
        <v>1</v>
      </c>
      <c r="N11259">
        <v>0</v>
      </c>
      <c r="O11259">
        <v>4299</v>
      </c>
    </row>
    <row r="11260" spans="1:15" x14ac:dyDescent="0.25">
      <c r="A11260" t="s">
        <v>11273</v>
      </c>
      <c r="B11260">
        <v>302</v>
      </c>
      <c r="C11260" s="1" t="str">
        <f>HYPERLINK("http://www.rosaceae.org/gb/gbrowse/malus_x_domestica/?name=MDP0000296877","MDP0000296877")</f>
        <v>MDP0000296877</v>
      </c>
      <c r="D11260">
        <v>54.91</v>
      </c>
      <c r="E11260">
        <v>122</v>
      </c>
      <c r="F11260">
        <v>55</v>
      </c>
      <c r="G11260">
        <v>2</v>
      </c>
      <c r="H11260">
        <v>15</v>
      </c>
      <c r="I11260">
        <v>134</v>
      </c>
      <c r="J11260">
        <v>1</v>
      </c>
      <c r="K11260">
        <v>40</v>
      </c>
      <c r="L11260">
        <v>161</v>
      </c>
      <c r="M11260">
        <v>1</v>
      </c>
      <c r="N11260">
        <v>4.7494599999999998E-30</v>
      </c>
      <c r="O11260">
        <v>323</v>
      </c>
    </row>
    <row r="11261" spans="1:15" x14ac:dyDescent="0.25">
      <c r="A11261" t="s">
        <v>11274</v>
      </c>
      <c r="B11261">
        <v>166</v>
      </c>
      <c r="C11261" s="1" t="str">
        <f>HYPERLINK("http://www.rosaceae.org/gb/gbrowse/malus_x_domestica/?name=MDP0000264514","MDP0000264514")</f>
        <v>MDP0000264514</v>
      </c>
      <c r="D11261">
        <v>89.2</v>
      </c>
      <c r="E11261">
        <v>139</v>
      </c>
      <c r="F11261">
        <v>15</v>
      </c>
      <c r="G11261">
        <v>1</v>
      </c>
      <c r="H11261">
        <v>27</v>
      </c>
      <c r="I11261">
        <v>164</v>
      </c>
      <c r="J11261">
        <v>1</v>
      </c>
      <c r="K11261">
        <v>95</v>
      </c>
      <c r="L11261">
        <v>233</v>
      </c>
      <c r="M11261">
        <v>1</v>
      </c>
      <c r="N11261">
        <v>1.01206E-63</v>
      </c>
      <c r="O11261">
        <v>610</v>
      </c>
    </row>
    <row r="11262" spans="1:15" x14ac:dyDescent="0.25">
      <c r="A11262" t="s">
        <v>11275</v>
      </c>
      <c r="B11262">
        <v>426</v>
      </c>
      <c r="C11262" s="1" t="str">
        <f>HYPERLINK("http://www.rosaceae.org/gb/gbrowse/malus_x_domestica/?name=MDP0000749713","MDP0000749713")</f>
        <v>MDP0000749713</v>
      </c>
      <c r="D11262">
        <v>69.739999999999995</v>
      </c>
      <c r="E11262">
        <v>314</v>
      </c>
      <c r="F11262">
        <v>95</v>
      </c>
      <c r="G11262">
        <v>3</v>
      </c>
      <c r="H11262">
        <v>1</v>
      </c>
      <c r="I11262">
        <v>311</v>
      </c>
      <c r="J11262">
        <v>1</v>
      </c>
      <c r="K11262">
        <v>1</v>
      </c>
      <c r="L11262">
        <v>314</v>
      </c>
      <c r="M11262">
        <v>1</v>
      </c>
      <c r="N11262">
        <v>1.4417100000000001E-130</v>
      </c>
      <c r="O11262">
        <v>1192</v>
      </c>
    </row>
    <row r="11263" spans="1:15" x14ac:dyDescent="0.25">
      <c r="A11263" t="s">
        <v>11276</v>
      </c>
      <c r="B11263">
        <v>230</v>
      </c>
      <c r="C11263" s="1" t="str">
        <f>HYPERLINK("http://www.rosaceae.org/gb/gbrowse/malus_x_domestica/?name=MDP0000221986","MDP0000221986")</f>
        <v>MDP0000221986</v>
      </c>
      <c r="D11263">
        <v>53.38</v>
      </c>
      <c r="E11263">
        <v>281</v>
      </c>
      <c r="F11263">
        <v>131</v>
      </c>
      <c r="G11263">
        <v>56</v>
      </c>
      <c r="H11263">
        <v>1</v>
      </c>
      <c r="I11263">
        <v>225</v>
      </c>
      <c r="J11263">
        <v>1</v>
      </c>
      <c r="K11263">
        <v>1</v>
      </c>
      <c r="L11263">
        <v>281</v>
      </c>
      <c r="M11263">
        <v>1</v>
      </c>
      <c r="N11263">
        <v>3.1741199999999999E-76</v>
      </c>
      <c r="O11263">
        <v>720</v>
      </c>
    </row>
    <row r="11264" spans="1:15" x14ac:dyDescent="0.25">
      <c r="A11264" t="s">
        <v>11277</v>
      </c>
      <c r="B11264">
        <v>209</v>
      </c>
      <c r="C11264" s="1" t="str">
        <f>HYPERLINK("http://www.rosaceae.org/gb/gbrowse/malus_x_domestica/?name=MDP0000224315","MDP0000224315")</f>
        <v>MDP0000224315</v>
      </c>
      <c r="D11264">
        <v>44.68</v>
      </c>
      <c r="E11264">
        <v>94</v>
      </c>
      <c r="F11264">
        <v>52</v>
      </c>
      <c r="G11264">
        <v>2</v>
      </c>
      <c r="H11264">
        <v>4</v>
      </c>
      <c r="I11264">
        <v>97</v>
      </c>
      <c r="J11264">
        <v>1</v>
      </c>
      <c r="K11264">
        <v>62</v>
      </c>
      <c r="L11264">
        <v>153</v>
      </c>
      <c r="M11264">
        <v>1</v>
      </c>
      <c r="N11264">
        <v>1.21123E-15</v>
      </c>
      <c r="O11264">
        <v>197</v>
      </c>
    </row>
    <row r="11265" spans="1:15" x14ac:dyDescent="0.25">
      <c r="A11265" t="s">
        <v>11278</v>
      </c>
      <c r="B11265">
        <v>485</v>
      </c>
      <c r="C11265" s="1" t="str">
        <f>HYPERLINK("http://www.rosaceae.org/gb/gbrowse/malus_x_domestica/?name=MDP0000128265","MDP0000128265")</f>
        <v>MDP0000128265</v>
      </c>
      <c r="D11265">
        <v>73.37</v>
      </c>
      <c r="E11265">
        <v>477</v>
      </c>
      <c r="F11265">
        <v>127</v>
      </c>
      <c r="G11265">
        <v>9</v>
      </c>
      <c r="H11265">
        <v>6</v>
      </c>
      <c r="I11265">
        <v>481</v>
      </c>
      <c r="J11265">
        <v>1</v>
      </c>
      <c r="K11265">
        <v>5</v>
      </c>
      <c r="L11265">
        <v>473</v>
      </c>
      <c r="M11265">
        <v>1</v>
      </c>
      <c r="N11265">
        <v>0</v>
      </c>
      <c r="O11265">
        <v>1820</v>
      </c>
    </row>
    <row r="11266" spans="1:15" x14ac:dyDescent="0.25">
      <c r="A11266" t="s">
        <v>11279</v>
      </c>
      <c r="B11266">
        <v>422</v>
      </c>
      <c r="C11266" s="1" t="str">
        <f>HYPERLINK("http://www.rosaceae.org/gb/gbrowse/malus_x_domestica/?name=MDP0000269497","MDP0000269497")</f>
        <v>MDP0000269497</v>
      </c>
      <c r="D11266">
        <v>80.34</v>
      </c>
      <c r="E11266">
        <v>407</v>
      </c>
      <c r="F11266">
        <v>80</v>
      </c>
      <c r="G11266">
        <v>37</v>
      </c>
      <c r="H11266">
        <v>52</v>
      </c>
      <c r="I11266">
        <v>422</v>
      </c>
      <c r="J11266">
        <v>1</v>
      </c>
      <c r="K11266">
        <v>4</v>
      </c>
      <c r="L11266">
        <v>409</v>
      </c>
      <c r="M11266">
        <v>1</v>
      </c>
      <c r="N11266">
        <v>0</v>
      </c>
      <c r="O11266">
        <v>1632</v>
      </c>
    </row>
    <row r="11267" spans="1:15" x14ac:dyDescent="0.25">
      <c r="A11267" t="s">
        <v>11280</v>
      </c>
      <c r="B11267">
        <v>178</v>
      </c>
      <c r="C11267" s="1" t="str">
        <f>HYPERLINK("http://www.rosaceae.org/gb/gbrowse/malus_x_domestica/?name=MDP0000720497","MDP0000720497")</f>
        <v>MDP0000720497</v>
      </c>
      <c r="D11267">
        <v>82.22</v>
      </c>
      <c r="E11267">
        <v>90</v>
      </c>
      <c r="F11267">
        <v>16</v>
      </c>
      <c r="G11267">
        <v>0</v>
      </c>
      <c r="H11267">
        <v>89</v>
      </c>
      <c r="I11267">
        <v>178</v>
      </c>
      <c r="J11267">
        <v>1</v>
      </c>
      <c r="K11267">
        <v>35</v>
      </c>
      <c r="L11267">
        <v>124</v>
      </c>
      <c r="M11267">
        <v>1</v>
      </c>
      <c r="N11267">
        <v>2.99325E-37</v>
      </c>
      <c r="O11267">
        <v>382</v>
      </c>
    </row>
    <row r="11268" spans="1:15" x14ac:dyDescent="0.25">
      <c r="A11268" t="s">
        <v>11281</v>
      </c>
      <c r="B11268">
        <v>778</v>
      </c>
      <c r="C11268" s="1" t="str">
        <f>HYPERLINK("http://www.rosaceae.org/gb/gbrowse/malus_x_domestica/?name=MDP0000302095","MDP0000302095")</f>
        <v>MDP0000302095</v>
      </c>
      <c r="D11268">
        <v>57.75</v>
      </c>
      <c r="E11268">
        <v>116</v>
      </c>
      <c r="F11268">
        <v>49</v>
      </c>
      <c r="G11268">
        <v>0</v>
      </c>
      <c r="H11268">
        <v>641</v>
      </c>
      <c r="I11268">
        <v>756</v>
      </c>
      <c r="J11268">
        <v>1</v>
      </c>
      <c r="K11268">
        <v>253</v>
      </c>
      <c r="L11268">
        <v>368</v>
      </c>
      <c r="M11268">
        <v>1</v>
      </c>
      <c r="N11268">
        <v>1.3496399999999999E-34</v>
      </c>
      <c r="O11268">
        <v>367</v>
      </c>
    </row>
    <row r="11269" spans="1:15" x14ac:dyDescent="0.25">
      <c r="A11269" t="s">
        <v>11282</v>
      </c>
      <c r="B11269">
        <v>458</v>
      </c>
      <c r="C11269" s="1" t="str">
        <f>HYPERLINK("http://www.rosaceae.org/gb/gbrowse/malus_x_domestica/?name=MDP0000268690","MDP0000268690")</f>
        <v>MDP0000268690</v>
      </c>
      <c r="D11269">
        <v>70.180000000000007</v>
      </c>
      <c r="E11269">
        <v>379</v>
      </c>
      <c r="F11269">
        <v>113</v>
      </c>
      <c r="G11269">
        <v>19</v>
      </c>
      <c r="H11269">
        <v>77</v>
      </c>
      <c r="I11269">
        <v>449</v>
      </c>
      <c r="J11269">
        <v>1</v>
      </c>
      <c r="K11269">
        <v>43</v>
      </c>
      <c r="L11269">
        <v>408</v>
      </c>
      <c r="M11269">
        <v>1</v>
      </c>
      <c r="N11269">
        <v>7.47762E-140</v>
      </c>
      <c r="O11269">
        <v>1272</v>
      </c>
    </row>
    <row r="11270" spans="1:15" x14ac:dyDescent="0.25">
      <c r="A11270" t="s">
        <v>11283</v>
      </c>
      <c r="B11270">
        <v>390</v>
      </c>
      <c r="C11270" s="1" t="str">
        <f>HYPERLINK("http://www.rosaceae.org/gb/gbrowse/malus_x_domestica/?name=MDP0000607943","MDP0000607943")</f>
        <v>MDP0000607943</v>
      </c>
      <c r="D11270">
        <v>33.409999999999997</v>
      </c>
      <c r="E11270">
        <v>434</v>
      </c>
      <c r="F11270">
        <v>289</v>
      </c>
      <c r="G11270">
        <v>129</v>
      </c>
      <c r="H11270">
        <v>79</v>
      </c>
      <c r="I11270">
        <v>389</v>
      </c>
      <c r="J11270">
        <v>1</v>
      </c>
      <c r="K11270">
        <v>3</v>
      </c>
      <c r="L11270">
        <v>430</v>
      </c>
      <c r="M11270">
        <v>1</v>
      </c>
      <c r="N11270">
        <v>1.6816499999999999E-47</v>
      </c>
      <c r="O11270">
        <v>475</v>
      </c>
    </row>
    <row r="11271" spans="1:15" x14ac:dyDescent="0.25">
      <c r="A11271" t="s">
        <v>11284</v>
      </c>
      <c r="B11271">
        <v>626</v>
      </c>
      <c r="C11271" s="1" t="str">
        <f>HYPERLINK("http://www.rosaceae.org/gb/gbrowse/malus_x_domestica/?name=MDP0000286169","MDP0000286169")</f>
        <v>MDP0000286169</v>
      </c>
      <c r="D11271">
        <v>68.11</v>
      </c>
      <c r="E11271">
        <v>599</v>
      </c>
      <c r="F11271">
        <v>191</v>
      </c>
      <c r="G11271">
        <v>43</v>
      </c>
      <c r="H11271">
        <v>1</v>
      </c>
      <c r="I11271">
        <v>556</v>
      </c>
      <c r="J11271">
        <v>1</v>
      </c>
      <c r="K11271">
        <v>90</v>
      </c>
      <c r="L11271">
        <v>688</v>
      </c>
      <c r="M11271">
        <v>1</v>
      </c>
      <c r="N11271">
        <v>0</v>
      </c>
      <c r="O11271">
        <v>2161</v>
      </c>
    </row>
    <row r="11272" spans="1:15" x14ac:dyDescent="0.25">
      <c r="A11272" t="s">
        <v>11285</v>
      </c>
      <c r="B11272">
        <v>471</v>
      </c>
      <c r="C11272" s="1" t="str">
        <f>HYPERLINK("http://www.rosaceae.org/gb/gbrowse/malus_x_domestica/?name=MDP0000181794","MDP0000181794")</f>
        <v>MDP0000181794</v>
      </c>
      <c r="D11272">
        <v>40.54</v>
      </c>
      <c r="E11272">
        <v>481</v>
      </c>
      <c r="F11272">
        <v>286</v>
      </c>
      <c r="G11272">
        <v>52</v>
      </c>
      <c r="H11272">
        <v>1</v>
      </c>
      <c r="I11272">
        <v>432</v>
      </c>
      <c r="J11272">
        <v>1</v>
      </c>
      <c r="K11272">
        <v>23</v>
      </c>
      <c r="L11272">
        <v>500</v>
      </c>
      <c r="M11272">
        <v>1</v>
      </c>
      <c r="N11272">
        <v>1.6700800000000001E-83</v>
      </c>
      <c r="O11272">
        <v>786</v>
      </c>
    </row>
    <row r="11273" spans="1:15" x14ac:dyDescent="0.25">
      <c r="A11273" t="s">
        <v>11286</v>
      </c>
      <c r="B11273">
        <v>293</v>
      </c>
      <c r="C11273" s="1" t="str">
        <f>HYPERLINK("http://www.rosaceae.org/gb/gbrowse/malus_x_domestica/?name=MDP0000216333","MDP0000216333")</f>
        <v>MDP0000216333</v>
      </c>
      <c r="D11273">
        <v>50</v>
      </c>
      <c r="E11273">
        <v>240</v>
      </c>
      <c r="F11273">
        <v>120</v>
      </c>
      <c r="G11273">
        <v>47</v>
      </c>
      <c r="H11273">
        <v>81</v>
      </c>
      <c r="I11273">
        <v>275</v>
      </c>
      <c r="J11273">
        <v>1</v>
      </c>
      <c r="K11273">
        <v>161</v>
      </c>
      <c r="L11273">
        <v>398</v>
      </c>
      <c r="M11273">
        <v>1</v>
      </c>
      <c r="N11273">
        <v>2.5933399999999999E-58</v>
      </c>
      <c r="O11273">
        <v>567</v>
      </c>
    </row>
    <row r="11274" spans="1:15" x14ac:dyDescent="0.25">
      <c r="A11274" t="s">
        <v>11287</v>
      </c>
      <c r="B11274">
        <v>183</v>
      </c>
      <c r="C11274" s="1" t="str">
        <f>HYPERLINK("http://www.rosaceae.org/gb/gbrowse/malus_x_domestica/?name=MDP0000181942","MDP0000181942")</f>
        <v>MDP0000181942</v>
      </c>
      <c r="D11274">
        <v>60</v>
      </c>
      <c r="E11274">
        <v>80</v>
      </c>
      <c r="F11274">
        <v>32</v>
      </c>
      <c r="G11274">
        <v>1</v>
      </c>
      <c r="H11274">
        <v>1</v>
      </c>
      <c r="I11274">
        <v>80</v>
      </c>
      <c r="J11274">
        <v>1</v>
      </c>
      <c r="K11274">
        <v>1</v>
      </c>
      <c r="L11274">
        <v>79</v>
      </c>
      <c r="M11274">
        <v>1</v>
      </c>
      <c r="N11274">
        <v>3.6804299999999998E-20</v>
      </c>
      <c r="O11274">
        <v>235</v>
      </c>
    </row>
    <row r="11275" spans="1:15" x14ac:dyDescent="0.25">
      <c r="A11275" t="s">
        <v>11288</v>
      </c>
      <c r="B11275">
        <v>128</v>
      </c>
      <c r="C11275" s="1" t="str">
        <f>HYPERLINK("http://www.rosaceae.org/gb/gbrowse/malus_x_domestica/?name=MDP0000165349","MDP0000165349")</f>
        <v>MDP0000165349</v>
      </c>
      <c r="D11275">
        <v>45.61</v>
      </c>
      <c r="E11275">
        <v>57</v>
      </c>
      <c r="F11275">
        <v>31</v>
      </c>
      <c r="G11275">
        <v>0</v>
      </c>
      <c r="H11275">
        <v>29</v>
      </c>
      <c r="I11275">
        <v>85</v>
      </c>
      <c r="J11275">
        <v>1</v>
      </c>
      <c r="K11275">
        <v>29</v>
      </c>
      <c r="L11275">
        <v>85</v>
      </c>
      <c r="M11275">
        <v>1</v>
      </c>
      <c r="N11275">
        <v>3.3533299999999999E-10</v>
      </c>
      <c r="O11275">
        <v>146</v>
      </c>
    </row>
    <row r="11276" spans="1:15" x14ac:dyDescent="0.25">
      <c r="A11276" t="s">
        <v>11289</v>
      </c>
      <c r="B11276">
        <v>165</v>
      </c>
      <c r="C11276" s="1" t="str">
        <f>HYPERLINK("http://www.rosaceae.org/gb/gbrowse/malus_x_domestica/?name=MDP0000259301","MDP0000259301")</f>
        <v>MDP0000259301</v>
      </c>
      <c r="D11276">
        <v>72.62</v>
      </c>
      <c r="E11276">
        <v>179</v>
      </c>
      <c r="F11276">
        <v>49</v>
      </c>
      <c r="G11276">
        <v>26</v>
      </c>
      <c r="H11276">
        <v>12</v>
      </c>
      <c r="I11276">
        <v>164</v>
      </c>
      <c r="J11276">
        <v>1</v>
      </c>
      <c r="K11276">
        <v>652</v>
      </c>
      <c r="L11276">
        <v>830</v>
      </c>
      <c r="M11276">
        <v>1</v>
      </c>
      <c r="N11276">
        <v>7.5617600000000005E-70</v>
      </c>
      <c r="O11276">
        <v>662</v>
      </c>
    </row>
    <row r="11277" spans="1:15" x14ac:dyDescent="0.25">
      <c r="A11277" t="s">
        <v>11290</v>
      </c>
      <c r="B11277">
        <v>106</v>
      </c>
      <c r="C11277" s="1" t="str">
        <f>HYPERLINK("http://www.rosaceae.org/gb/gbrowse/malus_x_domestica/?name=MDP0000282191","MDP0000282191")</f>
        <v>MDP0000282191</v>
      </c>
      <c r="D11277">
        <v>56.89</v>
      </c>
      <c r="E11277">
        <v>58</v>
      </c>
      <c r="F11277">
        <v>25</v>
      </c>
      <c r="G11277">
        <v>2</v>
      </c>
      <c r="H11277">
        <v>39</v>
      </c>
      <c r="I11277">
        <v>96</v>
      </c>
      <c r="J11277">
        <v>1</v>
      </c>
      <c r="K11277">
        <v>370</v>
      </c>
      <c r="L11277">
        <v>425</v>
      </c>
      <c r="M11277">
        <v>1</v>
      </c>
      <c r="N11277">
        <v>1.07323E-9</v>
      </c>
      <c r="O11277">
        <v>141</v>
      </c>
    </row>
    <row r="11278" spans="1:15" x14ac:dyDescent="0.25">
      <c r="A11278" t="s">
        <v>11291</v>
      </c>
      <c r="B11278">
        <v>196</v>
      </c>
      <c r="C11278" s="1" t="str">
        <f>HYPERLINK("http://www.rosaceae.org/gb/gbrowse/malus_x_domestica/?name=MDP0000290742","MDP0000290742")</f>
        <v>MDP0000290742</v>
      </c>
      <c r="D11278">
        <v>59.21</v>
      </c>
      <c r="E11278">
        <v>179</v>
      </c>
      <c r="F11278">
        <v>73</v>
      </c>
      <c r="G11278">
        <v>17</v>
      </c>
      <c r="H11278">
        <v>4</v>
      </c>
      <c r="I11278">
        <v>165</v>
      </c>
      <c r="J11278">
        <v>1</v>
      </c>
      <c r="K11278">
        <v>146</v>
      </c>
      <c r="L11278">
        <v>324</v>
      </c>
      <c r="M11278">
        <v>1</v>
      </c>
      <c r="N11278">
        <v>1.5361500000000001E-47</v>
      </c>
      <c r="O11278">
        <v>471</v>
      </c>
    </row>
    <row r="11279" spans="1:15" x14ac:dyDescent="0.25">
      <c r="A11279" t="s">
        <v>11292</v>
      </c>
      <c r="B11279">
        <v>228</v>
      </c>
      <c r="C11279" s="1" t="str">
        <f>HYPERLINK("http://www.rosaceae.org/gb/gbrowse/malus_x_domestica/?name=MDP0000210336","MDP0000210336")</f>
        <v>MDP0000210336</v>
      </c>
      <c r="D11279">
        <v>69.38</v>
      </c>
      <c r="E11279">
        <v>49</v>
      </c>
      <c r="F11279">
        <v>15</v>
      </c>
      <c r="G11279">
        <v>3</v>
      </c>
      <c r="H11279">
        <v>1</v>
      </c>
      <c r="I11279">
        <v>49</v>
      </c>
      <c r="J11279">
        <v>1</v>
      </c>
      <c r="K11279">
        <v>248</v>
      </c>
      <c r="L11279">
        <v>293</v>
      </c>
      <c r="M11279">
        <v>1</v>
      </c>
      <c r="N11279">
        <v>2.8573700000000001E-11</v>
      </c>
      <c r="O11279">
        <v>160</v>
      </c>
    </row>
    <row r="11280" spans="1:15" x14ac:dyDescent="0.25">
      <c r="A11280" t="s">
        <v>11293</v>
      </c>
      <c r="B11280">
        <v>583</v>
      </c>
      <c r="C11280" s="1" t="str">
        <f>HYPERLINK("http://www.rosaceae.org/gb/gbrowse/malus_x_domestica/?name=MDP0000225623","MDP0000225623")</f>
        <v>MDP0000225623</v>
      </c>
      <c r="D11280">
        <v>40.18</v>
      </c>
      <c r="E11280">
        <v>443</v>
      </c>
      <c r="F11280">
        <v>265</v>
      </c>
      <c r="G11280">
        <v>63</v>
      </c>
      <c r="H11280">
        <v>161</v>
      </c>
      <c r="I11280">
        <v>572</v>
      </c>
      <c r="J11280">
        <v>1</v>
      </c>
      <c r="K11280">
        <v>243</v>
      </c>
      <c r="L11280">
        <v>653</v>
      </c>
      <c r="M11280">
        <v>1</v>
      </c>
      <c r="N11280">
        <v>2.59628E-79</v>
      </c>
      <c r="O11280">
        <v>751</v>
      </c>
    </row>
    <row r="11281" spans="1:15" x14ac:dyDescent="0.25">
      <c r="A11281" t="s">
        <v>11294</v>
      </c>
      <c r="B11281">
        <v>291</v>
      </c>
      <c r="C11281" s="1" t="str">
        <f>HYPERLINK("http://www.rosaceae.org/gb/gbrowse/malus_x_domestica/?name=MDP0000188173","MDP0000188173")</f>
        <v>MDP0000188173</v>
      </c>
      <c r="D11281">
        <v>44.22</v>
      </c>
      <c r="E11281">
        <v>251</v>
      </c>
      <c r="F11281">
        <v>140</v>
      </c>
      <c r="G11281">
        <v>104</v>
      </c>
      <c r="H11281">
        <v>114</v>
      </c>
      <c r="I11281">
        <v>266</v>
      </c>
      <c r="J11281">
        <v>1</v>
      </c>
      <c r="K11281">
        <v>840</v>
      </c>
      <c r="L11281">
        <v>1084</v>
      </c>
      <c r="M11281">
        <v>1</v>
      </c>
      <c r="N11281">
        <v>2.00826E-40</v>
      </c>
      <c r="O11281">
        <v>412</v>
      </c>
    </row>
    <row r="11282" spans="1:15" x14ac:dyDescent="0.25">
      <c r="A11282" t="s">
        <v>11295</v>
      </c>
      <c r="B11282">
        <v>646</v>
      </c>
      <c r="C11282" s="1" t="str">
        <f>HYPERLINK("http://www.rosaceae.org/gb/gbrowse/malus_x_domestica/?name=MDP0000935652","MDP0000935652")</f>
        <v>MDP0000935652</v>
      </c>
      <c r="D11282">
        <v>55.96</v>
      </c>
      <c r="E11282">
        <v>570</v>
      </c>
      <c r="F11282">
        <v>251</v>
      </c>
      <c r="G11282">
        <v>64</v>
      </c>
      <c r="H11282">
        <v>76</v>
      </c>
      <c r="I11282">
        <v>592</v>
      </c>
      <c r="J11282">
        <v>1</v>
      </c>
      <c r="K11282">
        <v>1</v>
      </c>
      <c r="L11282">
        <v>559</v>
      </c>
      <c r="M11282">
        <v>1</v>
      </c>
      <c r="N11282">
        <v>1.7940999999999999E-153</v>
      </c>
      <c r="O11282">
        <v>1391</v>
      </c>
    </row>
    <row r="11283" spans="1:15" x14ac:dyDescent="0.25">
      <c r="A11283" t="s">
        <v>11296</v>
      </c>
      <c r="B11283">
        <v>441</v>
      </c>
      <c r="C11283" s="1" t="str">
        <f>HYPERLINK("http://www.rosaceae.org/gb/gbrowse/malus_x_domestica/?name=MDP0000261782","MDP0000261782")</f>
        <v>MDP0000261782</v>
      </c>
      <c r="D11283">
        <v>29.39</v>
      </c>
      <c r="E11283">
        <v>466</v>
      </c>
      <c r="F11283">
        <v>329</v>
      </c>
      <c r="G11283">
        <v>38</v>
      </c>
      <c r="H11283">
        <v>1</v>
      </c>
      <c r="I11283">
        <v>441</v>
      </c>
      <c r="J11283">
        <v>1</v>
      </c>
      <c r="K11283">
        <v>17</v>
      </c>
      <c r="L11283">
        <v>469</v>
      </c>
      <c r="M11283">
        <v>1</v>
      </c>
      <c r="N11283">
        <v>2.3279200000000001E-51</v>
      </c>
      <c r="O11283">
        <v>509</v>
      </c>
    </row>
    <row r="11284" spans="1:15" x14ac:dyDescent="0.25">
      <c r="A11284" t="s">
        <v>11297</v>
      </c>
      <c r="B11284">
        <v>310</v>
      </c>
      <c r="C11284" s="1" t="str">
        <f>HYPERLINK("http://www.rosaceae.org/gb/gbrowse/malus_x_domestica/?name=MDP0000428265","MDP0000428265")</f>
        <v>MDP0000428265</v>
      </c>
      <c r="D11284">
        <v>48.46</v>
      </c>
      <c r="E11284">
        <v>326</v>
      </c>
      <c r="F11284">
        <v>168</v>
      </c>
      <c r="G11284">
        <v>45</v>
      </c>
      <c r="H11284">
        <v>16</v>
      </c>
      <c r="I11284">
        <v>306</v>
      </c>
      <c r="J11284">
        <v>1</v>
      </c>
      <c r="K11284">
        <v>9</v>
      </c>
      <c r="L11284">
        <v>324</v>
      </c>
      <c r="M11284">
        <v>1</v>
      </c>
      <c r="N11284">
        <v>5.1726499999999999E-73</v>
      </c>
      <c r="O11284">
        <v>694</v>
      </c>
    </row>
    <row r="11285" spans="1:15" x14ac:dyDescent="0.25">
      <c r="A11285" t="s">
        <v>11298</v>
      </c>
      <c r="B11285">
        <v>257</v>
      </c>
      <c r="C11285" s="1" t="str">
        <f>HYPERLINK("http://www.rosaceae.org/gb/gbrowse/malus_x_domestica/?name=MDP0000945007","MDP0000945007")</f>
        <v>MDP0000945007</v>
      </c>
      <c r="D11285">
        <v>69.47</v>
      </c>
      <c r="E11285">
        <v>95</v>
      </c>
      <c r="F11285">
        <v>29</v>
      </c>
      <c r="G11285">
        <v>1</v>
      </c>
      <c r="H11285">
        <v>6</v>
      </c>
      <c r="I11285">
        <v>99</v>
      </c>
      <c r="J11285">
        <v>1</v>
      </c>
      <c r="K11285">
        <v>344</v>
      </c>
      <c r="L11285">
        <v>438</v>
      </c>
      <c r="M11285">
        <v>1</v>
      </c>
      <c r="N11285">
        <v>3.3875700000000001E-36</v>
      </c>
      <c r="O11285">
        <v>375</v>
      </c>
    </row>
    <row r="11286" spans="1:15" x14ac:dyDescent="0.25">
      <c r="A11286" t="s">
        <v>11299</v>
      </c>
      <c r="B11286">
        <v>1294</v>
      </c>
      <c r="C11286" s="1" t="str">
        <f>HYPERLINK("http://www.rosaceae.org/gb/gbrowse/malus_x_domestica/?name=MDP0000900994","MDP0000900994")</f>
        <v>MDP0000900994</v>
      </c>
      <c r="D11286">
        <v>62.34</v>
      </c>
      <c r="E11286">
        <v>1094</v>
      </c>
      <c r="F11286">
        <v>412</v>
      </c>
      <c r="G11286">
        <v>52</v>
      </c>
      <c r="H11286">
        <v>1</v>
      </c>
      <c r="I11286">
        <v>1056</v>
      </c>
      <c r="J11286">
        <v>1</v>
      </c>
      <c r="K11286">
        <v>1</v>
      </c>
      <c r="L11286">
        <v>1080</v>
      </c>
      <c r="M11286">
        <v>1</v>
      </c>
      <c r="N11286">
        <v>0</v>
      </c>
      <c r="O11286">
        <v>3320</v>
      </c>
    </row>
    <row r="11287" spans="1:15" x14ac:dyDescent="0.25">
      <c r="A11287" t="s">
        <v>11300</v>
      </c>
      <c r="B11287">
        <v>858</v>
      </c>
      <c r="C11287" s="1" t="str">
        <f>HYPERLINK("http://www.rosaceae.org/gb/gbrowse/malus_x_domestica/?name=MDP0000284901","MDP0000284901")</f>
        <v>MDP0000284901</v>
      </c>
      <c r="D11287">
        <v>51.15</v>
      </c>
      <c r="E11287">
        <v>782</v>
      </c>
      <c r="F11287">
        <v>382</v>
      </c>
      <c r="G11287">
        <v>57</v>
      </c>
      <c r="H11287">
        <v>131</v>
      </c>
      <c r="I11287">
        <v>858</v>
      </c>
      <c r="J11287">
        <v>1</v>
      </c>
      <c r="K11287">
        <v>73</v>
      </c>
      <c r="L11287">
        <v>851</v>
      </c>
      <c r="M11287">
        <v>1</v>
      </c>
      <c r="N11287">
        <v>0</v>
      </c>
      <c r="O11287">
        <v>1973</v>
      </c>
    </row>
    <row r="11288" spans="1:15" x14ac:dyDescent="0.25">
      <c r="A11288" t="s">
        <v>11301</v>
      </c>
      <c r="B11288">
        <v>498</v>
      </c>
      <c r="C11288" s="1" t="str">
        <f>HYPERLINK("http://www.rosaceae.org/gb/gbrowse/malus_x_domestica/?name=MDP0000199669","MDP0000199669")</f>
        <v>MDP0000199669</v>
      </c>
      <c r="D11288">
        <v>68.8</v>
      </c>
      <c r="E11288">
        <v>218</v>
      </c>
      <c r="F11288">
        <v>68</v>
      </c>
      <c r="G11288">
        <v>0</v>
      </c>
      <c r="H11288">
        <v>1</v>
      </c>
      <c r="I11288">
        <v>218</v>
      </c>
      <c r="J11288">
        <v>1</v>
      </c>
      <c r="K11288">
        <v>233</v>
      </c>
      <c r="L11288">
        <v>450</v>
      </c>
      <c r="M11288">
        <v>1</v>
      </c>
      <c r="N11288">
        <v>2.3075E-85</v>
      </c>
      <c r="O11288">
        <v>803</v>
      </c>
    </row>
    <row r="11289" spans="1:15" x14ac:dyDescent="0.25">
      <c r="A11289" t="s">
        <v>11302</v>
      </c>
      <c r="B11289">
        <v>652</v>
      </c>
      <c r="C11289" s="1" t="str">
        <f>HYPERLINK("http://www.rosaceae.org/gb/gbrowse/malus_x_domestica/?name=MDP0000298022","MDP0000298022")</f>
        <v>MDP0000298022</v>
      </c>
      <c r="D11289">
        <v>68.37</v>
      </c>
      <c r="E11289">
        <v>626</v>
      </c>
      <c r="F11289">
        <v>198</v>
      </c>
      <c r="G11289">
        <v>1</v>
      </c>
      <c r="H11289">
        <v>28</v>
      </c>
      <c r="I11289">
        <v>652</v>
      </c>
      <c r="J11289">
        <v>1</v>
      </c>
      <c r="K11289">
        <v>1</v>
      </c>
      <c r="L11289">
        <v>626</v>
      </c>
      <c r="M11289">
        <v>1</v>
      </c>
      <c r="N11289">
        <v>0</v>
      </c>
      <c r="O11289">
        <v>2301</v>
      </c>
    </row>
    <row r="11290" spans="1:15" x14ac:dyDescent="0.25">
      <c r="A11290" t="s">
        <v>11303</v>
      </c>
      <c r="B11290">
        <v>391</v>
      </c>
      <c r="C11290" s="1" t="str">
        <f>HYPERLINK("http://www.rosaceae.org/gb/gbrowse/malus_x_domestica/?name=MDP0000178334","MDP0000178334")</f>
        <v>MDP0000178334</v>
      </c>
      <c r="D11290">
        <v>83.33</v>
      </c>
      <c r="E11290">
        <v>390</v>
      </c>
      <c r="F11290">
        <v>65</v>
      </c>
      <c r="G11290">
        <v>0</v>
      </c>
      <c r="H11290">
        <v>1</v>
      </c>
      <c r="I11290">
        <v>390</v>
      </c>
      <c r="J11290">
        <v>1</v>
      </c>
      <c r="K11290">
        <v>1</v>
      </c>
      <c r="L11290">
        <v>390</v>
      </c>
      <c r="M11290">
        <v>1</v>
      </c>
      <c r="N11290">
        <v>0</v>
      </c>
      <c r="O11290">
        <v>1836</v>
      </c>
    </row>
    <row r="11291" spans="1:15" x14ac:dyDescent="0.25">
      <c r="A11291" t="s">
        <v>11304</v>
      </c>
      <c r="B11291">
        <v>601</v>
      </c>
      <c r="C11291" s="1" t="str">
        <f>HYPERLINK("http://www.rosaceae.org/gb/gbrowse/malus_x_domestica/?name=MDP0000153786","MDP0000153786")</f>
        <v>MDP0000153786</v>
      </c>
      <c r="D11291">
        <v>87.5</v>
      </c>
      <c r="E11291">
        <v>176</v>
      </c>
      <c r="F11291">
        <v>22</v>
      </c>
      <c r="G11291">
        <v>0</v>
      </c>
      <c r="H11291">
        <v>72</v>
      </c>
      <c r="I11291">
        <v>247</v>
      </c>
      <c r="J11291">
        <v>1</v>
      </c>
      <c r="K11291">
        <v>209</v>
      </c>
      <c r="L11291">
        <v>384</v>
      </c>
      <c r="M11291">
        <v>1</v>
      </c>
      <c r="N11291">
        <v>3.30841E-91</v>
      </c>
      <c r="O11291">
        <v>854</v>
      </c>
    </row>
    <row r="11292" spans="1:15" x14ac:dyDescent="0.25">
      <c r="A11292" t="s">
        <v>11305</v>
      </c>
      <c r="B11292">
        <v>127</v>
      </c>
      <c r="C11292" s="1" t="str">
        <f>HYPERLINK("http://www.rosaceae.org/gb/gbrowse/malus_x_domestica/?name=MDP0000867534","MDP0000867534")</f>
        <v>MDP0000867534</v>
      </c>
      <c r="D11292">
        <v>84.21</v>
      </c>
      <c r="E11292">
        <v>76</v>
      </c>
      <c r="F11292">
        <v>12</v>
      </c>
      <c r="G11292">
        <v>3</v>
      </c>
      <c r="H11292">
        <v>51</v>
      </c>
      <c r="I11292">
        <v>123</v>
      </c>
      <c r="J11292">
        <v>1</v>
      </c>
      <c r="K11292">
        <v>1</v>
      </c>
      <c r="L11292">
        <v>76</v>
      </c>
      <c r="M11292">
        <v>1</v>
      </c>
      <c r="N11292">
        <v>3.7706099999999999E-29</v>
      </c>
      <c r="O11292">
        <v>309</v>
      </c>
    </row>
    <row r="11293" spans="1:15" x14ac:dyDescent="0.25">
      <c r="A11293" t="s">
        <v>11306</v>
      </c>
      <c r="B11293">
        <v>279</v>
      </c>
      <c r="C11293" s="1" t="str">
        <f>HYPERLINK("http://www.rosaceae.org/gb/gbrowse/malus_x_domestica/?name=MDP0000808967","MDP0000808967")</f>
        <v>MDP0000808967</v>
      </c>
      <c r="D11293">
        <v>82.07</v>
      </c>
      <c r="E11293">
        <v>279</v>
      </c>
      <c r="F11293">
        <v>50</v>
      </c>
      <c r="G11293">
        <v>1</v>
      </c>
      <c r="H11293">
        <v>1</v>
      </c>
      <c r="I11293">
        <v>279</v>
      </c>
      <c r="J11293">
        <v>1</v>
      </c>
      <c r="K11293">
        <v>1</v>
      </c>
      <c r="L11293">
        <v>278</v>
      </c>
      <c r="M11293">
        <v>1</v>
      </c>
      <c r="N11293">
        <v>4.8612999999999997E-134</v>
      </c>
      <c r="O11293">
        <v>1220</v>
      </c>
    </row>
    <row r="11294" spans="1:15" x14ac:dyDescent="0.25">
      <c r="A11294" t="s">
        <v>11307</v>
      </c>
      <c r="B11294">
        <v>676</v>
      </c>
      <c r="C11294" s="1" t="str">
        <f>HYPERLINK("http://www.rosaceae.org/gb/gbrowse/malus_x_domestica/?name=MDP0000241790","MDP0000241790")</f>
        <v>MDP0000241790</v>
      </c>
      <c r="D11294">
        <v>47.62</v>
      </c>
      <c r="E11294">
        <v>716</v>
      </c>
      <c r="F11294">
        <v>375</v>
      </c>
      <c r="G11294">
        <v>106</v>
      </c>
      <c r="H11294">
        <v>1</v>
      </c>
      <c r="I11294">
        <v>653</v>
      </c>
      <c r="J11294">
        <v>1</v>
      </c>
      <c r="K11294">
        <v>1</v>
      </c>
      <c r="L11294">
        <v>673</v>
      </c>
      <c r="M11294">
        <v>1</v>
      </c>
      <c r="N11294">
        <v>2.8727800000000001E-156</v>
      </c>
      <c r="O11294">
        <v>1415</v>
      </c>
    </row>
    <row r="11295" spans="1:15" x14ac:dyDescent="0.25">
      <c r="A11295" t="s">
        <v>11308</v>
      </c>
      <c r="B11295">
        <v>569</v>
      </c>
      <c r="C11295" s="1" t="str">
        <f>HYPERLINK("http://www.rosaceae.org/gb/gbrowse/malus_x_domestica/?name=MDP0000442083","MDP0000442083")</f>
        <v>MDP0000442083</v>
      </c>
      <c r="D11295">
        <v>83.33</v>
      </c>
      <c r="E11295">
        <v>570</v>
      </c>
      <c r="F11295">
        <v>95</v>
      </c>
      <c r="G11295">
        <v>1</v>
      </c>
      <c r="H11295">
        <v>1</v>
      </c>
      <c r="I11295">
        <v>569</v>
      </c>
      <c r="J11295">
        <v>1</v>
      </c>
      <c r="K11295">
        <v>1</v>
      </c>
      <c r="L11295">
        <v>570</v>
      </c>
      <c r="M11295">
        <v>1</v>
      </c>
      <c r="N11295">
        <v>0</v>
      </c>
      <c r="O11295">
        <v>2578</v>
      </c>
    </row>
    <row r="11296" spans="1:15" x14ac:dyDescent="0.25">
      <c r="A11296" t="s">
        <v>11309</v>
      </c>
      <c r="B11296">
        <v>682</v>
      </c>
      <c r="C11296" s="1" t="str">
        <f>HYPERLINK("http://www.rosaceae.org/gb/gbrowse/malus_x_domestica/?name=MDP0000227061","MDP0000227061")</f>
        <v>MDP0000227061</v>
      </c>
      <c r="D11296">
        <v>67.05</v>
      </c>
      <c r="E11296">
        <v>431</v>
      </c>
      <c r="F11296">
        <v>142</v>
      </c>
      <c r="G11296">
        <v>33</v>
      </c>
      <c r="H11296">
        <v>253</v>
      </c>
      <c r="I11296">
        <v>679</v>
      </c>
      <c r="J11296">
        <v>1</v>
      </c>
      <c r="K11296">
        <v>451</v>
      </c>
      <c r="L11296">
        <v>852</v>
      </c>
      <c r="M11296">
        <v>1</v>
      </c>
      <c r="N11296">
        <v>1.3599E-153</v>
      </c>
      <c r="O11296">
        <v>1392</v>
      </c>
    </row>
    <row r="11297" spans="1:15" x14ac:dyDescent="0.25">
      <c r="A11297" t="s">
        <v>11310</v>
      </c>
      <c r="B11297">
        <v>219</v>
      </c>
      <c r="C11297" s="1" t="str">
        <f>HYPERLINK("http://www.rosaceae.org/gb/gbrowse/malus_x_domestica/?name=MDP0000334947","MDP0000334947")</f>
        <v>MDP0000334947</v>
      </c>
      <c r="D11297">
        <v>53.26</v>
      </c>
      <c r="E11297">
        <v>199</v>
      </c>
      <c r="F11297">
        <v>93</v>
      </c>
      <c r="G11297">
        <v>21</v>
      </c>
      <c r="H11297">
        <v>22</v>
      </c>
      <c r="I11297">
        <v>217</v>
      </c>
      <c r="J11297">
        <v>1</v>
      </c>
      <c r="K11297">
        <v>54</v>
      </c>
      <c r="L11297">
        <v>234</v>
      </c>
      <c r="M11297">
        <v>1</v>
      </c>
      <c r="N11297">
        <v>7.05642E-50</v>
      </c>
      <c r="O11297">
        <v>492</v>
      </c>
    </row>
    <row r="11298" spans="1:15" x14ac:dyDescent="0.25">
      <c r="A11298" t="s">
        <v>11311</v>
      </c>
      <c r="B11298">
        <v>136</v>
      </c>
      <c r="C11298" s="1" t="str">
        <f>HYPERLINK("http://www.rosaceae.org/gb/gbrowse/malus_x_domestica/?name=MDP0000121016","MDP0000121016")</f>
        <v>MDP0000121016</v>
      </c>
      <c r="D11298">
        <v>100</v>
      </c>
      <c r="E11298">
        <v>136</v>
      </c>
      <c r="F11298">
        <v>0</v>
      </c>
      <c r="G11298">
        <v>0</v>
      </c>
      <c r="H11298">
        <v>1</v>
      </c>
      <c r="I11298">
        <v>136</v>
      </c>
      <c r="J11298">
        <v>1</v>
      </c>
      <c r="K11298">
        <v>20</v>
      </c>
      <c r="L11298">
        <v>155</v>
      </c>
      <c r="M11298">
        <v>1</v>
      </c>
      <c r="N11298">
        <v>1.2128699999999999E-74</v>
      </c>
      <c r="O11298">
        <v>702</v>
      </c>
    </row>
    <row r="11299" spans="1:15" x14ac:dyDescent="0.25">
      <c r="A11299" t="s">
        <v>11312</v>
      </c>
      <c r="B11299">
        <v>248</v>
      </c>
      <c r="C11299" s="1" t="str">
        <f>HYPERLINK("http://www.rosaceae.org/gb/gbrowse/malus_x_domestica/?name=MDP0000635271","MDP0000635271")</f>
        <v>MDP0000635271</v>
      </c>
      <c r="D11299">
        <v>71.650000000000006</v>
      </c>
      <c r="E11299">
        <v>127</v>
      </c>
      <c r="F11299">
        <v>36</v>
      </c>
      <c r="G11299">
        <v>0</v>
      </c>
      <c r="H11299">
        <v>1</v>
      </c>
      <c r="I11299">
        <v>127</v>
      </c>
      <c r="J11299">
        <v>1</v>
      </c>
      <c r="K11299">
        <v>1</v>
      </c>
      <c r="L11299">
        <v>127</v>
      </c>
      <c r="M11299">
        <v>1</v>
      </c>
      <c r="N11299">
        <v>2.80357E-52</v>
      </c>
      <c r="O11299">
        <v>514</v>
      </c>
    </row>
    <row r="11300" spans="1:15" x14ac:dyDescent="0.25">
      <c r="A11300" t="s">
        <v>11313</v>
      </c>
      <c r="B11300">
        <v>306</v>
      </c>
      <c r="C11300" s="1" t="str">
        <f>HYPERLINK("http://www.rosaceae.org/gb/gbrowse/malus_x_domestica/?name=MDP0000262573","MDP0000262573")</f>
        <v>MDP0000262573</v>
      </c>
      <c r="D11300">
        <v>43.08</v>
      </c>
      <c r="E11300">
        <v>318</v>
      </c>
      <c r="F11300">
        <v>181</v>
      </c>
      <c r="G11300">
        <v>41</v>
      </c>
      <c r="H11300">
        <v>1</v>
      </c>
      <c r="I11300">
        <v>298</v>
      </c>
      <c r="J11300">
        <v>1</v>
      </c>
      <c r="K11300">
        <v>406</v>
      </c>
      <c r="L11300">
        <v>702</v>
      </c>
      <c r="M11300">
        <v>1</v>
      </c>
      <c r="N11300">
        <v>6.3456399999999998E-49</v>
      </c>
      <c r="O11300">
        <v>486</v>
      </c>
    </row>
    <row r="11301" spans="1:15" x14ac:dyDescent="0.25">
      <c r="A11301" t="s">
        <v>11314</v>
      </c>
      <c r="B11301">
        <v>395</v>
      </c>
      <c r="C11301" s="1" t="str">
        <f>HYPERLINK("http://www.rosaceae.org/gb/gbrowse/malus_x_domestica/?name=MDP0000170583","MDP0000170583")</f>
        <v>MDP0000170583</v>
      </c>
      <c r="D11301">
        <v>78.150000000000006</v>
      </c>
      <c r="E11301">
        <v>380</v>
      </c>
      <c r="F11301">
        <v>83</v>
      </c>
      <c r="G11301">
        <v>13</v>
      </c>
      <c r="H11301">
        <v>1</v>
      </c>
      <c r="I11301">
        <v>369</v>
      </c>
      <c r="J11301">
        <v>1</v>
      </c>
      <c r="K11301">
        <v>1</v>
      </c>
      <c r="L11301">
        <v>378</v>
      </c>
      <c r="M11301">
        <v>1</v>
      </c>
      <c r="N11301">
        <v>9.0137399999999996E-162</v>
      </c>
      <c r="O11301">
        <v>1460</v>
      </c>
    </row>
    <row r="11302" spans="1:15" x14ac:dyDescent="0.25">
      <c r="A11302" t="s">
        <v>11315</v>
      </c>
      <c r="B11302">
        <v>519</v>
      </c>
      <c r="C11302" s="1" t="str">
        <f>HYPERLINK("http://www.rosaceae.org/gb/gbrowse/malus_x_domestica/?name=MDP0000916064","MDP0000916064")</f>
        <v>MDP0000916064</v>
      </c>
      <c r="D11302">
        <v>67.510000000000005</v>
      </c>
      <c r="E11302">
        <v>511</v>
      </c>
      <c r="F11302">
        <v>166</v>
      </c>
      <c r="G11302">
        <v>39</v>
      </c>
      <c r="H11302">
        <v>2</v>
      </c>
      <c r="I11302">
        <v>485</v>
      </c>
      <c r="J11302">
        <v>1</v>
      </c>
      <c r="K11302">
        <v>4</v>
      </c>
      <c r="L11302">
        <v>502</v>
      </c>
      <c r="M11302">
        <v>1</v>
      </c>
      <c r="N11302">
        <v>0</v>
      </c>
      <c r="O11302">
        <v>1672</v>
      </c>
    </row>
    <row r="11303" spans="1:15" x14ac:dyDescent="0.25">
      <c r="A11303" t="s">
        <v>11316</v>
      </c>
      <c r="B11303">
        <v>191</v>
      </c>
      <c r="C11303" s="1" t="str">
        <f>HYPERLINK("http://www.rosaceae.org/gb/gbrowse/malus_x_domestica/?name=MDP0000244462","MDP0000244462")</f>
        <v>MDP0000244462</v>
      </c>
      <c r="D11303">
        <v>53.23</v>
      </c>
      <c r="E11303">
        <v>139</v>
      </c>
      <c r="F11303">
        <v>65</v>
      </c>
      <c r="G11303">
        <v>3</v>
      </c>
      <c r="H11303">
        <v>53</v>
      </c>
      <c r="I11303">
        <v>188</v>
      </c>
      <c r="J11303">
        <v>1</v>
      </c>
      <c r="K11303">
        <v>36</v>
      </c>
      <c r="L11303">
        <v>174</v>
      </c>
      <c r="M11303">
        <v>1</v>
      </c>
      <c r="N11303">
        <v>7.4505600000000005E-32</v>
      </c>
      <c r="O11303">
        <v>336</v>
      </c>
    </row>
    <row r="11304" spans="1:15" x14ac:dyDescent="0.25">
      <c r="A11304" t="s">
        <v>11317</v>
      </c>
      <c r="B11304">
        <v>359</v>
      </c>
      <c r="C11304" s="1" t="str">
        <f>HYPERLINK("http://www.rosaceae.org/gb/gbrowse/malus_x_domestica/?name=MDP0000277499","MDP0000277499")</f>
        <v>MDP0000277499</v>
      </c>
      <c r="D11304">
        <v>84.25</v>
      </c>
      <c r="E11304">
        <v>362</v>
      </c>
      <c r="F11304">
        <v>57</v>
      </c>
      <c r="G11304">
        <v>8</v>
      </c>
      <c r="H11304">
        <v>1</v>
      </c>
      <c r="I11304">
        <v>355</v>
      </c>
      <c r="J11304">
        <v>1</v>
      </c>
      <c r="K11304">
        <v>1</v>
      </c>
      <c r="L11304">
        <v>361</v>
      </c>
      <c r="M11304">
        <v>1</v>
      </c>
      <c r="N11304">
        <v>0</v>
      </c>
      <c r="O11304">
        <v>1652</v>
      </c>
    </row>
    <row r="11305" spans="1:15" x14ac:dyDescent="0.25">
      <c r="A11305" t="s">
        <v>11318</v>
      </c>
      <c r="B11305">
        <v>514</v>
      </c>
      <c r="C11305" s="1" t="str">
        <f>HYPERLINK("http://www.rosaceae.org/gb/gbrowse/malus_x_domestica/?name=MDP0000163588","MDP0000163588")</f>
        <v>MDP0000163588</v>
      </c>
      <c r="D11305">
        <v>82.5</v>
      </c>
      <c r="E11305">
        <v>503</v>
      </c>
      <c r="F11305">
        <v>88</v>
      </c>
      <c r="G11305">
        <v>0</v>
      </c>
      <c r="H11305">
        <v>10</v>
      </c>
      <c r="I11305">
        <v>512</v>
      </c>
      <c r="J11305">
        <v>1</v>
      </c>
      <c r="K11305">
        <v>2</v>
      </c>
      <c r="L11305">
        <v>504</v>
      </c>
      <c r="M11305">
        <v>1</v>
      </c>
      <c r="N11305">
        <v>0</v>
      </c>
      <c r="O11305">
        <v>2126</v>
      </c>
    </row>
    <row r="11306" spans="1:15" x14ac:dyDescent="0.25">
      <c r="A11306" t="s">
        <v>11319</v>
      </c>
      <c r="B11306">
        <v>747</v>
      </c>
      <c r="C11306" s="1" t="str">
        <f>HYPERLINK("http://www.rosaceae.org/gb/gbrowse/malus_x_domestica/?name=MDP0000247633","MDP0000247633")</f>
        <v>MDP0000247633</v>
      </c>
      <c r="D11306">
        <v>53.99</v>
      </c>
      <c r="E11306">
        <v>476</v>
      </c>
      <c r="F11306">
        <v>219</v>
      </c>
      <c r="G11306">
        <v>67</v>
      </c>
      <c r="H11306">
        <v>172</v>
      </c>
      <c r="I11306">
        <v>635</v>
      </c>
      <c r="J11306">
        <v>1</v>
      </c>
      <c r="K11306">
        <v>56</v>
      </c>
      <c r="L11306">
        <v>476</v>
      </c>
      <c r="M11306">
        <v>1</v>
      </c>
      <c r="N11306">
        <v>5.3885800000000002E-131</v>
      </c>
      <c r="O11306">
        <v>1198</v>
      </c>
    </row>
    <row r="11307" spans="1:15" x14ac:dyDescent="0.25">
      <c r="A11307" t="s">
        <v>11320</v>
      </c>
      <c r="B11307">
        <v>580</v>
      </c>
      <c r="C11307" s="1" t="str">
        <f>HYPERLINK("http://www.rosaceae.org/gb/gbrowse/malus_x_domestica/?name=MDP0000246398","MDP0000246398")</f>
        <v>MDP0000246398</v>
      </c>
      <c r="D11307">
        <v>77.02</v>
      </c>
      <c r="E11307">
        <v>544</v>
      </c>
      <c r="F11307">
        <v>125</v>
      </c>
      <c r="G11307">
        <v>10</v>
      </c>
      <c r="H11307">
        <v>38</v>
      </c>
      <c r="I11307">
        <v>580</v>
      </c>
      <c r="J11307">
        <v>1</v>
      </c>
      <c r="K11307">
        <v>4</v>
      </c>
      <c r="L11307">
        <v>538</v>
      </c>
      <c r="M11307">
        <v>1</v>
      </c>
      <c r="N11307">
        <v>0</v>
      </c>
      <c r="O11307">
        <v>2233</v>
      </c>
    </row>
    <row r="11308" spans="1:15" x14ac:dyDescent="0.25">
      <c r="A11308" t="s">
        <v>11321</v>
      </c>
      <c r="B11308">
        <v>367</v>
      </c>
      <c r="C11308" s="1" t="str">
        <f>HYPERLINK("http://www.rosaceae.org/gb/gbrowse/malus_x_domestica/?name=MDP0000662845","MDP0000662845")</f>
        <v>MDP0000662845</v>
      </c>
      <c r="D11308">
        <v>47.72</v>
      </c>
      <c r="E11308">
        <v>396</v>
      </c>
      <c r="F11308">
        <v>207</v>
      </c>
      <c r="G11308">
        <v>46</v>
      </c>
      <c r="H11308">
        <v>9</v>
      </c>
      <c r="I11308">
        <v>365</v>
      </c>
      <c r="J11308">
        <v>1</v>
      </c>
      <c r="K11308">
        <v>3</v>
      </c>
      <c r="L11308">
        <v>391</v>
      </c>
      <c r="M11308">
        <v>1</v>
      </c>
      <c r="N11308">
        <v>2.1514200000000002E-87</v>
      </c>
      <c r="O11308">
        <v>819</v>
      </c>
    </row>
    <row r="11309" spans="1:15" x14ac:dyDescent="0.25">
      <c r="A11309" t="s">
        <v>11322</v>
      </c>
      <c r="B11309">
        <v>221</v>
      </c>
      <c r="C11309" s="1" t="str">
        <f>HYPERLINK("http://www.rosaceae.org/gb/gbrowse/malus_x_domestica/?name=MDP0000804698","MDP0000804698")</f>
        <v>MDP0000804698</v>
      </c>
      <c r="D11309">
        <v>57.79</v>
      </c>
      <c r="E11309">
        <v>109</v>
      </c>
      <c r="F11309">
        <v>46</v>
      </c>
      <c r="G11309">
        <v>0</v>
      </c>
      <c r="H11309">
        <v>3</v>
      </c>
      <c r="I11309">
        <v>111</v>
      </c>
      <c r="J11309">
        <v>1</v>
      </c>
      <c r="K11309">
        <v>1</v>
      </c>
      <c r="L11309">
        <v>109</v>
      </c>
      <c r="M11309">
        <v>1</v>
      </c>
      <c r="N11309">
        <v>5.2205300000000004E-24</v>
      </c>
      <c r="O11309">
        <v>269</v>
      </c>
    </row>
    <row r="11310" spans="1:15" x14ac:dyDescent="0.25">
      <c r="A11310" t="s">
        <v>11323</v>
      </c>
      <c r="B11310">
        <v>147</v>
      </c>
      <c r="C11310" s="1" t="str">
        <f>HYPERLINK("http://www.rosaceae.org/gb/gbrowse/malus_x_domestica/?name=MDP0000362465","MDP0000362465")</f>
        <v>MDP0000362465</v>
      </c>
      <c r="D11310">
        <v>83.72</v>
      </c>
      <c r="E11310">
        <v>86</v>
      </c>
      <c r="F11310">
        <v>14</v>
      </c>
      <c r="G11310">
        <v>4</v>
      </c>
      <c r="H11310">
        <v>65</v>
      </c>
      <c r="I11310">
        <v>147</v>
      </c>
      <c r="J11310">
        <v>1</v>
      </c>
      <c r="K11310">
        <v>13</v>
      </c>
      <c r="L11310">
        <v>97</v>
      </c>
      <c r="M11310">
        <v>1</v>
      </c>
      <c r="N11310">
        <v>1.01683E-33</v>
      </c>
      <c r="O11310">
        <v>350</v>
      </c>
    </row>
    <row r="11311" spans="1:15" x14ac:dyDescent="0.25">
      <c r="A11311" t="s">
        <v>11324</v>
      </c>
      <c r="B11311">
        <v>552</v>
      </c>
      <c r="C11311" s="1" t="str">
        <f>HYPERLINK("http://www.rosaceae.org/gb/gbrowse/malus_x_domestica/?name=MDP0000216825","MDP0000216825")</f>
        <v>MDP0000216825</v>
      </c>
      <c r="D11311">
        <v>57.51</v>
      </c>
      <c r="E11311">
        <v>346</v>
      </c>
      <c r="F11311">
        <v>147</v>
      </c>
      <c r="G11311">
        <v>59</v>
      </c>
      <c r="H11311">
        <v>222</v>
      </c>
      <c r="I11311">
        <v>534</v>
      </c>
      <c r="J11311">
        <v>1</v>
      </c>
      <c r="K11311">
        <v>60</v>
      </c>
      <c r="L11311">
        <v>379</v>
      </c>
      <c r="M11311">
        <v>1</v>
      </c>
      <c r="N11311">
        <v>9.2255700000000006E-98</v>
      </c>
      <c r="O11311">
        <v>910</v>
      </c>
    </row>
    <row r="11312" spans="1:15" x14ac:dyDescent="0.25">
      <c r="A11312" t="s">
        <v>11325</v>
      </c>
      <c r="B11312">
        <v>645</v>
      </c>
      <c r="C11312" s="1" t="str">
        <f>HYPERLINK("http://www.rosaceae.org/gb/gbrowse/malus_x_domestica/?name=MDP0000124013","MDP0000124013")</f>
        <v>MDP0000124013</v>
      </c>
      <c r="D11312">
        <v>80.53</v>
      </c>
      <c r="E11312">
        <v>519</v>
      </c>
      <c r="F11312">
        <v>101</v>
      </c>
      <c r="G11312">
        <v>20</v>
      </c>
      <c r="H11312">
        <v>145</v>
      </c>
      <c r="I11312">
        <v>645</v>
      </c>
      <c r="J11312">
        <v>1</v>
      </c>
      <c r="K11312">
        <v>1</v>
      </c>
      <c r="L11312">
        <v>517</v>
      </c>
      <c r="M11312">
        <v>1</v>
      </c>
      <c r="N11312">
        <v>0</v>
      </c>
      <c r="O11312">
        <v>2130</v>
      </c>
    </row>
    <row r="11313" spans="1:15" x14ac:dyDescent="0.25">
      <c r="A11313" t="s">
        <v>11326</v>
      </c>
      <c r="B11313">
        <v>630</v>
      </c>
      <c r="C11313" s="1" t="str">
        <f>HYPERLINK("http://www.rosaceae.org/gb/gbrowse/malus_x_domestica/?name=MDP0000871812","MDP0000871812")</f>
        <v>MDP0000871812</v>
      </c>
      <c r="D11313">
        <v>52.18</v>
      </c>
      <c r="E11313">
        <v>527</v>
      </c>
      <c r="F11313">
        <v>252</v>
      </c>
      <c r="G11313">
        <v>55</v>
      </c>
      <c r="H11313">
        <v>1</v>
      </c>
      <c r="I11313">
        <v>485</v>
      </c>
      <c r="J11313">
        <v>1</v>
      </c>
      <c r="K11313">
        <v>1</v>
      </c>
      <c r="L11313">
        <v>514</v>
      </c>
      <c r="M11313">
        <v>1</v>
      </c>
      <c r="N11313">
        <v>6.7546600000000001E-138</v>
      </c>
      <c r="O11313">
        <v>1257</v>
      </c>
    </row>
    <row r="11314" spans="1:15" x14ac:dyDescent="0.25">
      <c r="A11314" t="s">
        <v>11327</v>
      </c>
      <c r="B11314">
        <v>263</v>
      </c>
      <c r="C11314" s="1" t="str">
        <f>HYPERLINK("http://www.rosaceae.org/gb/gbrowse/malus_x_domestica/?name=MDP0000335393","MDP0000335393")</f>
        <v>MDP0000335393</v>
      </c>
      <c r="D11314">
        <v>69.489999999999995</v>
      </c>
      <c r="E11314">
        <v>177</v>
      </c>
      <c r="F11314">
        <v>54</v>
      </c>
      <c r="G11314">
        <v>9</v>
      </c>
      <c r="H11314">
        <v>1</v>
      </c>
      <c r="I11314">
        <v>168</v>
      </c>
      <c r="J11314">
        <v>1</v>
      </c>
      <c r="K11314">
        <v>35</v>
      </c>
      <c r="L11314">
        <v>211</v>
      </c>
      <c r="M11314">
        <v>1</v>
      </c>
      <c r="N11314">
        <v>1.5822E-58</v>
      </c>
      <c r="O11314">
        <v>568</v>
      </c>
    </row>
    <row r="11315" spans="1:15" x14ac:dyDescent="0.25">
      <c r="A11315" t="s">
        <v>11328</v>
      </c>
      <c r="B11315">
        <v>115</v>
      </c>
      <c r="C11315" s="1" t="str">
        <f>HYPERLINK("http://www.rosaceae.org/gb/gbrowse/malus_x_domestica/?name=MDP0000897036","MDP0000897036")</f>
        <v>MDP0000897036</v>
      </c>
      <c r="D11315">
        <v>33.33</v>
      </c>
      <c r="E11315">
        <v>108</v>
      </c>
      <c r="F11315">
        <v>72</v>
      </c>
      <c r="G11315">
        <v>7</v>
      </c>
      <c r="H11315">
        <v>10</v>
      </c>
      <c r="I11315">
        <v>112</v>
      </c>
      <c r="J11315">
        <v>1</v>
      </c>
      <c r="K11315">
        <v>8</v>
      </c>
      <c r="L11315">
        <v>113</v>
      </c>
      <c r="M11315">
        <v>1</v>
      </c>
      <c r="N11315">
        <v>6.0097800000000001E-11</v>
      </c>
      <c r="O11315">
        <v>152</v>
      </c>
    </row>
    <row r="11316" spans="1:15" x14ac:dyDescent="0.25">
      <c r="A11316" t="s">
        <v>11329</v>
      </c>
      <c r="B11316">
        <v>479</v>
      </c>
      <c r="C11316" s="1" t="str">
        <f>HYPERLINK("http://www.rosaceae.org/gb/gbrowse/malus_x_domestica/?name=MDP0000136501","MDP0000136501")</f>
        <v>MDP0000136501</v>
      </c>
      <c r="D11316">
        <v>80.260000000000005</v>
      </c>
      <c r="E11316">
        <v>228</v>
      </c>
      <c r="F11316">
        <v>45</v>
      </c>
      <c r="G11316">
        <v>5</v>
      </c>
      <c r="H11316">
        <v>227</v>
      </c>
      <c r="I11316">
        <v>449</v>
      </c>
      <c r="J11316">
        <v>1</v>
      </c>
      <c r="K11316">
        <v>169</v>
      </c>
      <c r="L11316">
        <v>396</v>
      </c>
      <c r="M11316">
        <v>1</v>
      </c>
      <c r="N11316">
        <v>4.3916700000000002E-104</v>
      </c>
      <c r="O11316">
        <v>964</v>
      </c>
    </row>
    <row r="11317" spans="1:15" x14ac:dyDescent="0.25">
      <c r="A11317" t="s">
        <v>11330</v>
      </c>
      <c r="B11317">
        <v>399</v>
      </c>
      <c r="C11317" s="1" t="str">
        <f>HYPERLINK("http://www.rosaceae.org/gb/gbrowse/malus_x_domestica/?name=MDP0000178691","MDP0000178691")</f>
        <v>MDP0000178691</v>
      </c>
      <c r="D11317">
        <v>50.34</v>
      </c>
      <c r="E11317">
        <v>429</v>
      </c>
      <c r="F11317">
        <v>213</v>
      </c>
      <c r="G11317">
        <v>46</v>
      </c>
      <c r="H11317">
        <v>3</v>
      </c>
      <c r="I11317">
        <v>396</v>
      </c>
      <c r="J11317">
        <v>1</v>
      </c>
      <c r="K11317">
        <v>38</v>
      </c>
      <c r="L11317">
        <v>455</v>
      </c>
      <c r="M11317">
        <v>1</v>
      </c>
      <c r="N11317">
        <v>5.9582200000000003E-112</v>
      </c>
      <c r="O11317">
        <v>1031</v>
      </c>
    </row>
    <row r="11318" spans="1:15" x14ac:dyDescent="0.25">
      <c r="A11318" t="s">
        <v>11331</v>
      </c>
      <c r="B11318">
        <v>429</v>
      </c>
      <c r="C11318" s="1" t="str">
        <f>HYPERLINK("http://www.rosaceae.org/gb/gbrowse/malus_x_domestica/?name=MDP0000302984","MDP0000302984")</f>
        <v>MDP0000302984</v>
      </c>
      <c r="D11318">
        <v>38.22</v>
      </c>
      <c r="E11318">
        <v>259</v>
      </c>
      <c r="F11318">
        <v>160</v>
      </c>
      <c r="G11318">
        <v>9</v>
      </c>
      <c r="H11318">
        <v>173</v>
      </c>
      <c r="I11318">
        <v>428</v>
      </c>
      <c r="J11318">
        <v>1</v>
      </c>
      <c r="K11318">
        <v>509</v>
      </c>
      <c r="L11318">
        <v>761</v>
      </c>
      <c r="M11318">
        <v>1</v>
      </c>
      <c r="N11318">
        <v>1.10582E-41</v>
      </c>
      <c r="O11318">
        <v>425</v>
      </c>
    </row>
    <row r="11319" spans="1:15" x14ac:dyDescent="0.25">
      <c r="A11319" t="s">
        <v>11332</v>
      </c>
      <c r="B11319">
        <v>504</v>
      </c>
      <c r="C11319" s="1" t="str">
        <f>HYPERLINK("http://www.rosaceae.org/gb/gbrowse/malus_x_domestica/?name=MDP0000700517","MDP0000700517")</f>
        <v>MDP0000700517</v>
      </c>
      <c r="D11319">
        <v>30.55</v>
      </c>
      <c r="E11319">
        <v>180</v>
      </c>
      <c r="F11319">
        <v>125</v>
      </c>
      <c r="G11319">
        <v>17</v>
      </c>
      <c r="H11319">
        <v>191</v>
      </c>
      <c r="I11319">
        <v>357</v>
      </c>
      <c r="J11319">
        <v>1</v>
      </c>
      <c r="K11319">
        <v>140</v>
      </c>
      <c r="L11319">
        <v>315</v>
      </c>
      <c r="M11319">
        <v>1</v>
      </c>
      <c r="N11319">
        <v>1.1962500000000001E-15</v>
      </c>
      <c r="O11319">
        <v>201</v>
      </c>
    </row>
    <row r="11320" spans="1:15" x14ac:dyDescent="0.25">
      <c r="A11320" t="s">
        <v>11333</v>
      </c>
      <c r="B11320">
        <v>330</v>
      </c>
      <c r="C11320" s="1" t="str">
        <f>HYPERLINK("http://www.rosaceae.org/gb/gbrowse/malus_x_domestica/?name=MDP0000274883","MDP0000274883")</f>
        <v>MDP0000274883</v>
      </c>
      <c r="D11320">
        <v>51.21</v>
      </c>
      <c r="E11320">
        <v>330</v>
      </c>
      <c r="F11320">
        <v>161</v>
      </c>
      <c r="G11320">
        <v>54</v>
      </c>
      <c r="H11320">
        <v>1</v>
      </c>
      <c r="I11320">
        <v>327</v>
      </c>
      <c r="J11320">
        <v>1</v>
      </c>
      <c r="K11320">
        <v>537</v>
      </c>
      <c r="L11320">
        <v>815</v>
      </c>
      <c r="M11320">
        <v>1</v>
      </c>
      <c r="N11320">
        <v>1.31284E-85</v>
      </c>
      <c r="O11320">
        <v>803</v>
      </c>
    </row>
    <row r="11321" spans="1:15" x14ac:dyDescent="0.25">
      <c r="A11321" t="s">
        <v>11334</v>
      </c>
      <c r="B11321">
        <v>390</v>
      </c>
      <c r="C11321" s="1" t="str">
        <f>HYPERLINK("http://www.rosaceae.org/gb/gbrowse/malus_x_domestica/?name=MDP0000700517","MDP0000700517")</f>
        <v>MDP0000700517</v>
      </c>
      <c r="D11321">
        <v>27.64</v>
      </c>
      <c r="E11321">
        <v>123</v>
      </c>
      <c r="F11321">
        <v>89</v>
      </c>
      <c r="G11321">
        <v>15</v>
      </c>
      <c r="H11321">
        <v>268</v>
      </c>
      <c r="I11321">
        <v>375</v>
      </c>
      <c r="J11321">
        <v>1</v>
      </c>
      <c r="K11321">
        <v>185</v>
      </c>
      <c r="L11321">
        <v>307</v>
      </c>
      <c r="M11321">
        <v>1</v>
      </c>
      <c r="N11321">
        <v>7.7028300000000002E-7</v>
      </c>
      <c r="O11321">
        <v>124</v>
      </c>
    </row>
    <row r="11322" spans="1:15" x14ac:dyDescent="0.25">
      <c r="A11322" t="s">
        <v>11335</v>
      </c>
      <c r="B11322">
        <v>200</v>
      </c>
      <c r="C11322" s="1" t="str">
        <f>HYPERLINK("http://www.rosaceae.org/gb/gbrowse/malus_x_domestica/?name=MDP0000205660","MDP0000205660")</f>
        <v>MDP0000205660</v>
      </c>
      <c r="D11322">
        <v>47.82</v>
      </c>
      <c r="E11322">
        <v>184</v>
      </c>
      <c r="F11322">
        <v>96</v>
      </c>
      <c r="G11322">
        <v>15</v>
      </c>
      <c r="H11322">
        <v>32</v>
      </c>
      <c r="I11322">
        <v>200</v>
      </c>
      <c r="J11322">
        <v>1</v>
      </c>
      <c r="K11322">
        <v>67</v>
      </c>
      <c r="L11322">
        <v>250</v>
      </c>
      <c r="M11322">
        <v>1</v>
      </c>
      <c r="N11322">
        <v>3.5435499999999999E-36</v>
      </c>
      <c r="O11322">
        <v>374</v>
      </c>
    </row>
    <row r="11323" spans="1:15" x14ac:dyDescent="0.25">
      <c r="A11323" t="s">
        <v>11336</v>
      </c>
      <c r="B11323">
        <v>192</v>
      </c>
      <c r="C11323" s="1" t="str">
        <f>HYPERLINK("http://www.rosaceae.org/gb/gbrowse/malus_x_domestica/?name=MDP0000242101","MDP0000242101")</f>
        <v>MDP0000242101</v>
      </c>
      <c r="D11323">
        <v>86.45</v>
      </c>
      <c r="E11323">
        <v>155</v>
      </c>
      <c r="F11323">
        <v>21</v>
      </c>
      <c r="G11323">
        <v>0</v>
      </c>
      <c r="H11323">
        <v>25</v>
      </c>
      <c r="I11323">
        <v>179</v>
      </c>
      <c r="J11323">
        <v>1</v>
      </c>
      <c r="K11323">
        <v>26</v>
      </c>
      <c r="L11323">
        <v>180</v>
      </c>
      <c r="M11323">
        <v>1</v>
      </c>
      <c r="N11323">
        <v>3.3936900000000002E-76</v>
      </c>
      <c r="O11323">
        <v>718</v>
      </c>
    </row>
    <row r="11324" spans="1:15" x14ac:dyDescent="0.25">
      <c r="A11324" t="s">
        <v>11337</v>
      </c>
      <c r="B11324">
        <v>409</v>
      </c>
      <c r="C11324" s="1" t="str">
        <f>HYPERLINK("http://www.rosaceae.org/gb/gbrowse/malus_x_domestica/?name=MDP0000255954","MDP0000255954")</f>
        <v>MDP0000255954</v>
      </c>
      <c r="D11324">
        <v>83.12</v>
      </c>
      <c r="E11324">
        <v>409</v>
      </c>
      <c r="F11324">
        <v>69</v>
      </c>
      <c r="G11324">
        <v>1</v>
      </c>
      <c r="H11324">
        <v>1</v>
      </c>
      <c r="I11324">
        <v>409</v>
      </c>
      <c r="J11324">
        <v>1</v>
      </c>
      <c r="K11324">
        <v>1</v>
      </c>
      <c r="L11324">
        <v>408</v>
      </c>
      <c r="M11324">
        <v>1</v>
      </c>
      <c r="N11324">
        <v>0</v>
      </c>
      <c r="O11324">
        <v>1840</v>
      </c>
    </row>
    <row r="11325" spans="1:15" x14ac:dyDescent="0.25">
      <c r="A11325" t="s">
        <v>11338</v>
      </c>
      <c r="B11325">
        <v>255</v>
      </c>
      <c r="C11325" s="1" t="str">
        <f>HYPERLINK("http://www.rosaceae.org/gb/gbrowse/malus_x_domestica/?name=MDP0000288817","MDP0000288817")</f>
        <v>MDP0000288817</v>
      </c>
      <c r="D11325">
        <v>42.74</v>
      </c>
      <c r="E11325">
        <v>255</v>
      </c>
      <c r="F11325">
        <v>146</v>
      </c>
      <c r="G11325">
        <v>22</v>
      </c>
      <c r="H11325">
        <v>1</v>
      </c>
      <c r="I11325">
        <v>241</v>
      </c>
      <c r="J11325">
        <v>1</v>
      </c>
      <c r="K11325">
        <v>814</v>
      </c>
      <c r="L11325">
        <v>1060</v>
      </c>
      <c r="M11325">
        <v>1</v>
      </c>
      <c r="N11325">
        <v>2.7952800000000002E-50</v>
      </c>
      <c r="O11325">
        <v>497</v>
      </c>
    </row>
    <row r="11326" spans="1:15" x14ac:dyDescent="0.25">
      <c r="A11326" t="s">
        <v>11339</v>
      </c>
      <c r="B11326">
        <v>435</v>
      </c>
      <c r="C11326" s="1" t="str">
        <f>HYPERLINK("http://www.rosaceae.org/gb/gbrowse/malus_x_domestica/?name=MDP0000203108","MDP0000203108")</f>
        <v>MDP0000203108</v>
      </c>
      <c r="D11326">
        <v>31.36</v>
      </c>
      <c r="E11326">
        <v>424</v>
      </c>
      <c r="F11326">
        <v>291</v>
      </c>
      <c r="G11326">
        <v>64</v>
      </c>
      <c r="H11326">
        <v>45</v>
      </c>
      <c r="I11326">
        <v>435</v>
      </c>
      <c r="J11326">
        <v>1</v>
      </c>
      <c r="K11326">
        <v>6</v>
      </c>
      <c r="L11326">
        <v>398</v>
      </c>
      <c r="M11326">
        <v>1</v>
      </c>
      <c r="N11326">
        <v>4.8943000000000001E-39</v>
      </c>
      <c r="O11326">
        <v>402</v>
      </c>
    </row>
    <row r="11327" spans="1:15" x14ac:dyDescent="0.25">
      <c r="A11327" t="s">
        <v>11340</v>
      </c>
      <c r="B11327">
        <v>398</v>
      </c>
      <c r="C11327" s="1" t="str">
        <f>HYPERLINK("http://www.rosaceae.org/gb/gbrowse/malus_x_domestica/?name=MDP0000182877","MDP0000182877")</f>
        <v>MDP0000182877</v>
      </c>
      <c r="D11327">
        <v>59.74</v>
      </c>
      <c r="E11327">
        <v>318</v>
      </c>
      <c r="F11327">
        <v>128</v>
      </c>
      <c r="G11327">
        <v>23</v>
      </c>
      <c r="H11327">
        <v>1</v>
      </c>
      <c r="I11327">
        <v>295</v>
      </c>
      <c r="J11327">
        <v>1</v>
      </c>
      <c r="K11327">
        <v>1</v>
      </c>
      <c r="L11327">
        <v>318</v>
      </c>
      <c r="M11327">
        <v>1</v>
      </c>
      <c r="N11327">
        <v>3.1878299999999999E-99</v>
      </c>
      <c r="O11327">
        <v>921</v>
      </c>
    </row>
    <row r="11328" spans="1:15" x14ac:dyDescent="0.25">
      <c r="A11328" t="s">
        <v>11341</v>
      </c>
      <c r="B11328">
        <v>425</v>
      </c>
      <c r="C11328" s="1" t="str">
        <f>HYPERLINK("http://www.rosaceae.org/gb/gbrowse/malus_x_domestica/?name=MDP0000182000","MDP0000182000")</f>
        <v>MDP0000182000</v>
      </c>
      <c r="D11328">
        <v>57.5</v>
      </c>
      <c r="E11328">
        <v>160</v>
      </c>
      <c r="F11328">
        <v>68</v>
      </c>
      <c r="G11328">
        <v>35</v>
      </c>
      <c r="H11328">
        <v>86</v>
      </c>
      <c r="I11328">
        <v>210</v>
      </c>
      <c r="J11328">
        <v>1</v>
      </c>
      <c r="K11328">
        <v>156</v>
      </c>
      <c r="L11328">
        <v>315</v>
      </c>
      <c r="M11328">
        <v>1</v>
      </c>
      <c r="N11328">
        <v>4.8114200000000002E-49</v>
      </c>
      <c r="O11328">
        <v>489</v>
      </c>
    </row>
    <row r="11329" spans="1:15" x14ac:dyDescent="0.25">
      <c r="A11329" t="s">
        <v>11342</v>
      </c>
      <c r="B11329">
        <v>713</v>
      </c>
      <c r="C11329" s="1" t="str">
        <f>HYPERLINK("http://www.rosaceae.org/gb/gbrowse/malus_x_domestica/?name=MDP0000220114","MDP0000220114")</f>
        <v>MDP0000220114</v>
      </c>
      <c r="D11329">
        <v>68.459999999999994</v>
      </c>
      <c r="E11329">
        <v>685</v>
      </c>
      <c r="F11329">
        <v>216</v>
      </c>
      <c r="G11329">
        <v>61</v>
      </c>
      <c r="H11329">
        <v>1</v>
      </c>
      <c r="I11329">
        <v>632</v>
      </c>
      <c r="J11329">
        <v>1</v>
      </c>
      <c r="K11329">
        <v>121</v>
      </c>
      <c r="L11329">
        <v>797</v>
      </c>
      <c r="M11329">
        <v>1</v>
      </c>
      <c r="N11329">
        <v>0</v>
      </c>
      <c r="O11329">
        <v>2244</v>
      </c>
    </row>
    <row r="11330" spans="1:15" x14ac:dyDescent="0.25">
      <c r="A11330" t="s">
        <v>11343</v>
      </c>
      <c r="B11330">
        <v>353</v>
      </c>
      <c r="C11330" s="1" t="str">
        <f>HYPERLINK("http://www.rosaceae.org/gb/gbrowse/malus_x_domestica/?name=MDP0000171040","MDP0000171040")</f>
        <v>MDP0000171040</v>
      </c>
      <c r="D11330">
        <v>48.12</v>
      </c>
      <c r="E11330">
        <v>374</v>
      </c>
      <c r="F11330">
        <v>194</v>
      </c>
      <c r="G11330">
        <v>32</v>
      </c>
      <c r="H11330">
        <v>1</v>
      </c>
      <c r="I11330">
        <v>353</v>
      </c>
      <c r="J11330">
        <v>1</v>
      </c>
      <c r="K11330">
        <v>1</v>
      </c>
      <c r="L11330">
        <v>363</v>
      </c>
      <c r="M11330">
        <v>1</v>
      </c>
      <c r="N11330">
        <v>7.9784399999999998E-66</v>
      </c>
      <c r="O11330">
        <v>632</v>
      </c>
    </row>
    <row r="11331" spans="1:15" x14ac:dyDescent="0.25">
      <c r="A11331" t="s">
        <v>11344</v>
      </c>
      <c r="B11331">
        <v>571</v>
      </c>
      <c r="C11331" s="1" t="str">
        <f>HYPERLINK("http://www.rosaceae.org/gb/gbrowse/malus_x_domestica/?name=MDP0000786101","MDP0000786101")</f>
        <v>MDP0000786101</v>
      </c>
      <c r="D11331">
        <v>34.54</v>
      </c>
      <c r="E11331">
        <v>579</v>
      </c>
      <c r="F11331">
        <v>379</v>
      </c>
      <c r="G11331">
        <v>41</v>
      </c>
      <c r="H11331">
        <v>17</v>
      </c>
      <c r="I11331">
        <v>555</v>
      </c>
      <c r="J11331">
        <v>1</v>
      </c>
      <c r="K11331">
        <v>23</v>
      </c>
      <c r="L11331">
        <v>600</v>
      </c>
      <c r="M11331">
        <v>1</v>
      </c>
      <c r="N11331">
        <v>3.1808100000000002E-96</v>
      </c>
      <c r="O11331">
        <v>897</v>
      </c>
    </row>
    <row r="11332" spans="1:15" x14ac:dyDescent="0.25">
      <c r="A11332" t="s">
        <v>11345</v>
      </c>
      <c r="B11332">
        <v>135</v>
      </c>
      <c r="C11332" s="1" t="str">
        <f>HYPERLINK("http://www.rosaceae.org/gb/gbrowse/malus_x_domestica/?name=MDP0000683186","MDP0000683186")</f>
        <v>MDP0000683186</v>
      </c>
      <c r="D11332">
        <v>57.66</v>
      </c>
      <c r="E11332">
        <v>137</v>
      </c>
      <c r="F11332">
        <v>58</v>
      </c>
      <c r="G11332">
        <v>2</v>
      </c>
      <c r="H11332">
        <v>1</v>
      </c>
      <c r="I11332">
        <v>135</v>
      </c>
      <c r="J11332">
        <v>1</v>
      </c>
      <c r="K11332">
        <v>1</v>
      </c>
      <c r="L11332">
        <v>137</v>
      </c>
      <c r="M11332">
        <v>1</v>
      </c>
      <c r="N11332">
        <v>1.2391100000000001E-36</v>
      </c>
      <c r="O11332">
        <v>374</v>
      </c>
    </row>
    <row r="11333" spans="1:15" x14ac:dyDescent="0.25">
      <c r="A11333" t="s">
        <v>11346</v>
      </c>
      <c r="B11333">
        <v>564</v>
      </c>
      <c r="C11333" s="1" t="str">
        <f>HYPERLINK("http://www.rosaceae.org/gb/gbrowse/malus_x_domestica/?name=MDP0000286006","MDP0000286006")</f>
        <v>MDP0000286006</v>
      </c>
      <c r="D11333">
        <v>32.450000000000003</v>
      </c>
      <c r="E11333">
        <v>302</v>
      </c>
      <c r="F11333">
        <v>204</v>
      </c>
      <c r="G11333">
        <v>49</v>
      </c>
      <c r="H11333">
        <v>17</v>
      </c>
      <c r="I11333">
        <v>298</v>
      </c>
      <c r="J11333">
        <v>1</v>
      </c>
      <c r="K11333">
        <v>7</v>
      </c>
      <c r="L11333">
        <v>279</v>
      </c>
      <c r="M11333">
        <v>1</v>
      </c>
      <c r="N11333">
        <v>3.3570600000000002E-30</v>
      </c>
      <c r="O11333">
        <v>327</v>
      </c>
    </row>
    <row r="11334" spans="1:15" x14ac:dyDescent="0.25">
      <c r="A11334" t="s">
        <v>11347</v>
      </c>
      <c r="B11334">
        <v>305</v>
      </c>
      <c r="C11334" s="1" t="str">
        <f>HYPERLINK("http://www.rosaceae.org/gb/gbrowse/malus_x_domestica/?name=MDP0000265937","MDP0000265937")</f>
        <v>MDP0000265937</v>
      </c>
      <c r="D11334">
        <v>66.13</v>
      </c>
      <c r="E11334">
        <v>313</v>
      </c>
      <c r="F11334">
        <v>106</v>
      </c>
      <c r="G11334">
        <v>8</v>
      </c>
      <c r="H11334">
        <v>1</v>
      </c>
      <c r="I11334">
        <v>305</v>
      </c>
      <c r="J11334">
        <v>1</v>
      </c>
      <c r="K11334">
        <v>1</v>
      </c>
      <c r="L11334">
        <v>313</v>
      </c>
      <c r="M11334">
        <v>1</v>
      </c>
      <c r="N11334">
        <v>1.0578800000000001E-110</v>
      </c>
      <c r="O11334">
        <v>1019</v>
      </c>
    </row>
    <row r="11335" spans="1:15" x14ac:dyDescent="0.25">
      <c r="A11335" t="s">
        <v>11348</v>
      </c>
      <c r="B11335">
        <v>589</v>
      </c>
      <c r="C11335" s="1" t="str">
        <f>HYPERLINK("http://www.rosaceae.org/gb/gbrowse/malus_x_domestica/?name=MDP0000247249","MDP0000247249")</f>
        <v>MDP0000247249</v>
      </c>
      <c r="D11335">
        <v>91.7</v>
      </c>
      <c r="E11335">
        <v>241</v>
      </c>
      <c r="F11335">
        <v>20</v>
      </c>
      <c r="G11335">
        <v>0</v>
      </c>
      <c r="H11335">
        <v>5</v>
      </c>
      <c r="I11335">
        <v>245</v>
      </c>
      <c r="J11335">
        <v>1</v>
      </c>
      <c r="K11335">
        <v>94</v>
      </c>
      <c r="L11335">
        <v>334</v>
      </c>
      <c r="M11335">
        <v>1</v>
      </c>
      <c r="N11335">
        <v>7.6664400000000002E-129</v>
      </c>
      <c r="O11335">
        <v>1178</v>
      </c>
    </row>
    <row r="11336" spans="1:15" x14ac:dyDescent="0.25">
      <c r="A11336" t="s">
        <v>11349</v>
      </c>
      <c r="B11336">
        <v>471</v>
      </c>
      <c r="C11336" s="1" t="str">
        <f>HYPERLINK("http://www.rosaceae.org/gb/gbrowse/malus_x_domestica/?name=MDP0000316281","MDP0000316281")</f>
        <v>MDP0000316281</v>
      </c>
      <c r="D11336">
        <v>87.65</v>
      </c>
      <c r="E11336">
        <v>486</v>
      </c>
      <c r="F11336">
        <v>60</v>
      </c>
      <c r="G11336">
        <v>15</v>
      </c>
      <c r="H11336">
        <v>1</v>
      </c>
      <c r="I11336">
        <v>471</v>
      </c>
      <c r="J11336">
        <v>1</v>
      </c>
      <c r="K11336">
        <v>1</v>
      </c>
      <c r="L11336">
        <v>486</v>
      </c>
      <c r="M11336">
        <v>1</v>
      </c>
      <c r="N11336">
        <v>0</v>
      </c>
      <c r="O11336">
        <v>2288</v>
      </c>
    </row>
    <row r="11337" spans="1:15" x14ac:dyDescent="0.25">
      <c r="A11337" t="s">
        <v>11350</v>
      </c>
      <c r="B11337">
        <v>301</v>
      </c>
      <c r="C11337" s="1" t="str">
        <f>HYPERLINK("http://www.rosaceae.org/gb/gbrowse/malus_x_domestica/?name=MDP0000260881","MDP0000260881")</f>
        <v>MDP0000260881</v>
      </c>
      <c r="D11337">
        <v>43.08</v>
      </c>
      <c r="E11337">
        <v>318</v>
      </c>
      <c r="F11337">
        <v>181</v>
      </c>
      <c r="G11337">
        <v>51</v>
      </c>
      <c r="H11337">
        <v>1</v>
      </c>
      <c r="I11337">
        <v>283</v>
      </c>
      <c r="J11337">
        <v>1</v>
      </c>
      <c r="K11337">
        <v>191</v>
      </c>
      <c r="L11337">
        <v>492</v>
      </c>
      <c r="M11337">
        <v>1</v>
      </c>
      <c r="N11337">
        <v>1.4837899999999999E-54</v>
      </c>
      <c r="O11337">
        <v>534</v>
      </c>
    </row>
    <row r="11338" spans="1:15" x14ac:dyDescent="0.25">
      <c r="A11338" t="s">
        <v>11351</v>
      </c>
      <c r="B11338">
        <v>241</v>
      </c>
      <c r="C11338" s="1" t="str">
        <f>HYPERLINK("http://www.rosaceae.org/gb/gbrowse/malus_x_domestica/?name=MDP0000646467","MDP0000646467")</f>
        <v>MDP0000646467</v>
      </c>
      <c r="D11338">
        <v>69.95</v>
      </c>
      <c r="E11338">
        <v>233</v>
      </c>
      <c r="F11338">
        <v>70</v>
      </c>
      <c r="G11338">
        <v>19</v>
      </c>
      <c r="H11338">
        <v>6</v>
      </c>
      <c r="I11338">
        <v>238</v>
      </c>
      <c r="J11338">
        <v>1</v>
      </c>
      <c r="K11338">
        <v>3</v>
      </c>
      <c r="L11338">
        <v>216</v>
      </c>
      <c r="M11338">
        <v>1</v>
      </c>
      <c r="N11338">
        <v>2.6226700000000003E-85</v>
      </c>
      <c r="O11338">
        <v>798</v>
      </c>
    </row>
    <row r="11339" spans="1:15" x14ac:dyDescent="0.25">
      <c r="A11339" t="s">
        <v>11352</v>
      </c>
      <c r="B11339">
        <v>143</v>
      </c>
      <c r="C11339" s="1" t="str">
        <f>HYPERLINK("http://www.rosaceae.org/gb/gbrowse/malus_x_domestica/?name=MDP0000412799","MDP0000412799")</f>
        <v>MDP0000412799</v>
      </c>
      <c r="D11339">
        <v>43.75</v>
      </c>
      <c r="E11339">
        <v>112</v>
      </c>
      <c r="F11339">
        <v>63</v>
      </c>
      <c r="G11339">
        <v>18</v>
      </c>
      <c r="H11339">
        <v>48</v>
      </c>
      <c r="I11339">
        <v>141</v>
      </c>
      <c r="J11339">
        <v>1</v>
      </c>
      <c r="K11339">
        <v>45</v>
      </c>
      <c r="L11339">
        <v>156</v>
      </c>
      <c r="M11339">
        <v>1</v>
      </c>
      <c r="N11339">
        <v>2.88378E-19</v>
      </c>
      <c r="O11339">
        <v>225</v>
      </c>
    </row>
    <row r="11340" spans="1:15" x14ac:dyDescent="0.25">
      <c r="A11340" t="s">
        <v>11353</v>
      </c>
      <c r="B11340">
        <v>660</v>
      </c>
      <c r="C11340" s="1" t="str">
        <f>HYPERLINK("http://www.rosaceae.org/gb/gbrowse/malus_x_domestica/?name=MDP0000266669","MDP0000266669")</f>
        <v>MDP0000266669</v>
      </c>
      <c r="D11340">
        <v>70.459999999999994</v>
      </c>
      <c r="E11340">
        <v>640</v>
      </c>
      <c r="F11340">
        <v>189</v>
      </c>
      <c r="G11340">
        <v>39</v>
      </c>
      <c r="H11340">
        <v>1</v>
      </c>
      <c r="I11340">
        <v>634</v>
      </c>
      <c r="J11340">
        <v>1</v>
      </c>
      <c r="K11340">
        <v>1</v>
      </c>
      <c r="L11340">
        <v>607</v>
      </c>
      <c r="M11340">
        <v>1</v>
      </c>
      <c r="N11340">
        <v>0</v>
      </c>
      <c r="O11340">
        <v>2261</v>
      </c>
    </row>
    <row r="11341" spans="1:15" x14ac:dyDescent="0.25">
      <c r="A11341" t="s">
        <v>11354</v>
      </c>
      <c r="B11341">
        <v>379</v>
      </c>
      <c r="C11341" s="1" t="str">
        <f>HYPERLINK("http://www.rosaceae.org/gb/gbrowse/malus_x_domestica/?name=MDP0000193167","MDP0000193167")</f>
        <v>MDP0000193167</v>
      </c>
      <c r="D11341">
        <v>89.35</v>
      </c>
      <c r="E11341">
        <v>385</v>
      </c>
      <c r="F11341">
        <v>41</v>
      </c>
      <c r="G11341">
        <v>34</v>
      </c>
      <c r="H11341">
        <v>1</v>
      </c>
      <c r="I11341">
        <v>372</v>
      </c>
      <c r="J11341">
        <v>1</v>
      </c>
      <c r="K11341">
        <v>1</v>
      </c>
      <c r="L11341">
        <v>364</v>
      </c>
      <c r="M11341">
        <v>1</v>
      </c>
      <c r="N11341">
        <v>0</v>
      </c>
      <c r="O11341">
        <v>1776</v>
      </c>
    </row>
    <row r="11342" spans="1:15" x14ac:dyDescent="0.25">
      <c r="A11342" t="s">
        <v>11355</v>
      </c>
      <c r="B11342">
        <v>618</v>
      </c>
      <c r="C11342" s="1" t="str">
        <f>HYPERLINK("http://www.rosaceae.org/gb/gbrowse/malus_x_domestica/?name=MDP0000255245","MDP0000255245")</f>
        <v>MDP0000255245</v>
      </c>
      <c r="D11342">
        <v>48.98</v>
      </c>
      <c r="E11342">
        <v>590</v>
      </c>
      <c r="F11342">
        <v>301</v>
      </c>
      <c r="G11342">
        <v>87</v>
      </c>
      <c r="H11342">
        <v>98</v>
      </c>
      <c r="I11342">
        <v>616</v>
      </c>
      <c r="J11342">
        <v>1</v>
      </c>
      <c r="K11342">
        <v>331</v>
      </c>
      <c r="L11342">
        <v>904</v>
      </c>
      <c r="M11342">
        <v>1</v>
      </c>
      <c r="N11342">
        <v>2.66909E-143</v>
      </c>
      <c r="O11342">
        <v>1303</v>
      </c>
    </row>
    <row r="11343" spans="1:15" x14ac:dyDescent="0.25">
      <c r="A11343" t="s">
        <v>11356</v>
      </c>
      <c r="B11343">
        <v>859</v>
      </c>
      <c r="C11343" s="1" t="str">
        <f>HYPERLINK("http://www.rosaceae.org/gb/gbrowse/malus_x_domestica/?name=MDP0000298502","MDP0000298502")</f>
        <v>MDP0000298502</v>
      </c>
      <c r="D11343">
        <v>83.3</v>
      </c>
      <c r="E11343">
        <v>707</v>
      </c>
      <c r="F11343">
        <v>118</v>
      </c>
      <c r="G11343">
        <v>6</v>
      </c>
      <c r="H11343">
        <v>153</v>
      </c>
      <c r="I11343">
        <v>859</v>
      </c>
      <c r="J11343">
        <v>1</v>
      </c>
      <c r="K11343">
        <v>190</v>
      </c>
      <c r="L11343">
        <v>890</v>
      </c>
      <c r="M11343">
        <v>1</v>
      </c>
      <c r="N11343">
        <v>0</v>
      </c>
      <c r="O11343">
        <v>2944</v>
      </c>
    </row>
    <row r="11344" spans="1:15" x14ac:dyDescent="0.25">
      <c r="A11344" t="s">
        <v>11357</v>
      </c>
      <c r="B11344">
        <v>980</v>
      </c>
      <c r="C11344" s="1" t="str">
        <f>HYPERLINK("http://www.rosaceae.org/gb/gbrowse/malus_x_domestica/?name=MDP0000731864","MDP0000731864")</f>
        <v>MDP0000731864</v>
      </c>
      <c r="D11344">
        <v>76.94</v>
      </c>
      <c r="E11344">
        <v>876</v>
      </c>
      <c r="F11344">
        <v>202</v>
      </c>
      <c r="G11344">
        <v>15</v>
      </c>
      <c r="H11344">
        <v>106</v>
      </c>
      <c r="I11344">
        <v>980</v>
      </c>
      <c r="J11344">
        <v>1</v>
      </c>
      <c r="K11344">
        <v>1</v>
      </c>
      <c r="L11344">
        <v>862</v>
      </c>
      <c r="M11344">
        <v>1</v>
      </c>
      <c r="N11344">
        <v>0</v>
      </c>
      <c r="O11344">
        <v>3621</v>
      </c>
    </row>
    <row r="11345" spans="1:15" x14ac:dyDescent="0.25">
      <c r="A11345" t="s">
        <v>11358</v>
      </c>
      <c r="B11345">
        <v>134</v>
      </c>
      <c r="C11345" s="1" t="str">
        <f>HYPERLINK("http://www.rosaceae.org/gb/gbrowse/malus_x_domestica/?name=MDP0000213515","MDP0000213515")</f>
        <v>MDP0000213515</v>
      </c>
      <c r="D11345">
        <v>59.75</v>
      </c>
      <c r="E11345">
        <v>82</v>
      </c>
      <c r="F11345">
        <v>33</v>
      </c>
      <c r="G11345">
        <v>0</v>
      </c>
      <c r="H11345">
        <v>1</v>
      </c>
      <c r="I11345">
        <v>82</v>
      </c>
      <c r="J11345">
        <v>1</v>
      </c>
      <c r="K11345">
        <v>275</v>
      </c>
      <c r="L11345">
        <v>356</v>
      </c>
      <c r="M11345">
        <v>1</v>
      </c>
      <c r="N11345">
        <v>1.72522E-22</v>
      </c>
      <c r="O11345">
        <v>252</v>
      </c>
    </row>
    <row r="11346" spans="1:15" x14ac:dyDescent="0.25">
      <c r="A11346" t="s">
        <v>11359</v>
      </c>
      <c r="B11346">
        <v>597</v>
      </c>
      <c r="C11346" s="1" t="str">
        <f>HYPERLINK("http://www.rosaceae.org/gb/gbrowse/malus_x_domestica/?name=MDP0000248995","MDP0000248995")</f>
        <v>MDP0000248995</v>
      </c>
      <c r="D11346">
        <v>93.92</v>
      </c>
      <c r="E11346">
        <v>428</v>
      </c>
      <c r="F11346">
        <v>26</v>
      </c>
      <c r="G11346">
        <v>0</v>
      </c>
      <c r="H11346">
        <v>154</v>
      </c>
      <c r="I11346">
        <v>581</v>
      </c>
      <c r="J11346">
        <v>1</v>
      </c>
      <c r="K11346">
        <v>1</v>
      </c>
      <c r="L11346">
        <v>428</v>
      </c>
      <c r="M11346">
        <v>1</v>
      </c>
      <c r="N11346">
        <v>0</v>
      </c>
      <c r="O11346">
        <v>2198</v>
      </c>
    </row>
    <row r="11347" spans="1:15" x14ac:dyDescent="0.25">
      <c r="A11347" t="s">
        <v>11360</v>
      </c>
      <c r="B11347">
        <v>275</v>
      </c>
      <c r="C11347" s="1" t="str">
        <f>HYPERLINK("http://www.rosaceae.org/gb/gbrowse/malus_x_domestica/?name=MDP0000259502","MDP0000259502")</f>
        <v>MDP0000259502</v>
      </c>
      <c r="D11347">
        <v>93.88</v>
      </c>
      <c r="E11347">
        <v>180</v>
      </c>
      <c r="F11347">
        <v>11</v>
      </c>
      <c r="G11347">
        <v>0</v>
      </c>
      <c r="H11347">
        <v>96</v>
      </c>
      <c r="I11347">
        <v>275</v>
      </c>
      <c r="J11347">
        <v>1</v>
      </c>
      <c r="K11347">
        <v>34</v>
      </c>
      <c r="L11347">
        <v>213</v>
      </c>
      <c r="M11347">
        <v>1</v>
      </c>
      <c r="N11347">
        <v>3.5894999999999997E-94</v>
      </c>
      <c r="O11347">
        <v>876</v>
      </c>
    </row>
    <row r="11348" spans="1:15" x14ac:dyDescent="0.25">
      <c r="A11348" t="s">
        <v>11361</v>
      </c>
      <c r="B11348">
        <v>1251</v>
      </c>
      <c r="C11348" s="1" t="str">
        <f>HYPERLINK("http://www.rosaceae.org/gb/gbrowse/malus_x_domestica/?name=MDP0000131641","MDP0000131641")</f>
        <v>MDP0000131641</v>
      </c>
      <c r="D11348">
        <v>56.73</v>
      </c>
      <c r="E11348">
        <v>460</v>
      </c>
      <c r="F11348">
        <v>199</v>
      </c>
      <c r="G11348">
        <v>52</v>
      </c>
      <c r="H11348">
        <v>1</v>
      </c>
      <c r="I11348">
        <v>424</v>
      </c>
      <c r="J11348">
        <v>1</v>
      </c>
      <c r="K11348">
        <v>1167</v>
      </c>
      <c r="L11348">
        <v>1610</v>
      </c>
      <c r="M11348">
        <v>1</v>
      </c>
      <c r="N11348">
        <v>7.4256100000000006E-138</v>
      </c>
      <c r="O11348">
        <v>1259</v>
      </c>
    </row>
    <row r="11349" spans="1:15" x14ac:dyDescent="0.25">
      <c r="A11349" t="s">
        <v>11362</v>
      </c>
      <c r="B11349">
        <v>254</v>
      </c>
      <c r="C11349" s="1" t="str">
        <f>HYPERLINK("http://www.rosaceae.org/gb/gbrowse/malus_x_domestica/?name=MDP0000202143","MDP0000202143")</f>
        <v>MDP0000202143</v>
      </c>
      <c r="D11349">
        <v>58.33</v>
      </c>
      <c r="E11349">
        <v>72</v>
      </c>
      <c r="F11349">
        <v>30</v>
      </c>
      <c r="G11349">
        <v>3</v>
      </c>
      <c r="H11349">
        <v>1</v>
      </c>
      <c r="I11349">
        <v>69</v>
      </c>
      <c r="J11349">
        <v>1</v>
      </c>
      <c r="K11349">
        <v>323</v>
      </c>
      <c r="L11349">
        <v>394</v>
      </c>
      <c r="M11349">
        <v>1</v>
      </c>
      <c r="N11349">
        <v>1.8639900000000001E-15</v>
      </c>
      <c r="O11349">
        <v>196</v>
      </c>
    </row>
    <row r="11350" spans="1:15" x14ac:dyDescent="0.25">
      <c r="A11350" t="s">
        <v>11363</v>
      </c>
      <c r="B11350">
        <v>171</v>
      </c>
      <c r="C11350" s="1" t="str">
        <f>HYPERLINK("http://www.rosaceae.org/gb/gbrowse/malus_x_domestica/?name=MDP0000181942","MDP0000181942")</f>
        <v>MDP0000181942</v>
      </c>
      <c r="D11350">
        <v>48.85</v>
      </c>
      <c r="E11350">
        <v>131</v>
      </c>
      <c r="F11350">
        <v>67</v>
      </c>
      <c r="G11350">
        <v>27</v>
      </c>
      <c r="H11350">
        <v>8</v>
      </c>
      <c r="I11350">
        <v>111</v>
      </c>
      <c r="J11350">
        <v>1</v>
      </c>
      <c r="K11350">
        <v>6</v>
      </c>
      <c r="L11350">
        <v>136</v>
      </c>
      <c r="M11350">
        <v>1</v>
      </c>
      <c r="N11350">
        <v>1.4698999999999999E-21</v>
      </c>
      <c r="O11350">
        <v>246</v>
      </c>
    </row>
    <row r="11351" spans="1:15" x14ac:dyDescent="0.25">
      <c r="A11351" t="s">
        <v>11364</v>
      </c>
      <c r="B11351">
        <v>307</v>
      </c>
      <c r="C11351" s="1" t="str">
        <f>HYPERLINK("http://www.rosaceae.org/gb/gbrowse/malus_x_domestica/?name=MDP0000279567","MDP0000279567")</f>
        <v>MDP0000279567</v>
      </c>
      <c r="D11351">
        <v>54.67</v>
      </c>
      <c r="E11351">
        <v>278</v>
      </c>
      <c r="F11351">
        <v>126</v>
      </c>
      <c r="G11351">
        <v>5</v>
      </c>
      <c r="H11351">
        <v>34</v>
      </c>
      <c r="I11351">
        <v>307</v>
      </c>
      <c r="J11351">
        <v>1</v>
      </c>
      <c r="K11351">
        <v>127</v>
      </c>
      <c r="L11351">
        <v>403</v>
      </c>
      <c r="M11351">
        <v>1</v>
      </c>
      <c r="N11351">
        <v>1.13039E-88</v>
      </c>
      <c r="O11351">
        <v>829</v>
      </c>
    </row>
    <row r="11352" spans="1:15" x14ac:dyDescent="0.25">
      <c r="A11352" t="s">
        <v>11365</v>
      </c>
      <c r="B11352">
        <v>427</v>
      </c>
      <c r="C11352" s="1" t="str">
        <f>HYPERLINK("http://www.rosaceae.org/gb/gbrowse/malus_x_domestica/?name=MDP0000120935","MDP0000120935")</f>
        <v>MDP0000120935</v>
      </c>
      <c r="D11352">
        <v>46.63</v>
      </c>
      <c r="E11352">
        <v>208</v>
      </c>
      <c r="F11352">
        <v>111</v>
      </c>
      <c r="G11352">
        <v>48</v>
      </c>
      <c r="H11352">
        <v>261</v>
      </c>
      <c r="I11352">
        <v>420</v>
      </c>
      <c r="J11352">
        <v>1</v>
      </c>
      <c r="K11352">
        <v>87</v>
      </c>
      <c r="L11352">
        <v>294</v>
      </c>
      <c r="M11352">
        <v>1</v>
      </c>
      <c r="N11352">
        <v>2.01958E-43</v>
      </c>
      <c r="O11352">
        <v>440</v>
      </c>
    </row>
    <row r="11353" spans="1:15" x14ac:dyDescent="0.25">
      <c r="A11353" t="s">
        <v>11366</v>
      </c>
      <c r="B11353">
        <v>443</v>
      </c>
      <c r="C11353" s="1" t="str">
        <f>HYPERLINK("http://www.rosaceae.org/gb/gbrowse/malus_x_domestica/?name=MDP0000318031","MDP0000318031")</f>
        <v>MDP0000318031</v>
      </c>
      <c r="D11353">
        <v>79.22</v>
      </c>
      <c r="E11353">
        <v>361</v>
      </c>
      <c r="F11353">
        <v>75</v>
      </c>
      <c r="G11353">
        <v>1</v>
      </c>
      <c r="H11353">
        <v>1</v>
      </c>
      <c r="I11353">
        <v>361</v>
      </c>
      <c r="J11353">
        <v>1</v>
      </c>
      <c r="K11353">
        <v>1</v>
      </c>
      <c r="L11353">
        <v>360</v>
      </c>
      <c r="M11353">
        <v>1</v>
      </c>
      <c r="N11353">
        <v>6.9928200000000005E-163</v>
      </c>
      <c r="O11353">
        <v>1471</v>
      </c>
    </row>
    <row r="11354" spans="1:15" x14ac:dyDescent="0.25">
      <c r="A11354" t="s">
        <v>11367</v>
      </c>
      <c r="B11354">
        <v>159</v>
      </c>
      <c r="C11354" s="1" t="str">
        <f>HYPERLINK("http://www.rosaceae.org/gb/gbrowse/malus_x_domestica/?name=MDP0000163756","MDP0000163756")</f>
        <v>MDP0000163756</v>
      </c>
      <c r="D11354">
        <v>79.260000000000005</v>
      </c>
      <c r="E11354">
        <v>164</v>
      </c>
      <c r="F11354">
        <v>34</v>
      </c>
      <c r="G11354">
        <v>6</v>
      </c>
      <c r="H11354">
        <v>1</v>
      </c>
      <c r="I11354">
        <v>158</v>
      </c>
      <c r="J11354">
        <v>1</v>
      </c>
      <c r="K11354">
        <v>1</v>
      </c>
      <c r="L11354">
        <v>164</v>
      </c>
      <c r="M11354">
        <v>1</v>
      </c>
      <c r="N11354">
        <v>5.2218699999999998E-64</v>
      </c>
      <c r="O11354">
        <v>612</v>
      </c>
    </row>
    <row r="11355" spans="1:15" x14ac:dyDescent="0.25">
      <c r="A11355" t="s">
        <v>11368</v>
      </c>
      <c r="B11355">
        <v>196</v>
      </c>
      <c r="C11355" s="1" t="str">
        <f>HYPERLINK("http://www.rosaceae.org/gb/gbrowse/malus_x_domestica/?name=MDP0000720497","MDP0000720497")</f>
        <v>MDP0000720497</v>
      </c>
      <c r="D11355">
        <v>78.2</v>
      </c>
      <c r="E11355">
        <v>78</v>
      </c>
      <c r="F11355">
        <v>17</v>
      </c>
      <c r="G11355">
        <v>2</v>
      </c>
      <c r="H11355">
        <v>2</v>
      </c>
      <c r="I11355">
        <v>79</v>
      </c>
      <c r="J11355">
        <v>1</v>
      </c>
      <c r="K11355">
        <v>29</v>
      </c>
      <c r="L11355">
        <v>104</v>
      </c>
      <c r="M11355">
        <v>1</v>
      </c>
      <c r="N11355">
        <v>7.3527000000000003E-28</v>
      </c>
      <c r="O11355">
        <v>302</v>
      </c>
    </row>
    <row r="11356" spans="1:15" x14ac:dyDescent="0.25">
      <c r="A11356" t="s">
        <v>11369</v>
      </c>
      <c r="B11356">
        <v>459</v>
      </c>
      <c r="C11356" s="1" t="str">
        <f>HYPERLINK("http://www.rosaceae.org/gb/gbrowse/malus_x_domestica/?name=MDP0000136844","MDP0000136844")</f>
        <v>MDP0000136844</v>
      </c>
      <c r="D11356">
        <v>54.05</v>
      </c>
      <c r="E11356">
        <v>148</v>
      </c>
      <c r="F11356">
        <v>68</v>
      </c>
      <c r="G11356">
        <v>1</v>
      </c>
      <c r="H11356">
        <v>262</v>
      </c>
      <c r="I11356">
        <v>408</v>
      </c>
      <c r="J11356">
        <v>1</v>
      </c>
      <c r="K11356">
        <v>669</v>
      </c>
      <c r="L11356">
        <v>816</v>
      </c>
      <c r="M11356">
        <v>1</v>
      </c>
      <c r="N11356">
        <v>3.7666599999999999E-40</v>
      </c>
      <c r="O11356">
        <v>412</v>
      </c>
    </row>
    <row r="11357" spans="1:15" x14ac:dyDescent="0.25">
      <c r="A11357" t="s">
        <v>11370</v>
      </c>
      <c r="B11357">
        <v>248</v>
      </c>
      <c r="C11357" s="1" t="str">
        <f>HYPERLINK("http://www.rosaceae.org/gb/gbrowse/malus_x_domestica/?name=MDP0000236035","MDP0000236035")</f>
        <v>MDP0000236035</v>
      </c>
      <c r="D11357">
        <v>51.93</v>
      </c>
      <c r="E11357">
        <v>258</v>
      </c>
      <c r="F11357">
        <v>124</v>
      </c>
      <c r="G11357">
        <v>20</v>
      </c>
      <c r="H11357">
        <v>1</v>
      </c>
      <c r="I11357">
        <v>248</v>
      </c>
      <c r="J11357">
        <v>1</v>
      </c>
      <c r="K11357">
        <v>1</v>
      </c>
      <c r="L11357">
        <v>248</v>
      </c>
      <c r="M11357">
        <v>1</v>
      </c>
      <c r="N11357">
        <v>1.0996000000000001E-57</v>
      </c>
      <c r="O11357">
        <v>560</v>
      </c>
    </row>
    <row r="11358" spans="1:15" x14ac:dyDescent="0.25">
      <c r="A11358" t="s">
        <v>11371</v>
      </c>
      <c r="B11358">
        <v>233</v>
      </c>
      <c r="C11358" s="1" t="str">
        <f>HYPERLINK("http://www.rosaceae.org/gb/gbrowse/malus_x_domestica/?name=MDP0000259734","MDP0000259734")</f>
        <v>MDP0000259734</v>
      </c>
      <c r="D11358">
        <v>48.18</v>
      </c>
      <c r="E11358">
        <v>220</v>
      </c>
      <c r="F11358">
        <v>114</v>
      </c>
      <c r="G11358">
        <v>11</v>
      </c>
      <c r="H11358">
        <v>1</v>
      </c>
      <c r="I11358">
        <v>209</v>
      </c>
      <c r="J11358">
        <v>1</v>
      </c>
      <c r="K11358">
        <v>71</v>
      </c>
      <c r="L11358">
        <v>290</v>
      </c>
      <c r="M11358">
        <v>1</v>
      </c>
      <c r="N11358">
        <v>2.1361000000000002E-53</v>
      </c>
      <c r="O11358">
        <v>523</v>
      </c>
    </row>
    <row r="11359" spans="1:15" x14ac:dyDescent="0.25">
      <c r="A11359" t="s">
        <v>11372</v>
      </c>
      <c r="B11359">
        <v>449</v>
      </c>
      <c r="C11359" s="1" t="str">
        <f>HYPERLINK("http://www.rosaceae.org/gb/gbrowse/malus_x_domestica/?name=MDP0000181794","MDP0000181794")</f>
        <v>MDP0000181794</v>
      </c>
      <c r="D11359">
        <v>37.869999999999997</v>
      </c>
      <c r="E11359">
        <v>470</v>
      </c>
      <c r="F11359">
        <v>292</v>
      </c>
      <c r="G11359">
        <v>55</v>
      </c>
      <c r="H11359">
        <v>14</v>
      </c>
      <c r="I11359">
        <v>431</v>
      </c>
      <c r="J11359">
        <v>1</v>
      </c>
      <c r="K11359">
        <v>49</v>
      </c>
      <c r="L11359">
        <v>515</v>
      </c>
      <c r="M11359">
        <v>1</v>
      </c>
      <c r="N11359">
        <v>2.68431E-73</v>
      </c>
      <c r="O11359">
        <v>698</v>
      </c>
    </row>
    <row r="11360" spans="1:15" x14ac:dyDescent="0.25">
      <c r="A11360" t="s">
        <v>11373</v>
      </c>
      <c r="B11360">
        <v>99</v>
      </c>
      <c r="C11360" s="1" t="str">
        <f>HYPERLINK("http://www.rosaceae.org/gb/gbrowse/malus_x_domestica/?name=MDP0000808464","MDP0000808464")</f>
        <v>MDP0000808464</v>
      </c>
      <c r="D11360">
        <v>69.69</v>
      </c>
      <c r="E11360">
        <v>99</v>
      </c>
      <c r="F11360">
        <v>30</v>
      </c>
      <c r="G11360">
        <v>3</v>
      </c>
      <c r="H11360">
        <v>1</v>
      </c>
      <c r="I11360">
        <v>99</v>
      </c>
      <c r="J11360">
        <v>1</v>
      </c>
      <c r="K11360">
        <v>1</v>
      </c>
      <c r="L11360">
        <v>96</v>
      </c>
      <c r="M11360">
        <v>1</v>
      </c>
      <c r="N11360">
        <v>4.02841E-36</v>
      </c>
      <c r="O11360">
        <v>369</v>
      </c>
    </row>
    <row r="11361" spans="1:15" x14ac:dyDescent="0.25">
      <c r="A11361" t="s">
        <v>11374</v>
      </c>
      <c r="B11361">
        <v>713</v>
      </c>
      <c r="C11361" s="1" t="str">
        <f>HYPERLINK("http://www.rosaceae.org/gb/gbrowse/malus_x_domestica/?name=MDP0000245995","MDP0000245995")</f>
        <v>MDP0000245995</v>
      </c>
      <c r="D11361">
        <v>80.63</v>
      </c>
      <c r="E11361">
        <v>692</v>
      </c>
      <c r="F11361">
        <v>134</v>
      </c>
      <c r="G11361">
        <v>9</v>
      </c>
      <c r="H11361">
        <v>1</v>
      </c>
      <c r="I11361">
        <v>684</v>
      </c>
      <c r="J11361">
        <v>1</v>
      </c>
      <c r="K11361">
        <v>1</v>
      </c>
      <c r="L11361">
        <v>691</v>
      </c>
      <c r="M11361">
        <v>1</v>
      </c>
      <c r="N11361">
        <v>0</v>
      </c>
      <c r="O11361">
        <v>2944</v>
      </c>
    </row>
    <row r="11362" spans="1:15" x14ac:dyDescent="0.25">
      <c r="A11362" t="s">
        <v>11375</v>
      </c>
      <c r="B11362">
        <v>698</v>
      </c>
      <c r="C11362" s="1" t="str">
        <f>HYPERLINK("http://www.rosaceae.org/gb/gbrowse/malus_x_domestica/?name=MDP0000136498","MDP0000136498")</f>
        <v>MDP0000136498</v>
      </c>
      <c r="D11362">
        <v>74.34</v>
      </c>
      <c r="E11362">
        <v>191</v>
      </c>
      <c r="F11362">
        <v>49</v>
      </c>
      <c r="G11362">
        <v>15</v>
      </c>
      <c r="H11362">
        <v>251</v>
      </c>
      <c r="I11362">
        <v>426</v>
      </c>
      <c r="J11362">
        <v>1</v>
      </c>
      <c r="K11362">
        <v>121</v>
      </c>
      <c r="L11362">
        <v>311</v>
      </c>
      <c r="M11362">
        <v>1</v>
      </c>
      <c r="N11362">
        <v>1.0072000000000001E-75</v>
      </c>
      <c r="O11362">
        <v>721</v>
      </c>
    </row>
    <row r="11363" spans="1:15" x14ac:dyDescent="0.25">
      <c r="A11363" t="s">
        <v>11376</v>
      </c>
      <c r="B11363">
        <v>521</v>
      </c>
      <c r="C11363" s="1" t="str">
        <f>HYPERLINK("http://www.rosaceae.org/gb/gbrowse/malus_x_domestica/?name=MDP0000210336","MDP0000210336")</f>
        <v>MDP0000210336</v>
      </c>
      <c r="D11363">
        <v>86.44</v>
      </c>
      <c r="E11363">
        <v>59</v>
      </c>
      <c r="F11363">
        <v>8</v>
      </c>
      <c r="G11363">
        <v>0</v>
      </c>
      <c r="H11363">
        <v>12</v>
      </c>
      <c r="I11363">
        <v>70</v>
      </c>
      <c r="J11363">
        <v>1</v>
      </c>
      <c r="K11363">
        <v>320</v>
      </c>
      <c r="L11363">
        <v>378</v>
      </c>
      <c r="M11363">
        <v>1</v>
      </c>
      <c r="N11363">
        <v>3.1680599999999998E-24</v>
      </c>
      <c r="O11363">
        <v>276</v>
      </c>
    </row>
    <row r="11364" spans="1:15" x14ac:dyDescent="0.25">
      <c r="A11364" t="s">
        <v>11377</v>
      </c>
      <c r="B11364">
        <v>539</v>
      </c>
      <c r="C11364" s="1" t="str">
        <f>HYPERLINK("http://www.rosaceae.org/gb/gbrowse/malus_x_domestica/?name=MDP0000286136","MDP0000286136")</f>
        <v>MDP0000286136</v>
      </c>
      <c r="D11364">
        <v>52.23</v>
      </c>
      <c r="E11364">
        <v>536</v>
      </c>
      <c r="F11364">
        <v>256</v>
      </c>
      <c r="G11364">
        <v>16</v>
      </c>
      <c r="H11364">
        <v>3</v>
      </c>
      <c r="I11364">
        <v>531</v>
      </c>
      <c r="J11364">
        <v>1</v>
      </c>
      <c r="K11364">
        <v>4</v>
      </c>
      <c r="L11364">
        <v>530</v>
      </c>
      <c r="M11364">
        <v>1</v>
      </c>
      <c r="N11364">
        <v>1.6588400000000001E-158</v>
      </c>
      <c r="O11364">
        <v>1434</v>
      </c>
    </row>
    <row r="11365" spans="1:15" x14ac:dyDescent="0.25">
      <c r="A11365" t="s">
        <v>11378</v>
      </c>
      <c r="B11365">
        <v>322</v>
      </c>
      <c r="C11365" s="1" t="str">
        <f>HYPERLINK("http://www.rosaceae.org/gb/gbrowse/malus_x_domestica/?name=MDP0000935651","MDP0000935651")</f>
        <v>MDP0000935651</v>
      </c>
      <c r="D11365">
        <v>68.03</v>
      </c>
      <c r="E11365">
        <v>316</v>
      </c>
      <c r="F11365">
        <v>101</v>
      </c>
      <c r="G11365">
        <v>0</v>
      </c>
      <c r="H11365">
        <v>7</v>
      </c>
      <c r="I11365">
        <v>322</v>
      </c>
      <c r="J11365">
        <v>1</v>
      </c>
      <c r="K11365">
        <v>10</v>
      </c>
      <c r="L11365">
        <v>325</v>
      </c>
      <c r="M11365">
        <v>1</v>
      </c>
      <c r="N11365">
        <v>2.5853999999999998E-127</v>
      </c>
      <c r="O11365">
        <v>1162</v>
      </c>
    </row>
    <row r="11366" spans="1:15" x14ac:dyDescent="0.25">
      <c r="A11366" t="s">
        <v>11379</v>
      </c>
      <c r="B11366">
        <v>332</v>
      </c>
      <c r="C11366" s="1" t="str">
        <f>HYPERLINK("http://www.rosaceae.org/gb/gbrowse/malus_x_domestica/?name=MDP0000286589","MDP0000286589")</f>
        <v>MDP0000286589</v>
      </c>
      <c r="D11366">
        <v>55.55</v>
      </c>
      <c r="E11366">
        <v>261</v>
      </c>
      <c r="F11366">
        <v>116</v>
      </c>
      <c r="G11366">
        <v>14</v>
      </c>
      <c r="H11366">
        <v>1</v>
      </c>
      <c r="I11366">
        <v>247</v>
      </c>
      <c r="J11366">
        <v>1</v>
      </c>
      <c r="K11366">
        <v>54</v>
      </c>
      <c r="L11366">
        <v>314</v>
      </c>
      <c r="M11366">
        <v>1</v>
      </c>
      <c r="N11366">
        <v>3.5481800000000001E-82</v>
      </c>
      <c r="O11366">
        <v>773</v>
      </c>
    </row>
    <row r="11367" spans="1:15" x14ac:dyDescent="0.25">
      <c r="A11367" t="s">
        <v>11380</v>
      </c>
      <c r="B11367">
        <v>91</v>
      </c>
      <c r="C11367" s="1" t="str">
        <f>HYPERLINK("http://www.rosaceae.org/gb/gbrowse/malus_x_domestica/?name=MDP0000161996","MDP0000161996")</f>
        <v>MDP0000161996</v>
      </c>
      <c r="D11367">
        <v>83.33</v>
      </c>
      <c r="E11367">
        <v>84</v>
      </c>
      <c r="F11367">
        <v>14</v>
      </c>
      <c r="G11367">
        <v>1</v>
      </c>
      <c r="H11367">
        <v>1</v>
      </c>
      <c r="I11367">
        <v>84</v>
      </c>
      <c r="J11367">
        <v>1</v>
      </c>
      <c r="K11367">
        <v>1</v>
      </c>
      <c r="L11367">
        <v>83</v>
      </c>
      <c r="M11367">
        <v>1</v>
      </c>
      <c r="N11367">
        <v>4.3871200000000001E-33</v>
      </c>
      <c r="O11367">
        <v>343</v>
      </c>
    </row>
    <row r="11368" spans="1:15" x14ac:dyDescent="0.25">
      <c r="A11368" t="s">
        <v>11381</v>
      </c>
      <c r="B11368">
        <v>359</v>
      </c>
      <c r="C11368" s="1" t="str">
        <f>HYPERLINK("http://www.rosaceae.org/gb/gbrowse/malus_x_domestica/?name=MDP0000621569","MDP0000621569")</f>
        <v>MDP0000621569</v>
      </c>
      <c r="D11368">
        <v>80.709999999999994</v>
      </c>
      <c r="E11368">
        <v>363</v>
      </c>
      <c r="F11368">
        <v>70</v>
      </c>
      <c r="G11368">
        <v>10</v>
      </c>
      <c r="H11368">
        <v>1</v>
      </c>
      <c r="I11368">
        <v>358</v>
      </c>
      <c r="J11368">
        <v>1</v>
      </c>
      <c r="K11368">
        <v>1</v>
      </c>
      <c r="L11368">
        <v>358</v>
      </c>
      <c r="M11368">
        <v>1</v>
      </c>
      <c r="N11368">
        <v>4.9720600000000003E-170</v>
      </c>
      <c r="O11368">
        <v>1531</v>
      </c>
    </row>
    <row r="11369" spans="1:15" x14ac:dyDescent="0.25">
      <c r="A11369" t="s">
        <v>11382</v>
      </c>
      <c r="B11369">
        <v>167</v>
      </c>
      <c r="C11369" s="1" t="str">
        <f>HYPERLINK("http://www.rosaceae.org/gb/gbrowse/malus_x_domestica/?name=MDP0000284901","MDP0000284901")</f>
        <v>MDP0000284901</v>
      </c>
      <c r="D11369">
        <v>53.2</v>
      </c>
      <c r="E11369">
        <v>156</v>
      </c>
      <c r="F11369">
        <v>73</v>
      </c>
      <c r="G11369">
        <v>4</v>
      </c>
      <c r="H11369">
        <v>11</v>
      </c>
      <c r="I11369">
        <v>166</v>
      </c>
      <c r="J11369">
        <v>1</v>
      </c>
      <c r="K11369">
        <v>549</v>
      </c>
      <c r="L11369">
        <v>700</v>
      </c>
      <c r="M11369">
        <v>1</v>
      </c>
      <c r="N11369">
        <v>3.6711800000000002E-42</v>
      </c>
      <c r="O11369">
        <v>424</v>
      </c>
    </row>
    <row r="11370" spans="1:15" x14ac:dyDescent="0.25">
      <c r="A11370" t="s">
        <v>11383</v>
      </c>
      <c r="B11370">
        <v>326</v>
      </c>
      <c r="C11370" s="1" t="str">
        <f>HYPERLINK("http://www.rosaceae.org/gb/gbrowse/malus_x_domestica/?name=MDP0000039464","MDP0000039464")</f>
        <v>MDP0000039464</v>
      </c>
      <c r="D11370">
        <v>84.79</v>
      </c>
      <c r="E11370">
        <v>296</v>
      </c>
      <c r="F11370">
        <v>45</v>
      </c>
      <c r="G11370">
        <v>5</v>
      </c>
      <c r="H11370">
        <v>35</v>
      </c>
      <c r="I11370">
        <v>326</v>
      </c>
      <c r="J11370">
        <v>1</v>
      </c>
      <c r="K11370">
        <v>1</v>
      </c>
      <c r="L11370">
        <v>295</v>
      </c>
      <c r="M11370">
        <v>1</v>
      </c>
      <c r="N11370">
        <v>3.51046E-142</v>
      </c>
      <c r="O11370">
        <v>1291</v>
      </c>
    </row>
    <row r="11371" spans="1:15" x14ac:dyDescent="0.25">
      <c r="A11371" t="s">
        <v>11384</v>
      </c>
      <c r="B11371">
        <v>214</v>
      </c>
      <c r="C11371" s="1" t="str">
        <f>HYPERLINK("http://www.rosaceae.org/gb/gbrowse/malus_x_domestica/?name=MDP0000156763","MDP0000156763")</f>
        <v>MDP0000156763</v>
      </c>
      <c r="D11371">
        <v>43.12</v>
      </c>
      <c r="E11371">
        <v>211</v>
      </c>
      <c r="F11371">
        <v>120</v>
      </c>
      <c r="G11371">
        <v>3</v>
      </c>
      <c r="H11371">
        <v>2</v>
      </c>
      <c r="I11371">
        <v>212</v>
      </c>
      <c r="J11371">
        <v>1</v>
      </c>
      <c r="K11371">
        <v>56</v>
      </c>
      <c r="L11371">
        <v>263</v>
      </c>
      <c r="M11371">
        <v>1</v>
      </c>
      <c r="N11371">
        <v>3.8977599999999998E-51</v>
      </c>
      <c r="O11371">
        <v>503</v>
      </c>
    </row>
    <row r="11372" spans="1:15" x14ac:dyDescent="0.25">
      <c r="A11372" t="s">
        <v>11385</v>
      </c>
      <c r="B11372">
        <v>215</v>
      </c>
      <c r="C11372" s="1" t="str">
        <f>HYPERLINK("http://www.rosaceae.org/gb/gbrowse/malus_x_domestica/?name=MDP0000391188","MDP0000391188")</f>
        <v>MDP0000391188</v>
      </c>
      <c r="D11372">
        <v>72.760000000000005</v>
      </c>
      <c r="E11372">
        <v>257</v>
      </c>
      <c r="F11372">
        <v>70</v>
      </c>
      <c r="G11372">
        <v>44</v>
      </c>
      <c r="H11372">
        <v>1</v>
      </c>
      <c r="I11372">
        <v>213</v>
      </c>
      <c r="J11372">
        <v>1</v>
      </c>
      <c r="K11372">
        <v>216</v>
      </c>
      <c r="L11372">
        <v>472</v>
      </c>
      <c r="M11372">
        <v>1</v>
      </c>
      <c r="N11372">
        <v>1.3989999999999999E-104</v>
      </c>
      <c r="O11372">
        <v>964</v>
      </c>
    </row>
    <row r="11373" spans="1:15" x14ac:dyDescent="0.25">
      <c r="A11373" t="s">
        <v>11386</v>
      </c>
      <c r="B11373">
        <v>298</v>
      </c>
      <c r="C11373" s="1" t="str">
        <f>HYPERLINK("http://www.rosaceae.org/gb/gbrowse/malus_x_domestica/?name=MDP0000169234","MDP0000169234")</f>
        <v>MDP0000169234</v>
      </c>
      <c r="D11373">
        <v>65.78</v>
      </c>
      <c r="E11373">
        <v>266</v>
      </c>
      <c r="F11373">
        <v>91</v>
      </c>
      <c r="G11373">
        <v>6</v>
      </c>
      <c r="H11373">
        <v>8</v>
      </c>
      <c r="I11373">
        <v>269</v>
      </c>
      <c r="J11373">
        <v>1</v>
      </c>
      <c r="K11373">
        <v>13</v>
      </c>
      <c r="L11373">
        <v>276</v>
      </c>
      <c r="M11373">
        <v>1</v>
      </c>
      <c r="N11373">
        <v>2.6967999999999998E-99</v>
      </c>
      <c r="O11373">
        <v>920</v>
      </c>
    </row>
    <row r="11374" spans="1:15" x14ac:dyDescent="0.25">
      <c r="A11374" t="s">
        <v>11387</v>
      </c>
      <c r="B11374">
        <v>420</v>
      </c>
      <c r="C11374" s="1" t="str">
        <f>HYPERLINK("http://www.rosaceae.org/gb/gbrowse/malus_x_domestica/?name=MDP0000265416","MDP0000265416")</f>
        <v>MDP0000265416</v>
      </c>
      <c r="D11374">
        <v>25.79</v>
      </c>
      <c r="E11374">
        <v>252</v>
      </c>
      <c r="F11374">
        <v>187</v>
      </c>
      <c r="G11374">
        <v>59</v>
      </c>
      <c r="H11374">
        <v>46</v>
      </c>
      <c r="I11374">
        <v>265</v>
      </c>
      <c r="J11374">
        <v>1</v>
      </c>
      <c r="K11374">
        <v>2</v>
      </c>
      <c r="L11374">
        <v>226</v>
      </c>
      <c r="M11374">
        <v>1</v>
      </c>
      <c r="N11374">
        <v>4.7486800000000003E-11</v>
      </c>
      <c r="O11374">
        <v>161</v>
      </c>
    </row>
    <row r="11375" spans="1:15" x14ac:dyDescent="0.25">
      <c r="A11375" t="s">
        <v>11388</v>
      </c>
      <c r="B11375">
        <v>551</v>
      </c>
      <c r="C11375" s="1" t="str">
        <f>HYPERLINK("http://www.rosaceae.org/gb/gbrowse/malus_x_domestica/?name=MDP0000228868","MDP0000228868")</f>
        <v>MDP0000228868</v>
      </c>
      <c r="D11375">
        <v>27.1</v>
      </c>
      <c r="E11375">
        <v>214</v>
      </c>
      <c r="F11375">
        <v>156</v>
      </c>
      <c r="G11375">
        <v>8</v>
      </c>
      <c r="H11375">
        <v>4</v>
      </c>
      <c r="I11375">
        <v>216</v>
      </c>
      <c r="J11375">
        <v>1</v>
      </c>
      <c r="K11375">
        <v>585</v>
      </c>
      <c r="L11375">
        <v>791</v>
      </c>
      <c r="M11375">
        <v>1</v>
      </c>
      <c r="N11375">
        <v>6.5221999999999995E-20</v>
      </c>
      <c r="O11375">
        <v>239</v>
      </c>
    </row>
    <row r="11376" spans="1:15" x14ac:dyDescent="0.25">
      <c r="A11376" t="s">
        <v>11389</v>
      </c>
      <c r="B11376">
        <v>319</v>
      </c>
      <c r="C11376" s="1" t="str">
        <f>HYPERLINK("http://www.rosaceae.org/gb/gbrowse/malus_x_domestica/?name=MDP0000905924","MDP0000905924")</f>
        <v>MDP0000905924</v>
      </c>
      <c r="D11376">
        <v>83.9</v>
      </c>
      <c r="E11376">
        <v>87</v>
      </c>
      <c r="F11376">
        <v>14</v>
      </c>
      <c r="G11376">
        <v>0</v>
      </c>
      <c r="H11376">
        <v>156</v>
      </c>
      <c r="I11376">
        <v>242</v>
      </c>
      <c r="J11376">
        <v>1</v>
      </c>
      <c r="K11376">
        <v>164</v>
      </c>
      <c r="L11376">
        <v>250</v>
      </c>
      <c r="M11376">
        <v>1</v>
      </c>
      <c r="N11376">
        <v>3.0651100000000003E-39</v>
      </c>
      <c r="O11376">
        <v>403</v>
      </c>
    </row>
    <row r="11377" spans="1:15" x14ac:dyDescent="0.25">
      <c r="A11377" t="s">
        <v>11390</v>
      </c>
      <c r="B11377">
        <v>364</v>
      </c>
      <c r="C11377" s="1" t="str">
        <f>HYPERLINK("http://www.rosaceae.org/gb/gbrowse/malus_x_domestica/?name=MDP0000439832","MDP0000439832")</f>
        <v>MDP0000439832</v>
      </c>
      <c r="D11377">
        <v>72.72</v>
      </c>
      <c r="E11377">
        <v>363</v>
      </c>
      <c r="F11377">
        <v>99</v>
      </c>
      <c r="G11377">
        <v>2</v>
      </c>
      <c r="H11377">
        <v>1</v>
      </c>
      <c r="I11377">
        <v>362</v>
      </c>
      <c r="J11377">
        <v>1</v>
      </c>
      <c r="K11377">
        <v>1</v>
      </c>
      <c r="L11377">
        <v>362</v>
      </c>
      <c r="M11377">
        <v>1</v>
      </c>
      <c r="N11377">
        <v>1.46839E-156</v>
      </c>
      <c r="O11377">
        <v>1415</v>
      </c>
    </row>
    <row r="11378" spans="1:15" x14ac:dyDescent="0.25">
      <c r="A11378" t="s">
        <v>11391</v>
      </c>
      <c r="B11378">
        <v>1126</v>
      </c>
      <c r="C11378" s="1" t="str">
        <f>HYPERLINK("http://www.rosaceae.org/gb/gbrowse/malus_x_domestica/?name=MDP0000303291","MDP0000303291")</f>
        <v>MDP0000303291</v>
      </c>
      <c r="D11378">
        <v>70.87</v>
      </c>
      <c r="E11378">
        <v>570</v>
      </c>
      <c r="F11378">
        <v>166</v>
      </c>
      <c r="G11378">
        <v>6</v>
      </c>
      <c r="H11378">
        <v>29</v>
      </c>
      <c r="I11378">
        <v>593</v>
      </c>
      <c r="J11378">
        <v>1</v>
      </c>
      <c r="K11378">
        <v>375</v>
      </c>
      <c r="L11378">
        <v>943</v>
      </c>
      <c r="M11378">
        <v>1</v>
      </c>
      <c r="N11378">
        <v>0</v>
      </c>
      <c r="O11378">
        <v>2022</v>
      </c>
    </row>
    <row r="11379" spans="1:15" x14ac:dyDescent="0.25">
      <c r="A11379" t="s">
        <v>11392</v>
      </c>
      <c r="B11379">
        <v>418</v>
      </c>
      <c r="C11379" s="1" t="str">
        <f>HYPERLINK("http://www.rosaceae.org/gb/gbrowse/malus_x_domestica/?name=MDP0000233085","MDP0000233085")</f>
        <v>MDP0000233085</v>
      </c>
      <c r="D11379">
        <v>52.99</v>
      </c>
      <c r="E11379">
        <v>417</v>
      </c>
      <c r="F11379">
        <v>196</v>
      </c>
      <c r="G11379">
        <v>20</v>
      </c>
      <c r="H11379">
        <v>1</v>
      </c>
      <c r="I11379">
        <v>405</v>
      </c>
      <c r="J11379">
        <v>1</v>
      </c>
      <c r="K11379">
        <v>1</v>
      </c>
      <c r="L11379">
        <v>409</v>
      </c>
      <c r="M11379">
        <v>1</v>
      </c>
      <c r="N11379">
        <v>6.4644600000000003E-105</v>
      </c>
      <c r="O11379">
        <v>970</v>
      </c>
    </row>
    <row r="11380" spans="1:15" x14ac:dyDescent="0.25">
      <c r="A11380" t="s">
        <v>11393</v>
      </c>
      <c r="B11380">
        <v>397</v>
      </c>
      <c r="C11380" s="1" t="str">
        <f>HYPERLINK("http://www.rosaceae.org/gb/gbrowse/malus_x_domestica/?name=MDP0000285103","MDP0000285103")</f>
        <v>MDP0000285103</v>
      </c>
      <c r="D11380">
        <v>41.23</v>
      </c>
      <c r="E11380">
        <v>388</v>
      </c>
      <c r="F11380">
        <v>228</v>
      </c>
      <c r="G11380">
        <v>58</v>
      </c>
      <c r="H11380">
        <v>12</v>
      </c>
      <c r="I11380">
        <v>370</v>
      </c>
      <c r="J11380">
        <v>1</v>
      </c>
      <c r="K11380">
        <v>12</v>
      </c>
      <c r="L11380">
        <v>370</v>
      </c>
      <c r="M11380">
        <v>1</v>
      </c>
      <c r="N11380">
        <v>9.9909300000000002E-61</v>
      </c>
      <c r="O11380">
        <v>589</v>
      </c>
    </row>
    <row r="11381" spans="1:15" x14ac:dyDescent="0.25">
      <c r="A11381" t="s">
        <v>11394</v>
      </c>
      <c r="B11381">
        <v>176</v>
      </c>
      <c r="C11381" s="1" t="str">
        <f>HYPERLINK("http://www.rosaceae.org/gb/gbrowse/malus_x_domestica/?name=MDP0000506266","MDP0000506266")</f>
        <v>MDP0000506266</v>
      </c>
      <c r="D11381">
        <v>45.91</v>
      </c>
      <c r="E11381">
        <v>196</v>
      </c>
      <c r="F11381">
        <v>106</v>
      </c>
      <c r="G11381">
        <v>52</v>
      </c>
      <c r="H11381">
        <v>27</v>
      </c>
      <c r="I11381">
        <v>172</v>
      </c>
      <c r="J11381">
        <v>1</v>
      </c>
      <c r="K11381">
        <v>36</v>
      </c>
      <c r="L11381">
        <v>229</v>
      </c>
      <c r="M11381">
        <v>1</v>
      </c>
      <c r="N11381">
        <v>2.4325800000000001E-33</v>
      </c>
      <c r="O11381">
        <v>348</v>
      </c>
    </row>
    <row r="11382" spans="1:15" x14ac:dyDescent="0.25">
      <c r="A11382" t="s">
        <v>11395</v>
      </c>
      <c r="B11382">
        <v>314</v>
      </c>
      <c r="C11382" s="1" t="str">
        <f>HYPERLINK("http://www.rosaceae.org/gb/gbrowse/malus_x_domestica/?name=MDP0000260399","MDP0000260399")</f>
        <v>MDP0000260399</v>
      </c>
      <c r="D11382">
        <v>71.680000000000007</v>
      </c>
      <c r="E11382">
        <v>166</v>
      </c>
      <c r="F11382">
        <v>47</v>
      </c>
      <c r="G11382">
        <v>12</v>
      </c>
      <c r="H11382">
        <v>72</v>
      </c>
      <c r="I11382">
        <v>225</v>
      </c>
      <c r="J11382">
        <v>1</v>
      </c>
      <c r="K11382">
        <v>78</v>
      </c>
      <c r="L11382">
        <v>243</v>
      </c>
      <c r="M11382">
        <v>1</v>
      </c>
      <c r="N11382">
        <v>5.9929200000000002E-63</v>
      </c>
      <c r="O11382">
        <v>607</v>
      </c>
    </row>
    <row r="11383" spans="1:15" x14ac:dyDescent="0.25">
      <c r="A11383" t="s">
        <v>11396</v>
      </c>
      <c r="B11383">
        <v>881</v>
      </c>
      <c r="C11383" s="1" t="str">
        <f>HYPERLINK("http://www.rosaceae.org/gb/gbrowse/malus_x_domestica/?name=MDP0000595696","MDP0000595696")</f>
        <v>MDP0000595696</v>
      </c>
      <c r="D11383">
        <v>59.27</v>
      </c>
      <c r="E11383">
        <v>523</v>
      </c>
      <c r="F11383">
        <v>213</v>
      </c>
      <c r="G11383">
        <v>63</v>
      </c>
      <c r="H11383">
        <v>1</v>
      </c>
      <c r="I11383">
        <v>513</v>
      </c>
      <c r="J11383">
        <v>1</v>
      </c>
      <c r="K11383">
        <v>1</v>
      </c>
      <c r="L11383">
        <v>470</v>
      </c>
      <c r="M11383">
        <v>1</v>
      </c>
      <c r="N11383">
        <v>1.7109E-154</v>
      </c>
      <c r="O11383">
        <v>1401</v>
      </c>
    </row>
    <row r="11384" spans="1:15" x14ac:dyDescent="0.25">
      <c r="A11384" t="s">
        <v>11397</v>
      </c>
      <c r="B11384">
        <v>355</v>
      </c>
      <c r="C11384" s="1" t="str">
        <f>HYPERLINK("http://www.rosaceae.org/gb/gbrowse/malus_x_domestica/?name=MDP0000176436","MDP0000176436")</f>
        <v>MDP0000176436</v>
      </c>
      <c r="D11384">
        <v>78.12</v>
      </c>
      <c r="E11384">
        <v>352</v>
      </c>
      <c r="F11384">
        <v>77</v>
      </c>
      <c r="G11384">
        <v>37</v>
      </c>
      <c r="H11384">
        <v>26</v>
      </c>
      <c r="I11384">
        <v>340</v>
      </c>
      <c r="J11384">
        <v>1</v>
      </c>
      <c r="K11384">
        <v>21</v>
      </c>
      <c r="L11384">
        <v>372</v>
      </c>
      <c r="M11384">
        <v>1</v>
      </c>
      <c r="N11384">
        <v>1.41572E-160</v>
      </c>
      <c r="O11384">
        <v>1450</v>
      </c>
    </row>
    <row r="11385" spans="1:15" x14ac:dyDescent="0.25">
      <c r="A11385" t="s">
        <v>11398</v>
      </c>
      <c r="B11385">
        <v>300</v>
      </c>
      <c r="C11385" s="1" t="str">
        <f>HYPERLINK("http://www.rosaceae.org/gb/gbrowse/malus_x_domestica/?name=MDP0000270789","MDP0000270789")</f>
        <v>MDP0000270789</v>
      </c>
      <c r="D11385">
        <v>63.35</v>
      </c>
      <c r="E11385">
        <v>292</v>
      </c>
      <c r="F11385">
        <v>107</v>
      </c>
      <c r="G11385">
        <v>26</v>
      </c>
      <c r="H11385">
        <v>18</v>
      </c>
      <c r="I11385">
        <v>294</v>
      </c>
      <c r="J11385">
        <v>1</v>
      </c>
      <c r="K11385">
        <v>20</v>
      </c>
      <c r="L11385">
        <v>300</v>
      </c>
      <c r="M11385">
        <v>1</v>
      </c>
      <c r="N11385">
        <v>9.0775000000000004E-92</v>
      </c>
      <c r="O11385">
        <v>855</v>
      </c>
    </row>
    <row r="11386" spans="1:15" x14ac:dyDescent="0.25">
      <c r="A11386" t="s">
        <v>11399</v>
      </c>
      <c r="B11386">
        <v>304</v>
      </c>
      <c r="C11386" s="1" t="str">
        <f>HYPERLINK("http://www.rosaceae.org/gb/gbrowse/malus_x_domestica/?name=MDP0000202279","MDP0000202279")</f>
        <v>MDP0000202279</v>
      </c>
      <c r="D11386">
        <v>53.37</v>
      </c>
      <c r="E11386">
        <v>356</v>
      </c>
      <c r="F11386">
        <v>166</v>
      </c>
      <c r="G11386">
        <v>96</v>
      </c>
      <c r="H11386">
        <v>1</v>
      </c>
      <c r="I11386">
        <v>304</v>
      </c>
      <c r="J11386">
        <v>1</v>
      </c>
      <c r="K11386">
        <v>1</v>
      </c>
      <c r="L11386">
        <v>312</v>
      </c>
      <c r="M11386">
        <v>1</v>
      </c>
      <c r="N11386">
        <v>1.1689099999999999E-94</v>
      </c>
      <c r="O11386">
        <v>880</v>
      </c>
    </row>
    <row r="11387" spans="1:15" x14ac:dyDescent="0.25">
      <c r="A11387" t="s">
        <v>11400</v>
      </c>
      <c r="B11387">
        <v>135</v>
      </c>
      <c r="C11387" s="1" t="str">
        <f>HYPERLINK("http://www.rosaceae.org/gb/gbrowse/malus_x_domestica/?name=MDP0000161595","MDP0000161595")</f>
        <v>MDP0000161595</v>
      </c>
      <c r="D11387">
        <v>75.599999999999994</v>
      </c>
      <c r="E11387">
        <v>123</v>
      </c>
      <c r="F11387">
        <v>30</v>
      </c>
      <c r="G11387">
        <v>8</v>
      </c>
      <c r="H11387">
        <v>13</v>
      </c>
      <c r="I11387">
        <v>135</v>
      </c>
      <c r="J11387">
        <v>1</v>
      </c>
      <c r="K11387">
        <v>133</v>
      </c>
      <c r="L11387">
        <v>247</v>
      </c>
      <c r="M11387">
        <v>1</v>
      </c>
      <c r="N11387">
        <v>1.61224E-49</v>
      </c>
      <c r="O11387">
        <v>485</v>
      </c>
    </row>
    <row r="11388" spans="1:15" x14ac:dyDescent="0.25">
      <c r="A11388" t="s">
        <v>11401</v>
      </c>
      <c r="B11388">
        <v>805</v>
      </c>
      <c r="C11388" s="1" t="str">
        <f>HYPERLINK("http://www.rosaceae.org/gb/gbrowse/malus_x_domestica/?name=MDP0000303722","MDP0000303722")</f>
        <v>MDP0000303722</v>
      </c>
      <c r="D11388">
        <v>54.81</v>
      </c>
      <c r="E11388">
        <v>436</v>
      </c>
      <c r="F11388">
        <v>197</v>
      </c>
      <c r="G11388">
        <v>96</v>
      </c>
      <c r="H11388">
        <v>411</v>
      </c>
      <c r="I11388">
        <v>750</v>
      </c>
      <c r="J11388">
        <v>1</v>
      </c>
      <c r="K11388">
        <v>2</v>
      </c>
      <c r="L11388">
        <v>437</v>
      </c>
      <c r="M11388">
        <v>1</v>
      </c>
      <c r="N11388">
        <v>2.7747500000000001E-113</v>
      </c>
      <c r="O11388">
        <v>1045</v>
      </c>
    </row>
    <row r="11389" spans="1:15" x14ac:dyDescent="0.25">
      <c r="A11389" t="s">
        <v>11402</v>
      </c>
      <c r="B11389">
        <v>332</v>
      </c>
      <c r="C11389" s="1" t="str">
        <f>HYPERLINK("http://www.rosaceae.org/gb/gbrowse/malus_x_domestica/?name=MDP0000249827","MDP0000249827")</f>
        <v>MDP0000249827</v>
      </c>
      <c r="D11389">
        <v>54.48</v>
      </c>
      <c r="E11389">
        <v>290</v>
      </c>
      <c r="F11389">
        <v>132</v>
      </c>
      <c r="G11389">
        <v>32</v>
      </c>
      <c r="H11389">
        <v>67</v>
      </c>
      <c r="I11389">
        <v>331</v>
      </c>
      <c r="J11389">
        <v>1</v>
      </c>
      <c r="K11389">
        <v>98</v>
      </c>
      <c r="L11389">
        <v>380</v>
      </c>
      <c r="M11389">
        <v>1</v>
      </c>
      <c r="N11389">
        <v>3.0385499999999998E-70</v>
      </c>
      <c r="O11389">
        <v>670</v>
      </c>
    </row>
    <row r="11390" spans="1:15" x14ac:dyDescent="0.25">
      <c r="A11390" t="s">
        <v>11403</v>
      </c>
      <c r="B11390">
        <v>1094</v>
      </c>
      <c r="C11390" s="1" t="str">
        <f>HYPERLINK("http://www.rosaceae.org/gb/gbrowse/malus_x_domestica/?name=MDP0000612208","MDP0000612208")</f>
        <v>MDP0000612208</v>
      </c>
      <c r="D11390">
        <v>59.98</v>
      </c>
      <c r="E11390">
        <v>1132</v>
      </c>
      <c r="F11390">
        <v>453</v>
      </c>
      <c r="G11390">
        <v>58</v>
      </c>
      <c r="H11390">
        <v>13</v>
      </c>
      <c r="I11390">
        <v>1089</v>
      </c>
      <c r="J11390">
        <v>1</v>
      </c>
      <c r="K11390">
        <v>18</v>
      </c>
      <c r="L11390">
        <v>1146</v>
      </c>
      <c r="M11390">
        <v>1</v>
      </c>
      <c r="N11390">
        <v>0</v>
      </c>
      <c r="O11390">
        <v>3338</v>
      </c>
    </row>
    <row r="11391" spans="1:15" x14ac:dyDescent="0.25">
      <c r="A11391" t="s">
        <v>11404</v>
      </c>
      <c r="B11391">
        <v>233</v>
      </c>
      <c r="C11391" s="1" t="str">
        <f>HYPERLINK("http://www.rosaceae.org/gb/gbrowse/malus_x_domestica/?name=MDP0000273588","MDP0000273588")</f>
        <v>MDP0000273588</v>
      </c>
      <c r="D11391">
        <v>73.12</v>
      </c>
      <c r="E11391">
        <v>227</v>
      </c>
      <c r="F11391">
        <v>61</v>
      </c>
      <c r="G11391">
        <v>0</v>
      </c>
      <c r="H11391">
        <v>1</v>
      </c>
      <c r="I11391">
        <v>227</v>
      </c>
      <c r="J11391">
        <v>1</v>
      </c>
      <c r="K11391">
        <v>1</v>
      </c>
      <c r="L11391">
        <v>227</v>
      </c>
      <c r="M11391">
        <v>1</v>
      </c>
      <c r="N11391">
        <v>6.1363200000000001E-97</v>
      </c>
      <c r="O11391">
        <v>899</v>
      </c>
    </row>
    <row r="11392" spans="1:15" x14ac:dyDescent="0.25">
      <c r="A11392" t="s">
        <v>11405</v>
      </c>
      <c r="B11392">
        <v>246</v>
      </c>
      <c r="C11392" s="1" t="str">
        <f>HYPERLINK("http://www.rosaceae.org/gb/gbrowse/malus_x_domestica/?name=MDP0000265970","MDP0000265970")</f>
        <v>MDP0000265970</v>
      </c>
      <c r="D11392">
        <v>52.65</v>
      </c>
      <c r="E11392">
        <v>207</v>
      </c>
      <c r="F11392">
        <v>98</v>
      </c>
      <c r="G11392">
        <v>11</v>
      </c>
      <c r="H11392">
        <v>37</v>
      </c>
      <c r="I11392">
        <v>243</v>
      </c>
      <c r="J11392">
        <v>1</v>
      </c>
      <c r="K11392">
        <v>32</v>
      </c>
      <c r="L11392">
        <v>227</v>
      </c>
      <c r="M11392">
        <v>1</v>
      </c>
      <c r="N11392">
        <v>1.15188E-51</v>
      </c>
      <c r="O11392">
        <v>508</v>
      </c>
    </row>
    <row r="11393" spans="1:15" x14ac:dyDescent="0.25">
      <c r="A11393" t="s">
        <v>11406</v>
      </c>
      <c r="B11393">
        <v>405</v>
      </c>
      <c r="C11393" s="1" t="str">
        <f>HYPERLINK("http://www.rosaceae.org/gb/gbrowse/malus_x_domestica/?name=MDP0000268505","MDP0000268505")</f>
        <v>MDP0000268505</v>
      </c>
      <c r="D11393">
        <v>88.52</v>
      </c>
      <c r="E11393">
        <v>366</v>
      </c>
      <c r="F11393">
        <v>42</v>
      </c>
      <c r="G11393">
        <v>0</v>
      </c>
      <c r="H11393">
        <v>13</v>
      </c>
      <c r="I11393">
        <v>378</v>
      </c>
      <c r="J11393">
        <v>1</v>
      </c>
      <c r="K11393">
        <v>1</v>
      </c>
      <c r="L11393">
        <v>366</v>
      </c>
      <c r="M11393">
        <v>1</v>
      </c>
      <c r="N11393">
        <v>0</v>
      </c>
      <c r="O11393">
        <v>1720</v>
      </c>
    </row>
    <row r="11394" spans="1:15" x14ac:dyDescent="0.25">
      <c r="A11394" t="s">
        <v>11407</v>
      </c>
      <c r="B11394">
        <v>662</v>
      </c>
      <c r="C11394" s="1" t="str">
        <f>HYPERLINK("http://www.rosaceae.org/gb/gbrowse/malus_x_domestica/?name=MDP0000270414","MDP0000270414")</f>
        <v>MDP0000270414</v>
      </c>
      <c r="D11394">
        <v>78.2</v>
      </c>
      <c r="E11394">
        <v>413</v>
      </c>
      <c r="F11394">
        <v>90</v>
      </c>
      <c r="G11394">
        <v>19</v>
      </c>
      <c r="H11394">
        <v>257</v>
      </c>
      <c r="I11394">
        <v>657</v>
      </c>
      <c r="J11394">
        <v>1</v>
      </c>
      <c r="K11394">
        <v>300</v>
      </c>
      <c r="L11394">
        <v>705</v>
      </c>
      <c r="M11394">
        <v>1</v>
      </c>
      <c r="N11394">
        <v>0</v>
      </c>
      <c r="O11394">
        <v>1628</v>
      </c>
    </row>
    <row r="11395" spans="1:15" x14ac:dyDescent="0.25">
      <c r="A11395" t="s">
        <v>11408</v>
      </c>
      <c r="B11395">
        <v>282</v>
      </c>
      <c r="C11395" s="1" t="str">
        <f>HYPERLINK("http://www.rosaceae.org/gb/gbrowse/malus_x_domestica/?name=MDP0000318279","MDP0000318279")</f>
        <v>MDP0000318279</v>
      </c>
      <c r="D11395">
        <v>30.9</v>
      </c>
      <c r="E11395">
        <v>110</v>
      </c>
      <c r="F11395">
        <v>76</v>
      </c>
      <c r="G11395">
        <v>7</v>
      </c>
      <c r="H11395">
        <v>134</v>
      </c>
      <c r="I11395">
        <v>243</v>
      </c>
      <c r="J11395">
        <v>1</v>
      </c>
      <c r="K11395">
        <v>147</v>
      </c>
      <c r="L11395">
        <v>249</v>
      </c>
      <c r="M11395">
        <v>1</v>
      </c>
      <c r="N11395">
        <v>1.0237E-11</v>
      </c>
      <c r="O11395">
        <v>165</v>
      </c>
    </row>
    <row r="11396" spans="1:15" x14ac:dyDescent="0.25">
      <c r="A11396" t="s">
        <v>11409</v>
      </c>
      <c r="B11396">
        <v>437</v>
      </c>
      <c r="C11396" s="1" t="str">
        <f>HYPERLINK("http://www.rosaceae.org/gb/gbrowse/malus_x_domestica/?name=MDP0000247921","MDP0000247921")</f>
        <v>MDP0000247921</v>
      </c>
      <c r="D11396">
        <v>28.3</v>
      </c>
      <c r="E11396">
        <v>265</v>
      </c>
      <c r="F11396">
        <v>190</v>
      </c>
      <c r="G11396">
        <v>57</v>
      </c>
      <c r="H11396">
        <v>1</v>
      </c>
      <c r="I11396">
        <v>208</v>
      </c>
      <c r="J11396">
        <v>1</v>
      </c>
      <c r="K11396">
        <v>580</v>
      </c>
      <c r="L11396">
        <v>844</v>
      </c>
      <c r="M11396">
        <v>1</v>
      </c>
      <c r="N11396">
        <v>4.9869499999999998E-24</v>
      </c>
      <c r="O11396">
        <v>273</v>
      </c>
    </row>
    <row r="11397" spans="1:15" x14ac:dyDescent="0.25">
      <c r="A11397" t="s">
        <v>11410</v>
      </c>
      <c r="B11397">
        <v>1123</v>
      </c>
      <c r="C11397" s="1" t="str">
        <f>HYPERLINK("http://www.rosaceae.org/gb/gbrowse/malus_x_domestica/?name=MDP0000202391","MDP0000202391")</f>
        <v>MDP0000202391</v>
      </c>
      <c r="D11397">
        <v>57.59</v>
      </c>
      <c r="E11397">
        <v>948</v>
      </c>
      <c r="F11397">
        <v>402</v>
      </c>
      <c r="G11397">
        <v>64</v>
      </c>
      <c r="H11397">
        <v>12</v>
      </c>
      <c r="I11397">
        <v>908</v>
      </c>
      <c r="J11397">
        <v>1</v>
      </c>
      <c r="K11397">
        <v>16</v>
      </c>
      <c r="L11397">
        <v>950</v>
      </c>
      <c r="M11397">
        <v>1</v>
      </c>
      <c r="N11397">
        <v>0</v>
      </c>
      <c r="O11397">
        <v>2718</v>
      </c>
    </row>
    <row r="11398" spans="1:15" x14ac:dyDescent="0.25">
      <c r="A11398" t="s">
        <v>11411</v>
      </c>
      <c r="B11398">
        <v>374</v>
      </c>
      <c r="C11398" s="1" t="str">
        <f>HYPERLINK("http://www.rosaceae.org/gb/gbrowse/malus_x_domestica/?name=MDP0000181681","MDP0000181681")</f>
        <v>MDP0000181681</v>
      </c>
      <c r="D11398">
        <v>41.14</v>
      </c>
      <c r="E11398">
        <v>384</v>
      </c>
      <c r="F11398">
        <v>226</v>
      </c>
      <c r="G11398">
        <v>48</v>
      </c>
      <c r="H11398">
        <v>21</v>
      </c>
      <c r="I11398">
        <v>370</v>
      </c>
      <c r="J11398">
        <v>1</v>
      </c>
      <c r="K11398">
        <v>24</v>
      </c>
      <c r="L11398">
        <v>393</v>
      </c>
      <c r="M11398">
        <v>1</v>
      </c>
      <c r="N11398">
        <v>9.8278300000000005E-61</v>
      </c>
      <c r="O11398">
        <v>589</v>
      </c>
    </row>
    <row r="11399" spans="1:15" x14ac:dyDescent="0.25">
      <c r="A11399" t="s">
        <v>11412</v>
      </c>
      <c r="B11399">
        <v>489</v>
      </c>
      <c r="C11399" s="1" t="str">
        <f>HYPERLINK("http://www.rosaceae.org/gb/gbrowse/malus_x_domestica/?name=MDP0000010597","MDP0000010597")</f>
        <v>MDP0000010597</v>
      </c>
      <c r="D11399">
        <v>78.95</v>
      </c>
      <c r="E11399">
        <v>480</v>
      </c>
      <c r="F11399">
        <v>101</v>
      </c>
      <c r="G11399">
        <v>11</v>
      </c>
      <c r="H11399">
        <v>1</v>
      </c>
      <c r="I11399">
        <v>475</v>
      </c>
      <c r="J11399">
        <v>1</v>
      </c>
      <c r="K11399">
        <v>1</v>
      </c>
      <c r="L11399">
        <v>474</v>
      </c>
      <c r="M11399">
        <v>1</v>
      </c>
      <c r="N11399">
        <v>0</v>
      </c>
      <c r="O11399">
        <v>2055</v>
      </c>
    </row>
    <row r="11400" spans="1:15" x14ac:dyDescent="0.25">
      <c r="A11400" t="s">
        <v>11413</v>
      </c>
      <c r="B11400">
        <v>614</v>
      </c>
      <c r="C11400" s="1" t="str">
        <f>HYPERLINK("http://www.rosaceae.org/gb/gbrowse/malus_x_domestica/?name=MDP0000194880","MDP0000194880")</f>
        <v>MDP0000194880</v>
      </c>
      <c r="D11400">
        <v>77.12</v>
      </c>
      <c r="E11400">
        <v>634</v>
      </c>
      <c r="F11400">
        <v>145</v>
      </c>
      <c r="G11400">
        <v>48</v>
      </c>
      <c r="H11400">
        <v>1</v>
      </c>
      <c r="I11400">
        <v>598</v>
      </c>
      <c r="J11400">
        <v>1</v>
      </c>
      <c r="K11400">
        <v>53</v>
      </c>
      <c r="L11400">
        <v>674</v>
      </c>
      <c r="M11400">
        <v>1</v>
      </c>
      <c r="N11400">
        <v>0</v>
      </c>
      <c r="O11400">
        <v>2593</v>
      </c>
    </row>
    <row r="11401" spans="1:15" x14ac:dyDescent="0.25">
      <c r="A11401" t="s">
        <v>11414</v>
      </c>
      <c r="B11401">
        <v>146</v>
      </c>
      <c r="C11401" s="1" t="str">
        <f>HYPERLINK("http://www.rosaceae.org/gb/gbrowse/malus_x_domestica/?name=MDP0000124256","MDP0000124256")</f>
        <v>MDP0000124256</v>
      </c>
      <c r="D11401">
        <v>40.47</v>
      </c>
      <c r="E11401">
        <v>126</v>
      </c>
      <c r="F11401">
        <v>75</v>
      </c>
      <c r="G11401">
        <v>0</v>
      </c>
      <c r="H11401">
        <v>10</v>
      </c>
      <c r="I11401">
        <v>135</v>
      </c>
      <c r="J11401">
        <v>1</v>
      </c>
      <c r="K11401">
        <v>80</v>
      </c>
      <c r="L11401">
        <v>205</v>
      </c>
      <c r="M11401">
        <v>1</v>
      </c>
      <c r="N11401">
        <v>8.4701199999999997E-23</v>
      </c>
      <c r="O11401">
        <v>256</v>
      </c>
    </row>
    <row r="11402" spans="1:15" x14ac:dyDescent="0.25">
      <c r="A11402" t="s">
        <v>11415</v>
      </c>
      <c r="B11402">
        <v>169</v>
      </c>
      <c r="C11402" s="1" t="str">
        <f>HYPERLINK("http://www.rosaceae.org/gb/gbrowse/malus_x_domestica/?name=MDP0000205603","MDP0000205603")</f>
        <v>MDP0000205603</v>
      </c>
      <c r="D11402">
        <v>30.96</v>
      </c>
      <c r="E11402">
        <v>155</v>
      </c>
      <c r="F11402">
        <v>107</v>
      </c>
      <c r="G11402">
        <v>1</v>
      </c>
      <c r="H11402">
        <v>1</v>
      </c>
      <c r="I11402">
        <v>155</v>
      </c>
      <c r="J11402">
        <v>1</v>
      </c>
      <c r="K11402">
        <v>283</v>
      </c>
      <c r="L11402">
        <v>436</v>
      </c>
      <c r="M11402">
        <v>1</v>
      </c>
      <c r="N11402">
        <v>1.5176299999999999E-19</v>
      </c>
      <c r="O11402">
        <v>229</v>
      </c>
    </row>
    <row r="11403" spans="1:15" x14ac:dyDescent="0.25">
      <c r="A11403" t="s">
        <v>11416</v>
      </c>
      <c r="B11403">
        <v>481</v>
      </c>
      <c r="C11403" s="1" t="str">
        <f>HYPERLINK("http://www.rosaceae.org/gb/gbrowse/malus_x_domestica/?name=MDP0000565238","MDP0000565238")</f>
        <v>MDP0000565238</v>
      </c>
      <c r="D11403">
        <v>58.24</v>
      </c>
      <c r="E11403">
        <v>491</v>
      </c>
      <c r="F11403">
        <v>205</v>
      </c>
      <c r="G11403">
        <v>47</v>
      </c>
      <c r="H11403">
        <v>8</v>
      </c>
      <c r="I11403">
        <v>452</v>
      </c>
      <c r="J11403">
        <v>1</v>
      </c>
      <c r="K11403">
        <v>10</v>
      </c>
      <c r="L11403">
        <v>499</v>
      </c>
      <c r="M11403">
        <v>1</v>
      </c>
      <c r="N11403">
        <v>3.0634999999999998E-156</v>
      </c>
      <c r="O11403">
        <v>1414</v>
      </c>
    </row>
    <row r="11404" spans="1:15" x14ac:dyDescent="0.25">
      <c r="A11404" t="s">
        <v>11417</v>
      </c>
      <c r="B11404">
        <v>283</v>
      </c>
      <c r="C11404" s="1" t="str">
        <f>HYPERLINK("http://www.rosaceae.org/gb/gbrowse/malus_x_domestica/?name=MDP0000405894","MDP0000405894")</f>
        <v>MDP0000405894</v>
      </c>
      <c r="D11404">
        <v>54.74</v>
      </c>
      <c r="E11404">
        <v>274</v>
      </c>
      <c r="F11404">
        <v>124</v>
      </c>
      <c r="G11404">
        <v>9</v>
      </c>
      <c r="H11404">
        <v>1</v>
      </c>
      <c r="I11404">
        <v>267</v>
      </c>
      <c r="J11404">
        <v>1</v>
      </c>
      <c r="K11404">
        <v>454</v>
      </c>
      <c r="L11404">
        <v>725</v>
      </c>
      <c r="M11404">
        <v>1</v>
      </c>
      <c r="N11404">
        <v>2.8947099999999998E-71</v>
      </c>
      <c r="O11404">
        <v>678</v>
      </c>
    </row>
    <row r="11405" spans="1:15" x14ac:dyDescent="0.25">
      <c r="A11405" t="s">
        <v>11418</v>
      </c>
      <c r="B11405">
        <v>85</v>
      </c>
      <c r="C11405" s="1" t="str">
        <f>HYPERLINK("http://www.rosaceae.org/gb/gbrowse/malus_x_domestica/?name=MDP0000219706","MDP0000219706")</f>
        <v>MDP0000219706</v>
      </c>
      <c r="D11405">
        <v>41.79</v>
      </c>
      <c r="E11405">
        <v>67</v>
      </c>
      <c r="F11405">
        <v>39</v>
      </c>
      <c r="G11405">
        <v>8</v>
      </c>
      <c r="H11405">
        <v>11</v>
      </c>
      <c r="I11405">
        <v>77</v>
      </c>
      <c r="J11405">
        <v>1</v>
      </c>
      <c r="K11405">
        <v>464</v>
      </c>
      <c r="L11405">
        <v>522</v>
      </c>
      <c r="M11405">
        <v>1</v>
      </c>
      <c r="N11405">
        <v>7.7210799999999999E-7</v>
      </c>
      <c r="O11405">
        <v>116</v>
      </c>
    </row>
    <row r="11406" spans="1:15" x14ac:dyDescent="0.25">
      <c r="A11406" t="s">
        <v>11419</v>
      </c>
      <c r="B11406">
        <v>408</v>
      </c>
      <c r="C11406" s="1" t="str">
        <f>HYPERLINK("http://www.rosaceae.org/gb/gbrowse/malus_x_domestica/?name=MDP0000725634","MDP0000725634")</f>
        <v>MDP0000725634</v>
      </c>
      <c r="D11406">
        <v>33.18</v>
      </c>
      <c r="E11406">
        <v>226</v>
      </c>
      <c r="F11406">
        <v>151</v>
      </c>
      <c r="G11406">
        <v>5</v>
      </c>
      <c r="H11406">
        <v>175</v>
      </c>
      <c r="I11406">
        <v>396</v>
      </c>
      <c r="J11406">
        <v>1</v>
      </c>
      <c r="K11406">
        <v>192</v>
      </c>
      <c r="L11406">
        <v>416</v>
      </c>
      <c r="M11406">
        <v>1</v>
      </c>
      <c r="N11406">
        <v>3.6020699999999998E-24</v>
      </c>
      <c r="O11406">
        <v>274</v>
      </c>
    </row>
    <row r="11407" spans="1:15" x14ac:dyDescent="0.25">
      <c r="A11407" t="s">
        <v>11420</v>
      </c>
      <c r="B11407">
        <v>291</v>
      </c>
      <c r="C11407" s="1" t="str">
        <f>HYPERLINK("http://www.rosaceae.org/gb/gbrowse/malus_x_domestica/?name=MDP0000060858","MDP0000060858")</f>
        <v>MDP0000060858</v>
      </c>
      <c r="D11407">
        <v>97.52</v>
      </c>
      <c r="E11407">
        <v>283</v>
      </c>
      <c r="F11407">
        <v>7</v>
      </c>
      <c r="G11407">
        <v>1</v>
      </c>
      <c r="H11407">
        <v>9</v>
      </c>
      <c r="I11407">
        <v>291</v>
      </c>
      <c r="J11407">
        <v>1</v>
      </c>
      <c r="K11407">
        <v>22</v>
      </c>
      <c r="L11407">
        <v>303</v>
      </c>
      <c r="M11407">
        <v>1</v>
      </c>
      <c r="N11407">
        <v>9.1428100000000002E-165</v>
      </c>
      <c r="O11407">
        <v>1485</v>
      </c>
    </row>
    <row r="11408" spans="1:15" x14ac:dyDescent="0.25">
      <c r="A11408" t="s">
        <v>11421</v>
      </c>
      <c r="B11408">
        <v>107</v>
      </c>
      <c r="C11408" s="1" t="str">
        <f>HYPERLINK("http://www.rosaceae.org/gb/gbrowse/malus_x_domestica/?name=MDP0000273989","MDP0000273989")</f>
        <v>MDP0000273989</v>
      </c>
      <c r="D11408">
        <v>42.85</v>
      </c>
      <c r="E11408">
        <v>70</v>
      </c>
      <c r="F11408">
        <v>40</v>
      </c>
      <c r="G11408">
        <v>6</v>
      </c>
      <c r="H11408">
        <v>40</v>
      </c>
      <c r="I11408">
        <v>103</v>
      </c>
      <c r="J11408">
        <v>1</v>
      </c>
      <c r="K11408">
        <v>181</v>
      </c>
      <c r="L11408">
        <v>250</v>
      </c>
      <c r="M11408">
        <v>1</v>
      </c>
      <c r="N11408">
        <v>4.2732200000000003E-9</v>
      </c>
      <c r="O11408">
        <v>136</v>
      </c>
    </row>
    <row r="11409" spans="1:15" x14ac:dyDescent="0.25">
      <c r="A11409" t="s">
        <v>11422</v>
      </c>
      <c r="B11409">
        <v>380</v>
      </c>
      <c r="C11409" s="1" t="str">
        <f>HYPERLINK("http://www.rosaceae.org/gb/gbrowse/malus_x_domestica/?name=MDP0000127807","MDP0000127807")</f>
        <v>MDP0000127807</v>
      </c>
      <c r="D11409">
        <v>61.49</v>
      </c>
      <c r="E11409">
        <v>374</v>
      </c>
      <c r="F11409">
        <v>144</v>
      </c>
      <c r="G11409">
        <v>44</v>
      </c>
      <c r="H11409">
        <v>1</v>
      </c>
      <c r="I11409">
        <v>358</v>
      </c>
      <c r="J11409">
        <v>1</v>
      </c>
      <c r="K11409">
        <v>13</v>
      </c>
      <c r="L11409">
        <v>358</v>
      </c>
      <c r="M11409">
        <v>1</v>
      </c>
      <c r="N11409">
        <v>1.4878E-116</v>
      </c>
      <c r="O11409">
        <v>1070</v>
      </c>
    </row>
    <row r="11410" spans="1:15" x14ac:dyDescent="0.25">
      <c r="A11410" t="s">
        <v>11423</v>
      </c>
      <c r="B11410">
        <v>545</v>
      </c>
      <c r="C11410" s="1" t="str">
        <f>HYPERLINK("http://www.rosaceae.org/gb/gbrowse/malus_x_domestica/?name=MDP0000878686","MDP0000878686")</f>
        <v>MDP0000878686</v>
      </c>
      <c r="D11410">
        <v>33.78</v>
      </c>
      <c r="E11410">
        <v>447</v>
      </c>
      <c r="F11410">
        <v>296</v>
      </c>
      <c r="G11410">
        <v>113</v>
      </c>
      <c r="H11410">
        <v>140</v>
      </c>
      <c r="I11410">
        <v>545</v>
      </c>
      <c r="J11410">
        <v>1</v>
      </c>
      <c r="K11410">
        <v>2</v>
      </c>
      <c r="L11410">
        <v>376</v>
      </c>
      <c r="M11410">
        <v>1</v>
      </c>
      <c r="N11410">
        <v>6.0807900000000002E-42</v>
      </c>
      <c r="O11410">
        <v>429</v>
      </c>
    </row>
    <row r="11411" spans="1:15" x14ac:dyDescent="0.25">
      <c r="A11411" t="s">
        <v>11424</v>
      </c>
      <c r="B11411">
        <v>1036</v>
      </c>
      <c r="C11411" s="1" t="str">
        <f>HYPERLINK("http://www.rosaceae.org/gb/gbrowse/malus_x_domestica/?name=MDP0000298253","MDP0000298253")</f>
        <v>MDP0000298253</v>
      </c>
      <c r="D11411">
        <v>50.83</v>
      </c>
      <c r="E11411">
        <v>600</v>
      </c>
      <c r="F11411">
        <v>295</v>
      </c>
      <c r="G11411">
        <v>128</v>
      </c>
      <c r="H11411">
        <v>209</v>
      </c>
      <c r="I11411">
        <v>768</v>
      </c>
      <c r="J11411">
        <v>1</v>
      </c>
      <c r="K11411">
        <v>20</v>
      </c>
      <c r="L11411">
        <v>531</v>
      </c>
      <c r="M11411">
        <v>1</v>
      </c>
      <c r="N11411">
        <v>2.6251399999999998E-140</v>
      </c>
      <c r="O11411">
        <v>1280</v>
      </c>
    </row>
    <row r="11412" spans="1:15" x14ac:dyDescent="0.25">
      <c r="A11412" t="s">
        <v>11425</v>
      </c>
      <c r="B11412">
        <v>717</v>
      </c>
      <c r="C11412" s="1" t="str">
        <f>HYPERLINK("http://www.rosaceae.org/gb/gbrowse/malus_x_domestica/?name=MDP0000421959","MDP0000421959")</f>
        <v>MDP0000421959</v>
      </c>
      <c r="D11412">
        <v>81.37</v>
      </c>
      <c r="E11412">
        <v>714</v>
      </c>
      <c r="F11412">
        <v>133</v>
      </c>
      <c r="G11412">
        <v>3</v>
      </c>
      <c r="H11412">
        <v>1</v>
      </c>
      <c r="I11412">
        <v>714</v>
      </c>
      <c r="J11412">
        <v>1</v>
      </c>
      <c r="K11412">
        <v>1</v>
      </c>
      <c r="L11412">
        <v>711</v>
      </c>
      <c r="M11412">
        <v>1</v>
      </c>
      <c r="N11412">
        <v>0</v>
      </c>
      <c r="O11412">
        <v>3027</v>
      </c>
    </row>
    <row r="11413" spans="1:15" x14ac:dyDescent="0.25">
      <c r="A11413" t="s">
        <v>11426</v>
      </c>
      <c r="B11413">
        <v>51</v>
      </c>
      <c r="C11413" s="1" t="str">
        <f>HYPERLINK("http://www.rosaceae.org/gb/gbrowse/malus_x_domestica/?name=MDP0000555752","MDP0000555752")</f>
        <v>MDP0000555752</v>
      </c>
      <c r="D11413">
        <v>56.81</v>
      </c>
      <c r="E11413">
        <v>44</v>
      </c>
      <c r="F11413">
        <v>19</v>
      </c>
      <c r="G11413">
        <v>0</v>
      </c>
      <c r="H11413">
        <v>1</v>
      </c>
      <c r="I11413">
        <v>44</v>
      </c>
      <c r="J11413">
        <v>1</v>
      </c>
      <c r="K11413">
        <v>93</v>
      </c>
      <c r="L11413">
        <v>136</v>
      </c>
      <c r="M11413">
        <v>1</v>
      </c>
      <c r="N11413">
        <v>5.0009899999999997E-8</v>
      </c>
      <c r="O11413">
        <v>127</v>
      </c>
    </row>
    <row r="11414" spans="1:15" x14ac:dyDescent="0.25">
      <c r="A11414" t="s">
        <v>11427</v>
      </c>
      <c r="B11414">
        <v>128</v>
      </c>
      <c r="C11414" s="1" t="str">
        <f>HYPERLINK("http://www.rosaceae.org/gb/gbrowse/malus_x_domestica/?name=MDP0000492563","MDP0000492563")</f>
        <v>MDP0000492563</v>
      </c>
      <c r="D11414">
        <v>72.349999999999994</v>
      </c>
      <c r="E11414">
        <v>123</v>
      </c>
      <c r="F11414">
        <v>34</v>
      </c>
      <c r="G11414">
        <v>0</v>
      </c>
      <c r="H11414">
        <v>6</v>
      </c>
      <c r="I11414">
        <v>128</v>
      </c>
      <c r="J11414">
        <v>1</v>
      </c>
      <c r="K11414">
        <v>73</v>
      </c>
      <c r="L11414">
        <v>195</v>
      </c>
      <c r="M11414">
        <v>1</v>
      </c>
      <c r="N11414">
        <v>1.21823E-49</v>
      </c>
      <c r="O11414">
        <v>486</v>
      </c>
    </row>
    <row r="11415" spans="1:15" x14ac:dyDescent="0.25">
      <c r="A11415" t="s">
        <v>11428</v>
      </c>
      <c r="B11415">
        <v>110</v>
      </c>
      <c r="C11415" s="1" t="str">
        <f>HYPERLINK("http://www.rosaceae.org/gb/gbrowse/malus_x_domestica/?name=MDP0000125095","MDP0000125095")</f>
        <v>MDP0000125095</v>
      </c>
      <c r="D11415">
        <v>64.06</v>
      </c>
      <c r="E11415">
        <v>64</v>
      </c>
      <c r="F11415">
        <v>23</v>
      </c>
      <c r="G11415">
        <v>0</v>
      </c>
      <c r="H11415">
        <v>47</v>
      </c>
      <c r="I11415">
        <v>110</v>
      </c>
      <c r="J11415">
        <v>1</v>
      </c>
      <c r="K11415">
        <v>4</v>
      </c>
      <c r="L11415">
        <v>67</v>
      </c>
      <c r="M11415">
        <v>1</v>
      </c>
      <c r="N11415">
        <v>3.0009899999999998E-13</v>
      </c>
      <c r="O11415">
        <v>172</v>
      </c>
    </row>
    <row r="11416" spans="1:15" x14ac:dyDescent="0.25">
      <c r="A11416" t="s">
        <v>11429</v>
      </c>
      <c r="B11416">
        <v>282</v>
      </c>
      <c r="C11416" s="1" t="str">
        <f>HYPERLINK("http://www.rosaceae.org/gb/gbrowse/malus_x_domestica/?name=MDP0000147323","MDP0000147323")</f>
        <v>MDP0000147323</v>
      </c>
      <c r="D11416">
        <v>76.150000000000006</v>
      </c>
      <c r="E11416">
        <v>281</v>
      </c>
      <c r="F11416">
        <v>67</v>
      </c>
      <c r="G11416">
        <v>4</v>
      </c>
      <c r="H11416">
        <v>4</v>
      </c>
      <c r="I11416">
        <v>282</v>
      </c>
      <c r="J11416">
        <v>1</v>
      </c>
      <c r="K11416">
        <v>12</v>
      </c>
      <c r="L11416">
        <v>290</v>
      </c>
      <c r="M11416">
        <v>1</v>
      </c>
      <c r="N11416">
        <v>2.2089900000000002E-121</v>
      </c>
      <c r="O11416">
        <v>1110</v>
      </c>
    </row>
    <row r="11417" spans="1:15" x14ac:dyDescent="0.25">
      <c r="A11417" t="s">
        <v>11430</v>
      </c>
      <c r="B11417">
        <v>502</v>
      </c>
      <c r="C11417" s="1" t="str">
        <f>HYPERLINK("http://www.rosaceae.org/gb/gbrowse/malus_x_domestica/?name=MDP0000605825","MDP0000605825")</f>
        <v>MDP0000605825</v>
      </c>
      <c r="D11417">
        <v>60.8</v>
      </c>
      <c r="E11417">
        <v>347</v>
      </c>
      <c r="F11417">
        <v>136</v>
      </c>
      <c r="G11417">
        <v>62</v>
      </c>
      <c r="H11417">
        <v>211</v>
      </c>
      <c r="I11417">
        <v>502</v>
      </c>
      <c r="J11417">
        <v>1</v>
      </c>
      <c r="K11417">
        <v>24</v>
      </c>
      <c r="L11417">
        <v>363</v>
      </c>
      <c r="M11417">
        <v>1</v>
      </c>
      <c r="N11417">
        <v>2.2944399999999999E-111</v>
      </c>
      <c r="O11417">
        <v>1027</v>
      </c>
    </row>
    <row r="11418" spans="1:15" x14ac:dyDescent="0.25">
      <c r="A11418" t="s">
        <v>11431</v>
      </c>
      <c r="B11418">
        <v>215</v>
      </c>
      <c r="C11418" s="1" t="str">
        <f>HYPERLINK("http://www.rosaceae.org/gb/gbrowse/malus_x_domestica/?name=MDP0000924194","MDP0000924194")</f>
        <v>MDP0000924194</v>
      </c>
      <c r="D11418">
        <v>54.14</v>
      </c>
      <c r="E11418">
        <v>229</v>
      </c>
      <c r="F11418">
        <v>105</v>
      </c>
      <c r="G11418">
        <v>18</v>
      </c>
      <c r="H11418">
        <v>2</v>
      </c>
      <c r="I11418">
        <v>215</v>
      </c>
      <c r="J11418">
        <v>1</v>
      </c>
      <c r="K11418">
        <v>1</v>
      </c>
      <c r="L11418">
        <v>226</v>
      </c>
      <c r="M11418">
        <v>1</v>
      </c>
      <c r="N11418">
        <v>1.7658600000000001E-49</v>
      </c>
      <c r="O11418">
        <v>489</v>
      </c>
    </row>
    <row r="11419" spans="1:15" x14ac:dyDescent="0.25">
      <c r="A11419" t="s">
        <v>11432</v>
      </c>
      <c r="B11419">
        <v>484</v>
      </c>
      <c r="C11419" s="1" t="str">
        <f>HYPERLINK("http://www.rosaceae.org/gb/gbrowse/malus_x_domestica/?name=MDP0000159073","MDP0000159073")</f>
        <v>MDP0000159073</v>
      </c>
      <c r="D11419">
        <v>85.59</v>
      </c>
      <c r="E11419">
        <v>368</v>
      </c>
      <c r="F11419">
        <v>53</v>
      </c>
      <c r="G11419">
        <v>8</v>
      </c>
      <c r="H11419">
        <v>43</v>
      </c>
      <c r="I11419">
        <v>402</v>
      </c>
      <c r="J11419">
        <v>1</v>
      </c>
      <c r="K11419">
        <v>1</v>
      </c>
      <c r="L11419">
        <v>368</v>
      </c>
      <c r="M11419">
        <v>1</v>
      </c>
      <c r="N11419">
        <v>0</v>
      </c>
      <c r="O11419">
        <v>1735</v>
      </c>
    </row>
    <row r="11420" spans="1:15" x14ac:dyDescent="0.25">
      <c r="A11420" t="s">
        <v>11433</v>
      </c>
      <c r="B11420">
        <v>448</v>
      </c>
      <c r="C11420" s="1" t="str">
        <f>HYPERLINK("http://www.rosaceae.org/gb/gbrowse/malus_x_domestica/?name=MDP0000830662","MDP0000830662")</f>
        <v>MDP0000830662</v>
      </c>
      <c r="D11420">
        <v>79.52</v>
      </c>
      <c r="E11420">
        <v>425</v>
      </c>
      <c r="F11420">
        <v>87</v>
      </c>
      <c r="G11420">
        <v>17</v>
      </c>
      <c r="H11420">
        <v>30</v>
      </c>
      <c r="I11420">
        <v>447</v>
      </c>
      <c r="J11420">
        <v>1</v>
      </c>
      <c r="K11420">
        <v>37</v>
      </c>
      <c r="L11420">
        <v>451</v>
      </c>
      <c r="M11420">
        <v>1</v>
      </c>
      <c r="N11420">
        <v>0</v>
      </c>
      <c r="O11420">
        <v>1719</v>
      </c>
    </row>
    <row r="11421" spans="1:15" x14ac:dyDescent="0.25">
      <c r="A11421" t="s">
        <v>11434</v>
      </c>
      <c r="B11421">
        <v>76</v>
      </c>
      <c r="C11421" s="1" t="str">
        <f>HYPERLINK("http://www.rosaceae.org/gb/gbrowse/malus_x_domestica/?name=MDP0000278046","MDP0000278046")</f>
        <v>MDP0000278046</v>
      </c>
      <c r="D11421">
        <v>45.76</v>
      </c>
      <c r="E11421">
        <v>59</v>
      </c>
      <c r="F11421">
        <v>32</v>
      </c>
      <c r="G11421">
        <v>0</v>
      </c>
      <c r="H11421">
        <v>15</v>
      </c>
      <c r="I11421">
        <v>73</v>
      </c>
      <c r="J11421">
        <v>1</v>
      </c>
      <c r="K11421">
        <v>271</v>
      </c>
      <c r="L11421">
        <v>329</v>
      </c>
      <c r="M11421">
        <v>1</v>
      </c>
      <c r="N11421">
        <v>2.9772100000000002E-7</v>
      </c>
      <c r="O11421">
        <v>120</v>
      </c>
    </row>
    <row r="11422" spans="1:15" x14ac:dyDescent="0.25">
      <c r="A11422" t="s">
        <v>11435</v>
      </c>
      <c r="B11422">
        <v>559</v>
      </c>
      <c r="C11422" s="1" t="str">
        <f>HYPERLINK("http://www.rosaceae.org/gb/gbrowse/malus_x_domestica/?name=MDP0000139961","MDP0000139961")</f>
        <v>MDP0000139961</v>
      </c>
      <c r="D11422">
        <v>81.900000000000006</v>
      </c>
      <c r="E11422">
        <v>536</v>
      </c>
      <c r="F11422">
        <v>97</v>
      </c>
      <c r="G11422">
        <v>4</v>
      </c>
      <c r="H11422">
        <v>26</v>
      </c>
      <c r="I11422">
        <v>559</v>
      </c>
      <c r="J11422">
        <v>1</v>
      </c>
      <c r="K11422">
        <v>1</v>
      </c>
      <c r="L11422">
        <v>534</v>
      </c>
      <c r="M11422">
        <v>1</v>
      </c>
      <c r="N11422">
        <v>0</v>
      </c>
      <c r="O11422">
        <v>2322</v>
      </c>
    </row>
    <row r="11423" spans="1:15" x14ac:dyDescent="0.25">
      <c r="A11423" t="s">
        <v>11436</v>
      </c>
      <c r="B11423">
        <v>485</v>
      </c>
      <c r="C11423" s="1" t="str">
        <f>HYPERLINK("http://www.rosaceae.org/gb/gbrowse/malus_x_domestica/?name=MDP0000212365","MDP0000212365")</f>
        <v>MDP0000212365</v>
      </c>
      <c r="D11423">
        <v>87.19</v>
      </c>
      <c r="E11423">
        <v>484</v>
      </c>
      <c r="F11423">
        <v>62</v>
      </c>
      <c r="G11423">
        <v>0</v>
      </c>
      <c r="H11423">
        <v>1</v>
      </c>
      <c r="I11423">
        <v>484</v>
      </c>
      <c r="J11423">
        <v>1</v>
      </c>
      <c r="K11423">
        <v>1</v>
      </c>
      <c r="L11423">
        <v>484</v>
      </c>
      <c r="M11423">
        <v>1</v>
      </c>
      <c r="N11423">
        <v>0</v>
      </c>
      <c r="O11423">
        <v>2274</v>
      </c>
    </row>
    <row r="11424" spans="1:15" x14ac:dyDescent="0.25">
      <c r="A11424" t="s">
        <v>11437</v>
      </c>
      <c r="B11424">
        <v>286</v>
      </c>
      <c r="C11424" s="1" t="str">
        <f>HYPERLINK("http://www.rosaceae.org/gb/gbrowse/malus_x_domestica/?name=MDP0000260881","MDP0000260881")</f>
        <v>MDP0000260881</v>
      </c>
      <c r="D11424">
        <v>37.01</v>
      </c>
      <c r="E11424">
        <v>308</v>
      </c>
      <c r="F11424">
        <v>194</v>
      </c>
      <c r="G11424">
        <v>61</v>
      </c>
      <c r="H11424">
        <v>1</v>
      </c>
      <c r="I11424">
        <v>266</v>
      </c>
      <c r="J11424">
        <v>1</v>
      </c>
      <c r="K11424">
        <v>191</v>
      </c>
      <c r="L11424">
        <v>479</v>
      </c>
      <c r="M11424">
        <v>1</v>
      </c>
      <c r="N11424">
        <v>1.87758E-38</v>
      </c>
      <c r="O11424">
        <v>395</v>
      </c>
    </row>
    <row r="11425" spans="1:15" x14ac:dyDescent="0.25">
      <c r="A11425" t="s">
        <v>11438</v>
      </c>
      <c r="B11425">
        <v>250</v>
      </c>
      <c r="C11425" s="1" t="str">
        <f>HYPERLINK("http://www.rosaceae.org/gb/gbrowse/malus_x_domestica/?name=MDP0000646467","MDP0000646467")</f>
        <v>MDP0000646467</v>
      </c>
      <c r="D11425">
        <v>67.89</v>
      </c>
      <c r="E11425">
        <v>190</v>
      </c>
      <c r="F11425">
        <v>61</v>
      </c>
      <c r="G11425">
        <v>5</v>
      </c>
      <c r="H11425">
        <v>58</v>
      </c>
      <c r="I11425">
        <v>247</v>
      </c>
      <c r="J11425">
        <v>1</v>
      </c>
      <c r="K11425">
        <v>32</v>
      </c>
      <c r="L11425">
        <v>216</v>
      </c>
      <c r="M11425">
        <v>1</v>
      </c>
      <c r="N11425">
        <v>2.4936400000000001E-71</v>
      </c>
      <c r="O11425">
        <v>678</v>
      </c>
    </row>
    <row r="11426" spans="1:15" x14ac:dyDescent="0.25">
      <c r="A11426" t="s">
        <v>11439</v>
      </c>
      <c r="B11426">
        <v>2179</v>
      </c>
      <c r="C11426" s="1" t="str">
        <f>HYPERLINK("http://www.rosaceae.org/gb/gbrowse/malus_x_domestica/?name=MDP0000241389","MDP0000241389")</f>
        <v>MDP0000241389</v>
      </c>
      <c r="D11426">
        <v>69.040000000000006</v>
      </c>
      <c r="E11426">
        <v>2203</v>
      </c>
      <c r="F11426">
        <v>682</v>
      </c>
      <c r="G11426">
        <v>200</v>
      </c>
      <c r="H11426">
        <v>1</v>
      </c>
      <c r="I11426">
        <v>2159</v>
      </c>
      <c r="J11426">
        <v>1</v>
      </c>
      <c r="K11426">
        <v>1</v>
      </c>
      <c r="L11426">
        <v>2047</v>
      </c>
      <c r="M11426">
        <v>1</v>
      </c>
      <c r="N11426">
        <v>0</v>
      </c>
      <c r="O11426">
        <v>7609</v>
      </c>
    </row>
    <row r="11427" spans="1:15" x14ac:dyDescent="0.25">
      <c r="A11427" t="s">
        <v>11440</v>
      </c>
      <c r="B11427">
        <v>398</v>
      </c>
      <c r="C11427" s="1" t="str">
        <f>HYPERLINK("http://www.rosaceae.org/gb/gbrowse/malus_x_domestica/?name=MDP0000247605","MDP0000247605")</f>
        <v>MDP0000247605</v>
      </c>
      <c r="D11427">
        <v>51.05</v>
      </c>
      <c r="E11427">
        <v>333</v>
      </c>
      <c r="F11427">
        <v>163</v>
      </c>
      <c r="G11427">
        <v>6</v>
      </c>
      <c r="H11427">
        <v>7</v>
      </c>
      <c r="I11427">
        <v>335</v>
      </c>
      <c r="J11427">
        <v>1</v>
      </c>
      <c r="K11427">
        <v>2</v>
      </c>
      <c r="L11427">
        <v>332</v>
      </c>
      <c r="M11427">
        <v>1</v>
      </c>
      <c r="N11427">
        <v>8.0626100000000002E-93</v>
      </c>
      <c r="O11427">
        <v>866</v>
      </c>
    </row>
    <row r="11428" spans="1:15" x14ac:dyDescent="0.25">
      <c r="A11428" t="s">
        <v>11441</v>
      </c>
      <c r="B11428">
        <v>487</v>
      </c>
      <c r="C11428" s="1" t="str">
        <f>HYPERLINK("http://www.rosaceae.org/gb/gbrowse/malus_x_domestica/?name=MDP0000227117","MDP0000227117")</f>
        <v>MDP0000227117</v>
      </c>
      <c r="D11428">
        <v>52.52</v>
      </c>
      <c r="E11428">
        <v>238</v>
      </c>
      <c r="F11428">
        <v>113</v>
      </c>
      <c r="G11428">
        <v>47</v>
      </c>
      <c r="H11428">
        <v>21</v>
      </c>
      <c r="I11428">
        <v>258</v>
      </c>
      <c r="J11428">
        <v>1</v>
      </c>
      <c r="K11428">
        <v>1</v>
      </c>
      <c r="L11428">
        <v>191</v>
      </c>
      <c r="M11428">
        <v>1</v>
      </c>
      <c r="N11428">
        <v>3.9724100000000002E-63</v>
      </c>
      <c r="O11428">
        <v>611</v>
      </c>
    </row>
    <row r="11429" spans="1:15" x14ac:dyDescent="0.25">
      <c r="A11429" t="s">
        <v>11442</v>
      </c>
      <c r="B11429">
        <v>115</v>
      </c>
      <c r="C11429" s="1" t="str">
        <f>HYPERLINK("http://www.rosaceae.org/gb/gbrowse/malus_x_domestica/?name=MDP0000836711","MDP0000836711")</f>
        <v>MDP0000836711</v>
      </c>
      <c r="D11429">
        <v>86.81</v>
      </c>
      <c r="E11429">
        <v>91</v>
      </c>
      <c r="F11429">
        <v>12</v>
      </c>
      <c r="G11429">
        <v>3</v>
      </c>
      <c r="H11429">
        <v>1</v>
      </c>
      <c r="I11429">
        <v>91</v>
      </c>
      <c r="J11429">
        <v>1</v>
      </c>
      <c r="K11429">
        <v>1</v>
      </c>
      <c r="L11429">
        <v>88</v>
      </c>
      <c r="M11429">
        <v>1</v>
      </c>
      <c r="N11429">
        <v>1.2515800000000001E-41</v>
      </c>
      <c r="O11429">
        <v>416</v>
      </c>
    </row>
    <row r="11430" spans="1:15" x14ac:dyDescent="0.25">
      <c r="A11430" t="s">
        <v>11443</v>
      </c>
      <c r="B11430">
        <v>356</v>
      </c>
      <c r="C11430" s="1" t="str">
        <f>HYPERLINK("http://www.rosaceae.org/gb/gbrowse/malus_x_domestica/?name=MDP0000298505","MDP0000298505")</f>
        <v>MDP0000298505</v>
      </c>
      <c r="D11430">
        <v>55.14</v>
      </c>
      <c r="E11430">
        <v>243</v>
      </c>
      <c r="F11430">
        <v>109</v>
      </c>
      <c r="G11430">
        <v>17</v>
      </c>
      <c r="H11430">
        <v>1</v>
      </c>
      <c r="I11430">
        <v>237</v>
      </c>
      <c r="J11430">
        <v>1</v>
      </c>
      <c r="K11430">
        <v>350</v>
      </c>
      <c r="L11430">
        <v>581</v>
      </c>
      <c r="M11430">
        <v>1</v>
      </c>
      <c r="N11430">
        <v>6.8378899999999999E-66</v>
      </c>
      <c r="O11430">
        <v>633</v>
      </c>
    </row>
    <row r="11431" spans="1:15" x14ac:dyDescent="0.25">
      <c r="A11431" t="s">
        <v>11444</v>
      </c>
      <c r="B11431">
        <v>740</v>
      </c>
      <c r="C11431" s="1" t="str">
        <f>HYPERLINK("http://www.rosaceae.org/gb/gbrowse/malus_x_domestica/?name=MDP0000177099","MDP0000177099")</f>
        <v>MDP0000177099</v>
      </c>
      <c r="D11431">
        <v>62.6</v>
      </c>
      <c r="E11431">
        <v>476</v>
      </c>
      <c r="F11431">
        <v>178</v>
      </c>
      <c r="G11431">
        <v>79</v>
      </c>
      <c r="H11431">
        <v>121</v>
      </c>
      <c r="I11431">
        <v>595</v>
      </c>
      <c r="J11431">
        <v>1</v>
      </c>
      <c r="K11431">
        <v>4</v>
      </c>
      <c r="L11431">
        <v>401</v>
      </c>
      <c r="M11431">
        <v>1</v>
      </c>
      <c r="N11431">
        <v>3.3494599999999999E-150</v>
      </c>
      <c r="O11431">
        <v>1364</v>
      </c>
    </row>
    <row r="11432" spans="1:15" x14ac:dyDescent="0.25">
      <c r="A11432" t="s">
        <v>11445</v>
      </c>
      <c r="B11432">
        <v>539</v>
      </c>
      <c r="C11432" s="1" t="str">
        <f>HYPERLINK("http://www.rosaceae.org/gb/gbrowse/malus_x_domestica/?name=MDP0000188808","MDP0000188808")</f>
        <v>MDP0000188808</v>
      </c>
      <c r="D11432">
        <v>80.290000000000006</v>
      </c>
      <c r="E11432">
        <v>203</v>
      </c>
      <c r="F11432">
        <v>40</v>
      </c>
      <c r="G11432">
        <v>3</v>
      </c>
      <c r="H11432">
        <v>59</v>
      </c>
      <c r="I11432">
        <v>258</v>
      </c>
      <c r="J11432">
        <v>1</v>
      </c>
      <c r="K11432">
        <v>1</v>
      </c>
      <c r="L11432">
        <v>203</v>
      </c>
      <c r="M11432">
        <v>1</v>
      </c>
      <c r="N11432">
        <v>6.5240200000000005E-97</v>
      </c>
      <c r="O11432">
        <v>903</v>
      </c>
    </row>
    <row r="11433" spans="1:15" x14ac:dyDescent="0.25">
      <c r="A11433" t="s">
        <v>11446</v>
      </c>
      <c r="B11433">
        <v>353</v>
      </c>
      <c r="C11433" s="1" t="str">
        <f>HYPERLINK("http://www.rosaceae.org/gb/gbrowse/malus_x_domestica/?name=MDP0000261327","MDP0000261327")</f>
        <v>MDP0000261327</v>
      </c>
      <c r="D11433">
        <v>50.81</v>
      </c>
      <c r="E11433">
        <v>307</v>
      </c>
      <c r="F11433">
        <v>151</v>
      </c>
      <c r="G11433">
        <v>13</v>
      </c>
      <c r="H11433">
        <v>32</v>
      </c>
      <c r="I11433">
        <v>330</v>
      </c>
      <c r="J11433">
        <v>1</v>
      </c>
      <c r="K11433">
        <v>1666</v>
      </c>
      <c r="L11433">
        <v>1967</v>
      </c>
      <c r="M11433">
        <v>1</v>
      </c>
      <c r="N11433">
        <v>8.3014600000000002E-73</v>
      </c>
      <c r="O11433">
        <v>693</v>
      </c>
    </row>
    <row r="11434" spans="1:15" x14ac:dyDescent="0.25">
      <c r="A11434" t="s">
        <v>11447</v>
      </c>
      <c r="B11434">
        <v>236</v>
      </c>
      <c r="C11434" s="1" t="str">
        <f>HYPERLINK("http://www.rosaceae.org/gb/gbrowse/malus_x_domestica/?name=MDP0000231031","MDP0000231031")</f>
        <v>MDP0000231031</v>
      </c>
      <c r="D11434">
        <v>39.450000000000003</v>
      </c>
      <c r="E11434">
        <v>256</v>
      </c>
      <c r="F11434">
        <v>155</v>
      </c>
      <c r="G11434">
        <v>39</v>
      </c>
      <c r="H11434">
        <v>17</v>
      </c>
      <c r="I11434">
        <v>236</v>
      </c>
      <c r="J11434">
        <v>1</v>
      </c>
      <c r="K11434">
        <v>21</v>
      </c>
      <c r="L11434">
        <v>273</v>
      </c>
      <c r="M11434">
        <v>1</v>
      </c>
      <c r="N11434">
        <v>1.8009E-28</v>
      </c>
      <c r="O11434">
        <v>308</v>
      </c>
    </row>
    <row r="11435" spans="1:15" x14ac:dyDescent="0.25">
      <c r="A11435" t="s">
        <v>11448</v>
      </c>
      <c r="B11435">
        <v>1051</v>
      </c>
      <c r="C11435" s="1" t="str">
        <f>HYPERLINK("http://www.rosaceae.org/gb/gbrowse/malus_x_domestica/?name=MDP0000185801","MDP0000185801")</f>
        <v>MDP0000185801</v>
      </c>
      <c r="D11435">
        <v>59.01</v>
      </c>
      <c r="E11435">
        <v>305</v>
      </c>
      <c r="F11435">
        <v>125</v>
      </c>
      <c r="G11435">
        <v>13</v>
      </c>
      <c r="H11435">
        <v>701</v>
      </c>
      <c r="I11435">
        <v>1005</v>
      </c>
      <c r="J11435">
        <v>1</v>
      </c>
      <c r="K11435">
        <v>84</v>
      </c>
      <c r="L11435">
        <v>375</v>
      </c>
      <c r="M11435">
        <v>1</v>
      </c>
      <c r="N11435">
        <v>9.4295799999999996E-102</v>
      </c>
      <c r="O11435">
        <v>947</v>
      </c>
    </row>
    <row r="11436" spans="1:15" x14ac:dyDescent="0.25">
      <c r="A11436" t="s">
        <v>11449</v>
      </c>
      <c r="B11436">
        <v>402</v>
      </c>
      <c r="C11436" s="1" t="str">
        <f>HYPERLINK("http://www.rosaceae.org/gb/gbrowse/malus_x_domestica/?name=MDP0000119866","MDP0000119866")</f>
        <v>MDP0000119866</v>
      </c>
      <c r="D11436">
        <v>57.45</v>
      </c>
      <c r="E11436">
        <v>181</v>
      </c>
      <c r="F11436">
        <v>77</v>
      </c>
      <c r="G11436">
        <v>2</v>
      </c>
      <c r="H11436">
        <v>221</v>
      </c>
      <c r="I11436">
        <v>401</v>
      </c>
      <c r="J11436">
        <v>1</v>
      </c>
      <c r="K11436">
        <v>169</v>
      </c>
      <c r="L11436">
        <v>347</v>
      </c>
      <c r="M11436">
        <v>1</v>
      </c>
      <c r="N11436">
        <v>2.1063E-50</v>
      </c>
      <c r="O11436">
        <v>500</v>
      </c>
    </row>
    <row r="11437" spans="1:15" x14ac:dyDescent="0.25">
      <c r="A11437" t="s">
        <v>11450</v>
      </c>
      <c r="B11437">
        <v>317</v>
      </c>
      <c r="C11437" s="1" t="str">
        <f>HYPERLINK("http://www.rosaceae.org/gb/gbrowse/malus_x_domestica/?name=MDP0000749713","MDP0000749713")</f>
        <v>MDP0000749713</v>
      </c>
      <c r="D11437">
        <v>77.63</v>
      </c>
      <c r="E11437">
        <v>304</v>
      </c>
      <c r="F11437">
        <v>68</v>
      </c>
      <c r="G11437">
        <v>0</v>
      </c>
      <c r="H11437">
        <v>14</v>
      </c>
      <c r="I11437">
        <v>317</v>
      </c>
      <c r="J11437">
        <v>1</v>
      </c>
      <c r="K11437">
        <v>14</v>
      </c>
      <c r="L11437">
        <v>317</v>
      </c>
      <c r="M11437">
        <v>1</v>
      </c>
      <c r="N11437">
        <v>3.5998099999999998E-143</v>
      </c>
      <c r="O11437">
        <v>1299</v>
      </c>
    </row>
    <row r="11438" spans="1:15" x14ac:dyDescent="0.25">
      <c r="A11438" t="s">
        <v>11451</v>
      </c>
      <c r="B11438">
        <v>487</v>
      </c>
      <c r="C11438" s="1" t="str">
        <f>HYPERLINK("http://www.rosaceae.org/gb/gbrowse/malus_x_domestica/?name=MDP0000165214","MDP0000165214")</f>
        <v>MDP0000165214</v>
      </c>
      <c r="D11438">
        <v>31.68</v>
      </c>
      <c r="E11438">
        <v>344</v>
      </c>
      <c r="F11438">
        <v>235</v>
      </c>
      <c r="G11438">
        <v>41</v>
      </c>
      <c r="H11438">
        <v>26</v>
      </c>
      <c r="I11438">
        <v>334</v>
      </c>
      <c r="J11438">
        <v>1</v>
      </c>
      <c r="K11438">
        <v>7</v>
      </c>
      <c r="L11438">
        <v>344</v>
      </c>
      <c r="M11438">
        <v>1</v>
      </c>
      <c r="N11438">
        <v>2.14193E-35</v>
      </c>
      <c r="O11438">
        <v>372</v>
      </c>
    </row>
    <row r="11439" spans="1:15" x14ac:dyDescent="0.25">
      <c r="A11439" t="s">
        <v>11452</v>
      </c>
      <c r="B11439">
        <v>393</v>
      </c>
      <c r="C11439" s="1" t="str">
        <f>HYPERLINK("http://www.rosaceae.org/gb/gbrowse/malus_x_domestica/?name=MDP0000279567","MDP0000279567")</f>
        <v>MDP0000279567</v>
      </c>
      <c r="D11439">
        <v>47.1</v>
      </c>
      <c r="E11439">
        <v>276</v>
      </c>
      <c r="F11439">
        <v>146</v>
      </c>
      <c r="G11439">
        <v>27</v>
      </c>
      <c r="H11439">
        <v>144</v>
      </c>
      <c r="I11439">
        <v>393</v>
      </c>
      <c r="J11439">
        <v>1</v>
      </c>
      <c r="K11439">
        <v>129</v>
      </c>
      <c r="L11439">
        <v>403</v>
      </c>
      <c r="M11439">
        <v>1</v>
      </c>
      <c r="N11439">
        <v>2.6726300000000001E-68</v>
      </c>
      <c r="O11439">
        <v>654</v>
      </c>
    </row>
    <row r="11440" spans="1:15" x14ac:dyDescent="0.25">
      <c r="A11440" t="s">
        <v>11453</v>
      </c>
      <c r="B11440">
        <v>448</v>
      </c>
      <c r="C11440" s="1" t="str">
        <f>HYPERLINK("http://www.rosaceae.org/gb/gbrowse/malus_x_domestica/?name=MDP0000878686","MDP0000878686")</f>
        <v>MDP0000878686</v>
      </c>
      <c r="D11440">
        <v>54.16</v>
      </c>
      <c r="E11440">
        <v>48</v>
      </c>
      <c r="F11440">
        <v>22</v>
      </c>
      <c r="G11440">
        <v>0</v>
      </c>
      <c r="H11440">
        <v>2</v>
      </c>
      <c r="I11440">
        <v>49</v>
      </c>
      <c r="J11440">
        <v>1</v>
      </c>
      <c r="K11440">
        <v>8</v>
      </c>
      <c r="L11440">
        <v>55</v>
      </c>
      <c r="M11440">
        <v>1</v>
      </c>
      <c r="N11440">
        <v>3.7449300000000003E-8</v>
      </c>
      <c r="O11440">
        <v>136</v>
      </c>
    </row>
    <row r="11441" spans="1:15" x14ac:dyDescent="0.25">
      <c r="A11441" t="s">
        <v>11454</v>
      </c>
      <c r="B11441">
        <v>93</v>
      </c>
      <c r="C11441" s="1" t="str">
        <f>HYPERLINK("http://www.rosaceae.org/gb/gbrowse/malus_x_domestica/?name=MDP0000922090","MDP0000922090")</f>
        <v>MDP0000922090</v>
      </c>
      <c r="D11441">
        <v>65.97</v>
      </c>
      <c r="E11441">
        <v>97</v>
      </c>
      <c r="F11441">
        <v>33</v>
      </c>
      <c r="G11441">
        <v>5</v>
      </c>
      <c r="H11441">
        <v>1</v>
      </c>
      <c r="I11441">
        <v>92</v>
      </c>
      <c r="J11441">
        <v>1</v>
      </c>
      <c r="K11441">
        <v>1</v>
      </c>
      <c r="L11441">
        <v>97</v>
      </c>
      <c r="M11441">
        <v>1</v>
      </c>
      <c r="N11441">
        <v>3.8550799999999999E-25</v>
      </c>
      <c r="O11441">
        <v>274</v>
      </c>
    </row>
    <row r="11442" spans="1:15" x14ac:dyDescent="0.25">
      <c r="A11442" t="s">
        <v>11455</v>
      </c>
      <c r="B11442">
        <v>119</v>
      </c>
      <c r="C11442" s="1" t="str">
        <f>HYPERLINK("http://www.rosaceae.org/gb/gbrowse/malus_x_domestica/?name=MDP0000720497","MDP0000720497")</f>
        <v>MDP0000720497</v>
      </c>
      <c r="D11442">
        <v>78.94</v>
      </c>
      <c r="E11442">
        <v>76</v>
      </c>
      <c r="F11442">
        <v>16</v>
      </c>
      <c r="G11442">
        <v>0</v>
      </c>
      <c r="H11442">
        <v>12</v>
      </c>
      <c r="I11442">
        <v>87</v>
      </c>
      <c r="J11442">
        <v>1</v>
      </c>
      <c r="K11442">
        <v>37</v>
      </c>
      <c r="L11442">
        <v>112</v>
      </c>
      <c r="M11442">
        <v>1</v>
      </c>
      <c r="N11442">
        <v>2.1121000000000001E-30</v>
      </c>
      <c r="O11442">
        <v>320</v>
      </c>
    </row>
    <row r="11443" spans="1:15" x14ac:dyDescent="0.25">
      <c r="A11443" t="s">
        <v>11456</v>
      </c>
      <c r="B11443">
        <v>507</v>
      </c>
      <c r="C11443" s="1" t="str">
        <f>HYPERLINK("http://www.rosaceae.org/gb/gbrowse/malus_x_domestica/?name=MDP0000136844","MDP0000136844")</f>
        <v>MDP0000136844</v>
      </c>
      <c r="D11443">
        <v>42.54</v>
      </c>
      <c r="E11443">
        <v>228</v>
      </c>
      <c r="F11443">
        <v>131</v>
      </c>
      <c r="G11443">
        <v>31</v>
      </c>
      <c r="H11443">
        <v>214</v>
      </c>
      <c r="I11443">
        <v>410</v>
      </c>
      <c r="J11443">
        <v>1</v>
      </c>
      <c r="K11443">
        <v>591</v>
      </c>
      <c r="L11443">
        <v>818</v>
      </c>
      <c r="M11443">
        <v>1</v>
      </c>
      <c r="N11443">
        <v>1.30074E-40</v>
      </c>
      <c r="O11443">
        <v>417</v>
      </c>
    </row>
    <row r="11444" spans="1:15" x14ac:dyDescent="0.25">
      <c r="A11444" t="s">
        <v>11457</v>
      </c>
      <c r="B11444">
        <v>570</v>
      </c>
      <c r="C11444" s="1" t="str">
        <f>HYPERLINK("http://www.rosaceae.org/gb/gbrowse/malus_x_domestica/?name=MDP0000247878","MDP0000247878")</f>
        <v>MDP0000247878</v>
      </c>
      <c r="D11444">
        <v>72.91</v>
      </c>
      <c r="E11444">
        <v>539</v>
      </c>
      <c r="F11444">
        <v>146</v>
      </c>
      <c r="G11444">
        <v>28</v>
      </c>
      <c r="H11444">
        <v>24</v>
      </c>
      <c r="I11444">
        <v>562</v>
      </c>
      <c r="J11444">
        <v>1</v>
      </c>
      <c r="K11444">
        <v>20</v>
      </c>
      <c r="L11444">
        <v>530</v>
      </c>
      <c r="M11444">
        <v>1</v>
      </c>
      <c r="N11444">
        <v>0</v>
      </c>
      <c r="O11444">
        <v>1966</v>
      </c>
    </row>
    <row r="11445" spans="1:15" x14ac:dyDescent="0.25">
      <c r="A11445" t="s">
        <v>11458</v>
      </c>
      <c r="B11445">
        <v>543</v>
      </c>
      <c r="C11445" s="1" t="str">
        <f>HYPERLINK("http://www.rosaceae.org/gb/gbrowse/malus_x_domestica/?name=MDP0000295794","MDP0000295794")</f>
        <v>MDP0000295794</v>
      </c>
      <c r="D11445">
        <v>86.67</v>
      </c>
      <c r="E11445">
        <v>548</v>
      </c>
      <c r="F11445">
        <v>73</v>
      </c>
      <c r="G11445">
        <v>6</v>
      </c>
      <c r="H11445">
        <v>1</v>
      </c>
      <c r="I11445">
        <v>543</v>
      </c>
      <c r="J11445">
        <v>1</v>
      </c>
      <c r="K11445">
        <v>1</v>
      </c>
      <c r="L11445">
        <v>547</v>
      </c>
      <c r="M11445">
        <v>1</v>
      </c>
      <c r="N11445">
        <v>0</v>
      </c>
      <c r="O11445">
        <v>2465</v>
      </c>
    </row>
    <row r="11446" spans="1:15" x14ac:dyDescent="0.25">
      <c r="A11446" t="s">
        <v>11459</v>
      </c>
      <c r="B11446">
        <v>451</v>
      </c>
      <c r="C11446" s="1" t="str">
        <f>HYPERLINK("http://www.rosaceae.org/gb/gbrowse/malus_x_domestica/?name=MDP0000301405","MDP0000301405")</f>
        <v>MDP0000301405</v>
      </c>
      <c r="D11446">
        <v>59.8</v>
      </c>
      <c r="E11446">
        <v>510</v>
      </c>
      <c r="F11446">
        <v>205</v>
      </c>
      <c r="G11446">
        <v>65</v>
      </c>
      <c r="H11446">
        <v>6</v>
      </c>
      <c r="I11446">
        <v>451</v>
      </c>
      <c r="J11446">
        <v>1</v>
      </c>
      <c r="K11446">
        <v>885</v>
      </c>
      <c r="L11446">
        <v>1393</v>
      </c>
      <c r="M11446">
        <v>1</v>
      </c>
      <c r="N11446">
        <v>9.6704999999999993E-162</v>
      </c>
      <c r="O11446">
        <v>1461</v>
      </c>
    </row>
    <row r="11447" spans="1:15" x14ac:dyDescent="0.25">
      <c r="A11447" t="s">
        <v>11460</v>
      </c>
      <c r="B11447">
        <v>1033</v>
      </c>
      <c r="C11447" s="1" t="str">
        <f>HYPERLINK("http://www.rosaceae.org/gb/gbrowse/malus_x_domestica/?name=MDP0000322220","MDP0000322220")</f>
        <v>MDP0000322220</v>
      </c>
      <c r="D11447">
        <v>44.81</v>
      </c>
      <c r="E11447">
        <v>386</v>
      </c>
      <c r="F11447">
        <v>213</v>
      </c>
      <c r="G11447">
        <v>68</v>
      </c>
      <c r="H11447">
        <v>455</v>
      </c>
      <c r="I11447">
        <v>772</v>
      </c>
      <c r="J11447">
        <v>1</v>
      </c>
      <c r="K11447">
        <v>547</v>
      </c>
      <c r="L11447">
        <v>932</v>
      </c>
      <c r="M11447">
        <v>1</v>
      </c>
      <c r="N11447">
        <v>1.15827E-73</v>
      </c>
      <c r="O11447">
        <v>705</v>
      </c>
    </row>
    <row r="11448" spans="1:15" x14ac:dyDescent="0.25">
      <c r="A11448" t="s">
        <v>11461</v>
      </c>
      <c r="B11448">
        <v>366</v>
      </c>
      <c r="C11448" s="1" t="str">
        <f>HYPERLINK("http://www.rosaceae.org/gb/gbrowse/malus_x_domestica/?name=MDP0000268597","MDP0000268597")</f>
        <v>MDP0000268597</v>
      </c>
      <c r="D11448">
        <v>83.6</v>
      </c>
      <c r="E11448">
        <v>366</v>
      </c>
      <c r="F11448">
        <v>60</v>
      </c>
      <c r="G11448">
        <v>0</v>
      </c>
      <c r="H11448">
        <v>1</v>
      </c>
      <c r="I11448">
        <v>366</v>
      </c>
      <c r="J11448">
        <v>1</v>
      </c>
      <c r="K11448">
        <v>768</v>
      </c>
      <c r="L11448">
        <v>1133</v>
      </c>
      <c r="M11448">
        <v>1</v>
      </c>
      <c r="N11448">
        <v>0</v>
      </c>
      <c r="O11448">
        <v>1675</v>
      </c>
    </row>
    <row r="11449" spans="1:15" x14ac:dyDescent="0.25">
      <c r="A11449" t="s">
        <v>11462</v>
      </c>
      <c r="B11449">
        <v>537</v>
      </c>
      <c r="C11449" s="1" t="str">
        <f>HYPERLINK("http://www.rosaceae.org/gb/gbrowse/malus_x_domestica/?name=MDP0000236536","MDP0000236536")</f>
        <v>MDP0000236536</v>
      </c>
      <c r="D11449">
        <v>43.18</v>
      </c>
      <c r="E11449">
        <v>565</v>
      </c>
      <c r="F11449">
        <v>321</v>
      </c>
      <c r="G11449">
        <v>83</v>
      </c>
      <c r="H11449">
        <v>7</v>
      </c>
      <c r="I11449">
        <v>537</v>
      </c>
      <c r="J11449">
        <v>1</v>
      </c>
      <c r="K11449">
        <v>13</v>
      </c>
      <c r="L11449">
        <v>528</v>
      </c>
      <c r="M11449">
        <v>1</v>
      </c>
      <c r="N11449">
        <v>5.2711300000000001E-97</v>
      </c>
      <c r="O11449">
        <v>903</v>
      </c>
    </row>
    <row r="11450" spans="1:15" x14ac:dyDescent="0.25">
      <c r="A11450" t="s">
        <v>11463</v>
      </c>
      <c r="B11450">
        <v>992</v>
      </c>
      <c r="C11450" s="1" t="str">
        <f>HYPERLINK("http://www.rosaceae.org/gb/gbrowse/malus_x_domestica/?name=MDP0000153224","MDP0000153224")</f>
        <v>MDP0000153224</v>
      </c>
      <c r="D11450">
        <v>54.54</v>
      </c>
      <c r="E11450">
        <v>132</v>
      </c>
      <c r="F11450">
        <v>60</v>
      </c>
      <c r="G11450">
        <v>19</v>
      </c>
      <c r="H11450">
        <v>80</v>
      </c>
      <c r="I11450">
        <v>204</v>
      </c>
      <c r="J11450">
        <v>1</v>
      </c>
      <c r="K11450">
        <v>648</v>
      </c>
      <c r="L11450">
        <v>767</v>
      </c>
      <c r="M11450">
        <v>1</v>
      </c>
      <c r="N11450">
        <v>2.1433699999999999E-26</v>
      </c>
      <c r="O11450">
        <v>297</v>
      </c>
    </row>
    <row r="11451" spans="1:15" x14ac:dyDescent="0.25">
      <c r="A11451" t="s">
        <v>11464</v>
      </c>
      <c r="B11451">
        <v>188</v>
      </c>
      <c r="C11451" s="1" t="str">
        <f>HYPERLINK("http://www.rosaceae.org/gb/gbrowse/malus_x_domestica/?name=MDP0000784608","MDP0000784608")</f>
        <v>MDP0000784608</v>
      </c>
      <c r="D11451">
        <v>56.8</v>
      </c>
      <c r="E11451">
        <v>169</v>
      </c>
      <c r="F11451">
        <v>73</v>
      </c>
      <c r="G11451">
        <v>2</v>
      </c>
      <c r="H11451">
        <v>22</v>
      </c>
      <c r="I11451">
        <v>188</v>
      </c>
      <c r="J11451">
        <v>1</v>
      </c>
      <c r="K11451">
        <v>1</v>
      </c>
      <c r="L11451">
        <v>169</v>
      </c>
      <c r="M11451">
        <v>1</v>
      </c>
      <c r="N11451">
        <v>1.56969E-46</v>
      </c>
      <c r="O11451">
        <v>462</v>
      </c>
    </row>
    <row r="11452" spans="1:15" x14ac:dyDescent="0.25">
      <c r="A11452" t="s">
        <v>11465</v>
      </c>
      <c r="B11452">
        <v>763</v>
      </c>
      <c r="C11452" s="1" t="str">
        <f>HYPERLINK("http://www.rosaceae.org/gb/gbrowse/malus_x_domestica/?name=MDP0000210336","MDP0000210336")</f>
        <v>MDP0000210336</v>
      </c>
      <c r="D11452">
        <v>86.1</v>
      </c>
      <c r="E11452">
        <v>403</v>
      </c>
      <c r="F11452">
        <v>56</v>
      </c>
      <c r="G11452">
        <v>12</v>
      </c>
      <c r="H11452">
        <v>3</v>
      </c>
      <c r="I11452">
        <v>395</v>
      </c>
      <c r="J11452">
        <v>1</v>
      </c>
      <c r="K11452">
        <v>171</v>
      </c>
      <c r="L11452">
        <v>571</v>
      </c>
      <c r="M11452">
        <v>1</v>
      </c>
      <c r="N11452">
        <v>0</v>
      </c>
      <c r="O11452">
        <v>1803</v>
      </c>
    </row>
    <row r="11453" spans="1:15" x14ac:dyDescent="0.25">
      <c r="A11453" t="s">
        <v>11466</v>
      </c>
      <c r="B11453">
        <v>687</v>
      </c>
      <c r="C11453" s="1" t="str">
        <f>HYPERLINK("http://www.rosaceae.org/gb/gbrowse/malus_x_domestica/?name=MDP0000225672","MDP0000225672")</f>
        <v>MDP0000225672</v>
      </c>
      <c r="D11453">
        <v>40.78</v>
      </c>
      <c r="E11453">
        <v>282</v>
      </c>
      <c r="F11453">
        <v>167</v>
      </c>
      <c r="G11453">
        <v>45</v>
      </c>
      <c r="H11453">
        <v>4</v>
      </c>
      <c r="I11453">
        <v>258</v>
      </c>
      <c r="J11453">
        <v>1</v>
      </c>
      <c r="K11453">
        <v>73</v>
      </c>
      <c r="L11453">
        <v>336</v>
      </c>
      <c r="M11453">
        <v>1</v>
      </c>
      <c r="N11453">
        <v>3.0296499999999999E-39</v>
      </c>
      <c r="O11453">
        <v>406</v>
      </c>
    </row>
    <row r="11454" spans="1:15" x14ac:dyDescent="0.25">
      <c r="A11454" t="s">
        <v>11467</v>
      </c>
      <c r="B11454">
        <v>385</v>
      </c>
      <c r="C11454" s="1" t="str">
        <f>HYPERLINK("http://www.rosaceae.org/gb/gbrowse/malus_x_domestica/?name=MDP0000205892","MDP0000205892")</f>
        <v>MDP0000205892</v>
      </c>
      <c r="D11454">
        <v>76.67</v>
      </c>
      <c r="E11454">
        <v>373</v>
      </c>
      <c r="F11454">
        <v>87</v>
      </c>
      <c r="G11454">
        <v>4</v>
      </c>
      <c r="H11454">
        <v>16</v>
      </c>
      <c r="I11454">
        <v>385</v>
      </c>
      <c r="J11454">
        <v>1</v>
      </c>
      <c r="K11454">
        <v>17</v>
      </c>
      <c r="L11454">
        <v>388</v>
      </c>
      <c r="M11454">
        <v>1</v>
      </c>
      <c r="N11454">
        <v>3.8896800000000003E-173</v>
      </c>
      <c r="O11454">
        <v>1558</v>
      </c>
    </row>
    <row r="11455" spans="1:15" x14ac:dyDescent="0.25">
      <c r="A11455" t="s">
        <v>11468</v>
      </c>
      <c r="B11455">
        <v>872</v>
      </c>
      <c r="C11455" s="1" t="str">
        <f>HYPERLINK("http://www.rosaceae.org/gb/gbrowse/malus_x_domestica/?name=MDP0000289531","MDP0000289531")</f>
        <v>MDP0000289531</v>
      </c>
      <c r="D11455">
        <v>60.26</v>
      </c>
      <c r="E11455">
        <v>828</v>
      </c>
      <c r="F11455">
        <v>329</v>
      </c>
      <c r="G11455">
        <v>43</v>
      </c>
      <c r="H11455">
        <v>67</v>
      </c>
      <c r="I11455">
        <v>856</v>
      </c>
      <c r="J11455">
        <v>1</v>
      </c>
      <c r="K11455">
        <v>5</v>
      </c>
      <c r="L11455">
        <v>827</v>
      </c>
      <c r="M11455">
        <v>1</v>
      </c>
      <c r="N11455">
        <v>0</v>
      </c>
      <c r="O11455">
        <v>2416</v>
      </c>
    </row>
    <row r="11456" spans="1:15" x14ac:dyDescent="0.25">
      <c r="A11456" t="s">
        <v>11469</v>
      </c>
      <c r="B11456">
        <v>697</v>
      </c>
      <c r="C11456" s="1" t="str">
        <f>HYPERLINK("http://www.rosaceae.org/gb/gbrowse/malus_x_domestica/?name=MDP0000237964","MDP0000237964")</f>
        <v>MDP0000237964</v>
      </c>
      <c r="D11456">
        <v>52.29</v>
      </c>
      <c r="E11456">
        <v>545</v>
      </c>
      <c r="F11456">
        <v>260</v>
      </c>
      <c r="G11456">
        <v>10</v>
      </c>
      <c r="H11456">
        <v>159</v>
      </c>
      <c r="I11456">
        <v>697</v>
      </c>
      <c r="J11456">
        <v>1</v>
      </c>
      <c r="K11456">
        <v>600</v>
      </c>
      <c r="L11456">
        <v>1140</v>
      </c>
      <c r="M11456">
        <v>1</v>
      </c>
      <c r="N11456">
        <v>1.8618299999999999E-166</v>
      </c>
      <c r="O11456">
        <v>1503</v>
      </c>
    </row>
    <row r="11457" spans="1:15" x14ac:dyDescent="0.25">
      <c r="A11457" t="s">
        <v>11470</v>
      </c>
      <c r="B11457">
        <v>631</v>
      </c>
      <c r="C11457" s="1" t="str">
        <f>HYPERLINK("http://www.rosaceae.org/gb/gbrowse/malus_x_domestica/?name=MDP0000262210","MDP0000262210")</f>
        <v>MDP0000262210</v>
      </c>
      <c r="D11457">
        <v>83.52</v>
      </c>
      <c r="E11457">
        <v>437</v>
      </c>
      <c r="F11457">
        <v>72</v>
      </c>
      <c r="G11457">
        <v>2</v>
      </c>
      <c r="H11457">
        <v>1</v>
      </c>
      <c r="I11457">
        <v>436</v>
      </c>
      <c r="J11457">
        <v>1</v>
      </c>
      <c r="K11457">
        <v>1</v>
      </c>
      <c r="L11457">
        <v>436</v>
      </c>
      <c r="M11457">
        <v>1</v>
      </c>
      <c r="N11457">
        <v>0</v>
      </c>
      <c r="O11457">
        <v>1812</v>
      </c>
    </row>
    <row r="11458" spans="1:15" x14ac:dyDescent="0.25">
      <c r="A11458" t="s">
        <v>11471</v>
      </c>
      <c r="B11458">
        <v>184</v>
      </c>
      <c r="C11458" s="1" t="str">
        <f>HYPERLINK("http://www.rosaceae.org/gb/gbrowse/malus_x_domestica/?name=MDP0000485736","MDP0000485736")</f>
        <v>MDP0000485736</v>
      </c>
      <c r="D11458">
        <v>60.28</v>
      </c>
      <c r="E11458">
        <v>141</v>
      </c>
      <c r="F11458">
        <v>56</v>
      </c>
      <c r="G11458">
        <v>18</v>
      </c>
      <c r="H11458">
        <v>47</v>
      </c>
      <c r="I11458">
        <v>183</v>
      </c>
      <c r="J11458">
        <v>1</v>
      </c>
      <c r="K11458">
        <v>1</v>
      </c>
      <c r="L11458">
        <v>127</v>
      </c>
      <c r="M11458">
        <v>1</v>
      </c>
      <c r="N11458">
        <v>4.2315999999999998E-39</v>
      </c>
      <c r="O11458">
        <v>398</v>
      </c>
    </row>
    <row r="11459" spans="1:15" x14ac:dyDescent="0.25">
      <c r="A11459" t="s">
        <v>11472</v>
      </c>
      <c r="B11459">
        <v>192</v>
      </c>
      <c r="C11459" s="1" t="str">
        <f>HYPERLINK("http://www.rosaceae.org/gb/gbrowse/malus_x_domestica/?name=MDP0000225387","MDP0000225387")</f>
        <v>MDP0000225387</v>
      </c>
      <c r="D11459">
        <v>59.32</v>
      </c>
      <c r="E11459">
        <v>236</v>
      </c>
      <c r="F11459">
        <v>96</v>
      </c>
      <c r="G11459">
        <v>47</v>
      </c>
      <c r="H11459">
        <v>4</v>
      </c>
      <c r="I11459">
        <v>192</v>
      </c>
      <c r="J11459">
        <v>1</v>
      </c>
      <c r="K11459">
        <v>5</v>
      </c>
      <c r="L11459">
        <v>240</v>
      </c>
      <c r="M11459">
        <v>1</v>
      </c>
      <c r="N11459">
        <v>2.66741E-72</v>
      </c>
      <c r="O11459">
        <v>685</v>
      </c>
    </row>
    <row r="11460" spans="1:15" x14ac:dyDescent="0.25">
      <c r="A11460" t="s">
        <v>11473</v>
      </c>
      <c r="B11460">
        <v>167</v>
      </c>
      <c r="C11460" s="1" t="str">
        <f>HYPERLINK("http://www.rosaceae.org/gb/gbrowse/malus_x_domestica/?name=MDP0000527046","MDP0000527046")</f>
        <v>MDP0000527046</v>
      </c>
      <c r="D11460">
        <v>74.66</v>
      </c>
      <c r="E11460">
        <v>150</v>
      </c>
      <c r="F11460">
        <v>38</v>
      </c>
      <c r="G11460">
        <v>0</v>
      </c>
      <c r="H11460">
        <v>18</v>
      </c>
      <c r="I11460">
        <v>167</v>
      </c>
      <c r="J11460">
        <v>1</v>
      </c>
      <c r="K11460">
        <v>198</v>
      </c>
      <c r="L11460">
        <v>347</v>
      </c>
      <c r="M11460">
        <v>1</v>
      </c>
      <c r="N11460">
        <v>3.8706099999999997E-61</v>
      </c>
      <c r="O11460">
        <v>587</v>
      </c>
    </row>
    <row r="11461" spans="1:15" x14ac:dyDescent="0.25">
      <c r="A11461" t="s">
        <v>11474</v>
      </c>
      <c r="B11461">
        <v>375</v>
      </c>
      <c r="C11461" s="1" t="str">
        <f>HYPERLINK("http://www.rosaceae.org/gb/gbrowse/malus_x_domestica/?name=MDP0000186655","MDP0000186655")</f>
        <v>MDP0000186655</v>
      </c>
      <c r="D11461">
        <v>62.56</v>
      </c>
      <c r="E11461">
        <v>203</v>
      </c>
      <c r="F11461">
        <v>76</v>
      </c>
      <c r="G11461">
        <v>4</v>
      </c>
      <c r="H11461">
        <v>84</v>
      </c>
      <c r="I11461">
        <v>283</v>
      </c>
      <c r="J11461">
        <v>1</v>
      </c>
      <c r="K11461">
        <v>124</v>
      </c>
      <c r="L11461">
        <v>325</v>
      </c>
      <c r="M11461">
        <v>1</v>
      </c>
      <c r="N11461">
        <v>1.6372100000000001E-68</v>
      </c>
      <c r="O11461">
        <v>656</v>
      </c>
    </row>
    <row r="11462" spans="1:15" x14ac:dyDescent="0.25">
      <c r="A11462" t="s">
        <v>11475</v>
      </c>
      <c r="B11462">
        <v>212</v>
      </c>
      <c r="C11462" s="1" t="str">
        <f>HYPERLINK("http://www.rosaceae.org/gb/gbrowse/malus_x_domestica/?name=MDP0000240690","MDP0000240690")</f>
        <v>MDP0000240690</v>
      </c>
      <c r="D11462">
        <v>46.88</v>
      </c>
      <c r="E11462">
        <v>209</v>
      </c>
      <c r="F11462">
        <v>111</v>
      </c>
      <c r="G11462">
        <v>1</v>
      </c>
      <c r="H11462">
        <v>2</v>
      </c>
      <c r="I11462">
        <v>210</v>
      </c>
      <c r="J11462">
        <v>1</v>
      </c>
      <c r="K11462">
        <v>56</v>
      </c>
      <c r="L11462">
        <v>263</v>
      </c>
      <c r="M11462">
        <v>1</v>
      </c>
      <c r="N11462">
        <v>1.9461499999999999E-55</v>
      </c>
      <c r="O11462">
        <v>540</v>
      </c>
    </row>
    <row r="11463" spans="1:15" x14ac:dyDescent="0.25">
      <c r="A11463" t="s">
        <v>11476</v>
      </c>
      <c r="B11463">
        <v>173</v>
      </c>
      <c r="C11463" s="1" t="str">
        <f>HYPERLINK("http://www.rosaceae.org/gb/gbrowse/malus_x_domestica/?name=MDP0000320789","MDP0000320789")</f>
        <v>MDP0000320789</v>
      </c>
      <c r="D11463">
        <v>70.709999999999994</v>
      </c>
      <c r="E11463">
        <v>181</v>
      </c>
      <c r="F11463">
        <v>53</v>
      </c>
      <c r="G11463">
        <v>14</v>
      </c>
      <c r="H11463">
        <v>3</v>
      </c>
      <c r="I11463">
        <v>171</v>
      </c>
      <c r="J11463">
        <v>1</v>
      </c>
      <c r="K11463">
        <v>725</v>
      </c>
      <c r="L11463">
        <v>903</v>
      </c>
      <c r="M11463">
        <v>1</v>
      </c>
      <c r="N11463">
        <v>4.8708799999999996E-66</v>
      </c>
      <c r="O11463">
        <v>630</v>
      </c>
    </row>
    <row r="11464" spans="1:15" x14ac:dyDescent="0.25">
      <c r="A11464" t="s">
        <v>11477</v>
      </c>
      <c r="B11464">
        <v>761</v>
      </c>
      <c r="C11464" s="1" t="str">
        <f>HYPERLINK("http://www.rosaceae.org/gb/gbrowse/malus_x_domestica/?name=MDP0000710146","MDP0000710146")</f>
        <v>MDP0000710146</v>
      </c>
      <c r="D11464">
        <v>79.72</v>
      </c>
      <c r="E11464">
        <v>735</v>
      </c>
      <c r="F11464">
        <v>149</v>
      </c>
      <c r="G11464">
        <v>2</v>
      </c>
      <c r="H11464">
        <v>27</v>
      </c>
      <c r="I11464">
        <v>761</v>
      </c>
      <c r="J11464">
        <v>1</v>
      </c>
      <c r="K11464">
        <v>65</v>
      </c>
      <c r="L11464">
        <v>797</v>
      </c>
      <c r="M11464">
        <v>1</v>
      </c>
      <c r="N11464">
        <v>0</v>
      </c>
      <c r="O11464">
        <v>3154</v>
      </c>
    </row>
    <row r="11465" spans="1:15" x14ac:dyDescent="0.25">
      <c r="A11465" t="s">
        <v>11478</v>
      </c>
      <c r="B11465">
        <v>333</v>
      </c>
      <c r="C11465" s="1" t="str">
        <f>HYPERLINK("http://www.rosaceae.org/gb/gbrowse/malus_x_domestica/?name=MDP0000500222","MDP0000500222")</f>
        <v>MDP0000500222</v>
      </c>
      <c r="D11465">
        <v>37.29</v>
      </c>
      <c r="E11465">
        <v>303</v>
      </c>
      <c r="F11465">
        <v>190</v>
      </c>
      <c r="G11465">
        <v>60</v>
      </c>
      <c r="H11465">
        <v>11</v>
      </c>
      <c r="I11465">
        <v>276</v>
      </c>
      <c r="J11465">
        <v>1</v>
      </c>
      <c r="K11465">
        <v>142</v>
      </c>
      <c r="L11465">
        <v>421</v>
      </c>
      <c r="M11465">
        <v>1</v>
      </c>
      <c r="N11465">
        <v>9.9863000000000001E-39</v>
      </c>
      <c r="O11465">
        <v>398</v>
      </c>
    </row>
    <row r="11466" spans="1:15" x14ac:dyDescent="0.25">
      <c r="A11466" t="s">
        <v>11479</v>
      </c>
      <c r="B11466">
        <v>652</v>
      </c>
      <c r="C11466" s="1" t="str">
        <f>HYPERLINK("http://www.rosaceae.org/gb/gbrowse/malus_x_domestica/?name=MDP0000302157","MDP0000302157")</f>
        <v>MDP0000302157</v>
      </c>
      <c r="D11466">
        <v>30.01</v>
      </c>
      <c r="E11466">
        <v>503</v>
      </c>
      <c r="F11466">
        <v>352</v>
      </c>
      <c r="G11466">
        <v>76</v>
      </c>
      <c r="H11466">
        <v>157</v>
      </c>
      <c r="I11466">
        <v>639</v>
      </c>
      <c r="J11466">
        <v>1</v>
      </c>
      <c r="K11466">
        <v>81</v>
      </c>
      <c r="L11466">
        <v>527</v>
      </c>
      <c r="M11466">
        <v>1</v>
      </c>
      <c r="N11466">
        <v>1.7891599999999999E-57</v>
      </c>
      <c r="O11466">
        <v>563</v>
      </c>
    </row>
    <row r="11467" spans="1:15" x14ac:dyDescent="0.25">
      <c r="A11467" t="s">
        <v>11480</v>
      </c>
      <c r="B11467">
        <v>610</v>
      </c>
      <c r="C11467" s="1" t="str">
        <f>HYPERLINK("http://www.rosaceae.org/gb/gbrowse/malus_x_domestica/?name=MDP0000781065","MDP0000781065")</f>
        <v>MDP0000781065</v>
      </c>
      <c r="D11467">
        <v>42.85</v>
      </c>
      <c r="E11467">
        <v>616</v>
      </c>
      <c r="F11467">
        <v>352</v>
      </c>
      <c r="G11467">
        <v>16</v>
      </c>
      <c r="H11467">
        <v>1</v>
      </c>
      <c r="I11467">
        <v>606</v>
      </c>
      <c r="J11467">
        <v>1</v>
      </c>
      <c r="K11467">
        <v>42</v>
      </c>
      <c r="L11467">
        <v>651</v>
      </c>
      <c r="M11467">
        <v>1</v>
      </c>
      <c r="N11467">
        <v>2.60682E-141</v>
      </c>
      <c r="O11467">
        <v>1286</v>
      </c>
    </row>
    <row r="11468" spans="1:15" x14ac:dyDescent="0.25">
      <c r="A11468" t="s">
        <v>11481</v>
      </c>
      <c r="B11468">
        <v>107</v>
      </c>
      <c r="C11468" s="1" t="str">
        <f>HYPERLINK("http://www.rosaceae.org/gb/gbrowse/malus_x_domestica/?name=MDP0000141457","MDP0000141457")</f>
        <v>MDP0000141457</v>
      </c>
      <c r="D11468">
        <v>44.36</v>
      </c>
      <c r="E11468">
        <v>133</v>
      </c>
      <c r="F11468">
        <v>74</v>
      </c>
      <c r="G11468">
        <v>40</v>
      </c>
      <c r="H11468">
        <v>1</v>
      </c>
      <c r="I11468">
        <v>96</v>
      </c>
      <c r="J11468">
        <v>1</v>
      </c>
      <c r="K11468">
        <v>1</v>
      </c>
      <c r="L11468">
        <v>130</v>
      </c>
      <c r="M11468">
        <v>1</v>
      </c>
      <c r="N11468">
        <v>9.8965599999999993E-19</v>
      </c>
      <c r="O11468">
        <v>219</v>
      </c>
    </row>
    <row r="11469" spans="1:15" x14ac:dyDescent="0.25">
      <c r="A11469" t="s">
        <v>11482</v>
      </c>
      <c r="B11469">
        <v>483</v>
      </c>
      <c r="C11469" s="1" t="str">
        <f>HYPERLINK("http://www.rosaceae.org/gb/gbrowse/malus_x_domestica/?name=MDP0000295860","MDP0000295860")</f>
        <v>MDP0000295860</v>
      </c>
      <c r="D11469">
        <v>81.739999999999995</v>
      </c>
      <c r="E11469">
        <v>367</v>
      </c>
      <c r="F11469">
        <v>67</v>
      </c>
      <c r="G11469">
        <v>18</v>
      </c>
      <c r="H11469">
        <v>133</v>
      </c>
      <c r="I11469">
        <v>483</v>
      </c>
      <c r="J11469">
        <v>1</v>
      </c>
      <c r="K11469">
        <v>39</v>
      </c>
      <c r="L11469">
        <v>403</v>
      </c>
      <c r="M11469">
        <v>1</v>
      </c>
      <c r="N11469">
        <v>5.09399E-176</v>
      </c>
      <c r="O11469">
        <v>1584</v>
      </c>
    </row>
    <row r="11470" spans="1:15" x14ac:dyDescent="0.25">
      <c r="A11470" t="s">
        <v>11483</v>
      </c>
      <c r="B11470">
        <v>443</v>
      </c>
      <c r="C11470" s="1" t="str">
        <f>HYPERLINK("http://www.rosaceae.org/gb/gbrowse/malus_x_domestica/?name=MDP0000247921","MDP0000247921")</f>
        <v>MDP0000247921</v>
      </c>
      <c r="D11470">
        <v>30.69</v>
      </c>
      <c r="E11470">
        <v>430</v>
      </c>
      <c r="F11470">
        <v>298</v>
      </c>
      <c r="G11470">
        <v>22</v>
      </c>
      <c r="H11470">
        <v>1</v>
      </c>
      <c r="I11470">
        <v>420</v>
      </c>
      <c r="J11470">
        <v>1</v>
      </c>
      <c r="K11470">
        <v>712</v>
      </c>
      <c r="L11470">
        <v>1129</v>
      </c>
      <c r="M11470">
        <v>1</v>
      </c>
      <c r="N11470">
        <v>6.4421399999999997E-43</v>
      </c>
      <c r="O11470">
        <v>436</v>
      </c>
    </row>
    <row r="11471" spans="1:15" x14ac:dyDescent="0.25">
      <c r="A11471" t="s">
        <v>11484</v>
      </c>
      <c r="B11471">
        <v>492</v>
      </c>
      <c r="C11471" s="1" t="str">
        <f>HYPERLINK("http://www.rosaceae.org/gb/gbrowse/malus_x_domestica/?name=MDP0000259849","MDP0000259849")</f>
        <v>MDP0000259849</v>
      </c>
      <c r="D11471">
        <v>80.930000000000007</v>
      </c>
      <c r="E11471">
        <v>472</v>
      </c>
      <c r="F11471">
        <v>90</v>
      </c>
      <c r="G11471">
        <v>18</v>
      </c>
      <c r="H11471">
        <v>1</v>
      </c>
      <c r="I11471">
        <v>455</v>
      </c>
      <c r="J11471">
        <v>1</v>
      </c>
      <c r="K11471">
        <v>1</v>
      </c>
      <c r="L11471">
        <v>471</v>
      </c>
      <c r="M11471">
        <v>1</v>
      </c>
      <c r="N11471">
        <v>0</v>
      </c>
      <c r="O11471">
        <v>2010</v>
      </c>
    </row>
    <row r="11472" spans="1:15" x14ac:dyDescent="0.25">
      <c r="A11472" t="s">
        <v>11485</v>
      </c>
      <c r="B11472">
        <v>355</v>
      </c>
      <c r="C11472" s="1" t="str">
        <f>HYPERLINK("http://www.rosaceae.org/gb/gbrowse/malus_x_domestica/?name=MDP0000132977","MDP0000132977")</f>
        <v>MDP0000132977</v>
      </c>
      <c r="D11472">
        <v>73.91</v>
      </c>
      <c r="E11472">
        <v>345</v>
      </c>
      <c r="F11472">
        <v>90</v>
      </c>
      <c r="G11472">
        <v>26</v>
      </c>
      <c r="H11472">
        <v>1</v>
      </c>
      <c r="I11472">
        <v>342</v>
      </c>
      <c r="J11472">
        <v>1</v>
      </c>
      <c r="K11472">
        <v>1</v>
      </c>
      <c r="L11472">
        <v>322</v>
      </c>
      <c r="M11472">
        <v>1</v>
      </c>
      <c r="N11472">
        <v>8.6188399999999994E-146</v>
      </c>
      <c r="O11472">
        <v>1322</v>
      </c>
    </row>
    <row r="11473" spans="1:15" x14ac:dyDescent="0.25">
      <c r="A11473" t="s">
        <v>11486</v>
      </c>
      <c r="B11473">
        <v>415</v>
      </c>
      <c r="C11473" s="1" t="str">
        <f>HYPERLINK("http://www.rosaceae.org/gb/gbrowse/malus_x_domestica/?name=MDP0000200884","MDP0000200884")</f>
        <v>MDP0000200884</v>
      </c>
      <c r="D11473">
        <v>63.84</v>
      </c>
      <c r="E11473">
        <v>130</v>
      </c>
      <c r="F11473">
        <v>47</v>
      </c>
      <c r="G11473">
        <v>34</v>
      </c>
      <c r="H11473">
        <v>4</v>
      </c>
      <c r="I11473">
        <v>100</v>
      </c>
      <c r="J11473">
        <v>1</v>
      </c>
      <c r="K11473">
        <v>20</v>
      </c>
      <c r="L11473">
        <v>148</v>
      </c>
      <c r="M11473">
        <v>1</v>
      </c>
      <c r="N11473">
        <v>3.4060699999999998E-37</v>
      </c>
      <c r="O11473">
        <v>386</v>
      </c>
    </row>
    <row r="11474" spans="1:15" x14ac:dyDescent="0.25">
      <c r="A11474" t="s">
        <v>11487</v>
      </c>
      <c r="B11474">
        <v>360</v>
      </c>
      <c r="C11474" s="1" t="str">
        <f>HYPERLINK("http://www.rosaceae.org/gb/gbrowse/malus_x_domestica/?name=MDP0000206106","MDP0000206106")</f>
        <v>MDP0000206106</v>
      </c>
      <c r="D11474">
        <v>46.62</v>
      </c>
      <c r="E11474">
        <v>296</v>
      </c>
      <c r="F11474">
        <v>158</v>
      </c>
      <c r="G11474">
        <v>22</v>
      </c>
      <c r="H11474">
        <v>6</v>
      </c>
      <c r="I11474">
        <v>292</v>
      </c>
      <c r="J11474">
        <v>1</v>
      </c>
      <c r="K11474">
        <v>7</v>
      </c>
      <c r="L11474">
        <v>289</v>
      </c>
      <c r="M11474">
        <v>1</v>
      </c>
      <c r="N11474">
        <v>7.3732199999999998E-62</v>
      </c>
      <c r="O11474">
        <v>598</v>
      </c>
    </row>
    <row r="11475" spans="1:15" x14ac:dyDescent="0.25">
      <c r="A11475" t="s">
        <v>11488</v>
      </c>
      <c r="B11475">
        <v>534</v>
      </c>
      <c r="C11475" s="1" t="str">
        <f>HYPERLINK("http://www.rosaceae.org/gb/gbrowse/malus_x_domestica/?name=MDP0000930760","MDP0000930760")</f>
        <v>MDP0000930760</v>
      </c>
      <c r="D11475">
        <v>87.45</v>
      </c>
      <c r="E11475">
        <v>534</v>
      </c>
      <c r="F11475">
        <v>67</v>
      </c>
      <c r="G11475">
        <v>0</v>
      </c>
      <c r="H11475">
        <v>1</v>
      </c>
      <c r="I11475">
        <v>534</v>
      </c>
      <c r="J11475">
        <v>1</v>
      </c>
      <c r="K11475">
        <v>1</v>
      </c>
      <c r="L11475">
        <v>534</v>
      </c>
      <c r="M11475">
        <v>1</v>
      </c>
      <c r="N11475">
        <v>0</v>
      </c>
      <c r="O11475">
        <v>2525</v>
      </c>
    </row>
    <row r="11476" spans="1:15" x14ac:dyDescent="0.25">
      <c r="A11476" t="s">
        <v>11489</v>
      </c>
      <c r="B11476">
        <v>379</v>
      </c>
      <c r="C11476" s="1" t="str">
        <f>HYPERLINK("http://www.rosaceae.org/gb/gbrowse/malus_x_domestica/?name=MDP0000180284","MDP0000180284")</f>
        <v>MDP0000180284</v>
      </c>
      <c r="D11476">
        <v>93.93</v>
      </c>
      <c r="E11476">
        <v>363</v>
      </c>
      <c r="F11476">
        <v>22</v>
      </c>
      <c r="G11476">
        <v>3</v>
      </c>
      <c r="H11476">
        <v>6</v>
      </c>
      <c r="I11476">
        <v>365</v>
      </c>
      <c r="J11476">
        <v>1</v>
      </c>
      <c r="K11476">
        <v>44</v>
      </c>
      <c r="L11476">
        <v>406</v>
      </c>
      <c r="M11476">
        <v>1</v>
      </c>
      <c r="N11476">
        <v>0</v>
      </c>
      <c r="O11476">
        <v>1856</v>
      </c>
    </row>
    <row r="11477" spans="1:15" x14ac:dyDescent="0.25">
      <c r="A11477" t="s">
        <v>11490</v>
      </c>
      <c r="B11477">
        <v>456</v>
      </c>
      <c r="C11477" s="1" t="str">
        <f>HYPERLINK("http://www.rosaceae.org/gb/gbrowse/malus_x_domestica/?name=MDP0000205158","MDP0000205158")</f>
        <v>MDP0000205158</v>
      </c>
      <c r="D11477">
        <v>72.37</v>
      </c>
      <c r="E11477">
        <v>467</v>
      </c>
      <c r="F11477">
        <v>129</v>
      </c>
      <c r="G11477">
        <v>14</v>
      </c>
      <c r="H11477">
        <v>3</v>
      </c>
      <c r="I11477">
        <v>455</v>
      </c>
      <c r="J11477">
        <v>1</v>
      </c>
      <c r="K11477">
        <v>2</v>
      </c>
      <c r="L11477">
        <v>468</v>
      </c>
      <c r="M11477">
        <v>1</v>
      </c>
      <c r="N11477">
        <v>0</v>
      </c>
      <c r="O11477">
        <v>1719</v>
      </c>
    </row>
    <row r="11478" spans="1:15" x14ac:dyDescent="0.25">
      <c r="A11478" t="s">
        <v>11491</v>
      </c>
      <c r="B11478">
        <v>251</v>
      </c>
      <c r="C11478" s="1" t="str">
        <f>HYPERLINK("http://www.rosaceae.org/gb/gbrowse/malus_x_domestica/?name=MDP0000129677","MDP0000129677")</f>
        <v>MDP0000129677</v>
      </c>
      <c r="D11478">
        <v>84.01</v>
      </c>
      <c r="E11478">
        <v>219</v>
      </c>
      <c r="F11478">
        <v>35</v>
      </c>
      <c r="G11478">
        <v>13</v>
      </c>
      <c r="H11478">
        <v>46</v>
      </c>
      <c r="I11478">
        <v>251</v>
      </c>
      <c r="J11478">
        <v>1</v>
      </c>
      <c r="K11478">
        <v>1</v>
      </c>
      <c r="L11478">
        <v>219</v>
      </c>
      <c r="M11478">
        <v>1</v>
      </c>
      <c r="N11478">
        <v>8.0033599999999995E-101</v>
      </c>
      <c r="O11478">
        <v>932</v>
      </c>
    </row>
    <row r="11479" spans="1:15" x14ac:dyDescent="0.25">
      <c r="A11479" t="s">
        <v>11492</v>
      </c>
      <c r="B11479">
        <v>380</v>
      </c>
      <c r="C11479" s="1" t="str">
        <f>HYPERLINK("http://www.rosaceae.org/gb/gbrowse/malus_x_domestica/?name=MDP0000296317","MDP0000296317")</f>
        <v>MDP0000296317</v>
      </c>
      <c r="D11479">
        <v>31.06</v>
      </c>
      <c r="E11479">
        <v>412</v>
      </c>
      <c r="F11479">
        <v>284</v>
      </c>
      <c r="G11479">
        <v>74</v>
      </c>
      <c r="H11479">
        <v>1</v>
      </c>
      <c r="I11479">
        <v>378</v>
      </c>
      <c r="J11479">
        <v>1</v>
      </c>
      <c r="K11479">
        <v>201</v>
      </c>
      <c r="L11479">
        <v>572</v>
      </c>
      <c r="M11479">
        <v>1</v>
      </c>
      <c r="N11479">
        <v>6.1839299999999996E-37</v>
      </c>
      <c r="O11479">
        <v>384</v>
      </c>
    </row>
    <row r="11480" spans="1:15" x14ac:dyDescent="0.25">
      <c r="A11480" t="s">
        <v>11493</v>
      </c>
      <c r="B11480">
        <v>1015</v>
      </c>
      <c r="C11480" s="1" t="str">
        <f>HYPERLINK("http://www.rosaceae.org/gb/gbrowse/malus_x_domestica/?name=MDP0000251701","MDP0000251701")</f>
        <v>MDP0000251701</v>
      </c>
      <c r="D11480">
        <v>86.13</v>
      </c>
      <c r="E11480">
        <v>988</v>
      </c>
      <c r="F11480">
        <v>137</v>
      </c>
      <c r="G11480">
        <v>13</v>
      </c>
      <c r="H11480">
        <v>27</v>
      </c>
      <c r="I11480">
        <v>1004</v>
      </c>
      <c r="J11480">
        <v>1</v>
      </c>
      <c r="K11480">
        <v>31</v>
      </c>
      <c r="L11480">
        <v>1015</v>
      </c>
      <c r="M11480">
        <v>1</v>
      </c>
      <c r="N11480">
        <v>0</v>
      </c>
      <c r="O11480">
        <v>4429</v>
      </c>
    </row>
    <row r="11481" spans="1:15" x14ac:dyDescent="0.25">
      <c r="A11481" t="s">
        <v>11494</v>
      </c>
      <c r="B11481">
        <v>196</v>
      </c>
      <c r="C11481" s="1" t="str">
        <f>HYPERLINK("http://www.rosaceae.org/gb/gbrowse/malus_x_domestica/?name=MDP0000204794","MDP0000204794")</f>
        <v>MDP0000204794</v>
      </c>
      <c r="D11481">
        <v>31.18</v>
      </c>
      <c r="E11481">
        <v>93</v>
      </c>
      <c r="F11481">
        <v>64</v>
      </c>
      <c r="G11481">
        <v>3</v>
      </c>
      <c r="H11481">
        <v>6</v>
      </c>
      <c r="I11481">
        <v>97</v>
      </c>
      <c r="J11481">
        <v>1</v>
      </c>
      <c r="K11481">
        <v>351</v>
      </c>
      <c r="L11481">
        <v>441</v>
      </c>
      <c r="M11481">
        <v>1</v>
      </c>
      <c r="N11481">
        <v>2.85673E-8</v>
      </c>
      <c r="O11481">
        <v>133</v>
      </c>
    </row>
    <row r="11482" spans="1:15" x14ac:dyDescent="0.25">
      <c r="A11482" t="s">
        <v>11495</v>
      </c>
      <c r="B11482">
        <v>1006</v>
      </c>
      <c r="C11482" s="1" t="str">
        <f>HYPERLINK("http://www.rosaceae.org/gb/gbrowse/malus_x_domestica/?name=MDP0000246196","MDP0000246196")</f>
        <v>MDP0000246196</v>
      </c>
      <c r="D11482">
        <v>58.57</v>
      </c>
      <c r="E11482">
        <v>717</v>
      </c>
      <c r="F11482">
        <v>297</v>
      </c>
      <c r="G11482">
        <v>76</v>
      </c>
      <c r="H11482">
        <v>12</v>
      </c>
      <c r="I11482">
        <v>719</v>
      </c>
      <c r="J11482">
        <v>1</v>
      </c>
      <c r="K11482">
        <v>1</v>
      </c>
      <c r="L11482">
        <v>650</v>
      </c>
      <c r="M11482">
        <v>1</v>
      </c>
      <c r="N11482">
        <v>0</v>
      </c>
      <c r="O11482">
        <v>1834</v>
      </c>
    </row>
    <row r="11483" spans="1:15" x14ac:dyDescent="0.25">
      <c r="A11483" t="s">
        <v>11496</v>
      </c>
      <c r="B11483">
        <v>670</v>
      </c>
      <c r="C11483" s="1" t="str">
        <f>HYPERLINK("http://www.rosaceae.org/gb/gbrowse/malus_x_domestica/?name=MDP0000253306","MDP0000253306")</f>
        <v>MDP0000253306</v>
      </c>
      <c r="D11483">
        <v>92.97</v>
      </c>
      <c r="E11483">
        <v>413</v>
      </c>
      <c r="F11483">
        <v>29</v>
      </c>
      <c r="G11483">
        <v>6</v>
      </c>
      <c r="H11483">
        <v>1</v>
      </c>
      <c r="I11483">
        <v>407</v>
      </c>
      <c r="J11483">
        <v>1</v>
      </c>
      <c r="K11483">
        <v>1</v>
      </c>
      <c r="L11483">
        <v>413</v>
      </c>
      <c r="M11483">
        <v>1</v>
      </c>
      <c r="N11483">
        <v>0</v>
      </c>
      <c r="O11483">
        <v>2049</v>
      </c>
    </row>
    <row r="11484" spans="1:15" x14ac:dyDescent="0.25">
      <c r="A11484" t="s">
        <v>11497</v>
      </c>
      <c r="B11484">
        <v>378</v>
      </c>
      <c r="C11484" s="1" t="str">
        <f>HYPERLINK("http://www.rosaceae.org/gb/gbrowse/malus_x_domestica/?name=MDP0000181681","MDP0000181681")</f>
        <v>MDP0000181681</v>
      </c>
      <c r="D11484">
        <v>42.2</v>
      </c>
      <c r="E11484">
        <v>372</v>
      </c>
      <c r="F11484">
        <v>215</v>
      </c>
      <c r="G11484">
        <v>38</v>
      </c>
      <c r="H11484">
        <v>31</v>
      </c>
      <c r="I11484">
        <v>372</v>
      </c>
      <c r="J11484">
        <v>1</v>
      </c>
      <c r="K11484">
        <v>36</v>
      </c>
      <c r="L11484">
        <v>399</v>
      </c>
      <c r="M11484">
        <v>1</v>
      </c>
      <c r="N11484">
        <v>1.0717599999999999E-71</v>
      </c>
      <c r="O11484">
        <v>683</v>
      </c>
    </row>
    <row r="11485" spans="1:15" x14ac:dyDescent="0.25">
      <c r="A11485" t="s">
        <v>11498</v>
      </c>
      <c r="B11485">
        <v>149</v>
      </c>
      <c r="C11485" s="1" t="str">
        <f>HYPERLINK("http://www.rosaceae.org/gb/gbrowse/malus_x_domestica/?name=MDP0000165833","MDP0000165833")</f>
        <v>MDP0000165833</v>
      </c>
      <c r="D11485">
        <v>41.89</v>
      </c>
      <c r="E11485">
        <v>74</v>
      </c>
      <c r="F11485">
        <v>43</v>
      </c>
      <c r="G11485">
        <v>0</v>
      </c>
      <c r="H11485">
        <v>10</v>
      </c>
      <c r="I11485">
        <v>83</v>
      </c>
      <c r="J11485">
        <v>1</v>
      </c>
      <c r="K11485">
        <v>521</v>
      </c>
      <c r="L11485">
        <v>594</v>
      </c>
      <c r="M11485">
        <v>1</v>
      </c>
      <c r="N11485">
        <v>6.8301700000000002E-9</v>
      </c>
      <c r="O11485">
        <v>136</v>
      </c>
    </row>
    <row r="11486" spans="1:15" x14ac:dyDescent="0.25">
      <c r="A11486" t="s">
        <v>11499</v>
      </c>
      <c r="B11486">
        <v>177</v>
      </c>
      <c r="C11486" s="1" t="str">
        <f>HYPERLINK("http://www.rosaceae.org/gb/gbrowse/malus_x_domestica/?name=MDP0000944177","MDP0000944177")</f>
        <v>MDP0000944177</v>
      </c>
      <c r="D11486">
        <v>49.65</v>
      </c>
      <c r="E11486">
        <v>147</v>
      </c>
      <c r="F11486">
        <v>74</v>
      </c>
      <c r="G11486">
        <v>15</v>
      </c>
      <c r="H11486">
        <v>36</v>
      </c>
      <c r="I11486">
        <v>177</v>
      </c>
      <c r="J11486">
        <v>1</v>
      </c>
      <c r="K11486">
        <v>35</v>
      </c>
      <c r="L11486">
        <v>171</v>
      </c>
      <c r="M11486">
        <v>1</v>
      </c>
      <c r="N11486">
        <v>6.6642600000000002E-25</v>
      </c>
      <c r="O11486">
        <v>275</v>
      </c>
    </row>
    <row r="11487" spans="1:15" x14ac:dyDescent="0.25">
      <c r="A11487" t="s">
        <v>11500</v>
      </c>
      <c r="B11487">
        <v>228</v>
      </c>
      <c r="C11487" s="1" t="str">
        <f>HYPERLINK("http://www.rosaceae.org/gb/gbrowse/malus_x_domestica/?name=MDP0000233110","MDP0000233110")</f>
        <v>MDP0000233110</v>
      </c>
      <c r="D11487">
        <v>74.77</v>
      </c>
      <c r="E11487">
        <v>222</v>
      </c>
      <c r="F11487">
        <v>56</v>
      </c>
      <c r="G11487">
        <v>1</v>
      </c>
      <c r="H11487">
        <v>3</v>
      </c>
      <c r="I11487">
        <v>224</v>
      </c>
      <c r="J11487">
        <v>1</v>
      </c>
      <c r="K11487">
        <v>209</v>
      </c>
      <c r="L11487">
        <v>429</v>
      </c>
      <c r="M11487">
        <v>1</v>
      </c>
      <c r="N11487">
        <v>1.5821E-93</v>
      </c>
      <c r="O11487">
        <v>869</v>
      </c>
    </row>
    <row r="11488" spans="1:15" x14ac:dyDescent="0.25">
      <c r="A11488" t="s">
        <v>11501</v>
      </c>
      <c r="B11488">
        <v>237</v>
      </c>
      <c r="C11488" s="1" t="str">
        <f>HYPERLINK("http://www.rosaceae.org/gb/gbrowse/malus_x_domestica/?name=MDP0000204794","MDP0000204794")</f>
        <v>MDP0000204794</v>
      </c>
      <c r="D11488">
        <v>31.77</v>
      </c>
      <c r="E11488">
        <v>214</v>
      </c>
      <c r="F11488">
        <v>146</v>
      </c>
      <c r="G11488">
        <v>3</v>
      </c>
      <c r="H11488">
        <v>4</v>
      </c>
      <c r="I11488">
        <v>216</v>
      </c>
      <c r="J11488">
        <v>1</v>
      </c>
      <c r="K11488">
        <v>341</v>
      </c>
      <c r="L11488">
        <v>552</v>
      </c>
      <c r="M11488">
        <v>1</v>
      </c>
      <c r="N11488">
        <v>2.8672600000000001E-32</v>
      </c>
      <c r="O11488">
        <v>341</v>
      </c>
    </row>
    <row r="11489" spans="1:15" x14ac:dyDescent="0.25">
      <c r="A11489" t="s">
        <v>11502</v>
      </c>
      <c r="B11489">
        <v>539</v>
      </c>
      <c r="C11489" s="1" t="str">
        <f>HYPERLINK("http://www.rosaceae.org/gb/gbrowse/malus_x_domestica/?name=MDP0000691953","MDP0000691953")</f>
        <v>MDP0000691953</v>
      </c>
      <c r="D11489">
        <v>40.51</v>
      </c>
      <c r="E11489">
        <v>580</v>
      </c>
      <c r="F11489">
        <v>345</v>
      </c>
      <c r="G11489">
        <v>90</v>
      </c>
      <c r="H11489">
        <v>18</v>
      </c>
      <c r="I11489">
        <v>508</v>
      </c>
      <c r="J11489">
        <v>1</v>
      </c>
      <c r="K11489">
        <v>341</v>
      </c>
      <c r="L11489">
        <v>919</v>
      </c>
      <c r="M11489">
        <v>1</v>
      </c>
      <c r="N11489">
        <v>3.0488299999999999E-102</v>
      </c>
      <c r="O11489">
        <v>949</v>
      </c>
    </row>
    <row r="11490" spans="1:15" x14ac:dyDescent="0.25">
      <c r="A11490" t="s">
        <v>11503</v>
      </c>
      <c r="B11490">
        <v>191</v>
      </c>
      <c r="C11490" s="1" t="str">
        <f>HYPERLINK("http://www.rosaceae.org/gb/gbrowse/malus_x_domestica/?name=MDP0000321309","MDP0000321309")</f>
        <v>MDP0000321309</v>
      </c>
      <c r="D11490">
        <v>60.78</v>
      </c>
      <c r="E11490">
        <v>51</v>
      </c>
      <c r="F11490">
        <v>20</v>
      </c>
      <c r="G11490">
        <v>4</v>
      </c>
      <c r="H11490">
        <v>1</v>
      </c>
      <c r="I11490">
        <v>51</v>
      </c>
      <c r="J11490">
        <v>1</v>
      </c>
      <c r="K11490">
        <v>1</v>
      </c>
      <c r="L11490">
        <v>47</v>
      </c>
      <c r="M11490">
        <v>1</v>
      </c>
      <c r="N11490">
        <v>3.59814E-10</v>
      </c>
      <c r="O11490">
        <v>149</v>
      </c>
    </row>
    <row r="11491" spans="1:15" x14ac:dyDescent="0.25">
      <c r="A11491" t="s">
        <v>11504</v>
      </c>
      <c r="B11491">
        <v>336</v>
      </c>
      <c r="C11491" s="1" t="str">
        <f>HYPERLINK("http://www.rosaceae.org/gb/gbrowse/malus_x_domestica/?name=MDP0000565238","MDP0000565238")</f>
        <v>MDP0000565238</v>
      </c>
      <c r="D11491">
        <v>78.08</v>
      </c>
      <c r="E11491">
        <v>146</v>
      </c>
      <c r="F11491">
        <v>32</v>
      </c>
      <c r="G11491">
        <v>2</v>
      </c>
      <c r="H11491">
        <v>2</v>
      </c>
      <c r="I11491">
        <v>147</v>
      </c>
      <c r="J11491">
        <v>1</v>
      </c>
      <c r="K11491">
        <v>5</v>
      </c>
      <c r="L11491">
        <v>148</v>
      </c>
      <c r="M11491">
        <v>1</v>
      </c>
      <c r="N11491">
        <v>4.7047399999999997E-61</v>
      </c>
      <c r="O11491">
        <v>591</v>
      </c>
    </row>
    <row r="11492" spans="1:15" x14ac:dyDescent="0.25">
      <c r="A11492" t="s">
        <v>11505</v>
      </c>
      <c r="B11492">
        <v>321</v>
      </c>
      <c r="C11492" s="1" t="str">
        <f>HYPERLINK("http://www.rosaceae.org/gb/gbrowse/malus_x_domestica/?name=MDP0000317700","MDP0000317700")</f>
        <v>MDP0000317700</v>
      </c>
      <c r="D11492">
        <v>35.57</v>
      </c>
      <c r="E11492">
        <v>104</v>
      </c>
      <c r="F11492">
        <v>67</v>
      </c>
      <c r="G11492">
        <v>7</v>
      </c>
      <c r="H11492">
        <v>218</v>
      </c>
      <c r="I11492">
        <v>321</v>
      </c>
      <c r="J11492">
        <v>1</v>
      </c>
      <c r="K11492">
        <v>223</v>
      </c>
      <c r="L11492">
        <v>319</v>
      </c>
      <c r="M11492">
        <v>1</v>
      </c>
      <c r="N11492">
        <v>1.5222200000000001E-10</v>
      </c>
      <c r="O11492">
        <v>155</v>
      </c>
    </row>
    <row r="11493" spans="1:15" x14ac:dyDescent="0.25">
      <c r="A11493" t="s">
        <v>11506</v>
      </c>
      <c r="B11493">
        <v>818</v>
      </c>
      <c r="C11493" s="1" t="str">
        <f>HYPERLINK("http://www.rosaceae.org/gb/gbrowse/malus_x_domestica/?name=MDP0000208437","MDP0000208437")</f>
        <v>MDP0000208437</v>
      </c>
      <c r="D11493">
        <v>81.8</v>
      </c>
      <c r="E11493">
        <v>643</v>
      </c>
      <c r="F11493">
        <v>117</v>
      </c>
      <c r="G11493">
        <v>7</v>
      </c>
      <c r="H11493">
        <v>29</v>
      </c>
      <c r="I11493">
        <v>664</v>
      </c>
      <c r="J11493">
        <v>1</v>
      </c>
      <c r="K11493">
        <v>50</v>
      </c>
      <c r="L11493">
        <v>692</v>
      </c>
      <c r="M11493">
        <v>1</v>
      </c>
      <c r="N11493">
        <v>0</v>
      </c>
      <c r="O11493">
        <v>2842</v>
      </c>
    </row>
    <row r="11494" spans="1:15" x14ac:dyDescent="0.25">
      <c r="A11494" t="s">
        <v>11507</v>
      </c>
      <c r="B11494">
        <v>298</v>
      </c>
      <c r="C11494" s="1" t="str">
        <f>HYPERLINK("http://www.rosaceae.org/gb/gbrowse/malus_x_domestica/?name=MDP0000242322","MDP0000242322")</f>
        <v>MDP0000242322</v>
      </c>
      <c r="D11494">
        <v>79.430000000000007</v>
      </c>
      <c r="E11494">
        <v>316</v>
      </c>
      <c r="F11494">
        <v>65</v>
      </c>
      <c r="G11494">
        <v>18</v>
      </c>
      <c r="H11494">
        <v>1</v>
      </c>
      <c r="I11494">
        <v>298</v>
      </c>
      <c r="J11494">
        <v>1</v>
      </c>
      <c r="K11494">
        <v>1</v>
      </c>
      <c r="L11494">
        <v>316</v>
      </c>
      <c r="M11494">
        <v>1</v>
      </c>
      <c r="N11494">
        <v>1.04462E-147</v>
      </c>
      <c r="O11494">
        <v>1338</v>
      </c>
    </row>
    <row r="11495" spans="1:15" x14ac:dyDescent="0.25">
      <c r="A11495" t="s">
        <v>11508</v>
      </c>
      <c r="B11495">
        <v>522</v>
      </c>
      <c r="C11495" s="1" t="str">
        <f>HYPERLINK("http://www.rosaceae.org/gb/gbrowse/malus_x_domestica/?name=MDP0000288817","MDP0000288817")</f>
        <v>MDP0000288817</v>
      </c>
      <c r="D11495">
        <v>52.99</v>
      </c>
      <c r="E11495">
        <v>417</v>
      </c>
      <c r="F11495">
        <v>196</v>
      </c>
      <c r="G11495">
        <v>6</v>
      </c>
      <c r="H11495">
        <v>11</v>
      </c>
      <c r="I11495">
        <v>421</v>
      </c>
      <c r="J11495">
        <v>1</v>
      </c>
      <c r="K11495">
        <v>651</v>
      </c>
      <c r="L11495">
        <v>1067</v>
      </c>
      <c r="M11495">
        <v>1</v>
      </c>
      <c r="N11495">
        <v>6.2735600000000001E-122</v>
      </c>
      <c r="O11495">
        <v>1118</v>
      </c>
    </row>
    <row r="11496" spans="1:15" x14ac:dyDescent="0.25">
      <c r="A11496" t="s">
        <v>11509</v>
      </c>
      <c r="B11496">
        <v>508</v>
      </c>
      <c r="C11496" s="1" t="str">
        <f>HYPERLINK("http://www.rosaceae.org/gb/gbrowse/malus_x_domestica/?name=MDP0000305746","MDP0000305746")</f>
        <v>MDP0000305746</v>
      </c>
      <c r="D11496">
        <v>58.87</v>
      </c>
      <c r="E11496">
        <v>535</v>
      </c>
      <c r="F11496">
        <v>220</v>
      </c>
      <c r="G11496">
        <v>64</v>
      </c>
      <c r="H11496">
        <v>1</v>
      </c>
      <c r="I11496">
        <v>474</v>
      </c>
      <c r="J11496">
        <v>1</v>
      </c>
      <c r="K11496">
        <v>1</v>
      </c>
      <c r="L11496">
        <v>532</v>
      </c>
      <c r="M11496">
        <v>1</v>
      </c>
      <c r="N11496">
        <v>1.4351200000000001E-170</v>
      </c>
      <c r="O11496">
        <v>1538</v>
      </c>
    </row>
    <row r="11497" spans="1:15" x14ac:dyDescent="0.25">
      <c r="A11497" t="s">
        <v>11510</v>
      </c>
      <c r="B11497">
        <v>304</v>
      </c>
      <c r="C11497" s="1" t="str">
        <f>HYPERLINK("http://www.rosaceae.org/gb/gbrowse/malus_x_domestica/?name=MDP0000254057","MDP0000254057")</f>
        <v>MDP0000254057</v>
      </c>
      <c r="D11497">
        <v>75.08</v>
      </c>
      <c r="E11497">
        <v>305</v>
      </c>
      <c r="F11497">
        <v>76</v>
      </c>
      <c r="G11497">
        <v>5</v>
      </c>
      <c r="H11497">
        <v>1</v>
      </c>
      <c r="I11497">
        <v>304</v>
      </c>
      <c r="J11497">
        <v>1</v>
      </c>
      <c r="K11497">
        <v>1</v>
      </c>
      <c r="L11497">
        <v>301</v>
      </c>
      <c r="M11497">
        <v>1</v>
      </c>
      <c r="N11497">
        <v>2.0906200000000001E-132</v>
      </c>
      <c r="O11497">
        <v>1206</v>
      </c>
    </row>
    <row r="11498" spans="1:15" x14ac:dyDescent="0.25">
      <c r="A11498" t="s">
        <v>11511</v>
      </c>
      <c r="B11498">
        <v>304</v>
      </c>
      <c r="C11498" s="1" t="str">
        <f>HYPERLINK("http://www.rosaceae.org/gb/gbrowse/malus_x_domestica/?name=MDP0000208044","MDP0000208044")</f>
        <v>MDP0000208044</v>
      </c>
      <c r="D11498">
        <v>85.56</v>
      </c>
      <c r="E11498">
        <v>291</v>
      </c>
      <c r="F11498">
        <v>42</v>
      </c>
      <c r="G11498">
        <v>1</v>
      </c>
      <c r="H11498">
        <v>13</v>
      </c>
      <c r="I11498">
        <v>303</v>
      </c>
      <c r="J11498">
        <v>1</v>
      </c>
      <c r="K11498">
        <v>53</v>
      </c>
      <c r="L11498">
        <v>342</v>
      </c>
      <c r="M11498">
        <v>1</v>
      </c>
      <c r="N11498">
        <v>3.8628999999999999E-144</v>
      </c>
      <c r="O11498">
        <v>1307</v>
      </c>
    </row>
    <row r="11499" spans="1:15" x14ac:dyDescent="0.25">
      <c r="A11499" t="s">
        <v>11512</v>
      </c>
      <c r="B11499">
        <v>148</v>
      </c>
      <c r="C11499" s="1" t="str">
        <f>HYPERLINK("http://www.rosaceae.org/gb/gbrowse/malus_x_domestica/?name=MDP0000305441","MDP0000305441")</f>
        <v>MDP0000305441</v>
      </c>
      <c r="D11499">
        <v>77.34</v>
      </c>
      <c r="E11499">
        <v>128</v>
      </c>
      <c r="F11499">
        <v>29</v>
      </c>
      <c r="G11499">
        <v>2</v>
      </c>
      <c r="H11499">
        <v>8</v>
      </c>
      <c r="I11499">
        <v>133</v>
      </c>
      <c r="J11499">
        <v>1</v>
      </c>
      <c r="K11499">
        <v>12</v>
      </c>
      <c r="L11499">
        <v>139</v>
      </c>
      <c r="M11499">
        <v>1</v>
      </c>
      <c r="N11499">
        <v>1.4368700000000001E-56</v>
      </c>
      <c r="O11499">
        <v>547</v>
      </c>
    </row>
    <row r="11500" spans="1:15" x14ac:dyDescent="0.25">
      <c r="A11500" t="s">
        <v>11513</v>
      </c>
      <c r="B11500">
        <v>299</v>
      </c>
      <c r="C11500" s="1" t="str">
        <f>HYPERLINK("http://www.rosaceae.org/gb/gbrowse/malus_x_domestica/?name=MDP0000317700","MDP0000317700")</f>
        <v>MDP0000317700</v>
      </c>
      <c r="D11500">
        <v>30.76</v>
      </c>
      <c r="E11500">
        <v>195</v>
      </c>
      <c r="F11500">
        <v>135</v>
      </c>
      <c r="G11500">
        <v>47</v>
      </c>
      <c r="H11500">
        <v>10</v>
      </c>
      <c r="I11500">
        <v>162</v>
      </c>
      <c r="J11500">
        <v>1</v>
      </c>
      <c r="K11500">
        <v>533</v>
      </c>
      <c r="L11500">
        <v>722</v>
      </c>
      <c r="M11500">
        <v>1</v>
      </c>
      <c r="N11500">
        <v>6.0904100000000001E-12</v>
      </c>
      <c r="O11500">
        <v>167</v>
      </c>
    </row>
    <row r="11501" spans="1:15" x14ac:dyDescent="0.25">
      <c r="A11501" t="s">
        <v>11514</v>
      </c>
      <c r="B11501">
        <v>228</v>
      </c>
      <c r="C11501" s="1" t="str">
        <f>HYPERLINK("http://www.rosaceae.org/gb/gbrowse/malus_x_domestica/?name=MDP0000175968","MDP0000175968")</f>
        <v>MDP0000175968</v>
      </c>
      <c r="D11501">
        <v>55.14</v>
      </c>
      <c r="E11501">
        <v>214</v>
      </c>
      <c r="F11501">
        <v>96</v>
      </c>
      <c r="G11501">
        <v>12</v>
      </c>
      <c r="H11501">
        <v>3</v>
      </c>
      <c r="I11501">
        <v>209</v>
      </c>
      <c r="J11501">
        <v>1</v>
      </c>
      <c r="K11501">
        <v>2</v>
      </c>
      <c r="L11501">
        <v>210</v>
      </c>
      <c r="M11501">
        <v>1</v>
      </c>
      <c r="N11501">
        <v>2.23598E-51</v>
      </c>
      <c r="O11501">
        <v>505</v>
      </c>
    </row>
    <row r="11502" spans="1:15" x14ac:dyDescent="0.25">
      <c r="A11502" t="s">
        <v>11515</v>
      </c>
      <c r="B11502">
        <v>239</v>
      </c>
      <c r="C11502" s="1" t="str">
        <f>HYPERLINK("http://www.rosaceae.org/gb/gbrowse/malus_x_domestica/?name=MDP0000269869","MDP0000269869")</f>
        <v>MDP0000269869</v>
      </c>
      <c r="D11502">
        <v>31.32</v>
      </c>
      <c r="E11502">
        <v>166</v>
      </c>
      <c r="F11502">
        <v>114</v>
      </c>
      <c r="G11502">
        <v>19</v>
      </c>
      <c r="H11502">
        <v>28</v>
      </c>
      <c r="I11502">
        <v>190</v>
      </c>
      <c r="J11502">
        <v>1</v>
      </c>
      <c r="K11502">
        <v>321</v>
      </c>
      <c r="L11502">
        <v>470</v>
      </c>
      <c r="M11502">
        <v>1</v>
      </c>
      <c r="N11502">
        <v>5.4660700000000001E-15</v>
      </c>
      <c r="O11502">
        <v>192</v>
      </c>
    </row>
    <row r="11503" spans="1:15" x14ac:dyDescent="0.25">
      <c r="A11503" t="s">
        <v>11516</v>
      </c>
      <c r="B11503">
        <v>243</v>
      </c>
      <c r="C11503" s="1" t="str">
        <f>HYPERLINK("http://www.rosaceae.org/gb/gbrowse/malus_x_domestica/?name=MDP0000190488","MDP0000190488")</f>
        <v>MDP0000190488</v>
      </c>
      <c r="D11503">
        <v>77.36</v>
      </c>
      <c r="E11503">
        <v>243</v>
      </c>
      <c r="F11503">
        <v>55</v>
      </c>
      <c r="G11503">
        <v>0</v>
      </c>
      <c r="H11503">
        <v>1</v>
      </c>
      <c r="I11503">
        <v>243</v>
      </c>
      <c r="J11503">
        <v>1</v>
      </c>
      <c r="K11503">
        <v>1</v>
      </c>
      <c r="L11503">
        <v>243</v>
      </c>
      <c r="M11503">
        <v>1</v>
      </c>
      <c r="N11503">
        <v>7.1342500000000002E-107</v>
      </c>
      <c r="O11503">
        <v>984</v>
      </c>
    </row>
    <row r="11504" spans="1:15" x14ac:dyDescent="0.25">
      <c r="A11504" t="s">
        <v>11517</v>
      </c>
      <c r="B11504">
        <v>315</v>
      </c>
      <c r="C11504" s="1" t="str">
        <f>HYPERLINK("http://www.rosaceae.org/gb/gbrowse/malus_x_domestica/?name=MDP0000276262","MDP0000276262")</f>
        <v>MDP0000276262</v>
      </c>
      <c r="D11504">
        <v>68.88</v>
      </c>
      <c r="E11504">
        <v>180</v>
      </c>
      <c r="F11504">
        <v>56</v>
      </c>
      <c r="G11504">
        <v>28</v>
      </c>
      <c r="H11504">
        <v>131</v>
      </c>
      <c r="I11504">
        <v>310</v>
      </c>
      <c r="J11504">
        <v>1</v>
      </c>
      <c r="K11504">
        <v>1</v>
      </c>
      <c r="L11504">
        <v>152</v>
      </c>
      <c r="M11504">
        <v>1</v>
      </c>
      <c r="N11504">
        <v>1.3534399999999999E-60</v>
      </c>
      <c r="O11504">
        <v>587</v>
      </c>
    </row>
    <row r="11505" spans="1:15" x14ac:dyDescent="0.25">
      <c r="A11505" t="s">
        <v>11518</v>
      </c>
      <c r="B11505">
        <v>301</v>
      </c>
      <c r="C11505" s="1" t="str">
        <f>HYPERLINK("http://www.rosaceae.org/gb/gbrowse/malus_x_domestica/?name=MDP0000135761","MDP0000135761")</f>
        <v>MDP0000135761</v>
      </c>
      <c r="D11505">
        <v>44.8</v>
      </c>
      <c r="E11505">
        <v>250</v>
      </c>
      <c r="F11505">
        <v>138</v>
      </c>
      <c r="G11505">
        <v>21</v>
      </c>
      <c r="H11505">
        <v>15</v>
      </c>
      <c r="I11505">
        <v>262</v>
      </c>
      <c r="J11505">
        <v>1</v>
      </c>
      <c r="K11505">
        <v>33</v>
      </c>
      <c r="L11505">
        <v>263</v>
      </c>
      <c r="M11505">
        <v>1</v>
      </c>
      <c r="N11505">
        <v>1.47274E-51</v>
      </c>
      <c r="O11505">
        <v>509</v>
      </c>
    </row>
    <row r="11506" spans="1:15" x14ac:dyDescent="0.25">
      <c r="A11506" t="s">
        <v>11519</v>
      </c>
      <c r="B11506">
        <v>369</v>
      </c>
      <c r="C11506" s="1" t="str">
        <f>HYPERLINK("http://www.rosaceae.org/gb/gbrowse/malus_x_domestica/?name=MDP0000307124","MDP0000307124")</f>
        <v>MDP0000307124</v>
      </c>
      <c r="D11506">
        <v>67.61</v>
      </c>
      <c r="E11506">
        <v>281</v>
      </c>
      <c r="F11506">
        <v>91</v>
      </c>
      <c r="G11506">
        <v>12</v>
      </c>
      <c r="H11506">
        <v>7</v>
      </c>
      <c r="I11506">
        <v>281</v>
      </c>
      <c r="J11506">
        <v>1</v>
      </c>
      <c r="K11506">
        <v>17</v>
      </c>
      <c r="L11506">
        <v>291</v>
      </c>
      <c r="M11506">
        <v>1</v>
      </c>
      <c r="N11506">
        <v>1.2752499999999999E-104</v>
      </c>
      <c r="O11506">
        <v>967</v>
      </c>
    </row>
    <row r="11507" spans="1:15" x14ac:dyDescent="0.25">
      <c r="A11507" t="s">
        <v>11520</v>
      </c>
      <c r="B11507">
        <v>368</v>
      </c>
      <c r="C11507" s="1" t="str">
        <f>HYPERLINK("http://www.rosaceae.org/gb/gbrowse/malus_x_domestica/?name=MDP0000289460","MDP0000289460")</f>
        <v>MDP0000289460</v>
      </c>
      <c r="D11507">
        <v>57.26</v>
      </c>
      <c r="E11507">
        <v>241</v>
      </c>
      <c r="F11507">
        <v>103</v>
      </c>
      <c r="G11507">
        <v>18</v>
      </c>
      <c r="H11507">
        <v>137</v>
      </c>
      <c r="I11507">
        <v>368</v>
      </c>
      <c r="J11507">
        <v>1</v>
      </c>
      <c r="K11507">
        <v>81</v>
      </c>
      <c r="L11507">
        <v>312</v>
      </c>
      <c r="M11507">
        <v>1</v>
      </c>
      <c r="N11507">
        <v>7.0217600000000002E-78</v>
      </c>
      <c r="O11507">
        <v>737</v>
      </c>
    </row>
    <row r="11508" spans="1:15" x14ac:dyDescent="0.25">
      <c r="A11508" t="s">
        <v>11521</v>
      </c>
      <c r="B11508">
        <v>575</v>
      </c>
      <c r="C11508" s="1" t="str">
        <f>HYPERLINK("http://www.rosaceae.org/gb/gbrowse/malus_x_domestica/?name=MDP0000237964","MDP0000237964")</f>
        <v>MDP0000237964</v>
      </c>
      <c r="D11508">
        <v>51.37</v>
      </c>
      <c r="E11508">
        <v>545</v>
      </c>
      <c r="F11508">
        <v>265</v>
      </c>
      <c r="G11508">
        <v>10</v>
      </c>
      <c r="H11508">
        <v>37</v>
      </c>
      <c r="I11508">
        <v>575</v>
      </c>
      <c r="J11508">
        <v>1</v>
      </c>
      <c r="K11508">
        <v>600</v>
      </c>
      <c r="L11508">
        <v>1140</v>
      </c>
      <c r="M11508">
        <v>1</v>
      </c>
      <c r="N11508">
        <v>1.1275500000000001E-163</v>
      </c>
      <c r="O11508">
        <v>1479</v>
      </c>
    </row>
    <row r="11509" spans="1:15" x14ac:dyDescent="0.25">
      <c r="A11509" t="s">
        <v>11522</v>
      </c>
      <c r="B11509">
        <v>465</v>
      </c>
      <c r="C11509" s="1" t="str">
        <f>HYPERLINK("http://www.rosaceae.org/gb/gbrowse/malus_x_domestica/?name=MDP0000219792","MDP0000219792")</f>
        <v>MDP0000219792</v>
      </c>
      <c r="D11509">
        <v>44.07</v>
      </c>
      <c r="E11509">
        <v>211</v>
      </c>
      <c r="F11509">
        <v>118</v>
      </c>
      <c r="G11509">
        <v>22</v>
      </c>
      <c r="H11509">
        <v>1</v>
      </c>
      <c r="I11509">
        <v>209</v>
      </c>
      <c r="J11509">
        <v>1</v>
      </c>
      <c r="K11509">
        <v>194</v>
      </c>
      <c r="L11509">
        <v>384</v>
      </c>
      <c r="M11509">
        <v>1</v>
      </c>
      <c r="N11509">
        <v>1.23163E-40</v>
      </c>
      <c r="O11509">
        <v>417</v>
      </c>
    </row>
    <row r="11510" spans="1:15" x14ac:dyDescent="0.25">
      <c r="A11510" t="s">
        <v>11523</v>
      </c>
      <c r="B11510">
        <v>319</v>
      </c>
      <c r="C11510" s="1" t="str">
        <f>HYPERLINK("http://www.rosaceae.org/gb/gbrowse/malus_x_domestica/?name=MDP0000304983","MDP0000304983")</f>
        <v>MDP0000304983</v>
      </c>
      <c r="D11510">
        <v>36.04</v>
      </c>
      <c r="E11510">
        <v>172</v>
      </c>
      <c r="F11510">
        <v>110</v>
      </c>
      <c r="G11510">
        <v>26</v>
      </c>
      <c r="H11510">
        <v>82</v>
      </c>
      <c r="I11510">
        <v>253</v>
      </c>
      <c r="J11510">
        <v>1</v>
      </c>
      <c r="K11510">
        <v>119</v>
      </c>
      <c r="L11510">
        <v>264</v>
      </c>
      <c r="M11510">
        <v>1</v>
      </c>
      <c r="N11510">
        <v>7.8489599999999999E-19</v>
      </c>
      <c r="O11510">
        <v>227</v>
      </c>
    </row>
    <row r="11511" spans="1:15" x14ac:dyDescent="0.25">
      <c r="A11511" t="s">
        <v>11524</v>
      </c>
      <c r="B11511">
        <v>114</v>
      </c>
      <c r="C11511" s="1" t="str">
        <f>HYPERLINK("http://www.rosaceae.org/gb/gbrowse/malus_x_domestica/?name=MDP0000913661","MDP0000913661")</f>
        <v>MDP0000913661</v>
      </c>
      <c r="D11511">
        <v>93.54</v>
      </c>
      <c r="E11511">
        <v>93</v>
      </c>
      <c r="F11511">
        <v>6</v>
      </c>
      <c r="G11511">
        <v>1</v>
      </c>
      <c r="H11511">
        <v>21</v>
      </c>
      <c r="I11511">
        <v>112</v>
      </c>
      <c r="J11511">
        <v>1</v>
      </c>
      <c r="K11511">
        <v>18</v>
      </c>
      <c r="L11511">
        <v>110</v>
      </c>
      <c r="M11511">
        <v>1</v>
      </c>
      <c r="N11511">
        <v>4.1687600000000002E-47</v>
      </c>
      <c r="O11511">
        <v>464</v>
      </c>
    </row>
    <row r="11512" spans="1:15" x14ac:dyDescent="0.25">
      <c r="A11512" t="s">
        <v>11525</v>
      </c>
      <c r="B11512">
        <v>716</v>
      </c>
      <c r="C11512" s="1" t="str">
        <f>HYPERLINK("http://www.rosaceae.org/gb/gbrowse/malus_x_domestica/?name=MDP0000307313","MDP0000307313")</f>
        <v>MDP0000307313</v>
      </c>
      <c r="D11512">
        <v>66.28</v>
      </c>
      <c r="E11512">
        <v>617</v>
      </c>
      <c r="F11512">
        <v>208</v>
      </c>
      <c r="G11512">
        <v>12</v>
      </c>
      <c r="H11512">
        <v>104</v>
      </c>
      <c r="I11512">
        <v>714</v>
      </c>
      <c r="J11512">
        <v>1</v>
      </c>
      <c r="K11512">
        <v>343</v>
      </c>
      <c r="L11512">
        <v>953</v>
      </c>
      <c r="M11512">
        <v>1</v>
      </c>
      <c r="N11512">
        <v>0</v>
      </c>
      <c r="O11512">
        <v>2081</v>
      </c>
    </row>
    <row r="11513" spans="1:15" x14ac:dyDescent="0.25">
      <c r="A11513" t="s">
        <v>11526</v>
      </c>
      <c r="B11513">
        <v>260</v>
      </c>
      <c r="C11513" s="1" t="str">
        <f>HYPERLINK("http://www.rosaceae.org/gb/gbrowse/malus_x_domestica/?name=MDP0000595200","MDP0000595200")</f>
        <v>MDP0000595200</v>
      </c>
      <c r="D11513">
        <v>75.959999999999994</v>
      </c>
      <c r="E11513">
        <v>258</v>
      </c>
      <c r="F11513">
        <v>62</v>
      </c>
      <c r="G11513">
        <v>2</v>
      </c>
      <c r="H11513">
        <v>3</v>
      </c>
      <c r="I11513">
        <v>260</v>
      </c>
      <c r="J11513">
        <v>1</v>
      </c>
      <c r="K11513">
        <v>50</v>
      </c>
      <c r="L11513">
        <v>305</v>
      </c>
      <c r="M11513">
        <v>1</v>
      </c>
      <c r="N11513">
        <v>5.1348700000000003E-106</v>
      </c>
      <c r="O11513">
        <v>977</v>
      </c>
    </row>
    <row r="11514" spans="1:15" x14ac:dyDescent="0.25">
      <c r="A11514" t="s">
        <v>11527</v>
      </c>
      <c r="B11514">
        <v>339</v>
      </c>
      <c r="C11514" s="1" t="str">
        <f>HYPERLINK("http://www.rosaceae.org/gb/gbrowse/malus_x_domestica/?name=MDP0000163774","MDP0000163774")</f>
        <v>MDP0000163774</v>
      </c>
      <c r="D11514">
        <v>24.9</v>
      </c>
      <c r="E11514">
        <v>261</v>
      </c>
      <c r="F11514">
        <v>196</v>
      </c>
      <c r="G11514">
        <v>39</v>
      </c>
      <c r="H11514">
        <v>13</v>
      </c>
      <c r="I11514">
        <v>267</v>
      </c>
      <c r="J11514">
        <v>1</v>
      </c>
      <c r="K11514">
        <v>391</v>
      </c>
      <c r="L11514">
        <v>618</v>
      </c>
      <c r="M11514">
        <v>1</v>
      </c>
      <c r="N11514">
        <v>2.30028E-12</v>
      </c>
      <c r="O11514">
        <v>171</v>
      </c>
    </row>
    <row r="11515" spans="1:15" x14ac:dyDescent="0.25">
      <c r="A11515" t="s">
        <v>11528</v>
      </c>
      <c r="B11515">
        <v>467</v>
      </c>
      <c r="C11515" s="1" t="str">
        <f>HYPERLINK("http://www.rosaceae.org/gb/gbrowse/malus_x_domestica/?name=MDP0000558972","MDP0000558972")</f>
        <v>MDP0000558972</v>
      </c>
      <c r="D11515">
        <v>38.130000000000003</v>
      </c>
      <c r="E11515">
        <v>451</v>
      </c>
      <c r="F11515">
        <v>279</v>
      </c>
      <c r="G11515">
        <v>82</v>
      </c>
      <c r="H11515">
        <v>21</v>
      </c>
      <c r="I11515">
        <v>465</v>
      </c>
      <c r="J11515">
        <v>1</v>
      </c>
      <c r="K11515">
        <v>206</v>
      </c>
      <c r="L11515">
        <v>580</v>
      </c>
      <c r="M11515">
        <v>1</v>
      </c>
      <c r="N11515">
        <v>3.5223699999999999E-61</v>
      </c>
      <c r="O11515">
        <v>594</v>
      </c>
    </row>
    <row r="11516" spans="1:15" x14ac:dyDescent="0.25">
      <c r="A11516" t="s">
        <v>11529</v>
      </c>
      <c r="B11516">
        <v>457</v>
      </c>
      <c r="C11516" s="1" t="str">
        <f>HYPERLINK("http://www.rosaceae.org/gb/gbrowse/malus_x_domestica/?name=MDP0000308166","MDP0000308166")</f>
        <v>MDP0000308166</v>
      </c>
      <c r="D11516">
        <v>81.81</v>
      </c>
      <c r="E11516">
        <v>187</v>
      </c>
      <c r="F11516">
        <v>34</v>
      </c>
      <c r="G11516">
        <v>6</v>
      </c>
      <c r="H11516">
        <v>274</v>
      </c>
      <c r="I11516">
        <v>455</v>
      </c>
      <c r="J11516">
        <v>1</v>
      </c>
      <c r="K11516">
        <v>344</v>
      </c>
      <c r="L11516">
        <v>529</v>
      </c>
      <c r="M11516">
        <v>1</v>
      </c>
      <c r="N11516">
        <v>3.9884700000000001E-82</v>
      </c>
      <c r="O11516">
        <v>774</v>
      </c>
    </row>
    <row r="11517" spans="1:15" x14ac:dyDescent="0.25">
      <c r="A11517" t="s">
        <v>11530</v>
      </c>
      <c r="B11517">
        <v>437</v>
      </c>
      <c r="C11517" s="1" t="str">
        <f>HYPERLINK("http://www.rosaceae.org/gb/gbrowse/malus_x_domestica/?name=MDP0000808501","MDP0000808501")</f>
        <v>MDP0000808501</v>
      </c>
      <c r="D11517">
        <v>37.21</v>
      </c>
      <c r="E11517">
        <v>352</v>
      </c>
      <c r="F11517">
        <v>221</v>
      </c>
      <c r="G11517">
        <v>44</v>
      </c>
      <c r="H11517">
        <v>107</v>
      </c>
      <c r="I11517">
        <v>426</v>
      </c>
      <c r="J11517">
        <v>1</v>
      </c>
      <c r="K11517">
        <v>11</v>
      </c>
      <c r="L11517">
        <v>350</v>
      </c>
      <c r="M11517">
        <v>1</v>
      </c>
      <c r="N11517">
        <v>8.5921E-47</v>
      </c>
      <c r="O11517">
        <v>469</v>
      </c>
    </row>
    <row r="11518" spans="1:15" x14ac:dyDescent="0.25">
      <c r="A11518" t="s">
        <v>11531</v>
      </c>
      <c r="B11518">
        <v>212</v>
      </c>
      <c r="C11518" s="1" t="str">
        <f>HYPERLINK("http://www.rosaceae.org/gb/gbrowse/malus_x_domestica/?name=MDP0000202144","MDP0000202144")</f>
        <v>MDP0000202144</v>
      </c>
      <c r="D11518">
        <v>70.44</v>
      </c>
      <c r="E11518">
        <v>203</v>
      </c>
      <c r="F11518">
        <v>60</v>
      </c>
      <c r="G11518">
        <v>2</v>
      </c>
      <c r="H11518">
        <v>12</v>
      </c>
      <c r="I11518">
        <v>212</v>
      </c>
      <c r="J11518">
        <v>1</v>
      </c>
      <c r="K11518">
        <v>18</v>
      </c>
      <c r="L11518">
        <v>220</v>
      </c>
      <c r="M11518">
        <v>1</v>
      </c>
      <c r="N11518">
        <v>2.33949E-82</v>
      </c>
      <c r="O11518">
        <v>772</v>
      </c>
    </row>
    <row r="11519" spans="1:15" x14ac:dyDescent="0.25">
      <c r="A11519" t="s">
        <v>11532</v>
      </c>
      <c r="B11519">
        <v>349</v>
      </c>
      <c r="C11519" s="1" t="str">
        <f>HYPERLINK("http://www.rosaceae.org/gb/gbrowse/malus_x_domestica/?name=MDP0000816297","MDP0000816297")</f>
        <v>MDP0000816297</v>
      </c>
      <c r="D11519">
        <v>73.63</v>
      </c>
      <c r="E11519">
        <v>330</v>
      </c>
      <c r="F11519">
        <v>87</v>
      </c>
      <c r="G11519">
        <v>13</v>
      </c>
      <c r="H11519">
        <v>32</v>
      </c>
      <c r="I11519">
        <v>348</v>
      </c>
      <c r="J11519">
        <v>1</v>
      </c>
      <c r="K11519">
        <v>3</v>
      </c>
      <c r="L11519">
        <v>332</v>
      </c>
      <c r="M11519">
        <v>1</v>
      </c>
      <c r="N11519">
        <v>9.7899200000000007E-139</v>
      </c>
      <c r="O11519">
        <v>1261</v>
      </c>
    </row>
    <row r="11520" spans="1:15" x14ac:dyDescent="0.25">
      <c r="A11520" t="s">
        <v>11533</v>
      </c>
      <c r="B11520">
        <v>136</v>
      </c>
      <c r="C11520" s="1" t="str">
        <f>HYPERLINK("http://www.rosaceae.org/gb/gbrowse/malus_x_domestica/?name=MDP0000880839","MDP0000880839")</f>
        <v>MDP0000880839</v>
      </c>
      <c r="D11520">
        <v>58.13</v>
      </c>
      <c r="E11520">
        <v>43</v>
      </c>
      <c r="F11520">
        <v>18</v>
      </c>
      <c r="G11520">
        <v>0</v>
      </c>
      <c r="H11520">
        <v>65</v>
      </c>
      <c r="I11520">
        <v>107</v>
      </c>
      <c r="J11520">
        <v>1</v>
      </c>
      <c r="K11520">
        <v>118</v>
      </c>
      <c r="L11520">
        <v>160</v>
      </c>
      <c r="M11520">
        <v>1</v>
      </c>
      <c r="N11520">
        <v>3.4790100000000001E-8</v>
      </c>
      <c r="O11520">
        <v>129</v>
      </c>
    </row>
    <row r="11521" spans="1:15" x14ac:dyDescent="0.25">
      <c r="A11521" t="s">
        <v>11534</v>
      </c>
      <c r="B11521">
        <v>586</v>
      </c>
      <c r="C11521" s="1" t="str">
        <f>HYPERLINK("http://www.rosaceae.org/gb/gbrowse/malus_x_domestica/?name=MDP0000267787","MDP0000267787")</f>
        <v>MDP0000267787</v>
      </c>
      <c r="D11521">
        <v>62.94</v>
      </c>
      <c r="E11521">
        <v>510</v>
      </c>
      <c r="F11521">
        <v>189</v>
      </c>
      <c r="G11521">
        <v>44</v>
      </c>
      <c r="H11521">
        <v>83</v>
      </c>
      <c r="I11521">
        <v>586</v>
      </c>
      <c r="J11521">
        <v>1</v>
      </c>
      <c r="K11521">
        <v>41</v>
      </c>
      <c r="L11521">
        <v>512</v>
      </c>
      <c r="M11521">
        <v>1</v>
      </c>
      <c r="N11521">
        <v>8.9598700000000004E-174</v>
      </c>
      <c r="O11521">
        <v>1566</v>
      </c>
    </row>
    <row r="11522" spans="1:15" x14ac:dyDescent="0.25">
      <c r="A11522" t="s">
        <v>11535</v>
      </c>
      <c r="B11522">
        <v>636</v>
      </c>
      <c r="C11522" s="1" t="str">
        <f>HYPERLINK("http://www.rosaceae.org/gb/gbrowse/malus_x_domestica/?name=MDP0000224315","MDP0000224315")</f>
        <v>MDP0000224315</v>
      </c>
      <c r="D11522">
        <v>42.85</v>
      </c>
      <c r="E11522">
        <v>91</v>
      </c>
      <c r="F11522">
        <v>52</v>
      </c>
      <c r="G11522">
        <v>1</v>
      </c>
      <c r="H11522">
        <v>4</v>
      </c>
      <c r="I11522">
        <v>94</v>
      </c>
      <c r="J11522">
        <v>1</v>
      </c>
      <c r="K11522">
        <v>62</v>
      </c>
      <c r="L11522">
        <v>151</v>
      </c>
      <c r="M11522">
        <v>1</v>
      </c>
      <c r="N11522">
        <v>3.2589200000000001E-15</v>
      </c>
      <c r="O11522">
        <v>199</v>
      </c>
    </row>
    <row r="11523" spans="1:15" x14ac:dyDescent="0.25">
      <c r="A11523" t="s">
        <v>11536</v>
      </c>
      <c r="B11523">
        <v>170</v>
      </c>
      <c r="C11523" s="1" t="str">
        <f>HYPERLINK("http://www.rosaceae.org/gb/gbrowse/malus_x_domestica/?name=MDP0000777832","MDP0000777832")</f>
        <v>MDP0000777832</v>
      </c>
      <c r="D11523">
        <v>89.34</v>
      </c>
      <c r="E11523">
        <v>169</v>
      </c>
      <c r="F11523">
        <v>18</v>
      </c>
      <c r="G11523">
        <v>0</v>
      </c>
      <c r="H11523">
        <v>1</v>
      </c>
      <c r="I11523">
        <v>169</v>
      </c>
      <c r="J11523">
        <v>1</v>
      </c>
      <c r="K11523">
        <v>1</v>
      </c>
      <c r="L11523">
        <v>169</v>
      </c>
      <c r="M11523">
        <v>1</v>
      </c>
      <c r="N11523">
        <v>6.7747700000000003E-86</v>
      </c>
      <c r="O11523">
        <v>801</v>
      </c>
    </row>
    <row r="11524" spans="1:15" x14ac:dyDescent="0.25">
      <c r="A11524" t="s">
        <v>11537</v>
      </c>
      <c r="B11524">
        <v>80</v>
      </c>
      <c r="C11524" s="1" t="str">
        <f>HYPERLINK("http://www.rosaceae.org/gb/gbrowse/malus_x_domestica/?name=MDP0000269495","MDP0000269495")</f>
        <v>MDP0000269495</v>
      </c>
      <c r="D11524">
        <v>53.12</v>
      </c>
      <c r="E11524">
        <v>96</v>
      </c>
      <c r="F11524">
        <v>45</v>
      </c>
      <c r="G11524">
        <v>20</v>
      </c>
      <c r="H11524">
        <v>4</v>
      </c>
      <c r="I11524">
        <v>79</v>
      </c>
      <c r="J11524">
        <v>1</v>
      </c>
      <c r="K11524">
        <v>3</v>
      </c>
      <c r="L11524">
        <v>98</v>
      </c>
      <c r="M11524">
        <v>1</v>
      </c>
      <c r="N11524">
        <v>5.5514500000000002E-19</v>
      </c>
      <c r="O11524">
        <v>221</v>
      </c>
    </row>
    <row r="11525" spans="1:15" x14ac:dyDescent="0.25">
      <c r="A11525" t="s">
        <v>11538</v>
      </c>
      <c r="B11525">
        <v>101</v>
      </c>
      <c r="C11525" s="1" t="str">
        <f>HYPERLINK("http://www.rosaceae.org/gb/gbrowse/malus_x_domestica/?name=MDP0000720497","MDP0000720497")</f>
        <v>MDP0000720497</v>
      </c>
      <c r="D11525">
        <v>79.72</v>
      </c>
      <c r="E11525">
        <v>74</v>
      </c>
      <c r="F11525">
        <v>15</v>
      </c>
      <c r="G11525">
        <v>0</v>
      </c>
      <c r="H11525">
        <v>10</v>
      </c>
      <c r="I11525">
        <v>83</v>
      </c>
      <c r="J11525">
        <v>1</v>
      </c>
      <c r="K11525">
        <v>51</v>
      </c>
      <c r="L11525">
        <v>124</v>
      </c>
      <c r="M11525">
        <v>1</v>
      </c>
      <c r="N11525">
        <v>4.9109900000000001E-30</v>
      </c>
      <c r="O11525">
        <v>316</v>
      </c>
    </row>
    <row r="11526" spans="1:15" x14ac:dyDescent="0.25">
      <c r="A11526" t="s">
        <v>11539</v>
      </c>
      <c r="B11526">
        <v>328</v>
      </c>
      <c r="C11526" s="1" t="str">
        <f>HYPERLINK("http://www.rosaceae.org/gb/gbrowse/malus_x_domestica/?name=MDP0000136844","MDP0000136844")</f>
        <v>MDP0000136844</v>
      </c>
      <c r="D11526">
        <v>56.52</v>
      </c>
      <c r="E11526">
        <v>161</v>
      </c>
      <c r="F11526">
        <v>70</v>
      </c>
      <c r="G11526">
        <v>1</v>
      </c>
      <c r="H11526">
        <v>153</v>
      </c>
      <c r="I11526">
        <v>312</v>
      </c>
      <c r="J11526">
        <v>1</v>
      </c>
      <c r="K11526">
        <v>679</v>
      </c>
      <c r="L11526">
        <v>839</v>
      </c>
      <c r="M11526">
        <v>1</v>
      </c>
      <c r="N11526">
        <v>3.2395800000000001E-47</v>
      </c>
      <c r="O11526">
        <v>472</v>
      </c>
    </row>
    <row r="11527" spans="1:15" x14ac:dyDescent="0.25">
      <c r="A11527" t="s">
        <v>11540</v>
      </c>
      <c r="B11527">
        <v>217</v>
      </c>
      <c r="C11527" s="1" t="str">
        <f>HYPERLINK("http://www.rosaceae.org/gb/gbrowse/malus_x_domestica/?name=MDP0000314803","MDP0000314803")</f>
        <v>MDP0000314803</v>
      </c>
      <c r="D11527">
        <v>85.44</v>
      </c>
      <c r="E11527">
        <v>213</v>
      </c>
      <c r="F11527">
        <v>31</v>
      </c>
      <c r="G11527">
        <v>6</v>
      </c>
      <c r="H11527">
        <v>1</v>
      </c>
      <c r="I11527">
        <v>208</v>
      </c>
      <c r="J11527">
        <v>1</v>
      </c>
      <c r="K11527">
        <v>2</v>
      </c>
      <c r="L11527">
        <v>213</v>
      </c>
      <c r="M11527">
        <v>1</v>
      </c>
      <c r="N11527">
        <v>4.1490499999999998E-97</v>
      </c>
      <c r="O11527">
        <v>900</v>
      </c>
    </row>
    <row r="11528" spans="1:15" x14ac:dyDescent="0.25">
      <c r="A11528" t="s">
        <v>11541</v>
      </c>
      <c r="B11528">
        <v>223</v>
      </c>
      <c r="C11528" s="1" t="str">
        <f>HYPERLINK("http://www.rosaceae.org/gb/gbrowse/malus_x_domestica/?name=MDP0000862372","MDP0000862372")</f>
        <v>MDP0000862372</v>
      </c>
      <c r="D11528">
        <v>29.65</v>
      </c>
      <c r="E11528">
        <v>145</v>
      </c>
      <c r="F11528">
        <v>102</v>
      </c>
      <c r="G11528">
        <v>14</v>
      </c>
      <c r="H11528">
        <v>55</v>
      </c>
      <c r="I11528">
        <v>189</v>
      </c>
      <c r="J11528">
        <v>1</v>
      </c>
      <c r="K11528">
        <v>39</v>
      </c>
      <c r="L11528">
        <v>179</v>
      </c>
      <c r="M11528">
        <v>1</v>
      </c>
      <c r="N11528">
        <v>3.1660300000000001E-9</v>
      </c>
      <c r="O11528">
        <v>142</v>
      </c>
    </row>
    <row r="11529" spans="1:15" x14ac:dyDescent="0.25">
      <c r="A11529" t="s">
        <v>11542</v>
      </c>
      <c r="B11529">
        <v>220</v>
      </c>
      <c r="C11529" s="1" t="str">
        <f>HYPERLINK("http://www.rosaceae.org/gb/gbrowse/malus_x_domestica/?name=MDP0000216660","MDP0000216660")</f>
        <v>MDP0000216660</v>
      </c>
      <c r="D11529">
        <v>43.75</v>
      </c>
      <c r="E11529">
        <v>128</v>
      </c>
      <c r="F11529">
        <v>72</v>
      </c>
      <c r="G11529">
        <v>14</v>
      </c>
      <c r="H11529">
        <v>29</v>
      </c>
      <c r="I11529">
        <v>143</v>
      </c>
      <c r="J11529">
        <v>1</v>
      </c>
      <c r="K11529">
        <v>76</v>
      </c>
      <c r="L11529">
        <v>202</v>
      </c>
      <c r="M11529">
        <v>1</v>
      </c>
      <c r="N11529">
        <v>5.8697599999999995E-23</v>
      </c>
      <c r="O11529">
        <v>260</v>
      </c>
    </row>
    <row r="11530" spans="1:15" x14ac:dyDescent="0.25">
      <c r="A11530" t="s">
        <v>11543</v>
      </c>
      <c r="B11530">
        <v>154</v>
      </c>
      <c r="C11530" s="1" t="str">
        <f>HYPERLINK("http://www.rosaceae.org/gb/gbrowse/malus_x_domestica/?name=MDP0000698897","MDP0000698897")</f>
        <v>MDP0000698897</v>
      </c>
      <c r="D11530">
        <v>41.97</v>
      </c>
      <c r="E11530">
        <v>81</v>
      </c>
      <c r="F11530">
        <v>47</v>
      </c>
      <c r="G11530">
        <v>2</v>
      </c>
      <c r="H11530">
        <v>26</v>
      </c>
      <c r="I11530">
        <v>106</v>
      </c>
      <c r="J11530">
        <v>1</v>
      </c>
      <c r="K11530">
        <v>101</v>
      </c>
      <c r="L11530">
        <v>179</v>
      </c>
      <c r="M11530">
        <v>1</v>
      </c>
      <c r="N11530">
        <v>1.02725E-10</v>
      </c>
      <c r="O11530">
        <v>152</v>
      </c>
    </row>
    <row r="11531" spans="1:15" x14ac:dyDescent="0.25">
      <c r="A11531" t="s">
        <v>11544</v>
      </c>
      <c r="B11531">
        <v>482</v>
      </c>
      <c r="C11531" s="1" t="str">
        <f>HYPERLINK("http://www.rosaceae.org/gb/gbrowse/malus_x_domestica/?name=MDP0000122734","MDP0000122734")</f>
        <v>MDP0000122734</v>
      </c>
      <c r="D11531">
        <v>42.42</v>
      </c>
      <c r="E11531">
        <v>198</v>
      </c>
      <c r="F11531">
        <v>114</v>
      </c>
      <c r="G11531">
        <v>24</v>
      </c>
      <c r="H11531">
        <v>268</v>
      </c>
      <c r="I11531">
        <v>445</v>
      </c>
      <c r="J11531">
        <v>1</v>
      </c>
      <c r="K11531">
        <v>112</v>
      </c>
      <c r="L11531">
        <v>305</v>
      </c>
      <c r="M11531">
        <v>1</v>
      </c>
      <c r="N11531">
        <v>4.9209499999999997E-27</v>
      </c>
      <c r="O11531">
        <v>299</v>
      </c>
    </row>
    <row r="11532" spans="1:15" x14ac:dyDescent="0.25">
      <c r="A11532" t="s">
        <v>11545</v>
      </c>
      <c r="B11532">
        <v>521</v>
      </c>
      <c r="C11532" s="1" t="str">
        <f>HYPERLINK("http://www.rosaceae.org/gb/gbrowse/malus_x_domestica/?name=MDP0000268597","MDP0000268597")</f>
        <v>MDP0000268597</v>
      </c>
      <c r="D11532">
        <v>58.73</v>
      </c>
      <c r="E11532">
        <v>492</v>
      </c>
      <c r="F11532">
        <v>203</v>
      </c>
      <c r="G11532">
        <v>11</v>
      </c>
      <c r="H11532">
        <v>18</v>
      </c>
      <c r="I11532">
        <v>507</v>
      </c>
      <c r="J11532">
        <v>1</v>
      </c>
      <c r="K11532">
        <v>1183</v>
      </c>
      <c r="L11532">
        <v>1665</v>
      </c>
      <c r="M11532">
        <v>1</v>
      </c>
      <c r="N11532">
        <v>4.2205500000000001E-157</v>
      </c>
      <c r="O11532">
        <v>1421</v>
      </c>
    </row>
    <row r="11533" spans="1:15" x14ac:dyDescent="0.25">
      <c r="A11533" t="s">
        <v>11546</v>
      </c>
      <c r="B11533">
        <v>211</v>
      </c>
      <c r="C11533" s="1" t="str">
        <f>HYPERLINK("http://www.rosaceae.org/gb/gbrowse/malus_x_domestica/?name=MDP0000700517","MDP0000700517")</f>
        <v>MDP0000700517</v>
      </c>
      <c r="D11533">
        <v>31.73</v>
      </c>
      <c r="E11533">
        <v>104</v>
      </c>
      <c r="F11533">
        <v>71</v>
      </c>
      <c r="G11533">
        <v>4</v>
      </c>
      <c r="H11533">
        <v>3</v>
      </c>
      <c r="I11533">
        <v>102</v>
      </c>
      <c r="J11533">
        <v>1</v>
      </c>
      <c r="K11533">
        <v>261</v>
      </c>
      <c r="L11533">
        <v>364</v>
      </c>
      <c r="M11533">
        <v>1</v>
      </c>
      <c r="N11533">
        <v>4.8149000000000003E-8</v>
      </c>
      <c r="O11533">
        <v>131</v>
      </c>
    </row>
    <row r="11534" spans="1:15" x14ac:dyDescent="0.25">
      <c r="A11534" t="s">
        <v>11547</v>
      </c>
      <c r="B11534">
        <v>1137</v>
      </c>
      <c r="C11534" s="1" t="str">
        <f>HYPERLINK("http://www.rosaceae.org/gb/gbrowse/malus_x_domestica/?name=MDP0000120543","MDP0000120543")</f>
        <v>MDP0000120543</v>
      </c>
      <c r="D11534">
        <v>85.27</v>
      </c>
      <c r="E11534">
        <v>550</v>
      </c>
      <c r="F11534">
        <v>81</v>
      </c>
      <c r="G11534">
        <v>10</v>
      </c>
      <c r="H11534">
        <v>32</v>
      </c>
      <c r="I11534">
        <v>575</v>
      </c>
      <c r="J11534">
        <v>1</v>
      </c>
      <c r="K11534">
        <v>22</v>
      </c>
      <c r="L11534">
        <v>567</v>
      </c>
      <c r="M11534">
        <v>1</v>
      </c>
      <c r="N11534">
        <v>0</v>
      </c>
      <c r="O11534">
        <v>2530</v>
      </c>
    </row>
    <row r="11535" spans="1:15" x14ac:dyDescent="0.25">
      <c r="A11535" t="s">
        <v>11548</v>
      </c>
      <c r="B11535">
        <v>225</v>
      </c>
      <c r="C11535" s="1" t="str">
        <f>HYPERLINK("http://www.rosaceae.org/gb/gbrowse/malus_x_domestica/?name=MDP0000168026","MDP0000168026")</f>
        <v>MDP0000168026</v>
      </c>
      <c r="D11535">
        <v>48.83</v>
      </c>
      <c r="E11535">
        <v>86</v>
      </c>
      <c r="F11535">
        <v>44</v>
      </c>
      <c r="G11535">
        <v>8</v>
      </c>
      <c r="H11535">
        <v>24</v>
      </c>
      <c r="I11535">
        <v>105</v>
      </c>
      <c r="J11535">
        <v>1</v>
      </c>
      <c r="K11535">
        <v>66</v>
      </c>
      <c r="L11535">
        <v>147</v>
      </c>
      <c r="M11535">
        <v>1</v>
      </c>
      <c r="N11535">
        <v>1.3737499999999999E-9</v>
      </c>
      <c r="O11535">
        <v>145</v>
      </c>
    </row>
    <row r="11536" spans="1:15" x14ac:dyDescent="0.25">
      <c r="A11536" t="s">
        <v>11549</v>
      </c>
      <c r="B11536">
        <v>245</v>
      </c>
      <c r="C11536" s="1" t="str">
        <f>HYPERLINK("http://www.rosaceae.org/gb/gbrowse/malus_x_domestica/?name=MDP0000191666","MDP0000191666")</f>
        <v>MDP0000191666</v>
      </c>
      <c r="D11536">
        <v>50.75</v>
      </c>
      <c r="E11536">
        <v>264</v>
      </c>
      <c r="F11536">
        <v>130</v>
      </c>
      <c r="G11536">
        <v>41</v>
      </c>
      <c r="H11536">
        <v>6</v>
      </c>
      <c r="I11536">
        <v>233</v>
      </c>
      <c r="J11536">
        <v>1</v>
      </c>
      <c r="K11536">
        <v>8</v>
      </c>
      <c r="L11536">
        <v>266</v>
      </c>
      <c r="M11536">
        <v>1</v>
      </c>
      <c r="N11536">
        <v>8.2164800000000005E-71</v>
      </c>
      <c r="O11536">
        <v>673</v>
      </c>
    </row>
    <row r="11537" spans="1:15" x14ac:dyDescent="0.25">
      <c r="A11537" t="s">
        <v>11550</v>
      </c>
      <c r="B11537">
        <v>246</v>
      </c>
      <c r="C11537" s="1" t="str">
        <f>HYPERLINK("http://www.rosaceae.org/gb/gbrowse/malus_x_domestica/?name=MDP0000294477","MDP0000294477")</f>
        <v>MDP0000294477</v>
      </c>
      <c r="D11537">
        <v>59.6</v>
      </c>
      <c r="E11537">
        <v>151</v>
      </c>
      <c r="F11537">
        <v>61</v>
      </c>
      <c r="G11537">
        <v>37</v>
      </c>
      <c r="H11537">
        <v>67</v>
      </c>
      <c r="I11537">
        <v>217</v>
      </c>
      <c r="J11537">
        <v>1</v>
      </c>
      <c r="K11537">
        <v>48</v>
      </c>
      <c r="L11537">
        <v>161</v>
      </c>
      <c r="M11537">
        <v>1</v>
      </c>
      <c r="N11537">
        <v>3.1961200000000003E-42</v>
      </c>
      <c r="O11537">
        <v>427</v>
      </c>
    </row>
    <row r="11538" spans="1:15" x14ac:dyDescent="0.25">
      <c r="A11538" t="s">
        <v>11551</v>
      </c>
      <c r="B11538">
        <v>246</v>
      </c>
      <c r="C11538" s="1" t="str">
        <f>HYPERLINK("http://www.rosaceae.org/gb/gbrowse/malus_x_domestica/?name=MDP0000295783","MDP0000295783")</f>
        <v>MDP0000295783</v>
      </c>
      <c r="D11538">
        <v>45.07</v>
      </c>
      <c r="E11538">
        <v>71</v>
      </c>
      <c r="F11538">
        <v>39</v>
      </c>
      <c r="G11538">
        <v>1</v>
      </c>
      <c r="H11538">
        <v>1</v>
      </c>
      <c r="I11538">
        <v>71</v>
      </c>
      <c r="J11538">
        <v>1</v>
      </c>
      <c r="K11538">
        <v>375</v>
      </c>
      <c r="L11538">
        <v>444</v>
      </c>
      <c r="M11538">
        <v>1</v>
      </c>
      <c r="N11538">
        <v>4.1769499999999997E-11</v>
      </c>
      <c r="O11538">
        <v>159</v>
      </c>
    </row>
    <row r="11539" spans="1:15" x14ac:dyDescent="0.25">
      <c r="A11539" t="s">
        <v>11552</v>
      </c>
      <c r="B11539">
        <v>136</v>
      </c>
      <c r="C11539" s="1" t="str">
        <f>HYPERLINK("http://www.rosaceae.org/gb/gbrowse/malus_x_domestica/?name=MDP0000935646","MDP0000935646")</f>
        <v>MDP0000935646</v>
      </c>
      <c r="D11539">
        <v>54.54</v>
      </c>
      <c r="E11539">
        <v>143</v>
      </c>
      <c r="F11539">
        <v>65</v>
      </c>
      <c r="G11539">
        <v>12</v>
      </c>
      <c r="H11539">
        <v>2</v>
      </c>
      <c r="I11539">
        <v>136</v>
      </c>
      <c r="J11539">
        <v>1</v>
      </c>
      <c r="K11539">
        <v>12</v>
      </c>
      <c r="L11539">
        <v>150</v>
      </c>
      <c r="M11539">
        <v>1</v>
      </c>
      <c r="N11539">
        <v>1.22737E-33</v>
      </c>
      <c r="O11539">
        <v>349</v>
      </c>
    </row>
    <row r="11540" spans="1:15" x14ac:dyDescent="0.25">
      <c r="A11540" t="s">
        <v>11553</v>
      </c>
      <c r="B11540">
        <v>288</v>
      </c>
      <c r="C11540" s="1" t="str">
        <f>HYPERLINK("http://www.rosaceae.org/gb/gbrowse/malus_x_domestica/?name=MDP0000225088","MDP0000225088")</f>
        <v>MDP0000225088</v>
      </c>
      <c r="D11540">
        <v>76.81</v>
      </c>
      <c r="E11540">
        <v>289</v>
      </c>
      <c r="F11540">
        <v>67</v>
      </c>
      <c r="G11540">
        <v>1</v>
      </c>
      <c r="H11540">
        <v>1</v>
      </c>
      <c r="I11540">
        <v>288</v>
      </c>
      <c r="J11540">
        <v>1</v>
      </c>
      <c r="K11540">
        <v>1</v>
      </c>
      <c r="L11540">
        <v>289</v>
      </c>
      <c r="M11540">
        <v>1</v>
      </c>
      <c r="N11540">
        <v>6.7880900000000002E-132</v>
      </c>
      <c r="O11540">
        <v>1201</v>
      </c>
    </row>
    <row r="11541" spans="1:15" x14ac:dyDescent="0.25">
      <c r="A11541" t="s">
        <v>11554</v>
      </c>
      <c r="B11541">
        <v>1262</v>
      </c>
      <c r="C11541" s="1" t="str">
        <f>HYPERLINK("http://www.rosaceae.org/gb/gbrowse/malus_x_domestica/?name=MDP0000190785","MDP0000190785")</f>
        <v>MDP0000190785</v>
      </c>
      <c r="D11541">
        <v>77.94</v>
      </c>
      <c r="E11541">
        <v>1274</v>
      </c>
      <c r="F11541">
        <v>281</v>
      </c>
      <c r="G11541">
        <v>73</v>
      </c>
      <c r="H11541">
        <v>1</v>
      </c>
      <c r="I11541">
        <v>1261</v>
      </c>
      <c r="J11541">
        <v>1</v>
      </c>
      <c r="K11541">
        <v>1</v>
      </c>
      <c r="L11541">
        <v>1214</v>
      </c>
      <c r="M11541">
        <v>1</v>
      </c>
      <c r="N11541">
        <v>0</v>
      </c>
      <c r="O11541">
        <v>5200</v>
      </c>
    </row>
    <row r="11542" spans="1:15" x14ac:dyDescent="0.25">
      <c r="A11542" t="s">
        <v>11555</v>
      </c>
      <c r="B11542">
        <v>323</v>
      </c>
      <c r="C11542" s="1" t="str">
        <f>HYPERLINK("http://www.rosaceae.org/gb/gbrowse/malus_x_domestica/?name=MDP0000303738","MDP0000303738")</f>
        <v>MDP0000303738</v>
      </c>
      <c r="D11542">
        <v>61.7</v>
      </c>
      <c r="E11542">
        <v>235</v>
      </c>
      <c r="F11542">
        <v>90</v>
      </c>
      <c r="G11542">
        <v>1</v>
      </c>
      <c r="H11542">
        <v>71</v>
      </c>
      <c r="I11542">
        <v>304</v>
      </c>
      <c r="J11542">
        <v>1</v>
      </c>
      <c r="K11542">
        <v>261</v>
      </c>
      <c r="L11542">
        <v>495</v>
      </c>
      <c r="M11542">
        <v>1</v>
      </c>
      <c r="N11542">
        <v>1.7498500000000001E-79</v>
      </c>
      <c r="O11542">
        <v>750</v>
      </c>
    </row>
    <row r="11543" spans="1:15" x14ac:dyDescent="0.25">
      <c r="A11543" t="s">
        <v>11556</v>
      </c>
      <c r="B11543">
        <v>225</v>
      </c>
      <c r="C11543" s="1" t="str">
        <f>HYPERLINK("http://www.rosaceae.org/gb/gbrowse/malus_x_domestica/?name=MDP0000553127","MDP0000553127")</f>
        <v>MDP0000553127</v>
      </c>
      <c r="D11543">
        <v>56.97</v>
      </c>
      <c r="E11543">
        <v>172</v>
      </c>
      <c r="F11543">
        <v>74</v>
      </c>
      <c r="G11543">
        <v>13</v>
      </c>
      <c r="H11543">
        <v>2</v>
      </c>
      <c r="I11543">
        <v>170</v>
      </c>
      <c r="J11543">
        <v>1</v>
      </c>
      <c r="K11543">
        <v>13</v>
      </c>
      <c r="L11543">
        <v>174</v>
      </c>
      <c r="M11543">
        <v>1</v>
      </c>
      <c r="N11543">
        <v>5.1540800000000002E-53</v>
      </c>
      <c r="O11543">
        <v>519</v>
      </c>
    </row>
    <row r="11544" spans="1:15" x14ac:dyDescent="0.25">
      <c r="A11544" t="s">
        <v>11557</v>
      </c>
      <c r="B11544">
        <v>655</v>
      </c>
      <c r="C11544" s="1" t="str">
        <f>HYPERLINK("http://www.rosaceae.org/gb/gbrowse/malus_x_domestica/?name=MDP0000678327","MDP0000678327")</f>
        <v>MDP0000678327</v>
      </c>
      <c r="D11544">
        <v>70.8</v>
      </c>
      <c r="E11544">
        <v>668</v>
      </c>
      <c r="F11544">
        <v>195</v>
      </c>
      <c r="G11544">
        <v>27</v>
      </c>
      <c r="H11544">
        <v>1</v>
      </c>
      <c r="I11544">
        <v>655</v>
      </c>
      <c r="J11544">
        <v>1</v>
      </c>
      <c r="K11544">
        <v>16</v>
      </c>
      <c r="L11544">
        <v>669</v>
      </c>
      <c r="M11544">
        <v>1</v>
      </c>
      <c r="N11544">
        <v>0</v>
      </c>
      <c r="O11544">
        <v>2375</v>
      </c>
    </row>
    <row r="11545" spans="1:15" x14ac:dyDescent="0.25">
      <c r="A11545" t="s">
        <v>11558</v>
      </c>
      <c r="B11545">
        <v>535</v>
      </c>
      <c r="C11545" s="1" t="str">
        <f>HYPERLINK("http://www.rosaceae.org/gb/gbrowse/malus_x_domestica/?name=MDP0000385305","MDP0000385305")</f>
        <v>MDP0000385305</v>
      </c>
      <c r="D11545">
        <v>70.400000000000006</v>
      </c>
      <c r="E11545">
        <v>561</v>
      </c>
      <c r="F11545">
        <v>166</v>
      </c>
      <c r="G11545">
        <v>31</v>
      </c>
      <c r="H11545">
        <v>1</v>
      </c>
      <c r="I11545">
        <v>535</v>
      </c>
      <c r="J11545">
        <v>1</v>
      </c>
      <c r="K11545">
        <v>1</v>
      </c>
      <c r="L11545">
        <v>556</v>
      </c>
      <c r="M11545">
        <v>1</v>
      </c>
      <c r="N11545">
        <v>0</v>
      </c>
      <c r="O11545">
        <v>1932</v>
      </c>
    </row>
    <row r="11546" spans="1:15" x14ac:dyDescent="0.25">
      <c r="A11546" t="s">
        <v>11559</v>
      </c>
      <c r="B11546">
        <v>149</v>
      </c>
      <c r="C11546" s="1" t="str">
        <f>HYPERLINK("http://www.rosaceae.org/gb/gbrowse/malus_x_domestica/?name=MDP0000348190","MDP0000348190")</f>
        <v>MDP0000348190</v>
      </c>
      <c r="D11546">
        <v>35.65</v>
      </c>
      <c r="E11546">
        <v>129</v>
      </c>
      <c r="F11546">
        <v>83</v>
      </c>
      <c r="G11546">
        <v>40</v>
      </c>
      <c r="H11546">
        <v>45</v>
      </c>
      <c r="I11546">
        <v>140</v>
      </c>
      <c r="J11546">
        <v>1</v>
      </c>
      <c r="K11546">
        <v>70</v>
      </c>
      <c r="L11546">
        <v>191</v>
      </c>
      <c r="M11546">
        <v>1</v>
      </c>
      <c r="N11546">
        <v>2.3863099999999999E-10</v>
      </c>
      <c r="O11546">
        <v>149</v>
      </c>
    </row>
    <row r="11547" spans="1:15" x14ac:dyDescent="0.25">
      <c r="A11547" t="s">
        <v>11560</v>
      </c>
      <c r="B11547">
        <v>263</v>
      </c>
      <c r="C11547" s="1" t="str">
        <f>HYPERLINK("http://www.rosaceae.org/gb/gbrowse/malus_x_domestica/?name=MDP0000153787","MDP0000153787")</f>
        <v>MDP0000153787</v>
      </c>
      <c r="D11547">
        <v>58.66</v>
      </c>
      <c r="E11547">
        <v>225</v>
      </c>
      <c r="F11547">
        <v>93</v>
      </c>
      <c r="G11547">
        <v>13</v>
      </c>
      <c r="H11547">
        <v>25</v>
      </c>
      <c r="I11547">
        <v>236</v>
      </c>
      <c r="J11547">
        <v>1</v>
      </c>
      <c r="K11547">
        <v>59</v>
      </c>
      <c r="L11547">
        <v>283</v>
      </c>
      <c r="M11547">
        <v>1</v>
      </c>
      <c r="N11547">
        <v>2.5855599999999999E-62</v>
      </c>
      <c r="O11547">
        <v>601</v>
      </c>
    </row>
    <row r="11548" spans="1:15" x14ac:dyDescent="0.25">
      <c r="A11548" t="s">
        <v>11561</v>
      </c>
      <c r="B11548">
        <v>530</v>
      </c>
      <c r="C11548" s="1" t="str">
        <f>HYPERLINK("http://www.rosaceae.org/gb/gbrowse/malus_x_domestica/?name=MDP0000128262","MDP0000128262")</f>
        <v>MDP0000128262</v>
      </c>
      <c r="D11548">
        <v>76.84</v>
      </c>
      <c r="E11548">
        <v>393</v>
      </c>
      <c r="F11548">
        <v>91</v>
      </c>
      <c r="G11548">
        <v>5</v>
      </c>
      <c r="H11548">
        <v>134</v>
      </c>
      <c r="I11548">
        <v>521</v>
      </c>
      <c r="J11548">
        <v>1</v>
      </c>
      <c r="K11548">
        <v>1</v>
      </c>
      <c r="L11548">
        <v>393</v>
      </c>
      <c r="M11548">
        <v>1</v>
      </c>
      <c r="N11548">
        <v>8.85306E-180</v>
      </c>
      <c r="O11548">
        <v>1617</v>
      </c>
    </row>
    <row r="11549" spans="1:15" x14ac:dyDescent="0.25">
      <c r="A11549" t="s">
        <v>11562</v>
      </c>
      <c r="B11549">
        <v>487</v>
      </c>
      <c r="C11549" s="1" t="str">
        <f>HYPERLINK("http://www.rosaceae.org/gb/gbrowse/malus_x_domestica/?name=MDP0000423529","MDP0000423529")</f>
        <v>MDP0000423529</v>
      </c>
      <c r="D11549">
        <v>62.25</v>
      </c>
      <c r="E11549">
        <v>506</v>
      </c>
      <c r="F11549">
        <v>191</v>
      </c>
      <c r="G11549">
        <v>25</v>
      </c>
      <c r="H11549">
        <v>1</v>
      </c>
      <c r="I11549">
        <v>484</v>
      </c>
      <c r="J11549">
        <v>1</v>
      </c>
      <c r="K11549">
        <v>1</v>
      </c>
      <c r="L11549">
        <v>503</v>
      </c>
      <c r="M11549">
        <v>1</v>
      </c>
      <c r="N11549">
        <v>4.1049899999999997E-180</v>
      </c>
      <c r="O11549">
        <v>1620</v>
      </c>
    </row>
    <row r="11550" spans="1:15" x14ac:dyDescent="0.25">
      <c r="A11550" t="s">
        <v>11563</v>
      </c>
      <c r="B11550">
        <v>166</v>
      </c>
      <c r="C11550" s="1" t="str">
        <f>HYPERLINK("http://www.rosaceae.org/gb/gbrowse/malus_x_domestica/?name=MDP0000304983","MDP0000304983")</f>
        <v>MDP0000304983</v>
      </c>
      <c r="D11550">
        <v>40.74</v>
      </c>
      <c r="E11550">
        <v>54</v>
      </c>
      <c r="F11550">
        <v>32</v>
      </c>
      <c r="G11550">
        <v>0</v>
      </c>
      <c r="H11550">
        <v>104</v>
      </c>
      <c r="I11550">
        <v>157</v>
      </c>
      <c r="J11550">
        <v>1</v>
      </c>
      <c r="K11550">
        <v>187</v>
      </c>
      <c r="L11550">
        <v>240</v>
      </c>
      <c r="M11550">
        <v>1</v>
      </c>
      <c r="N11550">
        <v>7.0683899999999997E-7</v>
      </c>
      <c r="O11550">
        <v>119</v>
      </c>
    </row>
    <row r="11551" spans="1:15" x14ac:dyDescent="0.25">
      <c r="A11551" t="s">
        <v>11564</v>
      </c>
      <c r="B11551">
        <v>888</v>
      </c>
      <c r="C11551" s="1" t="str">
        <f>HYPERLINK("http://www.rosaceae.org/gb/gbrowse/malus_x_domestica/?name=MDP0000451570","MDP0000451570")</f>
        <v>MDP0000451570</v>
      </c>
      <c r="D11551">
        <v>80.47</v>
      </c>
      <c r="E11551">
        <v>763</v>
      </c>
      <c r="F11551">
        <v>149</v>
      </c>
      <c r="G11551">
        <v>7</v>
      </c>
      <c r="H11551">
        <v>122</v>
      </c>
      <c r="I11551">
        <v>881</v>
      </c>
      <c r="J11551">
        <v>1</v>
      </c>
      <c r="K11551">
        <v>1</v>
      </c>
      <c r="L11551">
        <v>759</v>
      </c>
      <c r="M11551">
        <v>1</v>
      </c>
      <c r="N11551">
        <v>0</v>
      </c>
      <c r="O11551">
        <v>3381</v>
      </c>
    </row>
    <row r="11552" spans="1:15" x14ac:dyDescent="0.25">
      <c r="A11552" t="s">
        <v>11565</v>
      </c>
      <c r="B11552">
        <v>94</v>
      </c>
      <c r="C11552" s="1" t="str">
        <f>HYPERLINK("http://www.rosaceae.org/gb/gbrowse/malus_x_domestica/?name=MDP0000689889","MDP0000689889")</f>
        <v>MDP0000689889</v>
      </c>
      <c r="D11552">
        <v>73.489999999999995</v>
      </c>
      <c r="E11552">
        <v>83</v>
      </c>
      <c r="F11552">
        <v>22</v>
      </c>
      <c r="G11552">
        <v>1</v>
      </c>
      <c r="H11552">
        <v>1</v>
      </c>
      <c r="I11552">
        <v>82</v>
      </c>
      <c r="J11552">
        <v>1</v>
      </c>
      <c r="K11552">
        <v>1</v>
      </c>
      <c r="L11552">
        <v>83</v>
      </c>
      <c r="M11552">
        <v>1</v>
      </c>
      <c r="N11552">
        <v>2.70431E-28</v>
      </c>
      <c r="O11552">
        <v>301</v>
      </c>
    </row>
    <row r="11553" spans="1:15" x14ac:dyDescent="0.25">
      <c r="A11553" t="s">
        <v>11566</v>
      </c>
      <c r="B11553">
        <v>310</v>
      </c>
      <c r="C11553" s="1" t="str">
        <f>HYPERLINK("http://www.rosaceae.org/gb/gbrowse/malus_x_domestica/?name=MDP0000303738","MDP0000303738")</f>
        <v>MDP0000303738</v>
      </c>
      <c r="D11553">
        <v>60.25</v>
      </c>
      <c r="E11553">
        <v>234</v>
      </c>
      <c r="F11553">
        <v>93</v>
      </c>
      <c r="G11553">
        <v>1</v>
      </c>
      <c r="H11553">
        <v>59</v>
      </c>
      <c r="I11553">
        <v>291</v>
      </c>
      <c r="J11553">
        <v>1</v>
      </c>
      <c r="K11553">
        <v>267</v>
      </c>
      <c r="L11553">
        <v>500</v>
      </c>
      <c r="M11553">
        <v>1</v>
      </c>
      <c r="N11553">
        <v>4.5641299999999997E-73</v>
      </c>
      <c r="O11553">
        <v>694</v>
      </c>
    </row>
    <row r="11554" spans="1:15" x14ac:dyDescent="0.25">
      <c r="A11554" t="s">
        <v>11567</v>
      </c>
      <c r="B11554">
        <v>179</v>
      </c>
      <c r="C11554" s="1" t="str">
        <f>HYPERLINK("http://www.rosaceae.org/gb/gbrowse/malus_x_domestica/?name=MDP0000789038","MDP0000789038")</f>
        <v>MDP0000789038</v>
      </c>
      <c r="D11554">
        <v>57.81</v>
      </c>
      <c r="E11554">
        <v>64</v>
      </c>
      <c r="F11554">
        <v>27</v>
      </c>
      <c r="G11554">
        <v>3</v>
      </c>
      <c r="H11554">
        <v>118</v>
      </c>
      <c r="I11554">
        <v>178</v>
      </c>
      <c r="J11554">
        <v>1</v>
      </c>
      <c r="K11554">
        <v>27</v>
      </c>
      <c r="L11554">
        <v>90</v>
      </c>
      <c r="M11554">
        <v>1</v>
      </c>
      <c r="N11554">
        <v>7.7017899999999996E-14</v>
      </c>
      <c r="O11554">
        <v>180</v>
      </c>
    </row>
    <row r="11555" spans="1:15" x14ac:dyDescent="0.25">
      <c r="A11555" t="s">
        <v>11568</v>
      </c>
      <c r="B11555">
        <v>398</v>
      </c>
      <c r="C11555" s="1" t="str">
        <f>HYPERLINK("http://www.rosaceae.org/gb/gbrowse/malus_x_domestica/?name=MDP0000500222","MDP0000500222")</f>
        <v>MDP0000500222</v>
      </c>
      <c r="D11555">
        <v>44.35</v>
      </c>
      <c r="E11555">
        <v>372</v>
      </c>
      <c r="F11555">
        <v>207</v>
      </c>
      <c r="G11555">
        <v>39</v>
      </c>
      <c r="H11555">
        <v>21</v>
      </c>
      <c r="I11555">
        <v>377</v>
      </c>
      <c r="J11555">
        <v>1</v>
      </c>
      <c r="K11555">
        <v>74</v>
      </c>
      <c r="L11555">
        <v>421</v>
      </c>
      <c r="M11555">
        <v>1</v>
      </c>
      <c r="N11555">
        <v>9.1196100000000001E-71</v>
      </c>
      <c r="O11555">
        <v>676</v>
      </c>
    </row>
    <row r="11556" spans="1:15" x14ac:dyDescent="0.25">
      <c r="A11556" t="s">
        <v>11569</v>
      </c>
      <c r="B11556">
        <v>1095</v>
      </c>
      <c r="C11556" s="1" t="str">
        <f>HYPERLINK("http://www.rosaceae.org/gb/gbrowse/malus_x_domestica/?name=MDP0000292500","MDP0000292500")</f>
        <v>MDP0000292500</v>
      </c>
      <c r="D11556">
        <v>65.78</v>
      </c>
      <c r="E11556">
        <v>494</v>
      </c>
      <c r="F11556">
        <v>169</v>
      </c>
      <c r="G11556">
        <v>89</v>
      </c>
      <c r="H11556">
        <v>90</v>
      </c>
      <c r="I11556">
        <v>565</v>
      </c>
      <c r="J11556">
        <v>1</v>
      </c>
      <c r="K11556">
        <v>58</v>
      </c>
      <c r="L11556">
        <v>480</v>
      </c>
      <c r="M11556">
        <v>1</v>
      </c>
      <c r="N11556">
        <v>8.6124999999999993E-170</v>
      </c>
      <c r="O11556">
        <v>1534</v>
      </c>
    </row>
    <row r="11557" spans="1:15" x14ac:dyDescent="0.25">
      <c r="A11557" t="s">
        <v>11570</v>
      </c>
      <c r="B11557">
        <v>312</v>
      </c>
      <c r="C11557" s="1" t="str">
        <f>HYPERLINK("http://www.rosaceae.org/gb/gbrowse/malus_x_domestica/?name=MDP0000233085","MDP0000233085")</f>
        <v>MDP0000233085</v>
      </c>
      <c r="D11557">
        <v>52.76</v>
      </c>
      <c r="E11557">
        <v>199</v>
      </c>
      <c r="F11557">
        <v>94</v>
      </c>
      <c r="G11557">
        <v>33</v>
      </c>
      <c r="H11557">
        <v>124</v>
      </c>
      <c r="I11557">
        <v>312</v>
      </c>
      <c r="J11557">
        <v>1</v>
      </c>
      <c r="K11557">
        <v>692</v>
      </c>
      <c r="L11557">
        <v>867</v>
      </c>
      <c r="M11557">
        <v>1</v>
      </c>
      <c r="N11557">
        <v>1.001E-44</v>
      </c>
      <c r="O11557">
        <v>450</v>
      </c>
    </row>
    <row r="11558" spans="1:15" x14ac:dyDescent="0.25">
      <c r="A11558" t="s">
        <v>11571</v>
      </c>
      <c r="B11558">
        <v>289</v>
      </c>
      <c r="C11558" s="1" t="str">
        <f>HYPERLINK("http://www.rosaceae.org/gb/gbrowse/malus_x_domestica/?name=MDP0000506266","MDP0000506266")</f>
        <v>MDP0000506266</v>
      </c>
      <c r="D11558">
        <v>71.11</v>
      </c>
      <c r="E11558">
        <v>90</v>
      </c>
      <c r="F11558">
        <v>26</v>
      </c>
      <c r="G11558">
        <v>2</v>
      </c>
      <c r="H11558">
        <v>1</v>
      </c>
      <c r="I11558">
        <v>90</v>
      </c>
      <c r="J11558">
        <v>1</v>
      </c>
      <c r="K11558">
        <v>1</v>
      </c>
      <c r="L11558">
        <v>88</v>
      </c>
      <c r="M11558">
        <v>1</v>
      </c>
      <c r="N11558">
        <v>2.18642E-29</v>
      </c>
      <c r="O11558">
        <v>317</v>
      </c>
    </row>
    <row r="11559" spans="1:15" x14ac:dyDescent="0.25">
      <c r="A11559" t="s">
        <v>11572</v>
      </c>
      <c r="B11559">
        <v>284</v>
      </c>
      <c r="C11559" s="1" t="str">
        <f>HYPERLINK("http://www.rosaceae.org/gb/gbrowse/malus_x_domestica/?name=MDP0000163774","MDP0000163774")</f>
        <v>MDP0000163774</v>
      </c>
      <c r="D11559">
        <v>42.25</v>
      </c>
      <c r="E11559">
        <v>71</v>
      </c>
      <c r="F11559">
        <v>41</v>
      </c>
      <c r="G11559">
        <v>0</v>
      </c>
      <c r="H11559">
        <v>212</v>
      </c>
      <c r="I11559">
        <v>282</v>
      </c>
      <c r="J11559">
        <v>1</v>
      </c>
      <c r="K11559">
        <v>61</v>
      </c>
      <c r="L11559">
        <v>131</v>
      </c>
      <c r="M11559">
        <v>1</v>
      </c>
      <c r="N11559">
        <v>1.3188200000000001E-10</v>
      </c>
      <c r="O11559">
        <v>155</v>
      </c>
    </row>
    <row r="11560" spans="1:15" x14ac:dyDescent="0.25">
      <c r="A11560" t="s">
        <v>11573</v>
      </c>
      <c r="B11560">
        <v>186</v>
      </c>
      <c r="C11560" s="1" t="str">
        <f>HYPERLINK("http://www.rosaceae.org/gb/gbrowse/malus_x_domestica/?name=MDP0000191667","MDP0000191667")</f>
        <v>MDP0000191667</v>
      </c>
      <c r="D11560">
        <v>83.33</v>
      </c>
      <c r="E11560">
        <v>204</v>
      </c>
      <c r="F11560">
        <v>34</v>
      </c>
      <c r="G11560">
        <v>26</v>
      </c>
      <c r="H11560">
        <v>9</v>
      </c>
      <c r="I11560">
        <v>186</v>
      </c>
      <c r="J11560">
        <v>1</v>
      </c>
      <c r="K11560">
        <v>397</v>
      </c>
      <c r="L11560">
        <v>600</v>
      </c>
      <c r="M11560">
        <v>1</v>
      </c>
      <c r="N11560">
        <v>3.2601900000000002E-96</v>
      </c>
      <c r="O11560">
        <v>891</v>
      </c>
    </row>
    <row r="11561" spans="1:15" x14ac:dyDescent="0.25">
      <c r="A11561" t="s">
        <v>11574</v>
      </c>
      <c r="B11561">
        <v>449</v>
      </c>
      <c r="C11561" s="1" t="str">
        <f>HYPERLINK("http://www.rosaceae.org/gb/gbrowse/malus_x_domestica/?name=MDP0000396630","MDP0000396630")</f>
        <v>MDP0000396630</v>
      </c>
      <c r="D11561">
        <v>72</v>
      </c>
      <c r="E11561">
        <v>443</v>
      </c>
      <c r="F11561">
        <v>124</v>
      </c>
      <c r="G11561">
        <v>1</v>
      </c>
      <c r="H11561">
        <v>4</v>
      </c>
      <c r="I11561">
        <v>445</v>
      </c>
      <c r="J11561">
        <v>1</v>
      </c>
      <c r="K11561">
        <v>11</v>
      </c>
      <c r="L11561">
        <v>453</v>
      </c>
      <c r="M11561">
        <v>1</v>
      </c>
      <c r="N11561">
        <v>0</v>
      </c>
      <c r="O11561">
        <v>1734</v>
      </c>
    </row>
    <row r="11562" spans="1:15" x14ac:dyDescent="0.25">
      <c r="A11562" t="s">
        <v>11575</v>
      </c>
      <c r="B11562">
        <v>506</v>
      </c>
      <c r="C11562" s="1" t="str">
        <f>HYPERLINK("http://www.rosaceae.org/gb/gbrowse/malus_x_domestica/?name=MDP0000147216","MDP0000147216")</f>
        <v>MDP0000147216</v>
      </c>
      <c r="D11562">
        <v>72.2</v>
      </c>
      <c r="E11562">
        <v>500</v>
      </c>
      <c r="F11562">
        <v>139</v>
      </c>
      <c r="G11562">
        <v>2</v>
      </c>
      <c r="H11562">
        <v>3</v>
      </c>
      <c r="I11562">
        <v>502</v>
      </c>
      <c r="J11562">
        <v>1</v>
      </c>
      <c r="K11562">
        <v>5</v>
      </c>
      <c r="L11562">
        <v>502</v>
      </c>
      <c r="M11562">
        <v>1</v>
      </c>
      <c r="N11562">
        <v>0</v>
      </c>
      <c r="O11562">
        <v>1878</v>
      </c>
    </row>
    <row r="11563" spans="1:15" x14ac:dyDescent="0.25">
      <c r="A11563" t="s">
        <v>11576</v>
      </c>
      <c r="B11563">
        <v>808</v>
      </c>
      <c r="C11563" s="1" t="str">
        <f>HYPERLINK("http://www.rosaceae.org/gb/gbrowse/malus_x_domestica/?name=MDP0000227588","MDP0000227588")</f>
        <v>MDP0000227588</v>
      </c>
      <c r="D11563">
        <v>50.5</v>
      </c>
      <c r="E11563">
        <v>396</v>
      </c>
      <c r="F11563">
        <v>196</v>
      </c>
      <c r="G11563">
        <v>83</v>
      </c>
      <c r="H11563">
        <v>357</v>
      </c>
      <c r="I11563">
        <v>669</v>
      </c>
      <c r="J11563">
        <v>1</v>
      </c>
      <c r="K11563">
        <v>417</v>
      </c>
      <c r="L11563">
        <v>812</v>
      </c>
      <c r="M11563">
        <v>1</v>
      </c>
      <c r="N11563">
        <v>3.9839599999999998E-89</v>
      </c>
      <c r="O11563">
        <v>837</v>
      </c>
    </row>
    <row r="11564" spans="1:15" x14ac:dyDescent="0.25">
      <c r="A11564" t="s">
        <v>11577</v>
      </c>
      <c r="B11564">
        <v>216</v>
      </c>
      <c r="C11564" s="1" t="str">
        <f>HYPERLINK("http://www.rosaceae.org/gb/gbrowse/malus_x_domestica/?name=MDP0000326735","MDP0000326735")</f>
        <v>MDP0000326735</v>
      </c>
      <c r="D11564">
        <v>62.5</v>
      </c>
      <c r="E11564">
        <v>256</v>
      </c>
      <c r="F11564">
        <v>96</v>
      </c>
      <c r="G11564">
        <v>48</v>
      </c>
      <c r="H11564">
        <v>4</v>
      </c>
      <c r="I11564">
        <v>212</v>
      </c>
      <c r="J11564">
        <v>1</v>
      </c>
      <c r="K11564">
        <v>1</v>
      </c>
      <c r="L11564">
        <v>255</v>
      </c>
      <c r="M11564">
        <v>1</v>
      </c>
      <c r="N11564">
        <v>4.5998699999999999E-86</v>
      </c>
      <c r="O11564">
        <v>804</v>
      </c>
    </row>
    <row r="11565" spans="1:15" x14ac:dyDescent="0.25">
      <c r="A11565" t="s">
        <v>11578</v>
      </c>
      <c r="B11565">
        <v>650</v>
      </c>
      <c r="C11565" s="1" t="str">
        <f>HYPERLINK("http://www.rosaceae.org/gb/gbrowse/malus_x_domestica/?name=MDP0000127212","MDP0000127212")</f>
        <v>MDP0000127212</v>
      </c>
      <c r="D11565">
        <v>74.73</v>
      </c>
      <c r="E11565">
        <v>653</v>
      </c>
      <c r="F11565">
        <v>165</v>
      </c>
      <c r="G11565">
        <v>59</v>
      </c>
      <c r="H11565">
        <v>30</v>
      </c>
      <c r="I11565">
        <v>650</v>
      </c>
      <c r="J11565">
        <v>1</v>
      </c>
      <c r="K11565">
        <v>479</v>
      </c>
      <c r="L11565">
        <v>1104</v>
      </c>
      <c r="M11565">
        <v>1</v>
      </c>
      <c r="N11565">
        <v>0</v>
      </c>
      <c r="O11565">
        <v>2501</v>
      </c>
    </row>
    <row r="11566" spans="1:15" x14ac:dyDescent="0.25">
      <c r="A11566" t="s">
        <v>11579</v>
      </c>
      <c r="B11566">
        <v>179</v>
      </c>
      <c r="C11566" s="1" t="str">
        <f>HYPERLINK("http://www.rosaceae.org/gb/gbrowse/malus_x_domestica/?name=MDP0000161450","MDP0000161450")</f>
        <v>MDP0000161450</v>
      </c>
      <c r="D11566">
        <v>64.7</v>
      </c>
      <c r="E11566">
        <v>153</v>
      </c>
      <c r="F11566">
        <v>54</v>
      </c>
      <c r="G11566">
        <v>6</v>
      </c>
      <c r="H11566">
        <v>3</v>
      </c>
      <c r="I11566">
        <v>150</v>
      </c>
      <c r="J11566">
        <v>1</v>
      </c>
      <c r="K11566">
        <v>4</v>
      </c>
      <c r="L11566">
        <v>155</v>
      </c>
      <c r="M11566">
        <v>1</v>
      </c>
      <c r="N11566">
        <v>3.6000500000000001E-47</v>
      </c>
      <c r="O11566">
        <v>468</v>
      </c>
    </row>
    <row r="11567" spans="1:15" x14ac:dyDescent="0.25">
      <c r="A11567" t="s">
        <v>11580</v>
      </c>
      <c r="B11567">
        <v>763</v>
      </c>
      <c r="C11567" s="1" t="str">
        <f>HYPERLINK("http://www.rosaceae.org/gb/gbrowse/malus_x_domestica/?name=MDP0000167308","MDP0000167308")</f>
        <v>MDP0000167308</v>
      </c>
      <c r="D11567">
        <v>70.37</v>
      </c>
      <c r="E11567">
        <v>783</v>
      </c>
      <c r="F11567">
        <v>232</v>
      </c>
      <c r="G11567">
        <v>48</v>
      </c>
      <c r="H11567">
        <v>1</v>
      </c>
      <c r="I11567">
        <v>748</v>
      </c>
      <c r="J11567">
        <v>1</v>
      </c>
      <c r="K11567">
        <v>1</v>
      </c>
      <c r="L11567">
        <v>770</v>
      </c>
      <c r="M11567">
        <v>1</v>
      </c>
      <c r="N11567">
        <v>0</v>
      </c>
      <c r="O11567">
        <v>2862</v>
      </c>
    </row>
    <row r="11568" spans="1:15" x14ac:dyDescent="0.25">
      <c r="A11568" t="s">
        <v>11581</v>
      </c>
      <c r="B11568">
        <v>307</v>
      </c>
      <c r="C11568" s="1" t="str">
        <f>HYPERLINK("http://www.rosaceae.org/gb/gbrowse/malus_x_domestica/?name=MDP0000207066","MDP0000207066")</f>
        <v>MDP0000207066</v>
      </c>
      <c r="D11568">
        <v>59.37</v>
      </c>
      <c r="E11568">
        <v>224</v>
      </c>
      <c r="F11568">
        <v>91</v>
      </c>
      <c r="G11568">
        <v>39</v>
      </c>
      <c r="H11568">
        <v>1</v>
      </c>
      <c r="I11568">
        <v>185</v>
      </c>
      <c r="J11568">
        <v>1</v>
      </c>
      <c r="K11568">
        <v>1</v>
      </c>
      <c r="L11568">
        <v>224</v>
      </c>
      <c r="M11568">
        <v>1</v>
      </c>
      <c r="N11568">
        <v>1.31099E-66</v>
      </c>
      <c r="O11568">
        <v>639</v>
      </c>
    </row>
    <row r="11569" spans="1:15" x14ac:dyDescent="0.25">
      <c r="A11569" t="s">
        <v>11582</v>
      </c>
      <c r="B11569">
        <v>600</v>
      </c>
      <c r="C11569" s="1" t="str">
        <f>HYPERLINK("http://www.rosaceae.org/gb/gbrowse/malus_x_domestica/?name=MDP0000182108","MDP0000182108")</f>
        <v>MDP0000182108</v>
      </c>
      <c r="D11569">
        <v>70.430000000000007</v>
      </c>
      <c r="E11569">
        <v>558</v>
      </c>
      <c r="F11569">
        <v>165</v>
      </c>
      <c r="G11569">
        <v>17</v>
      </c>
      <c r="H11569">
        <v>3</v>
      </c>
      <c r="I11569">
        <v>547</v>
      </c>
      <c r="J11569">
        <v>1</v>
      </c>
      <c r="K11569">
        <v>1</v>
      </c>
      <c r="L11569">
        <v>554</v>
      </c>
      <c r="M11569">
        <v>1</v>
      </c>
      <c r="N11569">
        <v>0</v>
      </c>
      <c r="O11569">
        <v>2142</v>
      </c>
    </row>
    <row r="11570" spans="1:15" x14ac:dyDescent="0.25">
      <c r="A11570" t="s">
        <v>11583</v>
      </c>
      <c r="B11570">
        <v>1101</v>
      </c>
      <c r="C11570" s="1" t="str">
        <f>HYPERLINK("http://www.rosaceae.org/gb/gbrowse/malus_x_domestica/?name=MDP0000181681","MDP0000181681")</f>
        <v>MDP0000181681</v>
      </c>
      <c r="D11570">
        <v>43.69</v>
      </c>
      <c r="E11570">
        <v>373</v>
      </c>
      <c r="F11570">
        <v>210</v>
      </c>
      <c r="G11570">
        <v>43</v>
      </c>
      <c r="H11570">
        <v>25</v>
      </c>
      <c r="I11570">
        <v>364</v>
      </c>
      <c r="J11570">
        <v>1</v>
      </c>
      <c r="K11570">
        <v>29</v>
      </c>
      <c r="L11570">
        <v>391</v>
      </c>
      <c r="M11570">
        <v>1</v>
      </c>
      <c r="N11570">
        <v>5.0201199999999998E-67</v>
      </c>
      <c r="O11570">
        <v>648</v>
      </c>
    </row>
    <row r="11571" spans="1:15" x14ac:dyDescent="0.25">
      <c r="A11571" t="s">
        <v>11584</v>
      </c>
      <c r="B11571">
        <v>63</v>
      </c>
      <c r="C11571" s="1" t="str">
        <f>HYPERLINK("http://www.rosaceae.org/gb/gbrowse/malus_x_domestica/?name=MDP0000131760","MDP0000131760")</f>
        <v>MDP0000131760</v>
      </c>
      <c r="D11571">
        <v>73.58</v>
      </c>
      <c r="E11571">
        <v>53</v>
      </c>
      <c r="F11571">
        <v>14</v>
      </c>
      <c r="G11571">
        <v>0</v>
      </c>
      <c r="H11571">
        <v>1</v>
      </c>
      <c r="I11571">
        <v>53</v>
      </c>
      <c r="J11571">
        <v>1</v>
      </c>
      <c r="K11571">
        <v>57</v>
      </c>
      <c r="L11571">
        <v>109</v>
      </c>
      <c r="M11571">
        <v>1</v>
      </c>
      <c r="N11571">
        <v>1.1243500000000001E-19</v>
      </c>
      <c r="O11571">
        <v>227</v>
      </c>
    </row>
    <row r="11572" spans="1:15" x14ac:dyDescent="0.25">
      <c r="A11572" t="s">
        <v>11585</v>
      </c>
      <c r="B11572">
        <v>465</v>
      </c>
      <c r="C11572" s="1" t="str">
        <f>HYPERLINK("http://www.rosaceae.org/gb/gbrowse/malus_x_domestica/?name=MDP0000121185","MDP0000121185")</f>
        <v>MDP0000121185</v>
      </c>
      <c r="D11572">
        <v>78.92</v>
      </c>
      <c r="E11572">
        <v>465</v>
      </c>
      <c r="F11572">
        <v>98</v>
      </c>
      <c r="G11572">
        <v>0</v>
      </c>
      <c r="H11572">
        <v>1</v>
      </c>
      <c r="I11572">
        <v>465</v>
      </c>
      <c r="J11572">
        <v>1</v>
      </c>
      <c r="K11572">
        <v>162</v>
      </c>
      <c r="L11572">
        <v>626</v>
      </c>
      <c r="M11572">
        <v>1</v>
      </c>
      <c r="N11572">
        <v>0</v>
      </c>
      <c r="O11572">
        <v>1988</v>
      </c>
    </row>
    <row r="11573" spans="1:15" x14ac:dyDescent="0.25">
      <c r="A11573" t="s">
        <v>11586</v>
      </c>
      <c r="B11573">
        <v>126</v>
      </c>
      <c r="C11573" s="1" t="str">
        <f>HYPERLINK("http://www.rosaceae.org/gb/gbrowse/malus_x_domestica/?name=MDP0000302995","MDP0000302995")</f>
        <v>MDP0000302995</v>
      </c>
      <c r="D11573">
        <v>53.48</v>
      </c>
      <c r="E11573">
        <v>43</v>
      </c>
      <c r="F11573">
        <v>20</v>
      </c>
      <c r="G11573">
        <v>2</v>
      </c>
      <c r="H11573">
        <v>11</v>
      </c>
      <c r="I11573">
        <v>53</v>
      </c>
      <c r="J11573">
        <v>1</v>
      </c>
      <c r="K11573">
        <v>19</v>
      </c>
      <c r="L11573">
        <v>59</v>
      </c>
      <c r="M11573">
        <v>1</v>
      </c>
      <c r="N11573">
        <v>9.39279E-7</v>
      </c>
      <c r="O11573">
        <v>116</v>
      </c>
    </row>
    <row r="11574" spans="1:15" x14ac:dyDescent="0.25">
      <c r="A11574" t="s">
        <v>11587</v>
      </c>
      <c r="B11574">
        <v>406</v>
      </c>
      <c r="C11574" s="1" t="str">
        <f>HYPERLINK("http://www.rosaceae.org/gb/gbrowse/malus_x_domestica/?name=MDP0000150000","MDP0000150000")</f>
        <v>MDP0000150000</v>
      </c>
      <c r="D11574">
        <v>26.16</v>
      </c>
      <c r="E11574">
        <v>321</v>
      </c>
      <c r="F11574">
        <v>237</v>
      </c>
      <c r="G11574">
        <v>55</v>
      </c>
      <c r="H11574">
        <v>1</v>
      </c>
      <c r="I11574">
        <v>270</v>
      </c>
      <c r="J11574">
        <v>1</v>
      </c>
      <c r="K11574">
        <v>1</v>
      </c>
      <c r="L11574">
        <v>317</v>
      </c>
      <c r="M11574">
        <v>1</v>
      </c>
      <c r="N11574">
        <v>1.9839000000000002E-15</v>
      </c>
      <c r="O11574">
        <v>199</v>
      </c>
    </row>
    <row r="11575" spans="1:15" x14ac:dyDescent="0.25">
      <c r="A11575" t="s">
        <v>11588</v>
      </c>
      <c r="B11575">
        <v>657</v>
      </c>
      <c r="C11575" s="1" t="str">
        <f>HYPERLINK("http://www.rosaceae.org/gb/gbrowse/malus_x_domestica/?name=MDP0000132406","MDP0000132406")</f>
        <v>MDP0000132406</v>
      </c>
      <c r="D11575">
        <v>33.46</v>
      </c>
      <c r="E11575">
        <v>502</v>
      </c>
      <c r="F11575">
        <v>334</v>
      </c>
      <c r="G11575">
        <v>101</v>
      </c>
      <c r="H11575">
        <v>177</v>
      </c>
      <c r="I11575">
        <v>657</v>
      </c>
      <c r="J11575">
        <v>1</v>
      </c>
      <c r="K11575">
        <v>33</v>
      </c>
      <c r="L11575">
        <v>454</v>
      </c>
      <c r="M11575">
        <v>1</v>
      </c>
      <c r="N11575">
        <v>4.8068699999999999E-47</v>
      </c>
      <c r="O11575">
        <v>473</v>
      </c>
    </row>
    <row r="11576" spans="1:15" x14ac:dyDescent="0.25">
      <c r="A11576" t="s">
        <v>11589</v>
      </c>
      <c r="B11576">
        <v>883</v>
      </c>
      <c r="C11576" s="1" t="str">
        <f>HYPERLINK("http://www.rosaceae.org/gb/gbrowse/malus_x_domestica/?name=MDP0000879487","MDP0000879487")</f>
        <v>MDP0000879487</v>
      </c>
      <c r="D11576">
        <v>81.349999999999994</v>
      </c>
      <c r="E11576">
        <v>59</v>
      </c>
      <c r="F11576">
        <v>11</v>
      </c>
      <c r="G11576">
        <v>0</v>
      </c>
      <c r="H11576">
        <v>472</v>
      </c>
      <c r="I11576">
        <v>530</v>
      </c>
      <c r="J11576">
        <v>1</v>
      </c>
      <c r="K11576">
        <v>217</v>
      </c>
      <c r="L11576">
        <v>275</v>
      </c>
      <c r="M11576">
        <v>1</v>
      </c>
      <c r="N11576">
        <v>1.7099299999999999E-21</v>
      </c>
      <c r="O11576">
        <v>254</v>
      </c>
    </row>
    <row r="11577" spans="1:15" x14ac:dyDescent="0.25">
      <c r="A11577" t="s">
        <v>11590</v>
      </c>
      <c r="B11577">
        <v>489</v>
      </c>
      <c r="C11577" s="1" t="str">
        <f>HYPERLINK("http://www.rosaceae.org/gb/gbrowse/malus_x_domestica/?name=MDP0000205662","MDP0000205662")</f>
        <v>MDP0000205662</v>
      </c>
      <c r="D11577">
        <v>71.89</v>
      </c>
      <c r="E11577">
        <v>427</v>
      </c>
      <c r="F11577">
        <v>120</v>
      </c>
      <c r="G11577">
        <v>33</v>
      </c>
      <c r="H11577">
        <v>96</v>
      </c>
      <c r="I11577">
        <v>489</v>
      </c>
      <c r="J11577">
        <v>1</v>
      </c>
      <c r="K11577">
        <v>22</v>
      </c>
      <c r="L11577">
        <v>448</v>
      </c>
      <c r="M11577">
        <v>1</v>
      </c>
      <c r="N11577">
        <v>8.7543399999999999E-176</v>
      </c>
      <c r="O11577">
        <v>1582</v>
      </c>
    </row>
    <row r="11578" spans="1:15" x14ac:dyDescent="0.25">
      <c r="A11578" t="s">
        <v>11591</v>
      </c>
      <c r="B11578">
        <v>168</v>
      </c>
      <c r="C11578" s="1" t="str">
        <f>HYPERLINK("http://www.rosaceae.org/gb/gbrowse/malus_x_domestica/?name=MDP0000286185","MDP0000286185")</f>
        <v>MDP0000286185</v>
      </c>
      <c r="D11578">
        <v>66.66</v>
      </c>
      <c r="E11578">
        <v>177</v>
      </c>
      <c r="F11578">
        <v>59</v>
      </c>
      <c r="G11578">
        <v>10</v>
      </c>
      <c r="H11578">
        <v>1</v>
      </c>
      <c r="I11578">
        <v>168</v>
      </c>
      <c r="J11578">
        <v>1</v>
      </c>
      <c r="K11578">
        <v>57</v>
      </c>
      <c r="L11578">
        <v>232</v>
      </c>
      <c r="M11578">
        <v>1</v>
      </c>
      <c r="N11578">
        <v>2.9310700000000002E-61</v>
      </c>
      <c r="O11578">
        <v>589</v>
      </c>
    </row>
    <row r="11579" spans="1:15" x14ac:dyDescent="0.25">
      <c r="A11579" t="s">
        <v>11592</v>
      </c>
      <c r="B11579">
        <v>572</v>
      </c>
      <c r="C11579" s="1" t="str">
        <f>HYPERLINK("http://www.rosaceae.org/gb/gbrowse/malus_x_domestica/?name=MDP0000268652","MDP0000268652")</f>
        <v>MDP0000268652</v>
      </c>
      <c r="D11579">
        <v>83.39</v>
      </c>
      <c r="E11579">
        <v>572</v>
      </c>
      <c r="F11579">
        <v>95</v>
      </c>
      <c r="G11579">
        <v>2</v>
      </c>
      <c r="H11579">
        <v>1</v>
      </c>
      <c r="I11579">
        <v>572</v>
      </c>
      <c r="J11579">
        <v>1</v>
      </c>
      <c r="K11579">
        <v>1</v>
      </c>
      <c r="L11579">
        <v>570</v>
      </c>
      <c r="M11579">
        <v>1</v>
      </c>
      <c r="N11579">
        <v>0</v>
      </c>
      <c r="O11579">
        <v>2550</v>
      </c>
    </row>
    <row r="11580" spans="1:15" x14ac:dyDescent="0.25">
      <c r="A11580" t="s">
        <v>11593</v>
      </c>
      <c r="B11580">
        <v>588</v>
      </c>
      <c r="C11580" s="1" t="str">
        <f>HYPERLINK("http://www.rosaceae.org/gb/gbrowse/malus_x_domestica/?name=MDP0000140225","MDP0000140225")</f>
        <v>MDP0000140225</v>
      </c>
      <c r="D11580">
        <v>66.45</v>
      </c>
      <c r="E11580">
        <v>322</v>
      </c>
      <c r="F11580">
        <v>108</v>
      </c>
      <c r="G11580">
        <v>16</v>
      </c>
      <c r="H11580">
        <v>3</v>
      </c>
      <c r="I11580">
        <v>309</v>
      </c>
      <c r="J11580">
        <v>1</v>
      </c>
      <c r="K11580">
        <v>1</v>
      </c>
      <c r="L11580">
        <v>321</v>
      </c>
      <c r="M11580">
        <v>1</v>
      </c>
      <c r="N11580">
        <v>8.9803400000000002E-123</v>
      </c>
      <c r="O11580">
        <v>1126</v>
      </c>
    </row>
    <row r="11581" spans="1:15" x14ac:dyDescent="0.25">
      <c r="A11581" t="s">
        <v>11594</v>
      </c>
      <c r="B11581">
        <v>505</v>
      </c>
      <c r="C11581" s="1" t="str">
        <f>HYPERLINK("http://www.rosaceae.org/gb/gbrowse/malus_x_domestica/?name=MDP0000288817","MDP0000288817")</f>
        <v>MDP0000288817</v>
      </c>
      <c r="D11581">
        <v>46.95</v>
      </c>
      <c r="E11581">
        <v>411</v>
      </c>
      <c r="F11581">
        <v>218</v>
      </c>
      <c r="G11581">
        <v>7</v>
      </c>
      <c r="H11581">
        <v>14</v>
      </c>
      <c r="I11581">
        <v>420</v>
      </c>
      <c r="J11581">
        <v>1</v>
      </c>
      <c r="K11581">
        <v>647</v>
      </c>
      <c r="L11581">
        <v>1054</v>
      </c>
      <c r="M11581">
        <v>1</v>
      </c>
      <c r="N11581">
        <v>1.8203000000000001E-101</v>
      </c>
      <c r="O11581">
        <v>942</v>
      </c>
    </row>
    <row r="11582" spans="1:15" x14ac:dyDescent="0.25">
      <c r="A11582" t="s">
        <v>11595</v>
      </c>
      <c r="B11582">
        <v>328</v>
      </c>
      <c r="C11582" s="1" t="str">
        <f>HYPERLINK("http://www.rosaceae.org/gb/gbrowse/malus_x_domestica/?name=MDP0000187697","MDP0000187697")</f>
        <v>MDP0000187697</v>
      </c>
      <c r="D11582">
        <v>78.11</v>
      </c>
      <c r="E11582">
        <v>329</v>
      </c>
      <c r="F11582">
        <v>72</v>
      </c>
      <c r="G11582">
        <v>2</v>
      </c>
      <c r="H11582">
        <v>1</v>
      </c>
      <c r="I11582">
        <v>328</v>
      </c>
      <c r="J11582">
        <v>1</v>
      </c>
      <c r="K11582">
        <v>1</v>
      </c>
      <c r="L11582">
        <v>328</v>
      </c>
      <c r="M11582">
        <v>1</v>
      </c>
      <c r="N11582">
        <v>1.20553E-147</v>
      </c>
      <c r="O11582">
        <v>1338</v>
      </c>
    </row>
    <row r="11583" spans="1:15" x14ac:dyDescent="0.25">
      <c r="A11583" t="s">
        <v>11596</v>
      </c>
      <c r="B11583">
        <v>371</v>
      </c>
      <c r="C11583" s="1" t="str">
        <f>HYPERLINK("http://www.rosaceae.org/gb/gbrowse/malus_x_domestica/?name=MDP0000315050","MDP0000315050")</f>
        <v>MDP0000315050</v>
      </c>
      <c r="D11583">
        <v>60.28</v>
      </c>
      <c r="E11583">
        <v>345</v>
      </c>
      <c r="F11583">
        <v>137</v>
      </c>
      <c r="G11583">
        <v>38</v>
      </c>
      <c r="H11583">
        <v>1</v>
      </c>
      <c r="I11583">
        <v>337</v>
      </c>
      <c r="J11583">
        <v>1</v>
      </c>
      <c r="K11583">
        <v>1</v>
      </c>
      <c r="L11583">
        <v>315</v>
      </c>
      <c r="M11583">
        <v>1</v>
      </c>
      <c r="N11583">
        <v>8.8141600000000003E-110</v>
      </c>
      <c r="O11583">
        <v>1012</v>
      </c>
    </row>
    <row r="11584" spans="1:15" x14ac:dyDescent="0.25">
      <c r="A11584" t="s">
        <v>11597</v>
      </c>
      <c r="B11584">
        <v>607</v>
      </c>
      <c r="C11584" s="1" t="str">
        <f>HYPERLINK("http://www.rosaceae.org/gb/gbrowse/malus_x_domestica/?name=MDP0000402444","MDP0000402444")</f>
        <v>MDP0000402444</v>
      </c>
      <c r="D11584">
        <v>84.28</v>
      </c>
      <c r="E11584">
        <v>611</v>
      </c>
      <c r="F11584">
        <v>96</v>
      </c>
      <c r="G11584">
        <v>8</v>
      </c>
      <c r="H11584">
        <v>1</v>
      </c>
      <c r="I11584">
        <v>603</v>
      </c>
      <c r="J11584">
        <v>1</v>
      </c>
      <c r="K11584">
        <v>1</v>
      </c>
      <c r="L11584">
        <v>611</v>
      </c>
      <c r="M11584">
        <v>1</v>
      </c>
      <c r="N11584">
        <v>0</v>
      </c>
      <c r="O11584">
        <v>2770</v>
      </c>
    </row>
    <row r="11585" spans="1:15" x14ac:dyDescent="0.25">
      <c r="A11585" t="s">
        <v>11598</v>
      </c>
      <c r="B11585">
        <v>404</v>
      </c>
      <c r="C11585" s="1" t="str">
        <f>HYPERLINK("http://www.rosaceae.org/gb/gbrowse/malus_x_domestica/?name=MDP0000703817","MDP0000703817")</f>
        <v>MDP0000703817</v>
      </c>
      <c r="D11585">
        <v>55.34</v>
      </c>
      <c r="E11585">
        <v>365</v>
      </c>
      <c r="F11585">
        <v>163</v>
      </c>
      <c r="G11585">
        <v>45</v>
      </c>
      <c r="H11585">
        <v>4</v>
      </c>
      <c r="I11585">
        <v>364</v>
      </c>
      <c r="J11585">
        <v>1</v>
      </c>
      <c r="K11585">
        <v>11</v>
      </c>
      <c r="L11585">
        <v>334</v>
      </c>
      <c r="M11585">
        <v>1</v>
      </c>
      <c r="N11585">
        <v>7.3803300000000002E-94</v>
      </c>
      <c r="O11585">
        <v>875</v>
      </c>
    </row>
    <row r="11586" spans="1:15" x14ac:dyDescent="0.25">
      <c r="A11586" t="s">
        <v>11599</v>
      </c>
      <c r="B11586">
        <v>133</v>
      </c>
      <c r="C11586" s="1" t="str">
        <f>HYPERLINK("http://www.rosaceae.org/gb/gbrowse/malus_x_domestica/?name=MDP0000146122","MDP0000146122")</f>
        <v>MDP0000146122</v>
      </c>
      <c r="D11586">
        <v>60.22</v>
      </c>
      <c r="E11586">
        <v>176</v>
      </c>
      <c r="F11586">
        <v>70</v>
      </c>
      <c r="G11586">
        <v>55</v>
      </c>
      <c r="H11586">
        <v>8</v>
      </c>
      <c r="I11586">
        <v>133</v>
      </c>
      <c r="J11586">
        <v>1</v>
      </c>
      <c r="K11586">
        <v>40</v>
      </c>
      <c r="L11586">
        <v>210</v>
      </c>
      <c r="M11586">
        <v>1</v>
      </c>
      <c r="N11586">
        <v>2.0082900000000001E-48</v>
      </c>
      <c r="O11586">
        <v>476</v>
      </c>
    </row>
    <row r="11587" spans="1:15" x14ac:dyDescent="0.25">
      <c r="A11587" t="s">
        <v>11600</v>
      </c>
      <c r="B11587">
        <v>325</v>
      </c>
      <c r="C11587" s="1" t="str">
        <f>HYPERLINK("http://www.rosaceae.org/gb/gbrowse/malus_x_domestica/?name=MDP0000924199","MDP0000924199")</f>
        <v>MDP0000924199</v>
      </c>
      <c r="D11587">
        <v>82.29</v>
      </c>
      <c r="E11587">
        <v>192</v>
      </c>
      <c r="F11587">
        <v>34</v>
      </c>
      <c r="G11587">
        <v>20</v>
      </c>
      <c r="H11587">
        <v>149</v>
      </c>
      <c r="I11587">
        <v>320</v>
      </c>
      <c r="J11587">
        <v>1</v>
      </c>
      <c r="K11587">
        <v>16</v>
      </c>
      <c r="L11587">
        <v>207</v>
      </c>
      <c r="M11587">
        <v>1</v>
      </c>
      <c r="N11587">
        <v>1.41858E-86</v>
      </c>
      <c r="O11587">
        <v>811</v>
      </c>
    </row>
    <row r="11588" spans="1:15" x14ac:dyDescent="0.25">
      <c r="A11588" t="s">
        <v>11601</v>
      </c>
      <c r="B11588">
        <v>184</v>
      </c>
      <c r="C11588" s="1" t="str">
        <f>HYPERLINK("http://www.rosaceae.org/gb/gbrowse/malus_x_domestica/?name=MDP0000266282","MDP0000266282")</f>
        <v>MDP0000266282</v>
      </c>
      <c r="D11588">
        <v>71.5</v>
      </c>
      <c r="E11588">
        <v>200</v>
      </c>
      <c r="F11588">
        <v>57</v>
      </c>
      <c r="G11588">
        <v>19</v>
      </c>
      <c r="H11588">
        <v>1</v>
      </c>
      <c r="I11588">
        <v>181</v>
      </c>
      <c r="J11588">
        <v>1</v>
      </c>
      <c r="K11588">
        <v>392</v>
      </c>
      <c r="L11588">
        <v>591</v>
      </c>
      <c r="M11588">
        <v>1</v>
      </c>
      <c r="N11588">
        <v>1.21807E-75</v>
      </c>
      <c r="O11588">
        <v>713</v>
      </c>
    </row>
    <row r="11589" spans="1:15" x14ac:dyDescent="0.25">
      <c r="A11589" t="s">
        <v>11602</v>
      </c>
      <c r="B11589">
        <v>177</v>
      </c>
      <c r="C11589" s="1" t="str">
        <f>HYPERLINK("http://www.rosaceae.org/gb/gbrowse/malus_x_domestica/?name=MDP0000613004","MDP0000613004")</f>
        <v>MDP0000613004</v>
      </c>
      <c r="D11589">
        <v>62.83</v>
      </c>
      <c r="E11589">
        <v>113</v>
      </c>
      <c r="F11589">
        <v>42</v>
      </c>
      <c r="G11589">
        <v>11</v>
      </c>
      <c r="H11589">
        <v>5</v>
      </c>
      <c r="I11589">
        <v>106</v>
      </c>
      <c r="J11589">
        <v>1</v>
      </c>
      <c r="K11589">
        <v>43</v>
      </c>
      <c r="L11589">
        <v>155</v>
      </c>
      <c r="M11589">
        <v>1</v>
      </c>
      <c r="N11589">
        <v>3.1359199999999999E-35</v>
      </c>
      <c r="O11589">
        <v>364</v>
      </c>
    </row>
    <row r="11590" spans="1:15" x14ac:dyDescent="0.25">
      <c r="A11590" t="s">
        <v>11603</v>
      </c>
      <c r="B11590">
        <v>219</v>
      </c>
      <c r="C11590" s="1" t="str">
        <f>HYPERLINK("http://www.rosaceae.org/gb/gbrowse/malus_x_domestica/?name=MDP0000802237","MDP0000802237")</f>
        <v>MDP0000802237</v>
      </c>
      <c r="D11590">
        <v>46.52</v>
      </c>
      <c r="E11590">
        <v>230</v>
      </c>
      <c r="F11590">
        <v>123</v>
      </c>
      <c r="G11590">
        <v>29</v>
      </c>
      <c r="H11590">
        <v>1</v>
      </c>
      <c r="I11590">
        <v>214</v>
      </c>
      <c r="J11590">
        <v>1</v>
      </c>
      <c r="K11590">
        <v>154</v>
      </c>
      <c r="L11590">
        <v>370</v>
      </c>
      <c r="M11590">
        <v>1</v>
      </c>
      <c r="N11590">
        <v>5.5049900000000002E-43</v>
      </c>
      <c r="O11590">
        <v>433</v>
      </c>
    </row>
    <row r="11591" spans="1:15" x14ac:dyDescent="0.25">
      <c r="A11591" t="s">
        <v>11604</v>
      </c>
      <c r="B11591">
        <v>570</v>
      </c>
      <c r="C11591" s="1" t="str">
        <f>HYPERLINK("http://www.rosaceae.org/gb/gbrowse/malus_x_domestica/?name=MDP0000288051","MDP0000288051")</f>
        <v>MDP0000288051</v>
      </c>
      <c r="D11591">
        <v>73.63</v>
      </c>
      <c r="E11591">
        <v>584</v>
      </c>
      <c r="F11591">
        <v>154</v>
      </c>
      <c r="G11591">
        <v>30</v>
      </c>
      <c r="H11591">
        <v>1</v>
      </c>
      <c r="I11591">
        <v>554</v>
      </c>
      <c r="J11591">
        <v>1</v>
      </c>
      <c r="K11591">
        <v>211</v>
      </c>
      <c r="L11591">
        <v>794</v>
      </c>
      <c r="M11591">
        <v>1</v>
      </c>
      <c r="N11591">
        <v>0</v>
      </c>
      <c r="O11591">
        <v>2138</v>
      </c>
    </row>
    <row r="11592" spans="1:15" x14ac:dyDescent="0.25">
      <c r="A11592" t="s">
        <v>11605</v>
      </c>
      <c r="B11592">
        <v>610</v>
      </c>
      <c r="C11592" s="1" t="str">
        <f>HYPERLINK("http://www.rosaceae.org/gb/gbrowse/malus_x_domestica/?name=MDP0000247921","MDP0000247921")</f>
        <v>MDP0000247921</v>
      </c>
      <c r="D11592">
        <v>24.5</v>
      </c>
      <c r="E11592">
        <v>404</v>
      </c>
      <c r="F11592">
        <v>305</v>
      </c>
      <c r="G11592">
        <v>55</v>
      </c>
      <c r="H11592">
        <v>199</v>
      </c>
      <c r="I11592">
        <v>586</v>
      </c>
      <c r="J11592">
        <v>1</v>
      </c>
      <c r="K11592">
        <v>765</v>
      </c>
      <c r="L11592">
        <v>1129</v>
      </c>
      <c r="M11592">
        <v>1</v>
      </c>
      <c r="N11592">
        <v>7.6280299999999996E-35</v>
      </c>
      <c r="O11592">
        <v>368</v>
      </c>
    </row>
    <row r="11593" spans="1:15" x14ac:dyDescent="0.25">
      <c r="A11593" t="s">
        <v>11606</v>
      </c>
      <c r="B11593">
        <v>157</v>
      </c>
      <c r="C11593" s="1" t="str">
        <f>HYPERLINK("http://www.rosaceae.org/gb/gbrowse/malus_x_domestica/?name=MDP0000207407","MDP0000207407")</f>
        <v>MDP0000207407</v>
      </c>
      <c r="D11593">
        <v>69.62</v>
      </c>
      <c r="E11593">
        <v>158</v>
      </c>
      <c r="F11593">
        <v>48</v>
      </c>
      <c r="G11593">
        <v>3</v>
      </c>
      <c r="H11593">
        <v>1</v>
      </c>
      <c r="I11593">
        <v>155</v>
      </c>
      <c r="J11593">
        <v>1</v>
      </c>
      <c r="K11593">
        <v>1</v>
      </c>
      <c r="L11593">
        <v>158</v>
      </c>
      <c r="M11593">
        <v>1</v>
      </c>
      <c r="N11593">
        <v>3.4562799999999997E-54</v>
      </c>
      <c r="O11593">
        <v>527</v>
      </c>
    </row>
    <row r="11594" spans="1:15" x14ac:dyDescent="0.25">
      <c r="A11594" t="s">
        <v>11607</v>
      </c>
      <c r="B11594">
        <v>586</v>
      </c>
      <c r="C11594" s="1" t="str">
        <f>HYPERLINK("http://www.rosaceae.org/gb/gbrowse/malus_x_domestica/?name=MDP0000168293","MDP0000168293")</f>
        <v>MDP0000168293</v>
      </c>
      <c r="D11594">
        <v>47.22</v>
      </c>
      <c r="E11594">
        <v>540</v>
      </c>
      <c r="F11594">
        <v>285</v>
      </c>
      <c r="G11594">
        <v>23</v>
      </c>
      <c r="H11594">
        <v>27</v>
      </c>
      <c r="I11594">
        <v>563</v>
      </c>
      <c r="J11594">
        <v>1</v>
      </c>
      <c r="K11594">
        <v>32</v>
      </c>
      <c r="L11594">
        <v>551</v>
      </c>
      <c r="M11594">
        <v>1</v>
      </c>
      <c r="N11594">
        <v>3.2239200000000002E-131</v>
      </c>
      <c r="O11594">
        <v>1199</v>
      </c>
    </row>
    <row r="11595" spans="1:15" x14ac:dyDescent="0.25">
      <c r="A11595" t="s">
        <v>11608</v>
      </c>
      <c r="B11595">
        <v>675</v>
      </c>
      <c r="C11595" s="1" t="str">
        <f>HYPERLINK("http://www.rosaceae.org/gb/gbrowse/malus_x_domestica/?name=MDP0000314708","MDP0000314708")</f>
        <v>MDP0000314708</v>
      </c>
      <c r="D11595">
        <v>54.34</v>
      </c>
      <c r="E11595">
        <v>633</v>
      </c>
      <c r="F11595">
        <v>289</v>
      </c>
      <c r="G11595">
        <v>78</v>
      </c>
      <c r="H11595">
        <v>114</v>
      </c>
      <c r="I11595">
        <v>674</v>
      </c>
      <c r="J11595">
        <v>1</v>
      </c>
      <c r="K11595">
        <v>242</v>
      </c>
      <c r="L11595">
        <v>868</v>
      </c>
      <c r="M11595">
        <v>1</v>
      </c>
      <c r="N11595">
        <v>0</v>
      </c>
      <c r="O11595">
        <v>1677</v>
      </c>
    </row>
    <row r="11596" spans="1:15" x14ac:dyDescent="0.25">
      <c r="A11596" t="s">
        <v>11609</v>
      </c>
      <c r="B11596">
        <v>618</v>
      </c>
      <c r="C11596" s="1" t="str">
        <f>HYPERLINK("http://www.rosaceae.org/gb/gbrowse/malus_x_domestica/?name=MDP0000293639","MDP0000293639")</f>
        <v>MDP0000293639</v>
      </c>
      <c r="D11596">
        <v>59.49</v>
      </c>
      <c r="E11596">
        <v>632</v>
      </c>
      <c r="F11596">
        <v>256</v>
      </c>
      <c r="G11596">
        <v>41</v>
      </c>
      <c r="H11596">
        <v>1</v>
      </c>
      <c r="I11596">
        <v>611</v>
      </c>
      <c r="J11596">
        <v>1</v>
      </c>
      <c r="K11596">
        <v>13</v>
      </c>
      <c r="L11596">
        <v>624</v>
      </c>
      <c r="M11596">
        <v>1</v>
      </c>
      <c r="N11596">
        <v>0</v>
      </c>
      <c r="O11596">
        <v>1806</v>
      </c>
    </row>
    <row r="11597" spans="1:15" x14ac:dyDescent="0.25">
      <c r="A11597" t="s">
        <v>11610</v>
      </c>
      <c r="B11597">
        <v>388</v>
      </c>
      <c r="C11597" s="1" t="str">
        <f>HYPERLINK("http://www.rosaceae.org/gb/gbrowse/malus_x_domestica/?name=MDP0000124034","MDP0000124034")</f>
        <v>MDP0000124034</v>
      </c>
      <c r="D11597">
        <v>42.35</v>
      </c>
      <c r="E11597">
        <v>399</v>
      </c>
      <c r="F11597">
        <v>230</v>
      </c>
      <c r="G11597">
        <v>31</v>
      </c>
      <c r="H11597">
        <v>8</v>
      </c>
      <c r="I11597">
        <v>388</v>
      </c>
      <c r="J11597">
        <v>1</v>
      </c>
      <c r="K11597">
        <v>156</v>
      </c>
      <c r="L11597">
        <v>541</v>
      </c>
      <c r="M11597">
        <v>1</v>
      </c>
      <c r="N11597">
        <v>1.38138E-68</v>
      </c>
      <c r="O11597">
        <v>657</v>
      </c>
    </row>
    <row r="11598" spans="1:15" x14ac:dyDescent="0.25">
      <c r="A11598" t="s">
        <v>11611</v>
      </c>
      <c r="B11598">
        <v>960</v>
      </c>
      <c r="C11598" s="1" t="str">
        <f>HYPERLINK("http://www.rosaceae.org/gb/gbrowse/malus_x_domestica/?name=MDP0000308706","MDP0000308706")</f>
        <v>MDP0000308706</v>
      </c>
      <c r="D11598">
        <v>92.32</v>
      </c>
      <c r="E11598">
        <v>547</v>
      </c>
      <c r="F11598">
        <v>42</v>
      </c>
      <c r="G11598">
        <v>1</v>
      </c>
      <c r="H11598">
        <v>1</v>
      </c>
      <c r="I11598">
        <v>546</v>
      </c>
      <c r="J11598">
        <v>1</v>
      </c>
      <c r="K11598">
        <v>1</v>
      </c>
      <c r="L11598">
        <v>547</v>
      </c>
      <c r="M11598">
        <v>1</v>
      </c>
      <c r="N11598">
        <v>0</v>
      </c>
      <c r="O11598">
        <v>2704</v>
      </c>
    </row>
    <row r="11599" spans="1:15" x14ac:dyDescent="0.25">
      <c r="A11599" t="s">
        <v>11612</v>
      </c>
      <c r="B11599">
        <v>153</v>
      </c>
      <c r="C11599" s="1" t="str">
        <f>HYPERLINK("http://www.rosaceae.org/gb/gbrowse/malus_x_domestica/?name=MDP0000289098","MDP0000289098")</f>
        <v>MDP0000289098</v>
      </c>
      <c r="D11599">
        <v>79.45</v>
      </c>
      <c r="E11599">
        <v>73</v>
      </c>
      <c r="F11599">
        <v>15</v>
      </c>
      <c r="G11599">
        <v>0</v>
      </c>
      <c r="H11599">
        <v>11</v>
      </c>
      <c r="I11599">
        <v>83</v>
      </c>
      <c r="J11599">
        <v>1</v>
      </c>
      <c r="K11599">
        <v>12</v>
      </c>
      <c r="L11599">
        <v>84</v>
      </c>
      <c r="M11599">
        <v>1</v>
      </c>
      <c r="N11599">
        <v>2.8579300000000001E-33</v>
      </c>
      <c r="O11599">
        <v>346</v>
      </c>
    </row>
    <row r="11600" spans="1:15" x14ac:dyDescent="0.25">
      <c r="A11600" t="s">
        <v>11613</v>
      </c>
      <c r="B11600">
        <v>595</v>
      </c>
      <c r="C11600" s="1" t="str">
        <f>HYPERLINK("http://www.rosaceae.org/gb/gbrowse/malus_x_domestica/?name=MDP0000280298","MDP0000280298")</f>
        <v>MDP0000280298</v>
      </c>
      <c r="D11600">
        <v>91.75</v>
      </c>
      <c r="E11600">
        <v>594</v>
      </c>
      <c r="F11600">
        <v>49</v>
      </c>
      <c r="G11600">
        <v>0</v>
      </c>
      <c r="H11600">
        <v>1</v>
      </c>
      <c r="I11600">
        <v>594</v>
      </c>
      <c r="J11600">
        <v>1</v>
      </c>
      <c r="K11600">
        <v>1</v>
      </c>
      <c r="L11600">
        <v>594</v>
      </c>
      <c r="M11600">
        <v>1</v>
      </c>
      <c r="N11600">
        <v>0</v>
      </c>
      <c r="O11600">
        <v>2978</v>
      </c>
    </row>
    <row r="11601" spans="1:15" x14ac:dyDescent="0.25">
      <c r="A11601" t="s">
        <v>11614</v>
      </c>
      <c r="B11601">
        <v>339</v>
      </c>
      <c r="C11601" s="1" t="str">
        <f>HYPERLINK("http://www.rosaceae.org/gb/gbrowse/malus_x_domestica/?name=MDP0000298182","MDP0000298182")</f>
        <v>MDP0000298182</v>
      </c>
      <c r="D11601">
        <v>68.290000000000006</v>
      </c>
      <c r="E11601">
        <v>347</v>
      </c>
      <c r="F11601">
        <v>110</v>
      </c>
      <c r="G11601">
        <v>39</v>
      </c>
      <c r="H11601">
        <v>1</v>
      </c>
      <c r="I11601">
        <v>339</v>
      </c>
      <c r="J11601">
        <v>1</v>
      </c>
      <c r="K11601">
        <v>1</v>
      </c>
      <c r="L11601">
        <v>316</v>
      </c>
      <c r="M11601">
        <v>1</v>
      </c>
      <c r="N11601">
        <v>3.6515799999999997E-116</v>
      </c>
      <c r="O11601">
        <v>1066</v>
      </c>
    </row>
    <row r="11602" spans="1:15" x14ac:dyDescent="0.25">
      <c r="A11602" t="s">
        <v>11615</v>
      </c>
      <c r="B11602">
        <v>337</v>
      </c>
      <c r="C11602" s="1" t="str">
        <f>HYPERLINK("http://www.rosaceae.org/gb/gbrowse/malus_x_domestica/?name=MDP0000168341","MDP0000168341")</f>
        <v>MDP0000168341</v>
      </c>
      <c r="D11602">
        <v>91.45</v>
      </c>
      <c r="E11602">
        <v>316</v>
      </c>
      <c r="F11602">
        <v>27</v>
      </c>
      <c r="G11602">
        <v>1</v>
      </c>
      <c r="H11602">
        <v>1</v>
      </c>
      <c r="I11602">
        <v>315</v>
      </c>
      <c r="J11602">
        <v>1</v>
      </c>
      <c r="K11602">
        <v>1</v>
      </c>
      <c r="L11602">
        <v>316</v>
      </c>
      <c r="M11602">
        <v>1</v>
      </c>
      <c r="N11602">
        <v>5.5433400000000002E-172</v>
      </c>
      <c r="O11602">
        <v>1548</v>
      </c>
    </row>
    <row r="11603" spans="1:15" x14ac:dyDescent="0.25">
      <c r="A11603" t="s">
        <v>11616</v>
      </c>
      <c r="B11603">
        <v>785</v>
      </c>
      <c r="C11603" s="1" t="str">
        <f>HYPERLINK("http://www.rosaceae.org/gb/gbrowse/malus_x_domestica/?name=MDP0000731415","MDP0000731415")</f>
        <v>MDP0000731415</v>
      </c>
      <c r="D11603">
        <v>68.77</v>
      </c>
      <c r="E11603">
        <v>663</v>
      </c>
      <c r="F11603">
        <v>207</v>
      </c>
      <c r="G11603">
        <v>17</v>
      </c>
      <c r="H11603">
        <v>1</v>
      </c>
      <c r="I11603">
        <v>650</v>
      </c>
      <c r="J11603">
        <v>1</v>
      </c>
      <c r="K11603">
        <v>1</v>
      </c>
      <c r="L11603">
        <v>659</v>
      </c>
      <c r="M11603">
        <v>1</v>
      </c>
      <c r="N11603">
        <v>0</v>
      </c>
      <c r="O11603">
        <v>2276</v>
      </c>
    </row>
    <row r="11604" spans="1:15" x14ac:dyDescent="0.25">
      <c r="A11604" t="s">
        <v>11617</v>
      </c>
      <c r="B11604">
        <v>499</v>
      </c>
      <c r="C11604" s="1" t="str">
        <f>HYPERLINK("http://www.rosaceae.org/gb/gbrowse/malus_x_domestica/?name=MDP0000808501","MDP0000808501")</f>
        <v>MDP0000808501</v>
      </c>
      <c r="D11604">
        <v>36.53</v>
      </c>
      <c r="E11604">
        <v>375</v>
      </c>
      <c r="F11604">
        <v>238</v>
      </c>
      <c r="G11604">
        <v>45</v>
      </c>
      <c r="H11604">
        <v>157</v>
      </c>
      <c r="I11604">
        <v>496</v>
      </c>
      <c r="J11604">
        <v>1</v>
      </c>
      <c r="K11604">
        <v>30</v>
      </c>
      <c r="L11604">
        <v>394</v>
      </c>
      <c r="M11604">
        <v>1</v>
      </c>
      <c r="N11604">
        <v>5.0500400000000002E-40</v>
      </c>
      <c r="O11604">
        <v>412</v>
      </c>
    </row>
    <row r="11605" spans="1:15" x14ac:dyDescent="0.25">
      <c r="A11605" t="s">
        <v>11618</v>
      </c>
      <c r="B11605">
        <v>449</v>
      </c>
      <c r="C11605" s="1" t="str">
        <f>HYPERLINK("http://www.rosaceae.org/gb/gbrowse/malus_x_domestica/?name=MDP0000769656","MDP0000769656")</f>
        <v>MDP0000769656</v>
      </c>
      <c r="D11605">
        <v>70.540000000000006</v>
      </c>
      <c r="E11605">
        <v>438</v>
      </c>
      <c r="F11605">
        <v>129</v>
      </c>
      <c r="G11605">
        <v>12</v>
      </c>
      <c r="H11605">
        <v>1</v>
      </c>
      <c r="I11605">
        <v>432</v>
      </c>
      <c r="J11605">
        <v>1</v>
      </c>
      <c r="K11605">
        <v>1</v>
      </c>
      <c r="L11605">
        <v>432</v>
      </c>
      <c r="M11605">
        <v>1</v>
      </c>
      <c r="N11605">
        <v>1.0157099999999999E-173</v>
      </c>
      <c r="O11605">
        <v>1564</v>
      </c>
    </row>
    <row r="11606" spans="1:15" x14ac:dyDescent="0.25">
      <c r="A11606" t="s">
        <v>11619</v>
      </c>
      <c r="B11606">
        <v>320</v>
      </c>
      <c r="C11606" s="1" t="str">
        <f>HYPERLINK("http://www.rosaceae.org/gb/gbrowse/malus_x_domestica/?name=MDP0000816297","MDP0000816297")</f>
        <v>MDP0000816297</v>
      </c>
      <c r="D11606">
        <v>77.56</v>
      </c>
      <c r="E11606">
        <v>312</v>
      </c>
      <c r="F11606">
        <v>70</v>
      </c>
      <c r="G11606">
        <v>0</v>
      </c>
      <c r="H11606">
        <v>1</v>
      </c>
      <c r="I11606">
        <v>312</v>
      </c>
      <c r="J11606">
        <v>1</v>
      </c>
      <c r="K11606">
        <v>1</v>
      </c>
      <c r="L11606">
        <v>312</v>
      </c>
      <c r="M11606">
        <v>1</v>
      </c>
      <c r="N11606">
        <v>6.6504700000000002E-146</v>
      </c>
      <c r="O11606">
        <v>1323</v>
      </c>
    </row>
    <row r="11607" spans="1:15" x14ac:dyDescent="0.25">
      <c r="A11607" t="s">
        <v>11620</v>
      </c>
      <c r="B11607">
        <v>320</v>
      </c>
      <c r="C11607" s="1" t="str">
        <f>HYPERLINK("http://www.rosaceae.org/gb/gbrowse/malus_x_domestica/?name=MDP0000177505","MDP0000177505")</f>
        <v>MDP0000177505</v>
      </c>
      <c r="D11607">
        <v>67.72</v>
      </c>
      <c r="E11607">
        <v>251</v>
      </c>
      <c r="F11607">
        <v>81</v>
      </c>
      <c r="G11607">
        <v>1</v>
      </c>
      <c r="H11607">
        <v>1</v>
      </c>
      <c r="I11607">
        <v>251</v>
      </c>
      <c r="J11607">
        <v>1</v>
      </c>
      <c r="K11607">
        <v>65</v>
      </c>
      <c r="L11607">
        <v>314</v>
      </c>
      <c r="M11607">
        <v>1</v>
      </c>
      <c r="N11607">
        <v>6.2703300000000004E-90</v>
      </c>
      <c r="O11607">
        <v>840</v>
      </c>
    </row>
    <row r="11608" spans="1:15" x14ac:dyDescent="0.25">
      <c r="A11608" t="s">
        <v>11621</v>
      </c>
      <c r="B11608">
        <v>503</v>
      </c>
      <c r="C11608" s="1" t="str">
        <f>HYPERLINK("http://www.rosaceae.org/gb/gbrowse/malus_x_domestica/?name=MDP0000273229","MDP0000273229")</f>
        <v>MDP0000273229</v>
      </c>
      <c r="D11608">
        <v>66.59</v>
      </c>
      <c r="E11608">
        <v>494</v>
      </c>
      <c r="F11608">
        <v>165</v>
      </c>
      <c r="G11608">
        <v>7</v>
      </c>
      <c r="H11608">
        <v>1</v>
      </c>
      <c r="I11608">
        <v>494</v>
      </c>
      <c r="J11608">
        <v>1</v>
      </c>
      <c r="K11608">
        <v>53</v>
      </c>
      <c r="L11608">
        <v>539</v>
      </c>
      <c r="M11608">
        <v>1</v>
      </c>
      <c r="N11608">
        <v>0</v>
      </c>
      <c r="O11608">
        <v>1730</v>
      </c>
    </row>
    <row r="11609" spans="1:15" x14ac:dyDescent="0.25">
      <c r="A11609" t="s">
        <v>11622</v>
      </c>
      <c r="B11609">
        <v>251</v>
      </c>
      <c r="C11609" s="1" t="str">
        <f>HYPERLINK("http://www.rosaceae.org/gb/gbrowse/malus_x_domestica/?name=MDP0000216956","MDP0000216956")</f>
        <v>MDP0000216956</v>
      </c>
      <c r="D11609">
        <v>24.47</v>
      </c>
      <c r="E11609">
        <v>237</v>
      </c>
      <c r="F11609">
        <v>179</v>
      </c>
      <c r="G11609">
        <v>27</v>
      </c>
      <c r="H11609">
        <v>22</v>
      </c>
      <c r="I11609">
        <v>246</v>
      </c>
      <c r="J11609">
        <v>1</v>
      </c>
      <c r="K11609">
        <v>18</v>
      </c>
      <c r="L11609">
        <v>239</v>
      </c>
      <c r="M11609">
        <v>1</v>
      </c>
      <c r="N11609">
        <v>5.7350199999999997E-13</v>
      </c>
      <c r="O11609">
        <v>175</v>
      </c>
    </row>
    <row r="11610" spans="1:15" x14ac:dyDescent="0.25">
      <c r="A11610" t="s">
        <v>11623</v>
      </c>
      <c r="B11610">
        <v>1256</v>
      </c>
      <c r="C11610" s="1" t="str">
        <f>HYPERLINK("http://www.rosaceae.org/gb/gbrowse/malus_x_domestica/?name=MDP0000213823","MDP0000213823")</f>
        <v>MDP0000213823</v>
      </c>
      <c r="D11610">
        <v>50.43</v>
      </c>
      <c r="E11610">
        <v>1029</v>
      </c>
      <c r="F11610">
        <v>510</v>
      </c>
      <c r="G11610">
        <v>38</v>
      </c>
      <c r="H11610">
        <v>25</v>
      </c>
      <c r="I11610">
        <v>1048</v>
      </c>
      <c r="J11610">
        <v>1</v>
      </c>
      <c r="K11610">
        <v>18</v>
      </c>
      <c r="L11610">
        <v>1013</v>
      </c>
      <c r="M11610">
        <v>1</v>
      </c>
      <c r="N11610">
        <v>0</v>
      </c>
      <c r="O11610">
        <v>2376</v>
      </c>
    </row>
    <row r="11611" spans="1:15" x14ac:dyDescent="0.25">
      <c r="A11611" t="s">
        <v>11624</v>
      </c>
      <c r="B11611">
        <v>499</v>
      </c>
      <c r="C11611" s="1" t="str">
        <f>HYPERLINK("http://www.rosaceae.org/gb/gbrowse/malus_x_domestica/?name=MDP0000195797","MDP0000195797")</f>
        <v>MDP0000195797</v>
      </c>
      <c r="D11611">
        <v>56.28</v>
      </c>
      <c r="E11611">
        <v>183</v>
      </c>
      <c r="F11611">
        <v>80</v>
      </c>
      <c r="G11611">
        <v>2</v>
      </c>
      <c r="H11611">
        <v>316</v>
      </c>
      <c r="I11611">
        <v>497</v>
      </c>
      <c r="J11611">
        <v>1</v>
      </c>
      <c r="K11611">
        <v>469</v>
      </c>
      <c r="L11611">
        <v>650</v>
      </c>
      <c r="M11611">
        <v>1</v>
      </c>
      <c r="N11611">
        <v>6.6373299999999997E-47</v>
      </c>
      <c r="O11611">
        <v>471</v>
      </c>
    </row>
    <row r="11612" spans="1:15" x14ac:dyDescent="0.25">
      <c r="A11612" t="s">
        <v>11625</v>
      </c>
      <c r="B11612">
        <v>418</v>
      </c>
      <c r="C11612" s="1" t="str">
        <f>HYPERLINK("http://www.rosaceae.org/gb/gbrowse/malus_x_domestica/?name=MDP0000672088","MDP0000672088")</f>
        <v>MDP0000672088</v>
      </c>
      <c r="D11612">
        <v>81.11</v>
      </c>
      <c r="E11612">
        <v>429</v>
      </c>
      <c r="F11612">
        <v>81</v>
      </c>
      <c r="G11612">
        <v>12</v>
      </c>
      <c r="H11612">
        <v>1</v>
      </c>
      <c r="I11612">
        <v>417</v>
      </c>
      <c r="J11612">
        <v>1</v>
      </c>
      <c r="K11612">
        <v>1</v>
      </c>
      <c r="L11612">
        <v>429</v>
      </c>
      <c r="M11612">
        <v>1</v>
      </c>
      <c r="N11612">
        <v>0</v>
      </c>
      <c r="O11612">
        <v>1802</v>
      </c>
    </row>
    <row r="11613" spans="1:15" x14ac:dyDescent="0.25">
      <c r="A11613" t="s">
        <v>11626</v>
      </c>
      <c r="B11613">
        <v>209</v>
      </c>
      <c r="C11613" s="1" t="str">
        <f>HYPERLINK("http://www.rosaceae.org/gb/gbrowse/malus_x_domestica/?name=MDP0000306006","MDP0000306006")</f>
        <v>MDP0000306006</v>
      </c>
      <c r="D11613">
        <v>63.04</v>
      </c>
      <c r="E11613">
        <v>46</v>
      </c>
      <c r="F11613">
        <v>17</v>
      </c>
      <c r="G11613">
        <v>0</v>
      </c>
      <c r="H11613">
        <v>93</v>
      </c>
      <c r="I11613">
        <v>138</v>
      </c>
      <c r="J11613">
        <v>1</v>
      </c>
      <c r="K11613">
        <v>429</v>
      </c>
      <c r="L11613">
        <v>474</v>
      </c>
      <c r="M11613">
        <v>1</v>
      </c>
      <c r="N11613">
        <v>2.3850500000000002E-9</v>
      </c>
      <c r="O11613">
        <v>142</v>
      </c>
    </row>
    <row r="11614" spans="1:15" x14ac:dyDescent="0.25">
      <c r="A11614" t="s">
        <v>11627</v>
      </c>
      <c r="B11614">
        <v>696</v>
      </c>
      <c r="C11614" s="1" t="str">
        <f>HYPERLINK("http://www.rosaceae.org/gb/gbrowse/malus_x_domestica/?name=MDP0000281231","MDP0000281231")</f>
        <v>MDP0000281231</v>
      </c>
      <c r="D11614">
        <v>69.7</v>
      </c>
      <c r="E11614">
        <v>670</v>
      </c>
      <c r="F11614">
        <v>203</v>
      </c>
      <c r="G11614">
        <v>51</v>
      </c>
      <c r="H11614">
        <v>15</v>
      </c>
      <c r="I11614">
        <v>684</v>
      </c>
      <c r="J11614">
        <v>1</v>
      </c>
      <c r="K11614">
        <v>1427</v>
      </c>
      <c r="L11614">
        <v>2045</v>
      </c>
      <c r="M11614">
        <v>1</v>
      </c>
      <c r="N11614">
        <v>0</v>
      </c>
      <c r="O11614">
        <v>2506</v>
      </c>
    </row>
    <row r="11615" spans="1:15" x14ac:dyDescent="0.25">
      <c r="A11615" t="s">
        <v>11628</v>
      </c>
      <c r="B11615">
        <v>162</v>
      </c>
      <c r="C11615" s="1" t="str">
        <f>HYPERLINK("http://www.rosaceae.org/gb/gbrowse/malus_x_domestica/?name=MDP0000322021","MDP0000322021")</f>
        <v>MDP0000322021</v>
      </c>
      <c r="D11615">
        <v>75.16</v>
      </c>
      <c r="E11615">
        <v>149</v>
      </c>
      <c r="F11615">
        <v>37</v>
      </c>
      <c r="G11615">
        <v>0</v>
      </c>
      <c r="H11615">
        <v>1</v>
      </c>
      <c r="I11615">
        <v>149</v>
      </c>
      <c r="J11615">
        <v>1</v>
      </c>
      <c r="K11615">
        <v>77</v>
      </c>
      <c r="L11615">
        <v>225</v>
      </c>
      <c r="M11615">
        <v>1</v>
      </c>
      <c r="N11615">
        <v>4.1880900000000001E-62</v>
      </c>
      <c r="O11615">
        <v>596</v>
      </c>
    </row>
    <row r="11616" spans="1:15" x14ac:dyDescent="0.25">
      <c r="A11616" t="s">
        <v>11629</v>
      </c>
      <c r="B11616">
        <v>713</v>
      </c>
      <c r="C11616" s="1" t="str">
        <f>HYPERLINK("http://www.rosaceae.org/gb/gbrowse/malus_x_domestica/?name=MDP0000222790","MDP0000222790")</f>
        <v>MDP0000222790</v>
      </c>
      <c r="D11616">
        <v>57.73</v>
      </c>
      <c r="E11616">
        <v>459</v>
      </c>
      <c r="F11616">
        <v>194</v>
      </c>
      <c r="G11616">
        <v>3</v>
      </c>
      <c r="H11616">
        <v>255</v>
      </c>
      <c r="I11616">
        <v>713</v>
      </c>
      <c r="J11616">
        <v>1</v>
      </c>
      <c r="K11616">
        <v>399</v>
      </c>
      <c r="L11616">
        <v>854</v>
      </c>
      <c r="M11616">
        <v>1</v>
      </c>
      <c r="N11616">
        <v>7.3796199999999998E-152</v>
      </c>
      <c r="O11616">
        <v>1378</v>
      </c>
    </row>
    <row r="11617" spans="1:15" x14ac:dyDescent="0.25">
      <c r="A11617" t="s">
        <v>11630</v>
      </c>
      <c r="B11617">
        <v>326</v>
      </c>
      <c r="C11617" s="1" t="str">
        <f>HYPERLINK("http://www.rosaceae.org/gb/gbrowse/malus_x_domestica/?name=MDP0000216660","MDP0000216660")</f>
        <v>MDP0000216660</v>
      </c>
      <c r="D11617">
        <v>54.63</v>
      </c>
      <c r="E11617">
        <v>313</v>
      </c>
      <c r="F11617">
        <v>142</v>
      </c>
      <c r="G11617">
        <v>32</v>
      </c>
      <c r="H11617">
        <v>1</v>
      </c>
      <c r="I11617">
        <v>300</v>
      </c>
      <c r="J11617">
        <v>1</v>
      </c>
      <c r="K11617">
        <v>1</v>
      </c>
      <c r="L11617">
        <v>294</v>
      </c>
      <c r="M11617">
        <v>1</v>
      </c>
      <c r="N11617">
        <v>3.0880100000000001E-95</v>
      </c>
      <c r="O11617">
        <v>886</v>
      </c>
    </row>
    <row r="11618" spans="1:15" x14ac:dyDescent="0.25">
      <c r="A11618" t="s">
        <v>11631</v>
      </c>
      <c r="B11618">
        <v>493</v>
      </c>
      <c r="C11618" s="1" t="str">
        <f>HYPERLINK("http://www.rosaceae.org/gb/gbrowse/malus_x_domestica/?name=MDP0000609131","MDP0000609131")</f>
        <v>MDP0000609131</v>
      </c>
      <c r="D11618">
        <v>68.33</v>
      </c>
      <c r="E11618">
        <v>379</v>
      </c>
      <c r="F11618">
        <v>120</v>
      </c>
      <c r="G11618">
        <v>2</v>
      </c>
      <c r="H11618">
        <v>28</v>
      </c>
      <c r="I11618">
        <v>405</v>
      </c>
      <c r="J11618">
        <v>1</v>
      </c>
      <c r="K11618">
        <v>36</v>
      </c>
      <c r="L11618">
        <v>413</v>
      </c>
      <c r="M11618">
        <v>1</v>
      </c>
      <c r="N11618">
        <v>1.0380800000000001E-148</v>
      </c>
      <c r="O11618">
        <v>1349</v>
      </c>
    </row>
    <row r="11619" spans="1:15" x14ac:dyDescent="0.25">
      <c r="A11619" t="s">
        <v>11632</v>
      </c>
      <c r="B11619">
        <v>119</v>
      </c>
      <c r="C11619" s="1" t="str">
        <f>HYPERLINK("http://www.rosaceae.org/gb/gbrowse/malus_x_domestica/?name=MDP0000168762","MDP0000168762")</f>
        <v>MDP0000168762</v>
      </c>
      <c r="D11619">
        <v>72.47</v>
      </c>
      <c r="E11619">
        <v>109</v>
      </c>
      <c r="F11619">
        <v>30</v>
      </c>
      <c r="G11619">
        <v>6</v>
      </c>
      <c r="H11619">
        <v>13</v>
      </c>
      <c r="I11619">
        <v>115</v>
      </c>
      <c r="J11619">
        <v>1</v>
      </c>
      <c r="K11619">
        <v>96</v>
      </c>
      <c r="L11619">
        <v>204</v>
      </c>
      <c r="M11619">
        <v>1</v>
      </c>
      <c r="N11619">
        <v>7.8839999999999992E-34</v>
      </c>
      <c r="O11619">
        <v>349</v>
      </c>
    </row>
    <row r="11620" spans="1:15" x14ac:dyDescent="0.25">
      <c r="A11620" t="s">
        <v>11633</v>
      </c>
      <c r="B11620">
        <v>572</v>
      </c>
      <c r="C11620" s="1" t="str">
        <f>HYPERLINK("http://www.rosaceae.org/gb/gbrowse/malus_x_domestica/?name=MDP0000126290","MDP0000126290")</f>
        <v>MDP0000126290</v>
      </c>
      <c r="D11620">
        <v>62.16</v>
      </c>
      <c r="E11620">
        <v>563</v>
      </c>
      <c r="F11620">
        <v>213</v>
      </c>
      <c r="G11620">
        <v>26</v>
      </c>
      <c r="H11620">
        <v>20</v>
      </c>
      <c r="I11620">
        <v>572</v>
      </c>
      <c r="J11620">
        <v>1</v>
      </c>
      <c r="K11620">
        <v>18</v>
      </c>
      <c r="L11620">
        <v>564</v>
      </c>
      <c r="M11620">
        <v>1</v>
      </c>
      <c r="N11620">
        <v>2.44239E-180</v>
      </c>
      <c r="O11620">
        <v>1622</v>
      </c>
    </row>
    <row r="11621" spans="1:15" x14ac:dyDescent="0.25">
      <c r="A11621" t="s">
        <v>11634</v>
      </c>
      <c r="B11621">
        <v>92</v>
      </c>
      <c r="C11621" s="1" t="str">
        <f>HYPERLINK("http://www.rosaceae.org/gb/gbrowse/malus_x_domestica/?name=MDP0000284506","MDP0000284506")</f>
        <v>MDP0000284506</v>
      </c>
      <c r="D11621">
        <v>64.7</v>
      </c>
      <c r="E11621">
        <v>34</v>
      </c>
      <c r="F11621">
        <v>12</v>
      </c>
      <c r="G11621">
        <v>0</v>
      </c>
      <c r="H11621">
        <v>54</v>
      </c>
      <c r="I11621">
        <v>87</v>
      </c>
      <c r="J11621">
        <v>1</v>
      </c>
      <c r="K11621">
        <v>807</v>
      </c>
      <c r="L11621">
        <v>840</v>
      </c>
      <c r="M11621">
        <v>1</v>
      </c>
      <c r="N11621">
        <v>1.9772399999999998E-8</v>
      </c>
      <c r="O11621">
        <v>130</v>
      </c>
    </row>
    <row r="11622" spans="1:15" x14ac:dyDescent="0.25">
      <c r="A11622" t="s">
        <v>11635</v>
      </c>
      <c r="B11622">
        <v>876</v>
      </c>
      <c r="C11622" s="1" t="str">
        <f>HYPERLINK("http://www.rosaceae.org/gb/gbrowse/malus_x_domestica/?name=MDP0000151400","MDP0000151400")</f>
        <v>MDP0000151400</v>
      </c>
      <c r="D11622">
        <v>77.260000000000005</v>
      </c>
      <c r="E11622">
        <v>840</v>
      </c>
      <c r="F11622">
        <v>191</v>
      </c>
      <c r="G11622">
        <v>102</v>
      </c>
      <c r="H11622">
        <v>132</v>
      </c>
      <c r="I11622">
        <v>876</v>
      </c>
      <c r="J11622">
        <v>1</v>
      </c>
      <c r="K11622">
        <v>276</v>
      </c>
      <c r="L11622">
        <v>1108</v>
      </c>
      <c r="M11622">
        <v>1</v>
      </c>
      <c r="N11622">
        <v>0</v>
      </c>
      <c r="O11622">
        <v>3185</v>
      </c>
    </row>
    <row r="11623" spans="1:15" x14ac:dyDescent="0.25">
      <c r="A11623" t="s">
        <v>11636</v>
      </c>
      <c r="B11623">
        <v>1094</v>
      </c>
      <c r="C11623" s="1" t="str">
        <f>HYPERLINK("http://www.rosaceae.org/gb/gbrowse/malus_x_domestica/?name=MDP0000555752","MDP0000555752")</f>
        <v>MDP0000555752</v>
      </c>
      <c r="D11623">
        <v>44.44</v>
      </c>
      <c r="E11623">
        <v>171</v>
      </c>
      <c r="F11623">
        <v>95</v>
      </c>
      <c r="G11623">
        <v>2</v>
      </c>
      <c r="H11623">
        <v>765</v>
      </c>
      <c r="I11623">
        <v>934</v>
      </c>
      <c r="J11623">
        <v>1</v>
      </c>
      <c r="K11623">
        <v>33</v>
      </c>
      <c r="L11623">
        <v>202</v>
      </c>
      <c r="M11623">
        <v>1</v>
      </c>
      <c r="N11623">
        <v>2.7344799999999998E-37</v>
      </c>
      <c r="O11623">
        <v>391</v>
      </c>
    </row>
    <row r="11624" spans="1:15" x14ac:dyDescent="0.25">
      <c r="A11624" t="s">
        <v>11637</v>
      </c>
      <c r="B11624">
        <v>162</v>
      </c>
      <c r="C11624" s="1" t="str">
        <f>HYPERLINK("http://www.rosaceae.org/gb/gbrowse/malus_x_domestica/?name=MDP0000905135","MDP0000905135")</f>
        <v>MDP0000905135</v>
      </c>
      <c r="D11624">
        <v>72.72</v>
      </c>
      <c r="E11624">
        <v>132</v>
      </c>
      <c r="F11624">
        <v>36</v>
      </c>
      <c r="G11624">
        <v>7</v>
      </c>
      <c r="H11624">
        <v>22</v>
      </c>
      <c r="I11624">
        <v>149</v>
      </c>
      <c r="J11624">
        <v>1</v>
      </c>
      <c r="K11624">
        <v>23</v>
      </c>
      <c r="L11624">
        <v>151</v>
      </c>
      <c r="M11624">
        <v>1</v>
      </c>
      <c r="N11624">
        <v>1.29634E-49</v>
      </c>
      <c r="O11624">
        <v>488</v>
      </c>
    </row>
    <row r="11625" spans="1:15" x14ac:dyDescent="0.25">
      <c r="A11625" t="s">
        <v>11638</v>
      </c>
      <c r="B11625">
        <v>132</v>
      </c>
      <c r="C11625" s="1" t="str">
        <f>HYPERLINK("http://www.rosaceae.org/gb/gbrowse/malus_x_domestica/?name=MDP0000846081","MDP0000846081")</f>
        <v>MDP0000846081</v>
      </c>
      <c r="D11625">
        <v>73.64</v>
      </c>
      <c r="E11625">
        <v>129</v>
      </c>
      <c r="F11625">
        <v>34</v>
      </c>
      <c r="G11625">
        <v>2</v>
      </c>
      <c r="H11625">
        <v>1</v>
      </c>
      <c r="I11625">
        <v>127</v>
      </c>
      <c r="J11625">
        <v>1</v>
      </c>
      <c r="K11625">
        <v>19</v>
      </c>
      <c r="L11625">
        <v>147</v>
      </c>
      <c r="M11625">
        <v>1</v>
      </c>
      <c r="N11625">
        <v>4.8536900000000003E-56</v>
      </c>
      <c r="O11625">
        <v>541</v>
      </c>
    </row>
    <row r="11626" spans="1:15" x14ac:dyDescent="0.25">
      <c r="A11626" t="s">
        <v>11639</v>
      </c>
      <c r="B11626">
        <v>286</v>
      </c>
      <c r="C11626" s="1" t="str">
        <f>HYPERLINK("http://www.rosaceae.org/gb/gbrowse/malus_x_domestica/?name=MDP0000225088","MDP0000225088")</f>
        <v>MDP0000225088</v>
      </c>
      <c r="D11626">
        <v>80.13</v>
      </c>
      <c r="E11626">
        <v>292</v>
      </c>
      <c r="F11626">
        <v>58</v>
      </c>
      <c r="G11626">
        <v>9</v>
      </c>
      <c r="H11626">
        <v>1</v>
      </c>
      <c r="I11626">
        <v>286</v>
      </c>
      <c r="J11626">
        <v>1</v>
      </c>
      <c r="K11626">
        <v>1</v>
      </c>
      <c r="L11626">
        <v>289</v>
      </c>
      <c r="M11626">
        <v>1</v>
      </c>
      <c r="N11626">
        <v>2.4864900000000002E-134</v>
      </c>
      <c r="O11626">
        <v>1222</v>
      </c>
    </row>
    <row r="11627" spans="1:15" x14ac:dyDescent="0.25">
      <c r="A11627" t="s">
        <v>11640</v>
      </c>
      <c r="B11627">
        <v>119</v>
      </c>
      <c r="C11627" s="1" t="str">
        <f>HYPERLINK("http://www.rosaceae.org/gb/gbrowse/malus_x_domestica/?name=MDP0000310968","MDP0000310968")</f>
        <v>MDP0000310968</v>
      </c>
      <c r="D11627">
        <v>40.15</v>
      </c>
      <c r="E11627">
        <v>132</v>
      </c>
      <c r="F11627">
        <v>79</v>
      </c>
      <c r="G11627">
        <v>21</v>
      </c>
      <c r="H11627">
        <v>1</v>
      </c>
      <c r="I11627">
        <v>117</v>
      </c>
      <c r="J11627">
        <v>1</v>
      </c>
      <c r="K11627">
        <v>1</v>
      </c>
      <c r="L11627">
        <v>126</v>
      </c>
      <c r="M11627">
        <v>1</v>
      </c>
      <c r="N11627">
        <v>8.9818800000000007E-16</v>
      </c>
      <c r="O11627">
        <v>193</v>
      </c>
    </row>
    <row r="11628" spans="1:15" x14ac:dyDescent="0.25">
      <c r="A11628" t="s">
        <v>11641</v>
      </c>
      <c r="B11628">
        <v>137</v>
      </c>
      <c r="C11628" s="1" t="str">
        <f>HYPERLINK("http://www.rosaceae.org/gb/gbrowse/malus_x_domestica/?name=MDP0000128446","MDP0000128446")</f>
        <v>MDP0000128446</v>
      </c>
      <c r="D11628">
        <v>63.41</v>
      </c>
      <c r="E11628">
        <v>41</v>
      </c>
      <c r="F11628">
        <v>15</v>
      </c>
      <c r="G11628">
        <v>0</v>
      </c>
      <c r="H11628">
        <v>13</v>
      </c>
      <c r="I11628">
        <v>53</v>
      </c>
      <c r="J11628">
        <v>1</v>
      </c>
      <c r="K11628">
        <v>38</v>
      </c>
      <c r="L11628">
        <v>78</v>
      </c>
      <c r="M11628">
        <v>1</v>
      </c>
      <c r="N11628">
        <v>4.1334699999999998E-9</v>
      </c>
      <c r="O11628">
        <v>137</v>
      </c>
    </row>
    <row r="11629" spans="1:15" x14ac:dyDescent="0.25">
      <c r="A11629" t="s">
        <v>11642</v>
      </c>
      <c r="B11629">
        <v>321</v>
      </c>
      <c r="C11629" s="1" t="str">
        <f>HYPERLINK("http://www.rosaceae.org/gb/gbrowse/malus_x_domestica/?name=MDP0000749281","MDP0000749281")</f>
        <v>MDP0000749281</v>
      </c>
      <c r="D11629">
        <v>86.54</v>
      </c>
      <c r="E11629">
        <v>275</v>
      </c>
      <c r="F11629">
        <v>37</v>
      </c>
      <c r="G11629">
        <v>0</v>
      </c>
      <c r="H11629">
        <v>3</v>
      </c>
      <c r="I11629">
        <v>277</v>
      </c>
      <c r="J11629">
        <v>1</v>
      </c>
      <c r="K11629">
        <v>4</v>
      </c>
      <c r="L11629">
        <v>278</v>
      </c>
      <c r="M11629">
        <v>1</v>
      </c>
      <c r="N11629">
        <v>8.3215900000000003E-137</v>
      </c>
      <c r="O11629">
        <v>1244</v>
      </c>
    </row>
    <row r="11630" spans="1:15" x14ac:dyDescent="0.25">
      <c r="A11630" t="s">
        <v>11643</v>
      </c>
      <c r="B11630">
        <v>928</v>
      </c>
      <c r="C11630" s="1" t="str">
        <f>HYPERLINK("http://www.rosaceae.org/gb/gbrowse/malus_x_domestica/?name=MDP0000937454","MDP0000937454")</f>
        <v>MDP0000937454</v>
      </c>
      <c r="D11630">
        <v>67.3</v>
      </c>
      <c r="E11630">
        <v>786</v>
      </c>
      <c r="F11630">
        <v>257</v>
      </c>
      <c r="G11630">
        <v>51</v>
      </c>
      <c r="H11630">
        <v>173</v>
      </c>
      <c r="I11630">
        <v>908</v>
      </c>
      <c r="J11630">
        <v>1</v>
      </c>
      <c r="K11630">
        <v>21</v>
      </c>
      <c r="L11630">
        <v>805</v>
      </c>
      <c r="M11630">
        <v>1</v>
      </c>
      <c r="N11630">
        <v>0</v>
      </c>
      <c r="O11630">
        <v>2593</v>
      </c>
    </row>
    <row r="11631" spans="1:15" x14ac:dyDescent="0.25">
      <c r="A11631" t="s">
        <v>11644</v>
      </c>
      <c r="B11631">
        <v>370</v>
      </c>
      <c r="C11631" s="1" t="str">
        <f>HYPERLINK("http://www.rosaceae.org/gb/gbrowse/malus_x_domestica/?name=MDP0000119265","MDP0000119265")</f>
        <v>MDP0000119265</v>
      </c>
      <c r="D11631">
        <v>32</v>
      </c>
      <c r="E11631">
        <v>403</v>
      </c>
      <c r="F11631">
        <v>274</v>
      </c>
      <c r="G11631">
        <v>51</v>
      </c>
      <c r="H11631">
        <v>5</v>
      </c>
      <c r="I11631">
        <v>370</v>
      </c>
      <c r="J11631">
        <v>1</v>
      </c>
      <c r="K11631">
        <v>6</v>
      </c>
      <c r="L11631">
        <v>394</v>
      </c>
      <c r="M11631">
        <v>1</v>
      </c>
      <c r="N11631">
        <v>2.6065100000000001E-40</v>
      </c>
      <c r="O11631">
        <v>413</v>
      </c>
    </row>
    <row r="11632" spans="1:15" x14ac:dyDescent="0.25">
      <c r="A11632" t="s">
        <v>11645</v>
      </c>
      <c r="B11632">
        <v>611</v>
      </c>
      <c r="C11632" s="1" t="str">
        <f>HYPERLINK("http://www.rosaceae.org/gb/gbrowse/malus_x_domestica/?name=MDP0000128263","MDP0000128263")</f>
        <v>MDP0000128263</v>
      </c>
      <c r="D11632">
        <v>72.5</v>
      </c>
      <c r="E11632">
        <v>571</v>
      </c>
      <c r="F11632">
        <v>157</v>
      </c>
      <c r="G11632">
        <v>36</v>
      </c>
      <c r="H11632">
        <v>50</v>
      </c>
      <c r="I11632">
        <v>611</v>
      </c>
      <c r="J11632">
        <v>1</v>
      </c>
      <c r="K11632">
        <v>21</v>
      </c>
      <c r="L11632">
        <v>564</v>
      </c>
      <c r="M11632">
        <v>1</v>
      </c>
      <c r="N11632">
        <v>0</v>
      </c>
      <c r="O11632">
        <v>2037</v>
      </c>
    </row>
    <row r="11633" spans="1:15" x14ac:dyDescent="0.25">
      <c r="A11633" t="s">
        <v>11646</v>
      </c>
      <c r="B11633">
        <v>166</v>
      </c>
      <c r="C11633" s="1" t="str">
        <f>HYPERLINK("http://www.rosaceae.org/gb/gbrowse/malus_x_domestica/?name=MDP0000527046","MDP0000527046")</f>
        <v>MDP0000527046</v>
      </c>
      <c r="D11633">
        <v>68</v>
      </c>
      <c r="E11633">
        <v>150</v>
      </c>
      <c r="F11633">
        <v>48</v>
      </c>
      <c r="G11633">
        <v>0</v>
      </c>
      <c r="H11633">
        <v>17</v>
      </c>
      <c r="I11633">
        <v>166</v>
      </c>
      <c r="J11633">
        <v>1</v>
      </c>
      <c r="K11633">
        <v>198</v>
      </c>
      <c r="L11633">
        <v>347</v>
      </c>
      <c r="M11633">
        <v>1</v>
      </c>
      <c r="N11633">
        <v>4.79004E-54</v>
      </c>
      <c r="O11633">
        <v>526</v>
      </c>
    </row>
    <row r="11634" spans="1:15" x14ac:dyDescent="0.25">
      <c r="A11634" t="s">
        <v>11647</v>
      </c>
      <c r="B11634">
        <v>188</v>
      </c>
      <c r="C11634" s="1" t="str">
        <f>HYPERLINK("http://www.rosaceae.org/gb/gbrowse/malus_x_domestica/?name=MDP0000563659","MDP0000563659")</f>
        <v>MDP0000563659</v>
      </c>
      <c r="D11634">
        <v>56.28</v>
      </c>
      <c r="E11634">
        <v>167</v>
      </c>
      <c r="F11634">
        <v>73</v>
      </c>
      <c r="G11634">
        <v>0</v>
      </c>
      <c r="H11634">
        <v>22</v>
      </c>
      <c r="I11634">
        <v>188</v>
      </c>
      <c r="J11634">
        <v>1</v>
      </c>
      <c r="K11634">
        <v>20</v>
      </c>
      <c r="L11634">
        <v>186</v>
      </c>
      <c r="M11634">
        <v>1</v>
      </c>
      <c r="N11634">
        <v>2.2640000000000001E-49</v>
      </c>
      <c r="O11634">
        <v>487</v>
      </c>
    </row>
    <row r="11635" spans="1:15" x14ac:dyDescent="0.25">
      <c r="A11635" t="s">
        <v>11648</v>
      </c>
      <c r="B11635">
        <v>259</v>
      </c>
      <c r="C11635" s="1" t="str">
        <f>HYPERLINK("http://www.rosaceae.org/gb/gbrowse/malus_x_domestica/?name=MDP0000136726","MDP0000136726")</f>
        <v>MDP0000136726</v>
      </c>
      <c r="D11635">
        <v>48.35</v>
      </c>
      <c r="E11635">
        <v>213</v>
      </c>
      <c r="F11635">
        <v>110</v>
      </c>
      <c r="G11635">
        <v>7</v>
      </c>
      <c r="H11635">
        <v>2</v>
      </c>
      <c r="I11635">
        <v>211</v>
      </c>
      <c r="J11635">
        <v>1</v>
      </c>
      <c r="K11635">
        <v>897</v>
      </c>
      <c r="L11635">
        <v>1105</v>
      </c>
      <c r="M11635">
        <v>1</v>
      </c>
      <c r="N11635">
        <v>5.9233400000000003E-52</v>
      </c>
      <c r="O11635">
        <v>511</v>
      </c>
    </row>
    <row r="11636" spans="1:15" x14ac:dyDescent="0.25">
      <c r="A11636" t="s">
        <v>11649</v>
      </c>
      <c r="B11636">
        <v>905</v>
      </c>
      <c r="C11636" s="1" t="str">
        <f>HYPERLINK("http://www.rosaceae.org/gb/gbrowse/malus_x_domestica/?name=MDP0000318606","MDP0000318606")</f>
        <v>MDP0000318606</v>
      </c>
      <c r="D11636">
        <v>51.28</v>
      </c>
      <c r="E11636">
        <v>585</v>
      </c>
      <c r="F11636">
        <v>285</v>
      </c>
      <c r="G11636">
        <v>38</v>
      </c>
      <c r="H11636">
        <v>304</v>
      </c>
      <c r="I11636">
        <v>884</v>
      </c>
      <c r="J11636">
        <v>1</v>
      </c>
      <c r="K11636">
        <v>10</v>
      </c>
      <c r="L11636">
        <v>560</v>
      </c>
      <c r="M11636">
        <v>1</v>
      </c>
      <c r="N11636">
        <v>1.0865300000000001E-168</v>
      </c>
      <c r="O11636">
        <v>1524</v>
      </c>
    </row>
    <row r="11637" spans="1:15" x14ac:dyDescent="0.25">
      <c r="A11637" t="s">
        <v>11650</v>
      </c>
      <c r="B11637">
        <v>468</v>
      </c>
      <c r="C11637" s="1" t="str">
        <f>HYPERLINK("http://www.rosaceae.org/gb/gbrowse/malus_x_domestica/?name=MDP0000219700","MDP0000219700")</f>
        <v>MDP0000219700</v>
      </c>
      <c r="D11637">
        <v>36.33</v>
      </c>
      <c r="E11637">
        <v>355</v>
      </c>
      <c r="F11637">
        <v>226</v>
      </c>
      <c r="G11637">
        <v>15</v>
      </c>
      <c r="H11637">
        <v>101</v>
      </c>
      <c r="I11637">
        <v>446</v>
      </c>
      <c r="J11637">
        <v>1</v>
      </c>
      <c r="K11637">
        <v>395</v>
      </c>
      <c r="L11637">
        <v>743</v>
      </c>
      <c r="M11637">
        <v>1</v>
      </c>
      <c r="N11637">
        <v>6.55682E-57</v>
      </c>
      <c r="O11637">
        <v>557</v>
      </c>
    </row>
    <row r="11638" spans="1:15" x14ac:dyDescent="0.25">
      <c r="A11638" t="s">
        <v>11651</v>
      </c>
      <c r="B11638">
        <v>820</v>
      </c>
      <c r="C11638" s="1" t="str">
        <f>HYPERLINK("http://www.rosaceae.org/gb/gbrowse/malus_x_domestica/?name=MDP0000292448","MDP0000292448")</f>
        <v>MDP0000292448</v>
      </c>
      <c r="D11638">
        <v>78.290000000000006</v>
      </c>
      <c r="E11638">
        <v>341</v>
      </c>
      <c r="F11638">
        <v>74</v>
      </c>
      <c r="G11638">
        <v>2</v>
      </c>
      <c r="H11638">
        <v>480</v>
      </c>
      <c r="I11638">
        <v>820</v>
      </c>
      <c r="J11638">
        <v>1</v>
      </c>
      <c r="K11638">
        <v>26</v>
      </c>
      <c r="L11638">
        <v>364</v>
      </c>
      <c r="M11638">
        <v>1</v>
      </c>
      <c r="N11638">
        <v>2.61816E-157</v>
      </c>
      <c r="O11638">
        <v>1425</v>
      </c>
    </row>
    <row r="11639" spans="1:15" x14ac:dyDescent="0.25">
      <c r="A11639" t="s">
        <v>11652</v>
      </c>
      <c r="B11639">
        <v>83</v>
      </c>
      <c r="C11639" s="1" t="str">
        <f>HYPERLINK("http://www.rosaceae.org/gb/gbrowse/malus_x_domestica/?name=MDP0000129984","MDP0000129984")</f>
        <v>MDP0000129984</v>
      </c>
      <c r="D11639">
        <v>74.459999999999994</v>
      </c>
      <c r="E11639">
        <v>47</v>
      </c>
      <c r="F11639">
        <v>12</v>
      </c>
      <c r="G11639">
        <v>1</v>
      </c>
      <c r="H11639">
        <v>28</v>
      </c>
      <c r="I11639">
        <v>73</v>
      </c>
      <c r="J11639">
        <v>1</v>
      </c>
      <c r="K11639">
        <v>600</v>
      </c>
      <c r="L11639">
        <v>646</v>
      </c>
      <c r="M11639">
        <v>1</v>
      </c>
      <c r="N11639">
        <v>2.1639199999999999E-13</v>
      </c>
      <c r="O11639">
        <v>173</v>
      </c>
    </row>
    <row r="11640" spans="1:15" x14ac:dyDescent="0.25">
      <c r="A11640" t="s">
        <v>11653</v>
      </c>
      <c r="B11640">
        <v>265</v>
      </c>
      <c r="C11640" s="1" t="str">
        <f>HYPERLINK("http://www.rosaceae.org/gb/gbrowse/malus_x_domestica/?name=MDP0000285103","MDP0000285103")</f>
        <v>MDP0000285103</v>
      </c>
      <c r="D11640">
        <v>32.869999999999997</v>
      </c>
      <c r="E11640">
        <v>362</v>
      </c>
      <c r="F11640">
        <v>243</v>
      </c>
      <c r="G11640">
        <v>117</v>
      </c>
      <c r="H11640">
        <v>9</v>
      </c>
      <c r="I11640">
        <v>263</v>
      </c>
      <c r="J11640">
        <v>1</v>
      </c>
      <c r="K11640">
        <v>4</v>
      </c>
      <c r="L11640">
        <v>355</v>
      </c>
      <c r="M11640">
        <v>1</v>
      </c>
      <c r="N11640">
        <v>1.5829899999999999E-36</v>
      </c>
      <c r="O11640">
        <v>378</v>
      </c>
    </row>
    <row r="11641" spans="1:15" x14ac:dyDescent="0.25">
      <c r="A11641" t="s">
        <v>11654</v>
      </c>
      <c r="B11641">
        <v>210</v>
      </c>
      <c r="C11641" s="1" t="str">
        <f>HYPERLINK("http://www.rosaceae.org/gb/gbrowse/malus_x_domestica/?name=MDP0000506266","MDP0000506266")</f>
        <v>MDP0000506266</v>
      </c>
      <c r="D11641">
        <v>51.8</v>
      </c>
      <c r="E11641">
        <v>222</v>
      </c>
      <c r="F11641">
        <v>107</v>
      </c>
      <c r="G11641">
        <v>28</v>
      </c>
      <c r="H11641">
        <v>2</v>
      </c>
      <c r="I11641">
        <v>195</v>
      </c>
      <c r="J11641">
        <v>1</v>
      </c>
      <c r="K11641">
        <v>4</v>
      </c>
      <c r="L11641">
        <v>225</v>
      </c>
      <c r="M11641">
        <v>1</v>
      </c>
      <c r="N11641">
        <v>3.8277100000000001E-49</v>
      </c>
      <c r="O11641">
        <v>486</v>
      </c>
    </row>
    <row r="11642" spans="1:15" x14ac:dyDescent="0.25">
      <c r="A11642" t="s">
        <v>11655</v>
      </c>
      <c r="B11642">
        <v>795</v>
      </c>
      <c r="C11642" s="1" t="str">
        <f>HYPERLINK("http://www.rosaceae.org/gb/gbrowse/malus_x_domestica/?name=MDP0000146924","MDP0000146924")</f>
        <v>MDP0000146924</v>
      </c>
      <c r="D11642">
        <v>91.55</v>
      </c>
      <c r="E11642">
        <v>379</v>
      </c>
      <c r="F11642">
        <v>32</v>
      </c>
      <c r="G11642">
        <v>1</v>
      </c>
      <c r="H11642">
        <v>1</v>
      </c>
      <c r="I11642">
        <v>379</v>
      </c>
      <c r="J11642">
        <v>1</v>
      </c>
      <c r="K11642">
        <v>1</v>
      </c>
      <c r="L11642">
        <v>378</v>
      </c>
      <c r="M11642">
        <v>1</v>
      </c>
      <c r="N11642">
        <v>0</v>
      </c>
      <c r="O11642">
        <v>1842</v>
      </c>
    </row>
    <row r="11643" spans="1:15" x14ac:dyDescent="0.25">
      <c r="A11643" t="s">
        <v>11656</v>
      </c>
      <c r="B11643">
        <v>175</v>
      </c>
      <c r="C11643" s="1" t="str">
        <f>HYPERLINK("http://www.rosaceae.org/gb/gbrowse/malus_x_domestica/?name=MDP0000324175","MDP0000324175")</f>
        <v>MDP0000324175</v>
      </c>
      <c r="D11643">
        <v>41.44</v>
      </c>
      <c r="E11643">
        <v>152</v>
      </c>
      <c r="F11643">
        <v>89</v>
      </c>
      <c r="G11643">
        <v>2</v>
      </c>
      <c r="H11643">
        <v>1</v>
      </c>
      <c r="I11643">
        <v>152</v>
      </c>
      <c r="J11643">
        <v>1</v>
      </c>
      <c r="K11643">
        <v>1</v>
      </c>
      <c r="L11643">
        <v>150</v>
      </c>
      <c r="M11643">
        <v>1</v>
      </c>
      <c r="N11643">
        <v>7.8043300000000004E-25</v>
      </c>
      <c r="O11643">
        <v>275</v>
      </c>
    </row>
    <row r="11644" spans="1:15" x14ac:dyDescent="0.25">
      <c r="A11644" t="s">
        <v>11657</v>
      </c>
      <c r="B11644">
        <v>482</v>
      </c>
      <c r="C11644" s="1" t="str">
        <f>HYPERLINK("http://www.rosaceae.org/gb/gbrowse/malus_x_domestica/?name=MDP0000233598","MDP0000233598")</f>
        <v>MDP0000233598</v>
      </c>
      <c r="D11644">
        <v>33.11</v>
      </c>
      <c r="E11644">
        <v>151</v>
      </c>
      <c r="F11644">
        <v>101</v>
      </c>
      <c r="G11644">
        <v>1</v>
      </c>
      <c r="H11644">
        <v>52</v>
      </c>
      <c r="I11644">
        <v>201</v>
      </c>
      <c r="J11644">
        <v>1</v>
      </c>
      <c r="K11644">
        <v>311</v>
      </c>
      <c r="L11644">
        <v>461</v>
      </c>
      <c r="M11644">
        <v>1</v>
      </c>
      <c r="N11644">
        <v>2.05387E-19</v>
      </c>
      <c r="O11644">
        <v>234</v>
      </c>
    </row>
    <row r="11645" spans="1:15" x14ac:dyDescent="0.25">
      <c r="A11645" t="s">
        <v>11658</v>
      </c>
      <c r="B11645">
        <v>396</v>
      </c>
      <c r="C11645" s="1" t="str">
        <f>HYPERLINK("http://www.rosaceae.org/gb/gbrowse/malus_x_domestica/?name=MDP0000259849","MDP0000259849")</f>
        <v>MDP0000259849</v>
      </c>
      <c r="D11645">
        <v>84.47</v>
      </c>
      <c r="E11645">
        <v>335</v>
      </c>
      <c r="F11645">
        <v>52</v>
      </c>
      <c r="G11645">
        <v>9</v>
      </c>
      <c r="H11645">
        <v>67</v>
      </c>
      <c r="I11645">
        <v>396</v>
      </c>
      <c r="J11645">
        <v>1</v>
      </c>
      <c r="K11645">
        <v>1</v>
      </c>
      <c r="L11645">
        <v>331</v>
      </c>
      <c r="M11645">
        <v>1</v>
      </c>
      <c r="N11645">
        <v>1.23092E-163</v>
      </c>
      <c r="O11645">
        <v>1477</v>
      </c>
    </row>
    <row r="11646" spans="1:15" x14ac:dyDescent="0.25">
      <c r="A11646" t="s">
        <v>11659</v>
      </c>
      <c r="B11646">
        <v>770</v>
      </c>
      <c r="C11646" s="1" t="str">
        <f>HYPERLINK("http://www.rosaceae.org/gb/gbrowse/malus_x_domestica/?name=MDP0000593031","MDP0000593031")</f>
        <v>MDP0000593031</v>
      </c>
      <c r="D11646">
        <v>57.98</v>
      </c>
      <c r="E11646">
        <v>457</v>
      </c>
      <c r="F11646">
        <v>192</v>
      </c>
      <c r="G11646">
        <v>29</v>
      </c>
      <c r="H11646">
        <v>338</v>
      </c>
      <c r="I11646">
        <v>767</v>
      </c>
      <c r="J11646">
        <v>1</v>
      </c>
      <c r="K11646">
        <v>162</v>
      </c>
      <c r="L11646">
        <v>616</v>
      </c>
      <c r="M11646">
        <v>1</v>
      </c>
      <c r="N11646">
        <v>6.6238599999999998E-146</v>
      </c>
      <c r="O11646">
        <v>1327</v>
      </c>
    </row>
    <row r="11647" spans="1:15" x14ac:dyDescent="0.25">
      <c r="A11647" t="s">
        <v>11660</v>
      </c>
      <c r="B11647">
        <v>2320</v>
      </c>
      <c r="C11647" s="1" t="str">
        <f>HYPERLINK("http://www.rosaceae.org/gb/gbrowse/malus_x_domestica/?name=MDP0000200884","MDP0000200884")</f>
        <v>MDP0000200884</v>
      </c>
      <c r="D11647">
        <v>77</v>
      </c>
      <c r="E11647">
        <v>1022</v>
      </c>
      <c r="F11647">
        <v>235</v>
      </c>
      <c r="G11647">
        <v>8</v>
      </c>
      <c r="H11647">
        <v>100</v>
      </c>
      <c r="I11647">
        <v>1114</v>
      </c>
      <c r="J11647">
        <v>1</v>
      </c>
      <c r="K11647">
        <v>17</v>
      </c>
      <c r="L11647">
        <v>1037</v>
      </c>
      <c r="M11647">
        <v>1</v>
      </c>
      <c r="N11647">
        <v>0</v>
      </c>
      <c r="O11647">
        <v>4230</v>
      </c>
    </row>
    <row r="11648" spans="1:15" x14ac:dyDescent="0.25">
      <c r="A11648" t="s">
        <v>11661</v>
      </c>
      <c r="B11648">
        <v>304</v>
      </c>
      <c r="C11648" s="1" t="str">
        <f>HYPERLINK("http://www.rosaceae.org/gb/gbrowse/malus_x_domestica/?name=MDP0000267001","MDP0000267001")</f>
        <v>MDP0000267001</v>
      </c>
      <c r="D11648">
        <v>52.96</v>
      </c>
      <c r="E11648">
        <v>304</v>
      </c>
      <c r="F11648">
        <v>143</v>
      </c>
      <c r="G11648">
        <v>23</v>
      </c>
      <c r="H11648">
        <v>1</v>
      </c>
      <c r="I11648">
        <v>291</v>
      </c>
      <c r="J11648">
        <v>1</v>
      </c>
      <c r="K11648">
        <v>1</v>
      </c>
      <c r="L11648">
        <v>294</v>
      </c>
      <c r="M11648">
        <v>1</v>
      </c>
      <c r="N11648">
        <v>9.5351999999999991E-78</v>
      </c>
      <c r="O11648">
        <v>735</v>
      </c>
    </row>
    <row r="11649" spans="1:15" x14ac:dyDescent="0.25">
      <c r="A11649" t="s">
        <v>11662</v>
      </c>
      <c r="B11649">
        <v>302</v>
      </c>
      <c r="C11649" s="1" t="str">
        <f>HYPERLINK("http://www.rosaceae.org/gb/gbrowse/malus_x_domestica/?name=MDP0000242491","MDP0000242491")</f>
        <v>MDP0000242491</v>
      </c>
      <c r="D11649">
        <v>75.37</v>
      </c>
      <c r="E11649">
        <v>199</v>
      </c>
      <c r="F11649">
        <v>49</v>
      </c>
      <c r="G11649">
        <v>1</v>
      </c>
      <c r="H11649">
        <v>77</v>
      </c>
      <c r="I11649">
        <v>274</v>
      </c>
      <c r="J11649">
        <v>1</v>
      </c>
      <c r="K11649">
        <v>47</v>
      </c>
      <c r="L11649">
        <v>245</v>
      </c>
      <c r="M11649">
        <v>1</v>
      </c>
      <c r="N11649">
        <v>2.1495300000000001E-88</v>
      </c>
      <c r="O11649">
        <v>826</v>
      </c>
    </row>
    <row r="11650" spans="1:15" x14ac:dyDescent="0.25">
      <c r="A11650" t="s">
        <v>11663</v>
      </c>
      <c r="B11650">
        <v>505</v>
      </c>
      <c r="C11650" s="1" t="str">
        <f>HYPERLINK("http://www.rosaceae.org/gb/gbrowse/malus_x_domestica/?name=MDP0000276836","MDP0000276836")</f>
        <v>MDP0000276836</v>
      </c>
      <c r="D11650">
        <v>50.7</v>
      </c>
      <c r="E11650">
        <v>499</v>
      </c>
      <c r="F11650">
        <v>246</v>
      </c>
      <c r="G11650">
        <v>81</v>
      </c>
      <c r="H11650">
        <v>1</v>
      </c>
      <c r="I11650">
        <v>493</v>
      </c>
      <c r="J11650">
        <v>1</v>
      </c>
      <c r="K11650">
        <v>1</v>
      </c>
      <c r="L11650">
        <v>424</v>
      </c>
      <c r="M11650">
        <v>1</v>
      </c>
      <c r="N11650">
        <v>2.6772300000000001E-123</v>
      </c>
      <c r="O11650">
        <v>1130</v>
      </c>
    </row>
    <row r="11651" spans="1:15" x14ac:dyDescent="0.25">
      <c r="A11651" t="s">
        <v>11664</v>
      </c>
      <c r="B11651">
        <v>621</v>
      </c>
      <c r="C11651" s="1" t="str">
        <f>HYPERLINK("http://www.rosaceae.org/gb/gbrowse/malus_x_domestica/?name=MDP0000755796","MDP0000755796")</f>
        <v>MDP0000755796</v>
      </c>
      <c r="D11651">
        <v>69.239999999999995</v>
      </c>
      <c r="E11651">
        <v>634</v>
      </c>
      <c r="F11651">
        <v>195</v>
      </c>
      <c r="G11651">
        <v>18</v>
      </c>
      <c r="H11651">
        <v>1</v>
      </c>
      <c r="I11651">
        <v>618</v>
      </c>
      <c r="J11651">
        <v>1</v>
      </c>
      <c r="K11651">
        <v>1</v>
      </c>
      <c r="L11651">
        <v>632</v>
      </c>
      <c r="M11651">
        <v>1</v>
      </c>
      <c r="N11651">
        <v>0</v>
      </c>
      <c r="O11651">
        <v>2238</v>
      </c>
    </row>
    <row r="11652" spans="1:15" x14ac:dyDescent="0.25">
      <c r="A11652" t="s">
        <v>11665</v>
      </c>
      <c r="B11652">
        <v>153</v>
      </c>
      <c r="C11652" s="1" t="str">
        <f>HYPERLINK("http://www.rosaceae.org/gb/gbrowse/malus_x_domestica/?name=MDP0000243545","MDP0000243545")</f>
        <v>MDP0000243545</v>
      </c>
      <c r="D11652">
        <v>88</v>
      </c>
      <c r="E11652">
        <v>150</v>
      </c>
      <c r="F11652">
        <v>18</v>
      </c>
      <c r="G11652">
        <v>0</v>
      </c>
      <c r="H11652">
        <v>1</v>
      </c>
      <c r="I11652">
        <v>150</v>
      </c>
      <c r="J11652">
        <v>1</v>
      </c>
      <c r="K11652">
        <v>1</v>
      </c>
      <c r="L11652">
        <v>150</v>
      </c>
      <c r="M11652">
        <v>1</v>
      </c>
      <c r="N11652">
        <v>7.0690899999999999E-75</v>
      </c>
      <c r="O11652">
        <v>705</v>
      </c>
    </row>
    <row r="11653" spans="1:15" x14ac:dyDescent="0.25">
      <c r="A11653" t="s">
        <v>11666</v>
      </c>
      <c r="B11653">
        <v>728</v>
      </c>
      <c r="C11653" s="1" t="str">
        <f>HYPERLINK("http://www.rosaceae.org/gb/gbrowse/malus_x_domestica/?name=MDP0000167309","MDP0000167309")</f>
        <v>MDP0000167309</v>
      </c>
      <c r="D11653">
        <v>75.510000000000005</v>
      </c>
      <c r="E11653">
        <v>633</v>
      </c>
      <c r="F11653">
        <v>155</v>
      </c>
      <c r="G11653">
        <v>17</v>
      </c>
      <c r="H11653">
        <v>106</v>
      </c>
      <c r="I11653">
        <v>726</v>
      </c>
      <c r="J11653">
        <v>1</v>
      </c>
      <c r="K11653">
        <v>1</v>
      </c>
      <c r="L11653">
        <v>628</v>
      </c>
      <c r="M11653">
        <v>1</v>
      </c>
      <c r="N11653">
        <v>0</v>
      </c>
      <c r="O11653">
        <v>2499</v>
      </c>
    </row>
    <row r="11654" spans="1:15" x14ac:dyDescent="0.25">
      <c r="A11654" t="s">
        <v>11667</v>
      </c>
      <c r="B11654">
        <v>655</v>
      </c>
      <c r="C11654" s="1" t="str">
        <f>HYPERLINK("http://www.rosaceae.org/gb/gbrowse/malus_x_domestica/?name=MDP0000725483","MDP0000725483")</f>
        <v>MDP0000725483</v>
      </c>
      <c r="D11654">
        <v>45</v>
      </c>
      <c r="E11654">
        <v>691</v>
      </c>
      <c r="F11654">
        <v>380</v>
      </c>
      <c r="G11654">
        <v>59</v>
      </c>
      <c r="H11654">
        <v>2</v>
      </c>
      <c r="I11654">
        <v>649</v>
      </c>
      <c r="J11654">
        <v>1</v>
      </c>
      <c r="K11654">
        <v>113</v>
      </c>
      <c r="L11654">
        <v>787</v>
      </c>
      <c r="M11654">
        <v>1</v>
      </c>
      <c r="N11654">
        <v>2.3410399999999999E-156</v>
      </c>
      <c r="O11654">
        <v>1416</v>
      </c>
    </row>
    <row r="11655" spans="1:15" x14ac:dyDescent="0.25">
      <c r="A11655" t="s">
        <v>11668</v>
      </c>
      <c r="B11655">
        <v>202</v>
      </c>
      <c r="C11655" s="1" t="str">
        <f>HYPERLINK("http://www.rosaceae.org/gb/gbrowse/malus_x_domestica/?name=MDP0000744149","MDP0000744149")</f>
        <v>MDP0000744149</v>
      </c>
      <c r="D11655">
        <v>45.83</v>
      </c>
      <c r="E11655">
        <v>168</v>
      </c>
      <c r="F11655">
        <v>91</v>
      </c>
      <c r="G11655">
        <v>1</v>
      </c>
      <c r="H11655">
        <v>15</v>
      </c>
      <c r="I11655">
        <v>181</v>
      </c>
      <c r="J11655">
        <v>1</v>
      </c>
      <c r="K11655">
        <v>36</v>
      </c>
      <c r="L11655">
        <v>203</v>
      </c>
      <c r="M11655">
        <v>1</v>
      </c>
      <c r="N11655">
        <v>2.3231099999999999E-34</v>
      </c>
      <c r="O11655">
        <v>358</v>
      </c>
    </row>
    <row r="11656" spans="1:15" x14ac:dyDescent="0.25">
      <c r="A11656" t="s">
        <v>11669</v>
      </c>
      <c r="B11656">
        <v>389</v>
      </c>
      <c r="C11656" s="1" t="str">
        <f>HYPERLINK("http://www.rosaceae.org/gb/gbrowse/malus_x_domestica/?name=MDP0000847094","MDP0000847094")</f>
        <v>MDP0000847094</v>
      </c>
      <c r="D11656">
        <v>41.22</v>
      </c>
      <c r="E11656">
        <v>342</v>
      </c>
      <c r="F11656">
        <v>201</v>
      </c>
      <c r="G11656">
        <v>39</v>
      </c>
      <c r="H11656">
        <v>54</v>
      </c>
      <c r="I11656">
        <v>380</v>
      </c>
      <c r="J11656">
        <v>1</v>
      </c>
      <c r="K11656">
        <v>56</v>
      </c>
      <c r="L11656">
        <v>373</v>
      </c>
      <c r="M11656">
        <v>1</v>
      </c>
      <c r="N11656">
        <v>1.2986300000000001E-63</v>
      </c>
      <c r="O11656">
        <v>614</v>
      </c>
    </row>
    <row r="11657" spans="1:15" x14ac:dyDescent="0.25">
      <c r="A11657" t="s">
        <v>11670</v>
      </c>
      <c r="B11657">
        <v>462</v>
      </c>
      <c r="C11657" s="1" t="str">
        <f>HYPERLINK("http://www.rosaceae.org/gb/gbrowse/malus_x_domestica/?name=MDP0000073873","MDP0000073873")</f>
        <v>MDP0000073873</v>
      </c>
      <c r="D11657">
        <v>83.89</v>
      </c>
      <c r="E11657">
        <v>447</v>
      </c>
      <c r="F11657">
        <v>72</v>
      </c>
      <c r="G11657">
        <v>5</v>
      </c>
      <c r="H11657">
        <v>21</v>
      </c>
      <c r="I11657">
        <v>462</v>
      </c>
      <c r="J11657">
        <v>1</v>
      </c>
      <c r="K11657">
        <v>20</v>
      </c>
      <c r="L11657">
        <v>466</v>
      </c>
      <c r="M11657">
        <v>1</v>
      </c>
      <c r="N11657">
        <v>0</v>
      </c>
      <c r="O11657">
        <v>1998</v>
      </c>
    </row>
    <row r="11658" spans="1:15" x14ac:dyDescent="0.25">
      <c r="A11658" t="s">
        <v>11671</v>
      </c>
      <c r="B11658">
        <v>89</v>
      </c>
      <c r="C11658" s="1" t="str">
        <f>HYPERLINK("http://www.rosaceae.org/gb/gbrowse/malus_x_domestica/?name=MDP0000247378","MDP0000247378")</f>
        <v>MDP0000247378</v>
      </c>
      <c r="D11658">
        <v>75.78</v>
      </c>
      <c r="E11658">
        <v>95</v>
      </c>
      <c r="F11658">
        <v>23</v>
      </c>
      <c r="G11658">
        <v>6</v>
      </c>
      <c r="H11658">
        <v>1</v>
      </c>
      <c r="I11658">
        <v>89</v>
      </c>
      <c r="J11658">
        <v>1</v>
      </c>
      <c r="K11658">
        <v>1</v>
      </c>
      <c r="L11658">
        <v>95</v>
      </c>
      <c r="M11658">
        <v>1</v>
      </c>
      <c r="N11658">
        <v>1.1713199999999999E-34</v>
      </c>
      <c r="O11658">
        <v>356</v>
      </c>
    </row>
    <row r="11659" spans="1:15" x14ac:dyDescent="0.25">
      <c r="A11659" t="s">
        <v>11672</v>
      </c>
      <c r="B11659">
        <v>87</v>
      </c>
      <c r="C11659" s="1" t="str">
        <f>HYPERLINK("http://www.rosaceae.org/gb/gbrowse/malus_x_domestica/?name=MDP0000264931","MDP0000264931")</f>
        <v>MDP0000264931</v>
      </c>
      <c r="D11659">
        <v>76.47</v>
      </c>
      <c r="E11659">
        <v>68</v>
      </c>
      <c r="F11659">
        <v>16</v>
      </c>
      <c r="G11659">
        <v>0</v>
      </c>
      <c r="H11659">
        <v>20</v>
      </c>
      <c r="I11659">
        <v>87</v>
      </c>
      <c r="J11659">
        <v>1</v>
      </c>
      <c r="K11659">
        <v>135</v>
      </c>
      <c r="L11659">
        <v>202</v>
      </c>
      <c r="M11659">
        <v>1</v>
      </c>
      <c r="N11659">
        <v>4.3288899999999998E-24</v>
      </c>
      <c r="O11659">
        <v>265</v>
      </c>
    </row>
    <row r="11660" spans="1:15" x14ac:dyDescent="0.25">
      <c r="A11660" t="s">
        <v>11673</v>
      </c>
      <c r="B11660">
        <v>514</v>
      </c>
      <c r="C11660" s="1" t="str">
        <f>HYPERLINK("http://www.rosaceae.org/gb/gbrowse/malus_x_domestica/?name=MDP0000700517","MDP0000700517")</f>
        <v>MDP0000700517</v>
      </c>
      <c r="D11660">
        <v>28.57</v>
      </c>
      <c r="E11660">
        <v>217</v>
      </c>
      <c r="F11660">
        <v>155</v>
      </c>
      <c r="G11660">
        <v>9</v>
      </c>
      <c r="H11660">
        <v>292</v>
      </c>
      <c r="I11660">
        <v>499</v>
      </c>
      <c r="J11660">
        <v>1</v>
      </c>
      <c r="K11660">
        <v>91</v>
      </c>
      <c r="L11660">
        <v>307</v>
      </c>
      <c r="M11660">
        <v>1</v>
      </c>
      <c r="N11660">
        <v>7.0609600000000003E-21</v>
      </c>
      <c r="O11660">
        <v>247</v>
      </c>
    </row>
    <row r="11661" spans="1:15" x14ac:dyDescent="0.25">
      <c r="A11661" t="s">
        <v>11674</v>
      </c>
      <c r="B11661">
        <v>285</v>
      </c>
      <c r="C11661" s="1" t="str">
        <f>HYPERLINK("http://www.rosaceae.org/gb/gbrowse/malus_x_domestica/?name=MDP0000167145","MDP0000167145")</f>
        <v>MDP0000167145</v>
      </c>
      <c r="D11661">
        <v>35.76</v>
      </c>
      <c r="E11661">
        <v>137</v>
      </c>
      <c r="F11661">
        <v>88</v>
      </c>
      <c r="G11661">
        <v>26</v>
      </c>
      <c r="H11661">
        <v>4</v>
      </c>
      <c r="I11661">
        <v>140</v>
      </c>
      <c r="J11661">
        <v>1</v>
      </c>
      <c r="K11661">
        <v>57</v>
      </c>
      <c r="L11661">
        <v>167</v>
      </c>
      <c r="M11661">
        <v>1</v>
      </c>
      <c r="N11661">
        <v>1.70027E-16</v>
      </c>
      <c r="O11661">
        <v>206</v>
      </c>
    </row>
    <row r="11662" spans="1:15" x14ac:dyDescent="0.25">
      <c r="A11662" t="s">
        <v>11675</v>
      </c>
      <c r="B11662">
        <v>418</v>
      </c>
      <c r="C11662" s="1" t="str">
        <f>HYPERLINK("http://www.rosaceae.org/gb/gbrowse/malus_x_domestica/?name=MDP0000305219","MDP0000305219")</f>
        <v>MDP0000305219</v>
      </c>
      <c r="D11662">
        <v>34.76</v>
      </c>
      <c r="E11662">
        <v>397</v>
      </c>
      <c r="F11662">
        <v>259</v>
      </c>
      <c r="G11662">
        <v>53</v>
      </c>
      <c r="H11662">
        <v>53</v>
      </c>
      <c r="I11662">
        <v>414</v>
      </c>
      <c r="J11662">
        <v>1</v>
      </c>
      <c r="K11662">
        <v>36</v>
      </c>
      <c r="L11662">
        <v>414</v>
      </c>
      <c r="M11662">
        <v>1</v>
      </c>
      <c r="N11662">
        <v>3.05909E-38</v>
      </c>
      <c r="O11662">
        <v>395</v>
      </c>
    </row>
    <row r="11663" spans="1:15" x14ac:dyDescent="0.25">
      <c r="A11663" t="s">
        <v>11676</v>
      </c>
      <c r="B11663">
        <v>149</v>
      </c>
      <c r="C11663" s="1" t="str">
        <f>HYPERLINK("http://www.rosaceae.org/gb/gbrowse/malus_x_domestica/?name=MDP0000185125","MDP0000185125")</f>
        <v>MDP0000185125</v>
      </c>
      <c r="D11663">
        <v>34.01</v>
      </c>
      <c r="E11663">
        <v>147</v>
      </c>
      <c r="F11663">
        <v>97</v>
      </c>
      <c r="G11663">
        <v>4</v>
      </c>
      <c r="H11663">
        <v>2</v>
      </c>
      <c r="I11663">
        <v>144</v>
      </c>
      <c r="J11663">
        <v>1</v>
      </c>
      <c r="K11663">
        <v>81</v>
      </c>
      <c r="L11663">
        <v>227</v>
      </c>
      <c r="M11663">
        <v>1</v>
      </c>
      <c r="N11663">
        <v>1.4086600000000001E-15</v>
      </c>
      <c r="O11663">
        <v>194</v>
      </c>
    </row>
    <row r="11664" spans="1:15" x14ac:dyDescent="0.25">
      <c r="A11664" t="s">
        <v>11677</v>
      </c>
      <c r="B11664">
        <v>611</v>
      </c>
      <c r="C11664" s="1" t="str">
        <f>HYPERLINK("http://www.rosaceae.org/gb/gbrowse/malus_x_domestica/?name=MDP0000300808","MDP0000300808")</f>
        <v>MDP0000300808</v>
      </c>
      <c r="D11664">
        <v>69.61</v>
      </c>
      <c r="E11664">
        <v>566</v>
      </c>
      <c r="F11664">
        <v>172</v>
      </c>
      <c r="G11664">
        <v>7</v>
      </c>
      <c r="H11664">
        <v>38</v>
      </c>
      <c r="I11664">
        <v>599</v>
      </c>
      <c r="J11664">
        <v>1</v>
      </c>
      <c r="K11664">
        <v>46</v>
      </c>
      <c r="L11664">
        <v>608</v>
      </c>
      <c r="M11664">
        <v>1</v>
      </c>
      <c r="N11664">
        <v>0</v>
      </c>
      <c r="O11664">
        <v>1894</v>
      </c>
    </row>
    <row r="11665" spans="1:15" x14ac:dyDescent="0.25">
      <c r="A11665" t="s">
        <v>11678</v>
      </c>
      <c r="B11665">
        <v>1059</v>
      </c>
      <c r="C11665" s="1" t="str">
        <f>HYPERLINK("http://www.rosaceae.org/gb/gbrowse/malus_x_domestica/?name=MDP0000199056","MDP0000199056")</f>
        <v>MDP0000199056</v>
      </c>
      <c r="D11665">
        <v>74.48</v>
      </c>
      <c r="E11665">
        <v>866</v>
      </c>
      <c r="F11665">
        <v>221</v>
      </c>
      <c r="G11665">
        <v>10</v>
      </c>
      <c r="H11665">
        <v>28</v>
      </c>
      <c r="I11665">
        <v>883</v>
      </c>
      <c r="J11665">
        <v>1</v>
      </c>
      <c r="K11665">
        <v>27</v>
      </c>
      <c r="L11665">
        <v>892</v>
      </c>
      <c r="M11665">
        <v>1</v>
      </c>
      <c r="N11665">
        <v>0</v>
      </c>
      <c r="O11665">
        <v>3297</v>
      </c>
    </row>
    <row r="11666" spans="1:15" x14ac:dyDescent="0.25">
      <c r="A11666" t="s">
        <v>11679</v>
      </c>
      <c r="B11666">
        <v>183</v>
      </c>
      <c r="C11666" s="1" t="str">
        <f>HYPERLINK("http://www.rosaceae.org/gb/gbrowse/malus_x_domestica/?name=MDP0000299043","MDP0000299043")</f>
        <v>MDP0000299043</v>
      </c>
      <c r="D11666">
        <v>42.45</v>
      </c>
      <c r="E11666">
        <v>179</v>
      </c>
      <c r="F11666">
        <v>103</v>
      </c>
      <c r="G11666">
        <v>21</v>
      </c>
      <c r="H11666">
        <v>1</v>
      </c>
      <c r="I11666">
        <v>165</v>
      </c>
      <c r="J11666">
        <v>1</v>
      </c>
      <c r="K11666">
        <v>1</v>
      </c>
      <c r="L11666">
        <v>172</v>
      </c>
      <c r="M11666">
        <v>1</v>
      </c>
      <c r="N11666">
        <v>6.1632299999999999E-26</v>
      </c>
      <c r="O11666">
        <v>285</v>
      </c>
    </row>
    <row r="11667" spans="1:15" x14ac:dyDescent="0.25">
      <c r="A11667" t="s">
        <v>11680</v>
      </c>
      <c r="B11667">
        <v>310</v>
      </c>
      <c r="C11667" s="1" t="str">
        <f>HYPERLINK("http://www.rosaceae.org/gb/gbrowse/malus_x_domestica/?name=MDP0000802164","MDP0000802164")</f>
        <v>MDP0000802164</v>
      </c>
      <c r="D11667">
        <v>82.37</v>
      </c>
      <c r="E11667">
        <v>312</v>
      </c>
      <c r="F11667">
        <v>55</v>
      </c>
      <c r="G11667">
        <v>3</v>
      </c>
      <c r="H11667">
        <v>1</v>
      </c>
      <c r="I11667">
        <v>310</v>
      </c>
      <c r="J11667">
        <v>1</v>
      </c>
      <c r="K11667">
        <v>1</v>
      </c>
      <c r="L11667">
        <v>311</v>
      </c>
      <c r="M11667">
        <v>1</v>
      </c>
      <c r="N11667">
        <v>4.8058800000000002E-154</v>
      </c>
      <c r="O11667">
        <v>1393</v>
      </c>
    </row>
    <row r="11668" spans="1:15" x14ac:dyDescent="0.25">
      <c r="A11668" t="s">
        <v>11681</v>
      </c>
      <c r="B11668">
        <v>433</v>
      </c>
      <c r="C11668" s="1" t="str">
        <f>HYPERLINK("http://www.rosaceae.org/gb/gbrowse/malus_x_domestica/?name=MDP0000285103","MDP0000285103")</f>
        <v>MDP0000285103</v>
      </c>
      <c r="D11668">
        <v>36.630000000000003</v>
      </c>
      <c r="E11668">
        <v>434</v>
      </c>
      <c r="F11668">
        <v>275</v>
      </c>
      <c r="G11668">
        <v>106</v>
      </c>
      <c r="H11668">
        <v>5</v>
      </c>
      <c r="I11668">
        <v>406</v>
      </c>
      <c r="J11668">
        <v>1</v>
      </c>
      <c r="K11668">
        <v>12</v>
      </c>
      <c r="L11668">
        <v>371</v>
      </c>
      <c r="M11668">
        <v>1</v>
      </c>
      <c r="N11668">
        <v>2.8427900000000001E-50</v>
      </c>
      <c r="O11668">
        <v>499</v>
      </c>
    </row>
    <row r="11669" spans="1:15" x14ac:dyDescent="0.25">
      <c r="A11669" t="s">
        <v>11682</v>
      </c>
      <c r="B11669">
        <v>1065</v>
      </c>
      <c r="C11669" s="1" t="str">
        <f>HYPERLINK("http://www.rosaceae.org/gb/gbrowse/malus_x_domestica/?name=MDP0000175141","MDP0000175141")</f>
        <v>MDP0000175141</v>
      </c>
      <c r="D11669">
        <v>67.22</v>
      </c>
      <c r="E11669">
        <v>1016</v>
      </c>
      <c r="F11669">
        <v>333</v>
      </c>
      <c r="G11669">
        <v>103</v>
      </c>
      <c r="H11669">
        <v>5</v>
      </c>
      <c r="I11669">
        <v>977</v>
      </c>
      <c r="J11669">
        <v>1</v>
      </c>
      <c r="K11669">
        <v>184</v>
      </c>
      <c r="L11669">
        <v>1139</v>
      </c>
      <c r="M11669">
        <v>1</v>
      </c>
      <c r="N11669">
        <v>0</v>
      </c>
      <c r="O11669">
        <v>3492</v>
      </c>
    </row>
    <row r="11670" spans="1:15" x14ac:dyDescent="0.25">
      <c r="A11670" t="s">
        <v>11683</v>
      </c>
      <c r="B11670">
        <v>264</v>
      </c>
      <c r="C11670" s="1" t="str">
        <f>HYPERLINK("http://www.rosaceae.org/gb/gbrowse/malus_x_domestica/?name=MDP0000197294","MDP0000197294")</f>
        <v>MDP0000197294</v>
      </c>
      <c r="D11670">
        <v>32.93</v>
      </c>
      <c r="E11670">
        <v>167</v>
      </c>
      <c r="F11670">
        <v>112</v>
      </c>
      <c r="G11670">
        <v>18</v>
      </c>
      <c r="H11670">
        <v>85</v>
      </c>
      <c r="I11670">
        <v>238</v>
      </c>
      <c r="J11670">
        <v>1</v>
      </c>
      <c r="K11670">
        <v>4</v>
      </c>
      <c r="L11670">
        <v>165</v>
      </c>
      <c r="M11670">
        <v>1</v>
      </c>
      <c r="N11670">
        <v>3.9987699999999999E-13</v>
      </c>
      <c r="O11670">
        <v>176</v>
      </c>
    </row>
    <row r="11671" spans="1:15" x14ac:dyDescent="0.25">
      <c r="A11671" t="s">
        <v>11684</v>
      </c>
      <c r="B11671">
        <v>317</v>
      </c>
      <c r="C11671" s="1" t="str">
        <f>HYPERLINK("http://www.rosaceae.org/gb/gbrowse/malus_x_domestica/?name=MDP0000176629","MDP0000176629")</f>
        <v>MDP0000176629</v>
      </c>
      <c r="D11671">
        <v>69.13</v>
      </c>
      <c r="E11671">
        <v>230</v>
      </c>
      <c r="F11671">
        <v>71</v>
      </c>
      <c r="G11671">
        <v>4</v>
      </c>
      <c r="H11671">
        <v>88</v>
      </c>
      <c r="I11671">
        <v>317</v>
      </c>
      <c r="J11671">
        <v>1</v>
      </c>
      <c r="K11671">
        <v>1</v>
      </c>
      <c r="L11671">
        <v>226</v>
      </c>
      <c r="M11671">
        <v>1</v>
      </c>
      <c r="N11671">
        <v>5.8480300000000001E-81</v>
      </c>
      <c r="O11671">
        <v>762</v>
      </c>
    </row>
    <row r="11672" spans="1:15" x14ac:dyDescent="0.25">
      <c r="A11672" t="s">
        <v>11685</v>
      </c>
      <c r="B11672">
        <v>548</v>
      </c>
      <c r="C11672" s="1" t="str">
        <f>HYPERLINK("http://www.rosaceae.org/gb/gbrowse/malus_x_domestica/?name=MDP0000133510","MDP0000133510")</f>
        <v>MDP0000133510</v>
      </c>
      <c r="D11672">
        <v>75</v>
      </c>
      <c r="E11672">
        <v>40</v>
      </c>
      <c r="F11672">
        <v>10</v>
      </c>
      <c r="G11672">
        <v>0</v>
      </c>
      <c r="H11672">
        <v>97</v>
      </c>
      <c r="I11672">
        <v>136</v>
      </c>
      <c r="J11672">
        <v>1</v>
      </c>
      <c r="K11672">
        <v>36</v>
      </c>
      <c r="L11672">
        <v>75</v>
      </c>
      <c r="M11672">
        <v>1</v>
      </c>
      <c r="N11672">
        <v>2.0547799999999998E-9</v>
      </c>
      <c r="O11672">
        <v>148</v>
      </c>
    </row>
    <row r="11673" spans="1:15" x14ac:dyDescent="0.25">
      <c r="A11673" t="s">
        <v>11686</v>
      </c>
      <c r="B11673">
        <v>473</v>
      </c>
      <c r="C11673" s="1" t="str">
        <f>HYPERLINK("http://www.rosaceae.org/gb/gbrowse/malus_x_domestica/?name=MDP0000289123","MDP0000289123")</f>
        <v>MDP0000289123</v>
      </c>
      <c r="D11673">
        <v>32.03</v>
      </c>
      <c r="E11673">
        <v>412</v>
      </c>
      <c r="F11673">
        <v>280</v>
      </c>
      <c r="G11673">
        <v>79</v>
      </c>
      <c r="H11673">
        <v>25</v>
      </c>
      <c r="I11673">
        <v>380</v>
      </c>
      <c r="J11673">
        <v>1</v>
      </c>
      <c r="K11673">
        <v>27</v>
      </c>
      <c r="L11673">
        <v>415</v>
      </c>
      <c r="M11673">
        <v>1</v>
      </c>
      <c r="N11673">
        <v>1.4666000000000001E-32</v>
      </c>
      <c r="O11673">
        <v>347</v>
      </c>
    </row>
    <row r="11674" spans="1:15" x14ac:dyDescent="0.25">
      <c r="A11674" t="s">
        <v>11687</v>
      </c>
      <c r="B11674">
        <v>1043</v>
      </c>
      <c r="C11674" s="1" t="str">
        <f>HYPERLINK("http://www.rosaceae.org/gb/gbrowse/malus_x_domestica/?name=MDP0000235017","MDP0000235017")</f>
        <v>MDP0000235017</v>
      </c>
      <c r="D11674">
        <v>78.739999999999995</v>
      </c>
      <c r="E11674">
        <v>1054</v>
      </c>
      <c r="F11674">
        <v>224</v>
      </c>
      <c r="G11674">
        <v>17</v>
      </c>
      <c r="H11674">
        <v>1</v>
      </c>
      <c r="I11674">
        <v>1043</v>
      </c>
      <c r="J11674">
        <v>1</v>
      </c>
      <c r="K11674">
        <v>1</v>
      </c>
      <c r="L11674">
        <v>1048</v>
      </c>
      <c r="M11674">
        <v>1</v>
      </c>
      <c r="N11674">
        <v>0</v>
      </c>
      <c r="O11674">
        <v>4242</v>
      </c>
    </row>
    <row r="11675" spans="1:15" x14ac:dyDescent="0.25">
      <c r="A11675" t="s">
        <v>11688</v>
      </c>
      <c r="B11675">
        <v>346</v>
      </c>
      <c r="C11675" s="1" t="str">
        <f>HYPERLINK("http://www.rosaceae.org/gb/gbrowse/malus_x_domestica/?name=MDP0000499023","MDP0000499023")</f>
        <v>MDP0000499023</v>
      </c>
      <c r="D11675">
        <v>64.38</v>
      </c>
      <c r="E11675">
        <v>351</v>
      </c>
      <c r="F11675">
        <v>125</v>
      </c>
      <c r="G11675">
        <v>10</v>
      </c>
      <c r="H11675">
        <v>1</v>
      </c>
      <c r="I11675">
        <v>344</v>
      </c>
      <c r="J11675">
        <v>1</v>
      </c>
      <c r="K11675">
        <v>1</v>
      </c>
      <c r="L11675">
        <v>348</v>
      </c>
      <c r="M11675">
        <v>1</v>
      </c>
      <c r="N11675">
        <v>2.2977799999999999E-117</v>
      </c>
      <c r="O11675">
        <v>1077</v>
      </c>
    </row>
    <row r="11676" spans="1:15" x14ac:dyDescent="0.25">
      <c r="A11676" t="s">
        <v>11689</v>
      </c>
      <c r="B11676">
        <v>484</v>
      </c>
      <c r="C11676" s="1" t="str">
        <f>HYPERLINK("http://www.rosaceae.org/gb/gbrowse/malus_x_domestica/?name=MDP0000146390","MDP0000146390")</f>
        <v>MDP0000146390</v>
      </c>
      <c r="D11676">
        <v>60.5</v>
      </c>
      <c r="E11676">
        <v>200</v>
      </c>
      <c r="F11676">
        <v>79</v>
      </c>
      <c r="G11676">
        <v>12</v>
      </c>
      <c r="H11676">
        <v>293</v>
      </c>
      <c r="I11676">
        <v>484</v>
      </c>
      <c r="J11676">
        <v>1</v>
      </c>
      <c r="K11676">
        <v>183</v>
      </c>
      <c r="L11676">
        <v>378</v>
      </c>
      <c r="M11676">
        <v>1</v>
      </c>
      <c r="N11676">
        <v>5.2459299999999997E-55</v>
      </c>
      <c r="O11676">
        <v>541</v>
      </c>
    </row>
    <row r="11677" spans="1:15" x14ac:dyDescent="0.25">
      <c r="A11677" t="s">
        <v>11690</v>
      </c>
      <c r="B11677">
        <v>102</v>
      </c>
      <c r="C11677" s="1" t="str">
        <f>HYPERLINK("http://www.rosaceae.org/gb/gbrowse/malus_x_domestica/?name=MDP0000844719","MDP0000844719")</f>
        <v>MDP0000844719</v>
      </c>
      <c r="D11677">
        <v>41.74</v>
      </c>
      <c r="E11677">
        <v>103</v>
      </c>
      <c r="F11677">
        <v>60</v>
      </c>
      <c r="G11677">
        <v>4</v>
      </c>
      <c r="H11677">
        <v>1</v>
      </c>
      <c r="I11677">
        <v>102</v>
      </c>
      <c r="J11677">
        <v>1</v>
      </c>
      <c r="K11677">
        <v>1</v>
      </c>
      <c r="L11677">
        <v>100</v>
      </c>
      <c r="M11677">
        <v>1</v>
      </c>
      <c r="N11677">
        <v>4.4940700000000002E-8</v>
      </c>
      <c r="O11677">
        <v>127</v>
      </c>
    </row>
    <row r="11678" spans="1:15" x14ac:dyDescent="0.25">
      <c r="A11678" t="s">
        <v>11691</v>
      </c>
      <c r="B11678">
        <v>714</v>
      </c>
      <c r="C11678" s="1" t="str">
        <f>HYPERLINK("http://www.rosaceae.org/gb/gbrowse/malus_x_domestica/?name=MDP0000516622","MDP0000516622")</f>
        <v>MDP0000516622</v>
      </c>
      <c r="D11678">
        <v>77.2</v>
      </c>
      <c r="E11678">
        <v>724</v>
      </c>
      <c r="F11678">
        <v>165</v>
      </c>
      <c r="G11678">
        <v>14</v>
      </c>
      <c r="H11678">
        <v>1</v>
      </c>
      <c r="I11678">
        <v>714</v>
      </c>
      <c r="J11678">
        <v>1</v>
      </c>
      <c r="K11678">
        <v>1</v>
      </c>
      <c r="L11678">
        <v>720</v>
      </c>
      <c r="M11678">
        <v>1</v>
      </c>
      <c r="N11678">
        <v>0</v>
      </c>
      <c r="O11678">
        <v>2842</v>
      </c>
    </row>
    <row r="11679" spans="1:15" x14ac:dyDescent="0.25">
      <c r="A11679" t="s">
        <v>11692</v>
      </c>
      <c r="B11679">
        <v>657</v>
      </c>
      <c r="C11679" s="1" t="str">
        <f>HYPERLINK("http://www.rosaceae.org/gb/gbrowse/malus_x_domestica/?name=MDP0000317974","MDP0000317974")</f>
        <v>MDP0000317974</v>
      </c>
      <c r="D11679">
        <v>82.53</v>
      </c>
      <c r="E11679">
        <v>670</v>
      </c>
      <c r="F11679">
        <v>117</v>
      </c>
      <c r="G11679">
        <v>22</v>
      </c>
      <c r="H11679">
        <v>1</v>
      </c>
      <c r="I11679">
        <v>656</v>
      </c>
      <c r="J11679">
        <v>1</v>
      </c>
      <c r="K11679">
        <v>1</v>
      </c>
      <c r="L11679">
        <v>662</v>
      </c>
      <c r="M11679">
        <v>1</v>
      </c>
      <c r="N11679">
        <v>0</v>
      </c>
      <c r="O11679">
        <v>2854</v>
      </c>
    </row>
    <row r="11680" spans="1:15" x14ac:dyDescent="0.25">
      <c r="A11680" t="s">
        <v>11693</v>
      </c>
      <c r="B11680">
        <v>482</v>
      </c>
      <c r="C11680" s="1" t="str">
        <f>HYPERLINK("http://www.rosaceae.org/gb/gbrowse/malus_x_domestica/?name=MDP0000247840","MDP0000247840")</f>
        <v>MDP0000247840</v>
      </c>
      <c r="D11680">
        <v>80.42</v>
      </c>
      <c r="E11680">
        <v>470</v>
      </c>
      <c r="F11680">
        <v>92</v>
      </c>
      <c r="G11680">
        <v>4</v>
      </c>
      <c r="H11680">
        <v>1</v>
      </c>
      <c r="I11680">
        <v>470</v>
      </c>
      <c r="J11680">
        <v>1</v>
      </c>
      <c r="K11680">
        <v>1</v>
      </c>
      <c r="L11680">
        <v>466</v>
      </c>
      <c r="M11680">
        <v>1</v>
      </c>
      <c r="N11680">
        <v>0</v>
      </c>
      <c r="O11680">
        <v>2030</v>
      </c>
    </row>
    <row r="11681" spans="1:15" x14ac:dyDescent="0.25">
      <c r="A11681" t="s">
        <v>11694</v>
      </c>
      <c r="B11681">
        <v>212</v>
      </c>
      <c r="C11681" s="1" t="str">
        <f>HYPERLINK("http://www.rosaceae.org/gb/gbrowse/malus_x_domestica/?name=MDP0000263166","MDP0000263166")</f>
        <v>MDP0000263166</v>
      </c>
      <c r="D11681">
        <v>44.36</v>
      </c>
      <c r="E11681">
        <v>133</v>
      </c>
      <c r="F11681">
        <v>74</v>
      </c>
      <c r="G11681">
        <v>32</v>
      </c>
      <c r="H11681">
        <v>41</v>
      </c>
      <c r="I11681">
        <v>141</v>
      </c>
      <c r="J11681">
        <v>1</v>
      </c>
      <c r="K11681">
        <v>129</v>
      </c>
      <c r="L11681">
        <v>261</v>
      </c>
      <c r="M11681">
        <v>1</v>
      </c>
      <c r="N11681">
        <v>1.6643199999999999E-19</v>
      </c>
      <c r="O11681">
        <v>230</v>
      </c>
    </row>
    <row r="11682" spans="1:15" x14ac:dyDescent="0.25">
      <c r="A11682" t="s">
        <v>11695</v>
      </c>
      <c r="B11682">
        <v>113</v>
      </c>
      <c r="C11682" s="1" t="str">
        <f>HYPERLINK("http://www.rosaceae.org/gb/gbrowse/malus_x_domestica/?name=MDP0000308774","MDP0000308774")</f>
        <v>MDP0000308774</v>
      </c>
      <c r="D11682">
        <v>37.93</v>
      </c>
      <c r="E11682">
        <v>145</v>
      </c>
      <c r="F11682">
        <v>90</v>
      </c>
      <c r="G11682">
        <v>43</v>
      </c>
      <c r="H11682">
        <v>7</v>
      </c>
      <c r="I11682">
        <v>110</v>
      </c>
      <c r="J11682">
        <v>1</v>
      </c>
      <c r="K11682">
        <v>152</v>
      </c>
      <c r="L11682">
        <v>294</v>
      </c>
      <c r="M11682">
        <v>1</v>
      </c>
      <c r="N11682">
        <v>5.6997300000000002E-16</v>
      </c>
      <c r="O11682">
        <v>195</v>
      </c>
    </row>
    <row r="11683" spans="1:15" x14ac:dyDescent="0.25">
      <c r="A11683" t="s">
        <v>11696</v>
      </c>
      <c r="B11683">
        <v>251</v>
      </c>
      <c r="C11683" s="1" t="str">
        <f>HYPERLINK("http://www.rosaceae.org/gb/gbrowse/malus_x_domestica/?name=MDP0000424752","MDP0000424752")</f>
        <v>MDP0000424752</v>
      </c>
      <c r="D11683">
        <v>62.83</v>
      </c>
      <c r="E11683">
        <v>148</v>
      </c>
      <c r="F11683">
        <v>55</v>
      </c>
      <c r="G11683">
        <v>15</v>
      </c>
      <c r="H11683">
        <v>119</v>
      </c>
      <c r="I11683">
        <v>251</v>
      </c>
      <c r="J11683">
        <v>1</v>
      </c>
      <c r="K11683">
        <v>160</v>
      </c>
      <c r="L11683">
        <v>307</v>
      </c>
      <c r="M11683">
        <v>1</v>
      </c>
      <c r="N11683">
        <v>1.90462E-45</v>
      </c>
      <c r="O11683">
        <v>455</v>
      </c>
    </row>
    <row r="11684" spans="1:15" x14ac:dyDescent="0.25">
      <c r="A11684" t="s">
        <v>11697</v>
      </c>
      <c r="B11684">
        <v>185</v>
      </c>
      <c r="C11684" s="1" t="str">
        <f>HYPERLINK("http://www.rosaceae.org/gb/gbrowse/malus_x_domestica/?name=MDP0000868205","MDP0000868205")</f>
        <v>MDP0000868205</v>
      </c>
      <c r="D11684">
        <v>66.66</v>
      </c>
      <c r="E11684">
        <v>57</v>
      </c>
      <c r="F11684">
        <v>19</v>
      </c>
      <c r="G11684">
        <v>0</v>
      </c>
      <c r="H11684">
        <v>83</v>
      </c>
      <c r="I11684">
        <v>139</v>
      </c>
      <c r="J11684">
        <v>1</v>
      </c>
      <c r="K11684">
        <v>94</v>
      </c>
      <c r="L11684">
        <v>150</v>
      </c>
      <c r="M11684">
        <v>1</v>
      </c>
      <c r="N11684">
        <v>1.11354E-21</v>
      </c>
      <c r="O11684">
        <v>248</v>
      </c>
    </row>
    <row r="11685" spans="1:15" x14ac:dyDescent="0.25">
      <c r="A11685" t="s">
        <v>11698</v>
      </c>
      <c r="B11685">
        <v>372</v>
      </c>
      <c r="C11685" s="1" t="str">
        <f>HYPERLINK("http://www.rosaceae.org/gb/gbrowse/malus_x_domestica/?name=MDP0000725149","MDP0000725149")</f>
        <v>MDP0000725149</v>
      </c>
      <c r="D11685">
        <v>57.27</v>
      </c>
      <c r="E11685">
        <v>316</v>
      </c>
      <c r="F11685">
        <v>135</v>
      </c>
      <c r="G11685">
        <v>11</v>
      </c>
      <c r="H11685">
        <v>53</v>
      </c>
      <c r="I11685">
        <v>368</v>
      </c>
      <c r="J11685">
        <v>1</v>
      </c>
      <c r="K11685">
        <v>1</v>
      </c>
      <c r="L11685">
        <v>305</v>
      </c>
      <c r="M11685">
        <v>1</v>
      </c>
      <c r="N11685">
        <v>4.9936300000000001E-97</v>
      </c>
      <c r="O11685">
        <v>902</v>
      </c>
    </row>
    <row r="11686" spans="1:15" x14ac:dyDescent="0.25">
      <c r="A11686" t="s">
        <v>11699</v>
      </c>
      <c r="B11686">
        <v>1560</v>
      </c>
      <c r="C11686" s="1" t="str">
        <f>HYPERLINK("http://www.rosaceae.org/gb/gbrowse/malus_x_domestica/?name=MDP0000127593","MDP0000127593")</f>
        <v>MDP0000127593</v>
      </c>
      <c r="D11686">
        <v>70.430000000000007</v>
      </c>
      <c r="E11686">
        <v>778</v>
      </c>
      <c r="F11686">
        <v>230</v>
      </c>
      <c r="G11686">
        <v>61</v>
      </c>
      <c r="H11686">
        <v>580</v>
      </c>
      <c r="I11686">
        <v>1311</v>
      </c>
      <c r="J11686">
        <v>1</v>
      </c>
      <c r="K11686">
        <v>45</v>
      </c>
      <c r="L11686">
        <v>807</v>
      </c>
      <c r="M11686">
        <v>1</v>
      </c>
      <c r="N11686">
        <v>0</v>
      </c>
      <c r="O11686">
        <v>2655</v>
      </c>
    </row>
    <row r="11687" spans="1:15" x14ac:dyDescent="0.25">
      <c r="A11687" t="s">
        <v>11700</v>
      </c>
      <c r="B11687">
        <v>596</v>
      </c>
      <c r="C11687" s="1" t="str">
        <f>HYPERLINK("http://www.rosaceae.org/gb/gbrowse/malus_x_domestica/?name=MDP0000196263","MDP0000196263")</f>
        <v>MDP0000196263</v>
      </c>
      <c r="D11687">
        <v>81.010000000000005</v>
      </c>
      <c r="E11687">
        <v>374</v>
      </c>
      <c r="F11687">
        <v>71</v>
      </c>
      <c r="G11687">
        <v>4</v>
      </c>
      <c r="H11687">
        <v>46</v>
      </c>
      <c r="I11687">
        <v>417</v>
      </c>
      <c r="J11687">
        <v>1</v>
      </c>
      <c r="K11687">
        <v>37</v>
      </c>
      <c r="L11687">
        <v>408</v>
      </c>
      <c r="M11687">
        <v>1</v>
      </c>
      <c r="N11687">
        <v>0</v>
      </c>
      <c r="O11687">
        <v>1628</v>
      </c>
    </row>
    <row r="11688" spans="1:15" x14ac:dyDescent="0.25">
      <c r="A11688" t="s">
        <v>11701</v>
      </c>
      <c r="B11688">
        <v>257</v>
      </c>
      <c r="C11688" s="1" t="str">
        <f>HYPERLINK("http://www.rosaceae.org/gb/gbrowse/malus_x_domestica/?name=MDP0000430242","MDP0000430242")</f>
        <v>MDP0000430242</v>
      </c>
      <c r="D11688">
        <v>79.7</v>
      </c>
      <c r="E11688">
        <v>202</v>
      </c>
      <c r="F11688">
        <v>41</v>
      </c>
      <c r="G11688">
        <v>13</v>
      </c>
      <c r="H11688">
        <v>49</v>
      </c>
      <c r="I11688">
        <v>239</v>
      </c>
      <c r="J11688">
        <v>1</v>
      </c>
      <c r="K11688">
        <v>29</v>
      </c>
      <c r="L11688">
        <v>228</v>
      </c>
      <c r="M11688">
        <v>1</v>
      </c>
      <c r="N11688">
        <v>1.0996899999999999E-89</v>
      </c>
      <c r="O11688">
        <v>837</v>
      </c>
    </row>
    <row r="11689" spans="1:15" x14ac:dyDescent="0.25">
      <c r="A11689" t="s">
        <v>11702</v>
      </c>
      <c r="B11689">
        <v>957</v>
      </c>
      <c r="C11689" s="1" t="str">
        <f>HYPERLINK("http://www.rosaceae.org/gb/gbrowse/malus_x_domestica/?name=MDP0000157578","MDP0000157578")</f>
        <v>MDP0000157578</v>
      </c>
      <c r="D11689">
        <v>88.4</v>
      </c>
      <c r="E11689">
        <v>957</v>
      </c>
      <c r="F11689">
        <v>111</v>
      </c>
      <c r="G11689">
        <v>3</v>
      </c>
      <c r="H11689">
        <v>4</v>
      </c>
      <c r="I11689">
        <v>957</v>
      </c>
      <c r="J11689">
        <v>1</v>
      </c>
      <c r="K11689">
        <v>3</v>
      </c>
      <c r="L11689">
        <v>959</v>
      </c>
      <c r="M11689">
        <v>1</v>
      </c>
      <c r="N11689">
        <v>0</v>
      </c>
      <c r="O11689">
        <v>4418</v>
      </c>
    </row>
    <row r="11690" spans="1:15" x14ac:dyDescent="0.25">
      <c r="A11690" t="s">
        <v>11703</v>
      </c>
      <c r="B11690">
        <v>252</v>
      </c>
      <c r="C11690" s="1" t="str">
        <f>HYPERLINK("http://www.rosaceae.org/gb/gbrowse/malus_x_domestica/?name=MDP0000309372","MDP0000309372")</f>
        <v>MDP0000309372</v>
      </c>
      <c r="D11690">
        <v>84.61</v>
      </c>
      <c r="E11690">
        <v>130</v>
      </c>
      <c r="F11690">
        <v>20</v>
      </c>
      <c r="G11690">
        <v>0</v>
      </c>
      <c r="H11690">
        <v>77</v>
      </c>
      <c r="I11690">
        <v>206</v>
      </c>
      <c r="J11690">
        <v>1</v>
      </c>
      <c r="K11690">
        <v>109</v>
      </c>
      <c r="L11690">
        <v>238</v>
      </c>
      <c r="M11690">
        <v>1</v>
      </c>
      <c r="N11690">
        <v>1.4845400000000001E-64</v>
      </c>
      <c r="O11690">
        <v>620</v>
      </c>
    </row>
    <row r="11691" spans="1:15" x14ac:dyDescent="0.25">
      <c r="A11691" t="s">
        <v>11704</v>
      </c>
      <c r="B11691">
        <v>134</v>
      </c>
      <c r="C11691" s="1" t="str">
        <f>HYPERLINK("http://www.rosaceae.org/gb/gbrowse/malus_x_domestica/?name=MDP0000322680","MDP0000322680")</f>
        <v>MDP0000322680</v>
      </c>
      <c r="D11691">
        <v>85.71</v>
      </c>
      <c r="E11691">
        <v>133</v>
      </c>
      <c r="F11691">
        <v>19</v>
      </c>
      <c r="G11691">
        <v>0</v>
      </c>
      <c r="H11691">
        <v>2</v>
      </c>
      <c r="I11691">
        <v>134</v>
      </c>
      <c r="J11691">
        <v>1</v>
      </c>
      <c r="K11691">
        <v>8</v>
      </c>
      <c r="L11691">
        <v>140</v>
      </c>
      <c r="M11691">
        <v>1</v>
      </c>
      <c r="N11691">
        <v>1.3731599999999999E-61</v>
      </c>
      <c r="O11691">
        <v>589</v>
      </c>
    </row>
    <row r="11692" spans="1:15" x14ac:dyDescent="0.25">
      <c r="A11692" t="s">
        <v>11705</v>
      </c>
      <c r="B11692">
        <v>340</v>
      </c>
      <c r="C11692" s="1" t="str">
        <f>HYPERLINK("http://www.rosaceae.org/gb/gbrowse/malus_x_domestica/?name=MDP0000173497","MDP0000173497")</f>
        <v>MDP0000173497</v>
      </c>
      <c r="D11692">
        <v>55.72</v>
      </c>
      <c r="E11692">
        <v>402</v>
      </c>
      <c r="F11692">
        <v>178</v>
      </c>
      <c r="G11692">
        <v>73</v>
      </c>
      <c r="H11692">
        <v>1</v>
      </c>
      <c r="I11692">
        <v>329</v>
      </c>
      <c r="J11692">
        <v>1</v>
      </c>
      <c r="K11692">
        <v>80</v>
      </c>
      <c r="L11692">
        <v>481</v>
      </c>
      <c r="M11692">
        <v>1</v>
      </c>
      <c r="N11692">
        <v>1.7718999999999999E-121</v>
      </c>
      <c r="O11692">
        <v>1112</v>
      </c>
    </row>
    <row r="11693" spans="1:15" x14ac:dyDescent="0.25">
      <c r="A11693" t="s">
        <v>11706</v>
      </c>
      <c r="B11693">
        <v>354</v>
      </c>
      <c r="C11693" s="1" t="str">
        <f>HYPERLINK("http://www.rosaceae.org/gb/gbrowse/malus_x_domestica/?name=MDP0000199411","MDP0000199411")</f>
        <v>MDP0000199411</v>
      </c>
      <c r="D11693">
        <v>63.52</v>
      </c>
      <c r="E11693">
        <v>340</v>
      </c>
      <c r="F11693">
        <v>124</v>
      </c>
      <c r="G11693">
        <v>50</v>
      </c>
      <c r="H11693">
        <v>64</v>
      </c>
      <c r="I11693">
        <v>353</v>
      </c>
      <c r="J11693">
        <v>1</v>
      </c>
      <c r="K11693">
        <v>59</v>
      </c>
      <c r="L11693">
        <v>398</v>
      </c>
      <c r="M11693">
        <v>1</v>
      </c>
      <c r="N11693">
        <v>1.7864300000000001E-121</v>
      </c>
      <c r="O11693">
        <v>1112</v>
      </c>
    </row>
    <row r="11694" spans="1:15" x14ac:dyDescent="0.25">
      <c r="A11694" t="s">
        <v>11707</v>
      </c>
      <c r="B11694">
        <v>509</v>
      </c>
      <c r="C11694" s="1" t="str">
        <f>HYPERLINK("http://www.rosaceae.org/gb/gbrowse/malus_x_domestica/?name=MDP0000283804","MDP0000283804")</f>
        <v>MDP0000283804</v>
      </c>
      <c r="D11694">
        <v>34.659999999999997</v>
      </c>
      <c r="E11694">
        <v>401</v>
      </c>
      <c r="F11694">
        <v>262</v>
      </c>
      <c r="G11694">
        <v>36</v>
      </c>
      <c r="H11694">
        <v>133</v>
      </c>
      <c r="I11694">
        <v>506</v>
      </c>
      <c r="J11694">
        <v>1</v>
      </c>
      <c r="K11694">
        <v>73</v>
      </c>
      <c r="L11694">
        <v>464</v>
      </c>
      <c r="M11694">
        <v>1</v>
      </c>
      <c r="N11694">
        <v>8.8980599999999996E-44</v>
      </c>
      <c r="O11694">
        <v>444</v>
      </c>
    </row>
    <row r="11695" spans="1:15" x14ac:dyDescent="0.25">
      <c r="A11695" t="s">
        <v>11708</v>
      </c>
      <c r="B11695">
        <v>463</v>
      </c>
      <c r="C11695" s="1" t="str">
        <f>HYPERLINK("http://www.rosaceae.org/gb/gbrowse/malus_x_domestica/?name=MDP0000217842","MDP0000217842")</f>
        <v>MDP0000217842</v>
      </c>
      <c r="D11695">
        <v>60.75</v>
      </c>
      <c r="E11695">
        <v>451</v>
      </c>
      <c r="F11695">
        <v>177</v>
      </c>
      <c r="G11695">
        <v>11</v>
      </c>
      <c r="H11695">
        <v>17</v>
      </c>
      <c r="I11695">
        <v>459</v>
      </c>
      <c r="J11695">
        <v>1</v>
      </c>
      <c r="K11695">
        <v>6</v>
      </c>
      <c r="L11695">
        <v>453</v>
      </c>
      <c r="M11695">
        <v>1</v>
      </c>
      <c r="N11695">
        <v>6.3943500000000003E-153</v>
      </c>
      <c r="O11695">
        <v>1385</v>
      </c>
    </row>
    <row r="11696" spans="1:15" x14ac:dyDescent="0.25">
      <c r="A11696" t="s">
        <v>11709</v>
      </c>
      <c r="B11696">
        <v>1126</v>
      </c>
      <c r="C11696" s="1" t="str">
        <f>HYPERLINK("http://www.rosaceae.org/gb/gbrowse/malus_x_domestica/?name=MDP0000816297","MDP0000816297")</f>
        <v>MDP0000816297</v>
      </c>
      <c r="D11696">
        <v>80.959999999999994</v>
      </c>
      <c r="E11696">
        <v>331</v>
      </c>
      <c r="F11696">
        <v>63</v>
      </c>
      <c r="G11696">
        <v>0</v>
      </c>
      <c r="H11696">
        <v>254</v>
      </c>
      <c r="I11696">
        <v>584</v>
      </c>
      <c r="J11696">
        <v>1</v>
      </c>
      <c r="K11696">
        <v>1</v>
      </c>
      <c r="L11696">
        <v>331</v>
      </c>
      <c r="M11696">
        <v>1</v>
      </c>
      <c r="N11696">
        <v>4.31414E-158</v>
      </c>
      <c r="O11696">
        <v>1433</v>
      </c>
    </row>
    <row r="11697" spans="1:15" x14ac:dyDescent="0.25">
      <c r="A11697" t="s">
        <v>11710</v>
      </c>
      <c r="B11697">
        <v>592</v>
      </c>
      <c r="C11697" s="1" t="str">
        <f>HYPERLINK("http://www.rosaceae.org/gb/gbrowse/malus_x_domestica/?name=MDP0000302448","MDP0000302448")</f>
        <v>MDP0000302448</v>
      </c>
      <c r="D11697">
        <v>38.1</v>
      </c>
      <c r="E11697">
        <v>475</v>
      </c>
      <c r="F11697">
        <v>294</v>
      </c>
      <c r="G11697">
        <v>88</v>
      </c>
      <c r="H11697">
        <v>37</v>
      </c>
      <c r="I11697">
        <v>503</v>
      </c>
      <c r="J11697">
        <v>1</v>
      </c>
      <c r="K11697">
        <v>25</v>
      </c>
      <c r="L11697">
        <v>419</v>
      </c>
      <c r="M11697">
        <v>1</v>
      </c>
      <c r="N11697">
        <v>1.06671E-75</v>
      </c>
      <c r="O11697">
        <v>720</v>
      </c>
    </row>
    <row r="11698" spans="1:15" x14ac:dyDescent="0.25">
      <c r="A11698" t="s">
        <v>11711</v>
      </c>
      <c r="B11698">
        <v>663</v>
      </c>
      <c r="C11698" s="1" t="str">
        <f>HYPERLINK("http://www.rosaceae.org/gb/gbrowse/malus_x_domestica/?name=MDP0000288901","MDP0000288901")</f>
        <v>MDP0000288901</v>
      </c>
      <c r="D11698">
        <v>47.69</v>
      </c>
      <c r="E11698">
        <v>499</v>
      </c>
      <c r="F11698">
        <v>261</v>
      </c>
      <c r="G11698">
        <v>16</v>
      </c>
      <c r="H11698">
        <v>172</v>
      </c>
      <c r="I11698">
        <v>661</v>
      </c>
      <c r="J11698">
        <v>1</v>
      </c>
      <c r="K11698">
        <v>74</v>
      </c>
      <c r="L11698">
        <v>565</v>
      </c>
      <c r="M11698">
        <v>1</v>
      </c>
      <c r="N11698">
        <v>3.2891800000000002E-127</v>
      </c>
      <c r="O11698">
        <v>1165</v>
      </c>
    </row>
    <row r="11699" spans="1:15" x14ac:dyDescent="0.25">
      <c r="A11699" t="s">
        <v>11712</v>
      </c>
      <c r="B11699">
        <v>104</v>
      </c>
      <c r="C11699" s="1" t="str">
        <f>HYPERLINK("http://www.rosaceae.org/gb/gbrowse/malus_x_domestica/?name=MDP0000922090","MDP0000922090")</f>
        <v>MDP0000922090</v>
      </c>
      <c r="D11699">
        <v>80</v>
      </c>
      <c r="E11699">
        <v>45</v>
      </c>
      <c r="F11699">
        <v>9</v>
      </c>
      <c r="G11699">
        <v>0</v>
      </c>
      <c r="H11699">
        <v>1</v>
      </c>
      <c r="I11699">
        <v>45</v>
      </c>
      <c r="J11699">
        <v>1</v>
      </c>
      <c r="K11699">
        <v>1</v>
      </c>
      <c r="L11699">
        <v>45</v>
      </c>
      <c r="M11699">
        <v>1</v>
      </c>
      <c r="N11699">
        <v>1.9673299999999999E-14</v>
      </c>
      <c r="O11699">
        <v>182</v>
      </c>
    </row>
    <row r="11700" spans="1:15" x14ac:dyDescent="0.25">
      <c r="A11700" t="s">
        <v>11713</v>
      </c>
      <c r="B11700">
        <v>754</v>
      </c>
      <c r="C11700" s="1" t="str">
        <f>HYPERLINK("http://www.rosaceae.org/gb/gbrowse/malus_x_domestica/?name=MDP0000136844","MDP0000136844")</f>
        <v>MDP0000136844</v>
      </c>
      <c r="D11700">
        <v>47.16</v>
      </c>
      <c r="E11700">
        <v>759</v>
      </c>
      <c r="F11700">
        <v>401</v>
      </c>
      <c r="G11700">
        <v>71</v>
      </c>
      <c r="H11700">
        <v>1</v>
      </c>
      <c r="I11700">
        <v>723</v>
      </c>
      <c r="J11700">
        <v>1</v>
      </c>
      <c r="K11700">
        <v>134</v>
      </c>
      <c r="L11700">
        <v>857</v>
      </c>
      <c r="M11700">
        <v>1</v>
      </c>
      <c r="N11700">
        <v>0</v>
      </c>
      <c r="O11700">
        <v>1633</v>
      </c>
    </row>
    <row r="11701" spans="1:15" x14ac:dyDescent="0.25">
      <c r="A11701" t="s">
        <v>11714</v>
      </c>
      <c r="B11701">
        <v>155</v>
      </c>
      <c r="C11701" s="1" t="str">
        <f>HYPERLINK("http://www.rosaceae.org/gb/gbrowse/malus_x_domestica/?name=MDP0000278575","MDP0000278575")</f>
        <v>MDP0000278575</v>
      </c>
      <c r="D11701">
        <v>54.28</v>
      </c>
      <c r="E11701">
        <v>105</v>
      </c>
      <c r="F11701">
        <v>48</v>
      </c>
      <c r="G11701">
        <v>14</v>
      </c>
      <c r="H11701">
        <v>14</v>
      </c>
      <c r="I11701">
        <v>106</v>
      </c>
      <c r="J11701">
        <v>1</v>
      </c>
      <c r="K11701">
        <v>763</v>
      </c>
      <c r="L11701">
        <v>865</v>
      </c>
      <c r="M11701">
        <v>1</v>
      </c>
      <c r="N11701">
        <v>1.14143E-21</v>
      </c>
      <c r="O11701">
        <v>246</v>
      </c>
    </row>
    <row r="11702" spans="1:15" x14ac:dyDescent="0.25">
      <c r="A11702" t="s">
        <v>11715</v>
      </c>
      <c r="B11702">
        <v>314</v>
      </c>
      <c r="C11702" s="1" t="str">
        <f>HYPERLINK("http://www.rosaceae.org/gb/gbrowse/malus_x_domestica/?name=MDP0000293414","MDP0000293414")</f>
        <v>MDP0000293414</v>
      </c>
      <c r="D11702">
        <v>29.09</v>
      </c>
      <c r="E11702">
        <v>110</v>
      </c>
      <c r="F11702">
        <v>78</v>
      </c>
      <c r="G11702">
        <v>12</v>
      </c>
      <c r="H11702">
        <v>39</v>
      </c>
      <c r="I11702">
        <v>147</v>
      </c>
      <c r="J11702">
        <v>1</v>
      </c>
      <c r="K11702">
        <v>38</v>
      </c>
      <c r="L11702">
        <v>136</v>
      </c>
      <c r="M11702">
        <v>1</v>
      </c>
      <c r="N11702">
        <v>2.92287E-7</v>
      </c>
      <c r="O11702">
        <v>127</v>
      </c>
    </row>
    <row r="11703" spans="1:15" x14ac:dyDescent="0.25">
      <c r="A11703" t="s">
        <v>11716</v>
      </c>
      <c r="B11703">
        <v>229</v>
      </c>
      <c r="C11703" s="1" t="str">
        <f>HYPERLINK("http://www.rosaceae.org/gb/gbrowse/malus_x_domestica/?name=MDP0000716544","MDP0000716544")</f>
        <v>MDP0000716544</v>
      </c>
      <c r="D11703">
        <v>37.93</v>
      </c>
      <c r="E11703">
        <v>116</v>
      </c>
      <c r="F11703">
        <v>72</v>
      </c>
      <c r="G11703">
        <v>3</v>
      </c>
      <c r="H11703">
        <v>105</v>
      </c>
      <c r="I11703">
        <v>217</v>
      </c>
      <c r="J11703">
        <v>1</v>
      </c>
      <c r="K11703">
        <v>316</v>
      </c>
      <c r="L11703">
        <v>431</v>
      </c>
      <c r="M11703">
        <v>1</v>
      </c>
      <c r="N11703">
        <v>5.3332499999999996E-15</v>
      </c>
      <c r="O11703">
        <v>192</v>
      </c>
    </row>
    <row r="11704" spans="1:15" x14ac:dyDescent="0.25">
      <c r="A11704" t="s">
        <v>11717</v>
      </c>
      <c r="B11704">
        <v>357</v>
      </c>
      <c r="C11704" s="1" t="str">
        <f>HYPERLINK("http://www.rosaceae.org/gb/gbrowse/malus_x_domestica/?name=MDP0000207359","MDP0000207359")</f>
        <v>MDP0000207359</v>
      </c>
      <c r="D11704">
        <v>90.17</v>
      </c>
      <c r="E11704">
        <v>173</v>
      </c>
      <c r="F11704">
        <v>17</v>
      </c>
      <c r="G11704">
        <v>0</v>
      </c>
      <c r="H11704">
        <v>150</v>
      </c>
      <c r="I11704">
        <v>322</v>
      </c>
      <c r="J11704">
        <v>1</v>
      </c>
      <c r="K11704">
        <v>329</v>
      </c>
      <c r="L11704">
        <v>501</v>
      </c>
      <c r="M11704">
        <v>1</v>
      </c>
      <c r="N11704">
        <v>3.4963100000000002E-91</v>
      </c>
      <c r="O11704">
        <v>851</v>
      </c>
    </row>
    <row r="11705" spans="1:15" x14ac:dyDescent="0.25">
      <c r="A11705" t="s">
        <v>11718</v>
      </c>
      <c r="B11705">
        <v>232</v>
      </c>
      <c r="C11705" s="1" t="str">
        <f>HYPERLINK("http://www.rosaceae.org/gb/gbrowse/malus_x_domestica/?name=MDP0000927246","MDP0000927246")</f>
        <v>MDP0000927246</v>
      </c>
      <c r="D11705">
        <v>77.11</v>
      </c>
      <c r="E11705">
        <v>236</v>
      </c>
      <c r="F11705">
        <v>54</v>
      </c>
      <c r="G11705">
        <v>4</v>
      </c>
      <c r="H11705">
        <v>1</v>
      </c>
      <c r="I11705">
        <v>232</v>
      </c>
      <c r="J11705">
        <v>1</v>
      </c>
      <c r="K11705">
        <v>1</v>
      </c>
      <c r="L11705">
        <v>236</v>
      </c>
      <c r="M11705">
        <v>1</v>
      </c>
      <c r="N11705">
        <v>4.2835800000000001E-102</v>
      </c>
      <c r="O11705">
        <v>943</v>
      </c>
    </row>
    <row r="11706" spans="1:15" x14ac:dyDescent="0.25">
      <c r="A11706" t="s">
        <v>11719</v>
      </c>
      <c r="B11706">
        <v>354</v>
      </c>
      <c r="C11706" s="1" t="str">
        <f>HYPERLINK("http://www.rosaceae.org/gb/gbrowse/malus_x_domestica/?name=MDP0000168762","MDP0000168762")</f>
        <v>MDP0000168762</v>
      </c>
      <c r="D11706">
        <v>42.71</v>
      </c>
      <c r="E11706">
        <v>103</v>
      </c>
      <c r="F11706">
        <v>59</v>
      </c>
      <c r="G11706">
        <v>24</v>
      </c>
      <c r="H11706">
        <v>270</v>
      </c>
      <c r="I11706">
        <v>348</v>
      </c>
      <c r="J11706">
        <v>1</v>
      </c>
      <c r="K11706">
        <v>237</v>
      </c>
      <c r="L11706">
        <v>339</v>
      </c>
      <c r="M11706">
        <v>1</v>
      </c>
      <c r="N11706">
        <v>4.8159400000000002E-10</v>
      </c>
      <c r="O11706">
        <v>151</v>
      </c>
    </row>
    <row r="11707" spans="1:15" x14ac:dyDescent="0.25">
      <c r="A11707" t="s">
        <v>11720</v>
      </c>
      <c r="B11707">
        <v>614</v>
      </c>
      <c r="C11707" s="1" t="str">
        <f>HYPERLINK("http://www.rosaceae.org/gb/gbrowse/malus_x_domestica/?name=MDP0000240888","MDP0000240888")</f>
        <v>MDP0000240888</v>
      </c>
      <c r="D11707">
        <v>62.19</v>
      </c>
      <c r="E11707">
        <v>701</v>
      </c>
      <c r="F11707">
        <v>265</v>
      </c>
      <c r="G11707">
        <v>93</v>
      </c>
      <c r="H11707">
        <v>1</v>
      </c>
      <c r="I11707">
        <v>614</v>
      </c>
      <c r="J11707">
        <v>1</v>
      </c>
      <c r="K11707">
        <v>1</v>
      </c>
      <c r="L11707">
        <v>695</v>
      </c>
      <c r="M11707">
        <v>1</v>
      </c>
      <c r="N11707">
        <v>0</v>
      </c>
      <c r="O11707">
        <v>2119</v>
      </c>
    </row>
    <row r="11708" spans="1:15" x14ac:dyDescent="0.25">
      <c r="A11708" t="s">
        <v>11721</v>
      </c>
      <c r="B11708">
        <v>471</v>
      </c>
      <c r="C11708" s="1" t="str">
        <f>HYPERLINK("http://www.rosaceae.org/gb/gbrowse/malus_x_domestica/?name=MDP0000119402","MDP0000119402")</f>
        <v>MDP0000119402</v>
      </c>
      <c r="D11708">
        <v>86.28</v>
      </c>
      <c r="E11708">
        <v>401</v>
      </c>
      <c r="F11708">
        <v>55</v>
      </c>
      <c r="G11708">
        <v>10</v>
      </c>
      <c r="H11708">
        <v>79</v>
      </c>
      <c r="I11708">
        <v>471</v>
      </c>
      <c r="J11708">
        <v>1</v>
      </c>
      <c r="K11708">
        <v>1</v>
      </c>
      <c r="L11708">
        <v>399</v>
      </c>
      <c r="M11708">
        <v>1</v>
      </c>
      <c r="N11708">
        <v>0</v>
      </c>
      <c r="O11708">
        <v>1833</v>
      </c>
    </row>
    <row r="11709" spans="1:15" x14ac:dyDescent="0.25">
      <c r="A11709" t="s">
        <v>11722</v>
      </c>
      <c r="B11709">
        <v>179</v>
      </c>
      <c r="C11709" s="1" t="str">
        <f>HYPERLINK("http://www.rosaceae.org/gb/gbrowse/malus_x_domestica/?name=MDP0000258630","MDP0000258630")</f>
        <v>MDP0000258630</v>
      </c>
      <c r="D11709">
        <v>87.3</v>
      </c>
      <c r="E11709">
        <v>63</v>
      </c>
      <c r="F11709">
        <v>8</v>
      </c>
      <c r="G11709">
        <v>0</v>
      </c>
      <c r="H11709">
        <v>69</v>
      </c>
      <c r="I11709">
        <v>131</v>
      </c>
      <c r="J11709">
        <v>1</v>
      </c>
      <c r="K11709">
        <v>29</v>
      </c>
      <c r="L11709">
        <v>91</v>
      </c>
      <c r="M11709">
        <v>1</v>
      </c>
      <c r="N11709">
        <v>7.6750400000000004E-26</v>
      </c>
      <c r="O11709">
        <v>284</v>
      </c>
    </row>
    <row r="11710" spans="1:15" x14ac:dyDescent="0.25">
      <c r="A11710" t="s">
        <v>11723</v>
      </c>
      <c r="B11710">
        <v>79</v>
      </c>
      <c r="C11710" s="1" t="str">
        <f>HYPERLINK("http://www.rosaceae.org/gb/gbrowse/malus_x_domestica/?name=MDP0000149163","MDP0000149163")</f>
        <v>MDP0000149163</v>
      </c>
      <c r="D11710">
        <v>87.5</v>
      </c>
      <c r="E11710">
        <v>72</v>
      </c>
      <c r="F11710">
        <v>9</v>
      </c>
      <c r="G11710">
        <v>0</v>
      </c>
      <c r="H11710">
        <v>8</v>
      </c>
      <c r="I11710">
        <v>79</v>
      </c>
      <c r="J11710">
        <v>1</v>
      </c>
      <c r="K11710">
        <v>113</v>
      </c>
      <c r="L11710">
        <v>184</v>
      </c>
      <c r="M11710">
        <v>1</v>
      </c>
      <c r="N11710">
        <v>3.0171199999999999E-32</v>
      </c>
      <c r="O11710">
        <v>336</v>
      </c>
    </row>
    <row r="11711" spans="1:15" x14ac:dyDescent="0.25">
      <c r="A11711" t="s">
        <v>11724</v>
      </c>
      <c r="B11711">
        <v>1166</v>
      </c>
      <c r="C11711" s="1" t="str">
        <f>HYPERLINK("http://www.rosaceae.org/gb/gbrowse/malus_x_domestica/?name=MDP0000159955","MDP0000159955")</f>
        <v>MDP0000159955</v>
      </c>
      <c r="D11711">
        <v>62.61</v>
      </c>
      <c r="E11711">
        <v>1161</v>
      </c>
      <c r="F11711">
        <v>434</v>
      </c>
      <c r="G11711">
        <v>70</v>
      </c>
      <c r="H11711">
        <v>15</v>
      </c>
      <c r="I11711">
        <v>1126</v>
      </c>
      <c r="J11711">
        <v>1</v>
      </c>
      <c r="K11711">
        <v>4</v>
      </c>
      <c r="L11711">
        <v>1143</v>
      </c>
      <c r="M11711">
        <v>1</v>
      </c>
      <c r="N11711">
        <v>0</v>
      </c>
      <c r="O11711">
        <v>3401</v>
      </c>
    </row>
    <row r="11712" spans="1:15" x14ac:dyDescent="0.25">
      <c r="A11712" t="s">
        <v>11725</v>
      </c>
      <c r="B11712">
        <v>285</v>
      </c>
      <c r="C11712" s="1" t="str">
        <f>HYPERLINK("http://www.rosaceae.org/gb/gbrowse/malus_x_domestica/?name=MDP0000935646","MDP0000935646")</f>
        <v>MDP0000935646</v>
      </c>
      <c r="D11712">
        <v>50.65</v>
      </c>
      <c r="E11712">
        <v>152</v>
      </c>
      <c r="F11712">
        <v>75</v>
      </c>
      <c r="G11712">
        <v>10</v>
      </c>
      <c r="H11712">
        <v>134</v>
      </c>
      <c r="I11712">
        <v>285</v>
      </c>
      <c r="J11712">
        <v>1</v>
      </c>
      <c r="K11712">
        <v>9</v>
      </c>
      <c r="L11712">
        <v>150</v>
      </c>
      <c r="M11712">
        <v>1</v>
      </c>
      <c r="N11712">
        <v>8.8279400000000006E-33</v>
      </c>
      <c r="O11712">
        <v>346</v>
      </c>
    </row>
    <row r="11713" spans="1:15" x14ac:dyDescent="0.25">
      <c r="A11713" t="s">
        <v>11726</v>
      </c>
      <c r="B11713">
        <v>291</v>
      </c>
      <c r="C11713" s="1" t="str">
        <f>HYPERLINK("http://www.rosaceae.org/gb/gbrowse/malus_x_domestica/?name=MDP0000225088","MDP0000225088")</f>
        <v>MDP0000225088</v>
      </c>
      <c r="D11713">
        <v>70.03</v>
      </c>
      <c r="E11713">
        <v>287</v>
      </c>
      <c r="F11713">
        <v>86</v>
      </c>
      <c r="G11713">
        <v>4</v>
      </c>
      <c r="H11713">
        <v>1</v>
      </c>
      <c r="I11713">
        <v>283</v>
      </c>
      <c r="J11713">
        <v>1</v>
      </c>
      <c r="K11713">
        <v>1</v>
      </c>
      <c r="L11713">
        <v>287</v>
      </c>
      <c r="M11713">
        <v>1</v>
      </c>
      <c r="N11713">
        <v>1.9627899999999999E-119</v>
      </c>
      <c r="O11713">
        <v>1094</v>
      </c>
    </row>
    <row r="11714" spans="1:15" x14ac:dyDescent="0.25">
      <c r="A11714" t="s">
        <v>11727</v>
      </c>
      <c r="B11714">
        <v>176</v>
      </c>
      <c r="C11714" s="1" t="str">
        <f>HYPERLINK("http://www.rosaceae.org/gb/gbrowse/malus_x_domestica/?name=MDP0000121203","MDP0000121203")</f>
        <v>MDP0000121203</v>
      </c>
      <c r="D11714">
        <v>81.81</v>
      </c>
      <c r="E11714">
        <v>176</v>
      </c>
      <c r="F11714">
        <v>32</v>
      </c>
      <c r="G11714">
        <v>1</v>
      </c>
      <c r="H11714">
        <v>1</v>
      </c>
      <c r="I11714">
        <v>176</v>
      </c>
      <c r="J11714">
        <v>1</v>
      </c>
      <c r="K11714">
        <v>56</v>
      </c>
      <c r="L11714">
        <v>230</v>
      </c>
      <c r="M11714">
        <v>1</v>
      </c>
      <c r="N11714">
        <v>2.7661700000000001E-79</v>
      </c>
      <c r="O11714">
        <v>744</v>
      </c>
    </row>
    <row r="11715" spans="1:15" x14ac:dyDescent="0.25">
      <c r="A11715" t="s">
        <v>11728</v>
      </c>
      <c r="B11715">
        <v>266</v>
      </c>
      <c r="C11715" s="1" t="str">
        <f>HYPERLINK("http://www.rosaceae.org/gb/gbrowse/malus_x_domestica/?name=MDP0000167145","MDP0000167145")</f>
        <v>MDP0000167145</v>
      </c>
      <c r="D11715">
        <v>43.71</v>
      </c>
      <c r="E11715">
        <v>199</v>
      </c>
      <c r="F11715">
        <v>112</v>
      </c>
      <c r="G11715">
        <v>50</v>
      </c>
      <c r="H11715">
        <v>5</v>
      </c>
      <c r="I11715">
        <v>203</v>
      </c>
      <c r="J11715">
        <v>1</v>
      </c>
      <c r="K11715">
        <v>364</v>
      </c>
      <c r="L11715">
        <v>512</v>
      </c>
      <c r="M11715">
        <v>1</v>
      </c>
      <c r="N11715">
        <v>1.4269099999999999E-41</v>
      </c>
      <c r="O11715">
        <v>422</v>
      </c>
    </row>
    <row r="11716" spans="1:15" x14ac:dyDescent="0.25">
      <c r="A11716" t="s">
        <v>11729</v>
      </c>
      <c r="B11716">
        <v>211</v>
      </c>
      <c r="C11716" s="1" t="str">
        <f>HYPERLINK("http://www.rosaceae.org/gb/gbrowse/malus_x_domestica/?name=MDP0000385309","MDP0000385309")</f>
        <v>MDP0000385309</v>
      </c>
      <c r="D11716">
        <v>64.92</v>
      </c>
      <c r="E11716">
        <v>211</v>
      </c>
      <c r="F11716">
        <v>74</v>
      </c>
      <c r="G11716">
        <v>0</v>
      </c>
      <c r="H11716">
        <v>1</v>
      </c>
      <c r="I11716">
        <v>211</v>
      </c>
      <c r="J11716">
        <v>1</v>
      </c>
      <c r="K11716">
        <v>1</v>
      </c>
      <c r="L11716">
        <v>211</v>
      </c>
      <c r="M11716">
        <v>1</v>
      </c>
      <c r="N11716">
        <v>7.4144699999999997E-73</v>
      </c>
      <c r="O11716">
        <v>690</v>
      </c>
    </row>
    <row r="11717" spans="1:15" x14ac:dyDescent="0.25">
      <c r="A11717" t="s">
        <v>11730</v>
      </c>
      <c r="B11717">
        <v>389</v>
      </c>
      <c r="C11717" s="1" t="str">
        <f>HYPERLINK("http://www.rosaceae.org/gb/gbrowse/malus_x_domestica/?name=MDP0000303386","MDP0000303386")</f>
        <v>MDP0000303386</v>
      </c>
      <c r="D11717">
        <v>92.8</v>
      </c>
      <c r="E11717">
        <v>389</v>
      </c>
      <c r="F11717">
        <v>28</v>
      </c>
      <c r="G11717">
        <v>0</v>
      </c>
      <c r="H11717">
        <v>1</v>
      </c>
      <c r="I11717">
        <v>389</v>
      </c>
      <c r="J11717">
        <v>1</v>
      </c>
      <c r="K11717">
        <v>31</v>
      </c>
      <c r="L11717">
        <v>419</v>
      </c>
      <c r="M11717">
        <v>1</v>
      </c>
      <c r="N11717">
        <v>0</v>
      </c>
      <c r="O11717">
        <v>1919</v>
      </c>
    </row>
    <row r="11718" spans="1:15" x14ac:dyDescent="0.25">
      <c r="A11718" t="s">
        <v>11731</v>
      </c>
      <c r="B11718">
        <v>225</v>
      </c>
      <c r="C11718" s="1" t="str">
        <f>HYPERLINK("http://www.rosaceae.org/gb/gbrowse/malus_x_domestica/?name=MDP0000119750","MDP0000119750")</f>
        <v>MDP0000119750</v>
      </c>
      <c r="D11718">
        <v>70.349999999999994</v>
      </c>
      <c r="E11718">
        <v>226</v>
      </c>
      <c r="F11718">
        <v>67</v>
      </c>
      <c r="G11718">
        <v>4</v>
      </c>
      <c r="H11718">
        <v>1</v>
      </c>
      <c r="I11718">
        <v>225</v>
      </c>
      <c r="J11718">
        <v>1</v>
      </c>
      <c r="K11718">
        <v>1</v>
      </c>
      <c r="L11718">
        <v>223</v>
      </c>
      <c r="M11718">
        <v>1</v>
      </c>
      <c r="N11718">
        <v>1.4275300000000001E-78</v>
      </c>
      <c r="O11718">
        <v>740</v>
      </c>
    </row>
    <row r="11719" spans="1:15" x14ac:dyDescent="0.25">
      <c r="A11719" t="s">
        <v>11732</v>
      </c>
      <c r="B11719">
        <v>542</v>
      </c>
      <c r="C11719" s="1" t="str">
        <f>HYPERLINK("http://www.rosaceae.org/gb/gbrowse/malus_x_domestica/?name=MDP0000931034","MDP0000931034")</f>
        <v>MDP0000931034</v>
      </c>
      <c r="D11719">
        <v>60.53</v>
      </c>
      <c r="E11719">
        <v>446</v>
      </c>
      <c r="F11719">
        <v>176</v>
      </c>
      <c r="G11719">
        <v>52</v>
      </c>
      <c r="H11719">
        <v>10</v>
      </c>
      <c r="I11719">
        <v>443</v>
      </c>
      <c r="J11719">
        <v>1</v>
      </c>
      <c r="K11719">
        <v>8</v>
      </c>
      <c r="L11719">
        <v>413</v>
      </c>
      <c r="M11719">
        <v>1</v>
      </c>
      <c r="N11719">
        <v>5.3535700000000005E-141</v>
      </c>
      <c r="O11719">
        <v>1283</v>
      </c>
    </row>
    <row r="11720" spans="1:15" x14ac:dyDescent="0.25">
      <c r="A11720" t="s">
        <v>11733</v>
      </c>
      <c r="B11720">
        <v>302</v>
      </c>
      <c r="C11720" s="1" t="str">
        <f>HYPERLINK("http://www.rosaceae.org/gb/gbrowse/malus_x_domestica/?name=MDP0000186464","MDP0000186464")</f>
        <v>MDP0000186464</v>
      </c>
      <c r="D11720">
        <v>32.049999999999997</v>
      </c>
      <c r="E11720">
        <v>156</v>
      </c>
      <c r="F11720">
        <v>106</v>
      </c>
      <c r="G11720">
        <v>16</v>
      </c>
      <c r="H11720">
        <v>2</v>
      </c>
      <c r="I11720">
        <v>151</v>
      </c>
      <c r="J11720">
        <v>1</v>
      </c>
      <c r="K11720">
        <v>62</v>
      </c>
      <c r="L11720">
        <v>207</v>
      </c>
      <c r="M11720">
        <v>1</v>
      </c>
      <c r="N11720">
        <v>3.2217800000000001E-16</v>
      </c>
      <c r="O11720">
        <v>204</v>
      </c>
    </row>
    <row r="11721" spans="1:15" x14ac:dyDescent="0.25">
      <c r="A11721" t="s">
        <v>11734</v>
      </c>
      <c r="B11721">
        <v>531</v>
      </c>
      <c r="C11721" s="1" t="str">
        <f>HYPERLINK("http://www.rosaceae.org/gb/gbrowse/malus_x_domestica/?name=MDP0000201076","MDP0000201076")</f>
        <v>MDP0000201076</v>
      </c>
      <c r="D11721">
        <v>52.41</v>
      </c>
      <c r="E11721">
        <v>145</v>
      </c>
      <c r="F11721">
        <v>69</v>
      </c>
      <c r="G11721">
        <v>17</v>
      </c>
      <c r="H11721">
        <v>178</v>
      </c>
      <c r="I11721">
        <v>322</v>
      </c>
      <c r="J11721">
        <v>1</v>
      </c>
      <c r="K11721">
        <v>24</v>
      </c>
      <c r="L11721">
        <v>151</v>
      </c>
      <c r="M11721">
        <v>1</v>
      </c>
      <c r="N11721">
        <v>8.7248899999999999E-37</v>
      </c>
      <c r="O11721">
        <v>384</v>
      </c>
    </row>
    <row r="11722" spans="1:15" x14ac:dyDescent="0.25">
      <c r="A11722" t="s">
        <v>11735</v>
      </c>
      <c r="B11722">
        <v>275</v>
      </c>
      <c r="C11722" s="1" t="str">
        <f>HYPERLINK("http://www.rosaceae.org/gb/gbrowse/malus_x_domestica/?name=MDP0000191299","MDP0000191299")</f>
        <v>MDP0000191299</v>
      </c>
      <c r="D11722">
        <v>61.32</v>
      </c>
      <c r="E11722">
        <v>331</v>
      </c>
      <c r="F11722">
        <v>128</v>
      </c>
      <c r="G11722">
        <v>80</v>
      </c>
      <c r="H11722">
        <v>20</v>
      </c>
      <c r="I11722">
        <v>270</v>
      </c>
      <c r="J11722">
        <v>1</v>
      </c>
      <c r="K11722">
        <v>23</v>
      </c>
      <c r="L11722">
        <v>353</v>
      </c>
      <c r="M11722">
        <v>1</v>
      </c>
      <c r="N11722">
        <v>1.07639E-104</v>
      </c>
      <c r="O11722">
        <v>966</v>
      </c>
    </row>
    <row r="11723" spans="1:15" x14ac:dyDescent="0.25">
      <c r="A11723" t="s">
        <v>11736</v>
      </c>
      <c r="B11723">
        <v>219</v>
      </c>
      <c r="C11723" s="1" t="str">
        <f>HYPERLINK("http://www.rosaceae.org/gb/gbrowse/malus_x_domestica/?name=MDP0000136726","MDP0000136726")</f>
        <v>MDP0000136726</v>
      </c>
      <c r="D11723">
        <v>40.36</v>
      </c>
      <c r="E11723">
        <v>166</v>
      </c>
      <c r="F11723">
        <v>99</v>
      </c>
      <c r="G11723">
        <v>12</v>
      </c>
      <c r="H11723">
        <v>1</v>
      </c>
      <c r="I11723">
        <v>161</v>
      </c>
      <c r="J11723">
        <v>1</v>
      </c>
      <c r="K11723">
        <v>945</v>
      </c>
      <c r="L11723">
        <v>1103</v>
      </c>
      <c r="M11723">
        <v>1</v>
      </c>
      <c r="N11723">
        <v>1.1143700000000001E-27</v>
      </c>
      <c r="O11723">
        <v>301</v>
      </c>
    </row>
    <row r="11724" spans="1:15" x14ac:dyDescent="0.25">
      <c r="A11724" t="s">
        <v>11737</v>
      </c>
      <c r="B11724">
        <v>167</v>
      </c>
      <c r="C11724" s="1" t="str">
        <f>HYPERLINK("http://www.rosaceae.org/gb/gbrowse/malus_x_domestica/?name=MDP0000266525","MDP0000266525")</f>
        <v>MDP0000266525</v>
      </c>
      <c r="D11724">
        <v>74.66</v>
      </c>
      <c r="E11724">
        <v>150</v>
      </c>
      <c r="F11724">
        <v>38</v>
      </c>
      <c r="G11724">
        <v>6</v>
      </c>
      <c r="H11724">
        <v>20</v>
      </c>
      <c r="I11724">
        <v>163</v>
      </c>
      <c r="J11724">
        <v>1</v>
      </c>
      <c r="K11724">
        <v>379</v>
      </c>
      <c r="L11724">
        <v>528</v>
      </c>
      <c r="M11724">
        <v>1</v>
      </c>
      <c r="N11724">
        <v>1.10754E-60</v>
      </c>
      <c r="O11724">
        <v>584</v>
      </c>
    </row>
    <row r="11725" spans="1:15" x14ac:dyDescent="0.25">
      <c r="A11725" t="s">
        <v>11738</v>
      </c>
      <c r="B11725">
        <v>368</v>
      </c>
      <c r="C11725" s="1" t="str">
        <f>HYPERLINK("http://www.rosaceae.org/gb/gbrowse/malus_x_domestica/?name=MDP0000141906","MDP0000141906")</f>
        <v>MDP0000141906</v>
      </c>
      <c r="D11725">
        <v>36.75</v>
      </c>
      <c r="E11725">
        <v>234</v>
      </c>
      <c r="F11725">
        <v>148</v>
      </c>
      <c r="G11725">
        <v>42</v>
      </c>
      <c r="H11725">
        <v>163</v>
      </c>
      <c r="I11725">
        <v>368</v>
      </c>
      <c r="J11725">
        <v>1</v>
      </c>
      <c r="K11725">
        <v>166</v>
      </c>
      <c r="L11725">
        <v>385</v>
      </c>
      <c r="M11725">
        <v>1</v>
      </c>
      <c r="N11725">
        <v>2.0752499999999999E-23</v>
      </c>
      <c r="O11725">
        <v>267</v>
      </c>
    </row>
    <row r="11726" spans="1:15" x14ac:dyDescent="0.25">
      <c r="A11726" t="s">
        <v>11739</v>
      </c>
      <c r="B11726">
        <v>114</v>
      </c>
      <c r="C11726" s="1" t="str">
        <f>HYPERLINK("http://www.rosaceae.org/gb/gbrowse/malus_x_domestica/?name=MDP0000265803","MDP0000265803")</f>
        <v>MDP0000265803</v>
      </c>
      <c r="D11726">
        <v>76.36</v>
      </c>
      <c r="E11726">
        <v>55</v>
      </c>
      <c r="F11726">
        <v>13</v>
      </c>
      <c r="G11726">
        <v>0</v>
      </c>
      <c r="H11726">
        <v>39</v>
      </c>
      <c r="I11726">
        <v>93</v>
      </c>
      <c r="J11726">
        <v>1</v>
      </c>
      <c r="K11726">
        <v>1</v>
      </c>
      <c r="L11726">
        <v>55</v>
      </c>
      <c r="M11726">
        <v>1</v>
      </c>
      <c r="N11726">
        <v>1.1631E-18</v>
      </c>
      <c r="O11726">
        <v>218</v>
      </c>
    </row>
    <row r="11727" spans="1:15" x14ac:dyDescent="0.25">
      <c r="A11727" t="s">
        <v>11740</v>
      </c>
      <c r="B11727">
        <v>831</v>
      </c>
      <c r="C11727" s="1" t="str">
        <f>HYPERLINK("http://www.rosaceae.org/gb/gbrowse/malus_x_domestica/?name=MDP0000291818","MDP0000291818")</f>
        <v>MDP0000291818</v>
      </c>
      <c r="D11727">
        <v>66.739999999999995</v>
      </c>
      <c r="E11727">
        <v>818</v>
      </c>
      <c r="F11727">
        <v>272</v>
      </c>
      <c r="G11727">
        <v>47</v>
      </c>
      <c r="H11727">
        <v>27</v>
      </c>
      <c r="I11727">
        <v>810</v>
      </c>
      <c r="J11727">
        <v>1</v>
      </c>
      <c r="K11727">
        <v>29</v>
      </c>
      <c r="L11727">
        <v>833</v>
      </c>
      <c r="M11727">
        <v>1</v>
      </c>
      <c r="N11727">
        <v>0</v>
      </c>
      <c r="O11727">
        <v>2549</v>
      </c>
    </row>
    <row r="11728" spans="1:15" x14ac:dyDescent="0.25">
      <c r="A11728" t="s">
        <v>11741</v>
      </c>
      <c r="B11728">
        <v>321</v>
      </c>
      <c r="C11728" s="1" t="str">
        <f>HYPERLINK("http://www.rosaceae.org/gb/gbrowse/malus_x_domestica/?name=MDP0000292934","MDP0000292934")</f>
        <v>MDP0000292934</v>
      </c>
      <c r="D11728">
        <v>64.61</v>
      </c>
      <c r="E11728">
        <v>65</v>
      </c>
      <c r="F11728">
        <v>23</v>
      </c>
      <c r="G11728">
        <v>2</v>
      </c>
      <c r="H11728">
        <v>162</v>
      </c>
      <c r="I11728">
        <v>224</v>
      </c>
      <c r="J11728">
        <v>1</v>
      </c>
      <c r="K11728">
        <v>90</v>
      </c>
      <c r="L11728">
        <v>154</v>
      </c>
      <c r="M11728">
        <v>1</v>
      </c>
      <c r="N11728">
        <v>2.46615E-15</v>
      </c>
      <c r="O11728">
        <v>197</v>
      </c>
    </row>
    <row r="11729" spans="1:15" x14ac:dyDescent="0.25">
      <c r="A11729" t="s">
        <v>11742</v>
      </c>
      <c r="B11729">
        <v>187</v>
      </c>
      <c r="C11729" s="1" t="str">
        <f>HYPERLINK("http://www.rosaceae.org/gb/gbrowse/malus_x_domestica/?name=MDP0000286960","MDP0000286960")</f>
        <v>MDP0000286960</v>
      </c>
      <c r="D11729">
        <v>56.12</v>
      </c>
      <c r="E11729">
        <v>98</v>
      </c>
      <c r="F11729">
        <v>43</v>
      </c>
      <c r="G11729">
        <v>8</v>
      </c>
      <c r="H11729">
        <v>71</v>
      </c>
      <c r="I11729">
        <v>167</v>
      </c>
      <c r="J11729">
        <v>1</v>
      </c>
      <c r="K11729">
        <v>127</v>
      </c>
      <c r="L11729">
        <v>217</v>
      </c>
      <c r="M11729">
        <v>1</v>
      </c>
      <c r="N11729">
        <v>7.6256599999999997E-24</v>
      </c>
      <c r="O11729">
        <v>267</v>
      </c>
    </row>
    <row r="11730" spans="1:15" x14ac:dyDescent="0.25">
      <c r="A11730" t="s">
        <v>11743</v>
      </c>
      <c r="B11730">
        <v>606</v>
      </c>
      <c r="C11730" s="1" t="str">
        <f>HYPERLINK("http://www.rosaceae.org/gb/gbrowse/malus_x_domestica/?name=MDP0000321215","MDP0000321215")</f>
        <v>MDP0000321215</v>
      </c>
      <c r="D11730">
        <v>65.89</v>
      </c>
      <c r="E11730">
        <v>645</v>
      </c>
      <c r="F11730">
        <v>220</v>
      </c>
      <c r="G11730">
        <v>39</v>
      </c>
      <c r="H11730">
        <v>1</v>
      </c>
      <c r="I11730">
        <v>606</v>
      </c>
      <c r="J11730">
        <v>1</v>
      </c>
      <c r="K11730">
        <v>1</v>
      </c>
      <c r="L11730">
        <v>645</v>
      </c>
      <c r="M11730">
        <v>1</v>
      </c>
      <c r="N11730">
        <v>0</v>
      </c>
      <c r="O11730">
        <v>2250</v>
      </c>
    </row>
    <row r="11731" spans="1:15" x14ac:dyDescent="0.25">
      <c r="A11731" t="s">
        <v>11744</v>
      </c>
      <c r="B11731">
        <v>385</v>
      </c>
      <c r="C11731" s="1" t="str">
        <f>HYPERLINK("http://www.rosaceae.org/gb/gbrowse/malus_x_domestica/?name=MDP0000211134","MDP0000211134")</f>
        <v>MDP0000211134</v>
      </c>
      <c r="D11731">
        <v>43.88</v>
      </c>
      <c r="E11731">
        <v>376</v>
      </c>
      <c r="F11731">
        <v>211</v>
      </c>
      <c r="G11731">
        <v>14</v>
      </c>
      <c r="H11731">
        <v>19</v>
      </c>
      <c r="I11731">
        <v>385</v>
      </c>
      <c r="J11731">
        <v>1</v>
      </c>
      <c r="K11731">
        <v>1</v>
      </c>
      <c r="L11731">
        <v>371</v>
      </c>
      <c r="M11731">
        <v>1</v>
      </c>
      <c r="N11731">
        <v>9.60747E-76</v>
      </c>
      <c r="O11731">
        <v>718</v>
      </c>
    </row>
    <row r="11732" spans="1:15" x14ac:dyDescent="0.25">
      <c r="A11732" t="s">
        <v>11745</v>
      </c>
      <c r="B11732">
        <v>399</v>
      </c>
      <c r="C11732" s="1" t="str">
        <f>HYPERLINK("http://www.rosaceae.org/gb/gbrowse/malus_x_domestica/?name=MDP0000500222","MDP0000500222")</f>
        <v>MDP0000500222</v>
      </c>
      <c r="D11732">
        <v>28.06</v>
      </c>
      <c r="E11732">
        <v>367</v>
      </c>
      <c r="F11732">
        <v>264</v>
      </c>
      <c r="G11732">
        <v>64</v>
      </c>
      <c r="H11732">
        <v>16</v>
      </c>
      <c r="I11732">
        <v>336</v>
      </c>
      <c r="J11732">
        <v>1</v>
      </c>
      <c r="K11732">
        <v>73</v>
      </c>
      <c r="L11732">
        <v>421</v>
      </c>
      <c r="M11732">
        <v>1</v>
      </c>
      <c r="N11732">
        <v>6.3670299999999999E-27</v>
      </c>
      <c r="O11732">
        <v>298</v>
      </c>
    </row>
    <row r="11733" spans="1:15" x14ac:dyDescent="0.25">
      <c r="A11733" t="s">
        <v>11746</v>
      </c>
      <c r="B11733">
        <v>741</v>
      </c>
      <c r="C11733" s="1" t="str">
        <f>HYPERLINK("http://www.rosaceae.org/gb/gbrowse/malus_x_domestica/?name=MDP0000424413","MDP0000424413")</f>
        <v>MDP0000424413</v>
      </c>
      <c r="D11733">
        <v>64.099999999999994</v>
      </c>
      <c r="E11733">
        <v>365</v>
      </c>
      <c r="F11733">
        <v>131</v>
      </c>
      <c r="G11733">
        <v>3</v>
      </c>
      <c r="H11733">
        <v>1</v>
      </c>
      <c r="I11733">
        <v>362</v>
      </c>
      <c r="J11733">
        <v>1</v>
      </c>
      <c r="K11733">
        <v>1</v>
      </c>
      <c r="L11733">
        <v>365</v>
      </c>
      <c r="M11733">
        <v>1</v>
      </c>
      <c r="N11733">
        <v>6.6748400000000002E-137</v>
      </c>
      <c r="O11733">
        <v>1249</v>
      </c>
    </row>
    <row r="11734" spans="1:15" x14ac:dyDescent="0.25">
      <c r="A11734" t="s">
        <v>11747</v>
      </c>
      <c r="B11734">
        <v>282</v>
      </c>
      <c r="C11734" s="1" t="str">
        <f>HYPERLINK("http://www.rosaceae.org/gb/gbrowse/malus_x_domestica/?name=MDP0000145100","MDP0000145100")</f>
        <v>MDP0000145100</v>
      </c>
      <c r="D11734">
        <v>56.13</v>
      </c>
      <c r="E11734">
        <v>269</v>
      </c>
      <c r="F11734">
        <v>118</v>
      </c>
      <c r="G11734">
        <v>53</v>
      </c>
      <c r="H11734">
        <v>1</v>
      </c>
      <c r="I11734">
        <v>217</v>
      </c>
      <c r="J11734">
        <v>1</v>
      </c>
      <c r="K11734">
        <v>154</v>
      </c>
      <c r="L11734">
        <v>421</v>
      </c>
      <c r="M11734">
        <v>1</v>
      </c>
      <c r="N11734">
        <v>1.57915E-70</v>
      </c>
      <c r="O11734">
        <v>672</v>
      </c>
    </row>
    <row r="11735" spans="1:15" x14ac:dyDescent="0.25">
      <c r="A11735" t="s">
        <v>11748</v>
      </c>
      <c r="B11735">
        <v>772</v>
      </c>
      <c r="C11735" s="1" t="str">
        <f>HYPERLINK("http://www.rosaceae.org/gb/gbrowse/malus_x_domestica/?name=MDP0000222559","MDP0000222559")</f>
        <v>MDP0000222559</v>
      </c>
      <c r="D11735">
        <v>67.959999999999994</v>
      </c>
      <c r="E11735">
        <v>437</v>
      </c>
      <c r="F11735">
        <v>140</v>
      </c>
      <c r="G11735">
        <v>2</v>
      </c>
      <c r="H11735">
        <v>1</v>
      </c>
      <c r="I11735">
        <v>435</v>
      </c>
      <c r="J11735">
        <v>1</v>
      </c>
      <c r="K11735">
        <v>1</v>
      </c>
      <c r="L11735">
        <v>437</v>
      </c>
      <c r="M11735">
        <v>1</v>
      </c>
      <c r="N11735">
        <v>1.8086800000000001E-173</v>
      </c>
      <c r="O11735">
        <v>1564</v>
      </c>
    </row>
    <row r="11736" spans="1:15" x14ac:dyDescent="0.25">
      <c r="A11736" t="s">
        <v>11749</v>
      </c>
      <c r="B11736">
        <v>620</v>
      </c>
      <c r="C11736" s="1" t="str">
        <f>HYPERLINK("http://www.rosaceae.org/gb/gbrowse/malus_x_domestica/?name=MDP0000274056","MDP0000274056")</f>
        <v>MDP0000274056</v>
      </c>
      <c r="D11736">
        <v>47.71</v>
      </c>
      <c r="E11736">
        <v>241</v>
      </c>
      <c r="F11736">
        <v>126</v>
      </c>
      <c r="G11736">
        <v>2</v>
      </c>
      <c r="H11736">
        <v>352</v>
      </c>
      <c r="I11736">
        <v>592</v>
      </c>
      <c r="J11736">
        <v>1</v>
      </c>
      <c r="K11736">
        <v>144</v>
      </c>
      <c r="L11736">
        <v>382</v>
      </c>
      <c r="M11736">
        <v>1</v>
      </c>
      <c r="N11736">
        <v>7.5962800000000004E-60</v>
      </c>
      <c r="O11736">
        <v>584</v>
      </c>
    </row>
    <row r="11737" spans="1:15" x14ac:dyDescent="0.25">
      <c r="A11737" t="s">
        <v>11750</v>
      </c>
      <c r="B11737">
        <v>332</v>
      </c>
      <c r="C11737" s="1" t="str">
        <f>HYPERLINK("http://www.rosaceae.org/gb/gbrowse/malus_x_domestica/?name=MDP0000246758","MDP0000246758")</f>
        <v>MDP0000246758</v>
      </c>
      <c r="D11737">
        <v>58.04</v>
      </c>
      <c r="E11737">
        <v>317</v>
      </c>
      <c r="F11737">
        <v>133</v>
      </c>
      <c r="G11737">
        <v>11</v>
      </c>
      <c r="H11737">
        <v>21</v>
      </c>
      <c r="I11737">
        <v>331</v>
      </c>
      <c r="J11737">
        <v>1</v>
      </c>
      <c r="K11737">
        <v>216</v>
      </c>
      <c r="L11737">
        <v>527</v>
      </c>
      <c r="M11737">
        <v>1</v>
      </c>
      <c r="N11737">
        <v>2.6434500000000002E-90</v>
      </c>
      <c r="O11737">
        <v>843</v>
      </c>
    </row>
    <row r="11738" spans="1:15" x14ac:dyDescent="0.25">
      <c r="A11738" t="s">
        <v>11751</v>
      </c>
      <c r="B11738">
        <v>276</v>
      </c>
      <c r="C11738" s="1" t="str">
        <f>HYPERLINK("http://www.rosaceae.org/gb/gbrowse/malus_x_domestica/?name=MDP0000163690","MDP0000163690")</f>
        <v>MDP0000163690</v>
      </c>
      <c r="D11738">
        <v>53.63</v>
      </c>
      <c r="E11738">
        <v>261</v>
      </c>
      <c r="F11738">
        <v>121</v>
      </c>
      <c r="G11738">
        <v>36</v>
      </c>
      <c r="H11738">
        <v>19</v>
      </c>
      <c r="I11738">
        <v>275</v>
      </c>
      <c r="J11738">
        <v>1</v>
      </c>
      <c r="K11738">
        <v>8</v>
      </c>
      <c r="L11738">
        <v>236</v>
      </c>
      <c r="M11738">
        <v>1</v>
      </c>
      <c r="N11738">
        <v>1.7028800000000001E-67</v>
      </c>
      <c r="O11738">
        <v>646</v>
      </c>
    </row>
    <row r="11739" spans="1:15" x14ac:dyDescent="0.25">
      <c r="A11739" t="s">
        <v>11752</v>
      </c>
      <c r="B11739">
        <v>257</v>
      </c>
      <c r="C11739" s="1" t="str">
        <f>HYPERLINK("http://www.rosaceae.org/gb/gbrowse/malus_x_domestica/?name=MDP0000241622","MDP0000241622")</f>
        <v>MDP0000241622</v>
      </c>
      <c r="D11739">
        <v>40.35</v>
      </c>
      <c r="E11739">
        <v>228</v>
      </c>
      <c r="F11739">
        <v>136</v>
      </c>
      <c r="G11739">
        <v>29</v>
      </c>
      <c r="H11739">
        <v>1</v>
      </c>
      <c r="I11739">
        <v>215</v>
      </c>
      <c r="J11739">
        <v>1</v>
      </c>
      <c r="K11739">
        <v>1</v>
      </c>
      <c r="L11739">
        <v>212</v>
      </c>
      <c r="M11739">
        <v>1</v>
      </c>
      <c r="N11739">
        <v>1.43767E-28</v>
      </c>
      <c r="O11739">
        <v>309</v>
      </c>
    </row>
    <row r="11740" spans="1:15" x14ac:dyDescent="0.25">
      <c r="A11740" t="s">
        <v>11753</v>
      </c>
      <c r="B11740">
        <v>330</v>
      </c>
      <c r="C11740" s="1" t="str">
        <f>HYPERLINK("http://www.rosaceae.org/gb/gbrowse/malus_x_domestica/?name=MDP0000320163","MDP0000320163")</f>
        <v>MDP0000320163</v>
      </c>
      <c r="D11740">
        <v>66.069999999999993</v>
      </c>
      <c r="E11740">
        <v>339</v>
      </c>
      <c r="F11740">
        <v>115</v>
      </c>
      <c r="G11740">
        <v>45</v>
      </c>
      <c r="H11740">
        <v>1</v>
      </c>
      <c r="I11740">
        <v>310</v>
      </c>
      <c r="J11740">
        <v>1</v>
      </c>
      <c r="K11740">
        <v>1</v>
      </c>
      <c r="L11740">
        <v>323</v>
      </c>
      <c r="M11740">
        <v>1</v>
      </c>
      <c r="N11740">
        <v>4.7503799999999999E-110</v>
      </c>
      <c r="O11740">
        <v>1014</v>
      </c>
    </row>
    <row r="11741" spans="1:15" x14ac:dyDescent="0.25">
      <c r="A11741" t="s">
        <v>11754</v>
      </c>
      <c r="B11741">
        <v>522</v>
      </c>
      <c r="C11741" s="1" t="str">
        <f>HYPERLINK("http://www.rosaceae.org/gb/gbrowse/malus_x_domestica/?name=MDP0000219706","MDP0000219706")</f>
        <v>MDP0000219706</v>
      </c>
      <c r="D11741">
        <v>33.61</v>
      </c>
      <c r="E11741">
        <v>119</v>
      </c>
      <c r="F11741">
        <v>79</v>
      </c>
      <c r="G11741">
        <v>3</v>
      </c>
      <c r="H11741">
        <v>379</v>
      </c>
      <c r="I11741">
        <v>497</v>
      </c>
      <c r="J11741">
        <v>1</v>
      </c>
      <c r="K11741">
        <v>310</v>
      </c>
      <c r="L11741">
        <v>425</v>
      </c>
      <c r="M11741">
        <v>1</v>
      </c>
      <c r="N11741">
        <v>1.1796800000000001E-15</v>
      </c>
      <c r="O11741">
        <v>202</v>
      </c>
    </row>
    <row r="11742" spans="1:15" x14ac:dyDescent="0.25">
      <c r="A11742" t="s">
        <v>11755</v>
      </c>
      <c r="B11742">
        <v>193</v>
      </c>
      <c r="C11742" s="1" t="str">
        <f>HYPERLINK("http://www.rosaceae.org/gb/gbrowse/malus_x_domestica/?name=MDP0000130659","MDP0000130659")</f>
        <v>MDP0000130659</v>
      </c>
      <c r="D11742">
        <v>72.28</v>
      </c>
      <c r="E11742">
        <v>184</v>
      </c>
      <c r="F11742">
        <v>51</v>
      </c>
      <c r="G11742">
        <v>15</v>
      </c>
      <c r="H11742">
        <v>1</v>
      </c>
      <c r="I11742">
        <v>170</v>
      </c>
      <c r="J11742">
        <v>1</v>
      </c>
      <c r="K11742">
        <v>1</v>
      </c>
      <c r="L11742">
        <v>183</v>
      </c>
      <c r="M11742">
        <v>1</v>
      </c>
      <c r="N11742">
        <v>2.8374699999999999E-68</v>
      </c>
      <c r="O11742">
        <v>650</v>
      </c>
    </row>
    <row r="11743" spans="1:15" x14ac:dyDescent="0.25">
      <c r="A11743" t="s">
        <v>11756</v>
      </c>
      <c r="B11743">
        <v>259</v>
      </c>
      <c r="C11743" s="1" t="str">
        <f>HYPERLINK("http://www.rosaceae.org/gb/gbrowse/malus_x_domestica/?name=MDP0000254252","MDP0000254252")</f>
        <v>MDP0000254252</v>
      </c>
      <c r="D11743">
        <v>38.96</v>
      </c>
      <c r="E11743">
        <v>213</v>
      </c>
      <c r="F11743">
        <v>130</v>
      </c>
      <c r="G11743">
        <v>33</v>
      </c>
      <c r="H11743">
        <v>17</v>
      </c>
      <c r="I11743">
        <v>224</v>
      </c>
      <c r="J11743">
        <v>1</v>
      </c>
      <c r="K11743">
        <v>59</v>
      </c>
      <c r="L11743">
        <v>243</v>
      </c>
      <c r="M11743">
        <v>1</v>
      </c>
      <c r="N11743">
        <v>2.13799E-27</v>
      </c>
      <c r="O11743">
        <v>299</v>
      </c>
    </row>
    <row r="11744" spans="1:15" x14ac:dyDescent="0.25">
      <c r="A11744" t="s">
        <v>11757</v>
      </c>
      <c r="B11744">
        <v>1372</v>
      </c>
      <c r="C11744" s="1" t="str">
        <f>HYPERLINK("http://www.rosaceae.org/gb/gbrowse/malus_x_domestica/?name=MDP0000762624","MDP0000762624")</f>
        <v>MDP0000762624</v>
      </c>
      <c r="D11744">
        <v>75.41</v>
      </c>
      <c r="E11744">
        <v>1021</v>
      </c>
      <c r="F11744">
        <v>251</v>
      </c>
      <c r="G11744">
        <v>5</v>
      </c>
      <c r="H11744">
        <v>1</v>
      </c>
      <c r="I11744">
        <v>1017</v>
      </c>
      <c r="J11744">
        <v>1</v>
      </c>
      <c r="K11744">
        <v>1</v>
      </c>
      <c r="L11744">
        <v>1020</v>
      </c>
      <c r="M11744">
        <v>1</v>
      </c>
      <c r="N11744">
        <v>0</v>
      </c>
      <c r="O11744">
        <v>4078</v>
      </c>
    </row>
    <row r="11745" spans="1:15" x14ac:dyDescent="0.25">
      <c r="A11745" t="s">
        <v>11758</v>
      </c>
      <c r="B11745">
        <v>1704</v>
      </c>
      <c r="C11745" s="1" t="str">
        <f>HYPERLINK("http://www.rosaceae.org/gb/gbrowse/malus_x_domestica/?name=MDP0000298765","MDP0000298765")</f>
        <v>MDP0000298765</v>
      </c>
      <c r="D11745">
        <v>49.73</v>
      </c>
      <c r="E11745">
        <v>764</v>
      </c>
      <c r="F11745">
        <v>384</v>
      </c>
      <c r="G11745">
        <v>192</v>
      </c>
      <c r="H11745">
        <v>1121</v>
      </c>
      <c r="I11745">
        <v>1704</v>
      </c>
      <c r="J11745">
        <v>1</v>
      </c>
      <c r="K11745">
        <v>31</v>
      </c>
      <c r="L11745">
        <v>782</v>
      </c>
      <c r="M11745">
        <v>1</v>
      </c>
      <c r="N11745">
        <v>0</v>
      </c>
      <c r="O11745">
        <v>1710</v>
      </c>
    </row>
    <row r="11746" spans="1:15" x14ac:dyDescent="0.25">
      <c r="A11746" t="s">
        <v>11759</v>
      </c>
      <c r="B11746">
        <v>318</v>
      </c>
      <c r="C11746" s="1" t="str">
        <f>HYPERLINK("http://www.rosaceae.org/gb/gbrowse/malus_x_domestica/?name=MDP0000662344","MDP0000662344")</f>
        <v>MDP0000662344</v>
      </c>
      <c r="D11746">
        <v>90.99</v>
      </c>
      <c r="E11746">
        <v>222</v>
      </c>
      <c r="F11746">
        <v>20</v>
      </c>
      <c r="G11746">
        <v>6</v>
      </c>
      <c r="H11746">
        <v>27</v>
      </c>
      <c r="I11746">
        <v>242</v>
      </c>
      <c r="J11746">
        <v>1</v>
      </c>
      <c r="K11746">
        <v>109</v>
      </c>
      <c r="L11746">
        <v>330</v>
      </c>
      <c r="M11746">
        <v>1</v>
      </c>
      <c r="N11746">
        <v>1.88226E-122</v>
      </c>
      <c r="O11746">
        <v>1120</v>
      </c>
    </row>
    <row r="11747" spans="1:15" x14ac:dyDescent="0.25">
      <c r="A11747" t="s">
        <v>11760</v>
      </c>
      <c r="B11747">
        <v>103</v>
      </c>
      <c r="C11747" s="1" t="str">
        <f>HYPERLINK("http://www.rosaceae.org/gb/gbrowse/malus_x_domestica/?name=MDP0000205665","MDP0000205665")</f>
        <v>MDP0000205665</v>
      </c>
      <c r="D11747">
        <v>78.180000000000007</v>
      </c>
      <c r="E11747">
        <v>55</v>
      </c>
      <c r="F11747">
        <v>12</v>
      </c>
      <c r="G11747">
        <v>0</v>
      </c>
      <c r="H11747">
        <v>15</v>
      </c>
      <c r="I11747">
        <v>69</v>
      </c>
      <c r="J11747">
        <v>1</v>
      </c>
      <c r="K11747">
        <v>228</v>
      </c>
      <c r="L11747">
        <v>282</v>
      </c>
      <c r="M11747">
        <v>1</v>
      </c>
      <c r="N11747">
        <v>5.0616600000000001E-18</v>
      </c>
      <c r="O11747">
        <v>213</v>
      </c>
    </row>
    <row r="11748" spans="1:15" x14ac:dyDescent="0.25">
      <c r="A11748" t="s">
        <v>11761</v>
      </c>
      <c r="B11748">
        <v>489</v>
      </c>
      <c r="C11748" s="1" t="str">
        <f>HYPERLINK("http://www.rosaceae.org/gb/gbrowse/malus_x_domestica/?name=MDP0000086480","MDP0000086480")</f>
        <v>MDP0000086480</v>
      </c>
      <c r="D11748">
        <v>89.93</v>
      </c>
      <c r="E11748">
        <v>487</v>
      </c>
      <c r="F11748">
        <v>49</v>
      </c>
      <c r="G11748">
        <v>1</v>
      </c>
      <c r="H11748">
        <v>1</v>
      </c>
      <c r="I11748">
        <v>486</v>
      </c>
      <c r="J11748">
        <v>1</v>
      </c>
      <c r="K11748">
        <v>1</v>
      </c>
      <c r="L11748">
        <v>487</v>
      </c>
      <c r="M11748">
        <v>1</v>
      </c>
      <c r="N11748">
        <v>0</v>
      </c>
      <c r="O11748">
        <v>2354</v>
      </c>
    </row>
    <row r="11749" spans="1:15" x14ac:dyDescent="0.25">
      <c r="A11749" t="s">
        <v>11762</v>
      </c>
      <c r="B11749">
        <v>682</v>
      </c>
      <c r="C11749" s="1" t="str">
        <f>HYPERLINK("http://www.rosaceae.org/gb/gbrowse/malus_x_domestica/?name=MDP0000137621","MDP0000137621")</f>
        <v>MDP0000137621</v>
      </c>
      <c r="D11749">
        <v>73.56</v>
      </c>
      <c r="E11749">
        <v>314</v>
      </c>
      <c r="F11749">
        <v>83</v>
      </c>
      <c r="G11749">
        <v>0</v>
      </c>
      <c r="H11749">
        <v>348</v>
      </c>
      <c r="I11749">
        <v>661</v>
      </c>
      <c r="J11749">
        <v>1</v>
      </c>
      <c r="K11749">
        <v>388</v>
      </c>
      <c r="L11749">
        <v>701</v>
      </c>
      <c r="M11749">
        <v>1</v>
      </c>
      <c r="N11749">
        <v>3.62651E-137</v>
      </c>
      <c r="O11749">
        <v>1251</v>
      </c>
    </row>
    <row r="11750" spans="1:15" x14ac:dyDescent="0.25">
      <c r="A11750" t="s">
        <v>11763</v>
      </c>
      <c r="B11750">
        <v>447</v>
      </c>
      <c r="C11750" s="1" t="str">
        <f>HYPERLINK("http://www.rosaceae.org/gb/gbrowse/malus_x_domestica/?name=MDP0000288817","MDP0000288817")</f>
        <v>MDP0000288817</v>
      </c>
      <c r="D11750">
        <v>52.15</v>
      </c>
      <c r="E11750">
        <v>418</v>
      </c>
      <c r="F11750">
        <v>200</v>
      </c>
      <c r="G11750">
        <v>19</v>
      </c>
      <c r="H11750">
        <v>38</v>
      </c>
      <c r="I11750">
        <v>444</v>
      </c>
      <c r="J11750">
        <v>1</v>
      </c>
      <c r="K11750">
        <v>673</v>
      </c>
      <c r="L11750">
        <v>1082</v>
      </c>
      <c r="M11750">
        <v>1</v>
      </c>
      <c r="N11750">
        <v>5.0919999999999997E-118</v>
      </c>
      <c r="O11750">
        <v>1084</v>
      </c>
    </row>
    <row r="11751" spans="1:15" x14ac:dyDescent="0.25">
      <c r="A11751" t="s">
        <v>11764</v>
      </c>
      <c r="B11751">
        <v>635</v>
      </c>
      <c r="C11751" s="1" t="str">
        <f>HYPERLINK("http://www.rosaceae.org/gb/gbrowse/malus_x_domestica/?name=MDP0000240977","MDP0000240977")</f>
        <v>MDP0000240977</v>
      </c>
      <c r="D11751">
        <v>68.209999999999994</v>
      </c>
      <c r="E11751">
        <v>151</v>
      </c>
      <c r="F11751">
        <v>48</v>
      </c>
      <c r="G11751">
        <v>1</v>
      </c>
      <c r="H11751">
        <v>137</v>
      </c>
      <c r="I11751">
        <v>287</v>
      </c>
      <c r="J11751">
        <v>1</v>
      </c>
      <c r="K11751">
        <v>201</v>
      </c>
      <c r="L11751">
        <v>350</v>
      </c>
      <c r="M11751">
        <v>1</v>
      </c>
      <c r="N11751">
        <v>1.49093E-58</v>
      </c>
      <c r="O11751">
        <v>572</v>
      </c>
    </row>
    <row r="11752" spans="1:15" x14ac:dyDescent="0.25">
      <c r="A11752" t="s">
        <v>11765</v>
      </c>
      <c r="B11752">
        <v>281</v>
      </c>
      <c r="C11752" s="1" t="str">
        <f>HYPERLINK("http://www.rosaceae.org/gb/gbrowse/malus_x_domestica/?name=MDP0000299182","MDP0000299182")</f>
        <v>MDP0000299182</v>
      </c>
      <c r="D11752">
        <v>69.37</v>
      </c>
      <c r="E11752">
        <v>320</v>
      </c>
      <c r="F11752">
        <v>98</v>
      </c>
      <c r="G11752">
        <v>46</v>
      </c>
      <c r="H11752">
        <v>1</v>
      </c>
      <c r="I11752">
        <v>279</v>
      </c>
      <c r="J11752">
        <v>1</v>
      </c>
      <c r="K11752">
        <v>1</v>
      </c>
      <c r="L11752">
        <v>315</v>
      </c>
      <c r="M11752">
        <v>1</v>
      </c>
      <c r="N11752">
        <v>8.1458999999999998E-119</v>
      </c>
      <c r="O11752">
        <v>1088</v>
      </c>
    </row>
    <row r="11753" spans="1:15" x14ac:dyDescent="0.25">
      <c r="A11753" t="s">
        <v>11766</v>
      </c>
      <c r="B11753">
        <v>723</v>
      </c>
      <c r="C11753" s="1" t="str">
        <f>HYPERLINK("http://www.rosaceae.org/gb/gbrowse/malus_x_domestica/?name=MDP0000656610","MDP0000656610")</f>
        <v>MDP0000656610</v>
      </c>
      <c r="D11753">
        <v>40</v>
      </c>
      <c r="E11753">
        <v>240</v>
      </c>
      <c r="F11753">
        <v>144</v>
      </c>
      <c r="G11753">
        <v>5</v>
      </c>
      <c r="H11753">
        <v>186</v>
      </c>
      <c r="I11753">
        <v>424</v>
      </c>
      <c r="J11753">
        <v>1</v>
      </c>
      <c r="K11753">
        <v>188</v>
      </c>
      <c r="L11753">
        <v>423</v>
      </c>
      <c r="M11753">
        <v>1</v>
      </c>
      <c r="N11753">
        <v>2.5879500000000001E-53</v>
      </c>
      <c r="O11753">
        <v>528</v>
      </c>
    </row>
    <row r="11754" spans="1:15" x14ac:dyDescent="0.25">
      <c r="A11754" t="s">
        <v>11767</v>
      </c>
      <c r="B11754">
        <v>835</v>
      </c>
      <c r="C11754" s="1" t="str">
        <f>HYPERLINK("http://www.rosaceae.org/gb/gbrowse/malus_x_domestica/?name=MDP0000203616","MDP0000203616")</f>
        <v>MDP0000203616</v>
      </c>
      <c r="D11754">
        <v>79.319999999999993</v>
      </c>
      <c r="E11754">
        <v>653</v>
      </c>
      <c r="F11754">
        <v>135</v>
      </c>
      <c r="G11754">
        <v>0</v>
      </c>
      <c r="H11754">
        <v>183</v>
      </c>
      <c r="I11754">
        <v>835</v>
      </c>
      <c r="J11754">
        <v>1</v>
      </c>
      <c r="K11754">
        <v>45</v>
      </c>
      <c r="L11754">
        <v>697</v>
      </c>
      <c r="M11754">
        <v>1</v>
      </c>
      <c r="N11754">
        <v>0</v>
      </c>
      <c r="O11754">
        <v>2857</v>
      </c>
    </row>
    <row r="11755" spans="1:15" x14ac:dyDescent="0.25">
      <c r="A11755" t="s">
        <v>11768</v>
      </c>
      <c r="B11755">
        <v>289</v>
      </c>
      <c r="C11755" s="1" t="str">
        <f>HYPERLINK("http://www.rosaceae.org/gb/gbrowse/malus_x_domestica/?name=MDP0000303483","MDP0000303483")</f>
        <v>MDP0000303483</v>
      </c>
      <c r="D11755">
        <v>73.510000000000005</v>
      </c>
      <c r="E11755">
        <v>253</v>
      </c>
      <c r="F11755">
        <v>67</v>
      </c>
      <c r="G11755">
        <v>17</v>
      </c>
      <c r="H11755">
        <v>7</v>
      </c>
      <c r="I11755">
        <v>246</v>
      </c>
      <c r="J11755">
        <v>1</v>
      </c>
      <c r="K11755">
        <v>16</v>
      </c>
      <c r="L11755">
        <v>264</v>
      </c>
      <c r="M11755">
        <v>1</v>
      </c>
      <c r="N11755">
        <v>2.0041599999999998E-99</v>
      </c>
      <c r="O11755">
        <v>921</v>
      </c>
    </row>
    <row r="11756" spans="1:15" x14ac:dyDescent="0.25">
      <c r="A11756" t="s">
        <v>11769</v>
      </c>
      <c r="B11756">
        <v>660</v>
      </c>
      <c r="C11756" s="1" t="str">
        <f>HYPERLINK("http://www.rosaceae.org/gb/gbrowse/malus_x_domestica/?name=MDP0000488071","MDP0000488071")</f>
        <v>MDP0000488071</v>
      </c>
      <c r="D11756">
        <v>62.65</v>
      </c>
      <c r="E11756">
        <v>632</v>
      </c>
      <c r="F11756">
        <v>236</v>
      </c>
      <c r="G11756">
        <v>10</v>
      </c>
      <c r="H11756">
        <v>36</v>
      </c>
      <c r="I11756">
        <v>660</v>
      </c>
      <c r="J11756">
        <v>1</v>
      </c>
      <c r="K11756">
        <v>34</v>
      </c>
      <c r="L11756">
        <v>662</v>
      </c>
      <c r="M11756">
        <v>1</v>
      </c>
      <c r="N11756">
        <v>0</v>
      </c>
      <c r="O11756">
        <v>2057</v>
      </c>
    </row>
    <row r="11757" spans="1:15" x14ac:dyDescent="0.25">
      <c r="A11757" t="s">
        <v>11770</v>
      </c>
      <c r="B11757">
        <v>755</v>
      </c>
      <c r="C11757" s="1" t="str">
        <f>HYPERLINK("http://www.rosaceae.org/gb/gbrowse/malus_x_domestica/?name=MDP0000199621","MDP0000199621")</f>
        <v>MDP0000199621</v>
      </c>
      <c r="D11757">
        <v>78.33</v>
      </c>
      <c r="E11757">
        <v>674</v>
      </c>
      <c r="F11757">
        <v>146</v>
      </c>
      <c r="G11757">
        <v>9</v>
      </c>
      <c r="H11757">
        <v>85</v>
      </c>
      <c r="I11757">
        <v>755</v>
      </c>
      <c r="J11757">
        <v>1</v>
      </c>
      <c r="K11757">
        <v>19</v>
      </c>
      <c r="L11757">
        <v>686</v>
      </c>
      <c r="M11757">
        <v>1</v>
      </c>
      <c r="N11757">
        <v>0</v>
      </c>
      <c r="O11757">
        <v>2782</v>
      </c>
    </row>
    <row r="11758" spans="1:15" x14ac:dyDescent="0.25">
      <c r="A11758" t="s">
        <v>11771</v>
      </c>
      <c r="B11758">
        <v>338</v>
      </c>
      <c r="C11758" s="1" t="str">
        <f>HYPERLINK("http://www.rosaceae.org/gb/gbrowse/malus_x_domestica/?name=MDP0000211003","MDP0000211003")</f>
        <v>MDP0000211003</v>
      </c>
      <c r="D11758">
        <v>77.56</v>
      </c>
      <c r="E11758">
        <v>312</v>
      </c>
      <c r="F11758">
        <v>70</v>
      </c>
      <c r="G11758">
        <v>13</v>
      </c>
      <c r="H11758">
        <v>39</v>
      </c>
      <c r="I11758">
        <v>338</v>
      </c>
      <c r="J11758">
        <v>1</v>
      </c>
      <c r="K11758">
        <v>36</v>
      </c>
      <c r="L11758">
        <v>346</v>
      </c>
      <c r="M11758">
        <v>1</v>
      </c>
      <c r="N11758">
        <v>8.41114E-130</v>
      </c>
      <c r="O11758">
        <v>1184</v>
      </c>
    </row>
    <row r="11759" spans="1:15" x14ac:dyDescent="0.25">
      <c r="A11759" t="s">
        <v>11772</v>
      </c>
      <c r="B11759">
        <v>258</v>
      </c>
      <c r="C11759" s="1" t="str">
        <f>HYPERLINK("http://www.rosaceae.org/gb/gbrowse/malus_x_domestica/?name=MDP0000800894","MDP0000800894")</f>
        <v>MDP0000800894</v>
      </c>
      <c r="D11759">
        <v>88.03</v>
      </c>
      <c r="E11759">
        <v>259</v>
      </c>
      <c r="F11759">
        <v>31</v>
      </c>
      <c r="G11759">
        <v>1</v>
      </c>
      <c r="H11759">
        <v>1</v>
      </c>
      <c r="I11759">
        <v>258</v>
      </c>
      <c r="J11759">
        <v>1</v>
      </c>
      <c r="K11759">
        <v>1</v>
      </c>
      <c r="L11759">
        <v>259</v>
      </c>
      <c r="M11759">
        <v>1</v>
      </c>
      <c r="N11759">
        <v>3.7892600000000001E-132</v>
      </c>
      <c r="O11759">
        <v>1203</v>
      </c>
    </row>
    <row r="11760" spans="1:15" x14ac:dyDescent="0.25">
      <c r="A11760" t="s">
        <v>11773</v>
      </c>
      <c r="B11760">
        <v>1208</v>
      </c>
      <c r="C11760" s="1" t="str">
        <f>HYPERLINK("http://www.rosaceae.org/gb/gbrowse/malus_x_domestica/?name=MDP0000121822","MDP0000121822")</f>
        <v>MDP0000121822</v>
      </c>
      <c r="D11760">
        <v>81.22</v>
      </c>
      <c r="E11760">
        <v>836</v>
      </c>
      <c r="F11760">
        <v>157</v>
      </c>
      <c r="G11760">
        <v>38</v>
      </c>
      <c r="H11760">
        <v>329</v>
      </c>
      <c r="I11760">
        <v>1137</v>
      </c>
      <c r="J11760">
        <v>1</v>
      </c>
      <c r="K11760">
        <v>237</v>
      </c>
      <c r="L11760">
        <v>1061</v>
      </c>
      <c r="M11760">
        <v>1</v>
      </c>
      <c r="N11760">
        <v>0</v>
      </c>
      <c r="O11760">
        <v>3443</v>
      </c>
    </row>
    <row r="11761" spans="1:15" x14ac:dyDescent="0.25">
      <c r="A11761" t="s">
        <v>11774</v>
      </c>
      <c r="B11761">
        <v>1178</v>
      </c>
      <c r="C11761" s="1" t="str">
        <f>HYPERLINK("http://www.rosaceae.org/gb/gbrowse/malus_x_domestica/?name=MDP0000119965","MDP0000119965")</f>
        <v>MDP0000119965</v>
      </c>
      <c r="D11761">
        <v>56</v>
      </c>
      <c r="E11761">
        <v>900</v>
      </c>
      <c r="F11761">
        <v>396</v>
      </c>
      <c r="G11761">
        <v>67</v>
      </c>
      <c r="H11761">
        <v>309</v>
      </c>
      <c r="I11761">
        <v>1177</v>
      </c>
      <c r="J11761">
        <v>1</v>
      </c>
      <c r="K11761">
        <v>1</v>
      </c>
      <c r="L11761">
        <v>864</v>
      </c>
      <c r="M11761">
        <v>1</v>
      </c>
      <c r="N11761">
        <v>0</v>
      </c>
      <c r="O11761">
        <v>2288</v>
      </c>
    </row>
    <row r="11762" spans="1:15" x14ac:dyDescent="0.25">
      <c r="A11762" t="s">
        <v>11775</v>
      </c>
      <c r="B11762">
        <v>295</v>
      </c>
      <c r="C11762" s="1" t="str">
        <f>HYPERLINK("http://www.rosaceae.org/gb/gbrowse/malus_x_domestica/?name=MDP0000188813","MDP0000188813")</f>
        <v>MDP0000188813</v>
      </c>
      <c r="D11762">
        <v>58.47</v>
      </c>
      <c r="E11762">
        <v>236</v>
      </c>
      <c r="F11762">
        <v>98</v>
      </c>
      <c r="G11762">
        <v>36</v>
      </c>
      <c r="H11762">
        <v>94</v>
      </c>
      <c r="I11762">
        <v>293</v>
      </c>
      <c r="J11762">
        <v>1</v>
      </c>
      <c r="K11762">
        <v>1</v>
      </c>
      <c r="L11762">
        <v>236</v>
      </c>
      <c r="M11762">
        <v>1</v>
      </c>
      <c r="N11762">
        <v>1.3065700000000001E-70</v>
      </c>
      <c r="O11762">
        <v>673</v>
      </c>
    </row>
    <row r="11763" spans="1:15" x14ac:dyDescent="0.25">
      <c r="A11763" t="s">
        <v>11776</v>
      </c>
      <c r="B11763">
        <v>846</v>
      </c>
      <c r="C11763" s="1" t="str">
        <f>HYPERLINK("http://www.rosaceae.org/gb/gbrowse/malus_x_domestica/?name=MDP0000241384","MDP0000241384")</f>
        <v>MDP0000241384</v>
      </c>
      <c r="D11763">
        <v>49.76</v>
      </c>
      <c r="E11763">
        <v>834</v>
      </c>
      <c r="F11763">
        <v>419</v>
      </c>
      <c r="G11763">
        <v>139</v>
      </c>
      <c r="H11763">
        <v>1</v>
      </c>
      <c r="I11763">
        <v>773</v>
      </c>
      <c r="J11763">
        <v>1</v>
      </c>
      <c r="K11763">
        <v>1</v>
      </c>
      <c r="L11763">
        <v>756</v>
      </c>
      <c r="M11763">
        <v>1</v>
      </c>
      <c r="N11763">
        <v>0</v>
      </c>
      <c r="O11763">
        <v>1836</v>
      </c>
    </row>
    <row r="11764" spans="1:15" x14ac:dyDescent="0.25">
      <c r="A11764" t="s">
        <v>11777</v>
      </c>
      <c r="B11764">
        <v>212</v>
      </c>
      <c r="C11764" s="1" t="str">
        <f>HYPERLINK("http://www.rosaceae.org/gb/gbrowse/malus_x_domestica/?name=MDP0000312830","MDP0000312830")</f>
        <v>MDP0000312830</v>
      </c>
      <c r="D11764">
        <v>42.17</v>
      </c>
      <c r="E11764">
        <v>230</v>
      </c>
      <c r="F11764">
        <v>133</v>
      </c>
      <c r="G11764">
        <v>38</v>
      </c>
      <c r="H11764">
        <v>4</v>
      </c>
      <c r="I11764">
        <v>203</v>
      </c>
      <c r="J11764">
        <v>1</v>
      </c>
      <c r="K11764">
        <v>120</v>
      </c>
      <c r="L11764">
        <v>341</v>
      </c>
      <c r="M11764">
        <v>1</v>
      </c>
      <c r="N11764">
        <v>7.4985199999999995E-36</v>
      </c>
      <c r="O11764">
        <v>371</v>
      </c>
    </row>
    <row r="11765" spans="1:15" x14ac:dyDescent="0.25">
      <c r="A11765" t="s">
        <v>11778</v>
      </c>
      <c r="B11765">
        <v>419</v>
      </c>
      <c r="C11765" s="1" t="str">
        <f>HYPERLINK("http://www.rosaceae.org/gb/gbrowse/malus_x_domestica/?name=MDP0000247605","MDP0000247605")</f>
        <v>MDP0000247605</v>
      </c>
      <c r="D11765">
        <v>57.39</v>
      </c>
      <c r="E11765">
        <v>345</v>
      </c>
      <c r="F11765">
        <v>147</v>
      </c>
      <c r="G11765">
        <v>8</v>
      </c>
      <c r="H11765">
        <v>76</v>
      </c>
      <c r="I11765">
        <v>419</v>
      </c>
      <c r="J11765">
        <v>1</v>
      </c>
      <c r="K11765">
        <v>1</v>
      </c>
      <c r="L11765">
        <v>338</v>
      </c>
      <c r="M11765">
        <v>1</v>
      </c>
      <c r="N11765">
        <v>1.94755E-110</v>
      </c>
      <c r="O11765">
        <v>1018</v>
      </c>
    </row>
    <row r="11766" spans="1:15" x14ac:dyDescent="0.25">
      <c r="A11766" t="s">
        <v>11779</v>
      </c>
      <c r="B11766">
        <v>837</v>
      </c>
      <c r="C11766" s="1" t="str">
        <f>HYPERLINK("http://www.rosaceae.org/gb/gbrowse/malus_x_domestica/?name=MDP0000294124","MDP0000294124")</f>
        <v>MDP0000294124</v>
      </c>
      <c r="D11766">
        <v>79.099999999999994</v>
      </c>
      <c r="E11766">
        <v>694</v>
      </c>
      <c r="F11766">
        <v>145</v>
      </c>
      <c r="G11766">
        <v>26</v>
      </c>
      <c r="H11766">
        <v>149</v>
      </c>
      <c r="I11766">
        <v>837</v>
      </c>
      <c r="J11766">
        <v>1</v>
      </c>
      <c r="K11766">
        <v>80</v>
      </c>
      <c r="L11766">
        <v>752</v>
      </c>
      <c r="M11766">
        <v>1</v>
      </c>
      <c r="N11766">
        <v>0</v>
      </c>
      <c r="O11766">
        <v>2827</v>
      </c>
    </row>
    <row r="11767" spans="1:15" x14ac:dyDescent="0.25">
      <c r="A11767" t="s">
        <v>11780</v>
      </c>
      <c r="B11767">
        <v>586</v>
      </c>
      <c r="C11767" s="1" t="str">
        <f>HYPERLINK("http://www.rosaceae.org/gb/gbrowse/malus_x_domestica/?name=MDP0000154359","MDP0000154359")</f>
        <v>MDP0000154359</v>
      </c>
      <c r="D11767">
        <v>56.31</v>
      </c>
      <c r="E11767">
        <v>586</v>
      </c>
      <c r="F11767">
        <v>256</v>
      </c>
      <c r="G11767">
        <v>38</v>
      </c>
      <c r="H11767">
        <v>2</v>
      </c>
      <c r="I11767">
        <v>553</v>
      </c>
      <c r="J11767">
        <v>1</v>
      </c>
      <c r="K11767">
        <v>262</v>
      </c>
      <c r="L11767">
        <v>843</v>
      </c>
      <c r="M11767">
        <v>1</v>
      </c>
      <c r="N11767">
        <v>3.3138500000000002E-180</v>
      </c>
      <c r="O11767">
        <v>1621</v>
      </c>
    </row>
    <row r="11768" spans="1:15" x14ac:dyDescent="0.25">
      <c r="A11768" t="s">
        <v>11781</v>
      </c>
      <c r="B11768">
        <v>147</v>
      </c>
      <c r="C11768" s="1" t="str">
        <f>HYPERLINK("http://www.rosaceae.org/gb/gbrowse/malus_x_domestica/?name=MDP0000343602","MDP0000343602")</f>
        <v>MDP0000343602</v>
      </c>
      <c r="D11768">
        <v>52.85</v>
      </c>
      <c r="E11768">
        <v>140</v>
      </c>
      <c r="F11768">
        <v>66</v>
      </c>
      <c r="G11768">
        <v>33</v>
      </c>
      <c r="H11768">
        <v>1</v>
      </c>
      <c r="I11768">
        <v>133</v>
      </c>
      <c r="J11768">
        <v>1</v>
      </c>
      <c r="K11768">
        <v>32</v>
      </c>
      <c r="L11768">
        <v>145</v>
      </c>
      <c r="M11768">
        <v>1</v>
      </c>
      <c r="N11768">
        <v>4.1701300000000002E-29</v>
      </c>
      <c r="O11768">
        <v>310</v>
      </c>
    </row>
    <row r="11769" spans="1:15" x14ac:dyDescent="0.25">
      <c r="A11769" t="s">
        <v>11782</v>
      </c>
      <c r="B11769">
        <v>300</v>
      </c>
      <c r="C11769" s="1" t="str">
        <f>HYPERLINK("http://www.rosaceae.org/gb/gbrowse/malus_x_domestica/?name=MDP0000197707","MDP0000197707")</f>
        <v>MDP0000197707</v>
      </c>
      <c r="D11769">
        <v>69.760000000000005</v>
      </c>
      <c r="E11769">
        <v>86</v>
      </c>
      <c r="F11769">
        <v>26</v>
      </c>
      <c r="G11769">
        <v>4</v>
      </c>
      <c r="H11769">
        <v>133</v>
      </c>
      <c r="I11769">
        <v>215</v>
      </c>
      <c r="J11769">
        <v>1</v>
      </c>
      <c r="K11769">
        <v>498</v>
      </c>
      <c r="L11769">
        <v>582</v>
      </c>
      <c r="M11769">
        <v>1</v>
      </c>
      <c r="N11769">
        <v>1.7004E-27</v>
      </c>
      <c r="O11769">
        <v>301</v>
      </c>
    </row>
    <row r="11770" spans="1:15" x14ac:dyDescent="0.25">
      <c r="A11770" t="s">
        <v>11783</v>
      </c>
      <c r="B11770">
        <v>337</v>
      </c>
      <c r="C11770" s="1" t="str">
        <f>HYPERLINK("http://www.rosaceae.org/gb/gbrowse/malus_x_domestica/?name=MDP0000269979","MDP0000269979")</f>
        <v>MDP0000269979</v>
      </c>
      <c r="D11770">
        <v>72.12</v>
      </c>
      <c r="E11770">
        <v>348</v>
      </c>
      <c r="F11770">
        <v>97</v>
      </c>
      <c r="G11770">
        <v>14</v>
      </c>
      <c r="H11770">
        <v>1</v>
      </c>
      <c r="I11770">
        <v>337</v>
      </c>
      <c r="J11770">
        <v>1</v>
      </c>
      <c r="K11770">
        <v>2</v>
      </c>
      <c r="L11770">
        <v>346</v>
      </c>
      <c r="M11770">
        <v>1</v>
      </c>
      <c r="N11770">
        <v>7.3094300000000002E-139</v>
      </c>
      <c r="O11770">
        <v>1262</v>
      </c>
    </row>
    <row r="11771" spans="1:15" x14ac:dyDescent="0.25">
      <c r="A11771" t="s">
        <v>11784</v>
      </c>
      <c r="B11771">
        <v>425</v>
      </c>
      <c r="C11771" s="1" t="str">
        <f>HYPERLINK("http://www.rosaceae.org/gb/gbrowse/malus_x_domestica/?name=MDP0000235080","MDP0000235080")</f>
        <v>MDP0000235080</v>
      </c>
      <c r="D11771">
        <v>81.92</v>
      </c>
      <c r="E11771">
        <v>354</v>
      </c>
      <c r="F11771">
        <v>64</v>
      </c>
      <c r="G11771">
        <v>7</v>
      </c>
      <c r="H11771">
        <v>79</v>
      </c>
      <c r="I11771">
        <v>425</v>
      </c>
      <c r="J11771">
        <v>1</v>
      </c>
      <c r="K11771">
        <v>22</v>
      </c>
      <c r="L11771">
        <v>375</v>
      </c>
      <c r="M11771">
        <v>1</v>
      </c>
      <c r="N11771">
        <v>5.4956E-166</v>
      </c>
      <c r="O11771">
        <v>1497</v>
      </c>
    </row>
    <row r="11772" spans="1:15" x14ac:dyDescent="0.25">
      <c r="A11772" t="s">
        <v>11785</v>
      </c>
      <c r="B11772">
        <v>1507</v>
      </c>
      <c r="C11772" s="1" t="str">
        <f>HYPERLINK("http://www.rosaceae.org/gb/gbrowse/malus_x_domestica/?name=MDP0000166310","MDP0000166310")</f>
        <v>MDP0000166310</v>
      </c>
      <c r="D11772">
        <v>72.25</v>
      </c>
      <c r="E11772">
        <v>746</v>
      </c>
      <c r="F11772">
        <v>207</v>
      </c>
      <c r="G11772">
        <v>59</v>
      </c>
      <c r="H11772">
        <v>458</v>
      </c>
      <c r="I11772">
        <v>1182</v>
      </c>
      <c r="J11772">
        <v>1</v>
      </c>
      <c r="K11772">
        <v>7</v>
      </c>
      <c r="L11772">
        <v>714</v>
      </c>
      <c r="M11772">
        <v>1</v>
      </c>
      <c r="N11772">
        <v>0</v>
      </c>
      <c r="O11772">
        <v>2620</v>
      </c>
    </row>
    <row r="11773" spans="1:15" x14ac:dyDescent="0.25">
      <c r="A11773" t="s">
        <v>11786</v>
      </c>
      <c r="B11773">
        <v>994</v>
      </c>
      <c r="C11773" s="1" t="str">
        <f>HYPERLINK("http://www.rosaceae.org/gb/gbrowse/malus_x_domestica/?name=MDP0000185801","MDP0000185801")</f>
        <v>MDP0000185801</v>
      </c>
      <c r="D11773">
        <v>76.72</v>
      </c>
      <c r="E11773">
        <v>305</v>
      </c>
      <c r="F11773">
        <v>71</v>
      </c>
      <c r="G11773">
        <v>13</v>
      </c>
      <c r="H11773">
        <v>642</v>
      </c>
      <c r="I11773">
        <v>946</v>
      </c>
      <c r="J11773">
        <v>1</v>
      </c>
      <c r="K11773">
        <v>84</v>
      </c>
      <c r="L11773">
        <v>375</v>
      </c>
      <c r="M11773">
        <v>1</v>
      </c>
      <c r="N11773">
        <v>7.0374100000000001E-135</v>
      </c>
      <c r="O11773">
        <v>1233</v>
      </c>
    </row>
    <row r="11774" spans="1:15" x14ac:dyDescent="0.25">
      <c r="A11774" t="s">
        <v>11787</v>
      </c>
      <c r="B11774">
        <v>429</v>
      </c>
      <c r="C11774" s="1" t="str">
        <f>HYPERLINK("http://www.rosaceae.org/gb/gbrowse/malus_x_domestica/?name=MDP0000217842","MDP0000217842")</f>
        <v>MDP0000217842</v>
      </c>
      <c r="D11774">
        <v>62.36</v>
      </c>
      <c r="E11774">
        <v>449</v>
      </c>
      <c r="F11774">
        <v>169</v>
      </c>
      <c r="G11774">
        <v>33</v>
      </c>
      <c r="H11774">
        <v>4</v>
      </c>
      <c r="I11774">
        <v>420</v>
      </c>
      <c r="J11774">
        <v>1</v>
      </c>
      <c r="K11774">
        <v>4</v>
      </c>
      <c r="L11774">
        <v>451</v>
      </c>
      <c r="M11774">
        <v>1</v>
      </c>
      <c r="N11774">
        <v>2.4473800000000001E-150</v>
      </c>
      <c r="O11774">
        <v>1362</v>
      </c>
    </row>
    <row r="11775" spans="1:15" x14ac:dyDescent="0.25">
      <c r="A11775" t="s">
        <v>11788</v>
      </c>
      <c r="B11775">
        <v>260</v>
      </c>
      <c r="C11775" s="1" t="str">
        <f>HYPERLINK("http://www.rosaceae.org/gb/gbrowse/malus_x_domestica/?name=MDP0000137688","MDP0000137688")</f>
        <v>MDP0000137688</v>
      </c>
      <c r="D11775">
        <v>95.6</v>
      </c>
      <c r="E11775">
        <v>250</v>
      </c>
      <c r="F11775">
        <v>11</v>
      </c>
      <c r="G11775">
        <v>2</v>
      </c>
      <c r="H11775">
        <v>1</v>
      </c>
      <c r="I11775">
        <v>248</v>
      </c>
      <c r="J11775">
        <v>1</v>
      </c>
      <c r="K11775">
        <v>1</v>
      </c>
      <c r="L11775">
        <v>250</v>
      </c>
      <c r="M11775">
        <v>1</v>
      </c>
      <c r="N11775">
        <v>1.18131E-138</v>
      </c>
      <c r="O11775">
        <v>1259</v>
      </c>
    </row>
    <row r="11776" spans="1:15" x14ac:dyDescent="0.25">
      <c r="A11776" t="s">
        <v>11789</v>
      </c>
      <c r="B11776">
        <v>170</v>
      </c>
      <c r="C11776" s="1" t="str">
        <f>HYPERLINK("http://www.rosaceae.org/gb/gbrowse/malus_x_domestica/?name=MDP0000864163","MDP0000864163")</f>
        <v>MDP0000864163</v>
      </c>
      <c r="D11776">
        <v>56.6</v>
      </c>
      <c r="E11776">
        <v>159</v>
      </c>
      <c r="F11776">
        <v>69</v>
      </c>
      <c r="G11776">
        <v>3</v>
      </c>
      <c r="H11776">
        <v>12</v>
      </c>
      <c r="I11776">
        <v>170</v>
      </c>
      <c r="J11776">
        <v>1</v>
      </c>
      <c r="K11776">
        <v>8</v>
      </c>
      <c r="L11776">
        <v>163</v>
      </c>
      <c r="M11776">
        <v>1</v>
      </c>
      <c r="N11776">
        <v>1.10307E-44</v>
      </c>
      <c r="O11776">
        <v>446</v>
      </c>
    </row>
    <row r="11777" spans="1:15" x14ac:dyDescent="0.25">
      <c r="A11777" t="s">
        <v>11790</v>
      </c>
      <c r="B11777">
        <v>574</v>
      </c>
      <c r="C11777" s="1" t="str">
        <f>HYPERLINK("http://www.rosaceae.org/gb/gbrowse/malus_x_domestica/?name=MDP0000179353","MDP0000179353")</f>
        <v>MDP0000179353</v>
      </c>
      <c r="D11777">
        <v>63.48</v>
      </c>
      <c r="E11777">
        <v>586</v>
      </c>
      <c r="F11777">
        <v>214</v>
      </c>
      <c r="G11777">
        <v>20</v>
      </c>
      <c r="H11777">
        <v>1</v>
      </c>
      <c r="I11777">
        <v>573</v>
      </c>
      <c r="J11777">
        <v>1</v>
      </c>
      <c r="K11777">
        <v>98</v>
      </c>
      <c r="L11777">
        <v>676</v>
      </c>
      <c r="M11777">
        <v>1</v>
      </c>
      <c r="N11777">
        <v>0</v>
      </c>
      <c r="O11777">
        <v>1877</v>
      </c>
    </row>
    <row r="11778" spans="1:15" x14ac:dyDescent="0.25">
      <c r="A11778" t="s">
        <v>11791</v>
      </c>
      <c r="B11778">
        <v>430</v>
      </c>
      <c r="C11778" s="1" t="str">
        <f>HYPERLINK("http://www.rosaceae.org/gb/gbrowse/malus_x_domestica/?name=MDP0000135668","MDP0000135668")</f>
        <v>MDP0000135668</v>
      </c>
      <c r="D11778">
        <v>63.93</v>
      </c>
      <c r="E11778">
        <v>122</v>
      </c>
      <c r="F11778">
        <v>44</v>
      </c>
      <c r="G11778">
        <v>4</v>
      </c>
      <c r="H11778">
        <v>190</v>
      </c>
      <c r="I11778">
        <v>310</v>
      </c>
      <c r="J11778">
        <v>1</v>
      </c>
      <c r="K11778">
        <v>206</v>
      </c>
      <c r="L11778">
        <v>324</v>
      </c>
      <c r="M11778">
        <v>1</v>
      </c>
      <c r="N11778">
        <v>8.2880099999999997E-40</v>
      </c>
      <c r="O11778">
        <v>409</v>
      </c>
    </row>
    <row r="11779" spans="1:15" x14ac:dyDescent="0.25">
      <c r="A11779" t="s">
        <v>11792</v>
      </c>
      <c r="B11779">
        <v>405</v>
      </c>
      <c r="C11779" s="1" t="str">
        <f>HYPERLINK("http://www.rosaceae.org/gb/gbrowse/malus_x_domestica/?name=MDP0000161275","MDP0000161275")</f>
        <v>MDP0000161275</v>
      </c>
      <c r="D11779">
        <v>87.2</v>
      </c>
      <c r="E11779">
        <v>297</v>
      </c>
      <c r="F11779">
        <v>38</v>
      </c>
      <c r="G11779">
        <v>2</v>
      </c>
      <c r="H11779">
        <v>110</v>
      </c>
      <c r="I11779">
        <v>405</v>
      </c>
      <c r="J11779">
        <v>1</v>
      </c>
      <c r="K11779">
        <v>30</v>
      </c>
      <c r="L11779">
        <v>325</v>
      </c>
      <c r="M11779">
        <v>1</v>
      </c>
      <c r="N11779">
        <v>3.2432900000000001E-150</v>
      </c>
      <c r="O11779">
        <v>1361</v>
      </c>
    </row>
    <row r="11780" spans="1:15" x14ac:dyDescent="0.25">
      <c r="A11780" t="s">
        <v>11793</v>
      </c>
      <c r="B11780">
        <v>160</v>
      </c>
      <c r="C11780" s="1" t="str">
        <f>HYPERLINK("http://www.rosaceae.org/gb/gbrowse/malus_x_domestica/?name=MDP0000553601","MDP0000553601")</f>
        <v>MDP0000553601</v>
      </c>
      <c r="D11780">
        <v>31.63</v>
      </c>
      <c r="E11780">
        <v>98</v>
      </c>
      <c r="F11780">
        <v>67</v>
      </c>
      <c r="G11780">
        <v>0</v>
      </c>
      <c r="H11780">
        <v>50</v>
      </c>
      <c r="I11780">
        <v>147</v>
      </c>
      <c r="J11780">
        <v>1</v>
      </c>
      <c r="K11780">
        <v>1108</v>
      </c>
      <c r="L11780">
        <v>1205</v>
      </c>
      <c r="M11780">
        <v>1</v>
      </c>
      <c r="N11780">
        <v>2.88295E-8</v>
      </c>
      <c r="O11780">
        <v>131</v>
      </c>
    </row>
    <row r="11781" spans="1:15" x14ac:dyDescent="0.25">
      <c r="A11781" t="s">
        <v>11794</v>
      </c>
      <c r="B11781">
        <v>141</v>
      </c>
      <c r="C11781" s="1" t="str">
        <f>HYPERLINK("http://www.rosaceae.org/gb/gbrowse/malus_x_domestica/?name=MDP0000546021","MDP0000546021")</f>
        <v>MDP0000546021</v>
      </c>
      <c r="D11781">
        <v>85.1</v>
      </c>
      <c r="E11781">
        <v>141</v>
      </c>
      <c r="F11781">
        <v>21</v>
      </c>
      <c r="G11781">
        <v>0</v>
      </c>
      <c r="H11781">
        <v>1</v>
      </c>
      <c r="I11781">
        <v>141</v>
      </c>
      <c r="J11781">
        <v>1</v>
      </c>
      <c r="K11781">
        <v>103</v>
      </c>
      <c r="L11781">
        <v>243</v>
      </c>
      <c r="M11781">
        <v>1</v>
      </c>
      <c r="N11781">
        <v>1.8615699999999999E-64</v>
      </c>
      <c r="O11781">
        <v>615</v>
      </c>
    </row>
    <row r="11782" spans="1:15" x14ac:dyDescent="0.25">
      <c r="A11782" t="s">
        <v>11795</v>
      </c>
      <c r="B11782">
        <v>133</v>
      </c>
      <c r="C11782" s="1" t="str">
        <f>HYPERLINK("http://www.rosaceae.org/gb/gbrowse/malus_x_domestica/?name=MDP0000205928","MDP0000205928")</f>
        <v>MDP0000205928</v>
      </c>
      <c r="D11782">
        <v>70.87</v>
      </c>
      <c r="E11782">
        <v>103</v>
      </c>
      <c r="F11782">
        <v>30</v>
      </c>
      <c r="G11782">
        <v>17</v>
      </c>
      <c r="H11782">
        <v>32</v>
      </c>
      <c r="I11782">
        <v>133</v>
      </c>
      <c r="J11782">
        <v>1</v>
      </c>
      <c r="K11782">
        <v>10</v>
      </c>
      <c r="L11782">
        <v>96</v>
      </c>
      <c r="M11782">
        <v>1</v>
      </c>
      <c r="N11782">
        <v>5.9230099999999997E-30</v>
      </c>
      <c r="O11782">
        <v>317</v>
      </c>
    </row>
    <row r="11783" spans="1:15" x14ac:dyDescent="0.25">
      <c r="A11783" t="s">
        <v>11796</v>
      </c>
      <c r="B11783">
        <v>315</v>
      </c>
      <c r="C11783" s="1" t="str">
        <f>HYPERLINK("http://www.rosaceae.org/gb/gbrowse/malus_x_domestica/?name=MDP0000200059","MDP0000200059")</f>
        <v>MDP0000200059</v>
      </c>
      <c r="D11783">
        <v>48.25</v>
      </c>
      <c r="E11783">
        <v>172</v>
      </c>
      <c r="F11783">
        <v>89</v>
      </c>
      <c r="G11783">
        <v>29</v>
      </c>
      <c r="H11783">
        <v>1</v>
      </c>
      <c r="I11783">
        <v>151</v>
      </c>
      <c r="J11783">
        <v>1</v>
      </c>
      <c r="K11783">
        <v>1</v>
      </c>
      <c r="L11783">
        <v>164</v>
      </c>
      <c r="M11783">
        <v>1</v>
      </c>
      <c r="N11783">
        <v>2.8656000000000002E-34</v>
      </c>
      <c r="O11783">
        <v>360</v>
      </c>
    </row>
    <row r="11784" spans="1:15" x14ac:dyDescent="0.25">
      <c r="A11784" t="s">
        <v>11797</v>
      </c>
      <c r="B11784">
        <v>667</v>
      </c>
      <c r="C11784" s="1" t="str">
        <f>HYPERLINK("http://www.rosaceae.org/gb/gbrowse/malus_x_domestica/?name=MDP0000947283","MDP0000947283")</f>
        <v>MDP0000947283</v>
      </c>
      <c r="D11784">
        <v>75.260000000000005</v>
      </c>
      <c r="E11784">
        <v>93</v>
      </c>
      <c r="F11784">
        <v>23</v>
      </c>
      <c r="G11784">
        <v>8</v>
      </c>
      <c r="H11784">
        <v>64</v>
      </c>
      <c r="I11784">
        <v>148</v>
      </c>
      <c r="J11784">
        <v>1</v>
      </c>
      <c r="K11784">
        <v>2</v>
      </c>
      <c r="L11784">
        <v>94</v>
      </c>
      <c r="M11784">
        <v>1</v>
      </c>
      <c r="N11784">
        <v>6.4113E-37</v>
      </c>
      <c r="O11784">
        <v>386</v>
      </c>
    </row>
    <row r="11785" spans="1:15" x14ac:dyDescent="0.25">
      <c r="A11785" t="s">
        <v>11798</v>
      </c>
      <c r="B11785">
        <v>203</v>
      </c>
      <c r="C11785" s="1" t="str">
        <f>HYPERLINK("http://www.rosaceae.org/gb/gbrowse/malus_x_domestica/?name=MDP0000250685","MDP0000250685")</f>
        <v>MDP0000250685</v>
      </c>
      <c r="D11785">
        <v>66.19</v>
      </c>
      <c r="E11785">
        <v>71</v>
      </c>
      <c r="F11785">
        <v>24</v>
      </c>
      <c r="G11785">
        <v>0</v>
      </c>
      <c r="H11785">
        <v>10</v>
      </c>
      <c r="I11785">
        <v>80</v>
      </c>
      <c r="J11785">
        <v>1</v>
      </c>
      <c r="K11785">
        <v>3</v>
      </c>
      <c r="L11785">
        <v>73</v>
      </c>
      <c r="M11785">
        <v>1</v>
      </c>
      <c r="N11785">
        <v>1.5255699999999999E-21</v>
      </c>
      <c r="O11785">
        <v>247</v>
      </c>
    </row>
    <row r="11786" spans="1:15" x14ac:dyDescent="0.25">
      <c r="A11786" t="s">
        <v>11799</v>
      </c>
      <c r="B11786">
        <v>619</v>
      </c>
      <c r="C11786" s="1" t="str">
        <f>HYPERLINK("http://www.rosaceae.org/gb/gbrowse/malus_x_domestica/?name=MDP0000279779","MDP0000279779")</f>
        <v>MDP0000279779</v>
      </c>
      <c r="D11786">
        <v>66.34</v>
      </c>
      <c r="E11786">
        <v>511</v>
      </c>
      <c r="F11786">
        <v>172</v>
      </c>
      <c r="G11786">
        <v>15</v>
      </c>
      <c r="H11786">
        <v>111</v>
      </c>
      <c r="I11786">
        <v>619</v>
      </c>
      <c r="J11786">
        <v>1</v>
      </c>
      <c r="K11786">
        <v>160</v>
      </c>
      <c r="L11786">
        <v>657</v>
      </c>
      <c r="M11786">
        <v>1</v>
      </c>
      <c r="N11786">
        <v>0</v>
      </c>
      <c r="O11786">
        <v>1758</v>
      </c>
    </row>
    <row r="11787" spans="1:15" x14ac:dyDescent="0.25">
      <c r="A11787" t="s">
        <v>11800</v>
      </c>
      <c r="B11787">
        <v>570</v>
      </c>
      <c r="C11787" s="1" t="str">
        <f>HYPERLINK("http://www.rosaceae.org/gb/gbrowse/malus_x_domestica/?name=MDP0000132972","MDP0000132972")</f>
        <v>MDP0000132972</v>
      </c>
      <c r="D11787">
        <v>46.58</v>
      </c>
      <c r="E11787">
        <v>322</v>
      </c>
      <c r="F11787">
        <v>172</v>
      </c>
      <c r="G11787">
        <v>56</v>
      </c>
      <c r="H11787">
        <v>264</v>
      </c>
      <c r="I11787">
        <v>570</v>
      </c>
      <c r="J11787">
        <v>1</v>
      </c>
      <c r="K11787">
        <v>140</v>
      </c>
      <c r="L11787">
        <v>420</v>
      </c>
      <c r="M11787">
        <v>1</v>
      </c>
      <c r="N11787">
        <v>1.38524E-49</v>
      </c>
      <c r="O11787">
        <v>495</v>
      </c>
    </row>
    <row r="11788" spans="1:15" x14ac:dyDescent="0.25">
      <c r="A11788" t="s">
        <v>11801</v>
      </c>
      <c r="B11788">
        <v>195</v>
      </c>
      <c r="C11788" s="1" t="str">
        <f>HYPERLINK("http://www.rosaceae.org/gb/gbrowse/malus_x_domestica/?name=MDP0000289005","MDP0000289005")</f>
        <v>MDP0000289005</v>
      </c>
      <c r="D11788">
        <v>38.42</v>
      </c>
      <c r="E11788">
        <v>203</v>
      </c>
      <c r="F11788">
        <v>125</v>
      </c>
      <c r="G11788">
        <v>19</v>
      </c>
      <c r="H11788">
        <v>1</v>
      </c>
      <c r="I11788">
        <v>195</v>
      </c>
      <c r="J11788">
        <v>1</v>
      </c>
      <c r="K11788">
        <v>158</v>
      </c>
      <c r="L11788">
        <v>349</v>
      </c>
      <c r="M11788">
        <v>1</v>
      </c>
      <c r="N11788">
        <v>3.3227300000000003E-27</v>
      </c>
      <c r="O11788">
        <v>296</v>
      </c>
    </row>
    <row r="11789" spans="1:15" x14ac:dyDescent="0.25">
      <c r="A11789" t="s">
        <v>11802</v>
      </c>
      <c r="B11789">
        <v>281</v>
      </c>
      <c r="C11789" s="1" t="str">
        <f>HYPERLINK("http://www.rosaceae.org/gb/gbrowse/malus_x_domestica/?name=MDP0000184950","MDP0000184950")</f>
        <v>MDP0000184950</v>
      </c>
      <c r="D11789">
        <v>67.709999999999994</v>
      </c>
      <c r="E11789">
        <v>254</v>
      </c>
      <c r="F11789">
        <v>82</v>
      </c>
      <c r="G11789">
        <v>3</v>
      </c>
      <c r="H11789">
        <v>17</v>
      </c>
      <c r="I11789">
        <v>269</v>
      </c>
      <c r="J11789">
        <v>1</v>
      </c>
      <c r="K11789">
        <v>110</v>
      </c>
      <c r="L11789">
        <v>361</v>
      </c>
      <c r="M11789">
        <v>1</v>
      </c>
      <c r="N11789">
        <v>2.60924E-103</v>
      </c>
      <c r="O11789">
        <v>955</v>
      </c>
    </row>
    <row r="11790" spans="1:15" x14ac:dyDescent="0.25">
      <c r="A11790" t="s">
        <v>11803</v>
      </c>
      <c r="B11790">
        <v>591</v>
      </c>
      <c r="C11790" s="1" t="str">
        <f>HYPERLINK("http://www.rosaceae.org/gb/gbrowse/malus_x_domestica/?name=MDP0000179353","MDP0000179353")</f>
        <v>MDP0000179353</v>
      </c>
      <c r="D11790">
        <v>81.81</v>
      </c>
      <c r="E11790">
        <v>594</v>
      </c>
      <c r="F11790">
        <v>108</v>
      </c>
      <c r="G11790">
        <v>13</v>
      </c>
      <c r="H11790">
        <v>1</v>
      </c>
      <c r="I11790">
        <v>591</v>
      </c>
      <c r="J11790">
        <v>1</v>
      </c>
      <c r="K11790">
        <v>98</v>
      </c>
      <c r="L11790">
        <v>681</v>
      </c>
      <c r="M11790">
        <v>1</v>
      </c>
      <c r="N11790">
        <v>0</v>
      </c>
      <c r="O11790">
        <v>2536</v>
      </c>
    </row>
    <row r="11791" spans="1:15" x14ac:dyDescent="0.25">
      <c r="A11791" t="s">
        <v>11804</v>
      </c>
      <c r="B11791">
        <v>265</v>
      </c>
      <c r="C11791" s="1" t="str">
        <f>HYPERLINK("http://www.rosaceae.org/gb/gbrowse/malus_x_domestica/?name=MDP0000289066","MDP0000289066")</f>
        <v>MDP0000289066</v>
      </c>
      <c r="D11791">
        <v>50.86</v>
      </c>
      <c r="E11791">
        <v>116</v>
      </c>
      <c r="F11791">
        <v>57</v>
      </c>
      <c r="G11791">
        <v>7</v>
      </c>
      <c r="H11791">
        <v>153</v>
      </c>
      <c r="I11791">
        <v>264</v>
      </c>
      <c r="J11791">
        <v>1</v>
      </c>
      <c r="K11791">
        <v>38</v>
      </c>
      <c r="L11791">
        <v>150</v>
      </c>
      <c r="M11791">
        <v>1</v>
      </c>
      <c r="N11791">
        <v>1.2370999999999999E-23</v>
      </c>
      <c r="O11791">
        <v>267</v>
      </c>
    </row>
    <row r="11792" spans="1:15" x14ac:dyDescent="0.25">
      <c r="A11792" t="s">
        <v>11805</v>
      </c>
      <c r="B11792">
        <v>239</v>
      </c>
      <c r="C11792" s="1" t="str">
        <f>HYPERLINK("http://www.rosaceae.org/gb/gbrowse/malus_x_domestica/?name=MDP0000286589","MDP0000286589")</f>
        <v>MDP0000286589</v>
      </c>
      <c r="D11792">
        <v>38.93</v>
      </c>
      <c r="E11792">
        <v>226</v>
      </c>
      <c r="F11792">
        <v>138</v>
      </c>
      <c r="G11792">
        <v>68</v>
      </c>
      <c r="H11792">
        <v>74</v>
      </c>
      <c r="I11792">
        <v>234</v>
      </c>
      <c r="J11792">
        <v>1</v>
      </c>
      <c r="K11792">
        <v>3</v>
      </c>
      <c r="L11792">
        <v>225</v>
      </c>
      <c r="M11792">
        <v>1</v>
      </c>
      <c r="N11792">
        <v>1.17263E-29</v>
      </c>
      <c r="O11792">
        <v>318</v>
      </c>
    </row>
    <row r="11793" spans="1:15" x14ac:dyDescent="0.25">
      <c r="A11793" t="s">
        <v>11806</v>
      </c>
      <c r="B11793">
        <v>225</v>
      </c>
      <c r="C11793" s="1" t="str">
        <f>HYPERLINK("http://www.rosaceae.org/gb/gbrowse/malus_x_domestica/?name=MDP0000277240","MDP0000277240")</f>
        <v>MDP0000277240</v>
      </c>
      <c r="D11793">
        <v>75.099999999999994</v>
      </c>
      <c r="E11793">
        <v>229</v>
      </c>
      <c r="F11793">
        <v>57</v>
      </c>
      <c r="G11793">
        <v>4</v>
      </c>
      <c r="H11793">
        <v>1</v>
      </c>
      <c r="I11793">
        <v>225</v>
      </c>
      <c r="J11793">
        <v>1</v>
      </c>
      <c r="K11793">
        <v>555</v>
      </c>
      <c r="L11793">
        <v>783</v>
      </c>
      <c r="M11793">
        <v>1</v>
      </c>
      <c r="N11793">
        <v>1.32879E-95</v>
      </c>
      <c r="O11793">
        <v>887</v>
      </c>
    </row>
    <row r="11794" spans="1:15" x14ac:dyDescent="0.25">
      <c r="A11794" t="s">
        <v>11807</v>
      </c>
      <c r="B11794">
        <v>162</v>
      </c>
      <c r="C11794" s="1" t="str">
        <f>HYPERLINK("http://www.rosaceae.org/gb/gbrowse/malus_x_domestica/?name=MDP0000167145","MDP0000167145")</f>
        <v>MDP0000167145</v>
      </c>
      <c r="D11794">
        <v>42.42</v>
      </c>
      <c r="E11794">
        <v>99</v>
      </c>
      <c r="F11794">
        <v>57</v>
      </c>
      <c r="G11794">
        <v>2</v>
      </c>
      <c r="H11794">
        <v>64</v>
      </c>
      <c r="I11794">
        <v>160</v>
      </c>
      <c r="J11794">
        <v>1</v>
      </c>
      <c r="K11794">
        <v>609</v>
      </c>
      <c r="L11794">
        <v>707</v>
      </c>
      <c r="M11794">
        <v>1</v>
      </c>
      <c r="N11794">
        <v>1.4108699999999999E-16</v>
      </c>
      <c r="O11794">
        <v>203</v>
      </c>
    </row>
    <row r="11795" spans="1:15" x14ac:dyDescent="0.25">
      <c r="A11795" t="s">
        <v>11808</v>
      </c>
      <c r="B11795">
        <v>334</v>
      </c>
      <c r="C11795" s="1" t="str">
        <f>HYPERLINK("http://www.rosaceae.org/gb/gbrowse/malus_x_domestica/?name=MDP0000700517","MDP0000700517")</f>
        <v>MDP0000700517</v>
      </c>
      <c r="D11795">
        <v>42.46</v>
      </c>
      <c r="E11795">
        <v>73</v>
      </c>
      <c r="F11795">
        <v>42</v>
      </c>
      <c r="G11795">
        <v>0</v>
      </c>
      <c r="H11795">
        <v>246</v>
      </c>
      <c r="I11795">
        <v>318</v>
      </c>
      <c r="J11795">
        <v>1</v>
      </c>
      <c r="K11795">
        <v>220</v>
      </c>
      <c r="L11795">
        <v>292</v>
      </c>
      <c r="M11795">
        <v>1</v>
      </c>
      <c r="N11795">
        <v>6.4401099999999997E-13</v>
      </c>
      <c r="O11795">
        <v>176</v>
      </c>
    </row>
    <row r="11796" spans="1:15" x14ac:dyDescent="0.25">
      <c r="A11796" t="s">
        <v>11809</v>
      </c>
      <c r="B11796">
        <v>286</v>
      </c>
      <c r="C11796" s="1" t="str">
        <f>HYPERLINK("http://www.rosaceae.org/gb/gbrowse/malus_x_domestica/?name=MDP0000209507","MDP0000209507")</f>
        <v>MDP0000209507</v>
      </c>
      <c r="D11796">
        <v>35.200000000000003</v>
      </c>
      <c r="E11796">
        <v>338</v>
      </c>
      <c r="F11796">
        <v>219</v>
      </c>
      <c r="G11796">
        <v>125</v>
      </c>
      <c r="H11796">
        <v>71</v>
      </c>
      <c r="I11796">
        <v>283</v>
      </c>
      <c r="J11796">
        <v>1</v>
      </c>
      <c r="K11796">
        <v>25</v>
      </c>
      <c r="L11796">
        <v>362</v>
      </c>
      <c r="M11796">
        <v>1</v>
      </c>
      <c r="N11796">
        <v>2.21471E-44</v>
      </c>
      <c r="O11796">
        <v>446</v>
      </c>
    </row>
    <row r="11797" spans="1:15" x14ac:dyDescent="0.25">
      <c r="A11797" t="s">
        <v>11810</v>
      </c>
      <c r="B11797">
        <v>516</v>
      </c>
      <c r="C11797" s="1" t="str">
        <f>HYPERLINK("http://www.rosaceae.org/gb/gbrowse/malus_x_domestica/?name=MDP0000147846","MDP0000147846")</f>
        <v>MDP0000147846</v>
      </c>
      <c r="D11797">
        <v>40.25</v>
      </c>
      <c r="E11797">
        <v>231</v>
      </c>
      <c r="F11797">
        <v>138</v>
      </c>
      <c r="G11797">
        <v>22</v>
      </c>
      <c r="H11797">
        <v>16</v>
      </c>
      <c r="I11797">
        <v>230</v>
      </c>
      <c r="J11797">
        <v>1</v>
      </c>
      <c r="K11797">
        <v>168</v>
      </c>
      <c r="L11797">
        <v>392</v>
      </c>
      <c r="M11797">
        <v>1</v>
      </c>
      <c r="N11797">
        <v>1.42767E-26</v>
      </c>
      <c r="O11797">
        <v>296</v>
      </c>
    </row>
    <row r="11798" spans="1:15" x14ac:dyDescent="0.25">
      <c r="A11798" t="s">
        <v>11811</v>
      </c>
      <c r="B11798">
        <v>171</v>
      </c>
      <c r="C11798" s="1" t="str">
        <f>HYPERLINK("http://www.rosaceae.org/gb/gbrowse/malus_x_domestica/?name=MDP0000318588","MDP0000318588")</f>
        <v>MDP0000318588</v>
      </c>
      <c r="D11798">
        <v>67.05</v>
      </c>
      <c r="E11798">
        <v>170</v>
      </c>
      <c r="F11798">
        <v>56</v>
      </c>
      <c r="G11798">
        <v>5</v>
      </c>
      <c r="H11798">
        <v>1</v>
      </c>
      <c r="I11798">
        <v>170</v>
      </c>
      <c r="J11798">
        <v>1</v>
      </c>
      <c r="K11798">
        <v>181</v>
      </c>
      <c r="L11798">
        <v>345</v>
      </c>
      <c r="M11798">
        <v>1</v>
      </c>
      <c r="N11798">
        <v>3.0044100000000001E-59</v>
      </c>
      <c r="O11798">
        <v>571</v>
      </c>
    </row>
    <row r="11799" spans="1:15" x14ac:dyDescent="0.25">
      <c r="A11799" t="s">
        <v>11812</v>
      </c>
      <c r="B11799">
        <v>223</v>
      </c>
      <c r="C11799" s="1" t="str">
        <f>HYPERLINK("http://www.rosaceae.org/gb/gbrowse/malus_x_domestica/?name=MDP0000244469","MDP0000244469")</f>
        <v>MDP0000244469</v>
      </c>
      <c r="D11799">
        <v>60.73</v>
      </c>
      <c r="E11799">
        <v>219</v>
      </c>
      <c r="F11799">
        <v>86</v>
      </c>
      <c r="G11799">
        <v>11</v>
      </c>
      <c r="H11799">
        <v>1</v>
      </c>
      <c r="I11799">
        <v>211</v>
      </c>
      <c r="J11799">
        <v>1</v>
      </c>
      <c r="K11799">
        <v>1</v>
      </c>
      <c r="L11799">
        <v>216</v>
      </c>
      <c r="M11799">
        <v>1</v>
      </c>
      <c r="N11799">
        <v>3.84201E-61</v>
      </c>
      <c r="O11799">
        <v>590</v>
      </c>
    </row>
    <row r="11800" spans="1:15" x14ac:dyDescent="0.25">
      <c r="A11800" t="s">
        <v>11813</v>
      </c>
      <c r="B11800">
        <v>344</v>
      </c>
      <c r="C11800" s="1" t="str">
        <f>HYPERLINK("http://www.rosaceae.org/gb/gbrowse/malus_x_domestica/?name=MDP0000136726","MDP0000136726")</f>
        <v>MDP0000136726</v>
      </c>
      <c r="D11800">
        <v>40.83</v>
      </c>
      <c r="E11800">
        <v>191</v>
      </c>
      <c r="F11800">
        <v>113</v>
      </c>
      <c r="G11800">
        <v>14</v>
      </c>
      <c r="H11800">
        <v>124</v>
      </c>
      <c r="I11800">
        <v>311</v>
      </c>
      <c r="J11800">
        <v>1</v>
      </c>
      <c r="K11800">
        <v>928</v>
      </c>
      <c r="L11800">
        <v>1107</v>
      </c>
      <c r="M11800">
        <v>1</v>
      </c>
      <c r="N11800">
        <v>4.0510399999999999E-32</v>
      </c>
      <c r="O11800">
        <v>342</v>
      </c>
    </row>
    <row r="11801" spans="1:15" x14ac:dyDescent="0.25">
      <c r="A11801" t="s">
        <v>11814</v>
      </c>
      <c r="B11801">
        <v>397</v>
      </c>
      <c r="C11801" s="1" t="str">
        <f>HYPERLINK("http://www.rosaceae.org/gb/gbrowse/malus_x_domestica/?name=MDP0000266525","MDP0000266525")</f>
        <v>MDP0000266525</v>
      </c>
      <c r="D11801">
        <v>67.459999999999994</v>
      </c>
      <c r="E11801">
        <v>378</v>
      </c>
      <c r="F11801">
        <v>123</v>
      </c>
      <c r="G11801">
        <v>26</v>
      </c>
      <c r="H11801">
        <v>1</v>
      </c>
      <c r="I11801">
        <v>352</v>
      </c>
      <c r="J11801">
        <v>1</v>
      </c>
      <c r="K11801">
        <v>1</v>
      </c>
      <c r="L11801">
        <v>378</v>
      </c>
      <c r="M11801">
        <v>1</v>
      </c>
      <c r="N11801">
        <v>2.83945E-141</v>
      </c>
      <c r="O11801">
        <v>1284</v>
      </c>
    </row>
    <row r="11802" spans="1:15" x14ac:dyDescent="0.25">
      <c r="A11802" t="s">
        <v>11815</v>
      </c>
      <c r="B11802">
        <v>520</v>
      </c>
      <c r="C11802" s="1" t="str">
        <f>HYPERLINK("http://www.rosaceae.org/gb/gbrowse/malus_x_domestica/?name=MDP0000318606","MDP0000318606")</f>
        <v>MDP0000318606</v>
      </c>
      <c r="D11802">
        <v>50.34</v>
      </c>
      <c r="E11802">
        <v>431</v>
      </c>
      <c r="F11802">
        <v>214</v>
      </c>
      <c r="G11802">
        <v>28</v>
      </c>
      <c r="H11802">
        <v>53</v>
      </c>
      <c r="I11802">
        <v>480</v>
      </c>
      <c r="J11802">
        <v>1</v>
      </c>
      <c r="K11802">
        <v>92</v>
      </c>
      <c r="L11802">
        <v>497</v>
      </c>
      <c r="M11802">
        <v>1</v>
      </c>
      <c r="N11802">
        <v>6.6341299999999995E-114</v>
      </c>
      <c r="O11802">
        <v>1049</v>
      </c>
    </row>
    <row r="11803" spans="1:15" x14ac:dyDescent="0.25">
      <c r="A11803" t="s">
        <v>11816</v>
      </c>
      <c r="B11803">
        <v>636</v>
      </c>
      <c r="C11803" s="1" t="str">
        <f>HYPERLINK("http://www.rosaceae.org/gb/gbrowse/malus_x_domestica/?name=MDP0000938427","MDP0000938427")</f>
        <v>MDP0000938427</v>
      </c>
      <c r="D11803">
        <v>57.69</v>
      </c>
      <c r="E11803">
        <v>546</v>
      </c>
      <c r="F11803">
        <v>231</v>
      </c>
      <c r="G11803">
        <v>68</v>
      </c>
      <c r="H11803">
        <v>20</v>
      </c>
      <c r="I11803">
        <v>497</v>
      </c>
      <c r="J11803">
        <v>1</v>
      </c>
      <c r="K11803">
        <v>15</v>
      </c>
      <c r="L11803">
        <v>560</v>
      </c>
      <c r="M11803">
        <v>1</v>
      </c>
      <c r="N11803">
        <v>4.9301300000000003E-170</v>
      </c>
      <c r="O11803">
        <v>1534</v>
      </c>
    </row>
    <row r="11804" spans="1:15" x14ac:dyDescent="0.25">
      <c r="A11804" t="s">
        <v>11817</v>
      </c>
      <c r="B11804">
        <v>548</v>
      </c>
      <c r="C11804" s="1" t="str">
        <f>HYPERLINK("http://www.rosaceae.org/gb/gbrowse/malus_x_domestica/?name=MDP0000301405","MDP0000301405")</f>
        <v>MDP0000301405</v>
      </c>
      <c r="D11804">
        <v>71.94</v>
      </c>
      <c r="E11804">
        <v>549</v>
      </c>
      <c r="F11804">
        <v>154</v>
      </c>
      <c r="G11804">
        <v>13</v>
      </c>
      <c r="H11804">
        <v>6</v>
      </c>
      <c r="I11804">
        <v>548</v>
      </c>
      <c r="J11804">
        <v>1</v>
      </c>
      <c r="K11804">
        <v>857</v>
      </c>
      <c r="L11804">
        <v>1398</v>
      </c>
      <c r="M11804">
        <v>1</v>
      </c>
      <c r="N11804">
        <v>0</v>
      </c>
      <c r="O11804">
        <v>2082</v>
      </c>
    </row>
    <row r="11805" spans="1:15" x14ac:dyDescent="0.25">
      <c r="A11805" t="s">
        <v>11818</v>
      </c>
      <c r="B11805">
        <v>668</v>
      </c>
      <c r="C11805" s="1" t="str">
        <f>HYPERLINK("http://www.rosaceae.org/gb/gbrowse/malus_x_domestica/?name=MDP0000227577","MDP0000227577")</f>
        <v>MDP0000227577</v>
      </c>
      <c r="D11805">
        <v>77.03</v>
      </c>
      <c r="E11805">
        <v>540</v>
      </c>
      <c r="F11805">
        <v>124</v>
      </c>
      <c r="G11805">
        <v>20</v>
      </c>
      <c r="H11805">
        <v>90</v>
      </c>
      <c r="I11805">
        <v>622</v>
      </c>
      <c r="J11805">
        <v>1</v>
      </c>
      <c r="K11805">
        <v>1</v>
      </c>
      <c r="L11805">
        <v>527</v>
      </c>
      <c r="M11805">
        <v>1</v>
      </c>
      <c r="N11805">
        <v>0</v>
      </c>
      <c r="O11805">
        <v>2186</v>
      </c>
    </row>
    <row r="11806" spans="1:15" x14ac:dyDescent="0.25">
      <c r="A11806" t="s">
        <v>11819</v>
      </c>
      <c r="B11806">
        <v>111</v>
      </c>
      <c r="C11806" s="1" t="str">
        <f>HYPERLINK("http://www.rosaceae.org/gb/gbrowse/malus_x_domestica/?name=MDP0000310375","MDP0000310375")</f>
        <v>MDP0000310375</v>
      </c>
      <c r="D11806">
        <v>64.540000000000006</v>
      </c>
      <c r="E11806">
        <v>110</v>
      </c>
      <c r="F11806">
        <v>39</v>
      </c>
      <c r="G11806">
        <v>12</v>
      </c>
      <c r="H11806">
        <v>1</v>
      </c>
      <c r="I11806">
        <v>99</v>
      </c>
      <c r="J11806">
        <v>1</v>
      </c>
      <c r="K11806">
        <v>1</v>
      </c>
      <c r="L11806">
        <v>109</v>
      </c>
      <c r="M11806">
        <v>1</v>
      </c>
      <c r="N11806">
        <v>8.4551599999999998E-32</v>
      </c>
      <c r="O11806">
        <v>332</v>
      </c>
    </row>
    <row r="11807" spans="1:15" x14ac:dyDescent="0.25">
      <c r="A11807" t="s">
        <v>11820</v>
      </c>
      <c r="B11807">
        <v>259</v>
      </c>
      <c r="C11807" s="1" t="str">
        <f>HYPERLINK("http://www.rosaceae.org/gb/gbrowse/malus_x_domestica/?name=MDP0000772835","MDP0000772835")</f>
        <v>MDP0000772835</v>
      </c>
      <c r="D11807">
        <v>73.58</v>
      </c>
      <c r="E11807">
        <v>106</v>
      </c>
      <c r="F11807">
        <v>28</v>
      </c>
      <c r="G11807">
        <v>0</v>
      </c>
      <c r="H11807">
        <v>154</v>
      </c>
      <c r="I11807">
        <v>259</v>
      </c>
      <c r="J11807">
        <v>1</v>
      </c>
      <c r="K11807">
        <v>364</v>
      </c>
      <c r="L11807">
        <v>469</v>
      </c>
      <c r="M11807">
        <v>1</v>
      </c>
      <c r="N11807">
        <v>1.2999999999999999E-45</v>
      </c>
      <c r="O11807">
        <v>457</v>
      </c>
    </row>
    <row r="11808" spans="1:15" x14ac:dyDescent="0.25">
      <c r="A11808" t="s">
        <v>11821</v>
      </c>
      <c r="B11808">
        <v>450</v>
      </c>
      <c r="C11808" s="1" t="str">
        <f>HYPERLINK("http://www.rosaceae.org/gb/gbrowse/malus_x_domestica/?name=MDP0000321216","MDP0000321216")</f>
        <v>MDP0000321216</v>
      </c>
      <c r="D11808">
        <v>83.87</v>
      </c>
      <c r="E11808">
        <v>372</v>
      </c>
      <c r="F11808">
        <v>60</v>
      </c>
      <c r="G11808">
        <v>8</v>
      </c>
      <c r="H11808">
        <v>79</v>
      </c>
      <c r="I11808">
        <v>450</v>
      </c>
      <c r="J11808">
        <v>1</v>
      </c>
      <c r="K11808">
        <v>21</v>
      </c>
      <c r="L11808">
        <v>384</v>
      </c>
      <c r="M11808">
        <v>1</v>
      </c>
      <c r="N11808">
        <v>0</v>
      </c>
      <c r="O11808">
        <v>1667</v>
      </c>
    </row>
    <row r="11809" spans="1:15" x14ac:dyDescent="0.25">
      <c r="A11809" t="s">
        <v>11822</v>
      </c>
      <c r="B11809">
        <v>556</v>
      </c>
      <c r="C11809" s="1" t="str">
        <f>HYPERLINK("http://www.rosaceae.org/gb/gbrowse/malus_x_domestica/?name=MDP0000231635","MDP0000231635")</f>
        <v>MDP0000231635</v>
      </c>
      <c r="D11809">
        <v>63.2</v>
      </c>
      <c r="E11809">
        <v>337</v>
      </c>
      <c r="F11809">
        <v>124</v>
      </c>
      <c r="G11809">
        <v>44</v>
      </c>
      <c r="H11809">
        <v>251</v>
      </c>
      <c r="I11809">
        <v>545</v>
      </c>
      <c r="J11809">
        <v>1</v>
      </c>
      <c r="K11809">
        <v>536</v>
      </c>
      <c r="L11809">
        <v>870</v>
      </c>
      <c r="M11809">
        <v>1</v>
      </c>
      <c r="N11809">
        <v>4.9330299999999999E-109</v>
      </c>
      <c r="O11809">
        <v>1007</v>
      </c>
    </row>
    <row r="11810" spans="1:15" x14ac:dyDescent="0.25">
      <c r="A11810" t="s">
        <v>11823</v>
      </c>
      <c r="B11810">
        <v>739</v>
      </c>
      <c r="C11810" s="1" t="str">
        <f>HYPERLINK("http://www.rosaceae.org/gb/gbrowse/malus_x_domestica/?name=MDP0000849174","MDP0000849174")</f>
        <v>MDP0000849174</v>
      </c>
      <c r="D11810">
        <v>59.57</v>
      </c>
      <c r="E11810">
        <v>188</v>
      </c>
      <c r="F11810">
        <v>76</v>
      </c>
      <c r="G11810">
        <v>14</v>
      </c>
      <c r="H11810">
        <v>201</v>
      </c>
      <c r="I11810">
        <v>374</v>
      </c>
      <c r="J11810">
        <v>1</v>
      </c>
      <c r="K11810">
        <v>192</v>
      </c>
      <c r="L11810">
        <v>379</v>
      </c>
      <c r="M11810">
        <v>1</v>
      </c>
      <c r="N11810">
        <v>2.3230600000000001E-54</v>
      </c>
      <c r="O11810">
        <v>537</v>
      </c>
    </row>
    <row r="11811" spans="1:15" x14ac:dyDescent="0.25">
      <c r="A11811" t="s">
        <v>11824</v>
      </c>
      <c r="B11811">
        <v>241</v>
      </c>
      <c r="C11811" s="1" t="str">
        <f>HYPERLINK("http://www.rosaceae.org/gb/gbrowse/malus_x_domestica/?name=MDP0000308689","MDP0000308689")</f>
        <v>MDP0000308689</v>
      </c>
      <c r="D11811">
        <v>55</v>
      </c>
      <c r="E11811">
        <v>160</v>
      </c>
      <c r="F11811">
        <v>72</v>
      </c>
      <c r="G11811">
        <v>12</v>
      </c>
      <c r="H11811">
        <v>1</v>
      </c>
      <c r="I11811">
        <v>158</v>
      </c>
      <c r="J11811">
        <v>1</v>
      </c>
      <c r="K11811">
        <v>1</v>
      </c>
      <c r="L11811">
        <v>150</v>
      </c>
      <c r="M11811">
        <v>1</v>
      </c>
      <c r="N11811">
        <v>2.6548E-43</v>
      </c>
      <c r="O11811">
        <v>436</v>
      </c>
    </row>
    <row r="11812" spans="1:15" x14ac:dyDescent="0.25">
      <c r="A11812" t="s">
        <v>11825</v>
      </c>
      <c r="B11812">
        <v>275</v>
      </c>
      <c r="C11812" s="1" t="str">
        <f>HYPERLINK("http://www.rosaceae.org/gb/gbrowse/malus_x_domestica/?name=MDP0000321404","MDP0000321404")</f>
        <v>MDP0000321404</v>
      </c>
      <c r="D11812">
        <v>51.89</v>
      </c>
      <c r="E11812">
        <v>79</v>
      </c>
      <c r="F11812">
        <v>38</v>
      </c>
      <c r="G11812">
        <v>4</v>
      </c>
      <c r="H11812">
        <v>16</v>
      </c>
      <c r="I11812">
        <v>91</v>
      </c>
      <c r="J11812">
        <v>1</v>
      </c>
      <c r="K11812">
        <v>1364</v>
      </c>
      <c r="L11812">
        <v>1441</v>
      </c>
      <c r="M11812">
        <v>1</v>
      </c>
      <c r="N11812">
        <v>1.51793E-12</v>
      </c>
      <c r="O11812">
        <v>172</v>
      </c>
    </row>
    <row r="11813" spans="1:15" x14ac:dyDescent="0.25">
      <c r="A11813" t="s">
        <v>11826</v>
      </c>
      <c r="B11813">
        <v>446</v>
      </c>
      <c r="C11813" s="1" t="str">
        <f>HYPERLINK("http://www.rosaceae.org/gb/gbrowse/malus_x_domestica/?name=MDP0000593031","MDP0000593031")</f>
        <v>MDP0000593031</v>
      </c>
      <c r="D11813">
        <v>69.84</v>
      </c>
      <c r="E11813">
        <v>461</v>
      </c>
      <c r="F11813">
        <v>139</v>
      </c>
      <c r="G11813">
        <v>21</v>
      </c>
      <c r="H11813">
        <v>7</v>
      </c>
      <c r="I11813">
        <v>446</v>
      </c>
      <c r="J11813">
        <v>1</v>
      </c>
      <c r="K11813">
        <v>166</v>
      </c>
      <c r="L11813">
        <v>626</v>
      </c>
      <c r="M11813">
        <v>1</v>
      </c>
      <c r="N11813">
        <v>0</v>
      </c>
      <c r="O11813">
        <v>1677</v>
      </c>
    </row>
    <row r="11814" spans="1:15" x14ac:dyDescent="0.25">
      <c r="A11814" t="s">
        <v>11827</v>
      </c>
      <c r="B11814">
        <v>105</v>
      </c>
      <c r="C11814" s="1" t="str">
        <f>HYPERLINK("http://www.rosaceae.org/gb/gbrowse/malus_x_domestica/?name=MDP0000242491","MDP0000242491")</f>
        <v>MDP0000242491</v>
      </c>
      <c r="D11814">
        <v>56.56</v>
      </c>
      <c r="E11814">
        <v>99</v>
      </c>
      <c r="F11814">
        <v>43</v>
      </c>
      <c r="G11814">
        <v>0</v>
      </c>
      <c r="H11814">
        <v>1</v>
      </c>
      <c r="I11814">
        <v>99</v>
      </c>
      <c r="J11814">
        <v>1</v>
      </c>
      <c r="K11814">
        <v>85</v>
      </c>
      <c r="L11814">
        <v>183</v>
      </c>
      <c r="M11814">
        <v>1</v>
      </c>
      <c r="N11814">
        <v>1.1837000000000001E-28</v>
      </c>
      <c r="O11814">
        <v>305</v>
      </c>
    </row>
    <row r="11815" spans="1:15" x14ac:dyDescent="0.25">
      <c r="A11815" t="s">
        <v>11828</v>
      </c>
      <c r="B11815">
        <v>170</v>
      </c>
      <c r="C11815" s="1" t="str">
        <f>HYPERLINK("http://www.rosaceae.org/gb/gbrowse/malus_x_domestica/?name=MDP0000549178","MDP0000549178")</f>
        <v>MDP0000549178</v>
      </c>
      <c r="D11815">
        <v>39.549999999999997</v>
      </c>
      <c r="E11815">
        <v>134</v>
      </c>
      <c r="F11815">
        <v>81</v>
      </c>
      <c r="G11815">
        <v>9</v>
      </c>
      <c r="H11815">
        <v>32</v>
      </c>
      <c r="I11815">
        <v>156</v>
      </c>
      <c r="J11815">
        <v>1</v>
      </c>
      <c r="K11815">
        <v>9</v>
      </c>
      <c r="L11815">
        <v>142</v>
      </c>
      <c r="M11815">
        <v>1</v>
      </c>
      <c r="N11815">
        <v>4.4363400000000002E-21</v>
      </c>
      <c r="O11815">
        <v>242</v>
      </c>
    </row>
    <row r="11816" spans="1:15" x14ac:dyDescent="0.25">
      <c r="A11816" t="s">
        <v>11829</v>
      </c>
      <c r="B11816">
        <v>534</v>
      </c>
      <c r="C11816" s="1" t="str">
        <f>HYPERLINK("http://www.rosaceae.org/gb/gbrowse/malus_x_domestica/?name=MDP0000249260","MDP0000249260")</f>
        <v>MDP0000249260</v>
      </c>
      <c r="D11816">
        <v>73.33</v>
      </c>
      <c r="E11816">
        <v>285</v>
      </c>
      <c r="F11816">
        <v>76</v>
      </c>
      <c r="G11816">
        <v>1</v>
      </c>
      <c r="H11816">
        <v>235</v>
      </c>
      <c r="I11816">
        <v>519</v>
      </c>
      <c r="J11816">
        <v>1</v>
      </c>
      <c r="K11816">
        <v>1</v>
      </c>
      <c r="L11816">
        <v>284</v>
      </c>
      <c r="M11816">
        <v>1</v>
      </c>
      <c r="N11816">
        <v>6.8456499999999999E-121</v>
      </c>
      <c r="O11816">
        <v>1109</v>
      </c>
    </row>
    <row r="11817" spans="1:15" x14ac:dyDescent="0.25">
      <c r="A11817" t="s">
        <v>11830</v>
      </c>
      <c r="B11817">
        <v>513</v>
      </c>
      <c r="C11817" s="1" t="str">
        <f>HYPERLINK("http://www.rosaceae.org/gb/gbrowse/malus_x_domestica/?name=MDP0000231692","MDP0000231692")</f>
        <v>MDP0000231692</v>
      </c>
      <c r="D11817">
        <v>77.91</v>
      </c>
      <c r="E11817">
        <v>548</v>
      </c>
      <c r="F11817">
        <v>121</v>
      </c>
      <c r="G11817">
        <v>45</v>
      </c>
      <c r="H11817">
        <v>1</v>
      </c>
      <c r="I11817">
        <v>511</v>
      </c>
      <c r="J11817">
        <v>1</v>
      </c>
      <c r="K11817">
        <v>1</v>
      </c>
      <c r="L11817">
        <v>540</v>
      </c>
      <c r="M11817">
        <v>1</v>
      </c>
      <c r="N11817">
        <v>0</v>
      </c>
      <c r="O11817">
        <v>2090</v>
      </c>
    </row>
    <row r="11818" spans="1:15" x14ac:dyDescent="0.25">
      <c r="A11818" t="s">
        <v>11831</v>
      </c>
      <c r="B11818">
        <v>698</v>
      </c>
      <c r="C11818" s="1" t="str">
        <f>HYPERLINK("http://www.rosaceae.org/gb/gbrowse/malus_x_domestica/?name=MDP0000216084","MDP0000216084")</f>
        <v>MDP0000216084</v>
      </c>
      <c r="D11818">
        <v>55.21</v>
      </c>
      <c r="E11818">
        <v>623</v>
      </c>
      <c r="F11818">
        <v>279</v>
      </c>
      <c r="G11818">
        <v>9</v>
      </c>
      <c r="H11818">
        <v>53</v>
      </c>
      <c r="I11818">
        <v>673</v>
      </c>
      <c r="J11818">
        <v>1</v>
      </c>
      <c r="K11818">
        <v>150</v>
      </c>
      <c r="L11818">
        <v>765</v>
      </c>
      <c r="M11818">
        <v>1</v>
      </c>
      <c r="N11818">
        <v>0</v>
      </c>
      <c r="O11818">
        <v>1878</v>
      </c>
    </row>
    <row r="11819" spans="1:15" x14ac:dyDescent="0.25">
      <c r="A11819" t="s">
        <v>11832</v>
      </c>
      <c r="B11819">
        <v>231</v>
      </c>
      <c r="C11819" s="1" t="str">
        <f>HYPERLINK("http://www.rosaceae.org/gb/gbrowse/malus_x_domestica/?name=MDP0000162348","MDP0000162348")</f>
        <v>MDP0000162348</v>
      </c>
      <c r="D11819">
        <v>39.770000000000003</v>
      </c>
      <c r="E11819">
        <v>176</v>
      </c>
      <c r="F11819">
        <v>106</v>
      </c>
      <c r="G11819">
        <v>24</v>
      </c>
      <c r="H11819">
        <v>54</v>
      </c>
      <c r="I11819">
        <v>227</v>
      </c>
      <c r="J11819">
        <v>1</v>
      </c>
      <c r="K11819">
        <v>27</v>
      </c>
      <c r="L11819">
        <v>180</v>
      </c>
      <c r="M11819">
        <v>1</v>
      </c>
      <c r="N11819">
        <v>1.3984100000000001E-23</v>
      </c>
      <c r="O11819">
        <v>266</v>
      </c>
    </row>
    <row r="11820" spans="1:15" x14ac:dyDescent="0.25">
      <c r="A11820" t="s">
        <v>11833</v>
      </c>
      <c r="B11820">
        <v>361</v>
      </c>
      <c r="C11820" s="1" t="str">
        <f>HYPERLINK("http://www.rosaceae.org/gb/gbrowse/malus_x_domestica/?name=MDP0000518522","MDP0000518522")</f>
        <v>MDP0000518522</v>
      </c>
      <c r="D11820">
        <v>84.7</v>
      </c>
      <c r="E11820">
        <v>268</v>
      </c>
      <c r="F11820">
        <v>41</v>
      </c>
      <c r="G11820">
        <v>3</v>
      </c>
      <c r="H11820">
        <v>1</v>
      </c>
      <c r="I11820">
        <v>265</v>
      </c>
      <c r="J11820">
        <v>1</v>
      </c>
      <c r="K11820">
        <v>1</v>
      </c>
      <c r="L11820">
        <v>268</v>
      </c>
      <c r="M11820">
        <v>1</v>
      </c>
      <c r="N11820">
        <v>1.3789999999999999E-131</v>
      </c>
      <c r="O11820">
        <v>1200</v>
      </c>
    </row>
    <row r="11821" spans="1:15" x14ac:dyDescent="0.25">
      <c r="A11821" t="s">
        <v>11834</v>
      </c>
      <c r="B11821">
        <v>531</v>
      </c>
      <c r="C11821" s="1" t="str">
        <f>HYPERLINK("http://www.rosaceae.org/gb/gbrowse/malus_x_domestica/?name=MDP0000123907","MDP0000123907")</f>
        <v>MDP0000123907</v>
      </c>
      <c r="D11821">
        <v>45.84</v>
      </c>
      <c r="E11821">
        <v>517</v>
      </c>
      <c r="F11821">
        <v>280</v>
      </c>
      <c r="G11821">
        <v>72</v>
      </c>
      <c r="H11821">
        <v>9</v>
      </c>
      <c r="I11821">
        <v>486</v>
      </c>
      <c r="J11821">
        <v>1</v>
      </c>
      <c r="K11821">
        <v>7</v>
      </c>
      <c r="L11821">
        <v>490</v>
      </c>
      <c r="M11821">
        <v>1</v>
      </c>
      <c r="N11821">
        <v>2.4350700000000001E-122</v>
      </c>
      <c r="O11821">
        <v>1122</v>
      </c>
    </row>
    <row r="11822" spans="1:15" x14ac:dyDescent="0.25">
      <c r="A11822" t="s">
        <v>11835</v>
      </c>
      <c r="B11822">
        <v>169</v>
      </c>
      <c r="C11822" s="1" t="str">
        <f>HYPERLINK("http://www.rosaceae.org/gb/gbrowse/malus_x_domestica/?name=MDP0000272164","MDP0000272164")</f>
        <v>MDP0000272164</v>
      </c>
      <c r="D11822">
        <v>38.15</v>
      </c>
      <c r="E11822">
        <v>173</v>
      </c>
      <c r="F11822">
        <v>107</v>
      </c>
      <c r="G11822">
        <v>10</v>
      </c>
      <c r="H11822">
        <v>5</v>
      </c>
      <c r="I11822">
        <v>168</v>
      </c>
      <c r="J11822">
        <v>1</v>
      </c>
      <c r="K11822">
        <v>1</v>
      </c>
      <c r="L11822">
        <v>172</v>
      </c>
      <c r="M11822">
        <v>1</v>
      </c>
      <c r="N11822">
        <v>4.0574400000000001E-23</v>
      </c>
      <c r="O11822">
        <v>260</v>
      </c>
    </row>
    <row r="11823" spans="1:15" x14ac:dyDescent="0.25">
      <c r="A11823" t="s">
        <v>11836</v>
      </c>
      <c r="B11823">
        <v>370</v>
      </c>
      <c r="C11823" s="1" t="str">
        <f>HYPERLINK("http://www.rosaceae.org/gb/gbrowse/malus_x_domestica/?name=MDP0000181681","MDP0000181681")</f>
        <v>MDP0000181681</v>
      </c>
      <c r="D11823">
        <v>39.450000000000003</v>
      </c>
      <c r="E11823">
        <v>370</v>
      </c>
      <c r="F11823">
        <v>224</v>
      </c>
      <c r="G11823">
        <v>20</v>
      </c>
      <c r="H11823">
        <v>17</v>
      </c>
      <c r="I11823">
        <v>370</v>
      </c>
      <c r="J11823">
        <v>1</v>
      </c>
      <c r="K11823">
        <v>24</v>
      </c>
      <c r="L11823">
        <v>389</v>
      </c>
      <c r="M11823">
        <v>1</v>
      </c>
      <c r="N11823">
        <v>9.5984599999999999E-62</v>
      </c>
      <c r="O11823">
        <v>598</v>
      </c>
    </row>
    <row r="11824" spans="1:15" x14ac:dyDescent="0.25">
      <c r="A11824" t="s">
        <v>11837</v>
      </c>
      <c r="B11824">
        <v>357</v>
      </c>
      <c r="C11824" s="1" t="str">
        <f>HYPERLINK("http://www.rosaceae.org/gb/gbrowse/malus_x_domestica/?name=MDP0000010597","MDP0000010597")</f>
        <v>MDP0000010597</v>
      </c>
      <c r="D11824">
        <v>67.680000000000007</v>
      </c>
      <c r="E11824">
        <v>359</v>
      </c>
      <c r="F11824">
        <v>116</v>
      </c>
      <c r="G11824">
        <v>5</v>
      </c>
      <c r="H11824">
        <v>1</v>
      </c>
      <c r="I11824">
        <v>354</v>
      </c>
      <c r="J11824">
        <v>1</v>
      </c>
      <c r="K11824">
        <v>116</v>
      </c>
      <c r="L11824">
        <v>474</v>
      </c>
      <c r="M11824">
        <v>1</v>
      </c>
      <c r="N11824">
        <v>4.6439099999999997E-148</v>
      </c>
      <c r="O11824">
        <v>1342</v>
      </c>
    </row>
    <row r="11825" spans="1:15" x14ac:dyDescent="0.25">
      <c r="A11825" t="s">
        <v>11838</v>
      </c>
      <c r="B11825">
        <v>421</v>
      </c>
      <c r="C11825" s="1" t="str">
        <f>HYPERLINK("http://www.rosaceae.org/gb/gbrowse/malus_x_domestica/?name=MDP0000315378","MDP0000315378")</f>
        <v>MDP0000315378</v>
      </c>
      <c r="D11825">
        <v>75.41</v>
      </c>
      <c r="E11825">
        <v>419</v>
      </c>
      <c r="F11825">
        <v>103</v>
      </c>
      <c r="G11825">
        <v>4</v>
      </c>
      <c r="H11825">
        <v>1</v>
      </c>
      <c r="I11825">
        <v>419</v>
      </c>
      <c r="J11825">
        <v>1</v>
      </c>
      <c r="K11825">
        <v>2</v>
      </c>
      <c r="L11825">
        <v>416</v>
      </c>
      <c r="M11825">
        <v>1</v>
      </c>
      <c r="N11825">
        <v>0</v>
      </c>
      <c r="O11825">
        <v>1682</v>
      </c>
    </row>
    <row r="11826" spans="1:15" x14ac:dyDescent="0.25">
      <c r="A11826" t="s">
        <v>11839</v>
      </c>
      <c r="B11826">
        <v>99</v>
      </c>
      <c r="C11826" s="1" t="str">
        <f>HYPERLINK("http://www.rosaceae.org/gb/gbrowse/malus_x_domestica/?name=MDP0000122720","MDP0000122720")</f>
        <v>MDP0000122720</v>
      </c>
      <c r="D11826">
        <v>87.83</v>
      </c>
      <c r="E11826">
        <v>74</v>
      </c>
      <c r="F11826">
        <v>9</v>
      </c>
      <c r="G11826">
        <v>0</v>
      </c>
      <c r="H11826">
        <v>25</v>
      </c>
      <c r="I11826">
        <v>98</v>
      </c>
      <c r="J11826">
        <v>1</v>
      </c>
      <c r="K11826">
        <v>473</v>
      </c>
      <c r="L11826">
        <v>546</v>
      </c>
      <c r="M11826">
        <v>1</v>
      </c>
      <c r="N11826">
        <v>1.5579099999999999E-32</v>
      </c>
      <c r="O11826">
        <v>338</v>
      </c>
    </row>
    <row r="11827" spans="1:15" x14ac:dyDescent="0.25">
      <c r="A11827" t="s">
        <v>11840</v>
      </c>
      <c r="B11827">
        <v>1139</v>
      </c>
      <c r="C11827" s="1" t="str">
        <f>HYPERLINK("http://www.rosaceae.org/gb/gbrowse/malus_x_domestica/?name=MDP0000223518","MDP0000223518")</f>
        <v>MDP0000223518</v>
      </c>
      <c r="D11827">
        <v>45.05</v>
      </c>
      <c r="E11827">
        <v>990</v>
      </c>
      <c r="F11827">
        <v>544</v>
      </c>
      <c r="G11827">
        <v>58</v>
      </c>
      <c r="H11827">
        <v>149</v>
      </c>
      <c r="I11827">
        <v>1122</v>
      </c>
      <c r="J11827">
        <v>1</v>
      </c>
      <c r="K11827">
        <v>103</v>
      </c>
      <c r="L11827">
        <v>1050</v>
      </c>
      <c r="M11827">
        <v>1</v>
      </c>
      <c r="N11827">
        <v>0</v>
      </c>
      <c r="O11827">
        <v>1860</v>
      </c>
    </row>
    <row r="11828" spans="1:15" x14ac:dyDescent="0.25">
      <c r="A11828" t="s">
        <v>11841</v>
      </c>
      <c r="B11828">
        <v>218</v>
      </c>
      <c r="C11828" s="1" t="str">
        <f>HYPERLINK("http://www.rosaceae.org/gb/gbrowse/malus_x_domestica/?name=MDP0000138209","MDP0000138209")</f>
        <v>MDP0000138209</v>
      </c>
      <c r="D11828">
        <v>32.03</v>
      </c>
      <c r="E11828">
        <v>103</v>
      </c>
      <c r="F11828">
        <v>70</v>
      </c>
      <c r="G11828">
        <v>8</v>
      </c>
      <c r="H11828">
        <v>61</v>
      </c>
      <c r="I11828">
        <v>163</v>
      </c>
      <c r="J11828">
        <v>1</v>
      </c>
      <c r="K11828">
        <v>568</v>
      </c>
      <c r="L11828">
        <v>662</v>
      </c>
      <c r="M11828">
        <v>1</v>
      </c>
      <c r="N11828">
        <v>9.0927599999999995E-10</v>
      </c>
      <c r="O11828">
        <v>146</v>
      </c>
    </row>
    <row r="11829" spans="1:15" x14ac:dyDescent="0.25">
      <c r="A11829" t="s">
        <v>11842</v>
      </c>
      <c r="B11829">
        <v>307</v>
      </c>
      <c r="C11829" s="1" t="str">
        <f>HYPERLINK("http://www.rosaceae.org/gb/gbrowse/malus_x_domestica/?name=MDP0000268649","MDP0000268649")</f>
        <v>MDP0000268649</v>
      </c>
      <c r="D11829">
        <v>46.57</v>
      </c>
      <c r="E11829">
        <v>350</v>
      </c>
      <c r="F11829">
        <v>187</v>
      </c>
      <c r="G11829">
        <v>80</v>
      </c>
      <c r="H11829">
        <v>1</v>
      </c>
      <c r="I11829">
        <v>307</v>
      </c>
      <c r="J11829">
        <v>1</v>
      </c>
      <c r="K11829">
        <v>1</v>
      </c>
      <c r="L11829">
        <v>313</v>
      </c>
      <c r="M11829">
        <v>1</v>
      </c>
      <c r="N11829">
        <v>1.9601600000000001E-60</v>
      </c>
      <c r="O11829">
        <v>585</v>
      </c>
    </row>
    <row r="11830" spans="1:15" x14ac:dyDescent="0.25">
      <c r="A11830" t="s">
        <v>11843</v>
      </c>
      <c r="B11830">
        <v>585</v>
      </c>
      <c r="C11830" s="1" t="str">
        <f>HYPERLINK("http://www.rosaceae.org/gb/gbrowse/malus_x_domestica/?name=MDP0000280559","MDP0000280559")</f>
        <v>MDP0000280559</v>
      </c>
      <c r="D11830">
        <v>50.88</v>
      </c>
      <c r="E11830">
        <v>507</v>
      </c>
      <c r="F11830">
        <v>249</v>
      </c>
      <c r="G11830">
        <v>33</v>
      </c>
      <c r="H11830">
        <v>13</v>
      </c>
      <c r="I11830">
        <v>511</v>
      </c>
      <c r="J11830">
        <v>1</v>
      </c>
      <c r="K11830">
        <v>19</v>
      </c>
      <c r="L11830">
        <v>500</v>
      </c>
      <c r="M11830">
        <v>1</v>
      </c>
      <c r="N11830">
        <v>1.1022699999999999E-113</v>
      </c>
      <c r="O11830">
        <v>1048</v>
      </c>
    </row>
    <row r="11831" spans="1:15" x14ac:dyDescent="0.25">
      <c r="A11831" t="s">
        <v>11844</v>
      </c>
      <c r="B11831">
        <v>270</v>
      </c>
      <c r="C11831" s="1" t="str">
        <f>HYPERLINK("http://www.rosaceae.org/gb/gbrowse/malus_x_domestica/?name=MDP0000171683","MDP0000171683")</f>
        <v>MDP0000171683</v>
      </c>
      <c r="D11831">
        <v>69.260000000000005</v>
      </c>
      <c r="E11831">
        <v>205</v>
      </c>
      <c r="F11831">
        <v>63</v>
      </c>
      <c r="G11831">
        <v>0</v>
      </c>
      <c r="H11831">
        <v>1</v>
      </c>
      <c r="I11831">
        <v>205</v>
      </c>
      <c r="J11831">
        <v>1</v>
      </c>
      <c r="K11831">
        <v>1</v>
      </c>
      <c r="L11831">
        <v>205</v>
      </c>
      <c r="M11831">
        <v>1</v>
      </c>
      <c r="N11831">
        <v>3.8986599999999999E-82</v>
      </c>
      <c r="O11831">
        <v>772</v>
      </c>
    </row>
    <row r="11832" spans="1:15" x14ac:dyDescent="0.25">
      <c r="A11832" t="s">
        <v>11845</v>
      </c>
      <c r="B11832">
        <v>954</v>
      </c>
      <c r="C11832" s="1" t="str">
        <f>HYPERLINK("http://www.rosaceae.org/gb/gbrowse/malus_x_domestica/?name=MDP0000287354","MDP0000287354")</f>
        <v>MDP0000287354</v>
      </c>
      <c r="D11832">
        <v>42.55</v>
      </c>
      <c r="E11832">
        <v>665</v>
      </c>
      <c r="F11832">
        <v>382</v>
      </c>
      <c r="G11832">
        <v>60</v>
      </c>
      <c r="H11832">
        <v>236</v>
      </c>
      <c r="I11832">
        <v>878</v>
      </c>
      <c r="J11832">
        <v>1</v>
      </c>
      <c r="K11832">
        <v>456</v>
      </c>
      <c r="L11832">
        <v>1082</v>
      </c>
      <c r="M11832">
        <v>1</v>
      </c>
      <c r="N11832">
        <v>1.56352E-127</v>
      </c>
      <c r="O11832">
        <v>1169</v>
      </c>
    </row>
    <row r="11833" spans="1:15" x14ac:dyDescent="0.25">
      <c r="A11833" t="s">
        <v>11846</v>
      </c>
      <c r="B11833">
        <v>260</v>
      </c>
      <c r="C11833" s="1" t="str">
        <f>HYPERLINK("http://www.rosaceae.org/gb/gbrowse/malus_x_domestica/?name=MDP0000150000","MDP0000150000")</f>
        <v>MDP0000150000</v>
      </c>
      <c r="D11833">
        <v>31.06</v>
      </c>
      <c r="E11833">
        <v>206</v>
      </c>
      <c r="F11833">
        <v>142</v>
      </c>
      <c r="G11833">
        <v>30</v>
      </c>
      <c r="H11833">
        <v>31</v>
      </c>
      <c r="I11833">
        <v>215</v>
      </c>
      <c r="J11833">
        <v>1</v>
      </c>
      <c r="K11833">
        <v>121</v>
      </c>
      <c r="L11833">
        <v>317</v>
      </c>
      <c r="M11833">
        <v>1</v>
      </c>
      <c r="N11833">
        <v>1.21261E-19</v>
      </c>
      <c r="O11833">
        <v>233</v>
      </c>
    </row>
    <row r="11834" spans="1:15" x14ac:dyDescent="0.25">
      <c r="A11834" t="s">
        <v>11847</v>
      </c>
      <c r="B11834">
        <v>120</v>
      </c>
      <c r="C11834" s="1" t="str">
        <f>HYPERLINK("http://www.rosaceae.org/gb/gbrowse/malus_x_domestica/?name=MDP0000472176","MDP0000472176")</f>
        <v>MDP0000472176</v>
      </c>
      <c r="D11834">
        <v>56.89</v>
      </c>
      <c r="E11834">
        <v>116</v>
      </c>
      <c r="F11834">
        <v>50</v>
      </c>
      <c r="G11834">
        <v>5</v>
      </c>
      <c r="H11834">
        <v>1</v>
      </c>
      <c r="I11834">
        <v>116</v>
      </c>
      <c r="J11834">
        <v>1</v>
      </c>
      <c r="K11834">
        <v>793</v>
      </c>
      <c r="L11834">
        <v>903</v>
      </c>
      <c r="M11834">
        <v>1</v>
      </c>
      <c r="N11834">
        <v>1.22328E-31</v>
      </c>
      <c r="O11834">
        <v>330</v>
      </c>
    </row>
    <row r="11835" spans="1:15" x14ac:dyDescent="0.25">
      <c r="A11835" t="s">
        <v>11848</v>
      </c>
      <c r="B11835">
        <v>305</v>
      </c>
      <c r="C11835" s="1" t="str">
        <f>HYPERLINK("http://www.rosaceae.org/gb/gbrowse/malus_x_domestica/?name=MDP0000449759","MDP0000449759")</f>
        <v>MDP0000449759</v>
      </c>
      <c r="D11835">
        <v>47.36</v>
      </c>
      <c r="E11835">
        <v>247</v>
      </c>
      <c r="F11835">
        <v>130</v>
      </c>
      <c r="G11835">
        <v>25</v>
      </c>
      <c r="H11835">
        <v>4</v>
      </c>
      <c r="I11835">
        <v>234</v>
      </c>
      <c r="J11835">
        <v>1</v>
      </c>
      <c r="K11835">
        <v>49</v>
      </c>
      <c r="L11835">
        <v>286</v>
      </c>
      <c r="M11835">
        <v>1</v>
      </c>
      <c r="N11835">
        <v>2.6308700000000002E-47</v>
      </c>
      <c r="O11835">
        <v>472</v>
      </c>
    </row>
    <row r="11836" spans="1:15" x14ac:dyDescent="0.25">
      <c r="A11836" t="s">
        <v>11849</v>
      </c>
      <c r="B11836">
        <v>816</v>
      </c>
      <c r="C11836" s="1" t="str">
        <f>HYPERLINK("http://www.rosaceae.org/gb/gbrowse/malus_x_domestica/?name=MDP0000237496","MDP0000237496")</f>
        <v>MDP0000237496</v>
      </c>
      <c r="D11836">
        <v>45.92</v>
      </c>
      <c r="E11836">
        <v>823</v>
      </c>
      <c r="F11836">
        <v>445</v>
      </c>
      <c r="G11836">
        <v>92</v>
      </c>
      <c r="H11836">
        <v>14</v>
      </c>
      <c r="I11836">
        <v>754</v>
      </c>
      <c r="J11836">
        <v>1</v>
      </c>
      <c r="K11836">
        <v>63</v>
      </c>
      <c r="L11836">
        <v>875</v>
      </c>
      <c r="M11836">
        <v>1</v>
      </c>
      <c r="N11836">
        <v>1.6405E-167</v>
      </c>
      <c r="O11836">
        <v>1513</v>
      </c>
    </row>
    <row r="11837" spans="1:15" x14ac:dyDescent="0.25">
      <c r="A11837" t="s">
        <v>11850</v>
      </c>
      <c r="B11837">
        <v>396</v>
      </c>
      <c r="C11837" s="1" t="str">
        <f>HYPERLINK("http://www.rosaceae.org/gb/gbrowse/malus_x_domestica/?name=MDP0000165802","MDP0000165802")</f>
        <v>MDP0000165802</v>
      </c>
      <c r="D11837">
        <v>40.590000000000003</v>
      </c>
      <c r="E11837">
        <v>101</v>
      </c>
      <c r="F11837">
        <v>60</v>
      </c>
      <c r="G11837">
        <v>11</v>
      </c>
      <c r="H11837">
        <v>9</v>
      </c>
      <c r="I11837">
        <v>102</v>
      </c>
      <c r="J11837">
        <v>1</v>
      </c>
      <c r="K11837">
        <v>448</v>
      </c>
      <c r="L11837">
        <v>544</v>
      </c>
      <c r="M11837">
        <v>1</v>
      </c>
      <c r="N11837">
        <v>4.3480199999999999E-12</v>
      </c>
      <c r="O11837">
        <v>170</v>
      </c>
    </row>
    <row r="11838" spans="1:15" x14ac:dyDescent="0.25">
      <c r="A11838" t="s">
        <v>11851</v>
      </c>
      <c r="B11838">
        <v>331</v>
      </c>
      <c r="C11838" s="1" t="str">
        <f>HYPERLINK("http://www.rosaceae.org/gb/gbrowse/malus_x_domestica/?name=MDP0000247921","MDP0000247921")</f>
        <v>MDP0000247921</v>
      </c>
      <c r="D11838">
        <v>31.49</v>
      </c>
      <c r="E11838">
        <v>181</v>
      </c>
      <c r="F11838">
        <v>124</v>
      </c>
      <c r="G11838">
        <v>38</v>
      </c>
      <c r="H11838">
        <v>19</v>
      </c>
      <c r="I11838">
        <v>161</v>
      </c>
      <c r="J11838">
        <v>1</v>
      </c>
      <c r="K11838">
        <v>563</v>
      </c>
      <c r="L11838">
        <v>743</v>
      </c>
      <c r="M11838">
        <v>1</v>
      </c>
      <c r="N11838">
        <v>3.1763300000000001E-17</v>
      </c>
      <c r="O11838">
        <v>213</v>
      </c>
    </row>
    <row r="11839" spans="1:15" x14ac:dyDescent="0.25">
      <c r="A11839" t="s">
        <v>11852</v>
      </c>
      <c r="B11839">
        <v>369</v>
      </c>
      <c r="C11839" s="1" t="str">
        <f>HYPERLINK("http://www.rosaceae.org/gb/gbrowse/malus_x_domestica/?name=MDP0000181436","MDP0000181436")</f>
        <v>MDP0000181436</v>
      </c>
      <c r="D11839">
        <v>80</v>
      </c>
      <c r="E11839">
        <v>300</v>
      </c>
      <c r="F11839">
        <v>60</v>
      </c>
      <c r="G11839">
        <v>0</v>
      </c>
      <c r="H11839">
        <v>68</v>
      </c>
      <c r="I11839">
        <v>367</v>
      </c>
      <c r="J11839">
        <v>1</v>
      </c>
      <c r="K11839">
        <v>2</v>
      </c>
      <c r="L11839">
        <v>301</v>
      </c>
      <c r="M11839">
        <v>1</v>
      </c>
      <c r="N11839">
        <v>1.4873200000000001E-149</v>
      </c>
      <c r="O11839">
        <v>1355</v>
      </c>
    </row>
    <row r="11840" spans="1:15" x14ac:dyDescent="0.25">
      <c r="A11840" t="s">
        <v>11853</v>
      </c>
      <c r="B11840">
        <v>545</v>
      </c>
      <c r="C11840" s="1" t="str">
        <f>HYPERLINK("http://www.rosaceae.org/gb/gbrowse/malus_x_domestica/?name=MDP0000312342","MDP0000312342")</f>
        <v>MDP0000312342</v>
      </c>
      <c r="D11840">
        <v>37.32</v>
      </c>
      <c r="E11840">
        <v>367</v>
      </c>
      <c r="F11840">
        <v>230</v>
      </c>
      <c r="G11840">
        <v>44</v>
      </c>
      <c r="H11840">
        <v>198</v>
      </c>
      <c r="I11840">
        <v>532</v>
      </c>
      <c r="J11840">
        <v>1</v>
      </c>
      <c r="K11840">
        <v>9</v>
      </c>
      <c r="L11840">
        <v>363</v>
      </c>
      <c r="M11840">
        <v>1</v>
      </c>
      <c r="N11840">
        <v>1.8213500000000001E-56</v>
      </c>
      <c r="O11840">
        <v>554</v>
      </c>
    </row>
    <row r="11841" spans="1:15" x14ac:dyDescent="0.25">
      <c r="A11841" t="s">
        <v>11854</v>
      </c>
      <c r="B11841">
        <v>183</v>
      </c>
      <c r="C11841" s="1" t="str">
        <f>HYPERLINK("http://www.rosaceae.org/gb/gbrowse/malus_x_domestica/?name=MDP0000185841","MDP0000185841")</f>
        <v>MDP0000185841</v>
      </c>
      <c r="D11841">
        <v>63.45</v>
      </c>
      <c r="E11841">
        <v>197</v>
      </c>
      <c r="F11841">
        <v>72</v>
      </c>
      <c r="G11841">
        <v>17</v>
      </c>
      <c r="H11841">
        <v>1</v>
      </c>
      <c r="I11841">
        <v>183</v>
      </c>
      <c r="J11841">
        <v>1</v>
      </c>
      <c r="K11841">
        <v>1</v>
      </c>
      <c r="L11841">
        <v>194</v>
      </c>
      <c r="M11841">
        <v>1</v>
      </c>
      <c r="N11841">
        <v>1.1699599999999999E-59</v>
      </c>
      <c r="O11841">
        <v>575</v>
      </c>
    </row>
    <row r="11842" spans="1:15" x14ac:dyDescent="0.25">
      <c r="A11842" t="s">
        <v>11855</v>
      </c>
      <c r="B11842">
        <v>1420</v>
      </c>
      <c r="C11842" s="1" t="str">
        <f>HYPERLINK("http://www.rosaceae.org/gb/gbrowse/malus_x_domestica/?name=MDP0000129069","MDP0000129069")</f>
        <v>MDP0000129069</v>
      </c>
      <c r="D11842">
        <v>84.46</v>
      </c>
      <c r="E11842">
        <v>1429</v>
      </c>
      <c r="F11842">
        <v>222</v>
      </c>
      <c r="G11842">
        <v>30</v>
      </c>
      <c r="H11842">
        <v>1</v>
      </c>
      <c r="I11842">
        <v>1400</v>
      </c>
      <c r="J11842">
        <v>1</v>
      </c>
      <c r="K11842">
        <v>1</v>
      </c>
      <c r="L11842">
        <v>1428</v>
      </c>
      <c r="M11842">
        <v>1</v>
      </c>
      <c r="N11842">
        <v>0</v>
      </c>
      <c r="O11842">
        <v>6444</v>
      </c>
    </row>
    <row r="11843" spans="1:15" x14ac:dyDescent="0.25">
      <c r="A11843" t="s">
        <v>11856</v>
      </c>
      <c r="B11843">
        <v>143</v>
      </c>
      <c r="C11843" s="1" t="str">
        <f>HYPERLINK("http://www.rosaceae.org/gb/gbrowse/malus_x_domestica/?name=MDP0000148855","MDP0000148855")</f>
        <v>MDP0000148855</v>
      </c>
      <c r="D11843">
        <v>46.09</v>
      </c>
      <c r="E11843">
        <v>128</v>
      </c>
      <c r="F11843">
        <v>69</v>
      </c>
      <c r="G11843">
        <v>28</v>
      </c>
      <c r="H11843">
        <v>31</v>
      </c>
      <c r="I11843">
        <v>140</v>
      </c>
      <c r="J11843">
        <v>1</v>
      </c>
      <c r="K11843">
        <v>40</v>
      </c>
      <c r="L11843">
        <v>157</v>
      </c>
      <c r="M11843">
        <v>1</v>
      </c>
      <c r="N11843">
        <v>6.9793699999999998E-21</v>
      </c>
      <c r="O11843">
        <v>239</v>
      </c>
    </row>
    <row r="11844" spans="1:15" x14ac:dyDescent="0.25">
      <c r="A11844" t="s">
        <v>11857</v>
      </c>
      <c r="B11844">
        <v>250</v>
      </c>
      <c r="C11844" s="1" t="str">
        <f>HYPERLINK("http://www.rosaceae.org/gb/gbrowse/malus_x_domestica/?name=MDP0000122345","MDP0000122345")</f>
        <v>MDP0000122345</v>
      </c>
      <c r="D11844">
        <v>82</v>
      </c>
      <c r="E11844">
        <v>250</v>
      </c>
      <c r="F11844">
        <v>45</v>
      </c>
      <c r="G11844">
        <v>0</v>
      </c>
      <c r="H11844">
        <v>1</v>
      </c>
      <c r="I11844">
        <v>250</v>
      </c>
      <c r="J11844">
        <v>1</v>
      </c>
      <c r="K11844">
        <v>235</v>
      </c>
      <c r="L11844">
        <v>484</v>
      </c>
      <c r="M11844">
        <v>1</v>
      </c>
      <c r="N11844">
        <v>2.3798400000000002E-117</v>
      </c>
      <c r="O11844">
        <v>1075</v>
      </c>
    </row>
    <row r="11845" spans="1:15" x14ac:dyDescent="0.25">
      <c r="A11845" t="s">
        <v>11858</v>
      </c>
      <c r="B11845">
        <v>412</v>
      </c>
      <c r="C11845" s="1" t="str">
        <f>HYPERLINK("http://www.rosaceae.org/gb/gbrowse/malus_x_domestica/?name=MDP0000159058","MDP0000159058")</f>
        <v>MDP0000159058</v>
      </c>
      <c r="D11845">
        <v>73.09</v>
      </c>
      <c r="E11845">
        <v>368</v>
      </c>
      <c r="F11845">
        <v>99</v>
      </c>
      <c r="G11845">
        <v>20</v>
      </c>
      <c r="H11845">
        <v>45</v>
      </c>
      <c r="I11845">
        <v>412</v>
      </c>
      <c r="J11845">
        <v>1</v>
      </c>
      <c r="K11845">
        <v>869</v>
      </c>
      <c r="L11845">
        <v>1216</v>
      </c>
      <c r="M11845">
        <v>1</v>
      </c>
      <c r="N11845">
        <v>1.4175900000000001E-149</v>
      </c>
      <c r="O11845">
        <v>1355</v>
      </c>
    </row>
    <row r="11846" spans="1:15" x14ac:dyDescent="0.25">
      <c r="A11846" t="s">
        <v>11859</v>
      </c>
      <c r="B11846">
        <v>590</v>
      </c>
      <c r="C11846" s="1" t="str">
        <f>HYPERLINK("http://www.rosaceae.org/gb/gbrowse/malus_x_domestica/?name=MDP0000255245","MDP0000255245")</f>
        <v>MDP0000255245</v>
      </c>
      <c r="D11846">
        <v>51.1</v>
      </c>
      <c r="E11846">
        <v>634</v>
      </c>
      <c r="F11846">
        <v>310</v>
      </c>
      <c r="G11846">
        <v>84</v>
      </c>
      <c r="H11846">
        <v>22</v>
      </c>
      <c r="I11846">
        <v>580</v>
      </c>
      <c r="J11846">
        <v>1</v>
      </c>
      <c r="K11846">
        <v>280</v>
      </c>
      <c r="L11846">
        <v>904</v>
      </c>
      <c r="M11846">
        <v>1</v>
      </c>
      <c r="N11846">
        <v>2.0632099999999999E-174</v>
      </c>
      <c r="O11846">
        <v>1571</v>
      </c>
    </row>
    <row r="11847" spans="1:15" x14ac:dyDescent="0.25">
      <c r="A11847" t="s">
        <v>11860</v>
      </c>
      <c r="B11847">
        <v>691</v>
      </c>
      <c r="C11847" s="1" t="str">
        <f>HYPERLINK("http://www.rosaceae.org/gb/gbrowse/malus_x_domestica/?name=MDP0000375181","MDP0000375181")</f>
        <v>MDP0000375181</v>
      </c>
      <c r="D11847">
        <v>80.319999999999993</v>
      </c>
      <c r="E11847">
        <v>366</v>
      </c>
      <c r="F11847">
        <v>72</v>
      </c>
      <c r="G11847">
        <v>12</v>
      </c>
      <c r="H11847">
        <v>338</v>
      </c>
      <c r="I11847">
        <v>691</v>
      </c>
      <c r="J11847">
        <v>1</v>
      </c>
      <c r="K11847">
        <v>29</v>
      </c>
      <c r="L11847">
        <v>394</v>
      </c>
      <c r="M11847">
        <v>1</v>
      </c>
      <c r="N11847">
        <v>9.19833E-175</v>
      </c>
      <c r="O11847">
        <v>1575</v>
      </c>
    </row>
    <row r="11848" spans="1:15" x14ac:dyDescent="0.25">
      <c r="A11848" t="s">
        <v>11861</v>
      </c>
      <c r="B11848">
        <v>188</v>
      </c>
      <c r="C11848" s="1" t="str">
        <f>HYPERLINK("http://www.rosaceae.org/gb/gbrowse/malus_x_domestica/?name=MDP0000192471","MDP0000192471")</f>
        <v>MDP0000192471</v>
      </c>
      <c r="D11848">
        <v>50.43</v>
      </c>
      <c r="E11848">
        <v>230</v>
      </c>
      <c r="F11848">
        <v>114</v>
      </c>
      <c r="G11848">
        <v>42</v>
      </c>
      <c r="H11848">
        <v>1</v>
      </c>
      <c r="I11848">
        <v>188</v>
      </c>
      <c r="J11848">
        <v>1</v>
      </c>
      <c r="K11848">
        <v>1</v>
      </c>
      <c r="L11848">
        <v>230</v>
      </c>
      <c r="M11848">
        <v>1</v>
      </c>
      <c r="N11848">
        <v>1.03247E-52</v>
      </c>
      <c r="O11848">
        <v>516</v>
      </c>
    </row>
    <row r="11849" spans="1:15" x14ac:dyDescent="0.25">
      <c r="A11849" t="s">
        <v>11862</v>
      </c>
      <c r="B11849">
        <v>371</v>
      </c>
      <c r="C11849" s="1" t="str">
        <f>HYPERLINK("http://www.rosaceae.org/gb/gbrowse/malus_x_domestica/?name=MDP0000296517","MDP0000296517")</f>
        <v>MDP0000296517</v>
      </c>
      <c r="D11849">
        <v>66.28</v>
      </c>
      <c r="E11849">
        <v>264</v>
      </c>
      <c r="F11849">
        <v>89</v>
      </c>
      <c r="G11849">
        <v>7</v>
      </c>
      <c r="H11849">
        <v>107</v>
      </c>
      <c r="I11849">
        <v>369</v>
      </c>
      <c r="J11849">
        <v>1</v>
      </c>
      <c r="K11849">
        <v>326</v>
      </c>
      <c r="L11849">
        <v>583</v>
      </c>
      <c r="M11849">
        <v>1</v>
      </c>
      <c r="N11849">
        <v>1.1628299999999999E-103</v>
      </c>
      <c r="O11849">
        <v>959</v>
      </c>
    </row>
    <row r="11850" spans="1:15" x14ac:dyDescent="0.25">
      <c r="A11850" t="s">
        <v>11863</v>
      </c>
      <c r="B11850">
        <v>255</v>
      </c>
      <c r="C11850" s="1" t="str">
        <f>HYPERLINK("http://www.rosaceae.org/gb/gbrowse/malus_x_domestica/?name=MDP0000604443","MDP0000604443")</f>
        <v>MDP0000604443</v>
      </c>
      <c r="D11850">
        <v>66.540000000000006</v>
      </c>
      <c r="E11850">
        <v>266</v>
      </c>
      <c r="F11850">
        <v>89</v>
      </c>
      <c r="G11850">
        <v>15</v>
      </c>
      <c r="H11850">
        <v>1</v>
      </c>
      <c r="I11850">
        <v>255</v>
      </c>
      <c r="J11850">
        <v>1</v>
      </c>
      <c r="K11850">
        <v>1</v>
      </c>
      <c r="L11850">
        <v>262</v>
      </c>
      <c r="M11850">
        <v>1</v>
      </c>
      <c r="N11850">
        <v>8.8935899999999992E-87</v>
      </c>
      <c r="O11850">
        <v>811</v>
      </c>
    </row>
    <row r="11851" spans="1:15" x14ac:dyDescent="0.25">
      <c r="A11851" t="s">
        <v>11864</v>
      </c>
      <c r="B11851">
        <v>367</v>
      </c>
      <c r="C11851" s="1" t="str">
        <f>HYPERLINK("http://www.rosaceae.org/gb/gbrowse/malus_x_domestica/?name=MDP0000263529","MDP0000263529")</f>
        <v>MDP0000263529</v>
      </c>
      <c r="D11851">
        <v>66.91</v>
      </c>
      <c r="E11851">
        <v>408</v>
      </c>
      <c r="F11851">
        <v>135</v>
      </c>
      <c r="G11851">
        <v>41</v>
      </c>
      <c r="H11851">
        <v>1</v>
      </c>
      <c r="I11851">
        <v>367</v>
      </c>
      <c r="J11851">
        <v>1</v>
      </c>
      <c r="K11851">
        <v>42</v>
      </c>
      <c r="L11851">
        <v>449</v>
      </c>
      <c r="M11851">
        <v>1</v>
      </c>
      <c r="N11851">
        <v>3.78613E-152</v>
      </c>
      <c r="O11851">
        <v>1377</v>
      </c>
    </row>
    <row r="11852" spans="1:15" x14ac:dyDescent="0.25">
      <c r="A11852" t="s">
        <v>11865</v>
      </c>
      <c r="B11852">
        <v>263</v>
      </c>
      <c r="C11852" s="1" t="str">
        <f>HYPERLINK("http://www.rosaceae.org/gb/gbrowse/malus_x_domestica/?name=MDP0000158598","MDP0000158598")</f>
        <v>MDP0000158598</v>
      </c>
      <c r="D11852">
        <v>37.840000000000003</v>
      </c>
      <c r="E11852">
        <v>325</v>
      </c>
      <c r="F11852">
        <v>202</v>
      </c>
      <c r="G11852">
        <v>91</v>
      </c>
      <c r="H11852">
        <v>16</v>
      </c>
      <c r="I11852">
        <v>249</v>
      </c>
      <c r="J11852">
        <v>1</v>
      </c>
      <c r="K11852">
        <v>16</v>
      </c>
      <c r="L11852">
        <v>340</v>
      </c>
      <c r="M11852">
        <v>1</v>
      </c>
      <c r="N11852">
        <v>8.8509999999999996E-48</v>
      </c>
      <c r="O11852">
        <v>475</v>
      </c>
    </row>
    <row r="11853" spans="1:15" x14ac:dyDescent="0.25">
      <c r="A11853" t="s">
        <v>11866</v>
      </c>
      <c r="B11853">
        <v>719</v>
      </c>
      <c r="C11853" s="1" t="str">
        <f>HYPERLINK("http://www.rosaceae.org/gb/gbrowse/malus_x_domestica/?name=MDP0000945841","MDP0000945841")</f>
        <v>MDP0000945841</v>
      </c>
      <c r="D11853">
        <v>66.94</v>
      </c>
      <c r="E11853">
        <v>717</v>
      </c>
      <c r="F11853">
        <v>237</v>
      </c>
      <c r="G11853">
        <v>56</v>
      </c>
      <c r="H11853">
        <v>1</v>
      </c>
      <c r="I11853">
        <v>664</v>
      </c>
      <c r="J11853">
        <v>1</v>
      </c>
      <c r="K11853">
        <v>5</v>
      </c>
      <c r="L11853">
        <v>718</v>
      </c>
      <c r="M11853">
        <v>1</v>
      </c>
      <c r="N11853">
        <v>0</v>
      </c>
      <c r="O11853">
        <v>2451</v>
      </c>
    </row>
    <row r="11854" spans="1:15" x14ac:dyDescent="0.25">
      <c r="A11854" t="s">
        <v>11867</v>
      </c>
      <c r="B11854">
        <v>1141</v>
      </c>
      <c r="C11854" s="1" t="str">
        <f>HYPERLINK("http://www.rosaceae.org/gb/gbrowse/malus_x_domestica/?name=MDP0000314814","MDP0000314814")</f>
        <v>MDP0000314814</v>
      </c>
      <c r="D11854">
        <v>82.55</v>
      </c>
      <c r="E11854">
        <v>1026</v>
      </c>
      <c r="F11854">
        <v>179</v>
      </c>
      <c r="G11854">
        <v>72</v>
      </c>
      <c r="H11854">
        <v>1</v>
      </c>
      <c r="I11854">
        <v>984</v>
      </c>
      <c r="J11854">
        <v>1</v>
      </c>
      <c r="K11854">
        <v>1</v>
      </c>
      <c r="L11854">
        <v>996</v>
      </c>
      <c r="M11854">
        <v>1</v>
      </c>
      <c r="N11854">
        <v>0</v>
      </c>
      <c r="O11854">
        <v>4402</v>
      </c>
    </row>
    <row r="11855" spans="1:15" x14ac:dyDescent="0.25">
      <c r="A11855" t="s">
        <v>11868</v>
      </c>
      <c r="B11855">
        <v>448</v>
      </c>
      <c r="C11855" s="1" t="str">
        <f>HYPERLINK("http://www.rosaceae.org/gb/gbrowse/malus_x_domestica/?name=MDP0000769656","MDP0000769656")</f>
        <v>MDP0000769656</v>
      </c>
      <c r="D11855">
        <v>52.9</v>
      </c>
      <c r="E11855">
        <v>448</v>
      </c>
      <c r="F11855">
        <v>211</v>
      </c>
      <c r="G11855">
        <v>18</v>
      </c>
      <c r="H11855">
        <v>1</v>
      </c>
      <c r="I11855">
        <v>448</v>
      </c>
      <c r="J11855">
        <v>1</v>
      </c>
      <c r="K11855">
        <v>1</v>
      </c>
      <c r="L11855">
        <v>430</v>
      </c>
      <c r="M11855">
        <v>1</v>
      </c>
      <c r="N11855">
        <v>9.9408999999999996E-123</v>
      </c>
      <c r="O11855">
        <v>1124</v>
      </c>
    </row>
    <row r="11856" spans="1:15" x14ac:dyDescent="0.25">
      <c r="A11856" t="s">
        <v>11869</v>
      </c>
      <c r="B11856">
        <v>330</v>
      </c>
      <c r="C11856" s="1" t="str">
        <f>HYPERLINK("http://www.rosaceae.org/gb/gbrowse/malus_x_domestica/?name=MDP0000772371","MDP0000772371")</f>
        <v>MDP0000772371</v>
      </c>
      <c r="D11856">
        <v>49.69</v>
      </c>
      <c r="E11856">
        <v>324</v>
      </c>
      <c r="F11856">
        <v>163</v>
      </c>
      <c r="G11856">
        <v>43</v>
      </c>
      <c r="H11856">
        <v>18</v>
      </c>
      <c r="I11856">
        <v>330</v>
      </c>
      <c r="J11856">
        <v>1</v>
      </c>
      <c r="K11856">
        <v>36</v>
      </c>
      <c r="L11856">
        <v>327</v>
      </c>
      <c r="M11856">
        <v>1</v>
      </c>
      <c r="N11856">
        <v>4.7769200000000002E-62</v>
      </c>
      <c r="O11856">
        <v>600</v>
      </c>
    </row>
    <row r="11857" spans="1:15" x14ac:dyDescent="0.25">
      <c r="A11857" t="s">
        <v>11870</v>
      </c>
      <c r="B11857">
        <v>231</v>
      </c>
      <c r="C11857" s="1" t="str">
        <f>HYPERLINK("http://www.rosaceae.org/gb/gbrowse/malus_x_domestica/?name=MDP0000730994","MDP0000730994")</f>
        <v>MDP0000730994</v>
      </c>
      <c r="D11857">
        <v>57.75</v>
      </c>
      <c r="E11857">
        <v>232</v>
      </c>
      <c r="F11857">
        <v>98</v>
      </c>
      <c r="G11857">
        <v>15</v>
      </c>
      <c r="H11857">
        <v>1</v>
      </c>
      <c r="I11857">
        <v>231</v>
      </c>
      <c r="J11857">
        <v>1</v>
      </c>
      <c r="K11857">
        <v>1</v>
      </c>
      <c r="L11857">
        <v>218</v>
      </c>
      <c r="M11857">
        <v>1</v>
      </c>
      <c r="N11857">
        <v>2.6522899999999998E-60</v>
      </c>
      <c r="O11857">
        <v>583</v>
      </c>
    </row>
    <row r="11858" spans="1:15" x14ac:dyDescent="0.25">
      <c r="A11858" t="s">
        <v>11871</v>
      </c>
      <c r="B11858">
        <v>219</v>
      </c>
      <c r="C11858" s="1" t="str">
        <f>HYPERLINK("http://www.rosaceae.org/gb/gbrowse/malus_x_domestica/?name=MDP0000244352","MDP0000244352")</f>
        <v>MDP0000244352</v>
      </c>
      <c r="D11858">
        <v>65.099999999999994</v>
      </c>
      <c r="E11858">
        <v>149</v>
      </c>
      <c r="F11858">
        <v>52</v>
      </c>
      <c r="G11858">
        <v>6</v>
      </c>
      <c r="H11858">
        <v>23</v>
      </c>
      <c r="I11858">
        <v>171</v>
      </c>
      <c r="J11858">
        <v>1</v>
      </c>
      <c r="K11858">
        <v>144</v>
      </c>
      <c r="L11858">
        <v>286</v>
      </c>
      <c r="M11858">
        <v>1</v>
      </c>
      <c r="N11858">
        <v>7.4808300000000004E-50</v>
      </c>
      <c r="O11858">
        <v>492</v>
      </c>
    </row>
    <row r="11859" spans="1:15" x14ac:dyDescent="0.25">
      <c r="A11859" t="s">
        <v>11872</v>
      </c>
      <c r="B11859">
        <v>1015</v>
      </c>
      <c r="C11859" s="1" t="str">
        <f>HYPERLINK("http://www.rosaceae.org/gb/gbrowse/malus_x_domestica/?name=MDP0000318861","MDP0000318861")</f>
        <v>MDP0000318861</v>
      </c>
      <c r="D11859">
        <v>81.569999999999993</v>
      </c>
      <c r="E11859">
        <v>776</v>
      </c>
      <c r="F11859">
        <v>143</v>
      </c>
      <c r="G11859">
        <v>1</v>
      </c>
      <c r="H11859">
        <v>241</v>
      </c>
      <c r="I11859">
        <v>1015</v>
      </c>
      <c r="J11859">
        <v>1</v>
      </c>
      <c r="K11859">
        <v>1</v>
      </c>
      <c r="L11859">
        <v>776</v>
      </c>
      <c r="M11859">
        <v>1</v>
      </c>
      <c r="N11859">
        <v>0</v>
      </c>
      <c r="O11859">
        <v>3464</v>
      </c>
    </row>
    <row r="11860" spans="1:15" x14ac:dyDescent="0.25">
      <c r="A11860" t="s">
        <v>11873</v>
      </c>
      <c r="B11860">
        <v>520</v>
      </c>
      <c r="C11860" s="1" t="str">
        <f>HYPERLINK("http://www.rosaceae.org/gb/gbrowse/malus_x_domestica/?name=MDP0000777828","MDP0000777828")</f>
        <v>MDP0000777828</v>
      </c>
      <c r="D11860">
        <v>71.56</v>
      </c>
      <c r="E11860">
        <v>538</v>
      </c>
      <c r="F11860">
        <v>153</v>
      </c>
      <c r="G11860">
        <v>26</v>
      </c>
      <c r="H11860">
        <v>1</v>
      </c>
      <c r="I11860">
        <v>514</v>
      </c>
      <c r="J11860">
        <v>1</v>
      </c>
      <c r="K11860">
        <v>1</v>
      </c>
      <c r="L11860">
        <v>536</v>
      </c>
      <c r="M11860">
        <v>1</v>
      </c>
      <c r="N11860">
        <v>0</v>
      </c>
      <c r="O11860">
        <v>1959</v>
      </c>
    </row>
    <row r="11861" spans="1:15" x14ac:dyDescent="0.25">
      <c r="A11861" t="s">
        <v>11874</v>
      </c>
      <c r="B11861">
        <v>395</v>
      </c>
      <c r="C11861" s="1" t="str">
        <f>HYPERLINK("http://www.rosaceae.org/gb/gbrowse/malus_x_domestica/?name=MDP0000132788","MDP0000132788")</f>
        <v>MDP0000132788</v>
      </c>
      <c r="D11861">
        <v>70.680000000000007</v>
      </c>
      <c r="E11861">
        <v>440</v>
      </c>
      <c r="F11861">
        <v>129</v>
      </c>
      <c r="G11861">
        <v>47</v>
      </c>
      <c r="H11861">
        <v>3</v>
      </c>
      <c r="I11861">
        <v>395</v>
      </c>
      <c r="J11861">
        <v>1</v>
      </c>
      <c r="K11861">
        <v>2</v>
      </c>
      <c r="L11861">
        <v>441</v>
      </c>
      <c r="M11861">
        <v>1</v>
      </c>
      <c r="N11861">
        <v>1.84036E-174</v>
      </c>
      <c r="O11861">
        <v>1570</v>
      </c>
    </row>
    <row r="11862" spans="1:15" x14ac:dyDescent="0.25">
      <c r="A11862" t="s">
        <v>11875</v>
      </c>
      <c r="B11862">
        <v>109</v>
      </c>
      <c r="C11862" s="1" t="str">
        <f>HYPERLINK("http://www.rosaceae.org/gb/gbrowse/malus_x_domestica/?name=MDP0000512591","MDP0000512591")</f>
        <v>MDP0000512591</v>
      </c>
      <c r="D11862">
        <v>37.869999999999997</v>
      </c>
      <c r="E11862">
        <v>66</v>
      </c>
      <c r="F11862">
        <v>41</v>
      </c>
      <c r="G11862">
        <v>5</v>
      </c>
      <c r="H11862">
        <v>38</v>
      </c>
      <c r="I11862">
        <v>103</v>
      </c>
      <c r="J11862">
        <v>1</v>
      </c>
      <c r="K11862">
        <v>16</v>
      </c>
      <c r="L11862">
        <v>76</v>
      </c>
      <c r="M11862">
        <v>1</v>
      </c>
      <c r="N11862">
        <v>3.1449600000000001E-7</v>
      </c>
      <c r="O11862">
        <v>120</v>
      </c>
    </row>
    <row r="11863" spans="1:15" x14ac:dyDescent="0.25">
      <c r="A11863" t="s">
        <v>11876</v>
      </c>
      <c r="B11863">
        <v>248</v>
      </c>
      <c r="C11863" s="1" t="str">
        <f>HYPERLINK("http://www.rosaceae.org/gb/gbrowse/malus_x_domestica/?name=MDP0000136844","MDP0000136844")</f>
        <v>MDP0000136844</v>
      </c>
      <c r="D11863">
        <v>44.5</v>
      </c>
      <c r="E11863">
        <v>173</v>
      </c>
      <c r="F11863">
        <v>96</v>
      </c>
      <c r="G11863">
        <v>31</v>
      </c>
      <c r="H11863">
        <v>101</v>
      </c>
      <c r="I11863">
        <v>242</v>
      </c>
      <c r="J11863">
        <v>1</v>
      </c>
      <c r="K11863">
        <v>628</v>
      </c>
      <c r="L11863">
        <v>800</v>
      </c>
      <c r="M11863">
        <v>1</v>
      </c>
      <c r="N11863">
        <v>2.1967099999999999E-30</v>
      </c>
      <c r="O11863">
        <v>325</v>
      </c>
    </row>
    <row r="11864" spans="1:15" x14ac:dyDescent="0.25">
      <c r="A11864" t="s">
        <v>11877</v>
      </c>
      <c r="B11864">
        <v>392</v>
      </c>
      <c r="C11864" s="1" t="str">
        <f>HYPERLINK("http://www.rosaceae.org/gb/gbrowse/malus_x_domestica/?name=MDP0000321320","MDP0000321320")</f>
        <v>MDP0000321320</v>
      </c>
      <c r="D11864">
        <v>75</v>
      </c>
      <c r="E11864">
        <v>332</v>
      </c>
      <c r="F11864">
        <v>83</v>
      </c>
      <c r="G11864">
        <v>6</v>
      </c>
      <c r="H11864">
        <v>31</v>
      </c>
      <c r="I11864">
        <v>356</v>
      </c>
      <c r="J11864">
        <v>1</v>
      </c>
      <c r="K11864">
        <v>64</v>
      </c>
      <c r="L11864">
        <v>395</v>
      </c>
      <c r="M11864">
        <v>1</v>
      </c>
      <c r="N11864">
        <v>1.8843699999999999E-139</v>
      </c>
      <c r="O11864">
        <v>1268</v>
      </c>
    </row>
    <row r="11865" spans="1:15" x14ac:dyDescent="0.25">
      <c r="A11865" t="s">
        <v>11878</v>
      </c>
      <c r="B11865">
        <v>133</v>
      </c>
      <c r="C11865" s="1" t="str">
        <f>HYPERLINK("http://www.rosaceae.org/gb/gbrowse/malus_x_domestica/?name=MDP0000268423","MDP0000268423")</f>
        <v>MDP0000268423</v>
      </c>
      <c r="D11865">
        <v>72.849999999999994</v>
      </c>
      <c r="E11865">
        <v>70</v>
      </c>
      <c r="F11865">
        <v>19</v>
      </c>
      <c r="G11865">
        <v>1</v>
      </c>
      <c r="H11865">
        <v>24</v>
      </c>
      <c r="I11865">
        <v>93</v>
      </c>
      <c r="J11865">
        <v>1</v>
      </c>
      <c r="K11865">
        <v>30</v>
      </c>
      <c r="L11865">
        <v>98</v>
      </c>
      <c r="M11865">
        <v>1</v>
      </c>
      <c r="N11865">
        <v>2.2154199999999999E-26</v>
      </c>
      <c r="O11865">
        <v>286</v>
      </c>
    </row>
    <row r="11866" spans="1:15" x14ac:dyDescent="0.25">
      <c r="A11866" t="s">
        <v>11879</v>
      </c>
      <c r="B11866">
        <v>303</v>
      </c>
      <c r="C11866" s="1" t="str">
        <f>HYPERLINK("http://www.rosaceae.org/gb/gbrowse/malus_x_domestica/?name=MDP0000904158","MDP0000904158")</f>
        <v>MDP0000904158</v>
      </c>
      <c r="D11866">
        <v>84.38</v>
      </c>
      <c r="E11866">
        <v>301</v>
      </c>
      <c r="F11866">
        <v>47</v>
      </c>
      <c r="G11866">
        <v>1</v>
      </c>
      <c r="H11866">
        <v>1</v>
      </c>
      <c r="I11866">
        <v>300</v>
      </c>
      <c r="J11866">
        <v>1</v>
      </c>
      <c r="K11866">
        <v>1</v>
      </c>
      <c r="L11866">
        <v>301</v>
      </c>
      <c r="M11866">
        <v>1</v>
      </c>
      <c r="N11866">
        <v>1.79729E-147</v>
      </c>
      <c r="O11866">
        <v>1336</v>
      </c>
    </row>
    <row r="11867" spans="1:15" x14ac:dyDescent="0.25">
      <c r="A11867" t="s">
        <v>11880</v>
      </c>
      <c r="B11867">
        <v>325</v>
      </c>
      <c r="C11867" s="1" t="str">
        <f>HYPERLINK("http://www.rosaceae.org/gb/gbrowse/malus_x_domestica/?name=MDP0000425783","MDP0000425783")</f>
        <v>MDP0000425783</v>
      </c>
      <c r="D11867">
        <v>82.15</v>
      </c>
      <c r="E11867">
        <v>325</v>
      </c>
      <c r="F11867">
        <v>58</v>
      </c>
      <c r="G11867">
        <v>0</v>
      </c>
      <c r="H11867">
        <v>1</v>
      </c>
      <c r="I11867">
        <v>325</v>
      </c>
      <c r="J11867">
        <v>1</v>
      </c>
      <c r="K11867">
        <v>1</v>
      </c>
      <c r="L11867">
        <v>325</v>
      </c>
      <c r="M11867">
        <v>1</v>
      </c>
      <c r="N11867">
        <v>4.2952300000000001E-150</v>
      </c>
      <c r="O11867">
        <v>1359</v>
      </c>
    </row>
    <row r="11868" spans="1:15" x14ac:dyDescent="0.25">
      <c r="A11868" t="s">
        <v>11881</v>
      </c>
      <c r="B11868">
        <v>919</v>
      </c>
      <c r="C11868" s="1" t="str">
        <f>HYPERLINK("http://www.rosaceae.org/gb/gbrowse/malus_x_domestica/?name=MDP0000312258","MDP0000312258")</f>
        <v>MDP0000312258</v>
      </c>
      <c r="D11868">
        <v>49.48</v>
      </c>
      <c r="E11868">
        <v>784</v>
      </c>
      <c r="F11868">
        <v>396</v>
      </c>
      <c r="G11868">
        <v>101</v>
      </c>
      <c r="H11868">
        <v>131</v>
      </c>
      <c r="I11868">
        <v>864</v>
      </c>
      <c r="J11868">
        <v>1</v>
      </c>
      <c r="K11868">
        <v>1974</v>
      </c>
      <c r="L11868">
        <v>2706</v>
      </c>
      <c r="M11868">
        <v>1</v>
      </c>
      <c r="N11868">
        <v>0</v>
      </c>
      <c r="O11868">
        <v>1810</v>
      </c>
    </row>
    <row r="11869" spans="1:15" x14ac:dyDescent="0.25">
      <c r="A11869" t="s">
        <v>11882</v>
      </c>
      <c r="B11869">
        <v>376</v>
      </c>
      <c r="C11869" s="1" t="str">
        <f>HYPERLINK("http://www.rosaceae.org/gb/gbrowse/malus_x_domestica/?name=MDP0000035877","MDP0000035877")</f>
        <v>MDP0000035877</v>
      </c>
      <c r="D11869">
        <v>93.6</v>
      </c>
      <c r="E11869">
        <v>375</v>
      </c>
      <c r="F11869">
        <v>24</v>
      </c>
      <c r="G11869">
        <v>0</v>
      </c>
      <c r="H11869">
        <v>1</v>
      </c>
      <c r="I11869">
        <v>375</v>
      </c>
      <c r="J11869">
        <v>1</v>
      </c>
      <c r="K11869">
        <v>1</v>
      </c>
      <c r="L11869">
        <v>375</v>
      </c>
      <c r="M11869">
        <v>1</v>
      </c>
      <c r="N11869">
        <v>0</v>
      </c>
      <c r="O11869">
        <v>1898</v>
      </c>
    </row>
    <row r="11870" spans="1:15" x14ac:dyDescent="0.25">
      <c r="A11870" t="s">
        <v>11883</v>
      </c>
      <c r="B11870">
        <v>95</v>
      </c>
      <c r="C11870" s="1" t="str">
        <f>HYPERLINK("http://www.rosaceae.org/gb/gbrowse/malus_x_domestica/?name=MDP0000237666","MDP0000237666")</f>
        <v>MDP0000237666</v>
      </c>
      <c r="D11870">
        <v>69.64</v>
      </c>
      <c r="E11870">
        <v>56</v>
      </c>
      <c r="F11870">
        <v>17</v>
      </c>
      <c r="G11870">
        <v>2</v>
      </c>
      <c r="H11870">
        <v>42</v>
      </c>
      <c r="I11870">
        <v>95</v>
      </c>
      <c r="J11870">
        <v>1</v>
      </c>
      <c r="K11870">
        <v>1</v>
      </c>
      <c r="L11870">
        <v>56</v>
      </c>
      <c r="M11870">
        <v>1</v>
      </c>
      <c r="N11870">
        <v>3.6843299999999997E-15</v>
      </c>
      <c r="O11870">
        <v>188</v>
      </c>
    </row>
    <row r="11871" spans="1:15" x14ac:dyDescent="0.25">
      <c r="A11871" t="s">
        <v>11884</v>
      </c>
      <c r="B11871">
        <v>160</v>
      </c>
      <c r="C11871" s="1" t="str">
        <f>HYPERLINK("http://www.rosaceae.org/gb/gbrowse/malus_x_domestica/?name=MDP0000271903","MDP0000271903")</f>
        <v>MDP0000271903</v>
      </c>
      <c r="D11871">
        <v>55.75</v>
      </c>
      <c r="E11871">
        <v>113</v>
      </c>
      <c r="F11871">
        <v>50</v>
      </c>
      <c r="G11871">
        <v>0</v>
      </c>
      <c r="H11871">
        <v>47</v>
      </c>
      <c r="I11871">
        <v>159</v>
      </c>
      <c r="J11871">
        <v>1</v>
      </c>
      <c r="K11871">
        <v>15</v>
      </c>
      <c r="L11871">
        <v>127</v>
      </c>
      <c r="M11871">
        <v>1</v>
      </c>
      <c r="N11871">
        <v>2.8869500000000002E-32</v>
      </c>
      <c r="O11871">
        <v>338</v>
      </c>
    </row>
    <row r="11872" spans="1:15" x14ac:dyDescent="0.25">
      <c r="A11872" t="s">
        <v>11885</v>
      </c>
      <c r="B11872">
        <v>594</v>
      </c>
      <c r="C11872" s="1" t="str">
        <f>HYPERLINK("http://www.rosaceae.org/gb/gbrowse/malus_x_domestica/?name=MDP0000424666","MDP0000424666")</f>
        <v>MDP0000424666</v>
      </c>
      <c r="D11872">
        <v>37.979999999999997</v>
      </c>
      <c r="E11872">
        <v>487</v>
      </c>
      <c r="F11872">
        <v>302</v>
      </c>
      <c r="G11872">
        <v>92</v>
      </c>
      <c r="H11872">
        <v>44</v>
      </c>
      <c r="I11872">
        <v>479</v>
      </c>
      <c r="J11872">
        <v>1</v>
      </c>
      <c r="K11872">
        <v>56</v>
      </c>
      <c r="L11872">
        <v>501</v>
      </c>
      <c r="M11872">
        <v>1</v>
      </c>
      <c r="N11872">
        <v>3.4705499999999999E-78</v>
      </c>
      <c r="O11872">
        <v>742</v>
      </c>
    </row>
    <row r="11873" spans="1:15" x14ac:dyDescent="0.25">
      <c r="A11873" t="s">
        <v>11886</v>
      </c>
      <c r="B11873">
        <v>427</v>
      </c>
      <c r="C11873" s="1" t="str">
        <f>HYPERLINK("http://www.rosaceae.org/gb/gbrowse/malus_x_domestica/?name=MDP0000138173","MDP0000138173")</f>
        <v>MDP0000138173</v>
      </c>
      <c r="D11873">
        <v>61.86</v>
      </c>
      <c r="E11873">
        <v>375</v>
      </c>
      <c r="F11873">
        <v>143</v>
      </c>
      <c r="G11873">
        <v>35</v>
      </c>
      <c r="H11873">
        <v>29</v>
      </c>
      <c r="I11873">
        <v>400</v>
      </c>
      <c r="J11873">
        <v>1</v>
      </c>
      <c r="K11873">
        <v>1</v>
      </c>
      <c r="L11873">
        <v>343</v>
      </c>
      <c r="M11873">
        <v>1</v>
      </c>
      <c r="N11873">
        <v>1.29125E-118</v>
      </c>
      <c r="O11873">
        <v>1089</v>
      </c>
    </row>
    <row r="11874" spans="1:15" x14ac:dyDescent="0.25">
      <c r="A11874" t="s">
        <v>11887</v>
      </c>
      <c r="B11874">
        <v>694</v>
      </c>
      <c r="C11874" s="1" t="str">
        <f>HYPERLINK("http://www.rosaceae.org/gb/gbrowse/malus_x_domestica/?name=MDP0000293970","MDP0000293970")</f>
        <v>MDP0000293970</v>
      </c>
      <c r="D11874">
        <v>38.53</v>
      </c>
      <c r="E11874">
        <v>109</v>
      </c>
      <c r="F11874">
        <v>67</v>
      </c>
      <c r="G11874">
        <v>0</v>
      </c>
      <c r="H11874">
        <v>92</v>
      </c>
      <c r="I11874">
        <v>200</v>
      </c>
      <c r="J11874">
        <v>1</v>
      </c>
      <c r="K11874">
        <v>30</v>
      </c>
      <c r="L11874">
        <v>138</v>
      </c>
      <c r="M11874">
        <v>1</v>
      </c>
      <c r="N11874">
        <v>2.77041E-15</v>
      </c>
      <c r="O11874">
        <v>200</v>
      </c>
    </row>
    <row r="11875" spans="1:15" x14ac:dyDescent="0.25">
      <c r="A11875" t="s">
        <v>11888</v>
      </c>
      <c r="B11875">
        <v>150</v>
      </c>
      <c r="C11875" s="1" t="str">
        <f>HYPERLINK("http://www.rosaceae.org/gb/gbrowse/malus_x_domestica/?name=MDP0000159855","MDP0000159855")</f>
        <v>MDP0000159855</v>
      </c>
      <c r="D11875">
        <v>68.349999999999994</v>
      </c>
      <c r="E11875">
        <v>158</v>
      </c>
      <c r="F11875">
        <v>50</v>
      </c>
      <c r="G11875">
        <v>8</v>
      </c>
      <c r="H11875">
        <v>1</v>
      </c>
      <c r="I11875">
        <v>150</v>
      </c>
      <c r="J11875">
        <v>1</v>
      </c>
      <c r="K11875">
        <v>3</v>
      </c>
      <c r="L11875">
        <v>160</v>
      </c>
      <c r="M11875">
        <v>1</v>
      </c>
      <c r="N11875">
        <v>1.22003E-55</v>
      </c>
      <c r="O11875">
        <v>539</v>
      </c>
    </row>
    <row r="11876" spans="1:15" x14ac:dyDescent="0.25">
      <c r="A11876" t="s">
        <v>11889</v>
      </c>
      <c r="B11876">
        <v>110</v>
      </c>
      <c r="C11876" s="1" t="str">
        <f>HYPERLINK("http://www.rosaceae.org/gb/gbrowse/malus_x_domestica/?name=MDP0000813713","MDP0000813713")</f>
        <v>MDP0000813713</v>
      </c>
      <c r="D11876">
        <v>54.08</v>
      </c>
      <c r="E11876">
        <v>98</v>
      </c>
      <c r="F11876">
        <v>45</v>
      </c>
      <c r="G11876">
        <v>9</v>
      </c>
      <c r="H11876">
        <v>22</v>
      </c>
      <c r="I11876">
        <v>110</v>
      </c>
      <c r="J11876">
        <v>1</v>
      </c>
      <c r="K11876">
        <v>29</v>
      </c>
      <c r="L11876">
        <v>126</v>
      </c>
      <c r="M11876">
        <v>1</v>
      </c>
      <c r="N11876">
        <v>2.3289999999999998E-24</v>
      </c>
      <c r="O11876">
        <v>267</v>
      </c>
    </row>
    <row r="11877" spans="1:15" x14ac:dyDescent="0.25">
      <c r="A11877" t="s">
        <v>11890</v>
      </c>
      <c r="B11877">
        <v>1010</v>
      </c>
      <c r="C11877" s="1" t="str">
        <f>HYPERLINK("http://www.rosaceae.org/gb/gbrowse/malus_x_domestica/?name=MDP0000277240","MDP0000277240")</f>
        <v>MDP0000277240</v>
      </c>
      <c r="D11877">
        <v>84.17</v>
      </c>
      <c r="E11877">
        <v>537</v>
      </c>
      <c r="F11877">
        <v>85</v>
      </c>
      <c r="G11877">
        <v>0</v>
      </c>
      <c r="H11877">
        <v>474</v>
      </c>
      <c r="I11877">
        <v>1010</v>
      </c>
      <c r="J11877">
        <v>1</v>
      </c>
      <c r="K11877">
        <v>1</v>
      </c>
      <c r="L11877">
        <v>537</v>
      </c>
      <c r="M11877">
        <v>1</v>
      </c>
      <c r="N11877">
        <v>0</v>
      </c>
      <c r="O11877">
        <v>2357</v>
      </c>
    </row>
    <row r="11878" spans="1:15" x14ac:dyDescent="0.25">
      <c r="A11878" t="s">
        <v>11891</v>
      </c>
      <c r="B11878">
        <v>234</v>
      </c>
      <c r="C11878" s="1" t="str">
        <f>HYPERLINK("http://www.rosaceae.org/gb/gbrowse/malus_x_domestica/?name=MDP0000320226","MDP0000320226")</f>
        <v>MDP0000320226</v>
      </c>
      <c r="D11878">
        <v>62.31</v>
      </c>
      <c r="E11878">
        <v>69</v>
      </c>
      <c r="F11878">
        <v>26</v>
      </c>
      <c r="G11878">
        <v>0</v>
      </c>
      <c r="H11878">
        <v>151</v>
      </c>
      <c r="I11878">
        <v>219</v>
      </c>
      <c r="J11878">
        <v>1</v>
      </c>
      <c r="K11878">
        <v>336</v>
      </c>
      <c r="L11878">
        <v>404</v>
      </c>
      <c r="M11878">
        <v>1</v>
      </c>
      <c r="N11878">
        <v>4.1309500000000001E-20</v>
      </c>
      <c r="O11878">
        <v>236</v>
      </c>
    </row>
    <row r="11879" spans="1:15" x14ac:dyDescent="0.25">
      <c r="A11879" t="s">
        <v>11892</v>
      </c>
      <c r="B11879">
        <v>450</v>
      </c>
      <c r="C11879" s="1" t="str">
        <f>HYPERLINK("http://www.rosaceae.org/gb/gbrowse/malus_x_domestica/?name=MDP0000184069","MDP0000184069")</f>
        <v>MDP0000184069</v>
      </c>
      <c r="D11879">
        <v>48.26</v>
      </c>
      <c r="E11879">
        <v>491</v>
      </c>
      <c r="F11879">
        <v>254</v>
      </c>
      <c r="G11879">
        <v>72</v>
      </c>
      <c r="H11879">
        <v>3</v>
      </c>
      <c r="I11879">
        <v>446</v>
      </c>
      <c r="J11879">
        <v>1</v>
      </c>
      <c r="K11879">
        <v>10</v>
      </c>
      <c r="L11879">
        <v>475</v>
      </c>
      <c r="M11879">
        <v>1</v>
      </c>
      <c r="N11879">
        <v>2.76263E-99</v>
      </c>
      <c r="O11879">
        <v>922</v>
      </c>
    </row>
    <row r="11880" spans="1:15" x14ac:dyDescent="0.25">
      <c r="A11880" t="s">
        <v>11893</v>
      </c>
      <c r="B11880">
        <v>432</v>
      </c>
      <c r="C11880" s="1" t="str">
        <f>HYPERLINK("http://www.rosaceae.org/gb/gbrowse/malus_x_domestica/?name=MDP0000127630","MDP0000127630")</f>
        <v>MDP0000127630</v>
      </c>
      <c r="D11880">
        <v>77.87</v>
      </c>
      <c r="E11880">
        <v>443</v>
      </c>
      <c r="F11880">
        <v>98</v>
      </c>
      <c r="G11880">
        <v>19</v>
      </c>
      <c r="H11880">
        <v>1</v>
      </c>
      <c r="I11880">
        <v>432</v>
      </c>
      <c r="J11880">
        <v>1</v>
      </c>
      <c r="K11880">
        <v>1</v>
      </c>
      <c r="L11880">
        <v>435</v>
      </c>
      <c r="M11880">
        <v>1</v>
      </c>
      <c r="N11880">
        <v>0</v>
      </c>
      <c r="O11880">
        <v>1824</v>
      </c>
    </row>
    <row r="11881" spans="1:15" x14ac:dyDescent="0.25">
      <c r="A11881" t="s">
        <v>11894</v>
      </c>
      <c r="B11881">
        <v>499</v>
      </c>
      <c r="C11881" s="1" t="str">
        <f>HYPERLINK("http://www.rosaceae.org/gb/gbrowse/malus_x_domestica/?name=MDP0000300541","MDP0000300541")</f>
        <v>MDP0000300541</v>
      </c>
      <c r="D11881">
        <v>72.739999999999995</v>
      </c>
      <c r="E11881">
        <v>488</v>
      </c>
      <c r="F11881">
        <v>133</v>
      </c>
      <c r="G11881">
        <v>5</v>
      </c>
      <c r="H11881">
        <v>1</v>
      </c>
      <c r="I11881">
        <v>487</v>
      </c>
      <c r="J11881">
        <v>1</v>
      </c>
      <c r="K11881">
        <v>1</v>
      </c>
      <c r="L11881">
        <v>484</v>
      </c>
      <c r="M11881">
        <v>1</v>
      </c>
      <c r="N11881">
        <v>0</v>
      </c>
      <c r="O11881">
        <v>1897</v>
      </c>
    </row>
    <row r="11882" spans="1:15" x14ac:dyDescent="0.25">
      <c r="A11882" t="s">
        <v>11895</v>
      </c>
      <c r="B11882">
        <v>814</v>
      </c>
      <c r="C11882" s="1" t="str">
        <f>HYPERLINK("http://www.rosaceae.org/gb/gbrowse/malus_x_domestica/?name=MDP0000306035","MDP0000306035")</f>
        <v>MDP0000306035</v>
      </c>
      <c r="D11882">
        <v>62.34</v>
      </c>
      <c r="E11882">
        <v>563</v>
      </c>
      <c r="F11882">
        <v>212</v>
      </c>
      <c r="G11882">
        <v>85</v>
      </c>
      <c r="H11882">
        <v>18</v>
      </c>
      <c r="I11882">
        <v>560</v>
      </c>
      <c r="J11882">
        <v>1</v>
      </c>
      <c r="K11882">
        <v>15</v>
      </c>
      <c r="L11882">
        <v>512</v>
      </c>
      <c r="M11882">
        <v>1</v>
      </c>
      <c r="N11882">
        <v>0</v>
      </c>
      <c r="O11882">
        <v>1660</v>
      </c>
    </row>
    <row r="11883" spans="1:15" x14ac:dyDescent="0.25">
      <c r="A11883" t="s">
        <v>11896</v>
      </c>
      <c r="B11883">
        <v>99</v>
      </c>
      <c r="C11883" s="1" t="str">
        <f>HYPERLINK("http://www.rosaceae.org/gb/gbrowse/malus_x_domestica/?name=MDP0000853667","MDP0000853667")</f>
        <v>MDP0000853667</v>
      </c>
      <c r="D11883">
        <v>55.88</v>
      </c>
      <c r="E11883">
        <v>68</v>
      </c>
      <c r="F11883">
        <v>30</v>
      </c>
      <c r="G11883">
        <v>1</v>
      </c>
      <c r="H11883">
        <v>14</v>
      </c>
      <c r="I11883">
        <v>81</v>
      </c>
      <c r="J11883">
        <v>1</v>
      </c>
      <c r="K11883">
        <v>101</v>
      </c>
      <c r="L11883">
        <v>167</v>
      </c>
      <c r="M11883">
        <v>1</v>
      </c>
      <c r="N11883">
        <v>3.7264000000000001E-17</v>
      </c>
      <c r="O11883">
        <v>205</v>
      </c>
    </row>
    <row r="11884" spans="1:15" x14ac:dyDescent="0.25">
      <c r="A11884" t="s">
        <v>11897</v>
      </c>
      <c r="B11884">
        <v>291</v>
      </c>
      <c r="C11884" s="1" t="str">
        <f>HYPERLINK("http://www.rosaceae.org/gb/gbrowse/malus_x_domestica/?name=MDP0000298746","MDP0000298746")</f>
        <v>MDP0000298746</v>
      </c>
      <c r="D11884">
        <v>62.92</v>
      </c>
      <c r="E11884">
        <v>294</v>
      </c>
      <c r="F11884">
        <v>109</v>
      </c>
      <c r="G11884">
        <v>4</v>
      </c>
      <c r="H11884">
        <v>1</v>
      </c>
      <c r="I11884">
        <v>290</v>
      </c>
      <c r="J11884">
        <v>1</v>
      </c>
      <c r="K11884">
        <v>1</v>
      </c>
      <c r="L11884">
        <v>294</v>
      </c>
      <c r="M11884">
        <v>1</v>
      </c>
      <c r="N11884">
        <v>7.7296200000000001E-111</v>
      </c>
      <c r="O11884">
        <v>1020</v>
      </c>
    </row>
    <row r="11885" spans="1:15" x14ac:dyDescent="0.25">
      <c r="A11885" t="s">
        <v>11898</v>
      </c>
      <c r="B11885">
        <v>126</v>
      </c>
      <c r="C11885" s="1" t="str">
        <f>HYPERLINK("http://www.rosaceae.org/gb/gbrowse/malus_x_domestica/?name=MDP0000312874","MDP0000312874")</f>
        <v>MDP0000312874</v>
      </c>
      <c r="D11885">
        <v>42.54</v>
      </c>
      <c r="E11885">
        <v>181</v>
      </c>
      <c r="F11885">
        <v>104</v>
      </c>
      <c r="G11885">
        <v>59</v>
      </c>
      <c r="H11885">
        <v>1</v>
      </c>
      <c r="I11885">
        <v>125</v>
      </c>
      <c r="J11885">
        <v>1</v>
      </c>
      <c r="K11885">
        <v>569</v>
      </c>
      <c r="L11885">
        <v>746</v>
      </c>
      <c r="M11885">
        <v>1</v>
      </c>
      <c r="N11885">
        <v>1.20016E-24</v>
      </c>
      <c r="O11885">
        <v>270</v>
      </c>
    </row>
    <row r="11886" spans="1:15" x14ac:dyDescent="0.25">
      <c r="A11886" t="s">
        <v>11899</v>
      </c>
      <c r="B11886">
        <v>171</v>
      </c>
      <c r="C11886" s="1" t="str">
        <f>HYPERLINK("http://www.rosaceae.org/gb/gbrowse/malus_x_domestica/?name=MDP0000250518","MDP0000250518")</f>
        <v>MDP0000250518</v>
      </c>
      <c r="D11886">
        <v>77.77</v>
      </c>
      <c r="E11886">
        <v>81</v>
      </c>
      <c r="F11886">
        <v>18</v>
      </c>
      <c r="G11886">
        <v>0</v>
      </c>
      <c r="H11886">
        <v>91</v>
      </c>
      <c r="I11886">
        <v>171</v>
      </c>
      <c r="J11886">
        <v>1</v>
      </c>
      <c r="K11886">
        <v>535</v>
      </c>
      <c r="L11886">
        <v>615</v>
      </c>
      <c r="M11886">
        <v>1</v>
      </c>
      <c r="N11886">
        <v>8.3103499999999998E-32</v>
      </c>
      <c r="O11886">
        <v>335</v>
      </c>
    </row>
    <row r="11887" spans="1:15" x14ac:dyDescent="0.25">
      <c r="A11887" t="s">
        <v>11900</v>
      </c>
      <c r="B11887">
        <v>635</v>
      </c>
      <c r="C11887" s="1" t="str">
        <f>HYPERLINK("http://www.rosaceae.org/gb/gbrowse/malus_x_domestica/?name=MDP0000144134","MDP0000144134")</f>
        <v>MDP0000144134</v>
      </c>
      <c r="D11887">
        <v>69.19</v>
      </c>
      <c r="E11887">
        <v>568</v>
      </c>
      <c r="F11887">
        <v>175</v>
      </c>
      <c r="G11887">
        <v>1</v>
      </c>
      <c r="H11887">
        <v>30</v>
      </c>
      <c r="I11887">
        <v>596</v>
      </c>
      <c r="J11887">
        <v>1</v>
      </c>
      <c r="K11887">
        <v>572</v>
      </c>
      <c r="L11887">
        <v>1139</v>
      </c>
      <c r="M11887">
        <v>1</v>
      </c>
      <c r="N11887">
        <v>0</v>
      </c>
      <c r="O11887">
        <v>2103</v>
      </c>
    </row>
    <row r="11888" spans="1:15" x14ac:dyDescent="0.25">
      <c r="A11888" t="s">
        <v>11901</v>
      </c>
      <c r="B11888">
        <v>373</v>
      </c>
      <c r="C11888" s="1" t="str">
        <f>HYPERLINK("http://www.rosaceae.org/gb/gbrowse/malus_x_domestica/?name=MDP0000688572","MDP0000688572")</f>
        <v>MDP0000688572</v>
      </c>
      <c r="D11888">
        <v>83.33</v>
      </c>
      <c r="E11888">
        <v>378</v>
      </c>
      <c r="F11888">
        <v>63</v>
      </c>
      <c r="G11888">
        <v>5</v>
      </c>
      <c r="H11888">
        <v>1</v>
      </c>
      <c r="I11888">
        <v>373</v>
      </c>
      <c r="J11888">
        <v>1</v>
      </c>
      <c r="K11888">
        <v>1</v>
      </c>
      <c r="L11888">
        <v>378</v>
      </c>
      <c r="M11888">
        <v>1</v>
      </c>
      <c r="N11888">
        <v>0</v>
      </c>
      <c r="O11888">
        <v>1646</v>
      </c>
    </row>
    <row r="11889" spans="1:15" x14ac:dyDescent="0.25">
      <c r="A11889" t="s">
        <v>11902</v>
      </c>
      <c r="B11889">
        <v>544</v>
      </c>
      <c r="C11889" s="1" t="str">
        <f>HYPERLINK("http://www.rosaceae.org/gb/gbrowse/malus_x_domestica/?name=MDP0000123134","MDP0000123134")</f>
        <v>MDP0000123134</v>
      </c>
      <c r="D11889">
        <v>78.2</v>
      </c>
      <c r="E11889">
        <v>546</v>
      </c>
      <c r="F11889">
        <v>119</v>
      </c>
      <c r="G11889">
        <v>18</v>
      </c>
      <c r="H11889">
        <v>1</v>
      </c>
      <c r="I11889">
        <v>541</v>
      </c>
      <c r="J11889">
        <v>1</v>
      </c>
      <c r="K11889">
        <v>37</v>
      </c>
      <c r="L11889">
        <v>569</v>
      </c>
      <c r="M11889">
        <v>1</v>
      </c>
      <c r="N11889">
        <v>0</v>
      </c>
      <c r="O11889">
        <v>2238</v>
      </c>
    </row>
    <row r="11890" spans="1:15" x14ac:dyDescent="0.25">
      <c r="A11890" t="s">
        <v>11903</v>
      </c>
      <c r="B11890">
        <v>184</v>
      </c>
      <c r="C11890" s="1" t="str">
        <f>HYPERLINK("http://www.rosaceae.org/gb/gbrowse/malus_x_domestica/?name=MDP0000902599","MDP0000902599")</f>
        <v>MDP0000902599</v>
      </c>
      <c r="D11890">
        <v>83.43</v>
      </c>
      <c r="E11890">
        <v>163</v>
      </c>
      <c r="F11890">
        <v>27</v>
      </c>
      <c r="G11890">
        <v>1</v>
      </c>
      <c r="H11890">
        <v>9</v>
      </c>
      <c r="I11890">
        <v>170</v>
      </c>
      <c r="J11890">
        <v>1</v>
      </c>
      <c r="K11890">
        <v>11</v>
      </c>
      <c r="L11890">
        <v>173</v>
      </c>
      <c r="M11890">
        <v>1</v>
      </c>
      <c r="N11890">
        <v>9.4100499999999994E-74</v>
      </c>
      <c r="O11890">
        <v>697</v>
      </c>
    </row>
    <row r="11891" spans="1:15" x14ac:dyDescent="0.25">
      <c r="A11891" t="s">
        <v>11904</v>
      </c>
      <c r="B11891">
        <v>429</v>
      </c>
      <c r="C11891" s="1" t="str">
        <f>HYPERLINK("http://www.rosaceae.org/gb/gbrowse/malus_x_domestica/?name=MDP0000747281","MDP0000747281")</f>
        <v>MDP0000747281</v>
      </c>
      <c r="D11891">
        <v>76.319999999999993</v>
      </c>
      <c r="E11891">
        <v>414</v>
      </c>
      <c r="F11891">
        <v>98</v>
      </c>
      <c r="G11891">
        <v>4</v>
      </c>
      <c r="H11891">
        <v>1</v>
      </c>
      <c r="I11891">
        <v>411</v>
      </c>
      <c r="J11891">
        <v>1</v>
      </c>
      <c r="K11891">
        <v>1</v>
      </c>
      <c r="L11891">
        <v>413</v>
      </c>
      <c r="M11891">
        <v>1</v>
      </c>
      <c r="N11891">
        <v>0</v>
      </c>
      <c r="O11891">
        <v>1637</v>
      </c>
    </row>
    <row r="11892" spans="1:15" x14ac:dyDescent="0.25">
      <c r="A11892" t="s">
        <v>11905</v>
      </c>
      <c r="B11892">
        <v>234</v>
      </c>
      <c r="C11892" s="1" t="str">
        <f>HYPERLINK("http://www.rosaceae.org/gb/gbrowse/malus_x_domestica/?name=MDP0000320284","MDP0000320284")</f>
        <v>MDP0000320284</v>
      </c>
      <c r="D11892">
        <v>52.7</v>
      </c>
      <c r="E11892">
        <v>74</v>
      </c>
      <c r="F11892">
        <v>35</v>
      </c>
      <c r="G11892">
        <v>5</v>
      </c>
      <c r="H11892">
        <v>165</v>
      </c>
      <c r="I11892">
        <v>233</v>
      </c>
      <c r="J11892">
        <v>1</v>
      </c>
      <c r="K11892">
        <v>304</v>
      </c>
      <c r="L11892">
        <v>377</v>
      </c>
      <c r="M11892">
        <v>1</v>
      </c>
      <c r="N11892">
        <v>2.6152000000000001E-14</v>
      </c>
      <c r="O11892">
        <v>186</v>
      </c>
    </row>
    <row r="11893" spans="1:15" x14ac:dyDescent="0.25">
      <c r="A11893" t="s">
        <v>11906</v>
      </c>
      <c r="B11893">
        <v>389</v>
      </c>
      <c r="C11893" s="1" t="str">
        <f>HYPERLINK("http://www.rosaceae.org/gb/gbrowse/malus_x_domestica/?name=MDP0000285103","MDP0000285103")</f>
        <v>MDP0000285103</v>
      </c>
      <c r="D11893">
        <v>45.23</v>
      </c>
      <c r="E11893">
        <v>367</v>
      </c>
      <c r="F11893">
        <v>201</v>
      </c>
      <c r="G11893">
        <v>22</v>
      </c>
      <c r="H11893">
        <v>12</v>
      </c>
      <c r="I11893">
        <v>363</v>
      </c>
      <c r="J11893">
        <v>1</v>
      </c>
      <c r="K11893">
        <v>12</v>
      </c>
      <c r="L11893">
        <v>371</v>
      </c>
      <c r="M11893">
        <v>1</v>
      </c>
      <c r="N11893">
        <v>5.0481400000000001E-71</v>
      </c>
      <c r="O11893">
        <v>678</v>
      </c>
    </row>
    <row r="11894" spans="1:15" x14ac:dyDescent="0.25">
      <c r="A11894" t="s">
        <v>11907</v>
      </c>
      <c r="B11894">
        <v>474</v>
      </c>
      <c r="C11894" s="1" t="str">
        <f>HYPERLINK("http://www.rosaceae.org/gb/gbrowse/malus_x_domestica/?name=MDP0000233886","MDP0000233886")</f>
        <v>MDP0000233886</v>
      </c>
      <c r="D11894">
        <v>78.349999999999994</v>
      </c>
      <c r="E11894">
        <v>134</v>
      </c>
      <c r="F11894">
        <v>29</v>
      </c>
      <c r="G11894">
        <v>0</v>
      </c>
      <c r="H11894">
        <v>341</v>
      </c>
      <c r="I11894">
        <v>474</v>
      </c>
      <c r="J11894">
        <v>1</v>
      </c>
      <c r="K11894">
        <v>25</v>
      </c>
      <c r="L11894">
        <v>158</v>
      </c>
      <c r="M11894">
        <v>1</v>
      </c>
      <c r="N11894">
        <v>3.1702700000000001E-59</v>
      </c>
      <c r="O11894">
        <v>577</v>
      </c>
    </row>
    <row r="11895" spans="1:15" x14ac:dyDescent="0.25">
      <c r="A11895" t="s">
        <v>11908</v>
      </c>
      <c r="B11895">
        <v>769</v>
      </c>
      <c r="C11895" s="1" t="str">
        <f>HYPERLINK("http://www.rosaceae.org/gb/gbrowse/malus_x_domestica/?name=MDP0000308689","MDP0000308689")</f>
        <v>MDP0000308689</v>
      </c>
      <c r="D11895">
        <v>60</v>
      </c>
      <c r="E11895">
        <v>415</v>
      </c>
      <c r="F11895">
        <v>166</v>
      </c>
      <c r="G11895">
        <v>19</v>
      </c>
      <c r="H11895">
        <v>1</v>
      </c>
      <c r="I11895">
        <v>407</v>
      </c>
      <c r="J11895">
        <v>1</v>
      </c>
      <c r="K11895">
        <v>167</v>
      </c>
      <c r="L11895">
        <v>570</v>
      </c>
      <c r="M11895">
        <v>1</v>
      </c>
      <c r="N11895">
        <v>2.8125799999999999E-131</v>
      </c>
      <c r="O11895">
        <v>1200</v>
      </c>
    </row>
    <row r="11896" spans="1:15" x14ac:dyDescent="0.25">
      <c r="A11896" t="s">
        <v>11909</v>
      </c>
      <c r="B11896">
        <v>404</v>
      </c>
      <c r="C11896" s="1" t="str">
        <f>HYPERLINK("http://www.rosaceae.org/gb/gbrowse/malus_x_domestica/?name=MDP0000176307","MDP0000176307")</f>
        <v>MDP0000176307</v>
      </c>
      <c r="D11896">
        <v>28.57</v>
      </c>
      <c r="E11896">
        <v>161</v>
      </c>
      <c r="F11896">
        <v>115</v>
      </c>
      <c r="G11896">
        <v>13</v>
      </c>
      <c r="H11896">
        <v>101</v>
      </c>
      <c r="I11896">
        <v>256</v>
      </c>
      <c r="J11896">
        <v>1</v>
      </c>
      <c r="K11896">
        <v>166</v>
      </c>
      <c r="L11896">
        <v>318</v>
      </c>
      <c r="M11896">
        <v>1</v>
      </c>
      <c r="N11896">
        <v>2.3910500000000002E-10</v>
      </c>
      <c r="O11896">
        <v>155</v>
      </c>
    </row>
    <row r="11897" spans="1:15" x14ac:dyDescent="0.25">
      <c r="A11897" t="s">
        <v>11910</v>
      </c>
      <c r="B11897">
        <v>857</v>
      </c>
      <c r="C11897" s="1" t="str">
        <f>HYPERLINK("http://www.rosaceae.org/gb/gbrowse/malus_x_domestica/?name=MDP0000254260","MDP0000254260")</f>
        <v>MDP0000254260</v>
      </c>
      <c r="D11897">
        <v>77</v>
      </c>
      <c r="E11897">
        <v>709</v>
      </c>
      <c r="F11897">
        <v>163</v>
      </c>
      <c r="G11897">
        <v>76</v>
      </c>
      <c r="H11897">
        <v>37</v>
      </c>
      <c r="I11897">
        <v>694</v>
      </c>
      <c r="J11897">
        <v>1</v>
      </c>
      <c r="K11897">
        <v>6</v>
      </c>
      <c r="L11897">
        <v>689</v>
      </c>
      <c r="M11897">
        <v>1</v>
      </c>
      <c r="N11897">
        <v>0</v>
      </c>
      <c r="O11897">
        <v>2693</v>
      </c>
    </row>
    <row r="11898" spans="1:15" x14ac:dyDescent="0.25">
      <c r="A11898" t="s">
        <v>11911</v>
      </c>
      <c r="B11898">
        <v>195</v>
      </c>
      <c r="C11898" s="1" t="str">
        <f>HYPERLINK("http://www.rosaceae.org/gb/gbrowse/malus_x_domestica/?name=MDP0000575262","MDP0000575262")</f>
        <v>MDP0000575262</v>
      </c>
      <c r="D11898">
        <v>33.909999999999997</v>
      </c>
      <c r="E11898">
        <v>171</v>
      </c>
      <c r="F11898">
        <v>113</v>
      </c>
      <c r="G11898">
        <v>31</v>
      </c>
      <c r="H11898">
        <v>1</v>
      </c>
      <c r="I11898">
        <v>154</v>
      </c>
      <c r="J11898">
        <v>1</v>
      </c>
      <c r="K11898">
        <v>569</v>
      </c>
      <c r="L11898">
        <v>725</v>
      </c>
      <c r="M11898">
        <v>1</v>
      </c>
      <c r="N11898">
        <v>8.6493500000000006E-8</v>
      </c>
      <c r="O11898">
        <v>129</v>
      </c>
    </row>
    <row r="11899" spans="1:15" x14ac:dyDescent="0.25">
      <c r="A11899" t="s">
        <v>11912</v>
      </c>
      <c r="B11899">
        <v>114</v>
      </c>
      <c r="C11899" s="1" t="str">
        <f>HYPERLINK("http://www.rosaceae.org/gb/gbrowse/malus_x_domestica/?name=MDP0000696312","MDP0000696312")</f>
        <v>MDP0000696312</v>
      </c>
      <c r="D11899">
        <v>77.77</v>
      </c>
      <c r="E11899">
        <v>99</v>
      </c>
      <c r="F11899">
        <v>22</v>
      </c>
      <c r="G11899">
        <v>4</v>
      </c>
      <c r="H11899">
        <v>7</v>
      </c>
      <c r="I11899">
        <v>101</v>
      </c>
      <c r="J11899">
        <v>1</v>
      </c>
      <c r="K11899">
        <v>258</v>
      </c>
      <c r="L11899">
        <v>356</v>
      </c>
      <c r="M11899">
        <v>1</v>
      </c>
      <c r="N11899">
        <v>4.6544699999999996E-41</v>
      </c>
      <c r="O11899">
        <v>412</v>
      </c>
    </row>
    <row r="11900" spans="1:15" x14ac:dyDescent="0.25">
      <c r="A11900" t="s">
        <v>11913</v>
      </c>
      <c r="B11900">
        <v>407</v>
      </c>
      <c r="C11900" s="1" t="str">
        <f>HYPERLINK("http://www.rosaceae.org/gb/gbrowse/malus_x_domestica/?name=MDP0000195705","MDP0000195705")</f>
        <v>MDP0000195705</v>
      </c>
      <c r="D11900">
        <v>82.8</v>
      </c>
      <c r="E11900">
        <v>407</v>
      </c>
      <c r="F11900">
        <v>70</v>
      </c>
      <c r="G11900">
        <v>17</v>
      </c>
      <c r="H11900">
        <v>18</v>
      </c>
      <c r="I11900">
        <v>407</v>
      </c>
      <c r="J11900">
        <v>1</v>
      </c>
      <c r="K11900">
        <v>135</v>
      </c>
      <c r="L11900">
        <v>541</v>
      </c>
      <c r="M11900">
        <v>1</v>
      </c>
      <c r="N11900">
        <v>0</v>
      </c>
      <c r="O11900">
        <v>1781</v>
      </c>
    </row>
    <row r="11901" spans="1:15" x14ac:dyDescent="0.25">
      <c r="A11901" t="s">
        <v>11914</v>
      </c>
      <c r="B11901">
        <v>250</v>
      </c>
      <c r="C11901" s="1" t="str">
        <f>HYPERLINK("http://www.rosaceae.org/gb/gbrowse/malus_x_domestica/?name=MDP0000228627","MDP0000228627")</f>
        <v>MDP0000228627</v>
      </c>
      <c r="D11901">
        <v>60.97</v>
      </c>
      <c r="E11901">
        <v>41</v>
      </c>
      <c r="F11901">
        <v>16</v>
      </c>
      <c r="G11901">
        <v>0</v>
      </c>
      <c r="H11901">
        <v>2</v>
      </c>
      <c r="I11901">
        <v>42</v>
      </c>
      <c r="J11901">
        <v>1</v>
      </c>
      <c r="K11901">
        <v>164</v>
      </c>
      <c r="L11901">
        <v>204</v>
      </c>
      <c r="M11901">
        <v>1</v>
      </c>
      <c r="N11901">
        <v>1.13051E-8</v>
      </c>
      <c r="O11901">
        <v>138</v>
      </c>
    </row>
    <row r="11902" spans="1:15" x14ac:dyDescent="0.25">
      <c r="A11902" t="s">
        <v>11915</v>
      </c>
      <c r="B11902">
        <v>1651</v>
      </c>
      <c r="C11902" s="1" t="str">
        <f>HYPERLINK("http://www.rosaceae.org/gb/gbrowse/malus_x_domestica/?name=MDP0000299896","MDP0000299896")</f>
        <v>MDP0000299896</v>
      </c>
      <c r="D11902">
        <v>72.180000000000007</v>
      </c>
      <c r="E11902">
        <v>1136</v>
      </c>
      <c r="F11902">
        <v>316</v>
      </c>
      <c r="G11902">
        <v>85</v>
      </c>
      <c r="H11902">
        <v>87</v>
      </c>
      <c r="I11902">
        <v>1175</v>
      </c>
      <c r="J11902">
        <v>1</v>
      </c>
      <c r="K11902">
        <v>181</v>
      </c>
      <c r="L11902">
        <v>1278</v>
      </c>
      <c r="M11902">
        <v>1</v>
      </c>
      <c r="N11902">
        <v>0</v>
      </c>
      <c r="O11902">
        <v>4238</v>
      </c>
    </row>
    <row r="11903" spans="1:15" x14ac:dyDescent="0.25">
      <c r="A11903" t="s">
        <v>11916</v>
      </c>
      <c r="B11903">
        <v>318</v>
      </c>
      <c r="C11903" s="1" t="str">
        <f>HYPERLINK("http://www.rosaceae.org/gb/gbrowse/malus_x_domestica/?name=MDP0000632704","MDP0000632704")</f>
        <v>MDP0000632704</v>
      </c>
      <c r="D11903">
        <v>66.66</v>
      </c>
      <c r="E11903">
        <v>180</v>
      </c>
      <c r="F11903">
        <v>60</v>
      </c>
      <c r="G11903">
        <v>2</v>
      </c>
      <c r="H11903">
        <v>139</v>
      </c>
      <c r="I11903">
        <v>316</v>
      </c>
      <c r="J11903">
        <v>1</v>
      </c>
      <c r="K11903">
        <v>157</v>
      </c>
      <c r="L11903">
        <v>336</v>
      </c>
      <c r="M11903">
        <v>1</v>
      </c>
      <c r="N11903">
        <v>7.3326899999999998E-65</v>
      </c>
      <c r="O11903">
        <v>624</v>
      </c>
    </row>
    <row r="11904" spans="1:15" x14ac:dyDescent="0.25">
      <c r="A11904" t="s">
        <v>11917</v>
      </c>
      <c r="B11904">
        <v>309</v>
      </c>
      <c r="C11904" s="1" t="str">
        <f>HYPERLINK("http://www.rosaceae.org/gb/gbrowse/malus_x_domestica/?name=MDP0000162763","MDP0000162763")</f>
        <v>MDP0000162763</v>
      </c>
      <c r="D11904">
        <v>39.22</v>
      </c>
      <c r="E11904">
        <v>232</v>
      </c>
      <c r="F11904">
        <v>141</v>
      </c>
      <c r="G11904">
        <v>37</v>
      </c>
      <c r="H11904">
        <v>3</v>
      </c>
      <c r="I11904">
        <v>198</v>
      </c>
      <c r="J11904">
        <v>1</v>
      </c>
      <c r="K11904">
        <v>159</v>
      </c>
      <c r="L11904">
        <v>389</v>
      </c>
      <c r="M11904">
        <v>1</v>
      </c>
      <c r="N11904">
        <v>3.67139E-30</v>
      </c>
      <c r="O11904">
        <v>324</v>
      </c>
    </row>
    <row r="11905" spans="1:15" x14ac:dyDescent="0.25">
      <c r="A11905" t="s">
        <v>11918</v>
      </c>
      <c r="B11905">
        <v>148</v>
      </c>
      <c r="C11905" s="1" t="str">
        <f>HYPERLINK("http://www.rosaceae.org/gb/gbrowse/malus_x_domestica/?name=MDP0000271809","MDP0000271809")</f>
        <v>MDP0000271809</v>
      </c>
      <c r="D11905">
        <v>43.7</v>
      </c>
      <c r="E11905">
        <v>151</v>
      </c>
      <c r="F11905">
        <v>85</v>
      </c>
      <c r="G11905">
        <v>20</v>
      </c>
      <c r="H11905">
        <v>1</v>
      </c>
      <c r="I11905">
        <v>148</v>
      </c>
      <c r="J11905">
        <v>1</v>
      </c>
      <c r="K11905">
        <v>1</v>
      </c>
      <c r="L11905">
        <v>134</v>
      </c>
      <c r="M11905">
        <v>1</v>
      </c>
      <c r="N11905">
        <v>1.8935500000000001E-25</v>
      </c>
      <c r="O11905">
        <v>279</v>
      </c>
    </row>
    <row r="11906" spans="1:15" x14ac:dyDescent="0.25">
      <c r="A11906" t="s">
        <v>11919</v>
      </c>
      <c r="B11906">
        <v>653</v>
      </c>
      <c r="C11906" s="1" t="str">
        <f>HYPERLINK("http://www.rosaceae.org/gb/gbrowse/malus_x_domestica/?name=MDP0000270412","MDP0000270412")</f>
        <v>MDP0000270412</v>
      </c>
      <c r="D11906">
        <v>64.650000000000006</v>
      </c>
      <c r="E11906">
        <v>696</v>
      </c>
      <c r="F11906">
        <v>246</v>
      </c>
      <c r="G11906">
        <v>71</v>
      </c>
      <c r="H11906">
        <v>1</v>
      </c>
      <c r="I11906">
        <v>653</v>
      </c>
      <c r="J11906">
        <v>1</v>
      </c>
      <c r="K11906">
        <v>1</v>
      </c>
      <c r="L11906">
        <v>668</v>
      </c>
      <c r="M11906">
        <v>1</v>
      </c>
      <c r="N11906">
        <v>0</v>
      </c>
      <c r="O11906">
        <v>2293</v>
      </c>
    </row>
    <row r="11907" spans="1:15" x14ac:dyDescent="0.25">
      <c r="A11907" t="s">
        <v>11920</v>
      </c>
      <c r="B11907">
        <v>350</v>
      </c>
      <c r="C11907" s="1" t="str">
        <f>HYPERLINK("http://www.rosaceae.org/gb/gbrowse/malus_x_domestica/?name=MDP0000318692","MDP0000318692")</f>
        <v>MDP0000318692</v>
      </c>
      <c r="D11907">
        <v>76.510000000000005</v>
      </c>
      <c r="E11907">
        <v>132</v>
      </c>
      <c r="F11907">
        <v>31</v>
      </c>
      <c r="G11907">
        <v>1</v>
      </c>
      <c r="H11907">
        <v>217</v>
      </c>
      <c r="I11907">
        <v>348</v>
      </c>
      <c r="J11907">
        <v>1</v>
      </c>
      <c r="K11907">
        <v>91</v>
      </c>
      <c r="L11907">
        <v>221</v>
      </c>
      <c r="M11907">
        <v>1</v>
      </c>
      <c r="N11907">
        <v>1.9320600000000002E-52</v>
      </c>
      <c r="O11907">
        <v>517</v>
      </c>
    </row>
    <row r="11908" spans="1:15" x14ac:dyDescent="0.25">
      <c r="A11908" t="s">
        <v>11921</v>
      </c>
      <c r="B11908">
        <v>679</v>
      </c>
      <c r="C11908" s="1" t="str">
        <f>HYPERLINK("http://www.rosaceae.org/gb/gbrowse/malus_x_domestica/?name=MDP0000800974","MDP0000800974")</f>
        <v>MDP0000800974</v>
      </c>
      <c r="D11908">
        <v>43.52</v>
      </c>
      <c r="E11908">
        <v>471</v>
      </c>
      <c r="F11908">
        <v>266</v>
      </c>
      <c r="G11908">
        <v>116</v>
      </c>
      <c r="H11908">
        <v>247</v>
      </c>
      <c r="I11908">
        <v>666</v>
      </c>
      <c r="J11908">
        <v>1</v>
      </c>
      <c r="K11908">
        <v>1</v>
      </c>
      <c r="L11908">
        <v>406</v>
      </c>
      <c r="M11908">
        <v>1</v>
      </c>
      <c r="N11908">
        <v>7.9069399999999999E-78</v>
      </c>
      <c r="O11908">
        <v>739</v>
      </c>
    </row>
    <row r="11909" spans="1:15" x14ac:dyDescent="0.25">
      <c r="A11909" t="s">
        <v>11922</v>
      </c>
      <c r="B11909">
        <v>262</v>
      </c>
      <c r="C11909" s="1" t="str">
        <f>HYPERLINK("http://www.rosaceae.org/gb/gbrowse/malus_x_domestica/?name=MDP0000225141","MDP0000225141")</f>
        <v>MDP0000225141</v>
      </c>
      <c r="D11909">
        <v>72.03</v>
      </c>
      <c r="E11909">
        <v>118</v>
      </c>
      <c r="F11909">
        <v>33</v>
      </c>
      <c r="G11909">
        <v>3</v>
      </c>
      <c r="H11909">
        <v>140</v>
      </c>
      <c r="I11909">
        <v>254</v>
      </c>
      <c r="J11909">
        <v>1</v>
      </c>
      <c r="K11909">
        <v>189</v>
      </c>
      <c r="L11909">
        <v>306</v>
      </c>
      <c r="M11909">
        <v>1</v>
      </c>
      <c r="N11909">
        <v>1.28455E-36</v>
      </c>
      <c r="O11909">
        <v>379</v>
      </c>
    </row>
    <row r="11910" spans="1:15" x14ac:dyDescent="0.25">
      <c r="A11910" t="s">
        <v>11923</v>
      </c>
      <c r="B11910">
        <v>221</v>
      </c>
      <c r="C11910" s="1" t="str">
        <f>HYPERLINK("http://www.rosaceae.org/gb/gbrowse/malus_x_domestica/?name=MDP0000418727","MDP0000418727")</f>
        <v>MDP0000418727</v>
      </c>
      <c r="D11910">
        <v>32.14</v>
      </c>
      <c r="E11910">
        <v>280</v>
      </c>
      <c r="F11910">
        <v>190</v>
      </c>
      <c r="G11910">
        <v>91</v>
      </c>
      <c r="H11910">
        <v>4</v>
      </c>
      <c r="I11910">
        <v>217</v>
      </c>
      <c r="J11910">
        <v>1</v>
      </c>
      <c r="K11910">
        <v>37</v>
      </c>
      <c r="L11910">
        <v>291</v>
      </c>
      <c r="M11910">
        <v>1</v>
      </c>
      <c r="N11910">
        <v>1.2907200000000001E-9</v>
      </c>
      <c r="O11910">
        <v>145</v>
      </c>
    </row>
    <row r="11911" spans="1:15" x14ac:dyDescent="0.25">
      <c r="A11911" t="s">
        <v>11924</v>
      </c>
      <c r="B11911">
        <v>258</v>
      </c>
      <c r="C11911" s="1" t="str">
        <f>HYPERLINK("http://www.rosaceae.org/gb/gbrowse/malus_x_domestica/?name=MDP0000132296","MDP0000132296")</f>
        <v>MDP0000132296</v>
      </c>
      <c r="D11911">
        <v>34.799999999999997</v>
      </c>
      <c r="E11911">
        <v>227</v>
      </c>
      <c r="F11911">
        <v>148</v>
      </c>
      <c r="G11911">
        <v>62</v>
      </c>
      <c r="H11911">
        <v>22</v>
      </c>
      <c r="I11911">
        <v>187</v>
      </c>
      <c r="J11911">
        <v>1</v>
      </c>
      <c r="K11911">
        <v>100</v>
      </c>
      <c r="L11911">
        <v>325</v>
      </c>
      <c r="M11911">
        <v>1</v>
      </c>
      <c r="N11911">
        <v>3.3088700000000003E-24</v>
      </c>
      <c r="O11911">
        <v>272</v>
      </c>
    </row>
    <row r="11912" spans="1:15" x14ac:dyDescent="0.25">
      <c r="A11912" t="s">
        <v>11925</v>
      </c>
      <c r="B11912">
        <v>163</v>
      </c>
      <c r="C11912" s="1" t="str">
        <f>HYPERLINK("http://www.rosaceae.org/gb/gbrowse/malus_x_domestica/?name=MDP0000128857","MDP0000128857")</f>
        <v>MDP0000128857</v>
      </c>
      <c r="D11912">
        <v>32.51</v>
      </c>
      <c r="E11912">
        <v>163</v>
      </c>
      <c r="F11912">
        <v>110</v>
      </c>
      <c r="G11912">
        <v>11</v>
      </c>
      <c r="H11912">
        <v>1</v>
      </c>
      <c r="I11912">
        <v>162</v>
      </c>
      <c r="J11912">
        <v>1</v>
      </c>
      <c r="K11912">
        <v>144</v>
      </c>
      <c r="L11912">
        <v>296</v>
      </c>
      <c r="M11912">
        <v>1</v>
      </c>
      <c r="N11912">
        <v>3.1918500000000003E-14</v>
      </c>
      <c r="O11912">
        <v>183</v>
      </c>
    </row>
    <row r="11913" spans="1:15" x14ac:dyDescent="0.25">
      <c r="A11913" t="s">
        <v>11926</v>
      </c>
      <c r="B11913">
        <v>261</v>
      </c>
      <c r="C11913" s="1" t="str">
        <f>HYPERLINK("http://www.rosaceae.org/gb/gbrowse/malus_x_domestica/?name=MDP0000804427","MDP0000804427")</f>
        <v>MDP0000804427</v>
      </c>
      <c r="D11913">
        <v>69.73</v>
      </c>
      <c r="E11913">
        <v>261</v>
      </c>
      <c r="F11913">
        <v>79</v>
      </c>
      <c r="G11913">
        <v>16</v>
      </c>
      <c r="H11913">
        <v>1</v>
      </c>
      <c r="I11913">
        <v>258</v>
      </c>
      <c r="J11913">
        <v>1</v>
      </c>
      <c r="K11913">
        <v>1</v>
      </c>
      <c r="L11913">
        <v>248</v>
      </c>
      <c r="M11913">
        <v>1</v>
      </c>
      <c r="N11913">
        <v>2.9409100000000001E-93</v>
      </c>
      <c r="O11913">
        <v>867</v>
      </c>
    </row>
    <row r="11914" spans="1:15" x14ac:dyDescent="0.25">
      <c r="A11914" t="s">
        <v>11927</v>
      </c>
      <c r="B11914">
        <v>477</v>
      </c>
      <c r="C11914" s="1" t="str">
        <f>HYPERLINK("http://www.rosaceae.org/gb/gbrowse/malus_x_domestica/?name=MDP0000301576","MDP0000301576")</f>
        <v>MDP0000301576</v>
      </c>
      <c r="D11914">
        <v>29.69</v>
      </c>
      <c r="E11914">
        <v>357</v>
      </c>
      <c r="F11914">
        <v>251</v>
      </c>
      <c r="G11914">
        <v>24</v>
      </c>
      <c r="H11914">
        <v>133</v>
      </c>
      <c r="I11914">
        <v>477</v>
      </c>
      <c r="J11914">
        <v>1</v>
      </c>
      <c r="K11914">
        <v>123</v>
      </c>
      <c r="L11914">
        <v>467</v>
      </c>
      <c r="M11914">
        <v>1</v>
      </c>
      <c r="N11914">
        <v>7.3582099999999995E-32</v>
      </c>
      <c r="O11914">
        <v>341</v>
      </c>
    </row>
    <row r="11915" spans="1:15" x14ac:dyDescent="0.25">
      <c r="A11915" t="s">
        <v>11928</v>
      </c>
      <c r="B11915">
        <v>401</v>
      </c>
      <c r="C11915" s="1" t="str">
        <f>HYPERLINK("http://www.rosaceae.org/gb/gbrowse/malus_x_domestica/?name=MDP0000231476","MDP0000231476")</f>
        <v>MDP0000231476</v>
      </c>
      <c r="D11915">
        <v>83.72</v>
      </c>
      <c r="E11915">
        <v>344</v>
      </c>
      <c r="F11915">
        <v>56</v>
      </c>
      <c r="G11915">
        <v>27</v>
      </c>
      <c r="H11915">
        <v>1</v>
      </c>
      <c r="I11915">
        <v>344</v>
      </c>
      <c r="J11915">
        <v>1</v>
      </c>
      <c r="K11915">
        <v>1</v>
      </c>
      <c r="L11915">
        <v>317</v>
      </c>
      <c r="M11915">
        <v>1</v>
      </c>
      <c r="N11915">
        <v>5.9091399999999999E-164</v>
      </c>
      <c r="O11915">
        <v>1479</v>
      </c>
    </row>
    <row r="11916" spans="1:15" x14ac:dyDescent="0.25">
      <c r="A11916" t="s">
        <v>11929</v>
      </c>
      <c r="B11916">
        <v>728</v>
      </c>
      <c r="C11916" s="1" t="str">
        <f>HYPERLINK("http://www.rosaceae.org/gb/gbrowse/malus_x_domestica/?name=MDP0000316703","MDP0000316703")</f>
        <v>MDP0000316703</v>
      </c>
      <c r="D11916">
        <v>77.5</v>
      </c>
      <c r="E11916">
        <v>80</v>
      </c>
      <c r="F11916">
        <v>18</v>
      </c>
      <c r="G11916">
        <v>7</v>
      </c>
      <c r="H11916">
        <v>556</v>
      </c>
      <c r="I11916">
        <v>628</v>
      </c>
      <c r="J11916">
        <v>1</v>
      </c>
      <c r="K11916">
        <v>38</v>
      </c>
      <c r="L11916">
        <v>117</v>
      </c>
      <c r="M11916">
        <v>1</v>
      </c>
      <c r="N11916">
        <v>8.7310099999999998E-31</v>
      </c>
      <c r="O11916">
        <v>334</v>
      </c>
    </row>
    <row r="11917" spans="1:15" x14ac:dyDescent="0.25">
      <c r="A11917" t="s">
        <v>11930</v>
      </c>
      <c r="B11917">
        <v>439</v>
      </c>
      <c r="C11917" s="1" t="str">
        <f>HYPERLINK("http://www.rosaceae.org/gb/gbrowse/malus_x_domestica/?name=MDP0000254937","MDP0000254937")</f>
        <v>MDP0000254937</v>
      </c>
      <c r="D11917">
        <v>44.12</v>
      </c>
      <c r="E11917">
        <v>451</v>
      </c>
      <c r="F11917">
        <v>252</v>
      </c>
      <c r="G11917">
        <v>48</v>
      </c>
      <c r="H11917">
        <v>7</v>
      </c>
      <c r="I11917">
        <v>426</v>
      </c>
      <c r="J11917">
        <v>1</v>
      </c>
      <c r="K11917">
        <v>3</v>
      </c>
      <c r="L11917">
        <v>436</v>
      </c>
      <c r="M11917">
        <v>1</v>
      </c>
      <c r="N11917">
        <v>1.37636E-82</v>
      </c>
      <c r="O11917">
        <v>778</v>
      </c>
    </row>
    <row r="11918" spans="1:15" x14ac:dyDescent="0.25">
      <c r="A11918" t="s">
        <v>11931</v>
      </c>
      <c r="B11918">
        <v>955</v>
      </c>
      <c r="C11918" s="1" t="str">
        <f>HYPERLINK("http://www.rosaceae.org/gb/gbrowse/malus_x_domestica/?name=MDP0000320894","MDP0000320894")</f>
        <v>MDP0000320894</v>
      </c>
      <c r="D11918">
        <v>81.239999999999995</v>
      </c>
      <c r="E11918">
        <v>997</v>
      </c>
      <c r="F11918">
        <v>187</v>
      </c>
      <c r="G11918">
        <v>45</v>
      </c>
      <c r="H11918">
        <v>3</v>
      </c>
      <c r="I11918">
        <v>955</v>
      </c>
      <c r="J11918">
        <v>1</v>
      </c>
      <c r="K11918">
        <v>94</v>
      </c>
      <c r="L11918">
        <v>1089</v>
      </c>
      <c r="M11918">
        <v>1</v>
      </c>
      <c r="N11918">
        <v>0</v>
      </c>
      <c r="O11918">
        <v>4213</v>
      </c>
    </row>
    <row r="11919" spans="1:15" x14ac:dyDescent="0.25">
      <c r="A11919" t="s">
        <v>11932</v>
      </c>
      <c r="B11919">
        <v>590</v>
      </c>
      <c r="C11919" s="1" t="str">
        <f>HYPERLINK("http://www.rosaceae.org/gb/gbrowse/malus_x_domestica/?name=MDP0000295452","MDP0000295452")</f>
        <v>MDP0000295452</v>
      </c>
      <c r="D11919">
        <v>58.63</v>
      </c>
      <c r="E11919">
        <v>556</v>
      </c>
      <c r="F11919">
        <v>230</v>
      </c>
      <c r="G11919">
        <v>9</v>
      </c>
      <c r="H11919">
        <v>39</v>
      </c>
      <c r="I11919">
        <v>588</v>
      </c>
      <c r="J11919">
        <v>1</v>
      </c>
      <c r="K11919">
        <v>36</v>
      </c>
      <c r="L11919">
        <v>588</v>
      </c>
      <c r="M11919">
        <v>1</v>
      </c>
      <c r="N11919">
        <v>0</v>
      </c>
      <c r="O11919">
        <v>1681</v>
      </c>
    </row>
    <row r="11920" spans="1:15" x14ac:dyDescent="0.25">
      <c r="A11920" t="s">
        <v>11933</v>
      </c>
      <c r="B11920">
        <v>704</v>
      </c>
      <c r="C11920" s="1" t="str">
        <f>HYPERLINK("http://www.rosaceae.org/gb/gbrowse/malus_x_domestica/?name=MDP0000155390","MDP0000155390")</f>
        <v>MDP0000155390</v>
      </c>
      <c r="D11920">
        <v>80.73</v>
      </c>
      <c r="E11920">
        <v>680</v>
      </c>
      <c r="F11920">
        <v>131</v>
      </c>
      <c r="G11920">
        <v>7</v>
      </c>
      <c r="H11920">
        <v>30</v>
      </c>
      <c r="I11920">
        <v>704</v>
      </c>
      <c r="J11920">
        <v>1</v>
      </c>
      <c r="K11920">
        <v>156</v>
      </c>
      <c r="L11920">
        <v>833</v>
      </c>
      <c r="M11920">
        <v>1</v>
      </c>
      <c r="N11920">
        <v>0</v>
      </c>
      <c r="O11920">
        <v>2810</v>
      </c>
    </row>
    <row r="11921" spans="1:15" x14ac:dyDescent="0.25">
      <c r="A11921" t="s">
        <v>11934</v>
      </c>
      <c r="B11921">
        <v>250</v>
      </c>
      <c r="C11921" s="1" t="str">
        <f>HYPERLINK("http://www.rosaceae.org/gb/gbrowse/malus_x_domestica/?name=MDP0000469813","MDP0000469813")</f>
        <v>MDP0000469813</v>
      </c>
      <c r="D11921">
        <v>75.52</v>
      </c>
      <c r="E11921">
        <v>237</v>
      </c>
      <c r="F11921">
        <v>58</v>
      </c>
      <c r="G11921">
        <v>2</v>
      </c>
      <c r="H11921">
        <v>16</v>
      </c>
      <c r="I11921">
        <v>250</v>
      </c>
      <c r="J11921">
        <v>1</v>
      </c>
      <c r="K11921">
        <v>16</v>
      </c>
      <c r="L11921">
        <v>252</v>
      </c>
      <c r="M11921">
        <v>1</v>
      </c>
      <c r="N11921">
        <v>1.33401E-99</v>
      </c>
      <c r="O11921">
        <v>922</v>
      </c>
    </row>
    <row r="11922" spans="1:15" x14ac:dyDescent="0.25">
      <c r="A11922" t="s">
        <v>11935</v>
      </c>
      <c r="B11922">
        <v>104</v>
      </c>
      <c r="C11922" s="1" t="str">
        <f>HYPERLINK("http://www.rosaceae.org/gb/gbrowse/malus_x_domestica/?name=MDP0000207354","MDP0000207354")</f>
        <v>MDP0000207354</v>
      </c>
      <c r="D11922">
        <v>67.44</v>
      </c>
      <c r="E11922">
        <v>86</v>
      </c>
      <c r="F11922">
        <v>28</v>
      </c>
      <c r="G11922">
        <v>2</v>
      </c>
      <c r="H11922">
        <v>1</v>
      </c>
      <c r="I11922">
        <v>84</v>
      </c>
      <c r="J11922">
        <v>1</v>
      </c>
      <c r="K11922">
        <v>93</v>
      </c>
      <c r="L11922">
        <v>178</v>
      </c>
      <c r="M11922">
        <v>1</v>
      </c>
      <c r="N11922">
        <v>1.23826E-28</v>
      </c>
      <c r="O11922">
        <v>304</v>
      </c>
    </row>
    <row r="11923" spans="1:15" x14ac:dyDescent="0.25">
      <c r="A11923" t="s">
        <v>11936</v>
      </c>
      <c r="B11923">
        <v>478</v>
      </c>
      <c r="C11923" s="1" t="str">
        <f>HYPERLINK("http://www.rosaceae.org/gb/gbrowse/malus_x_domestica/?name=MDP0000263256","MDP0000263256")</f>
        <v>MDP0000263256</v>
      </c>
      <c r="D11923">
        <v>34.86</v>
      </c>
      <c r="E11923">
        <v>327</v>
      </c>
      <c r="F11923">
        <v>213</v>
      </c>
      <c r="G11923">
        <v>66</v>
      </c>
      <c r="H11923">
        <v>205</v>
      </c>
      <c r="I11923">
        <v>478</v>
      </c>
      <c r="J11923">
        <v>1</v>
      </c>
      <c r="K11923">
        <v>370</v>
      </c>
      <c r="L11923">
        <v>683</v>
      </c>
      <c r="M11923">
        <v>1</v>
      </c>
      <c r="N11923">
        <v>1.3418800000000001E-40</v>
      </c>
      <c r="O11923">
        <v>416</v>
      </c>
    </row>
    <row r="11924" spans="1:15" x14ac:dyDescent="0.25">
      <c r="A11924" t="s">
        <v>11937</v>
      </c>
      <c r="B11924">
        <v>939</v>
      </c>
      <c r="C11924" s="1" t="str">
        <f>HYPERLINK("http://www.rosaceae.org/gb/gbrowse/malus_x_domestica/?name=MDP0000845007","MDP0000845007")</f>
        <v>MDP0000845007</v>
      </c>
      <c r="D11924">
        <v>90.81</v>
      </c>
      <c r="E11924">
        <v>925</v>
      </c>
      <c r="F11924">
        <v>85</v>
      </c>
      <c r="G11924">
        <v>7</v>
      </c>
      <c r="H11924">
        <v>16</v>
      </c>
      <c r="I11924">
        <v>939</v>
      </c>
      <c r="J11924">
        <v>1</v>
      </c>
      <c r="K11924">
        <v>2</v>
      </c>
      <c r="L11924">
        <v>920</v>
      </c>
      <c r="M11924">
        <v>1</v>
      </c>
      <c r="N11924">
        <v>0</v>
      </c>
      <c r="O11924">
        <v>4467</v>
      </c>
    </row>
    <row r="11925" spans="1:15" x14ac:dyDescent="0.25">
      <c r="A11925" t="s">
        <v>11938</v>
      </c>
      <c r="B11925">
        <v>222</v>
      </c>
      <c r="C11925" s="1" t="str">
        <f>HYPERLINK("http://www.rosaceae.org/gb/gbrowse/malus_x_domestica/?name=MDP0000243554","MDP0000243554")</f>
        <v>MDP0000243554</v>
      </c>
      <c r="D11925">
        <v>71.09</v>
      </c>
      <c r="E11925">
        <v>173</v>
      </c>
      <c r="F11925">
        <v>50</v>
      </c>
      <c r="G11925">
        <v>15</v>
      </c>
      <c r="H11925">
        <v>46</v>
      </c>
      <c r="I11925">
        <v>218</v>
      </c>
      <c r="J11925">
        <v>1</v>
      </c>
      <c r="K11925">
        <v>1</v>
      </c>
      <c r="L11925">
        <v>158</v>
      </c>
      <c r="M11925">
        <v>1</v>
      </c>
      <c r="N11925">
        <v>2.1939299999999999E-66</v>
      </c>
      <c r="O11925">
        <v>635</v>
      </c>
    </row>
    <row r="11926" spans="1:15" x14ac:dyDescent="0.25">
      <c r="A11926" t="s">
        <v>11939</v>
      </c>
      <c r="B11926">
        <v>544</v>
      </c>
      <c r="C11926" s="1" t="str">
        <f>HYPERLINK("http://www.rosaceae.org/gb/gbrowse/malus_x_domestica/?name=MDP0000301101","MDP0000301101")</f>
        <v>MDP0000301101</v>
      </c>
      <c r="D11926">
        <v>63.94</v>
      </c>
      <c r="E11926">
        <v>538</v>
      </c>
      <c r="F11926">
        <v>194</v>
      </c>
      <c r="G11926">
        <v>74</v>
      </c>
      <c r="H11926">
        <v>14</v>
      </c>
      <c r="I11926">
        <v>544</v>
      </c>
      <c r="J11926">
        <v>1</v>
      </c>
      <c r="K11926">
        <v>13</v>
      </c>
      <c r="L11926">
        <v>483</v>
      </c>
      <c r="M11926">
        <v>1</v>
      </c>
      <c r="N11926">
        <v>4.1058000000000004E-180</v>
      </c>
      <c r="O11926">
        <v>1620</v>
      </c>
    </row>
    <row r="11927" spans="1:15" x14ac:dyDescent="0.25">
      <c r="A11927" t="s">
        <v>11940</v>
      </c>
      <c r="B11927">
        <v>346</v>
      </c>
      <c r="C11927" s="1" t="str">
        <f>HYPERLINK("http://www.rosaceae.org/gb/gbrowse/malus_x_domestica/?name=MDP0000285775","MDP0000285775")</f>
        <v>MDP0000285775</v>
      </c>
      <c r="D11927">
        <v>78.3</v>
      </c>
      <c r="E11927">
        <v>378</v>
      </c>
      <c r="F11927">
        <v>82</v>
      </c>
      <c r="G11927">
        <v>48</v>
      </c>
      <c r="H11927">
        <v>17</v>
      </c>
      <c r="I11927">
        <v>346</v>
      </c>
      <c r="J11927">
        <v>1</v>
      </c>
      <c r="K11927">
        <v>52</v>
      </c>
      <c r="L11927">
        <v>429</v>
      </c>
      <c r="M11927">
        <v>1</v>
      </c>
      <c r="N11927">
        <v>2.60833E-169</v>
      </c>
      <c r="O11927">
        <v>1525</v>
      </c>
    </row>
    <row r="11928" spans="1:15" x14ac:dyDescent="0.25">
      <c r="A11928" t="s">
        <v>11941</v>
      </c>
      <c r="B11928">
        <v>522</v>
      </c>
      <c r="C11928" s="1" t="str">
        <f>HYPERLINK("http://www.rosaceae.org/gb/gbrowse/malus_x_domestica/?name=MDP0000146894","MDP0000146894")</f>
        <v>MDP0000146894</v>
      </c>
      <c r="D11928">
        <v>72.599999999999994</v>
      </c>
      <c r="E11928">
        <v>533</v>
      </c>
      <c r="F11928">
        <v>146</v>
      </c>
      <c r="G11928">
        <v>18</v>
      </c>
      <c r="H11928">
        <v>1</v>
      </c>
      <c r="I11928">
        <v>520</v>
      </c>
      <c r="J11928">
        <v>1</v>
      </c>
      <c r="K11928">
        <v>1</v>
      </c>
      <c r="L11928">
        <v>528</v>
      </c>
      <c r="M11928">
        <v>1</v>
      </c>
      <c r="N11928">
        <v>0</v>
      </c>
      <c r="O11928">
        <v>1992</v>
      </c>
    </row>
    <row r="11929" spans="1:15" x14ac:dyDescent="0.25">
      <c r="A11929" t="s">
        <v>11942</v>
      </c>
      <c r="B11929">
        <v>677</v>
      </c>
      <c r="C11929" s="1" t="str">
        <f>HYPERLINK("http://www.rosaceae.org/gb/gbrowse/malus_x_domestica/?name=MDP0000290409","MDP0000290409")</f>
        <v>MDP0000290409</v>
      </c>
      <c r="D11929">
        <v>39.520000000000003</v>
      </c>
      <c r="E11929">
        <v>167</v>
      </c>
      <c r="F11929">
        <v>101</v>
      </c>
      <c r="G11929">
        <v>4</v>
      </c>
      <c r="H11929">
        <v>328</v>
      </c>
      <c r="I11929">
        <v>492</v>
      </c>
      <c r="J11929">
        <v>1</v>
      </c>
      <c r="K11929">
        <v>543</v>
      </c>
      <c r="L11929">
        <v>707</v>
      </c>
      <c r="M11929">
        <v>1</v>
      </c>
      <c r="N11929">
        <v>1.5093899999999999E-22</v>
      </c>
      <c r="O11929">
        <v>262</v>
      </c>
    </row>
    <row r="11930" spans="1:15" x14ac:dyDescent="0.25">
      <c r="A11930" t="s">
        <v>11943</v>
      </c>
      <c r="B11930">
        <v>154</v>
      </c>
      <c r="C11930" s="1" t="str">
        <f>HYPERLINK("http://www.rosaceae.org/gb/gbrowse/malus_x_domestica/?name=MDP0000630500","MDP0000630500")</f>
        <v>MDP0000630500</v>
      </c>
      <c r="D11930">
        <v>69.37</v>
      </c>
      <c r="E11930">
        <v>160</v>
      </c>
      <c r="F11930">
        <v>49</v>
      </c>
      <c r="G11930">
        <v>6</v>
      </c>
      <c r="H11930">
        <v>1</v>
      </c>
      <c r="I11930">
        <v>154</v>
      </c>
      <c r="J11930">
        <v>1</v>
      </c>
      <c r="K11930">
        <v>1</v>
      </c>
      <c r="L11930">
        <v>160</v>
      </c>
      <c r="M11930">
        <v>1</v>
      </c>
      <c r="N11930">
        <v>8.0245800000000004E-57</v>
      </c>
      <c r="O11930">
        <v>550</v>
      </c>
    </row>
    <row r="11931" spans="1:15" x14ac:dyDescent="0.25">
      <c r="A11931" t="s">
        <v>11944</v>
      </c>
      <c r="B11931">
        <v>146</v>
      </c>
      <c r="C11931" s="1" t="str">
        <f>HYPERLINK("http://www.rosaceae.org/gb/gbrowse/malus_x_domestica/?name=MDP0000789227","MDP0000789227")</f>
        <v>MDP0000789227</v>
      </c>
      <c r="D11931">
        <v>61.01</v>
      </c>
      <c r="E11931">
        <v>118</v>
      </c>
      <c r="F11931">
        <v>46</v>
      </c>
      <c r="G11931">
        <v>4</v>
      </c>
      <c r="H11931">
        <v>7</v>
      </c>
      <c r="I11931">
        <v>121</v>
      </c>
      <c r="J11931">
        <v>1</v>
      </c>
      <c r="K11931">
        <v>3</v>
      </c>
      <c r="L11931">
        <v>119</v>
      </c>
      <c r="M11931">
        <v>1</v>
      </c>
      <c r="N11931">
        <v>1.96164E-32</v>
      </c>
      <c r="O11931">
        <v>339</v>
      </c>
    </row>
    <row r="11932" spans="1:15" x14ac:dyDescent="0.25">
      <c r="A11932" t="s">
        <v>11945</v>
      </c>
      <c r="B11932">
        <v>1022</v>
      </c>
      <c r="C11932" s="1" t="str">
        <f>HYPERLINK("http://www.rosaceae.org/gb/gbrowse/malus_x_domestica/?name=MDP0000294127","MDP0000294127")</f>
        <v>MDP0000294127</v>
      </c>
      <c r="D11932">
        <v>79.86</v>
      </c>
      <c r="E11932">
        <v>1033</v>
      </c>
      <c r="F11932">
        <v>208</v>
      </c>
      <c r="G11932">
        <v>15</v>
      </c>
      <c r="H11932">
        <v>1</v>
      </c>
      <c r="I11932">
        <v>1022</v>
      </c>
      <c r="J11932">
        <v>1</v>
      </c>
      <c r="K11932">
        <v>1</v>
      </c>
      <c r="L11932">
        <v>1029</v>
      </c>
      <c r="M11932">
        <v>1</v>
      </c>
      <c r="N11932">
        <v>0</v>
      </c>
      <c r="O11932">
        <v>4292</v>
      </c>
    </row>
    <row r="11933" spans="1:15" x14ac:dyDescent="0.25">
      <c r="A11933" t="s">
        <v>11946</v>
      </c>
      <c r="B11933">
        <v>683</v>
      </c>
      <c r="C11933" s="1" t="str">
        <f>HYPERLINK("http://www.rosaceae.org/gb/gbrowse/malus_x_domestica/?name=MDP0000184490","MDP0000184490")</f>
        <v>MDP0000184490</v>
      </c>
      <c r="D11933">
        <v>47.87</v>
      </c>
      <c r="E11933">
        <v>424</v>
      </c>
      <c r="F11933">
        <v>221</v>
      </c>
      <c r="G11933">
        <v>79</v>
      </c>
      <c r="H11933">
        <v>72</v>
      </c>
      <c r="I11933">
        <v>428</v>
      </c>
      <c r="J11933">
        <v>1</v>
      </c>
      <c r="K11933">
        <v>223</v>
      </c>
      <c r="L11933">
        <v>634</v>
      </c>
      <c r="M11933">
        <v>1</v>
      </c>
      <c r="N11933">
        <v>1.50375E-100</v>
      </c>
      <c r="O11933">
        <v>935</v>
      </c>
    </row>
    <row r="11934" spans="1:15" x14ac:dyDescent="0.25">
      <c r="A11934" t="s">
        <v>11947</v>
      </c>
      <c r="B11934">
        <v>295</v>
      </c>
      <c r="C11934" s="1" t="str">
        <f>HYPERLINK("http://www.rosaceae.org/gb/gbrowse/malus_x_domestica/?name=MDP0000804427","MDP0000804427")</f>
        <v>MDP0000804427</v>
      </c>
      <c r="D11934">
        <v>61</v>
      </c>
      <c r="E11934">
        <v>159</v>
      </c>
      <c r="F11934">
        <v>62</v>
      </c>
      <c r="G11934">
        <v>1</v>
      </c>
      <c r="H11934">
        <v>135</v>
      </c>
      <c r="I11934">
        <v>292</v>
      </c>
      <c r="J11934">
        <v>1</v>
      </c>
      <c r="K11934">
        <v>90</v>
      </c>
      <c r="L11934">
        <v>248</v>
      </c>
      <c r="M11934">
        <v>1</v>
      </c>
      <c r="N11934">
        <v>2.65103E-47</v>
      </c>
      <c r="O11934">
        <v>472</v>
      </c>
    </row>
    <row r="11935" spans="1:15" x14ac:dyDescent="0.25">
      <c r="A11935" t="s">
        <v>11948</v>
      </c>
      <c r="B11935">
        <v>372</v>
      </c>
      <c r="C11935" s="1" t="str">
        <f>HYPERLINK("http://www.rosaceae.org/gb/gbrowse/malus_x_domestica/?name=MDP0000193129","MDP0000193129")</f>
        <v>MDP0000193129</v>
      </c>
      <c r="D11935">
        <v>72.510000000000005</v>
      </c>
      <c r="E11935">
        <v>211</v>
      </c>
      <c r="F11935">
        <v>58</v>
      </c>
      <c r="G11935">
        <v>5</v>
      </c>
      <c r="H11935">
        <v>167</v>
      </c>
      <c r="I11935">
        <v>372</v>
      </c>
      <c r="J11935">
        <v>1</v>
      </c>
      <c r="K11935">
        <v>157</v>
      </c>
      <c r="L11935">
        <v>367</v>
      </c>
      <c r="M11935">
        <v>1</v>
      </c>
      <c r="N11935">
        <v>1.8106799999999999E-85</v>
      </c>
      <c r="O11935">
        <v>802</v>
      </c>
    </row>
    <row r="11936" spans="1:15" x14ac:dyDescent="0.25">
      <c r="A11936" t="s">
        <v>11949</v>
      </c>
      <c r="B11936">
        <v>865</v>
      </c>
      <c r="C11936" s="1" t="str">
        <f>HYPERLINK("http://www.rosaceae.org/gb/gbrowse/malus_x_domestica/?name=MDP0000165187","MDP0000165187")</f>
        <v>MDP0000165187</v>
      </c>
      <c r="D11936">
        <v>63.65</v>
      </c>
      <c r="E11936">
        <v>542</v>
      </c>
      <c r="F11936">
        <v>197</v>
      </c>
      <c r="G11936">
        <v>49</v>
      </c>
      <c r="H11936">
        <v>319</v>
      </c>
      <c r="I11936">
        <v>819</v>
      </c>
      <c r="J11936">
        <v>1</v>
      </c>
      <c r="K11936">
        <v>3</v>
      </c>
      <c r="L11936">
        <v>536</v>
      </c>
      <c r="M11936">
        <v>1</v>
      </c>
      <c r="N11936">
        <v>0</v>
      </c>
      <c r="O11936">
        <v>1830</v>
      </c>
    </row>
    <row r="11937" spans="1:15" x14ac:dyDescent="0.25">
      <c r="A11937" t="s">
        <v>11950</v>
      </c>
      <c r="B11937">
        <v>728</v>
      </c>
      <c r="C11937" s="1" t="str">
        <f>HYPERLINK("http://www.rosaceae.org/gb/gbrowse/malus_x_domestica/?name=MDP0000197707","MDP0000197707")</f>
        <v>MDP0000197707</v>
      </c>
      <c r="D11937">
        <v>71.83</v>
      </c>
      <c r="E11937">
        <v>774</v>
      </c>
      <c r="F11937">
        <v>218</v>
      </c>
      <c r="G11937">
        <v>80</v>
      </c>
      <c r="H11937">
        <v>1</v>
      </c>
      <c r="I11937">
        <v>728</v>
      </c>
      <c r="J11937">
        <v>1</v>
      </c>
      <c r="K11937">
        <v>1</v>
      </c>
      <c r="L11937">
        <v>740</v>
      </c>
      <c r="M11937">
        <v>1</v>
      </c>
      <c r="N11937">
        <v>0</v>
      </c>
      <c r="O11937">
        <v>2842</v>
      </c>
    </row>
    <row r="11938" spans="1:15" x14ac:dyDescent="0.25">
      <c r="A11938" t="s">
        <v>11951</v>
      </c>
      <c r="B11938">
        <v>341</v>
      </c>
      <c r="C11938" s="1" t="str">
        <f>HYPERLINK("http://www.rosaceae.org/gb/gbrowse/malus_x_domestica/?name=MDP0000313741","MDP0000313741")</f>
        <v>MDP0000313741</v>
      </c>
      <c r="D11938">
        <v>36.26</v>
      </c>
      <c r="E11938">
        <v>375</v>
      </c>
      <c r="F11938">
        <v>239</v>
      </c>
      <c r="G11938">
        <v>81</v>
      </c>
      <c r="H11938">
        <v>1</v>
      </c>
      <c r="I11938">
        <v>326</v>
      </c>
      <c r="J11938">
        <v>1</v>
      </c>
      <c r="K11938">
        <v>2</v>
      </c>
      <c r="L11938">
        <v>344</v>
      </c>
      <c r="M11938">
        <v>1</v>
      </c>
      <c r="N11938">
        <v>1.46727E-38</v>
      </c>
      <c r="O11938">
        <v>397</v>
      </c>
    </row>
    <row r="11939" spans="1:15" x14ac:dyDescent="0.25">
      <c r="A11939" t="s">
        <v>11952</v>
      </c>
      <c r="B11939">
        <v>516</v>
      </c>
      <c r="C11939" s="1" t="str">
        <f>HYPERLINK("http://www.rosaceae.org/gb/gbrowse/malus_x_domestica/?name=MDP0000156339","MDP0000156339")</f>
        <v>MDP0000156339</v>
      </c>
      <c r="D11939">
        <v>71.53</v>
      </c>
      <c r="E11939">
        <v>555</v>
      </c>
      <c r="F11939">
        <v>158</v>
      </c>
      <c r="G11939">
        <v>41</v>
      </c>
      <c r="H11939">
        <v>1</v>
      </c>
      <c r="I11939">
        <v>516</v>
      </c>
      <c r="J11939">
        <v>1</v>
      </c>
      <c r="K11939">
        <v>1</v>
      </c>
      <c r="L11939">
        <v>553</v>
      </c>
      <c r="M11939">
        <v>1</v>
      </c>
      <c r="N11939">
        <v>0</v>
      </c>
      <c r="O11939">
        <v>2092</v>
      </c>
    </row>
    <row r="11940" spans="1:15" x14ac:dyDescent="0.25">
      <c r="A11940" t="s">
        <v>11953</v>
      </c>
      <c r="B11940">
        <v>490</v>
      </c>
      <c r="C11940" s="1" t="str">
        <f>HYPERLINK("http://www.rosaceae.org/gb/gbrowse/malus_x_domestica/?name=MDP0000218810","MDP0000218810")</f>
        <v>MDP0000218810</v>
      </c>
      <c r="D11940">
        <v>88.73</v>
      </c>
      <c r="E11940">
        <v>355</v>
      </c>
      <c r="F11940">
        <v>40</v>
      </c>
      <c r="G11940">
        <v>3</v>
      </c>
      <c r="H11940">
        <v>136</v>
      </c>
      <c r="I11940">
        <v>490</v>
      </c>
      <c r="J11940">
        <v>1</v>
      </c>
      <c r="K11940">
        <v>2</v>
      </c>
      <c r="L11940">
        <v>353</v>
      </c>
      <c r="M11940">
        <v>1</v>
      </c>
      <c r="N11940">
        <v>0</v>
      </c>
      <c r="O11940">
        <v>1721</v>
      </c>
    </row>
    <row r="11941" spans="1:15" x14ac:dyDescent="0.25">
      <c r="A11941" t="s">
        <v>11954</v>
      </c>
      <c r="B11941">
        <v>66</v>
      </c>
      <c r="C11941" s="1" t="str">
        <f>HYPERLINK("http://www.rosaceae.org/gb/gbrowse/malus_x_domestica/?name=MDP0000527190","MDP0000527190")</f>
        <v>MDP0000527190</v>
      </c>
      <c r="D11941">
        <v>55.55</v>
      </c>
      <c r="E11941">
        <v>45</v>
      </c>
      <c r="F11941">
        <v>20</v>
      </c>
      <c r="G11941">
        <v>0</v>
      </c>
      <c r="H11941">
        <v>1</v>
      </c>
      <c r="I11941">
        <v>45</v>
      </c>
      <c r="J11941">
        <v>1</v>
      </c>
      <c r="K11941">
        <v>1</v>
      </c>
      <c r="L11941">
        <v>45</v>
      </c>
      <c r="M11941">
        <v>1</v>
      </c>
      <c r="N11941">
        <v>8.7061100000000007E-8</v>
      </c>
      <c r="O11941">
        <v>125</v>
      </c>
    </row>
    <row r="11942" spans="1:15" x14ac:dyDescent="0.25">
      <c r="A11942" t="s">
        <v>11955</v>
      </c>
      <c r="B11942">
        <v>264</v>
      </c>
      <c r="C11942" s="1" t="str">
        <f>HYPERLINK("http://www.rosaceae.org/gb/gbrowse/malus_x_domestica/?name=MDP0000224376","MDP0000224376")</f>
        <v>MDP0000224376</v>
      </c>
      <c r="D11942">
        <v>64.739999999999995</v>
      </c>
      <c r="E11942">
        <v>156</v>
      </c>
      <c r="F11942">
        <v>55</v>
      </c>
      <c r="G11942">
        <v>38</v>
      </c>
      <c r="H11942">
        <v>147</v>
      </c>
      <c r="I11942">
        <v>264</v>
      </c>
      <c r="J11942">
        <v>1</v>
      </c>
      <c r="K11942">
        <v>251</v>
      </c>
      <c r="L11942">
        <v>406</v>
      </c>
      <c r="M11942">
        <v>1</v>
      </c>
      <c r="N11942">
        <v>9.1807500000000005E-53</v>
      </c>
      <c r="O11942">
        <v>518</v>
      </c>
    </row>
    <row r="11943" spans="1:15" x14ac:dyDescent="0.25">
      <c r="A11943" t="s">
        <v>11956</v>
      </c>
      <c r="B11943">
        <v>426</v>
      </c>
      <c r="C11943" s="1" t="str">
        <f>HYPERLINK("http://www.rosaceae.org/gb/gbrowse/malus_x_domestica/?name=MDP0000769656","MDP0000769656")</f>
        <v>MDP0000769656</v>
      </c>
      <c r="D11943">
        <v>48.23</v>
      </c>
      <c r="E11943">
        <v>396</v>
      </c>
      <c r="F11943">
        <v>205</v>
      </c>
      <c r="G11943">
        <v>14</v>
      </c>
      <c r="H11943">
        <v>6</v>
      </c>
      <c r="I11943">
        <v>397</v>
      </c>
      <c r="J11943">
        <v>1</v>
      </c>
      <c r="K11943">
        <v>19</v>
      </c>
      <c r="L11943">
        <v>404</v>
      </c>
      <c r="M11943">
        <v>1</v>
      </c>
      <c r="N11943">
        <v>5.2473500000000001E-106</v>
      </c>
      <c r="O11943">
        <v>980</v>
      </c>
    </row>
    <row r="11944" spans="1:15" x14ac:dyDescent="0.25">
      <c r="A11944" t="s">
        <v>11957</v>
      </c>
      <c r="B11944">
        <v>323</v>
      </c>
      <c r="C11944" s="1" t="str">
        <f>HYPERLINK("http://www.rosaceae.org/gb/gbrowse/malus_x_domestica/?name=MDP0000271903","MDP0000271903")</f>
        <v>MDP0000271903</v>
      </c>
      <c r="D11944">
        <v>39.75</v>
      </c>
      <c r="E11944">
        <v>327</v>
      </c>
      <c r="F11944">
        <v>197</v>
      </c>
      <c r="G11944">
        <v>26</v>
      </c>
      <c r="H11944">
        <v>16</v>
      </c>
      <c r="I11944">
        <v>323</v>
      </c>
      <c r="J11944">
        <v>1</v>
      </c>
      <c r="K11944">
        <v>132</v>
      </c>
      <c r="L11944">
        <v>451</v>
      </c>
      <c r="M11944">
        <v>1</v>
      </c>
      <c r="N11944">
        <v>1.5154600000000001E-57</v>
      </c>
      <c r="O11944">
        <v>561</v>
      </c>
    </row>
    <row r="11945" spans="1:15" x14ac:dyDescent="0.25">
      <c r="A11945" t="s">
        <v>11958</v>
      </c>
      <c r="B11945">
        <v>513</v>
      </c>
      <c r="C11945" s="1" t="str">
        <f>HYPERLINK("http://www.rosaceae.org/gb/gbrowse/malus_x_domestica/?name=MDP0000295522","MDP0000295522")</f>
        <v>MDP0000295522</v>
      </c>
      <c r="D11945">
        <v>75.55</v>
      </c>
      <c r="E11945">
        <v>315</v>
      </c>
      <c r="F11945">
        <v>77</v>
      </c>
      <c r="G11945">
        <v>26</v>
      </c>
      <c r="H11945">
        <v>203</v>
      </c>
      <c r="I11945">
        <v>511</v>
      </c>
      <c r="J11945">
        <v>1</v>
      </c>
      <c r="K11945">
        <v>314</v>
      </c>
      <c r="L11945">
        <v>608</v>
      </c>
      <c r="M11945">
        <v>1</v>
      </c>
      <c r="N11945">
        <v>7.7097200000000005E-141</v>
      </c>
      <c r="O11945">
        <v>1281</v>
      </c>
    </row>
    <row r="11946" spans="1:15" x14ac:dyDescent="0.25">
      <c r="A11946" t="s">
        <v>11959</v>
      </c>
      <c r="B11946">
        <v>390</v>
      </c>
      <c r="C11946" s="1" t="str">
        <f>HYPERLINK("http://www.rosaceae.org/gb/gbrowse/malus_x_domestica/?name=MDP0000617396","MDP0000617396")</f>
        <v>MDP0000617396</v>
      </c>
      <c r="D11946">
        <v>87.97</v>
      </c>
      <c r="E11946">
        <v>391</v>
      </c>
      <c r="F11946">
        <v>47</v>
      </c>
      <c r="G11946">
        <v>1</v>
      </c>
      <c r="H11946">
        <v>1</v>
      </c>
      <c r="I11946">
        <v>390</v>
      </c>
      <c r="J11946">
        <v>1</v>
      </c>
      <c r="K11946">
        <v>120</v>
      </c>
      <c r="L11946">
        <v>510</v>
      </c>
      <c r="M11946">
        <v>1</v>
      </c>
      <c r="N11946">
        <v>0</v>
      </c>
      <c r="O11946">
        <v>1746</v>
      </c>
    </row>
    <row r="11947" spans="1:15" x14ac:dyDescent="0.25">
      <c r="A11947" t="s">
        <v>11960</v>
      </c>
      <c r="B11947">
        <v>2150</v>
      </c>
      <c r="C11947" s="1" t="str">
        <f>HYPERLINK("http://www.rosaceae.org/gb/gbrowse/malus_x_domestica/?name=MDP0000273224","MDP0000273224")</f>
        <v>MDP0000273224</v>
      </c>
      <c r="D11947">
        <v>76.69</v>
      </c>
      <c r="E11947">
        <v>798</v>
      </c>
      <c r="F11947">
        <v>186</v>
      </c>
      <c r="G11947">
        <v>85</v>
      </c>
      <c r="H11947">
        <v>1376</v>
      </c>
      <c r="I11947">
        <v>2150</v>
      </c>
      <c r="J11947">
        <v>1</v>
      </c>
      <c r="K11947">
        <v>211</v>
      </c>
      <c r="L11947">
        <v>946</v>
      </c>
      <c r="M11947">
        <v>1</v>
      </c>
      <c r="N11947">
        <v>0</v>
      </c>
      <c r="O11947">
        <v>3060</v>
      </c>
    </row>
    <row r="11948" spans="1:15" x14ac:dyDescent="0.25">
      <c r="A11948" t="s">
        <v>11961</v>
      </c>
      <c r="B11948">
        <v>695</v>
      </c>
      <c r="C11948" s="1" t="str">
        <f>HYPERLINK("http://www.rosaceae.org/gb/gbrowse/malus_x_domestica/?name=MDP0000135666","MDP0000135666")</f>
        <v>MDP0000135666</v>
      </c>
      <c r="D11948">
        <v>72.45</v>
      </c>
      <c r="E11948">
        <v>697</v>
      </c>
      <c r="F11948">
        <v>192</v>
      </c>
      <c r="G11948">
        <v>24</v>
      </c>
      <c r="H11948">
        <v>1</v>
      </c>
      <c r="I11948">
        <v>683</v>
      </c>
      <c r="J11948">
        <v>1</v>
      </c>
      <c r="K11948">
        <v>1</v>
      </c>
      <c r="L11948">
        <v>687</v>
      </c>
      <c r="M11948">
        <v>1</v>
      </c>
      <c r="N11948">
        <v>0</v>
      </c>
      <c r="O11948">
        <v>2637</v>
      </c>
    </row>
    <row r="11949" spans="1:15" x14ac:dyDescent="0.25">
      <c r="A11949" t="s">
        <v>11962</v>
      </c>
      <c r="B11949">
        <v>622</v>
      </c>
      <c r="C11949" s="1" t="str">
        <f>HYPERLINK("http://www.rosaceae.org/gb/gbrowse/malus_x_domestica/?name=MDP0000549793","MDP0000549793")</f>
        <v>MDP0000549793</v>
      </c>
      <c r="D11949">
        <v>63.62</v>
      </c>
      <c r="E11949">
        <v>558</v>
      </c>
      <c r="F11949">
        <v>203</v>
      </c>
      <c r="G11949">
        <v>38</v>
      </c>
      <c r="H11949">
        <v>76</v>
      </c>
      <c r="I11949">
        <v>622</v>
      </c>
      <c r="J11949">
        <v>1</v>
      </c>
      <c r="K11949">
        <v>1</v>
      </c>
      <c r="L11949">
        <v>531</v>
      </c>
      <c r="M11949">
        <v>1</v>
      </c>
      <c r="N11949">
        <v>0</v>
      </c>
      <c r="O11949">
        <v>1777</v>
      </c>
    </row>
    <row r="11950" spans="1:15" x14ac:dyDescent="0.25">
      <c r="A11950" t="s">
        <v>11963</v>
      </c>
      <c r="B11950">
        <v>316</v>
      </c>
      <c r="C11950" s="1" t="str">
        <f>HYPERLINK("http://www.rosaceae.org/gb/gbrowse/malus_x_domestica/?name=MDP0000189389","MDP0000189389")</f>
        <v>MDP0000189389</v>
      </c>
      <c r="D11950">
        <v>67.739999999999995</v>
      </c>
      <c r="E11950">
        <v>217</v>
      </c>
      <c r="F11950">
        <v>70</v>
      </c>
      <c r="G11950">
        <v>1</v>
      </c>
      <c r="H11950">
        <v>101</v>
      </c>
      <c r="I11950">
        <v>316</v>
      </c>
      <c r="J11950">
        <v>1</v>
      </c>
      <c r="K11950">
        <v>97</v>
      </c>
      <c r="L11950">
        <v>313</v>
      </c>
      <c r="M11950">
        <v>1</v>
      </c>
      <c r="N11950">
        <v>1.24409E-79</v>
      </c>
      <c r="O11950">
        <v>751</v>
      </c>
    </row>
    <row r="11951" spans="1:15" x14ac:dyDescent="0.25">
      <c r="A11951" t="s">
        <v>11964</v>
      </c>
      <c r="B11951">
        <v>128</v>
      </c>
      <c r="C11951" s="1" t="str">
        <f>HYPERLINK("http://www.rosaceae.org/gb/gbrowse/malus_x_domestica/?name=MDP0000833326","MDP0000833326")</f>
        <v>MDP0000833326</v>
      </c>
      <c r="D11951">
        <v>70.31</v>
      </c>
      <c r="E11951">
        <v>128</v>
      </c>
      <c r="F11951">
        <v>38</v>
      </c>
      <c r="G11951">
        <v>2</v>
      </c>
      <c r="H11951">
        <v>1</v>
      </c>
      <c r="I11951">
        <v>128</v>
      </c>
      <c r="J11951">
        <v>1</v>
      </c>
      <c r="K11951">
        <v>1</v>
      </c>
      <c r="L11951">
        <v>126</v>
      </c>
      <c r="M11951">
        <v>1</v>
      </c>
      <c r="N11951">
        <v>2.95352E-45</v>
      </c>
      <c r="O11951">
        <v>448</v>
      </c>
    </row>
    <row r="11952" spans="1:15" x14ac:dyDescent="0.25">
      <c r="A11952" t="s">
        <v>11965</v>
      </c>
      <c r="B11952">
        <v>136</v>
      </c>
      <c r="C11952" s="1" t="str">
        <f>HYPERLINK("http://www.rosaceae.org/gb/gbrowse/malus_x_domestica/?name=MDP0000260553","MDP0000260553")</f>
        <v>MDP0000260553</v>
      </c>
      <c r="D11952">
        <v>79.16</v>
      </c>
      <c r="E11952">
        <v>72</v>
      </c>
      <c r="F11952">
        <v>15</v>
      </c>
      <c r="G11952">
        <v>1</v>
      </c>
      <c r="H11952">
        <v>66</v>
      </c>
      <c r="I11952">
        <v>136</v>
      </c>
      <c r="J11952">
        <v>1</v>
      </c>
      <c r="K11952">
        <v>66</v>
      </c>
      <c r="L11952">
        <v>137</v>
      </c>
      <c r="M11952">
        <v>1</v>
      </c>
      <c r="N11952">
        <v>8.5195499999999999E-27</v>
      </c>
      <c r="O11952">
        <v>290</v>
      </c>
    </row>
    <row r="11953" spans="1:15" x14ac:dyDescent="0.25">
      <c r="A11953" t="s">
        <v>11966</v>
      </c>
      <c r="B11953">
        <v>112</v>
      </c>
      <c r="C11953" s="1" t="str">
        <f>HYPERLINK("http://www.rosaceae.org/gb/gbrowse/malus_x_domestica/?name=MDP0000215801","MDP0000215801")</f>
        <v>MDP0000215801</v>
      </c>
      <c r="D11953">
        <v>80.58</v>
      </c>
      <c r="E11953">
        <v>103</v>
      </c>
      <c r="F11953">
        <v>20</v>
      </c>
      <c r="G11953">
        <v>0</v>
      </c>
      <c r="H11953">
        <v>5</v>
      </c>
      <c r="I11953">
        <v>107</v>
      </c>
      <c r="J11953">
        <v>1</v>
      </c>
      <c r="K11953">
        <v>50</v>
      </c>
      <c r="L11953">
        <v>152</v>
      </c>
      <c r="M11953">
        <v>1</v>
      </c>
      <c r="N11953">
        <v>2.5029299999999999E-46</v>
      </c>
      <c r="O11953">
        <v>457</v>
      </c>
    </row>
    <row r="11954" spans="1:15" x14ac:dyDescent="0.25">
      <c r="A11954" t="s">
        <v>11967</v>
      </c>
      <c r="B11954">
        <v>155</v>
      </c>
      <c r="C11954" s="1" t="str">
        <f>HYPERLINK("http://www.rosaceae.org/gb/gbrowse/malus_x_domestica/?name=MDP0000176049","MDP0000176049")</f>
        <v>MDP0000176049</v>
      </c>
      <c r="D11954">
        <v>45.92</v>
      </c>
      <c r="E11954">
        <v>135</v>
      </c>
      <c r="F11954">
        <v>73</v>
      </c>
      <c r="G11954">
        <v>1</v>
      </c>
      <c r="H11954">
        <v>6</v>
      </c>
      <c r="I11954">
        <v>139</v>
      </c>
      <c r="J11954">
        <v>1</v>
      </c>
      <c r="K11954">
        <v>333</v>
      </c>
      <c r="L11954">
        <v>467</v>
      </c>
      <c r="M11954">
        <v>1</v>
      </c>
      <c r="N11954">
        <v>6.8533699999999998E-26</v>
      </c>
      <c r="O11954">
        <v>283</v>
      </c>
    </row>
    <row r="11955" spans="1:15" x14ac:dyDescent="0.25">
      <c r="A11955" t="s">
        <v>11968</v>
      </c>
      <c r="B11955">
        <v>585</v>
      </c>
      <c r="C11955" s="1" t="str">
        <f>HYPERLINK("http://www.rosaceae.org/gb/gbrowse/malus_x_domestica/?name=MDP0000147925","MDP0000147925")</f>
        <v>MDP0000147925</v>
      </c>
      <c r="D11955">
        <v>58.38</v>
      </c>
      <c r="E11955">
        <v>507</v>
      </c>
      <c r="F11955">
        <v>211</v>
      </c>
      <c r="G11955">
        <v>9</v>
      </c>
      <c r="H11955">
        <v>80</v>
      </c>
      <c r="I11955">
        <v>579</v>
      </c>
      <c r="J11955">
        <v>1</v>
      </c>
      <c r="K11955">
        <v>190</v>
      </c>
      <c r="L11955">
        <v>694</v>
      </c>
      <c r="M11955">
        <v>1</v>
      </c>
      <c r="N11955">
        <v>5.3547400000000001E-158</v>
      </c>
      <c r="O11955">
        <v>1430</v>
      </c>
    </row>
    <row r="11956" spans="1:15" x14ac:dyDescent="0.25">
      <c r="A11956" t="s">
        <v>11969</v>
      </c>
      <c r="B11956">
        <v>279</v>
      </c>
      <c r="C11956" s="1" t="str">
        <f>HYPERLINK("http://www.rosaceae.org/gb/gbrowse/malus_x_domestica/?name=MDP0000301474","MDP0000301474")</f>
        <v>MDP0000301474</v>
      </c>
      <c r="D11956">
        <v>86.36</v>
      </c>
      <c r="E11956">
        <v>220</v>
      </c>
      <c r="F11956">
        <v>30</v>
      </c>
      <c r="G11956">
        <v>2</v>
      </c>
      <c r="H11956">
        <v>1</v>
      </c>
      <c r="I11956">
        <v>218</v>
      </c>
      <c r="J11956">
        <v>1</v>
      </c>
      <c r="K11956">
        <v>135</v>
      </c>
      <c r="L11956">
        <v>354</v>
      </c>
      <c r="M11956">
        <v>1</v>
      </c>
      <c r="N11956">
        <v>1.14786E-105</v>
      </c>
      <c r="O11956">
        <v>975</v>
      </c>
    </row>
    <row r="11957" spans="1:15" x14ac:dyDescent="0.25">
      <c r="A11957" t="s">
        <v>11970</v>
      </c>
      <c r="B11957">
        <v>975</v>
      </c>
      <c r="C11957" s="1" t="str">
        <f>HYPERLINK("http://www.rosaceae.org/gb/gbrowse/malus_x_domestica/?name=MDP0000214139","MDP0000214139")</f>
        <v>MDP0000214139</v>
      </c>
      <c r="D11957">
        <v>75.44</v>
      </c>
      <c r="E11957">
        <v>1002</v>
      </c>
      <c r="F11957">
        <v>246</v>
      </c>
      <c r="G11957">
        <v>46</v>
      </c>
      <c r="H11957">
        <v>1</v>
      </c>
      <c r="I11957">
        <v>974</v>
      </c>
      <c r="J11957">
        <v>1</v>
      </c>
      <c r="K11957">
        <v>1</v>
      </c>
      <c r="L11957">
        <v>984</v>
      </c>
      <c r="M11957">
        <v>1</v>
      </c>
      <c r="N11957">
        <v>0</v>
      </c>
      <c r="O11957">
        <v>3898</v>
      </c>
    </row>
    <row r="11958" spans="1:15" x14ac:dyDescent="0.25">
      <c r="A11958" t="s">
        <v>11971</v>
      </c>
      <c r="B11958">
        <v>360</v>
      </c>
      <c r="C11958" s="1" t="str">
        <f>HYPERLINK("http://www.rosaceae.org/gb/gbrowse/malus_x_domestica/?name=MDP0000288921","MDP0000288921")</f>
        <v>MDP0000288921</v>
      </c>
      <c r="D11958">
        <v>54.79</v>
      </c>
      <c r="E11958">
        <v>365</v>
      </c>
      <c r="F11958">
        <v>165</v>
      </c>
      <c r="G11958">
        <v>12</v>
      </c>
      <c r="H11958">
        <v>2</v>
      </c>
      <c r="I11958">
        <v>360</v>
      </c>
      <c r="J11958">
        <v>1</v>
      </c>
      <c r="K11958">
        <v>212</v>
      </c>
      <c r="L11958">
        <v>570</v>
      </c>
      <c r="M11958">
        <v>1</v>
      </c>
      <c r="N11958">
        <v>9.0670400000000002E-97</v>
      </c>
      <c r="O11958">
        <v>899</v>
      </c>
    </row>
    <row r="11959" spans="1:15" x14ac:dyDescent="0.25">
      <c r="A11959" t="s">
        <v>11972</v>
      </c>
      <c r="B11959">
        <v>820</v>
      </c>
      <c r="C11959" s="1" t="str">
        <f>HYPERLINK("http://www.rosaceae.org/gb/gbrowse/malus_x_domestica/?name=MDP0000306554","MDP0000306554")</f>
        <v>MDP0000306554</v>
      </c>
      <c r="D11959">
        <v>82.12</v>
      </c>
      <c r="E11959">
        <v>330</v>
      </c>
      <c r="F11959">
        <v>59</v>
      </c>
      <c r="G11959">
        <v>12</v>
      </c>
      <c r="H11959">
        <v>498</v>
      </c>
      <c r="I11959">
        <v>815</v>
      </c>
      <c r="J11959">
        <v>1</v>
      </c>
      <c r="K11959">
        <v>1</v>
      </c>
      <c r="L11959">
        <v>330</v>
      </c>
      <c r="M11959">
        <v>1</v>
      </c>
      <c r="N11959">
        <v>2.0302600000000001E-142</v>
      </c>
      <c r="O11959">
        <v>1297</v>
      </c>
    </row>
    <row r="11960" spans="1:15" x14ac:dyDescent="0.25">
      <c r="A11960" t="s">
        <v>11973</v>
      </c>
      <c r="B11960">
        <v>845</v>
      </c>
      <c r="C11960" s="1" t="str">
        <f>HYPERLINK("http://www.rosaceae.org/gb/gbrowse/malus_x_domestica/?name=MDP0000135993","MDP0000135993")</f>
        <v>MDP0000135993</v>
      </c>
      <c r="D11960">
        <v>74.44</v>
      </c>
      <c r="E11960">
        <v>853</v>
      </c>
      <c r="F11960">
        <v>218</v>
      </c>
      <c r="G11960">
        <v>19</v>
      </c>
      <c r="H11960">
        <v>1</v>
      </c>
      <c r="I11960">
        <v>845</v>
      </c>
      <c r="J11960">
        <v>1</v>
      </c>
      <c r="K11960">
        <v>1</v>
      </c>
      <c r="L11960">
        <v>842</v>
      </c>
      <c r="M11960">
        <v>1</v>
      </c>
      <c r="N11960">
        <v>0</v>
      </c>
      <c r="O11960">
        <v>3343</v>
      </c>
    </row>
    <row r="11961" spans="1:15" x14ac:dyDescent="0.25">
      <c r="A11961" t="s">
        <v>11974</v>
      </c>
      <c r="B11961">
        <v>182</v>
      </c>
      <c r="C11961" s="1" t="str">
        <f>HYPERLINK("http://www.rosaceae.org/gb/gbrowse/malus_x_domestica/?name=MDP0000252890","MDP0000252890")</f>
        <v>MDP0000252890</v>
      </c>
      <c r="D11961">
        <v>91.66</v>
      </c>
      <c r="E11961">
        <v>156</v>
      </c>
      <c r="F11961">
        <v>13</v>
      </c>
      <c r="G11961">
        <v>1</v>
      </c>
      <c r="H11961">
        <v>27</v>
      </c>
      <c r="I11961">
        <v>182</v>
      </c>
      <c r="J11961">
        <v>1</v>
      </c>
      <c r="K11961">
        <v>29</v>
      </c>
      <c r="L11961">
        <v>183</v>
      </c>
      <c r="M11961">
        <v>1</v>
      </c>
      <c r="N11961">
        <v>3.3401900000000002E-84</v>
      </c>
      <c r="O11961">
        <v>787</v>
      </c>
    </row>
    <row r="11962" spans="1:15" x14ac:dyDescent="0.25">
      <c r="A11962" t="s">
        <v>11975</v>
      </c>
      <c r="B11962">
        <v>190</v>
      </c>
      <c r="C11962" s="1" t="str">
        <f>HYPERLINK("http://www.rosaceae.org/gb/gbrowse/malus_x_domestica/?name=MDP0000830882","MDP0000830882")</f>
        <v>MDP0000830882</v>
      </c>
      <c r="D11962">
        <v>63.81</v>
      </c>
      <c r="E11962">
        <v>199</v>
      </c>
      <c r="F11962">
        <v>72</v>
      </c>
      <c r="G11962">
        <v>14</v>
      </c>
      <c r="H11962">
        <v>1</v>
      </c>
      <c r="I11962">
        <v>190</v>
      </c>
      <c r="J11962">
        <v>1</v>
      </c>
      <c r="K11962">
        <v>1</v>
      </c>
      <c r="L11962">
        <v>194</v>
      </c>
      <c r="M11962">
        <v>1</v>
      </c>
      <c r="N11962">
        <v>1.0278000000000001E-64</v>
      </c>
      <c r="O11962">
        <v>619</v>
      </c>
    </row>
    <row r="11963" spans="1:15" x14ac:dyDescent="0.25">
      <c r="A11963" t="s">
        <v>11976</v>
      </c>
      <c r="B11963">
        <v>265</v>
      </c>
      <c r="C11963" s="1" t="str">
        <f>HYPERLINK("http://www.rosaceae.org/gb/gbrowse/malus_x_domestica/?name=MDP0000342168","MDP0000342168")</f>
        <v>MDP0000342168</v>
      </c>
      <c r="D11963">
        <v>90.17</v>
      </c>
      <c r="E11963">
        <v>224</v>
      </c>
      <c r="F11963">
        <v>22</v>
      </c>
      <c r="G11963">
        <v>0</v>
      </c>
      <c r="H11963">
        <v>1</v>
      </c>
      <c r="I11963">
        <v>224</v>
      </c>
      <c r="J11963">
        <v>1</v>
      </c>
      <c r="K11963">
        <v>1</v>
      </c>
      <c r="L11963">
        <v>224</v>
      </c>
      <c r="M11963">
        <v>1</v>
      </c>
      <c r="N11963">
        <v>9.9305900000000002E-120</v>
      </c>
      <c r="O11963">
        <v>1096</v>
      </c>
    </row>
    <row r="11964" spans="1:15" x14ac:dyDescent="0.25">
      <c r="A11964" t="s">
        <v>11977</v>
      </c>
      <c r="B11964">
        <v>333</v>
      </c>
      <c r="C11964" s="1" t="str">
        <f>HYPERLINK("http://www.rosaceae.org/gb/gbrowse/malus_x_domestica/?name=MDP0000296691","MDP0000296691")</f>
        <v>MDP0000296691</v>
      </c>
      <c r="D11964">
        <v>36.44</v>
      </c>
      <c r="E11964">
        <v>107</v>
      </c>
      <c r="F11964">
        <v>68</v>
      </c>
      <c r="G11964">
        <v>19</v>
      </c>
      <c r="H11964">
        <v>187</v>
      </c>
      <c r="I11964">
        <v>293</v>
      </c>
      <c r="J11964">
        <v>1</v>
      </c>
      <c r="K11964">
        <v>374</v>
      </c>
      <c r="L11964">
        <v>461</v>
      </c>
      <c r="M11964">
        <v>1</v>
      </c>
      <c r="N11964">
        <v>1.3704999999999999E-11</v>
      </c>
      <c r="O11964">
        <v>164</v>
      </c>
    </row>
    <row r="11965" spans="1:15" x14ac:dyDescent="0.25">
      <c r="A11965" t="s">
        <v>11978</v>
      </c>
      <c r="B11965">
        <v>246</v>
      </c>
      <c r="C11965" s="1" t="str">
        <f>HYPERLINK("http://www.rosaceae.org/gb/gbrowse/malus_x_domestica/?name=MDP0000184737","MDP0000184737")</f>
        <v>MDP0000184737</v>
      </c>
      <c r="D11965">
        <v>75.69</v>
      </c>
      <c r="E11965">
        <v>251</v>
      </c>
      <c r="F11965">
        <v>61</v>
      </c>
      <c r="G11965">
        <v>31</v>
      </c>
      <c r="H11965">
        <v>1</v>
      </c>
      <c r="I11965">
        <v>220</v>
      </c>
      <c r="J11965">
        <v>1</v>
      </c>
      <c r="K11965">
        <v>324</v>
      </c>
      <c r="L11965">
        <v>574</v>
      </c>
      <c r="M11965">
        <v>1</v>
      </c>
      <c r="N11965">
        <v>2.0702E-101</v>
      </c>
      <c r="O11965">
        <v>937</v>
      </c>
    </row>
    <row r="11966" spans="1:15" x14ac:dyDescent="0.25">
      <c r="A11966" t="s">
        <v>11979</v>
      </c>
      <c r="B11966">
        <v>867</v>
      </c>
      <c r="C11966" s="1" t="str">
        <f>HYPERLINK("http://www.rosaceae.org/gb/gbrowse/malus_x_domestica/?name=MDP0000127552","MDP0000127552")</f>
        <v>MDP0000127552</v>
      </c>
      <c r="D11966">
        <v>45</v>
      </c>
      <c r="E11966">
        <v>880</v>
      </c>
      <c r="F11966">
        <v>484</v>
      </c>
      <c r="G11966">
        <v>31</v>
      </c>
      <c r="H11966">
        <v>1</v>
      </c>
      <c r="I11966">
        <v>867</v>
      </c>
      <c r="J11966">
        <v>1</v>
      </c>
      <c r="K11966">
        <v>5</v>
      </c>
      <c r="L11966">
        <v>866</v>
      </c>
      <c r="M11966">
        <v>1</v>
      </c>
      <c r="N11966">
        <v>0</v>
      </c>
      <c r="O11966">
        <v>1702</v>
      </c>
    </row>
    <row r="11967" spans="1:15" x14ac:dyDescent="0.25">
      <c r="A11967" t="s">
        <v>11980</v>
      </c>
      <c r="B11967">
        <v>577</v>
      </c>
      <c r="C11967" s="1" t="str">
        <f>HYPERLINK("http://www.rosaceae.org/gb/gbrowse/malus_x_domestica/?name=MDP0000467552","MDP0000467552")</f>
        <v>MDP0000467552</v>
      </c>
      <c r="D11967">
        <v>57.14</v>
      </c>
      <c r="E11967">
        <v>287</v>
      </c>
      <c r="F11967">
        <v>123</v>
      </c>
      <c r="G11967">
        <v>13</v>
      </c>
      <c r="H11967">
        <v>246</v>
      </c>
      <c r="I11967">
        <v>529</v>
      </c>
      <c r="J11967">
        <v>1</v>
      </c>
      <c r="K11967">
        <v>78</v>
      </c>
      <c r="L11967">
        <v>354</v>
      </c>
      <c r="M11967">
        <v>1</v>
      </c>
      <c r="N11967">
        <v>1.17812E-84</v>
      </c>
      <c r="O11967">
        <v>797</v>
      </c>
    </row>
    <row r="11968" spans="1:15" x14ac:dyDescent="0.25">
      <c r="A11968" t="s">
        <v>11981</v>
      </c>
      <c r="B11968">
        <v>1104</v>
      </c>
      <c r="C11968" s="1" t="str">
        <f>HYPERLINK("http://www.rosaceae.org/gb/gbrowse/malus_x_domestica/?name=MDP0000141940","MDP0000141940")</f>
        <v>MDP0000141940</v>
      </c>
      <c r="D11968">
        <v>56.71</v>
      </c>
      <c r="E11968">
        <v>991</v>
      </c>
      <c r="F11968">
        <v>429</v>
      </c>
      <c r="G11968">
        <v>163</v>
      </c>
      <c r="H11968">
        <v>134</v>
      </c>
      <c r="I11968">
        <v>1069</v>
      </c>
      <c r="J11968">
        <v>1</v>
      </c>
      <c r="K11968">
        <v>313</v>
      </c>
      <c r="L11968">
        <v>1195</v>
      </c>
      <c r="M11968">
        <v>1</v>
      </c>
      <c r="N11968">
        <v>0</v>
      </c>
      <c r="O11968">
        <v>2585</v>
      </c>
    </row>
    <row r="11969" spans="1:15" x14ac:dyDescent="0.25">
      <c r="A11969" t="s">
        <v>11982</v>
      </c>
      <c r="B11969">
        <v>291</v>
      </c>
      <c r="C11969" s="1" t="str">
        <f>HYPERLINK("http://www.rosaceae.org/gb/gbrowse/malus_x_domestica/?name=MDP0000385310","MDP0000385310")</f>
        <v>MDP0000385310</v>
      </c>
      <c r="D11969">
        <v>63.88</v>
      </c>
      <c r="E11969">
        <v>288</v>
      </c>
      <c r="F11969">
        <v>104</v>
      </c>
      <c r="G11969">
        <v>4</v>
      </c>
      <c r="H11969">
        <v>1</v>
      </c>
      <c r="I11969">
        <v>288</v>
      </c>
      <c r="J11969">
        <v>1</v>
      </c>
      <c r="K11969">
        <v>1</v>
      </c>
      <c r="L11969">
        <v>284</v>
      </c>
      <c r="M11969">
        <v>1</v>
      </c>
      <c r="N11969">
        <v>7.5626199999999996E-100</v>
      </c>
      <c r="O11969">
        <v>925</v>
      </c>
    </row>
    <row r="11970" spans="1:15" x14ac:dyDescent="0.25">
      <c r="A11970" t="s">
        <v>11983</v>
      </c>
      <c r="B11970">
        <v>114</v>
      </c>
      <c r="C11970" s="1" t="str">
        <f>HYPERLINK("http://www.rosaceae.org/gb/gbrowse/malus_x_domestica/?name=MDP0000323561","MDP0000323561")</f>
        <v>MDP0000323561</v>
      </c>
      <c r="D11970">
        <v>83.87</v>
      </c>
      <c r="E11970">
        <v>62</v>
      </c>
      <c r="F11970">
        <v>10</v>
      </c>
      <c r="G11970">
        <v>0</v>
      </c>
      <c r="H11970">
        <v>1</v>
      </c>
      <c r="I11970">
        <v>62</v>
      </c>
      <c r="J11970">
        <v>1</v>
      </c>
      <c r="K11970">
        <v>27</v>
      </c>
      <c r="L11970">
        <v>88</v>
      </c>
      <c r="M11970">
        <v>1</v>
      </c>
      <c r="N11970">
        <v>1.6080899999999999E-23</v>
      </c>
      <c r="O11970">
        <v>260</v>
      </c>
    </row>
    <row r="11971" spans="1:15" x14ac:dyDescent="0.25">
      <c r="A11971" t="s">
        <v>11984</v>
      </c>
      <c r="B11971">
        <v>220</v>
      </c>
      <c r="C11971" s="1" t="str">
        <f>HYPERLINK("http://www.rosaceae.org/gb/gbrowse/malus_x_domestica/?name=MDP0000244605","MDP0000244605")</f>
        <v>MDP0000244605</v>
      </c>
      <c r="D11971">
        <v>92.75</v>
      </c>
      <c r="E11971">
        <v>207</v>
      </c>
      <c r="F11971">
        <v>15</v>
      </c>
      <c r="G11971">
        <v>0</v>
      </c>
      <c r="H11971">
        <v>13</v>
      </c>
      <c r="I11971">
        <v>219</v>
      </c>
      <c r="J11971">
        <v>1</v>
      </c>
      <c r="K11971">
        <v>13</v>
      </c>
      <c r="L11971">
        <v>219</v>
      </c>
      <c r="M11971">
        <v>1</v>
      </c>
      <c r="N11971">
        <v>2.1377200000000001E-111</v>
      </c>
      <c r="O11971">
        <v>1023</v>
      </c>
    </row>
    <row r="11972" spans="1:15" x14ac:dyDescent="0.25">
      <c r="A11972" t="s">
        <v>11985</v>
      </c>
      <c r="B11972">
        <v>717</v>
      </c>
      <c r="C11972" s="1" t="str">
        <f>HYPERLINK("http://www.rosaceae.org/gb/gbrowse/malus_x_domestica/?name=MDP0000282758","MDP0000282758")</f>
        <v>MDP0000282758</v>
      </c>
      <c r="D11972">
        <v>58.52</v>
      </c>
      <c r="E11972">
        <v>663</v>
      </c>
      <c r="F11972">
        <v>275</v>
      </c>
      <c r="G11972">
        <v>55</v>
      </c>
      <c r="H11972">
        <v>85</v>
      </c>
      <c r="I11972">
        <v>702</v>
      </c>
      <c r="J11972">
        <v>1</v>
      </c>
      <c r="K11972">
        <v>22</v>
      </c>
      <c r="L11972">
        <v>674</v>
      </c>
      <c r="M11972">
        <v>1</v>
      </c>
      <c r="N11972">
        <v>0</v>
      </c>
      <c r="O11972">
        <v>1806</v>
      </c>
    </row>
    <row r="11973" spans="1:15" x14ac:dyDescent="0.25">
      <c r="A11973" t="s">
        <v>11986</v>
      </c>
      <c r="B11973">
        <v>549</v>
      </c>
      <c r="C11973" s="1" t="str">
        <f>HYPERLINK("http://www.rosaceae.org/gb/gbrowse/malus_x_domestica/?name=MDP0000186402","MDP0000186402")</f>
        <v>MDP0000186402</v>
      </c>
      <c r="D11973">
        <v>24.83</v>
      </c>
      <c r="E11973">
        <v>455</v>
      </c>
      <c r="F11973">
        <v>342</v>
      </c>
      <c r="G11973">
        <v>46</v>
      </c>
      <c r="H11973">
        <v>98</v>
      </c>
      <c r="I11973">
        <v>526</v>
      </c>
      <c r="J11973">
        <v>1</v>
      </c>
      <c r="K11973">
        <v>111</v>
      </c>
      <c r="L11973">
        <v>545</v>
      </c>
      <c r="M11973">
        <v>1</v>
      </c>
      <c r="N11973">
        <v>8.2582000000000001E-25</v>
      </c>
      <c r="O11973">
        <v>281</v>
      </c>
    </row>
    <row r="11974" spans="1:15" x14ac:dyDescent="0.25">
      <c r="A11974" t="s">
        <v>11987</v>
      </c>
      <c r="B11974">
        <v>270</v>
      </c>
      <c r="C11974" s="1" t="str">
        <f>HYPERLINK("http://www.rosaceae.org/gb/gbrowse/malus_x_domestica/?name=MDP0000127844","MDP0000127844")</f>
        <v>MDP0000127844</v>
      </c>
      <c r="D11974">
        <v>90.74</v>
      </c>
      <c r="E11974">
        <v>270</v>
      </c>
      <c r="F11974">
        <v>25</v>
      </c>
      <c r="G11974">
        <v>0</v>
      </c>
      <c r="H11974">
        <v>1</v>
      </c>
      <c r="I11974">
        <v>270</v>
      </c>
      <c r="J11974">
        <v>1</v>
      </c>
      <c r="K11974">
        <v>28</v>
      </c>
      <c r="L11974">
        <v>297</v>
      </c>
      <c r="M11974">
        <v>1</v>
      </c>
      <c r="N11974">
        <v>2.6335900000000001E-140</v>
      </c>
      <c r="O11974">
        <v>1273</v>
      </c>
    </row>
    <row r="11975" spans="1:15" x14ac:dyDescent="0.25">
      <c r="A11975" t="s">
        <v>11988</v>
      </c>
      <c r="B11975">
        <v>561</v>
      </c>
      <c r="C11975" s="1" t="str">
        <f>HYPERLINK("http://www.rosaceae.org/gb/gbrowse/malus_x_domestica/?name=MDP0000123135","MDP0000123135")</f>
        <v>MDP0000123135</v>
      </c>
      <c r="D11975">
        <v>84.28</v>
      </c>
      <c r="E11975">
        <v>560</v>
      </c>
      <c r="F11975">
        <v>88</v>
      </c>
      <c r="G11975">
        <v>1</v>
      </c>
      <c r="H11975">
        <v>2</v>
      </c>
      <c r="I11975">
        <v>560</v>
      </c>
      <c r="J11975">
        <v>1</v>
      </c>
      <c r="K11975">
        <v>33</v>
      </c>
      <c r="L11975">
        <v>592</v>
      </c>
      <c r="M11975">
        <v>1</v>
      </c>
      <c r="N11975">
        <v>0</v>
      </c>
      <c r="O11975">
        <v>2524</v>
      </c>
    </row>
    <row r="11976" spans="1:15" x14ac:dyDescent="0.25">
      <c r="A11976" t="s">
        <v>11989</v>
      </c>
      <c r="B11976">
        <v>114</v>
      </c>
      <c r="C11976" s="1" t="str">
        <f>HYPERLINK("http://www.rosaceae.org/gb/gbrowse/malus_x_domestica/?name=MDP0000288702","MDP0000288702")</f>
        <v>MDP0000288702</v>
      </c>
      <c r="D11976">
        <v>71.13</v>
      </c>
      <c r="E11976">
        <v>97</v>
      </c>
      <c r="F11976">
        <v>28</v>
      </c>
      <c r="G11976">
        <v>0</v>
      </c>
      <c r="H11976">
        <v>4</v>
      </c>
      <c r="I11976">
        <v>100</v>
      </c>
      <c r="J11976">
        <v>1</v>
      </c>
      <c r="K11976">
        <v>6</v>
      </c>
      <c r="L11976">
        <v>102</v>
      </c>
      <c r="M11976">
        <v>1</v>
      </c>
      <c r="N11976">
        <v>2.0213000000000001E-40</v>
      </c>
      <c r="O11976">
        <v>406</v>
      </c>
    </row>
    <row r="11977" spans="1:15" x14ac:dyDescent="0.25">
      <c r="A11977" t="s">
        <v>11990</v>
      </c>
      <c r="B11977">
        <v>1036</v>
      </c>
      <c r="C11977" s="1" t="str">
        <f>HYPERLINK("http://www.rosaceae.org/gb/gbrowse/malus_x_domestica/?name=MDP0000221668","MDP0000221668")</f>
        <v>MDP0000221668</v>
      </c>
      <c r="D11977">
        <v>64.09</v>
      </c>
      <c r="E11977">
        <v>766</v>
      </c>
      <c r="F11977">
        <v>275</v>
      </c>
      <c r="G11977">
        <v>124</v>
      </c>
      <c r="H11977">
        <v>1</v>
      </c>
      <c r="I11977">
        <v>684</v>
      </c>
      <c r="J11977">
        <v>1</v>
      </c>
      <c r="K11977">
        <v>1</v>
      </c>
      <c r="L11977">
        <v>724</v>
      </c>
      <c r="M11977">
        <v>1</v>
      </c>
      <c r="N11977">
        <v>0</v>
      </c>
      <c r="O11977">
        <v>2433</v>
      </c>
    </row>
    <row r="11978" spans="1:15" x14ac:dyDescent="0.25">
      <c r="A11978" t="s">
        <v>11991</v>
      </c>
      <c r="B11978">
        <v>741</v>
      </c>
      <c r="C11978" s="1" t="str">
        <f>HYPERLINK("http://www.rosaceae.org/gb/gbrowse/malus_x_domestica/?name=MDP0000893755","MDP0000893755")</f>
        <v>MDP0000893755</v>
      </c>
      <c r="D11978">
        <v>83.27</v>
      </c>
      <c r="E11978">
        <v>580</v>
      </c>
      <c r="F11978">
        <v>97</v>
      </c>
      <c r="G11978">
        <v>8</v>
      </c>
      <c r="H11978">
        <v>82</v>
      </c>
      <c r="I11978">
        <v>653</v>
      </c>
      <c r="J11978">
        <v>1</v>
      </c>
      <c r="K11978">
        <v>58</v>
      </c>
      <c r="L11978">
        <v>637</v>
      </c>
      <c r="M11978">
        <v>1</v>
      </c>
      <c r="N11978">
        <v>0</v>
      </c>
      <c r="O11978">
        <v>2475</v>
      </c>
    </row>
    <row r="11979" spans="1:15" x14ac:dyDescent="0.25">
      <c r="A11979" t="s">
        <v>11992</v>
      </c>
      <c r="B11979">
        <v>270</v>
      </c>
      <c r="C11979" s="1" t="str">
        <f>HYPERLINK("http://www.rosaceae.org/gb/gbrowse/malus_x_domestica/?name=MDP0000260962","MDP0000260962")</f>
        <v>MDP0000260962</v>
      </c>
      <c r="D11979">
        <v>71.48</v>
      </c>
      <c r="E11979">
        <v>242</v>
      </c>
      <c r="F11979">
        <v>69</v>
      </c>
      <c r="G11979">
        <v>0</v>
      </c>
      <c r="H11979">
        <v>29</v>
      </c>
      <c r="I11979">
        <v>270</v>
      </c>
      <c r="J11979">
        <v>1</v>
      </c>
      <c r="K11979">
        <v>46</v>
      </c>
      <c r="L11979">
        <v>287</v>
      </c>
      <c r="M11979">
        <v>1</v>
      </c>
      <c r="N11979">
        <v>8.9307299999999996E-101</v>
      </c>
      <c r="O11979">
        <v>932</v>
      </c>
    </row>
    <row r="11980" spans="1:15" x14ac:dyDescent="0.25">
      <c r="A11980" t="s">
        <v>11993</v>
      </c>
      <c r="B11980">
        <v>54</v>
      </c>
      <c r="C11980" s="1" t="str">
        <f>HYPERLINK("http://www.rosaceae.org/gb/gbrowse/malus_x_domestica/?name=MDP0000153410","MDP0000153410")</f>
        <v>MDP0000153410</v>
      </c>
      <c r="D11980">
        <v>66.66</v>
      </c>
      <c r="E11980">
        <v>54</v>
      </c>
      <c r="F11980">
        <v>18</v>
      </c>
      <c r="G11980">
        <v>0</v>
      </c>
      <c r="H11980">
        <v>1</v>
      </c>
      <c r="I11980">
        <v>54</v>
      </c>
      <c r="J11980">
        <v>1</v>
      </c>
      <c r="K11980">
        <v>1</v>
      </c>
      <c r="L11980">
        <v>54</v>
      </c>
      <c r="M11980">
        <v>1</v>
      </c>
      <c r="N11980">
        <v>1.03913E-16</v>
      </c>
      <c r="O11980">
        <v>202</v>
      </c>
    </row>
    <row r="11981" spans="1:15" x14ac:dyDescent="0.25">
      <c r="A11981" t="s">
        <v>11994</v>
      </c>
      <c r="B11981">
        <v>273</v>
      </c>
      <c r="C11981" s="1" t="str">
        <f>HYPERLINK("http://www.rosaceae.org/gb/gbrowse/malus_x_domestica/?name=MDP0000221625","MDP0000221625")</f>
        <v>MDP0000221625</v>
      </c>
      <c r="D11981">
        <v>66.28</v>
      </c>
      <c r="E11981">
        <v>264</v>
      </c>
      <c r="F11981">
        <v>89</v>
      </c>
      <c r="G11981">
        <v>26</v>
      </c>
      <c r="H11981">
        <v>19</v>
      </c>
      <c r="I11981">
        <v>256</v>
      </c>
      <c r="J11981">
        <v>1</v>
      </c>
      <c r="K11981">
        <v>121</v>
      </c>
      <c r="L11981">
        <v>384</v>
      </c>
      <c r="M11981">
        <v>1</v>
      </c>
      <c r="N11981">
        <v>6.9123099999999997E-96</v>
      </c>
      <c r="O11981">
        <v>890</v>
      </c>
    </row>
    <row r="11982" spans="1:15" x14ac:dyDescent="0.25">
      <c r="A11982" t="s">
        <v>11995</v>
      </c>
      <c r="B11982">
        <v>312</v>
      </c>
      <c r="C11982" s="1" t="str">
        <f>HYPERLINK("http://www.rosaceae.org/gb/gbrowse/malus_x_domestica/?name=MDP0000233885","MDP0000233885")</f>
        <v>MDP0000233885</v>
      </c>
      <c r="D11982">
        <v>73.22</v>
      </c>
      <c r="E11982">
        <v>310</v>
      </c>
      <c r="F11982">
        <v>83</v>
      </c>
      <c r="G11982">
        <v>1</v>
      </c>
      <c r="H11982">
        <v>3</v>
      </c>
      <c r="I11982">
        <v>311</v>
      </c>
      <c r="J11982">
        <v>1</v>
      </c>
      <c r="K11982">
        <v>4</v>
      </c>
      <c r="L11982">
        <v>313</v>
      </c>
      <c r="M11982">
        <v>1</v>
      </c>
      <c r="N11982">
        <v>1.2939900000000001E-137</v>
      </c>
      <c r="O11982">
        <v>1251</v>
      </c>
    </row>
    <row r="11983" spans="1:15" x14ac:dyDescent="0.25">
      <c r="A11983" t="s">
        <v>11996</v>
      </c>
      <c r="B11983">
        <v>104</v>
      </c>
      <c r="C11983" s="1" t="str">
        <f>HYPERLINK("http://www.rosaceae.org/gb/gbrowse/malus_x_domestica/?name=MDP0000335044","MDP0000335044")</f>
        <v>MDP0000335044</v>
      </c>
      <c r="D11983">
        <v>79.099999999999994</v>
      </c>
      <c r="E11983">
        <v>67</v>
      </c>
      <c r="F11983">
        <v>14</v>
      </c>
      <c r="G11983">
        <v>0</v>
      </c>
      <c r="H11983">
        <v>2</v>
      </c>
      <c r="I11983">
        <v>68</v>
      </c>
      <c r="J11983">
        <v>1</v>
      </c>
      <c r="K11983">
        <v>1</v>
      </c>
      <c r="L11983">
        <v>67</v>
      </c>
      <c r="M11983">
        <v>1</v>
      </c>
      <c r="N11983">
        <v>3.0012199999999999E-25</v>
      </c>
      <c r="O11983">
        <v>275</v>
      </c>
    </row>
    <row r="11984" spans="1:15" x14ac:dyDescent="0.25">
      <c r="A11984" t="s">
        <v>11997</v>
      </c>
      <c r="B11984">
        <v>305</v>
      </c>
      <c r="C11984" s="1" t="str">
        <f>HYPERLINK("http://www.rosaceae.org/gb/gbrowse/malus_x_domestica/?name=MDP0000271903","MDP0000271903")</f>
        <v>MDP0000271903</v>
      </c>
      <c r="D11984">
        <v>44.75</v>
      </c>
      <c r="E11984">
        <v>181</v>
      </c>
      <c r="F11984">
        <v>100</v>
      </c>
      <c r="G11984">
        <v>37</v>
      </c>
      <c r="H11984">
        <v>57</v>
      </c>
      <c r="I11984">
        <v>200</v>
      </c>
      <c r="J11984">
        <v>1</v>
      </c>
      <c r="K11984">
        <v>24</v>
      </c>
      <c r="L11984">
        <v>204</v>
      </c>
      <c r="M11984">
        <v>1</v>
      </c>
      <c r="N11984">
        <v>1.04565E-35</v>
      </c>
      <c r="O11984">
        <v>372</v>
      </c>
    </row>
    <row r="11985" spans="1:15" x14ac:dyDescent="0.25">
      <c r="A11985" t="s">
        <v>11998</v>
      </c>
      <c r="B11985">
        <v>198</v>
      </c>
      <c r="C11985" s="1" t="str">
        <f>HYPERLINK("http://www.rosaceae.org/gb/gbrowse/malus_x_domestica/?name=MDP0000303178","MDP0000303178")</f>
        <v>MDP0000303178</v>
      </c>
      <c r="D11985">
        <v>86.58</v>
      </c>
      <c r="E11985">
        <v>82</v>
      </c>
      <c r="F11985">
        <v>11</v>
      </c>
      <c r="G11985">
        <v>0</v>
      </c>
      <c r="H11985">
        <v>19</v>
      </c>
      <c r="I11985">
        <v>100</v>
      </c>
      <c r="J11985">
        <v>1</v>
      </c>
      <c r="K11985">
        <v>379</v>
      </c>
      <c r="L11985">
        <v>460</v>
      </c>
      <c r="M11985">
        <v>1</v>
      </c>
      <c r="N11985">
        <v>4.9277999999999999E-39</v>
      </c>
      <c r="O11985">
        <v>398</v>
      </c>
    </row>
    <row r="11986" spans="1:15" x14ac:dyDescent="0.25">
      <c r="A11986" t="s">
        <v>11999</v>
      </c>
      <c r="B11986">
        <v>559</v>
      </c>
      <c r="C11986" s="1" t="str">
        <f>HYPERLINK("http://www.rosaceae.org/gb/gbrowse/malus_x_domestica/?name=MDP0000305085","MDP0000305085")</f>
        <v>MDP0000305085</v>
      </c>
      <c r="D11986">
        <v>34.53</v>
      </c>
      <c r="E11986">
        <v>139</v>
      </c>
      <c r="F11986">
        <v>91</v>
      </c>
      <c r="G11986">
        <v>10</v>
      </c>
      <c r="H11986">
        <v>269</v>
      </c>
      <c r="I11986">
        <v>397</v>
      </c>
      <c r="J11986">
        <v>1</v>
      </c>
      <c r="K11986">
        <v>1</v>
      </c>
      <c r="L11986">
        <v>139</v>
      </c>
      <c r="M11986">
        <v>1</v>
      </c>
      <c r="N11986">
        <v>3.14363E-17</v>
      </c>
      <c r="O11986">
        <v>216</v>
      </c>
    </row>
    <row r="11987" spans="1:15" x14ac:dyDescent="0.25">
      <c r="A11987" t="s">
        <v>12000</v>
      </c>
      <c r="B11987">
        <v>302</v>
      </c>
      <c r="C11987" s="1" t="str">
        <f>HYPERLINK("http://www.rosaceae.org/gb/gbrowse/malus_x_domestica/?name=MDP0000242491","MDP0000242491")</f>
        <v>MDP0000242491</v>
      </c>
      <c r="D11987">
        <v>75.87</v>
      </c>
      <c r="E11987">
        <v>199</v>
      </c>
      <c r="F11987">
        <v>48</v>
      </c>
      <c r="G11987">
        <v>1</v>
      </c>
      <c r="H11987">
        <v>77</v>
      </c>
      <c r="I11987">
        <v>274</v>
      </c>
      <c r="J11987">
        <v>1</v>
      </c>
      <c r="K11987">
        <v>47</v>
      </c>
      <c r="L11987">
        <v>245</v>
      </c>
      <c r="M11987">
        <v>1</v>
      </c>
      <c r="N11987">
        <v>1.30294E-88</v>
      </c>
      <c r="O11987">
        <v>828</v>
      </c>
    </row>
    <row r="11988" spans="1:15" x14ac:dyDescent="0.25">
      <c r="A11988" t="s">
        <v>12001</v>
      </c>
      <c r="B11988">
        <v>174</v>
      </c>
      <c r="C11988" s="1" t="str">
        <f>HYPERLINK("http://www.rosaceae.org/gb/gbrowse/malus_x_domestica/?name=MDP0000145449","MDP0000145449")</f>
        <v>MDP0000145449</v>
      </c>
      <c r="D11988">
        <v>32.46</v>
      </c>
      <c r="E11988">
        <v>191</v>
      </c>
      <c r="F11988">
        <v>129</v>
      </c>
      <c r="G11988">
        <v>47</v>
      </c>
      <c r="H11988">
        <v>2</v>
      </c>
      <c r="I11988">
        <v>174</v>
      </c>
      <c r="J11988">
        <v>1</v>
      </c>
      <c r="K11988">
        <v>43</v>
      </c>
      <c r="L11988">
        <v>204</v>
      </c>
      <c r="M11988">
        <v>1</v>
      </c>
      <c r="N11988">
        <v>9.6084799999999995E-12</v>
      </c>
      <c r="O11988">
        <v>162</v>
      </c>
    </row>
    <row r="11989" spans="1:15" x14ac:dyDescent="0.25">
      <c r="A11989" t="s">
        <v>12002</v>
      </c>
      <c r="B11989">
        <v>1001</v>
      </c>
      <c r="C11989" s="1" t="str">
        <f>HYPERLINK("http://www.rosaceae.org/gb/gbrowse/malus_x_domestica/?name=MDP0000231692","MDP0000231692")</f>
        <v>MDP0000231692</v>
      </c>
      <c r="D11989">
        <v>60.21</v>
      </c>
      <c r="E11989">
        <v>274</v>
      </c>
      <c r="F11989">
        <v>109</v>
      </c>
      <c r="G11989">
        <v>32</v>
      </c>
      <c r="H11989">
        <v>229</v>
      </c>
      <c r="I11989">
        <v>470</v>
      </c>
      <c r="J11989">
        <v>1</v>
      </c>
      <c r="K11989">
        <v>253</v>
      </c>
      <c r="L11989">
        <v>526</v>
      </c>
      <c r="M11989">
        <v>1</v>
      </c>
      <c r="N11989">
        <v>1.09131E-87</v>
      </c>
      <c r="O11989">
        <v>826</v>
      </c>
    </row>
    <row r="11990" spans="1:15" x14ac:dyDescent="0.25">
      <c r="A11990" t="s">
        <v>12003</v>
      </c>
      <c r="B11990">
        <v>418</v>
      </c>
      <c r="C11990" s="1" t="str">
        <f>HYPERLINK("http://www.rosaceae.org/gb/gbrowse/malus_x_domestica/?name=MDP0000670228","MDP0000670228")</f>
        <v>MDP0000670228</v>
      </c>
      <c r="D11990">
        <v>27.81</v>
      </c>
      <c r="E11990">
        <v>266</v>
      </c>
      <c r="F11990">
        <v>192</v>
      </c>
      <c r="G11990">
        <v>68</v>
      </c>
      <c r="H11990">
        <v>21</v>
      </c>
      <c r="I11990">
        <v>226</v>
      </c>
      <c r="J11990">
        <v>1</v>
      </c>
      <c r="K11990">
        <v>47</v>
      </c>
      <c r="L11990">
        <v>304</v>
      </c>
      <c r="M11990">
        <v>1</v>
      </c>
      <c r="N11990">
        <v>3.9909200000000001E-13</v>
      </c>
      <c r="O11990">
        <v>179</v>
      </c>
    </row>
    <row r="11991" spans="1:15" x14ac:dyDescent="0.25">
      <c r="A11991" t="s">
        <v>12004</v>
      </c>
      <c r="B11991">
        <v>222</v>
      </c>
      <c r="C11991" s="1" t="str">
        <f>HYPERLINK("http://www.rosaceae.org/gb/gbrowse/malus_x_domestica/?name=MDP0000165446","MDP0000165446")</f>
        <v>MDP0000165446</v>
      </c>
      <c r="D11991">
        <v>87.34</v>
      </c>
      <c r="E11991">
        <v>166</v>
      </c>
      <c r="F11991">
        <v>21</v>
      </c>
      <c r="G11991">
        <v>0</v>
      </c>
      <c r="H11991">
        <v>57</v>
      </c>
      <c r="I11991">
        <v>222</v>
      </c>
      <c r="J11991">
        <v>1</v>
      </c>
      <c r="K11991">
        <v>47</v>
      </c>
      <c r="L11991">
        <v>212</v>
      </c>
      <c r="M11991">
        <v>1</v>
      </c>
      <c r="N11991">
        <v>7.4453399999999995E-82</v>
      </c>
      <c r="O11991">
        <v>768</v>
      </c>
    </row>
    <row r="11992" spans="1:15" x14ac:dyDescent="0.25">
      <c r="A11992" t="s">
        <v>12005</v>
      </c>
      <c r="B11992">
        <v>765</v>
      </c>
      <c r="C11992" s="1" t="str">
        <f>HYPERLINK("http://www.rosaceae.org/gb/gbrowse/malus_x_domestica/?name=MDP0000246857","MDP0000246857")</f>
        <v>MDP0000246857</v>
      </c>
      <c r="D11992">
        <v>51.4</v>
      </c>
      <c r="E11992">
        <v>500</v>
      </c>
      <c r="F11992">
        <v>243</v>
      </c>
      <c r="G11992">
        <v>95</v>
      </c>
      <c r="H11992">
        <v>1</v>
      </c>
      <c r="I11992">
        <v>450</v>
      </c>
      <c r="J11992">
        <v>1</v>
      </c>
      <c r="K11992">
        <v>1</v>
      </c>
      <c r="L11992">
        <v>455</v>
      </c>
      <c r="M11992">
        <v>1</v>
      </c>
      <c r="N11992">
        <v>4.7112599999999999E-115</v>
      </c>
      <c r="O11992">
        <v>1061</v>
      </c>
    </row>
    <row r="11993" spans="1:15" x14ac:dyDescent="0.25">
      <c r="A11993" t="s">
        <v>12006</v>
      </c>
      <c r="B11993">
        <v>452</v>
      </c>
      <c r="C11993" s="1" t="str">
        <f>HYPERLINK("http://www.rosaceae.org/gb/gbrowse/malus_x_domestica/?name=MDP0000835914","MDP0000835914")</f>
        <v>MDP0000835914</v>
      </c>
      <c r="D11993">
        <v>89.82</v>
      </c>
      <c r="E11993">
        <v>452</v>
      </c>
      <c r="F11993">
        <v>46</v>
      </c>
      <c r="G11993">
        <v>0</v>
      </c>
      <c r="H11993">
        <v>1</v>
      </c>
      <c r="I11993">
        <v>452</v>
      </c>
      <c r="J11993">
        <v>1</v>
      </c>
      <c r="K11993">
        <v>1</v>
      </c>
      <c r="L11993">
        <v>452</v>
      </c>
      <c r="M11993">
        <v>1</v>
      </c>
      <c r="N11993">
        <v>0</v>
      </c>
      <c r="O11993">
        <v>2155</v>
      </c>
    </row>
    <row r="11994" spans="1:15" x14ac:dyDescent="0.25">
      <c r="A11994" t="s">
        <v>12007</v>
      </c>
      <c r="B11994">
        <v>863</v>
      </c>
      <c r="C11994" s="1" t="str">
        <f>HYPERLINK("http://www.rosaceae.org/gb/gbrowse/malus_x_domestica/?name=MDP0000265744","MDP0000265744")</f>
        <v>MDP0000265744</v>
      </c>
      <c r="D11994">
        <v>61.21</v>
      </c>
      <c r="E11994">
        <v>214</v>
      </c>
      <c r="F11994">
        <v>83</v>
      </c>
      <c r="G11994">
        <v>31</v>
      </c>
      <c r="H11994">
        <v>84</v>
      </c>
      <c r="I11994">
        <v>273</v>
      </c>
      <c r="J11994">
        <v>1</v>
      </c>
      <c r="K11994">
        <v>1</v>
      </c>
      <c r="L11994">
        <v>207</v>
      </c>
      <c r="M11994">
        <v>1</v>
      </c>
      <c r="N11994">
        <v>6.1455500000000003E-65</v>
      </c>
      <c r="O11994">
        <v>629</v>
      </c>
    </row>
    <row r="11995" spans="1:15" x14ac:dyDescent="0.25">
      <c r="A11995" t="s">
        <v>12008</v>
      </c>
      <c r="B11995">
        <v>215</v>
      </c>
      <c r="C11995" s="1" t="str">
        <f>HYPERLINK("http://www.rosaceae.org/gb/gbrowse/malus_x_domestica/?name=MDP0000670228","MDP0000670228")</f>
        <v>MDP0000670228</v>
      </c>
      <c r="D11995">
        <v>40.770000000000003</v>
      </c>
      <c r="E11995">
        <v>103</v>
      </c>
      <c r="F11995">
        <v>61</v>
      </c>
      <c r="G11995">
        <v>20</v>
      </c>
      <c r="H11995">
        <v>45</v>
      </c>
      <c r="I11995">
        <v>127</v>
      </c>
      <c r="J11995">
        <v>1</v>
      </c>
      <c r="K11995">
        <v>213</v>
      </c>
      <c r="L11995">
        <v>315</v>
      </c>
      <c r="M11995">
        <v>1</v>
      </c>
      <c r="N11995">
        <v>7.8726399999999997E-16</v>
      </c>
      <c r="O11995">
        <v>199</v>
      </c>
    </row>
    <row r="11996" spans="1:15" x14ac:dyDescent="0.25">
      <c r="A11996" t="s">
        <v>12009</v>
      </c>
      <c r="B11996">
        <v>383</v>
      </c>
      <c r="C11996" s="1" t="str">
        <f>HYPERLINK("http://www.rosaceae.org/gb/gbrowse/malus_x_domestica/?name=MDP0000010597","MDP0000010597")</f>
        <v>MDP0000010597</v>
      </c>
      <c r="D11996">
        <v>48.99</v>
      </c>
      <c r="E11996">
        <v>398</v>
      </c>
      <c r="F11996">
        <v>203</v>
      </c>
      <c r="G11996">
        <v>54</v>
      </c>
      <c r="H11996">
        <v>1</v>
      </c>
      <c r="I11996">
        <v>344</v>
      </c>
      <c r="J11996">
        <v>1</v>
      </c>
      <c r="K11996">
        <v>35</v>
      </c>
      <c r="L11996">
        <v>432</v>
      </c>
      <c r="M11996">
        <v>1</v>
      </c>
      <c r="N11996">
        <v>1.9717499999999999E-103</v>
      </c>
      <c r="O11996">
        <v>957</v>
      </c>
    </row>
    <row r="11997" spans="1:15" x14ac:dyDescent="0.25">
      <c r="A11997" t="s">
        <v>12010</v>
      </c>
      <c r="B11997">
        <v>357</v>
      </c>
      <c r="C11997" s="1" t="str">
        <f>HYPERLINK("http://www.rosaceae.org/gb/gbrowse/malus_x_domestica/?name=MDP0000233546","MDP0000233546")</f>
        <v>MDP0000233546</v>
      </c>
      <c r="D11997">
        <v>80.81</v>
      </c>
      <c r="E11997">
        <v>344</v>
      </c>
      <c r="F11997">
        <v>66</v>
      </c>
      <c r="G11997">
        <v>0</v>
      </c>
      <c r="H11997">
        <v>14</v>
      </c>
      <c r="I11997">
        <v>357</v>
      </c>
      <c r="J11997">
        <v>1</v>
      </c>
      <c r="K11997">
        <v>52</v>
      </c>
      <c r="L11997">
        <v>395</v>
      </c>
      <c r="M11997">
        <v>1</v>
      </c>
      <c r="N11997">
        <v>1.6678400000000001E-169</v>
      </c>
      <c r="O11997">
        <v>1527</v>
      </c>
    </row>
    <row r="11998" spans="1:15" x14ac:dyDescent="0.25">
      <c r="A11998" t="s">
        <v>12011</v>
      </c>
      <c r="B11998">
        <v>241</v>
      </c>
      <c r="C11998" s="1" t="str">
        <f>HYPERLINK("http://www.rosaceae.org/gb/gbrowse/malus_x_domestica/?name=MDP0000805095","MDP0000805095")</f>
        <v>MDP0000805095</v>
      </c>
      <c r="D11998">
        <v>41.3</v>
      </c>
      <c r="E11998">
        <v>92</v>
      </c>
      <c r="F11998">
        <v>54</v>
      </c>
      <c r="G11998">
        <v>9</v>
      </c>
      <c r="H11998">
        <v>83</v>
      </c>
      <c r="I11998">
        <v>165</v>
      </c>
      <c r="J11998">
        <v>1</v>
      </c>
      <c r="K11998">
        <v>36</v>
      </c>
      <c r="L11998">
        <v>127</v>
      </c>
      <c r="M11998">
        <v>1</v>
      </c>
      <c r="N11998">
        <v>4.49237E-13</v>
      </c>
      <c r="O11998">
        <v>175</v>
      </c>
    </row>
    <row r="11999" spans="1:15" x14ac:dyDescent="0.25">
      <c r="A11999" t="s">
        <v>12012</v>
      </c>
      <c r="B11999">
        <v>875</v>
      </c>
      <c r="C11999" s="1" t="str">
        <f>HYPERLINK("http://www.rosaceae.org/gb/gbrowse/malus_x_domestica/?name=MDP0000270854","MDP0000270854")</f>
        <v>MDP0000270854</v>
      </c>
      <c r="D11999">
        <v>81.14</v>
      </c>
      <c r="E11999">
        <v>647</v>
      </c>
      <c r="F11999">
        <v>122</v>
      </c>
      <c r="G11999">
        <v>21</v>
      </c>
      <c r="H11999">
        <v>10</v>
      </c>
      <c r="I11999">
        <v>637</v>
      </c>
      <c r="J11999">
        <v>1</v>
      </c>
      <c r="K11999">
        <v>1</v>
      </c>
      <c r="L11999">
        <v>645</v>
      </c>
      <c r="M11999">
        <v>1</v>
      </c>
      <c r="N11999">
        <v>0</v>
      </c>
      <c r="O11999">
        <v>2811</v>
      </c>
    </row>
    <row r="12000" spans="1:15" x14ac:dyDescent="0.25">
      <c r="A12000" t="s">
        <v>12013</v>
      </c>
      <c r="B12000">
        <v>134</v>
      </c>
      <c r="C12000" s="1" t="str">
        <f>HYPERLINK("http://www.rosaceae.org/gb/gbrowse/malus_x_domestica/?name=MDP0000666136","MDP0000666136")</f>
        <v>MDP0000666136</v>
      </c>
      <c r="D12000">
        <v>67.239999999999995</v>
      </c>
      <c r="E12000">
        <v>116</v>
      </c>
      <c r="F12000">
        <v>38</v>
      </c>
      <c r="G12000">
        <v>2</v>
      </c>
      <c r="H12000">
        <v>1</v>
      </c>
      <c r="I12000">
        <v>116</v>
      </c>
      <c r="J12000">
        <v>1</v>
      </c>
      <c r="K12000">
        <v>270</v>
      </c>
      <c r="L12000">
        <v>383</v>
      </c>
      <c r="M12000">
        <v>1</v>
      </c>
      <c r="N12000">
        <v>1.2739E-32</v>
      </c>
      <c r="O12000">
        <v>340</v>
      </c>
    </row>
    <row r="12001" spans="1:15" x14ac:dyDescent="0.25">
      <c r="A12001" t="s">
        <v>12014</v>
      </c>
      <c r="B12001">
        <v>356</v>
      </c>
      <c r="C12001" s="1" t="str">
        <f>HYPERLINK("http://www.rosaceae.org/gb/gbrowse/malus_x_domestica/?name=MDP0000208445","MDP0000208445")</f>
        <v>MDP0000208445</v>
      </c>
      <c r="D12001">
        <v>55.84</v>
      </c>
      <c r="E12001">
        <v>154</v>
      </c>
      <c r="F12001">
        <v>68</v>
      </c>
      <c r="G12001">
        <v>14</v>
      </c>
      <c r="H12001">
        <v>1</v>
      </c>
      <c r="I12001">
        <v>140</v>
      </c>
      <c r="J12001">
        <v>1</v>
      </c>
      <c r="K12001">
        <v>1</v>
      </c>
      <c r="L12001">
        <v>154</v>
      </c>
      <c r="M12001">
        <v>1</v>
      </c>
      <c r="N12001">
        <v>5.0567199999999999E-42</v>
      </c>
      <c r="O12001">
        <v>427</v>
      </c>
    </row>
    <row r="12002" spans="1:15" x14ac:dyDescent="0.25">
      <c r="A12002" t="s">
        <v>12015</v>
      </c>
      <c r="B12002">
        <v>1090</v>
      </c>
      <c r="C12002" s="1" t="str">
        <f>HYPERLINK("http://www.rosaceae.org/gb/gbrowse/malus_x_domestica/?name=MDP0000258829","MDP0000258829")</f>
        <v>MDP0000258829</v>
      </c>
      <c r="D12002">
        <v>71.069999999999993</v>
      </c>
      <c r="E12002">
        <v>878</v>
      </c>
      <c r="F12002">
        <v>254</v>
      </c>
      <c r="G12002">
        <v>9</v>
      </c>
      <c r="H12002">
        <v>217</v>
      </c>
      <c r="I12002">
        <v>1090</v>
      </c>
      <c r="J12002">
        <v>1</v>
      </c>
      <c r="K12002">
        <v>123</v>
      </c>
      <c r="L12002">
        <v>995</v>
      </c>
      <c r="M12002">
        <v>1</v>
      </c>
      <c r="N12002">
        <v>0</v>
      </c>
      <c r="O12002">
        <v>3251</v>
      </c>
    </row>
    <row r="12003" spans="1:15" x14ac:dyDescent="0.25">
      <c r="A12003" t="s">
        <v>12016</v>
      </c>
      <c r="B12003">
        <v>392</v>
      </c>
      <c r="C12003" s="1" t="str">
        <f>HYPERLINK("http://www.rosaceae.org/gb/gbrowse/malus_x_domestica/?name=MDP0000771151","MDP0000771151")</f>
        <v>MDP0000771151</v>
      </c>
      <c r="D12003">
        <v>84.21</v>
      </c>
      <c r="E12003">
        <v>247</v>
      </c>
      <c r="F12003">
        <v>39</v>
      </c>
      <c r="G12003">
        <v>5</v>
      </c>
      <c r="H12003">
        <v>1</v>
      </c>
      <c r="I12003">
        <v>247</v>
      </c>
      <c r="J12003">
        <v>1</v>
      </c>
      <c r="K12003">
        <v>1</v>
      </c>
      <c r="L12003">
        <v>242</v>
      </c>
      <c r="M12003">
        <v>1</v>
      </c>
      <c r="N12003">
        <v>5.2047200000000003E-117</v>
      </c>
      <c r="O12003">
        <v>1074</v>
      </c>
    </row>
    <row r="12004" spans="1:15" x14ac:dyDescent="0.25">
      <c r="A12004" t="s">
        <v>12017</v>
      </c>
      <c r="B12004">
        <v>368</v>
      </c>
      <c r="C12004" s="1" t="str">
        <f>HYPERLINK("http://www.rosaceae.org/gb/gbrowse/malus_x_domestica/?name=MDP0000171684","MDP0000171684")</f>
        <v>MDP0000171684</v>
      </c>
      <c r="D12004">
        <v>50.62</v>
      </c>
      <c r="E12004">
        <v>320</v>
      </c>
      <c r="F12004">
        <v>158</v>
      </c>
      <c r="G12004">
        <v>37</v>
      </c>
      <c r="H12004">
        <v>52</v>
      </c>
      <c r="I12004">
        <v>365</v>
      </c>
      <c r="J12004">
        <v>1</v>
      </c>
      <c r="K12004">
        <v>28</v>
      </c>
      <c r="L12004">
        <v>316</v>
      </c>
      <c r="M12004">
        <v>1</v>
      </c>
      <c r="N12004">
        <v>2.35164E-81</v>
      </c>
      <c r="O12004">
        <v>767</v>
      </c>
    </row>
    <row r="12005" spans="1:15" x14ac:dyDescent="0.25">
      <c r="A12005" t="s">
        <v>12018</v>
      </c>
      <c r="B12005">
        <v>481</v>
      </c>
      <c r="C12005" s="1" t="str">
        <f>HYPERLINK("http://www.rosaceae.org/gb/gbrowse/malus_x_domestica/?name=MDP0000568229","MDP0000568229")</f>
        <v>MDP0000568229</v>
      </c>
      <c r="D12005">
        <v>78.02</v>
      </c>
      <c r="E12005">
        <v>273</v>
      </c>
      <c r="F12005">
        <v>60</v>
      </c>
      <c r="G12005">
        <v>14</v>
      </c>
      <c r="H12005">
        <v>1</v>
      </c>
      <c r="I12005">
        <v>259</v>
      </c>
      <c r="J12005">
        <v>1</v>
      </c>
      <c r="K12005">
        <v>1</v>
      </c>
      <c r="L12005">
        <v>273</v>
      </c>
      <c r="M12005">
        <v>1</v>
      </c>
      <c r="N12005">
        <v>5.3246000000000001E-120</v>
      </c>
      <c r="O12005">
        <v>1101</v>
      </c>
    </row>
    <row r="12006" spans="1:15" x14ac:dyDescent="0.25">
      <c r="A12006" t="s">
        <v>12019</v>
      </c>
      <c r="B12006">
        <v>472</v>
      </c>
      <c r="C12006" s="1" t="str">
        <f>HYPERLINK("http://www.rosaceae.org/gb/gbrowse/malus_x_domestica/?name=MDP0000725634","MDP0000725634")</f>
        <v>MDP0000725634</v>
      </c>
      <c r="D12006">
        <v>39.44</v>
      </c>
      <c r="E12006">
        <v>322</v>
      </c>
      <c r="F12006">
        <v>195</v>
      </c>
      <c r="G12006">
        <v>9</v>
      </c>
      <c r="H12006">
        <v>148</v>
      </c>
      <c r="I12006">
        <v>463</v>
      </c>
      <c r="J12006">
        <v>1</v>
      </c>
      <c r="K12006">
        <v>98</v>
      </c>
      <c r="L12006">
        <v>416</v>
      </c>
      <c r="M12006">
        <v>1</v>
      </c>
      <c r="N12006">
        <v>1.4786100000000001E-52</v>
      </c>
      <c r="O12006">
        <v>519</v>
      </c>
    </row>
    <row r="12007" spans="1:15" x14ac:dyDescent="0.25">
      <c r="A12007" t="s">
        <v>12020</v>
      </c>
      <c r="B12007">
        <v>268</v>
      </c>
      <c r="C12007" s="1" t="str">
        <f>HYPERLINK("http://www.rosaceae.org/gb/gbrowse/malus_x_domestica/?name=MDP0000299496","MDP0000299496")</f>
        <v>MDP0000299496</v>
      </c>
      <c r="D12007">
        <v>37.79</v>
      </c>
      <c r="E12007">
        <v>209</v>
      </c>
      <c r="F12007">
        <v>130</v>
      </c>
      <c r="G12007">
        <v>5</v>
      </c>
      <c r="H12007">
        <v>1</v>
      </c>
      <c r="I12007">
        <v>204</v>
      </c>
      <c r="J12007">
        <v>1</v>
      </c>
      <c r="K12007">
        <v>604</v>
      </c>
      <c r="L12007">
        <v>812</v>
      </c>
      <c r="M12007">
        <v>1</v>
      </c>
      <c r="N12007">
        <v>8.9975000000000007E-34</v>
      </c>
      <c r="O12007">
        <v>355</v>
      </c>
    </row>
    <row r="12008" spans="1:15" x14ac:dyDescent="0.25">
      <c r="A12008" t="s">
        <v>12021</v>
      </c>
      <c r="B12008">
        <v>157</v>
      </c>
      <c r="C12008" s="1" t="str">
        <f>HYPERLINK("http://www.rosaceae.org/gb/gbrowse/malus_x_domestica/?name=MDP0000948784","MDP0000948784")</f>
        <v>MDP0000948784</v>
      </c>
      <c r="D12008">
        <v>65.75</v>
      </c>
      <c r="E12008">
        <v>146</v>
      </c>
      <c r="F12008">
        <v>50</v>
      </c>
      <c r="G12008">
        <v>4</v>
      </c>
      <c r="H12008">
        <v>13</v>
      </c>
      <c r="I12008">
        <v>154</v>
      </c>
      <c r="J12008">
        <v>1</v>
      </c>
      <c r="K12008">
        <v>16</v>
      </c>
      <c r="L12008">
        <v>161</v>
      </c>
      <c r="M12008">
        <v>1</v>
      </c>
      <c r="N12008">
        <v>2.3594099999999998E-47</v>
      </c>
      <c r="O12008">
        <v>468</v>
      </c>
    </row>
    <row r="12009" spans="1:15" x14ac:dyDescent="0.25">
      <c r="A12009" t="s">
        <v>12022</v>
      </c>
      <c r="B12009">
        <v>411</v>
      </c>
      <c r="C12009" s="1" t="str">
        <f>HYPERLINK("http://www.rosaceae.org/gb/gbrowse/malus_x_domestica/?name=MDP0000180005","MDP0000180005")</f>
        <v>MDP0000180005</v>
      </c>
      <c r="D12009">
        <v>76.23</v>
      </c>
      <c r="E12009">
        <v>324</v>
      </c>
      <c r="F12009">
        <v>77</v>
      </c>
      <c r="G12009">
        <v>21</v>
      </c>
      <c r="H12009">
        <v>33</v>
      </c>
      <c r="I12009">
        <v>339</v>
      </c>
      <c r="J12009">
        <v>1</v>
      </c>
      <c r="K12009">
        <v>36</v>
      </c>
      <c r="L12009">
        <v>355</v>
      </c>
      <c r="M12009">
        <v>1</v>
      </c>
      <c r="N12009">
        <v>5.4865600000000002E-132</v>
      </c>
      <c r="O12009">
        <v>1204</v>
      </c>
    </row>
    <row r="12010" spans="1:15" x14ac:dyDescent="0.25">
      <c r="A12010" t="s">
        <v>12023</v>
      </c>
      <c r="B12010">
        <v>584</v>
      </c>
      <c r="C12010" s="1" t="str">
        <f>HYPERLINK("http://www.rosaceae.org/gb/gbrowse/malus_x_domestica/?name=MDP0000031416","MDP0000031416")</f>
        <v>MDP0000031416</v>
      </c>
      <c r="D12010">
        <v>85.47</v>
      </c>
      <c r="E12010">
        <v>585</v>
      </c>
      <c r="F12010">
        <v>85</v>
      </c>
      <c r="G12010">
        <v>1</v>
      </c>
      <c r="H12010">
        <v>1</v>
      </c>
      <c r="I12010">
        <v>584</v>
      </c>
      <c r="J12010">
        <v>1</v>
      </c>
      <c r="K12010">
        <v>39</v>
      </c>
      <c r="L12010">
        <v>623</v>
      </c>
      <c r="M12010">
        <v>1</v>
      </c>
      <c r="N12010">
        <v>0</v>
      </c>
      <c r="O12010">
        <v>2670</v>
      </c>
    </row>
    <row r="12011" spans="1:15" x14ac:dyDescent="0.25">
      <c r="A12011" t="s">
        <v>12024</v>
      </c>
      <c r="B12011">
        <v>163</v>
      </c>
      <c r="C12011" s="1" t="str">
        <f>HYPERLINK("http://www.rosaceae.org/gb/gbrowse/malus_x_domestica/?name=MDP0000189779","MDP0000189779")</f>
        <v>MDP0000189779</v>
      </c>
      <c r="D12011">
        <v>44.57</v>
      </c>
      <c r="E12011">
        <v>83</v>
      </c>
      <c r="F12011">
        <v>46</v>
      </c>
      <c r="G12011">
        <v>19</v>
      </c>
      <c r="H12011">
        <v>25</v>
      </c>
      <c r="I12011">
        <v>99</v>
      </c>
      <c r="J12011">
        <v>1</v>
      </c>
      <c r="K12011">
        <v>36</v>
      </c>
      <c r="L12011">
        <v>107</v>
      </c>
      <c r="M12011">
        <v>1</v>
      </c>
      <c r="N12011">
        <v>3.4181199999999998E-8</v>
      </c>
      <c r="O12011">
        <v>131</v>
      </c>
    </row>
    <row r="12012" spans="1:15" x14ac:dyDescent="0.25">
      <c r="A12012" t="s">
        <v>12025</v>
      </c>
      <c r="B12012">
        <v>499</v>
      </c>
      <c r="C12012" s="1" t="str">
        <f>HYPERLINK("http://www.rosaceae.org/gb/gbrowse/malus_x_domestica/?name=MDP0000249107","MDP0000249107")</f>
        <v>MDP0000249107</v>
      </c>
      <c r="D12012">
        <v>84.44</v>
      </c>
      <c r="E12012">
        <v>463</v>
      </c>
      <c r="F12012">
        <v>72</v>
      </c>
      <c r="G12012">
        <v>4</v>
      </c>
      <c r="H12012">
        <v>4</v>
      </c>
      <c r="I12012">
        <v>463</v>
      </c>
      <c r="J12012">
        <v>1</v>
      </c>
      <c r="K12012">
        <v>1</v>
      </c>
      <c r="L12012">
        <v>462</v>
      </c>
      <c r="M12012">
        <v>1</v>
      </c>
      <c r="N12012">
        <v>0</v>
      </c>
      <c r="O12012">
        <v>2085</v>
      </c>
    </row>
    <row r="12013" spans="1:15" x14ac:dyDescent="0.25">
      <c r="A12013" t="s">
        <v>12026</v>
      </c>
      <c r="B12013">
        <v>491</v>
      </c>
      <c r="C12013" s="1" t="str">
        <f>HYPERLINK("http://www.rosaceae.org/gb/gbrowse/malus_x_domestica/?name=MDP0000257809","MDP0000257809")</f>
        <v>MDP0000257809</v>
      </c>
      <c r="D12013">
        <v>33.950000000000003</v>
      </c>
      <c r="E12013">
        <v>268</v>
      </c>
      <c r="F12013">
        <v>177</v>
      </c>
      <c r="G12013">
        <v>49</v>
      </c>
      <c r="H12013">
        <v>226</v>
      </c>
      <c r="I12013">
        <v>454</v>
      </c>
      <c r="J12013">
        <v>1</v>
      </c>
      <c r="K12013">
        <v>537</v>
      </c>
      <c r="L12013">
        <v>794</v>
      </c>
      <c r="M12013">
        <v>1</v>
      </c>
      <c r="N12013">
        <v>6.3725699999999999E-23</v>
      </c>
      <c r="O12013">
        <v>264</v>
      </c>
    </row>
    <row r="12014" spans="1:15" x14ac:dyDescent="0.25">
      <c r="A12014" t="s">
        <v>12027</v>
      </c>
      <c r="B12014">
        <v>543</v>
      </c>
      <c r="C12014" s="1" t="str">
        <f>HYPERLINK("http://www.rosaceae.org/gb/gbrowse/malus_x_domestica/?name=MDP0000563788","MDP0000563788")</f>
        <v>MDP0000563788</v>
      </c>
      <c r="D12014">
        <v>66.06</v>
      </c>
      <c r="E12014">
        <v>386</v>
      </c>
      <c r="F12014">
        <v>131</v>
      </c>
      <c r="G12014">
        <v>13</v>
      </c>
      <c r="H12014">
        <v>168</v>
      </c>
      <c r="I12014">
        <v>543</v>
      </c>
      <c r="J12014">
        <v>1</v>
      </c>
      <c r="K12014">
        <v>24</v>
      </c>
      <c r="L12014">
        <v>406</v>
      </c>
      <c r="M12014">
        <v>1</v>
      </c>
      <c r="N12014">
        <v>6.23728E-140</v>
      </c>
      <c r="O12014">
        <v>1274</v>
      </c>
    </row>
    <row r="12015" spans="1:15" x14ac:dyDescent="0.25">
      <c r="A12015" t="s">
        <v>12028</v>
      </c>
      <c r="B12015">
        <v>434</v>
      </c>
      <c r="C12015" s="1" t="str">
        <f>HYPERLINK("http://www.rosaceae.org/gb/gbrowse/malus_x_domestica/?name=MDP0000824072","MDP0000824072")</f>
        <v>MDP0000824072</v>
      </c>
      <c r="D12015">
        <v>58.16</v>
      </c>
      <c r="E12015">
        <v>447</v>
      </c>
      <c r="F12015">
        <v>187</v>
      </c>
      <c r="G12015">
        <v>41</v>
      </c>
      <c r="H12015">
        <v>1</v>
      </c>
      <c r="I12015">
        <v>434</v>
      </c>
      <c r="J12015">
        <v>1</v>
      </c>
      <c r="K12015">
        <v>1</v>
      </c>
      <c r="L12015">
        <v>419</v>
      </c>
      <c r="M12015">
        <v>1</v>
      </c>
      <c r="N12015">
        <v>8.9938300000000004E-117</v>
      </c>
      <c r="O12015">
        <v>1073</v>
      </c>
    </row>
    <row r="12016" spans="1:15" x14ac:dyDescent="0.25">
      <c r="A12016" t="s">
        <v>12029</v>
      </c>
      <c r="B12016">
        <v>627</v>
      </c>
      <c r="C12016" s="1" t="str">
        <f>HYPERLINK("http://www.rosaceae.org/gb/gbrowse/malus_x_domestica/?name=MDP0000770037","MDP0000770037")</f>
        <v>MDP0000770037</v>
      </c>
      <c r="D12016">
        <v>46.64</v>
      </c>
      <c r="E12016">
        <v>373</v>
      </c>
      <c r="F12016">
        <v>199</v>
      </c>
      <c r="G12016">
        <v>67</v>
      </c>
      <c r="H12016">
        <v>74</v>
      </c>
      <c r="I12016">
        <v>395</v>
      </c>
      <c r="J12016">
        <v>1</v>
      </c>
      <c r="K12016">
        <v>739</v>
      </c>
      <c r="L12016">
        <v>1095</v>
      </c>
      <c r="M12016">
        <v>1</v>
      </c>
      <c r="N12016">
        <v>3.2305200000000001E-72</v>
      </c>
      <c r="O12016">
        <v>690</v>
      </c>
    </row>
    <row r="12017" spans="1:15" x14ac:dyDescent="0.25">
      <c r="A12017" t="s">
        <v>12030</v>
      </c>
      <c r="B12017">
        <v>236</v>
      </c>
      <c r="C12017" s="1" t="str">
        <f>HYPERLINK("http://www.rosaceae.org/gb/gbrowse/malus_x_domestica/?name=MDP0000282789","MDP0000282789")</f>
        <v>MDP0000282789</v>
      </c>
      <c r="D12017">
        <v>46.7</v>
      </c>
      <c r="E12017">
        <v>197</v>
      </c>
      <c r="F12017">
        <v>105</v>
      </c>
      <c r="G12017">
        <v>32</v>
      </c>
      <c r="H12017">
        <v>37</v>
      </c>
      <c r="I12017">
        <v>216</v>
      </c>
      <c r="J12017">
        <v>1</v>
      </c>
      <c r="K12017">
        <v>49</v>
      </c>
      <c r="L12017">
        <v>230</v>
      </c>
      <c r="M12017">
        <v>1</v>
      </c>
      <c r="N12017">
        <v>1.52278E-31</v>
      </c>
      <c r="O12017">
        <v>335</v>
      </c>
    </row>
    <row r="12018" spans="1:15" x14ac:dyDescent="0.25">
      <c r="A12018" t="s">
        <v>12031</v>
      </c>
      <c r="B12018">
        <v>291</v>
      </c>
      <c r="C12018" s="1" t="str">
        <f>HYPERLINK("http://www.rosaceae.org/gb/gbrowse/malus_x_domestica/?name=MDP0000212336","MDP0000212336")</f>
        <v>MDP0000212336</v>
      </c>
      <c r="D12018">
        <v>63.49</v>
      </c>
      <c r="E12018">
        <v>189</v>
      </c>
      <c r="F12018">
        <v>69</v>
      </c>
      <c r="G12018">
        <v>14</v>
      </c>
      <c r="H12018">
        <v>1</v>
      </c>
      <c r="I12018">
        <v>175</v>
      </c>
      <c r="J12018">
        <v>1</v>
      </c>
      <c r="K12018">
        <v>1</v>
      </c>
      <c r="L12018">
        <v>189</v>
      </c>
      <c r="M12018">
        <v>1</v>
      </c>
      <c r="N12018">
        <v>8.4565299999999995E-60</v>
      </c>
      <c r="O12018">
        <v>579</v>
      </c>
    </row>
    <row r="12019" spans="1:15" x14ac:dyDescent="0.25">
      <c r="A12019" t="s">
        <v>12032</v>
      </c>
      <c r="B12019">
        <v>1961</v>
      </c>
      <c r="C12019" s="1" t="str">
        <f>HYPERLINK("http://www.rosaceae.org/gb/gbrowse/malus_x_domestica/?name=MDP0000266550","MDP0000266550")</f>
        <v>MDP0000266550</v>
      </c>
      <c r="D12019">
        <v>67.430000000000007</v>
      </c>
      <c r="E12019">
        <v>1130</v>
      </c>
      <c r="F12019">
        <v>368</v>
      </c>
      <c r="G12019">
        <v>62</v>
      </c>
      <c r="H12019">
        <v>129</v>
      </c>
      <c r="I12019">
        <v>1236</v>
      </c>
      <c r="J12019">
        <v>1</v>
      </c>
      <c r="K12019">
        <v>1</v>
      </c>
      <c r="L12019">
        <v>1090</v>
      </c>
      <c r="M12019">
        <v>1</v>
      </c>
      <c r="N12019">
        <v>0</v>
      </c>
      <c r="O12019">
        <v>3811</v>
      </c>
    </row>
    <row r="12020" spans="1:15" x14ac:dyDescent="0.25">
      <c r="A12020" t="s">
        <v>12033</v>
      </c>
      <c r="B12020">
        <v>177</v>
      </c>
      <c r="C12020" s="1" t="str">
        <f>HYPERLINK("http://www.rosaceae.org/gb/gbrowse/malus_x_domestica/?name=MDP0000282761","MDP0000282761")</f>
        <v>MDP0000282761</v>
      </c>
      <c r="D12020">
        <v>34.24</v>
      </c>
      <c r="E12020">
        <v>146</v>
      </c>
      <c r="F12020">
        <v>96</v>
      </c>
      <c r="G12020">
        <v>16</v>
      </c>
      <c r="H12020">
        <v>1</v>
      </c>
      <c r="I12020">
        <v>131</v>
      </c>
      <c r="J12020">
        <v>1</v>
      </c>
      <c r="K12020">
        <v>33</v>
      </c>
      <c r="L12020">
        <v>177</v>
      </c>
      <c r="M12020">
        <v>1</v>
      </c>
      <c r="N12020">
        <v>4.1230399999999998E-12</v>
      </c>
      <c r="O12020">
        <v>165</v>
      </c>
    </row>
    <row r="12021" spans="1:15" x14ac:dyDescent="0.25">
      <c r="A12021" t="s">
        <v>12034</v>
      </c>
      <c r="B12021">
        <v>156</v>
      </c>
      <c r="C12021" s="1" t="str">
        <f>HYPERLINK("http://www.rosaceae.org/gb/gbrowse/malus_x_domestica/?name=MDP0000789227","MDP0000789227")</f>
        <v>MDP0000789227</v>
      </c>
      <c r="D12021">
        <v>66.66</v>
      </c>
      <c r="E12021">
        <v>81</v>
      </c>
      <c r="F12021">
        <v>27</v>
      </c>
      <c r="G12021">
        <v>2</v>
      </c>
      <c r="H12021">
        <v>7</v>
      </c>
      <c r="I12021">
        <v>87</v>
      </c>
      <c r="J12021">
        <v>1</v>
      </c>
      <c r="K12021">
        <v>3</v>
      </c>
      <c r="L12021">
        <v>81</v>
      </c>
      <c r="M12021">
        <v>1</v>
      </c>
      <c r="N12021">
        <v>1.0580799999999999E-23</v>
      </c>
      <c r="O12021">
        <v>264</v>
      </c>
    </row>
    <row r="12022" spans="1:15" x14ac:dyDescent="0.25">
      <c r="A12022" t="s">
        <v>12035</v>
      </c>
      <c r="B12022">
        <v>489</v>
      </c>
      <c r="C12022" s="1" t="str">
        <f>HYPERLINK("http://www.rosaceae.org/gb/gbrowse/malus_x_domestica/?name=MDP0000196256","MDP0000196256")</f>
        <v>MDP0000196256</v>
      </c>
      <c r="D12022">
        <v>56.05</v>
      </c>
      <c r="E12022">
        <v>487</v>
      </c>
      <c r="F12022">
        <v>214</v>
      </c>
      <c r="G12022">
        <v>42</v>
      </c>
      <c r="H12022">
        <v>41</v>
      </c>
      <c r="I12022">
        <v>489</v>
      </c>
      <c r="J12022">
        <v>1</v>
      </c>
      <c r="K12022">
        <v>24</v>
      </c>
      <c r="L12022">
        <v>506</v>
      </c>
      <c r="M12022">
        <v>1</v>
      </c>
      <c r="N12022">
        <v>2.3293E-138</v>
      </c>
      <c r="O12022">
        <v>1260</v>
      </c>
    </row>
    <row r="12023" spans="1:15" x14ac:dyDescent="0.25">
      <c r="A12023" t="s">
        <v>12036</v>
      </c>
      <c r="B12023">
        <v>191</v>
      </c>
      <c r="C12023" s="1" t="str">
        <f>HYPERLINK("http://www.rosaceae.org/gb/gbrowse/malus_x_domestica/?name=MDP0000167911","MDP0000167911")</f>
        <v>MDP0000167911</v>
      </c>
      <c r="D12023">
        <v>47.15</v>
      </c>
      <c r="E12023">
        <v>246</v>
      </c>
      <c r="F12023">
        <v>130</v>
      </c>
      <c r="G12023">
        <v>60</v>
      </c>
      <c r="H12023">
        <v>1</v>
      </c>
      <c r="I12023">
        <v>191</v>
      </c>
      <c r="J12023">
        <v>1</v>
      </c>
      <c r="K12023">
        <v>201</v>
      </c>
      <c r="L12023">
        <v>441</v>
      </c>
      <c r="M12023">
        <v>1</v>
      </c>
      <c r="N12023">
        <v>4.0078E-41</v>
      </c>
      <c r="O12023">
        <v>416</v>
      </c>
    </row>
    <row r="12024" spans="1:15" x14ac:dyDescent="0.25">
      <c r="A12024" t="s">
        <v>12037</v>
      </c>
      <c r="B12024">
        <v>774</v>
      </c>
      <c r="C12024" s="1" t="str">
        <f>HYPERLINK("http://www.rosaceae.org/gb/gbrowse/malus_x_domestica/?name=MDP0000303132","MDP0000303132")</f>
        <v>MDP0000303132</v>
      </c>
      <c r="D12024">
        <v>72.16</v>
      </c>
      <c r="E12024">
        <v>424</v>
      </c>
      <c r="F12024">
        <v>118</v>
      </c>
      <c r="G12024">
        <v>28</v>
      </c>
      <c r="H12024">
        <v>31</v>
      </c>
      <c r="I12024">
        <v>454</v>
      </c>
      <c r="J12024">
        <v>1</v>
      </c>
      <c r="K12024">
        <v>27</v>
      </c>
      <c r="L12024">
        <v>422</v>
      </c>
      <c r="M12024">
        <v>1</v>
      </c>
      <c r="N12024">
        <v>0</v>
      </c>
      <c r="O12024">
        <v>1676</v>
      </c>
    </row>
    <row r="12025" spans="1:15" x14ac:dyDescent="0.25">
      <c r="A12025" t="s">
        <v>12038</v>
      </c>
      <c r="B12025">
        <v>273</v>
      </c>
      <c r="C12025" s="1" t="str">
        <f>HYPERLINK("http://www.rosaceae.org/gb/gbrowse/malus_x_domestica/?name=MDP0000299496","MDP0000299496")</f>
        <v>MDP0000299496</v>
      </c>
      <c r="D12025">
        <v>36.86</v>
      </c>
      <c r="E12025">
        <v>255</v>
      </c>
      <c r="F12025">
        <v>161</v>
      </c>
      <c r="G12025">
        <v>65</v>
      </c>
      <c r="H12025">
        <v>3</v>
      </c>
      <c r="I12025">
        <v>197</v>
      </c>
      <c r="J12025">
        <v>1</v>
      </c>
      <c r="K12025">
        <v>502</v>
      </c>
      <c r="L12025">
        <v>751</v>
      </c>
      <c r="M12025">
        <v>1</v>
      </c>
      <c r="N12025">
        <v>8.0428100000000005E-34</v>
      </c>
      <c r="O12025">
        <v>355</v>
      </c>
    </row>
    <row r="12026" spans="1:15" x14ac:dyDescent="0.25">
      <c r="A12026" t="s">
        <v>12039</v>
      </c>
      <c r="B12026">
        <v>886</v>
      </c>
      <c r="C12026" s="1" t="str">
        <f>HYPERLINK("http://www.rosaceae.org/gb/gbrowse/malus_x_domestica/?name=MDP0000232623","MDP0000232623")</f>
        <v>MDP0000232623</v>
      </c>
      <c r="D12026">
        <v>57.8</v>
      </c>
      <c r="E12026">
        <v>538</v>
      </c>
      <c r="F12026">
        <v>227</v>
      </c>
      <c r="G12026">
        <v>66</v>
      </c>
      <c r="H12026">
        <v>1</v>
      </c>
      <c r="I12026">
        <v>478</v>
      </c>
      <c r="J12026">
        <v>1</v>
      </c>
      <c r="K12026">
        <v>1</v>
      </c>
      <c r="L12026">
        <v>532</v>
      </c>
      <c r="M12026">
        <v>1</v>
      </c>
      <c r="N12026">
        <v>2.4837100000000001E-157</v>
      </c>
      <c r="O12026">
        <v>1426</v>
      </c>
    </row>
    <row r="12027" spans="1:15" x14ac:dyDescent="0.25">
      <c r="A12027" t="s">
        <v>12040</v>
      </c>
      <c r="B12027">
        <v>545</v>
      </c>
      <c r="C12027" s="1" t="str">
        <f>HYPERLINK("http://www.rosaceae.org/gb/gbrowse/malus_x_domestica/?name=MDP0000798705","MDP0000798705")</f>
        <v>MDP0000798705</v>
      </c>
      <c r="D12027">
        <v>63.91</v>
      </c>
      <c r="E12027">
        <v>546</v>
      </c>
      <c r="F12027">
        <v>197</v>
      </c>
      <c r="G12027">
        <v>22</v>
      </c>
      <c r="H12027">
        <v>4</v>
      </c>
      <c r="I12027">
        <v>544</v>
      </c>
      <c r="J12027">
        <v>1</v>
      </c>
      <c r="K12027">
        <v>5</v>
      </c>
      <c r="L12027">
        <v>533</v>
      </c>
      <c r="M12027">
        <v>1</v>
      </c>
      <c r="N12027">
        <v>0</v>
      </c>
      <c r="O12027">
        <v>1790</v>
      </c>
    </row>
    <row r="12028" spans="1:15" x14ac:dyDescent="0.25">
      <c r="A12028" t="s">
        <v>12041</v>
      </c>
      <c r="B12028">
        <v>474</v>
      </c>
      <c r="C12028" s="1" t="str">
        <f>HYPERLINK("http://www.rosaceae.org/gb/gbrowse/malus_x_domestica/?name=MDP0000211193","MDP0000211193")</f>
        <v>MDP0000211193</v>
      </c>
      <c r="D12028">
        <v>73.64</v>
      </c>
      <c r="E12028">
        <v>478</v>
      </c>
      <c r="F12028">
        <v>126</v>
      </c>
      <c r="G12028">
        <v>28</v>
      </c>
      <c r="H12028">
        <v>1</v>
      </c>
      <c r="I12028">
        <v>464</v>
      </c>
      <c r="J12028">
        <v>1</v>
      </c>
      <c r="K12028">
        <v>1</v>
      </c>
      <c r="L12028">
        <v>464</v>
      </c>
      <c r="M12028">
        <v>1</v>
      </c>
      <c r="N12028">
        <v>0</v>
      </c>
      <c r="O12028">
        <v>1865</v>
      </c>
    </row>
    <row r="12029" spans="1:15" x14ac:dyDescent="0.25">
      <c r="A12029" t="s">
        <v>12042</v>
      </c>
      <c r="B12029">
        <v>418</v>
      </c>
      <c r="C12029" s="1" t="str">
        <f>HYPERLINK("http://www.rosaceae.org/gb/gbrowse/malus_x_domestica/?name=MDP0000265065","MDP0000265065")</f>
        <v>MDP0000265065</v>
      </c>
      <c r="D12029">
        <v>68.86</v>
      </c>
      <c r="E12029">
        <v>395</v>
      </c>
      <c r="F12029">
        <v>123</v>
      </c>
      <c r="G12029">
        <v>3</v>
      </c>
      <c r="H12029">
        <v>4</v>
      </c>
      <c r="I12029">
        <v>395</v>
      </c>
      <c r="J12029">
        <v>1</v>
      </c>
      <c r="K12029">
        <v>8</v>
      </c>
      <c r="L12029">
        <v>402</v>
      </c>
      <c r="M12029">
        <v>1</v>
      </c>
      <c r="N12029">
        <v>1.0090599999999999E-151</v>
      </c>
      <c r="O12029">
        <v>1374</v>
      </c>
    </row>
    <row r="12030" spans="1:15" x14ac:dyDescent="0.25">
      <c r="A12030" t="s">
        <v>12043</v>
      </c>
      <c r="B12030">
        <v>1679</v>
      </c>
      <c r="C12030" s="1" t="str">
        <f>HYPERLINK("http://www.rosaceae.org/gb/gbrowse/malus_x_domestica/?name=MDP0000263817","MDP0000263817")</f>
        <v>MDP0000263817</v>
      </c>
      <c r="D12030">
        <v>90.76</v>
      </c>
      <c r="E12030">
        <v>1169</v>
      </c>
      <c r="F12030">
        <v>108</v>
      </c>
      <c r="G12030">
        <v>25</v>
      </c>
      <c r="H12030">
        <v>531</v>
      </c>
      <c r="I12030">
        <v>1679</v>
      </c>
      <c r="J12030">
        <v>1</v>
      </c>
      <c r="K12030">
        <v>1</v>
      </c>
      <c r="L12030">
        <v>1164</v>
      </c>
      <c r="M12030">
        <v>1</v>
      </c>
      <c r="N12030">
        <v>0</v>
      </c>
      <c r="O12030">
        <v>5710</v>
      </c>
    </row>
    <row r="12031" spans="1:15" x14ac:dyDescent="0.25">
      <c r="A12031" t="s">
        <v>12044</v>
      </c>
      <c r="B12031">
        <v>497</v>
      </c>
      <c r="C12031" s="1" t="str">
        <f>HYPERLINK("http://www.rosaceae.org/gb/gbrowse/malus_x_domestica/?name=MDP0000473634","MDP0000473634")</f>
        <v>MDP0000473634</v>
      </c>
      <c r="D12031">
        <v>69.59</v>
      </c>
      <c r="E12031">
        <v>319</v>
      </c>
      <c r="F12031">
        <v>97</v>
      </c>
      <c r="G12031">
        <v>17</v>
      </c>
      <c r="H12031">
        <v>1</v>
      </c>
      <c r="I12031">
        <v>315</v>
      </c>
      <c r="J12031">
        <v>1</v>
      </c>
      <c r="K12031">
        <v>765</v>
      </c>
      <c r="L12031">
        <v>1070</v>
      </c>
      <c r="M12031">
        <v>1</v>
      </c>
      <c r="N12031">
        <v>9.4651999999999995E-129</v>
      </c>
      <c r="O12031">
        <v>1177</v>
      </c>
    </row>
    <row r="12032" spans="1:15" x14ac:dyDescent="0.25">
      <c r="A12032" t="s">
        <v>12045</v>
      </c>
      <c r="B12032">
        <v>313</v>
      </c>
      <c r="C12032" s="1" t="str">
        <f>HYPERLINK("http://www.rosaceae.org/gb/gbrowse/malus_x_domestica/?name=MDP0000135665","MDP0000135665")</f>
        <v>MDP0000135665</v>
      </c>
      <c r="D12032">
        <v>71.94</v>
      </c>
      <c r="E12032">
        <v>303</v>
      </c>
      <c r="F12032">
        <v>85</v>
      </c>
      <c r="G12032">
        <v>0</v>
      </c>
      <c r="H12032">
        <v>1</v>
      </c>
      <c r="I12032">
        <v>303</v>
      </c>
      <c r="J12032">
        <v>1</v>
      </c>
      <c r="K12032">
        <v>1</v>
      </c>
      <c r="L12032">
        <v>303</v>
      </c>
      <c r="M12032">
        <v>1</v>
      </c>
      <c r="N12032">
        <v>1.6357999999999999E-122</v>
      </c>
      <c r="O12032">
        <v>1121</v>
      </c>
    </row>
    <row r="12033" spans="1:15" x14ac:dyDescent="0.25">
      <c r="A12033" t="s">
        <v>12046</v>
      </c>
      <c r="B12033">
        <v>628</v>
      </c>
      <c r="C12033" s="1" t="str">
        <f>HYPERLINK("http://www.rosaceae.org/gb/gbrowse/malus_x_domestica/?name=MDP0000223243","MDP0000223243")</f>
        <v>MDP0000223243</v>
      </c>
      <c r="D12033">
        <v>86.78</v>
      </c>
      <c r="E12033">
        <v>628</v>
      </c>
      <c r="F12033">
        <v>83</v>
      </c>
      <c r="G12033">
        <v>23</v>
      </c>
      <c r="H12033">
        <v>1</v>
      </c>
      <c r="I12033">
        <v>628</v>
      </c>
      <c r="J12033">
        <v>1</v>
      </c>
      <c r="K12033">
        <v>1</v>
      </c>
      <c r="L12033">
        <v>605</v>
      </c>
      <c r="M12033">
        <v>1</v>
      </c>
      <c r="N12033">
        <v>0</v>
      </c>
      <c r="O12033">
        <v>2886</v>
      </c>
    </row>
    <row r="12034" spans="1:15" x14ac:dyDescent="0.25">
      <c r="A12034" t="s">
        <v>12047</v>
      </c>
      <c r="B12034">
        <v>320</v>
      </c>
      <c r="C12034" s="1" t="str">
        <f>HYPERLINK("http://www.rosaceae.org/gb/gbrowse/malus_x_domestica/?name=MDP0000228473","MDP0000228473")</f>
        <v>MDP0000228473</v>
      </c>
      <c r="D12034">
        <v>79.19</v>
      </c>
      <c r="E12034">
        <v>322</v>
      </c>
      <c r="F12034">
        <v>67</v>
      </c>
      <c r="G12034">
        <v>3</v>
      </c>
      <c r="H12034">
        <v>1</v>
      </c>
      <c r="I12034">
        <v>319</v>
      </c>
      <c r="J12034">
        <v>1</v>
      </c>
      <c r="K12034">
        <v>1</v>
      </c>
      <c r="L12034">
        <v>322</v>
      </c>
      <c r="M12034">
        <v>1</v>
      </c>
      <c r="N12034">
        <v>8.3958099999999998E-148</v>
      </c>
      <c r="O12034">
        <v>1339</v>
      </c>
    </row>
    <row r="12035" spans="1:15" x14ac:dyDescent="0.25">
      <c r="A12035" t="s">
        <v>12048</v>
      </c>
      <c r="B12035">
        <v>576</v>
      </c>
      <c r="C12035" s="1" t="str">
        <f>HYPERLINK("http://www.rosaceae.org/gb/gbrowse/malus_x_domestica/?name=MDP0000245441","MDP0000245441")</f>
        <v>MDP0000245441</v>
      </c>
      <c r="D12035">
        <v>72.3</v>
      </c>
      <c r="E12035">
        <v>455</v>
      </c>
      <c r="F12035">
        <v>126</v>
      </c>
      <c r="G12035">
        <v>38</v>
      </c>
      <c r="H12035">
        <v>21</v>
      </c>
      <c r="I12035">
        <v>472</v>
      </c>
      <c r="J12035">
        <v>1</v>
      </c>
      <c r="K12035">
        <v>1</v>
      </c>
      <c r="L12035">
        <v>420</v>
      </c>
      <c r="M12035">
        <v>1</v>
      </c>
      <c r="N12035">
        <v>4.8901199999999998E-175</v>
      </c>
      <c r="O12035">
        <v>1577</v>
      </c>
    </row>
    <row r="12036" spans="1:15" x14ac:dyDescent="0.25">
      <c r="A12036" t="s">
        <v>12049</v>
      </c>
      <c r="B12036">
        <v>94</v>
      </c>
      <c r="C12036" s="1" t="str">
        <f>HYPERLINK("http://www.rosaceae.org/gb/gbrowse/malus_x_domestica/?name=MDP0000120324","MDP0000120324")</f>
        <v>MDP0000120324</v>
      </c>
      <c r="D12036">
        <v>64.58</v>
      </c>
      <c r="E12036">
        <v>96</v>
      </c>
      <c r="F12036">
        <v>34</v>
      </c>
      <c r="G12036">
        <v>3</v>
      </c>
      <c r="H12036">
        <v>1</v>
      </c>
      <c r="I12036">
        <v>94</v>
      </c>
      <c r="J12036">
        <v>1</v>
      </c>
      <c r="K12036">
        <v>1</v>
      </c>
      <c r="L12036">
        <v>95</v>
      </c>
      <c r="M12036">
        <v>1</v>
      </c>
      <c r="N12036">
        <v>2.9891000000000002E-28</v>
      </c>
      <c r="O12036">
        <v>301</v>
      </c>
    </row>
    <row r="12037" spans="1:15" x14ac:dyDescent="0.25">
      <c r="A12037" t="s">
        <v>12050</v>
      </c>
      <c r="B12037">
        <v>312</v>
      </c>
      <c r="C12037" s="1" t="str">
        <f>HYPERLINK("http://www.rosaceae.org/gb/gbrowse/malus_x_domestica/?name=MDP0000202669","MDP0000202669")</f>
        <v>MDP0000202669</v>
      </c>
      <c r="D12037">
        <v>69.59</v>
      </c>
      <c r="E12037">
        <v>342</v>
      </c>
      <c r="F12037">
        <v>104</v>
      </c>
      <c r="G12037">
        <v>35</v>
      </c>
      <c r="H12037">
        <v>4</v>
      </c>
      <c r="I12037">
        <v>312</v>
      </c>
      <c r="J12037">
        <v>1</v>
      </c>
      <c r="K12037">
        <v>1</v>
      </c>
      <c r="L12037">
        <v>340</v>
      </c>
      <c r="M12037">
        <v>1</v>
      </c>
      <c r="N12037">
        <v>3.5966900000000001E-122</v>
      </c>
      <c r="O12037">
        <v>1118</v>
      </c>
    </row>
    <row r="12038" spans="1:15" x14ac:dyDescent="0.25">
      <c r="A12038" t="s">
        <v>12051</v>
      </c>
      <c r="B12038">
        <v>557</v>
      </c>
      <c r="C12038" s="1" t="str">
        <f>HYPERLINK("http://www.rosaceae.org/gb/gbrowse/malus_x_domestica/?name=MDP0000307862","MDP0000307862")</f>
        <v>MDP0000307862</v>
      </c>
      <c r="D12038">
        <v>34.549999999999997</v>
      </c>
      <c r="E12038">
        <v>437</v>
      </c>
      <c r="F12038">
        <v>286</v>
      </c>
      <c r="G12038">
        <v>72</v>
      </c>
      <c r="H12038">
        <v>21</v>
      </c>
      <c r="I12038">
        <v>417</v>
      </c>
      <c r="J12038">
        <v>1</v>
      </c>
      <c r="K12038">
        <v>974</v>
      </c>
      <c r="L12038">
        <v>1378</v>
      </c>
      <c r="M12038">
        <v>1</v>
      </c>
      <c r="N12038">
        <v>2.4134200000000001E-50</v>
      </c>
      <c r="O12038">
        <v>501</v>
      </c>
    </row>
    <row r="12039" spans="1:15" x14ac:dyDescent="0.25">
      <c r="A12039" t="s">
        <v>12052</v>
      </c>
      <c r="B12039">
        <v>161</v>
      </c>
      <c r="C12039" s="1" t="str">
        <f>HYPERLINK("http://www.rosaceae.org/gb/gbrowse/malus_x_domestica/?name=MDP0000140680","MDP0000140680")</f>
        <v>MDP0000140680</v>
      </c>
      <c r="D12039">
        <v>65.489999999999995</v>
      </c>
      <c r="E12039">
        <v>171</v>
      </c>
      <c r="F12039">
        <v>59</v>
      </c>
      <c r="G12039">
        <v>12</v>
      </c>
      <c r="H12039">
        <v>1</v>
      </c>
      <c r="I12039">
        <v>161</v>
      </c>
      <c r="J12039">
        <v>1</v>
      </c>
      <c r="K12039">
        <v>1</v>
      </c>
      <c r="L12039">
        <v>169</v>
      </c>
      <c r="M12039">
        <v>1</v>
      </c>
      <c r="N12039">
        <v>1.1928099999999999E-54</v>
      </c>
      <c r="O12039">
        <v>531</v>
      </c>
    </row>
    <row r="12040" spans="1:15" x14ac:dyDescent="0.25">
      <c r="A12040" t="s">
        <v>12053</v>
      </c>
      <c r="B12040">
        <v>197</v>
      </c>
      <c r="C12040" s="1" t="str">
        <f>HYPERLINK("http://www.rosaceae.org/gb/gbrowse/malus_x_domestica/?name=MDP0000171277","MDP0000171277")</f>
        <v>MDP0000171277</v>
      </c>
      <c r="D12040">
        <v>72.08</v>
      </c>
      <c r="E12040">
        <v>197</v>
      </c>
      <c r="F12040">
        <v>55</v>
      </c>
      <c r="G12040">
        <v>22</v>
      </c>
      <c r="H12040">
        <v>1</v>
      </c>
      <c r="I12040">
        <v>175</v>
      </c>
      <c r="J12040">
        <v>1</v>
      </c>
      <c r="K12040">
        <v>1</v>
      </c>
      <c r="L12040">
        <v>197</v>
      </c>
      <c r="M12040">
        <v>1</v>
      </c>
      <c r="N12040">
        <v>2.0109399999999999E-74</v>
      </c>
      <c r="O12040">
        <v>703</v>
      </c>
    </row>
    <row r="12041" spans="1:15" x14ac:dyDescent="0.25">
      <c r="A12041" t="s">
        <v>12054</v>
      </c>
      <c r="B12041">
        <v>177</v>
      </c>
      <c r="C12041" s="1" t="str">
        <f>HYPERLINK("http://www.rosaceae.org/gb/gbrowse/malus_x_domestica/?name=MDP0000240886","MDP0000240886")</f>
        <v>MDP0000240886</v>
      </c>
      <c r="D12041">
        <v>75.540000000000006</v>
      </c>
      <c r="E12041">
        <v>184</v>
      </c>
      <c r="F12041">
        <v>45</v>
      </c>
      <c r="G12041">
        <v>9</v>
      </c>
      <c r="H12041">
        <v>1</v>
      </c>
      <c r="I12041">
        <v>177</v>
      </c>
      <c r="J12041">
        <v>1</v>
      </c>
      <c r="K12041">
        <v>1</v>
      </c>
      <c r="L12041">
        <v>182</v>
      </c>
      <c r="M12041">
        <v>1</v>
      </c>
      <c r="N12041">
        <v>2.1319099999999999E-71</v>
      </c>
      <c r="O12041">
        <v>676</v>
      </c>
    </row>
    <row r="12042" spans="1:15" x14ac:dyDescent="0.25">
      <c r="A12042" t="s">
        <v>12055</v>
      </c>
      <c r="B12042">
        <v>281</v>
      </c>
      <c r="C12042" s="1" t="str">
        <f>HYPERLINK("http://www.rosaceae.org/gb/gbrowse/malus_x_domestica/?name=MDP0000245245","MDP0000245245")</f>
        <v>MDP0000245245</v>
      </c>
      <c r="D12042">
        <v>65.540000000000006</v>
      </c>
      <c r="E12042">
        <v>328</v>
      </c>
      <c r="F12042">
        <v>113</v>
      </c>
      <c r="G12042">
        <v>51</v>
      </c>
      <c r="H12042">
        <v>1</v>
      </c>
      <c r="I12042">
        <v>277</v>
      </c>
      <c r="J12042">
        <v>1</v>
      </c>
      <c r="K12042">
        <v>191</v>
      </c>
      <c r="L12042">
        <v>518</v>
      </c>
      <c r="M12042">
        <v>1</v>
      </c>
      <c r="N12042">
        <v>5.6314100000000003E-126</v>
      </c>
      <c r="O12042">
        <v>1150</v>
      </c>
    </row>
    <row r="12043" spans="1:15" x14ac:dyDescent="0.25">
      <c r="A12043" t="s">
        <v>12056</v>
      </c>
      <c r="B12043">
        <v>486</v>
      </c>
      <c r="C12043" s="1" t="str">
        <f>HYPERLINK("http://www.rosaceae.org/gb/gbrowse/malus_x_domestica/?name=MDP0000795740","MDP0000795740")</f>
        <v>MDP0000795740</v>
      </c>
      <c r="D12043">
        <v>76.319999999999993</v>
      </c>
      <c r="E12043">
        <v>245</v>
      </c>
      <c r="F12043">
        <v>58</v>
      </c>
      <c r="G12043">
        <v>4</v>
      </c>
      <c r="H12043">
        <v>246</v>
      </c>
      <c r="I12043">
        <v>486</v>
      </c>
      <c r="J12043">
        <v>1</v>
      </c>
      <c r="K12043">
        <v>3</v>
      </c>
      <c r="L12043">
        <v>247</v>
      </c>
      <c r="M12043">
        <v>1</v>
      </c>
      <c r="N12043">
        <v>2.2553199999999999E-107</v>
      </c>
      <c r="O12043">
        <v>992</v>
      </c>
    </row>
    <row r="12044" spans="1:15" x14ac:dyDescent="0.25">
      <c r="A12044" t="s">
        <v>12057</v>
      </c>
      <c r="B12044">
        <v>142</v>
      </c>
      <c r="C12044" s="1" t="str">
        <f>HYPERLINK("http://www.rosaceae.org/gb/gbrowse/malus_x_domestica/?name=MDP0000613184","MDP0000613184")</f>
        <v>MDP0000613184</v>
      </c>
      <c r="D12044">
        <v>38.01</v>
      </c>
      <c r="E12044">
        <v>121</v>
      </c>
      <c r="F12044">
        <v>75</v>
      </c>
      <c r="G12044">
        <v>16</v>
      </c>
      <c r="H12044">
        <v>7</v>
      </c>
      <c r="I12044">
        <v>118</v>
      </c>
      <c r="J12044">
        <v>1</v>
      </c>
      <c r="K12044">
        <v>6</v>
      </c>
      <c r="L12044">
        <v>119</v>
      </c>
      <c r="M12044">
        <v>1</v>
      </c>
      <c r="N12044">
        <v>1.7314100000000001E-11</v>
      </c>
      <c r="O12044">
        <v>158</v>
      </c>
    </row>
    <row r="12045" spans="1:15" x14ac:dyDescent="0.25">
      <c r="A12045" t="s">
        <v>12058</v>
      </c>
      <c r="B12045">
        <v>199</v>
      </c>
      <c r="C12045" s="1" t="str">
        <f>HYPERLINK("http://www.rosaceae.org/gb/gbrowse/malus_x_domestica/?name=MDP0000187420","MDP0000187420")</f>
        <v>MDP0000187420</v>
      </c>
      <c r="D12045">
        <v>71.91</v>
      </c>
      <c r="E12045">
        <v>146</v>
      </c>
      <c r="F12045">
        <v>41</v>
      </c>
      <c r="G12045">
        <v>2</v>
      </c>
      <c r="H12045">
        <v>56</v>
      </c>
      <c r="I12045">
        <v>199</v>
      </c>
      <c r="J12045">
        <v>1</v>
      </c>
      <c r="K12045">
        <v>98</v>
      </c>
      <c r="L12045">
        <v>243</v>
      </c>
      <c r="M12045">
        <v>1</v>
      </c>
      <c r="N12045">
        <v>2.0629000000000001E-55</v>
      </c>
      <c r="O12045">
        <v>539</v>
      </c>
    </row>
    <row r="12046" spans="1:15" x14ac:dyDescent="0.25">
      <c r="A12046" t="s">
        <v>12059</v>
      </c>
      <c r="B12046">
        <v>191</v>
      </c>
      <c r="C12046" s="1" t="str">
        <f>HYPERLINK("http://www.rosaceae.org/gb/gbrowse/malus_x_domestica/?name=MDP0000185125","MDP0000185125")</f>
        <v>MDP0000185125</v>
      </c>
      <c r="D12046">
        <v>32.950000000000003</v>
      </c>
      <c r="E12046">
        <v>88</v>
      </c>
      <c r="F12046">
        <v>59</v>
      </c>
      <c r="G12046">
        <v>9</v>
      </c>
      <c r="H12046">
        <v>79</v>
      </c>
      <c r="I12046">
        <v>157</v>
      </c>
      <c r="J12046">
        <v>1</v>
      </c>
      <c r="K12046">
        <v>125</v>
      </c>
      <c r="L12046">
        <v>212</v>
      </c>
      <c r="M12046">
        <v>1</v>
      </c>
      <c r="N12046">
        <v>4.7373199999999999E-11</v>
      </c>
      <c r="O12046">
        <v>157</v>
      </c>
    </row>
    <row r="12047" spans="1:15" x14ac:dyDescent="0.25">
      <c r="A12047" t="s">
        <v>12060</v>
      </c>
      <c r="B12047">
        <v>283</v>
      </c>
      <c r="C12047" s="1" t="str">
        <f>HYPERLINK("http://www.rosaceae.org/gb/gbrowse/malus_x_domestica/?name=MDP0000647619","MDP0000647619")</f>
        <v>MDP0000647619</v>
      </c>
      <c r="D12047">
        <v>69.349999999999994</v>
      </c>
      <c r="E12047">
        <v>62</v>
      </c>
      <c r="F12047">
        <v>19</v>
      </c>
      <c r="G12047">
        <v>0</v>
      </c>
      <c r="H12047">
        <v>17</v>
      </c>
      <c r="I12047">
        <v>78</v>
      </c>
      <c r="J12047">
        <v>1</v>
      </c>
      <c r="K12047">
        <v>264</v>
      </c>
      <c r="L12047">
        <v>325</v>
      </c>
      <c r="M12047">
        <v>1</v>
      </c>
      <c r="N12047">
        <v>4.49606E-20</v>
      </c>
      <c r="O12047">
        <v>237</v>
      </c>
    </row>
    <row r="12048" spans="1:15" x14ac:dyDescent="0.25">
      <c r="A12048" t="s">
        <v>12061</v>
      </c>
      <c r="B12048">
        <v>799</v>
      </c>
      <c r="C12048" s="1" t="str">
        <f>HYPERLINK("http://www.rosaceae.org/gb/gbrowse/malus_x_domestica/?name=MDP0000263137","MDP0000263137")</f>
        <v>MDP0000263137</v>
      </c>
      <c r="D12048">
        <v>54.02</v>
      </c>
      <c r="E12048">
        <v>385</v>
      </c>
      <c r="F12048">
        <v>177</v>
      </c>
      <c r="G12048">
        <v>5</v>
      </c>
      <c r="H12048">
        <v>417</v>
      </c>
      <c r="I12048">
        <v>799</v>
      </c>
      <c r="J12048">
        <v>1</v>
      </c>
      <c r="K12048">
        <v>19</v>
      </c>
      <c r="L12048">
        <v>400</v>
      </c>
      <c r="M12048">
        <v>1</v>
      </c>
      <c r="N12048">
        <v>1.13393E-119</v>
      </c>
      <c r="O12048">
        <v>1101</v>
      </c>
    </row>
    <row r="12049" spans="1:15" x14ac:dyDescent="0.25">
      <c r="A12049" t="s">
        <v>12062</v>
      </c>
      <c r="B12049">
        <v>939</v>
      </c>
      <c r="C12049" s="1" t="str">
        <f>HYPERLINK("http://www.rosaceae.org/gb/gbrowse/malus_x_domestica/?name=MDP0000467552","MDP0000467552")</f>
        <v>MDP0000467552</v>
      </c>
      <c r="D12049">
        <v>56.36</v>
      </c>
      <c r="E12049">
        <v>275</v>
      </c>
      <c r="F12049">
        <v>120</v>
      </c>
      <c r="G12049">
        <v>39</v>
      </c>
      <c r="H12049">
        <v>586</v>
      </c>
      <c r="I12049">
        <v>840</v>
      </c>
      <c r="J12049">
        <v>1</v>
      </c>
      <c r="K12049">
        <v>80</v>
      </c>
      <c r="L12049">
        <v>335</v>
      </c>
      <c r="M12049">
        <v>1</v>
      </c>
      <c r="N12049">
        <v>1.421E-78</v>
      </c>
      <c r="O12049">
        <v>747</v>
      </c>
    </row>
    <row r="12050" spans="1:15" x14ac:dyDescent="0.25">
      <c r="A12050" t="s">
        <v>12063</v>
      </c>
      <c r="B12050">
        <v>884</v>
      </c>
      <c r="C12050" s="1" t="str">
        <f>HYPERLINK("http://www.rosaceae.org/gb/gbrowse/malus_x_domestica/?name=MDP0000258116","MDP0000258116")</f>
        <v>MDP0000258116</v>
      </c>
      <c r="D12050">
        <v>64.510000000000005</v>
      </c>
      <c r="E12050">
        <v>310</v>
      </c>
      <c r="F12050">
        <v>110</v>
      </c>
      <c r="G12050">
        <v>1</v>
      </c>
      <c r="H12050">
        <v>574</v>
      </c>
      <c r="I12050">
        <v>883</v>
      </c>
      <c r="J12050">
        <v>1</v>
      </c>
      <c r="K12050">
        <v>25</v>
      </c>
      <c r="L12050">
        <v>333</v>
      </c>
      <c r="M12050">
        <v>1</v>
      </c>
      <c r="N12050">
        <v>5.2166400000000004E-121</v>
      </c>
      <c r="O12050">
        <v>1113</v>
      </c>
    </row>
    <row r="12051" spans="1:15" x14ac:dyDescent="0.25">
      <c r="A12051" t="s">
        <v>12064</v>
      </c>
      <c r="B12051">
        <v>92</v>
      </c>
      <c r="C12051" s="1" t="str">
        <f>HYPERLINK("http://www.rosaceae.org/gb/gbrowse/malus_x_domestica/?name=MDP0000863013","MDP0000863013")</f>
        <v>MDP0000863013</v>
      </c>
      <c r="D12051">
        <v>67.39</v>
      </c>
      <c r="E12051">
        <v>46</v>
      </c>
      <c r="F12051">
        <v>15</v>
      </c>
      <c r="G12051">
        <v>0</v>
      </c>
      <c r="H12051">
        <v>1</v>
      </c>
      <c r="I12051">
        <v>46</v>
      </c>
      <c r="J12051">
        <v>1</v>
      </c>
      <c r="K12051">
        <v>1</v>
      </c>
      <c r="L12051">
        <v>46</v>
      </c>
      <c r="M12051">
        <v>1</v>
      </c>
      <c r="N12051">
        <v>9.9665199999999998E-12</v>
      </c>
      <c r="O12051">
        <v>159</v>
      </c>
    </row>
    <row r="12052" spans="1:15" x14ac:dyDescent="0.25">
      <c r="A12052" t="s">
        <v>12065</v>
      </c>
      <c r="B12052">
        <v>92</v>
      </c>
      <c r="C12052" s="1" t="str">
        <f>HYPERLINK("http://www.rosaceae.org/gb/gbrowse/malus_x_domestica/?name=MDP0000174754","MDP0000174754")</f>
        <v>MDP0000174754</v>
      </c>
      <c r="D12052">
        <v>38.21</v>
      </c>
      <c r="E12052">
        <v>123</v>
      </c>
      <c r="F12052">
        <v>76</v>
      </c>
      <c r="G12052">
        <v>40</v>
      </c>
      <c r="H12052">
        <v>5</v>
      </c>
      <c r="I12052">
        <v>91</v>
      </c>
      <c r="J12052">
        <v>1</v>
      </c>
      <c r="K12052">
        <v>112</v>
      </c>
      <c r="L12052">
        <v>230</v>
      </c>
      <c r="M12052">
        <v>1</v>
      </c>
      <c r="N12052">
        <v>8.7184500000000001E-13</v>
      </c>
      <c r="O12052">
        <v>168</v>
      </c>
    </row>
    <row r="12053" spans="1:15" x14ac:dyDescent="0.25">
      <c r="A12053" t="s">
        <v>12066</v>
      </c>
      <c r="B12053">
        <v>746</v>
      </c>
      <c r="C12053" s="1" t="str">
        <f>HYPERLINK("http://www.rosaceae.org/gb/gbrowse/malus_x_domestica/?name=MDP0000280042","MDP0000280042")</f>
        <v>MDP0000280042</v>
      </c>
      <c r="D12053">
        <v>67.08</v>
      </c>
      <c r="E12053">
        <v>802</v>
      </c>
      <c r="F12053">
        <v>264</v>
      </c>
      <c r="G12053">
        <v>96</v>
      </c>
      <c r="H12053">
        <v>1</v>
      </c>
      <c r="I12053">
        <v>746</v>
      </c>
      <c r="J12053">
        <v>1</v>
      </c>
      <c r="K12053">
        <v>1</v>
      </c>
      <c r="L12053">
        <v>762</v>
      </c>
      <c r="M12053">
        <v>1</v>
      </c>
      <c r="N12053">
        <v>0</v>
      </c>
      <c r="O12053">
        <v>2661</v>
      </c>
    </row>
    <row r="12054" spans="1:15" x14ac:dyDescent="0.25">
      <c r="A12054" t="s">
        <v>12067</v>
      </c>
      <c r="B12054">
        <v>396</v>
      </c>
      <c r="C12054" s="1" t="str">
        <f>HYPERLINK("http://www.rosaceae.org/gb/gbrowse/malus_x_domestica/?name=MDP0000230833","MDP0000230833")</f>
        <v>MDP0000230833</v>
      </c>
      <c r="D12054">
        <v>47.69</v>
      </c>
      <c r="E12054">
        <v>325</v>
      </c>
      <c r="F12054">
        <v>170</v>
      </c>
      <c r="G12054">
        <v>9</v>
      </c>
      <c r="H12054">
        <v>80</v>
      </c>
      <c r="I12054">
        <v>396</v>
      </c>
      <c r="J12054">
        <v>1</v>
      </c>
      <c r="K12054">
        <v>568</v>
      </c>
      <c r="L12054">
        <v>891</v>
      </c>
      <c r="M12054">
        <v>1</v>
      </c>
      <c r="N12054">
        <v>1.02647E-70</v>
      </c>
      <c r="O12054">
        <v>675</v>
      </c>
    </row>
    <row r="12055" spans="1:15" x14ac:dyDescent="0.25">
      <c r="A12055" t="s">
        <v>12068</v>
      </c>
      <c r="B12055">
        <v>437</v>
      </c>
      <c r="C12055" s="1" t="str">
        <f>HYPERLINK("http://www.rosaceae.org/gb/gbrowse/malus_x_domestica/?name=MDP0000286971","MDP0000286971")</f>
        <v>MDP0000286971</v>
      </c>
      <c r="D12055">
        <v>55.97</v>
      </c>
      <c r="E12055">
        <v>477</v>
      </c>
      <c r="F12055">
        <v>210</v>
      </c>
      <c r="G12055">
        <v>98</v>
      </c>
      <c r="H12055">
        <v>1</v>
      </c>
      <c r="I12055">
        <v>437</v>
      </c>
      <c r="J12055">
        <v>1</v>
      </c>
      <c r="K12055">
        <v>895</v>
      </c>
      <c r="L12055">
        <v>1313</v>
      </c>
      <c r="M12055">
        <v>1</v>
      </c>
      <c r="N12055">
        <v>4.9986999999999999E-131</v>
      </c>
      <c r="O12055">
        <v>1196</v>
      </c>
    </row>
    <row r="12056" spans="1:15" x14ac:dyDescent="0.25">
      <c r="A12056" t="s">
        <v>12069</v>
      </c>
      <c r="B12056">
        <v>319</v>
      </c>
      <c r="C12056" s="1" t="str">
        <f>HYPERLINK("http://www.rosaceae.org/gb/gbrowse/malus_x_domestica/?name=MDP0000234319","MDP0000234319")</f>
        <v>MDP0000234319</v>
      </c>
      <c r="D12056">
        <v>78.510000000000005</v>
      </c>
      <c r="E12056">
        <v>270</v>
      </c>
      <c r="F12056">
        <v>58</v>
      </c>
      <c r="G12056">
        <v>11</v>
      </c>
      <c r="H12056">
        <v>1</v>
      </c>
      <c r="I12056">
        <v>269</v>
      </c>
      <c r="J12056">
        <v>1</v>
      </c>
      <c r="K12056">
        <v>1</v>
      </c>
      <c r="L12056">
        <v>260</v>
      </c>
      <c r="M12056">
        <v>1</v>
      </c>
      <c r="N12056">
        <v>9.2297000000000005E-122</v>
      </c>
      <c r="O12056">
        <v>1114</v>
      </c>
    </row>
    <row r="12057" spans="1:15" x14ac:dyDescent="0.25">
      <c r="A12057" t="s">
        <v>12070</v>
      </c>
      <c r="B12057">
        <v>316</v>
      </c>
      <c r="C12057" s="1" t="str">
        <f>HYPERLINK("http://www.rosaceae.org/gb/gbrowse/malus_x_domestica/?name=MDP0000273574","MDP0000273574")</f>
        <v>MDP0000273574</v>
      </c>
      <c r="D12057">
        <v>73.2</v>
      </c>
      <c r="E12057">
        <v>306</v>
      </c>
      <c r="F12057">
        <v>82</v>
      </c>
      <c r="G12057">
        <v>15</v>
      </c>
      <c r="H12057">
        <v>16</v>
      </c>
      <c r="I12057">
        <v>310</v>
      </c>
      <c r="J12057">
        <v>1</v>
      </c>
      <c r="K12057">
        <v>5</v>
      </c>
      <c r="L12057">
        <v>306</v>
      </c>
      <c r="M12057">
        <v>1</v>
      </c>
      <c r="N12057">
        <v>1.1411199999999999E-118</v>
      </c>
      <c r="O12057">
        <v>1088</v>
      </c>
    </row>
    <row r="12058" spans="1:15" x14ac:dyDescent="0.25">
      <c r="A12058" t="s">
        <v>12071</v>
      </c>
      <c r="B12058">
        <v>524</v>
      </c>
      <c r="C12058" s="1" t="str">
        <f>HYPERLINK("http://www.rosaceae.org/gb/gbrowse/malus_x_domestica/?name=MDP0000291077","MDP0000291077")</f>
        <v>MDP0000291077</v>
      </c>
      <c r="D12058">
        <v>84.9</v>
      </c>
      <c r="E12058">
        <v>477</v>
      </c>
      <c r="F12058">
        <v>72</v>
      </c>
      <c r="G12058">
        <v>0</v>
      </c>
      <c r="H12058">
        <v>48</v>
      </c>
      <c r="I12058">
        <v>524</v>
      </c>
      <c r="J12058">
        <v>1</v>
      </c>
      <c r="K12058">
        <v>33</v>
      </c>
      <c r="L12058">
        <v>509</v>
      </c>
      <c r="M12058">
        <v>1</v>
      </c>
      <c r="N12058">
        <v>0</v>
      </c>
      <c r="O12058">
        <v>2255</v>
      </c>
    </row>
    <row r="12059" spans="1:15" x14ac:dyDescent="0.25">
      <c r="A12059" t="s">
        <v>12072</v>
      </c>
      <c r="B12059">
        <v>831</v>
      </c>
      <c r="C12059" s="1" t="str">
        <f>HYPERLINK("http://www.rosaceae.org/gb/gbrowse/malus_x_domestica/?name=MDP0000158037","MDP0000158037")</f>
        <v>MDP0000158037</v>
      </c>
      <c r="D12059">
        <v>77.209999999999994</v>
      </c>
      <c r="E12059">
        <v>768</v>
      </c>
      <c r="F12059">
        <v>175</v>
      </c>
      <c r="G12059">
        <v>24</v>
      </c>
      <c r="H12059">
        <v>87</v>
      </c>
      <c r="I12059">
        <v>831</v>
      </c>
      <c r="J12059">
        <v>1</v>
      </c>
      <c r="K12059">
        <v>1</v>
      </c>
      <c r="L12059">
        <v>767</v>
      </c>
      <c r="M12059">
        <v>1</v>
      </c>
      <c r="N12059">
        <v>0</v>
      </c>
      <c r="O12059">
        <v>2958</v>
      </c>
    </row>
    <row r="12060" spans="1:15" x14ac:dyDescent="0.25">
      <c r="A12060" t="s">
        <v>12073</v>
      </c>
      <c r="B12060">
        <v>229</v>
      </c>
      <c r="C12060" s="1" t="str">
        <f>HYPERLINK("http://www.rosaceae.org/gb/gbrowse/malus_x_domestica/?name=MDP0000247921","MDP0000247921")</f>
        <v>MDP0000247921</v>
      </c>
      <c r="D12060">
        <v>36.869999999999997</v>
      </c>
      <c r="E12060">
        <v>141</v>
      </c>
      <c r="F12060">
        <v>89</v>
      </c>
      <c r="G12060">
        <v>3</v>
      </c>
      <c r="H12060">
        <v>25</v>
      </c>
      <c r="I12060">
        <v>162</v>
      </c>
      <c r="J12060">
        <v>1</v>
      </c>
      <c r="K12060">
        <v>604</v>
      </c>
      <c r="L12060">
        <v>744</v>
      </c>
      <c r="M12060">
        <v>1</v>
      </c>
      <c r="N12060">
        <v>9.3115200000000001E-21</v>
      </c>
      <c r="O12060">
        <v>241</v>
      </c>
    </row>
    <row r="12061" spans="1:15" x14ac:dyDescent="0.25">
      <c r="A12061" t="s">
        <v>12074</v>
      </c>
      <c r="B12061">
        <v>210</v>
      </c>
      <c r="C12061" s="1" t="str">
        <f>HYPERLINK("http://www.rosaceae.org/gb/gbrowse/malus_x_domestica/?name=MDP0000127625","MDP0000127625")</f>
        <v>MDP0000127625</v>
      </c>
      <c r="D12061">
        <v>31.95</v>
      </c>
      <c r="E12061">
        <v>194</v>
      </c>
      <c r="F12061">
        <v>132</v>
      </c>
      <c r="G12061">
        <v>7</v>
      </c>
      <c r="H12061">
        <v>1</v>
      </c>
      <c r="I12061">
        <v>192</v>
      </c>
      <c r="J12061">
        <v>1</v>
      </c>
      <c r="K12061">
        <v>392</v>
      </c>
      <c r="L12061">
        <v>580</v>
      </c>
      <c r="M12061">
        <v>1</v>
      </c>
      <c r="N12061">
        <v>2.3976799999999998E-22</v>
      </c>
      <c r="O12061">
        <v>255</v>
      </c>
    </row>
    <row r="12062" spans="1:15" x14ac:dyDescent="0.25">
      <c r="A12062" t="s">
        <v>12075</v>
      </c>
      <c r="B12062">
        <v>1144</v>
      </c>
      <c r="C12062" s="1" t="str">
        <f>HYPERLINK("http://www.rosaceae.org/gb/gbrowse/malus_x_domestica/?name=MDP0000166922","MDP0000166922")</f>
        <v>MDP0000166922</v>
      </c>
      <c r="D12062">
        <v>75.459999999999994</v>
      </c>
      <c r="E12062">
        <v>1084</v>
      </c>
      <c r="F12062">
        <v>266</v>
      </c>
      <c r="G12062">
        <v>66</v>
      </c>
      <c r="H12062">
        <v>72</v>
      </c>
      <c r="I12062">
        <v>1144</v>
      </c>
      <c r="J12062">
        <v>1</v>
      </c>
      <c r="K12062">
        <v>3</v>
      </c>
      <c r="L12062">
        <v>1031</v>
      </c>
      <c r="M12062">
        <v>1</v>
      </c>
      <c r="N12062">
        <v>0</v>
      </c>
      <c r="O12062">
        <v>4244</v>
      </c>
    </row>
    <row r="12063" spans="1:15" x14ac:dyDescent="0.25">
      <c r="A12063" t="s">
        <v>12076</v>
      </c>
      <c r="B12063">
        <v>577</v>
      </c>
      <c r="C12063" s="1" t="str">
        <f>HYPERLINK("http://www.rosaceae.org/gb/gbrowse/malus_x_domestica/?name=MDP0000318606","MDP0000318606")</f>
        <v>MDP0000318606</v>
      </c>
      <c r="D12063">
        <v>52.11</v>
      </c>
      <c r="E12063">
        <v>497</v>
      </c>
      <c r="F12063">
        <v>238</v>
      </c>
      <c r="G12063">
        <v>35</v>
      </c>
      <c r="H12063">
        <v>67</v>
      </c>
      <c r="I12063">
        <v>556</v>
      </c>
      <c r="J12063">
        <v>1</v>
      </c>
      <c r="K12063">
        <v>92</v>
      </c>
      <c r="L12063">
        <v>560</v>
      </c>
      <c r="M12063">
        <v>1</v>
      </c>
      <c r="N12063">
        <v>3.6012400000000001E-144</v>
      </c>
      <c r="O12063">
        <v>1310</v>
      </c>
    </row>
    <row r="12064" spans="1:15" x14ac:dyDescent="0.25">
      <c r="A12064" t="s">
        <v>12077</v>
      </c>
      <c r="B12064">
        <v>367</v>
      </c>
      <c r="C12064" s="1" t="str">
        <f>HYPERLINK("http://www.rosaceae.org/gb/gbrowse/malus_x_domestica/?name=MDP0000322036","MDP0000322036")</f>
        <v>MDP0000322036</v>
      </c>
      <c r="D12064">
        <v>32.9</v>
      </c>
      <c r="E12064">
        <v>310</v>
      </c>
      <c r="F12064">
        <v>208</v>
      </c>
      <c r="G12064">
        <v>44</v>
      </c>
      <c r="H12064">
        <v>27</v>
      </c>
      <c r="I12064">
        <v>334</v>
      </c>
      <c r="J12064">
        <v>1</v>
      </c>
      <c r="K12064">
        <v>86</v>
      </c>
      <c r="L12064">
        <v>353</v>
      </c>
      <c r="M12064">
        <v>1</v>
      </c>
      <c r="N12064">
        <v>2.8500399999999998E-38</v>
      </c>
      <c r="O12064">
        <v>395</v>
      </c>
    </row>
    <row r="12065" spans="1:15" x14ac:dyDescent="0.25">
      <c r="A12065" t="s">
        <v>12078</v>
      </c>
      <c r="B12065">
        <v>309</v>
      </c>
      <c r="C12065" s="1" t="str">
        <f>HYPERLINK("http://www.rosaceae.org/gb/gbrowse/malus_x_domestica/?name=MDP0000541993","MDP0000541993")</f>
        <v>MDP0000541993</v>
      </c>
      <c r="D12065">
        <v>33.090000000000003</v>
      </c>
      <c r="E12065">
        <v>139</v>
      </c>
      <c r="F12065">
        <v>93</v>
      </c>
      <c r="G12065">
        <v>10</v>
      </c>
      <c r="H12065">
        <v>26</v>
      </c>
      <c r="I12065">
        <v>162</v>
      </c>
      <c r="J12065">
        <v>1</v>
      </c>
      <c r="K12065">
        <v>17</v>
      </c>
      <c r="L12065">
        <v>147</v>
      </c>
      <c r="M12065">
        <v>1</v>
      </c>
      <c r="N12065">
        <v>4.3221000000000001E-14</v>
      </c>
      <c r="O12065">
        <v>186</v>
      </c>
    </row>
    <row r="12066" spans="1:15" x14ac:dyDescent="0.25">
      <c r="A12066" t="s">
        <v>12079</v>
      </c>
      <c r="B12066">
        <v>1759</v>
      </c>
      <c r="C12066" s="1" t="str">
        <f>HYPERLINK("http://www.rosaceae.org/gb/gbrowse/malus_x_domestica/?name=MDP0000276010","MDP0000276010")</f>
        <v>MDP0000276010</v>
      </c>
      <c r="D12066">
        <v>63.84</v>
      </c>
      <c r="E12066">
        <v>1784</v>
      </c>
      <c r="F12066">
        <v>645</v>
      </c>
      <c r="G12066">
        <v>87</v>
      </c>
      <c r="H12066">
        <v>1</v>
      </c>
      <c r="I12066">
        <v>1754</v>
      </c>
      <c r="J12066">
        <v>1</v>
      </c>
      <c r="K12066">
        <v>84</v>
      </c>
      <c r="L12066">
        <v>1810</v>
      </c>
      <c r="M12066">
        <v>1</v>
      </c>
      <c r="N12066">
        <v>0</v>
      </c>
      <c r="O12066">
        <v>5446</v>
      </c>
    </row>
    <row r="12067" spans="1:15" x14ac:dyDescent="0.25">
      <c r="A12067" t="s">
        <v>12080</v>
      </c>
      <c r="B12067">
        <v>162</v>
      </c>
      <c r="C12067" s="1" t="str">
        <f>HYPERLINK("http://www.rosaceae.org/gb/gbrowse/malus_x_domestica/?name=MDP0000251148","MDP0000251148")</f>
        <v>MDP0000251148</v>
      </c>
      <c r="D12067">
        <v>76.400000000000006</v>
      </c>
      <c r="E12067">
        <v>89</v>
      </c>
      <c r="F12067">
        <v>21</v>
      </c>
      <c r="G12067">
        <v>3</v>
      </c>
      <c r="H12067">
        <v>14</v>
      </c>
      <c r="I12067">
        <v>102</v>
      </c>
      <c r="J12067">
        <v>1</v>
      </c>
      <c r="K12067">
        <v>34</v>
      </c>
      <c r="L12067">
        <v>119</v>
      </c>
      <c r="M12067">
        <v>1</v>
      </c>
      <c r="N12067">
        <v>2.3989199999999999E-27</v>
      </c>
      <c r="O12067">
        <v>296</v>
      </c>
    </row>
    <row r="12068" spans="1:15" x14ac:dyDescent="0.25">
      <c r="A12068" t="s">
        <v>12081</v>
      </c>
      <c r="B12068">
        <v>738</v>
      </c>
      <c r="C12068" s="1" t="str">
        <f>HYPERLINK("http://www.rosaceae.org/gb/gbrowse/malus_x_domestica/?name=MDP0000831483","MDP0000831483")</f>
        <v>MDP0000831483</v>
      </c>
      <c r="D12068">
        <v>53.57</v>
      </c>
      <c r="E12068">
        <v>713</v>
      </c>
      <c r="F12068">
        <v>331</v>
      </c>
      <c r="G12068">
        <v>19</v>
      </c>
      <c r="H12068">
        <v>1</v>
      </c>
      <c r="I12068">
        <v>708</v>
      </c>
      <c r="J12068">
        <v>1</v>
      </c>
      <c r="K12068">
        <v>1</v>
      </c>
      <c r="L12068">
        <v>699</v>
      </c>
      <c r="M12068">
        <v>1</v>
      </c>
      <c r="N12068">
        <v>0</v>
      </c>
      <c r="O12068">
        <v>1721</v>
      </c>
    </row>
    <row r="12069" spans="1:15" x14ac:dyDescent="0.25">
      <c r="A12069" t="s">
        <v>12082</v>
      </c>
      <c r="B12069">
        <v>708</v>
      </c>
      <c r="C12069" s="1" t="str">
        <f>HYPERLINK("http://www.rosaceae.org/gb/gbrowse/malus_x_domestica/?name=MDP0000255141","MDP0000255141")</f>
        <v>MDP0000255141</v>
      </c>
      <c r="D12069">
        <v>56.31</v>
      </c>
      <c r="E12069">
        <v>499</v>
      </c>
      <c r="F12069">
        <v>218</v>
      </c>
      <c r="G12069">
        <v>57</v>
      </c>
      <c r="H12069">
        <v>248</v>
      </c>
      <c r="I12069">
        <v>708</v>
      </c>
      <c r="J12069">
        <v>1</v>
      </c>
      <c r="K12069">
        <v>175</v>
      </c>
      <c r="L12069">
        <v>654</v>
      </c>
      <c r="M12069">
        <v>1</v>
      </c>
      <c r="N12069">
        <v>3.6688599999999998E-145</v>
      </c>
      <c r="O12069">
        <v>1320</v>
      </c>
    </row>
    <row r="12070" spans="1:15" x14ac:dyDescent="0.25">
      <c r="A12070" t="s">
        <v>12083</v>
      </c>
      <c r="B12070">
        <v>389</v>
      </c>
      <c r="C12070" s="1" t="str">
        <f>HYPERLINK("http://www.rosaceae.org/gb/gbrowse/malus_x_domestica/?name=MDP0000128950","MDP0000128950")</f>
        <v>MDP0000128950</v>
      </c>
      <c r="D12070">
        <v>39.18</v>
      </c>
      <c r="E12070">
        <v>393</v>
      </c>
      <c r="F12070">
        <v>239</v>
      </c>
      <c r="G12070">
        <v>53</v>
      </c>
      <c r="H12070">
        <v>29</v>
      </c>
      <c r="I12070">
        <v>385</v>
      </c>
      <c r="J12070">
        <v>1</v>
      </c>
      <c r="K12070">
        <v>3</v>
      </c>
      <c r="L12070">
        <v>378</v>
      </c>
      <c r="M12070">
        <v>1</v>
      </c>
      <c r="N12070">
        <v>1.2912E-54</v>
      </c>
      <c r="O12070">
        <v>536</v>
      </c>
    </row>
    <row r="12071" spans="1:15" x14ac:dyDescent="0.25">
      <c r="A12071" t="s">
        <v>12084</v>
      </c>
      <c r="B12071">
        <v>372</v>
      </c>
      <c r="C12071" s="1" t="str">
        <f>HYPERLINK("http://www.rosaceae.org/gb/gbrowse/malus_x_domestica/?name=MDP0000136032","MDP0000136032")</f>
        <v>MDP0000136032</v>
      </c>
      <c r="D12071">
        <v>71.23</v>
      </c>
      <c r="E12071">
        <v>372</v>
      </c>
      <c r="F12071">
        <v>107</v>
      </c>
      <c r="G12071">
        <v>3</v>
      </c>
      <c r="H12071">
        <v>1</v>
      </c>
      <c r="I12071">
        <v>372</v>
      </c>
      <c r="J12071">
        <v>1</v>
      </c>
      <c r="K12071">
        <v>3</v>
      </c>
      <c r="L12071">
        <v>371</v>
      </c>
      <c r="M12071">
        <v>1</v>
      </c>
      <c r="N12071">
        <v>6.4131300000000001E-155</v>
      </c>
      <c r="O12071">
        <v>1401</v>
      </c>
    </row>
    <row r="12072" spans="1:15" x14ac:dyDescent="0.25">
      <c r="A12072" t="s">
        <v>12085</v>
      </c>
      <c r="B12072">
        <v>452</v>
      </c>
      <c r="C12072" s="1" t="str">
        <f>HYPERLINK("http://www.rosaceae.org/gb/gbrowse/malus_x_domestica/?name=MDP0000173539","MDP0000173539")</f>
        <v>MDP0000173539</v>
      </c>
      <c r="D12072">
        <v>70.540000000000006</v>
      </c>
      <c r="E12072">
        <v>455</v>
      </c>
      <c r="F12072">
        <v>134</v>
      </c>
      <c r="G12072">
        <v>5</v>
      </c>
      <c r="H12072">
        <v>1</v>
      </c>
      <c r="I12072">
        <v>451</v>
      </c>
      <c r="J12072">
        <v>1</v>
      </c>
      <c r="K12072">
        <v>4</v>
      </c>
      <c r="L12072">
        <v>457</v>
      </c>
      <c r="M12072">
        <v>1</v>
      </c>
      <c r="N12072">
        <v>0</v>
      </c>
      <c r="O12072">
        <v>1694</v>
      </c>
    </row>
    <row r="12073" spans="1:15" x14ac:dyDescent="0.25">
      <c r="A12073" t="s">
        <v>12086</v>
      </c>
      <c r="B12073">
        <v>685</v>
      </c>
      <c r="C12073" s="1" t="str">
        <f>HYPERLINK("http://www.rosaceae.org/gb/gbrowse/malus_x_domestica/?name=MDP0000303179","MDP0000303179")</f>
        <v>MDP0000303179</v>
      </c>
      <c r="D12073">
        <v>73.39</v>
      </c>
      <c r="E12073">
        <v>684</v>
      </c>
      <c r="F12073">
        <v>182</v>
      </c>
      <c r="G12073">
        <v>25</v>
      </c>
      <c r="H12073">
        <v>1</v>
      </c>
      <c r="I12073">
        <v>677</v>
      </c>
      <c r="J12073">
        <v>1</v>
      </c>
      <c r="K12073">
        <v>1</v>
      </c>
      <c r="L12073">
        <v>666</v>
      </c>
      <c r="M12073">
        <v>1</v>
      </c>
      <c r="N12073">
        <v>0</v>
      </c>
      <c r="O12073">
        <v>2494</v>
      </c>
    </row>
    <row r="12074" spans="1:15" x14ac:dyDescent="0.25">
      <c r="A12074" t="s">
        <v>12087</v>
      </c>
      <c r="B12074">
        <v>275</v>
      </c>
      <c r="C12074" s="1" t="str">
        <f>HYPERLINK("http://www.rosaceae.org/gb/gbrowse/malus_x_domestica/?name=MDP0000181936","MDP0000181936")</f>
        <v>MDP0000181936</v>
      </c>
      <c r="D12074">
        <v>46.71</v>
      </c>
      <c r="E12074">
        <v>259</v>
      </c>
      <c r="F12074">
        <v>138</v>
      </c>
      <c r="G12074">
        <v>22</v>
      </c>
      <c r="H12074">
        <v>31</v>
      </c>
      <c r="I12074">
        <v>270</v>
      </c>
      <c r="J12074">
        <v>1</v>
      </c>
      <c r="K12074">
        <v>35</v>
      </c>
      <c r="L12074">
        <v>290</v>
      </c>
      <c r="M12074">
        <v>1</v>
      </c>
      <c r="N12074">
        <v>2.2876200000000001E-65</v>
      </c>
      <c r="O12074">
        <v>627</v>
      </c>
    </row>
    <row r="12075" spans="1:15" x14ac:dyDescent="0.25">
      <c r="A12075" t="s">
        <v>12088</v>
      </c>
      <c r="B12075">
        <v>246</v>
      </c>
      <c r="C12075" s="1" t="str">
        <f>HYPERLINK("http://www.rosaceae.org/gb/gbrowse/malus_x_domestica/?name=MDP0000894322","MDP0000894322")</f>
        <v>MDP0000894322</v>
      </c>
      <c r="D12075">
        <v>92.4</v>
      </c>
      <c r="E12075">
        <v>237</v>
      </c>
      <c r="F12075">
        <v>18</v>
      </c>
      <c r="G12075">
        <v>0</v>
      </c>
      <c r="H12075">
        <v>10</v>
      </c>
      <c r="I12075">
        <v>246</v>
      </c>
      <c r="J12075">
        <v>1</v>
      </c>
      <c r="K12075">
        <v>140</v>
      </c>
      <c r="L12075">
        <v>376</v>
      </c>
      <c r="M12075">
        <v>1</v>
      </c>
      <c r="N12075">
        <v>1.3749899999999999E-131</v>
      </c>
      <c r="O12075">
        <v>1198</v>
      </c>
    </row>
    <row r="12076" spans="1:15" x14ac:dyDescent="0.25">
      <c r="A12076" t="s">
        <v>12089</v>
      </c>
      <c r="B12076">
        <v>270</v>
      </c>
      <c r="C12076" s="1" t="str">
        <f>HYPERLINK("http://www.rosaceae.org/gb/gbrowse/malus_x_domestica/?name=MDP0000228627","MDP0000228627")</f>
        <v>MDP0000228627</v>
      </c>
      <c r="D12076">
        <v>58.95</v>
      </c>
      <c r="E12076">
        <v>173</v>
      </c>
      <c r="F12076">
        <v>71</v>
      </c>
      <c r="G12076">
        <v>1</v>
      </c>
      <c r="H12076">
        <v>95</v>
      </c>
      <c r="I12076">
        <v>266</v>
      </c>
      <c r="J12076">
        <v>1</v>
      </c>
      <c r="K12076">
        <v>28</v>
      </c>
      <c r="L12076">
        <v>200</v>
      </c>
      <c r="M12076">
        <v>1</v>
      </c>
      <c r="N12076">
        <v>2.5697199999999999E-52</v>
      </c>
      <c r="O12076">
        <v>515</v>
      </c>
    </row>
    <row r="12077" spans="1:15" x14ac:dyDescent="0.25">
      <c r="A12077" t="s">
        <v>12090</v>
      </c>
      <c r="B12077">
        <v>237</v>
      </c>
      <c r="C12077" s="1" t="str">
        <f>HYPERLINK("http://www.rosaceae.org/gb/gbrowse/malus_x_domestica/?name=MDP0000145448","MDP0000145448")</f>
        <v>MDP0000145448</v>
      </c>
      <c r="D12077">
        <v>62.24</v>
      </c>
      <c r="E12077">
        <v>241</v>
      </c>
      <c r="F12077">
        <v>91</v>
      </c>
      <c r="G12077">
        <v>10</v>
      </c>
      <c r="H12077">
        <v>1</v>
      </c>
      <c r="I12077">
        <v>237</v>
      </c>
      <c r="J12077">
        <v>1</v>
      </c>
      <c r="K12077">
        <v>1</v>
      </c>
      <c r="L12077">
        <v>235</v>
      </c>
      <c r="M12077">
        <v>1</v>
      </c>
      <c r="N12077">
        <v>3.2934900000000001E-72</v>
      </c>
      <c r="O12077">
        <v>685</v>
      </c>
    </row>
    <row r="12078" spans="1:15" x14ac:dyDescent="0.25">
      <c r="A12078" t="s">
        <v>12091</v>
      </c>
      <c r="B12078">
        <v>261</v>
      </c>
      <c r="C12078" s="1" t="str">
        <f>HYPERLINK("http://www.rosaceae.org/gb/gbrowse/malus_x_domestica/?name=MDP0000487715","MDP0000487715")</f>
        <v>MDP0000487715</v>
      </c>
      <c r="D12078">
        <v>62.8</v>
      </c>
      <c r="E12078">
        <v>250</v>
      </c>
      <c r="F12078">
        <v>93</v>
      </c>
      <c r="G12078">
        <v>10</v>
      </c>
      <c r="H12078">
        <v>17</v>
      </c>
      <c r="I12078">
        <v>256</v>
      </c>
      <c r="J12078">
        <v>1</v>
      </c>
      <c r="K12078">
        <v>369</v>
      </c>
      <c r="L12078">
        <v>618</v>
      </c>
      <c r="M12078">
        <v>1</v>
      </c>
      <c r="N12078">
        <v>3.7612300000000002E-79</v>
      </c>
      <c r="O12078">
        <v>746</v>
      </c>
    </row>
    <row r="12079" spans="1:15" x14ac:dyDescent="0.25">
      <c r="A12079" t="s">
        <v>12092</v>
      </c>
      <c r="B12079">
        <v>247</v>
      </c>
      <c r="C12079" s="1" t="str">
        <f>HYPERLINK("http://www.rosaceae.org/gb/gbrowse/malus_x_domestica/?name=MDP0000231692","MDP0000231692")</f>
        <v>MDP0000231692</v>
      </c>
      <c r="D12079">
        <v>53.55</v>
      </c>
      <c r="E12079">
        <v>183</v>
      </c>
      <c r="F12079">
        <v>85</v>
      </c>
      <c r="G12079">
        <v>49</v>
      </c>
      <c r="H12079">
        <v>1</v>
      </c>
      <c r="I12079">
        <v>134</v>
      </c>
      <c r="J12079">
        <v>1</v>
      </c>
      <c r="K12079">
        <v>1</v>
      </c>
      <c r="L12079">
        <v>183</v>
      </c>
      <c r="M12079">
        <v>1</v>
      </c>
      <c r="N12079">
        <v>4.2128200000000004E-34</v>
      </c>
      <c r="O12079">
        <v>357</v>
      </c>
    </row>
    <row r="12080" spans="1:15" x14ac:dyDescent="0.25">
      <c r="A12080" t="s">
        <v>12093</v>
      </c>
      <c r="B12080">
        <v>293</v>
      </c>
      <c r="C12080" s="1" t="str">
        <f>HYPERLINK("http://www.rosaceae.org/gb/gbrowse/malus_x_domestica/?name=MDP0000286203","MDP0000286203")</f>
        <v>MDP0000286203</v>
      </c>
      <c r="D12080">
        <v>59.01</v>
      </c>
      <c r="E12080">
        <v>305</v>
      </c>
      <c r="F12080">
        <v>125</v>
      </c>
      <c r="G12080">
        <v>17</v>
      </c>
      <c r="H12080">
        <v>2</v>
      </c>
      <c r="I12080">
        <v>292</v>
      </c>
      <c r="J12080">
        <v>1</v>
      </c>
      <c r="K12080">
        <v>14</v>
      </c>
      <c r="L12080">
        <v>315</v>
      </c>
      <c r="M12080">
        <v>1</v>
      </c>
      <c r="N12080">
        <v>3.3210999999999998E-97</v>
      </c>
      <c r="O12080">
        <v>902</v>
      </c>
    </row>
    <row r="12081" spans="1:15" x14ac:dyDescent="0.25">
      <c r="A12081" t="s">
        <v>12094</v>
      </c>
      <c r="B12081">
        <v>280</v>
      </c>
      <c r="C12081" s="1" t="str">
        <f>HYPERLINK("http://www.rosaceae.org/gb/gbrowse/malus_x_domestica/?name=MDP0000163690","MDP0000163690")</f>
        <v>MDP0000163690</v>
      </c>
      <c r="D12081">
        <v>48.71</v>
      </c>
      <c r="E12081">
        <v>273</v>
      </c>
      <c r="F12081">
        <v>140</v>
      </c>
      <c r="G12081">
        <v>52</v>
      </c>
      <c r="H12081">
        <v>17</v>
      </c>
      <c r="I12081">
        <v>280</v>
      </c>
      <c r="J12081">
        <v>1</v>
      </c>
      <c r="K12081">
        <v>8</v>
      </c>
      <c r="L12081">
        <v>237</v>
      </c>
      <c r="M12081">
        <v>1</v>
      </c>
      <c r="N12081">
        <v>2.7580799999999998E-65</v>
      </c>
      <c r="O12081">
        <v>627</v>
      </c>
    </row>
    <row r="12082" spans="1:15" x14ac:dyDescent="0.25">
      <c r="A12082" t="s">
        <v>12095</v>
      </c>
      <c r="B12082">
        <v>409</v>
      </c>
      <c r="C12082" s="1" t="str">
        <f>HYPERLINK("http://www.rosaceae.org/gb/gbrowse/malus_x_domestica/?name=MDP0000181681","MDP0000181681")</f>
        <v>MDP0000181681</v>
      </c>
      <c r="D12082">
        <v>50.54</v>
      </c>
      <c r="E12082">
        <v>368</v>
      </c>
      <c r="F12082">
        <v>182</v>
      </c>
      <c r="G12082">
        <v>21</v>
      </c>
      <c r="H12082">
        <v>30</v>
      </c>
      <c r="I12082">
        <v>383</v>
      </c>
      <c r="J12082">
        <v>1</v>
      </c>
      <c r="K12082">
        <v>29</v>
      </c>
      <c r="L12082">
        <v>389</v>
      </c>
      <c r="M12082">
        <v>1</v>
      </c>
      <c r="N12082">
        <v>7.8511100000000005E-82</v>
      </c>
      <c r="O12082">
        <v>771</v>
      </c>
    </row>
    <row r="12083" spans="1:15" x14ac:dyDescent="0.25">
      <c r="A12083" t="s">
        <v>12096</v>
      </c>
      <c r="B12083">
        <v>150</v>
      </c>
      <c r="C12083" s="1" t="str">
        <f>HYPERLINK("http://www.rosaceae.org/gb/gbrowse/malus_x_domestica/?name=MDP0000165833","MDP0000165833")</f>
        <v>MDP0000165833</v>
      </c>
      <c r="D12083">
        <v>46.15</v>
      </c>
      <c r="E12083">
        <v>104</v>
      </c>
      <c r="F12083">
        <v>56</v>
      </c>
      <c r="G12083">
        <v>1</v>
      </c>
      <c r="H12083">
        <v>47</v>
      </c>
      <c r="I12083">
        <v>149</v>
      </c>
      <c r="J12083">
        <v>1</v>
      </c>
      <c r="K12083">
        <v>493</v>
      </c>
      <c r="L12083">
        <v>596</v>
      </c>
      <c r="M12083">
        <v>1</v>
      </c>
      <c r="N12083">
        <v>6.9322100000000003E-20</v>
      </c>
      <c r="O12083">
        <v>231</v>
      </c>
    </row>
    <row r="12084" spans="1:15" x14ac:dyDescent="0.25">
      <c r="A12084" t="s">
        <v>12097</v>
      </c>
      <c r="B12084">
        <v>206</v>
      </c>
      <c r="C12084" s="1" t="str">
        <f>HYPERLINK("http://www.rosaceae.org/gb/gbrowse/malus_x_domestica/?name=MDP0000700517","MDP0000700517")</f>
        <v>MDP0000700517</v>
      </c>
      <c r="D12084">
        <v>28.5</v>
      </c>
      <c r="E12084">
        <v>207</v>
      </c>
      <c r="F12084">
        <v>148</v>
      </c>
      <c r="G12084">
        <v>6</v>
      </c>
      <c r="H12084">
        <v>6</v>
      </c>
      <c r="I12084">
        <v>206</v>
      </c>
      <c r="J12084">
        <v>1</v>
      </c>
      <c r="K12084">
        <v>91</v>
      </c>
      <c r="L12084">
        <v>297</v>
      </c>
      <c r="M12084">
        <v>1</v>
      </c>
      <c r="N12084">
        <v>2.16391E-19</v>
      </c>
      <c r="O12084">
        <v>229</v>
      </c>
    </row>
    <row r="12085" spans="1:15" x14ac:dyDescent="0.25">
      <c r="A12085" t="s">
        <v>12098</v>
      </c>
      <c r="B12085">
        <v>172</v>
      </c>
      <c r="C12085" s="1" t="str">
        <f>HYPERLINK("http://www.rosaceae.org/gb/gbrowse/malus_x_domestica/?name=MDP0000805095","MDP0000805095")</f>
        <v>MDP0000805095</v>
      </c>
      <c r="D12085">
        <v>39.6</v>
      </c>
      <c r="E12085">
        <v>101</v>
      </c>
      <c r="F12085">
        <v>61</v>
      </c>
      <c r="G12085">
        <v>14</v>
      </c>
      <c r="H12085">
        <v>83</v>
      </c>
      <c r="I12085">
        <v>169</v>
      </c>
      <c r="J12085">
        <v>1</v>
      </c>
      <c r="K12085">
        <v>36</v>
      </c>
      <c r="L12085">
        <v>136</v>
      </c>
      <c r="M12085">
        <v>1</v>
      </c>
      <c r="N12085">
        <v>4.7204500000000001E-14</v>
      </c>
      <c r="O12085">
        <v>182</v>
      </c>
    </row>
    <row r="12086" spans="1:15" x14ac:dyDescent="0.25">
      <c r="A12086" t="s">
        <v>12099</v>
      </c>
      <c r="B12086">
        <v>1382</v>
      </c>
      <c r="C12086" s="1" t="str">
        <f>HYPERLINK("http://www.rosaceae.org/gb/gbrowse/malus_x_domestica/?name=MDP0000287519","MDP0000287519")</f>
        <v>MDP0000287519</v>
      </c>
      <c r="D12086">
        <v>39.39</v>
      </c>
      <c r="E12086">
        <v>231</v>
      </c>
      <c r="F12086">
        <v>140</v>
      </c>
      <c r="G12086">
        <v>8</v>
      </c>
      <c r="H12086">
        <v>452</v>
      </c>
      <c r="I12086">
        <v>682</v>
      </c>
      <c r="J12086">
        <v>1</v>
      </c>
      <c r="K12086">
        <v>15</v>
      </c>
      <c r="L12086">
        <v>237</v>
      </c>
      <c r="M12086">
        <v>1</v>
      </c>
      <c r="N12086">
        <v>2.0360700000000002E-40</v>
      </c>
      <c r="O12086">
        <v>419</v>
      </c>
    </row>
    <row r="12087" spans="1:15" x14ac:dyDescent="0.25">
      <c r="A12087" t="s">
        <v>12100</v>
      </c>
      <c r="B12087">
        <v>235</v>
      </c>
      <c r="C12087" s="1" t="str">
        <f>HYPERLINK("http://www.rosaceae.org/gb/gbrowse/malus_x_domestica/?name=MDP0000700517","MDP0000700517")</f>
        <v>MDP0000700517</v>
      </c>
      <c r="D12087">
        <v>27.93</v>
      </c>
      <c r="E12087">
        <v>179</v>
      </c>
      <c r="F12087">
        <v>129</v>
      </c>
      <c r="G12087">
        <v>6</v>
      </c>
      <c r="H12087">
        <v>54</v>
      </c>
      <c r="I12087">
        <v>226</v>
      </c>
      <c r="J12087">
        <v>1</v>
      </c>
      <c r="K12087">
        <v>126</v>
      </c>
      <c r="L12087">
        <v>304</v>
      </c>
      <c r="M12087">
        <v>1</v>
      </c>
      <c r="N12087">
        <v>5.67029E-18</v>
      </c>
      <c r="O12087">
        <v>218</v>
      </c>
    </row>
    <row r="12088" spans="1:15" x14ac:dyDescent="0.25">
      <c r="A12088" t="s">
        <v>12101</v>
      </c>
      <c r="B12088">
        <v>272</v>
      </c>
      <c r="C12088" s="1" t="str">
        <f>HYPERLINK("http://www.rosaceae.org/gb/gbrowse/malus_x_domestica/?name=MDP0000220135","MDP0000220135")</f>
        <v>MDP0000220135</v>
      </c>
      <c r="D12088">
        <v>33.65</v>
      </c>
      <c r="E12088">
        <v>104</v>
      </c>
      <c r="F12088">
        <v>69</v>
      </c>
      <c r="G12088">
        <v>0</v>
      </c>
      <c r="H12088">
        <v>13</v>
      </c>
      <c r="I12088">
        <v>116</v>
      </c>
      <c r="J12088">
        <v>1</v>
      </c>
      <c r="K12088">
        <v>172</v>
      </c>
      <c r="L12088">
        <v>275</v>
      </c>
      <c r="M12088">
        <v>1</v>
      </c>
      <c r="N12088">
        <v>2.8587299999999999E-13</v>
      </c>
      <c r="O12088">
        <v>178</v>
      </c>
    </row>
    <row r="12089" spans="1:15" x14ac:dyDescent="0.25">
      <c r="A12089" t="s">
        <v>12102</v>
      </c>
      <c r="B12089">
        <v>729</v>
      </c>
      <c r="C12089" s="1" t="str">
        <f>HYPERLINK("http://www.rosaceae.org/gb/gbrowse/malus_x_domestica/?name=MDP0000188344","MDP0000188344")</f>
        <v>MDP0000188344</v>
      </c>
      <c r="D12089">
        <v>44.53</v>
      </c>
      <c r="E12089">
        <v>119</v>
      </c>
      <c r="F12089">
        <v>66</v>
      </c>
      <c r="G12089">
        <v>6</v>
      </c>
      <c r="H12089">
        <v>400</v>
      </c>
      <c r="I12089">
        <v>515</v>
      </c>
      <c r="J12089">
        <v>1</v>
      </c>
      <c r="K12089">
        <v>42</v>
      </c>
      <c r="L12089">
        <v>157</v>
      </c>
      <c r="M12089">
        <v>1</v>
      </c>
      <c r="N12089">
        <v>1.7535399999999999E-19</v>
      </c>
      <c r="O12089">
        <v>236</v>
      </c>
    </row>
    <row r="12090" spans="1:15" x14ac:dyDescent="0.25">
      <c r="A12090" t="s">
        <v>12103</v>
      </c>
      <c r="B12090">
        <v>258</v>
      </c>
      <c r="C12090" s="1" t="str">
        <f>HYPERLINK("http://www.rosaceae.org/gb/gbrowse/malus_x_domestica/?name=MDP0000405179","MDP0000405179")</f>
        <v>MDP0000405179</v>
      </c>
      <c r="D12090">
        <v>60</v>
      </c>
      <c r="E12090">
        <v>170</v>
      </c>
      <c r="F12090">
        <v>68</v>
      </c>
      <c r="G12090">
        <v>4</v>
      </c>
      <c r="H12090">
        <v>17</v>
      </c>
      <c r="I12090">
        <v>185</v>
      </c>
      <c r="J12090">
        <v>1</v>
      </c>
      <c r="K12090">
        <v>243</v>
      </c>
      <c r="L12090">
        <v>409</v>
      </c>
      <c r="M12090">
        <v>1</v>
      </c>
      <c r="N12090">
        <v>6.73233E-49</v>
      </c>
      <c r="O12090">
        <v>485</v>
      </c>
    </row>
    <row r="12091" spans="1:15" x14ac:dyDescent="0.25">
      <c r="A12091" t="s">
        <v>12104</v>
      </c>
      <c r="B12091">
        <v>462</v>
      </c>
      <c r="C12091" s="1" t="str">
        <f>HYPERLINK("http://www.rosaceae.org/gb/gbrowse/malus_x_domestica/?name=MDP0000231555","MDP0000231555")</f>
        <v>MDP0000231555</v>
      </c>
      <c r="D12091">
        <v>80.27</v>
      </c>
      <c r="E12091">
        <v>370</v>
      </c>
      <c r="F12091">
        <v>73</v>
      </c>
      <c r="G12091">
        <v>27</v>
      </c>
      <c r="H12091">
        <v>72</v>
      </c>
      <c r="I12091">
        <v>414</v>
      </c>
      <c r="J12091">
        <v>1</v>
      </c>
      <c r="K12091">
        <v>69</v>
      </c>
      <c r="L12091">
        <v>438</v>
      </c>
      <c r="M12091">
        <v>1</v>
      </c>
      <c r="N12091">
        <v>2.4886100000000001E-175</v>
      </c>
      <c r="O12091">
        <v>1578</v>
      </c>
    </row>
    <row r="12092" spans="1:15" x14ac:dyDescent="0.25">
      <c r="A12092" t="s">
        <v>12105</v>
      </c>
      <c r="B12092">
        <v>110</v>
      </c>
      <c r="C12092" s="1" t="str">
        <f>HYPERLINK("http://www.rosaceae.org/gb/gbrowse/malus_x_domestica/?name=MDP0000257116","MDP0000257116")</f>
        <v>MDP0000257116</v>
      </c>
      <c r="D12092">
        <v>61.46</v>
      </c>
      <c r="E12092">
        <v>109</v>
      </c>
      <c r="F12092">
        <v>42</v>
      </c>
      <c r="G12092">
        <v>5</v>
      </c>
      <c r="H12092">
        <v>1</v>
      </c>
      <c r="I12092">
        <v>105</v>
      </c>
      <c r="J12092">
        <v>1</v>
      </c>
      <c r="K12092">
        <v>20</v>
      </c>
      <c r="L12092">
        <v>127</v>
      </c>
      <c r="M12092">
        <v>1</v>
      </c>
      <c r="N12092">
        <v>1.0962499999999999E-33</v>
      </c>
      <c r="O12092">
        <v>348</v>
      </c>
    </row>
    <row r="12093" spans="1:15" x14ac:dyDescent="0.25">
      <c r="A12093" t="s">
        <v>12106</v>
      </c>
      <c r="B12093">
        <v>379</v>
      </c>
      <c r="C12093" s="1" t="str">
        <f>HYPERLINK("http://www.rosaceae.org/gb/gbrowse/malus_x_domestica/?name=MDP0000137665","MDP0000137665")</f>
        <v>MDP0000137665</v>
      </c>
      <c r="D12093">
        <v>81.19</v>
      </c>
      <c r="E12093">
        <v>351</v>
      </c>
      <c r="F12093">
        <v>66</v>
      </c>
      <c r="G12093">
        <v>7</v>
      </c>
      <c r="H12093">
        <v>1</v>
      </c>
      <c r="I12093">
        <v>349</v>
      </c>
      <c r="J12093">
        <v>1</v>
      </c>
      <c r="K12093">
        <v>1</v>
      </c>
      <c r="L12093">
        <v>346</v>
      </c>
      <c r="M12093">
        <v>1</v>
      </c>
      <c r="N12093">
        <v>1.7875799999999999E-161</v>
      </c>
      <c r="O12093">
        <v>1458</v>
      </c>
    </row>
    <row r="12094" spans="1:15" x14ac:dyDescent="0.25">
      <c r="A12094" t="s">
        <v>12107</v>
      </c>
      <c r="B12094">
        <v>92</v>
      </c>
      <c r="C12094" s="1" t="str">
        <f>HYPERLINK("http://www.rosaceae.org/gb/gbrowse/malus_x_domestica/?name=MDP0000124728","MDP0000124728")</f>
        <v>MDP0000124728</v>
      </c>
      <c r="D12094">
        <v>83.69</v>
      </c>
      <c r="E12094">
        <v>92</v>
      </c>
      <c r="F12094">
        <v>15</v>
      </c>
      <c r="G12094">
        <v>0</v>
      </c>
      <c r="H12094">
        <v>1</v>
      </c>
      <c r="I12094">
        <v>92</v>
      </c>
      <c r="J12094">
        <v>1</v>
      </c>
      <c r="K12094">
        <v>1</v>
      </c>
      <c r="L12094">
        <v>92</v>
      </c>
      <c r="M12094">
        <v>1</v>
      </c>
      <c r="N12094">
        <v>3.0988900000000001E-41</v>
      </c>
      <c r="O12094">
        <v>413</v>
      </c>
    </row>
    <row r="12095" spans="1:15" x14ac:dyDescent="0.25">
      <c r="A12095" t="s">
        <v>12108</v>
      </c>
      <c r="B12095">
        <v>127</v>
      </c>
      <c r="C12095" s="1" t="str">
        <f>HYPERLINK("http://www.rosaceae.org/gb/gbrowse/malus_x_domestica/?name=MDP0000325582","MDP0000325582")</f>
        <v>MDP0000325582</v>
      </c>
      <c r="D12095">
        <v>69.040000000000006</v>
      </c>
      <c r="E12095">
        <v>126</v>
      </c>
      <c r="F12095">
        <v>39</v>
      </c>
      <c r="G12095">
        <v>3</v>
      </c>
      <c r="H12095">
        <v>3</v>
      </c>
      <c r="I12095">
        <v>127</v>
      </c>
      <c r="J12095">
        <v>1</v>
      </c>
      <c r="K12095">
        <v>37</v>
      </c>
      <c r="L12095">
        <v>160</v>
      </c>
      <c r="M12095">
        <v>1</v>
      </c>
      <c r="N12095">
        <v>1.20735E-43</v>
      </c>
      <c r="O12095">
        <v>434</v>
      </c>
    </row>
    <row r="12096" spans="1:15" x14ac:dyDescent="0.25">
      <c r="A12096" t="s">
        <v>12109</v>
      </c>
      <c r="B12096">
        <v>270</v>
      </c>
      <c r="C12096" s="1" t="str">
        <f>HYPERLINK("http://www.rosaceae.org/gb/gbrowse/malus_x_domestica/?name=MDP0000299496","MDP0000299496")</f>
        <v>MDP0000299496</v>
      </c>
      <c r="D12096">
        <v>46.85</v>
      </c>
      <c r="E12096">
        <v>143</v>
      </c>
      <c r="F12096">
        <v>76</v>
      </c>
      <c r="G12096">
        <v>0</v>
      </c>
      <c r="H12096">
        <v>128</v>
      </c>
      <c r="I12096">
        <v>270</v>
      </c>
      <c r="J12096">
        <v>1</v>
      </c>
      <c r="K12096">
        <v>446</v>
      </c>
      <c r="L12096">
        <v>588</v>
      </c>
      <c r="M12096">
        <v>1</v>
      </c>
      <c r="N12096">
        <v>2.1855100000000001E-35</v>
      </c>
      <c r="O12096">
        <v>369</v>
      </c>
    </row>
    <row r="12097" spans="1:15" x14ac:dyDescent="0.25">
      <c r="A12097" t="s">
        <v>12110</v>
      </c>
      <c r="B12097">
        <v>895</v>
      </c>
      <c r="C12097" s="1" t="str">
        <f>HYPERLINK("http://www.rosaceae.org/gb/gbrowse/malus_x_domestica/?name=MDP0000228271","MDP0000228271")</f>
        <v>MDP0000228271</v>
      </c>
      <c r="D12097">
        <v>78.150000000000006</v>
      </c>
      <c r="E12097">
        <v>325</v>
      </c>
      <c r="F12097">
        <v>71</v>
      </c>
      <c r="G12097">
        <v>7</v>
      </c>
      <c r="H12097">
        <v>136</v>
      </c>
      <c r="I12097">
        <v>457</v>
      </c>
      <c r="J12097">
        <v>1</v>
      </c>
      <c r="K12097">
        <v>187</v>
      </c>
      <c r="L12097">
        <v>507</v>
      </c>
      <c r="M12097">
        <v>1</v>
      </c>
      <c r="N12097">
        <v>3.1294599999999997E-148</v>
      </c>
      <c r="O12097">
        <v>1347</v>
      </c>
    </row>
    <row r="12098" spans="1:15" x14ac:dyDescent="0.25">
      <c r="A12098" t="s">
        <v>12111</v>
      </c>
      <c r="B12098">
        <v>383</v>
      </c>
      <c r="C12098" s="1" t="str">
        <f>HYPERLINK("http://www.rosaceae.org/gb/gbrowse/malus_x_domestica/?name=MDP0000939633","MDP0000939633")</f>
        <v>MDP0000939633</v>
      </c>
      <c r="D12098">
        <v>73.150000000000006</v>
      </c>
      <c r="E12098">
        <v>380</v>
      </c>
      <c r="F12098">
        <v>102</v>
      </c>
      <c r="G12098">
        <v>45</v>
      </c>
      <c r="H12098">
        <v>37</v>
      </c>
      <c r="I12098">
        <v>383</v>
      </c>
      <c r="J12098">
        <v>1</v>
      </c>
      <c r="K12098">
        <v>34</v>
      </c>
      <c r="L12098">
        <v>401</v>
      </c>
      <c r="M12098">
        <v>1</v>
      </c>
      <c r="N12098">
        <v>4.4558800000000004E-140</v>
      </c>
      <c r="O12098">
        <v>1273</v>
      </c>
    </row>
    <row r="12099" spans="1:15" x14ac:dyDescent="0.25">
      <c r="A12099" t="s">
        <v>12112</v>
      </c>
      <c r="B12099">
        <v>388</v>
      </c>
      <c r="C12099" s="1" t="str">
        <f>HYPERLINK("http://www.rosaceae.org/gb/gbrowse/malus_x_domestica/?name=MDP0000775603","MDP0000775603")</f>
        <v>MDP0000775603</v>
      </c>
      <c r="D12099">
        <v>49.61</v>
      </c>
      <c r="E12099">
        <v>389</v>
      </c>
      <c r="F12099">
        <v>196</v>
      </c>
      <c r="G12099">
        <v>8</v>
      </c>
      <c r="H12099">
        <v>2</v>
      </c>
      <c r="I12099">
        <v>388</v>
      </c>
      <c r="J12099">
        <v>1</v>
      </c>
      <c r="K12099">
        <v>29</v>
      </c>
      <c r="L12099">
        <v>411</v>
      </c>
      <c r="M12099">
        <v>1</v>
      </c>
      <c r="N12099">
        <v>3.6696799999999999E-94</v>
      </c>
      <c r="O12099">
        <v>877</v>
      </c>
    </row>
    <row r="12100" spans="1:15" x14ac:dyDescent="0.25">
      <c r="A12100" t="s">
        <v>12113</v>
      </c>
      <c r="B12100">
        <v>451</v>
      </c>
      <c r="C12100" s="1" t="str">
        <f>HYPERLINK("http://www.rosaceae.org/gb/gbrowse/malus_x_domestica/?name=MDP0000150270","MDP0000150270")</f>
        <v>MDP0000150270</v>
      </c>
      <c r="D12100">
        <v>66.37</v>
      </c>
      <c r="E12100">
        <v>452</v>
      </c>
      <c r="F12100">
        <v>152</v>
      </c>
      <c r="G12100">
        <v>62</v>
      </c>
      <c r="H12100">
        <v>1</v>
      </c>
      <c r="I12100">
        <v>451</v>
      </c>
      <c r="J12100">
        <v>1</v>
      </c>
      <c r="K12100">
        <v>1</v>
      </c>
      <c r="L12100">
        <v>391</v>
      </c>
      <c r="M12100">
        <v>1</v>
      </c>
      <c r="N12100">
        <v>1.1917E-160</v>
      </c>
      <c r="O12100">
        <v>1451</v>
      </c>
    </row>
    <row r="12101" spans="1:15" x14ac:dyDescent="0.25">
      <c r="A12101" t="s">
        <v>12114</v>
      </c>
      <c r="B12101">
        <v>386</v>
      </c>
      <c r="C12101" s="1" t="str">
        <f>HYPERLINK("http://www.rosaceae.org/gb/gbrowse/malus_x_domestica/?name=MDP0000153831","MDP0000153831")</f>
        <v>MDP0000153831</v>
      </c>
      <c r="D12101">
        <v>82.12</v>
      </c>
      <c r="E12101">
        <v>386</v>
      </c>
      <c r="F12101">
        <v>69</v>
      </c>
      <c r="G12101">
        <v>2</v>
      </c>
      <c r="H12101">
        <v>1</v>
      </c>
      <c r="I12101">
        <v>386</v>
      </c>
      <c r="J12101">
        <v>1</v>
      </c>
      <c r="K12101">
        <v>1</v>
      </c>
      <c r="L12101">
        <v>384</v>
      </c>
      <c r="M12101">
        <v>1</v>
      </c>
      <c r="N12101">
        <v>0</v>
      </c>
      <c r="O12101">
        <v>1695</v>
      </c>
    </row>
    <row r="12102" spans="1:15" x14ac:dyDescent="0.25">
      <c r="A12102" t="s">
        <v>12115</v>
      </c>
      <c r="B12102">
        <v>249</v>
      </c>
      <c r="C12102" s="1" t="str">
        <f>HYPERLINK("http://www.rosaceae.org/gb/gbrowse/malus_x_domestica/?name=MDP0000407448","MDP0000407448")</f>
        <v>MDP0000407448</v>
      </c>
      <c r="D12102">
        <v>49.39</v>
      </c>
      <c r="E12102">
        <v>249</v>
      </c>
      <c r="F12102">
        <v>126</v>
      </c>
      <c r="G12102">
        <v>4</v>
      </c>
      <c r="H12102">
        <v>1</v>
      </c>
      <c r="I12102">
        <v>249</v>
      </c>
      <c r="J12102">
        <v>1</v>
      </c>
      <c r="K12102">
        <v>1</v>
      </c>
      <c r="L12102">
        <v>245</v>
      </c>
      <c r="M12102">
        <v>1</v>
      </c>
      <c r="N12102">
        <v>2.44582E-57</v>
      </c>
      <c r="O12102">
        <v>557</v>
      </c>
    </row>
    <row r="12103" spans="1:15" x14ac:dyDescent="0.25">
      <c r="A12103" t="s">
        <v>12116</v>
      </c>
      <c r="B12103">
        <v>234</v>
      </c>
      <c r="C12103" s="1" t="str">
        <f>HYPERLINK("http://www.rosaceae.org/gb/gbrowse/malus_x_domestica/?name=MDP0000779376","MDP0000779376")</f>
        <v>MDP0000779376</v>
      </c>
      <c r="D12103">
        <v>35.15</v>
      </c>
      <c r="E12103">
        <v>219</v>
      </c>
      <c r="F12103">
        <v>142</v>
      </c>
      <c r="G12103">
        <v>23</v>
      </c>
      <c r="H12103">
        <v>4</v>
      </c>
      <c r="I12103">
        <v>209</v>
      </c>
      <c r="J12103">
        <v>1</v>
      </c>
      <c r="K12103">
        <v>24</v>
      </c>
      <c r="L12103">
        <v>232</v>
      </c>
      <c r="M12103">
        <v>1</v>
      </c>
      <c r="N12103">
        <v>2.3626100000000002E-19</v>
      </c>
      <c r="O12103">
        <v>229</v>
      </c>
    </row>
    <row r="12104" spans="1:15" x14ac:dyDescent="0.25">
      <c r="A12104" t="s">
        <v>12117</v>
      </c>
      <c r="B12104">
        <v>600</v>
      </c>
      <c r="C12104" s="1" t="str">
        <f>HYPERLINK("http://www.rosaceae.org/gb/gbrowse/malus_x_domestica/?name=MDP0000770037","MDP0000770037")</f>
        <v>MDP0000770037</v>
      </c>
      <c r="D12104">
        <v>45.45</v>
      </c>
      <c r="E12104">
        <v>374</v>
      </c>
      <c r="F12104">
        <v>204</v>
      </c>
      <c r="G12104">
        <v>68</v>
      </c>
      <c r="H12104">
        <v>74</v>
      </c>
      <c r="I12104">
        <v>396</v>
      </c>
      <c r="J12104">
        <v>1</v>
      </c>
      <c r="K12104">
        <v>739</v>
      </c>
      <c r="L12104">
        <v>1095</v>
      </c>
      <c r="M12104">
        <v>1</v>
      </c>
      <c r="N12104">
        <v>7.0369099999999998E-71</v>
      </c>
      <c r="O12104">
        <v>679</v>
      </c>
    </row>
    <row r="12105" spans="1:15" x14ac:dyDescent="0.25">
      <c r="A12105" t="s">
        <v>12118</v>
      </c>
      <c r="B12105">
        <v>494</v>
      </c>
      <c r="C12105" s="1" t="str">
        <f>HYPERLINK("http://www.rosaceae.org/gb/gbrowse/malus_x_domestica/?name=MDP0000839295","MDP0000839295")</f>
        <v>MDP0000839295</v>
      </c>
      <c r="D12105">
        <v>63.05</v>
      </c>
      <c r="E12105">
        <v>498</v>
      </c>
      <c r="F12105">
        <v>184</v>
      </c>
      <c r="G12105">
        <v>18</v>
      </c>
      <c r="H12105">
        <v>1</v>
      </c>
      <c r="I12105">
        <v>494</v>
      </c>
      <c r="J12105">
        <v>1</v>
      </c>
      <c r="K12105">
        <v>1</v>
      </c>
      <c r="L12105">
        <v>484</v>
      </c>
      <c r="M12105">
        <v>1</v>
      </c>
      <c r="N12105">
        <v>0</v>
      </c>
      <c r="O12105">
        <v>1668</v>
      </c>
    </row>
    <row r="12106" spans="1:15" x14ac:dyDescent="0.25">
      <c r="A12106" t="s">
        <v>12119</v>
      </c>
      <c r="B12106">
        <v>238</v>
      </c>
      <c r="C12106" s="1" t="str">
        <f>HYPERLINK("http://www.rosaceae.org/gb/gbrowse/malus_x_domestica/?name=MDP0000212336","MDP0000212336")</f>
        <v>MDP0000212336</v>
      </c>
      <c r="D12106">
        <v>57.6</v>
      </c>
      <c r="E12106">
        <v>184</v>
      </c>
      <c r="F12106">
        <v>78</v>
      </c>
      <c r="G12106">
        <v>17</v>
      </c>
      <c r="H12106">
        <v>8</v>
      </c>
      <c r="I12106">
        <v>175</v>
      </c>
      <c r="J12106">
        <v>1</v>
      </c>
      <c r="K12106">
        <v>1</v>
      </c>
      <c r="L12106">
        <v>183</v>
      </c>
      <c r="M12106">
        <v>1</v>
      </c>
      <c r="N12106">
        <v>1.06512E-48</v>
      </c>
      <c r="O12106">
        <v>483</v>
      </c>
    </row>
    <row r="12107" spans="1:15" x14ac:dyDescent="0.25">
      <c r="A12107" t="s">
        <v>12120</v>
      </c>
      <c r="B12107">
        <v>233</v>
      </c>
      <c r="C12107" s="1" t="str">
        <f>HYPERLINK("http://www.rosaceae.org/gb/gbrowse/malus_x_domestica/?name=MDP0000145643","MDP0000145643")</f>
        <v>MDP0000145643</v>
      </c>
      <c r="D12107">
        <v>62.71</v>
      </c>
      <c r="E12107">
        <v>228</v>
      </c>
      <c r="F12107">
        <v>85</v>
      </c>
      <c r="G12107">
        <v>3</v>
      </c>
      <c r="H12107">
        <v>1</v>
      </c>
      <c r="I12107">
        <v>225</v>
      </c>
      <c r="J12107">
        <v>1</v>
      </c>
      <c r="K12107">
        <v>1</v>
      </c>
      <c r="L12107">
        <v>228</v>
      </c>
      <c r="M12107">
        <v>1</v>
      </c>
      <c r="N12107">
        <v>3.9016799999999999E-76</v>
      </c>
      <c r="O12107">
        <v>719</v>
      </c>
    </row>
    <row r="12108" spans="1:15" x14ac:dyDescent="0.25">
      <c r="A12108" t="s">
        <v>12121</v>
      </c>
      <c r="B12108">
        <v>574</v>
      </c>
      <c r="C12108" s="1" t="str">
        <f>HYPERLINK("http://www.rosaceae.org/gb/gbrowse/malus_x_domestica/?name=MDP0000237964","MDP0000237964")</f>
        <v>MDP0000237964</v>
      </c>
      <c r="D12108">
        <v>51.37</v>
      </c>
      <c r="E12108">
        <v>547</v>
      </c>
      <c r="F12108">
        <v>266</v>
      </c>
      <c r="G12108">
        <v>14</v>
      </c>
      <c r="H12108">
        <v>36</v>
      </c>
      <c r="I12108">
        <v>574</v>
      </c>
      <c r="J12108">
        <v>1</v>
      </c>
      <c r="K12108">
        <v>600</v>
      </c>
      <c r="L12108">
        <v>1140</v>
      </c>
      <c r="M12108">
        <v>1</v>
      </c>
      <c r="N12108">
        <v>1.07916E-163</v>
      </c>
      <c r="O12108">
        <v>1479</v>
      </c>
    </row>
    <row r="12109" spans="1:15" x14ac:dyDescent="0.25">
      <c r="A12109" t="s">
        <v>12122</v>
      </c>
      <c r="B12109">
        <v>925</v>
      </c>
      <c r="C12109" s="1" t="str">
        <f>HYPERLINK("http://www.rosaceae.org/gb/gbrowse/malus_x_domestica/?name=MDP0000847955","MDP0000847955")</f>
        <v>MDP0000847955</v>
      </c>
      <c r="D12109">
        <v>61.31</v>
      </c>
      <c r="E12109">
        <v>946</v>
      </c>
      <c r="F12109">
        <v>366</v>
      </c>
      <c r="G12109">
        <v>36</v>
      </c>
      <c r="H12109">
        <v>1</v>
      </c>
      <c r="I12109">
        <v>925</v>
      </c>
      <c r="J12109">
        <v>1</v>
      </c>
      <c r="K12109">
        <v>1</v>
      </c>
      <c r="L12109">
        <v>931</v>
      </c>
      <c r="M12109">
        <v>1</v>
      </c>
      <c r="N12109">
        <v>0</v>
      </c>
      <c r="O12109">
        <v>2781</v>
      </c>
    </row>
    <row r="12110" spans="1:15" x14ac:dyDescent="0.25">
      <c r="A12110" t="s">
        <v>12123</v>
      </c>
      <c r="B12110">
        <v>134</v>
      </c>
      <c r="C12110" s="1" t="str">
        <f>HYPERLINK("http://www.rosaceae.org/gb/gbrowse/malus_x_domestica/?name=MDP0000286915","MDP0000286915")</f>
        <v>MDP0000286915</v>
      </c>
      <c r="D12110">
        <v>54.54</v>
      </c>
      <c r="E12110">
        <v>88</v>
      </c>
      <c r="F12110">
        <v>40</v>
      </c>
      <c r="G12110">
        <v>6</v>
      </c>
      <c r="H12110">
        <v>1</v>
      </c>
      <c r="I12110">
        <v>82</v>
      </c>
      <c r="J12110">
        <v>1</v>
      </c>
      <c r="K12110">
        <v>1</v>
      </c>
      <c r="L12110">
        <v>88</v>
      </c>
      <c r="M12110">
        <v>1</v>
      </c>
      <c r="N12110">
        <v>7.6842800000000005E-21</v>
      </c>
      <c r="O12110">
        <v>238</v>
      </c>
    </row>
    <row r="12111" spans="1:15" x14ac:dyDescent="0.25">
      <c r="A12111" t="s">
        <v>12124</v>
      </c>
      <c r="B12111">
        <v>315</v>
      </c>
      <c r="C12111" s="1" t="str">
        <f>HYPERLINK("http://www.rosaceae.org/gb/gbrowse/malus_x_domestica/?name=MDP0000298505","MDP0000298505")</f>
        <v>MDP0000298505</v>
      </c>
      <c r="D12111">
        <v>51.45</v>
      </c>
      <c r="E12111">
        <v>241</v>
      </c>
      <c r="F12111">
        <v>117</v>
      </c>
      <c r="G12111">
        <v>14</v>
      </c>
      <c r="H12111">
        <v>1</v>
      </c>
      <c r="I12111">
        <v>236</v>
      </c>
      <c r="J12111">
        <v>1</v>
      </c>
      <c r="K12111">
        <v>350</v>
      </c>
      <c r="L12111">
        <v>581</v>
      </c>
      <c r="M12111">
        <v>1</v>
      </c>
      <c r="N12111">
        <v>6.1757399999999998E-62</v>
      </c>
      <c r="O12111">
        <v>598</v>
      </c>
    </row>
    <row r="12112" spans="1:15" x14ac:dyDescent="0.25">
      <c r="A12112" t="s">
        <v>12125</v>
      </c>
      <c r="B12112">
        <v>577</v>
      </c>
      <c r="C12112" s="1" t="str">
        <f>HYPERLINK("http://www.rosaceae.org/gb/gbrowse/malus_x_domestica/?name=MDP0000154359","MDP0000154359")</f>
        <v>MDP0000154359</v>
      </c>
      <c r="D12112">
        <v>52.21</v>
      </c>
      <c r="E12112">
        <v>609</v>
      </c>
      <c r="F12112">
        <v>291</v>
      </c>
      <c r="G12112">
        <v>77</v>
      </c>
      <c r="H12112">
        <v>2</v>
      </c>
      <c r="I12112">
        <v>536</v>
      </c>
      <c r="J12112">
        <v>1</v>
      </c>
      <c r="K12112">
        <v>262</v>
      </c>
      <c r="L12112">
        <v>867</v>
      </c>
      <c r="M12112">
        <v>1</v>
      </c>
      <c r="N12112">
        <v>6.9095100000000001E-170</v>
      </c>
      <c r="O12112">
        <v>1532</v>
      </c>
    </row>
    <row r="12113" spans="1:15" x14ac:dyDescent="0.25">
      <c r="A12113" t="s">
        <v>12126</v>
      </c>
      <c r="B12113">
        <v>162</v>
      </c>
      <c r="C12113" s="1" t="str">
        <f>HYPERLINK("http://www.rosaceae.org/gb/gbrowse/malus_x_domestica/?name=MDP0000255401","MDP0000255401")</f>
        <v>MDP0000255401</v>
      </c>
      <c r="D12113">
        <v>64.08</v>
      </c>
      <c r="E12113">
        <v>142</v>
      </c>
      <c r="F12113">
        <v>51</v>
      </c>
      <c r="G12113">
        <v>11</v>
      </c>
      <c r="H12113">
        <v>1</v>
      </c>
      <c r="I12113">
        <v>141</v>
      </c>
      <c r="J12113">
        <v>1</v>
      </c>
      <c r="K12113">
        <v>106</v>
      </c>
      <c r="L12113">
        <v>237</v>
      </c>
      <c r="M12113">
        <v>1</v>
      </c>
      <c r="N12113">
        <v>1.9221400000000001E-43</v>
      </c>
      <c r="O12113">
        <v>435</v>
      </c>
    </row>
    <row r="12114" spans="1:15" x14ac:dyDescent="0.25">
      <c r="A12114" t="s">
        <v>12127</v>
      </c>
      <c r="B12114">
        <v>476</v>
      </c>
      <c r="C12114" s="1" t="str">
        <f>HYPERLINK("http://www.rosaceae.org/gb/gbrowse/malus_x_domestica/?name=MDP0000193902","MDP0000193902")</f>
        <v>MDP0000193902</v>
      </c>
      <c r="D12114">
        <v>56.96</v>
      </c>
      <c r="E12114">
        <v>481</v>
      </c>
      <c r="F12114">
        <v>207</v>
      </c>
      <c r="G12114">
        <v>33</v>
      </c>
      <c r="H12114">
        <v>2</v>
      </c>
      <c r="I12114">
        <v>476</v>
      </c>
      <c r="J12114">
        <v>1</v>
      </c>
      <c r="K12114">
        <v>4</v>
      </c>
      <c r="L12114">
        <v>457</v>
      </c>
      <c r="M12114">
        <v>1</v>
      </c>
      <c r="N12114">
        <v>1.70897E-137</v>
      </c>
      <c r="O12114">
        <v>1252</v>
      </c>
    </row>
    <row r="12115" spans="1:15" x14ac:dyDescent="0.25">
      <c r="A12115" t="s">
        <v>12128</v>
      </c>
      <c r="B12115">
        <v>109</v>
      </c>
      <c r="C12115" s="1" t="str">
        <f>HYPERLINK("http://www.rosaceae.org/gb/gbrowse/malus_x_domestica/?name=MDP0000167626","MDP0000167626")</f>
        <v>MDP0000167626</v>
      </c>
      <c r="D12115">
        <v>55.78</v>
      </c>
      <c r="E12115">
        <v>95</v>
      </c>
      <c r="F12115">
        <v>42</v>
      </c>
      <c r="G12115">
        <v>1</v>
      </c>
      <c r="H12115">
        <v>12</v>
      </c>
      <c r="I12115">
        <v>106</v>
      </c>
      <c r="J12115">
        <v>1</v>
      </c>
      <c r="K12115">
        <v>266</v>
      </c>
      <c r="L12115">
        <v>359</v>
      </c>
      <c r="M12115">
        <v>1</v>
      </c>
      <c r="N12115">
        <v>2.9545199999999999E-21</v>
      </c>
      <c r="O12115">
        <v>241</v>
      </c>
    </row>
    <row r="12116" spans="1:15" x14ac:dyDescent="0.25">
      <c r="A12116" t="s">
        <v>12129</v>
      </c>
      <c r="B12116">
        <v>328</v>
      </c>
      <c r="C12116" s="1" t="str">
        <f>HYPERLINK("http://www.rosaceae.org/gb/gbrowse/malus_x_domestica/?name=MDP0000307548","MDP0000307548")</f>
        <v>MDP0000307548</v>
      </c>
      <c r="D12116">
        <v>51.84</v>
      </c>
      <c r="E12116">
        <v>407</v>
      </c>
      <c r="F12116">
        <v>196</v>
      </c>
      <c r="G12116">
        <v>106</v>
      </c>
      <c r="H12116">
        <v>2</v>
      </c>
      <c r="I12116">
        <v>328</v>
      </c>
      <c r="J12116">
        <v>1</v>
      </c>
      <c r="K12116">
        <v>67</v>
      </c>
      <c r="L12116">
        <v>447</v>
      </c>
      <c r="M12116">
        <v>1</v>
      </c>
      <c r="N12116">
        <v>3.9676600000000003E-96</v>
      </c>
      <c r="O12116">
        <v>893</v>
      </c>
    </row>
    <row r="12117" spans="1:15" x14ac:dyDescent="0.25">
      <c r="A12117" t="s">
        <v>12130</v>
      </c>
      <c r="B12117">
        <v>1017</v>
      </c>
      <c r="C12117" s="1" t="str">
        <f>HYPERLINK("http://www.rosaceae.org/gb/gbrowse/malus_x_domestica/?name=MDP0000800338","MDP0000800338")</f>
        <v>MDP0000800338</v>
      </c>
      <c r="D12117">
        <v>73.099999999999994</v>
      </c>
      <c r="E12117">
        <v>1000</v>
      </c>
      <c r="F12117">
        <v>269</v>
      </c>
      <c r="G12117">
        <v>10</v>
      </c>
      <c r="H12117">
        <v>21</v>
      </c>
      <c r="I12117">
        <v>1014</v>
      </c>
      <c r="J12117">
        <v>1</v>
      </c>
      <c r="K12117">
        <v>20</v>
      </c>
      <c r="L12117">
        <v>1015</v>
      </c>
      <c r="M12117">
        <v>1</v>
      </c>
      <c r="N12117">
        <v>0</v>
      </c>
      <c r="O12117">
        <v>3600</v>
      </c>
    </row>
    <row r="12118" spans="1:15" x14ac:dyDescent="0.25">
      <c r="A12118" t="s">
        <v>12131</v>
      </c>
      <c r="B12118">
        <v>567</v>
      </c>
      <c r="C12118" s="1" t="str">
        <f>HYPERLINK("http://www.rosaceae.org/gb/gbrowse/malus_x_domestica/?name=MDP0000639167","MDP0000639167")</f>
        <v>MDP0000639167</v>
      </c>
      <c r="D12118">
        <v>51.19</v>
      </c>
      <c r="E12118">
        <v>502</v>
      </c>
      <c r="F12118">
        <v>245</v>
      </c>
      <c r="G12118">
        <v>32</v>
      </c>
      <c r="H12118">
        <v>59</v>
      </c>
      <c r="I12118">
        <v>558</v>
      </c>
      <c r="J12118">
        <v>1</v>
      </c>
      <c r="K12118">
        <v>32</v>
      </c>
      <c r="L12118">
        <v>503</v>
      </c>
      <c r="M12118">
        <v>1</v>
      </c>
      <c r="N12118">
        <v>7.3086999999999999E-132</v>
      </c>
      <c r="O12118">
        <v>1204</v>
      </c>
    </row>
    <row r="12119" spans="1:15" x14ac:dyDescent="0.25">
      <c r="A12119" t="s">
        <v>12132</v>
      </c>
      <c r="B12119">
        <v>175</v>
      </c>
      <c r="C12119" s="1" t="str">
        <f>HYPERLINK("http://www.rosaceae.org/gb/gbrowse/malus_x_domestica/?name=MDP0000269288","MDP0000269288")</f>
        <v>MDP0000269288</v>
      </c>
      <c r="D12119">
        <v>53.52</v>
      </c>
      <c r="E12119">
        <v>170</v>
      </c>
      <c r="F12119">
        <v>79</v>
      </c>
      <c r="G12119">
        <v>8</v>
      </c>
      <c r="H12119">
        <v>1</v>
      </c>
      <c r="I12119">
        <v>168</v>
      </c>
      <c r="J12119">
        <v>1</v>
      </c>
      <c r="K12119">
        <v>1</v>
      </c>
      <c r="L12119">
        <v>164</v>
      </c>
      <c r="M12119">
        <v>1</v>
      </c>
      <c r="N12119">
        <v>8.5248099999999993E-37</v>
      </c>
      <c r="O12119">
        <v>378</v>
      </c>
    </row>
    <row r="12120" spans="1:15" x14ac:dyDescent="0.25">
      <c r="A12120" t="s">
        <v>12133</v>
      </c>
      <c r="B12120">
        <v>884</v>
      </c>
      <c r="C12120" s="1" t="str">
        <f>HYPERLINK("http://www.rosaceae.org/gb/gbrowse/malus_x_domestica/?name=MDP0000820058","MDP0000820058")</f>
        <v>MDP0000820058</v>
      </c>
      <c r="D12120">
        <v>74.97</v>
      </c>
      <c r="E12120">
        <v>847</v>
      </c>
      <c r="F12120">
        <v>212</v>
      </c>
      <c r="G12120">
        <v>0</v>
      </c>
      <c r="H12120">
        <v>10</v>
      </c>
      <c r="I12120">
        <v>856</v>
      </c>
      <c r="J12120">
        <v>1</v>
      </c>
      <c r="K12120">
        <v>1</v>
      </c>
      <c r="L12120">
        <v>847</v>
      </c>
      <c r="M12120">
        <v>1</v>
      </c>
      <c r="N12120">
        <v>0</v>
      </c>
      <c r="O12120">
        <v>3462</v>
      </c>
    </row>
    <row r="12121" spans="1:15" x14ac:dyDescent="0.25">
      <c r="A12121" t="s">
        <v>12134</v>
      </c>
      <c r="B12121">
        <v>546</v>
      </c>
      <c r="C12121" s="1" t="str">
        <f>HYPERLINK("http://www.rosaceae.org/gb/gbrowse/malus_x_domestica/?name=MDP0000135662","MDP0000135662")</f>
        <v>MDP0000135662</v>
      </c>
      <c r="D12121">
        <v>79.67</v>
      </c>
      <c r="E12121">
        <v>246</v>
      </c>
      <c r="F12121">
        <v>50</v>
      </c>
      <c r="G12121">
        <v>1</v>
      </c>
      <c r="H12121">
        <v>276</v>
      </c>
      <c r="I12121">
        <v>520</v>
      </c>
      <c r="J12121">
        <v>1</v>
      </c>
      <c r="K12121">
        <v>268</v>
      </c>
      <c r="L12121">
        <v>513</v>
      </c>
      <c r="M12121">
        <v>1</v>
      </c>
      <c r="N12121">
        <v>4.3834199999999999E-114</v>
      </c>
      <c r="O12121">
        <v>1051</v>
      </c>
    </row>
    <row r="12122" spans="1:15" x14ac:dyDescent="0.25">
      <c r="A12122" t="s">
        <v>12135</v>
      </c>
      <c r="B12122">
        <v>757</v>
      </c>
      <c r="C12122" s="1" t="str">
        <f>HYPERLINK("http://www.rosaceae.org/gb/gbrowse/malus_x_domestica/?name=MDP0000310250","MDP0000310250")</f>
        <v>MDP0000310250</v>
      </c>
      <c r="D12122">
        <v>77.760000000000005</v>
      </c>
      <c r="E12122">
        <v>760</v>
      </c>
      <c r="F12122">
        <v>169</v>
      </c>
      <c r="G12122">
        <v>7</v>
      </c>
      <c r="H12122">
        <v>1</v>
      </c>
      <c r="I12122">
        <v>757</v>
      </c>
      <c r="J12122">
        <v>1</v>
      </c>
      <c r="K12122">
        <v>170</v>
      </c>
      <c r="L12122">
        <v>925</v>
      </c>
      <c r="M12122">
        <v>1</v>
      </c>
      <c r="N12122">
        <v>0</v>
      </c>
      <c r="O12122">
        <v>3141</v>
      </c>
    </row>
    <row r="12123" spans="1:15" x14ac:dyDescent="0.25">
      <c r="A12123" t="s">
        <v>12136</v>
      </c>
      <c r="B12123">
        <v>171</v>
      </c>
      <c r="C12123" s="1" t="str">
        <f>HYPERLINK("http://www.rosaceae.org/gb/gbrowse/malus_x_domestica/?name=MDP0000418876","MDP0000418876")</f>
        <v>MDP0000418876</v>
      </c>
      <c r="D12123">
        <v>82.85</v>
      </c>
      <c r="E12123">
        <v>175</v>
      </c>
      <c r="F12123">
        <v>30</v>
      </c>
      <c r="G12123">
        <v>5</v>
      </c>
      <c r="H12123">
        <v>1</v>
      </c>
      <c r="I12123">
        <v>171</v>
      </c>
      <c r="J12123">
        <v>1</v>
      </c>
      <c r="K12123">
        <v>1</v>
      </c>
      <c r="L12123">
        <v>174</v>
      </c>
      <c r="M12123">
        <v>1</v>
      </c>
      <c r="N12123">
        <v>5.2197199999999999E-82</v>
      </c>
      <c r="O12123">
        <v>768</v>
      </c>
    </row>
    <row r="12124" spans="1:15" x14ac:dyDescent="0.25">
      <c r="A12124" t="s">
        <v>12137</v>
      </c>
      <c r="B12124">
        <v>549</v>
      </c>
      <c r="C12124" s="1" t="str">
        <f>HYPERLINK("http://www.rosaceae.org/gb/gbrowse/malus_x_domestica/?name=MDP0000939857","MDP0000939857")</f>
        <v>MDP0000939857</v>
      </c>
      <c r="D12124">
        <v>87.65</v>
      </c>
      <c r="E12124">
        <v>413</v>
      </c>
      <c r="F12124">
        <v>51</v>
      </c>
      <c r="G12124">
        <v>6</v>
      </c>
      <c r="H12124">
        <v>143</v>
      </c>
      <c r="I12124">
        <v>549</v>
      </c>
      <c r="J12124">
        <v>1</v>
      </c>
      <c r="K12124">
        <v>1</v>
      </c>
      <c r="L12124">
        <v>413</v>
      </c>
      <c r="M12124">
        <v>1</v>
      </c>
      <c r="N12124">
        <v>0</v>
      </c>
      <c r="O12124">
        <v>1860</v>
      </c>
    </row>
    <row r="12125" spans="1:15" x14ac:dyDescent="0.25">
      <c r="A12125" t="s">
        <v>12138</v>
      </c>
      <c r="B12125">
        <v>801</v>
      </c>
      <c r="C12125" s="1" t="str">
        <f>HYPERLINK("http://www.rosaceae.org/gb/gbrowse/malus_x_domestica/?name=MDP0000279907","MDP0000279907")</f>
        <v>MDP0000279907</v>
      </c>
      <c r="D12125">
        <v>65.27</v>
      </c>
      <c r="E12125">
        <v>766</v>
      </c>
      <c r="F12125">
        <v>266</v>
      </c>
      <c r="G12125">
        <v>15</v>
      </c>
      <c r="H12125">
        <v>1</v>
      </c>
      <c r="I12125">
        <v>752</v>
      </c>
      <c r="J12125">
        <v>1</v>
      </c>
      <c r="K12125">
        <v>179</v>
      </c>
      <c r="L12125">
        <v>943</v>
      </c>
      <c r="M12125">
        <v>1</v>
      </c>
      <c r="N12125">
        <v>0</v>
      </c>
      <c r="O12125">
        <v>2583</v>
      </c>
    </row>
    <row r="12126" spans="1:15" x14ac:dyDescent="0.25">
      <c r="A12126" t="s">
        <v>12139</v>
      </c>
      <c r="B12126">
        <v>340</v>
      </c>
      <c r="C12126" s="1" t="str">
        <f>HYPERLINK("http://www.rosaceae.org/gb/gbrowse/malus_x_domestica/?name=MDP0000296077","MDP0000296077")</f>
        <v>MDP0000296077</v>
      </c>
      <c r="D12126">
        <v>69.64</v>
      </c>
      <c r="E12126">
        <v>224</v>
      </c>
      <c r="F12126">
        <v>68</v>
      </c>
      <c r="G12126">
        <v>7</v>
      </c>
      <c r="H12126">
        <v>1</v>
      </c>
      <c r="I12126">
        <v>219</v>
      </c>
      <c r="J12126">
        <v>1</v>
      </c>
      <c r="K12126">
        <v>218</v>
      </c>
      <c r="L12126">
        <v>439</v>
      </c>
      <c r="M12126">
        <v>1</v>
      </c>
      <c r="N12126">
        <v>4.8410599999999998E-79</v>
      </c>
      <c r="O12126">
        <v>746</v>
      </c>
    </row>
    <row r="12127" spans="1:15" x14ac:dyDescent="0.25">
      <c r="A12127" t="s">
        <v>12140</v>
      </c>
      <c r="B12127">
        <v>210</v>
      </c>
      <c r="C12127" s="1" t="str">
        <f>HYPERLINK("http://www.rosaceae.org/gb/gbrowse/malus_x_domestica/?name=MDP0000627178","MDP0000627178")</f>
        <v>MDP0000627178</v>
      </c>
      <c r="D12127">
        <v>70</v>
      </c>
      <c r="E12127">
        <v>210</v>
      </c>
      <c r="F12127">
        <v>63</v>
      </c>
      <c r="G12127">
        <v>0</v>
      </c>
      <c r="H12127">
        <v>1</v>
      </c>
      <c r="I12127">
        <v>210</v>
      </c>
      <c r="J12127">
        <v>1</v>
      </c>
      <c r="K12127">
        <v>1</v>
      </c>
      <c r="L12127">
        <v>210</v>
      </c>
      <c r="M12127">
        <v>1</v>
      </c>
      <c r="N12127">
        <v>6.6825199999999996E-84</v>
      </c>
      <c r="O12127">
        <v>785</v>
      </c>
    </row>
    <row r="12128" spans="1:15" x14ac:dyDescent="0.25">
      <c r="A12128" t="s">
        <v>12141</v>
      </c>
      <c r="B12128">
        <v>346</v>
      </c>
      <c r="C12128" s="1" t="str">
        <f>HYPERLINK("http://www.rosaceae.org/gb/gbrowse/malus_x_domestica/?name=MDP0000307862","MDP0000307862")</f>
        <v>MDP0000307862</v>
      </c>
      <c r="D12128">
        <v>33.130000000000003</v>
      </c>
      <c r="E12128">
        <v>344</v>
      </c>
      <c r="F12128">
        <v>230</v>
      </c>
      <c r="G12128">
        <v>37</v>
      </c>
      <c r="H12128">
        <v>15</v>
      </c>
      <c r="I12128">
        <v>335</v>
      </c>
      <c r="J12128">
        <v>1</v>
      </c>
      <c r="K12128">
        <v>967</v>
      </c>
      <c r="L12128">
        <v>1296</v>
      </c>
      <c r="M12128">
        <v>1</v>
      </c>
      <c r="N12128">
        <v>4.3191899999999999E-41</v>
      </c>
      <c r="O12128">
        <v>419</v>
      </c>
    </row>
    <row r="12129" spans="1:15" x14ac:dyDescent="0.25">
      <c r="A12129" t="s">
        <v>12142</v>
      </c>
      <c r="B12129">
        <v>481</v>
      </c>
      <c r="C12129" s="1" t="str">
        <f>HYPERLINK("http://www.rosaceae.org/gb/gbrowse/malus_x_domestica/?name=MDP0000249275","MDP0000249275")</f>
        <v>MDP0000249275</v>
      </c>
      <c r="D12129">
        <v>72.05</v>
      </c>
      <c r="E12129">
        <v>476</v>
      </c>
      <c r="F12129">
        <v>133</v>
      </c>
      <c r="G12129">
        <v>13</v>
      </c>
      <c r="H12129">
        <v>12</v>
      </c>
      <c r="I12129">
        <v>481</v>
      </c>
      <c r="J12129">
        <v>1</v>
      </c>
      <c r="K12129">
        <v>1</v>
      </c>
      <c r="L12129">
        <v>469</v>
      </c>
      <c r="M12129">
        <v>1</v>
      </c>
      <c r="N12129">
        <v>0</v>
      </c>
      <c r="O12129">
        <v>1721</v>
      </c>
    </row>
    <row r="12130" spans="1:15" x14ac:dyDescent="0.25">
      <c r="A12130" t="s">
        <v>12143</v>
      </c>
      <c r="B12130">
        <v>299</v>
      </c>
      <c r="C12130" s="1" t="str">
        <f>HYPERLINK("http://www.rosaceae.org/gb/gbrowse/malus_x_domestica/?name=MDP0000290148","MDP0000290148")</f>
        <v>MDP0000290148</v>
      </c>
      <c r="D12130">
        <v>45.9</v>
      </c>
      <c r="E12130">
        <v>281</v>
      </c>
      <c r="F12130">
        <v>152</v>
      </c>
      <c r="G12130">
        <v>56</v>
      </c>
      <c r="H12130">
        <v>60</v>
      </c>
      <c r="I12130">
        <v>288</v>
      </c>
      <c r="J12130">
        <v>1</v>
      </c>
      <c r="K12130">
        <v>67</v>
      </c>
      <c r="L12130">
        <v>343</v>
      </c>
      <c r="M12130">
        <v>1</v>
      </c>
      <c r="N12130">
        <v>7.7392200000000005E-49</v>
      </c>
      <c r="O12130">
        <v>485</v>
      </c>
    </row>
    <row r="12131" spans="1:15" x14ac:dyDescent="0.25">
      <c r="A12131" t="s">
        <v>12144</v>
      </c>
      <c r="B12131">
        <v>182</v>
      </c>
      <c r="C12131" s="1" t="str">
        <f>HYPERLINK("http://www.rosaceae.org/gb/gbrowse/malus_x_domestica/?name=MDP0000320804","MDP0000320804")</f>
        <v>MDP0000320804</v>
      </c>
      <c r="D12131">
        <v>79.67</v>
      </c>
      <c r="E12131">
        <v>182</v>
      </c>
      <c r="F12131">
        <v>37</v>
      </c>
      <c r="G12131">
        <v>4</v>
      </c>
      <c r="H12131">
        <v>1</v>
      </c>
      <c r="I12131">
        <v>182</v>
      </c>
      <c r="J12131">
        <v>1</v>
      </c>
      <c r="K12131">
        <v>1</v>
      </c>
      <c r="L12131">
        <v>178</v>
      </c>
      <c r="M12131">
        <v>1</v>
      </c>
      <c r="N12131">
        <v>1.10174E-82</v>
      </c>
      <c r="O12131">
        <v>774</v>
      </c>
    </row>
    <row r="12132" spans="1:15" x14ac:dyDescent="0.25">
      <c r="A12132" t="s">
        <v>12145</v>
      </c>
      <c r="B12132">
        <v>613</v>
      </c>
      <c r="C12132" s="1" t="str">
        <f>HYPERLINK("http://www.rosaceae.org/gb/gbrowse/malus_x_domestica/?name=MDP0000145569","MDP0000145569")</f>
        <v>MDP0000145569</v>
      </c>
      <c r="D12132">
        <v>72.069999999999993</v>
      </c>
      <c r="E12132">
        <v>616</v>
      </c>
      <c r="F12132">
        <v>172</v>
      </c>
      <c r="G12132">
        <v>5</v>
      </c>
      <c r="H12132">
        <v>1</v>
      </c>
      <c r="I12132">
        <v>613</v>
      </c>
      <c r="J12132">
        <v>1</v>
      </c>
      <c r="K12132">
        <v>1</v>
      </c>
      <c r="L12132">
        <v>614</v>
      </c>
      <c r="M12132">
        <v>1</v>
      </c>
      <c r="N12132">
        <v>0</v>
      </c>
      <c r="O12132">
        <v>2377</v>
      </c>
    </row>
    <row r="12133" spans="1:15" x14ac:dyDescent="0.25">
      <c r="A12133" t="s">
        <v>12146</v>
      </c>
      <c r="B12133">
        <v>354</v>
      </c>
      <c r="C12133" s="1" t="str">
        <f>HYPERLINK("http://www.rosaceae.org/gb/gbrowse/malus_x_domestica/?name=MDP0000140826","MDP0000140826")</f>
        <v>MDP0000140826</v>
      </c>
      <c r="D12133">
        <v>64.790000000000006</v>
      </c>
      <c r="E12133">
        <v>392</v>
      </c>
      <c r="F12133">
        <v>138</v>
      </c>
      <c r="G12133">
        <v>45</v>
      </c>
      <c r="H12133">
        <v>1</v>
      </c>
      <c r="I12133">
        <v>353</v>
      </c>
      <c r="J12133">
        <v>1</v>
      </c>
      <c r="K12133">
        <v>319</v>
      </c>
      <c r="L12133">
        <v>704</v>
      </c>
      <c r="M12133">
        <v>1</v>
      </c>
      <c r="N12133">
        <v>2.7465E-134</v>
      </c>
      <c r="O12133">
        <v>1223</v>
      </c>
    </row>
    <row r="12134" spans="1:15" x14ac:dyDescent="0.25">
      <c r="A12134" t="s">
        <v>12147</v>
      </c>
      <c r="B12134">
        <v>153</v>
      </c>
      <c r="C12134" s="1" t="str">
        <f>HYPERLINK("http://www.rosaceae.org/gb/gbrowse/malus_x_domestica/?name=MDP0000480422","MDP0000480422")</f>
        <v>MDP0000480422</v>
      </c>
      <c r="D12134">
        <v>59.25</v>
      </c>
      <c r="E12134">
        <v>54</v>
      </c>
      <c r="F12134">
        <v>22</v>
      </c>
      <c r="G12134">
        <v>2</v>
      </c>
      <c r="H12134">
        <v>8</v>
      </c>
      <c r="I12134">
        <v>61</v>
      </c>
      <c r="J12134">
        <v>1</v>
      </c>
      <c r="K12134">
        <v>7</v>
      </c>
      <c r="L12134">
        <v>58</v>
      </c>
      <c r="M12134">
        <v>1</v>
      </c>
      <c r="N12134">
        <v>1.21783E-11</v>
      </c>
      <c r="O12134">
        <v>160</v>
      </c>
    </row>
    <row r="12135" spans="1:15" x14ac:dyDescent="0.25">
      <c r="A12135" t="s">
        <v>12148</v>
      </c>
      <c r="B12135">
        <v>388</v>
      </c>
      <c r="C12135" s="1" t="str">
        <f>HYPERLINK("http://www.rosaceae.org/gb/gbrowse/malus_x_domestica/?name=MDP0000121607","MDP0000121607")</f>
        <v>MDP0000121607</v>
      </c>
      <c r="D12135">
        <v>30.4</v>
      </c>
      <c r="E12135">
        <v>125</v>
      </c>
      <c r="F12135">
        <v>87</v>
      </c>
      <c r="G12135">
        <v>12</v>
      </c>
      <c r="H12135">
        <v>1</v>
      </c>
      <c r="I12135">
        <v>114</v>
      </c>
      <c r="J12135">
        <v>1</v>
      </c>
      <c r="K12135">
        <v>517</v>
      </c>
      <c r="L12135">
        <v>640</v>
      </c>
      <c r="M12135">
        <v>1</v>
      </c>
      <c r="N12135">
        <v>4.1933799999999999E-8</v>
      </c>
      <c r="O12135">
        <v>135</v>
      </c>
    </row>
    <row r="12136" spans="1:15" x14ac:dyDescent="0.25">
      <c r="A12136" t="s">
        <v>12149</v>
      </c>
      <c r="B12136">
        <v>411</v>
      </c>
      <c r="C12136" s="1" t="str">
        <f>HYPERLINK("http://www.rosaceae.org/gb/gbrowse/malus_x_domestica/?name=MDP0000321049","MDP0000321049")</f>
        <v>MDP0000321049</v>
      </c>
      <c r="D12136">
        <v>55.86</v>
      </c>
      <c r="E12136">
        <v>401</v>
      </c>
      <c r="F12136">
        <v>177</v>
      </c>
      <c r="G12136">
        <v>48</v>
      </c>
      <c r="H12136">
        <v>30</v>
      </c>
      <c r="I12136">
        <v>411</v>
      </c>
      <c r="J12136">
        <v>1</v>
      </c>
      <c r="K12136">
        <v>23</v>
      </c>
      <c r="L12136">
        <v>394</v>
      </c>
      <c r="M12136">
        <v>1</v>
      </c>
      <c r="N12136">
        <v>3.71986E-91</v>
      </c>
      <c r="O12136">
        <v>852</v>
      </c>
    </row>
    <row r="12137" spans="1:15" x14ac:dyDescent="0.25">
      <c r="A12137" t="s">
        <v>12150</v>
      </c>
      <c r="B12137">
        <v>270</v>
      </c>
      <c r="C12137" s="1" t="str">
        <f>HYPERLINK("http://www.rosaceae.org/gb/gbrowse/malus_x_domestica/?name=MDP0000305593","MDP0000305593")</f>
        <v>MDP0000305593</v>
      </c>
      <c r="D12137">
        <v>73.19</v>
      </c>
      <c r="E12137">
        <v>194</v>
      </c>
      <c r="F12137">
        <v>52</v>
      </c>
      <c r="G12137">
        <v>13</v>
      </c>
      <c r="H12137">
        <v>67</v>
      </c>
      <c r="I12137">
        <v>247</v>
      </c>
      <c r="J12137">
        <v>1</v>
      </c>
      <c r="K12137">
        <v>28</v>
      </c>
      <c r="L12137">
        <v>221</v>
      </c>
      <c r="M12137">
        <v>1</v>
      </c>
      <c r="N12137">
        <v>2.6400400000000001E-74</v>
      </c>
      <c r="O12137">
        <v>704</v>
      </c>
    </row>
    <row r="12138" spans="1:15" x14ac:dyDescent="0.25">
      <c r="A12138" t="s">
        <v>12151</v>
      </c>
      <c r="B12138">
        <v>748</v>
      </c>
      <c r="C12138" s="1" t="str">
        <f>HYPERLINK("http://www.rosaceae.org/gb/gbrowse/malus_x_domestica/?name=MDP0000182016","MDP0000182016")</f>
        <v>MDP0000182016</v>
      </c>
      <c r="D12138">
        <v>77.2</v>
      </c>
      <c r="E12138">
        <v>715</v>
      </c>
      <c r="F12138">
        <v>163</v>
      </c>
      <c r="G12138">
        <v>4</v>
      </c>
      <c r="H12138">
        <v>32</v>
      </c>
      <c r="I12138">
        <v>743</v>
      </c>
      <c r="J12138">
        <v>1</v>
      </c>
      <c r="K12138">
        <v>315</v>
      </c>
      <c r="L12138">
        <v>1028</v>
      </c>
      <c r="M12138">
        <v>1</v>
      </c>
      <c r="N12138">
        <v>0</v>
      </c>
      <c r="O12138">
        <v>2999</v>
      </c>
    </row>
    <row r="12139" spans="1:15" x14ac:dyDescent="0.25">
      <c r="A12139" t="s">
        <v>12152</v>
      </c>
      <c r="B12139">
        <v>407</v>
      </c>
      <c r="C12139" s="1" t="str">
        <f>HYPERLINK("http://www.rosaceae.org/gb/gbrowse/malus_x_domestica/?name=MDP0000212885","MDP0000212885")</f>
        <v>MDP0000212885</v>
      </c>
      <c r="D12139">
        <v>38.200000000000003</v>
      </c>
      <c r="E12139">
        <v>267</v>
      </c>
      <c r="F12139">
        <v>165</v>
      </c>
      <c r="G12139">
        <v>19</v>
      </c>
      <c r="H12139">
        <v>148</v>
      </c>
      <c r="I12139">
        <v>405</v>
      </c>
      <c r="J12139">
        <v>1</v>
      </c>
      <c r="K12139">
        <v>24</v>
      </c>
      <c r="L12139">
        <v>280</v>
      </c>
      <c r="M12139">
        <v>1</v>
      </c>
      <c r="N12139">
        <v>2.87995E-36</v>
      </c>
      <c r="O12139">
        <v>378</v>
      </c>
    </row>
    <row r="12140" spans="1:15" x14ac:dyDescent="0.25">
      <c r="A12140" t="s">
        <v>12153</v>
      </c>
      <c r="B12140">
        <v>206</v>
      </c>
      <c r="C12140" s="1" t="str">
        <f>HYPERLINK("http://www.rosaceae.org/gb/gbrowse/malus_x_domestica/?name=MDP0000238557","MDP0000238557")</f>
        <v>MDP0000238557</v>
      </c>
      <c r="D12140">
        <v>45.39</v>
      </c>
      <c r="E12140">
        <v>141</v>
      </c>
      <c r="F12140">
        <v>77</v>
      </c>
      <c r="G12140">
        <v>19</v>
      </c>
      <c r="H12140">
        <v>68</v>
      </c>
      <c r="I12140">
        <v>197</v>
      </c>
      <c r="J12140">
        <v>1</v>
      </c>
      <c r="K12140">
        <v>487</v>
      </c>
      <c r="L12140">
        <v>619</v>
      </c>
      <c r="M12140">
        <v>1</v>
      </c>
      <c r="N12140">
        <v>2.3911E-20</v>
      </c>
      <c r="O12140">
        <v>237</v>
      </c>
    </row>
    <row r="12141" spans="1:15" x14ac:dyDescent="0.25">
      <c r="A12141" t="s">
        <v>12154</v>
      </c>
      <c r="B12141">
        <v>70</v>
      </c>
      <c r="C12141" s="1" t="str">
        <f>HYPERLINK("http://www.rosaceae.org/gb/gbrowse/malus_x_domestica/?name=MDP0000222633","MDP0000222633")</f>
        <v>MDP0000222633</v>
      </c>
      <c r="D12141">
        <v>72.72</v>
      </c>
      <c r="E12141">
        <v>55</v>
      </c>
      <c r="F12141">
        <v>15</v>
      </c>
      <c r="G12141">
        <v>0</v>
      </c>
      <c r="H12141">
        <v>8</v>
      </c>
      <c r="I12141">
        <v>62</v>
      </c>
      <c r="J12141">
        <v>1</v>
      </c>
      <c r="K12141">
        <v>69</v>
      </c>
      <c r="L12141">
        <v>123</v>
      </c>
      <c r="M12141">
        <v>1</v>
      </c>
      <c r="N12141">
        <v>6.2970699999999996E-19</v>
      </c>
      <c r="O12141">
        <v>221</v>
      </c>
    </row>
    <row r="12142" spans="1:15" x14ac:dyDescent="0.25">
      <c r="A12142" t="s">
        <v>12155</v>
      </c>
      <c r="B12142">
        <v>676</v>
      </c>
      <c r="C12142" s="1" t="str">
        <f>HYPERLINK("http://www.rosaceae.org/gb/gbrowse/malus_x_domestica/?name=MDP0000307940","MDP0000307940")</f>
        <v>MDP0000307940</v>
      </c>
      <c r="D12142">
        <v>61.08</v>
      </c>
      <c r="E12142">
        <v>645</v>
      </c>
      <c r="F12142">
        <v>251</v>
      </c>
      <c r="G12142">
        <v>16</v>
      </c>
      <c r="H12142">
        <v>1</v>
      </c>
      <c r="I12142">
        <v>635</v>
      </c>
      <c r="J12142">
        <v>1</v>
      </c>
      <c r="K12142">
        <v>168</v>
      </c>
      <c r="L12142">
        <v>806</v>
      </c>
      <c r="M12142">
        <v>1</v>
      </c>
      <c r="N12142">
        <v>0</v>
      </c>
      <c r="O12142">
        <v>2060</v>
      </c>
    </row>
    <row r="12143" spans="1:15" x14ac:dyDescent="0.25">
      <c r="A12143" t="s">
        <v>12156</v>
      </c>
      <c r="B12143">
        <v>123</v>
      </c>
      <c r="C12143" s="1" t="str">
        <f>HYPERLINK("http://www.rosaceae.org/gb/gbrowse/malus_x_domestica/?name=MDP0000261968","MDP0000261968")</f>
        <v>MDP0000261968</v>
      </c>
      <c r="D12143">
        <v>50.6</v>
      </c>
      <c r="E12143">
        <v>83</v>
      </c>
      <c r="F12143">
        <v>41</v>
      </c>
      <c r="G12143">
        <v>25</v>
      </c>
      <c r="H12143">
        <v>62</v>
      </c>
      <c r="I12143">
        <v>119</v>
      </c>
      <c r="J12143">
        <v>1</v>
      </c>
      <c r="K12143">
        <v>221</v>
      </c>
      <c r="L12143">
        <v>303</v>
      </c>
      <c r="M12143">
        <v>1</v>
      </c>
      <c r="N12143">
        <v>4.6265300000000002E-14</v>
      </c>
      <c r="O12143">
        <v>179</v>
      </c>
    </row>
    <row r="12144" spans="1:15" x14ac:dyDescent="0.25">
      <c r="A12144" t="s">
        <v>12157</v>
      </c>
      <c r="B12144">
        <v>791</v>
      </c>
      <c r="C12144" s="1" t="str">
        <f>HYPERLINK("http://www.rosaceae.org/gb/gbrowse/malus_x_domestica/?name=MDP0000250689","MDP0000250689")</f>
        <v>MDP0000250689</v>
      </c>
      <c r="D12144">
        <v>34.590000000000003</v>
      </c>
      <c r="E12144">
        <v>344</v>
      </c>
      <c r="F12144">
        <v>225</v>
      </c>
      <c r="G12144">
        <v>80</v>
      </c>
      <c r="H12144">
        <v>1</v>
      </c>
      <c r="I12144">
        <v>269</v>
      </c>
      <c r="J12144">
        <v>1</v>
      </c>
      <c r="K12144">
        <v>1</v>
      </c>
      <c r="L12144">
        <v>339</v>
      </c>
      <c r="M12144">
        <v>1</v>
      </c>
      <c r="N12144">
        <v>3.5273099999999997E-39</v>
      </c>
      <c r="O12144">
        <v>406</v>
      </c>
    </row>
    <row r="12145" spans="1:15" x14ac:dyDescent="0.25">
      <c r="A12145" t="s">
        <v>12158</v>
      </c>
      <c r="B12145">
        <v>133</v>
      </c>
      <c r="C12145" s="1" t="str">
        <f>HYPERLINK("http://www.rosaceae.org/gb/gbrowse/malus_x_domestica/?name=MDP0000266497","MDP0000266497")</f>
        <v>MDP0000266497</v>
      </c>
      <c r="D12145">
        <v>43.92</v>
      </c>
      <c r="E12145">
        <v>107</v>
      </c>
      <c r="F12145">
        <v>60</v>
      </c>
      <c r="G12145">
        <v>31</v>
      </c>
      <c r="H12145">
        <v>32</v>
      </c>
      <c r="I12145">
        <v>126</v>
      </c>
      <c r="J12145">
        <v>1</v>
      </c>
      <c r="K12145">
        <v>399</v>
      </c>
      <c r="L12145">
        <v>486</v>
      </c>
      <c r="M12145">
        <v>1</v>
      </c>
      <c r="N12145">
        <v>2.5435999999999999E-10</v>
      </c>
      <c r="O12145">
        <v>147</v>
      </c>
    </row>
    <row r="12146" spans="1:15" x14ac:dyDescent="0.25">
      <c r="A12146" t="s">
        <v>12159</v>
      </c>
      <c r="B12146">
        <v>226</v>
      </c>
      <c r="C12146" s="1" t="str">
        <f>HYPERLINK("http://www.rosaceae.org/gb/gbrowse/malus_x_domestica/?name=MDP0000192819","MDP0000192819")</f>
        <v>MDP0000192819</v>
      </c>
      <c r="D12146">
        <v>39.06</v>
      </c>
      <c r="E12146">
        <v>128</v>
      </c>
      <c r="F12146">
        <v>78</v>
      </c>
      <c r="G12146">
        <v>35</v>
      </c>
      <c r="H12146">
        <v>78</v>
      </c>
      <c r="I12146">
        <v>170</v>
      </c>
      <c r="J12146">
        <v>1</v>
      </c>
      <c r="K12146">
        <v>1</v>
      </c>
      <c r="L12146">
        <v>128</v>
      </c>
      <c r="M12146">
        <v>1</v>
      </c>
      <c r="N12146">
        <v>1.15085E-14</v>
      </c>
      <c r="O12146">
        <v>189</v>
      </c>
    </row>
    <row r="12147" spans="1:15" x14ac:dyDescent="0.25">
      <c r="A12147" t="s">
        <v>12160</v>
      </c>
      <c r="B12147">
        <v>1095</v>
      </c>
      <c r="C12147" s="1" t="str">
        <f>HYPERLINK("http://www.rosaceae.org/gb/gbrowse/malus_x_domestica/?name=MDP0000311190","MDP0000311190")</f>
        <v>MDP0000311190</v>
      </c>
      <c r="D12147">
        <v>73.33</v>
      </c>
      <c r="E12147">
        <v>150</v>
      </c>
      <c r="F12147">
        <v>40</v>
      </c>
      <c r="G12147">
        <v>4</v>
      </c>
      <c r="H12147">
        <v>14</v>
      </c>
      <c r="I12147">
        <v>160</v>
      </c>
      <c r="J12147">
        <v>1</v>
      </c>
      <c r="K12147">
        <v>482</v>
      </c>
      <c r="L12147">
        <v>630</v>
      </c>
      <c r="M12147">
        <v>1</v>
      </c>
      <c r="N12147">
        <v>1.58083E-60</v>
      </c>
      <c r="O12147">
        <v>592</v>
      </c>
    </row>
    <row r="12148" spans="1:15" x14ac:dyDescent="0.25">
      <c r="A12148" t="s">
        <v>12161</v>
      </c>
      <c r="B12148">
        <v>287</v>
      </c>
      <c r="C12148" s="1" t="str">
        <f>HYPERLINK("http://www.rosaceae.org/gb/gbrowse/malus_x_domestica/?name=MDP0000139977","MDP0000139977")</f>
        <v>MDP0000139977</v>
      </c>
      <c r="D12148">
        <v>50.22</v>
      </c>
      <c r="E12148">
        <v>223</v>
      </c>
      <c r="F12148">
        <v>111</v>
      </c>
      <c r="G12148">
        <v>55</v>
      </c>
      <c r="H12148">
        <v>1</v>
      </c>
      <c r="I12148">
        <v>185</v>
      </c>
      <c r="J12148">
        <v>1</v>
      </c>
      <c r="K12148">
        <v>1</v>
      </c>
      <c r="L12148">
        <v>206</v>
      </c>
      <c r="M12148">
        <v>1</v>
      </c>
      <c r="N12148">
        <v>1.30695E-40</v>
      </c>
      <c r="O12148">
        <v>414</v>
      </c>
    </row>
    <row r="12149" spans="1:15" x14ac:dyDescent="0.25">
      <c r="A12149" t="s">
        <v>12162</v>
      </c>
      <c r="B12149">
        <v>601</v>
      </c>
      <c r="C12149" s="1" t="str">
        <f>HYPERLINK("http://www.rosaceae.org/gb/gbrowse/malus_x_domestica/?name=MDP0000161195","MDP0000161195")</f>
        <v>MDP0000161195</v>
      </c>
      <c r="D12149">
        <v>65.16</v>
      </c>
      <c r="E12149">
        <v>577</v>
      </c>
      <c r="F12149">
        <v>201</v>
      </c>
      <c r="G12149">
        <v>21</v>
      </c>
      <c r="H12149">
        <v>1</v>
      </c>
      <c r="I12149">
        <v>564</v>
      </c>
      <c r="J12149">
        <v>1</v>
      </c>
      <c r="K12149">
        <v>1</v>
      </c>
      <c r="L12149">
        <v>569</v>
      </c>
      <c r="M12149">
        <v>1</v>
      </c>
      <c r="N12149">
        <v>0</v>
      </c>
      <c r="O12149">
        <v>1985</v>
      </c>
    </row>
    <row r="12150" spans="1:15" x14ac:dyDescent="0.25">
      <c r="A12150" t="s">
        <v>12163</v>
      </c>
      <c r="B12150">
        <v>606</v>
      </c>
      <c r="C12150" s="1" t="str">
        <f>HYPERLINK("http://www.rosaceae.org/gb/gbrowse/malus_x_domestica/?name=MDP0000318606","MDP0000318606")</f>
        <v>MDP0000318606</v>
      </c>
      <c r="D12150">
        <v>51.96</v>
      </c>
      <c r="E12150">
        <v>585</v>
      </c>
      <c r="F12150">
        <v>281</v>
      </c>
      <c r="G12150">
        <v>45</v>
      </c>
      <c r="H12150">
        <v>9</v>
      </c>
      <c r="I12150">
        <v>589</v>
      </c>
      <c r="J12150">
        <v>1</v>
      </c>
      <c r="K12150">
        <v>17</v>
      </c>
      <c r="L12150">
        <v>560</v>
      </c>
      <c r="M12150">
        <v>1</v>
      </c>
      <c r="N12150">
        <v>8.0290100000000005E-176</v>
      </c>
      <c r="O12150">
        <v>1584</v>
      </c>
    </row>
    <row r="12151" spans="1:15" x14ac:dyDescent="0.25">
      <c r="A12151" t="s">
        <v>12164</v>
      </c>
      <c r="B12151">
        <v>476</v>
      </c>
      <c r="C12151" s="1" t="str">
        <f>HYPERLINK("http://www.rosaceae.org/gb/gbrowse/malus_x_domestica/?name=MDP0000750292","MDP0000750292")</f>
        <v>MDP0000750292</v>
      </c>
      <c r="D12151">
        <v>64.36</v>
      </c>
      <c r="E12151">
        <v>87</v>
      </c>
      <c r="F12151">
        <v>31</v>
      </c>
      <c r="G12151">
        <v>2</v>
      </c>
      <c r="H12151">
        <v>391</v>
      </c>
      <c r="I12151">
        <v>475</v>
      </c>
      <c r="J12151">
        <v>1</v>
      </c>
      <c r="K12151">
        <v>1</v>
      </c>
      <c r="L12151">
        <v>87</v>
      </c>
      <c r="M12151">
        <v>1</v>
      </c>
      <c r="N12151">
        <v>9.4446800000000008E-25</v>
      </c>
      <c r="O12151">
        <v>280</v>
      </c>
    </row>
    <row r="12152" spans="1:15" x14ac:dyDescent="0.25">
      <c r="A12152" t="s">
        <v>12165</v>
      </c>
      <c r="B12152">
        <v>146</v>
      </c>
      <c r="C12152" s="1" t="str">
        <f>HYPERLINK("http://www.rosaceae.org/gb/gbrowse/malus_x_domestica/?name=MDP0000165325","MDP0000165325")</f>
        <v>MDP0000165325</v>
      </c>
      <c r="D12152">
        <v>53.94</v>
      </c>
      <c r="E12152">
        <v>76</v>
      </c>
      <c r="F12152">
        <v>35</v>
      </c>
      <c r="G12152">
        <v>0</v>
      </c>
      <c r="H12152">
        <v>20</v>
      </c>
      <c r="I12152">
        <v>95</v>
      </c>
      <c r="J12152">
        <v>1</v>
      </c>
      <c r="K12152">
        <v>79</v>
      </c>
      <c r="L12152">
        <v>154</v>
      </c>
      <c r="M12152">
        <v>1</v>
      </c>
      <c r="N12152">
        <v>1.6402600000000001E-16</v>
      </c>
      <c r="O12152">
        <v>201</v>
      </c>
    </row>
    <row r="12153" spans="1:15" x14ac:dyDescent="0.25">
      <c r="A12153" t="s">
        <v>12166</v>
      </c>
      <c r="B12153">
        <v>139</v>
      </c>
      <c r="C12153" s="1" t="str">
        <f>HYPERLINK("http://www.rosaceae.org/gb/gbrowse/malus_x_domestica/?name=MDP0000313283","MDP0000313283")</f>
        <v>MDP0000313283</v>
      </c>
      <c r="D12153">
        <v>48.14</v>
      </c>
      <c r="E12153">
        <v>81</v>
      </c>
      <c r="F12153">
        <v>42</v>
      </c>
      <c r="G12153">
        <v>0</v>
      </c>
      <c r="H12153">
        <v>35</v>
      </c>
      <c r="I12153">
        <v>115</v>
      </c>
      <c r="J12153">
        <v>1</v>
      </c>
      <c r="K12153">
        <v>144</v>
      </c>
      <c r="L12153">
        <v>224</v>
      </c>
      <c r="M12153">
        <v>1</v>
      </c>
      <c r="N12153">
        <v>6.8131400000000001E-18</v>
      </c>
      <c r="O12153">
        <v>213</v>
      </c>
    </row>
    <row r="12154" spans="1:15" x14ac:dyDescent="0.25">
      <c r="A12154" t="s">
        <v>12167</v>
      </c>
      <c r="B12154">
        <v>297</v>
      </c>
      <c r="C12154" s="1" t="str">
        <f>HYPERLINK("http://www.rosaceae.org/gb/gbrowse/malus_x_domestica/?name=MDP0000189755","MDP0000189755")</f>
        <v>MDP0000189755</v>
      </c>
      <c r="D12154">
        <v>58</v>
      </c>
      <c r="E12154">
        <v>50</v>
      </c>
      <c r="F12154">
        <v>21</v>
      </c>
      <c r="G12154">
        <v>0</v>
      </c>
      <c r="H12154">
        <v>152</v>
      </c>
      <c r="I12154">
        <v>201</v>
      </c>
      <c r="J12154">
        <v>1</v>
      </c>
      <c r="K12154">
        <v>386</v>
      </c>
      <c r="L12154">
        <v>435</v>
      </c>
      <c r="M12154">
        <v>1</v>
      </c>
      <c r="N12154">
        <v>6.8892199999999996E-12</v>
      </c>
      <c r="O12154">
        <v>166</v>
      </c>
    </row>
    <row r="12155" spans="1:15" x14ac:dyDescent="0.25">
      <c r="A12155" t="s">
        <v>12168</v>
      </c>
      <c r="B12155">
        <v>700</v>
      </c>
      <c r="C12155" s="1" t="str">
        <f>HYPERLINK("http://www.rosaceae.org/gb/gbrowse/malus_x_domestica/?name=MDP0000575440","MDP0000575440")</f>
        <v>MDP0000575440</v>
      </c>
      <c r="D12155">
        <v>54.14</v>
      </c>
      <c r="E12155">
        <v>639</v>
      </c>
      <c r="F12155">
        <v>293</v>
      </c>
      <c r="G12155">
        <v>74</v>
      </c>
      <c r="H12155">
        <v>89</v>
      </c>
      <c r="I12155">
        <v>700</v>
      </c>
      <c r="J12155">
        <v>1</v>
      </c>
      <c r="K12155">
        <v>1</v>
      </c>
      <c r="L12155">
        <v>592</v>
      </c>
      <c r="M12155">
        <v>1</v>
      </c>
      <c r="N12155">
        <v>3.4183199999999999E-160</v>
      </c>
      <c r="O12155">
        <v>1449</v>
      </c>
    </row>
    <row r="12156" spans="1:15" x14ac:dyDescent="0.25">
      <c r="A12156" t="s">
        <v>12169</v>
      </c>
      <c r="B12156">
        <v>554</v>
      </c>
      <c r="C12156" s="1" t="str">
        <f>HYPERLINK("http://www.rosaceae.org/gb/gbrowse/malus_x_domestica/?name=MDP0000224825","MDP0000224825")</f>
        <v>MDP0000224825</v>
      </c>
      <c r="D12156">
        <v>61.04</v>
      </c>
      <c r="E12156">
        <v>439</v>
      </c>
      <c r="F12156">
        <v>171</v>
      </c>
      <c r="G12156">
        <v>15</v>
      </c>
      <c r="H12156">
        <v>85</v>
      </c>
      <c r="I12156">
        <v>516</v>
      </c>
      <c r="J12156">
        <v>1</v>
      </c>
      <c r="K12156">
        <v>1</v>
      </c>
      <c r="L12156">
        <v>431</v>
      </c>
      <c r="M12156">
        <v>1</v>
      </c>
      <c r="N12156">
        <v>7.2770299999999999E-134</v>
      </c>
      <c r="O12156">
        <v>1221</v>
      </c>
    </row>
    <row r="12157" spans="1:15" x14ac:dyDescent="0.25">
      <c r="A12157" t="s">
        <v>12170</v>
      </c>
      <c r="B12157">
        <v>248</v>
      </c>
      <c r="C12157" s="1" t="str">
        <f>HYPERLINK("http://www.rosaceae.org/gb/gbrowse/malus_x_domestica/?name=MDP0000288943","MDP0000288943")</f>
        <v>MDP0000288943</v>
      </c>
      <c r="D12157">
        <v>72.239999999999995</v>
      </c>
      <c r="E12157">
        <v>227</v>
      </c>
      <c r="F12157">
        <v>63</v>
      </c>
      <c r="G12157">
        <v>0</v>
      </c>
      <c r="H12157">
        <v>22</v>
      </c>
      <c r="I12157">
        <v>248</v>
      </c>
      <c r="J12157">
        <v>1</v>
      </c>
      <c r="K12157">
        <v>782</v>
      </c>
      <c r="L12157">
        <v>1008</v>
      </c>
      <c r="M12157">
        <v>1</v>
      </c>
      <c r="N12157">
        <v>1.0782E-96</v>
      </c>
      <c r="O12157">
        <v>897</v>
      </c>
    </row>
    <row r="12158" spans="1:15" x14ac:dyDescent="0.25">
      <c r="A12158" t="s">
        <v>12171</v>
      </c>
      <c r="B12158">
        <v>380</v>
      </c>
      <c r="C12158" s="1" t="str">
        <f>HYPERLINK("http://www.rosaceae.org/gb/gbrowse/malus_x_domestica/?name=MDP0000601809","MDP0000601809")</f>
        <v>MDP0000601809</v>
      </c>
      <c r="D12158">
        <v>66.48</v>
      </c>
      <c r="E12158">
        <v>364</v>
      </c>
      <c r="F12158">
        <v>122</v>
      </c>
      <c r="G12158">
        <v>7</v>
      </c>
      <c r="H12158">
        <v>2</v>
      </c>
      <c r="I12158">
        <v>364</v>
      </c>
      <c r="J12158">
        <v>1</v>
      </c>
      <c r="K12158">
        <v>43</v>
      </c>
      <c r="L12158">
        <v>400</v>
      </c>
      <c r="M12158">
        <v>1</v>
      </c>
      <c r="N12158">
        <v>3.2129300000000001E-137</v>
      </c>
      <c r="O12158">
        <v>1249</v>
      </c>
    </row>
    <row r="12159" spans="1:15" x14ac:dyDescent="0.25">
      <c r="A12159" t="s">
        <v>12172</v>
      </c>
      <c r="B12159">
        <v>247</v>
      </c>
      <c r="C12159" s="1" t="str">
        <f>HYPERLINK("http://www.rosaceae.org/gb/gbrowse/malus_x_domestica/?name=MDP0000677023","MDP0000677023")</f>
        <v>MDP0000677023</v>
      </c>
      <c r="D12159">
        <v>71.819999999999993</v>
      </c>
      <c r="E12159">
        <v>252</v>
      </c>
      <c r="F12159">
        <v>71</v>
      </c>
      <c r="G12159">
        <v>5</v>
      </c>
      <c r="H12159">
        <v>1</v>
      </c>
      <c r="I12159">
        <v>247</v>
      </c>
      <c r="J12159">
        <v>1</v>
      </c>
      <c r="K12159">
        <v>1</v>
      </c>
      <c r="L12159">
        <v>252</v>
      </c>
      <c r="M12159">
        <v>1</v>
      </c>
      <c r="N12159">
        <v>8.25846E-101</v>
      </c>
      <c r="O12159">
        <v>932</v>
      </c>
    </row>
    <row r="12160" spans="1:15" x14ac:dyDescent="0.25">
      <c r="A12160" t="s">
        <v>12173</v>
      </c>
      <c r="B12160">
        <v>266</v>
      </c>
      <c r="C12160" s="1" t="str">
        <f>HYPERLINK("http://www.rosaceae.org/gb/gbrowse/malus_x_domestica/?name=MDP0000065975","MDP0000065975")</f>
        <v>MDP0000065975</v>
      </c>
      <c r="D12160">
        <v>76.19</v>
      </c>
      <c r="E12160">
        <v>42</v>
      </c>
      <c r="F12160">
        <v>10</v>
      </c>
      <c r="G12160">
        <v>0</v>
      </c>
      <c r="H12160">
        <v>121</v>
      </c>
      <c r="I12160">
        <v>162</v>
      </c>
      <c r="J12160">
        <v>1</v>
      </c>
      <c r="K12160">
        <v>324</v>
      </c>
      <c r="L12160">
        <v>365</v>
      </c>
      <c r="M12160">
        <v>1</v>
      </c>
      <c r="N12160">
        <v>6.2958800000000001E-15</v>
      </c>
      <c r="O12160">
        <v>192</v>
      </c>
    </row>
    <row r="12161" spans="1:15" x14ac:dyDescent="0.25">
      <c r="A12161" t="s">
        <v>12174</v>
      </c>
      <c r="B12161">
        <v>488</v>
      </c>
      <c r="C12161" s="1" t="str">
        <f>HYPERLINK("http://www.rosaceae.org/gb/gbrowse/malus_x_domestica/?name=MDP0000173539","MDP0000173539")</f>
        <v>MDP0000173539</v>
      </c>
      <c r="D12161">
        <v>74.34</v>
      </c>
      <c r="E12161">
        <v>460</v>
      </c>
      <c r="F12161">
        <v>118</v>
      </c>
      <c r="G12161">
        <v>7</v>
      </c>
      <c r="H12161">
        <v>34</v>
      </c>
      <c r="I12161">
        <v>488</v>
      </c>
      <c r="J12161">
        <v>1</v>
      </c>
      <c r="K12161">
        <v>1</v>
      </c>
      <c r="L12161">
        <v>458</v>
      </c>
      <c r="M12161">
        <v>1</v>
      </c>
      <c r="N12161">
        <v>0</v>
      </c>
      <c r="O12161">
        <v>1849</v>
      </c>
    </row>
    <row r="12162" spans="1:15" x14ac:dyDescent="0.25">
      <c r="A12162" t="s">
        <v>12175</v>
      </c>
      <c r="B12162">
        <v>507</v>
      </c>
      <c r="C12162" s="1" t="str">
        <f>HYPERLINK("http://www.rosaceae.org/gb/gbrowse/malus_x_domestica/?name=MDP0000303179","MDP0000303179")</f>
        <v>MDP0000303179</v>
      </c>
      <c r="D12162">
        <v>57.02</v>
      </c>
      <c r="E12162">
        <v>363</v>
      </c>
      <c r="F12162">
        <v>156</v>
      </c>
      <c r="G12162">
        <v>50</v>
      </c>
      <c r="H12162">
        <v>151</v>
      </c>
      <c r="I12162">
        <v>507</v>
      </c>
      <c r="J12162">
        <v>1</v>
      </c>
      <c r="K12162">
        <v>830</v>
      </c>
      <c r="L12162">
        <v>1148</v>
      </c>
      <c r="M12162">
        <v>1</v>
      </c>
      <c r="N12162">
        <v>3.2441300000000001E-111</v>
      </c>
      <c r="O12162">
        <v>1026</v>
      </c>
    </row>
    <row r="12163" spans="1:15" x14ac:dyDescent="0.25">
      <c r="A12163" t="s">
        <v>12176</v>
      </c>
      <c r="B12163">
        <v>314</v>
      </c>
      <c r="C12163" s="1" t="str">
        <f>HYPERLINK("http://www.rosaceae.org/gb/gbrowse/malus_x_domestica/?name=MDP0000360515","MDP0000360515")</f>
        <v>MDP0000360515</v>
      </c>
      <c r="D12163">
        <v>69.599999999999994</v>
      </c>
      <c r="E12163">
        <v>102</v>
      </c>
      <c r="F12163">
        <v>31</v>
      </c>
      <c r="G12163">
        <v>6</v>
      </c>
      <c r="H12163">
        <v>32</v>
      </c>
      <c r="I12163">
        <v>127</v>
      </c>
      <c r="J12163">
        <v>1</v>
      </c>
      <c r="K12163">
        <v>100</v>
      </c>
      <c r="L12163">
        <v>201</v>
      </c>
      <c r="M12163">
        <v>1</v>
      </c>
      <c r="N12163">
        <v>7.6406399999999998E-31</v>
      </c>
      <c r="O12163">
        <v>330</v>
      </c>
    </row>
    <row r="12164" spans="1:15" x14ac:dyDescent="0.25">
      <c r="A12164" t="s">
        <v>12177</v>
      </c>
      <c r="B12164">
        <v>1042</v>
      </c>
      <c r="C12164" s="1" t="str">
        <f>HYPERLINK("http://www.rosaceae.org/gb/gbrowse/malus_x_domestica/?name=MDP0000265800","MDP0000265800")</f>
        <v>MDP0000265800</v>
      </c>
      <c r="D12164">
        <v>62.73</v>
      </c>
      <c r="E12164">
        <v>1052</v>
      </c>
      <c r="F12164">
        <v>392</v>
      </c>
      <c r="G12164">
        <v>87</v>
      </c>
      <c r="H12164">
        <v>1</v>
      </c>
      <c r="I12164">
        <v>1000</v>
      </c>
      <c r="J12164">
        <v>1</v>
      </c>
      <c r="K12164">
        <v>236</v>
      </c>
      <c r="L12164">
        <v>1252</v>
      </c>
      <c r="M12164">
        <v>1</v>
      </c>
      <c r="N12164">
        <v>0</v>
      </c>
      <c r="O12164">
        <v>3279</v>
      </c>
    </row>
    <row r="12165" spans="1:15" x14ac:dyDescent="0.25">
      <c r="A12165" t="s">
        <v>12178</v>
      </c>
      <c r="B12165">
        <v>1330</v>
      </c>
      <c r="C12165" s="1" t="str">
        <f>HYPERLINK("http://www.rosaceae.org/gb/gbrowse/malus_x_domestica/?name=MDP0000145652","MDP0000145652")</f>
        <v>MDP0000145652</v>
      </c>
      <c r="D12165">
        <v>53.43</v>
      </c>
      <c r="E12165">
        <v>1207</v>
      </c>
      <c r="F12165">
        <v>562</v>
      </c>
      <c r="G12165">
        <v>30</v>
      </c>
      <c r="H12165">
        <v>1</v>
      </c>
      <c r="I12165">
        <v>1197</v>
      </c>
      <c r="J12165">
        <v>1</v>
      </c>
      <c r="K12165">
        <v>1</v>
      </c>
      <c r="L12165">
        <v>1187</v>
      </c>
      <c r="M12165">
        <v>1</v>
      </c>
      <c r="N12165">
        <v>0</v>
      </c>
      <c r="O12165">
        <v>3084</v>
      </c>
    </row>
    <row r="12166" spans="1:15" x14ac:dyDescent="0.25">
      <c r="A12166" t="s">
        <v>12179</v>
      </c>
      <c r="B12166">
        <v>449</v>
      </c>
      <c r="C12166" s="1" t="str">
        <f>HYPERLINK("http://www.rosaceae.org/gb/gbrowse/malus_x_domestica/?name=MDP0000188175","MDP0000188175")</f>
        <v>MDP0000188175</v>
      </c>
      <c r="D12166">
        <v>31.57</v>
      </c>
      <c r="E12166">
        <v>437</v>
      </c>
      <c r="F12166">
        <v>299</v>
      </c>
      <c r="G12166">
        <v>53</v>
      </c>
      <c r="H12166">
        <v>38</v>
      </c>
      <c r="I12166">
        <v>446</v>
      </c>
      <c r="J12166">
        <v>1</v>
      </c>
      <c r="K12166">
        <v>34</v>
      </c>
      <c r="L12166">
        <v>445</v>
      </c>
      <c r="M12166">
        <v>1</v>
      </c>
      <c r="N12166">
        <v>8.6306899999999995E-45</v>
      </c>
      <c r="O12166">
        <v>452</v>
      </c>
    </row>
    <row r="12167" spans="1:15" x14ac:dyDescent="0.25">
      <c r="A12167" t="s">
        <v>12180</v>
      </c>
      <c r="B12167">
        <v>154</v>
      </c>
      <c r="C12167" s="1" t="str">
        <f>HYPERLINK("http://www.rosaceae.org/gb/gbrowse/malus_x_domestica/?name=MDP0000892198","MDP0000892198")</f>
        <v>MDP0000892198</v>
      </c>
      <c r="D12167">
        <v>77.77</v>
      </c>
      <c r="E12167">
        <v>153</v>
      </c>
      <c r="F12167">
        <v>34</v>
      </c>
      <c r="G12167">
        <v>5</v>
      </c>
      <c r="H12167">
        <v>1</v>
      </c>
      <c r="I12167">
        <v>149</v>
      </c>
      <c r="J12167">
        <v>1</v>
      </c>
      <c r="K12167">
        <v>1</v>
      </c>
      <c r="L12167">
        <v>152</v>
      </c>
      <c r="M12167">
        <v>1</v>
      </c>
      <c r="N12167">
        <v>1.7530099999999999E-66</v>
      </c>
      <c r="O12167">
        <v>633</v>
      </c>
    </row>
    <row r="12168" spans="1:15" x14ac:dyDescent="0.25">
      <c r="A12168" t="s">
        <v>12181</v>
      </c>
      <c r="B12168">
        <v>246</v>
      </c>
      <c r="C12168" s="1" t="str">
        <f>HYPERLINK("http://www.rosaceae.org/gb/gbrowse/malus_x_domestica/?name=MDP0000292722","MDP0000292722")</f>
        <v>MDP0000292722</v>
      </c>
      <c r="D12168">
        <v>57.94</v>
      </c>
      <c r="E12168">
        <v>107</v>
      </c>
      <c r="F12168">
        <v>45</v>
      </c>
      <c r="G12168">
        <v>1</v>
      </c>
      <c r="H12168">
        <v>31</v>
      </c>
      <c r="I12168">
        <v>136</v>
      </c>
      <c r="J12168">
        <v>1</v>
      </c>
      <c r="K12168">
        <v>291</v>
      </c>
      <c r="L12168">
        <v>397</v>
      </c>
      <c r="M12168">
        <v>1</v>
      </c>
      <c r="N12168">
        <v>1.8034500000000001E-30</v>
      </c>
      <c r="O12168">
        <v>326</v>
      </c>
    </row>
    <row r="12169" spans="1:15" x14ac:dyDescent="0.25">
      <c r="A12169" t="s">
        <v>12182</v>
      </c>
      <c r="B12169">
        <v>880</v>
      </c>
      <c r="C12169" s="1" t="str">
        <f>HYPERLINK("http://www.rosaceae.org/gb/gbrowse/malus_x_domestica/?name=MDP0000233315","MDP0000233315")</f>
        <v>MDP0000233315</v>
      </c>
      <c r="D12169">
        <v>55.5</v>
      </c>
      <c r="E12169">
        <v>908</v>
      </c>
      <c r="F12169">
        <v>404</v>
      </c>
      <c r="G12169">
        <v>54</v>
      </c>
      <c r="H12169">
        <v>1</v>
      </c>
      <c r="I12169">
        <v>876</v>
      </c>
      <c r="J12169">
        <v>1</v>
      </c>
      <c r="K12169">
        <v>1</v>
      </c>
      <c r="L12169">
        <v>886</v>
      </c>
      <c r="M12169">
        <v>1</v>
      </c>
      <c r="N12169">
        <v>0</v>
      </c>
      <c r="O12169">
        <v>2376</v>
      </c>
    </row>
    <row r="12170" spans="1:15" x14ac:dyDescent="0.25">
      <c r="A12170" t="s">
        <v>12183</v>
      </c>
      <c r="B12170">
        <v>236</v>
      </c>
      <c r="C12170" s="1" t="str">
        <f>HYPERLINK("http://www.rosaceae.org/gb/gbrowse/malus_x_domestica/?name=MDP0000140238","MDP0000140238")</f>
        <v>MDP0000140238</v>
      </c>
      <c r="D12170">
        <v>69.28</v>
      </c>
      <c r="E12170">
        <v>153</v>
      </c>
      <c r="F12170">
        <v>47</v>
      </c>
      <c r="G12170">
        <v>13</v>
      </c>
      <c r="H12170">
        <v>1</v>
      </c>
      <c r="I12170">
        <v>153</v>
      </c>
      <c r="J12170">
        <v>1</v>
      </c>
      <c r="K12170">
        <v>1</v>
      </c>
      <c r="L12170">
        <v>140</v>
      </c>
      <c r="M12170">
        <v>1</v>
      </c>
      <c r="N12170">
        <v>2.29641E-53</v>
      </c>
      <c r="O12170">
        <v>523</v>
      </c>
    </row>
    <row r="12171" spans="1:15" x14ac:dyDescent="0.25">
      <c r="A12171" t="s">
        <v>12184</v>
      </c>
      <c r="B12171">
        <v>454</v>
      </c>
      <c r="C12171" s="1" t="str">
        <f>HYPERLINK("http://www.rosaceae.org/gb/gbrowse/malus_x_domestica/?name=MDP0000153499","MDP0000153499")</f>
        <v>MDP0000153499</v>
      </c>
      <c r="D12171">
        <v>70.209999999999994</v>
      </c>
      <c r="E12171">
        <v>470</v>
      </c>
      <c r="F12171">
        <v>140</v>
      </c>
      <c r="G12171">
        <v>60</v>
      </c>
      <c r="H12171">
        <v>1</v>
      </c>
      <c r="I12171">
        <v>454</v>
      </c>
      <c r="J12171">
        <v>1</v>
      </c>
      <c r="K12171">
        <v>1</v>
      </c>
      <c r="L12171">
        <v>426</v>
      </c>
      <c r="M12171">
        <v>1</v>
      </c>
      <c r="N12171">
        <v>0</v>
      </c>
      <c r="O12171">
        <v>1666</v>
      </c>
    </row>
    <row r="12172" spans="1:15" x14ac:dyDescent="0.25">
      <c r="A12172" t="s">
        <v>12185</v>
      </c>
      <c r="B12172">
        <v>983</v>
      </c>
      <c r="C12172" s="1" t="str">
        <f>HYPERLINK("http://www.rosaceae.org/gb/gbrowse/malus_x_domestica/?name=MDP0000010597","MDP0000010597")</f>
        <v>MDP0000010597</v>
      </c>
      <c r="D12172">
        <v>68.83</v>
      </c>
      <c r="E12172">
        <v>446</v>
      </c>
      <c r="F12172">
        <v>139</v>
      </c>
      <c r="G12172">
        <v>5</v>
      </c>
      <c r="H12172">
        <v>1</v>
      </c>
      <c r="I12172">
        <v>441</v>
      </c>
      <c r="J12172">
        <v>1</v>
      </c>
      <c r="K12172">
        <v>1</v>
      </c>
      <c r="L12172">
        <v>446</v>
      </c>
      <c r="M12172">
        <v>1</v>
      </c>
      <c r="N12172">
        <v>0</v>
      </c>
      <c r="O12172">
        <v>1717</v>
      </c>
    </row>
    <row r="12173" spans="1:15" x14ac:dyDescent="0.25">
      <c r="A12173" t="s">
        <v>12186</v>
      </c>
      <c r="B12173">
        <v>316</v>
      </c>
      <c r="C12173" s="1" t="str">
        <f>HYPERLINK("http://www.rosaceae.org/gb/gbrowse/malus_x_domestica/?name=MDP0000228407","MDP0000228407")</f>
        <v>MDP0000228407</v>
      </c>
      <c r="D12173">
        <v>36.36</v>
      </c>
      <c r="E12173">
        <v>154</v>
      </c>
      <c r="F12173">
        <v>98</v>
      </c>
      <c r="G12173">
        <v>4</v>
      </c>
      <c r="H12173">
        <v>165</v>
      </c>
      <c r="I12173">
        <v>314</v>
      </c>
      <c r="J12173">
        <v>1</v>
      </c>
      <c r="K12173">
        <v>190</v>
      </c>
      <c r="L12173">
        <v>343</v>
      </c>
      <c r="M12173">
        <v>1</v>
      </c>
      <c r="N12173">
        <v>1.6255100000000002E-20</v>
      </c>
      <c r="O12173">
        <v>241</v>
      </c>
    </row>
    <row r="12174" spans="1:15" x14ac:dyDescent="0.25">
      <c r="A12174" t="s">
        <v>12187</v>
      </c>
      <c r="B12174">
        <v>506</v>
      </c>
      <c r="C12174" s="1" t="str">
        <f>HYPERLINK("http://www.rosaceae.org/gb/gbrowse/malus_x_domestica/?name=MDP0000128857","MDP0000128857")</f>
        <v>MDP0000128857</v>
      </c>
      <c r="D12174">
        <v>27.46</v>
      </c>
      <c r="E12174">
        <v>193</v>
      </c>
      <c r="F12174">
        <v>140</v>
      </c>
      <c r="G12174">
        <v>33</v>
      </c>
      <c r="H12174">
        <v>20</v>
      </c>
      <c r="I12174">
        <v>187</v>
      </c>
      <c r="J12174">
        <v>1</v>
      </c>
      <c r="K12174">
        <v>167</v>
      </c>
      <c r="L12174">
        <v>351</v>
      </c>
      <c r="M12174">
        <v>1</v>
      </c>
      <c r="N12174">
        <v>4.0300799999999998E-16</v>
      </c>
      <c r="O12174">
        <v>206</v>
      </c>
    </row>
    <row r="12175" spans="1:15" x14ac:dyDescent="0.25">
      <c r="A12175" t="s">
        <v>12188</v>
      </c>
      <c r="B12175">
        <v>154</v>
      </c>
      <c r="C12175" s="1" t="str">
        <f>HYPERLINK("http://www.rosaceae.org/gb/gbrowse/malus_x_domestica/?name=MDP0000225463","MDP0000225463")</f>
        <v>MDP0000225463</v>
      </c>
      <c r="D12175">
        <v>36.26</v>
      </c>
      <c r="E12175">
        <v>91</v>
      </c>
      <c r="F12175">
        <v>58</v>
      </c>
      <c r="G12175">
        <v>2</v>
      </c>
      <c r="H12175">
        <v>1</v>
      </c>
      <c r="I12175">
        <v>89</v>
      </c>
      <c r="J12175">
        <v>1</v>
      </c>
      <c r="K12175">
        <v>3</v>
      </c>
      <c r="L12175">
        <v>93</v>
      </c>
      <c r="M12175">
        <v>1</v>
      </c>
      <c r="N12175">
        <v>7.6072000000000006E-11</v>
      </c>
      <c r="O12175">
        <v>153</v>
      </c>
    </row>
    <row r="12176" spans="1:15" x14ac:dyDescent="0.25">
      <c r="A12176" t="s">
        <v>12189</v>
      </c>
      <c r="B12176">
        <v>373</v>
      </c>
      <c r="C12176" s="1" t="str">
        <f>HYPERLINK("http://www.rosaceae.org/gb/gbrowse/malus_x_domestica/?name=MDP0000700517","MDP0000700517")</f>
        <v>MDP0000700517</v>
      </c>
      <c r="D12176">
        <v>31.63</v>
      </c>
      <c r="E12176">
        <v>177</v>
      </c>
      <c r="F12176">
        <v>121</v>
      </c>
      <c r="G12176">
        <v>24</v>
      </c>
      <c r="H12176">
        <v>145</v>
      </c>
      <c r="I12176">
        <v>297</v>
      </c>
      <c r="J12176">
        <v>1</v>
      </c>
      <c r="K12176">
        <v>205</v>
      </c>
      <c r="L12176">
        <v>381</v>
      </c>
      <c r="M12176">
        <v>1</v>
      </c>
      <c r="N12176">
        <v>1.7784200000000001E-16</v>
      </c>
      <c r="O12176">
        <v>207</v>
      </c>
    </row>
    <row r="12177" spans="1:15" x14ac:dyDescent="0.25">
      <c r="A12177" t="s">
        <v>12190</v>
      </c>
      <c r="B12177">
        <v>279</v>
      </c>
      <c r="C12177" s="1" t="str">
        <f>HYPERLINK("http://www.rosaceae.org/gb/gbrowse/malus_x_domestica/?name=MDP0000136726","MDP0000136726")</f>
        <v>MDP0000136726</v>
      </c>
      <c r="D12177">
        <v>58.94</v>
      </c>
      <c r="E12177">
        <v>151</v>
      </c>
      <c r="F12177">
        <v>62</v>
      </c>
      <c r="G12177">
        <v>2</v>
      </c>
      <c r="H12177">
        <v>128</v>
      </c>
      <c r="I12177">
        <v>277</v>
      </c>
      <c r="J12177">
        <v>1</v>
      </c>
      <c r="K12177">
        <v>1185</v>
      </c>
      <c r="L12177">
        <v>1334</v>
      </c>
      <c r="M12177">
        <v>1</v>
      </c>
      <c r="N12177">
        <v>6.1471599999999998E-44</v>
      </c>
      <c r="O12177">
        <v>442</v>
      </c>
    </row>
    <row r="12178" spans="1:15" x14ac:dyDescent="0.25">
      <c r="A12178" t="s">
        <v>12191</v>
      </c>
      <c r="B12178">
        <v>109</v>
      </c>
      <c r="C12178" s="1" t="str">
        <f>HYPERLINK("http://www.rosaceae.org/gb/gbrowse/malus_x_domestica/?name=MDP0000405179","MDP0000405179")</f>
        <v>MDP0000405179</v>
      </c>
      <c r="D12178">
        <v>72</v>
      </c>
      <c r="E12178">
        <v>100</v>
      </c>
      <c r="F12178">
        <v>28</v>
      </c>
      <c r="G12178">
        <v>0</v>
      </c>
      <c r="H12178">
        <v>9</v>
      </c>
      <c r="I12178">
        <v>108</v>
      </c>
      <c r="J12178">
        <v>1</v>
      </c>
      <c r="K12178">
        <v>74</v>
      </c>
      <c r="L12178">
        <v>173</v>
      </c>
      <c r="M12178">
        <v>1</v>
      </c>
      <c r="N12178">
        <v>3.7126400000000003E-39</v>
      </c>
      <c r="O12178">
        <v>395</v>
      </c>
    </row>
    <row r="12179" spans="1:15" x14ac:dyDescent="0.25">
      <c r="A12179" t="s">
        <v>12192</v>
      </c>
      <c r="B12179">
        <v>151</v>
      </c>
      <c r="C12179" s="1" t="str">
        <f>HYPERLINK("http://www.rosaceae.org/gb/gbrowse/malus_x_domestica/?name=MDP0000320062","MDP0000320062")</f>
        <v>MDP0000320062</v>
      </c>
      <c r="D12179">
        <v>39.86</v>
      </c>
      <c r="E12179">
        <v>153</v>
      </c>
      <c r="F12179">
        <v>92</v>
      </c>
      <c r="G12179">
        <v>15</v>
      </c>
      <c r="H12179">
        <v>4</v>
      </c>
      <c r="I12179">
        <v>141</v>
      </c>
      <c r="J12179">
        <v>1</v>
      </c>
      <c r="K12179">
        <v>281</v>
      </c>
      <c r="L12179">
        <v>433</v>
      </c>
      <c r="M12179">
        <v>1</v>
      </c>
      <c r="N12179">
        <v>2.5525699999999998E-16</v>
      </c>
      <c r="O12179">
        <v>200</v>
      </c>
    </row>
    <row r="12180" spans="1:15" x14ac:dyDescent="0.25">
      <c r="A12180" t="s">
        <v>12193</v>
      </c>
      <c r="B12180">
        <v>142</v>
      </c>
      <c r="C12180" s="1" t="str">
        <f>HYPERLINK("http://www.rosaceae.org/gb/gbrowse/malus_x_domestica/?name=MDP0000939214","MDP0000939214")</f>
        <v>MDP0000939214</v>
      </c>
      <c r="D12180">
        <v>75.349999999999994</v>
      </c>
      <c r="E12180">
        <v>142</v>
      </c>
      <c r="F12180">
        <v>35</v>
      </c>
      <c r="G12180">
        <v>1</v>
      </c>
      <c r="H12180">
        <v>1</v>
      </c>
      <c r="I12180">
        <v>142</v>
      </c>
      <c r="J12180">
        <v>1</v>
      </c>
      <c r="K12180">
        <v>1</v>
      </c>
      <c r="L12180">
        <v>141</v>
      </c>
      <c r="M12180">
        <v>1</v>
      </c>
      <c r="N12180">
        <v>1.00102E-59</v>
      </c>
      <c r="O12180">
        <v>574</v>
      </c>
    </row>
    <row r="12181" spans="1:15" x14ac:dyDescent="0.25">
      <c r="A12181" t="s">
        <v>12194</v>
      </c>
      <c r="B12181">
        <v>439</v>
      </c>
      <c r="C12181" s="1" t="str">
        <f>HYPERLINK("http://www.rosaceae.org/gb/gbrowse/malus_x_domestica/?name=MDP0000933022","MDP0000933022")</f>
        <v>MDP0000933022</v>
      </c>
      <c r="D12181">
        <v>73.22</v>
      </c>
      <c r="E12181">
        <v>310</v>
      </c>
      <c r="F12181">
        <v>83</v>
      </c>
      <c r="G12181">
        <v>7</v>
      </c>
      <c r="H12181">
        <v>98</v>
      </c>
      <c r="I12181">
        <v>407</v>
      </c>
      <c r="J12181">
        <v>1</v>
      </c>
      <c r="K12181">
        <v>11</v>
      </c>
      <c r="L12181">
        <v>313</v>
      </c>
      <c r="M12181">
        <v>1</v>
      </c>
      <c r="N12181">
        <v>5.9971899999999998E-128</v>
      </c>
      <c r="O12181">
        <v>1169</v>
      </c>
    </row>
    <row r="12182" spans="1:15" x14ac:dyDescent="0.25">
      <c r="A12182" t="s">
        <v>12195</v>
      </c>
      <c r="B12182">
        <v>2190</v>
      </c>
      <c r="C12182" s="1" t="str">
        <f>HYPERLINK("http://www.rosaceae.org/gb/gbrowse/malus_x_domestica/?name=MDP0000215279","MDP0000215279")</f>
        <v>MDP0000215279</v>
      </c>
      <c r="D12182">
        <v>79.19</v>
      </c>
      <c r="E12182">
        <v>2331</v>
      </c>
      <c r="F12182">
        <v>485</v>
      </c>
      <c r="G12182">
        <v>148</v>
      </c>
      <c r="H12182">
        <v>1</v>
      </c>
      <c r="I12182">
        <v>2189</v>
      </c>
      <c r="J12182">
        <v>1</v>
      </c>
      <c r="K12182">
        <v>1</v>
      </c>
      <c r="L12182">
        <v>2325</v>
      </c>
      <c r="M12182">
        <v>1</v>
      </c>
      <c r="N12182">
        <v>0</v>
      </c>
      <c r="O12182">
        <v>9814</v>
      </c>
    </row>
    <row r="12183" spans="1:15" x14ac:dyDescent="0.25">
      <c r="A12183" t="s">
        <v>12196</v>
      </c>
      <c r="B12183">
        <v>148</v>
      </c>
      <c r="C12183" s="1" t="str">
        <f>HYPERLINK("http://www.rosaceae.org/gb/gbrowse/malus_x_domestica/?name=MDP0000437680","MDP0000437680")</f>
        <v>MDP0000437680</v>
      </c>
      <c r="D12183">
        <v>57.93</v>
      </c>
      <c r="E12183">
        <v>126</v>
      </c>
      <c r="F12183">
        <v>53</v>
      </c>
      <c r="G12183">
        <v>4</v>
      </c>
      <c r="H12183">
        <v>20</v>
      </c>
      <c r="I12183">
        <v>145</v>
      </c>
      <c r="J12183">
        <v>1</v>
      </c>
      <c r="K12183">
        <v>21</v>
      </c>
      <c r="L12183">
        <v>142</v>
      </c>
      <c r="M12183">
        <v>1</v>
      </c>
      <c r="N12183">
        <v>8.5461899999999994E-36</v>
      </c>
      <c r="O12183">
        <v>368</v>
      </c>
    </row>
    <row r="12184" spans="1:15" x14ac:dyDescent="0.25">
      <c r="A12184" t="s">
        <v>12197</v>
      </c>
      <c r="B12184">
        <v>606</v>
      </c>
      <c r="C12184" s="1" t="str">
        <f>HYPERLINK("http://www.rosaceae.org/gb/gbrowse/malus_x_domestica/?name=MDP0000628052","MDP0000628052")</f>
        <v>MDP0000628052</v>
      </c>
      <c r="D12184">
        <v>50.74</v>
      </c>
      <c r="E12184">
        <v>270</v>
      </c>
      <c r="F12184">
        <v>133</v>
      </c>
      <c r="G12184">
        <v>18</v>
      </c>
      <c r="H12184">
        <v>27</v>
      </c>
      <c r="I12184">
        <v>286</v>
      </c>
      <c r="J12184">
        <v>1</v>
      </c>
      <c r="K12184">
        <v>40</v>
      </c>
      <c r="L12184">
        <v>301</v>
      </c>
      <c r="M12184">
        <v>1</v>
      </c>
      <c r="N12184">
        <v>2.8994099999999999E-63</v>
      </c>
      <c r="O12184">
        <v>613</v>
      </c>
    </row>
    <row r="12185" spans="1:15" x14ac:dyDescent="0.25">
      <c r="A12185" t="s">
        <v>12198</v>
      </c>
      <c r="B12185">
        <v>693</v>
      </c>
      <c r="C12185" s="1" t="str">
        <f>HYPERLINK("http://www.rosaceae.org/gb/gbrowse/malus_x_domestica/?name=MDP0000271312","MDP0000271312")</f>
        <v>MDP0000271312</v>
      </c>
      <c r="D12185">
        <v>47.43</v>
      </c>
      <c r="E12185">
        <v>78</v>
      </c>
      <c r="F12185">
        <v>41</v>
      </c>
      <c r="G12185">
        <v>3</v>
      </c>
      <c r="H12185">
        <v>2</v>
      </c>
      <c r="I12185">
        <v>79</v>
      </c>
      <c r="J12185">
        <v>1</v>
      </c>
      <c r="K12185">
        <v>319</v>
      </c>
      <c r="L12185">
        <v>393</v>
      </c>
      <c r="M12185">
        <v>1</v>
      </c>
      <c r="N12185">
        <v>1.08662E-14</v>
      </c>
      <c r="O12185">
        <v>195</v>
      </c>
    </row>
    <row r="12186" spans="1:15" x14ac:dyDescent="0.25">
      <c r="A12186" t="s">
        <v>12199</v>
      </c>
      <c r="B12186">
        <v>602</v>
      </c>
      <c r="C12186" s="1" t="str">
        <f>HYPERLINK("http://www.rosaceae.org/gb/gbrowse/malus_x_domestica/?name=MDP0000298053","MDP0000298053")</f>
        <v>MDP0000298053</v>
      </c>
      <c r="D12186">
        <v>68.61</v>
      </c>
      <c r="E12186">
        <v>513</v>
      </c>
      <c r="F12186">
        <v>161</v>
      </c>
      <c r="G12186">
        <v>3</v>
      </c>
      <c r="H12186">
        <v>84</v>
      </c>
      <c r="I12186">
        <v>594</v>
      </c>
      <c r="J12186">
        <v>1</v>
      </c>
      <c r="K12186">
        <v>1</v>
      </c>
      <c r="L12186">
        <v>512</v>
      </c>
      <c r="M12186">
        <v>1</v>
      </c>
      <c r="N12186">
        <v>0</v>
      </c>
      <c r="O12186">
        <v>1894</v>
      </c>
    </row>
    <row r="12187" spans="1:15" x14ac:dyDescent="0.25">
      <c r="A12187" t="s">
        <v>12200</v>
      </c>
      <c r="B12187">
        <v>470</v>
      </c>
      <c r="C12187" s="1" t="str">
        <f>HYPERLINK("http://www.rosaceae.org/gb/gbrowse/malus_x_domestica/?name=MDP0000140484","MDP0000140484")</f>
        <v>MDP0000140484</v>
      </c>
      <c r="D12187">
        <v>65.75</v>
      </c>
      <c r="E12187">
        <v>403</v>
      </c>
      <c r="F12187">
        <v>138</v>
      </c>
      <c r="G12187">
        <v>28</v>
      </c>
      <c r="H12187">
        <v>86</v>
      </c>
      <c r="I12187">
        <v>470</v>
      </c>
      <c r="J12187">
        <v>1</v>
      </c>
      <c r="K12187">
        <v>1</v>
      </c>
      <c r="L12187">
        <v>393</v>
      </c>
      <c r="M12187">
        <v>1</v>
      </c>
      <c r="N12187">
        <v>6.8986599999999997E-131</v>
      </c>
      <c r="O12187">
        <v>1195</v>
      </c>
    </row>
    <row r="12188" spans="1:15" x14ac:dyDescent="0.25">
      <c r="A12188" t="s">
        <v>12201</v>
      </c>
      <c r="B12188">
        <v>174</v>
      </c>
      <c r="C12188" s="1" t="str">
        <f>HYPERLINK("http://www.rosaceae.org/gb/gbrowse/malus_x_domestica/?name=MDP0000305934","MDP0000305934")</f>
        <v>MDP0000305934</v>
      </c>
      <c r="D12188">
        <v>63.57</v>
      </c>
      <c r="E12188">
        <v>151</v>
      </c>
      <c r="F12188">
        <v>55</v>
      </c>
      <c r="G12188">
        <v>0</v>
      </c>
      <c r="H12188">
        <v>24</v>
      </c>
      <c r="I12188">
        <v>174</v>
      </c>
      <c r="J12188">
        <v>1</v>
      </c>
      <c r="K12188">
        <v>34</v>
      </c>
      <c r="L12188">
        <v>184</v>
      </c>
      <c r="M12188">
        <v>1</v>
      </c>
      <c r="N12188">
        <v>1.4410400000000001E-52</v>
      </c>
      <c r="O12188">
        <v>514</v>
      </c>
    </row>
    <row r="12189" spans="1:15" x14ac:dyDescent="0.25">
      <c r="A12189" t="s">
        <v>12202</v>
      </c>
      <c r="B12189">
        <v>246</v>
      </c>
      <c r="C12189" s="1" t="str">
        <f>HYPERLINK("http://www.rosaceae.org/gb/gbrowse/malus_x_domestica/?name=MDP0000442054","MDP0000442054")</f>
        <v>MDP0000442054</v>
      </c>
      <c r="D12189">
        <v>62.71</v>
      </c>
      <c r="E12189">
        <v>177</v>
      </c>
      <c r="F12189">
        <v>66</v>
      </c>
      <c r="G12189">
        <v>8</v>
      </c>
      <c r="H12189">
        <v>75</v>
      </c>
      <c r="I12189">
        <v>246</v>
      </c>
      <c r="J12189">
        <v>1</v>
      </c>
      <c r="K12189">
        <v>108</v>
      </c>
      <c r="L12189">
        <v>281</v>
      </c>
      <c r="M12189">
        <v>1</v>
      </c>
      <c r="N12189">
        <v>6.0084400000000004E-52</v>
      </c>
      <c r="O12189">
        <v>511</v>
      </c>
    </row>
    <row r="12190" spans="1:15" x14ac:dyDescent="0.25">
      <c r="A12190" t="s">
        <v>12203</v>
      </c>
      <c r="B12190">
        <v>417</v>
      </c>
      <c r="C12190" s="1" t="str">
        <f>HYPERLINK("http://www.rosaceae.org/gb/gbrowse/malus_x_domestica/?name=MDP0000249299","MDP0000249299")</f>
        <v>MDP0000249299</v>
      </c>
      <c r="D12190">
        <v>84.32</v>
      </c>
      <c r="E12190">
        <v>421</v>
      </c>
      <c r="F12190">
        <v>66</v>
      </c>
      <c r="G12190">
        <v>5</v>
      </c>
      <c r="H12190">
        <v>1</v>
      </c>
      <c r="I12190">
        <v>417</v>
      </c>
      <c r="J12190">
        <v>1</v>
      </c>
      <c r="K12190">
        <v>1</v>
      </c>
      <c r="L12190">
        <v>420</v>
      </c>
      <c r="M12190">
        <v>1</v>
      </c>
      <c r="N12190">
        <v>0</v>
      </c>
      <c r="O12190">
        <v>1868</v>
      </c>
    </row>
    <row r="12191" spans="1:15" x14ac:dyDescent="0.25">
      <c r="A12191" t="s">
        <v>12204</v>
      </c>
      <c r="B12191">
        <v>804</v>
      </c>
      <c r="C12191" s="1" t="str">
        <f>HYPERLINK("http://www.rosaceae.org/gb/gbrowse/malus_x_domestica/?name=MDP0000770037","MDP0000770037")</f>
        <v>MDP0000770037</v>
      </c>
      <c r="D12191">
        <v>50.81</v>
      </c>
      <c r="E12191">
        <v>183</v>
      </c>
      <c r="F12191">
        <v>90</v>
      </c>
      <c r="G12191">
        <v>14</v>
      </c>
      <c r="H12191">
        <v>73</v>
      </c>
      <c r="I12191">
        <v>255</v>
      </c>
      <c r="J12191">
        <v>1</v>
      </c>
      <c r="K12191">
        <v>739</v>
      </c>
      <c r="L12191">
        <v>907</v>
      </c>
      <c r="M12191">
        <v>1</v>
      </c>
      <c r="N12191">
        <v>6.1966799999999998E-42</v>
      </c>
      <c r="O12191">
        <v>430</v>
      </c>
    </row>
    <row r="12192" spans="1:15" x14ac:dyDescent="0.25">
      <c r="A12192" t="s">
        <v>12205</v>
      </c>
      <c r="B12192">
        <v>605</v>
      </c>
      <c r="C12192" s="1" t="str">
        <f>HYPERLINK("http://www.rosaceae.org/gb/gbrowse/malus_x_domestica/?name=MDP0000317621","MDP0000317621")</f>
        <v>MDP0000317621</v>
      </c>
      <c r="D12192">
        <v>54.38</v>
      </c>
      <c r="E12192">
        <v>456</v>
      </c>
      <c r="F12192">
        <v>208</v>
      </c>
      <c r="G12192">
        <v>55</v>
      </c>
      <c r="H12192">
        <v>30</v>
      </c>
      <c r="I12192">
        <v>444</v>
      </c>
      <c r="J12192">
        <v>1</v>
      </c>
      <c r="K12192">
        <v>31</v>
      </c>
      <c r="L12192">
        <v>472</v>
      </c>
      <c r="M12192">
        <v>1</v>
      </c>
      <c r="N12192">
        <v>1.15981E-137</v>
      </c>
      <c r="O12192">
        <v>1255</v>
      </c>
    </row>
    <row r="12193" spans="1:15" x14ac:dyDescent="0.25">
      <c r="A12193" t="s">
        <v>12206</v>
      </c>
      <c r="B12193">
        <v>444</v>
      </c>
      <c r="C12193" s="1" t="str">
        <f>HYPERLINK("http://www.rosaceae.org/gb/gbrowse/malus_x_domestica/?name=MDP0000262367","MDP0000262367")</f>
        <v>MDP0000262367</v>
      </c>
      <c r="D12193">
        <v>47.57</v>
      </c>
      <c r="E12193">
        <v>330</v>
      </c>
      <c r="F12193">
        <v>173</v>
      </c>
      <c r="G12193">
        <v>43</v>
      </c>
      <c r="H12193">
        <v>156</v>
      </c>
      <c r="I12193">
        <v>443</v>
      </c>
      <c r="J12193">
        <v>1</v>
      </c>
      <c r="K12193">
        <v>76</v>
      </c>
      <c r="L12193">
        <v>404</v>
      </c>
      <c r="M12193">
        <v>1</v>
      </c>
      <c r="N12193">
        <v>1.4240700000000001E-79</v>
      </c>
      <c r="O12193">
        <v>752</v>
      </c>
    </row>
    <row r="12194" spans="1:15" x14ac:dyDescent="0.25">
      <c r="A12194" t="s">
        <v>12207</v>
      </c>
      <c r="B12194">
        <v>265</v>
      </c>
      <c r="C12194" s="1" t="str">
        <f>HYPERLINK("http://www.rosaceae.org/gb/gbrowse/malus_x_domestica/?name=MDP0000266191","MDP0000266191")</f>
        <v>MDP0000266191</v>
      </c>
      <c r="D12194">
        <v>57.28</v>
      </c>
      <c r="E12194">
        <v>199</v>
      </c>
      <c r="F12194">
        <v>85</v>
      </c>
      <c r="G12194">
        <v>2</v>
      </c>
      <c r="H12194">
        <v>60</v>
      </c>
      <c r="I12194">
        <v>258</v>
      </c>
      <c r="J12194">
        <v>1</v>
      </c>
      <c r="K12194">
        <v>13</v>
      </c>
      <c r="L12194">
        <v>209</v>
      </c>
      <c r="M12194">
        <v>1</v>
      </c>
      <c r="N12194">
        <v>1.1547999999999999E-59</v>
      </c>
      <c r="O12194">
        <v>578</v>
      </c>
    </row>
    <row r="12195" spans="1:15" x14ac:dyDescent="0.25">
      <c r="A12195" t="s">
        <v>12208</v>
      </c>
      <c r="B12195">
        <v>437</v>
      </c>
      <c r="C12195" s="1" t="str">
        <f>HYPERLINK("http://www.rosaceae.org/gb/gbrowse/malus_x_domestica/?name=MDP0000237393","MDP0000237393")</f>
        <v>MDP0000237393</v>
      </c>
      <c r="D12195">
        <v>75.34</v>
      </c>
      <c r="E12195">
        <v>438</v>
      </c>
      <c r="F12195">
        <v>108</v>
      </c>
      <c r="G12195">
        <v>6</v>
      </c>
      <c r="H12195">
        <v>1</v>
      </c>
      <c r="I12195">
        <v>433</v>
      </c>
      <c r="J12195">
        <v>1</v>
      </c>
      <c r="K12195">
        <v>31</v>
      </c>
      <c r="L12195">
        <v>467</v>
      </c>
      <c r="M12195">
        <v>1</v>
      </c>
      <c r="N12195">
        <v>0</v>
      </c>
      <c r="O12195">
        <v>1731</v>
      </c>
    </row>
    <row r="12196" spans="1:15" x14ac:dyDescent="0.25">
      <c r="A12196" t="s">
        <v>12209</v>
      </c>
      <c r="B12196">
        <v>253</v>
      </c>
      <c r="C12196" s="1" t="str">
        <f>HYPERLINK("http://www.rosaceae.org/gb/gbrowse/malus_x_domestica/?name=MDP0000090454","MDP0000090454")</f>
        <v>MDP0000090454</v>
      </c>
      <c r="D12196">
        <v>60</v>
      </c>
      <c r="E12196">
        <v>285</v>
      </c>
      <c r="F12196">
        <v>114</v>
      </c>
      <c r="G12196">
        <v>36</v>
      </c>
      <c r="H12196">
        <v>1</v>
      </c>
      <c r="I12196">
        <v>250</v>
      </c>
      <c r="J12196">
        <v>1</v>
      </c>
      <c r="K12196">
        <v>1</v>
      </c>
      <c r="L12196">
        <v>284</v>
      </c>
      <c r="M12196">
        <v>1</v>
      </c>
      <c r="N12196">
        <v>2.0850999999999999E-95</v>
      </c>
      <c r="O12196">
        <v>886</v>
      </c>
    </row>
    <row r="12197" spans="1:15" x14ac:dyDescent="0.25">
      <c r="A12197" t="s">
        <v>12210</v>
      </c>
      <c r="B12197">
        <v>149</v>
      </c>
      <c r="C12197" s="1" t="str">
        <f>HYPERLINK("http://www.rosaceae.org/gb/gbrowse/malus_x_domestica/?name=MDP0000312701","MDP0000312701")</f>
        <v>MDP0000312701</v>
      </c>
      <c r="D12197">
        <v>44.73</v>
      </c>
      <c r="E12197">
        <v>114</v>
      </c>
      <c r="F12197">
        <v>63</v>
      </c>
      <c r="G12197">
        <v>0</v>
      </c>
      <c r="H12197">
        <v>32</v>
      </c>
      <c r="I12197">
        <v>145</v>
      </c>
      <c r="J12197">
        <v>1</v>
      </c>
      <c r="K12197">
        <v>36</v>
      </c>
      <c r="L12197">
        <v>149</v>
      </c>
      <c r="M12197">
        <v>1</v>
      </c>
      <c r="N12197">
        <v>7.9278099999999995E-13</v>
      </c>
      <c r="O12197">
        <v>170</v>
      </c>
    </row>
    <row r="12198" spans="1:15" x14ac:dyDescent="0.25">
      <c r="A12198" t="s">
        <v>12211</v>
      </c>
      <c r="B12198">
        <v>235</v>
      </c>
      <c r="C12198" s="1" t="str">
        <f>HYPERLINK("http://www.rosaceae.org/gb/gbrowse/malus_x_domestica/?name=MDP0000216404","MDP0000216404")</f>
        <v>MDP0000216404</v>
      </c>
      <c r="D12198">
        <v>43.2</v>
      </c>
      <c r="E12198">
        <v>125</v>
      </c>
      <c r="F12198">
        <v>71</v>
      </c>
      <c r="G12198">
        <v>13</v>
      </c>
      <c r="H12198">
        <v>19</v>
      </c>
      <c r="I12198">
        <v>131</v>
      </c>
      <c r="J12198">
        <v>1</v>
      </c>
      <c r="K12198">
        <v>53</v>
      </c>
      <c r="L12198">
        <v>176</v>
      </c>
      <c r="M12198">
        <v>1</v>
      </c>
      <c r="N12198">
        <v>4.7193800000000002E-18</v>
      </c>
      <c r="O12198">
        <v>218</v>
      </c>
    </row>
    <row r="12199" spans="1:15" x14ac:dyDescent="0.25">
      <c r="A12199" t="s">
        <v>12212</v>
      </c>
      <c r="B12199">
        <v>707</v>
      </c>
      <c r="C12199" s="1" t="str">
        <f>HYPERLINK("http://www.rosaceae.org/gb/gbrowse/malus_x_domestica/?name=MDP0000314708","MDP0000314708")</f>
        <v>MDP0000314708</v>
      </c>
      <c r="D12199">
        <v>55.43</v>
      </c>
      <c r="E12199">
        <v>561</v>
      </c>
      <c r="F12199">
        <v>250</v>
      </c>
      <c r="G12199">
        <v>37</v>
      </c>
      <c r="H12199">
        <v>90</v>
      </c>
      <c r="I12199">
        <v>619</v>
      </c>
      <c r="J12199">
        <v>1</v>
      </c>
      <c r="K12199">
        <v>220</v>
      </c>
      <c r="L12199">
        <v>774</v>
      </c>
      <c r="M12199">
        <v>1</v>
      </c>
      <c r="N12199">
        <v>2.1851799999999998E-171</v>
      </c>
      <c r="O12199">
        <v>1546</v>
      </c>
    </row>
    <row r="12200" spans="1:15" x14ac:dyDescent="0.25">
      <c r="A12200" t="s">
        <v>12213</v>
      </c>
      <c r="B12200">
        <v>391</v>
      </c>
      <c r="C12200" s="1" t="str">
        <f>HYPERLINK("http://www.rosaceae.org/gb/gbrowse/malus_x_domestica/?name=MDP0000774756","MDP0000774756")</f>
        <v>MDP0000774756</v>
      </c>
      <c r="D12200">
        <v>74.66</v>
      </c>
      <c r="E12200">
        <v>446</v>
      </c>
      <c r="F12200">
        <v>113</v>
      </c>
      <c r="G12200">
        <v>59</v>
      </c>
      <c r="H12200">
        <v>1</v>
      </c>
      <c r="I12200">
        <v>390</v>
      </c>
      <c r="J12200">
        <v>1</v>
      </c>
      <c r="K12200">
        <v>1</v>
      </c>
      <c r="L12200">
        <v>443</v>
      </c>
      <c r="M12200">
        <v>1</v>
      </c>
      <c r="N12200">
        <v>0</v>
      </c>
      <c r="O12200">
        <v>1681</v>
      </c>
    </row>
    <row r="12201" spans="1:15" x14ac:dyDescent="0.25">
      <c r="A12201" t="s">
        <v>12214</v>
      </c>
      <c r="B12201">
        <v>117</v>
      </c>
      <c r="C12201" s="1" t="str">
        <f>HYPERLINK("http://www.rosaceae.org/gb/gbrowse/malus_x_domestica/?name=MDP0000751295","MDP0000751295")</f>
        <v>MDP0000751295</v>
      </c>
      <c r="D12201">
        <v>91.66</v>
      </c>
      <c r="E12201">
        <v>72</v>
      </c>
      <c r="F12201">
        <v>6</v>
      </c>
      <c r="G12201">
        <v>0</v>
      </c>
      <c r="H12201">
        <v>46</v>
      </c>
      <c r="I12201">
        <v>117</v>
      </c>
      <c r="J12201">
        <v>1</v>
      </c>
      <c r="K12201">
        <v>37</v>
      </c>
      <c r="L12201">
        <v>108</v>
      </c>
      <c r="M12201">
        <v>1</v>
      </c>
      <c r="N12201">
        <v>2.5954400000000001E-34</v>
      </c>
      <c r="O12201">
        <v>353</v>
      </c>
    </row>
    <row r="12202" spans="1:15" x14ac:dyDescent="0.25">
      <c r="A12202" t="s">
        <v>12215</v>
      </c>
      <c r="B12202">
        <v>1035</v>
      </c>
      <c r="C12202" s="1" t="str">
        <f>HYPERLINK("http://www.rosaceae.org/gb/gbrowse/malus_x_domestica/?name=MDP0000320870","MDP0000320870")</f>
        <v>MDP0000320870</v>
      </c>
      <c r="D12202">
        <v>66.94</v>
      </c>
      <c r="E12202">
        <v>1074</v>
      </c>
      <c r="F12202">
        <v>355</v>
      </c>
      <c r="G12202">
        <v>122</v>
      </c>
      <c r="H12202">
        <v>10</v>
      </c>
      <c r="I12202">
        <v>1034</v>
      </c>
      <c r="J12202">
        <v>1</v>
      </c>
      <c r="K12202">
        <v>1066</v>
      </c>
      <c r="L12202">
        <v>2066</v>
      </c>
      <c r="M12202">
        <v>1</v>
      </c>
      <c r="N12202">
        <v>0</v>
      </c>
      <c r="O12202">
        <v>3465</v>
      </c>
    </row>
    <row r="12203" spans="1:15" x14ac:dyDescent="0.25">
      <c r="A12203" t="s">
        <v>12216</v>
      </c>
      <c r="B12203">
        <v>355</v>
      </c>
      <c r="C12203" s="1" t="str">
        <f>HYPERLINK("http://www.rosaceae.org/gb/gbrowse/malus_x_domestica/?name=MDP0000218810","MDP0000218810")</f>
        <v>MDP0000218810</v>
      </c>
      <c r="D12203">
        <v>88.38</v>
      </c>
      <c r="E12203">
        <v>353</v>
      </c>
      <c r="F12203">
        <v>41</v>
      </c>
      <c r="G12203">
        <v>2</v>
      </c>
      <c r="H12203">
        <v>1</v>
      </c>
      <c r="I12203">
        <v>353</v>
      </c>
      <c r="J12203">
        <v>1</v>
      </c>
      <c r="K12203">
        <v>1</v>
      </c>
      <c r="L12203">
        <v>351</v>
      </c>
      <c r="M12203">
        <v>1</v>
      </c>
      <c r="N12203">
        <v>0</v>
      </c>
      <c r="O12203">
        <v>1706</v>
      </c>
    </row>
    <row r="12204" spans="1:15" x14ac:dyDescent="0.25">
      <c r="A12204" t="s">
        <v>12217</v>
      </c>
      <c r="B12204">
        <v>592</v>
      </c>
      <c r="C12204" s="1" t="str">
        <f>HYPERLINK("http://www.rosaceae.org/gb/gbrowse/malus_x_domestica/?name=MDP0000199273","MDP0000199273")</f>
        <v>MDP0000199273</v>
      </c>
      <c r="D12204">
        <v>62.19</v>
      </c>
      <c r="E12204">
        <v>447</v>
      </c>
      <c r="F12204">
        <v>169</v>
      </c>
      <c r="G12204">
        <v>2</v>
      </c>
      <c r="H12204">
        <v>38</v>
      </c>
      <c r="I12204">
        <v>482</v>
      </c>
      <c r="J12204">
        <v>1</v>
      </c>
      <c r="K12204">
        <v>30</v>
      </c>
      <c r="L12204">
        <v>476</v>
      </c>
      <c r="M12204">
        <v>1</v>
      </c>
      <c r="N12204">
        <v>1.1589800000000001E-163</v>
      </c>
      <c r="O12204">
        <v>1479</v>
      </c>
    </row>
    <row r="12205" spans="1:15" x14ac:dyDescent="0.25">
      <c r="A12205" t="s">
        <v>12218</v>
      </c>
      <c r="B12205">
        <v>174</v>
      </c>
      <c r="C12205" s="1" t="str">
        <f>HYPERLINK("http://www.rosaceae.org/gb/gbrowse/malus_x_domestica/?name=MDP0000296620","MDP0000296620")</f>
        <v>MDP0000296620</v>
      </c>
      <c r="D12205">
        <v>33.67</v>
      </c>
      <c r="E12205">
        <v>98</v>
      </c>
      <c r="F12205">
        <v>65</v>
      </c>
      <c r="G12205">
        <v>1</v>
      </c>
      <c r="H12205">
        <v>70</v>
      </c>
      <c r="I12205">
        <v>166</v>
      </c>
      <c r="J12205">
        <v>1</v>
      </c>
      <c r="K12205">
        <v>467</v>
      </c>
      <c r="L12205">
        <v>564</v>
      </c>
      <c r="M12205">
        <v>1</v>
      </c>
      <c r="N12205">
        <v>1.95283E-11</v>
      </c>
      <c r="O12205">
        <v>159</v>
      </c>
    </row>
    <row r="12206" spans="1:15" x14ac:dyDescent="0.25">
      <c r="A12206" t="s">
        <v>12219</v>
      </c>
      <c r="B12206">
        <v>618</v>
      </c>
      <c r="C12206" s="1" t="str">
        <f>HYPERLINK("http://www.rosaceae.org/gb/gbrowse/malus_x_domestica/?name=MDP0000293578","MDP0000293578")</f>
        <v>MDP0000293578</v>
      </c>
      <c r="D12206">
        <v>76.72</v>
      </c>
      <c r="E12206">
        <v>580</v>
      </c>
      <c r="F12206">
        <v>135</v>
      </c>
      <c r="G12206">
        <v>38</v>
      </c>
      <c r="H12206">
        <v>43</v>
      </c>
      <c r="I12206">
        <v>617</v>
      </c>
      <c r="J12206">
        <v>1</v>
      </c>
      <c r="K12206">
        <v>60</v>
      </c>
      <c r="L12206">
        <v>606</v>
      </c>
      <c r="M12206">
        <v>1</v>
      </c>
      <c r="N12206">
        <v>0</v>
      </c>
      <c r="O12206">
        <v>2299</v>
      </c>
    </row>
    <row r="12207" spans="1:15" x14ac:dyDescent="0.25">
      <c r="A12207" t="s">
        <v>12220</v>
      </c>
      <c r="B12207">
        <v>1591</v>
      </c>
      <c r="C12207" s="1" t="str">
        <f>HYPERLINK("http://www.rosaceae.org/gb/gbrowse/malus_x_domestica/?name=MDP0000473634","MDP0000473634")</f>
        <v>MDP0000473634</v>
      </c>
      <c r="D12207">
        <v>47.84</v>
      </c>
      <c r="E12207">
        <v>372</v>
      </c>
      <c r="F12207">
        <v>194</v>
      </c>
      <c r="G12207">
        <v>24</v>
      </c>
      <c r="H12207">
        <v>1158</v>
      </c>
      <c r="I12207">
        <v>1512</v>
      </c>
      <c r="J12207">
        <v>1</v>
      </c>
      <c r="K12207">
        <v>259</v>
      </c>
      <c r="L12207">
        <v>623</v>
      </c>
      <c r="M12207">
        <v>1</v>
      </c>
      <c r="N12207">
        <v>3.7522599999999999E-83</v>
      </c>
      <c r="O12207">
        <v>788</v>
      </c>
    </row>
    <row r="12208" spans="1:15" x14ac:dyDescent="0.25">
      <c r="A12208" t="s">
        <v>12221</v>
      </c>
      <c r="B12208">
        <v>1073</v>
      </c>
      <c r="C12208" s="1" t="str">
        <f>HYPERLINK("http://www.rosaceae.org/gb/gbrowse/malus_x_domestica/?name=MDP0000172674","MDP0000172674")</f>
        <v>MDP0000172674</v>
      </c>
      <c r="D12208">
        <v>58.11</v>
      </c>
      <c r="E12208">
        <v>1072</v>
      </c>
      <c r="F12208">
        <v>449</v>
      </c>
      <c r="G12208">
        <v>22</v>
      </c>
      <c r="H12208">
        <v>1</v>
      </c>
      <c r="I12208">
        <v>1068</v>
      </c>
      <c r="J12208">
        <v>1</v>
      </c>
      <c r="K12208">
        <v>1</v>
      </c>
      <c r="L12208">
        <v>1054</v>
      </c>
      <c r="M12208">
        <v>1</v>
      </c>
      <c r="N12208">
        <v>0</v>
      </c>
      <c r="O12208">
        <v>2890</v>
      </c>
    </row>
    <row r="12209" spans="1:15" x14ac:dyDescent="0.25">
      <c r="A12209" t="s">
        <v>12222</v>
      </c>
      <c r="B12209">
        <v>254</v>
      </c>
      <c r="C12209" s="1" t="str">
        <f>HYPERLINK("http://www.rosaceae.org/gb/gbrowse/malus_x_domestica/?name=MDP0000228470","MDP0000228470")</f>
        <v>MDP0000228470</v>
      </c>
      <c r="D12209">
        <v>69.81</v>
      </c>
      <c r="E12209">
        <v>222</v>
      </c>
      <c r="F12209">
        <v>67</v>
      </c>
      <c r="G12209">
        <v>15</v>
      </c>
      <c r="H12209">
        <v>1</v>
      </c>
      <c r="I12209">
        <v>207</v>
      </c>
      <c r="J12209">
        <v>1</v>
      </c>
      <c r="K12209">
        <v>127</v>
      </c>
      <c r="L12209">
        <v>348</v>
      </c>
      <c r="M12209">
        <v>1</v>
      </c>
      <c r="N12209">
        <v>1.68082E-84</v>
      </c>
      <c r="O12209">
        <v>792</v>
      </c>
    </row>
    <row r="12210" spans="1:15" x14ac:dyDescent="0.25">
      <c r="A12210" t="s">
        <v>12223</v>
      </c>
      <c r="B12210">
        <v>607</v>
      </c>
      <c r="C12210" s="1" t="str">
        <f>HYPERLINK("http://www.rosaceae.org/gb/gbrowse/malus_x_domestica/?name=MDP0000132177","MDP0000132177")</f>
        <v>MDP0000132177</v>
      </c>
      <c r="D12210">
        <v>59.02</v>
      </c>
      <c r="E12210">
        <v>266</v>
      </c>
      <c r="F12210">
        <v>109</v>
      </c>
      <c r="G12210">
        <v>44</v>
      </c>
      <c r="H12210">
        <v>256</v>
      </c>
      <c r="I12210">
        <v>505</v>
      </c>
      <c r="J12210">
        <v>1</v>
      </c>
      <c r="K12210">
        <v>14</v>
      </c>
      <c r="L12210">
        <v>251</v>
      </c>
      <c r="M12210">
        <v>1</v>
      </c>
      <c r="N12210">
        <v>1.2279800000000001E-69</v>
      </c>
      <c r="O12210">
        <v>668</v>
      </c>
    </row>
    <row r="12211" spans="1:15" x14ac:dyDescent="0.25">
      <c r="A12211" t="s">
        <v>12224</v>
      </c>
      <c r="B12211">
        <v>330</v>
      </c>
      <c r="C12211" s="1" t="str">
        <f>HYPERLINK("http://www.rosaceae.org/gb/gbrowse/malus_x_domestica/?name=MDP0000256484","MDP0000256484")</f>
        <v>MDP0000256484</v>
      </c>
      <c r="D12211">
        <v>74.56</v>
      </c>
      <c r="E12211">
        <v>342</v>
      </c>
      <c r="F12211">
        <v>87</v>
      </c>
      <c r="G12211">
        <v>14</v>
      </c>
      <c r="H12211">
        <v>3</v>
      </c>
      <c r="I12211">
        <v>330</v>
      </c>
      <c r="J12211">
        <v>1</v>
      </c>
      <c r="K12211">
        <v>34</v>
      </c>
      <c r="L12211">
        <v>375</v>
      </c>
      <c r="M12211">
        <v>1</v>
      </c>
      <c r="N12211">
        <v>1.0478899999999999E-143</v>
      </c>
      <c r="O12211">
        <v>1304</v>
      </c>
    </row>
    <row r="12212" spans="1:15" x14ac:dyDescent="0.25">
      <c r="A12212" t="s">
        <v>12225</v>
      </c>
      <c r="B12212">
        <v>292</v>
      </c>
      <c r="C12212" s="1" t="str">
        <f>HYPERLINK("http://www.rosaceae.org/gb/gbrowse/malus_x_domestica/?name=MDP0000525232","MDP0000525232")</f>
        <v>MDP0000525232</v>
      </c>
      <c r="D12212">
        <v>85.46</v>
      </c>
      <c r="E12212">
        <v>282</v>
      </c>
      <c r="F12212">
        <v>41</v>
      </c>
      <c r="G12212">
        <v>33</v>
      </c>
      <c r="H12212">
        <v>1</v>
      </c>
      <c r="I12212">
        <v>282</v>
      </c>
      <c r="J12212">
        <v>1</v>
      </c>
      <c r="K12212">
        <v>233</v>
      </c>
      <c r="L12212">
        <v>481</v>
      </c>
      <c r="M12212">
        <v>1</v>
      </c>
      <c r="N12212">
        <v>1.0764900000000001E-137</v>
      </c>
      <c r="O12212">
        <v>1251</v>
      </c>
    </row>
    <row r="12213" spans="1:15" x14ac:dyDescent="0.25">
      <c r="A12213" t="s">
        <v>12226</v>
      </c>
      <c r="B12213">
        <v>305</v>
      </c>
      <c r="C12213" s="1" t="str">
        <f>HYPERLINK("http://www.rosaceae.org/gb/gbrowse/malus_x_domestica/?name=MDP0000323611","MDP0000323611")</f>
        <v>MDP0000323611</v>
      </c>
      <c r="D12213">
        <v>76.62</v>
      </c>
      <c r="E12213">
        <v>231</v>
      </c>
      <c r="F12213">
        <v>54</v>
      </c>
      <c r="G12213">
        <v>2</v>
      </c>
      <c r="H12213">
        <v>76</v>
      </c>
      <c r="I12213">
        <v>304</v>
      </c>
      <c r="J12213">
        <v>1</v>
      </c>
      <c r="K12213">
        <v>49</v>
      </c>
      <c r="L12213">
        <v>279</v>
      </c>
      <c r="M12213">
        <v>1</v>
      </c>
      <c r="N12213">
        <v>4.8037099999999999E-100</v>
      </c>
      <c r="O12213">
        <v>927</v>
      </c>
    </row>
    <row r="12214" spans="1:15" x14ac:dyDescent="0.25">
      <c r="A12214" t="s">
        <v>12227</v>
      </c>
      <c r="B12214">
        <v>126</v>
      </c>
      <c r="C12214" s="1" t="str">
        <f>HYPERLINK("http://www.rosaceae.org/gb/gbrowse/malus_x_domestica/?name=MDP0000341275","MDP0000341275")</f>
        <v>MDP0000341275</v>
      </c>
      <c r="D12214">
        <v>78.569999999999993</v>
      </c>
      <c r="E12214">
        <v>126</v>
      </c>
      <c r="F12214">
        <v>27</v>
      </c>
      <c r="G12214">
        <v>15</v>
      </c>
      <c r="H12214">
        <v>1</v>
      </c>
      <c r="I12214">
        <v>126</v>
      </c>
      <c r="J12214">
        <v>1</v>
      </c>
      <c r="K12214">
        <v>30</v>
      </c>
      <c r="L12214">
        <v>140</v>
      </c>
      <c r="M12214">
        <v>1</v>
      </c>
      <c r="N12214">
        <v>4.4131699999999998E-51</v>
      </c>
      <c r="O12214">
        <v>498</v>
      </c>
    </row>
    <row r="12215" spans="1:15" x14ac:dyDescent="0.25">
      <c r="A12215" t="s">
        <v>12228</v>
      </c>
      <c r="B12215">
        <v>427</v>
      </c>
      <c r="C12215" s="1" t="str">
        <f>HYPERLINK("http://www.rosaceae.org/gb/gbrowse/malus_x_domestica/?name=MDP0000268155","MDP0000268155")</f>
        <v>MDP0000268155</v>
      </c>
      <c r="D12215">
        <v>70.69</v>
      </c>
      <c r="E12215">
        <v>389</v>
      </c>
      <c r="F12215">
        <v>114</v>
      </c>
      <c r="G12215">
        <v>69</v>
      </c>
      <c r="H12215">
        <v>74</v>
      </c>
      <c r="I12215">
        <v>425</v>
      </c>
      <c r="J12215">
        <v>1</v>
      </c>
      <c r="K12215">
        <v>1</v>
      </c>
      <c r="L12215">
        <v>357</v>
      </c>
      <c r="M12215">
        <v>1</v>
      </c>
      <c r="N12215">
        <v>1.1188000000000001E-152</v>
      </c>
      <c r="O12215">
        <v>1382</v>
      </c>
    </row>
    <row r="12216" spans="1:15" x14ac:dyDescent="0.25">
      <c r="A12216" t="s">
        <v>12229</v>
      </c>
      <c r="B12216">
        <v>812</v>
      </c>
      <c r="C12216" s="1" t="str">
        <f>HYPERLINK("http://www.rosaceae.org/gb/gbrowse/malus_x_domestica/?name=MDP0000546342","MDP0000546342")</f>
        <v>MDP0000546342</v>
      </c>
      <c r="D12216">
        <v>78.069999999999993</v>
      </c>
      <c r="E12216">
        <v>570</v>
      </c>
      <c r="F12216">
        <v>125</v>
      </c>
      <c r="G12216">
        <v>9</v>
      </c>
      <c r="H12216">
        <v>245</v>
      </c>
      <c r="I12216">
        <v>812</v>
      </c>
      <c r="J12216">
        <v>1</v>
      </c>
      <c r="K12216">
        <v>3</v>
      </c>
      <c r="L12216">
        <v>565</v>
      </c>
      <c r="M12216">
        <v>1</v>
      </c>
      <c r="N12216">
        <v>0</v>
      </c>
      <c r="O12216">
        <v>2398</v>
      </c>
    </row>
    <row r="12217" spans="1:15" x14ac:dyDescent="0.25">
      <c r="A12217" t="s">
        <v>12230</v>
      </c>
      <c r="B12217">
        <v>432</v>
      </c>
      <c r="C12217" s="1" t="str">
        <f>HYPERLINK("http://www.rosaceae.org/gb/gbrowse/malus_x_domestica/?name=MDP0000274864","MDP0000274864")</f>
        <v>MDP0000274864</v>
      </c>
      <c r="D12217">
        <v>60.54</v>
      </c>
      <c r="E12217">
        <v>332</v>
      </c>
      <c r="F12217">
        <v>131</v>
      </c>
      <c r="G12217">
        <v>26</v>
      </c>
      <c r="H12217">
        <v>114</v>
      </c>
      <c r="I12217">
        <v>431</v>
      </c>
      <c r="J12217">
        <v>1</v>
      </c>
      <c r="K12217">
        <v>113</v>
      </c>
      <c r="L12217">
        <v>432</v>
      </c>
      <c r="M12217">
        <v>1</v>
      </c>
      <c r="N12217">
        <v>8.0644199999999996E-98</v>
      </c>
      <c r="O12217">
        <v>909</v>
      </c>
    </row>
    <row r="12218" spans="1:15" x14ac:dyDescent="0.25">
      <c r="A12218" t="s">
        <v>12231</v>
      </c>
      <c r="B12218">
        <v>153</v>
      </c>
      <c r="C12218" s="1" t="str">
        <f>HYPERLINK("http://www.rosaceae.org/gb/gbrowse/malus_x_domestica/?name=MDP0000304216","MDP0000304216")</f>
        <v>MDP0000304216</v>
      </c>
      <c r="D12218">
        <v>92.59</v>
      </c>
      <c r="E12218">
        <v>27</v>
      </c>
      <c r="F12218">
        <v>2</v>
      </c>
      <c r="G12218">
        <v>0</v>
      </c>
      <c r="H12218">
        <v>121</v>
      </c>
      <c r="I12218">
        <v>147</v>
      </c>
      <c r="J12218">
        <v>1</v>
      </c>
      <c r="K12218">
        <v>347</v>
      </c>
      <c r="L12218">
        <v>373</v>
      </c>
      <c r="M12218">
        <v>1</v>
      </c>
      <c r="N12218">
        <v>4.2954400000000002E-9</v>
      </c>
      <c r="O12218">
        <v>138</v>
      </c>
    </row>
    <row r="12219" spans="1:15" x14ac:dyDescent="0.25">
      <c r="A12219" t="s">
        <v>12232</v>
      </c>
      <c r="B12219">
        <v>344</v>
      </c>
      <c r="C12219" s="1" t="str">
        <f>HYPERLINK("http://www.rosaceae.org/gb/gbrowse/malus_x_domestica/?name=MDP0000320804","MDP0000320804")</f>
        <v>MDP0000320804</v>
      </c>
      <c r="D12219">
        <v>51.62</v>
      </c>
      <c r="E12219">
        <v>399</v>
      </c>
      <c r="F12219">
        <v>193</v>
      </c>
      <c r="G12219">
        <v>90</v>
      </c>
      <c r="H12219">
        <v>32</v>
      </c>
      <c r="I12219">
        <v>341</v>
      </c>
      <c r="J12219">
        <v>1</v>
      </c>
      <c r="K12219">
        <v>96</v>
      </c>
      <c r="L12219">
        <v>493</v>
      </c>
      <c r="M12219">
        <v>1</v>
      </c>
      <c r="N12219">
        <v>4.6583400000000001E-97</v>
      </c>
      <c r="O12219">
        <v>902</v>
      </c>
    </row>
    <row r="12220" spans="1:15" x14ac:dyDescent="0.25">
      <c r="A12220" t="s">
        <v>12233</v>
      </c>
      <c r="B12220">
        <v>655</v>
      </c>
      <c r="C12220" s="1" t="str">
        <f>HYPERLINK("http://www.rosaceae.org/gb/gbrowse/malus_x_domestica/?name=MDP0000887568","MDP0000887568")</f>
        <v>MDP0000887568</v>
      </c>
      <c r="D12220">
        <v>67.42</v>
      </c>
      <c r="E12220">
        <v>657</v>
      </c>
      <c r="F12220">
        <v>214</v>
      </c>
      <c r="G12220">
        <v>9</v>
      </c>
      <c r="H12220">
        <v>1</v>
      </c>
      <c r="I12220">
        <v>655</v>
      </c>
      <c r="J12220">
        <v>1</v>
      </c>
      <c r="K12220">
        <v>1</v>
      </c>
      <c r="L12220">
        <v>650</v>
      </c>
      <c r="M12220">
        <v>1</v>
      </c>
      <c r="N12220">
        <v>0</v>
      </c>
      <c r="O12220">
        <v>2206</v>
      </c>
    </row>
    <row r="12221" spans="1:15" x14ac:dyDescent="0.25">
      <c r="A12221" t="s">
        <v>12234</v>
      </c>
      <c r="B12221">
        <v>1001</v>
      </c>
      <c r="C12221" s="1" t="str">
        <f>HYPERLINK("http://www.rosaceae.org/gb/gbrowse/malus_x_domestica/?name=MDP0000159581","MDP0000159581")</f>
        <v>MDP0000159581</v>
      </c>
      <c r="D12221">
        <v>78.540000000000006</v>
      </c>
      <c r="E12221">
        <v>853</v>
      </c>
      <c r="F12221">
        <v>183</v>
      </c>
      <c r="G12221">
        <v>23</v>
      </c>
      <c r="H12221">
        <v>162</v>
      </c>
      <c r="I12221">
        <v>1001</v>
      </c>
      <c r="J12221">
        <v>1</v>
      </c>
      <c r="K12221">
        <v>1</v>
      </c>
      <c r="L12221">
        <v>843</v>
      </c>
      <c r="M12221">
        <v>1</v>
      </c>
      <c r="N12221">
        <v>0</v>
      </c>
      <c r="O12221">
        <v>3288</v>
      </c>
    </row>
    <row r="12222" spans="1:15" x14ac:dyDescent="0.25">
      <c r="A12222" t="s">
        <v>12235</v>
      </c>
      <c r="B12222">
        <v>603</v>
      </c>
      <c r="C12222" s="1" t="str">
        <f>HYPERLINK("http://www.rosaceae.org/gb/gbrowse/malus_x_domestica/?name=MDP0000234782","MDP0000234782")</f>
        <v>MDP0000234782</v>
      </c>
      <c r="D12222">
        <v>60.22</v>
      </c>
      <c r="E12222">
        <v>616</v>
      </c>
      <c r="F12222">
        <v>245</v>
      </c>
      <c r="G12222">
        <v>20</v>
      </c>
      <c r="H12222">
        <v>1</v>
      </c>
      <c r="I12222">
        <v>602</v>
      </c>
      <c r="J12222">
        <v>1</v>
      </c>
      <c r="K12222">
        <v>1</v>
      </c>
      <c r="L12222">
        <v>610</v>
      </c>
      <c r="M12222">
        <v>1</v>
      </c>
      <c r="N12222">
        <v>0</v>
      </c>
      <c r="O12222">
        <v>1800</v>
      </c>
    </row>
    <row r="12223" spans="1:15" x14ac:dyDescent="0.25">
      <c r="A12223" t="s">
        <v>12236</v>
      </c>
      <c r="B12223">
        <v>744</v>
      </c>
      <c r="C12223" s="1" t="str">
        <f>HYPERLINK("http://www.rosaceae.org/gb/gbrowse/malus_x_domestica/?name=MDP0000882983","MDP0000882983")</f>
        <v>MDP0000882983</v>
      </c>
      <c r="D12223">
        <v>46.24</v>
      </c>
      <c r="E12223">
        <v>173</v>
      </c>
      <c r="F12223">
        <v>93</v>
      </c>
      <c r="G12223">
        <v>28</v>
      </c>
      <c r="H12223">
        <v>459</v>
      </c>
      <c r="I12223">
        <v>628</v>
      </c>
      <c r="J12223">
        <v>1</v>
      </c>
      <c r="K12223">
        <v>27</v>
      </c>
      <c r="L12223">
        <v>174</v>
      </c>
      <c r="M12223">
        <v>1</v>
      </c>
      <c r="N12223">
        <v>1.2709399999999999E-32</v>
      </c>
      <c r="O12223">
        <v>350</v>
      </c>
    </row>
    <row r="12224" spans="1:15" x14ac:dyDescent="0.25">
      <c r="A12224" t="s">
        <v>12237</v>
      </c>
      <c r="B12224">
        <v>149</v>
      </c>
      <c r="C12224" s="1" t="str">
        <f>HYPERLINK("http://www.rosaceae.org/gb/gbrowse/malus_x_domestica/?name=MDP0000258215","MDP0000258215")</f>
        <v>MDP0000258215</v>
      </c>
      <c r="D12224">
        <v>50.72</v>
      </c>
      <c r="E12224">
        <v>69</v>
      </c>
      <c r="F12224">
        <v>34</v>
      </c>
      <c r="G12224">
        <v>7</v>
      </c>
      <c r="H12224">
        <v>87</v>
      </c>
      <c r="I12224">
        <v>148</v>
      </c>
      <c r="J12224">
        <v>1</v>
      </c>
      <c r="K12224">
        <v>1</v>
      </c>
      <c r="L12224">
        <v>69</v>
      </c>
      <c r="M12224">
        <v>1</v>
      </c>
      <c r="N12224">
        <v>3.8086999999999999E-9</v>
      </c>
      <c r="O12224">
        <v>138</v>
      </c>
    </row>
    <row r="12225" spans="1:15" x14ac:dyDescent="0.25">
      <c r="A12225" t="s">
        <v>12238</v>
      </c>
      <c r="B12225">
        <v>609</v>
      </c>
      <c r="C12225" s="1" t="str">
        <f>HYPERLINK("http://www.rosaceae.org/gb/gbrowse/malus_x_domestica/?name=MDP0000184469","MDP0000184469")</f>
        <v>MDP0000184469</v>
      </c>
      <c r="D12225">
        <v>88.5</v>
      </c>
      <c r="E12225">
        <v>609</v>
      </c>
      <c r="F12225">
        <v>70</v>
      </c>
      <c r="G12225">
        <v>0</v>
      </c>
      <c r="H12225">
        <v>1</v>
      </c>
      <c r="I12225">
        <v>609</v>
      </c>
      <c r="J12225">
        <v>1</v>
      </c>
      <c r="K12225">
        <v>1</v>
      </c>
      <c r="L12225">
        <v>609</v>
      </c>
      <c r="M12225">
        <v>1</v>
      </c>
      <c r="N12225">
        <v>0</v>
      </c>
      <c r="O12225">
        <v>2917</v>
      </c>
    </row>
    <row r="12226" spans="1:15" x14ac:dyDescent="0.25">
      <c r="A12226" t="s">
        <v>12239</v>
      </c>
      <c r="B12226">
        <v>561</v>
      </c>
      <c r="C12226" s="1" t="str">
        <f>HYPERLINK("http://www.rosaceae.org/gb/gbrowse/malus_x_domestica/?name=MDP0000161084","MDP0000161084")</f>
        <v>MDP0000161084</v>
      </c>
      <c r="D12226">
        <v>55.83</v>
      </c>
      <c r="E12226">
        <v>548</v>
      </c>
      <c r="F12226">
        <v>242</v>
      </c>
      <c r="G12226">
        <v>20</v>
      </c>
      <c r="H12226">
        <v>20</v>
      </c>
      <c r="I12226">
        <v>560</v>
      </c>
      <c r="J12226">
        <v>1</v>
      </c>
      <c r="K12226">
        <v>21</v>
      </c>
      <c r="L12226">
        <v>555</v>
      </c>
      <c r="M12226">
        <v>1</v>
      </c>
      <c r="N12226">
        <v>3.9792299999999999E-169</v>
      </c>
      <c r="O12226">
        <v>1526</v>
      </c>
    </row>
    <row r="12227" spans="1:15" x14ac:dyDescent="0.25">
      <c r="A12227" t="s">
        <v>12240</v>
      </c>
      <c r="B12227">
        <v>1027</v>
      </c>
      <c r="C12227" s="1" t="str">
        <f>HYPERLINK("http://www.rosaceae.org/gb/gbrowse/malus_x_domestica/?name=MDP0000046158","MDP0000046158")</f>
        <v>MDP0000046158</v>
      </c>
      <c r="D12227">
        <v>93.51</v>
      </c>
      <c r="E12227">
        <v>339</v>
      </c>
      <c r="F12227">
        <v>22</v>
      </c>
      <c r="G12227">
        <v>1</v>
      </c>
      <c r="H12227">
        <v>689</v>
      </c>
      <c r="I12227">
        <v>1027</v>
      </c>
      <c r="J12227">
        <v>1</v>
      </c>
      <c r="K12227">
        <v>1</v>
      </c>
      <c r="L12227">
        <v>338</v>
      </c>
      <c r="M12227">
        <v>1</v>
      </c>
      <c r="N12227">
        <v>0</v>
      </c>
      <c r="O12227">
        <v>1682</v>
      </c>
    </row>
    <row r="12228" spans="1:15" x14ac:dyDescent="0.25">
      <c r="A12228" t="s">
        <v>12241</v>
      </c>
      <c r="B12228">
        <v>633</v>
      </c>
      <c r="C12228" s="1" t="str">
        <f>HYPERLINK("http://www.rosaceae.org/gb/gbrowse/malus_x_domestica/?name=MDP0000467552","MDP0000467552")</f>
        <v>MDP0000467552</v>
      </c>
      <c r="D12228">
        <v>58.94</v>
      </c>
      <c r="E12228">
        <v>302</v>
      </c>
      <c r="F12228">
        <v>124</v>
      </c>
      <c r="G12228">
        <v>32</v>
      </c>
      <c r="H12228">
        <v>55</v>
      </c>
      <c r="I12228">
        <v>326</v>
      </c>
      <c r="J12228">
        <v>1</v>
      </c>
      <c r="K12228">
        <v>78</v>
      </c>
      <c r="L12228">
        <v>377</v>
      </c>
      <c r="M12228">
        <v>1</v>
      </c>
      <c r="N12228">
        <v>1.33018E-93</v>
      </c>
      <c r="O12228">
        <v>875</v>
      </c>
    </row>
    <row r="12229" spans="1:15" x14ac:dyDescent="0.25">
      <c r="A12229" t="s">
        <v>12242</v>
      </c>
      <c r="B12229">
        <v>389</v>
      </c>
      <c r="C12229" s="1" t="str">
        <f>HYPERLINK("http://www.rosaceae.org/gb/gbrowse/malus_x_domestica/?name=MDP0000129839","MDP0000129839")</f>
        <v>MDP0000129839</v>
      </c>
      <c r="D12229">
        <v>51.32</v>
      </c>
      <c r="E12229">
        <v>376</v>
      </c>
      <c r="F12229">
        <v>183</v>
      </c>
      <c r="G12229">
        <v>29</v>
      </c>
      <c r="H12229">
        <v>20</v>
      </c>
      <c r="I12229">
        <v>389</v>
      </c>
      <c r="J12229">
        <v>1</v>
      </c>
      <c r="K12229">
        <v>15</v>
      </c>
      <c r="L12229">
        <v>367</v>
      </c>
      <c r="M12229">
        <v>1</v>
      </c>
      <c r="N12229">
        <v>2.14601E-86</v>
      </c>
      <c r="O12229">
        <v>810</v>
      </c>
    </row>
    <row r="12230" spans="1:15" x14ac:dyDescent="0.25">
      <c r="A12230" t="s">
        <v>12243</v>
      </c>
      <c r="B12230">
        <v>340</v>
      </c>
      <c r="C12230" s="1" t="str">
        <f>HYPERLINK("http://www.rosaceae.org/gb/gbrowse/malus_x_domestica/?name=MDP0000307941","MDP0000307941")</f>
        <v>MDP0000307941</v>
      </c>
      <c r="D12230">
        <v>56.06</v>
      </c>
      <c r="E12230">
        <v>173</v>
      </c>
      <c r="F12230">
        <v>76</v>
      </c>
      <c r="G12230">
        <v>8</v>
      </c>
      <c r="H12230">
        <v>172</v>
      </c>
      <c r="I12230">
        <v>340</v>
      </c>
      <c r="J12230">
        <v>1</v>
      </c>
      <c r="K12230">
        <v>49</v>
      </c>
      <c r="L12230">
        <v>217</v>
      </c>
      <c r="M12230">
        <v>1</v>
      </c>
      <c r="N12230">
        <v>2.14095E-44</v>
      </c>
      <c r="O12230">
        <v>447</v>
      </c>
    </row>
    <row r="12231" spans="1:15" x14ac:dyDescent="0.25">
      <c r="A12231" t="s">
        <v>12244</v>
      </c>
      <c r="B12231">
        <v>505</v>
      </c>
      <c r="C12231" s="1" t="str">
        <f>HYPERLINK("http://www.rosaceae.org/gb/gbrowse/malus_x_domestica/?name=MDP0000256105","MDP0000256105")</f>
        <v>MDP0000256105</v>
      </c>
      <c r="D12231">
        <v>60.95</v>
      </c>
      <c r="E12231">
        <v>484</v>
      </c>
      <c r="F12231">
        <v>189</v>
      </c>
      <c r="G12231">
        <v>27</v>
      </c>
      <c r="H12231">
        <v>39</v>
      </c>
      <c r="I12231">
        <v>503</v>
      </c>
      <c r="J12231">
        <v>1</v>
      </c>
      <c r="K12231">
        <v>7</v>
      </c>
      <c r="L12231">
        <v>482</v>
      </c>
      <c r="M12231">
        <v>1</v>
      </c>
      <c r="N12231">
        <v>8.3915999999999996E-154</v>
      </c>
      <c r="O12231">
        <v>1393</v>
      </c>
    </row>
    <row r="12232" spans="1:15" x14ac:dyDescent="0.25">
      <c r="A12232" t="s">
        <v>12245</v>
      </c>
      <c r="B12232">
        <v>1429</v>
      </c>
      <c r="C12232" s="1" t="str">
        <f>HYPERLINK("http://www.rosaceae.org/gb/gbrowse/malus_x_domestica/?name=MDP0000140826","MDP0000140826")</f>
        <v>MDP0000140826</v>
      </c>
      <c r="D12232">
        <v>78.22</v>
      </c>
      <c r="E12232">
        <v>1327</v>
      </c>
      <c r="F12232">
        <v>289</v>
      </c>
      <c r="G12232">
        <v>33</v>
      </c>
      <c r="H12232">
        <v>1</v>
      </c>
      <c r="I12232">
        <v>1317</v>
      </c>
      <c r="J12232">
        <v>1</v>
      </c>
      <c r="K12232">
        <v>1</v>
      </c>
      <c r="L12232">
        <v>1304</v>
      </c>
      <c r="M12232">
        <v>1</v>
      </c>
      <c r="N12232">
        <v>0</v>
      </c>
      <c r="O12232">
        <v>5371</v>
      </c>
    </row>
    <row r="12233" spans="1:15" x14ac:dyDescent="0.25">
      <c r="A12233" t="s">
        <v>12246</v>
      </c>
      <c r="B12233">
        <v>567</v>
      </c>
      <c r="C12233" s="1" t="str">
        <f>HYPERLINK("http://www.rosaceae.org/gb/gbrowse/malus_x_domestica/?name=MDP0000765919","MDP0000765919")</f>
        <v>MDP0000765919</v>
      </c>
      <c r="D12233">
        <v>83.16</v>
      </c>
      <c r="E12233">
        <v>487</v>
      </c>
      <c r="F12233">
        <v>82</v>
      </c>
      <c r="G12233">
        <v>1</v>
      </c>
      <c r="H12233">
        <v>81</v>
      </c>
      <c r="I12233">
        <v>567</v>
      </c>
      <c r="J12233">
        <v>1</v>
      </c>
      <c r="K12233">
        <v>143</v>
      </c>
      <c r="L12233">
        <v>628</v>
      </c>
      <c r="M12233">
        <v>1</v>
      </c>
      <c r="N12233">
        <v>0</v>
      </c>
      <c r="O12233">
        <v>2183</v>
      </c>
    </row>
    <row r="12234" spans="1:15" x14ac:dyDescent="0.25">
      <c r="A12234" t="s">
        <v>12247</v>
      </c>
      <c r="B12234">
        <v>714</v>
      </c>
      <c r="C12234" s="1" t="str">
        <f>HYPERLINK("http://www.rosaceae.org/gb/gbrowse/malus_x_domestica/?name=MDP0000186402","MDP0000186402")</f>
        <v>MDP0000186402</v>
      </c>
      <c r="D12234">
        <v>37.5</v>
      </c>
      <c r="E12234">
        <v>104</v>
      </c>
      <c r="F12234">
        <v>65</v>
      </c>
      <c r="G12234">
        <v>0</v>
      </c>
      <c r="H12234">
        <v>598</v>
      </c>
      <c r="I12234">
        <v>701</v>
      </c>
      <c r="J12234">
        <v>1</v>
      </c>
      <c r="K12234">
        <v>423</v>
      </c>
      <c r="L12234">
        <v>526</v>
      </c>
      <c r="M12234">
        <v>1</v>
      </c>
      <c r="N12234">
        <v>4.7775399999999999E-17</v>
      </c>
      <c r="O12234">
        <v>215</v>
      </c>
    </row>
    <row r="12235" spans="1:15" x14ac:dyDescent="0.25">
      <c r="A12235" t="s">
        <v>12248</v>
      </c>
      <c r="B12235">
        <v>583</v>
      </c>
      <c r="C12235" s="1" t="str">
        <f>HYPERLINK("http://www.rosaceae.org/gb/gbrowse/malus_x_domestica/?name=MDP0000858033","MDP0000858033")</f>
        <v>MDP0000858033</v>
      </c>
      <c r="D12235">
        <v>43.08</v>
      </c>
      <c r="E12235">
        <v>376</v>
      </c>
      <c r="F12235">
        <v>214</v>
      </c>
      <c r="G12235">
        <v>30</v>
      </c>
      <c r="H12235">
        <v>1</v>
      </c>
      <c r="I12235">
        <v>348</v>
      </c>
      <c r="J12235">
        <v>1</v>
      </c>
      <c r="K12235">
        <v>1</v>
      </c>
      <c r="L12235">
        <v>374</v>
      </c>
      <c r="M12235">
        <v>1</v>
      </c>
      <c r="N12235">
        <v>1.26105E-66</v>
      </c>
      <c r="O12235">
        <v>642</v>
      </c>
    </row>
    <row r="12236" spans="1:15" x14ac:dyDescent="0.25">
      <c r="A12236" t="s">
        <v>12249</v>
      </c>
      <c r="B12236">
        <v>250</v>
      </c>
      <c r="C12236" s="1" t="str">
        <f>HYPERLINK("http://www.rosaceae.org/gb/gbrowse/malus_x_domestica/?name=MDP0000638487","MDP0000638487")</f>
        <v>MDP0000638487</v>
      </c>
      <c r="D12236">
        <v>69.760000000000005</v>
      </c>
      <c r="E12236">
        <v>43</v>
      </c>
      <c r="F12236">
        <v>13</v>
      </c>
      <c r="G12236">
        <v>0</v>
      </c>
      <c r="H12236">
        <v>44</v>
      </c>
      <c r="I12236">
        <v>86</v>
      </c>
      <c r="J12236">
        <v>1</v>
      </c>
      <c r="K12236">
        <v>186</v>
      </c>
      <c r="L12236">
        <v>228</v>
      </c>
      <c r="M12236">
        <v>1</v>
      </c>
      <c r="N12236">
        <v>5.20173E-10</v>
      </c>
      <c r="O12236">
        <v>149</v>
      </c>
    </row>
    <row r="12237" spans="1:15" x14ac:dyDescent="0.25">
      <c r="A12237" t="s">
        <v>12250</v>
      </c>
      <c r="B12237">
        <v>151</v>
      </c>
      <c r="C12237" s="1" t="str">
        <f>HYPERLINK("http://www.rosaceae.org/gb/gbrowse/malus_x_domestica/?name=MDP0000452163","MDP0000452163")</f>
        <v>MDP0000452163</v>
      </c>
      <c r="D12237">
        <v>66.66</v>
      </c>
      <c r="E12237">
        <v>54</v>
      </c>
      <c r="F12237">
        <v>18</v>
      </c>
      <c r="G12237">
        <v>0</v>
      </c>
      <c r="H12237">
        <v>98</v>
      </c>
      <c r="I12237">
        <v>151</v>
      </c>
      <c r="J12237">
        <v>1</v>
      </c>
      <c r="K12237">
        <v>465</v>
      </c>
      <c r="L12237">
        <v>518</v>
      </c>
      <c r="M12237">
        <v>1</v>
      </c>
      <c r="N12237">
        <v>1.1375999999999999E-12</v>
      </c>
      <c r="O12237">
        <v>169</v>
      </c>
    </row>
    <row r="12238" spans="1:15" x14ac:dyDescent="0.25">
      <c r="A12238" t="s">
        <v>12251</v>
      </c>
      <c r="B12238">
        <v>163</v>
      </c>
      <c r="C12238" s="1" t="str">
        <f>HYPERLINK("http://www.rosaceae.org/gb/gbrowse/malus_x_domestica/?name=MDP0000857523","MDP0000857523")</f>
        <v>MDP0000857523</v>
      </c>
      <c r="D12238">
        <v>60.24</v>
      </c>
      <c r="E12238">
        <v>166</v>
      </c>
      <c r="F12238">
        <v>66</v>
      </c>
      <c r="G12238">
        <v>8</v>
      </c>
      <c r="H12238">
        <v>1</v>
      </c>
      <c r="I12238">
        <v>159</v>
      </c>
      <c r="J12238">
        <v>1</v>
      </c>
      <c r="K12238">
        <v>1</v>
      </c>
      <c r="L12238">
        <v>165</v>
      </c>
      <c r="M12238">
        <v>1</v>
      </c>
      <c r="N12238">
        <v>6.5844100000000001E-49</v>
      </c>
      <c r="O12238">
        <v>482</v>
      </c>
    </row>
    <row r="12239" spans="1:15" x14ac:dyDescent="0.25">
      <c r="A12239" t="s">
        <v>12252</v>
      </c>
      <c r="B12239">
        <v>456</v>
      </c>
      <c r="C12239" s="1" t="str">
        <f>HYPERLINK("http://www.rosaceae.org/gb/gbrowse/malus_x_domestica/?name=MDP0000316785","MDP0000316785")</f>
        <v>MDP0000316785</v>
      </c>
      <c r="D12239">
        <v>43.06</v>
      </c>
      <c r="E12239">
        <v>346</v>
      </c>
      <c r="F12239">
        <v>197</v>
      </c>
      <c r="G12239">
        <v>5</v>
      </c>
      <c r="H12239">
        <v>103</v>
      </c>
      <c r="I12239">
        <v>447</v>
      </c>
      <c r="J12239">
        <v>1</v>
      </c>
      <c r="K12239">
        <v>45</v>
      </c>
      <c r="L12239">
        <v>386</v>
      </c>
      <c r="M12239">
        <v>1</v>
      </c>
      <c r="N12239">
        <v>2.59946E-81</v>
      </c>
      <c r="O12239">
        <v>767</v>
      </c>
    </row>
    <row r="12240" spans="1:15" x14ac:dyDescent="0.25">
      <c r="A12240" t="s">
        <v>12253</v>
      </c>
      <c r="B12240">
        <v>365</v>
      </c>
      <c r="C12240" s="1" t="str">
        <f>HYPERLINK("http://www.rosaceae.org/gb/gbrowse/malus_x_domestica/?name=MDP0000902602","MDP0000902602")</f>
        <v>MDP0000902602</v>
      </c>
      <c r="D12240">
        <v>75.33</v>
      </c>
      <c r="E12240">
        <v>373</v>
      </c>
      <c r="F12240">
        <v>92</v>
      </c>
      <c r="G12240">
        <v>11</v>
      </c>
      <c r="H12240">
        <v>1</v>
      </c>
      <c r="I12240">
        <v>363</v>
      </c>
      <c r="J12240">
        <v>1</v>
      </c>
      <c r="K12240">
        <v>1</v>
      </c>
      <c r="L12240">
        <v>372</v>
      </c>
      <c r="M12240">
        <v>1</v>
      </c>
      <c r="N12240">
        <v>8.8582400000000004E-158</v>
      </c>
      <c r="O12240">
        <v>1426</v>
      </c>
    </row>
    <row r="12241" spans="1:15" x14ac:dyDescent="0.25">
      <c r="A12241" t="s">
        <v>12254</v>
      </c>
      <c r="B12241">
        <v>247</v>
      </c>
      <c r="C12241" s="1" t="str">
        <f>HYPERLINK("http://www.rosaceae.org/gb/gbrowse/malus_x_domestica/?name=MDP0000219444","MDP0000219444")</f>
        <v>MDP0000219444</v>
      </c>
      <c r="D12241">
        <v>50.86</v>
      </c>
      <c r="E12241">
        <v>173</v>
      </c>
      <c r="F12241">
        <v>85</v>
      </c>
      <c r="G12241">
        <v>6</v>
      </c>
      <c r="H12241">
        <v>46</v>
      </c>
      <c r="I12241">
        <v>215</v>
      </c>
      <c r="J12241">
        <v>1</v>
      </c>
      <c r="K12241">
        <v>34</v>
      </c>
      <c r="L12241">
        <v>203</v>
      </c>
      <c r="M12241">
        <v>1</v>
      </c>
      <c r="N12241">
        <v>2.36407E-41</v>
      </c>
      <c r="O12241">
        <v>419</v>
      </c>
    </row>
    <row r="12242" spans="1:15" x14ac:dyDescent="0.25">
      <c r="A12242" t="s">
        <v>12255</v>
      </c>
      <c r="B12242">
        <v>912</v>
      </c>
      <c r="C12242" s="1" t="str">
        <f>HYPERLINK("http://www.rosaceae.org/gb/gbrowse/malus_x_domestica/?name=MDP0000755970","MDP0000755970")</f>
        <v>MDP0000755970</v>
      </c>
      <c r="D12242">
        <v>87.5</v>
      </c>
      <c r="E12242">
        <v>896</v>
      </c>
      <c r="F12242">
        <v>112</v>
      </c>
      <c r="G12242">
        <v>0</v>
      </c>
      <c r="H12242">
        <v>1</v>
      </c>
      <c r="I12242">
        <v>896</v>
      </c>
      <c r="J12242">
        <v>1</v>
      </c>
      <c r="K12242">
        <v>1</v>
      </c>
      <c r="L12242">
        <v>896</v>
      </c>
      <c r="M12242">
        <v>1</v>
      </c>
      <c r="N12242">
        <v>0</v>
      </c>
      <c r="O12242">
        <v>4114</v>
      </c>
    </row>
    <row r="12243" spans="1:15" x14ac:dyDescent="0.25">
      <c r="A12243" t="s">
        <v>12256</v>
      </c>
      <c r="B12243">
        <v>126</v>
      </c>
      <c r="C12243" s="1" t="str">
        <f>HYPERLINK("http://www.rosaceae.org/gb/gbrowse/malus_x_domestica/?name=MDP0000203867","MDP0000203867")</f>
        <v>MDP0000203867</v>
      </c>
      <c r="D12243">
        <v>76.37</v>
      </c>
      <c r="E12243">
        <v>127</v>
      </c>
      <c r="F12243">
        <v>30</v>
      </c>
      <c r="G12243">
        <v>1</v>
      </c>
      <c r="H12243">
        <v>1</v>
      </c>
      <c r="I12243">
        <v>126</v>
      </c>
      <c r="J12243">
        <v>1</v>
      </c>
      <c r="K12243">
        <v>5</v>
      </c>
      <c r="L12243">
        <v>131</v>
      </c>
      <c r="M12243">
        <v>1</v>
      </c>
      <c r="N12243">
        <v>4.2303900000000002E-53</v>
      </c>
      <c r="O12243">
        <v>516</v>
      </c>
    </row>
    <row r="12244" spans="1:15" x14ac:dyDescent="0.25">
      <c r="A12244" t="s">
        <v>12257</v>
      </c>
      <c r="B12244">
        <v>851</v>
      </c>
      <c r="C12244" s="1" t="str">
        <f>HYPERLINK("http://www.rosaceae.org/gb/gbrowse/malus_x_domestica/?name=MDP0000293408","MDP0000293408")</f>
        <v>MDP0000293408</v>
      </c>
      <c r="D12244">
        <v>72.72</v>
      </c>
      <c r="E12244">
        <v>407</v>
      </c>
      <c r="F12244">
        <v>111</v>
      </c>
      <c r="G12244">
        <v>3</v>
      </c>
      <c r="H12244">
        <v>25</v>
      </c>
      <c r="I12244">
        <v>429</v>
      </c>
      <c r="J12244">
        <v>1</v>
      </c>
      <c r="K12244">
        <v>561</v>
      </c>
      <c r="L12244">
        <v>966</v>
      </c>
      <c r="M12244">
        <v>1</v>
      </c>
      <c r="N12244">
        <v>6.5267500000000003E-176</v>
      </c>
      <c r="O12244">
        <v>1586</v>
      </c>
    </row>
    <row r="12245" spans="1:15" x14ac:dyDescent="0.25">
      <c r="A12245" t="s">
        <v>12258</v>
      </c>
      <c r="B12245">
        <v>252</v>
      </c>
      <c r="C12245" s="1" t="str">
        <f>HYPERLINK("http://www.rosaceae.org/gb/gbrowse/malus_x_domestica/?name=MDP0000917496","MDP0000917496")</f>
        <v>MDP0000917496</v>
      </c>
      <c r="D12245">
        <v>90.47</v>
      </c>
      <c r="E12245">
        <v>252</v>
      </c>
      <c r="F12245">
        <v>24</v>
      </c>
      <c r="G12245">
        <v>0</v>
      </c>
      <c r="H12245">
        <v>1</v>
      </c>
      <c r="I12245">
        <v>252</v>
      </c>
      <c r="J12245">
        <v>1</v>
      </c>
      <c r="K12245">
        <v>1</v>
      </c>
      <c r="L12245">
        <v>252</v>
      </c>
      <c r="M12245">
        <v>1</v>
      </c>
      <c r="N12245">
        <v>7.05348E-128</v>
      </c>
      <c r="O12245">
        <v>1166</v>
      </c>
    </row>
    <row r="12246" spans="1:15" x14ac:dyDescent="0.25">
      <c r="A12246" t="s">
        <v>12259</v>
      </c>
      <c r="B12246">
        <v>334</v>
      </c>
      <c r="C12246" s="1" t="str">
        <f>HYPERLINK("http://www.rosaceae.org/gb/gbrowse/malus_x_domestica/?name=MDP0000296109","MDP0000296109")</f>
        <v>MDP0000296109</v>
      </c>
      <c r="D12246">
        <v>50.71</v>
      </c>
      <c r="E12246">
        <v>351</v>
      </c>
      <c r="F12246">
        <v>173</v>
      </c>
      <c r="G12246">
        <v>27</v>
      </c>
      <c r="H12246">
        <v>1</v>
      </c>
      <c r="I12246">
        <v>334</v>
      </c>
      <c r="J12246">
        <v>1</v>
      </c>
      <c r="K12246">
        <v>327</v>
      </c>
      <c r="L12246">
        <v>667</v>
      </c>
      <c r="M12246">
        <v>1</v>
      </c>
      <c r="N12246">
        <v>4.8766899999999997E-80</v>
      </c>
      <c r="O12246">
        <v>755</v>
      </c>
    </row>
    <row r="12247" spans="1:15" x14ac:dyDescent="0.25">
      <c r="A12247" t="s">
        <v>12260</v>
      </c>
      <c r="B12247">
        <v>632</v>
      </c>
      <c r="C12247" s="1" t="str">
        <f>HYPERLINK("http://www.rosaceae.org/gb/gbrowse/malus_x_domestica/?name=MDP0000135639","MDP0000135639")</f>
        <v>MDP0000135639</v>
      </c>
      <c r="D12247">
        <v>80.13</v>
      </c>
      <c r="E12247">
        <v>443</v>
      </c>
      <c r="F12247">
        <v>88</v>
      </c>
      <c r="G12247">
        <v>23</v>
      </c>
      <c r="H12247">
        <v>211</v>
      </c>
      <c r="I12247">
        <v>632</v>
      </c>
      <c r="J12247">
        <v>1</v>
      </c>
      <c r="K12247">
        <v>17</v>
      </c>
      <c r="L12247">
        <v>457</v>
      </c>
      <c r="M12247">
        <v>1</v>
      </c>
      <c r="N12247">
        <v>0</v>
      </c>
      <c r="O12247">
        <v>1879</v>
      </c>
    </row>
    <row r="12248" spans="1:15" x14ac:dyDescent="0.25">
      <c r="A12248" t="s">
        <v>12261</v>
      </c>
      <c r="B12248">
        <v>716</v>
      </c>
      <c r="C12248" s="1" t="str">
        <f>HYPERLINK("http://www.rosaceae.org/gb/gbrowse/malus_x_domestica/?name=MDP0000902216","MDP0000902216")</f>
        <v>MDP0000902216</v>
      </c>
      <c r="D12248">
        <v>73.2</v>
      </c>
      <c r="E12248">
        <v>474</v>
      </c>
      <c r="F12248">
        <v>127</v>
      </c>
      <c r="G12248">
        <v>15</v>
      </c>
      <c r="H12248">
        <v>253</v>
      </c>
      <c r="I12248">
        <v>713</v>
      </c>
      <c r="J12248">
        <v>1</v>
      </c>
      <c r="K12248">
        <v>24</v>
      </c>
      <c r="L12248">
        <v>495</v>
      </c>
      <c r="M12248">
        <v>1</v>
      </c>
      <c r="N12248">
        <v>0</v>
      </c>
      <c r="O12248">
        <v>1859</v>
      </c>
    </row>
    <row r="12249" spans="1:15" x14ac:dyDescent="0.25">
      <c r="A12249" t="s">
        <v>12262</v>
      </c>
      <c r="B12249">
        <v>399</v>
      </c>
      <c r="C12249" s="1" t="str">
        <f>HYPERLINK("http://www.rosaceae.org/gb/gbrowse/malus_x_domestica/?name=MDP0000694848","MDP0000694848")</f>
        <v>MDP0000694848</v>
      </c>
      <c r="D12249">
        <v>68.180000000000007</v>
      </c>
      <c r="E12249">
        <v>330</v>
      </c>
      <c r="F12249">
        <v>105</v>
      </c>
      <c r="G12249">
        <v>11</v>
      </c>
      <c r="H12249">
        <v>56</v>
      </c>
      <c r="I12249">
        <v>385</v>
      </c>
      <c r="J12249">
        <v>1</v>
      </c>
      <c r="K12249">
        <v>1</v>
      </c>
      <c r="L12249">
        <v>319</v>
      </c>
      <c r="M12249">
        <v>1</v>
      </c>
      <c r="N12249">
        <v>1.4620399999999999E-123</v>
      </c>
      <c r="O12249">
        <v>1131</v>
      </c>
    </row>
    <row r="12250" spans="1:15" x14ac:dyDescent="0.25">
      <c r="A12250" t="s">
        <v>12263</v>
      </c>
      <c r="B12250">
        <v>85</v>
      </c>
      <c r="C12250" s="1" t="str">
        <f>HYPERLINK("http://www.rosaceae.org/gb/gbrowse/malus_x_domestica/?name=MDP0000279461","MDP0000279461")</f>
        <v>MDP0000279461</v>
      </c>
      <c r="D12250">
        <v>78.040000000000006</v>
      </c>
      <c r="E12250">
        <v>41</v>
      </c>
      <c r="F12250">
        <v>9</v>
      </c>
      <c r="G12250">
        <v>0</v>
      </c>
      <c r="H12250">
        <v>18</v>
      </c>
      <c r="I12250">
        <v>58</v>
      </c>
      <c r="J12250">
        <v>1</v>
      </c>
      <c r="K12250">
        <v>1039</v>
      </c>
      <c r="L12250">
        <v>1079</v>
      </c>
      <c r="M12250">
        <v>1</v>
      </c>
      <c r="N12250">
        <v>3.3203700000000002E-11</v>
      </c>
      <c r="O12250">
        <v>154</v>
      </c>
    </row>
    <row r="12251" spans="1:15" x14ac:dyDescent="0.25">
      <c r="A12251" t="s">
        <v>12264</v>
      </c>
      <c r="B12251">
        <v>1052</v>
      </c>
      <c r="C12251" s="1" t="str">
        <f>HYPERLINK("http://www.rosaceae.org/gb/gbrowse/malus_x_domestica/?name=MDP0000731702","MDP0000731702")</f>
        <v>MDP0000731702</v>
      </c>
      <c r="D12251">
        <v>63.22</v>
      </c>
      <c r="E12251">
        <v>1036</v>
      </c>
      <c r="F12251">
        <v>381</v>
      </c>
      <c r="G12251">
        <v>44</v>
      </c>
      <c r="H12251">
        <v>20</v>
      </c>
      <c r="I12251">
        <v>1050</v>
      </c>
      <c r="J12251">
        <v>1</v>
      </c>
      <c r="K12251">
        <v>257</v>
      </c>
      <c r="L12251">
        <v>1253</v>
      </c>
      <c r="M12251">
        <v>1</v>
      </c>
      <c r="N12251">
        <v>0</v>
      </c>
      <c r="O12251">
        <v>3225</v>
      </c>
    </row>
    <row r="12252" spans="1:15" x14ac:dyDescent="0.25">
      <c r="A12252" t="s">
        <v>12265</v>
      </c>
      <c r="B12252">
        <v>300</v>
      </c>
      <c r="C12252" s="1" t="str">
        <f>HYPERLINK("http://www.rosaceae.org/gb/gbrowse/malus_x_domestica/?name=MDP0000255394","MDP0000255394")</f>
        <v>MDP0000255394</v>
      </c>
      <c r="D12252">
        <v>76.66</v>
      </c>
      <c r="E12252">
        <v>300</v>
      </c>
      <c r="F12252">
        <v>70</v>
      </c>
      <c r="G12252">
        <v>0</v>
      </c>
      <c r="H12252">
        <v>1</v>
      </c>
      <c r="I12252">
        <v>300</v>
      </c>
      <c r="J12252">
        <v>1</v>
      </c>
      <c r="K12252">
        <v>181</v>
      </c>
      <c r="L12252">
        <v>480</v>
      </c>
      <c r="M12252">
        <v>1</v>
      </c>
      <c r="N12252">
        <v>7.65739E-132</v>
      </c>
      <c r="O12252">
        <v>1201</v>
      </c>
    </row>
    <row r="12253" spans="1:15" x14ac:dyDescent="0.25">
      <c r="A12253" t="s">
        <v>12266</v>
      </c>
      <c r="B12253">
        <v>639</v>
      </c>
      <c r="C12253" s="1" t="str">
        <f>HYPERLINK("http://www.rosaceae.org/gb/gbrowse/malus_x_domestica/?name=MDP0000298967","MDP0000298967")</f>
        <v>MDP0000298967</v>
      </c>
      <c r="D12253">
        <v>67.75</v>
      </c>
      <c r="E12253">
        <v>642</v>
      </c>
      <c r="F12253">
        <v>207</v>
      </c>
      <c r="G12253">
        <v>21</v>
      </c>
      <c r="H12253">
        <v>12</v>
      </c>
      <c r="I12253">
        <v>637</v>
      </c>
      <c r="J12253">
        <v>1</v>
      </c>
      <c r="K12253">
        <v>2</v>
      </c>
      <c r="L12253">
        <v>638</v>
      </c>
      <c r="M12253">
        <v>1</v>
      </c>
      <c r="N12253">
        <v>0</v>
      </c>
      <c r="O12253">
        <v>2261</v>
      </c>
    </row>
    <row r="12254" spans="1:15" x14ac:dyDescent="0.25">
      <c r="A12254" t="s">
        <v>12267</v>
      </c>
      <c r="B12254">
        <v>607</v>
      </c>
      <c r="C12254" s="1" t="str">
        <f>HYPERLINK("http://www.rosaceae.org/gb/gbrowse/malus_x_domestica/?name=MDP0000165445","MDP0000165445")</f>
        <v>MDP0000165445</v>
      </c>
      <c r="D12254">
        <v>76.3</v>
      </c>
      <c r="E12254">
        <v>612</v>
      </c>
      <c r="F12254">
        <v>145</v>
      </c>
      <c r="G12254">
        <v>19</v>
      </c>
      <c r="H12254">
        <v>1</v>
      </c>
      <c r="I12254">
        <v>606</v>
      </c>
      <c r="J12254">
        <v>1</v>
      </c>
      <c r="K12254">
        <v>36</v>
      </c>
      <c r="L12254">
        <v>634</v>
      </c>
      <c r="M12254">
        <v>1</v>
      </c>
      <c r="N12254">
        <v>0</v>
      </c>
      <c r="O12254">
        <v>2486</v>
      </c>
    </row>
    <row r="12255" spans="1:15" x14ac:dyDescent="0.25">
      <c r="A12255" t="s">
        <v>12268</v>
      </c>
      <c r="B12255">
        <v>491</v>
      </c>
      <c r="C12255" s="1" t="str">
        <f>HYPERLINK("http://www.rosaceae.org/gb/gbrowse/malus_x_domestica/?name=MDP0000321387","MDP0000321387")</f>
        <v>MDP0000321387</v>
      </c>
      <c r="D12255">
        <v>80.08</v>
      </c>
      <c r="E12255">
        <v>447</v>
      </c>
      <c r="F12255">
        <v>89</v>
      </c>
      <c r="G12255">
        <v>10</v>
      </c>
      <c r="H12255">
        <v>23</v>
      </c>
      <c r="I12255">
        <v>460</v>
      </c>
      <c r="J12255">
        <v>1</v>
      </c>
      <c r="K12255">
        <v>26</v>
      </c>
      <c r="L12255">
        <v>471</v>
      </c>
      <c r="M12255">
        <v>1</v>
      </c>
      <c r="N12255">
        <v>0</v>
      </c>
      <c r="O12255">
        <v>1936</v>
      </c>
    </row>
    <row r="12256" spans="1:15" x14ac:dyDescent="0.25">
      <c r="A12256" t="s">
        <v>12269</v>
      </c>
      <c r="B12256">
        <v>960</v>
      </c>
      <c r="C12256" s="1" t="str">
        <f>HYPERLINK("http://www.rosaceae.org/gb/gbrowse/malus_x_domestica/?name=MDP0000140237","MDP0000140237")</f>
        <v>MDP0000140237</v>
      </c>
      <c r="D12256">
        <v>88.18</v>
      </c>
      <c r="E12256">
        <v>906</v>
      </c>
      <c r="F12256">
        <v>107</v>
      </c>
      <c r="G12256">
        <v>7</v>
      </c>
      <c r="H12256">
        <v>57</v>
      </c>
      <c r="I12256">
        <v>959</v>
      </c>
      <c r="J12256">
        <v>1</v>
      </c>
      <c r="K12256">
        <v>1</v>
      </c>
      <c r="L12256">
        <v>902</v>
      </c>
      <c r="M12256">
        <v>1</v>
      </c>
      <c r="N12256">
        <v>0</v>
      </c>
      <c r="O12256">
        <v>4202</v>
      </c>
    </row>
    <row r="12257" spans="1:15" x14ac:dyDescent="0.25">
      <c r="A12257" t="s">
        <v>12270</v>
      </c>
      <c r="B12257">
        <v>110</v>
      </c>
      <c r="C12257" s="1" t="str">
        <f>HYPERLINK("http://www.rosaceae.org/gb/gbrowse/malus_x_domestica/?name=MDP0000677008","MDP0000677008")</f>
        <v>MDP0000677008</v>
      </c>
      <c r="D12257">
        <v>41.52</v>
      </c>
      <c r="E12257">
        <v>118</v>
      </c>
      <c r="F12257">
        <v>69</v>
      </c>
      <c r="G12257">
        <v>13</v>
      </c>
      <c r="H12257">
        <v>1</v>
      </c>
      <c r="I12257">
        <v>110</v>
      </c>
      <c r="J12257">
        <v>1</v>
      </c>
      <c r="K12257">
        <v>1</v>
      </c>
      <c r="L12257">
        <v>113</v>
      </c>
      <c r="M12257">
        <v>1</v>
      </c>
      <c r="N12257">
        <v>7.6425600000000001E-12</v>
      </c>
      <c r="O12257">
        <v>159</v>
      </c>
    </row>
    <row r="12258" spans="1:15" x14ac:dyDescent="0.25">
      <c r="A12258" t="s">
        <v>12271</v>
      </c>
      <c r="B12258">
        <v>487</v>
      </c>
      <c r="C12258" s="1" t="str">
        <f>HYPERLINK("http://www.rosaceae.org/gb/gbrowse/malus_x_domestica/?name=MDP0000165833","MDP0000165833")</f>
        <v>MDP0000165833</v>
      </c>
      <c r="D12258">
        <v>72.05</v>
      </c>
      <c r="E12258">
        <v>408</v>
      </c>
      <c r="F12258">
        <v>114</v>
      </c>
      <c r="G12258">
        <v>59</v>
      </c>
      <c r="H12258">
        <v>22</v>
      </c>
      <c r="I12258">
        <v>370</v>
      </c>
      <c r="J12258">
        <v>1</v>
      </c>
      <c r="K12258">
        <v>29</v>
      </c>
      <c r="L12258">
        <v>436</v>
      </c>
      <c r="M12258">
        <v>1</v>
      </c>
      <c r="N12258">
        <v>5.4329100000000002E-163</v>
      </c>
      <c r="O12258">
        <v>1472</v>
      </c>
    </row>
    <row r="12259" spans="1:15" x14ac:dyDescent="0.25">
      <c r="A12259" t="s">
        <v>12272</v>
      </c>
      <c r="B12259">
        <v>438</v>
      </c>
      <c r="C12259" s="1" t="str">
        <f>HYPERLINK("http://www.rosaceae.org/gb/gbrowse/malus_x_domestica/?name=MDP0000700517","MDP0000700517")</f>
        <v>MDP0000700517</v>
      </c>
      <c r="D12259">
        <v>26.72</v>
      </c>
      <c r="E12259">
        <v>232</v>
      </c>
      <c r="F12259">
        <v>170</v>
      </c>
      <c r="G12259">
        <v>30</v>
      </c>
      <c r="H12259">
        <v>103</v>
      </c>
      <c r="I12259">
        <v>310</v>
      </c>
      <c r="J12259">
        <v>1</v>
      </c>
      <c r="K12259">
        <v>138</v>
      </c>
      <c r="L12259">
        <v>363</v>
      </c>
      <c r="M12259">
        <v>1</v>
      </c>
      <c r="N12259">
        <v>9.7846900000000004E-12</v>
      </c>
      <c r="O12259">
        <v>167</v>
      </c>
    </row>
    <row r="12260" spans="1:15" x14ac:dyDescent="0.25">
      <c r="A12260" t="s">
        <v>12273</v>
      </c>
      <c r="B12260">
        <v>173</v>
      </c>
      <c r="C12260" s="1" t="str">
        <f>HYPERLINK("http://www.rosaceae.org/gb/gbrowse/malus_x_domestica/?name=MDP0000698897","MDP0000698897")</f>
        <v>MDP0000698897</v>
      </c>
      <c r="D12260">
        <v>38.19</v>
      </c>
      <c r="E12260">
        <v>144</v>
      </c>
      <c r="F12260">
        <v>89</v>
      </c>
      <c r="G12260">
        <v>2</v>
      </c>
      <c r="H12260">
        <v>32</v>
      </c>
      <c r="I12260">
        <v>173</v>
      </c>
      <c r="J12260">
        <v>1</v>
      </c>
      <c r="K12260">
        <v>36</v>
      </c>
      <c r="L12260">
        <v>179</v>
      </c>
      <c r="M12260">
        <v>1</v>
      </c>
      <c r="N12260">
        <v>1.17594E-18</v>
      </c>
      <c r="O12260">
        <v>221</v>
      </c>
    </row>
    <row r="12261" spans="1:15" x14ac:dyDescent="0.25">
      <c r="A12261" t="s">
        <v>12274</v>
      </c>
      <c r="B12261">
        <v>497</v>
      </c>
      <c r="C12261" s="1" t="str">
        <f>HYPERLINK("http://www.rosaceae.org/gb/gbrowse/malus_x_domestica/?name=MDP0000295191","MDP0000295191")</f>
        <v>MDP0000295191</v>
      </c>
      <c r="D12261">
        <v>32.619999999999997</v>
      </c>
      <c r="E12261">
        <v>374</v>
      </c>
      <c r="F12261">
        <v>252</v>
      </c>
      <c r="G12261">
        <v>31</v>
      </c>
      <c r="H12261">
        <v>109</v>
      </c>
      <c r="I12261">
        <v>468</v>
      </c>
      <c r="J12261">
        <v>1</v>
      </c>
      <c r="K12261">
        <v>16</v>
      </c>
      <c r="L12261">
        <v>372</v>
      </c>
      <c r="M12261">
        <v>1</v>
      </c>
      <c r="N12261">
        <v>9.1589100000000002E-41</v>
      </c>
      <c r="O12261">
        <v>418</v>
      </c>
    </row>
    <row r="12262" spans="1:15" x14ac:dyDescent="0.25">
      <c r="A12262" t="s">
        <v>12275</v>
      </c>
      <c r="B12262">
        <v>159</v>
      </c>
      <c r="C12262" s="1" t="str">
        <f>HYPERLINK("http://www.rosaceae.org/gb/gbrowse/malus_x_domestica/?name=MDP0000155154","MDP0000155154")</f>
        <v>MDP0000155154</v>
      </c>
      <c r="D12262">
        <v>73.209999999999994</v>
      </c>
      <c r="E12262">
        <v>112</v>
      </c>
      <c r="F12262">
        <v>30</v>
      </c>
      <c r="G12262">
        <v>4</v>
      </c>
      <c r="H12262">
        <v>38</v>
      </c>
      <c r="I12262">
        <v>145</v>
      </c>
      <c r="J12262">
        <v>1</v>
      </c>
      <c r="K12262">
        <v>689</v>
      </c>
      <c r="L12262">
        <v>800</v>
      </c>
      <c r="M12262">
        <v>1</v>
      </c>
      <c r="N12262">
        <v>4.5237300000000002E-41</v>
      </c>
      <c r="O12262">
        <v>414</v>
      </c>
    </row>
    <row r="12263" spans="1:15" x14ac:dyDescent="0.25">
      <c r="A12263" t="s">
        <v>12276</v>
      </c>
      <c r="B12263">
        <v>364</v>
      </c>
      <c r="C12263" s="1" t="str">
        <f>HYPERLINK("http://www.rosaceae.org/gb/gbrowse/malus_x_domestica/?name=MDP0000784942","MDP0000784942")</f>
        <v>MDP0000784942</v>
      </c>
      <c r="D12263">
        <v>77.97</v>
      </c>
      <c r="E12263">
        <v>395</v>
      </c>
      <c r="F12263">
        <v>87</v>
      </c>
      <c r="G12263">
        <v>33</v>
      </c>
      <c r="H12263">
        <v>1</v>
      </c>
      <c r="I12263">
        <v>364</v>
      </c>
      <c r="J12263">
        <v>1</v>
      </c>
      <c r="K12263">
        <v>1</v>
      </c>
      <c r="L12263">
        <v>393</v>
      </c>
      <c r="M12263">
        <v>1</v>
      </c>
      <c r="N12263">
        <v>1.6559900000000001E-173</v>
      </c>
      <c r="O12263">
        <v>1561</v>
      </c>
    </row>
    <row r="12264" spans="1:15" x14ac:dyDescent="0.25">
      <c r="A12264" t="s">
        <v>12277</v>
      </c>
      <c r="B12264">
        <v>134</v>
      </c>
      <c r="C12264" s="1" t="str">
        <f>HYPERLINK("http://www.rosaceae.org/gb/gbrowse/malus_x_domestica/?name=MDP0000939214","MDP0000939214")</f>
        <v>MDP0000939214</v>
      </c>
      <c r="D12264">
        <v>32.75</v>
      </c>
      <c r="E12264">
        <v>116</v>
      </c>
      <c r="F12264">
        <v>78</v>
      </c>
      <c r="G12264">
        <v>14</v>
      </c>
      <c r="H12264">
        <v>26</v>
      </c>
      <c r="I12264">
        <v>131</v>
      </c>
      <c r="J12264">
        <v>1</v>
      </c>
      <c r="K12264">
        <v>30</v>
      </c>
      <c r="L12264">
        <v>141</v>
      </c>
      <c r="M12264">
        <v>1</v>
      </c>
      <c r="N12264">
        <v>3.85791E-9</v>
      </c>
      <c r="O12264">
        <v>137</v>
      </c>
    </row>
    <row r="12265" spans="1:15" x14ac:dyDescent="0.25">
      <c r="A12265" t="s">
        <v>12278</v>
      </c>
      <c r="B12265">
        <v>424</v>
      </c>
      <c r="C12265" s="1" t="str">
        <f>HYPERLINK("http://www.rosaceae.org/gb/gbrowse/malus_x_domestica/?name=MDP0000224635","MDP0000224635")</f>
        <v>MDP0000224635</v>
      </c>
      <c r="D12265">
        <v>78.3</v>
      </c>
      <c r="E12265">
        <v>378</v>
      </c>
      <c r="F12265">
        <v>82</v>
      </c>
      <c r="G12265">
        <v>8</v>
      </c>
      <c r="H12265">
        <v>53</v>
      </c>
      <c r="I12265">
        <v>424</v>
      </c>
      <c r="J12265">
        <v>1</v>
      </c>
      <c r="K12265">
        <v>50</v>
      </c>
      <c r="L12265">
        <v>425</v>
      </c>
      <c r="M12265">
        <v>1</v>
      </c>
      <c r="N12265">
        <v>8.0345500000000003E-169</v>
      </c>
      <c r="O12265">
        <v>1522</v>
      </c>
    </row>
    <row r="12266" spans="1:15" x14ac:dyDescent="0.25">
      <c r="A12266" t="s">
        <v>12279</v>
      </c>
      <c r="B12266">
        <v>215</v>
      </c>
      <c r="C12266" s="1" t="str">
        <f>HYPERLINK("http://www.rosaceae.org/gb/gbrowse/malus_x_domestica/?name=MDP0000388582","MDP0000388582")</f>
        <v>MDP0000388582</v>
      </c>
      <c r="D12266">
        <v>74.22</v>
      </c>
      <c r="E12266">
        <v>225</v>
      </c>
      <c r="F12266">
        <v>58</v>
      </c>
      <c r="G12266">
        <v>11</v>
      </c>
      <c r="H12266">
        <v>1</v>
      </c>
      <c r="I12266">
        <v>215</v>
      </c>
      <c r="J12266">
        <v>1</v>
      </c>
      <c r="K12266">
        <v>1</v>
      </c>
      <c r="L12266">
        <v>224</v>
      </c>
      <c r="M12266">
        <v>1</v>
      </c>
      <c r="N12266">
        <v>4.7194299999999998E-83</v>
      </c>
      <c r="O12266">
        <v>778</v>
      </c>
    </row>
    <row r="12267" spans="1:15" x14ac:dyDescent="0.25">
      <c r="A12267" t="s">
        <v>12280</v>
      </c>
      <c r="B12267">
        <v>192</v>
      </c>
      <c r="C12267" s="1" t="str">
        <f>HYPERLINK("http://www.rosaceae.org/gb/gbrowse/malus_x_domestica/?name=MDP0000290585","MDP0000290585")</f>
        <v>MDP0000290585</v>
      </c>
      <c r="D12267">
        <v>57.86</v>
      </c>
      <c r="E12267">
        <v>197</v>
      </c>
      <c r="F12267">
        <v>83</v>
      </c>
      <c r="G12267">
        <v>7</v>
      </c>
      <c r="H12267">
        <v>1</v>
      </c>
      <c r="I12267">
        <v>190</v>
      </c>
      <c r="J12267">
        <v>1</v>
      </c>
      <c r="K12267">
        <v>142</v>
      </c>
      <c r="L12267">
        <v>338</v>
      </c>
      <c r="M12267">
        <v>1</v>
      </c>
      <c r="N12267">
        <v>1.93938E-49</v>
      </c>
      <c r="O12267">
        <v>488</v>
      </c>
    </row>
    <row r="12268" spans="1:15" x14ac:dyDescent="0.25">
      <c r="A12268" t="s">
        <v>12281</v>
      </c>
      <c r="B12268">
        <v>815</v>
      </c>
      <c r="C12268" s="1" t="str">
        <f>HYPERLINK("http://www.rosaceae.org/gb/gbrowse/malus_x_domestica/?name=MDP0000154113","MDP0000154113")</f>
        <v>MDP0000154113</v>
      </c>
      <c r="D12268">
        <v>74.2</v>
      </c>
      <c r="E12268">
        <v>814</v>
      </c>
      <c r="F12268">
        <v>210</v>
      </c>
      <c r="G12268">
        <v>56</v>
      </c>
      <c r="H12268">
        <v>57</v>
      </c>
      <c r="I12268">
        <v>815</v>
      </c>
      <c r="J12268">
        <v>1</v>
      </c>
      <c r="K12268">
        <v>1</v>
      </c>
      <c r="L12268">
        <v>813</v>
      </c>
      <c r="M12268">
        <v>1</v>
      </c>
      <c r="N12268">
        <v>0</v>
      </c>
      <c r="O12268">
        <v>3098</v>
      </c>
    </row>
    <row r="12269" spans="1:15" x14ac:dyDescent="0.25">
      <c r="A12269" t="s">
        <v>12282</v>
      </c>
      <c r="B12269">
        <v>166</v>
      </c>
      <c r="C12269" s="1" t="str">
        <f>HYPERLINK("http://www.rosaceae.org/gb/gbrowse/malus_x_domestica/?name=MDP0000242195","MDP0000242195")</f>
        <v>MDP0000242195</v>
      </c>
      <c r="D12269">
        <v>69.760000000000005</v>
      </c>
      <c r="E12269">
        <v>43</v>
      </c>
      <c r="F12269">
        <v>13</v>
      </c>
      <c r="G12269">
        <v>0</v>
      </c>
      <c r="H12269">
        <v>17</v>
      </c>
      <c r="I12269">
        <v>59</v>
      </c>
      <c r="J12269">
        <v>1</v>
      </c>
      <c r="K12269">
        <v>489</v>
      </c>
      <c r="L12269">
        <v>531</v>
      </c>
      <c r="M12269">
        <v>1</v>
      </c>
      <c r="N12269">
        <v>2.2335999999999998E-9</v>
      </c>
      <c r="O12269">
        <v>141</v>
      </c>
    </row>
    <row r="12270" spans="1:15" x14ac:dyDescent="0.25">
      <c r="A12270" t="s">
        <v>12283</v>
      </c>
      <c r="B12270">
        <v>351</v>
      </c>
      <c r="C12270" s="1" t="str">
        <f>HYPERLINK("http://www.rosaceae.org/gb/gbrowse/malus_x_domestica/?name=MDP0000794936","MDP0000794936")</f>
        <v>MDP0000794936</v>
      </c>
      <c r="D12270">
        <v>88.46</v>
      </c>
      <c r="E12270">
        <v>338</v>
      </c>
      <c r="F12270">
        <v>39</v>
      </c>
      <c r="G12270">
        <v>5</v>
      </c>
      <c r="H12270">
        <v>19</v>
      </c>
      <c r="I12270">
        <v>351</v>
      </c>
      <c r="J12270">
        <v>1</v>
      </c>
      <c r="K12270">
        <v>21</v>
      </c>
      <c r="L12270">
        <v>358</v>
      </c>
      <c r="M12270">
        <v>1</v>
      </c>
      <c r="N12270">
        <v>8.2637800000000003E-176</v>
      </c>
      <c r="O12270">
        <v>1581</v>
      </c>
    </row>
    <row r="12271" spans="1:15" x14ac:dyDescent="0.25">
      <c r="A12271" t="s">
        <v>12284</v>
      </c>
      <c r="B12271">
        <v>417</v>
      </c>
      <c r="C12271" s="1" t="str">
        <f>HYPERLINK("http://www.rosaceae.org/gb/gbrowse/malus_x_domestica/?name=MDP0000784808","MDP0000784808")</f>
        <v>MDP0000784808</v>
      </c>
      <c r="D12271">
        <v>45.22</v>
      </c>
      <c r="E12271">
        <v>241</v>
      </c>
      <c r="F12271">
        <v>132</v>
      </c>
      <c r="G12271">
        <v>46</v>
      </c>
      <c r="H12271">
        <v>218</v>
      </c>
      <c r="I12271">
        <v>414</v>
      </c>
      <c r="J12271">
        <v>1</v>
      </c>
      <c r="K12271">
        <v>161</v>
      </c>
      <c r="L12271">
        <v>399</v>
      </c>
      <c r="M12271">
        <v>1</v>
      </c>
      <c r="N12271">
        <v>1.53658E-42</v>
      </c>
      <c r="O12271">
        <v>432</v>
      </c>
    </row>
    <row r="12272" spans="1:15" x14ac:dyDescent="0.25">
      <c r="A12272" t="s">
        <v>12285</v>
      </c>
      <c r="B12272">
        <v>737</v>
      </c>
      <c r="C12272" s="1" t="str">
        <f>HYPERLINK("http://www.rosaceae.org/gb/gbrowse/malus_x_domestica/?name=MDP0000296215","MDP0000296215")</f>
        <v>MDP0000296215</v>
      </c>
      <c r="D12272">
        <v>76.47</v>
      </c>
      <c r="E12272">
        <v>442</v>
      </c>
      <c r="F12272">
        <v>104</v>
      </c>
      <c r="G12272">
        <v>11</v>
      </c>
      <c r="H12272">
        <v>30</v>
      </c>
      <c r="I12272">
        <v>466</v>
      </c>
      <c r="J12272">
        <v>1</v>
      </c>
      <c r="K12272">
        <v>1</v>
      </c>
      <c r="L12272">
        <v>436</v>
      </c>
      <c r="M12272">
        <v>1</v>
      </c>
      <c r="N12272">
        <v>0</v>
      </c>
      <c r="O12272">
        <v>1670</v>
      </c>
    </row>
    <row r="12273" spans="1:15" x14ac:dyDescent="0.25">
      <c r="A12273" t="s">
        <v>12286</v>
      </c>
      <c r="B12273">
        <v>371</v>
      </c>
      <c r="C12273" s="1" t="str">
        <f>HYPERLINK("http://www.rosaceae.org/gb/gbrowse/malus_x_domestica/?name=MDP0000511675","MDP0000511675")</f>
        <v>MDP0000511675</v>
      </c>
      <c r="D12273">
        <v>67.17</v>
      </c>
      <c r="E12273">
        <v>329</v>
      </c>
      <c r="F12273">
        <v>108</v>
      </c>
      <c r="G12273">
        <v>18</v>
      </c>
      <c r="H12273">
        <v>54</v>
      </c>
      <c r="I12273">
        <v>369</v>
      </c>
      <c r="J12273">
        <v>1</v>
      </c>
      <c r="K12273">
        <v>49</v>
      </c>
      <c r="L12273">
        <v>372</v>
      </c>
      <c r="M12273">
        <v>1</v>
      </c>
      <c r="N12273">
        <v>1.1478300000000001E-119</v>
      </c>
      <c r="O12273">
        <v>1097</v>
      </c>
    </row>
    <row r="12274" spans="1:15" x14ac:dyDescent="0.25">
      <c r="A12274" t="s">
        <v>12287</v>
      </c>
      <c r="B12274">
        <v>171</v>
      </c>
      <c r="C12274" s="1" t="str">
        <f>HYPERLINK("http://www.rosaceae.org/gb/gbrowse/malus_x_domestica/?name=MDP0000253928","MDP0000253928")</f>
        <v>MDP0000253928</v>
      </c>
      <c r="D12274">
        <v>38.46</v>
      </c>
      <c r="E12274">
        <v>91</v>
      </c>
      <c r="F12274">
        <v>56</v>
      </c>
      <c r="G12274">
        <v>8</v>
      </c>
      <c r="H12274">
        <v>69</v>
      </c>
      <c r="I12274">
        <v>159</v>
      </c>
      <c r="J12274">
        <v>1</v>
      </c>
      <c r="K12274">
        <v>72</v>
      </c>
      <c r="L12274">
        <v>154</v>
      </c>
      <c r="M12274">
        <v>1</v>
      </c>
      <c r="N12274">
        <v>1.7722199999999999E-9</v>
      </c>
      <c r="O12274">
        <v>142</v>
      </c>
    </row>
    <row r="12275" spans="1:15" x14ac:dyDescent="0.25">
      <c r="A12275" t="s">
        <v>12288</v>
      </c>
      <c r="B12275">
        <v>464</v>
      </c>
      <c r="C12275" s="1" t="str">
        <f>HYPERLINK("http://www.rosaceae.org/gb/gbrowse/malus_x_domestica/?name=MDP0000156895","MDP0000156895")</f>
        <v>MDP0000156895</v>
      </c>
      <c r="D12275">
        <v>47.25</v>
      </c>
      <c r="E12275">
        <v>182</v>
      </c>
      <c r="F12275">
        <v>96</v>
      </c>
      <c r="G12275">
        <v>54</v>
      </c>
      <c r="H12275">
        <v>66</v>
      </c>
      <c r="I12275">
        <v>193</v>
      </c>
      <c r="J12275">
        <v>1</v>
      </c>
      <c r="K12275">
        <v>294</v>
      </c>
      <c r="L12275">
        <v>475</v>
      </c>
      <c r="M12275">
        <v>1</v>
      </c>
      <c r="N12275">
        <v>9.9039100000000003E-35</v>
      </c>
      <c r="O12275">
        <v>366</v>
      </c>
    </row>
    <row r="12276" spans="1:15" x14ac:dyDescent="0.25">
      <c r="A12276" t="s">
        <v>12289</v>
      </c>
      <c r="B12276">
        <v>1056</v>
      </c>
      <c r="C12276" s="1" t="str">
        <f>HYPERLINK("http://www.rosaceae.org/gb/gbrowse/malus_x_domestica/?name=MDP0000770037","MDP0000770037")</f>
        <v>MDP0000770037</v>
      </c>
      <c r="D12276">
        <v>46.41</v>
      </c>
      <c r="E12276">
        <v>474</v>
      </c>
      <c r="F12276">
        <v>254</v>
      </c>
      <c r="G12276">
        <v>52</v>
      </c>
      <c r="H12276">
        <v>360</v>
      </c>
      <c r="I12276">
        <v>803</v>
      </c>
      <c r="J12276">
        <v>1</v>
      </c>
      <c r="K12276">
        <v>645</v>
      </c>
      <c r="L12276">
        <v>1096</v>
      </c>
      <c r="M12276">
        <v>1</v>
      </c>
      <c r="N12276">
        <v>1.0840099999999999E-99</v>
      </c>
      <c r="O12276">
        <v>929</v>
      </c>
    </row>
    <row r="12277" spans="1:15" x14ac:dyDescent="0.25">
      <c r="A12277" t="s">
        <v>12290</v>
      </c>
      <c r="B12277">
        <v>485</v>
      </c>
      <c r="C12277" s="1" t="str">
        <f>HYPERLINK("http://www.rosaceae.org/gb/gbrowse/malus_x_domestica/?name=MDP0000899392","MDP0000899392")</f>
        <v>MDP0000899392</v>
      </c>
      <c r="D12277">
        <v>66.459999999999994</v>
      </c>
      <c r="E12277">
        <v>492</v>
      </c>
      <c r="F12277">
        <v>165</v>
      </c>
      <c r="G12277">
        <v>8</v>
      </c>
      <c r="H12277">
        <v>1</v>
      </c>
      <c r="I12277">
        <v>485</v>
      </c>
      <c r="J12277">
        <v>1</v>
      </c>
      <c r="K12277">
        <v>1</v>
      </c>
      <c r="L12277">
        <v>491</v>
      </c>
      <c r="M12277">
        <v>1</v>
      </c>
      <c r="N12277">
        <v>0</v>
      </c>
      <c r="O12277">
        <v>1720</v>
      </c>
    </row>
    <row r="12278" spans="1:15" x14ac:dyDescent="0.25">
      <c r="A12278" t="s">
        <v>12291</v>
      </c>
      <c r="B12278">
        <v>108</v>
      </c>
      <c r="C12278" s="1" t="str">
        <f>HYPERLINK("http://www.rosaceae.org/gb/gbrowse/malus_x_domestica/?name=MDP0000797616","MDP0000797616")</f>
        <v>MDP0000797616</v>
      </c>
      <c r="D12278">
        <v>89.81</v>
      </c>
      <c r="E12278">
        <v>108</v>
      </c>
      <c r="F12278">
        <v>11</v>
      </c>
      <c r="G12278">
        <v>3</v>
      </c>
      <c r="H12278">
        <v>1</v>
      </c>
      <c r="I12278">
        <v>107</v>
      </c>
      <c r="J12278">
        <v>1</v>
      </c>
      <c r="K12278">
        <v>1</v>
      </c>
      <c r="L12278">
        <v>106</v>
      </c>
      <c r="M12278">
        <v>1</v>
      </c>
      <c r="N12278">
        <v>1.5854700000000001E-50</v>
      </c>
      <c r="O12278">
        <v>493</v>
      </c>
    </row>
    <row r="12279" spans="1:15" x14ac:dyDescent="0.25">
      <c r="A12279" t="s">
        <v>12292</v>
      </c>
      <c r="B12279">
        <v>128</v>
      </c>
      <c r="C12279" s="1" t="str">
        <f>HYPERLINK("http://www.rosaceae.org/gb/gbrowse/malus_x_domestica/?name=MDP0000208573","MDP0000208573")</f>
        <v>MDP0000208573</v>
      </c>
      <c r="D12279">
        <v>82.97</v>
      </c>
      <c r="E12279">
        <v>94</v>
      </c>
      <c r="F12279">
        <v>16</v>
      </c>
      <c r="G12279">
        <v>0</v>
      </c>
      <c r="H12279">
        <v>1</v>
      </c>
      <c r="I12279">
        <v>94</v>
      </c>
      <c r="J12279">
        <v>1</v>
      </c>
      <c r="K12279">
        <v>1</v>
      </c>
      <c r="L12279">
        <v>94</v>
      </c>
      <c r="M12279">
        <v>1</v>
      </c>
      <c r="N12279">
        <v>8.5959100000000003E-44</v>
      </c>
      <c r="O12279">
        <v>436</v>
      </c>
    </row>
    <row r="12280" spans="1:15" x14ac:dyDescent="0.25">
      <c r="A12280" t="s">
        <v>12293</v>
      </c>
      <c r="B12280">
        <v>710</v>
      </c>
      <c r="C12280" s="1" t="str">
        <f>HYPERLINK("http://www.rosaceae.org/gb/gbrowse/malus_x_domestica/?name=MDP0000269776","MDP0000269776")</f>
        <v>MDP0000269776</v>
      </c>
      <c r="D12280">
        <v>87.47</v>
      </c>
      <c r="E12280">
        <v>455</v>
      </c>
      <c r="F12280">
        <v>57</v>
      </c>
      <c r="G12280">
        <v>1</v>
      </c>
      <c r="H12280">
        <v>164</v>
      </c>
      <c r="I12280">
        <v>617</v>
      </c>
      <c r="J12280">
        <v>1</v>
      </c>
      <c r="K12280">
        <v>105</v>
      </c>
      <c r="L12280">
        <v>559</v>
      </c>
      <c r="M12280">
        <v>1</v>
      </c>
      <c r="N12280">
        <v>0</v>
      </c>
      <c r="O12280">
        <v>2136</v>
      </c>
    </row>
    <row r="12281" spans="1:15" x14ac:dyDescent="0.25">
      <c r="A12281" t="s">
        <v>12294</v>
      </c>
      <c r="B12281">
        <v>490</v>
      </c>
      <c r="C12281" s="1" t="str">
        <f>HYPERLINK("http://www.rosaceae.org/gb/gbrowse/malus_x_domestica/?name=MDP0000459059","MDP0000459059")</f>
        <v>MDP0000459059</v>
      </c>
      <c r="D12281">
        <v>90.66</v>
      </c>
      <c r="E12281">
        <v>493</v>
      </c>
      <c r="F12281">
        <v>46</v>
      </c>
      <c r="G12281">
        <v>4</v>
      </c>
      <c r="H12281">
        <v>1</v>
      </c>
      <c r="I12281">
        <v>490</v>
      </c>
      <c r="J12281">
        <v>1</v>
      </c>
      <c r="K12281">
        <v>1</v>
      </c>
      <c r="L12281">
        <v>492</v>
      </c>
      <c r="M12281">
        <v>1</v>
      </c>
      <c r="N12281">
        <v>0</v>
      </c>
      <c r="O12281">
        <v>2398</v>
      </c>
    </row>
    <row r="12282" spans="1:15" x14ac:dyDescent="0.25">
      <c r="A12282" t="s">
        <v>12295</v>
      </c>
      <c r="B12282">
        <v>152</v>
      </c>
      <c r="C12282" s="1" t="str">
        <f>HYPERLINK("http://www.rosaceae.org/gb/gbrowse/malus_x_domestica/?name=MDP0000286915","MDP0000286915")</f>
        <v>MDP0000286915</v>
      </c>
      <c r="D12282">
        <v>67.77</v>
      </c>
      <c r="E12282">
        <v>90</v>
      </c>
      <c r="F12282">
        <v>29</v>
      </c>
      <c r="G12282">
        <v>1</v>
      </c>
      <c r="H12282">
        <v>1</v>
      </c>
      <c r="I12282">
        <v>90</v>
      </c>
      <c r="J12282">
        <v>1</v>
      </c>
      <c r="K12282">
        <v>1</v>
      </c>
      <c r="L12282">
        <v>89</v>
      </c>
      <c r="M12282">
        <v>1</v>
      </c>
      <c r="N12282">
        <v>1.10448E-30</v>
      </c>
      <c r="O12282">
        <v>324</v>
      </c>
    </row>
    <row r="12283" spans="1:15" x14ac:dyDescent="0.25">
      <c r="A12283" t="s">
        <v>12296</v>
      </c>
      <c r="B12283">
        <v>1716</v>
      </c>
      <c r="C12283" s="1" t="str">
        <f>HYPERLINK("http://www.rosaceae.org/gb/gbrowse/malus_x_domestica/?name=MDP0000319777","MDP0000319777")</f>
        <v>MDP0000319777</v>
      </c>
      <c r="D12283">
        <v>59.77</v>
      </c>
      <c r="E12283">
        <v>1626</v>
      </c>
      <c r="F12283">
        <v>654</v>
      </c>
      <c r="G12283">
        <v>87</v>
      </c>
      <c r="H12283">
        <v>164</v>
      </c>
      <c r="I12283">
        <v>1714</v>
      </c>
      <c r="J12283">
        <v>1</v>
      </c>
      <c r="K12283">
        <v>696</v>
      </c>
      <c r="L12283">
        <v>2309</v>
      </c>
      <c r="M12283">
        <v>1</v>
      </c>
      <c r="N12283">
        <v>0</v>
      </c>
      <c r="O12283">
        <v>5032</v>
      </c>
    </row>
    <row r="12284" spans="1:15" x14ac:dyDescent="0.25">
      <c r="A12284" t="s">
        <v>12297</v>
      </c>
      <c r="B12284">
        <v>565</v>
      </c>
      <c r="C12284" s="1" t="str">
        <f>HYPERLINK("http://www.rosaceae.org/gb/gbrowse/malus_x_domestica/?name=MDP0000154359","MDP0000154359")</f>
        <v>MDP0000154359</v>
      </c>
      <c r="D12284">
        <v>46.8</v>
      </c>
      <c r="E12284">
        <v>485</v>
      </c>
      <c r="F12284">
        <v>258</v>
      </c>
      <c r="G12284">
        <v>46</v>
      </c>
      <c r="H12284">
        <v>96</v>
      </c>
      <c r="I12284">
        <v>561</v>
      </c>
      <c r="J12284">
        <v>1</v>
      </c>
      <c r="K12284">
        <v>263</v>
      </c>
      <c r="L12284">
        <v>720</v>
      </c>
      <c r="M12284">
        <v>1</v>
      </c>
      <c r="N12284">
        <v>8.8443999999999992E-121</v>
      </c>
      <c r="O12284">
        <v>1109</v>
      </c>
    </row>
    <row r="12285" spans="1:15" x14ac:dyDescent="0.25">
      <c r="A12285" t="s">
        <v>12298</v>
      </c>
      <c r="B12285">
        <v>530</v>
      </c>
      <c r="C12285" s="1" t="str">
        <f>HYPERLINK("http://www.rosaceae.org/gb/gbrowse/malus_x_domestica/?name=MDP0000147814","MDP0000147814")</f>
        <v>MDP0000147814</v>
      </c>
      <c r="D12285">
        <v>61.18</v>
      </c>
      <c r="E12285">
        <v>505</v>
      </c>
      <c r="F12285">
        <v>196</v>
      </c>
      <c r="G12285">
        <v>18</v>
      </c>
      <c r="H12285">
        <v>18</v>
      </c>
      <c r="I12285">
        <v>521</v>
      </c>
      <c r="J12285">
        <v>1</v>
      </c>
      <c r="K12285">
        <v>23</v>
      </c>
      <c r="L12285">
        <v>510</v>
      </c>
      <c r="M12285">
        <v>1</v>
      </c>
      <c r="N12285">
        <v>0</v>
      </c>
      <c r="O12285">
        <v>1646</v>
      </c>
    </row>
    <row r="12286" spans="1:15" x14ac:dyDescent="0.25">
      <c r="A12286" t="s">
        <v>12299</v>
      </c>
      <c r="B12286">
        <v>440</v>
      </c>
      <c r="C12286" s="1" t="str">
        <f>HYPERLINK("http://www.rosaceae.org/gb/gbrowse/malus_x_domestica/?name=MDP0000272048","MDP0000272048")</f>
        <v>MDP0000272048</v>
      </c>
      <c r="D12286">
        <v>64.930000000000007</v>
      </c>
      <c r="E12286">
        <v>231</v>
      </c>
      <c r="F12286">
        <v>81</v>
      </c>
      <c r="G12286">
        <v>49</v>
      </c>
      <c r="H12286">
        <v>256</v>
      </c>
      <c r="I12286">
        <v>437</v>
      </c>
      <c r="J12286">
        <v>1</v>
      </c>
      <c r="K12286">
        <v>108</v>
      </c>
      <c r="L12286">
        <v>338</v>
      </c>
      <c r="M12286">
        <v>1</v>
      </c>
      <c r="N12286">
        <v>1.2856299999999999E-74</v>
      </c>
      <c r="O12286">
        <v>709</v>
      </c>
    </row>
    <row r="12287" spans="1:15" x14ac:dyDescent="0.25">
      <c r="A12287" t="s">
        <v>12300</v>
      </c>
      <c r="B12287">
        <v>192</v>
      </c>
      <c r="C12287" s="1" t="str">
        <f>HYPERLINK("http://www.rosaceae.org/gb/gbrowse/malus_x_domestica/?name=MDP0000320718","MDP0000320718")</f>
        <v>MDP0000320718</v>
      </c>
      <c r="D12287">
        <v>82.47</v>
      </c>
      <c r="E12287">
        <v>194</v>
      </c>
      <c r="F12287">
        <v>34</v>
      </c>
      <c r="G12287">
        <v>3</v>
      </c>
      <c r="H12287">
        <v>1</v>
      </c>
      <c r="I12287">
        <v>192</v>
      </c>
      <c r="J12287">
        <v>1</v>
      </c>
      <c r="K12287">
        <v>730</v>
      </c>
      <c r="L12287">
        <v>922</v>
      </c>
      <c r="M12287">
        <v>1</v>
      </c>
      <c r="N12287">
        <v>3.9640199999999998E-87</v>
      </c>
      <c r="O12287">
        <v>813</v>
      </c>
    </row>
    <row r="12288" spans="1:15" x14ac:dyDescent="0.25">
      <c r="A12288" t="s">
        <v>12301</v>
      </c>
      <c r="B12288">
        <v>547</v>
      </c>
      <c r="C12288" s="1" t="str">
        <f>HYPERLINK("http://www.rosaceae.org/gb/gbrowse/malus_x_domestica/?name=MDP0000232020","MDP0000232020")</f>
        <v>MDP0000232020</v>
      </c>
      <c r="D12288">
        <v>78.489999999999995</v>
      </c>
      <c r="E12288">
        <v>279</v>
      </c>
      <c r="F12288">
        <v>60</v>
      </c>
      <c r="G12288">
        <v>3</v>
      </c>
      <c r="H12288">
        <v>218</v>
      </c>
      <c r="I12288">
        <v>493</v>
      </c>
      <c r="J12288">
        <v>1</v>
      </c>
      <c r="K12288">
        <v>152</v>
      </c>
      <c r="L12288">
        <v>430</v>
      </c>
      <c r="M12288">
        <v>1</v>
      </c>
      <c r="N12288">
        <v>1.2019300000000001E-124</v>
      </c>
      <c r="O12288">
        <v>1142</v>
      </c>
    </row>
    <row r="12289" spans="1:15" x14ac:dyDescent="0.25">
      <c r="A12289" t="s">
        <v>12302</v>
      </c>
      <c r="B12289">
        <v>137</v>
      </c>
      <c r="C12289" s="1" t="str">
        <f>HYPERLINK("http://www.rosaceae.org/gb/gbrowse/malus_x_domestica/?name=MDP0000154813","MDP0000154813")</f>
        <v>MDP0000154813</v>
      </c>
      <c r="D12289">
        <v>60</v>
      </c>
      <c r="E12289">
        <v>115</v>
      </c>
      <c r="F12289">
        <v>46</v>
      </c>
      <c r="G12289">
        <v>10</v>
      </c>
      <c r="H12289">
        <v>28</v>
      </c>
      <c r="I12289">
        <v>135</v>
      </c>
      <c r="J12289">
        <v>1</v>
      </c>
      <c r="K12289">
        <v>158</v>
      </c>
      <c r="L12289">
        <v>269</v>
      </c>
      <c r="M12289">
        <v>1</v>
      </c>
      <c r="N12289">
        <v>1.57381E-30</v>
      </c>
      <c r="O12289">
        <v>322</v>
      </c>
    </row>
    <row r="12290" spans="1:15" x14ac:dyDescent="0.25">
      <c r="A12290" t="s">
        <v>12303</v>
      </c>
      <c r="B12290">
        <v>578</v>
      </c>
      <c r="C12290" s="1" t="str">
        <f>HYPERLINK("http://www.rosaceae.org/gb/gbrowse/malus_x_domestica/?name=MDP0000317873","MDP0000317873")</f>
        <v>MDP0000317873</v>
      </c>
      <c r="D12290">
        <v>48.42</v>
      </c>
      <c r="E12290">
        <v>380</v>
      </c>
      <c r="F12290">
        <v>196</v>
      </c>
      <c r="G12290">
        <v>30</v>
      </c>
      <c r="H12290">
        <v>1</v>
      </c>
      <c r="I12290">
        <v>372</v>
      </c>
      <c r="J12290">
        <v>1</v>
      </c>
      <c r="K12290">
        <v>1</v>
      </c>
      <c r="L12290">
        <v>358</v>
      </c>
      <c r="M12290">
        <v>1</v>
      </c>
      <c r="N12290">
        <v>1.0663000000000001E-90</v>
      </c>
      <c r="O12290">
        <v>849</v>
      </c>
    </row>
    <row r="12291" spans="1:15" x14ac:dyDescent="0.25">
      <c r="A12291" t="s">
        <v>12304</v>
      </c>
      <c r="B12291">
        <v>365</v>
      </c>
      <c r="C12291" s="1" t="str">
        <f>HYPERLINK("http://www.rosaceae.org/gb/gbrowse/malus_x_domestica/?name=MDP0000218810","MDP0000218810")</f>
        <v>MDP0000218810</v>
      </c>
      <c r="D12291">
        <v>85.2</v>
      </c>
      <c r="E12291">
        <v>365</v>
      </c>
      <c r="F12291">
        <v>54</v>
      </c>
      <c r="G12291">
        <v>12</v>
      </c>
      <c r="H12291">
        <v>1</v>
      </c>
      <c r="I12291">
        <v>365</v>
      </c>
      <c r="J12291">
        <v>1</v>
      </c>
      <c r="K12291">
        <v>1</v>
      </c>
      <c r="L12291">
        <v>353</v>
      </c>
      <c r="M12291">
        <v>1</v>
      </c>
      <c r="N12291">
        <v>0</v>
      </c>
      <c r="O12291">
        <v>1672</v>
      </c>
    </row>
    <row r="12292" spans="1:15" x14ac:dyDescent="0.25">
      <c r="A12292" t="s">
        <v>12305</v>
      </c>
      <c r="B12292">
        <v>847</v>
      </c>
      <c r="C12292" s="1" t="str">
        <f>HYPERLINK("http://www.rosaceae.org/gb/gbrowse/malus_x_domestica/?name=MDP0000126946","MDP0000126946")</f>
        <v>MDP0000126946</v>
      </c>
      <c r="D12292">
        <v>80.260000000000005</v>
      </c>
      <c r="E12292">
        <v>841</v>
      </c>
      <c r="F12292">
        <v>166</v>
      </c>
      <c r="G12292">
        <v>29</v>
      </c>
      <c r="H12292">
        <v>36</v>
      </c>
      <c r="I12292">
        <v>847</v>
      </c>
      <c r="J12292">
        <v>1</v>
      </c>
      <c r="K12292">
        <v>1</v>
      </c>
      <c r="L12292">
        <v>841</v>
      </c>
      <c r="M12292">
        <v>1</v>
      </c>
      <c r="N12292">
        <v>0</v>
      </c>
      <c r="O12292">
        <v>3677</v>
      </c>
    </row>
    <row r="12293" spans="1:15" x14ac:dyDescent="0.25">
      <c r="A12293" t="s">
        <v>12306</v>
      </c>
      <c r="B12293">
        <v>150</v>
      </c>
      <c r="C12293" s="1" t="str">
        <f>HYPERLINK("http://www.rosaceae.org/gb/gbrowse/malus_x_domestica/?name=MDP0000601797","MDP0000601797")</f>
        <v>MDP0000601797</v>
      </c>
      <c r="D12293">
        <v>86</v>
      </c>
      <c r="E12293">
        <v>150</v>
      </c>
      <c r="F12293">
        <v>21</v>
      </c>
      <c r="G12293">
        <v>0</v>
      </c>
      <c r="H12293">
        <v>1</v>
      </c>
      <c r="I12293">
        <v>150</v>
      </c>
      <c r="J12293">
        <v>1</v>
      </c>
      <c r="K12293">
        <v>25</v>
      </c>
      <c r="L12293">
        <v>174</v>
      </c>
      <c r="M12293">
        <v>1</v>
      </c>
      <c r="N12293">
        <v>3.9369900000000002E-72</v>
      </c>
      <c r="O12293">
        <v>681</v>
      </c>
    </row>
    <row r="12294" spans="1:15" x14ac:dyDescent="0.25">
      <c r="A12294" t="s">
        <v>12307</v>
      </c>
      <c r="B12294">
        <v>1478</v>
      </c>
      <c r="C12294" s="1" t="str">
        <f>HYPERLINK("http://www.rosaceae.org/gb/gbrowse/malus_x_domestica/?name=MDP0000292294","MDP0000292294")</f>
        <v>MDP0000292294</v>
      </c>
      <c r="D12294">
        <v>35.11</v>
      </c>
      <c r="E12294">
        <v>1629</v>
      </c>
      <c r="F12294">
        <v>1057</v>
      </c>
      <c r="G12294">
        <v>257</v>
      </c>
      <c r="H12294">
        <v>28</v>
      </c>
      <c r="I12294">
        <v>1439</v>
      </c>
      <c r="J12294">
        <v>1</v>
      </c>
      <c r="K12294">
        <v>38</v>
      </c>
      <c r="L12294">
        <v>1626</v>
      </c>
      <c r="M12294">
        <v>1</v>
      </c>
      <c r="N12294">
        <v>0</v>
      </c>
      <c r="O12294">
        <v>2084</v>
      </c>
    </row>
    <row r="12295" spans="1:15" x14ac:dyDescent="0.25">
      <c r="A12295" t="s">
        <v>12308</v>
      </c>
      <c r="B12295">
        <v>135</v>
      </c>
      <c r="C12295" s="1" t="str">
        <f>HYPERLINK("http://www.rosaceae.org/gb/gbrowse/malus_x_domestica/?name=MDP0000317700","MDP0000317700")</f>
        <v>MDP0000317700</v>
      </c>
      <c r="D12295">
        <v>47.57</v>
      </c>
      <c r="E12295">
        <v>103</v>
      </c>
      <c r="F12295">
        <v>54</v>
      </c>
      <c r="G12295">
        <v>9</v>
      </c>
      <c r="H12295">
        <v>10</v>
      </c>
      <c r="I12295">
        <v>103</v>
      </c>
      <c r="J12295">
        <v>1</v>
      </c>
      <c r="K12295">
        <v>236</v>
      </c>
      <c r="L12295">
        <v>338</v>
      </c>
      <c r="M12295">
        <v>1</v>
      </c>
      <c r="N12295">
        <v>9.6892000000000005E-22</v>
      </c>
      <c r="O12295">
        <v>246</v>
      </c>
    </row>
    <row r="12296" spans="1:15" x14ac:dyDescent="0.25">
      <c r="A12296" t="s">
        <v>12309</v>
      </c>
      <c r="B12296">
        <v>642</v>
      </c>
      <c r="C12296" s="1" t="str">
        <f>HYPERLINK("http://www.rosaceae.org/gb/gbrowse/malus_x_domestica/?name=MDP0000831501","MDP0000831501")</f>
        <v>MDP0000831501</v>
      </c>
      <c r="D12296">
        <v>71.89</v>
      </c>
      <c r="E12296">
        <v>580</v>
      </c>
      <c r="F12296">
        <v>163</v>
      </c>
      <c r="G12296">
        <v>25</v>
      </c>
      <c r="H12296">
        <v>73</v>
      </c>
      <c r="I12296">
        <v>641</v>
      </c>
      <c r="J12296">
        <v>1</v>
      </c>
      <c r="K12296">
        <v>84</v>
      </c>
      <c r="L12296">
        <v>649</v>
      </c>
      <c r="M12296">
        <v>1</v>
      </c>
      <c r="N12296">
        <v>0</v>
      </c>
      <c r="O12296">
        <v>2168</v>
      </c>
    </row>
    <row r="12297" spans="1:15" x14ac:dyDescent="0.25">
      <c r="A12297" t="s">
        <v>12310</v>
      </c>
      <c r="B12297">
        <v>1134</v>
      </c>
      <c r="C12297" s="1" t="str">
        <f>HYPERLINK("http://www.rosaceae.org/gb/gbrowse/malus_x_domestica/?name=MDP0000456404","MDP0000456404")</f>
        <v>MDP0000456404</v>
      </c>
      <c r="D12297">
        <v>56.45</v>
      </c>
      <c r="E12297">
        <v>1116</v>
      </c>
      <c r="F12297">
        <v>486</v>
      </c>
      <c r="G12297">
        <v>11</v>
      </c>
      <c r="H12297">
        <v>1</v>
      </c>
      <c r="I12297">
        <v>1113</v>
      </c>
      <c r="J12297">
        <v>1</v>
      </c>
      <c r="K12297">
        <v>1</v>
      </c>
      <c r="L12297">
        <v>1108</v>
      </c>
      <c r="M12297">
        <v>1</v>
      </c>
      <c r="N12297">
        <v>0</v>
      </c>
      <c r="O12297">
        <v>2897</v>
      </c>
    </row>
    <row r="12298" spans="1:15" x14ac:dyDescent="0.25">
      <c r="A12298" t="s">
        <v>12311</v>
      </c>
      <c r="B12298">
        <v>427</v>
      </c>
      <c r="C12298" s="1" t="str">
        <f>HYPERLINK("http://www.rosaceae.org/gb/gbrowse/malus_x_domestica/?name=MDP0000246753","MDP0000246753")</f>
        <v>MDP0000246753</v>
      </c>
      <c r="D12298">
        <v>65.569999999999993</v>
      </c>
      <c r="E12298">
        <v>366</v>
      </c>
      <c r="F12298">
        <v>126</v>
      </c>
      <c r="G12298">
        <v>40</v>
      </c>
      <c r="H12298">
        <v>10</v>
      </c>
      <c r="I12298">
        <v>358</v>
      </c>
      <c r="J12298">
        <v>1</v>
      </c>
      <c r="K12298">
        <v>5</v>
      </c>
      <c r="L12298">
        <v>347</v>
      </c>
      <c r="M12298">
        <v>1</v>
      </c>
      <c r="N12298">
        <v>6.6563000000000005E-131</v>
      </c>
      <c r="O12298">
        <v>1195</v>
      </c>
    </row>
    <row r="12299" spans="1:15" x14ac:dyDescent="0.25">
      <c r="A12299" t="s">
        <v>12312</v>
      </c>
      <c r="B12299">
        <v>656</v>
      </c>
      <c r="C12299" s="1" t="str">
        <f>HYPERLINK("http://www.rosaceae.org/gb/gbrowse/malus_x_domestica/?name=MDP0000739342","MDP0000739342")</f>
        <v>MDP0000739342</v>
      </c>
      <c r="D12299">
        <v>71.58</v>
      </c>
      <c r="E12299">
        <v>563</v>
      </c>
      <c r="F12299">
        <v>160</v>
      </c>
      <c r="G12299">
        <v>1</v>
      </c>
      <c r="H12299">
        <v>5</v>
      </c>
      <c r="I12299">
        <v>566</v>
      </c>
      <c r="J12299">
        <v>1</v>
      </c>
      <c r="K12299">
        <v>4</v>
      </c>
      <c r="L12299">
        <v>566</v>
      </c>
      <c r="M12299">
        <v>1</v>
      </c>
      <c r="N12299">
        <v>0</v>
      </c>
      <c r="O12299">
        <v>2181</v>
      </c>
    </row>
    <row r="12300" spans="1:15" x14ac:dyDescent="0.25">
      <c r="A12300" t="s">
        <v>12313</v>
      </c>
      <c r="B12300">
        <v>887</v>
      </c>
      <c r="C12300" s="1" t="str">
        <f>HYPERLINK("http://www.rosaceae.org/gb/gbrowse/malus_x_domestica/?name=MDP0000672481","MDP0000672481")</f>
        <v>MDP0000672481</v>
      </c>
      <c r="D12300">
        <v>74.760000000000005</v>
      </c>
      <c r="E12300">
        <v>745</v>
      </c>
      <c r="F12300">
        <v>188</v>
      </c>
      <c r="G12300">
        <v>8</v>
      </c>
      <c r="H12300">
        <v>73</v>
      </c>
      <c r="I12300">
        <v>811</v>
      </c>
      <c r="J12300">
        <v>1</v>
      </c>
      <c r="K12300">
        <v>66</v>
      </c>
      <c r="L12300">
        <v>808</v>
      </c>
      <c r="M12300">
        <v>1</v>
      </c>
      <c r="N12300">
        <v>0</v>
      </c>
      <c r="O12300">
        <v>3008</v>
      </c>
    </row>
    <row r="12301" spans="1:15" x14ac:dyDescent="0.25">
      <c r="A12301" t="s">
        <v>12314</v>
      </c>
      <c r="B12301">
        <v>701</v>
      </c>
      <c r="C12301" s="1" t="str">
        <f>HYPERLINK("http://www.rosaceae.org/gb/gbrowse/malus_x_domestica/?name=MDP0000320337","MDP0000320337")</f>
        <v>MDP0000320337</v>
      </c>
      <c r="D12301">
        <v>76.760000000000005</v>
      </c>
      <c r="E12301">
        <v>680</v>
      </c>
      <c r="F12301">
        <v>158</v>
      </c>
      <c r="G12301">
        <v>34</v>
      </c>
      <c r="H12301">
        <v>45</v>
      </c>
      <c r="I12301">
        <v>691</v>
      </c>
      <c r="J12301">
        <v>1</v>
      </c>
      <c r="K12301">
        <v>18</v>
      </c>
      <c r="L12301">
        <v>696</v>
      </c>
      <c r="M12301">
        <v>1</v>
      </c>
      <c r="N12301">
        <v>0</v>
      </c>
      <c r="O12301">
        <v>2708</v>
      </c>
    </row>
    <row r="12302" spans="1:15" x14ac:dyDescent="0.25">
      <c r="A12302" t="s">
        <v>12315</v>
      </c>
      <c r="B12302">
        <v>774</v>
      </c>
      <c r="C12302" s="1" t="str">
        <f>HYPERLINK("http://www.rosaceae.org/gb/gbrowse/malus_x_domestica/?name=MDP0000932564","MDP0000932564")</f>
        <v>MDP0000932564</v>
      </c>
      <c r="D12302">
        <v>66.349999999999994</v>
      </c>
      <c r="E12302">
        <v>743</v>
      </c>
      <c r="F12302">
        <v>250</v>
      </c>
      <c r="G12302">
        <v>56</v>
      </c>
      <c r="H12302">
        <v>1</v>
      </c>
      <c r="I12302">
        <v>728</v>
      </c>
      <c r="J12302">
        <v>1</v>
      </c>
      <c r="K12302">
        <v>1</v>
      </c>
      <c r="L12302">
        <v>702</v>
      </c>
      <c r="M12302">
        <v>1</v>
      </c>
      <c r="N12302">
        <v>0</v>
      </c>
      <c r="O12302">
        <v>2582</v>
      </c>
    </row>
    <row r="12303" spans="1:15" x14ac:dyDescent="0.25">
      <c r="A12303" t="s">
        <v>12316</v>
      </c>
      <c r="B12303">
        <v>632</v>
      </c>
      <c r="C12303" s="1" t="str">
        <f>HYPERLINK("http://www.rosaceae.org/gb/gbrowse/malus_x_domestica/?name=MDP0000271450","MDP0000271450")</f>
        <v>MDP0000271450</v>
      </c>
      <c r="D12303">
        <v>56.79</v>
      </c>
      <c r="E12303">
        <v>493</v>
      </c>
      <c r="F12303">
        <v>213</v>
      </c>
      <c r="G12303">
        <v>19</v>
      </c>
      <c r="H12303">
        <v>145</v>
      </c>
      <c r="I12303">
        <v>618</v>
      </c>
      <c r="J12303">
        <v>1</v>
      </c>
      <c r="K12303">
        <v>220</v>
      </c>
      <c r="L12303">
        <v>712</v>
      </c>
      <c r="M12303">
        <v>1</v>
      </c>
      <c r="N12303">
        <v>2.49407E-163</v>
      </c>
      <c r="O12303">
        <v>1476</v>
      </c>
    </row>
    <row r="12304" spans="1:15" x14ac:dyDescent="0.25">
      <c r="A12304" t="s">
        <v>12317</v>
      </c>
      <c r="B12304">
        <v>193</v>
      </c>
      <c r="C12304" s="1" t="str">
        <f>HYPERLINK("http://www.rosaceae.org/gb/gbrowse/malus_x_domestica/?name=MDP0000171274","MDP0000171274")</f>
        <v>MDP0000171274</v>
      </c>
      <c r="D12304">
        <v>82.87</v>
      </c>
      <c r="E12304">
        <v>181</v>
      </c>
      <c r="F12304">
        <v>31</v>
      </c>
      <c r="G12304">
        <v>0</v>
      </c>
      <c r="H12304">
        <v>13</v>
      </c>
      <c r="I12304">
        <v>193</v>
      </c>
      <c r="J12304">
        <v>1</v>
      </c>
      <c r="K12304">
        <v>25</v>
      </c>
      <c r="L12304">
        <v>205</v>
      </c>
      <c r="M12304">
        <v>1</v>
      </c>
      <c r="N12304">
        <v>1.5101399999999999E-85</v>
      </c>
      <c r="O12304">
        <v>799</v>
      </c>
    </row>
    <row r="12305" spans="1:15" x14ac:dyDescent="0.25">
      <c r="A12305" t="s">
        <v>12318</v>
      </c>
      <c r="B12305">
        <v>719</v>
      </c>
      <c r="C12305" s="1" t="str">
        <f>HYPERLINK("http://www.rosaceae.org/gb/gbrowse/malus_x_domestica/?name=MDP0000304216","MDP0000304216")</f>
        <v>MDP0000304216</v>
      </c>
      <c r="D12305">
        <v>78.7</v>
      </c>
      <c r="E12305">
        <v>728</v>
      </c>
      <c r="F12305">
        <v>155</v>
      </c>
      <c r="G12305">
        <v>46</v>
      </c>
      <c r="H12305">
        <v>1</v>
      </c>
      <c r="I12305">
        <v>719</v>
      </c>
      <c r="J12305">
        <v>1</v>
      </c>
      <c r="K12305">
        <v>23</v>
      </c>
      <c r="L12305">
        <v>713</v>
      </c>
      <c r="M12305">
        <v>1</v>
      </c>
      <c r="N12305">
        <v>0</v>
      </c>
      <c r="O12305">
        <v>3022</v>
      </c>
    </row>
    <row r="12306" spans="1:15" x14ac:dyDescent="0.25">
      <c r="A12306" t="s">
        <v>12319</v>
      </c>
      <c r="B12306">
        <v>519</v>
      </c>
      <c r="C12306" s="1" t="str">
        <f>HYPERLINK("http://www.rosaceae.org/gb/gbrowse/malus_x_domestica/?name=MDP0000123987","MDP0000123987")</f>
        <v>MDP0000123987</v>
      </c>
      <c r="D12306">
        <v>76.59</v>
      </c>
      <c r="E12306">
        <v>517</v>
      </c>
      <c r="F12306">
        <v>121</v>
      </c>
      <c r="G12306">
        <v>1</v>
      </c>
      <c r="H12306">
        <v>1</v>
      </c>
      <c r="I12306">
        <v>517</v>
      </c>
      <c r="J12306">
        <v>1</v>
      </c>
      <c r="K12306">
        <v>1</v>
      </c>
      <c r="L12306">
        <v>516</v>
      </c>
      <c r="M12306">
        <v>1</v>
      </c>
      <c r="N12306">
        <v>0</v>
      </c>
      <c r="O12306">
        <v>2188</v>
      </c>
    </row>
    <row r="12307" spans="1:15" x14ac:dyDescent="0.25">
      <c r="A12307" t="s">
        <v>12320</v>
      </c>
      <c r="B12307">
        <v>1066</v>
      </c>
      <c r="C12307" s="1" t="str">
        <f>HYPERLINK("http://www.rosaceae.org/gb/gbrowse/malus_x_domestica/?name=MDP0000232509","MDP0000232509")</f>
        <v>MDP0000232509</v>
      </c>
      <c r="D12307">
        <v>76.86</v>
      </c>
      <c r="E12307">
        <v>523</v>
      </c>
      <c r="F12307">
        <v>121</v>
      </c>
      <c r="G12307">
        <v>31</v>
      </c>
      <c r="H12307">
        <v>571</v>
      </c>
      <c r="I12307">
        <v>1065</v>
      </c>
      <c r="J12307">
        <v>1</v>
      </c>
      <c r="K12307">
        <v>39</v>
      </c>
      <c r="L12307">
        <v>558</v>
      </c>
      <c r="M12307">
        <v>1</v>
      </c>
      <c r="N12307">
        <v>0</v>
      </c>
      <c r="O12307">
        <v>2139</v>
      </c>
    </row>
    <row r="12308" spans="1:15" x14ac:dyDescent="0.25">
      <c r="A12308" t="s">
        <v>12321</v>
      </c>
      <c r="B12308">
        <v>273</v>
      </c>
      <c r="C12308" s="1" t="str">
        <f>HYPERLINK("http://www.rosaceae.org/gb/gbrowse/malus_x_domestica/?name=MDP0000314156","MDP0000314156")</f>
        <v>MDP0000314156</v>
      </c>
      <c r="D12308">
        <v>69.23</v>
      </c>
      <c r="E12308">
        <v>91</v>
      </c>
      <c r="F12308">
        <v>28</v>
      </c>
      <c r="G12308">
        <v>0</v>
      </c>
      <c r="H12308">
        <v>169</v>
      </c>
      <c r="I12308">
        <v>259</v>
      </c>
      <c r="J12308">
        <v>1</v>
      </c>
      <c r="K12308">
        <v>804</v>
      </c>
      <c r="L12308">
        <v>894</v>
      </c>
      <c r="M12308">
        <v>1</v>
      </c>
      <c r="N12308">
        <v>1.3957900000000001E-31</v>
      </c>
      <c r="O12308">
        <v>336</v>
      </c>
    </row>
    <row r="12309" spans="1:15" x14ac:dyDescent="0.25">
      <c r="A12309" t="s">
        <v>12322</v>
      </c>
      <c r="B12309">
        <v>157</v>
      </c>
      <c r="C12309" s="1" t="str">
        <f>HYPERLINK("http://www.rosaceae.org/gb/gbrowse/malus_x_domestica/?name=MDP0000318279","MDP0000318279")</f>
        <v>MDP0000318279</v>
      </c>
      <c r="D12309">
        <v>42.74</v>
      </c>
      <c r="E12309">
        <v>124</v>
      </c>
      <c r="F12309">
        <v>71</v>
      </c>
      <c r="G12309">
        <v>0</v>
      </c>
      <c r="H12309">
        <v>1</v>
      </c>
      <c r="I12309">
        <v>124</v>
      </c>
      <c r="J12309">
        <v>1</v>
      </c>
      <c r="K12309">
        <v>203</v>
      </c>
      <c r="L12309">
        <v>326</v>
      </c>
      <c r="M12309">
        <v>1</v>
      </c>
      <c r="N12309">
        <v>1.08318E-27</v>
      </c>
      <c r="O12309">
        <v>299</v>
      </c>
    </row>
    <row r="12310" spans="1:15" x14ac:dyDescent="0.25">
      <c r="A12310" t="s">
        <v>12323</v>
      </c>
      <c r="B12310">
        <v>244</v>
      </c>
      <c r="C12310" s="1" t="str">
        <f>HYPERLINK("http://www.rosaceae.org/gb/gbrowse/malus_x_domestica/?name=MDP0000882983","MDP0000882983")</f>
        <v>MDP0000882983</v>
      </c>
      <c r="D12310">
        <v>41.74</v>
      </c>
      <c r="E12310">
        <v>206</v>
      </c>
      <c r="F12310">
        <v>120</v>
      </c>
      <c r="G12310">
        <v>39</v>
      </c>
      <c r="H12310">
        <v>11</v>
      </c>
      <c r="I12310">
        <v>208</v>
      </c>
      <c r="J12310">
        <v>1</v>
      </c>
      <c r="K12310">
        <v>27</v>
      </c>
      <c r="L12310">
        <v>201</v>
      </c>
      <c r="M12310">
        <v>1</v>
      </c>
      <c r="N12310">
        <v>2.8151199999999999E-29</v>
      </c>
      <c r="O12310">
        <v>315</v>
      </c>
    </row>
    <row r="12311" spans="1:15" x14ac:dyDescent="0.25">
      <c r="A12311" t="s">
        <v>12324</v>
      </c>
      <c r="B12311">
        <v>560</v>
      </c>
      <c r="C12311" s="1" t="str">
        <f>HYPERLINK("http://www.rosaceae.org/gb/gbrowse/malus_x_domestica/?name=MDP0000635732","MDP0000635732")</f>
        <v>MDP0000635732</v>
      </c>
      <c r="D12311">
        <v>82.5</v>
      </c>
      <c r="E12311">
        <v>560</v>
      </c>
      <c r="F12311">
        <v>98</v>
      </c>
      <c r="G12311">
        <v>0</v>
      </c>
      <c r="H12311">
        <v>1</v>
      </c>
      <c r="I12311">
        <v>560</v>
      </c>
      <c r="J12311">
        <v>1</v>
      </c>
      <c r="K12311">
        <v>1</v>
      </c>
      <c r="L12311">
        <v>560</v>
      </c>
      <c r="M12311">
        <v>1</v>
      </c>
      <c r="N12311">
        <v>0</v>
      </c>
      <c r="O12311">
        <v>2352</v>
      </c>
    </row>
    <row r="12312" spans="1:15" x14ac:dyDescent="0.25">
      <c r="A12312" t="s">
        <v>12325</v>
      </c>
      <c r="B12312">
        <v>402</v>
      </c>
      <c r="C12312" s="1" t="str">
        <f>HYPERLINK("http://www.rosaceae.org/gb/gbrowse/malus_x_domestica/?name=MDP0000266693","MDP0000266693")</f>
        <v>MDP0000266693</v>
      </c>
      <c r="D12312">
        <v>78.75</v>
      </c>
      <c r="E12312">
        <v>386</v>
      </c>
      <c r="F12312">
        <v>82</v>
      </c>
      <c r="G12312">
        <v>6</v>
      </c>
      <c r="H12312">
        <v>20</v>
      </c>
      <c r="I12312">
        <v>401</v>
      </c>
      <c r="J12312">
        <v>1</v>
      </c>
      <c r="K12312">
        <v>270</v>
      </c>
      <c r="L12312">
        <v>653</v>
      </c>
      <c r="M12312">
        <v>1</v>
      </c>
      <c r="N12312">
        <v>1.8532000000000001E-175</v>
      </c>
      <c r="O12312">
        <v>1579</v>
      </c>
    </row>
    <row r="12313" spans="1:15" x14ac:dyDescent="0.25">
      <c r="A12313" t="s">
        <v>12326</v>
      </c>
      <c r="B12313">
        <v>387</v>
      </c>
      <c r="C12313" s="1" t="str">
        <f>HYPERLINK("http://www.rosaceae.org/gb/gbrowse/malus_x_domestica/?name=MDP0000184736","MDP0000184736")</f>
        <v>MDP0000184736</v>
      </c>
      <c r="D12313">
        <v>78.52</v>
      </c>
      <c r="E12313">
        <v>326</v>
      </c>
      <c r="F12313">
        <v>70</v>
      </c>
      <c r="G12313">
        <v>5</v>
      </c>
      <c r="H12313">
        <v>67</v>
      </c>
      <c r="I12313">
        <v>387</v>
      </c>
      <c r="J12313">
        <v>1</v>
      </c>
      <c r="K12313">
        <v>124</v>
      </c>
      <c r="L12313">
        <v>449</v>
      </c>
      <c r="M12313">
        <v>1</v>
      </c>
      <c r="N12313">
        <v>4.7752100000000003E-152</v>
      </c>
      <c r="O12313">
        <v>1377</v>
      </c>
    </row>
    <row r="12314" spans="1:15" x14ac:dyDescent="0.25">
      <c r="A12314" t="s">
        <v>12327</v>
      </c>
      <c r="B12314">
        <v>270</v>
      </c>
      <c r="C12314" s="1" t="str">
        <f>HYPERLINK("http://www.rosaceae.org/gb/gbrowse/malus_x_domestica/?name=MDP0000161522","MDP0000161522")</f>
        <v>MDP0000161522</v>
      </c>
      <c r="D12314">
        <v>82.37</v>
      </c>
      <c r="E12314">
        <v>295</v>
      </c>
      <c r="F12314">
        <v>52</v>
      </c>
      <c r="G12314">
        <v>25</v>
      </c>
      <c r="H12314">
        <v>1</v>
      </c>
      <c r="I12314">
        <v>270</v>
      </c>
      <c r="J12314">
        <v>1</v>
      </c>
      <c r="K12314">
        <v>1</v>
      </c>
      <c r="L12314">
        <v>295</v>
      </c>
      <c r="M12314">
        <v>1</v>
      </c>
      <c r="N12314">
        <v>8.8380100000000001E-137</v>
      </c>
      <c r="O12314">
        <v>1243</v>
      </c>
    </row>
    <row r="12315" spans="1:15" x14ac:dyDescent="0.25">
      <c r="A12315" t="s">
        <v>12328</v>
      </c>
      <c r="B12315">
        <v>336</v>
      </c>
      <c r="C12315" s="1" t="str">
        <f>HYPERLINK("http://www.rosaceae.org/gb/gbrowse/malus_x_domestica/?name=MDP0000230524","MDP0000230524")</f>
        <v>MDP0000230524</v>
      </c>
      <c r="D12315">
        <v>58.16</v>
      </c>
      <c r="E12315">
        <v>294</v>
      </c>
      <c r="F12315">
        <v>123</v>
      </c>
      <c r="G12315">
        <v>20</v>
      </c>
      <c r="H12315">
        <v>28</v>
      </c>
      <c r="I12315">
        <v>317</v>
      </c>
      <c r="J12315">
        <v>1</v>
      </c>
      <c r="K12315">
        <v>18</v>
      </c>
      <c r="L12315">
        <v>295</v>
      </c>
      <c r="M12315">
        <v>1</v>
      </c>
      <c r="N12315">
        <v>5.4166700000000003E-93</v>
      </c>
      <c r="O12315">
        <v>867</v>
      </c>
    </row>
    <row r="12316" spans="1:15" x14ac:dyDescent="0.25">
      <c r="A12316" t="s">
        <v>12329</v>
      </c>
      <c r="B12316">
        <v>333</v>
      </c>
      <c r="C12316" s="1" t="str">
        <f>HYPERLINK("http://www.rosaceae.org/gb/gbrowse/malus_x_domestica/?name=MDP0000617629","MDP0000617629")</f>
        <v>MDP0000617629</v>
      </c>
      <c r="D12316">
        <v>81.16</v>
      </c>
      <c r="E12316">
        <v>223</v>
      </c>
      <c r="F12316">
        <v>42</v>
      </c>
      <c r="G12316">
        <v>18</v>
      </c>
      <c r="H12316">
        <v>1</v>
      </c>
      <c r="I12316">
        <v>223</v>
      </c>
      <c r="J12316">
        <v>1</v>
      </c>
      <c r="K12316">
        <v>1</v>
      </c>
      <c r="L12316">
        <v>205</v>
      </c>
      <c r="M12316">
        <v>1</v>
      </c>
      <c r="N12316">
        <v>2.2979300000000001E-99</v>
      </c>
      <c r="O12316">
        <v>921</v>
      </c>
    </row>
    <row r="12317" spans="1:15" x14ac:dyDescent="0.25">
      <c r="A12317" t="s">
        <v>12330</v>
      </c>
      <c r="B12317">
        <v>484</v>
      </c>
      <c r="C12317" s="1" t="str">
        <f>HYPERLINK("http://www.rosaceae.org/gb/gbrowse/malus_x_domestica/?name=MDP0000241955","MDP0000241955")</f>
        <v>MDP0000241955</v>
      </c>
      <c r="D12317">
        <v>73.44</v>
      </c>
      <c r="E12317">
        <v>516</v>
      </c>
      <c r="F12317">
        <v>137</v>
      </c>
      <c r="G12317">
        <v>35</v>
      </c>
      <c r="H12317">
        <v>1</v>
      </c>
      <c r="I12317">
        <v>484</v>
      </c>
      <c r="J12317">
        <v>1</v>
      </c>
      <c r="K12317">
        <v>17</v>
      </c>
      <c r="L12317">
        <v>529</v>
      </c>
      <c r="M12317">
        <v>1</v>
      </c>
      <c r="N12317">
        <v>0</v>
      </c>
      <c r="O12317">
        <v>1862</v>
      </c>
    </row>
    <row r="12318" spans="1:15" x14ac:dyDescent="0.25">
      <c r="A12318" t="s">
        <v>12331</v>
      </c>
      <c r="B12318">
        <v>498</v>
      </c>
      <c r="C12318" s="1" t="str">
        <f>HYPERLINK("http://www.rosaceae.org/gb/gbrowse/malus_x_domestica/?name=MDP0000500222","MDP0000500222")</f>
        <v>MDP0000500222</v>
      </c>
      <c r="D12318">
        <v>43.54</v>
      </c>
      <c r="E12318">
        <v>395</v>
      </c>
      <c r="F12318">
        <v>223</v>
      </c>
      <c r="G12318">
        <v>56</v>
      </c>
      <c r="H12318">
        <v>17</v>
      </c>
      <c r="I12318">
        <v>393</v>
      </c>
      <c r="J12318">
        <v>1</v>
      </c>
      <c r="K12318">
        <v>73</v>
      </c>
      <c r="L12318">
        <v>429</v>
      </c>
      <c r="M12318">
        <v>1</v>
      </c>
      <c r="N12318">
        <v>2.1999199999999999E-77</v>
      </c>
      <c r="O12318">
        <v>734</v>
      </c>
    </row>
    <row r="12319" spans="1:15" x14ac:dyDescent="0.25">
      <c r="A12319" t="s">
        <v>12332</v>
      </c>
      <c r="B12319">
        <v>540</v>
      </c>
      <c r="C12319" s="1" t="str">
        <f>HYPERLINK("http://www.rosaceae.org/gb/gbrowse/malus_x_domestica/?name=MDP0000804652","MDP0000804652")</f>
        <v>MDP0000804652</v>
      </c>
      <c r="D12319">
        <v>83.66</v>
      </c>
      <c r="E12319">
        <v>545</v>
      </c>
      <c r="F12319">
        <v>89</v>
      </c>
      <c r="G12319">
        <v>8</v>
      </c>
      <c r="H12319">
        <v>1</v>
      </c>
      <c r="I12319">
        <v>540</v>
      </c>
      <c r="J12319">
        <v>1</v>
      </c>
      <c r="K12319">
        <v>12</v>
      </c>
      <c r="L12319">
        <v>553</v>
      </c>
      <c r="M12319">
        <v>1</v>
      </c>
      <c r="N12319">
        <v>0</v>
      </c>
      <c r="O12319">
        <v>2429</v>
      </c>
    </row>
    <row r="12320" spans="1:15" x14ac:dyDescent="0.25">
      <c r="A12320" t="s">
        <v>12333</v>
      </c>
      <c r="B12320">
        <v>258</v>
      </c>
      <c r="C12320" s="1" t="str">
        <f>HYPERLINK("http://www.rosaceae.org/gb/gbrowse/malus_x_domestica/?name=MDP0000376704","MDP0000376704")</f>
        <v>MDP0000376704</v>
      </c>
      <c r="D12320">
        <v>69.73</v>
      </c>
      <c r="E12320">
        <v>228</v>
      </c>
      <c r="F12320">
        <v>69</v>
      </c>
      <c r="G12320">
        <v>2</v>
      </c>
      <c r="H12320">
        <v>33</v>
      </c>
      <c r="I12320">
        <v>258</v>
      </c>
      <c r="J12320">
        <v>1</v>
      </c>
      <c r="K12320">
        <v>2</v>
      </c>
      <c r="L12320">
        <v>229</v>
      </c>
      <c r="M12320">
        <v>1</v>
      </c>
      <c r="N12320">
        <v>3.41083E-92</v>
      </c>
      <c r="O12320">
        <v>858</v>
      </c>
    </row>
    <row r="12321" spans="1:15" x14ac:dyDescent="0.25">
      <c r="A12321" t="s">
        <v>12334</v>
      </c>
      <c r="B12321">
        <v>218</v>
      </c>
      <c r="C12321" s="1" t="str">
        <f>HYPERLINK("http://www.rosaceae.org/gb/gbrowse/malus_x_domestica/?name=MDP0000237571","MDP0000237571")</f>
        <v>MDP0000237571</v>
      </c>
      <c r="D12321">
        <v>65.41</v>
      </c>
      <c r="E12321">
        <v>133</v>
      </c>
      <c r="F12321">
        <v>46</v>
      </c>
      <c r="G12321">
        <v>3</v>
      </c>
      <c r="H12321">
        <v>82</v>
      </c>
      <c r="I12321">
        <v>211</v>
      </c>
      <c r="J12321">
        <v>1</v>
      </c>
      <c r="K12321">
        <v>63</v>
      </c>
      <c r="L12321">
        <v>195</v>
      </c>
      <c r="M12321">
        <v>1</v>
      </c>
      <c r="N12321">
        <v>6.0916299999999996E-39</v>
      </c>
      <c r="O12321">
        <v>398</v>
      </c>
    </row>
    <row r="12322" spans="1:15" x14ac:dyDescent="0.25">
      <c r="A12322" t="s">
        <v>12335</v>
      </c>
      <c r="B12322">
        <v>560</v>
      </c>
      <c r="C12322" s="1" t="str">
        <f>HYPERLINK("http://www.rosaceae.org/gb/gbrowse/malus_x_domestica/?name=MDP0000286571","MDP0000286571")</f>
        <v>MDP0000286571</v>
      </c>
      <c r="D12322">
        <v>67.989999999999995</v>
      </c>
      <c r="E12322">
        <v>553</v>
      </c>
      <c r="F12322">
        <v>177</v>
      </c>
      <c r="G12322">
        <v>8</v>
      </c>
      <c r="H12322">
        <v>15</v>
      </c>
      <c r="I12322">
        <v>560</v>
      </c>
      <c r="J12322">
        <v>1</v>
      </c>
      <c r="K12322">
        <v>3</v>
      </c>
      <c r="L12322">
        <v>554</v>
      </c>
      <c r="M12322">
        <v>1</v>
      </c>
      <c r="N12322">
        <v>0</v>
      </c>
      <c r="O12322">
        <v>1737</v>
      </c>
    </row>
    <row r="12323" spans="1:15" x14ac:dyDescent="0.25">
      <c r="A12323" t="s">
        <v>12336</v>
      </c>
      <c r="B12323">
        <v>185</v>
      </c>
      <c r="C12323" s="1" t="str">
        <f>HYPERLINK("http://www.rosaceae.org/gb/gbrowse/malus_x_domestica/?name=MDP0000150000","MDP0000150000")</f>
        <v>MDP0000150000</v>
      </c>
      <c r="D12323">
        <v>39.17</v>
      </c>
      <c r="E12323">
        <v>97</v>
      </c>
      <c r="F12323">
        <v>59</v>
      </c>
      <c r="G12323">
        <v>9</v>
      </c>
      <c r="H12323">
        <v>28</v>
      </c>
      <c r="I12323">
        <v>117</v>
      </c>
      <c r="J12323">
        <v>1</v>
      </c>
      <c r="K12323">
        <v>216</v>
      </c>
      <c r="L12323">
        <v>310</v>
      </c>
      <c r="M12323">
        <v>1</v>
      </c>
      <c r="N12323">
        <v>1.2347299999999999E-10</v>
      </c>
      <c r="O12323">
        <v>153</v>
      </c>
    </row>
    <row r="12324" spans="1:15" x14ac:dyDescent="0.25">
      <c r="A12324" t="s">
        <v>12337</v>
      </c>
      <c r="B12324">
        <v>324</v>
      </c>
      <c r="C12324" s="1" t="str">
        <f>HYPERLINK("http://www.rosaceae.org/gb/gbrowse/malus_x_domestica/?name=MDP0000838643","MDP0000838643")</f>
        <v>MDP0000838643</v>
      </c>
      <c r="D12324">
        <v>63.88</v>
      </c>
      <c r="E12324">
        <v>324</v>
      </c>
      <c r="F12324">
        <v>117</v>
      </c>
      <c r="G12324">
        <v>0</v>
      </c>
      <c r="H12324">
        <v>1</v>
      </c>
      <c r="I12324">
        <v>324</v>
      </c>
      <c r="J12324">
        <v>1</v>
      </c>
      <c r="K12324">
        <v>1</v>
      </c>
      <c r="L12324">
        <v>324</v>
      </c>
      <c r="M12324">
        <v>1</v>
      </c>
      <c r="N12324">
        <v>7.05855E-119</v>
      </c>
      <c r="O12324">
        <v>1090</v>
      </c>
    </row>
    <row r="12325" spans="1:15" x14ac:dyDescent="0.25">
      <c r="A12325" t="s">
        <v>12338</v>
      </c>
      <c r="B12325">
        <v>348</v>
      </c>
      <c r="C12325" s="1" t="str">
        <f>HYPERLINK("http://www.rosaceae.org/gb/gbrowse/malus_x_domestica/?name=MDP0000318801","MDP0000318801")</f>
        <v>MDP0000318801</v>
      </c>
      <c r="D12325">
        <v>72.2</v>
      </c>
      <c r="E12325">
        <v>349</v>
      </c>
      <c r="F12325">
        <v>97</v>
      </c>
      <c r="G12325">
        <v>5</v>
      </c>
      <c r="H12325">
        <v>1</v>
      </c>
      <c r="I12325">
        <v>347</v>
      </c>
      <c r="J12325">
        <v>1</v>
      </c>
      <c r="K12325">
        <v>1</v>
      </c>
      <c r="L12325">
        <v>346</v>
      </c>
      <c r="M12325">
        <v>1</v>
      </c>
      <c r="N12325">
        <v>3.2605999999999997E-147</v>
      </c>
      <c r="O12325">
        <v>1334</v>
      </c>
    </row>
    <row r="12326" spans="1:15" x14ac:dyDescent="0.25">
      <c r="A12326" t="s">
        <v>12339</v>
      </c>
      <c r="B12326">
        <v>344</v>
      </c>
      <c r="C12326" s="1" t="str">
        <f>HYPERLINK("http://www.rosaceae.org/gb/gbrowse/malus_x_domestica/?name=MDP0000500222","MDP0000500222")</f>
        <v>MDP0000500222</v>
      </c>
      <c r="D12326">
        <v>42.57</v>
      </c>
      <c r="E12326">
        <v>249</v>
      </c>
      <c r="F12326">
        <v>143</v>
      </c>
      <c r="G12326">
        <v>28</v>
      </c>
      <c r="H12326">
        <v>76</v>
      </c>
      <c r="I12326">
        <v>309</v>
      </c>
      <c r="J12326">
        <v>1</v>
      </c>
      <c r="K12326">
        <v>153</v>
      </c>
      <c r="L12326">
        <v>388</v>
      </c>
      <c r="M12326">
        <v>1</v>
      </c>
      <c r="N12326">
        <v>9.7845099999999991E-41</v>
      </c>
      <c r="O12326">
        <v>416</v>
      </c>
    </row>
    <row r="12327" spans="1:15" x14ac:dyDescent="0.25">
      <c r="A12327" t="s">
        <v>12340</v>
      </c>
      <c r="B12327">
        <v>177</v>
      </c>
      <c r="C12327" s="1" t="str">
        <f>HYPERLINK("http://www.rosaceae.org/gb/gbrowse/malus_x_domestica/?name=MDP0000119593","MDP0000119593")</f>
        <v>MDP0000119593</v>
      </c>
      <c r="D12327">
        <v>72.540000000000006</v>
      </c>
      <c r="E12327">
        <v>153</v>
      </c>
      <c r="F12327">
        <v>42</v>
      </c>
      <c r="G12327">
        <v>12</v>
      </c>
      <c r="H12327">
        <v>37</v>
      </c>
      <c r="I12327">
        <v>177</v>
      </c>
      <c r="J12327">
        <v>1</v>
      </c>
      <c r="K12327">
        <v>11</v>
      </c>
      <c r="L12327">
        <v>163</v>
      </c>
      <c r="M12327">
        <v>1</v>
      </c>
      <c r="N12327">
        <v>3.3940100000000002E-50</v>
      </c>
      <c r="O12327">
        <v>494</v>
      </c>
    </row>
    <row r="12328" spans="1:15" x14ac:dyDescent="0.25">
      <c r="A12328" t="s">
        <v>12341</v>
      </c>
      <c r="B12328">
        <v>302</v>
      </c>
      <c r="C12328" s="1" t="str">
        <f>HYPERLINK("http://www.rosaceae.org/gb/gbrowse/malus_x_domestica/?name=MDP0000312770","MDP0000312770")</f>
        <v>MDP0000312770</v>
      </c>
      <c r="D12328">
        <v>73.760000000000005</v>
      </c>
      <c r="E12328">
        <v>263</v>
      </c>
      <c r="F12328">
        <v>69</v>
      </c>
      <c r="G12328">
        <v>4</v>
      </c>
      <c r="H12328">
        <v>1</v>
      </c>
      <c r="I12328">
        <v>263</v>
      </c>
      <c r="J12328">
        <v>1</v>
      </c>
      <c r="K12328">
        <v>1</v>
      </c>
      <c r="L12328">
        <v>259</v>
      </c>
      <c r="M12328">
        <v>1</v>
      </c>
      <c r="N12328">
        <v>8.2456599999999995E-113</v>
      </c>
      <c r="O12328">
        <v>1037</v>
      </c>
    </row>
    <row r="12329" spans="1:15" x14ac:dyDescent="0.25">
      <c r="A12329" t="s">
        <v>12342</v>
      </c>
      <c r="B12329">
        <v>540</v>
      </c>
      <c r="C12329" s="1" t="str">
        <f>HYPERLINK("http://www.rosaceae.org/gb/gbrowse/malus_x_domestica/?name=MDP0000190489","MDP0000190489")</f>
        <v>MDP0000190489</v>
      </c>
      <c r="D12329">
        <v>83.54</v>
      </c>
      <c r="E12329">
        <v>474</v>
      </c>
      <c r="F12329">
        <v>78</v>
      </c>
      <c r="G12329">
        <v>6</v>
      </c>
      <c r="H12329">
        <v>71</v>
      </c>
      <c r="I12329">
        <v>539</v>
      </c>
      <c r="J12329">
        <v>1</v>
      </c>
      <c r="K12329">
        <v>42</v>
      </c>
      <c r="L12329">
        <v>514</v>
      </c>
      <c r="M12329">
        <v>1</v>
      </c>
      <c r="N12329">
        <v>0</v>
      </c>
      <c r="O12329">
        <v>2103</v>
      </c>
    </row>
    <row r="12330" spans="1:15" x14ac:dyDescent="0.25">
      <c r="A12330" t="s">
        <v>12343</v>
      </c>
      <c r="B12330">
        <v>376</v>
      </c>
      <c r="C12330" s="1" t="str">
        <f>HYPERLINK("http://www.rosaceae.org/gb/gbrowse/malus_x_domestica/?name=MDP0000155433","MDP0000155433")</f>
        <v>MDP0000155433</v>
      </c>
      <c r="D12330">
        <v>54.92</v>
      </c>
      <c r="E12330">
        <v>406</v>
      </c>
      <c r="F12330">
        <v>183</v>
      </c>
      <c r="G12330">
        <v>71</v>
      </c>
      <c r="H12330">
        <v>1</v>
      </c>
      <c r="I12330">
        <v>372</v>
      </c>
      <c r="J12330">
        <v>1</v>
      </c>
      <c r="K12330">
        <v>1</v>
      </c>
      <c r="L12330">
        <v>369</v>
      </c>
      <c r="M12330">
        <v>1</v>
      </c>
      <c r="N12330">
        <v>5.7658799999999996E-84</v>
      </c>
      <c r="O12330">
        <v>789</v>
      </c>
    </row>
    <row r="12331" spans="1:15" x14ac:dyDescent="0.25">
      <c r="A12331" t="s">
        <v>12344</v>
      </c>
      <c r="B12331">
        <v>538</v>
      </c>
      <c r="C12331" s="1" t="str">
        <f>HYPERLINK("http://www.rosaceae.org/gb/gbrowse/malus_x_domestica/?name=MDP0000878686","MDP0000878686")</f>
        <v>MDP0000878686</v>
      </c>
      <c r="D12331">
        <v>37.22</v>
      </c>
      <c r="E12331">
        <v>403</v>
      </c>
      <c r="F12331">
        <v>253</v>
      </c>
      <c r="G12331">
        <v>44</v>
      </c>
      <c r="H12331">
        <v>145</v>
      </c>
      <c r="I12331">
        <v>538</v>
      </c>
      <c r="J12331">
        <v>1</v>
      </c>
      <c r="K12331">
        <v>9</v>
      </c>
      <c r="L12331">
        <v>376</v>
      </c>
      <c r="M12331">
        <v>1</v>
      </c>
      <c r="N12331">
        <v>1.4543299999999999E-57</v>
      </c>
      <c r="O12331">
        <v>563</v>
      </c>
    </row>
    <row r="12332" spans="1:15" x14ac:dyDescent="0.25">
      <c r="A12332" t="s">
        <v>12345</v>
      </c>
      <c r="B12332">
        <v>1130</v>
      </c>
      <c r="C12332" s="1" t="str">
        <f>HYPERLINK("http://www.rosaceae.org/gb/gbrowse/malus_x_domestica/?name=MDP0000303908","MDP0000303908")</f>
        <v>MDP0000303908</v>
      </c>
      <c r="D12332">
        <v>43.84</v>
      </c>
      <c r="E12332">
        <v>203</v>
      </c>
      <c r="F12332">
        <v>114</v>
      </c>
      <c r="G12332">
        <v>12</v>
      </c>
      <c r="H12332">
        <v>227</v>
      </c>
      <c r="I12332">
        <v>429</v>
      </c>
      <c r="J12332">
        <v>1</v>
      </c>
      <c r="K12332">
        <v>135</v>
      </c>
      <c r="L12332">
        <v>325</v>
      </c>
      <c r="M12332">
        <v>1</v>
      </c>
      <c r="N12332">
        <v>6.6934700000000003E-38</v>
      </c>
      <c r="O12332">
        <v>397</v>
      </c>
    </row>
    <row r="12333" spans="1:15" x14ac:dyDescent="0.25">
      <c r="A12333" t="s">
        <v>12346</v>
      </c>
      <c r="B12333">
        <v>292</v>
      </c>
      <c r="C12333" s="1" t="str">
        <f>HYPERLINK("http://www.rosaceae.org/gb/gbrowse/malus_x_domestica/?name=MDP0000319500","MDP0000319500")</f>
        <v>MDP0000319500</v>
      </c>
      <c r="D12333">
        <v>55.3</v>
      </c>
      <c r="E12333">
        <v>132</v>
      </c>
      <c r="F12333">
        <v>59</v>
      </c>
      <c r="G12333">
        <v>1</v>
      </c>
      <c r="H12333">
        <v>160</v>
      </c>
      <c r="I12333">
        <v>291</v>
      </c>
      <c r="J12333">
        <v>1</v>
      </c>
      <c r="K12333">
        <v>44</v>
      </c>
      <c r="L12333">
        <v>174</v>
      </c>
      <c r="M12333">
        <v>1</v>
      </c>
      <c r="N12333">
        <v>1.0461899999999999E-34</v>
      </c>
      <c r="O12333">
        <v>363</v>
      </c>
    </row>
    <row r="12334" spans="1:15" x14ac:dyDescent="0.25">
      <c r="A12334" t="s">
        <v>12347</v>
      </c>
      <c r="B12334">
        <v>387</v>
      </c>
      <c r="C12334" s="1" t="str">
        <f>HYPERLINK("http://www.rosaceae.org/gb/gbrowse/malus_x_domestica/?name=MDP0000265429","MDP0000265429")</f>
        <v>MDP0000265429</v>
      </c>
      <c r="D12334">
        <v>85.87</v>
      </c>
      <c r="E12334">
        <v>177</v>
      </c>
      <c r="F12334">
        <v>25</v>
      </c>
      <c r="G12334">
        <v>3</v>
      </c>
      <c r="H12334">
        <v>213</v>
      </c>
      <c r="I12334">
        <v>387</v>
      </c>
      <c r="J12334">
        <v>1</v>
      </c>
      <c r="K12334">
        <v>1</v>
      </c>
      <c r="L12334">
        <v>176</v>
      </c>
      <c r="M12334">
        <v>1</v>
      </c>
      <c r="N12334">
        <v>7.5312099999999994E-77</v>
      </c>
      <c r="O12334">
        <v>728</v>
      </c>
    </row>
    <row r="12335" spans="1:15" x14ac:dyDescent="0.25">
      <c r="A12335" t="s">
        <v>12348</v>
      </c>
      <c r="B12335">
        <v>309</v>
      </c>
      <c r="C12335" s="1" t="str">
        <f>HYPERLINK("http://www.rosaceae.org/gb/gbrowse/malus_x_domestica/?name=MDP0000319841","MDP0000319841")</f>
        <v>MDP0000319841</v>
      </c>
      <c r="D12335">
        <v>34.68</v>
      </c>
      <c r="E12335">
        <v>346</v>
      </c>
      <c r="F12335">
        <v>226</v>
      </c>
      <c r="G12335">
        <v>77</v>
      </c>
      <c r="H12335">
        <v>37</v>
      </c>
      <c r="I12335">
        <v>309</v>
      </c>
      <c r="J12335">
        <v>1</v>
      </c>
      <c r="K12335">
        <v>834</v>
      </c>
      <c r="L12335">
        <v>1175</v>
      </c>
      <c r="M12335">
        <v>1</v>
      </c>
      <c r="N12335">
        <v>3.36771E-40</v>
      </c>
      <c r="O12335">
        <v>411</v>
      </c>
    </row>
    <row r="12336" spans="1:15" x14ac:dyDescent="0.25">
      <c r="A12336" t="s">
        <v>12349</v>
      </c>
      <c r="B12336">
        <v>319</v>
      </c>
      <c r="C12336" s="1" t="str">
        <f>HYPERLINK("http://www.rosaceae.org/gb/gbrowse/malus_x_domestica/?name=MDP0000338365","MDP0000338365")</f>
        <v>MDP0000338365</v>
      </c>
      <c r="D12336">
        <v>79.38</v>
      </c>
      <c r="E12336">
        <v>131</v>
      </c>
      <c r="F12336">
        <v>27</v>
      </c>
      <c r="G12336">
        <v>0</v>
      </c>
      <c r="H12336">
        <v>186</v>
      </c>
      <c r="I12336">
        <v>316</v>
      </c>
      <c r="J12336">
        <v>1</v>
      </c>
      <c r="K12336">
        <v>7</v>
      </c>
      <c r="L12336">
        <v>137</v>
      </c>
      <c r="M12336">
        <v>1</v>
      </c>
      <c r="N12336">
        <v>3.9788599999999999E-60</v>
      </c>
      <c r="O12336">
        <v>583</v>
      </c>
    </row>
    <row r="12337" spans="1:15" x14ac:dyDescent="0.25">
      <c r="A12337" t="s">
        <v>12350</v>
      </c>
      <c r="B12337">
        <v>331</v>
      </c>
      <c r="C12337" s="1" t="str">
        <f>HYPERLINK("http://www.rosaceae.org/gb/gbrowse/malus_x_domestica/?name=MDP0000248920","MDP0000248920")</f>
        <v>MDP0000248920</v>
      </c>
      <c r="D12337">
        <v>92.46</v>
      </c>
      <c r="E12337">
        <v>332</v>
      </c>
      <c r="F12337">
        <v>25</v>
      </c>
      <c r="G12337">
        <v>1</v>
      </c>
      <c r="H12337">
        <v>1</v>
      </c>
      <c r="I12337">
        <v>331</v>
      </c>
      <c r="J12337">
        <v>1</v>
      </c>
      <c r="K12337">
        <v>1</v>
      </c>
      <c r="L12337">
        <v>332</v>
      </c>
      <c r="M12337">
        <v>1</v>
      </c>
      <c r="N12337">
        <v>0</v>
      </c>
      <c r="O12337">
        <v>1630</v>
      </c>
    </row>
    <row r="12338" spans="1:15" x14ac:dyDescent="0.25">
      <c r="A12338" t="s">
        <v>12351</v>
      </c>
      <c r="B12338">
        <v>168</v>
      </c>
      <c r="C12338" s="1" t="str">
        <f>HYPERLINK("http://www.rosaceae.org/gb/gbrowse/malus_x_domestica/?name=MDP0000142997","MDP0000142997")</f>
        <v>MDP0000142997</v>
      </c>
      <c r="D12338">
        <v>61.87</v>
      </c>
      <c r="E12338">
        <v>139</v>
      </c>
      <c r="F12338">
        <v>53</v>
      </c>
      <c r="G12338">
        <v>5</v>
      </c>
      <c r="H12338">
        <v>27</v>
      </c>
      <c r="I12338">
        <v>165</v>
      </c>
      <c r="J12338">
        <v>1</v>
      </c>
      <c r="K12338">
        <v>55</v>
      </c>
      <c r="L12338">
        <v>188</v>
      </c>
      <c r="M12338">
        <v>1</v>
      </c>
      <c r="N12338">
        <v>3.0464000000000001E-43</v>
      </c>
      <c r="O12338">
        <v>433</v>
      </c>
    </row>
    <row r="12339" spans="1:15" x14ac:dyDescent="0.25">
      <c r="A12339" t="s">
        <v>12352</v>
      </c>
      <c r="B12339">
        <v>901</v>
      </c>
      <c r="C12339" s="1" t="str">
        <f>HYPERLINK("http://www.rosaceae.org/gb/gbrowse/malus_x_domestica/?name=MDP0000233173","MDP0000233173")</f>
        <v>MDP0000233173</v>
      </c>
      <c r="D12339">
        <v>62.36</v>
      </c>
      <c r="E12339">
        <v>829</v>
      </c>
      <c r="F12339">
        <v>312</v>
      </c>
      <c r="G12339">
        <v>15</v>
      </c>
      <c r="H12339">
        <v>85</v>
      </c>
      <c r="I12339">
        <v>898</v>
      </c>
      <c r="J12339">
        <v>1</v>
      </c>
      <c r="K12339">
        <v>141</v>
      </c>
      <c r="L12339">
        <v>969</v>
      </c>
      <c r="M12339">
        <v>1</v>
      </c>
      <c r="N12339">
        <v>0</v>
      </c>
      <c r="O12339">
        <v>2602</v>
      </c>
    </row>
    <row r="12340" spans="1:15" x14ac:dyDescent="0.25">
      <c r="A12340" t="s">
        <v>12353</v>
      </c>
      <c r="B12340">
        <v>486</v>
      </c>
      <c r="C12340" s="1" t="str">
        <f>HYPERLINK("http://www.rosaceae.org/gb/gbrowse/malus_x_domestica/?name=MDP0000171268","MDP0000171268")</f>
        <v>MDP0000171268</v>
      </c>
      <c r="D12340">
        <v>45.21</v>
      </c>
      <c r="E12340">
        <v>115</v>
      </c>
      <c r="F12340">
        <v>63</v>
      </c>
      <c r="G12340">
        <v>4</v>
      </c>
      <c r="H12340">
        <v>212</v>
      </c>
      <c r="I12340">
        <v>326</v>
      </c>
      <c r="J12340">
        <v>1</v>
      </c>
      <c r="K12340">
        <v>227</v>
      </c>
      <c r="L12340">
        <v>337</v>
      </c>
      <c r="M12340">
        <v>1</v>
      </c>
      <c r="N12340">
        <v>1.6447400000000001E-16</v>
      </c>
      <c r="O12340">
        <v>209</v>
      </c>
    </row>
    <row r="12341" spans="1:15" x14ac:dyDescent="0.25">
      <c r="A12341" t="s">
        <v>12354</v>
      </c>
      <c r="B12341">
        <v>924</v>
      </c>
      <c r="C12341" s="1" t="str">
        <f>HYPERLINK("http://www.rosaceae.org/gb/gbrowse/malus_x_domestica/?name=MDP0000321388","MDP0000321388")</f>
        <v>MDP0000321388</v>
      </c>
      <c r="D12341">
        <v>80.17</v>
      </c>
      <c r="E12341">
        <v>908</v>
      </c>
      <c r="F12341">
        <v>180</v>
      </c>
      <c r="G12341">
        <v>4</v>
      </c>
      <c r="H12341">
        <v>3</v>
      </c>
      <c r="I12341">
        <v>909</v>
      </c>
      <c r="J12341">
        <v>1</v>
      </c>
      <c r="K12341">
        <v>14</v>
      </c>
      <c r="L12341">
        <v>918</v>
      </c>
      <c r="M12341">
        <v>1</v>
      </c>
      <c r="N12341">
        <v>0</v>
      </c>
      <c r="O12341">
        <v>3863</v>
      </c>
    </row>
    <row r="12342" spans="1:15" x14ac:dyDescent="0.25">
      <c r="A12342" t="s">
        <v>12355</v>
      </c>
      <c r="B12342">
        <v>116</v>
      </c>
      <c r="C12342" s="1" t="str">
        <f>HYPERLINK("http://www.rosaceae.org/gb/gbrowse/malus_x_domestica/?name=MDP0000157644","MDP0000157644")</f>
        <v>MDP0000157644</v>
      </c>
      <c r="D12342">
        <v>48.33</v>
      </c>
      <c r="E12342">
        <v>60</v>
      </c>
      <c r="F12342">
        <v>31</v>
      </c>
      <c r="G12342">
        <v>4</v>
      </c>
      <c r="H12342">
        <v>43</v>
      </c>
      <c r="I12342">
        <v>102</v>
      </c>
      <c r="J12342">
        <v>1</v>
      </c>
      <c r="K12342">
        <v>543</v>
      </c>
      <c r="L12342">
        <v>598</v>
      </c>
      <c r="M12342">
        <v>1</v>
      </c>
      <c r="N12342">
        <v>9.0973599999999996E-8</v>
      </c>
      <c r="O12342">
        <v>124</v>
      </c>
    </row>
    <row r="12343" spans="1:15" x14ac:dyDescent="0.25">
      <c r="A12343" t="s">
        <v>12356</v>
      </c>
      <c r="B12343">
        <v>292</v>
      </c>
      <c r="C12343" s="1" t="str">
        <f>HYPERLINK("http://www.rosaceae.org/gb/gbrowse/malus_x_domestica/?name=MDP0000318279","MDP0000318279")</f>
        <v>MDP0000318279</v>
      </c>
      <c r="D12343">
        <v>35.6</v>
      </c>
      <c r="E12343">
        <v>205</v>
      </c>
      <c r="F12343">
        <v>132</v>
      </c>
      <c r="G12343">
        <v>2</v>
      </c>
      <c r="H12343">
        <v>38</v>
      </c>
      <c r="I12343">
        <v>242</v>
      </c>
      <c r="J12343">
        <v>1</v>
      </c>
      <c r="K12343">
        <v>126</v>
      </c>
      <c r="L12343">
        <v>328</v>
      </c>
      <c r="M12343">
        <v>1</v>
      </c>
      <c r="N12343">
        <v>1.0291800000000001E-33</v>
      </c>
      <c r="O12343">
        <v>355</v>
      </c>
    </row>
    <row r="12344" spans="1:15" x14ac:dyDescent="0.25">
      <c r="A12344" t="s">
        <v>12357</v>
      </c>
      <c r="B12344">
        <v>1091</v>
      </c>
      <c r="C12344" s="1" t="str">
        <f>HYPERLINK("http://www.rosaceae.org/gb/gbrowse/malus_x_domestica/?name=MDP0000734561","MDP0000734561")</f>
        <v>MDP0000734561</v>
      </c>
      <c r="D12344">
        <v>49.07</v>
      </c>
      <c r="E12344">
        <v>968</v>
      </c>
      <c r="F12344">
        <v>493</v>
      </c>
      <c r="G12344">
        <v>54</v>
      </c>
      <c r="H12344">
        <v>148</v>
      </c>
      <c r="I12344">
        <v>1083</v>
      </c>
      <c r="J12344">
        <v>1</v>
      </c>
      <c r="K12344">
        <v>166</v>
      </c>
      <c r="L12344">
        <v>1111</v>
      </c>
      <c r="M12344">
        <v>1</v>
      </c>
      <c r="N12344">
        <v>0</v>
      </c>
      <c r="O12344">
        <v>2061</v>
      </c>
    </row>
    <row r="12345" spans="1:15" x14ac:dyDescent="0.25">
      <c r="A12345" t="s">
        <v>12358</v>
      </c>
      <c r="B12345">
        <v>518</v>
      </c>
      <c r="C12345" s="1" t="str">
        <f>HYPERLINK("http://www.rosaceae.org/gb/gbrowse/malus_x_domestica/?name=MDP0000239826","MDP0000239826")</f>
        <v>MDP0000239826</v>
      </c>
      <c r="D12345">
        <v>26.75</v>
      </c>
      <c r="E12345">
        <v>456</v>
      </c>
      <c r="F12345">
        <v>334</v>
      </c>
      <c r="G12345">
        <v>68</v>
      </c>
      <c r="H12345">
        <v>3</v>
      </c>
      <c r="I12345">
        <v>445</v>
      </c>
      <c r="J12345">
        <v>1</v>
      </c>
      <c r="K12345">
        <v>26</v>
      </c>
      <c r="L12345">
        <v>426</v>
      </c>
      <c r="M12345">
        <v>1</v>
      </c>
      <c r="N12345">
        <v>5.5753600000000004E-35</v>
      </c>
      <c r="O12345">
        <v>368</v>
      </c>
    </row>
    <row r="12346" spans="1:15" x14ac:dyDescent="0.25">
      <c r="A12346" t="s">
        <v>12359</v>
      </c>
      <c r="B12346">
        <v>494</v>
      </c>
      <c r="C12346" s="1" t="str">
        <f>HYPERLINK("http://www.rosaceae.org/gb/gbrowse/malus_x_domestica/?name=MDP0000400398","MDP0000400398")</f>
        <v>MDP0000400398</v>
      </c>
      <c r="D12346">
        <v>31.17</v>
      </c>
      <c r="E12346">
        <v>170</v>
      </c>
      <c r="F12346">
        <v>117</v>
      </c>
      <c r="G12346">
        <v>6</v>
      </c>
      <c r="H12346">
        <v>55</v>
      </c>
      <c r="I12346">
        <v>218</v>
      </c>
      <c r="J12346">
        <v>1</v>
      </c>
      <c r="K12346">
        <v>723</v>
      </c>
      <c r="L12346">
        <v>892</v>
      </c>
      <c r="M12346">
        <v>1</v>
      </c>
      <c r="N12346">
        <v>7.43947E-12</v>
      </c>
      <c r="O12346">
        <v>169</v>
      </c>
    </row>
    <row r="12347" spans="1:15" x14ac:dyDescent="0.25">
      <c r="A12347" t="s">
        <v>12360</v>
      </c>
      <c r="B12347">
        <v>798</v>
      </c>
      <c r="C12347" s="1" t="str">
        <f>HYPERLINK("http://www.rosaceae.org/gb/gbrowse/malus_x_domestica/?name=MDP0000302888","MDP0000302888")</f>
        <v>MDP0000302888</v>
      </c>
      <c r="D12347">
        <v>81.89</v>
      </c>
      <c r="E12347">
        <v>801</v>
      </c>
      <c r="F12347">
        <v>145</v>
      </c>
      <c r="G12347">
        <v>7</v>
      </c>
      <c r="H12347">
        <v>1</v>
      </c>
      <c r="I12347">
        <v>798</v>
      </c>
      <c r="J12347">
        <v>1</v>
      </c>
      <c r="K12347">
        <v>1</v>
      </c>
      <c r="L12347">
        <v>797</v>
      </c>
      <c r="M12347">
        <v>1</v>
      </c>
      <c r="N12347">
        <v>0</v>
      </c>
      <c r="O12347">
        <v>3369</v>
      </c>
    </row>
    <row r="12348" spans="1:15" x14ac:dyDescent="0.25">
      <c r="A12348" t="s">
        <v>12361</v>
      </c>
      <c r="B12348">
        <v>293</v>
      </c>
      <c r="C12348" s="1" t="str">
        <f>HYPERLINK("http://www.rosaceae.org/gb/gbrowse/malus_x_domestica/?name=MDP0000378203","MDP0000378203")</f>
        <v>MDP0000378203</v>
      </c>
      <c r="D12348">
        <v>85.81</v>
      </c>
      <c r="E12348">
        <v>289</v>
      </c>
      <c r="F12348">
        <v>41</v>
      </c>
      <c r="G12348">
        <v>4</v>
      </c>
      <c r="H12348">
        <v>5</v>
      </c>
      <c r="I12348">
        <v>293</v>
      </c>
      <c r="J12348">
        <v>1</v>
      </c>
      <c r="K12348">
        <v>12</v>
      </c>
      <c r="L12348">
        <v>296</v>
      </c>
      <c r="M12348">
        <v>1</v>
      </c>
      <c r="N12348">
        <v>3.9282799999999998E-151</v>
      </c>
      <c r="O12348">
        <v>1367</v>
      </c>
    </row>
    <row r="12349" spans="1:15" x14ac:dyDescent="0.25">
      <c r="A12349" t="s">
        <v>12362</v>
      </c>
      <c r="B12349">
        <v>157</v>
      </c>
      <c r="C12349" s="1" t="str">
        <f>HYPERLINK("http://www.rosaceae.org/gb/gbrowse/malus_x_domestica/?name=MDP0000275792","MDP0000275792")</f>
        <v>MDP0000275792</v>
      </c>
      <c r="D12349">
        <v>45.12</v>
      </c>
      <c r="E12349">
        <v>195</v>
      </c>
      <c r="F12349">
        <v>107</v>
      </c>
      <c r="G12349">
        <v>67</v>
      </c>
      <c r="H12349">
        <v>15</v>
      </c>
      <c r="I12349">
        <v>143</v>
      </c>
      <c r="J12349">
        <v>1</v>
      </c>
      <c r="K12349">
        <v>320</v>
      </c>
      <c r="L12349">
        <v>513</v>
      </c>
      <c r="M12349">
        <v>1</v>
      </c>
      <c r="N12349">
        <v>2.4913400000000002E-32</v>
      </c>
      <c r="O12349">
        <v>339</v>
      </c>
    </row>
    <row r="12350" spans="1:15" x14ac:dyDescent="0.25">
      <c r="A12350" t="s">
        <v>12363</v>
      </c>
      <c r="B12350">
        <v>590</v>
      </c>
      <c r="C12350" s="1" t="str">
        <f>HYPERLINK("http://www.rosaceae.org/gb/gbrowse/malus_x_domestica/?name=MDP0000628052","MDP0000628052")</f>
        <v>MDP0000628052</v>
      </c>
      <c r="D12350">
        <v>46.26</v>
      </c>
      <c r="E12350">
        <v>268</v>
      </c>
      <c r="F12350">
        <v>144</v>
      </c>
      <c r="G12350">
        <v>15</v>
      </c>
      <c r="H12350">
        <v>273</v>
      </c>
      <c r="I12350">
        <v>529</v>
      </c>
      <c r="J12350">
        <v>1</v>
      </c>
      <c r="K12350">
        <v>38</v>
      </c>
      <c r="L12350">
        <v>301</v>
      </c>
      <c r="M12350">
        <v>1</v>
      </c>
      <c r="N12350">
        <v>1.50255E-59</v>
      </c>
      <c r="O12350">
        <v>581</v>
      </c>
    </row>
    <row r="12351" spans="1:15" x14ac:dyDescent="0.25">
      <c r="A12351" t="s">
        <v>12364</v>
      </c>
      <c r="B12351">
        <v>150</v>
      </c>
      <c r="C12351" s="1" t="str">
        <f>HYPERLINK("http://www.rosaceae.org/gb/gbrowse/malus_x_domestica/?name=MDP0000244462","MDP0000244462")</f>
        <v>MDP0000244462</v>
      </c>
      <c r="D12351">
        <v>58.92</v>
      </c>
      <c r="E12351">
        <v>56</v>
      </c>
      <c r="F12351">
        <v>23</v>
      </c>
      <c r="G12351">
        <v>0</v>
      </c>
      <c r="H12351">
        <v>92</v>
      </c>
      <c r="I12351">
        <v>147</v>
      </c>
      <c r="J12351">
        <v>1</v>
      </c>
      <c r="K12351">
        <v>119</v>
      </c>
      <c r="L12351">
        <v>174</v>
      </c>
      <c r="M12351">
        <v>1</v>
      </c>
      <c r="N12351">
        <v>7.1841199999999999E-12</v>
      </c>
      <c r="O12351">
        <v>162</v>
      </c>
    </row>
    <row r="12352" spans="1:15" x14ac:dyDescent="0.25">
      <c r="A12352" t="s">
        <v>12365</v>
      </c>
      <c r="B12352">
        <v>584</v>
      </c>
      <c r="C12352" s="1" t="str">
        <f>HYPERLINK("http://www.rosaceae.org/gb/gbrowse/malus_x_domestica/?name=MDP0000192960","MDP0000192960")</f>
        <v>MDP0000192960</v>
      </c>
      <c r="D12352">
        <v>75.92</v>
      </c>
      <c r="E12352">
        <v>594</v>
      </c>
      <c r="F12352">
        <v>143</v>
      </c>
      <c r="G12352">
        <v>56</v>
      </c>
      <c r="H12352">
        <v>1</v>
      </c>
      <c r="I12352">
        <v>582</v>
      </c>
      <c r="J12352">
        <v>1</v>
      </c>
      <c r="K12352">
        <v>1</v>
      </c>
      <c r="L12352">
        <v>550</v>
      </c>
      <c r="M12352">
        <v>1</v>
      </c>
      <c r="N12352">
        <v>0</v>
      </c>
      <c r="O12352">
        <v>2310</v>
      </c>
    </row>
    <row r="12353" spans="1:15" x14ac:dyDescent="0.25">
      <c r="A12353" t="s">
        <v>12366</v>
      </c>
      <c r="B12353">
        <v>166</v>
      </c>
      <c r="C12353" s="1" t="str">
        <f>HYPERLINK("http://www.rosaceae.org/gb/gbrowse/malus_x_domestica/?name=MDP0000339689","MDP0000339689")</f>
        <v>MDP0000339689</v>
      </c>
      <c r="D12353">
        <v>67.78</v>
      </c>
      <c r="E12353">
        <v>149</v>
      </c>
      <c r="F12353">
        <v>48</v>
      </c>
      <c r="G12353">
        <v>14</v>
      </c>
      <c r="H12353">
        <v>31</v>
      </c>
      <c r="I12353">
        <v>166</v>
      </c>
      <c r="J12353">
        <v>1</v>
      </c>
      <c r="K12353">
        <v>2</v>
      </c>
      <c r="L12353">
        <v>149</v>
      </c>
      <c r="M12353">
        <v>1</v>
      </c>
      <c r="N12353">
        <v>2.3985800000000001E-51</v>
      </c>
      <c r="O12353">
        <v>503</v>
      </c>
    </row>
    <row r="12354" spans="1:15" x14ac:dyDescent="0.25">
      <c r="A12354" t="s">
        <v>12367</v>
      </c>
      <c r="B12354">
        <v>812</v>
      </c>
      <c r="C12354" s="1" t="str">
        <f>HYPERLINK("http://www.rosaceae.org/gb/gbrowse/malus_x_domestica/?name=MDP0000276952","MDP0000276952")</f>
        <v>MDP0000276952</v>
      </c>
      <c r="D12354">
        <v>65.010000000000005</v>
      </c>
      <c r="E12354">
        <v>846</v>
      </c>
      <c r="F12354">
        <v>296</v>
      </c>
      <c r="G12354">
        <v>63</v>
      </c>
      <c r="H12354">
        <v>2</v>
      </c>
      <c r="I12354">
        <v>812</v>
      </c>
      <c r="J12354">
        <v>1</v>
      </c>
      <c r="K12354">
        <v>3</v>
      </c>
      <c r="L12354">
        <v>820</v>
      </c>
      <c r="M12354">
        <v>1</v>
      </c>
      <c r="N12354">
        <v>0</v>
      </c>
      <c r="O12354">
        <v>2643</v>
      </c>
    </row>
    <row r="12355" spans="1:15" x14ac:dyDescent="0.25">
      <c r="A12355" t="s">
        <v>12368</v>
      </c>
      <c r="B12355">
        <v>951</v>
      </c>
      <c r="C12355" s="1" t="str">
        <f>HYPERLINK("http://www.rosaceae.org/gb/gbrowse/malus_x_domestica/?name=MDP0000175636","MDP0000175636")</f>
        <v>MDP0000175636</v>
      </c>
      <c r="D12355">
        <v>87.77</v>
      </c>
      <c r="E12355">
        <v>949</v>
      </c>
      <c r="F12355">
        <v>116</v>
      </c>
      <c r="G12355">
        <v>0</v>
      </c>
      <c r="H12355">
        <v>3</v>
      </c>
      <c r="I12355">
        <v>951</v>
      </c>
      <c r="J12355">
        <v>1</v>
      </c>
      <c r="K12355">
        <v>2</v>
      </c>
      <c r="L12355">
        <v>950</v>
      </c>
      <c r="M12355">
        <v>1</v>
      </c>
      <c r="N12355">
        <v>0</v>
      </c>
      <c r="O12355">
        <v>4428</v>
      </c>
    </row>
    <row r="12356" spans="1:15" x14ac:dyDescent="0.25">
      <c r="A12356" t="s">
        <v>12369</v>
      </c>
      <c r="B12356">
        <v>335</v>
      </c>
      <c r="C12356" s="1" t="str">
        <f>HYPERLINK("http://www.rosaceae.org/gb/gbrowse/malus_x_domestica/?name=MDP0000292722","MDP0000292722")</f>
        <v>MDP0000292722</v>
      </c>
      <c r="D12356">
        <v>46.87</v>
      </c>
      <c r="E12356">
        <v>128</v>
      </c>
      <c r="F12356">
        <v>68</v>
      </c>
      <c r="G12356">
        <v>14</v>
      </c>
      <c r="H12356">
        <v>137</v>
      </c>
      <c r="I12356">
        <v>251</v>
      </c>
      <c r="J12356">
        <v>1</v>
      </c>
      <c r="K12356">
        <v>271</v>
      </c>
      <c r="L12356">
        <v>397</v>
      </c>
      <c r="M12356">
        <v>1</v>
      </c>
      <c r="N12356">
        <v>3.5378700000000002E-22</v>
      </c>
      <c r="O12356">
        <v>256</v>
      </c>
    </row>
    <row r="12357" spans="1:15" x14ac:dyDescent="0.25">
      <c r="A12357" t="s">
        <v>12370</v>
      </c>
      <c r="B12357">
        <v>551</v>
      </c>
      <c r="C12357" s="1" t="str">
        <f>HYPERLINK("http://www.rosaceae.org/gb/gbrowse/malus_x_domestica/?name=MDP0000243554","MDP0000243554")</f>
        <v>MDP0000243554</v>
      </c>
      <c r="D12357">
        <v>61.87</v>
      </c>
      <c r="E12357">
        <v>564</v>
      </c>
      <c r="F12357">
        <v>215</v>
      </c>
      <c r="G12357">
        <v>42</v>
      </c>
      <c r="H12357">
        <v>1</v>
      </c>
      <c r="I12357">
        <v>548</v>
      </c>
      <c r="J12357">
        <v>1</v>
      </c>
      <c r="K12357">
        <v>282</v>
      </c>
      <c r="L12357">
        <v>819</v>
      </c>
      <c r="M12357">
        <v>1</v>
      </c>
      <c r="N12357">
        <v>0</v>
      </c>
      <c r="O12357">
        <v>1749</v>
      </c>
    </row>
    <row r="12358" spans="1:15" x14ac:dyDescent="0.25">
      <c r="A12358" t="s">
        <v>12371</v>
      </c>
      <c r="B12358">
        <v>189</v>
      </c>
      <c r="C12358" s="1" t="str">
        <f>HYPERLINK("http://www.rosaceae.org/gb/gbrowse/malus_x_domestica/?name=MDP0000318624","MDP0000318624")</f>
        <v>MDP0000318624</v>
      </c>
      <c r="D12358">
        <v>94.18</v>
      </c>
      <c r="E12358">
        <v>172</v>
      </c>
      <c r="F12358">
        <v>10</v>
      </c>
      <c r="G12358">
        <v>0</v>
      </c>
      <c r="H12358">
        <v>1</v>
      </c>
      <c r="I12358">
        <v>172</v>
      </c>
      <c r="J12358">
        <v>1</v>
      </c>
      <c r="K12358">
        <v>1</v>
      </c>
      <c r="L12358">
        <v>172</v>
      </c>
      <c r="M12358">
        <v>1</v>
      </c>
      <c r="N12358">
        <v>1.05926E-95</v>
      </c>
      <c r="O12358">
        <v>886</v>
      </c>
    </row>
    <row r="12359" spans="1:15" x14ac:dyDescent="0.25">
      <c r="A12359" t="s">
        <v>12372</v>
      </c>
      <c r="B12359">
        <v>359</v>
      </c>
      <c r="C12359" s="1" t="str">
        <f>HYPERLINK("http://www.rosaceae.org/gb/gbrowse/malus_x_domestica/?name=MDP0000205080","MDP0000205080")</f>
        <v>MDP0000205080</v>
      </c>
      <c r="D12359">
        <v>79.37</v>
      </c>
      <c r="E12359">
        <v>286</v>
      </c>
      <c r="F12359">
        <v>59</v>
      </c>
      <c r="G12359">
        <v>1</v>
      </c>
      <c r="H12359">
        <v>50</v>
      </c>
      <c r="I12359">
        <v>335</v>
      </c>
      <c r="J12359">
        <v>1</v>
      </c>
      <c r="K12359">
        <v>90</v>
      </c>
      <c r="L12359">
        <v>374</v>
      </c>
      <c r="M12359">
        <v>1</v>
      </c>
      <c r="N12359">
        <v>1.5127500000000001E-130</v>
      </c>
      <c r="O12359">
        <v>1191</v>
      </c>
    </row>
    <row r="12360" spans="1:15" x14ac:dyDescent="0.25">
      <c r="A12360" t="s">
        <v>12373</v>
      </c>
      <c r="B12360">
        <v>869</v>
      </c>
      <c r="C12360" s="1" t="str">
        <f>HYPERLINK("http://www.rosaceae.org/gb/gbrowse/malus_x_domestica/?name=MDP0000175097","MDP0000175097")</f>
        <v>MDP0000175097</v>
      </c>
      <c r="D12360">
        <v>56.17</v>
      </c>
      <c r="E12360">
        <v>696</v>
      </c>
      <c r="F12360">
        <v>305</v>
      </c>
      <c r="G12360">
        <v>64</v>
      </c>
      <c r="H12360">
        <v>99</v>
      </c>
      <c r="I12360">
        <v>738</v>
      </c>
      <c r="J12360">
        <v>1</v>
      </c>
      <c r="K12360">
        <v>37</v>
      </c>
      <c r="L12360">
        <v>724</v>
      </c>
      <c r="M12360">
        <v>1</v>
      </c>
      <c r="N12360">
        <v>0</v>
      </c>
      <c r="O12360">
        <v>1924</v>
      </c>
    </row>
    <row r="12361" spans="1:15" x14ac:dyDescent="0.25">
      <c r="A12361" t="s">
        <v>12374</v>
      </c>
      <c r="B12361">
        <v>1036</v>
      </c>
      <c r="C12361" s="1" t="str">
        <f>HYPERLINK("http://www.rosaceae.org/gb/gbrowse/malus_x_domestica/?name=MDP0000916879","MDP0000916879")</f>
        <v>MDP0000916879</v>
      </c>
      <c r="D12361">
        <v>73.59</v>
      </c>
      <c r="E12361">
        <v>996</v>
      </c>
      <c r="F12361">
        <v>263</v>
      </c>
      <c r="G12361">
        <v>25</v>
      </c>
      <c r="H12361">
        <v>3</v>
      </c>
      <c r="I12361">
        <v>978</v>
      </c>
      <c r="J12361">
        <v>1</v>
      </c>
      <c r="K12361">
        <v>13</v>
      </c>
      <c r="L12361">
        <v>1003</v>
      </c>
      <c r="M12361">
        <v>1</v>
      </c>
      <c r="N12361">
        <v>0</v>
      </c>
      <c r="O12361">
        <v>3688</v>
      </c>
    </row>
    <row r="12362" spans="1:15" x14ac:dyDescent="0.25">
      <c r="A12362" t="s">
        <v>12375</v>
      </c>
      <c r="B12362">
        <v>537</v>
      </c>
      <c r="C12362" s="1" t="str">
        <f>HYPERLINK("http://www.rosaceae.org/gb/gbrowse/malus_x_domestica/?name=MDP0000320862","MDP0000320862")</f>
        <v>MDP0000320862</v>
      </c>
      <c r="D12362">
        <v>32.18</v>
      </c>
      <c r="E12362">
        <v>174</v>
      </c>
      <c r="F12362">
        <v>118</v>
      </c>
      <c r="G12362">
        <v>10</v>
      </c>
      <c r="H12362">
        <v>48</v>
      </c>
      <c r="I12362">
        <v>216</v>
      </c>
      <c r="J12362">
        <v>1</v>
      </c>
      <c r="K12362">
        <v>1182</v>
      </c>
      <c r="L12362">
        <v>1350</v>
      </c>
      <c r="M12362">
        <v>1</v>
      </c>
      <c r="N12362">
        <v>9.4271999999999996E-20</v>
      </c>
      <c r="O12362">
        <v>237</v>
      </c>
    </row>
    <row r="12363" spans="1:15" x14ac:dyDescent="0.25">
      <c r="A12363" t="s">
        <v>12376</v>
      </c>
      <c r="B12363">
        <v>1367</v>
      </c>
      <c r="C12363" s="1" t="str">
        <f>HYPERLINK("http://www.rosaceae.org/gb/gbrowse/malus_x_domestica/?name=MDP0000304705","MDP0000304705")</f>
        <v>MDP0000304705</v>
      </c>
      <c r="D12363">
        <v>44.62</v>
      </c>
      <c r="E12363">
        <v>1405</v>
      </c>
      <c r="F12363">
        <v>778</v>
      </c>
      <c r="G12363">
        <v>130</v>
      </c>
      <c r="H12363">
        <v>2</v>
      </c>
      <c r="I12363">
        <v>1300</v>
      </c>
      <c r="J12363">
        <v>1</v>
      </c>
      <c r="K12363">
        <v>1347</v>
      </c>
      <c r="L12363">
        <v>2727</v>
      </c>
      <c r="M12363">
        <v>1</v>
      </c>
      <c r="N12363">
        <v>0</v>
      </c>
      <c r="O12363">
        <v>2473</v>
      </c>
    </row>
    <row r="12364" spans="1:15" x14ac:dyDescent="0.25">
      <c r="A12364" t="s">
        <v>12377</v>
      </c>
      <c r="B12364">
        <v>571</v>
      </c>
      <c r="C12364" s="1" t="str">
        <f>HYPERLINK("http://www.rosaceae.org/gb/gbrowse/malus_x_domestica/?name=MDP0000935832","MDP0000935832")</f>
        <v>MDP0000935832</v>
      </c>
      <c r="D12364">
        <v>74.95</v>
      </c>
      <c r="E12364">
        <v>571</v>
      </c>
      <c r="F12364">
        <v>143</v>
      </c>
      <c r="G12364">
        <v>5</v>
      </c>
      <c r="H12364">
        <v>1</v>
      </c>
      <c r="I12364">
        <v>570</v>
      </c>
      <c r="J12364">
        <v>1</v>
      </c>
      <c r="K12364">
        <v>1</v>
      </c>
      <c r="L12364">
        <v>567</v>
      </c>
      <c r="M12364">
        <v>1</v>
      </c>
      <c r="N12364">
        <v>0</v>
      </c>
      <c r="O12364">
        <v>2332</v>
      </c>
    </row>
    <row r="12365" spans="1:15" x14ac:dyDescent="0.25">
      <c r="A12365" t="s">
        <v>12378</v>
      </c>
      <c r="B12365">
        <v>772</v>
      </c>
      <c r="C12365" s="1" t="str">
        <f>HYPERLINK("http://www.rosaceae.org/gb/gbrowse/malus_x_domestica/?name=MDP0000229796","MDP0000229796")</f>
        <v>MDP0000229796</v>
      </c>
      <c r="D12365">
        <v>76.11</v>
      </c>
      <c r="E12365">
        <v>314</v>
      </c>
      <c r="F12365">
        <v>75</v>
      </c>
      <c r="G12365">
        <v>13</v>
      </c>
      <c r="H12365">
        <v>1</v>
      </c>
      <c r="I12365">
        <v>305</v>
      </c>
      <c r="J12365">
        <v>1</v>
      </c>
      <c r="K12365">
        <v>1</v>
      </c>
      <c r="L12365">
        <v>310</v>
      </c>
      <c r="M12365">
        <v>1</v>
      </c>
      <c r="N12365">
        <v>3.74241E-140</v>
      </c>
      <c r="O12365">
        <v>1277</v>
      </c>
    </row>
    <row r="12366" spans="1:15" x14ac:dyDescent="0.25">
      <c r="A12366" t="s">
        <v>12379</v>
      </c>
      <c r="B12366">
        <v>465</v>
      </c>
      <c r="C12366" s="1" t="str">
        <f>HYPERLINK("http://www.rosaceae.org/gb/gbrowse/malus_x_domestica/?name=MDP0000190165","MDP0000190165")</f>
        <v>MDP0000190165</v>
      </c>
      <c r="D12366">
        <v>53.64</v>
      </c>
      <c r="E12366">
        <v>384</v>
      </c>
      <c r="F12366">
        <v>178</v>
      </c>
      <c r="G12366">
        <v>24</v>
      </c>
      <c r="H12366">
        <v>12</v>
      </c>
      <c r="I12366">
        <v>376</v>
      </c>
      <c r="J12366">
        <v>1</v>
      </c>
      <c r="K12366">
        <v>4</v>
      </c>
      <c r="L12366">
        <v>382</v>
      </c>
      <c r="M12366">
        <v>1</v>
      </c>
      <c r="N12366">
        <v>6.9065499999999993E-108</v>
      </c>
      <c r="O12366">
        <v>997</v>
      </c>
    </row>
    <row r="12367" spans="1:15" x14ac:dyDescent="0.25">
      <c r="A12367" t="s">
        <v>12380</v>
      </c>
      <c r="B12367">
        <v>778</v>
      </c>
      <c r="C12367" s="1" t="str">
        <f>HYPERLINK("http://www.rosaceae.org/gb/gbrowse/malus_x_domestica/?name=MDP0000136491","MDP0000136491")</f>
        <v>MDP0000136491</v>
      </c>
      <c r="D12367">
        <v>59.62</v>
      </c>
      <c r="E12367">
        <v>748</v>
      </c>
      <c r="F12367">
        <v>302</v>
      </c>
      <c r="G12367">
        <v>99</v>
      </c>
      <c r="H12367">
        <v>38</v>
      </c>
      <c r="I12367">
        <v>745</v>
      </c>
      <c r="J12367">
        <v>1</v>
      </c>
      <c r="K12367">
        <v>24</v>
      </c>
      <c r="L12367">
        <v>712</v>
      </c>
      <c r="M12367">
        <v>1</v>
      </c>
      <c r="N12367">
        <v>0</v>
      </c>
      <c r="O12367">
        <v>2185</v>
      </c>
    </row>
    <row r="12368" spans="1:15" x14ac:dyDescent="0.25">
      <c r="A12368" t="s">
        <v>12381</v>
      </c>
      <c r="B12368">
        <v>535</v>
      </c>
      <c r="C12368" s="1" t="str">
        <f>HYPERLINK("http://www.rosaceae.org/gb/gbrowse/malus_x_domestica/?name=MDP0000190186","MDP0000190186")</f>
        <v>MDP0000190186</v>
      </c>
      <c r="D12368">
        <v>50.42</v>
      </c>
      <c r="E12368">
        <v>236</v>
      </c>
      <c r="F12368">
        <v>117</v>
      </c>
      <c r="G12368">
        <v>10</v>
      </c>
      <c r="H12368">
        <v>1</v>
      </c>
      <c r="I12368">
        <v>228</v>
      </c>
      <c r="J12368">
        <v>1</v>
      </c>
      <c r="K12368">
        <v>1</v>
      </c>
      <c r="L12368">
        <v>234</v>
      </c>
      <c r="M12368">
        <v>1</v>
      </c>
      <c r="N12368">
        <v>1.8268999999999999E-52</v>
      </c>
      <c r="O12368">
        <v>519</v>
      </c>
    </row>
    <row r="12369" spans="1:15" x14ac:dyDescent="0.25">
      <c r="A12369" t="s">
        <v>12382</v>
      </c>
      <c r="B12369">
        <v>352</v>
      </c>
      <c r="C12369" s="1" t="str">
        <f>HYPERLINK("http://www.rosaceae.org/gb/gbrowse/malus_x_domestica/?name=MDP0000287519","MDP0000287519")</f>
        <v>MDP0000287519</v>
      </c>
      <c r="D12369">
        <v>28.3</v>
      </c>
      <c r="E12369">
        <v>159</v>
      </c>
      <c r="F12369">
        <v>114</v>
      </c>
      <c r="G12369">
        <v>25</v>
      </c>
      <c r="H12369">
        <v>2</v>
      </c>
      <c r="I12369">
        <v>144</v>
      </c>
      <c r="J12369">
        <v>1</v>
      </c>
      <c r="K12369">
        <v>18</v>
      </c>
      <c r="L12369">
        <v>167</v>
      </c>
      <c r="M12369">
        <v>1</v>
      </c>
      <c r="N12369">
        <v>1.1558799999999999E-10</v>
      </c>
      <c r="O12369">
        <v>157</v>
      </c>
    </row>
    <row r="12370" spans="1:15" x14ac:dyDescent="0.25">
      <c r="A12370" t="s">
        <v>12383</v>
      </c>
      <c r="B12370">
        <v>103</v>
      </c>
      <c r="C12370" s="1" t="str">
        <f>HYPERLINK("http://www.rosaceae.org/gb/gbrowse/malus_x_domestica/?name=MDP0000196182","MDP0000196182")</f>
        <v>MDP0000196182</v>
      </c>
      <c r="D12370">
        <v>64.7</v>
      </c>
      <c r="E12370">
        <v>136</v>
      </c>
      <c r="F12370">
        <v>48</v>
      </c>
      <c r="G12370">
        <v>33</v>
      </c>
      <c r="H12370">
        <v>1</v>
      </c>
      <c r="I12370">
        <v>103</v>
      </c>
      <c r="J12370">
        <v>1</v>
      </c>
      <c r="K12370">
        <v>1</v>
      </c>
      <c r="L12370">
        <v>136</v>
      </c>
      <c r="M12370">
        <v>1</v>
      </c>
      <c r="N12370">
        <v>1.03789E-44</v>
      </c>
      <c r="O12370">
        <v>443</v>
      </c>
    </row>
    <row r="12371" spans="1:15" x14ac:dyDescent="0.25">
      <c r="A12371" t="s">
        <v>12384</v>
      </c>
      <c r="B12371">
        <v>585</v>
      </c>
      <c r="C12371" s="1" t="str">
        <f>HYPERLINK("http://www.rosaceae.org/gb/gbrowse/malus_x_domestica/?name=MDP0000261528","MDP0000261528")</f>
        <v>MDP0000261528</v>
      </c>
      <c r="D12371">
        <v>65.67</v>
      </c>
      <c r="E12371">
        <v>574</v>
      </c>
      <c r="F12371">
        <v>197</v>
      </c>
      <c r="G12371">
        <v>61</v>
      </c>
      <c r="H12371">
        <v>1</v>
      </c>
      <c r="I12371">
        <v>560</v>
      </c>
      <c r="J12371">
        <v>1</v>
      </c>
      <c r="K12371">
        <v>1</v>
      </c>
      <c r="L12371">
        <v>527</v>
      </c>
      <c r="M12371">
        <v>1</v>
      </c>
      <c r="N12371">
        <v>0</v>
      </c>
      <c r="O12371">
        <v>1829</v>
      </c>
    </row>
    <row r="12372" spans="1:15" x14ac:dyDescent="0.25">
      <c r="A12372" t="s">
        <v>12385</v>
      </c>
      <c r="B12372">
        <v>199</v>
      </c>
      <c r="C12372" s="1" t="str">
        <f>HYPERLINK("http://www.rosaceae.org/gb/gbrowse/malus_x_domestica/?name=MDP0000178778","MDP0000178778")</f>
        <v>MDP0000178778</v>
      </c>
      <c r="D12372">
        <v>52.38</v>
      </c>
      <c r="E12372">
        <v>168</v>
      </c>
      <c r="F12372">
        <v>80</v>
      </c>
      <c r="G12372">
        <v>22</v>
      </c>
      <c r="H12372">
        <v>47</v>
      </c>
      <c r="I12372">
        <v>199</v>
      </c>
      <c r="J12372">
        <v>1</v>
      </c>
      <c r="K12372">
        <v>31</v>
      </c>
      <c r="L12372">
        <v>191</v>
      </c>
      <c r="M12372">
        <v>1</v>
      </c>
      <c r="N12372">
        <v>6.1882399999999995E-36</v>
      </c>
      <c r="O12372">
        <v>371</v>
      </c>
    </row>
    <row r="12373" spans="1:15" x14ac:dyDescent="0.25">
      <c r="A12373" t="s">
        <v>12386</v>
      </c>
      <c r="B12373">
        <v>556</v>
      </c>
      <c r="C12373" s="1" t="str">
        <f>HYPERLINK("http://www.rosaceae.org/gb/gbrowse/malus_x_domestica/?name=MDP0000246753","MDP0000246753")</f>
        <v>MDP0000246753</v>
      </c>
      <c r="D12373">
        <v>82.56</v>
      </c>
      <c r="E12373">
        <v>436</v>
      </c>
      <c r="F12373">
        <v>76</v>
      </c>
      <c r="G12373">
        <v>3</v>
      </c>
      <c r="H12373">
        <v>4</v>
      </c>
      <c r="I12373">
        <v>439</v>
      </c>
      <c r="J12373">
        <v>1</v>
      </c>
      <c r="K12373">
        <v>354</v>
      </c>
      <c r="L12373">
        <v>786</v>
      </c>
      <c r="M12373">
        <v>1</v>
      </c>
      <c r="N12373">
        <v>0</v>
      </c>
      <c r="O12373">
        <v>1926</v>
      </c>
    </row>
    <row r="12374" spans="1:15" x14ac:dyDescent="0.25">
      <c r="A12374" t="s">
        <v>12387</v>
      </c>
      <c r="B12374">
        <v>515</v>
      </c>
      <c r="C12374" s="1" t="str">
        <f>HYPERLINK("http://www.rosaceae.org/gb/gbrowse/malus_x_domestica/?name=MDP0000754160","MDP0000754160")</f>
        <v>MDP0000754160</v>
      </c>
      <c r="D12374">
        <v>72.06</v>
      </c>
      <c r="E12374">
        <v>494</v>
      </c>
      <c r="F12374">
        <v>138</v>
      </c>
      <c r="G12374">
        <v>15</v>
      </c>
      <c r="H12374">
        <v>14</v>
      </c>
      <c r="I12374">
        <v>501</v>
      </c>
      <c r="J12374">
        <v>1</v>
      </c>
      <c r="K12374">
        <v>16</v>
      </c>
      <c r="L12374">
        <v>500</v>
      </c>
      <c r="M12374">
        <v>1</v>
      </c>
      <c r="N12374">
        <v>0</v>
      </c>
      <c r="O12374">
        <v>1873</v>
      </c>
    </row>
    <row r="12375" spans="1:15" x14ac:dyDescent="0.25">
      <c r="A12375" t="s">
        <v>12388</v>
      </c>
      <c r="B12375">
        <v>161</v>
      </c>
      <c r="C12375" s="1" t="str">
        <f>HYPERLINK("http://www.rosaceae.org/gb/gbrowse/malus_x_domestica/?name=MDP0000159373","MDP0000159373")</f>
        <v>MDP0000159373</v>
      </c>
      <c r="D12375">
        <v>50.88</v>
      </c>
      <c r="E12375">
        <v>169</v>
      </c>
      <c r="F12375">
        <v>83</v>
      </c>
      <c r="G12375">
        <v>22</v>
      </c>
      <c r="H12375">
        <v>7</v>
      </c>
      <c r="I12375">
        <v>159</v>
      </c>
      <c r="J12375">
        <v>1</v>
      </c>
      <c r="K12375">
        <v>8</v>
      </c>
      <c r="L12375">
        <v>170</v>
      </c>
      <c r="M12375">
        <v>1</v>
      </c>
      <c r="N12375">
        <v>2.8099599999999999E-34</v>
      </c>
      <c r="O12375">
        <v>356</v>
      </c>
    </row>
    <row r="12376" spans="1:15" x14ac:dyDescent="0.25">
      <c r="A12376" t="s">
        <v>12389</v>
      </c>
      <c r="B12376">
        <v>327</v>
      </c>
      <c r="C12376" s="1" t="str">
        <f>HYPERLINK("http://www.rosaceae.org/gb/gbrowse/malus_x_domestica/?name=MDP0000263035","MDP0000263035")</f>
        <v>MDP0000263035</v>
      </c>
      <c r="D12376">
        <v>86.28</v>
      </c>
      <c r="E12376">
        <v>277</v>
      </c>
      <c r="F12376">
        <v>38</v>
      </c>
      <c r="G12376">
        <v>0</v>
      </c>
      <c r="H12376">
        <v>45</v>
      </c>
      <c r="I12376">
        <v>321</v>
      </c>
      <c r="J12376">
        <v>1</v>
      </c>
      <c r="K12376">
        <v>1</v>
      </c>
      <c r="L12376">
        <v>277</v>
      </c>
      <c r="M12376">
        <v>1</v>
      </c>
      <c r="N12376">
        <v>2.3788900000000001E-147</v>
      </c>
      <c r="O12376">
        <v>1335</v>
      </c>
    </row>
    <row r="12377" spans="1:15" x14ac:dyDescent="0.25">
      <c r="A12377" t="s">
        <v>12390</v>
      </c>
      <c r="B12377">
        <v>252</v>
      </c>
      <c r="C12377" s="1" t="str">
        <f>HYPERLINK("http://www.rosaceae.org/gb/gbrowse/malus_x_domestica/?name=MDP0000302984","MDP0000302984")</f>
        <v>MDP0000302984</v>
      </c>
      <c r="D12377">
        <v>28.88</v>
      </c>
      <c r="E12377">
        <v>225</v>
      </c>
      <c r="F12377">
        <v>160</v>
      </c>
      <c r="G12377">
        <v>59</v>
      </c>
      <c r="H12377">
        <v>2</v>
      </c>
      <c r="I12377">
        <v>177</v>
      </c>
      <c r="J12377">
        <v>1</v>
      </c>
      <c r="K12377">
        <v>580</v>
      </c>
      <c r="L12377">
        <v>794</v>
      </c>
      <c r="M12377">
        <v>1</v>
      </c>
      <c r="N12377">
        <v>2.46138E-18</v>
      </c>
      <c r="O12377">
        <v>221</v>
      </c>
    </row>
    <row r="12378" spans="1:15" x14ac:dyDescent="0.25">
      <c r="A12378" t="s">
        <v>12391</v>
      </c>
      <c r="B12378">
        <v>149</v>
      </c>
      <c r="C12378" s="1" t="str">
        <f>HYPERLINK("http://www.rosaceae.org/gb/gbrowse/malus_x_domestica/?name=MDP0000123645","MDP0000123645")</f>
        <v>MDP0000123645</v>
      </c>
      <c r="D12378">
        <v>69.069999999999993</v>
      </c>
      <c r="E12378">
        <v>152</v>
      </c>
      <c r="F12378">
        <v>47</v>
      </c>
      <c r="G12378">
        <v>4</v>
      </c>
      <c r="H12378">
        <v>2</v>
      </c>
      <c r="I12378">
        <v>149</v>
      </c>
      <c r="J12378">
        <v>1</v>
      </c>
      <c r="K12378">
        <v>5</v>
      </c>
      <c r="L12378">
        <v>156</v>
      </c>
      <c r="M12378">
        <v>1</v>
      </c>
      <c r="N12378">
        <v>5.8551999999999996E-51</v>
      </c>
      <c r="O12378">
        <v>499</v>
      </c>
    </row>
    <row r="12379" spans="1:15" x14ac:dyDescent="0.25">
      <c r="A12379" t="s">
        <v>12392</v>
      </c>
      <c r="B12379">
        <v>350</v>
      </c>
      <c r="C12379" s="1" t="str">
        <f>HYPERLINK("http://www.rosaceae.org/gb/gbrowse/malus_x_domestica/?name=MDP0000733716","MDP0000733716")</f>
        <v>MDP0000733716</v>
      </c>
      <c r="D12379">
        <v>91.8</v>
      </c>
      <c r="E12379">
        <v>61</v>
      </c>
      <c r="F12379">
        <v>5</v>
      </c>
      <c r="G12379">
        <v>0</v>
      </c>
      <c r="H12379">
        <v>1</v>
      </c>
      <c r="I12379">
        <v>61</v>
      </c>
      <c r="J12379">
        <v>1</v>
      </c>
      <c r="K12379">
        <v>38</v>
      </c>
      <c r="L12379">
        <v>98</v>
      </c>
      <c r="M12379">
        <v>1</v>
      </c>
      <c r="N12379">
        <v>2.0278399999999999E-29</v>
      </c>
      <c r="O12379">
        <v>318</v>
      </c>
    </row>
    <row r="12380" spans="1:15" x14ac:dyDescent="0.25">
      <c r="A12380" t="s">
        <v>12393</v>
      </c>
      <c r="B12380">
        <v>319</v>
      </c>
      <c r="C12380" s="1" t="str">
        <f>HYPERLINK("http://www.rosaceae.org/gb/gbrowse/malus_x_domestica/?name=MDP0000216956","MDP0000216956")</f>
        <v>MDP0000216956</v>
      </c>
      <c r="D12380">
        <v>37.28</v>
      </c>
      <c r="E12380">
        <v>177</v>
      </c>
      <c r="F12380">
        <v>111</v>
      </c>
      <c r="G12380">
        <v>19</v>
      </c>
      <c r="H12380">
        <v>114</v>
      </c>
      <c r="I12380">
        <v>277</v>
      </c>
      <c r="J12380">
        <v>1</v>
      </c>
      <c r="K12380">
        <v>11</v>
      </c>
      <c r="L12380">
        <v>181</v>
      </c>
      <c r="M12380">
        <v>1</v>
      </c>
      <c r="N12380">
        <v>4.3492499999999999E-12</v>
      </c>
      <c r="O12380">
        <v>169</v>
      </c>
    </row>
    <row r="12381" spans="1:15" x14ac:dyDescent="0.25">
      <c r="A12381" t="s">
        <v>12394</v>
      </c>
      <c r="B12381">
        <v>186</v>
      </c>
      <c r="C12381" s="1" t="str">
        <f>HYPERLINK("http://www.rosaceae.org/gb/gbrowse/malus_x_domestica/?name=MDP0000155389","MDP0000155389")</f>
        <v>MDP0000155389</v>
      </c>
      <c r="D12381">
        <v>36.61</v>
      </c>
      <c r="E12381">
        <v>183</v>
      </c>
      <c r="F12381">
        <v>116</v>
      </c>
      <c r="G12381">
        <v>16</v>
      </c>
      <c r="H12381">
        <v>1</v>
      </c>
      <c r="I12381">
        <v>183</v>
      </c>
      <c r="J12381">
        <v>1</v>
      </c>
      <c r="K12381">
        <v>1</v>
      </c>
      <c r="L12381">
        <v>167</v>
      </c>
      <c r="M12381">
        <v>1</v>
      </c>
      <c r="N12381">
        <v>1.06199E-22</v>
      </c>
      <c r="O12381">
        <v>257</v>
      </c>
    </row>
    <row r="12382" spans="1:15" x14ac:dyDescent="0.25">
      <c r="A12382" t="s">
        <v>12395</v>
      </c>
      <c r="B12382">
        <v>454</v>
      </c>
      <c r="C12382" s="1" t="str">
        <f>HYPERLINK("http://www.rosaceae.org/gb/gbrowse/malus_x_domestica/?name=MDP0000194146","MDP0000194146")</f>
        <v>MDP0000194146</v>
      </c>
      <c r="D12382">
        <v>68.23</v>
      </c>
      <c r="E12382">
        <v>447</v>
      </c>
      <c r="F12382">
        <v>142</v>
      </c>
      <c r="G12382">
        <v>29</v>
      </c>
      <c r="H12382">
        <v>1</v>
      </c>
      <c r="I12382">
        <v>446</v>
      </c>
      <c r="J12382">
        <v>1</v>
      </c>
      <c r="K12382">
        <v>1</v>
      </c>
      <c r="L12382">
        <v>419</v>
      </c>
      <c r="M12382">
        <v>1</v>
      </c>
      <c r="N12382">
        <v>1.23965E-169</v>
      </c>
      <c r="O12382">
        <v>1529</v>
      </c>
    </row>
    <row r="12383" spans="1:15" x14ac:dyDescent="0.25">
      <c r="A12383" t="s">
        <v>12396</v>
      </c>
      <c r="B12383">
        <v>378</v>
      </c>
      <c r="C12383" s="1" t="str">
        <f>HYPERLINK("http://www.rosaceae.org/gb/gbrowse/malus_x_domestica/?name=MDP0000238643","MDP0000238643")</f>
        <v>MDP0000238643</v>
      </c>
      <c r="D12383">
        <v>50.87</v>
      </c>
      <c r="E12383">
        <v>114</v>
      </c>
      <c r="F12383">
        <v>56</v>
      </c>
      <c r="G12383">
        <v>2</v>
      </c>
      <c r="H12383">
        <v>18</v>
      </c>
      <c r="I12383">
        <v>131</v>
      </c>
      <c r="J12383">
        <v>1</v>
      </c>
      <c r="K12383">
        <v>27</v>
      </c>
      <c r="L12383">
        <v>138</v>
      </c>
      <c r="M12383">
        <v>1</v>
      </c>
      <c r="N12383">
        <v>2.8838999999999998E-24</v>
      </c>
      <c r="O12383">
        <v>274</v>
      </c>
    </row>
    <row r="12384" spans="1:15" x14ac:dyDescent="0.25">
      <c r="A12384" t="s">
        <v>12397</v>
      </c>
      <c r="B12384">
        <v>410</v>
      </c>
      <c r="C12384" s="1" t="str">
        <f>HYPERLINK("http://www.rosaceae.org/gb/gbrowse/malus_x_domestica/?name=MDP0000196826","MDP0000196826")</f>
        <v>MDP0000196826</v>
      </c>
      <c r="D12384">
        <v>75.36</v>
      </c>
      <c r="E12384">
        <v>272</v>
      </c>
      <c r="F12384">
        <v>67</v>
      </c>
      <c r="G12384">
        <v>36</v>
      </c>
      <c r="H12384">
        <v>1</v>
      </c>
      <c r="I12384">
        <v>236</v>
      </c>
      <c r="J12384">
        <v>1</v>
      </c>
      <c r="K12384">
        <v>1</v>
      </c>
      <c r="L12384">
        <v>272</v>
      </c>
      <c r="M12384">
        <v>1</v>
      </c>
      <c r="N12384">
        <v>9.1370200000000006E-117</v>
      </c>
      <c r="O12384">
        <v>1073</v>
      </c>
    </row>
    <row r="12385" spans="1:15" x14ac:dyDescent="0.25">
      <c r="A12385" t="s">
        <v>12398</v>
      </c>
      <c r="B12385">
        <v>330</v>
      </c>
      <c r="C12385" s="1" t="str">
        <f>HYPERLINK("http://www.rosaceae.org/gb/gbrowse/malus_x_domestica/?name=MDP0000583927","MDP0000583927")</f>
        <v>MDP0000583927</v>
      </c>
      <c r="D12385">
        <v>80.75</v>
      </c>
      <c r="E12385">
        <v>265</v>
      </c>
      <c r="F12385">
        <v>51</v>
      </c>
      <c r="G12385">
        <v>19</v>
      </c>
      <c r="H12385">
        <v>1</v>
      </c>
      <c r="I12385">
        <v>248</v>
      </c>
      <c r="J12385">
        <v>1</v>
      </c>
      <c r="K12385">
        <v>1</v>
      </c>
      <c r="L12385">
        <v>263</v>
      </c>
      <c r="M12385">
        <v>1</v>
      </c>
      <c r="N12385">
        <v>9.3161499999999995E-118</v>
      </c>
      <c r="O12385">
        <v>1080</v>
      </c>
    </row>
    <row r="12386" spans="1:15" x14ac:dyDescent="0.25">
      <c r="A12386" t="s">
        <v>12399</v>
      </c>
      <c r="B12386">
        <v>1906</v>
      </c>
      <c r="C12386" s="1" t="str">
        <f>HYPERLINK("http://www.rosaceae.org/gb/gbrowse/malus_x_domestica/?name=MDP0000266692","MDP0000266692")</f>
        <v>MDP0000266692</v>
      </c>
      <c r="D12386">
        <v>73.31</v>
      </c>
      <c r="E12386">
        <v>1926</v>
      </c>
      <c r="F12386">
        <v>514</v>
      </c>
      <c r="G12386">
        <v>119</v>
      </c>
      <c r="H12386">
        <v>24</v>
      </c>
      <c r="I12386">
        <v>1860</v>
      </c>
      <c r="J12386">
        <v>1</v>
      </c>
      <c r="K12386">
        <v>1</v>
      </c>
      <c r="L12386">
        <v>1896</v>
      </c>
      <c r="M12386">
        <v>1</v>
      </c>
      <c r="N12386">
        <v>0</v>
      </c>
      <c r="O12386">
        <v>7078</v>
      </c>
    </row>
    <row r="12387" spans="1:15" x14ac:dyDescent="0.25">
      <c r="A12387" t="s">
        <v>12400</v>
      </c>
      <c r="B12387">
        <v>955</v>
      </c>
      <c r="C12387" s="1" t="str">
        <f>HYPERLINK("http://www.rosaceae.org/gb/gbrowse/malus_x_domestica/?name=MDP0000182015","MDP0000182015")</f>
        <v>MDP0000182015</v>
      </c>
      <c r="D12387">
        <v>83.15</v>
      </c>
      <c r="E12387">
        <v>944</v>
      </c>
      <c r="F12387">
        <v>159</v>
      </c>
      <c r="G12387">
        <v>34</v>
      </c>
      <c r="H12387">
        <v>46</v>
      </c>
      <c r="I12387">
        <v>955</v>
      </c>
      <c r="J12387">
        <v>1</v>
      </c>
      <c r="K12387">
        <v>65</v>
      </c>
      <c r="L12387">
        <v>1008</v>
      </c>
      <c r="M12387">
        <v>1</v>
      </c>
      <c r="N12387">
        <v>0</v>
      </c>
      <c r="O12387">
        <v>4212</v>
      </c>
    </row>
    <row r="12388" spans="1:15" x14ac:dyDescent="0.25">
      <c r="A12388" t="s">
        <v>12401</v>
      </c>
      <c r="B12388">
        <v>392</v>
      </c>
      <c r="C12388" s="1" t="str">
        <f>HYPERLINK("http://www.rosaceae.org/gb/gbrowse/malus_x_domestica/?name=MDP0000120398","MDP0000120398")</f>
        <v>MDP0000120398</v>
      </c>
      <c r="D12388">
        <v>65.22</v>
      </c>
      <c r="E12388">
        <v>394</v>
      </c>
      <c r="F12388">
        <v>137</v>
      </c>
      <c r="G12388">
        <v>2</v>
      </c>
      <c r="H12388">
        <v>1</v>
      </c>
      <c r="I12388">
        <v>392</v>
      </c>
      <c r="J12388">
        <v>1</v>
      </c>
      <c r="K12388">
        <v>1</v>
      </c>
      <c r="L12388">
        <v>394</v>
      </c>
      <c r="M12388">
        <v>1</v>
      </c>
      <c r="N12388">
        <v>3.8496E-150</v>
      </c>
      <c r="O12388">
        <v>1360</v>
      </c>
    </row>
    <row r="12389" spans="1:15" x14ac:dyDescent="0.25">
      <c r="A12389" t="s">
        <v>12402</v>
      </c>
      <c r="B12389">
        <v>116</v>
      </c>
      <c r="C12389" s="1" t="str">
        <f>HYPERLINK("http://www.rosaceae.org/gb/gbrowse/malus_x_domestica/?name=MDP0000258117","MDP0000258117")</f>
        <v>MDP0000258117</v>
      </c>
      <c r="D12389">
        <v>90.74</v>
      </c>
      <c r="E12389">
        <v>54</v>
      </c>
      <c r="F12389">
        <v>5</v>
      </c>
      <c r="G12389">
        <v>0</v>
      </c>
      <c r="H12389">
        <v>12</v>
      </c>
      <c r="I12389">
        <v>65</v>
      </c>
      <c r="J12389">
        <v>1</v>
      </c>
      <c r="K12389">
        <v>9</v>
      </c>
      <c r="L12389">
        <v>62</v>
      </c>
      <c r="M12389">
        <v>1</v>
      </c>
      <c r="N12389">
        <v>1.6379700000000001E-22</v>
      </c>
      <c r="O12389">
        <v>252</v>
      </c>
    </row>
    <row r="12390" spans="1:15" x14ac:dyDescent="0.25">
      <c r="A12390" t="s">
        <v>12403</v>
      </c>
      <c r="B12390">
        <v>609</v>
      </c>
      <c r="C12390" s="1" t="str">
        <f>HYPERLINK("http://www.rosaceae.org/gb/gbrowse/malus_x_domestica/?name=MDP0000188531","MDP0000188531")</f>
        <v>MDP0000188531</v>
      </c>
      <c r="D12390">
        <v>43.81</v>
      </c>
      <c r="E12390">
        <v>372</v>
      </c>
      <c r="F12390">
        <v>209</v>
      </c>
      <c r="G12390">
        <v>83</v>
      </c>
      <c r="H12390">
        <v>102</v>
      </c>
      <c r="I12390">
        <v>393</v>
      </c>
      <c r="J12390">
        <v>1</v>
      </c>
      <c r="K12390">
        <v>454</v>
      </c>
      <c r="L12390">
        <v>822</v>
      </c>
      <c r="M12390">
        <v>1</v>
      </c>
      <c r="N12390">
        <v>1.1716899999999999E-72</v>
      </c>
      <c r="O12390">
        <v>694</v>
      </c>
    </row>
    <row r="12391" spans="1:15" x14ac:dyDescent="0.25">
      <c r="A12391" t="s">
        <v>12404</v>
      </c>
      <c r="B12391">
        <v>1832</v>
      </c>
      <c r="C12391" s="1" t="str">
        <f>HYPERLINK("http://www.rosaceae.org/gb/gbrowse/malus_x_domestica/?name=MDP0000127633","MDP0000127633")</f>
        <v>MDP0000127633</v>
      </c>
      <c r="D12391">
        <v>76.58</v>
      </c>
      <c r="E12391">
        <v>1841</v>
      </c>
      <c r="F12391">
        <v>431</v>
      </c>
      <c r="G12391">
        <v>40</v>
      </c>
      <c r="H12391">
        <v>1</v>
      </c>
      <c r="I12391">
        <v>1832</v>
      </c>
      <c r="J12391">
        <v>1</v>
      </c>
      <c r="K12391">
        <v>1</v>
      </c>
      <c r="L12391">
        <v>1810</v>
      </c>
      <c r="M12391">
        <v>1</v>
      </c>
      <c r="N12391">
        <v>0</v>
      </c>
      <c r="O12391">
        <v>7437</v>
      </c>
    </row>
    <row r="12392" spans="1:15" x14ac:dyDescent="0.25">
      <c r="A12392" t="s">
        <v>12405</v>
      </c>
      <c r="B12392">
        <v>358</v>
      </c>
      <c r="C12392" s="1" t="str">
        <f>HYPERLINK("http://www.rosaceae.org/gb/gbrowse/malus_x_domestica/?name=MDP0000888529","MDP0000888529")</f>
        <v>MDP0000888529</v>
      </c>
      <c r="D12392">
        <v>70.19</v>
      </c>
      <c r="E12392">
        <v>359</v>
      </c>
      <c r="F12392">
        <v>107</v>
      </c>
      <c r="G12392">
        <v>27</v>
      </c>
      <c r="H12392">
        <v>1</v>
      </c>
      <c r="I12392">
        <v>356</v>
      </c>
      <c r="J12392">
        <v>1</v>
      </c>
      <c r="K12392">
        <v>4</v>
      </c>
      <c r="L12392">
        <v>338</v>
      </c>
      <c r="M12392">
        <v>1</v>
      </c>
      <c r="N12392">
        <v>3.3984699999999999E-145</v>
      </c>
      <c r="O12392">
        <v>1317</v>
      </c>
    </row>
    <row r="12393" spans="1:15" x14ac:dyDescent="0.25">
      <c r="A12393" t="s">
        <v>12406</v>
      </c>
      <c r="B12393">
        <v>1324</v>
      </c>
      <c r="C12393" s="1" t="str">
        <f>HYPERLINK("http://www.rosaceae.org/gb/gbrowse/malus_x_domestica/?name=MDP0000258078","MDP0000258078")</f>
        <v>MDP0000258078</v>
      </c>
      <c r="D12393">
        <v>76.209999999999994</v>
      </c>
      <c r="E12393">
        <v>1236</v>
      </c>
      <c r="F12393">
        <v>294</v>
      </c>
      <c r="G12393">
        <v>34</v>
      </c>
      <c r="H12393">
        <v>1</v>
      </c>
      <c r="I12393">
        <v>1236</v>
      </c>
      <c r="J12393">
        <v>1</v>
      </c>
      <c r="K12393">
        <v>1</v>
      </c>
      <c r="L12393">
        <v>1202</v>
      </c>
      <c r="M12393">
        <v>1</v>
      </c>
      <c r="N12393">
        <v>0</v>
      </c>
      <c r="O12393">
        <v>4898</v>
      </c>
    </row>
    <row r="12394" spans="1:15" x14ac:dyDescent="0.25">
      <c r="A12394" t="s">
        <v>12407</v>
      </c>
      <c r="B12394">
        <v>206</v>
      </c>
      <c r="C12394" s="1" t="str">
        <f>HYPERLINK("http://www.rosaceae.org/gb/gbrowse/malus_x_domestica/?name=MDP0000177132","MDP0000177132")</f>
        <v>MDP0000177132</v>
      </c>
      <c r="D12394">
        <v>60.96</v>
      </c>
      <c r="E12394">
        <v>228</v>
      </c>
      <c r="F12394">
        <v>89</v>
      </c>
      <c r="G12394">
        <v>22</v>
      </c>
      <c r="H12394">
        <v>1</v>
      </c>
      <c r="I12394">
        <v>206</v>
      </c>
      <c r="J12394">
        <v>1</v>
      </c>
      <c r="K12394">
        <v>73</v>
      </c>
      <c r="L12394">
        <v>300</v>
      </c>
      <c r="M12394">
        <v>1</v>
      </c>
      <c r="N12394">
        <v>2.7814499999999998E-74</v>
      </c>
      <c r="O12394">
        <v>702</v>
      </c>
    </row>
    <row r="12395" spans="1:15" x14ac:dyDescent="0.25">
      <c r="A12395" t="s">
        <v>12408</v>
      </c>
      <c r="B12395">
        <v>316</v>
      </c>
      <c r="C12395" s="1" t="str">
        <f>HYPERLINK("http://www.rosaceae.org/gb/gbrowse/malus_x_domestica/?name=MDP0000250455","MDP0000250455")</f>
        <v>MDP0000250455</v>
      </c>
      <c r="D12395">
        <v>42.47</v>
      </c>
      <c r="E12395">
        <v>299</v>
      </c>
      <c r="F12395">
        <v>172</v>
      </c>
      <c r="G12395">
        <v>20</v>
      </c>
      <c r="H12395">
        <v>17</v>
      </c>
      <c r="I12395">
        <v>307</v>
      </c>
      <c r="J12395">
        <v>1</v>
      </c>
      <c r="K12395">
        <v>584</v>
      </c>
      <c r="L12395">
        <v>870</v>
      </c>
      <c r="M12395">
        <v>1</v>
      </c>
      <c r="N12395">
        <v>2.5905000000000002E-53</v>
      </c>
      <c r="O12395">
        <v>524</v>
      </c>
    </row>
    <row r="12396" spans="1:15" x14ac:dyDescent="0.25">
      <c r="A12396" t="s">
        <v>12409</v>
      </c>
      <c r="B12396">
        <v>779</v>
      </c>
      <c r="C12396" s="1" t="str">
        <f>HYPERLINK("http://www.rosaceae.org/gb/gbrowse/malus_x_domestica/?name=MDP0000928190","MDP0000928190")</f>
        <v>MDP0000928190</v>
      </c>
      <c r="D12396">
        <v>67.430000000000007</v>
      </c>
      <c r="E12396">
        <v>783</v>
      </c>
      <c r="F12396">
        <v>255</v>
      </c>
      <c r="G12396">
        <v>20</v>
      </c>
      <c r="H12396">
        <v>3</v>
      </c>
      <c r="I12396">
        <v>776</v>
      </c>
      <c r="J12396">
        <v>1</v>
      </c>
      <c r="K12396">
        <v>5</v>
      </c>
      <c r="L12396">
        <v>776</v>
      </c>
      <c r="M12396">
        <v>1</v>
      </c>
      <c r="N12396">
        <v>0</v>
      </c>
      <c r="O12396">
        <v>2805</v>
      </c>
    </row>
    <row r="12397" spans="1:15" x14ac:dyDescent="0.25">
      <c r="A12397" t="s">
        <v>12410</v>
      </c>
      <c r="B12397">
        <v>738</v>
      </c>
      <c r="C12397" s="1" t="str">
        <f>HYPERLINK("http://www.rosaceae.org/gb/gbrowse/malus_x_domestica/?name=MDP0000123768","MDP0000123768")</f>
        <v>MDP0000123768</v>
      </c>
      <c r="D12397">
        <v>68.44</v>
      </c>
      <c r="E12397">
        <v>748</v>
      </c>
      <c r="F12397">
        <v>236</v>
      </c>
      <c r="G12397">
        <v>20</v>
      </c>
      <c r="H12397">
        <v>11</v>
      </c>
      <c r="I12397">
        <v>738</v>
      </c>
      <c r="J12397">
        <v>1</v>
      </c>
      <c r="K12397">
        <v>510</v>
      </c>
      <c r="L12397">
        <v>1257</v>
      </c>
      <c r="M12397">
        <v>1</v>
      </c>
      <c r="N12397">
        <v>0</v>
      </c>
      <c r="O12397">
        <v>2650</v>
      </c>
    </row>
    <row r="12398" spans="1:15" x14ac:dyDescent="0.25">
      <c r="A12398" t="s">
        <v>12411</v>
      </c>
      <c r="B12398">
        <v>1263</v>
      </c>
      <c r="C12398" s="1" t="str">
        <f>HYPERLINK("http://www.rosaceae.org/gb/gbrowse/malus_x_domestica/?name=MDP0000204225","MDP0000204225")</f>
        <v>MDP0000204225</v>
      </c>
      <c r="D12398">
        <v>75.52</v>
      </c>
      <c r="E12398">
        <v>1148</v>
      </c>
      <c r="F12398">
        <v>281</v>
      </c>
      <c r="G12398">
        <v>3</v>
      </c>
      <c r="H12398">
        <v>85</v>
      </c>
      <c r="I12398">
        <v>1230</v>
      </c>
      <c r="J12398">
        <v>1</v>
      </c>
      <c r="K12398">
        <v>15</v>
      </c>
      <c r="L12398">
        <v>1161</v>
      </c>
      <c r="M12398">
        <v>1</v>
      </c>
      <c r="N12398">
        <v>0</v>
      </c>
      <c r="O12398">
        <v>4529</v>
      </c>
    </row>
    <row r="12399" spans="1:15" x14ac:dyDescent="0.25">
      <c r="A12399" t="s">
        <v>12412</v>
      </c>
      <c r="B12399">
        <v>403</v>
      </c>
      <c r="C12399" s="1" t="str">
        <f>HYPERLINK("http://www.rosaceae.org/gb/gbrowse/malus_x_domestica/?name=MDP0000310109","MDP0000310109")</f>
        <v>MDP0000310109</v>
      </c>
      <c r="D12399">
        <v>80.95</v>
      </c>
      <c r="E12399">
        <v>315</v>
      </c>
      <c r="F12399">
        <v>60</v>
      </c>
      <c r="G12399">
        <v>0</v>
      </c>
      <c r="H12399">
        <v>77</v>
      </c>
      <c r="I12399">
        <v>391</v>
      </c>
      <c r="J12399">
        <v>1</v>
      </c>
      <c r="K12399">
        <v>25</v>
      </c>
      <c r="L12399">
        <v>339</v>
      </c>
      <c r="M12399">
        <v>1</v>
      </c>
      <c r="N12399">
        <v>9.44922E-151</v>
      </c>
      <c r="O12399">
        <v>1366</v>
      </c>
    </row>
    <row r="12400" spans="1:15" x14ac:dyDescent="0.25">
      <c r="A12400" t="s">
        <v>12413</v>
      </c>
      <c r="B12400">
        <v>143</v>
      </c>
      <c r="C12400" s="1" t="str">
        <f>HYPERLINK("http://www.rosaceae.org/gb/gbrowse/malus_x_domestica/?name=MDP0000318801","MDP0000318801")</f>
        <v>MDP0000318801</v>
      </c>
      <c r="D12400">
        <v>52.43</v>
      </c>
      <c r="E12400">
        <v>82</v>
      </c>
      <c r="F12400">
        <v>39</v>
      </c>
      <c r="G12400">
        <v>2</v>
      </c>
      <c r="H12400">
        <v>1</v>
      </c>
      <c r="I12400">
        <v>82</v>
      </c>
      <c r="J12400">
        <v>1</v>
      </c>
      <c r="K12400">
        <v>1</v>
      </c>
      <c r="L12400">
        <v>80</v>
      </c>
      <c r="M12400">
        <v>1</v>
      </c>
      <c r="N12400">
        <v>3.9290600000000003E-17</v>
      </c>
      <c r="O12400">
        <v>207</v>
      </c>
    </row>
    <row r="12401" spans="1:15" x14ac:dyDescent="0.25">
      <c r="A12401" t="s">
        <v>12414</v>
      </c>
      <c r="B12401">
        <v>991</v>
      </c>
      <c r="C12401" s="1" t="str">
        <f>HYPERLINK("http://www.rosaceae.org/gb/gbrowse/malus_x_domestica/?name=MDP0000789871","MDP0000789871")</f>
        <v>MDP0000789871</v>
      </c>
      <c r="D12401">
        <v>77.400000000000006</v>
      </c>
      <c r="E12401">
        <v>633</v>
      </c>
      <c r="F12401">
        <v>143</v>
      </c>
      <c r="G12401">
        <v>3</v>
      </c>
      <c r="H12401">
        <v>305</v>
      </c>
      <c r="I12401">
        <v>935</v>
      </c>
      <c r="J12401">
        <v>1</v>
      </c>
      <c r="K12401">
        <v>1</v>
      </c>
      <c r="L12401">
        <v>632</v>
      </c>
      <c r="M12401">
        <v>1</v>
      </c>
      <c r="N12401">
        <v>0</v>
      </c>
      <c r="O12401">
        <v>2625</v>
      </c>
    </row>
    <row r="12402" spans="1:15" x14ac:dyDescent="0.25">
      <c r="A12402" t="s">
        <v>12415</v>
      </c>
      <c r="B12402">
        <v>370</v>
      </c>
      <c r="C12402" s="1" t="str">
        <f>HYPERLINK("http://www.rosaceae.org/gb/gbrowse/malus_x_domestica/?name=MDP0000209964","MDP0000209964")</f>
        <v>MDP0000209964</v>
      </c>
      <c r="D12402">
        <v>67.02</v>
      </c>
      <c r="E12402">
        <v>282</v>
      </c>
      <c r="F12402">
        <v>93</v>
      </c>
      <c r="G12402">
        <v>17</v>
      </c>
      <c r="H12402">
        <v>105</v>
      </c>
      <c r="I12402">
        <v>370</v>
      </c>
      <c r="J12402">
        <v>1</v>
      </c>
      <c r="K12402">
        <v>12</v>
      </c>
      <c r="L12402">
        <v>292</v>
      </c>
      <c r="M12402">
        <v>1</v>
      </c>
      <c r="N12402">
        <v>3.2552399999999998E-108</v>
      </c>
      <c r="O12402">
        <v>998</v>
      </c>
    </row>
    <row r="12403" spans="1:15" x14ac:dyDescent="0.25">
      <c r="A12403" t="s">
        <v>12416</v>
      </c>
      <c r="B12403">
        <v>184</v>
      </c>
      <c r="C12403" s="1" t="str">
        <f>HYPERLINK("http://www.rosaceae.org/gb/gbrowse/malus_x_domestica/?name=MDP0000906354","MDP0000906354")</f>
        <v>MDP0000906354</v>
      </c>
      <c r="D12403">
        <v>90.76</v>
      </c>
      <c r="E12403">
        <v>184</v>
      </c>
      <c r="F12403">
        <v>17</v>
      </c>
      <c r="G12403">
        <v>0</v>
      </c>
      <c r="H12403">
        <v>1</v>
      </c>
      <c r="I12403">
        <v>184</v>
      </c>
      <c r="J12403">
        <v>1</v>
      </c>
      <c r="K12403">
        <v>1</v>
      </c>
      <c r="L12403">
        <v>184</v>
      </c>
      <c r="M12403">
        <v>1</v>
      </c>
      <c r="N12403">
        <v>5.2561099999999996E-97</v>
      </c>
      <c r="O12403">
        <v>898</v>
      </c>
    </row>
    <row r="12404" spans="1:15" x14ac:dyDescent="0.25">
      <c r="A12404" t="s">
        <v>12417</v>
      </c>
      <c r="B12404">
        <v>564</v>
      </c>
      <c r="C12404" s="1" t="str">
        <f>HYPERLINK("http://www.rosaceae.org/gb/gbrowse/malus_x_domestica/?name=MDP0000176158","MDP0000176158")</f>
        <v>MDP0000176158</v>
      </c>
      <c r="D12404">
        <v>62.09</v>
      </c>
      <c r="E12404">
        <v>488</v>
      </c>
      <c r="F12404">
        <v>185</v>
      </c>
      <c r="G12404">
        <v>33</v>
      </c>
      <c r="H12404">
        <v>90</v>
      </c>
      <c r="I12404">
        <v>564</v>
      </c>
      <c r="J12404">
        <v>1</v>
      </c>
      <c r="K12404">
        <v>29</v>
      </c>
      <c r="L12404">
        <v>496</v>
      </c>
      <c r="M12404">
        <v>1</v>
      </c>
      <c r="N12404">
        <v>1.3998899999999999E-169</v>
      </c>
      <c r="O12404">
        <v>1529</v>
      </c>
    </row>
    <row r="12405" spans="1:15" x14ac:dyDescent="0.25">
      <c r="A12405" t="s">
        <v>12418</v>
      </c>
      <c r="B12405">
        <v>305</v>
      </c>
      <c r="C12405" s="1" t="str">
        <f>HYPERLINK("http://www.rosaceae.org/gb/gbrowse/malus_x_domestica/?name=MDP0000190490","MDP0000190490")</f>
        <v>MDP0000190490</v>
      </c>
      <c r="D12405">
        <v>61.92</v>
      </c>
      <c r="E12405">
        <v>302</v>
      </c>
      <c r="F12405">
        <v>115</v>
      </c>
      <c r="G12405">
        <v>3</v>
      </c>
      <c r="H12405">
        <v>6</v>
      </c>
      <c r="I12405">
        <v>305</v>
      </c>
      <c r="J12405">
        <v>1</v>
      </c>
      <c r="K12405">
        <v>4</v>
      </c>
      <c r="L12405">
        <v>304</v>
      </c>
      <c r="M12405">
        <v>1</v>
      </c>
      <c r="N12405">
        <v>2.7936100000000001E-99</v>
      </c>
      <c r="O12405">
        <v>920</v>
      </c>
    </row>
    <row r="12406" spans="1:15" x14ac:dyDescent="0.25">
      <c r="A12406" t="s">
        <v>12419</v>
      </c>
      <c r="B12406">
        <v>1082</v>
      </c>
      <c r="C12406" s="1" t="str">
        <f>HYPERLINK("http://www.rosaceae.org/gb/gbrowse/malus_x_domestica/?name=MDP0000728113","MDP0000728113")</f>
        <v>MDP0000728113</v>
      </c>
      <c r="D12406">
        <v>65.53</v>
      </c>
      <c r="E12406">
        <v>1091</v>
      </c>
      <c r="F12406">
        <v>376</v>
      </c>
      <c r="G12406">
        <v>26</v>
      </c>
      <c r="H12406">
        <v>1</v>
      </c>
      <c r="I12406">
        <v>1082</v>
      </c>
      <c r="J12406">
        <v>1</v>
      </c>
      <c r="K12406">
        <v>1</v>
      </c>
      <c r="L12406">
        <v>1074</v>
      </c>
      <c r="M12406">
        <v>1</v>
      </c>
      <c r="N12406">
        <v>0</v>
      </c>
      <c r="O12406">
        <v>3423</v>
      </c>
    </row>
    <row r="12407" spans="1:15" x14ac:dyDescent="0.25">
      <c r="A12407" t="s">
        <v>12420</v>
      </c>
      <c r="B12407">
        <v>205</v>
      </c>
      <c r="C12407" s="1" t="str">
        <f>HYPERLINK("http://www.rosaceae.org/gb/gbrowse/malus_x_domestica/?name=MDP0000285103","MDP0000285103")</f>
        <v>MDP0000285103</v>
      </c>
      <c r="D12407">
        <v>35.21</v>
      </c>
      <c r="E12407">
        <v>213</v>
      </c>
      <c r="F12407">
        <v>138</v>
      </c>
      <c r="G12407">
        <v>63</v>
      </c>
      <c r="H12407">
        <v>21</v>
      </c>
      <c r="I12407">
        <v>180</v>
      </c>
      <c r="J12407">
        <v>1</v>
      </c>
      <c r="K12407">
        <v>116</v>
      </c>
      <c r="L12407">
        <v>318</v>
      </c>
      <c r="M12407">
        <v>1</v>
      </c>
      <c r="N12407">
        <v>3.7449199999999998E-23</v>
      </c>
      <c r="O12407">
        <v>261</v>
      </c>
    </row>
    <row r="12408" spans="1:15" x14ac:dyDescent="0.25">
      <c r="A12408" t="s">
        <v>12421</v>
      </c>
      <c r="B12408">
        <v>347</v>
      </c>
      <c r="C12408" s="1" t="str">
        <f>HYPERLINK("http://www.rosaceae.org/gb/gbrowse/malus_x_domestica/?name=MDP0000272055","MDP0000272055")</f>
        <v>MDP0000272055</v>
      </c>
      <c r="D12408">
        <v>63.63</v>
      </c>
      <c r="E12408">
        <v>308</v>
      </c>
      <c r="F12408">
        <v>112</v>
      </c>
      <c r="G12408">
        <v>18</v>
      </c>
      <c r="H12408">
        <v>1</v>
      </c>
      <c r="I12408">
        <v>301</v>
      </c>
      <c r="J12408">
        <v>1</v>
      </c>
      <c r="K12408">
        <v>1</v>
      </c>
      <c r="L12408">
        <v>297</v>
      </c>
      <c r="M12408">
        <v>1</v>
      </c>
      <c r="N12408">
        <v>1.4653400000000001E-100</v>
      </c>
      <c r="O12408">
        <v>932</v>
      </c>
    </row>
    <row r="12409" spans="1:15" x14ac:dyDescent="0.25">
      <c r="A12409" t="s">
        <v>12422</v>
      </c>
      <c r="B12409">
        <v>343</v>
      </c>
      <c r="C12409" s="1" t="str">
        <f>HYPERLINK("http://www.rosaceae.org/gb/gbrowse/malus_x_domestica/?name=MDP0000482030","MDP0000482030")</f>
        <v>MDP0000482030</v>
      </c>
      <c r="D12409">
        <v>26.89</v>
      </c>
      <c r="E12409">
        <v>290</v>
      </c>
      <c r="F12409">
        <v>212</v>
      </c>
      <c r="G12409">
        <v>58</v>
      </c>
      <c r="H12409">
        <v>13</v>
      </c>
      <c r="I12409">
        <v>284</v>
      </c>
      <c r="J12409">
        <v>1</v>
      </c>
      <c r="K12409">
        <v>11</v>
      </c>
      <c r="L12409">
        <v>260</v>
      </c>
      <c r="M12409">
        <v>1</v>
      </c>
      <c r="N12409">
        <v>2.5546600000000001E-25</v>
      </c>
      <c r="O12409">
        <v>283</v>
      </c>
    </row>
    <row r="12410" spans="1:15" x14ac:dyDescent="0.25">
      <c r="A12410" t="s">
        <v>12423</v>
      </c>
      <c r="B12410">
        <v>287</v>
      </c>
      <c r="C12410" s="1" t="str">
        <f>HYPERLINK("http://www.rosaceae.org/gb/gbrowse/malus_x_domestica/?name=MDP0000716701","MDP0000716701")</f>
        <v>MDP0000716701</v>
      </c>
      <c r="D12410">
        <v>56.65</v>
      </c>
      <c r="E12410">
        <v>293</v>
      </c>
      <c r="F12410">
        <v>127</v>
      </c>
      <c r="G12410">
        <v>23</v>
      </c>
      <c r="H12410">
        <v>17</v>
      </c>
      <c r="I12410">
        <v>287</v>
      </c>
      <c r="J12410">
        <v>1</v>
      </c>
      <c r="K12410">
        <v>1</v>
      </c>
      <c r="L12410">
        <v>292</v>
      </c>
      <c r="M12410">
        <v>1</v>
      </c>
      <c r="N12410">
        <v>6.6330100000000003E-78</v>
      </c>
      <c r="O12410">
        <v>736</v>
      </c>
    </row>
    <row r="12411" spans="1:15" x14ac:dyDescent="0.25">
      <c r="A12411" t="s">
        <v>12424</v>
      </c>
      <c r="B12411">
        <v>681</v>
      </c>
      <c r="C12411" s="1" t="str">
        <f>HYPERLINK("http://www.rosaceae.org/gb/gbrowse/malus_x_domestica/?name=MDP0000208843","MDP0000208843")</f>
        <v>MDP0000208843</v>
      </c>
      <c r="D12411">
        <v>56.55</v>
      </c>
      <c r="E12411">
        <v>732</v>
      </c>
      <c r="F12411">
        <v>318</v>
      </c>
      <c r="G12411">
        <v>102</v>
      </c>
      <c r="H12411">
        <v>2</v>
      </c>
      <c r="I12411">
        <v>681</v>
      </c>
      <c r="J12411">
        <v>1</v>
      </c>
      <c r="K12411">
        <v>5</v>
      </c>
      <c r="L12411">
        <v>686</v>
      </c>
      <c r="M12411">
        <v>1</v>
      </c>
      <c r="N12411">
        <v>0</v>
      </c>
      <c r="O12411">
        <v>1928</v>
      </c>
    </row>
    <row r="12412" spans="1:15" x14ac:dyDescent="0.25">
      <c r="A12412" t="s">
        <v>12425</v>
      </c>
      <c r="B12412">
        <v>383</v>
      </c>
      <c r="C12412" s="1" t="str">
        <f>HYPERLINK("http://www.rosaceae.org/gb/gbrowse/malus_x_domestica/?name=MDP0000249735","MDP0000249735")</f>
        <v>MDP0000249735</v>
      </c>
      <c r="D12412">
        <v>56.83</v>
      </c>
      <c r="E12412">
        <v>234</v>
      </c>
      <c r="F12412">
        <v>101</v>
      </c>
      <c r="G12412">
        <v>28</v>
      </c>
      <c r="H12412">
        <v>134</v>
      </c>
      <c r="I12412">
        <v>360</v>
      </c>
      <c r="J12412">
        <v>1</v>
      </c>
      <c r="K12412">
        <v>141</v>
      </c>
      <c r="L12412">
        <v>353</v>
      </c>
      <c r="M12412">
        <v>1</v>
      </c>
      <c r="N12412">
        <v>1.8686500000000001E-58</v>
      </c>
      <c r="O12412">
        <v>569</v>
      </c>
    </row>
    <row r="12413" spans="1:15" x14ac:dyDescent="0.25">
      <c r="A12413" t="s">
        <v>12426</v>
      </c>
      <c r="B12413">
        <v>208</v>
      </c>
      <c r="C12413" s="1" t="str">
        <f>HYPERLINK("http://www.rosaceae.org/gb/gbrowse/malus_x_domestica/?name=MDP0000136803","MDP0000136803")</f>
        <v>MDP0000136803</v>
      </c>
      <c r="D12413">
        <v>76.23</v>
      </c>
      <c r="E12413">
        <v>101</v>
      </c>
      <c r="F12413">
        <v>24</v>
      </c>
      <c r="G12413">
        <v>0</v>
      </c>
      <c r="H12413">
        <v>61</v>
      </c>
      <c r="I12413">
        <v>161</v>
      </c>
      <c r="J12413">
        <v>1</v>
      </c>
      <c r="K12413">
        <v>1</v>
      </c>
      <c r="L12413">
        <v>101</v>
      </c>
      <c r="M12413">
        <v>1</v>
      </c>
      <c r="N12413">
        <v>2.5911299999999999E-37</v>
      </c>
      <c r="O12413">
        <v>384</v>
      </c>
    </row>
    <row r="12414" spans="1:15" x14ac:dyDescent="0.25">
      <c r="A12414" t="s">
        <v>12427</v>
      </c>
      <c r="B12414">
        <v>277</v>
      </c>
      <c r="C12414" s="1" t="str">
        <f>HYPERLINK("http://www.rosaceae.org/gb/gbrowse/malus_x_domestica/?name=MDP0000133918","MDP0000133918")</f>
        <v>MDP0000133918</v>
      </c>
      <c r="D12414">
        <v>58.07</v>
      </c>
      <c r="E12414">
        <v>291</v>
      </c>
      <c r="F12414">
        <v>122</v>
      </c>
      <c r="G12414">
        <v>44</v>
      </c>
      <c r="H12414">
        <v>4</v>
      </c>
      <c r="I12414">
        <v>277</v>
      </c>
      <c r="J12414">
        <v>1</v>
      </c>
      <c r="K12414">
        <v>3</v>
      </c>
      <c r="L12414">
        <v>266</v>
      </c>
      <c r="M12414">
        <v>1</v>
      </c>
      <c r="N12414">
        <v>3.1691400000000002E-74</v>
      </c>
      <c r="O12414">
        <v>704</v>
      </c>
    </row>
    <row r="12415" spans="1:15" x14ac:dyDescent="0.25">
      <c r="A12415" t="s">
        <v>12428</v>
      </c>
      <c r="B12415">
        <v>989</v>
      </c>
      <c r="C12415" s="1" t="str">
        <f>HYPERLINK("http://www.rosaceae.org/gb/gbrowse/malus_x_domestica/?name=MDP0000233173","MDP0000233173")</f>
        <v>MDP0000233173</v>
      </c>
      <c r="D12415">
        <v>63.13</v>
      </c>
      <c r="E12415">
        <v>1001</v>
      </c>
      <c r="F12415">
        <v>369</v>
      </c>
      <c r="G12415">
        <v>53</v>
      </c>
      <c r="H12415">
        <v>1</v>
      </c>
      <c r="I12415">
        <v>980</v>
      </c>
      <c r="J12415">
        <v>1</v>
      </c>
      <c r="K12415">
        <v>1</v>
      </c>
      <c r="L12415">
        <v>969</v>
      </c>
      <c r="M12415">
        <v>1</v>
      </c>
      <c r="N12415">
        <v>0</v>
      </c>
      <c r="O12415">
        <v>3106</v>
      </c>
    </row>
    <row r="12416" spans="1:15" x14ac:dyDescent="0.25">
      <c r="A12416" t="s">
        <v>12429</v>
      </c>
      <c r="B12416">
        <v>311</v>
      </c>
      <c r="C12416" s="1" t="str">
        <f>HYPERLINK("http://www.rosaceae.org/gb/gbrowse/malus_x_domestica/?name=MDP0000320161","MDP0000320161")</f>
        <v>MDP0000320161</v>
      </c>
      <c r="D12416">
        <v>70.239999999999995</v>
      </c>
      <c r="E12416">
        <v>326</v>
      </c>
      <c r="F12416">
        <v>97</v>
      </c>
      <c r="G12416">
        <v>51</v>
      </c>
      <c r="H12416">
        <v>14</v>
      </c>
      <c r="I12416">
        <v>290</v>
      </c>
      <c r="J12416">
        <v>1</v>
      </c>
      <c r="K12416">
        <v>17</v>
      </c>
      <c r="L12416">
        <v>340</v>
      </c>
      <c r="M12416">
        <v>1</v>
      </c>
      <c r="N12416">
        <v>7.3444100000000001E-118</v>
      </c>
      <c r="O12416">
        <v>1081</v>
      </c>
    </row>
    <row r="12417" spans="1:15" x14ac:dyDescent="0.25">
      <c r="A12417" t="s">
        <v>12430</v>
      </c>
      <c r="B12417">
        <v>296</v>
      </c>
      <c r="C12417" s="1" t="str">
        <f>HYPERLINK("http://www.rosaceae.org/gb/gbrowse/malus_x_domestica/?name=MDP0000298967","MDP0000298967")</f>
        <v>MDP0000298967</v>
      </c>
      <c r="D12417">
        <v>34.58</v>
      </c>
      <c r="E12417">
        <v>133</v>
      </c>
      <c r="F12417">
        <v>87</v>
      </c>
      <c r="G12417">
        <v>18</v>
      </c>
      <c r="H12417">
        <v>168</v>
      </c>
      <c r="I12417">
        <v>295</v>
      </c>
      <c r="J12417">
        <v>1</v>
      </c>
      <c r="K12417">
        <v>80</v>
      </c>
      <c r="L12417">
        <v>199</v>
      </c>
      <c r="M12417">
        <v>1</v>
      </c>
      <c r="N12417">
        <v>6.80465E-8</v>
      </c>
      <c r="O12417">
        <v>132</v>
      </c>
    </row>
    <row r="12418" spans="1:15" x14ac:dyDescent="0.25">
      <c r="A12418" t="s">
        <v>12431</v>
      </c>
      <c r="B12418">
        <v>302</v>
      </c>
      <c r="C12418" s="1" t="str">
        <f>HYPERLINK("http://www.rosaceae.org/gb/gbrowse/malus_x_domestica/?name=MDP0000278575","MDP0000278575")</f>
        <v>MDP0000278575</v>
      </c>
      <c r="D12418">
        <v>36.700000000000003</v>
      </c>
      <c r="E12418">
        <v>237</v>
      </c>
      <c r="F12418">
        <v>150</v>
      </c>
      <c r="G12418">
        <v>31</v>
      </c>
      <c r="H12418">
        <v>7</v>
      </c>
      <c r="I12418">
        <v>224</v>
      </c>
      <c r="J12418">
        <v>1</v>
      </c>
      <c r="K12418">
        <v>763</v>
      </c>
      <c r="L12418">
        <v>987</v>
      </c>
      <c r="M12418">
        <v>1</v>
      </c>
      <c r="N12418">
        <v>4.05787E-26</v>
      </c>
      <c r="O12418">
        <v>289</v>
      </c>
    </row>
    <row r="12419" spans="1:15" x14ac:dyDescent="0.25">
      <c r="A12419" t="s">
        <v>12432</v>
      </c>
      <c r="B12419">
        <v>878</v>
      </c>
      <c r="C12419" s="1" t="str">
        <f>HYPERLINK("http://www.rosaceae.org/gb/gbrowse/malus_x_domestica/?name=MDP0000711998","MDP0000711998")</f>
        <v>MDP0000711998</v>
      </c>
      <c r="D12419">
        <v>74.73</v>
      </c>
      <c r="E12419">
        <v>756</v>
      </c>
      <c r="F12419">
        <v>191</v>
      </c>
      <c r="G12419">
        <v>5</v>
      </c>
      <c r="H12419">
        <v>122</v>
      </c>
      <c r="I12419">
        <v>877</v>
      </c>
      <c r="J12419">
        <v>1</v>
      </c>
      <c r="K12419">
        <v>54</v>
      </c>
      <c r="L12419">
        <v>804</v>
      </c>
      <c r="M12419">
        <v>1</v>
      </c>
      <c r="N12419">
        <v>0</v>
      </c>
      <c r="O12419">
        <v>2908</v>
      </c>
    </row>
    <row r="12420" spans="1:15" x14ac:dyDescent="0.25">
      <c r="A12420" t="s">
        <v>12433</v>
      </c>
      <c r="B12420">
        <v>677</v>
      </c>
      <c r="C12420" s="1" t="str">
        <f>HYPERLINK("http://www.rosaceae.org/gb/gbrowse/malus_x_domestica/?name=MDP0000699181","MDP0000699181")</f>
        <v>MDP0000699181</v>
      </c>
      <c r="D12420">
        <v>82.4</v>
      </c>
      <c r="E12420">
        <v>682</v>
      </c>
      <c r="F12420">
        <v>120</v>
      </c>
      <c r="G12420">
        <v>14</v>
      </c>
      <c r="H12420">
        <v>1</v>
      </c>
      <c r="I12420">
        <v>677</v>
      </c>
      <c r="J12420">
        <v>1</v>
      </c>
      <c r="K12420">
        <v>1</v>
      </c>
      <c r="L12420">
        <v>673</v>
      </c>
      <c r="M12420">
        <v>1</v>
      </c>
      <c r="N12420">
        <v>0</v>
      </c>
      <c r="O12420">
        <v>2912</v>
      </c>
    </row>
    <row r="12421" spans="1:15" x14ac:dyDescent="0.25">
      <c r="A12421" t="s">
        <v>12434</v>
      </c>
      <c r="B12421">
        <v>339</v>
      </c>
      <c r="C12421" s="1" t="str">
        <f>HYPERLINK("http://www.rosaceae.org/gb/gbrowse/malus_x_domestica/?name=MDP0000300696","MDP0000300696")</f>
        <v>MDP0000300696</v>
      </c>
      <c r="D12421">
        <v>41.77</v>
      </c>
      <c r="E12421">
        <v>316</v>
      </c>
      <c r="F12421">
        <v>184</v>
      </c>
      <c r="G12421">
        <v>55</v>
      </c>
      <c r="H12421">
        <v>1</v>
      </c>
      <c r="I12421">
        <v>306</v>
      </c>
      <c r="J12421">
        <v>1</v>
      </c>
      <c r="K12421">
        <v>1</v>
      </c>
      <c r="L12421">
        <v>271</v>
      </c>
      <c r="M12421">
        <v>1</v>
      </c>
      <c r="N12421">
        <v>1.65642E-51</v>
      </c>
      <c r="O12421">
        <v>509</v>
      </c>
    </row>
    <row r="12422" spans="1:15" x14ac:dyDescent="0.25">
      <c r="A12422" t="s">
        <v>12435</v>
      </c>
      <c r="B12422">
        <v>138</v>
      </c>
      <c r="C12422" s="1" t="str">
        <f>HYPERLINK("http://www.rosaceae.org/gb/gbrowse/malus_x_domestica/?name=MDP0000300507","MDP0000300507")</f>
        <v>MDP0000300507</v>
      </c>
      <c r="D12422">
        <v>61.6</v>
      </c>
      <c r="E12422">
        <v>125</v>
      </c>
      <c r="F12422">
        <v>48</v>
      </c>
      <c r="G12422">
        <v>8</v>
      </c>
      <c r="H12422">
        <v>1</v>
      </c>
      <c r="I12422">
        <v>121</v>
      </c>
      <c r="J12422">
        <v>1</v>
      </c>
      <c r="K12422">
        <v>1</v>
      </c>
      <c r="L12422">
        <v>121</v>
      </c>
      <c r="M12422">
        <v>1</v>
      </c>
      <c r="N12422">
        <v>3.4042499999999998E-33</v>
      </c>
      <c r="O12422">
        <v>345</v>
      </c>
    </row>
    <row r="12423" spans="1:15" x14ac:dyDescent="0.25">
      <c r="A12423" t="s">
        <v>12436</v>
      </c>
      <c r="B12423">
        <v>807</v>
      </c>
      <c r="C12423" s="1" t="str">
        <f>HYPERLINK("http://www.rosaceae.org/gb/gbrowse/malus_x_domestica/?name=MDP0000173360","MDP0000173360")</f>
        <v>MDP0000173360</v>
      </c>
      <c r="D12423">
        <v>60.16</v>
      </c>
      <c r="E12423">
        <v>728</v>
      </c>
      <c r="F12423">
        <v>290</v>
      </c>
      <c r="G12423">
        <v>65</v>
      </c>
      <c r="H12423">
        <v>1</v>
      </c>
      <c r="I12423">
        <v>689</v>
      </c>
      <c r="J12423">
        <v>1</v>
      </c>
      <c r="K12423">
        <v>1</v>
      </c>
      <c r="L12423">
        <v>702</v>
      </c>
      <c r="M12423">
        <v>1</v>
      </c>
      <c r="N12423">
        <v>0</v>
      </c>
      <c r="O12423">
        <v>2109</v>
      </c>
    </row>
    <row r="12424" spans="1:15" x14ac:dyDescent="0.25">
      <c r="A12424" t="s">
        <v>12437</v>
      </c>
      <c r="B12424">
        <v>107</v>
      </c>
      <c r="C12424" s="1" t="str">
        <f>HYPERLINK("http://www.rosaceae.org/gb/gbrowse/malus_x_domestica/?name=MDP0000251733","MDP0000251733")</f>
        <v>MDP0000251733</v>
      </c>
      <c r="D12424">
        <v>46.59</v>
      </c>
      <c r="E12424">
        <v>88</v>
      </c>
      <c r="F12424">
        <v>47</v>
      </c>
      <c r="G12424">
        <v>0</v>
      </c>
      <c r="H12424">
        <v>1</v>
      </c>
      <c r="I12424">
        <v>88</v>
      </c>
      <c r="J12424">
        <v>1</v>
      </c>
      <c r="K12424">
        <v>1</v>
      </c>
      <c r="L12424">
        <v>88</v>
      </c>
      <c r="M12424">
        <v>1</v>
      </c>
      <c r="N12424">
        <v>5.24913E-19</v>
      </c>
      <c r="O12424">
        <v>221</v>
      </c>
    </row>
    <row r="12425" spans="1:15" x14ac:dyDescent="0.25">
      <c r="A12425" t="s">
        <v>12438</v>
      </c>
      <c r="B12425">
        <v>253</v>
      </c>
      <c r="C12425" s="1" t="str">
        <f>HYPERLINK("http://www.rosaceae.org/gb/gbrowse/malus_x_domestica/?name=MDP0000400398","MDP0000400398")</f>
        <v>MDP0000400398</v>
      </c>
      <c r="D12425">
        <v>29.16</v>
      </c>
      <c r="E12425">
        <v>168</v>
      </c>
      <c r="F12425">
        <v>119</v>
      </c>
      <c r="G12425">
        <v>25</v>
      </c>
      <c r="H12425">
        <v>43</v>
      </c>
      <c r="I12425">
        <v>185</v>
      </c>
      <c r="J12425">
        <v>1</v>
      </c>
      <c r="K12425">
        <v>725</v>
      </c>
      <c r="L12425">
        <v>892</v>
      </c>
      <c r="M12425">
        <v>1</v>
      </c>
      <c r="N12425">
        <v>8.1163200000000003E-12</v>
      </c>
      <c r="O12425">
        <v>165</v>
      </c>
    </row>
    <row r="12426" spans="1:15" x14ac:dyDescent="0.25">
      <c r="A12426" t="s">
        <v>12439</v>
      </c>
      <c r="B12426">
        <v>468</v>
      </c>
      <c r="C12426" s="1" t="str">
        <f>HYPERLINK("http://www.rosaceae.org/gb/gbrowse/malus_x_domestica/?name=MDP0000734561","MDP0000734561")</f>
        <v>MDP0000734561</v>
      </c>
      <c r="D12426">
        <v>55.14</v>
      </c>
      <c r="E12426">
        <v>379</v>
      </c>
      <c r="F12426">
        <v>170</v>
      </c>
      <c r="G12426">
        <v>23</v>
      </c>
      <c r="H12426">
        <v>100</v>
      </c>
      <c r="I12426">
        <v>455</v>
      </c>
      <c r="J12426">
        <v>1</v>
      </c>
      <c r="K12426">
        <v>208</v>
      </c>
      <c r="L12426">
        <v>586</v>
      </c>
      <c r="M12426">
        <v>1</v>
      </c>
      <c r="N12426">
        <v>4.18036E-113</v>
      </c>
      <c r="O12426">
        <v>1042</v>
      </c>
    </row>
    <row r="12427" spans="1:15" x14ac:dyDescent="0.25">
      <c r="A12427" t="s">
        <v>12440</v>
      </c>
      <c r="B12427">
        <v>453</v>
      </c>
      <c r="C12427" s="1" t="str">
        <f>HYPERLINK("http://www.rosaceae.org/gb/gbrowse/malus_x_domestica/?name=MDP0000247921","MDP0000247921")</f>
        <v>MDP0000247921</v>
      </c>
      <c r="D12427">
        <v>22.27</v>
      </c>
      <c r="E12427">
        <v>211</v>
      </c>
      <c r="F12427">
        <v>164</v>
      </c>
      <c r="G12427">
        <v>32</v>
      </c>
      <c r="H12427">
        <v>239</v>
      </c>
      <c r="I12427">
        <v>448</v>
      </c>
      <c r="J12427">
        <v>1</v>
      </c>
      <c r="K12427">
        <v>944</v>
      </c>
      <c r="L12427">
        <v>1123</v>
      </c>
      <c r="M12427">
        <v>1</v>
      </c>
      <c r="N12427">
        <v>1.5560900000000001E-8</v>
      </c>
      <c r="O12427">
        <v>140</v>
      </c>
    </row>
    <row r="12428" spans="1:15" x14ac:dyDescent="0.25">
      <c r="A12428" t="s">
        <v>12441</v>
      </c>
      <c r="B12428">
        <v>173</v>
      </c>
      <c r="C12428" s="1" t="str">
        <f>HYPERLINK("http://www.rosaceae.org/gb/gbrowse/malus_x_domestica/?name=MDP0000136726","MDP0000136726")</f>
        <v>MDP0000136726</v>
      </c>
      <c r="D12428">
        <v>60</v>
      </c>
      <c r="E12428">
        <v>150</v>
      </c>
      <c r="F12428">
        <v>60</v>
      </c>
      <c r="G12428">
        <v>1</v>
      </c>
      <c r="H12428">
        <v>24</v>
      </c>
      <c r="I12428">
        <v>173</v>
      </c>
      <c r="J12428">
        <v>1</v>
      </c>
      <c r="K12428">
        <v>23</v>
      </c>
      <c r="L12428">
        <v>171</v>
      </c>
      <c r="M12428">
        <v>1</v>
      </c>
      <c r="N12428">
        <v>5.1938699999999996E-46</v>
      </c>
      <c r="O12428">
        <v>457</v>
      </c>
    </row>
    <row r="12429" spans="1:15" x14ac:dyDescent="0.25">
      <c r="A12429" t="s">
        <v>12442</v>
      </c>
      <c r="B12429">
        <v>545</v>
      </c>
      <c r="C12429" s="1" t="str">
        <f>HYPERLINK("http://www.rosaceae.org/gb/gbrowse/malus_x_domestica/?name=MDP0000248333","MDP0000248333")</f>
        <v>MDP0000248333</v>
      </c>
      <c r="D12429">
        <v>47.06</v>
      </c>
      <c r="E12429">
        <v>580</v>
      </c>
      <c r="F12429">
        <v>307</v>
      </c>
      <c r="G12429">
        <v>145</v>
      </c>
      <c r="H12429">
        <v>1</v>
      </c>
      <c r="I12429">
        <v>527</v>
      </c>
      <c r="J12429">
        <v>1</v>
      </c>
      <c r="K12429">
        <v>1</v>
      </c>
      <c r="L12429">
        <v>488</v>
      </c>
      <c r="M12429">
        <v>1</v>
      </c>
      <c r="N12429">
        <v>1.975E-122</v>
      </c>
      <c r="O12429">
        <v>1123</v>
      </c>
    </row>
    <row r="12430" spans="1:15" x14ac:dyDescent="0.25">
      <c r="A12430" t="s">
        <v>12443</v>
      </c>
      <c r="B12430">
        <v>319</v>
      </c>
      <c r="C12430" s="1" t="str">
        <f>HYPERLINK("http://www.rosaceae.org/gb/gbrowse/malus_x_domestica/?name=MDP0000254664","MDP0000254664")</f>
        <v>MDP0000254664</v>
      </c>
      <c r="D12430">
        <v>82.75</v>
      </c>
      <c r="E12430">
        <v>232</v>
      </c>
      <c r="F12430">
        <v>40</v>
      </c>
      <c r="G12430">
        <v>14</v>
      </c>
      <c r="H12430">
        <v>65</v>
      </c>
      <c r="I12430">
        <v>285</v>
      </c>
      <c r="J12430">
        <v>1</v>
      </c>
      <c r="K12430">
        <v>35</v>
      </c>
      <c r="L12430">
        <v>263</v>
      </c>
      <c r="M12430">
        <v>1</v>
      </c>
      <c r="N12430">
        <v>3.7290200000000001E-111</v>
      </c>
      <c r="O12430">
        <v>1023</v>
      </c>
    </row>
    <row r="12431" spans="1:15" x14ac:dyDescent="0.25">
      <c r="A12431" t="s">
        <v>12444</v>
      </c>
      <c r="B12431">
        <v>718</v>
      </c>
      <c r="C12431" s="1" t="str">
        <f>HYPERLINK("http://www.rosaceae.org/gb/gbrowse/malus_x_domestica/?name=MDP0000316636","MDP0000316636")</f>
        <v>MDP0000316636</v>
      </c>
      <c r="D12431">
        <v>77.06</v>
      </c>
      <c r="E12431">
        <v>484</v>
      </c>
      <c r="F12431">
        <v>111</v>
      </c>
      <c r="G12431">
        <v>42</v>
      </c>
      <c r="H12431">
        <v>210</v>
      </c>
      <c r="I12431">
        <v>670</v>
      </c>
      <c r="J12431">
        <v>1</v>
      </c>
      <c r="K12431">
        <v>86</v>
      </c>
      <c r="L12431">
        <v>550</v>
      </c>
      <c r="M12431">
        <v>1</v>
      </c>
      <c r="N12431">
        <v>0</v>
      </c>
      <c r="O12431">
        <v>1873</v>
      </c>
    </row>
    <row r="12432" spans="1:15" x14ac:dyDescent="0.25">
      <c r="A12432" t="s">
        <v>12445</v>
      </c>
      <c r="B12432">
        <v>90</v>
      </c>
      <c r="C12432" s="1" t="str">
        <f>HYPERLINK("http://www.rosaceae.org/gb/gbrowse/malus_x_domestica/?name=MDP0000206285","MDP0000206285")</f>
        <v>MDP0000206285</v>
      </c>
      <c r="D12432">
        <v>80.430000000000007</v>
      </c>
      <c r="E12432">
        <v>46</v>
      </c>
      <c r="F12432">
        <v>9</v>
      </c>
      <c r="G12432">
        <v>0</v>
      </c>
      <c r="H12432">
        <v>37</v>
      </c>
      <c r="I12432">
        <v>82</v>
      </c>
      <c r="J12432">
        <v>1</v>
      </c>
      <c r="K12432">
        <v>127</v>
      </c>
      <c r="L12432">
        <v>172</v>
      </c>
      <c r="M12432">
        <v>1</v>
      </c>
      <c r="N12432">
        <v>7.3557700000000001E-17</v>
      </c>
      <c r="O12432">
        <v>203</v>
      </c>
    </row>
    <row r="12433" spans="1:15" x14ac:dyDescent="0.25">
      <c r="A12433" t="s">
        <v>12446</v>
      </c>
      <c r="B12433">
        <v>164</v>
      </c>
      <c r="C12433" s="1" t="str">
        <f>HYPERLINK("http://www.rosaceae.org/gb/gbrowse/malus_x_domestica/?name=MDP0000181521","MDP0000181521")</f>
        <v>MDP0000181521</v>
      </c>
      <c r="D12433">
        <v>86.71</v>
      </c>
      <c r="E12433">
        <v>128</v>
      </c>
      <c r="F12433">
        <v>17</v>
      </c>
      <c r="G12433">
        <v>2</v>
      </c>
      <c r="H12433">
        <v>37</v>
      </c>
      <c r="I12433">
        <v>164</v>
      </c>
      <c r="J12433">
        <v>1</v>
      </c>
      <c r="K12433">
        <v>42</v>
      </c>
      <c r="L12433">
        <v>167</v>
      </c>
      <c r="M12433">
        <v>1</v>
      </c>
      <c r="N12433">
        <v>1.25447E-57</v>
      </c>
      <c r="O12433">
        <v>557</v>
      </c>
    </row>
    <row r="12434" spans="1:15" x14ac:dyDescent="0.25">
      <c r="A12434" t="s">
        <v>12447</v>
      </c>
      <c r="B12434">
        <v>453</v>
      </c>
      <c r="C12434" s="1" t="str">
        <f>HYPERLINK("http://www.rosaceae.org/gb/gbrowse/malus_x_domestica/?name=MDP0000172471","MDP0000172471")</f>
        <v>MDP0000172471</v>
      </c>
      <c r="D12434">
        <v>79.540000000000006</v>
      </c>
      <c r="E12434">
        <v>264</v>
      </c>
      <c r="F12434">
        <v>54</v>
      </c>
      <c r="G12434">
        <v>1</v>
      </c>
      <c r="H12434">
        <v>190</v>
      </c>
      <c r="I12434">
        <v>453</v>
      </c>
      <c r="J12434">
        <v>1</v>
      </c>
      <c r="K12434">
        <v>336</v>
      </c>
      <c r="L12434">
        <v>598</v>
      </c>
      <c r="M12434">
        <v>1</v>
      </c>
      <c r="N12434">
        <v>1.32724E-125</v>
      </c>
      <c r="O12434">
        <v>1149</v>
      </c>
    </row>
    <row r="12435" spans="1:15" x14ac:dyDescent="0.25">
      <c r="A12435" t="s">
        <v>12448</v>
      </c>
      <c r="B12435">
        <v>531</v>
      </c>
      <c r="C12435" s="1" t="str">
        <f>HYPERLINK("http://www.rosaceae.org/gb/gbrowse/malus_x_domestica/?name=MDP0000224592","MDP0000224592")</f>
        <v>MDP0000224592</v>
      </c>
      <c r="D12435">
        <v>62.65</v>
      </c>
      <c r="E12435">
        <v>498</v>
      </c>
      <c r="F12435">
        <v>186</v>
      </c>
      <c r="G12435">
        <v>67</v>
      </c>
      <c r="H12435">
        <v>59</v>
      </c>
      <c r="I12435">
        <v>531</v>
      </c>
      <c r="J12435">
        <v>1</v>
      </c>
      <c r="K12435">
        <v>1</v>
      </c>
      <c r="L12435">
        <v>456</v>
      </c>
      <c r="M12435">
        <v>1</v>
      </c>
      <c r="N12435">
        <v>9.6826499999999993E-167</v>
      </c>
      <c r="O12435">
        <v>1505</v>
      </c>
    </row>
    <row r="12436" spans="1:15" x14ac:dyDescent="0.25">
      <c r="A12436" t="s">
        <v>12449</v>
      </c>
      <c r="B12436">
        <v>737</v>
      </c>
      <c r="C12436" s="1" t="str">
        <f>HYPERLINK("http://www.rosaceae.org/gb/gbrowse/malus_x_domestica/?name=MDP0000231920","MDP0000231920")</f>
        <v>MDP0000231920</v>
      </c>
      <c r="D12436">
        <v>63.78</v>
      </c>
      <c r="E12436">
        <v>787</v>
      </c>
      <c r="F12436">
        <v>285</v>
      </c>
      <c r="G12436">
        <v>89</v>
      </c>
      <c r="H12436">
        <v>18</v>
      </c>
      <c r="I12436">
        <v>723</v>
      </c>
      <c r="J12436">
        <v>1</v>
      </c>
      <c r="K12436">
        <v>58</v>
      </c>
      <c r="L12436">
        <v>836</v>
      </c>
      <c r="M12436">
        <v>1</v>
      </c>
      <c r="N12436">
        <v>0</v>
      </c>
      <c r="O12436">
        <v>2536</v>
      </c>
    </row>
    <row r="12437" spans="1:15" x14ac:dyDescent="0.25">
      <c r="A12437" t="s">
        <v>12450</v>
      </c>
      <c r="B12437">
        <v>265</v>
      </c>
      <c r="C12437" s="1" t="str">
        <f>HYPERLINK("http://www.rosaceae.org/gb/gbrowse/malus_x_domestica/?name=MDP0000779889","MDP0000779889")</f>
        <v>MDP0000779889</v>
      </c>
      <c r="D12437">
        <v>89.25</v>
      </c>
      <c r="E12437">
        <v>121</v>
      </c>
      <c r="F12437">
        <v>13</v>
      </c>
      <c r="G12437">
        <v>0</v>
      </c>
      <c r="H12437">
        <v>87</v>
      </c>
      <c r="I12437">
        <v>207</v>
      </c>
      <c r="J12437">
        <v>1</v>
      </c>
      <c r="K12437">
        <v>111</v>
      </c>
      <c r="L12437">
        <v>231</v>
      </c>
      <c r="M12437">
        <v>1</v>
      </c>
      <c r="N12437">
        <v>5.0555299999999995E-60</v>
      </c>
      <c r="O12437">
        <v>581</v>
      </c>
    </row>
    <row r="12438" spans="1:15" x14ac:dyDescent="0.25">
      <c r="A12438" t="s">
        <v>12451</v>
      </c>
      <c r="B12438">
        <v>656</v>
      </c>
      <c r="C12438" s="1" t="str">
        <f>HYPERLINK("http://www.rosaceae.org/gb/gbrowse/malus_x_domestica/?name=MDP0000278159","MDP0000278159")</f>
        <v>MDP0000278159</v>
      </c>
      <c r="D12438">
        <v>63.67</v>
      </c>
      <c r="E12438">
        <v>669</v>
      </c>
      <c r="F12438">
        <v>243</v>
      </c>
      <c r="G12438">
        <v>17</v>
      </c>
      <c r="H12438">
        <v>1</v>
      </c>
      <c r="I12438">
        <v>656</v>
      </c>
      <c r="J12438">
        <v>1</v>
      </c>
      <c r="K12438">
        <v>1</v>
      </c>
      <c r="L12438">
        <v>665</v>
      </c>
      <c r="M12438">
        <v>1</v>
      </c>
      <c r="N12438">
        <v>0</v>
      </c>
      <c r="O12438">
        <v>2158</v>
      </c>
    </row>
    <row r="12439" spans="1:15" x14ac:dyDescent="0.25">
      <c r="A12439" t="s">
        <v>12452</v>
      </c>
      <c r="B12439">
        <v>362</v>
      </c>
      <c r="C12439" s="1" t="str">
        <f>HYPERLINK("http://www.rosaceae.org/gb/gbrowse/malus_x_domestica/?name=MDP0000839921","MDP0000839921")</f>
        <v>MDP0000839921</v>
      </c>
      <c r="D12439">
        <v>72.23</v>
      </c>
      <c r="E12439">
        <v>371</v>
      </c>
      <c r="F12439">
        <v>103</v>
      </c>
      <c r="G12439">
        <v>11</v>
      </c>
      <c r="H12439">
        <v>1</v>
      </c>
      <c r="I12439">
        <v>361</v>
      </c>
      <c r="J12439">
        <v>1</v>
      </c>
      <c r="K12439">
        <v>1</v>
      </c>
      <c r="L12439">
        <v>370</v>
      </c>
      <c r="M12439">
        <v>1</v>
      </c>
      <c r="N12439">
        <v>1.83997E-157</v>
      </c>
      <c r="O12439">
        <v>1423</v>
      </c>
    </row>
    <row r="12440" spans="1:15" x14ac:dyDescent="0.25">
      <c r="A12440" t="s">
        <v>12453</v>
      </c>
      <c r="B12440">
        <v>494</v>
      </c>
      <c r="C12440" s="1" t="str">
        <f>HYPERLINK("http://www.rosaceae.org/gb/gbrowse/malus_x_domestica/?name=MDP0000317621","MDP0000317621")</f>
        <v>MDP0000317621</v>
      </c>
      <c r="D12440">
        <v>74.790000000000006</v>
      </c>
      <c r="E12440">
        <v>488</v>
      </c>
      <c r="F12440">
        <v>123</v>
      </c>
      <c r="G12440">
        <v>15</v>
      </c>
      <c r="H12440">
        <v>1</v>
      </c>
      <c r="I12440">
        <v>486</v>
      </c>
      <c r="J12440">
        <v>1</v>
      </c>
      <c r="K12440">
        <v>1</v>
      </c>
      <c r="L12440">
        <v>475</v>
      </c>
      <c r="M12440">
        <v>1</v>
      </c>
      <c r="N12440">
        <v>0</v>
      </c>
      <c r="O12440">
        <v>1969</v>
      </c>
    </row>
    <row r="12441" spans="1:15" x14ac:dyDescent="0.25">
      <c r="A12441" t="s">
        <v>12454</v>
      </c>
      <c r="B12441">
        <v>901</v>
      </c>
      <c r="C12441" s="1" t="str">
        <f>HYPERLINK("http://www.rosaceae.org/gb/gbrowse/malus_x_domestica/?name=MDP0000175097","MDP0000175097")</f>
        <v>MDP0000175097</v>
      </c>
      <c r="D12441">
        <v>63.47</v>
      </c>
      <c r="E12441">
        <v>772</v>
      </c>
      <c r="F12441">
        <v>282</v>
      </c>
      <c r="G12441">
        <v>19</v>
      </c>
      <c r="H12441">
        <v>102</v>
      </c>
      <c r="I12441">
        <v>867</v>
      </c>
      <c r="J12441">
        <v>1</v>
      </c>
      <c r="K12441">
        <v>33</v>
      </c>
      <c r="L12441">
        <v>791</v>
      </c>
      <c r="M12441">
        <v>1</v>
      </c>
      <c r="N12441">
        <v>0</v>
      </c>
      <c r="O12441">
        <v>2492</v>
      </c>
    </row>
    <row r="12442" spans="1:15" x14ac:dyDescent="0.25">
      <c r="A12442" t="s">
        <v>12455</v>
      </c>
      <c r="B12442">
        <v>356</v>
      </c>
      <c r="C12442" s="1" t="str">
        <f>HYPERLINK("http://www.rosaceae.org/gb/gbrowse/malus_x_domestica/?name=MDP0000670228","MDP0000670228")</f>
        <v>MDP0000670228</v>
      </c>
      <c r="D12442">
        <v>30.05</v>
      </c>
      <c r="E12442">
        <v>173</v>
      </c>
      <c r="F12442">
        <v>121</v>
      </c>
      <c r="G12442">
        <v>42</v>
      </c>
      <c r="H12442">
        <v>3</v>
      </c>
      <c r="I12442">
        <v>154</v>
      </c>
      <c r="J12442">
        <v>1</v>
      </c>
      <c r="K12442">
        <v>155</v>
      </c>
      <c r="L12442">
        <v>306</v>
      </c>
      <c r="M12442">
        <v>1</v>
      </c>
      <c r="N12442">
        <v>2.4079299999999999E-11</v>
      </c>
      <c r="O12442">
        <v>163</v>
      </c>
    </row>
    <row r="12443" spans="1:15" x14ac:dyDescent="0.25">
      <c r="A12443" t="s">
        <v>12456</v>
      </c>
      <c r="B12443">
        <v>264</v>
      </c>
      <c r="C12443" s="1" t="str">
        <f>HYPERLINK("http://www.rosaceae.org/gb/gbrowse/malus_x_domestica/?name=MDP0000855671","MDP0000855671")</f>
        <v>MDP0000855671</v>
      </c>
      <c r="D12443">
        <v>55.5</v>
      </c>
      <c r="E12443">
        <v>236</v>
      </c>
      <c r="F12443">
        <v>105</v>
      </c>
      <c r="G12443">
        <v>20</v>
      </c>
      <c r="H12443">
        <v>32</v>
      </c>
      <c r="I12443">
        <v>263</v>
      </c>
      <c r="J12443">
        <v>1</v>
      </c>
      <c r="K12443">
        <v>29</v>
      </c>
      <c r="L12443">
        <v>248</v>
      </c>
      <c r="M12443">
        <v>1</v>
      </c>
      <c r="N12443">
        <v>1.27921E-59</v>
      </c>
      <c r="O12443">
        <v>577</v>
      </c>
    </row>
    <row r="12444" spans="1:15" x14ac:dyDescent="0.25">
      <c r="A12444" t="s">
        <v>12457</v>
      </c>
      <c r="B12444">
        <v>424</v>
      </c>
      <c r="C12444" s="1" t="str">
        <f>HYPERLINK("http://www.rosaceae.org/gb/gbrowse/malus_x_domestica/?name=MDP0000262982","MDP0000262982")</f>
        <v>MDP0000262982</v>
      </c>
      <c r="D12444">
        <v>81.540000000000006</v>
      </c>
      <c r="E12444">
        <v>428</v>
      </c>
      <c r="F12444">
        <v>79</v>
      </c>
      <c r="G12444">
        <v>5</v>
      </c>
      <c r="H12444">
        <v>1</v>
      </c>
      <c r="I12444">
        <v>423</v>
      </c>
      <c r="J12444">
        <v>1</v>
      </c>
      <c r="K12444">
        <v>1</v>
      </c>
      <c r="L12444">
        <v>428</v>
      </c>
      <c r="M12444">
        <v>1</v>
      </c>
      <c r="N12444">
        <v>0</v>
      </c>
      <c r="O12444">
        <v>1831</v>
      </c>
    </row>
    <row r="12445" spans="1:15" x14ac:dyDescent="0.25">
      <c r="A12445" t="s">
        <v>12458</v>
      </c>
      <c r="B12445">
        <v>363</v>
      </c>
      <c r="C12445" s="1" t="str">
        <f>HYPERLINK("http://www.rosaceae.org/gb/gbrowse/malus_x_domestica/?name=MDP0000239868","MDP0000239868")</f>
        <v>MDP0000239868</v>
      </c>
      <c r="D12445">
        <v>33.86</v>
      </c>
      <c r="E12445">
        <v>251</v>
      </c>
      <c r="F12445">
        <v>166</v>
      </c>
      <c r="G12445">
        <v>25</v>
      </c>
      <c r="H12445">
        <v>99</v>
      </c>
      <c r="I12445">
        <v>344</v>
      </c>
      <c r="J12445">
        <v>1</v>
      </c>
      <c r="K12445">
        <v>10</v>
      </c>
      <c r="L12445">
        <v>240</v>
      </c>
      <c r="M12445">
        <v>1</v>
      </c>
      <c r="N12445">
        <v>6.9287600000000004E-29</v>
      </c>
      <c r="O12445">
        <v>314</v>
      </c>
    </row>
    <row r="12446" spans="1:15" x14ac:dyDescent="0.25">
      <c r="A12446" t="s">
        <v>12459</v>
      </c>
      <c r="B12446">
        <v>169</v>
      </c>
      <c r="C12446" s="1" t="str">
        <f>HYPERLINK("http://www.rosaceae.org/gb/gbrowse/malus_x_domestica/?name=MDP0000132483","MDP0000132483")</f>
        <v>MDP0000132483</v>
      </c>
      <c r="D12446">
        <v>89.33</v>
      </c>
      <c r="E12446">
        <v>150</v>
      </c>
      <c r="F12446">
        <v>16</v>
      </c>
      <c r="G12446">
        <v>2</v>
      </c>
      <c r="H12446">
        <v>1</v>
      </c>
      <c r="I12446">
        <v>150</v>
      </c>
      <c r="J12446">
        <v>1</v>
      </c>
      <c r="K12446">
        <v>1</v>
      </c>
      <c r="L12446">
        <v>148</v>
      </c>
      <c r="M12446">
        <v>1</v>
      </c>
      <c r="N12446">
        <v>6.0710600000000004E-72</v>
      </c>
      <c r="O12446">
        <v>681</v>
      </c>
    </row>
    <row r="12447" spans="1:15" x14ac:dyDescent="0.25">
      <c r="A12447" t="s">
        <v>12460</v>
      </c>
      <c r="B12447">
        <v>333</v>
      </c>
      <c r="C12447" s="1" t="str">
        <f>HYPERLINK("http://www.rosaceae.org/gb/gbrowse/malus_x_domestica/?name=MDP0000276433","MDP0000276433")</f>
        <v>MDP0000276433</v>
      </c>
      <c r="D12447">
        <v>56</v>
      </c>
      <c r="E12447">
        <v>75</v>
      </c>
      <c r="F12447">
        <v>33</v>
      </c>
      <c r="G12447">
        <v>0</v>
      </c>
      <c r="H12447">
        <v>98</v>
      </c>
      <c r="I12447">
        <v>172</v>
      </c>
      <c r="J12447">
        <v>1</v>
      </c>
      <c r="K12447">
        <v>147</v>
      </c>
      <c r="L12447">
        <v>221</v>
      </c>
      <c r="M12447">
        <v>1</v>
      </c>
      <c r="N12447">
        <v>3.9170100000000001E-15</v>
      </c>
      <c r="O12447">
        <v>195</v>
      </c>
    </row>
    <row r="12448" spans="1:15" x14ac:dyDescent="0.25">
      <c r="A12448" t="s">
        <v>12461</v>
      </c>
      <c r="B12448">
        <v>247</v>
      </c>
      <c r="C12448" s="1" t="str">
        <f>HYPERLINK("http://www.rosaceae.org/gb/gbrowse/malus_x_domestica/?name=MDP0000287433","MDP0000287433")</f>
        <v>MDP0000287433</v>
      </c>
      <c r="D12448">
        <v>42.18</v>
      </c>
      <c r="E12448">
        <v>275</v>
      </c>
      <c r="F12448">
        <v>159</v>
      </c>
      <c r="G12448">
        <v>34</v>
      </c>
      <c r="H12448">
        <v>5</v>
      </c>
      <c r="I12448">
        <v>247</v>
      </c>
      <c r="J12448">
        <v>1</v>
      </c>
      <c r="K12448">
        <v>4</v>
      </c>
      <c r="L12448">
        <v>276</v>
      </c>
      <c r="M12448">
        <v>1</v>
      </c>
      <c r="N12448">
        <v>1.50567E-43</v>
      </c>
      <c r="O12448">
        <v>438</v>
      </c>
    </row>
    <row r="12449" spans="1:15" x14ac:dyDescent="0.25">
      <c r="A12449" t="s">
        <v>12462</v>
      </c>
      <c r="B12449">
        <v>765</v>
      </c>
      <c r="C12449" s="1" t="str">
        <f>HYPERLINK("http://www.rosaceae.org/gb/gbrowse/malus_x_domestica/?name=MDP0000157408","MDP0000157408")</f>
        <v>MDP0000157408</v>
      </c>
      <c r="D12449">
        <v>53.64</v>
      </c>
      <c r="E12449">
        <v>604</v>
      </c>
      <c r="F12449">
        <v>280</v>
      </c>
      <c r="G12449">
        <v>29</v>
      </c>
      <c r="H12449">
        <v>135</v>
      </c>
      <c r="I12449">
        <v>714</v>
      </c>
      <c r="J12449">
        <v>1</v>
      </c>
      <c r="K12449">
        <v>24</v>
      </c>
      <c r="L12449">
        <v>622</v>
      </c>
      <c r="M12449">
        <v>1</v>
      </c>
      <c r="N12449">
        <v>0</v>
      </c>
      <c r="O12449">
        <v>1692</v>
      </c>
    </row>
    <row r="12450" spans="1:15" x14ac:dyDescent="0.25">
      <c r="A12450" t="s">
        <v>12463</v>
      </c>
      <c r="B12450">
        <v>313</v>
      </c>
      <c r="C12450" s="1" t="str">
        <f>HYPERLINK("http://www.rosaceae.org/gb/gbrowse/malus_x_domestica/?name=MDP0000555752","MDP0000555752")</f>
        <v>MDP0000555752</v>
      </c>
      <c r="D12450">
        <v>57.44</v>
      </c>
      <c r="E12450">
        <v>94</v>
      </c>
      <c r="F12450">
        <v>40</v>
      </c>
      <c r="G12450">
        <v>0</v>
      </c>
      <c r="H12450">
        <v>136</v>
      </c>
      <c r="I12450">
        <v>229</v>
      </c>
      <c r="J12450">
        <v>1</v>
      </c>
      <c r="K12450">
        <v>538</v>
      </c>
      <c r="L12450">
        <v>631</v>
      </c>
      <c r="M12450">
        <v>1</v>
      </c>
      <c r="N12450">
        <v>8.4855000000000006E-27</v>
      </c>
      <c r="O12450">
        <v>295</v>
      </c>
    </row>
    <row r="12451" spans="1:15" x14ac:dyDescent="0.25">
      <c r="A12451" t="s">
        <v>12464</v>
      </c>
      <c r="B12451">
        <v>210</v>
      </c>
      <c r="C12451" s="1" t="str">
        <f>HYPERLINK("http://www.rosaceae.org/gb/gbrowse/malus_x_domestica/?name=MDP0000310461","MDP0000310461")</f>
        <v>MDP0000310461</v>
      </c>
      <c r="D12451">
        <v>69.23</v>
      </c>
      <c r="E12451">
        <v>208</v>
      </c>
      <c r="F12451">
        <v>64</v>
      </c>
      <c r="G12451">
        <v>2</v>
      </c>
      <c r="H12451">
        <v>5</v>
      </c>
      <c r="I12451">
        <v>210</v>
      </c>
      <c r="J12451">
        <v>1</v>
      </c>
      <c r="K12451">
        <v>3</v>
      </c>
      <c r="L12451">
        <v>210</v>
      </c>
      <c r="M12451">
        <v>1</v>
      </c>
      <c r="N12451">
        <v>1.2487099999999999E-85</v>
      </c>
      <c r="O12451">
        <v>800</v>
      </c>
    </row>
    <row r="12452" spans="1:15" x14ac:dyDescent="0.25">
      <c r="A12452" t="s">
        <v>12465</v>
      </c>
      <c r="B12452">
        <v>391</v>
      </c>
      <c r="C12452" s="1" t="str">
        <f>HYPERLINK("http://www.rosaceae.org/gb/gbrowse/malus_x_domestica/?name=MDP0000158598","MDP0000158598")</f>
        <v>MDP0000158598</v>
      </c>
      <c r="D12452">
        <v>36.36</v>
      </c>
      <c r="E12452">
        <v>352</v>
      </c>
      <c r="F12452">
        <v>224</v>
      </c>
      <c r="G12452">
        <v>58</v>
      </c>
      <c r="H12452">
        <v>78</v>
      </c>
      <c r="I12452">
        <v>388</v>
      </c>
      <c r="J12452">
        <v>1</v>
      </c>
      <c r="K12452">
        <v>16</v>
      </c>
      <c r="L12452">
        <v>350</v>
      </c>
      <c r="M12452">
        <v>1</v>
      </c>
      <c r="N12452">
        <v>1.7214200000000001E-36</v>
      </c>
      <c r="O12452">
        <v>380</v>
      </c>
    </row>
    <row r="12453" spans="1:15" x14ac:dyDescent="0.25">
      <c r="A12453" t="s">
        <v>12466</v>
      </c>
      <c r="B12453">
        <v>1182</v>
      </c>
      <c r="C12453" s="1" t="str">
        <f>HYPERLINK("http://www.rosaceae.org/gb/gbrowse/malus_x_domestica/?name=MDP0000891639","MDP0000891639")</f>
        <v>MDP0000891639</v>
      </c>
      <c r="D12453">
        <v>81.25</v>
      </c>
      <c r="E12453">
        <v>880</v>
      </c>
      <c r="F12453">
        <v>165</v>
      </c>
      <c r="G12453">
        <v>39</v>
      </c>
      <c r="H12453">
        <v>261</v>
      </c>
      <c r="I12453">
        <v>1118</v>
      </c>
      <c r="J12453">
        <v>1</v>
      </c>
      <c r="K12453">
        <v>9</v>
      </c>
      <c r="L12453">
        <v>871</v>
      </c>
      <c r="M12453">
        <v>1</v>
      </c>
      <c r="N12453">
        <v>0</v>
      </c>
      <c r="O12453">
        <v>3760</v>
      </c>
    </row>
    <row r="12454" spans="1:15" x14ac:dyDescent="0.25">
      <c r="A12454" t="s">
        <v>12467</v>
      </c>
      <c r="B12454">
        <v>374</v>
      </c>
      <c r="C12454" s="1" t="str">
        <f>HYPERLINK("http://www.rosaceae.org/gb/gbrowse/malus_x_domestica/?name=MDP0000065834","MDP0000065834")</f>
        <v>MDP0000065834</v>
      </c>
      <c r="D12454">
        <v>77.510000000000005</v>
      </c>
      <c r="E12454">
        <v>378</v>
      </c>
      <c r="F12454">
        <v>85</v>
      </c>
      <c r="G12454">
        <v>12</v>
      </c>
      <c r="H12454">
        <v>4</v>
      </c>
      <c r="I12454">
        <v>371</v>
      </c>
      <c r="J12454">
        <v>1</v>
      </c>
      <c r="K12454">
        <v>3</v>
      </c>
      <c r="L12454">
        <v>378</v>
      </c>
      <c r="M12454">
        <v>1</v>
      </c>
      <c r="N12454">
        <v>4.3013699999999996E-177</v>
      </c>
      <c r="O12454">
        <v>1592</v>
      </c>
    </row>
    <row r="12455" spans="1:15" x14ac:dyDescent="0.25">
      <c r="A12455" t="s">
        <v>12468</v>
      </c>
      <c r="B12455">
        <v>812</v>
      </c>
      <c r="C12455" s="1" t="str">
        <f>HYPERLINK("http://www.rosaceae.org/gb/gbrowse/malus_x_domestica/?name=MDP0000136491","MDP0000136491")</f>
        <v>MDP0000136491</v>
      </c>
      <c r="D12455">
        <v>59.89</v>
      </c>
      <c r="E12455">
        <v>793</v>
      </c>
      <c r="F12455">
        <v>318</v>
      </c>
      <c r="G12455">
        <v>82</v>
      </c>
      <c r="H12455">
        <v>31</v>
      </c>
      <c r="I12455">
        <v>812</v>
      </c>
      <c r="J12455">
        <v>1</v>
      </c>
      <c r="K12455">
        <v>24</v>
      </c>
      <c r="L12455">
        <v>745</v>
      </c>
      <c r="M12455">
        <v>1</v>
      </c>
      <c r="N12455">
        <v>0</v>
      </c>
      <c r="O12455">
        <v>2312</v>
      </c>
    </row>
    <row r="12456" spans="1:15" x14ac:dyDescent="0.25">
      <c r="A12456" t="s">
        <v>12469</v>
      </c>
      <c r="B12456">
        <v>751</v>
      </c>
      <c r="C12456" s="1" t="str">
        <f>HYPERLINK("http://www.rosaceae.org/gb/gbrowse/malus_x_domestica/?name=MDP0000772634","MDP0000772634")</f>
        <v>MDP0000772634</v>
      </c>
      <c r="D12456">
        <v>63.98</v>
      </c>
      <c r="E12456">
        <v>522</v>
      </c>
      <c r="F12456">
        <v>188</v>
      </c>
      <c r="G12456">
        <v>0</v>
      </c>
      <c r="H12456">
        <v>201</v>
      </c>
      <c r="I12456">
        <v>722</v>
      </c>
      <c r="J12456">
        <v>1</v>
      </c>
      <c r="K12456">
        <v>932</v>
      </c>
      <c r="L12456">
        <v>1453</v>
      </c>
      <c r="M12456">
        <v>1</v>
      </c>
      <c r="N12456">
        <v>0</v>
      </c>
      <c r="O12456">
        <v>1719</v>
      </c>
    </row>
    <row r="12457" spans="1:15" x14ac:dyDescent="0.25">
      <c r="A12457" t="s">
        <v>12470</v>
      </c>
      <c r="B12457">
        <v>695</v>
      </c>
      <c r="C12457" s="1" t="str">
        <f>HYPERLINK("http://www.rosaceae.org/gb/gbrowse/malus_x_domestica/?name=MDP0000157312","MDP0000157312")</f>
        <v>MDP0000157312</v>
      </c>
      <c r="D12457">
        <v>80.16</v>
      </c>
      <c r="E12457">
        <v>373</v>
      </c>
      <c r="F12457">
        <v>74</v>
      </c>
      <c r="G12457">
        <v>3</v>
      </c>
      <c r="H12457">
        <v>324</v>
      </c>
      <c r="I12457">
        <v>695</v>
      </c>
      <c r="J12457">
        <v>1</v>
      </c>
      <c r="K12457">
        <v>36</v>
      </c>
      <c r="L12457">
        <v>406</v>
      </c>
      <c r="M12457">
        <v>1</v>
      </c>
      <c r="N12457">
        <v>4.5530400000000001E-178</v>
      </c>
      <c r="O12457">
        <v>1604</v>
      </c>
    </row>
    <row r="12458" spans="1:15" x14ac:dyDescent="0.25">
      <c r="A12458" t="s">
        <v>12471</v>
      </c>
      <c r="B12458">
        <v>461</v>
      </c>
      <c r="C12458" s="1" t="str">
        <f>HYPERLINK("http://www.rosaceae.org/gb/gbrowse/malus_x_domestica/?name=MDP0000225990","MDP0000225990")</f>
        <v>MDP0000225990</v>
      </c>
      <c r="D12458">
        <v>79.25</v>
      </c>
      <c r="E12458">
        <v>429</v>
      </c>
      <c r="F12458">
        <v>89</v>
      </c>
      <c r="G12458">
        <v>6</v>
      </c>
      <c r="H12458">
        <v>39</v>
      </c>
      <c r="I12458">
        <v>461</v>
      </c>
      <c r="J12458">
        <v>1</v>
      </c>
      <c r="K12458">
        <v>49</v>
      </c>
      <c r="L12458">
        <v>477</v>
      </c>
      <c r="M12458">
        <v>1</v>
      </c>
      <c r="N12458">
        <v>0</v>
      </c>
      <c r="O12458">
        <v>1860</v>
      </c>
    </row>
    <row r="12459" spans="1:15" x14ac:dyDescent="0.25">
      <c r="A12459" t="s">
        <v>12472</v>
      </c>
      <c r="B12459">
        <v>168</v>
      </c>
      <c r="C12459" s="1" t="str">
        <f>HYPERLINK("http://www.rosaceae.org/gb/gbrowse/malus_x_domestica/?name=MDP0000267891","MDP0000267891")</f>
        <v>MDP0000267891</v>
      </c>
      <c r="D12459">
        <v>72.61</v>
      </c>
      <c r="E12459">
        <v>168</v>
      </c>
      <c r="F12459">
        <v>46</v>
      </c>
      <c r="G12459">
        <v>1</v>
      </c>
      <c r="H12459">
        <v>1</v>
      </c>
      <c r="I12459">
        <v>168</v>
      </c>
      <c r="J12459">
        <v>1</v>
      </c>
      <c r="K12459">
        <v>149</v>
      </c>
      <c r="L12459">
        <v>315</v>
      </c>
      <c r="M12459">
        <v>1</v>
      </c>
      <c r="N12459">
        <v>5.9502099999999999E-65</v>
      </c>
      <c r="O12459">
        <v>620</v>
      </c>
    </row>
    <row r="12460" spans="1:15" x14ac:dyDescent="0.25">
      <c r="A12460" t="s">
        <v>12473</v>
      </c>
      <c r="B12460">
        <v>490</v>
      </c>
      <c r="C12460" s="1" t="str">
        <f>HYPERLINK("http://www.rosaceae.org/gb/gbrowse/malus_x_domestica/?name=MDP0000252069","MDP0000252069")</f>
        <v>MDP0000252069</v>
      </c>
      <c r="D12460">
        <v>40.229999999999997</v>
      </c>
      <c r="E12460">
        <v>338</v>
      </c>
      <c r="F12460">
        <v>202</v>
      </c>
      <c r="G12460">
        <v>40</v>
      </c>
      <c r="H12460">
        <v>146</v>
      </c>
      <c r="I12460">
        <v>473</v>
      </c>
      <c r="J12460">
        <v>1</v>
      </c>
      <c r="K12460">
        <v>716</v>
      </c>
      <c r="L12460">
        <v>1023</v>
      </c>
      <c r="M12460">
        <v>1</v>
      </c>
      <c r="N12460">
        <v>2.4137100000000002E-53</v>
      </c>
      <c r="O12460">
        <v>526</v>
      </c>
    </row>
    <row r="12461" spans="1:15" x14ac:dyDescent="0.25">
      <c r="A12461" t="s">
        <v>12474</v>
      </c>
      <c r="B12461">
        <v>200</v>
      </c>
      <c r="C12461" s="1" t="str">
        <f>HYPERLINK("http://www.rosaceae.org/gb/gbrowse/malus_x_domestica/?name=MDP0000124065","MDP0000124065")</f>
        <v>MDP0000124065</v>
      </c>
      <c r="D12461">
        <v>72.63</v>
      </c>
      <c r="E12461">
        <v>201</v>
      </c>
      <c r="F12461">
        <v>55</v>
      </c>
      <c r="G12461">
        <v>5</v>
      </c>
      <c r="H12461">
        <v>1</v>
      </c>
      <c r="I12461">
        <v>200</v>
      </c>
      <c r="J12461">
        <v>1</v>
      </c>
      <c r="K12461">
        <v>37</v>
      </c>
      <c r="L12461">
        <v>233</v>
      </c>
      <c r="M12461">
        <v>1</v>
      </c>
      <c r="N12461">
        <v>8.42148E-72</v>
      </c>
      <c r="O12461">
        <v>681</v>
      </c>
    </row>
    <row r="12462" spans="1:15" x14ac:dyDescent="0.25">
      <c r="A12462" t="s">
        <v>12475</v>
      </c>
      <c r="B12462">
        <v>65</v>
      </c>
      <c r="C12462" s="1" t="str">
        <f>HYPERLINK("http://www.rosaceae.org/gb/gbrowse/malus_x_domestica/?name=MDP0000119457","MDP0000119457")</f>
        <v>MDP0000119457</v>
      </c>
      <c r="D12462">
        <v>77.77</v>
      </c>
      <c r="E12462">
        <v>36</v>
      </c>
      <c r="F12462">
        <v>8</v>
      </c>
      <c r="G12462">
        <v>0</v>
      </c>
      <c r="H12462">
        <v>3</v>
      </c>
      <c r="I12462">
        <v>38</v>
      </c>
      <c r="J12462">
        <v>1</v>
      </c>
      <c r="K12462">
        <v>255</v>
      </c>
      <c r="L12462">
        <v>290</v>
      </c>
      <c r="M12462">
        <v>1</v>
      </c>
      <c r="N12462">
        <v>7.5035300000000004E-13</v>
      </c>
      <c r="O12462">
        <v>168</v>
      </c>
    </row>
    <row r="12463" spans="1:15" x14ac:dyDescent="0.25">
      <c r="A12463" t="s">
        <v>12476</v>
      </c>
      <c r="B12463">
        <v>492</v>
      </c>
      <c r="C12463" s="1" t="str">
        <f>HYPERLINK("http://www.rosaceae.org/gb/gbrowse/malus_x_domestica/?name=MDP0000146753","MDP0000146753")</f>
        <v>MDP0000146753</v>
      </c>
      <c r="D12463">
        <v>32.24</v>
      </c>
      <c r="E12463">
        <v>366</v>
      </c>
      <c r="F12463">
        <v>248</v>
      </c>
      <c r="G12463">
        <v>68</v>
      </c>
      <c r="H12463">
        <v>129</v>
      </c>
      <c r="I12463">
        <v>491</v>
      </c>
      <c r="J12463">
        <v>1</v>
      </c>
      <c r="K12463">
        <v>69</v>
      </c>
      <c r="L12463">
        <v>369</v>
      </c>
      <c r="M12463">
        <v>1</v>
      </c>
      <c r="N12463">
        <v>4.8704900000000003E-45</v>
      </c>
      <c r="O12463">
        <v>455</v>
      </c>
    </row>
    <row r="12464" spans="1:15" x14ac:dyDescent="0.25">
      <c r="A12464" t="s">
        <v>12477</v>
      </c>
      <c r="B12464">
        <v>1040</v>
      </c>
      <c r="C12464" s="1" t="str">
        <f>HYPERLINK("http://www.rosaceae.org/gb/gbrowse/malus_x_domestica/?name=MDP0000149925","MDP0000149925")</f>
        <v>MDP0000149925</v>
      </c>
      <c r="D12464">
        <v>52.33</v>
      </c>
      <c r="E12464">
        <v>493</v>
      </c>
      <c r="F12464">
        <v>235</v>
      </c>
      <c r="G12464">
        <v>36</v>
      </c>
      <c r="H12464">
        <v>500</v>
      </c>
      <c r="I12464">
        <v>991</v>
      </c>
      <c r="J12464">
        <v>1</v>
      </c>
      <c r="K12464">
        <v>36</v>
      </c>
      <c r="L12464">
        <v>493</v>
      </c>
      <c r="M12464">
        <v>1</v>
      </c>
      <c r="N12464">
        <v>1.18048E-120</v>
      </c>
      <c r="O12464">
        <v>1110</v>
      </c>
    </row>
    <row r="12465" spans="1:15" x14ac:dyDescent="0.25">
      <c r="A12465" t="s">
        <v>12478</v>
      </c>
      <c r="B12465">
        <v>364</v>
      </c>
      <c r="C12465" s="1" t="str">
        <f>HYPERLINK("http://www.rosaceae.org/gb/gbrowse/malus_x_domestica/?name=MDP0000171308","MDP0000171308")</f>
        <v>MDP0000171308</v>
      </c>
      <c r="D12465">
        <v>65.739999999999995</v>
      </c>
      <c r="E12465">
        <v>216</v>
      </c>
      <c r="F12465">
        <v>74</v>
      </c>
      <c r="G12465">
        <v>34</v>
      </c>
      <c r="H12465">
        <v>1</v>
      </c>
      <c r="I12465">
        <v>182</v>
      </c>
      <c r="J12465">
        <v>1</v>
      </c>
      <c r="K12465">
        <v>1</v>
      </c>
      <c r="L12465">
        <v>216</v>
      </c>
      <c r="M12465">
        <v>1</v>
      </c>
      <c r="N12465">
        <v>4.19881E-72</v>
      </c>
      <c r="O12465">
        <v>687</v>
      </c>
    </row>
    <row r="12466" spans="1:15" x14ac:dyDescent="0.25">
      <c r="A12466" t="s">
        <v>12479</v>
      </c>
      <c r="B12466">
        <v>605</v>
      </c>
      <c r="C12466" s="1" t="str">
        <f>HYPERLINK("http://www.rosaceae.org/gb/gbrowse/malus_x_domestica/?name=MDP0000891532","MDP0000891532")</f>
        <v>MDP0000891532</v>
      </c>
      <c r="D12466">
        <v>65.05</v>
      </c>
      <c r="E12466">
        <v>601</v>
      </c>
      <c r="F12466">
        <v>210</v>
      </c>
      <c r="G12466">
        <v>54</v>
      </c>
      <c r="H12466">
        <v>58</v>
      </c>
      <c r="I12466">
        <v>605</v>
      </c>
      <c r="J12466">
        <v>1</v>
      </c>
      <c r="K12466">
        <v>58</v>
      </c>
      <c r="L12466">
        <v>657</v>
      </c>
      <c r="M12466">
        <v>1</v>
      </c>
      <c r="N12466">
        <v>0</v>
      </c>
      <c r="O12466">
        <v>1871</v>
      </c>
    </row>
    <row r="12467" spans="1:15" x14ac:dyDescent="0.25">
      <c r="A12467" t="s">
        <v>12480</v>
      </c>
      <c r="B12467">
        <v>731</v>
      </c>
      <c r="C12467" s="1" t="str">
        <f>HYPERLINK("http://www.rosaceae.org/gb/gbrowse/malus_x_domestica/?name=MDP0000256773","MDP0000256773")</f>
        <v>MDP0000256773</v>
      </c>
      <c r="D12467">
        <v>73.73</v>
      </c>
      <c r="E12467">
        <v>731</v>
      </c>
      <c r="F12467">
        <v>192</v>
      </c>
      <c r="G12467">
        <v>1</v>
      </c>
      <c r="H12467">
        <v>1</v>
      </c>
      <c r="I12467">
        <v>731</v>
      </c>
      <c r="J12467">
        <v>1</v>
      </c>
      <c r="K12467">
        <v>1</v>
      </c>
      <c r="L12467">
        <v>730</v>
      </c>
      <c r="M12467">
        <v>1</v>
      </c>
      <c r="N12467">
        <v>0</v>
      </c>
      <c r="O12467">
        <v>2762</v>
      </c>
    </row>
    <row r="12468" spans="1:15" x14ac:dyDescent="0.25">
      <c r="A12468" t="s">
        <v>12481</v>
      </c>
      <c r="B12468">
        <v>719</v>
      </c>
      <c r="C12468" s="1" t="str">
        <f>HYPERLINK("http://www.rosaceae.org/gb/gbrowse/malus_x_domestica/?name=MDP0000169201","MDP0000169201")</f>
        <v>MDP0000169201</v>
      </c>
      <c r="D12468">
        <v>82.94</v>
      </c>
      <c r="E12468">
        <v>475</v>
      </c>
      <c r="F12468">
        <v>81</v>
      </c>
      <c r="G12468">
        <v>1</v>
      </c>
      <c r="H12468">
        <v>245</v>
      </c>
      <c r="I12468">
        <v>719</v>
      </c>
      <c r="J12468">
        <v>1</v>
      </c>
      <c r="K12468">
        <v>1</v>
      </c>
      <c r="L12468">
        <v>474</v>
      </c>
      <c r="M12468">
        <v>1</v>
      </c>
      <c r="N12468">
        <v>0</v>
      </c>
      <c r="O12468">
        <v>2180</v>
      </c>
    </row>
    <row r="12469" spans="1:15" x14ac:dyDescent="0.25">
      <c r="A12469" t="s">
        <v>12482</v>
      </c>
      <c r="B12469">
        <v>361</v>
      </c>
      <c r="C12469" s="1" t="str">
        <f>HYPERLINK("http://www.rosaceae.org/gb/gbrowse/malus_x_domestica/?name=MDP0000131124","MDP0000131124")</f>
        <v>MDP0000131124</v>
      </c>
      <c r="D12469">
        <v>45.16</v>
      </c>
      <c r="E12469">
        <v>217</v>
      </c>
      <c r="F12469">
        <v>119</v>
      </c>
      <c r="G12469">
        <v>45</v>
      </c>
      <c r="H12469">
        <v>44</v>
      </c>
      <c r="I12469">
        <v>217</v>
      </c>
      <c r="J12469">
        <v>1</v>
      </c>
      <c r="K12469">
        <v>107</v>
      </c>
      <c r="L12469">
        <v>321</v>
      </c>
      <c r="M12469">
        <v>1</v>
      </c>
      <c r="N12469">
        <v>2.1315999999999999E-39</v>
      </c>
      <c r="O12469">
        <v>405</v>
      </c>
    </row>
    <row r="12470" spans="1:15" x14ac:dyDescent="0.25">
      <c r="A12470" t="s">
        <v>12483</v>
      </c>
      <c r="B12470">
        <v>111</v>
      </c>
      <c r="C12470" s="1" t="str">
        <f>HYPERLINK("http://www.rosaceae.org/gb/gbrowse/malus_x_domestica/?name=MDP0000255057","MDP0000255057")</f>
        <v>MDP0000255057</v>
      </c>
      <c r="D12470">
        <v>71.42</v>
      </c>
      <c r="E12470">
        <v>70</v>
      </c>
      <c r="F12470">
        <v>20</v>
      </c>
      <c r="G12470">
        <v>2</v>
      </c>
      <c r="H12470">
        <v>43</v>
      </c>
      <c r="I12470">
        <v>110</v>
      </c>
      <c r="J12470">
        <v>1</v>
      </c>
      <c r="K12470">
        <v>814</v>
      </c>
      <c r="L12470">
        <v>883</v>
      </c>
      <c r="M12470">
        <v>1</v>
      </c>
      <c r="N12470">
        <v>6.7673099999999998E-23</v>
      </c>
      <c r="O12470">
        <v>255</v>
      </c>
    </row>
    <row r="12471" spans="1:15" x14ac:dyDescent="0.25">
      <c r="A12471" t="s">
        <v>12484</v>
      </c>
      <c r="B12471">
        <v>458</v>
      </c>
      <c r="C12471" s="1" t="str">
        <f>HYPERLINK("http://www.rosaceae.org/gb/gbrowse/malus_x_domestica/?name=MDP0000364205","MDP0000364205")</f>
        <v>MDP0000364205</v>
      </c>
      <c r="D12471">
        <v>88.01</v>
      </c>
      <c r="E12471">
        <v>217</v>
      </c>
      <c r="F12471">
        <v>26</v>
      </c>
      <c r="G12471">
        <v>5</v>
      </c>
      <c r="H12471">
        <v>88</v>
      </c>
      <c r="I12471">
        <v>299</v>
      </c>
      <c r="J12471">
        <v>1</v>
      </c>
      <c r="K12471">
        <v>46</v>
      </c>
      <c r="L12471">
        <v>262</v>
      </c>
      <c r="M12471">
        <v>1</v>
      </c>
      <c r="N12471">
        <v>2.1074300000000001E-105</v>
      </c>
      <c r="O12471">
        <v>975</v>
      </c>
    </row>
    <row r="12472" spans="1:15" x14ac:dyDescent="0.25">
      <c r="A12472" t="s">
        <v>12485</v>
      </c>
      <c r="B12472">
        <v>1590</v>
      </c>
      <c r="C12472" s="1" t="str">
        <f>HYPERLINK("http://www.rosaceae.org/gb/gbrowse/malus_x_domestica/?name=MDP0000015338","MDP0000015338")</f>
        <v>MDP0000015338</v>
      </c>
      <c r="D12472">
        <v>64.97</v>
      </c>
      <c r="E12472">
        <v>711</v>
      </c>
      <c r="F12472">
        <v>249</v>
      </c>
      <c r="G12472">
        <v>41</v>
      </c>
      <c r="H12472">
        <v>87</v>
      </c>
      <c r="I12472">
        <v>757</v>
      </c>
      <c r="J12472">
        <v>1</v>
      </c>
      <c r="K12472">
        <v>30</v>
      </c>
      <c r="L12472">
        <v>739</v>
      </c>
      <c r="M12472">
        <v>1</v>
      </c>
      <c r="N12472">
        <v>0</v>
      </c>
      <c r="O12472">
        <v>2420</v>
      </c>
    </row>
    <row r="12473" spans="1:15" x14ac:dyDescent="0.25">
      <c r="A12473" t="s">
        <v>12486</v>
      </c>
      <c r="B12473">
        <v>450</v>
      </c>
      <c r="C12473" s="1" t="str">
        <f>HYPERLINK("http://www.rosaceae.org/gb/gbrowse/malus_x_domestica/?name=MDP0000189018","MDP0000189018")</f>
        <v>MDP0000189018</v>
      </c>
      <c r="D12473">
        <v>80.260000000000005</v>
      </c>
      <c r="E12473">
        <v>456</v>
      </c>
      <c r="F12473">
        <v>90</v>
      </c>
      <c r="G12473">
        <v>9</v>
      </c>
      <c r="H12473">
        <v>2</v>
      </c>
      <c r="I12473">
        <v>449</v>
      </c>
      <c r="J12473">
        <v>1</v>
      </c>
      <c r="K12473">
        <v>1</v>
      </c>
      <c r="L12473">
        <v>455</v>
      </c>
      <c r="M12473">
        <v>1</v>
      </c>
      <c r="N12473">
        <v>0</v>
      </c>
      <c r="O12473">
        <v>1768</v>
      </c>
    </row>
    <row r="12474" spans="1:15" x14ac:dyDescent="0.25">
      <c r="A12474" t="s">
        <v>12487</v>
      </c>
      <c r="B12474">
        <v>361</v>
      </c>
      <c r="C12474" s="1" t="str">
        <f>HYPERLINK("http://www.rosaceae.org/gb/gbrowse/malus_x_domestica/?name=MDP0000319522","MDP0000319522")</f>
        <v>MDP0000319522</v>
      </c>
      <c r="D12474">
        <v>80.78</v>
      </c>
      <c r="E12474">
        <v>333</v>
      </c>
      <c r="F12474">
        <v>64</v>
      </c>
      <c r="G12474">
        <v>2</v>
      </c>
      <c r="H12474">
        <v>29</v>
      </c>
      <c r="I12474">
        <v>359</v>
      </c>
      <c r="J12474">
        <v>1</v>
      </c>
      <c r="K12474">
        <v>13</v>
      </c>
      <c r="L12474">
        <v>345</v>
      </c>
      <c r="M12474">
        <v>1</v>
      </c>
      <c r="N12474">
        <v>9.7856499999999998E-164</v>
      </c>
      <c r="O12474">
        <v>1477</v>
      </c>
    </row>
    <row r="12475" spans="1:15" x14ac:dyDescent="0.25">
      <c r="A12475" t="s">
        <v>12488</v>
      </c>
      <c r="B12475">
        <v>199</v>
      </c>
      <c r="C12475" s="1" t="str">
        <f>HYPERLINK("http://www.rosaceae.org/gb/gbrowse/malus_x_domestica/?name=MDP0000202690","MDP0000202690")</f>
        <v>MDP0000202690</v>
      </c>
      <c r="D12475">
        <v>67.12</v>
      </c>
      <c r="E12475">
        <v>73</v>
      </c>
      <c r="F12475">
        <v>24</v>
      </c>
      <c r="G12475">
        <v>1</v>
      </c>
      <c r="H12475">
        <v>107</v>
      </c>
      <c r="I12475">
        <v>179</v>
      </c>
      <c r="J12475">
        <v>1</v>
      </c>
      <c r="K12475">
        <v>76</v>
      </c>
      <c r="L12475">
        <v>147</v>
      </c>
      <c r="M12475">
        <v>1</v>
      </c>
      <c r="N12475">
        <v>7.65679E-21</v>
      </c>
      <c r="O12475">
        <v>241</v>
      </c>
    </row>
    <row r="12476" spans="1:15" x14ac:dyDescent="0.25">
      <c r="A12476" t="s">
        <v>12489</v>
      </c>
      <c r="B12476">
        <v>94</v>
      </c>
      <c r="C12476" s="1" t="str">
        <f>HYPERLINK("http://www.rosaceae.org/gb/gbrowse/malus_x_domestica/?name=MDP0000922090","MDP0000922090")</f>
        <v>MDP0000922090</v>
      </c>
      <c r="D12476">
        <v>76.53</v>
      </c>
      <c r="E12476">
        <v>98</v>
      </c>
      <c r="F12476">
        <v>23</v>
      </c>
      <c r="G12476">
        <v>6</v>
      </c>
      <c r="H12476">
        <v>1</v>
      </c>
      <c r="I12476">
        <v>92</v>
      </c>
      <c r="J12476">
        <v>1</v>
      </c>
      <c r="K12476">
        <v>1</v>
      </c>
      <c r="L12476">
        <v>98</v>
      </c>
      <c r="M12476">
        <v>1</v>
      </c>
      <c r="N12476">
        <v>1.23219E-34</v>
      </c>
      <c r="O12476">
        <v>356</v>
      </c>
    </row>
    <row r="12477" spans="1:15" x14ac:dyDescent="0.25">
      <c r="A12477" t="s">
        <v>12490</v>
      </c>
      <c r="B12477">
        <v>413</v>
      </c>
      <c r="C12477" s="1" t="str">
        <f>HYPERLINK("http://www.rosaceae.org/gb/gbrowse/malus_x_domestica/?name=MDP0000690541","MDP0000690541")</f>
        <v>MDP0000690541</v>
      </c>
      <c r="D12477">
        <v>59.35</v>
      </c>
      <c r="E12477">
        <v>187</v>
      </c>
      <c r="F12477">
        <v>76</v>
      </c>
      <c r="G12477">
        <v>19</v>
      </c>
      <c r="H12477">
        <v>15</v>
      </c>
      <c r="I12477">
        <v>183</v>
      </c>
      <c r="J12477">
        <v>1</v>
      </c>
      <c r="K12477">
        <v>30</v>
      </c>
      <c r="L12477">
        <v>215</v>
      </c>
      <c r="M12477">
        <v>1</v>
      </c>
      <c r="N12477">
        <v>1.16807E-51</v>
      </c>
      <c r="O12477">
        <v>511</v>
      </c>
    </row>
    <row r="12478" spans="1:15" x14ac:dyDescent="0.25">
      <c r="A12478" t="s">
        <v>12491</v>
      </c>
      <c r="B12478">
        <v>395</v>
      </c>
      <c r="C12478" s="1" t="str">
        <f>HYPERLINK("http://www.rosaceae.org/gb/gbrowse/malus_x_domestica/?name=MDP0000775116","MDP0000775116")</f>
        <v>MDP0000775116</v>
      </c>
      <c r="D12478">
        <v>42.82</v>
      </c>
      <c r="E12478">
        <v>425</v>
      </c>
      <c r="F12478">
        <v>243</v>
      </c>
      <c r="G12478">
        <v>53</v>
      </c>
      <c r="H12478">
        <v>1</v>
      </c>
      <c r="I12478">
        <v>372</v>
      </c>
      <c r="J12478">
        <v>1</v>
      </c>
      <c r="K12478">
        <v>12</v>
      </c>
      <c r="L12478">
        <v>436</v>
      </c>
      <c r="M12478">
        <v>1</v>
      </c>
      <c r="N12478">
        <v>2.0593400000000001E-74</v>
      </c>
      <c r="O12478">
        <v>707</v>
      </c>
    </row>
    <row r="12479" spans="1:15" x14ac:dyDescent="0.25">
      <c r="A12479" t="s">
        <v>12492</v>
      </c>
      <c r="B12479">
        <v>478</v>
      </c>
      <c r="C12479" s="1" t="str">
        <f>HYPERLINK("http://www.rosaceae.org/gb/gbrowse/malus_x_domestica/?name=MDP0000924533","MDP0000924533")</f>
        <v>MDP0000924533</v>
      </c>
      <c r="D12479">
        <v>70.489999999999995</v>
      </c>
      <c r="E12479">
        <v>488</v>
      </c>
      <c r="F12479">
        <v>144</v>
      </c>
      <c r="G12479">
        <v>22</v>
      </c>
      <c r="H12479">
        <v>1</v>
      </c>
      <c r="I12479">
        <v>466</v>
      </c>
      <c r="J12479">
        <v>1</v>
      </c>
      <c r="K12479">
        <v>1</v>
      </c>
      <c r="L12479">
        <v>488</v>
      </c>
      <c r="M12479">
        <v>1</v>
      </c>
      <c r="N12479">
        <v>0</v>
      </c>
      <c r="O12479">
        <v>1737</v>
      </c>
    </row>
    <row r="12480" spans="1:15" x14ac:dyDescent="0.25">
      <c r="A12480" t="s">
        <v>12493</v>
      </c>
      <c r="B12480">
        <v>269</v>
      </c>
      <c r="C12480" s="1" t="str">
        <f>HYPERLINK("http://www.rosaceae.org/gb/gbrowse/malus_x_domestica/?name=MDP0000204225","MDP0000204225")</f>
        <v>MDP0000204225</v>
      </c>
      <c r="D12480">
        <v>86.84</v>
      </c>
      <c r="E12480">
        <v>266</v>
      </c>
      <c r="F12480">
        <v>35</v>
      </c>
      <c r="G12480">
        <v>0</v>
      </c>
      <c r="H12480">
        <v>1</v>
      </c>
      <c r="I12480">
        <v>266</v>
      </c>
      <c r="J12480">
        <v>1</v>
      </c>
      <c r="K12480">
        <v>1200</v>
      </c>
      <c r="L12480">
        <v>1465</v>
      </c>
      <c r="M12480">
        <v>1</v>
      </c>
      <c r="N12480">
        <v>6.8972500000000003E-137</v>
      </c>
      <c r="O12480">
        <v>1244</v>
      </c>
    </row>
    <row r="12481" spans="1:15" x14ac:dyDescent="0.25">
      <c r="A12481" t="s">
        <v>12494</v>
      </c>
      <c r="B12481">
        <v>606</v>
      </c>
      <c r="C12481" s="1" t="str">
        <f>HYPERLINK("http://www.rosaceae.org/gb/gbrowse/malus_x_domestica/?name=MDP0000276878","MDP0000276878")</f>
        <v>MDP0000276878</v>
      </c>
      <c r="D12481">
        <v>59.91</v>
      </c>
      <c r="E12481">
        <v>454</v>
      </c>
      <c r="F12481">
        <v>182</v>
      </c>
      <c r="G12481">
        <v>81</v>
      </c>
      <c r="H12481">
        <v>182</v>
      </c>
      <c r="I12481">
        <v>583</v>
      </c>
      <c r="J12481">
        <v>1</v>
      </c>
      <c r="K12481">
        <v>454</v>
      </c>
      <c r="L12481">
        <v>878</v>
      </c>
      <c r="M12481">
        <v>1</v>
      </c>
      <c r="N12481">
        <v>1.2182799999999999E-147</v>
      </c>
      <c r="O12481">
        <v>1341</v>
      </c>
    </row>
    <row r="12482" spans="1:15" x14ac:dyDescent="0.25">
      <c r="A12482" t="s">
        <v>12495</v>
      </c>
      <c r="B12482">
        <v>251</v>
      </c>
      <c r="C12482" s="1" t="str">
        <f>HYPERLINK("http://www.rosaceae.org/gb/gbrowse/malus_x_domestica/?name=MDP0000318801","MDP0000318801")</f>
        <v>MDP0000318801</v>
      </c>
      <c r="D12482">
        <v>82.4</v>
      </c>
      <c r="E12482">
        <v>108</v>
      </c>
      <c r="F12482">
        <v>19</v>
      </c>
      <c r="G12482">
        <v>0</v>
      </c>
      <c r="H12482">
        <v>1</v>
      </c>
      <c r="I12482">
        <v>108</v>
      </c>
      <c r="J12482">
        <v>1</v>
      </c>
      <c r="K12482">
        <v>158</v>
      </c>
      <c r="L12482">
        <v>265</v>
      </c>
      <c r="M12482">
        <v>1</v>
      </c>
      <c r="N12482">
        <v>9.9291599999999999E-48</v>
      </c>
      <c r="O12482">
        <v>475</v>
      </c>
    </row>
    <row r="12483" spans="1:15" x14ac:dyDescent="0.25">
      <c r="A12483" t="s">
        <v>12496</v>
      </c>
      <c r="B12483">
        <v>134</v>
      </c>
      <c r="C12483" s="1" t="str">
        <f>HYPERLINK("http://www.rosaceae.org/gb/gbrowse/malus_x_domestica/?name=MDP0000221363","MDP0000221363")</f>
        <v>MDP0000221363</v>
      </c>
      <c r="D12483">
        <v>43.07</v>
      </c>
      <c r="E12483">
        <v>130</v>
      </c>
      <c r="F12483">
        <v>74</v>
      </c>
      <c r="G12483">
        <v>31</v>
      </c>
      <c r="H12483">
        <v>2</v>
      </c>
      <c r="I12483">
        <v>100</v>
      </c>
      <c r="J12483">
        <v>1</v>
      </c>
      <c r="K12483">
        <v>718</v>
      </c>
      <c r="L12483">
        <v>847</v>
      </c>
      <c r="M12483">
        <v>1</v>
      </c>
      <c r="N12483">
        <v>2.2951100000000002E-16</v>
      </c>
      <c r="O12483">
        <v>199</v>
      </c>
    </row>
    <row r="12484" spans="1:15" x14ac:dyDescent="0.25">
      <c r="A12484" t="s">
        <v>12497</v>
      </c>
      <c r="B12484">
        <v>431</v>
      </c>
      <c r="C12484" s="1" t="str">
        <f>HYPERLINK("http://www.rosaceae.org/gb/gbrowse/malus_x_domestica/?name=MDP0000500222","MDP0000500222")</f>
        <v>MDP0000500222</v>
      </c>
      <c r="D12484">
        <v>40.950000000000003</v>
      </c>
      <c r="E12484">
        <v>398</v>
      </c>
      <c r="F12484">
        <v>235</v>
      </c>
      <c r="G12484">
        <v>51</v>
      </c>
      <c r="H12484">
        <v>48</v>
      </c>
      <c r="I12484">
        <v>431</v>
      </c>
      <c r="J12484">
        <v>1</v>
      </c>
      <c r="K12484">
        <v>69</v>
      </c>
      <c r="L12484">
        <v>429</v>
      </c>
      <c r="M12484">
        <v>1</v>
      </c>
      <c r="N12484">
        <v>4.34257E-64</v>
      </c>
      <c r="O12484">
        <v>618</v>
      </c>
    </row>
    <row r="12485" spans="1:15" x14ac:dyDescent="0.25">
      <c r="A12485" t="s">
        <v>12498</v>
      </c>
      <c r="B12485">
        <v>433</v>
      </c>
      <c r="C12485" s="1" t="str">
        <f>HYPERLINK("http://www.rosaceae.org/gb/gbrowse/malus_x_domestica/?name=MDP0000288702","MDP0000288702")</f>
        <v>MDP0000288702</v>
      </c>
      <c r="D12485">
        <v>78.260000000000005</v>
      </c>
      <c r="E12485">
        <v>437</v>
      </c>
      <c r="F12485">
        <v>95</v>
      </c>
      <c r="G12485">
        <v>14</v>
      </c>
      <c r="H12485">
        <v>1</v>
      </c>
      <c r="I12485">
        <v>432</v>
      </c>
      <c r="J12485">
        <v>1</v>
      </c>
      <c r="K12485">
        <v>702</v>
      </c>
      <c r="L12485">
        <v>1129</v>
      </c>
      <c r="M12485">
        <v>1</v>
      </c>
      <c r="N12485">
        <v>0</v>
      </c>
      <c r="O12485">
        <v>1729</v>
      </c>
    </row>
    <row r="12486" spans="1:15" x14ac:dyDescent="0.25">
      <c r="A12486" t="s">
        <v>12499</v>
      </c>
      <c r="B12486">
        <v>358</v>
      </c>
      <c r="C12486" s="1" t="str">
        <f>HYPERLINK("http://www.rosaceae.org/gb/gbrowse/malus_x_domestica/?name=MDP0000232989","MDP0000232989")</f>
        <v>MDP0000232989</v>
      </c>
      <c r="D12486">
        <v>63.46</v>
      </c>
      <c r="E12486">
        <v>208</v>
      </c>
      <c r="F12486">
        <v>76</v>
      </c>
      <c r="G12486">
        <v>1</v>
      </c>
      <c r="H12486">
        <v>150</v>
      </c>
      <c r="I12486">
        <v>357</v>
      </c>
      <c r="J12486">
        <v>1</v>
      </c>
      <c r="K12486">
        <v>8</v>
      </c>
      <c r="L12486">
        <v>214</v>
      </c>
      <c r="M12486">
        <v>1</v>
      </c>
      <c r="N12486">
        <v>5.1794499999999999E-73</v>
      </c>
      <c r="O12486">
        <v>695</v>
      </c>
    </row>
    <row r="12487" spans="1:15" x14ac:dyDescent="0.25">
      <c r="A12487" t="s">
        <v>12500</v>
      </c>
      <c r="B12487">
        <v>2538</v>
      </c>
      <c r="C12487" s="1" t="str">
        <f>HYPERLINK("http://www.rosaceae.org/gb/gbrowse/malus_x_domestica/?name=MDP0000400911","MDP0000400911")</f>
        <v>MDP0000400911</v>
      </c>
      <c r="D12487">
        <v>55.38</v>
      </c>
      <c r="E12487">
        <v>845</v>
      </c>
      <c r="F12487">
        <v>377</v>
      </c>
      <c r="G12487">
        <v>57</v>
      </c>
      <c r="H12487">
        <v>646</v>
      </c>
      <c r="I12487">
        <v>1468</v>
      </c>
      <c r="J12487">
        <v>1</v>
      </c>
      <c r="K12487">
        <v>186</v>
      </c>
      <c r="L12487">
        <v>995</v>
      </c>
      <c r="M12487">
        <v>1</v>
      </c>
      <c r="N12487">
        <v>0</v>
      </c>
      <c r="O12487">
        <v>2118</v>
      </c>
    </row>
    <row r="12488" spans="1:15" x14ac:dyDescent="0.25">
      <c r="A12488" t="s">
        <v>12501</v>
      </c>
      <c r="B12488">
        <v>609</v>
      </c>
      <c r="C12488" s="1" t="str">
        <f>HYPERLINK("http://www.rosaceae.org/gb/gbrowse/malus_x_domestica/?name=MDP0000183140","MDP0000183140")</f>
        <v>MDP0000183140</v>
      </c>
      <c r="D12488">
        <v>69.510000000000005</v>
      </c>
      <c r="E12488">
        <v>666</v>
      </c>
      <c r="F12488">
        <v>203</v>
      </c>
      <c r="G12488">
        <v>60</v>
      </c>
      <c r="H12488">
        <v>1</v>
      </c>
      <c r="I12488">
        <v>609</v>
      </c>
      <c r="J12488">
        <v>1</v>
      </c>
      <c r="K12488">
        <v>1</v>
      </c>
      <c r="L12488">
        <v>663</v>
      </c>
      <c r="M12488">
        <v>1</v>
      </c>
      <c r="N12488">
        <v>0</v>
      </c>
      <c r="O12488">
        <v>2367</v>
      </c>
    </row>
    <row r="12489" spans="1:15" x14ac:dyDescent="0.25">
      <c r="A12489" t="s">
        <v>12502</v>
      </c>
      <c r="B12489">
        <v>113</v>
      </c>
      <c r="C12489" s="1" t="str">
        <f>HYPERLINK("http://www.rosaceae.org/gb/gbrowse/malus_x_domestica/?name=MDP0000148002","MDP0000148002")</f>
        <v>MDP0000148002</v>
      </c>
      <c r="D12489">
        <v>58.59</v>
      </c>
      <c r="E12489">
        <v>128</v>
      </c>
      <c r="F12489">
        <v>53</v>
      </c>
      <c r="G12489">
        <v>24</v>
      </c>
      <c r="H12489">
        <v>1</v>
      </c>
      <c r="I12489">
        <v>104</v>
      </c>
      <c r="J12489">
        <v>1</v>
      </c>
      <c r="K12489">
        <v>51</v>
      </c>
      <c r="L12489">
        <v>178</v>
      </c>
      <c r="M12489">
        <v>1</v>
      </c>
      <c r="N12489">
        <v>3.7977600000000002E-35</v>
      </c>
      <c r="O12489">
        <v>361</v>
      </c>
    </row>
    <row r="12490" spans="1:15" x14ac:dyDescent="0.25">
      <c r="A12490" t="s">
        <v>12503</v>
      </c>
      <c r="B12490">
        <v>464</v>
      </c>
      <c r="C12490" s="1" t="str">
        <f>HYPERLINK("http://www.rosaceae.org/gb/gbrowse/malus_x_domestica/?name=MDP0000242979","MDP0000242979")</f>
        <v>MDP0000242979</v>
      </c>
      <c r="D12490">
        <v>37.96</v>
      </c>
      <c r="E12490">
        <v>403</v>
      </c>
      <c r="F12490">
        <v>250</v>
      </c>
      <c r="G12490">
        <v>40</v>
      </c>
      <c r="H12490">
        <v>1</v>
      </c>
      <c r="I12490">
        <v>386</v>
      </c>
      <c r="J12490">
        <v>1</v>
      </c>
      <c r="K12490">
        <v>1</v>
      </c>
      <c r="L12490">
        <v>380</v>
      </c>
      <c r="M12490">
        <v>1</v>
      </c>
      <c r="N12490">
        <v>6.1854500000000003E-47</v>
      </c>
      <c r="O12490">
        <v>471</v>
      </c>
    </row>
    <row r="12491" spans="1:15" x14ac:dyDescent="0.25">
      <c r="A12491" t="s">
        <v>12504</v>
      </c>
      <c r="B12491">
        <v>373</v>
      </c>
      <c r="C12491" s="1" t="str">
        <f>HYPERLINK("http://www.rosaceae.org/gb/gbrowse/malus_x_domestica/?name=MDP0000321704","MDP0000321704")</f>
        <v>MDP0000321704</v>
      </c>
      <c r="D12491">
        <v>63.28</v>
      </c>
      <c r="E12491">
        <v>128</v>
      </c>
      <c r="F12491">
        <v>47</v>
      </c>
      <c r="G12491">
        <v>6</v>
      </c>
      <c r="H12491">
        <v>248</v>
      </c>
      <c r="I12491">
        <v>372</v>
      </c>
      <c r="J12491">
        <v>1</v>
      </c>
      <c r="K12491">
        <v>416</v>
      </c>
      <c r="L12491">
        <v>540</v>
      </c>
      <c r="M12491">
        <v>1</v>
      </c>
      <c r="N12491">
        <v>3.0394999999999997E-38</v>
      </c>
      <c r="O12491">
        <v>395</v>
      </c>
    </row>
    <row r="12492" spans="1:15" x14ac:dyDescent="0.25">
      <c r="A12492" t="s">
        <v>12505</v>
      </c>
      <c r="B12492">
        <v>880</v>
      </c>
      <c r="C12492" s="1" t="str">
        <f>HYPERLINK("http://www.rosaceae.org/gb/gbrowse/malus_x_domestica/?name=MDP0000276748","MDP0000276748")</f>
        <v>MDP0000276748</v>
      </c>
      <c r="D12492">
        <v>79.86</v>
      </c>
      <c r="E12492">
        <v>432</v>
      </c>
      <c r="F12492">
        <v>87</v>
      </c>
      <c r="G12492">
        <v>1</v>
      </c>
      <c r="H12492">
        <v>7</v>
      </c>
      <c r="I12492">
        <v>437</v>
      </c>
      <c r="J12492">
        <v>1</v>
      </c>
      <c r="K12492">
        <v>21</v>
      </c>
      <c r="L12492">
        <v>452</v>
      </c>
      <c r="M12492">
        <v>1</v>
      </c>
      <c r="N12492">
        <v>0</v>
      </c>
      <c r="O12492">
        <v>1867</v>
      </c>
    </row>
    <row r="12493" spans="1:15" x14ac:dyDescent="0.25">
      <c r="A12493" t="s">
        <v>12506</v>
      </c>
      <c r="B12493">
        <v>48</v>
      </c>
      <c r="C12493" s="1" t="str">
        <f>HYPERLINK("http://www.rosaceae.org/gb/gbrowse/malus_x_domestica/?name=MDP0000224754","MDP0000224754")</f>
        <v>MDP0000224754</v>
      </c>
      <c r="D12493">
        <v>85.18</v>
      </c>
      <c r="E12493">
        <v>27</v>
      </c>
      <c r="F12493">
        <v>4</v>
      </c>
      <c r="G12493">
        <v>0</v>
      </c>
      <c r="H12493">
        <v>14</v>
      </c>
      <c r="I12493">
        <v>40</v>
      </c>
      <c r="J12493">
        <v>1</v>
      </c>
      <c r="K12493">
        <v>453</v>
      </c>
      <c r="L12493">
        <v>479</v>
      </c>
      <c r="M12493">
        <v>1</v>
      </c>
      <c r="N12493">
        <v>2.7226600000000002E-9</v>
      </c>
      <c r="O12493">
        <v>137</v>
      </c>
    </row>
    <row r="12494" spans="1:15" x14ac:dyDescent="0.25">
      <c r="A12494" t="s">
        <v>12507</v>
      </c>
      <c r="B12494">
        <v>253</v>
      </c>
      <c r="C12494" s="1" t="str">
        <f>HYPERLINK("http://www.rosaceae.org/gb/gbrowse/malus_x_domestica/?name=MDP0000273602","MDP0000273602")</f>
        <v>MDP0000273602</v>
      </c>
      <c r="D12494">
        <v>64.02</v>
      </c>
      <c r="E12494">
        <v>189</v>
      </c>
      <c r="F12494">
        <v>68</v>
      </c>
      <c r="G12494">
        <v>3</v>
      </c>
      <c r="H12494">
        <v>64</v>
      </c>
      <c r="I12494">
        <v>252</v>
      </c>
      <c r="J12494">
        <v>1</v>
      </c>
      <c r="K12494">
        <v>31</v>
      </c>
      <c r="L12494">
        <v>216</v>
      </c>
      <c r="M12494">
        <v>1</v>
      </c>
      <c r="N12494">
        <v>2.1184700000000001E-69</v>
      </c>
      <c r="O12494">
        <v>662</v>
      </c>
    </row>
    <row r="12495" spans="1:15" x14ac:dyDescent="0.25">
      <c r="A12495" t="s">
        <v>12508</v>
      </c>
      <c r="B12495">
        <v>613</v>
      </c>
      <c r="C12495" s="1" t="str">
        <f>HYPERLINK("http://www.rosaceae.org/gb/gbrowse/malus_x_domestica/?name=MDP0000148489","MDP0000148489")</f>
        <v>MDP0000148489</v>
      </c>
      <c r="D12495">
        <v>39.67</v>
      </c>
      <c r="E12495">
        <v>615</v>
      </c>
      <c r="F12495">
        <v>371</v>
      </c>
      <c r="G12495">
        <v>3</v>
      </c>
      <c r="H12495">
        <v>1</v>
      </c>
      <c r="I12495">
        <v>612</v>
      </c>
      <c r="J12495">
        <v>1</v>
      </c>
      <c r="K12495">
        <v>739</v>
      </c>
      <c r="L12495">
        <v>1353</v>
      </c>
      <c r="M12495">
        <v>1</v>
      </c>
      <c r="N12495">
        <v>1.16737E-141</v>
      </c>
      <c r="O12495">
        <v>1289</v>
      </c>
    </row>
    <row r="12496" spans="1:15" x14ac:dyDescent="0.25">
      <c r="A12496" t="s">
        <v>12509</v>
      </c>
      <c r="B12496">
        <v>215</v>
      </c>
      <c r="C12496" s="1" t="str">
        <f>HYPERLINK("http://www.rosaceae.org/gb/gbrowse/malus_x_domestica/?name=MDP0000519967","MDP0000519967")</f>
        <v>MDP0000519967</v>
      </c>
      <c r="D12496">
        <v>91.74</v>
      </c>
      <c r="E12496">
        <v>218</v>
      </c>
      <c r="F12496">
        <v>18</v>
      </c>
      <c r="G12496">
        <v>4</v>
      </c>
      <c r="H12496">
        <v>1</v>
      </c>
      <c r="I12496">
        <v>215</v>
      </c>
      <c r="J12496">
        <v>1</v>
      </c>
      <c r="K12496">
        <v>1</v>
      </c>
      <c r="L12496">
        <v>217</v>
      </c>
      <c r="M12496">
        <v>1</v>
      </c>
      <c r="N12496">
        <v>5.62125E-113</v>
      </c>
      <c r="O12496">
        <v>1036</v>
      </c>
    </row>
    <row r="12497" spans="1:15" x14ac:dyDescent="0.25">
      <c r="A12497" t="s">
        <v>12510</v>
      </c>
      <c r="B12497">
        <v>390</v>
      </c>
      <c r="C12497" s="1" t="str">
        <f>HYPERLINK("http://www.rosaceae.org/gb/gbrowse/malus_x_domestica/?name=MDP0000129321","MDP0000129321")</f>
        <v>MDP0000129321</v>
      </c>
      <c r="D12497">
        <v>95.28</v>
      </c>
      <c r="E12497">
        <v>106</v>
      </c>
      <c r="F12497">
        <v>5</v>
      </c>
      <c r="G12497">
        <v>0</v>
      </c>
      <c r="H12497">
        <v>107</v>
      </c>
      <c r="I12497">
        <v>212</v>
      </c>
      <c r="J12497">
        <v>1</v>
      </c>
      <c r="K12497">
        <v>1</v>
      </c>
      <c r="L12497">
        <v>106</v>
      </c>
      <c r="M12497">
        <v>1</v>
      </c>
      <c r="N12497">
        <v>6.5899100000000003E-56</v>
      </c>
      <c r="O12497">
        <v>547</v>
      </c>
    </row>
    <row r="12498" spans="1:15" x14ac:dyDescent="0.25">
      <c r="A12498" t="s">
        <v>12511</v>
      </c>
      <c r="B12498">
        <v>293</v>
      </c>
      <c r="C12498" s="1" t="str">
        <f>HYPERLINK("http://www.rosaceae.org/gb/gbrowse/malus_x_domestica/?name=MDP0000152733","MDP0000152733")</f>
        <v>MDP0000152733</v>
      </c>
      <c r="D12498">
        <v>82.95</v>
      </c>
      <c r="E12498">
        <v>223</v>
      </c>
      <c r="F12498">
        <v>38</v>
      </c>
      <c r="G12498">
        <v>8</v>
      </c>
      <c r="H12498">
        <v>67</v>
      </c>
      <c r="I12498">
        <v>281</v>
      </c>
      <c r="J12498">
        <v>1</v>
      </c>
      <c r="K12498">
        <v>77</v>
      </c>
      <c r="L12498">
        <v>299</v>
      </c>
      <c r="M12498">
        <v>1</v>
      </c>
      <c r="N12498">
        <v>2.2932700000000001E-108</v>
      </c>
      <c r="O12498">
        <v>998</v>
      </c>
    </row>
    <row r="12499" spans="1:15" x14ac:dyDescent="0.25">
      <c r="A12499" t="s">
        <v>12512</v>
      </c>
      <c r="B12499">
        <v>236</v>
      </c>
      <c r="C12499" s="1" t="str">
        <f>HYPERLINK("http://www.rosaceae.org/gb/gbrowse/malus_x_domestica/?name=MDP0000437657","MDP0000437657")</f>
        <v>MDP0000437657</v>
      </c>
      <c r="D12499">
        <v>51.81</v>
      </c>
      <c r="E12499">
        <v>220</v>
      </c>
      <c r="F12499">
        <v>106</v>
      </c>
      <c r="G12499">
        <v>0</v>
      </c>
      <c r="H12499">
        <v>1</v>
      </c>
      <c r="I12499">
        <v>220</v>
      </c>
      <c r="J12499">
        <v>1</v>
      </c>
      <c r="K12499">
        <v>1</v>
      </c>
      <c r="L12499">
        <v>220</v>
      </c>
      <c r="M12499">
        <v>1</v>
      </c>
      <c r="N12499">
        <v>7.4898700000000004E-62</v>
      </c>
      <c r="O12499">
        <v>596</v>
      </c>
    </row>
    <row r="12500" spans="1:15" x14ac:dyDescent="0.25">
      <c r="A12500" t="s">
        <v>12513</v>
      </c>
      <c r="B12500">
        <v>752</v>
      </c>
      <c r="C12500" s="1" t="str">
        <f>HYPERLINK("http://www.rosaceae.org/gb/gbrowse/malus_x_domestica/?name=MDP0000021204","MDP0000021204")</f>
        <v>MDP0000021204</v>
      </c>
      <c r="D12500">
        <v>84.3</v>
      </c>
      <c r="E12500">
        <v>516</v>
      </c>
      <c r="F12500">
        <v>81</v>
      </c>
      <c r="G12500">
        <v>0</v>
      </c>
      <c r="H12500">
        <v>237</v>
      </c>
      <c r="I12500">
        <v>752</v>
      </c>
      <c r="J12500">
        <v>1</v>
      </c>
      <c r="K12500">
        <v>1</v>
      </c>
      <c r="L12500">
        <v>516</v>
      </c>
      <c r="M12500">
        <v>1</v>
      </c>
      <c r="N12500">
        <v>0</v>
      </c>
      <c r="O12500">
        <v>2329</v>
      </c>
    </row>
    <row r="12501" spans="1:15" x14ac:dyDescent="0.25">
      <c r="A12501" t="s">
        <v>12514</v>
      </c>
      <c r="B12501">
        <v>321</v>
      </c>
      <c r="C12501" s="1" t="str">
        <f>HYPERLINK("http://www.rosaceae.org/gb/gbrowse/malus_x_domestica/?name=MDP0000112687","MDP0000112687")</f>
        <v>MDP0000112687</v>
      </c>
      <c r="D12501">
        <v>87.19</v>
      </c>
      <c r="E12501">
        <v>203</v>
      </c>
      <c r="F12501">
        <v>26</v>
      </c>
      <c r="G12501">
        <v>0</v>
      </c>
      <c r="H12501">
        <v>4</v>
      </c>
      <c r="I12501">
        <v>206</v>
      </c>
      <c r="J12501">
        <v>1</v>
      </c>
      <c r="K12501">
        <v>3</v>
      </c>
      <c r="L12501">
        <v>205</v>
      </c>
      <c r="M12501">
        <v>1</v>
      </c>
      <c r="N12501">
        <v>1.3976699999999999E-103</v>
      </c>
      <c r="O12501">
        <v>958</v>
      </c>
    </row>
    <row r="12502" spans="1:15" x14ac:dyDescent="0.25">
      <c r="A12502" t="s">
        <v>12515</v>
      </c>
      <c r="B12502">
        <v>382</v>
      </c>
      <c r="C12502" s="1" t="str">
        <f>HYPERLINK("http://www.rosaceae.org/gb/gbrowse/malus_x_domestica/?name=MDP0000322183","MDP0000322183")</f>
        <v>MDP0000322183</v>
      </c>
      <c r="D12502">
        <v>38.409999999999997</v>
      </c>
      <c r="E12502">
        <v>341</v>
      </c>
      <c r="F12502">
        <v>210</v>
      </c>
      <c r="G12502">
        <v>41</v>
      </c>
      <c r="H12502">
        <v>32</v>
      </c>
      <c r="I12502">
        <v>346</v>
      </c>
      <c r="J12502">
        <v>1</v>
      </c>
      <c r="K12502">
        <v>40</v>
      </c>
      <c r="L12502">
        <v>365</v>
      </c>
      <c r="M12502">
        <v>1</v>
      </c>
      <c r="N12502">
        <v>5.4252399999999996E-53</v>
      </c>
      <c r="O12502">
        <v>522</v>
      </c>
    </row>
    <row r="12503" spans="1:15" x14ac:dyDescent="0.25">
      <c r="A12503" t="s">
        <v>12516</v>
      </c>
      <c r="B12503">
        <v>468</v>
      </c>
      <c r="C12503" s="1" t="str">
        <f>HYPERLINK("http://www.rosaceae.org/gb/gbrowse/malus_x_domestica/?name=MDP0000220633","MDP0000220633")</f>
        <v>MDP0000220633</v>
      </c>
      <c r="D12503">
        <v>62.77</v>
      </c>
      <c r="E12503">
        <v>317</v>
      </c>
      <c r="F12503">
        <v>118</v>
      </c>
      <c r="G12503">
        <v>28</v>
      </c>
      <c r="H12503">
        <v>152</v>
      </c>
      <c r="I12503">
        <v>468</v>
      </c>
      <c r="J12503">
        <v>1</v>
      </c>
      <c r="K12503">
        <v>384</v>
      </c>
      <c r="L12503">
        <v>672</v>
      </c>
      <c r="M12503">
        <v>1</v>
      </c>
      <c r="N12503">
        <v>1.89879E-101</v>
      </c>
      <c r="O12503">
        <v>941</v>
      </c>
    </row>
    <row r="12504" spans="1:15" x14ac:dyDescent="0.25">
      <c r="A12504" t="s">
        <v>12517</v>
      </c>
      <c r="B12504">
        <v>394</v>
      </c>
      <c r="C12504" s="1" t="str">
        <f>HYPERLINK("http://www.rosaceae.org/gb/gbrowse/malus_x_domestica/?name=MDP0000274695","MDP0000274695")</f>
        <v>MDP0000274695</v>
      </c>
      <c r="D12504">
        <v>40.51</v>
      </c>
      <c r="E12504">
        <v>116</v>
      </c>
      <c r="F12504">
        <v>69</v>
      </c>
      <c r="G12504">
        <v>10</v>
      </c>
      <c r="H12504">
        <v>176</v>
      </c>
      <c r="I12504">
        <v>283</v>
      </c>
      <c r="J12504">
        <v>1</v>
      </c>
      <c r="K12504">
        <v>137</v>
      </c>
      <c r="L12504">
        <v>250</v>
      </c>
      <c r="M12504">
        <v>1</v>
      </c>
      <c r="N12504">
        <v>2.5329399999999999E-10</v>
      </c>
      <c r="O12504">
        <v>154</v>
      </c>
    </row>
    <row r="12505" spans="1:15" x14ac:dyDescent="0.25">
      <c r="A12505" t="s">
        <v>12518</v>
      </c>
      <c r="B12505">
        <v>78</v>
      </c>
      <c r="C12505" s="1" t="str">
        <f>HYPERLINK("http://www.rosaceae.org/gb/gbrowse/malus_x_domestica/?name=MDP0000287519","MDP0000287519")</f>
        <v>MDP0000287519</v>
      </c>
      <c r="D12505">
        <v>46.66</v>
      </c>
      <c r="E12505">
        <v>60</v>
      </c>
      <c r="F12505">
        <v>32</v>
      </c>
      <c r="G12505">
        <v>1</v>
      </c>
      <c r="H12505">
        <v>11</v>
      </c>
      <c r="I12505">
        <v>70</v>
      </c>
      <c r="J12505">
        <v>1</v>
      </c>
      <c r="K12505">
        <v>640</v>
      </c>
      <c r="L12505">
        <v>698</v>
      </c>
      <c r="M12505">
        <v>1</v>
      </c>
      <c r="N12505">
        <v>2.5784599999999998E-9</v>
      </c>
      <c r="O12505">
        <v>138</v>
      </c>
    </row>
    <row r="12506" spans="1:15" x14ac:dyDescent="0.25">
      <c r="A12506" t="s">
        <v>12519</v>
      </c>
      <c r="B12506">
        <v>159</v>
      </c>
      <c r="C12506" s="1" t="str">
        <f>HYPERLINK("http://www.rosaceae.org/gb/gbrowse/malus_x_domestica/?name=MDP0000316345","MDP0000316345")</f>
        <v>MDP0000316345</v>
      </c>
      <c r="D12506">
        <v>38.93</v>
      </c>
      <c r="E12506">
        <v>113</v>
      </c>
      <c r="F12506">
        <v>69</v>
      </c>
      <c r="G12506">
        <v>45</v>
      </c>
      <c r="H12506">
        <v>55</v>
      </c>
      <c r="I12506">
        <v>122</v>
      </c>
      <c r="J12506">
        <v>1</v>
      </c>
      <c r="K12506">
        <v>43</v>
      </c>
      <c r="L12506">
        <v>155</v>
      </c>
      <c r="M12506">
        <v>1</v>
      </c>
      <c r="N12506">
        <v>1.9816899999999999E-10</v>
      </c>
      <c r="O12506">
        <v>150</v>
      </c>
    </row>
    <row r="12507" spans="1:15" x14ac:dyDescent="0.25">
      <c r="A12507" t="s">
        <v>12520</v>
      </c>
      <c r="B12507">
        <v>145</v>
      </c>
      <c r="C12507" s="1" t="str">
        <f>HYPERLINK("http://www.rosaceae.org/gb/gbrowse/malus_x_domestica/?name=MDP0000143872","MDP0000143872")</f>
        <v>MDP0000143872</v>
      </c>
      <c r="D12507">
        <v>76.92</v>
      </c>
      <c r="E12507">
        <v>26</v>
      </c>
      <c r="F12507">
        <v>6</v>
      </c>
      <c r="G12507">
        <v>0</v>
      </c>
      <c r="H12507">
        <v>39</v>
      </c>
      <c r="I12507">
        <v>64</v>
      </c>
      <c r="J12507">
        <v>1</v>
      </c>
      <c r="K12507">
        <v>130</v>
      </c>
      <c r="L12507">
        <v>155</v>
      </c>
      <c r="M12507">
        <v>1</v>
      </c>
      <c r="N12507">
        <v>1.3996199999999999E-7</v>
      </c>
      <c r="O12507">
        <v>124</v>
      </c>
    </row>
    <row r="12508" spans="1:15" x14ac:dyDescent="0.25">
      <c r="A12508" t="s">
        <v>12521</v>
      </c>
      <c r="B12508">
        <v>107</v>
      </c>
      <c r="C12508" s="1" t="str">
        <f>HYPERLINK("http://www.rosaceae.org/gb/gbrowse/malus_x_domestica/?name=MDP0000172516","MDP0000172516")</f>
        <v>MDP0000172516</v>
      </c>
      <c r="D12508">
        <v>64.42</v>
      </c>
      <c r="E12508">
        <v>104</v>
      </c>
      <c r="F12508">
        <v>37</v>
      </c>
      <c r="G12508">
        <v>9</v>
      </c>
      <c r="H12508">
        <v>1</v>
      </c>
      <c r="I12508">
        <v>104</v>
      </c>
      <c r="J12508">
        <v>1</v>
      </c>
      <c r="K12508">
        <v>698</v>
      </c>
      <c r="L12508">
        <v>792</v>
      </c>
      <c r="M12508">
        <v>1</v>
      </c>
      <c r="N12508">
        <v>5.1874400000000003E-31</v>
      </c>
      <c r="O12508">
        <v>325</v>
      </c>
    </row>
    <row r="12509" spans="1:15" x14ac:dyDescent="0.25">
      <c r="A12509" t="s">
        <v>12522</v>
      </c>
      <c r="B12509">
        <v>178</v>
      </c>
      <c r="C12509" s="1" t="str">
        <f>HYPERLINK("http://www.rosaceae.org/gb/gbrowse/malus_x_domestica/?name=MDP0000235300","MDP0000235300")</f>
        <v>MDP0000235300</v>
      </c>
      <c r="D12509">
        <v>65.569999999999993</v>
      </c>
      <c r="E12509">
        <v>122</v>
      </c>
      <c r="F12509">
        <v>42</v>
      </c>
      <c r="G12509">
        <v>1</v>
      </c>
      <c r="H12509">
        <v>57</v>
      </c>
      <c r="I12509">
        <v>178</v>
      </c>
      <c r="J12509">
        <v>1</v>
      </c>
      <c r="K12509">
        <v>513</v>
      </c>
      <c r="L12509">
        <v>633</v>
      </c>
      <c r="M12509">
        <v>1</v>
      </c>
      <c r="N12509">
        <v>4.07112E-41</v>
      </c>
      <c r="O12509">
        <v>415</v>
      </c>
    </row>
    <row r="12510" spans="1:15" x14ac:dyDescent="0.25">
      <c r="A12510" t="s">
        <v>12523</v>
      </c>
      <c r="B12510">
        <v>198</v>
      </c>
      <c r="C12510" s="1" t="str">
        <f>HYPERLINK("http://www.rosaceae.org/gb/gbrowse/malus_x_domestica/?name=MDP0000136726","MDP0000136726")</f>
        <v>MDP0000136726</v>
      </c>
      <c r="D12510">
        <v>60.26</v>
      </c>
      <c r="E12510">
        <v>151</v>
      </c>
      <c r="F12510">
        <v>60</v>
      </c>
      <c r="G12510">
        <v>1</v>
      </c>
      <c r="H12510">
        <v>47</v>
      </c>
      <c r="I12510">
        <v>197</v>
      </c>
      <c r="J12510">
        <v>1</v>
      </c>
      <c r="K12510">
        <v>21</v>
      </c>
      <c r="L12510">
        <v>170</v>
      </c>
      <c r="M12510">
        <v>1</v>
      </c>
      <c r="N12510">
        <v>3.55078E-47</v>
      </c>
      <c r="O12510">
        <v>468</v>
      </c>
    </row>
    <row r="12511" spans="1:15" x14ac:dyDescent="0.25">
      <c r="A12511" t="s">
        <v>12524</v>
      </c>
      <c r="B12511">
        <v>151</v>
      </c>
      <c r="C12511" s="1" t="str">
        <f>HYPERLINK("http://www.rosaceae.org/gb/gbrowse/malus_x_domestica/?name=MDP0000301092","MDP0000301092")</f>
        <v>MDP0000301092</v>
      </c>
      <c r="D12511">
        <v>80.13</v>
      </c>
      <c r="E12511">
        <v>151</v>
      </c>
      <c r="F12511">
        <v>30</v>
      </c>
      <c r="G12511">
        <v>3</v>
      </c>
      <c r="H12511">
        <v>1</v>
      </c>
      <c r="I12511">
        <v>150</v>
      </c>
      <c r="J12511">
        <v>1</v>
      </c>
      <c r="K12511">
        <v>1</v>
      </c>
      <c r="L12511">
        <v>149</v>
      </c>
      <c r="M12511">
        <v>1</v>
      </c>
      <c r="N12511">
        <v>6.5713299999999994E-64</v>
      </c>
      <c r="O12511">
        <v>611</v>
      </c>
    </row>
    <row r="12512" spans="1:15" x14ac:dyDescent="0.25">
      <c r="A12512" t="s">
        <v>12525</v>
      </c>
      <c r="B12512">
        <v>156</v>
      </c>
      <c r="C12512" s="1" t="str">
        <f>HYPERLINK("http://www.rosaceae.org/gb/gbrowse/malus_x_domestica/?name=MDP0000278575","MDP0000278575")</f>
        <v>MDP0000278575</v>
      </c>
      <c r="D12512">
        <v>62.71</v>
      </c>
      <c r="E12512">
        <v>59</v>
      </c>
      <c r="F12512">
        <v>22</v>
      </c>
      <c r="G12512">
        <v>1</v>
      </c>
      <c r="H12512">
        <v>6</v>
      </c>
      <c r="I12512">
        <v>64</v>
      </c>
      <c r="J12512">
        <v>1</v>
      </c>
      <c r="K12512">
        <v>755</v>
      </c>
      <c r="L12512">
        <v>812</v>
      </c>
      <c r="M12512">
        <v>1</v>
      </c>
      <c r="N12512">
        <v>6.2731600000000004E-14</v>
      </c>
      <c r="O12512">
        <v>180</v>
      </c>
    </row>
    <row r="12513" spans="1:15" x14ac:dyDescent="0.25">
      <c r="A12513" t="s">
        <v>12526</v>
      </c>
      <c r="B12513">
        <v>536</v>
      </c>
      <c r="C12513" s="1" t="str">
        <f>HYPERLINK("http://www.rosaceae.org/gb/gbrowse/malus_x_domestica/?name=MDP0000628052","MDP0000628052")</f>
        <v>MDP0000628052</v>
      </c>
      <c r="D12513">
        <v>48.47</v>
      </c>
      <c r="E12513">
        <v>262</v>
      </c>
      <c r="F12513">
        <v>135</v>
      </c>
      <c r="G12513">
        <v>33</v>
      </c>
      <c r="H12513">
        <v>22</v>
      </c>
      <c r="I12513">
        <v>251</v>
      </c>
      <c r="J12513">
        <v>1</v>
      </c>
      <c r="K12513">
        <v>40</v>
      </c>
      <c r="L12513">
        <v>300</v>
      </c>
      <c r="M12513">
        <v>1</v>
      </c>
      <c r="N12513">
        <v>8.4839699999999997E-59</v>
      </c>
      <c r="O12513">
        <v>574</v>
      </c>
    </row>
    <row r="12514" spans="1:15" x14ac:dyDescent="0.25">
      <c r="A12514" t="s">
        <v>12527</v>
      </c>
      <c r="B12514">
        <v>313</v>
      </c>
      <c r="C12514" s="1" t="str">
        <f>HYPERLINK("http://www.rosaceae.org/gb/gbrowse/malus_x_domestica/?name=MDP0000208718","MDP0000208718")</f>
        <v>MDP0000208718</v>
      </c>
      <c r="D12514">
        <v>62.02</v>
      </c>
      <c r="E12514">
        <v>316</v>
      </c>
      <c r="F12514">
        <v>120</v>
      </c>
      <c r="G12514">
        <v>12</v>
      </c>
      <c r="H12514">
        <v>2</v>
      </c>
      <c r="I12514">
        <v>312</v>
      </c>
      <c r="J12514">
        <v>1</v>
      </c>
      <c r="K12514">
        <v>3</v>
      </c>
      <c r="L12514">
        <v>311</v>
      </c>
      <c r="M12514">
        <v>1</v>
      </c>
      <c r="N12514">
        <v>1.18185E-92</v>
      </c>
      <c r="O12514">
        <v>863</v>
      </c>
    </row>
    <row r="12515" spans="1:15" x14ac:dyDescent="0.25">
      <c r="A12515" t="s">
        <v>12528</v>
      </c>
      <c r="B12515">
        <v>956</v>
      </c>
      <c r="C12515" s="1" t="str">
        <f>HYPERLINK("http://www.rosaceae.org/gb/gbrowse/malus_x_domestica/?name=MDP0000462149","MDP0000462149")</f>
        <v>MDP0000462149</v>
      </c>
      <c r="D12515">
        <v>61.81</v>
      </c>
      <c r="E12515">
        <v>914</v>
      </c>
      <c r="F12515">
        <v>349</v>
      </c>
      <c r="G12515">
        <v>51</v>
      </c>
      <c r="H12515">
        <v>55</v>
      </c>
      <c r="I12515">
        <v>956</v>
      </c>
      <c r="J12515">
        <v>1</v>
      </c>
      <c r="K12515">
        <v>55</v>
      </c>
      <c r="L12515">
        <v>929</v>
      </c>
      <c r="M12515">
        <v>1</v>
      </c>
      <c r="N12515">
        <v>0</v>
      </c>
      <c r="O12515">
        <v>2677</v>
      </c>
    </row>
    <row r="12516" spans="1:15" x14ac:dyDescent="0.25">
      <c r="A12516" t="s">
        <v>12529</v>
      </c>
      <c r="B12516">
        <v>180</v>
      </c>
      <c r="C12516" s="1" t="str">
        <f>HYPERLINK("http://www.rosaceae.org/gb/gbrowse/malus_x_domestica/?name=MDP0000205603","MDP0000205603")</f>
        <v>MDP0000205603</v>
      </c>
      <c r="D12516">
        <v>35.22</v>
      </c>
      <c r="E12516">
        <v>176</v>
      </c>
      <c r="F12516">
        <v>114</v>
      </c>
      <c r="G12516">
        <v>4</v>
      </c>
      <c r="H12516">
        <v>5</v>
      </c>
      <c r="I12516">
        <v>180</v>
      </c>
      <c r="J12516">
        <v>1</v>
      </c>
      <c r="K12516">
        <v>266</v>
      </c>
      <c r="L12516">
        <v>437</v>
      </c>
      <c r="M12516">
        <v>1</v>
      </c>
      <c r="N12516">
        <v>1.1214599999999999E-25</v>
      </c>
      <c r="O12516">
        <v>282</v>
      </c>
    </row>
    <row r="12517" spans="1:15" x14ac:dyDescent="0.25">
      <c r="A12517" t="s">
        <v>12530</v>
      </c>
      <c r="B12517">
        <v>1440</v>
      </c>
      <c r="C12517" s="1" t="str">
        <f>HYPERLINK("http://www.rosaceae.org/gb/gbrowse/malus_x_domestica/?name=MDP0000581471","MDP0000581471")</f>
        <v>MDP0000581471</v>
      </c>
      <c r="D12517">
        <v>52.18</v>
      </c>
      <c r="E12517">
        <v>1326</v>
      </c>
      <c r="F12517">
        <v>634</v>
      </c>
      <c r="G12517">
        <v>149</v>
      </c>
      <c r="H12517">
        <v>212</v>
      </c>
      <c r="I12517">
        <v>1440</v>
      </c>
      <c r="J12517">
        <v>1</v>
      </c>
      <c r="K12517">
        <v>225</v>
      </c>
      <c r="L12517">
        <v>1498</v>
      </c>
      <c r="M12517">
        <v>1</v>
      </c>
      <c r="N12517">
        <v>0</v>
      </c>
      <c r="O12517">
        <v>2890</v>
      </c>
    </row>
    <row r="12518" spans="1:15" x14ac:dyDescent="0.25">
      <c r="A12518" t="s">
        <v>12531</v>
      </c>
      <c r="B12518">
        <v>368</v>
      </c>
      <c r="C12518" s="1" t="str">
        <f>HYPERLINK("http://www.rosaceae.org/gb/gbrowse/malus_x_domestica/?name=MDP0000529313","MDP0000529313")</f>
        <v>MDP0000529313</v>
      </c>
      <c r="D12518">
        <v>58.77</v>
      </c>
      <c r="E12518">
        <v>228</v>
      </c>
      <c r="F12518">
        <v>94</v>
      </c>
      <c r="G12518">
        <v>23</v>
      </c>
      <c r="H12518">
        <v>158</v>
      </c>
      <c r="I12518">
        <v>368</v>
      </c>
      <c r="J12518">
        <v>1</v>
      </c>
      <c r="K12518">
        <v>1</v>
      </c>
      <c r="L12518">
        <v>222</v>
      </c>
      <c r="M12518">
        <v>1</v>
      </c>
      <c r="N12518">
        <v>1.15346E-63</v>
      </c>
      <c r="O12518">
        <v>614</v>
      </c>
    </row>
    <row r="12519" spans="1:15" x14ac:dyDescent="0.25">
      <c r="A12519" t="s">
        <v>12532</v>
      </c>
      <c r="B12519">
        <v>79</v>
      </c>
      <c r="C12519" s="1" t="str">
        <f>HYPERLINK("http://www.rosaceae.org/gb/gbrowse/malus_x_domestica/?name=MDP0000433881","MDP0000433881")</f>
        <v>MDP0000433881</v>
      </c>
      <c r="D12519">
        <v>86.95</v>
      </c>
      <c r="E12519">
        <v>46</v>
      </c>
      <c r="F12519">
        <v>6</v>
      </c>
      <c r="G12519">
        <v>0</v>
      </c>
      <c r="H12519">
        <v>1</v>
      </c>
      <c r="I12519">
        <v>46</v>
      </c>
      <c r="J12519">
        <v>1</v>
      </c>
      <c r="K12519">
        <v>201</v>
      </c>
      <c r="L12519">
        <v>246</v>
      </c>
      <c r="M12519">
        <v>1</v>
      </c>
      <c r="N12519">
        <v>1.11306E-18</v>
      </c>
      <c r="O12519">
        <v>219</v>
      </c>
    </row>
    <row r="12520" spans="1:15" x14ac:dyDescent="0.25">
      <c r="A12520" t="s">
        <v>12533</v>
      </c>
      <c r="B12520">
        <v>481</v>
      </c>
      <c r="C12520" s="1" t="str">
        <f>HYPERLINK("http://www.rosaceae.org/gb/gbrowse/malus_x_domestica/?name=MDP0000164649","MDP0000164649")</f>
        <v>MDP0000164649</v>
      </c>
      <c r="D12520">
        <v>91.09</v>
      </c>
      <c r="E12520">
        <v>483</v>
      </c>
      <c r="F12520">
        <v>43</v>
      </c>
      <c r="G12520">
        <v>3</v>
      </c>
      <c r="H12520">
        <v>1</v>
      </c>
      <c r="I12520">
        <v>481</v>
      </c>
      <c r="J12520">
        <v>1</v>
      </c>
      <c r="K12520">
        <v>1</v>
      </c>
      <c r="L12520">
        <v>482</v>
      </c>
      <c r="M12520">
        <v>1</v>
      </c>
      <c r="N12520">
        <v>0</v>
      </c>
      <c r="O12520">
        <v>2322</v>
      </c>
    </row>
    <row r="12521" spans="1:15" x14ac:dyDescent="0.25">
      <c r="A12521" t="s">
        <v>12534</v>
      </c>
      <c r="B12521">
        <v>614</v>
      </c>
      <c r="C12521" s="1" t="str">
        <f>HYPERLINK("http://www.rosaceae.org/gb/gbrowse/malus_x_domestica/?name=MDP0000119280","MDP0000119280")</f>
        <v>MDP0000119280</v>
      </c>
      <c r="D12521">
        <v>48.01</v>
      </c>
      <c r="E12521">
        <v>631</v>
      </c>
      <c r="F12521">
        <v>328</v>
      </c>
      <c r="G12521">
        <v>59</v>
      </c>
      <c r="H12521">
        <v>1</v>
      </c>
      <c r="I12521">
        <v>579</v>
      </c>
      <c r="J12521">
        <v>1</v>
      </c>
      <c r="K12521">
        <v>1</v>
      </c>
      <c r="L12521">
        <v>624</v>
      </c>
      <c r="M12521">
        <v>1</v>
      </c>
      <c r="N12521">
        <v>7.0250799999999997E-145</v>
      </c>
      <c r="O12521">
        <v>1317</v>
      </c>
    </row>
    <row r="12522" spans="1:15" x14ac:dyDescent="0.25">
      <c r="A12522" t="s">
        <v>12535</v>
      </c>
      <c r="B12522">
        <v>404</v>
      </c>
      <c r="C12522" s="1" t="str">
        <f>HYPERLINK("http://www.rosaceae.org/gb/gbrowse/malus_x_domestica/?name=MDP0000243556","MDP0000243556")</f>
        <v>MDP0000243556</v>
      </c>
      <c r="D12522">
        <v>82.48</v>
      </c>
      <c r="E12522">
        <v>137</v>
      </c>
      <c r="F12522">
        <v>24</v>
      </c>
      <c r="G12522">
        <v>7</v>
      </c>
      <c r="H12522">
        <v>256</v>
      </c>
      <c r="I12522">
        <v>385</v>
      </c>
      <c r="J12522">
        <v>1</v>
      </c>
      <c r="K12522">
        <v>1</v>
      </c>
      <c r="L12522">
        <v>137</v>
      </c>
      <c r="M12522">
        <v>1</v>
      </c>
      <c r="N12522">
        <v>5.89203E-65</v>
      </c>
      <c r="O12522">
        <v>626</v>
      </c>
    </row>
    <row r="12523" spans="1:15" x14ac:dyDescent="0.25">
      <c r="A12523" t="s">
        <v>12536</v>
      </c>
      <c r="B12523">
        <v>375</v>
      </c>
      <c r="C12523" s="1" t="str">
        <f>HYPERLINK("http://www.rosaceae.org/gb/gbrowse/malus_x_domestica/?name=MDP0000309014","MDP0000309014")</f>
        <v>MDP0000309014</v>
      </c>
      <c r="D12523">
        <v>75.33</v>
      </c>
      <c r="E12523">
        <v>369</v>
      </c>
      <c r="F12523">
        <v>91</v>
      </c>
      <c r="G12523">
        <v>24</v>
      </c>
      <c r="H12523">
        <v>19</v>
      </c>
      <c r="I12523">
        <v>364</v>
      </c>
      <c r="J12523">
        <v>1</v>
      </c>
      <c r="K12523">
        <v>86</v>
      </c>
      <c r="L12523">
        <v>453</v>
      </c>
      <c r="M12523">
        <v>1</v>
      </c>
      <c r="N12523">
        <v>3.5914799999999999E-150</v>
      </c>
      <c r="O12523">
        <v>1360</v>
      </c>
    </row>
    <row r="12524" spans="1:15" x14ac:dyDescent="0.25">
      <c r="A12524" t="s">
        <v>12537</v>
      </c>
      <c r="B12524">
        <v>1257</v>
      </c>
      <c r="C12524" s="1" t="str">
        <f>HYPERLINK("http://www.rosaceae.org/gb/gbrowse/malus_x_domestica/?name=MDP0000175097","MDP0000175097")</f>
        <v>MDP0000175097</v>
      </c>
      <c r="D12524">
        <v>61.18</v>
      </c>
      <c r="E12524">
        <v>675</v>
      </c>
      <c r="F12524">
        <v>262</v>
      </c>
      <c r="G12524">
        <v>50</v>
      </c>
      <c r="H12524">
        <v>61</v>
      </c>
      <c r="I12524">
        <v>699</v>
      </c>
      <c r="J12524">
        <v>1</v>
      </c>
      <c r="K12524">
        <v>90</v>
      </c>
      <c r="L12524">
        <v>750</v>
      </c>
      <c r="M12524">
        <v>1</v>
      </c>
      <c r="N12524">
        <v>0</v>
      </c>
      <c r="O12524">
        <v>2053</v>
      </c>
    </row>
    <row r="12525" spans="1:15" x14ac:dyDescent="0.25">
      <c r="A12525" t="s">
        <v>12538</v>
      </c>
      <c r="B12525">
        <v>653</v>
      </c>
      <c r="C12525" s="1" t="str">
        <f>HYPERLINK("http://www.rosaceae.org/gb/gbrowse/malus_x_domestica/?name=MDP0000459059","MDP0000459059")</f>
        <v>MDP0000459059</v>
      </c>
      <c r="D12525">
        <v>75.87</v>
      </c>
      <c r="E12525">
        <v>228</v>
      </c>
      <c r="F12525">
        <v>55</v>
      </c>
      <c r="G12525">
        <v>9</v>
      </c>
      <c r="H12525">
        <v>1</v>
      </c>
      <c r="I12525">
        <v>219</v>
      </c>
      <c r="J12525">
        <v>1</v>
      </c>
      <c r="K12525">
        <v>1</v>
      </c>
      <c r="L12525">
        <v>228</v>
      </c>
      <c r="M12525">
        <v>1</v>
      </c>
      <c r="N12525">
        <v>8.1666499999999995E-93</v>
      </c>
      <c r="O12525">
        <v>868</v>
      </c>
    </row>
    <row r="12526" spans="1:15" x14ac:dyDescent="0.25">
      <c r="A12526" t="s">
        <v>12539</v>
      </c>
      <c r="B12526">
        <v>646</v>
      </c>
      <c r="C12526" s="1" t="str">
        <f>HYPERLINK("http://www.rosaceae.org/gb/gbrowse/malus_x_domestica/?name=MDP0000319194","MDP0000319194")</f>
        <v>MDP0000319194</v>
      </c>
      <c r="D12526">
        <v>37.08</v>
      </c>
      <c r="E12526">
        <v>329</v>
      </c>
      <c r="F12526">
        <v>207</v>
      </c>
      <c r="G12526">
        <v>45</v>
      </c>
      <c r="H12526">
        <v>351</v>
      </c>
      <c r="I12526">
        <v>639</v>
      </c>
      <c r="J12526">
        <v>1</v>
      </c>
      <c r="K12526">
        <v>383</v>
      </c>
      <c r="L12526">
        <v>706</v>
      </c>
      <c r="M12526">
        <v>1</v>
      </c>
      <c r="N12526">
        <v>1.3807399999999999E-49</v>
      </c>
      <c r="O12526">
        <v>495</v>
      </c>
    </row>
    <row r="12527" spans="1:15" x14ac:dyDescent="0.25">
      <c r="A12527" t="s">
        <v>12540</v>
      </c>
      <c r="B12527">
        <v>193</v>
      </c>
      <c r="C12527" s="1" t="str">
        <f>HYPERLINK("http://www.rosaceae.org/gb/gbrowse/malus_x_domestica/?name=MDP0000455294","MDP0000455294")</f>
        <v>MDP0000455294</v>
      </c>
      <c r="D12527">
        <v>50.54</v>
      </c>
      <c r="E12527">
        <v>184</v>
      </c>
      <c r="F12527">
        <v>91</v>
      </c>
      <c r="G12527">
        <v>65</v>
      </c>
      <c r="H12527">
        <v>75</v>
      </c>
      <c r="I12527">
        <v>193</v>
      </c>
      <c r="J12527">
        <v>1</v>
      </c>
      <c r="K12527">
        <v>78</v>
      </c>
      <c r="L12527">
        <v>261</v>
      </c>
      <c r="M12527">
        <v>1</v>
      </c>
      <c r="N12527">
        <v>1.3854100000000001E-37</v>
      </c>
      <c r="O12527">
        <v>385</v>
      </c>
    </row>
    <row r="12528" spans="1:15" x14ac:dyDescent="0.25">
      <c r="A12528" t="s">
        <v>12541</v>
      </c>
      <c r="B12528">
        <v>713</v>
      </c>
      <c r="C12528" s="1" t="str">
        <f>HYPERLINK("http://www.rosaceae.org/gb/gbrowse/malus_x_domestica/?name=MDP0000278373","MDP0000278373")</f>
        <v>MDP0000278373</v>
      </c>
      <c r="D12528">
        <v>65.91</v>
      </c>
      <c r="E12528">
        <v>666</v>
      </c>
      <c r="F12528">
        <v>227</v>
      </c>
      <c r="G12528">
        <v>26</v>
      </c>
      <c r="H12528">
        <v>57</v>
      </c>
      <c r="I12528">
        <v>708</v>
      </c>
      <c r="J12528">
        <v>1</v>
      </c>
      <c r="K12528">
        <v>1</v>
      </c>
      <c r="L12528">
        <v>654</v>
      </c>
      <c r="M12528">
        <v>1</v>
      </c>
      <c r="N12528">
        <v>0</v>
      </c>
      <c r="O12528">
        <v>2237</v>
      </c>
    </row>
    <row r="12529" spans="1:15" x14ac:dyDescent="0.25">
      <c r="A12529" t="s">
        <v>12542</v>
      </c>
      <c r="B12529">
        <v>226</v>
      </c>
      <c r="C12529" s="1" t="str">
        <f>HYPERLINK("http://www.rosaceae.org/gb/gbrowse/malus_x_domestica/?name=MDP0000326576","MDP0000326576")</f>
        <v>MDP0000326576</v>
      </c>
      <c r="D12529">
        <v>40.81</v>
      </c>
      <c r="E12529">
        <v>196</v>
      </c>
      <c r="F12529">
        <v>116</v>
      </c>
      <c r="G12529">
        <v>13</v>
      </c>
      <c r="H12529">
        <v>35</v>
      </c>
      <c r="I12529">
        <v>226</v>
      </c>
      <c r="J12529">
        <v>1</v>
      </c>
      <c r="K12529">
        <v>22</v>
      </c>
      <c r="L12529">
        <v>208</v>
      </c>
      <c r="M12529">
        <v>1</v>
      </c>
      <c r="N12529">
        <v>3.47798E-27</v>
      </c>
      <c r="O12529">
        <v>297</v>
      </c>
    </row>
    <row r="12530" spans="1:15" x14ac:dyDescent="0.25">
      <c r="A12530" t="s">
        <v>12543</v>
      </c>
      <c r="B12530">
        <v>661</v>
      </c>
      <c r="C12530" s="1" t="str">
        <f>HYPERLINK("http://www.rosaceae.org/gb/gbrowse/malus_x_domestica/?name=MDP0000055203","MDP0000055203")</f>
        <v>MDP0000055203</v>
      </c>
      <c r="D12530">
        <v>81.03</v>
      </c>
      <c r="E12530">
        <v>543</v>
      </c>
      <c r="F12530">
        <v>103</v>
      </c>
      <c r="G12530">
        <v>14</v>
      </c>
      <c r="H12530">
        <v>120</v>
      </c>
      <c r="I12530">
        <v>661</v>
      </c>
      <c r="J12530">
        <v>1</v>
      </c>
      <c r="K12530">
        <v>1</v>
      </c>
      <c r="L12530">
        <v>530</v>
      </c>
      <c r="M12530">
        <v>1</v>
      </c>
      <c r="N12530">
        <v>0</v>
      </c>
      <c r="O12530">
        <v>2347</v>
      </c>
    </row>
    <row r="12531" spans="1:15" x14ac:dyDescent="0.25">
      <c r="A12531" t="s">
        <v>12544</v>
      </c>
      <c r="B12531">
        <v>206</v>
      </c>
      <c r="C12531" s="1" t="str">
        <f>HYPERLINK("http://www.rosaceae.org/gb/gbrowse/malus_x_domestica/?name=MDP0000232803","MDP0000232803")</f>
        <v>MDP0000232803</v>
      </c>
      <c r="D12531">
        <v>74.67</v>
      </c>
      <c r="E12531">
        <v>154</v>
      </c>
      <c r="F12531">
        <v>39</v>
      </c>
      <c r="G12531">
        <v>5</v>
      </c>
      <c r="H12531">
        <v>21</v>
      </c>
      <c r="I12531">
        <v>169</v>
      </c>
      <c r="J12531">
        <v>1</v>
      </c>
      <c r="K12531">
        <v>23</v>
      </c>
      <c r="L12531">
        <v>176</v>
      </c>
      <c r="M12531">
        <v>1</v>
      </c>
      <c r="N12531">
        <v>9.5216099999999998E-60</v>
      </c>
      <c r="O12531">
        <v>577</v>
      </c>
    </row>
    <row r="12532" spans="1:15" x14ac:dyDescent="0.25">
      <c r="A12532" t="s">
        <v>12545</v>
      </c>
      <c r="B12532">
        <v>639</v>
      </c>
      <c r="C12532" s="1" t="str">
        <f>HYPERLINK("http://www.rosaceae.org/gb/gbrowse/malus_x_domestica/?name=MDP0000157408","MDP0000157408")</f>
        <v>MDP0000157408</v>
      </c>
      <c r="D12532">
        <v>62.64</v>
      </c>
      <c r="E12532">
        <v>597</v>
      </c>
      <c r="F12532">
        <v>223</v>
      </c>
      <c r="G12532">
        <v>19</v>
      </c>
      <c r="H12532">
        <v>25</v>
      </c>
      <c r="I12532">
        <v>602</v>
      </c>
      <c r="J12532">
        <v>1</v>
      </c>
      <c r="K12532">
        <v>26</v>
      </c>
      <c r="L12532">
        <v>622</v>
      </c>
      <c r="M12532">
        <v>1</v>
      </c>
      <c r="N12532">
        <v>0</v>
      </c>
      <c r="O12532">
        <v>2087</v>
      </c>
    </row>
    <row r="12533" spans="1:15" x14ac:dyDescent="0.25">
      <c r="A12533" t="s">
        <v>12546</v>
      </c>
      <c r="B12533">
        <v>174</v>
      </c>
      <c r="C12533" s="1" t="str">
        <f>HYPERLINK("http://www.rosaceae.org/gb/gbrowse/malus_x_domestica/?name=MDP0000310461","MDP0000310461")</f>
        <v>MDP0000310461</v>
      </c>
      <c r="D12533">
        <v>77.06</v>
      </c>
      <c r="E12533">
        <v>109</v>
      </c>
      <c r="F12533">
        <v>25</v>
      </c>
      <c r="G12533">
        <v>2</v>
      </c>
      <c r="H12533">
        <v>48</v>
      </c>
      <c r="I12533">
        <v>156</v>
      </c>
      <c r="J12533">
        <v>1</v>
      </c>
      <c r="K12533">
        <v>81</v>
      </c>
      <c r="L12533">
        <v>187</v>
      </c>
      <c r="M12533">
        <v>1</v>
      </c>
      <c r="N12533">
        <v>4.7218699999999997E-45</v>
      </c>
      <c r="O12533">
        <v>449</v>
      </c>
    </row>
    <row r="12534" spans="1:15" x14ac:dyDescent="0.25">
      <c r="A12534" t="s">
        <v>12547</v>
      </c>
      <c r="B12534">
        <v>583</v>
      </c>
      <c r="C12534" s="1" t="str">
        <f>HYPERLINK("http://www.rosaceae.org/gb/gbrowse/malus_x_domestica/?name=MDP0000166312","MDP0000166312")</f>
        <v>MDP0000166312</v>
      </c>
      <c r="D12534">
        <v>80.849999999999994</v>
      </c>
      <c r="E12534">
        <v>559</v>
      </c>
      <c r="F12534">
        <v>107</v>
      </c>
      <c r="G12534">
        <v>2</v>
      </c>
      <c r="H12534">
        <v>26</v>
      </c>
      <c r="I12534">
        <v>583</v>
      </c>
      <c r="J12534">
        <v>1</v>
      </c>
      <c r="K12534">
        <v>28</v>
      </c>
      <c r="L12534">
        <v>585</v>
      </c>
      <c r="M12534">
        <v>1</v>
      </c>
      <c r="N12534">
        <v>0</v>
      </c>
      <c r="O12534">
        <v>2310</v>
      </c>
    </row>
    <row r="12535" spans="1:15" x14ac:dyDescent="0.25">
      <c r="A12535" t="s">
        <v>12548</v>
      </c>
      <c r="B12535">
        <v>236</v>
      </c>
      <c r="C12535" s="1" t="str">
        <f>HYPERLINK("http://www.rosaceae.org/gb/gbrowse/malus_x_domestica/?name=MDP0000601800","MDP0000601800")</f>
        <v>MDP0000601800</v>
      </c>
      <c r="D12535">
        <v>75.540000000000006</v>
      </c>
      <c r="E12535">
        <v>229</v>
      </c>
      <c r="F12535">
        <v>56</v>
      </c>
      <c r="G12535">
        <v>0</v>
      </c>
      <c r="H12535">
        <v>8</v>
      </c>
      <c r="I12535">
        <v>236</v>
      </c>
      <c r="J12535">
        <v>1</v>
      </c>
      <c r="K12535">
        <v>12</v>
      </c>
      <c r="L12535">
        <v>240</v>
      </c>
      <c r="M12535">
        <v>1</v>
      </c>
      <c r="N12535">
        <v>2.2666500000000001E-98</v>
      </c>
      <c r="O12535">
        <v>911</v>
      </c>
    </row>
    <row r="12536" spans="1:15" x14ac:dyDescent="0.25">
      <c r="A12536" t="s">
        <v>12549</v>
      </c>
      <c r="B12536">
        <v>805</v>
      </c>
      <c r="C12536" s="1" t="str">
        <f>HYPERLINK("http://www.rosaceae.org/gb/gbrowse/malus_x_domestica/?name=MDP0000136491","MDP0000136491")</f>
        <v>MDP0000136491</v>
      </c>
      <c r="D12536">
        <v>60.22</v>
      </c>
      <c r="E12536">
        <v>787</v>
      </c>
      <c r="F12536">
        <v>313</v>
      </c>
      <c r="G12536">
        <v>73</v>
      </c>
      <c r="H12536">
        <v>25</v>
      </c>
      <c r="I12536">
        <v>805</v>
      </c>
      <c r="J12536">
        <v>1</v>
      </c>
      <c r="K12536">
        <v>26</v>
      </c>
      <c r="L12536">
        <v>745</v>
      </c>
      <c r="M12536">
        <v>1</v>
      </c>
      <c r="N12536">
        <v>0</v>
      </c>
      <c r="O12536">
        <v>2342</v>
      </c>
    </row>
    <row r="12537" spans="1:15" x14ac:dyDescent="0.25">
      <c r="A12537" t="s">
        <v>12550</v>
      </c>
      <c r="B12537">
        <v>591</v>
      </c>
      <c r="C12537" s="1" t="str">
        <f>HYPERLINK("http://www.rosaceae.org/gb/gbrowse/malus_x_domestica/?name=MDP0000305112","MDP0000305112")</f>
        <v>MDP0000305112</v>
      </c>
      <c r="D12537">
        <v>74.84</v>
      </c>
      <c r="E12537">
        <v>473</v>
      </c>
      <c r="F12537">
        <v>119</v>
      </c>
      <c r="G12537">
        <v>2</v>
      </c>
      <c r="H12537">
        <v>1</v>
      </c>
      <c r="I12537">
        <v>473</v>
      </c>
      <c r="J12537">
        <v>1</v>
      </c>
      <c r="K12537">
        <v>1</v>
      </c>
      <c r="L12537">
        <v>471</v>
      </c>
      <c r="M12537">
        <v>1</v>
      </c>
      <c r="N12537">
        <v>0</v>
      </c>
      <c r="O12537">
        <v>1949</v>
      </c>
    </row>
    <row r="12538" spans="1:15" x14ac:dyDescent="0.25">
      <c r="A12538" t="s">
        <v>12551</v>
      </c>
      <c r="B12538">
        <v>1122</v>
      </c>
      <c r="C12538" s="1" t="str">
        <f>HYPERLINK("http://www.rosaceae.org/gb/gbrowse/malus_x_domestica/?name=MDP0000300945","MDP0000300945")</f>
        <v>MDP0000300945</v>
      </c>
      <c r="D12538">
        <v>21.7</v>
      </c>
      <c r="E12538">
        <v>949</v>
      </c>
      <c r="F12538">
        <v>743</v>
      </c>
      <c r="G12538">
        <v>96</v>
      </c>
      <c r="H12538">
        <v>189</v>
      </c>
      <c r="I12538">
        <v>1103</v>
      </c>
      <c r="J12538">
        <v>1</v>
      </c>
      <c r="K12538">
        <v>69</v>
      </c>
      <c r="L12538">
        <v>955</v>
      </c>
      <c r="M12538">
        <v>1</v>
      </c>
      <c r="N12538">
        <v>4.4748E-47</v>
      </c>
      <c r="O12538">
        <v>476</v>
      </c>
    </row>
    <row r="12539" spans="1:15" x14ac:dyDescent="0.25">
      <c r="A12539" t="s">
        <v>12552</v>
      </c>
      <c r="B12539">
        <v>768</v>
      </c>
      <c r="C12539" s="1" t="str">
        <f>HYPERLINK("http://www.rosaceae.org/gb/gbrowse/malus_x_domestica/?name=MDP0000248026","MDP0000248026")</f>
        <v>MDP0000248026</v>
      </c>
      <c r="D12539">
        <v>59.21</v>
      </c>
      <c r="E12539">
        <v>559</v>
      </c>
      <c r="F12539">
        <v>228</v>
      </c>
      <c r="G12539">
        <v>33</v>
      </c>
      <c r="H12539">
        <v>1</v>
      </c>
      <c r="I12539">
        <v>537</v>
      </c>
      <c r="J12539">
        <v>1</v>
      </c>
      <c r="K12539">
        <v>1</v>
      </c>
      <c r="L12539">
        <v>548</v>
      </c>
      <c r="M12539">
        <v>1</v>
      </c>
      <c r="N12539">
        <v>1.2872299999999999E-174</v>
      </c>
      <c r="O12539">
        <v>1574</v>
      </c>
    </row>
    <row r="12540" spans="1:15" x14ac:dyDescent="0.25">
      <c r="A12540" t="s">
        <v>12553</v>
      </c>
      <c r="B12540">
        <v>534</v>
      </c>
      <c r="C12540" s="1" t="str">
        <f>HYPERLINK("http://www.rosaceae.org/gb/gbrowse/malus_x_domestica/?name=MDP0000880313","MDP0000880313")</f>
        <v>MDP0000880313</v>
      </c>
      <c r="D12540">
        <v>65.31</v>
      </c>
      <c r="E12540">
        <v>467</v>
      </c>
      <c r="F12540">
        <v>162</v>
      </c>
      <c r="G12540">
        <v>62</v>
      </c>
      <c r="H12540">
        <v>85</v>
      </c>
      <c r="I12540">
        <v>496</v>
      </c>
      <c r="J12540">
        <v>1</v>
      </c>
      <c r="K12540">
        <v>85</v>
      </c>
      <c r="L12540">
        <v>544</v>
      </c>
      <c r="M12540">
        <v>1</v>
      </c>
      <c r="N12540">
        <v>3.09125E-158</v>
      </c>
      <c r="O12540">
        <v>1431</v>
      </c>
    </row>
    <row r="12541" spans="1:15" x14ac:dyDescent="0.25">
      <c r="A12541" t="s">
        <v>12554</v>
      </c>
      <c r="B12541">
        <v>206</v>
      </c>
      <c r="C12541" s="1" t="str">
        <f>HYPERLINK("http://www.rosaceae.org/gb/gbrowse/malus_x_domestica/?name=MDP0000507277","MDP0000507277")</f>
        <v>MDP0000507277</v>
      </c>
      <c r="D12541">
        <v>43.18</v>
      </c>
      <c r="E12541">
        <v>176</v>
      </c>
      <c r="F12541">
        <v>100</v>
      </c>
      <c r="G12541">
        <v>46</v>
      </c>
      <c r="H12541">
        <v>1</v>
      </c>
      <c r="I12541">
        <v>134</v>
      </c>
      <c r="J12541">
        <v>1</v>
      </c>
      <c r="K12541">
        <v>3</v>
      </c>
      <c r="L12541">
        <v>174</v>
      </c>
      <c r="M12541">
        <v>1</v>
      </c>
      <c r="N12541">
        <v>2.7254799999999998E-29</v>
      </c>
      <c r="O12541">
        <v>314</v>
      </c>
    </row>
    <row r="12542" spans="1:15" x14ac:dyDescent="0.25">
      <c r="A12542" t="s">
        <v>12555</v>
      </c>
      <c r="B12542">
        <v>311</v>
      </c>
      <c r="C12542" s="1" t="str">
        <f>HYPERLINK("http://www.rosaceae.org/gb/gbrowse/malus_x_domestica/?name=MDP0000202199","MDP0000202199")</f>
        <v>MDP0000202199</v>
      </c>
      <c r="D12542">
        <v>58.66</v>
      </c>
      <c r="E12542">
        <v>225</v>
      </c>
      <c r="F12542">
        <v>93</v>
      </c>
      <c r="G12542">
        <v>5</v>
      </c>
      <c r="H12542">
        <v>24</v>
      </c>
      <c r="I12542">
        <v>244</v>
      </c>
      <c r="J12542">
        <v>1</v>
      </c>
      <c r="K12542">
        <v>24</v>
      </c>
      <c r="L12542">
        <v>247</v>
      </c>
      <c r="M12542">
        <v>1</v>
      </c>
      <c r="N12542">
        <v>2.6019300000000001E-71</v>
      </c>
      <c r="O12542">
        <v>679</v>
      </c>
    </row>
    <row r="12543" spans="1:15" x14ac:dyDescent="0.25">
      <c r="A12543" t="s">
        <v>12556</v>
      </c>
      <c r="B12543">
        <v>715</v>
      </c>
      <c r="C12543" s="1" t="str">
        <f>HYPERLINK("http://www.rosaceae.org/gb/gbrowse/malus_x_domestica/?name=MDP0000289293","MDP0000289293")</f>
        <v>MDP0000289293</v>
      </c>
      <c r="D12543">
        <v>77.599999999999994</v>
      </c>
      <c r="E12543">
        <v>317</v>
      </c>
      <c r="F12543">
        <v>71</v>
      </c>
      <c r="G12543">
        <v>12</v>
      </c>
      <c r="H12543">
        <v>410</v>
      </c>
      <c r="I12543">
        <v>714</v>
      </c>
      <c r="J12543">
        <v>1</v>
      </c>
      <c r="K12543">
        <v>24</v>
      </c>
      <c r="L12543">
        <v>340</v>
      </c>
      <c r="M12543">
        <v>1</v>
      </c>
      <c r="N12543">
        <v>8.0717899999999994E-142</v>
      </c>
      <c r="O12543">
        <v>1291</v>
      </c>
    </row>
    <row r="12544" spans="1:15" x14ac:dyDescent="0.25">
      <c r="A12544" t="s">
        <v>12557</v>
      </c>
      <c r="B12544">
        <v>502</v>
      </c>
      <c r="C12544" s="1" t="str">
        <f>HYPERLINK("http://www.rosaceae.org/gb/gbrowse/malus_x_domestica/?name=MDP0000323611","MDP0000323611")</f>
        <v>MDP0000323611</v>
      </c>
      <c r="D12544">
        <v>70.58</v>
      </c>
      <c r="E12544">
        <v>221</v>
      </c>
      <c r="F12544">
        <v>65</v>
      </c>
      <c r="G12544">
        <v>2</v>
      </c>
      <c r="H12544">
        <v>1</v>
      </c>
      <c r="I12544">
        <v>219</v>
      </c>
      <c r="J12544">
        <v>1</v>
      </c>
      <c r="K12544">
        <v>52</v>
      </c>
      <c r="L12544">
        <v>272</v>
      </c>
      <c r="M12544">
        <v>1</v>
      </c>
      <c r="N12544">
        <v>2.2912600000000001E-87</v>
      </c>
      <c r="O12544">
        <v>820</v>
      </c>
    </row>
    <row r="12545" spans="1:15" x14ac:dyDescent="0.25">
      <c r="A12545" t="s">
        <v>12558</v>
      </c>
      <c r="B12545">
        <v>310</v>
      </c>
      <c r="C12545" s="1" t="str">
        <f>HYPERLINK("http://www.rosaceae.org/gb/gbrowse/malus_x_domestica/?name=MDP0000280299","MDP0000280299")</f>
        <v>MDP0000280299</v>
      </c>
      <c r="D12545">
        <v>73.239999999999995</v>
      </c>
      <c r="E12545">
        <v>228</v>
      </c>
      <c r="F12545">
        <v>61</v>
      </c>
      <c r="G12545">
        <v>0</v>
      </c>
      <c r="H12545">
        <v>79</v>
      </c>
      <c r="I12545">
        <v>306</v>
      </c>
      <c r="J12545">
        <v>1</v>
      </c>
      <c r="K12545">
        <v>107</v>
      </c>
      <c r="L12545">
        <v>334</v>
      </c>
      <c r="M12545">
        <v>1</v>
      </c>
      <c r="N12545">
        <v>8.6320200000000002E-91</v>
      </c>
      <c r="O12545">
        <v>847</v>
      </c>
    </row>
    <row r="12546" spans="1:15" x14ac:dyDescent="0.25">
      <c r="A12546" t="s">
        <v>12559</v>
      </c>
      <c r="B12546">
        <v>165</v>
      </c>
      <c r="C12546" s="1" t="str">
        <f>HYPERLINK("http://www.rosaceae.org/gb/gbrowse/malus_x_domestica/?name=MDP0000155389","MDP0000155389")</f>
        <v>MDP0000155389</v>
      </c>
      <c r="D12546">
        <v>41.37</v>
      </c>
      <c r="E12546">
        <v>174</v>
      </c>
      <c r="F12546">
        <v>102</v>
      </c>
      <c r="G12546">
        <v>39</v>
      </c>
      <c r="H12546">
        <v>1</v>
      </c>
      <c r="I12546">
        <v>139</v>
      </c>
      <c r="J12546">
        <v>1</v>
      </c>
      <c r="K12546">
        <v>1</v>
      </c>
      <c r="L12546">
        <v>170</v>
      </c>
      <c r="M12546">
        <v>1</v>
      </c>
      <c r="N12546">
        <v>2.6535900000000002E-27</v>
      </c>
      <c r="O12546">
        <v>296</v>
      </c>
    </row>
    <row r="12547" spans="1:15" x14ac:dyDescent="0.25">
      <c r="A12547" t="s">
        <v>12560</v>
      </c>
      <c r="B12547">
        <v>416</v>
      </c>
      <c r="C12547" s="1" t="str">
        <f>HYPERLINK("http://www.rosaceae.org/gb/gbrowse/malus_x_domestica/?name=MDP0000234629","MDP0000234629")</f>
        <v>MDP0000234629</v>
      </c>
      <c r="D12547">
        <v>76.94</v>
      </c>
      <c r="E12547">
        <v>386</v>
      </c>
      <c r="F12547">
        <v>89</v>
      </c>
      <c r="G12547">
        <v>27</v>
      </c>
      <c r="H12547">
        <v>5</v>
      </c>
      <c r="I12547">
        <v>366</v>
      </c>
      <c r="J12547">
        <v>1</v>
      </c>
      <c r="K12547">
        <v>101</v>
      </c>
      <c r="L12547">
        <v>483</v>
      </c>
      <c r="M12547">
        <v>1</v>
      </c>
      <c r="N12547">
        <v>1.3495499999999999E-162</v>
      </c>
      <c r="O12547">
        <v>1468</v>
      </c>
    </row>
    <row r="12548" spans="1:15" x14ac:dyDescent="0.25">
      <c r="A12548" t="s">
        <v>12561</v>
      </c>
      <c r="B12548">
        <v>210</v>
      </c>
      <c r="C12548" s="1" t="str">
        <f>HYPERLINK("http://www.rosaceae.org/gb/gbrowse/malus_x_domestica/?name=MDP0000192890","MDP0000192890")</f>
        <v>MDP0000192890</v>
      </c>
      <c r="D12548">
        <v>51.59</v>
      </c>
      <c r="E12548">
        <v>188</v>
      </c>
      <c r="F12548">
        <v>91</v>
      </c>
      <c r="G12548">
        <v>65</v>
      </c>
      <c r="H12548">
        <v>25</v>
      </c>
      <c r="I12548">
        <v>161</v>
      </c>
      <c r="J12548">
        <v>1</v>
      </c>
      <c r="K12548">
        <v>27</v>
      </c>
      <c r="L12548">
        <v>200</v>
      </c>
      <c r="M12548">
        <v>1</v>
      </c>
      <c r="N12548">
        <v>5.8227500000000002E-41</v>
      </c>
      <c r="O12548">
        <v>415</v>
      </c>
    </row>
    <row r="12549" spans="1:15" x14ac:dyDescent="0.25">
      <c r="A12549" t="s">
        <v>12562</v>
      </c>
      <c r="B12549">
        <v>215</v>
      </c>
      <c r="C12549" s="1" t="str">
        <f>HYPERLINK("http://www.rosaceae.org/gb/gbrowse/malus_x_domestica/?name=MDP0000181544","MDP0000181544")</f>
        <v>MDP0000181544</v>
      </c>
      <c r="D12549">
        <v>33.83</v>
      </c>
      <c r="E12549">
        <v>198</v>
      </c>
      <c r="F12549">
        <v>131</v>
      </c>
      <c r="G12549">
        <v>21</v>
      </c>
      <c r="H12549">
        <v>24</v>
      </c>
      <c r="I12549">
        <v>207</v>
      </c>
      <c r="J12549">
        <v>1</v>
      </c>
      <c r="K12549">
        <v>41</v>
      </c>
      <c r="L12549">
        <v>231</v>
      </c>
      <c r="M12549">
        <v>1</v>
      </c>
      <c r="N12549">
        <v>1.87219E-20</v>
      </c>
      <c r="O12549">
        <v>238</v>
      </c>
    </row>
    <row r="12550" spans="1:15" x14ac:dyDescent="0.25">
      <c r="A12550" t="s">
        <v>12563</v>
      </c>
      <c r="B12550">
        <v>722</v>
      </c>
      <c r="C12550" s="1" t="str">
        <f>HYPERLINK("http://www.rosaceae.org/gb/gbrowse/malus_x_domestica/?name=MDP0000015338","MDP0000015338")</f>
        <v>MDP0000015338</v>
      </c>
      <c r="D12550">
        <v>74.69</v>
      </c>
      <c r="E12550">
        <v>664</v>
      </c>
      <c r="F12550">
        <v>168</v>
      </c>
      <c r="G12550">
        <v>4</v>
      </c>
      <c r="H12550">
        <v>52</v>
      </c>
      <c r="I12550">
        <v>715</v>
      </c>
      <c r="J12550">
        <v>1</v>
      </c>
      <c r="K12550">
        <v>106</v>
      </c>
      <c r="L12550">
        <v>765</v>
      </c>
      <c r="M12550">
        <v>1</v>
      </c>
      <c r="N12550">
        <v>0</v>
      </c>
      <c r="O12550">
        <v>2610</v>
      </c>
    </row>
    <row r="12551" spans="1:15" x14ac:dyDescent="0.25">
      <c r="A12551" t="s">
        <v>12564</v>
      </c>
      <c r="B12551">
        <v>581</v>
      </c>
      <c r="C12551" s="1" t="str">
        <f>HYPERLINK("http://www.rosaceae.org/gb/gbrowse/malus_x_domestica/?name=MDP0000189019","MDP0000189019")</f>
        <v>MDP0000189019</v>
      </c>
      <c r="D12551">
        <v>83.39</v>
      </c>
      <c r="E12551">
        <v>578</v>
      </c>
      <c r="F12551">
        <v>96</v>
      </c>
      <c r="G12551">
        <v>1</v>
      </c>
      <c r="H12551">
        <v>1</v>
      </c>
      <c r="I12551">
        <v>578</v>
      </c>
      <c r="J12551">
        <v>1</v>
      </c>
      <c r="K12551">
        <v>1</v>
      </c>
      <c r="L12551">
        <v>577</v>
      </c>
      <c r="M12551">
        <v>1</v>
      </c>
      <c r="N12551">
        <v>0</v>
      </c>
      <c r="O12551">
        <v>2550</v>
      </c>
    </row>
    <row r="12552" spans="1:15" x14ac:dyDescent="0.25">
      <c r="A12552" t="s">
        <v>12565</v>
      </c>
      <c r="B12552">
        <v>160</v>
      </c>
      <c r="C12552" s="1" t="str">
        <f>HYPERLINK("http://www.rosaceae.org/gb/gbrowse/malus_x_domestica/?name=MDP0000225485","MDP0000225485")</f>
        <v>MDP0000225485</v>
      </c>
      <c r="D12552">
        <v>38.700000000000003</v>
      </c>
      <c r="E12552">
        <v>93</v>
      </c>
      <c r="F12552">
        <v>57</v>
      </c>
      <c r="G12552">
        <v>2</v>
      </c>
      <c r="H12552">
        <v>28</v>
      </c>
      <c r="I12552">
        <v>119</v>
      </c>
      <c r="J12552">
        <v>1</v>
      </c>
      <c r="K12552">
        <v>42</v>
      </c>
      <c r="L12552">
        <v>133</v>
      </c>
      <c r="M12552">
        <v>1</v>
      </c>
      <c r="N12552">
        <v>1.40671E-8</v>
      </c>
      <c r="O12552">
        <v>134</v>
      </c>
    </row>
    <row r="12553" spans="1:15" x14ac:dyDescent="0.25">
      <c r="A12553" t="s">
        <v>12566</v>
      </c>
      <c r="B12553">
        <v>497</v>
      </c>
      <c r="C12553" s="1" t="str">
        <f>HYPERLINK("http://www.rosaceae.org/gb/gbrowse/malus_x_domestica/?name=MDP0000214642","MDP0000214642")</f>
        <v>MDP0000214642</v>
      </c>
      <c r="D12553">
        <v>59.65</v>
      </c>
      <c r="E12553">
        <v>290</v>
      </c>
      <c r="F12553">
        <v>117</v>
      </c>
      <c r="G12553">
        <v>2</v>
      </c>
      <c r="H12553">
        <v>205</v>
      </c>
      <c r="I12553">
        <v>494</v>
      </c>
      <c r="J12553">
        <v>1</v>
      </c>
      <c r="K12553">
        <v>362</v>
      </c>
      <c r="L12553">
        <v>649</v>
      </c>
      <c r="M12553">
        <v>1</v>
      </c>
      <c r="N12553">
        <v>2.66295E-100</v>
      </c>
      <c r="O12553">
        <v>931</v>
      </c>
    </row>
    <row r="12554" spans="1:15" x14ac:dyDescent="0.25">
      <c r="A12554" t="s">
        <v>12567</v>
      </c>
      <c r="B12554">
        <v>2144</v>
      </c>
      <c r="C12554" s="1" t="str">
        <f>HYPERLINK("http://www.rosaceae.org/gb/gbrowse/malus_x_domestica/?name=MDP0000290295","MDP0000290295")</f>
        <v>MDP0000290295</v>
      </c>
      <c r="D12554">
        <v>74.599999999999994</v>
      </c>
      <c r="E12554">
        <v>315</v>
      </c>
      <c r="F12554">
        <v>80</v>
      </c>
      <c r="G12554">
        <v>14</v>
      </c>
      <c r="H12554">
        <v>90</v>
      </c>
      <c r="I12554">
        <v>398</v>
      </c>
      <c r="J12554">
        <v>1</v>
      </c>
      <c r="K12554">
        <v>57</v>
      </c>
      <c r="L12554">
        <v>363</v>
      </c>
      <c r="M12554">
        <v>1</v>
      </c>
      <c r="N12554">
        <v>1.00786E-131</v>
      </c>
      <c r="O12554">
        <v>1208</v>
      </c>
    </row>
    <row r="12555" spans="1:15" x14ac:dyDescent="0.25">
      <c r="A12555" t="s">
        <v>12568</v>
      </c>
      <c r="B12555">
        <v>172</v>
      </c>
      <c r="C12555" s="1" t="str">
        <f>HYPERLINK("http://www.rosaceae.org/gb/gbrowse/malus_x_domestica/?name=MDP0000272783","MDP0000272783")</f>
        <v>MDP0000272783</v>
      </c>
      <c r="D12555">
        <v>71.23</v>
      </c>
      <c r="E12555">
        <v>73</v>
      </c>
      <c r="F12555">
        <v>21</v>
      </c>
      <c r="G12555">
        <v>4</v>
      </c>
      <c r="H12555">
        <v>1</v>
      </c>
      <c r="I12555">
        <v>69</v>
      </c>
      <c r="J12555">
        <v>1</v>
      </c>
      <c r="K12555">
        <v>1</v>
      </c>
      <c r="L12555">
        <v>73</v>
      </c>
      <c r="M12555">
        <v>1</v>
      </c>
      <c r="N12555">
        <v>1.3912999999999999E-26</v>
      </c>
      <c r="O12555">
        <v>290</v>
      </c>
    </row>
    <row r="12556" spans="1:15" x14ac:dyDescent="0.25">
      <c r="A12556" t="s">
        <v>12569</v>
      </c>
      <c r="B12556">
        <v>315</v>
      </c>
      <c r="C12556" s="1" t="str">
        <f>HYPERLINK("http://www.rosaceae.org/gb/gbrowse/malus_x_domestica/?name=MDP0000920996","MDP0000920996")</f>
        <v>MDP0000920996</v>
      </c>
      <c r="D12556">
        <v>77.89</v>
      </c>
      <c r="E12556">
        <v>276</v>
      </c>
      <c r="F12556">
        <v>61</v>
      </c>
      <c r="G12556">
        <v>0</v>
      </c>
      <c r="H12556">
        <v>40</v>
      </c>
      <c r="I12556">
        <v>315</v>
      </c>
      <c r="J12556">
        <v>1</v>
      </c>
      <c r="K12556">
        <v>25</v>
      </c>
      <c r="L12556">
        <v>300</v>
      </c>
      <c r="M12556">
        <v>1</v>
      </c>
      <c r="N12556">
        <v>3.1377299999999999E-124</v>
      </c>
      <c r="O12556">
        <v>1136</v>
      </c>
    </row>
    <row r="12557" spans="1:15" x14ac:dyDescent="0.25">
      <c r="A12557" t="s">
        <v>12570</v>
      </c>
      <c r="B12557">
        <v>390</v>
      </c>
      <c r="C12557" s="1" t="str">
        <f>HYPERLINK("http://www.rosaceae.org/gb/gbrowse/malus_x_domestica/?name=MDP0000195030","MDP0000195030")</f>
        <v>MDP0000195030</v>
      </c>
      <c r="D12557">
        <v>32.409999999999997</v>
      </c>
      <c r="E12557">
        <v>401</v>
      </c>
      <c r="F12557">
        <v>271</v>
      </c>
      <c r="G12557">
        <v>63</v>
      </c>
      <c r="H12557">
        <v>4</v>
      </c>
      <c r="I12557">
        <v>365</v>
      </c>
      <c r="J12557">
        <v>1</v>
      </c>
      <c r="K12557">
        <v>138</v>
      </c>
      <c r="L12557">
        <v>514</v>
      </c>
      <c r="M12557">
        <v>1</v>
      </c>
      <c r="N12557">
        <v>1.4736199999999999E-42</v>
      </c>
      <c r="O12557">
        <v>432</v>
      </c>
    </row>
    <row r="12558" spans="1:15" x14ac:dyDescent="0.25">
      <c r="A12558" t="s">
        <v>12571</v>
      </c>
      <c r="B12558">
        <v>238</v>
      </c>
      <c r="C12558" s="1" t="str">
        <f>HYPERLINK("http://www.rosaceae.org/gb/gbrowse/malus_x_domestica/?name=MDP0000838643","MDP0000838643")</f>
        <v>MDP0000838643</v>
      </c>
      <c r="D12558">
        <v>70.41</v>
      </c>
      <c r="E12558">
        <v>169</v>
      </c>
      <c r="F12558">
        <v>50</v>
      </c>
      <c r="G12558">
        <v>0</v>
      </c>
      <c r="H12558">
        <v>1</v>
      </c>
      <c r="I12558">
        <v>169</v>
      </c>
      <c r="J12558">
        <v>1</v>
      </c>
      <c r="K12558">
        <v>80</v>
      </c>
      <c r="L12558">
        <v>248</v>
      </c>
      <c r="M12558">
        <v>1</v>
      </c>
      <c r="N12558">
        <v>2.3415500000000001E-65</v>
      </c>
      <c r="O12558">
        <v>626</v>
      </c>
    </row>
    <row r="12559" spans="1:15" x14ac:dyDescent="0.25">
      <c r="A12559" t="s">
        <v>12572</v>
      </c>
      <c r="B12559">
        <v>896</v>
      </c>
      <c r="C12559" s="1" t="str">
        <f>HYPERLINK("http://www.rosaceae.org/gb/gbrowse/malus_x_domestica/?name=MDP0000411998","MDP0000411998")</f>
        <v>MDP0000411998</v>
      </c>
      <c r="D12559">
        <v>79.150000000000006</v>
      </c>
      <c r="E12559">
        <v>830</v>
      </c>
      <c r="F12559">
        <v>173</v>
      </c>
      <c r="G12559">
        <v>4</v>
      </c>
      <c r="H12559">
        <v>53</v>
      </c>
      <c r="I12559">
        <v>879</v>
      </c>
      <c r="J12559">
        <v>1</v>
      </c>
      <c r="K12559">
        <v>51</v>
      </c>
      <c r="L12559">
        <v>879</v>
      </c>
      <c r="M12559">
        <v>1</v>
      </c>
      <c r="N12559">
        <v>0</v>
      </c>
      <c r="O12559">
        <v>3383</v>
      </c>
    </row>
    <row r="12560" spans="1:15" x14ac:dyDescent="0.25">
      <c r="A12560" t="s">
        <v>12573</v>
      </c>
      <c r="B12560">
        <v>368</v>
      </c>
      <c r="C12560" s="1" t="str">
        <f>HYPERLINK("http://www.rosaceae.org/gb/gbrowse/malus_x_domestica/?name=MDP0000500222","MDP0000500222")</f>
        <v>MDP0000500222</v>
      </c>
      <c r="D12560">
        <v>33.5</v>
      </c>
      <c r="E12560">
        <v>391</v>
      </c>
      <c r="F12560">
        <v>260</v>
      </c>
      <c r="G12560">
        <v>73</v>
      </c>
      <c r="H12560">
        <v>12</v>
      </c>
      <c r="I12560">
        <v>360</v>
      </c>
      <c r="J12560">
        <v>1</v>
      </c>
      <c r="K12560">
        <v>69</v>
      </c>
      <c r="L12560">
        <v>428</v>
      </c>
      <c r="M12560">
        <v>1</v>
      </c>
      <c r="N12560">
        <v>1.0505500000000001E-40</v>
      </c>
      <c r="O12560">
        <v>416</v>
      </c>
    </row>
    <row r="12561" spans="1:15" x14ac:dyDescent="0.25">
      <c r="A12561" t="s">
        <v>12574</v>
      </c>
      <c r="B12561">
        <v>355</v>
      </c>
      <c r="C12561" s="1" t="str">
        <f>HYPERLINK("http://www.rosaceae.org/gb/gbrowse/malus_x_domestica/?name=MDP0000119590","MDP0000119590")</f>
        <v>MDP0000119590</v>
      </c>
      <c r="D12561">
        <v>55.19</v>
      </c>
      <c r="E12561">
        <v>366</v>
      </c>
      <c r="F12561">
        <v>164</v>
      </c>
      <c r="G12561">
        <v>50</v>
      </c>
      <c r="H12561">
        <v>1</v>
      </c>
      <c r="I12561">
        <v>355</v>
      </c>
      <c r="J12561">
        <v>1</v>
      </c>
      <c r="K12561">
        <v>1</v>
      </c>
      <c r="L12561">
        <v>327</v>
      </c>
      <c r="M12561">
        <v>1</v>
      </c>
      <c r="N12561">
        <v>1.48395E-84</v>
      </c>
      <c r="O12561">
        <v>794</v>
      </c>
    </row>
    <row r="12562" spans="1:15" x14ac:dyDescent="0.25">
      <c r="A12562" t="s">
        <v>12575</v>
      </c>
      <c r="B12562">
        <v>113</v>
      </c>
      <c r="C12562" s="1" t="str">
        <f>HYPERLINK("http://www.rosaceae.org/gb/gbrowse/malus_x_domestica/?name=MDP0000236634","MDP0000236634")</f>
        <v>MDP0000236634</v>
      </c>
      <c r="D12562">
        <v>68.959999999999994</v>
      </c>
      <c r="E12562">
        <v>87</v>
      </c>
      <c r="F12562">
        <v>27</v>
      </c>
      <c r="G12562">
        <v>4</v>
      </c>
      <c r="H12562">
        <v>25</v>
      </c>
      <c r="I12562">
        <v>108</v>
      </c>
      <c r="J12562">
        <v>1</v>
      </c>
      <c r="K12562">
        <v>159</v>
      </c>
      <c r="L12562">
        <v>244</v>
      </c>
      <c r="M12562">
        <v>1</v>
      </c>
      <c r="N12562">
        <v>2.7971200000000002E-25</v>
      </c>
      <c r="O12562">
        <v>275</v>
      </c>
    </row>
    <row r="12563" spans="1:15" x14ac:dyDescent="0.25">
      <c r="A12563" t="s">
        <v>12576</v>
      </c>
      <c r="B12563">
        <v>290</v>
      </c>
      <c r="C12563" s="1" t="str">
        <f>HYPERLINK("http://www.rosaceae.org/gb/gbrowse/malus_x_domestica/?name=MDP0000285103","MDP0000285103")</f>
        <v>MDP0000285103</v>
      </c>
      <c r="D12563">
        <v>30.51</v>
      </c>
      <c r="E12563">
        <v>308</v>
      </c>
      <c r="F12563">
        <v>214</v>
      </c>
      <c r="G12563">
        <v>52</v>
      </c>
      <c r="H12563">
        <v>4</v>
      </c>
      <c r="I12563">
        <v>285</v>
      </c>
      <c r="J12563">
        <v>1</v>
      </c>
      <c r="K12563">
        <v>54</v>
      </c>
      <c r="L12563">
        <v>335</v>
      </c>
      <c r="M12563">
        <v>1</v>
      </c>
      <c r="N12563">
        <v>6.2493900000000004E-20</v>
      </c>
      <c r="O12563">
        <v>236</v>
      </c>
    </row>
    <row r="12564" spans="1:15" x14ac:dyDescent="0.25">
      <c r="A12564" t="s">
        <v>12577</v>
      </c>
      <c r="B12564">
        <v>848</v>
      </c>
      <c r="C12564" s="1" t="str">
        <f>HYPERLINK("http://www.rosaceae.org/gb/gbrowse/malus_x_domestica/?name=MDP0000199141","MDP0000199141")</f>
        <v>MDP0000199141</v>
      </c>
      <c r="D12564">
        <v>72.150000000000006</v>
      </c>
      <c r="E12564">
        <v>826</v>
      </c>
      <c r="F12564">
        <v>230</v>
      </c>
      <c r="G12564">
        <v>14</v>
      </c>
      <c r="H12564">
        <v>24</v>
      </c>
      <c r="I12564">
        <v>841</v>
      </c>
      <c r="J12564">
        <v>1</v>
      </c>
      <c r="K12564">
        <v>26</v>
      </c>
      <c r="L12564">
        <v>845</v>
      </c>
      <c r="M12564">
        <v>1</v>
      </c>
      <c r="N12564">
        <v>0</v>
      </c>
      <c r="O12564">
        <v>3093</v>
      </c>
    </row>
    <row r="12565" spans="1:15" x14ac:dyDescent="0.25">
      <c r="A12565" t="s">
        <v>12578</v>
      </c>
      <c r="B12565">
        <v>594</v>
      </c>
      <c r="C12565" s="1" t="str">
        <f>HYPERLINK("http://www.rosaceae.org/gb/gbrowse/malus_x_domestica/?name=MDP0000226135","MDP0000226135")</f>
        <v>MDP0000226135</v>
      </c>
      <c r="D12565">
        <v>72.31</v>
      </c>
      <c r="E12565">
        <v>614</v>
      </c>
      <c r="F12565">
        <v>170</v>
      </c>
      <c r="G12565">
        <v>23</v>
      </c>
      <c r="H12565">
        <v>1</v>
      </c>
      <c r="I12565">
        <v>592</v>
      </c>
      <c r="J12565">
        <v>1</v>
      </c>
      <c r="K12565">
        <v>1</v>
      </c>
      <c r="L12565">
        <v>613</v>
      </c>
      <c r="M12565">
        <v>1</v>
      </c>
      <c r="N12565">
        <v>0</v>
      </c>
      <c r="O12565">
        <v>2208</v>
      </c>
    </row>
    <row r="12566" spans="1:15" x14ac:dyDescent="0.25">
      <c r="A12566" t="s">
        <v>12579</v>
      </c>
      <c r="B12566">
        <v>194</v>
      </c>
      <c r="C12566" s="1" t="str">
        <f>HYPERLINK("http://www.rosaceae.org/gb/gbrowse/malus_x_domestica/?name=MDP0000711195","MDP0000711195")</f>
        <v>MDP0000711195</v>
      </c>
      <c r="D12566">
        <v>80.849999999999994</v>
      </c>
      <c r="E12566">
        <v>47</v>
      </c>
      <c r="F12566">
        <v>9</v>
      </c>
      <c r="G12566">
        <v>0</v>
      </c>
      <c r="H12566">
        <v>86</v>
      </c>
      <c r="I12566">
        <v>132</v>
      </c>
      <c r="J12566">
        <v>1</v>
      </c>
      <c r="K12566">
        <v>70</v>
      </c>
      <c r="L12566">
        <v>116</v>
      </c>
      <c r="M12566">
        <v>1</v>
      </c>
      <c r="N12566">
        <v>1.4330700000000001E-14</v>
      </c>
      <c r="O12566">
        <v>187</v>
      </c>
    </row>
    <row r="12567" spans="1:15" x14ac:dyDescent="0.25">
      <c r="A12567" t="s">
        <v>12580</v>
      </c>
      <c r="B12567">
        <v>224</v>
      </c>
      <c r="C12567" s="1" t="str">
        <f>HYPERLINK("http://www.rosaceae.org/gb/gbrowse/malus_x_domestica/?name=MDP0000355213","MDP0000355213")</f>
        <v>MDP0000355213</v>
      </c>
      <c r="D12567">
        <v>86.45</v>
      </c>
      <c r="E12567">
        <v>96</v>
      </c>
      <c r="F12567">
        <v>13</v>
      </c>
      <c r="G12567">
        <v>0</v>
      </c>
      <c r="H12567">
        <v>129</v>
      </c>
      <c r="I12567">
        <v>224</v>
      </c>
      <c r="J12567">
        <v>1</v>
      </c>
      <c r="K12567">
        <v>1</v>
      </c>
      <c r="L12567">
        <v>96</v>
      </c>
      <c r="M12567">
        <v>1</v>
      </c>
      <c r="N12567">
        <v>3.8935099999999999E-43</v>
      </c>
      <c r="O12567">
        <v>434</v>
      </c>
    </row>
    <row r="12568" spans="1:15" x14ac:dyDescent="0.25">
      <c r="A12568" t="s">
        <v>12581</v>
      </c>
      <c r="B12568">
        <v>105</v>
      </c>
      <c r="C12568" s="1" t="str">
        <f>HYPERLINK("http://www.rosaceae.org/gb/gbrowse/malus_x_domestica/?name=MDP0000653934","MDP0000653934")</f>
        <v>MDP0000653934</v>
      </c>
      <c r="D12568">
        <v>57.73</v>
      </c>
      <c r="E12568">
        <v>97</v>
      </c>
      <c r="F12568">
        <v>41</v>
      </c>
      <c r="G12568">
        <v>7</v>
      </c>
      <c r="H12568">
        <v>14</v>
      </c>
      <c r="I12568">
        <v>104</v>
      </c>
      <c r="J12568">
        <v>1</v>
      </c>
      <c r="K12568">
        <v>1</v>
      </c>
      <c r="L12568">
        <v>96</v>
      </c>
      <c r="M12568">
        <v>1</v>
      </c>
      <c r="N12568">
        <v>1.2050199999999999E-24</v>
      </c>
      <c r="O12568">
        <v>270</v>
      </c>
    </row>
    <row r="12569" spans="1:15" x14ac:dyDescent="0.25">
      <c r="A12569" t="s">
        <v>12582</v>
      </c>
      <c r="B12569">
        <v>536</v>
      </c>
      <c r="C12569" s="1" t="str">
        <f>HYPERLINK("http://www.rosaceae.org/gb/gbrowse/malus_x_domestica/?name=MDP0000848218","MDP0000848218")</f>
        <v>MDP0000848218</v>
      </c>
      <c r="D12569">
        <v>75.17</v>
      </c>
      <c r="E12569">
        <v>145</v>
      </c>
      <c r="F12569">
        <v>36</v>
      </c>
      <c r="G12569">
        <v>0</v>
      </c>
      <c r="H12569">
        <v>392</v>
      </c>
      <c r="I12569">
        <v>536</v>
      </c>
      <c r="J12569">
        <v>1</v>
      </c>
      <c r="K12569">
        <v>477</v>
      </c>
      <c r="L12569">
        <v>621</v>
      </c>
      <c r="M12569">
        <v>1</v>
      </c>
      <c r="N12569">
        <v>3.5074900000000001E-55</v>
      </c>
      <c r="O12569">
        <v>543</v>
      </c>
    </row>
    <row r="12570" spans="1:15" x14ac:dyDescent="0.25">
      <c r="A12570" t="s">
        <v>12583</v>
      </c>
      <c r="B12570">
        <v>149</v>
      </c>
      <c r="C12570" s="1" t="str">
        <f>HYPERLINK("http://www.rosaceae.org/gb/gbrowse/malus_x_domestica/?name=MDP0000136805","MDP0000136805")</f>
        <v>MDP0000136805</v>
      </c>
      <c r="D12570">
        <v>81.599999999999994</v>
      </c>
      <c r="E12570">
        <v>125</v>
      </c>
      <c r="F12570">
        <v>23</v>
      </c>
      <c r="G12570">
        <v>0</v>
      </c>
      <c r="H12570">
        <v>1</v>
      </c>
      <c r="I12570">
        <v>125</v>
      </c>
      <c r="J12570">
        <v>1</v>
      </c>
      <c r="K12570">
        <v>1</v>
      </c>
      <c r="L12570">
        <v>125</v>
      </c>
      <c r="M12570">
        <v>1</v>
      </c>
      <c r="N12570">
        <v>2.6456999999999998E-57</v>
      </c>
      <c r="O12570">
        <v>553</v>
      </c>
    </row>
    <row r="12571" spans="1:15" x14ac:dyDescent="0.25">
      <c r="A12571" t="s">
        <v>12584</v>
      </c>
      <c r="B12571">
        <v>621</v>
      </c>
      <c r="C12571" s="1" t="str">
        <f>HYPERLINK("http://www.rosaceae.org/gb/gbrowse/malus_x_domestica/?name=MDP0000156544","MDP0000156544")</f>
        <v>MDP0000156544</v>
      </c>
      <c r="D12571">
        <v>48.67</v>
      </c>
      <c r="E12571">
        <v>454</v>
      </c>
      <c r="F12571">
        <v>233</v>
      </c>
      <c r="G12571">
        <v>9</v>
      </c>
      <c r="H12571">
        <v>60</v>
      </c>
      <c r="I12571">
        <v>510</v>
      </c>
      <c r="J12571">
        <v>1</v>
      </c>
      <c r="K12571">
        <v>64</v>
      </c>
      <c r="L12571">
        <v>511</v>
      </c>
      <c r="M12571">
        <v>1</v>
      </c>
      <c r="N12571">
        <v>2.28076E-130</v>
      </c>
      <c r="O12571">
        <v>1192</v>
      </c>
    </row>
    <row r="12572" spans="1:15" x14ac:dyDescent="0.25">
      <c r="A12572" t="s">
        <v>12585</v>
      </c>
      <c r="B12572">
        <v>160</v>
      </c>
      <c r="C12572" s="1" t="str">
        <f>HYPERLINK("http://www.rosaceae.org/gb/gbrowse/malus_x_domestica/?name=MDP0000152734","MDP0000152734")</f>
        <v>MDP0000152734</v>
      </c>
      <c r="D12572">
        <v>68.09</v>
      </c>
      <c r="E12572">
        <v>163</v>
      </c>
      <c r="F12572">
        <v>52</v>
      </c>
      <c r="G12572">
        <v>3</v>
      </c>
      <c r="H12572">
        <v>1</v>
      </c>
      <c r="I12572">
        <v>160</v>
      </c>
      <c r="J12572">
        <v>1</v>
      </c>
      <c r="K12572">
        <v>41</v>
      </c>
      <c r="L12572">
        <v>203</v>
      </c>
      <c r="M12572">
        <v>1</v>
      </c>
      <c r="N12572">
        <v>2.16131E-52</v>
      </c>
      <c r="O12572">
        <v>512</v>
      </c>
    </row>
    <row r="12573" spans="1:15" x14ac:dyDescent="0.25">
      <c r="A12573" t="s">
        <v>12586</v>
      </c>
      <c r="B12573">
        <v>336</v>
      </c>
      <c r="C12573" s="1" t="str">
        <f>HYPERLINK("http://www.rosaceae.org/gb/gbrowse/malus_x_domestica/?name=MDP0000322440","MDP0000322440")</f>
        <v>MDP0000322440</v>
      </c>
      <c r="D12573">
        <v>82.22</v>
      </c>
      <c r="E12573">
        <v>332</v>
      </c>
      <c r="F12573">
        <v>59</v>
      </c>
      <c r="G12573">
        <v>1</v>
      </c>
      <c r="H12573">
        <v>1</v>
      </c>
      <c r="I12573">
        <v>331</v>
      </c>
      <c r="J12573">
        <v>1</v>
      </c>
      <c r="K12573">
        <v>1</v>
      </c>
      <c r="L12573">
        <v>332</v>
      </c>
      <c r="M12573">
        <v>1</v>
      </c>
      <c r="N12573">
        <v>1.28499E-163</v>
      </c>
      <c r="O12573">
        <v>1476</v>
      </c>
    </row>
    <row r="12574" spans="1:15" x14ac:dyDescent="0.25">
      <c r="A12574" t="s">
        <v>12587</v>
      </c>
      <c r="B12574">
        <v>406</v>
      </c>
      <c r="C12574" s="1" t="str">
        <f>HYPERLINK("http://www.rosaceae.org/gb/gbrowse/malus_x_domestica/?name=MDP0000306704","MDP0000306704")</f>
        <v>MDP0000306704</v>
      </c>
      <c r="D12574">
        <v>35.14</v>
      </c>
      <c r="E12574">
        <v>367</v>
      </c>
      <c r="F12574">
        <v>238</v>
      </c>
      <c r="G12574">
        <v>88</v>
      </c>
      <c r="H12574">
        <v>29</v>
      </c>
      <c r="I12574">
        <v>325</v>
      </c>
      <c r="J12574">
        <v>1</v>
      </c>
      <c r="K12574">
        <v>239</v>
      </c>
      <c r="L12574">
        <v>587</v>
      </c>
      <c r="M12574">
        <v>1</v>
      </c>
      <c r="N12574">
        <v>3.21765E-45</v>
      </c>
      <c r="O12574">
        <v>455</v>
      </c>
    </row>
    <row r="12575" spans="1:15" x14ac:dyDescent="0.25">
      <c r="A12575" t="s">
        <v>12588</v>
      </c>
      <c r="B12575">
        <v>306</v>
      </c>
      <c r="C12575" s="1" t="str">
        <f>HYPERLINK("http://www.rosaceae.org/gb/gbrowse/malus_x_domestica/?name=MDP0000124256","MDP0000124256")</f>
        <v>MDP0000124256</v>
      </c>
      <c r="D12575">
        <v>40.78</v>
      </c>
      <c r="E12575">
        <v>152</v>
      </c>
      <c r="F12575">
        <v>90</v>
      </c>
      <c r="G12575">
        <v>2</v>
      </c>
      <c r="H12575">
        <v>83</v>
      </c>
      <c r="I12575">
        <v>234</v>
      </c>
      <c r="J12575">
        <v>1</v>
      </c>
      <c r="K12575">
        <v>57</v>
      </c>
      <c r="L12575">
        <v>206</v>
      </c>
      <c r="M12575">
        <v>1</v>
      </c>
      <c r="N12575">
        <v>1.3548E-22</v>
      </c>
      <c r="O12575">
        <v>259</v>
      </c>
    </row>
    <row r="12576" spans="1:15" x14ac:dyDescent="0.25">
      <c r="A12576" t="s">
        <v>12589</v>
      </c>
      <c r="B12576">
        <v>84</v>
      </c>
      <c r="C12576" s="1" t="str">
        <f>HYPERLINK("http://www.rosaceae.org/gb/gbrowse/malus_x_domestica/?name=MDP0000609227","MDP0000609227")</f>
        <v>MDP0000609227</v>
      </c>
      <c r="D12576">
        <v>75.67</v>
      </c>
      <c r="E12576">
        <v>74</v>
      </c>
      <c r="F12576">
        <v>18</v>
      </c>
      <c r="G12576">
        <v>1</v>
      </c>
      <c r="H12576">
        <v>1</v>
      </c>
      <c r="I12576">
        <v>74</v>
      </c>
      <c r="J12576">
        <v>1</v>
      </c>
      <c r="K12576">
        <v>1</v>
      </c>
      <c r="L12576">
        <v>73</v>
      </c>
      <c r="M12576">
        <v>1</v>
      </c>
      <c r="N12576">
        <v>1.8344900000000001E-25</v>
      </c>
      <c r="O12576">
        <v>277</v>
      </c>
    </row>
    <row r="12577" spans="1:15" x14ac:dyDescent="0.25">
      <c r="A12577" t="s">
        <v>12590</v>
      </c>
      <c r="B12577">
        <v>343</v>
      </c>
      <c r="C12577" s="1" t="str">
        <f>HYPERLINK("http://www.rosaceae.org/gb/gbrowse/malus_x_domestica/?name=MDP0000287757","MDP0000287757")</f>
        <v>MDP0000287757</v>
      </c>
      <c r="D12577">
        <v>74.56</v>
      </c>
      <c r="E12577">
        <v>342</v>
      </c>
      <c r="F12577">
        <v>87</v>
      </c>
      <c r="G12577">
        <v>25</v>
      </c>
      <c r="H12577">
        <v>18</v>
      </c>
      <c r="I12577">
        <v>335</v>
      </c>
      <c r="J12577">
        <v>1</v>
      </c>
      <c r="K12577">
        <v>1</v>
      </c>
      <c r="L12577">
        <v>341</v>
      </c>
      <c r="M12577">
        <v>1</v>
      </c>
      <c r="N12577">
        <v>3.7370200000000001E-152</v>
      </c>
      <c r="O12577">
        <v>1377</v>
      </c>
    </row>
    <row r="12578" spans="1:15" x14ac:dyDescent="0.25">
      <c r="A12578" t="s">
        <v>12591</v>
      </c>
      <c r="B12578">
        <v>463</v>
      </c>
      <c r="C12578" s="1" t="str">
        <f>HYPERLINK("http://www.rosaceae.org/gb/gbrowse/malus_x_domestica/?name=MDP0000274695","MDP0000274695")</f>
        <v>MDP0000274695</v>
      </c>
      <c r="D12578">
        <v>44</v>
      </c>
      <c r="E12578">
        <v>125</v>
      </c>
      <c r="F12578">
        <v>70</v>
      </c>
      <c r="G12578">
        <v>17</v>
      </c>
      <c r="H12578">
        <v>231</v>
      </c>
      <c r="I12578">
        <v>345</v>
      </c>
      <c r="J12578">
        <v>1</v>
      </c>
      <c r="K12578">
        <v>137</v>
      </c>
      <c r="L12578">
        <v>254</v>
      </c>
      <c r="M12578">
        <v>1</v>
      </c>
      <c r="N12578">
        <v>4.9342800000000002E-11</v>
      </c>
      <c r="O12578">
        <v>161</v>
      </c>
    </row>
    <row r="12579" spans="1:15" x14ac:dyDescent="0.25">
      <c r="A12579" t="s">
        <v>12592</v>
      </c>
      <c r="B12579">
        <v>183</v>
      </c>
      <c r="C12579" s="1" t="str">
        <f>HYPERLINK("http://www.rosaceae.org/gb/gbrowse/malus_x_domestica/?name=MDP0000313138","MDP0000313138")</f>
        <v>MDP0000313138</v>
      </c>
      <c r="D12579">
        <v>32.549999999999997</v>
      </c>
      <c r="E12579">
        <v>129</v>
      </c>
      <c r="F12579">
        <v>87</v>
      </c>
      <c r="G12579">
        <v>12</v>
      </c>
      <c r="H12579">
        <v>27</v>
      </c>
      <c r="I12579">
        <v>153</v>
      </c>
      <c r="J12579">
        <v>1</v>
      </c>
      <c r="K12579">
        <v>91</v>
      </c>
      <c r="L12579">
        <v>209</v>
      </c>
      <c r="M12579">
        <v>1</v>
      </c>
      <c r="N12579">
        <v>3.8794800000000001E-11</v>
      </c>
      <c r="O12579">
        <v>157</v>
      </c>
    </row>
    <row r="12580" spans="1:15" x14ac:dyDescent="0.25">
      <c r="A12580" t="s">
        <v>12593</v>
      </c>
      <c r="B12580">
        <v>260</v>
      </c>
      <c r="C12580" s="1" t="str">
        <f>HYPERLINK("http://www.rosaceae.org/gb/gbrowse/malus_x_domestica/?name=MDP0000121410","MDP0000121410")</f>
        <v>MDP0000121410</v>
      </c>
      <c r="D12580">
        <v>71.02</v>
      </c>
      <c r="E12580">
        <v>107</v>
      </c>
      <c r="F12580">
        <v>31</v>
      </c>
      <c r="G12580">
        <v>0</v>
      </c>
      <c r="H12580">
        <v>150</v>
      </c>
      <c r="I12580">
        <v>256</v>
      </c>
      <c r="J12580">
        <v>1</v>
      </c>
      <c r="K12580">
        <v>488</v>
      </c>
      <c r="L12580">
        <v>594</v>
      </c>
      <c r="M12580">
        <v>1</v>
      </c>
      <c r="N12580">
        <v>2.16202E-39</v>
      </c>
      <c r="O12580">
        <v>403</v>
      </c>
    </row>
    <row r="12581" spans="1:15" x14ac:dyDescent="0.25">
      <c r="A12581" t="s">
        <v>12594</v>
      </c>
      <c r="B12581">
        <v>194</v>
      </c>
      <c r="C12581" s="1" t="str">
        <f>HYPERLINK("http://www.rosaceae.org/gb/gbrowse/malus_x_domestica/?name=MDP0000747397","MDP0000747397")</f>
        <v>MDP0000747397</v>
      </c>
      <c r="D12581">
        <v>71.42</v>
      </c>
      <c r="E12581">
        <v>196</v>
      </c>
      <c r="F12581">
        <v>56</v>
      </c>
      <c r="G12581">
        <v>2</v>
      </c>
      <c r="H12581">
        <v>1</v>
      </c>
      <c r="I12581">
        <v>194</v>
      </c>
      <c r="J12581">
        <v>1</v>
      </c>
      <c r="K12581">
        <v>1</v>
      </c>
      <c r="L12581">
        <v>196</v>
      </c>
      <c r="M12581">
        <v>1</v>
      </c>
      <c r="N12581">
        <v>1.26286E-76</v>
      </c>
      <c r="O12581">
        <v>722</v>
      </c>
    </row>
    <row r="12582" spans="1:15" x14ac:dyDescent="0.25">
      <c r="A12582" t="s">
        <v>12595</v>
      </c>
      <c r="B12582">
        <v>620</v>
      </c>
      <c r="C12582" s="1" t="str">
        <f>HYPERLINK("http://www.rosaceae.org/gb/gbrowse/malus_x_domestica/?name=MDP0000170859","MDP0000170859")</f>
        <v>MDP0000170859</v>
      </c>
      <c r="D12582">
        <v>47.84</v>
      </c>
      <c r="E12582">
        <v>673</v>
      </c>
      <c r="F12582">
        <v>351</v>
      </c>
      <c r="G12582">
        <v>78</v>
      </c>
      <c r="H12582">
        <v>7</v>
      </c>
      <c r="I12582">
        <v>615</v>
      </c>
      <c r="J12582">
        <v>1</v>
      </c>
      <c r="K12582">
        <v>34</v>
      </c>
      <c r="L12582">
        <v>692</v>
      </c>
      <c r="M12582">
        <v>1</v>
      </c>
      <c r="N12582">
        <v>2.4735E-160</v>
      </c>
      <c r="O12582">
        <v>1450</v>
      </c>
    </row>
    <row r="12583" spans="1:15" x14ac:dyDescent="0.25">
      <c r="A12583" t="s">
        <v>12596</v>
      </c>
      <c r="B12583">
        <v>223</v>
      </c>
      <c r="C12583" s="1" t="str">
        <f>HYPERLINK("http://www.rosaceae.org/gb/gbrowse/malus_x_domestica/?name=MDP0000711904","MDP0000711904")</f>
        <v>MDP0000711904</v>
      </c>
      <c r="D12583">
        <v>71.97</v>
      </c>
      <c r="E12583">
        <v>157</v>
      </c>
      <c r="F12583">
        <v>44</v>
      </c>
      <c r="G12583">
        <v>4</v>
      </c>
      <c r="H12583">
        <v>64</v>
      </c>
      <c r="I12583">
        <v>219</v>
      </c>
      <c r="J12583">
        <v>1</v>
      </c>
      <c r="K12583">
        <v>86</v>
      </c>
      <c r="L12583">
        <v>239</v>
      </c>
      <c r="M12583">
        <v>1</v>
      </c>
      <c r="N12583">
        <v>2.4280500000000001E-61</v>
      </c>
      <c r="O12583">
        <v>591</v>
      </c>
    </row>
    <row r="12584" spans="1:15" x14ac:dyDescent="0.25">
      <c r="A12584" t="s">
        <v>12597</v>
      </c>
      <c r="B12584">
        <v>557</v>
      </c>
      <c r="C12584" s="1" t="str">
        <f>HYPERLINK("http://www.rosaceae.org/gb/gbrowse/malus_x_domestica/?name=MDP0000946376","MDP0000946376")</f>
        <v>MDP0000946376</v>
      </c>
      <c r="D12584">
        <v>69.760000000000005</v>
      </c>
      <c r="E12584">
        <v>86</v>
      </c>
      <c r="F12584">
        <v>26</v>
      </c>
      <c r="G12584">
        <v>0</v>
      </c>
      <c r="H12584">
        <v>122</v>
      </c>
      <c r="I12584">
        <v>207</v>
      </c>
      <c r="J12584">
        <v>1</v>
      </c>
      <c r="K12584">
        <v>83</v>
      </c>
      <c r="L12584">
        <v>168</v>
      </c>
      <c r="M12584">
        <v>1</v>
      </c>
      <c r="N12584">
        <v>6.4974099999999994E-30</v>
      </c>
      <c r="O12584">
        <v>325</v>
      </c>
    </row>
    <row r="12585" spans="1:15" x14ac:dyDescent="0.25">
      <c r="A12585" t="s">
        <v>12598</v>
      </c>
      <c r="B12585">
        <v>561</v>
      </c>
      <c r="C12585" s="1" t="str">
        <f>HYPERLINK("http://www.rosaceae.org/gb/gbrowse/malus_x_domestica/?name=MDP0000130459","MDP0000130459")</f>
        <v>MDP0000130459</v>
      </c>
      <c r="D12585">
        <v>81.93</v>
      </c>
      <c r="E12585">
        <v>559</v>
      </c>
      <c r="F12585">
        <v>101</v>
      </c>
      <c r="G12585">
        <v>23</v>
      </c>
      <c r="H12585">
        <v>1</v>
      </c>
      <c r="I12585">
        <v>552</v>
      </c>
      <c r="J12585">
        <v>1</v>
      </c>
      <c r="K12585">
        <v>1</v>
      </c>
      <c r="L12585">
        <v>543</v>
      </c>
      <c r="M12585">
        <v>1</v>
      </c>
      <c r="N12585">
        <v>0</v>
      </c>
      <c r="O12585">
        <v>2312</v>
      </c>
    </row>
    <row r="12586" spans="1:15" x14ac:dyDescent="0.25">
      <c r="A12586" t="s">
        <v>12599</v>
      </c>
      <c r="B12586">
        <v>312</v>
      </c>
      <c r="C12586" s="1" t="str">
        <f>HYPERLINK("http://www.rosaceae.org/gb/gbrowse/malus_x_domestica/?name=MDP0000912039","MDP0000912039")</f>
        <v>MDP0000912039</v>
      </c>
      <c r="D12586">
        <v>90.81</v>
      </c>
      <c r="E12586">
        <v>98</v>
      </c>
      <c r="F12586">
        <v>9</v>
      </c>
      <c r="G12586">
        <v>1</v>
      </c>
      <c r="H12586">
        <v>1</v>
      </c>
      <c r="I12586">
        <v>98</v>
      </c>
      <c r="J12586">
        <v>1</v>
      </c>
      <c r="K12586">
        <v>1</v>
      </c>
      <c r="L12586">
        <v>97</v>
      </c>
      <c r="M12586">
        <v>1</v>
      </c>
      <c r="N12586">
        <v>6.2662399999999998E-49</v>
      </c>
      <c r="O12586">
        <v>486</v>
      </c>
    </row>
    <row r="12587" spans="1:15" x14ac:dyDescent="0.25">
      <c r="A12587" t="s">
        <v>12600</v>
      </c>
      <c r="B12587">
        <v>543</v>
      </c>
      <c r="C12587" s="1" t="str">
        <f>HYPERLINK("http://www.rosaceae.org/gb/gbrowse/malus_x_domestica/?name=MDP0000146753","MDP0000146753")</f>
        <v>MDP0000146753</v>
      </c>
      <c r="D12587">
        <v>32.85</v>
      </c>
      <c r="E12587">
        <v>350</v>
      </c>
      <c r="F12587">
        <v>235</v>
      </c>
      <c r="G12587">
        <v>71</v>
      </c>
      <c r="H12587">
        <v>200</v>
      </c>
      <c r="I12587">
        <v>543</v>
      </c>
      <c r="J12587">
        <v>1</v>
      </c>
      <c r="K12587">
        <v>85</v>
      </c>
      <c r="L12587">
        <v>369</v>
      </c>
      <c r="M12587">
        <v>1</v>
      </c>
      <c r="N12587">
        <v>4.3328200000000001E-44</v>
      </c>
      <c r="O12587">
        <v>447</v>
      </c>
    </row>
    <row r="12588" spans="1:15" x14ac:dyDescent="0.25">
      <c r="A12588" t="s">
        <v>12601</v>
      </c>
      <c r="B12588">
        <v>191</v>
      </c>
      <c r="C12588" s="1" t="str">
        <f>HYPERLINK("http://www.rosaceae.org/gb/gbrowse/malus_x_domestica/?name=MDP0000126455","MDP0000126455")</f>
        <v>MDP0000126455</v>
      </c>
      <c r="D12588">
        <v>88.83</v>
      </c>
      <c r="E12588">
        <v>197</v>
      </c>
      <c r="F12588">
        <v>22</v>
      </c>
      <c r="G12588">
        <v>8</v>
      </c>
      <c r="H12588">
        <v>1</v>
      </c>
      <c r="I12588">
        <v>191</v>
      </c>
      <c r="J12588">
        <v>1</v>
      </c>
      <c r="K12588">
        <v>1</v>
      </c>
      <c r="L12588">
        <v>195</v>
      </c>
      <c r="M12588">
        <v>1</v>
      </c>
      <c r="N12588">
        <v>1.6816699999999999E-101</v>
      </c>
      <c r="O12588">
        <v>937</v>
      </c>
    </row>
    <row r="12589" spans="1:15" x14ac:dyDescent="0.25">
      <c r="A12589" t="s">
        <v>12602</v>
      </c>
      <c r="B12589">
        <v>410</v>
      </c>
      <c r="C12589" s="1" t="str">
        <f>HYPERLINK("http://www.rosaceae.org/gb/gbrowse/malus_x_domestica/?name=MDP0000208717","MDP0000208717")</f>
        <v>MDP0000208717</v>
      </c>
      <c r="D12589">
        <v>87.94</v>
      </c>
      <c r="E12589">
        <v>340</v>
      </c>
      <c r="F12589">
        <v>41</v>
      </c>
      <c r="G12589">
        <v>5</v>
      </c>
      <c r="H12589">
        <v>1</v>
      </c>
      <c r="I12589">
        <v>335</v>
      </c>
      <c r="J12589">
        <v>1</v>
      </c>
      <c r="K12589">
        <v>1</v>
      </c>
      <c r="L12589">
        <v>340</v>
      </c>
      <c r="M12589">
        <v>1</v>
      </c>
      <c r="N12589">
        <v>2.79054E-179</v>
      </c>
      <c r="O12589">
        <v>1612</v>
      </c>
    </row>
    <row r="12590" spans="1:15" x14ac:dyDescent="0.25">
      <c r="A12590" t="s">
        <v>12603</v>
      </c>
      <c r="B12590">
        <v>1028</v>
      </c>
      <c r="C12590" s="1" t="str">
        <f>HYPERLINK("http://www.rosaceae.org/gb/gbrowse/malus_x_domestica/?name=MDP0000318654","MDP0000318654")</f>
        <v>MDP0000318654</v>
      </c>
      <c r="D12590">
        <v>35.24</v>
      </c>
      <c r="E12590">
        <v>925</v>
      </c>
      <c r="F12590">
        <v>599</v>
      </c>
      <c r="G12590">
        <v>55</v>
      </c>
      <c r="H12590">
        <v>4</v>
      </c>
      <c r="I12590">
        <v>898</v>
      </c>
      <c r="J12590">
        <v>1</v>
      </c>
      <c r="K12590">
        <v>298</v>
      </c>
      <c r="L12590">
        <v>1197</v>
      </c>
      <c r="M12590">
        <v>1</v>
      </c>
      <c r="N12590">
        <v>4.0265299999999998E-131</v>
      </c>
      <c r="O12590">
        <v>1200</v>
      </c>
    </row>
    <row r="12591" spans="1:15" x14ac:dyDescent="0.25">
      <c r="A12591" t="s">
        <v>12604</v>
      </c>
      <c r="B12591">
        <v>350</v>
      </c>
      <c r="C12591" s="1" t="str">
        <f>HYPERLINK("http://www.rosaceae.org/gb/gbrowse/malus_x_domestica/?name=MDP0000376284","MDP0000376284")</f>
        <v>MDP0000376284</v>
      </c>
      <c r="D12591">
        <v>78.209999999999994</v>
      </c>
      <c r="E12591">
        <v>358</v>
      </c>
      <c r="F12591">
        <v>78</v>
      </c>
      <c r="G12591">
        <v>12</v>
      </c>
      <c r="H12591">
        <v>1</v>
      </c>
      <c r="I12591">
        <v>350</v>
      </c>
      <c r="J12591">
        <v>1</v>
      </c>
      <c r="K12591">
        <v>72</v>
      </c>
      <c r="L12591">
        <v>425</v>
      </c>
      <c r="M12591">
        <v>1</v>
      </c>
      <c r="N12591">
        <v>1.5562300000000001E-165</v>
      </c>
      <c r="O12591">
        <v>1492</v>
      </c>
    </row>
    <row r="12592" spans="1:15" x14ac:dyDescent="0.25">
      <c r="A12592" t="s">
        <v>12605</v>
      </c>
      <c r="B12592">
        <v>448</v>
      </c>
      <c r="C12592" s="1" t="str">
        <f>HYPERLINK("http://www.rosaceae.org/gb/gbrowse/malus_x_domestica/?name=MDP0000216139","MDP0000216139")</f>
        <v>MDP0000216139</v>
      </c>
      <c r="D12592">
        <v>39.619999999999997</v>
      </c>
      <c r="E12592">
        <v>424</v>
      </c>
      <c r="F12592">
        <v>256</v>
      </c>
      <c r="G12592">
        <v>25</v>
      </c>
      <c r="H12592">
        <v>2</v>
      </c>
      <c r="I12592">
        <v>409</v>
      </c>
      <c r="J12592">
        <v>1</v>
      </c>
      <c r="K12592">
        <v>33</v>
      </c>
      <c r="L12592">
        <v>447</v>
      </c>
      <c r="M12592">
        <v>1</v>
      </c>
      <c r="N12592">
        <v>4.8734300000000004E-78</v>
      </c>
      <c r="O12592">
        <v>739</v>
      </c>
    </row>
    <row r="12593" spans="1:15" x14ac:dyDescent="0.25">
      <c r="A12593" t="s">
        <v>12606</v>
      </c>
      <c r="B12593">
        <v>1185</v>
      </c>
      <c r="C12593" s="1" t="str">
        <f>HYPERLINK("http://www.rosaceae.org/gb/gbrowse/malus_x_domestica/?name=MDP0000310001","MDP0000310001")</f>
        <v>MDP0000310001</v>
      </c>
      <c r="D12593">
        <v>81.819999999999993</v>
      </c>
      <c r="E12593">
        <v>1183</v>
      </c>
      <c r="F12593">
        <v>215</v>
      </c>
      <c r="G12593">
        <v>7</v>
      </c>
      <c r="H12593">
        <v>3</v>
      </c>
      <c r="I12593">
        <v>1178</v>
      </c>
      <c r="J12593">
        <v>1</v>
      </c>
      <c r="K12593">
        <v>2</v>
      </c>
      <c r="L12593">
        <v>1184</v>
      </c>
      <c r="M12593">
        <v>1</v>
      </c>
      <c r="N12593">
        <v>0</v>
      </c>
      <c r="O12593">
        <v>5305</v>
      </c>
    </row>
    <row r="12594" spans="1:15" x14ac:dyDescent="0.25">
      <c r="A12594" t="s">
        <v>12607</v>
      </c>
      <c r="B12594">
        <v>134</v>
      </c>
      <c r="C12594" s="1" t="str">
        <f>HYPERLINK("http://www.rosaceae.org/gb/gbrowse/malus_x_domestica/?name=MDP0000138655","MDP0000138655")</f>
        <v>MDP0000138655</v>
      </c>
      <c r="D12594">
        <v>55.55</v>
      </c>
      <c r="E12594">
        <v>144</v>
      </c>
      <c r="F12594">
        <v>64</v>
      </c>
      <c r="G12594">
        <v>23</v>
      </c>
      <c r="H12594">
        <v>1</v>
      </c>
      <c r="I12594">
        <v>134</v>
      </c>
      <c r="J12594">
        <v>1</v>
      </c>
      <c r="K12594">
        <v>1</v>
      </c>
      <c r="L12594">
        <v>131</v>
      </c>
      <c r="M12594">
        <v>1</v>
      </c>
      <c r="N12594">
        <v>8.6760299999999992E-34</v>
      </c>
      <c r="O12594">
        <v>350</v>
      </c>
    </row>
    <row r="12595" spans="1:15" x14ac:dyDescent="0.25">
      <c r="A12595" t="s">
        <v>12608</v>
      </c>
      <c r="B12595">
        <v>482</v>
      </c>
      <c r="C12595" s="1" t="str">
        <f>HYPERLINK("http://www.rosaceae.org/gb/gbrowse/malus_x_domestica/?name=MDP0000220016","MDP0000220016")</f>
        <v>MDP0000220016</v>
      </c>
      <c r="D12595">
        <v>87.62</v>
      </c>
      <c r="E12595">
        <v>485</v>
      </c>
      <c r="F12595">
        <v>60</v>
      </c>
      <c r="G12595">
        <v>3</v>
      </c>
      <c r="H12595">
        <v>1</v>
      </c>
      <c r="I12595">
        <v>482</v>
      </c>
      <c r="J12595">
        <v>1</v>
      </c>
      <c r="K12595">
        <v>1</v>
      </c>
      <c r="L12595">
        <v>485</v>
      </c>
      <c r="M12595">
        <v>1</v>
      </c>
      <c r="N12595">
        <v>0</v>
      </c>
      <c r="O12595">
        <v>2215</v>
      </c>
    </row>
    <row r="12596" spans="1:15" x14ac:dyDescent="0.25">
      <c r="A12596" t="s">
        <v>12609</v>
      </c>
      <c r="B12596">
        <v>1514</v>
      </c>
      <c r="C12596" s="1" t="str">
        <f>HYPERLINK("http://www.rosaceae.org/gb/gbrowse/malus_x_domestica/?name=MDP0000204225","MDP0000204225")</f>
        <v>MDP0000204225</v>
      </c>
      <c r="D12596">
        <v>66.89</v>
      </c>
      <c r="E12596">
        <v>1302</v>
      </c>
      <c r="F12596">
        <v>431</v>
      </c>
      <c r="G12596">
        <v>89</v>
      </c>
      <c r="H12596">
        <v>2</v>
      </c>
      <c r="I12596">
        <v>1244</v>
      </c>
      <c r="J12596">
        <v>1</v>
      </c>
      <c r="K12596">
        <v>188</v>
      </c>
      <c r="L12596">
        <v>1459</v>
      </c>
      <c r="M12596">
        <v>1</v>
      </c>
      <c r="N12596">
        <v>0</v>
      </c>
      <c r="O12596">
        <v>4432</v>
      </c>
    </row>
    <row r="12597" spans="1:15" x14ac:dyDescent="0.25">
      <c r="A12597" t="s">
        <v>12610</v>
      </c>
      <c r="B12597">
        <v>672</v>
      </c>
      <c r="C12597" s="1" t="str">
        <f>HYPERLINK("http://www.rosaceae.org/gb/gbrowse/malus_x_domestica/?name=MDP0000133226","MDP0000133226")</f>
        <v>MDP0000133226</v>
      </c>
      <c r="D12597">
        <v>57.76</v>
      </c>
      <c r="E12597">
        <v>689</v>
      </c>
      <c r="F12597">
        <v>291</v>
      </c>
      <c r="G12597">
        <v>32</v>
      </c>
      <c r="H12597">
        <v>1</v>
      </c>
      <c r="I12597">
        <v>669</v>
      </c>
      <c r="J12597">
        <v>1</v>
      </c>
      <c r="K12597">
        <v>1</v>
      </c>
      <c r="L12597">
        <v>677</v>
      </c>
      <c r="M12597">
        <v>1</v>
      </c>
      <c r="N12597">
        <v>0</v>
      </c>
      <c r="O12597">
        <v>1712</v>
      </c>
    </row>
    <row r="12598" spans="1:15" x14ac:dyDescent="0.25">
      <c r="A12598" t="s">
        <v>12611</v>
      </c>
      <c r="B12598">
        <v>277</v>
      </c>
      <c r="C12598" s="1" t="str">
        <f>HYPERLINK("http://www.rosaceae.org/gb/gbrowse/malus_x_domestica/?name=MDP0000212954","MDP0000212954")</f>
        <v>MDP0000212954</v>
      </c>
      <c r="D12598">
        <v>78.010000000000005</v>
      </c>
      <c r="E12598">
        <v>191</v>
      </c>
      <c r="F12598">
        <v>42</v>
      </c>
      <c r="G12598">
        <v>1</v>
      </c>
      <c r="H12598">
        <v>75</v>
      </c>
      <c r="I12598">
        <v>264</v>
      </c>
      <c r="J12598">
        <v>1</v>
      </c>
      <c r="K12598">
        <v>1</v>
      </c>
      <c r="L12598">
        <v>191</v>
      </c>
      <c r="M12598">
        <v>1</v>
      </c>
      <c r="N12598">
        <v>1.26206E-84</v>
      </c>
      <c r="O12598">
        <v>793</v>
      </c>
    </row>
    <row r="12599" spans="1:15" x14ac:dyDescent="0.25">
      <c r="A12599" t="s">
        <v>12612</v>
      </c>
      <c r="B12599">
        <v>374</v>
      </c>
      <c r="C12599" s="1" t="str">
        <f>HYPERLINK("http://www.rosaceae.org/gb/gbrowse/malus_x_domestica/?name=MDP0000228640","MDP0000228640")</f>
        <v>MDP0000228640</v>
      </c>
      <c r="D12599">
        <v>70.05</v>
      </c>
      <c r="E12599">
        <v>334</v>
      </c>
      <c r="F12599">
        <v>100</v>
      </c>
      <c r="G12599">
        <v>33</v>
      </c>
      <c r="H12599">
        <v>74</v>
      </c>
      <c r="I12599">
        <v>374</v>
      </c>
      <c r="J12599">
        <v>1</v>
      </c>
      <c r="K12599">
        <v>1</v>
      </c>
      <c r="L12599">
        <v>334</v>
      </c>
      <c r="M12599">
        <v>1</v>
      </c>
      <c r="N12599">
        <v>8.9440699999999995E-127</v>
      </c>
      <c r="O12599">
        <v>1158</v>
      </c>
    </row>
    <row r="12600" spans="1:15" x14ac:dyDescent="0.25">
      <c r="A12600" t="s">
        <v>12613</v>
      </c>
      <c r="B12600">
        <v>257</v>
      </c>
      <c r="C12600" s="1" t="str">
        <f>HYPERLINK("http://www.rosaceae.org/gb/gbrowse/malus_x_domestica/?name=MDP0000247921","MDP0000247921")</f>
        <v>MDP0000247921</v>
      </c>
      <c r="D12600">
        <v>32.43</v>
      </c>
      <c r="E12600">
        <v>111</v>
      </c>
      <c r="F12600">
        <v>75</v>
      </c>
      <c r="G12600">
        <v>13</v>
      </c>
      <c r="H12600">
        <v>2</v>
      </c>
      <c r="I12600">
        <v>104</v>
      </c>
      <c r="J12600">
        <v>1</v>
      </c>
      <c r="K12600">
        <v>786</v>
      </c>
      <c r="L12600">
        <v>891</v>
      </c>
      <c r="M12600">
        <v>1</v>
      </c>
      <c r="N12600">
        <v>1.18327E-9</v>
      </c>
      <c r="O12600">
        <v>146</v>
      </c>
    </row>
    <row r="12601" spans="1:15" x14ac:dyDescent="0.25">
      <c r="A12601" t="s">
        <v>12614</v>
      </c>
      <c r="B12601">
        <v>308</v>
      </c>
      <c r="C12601" s="1" t="str">
        <f>HYPERLINK("http://www.rosaceae.org/gb/gbrowse/malus_x_domestica/?name=MDP0000287764","MDP0000287764")</f>
        <v>MDP0000287764</v>
      </c>
      <c r="D12601">
        <v>54.18</v>
      </c>
      <c r="E12601">
        <v>406</v>
      </c>
      <c r="F12601">
        <v>186</v>
      </c>
      <c r="G12601">
        <v>98</v>
      </c>
      <c r="H12601">
        <v>1</v>
      </c>
      <c r="I12601">
        <v>308</v>
      </c>
      <c r="J12601">
        <v>1</v>
      </c>
      <c r="K12601">
        <v>1</v>
      </c>
      <c r="L12601">
        <v>406</v>
      </c>
      <c r="M12601">
        <v>1</v>
      </c>
      <c r="N12601">
        <v>2.6051200000000001E-103</v>
      </c>
      <c r="O12601">
        <v>955</v>
      </c>
    </row>
    <row r="12602" spans="1:15" x14ac:dyDescent="0.25">
      <c r="A12602" t="s">
        <v>12615</v>
      </c>
      <c r="B12602">
        <v>220</v>
      </c>
      <c r="C12602" s="1" t="str">
        <f>HYPERLINK("http://www.rosaceae.org/gb/gbrowse/malus_x_domestica/?name=MDP0000558468","MDP0000558468")</f>
        <v>MDP0000558468</v>
      </c>
      <c r="D12602">
        <v>60.45</v>
      </c>
      <c r="E12602">
        <v>220</v>
      </c>
      <c r="F12602">
        <v>87</v>
      </c>
      <c r="G12602">
        <v>1</v>
      </c>
      <c r="H12602">
        <v>1</v>
      </c>
      <c r="I12602">
        <v>219</v>
      </c>
      <c r="J12602">
        <v>1</v>
      </c>
      <c r="K12602">
        <v>1</v>
      </c>
      <c r="L12602">
        <v>220</v>
      </c>
      <c r="M12602">
        <v>1</v>
      </c>
      <c r="N12602">
        <v>6.0334999999999996E-72</v>
      </c>
      <c r="O12602">
        <v>683</v>
      </c>
    </row>
    <row r="12603" spans="1:15" x14ac:dyDescent="0.25">
      <c r="A12603" t="s">
        <v>12616</v>
      </c>
      <c r="B12603">
        <v>673</v>
      </c>
      <c r="C12603" s="1" t="str">
        <f>HYPERLINK("http://www.rosaceae.org/gb/gbrowse/malus_x_domestica/?name=MDP0000193481","MDP0000193481")</f>
        <v>MDP0000193481</v>
      </c>
      <c r="D12603">
        <v>72.459999999999994</v>
      </c>
      <c r="E12603">
        <v>690</v>
      </c>
      <c r="F12603">
        <v>190</v>
      </c>
      <c r="G12603">
        <v>27</v>
      </c>
      <c r="H12603">
        <v>1</v>
      </c>
      <c r="I12603">
        <v>673</v>
      </c>
      <c r="J12603">
        <v>1</v>
      </c>
      <c r="K12603">
        <v>1</v>
      </c>
      <c r="L12603">
        <v>680</v>
      </c>
      <c r="M12603">
        <v>1</v>
      </c>
      <c r="N12603">
        <v>0</v>
      </c>
      <c r="O12603">
        <v>2592</v>
      </c>
    </row>
    <row r="12604" spans="1:15" x14ac:dyDescent="0.25">
      <c r="A12604" t="s">
        <v>12617</v>
      </c>
      <c r="B12604">
        <v>417</v>
      </c>
      <c r="C12604" s="1" t="str">
        <f>HYPERLINK("http://www.rosaceae.org/gb/gbrowse/malus_x_domestica/?name=MDP0000278373","MDP0000278373")</f>
        <v>MDP0000278373</v>
      </c>
      <c r="D12604">
        <v>79.849999999999994</v>
      </c>
      <c r="E12604">
        <v>402</v>
      </c>
      <c r="F12604">
        <v>81</v>
      </c>
      <c r="G12604">
        <v>14</v>
      </c>
      <c r="H12604">
        <v>7</v>
      </c>
      <c r="I12604">
        <v>402</v>
      </c>
      <c r="J12604">
        <v>1</v>
      </c>
      <c r="K12604">
        <v>687</v>
      </c>
      <c r="L12604">
        <v>1080</v>
      </c>
      <c r="M12604">
        <v>1</v>
      </c>
      <c r="N12604">
        <v>0</v>
      </c>
      <c r="O12604">
        <v>1661</v>
      </c>
    </row>
    <row r="12605" spans="1:15" x14ac:dyDescent="0.25">
      <c r="A12605" t="s">
        <v>12618</v>
      </c>
      <c r="B12605">
        <v>218</v>
      </c>
      <c r="C12605" s="1" t="str">
        <f>HYPERLINK("http://www.rosaceae.org/gb/gbrowse/malus_x_domestica/?name=MDP0000619608","MDP0000619608")</f>
        <v>MDP0000619608</v>
      </c>
      <c r="D12605">
        <v>36.590000000000003</v>
      </c>
      <c r="E12605">
        <v>194</v>
      </c>
      <c r="F12605">
        <v>123</v>
      </c>
      <c r="G12605">
        <v>12</v>
      </c>
      <c r="H12605">
        <v>29</v>
      </c>
      <c r="I12605">
        <v>218</v>
      </c>
      <c r="J12605">
        <v>1</v>
      </c>
      <c r="K12605">
        <v>23</v>
      </c>
      <c r="L12605">
        <v>208</v>
      </c>
      <c r="M12605">
        <v>1</v>
      </c>
      <c r="N12605">
        <v>1.32968E-22</v>
      </c>
      <c r="O12605">
        <v>257</v>
      </c>
    </row>
    <row r="12606" spans="1:15" x14ac:dyDescent="0.25">
      <c r="A12606" t="s">
        <v>12619</v>
      </c>
      <c r="B12606">
        <v>276</v>
      </c>
      <c r="C12606" s="1" t="str">
        <f>HYPERLINK("http://www.rosaceae.org/gb/gbrowse/malus_x_domestica/?name=MDP0000151934","MDP0000151934")</f>
        <v>MDP0000151934</v>
      </c>
      <c r="D12606">
        <v>74.11</v>
      </c>
      <c r="E12606">
        <v>255</v>
      </c>
      <c r="F12606">
        <v>66</v>
      </c>
      <c r="G12606">
        <v>16</v>
      </c>
      <c r="H12606">
        <v>1</v>
      </c>
      <c r="I12606">
        <v>241</v>
      </c>
      <c r="J12606">
        <v>1</v>
      </c>
      <c r="K12606">
        <v>1</v>
      </c>
      <c r="L12606">
        <v>253</v>
      </c>
      <c r="M12606">
        <v>1</v>
      </c>
      <c r="N12606">
        <v>6.6610999999999995E-111</v>
      </c>
      <c r="O12606">
        <v>1020</v>
      </c>
    </row>
    <row r="12607" spans="1:15" x14ac:dyDescent="0.25">
      <c r="A12607" t="s">
        <v>12620</v>
      </c>
      <c r="B12607">
        <v>1567</v>
      </c>
      <c r="C12607" s="1" t="str">
        <f>HYPERLINK("http://www.rosaceae.org/gb/gbrowse/malus_x_domestica/?name=MDP0000822588","MDP0000822588")</f>
        <v>MDP0000822588</v>
      </c>
      <c r="D12607">
        <v>72.5</v>
      </c>
      <c r="E12607">
        <v>1575</v>
      </c>
      <c r="F12607">
        <v>433</v>
      </c>
      <c r="G12607">
        <v>43</v>
      </c>
      <c r="H12607">
        <v>1</v>
      </c>
      <c r="I12607">
        <v>1567</v>
      </c>
      <c r="J12607">
        <v>1</v>
      </c>
      <c r="K12607">
        <v>1</v>
      </c>
      <c r="L12607">
        <v>1540</v>
      </c>
      <c r="M12607">
        <v>1</v>
      </c>
      <c r="N12607">
        <v>0</v>
      </c>
      <c r="O12607">
        <v>5839</v>
      </c>
    </row>
    <row r="12608" spans="1:15" x14ac:dyDescent="0.25">
      <c r="A12608" t="s">
        <v>12621</v>
      </c>
      <c r="B12608">
        <v>453</v>
      </c>
      <c r="C12608" s="1" t="str">
        <f>HYPERLINK("http://www.rosaceae.org/gb/gbrowse/malus_x_domestica/?name=MDP0000157408","MDP0000157408")</f>
        <v>MDP0000157408</v>
      </c>
      <c r="D12608">
        <v>66.739999999999995</v>
      </c>
      <c r="E12608">
        <v>406</v>
      </c>
      <c r="F12608">
        <v>135</v>
      </c>
      <c r="G12608">
        <v>22</v>
      </c>
      <c r="H12608">
        <v>4</v>
      </c>
      <c r="I12608">
        <v>387</v>
      </c>
      <c r="J12608">
        <v>1</v>
      </c>
      <c r="K12608">
        <v>217</v>
      </c>
      <c r="L12608">
        <v>622</v>
      </c>
      <c r="M12608">
        <v>1</v>
      </c>
      <c r="N12608">
        <v>1.57903E-159</v>
      </c>
      <c r="O12608">
        <v>1442</v>
      </c>
    </row>
    <row r="12609" spans="1:15" x14ac:dyDescent="0.25">
      <c r="A12609" t="s">
        <v>12622</v>
      </c>
      <c r="B12609">
        <v>145</v>
      </c>
      <c r="C12609" s="1" t="str">
        <f>HYPERLINK("http://www.rosaceae.org/gb/gbrowse/malus_x_domestica/?name=MDP0000144041","MDP0000144041")</f>
        <v>MDP0000144041</v>
      </c>
      <c r="D12609">
        <v>88.96</v>
      </c>
      <c r="E12609">
        <v>145</v>
      </c>
      <c r="F12609">
        <v>16</v>
      </c>
      <c r="G12609">
        <v>0</v>
      </c>
      <c r="H12609">
        <v>1</v>
      </c>
      <c r="I12609">
        <v>145</v>
      </c>
      <c r="J12609">
        <v>1</v>
      </c>
      <c r="K12609">
        <v>109</v>
      </c>
      <c r="L12609">
        <v>253</v>
      </c>
      <c r="M12609">
        <v>1</v>
      </c>
      <c r="N12609">
        <v>2.7659E-75</v>
      </c>
      <c r="O12609">
        <v>708</v>
      </c>
    </row>
    <row r="12610" spans="1:15" x14ac:dyDescent="0.25">
      <c r="A12610" t="s">
        <v>12623</v>
      </c>
      <c r="B12610">
        <v>483</v>
      </c>
      <c r="C12610" s="1" t="str">
        <f>HYPERLINK("http://www.rosaceae.org/gb/gbrowse/malus_x_domestica/?name=MDP0000320004","MDP0000320004")</f>
        <v>MDP0000320004</v>
      </c>
      <c r="D12610">
        <v>67.34</v>
      </c>
      <c r="E12610">
        <v>346</v>
      </c>
      <c r="F12610">
        <v>113</v>
      </c>
      <c r="G12610">
        <v>29</v>
      </c>
      <c r="H12610">
        <v>138</v>
      </c>
      <c r="I12610">
        <v>481</v>
      </c>
      <c r="J12610">
        <v>1</v>
      </c>
      <c r="K12610">
        <v>794</v>
      </c>
      <c r="L12610">
        <v>1112</v>
      </c>
      <c r="M12610">
        <v>1</v>
      </c>
      <c r="N12610">
        <v>6.7422799999999998E-130</v>
      </c>
      <c r="O12610">
        <v>1187</v>
      </c>
    </row>
    <row r="12611" spans="1:15" x14ac:dyDescent="0.25">
      <c r="A12611" t="s">
        <v>12624</v>
      </c>
      <c r="B12611">
        <v>236</v>
      </c>
      <c r="C12611" s="1" t="str">
        <f>HYPERLINK("http://www.rosaceae.org/gb/gbrowse/malus_x_domestica/?name=MDP0000310987","MDP0000310987")</f>
        <v>MDP0000310987</v>
      </c>
      <c r="D12611">
        <v>81.66</v>
      </c>
      <c r="E12611">
        <v>240</v>
      </c>
      <c r="F12611">
        <v>44</v>
      </c>
      <c r="G12611">
        <v>4</v>
      </c>
      <c r="H12611">
        <v>1</v>
      </c>
      <c r="I12611">
        <v>236</v>
      </c>
      <c r="J12611">
        <v>1</v>
      </c>
      <c r="K12611">
        <v>358</v>
      </c>
      <c r="L12611">
        <v>597</v>
      </c>
      <c r="M12611">
        <v>1</v>
      </c>
      <c r="N12611">
        <v>1.75757E-112</v>
      </c>
      <c r="O12611">
        <v>1033</v>
      </c>
    </row>
    <row r="12612" spans="1:15" x14ac:dyDescent="0.25">
      <c r="A12612" t="s">
        <v>12625</v>
      </c>
      <c r="B12612">
        <v>944</v>
      </c>
      <c r="C12612" s="1" t="str">
        <f>HYPERLINK("http://www.rosaceae.org/gb/gbrowse/malus_x_domestica/?name=MDP0000248670","MDP0000248670")</f>
        <v>MDP0000248670</v>
      </c>
      <c r="D12612">
        <v>52.02</v>
      </c>
      <c r="E12612">
        <v>963</v>
      </c>
      <c r="F12612">
        <v>462</v>
      </c>
      <c r="G12612">
        <v>99</v>
      </c>
      <c r="H12612">
        <v>1</v>
      </c>
      <c r="I12612">
        <v>929</v>
      </c>
      <c r="J12612">
        <v>1</v>
      </c>
      <c r="K12612">
        <v>1</v>
      </c>
      <c r="L12612">
        <v>898</v>
      </c>
      <c r="M12612">
        <v>1</v>
      </c>
      <c r="N12612">
        <v>0</v>
      </c>
      <c r="O12612">
        <v>2144</v>
      </c>
    </row>
    <row r="12613" spans="1:15" x14ac:dyDescent="0.25">
      <c r="A12613" t="s">
        <v>12626</v>
      </c>
      <c r="B12613">
        <v>277</v>
      </c>
      <c r="C12613" s="1" t="str">
        <f>HYPERLINK("http://www.rosaceae.org/gb/gbrowse/malus_x_domestica/?name=MDP0000464286","MDP0000464286")</f>
        <v>MDP0000464286</v>
      </c>
      <c r="D12613">
        <v>70.959999999999994</v>
      </c>
      <c r="E12613">
        <v>93</v>
      </c>
      <c r="F12613">
        <v>27</v>
      </c>
      <c r="G12613">
        <v>2</v>
      </c>
      <c r="H12613">
        <v>2</v>
      </c>
      <c r="I12613">
        <v>92</v>
      </c>
      <c r="J12613">
        <v>1</v>
      </c>
      <c r="K12613">
        <v>523</v>
      </c>
      <c r="L12613">
        <v>615</v>
      </c>
      <c r="M12613">
        <v>1</v>
      </c>
      <c r="N12613">
        <v>5.3798400000000002E-33</v>
      </c>
      <c r="O12613">
        <v>348</v>
      </c>
    </row>
    <row r="12614" spans="1:15" x14ac:dyDescent="0.25">
      <c r="A12614" t="s">
        <v>12627</v>
      </c>
      <c r="B12614">
        <v>359</v>
      </c>
      <c r="C12614" s="1" t="str">
        <f>HYPERLINK("http://www.rosaceae.org/gb/gbrowse/malus_x_domestica/?name=MDP0000316055","MDP0000316055")</f>
        <v>MDP0000316055</v>
      </c>
      <c r="D12614">
        <v>67.06</v>
      </c>
      <c r="E12614">
        <v>334</v>
      </c>
      <c r="F12614">
        <v>110</v>
      </c>
      <c r="G12614">
        <v>38</v>
      </c>
      <c r="H12614">
        <v>39</v>
      </c>
      <c r="I12614">
        <v>359</v>
      </c>
      <c r="J12614">
        <v>1</v>
      </c>
      <c r="K12614">
        <v>79</v>
      </c>
      <c r="L12614">
        <v>387</v>
      </c>
      <c r="M12614">
        <v>1</v>
      </c>
      <c r="N12614">
        <v>8.5457600000000001E-115</v>
      </c>
      <c r="O12614">
        <v>1055</v>
      </c>
    </row>
    <row r="12615" spans="1:15" x14ac:dyDescent="0.25">
      <c r="A12615" t="s">
        <v>12628</v>
      </c>
      <c r="B12615">
        <v>552</v>
      </c>
      <c r="C12615" s="1" t="str">
        <f>HYPERLINK("http://www.rosaceae.org/gb/gbrowse/malus_x_domestica/?name=MDP0000248026","MDP0000248026")</f>
        <v>MDP0000248026</v>
      </c>
      <c r="D12615">
        <v>56.7</v>
      </c>
      <c r="E12615">
        <v>559</v>
      </c>
      <c r="F12615">
        <v>242</v>
      </c>
      <c r="G12615">
        <v>42</v>
      </c>
      <c r="H12615">
        <v>1</v>
      </c>
      <c r="I12615">
        <v>528</v>
      </c>
      <c r="J12615">
        <v>1</v>
      </c>
      <c r="K12615">
        <v>1</v>
      </c>
      <c r="L12615">
        <v>548</v>
      </c>
      <c r="M12615">
        <v>1</v>
      </c>
      <c r="N12615">
        <v>3.1061899999999999E-169</v>
      </c>
      <c r="O12615">
        <v>1526</v>
      </c>
    </row>
    <row r="12616" spans="1:15" x14ac:dyDescent="0.25">
      <c r="A12616" t="s">
        <v>12629</v>
      </c>
      <c r="B12616">
        <v>324</v>
      </c>
      <c r="C12616" s="1" t="str">
        <f>HYPERLINK("http://www.rosaceae.org/gb/gbrowse/malus_x_domestica/?name=MDP0000288158","MDP0000288158")</f>
        <v>MDP0000288158</v>
      </c>
      <c r="D12616">
        <v>57.93</v>
      </c>
      <c r="E12616">
        <v>252</v>
      </c>
      <c r="F12616">
        <v>106</v>
      </c>
      <c r="G12616">
        <v>28</v>
      </c>
      <c r="H12616">
        <v>75</v>
      </c>
      <c r="I12616">
        <v>324</v>
      </c>
      <c r="J12616">
        <v>1</v>
      </c>
      <c r="K12616">
        <v>1</v>
      </c>
      <c r="L12616">
        <v>226</v>
      </c>
      <c r="M12616">
        <v>1</v>
      </c>
      <c r="N12616">
        <v>8.0419999999999996E-72</v>
      </c>
      <c r="O12616">
        <v>684</v>
      </c>
    </row>
    <row r="12617" spans="1:15" x14ac:dyDescent="0.25">
      <c r="A12617" t="s">
        <v>12630</v>
      </c>
      <c r="B12617">
        <v>579</v>
      </c>
      <c r="C12617" s="1" t="str">
        <f>HYPERLINK("http://www.rosaceae.org/gb/gbrowse/malus_x_domestica/?name=MDP0000153866","MDP0000153866")</f>
        <v>MDP0000153866</v>
      </c>
      <c r="D12617">
        <v>37.54</v>
      </c>
      <c r="E12617">
        <v>309</v>
      </c>
      <c r="F12617">
        <v>193</v>
      </c>
      <c r="G12617">
        <v>50</v>
      </c>
      <c r="H12617">
        <v>284</v>
      </c>
      <c r="I12617">
        <v>567</v>
      </c>
      <c r="J12617">
        <v>1</v>
      </c>
      <c r="K12617">
        <v>207</v>
      </c>
      <c r="L12617">
        <v>490</v>
      </c>
      <c r="M12617">
        <v>1</v>
      </c>
      <c r="N12617">
        <v>4.8360100000000001E-34</v>
      </c>
      <c r="O12617">
        <v>361</v>
      </c>
    </row>
    <row r="12618" spans="1:15" x14ac:dyDescent="0.25">
      <c r="A12618" t="s">
        <v>12631</v>
      </c>
      <c r="B12618">
        <v>517</v>
      </c>
      <c r="C12618" s="1" t="str">
        <f>HYPERLINK("http://www.rosaceae.org/gb/gbrowse/malus_x_domestica/?name=MDP0000551192","MDP0000551192")</f>
        <v>MDP0000551192</v>
      </c>
      <c r="D12618">
        <v>85.97</v>
      </c>
      <c r="E12618">
        <v>164</v>
      </c>
      <c r="F12618">
        <v>23</v>
      </c>
      <c r="G12618">
        <v>1</v>
      </c>
      <c r="H12618">
        <v>340</v>
      </c>
      <c r="I12618">
        <v>502</v>
      </c>
      <c r="J12618">
        <v>1</v>
      </c>
      <c r="K12618">
        <v>2</v>
      </c>
      <c r="L12618">
        <v>165</v>
      </c>
      <c r="M12618">
        <v>1</v>
      </c>
      <c r="N12618">
        <v>1.18146E-83</v>
      </c>
      <c r="O12618">
        <v>788</v>
      </c>
    </row>
    <row r="12619" spans="1:15" x14ac:dyDescent="0.25">
      <c r="A12619" t="s">
        <v>12632</v>
      </c>
      <c r="B12619">
        <v>490</v>
      </c>
      <c r="C12619" s="1" t="str">
        <f>HYPERLINK("http://www.rosaceae.org/gb/gbrowse/malus_x_domestica/?name=MDP0000318717","MDP0000318717")</f>
        <v>MDP0000318717</v>
      </c>
      <c r="D12619">
        <v>64.17</v>
      </c>
      <c r="E12619">
        <v>388</v>
      </c>
      <c r="F12619">
        <v>139</v>
      </c>
      <c r="G12619">
        <v>26</v>
      </c>
      <c r="H12619">
        <v>1</v>
      </c>
      <c r="I12619">
        <v>379</v>
      </c>
      <c r="J12619">
        <v>1</v>
      </c>
      <c r="K12619">
        <v>1</v>
      </c>
      <c r="L12619">
        <v>371</v>
      </c>
      <c r="M12619">
        <v>1</v>
      </c>
      <c r="N12619">
        <v>1.9941699999999999E-136</v>
      </c>
      <c r="O12619">
        <v>1243</v>
      </c>
    </row>
    <row r="12620" spans="1:15" x14ac:dyDescent="0.25">
      <c r="A12620" t="s">
        <v>12633</v>
      </c>
      <c r="B12620">
        <v>521</v>
      </c>
      <c r="C12620" s="1" t="str">
        <f>HYPERLINK("http://www.rosaceae.org/gb/gbrowse/malus_x_domestica/?name=MDP0000269423","MDP0000269423")</f>
        <v>MDP0000269423</v>
      </c>
      <c r="D12620">
        <v>88.62</v>
      </c>
      <c r="E12620">
        <v>510</v>
      </c>
      <c r="F12620">
        <v>58</v>
      </c>
      <c r="G12620">
        <v>12</v>
      </c>
      <c r="H12620">
        <v>24</v>
      </c>
      <c r="I12620">
        <v>521</v>
      </c>
      <c r="J12620">
        <v>1</v>
      </c>
      <c r="K12620">
        <v>44</v>
      </c>
      <c r="L12620">
        <v>553</v>
      </c>
      <c r="M12620">
        <v>1</v>
      </c>
      <c r="N12620">
        <v>0</v>
      </c>
      <c r="O12620">
        <v>2429</v>
      </c>
    </row>
    <row r="12621" spans="1:15" x14ac:dyDescent="0.25">
      <c r="A12621" t="s">
        <v>12634</v>
      </c>
      <c r="B12621">
        <v>546</v>
      </c>
      <c r="C12621" s="1" t="str">
        <f>HYPERLINK("http://www.rosaceae.org/gb/gbrowse/malus_x_domestica/?name=MDP0000155675","MDP0000155675")</f>
        <v>MDP0000155675</v>
      </c>
      <c r="D12621">
        <v>83.74</v>
      </c>
      <c r="E12621">
        <v>523</v>
      </c>
      <c r="F12621">
        <v>85</v>
      </c>
      <c r="G12621">
        <v>14</v>
      </c>
      <c r="H12621">
        <v>33</v>
      </c>
      <c r="I12621">
        <v>546</v>
      </c>
      <c r="J12621">
        <v>1</v>
      </c>
      <c r="K12621">
        <v>38</v>
      </c>
      <c r="L12621">
        <v>555</v>
      </c>
      <c r="M12621">
        <v>1</v>
      </c>
      <c r="N12621">
        <v>0</v>
      </c>
      <c r="O12621">
        <v>2341</v>
      </c>
    </row>
    <row r="12622" spans="1:15" x14ac:dyDescent="0.25">
      <c r="A12622" t="s">
        <v>12635</v>
      </c>
      <c r="B12622">
        <v>230</v>
      </c>
      <c r="C12622" s="1" t="str">
        <f>HYPERLINK("http://www.rosaceae.org/gb/gbrowse/malus_x_domestica/?name=MDP0000323611","MDP0000323611")</f>
        <v>MDP0000323611</v>
      </c>
      <c r="D12622">
        <v>75.099999999999994</v>
      </c>
      <c r="E12622">
        <v>229</v>
      </c>
      <c r="F12622">
        <v>57</v>
      </c>
      <c r="G12622">
        <v>3</v>
      </c>
      <c r="H12622">
        <v>1</v>
      </c>
      <c r="I12622">
        <v>227</v>
      </c>
      <c r="J12622">
        <v>1</v>
      </c>
      <c r="K12622">
        <v>52</v>
      </c>
      <c r="L12622">
        <v>279</v>
      </c>
      <c r="M12622">
        <v>1</v>
      </c>
      <c r="N12622">
        <v>1.52703E-96</v>
      </c>
      <c r="O12622">
        <v>895</v>
      </c>
    </row>
    <row r="12623" spans="1:15" x14ac:dyDescent="0.25">
      <c r="A12623" t="s">
        <v>12636</v>
      </c>
      <c r="B12623">
        <v>498</v>
      </c>
      <c r="C12623" s="1" t="str">
        <f>HYPERLINK("http://www.rosaceae.org/gb/gbrowse/malus_x_domestica/?name=MDP0000411286","MDP0000411286")</f>
        <v>MDP0000411286</v>
      </c>
      <c r="D12623">
        <v>42.22</v>
      </c>
      <c r="E12623">
        <v>270</v>
      </c>
      <c r="F12623">
        <v>156</v>
      </c>
      <c r="G12623">
        <v>37</v>
      </c>
      <c r="H12623">
        <v>12</v>
      </c>
      <c r="I12623">
        <v>277</v>
      </c>
      <c r="J12623">
        <v>1</v>
      </c>
      <c r="K12623">
        <v>14</v>
      </c>
      <c r="L12623">
        <v>250</v>
      </c>
      <c r="M12623">
        <v>1</v>
      </c>
      <c r="N12623">
        <v>4.3520299999999997E-55</v>
      </c>
      <c r="O12623">
        <v>542</v>
      </c>
    </row>
    <row r="12624" spans="1:15" x14ac:dyDescent="0.25">
      <c r="A12624" t="s">
        <v>12637</v>
      </c>
      <c r="B12624">
        <v>711</v>
      </c>
      <c r="C12624" s="1" t="str">
        <f>HYPERLINK("http://www.rosaceae.org/gb/gbrowse/malus_x_domestica/?name=MDP0000275757","MDP0000275757")</f>
        <v>MDP0000275757</v>
      </c>
      <c r="D12624">
        <v>67.91</v>
      </c>
      <c r="E12624">
        <v>720</v>
      </c>
      <c r="F12624">
        <v>231</v>
      </c>
      <c r="G12624">
        <v>61</v>
      </c>
      <c r="H12624">
        <v>2</v>
      </c>
      <c r="I12624">
        <v>711</v>
      </c>
      <c r="J12624">
        <v>1</v>
      </c>
      <c r="K12624">
        <v>4</v>
      </c>
      <c r="L12624">
        <v>672</v>
      </c>
      <c r="M12624">
        <v>1</v>
      </c>
      <c r="N12624">
        <v>0</v>
      </c>
      <c r="O12624">
        <v>2422</v>
      </c>
    </row>
    <row r="12625" spans="1:15" x14ac:dyDescent="0.25">
      <c r="A12625" t="s">
        <v>12638</v>
      </c>
      <c r="B12625">
        <v>234</v>
      </c>
      <c r="C12625" s="1" t="str">
        <f>HYPERLINK("http://www.rosaceae.org/gb/gbrowse/malus_x_domestica/?name=MDP0000154864","MDP0000154864")</f>
        <v>MDP0000154864</v>
      </c>
      <c r="D12625">
        <v>79.62</v>
      </c>
      <c r="E12625">
        <v>216</v>
      </c>
      <c r="F12625">
        <v>44</v>
      </c>
      <c r="G12625">
        <v>8</v>
      </c>
      <c r="H12625">
        <v>27</v>
      </c>
      <c r="I12625">
        <v>234</v>
      </c>
      <c r="J12625">
        <v>1</v>
      </c>
      <c r="K12625">
        <v>4</v>
      </c>
      <c r="L12625">
        <v>219</v>
      </c>
      <c r="M12625">
        <v>1</v>
      </c>
      <c r="N12625">
        <v>1.26889E-91</v>
      </c>
      <c r="O12625">
        <v>853</v>
      </c>
    </row>
    <row r="12626" spans="1:15" x14ac:dyDescent="0.25">
      <c r="A12626" t="s">
        <v>12639</v>
      </c>
      <c r="B12626">
        <v>448</v>
      </c>
      <c r="C12626" s="1" t="str">
        <f>HYPERLINK("http://www.rosaceae.org/gb/gbrowse/malus_x_domestica/?name=MDP0000648216","MDP0000648216")</f>
        <v>MDP0000648216</v>
      </c>
      <c r="D12626">
        <v>39.69</v>
      </c>
      <c r="E12626">
        <v>325</v>
      </c>
      <c r="F12626">
        <v>196</v>
      </c>
      <c r="G12626">
        <v>25</v>
      </c>
      <c r="H12626">
        <v>35</v>
      </c>
      <c r="I12626">
        <v>348</v>
      </c>
      <c r="J12626">
        <v>1</v>
      </c>
      <c r="K12626">
        <v>7</v>
      </c>
      <c r="L12626">
        <v>317</v>
      </c>
      <c r="M12626">
        <v>1</v>
      </c>
      <c r="N12626">
        <v>5.8455699999999999E-55</v>
      </c>
      <c r="O12626">
        <v>540</v>
      </c>
    </row>
    <row r="12627" spans="1:15" x14ac:dyDescent="0.25">
      <c r="A12627" t="s">
        <v>12640</v>
      </c>
      <c r="B12627">
        <v>357</v>
      </c>
      <c r="C12627" s="1" t="str">
        <f>HYPERLINK("http://www.rosaceae.org/gb/gbrowse/malus_x_domestica/?name=MDP0000297331","MDP0000297331")</f>
        <v>MDP0000297331</v>
      </c>
      <c r="D12627">
        <v>81.760000000000005</v>
      </c>
      <c r="E12627">
        <v>362</v>
      </c>
      <c r="F12627">
        <v>66</v>
      </c>
      <c r="G12627">
        <v>8</v>
      </c>
      <c r="H12627">
        <v>1</v>
      </c>
      <c r="I12627">
        <v>357</v>
      </c>
      <c r="J12627">
        <v>1</v>
      </c>
      <c r="K12627">
        <v>1</v>
      </c>
      <c r="L12627">
        <v>359</v>
      </c>
      <c r="M12627">
        <v>1</v>
      </c>
      <c r="N12627">
        <v>6.3946100000000003E-167</v>
      </c>
      <c r="O12627">
        <v>1504</v>
      </c>
    </row>
    <row r="12628" spans="1:15" x14ac:dyDescent="0.25">
      <c r="A12628" t="s">
        <v>12641</v>
      </c>
      <c r="B12628">
        <v>142</v>
      </c>
      <c r="C12628" s="1" t="str">
        <f>HYPERLINK("http://www.rosaceae.org/gb/gbrowse/malus_x_domestica/?name=MDP0000320075","MDP0000320075")</f>
        <v>MDP0000320075</v>
      </c>
      <c r="D12628">
        <v>76.19</v>
      </c>
      <c r="E12628">
        <v>42</v>
      </c>
      <c r="F12628">
        <v>10</v>
      </c>
      <c r="G12628">
        <v>0</v>
      </c>
      <c r="H12628">
        <v>60</v>
      </c>
      <c r="I12628">
        <v>101</v>
      </c>
      <c r="J12628">
        <v>1</v>
      </c>
      <c r="K12628">
        <v>390</v>
      </c>
      <c r="L12628">
        <v>431</v>
      </c>
      <c r="M12628">
        <v>1</v>
      </c>
      <c r="N12628">
        <v>4.2242699999999998E-14</v>
      </c>
      <c r="O12628">
        <v>180</v>
      </c>
    </row>
    <row r="12629" spans="1:15" x14ac:dyDescent="0.25">
      <c r="A12629" t="s">
        <v>12642</v>
      </c>
      <c r="B12629">
        <v>107</v>
      </c>
      <c r="C12629" s="1" t="str">
        <f>HYPERLINK("http://www.rosaceae.org/gb/gbrowse/malus_x_domestica/?name=MDP0000161677","MDP0000161677")</f>
        <v>MDP0000161677</v>
      </c>
      <c r="D12629">
        <v>84.11</v>
      </c>
      <c r="E12629">
        <v>107</v>
      </c>
      <c r="F12629">
        <v>17</v>
      </c>
      <c r="G12629">
        <v>0</v>
      </c>
      <c r="H12629">
        <v>1</v>
      </c>
      <c r="I12629">
        <v>107</v>
      </c>
      <c r="J12629">
        <v>1</v>
      </c>
      <c r="K12629">
        <v>76</v>
      </c>
      <c r="L12629">
        <v>182</v>
      </c>
      <c r="M12629">
        <v>1</v>
      </c>
      <c r="N12629">
        <v>4.1516399999999999E-51</v>
      </c>
      <c r="O12629">
        <v>498</v>
      </c>
    </row>
    <row r="12630" spans="1:15" x14ac:dyDescent="0.25">
      <c r="A12630" t="s">
        <v>12643</v>
      </c>
      <c r="B12630">
        <v>377</v>
      </c>
      <c r="C12630" s="1" t="str">
        <f>HYPERLINK("http://www.rosaceae.org/gb/gbrowse/malus_x_domestica/?name=MDP0000138163","MDP0000138163")</f>
        <v>MDP0000138163</v>
      </c>
      <c r="D12630">
        <v>45.53</v>
      </c>
      <c r="E12630">
        <v>358</v>
      </c>
      <c r="F12630">
        <v>195</v>
      </c>
      <c r="G12630">
        <v>30</v>
      </c>
      <c r="H12630">
        <v>49</v>
      </c>
      <c r="I12630">
        <v>377</v>
      </c>
      <c r="J12630">
        <v>1</v>
      </c>
      <c r="K12630">
        <v>84</v>
      </c>
      <c r="L12630">
        <v>440</v>
      </c>
      <c r="M12630">
        <v>1</v>
      </c>
      <c r="N12630">
        <v>5.0451900000000002E-68</v>
      </c>
      <c r="O12630">
        <v>652</v>
      </c>
    </row>
    <row r="12631" spans="1:15" x14ac:dyDescent="0.25">
      <c r="A12631" t="s">
        <v>12644</v>
      </c>
      <c r="B12631">
        <v>202</v>
      </c>
      <c r="C12631" s="1" t="str">
        <f>HYPERLINK("http://www.rosaceae.org/gb/gbrowse/malus_x_domestica/?name=MDP0000213244","MDP0000213244")</f>
        <v>MDP0000213244</v>
      </c>
      <c r="D12631">
        <v>81.459999999999994</v>
      </c>
      <c r="E12631">
        <v>205</v>
      </c>
      <c r="F12631">
        <v>38</v>
      </c>
      <c r="G12631">
        <v>5</v>
      </c>
      <c r="H12631">
        <v>1</v>
      </c>
      <c r="I12631">
        <v>202</v>
      </c>
      <c r="J12631">
        <v>1</v>
      </c>
      <c r="K12631">
        <v>1</v>
      </c>
      <c r="L12631">
        <v>203</v>
      </c>
      <c r="M12631">
        <v>1</v>
      </c>
      <c r="N12631">
        <v>3.4939899999999998E-94</v>
      </c>
      <c r="O12631">
        <v>874</v>
      </c>
    </row>
    <row r="12632" spans="1:15" x14ac:dyDescent="0.25">
      <c r="A12632" t="s">
        <v>12645</v>
      </c>
      <c r="B12632">
        <v>772</v>
      </c>
      <c r="C12632" s="1" t="str">
        <f>HYPERLINK("http://www.rosaceae.org/gb/gbrowse/malus_x_domestica/?name=MDP0000015338","MDP0000015338")</f>
        <v>MDP0000015338</v>
      </c>
      <c r="D12632">
        <v>75.84</v>
      </c>
      <c r="E12632">
        <v>766</v>
      </c>
      <c r="F12632">
        <v>185</v>
      </c>
      <c r="G12632">
        <v>3</v>
      </c>
      <c r="H12632">
        <v>1</v>
      </c>
      <c r="I12632">
        <v>764</v>
      </c>
      <c r="J12632">
        <v>1</v>
      </c>
      <c r="K12632">
        <v>1</v>
      </c>
      <c r="L12632">
        <v>765</v>
      </c>
      <c r="M12632">
        <v>1</v>
      </c>
      <c r="N12632">
        <v>0</v>
      </c>
      <c r="O12632">
        <v>3116</v>
      </c>
    </row>
    <row r="12633" spans="1:15" x14ac:dyDescent="0.25">
      <c r="A12633" t="s">
        <v>12646</v>
      </c>
      <c r="B12633">
        <v>588</v>
      </c>
      <c r="C12633" s="1" t="str">
        <f>HYPERLINK("http://www.rosaceae.org/gb/gbrowse/malus_x_domestica/?name=MDP0000864349","MDP0000864349")</f>
        <v>MDP0000864349</v>
      </c>
      <c r="D12633">
        <v>84.15</v>
      </c>
      <c r="E12633">
        <v>568</v>
      </c>
      <c r="F12633">
        <v>90</v>
      </c>
      <c r="G12633">
        <v>1</v>
      </c>
      <c r="H12633">
        <v>1</v>
      </c>
      <c r="I12633">
        <v>568</v>
      </c>
      <c r="J12633">
        <v>1</v>
      </c>
      <c r="K12633">
        <v>1</v>
      </c>
      <c r="L12633">
        <v>567</v>
      </c>
      <c r="M12633">
        <v>1</v>
      </c>
      <c r="N12633">
        <v>0</v>
      </c>
      <c r="O12633">
        <v>2542</v>
      </c>
    </row>
    <row r="12634" spans="1:15" x14ac:dyDescent="0.25">
      <c r="A12634" t="s">
        <v>12647</v>
      </c>
      <c r="B12634">
        <v>295</v>
      </c>
      <c r="C12634" s="1" t="str">
        <f>HYPERLINK("http://www.rosaceae.org/gb/gbrowse/malus_x_domestica/?name=MDP0000179765","MDP0000179765")</f>
        <v>MDP0000179765</v>
      </c>
      <c r="D12634">
        <v>40</v>
      </c>
      <c r="E12634">
        <v>315</v>
      </c>
      <c r="F12634">
        <v>189</v>
      </c>
      <c r="G12634">
        <v>27</v>
      </c>
      <c r="H12634">
        <v>2</v>
      </c>
      <c r="I12634">
        <v>294</v>
      </c>
      <c r="J12634">
        <v>1</v>
      </c>
      <c r="K12634">
        <v>32</v>
      </c>
      <c r="L12634">
        <v>341</v>
      </c>
      <c r="M12634">
        <v>1</v>
      </c>
      <c r="N12634">
        <v>1.07195E-62</v>
      </c>
      <c r="O12634">
        <v>605</v>
      </c>
    </row>
    <row r="12635" spans="1:15" x14ac:dyDescent="0.25">
      <c r="A12635" t="s">
        <v>12648</v>
      </c>
      <c r="B12635">
        <v>192</v>
      </c>
      <c r="C12635" s="1" t="str">
        <f>HYPERLINK("http://www.rosaceae.org/gb/gbrowse/malus_x_domestica/?name=MDP0000317700","MDP0000317700")</f>
        <v>MDP0000317700</v>
      </c>
      <c r="D12635">
        <v>42.06</v>
      </c>
      <c r="E12635">
        <v>126</v>
      </c>
      <c r="F12635">
        <v>73</v>
      </c>
      <c r="G12635">
        <v>18</v>
      </c>
      <c r="H12635">
        <v>26</v>
      </c>
      <c r="I12635">
        <v>142</v>
      </c>
      <c r="J12635">
        <v>1</v>
      </c>
      <c r="K12635">
        <v>236</v>
      </c>
      <c r="L12635">
        <v>352</v>
      </c>
      <c r="M12635">
        <v>1</v>
      </c>
      <c r="N12635">
        <v>3.5940899999999999E-22</v>
      </c>
      <c r="O12635">
        <v>252</v>
      </c>
    </row>
    <row r="12636" spans="1:15" x14ac:dyDescent="0.25">
      <c r="A12636" t="s">
        <v>12649</v>
      </c>
      <c r="B12636">
        <v>401</v>
      </c>
      <c r="C12636" s="1" t="str">
        <f>HYPERLINK("http://www.rosaceae.org/gb/gbrowse/malus_x_domestica/?name=MDP0000298567","MDP0000298567")</f>
        <v>MDP0000298567</v>
      </c>
      <c r="D12636">
        <v>76.3</v>
      </c>
      <c r="E12636">
        <v>363</v>
      </c>
      <c r="F12636">
        <v>86</v>
      </c>
      <c r="G12636">
        <v>11</v>
      </c>
      <c r="H12636">
        <v>1</v>
      </c>
      <c r="I12636">
        <v>352</v>
      </c>
      <c r="J12636">
        <v>1</v>
      </c>
      <c r="K12636">
        <v>1</v>
      </c>
      <c r="L12636">
        <v>363</v>
      </c>
      <c r="M12636">
        <v>1</v>
      </c>
      <c r="N12636">
        <v>7.9794900000000002E-164</v>
      </c>
      <c r="O12636">
        <v>1478</v>
      </c>
    </row>
    <row r="12637" spans="1:15" x14ac:dyDescent="0.25">
      <c r="A12637" t="s">
        <v>12650</v>
      </c>
      <c r="B12637">
        <v>559</v>
      </c>
      <c r="C12637" s="1" t="str">
        <f>HYPERLINK("http://www.rosaceae.org/gb/gbrowse/malus_x_domestica/?name=MDP0000261017","MDP0000261017")</f>
        <v>MDP0000261017</v>
      </c>
      <c r="D12637">
        <v>73.16</v>
      </c>
      <c r="E12637">
        <v>559</v>
      </c>
      <c r="F12637">
        <v>150</v>
      </c>
      <c r="G12637">
        <v>8</v>
      </c>
      <c r="H12637">
        <v>1</v>
      </c>
      <c r="I12637">
        <v>559</v>
      </c>
      <c r="J12637">
        <v>1</v>
      </c>
      <c r="K12637">
        <v>391</v>
      </c>
      <c r="L12637">
        <v>941</v>
      </c>
      <c r="M12637">
        <v>1</v>
      </c>
      <c r="N12637">
        <v>0</v>
      </c>
      <c r="O12637">
        <v>2134</v>
      </c>
    </row>
    <row r="12638" spans="1:15" x14ac:dyDescent="0.25">
      <c r="A12638" t="s">
        <v>12651</v>
      </c>
      <c r="B12638">
        <v>568</v>
      </c>
      <c r="C12638" s="1" t="str">
        <f>HYPERLINK("http://www.rosaceae.org/gb/gbrowse/malus_x_domestica/?name=MDP0000298194","MDP0000298194")</f>
        <v>MDP0000298194</v>
      </c>
      <c r="D12638">
        <v>84.71</v>
      </c>
      <c r="E12638">
        <v>569</v>
      </c>
      <c r="F12638">
        <v>87</v>
      </c>
      <c r="G12638">
        <v>11</v>
      </c>
      <c r="H12638">
        <v>1</v>
      </c>
      <c r="I12638">
        <v>568</v>
      </c>
      <c r="J12638">
        <v>1</v>
      </c>
      <c r="K12638">
        <v>35</v>
      </c>
      <c r="L12638">
        <v>593</v>
      </c>
      <c r="M12638">
        <v>1</v>
      </c>
      <c r="N12638">
        <v>0</v>
      </c>
      <c r="O12638">
        <v>2544</v>
      </c>
    </row>
    <row r="12639" spans="1:15" x14ac:dyDescent="0.25">
      <c r="A12639" t="s">
        <v>12652</v>
      </c>
      <c r="B12639">
        <v>166</v>
      </c>
      <c r="C12639" s="1" t="str">
        <f>HYPERLINK("http://www.rosaceae.org/gb/gbrowse/malus_x_domestica/?name=MDP0000260705","MDP0000260705")</f>
        <v>MDP0000260705</v>
      </c>
      <c r="D12639">
        <v>72.89</v>
      </c>
      <c r="E12639">
        <v>166</v>
      </c>
      <c r="F12639">
        <v>45</v>
      </c>
      <c r="G12639">
        <v>16</v>
      </c>
      <c r="H12639">
        <v>1</v>
      </c>
      <c r="I12639">
        <v>150</v>
      </c>
      <c r="J12639">
        <v>1</v>
      </c>
      <c r="K12639">
        <v>1</v>
      </c>
      <c r="L12639">
        <v>166</v>
      </c>
      <c r="M12639">
        <v>1</v>
      </c>
      <c r="N12639">
        <v>1.34326E-65</v>
      </c>
      <c r="O12639">
        <v>626</v>
      </c>
    </row>
    <row r="12640" spans="1:15" x14ac:dyDescent="0.25">
      <c r="A12640" t="s">
        <v>12653</v>
      </c>
      <c r="B12640">
        <v>324</v>
      </c>
      <c r="C12640" s="1" t="str">
        <f>HYPERLINK("http://www.rosaceae.org/gb/gbrowse/malus_x_domestica/?name=MDP0000231034","MDP0000231034")</f>
        <v>MDP0000231034</v>
      </c>
      <c r="D12640">
        <v>59.42</v>
      </c>
      <c r="E12640">
        <v>244</v>
      </c>
      <c r="F12640">
        <v>99</v>
      </c>
      <c r="G12640">
        <v>58</v>
      </c>
      <c r="H12640">
        <v>1</v>
      </c>
      <c r="I12640">
        <v>244</v>
      </c>
      <c r="J12640">
        <v>1</v>
      </c>
      <c r="K12640">
        <v>1</v>
      </c>
      <c r="L12640">
        <v>186</v>
      </c>
      <c r="M12640">
        <v>1</v>
      </c>
      <c r="N12640">
        <v>1.24214E-68</v>
      </c>
      <c r="O12640">
        <v>656</v>
      </c>
    </row>
    <row r="12641" spans="1:15" x14ac:dyDescent="0.25">
      <c r="A12641" t="s">
        <v>12654</v>
      </c>
      <c r="B12641">
        <v>1232</v>
      </c>
      <c r="C12641" s="1" t="str">
        <f>HYPERLINK("http://www.rosaceae.org/gb/gbrowse/malus_x_domestica/?name=MDP0000302716","MDP0000302716")</f>
        <v>MDP0000302716</v>
      </c>
      <c r="D12641">
        <v>66.84</v>
      </c>
      <c r="E12641">
        <v>1303</v>
      </c>
      <c r="F12641">
        <v>432</v>
      </c>
      <c r="G12641">
        <v>99</v>
      </c>
      <c r="H12641">
        <v>1</v>
      </c>
      <c r="I12641">
        <v>1220</v>
      </c>
      <c r="J12641">
        <v>1</v>
      </c>
      <c r="K12641">
        <v>1</v>
      </c>
      <c r="L12641">
        <v>1287</v>
      </c>
      <c r="M12641">
        <v>1</v>
      </c>
      <c r="N12641">
        <v>0</v>
      </c>
      <c r="O12641">
        <v>4330</v>
      </c>
    </row>
    <row r="12642" spans="1:15" x14ac:dyDescent="0.25">
      <c r="A12642" t="s">
        <v>12655</v>
      </c>
      <c r="B12642">
        <v>324</v>
      </c>
      <c r="C12642" s="1" t="str">
        <f>HYPERLINK("http://www.rosaceae.org/gb/gbrowse/malus_x_domestica/?name=MDP0000290726","MDP0000290726")</f>
        <v>MDP0000290726</v>
      </c>
      <c r="D12642">
        <v>76.83</v>
      </c>
      <c r="E12642">
        <v>259</v>
      </c>
      <c r="F12642">
        <v>60</v>
      </c>
      <c r="G12642">
        <v>21</v>
      </c>
      <c r="H12642">
        <v>36</v>
      </c>
      <c r="I12642">
        <v>288</v>
      </c>
      <c r="J12642">
        <v>1</v>
      </c>
      <c r="K12642">
        <v>60</v>
      </c>
      <c r="L12642">
        <v>303</v>
      </c>
      <c r="M12642">
        <v>1</v>
      </c>
      <c r="N12642">
        <v>8.7159299999999996E-111</v>
      </c>
      <c r="O12642">
        <v>1020</v>
      </c>
    </row>
    <row r="12643" spans="1:15" x14ac:dyDescent="0.25">
      <c r="A12643" t="s">
        <v>12656</v>
      </c>
      <c r="B12643">
        <v>840</v>
      </c>
      <c r="C12643" s="1" t="str">
        <f>HYPERLINK("http://www.rosaceae.org/gb/gbrowse/malus_x_domestica/?name=MDP0000319620","MDP0000319620")</f>
        <v>MDP0000319620</v>
      </c>
      <c r="D12643">
        <v>71.739999999999995</v>
      </c>
      <c r="E12643">
        <v>453</v>
      </c>
      <c r="F12643">
        <v>128</v>
      </c>
      <c r="G12643">
        <v>91</v>
      </c>
      <c r="H12643">
        <v>261</v>
      </c>
      <c r="I12643">
        <v>648</v>
      </c>
      <c r="J12643">
        <v>1</v>
      </c>
      <c r="K12643">
        <v>31</v>
      </c>
      <c r="L12643">
        <v>457</v>
      </c>
      <c r="M12643">
        <v>1</v>
      </c>
      <c r="N12643">
        <v>1.49512E-171</v>
      </c>
      <c r="O12643">
        <v>1548</v>
      </c>
    </row>
    <row r="12644" spans="1:15" x14ac:dyDescent="0.25">
      <c r="A12644" t="s">
        <v>12657</v>
      </c>
      <c r="B12644">
        <v>634</v>
      </c>
      <c r="C12644" s="1" t="str">
        <f>HYPERLINK("http://www.rosaceae.org/gb/gbrowse/malus_x_domestica/?name=MDP0000292917","MDP0000292917")</f>
        <v>MDP0000292917</v>
      </c>
      <c r="D12644">
        <v>33.33</v>
      </c>
      <c r="E12644">
        <v>375</v>
      </c>
      <c r="F12644">
        <v>250</v>
      </c>
      <c r="G12644">
        <v>35</v>
      </c>
      <c r="H12644">
        <v>92</v>
      </c>
      <c r="I12644">
        <v>440</v>
      </c>
      <c r="J12644">
        <v>1</v>
      </c>
      <c r="K12644">
        <v>75</v>
      </c>
      <c r="L12644">
        <v>440</v>
      </c>
      <c r="M12644">
        <v>1</v>
      </c>
      <c r="N12644">
        <v>2.20902E-48</v>
      </c>
      <c r="O12644">
        <v>485</v>
      </c>
    </row>
    <row r="12645" spans="1:15" x14ac:dyDescent="0.25">
      <c r="A12645" t="s">
        <v>12658</v>
      </c>
      <c r="B12645">
        <v>1553</v>
      </c>
      <c r="C12645" s="1" t="str">
        <f>HYPERLINK("http://www.rosaceae.org/gb/gbrowse/malus_x_domestica/?name=MDP0000128951","MDP0000128951")</f>
        <v>MDP0000128951</v>
      </c>
      <c r="D12645">
        <v>76.099999999999994</v>
      </c>
      <c r="E12645">
        <v>883</v>
      </c>
      <c r="F12645">
        <v>211</v>
      </c>
      <c r="G12645">
        <v>36</v>
      </c>
      <c r="H12645">
        <v>59</v>
      </c>
      <c r="I12645">
        <v>913</v>
      </c>
      <c r="J12645">
        <v>1</v>
      </c>
      <c r="K12645">
        <v>39</v>
      </c>
      <c r="L12645">
        <v>913</v>
      </c>
      <c r="M12645">
        <v>1</v>
      </c>
      <c r="N12645">
        <v>0</v>
      </c>
      <c r="O12645">
        <v>3353</v>
      </c>
    </row>
    <row r="12646" spans="1:15" x14ac:dyDescent="0.25">
      <c r="A12646" t="s">
        <v>12659</v>
      </c>
      <c r="B12646">
        <v>152</v>
      </c>
      <c r="C12646" s="1" t="str">
        <f>HYPERLINK("http://www.rosaceae.org/gb/gbrowse/malus_x_domestica/?name=MDP0000234247","MDP0000234247")</f>
        <v>MDP0000234247</v>
      </c>
      <c r="D12646">
        <v>32.46</v>
      </c>
      <c r="E12646">
        <v>154</v>
      </c>
      <c r="F12646">
        <v>104</v>
      </c>
      <c r="G12646">
        <v>11</v>
      </c>
      <c r="H12646">
        <v>1</v>
      </c>
      <c r="I12646">
        <v>144</v>
      </c>
      <c r="J12646">
        <v>1</v>
      </c>
      <c r="K12646">
        <v>356</v>
      </c>
      <c r="L12646">
        <v>508</v>
      </c>
      <c r="M12646">
        <v>1</v>
      </c>
      <c r="N12646">
        <v>2.8486700000000001E-14</v>
      </c>
      <c r="O12646">
        <v>183</v>
      </c>
    </row>
    <row r="12647" spans="1:15" x14ac:dyDescent="0.25">
      <c r="A12647" t="s">
        <v>12660</v>
      </c>
      <c r="B12647">
        <v>593</v>
      </c>
      <c r="C12647" s="1" t="str">
        <f>HYPERLINK("http://www.rosaceae.org/gb/gbrowse/malus_x_domestica/?name=MDP0000320796","MDP0000320796")</f>
        <v>MDP0000320796</v>
      </c>
      <c r="D12647">
        <v>71.06</v>
      </c>
      <c r="E12647">
        <v>477</v>
      </c>
      <c r="F12647">
        <v>138</v>
      </c>
      <c r="G12647">
        <v>47</v>
      </c>
      <c r="H12647">
        <v>1</v>
      </c>
      <c r="I12647">
        <v>453</v>
      </c>
      <c r="J12647">
        <v>1</v>
      </c>
      <c r="K12647">
        <v>118</v>
      </c>
      <c r="L12647">
        <v>571</v>
      </c>
      <c r="M12647">
        <v>1</v>
      </c>
      <c r="N12647">
        <v>0</v>
      </c>
      <c r="O12647">
        <v>1702</v>
      </c>
    </row>
    <row r="12648" spans="1:15" x14ac:dyDescent="0.25">
      <c r="A12648" t="s">
        <v>12661</v>
      </c>
      <c r="B12648">
        <v>1582</v>
      </c>
      <c r="C12648" s="1" t="str">
        <f>HYPERLINK("http://www.rosaceae.org/gb/gbrowse/malus_x_domestica/?name=MDP0000132261","MDP0000132261")</f>
        <v>MDP0000132261</v>
      </c>
      <c r="D12648">
        <v>77.44</v>
      </c>
      <c r="E12648">
        <v>541</v>
      </c>
      <c r="F12648">
        <v>122</v>
      </c>
      <c r="G12648">
        <v>2</v>
      </c>
      <c r="H12648">
        <v>1043</v>
      </c>
      <c r="I12648">
        <v>1582</v>
      </c>
      <c r="J12648">
        <v>1</v>
      </c>
      <c r="K12648">
        <v>97</v>
      </c>
      <c r="L12648">
        <v>636</v>
      </c>
      <c r="M12648">
        <v>1</v>
      </c>
      <c r="N12648">
        <v>0</v>
      </c>
      <c r="O12648">
        <v>2236</v>
      </c>
    </row>
    <row r="12649" spans="1:15" x14ac:dyDescent="0.25">
      <c r="A12649" t="s">
        <v>12662</v>
      </c>
      <c r="B12649">
        <v>210</v>
      </c>
      <c r="C12649" s="1" t="str">
        <f>HYPERLINK("http://www.rosaceae.org/gb/gbrowse/malus_x_domestica/?name=MDP0000128656","MDP0000128656")</f>
        <v>MDP0000128656</v>
      </c>
      <c r="D12649">
        <v>76.400000000000006</v>
      </c>
      <c r="E12649">
        <v>89</v>
      </c>
      <c r="F12649">
        <v>21</v>
      </c>
      <c r="G12649">
        <v>0</v>
      </c>
      <c r="H12649">
        <v>16</v>
      </c>
      <c r="I12649">
        <v>104</v>
      </c>
      <c r="J12649">
        <v>1</v>
      </c>
      <c r="K12649">
        <v>16</v>
      </c>
      <c r="L12649">
        <v>104</v>
      </c>
      <c r="M12649">
        <v>1</v>
      </c>
      <c r="N12649">
        <v>9.5401E-36</v>
      </c>
      <c r="O12649">
        <v>370</v>
      </c>
    </row>
    <row r="12650" spans="1:15" x14ac:dyDescent="0.25">
      <c r="A12650" t="s">
        <v>12663</v>
      </c>
      <c r="B12650">
        <v>571</v>
      </c>
      <c r="C12650" s="1" t="str">
        <f>HYPERLINK("http://www.rosaceae.org/gb/gbrowse/malus_x_domestica/?name=MDP0000236635","MDP0000236635")</f>
        <v>MDP0000236635</v>
      </c>
      <c r="D12650">
        <v>61.52</v>
      </c>
      <c r="E12650">
        <v>590</v>
      </c>
      <c r="F12650">
        <v>227</v>
      </c>
      <c r="G12650">
        <v>60</v>
      </c>
      <c r="H12650">
        <v>1</v>
      </c>
      <c r="I12650">
        <v>563</v>
      </c>
      <c r="J12650">
        <v>1</v>
      </c>
      <c r="K12650">
        <v>1</v>
      </c>
      <c r="L12650">
        <v>557</v>
      </c>
      <c r="M12650">
        <v>1</v>
      </c>
      <c r="N12650">
        <v>0</v>
      </c>
      <c r="O12650">
        <v>1818</v>
      </c>
    </row>
    <row r="12651" spans="1:15" x14ac:dyDescent="0.25">
      <c r="A12651" t="s">
        <v>12664</v>
      </c>
      <c r="B12651">
        <v>415</v>
      </c>
      <c r="C12651" s="1" t="str">
        <f>HYPERLINK("http://www.rosaceae.org/gb/gbrowse/malus_x_domestica/?name=MDP0000285103","MDP0000285103")</f>
        <v>MDP0000285103</v>
      </c>
      <c r="D12651">
        <v>40.19</v>
      </c>
      <c r="E12651">
        <v>403</v>
      </c>
      <c r="F12651">
        <v>241</v>
      </c>
      <c r="G12651">
        <v>54</v>
      </c>
      <c r="H12651">
        <v>3</v>
      </c>
      <c r="I12651">
        <v>384</v>
      </c>
      <c r="J12651">
        <v>1</v>
      </c>
      <c r="K12651">
        <v>2</v>
      </c>
      <c r="L12651">
        <v>371</v>
      </c>
      <c r="M12651">
        <v>1</v>
      </c>
      <c r="N12651">
        <v>1.1230700000000001E-65</v>
      </c>
      <c r="O12651">
        <v>632</v>
      </c>
    </row>
    <row r="12652" spans="1:15" x14ac:dyDescent="0.25">
      <c r="A12652" t="s">
        <v>12665</v>
      </c>
      <c r="B12652">
        <v>353</v>
      </c>
      <c r="C12652" s="1" t="str">
        <f>HYPERLINK("http://www.rosaceae.org/gb/gbrowse/malus_x_domestica/?name=MDP0000145603","MDP0000145603")</f>
        <v>MDP0000145603</v>
      </c>
      <c r="D12652">
        <v>44.63</v>
      </c>
      <c r="E12652">
        <v>457</v>
      </c>
      <c r="F12652">
        <v>253</v>
      </c>
      <c r="G12652">
        <v>135</v>
      </c>
      <c r="H12652">
        <v>3</v>
      </c>
      <c r="I12652">
        <v>336</v>
      </c>
      <c r="J12652">
        <v>1</v>
      </c>
      <c r="K12652">
        <v>2</v>
      </c>
      <c r="L12652">
        <v>446</v>
      </c>
      <c r="M12652">
        <v>1</v>
      </c>
      <c r="N12652">
        <v>7.12518E-82</v>
      </c>
      <c r="O12652">
        <v>771</v>
      </c>
    </row>
    <row r="12653" spans="1:15" x14ac:dyDescent="0.25">
      <c r="A12653" t="s">
        <v>12666</v>
      </c>
      <c r="B12653">
        <v>143</v>
      </c>
      <c r="C12653" s="1" t="str">
        <f>HYPERLINK("http://www.rosaceae.org/gb/gbrowse/malus_x_domestica/?name=MDP0000120368","MDP0000120368")</f>
        <v>MDP0000120368</v>
      </c>
      <c r="D12653">
        <v>66.42</v>
      </c>
      <c r="E12653">
        <v>140</v>
      </c>
      <c r="F12653">
        <v>47</v>
      </c>
      <c r="G12653">
        <v>5</v>
      </c>
      <c r="H12653">
        <v>1</v>
      </c>
      <c r="I12653">
        <v>140</v>
      </c>
      <c r="J12653">
        <v>1</v>
      </c>
      <c r="K12653">
        <v>3</v>
      </c>
      <c r="L12653">
        <v>137</v>
      </c>
      <c r="M12653">
        <v>1</v>
      </c>
      <c r="N12653">
        <v>7.9208600000000002E-45</v>
      </c>
      <c r="O12653">
        <v>446</v>
      </c>
    </row>
    <row r="12654" spans="1:15" x14ac:dyDescent="0.25">
      <c r="A12654" t="s">
        <v>12667</v>
      </c>
      <c r="B12654">
        <v>336</v>
      </c>
      <c r="C12654" s="1" t="str">
        <f>HYPERLINK("http://www.rosaceae.org/gb/gbrowse/malus_x_domestica/?name=MDP0000090198","MDP0000090198")</f>
        <v>MDP0000090198</v>
      </c>
      <c r="D12654">
        <v>83.81</v>
      </c>
      <c r="E12654">
        <v>241</v>
      </c>
      <c r="F12654">
        <v>39</v>
      </c>
      <c r="G12654">
        <v>0</v>
      </c>
      <c r="H12654">
        <v>89</v>
      </c>
      <c r="I12654">
        <v>329</v>
      </c>
      <c r="J12654">
        <v>1</v>
      </c>
      <c r="K12654">
        <v>1</v>
      </c>
      <c r="L12654">
        <v>241</v>
      </c>
      <c r="M12654">
        <v>1</v>
      </c>
      <c r="N12654">
        <v>2.8514199999999997E-119</v>
      </c>
      <c r="O12654">
        <v>1093</v>
      </c>
    </row>
    <row r="12655" spans="1:15" x14ac:dyDescent="0.25">
      <c r="A12655" t="s">
        <v>12668</v>
      </c>
      <c r="B12655">
        <v>77</v>
      </c>
      <c r="C12655" s="1" t="str">
        <f>HYPERLINK("http://www.rosaceae.org/gb/gbrowse/malus_x_domestica/?name=MDP0000233038","MDP0000233038")</f>
        <v>MDP0000233038</v>
      </c>
      <c r="D12655">
        <v>76.47</v>
      </c>
      <c r="E12655">
        <v>68</v>
      </c>
      <c r="F12655">
        <v>16</v>
      </c>
      <c r="G12655">
        <v>0</v>
      </c>
      <c r="H12655">
        <v>3</v>
      </c>
      <c r="I12655">
        <v>70</v>
      </c>
      <c r="J12655">
        <v>1</v>
      </c>
      <c r="K12655">
        <v>573</v>
      </c>
      <c r="L12655">
        <v>640</v>
      </c>
      <c r="M12655">
        <v>1</v>
      </c>
      <c r="N12655">
        <v>4.2815699999999998E-26</v>
      </c>
      <c r="O12655">
        <v>283</v>
      </c>
    </row>
    <row r="12656" spans="1:15" x14ac:dyDescent="0.25">
      <c r="A12656" t="s">
        <v>12669</v>
      </c>
      <c r="B12656">
        <v>92</v>
      </c>
      <c r="C12656" s="1" t="str">
        <f>HYPERLINK("http://www.rosaceae.org/gb/gbrowse/malus_x_domestica/?name=MDP0000199050","MDP0000199050")</f>
        <v>MDP0000199050</v>
      </c>
      <c r="D12656">
        <v>48.95</v>
      </c>
      <c r="E12656">
        <v>96</v>
      </c>
      <c r="F12656">
        <v>49</v>
      </c>
      <c r="G12656">
        <v>9</v>
      </c>
      <c r="H12656">
        <v>1</v>
      </c>
      <c r="I12656">
        <v>91</v>
      </c>
      <c r="J12656">
        <v>1</v>
      </c>
      <c r="K12656">
        <v>1</v>
      </c>
      <c r="L12656">
        <v>92</v>
      </c>
      <c r="M12656">
        <v>1</v>
      </c>
      <c r="N12656">
        <v>5.2332E-18</v>
      </c>
      <c r="O12656">
        <v>213</v>
      </c>
    </row>
    <row r="12657" spans="1:15" x14ac:dyDescent="0.25">
      <c r="A12657" t="s">
        <v>12670</v>
      </c>
      <c r="B12657">
        <v>419</v>
      </c>
      <c r="C12657" s="1" t="str">
        <f>HYPERLINK("http://www.rosaceae.org/gb/gbrowse/malus_x_domestica/?name=MDP0000848218","MDP0000848218")</f>
        <v>MDP0000848218</v>
      </c>
      <c r="D12657">
        <v>74.239999999999995</v>
      </c>
      <c r="E12657">
        <v>132</v>
      </c>
      <c r="F12657">
        <v>34</v>
      </c>
      <c r="G12657">
        <v>1</v>
      </c>
      <c r="H12657">
        <v>289</v>
      </c>
      <c r="I12657">
        <v>419</v>
      </c>
      <c r="J12657">
        <v>1</v>
      </c>
      <c r="K12657">
        <v>119</v>
      </c>
      <c r="L12657">
        <v>250</v>
      </c>
      <c r="M12657">
        <v>1</v>
      </c>
      <c r="N12657">
        <v>1.3038600000000001E-55</v>
      </c>
      <c r="O12657">
        <v>545</v>
      </c>
    </row>
    <row r="12658" spans="1:15" x14ac:dyDescent="0.25">
      <c r="A12658" t="s">
        <v>12671</v>
      </c>
      <c r="B12658">
        <v>356</v>
      </c>
      <c r="C12658" s="1" t="str">
        <f>HYPERLINK("http://www.rosaceae.org/gb/gbrowse/malus_x_domestica/?name=MDP0000772731","MDP0000772731")</f>
        <v>MDP0000772731</v>
      </c>
      <c r="D12658">
        <v>41.86</v>
      </c>
      <c r="E12658">
        <v>172</v>
      </c>
      <c r="F12658">
        <v>100</v>
      </c>
      <c r="G12658">
        <v>10</v>
      </c>
      <c r="H12658">
        <v>3</v>
      </c>
      <c r="I12658">
        <v>168</v>
      </c>
      <c r="J12658">
        <v>1</v>
      </c>
      <c r="K12658">
        <v>9</v>
      </c>
      <c r="L12658">
        <v>176</v>
      </c>
      <c r="M12658">
        <v>1</v>
      </c>
      <c r="N12658">
        <v>5.41833E-34</v>
      </c>
      <c r="O12658">
        <v>358</v>
      </c>
    </row>
    <row r="12659" spans="1:15" x14ac:dyDescent="0.25">
      <c r="A12659" t="s">
        <v>12672</v>
      </c>
      <c r="B12659">
        <v>174</v>
      </c>
      <c r="C12659" s="1" t="str">
        <f>HYPERLINK("http://www.rosaceae.org/gb/gbrowse/malus_x_domestica/?name=MDP0000260705","MDP0000260705")</f>
        <v>MDP0000260705</v>
      </c>
      <c r="D12659">
        <v>60.41</v>
      </c>
      <c r="E12659">
        <v>144</v>
      </c>
      <c r="F12659">
        <v>57</v>
      </c>
      <c r="G12659">
        <v>8</v>
      </c>
      <c r="H12659">
        <v>1</v>
      </c>
      <c r="I12659">
        <v>143</v>
      </c>
      <c r="J12659">
        <v>1</v>
      </c>
      <c r="K12659">
        <v>5</v>
      </c>
      <c r="L12659">
        <v>141</v>
      </c>
      <c r="M12659">
        <v>1</v>
      </c>
      <c r="N12659">
        <v>7.1150200000000004E-41</v>
      </c>
      <c r="O12659">
        <v>413</v>
      </c>
    </row>
    <row r="12660" spans="1:15" x14ac:dyDescent="0.25">
      <c r="A12660" t="s">
        <v>12673</v>
      </c>
      <c r="B12660">
        <v>341</v>
      </c>
      <c r="C12660" s="1" t="str">
        <f>HYPERLINK("http://www.rosaceae.org/gb/gbrowse/malus_x_domestica/?name=MDP0000156544","MDP0000156544")</f>
        <v>MDP0000156544</v>
      </c>
      <c r="D12660">
        <v>46.45</v>
      </c>
      <c r="E12660">
        <v>381</v>
      </c>
      <c r="F12660">
        <v>204</v>
      </c>
      <c r="G12660">
        <v>44</v>
      </c>
      <c r="H12660">
        <v>1</v>
      </c>
      <c r="I12660">
        <v>340</v>
      </c>
      <c r="J12660">
        <v>1</v>
      </c>
      <c r="K12660">
        <v>143</v>
      </c>
      <c r="L12660">
        <v>520</v>
      </c>
      <c r="M12660">
        <v>1</v>
      </c>
      <c r="N12660">
        <v>1.1991099999999999E-101</v>
      </c>
      <c r="O12660">
        <v>941</v>
      </c>
    </row>
    <row r="12661" spans="1:15" x14ac:dyDescent="0.25">
      <c r="A12661" t="s">
        <v>12674</v>
      </c>
      <c r="B12661">
        <v>347</v>
      </c>
      <c r="C12661" s="1" t="str">
        <f>HYPERLINK("http://www.rosaceae.org/gb/gbrowse/malus_x_domestica/?name=MDP0000329761","MDP0000329761")</f>
        <v>MDP0000329761</v>
      </c>
      <c r="D12661">
        <v>68.37</v>
      </c>
      <c r="E12661">
        <v>351</v>
      </c>
      <c r="F12661">
        <v>111</v>
      </c>
      <c r="G12661">
        <v>18</v>
      </c>
      <c r="H12661">
        <v>1</v>
      </c>
      <c r="I12661">
        <v>347</v>
      </c>
      <c r="J12661">
        <v>1</v>
      </c>
      <c r="K12661">
        <v>48</v>
      </c>
      <c r="L12661">
        <v>384</v>
      </c>
      <c r="M12661">
        <v>1</v>
      </c>
      <c r="N12661">
        <v>7.53183E-123</v>
      </c>
      <c r="O12661">
        <v>1124</v>
      </c>
    </row>
    <row r="12662" spans="1:15" x14ac:dyDescent="0.25">
      <c r="A12662" t="s">
        <v>12675</v>
      </c>
      <c r="B12662">
        <v>404</v>
      </c>
      <c r="C12662" s="1" t="str">
        <f>HYPERLINK("http://www.rosaceae.org/gb/gbrowse/malus_x_domestica/?name=MDP0000277945","MDP0000277945")</f>
        <v>MDP0000277945</v>
      </c>
      <c r="D12662">
        <v>76.709999999999994</v>
      </c>
      <c r="E12662">
        <v>408</v>
      </c>
      <c r="F12662">
        <v>95</v>
      </c>
      <c r="G12662">
        <v>11</v>
      </c>
      <c r="H12662">
        <v>1</v>
      </c>
      <c r="I12662">
        <v>404</v>
      </c>
      <c r="J12662">
        <v>1</v>
      </c>
      <c r="K12662">
        <v>1</v>
      </c>
      <c r="L12662">
        <v>401</v>
      </c>
      <c r="M12662">
        <v>1</v>
      </c>
      <c r="N12662">
        <v>7.3260999999999999E-177</v>
      </c>
      <c r="O12662">
        <v>1591</v>
      </c>
    </row>
    <row r="12663" spans="1:15" x14ac:dyDescent="0.25">
      <c r="A12663" t="s">
        <v>12676</v>
      </c>
      <c r="B12663">
        <v>343</v>
      </c>
      <c r="C12663" s="1" t="str">
        <f>HYPERLINK("http://www.rosaceae.org/gb/gbrowse/malus_x_domestica/?name=MDP0000232493","MDP0000232493")</f>
        <v>MDP0000232493</v>
      </c>
      <c r="D12663">
        <v>66.36</v>
      </c>
      <c r="E12663">
        <v>327</v>
      </c>
      <c r="F12663">
        <v>110</v>
      </c>
      <c r="G12663">
        <v>47</v>
      </c>
      <c r="H12663">
        <v>21</v>
      </c>
      <c r="I12663">
        <v>339</v>
      </c>
      <c r="J12663">
        <v>1</v>
      </c>
      <c r="K12663">
        <v>21</v>
      </c>
      <c r="L12663">
        <v>308</v>
      </c>
      <c r="M12663">
        <v>1</v>
      </c>
      <c r="N12663">
        <v>7.8062299999999996E-115</v>
      </c>
      <c r="O12663">
        <v>1055</v>
      </c>
    </row>
    <row r="12664" spans="1:15" x14ac:dyDescent="0.25">
      <c r="A12664" t="s">
        <v>12677</v>
      </c>
      <c r="B12664">
        <v>309</v>
      </c>
      <c r="C12664" s="1" t="str">
        <f>HYPERLINK("http://www.rosaceae.org/gb/gbrowse/malus_x_domestica/?name=MDP0000707985","MDP0000707985")</f>
        <v>MDP0000707985</v>
      </c>
      <c r="D12664">
        <v>53.5</v>
      </c>
      <c r="E12664">
        <v>357</v>
      </c>
      <c r="F12664">
        <v>166</v>
      </c>
      <c r="G12664">
        <v>50</v>
      </c>
      <c r="H12664">
        <v>3</v>
      </c>
      <c r="I12664">
        <v>309</v>
      </c>
      <c r="J12664">
        <v>1</v>
      </c>
      <c r="K12664">
        <v>5</v>
      </c>
      <c r="L12664">
        <v>361</v>
      </c>
      <c r="M12664">
        <v>1</v>
      </c>
      <c r="N12664">
        <v>2.20537E-90</v>
      </c>
      <c r="O12664">
        <v>844</v>
      </c>
    </row>
    <row r="12665" spans="1:15" x14ac:dyDescent="0.25">
      <c r="A12665" t="s">
        <v>12678</v>
      </c>
      <c r="B12665">
        <v>484</v>
      </c>
      <c r="C12665" s="1" t="str">
        <f>HYPERLINK("http://www.rosaceae.org/gb/gbrowse/malus_x_domestica/?name=MDP0000315843","MDP0000315843")</f>
        <v>MDP0000315843</v>
      </c>
      <c r="D12665">
        <v>84.02</v>
      </c>
      <c r="E12665">
        <v>482</v>
      </c>
      <c r="F12665">
        <v>77</v>
      </c>
      <c r="G12665">
        <v>1</v>
      </c>
      <c r="H12665">
        <v>3</v>
      </c>
      <c r="I12665">
        <v>484</v>
      </c>
      <c r="J12665">
        <v>1</v>
      </c>
      <c r="K12665">
        <v>1</v>
      </c>
      <c r="L12665">
        <v>481</v>
      </c>
      <c r="M12665">
        <v>1</v>
      </c>
      <c r="N12665">
        <v>0</v>
      </c>
      <c r="O12665">
        <v>2218</v>
      </c>
    </row>
    <row r="12666" spans="1:15" x14ac:dyDescent="0.25">
      <c r="A12666" t="s">
        <v>12679</v>
      </c>
      <c r="B12666">
        <v>86</v>
      </c>
      <c r="C12666" s="1" t="str">
        <f>HYPERLINK("http://www.rosaceae.org/gb/gbrowse/malus_x_domestica/?name=MDP0000653934","MDP0000653934")</f>
        <v>MDP0000653934</v>
      </c>
      <c r="D12666">
        <v>50.79</v>
      </c>
      <c r="E12666">
        <v>63</v>
      </c>
      <c r="F12666">
        <v>31</v>
      </c>
      <c r="G12666">
        <v>4</v>
      </c>
      <c r="H12666">
        <v>26</v>
      </c>
      <c r="I12666">
        <v>85</v>
      </c>
      <c r="J12666">
        <v>1</v>
      </c>
      <c r="K12666">
        <v>35</v>
      </c>
      <c r="L12666">
        <v>96</v>
      </c>
      <c r="M12666">
        <v>1</v>
      </c>
      <c r="N12666">
        <v>3.9120999999999999E-10</v>
      </c>
      <c r="O12666">
        <v>145</v>
      </c>
    </row>
    <row r="12667" spans="1:15" x14ac:dyDescent="0.25">
      <c r="A12667" t="s">
        <v>12680</v>
      </c>
      <c r="B12667">
        <v>284</v>
      </c>
      <c r="C12667" s="1" t="str">
        <f>HYPERLINK("http://www.rosaceae.org/gb/gbrowse/malus_x_domestica/?name=MDP0000208850","MDP0000208850")</f>
        <v>MDP0000208850</v>
      </c>
      <c r="D12667">
        <v>57.53</v>
      </c>
      <c r="E12667">
        <v>252</v>
      </c>
      <c r="F12667">
        <v>107</v>
      </c>
      <c r="G12667">
        <v>11</v>
      </c>
      <c r="H12667">
        <v>39</v>
      </c>
      <c r="I12667">
        <v>283</v>
      </c>
      <c r="J12667">
        <v>1</v>
      </c>
      <c r="K12667">
        <v>1</v>
      </c>
      <c r="L12667">
        <v>248</v>
      </c>
      <c r="M12667">
        <v>1</v>
      </c>
      <c r="N12667">
        <v>2.63262E-72</v>
      </c>
      <c r="O12667">
        <v>687</v>
      </c>
    </row>
    <row r="12668" spans="1:15" x14ac:dyDescent="0.25">
      <c r="A12668" t="s">
        <v>12681</v>
      </c>
      <c r="B12668">
        <v>330</v>
      </c>
      <c r="C12668" s="1" t="str">
        <f>HYPERLINK("http://www.rosaceae.org/gb/gbrowse/malus_x_domestica/?name=MDP0000120995","MDP0000120995")</f>
        <v>MDP0000120995</v>
      </c>
      <c r="D12668">
        <v>60.67</v>
      </c>
      <c r="E12668">
        <v>328</v>
      </c>
      <c r="F12668">
        <v>129</v>
      </c>
      <c r="G12668">
        <v>5</v>
      </c>
      <c r="H12668">
        <v>1</v>
      </c>
      <c r="I12668">
        <v>328</v>
      </c>
      <c r="J12668">
        <v>1</v>
      </c>
      <c r="K12668">
        <v>1</v>
      </c>
      <c r="L12668">
        <v>323</v>
      </c>
      <c r="M12668">
        <v>1</v>
      </c>
      <c r="N12668">
        <v>2.6734700000000001E-107</v>
      </c>
      <c r="O12668">
        <v>990</v>
      </c>
    </row>
    <row r="12669" spans="1:15" x14ac:dyDescent="0.25">
      <c r="A12669" t="s">
        <v>12682</v>
      </c>
      <c r="B12669">
        <v>102</v>
      </c>
      <c r="C12669" s="1" t="str">
        <f>HYPERLINK("http://www.rosaceae.org/gb/gbrowse/malus_x_domestica/?name=MDP0000259957","MDP0000259957")</f>
        <v>MDP0000259957</v>
      </c>
      <c r="D12669">
        <v>31.86</v>
      </c>
      <c r="E12669">
        <v>91</v>
      </c>
      <c r="F12669">
        <v>62</v>
      </c>
      <c r="G12669">
        <v>1</v>
      </c>
      <c r="H12669">
        <v>7</v>
      </c>
      <c r="I12669">
        <v>97</v>
      </c>
      <c r="J12669">
        <v>1</v>
      </c>
      <c r="K12669">
        <v>248</v>
      </c>
      <c r="L12669">
        <v>337</v>
      </c>
      <c r="M12669">
        <v>1</v>
      </c>
      <c r="N12669">
        <v>6.99348E-8</v>
      </c>
      <c r="O12669">
        <v>125</v>
      </c>
    </row>
    <row r="12670" spans="1:15" x14ac:dyDescent="0.25">
      <c r="A12670" t="s">
        <v>12683</v>
      </c>
      <c r="B12670">
        <v>392</v>
      </c>
      <c r="C12670" s="1" t="str">
        <f>HYPERLINK("http://www.rosaceae.org/gb/gbrowse/malus_x_domestica/?name=MDP0000274695","MDP0000274695")</f>
        <v>MDP0000274695</v>
      </c>
      <c r="D12670">
        <v>48.76</v>
      </c>
      <c r="E12670">
        <v>121</v>
      </c>
      <c r="F12670">
        <v>62</v>
      </c>
      <c r="G12670">
        <v>14</v>
      </c>
      <c r="H12670">
        <v>159</v>
      </c>
      <c r="I12670">
        <v>271</v>
      </c>
      <c r="J12670">
        <v>1</v>
      </c>
      <c r="K12670">
        <v>136</v>
      </c>
      <c r="L12670">
        <v>250</v>
      </c>
      <c r="M12670">
        <v>1</v>
      </c>
      <c r="N12670">
        <v>9.0710099999999994E-14</v>
      </c>
      <c r="O12670">
        <v>184</v>
      </c>
    </row>
    <row r="12671" spans="1:15" x14ac:dyDescent="0.25">
      <c r="A12671" t="s">
        <v>12684</v>
      </c>
      <c r="B12671">
        <v>519</v>
      </c>
      <c r="C12671" s="1" t="str">
        <f>HYPERLINK("http://www.rosaceae.org/gb/gbrowse/malus_x_domestica/?name=MDP0000239826","MDP0000239826")</f>
        <v>MDP0000239826</v>
      </c>
      <c r="D12671">
        <v>30.93</v>
      </c>
      <c r="E12671">
        <v>501</v>
      </c>
      <c r="F12671">
        <v>346</v>
      </c>
      <c r="G12671">
        <v>74</v>
      </c>
      <c r="H12671">
        <v>2</v>
      </c>
      <c r="I12671">
        <v>489</v>
      </c>
      <c r="J12671">
        <v>1</v>
      </c>
      <c r="K12671">
        <v>25</v>
      </c>
      <c r="L12671">
        <v>464</v>
      </c>
      <c r="M12671">
        <v>1</v>
      </c>
      <c r="N12671">
        <v>9.2198099999999993E-64</v>
      </c>
      <c r="O12671">
        <v>617</v>
      </c>
    </row>
    <row r="12672" spans="1:15" x14ac:dyDescent="0.25">
      <c r="A12672" t="s">
        <v>12685</v>
      </c>
      <c r="B12672">
        <v>67</v>
      </c>
      <c r="C12672" s="1" t="str">
        <f>HYPERLINK("http://www.rosaceae.org/gb/gbrowse/malus_x_domestica/?name=MDP0000138660","MDP0000138660")</f>
        <v>MDP0000138660</v>
      </c>
      <c r="D12672">
        <v>60.97</v>
      </c>
      <c r="E12672">
        <v>41</v>
      </c>
      <c r="F12672">
        <v>16</v>
      </c>
      <c r="G12672">
        <v>0</v>
      </c>
      <c r="H12672">
        <v>1</v>
      </c>
      <c r="I12672">
        <v>41</v>
      </c>
      <c r="J12672">
        <v>1</v>
      </c>
      <c r="K12672">
        <v>124</v>
      </c>
      <c r="L12672">
        <v>164</v>
      </c>
      <c r="M12672">
        <v>1</v>
      </c>
      <c r="N12672">
        <v>4.5250900000000001E-10</v>
      </c>
      <c r="O12672">
        <v>144</v>
      </c>
    </row>
    <row r="12673" spans="1:15" x14ac:dyDescent="0.25">
      <c r="A12673" t="s">
        <v>12686</v>
      </c>
      <c r="B12673">
        <v>326</v>
      </c>
      <c r="C12673" s="1" t="str">
        <f>HYPERLINK("http://www.rosaceae.org/gb/gbrowse/malus_x_domestica/?name=MDP0000275800","MDP0000275800")</f>
        <v>MDP0000275800</v>
      </c>
      <c r="D12673">
        <v>78.8</v>
      </c>
      <c r="E12673">
        <v>151</v>
      </c>
      <c r="F12673">
        <v>32</v>
      </c>
      <c r="G12673">
        <v>4</v>
      </c>
      <c r="H12673">
        <v>1</v>
      </c>
      <c r="I12673">
        <v>148</v>
      </c>
      <c r="J12673">
        <v>1</v>
      </c>
      <c r="K12673">
        <v>110</v>
      </c>
      <c r="L12673">
        <v>259</v>
      </c>
      <c r="M12673">
        <v>1</v>
      </c>
      <c r="N12673">
        <v>6.4355799999999997E-66</v>
      </c>
      <c r="O12673">
        <v>633</v>
      </c>
    </row>
    <row r="12674" spans="1:15" x14ac:dyDescent="0.25">
      <c r="A12674" t="s">
        <v>12687</v>
      </c>
      <c r="B12674">
        <v>554</v>
      </c>
      <c r="C12674" s="1" t="str">
        <f>HYPERLINK("http://www.rosaceae.org/gb/gbrowse/malus_x_domestica/?name=MDP0000155154","MDP0000155154")</f>
        <v>MDP0000155154</v>
      </c>
      <c r="D12674">
        <v>76.44</v>
      </c>
      <c r="E12674">
        <v>242</v>
      </c>
      <c r="F12674">
        <v>57</v>
      </c>
      <c r="G12674">
        <v>12</v>
      </c>
      <c r="H12674">
        <v>222</v>
      </c>
      <c r="I12674">
        <v>454</v>
      </c>
      <c r="J12674">
        <v>1</v>
      </c>
      <c r="K12674">
        <v>609</v>
      </c>
      <c r="L12674">
        <v>847</v>
      </c>
      <c r="M12674">
        <v>1</v>
      </c>
      <c r="N12674">
        <v>1.05148E-101</v>
      </c>
      <c r="O12674">
        <v>944</v>
      </c>
    </row>
    <row r="12675" spans="1:15" x14ac:dyDescent="0.25">
      <c r="A12675" t="s">
        <v>12688</v>
      </c>
      <c r="B12675">
        <v>296</v>
      </c>
      <c r="C12675" s="1" t="str">
        <f>HYPERLINK("http://www.rosaceae.org/gb/gbrowse/malus_x_domestica/?name=MDP0000313514","MDP0000313514")</f>
        <v>MDP0000313514</v>
      </c>
      <c r="D12675">
        <v>86.07</v>
      </c>
      <c r="E12675">
        <v>237</v>
      </c>
      <c r="F12675">
        <v>33</v>
      </c>
      <c r="G12675">
        <v>0</v>
      </c>
      <c r="H12675">
        <v>1</v>
      </c>
      <c r="I12675">
        <v>237</v>
      </c>
      <c r="J12675">
        <v>1</v>
      </c>
      <c r="K12675">
        <v>9</v>
      </c>
      <c r="L12675">
        <v>245</v>
      </c>
      <c r="M12675">
        <v>1</v>
      </c>
      <c r="N12675">
        <v>2.4617300000000001E-119</v>
      </c>
      <c r="O12675">
        <v>1093</v>
      </c>
    </row>
    <row r="12676" spans="1:15" x14ac:dyDescent="0.25">
      <c r="A12676" t="s">
        <v>12689</v>
      </c>
      <c r="B12676">
        <v>426</v>
      </c>
      <c r="C12676" s="1" t="str">
        <f>HYPERLINK("http://www.rosaceae.org/gb/gbrowse/malus_x_domestica/?name=MDP0000139684","MDP0000139684")</f>
        <v>MDP0000139684</v>
      </c>
      <c r="D12676">
        <v>75.47</v>
      </c>
      <c r="E12676">
        <v>318</v>
      </c>
      <c r="F12676">
        <v>78</v>
      </c>
      <c r="G12676">
        <v>32</v>
      </c>
      <c r="H12676">
        <v>135</v>
      </c>
      <c r="I12676">
        <v>420</v>
      </c>
      <c r="J12676">
        <v>1</v>
      </c>
      <c r="K12676">
        <v>1</v>
      </c>
      <c r="L12676">
        <v>318</v>
      </c>
      <c r="M12676">
        <v>1</v>
      </c>
      <c r="N12676">
        <v>3.3980600000000001E-137</v>
      </c>
      <c r="O12676">
        <v>1249</v>
      </c>
    </row>
    <row r="12677" spans="1:15" x14ac:dyDescent="0.25">
      <c r="A12677" t="s">
        <v>12690</v>
      </c>
      <c r="B12677">
        <v>715</v>
      </c>
      <c r="C12677" s="1" t="str">
        <f>HYPERLINK("http://www.rosaceae.org/gb/gbrowse/malus_x_domestica/?name=MDP0000227061","MDP0000227061")</f>
        <v>MDP0000227061</v>
      </c>
      <c r="D12677">
        <v>65</v>
      </c>
      <c r="E12677">
        <v>220</v>
      </c>
      <c r="F12677">
        <v>77</v>
      </c>
      <c r="G12677">
        <v>13</v>
      </c>
      <c r="H12677">
        <v>1</v>
      </c>
      <c r="I12677">
        <v>208</v>
      </c>
      <c r="J12677">
        <v>1</v>
      </c>
      <c r="K12677">
        <v>9</v>
      </c>
      <c r="L12677">
        <v>227</v>
      </c>
      <c r="M12677">
        <v>1</v>
      </c>
      <c r="N12677">
        <v>4.02396E-68</v>
      </c>
      <c r="O12677">
        <v>656</v>
      </c>
    </row>
    <row r="12678" spans="1:15" x14ac:dyDescent="0.25">
      <c r="A12678" t="s">
        <v>12691</v>
      </c>
      <c r="B12678">
        <v>452</v>
      </c>
      <c r="C12678" s="1" t="str">
        <f>HYPERLINK("http://www.rosaceae.org/gb/gbrowse/malus_x_domestica/?name=MDP0000312450","MDP0000312450")</f>
        <v>MDP0000312450</v>
      </c>
      <c r="D12678">
        <v>66</v>
      </c>
      <c r="E12678">
        <v>456</v>
      </c>
      <c r="F12678">
        <v>155</v>
      </c>
      <c r="G12678">
        <v>8</v>
      </c>
      <c r="H12678">
        <v>1</v>
      </c>
      <c r="I12678">
        <v>450</v>
      </c>
      <c r="J12678">
        <v>1</v>
      </c>
      <c r="K12678">
        <v>797</v>
      </c>
      <c r="L12678">
        <v>1250</v>
      </c>
      <c r="M12678">
        <v>1</v>
      </c>
      <c r="N12678">
        <v>1.3393599999999999E-170</v>
      </c>
      <c r="O12678">
        <v>1537</v>
      </c>
    </row>
    <row r="12679" spans="1:15" x14ac:dyDescent="0.25">
      <c r="A12679" t="s">
        <v>12692</v>
      </c>
      <c r="B12679">
        <v>571</v>
      </c>
      <c r="C12679" s="1" t="str">
        <f>HYPERLINK("http://www.rosaceae.org/gb/gbrowse/malus_x_domestica/?name=MDP0000322237","MDP0000322237")</f>
        <v>MDP0000322237</v>
      </c>
      <c r="D12679">
        <v>76.150000000000006</v>
      </c>
      <c r="E12679">
        <v>478</v>
      </c>
      <c r="F12679">
        <v>114</v>
      </c>
      <c r="G12679">
        <v>36</v>
      </c>
      <c r="H12679">
        <v>86</v>
      </c>
      <c r="I12679">
        <v>560</v>
      </c>
      <c r="J12679">
        <v>1</v>
      </c>
      <c r="K12679">
        <v>143</v>
      </c>
      <c r="L12679">
        <v>587</v>
      </c>
      <c r="M12679">
        <v>1</v>
      </c>
      <c r="N12679">
        <v>0</v>
      </c>
      <c r="O12679">
        <v>1983</v>
      </c>
    </row>
    <row r="12680" spans="1:15" x14ac:dyDescent="0.25">
      <c r="A12680" t="s">
        <v>12693</v>
      </c>
      <c r="B12680">
        <v>1218</v>
      </c>
      <c r="C12680" s="1" t="str">
        <f>HYPERLINK("http://www.rosaceae.org/gb/gbrowse/malus_x_domestica/?name=MDP0000297707","MDP0000297707")</f>
        <v>MDP0000297707</v>
      </c>
      <c r="D12680">
        <v>62.65</v>
      </c>
      <c r="E12680">
        <v>565</v>
      </c>
      <c r="F12680">
        <v>211</v>
      </c>
      <c r="G12680">
        <v>11</v>
      </c>
      <c r="H12680">
        <v>310</v>
      </c>
      <c r="I12680">
        <v>865</v>
      </c>
      <c r="J12680">
        <v>1</v>
      </c>
      <c r="K12680">
        <v>1014</v>
      </c>
      <c r="L12680">
        <v>1576</v>
      </c>
      <c r="M12680">
        <v>1</v>
      </c>
      <c r="N12680">
        <v>0</v>
      </c>
      <c r="O12680">
        <v>1738</v>
      </c>
    </row>
    <row r="12681" spans="1:15" x14ac:dyDescent="0.25">
      <c r="A12681" t="s">
        <v>12694</v>
      </c>
      <c r="B12681">
        <v>384</v>
      </c>
      <c r="C12681" s="1" t="str">
        <f>HYPERLINK("http://www.rosaceae.org/gb/gbrowse/malus_x_domestica/?name=MDP0000166808","MDP0000166808")</f>
        <v>MDP0000166808</v>
      </c>
      <c r="D12681">
        <v>74.16</v>
      </c>
      <c r="E12681">
        <v>360</v>
      </c>
      <c r="F12681">
        <v>93</v>
      </c>
      <c r="G12681">
        <v>0</v>
      </c>
      <c r="H12681">
        <v>1</v>
      </c>
      <c r="I12681">
        <v>360</v>
      </c>
      <c r="J12681">
        <v>1</v>
      </c>
      <c r="K12681">
        <v>8</v>
      </c>
      <c r="L12681">
        <v>367</v>
      </c>
      <c r="M12681">
        <v>1</v>
      </c>
      <c r="N12681">
        <v>6.2650200000000003E-157</v>
      </c>
      <c r="O12681">
        <v>1419</v>
      </c>
    </row>
    <row r="12682" spans="1:15" x14ac:dyDescent="0.25">
      <c r="A12682" t="s">
        <v>12695</v>
      </c>
      <c r="B12682">
        <v>146</v>
      </c>
      <c r="C12682" s="1" t="str">
        <f>HYPERLINK("http://www.rosaceae.org/gb/gbrowse/malus_x_domestica/?name=MDP0000270104","MDP0000270104")</f>
        <v>MDP0000270104</v>
      </c>
      <c r="D12682">
        <v>80</v>
      </c>
      <c r="E12682">
        <v>40</v>
      </c>
      <c r="F12682">
        <v>8</v>
      </c>
      <c r="G12682">
        <v>0</v>
      </c>
      <c r="H12682">
        <v>90</v>
      </c>
      <c r="I12682">
        <v>129</v>
      </c>
      <c r="J12682">
        <v>1</v>
      </c>
      <c r="K12682">
        <v>45</v>
      </c>
      <c r="L12682">
        <v>84</v>
      </c>
      <c r="M12682">
        <v>1</v>
      </c>
      <c r="N12682">
        <v>7.0093699999999997E-14</v>
      </c>
      <c r="O12682">
        <v>179</v>
      </c>
    </row>
    <row r="12683" spans="1:15" x14ac:dyDescent="0.25">
      <c r="A12683" t="s">
        <v>12696</v>
      </c>
      <c r="B12683">
        <v>152</v>
      </c>
      <c r="C12683" s="1" t="str">
        <f>HYPERLINK("http://www.rosaceae.org/gb/gbrowse/malus_x_domestica/?name=MDP0000311043","MDP0000311043")</f>
        <v>MDP0000311043</v>
      </c>
      <c r="D12683">
        <v>77.069999999999993</v>
      </c>
      <c r="E12683">
        <v>157</v>
      </c>
      <c r="F12683">
        <v>36</v>
      </c>
      <c r="G12683">
        <v>5</v>
      </c>
      <c r="H12683">
        <v>1</v>
      </c>
      <c r="I12683">
        <v>152</v>
      </c>
      <c r="J12683">
        <v>1</v>
      </c>
      <c r="K12683">
        <v>1</v>
      </c>
      <c r="L12683">
        <v>157</v>
      </c>
      <c r="M12683">
        <v>1</v>
      </c>
      <c r="N12683">
        <v>4.51354E-67</v>
      </c>
      <c r="O12683">
        <v>638</v>
      </c>
    </row>
    <row r="12684" spans="1:15" x14ac:dyDescent="0.25">
      <c r="A12684" t="s">
        <v>12697</v>
      </c>
      <c r="B12684">
        <v>416</v>
      </c>
      <c r="C12684" s="1" t="str">
        <f>HYPERLINK("http://www.rosaceae.org/gb/gbrowse/malus_x_domestica/?name=MDP0000207889","MDP0000207889")</f>
        <v>MDP0000207889</v>
      </c>
      <c r="D12684">
        <v>72.53</v>
      </c>
      <c r="E12684">
        <v>426</v>
      </c>
      <c r="F12684">
        <v>117</v>
      </c>
      <c r="G12684">
        <v>24</v>
      </c>
      <c r="H12684">
        <v>1</v>
      </c>
      <c r="I12684">
        <v>402</v>
      </c>
      <c r="J12684">
        <v>1</v>
      </c>
      <c r="K12684">
        <v>1</v>
      </c>
      <c r="L12684">
        <v>426</v>
      </c>
      <c r="M12684">
        <v>1</v>
      </c>
      <c r="N12684">
        <v>0</v>
      </c>
      <c r="O12684">
        <v>1631</v>
      </c>
    </row>
    <row r="12685" spans="1:15" x14ac:dyDescent="0.25">
      <c r="A12685" t="s">
        <v>12698</v>
      </c>
      <c r="B12685">
        <v>270</v>
      </c>
      <c r="C12685" s="1" t="str">
        <f>HYPERLINK("http://www.rosaceae.org/gb/gbrowse/malus_x_domestica/?name=MDP0000176578","MDP0000176578")</f>
        <v>MDP0000176578</v>
      </c>
      <c r="D12685">
        <v>64.33</v>
      </c>
      <c r="E12685">
        <v>314</v>
      </c>
      <c r="F12685">
        <v>112</v>
      </c>
      <c r="G12685">
        <v>61</v>
      </c>
      <c r="H12685">
        <v>1</v>
      </c>
      <c r="I12685">
        <v>264</v>
      </c>
      <c r="J12685">
        <v>1</v>
      </c>
      <c r="K12685">
        <v>1</v>
      </c>
      <c r="L12685">
        <v>303</v>
      </c>
      <c r="M12685">
        <v>1</v>
      </c>
      <c r="N12685">
        <v>3.1147700000000002E-108</v>
      </c>
      <c r="O12685">
        <v>997</v>
      </c>
    </row>
    <row r="12686" spans="1:15" x14ac:dyDescent="0.25">
      <c r="A12686" t="s">
        <v>12699</v>
      </c>
      <c r="B12686">
        <v>720</v>
      </c>
      <c r="C12686" s="1" t="str">
        <f>HYPERLINK("http://www.rosaceae.org/gb/gbrowse/malus_x_domestica/?name=MDP0000204168","MDP0000204168")</f>
        <v>MDP0000204168</v>
      </c>
      <c r="D12686">
        <v>72.510000000000005</v>
      </c>
      <c r="E12686">
        <v>713</v>
      </c>
      <c r="F12686">
        <v>196</v>
      </c>
      <c r="G12686">
        <v>5</v>
      </c>
      <c r="H12686">
        <v>1</v>
      </c>
      <c r="I12686">
        <v>708</v>
      </c>
      <c r="J12686">
        <v>1</v>
      </c>
      <c r="K12686">
        <v>1</v>
      </c>
      <c r="L12686">
        <v>713</v>
      </c>
      <c r="M12686">
        <v>1</v>
      </c>
      <c r="N12686">
        <v>0</v>
      </c>
      <c r="O12686">
        <v>2663</v>
      </c>
    </row>
    <row r="12687" spans="1:15" x14ac:dyDescent="0.25">
      <c r="A12687" t="s">
        <v>12700</v>
      </c>
      <c r="B12687">
        <v>109</v>
      </c>
      <c r="C12687" s="1" t="str">
        <f>HYPERLINK("http://www.rosaceae.org/gb/gbrowse/malus_x_domestica/?name=MDP0000647167","MDP0000647167")</f>
        <v>MDP0000647167</v>
      </c>
      <c r="D12687">
        <v>86.84</v>
      </c>
      <c r="E12687">
        <v>76</v>
      </c>
      <c r="F12687">
        <v>10</v>
      </c>
      <c r="G12687">
        <v>0</v>
      </c>
      <c r="H12687">
        <v>34</v>
      </c>
      <c r="I12687">
        <v>109</v>
      </c>
      <c r="J12687">
        <v>1</v>
      </c>
      <c r="K12687">
        <v>37</v>
      </c>
      <c r="L12687">
        <v>112</v>
      </c>
      <c r="M12687">
        <v>1</v>
      </c>
      <c r="N12687">
        <v>9.0036600000000001E-34</v>
      </c>
      <c r="O12687">
        <v>349</v>
      </c>
    </row>
    <row r="12688" spans="1:15" x14ac:dyDescent="0.25">
      <c r="A12688" t="s">
        <v>12701</v>
      </c>
      <c r="B12688">
        <v>150</v>
      </c>
      <c r="C12688" s="1" t="str">
        <f>HYPERLINK("http://www.rosaceae.org/gb/gbrowse/malus_x_domestica/?name=MDP0000318293","MDP0000318293")</f>
        <v>MDP0000318293</v>
      </c>
      <c r="D12688">
        <v>64</v>
      </c>
      <c r="E12688">
        <v>125</v>
      </c>
      <c r="F12688">
        <v>45</v>
      </c>
      <c r="G12688">
        <v>4</v>
      </c>
      <c r="H12688">
        <v>26</v>
      </c>
      <c r="I12688">
        <v>150</v>
      </c>
      <c r="J12688">
        <v>1</v>
      </c>
      <c r="K12688">
        <v>183</v>
      </c>
      <c r="L12688">
        <v>303</v>
      </c>
      <c r="M12688">
        <v>1</v>
      </c>
      <c r="N12688">
        <v>1.2684E-36</v>
      </c>
      <c r="O12688">
        <v>375</v>
      </c>
    </row>
    <row r="12689" spans="1:15" x14ac:dyDescent="0.25">
      <c r="A12689" t="s">
        <v>12702</v>
      </c>
      <c r="B12689">
        <v>229</v>
      </c>
      <c r="C12689" s="1" t="str">
        <f>HYPERLINK("http://www.rosaceae.org/gb/gbrowse/malus_x_domestica/?name=MDP0000728984","MDP0000728984")</f>
        <v>MDP0000728984</v>
      </c>
      <c r="D12689">
        <v>86.34</v>
      </c>
      <c r="E12689">
        <v>205</v>
      </c>
      <c r="F12689">
        <v>28</v>
      </c>
      <c r="G12689">
        <v>6</v>
      </c>
      <c r="H12689">
        <v>30</v>
      </c>
      <c r="I12689">
        <v>229</v>
      </c>
      <c r="J12689">
        <v>1</v>
      </c>
      <c r="K12689">
        <v>1</v>
      </c>
      <c r="L12689">
        <v>204</v>
      </c>
      <c r="M12689">
        <v>1</v>
      </c>
      <c r="N12689">
        <v>4.0862999999999998E-99</v>
      </c>
      <c r="O12689">
        <v>917</v>
      </c>
    </row>
    <row r="12690" spans="1:15" x14ac:dyDescent="0.25">
      <c r="A12690" t="s">
        <v>12703</v>
      </c>
      <c r="B12690">
        <v>177</v>
      </c>
      <c r="C12690" s="1" t="str">
        <f>HYPERLINK("http://www.rosaceae.org/gb/gbrowse/malus_x_domestica/?name=MDP0000248123","MDP0000248123")</f>
        <v>MDP0000248123</v>
      </c>
      <c r="D12690">
        <v>67.23</v>
      </c>
      <c r="E12690">
        <v>177</v>
      </c>
      <c r="F12690">
        <v>58</v>
      </c>
      <c r="G12690">
        <v>4</v>
      </c>
      <c r="H12690">
        <v>3</v>
      </c>
      <c r="I12690">
        <v>177</v>
      </c>
      <c r="J12690">
        <v>1</v>
      </c>
      <c r="K12690">
        <v>315</v>
      </c>
      <c r="L12690">
        <v>489</v>
      </c>
      <c r="M12690">
        <v>1</v>
      </c>
      <c r="N12690">
        <v>1.30725E-60</v>
      </c>
      <c r="O12690">
        <v>583</v>
      </c>
    </row>
    <row r="12691" spans="1:15" x14ac:dyDescent="0.25">
      <c r="A12691" t="s">
        <v>12704</v>
      </c>
      <c r="B12691">
        <v>277</v>
      </c>
      <c r="C12691" s="1" t="str">
        <f>HYPERLINK("http://www.rosaceae.org/gb/gbrowse/malus_x_domestica/?name=MDP0000277040","MDP0000277040")</f>
        <v>MDP0000277040</v>
      </c>
      <c r="D12691">
        <v>58.5</v>
      </c>
      <c r="E12691">
        <v>147</v>
      </c>
      <c r="F12691">
        <v>61</v>
      </c>
      <c r="G12691">
        <v>24</v>
      </c>
      <c r="H12691">
        <v>109</v>
      </c>
      <c r="I12691">
        <v>245</v>
      </c>
      <c r="J12691">
        <v>1</v>
      </c>
      <c r="K12691">
        <v>65</v>
      </c>
      <c r="L12691">
        <v>197</v>
      </c>
      <c r="M12691">
        <v>1</v>
      </c>
      <c r="N12691">
        <v>5.5066200000000001E-39</v>
      </c>
      <c r="O12691">
        <v>400</v>
      </c>
    </row>
    <row r="12692" spans="1:15" x14ac:dyDescent="0.25">
      <c r="A12692" t="s">
        <v>12705</v>
      </c>
      <c r="B12692">
        <v>538</v>
      </c>
      <c r="C12692" s="1" t="str">
        <f>HYPERLINK("http://www.rosaceae.org/gb/gbrowse/malus_x_domestica/?name=MDP0000278249","MDP0000278249")</f>
        <v>MDP0000278249</v>
      </c>
      <c r="D12692">
        <v>80.849999999999994</v>
      </c>
      <c r="E12692">
        <v>538</v>
      </c>
      <c r="F12692">
        <v>103</v>
      </c>
      <c r="G12692">
        <v>1</v>
      </c>
      <c r="H12692">
        <v>1</v>
      </c>
      <c r="I12692">
        <v>538</v>
      </c>
      <c r="J12692">
        <v>1</v>
      </c>
      <c r="K12692">
        <v>1</v>
      </c>
      <c r="L12692">
        <v>537</v>
      </c>
      <c r="M12692">
        <v>1</v>
      </c>
      <c r="N12692">
        <v>0</v>
      </c>
      <c r="O12692">
        <v>2270</v>
      </c>
    </row>
    <row r="12693" spans="1:15" x14ac:dyDescent="0.25">
      <c r="A12693" t="s">
        <v>12706</v>
      </c>
      <c r="B12693">
        <v>191</v>
      </c>
      <c r="C12693" s="1" t="str">
        <f>HYPERLINK("http://www.rosaceae.org/gb/gbrowse/malus_x_domestica/?name=MDP0000302894","MDP0000302894")</f>
        <v>MDP0000302894</v>
      </c>
      <c r="D12693">
        <v>41.79</v>
      </c>
      <c r="E12693">
        <v>189</v>
      </c>
      <c r="F12693">
        <v>110</v>
      </c>
      <c r="G12693">
        <v>44</v>
      </c>
      <c r="H12693">
        <v>20</v>
      </c>
      <c r="I12693">
        <v>178</v>
      </c>
      <c r="J12693">
        <v>1</v>
      </c>
      <c r="K12693">
        <v>82</v>
      </c>
      <c r="L12693">
        <v>256</v>
      </c>
      <c r="M12693">
        <v>1</v>
      </c>
      <c r="N12693">
        <v>9.6694899999999992E-25</v>
      </c>
      <c r="O12693">
        <v>275</v>
      </c>
    </row>
    <row r="12694" spans="1:15" x14ac:dyDescent="0.25">
      <c r="A12694" t="s">
        <v>12707</v>
      </c>
      <c r="B12694">
        <v>422</v>
      </c>
      <c r="C12694" s="1" t="str">
        <f>HYPERLINK("http://www.rosaceae.org/gb/gbrowse/malus_x_domestica/?name=MDP0000118848","MDP0000118848")</f>
        <v>MDP0000118848</v>
      </c>
      <c r="D12694">
        <v>31.15</v>
      </c>
      <c r="E12694">
        <v>276</v>
      </c>
      <c r="F12694">
        <v>190</v>
      </c>
      <c r="G12694">
        <v>6</v>
      </c>
      <c r="H12694">
        <v>147</v>
      </c>
      <c r="I12694">
        <v>422</v>
      </c>
      <c r="J12694">
        <v>1</v>
      </c>
      <c r="K12694">
        <v>99</v>
      </c>
      <c r="L12694">
        <v>368</v>
      </c>
      <c r="M12694">
        <v>1</v>
      </c>
      <c r="N12694">
        <v>6.6912600000000006E-30</v>
      </c>
      <c r="O12694">
        <v>324</v>
      </c>
    </row>
    <row r="12695" spans="1:15" x14ac:dyDescent="0.25">
      <c r="A12695" t="s">
        <v>12708</v>
      </c>
      <c r="B12695">
        <v>242</v>
      </c>
      <c r="C12695" s="1" t="str">
        <f>HYPERLINK("http://www.rosaceae.org/gb/gbrowse/malus_x_domestica/?name=MDP0000821241","MDP0000821241")</f>
        <v>MDP0000821241</v>
      </c>
      <c r="D12695">
        <v>78.03</v>
      </c>
      <c r="E12695">
        <v>173</v>
      </c>
      <c r="F12695">
        <v>38</v>
      </c>
      <c r="G12695">
        <v>7</v>
      </c>
      <c r="H12695">
        <v>76</v>
      </c>
      <c r="I12695">
        <v>241</v>
      </c>
      <c r="J12695">
        <v>1</v>
      </c>
      <c r="K12695">
        <v>84</v>
      </c>
      <c r="L12695">
        <v>256</v>
      </c>
      <c r="M12695">
        <v>1</v>
      </c>
      <c r="N12695">
        <v>1.8515199999999999E-73</v>
      </c>
      <c r="O12695">
        <v>696</v>
      </c>
    </row>
    <row r="12696" spans="1:15" x14ac:dyDescent="0.25">
      <c r="A12696" t="s">
        <v>12709</v>
      </c>
      <c r="B12696">
        <v>115</v>
      </c>
      <c r="C12696" s="1" t="str">
        <f>HYPERLINK("http://www.rosaceae.org/gb/gbrowse/malus_x_domestica/?name=MDP0000882526","MDP0000882526")</f>
        <v>MDP0000882526</v>
      </c>
      <c r="D12696">
        <v>76.31</v>
      </c>
      <c r="E12696">
        <v>38</v>
      </c>
      <c r="F12696">
        <v>9</v>
      </c>
      <c r="G12696">
        <v>0</v>
      </c>
      <c r="H12696">
        <v>1</v>
      </c>
      <c r="I12696">
        <v>38</v>
      </c>
      <c r="J12696">
        <v>1</v>
      </c>
      <c r="K12696">
        <v>95</v>
      </c>
      <c r="L12696">
        <v>132</v>
      </c>
      <c r="M12696">
        <v>1</v>
      </c>
      <c r="N12696">
        <v>1.9641000000000001E-12</v>
      </c>
      <c r="O12696">
        <v>165</v>
      </c>
    </row>
    <row r="12697" spans="1:15" x14ac:dyDescent="0.25">
      <c r="A12697" t="s">
        <v>12710</v>
      </c>
      <c r="B12697">
        <v>743</v>
      </c>
      <c r="C12697" s="1" t="str">
        <f>HYPERLINK("http://www.rosaceae.org/gb/gbrowse/malus_x_domestica/?name=MDP0000457380","MDP0000457380")</f>
        <v>MDP0000457380</v>
      </c>
      <c r="D12697">
        <v>81.56</v>
      </c>
      <c r="E12697">
        <v>727</v>
      </c>
      <c r="F12697">
        <v>134</v>
      </c>
      <c r="G12697">
        <v>15</v>
      </c>
      <c r="H12697">
        <v>21</v>
      </c>
      <c r="I12697">
        <v>742</v>
      </c>
      <c r="J12697">
        <v>1</v>
      </c>
      <c r="K12697">
        <v>24</v>
      </c>
      <c r="L12697">
        <v>740</v>
      </c>
      <c r="M12697">
        <v>1</v>
      </c>
      <c r="N12697">
        <v>0</v>
      </c>
      <c r="O12697">
        <v>3101</v>
      </c>
    </row>
    <row r="12698" spans="1:15" x14ac:dyDescent="0.25">
      <c r="A12698" t="s">
        <v>12711</v>
      </c>
      <c r="B12698">
        <v>294</v>
      </c>
      <c r="C12698" s="1" t="str">
        <f>HYPERLINK("http://www.rosaceae.org/gb/gbrowse/malus_x_domestica/?name=MDP0000163673","MDP0000163673")</f>
        <v>MDP0000163673</v>
      </c>
      <c r="D12698">
        <v>43.13</v>
      </c>
      <c r="E12698">
        <v>357</v>
      </c>
      <c r="F12698">
        <v>203</v>
      </c>
      <c r="G12698">
        <v>95</v>
      </c>
      <c r="H12698">
        <v>1</v>
      </c>
      <c r="I12698">
        <v>294</v>
      </c>
      <c r="J12698">
        <v>1</v>
      </c>
      <c r="K12698">
        <v>1</v>
      </c>
      <c r="L12698">
        <v>325</v>
      </c>
      <c r="M12698">
        <v>1</v>
      </c>
      <c r="N12698">
        <v>6.6831400000000001E-63</v>
      </c>
      <c r="O12698">
        <v>606</v>
      </c>
    </row>
    <row r="12699" spans="1:15" x14ac:dyDescent="0.25">
      <c r="A12699" t="s">
        <v>12712</v>
      </c>
      <c r="B12699">
        <v>1723</v>
      </c>
      <c r="C12699" s="1" t="str">
        <f>HYPERLINK("http://www.rosaceae.org/gb/gbrowse/malus_x_domestica/?name=MDP0000160609","MDP0000160609")</f>
        <v>MDP0000160609</v>
      </c>
      <c r="D12699">
        <v>70.14</v>
      </c>
      <c r="E12699">
        <v>566</v>
      </c>
      <c r="F12699">
        <v>169</v>
      </c>
      <c r="G12699">
        <v>75</v>
      </c>
      <c r="H12699">
        <v>1130</v>
      </c>
      <c r="I12699">
        <v>1620</v>
      </c>
      <c r="J12699">
        <v>1</v>
      </c>
      <c r="K12699">
        <v>719</v>
      </c>
      <c r="L12699">
        <v>1284</v>
      </c>
      <c r="M12699">
        <v>1</v>
      </c>
      <c r="N12699">
        <v>0</v>
      </c>
      <c r="O12699">
        <v>1940</v>
      </c>
    </row>
    <row r="12700" spans="1:15" x14ac:dyDescent="0.25">
      <c r="A12700" t="s">
        <v>12713</v>
      </c>
      <c r="B12700">
        <v>156</v>
      </c>
      <c r="C12700" s="1" t="str">
        <f>HYPERLINK("http://www.rosaceae.org/gb/gbrowse/malus_x_domestica/?name=MDP0000527973","MDP0000527973")</f>
        <v>MDP0000527973</v>
      </c>
      <c r="D12700">
        <v>63.3</v>
      </c>
      <c r="E12700">
        <v>139</v>
      </c>
      <c r="F12700">
        <v>51</v>
      </c>
      <c r="G12700">
        <v>8</v>
      </c>
      <c r="H12700">
        <v>25</v>
      </c>
      <c r="I12700">
        <v>156</v>
      </c>
      <c r="J12700">
        <v>1</v>
      </c>
      <c r="K12700">
        <v>57</v>
      </c>
      <c r="L12700">
        <v>194</v>
      </c>
      <c r="M12700">
        <v>1</v>
      </c>
      <c r="N12700">
        <v>2.8606099999999999E-46</v>
      </c>
      <c r="O12700">
        <v>459</v>
      </c>
    </row>
    <row r="12701" spans="1:15" x14ac:dyDescent="0.25">
      <c r="A12701" t="s">
        <v>12714</v>
      </c>
      <c r="B12701">
        <v>1123</v>
      </c>
      <c r="C12701" s="1" t="str">
        <f>HYPERLINK("http://www.rosaceae.org/gb/gbrowse/malus_x_domestica/?name=MDP0000319396","MDP0000319396")</f>
        <v>MDP0000319396</v>
      </c>
      <c r="D12701">
        <v>75.430000000000007</v>
      </c>
      <c r="E12701">
        <v>1099</v>
      </c>
      <c r="F12701">
        <v>270</v>
      </c>
      <c r="G12701">
        <v>18</v>
      </c>
      <c r="H12701">
        <v>24</v>
      </c>
      <c r="I12701">
        <v>1110</v>
      </c>
      <c r="J12701">
        <v>1</v>
      </c>
      <c r="K12701">
        <v>27</v>
      </c>
      <c r="L12701">
        <v>1119</v>
      </c>
      <c r="M12701">
        <v>1</v>
      </c>
      <c r="N12701">
        <v>0</v>
      </c>
      <c r="O12701">
        <v>4456</v>
      </c>
    </row>
    <row r="12702" spans="1:15" x14ac:dyDescent="0.25">
      <c r="A12702" t="s">
        <v>12715</v>
      </c>
      <c r="B12702">
        <v>295</v>
      </c>
      <c r="C12702" s="1" t="str">
        <f>HYPERLINK("http://www.rosaceae.org/gb/gbrowse/malus_x_domestica/?name=MDP0000136489","MDP0000136489")</f>
        <v>MDP0000136489</v>
      </c>
      <c r="D12702">
        <v>85.76</v>
      </c>
      <c r="E12702">
        <v>274</v>
      </c>
      <c r="F12702">
        <v>39</v>
      </c>
      <c r="G12702">
        <v>15</v>
      </c>
      <c r="H12702">
        <v>37</v>
      </c>
      <c r="I12702">
        <v>295</v>
      </c>
      <c r="J12702">
        <v>1</v>
      </c>
      <c r="K12702">
        <v>62</v>
      </c>
      <c r="L12702">
        <v>335</v>
      </c>
      <c r="M12702">
        <v>1</v>
      </c>
      <c r="N12702">
        <v>4.9943299999999998E-136</v>
      </c>
      <c r="O12702">
        <v>1237</v>
      </c>
    </row>
    <row r="12703" spans="1:15" x14ac:dyDescent="0.25">
      <c r="A12703" t="s">
        <v>12716</v>
      </c>
      <c r="B12703">
        <v>373</v>
      </c>
      <c r="C12703" s="1" t="str">
        <f>HYPERLINK("http://www.rosaceae.org/gb/gbrowse/malus_x_domestica/?name=MDP0000119076","MDP0000119076")</f>
        <v>MDP0000119076</v>
      </c>
      <c r="D12703">
        <v>48.78</v>
      </c>
      <c r="E12703">
        <v>369</v>
      </c>
      <c r="F12703">
        <v>189</v>
      </c>
      <c r="G12703">
        <v>23</v>
      </c>
      <c r="H12703">
        <v>1</v>
      </c>
      <c r="I12703">
        <v>364</v>
      </c>
      <c r="J12703">
        <v>1</v>
      </c>
      <c r="K12703">
        <v>1</v>
      </c>
      <c r="L12703">
        <v>351</v>
      </c>
      <c r="M12703">
        <v>1</v>
      </c>
      <c r="N12703">
        <v>1.8758800000000001E-91</v>
      </c>
      <c r="O12703">
        <v>854</v>
      </c>
    </row>
    <row r="12704" spans="1:15" x14ac:dyDescent="0.25">
      <c r="A12704" t="s">
        <v>12717</v>
      </c>
      <c r="B12704">
        <v>100</v>
      </c>
      <c r="C12704" s="1" t="str">
        <f>HYPERLINK("http://www.rosaceae.org/gb/gbrowse/malus_x_domestica/?name=MDP0000695917","MDP0000695917")</f>
        <v>MDP0000695917</v>
      </c>
      <c r="D12704">
        <v>60.75</v>
      </c>
      <c r="E12704">
        <v>79</v>
      </c>
      <c r="F12704">
        <v>31</v>
      </c>
      <c r="G12704">
        <v>0</v>
      </c>
      <c r="H12704">
        <v>1</v>
      </c>
      <c r="I12704">
        <v>79</v>
      </c>
      <c r="J12704">
        <v>1</v>
      </c>
      <c r="K12704">
        <v>1</v>
      </c>
      <c r="L12704">
        <v>79</v>
      </c>
      <c r="M12704">
        <v>1</v>
      </c>
      <c r="N12704">
        <v>2.1978100000000001E-23</v>
      </c>
      <c r="O12704">
        <v>259</v>
      </c>
    </row>
    <row r="12705" spans="1:15" x14ac:dyDescent="0.25">
      <c r="A12705" t="s">
        <v>12718</v>
      </c>
      <c r="B12705">
        <v>468</v>
      </c>
      <c r="C12705" s="1" t="str">
        <f>HYPERLINK("http://www.rosaceae.org/gb/gbrowse/malus_x_domestica/?name=MDP0000519305","MDP0000519305")</f>
        <v>MDP0000519305</v>
      </c>
      <c r="D12705">
        <v>49.89</v>
      </c>
      <c r="E12705">
        <v>481</v>
      </c>
      <c r="F12705">
        <v>241</v>
      </c>
      <c r="G12705">
        <v>22</v>
      </c>
      <c r="H12705">
        <v>1</v>
      </c>
      <c r="I12705">
        <v>467</v>
      </c>
      <c r="J12705">
        <v>1</v>
      </c>
      <c r="K12705">
        <v>1</v>
      </c>
      <c r="L12705">
        <v>473</v>
      </c>
      <c r="M12705">
        <v>1</v>
      </c>
      <c r="N12705">
        <v>2.4136900000000002E-108</v>
      </c>
      <c r="O12705">
        <v>1001</v>
      </c>
    </row>
    <row r="12706" spans="1:15" x14ac:dyDescent="0.25">
      <c r="A12706" t="s">
        <v>12719</v>
      </c>
      <c r="B12706">
        <v>486</v>
      </c>
      <c r="C12706" s="1" t="str">
        <f>HYPERLINK("http://www.rosaceae.org/gb/gbrowse/malus_x_domestica/?name=MDP0000650358","MDP0000650358")</f>
        <v>MDP0000650358</v>
      </c>
      <c r="D12706">
        <v>84.29</v>
      </c>
      <c r="E12706">
        <v>484</v>
      </c>
      <c r="F12706">
        <v>76</v>
      </c>
      <c r="G12706">
        <v>6</v>
      </c>
      <c r="H12706">
        <v>9</v>
      </c>
      <c r="I12706">
        <v>486</v>
      </c>
      <c r="J12706">
        <v>1</v>
      </c>
      <c r="K12706">
        <v>7</v>
      </c>
      <c r="L12706">
        <v>490</v>
      </c>
      <c r="M12706">
        <v>1</v>
      </c>
      <c r="N12706">
        <v>0</v>
      </c>
      <c r="O12706">
        <v>2144</v>
      </c>
    </row>
    <row r="12707" spans="1:15" x14ac:dyDescent="0.25">
      <c r="A12707" t="s">
        <v>12720</v>
      </c>
      <c r="B12707">
        <v>378</v>
      </c>
      <c r="C12707" s="1" t="str">
        <f>HYPERLINK("http://www.rosaceae.org/gb/gbrowse/malus_x_domestica/?name=MDP0000300215","MDP0000300215")</f>
        <v>MDP0000300215</v>
      </c>
      <c r="D12707">
        <v>26.51</v>
      </c>
      <c r="E12707">
        <v>181</v>
      </c>
      <c r="F12707">
        <v>133</v>
      </c>
      <c r="G12707">
        <v>20</v>
      </c>
      <c r="H12707">
        <v>17</v>
      </c>
      <c r="I12707">
        <v>187</v>
      </c>
      <c r="J12707">
        <v>1</v>
      </c>
      <c r="K12707">
        <v>68</v>
      </c>
      <c r="L12707">
        <v>238</v>
      </c>
      <c r="M12707">
        <v>1</v>
      </c>
      <c r="N12707">
        <v>1.0457000000000001E-12</v>
      </c>
      <c r="O12707">
        <v>175</v>
      </c>
    </row>
    <row r="12708" spans="1:15" x14ac:dyDescent="0.25">
      <c r="A12708" t="s">
        <v>12721</v>
      </c>
      <c r="B12708">
        <v>876</v>
      </c>
      <c r="C12708" s="1" t="str">
        <f>HYPERLINK("http://www.rosaceae.org/gb/gbrowse/malus_x_domestica/?name=MDP0000269941","MDP0000269941")</f>
        <v>MDP0000269941</v>
      </c>
      <c r="D12708">
        <v>72.02</v>
      </c>
      <c r="E12708">
        <v>479</v>
      </c>
      <c r="F12708">
        <v>134</v>
      </c>
      <c r="G12708">
        <v>13</v>
      </c>
      <c r="H12708">
        <v>158</v>
      </c>
      <c r="I12708">
        <v>623</v>
      </c>
      <c r="J12708">
        <v>1</v>
      </c>
      <c r="K12708">
        <v>21</v>
      </c>
      <c r="L12708">
        <v>499</v>
      </c>
      <c r="M12708">
        <v>1</v>
      </c>
      <c r="N12708">
        <v>0</v>
      </c>
      <c r="O12708">
        <v>1808</v>
      </c>
    </row>
    <row r="12709" spans="1:15" x14ac:dyDescent="0.25">
      <c r="A12709" t="s">
        <v>12722</v>
      </c>
      <c r="B12709">
        <v>706</v>
      </c>
      <c r="C12709" s="1" t="str">
        <f>HYPERLINK("http://www.rosaceae.org/gb/gbrowse/malus_x_domestica/?name=MDP0000287451","MDP0000287451")</f>
        <v>MDP0000287451</v>
      </c>
      <c r="D12709">
        <v>61.97</v>
      </c>
      <c r="E12709">
        <v>789</v>
      </c>
      <c r="F12709">
        <v>300</v>
      </c>
      <c r="G12709">
        <v>99</v>
      </c>
      <c r="H12709">
        <v>12</v>
      </c>
      <c r="I12709">
        <v>706</v>
      </c>
      <c r="J12709">
        <v>1</v>
      </c>
      <c r="K12709">
        <v>18</v>
      </c>
      <c r="L12709">
        <v>801</v>
      </c>
      <c r="M12709">
        <v>1</v>
      </c>
      <c r="N12709">
        <v>0</v>
      </c>
      <c r="O12709">
        <v>2334</v>
      </c>
    </row>
    <row r="12710" spans="1:15" x14ac:dyDescent="0.25">
      <c r="A12710" t="s">
        <v>12723</v>
      </c>
      <c r="B12710">
        <v>409</v>
      </c>
      <c r="C12710" s="1" t="str">
        <f>HYPERLINK("http://www.rosaceae.org/gb/gbrowse/malus_x_domestica/?name=MDP0000181895","MDP0000181895")</f>
        <v>MDP0000181895</v>
      </c>
      <c r="D12710">
        <v>39.1</v>
      </c>
      <c r="E12710">
        <v>445</v>
      </c>
      <c r="F12710">
        <v>271</v>
      </c>
      <c r="G12710">
        <v>80</v>
      </c>
      <c r="H12710">
        <v>36</v>
      </c>
      <c r="I12710">
        <v>400</v>
      </c>
      <c r="J12710">
        <v>1</v>
      </c>
      <c r="K12710">
        <v>75</v>
      </c>
      <c r="L12710">
        <v>519</v>
      </c>
      <c r="M12710">
        <v>1</v>
      </c>
      <c r="N12710">
        <v>1.9233000000000001E-70</v>
      </c>
      <c r="O12710">
        <v>673</v>
      </c>
    </row>
    <row r="12711" spans="1:15" x14ac:dyDescent="0.25">
      <c r="A12711" t="s">
        <v>12724</v>
      </c>
      <c r="B12711">
        <v>132</v>
      </c>
      <c r="C12711" s="1" t="str">
        <f>HYPERLINK("http://www.rosaceae.org/gb/gbrowse/malus_x_domestica/?name=MDP0000185793","MDP0000185793")</f>
        <v>MDP0000185793</v>
      </c>
      <c r="D12711">
        <v>91.85</v>
      </c>
      <c r="E12711">
        <v>135</v>
      </c>
      <c r="F12711">
        <v>11</v>
      </c>
      <c r="G12711">
        <v>4</v>
      </c>
      <c r="H12711">
        <v>1</v>
      </c>
      <c r="I12711">
        <v>132</v>
      </c>
      <c r="J12711">
        <v>1</v>
      </c>
      <c r="K12711">
        <v>1</v>
      </c>
      <c r="L12711">
        <v>134</v>
      </c>
      <c r="M12711">
        <v>1</v>
      </c>
      <c r="N12711">
        <v>1.4563300000000001E-64</v>
      </c>
      <c r="O12711">
        <v>615</v>
      </c>
    </row>
    <row r="12712" spans="1:15" x14ac:dyDescent="0.25">
      <c r="A12712" t="s">
        <v>12725</v>
      </c>
      <c r="B12712">
        <v>1244</v>
      </c>
      <c r="C12712" s="1" t="str">
        <f>HYPERLINK("http://www.rosaceae.org/gb/gbrowse/malus_x_domestica/?name=MDP0000166916","MDP0000166916")</f>
        <v>MDP0000166916</v>
      </c>
      <c r="D12712">
        <v>67.61</v>
      </c>
      <c r="E12712">
        <v>1294</v>
      </c>
      <c r="F12712">
        <v>419</v>
      </c>
      <c r="G12712">
        <v>59</v>
      </c>
      <c r="H12712">
        <v>1</v>
      </c>
      <c r="I12712">
        <v>1239</v>
      </c>
      <c r="J12712">
        <v>1</v>
      </c>
      <c r="K12712">
        <v>1</v>
      </c>
      <c r="L12712">
        <v>1290</v>
      </c>
      <c r="M12712">
        <v>1</v>
      </c>
      <c r="N12712">
        <v>0</v>
      </c>
      <c r="O12712">
        <v>4573</v>
      </c>
    </row>
    <row r="12713" spans="1:15" x14ac:dyDescent="0.25">
      <c r="A12713" t="s">
        <v>12726</v>
      </c>
      <c r="B12713">
        <v>215</v>
      </c>
      <c r="C12713" s="1" t="str">
        <f>HYPERLINK("http://www.rosaceae.org/gb/gbrowse/malus_x_domestica/?name=MDP0000306704","MDP0000306704")</f>
        <v>MDP0000306704</v>
      </c>
      <c r="D12713">
        <v>45.18</v>
      </c>
      <c r="E12713">
        <v>135</v>
      </c>
      <c r="F12713">
        <v>74</v>
      </c>
      <c r="G12713">
        <v>7</v>
      </c>
      <c r="H12713">
        <v>65</v>
      </c>
      <c r="I12713">
        <v>198</v>
      </c>
      <c r="J12713">
        <v>1</v>
      </c>
      <c r="K12713">
        <v>241</v>
      </c>
      <c r="L12713">
        <v>369</v>
      </c>
      <c r="M12713">
        <v>1</v>
      </c>
      <c r="N12713">
        <v>1.1170199999999999E-17</v>
      </c>
      <c r="O12713">
        <v>214</v>
      </c>
    </row>
    <row r="12714" spans="1:15" x14ac:dyDescent="0.25">
      <c r="A12714" t="s">
        <v>12727</v>
      </c>
      <c r="B12714">
        <v>259</v>
      </c>
      <c r="C12714" s="1" t="str">
        <f>HYPERLINK("http://www.rosaceae.org/gb/gbrowse/malus_x_domestica/?name=MDP0000198112","MDP0000198112")</f>
        <v>MDP0000198112</v>
      </c>
      <c r="D12714">
        <v>56.14</v>
      </c>
      <c r="E12714">
        <v>57</v>
      </c>
      <c r="F12714">
        <v>25</v>
      </c>
      <c r="G12714">
        <v>0</v>
      </c>
      <c r="H12714">
        <v>60</v>
      </c>
      <c r="I12714">
        <v>116</v>
      </c>
      <c r="J12714">
        <v>1</v>
      </c>
      <c r="K12714">
        <v>437</v>
      </c>
      <c r="L12714">
        <v>493</v>
      </c>
      <c r="M12714">
        <v>1</v>
      </c>
      <c r="N12714">
        <v>4.94606E-12</v>
      </c>
      <c r="O12714">
        <v>167</v>
      </c>
    </row>
    <row r="12715" spans="1:15" x14ac:dyDescent="0.25">
      <c r="A12715" t="s">
        <v>12728</v>
      </c>
      <c r="B12715">
        <v>347</v>
      </c>
      <c r="C12715" s="1" t="str">
        <f>HYPERLINK("http://www.rosaceae.org/gb/gbrowse/malus_x_domestica/?name=MDP0000215062","MDP0000215062")</f>
        <v>MDP0000215062</v>
      </c>
      <c r="D12715">
        <v>77.069999999999993</v>
      </c>
      <c r="E12715">
        <v>349</v>
      </c>
      <c r="F12715">
        <v>80</v>
      </c>
      <c r="G12715">
        <v>2</v>
      </c>
      <c r="H12715">
        <v>1</v>
      </c>
      <c r="I12715">
        <v>347</v>
      </c>
      <c r="J12715">
        <v>1</v>
      </c>
      <c r="K12715">
        <v>1</v>
      </c>
      <c r="L12715">
        <v>349</v>
      </c>
      <c r="M12715">
        <v>1</v>
      </c>
      <c r="N12715">
        <v>5.8601899999999998E-154</v>
      </c>
      <c r="O12715">
        <v>1392</v>
      </c>
    </row>
    <row r="12716" spans="1:15" x14ac:dyDescent="0.25">
      <c r="A12716" t="s">
        <v>12729</v>
      </c>
      <c r="B12716">
        <v>344</v>
      </c>
      <c r="C12716" s="1" t="str">
        <f>HYPERLINK("http://www.rosaceae.org/gb/gbrowse/malus_x_domestica/?name=MDP0000375005","MDP0000375005")</f>
        <v>MDP0000375005</v>
      </c>
      <c r="D12716">
        <v>56.42</v>
      </c>
      <c r="E12716">
        <v>319</v>
      </c>
      <c r="F12716">
        <v>139</v>
      </c>
      <c r="G12716">
        <v>47</v>
      </c>
      <c r="H12716">
        <v>1</v>
      </c>
      <c r="I12716">
        <v>311</v>
      </c>
      <c r="J12716">
        <v>1</v>
      </c>
      <c r="K12716">
        <v>1</v>
      </c>
      <c r="L12716">
        <v>280</v>
      </c>
      <c r="M12716">
        <v>1</v>
      </c>
      <c r="N12716">
        <v>2.4195000000000001E-83</v>
      </c>
      <c r="O12716">
        <v>783</v>
      </c>
    </row>
    <row r="12717" spans="1:15" x14ac:dyDescent="0.25">
      <c r="A12717" t="s">
        <v>12730</v>
      </c>
      <c r="B12717">
        <v>281</v>
      </c>
      <c r="C12717" s="1" t="str">
        <f>HYPERLINK("http://www.rosaceae.org/gb/gbrowse/malus_x_domestica/?name=MDP0000172289","MDP0000172289")</f>
        <v>MDP0000172289</v>
      </c>
      <c r="D12717">
        <v>79.91</v>
      </c>
      <c r="E12717">
        <v>234</v>
      </c>
      <c r="F12717">
        <v>47</v>
      </c>
      <c r="G12717">
        <v>4</v>
      </c>
      <c r="H12717">
        <v>26</v>
      </c>
      <c r="I12717">
        <v>255</v>
      </c>
      <c r="J12717">
        <v>1</v>
      </c>
      <c r="K12717">
        <v>19</v>
      </c>
      <c r="L12717">
        <v>252</v>
      </c>
      <c r="M12717">
        <v>1</v>
      </c>
      <c r="N12717">
        <v>5.34126E-107</v>
      </c>
      <c r="O12717">
        <v>986</v>
      </c>
    </row>
    <row r="12718" spans="1:15" x14ac:dyDescent="0.25">
      <c r="A12718" t="s">
        <v>12731</v>
      </c>
      <c r="B12718">
        <v>318</v>
      </c>
      <c r="C12718" s="1" t="str">
        <f>HYPERLINK("http://www.rosaceae.org/gb/gbrowse/malus_x_domestica/?name=MDP0000864347","MDP0000864347")</f>
        <v>MDP0000864347</v>
      </c>
      <c r="D12718">
        <v>91.59</v>
      </c>
      <c r="E12718">
        <v>226</v>
      </c>
      <c r="F12718">
        <v>19</v>
      </c>
      <c r="G12718">
        <v>1</v>
      </c>
      <c r="H12718">
        <v>93</v>
      </c>
      <c r="I12718">
        <v>318</v>
      </c>
      <c r="J12718">
        <v>1</v>
      </c>
      <c r="K12718">
        <v>1</v>
      </c>
      <c r="L12718">
        <v>225</v>
      </c>
      <c r="M12718">
        <v>1</v>
      </c>
      <c r="N12718">
        <v>2.4197299999999999E-119</v>
      </c>
      <c r="O12718">
        <v>1093</v>
      </c>
    </row>
    <row r="12719" spans="1:15" x14ac:dyDescent="0.25">
      <c r="A12719" t="s">
        <v>12732</v>
      </c>
      <c r="B12719">
        <v>1399</v>
      </c>
      <c r="C12719" s="1" t="str">
        <f>HYPERLINK("http://www.rosaceae.org/gb/gbrowse/malus_x_domestica/?name=MDP0000467552","MDP0000467552")</f>
        <v>MDP0000467552</v>
      </c>
      <c r="D12719">
        <v>51.63</v>
      </c>
      <c r="E12719">
        <v>337</v>
      </c>
      <c r="F12719">
        <v>163</v>
      </c>
      <c r="G12719">
        <v>53</v>
      </c>
      <c r="H12719">
        <v>1008</v>
      </c>
      <c r="I12719">
        <v>1334</v>
      </c>
      <c r="J12719">
        <v>1</v>
      </c>
      <c r="K12719">
        <v>80</v>
      </c>
      <c r="L12719">
        <v>373</v>
      </c>
      <c r="M12719">
        <v>1</v>
      </c>
      <c r="N12719">
        <v>3.7796100000000001E-82</v>
      </c>
      <c r="O12719">
        <v>779</v>
      </c>
    </row>
    <row r="12720" spans="1:15" x14ac:dyDescent="0.25">
      <c r="A12720" t="s">
        <v>12733</v>
      </c>
      <c r="B12720">
        <v>323</v>
      </c>
      <c r="C12720" s="1" t="str">
        <f>HYPERLINK("http://www.rosaceae.org/gb/gbrowse/malus_x_domestica/?name=MDP0000317700","MDP0000317700")</f>
        <v>MDP0000317700</v>
      </c>
      <c r="D12720">
        <v>30.51</v>
      </c>
      <c r="E12720">
        <v>213</v>
      </c>
      <c r="F12720">
        <v>148</v>
      </c>
      <c r="G12720">
        <v>18</v>
      </c>
      <c r="H12720">
        <v>61</v>
      </c>
      <c r="I12720">
        <v>260</v>
      </c>
      <c r="J12720">
        <v>1</v>
      </c>
      <c r="K12720">
        <v>515</v>
      </c>
      <c r="L12720">
        <v>722</v>
      </c>
      <c r="M12720">
        <v>1</v>
      </c>
      <c r="N12720">
        <v>9.8606599999999996E-15</v>
      </c>
      <c r="O12720">
        <v>191</v>
      </c>
    </row>
    <row r="12721" spans="1:15" x14ac:dyDescent="0.25">
      <c r="A12721" t="s">
        <v>12734</v>
      </c>
      <c r="B12721">
        <v>442</v>
      </c>
      <c r="C12721" s="1" t="str">
        <f>HYPERLINK("http://www.rosaceae.org/gb/gbrowse/malus_x_domestica/?name=MDP0000274423","MDP0000274423")</f>
        <v>MDP0000274423</v>
      </c>
      <c r="D12721">
        <v>79.83</v>
      </c>
      <c r="E12721">
        <v>357</v>
      </c>
      <c r="F12721">
        <v>72</v>
      </c>
      <c r="G12721">
        <v>0</v>
      </c>
      <c r="H12721">
        <v>82</v>
      </c>
      <c r="I12721">
        <v>438</v>
      </c>
      <c r="J12721">
        <v>1</v>
      </c>
      <c r="K12721">
        <v>1</v>
      </c>
      <c r="L12721">
        <v>357</v>
      </c>
      <c r="M12721">
        <v>1</v>
      </c>
      <c r="N12721">
        <v>7.6905999999999997E-170</v>
      </c>
      <c r="O12721">
        <v>1531</v>
      </c>
    </row>
    <row r="12722" spans="1:15" x14ac:dyDescent="0.25">
      <c r="A12722" t="s">
        <v>12735</v>
      </c>
      <c r="B12722">
        <v>417</v>
      </c>
      <c r="C12722" s="1" t="str">
        <f>HYPERLINK("http://www.rosaceae.org/gb/gbrowse/malus_x_domestica/?name=MDP0000128950","MDP0000128950")</f>
        <v>MDP0000128950</v>
      </c>
      <c r="D12722">
        <v>37.11</v>
      </c>
      <c r="E12722">
        <v>353</v>
      </c>
      <c r="F12722">
        <v>222</v>
      </c>
      <c r="G12722">
        <v>37</v>
      </c>
      <c r="H12722">
        <v>4</v>
      </c>
      <c r="I12722">
        <v>339</v>
      </c>
      <c r="J12722">
        <v>1</v>
      </c>
      <c r="K12722">
        <v>6</v>
      </c>
      <c r="L12722">
        <v>338</v>
      </c>
      <c r="M12722">
        <v>1</v>
      </c>
      <c r="N12722">
        <v>2.57614E-44</v>
      </c>
      <c r="O12722">
        <v>448</v>
      </c>
    </row>
    <row r="12723" spans="1:15" x14ac:dyDescent="0.25">
      <c r="A12723" t="s">
        <v>12736</v>
      </c>
      <c r="B12723">
        <v>297</v>
      </c>
      <c r="C12723" s="1" t="str">
        <f>HYPERLINK("http://www.rosaceae.org/gb/gbrowse/malus_x_domestica/?name=MDP0000151008","MDP0000151008")</f>
        <v>MDP0000151008</v>
      </c>
      <c r="D12723">
        <v>83.8</v>
      </c>
      <c r="E12723">
        <v>247</v>
      </c>
      <c r="F12723">
        <v>40</v>
      </c>
      <c r="G12723">
        <v>2</v>
      </c>
      <c r="H12723">
        <v>25</v>
      </c>
      <c r="I12723">
        <v>271</v>
      </c>
      <c r="J12723">
        <v>1</v>
      </c>
      <c r="K12723">
        <v>19</v>
      </c>
      <c r="L12723">
        <v>263</v>
      </c>
      <c r="M12723">
        <v>1</v>
      </c>
      <c r="N12723">
        <v>4.0089100000000001E-124</v>
      </c>
      <c r="O12723">
        <v>1134</v>
      </c>
    </row>
    <row r="12724" spans="1:15" x14ac:dyDescent="0.25">
      <c r="A12724" t="s">
        <v>12737</v>
      </c>
      <c r="B12724">
        <v>799</v>
      </c>
      <c r="C12724" s="1" t="str">
        <f>HYPERLINK("http://www.rosaceae.org/gb/gbrowse/malus_x_domestica/?name=MDP0000312639","MDP0000312639")</f>
        <v>MDP0000312639</v>
      </c>
      <c r="D12724">
        <v>78.760000000000005</v>
      </c>
      <c r="E12724">
        <v>796</v>
      </c>
      <c r="F12724">
        <v>169</v>
      </c>
      <c r="G12724">
        <v>26</v>
      </c>
      <c r="H12724">
        <v>16</v>
      </c>
      <c r="I12724">
        <v>795</v>
      </c>
      <c r="J12724">
        <v>1</v>
      </c>
      <c r="K12724">
        <v>39</v>
      </c>
      <c r="L12724">
        <v>824</v>
      </c>
      <c r="M12724">
        <v>1</v>
      </c>
      <c r="N12724">
        <v>0</v>
      </c>
      <c r="O12724">
        <v>3225</v>
      </c>
    </row>
    <row r="12725" spans="1:15" x14ac:dyDescent="0.25">
      <c r="A12725" t="s">
        <v>12738</v>
      </c>
      <c r="B12725">
        <v>275</v>
      </c>
      <c r="C12725" s="1" t="str">
        <f>HYPERLINK("http://www.rosaceae.org/gb/gbrowse/malus_x_domestica/?name=MDP0000343228","MDP0000343228")</f>
        <v>MDP0000343228</v>
      </c>
      <c r="D12725">
        <v>87.63</v>
      </c>
      <c r="E12725">
        <v>275</v>
      </c>
      <c r="F12725">
        <v>34</v>
      </c>
      <c r="G12725">
        <v>0</v>
      </c>
      <c r="H12725">
        <v>1</v>
      </c>
      <c r="I12725">
        <v>275</v>
      </c>
      <c r="J12725">
        <v>1</v>
      </c>
      <c r="K12725">
        <v>1</v>
      </c>
      <c r="L12725">
        <v>275</v>
      </c>
      <c r="M12725">
        <v>1</v>
      </c>
      <c r="N12725">
        <v>2.0094899999999999E-138</v>
      </c>
      <c r="O12725">
        <v>1257</v>
      </c>
    </row>
    <row r="12726" spans="1:15" x14ac:dyDescent="0.25">
      <c r="A12726" t="s">
        <v>12739</v>
      </c>
      <c r="B12726">
        <v>144</v>
      </c>
      <c r="C12726" s="1" t="str">
        <f>HYPERLINK("http://www.rosaceae.org/gb/gbrowse/malus_x_domestica/?name=MDP0000231035","MDP0000231035")</f>
        <v>MDP0000231035</v>
      </c>
      <c r="D12726">
        <v>41.78</v>
      </c>
      <c r="E12726">
        <v>146</v>
      </c>
      <c r="F12726">
        <v>85</v>
      </c>
      <c r="G12726">
        <v>51</v>
      </c>
      <c r="H12726">
        <v>1</v>
      </c>
      <c r="I12726">
        <v>144</v>
      </c>
      <c r="J12726">
        <v>1</v>
      </c>
      <c r="K12726">
        <v>1</v>
      </c>
      <c r="L12726">
        <v>97</v>
      </c>
      <c r="M12726">
        <v>1</v>
      </c>
      <c r="N12726">
        <v>1.3349E-10</v>
      </c>
      <c r="O12726">
        <v>150</v>
      </c>
    </row>
    <row r="12727" spans="1:15" x14ac:dyDescent="0.25">
      <c r="A12727" t="s">
        <v>12740</v>
      </c>
      <c r="B12727">
        <v>1115</v>
      </c>
      <c r="C12727" s="1" t="str">
        <f>HYPERLINK("http://www.rosaceae.org/gb/gbrowse/malus_x_domestica/?name=MDP0000257503","MDP0000257503")</f>
        <v>MDP0000257503</v>
      </c>
      <c r="D12727">
        <v>51.33</v>
      </c>
      <c r="E12727">
        <v>1200</v>
      </c>
      <c r="F12727">
        <v>584</v>
      </c>
      <c r="G12727">
        <v>212</v>
      </c>
      <c r="H12727">
        <v>32</v>
      </c>
      <c r="I12727">
        <v>1103</v>
      </c>
      <c r="J12727">
        <v>1</v>
      </c>
      <c r="K12727">
        <v>17</v>
      </c>
      <c r="L12727">
        <v>1132</v>
      </c>
      <c r="M12727">
        <v>1</v>
      </c>
      <c r="N12727">
        <v>0</v>
      </c>
      <c r="O12727">
        <v>2982</v>
      </c>
    </row>
    <row r="12728" spans="1:15" x14ac:dyDescent="0.25">
      <c r="A12728" t="s">
        <v>12741</v>
      </c>
      <c r="B12728">
        <v>361</v>
      </c>
      <c r="C12728" s="1" t="str">
        <f>HYPERLINK("http://www.rosaceae.org/gb/gbrowse/malus_x_domestica/?name=MDP0000176447","MDP0000176447")</f>
        <v>MDP0000176447</v>
      </c>
      <c r="D12728">
        <v>43.96</v>
      </c>
      <c r="E12728">
        <v>116</v>
      </c>
      <c r="F12728">
        <v>65</v>
      </c>
      <c r="G12728">
        <v>7</v>
      </c>
      <c r="H12728">
        <v>22</v>
      </c>
      <c r="I12728">
        <v>133</v>
      </c>
      <c r="J12728">
        <v>1</v>
      </c>
      <c r="K12728">
        <v>8</v>
      </c>
      <c r="L12728">
        <v>120</v>
      </c>
      <c r="M12728">
        <v>1</v>
      </c>
      <c r="N12728">
        <v>3.8470799999999997E-17</v>
      </c>
      <c r="O12728">
        <v>213</v>
      </c>
    </row>
    <row r="12729" spans="1:15" x14ac:dyDescent="0.25">
      <c r="A12729" t="s">
        <v>12742</v>
      </c>
      <c r="B12729">
        <v>577</v>
      </c>
      <c r="C12729" s="1" t="str">
        <f>HYPERLINK("http://www.rosaceae.org/gb/gbrowse/malus_x_domestica/?name=MDP0000136181","MDP0000136181")</f>
        <v>MDP0000136181</v>
      </c>
      <c r="D12729">
        <v>70.12</v>
      </c>
      <c r="E12729">
        <v>231</v>
      </c>
      <c r="F12729">
        <v>69</v>
      </c>
      <c r="G12729">
        <v>6</v>
      </c>
      <c r="H12729">
        <v>63</v>
      </c>
      <c r="I12729">
        <v>291</v>
      </c>
      <c r="J12729">
        <v>1</v>
      </c>
      <c r="K12729">
        <v>128</v>
      </c>
      <c r="L12729">
        <v>354</v>
      </c>
      <c r="M12729">
        <v>1</v>
      </c>
      <c r="N12729">
        <v>1.21599E-90</v>
      </c>
      <c r="O12729">
        <v>849</v>
      </c>
    </row>
    <row r="12730" spans="1:15" x14ac:dyDescent="0.25">
      <c r="A12730" t="s">
        <v>12743</v>
      </c>
      <c r="B12730">
        <v>203</v>
      </c>
      <c r="C12730" s="1" t="str">
        <f>HYPERLINK("http://www.rosaceae.org/gb/gbrowse/malus_x_domestica/?name=MDP0000170244","MDP0000170244")</f>
        <v>MDP0000170244</v>
      </c>
      <c r="D12730">
        <v>74.12</v>
      </c>
      <c r="E12730">
        <v>201</v>
      </c>
      <c r="F12730">
        <v>52</v>
      </c>
      <c r="G12730">
        <v>0</v>
      </c>
      <c r="H12730">
        <v>1</v>
      </c>
      <c r="I12730">
        <v>201</v>
      </c>
      <c r="J12730">
        <v>1</v>
      </c>
      <c r="K12730">
        <v>234</v>
      </c>
      <c r="L12730">
        <v>434</v>
      </c>
      <c r="M12730">
        <v>1</v>
      </c>
      <c r="N12730">
        <v>5.5915700000000001E-88</v>
      </c>
      <c r="O12730">
        <v>820</v>
      </c>
    </row>
    <row r="12731" spans="1:15" x14ac:dyDescent="0.25">
      <c r="A12731" t="s">
        <v>12744</v>
      </c>
      <c r="B12731">
        <v>574</v>
      </c>
      <c r="C12731" s="1" t="str">
        <f>HYPERLINK("http://www.rosaceae.org/gb/gbrowse/malus_x_domestica/?name=MDP0000221361","MDP0000221361")</f>
        <v>MDP0000221361</v>
      </c>
      <c r="D12731">
        <v>64.989999999999995</v>
      </c>
      <c r="E12731">
        <v>577</v>
      </c>
      <c r="F12731">
        <v>202</v>
      </c>
      <c r="G12731">
        <v>13</v>
      </c>
      <c r="H12731">
        <v>1</v>
      </c>
      <c r="I12731">
        <v>574</v>
      </c>
      <c r="J12731">
        <v>1</v>
      </c>
      <c r="K12731">
        <v>1</v>
      </c>
      <c r="L12731">
        <v>567</v>
      </c>
      <c r="M12731">
        <v>1</v>
      </c>
      <c r="N12731">
        <v>0</v>
      </c>
      <c r="O12731">
        <v>1837</v>
      </c>
    </row>
    <row r="12732" spans="1:15" x14ac:dyDescent="0.25">
      <c r="A12732" t="s">
        <v>12745</v>
      </c>
      <c r="B12732">
        <v>280</v>
      </c>
      <c r="C12732" s="1" t="str">
        <f>HYPERLINK("http://www.rosaceae.org/gb/gbrowse/malus_x_domestica/?name=MDP0000242977","MDP0000242977")</f>
        <v>MDP0000242977</v>
      </c>
      <c r="D12732">
        <v>70.83</v>
      </c>
      <c r="E12732">
        <v>240</v>
      </c>
      <c r="F12732">
        <v>70</v>
      </c>
      <c r="G12732">
        <v>7</v>
      </c>
      <c r="H12732">
        <v>39</v>
      </c>
      <c r="I12732">
        <v>278</v>
      </c>
      <c r="J12732">
        <v>1</v>
      </c>
      <c r="K12732">
        <v>88</v>
      </c>
      <c r="L12732">
        <v>320</v>
      </c>
      <c r="M12732">
        <v>1</v>
      </c>
      <c r="N12732">
        <v>2.4153500000000001E-91</v>
      </c>
      <c r="O12732">
        <v>851</v>
      </c>
    </row>
    <row r="12733" spans="1:15" x14ac:dyDescent="0.25">
      <c r="A12733" t="s">
        <v>12746</v>
      </c>
      <c r="B12733">
        <v>488</v>
      </c>
      <c r="C12733" s="1" t="str">
        <f>HYPERLINK("http://www.rosaceae.org/gb/gbrowse/malus_x_domestica/?name=MDP0000822540","MDP0000822540")</f>
        <v>MDP0000822540</v>
      </c>
      <c r="D12733">
        <v>66.87</v>
      </c>
      <c r="E12733">
        <v>489</v>
      </c>
      <c r="F12733">
        <v>162</v>
      </c>
      <c r="G12733">
        <v>30</v>
      </c>
      <c r="H12733">
        <v>1</v>
      </c>
      <c r="I12733">
        <v>483</v>
      </c>
      <c r="J12733">
        <v>1</v>
      </c>
      <c r="K12733">
        <v>1</v>
      </c>
      <c r="L12733">
        <v>465</v>
      </c>
      <c r="M12733">
        <v>1</v>
      </c>
      <c r="N12733">
        <v>0</v>
      </c>
      <c r="O12733">
        <v>1657</v>
      </c>
    </row>
    <row r="12734" spans="1:15" x14ac:dyDescent="0.25">
      <c r="A12734" t="s">
        <v>12747</v>
      </c>
      <c r="B12734">
        <v>656</v>
      </c>
      <c r="C12734" s="1" t="str">
        <f>HYPERLINK("http://www.rosaceae.org/gb/gbrowse/malus_x_domestica/?name=MDP0000240651","MDP0000240651")</f>
        <v>MDP0000240651</v>
      </c>
      <c r="D12734">
        <v>73.790000000000006</v>
      </c>
      <c r="E12734">
        <v>580</v>
      </c>
      <c r="F12734">
        <v>152</v>
      </c>
      <c r="G12734">
        <v>9</v>
      </c>
      <c r="H12734">
        <v>77</v>
      </c>
      <c r="I12734">
        <v>656</v>
      </c>
      <c r="J12734">
        <v>1</v>
      </c>
      <c r="K12734">
        <v>124</v>
      </c>
      <c r="L12734">
        <v>694</v>
      </c>
      <c r="M12734">
        <v>1</v>
      </c>
      <c r="N12734">
        <v>0</v>
      </c>
      <c r="O12734">
        <v>2168</v>
      </c>
    </row>
    <row r="12735" spans="1:15" x14ac:dyDescent="0.25">
      <c r="A12735" t="s">
        <v>12748</v>
      </c>
      <c r="B12735">
        <v>335</v>
      </c>
      <c r="C12735" s="1" t="str">
        <f>HYPERLINK("http://www.rosaceae.org/gb/gbrowse/malus_x_domestica/?name=MDP0000925311","MDP0000925311")</f>
        <v>MDP0000925311</v>
      </c>
      <c r="D12735">
        <v>47.51</v>
      </c>
      <c r="E12735">
        <v>362</v>
      </c>
      <c r="F12735">
        <v>190</v>
      </c>
      <c r="G12735">
        <v>41</v>
      </c>
      <c r="H12735">
        <v>1</v>
      </c>
      <c r="I12735">
        <v>321</v>
      </c>
      <c r="J12735">
        <v>1</v>
      </c>
      <c r="K12735">
        <v>94</v>
      </c>
      <c r="L12735">
        <v>455</v>
      </c>
      <c r="M12735">
        <v>1</v>
      </c>
      <c r="N12735">
        <v>5.0729299999999998E-74</v>
      </c>
      <c r="O12735">
        <v>703</v>
      </c>
    </row>
    <row r="12736" spans="1:15" x14ac:dyDescent="0.25">
      <c r="A12736" t="s">
        <v>12749</v>
      </c>
      <c r="B12736">
        <v>161</v>
      </c>
      <c r="C12736" s="1" t="str">
        <f>HYPERLINK("http://www.rosaceae.org/gb/gbrowse/malus_x_domestica/?name=MDP0000121646","MDP0000121646")</f>
        <v>MDP0000121646</v>
      </c>
      <c r="D12736">
        <v>48.67</v>
      </c>
      <c r="E12736">
        <v>226</v>
      </c>
      <c r="F12736">
        <v>116</v>
      </c>
      <c r="G12736">
        <v>68</v>
      </c>
      <c r="H12736">
        <v>1</v>
      </c>
      <c r="I12736">
        <v>158</v>
      </c>
      <c r="J12736">
        <v>1</v>
      </c>
      <c r="K12736">
        <v>150</v>
      </c>
      <c r="L12736">
        <v>375</v>
      </c>
      <c r="M12736">
        <v>1</v>
      </c>
      <c r="N12736">
        <v>1.9741200000000001E-43</v>
      </c>
      <c r="O12736">
        <v>435</v>
      </c>
    </row>
    <row r="12737" spans="1:15" x14ac:dyDescent="0.25">
      <c r="A12737" t="s">
        <v>12750</v>
      </c>
      <c r="B12737">
        <v>397</v>
      </c>
      <c r="C12737" s="1" t="str">
        <f>HYPERLINK("http://www.rosaceae.org/gb/gbrowse/malus_x_domestica/?name=MDP0000248331","MDP0000248331")</f>
        <v>MDP0000248331</v>
      </c>
      <c r="D12737">
        <v>61.94</v>
      </c>
      <c r="E12737">
        <v>402</v>
      </c>
      <c r="F12737">
        <v>153</v>
      </c>
      <c r="G12737">
        <v>48</v>
      </c>
      <c r="H12737">
        <v>1</v>
      </c>
      <c r="I12737">
        <v>355</v>
      </c>
      <c r="J12737">
        <v>1</v>
      </c>
      <c r="K12737">
        <v>1</v>
      </c>
      <c r="L12737">
        <v>401</v>
      </c>
      <c r="M12737">
        <v>1</v>
      </c>
      <c r="N12737">
        <v>1.22675E-129</v>
      </c>
      <c r="O12737">
        <v>1183</v>
      </c>
    </row>
    <row r="12738" spans="1:15" x14ac:dyDescent="0.25">
      <c r="A12738" t="s">
        <v>12751</v>
      </c>
      <c r="B12738">
        <v>697</v>
      </c>
      <c r="C12738" s="1" t="str">
        <f>HYPERLINK("http://www.rosaceae.org/gb/gbrowse/malus_x_domestica/?name=MDP0000673185","MDP0000673185")</f>
        <v>MDP0000673185</v>
      </c>
      <c r="D12738">
        <v>61.45</v>
      </c>
      <c r="E12738">
        <v>703</v>
      </c>
      <c r="F12738">
        <v>271</v>
      </c>
      <c r="G12738">
        <v>18</v>
      </c>
      <c r="H12738">
        <v>1</v>
      </c>
      <c r="I12738">
        <v>693</v>
      </c>
      <c r="J12738">
        <v>1</v>
      </c>
      <c r="K12738">
        <v>31</v>
      </c>
      <c r="L12738">
        <v>725</v>
      </c>
      <c r="M12738">
        <v>1</v>
      </c>
      <c r="N12738">
        <v>0</v>
      </c>
      <c r="O12738">
        <v>2097</v>
      </c>
    </row>
    <row r="12739" spans="1:15" x14ac:dyDescent="0.25">
      <c r="A12739" t="s">
        <v>12752</v>
      </c>
      <c r="B12739">
        <v>459</v>
      </c>
      <c r="C12739" s="1" t="str">
        <f>HYPERLINK("http://www.rosaceae.org/gb/gbrowse/malus_x_domestica/?name=MDP0000897836","MDP0000897836")</f>
        <v>MDP0000897836</v>
      </c>
      <c r="D12739">
        <v>73.28</v>
      </c>
      <c r="E12739">
        <v>378</v>
      </c>
      <c r="F12739">
        <v>101</v>
      </c>
      <c r="G12739">
        <v>30</v>
      </c>
      <c r="H12739">
        <v>1</v>
      </c>
      <c r="I12739">
        <v>349</v>
      </c>
      <c r="J12739">
        <v>1</v>
      </c>
      <c r="K12739">
        <v>2</v>
      </c>
      <c r="L12739">
        <v>378</v>
      </c>
      <c r="M12739">
        <v>1</v>
      </c>
      <c r="N12739">
        <v>7.7287399999999994E-151</v>
      </c>
      <c r="O12739">
        <v>1367</v>
      </c>
    </row>
    <row r="12740" spans="1:15" x14ac:dyDescent="0.25">
      <c r="A12740" t="s">
        <v>12753</v>
      </c>
      <c r="B12740">
        <v>494</v>
      </c>
      <c r="C12740" s="1" t="str">
        <f>HYPERLINK("http://www.rosaceae.org/gb/gbrowse/malus_x_domestica/?name=MDP0000314543","MDP0000314543")</f>
        <v>MDP0000314543</v>
      </c>
      <c r="D12740">
        <v>90.14</v>
      </c>
      <c r="E12740">
        <v>487</v>
      </c>
      <c r="F12740">
        <v>48</v>
      </c>
      <c r="G12740">
        <v>0</v>
      </c>
      <c r="H12740">
        <v>1</v>
      </c>
      <c r="I12740">
        <v>487</v>
      </c>
      <c r="J12740">
        <v>1</v>
      </c>
      <c r="K12740">
        <v>367</v>
      </c>
      <c r="L12740">
        <v>853</v>
      </c>
      <c r="M12740">
        <v>1</v>
      </c>
      <c r="N12740">
        <v>0</v>
      </c>
      <c r="O12740">
        <v>2368</v>
      </c>
    </row>
    <row r="12741" spans="1:15" x14ac:dyDescent="0.25">
      <c r="A12741" t="s">
        <v>12754</v>
      </c>
      <c r="B12741">
        <v>315</v>
      </c>
      <c r="C12741" s="1" t="str">
        <f>HYPERLINK("http://www.rosaceae.org/gb/gbrowse/malus_x_domestica/?name=MDP0000148249","MDP0000148249")</f>
        <v>MDP0000148249</v>
      </c>
      <c r="D12741">
        <v>85.6</v>
      </c>
      <c r="E12741">
        <v>264</v>
      </c>
      <c r="F12741">
        <v>38</v>
      </c>
      <c r="G12741">
        <v>0</v>
      </c>
      <c r="H12741">
        <v>52</v>
      </c>
      <c r="I12741">
        <v>315</v>
      </c>
      <c r="J12741">
        <v>1</v>
      </c>
      <c r="K12741">
        <v>1</v>
      </c>
      <c r="L12741">
        <v>264</v>
      </c>
      <c r="M12741">
        <v>1</v>
      </c>
      <c r="N12741">
        <v>1.1028799999999999E-133</v>
      </c>
      <c r="O12741">
        <v>1217</v>
      </c>
    </row>
    <row r="12742" spans="1:15" x14ac:dyDescent="0.25">
      <c r="A12742" t="s">
        <v>12755</v>
      </c>
      <c r="B12742">
        <v>791</v>
      </c>
      <c r="C12742" s="1" t="str">
        <f>HYPERLINK("http://www.rosaceae.org/gb/gbrowse/malus_x_domestica/?name=MDP0000270443","MDP0000270443")</f>
        <v>MDP0000270443</v>
      </c>
      <c r="D12742">
        <v>60.91</v>
      </c>
      <c r="E12742">
        <v>852</v>
      </c>
      <c r="F12742">
        <v>333</v>
      </c>
      <c r="G12742">
        <v>89</v>
      </c>
      <c r="H12742">
        <v>1</v>
      </c>
      <c r="I12742">
        <v>791</v>
      </c>
      <c r="J12742">
        <v>1</v>
      </c>
      <c r="K12742">
        <v>1</v>
      </c>
      <c r="L12742">
        <v>824</v>
      </c>
      <c r="M12742">
        <v>1</v>
      </c>
      <c r="N12742">
        <v>0</v>
      </c>
      <c r="O12742">
        <v>2585</v>
      </c>
    </row>
    <row r="12743" spans="1:15" x14ac:dyDescent="0.25">
      <c r="A12743" t="s">
        <v>12756</v>
      </c>
      <c r="B12743">
        <v>126</v>
      </c>
      <c r="C12743" s="1" t="str">
        <f>HYPERLINK("http://www.rosaceae.org/gb/gbrowse/malus_x_domestica/?name=MDP0000794545","MDP0000794545")</f>
        <v>MDP0000794545</v>
      </c>
      <c r="D12743">
        <v>54.47</v>
      </c>
      <c r="E12743">
        <v>123</v>
      </c>
      <c r="F12743">
        <v>56</v>
      </c>
      <c r="G12743">
        <v>8</v>
      </c>
      <c r="H12743">
        <v>1</v>
      </c>
      <c r="I12743">
        <v>123</v>
      </c>
      <c r="J12743">
        <v>1</v>
      </c>
      <c r="K12743">
        <v>1</v>
      </c>
      <c r="L12743">
        <v>115</v>
      </c>
      <c r="M12743">
        <v>1</v>
      </c>
      <c r="N12743">
        <v>2.97395E-31</v>
      </c>
      <c r="O12743">
        <v>327</v>
      </c>
    </row>
    <row r="12744" spans="1:15" x14ac:dyDescent="0.25">
      <c r="A12744" t="s">
        <v>12757</v>
      </c>
      <c r="B12744">
        <v>262</v>
      </c>
      <c r="C12744" s="1" t="str">
        <f>HYPERLINK("http://www.rosaceae.org/gb/gbrowse/malus_x_domestica/?name=MDP0000156439","MDP0000156439")</f>
        <v>MDP0000156439</v>
      </c>
      <c r="D12744">
        <v>58.67</v>
      </c>
      <c r="E12744">
        <v>242</v>
      </c>
      <c r="F12744">
        <v>100</v>
      </c>
      <c r="G12744">
        <v>2</v>
      </c>
      <c r="H12744">
        <v>21</v>
      </c>
      <c r="I12744">
        <v>261</v>
      </c>
      <c r="J12744">
        <v>1</v>
      </c>
      <c r="K12744">
        <v>5</v>
      </c>
      <c r="L12744">
        <v>245</v>
      </c>
      <c r="M12744">
        <v>1</v>
      </c>
      <c r="N12744">
        <v>3.8761700000000003E-83</v>
      </c>
      <c r="O12744">
        <v>780</v>
      </c>
    </row>
    <row r="12745" spans="1:15" x14ac:dyDescent="0.25">
      <c r="A12745" t="s">
        <v>12758</v>
      </c>
      <c r="B12745">
        <v>409</v>
      </c>
      <c r="C12745" s="1" t="str">
        <f>HYPERLINK("http://www.rosaceae.org/gb/gbrowse/malus_x_domestica/?name=MDP0000647569","MDP0000647569")</f>
        <v>MDP0000647569</v>
      </c>
      <c r="D12745">
        <v>62.13</v>
      </c>
      <c r="E12745">
        <v>206</v>
      </c>
      <c r="F12745">
        <v>78</v>
      </c>
      <c r="G12745">
        <v>16</v>
      </c>
      <c r="H12745">
        <v>204</v>
      </c>
      <c r="I12745">
        <v>402</v>
      </c>
      <c r="J12745">
        <v>1</v>
      </c>
      <c r="K12745">
        <v>13</v>
      </c>
      <c r="L12745">
        <v>209</v>
      </c>
      <c r="M12745">
        <v>1</v>
      </c>
      <c r="N12745">
        <v>2.5549099999999998E-69</v>
      </c>
      <c r="O12745">
        <v>663</v>
      </c>
    </row>
    <row r="12746" spans="1:15" x14ac:dyDescent="0.25">
      <c r="A12746" t="s">
        <v>12759</v>
      </c>
      <c r="B12746">
        <v>302</v>
      </c>
      <c r="C12746" s="1" t="str">
        <f>HYPERLINK("http://www.rosaceae.org/gb/gbrowse/malus_x_domestica/?name=MDP0000165444","MDP0000165444")</f>
        <v>MDP0000165444</v>
      </c>
      <c r="D12746">
        <v>77.45</v>
      </c>
      <c r="E12746">
        <v>275</v>
      </c>
      <c r="F12746">
        <v>62</v>
      </c>
      <c r="G12746">
        <v>11</v>
      </c>
      <c r="H12746">
        <v>2</v>
      </c>
      <c r="I12746">
        <v>269</v>
      </c>
      <c r="J12746">
        <v>1</v>
      </c>
      <c r="K12746">
        <v>3</v>
      </c>
      <c r="L12746">
        <v>273</v>
      </c>
      <c r="M12746">
        <v>1</v>
      </c>
      <c r="N12746">
        <v>1.09599E-109</v>
      </c>
      <c r="O12746">
        <v>1010</v>
      </c>
    </row>
    <row r="12747" spans="1:15" x14ac:dyDescent="0.25">
      <c r="A12747" t="s">
        <v>12760</v>
      </c>
      <c r="B12747">
        <v>233</v>
      </c>
      <c r="C12747" s="1" t="str">
        <f>HYPERLINK("http://www.rosaceae.org/gb/gbrowse/malus_x_domestica/?name=MDP0000161311","MDP0000161311")</f>
        <v>MDP0000161311</v>
      </c>
      <c r="D12747">
        <v>47.46</v>
      </c>
      <c r="E12747">
        <v>158</v>
      </c>
      <c r="F12747">
        <v>83</v>
      </c>
      <c r="G12747">
        <v>1</v>
      </c>
      <c r="H12747">
        <v>6</v>
      </c>
      <c r="I12747">
        <v>162</v>
      </c>
      <c r="J12747">
        <v>1</v>
      </c>
      <c r="K12747">
        <v>106</v>
      </c>
      <c r="L12747">
        <v>263</v>
      </c>
      <c r="M12747">
        <v>1</v>
      </c>
      <c r="N12747">
        <v>7.6989399999999997E-34</v>
      </c>
      <c r="O12747">
        <v>354</v>
      </c>
    </row>
    <row r="12748" spans="1:15" x14ac:dyDescent="0.25">
      <c r="A12748" t="s">
        <v>12761</v>
      </c>
      <c r="B12748">
        <v>168</v>
      </c>
      <c r="C12748" s="1" t="str">
        <f>HYPERLINK("http://www.rosaceae.org/gb/gbrowse/malus_x_domestica/?name=MDP0000237761","MDP0000237761")</f>
        <v>MDP0000237761</v>
      </c>
      <c r="D12748">
        <v>71.59</v>
      </c>
      <c r="E12748">
        <v>169</v>
      </c>
      <c r="F12748">
        <v>48</v>
      </c>
      <c r="G12748">
        <v>3</v>
      </c>
      <c r="H12748">
        <v>1</v>
      </c>
      <c r="I12748">
        <v>168</v>
      </c>
      <c r="J12748">
        <v>1</v>
      </c>
      <c r="K12748">
        <v>1</v>
      </c>
      <c r="L12748">
        <v>167</v>
      </c>
      <c r="M12748">
        <v>1</v>
      </c>
      <c r="N12748">
        <v>5.1603400000000001E-67</v>
      </c>
      <c r="O12748">
        <v>638</v>
      </c>
    </row>
    <row r="12749" spans="1:15" x14ac:dyDescent="0.25">
      <c r="A12749" t="s">
        <v>12762</v>
      </c>
      <c r="B12749">
        <v>249</v>
      </c>
      <c r="C12749" s="1" t="str">
        <f>HYPERLINK("http://www.rosaceae.org/gb/gbrowse/malus_x_domestica/?name=MDP0000207763","MDP0000207763")</f>
        <v>MDP0000207763</v>
      </c>
      <c r="D12749">
        <v>71.2</v>
      </c>
      <c r="E12749">
        <v>257</v>
      </c>
      <c r="F12749">
        <v>74</v>
      </c>
      <c r="G12749">
        <v>27</v>
      </c>
      <c r="H12749">
        <v>16</v>
      </c>
      <c r="I12749">
        <v>245</v>
      </c>
      <c r="J12749">
        <v>1</v>
      </c>
      <c r="K12749">
        <v>1</v>
      </c>
      <c r="L12749">
        <v>257</v>
      </c>
      <c r="M12749">
        <v>1</v>
      </c>
      <c r="N12749">
        <v>1.5012900000000001E-100</v>
      </c>
      <c r="O12749">
        <v>930</v>
      </c>
    </row>
    <row r="12750" spans="1:15" x14ac:dyDescent="0.25">
      <c r="A12750" t="s">
        <v>12763</v>
      </c>
      <c r="B12750">
        <v>164</v>
      </c>
      <c r="C12750" s="1" t="str">
        <f>HYPERLINK("http://www.rosaceae.org/gb/gbrowse/malus_x_domestica/?name=MDP0000226188","MDP0000226188")</f>
        <v>MDP0000226188</v>
      </c>
      <c r="D12750">
        <v>93.85</v>
      </c>
      <c r="E12750">
        <v>114</v>
      </c>
      <c r="F12750">
        <v>7</v>
      </c>
      <c r="G12750">
        <v>0</v>
      </c>
      <c r="H12750">
        <v>1</v>
      </c>
      <c r="I12750">
        <v>114</v>
      </c>
      <c r="J12750">
        <v>1</v>
      </c>
      <c r="K12750">
        <v>290</v>
      </c>
      <c r="L12750">
        <v>403</v>
      </c>
      <c r="M12750">
        <v>1</v>
      </c>
      <c r="N12750">
        <v>1.32953E-58</v>
      </c>
      <c r="O12750">
        <v>565</v>
      </c>
    </row>
    <row r="12751" spans="1:15" x14ac:dyDescent="0.25">
      <c r="A12751" t="s">
        <v>12764</v>
      </c>
      <c r="B12751">
        <v>153</v>
      </c>
      <c r="C12751" s="1" t="str">
        <f>HYPERLINK("http://www.rosaceae.org/gb/gbrowse/malus_x_domestica/?name=MDP0000173720","MDP0000173720")</f>
        <v>MDP0000173720</v>
      </c>
      <c r="D12751">
        <v>40.65</v>
      </c>
      <c r="E12751">
        <v>123</v>
      </c>
      <c r="F12751">
        <v>73</v>
      </c>
      <c r="G12751">
        <v>4</v>
      </c>
      <c r="H12751">
        <v>1</v>
      </c>
      <c r="I12751">
        <v>119</v>
      </c>
      <c r="J12751">
        <v>1</v>
      </c>
      <c r="K12751">
        <v>77</v>
      </c>
      <c r="L12751">
        <v>199</v>
      </c>
      <c r="M12751">
        <v>1</v>
      </c>
      <c r="N12751">
        <v>1.7984099999999999E-19</v>
      </c>
      <c r="O12751">
        <v>227</v>
      </c>
    </row>
    <row r="12752" spans="1:15" x14ac:dyDescent="0.25">
      <c r="A12752" t="s">
        <v>12765</v>
      </c>
      <c r="B12752">
        <v>174</v>
      </c>
      <c r="C12752" s="1" t="str">
        <f>HYPERLINK("http://www.rosaceae.org/gb/gbrowse/malus_x_domestica/?name=MDP0000210287","MDP0000210287")</f>
        <v>MDP0000210287</v>
      </c>
      <c r="D12752">
        <v>43.58</v>
      </c>
      <c r="E12752">
        <v>78</v>
      </c>
      <c r="F12752">
        <v>44</v>
      </c>
      <c r="G12752">
        <v>4</v>
      </c>
      <c r="H12752">
        <v>4</v>
      </c>
      <c r="I12752">
        <v>77</v>
      </c>
      <c r="J12752">
        <v>1</v>
      </c>
      <c r="K12752">
        <v>20</v>
      </c>
      <c r="L12752">
        <v>97</v>
      </c>
      <c r="M12752">
        <v>1</v>
      </c>
      <c r="N12752">
        <v>7.66815E-13</v>
      </c>
      <c r="O12752">
        <v>171</v>
      </c>
    </row>
    <row r="12753" spans="1:15" x14ac:dyDescent="0.25">
      <c r="A12753" t="s">
        <v>12766</v>
      </c>
      <c r="B12753">
        <v>395</v>
      </c>
      <c r="C12753" s="1" t="str">
        <f>HYPERLINK("http://www.rosaceae.org/gb/gbrowse/malus_x_domestica/?name=MDP0000287519","MDP0000287519")</f>
        <v>MDP0000287519</v>
      </c>
      <c r="D12753">
        <v>32.42</v>
      </c>
      <c r="E12753">
        <v>256</v>
      </c>
      <c r="F12753">
        <v>173</v>
      </c>
      <c r="G12753">
        <v>15</v>
      </c>
      <c r="H12753">
        <v>154</v>
      </c>
      <c r="I12753">
        <v>394</v>
      </c>
      <c r="J12753">
        <v>1</v>
      </c>
      <c r="K12753">
        <v>450</v>
      </c>
      <c r="L12753">
        <v>705</v>
      </c>
      <c r="M12753">
        <v>1</v>
      </c>
      <c r="N12753">
        <v>1.67415E-40</v>
      </c>
      <c r="O12753">
        <v>415</v>
      </c>
    </row>
    <row r="12754" spans="1:15" x14ac:dyDescent="0.25">
      <c r="A12754" t="s">
        <v>12767</v>
      </c>
      <c r="B12754">
        <v>180</v>
      </c>
      <c r="C12754" s="1" t="str">
        <f>HYPERLINK("http://www.rosaceae.org/gb/gbrowse/malus_x_domestica/?name=MDP0000279955","MDP0000279955")</f>
        <v>MDP0000279955</v>
      </c>
      <c r="D12754">
        <v>39.020000000000003</v>
      </c>
      <c r="E12754">
        <v>82</v>
      </c>
      <c r="F12754">
        <v>50</v>
      </c>
      <c r="G12754">
        <v>5</v>
      </c>
      <c r="H12754">
        <v>42</v>
      </c>
      <c r="I12754">
        <v>123</v>
      </c>
      <c r="J12754">
        <v>1</v>
      </c>
      <c r="K12754">
        <v>201</v>
      </c>
      <c r="L12754">
        <v>277</v>
      </c>
      <c r="M12754">
        <v>1</v>
      </c>
      <c r="N12754">
        <v>4.31975E-7</v>
      </c>
      <c r="O12754">
        <v>122</v>
      </c>
    </row>
    <row r="12755" spans="1:15" x14ac:dyDescent="0.25">
      <c r="A12755" t="s">
        <v>12768</v>
      </c>
      <c r="B12755">
        <v>192</v>
      </c>
      <c r="C12755" s="1" t="str">
        <f>HYPERLINK("http://www.rosaceae.org/gb/gbrowse/malus_x_domestica/?name=MDP0000316225","MDP0000316225")</f>
        <v>MDP0000316225</v>
      </c>
      <c r="D12755">
        <v>59.34</v>
      </c>
      <c r="E12755">
        <v>214</v>
      </c>
      <c r="F12755">
        <v>87</v>
      </c>
      <c r="G12755">
        <v>29</v>
      </c>
      <c r="H12755">
        <v>1</v>
      </c>
      <c r="I12755">
        <v>186</v>
      </c>
      <c r="J12755">
        <v>1</v>
      </c>
      <c r="K12755">
        <v>300</v>
      </c>
      <c r="L12755">
        <v>512</v>
      </c>
      <c r="M12755">
        <v>1</v>
      </c>
      <c r="N12755">
        <v>1.2287600000000001E-69</v>
      </c>
      <c r="O12755">
        <v>662</v>
      </c>
    </row>
    <row r="12756" spans="1:15" x14ac:dyDescent="0.25">
      <c r="A12756" t="s">
        <v>12769</v>
      </c>
      <c r="B12756">
        <v>297</v>
      </c>
      <c r="C12756" s="1" t="str">
        <f>HYPERLINK("http://www.rosaceae.org/gb/gbrowse/malus_x_domestica/?name=MDP0000268373","MDP0000268373")</f>
        <v>MDP0000268373</v>
      </c>
      <c r="D12756">
        <v>74.010000000000005</v>
      </c>
      <c r="E12756">
        <v>254</v>
      </c>
      <c r="F12756">
        <v>66</v>
      </c>
      <c r="G12756">
        <v>5</v>
      </c>
      <c r="H12756">
        <v>20</v>
      </c>
      <c r="I12756">
        <v>272</v>
      </c>
      <c r="J12756">
        <v>1</v>
      </c>
      <c r="K12756">
        <v>29</v>
      </c>
      <c r="L12756">
        <v>278</v>
      </c>
      <c r="M12756">
        <v>1</v>
      </c>
      <c r="N12756">
        <v>1.3280700000000001E-107</v>
      </c>
      <c r="O12756">
        <v>992</v>
      </c>
    </row>
    <row r="12757" spans="1:15" x14ac:dyDescent="0.25">
      <c r="A12757" t="s">
        <v>12770</v>
      </c>
      <c r="B12757">
        <v>145</v>
      </c>
      <c r="C12757" s="1" t="str">
        <f>HYPERLINK("http://www.rosaceae.org/gb/gbrowse/malus_x_domestica/?name=MDP0000150310","MDP0000150310")</f>
        <v>MDP0000150310</v>
      </c>
      <c r="D12757">
        <v>40.32</v>
      </c>
      <c r="E12757">
        <v>124</v>
      </c>
      <c r="F12757">
        <v>74</v>
      </c>
      <c r="G12757">
        <v>3</v>
      </c>
      <c r="H12757">
        <v>14</v>
      </c>
      <c r="I12757">
        <v>136</v>
      </c>
      <c r="J12757">
        <v>1</v>
      </c>
      <c r="K12757">
        <v>5</v>
      </c>
      <c r="L12757">
        <v>126</v>
      </c>
      <c r="M12757">
        <v>1</v>
      </c>
      <c r="N12757">
        <v>4.3784200000000002E-16</v>
      </c>
      <c r="O12757">
        <v>198</v>
      </c>
    </row>
    <row r="12758" spans="1:15" x14ac:dyDescent="0.25">
      <c r="A12758" t="s">
        <v>12771</v>
      </c>
      <c r="B12758">
        <v>341</v>
      </c>
      <c r="C12758" s="1" t="str">
        <f>HYPERLINK("http://www.rosaceae.org/gb/gbrowse/malus_x_domestica/?name=MDP0000210970","MDP0000210970")</f>
        <v>MDP0000210970</v>
      </c>
      <c r="D12758">
        <v>90</v>
      </c>
      <c r="E12758">
        <v>60</v>
      </c>
      <c r="F12758">
        <v>6</v>
      </c>
      <c r="G12758">
        <v>0</v>
      </c>
      <c r="H12758">
        <v>42</v>
      </c>
      <c r="I12758">
        <v>101</v>
      </c>
      <c r="J12758">
        <v>1</v>
      </c>
      <c r="K12758">
        <v>55</v>
      </c>
      <c r="L12758">
        <v>114</v>
      </c>
      <c r="M12758">
        <v>1</v>
      </c>
      <c r="N12758">
        <v>2.6177399999999999E-27</v>
      </c>
      <c r="O12758">
        <v>300</v>
      </c>
    </row>
    <row r="12759" spans="1:15" x14ac:dyDescent="0.25">
      <c r="A12759" t="s">
        <v>12772</v>
      </c>
      <c r="B12759">
        <v>205</v>
      </c>
      <c r="C12759" s="1" t="str">
        <f>HYPERLINK("http://www.rosaceae.org/gb/gbrowse/malus_x_domestica/?name=MDP0000136726","MDP0000136726")</f>
        <v>MDP0000136726</v>
      </c>
      <c r="D12759">
        <v>58</v>
      </c>
      <c r="E12759">
        <v>150</v>
      </c>
      <c r="F12759">
        <v>63</v>
      </c>
      <c r="G12759">
        <v>1</v>
      </c>
      <c r="H12759">
        <v>56</v>
      </c>
      <c r="I12759">
        <v>205</v>
      </c>
      <c r="J12759">
        <v>1</v>
      </c>
      <c r="K12759">
        <v>23</v>
      </c>
      <c r="L12759">
        <v>171</v>
      </c>
      <c r="M12759">
        <v>1</v>
      </c>
      <c r="N12759">
        <v>1.04714E-44</v>
      </c>
      <c r="O12759">
        <v>447</v>
      </c>
    </row>
    <row r="12760" spans="1:15" x14ac:dyDescent="0.25">
      <c r="A12760" t="s">
        <v>12773</v>
      </c>
      <c r="B12760">
        <v>368</v>
      </c>
      <c r="C12760" s="1" t="str">
        <f>HYPERLINK("http://www.rosaceae.org/gb/gbrowse/malus_x_domestica/?name=MDP0000291514","MDP0000291514")</f>
        <v>MDP0000291514</v>
      </c>
      <c r="D12760">
        <v>38.65</v>
      </c>
      <c r="E12760">
        <v>357</v>
      </c>
      <c r="F12760">
        <v>219</v>
      </c>
      <c r="G12760">
        <v>10</v>
      </c>
      <c r="H12760">
        <v>9</v>
      </c>
      <c r="I12760">
        <v>365</v>
      </c>
      <c r="J12760">
        <v>1</v>
      </c>
      <c r="K12760">
        <v>399</v>
      </c>
      <c r="L12760">
        <v>745</v>
      </c>
      <c r="M12760">
        <v>1</v>
      </c>
      <c r="N12760">
        <v>1.33767E-70</v>
      </c>
      <c r="O12760">
        <v>674</v>
      </c>
    </row>
    <row r="12761" spans="1:15" x14ac:dyDescent="0.25">
      <c r="A12761" t="s">
        <v>12774</v>
      </c>
      <c r="B12761">
        <v>486</v>
      </c>
      <c r="C12761" s="1" t="str">
        <f>HYPERLINK("http://www.rosaceae.org/gb/gbrowse/malus_x_domestica/?name=MDP0000139683","MDP0000139683")</f>
        <v>MDP0000139683</v>
      </c>
      <c r="D12761">
        <v>76.069999999999993</v>
      </c>
      <c r="E12761">
        <v>489</v>
      </c>
      <c r="F12761">
        <v>117</v>
      </c>
      <c r="G12761">
        <v>7</v>
      </c>
      <c r="H12761">
        <v>1</v>
      </c>
      <c r="I12761">
        <v>486</v>
      </c>
      <c r="J12761">
        <v>1</v>
      </c>
      <c r="K12761">
        <v>1</v>
      </c>
      <c r="L12761">
        <v>485</v>
      </c>
      <c r="M12761">
        <v>1</v>
      </c>
      <c r="N12761">
        <v>0</v>
      </c>
      <c r="O12761">
        <v>1924</v>
      </c>
    </row>
    <row r="12762" spans="1:15" x14ac:dyDescent="0.25">
      <c r="A12762" t="s">
        <v>12775</v>
      </c>
      <c r="B12762">
        <v>707</v>
      </c>
      <c r="C12762" s="1" t="str">
        <f>HYPERLINK("http://www.rosaceae.org/gb/gbrowse/malus_x_domestica/?name=MDP0000299180","MDP0000299180")</f>
        <v>MDP0000299180</v>
      </c>
      <c r="D12762">
        <v>75.900000000000006</v>
      </c>
      <c r="E12762">
        <v>718</v>
      </c>
      <c r="F12762">
        <v>173</v>
      </c>
      <c r="G12762">
        <v>15</v>
      </c>
      <c r="H12762">
        <v>4</v>
      </c>
      <c r="I12762">
        <v>707</v>
      </c>
      <c r="J12762">
        <v>1</v>
      </c>
      <c r="K12762">
        <v>6</v>
      </c>
      <c r="L12762">
        <v>722</v>
      </c>
      <c r="M12762">
        <v>1</v>
      </c>
      <c r="N12762">
        <v>0</v>
      </c>
      <c r="O12762">
        <v>2844</v>
      </c>
    </row>
    <row r="12763" spans="1:15" x14ac:dyDescent="0.25">
      <c r="A12763" t="s">
        <v>12776</v>
      </c>
      <c r="B12763">
        <v>119</v>
      </c>
      <c r="C12763" s="1" t="str">
        <f>HYPERLINK("http://www.rosaceae.org/gb/gbrowse/malus_x_domestica/?name=MDP0000436956","MDP0000436956")</f>
        <v>MDP0000436956</v>
      </c>
      <c r="D12763">
        <v>94.11</v>
      </c>
      <c r="E12763">
        <v>119</v>
      </c>
      <c r="F12763">
        <v>7</v>
      </c>
      <c r="G12763">
        <v>0</v>
      </c>
      <c r="H12763">
        <v>1</v>
      </c>
      <c r="I12763">
        <v>119</v>
      </c>
      <c r="J12763">
        <v>1</v>
      </c>
      <c r="K12763">
        <v>1</v>
      </c>
      <c r="L12763">
        <v>119</v>
      </c>
      <c r="M12763">
        <v>1</v>
      </c>
      <c r="N12763">
        <v>3.5103600000000002E-62</v>
      </c>
      <c r="O12763">
        <v>594</v>
      </c>
    </row>
    <row r="12764" spans="1:15" x14ac:dyDescent="0.25">
      <c r="A12764" t="s">
        <v>12777</v>
      </c>
      <c r="B12764">
        <v>141</v>
      </c>
      <c r="C12764" s="1" t="str">
        <f>HYPERLINK("http://www.rosaceae.org/gb/gbrowse/malus_x_domestica/?name=MDP0000130060","MDP0000130060")</f>
        <v>MDP0000130060</v>
      </c>
      <c r="D12764">
        <v>74.59</v>
      </c>
      <c r="E12764">
        <v>122</v>
      </c>
      <c r="F12764">
        <v>31</v>
      </c>
      <c r="G12764">
        <v>0</v>
      </c>
      <c r="H12764">
        <v>1</v>
      </c>
      <c r="I12764">
        <v>122</v>
      </c>
      <c r="J12764">
        <v>1</v>
      </c>
      <c r="K12764">
        <v>1</v>
      </c>
      <c r="L12764">
        <v>122</v>
      </c>
      <c r="M12764">
        <v>1</v>
      </c>
      <c r="N12764">
        <v>1.14281E-49</v>
      </c>
      <c r="O12764">
        <v>487</v>
      </c>
    </row>
    <row r="12765" spans="1:15" x14ac:dyDescent="0.25">
      <c r="A12765" t="s">
        <v>12778</v>
      </c>
      <c r="B12765">
        <v>508</v>
      </c>
      <c r="C12765" s="1" t="str">
        <f>HYPERLINK("http://www.rosaceae.org/gb/gbrowse/malus_x_domestica/?name=MDP0000266497","MDP0000266497")</f>
        <v>MDP0000266497</v>
      </c>
      <c r="D12765">
        <v>77.95</v>
      </c>
      <c r="E12765">
        <v>508</v>
      </c>
      <c r="F12765">
        <v>112</v>
      </c>
      <c r="G12765">
        <v>4</v>
      </c>
      <c r="H12765">
        <v>1</v>
      </c>
      <c r="I12765">
        <v>508</v>
      </c>
      <c r="J12765">
        <v>1</v>
      </c>
      <c r="K12765">
        <v>1</v>
      </c>
      <c r="L12765">
        <v>504</v>
      </c>
      <c r="M12765">
        <v>1</v>
      </c>
      <c r="N12765">
        <v>0</v>
      </c>
      <c r="O12765">
        <v>1996</v>
      </c>
    </row>
    <row r="12766" spans="1:15" x14ac:dyDescent="0.25">
      <c r="A12766" t="s">
        <v>12779</v>
      </c>
      <c r="B12766">
        <v>371</v>
      </c>
      <c r="C12766" s="1" t="str">
        <f>HYPERLINK("http://www.rosaceae.org/gb/gbrowse/malus_x_domestica/?name=MDP0000271420","MDP0000271420")</f>
        <v>MDP0000271420</v>
      </c>
      <c r="D12766">
        <v>63.63</v>
      </c>
      <c r="E12766">
        <v>308</v>
      </c>
      <c r="F12766">
        <v>112</v>
      </c>
      <c r="G12766">
        <v>41</v>
      </c>
      <c r="H12766">
        <v>74</v>
      </c>
      <c r="I12766">
        <v>368</v>
      </c>
      <c r="J12766">
        <v>1</v>
      </c>
      <c r="K12766">
        <v>72</v>
      </c>
      <c r="L12766">
        <v>351</v>
      </c>
      <c r="M12766">
        <v>1</v>
      </c>
      <c r="N12766">
        <v>1.89266E-92</v>
      </c>
      <c r="O12766">
        <v>862</v>
      </c>
    </row>
    <row r="12767" spans="1:15" x14ac:dyDescent="0.25">
      <c r="A12767" t="s">
        <v>12780</v>
      </c>
      <c r="B12767">
        <v>104</v>
      </c>
      <c r="C12767" s="1" t="str">
        <f>HYPERLINK("http://www.rosaceae.org/gb/gbrowse/malus_x_domestica/?name=MDP0000869501","MDP0000869501")</f>
        <v>MDP0000869501</v>
      </c>
      <c r="D12767">
        <v>51.96</v>
      </c>
      <c r="E12767">
        <v>102</v>
      </c>
      <c r="F12767">
        <v>49</v>
      </c>
      <c r="G12767">
        <v>4</v>
      </c>
      <c r="H12767">
        <v>2</v>
      </c>
      <c r="I12767">
        <v>102</v>
      </c>
      <c r="J12767">
        <v>1</v>
      </c>
      <c r="K12767">
        <v>6</v>
      </c>
      <c r="L12767">
        <v>104</v>
      </c>
      <c r="M12767">
        <v>1</v>
      </c>
      <c r="N12767">
        <v>2.3623499999999998E-16</v>
      </c>
      <c r="O12767">
        <v>198</v>
      </c>
    </row>
    <row r="12768" spans="1:15" x14ac:dyDescent="0.25">
      <c r="A12768" t="s">
        <v>12781</v>
      </c>
      <c r="B12768">
        <v>908</v>
      </c>
      <c r="C12768" s="1" t="str">
        <f>HYPERLINK("http://www.rosaceae.org/gb/gbrowse/malus_x_domestica/?name=MDP0000135877","MDP0000135877")</f>
        <v>MDP0000135877</v>
      </c>
      <c r="D12768">
        <v>75.16</v>
      </c>
      <c r="E12768">
        <v>459</v>
      </c>
      <c r="F12768">
        <v>114</v>
      </c>
      <c r="G12768">
        <v>4</v>
      </c>
      <c r="H12768">
        <v>335</v>
      </c>
      <c r="I12768">
        <v>791</v>
      </c>
      <c r="J12768">
        <v>1</v>
      </c>
      <c r="K12768">
        <v>290</v>
      </c>
      <c r="L12768">
        <v>746</v>
      </c>
      <c r="M12768">
        <v>1</v>
      </c>
      <c r="N12768">
        <v>0</v>
      </c>
      <c r="O12768">
        <v>1816</v>
      </c>
    </row>
    <row r="12769" spans="1:15" x14ac:dyDescent="0.25">
      <c r="A12769" t="s">
        <v>12782</v>
      </c>
      <c r="B12769">
        <v>166</v>
      </c>
      <c r="C12769" s="1" t="str">
        <f>HYPERLINK("http://www.rosaceae.org/gb/gbrowse/malus_x_domestica/?name=MDP0000924194","MDP0000924194")</f>
        <v>MDP0000924194</v>
      </c>
      <c r="D12769">
        <v>51.41</v>
      </c>
      <c r="E12769">
        <v>177</v>
      </c>
      <c r="F12769">
        <v>86</v>
      </c>
      <c r="G12769">
        <v>17</v>
      </c>
      <c r="H12769">
        <v>2</v>
      </c>
      <c r="I12769">
        <v>164</v>
      </c>
      <c r="J12769">
        <v>1</v>
      </c>
      <c r="K12769">
        <v>1</v>
      </c>
      <c r="L12769">
        <v>174</v>
      </c>
      <c r="M12769">
        <v>1</v>
      </c>
      <c r="N12769">
        <v>3.4250399999999999E-31</v>
      </c>
      <c r="O12769">
        <v>329</v>
      </c>
    </row>
    <row r="12770" spans="1:15" x14ac:dyDescent="0.25">
      <c r="A12770" t="s">
        <v>12783</v>
      </c>
      <c r="B12770">
        <v>459</v>
      </c>
      <c r="C12770" s="1" t="str">
        <f>HYPERLINK("http://www.rosaceae.org/gb/gbrowse/malus_x_domestica/?name=MDP0000526341","MDP0000526341")</f>
        <v>MDP0000526341</v>
      </c>
      <c r="D12770">
        <v>78.66</v>
      </c>
      <c r="E12770">
        <v>436</v>
      </c>
      <c r="F12770">
        <v>93</v>
      </c>
      <c r="G12770">
        <v>3</v>
      </c>
      <c r="H12770">
        <v>15</v>
      </c>
      <c r="I12770">
        <v>448</v>
      </c>
      <c r="J12770">
        <v>1</v>
      </c>
      <c r="K12770">
        <v>23</v>
      </c>
      <c r="L12770">
        <v>457</v>
      </c>
      <c r="M12770">
        <v>1</v>
      </c>
      <c r="N12770">
        <v>0</v>
      </c>
      <c r="O12770">
        <v>1787</v>
      </c>
    </row>
    <row r="12771" spans="1:15" x14ac:dyDescent="0.25">
      <c r="A12771" t="s">
        <v>12784</v>
      </c>
      <c r="B12771">
        <v>339</v>
      </c>
      <c r="C12771" s="1" t="str">
        <f>HYPERLINK("http://www.rosaceae.org/gb/gbrowse/malus_x_domestica/?name=MDP0000176579","MDP0000176579")</f>
        <v>MDP0000176579</v>
      </c>
      <c r="D12771">
        <v>66.459999999999994</v>
      </c>
      <c r="E12771">
        <v>325</v>
      </c>
      <c r="F12771">
        <v>109</v>
      </c>
      <c r="G12771">
        <v>17</v>
      </c>
      <c r="H12771">
        <v>20</v>
      </c>
      <c r="I12771">
        <v>337</v>
      </c>
      <c r="J12771">
        <v>1</v>
      </c>
      <c r="K12771">
        <v>1</v>
      </c>
      <c r="L12771">
        <v>315</v>
      </c>
      <c r="M12771">
        <v>1</v>
      </c>
      <c r="N12771">
        <v>7.2359300000000004E-117</v>
      </c>
      <c r="O12771">
        <v>1072</v>
      </c>
    </row>
    <row r="12772" spans="1:15" x14ac:dyDescent="0.25">
      <c r="A12772" t="s">
        <v>12785</v>
      </c>
      <c r="B12772">
        <v>347</v>
      </c>
      <c r="C12772" s="1" t="str">
        <f>HYPERLINK("http://www.rosaceae.org/gb/gbrowse/malus_x_domestica/?name=MDP0000870909","MDP0000870909")</f>
        <v>MDP0000870909</v>
      </c>
      <c r="D12772">
        <v>54.39</v>
      </c>
      <c r="E12772">
        <v>353</v>
      </c>
      <c r="F12772">
        <v>161</v>
      </c>
      <c r="G12772">
        <v>11</v>
      </c>
      <c r="H12772">
        <v>4</v>
      </c>
      <c r="I12772">
        <v>347</v>
      </c>
      <c r="J12772">
        <v>1</v>
      </c>
      <c r="K12772">
        <v>3</v>
      </c>
      <c r="L12772">
        <v>353</v>
      </c>
      <c r="M12772">
        <v>1</v>
      </c>
      <c r="N12772">
        <v>7.5756300000000001E-103</v>
      </c>
      <c r="O12772">
        <v>952</v>
      </c>
    </row>
    <row r="12773" spans="1:15" x14ac:dyDescent="0.25">
      <c r="A12773" t="s">
        <v>12786</v>
      </c>
      <c r="B12773">
        <v>146</v>
      </c>
      <c r="C12773" s="1" t="str">
        <f>HYPERLINK("http://www.rosaceae.org/gb/gbrowse/malus_x_domestica/?name=MDP0000322418","MDP0000322418")</f>
        <v>MDP0000322418</v>
      </c>
      <c r="D12773">
        <v>63.26</v>
      </c>
      <c r="E12773">
        <v>147</v>
      </c>
      <c r="F12773">
        <v>54</v>
      </c>
      <c r="G12773">
        <v>19</v>
      </c>
      <c r="H12773">
        <v>1</v>
      </c>
      <c r="I12773">
        <v>128</v>
      </c>
      <c r="J12773">
        <v>1</v>
      </c>
      <c r="K12773">
        <v>308</v>
      </c>
      <c r="L12773">
        <v>454</v>
      </c>
      <c r="M12773">
        <v>1</v>
      </c>
      <c r="N12773">
        <v>1.16531E-44</v>
      </c>
      <c r="O12773">
        <v>444</v>
      </c>
    </row>
    <row r="12774" spans="1:15" x14ac:dyDescent="0.25">
      <c r="A12774" t="s">
        <v>12787</v>
      </c>
      <c r="B12774">
        <v>347</v>
      </c>
      <c r="C12774" s="1" t="str">
        <f>HYPERLINK("http://www.rosaceae.org/gb/gbrowse/malus_x_domestica/?name=MDP0000271241","MDP0000271241")</f>
        <v>MDP0000271241</v>
      </c>
      <c r="D12774">
        <v>64.47</v>
      </c>
      <c r="E12774">
        <v>76</v>
      </c>
      <c r="F12774">
        <v>27</v>
      </c>
      <c r="G12774">
        <v>1</v>
      </c>
      <c r="H12774">
        <v>60</v>
      </c>
      <c r="I12774">
        <v>135</v>
      </c>
      <c r="J12774">
        <v>1</v>
      </c>
      <c r="K12774">
        <v>44</v>
      </c>
      <c r="L12774">
        <v>118</v>
      </c>
      <c r="M12774">
        <v>1</v>
      </c>
      <c r="N12774">
        <v>5.8366199999999997E-24</v>
      </c>
      <c r="O12774">
        <v>271</v>
      </c>
    </row>
    <row r="12775" spans="1:15" x14ac:dyDescent="0.25">
      <c r="A12775" t="s">
        <v>12788</v>
      </c>
      <c r="B12775">
        <v>551</v>
      </c>
      <c r="C12775" s="1" t="str">
        <f>HYPERLINK("http://www.rosaceae.org/gb/gbrowse/malus_x_domestica/?name=MDP0000267409","MDP0000267409")</f>
        <v>MDP0000267409</v>
      </c>
      <c r="D12775">
        <v>36.6</v>
      </c>
      <c r="E12775">
        <v>530</v>
      </c>
      <c r="F12775">
        <v>336</v>
      </c>
      <c r="G12775">
        <v>59</v>
      </c>
      <c r="H12775">
        <v>57</v>
      </c>
      <c r="I12775">
        <v>551</v>
      </c>
      <c r="J12775">
        <v>1</v>
      </c>
      <c r="K12775">
        <v>493</v>
      </c>
      <c r="L12775">
        <v>998</v>
      </c>
      <c r="M12775">
        <v>1</v>
      </c>
      <c r="N12775">
        <v>8.5960100000000001E-75</v>
      </c>
      <c r="O12775">
        <v>712</v>
      </c>
    </row>
    <row r="12776" spans="1:15" x14ac:dyDescent="0.25">
      <c r="A12776" t="s">
        <v>12789</v>
      </c>
      <c r="B12776">
        <v>203</v>
      </c>
      <c r="C12776" s="1" t="str">
        <f>HYPERLINK("http://www.rosaceae.org/gb/gbrowse/malus_x_domestica/?name=MDP0000248123","MDP0000248123")</f>
        <v>MDP0000248123</v>
      </c>
      <c r="D12776">
        <v>85.78</v>
      </c>
      <c r="E12776">
        <v>204</v>
      </c>
      <c r="F12776">
        <v>29</v>
      </c>
      <c r="G12776">
        <v>1</v>
      </c>
      <c r="H12776">
        <v>1</v>
      </c>
      <c r="I12776">
        <v>203</v>
      </c>
      <c r="J12776">
        <v>1</v>
      </c>
      <c r="K12776">
        <v>56</v>
      </c>
      <c r="L12776">
        <v>259</v>
      </c>
      <c r="M12776">
        <v>1</v>
      </c>
      <c r="N12776">
        <v>9.5814999999999999E-101</v>
      </c>
      <c r="O12776">
        <v>930</v>
      </c>
    </row>
    <row r="12777" spans="1:15" x14ac:dyDescent="0.25">
      <c r="A12777" t="s">
        <v>12790</v>
      </c>
      <c r="B12777">
        <v>634</v>
      </c>
      <c r="C12777" s="1" t="str">
        <f>HYPERLINK("http://www.rosaceae.org/gb/gbrowse/malus_x_domestica/?name=MDP0000487384","MDP0000487384")</f>
        <v>MDP0000487384</v>
      </c>
      <c r="D12777">
        <v>95.75</v>
      </c>
      <c r="E12777">
        <v>424</v>
      </c>
      <c r="F12777">
        <v>18</v>
      </c>
      <c r="G12777">
        <v>0</v>
      </c>
      <c r="H12777">
        <v>1</v>
      </c>
      <c r="I12777">
        <v>424</v>
      </c>
      <c r="J12777">
        <v>1</v>
      </c>
      <c r="K12777">
        <v>1</v>
      </c>
      <c r="L12777">
        <v>424</v>
      </c>
      <c r="M12777">
        <v>1</v>
      </c>
      <c r="N12777">
        <v>0</v>
      </c>
      <c r="O12777">
        <v>2210</v>
      </c>
    </row>
    <row r="12778" spans="1:15" x14ac:dyDescent="0.25">
      <c r="A12778" t="s">
        <v>12791</v>
      </c>
      <c r="B12778">
        <v>517</v>
      </c>
      <c r="C12778" s="1" t="str">
        <f>HYPERLINK("http://www.rosaceae.org/gb/gbrowse/malus_x_domestica/?name=MDP0000278249","MDP0000278249")</f>
        <v>MDP0000278249</v>
      </c>
      <c r="D12778">
        <v>78.89</v>
      </c>
      <c r="E12778">
        <v>507</v>
      </c>
      <c r="F12778">
        <v>107</v>
      </c>
      <c r="G12778">
        <v>1</v>
      </c>
      <c r="H12778">
        <v>1</v>
      </c>
      <c r="I12778">
        <v>506</v>
      </c>
      <c r="J12778">
        <v>1</v>
      </c>
      <c r="K12778">
        <v>1</v>
      </c>
      <c r="L12778">
        <v>507</v>
      </c>
      <c r="M12778">
        <v>1</v>
      </c>
      <c r="N12778">
        <v>0</v>
      </c>
      <c r="O12778">
        <v>2165</v>
      </c>
    </row>
    <row r="12779" spans="1:15" x14ac:dyDescent="0.25">
      <c r="A12779" t="s">
        <v>12792</v>
      </c>
      <c r="B12779">
        <v>238</v>
      </c>
      <c r="C12779" s="1" t="str">
        <f>HYPERLINK("http://www.rosaceae.org/gb/gbrowse/malus_x_domestica/?name=MDP0000298660","MDP0000298660")</f>
        <v>MDP0000298660</v>
      </c>
      <c r="D12779">
        <v>75</v>
      </c>
      <c r="E12779">
        <v>104</v>
      </c>
      <c r="F12779">
        <v>26</v>
      </c>
      <c r="G12779">
        <v>1</v>
      </c>
      <c r="H12779">
        <v>1</v>
      </c>
      <c r="I12779">
        <v>104</v>
      </c>
      <c r="J12779">
        <v>1</v>
      </c>
      <c r="K12779">
        <v>563</v>
      </c>
      <c r="L12779">
        <v>665</v>
      </c>
      <c r="M12779">
        <v>1</v>
      </c>
      <c r="N12779">
        <v>5.2091999999999995E-41</v>
      </c>
      <c r="O12779">
        <v>416</v>
      </c>
    </row>
    <row r="12780" spans="1:15" x14ac:dyDescent="0.25">
      <c r="A12780" t="s">
        <v>12793</v>
      </c>
      <c r="B12780">
        <v>466</v>
      </c>
      <c r="C12780" s="1" t="str">
        <f>HYPERLINK("http://www.rosaceae.org/gb/gbrowse/malus_x_domestica/?name=MDP0000265164","MDP0000265164")</f>
        <v>MDP0000265164</v>
      </c>
      <c r="D12780">
        <v>38.44</v>
      </c>
      <c r="E12780">
        <v>489</v>
      </c>
      <c r="F12780">
        <v>301</v>
      </c>
      <c r="G12780">
        <v>57</v>
      </c>
      <c r="H12780">
        <v>4</v>
      </c>
      <c r="I12780">
        <v>464</v>
      </c>
      <c r="J12780">
        <v>1</v>
      </c>
      <c r="K12780">
        <v>607</v>
      </c>
      <c r="L12780">
        <v>1066</v>
      </c>
      <c r="M12780">
        <v>1</v>
      </c>
      <c r="N12780">
        <v>1.9357000000000001E-73</v>
      </c>
      <c r="O12780">
        <v>699</v>
      </c>
    </row>
    <row r="12781" spans="1:15" x14ac:dyDescent="0.25">
      <c r="A12781" t="s">
        <v>12794</v>
      </c>
      <c r="B12781">
        <v>118</v>
      </c>
      <c r="C12781" s="1" t="str">
        <f>HYPERLINK("http://www.rosaceae.org/gb/gbrowse/malus_x_domestica/?name=MDP0000305771","MDP0000305771")</f>
        <v>MDP0000305771</v>
      </c>
      <c r="D12781">
        <v>77.77</v>
      </c>
      <c r="E12781">
        <v>54</v>
      </c>
      <c r="F12781">
        <v>12</v>
      </c>
      <c r="G12781">
        <v>1</v>
      </c>
      <c r="H12781">
        <v>58</v>
      </c>
      <c r="I12781">
        <v>111</v>
      </c>
      <c r="J12781">
        <v>1</v>
      </c>
      <c r="K12781">
        <v>1473</v>
      </c>
      <c r="L12781">
        <v>1525</v>
      </c>
      <c r="M12781">
        <v>1</v>
      </c>
      <c r="N12781">
        <v>5.8355099999999996E-19</v>
      </c>
      <c r="O12781">
        <v>221</v>
      </c>
    </row>
    <row r="12782" spans="1:15" x14ac:dyDescent="0.25">
      <c r="A12782" t="s">
        <v>12795</v>
      </c>
      <c r="B12782">
        <v>119</v>
      </c>
      <c r="C12782" s="1" t="str">
        <f>HYPERLINK("http://www.rosaceae.org/gb/gbrowse/malus_x_domestica/?name=MDP0000195409","MDP0000195409")</f>
        <v>MDP0000195409</v>
      </c>
      <c r="D12782">
        <v>34.33</v>
      </c>
      <c r="E12782">
        <v>166</v>
      </c>
      <c r="F12782">
        <v>109</v>
      </c>
      <c r="G12782">
        <v>53</v>
      </c>
      <c r="H12782">
        <v>3</v>
      </c>
      <c r="I12782">
        <v>119</v>
      </c>
      <c r="J12782">
        <v>1</v>
      </c>
      <c r="K12782">
        <v>32</v>
      </c>
      <c r="L12782">
        <v>193</v>
      </c>
      <c r="M12782">
        <v>1</v>
      </c>
      <c r="N12782">
        <v>7.8502900000000006E-20</v>
      </c>
      <c r="O12782">
        <v>228</v>
      </c>
    </row>
    <row r="12783" spans="1:15" x14ac:dyDescent="0.25">
      <c r="A12783" t="s">
        <v>12796</v>
      </c>
      <c r="B12783">
        <v>789</v>
      </c>
      <c r="C12783" s="1" t="str">
        <f>HYPERLINK("http://www.rosaceae.org/gb/gbrowse/malus_x_domestica/?name=MDP0000232410","MDP0000232410")</f>
        <v>MDP0000232410</v>
      </c>
      <c r="D12783">
        <v>76.239999999999995</v>
      </c>
      <c r="E12783">
        <v>842</v>
      </c>
      <c r="F12783">
        <v>200</v>
      </c>
      <c r="G12783">
        <v>78</v>
      </c>
      <c r="H12783">
        <v>1</v>
      </c>
      <c r="I12783">
        <v>776</v>
      </c>
      <c r="J12783">
        <v>1</v>
      </c>
      <c r="K12783">
        <v>1</v>
      </c>
      <c r="L12783">
        <v>830</v>
      </c>
      <c r="M12783">
        <v>1</v>
      </c>
      <c r="N12783">
        <v>0</v>
      </c>
      <c r="O12783">
        <v>3211</v>
      </c>
    </row>
    <row r="12784" spans="1:15" x14ac:dyDescent="0.25">
      <c r="A12784" t="s">
        <v>12797</v>
      </c>
      <c r="B12784">
        <v>540</v>
      </c>
      <c r="C12784" s="1" t="str">
        <f>HYPERLINK("http://www.rosaceae.org/gb/gbrowse/malus_x_domestica/?name=MDP0000665272","MDP0000665272")</f>
        <v>MDP0000665272</v>
      </c>
      <c r="D12784">
        <v>44.82</v>
      </c>
      <c r="E12784">
        <v>87</v>
      </c>
      <c r="F12784">
        <v>48</v>
      </c>
      <c r="G12784">
        <v>13</v>
      </c>
      <c r="H12784">
        <v>351</v>
      </c>
      <c r="I12784">
        <v>436</v>
      </c>
      <c r="J12784">
        <v>1</v>
      </c>
      <c r="K12784">
        <v>28</v>
      </c>
      <c r="L12784">
        <v>102</v>
      </c>
      <c r="M12784">
        <v>1</v>
      </c>
      <c r="N12784">
        <v>1.9024099999999999E-10</v>
      </c>
      <c r="O12784">
        <v>157</v>
      </c>
    </row>
    <row r="12785" spans="1:15" x14ac:dyDescent="0.25">
      <c r="A12785" t="s">
        <v>12798</v>
      </c>
      <c r="B12785">
        <v>400</v>
      </c>
      <c r="C12785" s="1" t="str">
        <f>HYPERLINK("http://www.rosaceae.org/gb/gbrowse/malus_x_domestica/?name=MDP0000305329","MDP0000305329")</f>
        <v>MDP0000305329</v>
      </c>
      <c r="D12785">
        <v>60.85</v>
      </c>
      <c r="E12785">
        <v>396</v>
      </c>
      <c r="F12785">
        <v>155</v>
      </c>
      <c r="G12785">
        <v>24</v>
      </c>
      <c r="H12785">
        <v>5</v>
      </c>
      <c r="I12785">
        <v>382</v>
      </c>
      <c r="J12785">
        <v>1</v>
      </c>
      <c r="K12785">
        <v>60</v>
      </c>
      <c r="L12785">
        <v>449</v>
      </c>
      <c r="M12785">
        <v>1</v>
      </c>
      <c r="N12785">
        <v>1.1245699999999999E-119</v>
      </c>
      <c r="O12785">
        <v>1097</v>
      </c>
    </row>
    <row r="12786" spans="1:15" x14ac:dyDescent="0.25">
      <c r="A12786" t="s">
        <v>12799</v>
      </c>
      <c r="B12786">
        <v>346</v>
      </c>
      <c r="C12786" s="1" t="str">
        <f>HYPERLINK("http://www.rosaceae.org/gb/gbrowse/malus_x_domestica/?name=MDP0000239428","MDP0000239428")</f>
        <v>MDP0000239428</v>
      </c>
      <c r="D12786">
        <v>71.73</v>
      </c>
      <c r="E12786">
        <v>230</v>
      </c>
      <c r="F12786">
        <v>65</v>
      </c>
      <c r="G12786">
        <v>13</v>
      </c>
      <c r="H12786">
        <v>9</v>
      </c>
      <c r="I12786">
        <v>238</v>
      </c>
      <c r="J12786">
        <v>1</v>
      </c>
      <c r="K12786">
        <v>14</v>
      </c>
      <c r="L12786">
        <v>230</v>
      </c>
      <c r="M12786">
        <v>1</v>
      </c>
      <c r="N12786">
        <v>1.37143E-84</v>
      </c>
      <c r="O12786">
        <v>794</v>
      </c>
    </row>
    <row r="12787" spans="1:15" x14ac:dyDescent="0.25">
      <c r="A12787" t="s">
        <v>12800</v>
      </c>
      <c r="B12787">
        <v>481</v>
      </c>
      <c r="C12787" s="1" t="str">
        <f>HYPERLINK("http://www.rosaceae.org/gb/gbrowse/malus_x_domestica/?name=MDP0000177077","MDP0000177077")</f>
        <v>MDP0000177077</v>
      </c>
      <c r="D12787">
        <v>72.72</v>
      </c>
      <c r="E12787">
        <v>484</v>
      </c>
      <c r="F12787">
        <v>132</v>
      </c>
      <c r="G12787">
        <v>3</v>
      </c>
      <c r="H12787">
        <v>1</v>
      </c>
      <c r="I12787">
        <v>481</v>
      </c>
      <c r="J12787">
        <v>1</v>
      </c>
      <c r="K12787">
        <v>1</v>
      </c>
      <c r="L12787">
        <v>484</v>
      </c>
      <c r="M12787">
        <v>1</v>
      </c>
      <c r="N12787">
        <v>0</v>
      </c>
      <c r="O12787">
        <v>1801</v>
      </c>
    </row>
    <row r="12788" spans="1:15" x14ac:dyDescent="0.25">
      <c r="A12788" t="s">
        <v>12801</v>
      </c>
      <c r="B12788">
        <v>486</v>
      </c>
      <c r="C12788" s="1" t="str">
        <f>HYPERLINK("http://www.rosaceae.org/gb/gbrowse/malus_x_domestica/?name=MDP0000126256","MDP0000126256")</f>
        <v>MDP0000126256</v>
      </c>
      <c r="D12788">
        <v>57.58</v>
      </c>
      <c r="E12788">
        <v>323</v>
      </c>
      <c r="F12788">
        <v>137</v>
      </c>
      <c r="G12788">
        <v>19</v>
      </c>
      <c r="H12788">
        <v>37</v>
      </c>
      <c r="I12788">
        <v>357</v>
      </c>
      <c r="J12788">
        <v>1</v>
      </c>
      <c r="K12788">
        <v>49</v>
      </c>
      <c r="L12788">
        <v>354</v>
      </c>
      <c r="M12788">
        <v>1</v>
      </c>
      <c r="N12788">
        <v>4.7286100000000002E-86</v>
      </c>
      <c r="O12788">
        <v>808</v>
      </c>
    </row>
    <row r="12789" spans="1:15" x14ac:dyDescent="0.25">
      <c r="A12789" t="s">
        <v>12802</v>
      </c>
      <c r="B12789">
        <v>407</v>
      </c>
      <c r="C12789" s="1" t="str">
        <f>HYPERLINK("http://www.rosaceae.org/gb/gbrowse/malus_x_domestica/?name=MDP0000258929","MDP0000258929")</f>
        <v>MDP0000258929</v>
      </c>
      <c r="D12789">
        <v>70.58</v>
      </c>
      <c r="E12789">
        <v>442</v>
      </c>
      <c r="F12789">
        <v>130</v>
      </c>
      <c r="G12789">
        <v>36</v>
      </c>
      <c r="H12789">
        <v>1</v>
      </c>
      <c r="I12789">
        <v>407</v>
      </c>
      <c r="J12789">
        <v>1</v>
      </c>
      <c r="K12789">
        <v>1</v>
      </c>
      <c r="L12789">
        <v>441</v>
      </c>
      <c r="M12789">
        <v>1</v>
      </c>
      <c r="N12789">
        <v>3.6159200000000003E-172</v>
      </c>
      <c r="O12789">
        <v>1550</v>
      </c>
    </row>
    <row r="12790" spans="1:15" x14ac:dyDescent="0.25">
      <c r="A12790" t="s">
        <v>12803</v>
      </c>
      <c r="B12790">
        <v>162</v>
      </c>
      <c r="C12790" s="1" t="str">
        <f>HYPERLINK("http://www.rosaceae.org/gb/gbrowse/malus_x_domestica/?name=MDP0000686185","MDP0000686185")</f>
        <v>MDP0000686185</v>
      </c>
      <c r="D12790">
        <v>53.08</v>
      </c>
      <c r="E12790">
        <v>162</v>
      </c>
      <c r="F12790">
        <v>76</v>
      </c>
      <c r="G12790">
        <v>1</v>
      </c>
      <c r="H12790">
        <v>1</v>
      </c>
      <c r="I12790">
        <v>162</v>
      </c>
      <c r="J12790">
        <v>1</v>
      </c>
      <c r="K12790">
        <v>23</v>
      </c>
      <c r="L12790">
        <v>183</v>
      </c>
      <c r="M12790">
        <v>1</v>
      </c>
      <c r="N12790">
        <v>3.6208100000000003E-46</v>
      </c>
      <c r="O12790">
        <v>458</v>
      </c>
    </row>
    <row r="12791" spans="1:15" x14ac:dyDescent="0.25">
      <c r="A12791" t="s">
        <v>12804</v>
      </c>
      <c r="B12791">
        <v>120</v>
      </c>
      <c r="C12791" s="1" t="str">
        <f>HYPERLINK("http://www.rosaceae.org/gb/gbrowse/malus_x_domestica/?name=MDP0000142196","MDP0000142196")</f>
        <v>MDP0000142196</v>
      </c>
      <c r="D12791">
        <v>65.28</v>
      </c>
      <c r="E12791">
        <v>121</v>
      </c>
      <c r="F12791">
        <v>42</v>
      </c>
      <c r="G12791">
        <v>2</v>
      </c>
      <c r="H12791">
        <v>2</v>
      </c>
      <c r="I12791">
        <v>120</v>
      </c>
      <c r="J12791">
        <v>1</v>
      </c>
      <c r="K12791">
        <v>61</v>
      </c>
      <c r="L12791">
        <v>181</v>
      </c>
      <c r="M12791">
        <v>1</v>
      </c>
      <c r="N12791">
        <v>1.3489699999999999E-39</v>
      </c>
      <c r="O12791">
        <v>399</v>
      </c>
    </row>
    <row r="12792" spans="1:15" x14ac:dyDescent="0.25">
      <c r="A12792" t="s">
        <v>12805</v>
      </c>
      <c r="B12792">
        <v>331</v>
      </c>
      <c r="C12792" s="1" t="str">
        <f>HYPERLINK("http://www.rosaceae.org/gb/gbrowse/malus_x_domestica/?name=MDP0000307070","MDP0000307070")</f>
        <v>MDP0000307070</v>
      </c>
      <c r="D12792">
        <v>70.34</v>
      </c>
      <c r="E12792">
        <v>263</v>
      </c>
      <c r="F12792">
        <v>78</v>
      </c>
      <c r="G12792">
        <v>22</v>
      </c>
      <c r="H12792">
        <v>85</v>
      </c>
      <c r="I12792">
        <v>326</v>
      </c>
      <c r="J12792">
        <v>1</v>
      </c>
      <c r="K12792">
        <v>1</v>
      </c>
      <c r="L12792">
        <v>262</v>
      </c>
      <c r="M12792">
        <v>1</v>
      </c>
      <c r="N12792">
        <v>3.02767E-96</v>
      </c>
      <c r="O12792">
        <v>894</v>
      </c>
    </row>
    <row r="12793" spans="1:15" x14ac:dyDescent="0.25">
      <c r="A12793" t="s">
        <v>12806</v>
      </c>
      <c r="B12793">
        <v>255</v>
      </c>
      <c r="C12793" s="1" t="str">
        <f>HYPERLINK("http://www.rosaceae.org/gb/gbrowse/malus_x_domestica/?name=MDP0000757066","MDP0000757066")</f>
        <v>MDP0000757066</v>
      </c>
      <c r="D12793">
        <v>34.07</v>
      </c>
      <c r="E12793">
        <v>226</v>
      </c>
      <c r="F12793">
        <v>149</v>
      </c>
      <c r="G12793">
        <v>46</v>
      </c>
      <c r="H12793">
        <v>1</v>
      </c>
      <c r="I12793">
        <v>181</v>
      </c>
      <c r="J12793">
        <v>1</v>
      </c>
      <c r="K12793">
        <v>46</v>
      </c>
      <c r="L12793">
        <v>270</v>
      </c>
      <c r="M12793">
        <v>1</v>
      </c>
      <c r="N12793">
        <v>2.54514E-28</v>
      </c>
      <c r="O12793">
        <v>307</v>
      </c>
    </row>
    <row r="12794" spans="1:15" x14ac:dyDescent="0.25">
      <c r="A12794" t="s">
        <v>12807</v>
      </c>
      <c r="B12794">
        <v>325</v>
      </c>
      <c r="C12794" s="1" t="str">
        <f>HYPERLINK("http://www.rosaceae.org/gb/gbrowse/malus_x_domestica/?name=MDP0000940888","MDP0000940888")</f>
        <v>MDP0000940888</v>
      </c>
      <c r="D12794">
        <v>80.95</v>
      </c>
      <c r="E12794">
        <v>126</v>
      </c>
      <c r="F12794">
        <v>24</v>
      </c>
      <c r="G12794">
        <v>2</v>
      </c>
      <c r="H12794">
        <v>1</v>
      </c>
      <c r="I12794">
        <v>126</v>
      </c>
      <c r="J12794">
        <v>1</v>
      </c>
      <c r="K12794">
        <v>1</v>
      </c>
      <c r="L12794">
        <v>124</v>
      </c>
      <c r="M12794">
        <v>1</v>
      </c>
      <c r="N12794">
        <v>9.3502700000000002E-57</v>
      </c>
      <c r="O12794">
        <v>554</v>
      </c>
    </row>
    <row r="12795" spans="1:15" x14ac:dyDescent="0.25">
      <c r="A12795" t="s">
        <v>12808</v>
      </c>
      <c r="B12795">
        <v>323</v>
      </c>
      <c r="C12795" s="1" t="str">
        <f>HYPERLINK("http://www.rosaceae.org/gb/gbrowse/malus_x_domestica/?name=MDP0000155792","MDP0000155792")</f>
        <v>MDP0000155792</v>
      </c>
      <c r="D12795">
        <v>73.75</v>
      </c>
      <c r="E12795">
        <v>160</v>
      </c>
      <c r="F12795">
        <v>42</v>
      </c>
      <c r="G12795">
        <v>3</v>
      </c>
      <c r="H12795">
        <v>163</v>
      </c>
      <c r="I12795">
        <v>322</v>
      </c>
      <c r="J12795">
        <v>1</v>
      </c>
      <c r="K12795">
        <v>10</v>
      </c>
      <c r="L12795">
        <v>166</v>
      </c>
      <c r="M12795">
        <v>1</v>
      </c>
      <c r="N12795">
        <v>1.07516E-61</v>
      </c>
      <c r="O12795">
        <v>596</v>
      </c>
    </row>
    <row r="12796" spans="1:15" x14ac:dyDescent="0.25">
      <c r="A12796" t="s">
        <v>12809</v>
      </c>
      <c r="B12796">
        <v>348</v>
      </c>
      <c r="C12796" s="1" t="str">
        <f>HYPERLINK("http://www.rosaceae.org/gb/gbrowse/malus_x_domestica/?name=MDP0000188072","MDP0000188072")</f>
        <v>MDP0000188072</v>
      </c>
      <c r="D12796">
        <v>56.43</v>
      </c>
      <c r="E12796">
        <v>202</v>
      </c>
      <c r="F12796">
        <v>88</v>
      </c>
      <c r="G12796">
        <v>23</v>
      </c>
      <c r="H12796">
        <v>1</v>
      </c>
      <c r="I12796">
        <v>185</v>
      </c>
      <c r="J12796">
        <v>1</v>
      </c>
      <c r="K12796">
        <v>1</v>
      </c>
      <c r="L12796">
        <v>196</v>
      </c>
      <c r="M12796">
        <v>1</v>
      </c>
      <c r="N12796">
        <v>3.3189900000000001E-57</v>
      </c>
      <c r="O12796">
        <v>558</v>
      </c>
    </row>
    <row r="12797" spans="1:15" x14ac:dyDescent="0.25">
      <c r="A12797" t="s">
        <v>12810</v>
      </c>
      <c r="B12797">
        <v>289</v>
      </c>
      <c r="C12797" s="1" t="str">
        <f>HYPERLINK("http://www.rosaceae.org/gb/gbrowse/malus_x_domestica/?name=MDP0000139362","MDP0000139362")</f>
        <v>MDP0000139362</v>
      </c>
      <c r="D12797">
        <v>78.12</v>
      </c>
      <c r="E12797">
        <v>32</v>
      </c>
      <c r="F12797">
        <v>7</v>
      </c>
      <c r="G12797">
        <v>0</v>
      </c>
      <c r="H12797">
        <v>72</v>
      </c>
      <c r="I12797">
        <v>103</v>
      </c>
      <c r="J12797">
        <v>1</v>
      </c>
      <c r="K12797">
        <v>211</v>
      </c>
      <c r="L12797">
        <v>242</v>
      </c>
      <c r="M12797">
        <v>1</v>
      </c>
      <c r="N12797">
        <v>1.60253E-7</v>
      </c>
      <c r="O12797">
        <v>129</v>
      </c>
    </row>
    <row r="12798" spans="1:15" x14ac:dyDescent="0.25">
      <c r="A12798" t="s">
        <v>12811</v>
      </c>
      <c r="B12798">
        <v>209</v>
      </c>
      <c r="C12798" s="1" t="str">
        <f>HYPERLINK("http://www.rosaceae.org/gb/gbrowse/malus_x_domestica/?name=MDP0000207132","MDP0000207132")</f>
        <v>MDP0000207132</v>
      </c>
      <c r="D12798">
        <v>41.43</v>
      </c>
      <c r="E12798">
        <v>181</v>
      </c>
      <c r="F12798">
        <v>106</v>
      </c>
      <c r="G12798">
        <v>28</v>
      </c>
      <c r="H12798">
        <v>1</v>
      </c>
      <c r="I12798">
        <v>153</v>
      </c>
      <c r="J12798">
        <v>1</v>
      </c>
      <c r="K12798">
        <v>36</v>
      </c>
      <c r="L12798">
        <v>216</v>
      </c>
      <c r="M12798">
        <v>1</v>
      </c>
      <c r="N12798">
        <v>4.2146199999999999E-31</v>
      </c>
      <c r="O12798">
        <v>330</v>
      </c>
    </row>
    <row r="12799" spans="1:15" x14ac:dyDescent="0.25">
      <c r="A12799" t="s">
        <v>12812</v>
      </c>
      <c r="B12799">
        <v>389</v>
      </c>
      <c r="C12799" s="1" t="str">
        <f>HYPERLINK("http://www.rosaceae.org/gb/gbrowse/malus_x_domestica/?name=MDP0000089368","MDP0000089368")</f>
        <v>MDP0000089368</v>
      </c>
      <c r="D12799">
        <v>75.06</v>
      </c>
      <c r="E12799">
        <v>389</v>
      </c>
      <c r="F12799">
        <v>97</v>
      </c>
      <c r="G12799">
        <v>36</v>
      </c>
      <c r="H12799">
        <v>19</v>
      </c>
      <c r="I12799">
        <v>389</v>
      </c>
      <c r="J12799">
        <v>1</v>
      </c>
      <c r="K12799">
        <v>1</v>
      </c>
      <c r="L12799">
        <v>371</v>
      </c>
      <c r="M12799">
        <v>1</v>
      </c>
      <c r="N12799">
        <v>5.0820899999999999E-163</v>
      </c>
      <c r="O12799">
        <v>1471</v>
      </c>
    </row>
    <row r="12800" spans="1:15" x14ac:dyDescent="0.25">
      <c r="A12800" t="s">
        <v>12813</v>
      </c>
      <c r="B12800">
        <v>992</v>
      </c>
      <c r="C12800" s="1" t="str">
        <f>HYPERLINK("http://www.rosaceae.org/gb/gbrowse/malus_x_domestica/?name=MDP0000239938","MDP0000239938")</f>
        <v>MDP0000239938</v>
      </c>
      <c r="D12800">
        <v>66.66</v>
      </c>
      <c r="E12800">
        <v>987</v>
      </c>
      <c r="F12800">
        <v>329</v>
      </c>
      <c r="G12800">
        <v>35</v>
      </c>
      <c r="H12800">
        <v>1</v>
      </c>
      <c r="I12800">
        <v>975</v>
      </c>
      <c r="J12800">
        <v>1</v>
      </c>
      <c r="K12800">
        <v>1</v>
      </c>
      <c r="L12800">
        <v>964</v>
      </c>
      <c r="M12800">
        <v>1</v>
      </c>
      <c r="N12800">
        <v>0</v>
      </c>
      <c r="O12800">
        <v>3322</v>
      </c>
    </row>
    <row r="12801" spans="1:15" x14ac:dyDescent="0.25">
      <c r="A12801" t="s">
        <v>12814</v>
      </c>
      <c r="B12801">
        <v>344</v>
      </c>
      <c r="C12801" s="1" t="str">
        <f>HYPERLINK("http://www.rosaceae.org/gb/gbrowse/malus_x_domestica/?name=MDP0000573321","MDP0000573321")</f>
        <v>MDP0000573321</v>
      </c>
      <c r="D12801">
        <v>53.77</v>
      </c>
      <c r="E12801">
        <v>305</v>
      </c>
      <c r="F12801">
        <v>141</v>
      </c>
      <c r="G12801">
        <v>16</v>
      </c>
      <c r="H12801">
        <v>48</v>
      </c>
      <c r="I12801">
        <v>344</v>
      </c>
      <c r="J12801">
        <v>1</v>
      </c>
      <c r="K12801">
        <v>55</v>
      </c>
      <c r="L12801">
        <v>351</v>
      </c>
      <c r="M12801">
        <v>1</v>
      </c>
      <c r="N12801">
        <v>1.1132699999999999E-84</v>
      </c>
      <c r="O12801">
        <v>795</v>
      </c>
    </row>
    <row r="12802" spans="1:15" x14ac:dyDescent="0.25">
      <c r="A12802" t="s">
        <v>12815</v>
      </c>
      <c r="B12802">
        <v>566</v>
      </c>
      <c r="C12802" s="1" t="str">
        <f>HYPERLINK("http://www.rosaceae.org/gb/gbrowse/malus_x_domestica/?name=MDP0000148767","MDP0000148767")</f>
        <v>MDP0000148767</v>
      </c>
      <c r="D12802">
        <v>71.12</v>
      </c>
      <c r="E12802">
        <v>329</v>
      </c>
      <c r="F12802">
        <v>95</v>
      </c>
      <c r="G12802">
        <v>34</v>
      </c>
      <c r="H12802">
        <v>265</v>
      </c>
      <c r="I12802">
        <v>559</v>
      </c>
      <c r="J12802">
        <v>1</v>
      </c>
      <c r="K12802">
        <v>13</v>
      </c>
      <c r="L12802">
        <v>341</v>
      </c>
      <c r="M12802">
        <v>1</v>
      </c>
      <c r="N12802">
        <v>3.0341E-135</v>
      </c>
      <c r="O12802">
        <v>1233</v>
      </c>
    </row>
    <row r="12803" spans="1:15" x14ac:dyDescent="0.25">
      <c r="A12803" t="s">
        <v>12816</v>
      </c>
      <c r="B12803">
        <v>312</v>
      </c>
      <c r="C12803" s="1" t="str">
        <f>HYPERLINK("http://www.rosaceae.org/gb/gbrowse/malus_x_domestica/?name=MDP0000122563","MDP0000122563")</f>
        <v>MDP0000122563</v>
      </c>
      <c r="D12803">
        <v>62.32</v>
      </c>
      <c r="E12803">
        <v>215</v>
      </c>
      <c r="F12803">
        <v>81</v>
      </c>
      <c r="G12803">
        <v>14</v>
      </c>
      <c r="H12803">
        <v>104</v>
      </c>
      <c r="I12803">
        <v>309</v>
      </c>
      <c r="J12803">
        <v>1</v>
      </c>
      <c r="K12803">
        <v>49</v>
      </c>
      <c r="L12803">
        <v>258</v>
      </c>
      <c r="M12803">
        <v>1</v>
      </c>
      <c r="N12803">
        <v>1.51174E-61</v>
      </c>
      <c r="O12803">
        <v>595</v>
      </c>
    </row>
    <row r="12804" spans="1:15" x14ac:dyDescent="0.25">
      <c r="A12804" t="s">
        <v>12817</v>
      </c>
      <c r="B12804">
        <v>223</v>
      </c>
      <c r="C12804" s="1" t="str">
        <f>HYPERLINK("http://www.rosaceae.org/gb/gbrowse/malus_x_domestica/?name=MDP0000256723","MDP0000256723")</f>
        <v>MDP0000256723</v>
      </c>
      <c r="D12804">
        <v>56.7</v>
      </c>
      <c r="E12804">
        <v>97</v>
      </c>
      <c r="F12804">
        <v>42</v>
      </c>
      <c r="G12804">
        <v>2</v>
      </c>
      <c r="H12804">
        <v>123</v>
      </c>
      <c r="I12804">
        <v>217</v>
      </c>
      <c r="J12804">
        <v>1</v>
      </c>
      <c r="K12804">
        <v>542</v>
      </c>
      <c r="L12804">
        <v>638</v>
      </c>
      <c r="M12804">
        <v>1</v>
      </c>
      <c r="N12804">
        <v>4.2924100000000001E-24</v>
      </c>
      <c r="O12804">
        <v>270</v>
      </c>
    </row>
    <row r="12805" spans="1:15" x14ac:dyDescent="0.25">
      <c r="A12805" t="s">
        <v>12818</v>
      </c>
      <c r="B12805">
        <v>1967</v>
      </c>
      <c r="C12805" s="1" t="str">
        <f>HYPERLINK("http://www.rosaceae.org/gb/gbrowse/malus_x_domestica/?name=MDP0000411671","MDP0000411671")</f>
        <v>MDP0000411671</v>
      </c>
      <c r="D12805">
        <v>40.71</v>
      </c>
      <c r="E12805">
        <v>280</v>
      </c>
      <c r="F12805">
        <v>166</v>
      </c>
      <c r="G12805">
        <v>9</v>
      </c>
      <c r="H12805">
        <v>1565</v>
      </c>
      <c r="I12805">
        <v>1842</v>
      </c>
      <c r="J12805">
        <v>1</v>
      </c>
      <c r="K12805">
        <v>85</v>
      </c>
      <c r="L12805">
        <v>357</v>
      </c>
      <c r="M12805">
        <v>1</v>
      </c>
      <c r="N12805">
        <v>6.8844700000000004E-53</v>
      </c>
      <c r="O12805">
        <v>528</v>
      </c>
    </row>
    <row r="12806" spans="1:15" x14ac:dyDescent="0.25">
      <c r="A12806" t="s">
        <v>12819</v>
      </c>
      <c r="B12806">
        <v>168</v>
      </c>
      <c r="C12806" s="1" t="str">
        <f>HYPERLINK("http://www.rosaceae.org/gb/gbrowse/malus_x_domestica/?name=MDP0000290090","MDP0000290090")</f>
        <v>MDP0000290090</v>
      </c>
      <c r="D12806">
        <v>55.55</v>
      </c>
      <c r="E12806">
        <v>72</v>
      </c>
      <c r="F12806">
        <v>32</v>
      </c>
      <c r="G12806">
        <v>4</v>
      </c>
      <c r="H12806">
        <v>98</v>
      </c>
      <c r="I12806">
        <v>167</v>
      </c>
      <c r="J12806">
        <v>1</v>
      </c>
      <c r="K12806">
        <v>15</v>
      </c>
      <c r="L12806">
        <v>84</v>
      </c>
      <c r="M12806">
        <v>1</v>
      </c>
      <c r="N12806">
        <v>5.5156500000000005E-10</v>
      </c>
      <c r="O12806">
        <v>146</v>
      </c>
    </row>
    <row r="12807" spans="1:15" x14ac:dyDescent="0.25">
      <c r="A12807" t="s">
        <v>12820</v>
      </c>
      <c r="B12807">
        <v>779</v>
      </c>
      <c r="C12807" s="1" t="str">
        <f>HYPERLINK("http://www.rosaceae.org/gb/gbrowse/malus_x_domestica/?name=MDP0000139623","MDP0000139623")</f>
        <v>MDP0000139623</v>
      </c>
      <c r="D12807">
        <v>38.979999999999997</v>
      </c>
      <c r="E12807">
        <v>118</v>
      </c>
      <c r="F12807">
        <v>72</v>
      </c>
      <c r="G12807">
        <v>4</v>
      </c>
      <c r="H12807">
        <v>444</v>
      </c>
      <c r="I12807">
        <v>558</v>
      </c>
      <c r="J12807">
        <v>1</v>
      </c>
      <c r="K12807">
        <v>521</v>
      </c>
      <c r="L12807">
        <v>637</v>
      </c>
      <c r="M12807">
        <v>1</v>
      </c>
      <c r="N12807">
        <v>6.1466300000000005E-19</v>
      </c>
      <c r="O12807">
        <v>232</v>
      </c>
    </row>
    <row r="12808" spans="1:15" x14ac:dyDescent="0.25">
      <c r="A12808" t="s">
        <v>12821</v>
      </c>
      <c r="B12808">
        <v>758</v>
      </c>
      <c r="C12808" s="1" t="str">
        <f>HYPERLINK("http://www.rosaceae.org/gb/gbrowse/malus_x_domestica/?name=MDP0000175360","MDP0000175360")</f>
        <v>MDP0000175360</v>
      </c>
      <c r="D12808">
        <v>52.79</v>
      </c>
      <c r="E12808">
        <v>555</v>
      </c>
      <c r="F12808">
        <v>262</v>
      </c>
      <c r="G12808">
        <v>62</v>
      </c>
      <c r="H12808">
        <v>30</v>
      </c>
      <c r="I12808">
        <v>532</v>
      </c>
      <c r="J12808">
        <v>1</v>
      </c>
      <c r="K12808">
        <v>138</v>
      </c>
      <c r="L12808">
        <v>682</v>
      </c>
      <c r="M12808">
        <v>1</v>
      </c>
      <c r="N12808">
        <v>2.5091700000000001E-150</v>
      </c>
      <c r="O12808">
        <v>1365</v>
      </c>
    </row>
    <row r="12809" spans="1:15" x14ac:dyDescent="0.25">
      <c r="A12809" t="s">
        <v>12822</v>
      </c>
      <c r="B12809">
        <v>162</v>
      </c>
      <c r="C12809" s="1" t="str">
        <f>HYPERLINK("http://www.rosaceae.org/gb/gbrowse/malus_x_domestica/?name=MDP0000320770","MDP0000320770")</f>
        <v>MDP0000320770</v>
      </c>
      <c r="D12809">
        <v>70.88</v>
      </c>
      <c r="E12809">
        <v>158</v>
      </c>
      <c r="F12809">
        <v>46</v>
      </c>
      <c r="G12809">
        <v>0</v>
      </c>
      <c r="H12809">
        <v>5</v>
      </c>
      <c r="I12809">
        <v>162</v>
      </c>
      <c r="J12809">
        <v>1</v>
      </c>
      <c r="K12809">
        <v>3</v>
      </c>
      <c r="L12809">
        <v>160</v>
      </c>
      <c r="M12809">
        <v>1</v>
      </c>
      <c r="N12809">
        <v>1.80314E-62</v>
      </c>
      <c r="O12809">
        <v>599</v>
      </c>
    </row>
    <row r="12810" spans="1:15" x14ac:dyDescent="0.25">
      <c r="A12810" t="s">
        <v>12823</v>
      </c>
      <c r="B12810">
        <v>351</v>
      </c>
      <c r="C12810" s="1" t="str">
        <f>HYPERLINK("http://www.rosaceae.org/gb/gbrowse/malus_x_domestica/?name=MDP0000274423","MDP0000274423")</f>
        <v>MDP0000274423</v>
      </c>
      <c r="D12810">
        <v>54.49</v>
      </c>
      <c r="E12810">
        <v>356</v>
      </c>
      <c r="F12810">
        <v>162</v>
      </c>
      <c r="G12810">
        <v>10</v>
      </c>
      <c r="H12810">
        <v>4</v>
      </c>
      <c r="I12810">
        <v>349</v>
      </c>
      <c r="J12810">
        <v>1</v>
      </c>
      <c r="K12810">
        <v>4</v>
      </c>
      <c r="L12810">
        <v>359</v>
      </c>
      <c r="M12810">
        <v>1</v>
      </c>
      <c r="N12810">
        <v>4.6220799999999996E-108</v>
      </c>
      <c r="O12810">
        <v>997</v>
      </c>
    </row>
    <row r="12811" spans="1:15" x14ac:dyDescent="0.25">
      <c r="A12811" t="s">
        <v>12824</v>
      </c>
      <c r="B12811">
        <v>531</v>
      </c>
      <c r="C12811" s="1" t="str">
        <f>HYPERLINK("http://www.rosaceae.org/gb/gbrowse/malus_x_domestica/?name=MDP0000272544","MDP0000272544")</f>
        <v>MDP0000272544</v>
      </c>
      <c r="D12811">
        <v>53.94</v>
      </c>
      <c r="E12811">
        <v>152</v>
      </c>
      <c r="F12811">
        <v>70</v>
      </c>
      <c r="G12811">
        <v>20</v>
      </c>
      <c r="H12811">
        <v>226</v>
      </c>
      <c r="I12811">
        <v>375</v>
      </c>
      <c r="J12811">
        <v>1</v>
      </c>
      <c r="K12811">
        <v>1</v>
      </c>
      <c r="L12811">
        <v>134</v>
      </c>
      <c r="M12811">
        <v>1</v>
      </c>
      <c r="N12811">
        <v>7.4436300000000003E-38</v>
      </c>
      <c r="O12811">
        <v>393</v>
      </c>
    </row>
    <row r="12812" spans="1:15" x14ac:dyDescent="0.25">
      <c r="A12812" t="s">
        <v>12825</v>
      </c>
      <c r="B12812">
        <v>444</v>
      </c>
      <c r="C12812" s="1" t="str">
        <f>HYPERLINK("http://www.rosaceae.org/gb/gbrowse/malus_x_domestica/?name=MDP0000764740","MDP0000764740")</f>
        <v>MDP0000764740</v>
      </c>
      <c r="D12812">
        <v>55.07</v>
      </c>
      <c r="E12812">
        <v>414</v>
      </c>
      <c r="F12812">
        <v>186</v>
      </c>
      <c r="G12812">
        <v>13</v>
      </c>
      <c r="H12812">
        <v>10</v>
      </c>
      <c r="I12812">
        <v>422</v>
      </c>
      <c r="J12812">
        <v>1</v>
      </c>
      <c r="K12812">
        <v>4</v>
      </c>
      <c r="L12812">
        <v>405</v>
      </c>
      <c r="M12812">
        <v>1</v>
      </c>
      <c r="N12812">
        <v>6.5217600000000005E-126</v>
      </c>
      <c r="O12812">
        <v>1152</v>
      </c>
    </row>
    <row r="12813" spans="1:15" x14ac:dyDescent="0.25">
      <c r="A12813" t="s">
        <v>12826</v>
      </c>
      <c r="B12813">
        <v>126</v>
      </c>
      <c r="C12813" s="1" t="str">
        <f>HYPERLINK("http://www.rosaceae.org/gb/gbrowse/malus_x_domestica/?name=MDP0000312638","MDP0000312638")</f>
        <v>MDP0000312638</v>
      </c>
      <c r="D12813">
        <v>58.64</v>
      </c>
      <c r="E12813">
        <v>133</v>
      </c>
      <c r="F12813">
        <v>55</v>
      </c>
      <c r="G12813">
        <v>11</v>
      </c>
      <c r="H12813">
        <v>1</v>
      </c>
      <c r="I12813">
        <v>126</v>
      </c>
      <c r="J12813">
        <v>1</v>
      </c>
      <c r="K12813">
        <v>1</v>
      </c>
      <c r="L12813">
        <v>129</v>
      </c>
      <c r="M12813">
        <v>1</v>
      </c>
      <c r="N12813">
        <v>1.3257699999999999E-26</v>
      </c>
      <c r="O12813">
        <v>287</v>
      </c>
    </row>
    <row r="12814" spans="1:15" x14ac:dyDescent="0.25">
      <c r="A12814" t="s">
        <v>12827</v>
      </c>
      <c r="B12814">
        <v>468</v>
      </c>
      <c r="C12814" s="1" t="str">
        <f>HYPERLINK("http://www.rosaceae.org/gb/gbrowse/malus_x_domestica/?name=MDP0000505478","MDP0000505478")</f>
        <v>MDP0000505478</v>
      </c>
      <c r="D12814">
        <v>59.72</v>
      </c>
      <c r="E12814">
        <v>437</v>
      </c>
      <c r="F12814">
        <v>176</v>
      </c>
      <c r="G12814">
        <v>4</v>
      </c>
      <c r="H12814">
        <v>24</v>
      </c>
      <c r="I12814">
        <v>458</v>
      </c>
      <c r="J12814">
        <v>1</v>
      </c>
      <c r="K12814">
        <v>7</v>
      </c>
      <c r="L12814">
        <v>441</v>
      </c>
      <c r="M12814">
        <v>1</v>
      </c>
      <c r="N12814">
        <v>9.6921099999999994E-148</v>
      </c>
      <c r="O12814">
        <v>1340</v>
      </c>
    </row>
    <row r="12815" spans="1:15" x14ac:dyDescent="0.25">
      <c r="A12815" t="s">
        <v>12828</v>
      </c>
      <c r="B12815">
        <v>438</v>
      </c>
      <c r="C12815" s="1" t="str">
        <f>HYPERLINK("http://www.rosaceae.org/gb/gbrowse/malus_x_domestica/?name=MDP0000775116","MDP0000775116")</f>
        <v>MDP0000775116</v>
      </c>
      <c r="D12815">
        <v>33.869999999999997</v>
      </c>
      <c r="E12815">
        <v>493</v>
      </c>
      <c r="F12815">
        <v>326</v>
      </c>
      <c r="G12815">
        <v>83</v>
      </c>
      <c r="H12815">
        <v>4</v>
      </c>
      <c r="I12815">
        <v>428</v>
      </c>
      <c r="J12815">
        <v>1</v>
      </c>
      <c r="K12815">
        <v>5</v>
      </c>
      <c r="L12815">
        <v>482</v>
      </c>
      <c r="M12815">
        <v>1</v>
      </c>
      <c r="N12815">
        <v>4.3728199999999999E-56</v>
      </c>
      <c r="O12815">
        <v>550</v>
      </c>
    </row>
    <row r="12816" spans="1:15" x14ac:dyDescent="0.25">
      <c r="A12816" t="s">
        <v>12829</v>
      </c>
      <c r="B12816">
        <v>206</v>
      </c>
      <c r="C12816" s="1" t="str">
        <f>HYPERLINK("http://www.rosaceae.org/gb/gbrowse/malus_x_domestica/?name=MDP0000247088","MDP0000247088")</f>
        <v>MDP0000247088</v>
      </c>
      <c r="D12816">
        <v>43.18</v>
      </c>
      <c r="E12816">
        <v>176</v>
      </c>
      <c r="F12816">
        <v>100</v>
      </c>
      <c r="G12816">
        <v>16</v>
      </c>
      <c r="H12816">
        <v>1</v>
      </c>
      <c r="I12816">
        <v>161</v>
      </c>
      <c r="J12816">
        <v>1</v>
      </c>
      <c r="K12816">
        <v>1</v>
      </c>
      <c r="L12816">
        <v>175</v>
      </c>
      <c r="M12816">
        <v>1</v>
      </c>
      <c r="N12816">
        <v>3.50271E-27</v>
      </c>
      <c r="O12816">
        <v>296</v>
      </c>
    </row>
    <row r="12817" spans="1:15" x14ac:dyDescent="0.25">
      <c r="A12817" t="s">
        <v>12830</v>
      </c>
      <c r="B12817">
        <v>1301</v>
      </c>
      <c r="C12817" s="1" t="str">
        <f>HYPERLINK("http://www.rosaceae.org/gb/gbrowse/malus_x_domestica/?name=MDP0000302716","MDP0000302716")</f>
        <v>MDP0000302716</v>
      </c>
      <c r="D12817">
        <v>73.430000000000007</v>
      </c>
      <c r="E12817">
        <v>1291</v>
      </c>
      <c r="F12817">
        <v>343</v>
      </c>
      <c r="G12817">
        <v>11</v>
      </c>
      <c r="H12817">
        <v>4</v>
      </c>
      <c r="I12817">
        <v>1289</v>
      </c>
      <c r="J12817">
        <v>1</v>
      </c>
      <c r="K12817">
        <v>3</v>
      </c>
      <c r="L12817">
        <v>1287</v>
      </c>
      <c r="M12817">
        <v>1</v>
      </c>
      <c r="N12817">
        <v>0</v>
      </c>
      <c r="O12817">
        <v>4816</v>
      </c>
    </row>
    <row r="12818" spans="1:15" x14ac:dyDescent="0.25">
      <c r="A12818" t="s">
        <v>12831</v>
      </c>
      <c r="B12818">
        <v>372</v>
      </c>
      <c r="C12818" s="1" t="str">
        <f>HYPERLINK("http://www.rosaceae.org/gb/gbrowse/malus_x_domestica/?name=MDP0000183012","MDP0000183012")</f>
        <v>MDP0000183012</v>
      </c>
      <c r="D12818">
        <v>62.76</v>
      </c>
      <c r="E12818">
        <v>333</v>
      </c>
      <c r="F12818">
        <v>124</v>
      </c>
      <c r="G12818">
        <v>49</v>
      </c>
      <c r="H12818">
        <v>46</v>
      </c>
      <c r="I12818">
        <v>329</v>
      </c>
      <c r="J12818">
        <v>1</v>
      </c>
      <c r="K12818">
        <v>6</v>
      </c>
      <c r="L12818">
        <v>338</v>
      </c>
      <c r="M12818">
        <v>1</v>
      </c>
      <c r="N12818">
        <v>6.0725200000000002E-113</v>
      </c>
      <c r="O12818">
        <v>1039</v>
      </c>
    </row>
    <row r="12819" spans="1:15" x14ac:dyDescent="0.25">
      <c r="A12819" t="s">
        <v>12832</v>
      </c>
      <c r="B12819">
        <v>270</v>
      </c>
      <c r="C12819" s="1" t="str">
        <f>HYPERLINK("http://www.rosaceae.org/gb/gbrowse/malus_x_domestica/?name=MDP0000460358","MDP0000460358")</f>
        <v>MDP0000460358</v>
      </c>
      <c r="D12819">
        <v>69.3</v>
      </c>
      <c r="E12819">
        <v>101</v>
      </c>
      <c r="F12819">
        <v>31</v>
      </c>
      <c r="G12819">
        <v>5</v>
      </c>
      <c r="H12819">
        <v>1</v>
      </c>
      <c r="I12819">
        <v>98</v>
      </c>
      <c r="J12819">
        <v>1</v>
      </c>
      <c r="K12819">
        <v>1</v>
      </c>
      <c r="L12819">
        <v>99</v>
      </c>
      <c r="M12819">
        <v>1</v>
      </c>
      <c r="N12819">
        <v>2.7141999999999999E-36</v>
      </c>
      <c r="O12819">
        <v>376</v>
      </c>
    </row>
    <row r="12820" spans="1:15" x14ac:dyDescent="0.25">
      <c r="A12820" t="s">
        <v>12833</v>
      </c>
      <c r="B12820">
        <v>370</v>
      </c>
      <c r="C12820" s="1" t="str">
        <f>HYPERLINK("http://www.rosaceae.org/gb/gbrowse/malus_x_domestica/?name=MDP0000819495","MDP0000819495")</f>
        <v>MDP0000819495</v>
      </c>
      <c r="D12820">
        <v>51.72</v>
      </c>
      <c r="E12820">
        <v>261</v>
      </c>
      <c r="F12820">
        <v>126</v>
      </c>
      <c r="G12820">
        <v>2</v>
      </c>
      <c r="H12820">
        <v>110</v>
      </c>
      <c r="I12820">
        <v>370</v>
      </c>
      <c r="J12820">
        <v>1</v>
      </c>
      <c r="K12820">
        <v>410</v>
      </c>
      <c r="L12820">
        <v>668</v>
      </c>
      <c r="M12820">
        <v>1</v>
      </c>
      <c r="N12820">
        <v>1.4782600000000001E-68</v>
      </c>
      <c r="O12820">
        <v>656</v>
      </c>
    </row>
    <row r="12821" spans="1:15" x14ac:dyDescent="0.25">
      <c r="A12821" t="s">
        <v>12834</v>
      </c>
      <c r="B12821">
        <v>137</v>
      </c>
      <c r="C12821" s="1" t="str">
        <f>HYPERLINK("http://www.rosaceae.org/gb/gbrowse/malus_x_domestica/?name=MDP0000433388","MDP0000433388")</f>
        <v>MDP0000433388</v>
      </c>
      <c r="D12821">
        <v>65.900000000000006</v>
      </c>
      <c r="E12821">
        <v>132</v>
      </c>
      <c r="F12821">
        <v>45</v>
      </c>
      <c r="G12821">
        <v>20</v>
      </c>
      <c r="H12821">
        <v>6</v>
      </c>
      <c r="I12821">
        <v>137</v>
      </c>
      <c r="J12821">
        <v>1</v>
      </c>
      <c r="K12821">
        <v>7</v>
      </c>
      <c r="L12821">
        <v>118</v>
      </c>
      <c r="M12821">
        <v>1</v>
      </c>
      <c r="N12821">
        <v>6.4745400000000002E-44</v>
      </c>
      <c r="O12821">
        <v>437</v>
      </c>
    </row>
    <row r="12822" spans="1:15" x14ac:dyDescent="0.25">
      <c r="A12822" t="s">
        <v>12835</v>
      </c>
      <c r="B12822">
        <v>1248</v>
      </c>
      <c r="C12822" s="1" t="str">
        <f>HYPERLINK("http://www.rosaceae.org/gb/gbrowse/malus_x_domestica/?name=MDP0000138612","MDP0000138612")</f>
        <v>MDP0000138612</v>
      </c>
      <c r="D12822">
        <v>63.82</v>
      </c>
      <c r="E12822">
        <v>1266</v>
      </c>
      <c r="F12822">
        <v>458</v>
      </c>
      <c r="G12822">
        <v>65</v>
      </c>
      <c r="H12822">
        <v>1</v>
      </c>
      <c r="I12822">
        <v>1245</v>
      </c>
      <c r="J12822">
        <v>1</v>
      </c>
      <c r="K12822">
        <v>1</v>
      </c>
      <c r="L12822">
        <v>1222</v>
      </c>
      <c r="M12822">
        <v>1</v>
      </c>
      <c r="N12822">
        <v>0</v>
      </c>
      <c r="O12822">
        <v>3888</v>
      </c>
    </row>
    <row r="12823" spans="1:15" x14ac:dyDescent="0.25">
      <c r="A12823" t="s">
        <v>12836</v>
      </c>
      <c r="B12823">
        <v>804</v>
      </c>
      <c r="C12823" s="1" t="str">
        <f>HYPERLINK("http://www.rosaceae.org/gb/gbrowse/malus_x_domestica/?name=MDP0000225313","MDP0000225313")</f>
        <v>MDP0000225313</v>
      </c>
      <c r="D12823">
        <v>76.66</v>
      </c>
      <c r="E12823">
        <v>810</v>
      </c>
      <c r="F12823">
        <v>189</v>
      </c>
      <c r="G12823">
        <v>17</v>
      </c>
      <c r="H12823">
        <v>1</v>
      </c>
      <c r="I12823">
        <v>804</v>
      </c>
      <c r="J12823">
        <v>1</v>
      </c>
      <c r="K12823">
        <v>1</v>
      </c>
      <c r="L12823">
        <v>799</v>
      </c>
      <c r="M12823">
        <v>1</v>
      </c>
      <c r="N12823">
        <v>0</v>
      </c>
      <c r="O12823">
        <v>3221</v>
      </c>
    </row>
    <row r="12824" spans="1:15" x14ac:dyDescent="0.25">
      <c r="A12824" t="s">
        <v>12837</v>
      </c>
      <c r="B12824">
        <v>890</v>
      </c>
      <c r="C12824" s="1" t="str">
        <f>HYPERLINK("http://www.rosaceae.org/gb/gbrowse/malus_x_domestica/?name=MDP0000674377","MDP0000674377")</f>
        <v>MDP0000674377</v>
      </c>
      <c r="D12824">
        <v>84.07</v>
      </c>
      <c r="E12824">
        <v>873</v>
      </c>
      <c r="F12824">
        <v>139</v>
      </c>
      <c r="G12824">
        <v>2</v>
      </c>
      <c r="H12824">
        <v>18</v>
      </c>
      <c r="I12824">
        <v>890</v>
      </c>
      <c r="J12824">
        <v>1</v>
      </c>
      <c r="K12824">
        <v>16</v>
      </c>
      <c r="L12824">
        <v>886</v>
      </c>
      <c r="M12824">
        <v>1</v>
      </c>
      <c r="N12824">
        <v>0</v>
      </c>
      <c r="O12824">
        <v>3890</v>
      </c>
    </row>
    <row r="12825" spans="1:15" x14ac:dyDescent="0.25">
      <c r="A12825" t="s">
        <v>12838</v>
      </c>
      <c r="B12825">
        <v>230</v>
      </c>
      <c r="C12825" s="1" t="str">
        <f>HYPERLINK("http://www.rosaceae.org/gb/gbrowse/malus_x_domestica/?name=MDP0000289322","MDP0000289322")</f>
        <v>MDP0000289322</v>
      </c>
      <c r="D12825">
        <v>44.18</v>
      </c>
      <c r="E12825">
        <v>215</v>
      </c>
      <c r="F12825">
        <v>120</v>
      </c>
      <c r="G12825">
        <v>15</v>
      </c>
      <c r="H12825">
        <v>20</v>
      </c>
      <c r="I12825">
        <v>230</v>
      </c>
      <c r="J12825">
        <v>1</v>
      </c>
      <c r="K12825">
        <v>350</v>
      </c>
      <c r="L12825">
        <v>553</v>
      </c>
      <c r="M12825">
        <v>1</v>
      </c>
      <c r="N12825">
        <v>9.8027100000000001E-43</v>
      </c>
      <c r="O12825">
        <v>431</v>
      </c>
    </row>
    <row r="12826" spans="1:15" x14ac:dyDescent="0.25">
      <c r="A12826" t="s">
        <v>12839</v>
      </c>
      <c r="B12826">
        <v>431</v>
      </c>
      <c r="C12826" s="1" t="str">
        <f>HYPERLINK("http://www.rosaceae.org/gb/gbrowse/malus_x_domestica/?name=MDP0000270603","MDP0000270603")</f>
        <v>MDP0000270603</v>
      </c>
      <c r="D12826">
        <v>76.010000000000005</v>
      </c>
      <c r="E12826">
        <v>371</v>
      </c>
      <c r="F12826">
        <v>89</v>
      </c>
      <c r="G12826">
        <v>0</v>
      </c>
      <c r="H12826">
        <v>59</v>
      </c>
      <c r="I12826">
        <v>429</v>
      </c>
      <c r="J12826">
        <v>1</v>
      </c>
      <c r="K12826">
        <v>86</v>
      </c>
      <c r="L12826">
        <v>456</v>
      </c>
      <c r="M12826">
        <v>1</v>
      </c>
      <c r="N12826">
        <v>3.8852899999999999E-160</v>
      </c>
      <c r="O12826">
        <v>1447</v>
      </c>
    </row>
    <row r="12827" spans="1:15" x14ac:dyDescent="0.25">
      <c r="A12827" t="s">
        <v>12840</v>
      </c>
      <c r="B12827">
        <v>280</v>
      </c>
      <c r="C12827" s="1" t="str">
        <f>HYPERLINK("http://www.rosaceae.org/gb/gbrowse/malus_x_domestica/?name=MDP0000874064","MDP0000874064")</f>
        <v>MDP0000874064</v>
      </c>
      <c r="D12827">
        <v>34.630000000000003</v>
      </c>
      <c r="E12827">
        <v>179</v>
      </c>
      <c r="F12827">
        <v>117</v>
      </c>
      <c r="G12827">
        <v>32</v>
      </c>
      <c r="H12827">
        <v>14</v>
      </c>
      <c r="I12827">
        <v>165</v>
      </c>
      <c r="J12827">
        <v>1</v>
      </c>
      <c r="K12827">
        <v>23</v>
      </c>
      <c r="L12827">
        <v>196</v>
      </c>
      <c r="M12827">
        <v>1</v>
      </c>
      <c r="N12827">
        <v>6.8905899999999998E-15</v>
      </c>
      <c r="O12827">
        <v>192</v>
      </c>
    </row>
    <row r="12828" spans="1:15" x14ac:dyDescent="0.25">
      <c r="A12828" t="s">
        <v>12841</v>
      </c>
      <c r="B12828">
        <v>293</v>
      </c>
      <c r="C12828" s="1" t="str">
        <f>HYPERLINK("http://www.rosaceae.org/gb/gbrowse/malus_x_domestica/?name=MDP0000247495","MDP0000247495")</f>
        <v>MDP0000247495</v>
      </c>
      <c r="D12828">
        <v>39.68</v>
      </c>
      <c r="E12828">
        <v>189</v>
      </c>
      <c r="F12828">
        <v>114</v>
      </c>
      <c r="G12828">
        <v>20</v>
      </c>
      <c r="H12828">
        <v>101</v>
      </c>
      <c r="I12828">
        <v>280</v>
      </c>
      <c r="J12828">
        <v>1</v>
      </c>
      <c r="K12828">
        <v>40</v>
      </c>
      <c r="L12828">
        <v>217</v>
      </c>
      <c r="M12828">
        <v>1</v>
      </c>
      <c r="N12828">
        <v>1.6985900000000002E-21</v>
      </c>
      <c r="O12828">
        <v>249</v>
      </c>
    </row>
    <row r="12829" spans="1:15" x14ac:dyDescent="0.25">
      <c r="A12829" t="s">
        <v>12842</v>
      </c>
      <c r="B12829">
        <v>584</v>
      </c>
      <c r="C12829" s="1" t="str">
        <f>HYPERLINK("http://www.rosaceae.org/gb/gbrowse/malus_x_domestica/?name=MDP0000269612","MDP0000269612")</f>
        <v>MDP0000269612</v>
      </c>
      <c r="D12829">
        <v>82.97</v>
      </c>
      <c r="E12829">
        <v>276</v>
      </c>
      <c r="F12829">
        <v>47</v>
      </c>
      <c r="G12829">
        <v>2</v>
      </c>
      <c r="H12829">
        <v>261</v>
      </c>
      <c r="I12829">
        <v>535</v>
      </c>
      <c r="J12829">
        <v>1</v>
      </c>
      <c r="K12829">
        <v>1</v>
      </c>
      <c r="L12829">
        <v>275</v>
      </c>
      <c r="M12829">
        <v>1</v>
      </c>
      <c r="N12829">
        <v>6.8578000000000001E-132</v>
      </c>
      <c r="O12829">
        <v>1205</v>
      </c>
    </row>
    <row r="12830" spans="1:15" x14ac:dyDescent="0.25">
      <c r="A12830" t="s">
        <v>12843</v>
      </c>
      <c r="B12830">
        <v>319</v>
      </c>
      <c r="C12830" s="1" t="str">
        <f>HYPERLINK("http://www.rosaceae.org/gb/gbrowse/malus_x_domestica/?name=MDP0000554950","MDP0000554950")</f>
        <v>MDP0000554950</v>
      </c>
      <c r="D12830">
        <v>68.58</v>
      </c>
      <c r="E12830">
        <v>312</v>
      </c>
      <c r="F12830">
        <v>98</v>
      </c>
      <c r="G12830">
        <v>3</v>
      </c>
      <c r="H12830">
        <v>1</v>
      </c>
      <c r="I12830">
        <v>312</v>
      </c>
      <c r="J12830">
        <v>1</v>
      </c>
      <c r="K12830">
        <v>1</v>
      </c>
      <c r="L12830">
        <v>309</v>
      </c>
      <c r="M12830">
        <v>1</v>
      </c>
      <c r="N12830">
        <v>4.0023900000000003E-126</v>
      </c>
      <c r="O12830">
        <v>1152</v>
      </c>
    </row>
    <row r="12831" spans="1:15" x14ac:dyDescent="0.25">
      <c r="A12831" t="s">
        <v>12844</v>
      </c>
      <c r="B12831">
        <v>315</v>
      </c>
      <c r="C12831" s="1" t="str">
        <f>HYPERLINK("http://www.rosaceae.org/gb/gbrowse/malus_x_domestica/?name=MDP0000266930","MDP0000266930")</f>
        <v>MDP0000266930</v>
      </c>
      <c r="D12831">
        <v>75.86</v>
      </c>
      <c r="E12831">
        <v>348</v>
      </c>
      <c r="F12831">
        <v>84</v>
      </c>
      <c r="G12831">
        <v>34</v>
      </c>
      <c r="H12831">
        <v>1</v>
      </c>
      <c r="I12831">
        <v>315</v>
      </c>
      <c r="J12831">
        <v>1</v>
      </c>
      <c r="K12831">
        <v>84</v>
      </c>
      <c r="L12831">
        <v>430</v>
      </c>
      <c r="M12831">
        <v>1</v>
      </c>
      <c r="N12831">
        <v>4.3856800000000003E-149</v>
      </c>
      <c r="O12831">
        <v>1350</v>
      </c>
    </row>
    <row r="12832" spans="1:15" x14ac:dyDescent="0.25">
      <c r="A12832" t="s">
        <v>12845</v>
      </c>
      <c r="B12832">
        <v>649</v>
      </c>
      <c r="C12832" s="1" t="str">
        <f>HYPERLINK("http://www.rosaceae.org/gb/gbrowse/malus_x_domestica/?name=MDP0000312387","MDP0000312387")</f>
        <v>MDP0000312387</v>
      </c>
      <c r="D12832">
        <v>74.599999999999994</v>
      </c>
      <c r="E12832">
        <v>315</v>
      </c>
      <c r="F12832">
        <v>80</v>
      </c>
      <c r="G12832">
        <v>2</v>
      </c>
      <c r="H12832">
        <v>335</v>
      </c>
      <c r="I12832">
        <v>649</v>
      </c>
      <c r="J12832">
        <v>1</v>
      </c>
      <c r="K12832">
        <v>1</v>
      </c>
      <c r="L12832">
        <v>313</v>
      </c>
      <c r="M12832">
        <v>1</v>
      </c>
      <c r="N12832">
        <v>9.6913699999999995E-139</v>
      </c>
      <c r="O12832">
        <v>1264</v>
      </c>
    </row>
    <row r="12833" spans="1:15" x14ac:dyDescent="0.25">
      <c r="A12833" t="s">
        <v>12846</v>
      </c>
      <c r="B12833">
        <v>556</v>
      </c>
      <c r="C12833" s="1" t="str">
        <f>HYPERLINK("http://www.rosaceae.org/gb/gbrowse/malus_x_domestica/?name=MDP0000629887","MDP0000629887")</f>
        <v>MDP0000629887</v>
      </c>
      <c r="D12833">
        <v>45.9</v>
      </c>
      <c r="E12833">
        <v>122</v>
      </c>
      <c r="F12833">
        <v>66</v>
      </c>
      <c r="G12833">
        <v>10</v>
      </c>
      <c r="H12833">
        <v>203</v>
      </c>
      <c r="I12833">
        <v>324</v>
      </c>
      <c r="J12833">
        <v>1</v>
      </c>
      <c r="K12833">
        <v>36</v>
      </c>
      <c r="L12833">
        <v>147</v>
      </c>
      <c r="M12833">
        <v>1</v>
      </c>
      <c r="N12833">
        <v>2.1606399999999999E-21</v>
      </c>
      <c r="O12833">
        <v>251</v>
      </c>
    </row>
    <row r="12834" spans="1:15" x14ac:dyDescent="0.25">
      <c r="A12834" t="s">
        <v>12847</v>
      </c>
      <c r="B12834">
        <v>388</v>
      </c>
      <c r="C12834" s="1" t="str">
        <f>HYPERLINK("http://www.rosaceae.org/gb/gbrowse/malus_x_domestica/?name=MDP0000134020","MDP0000134020")</f>
        <v>MDP0000134020</v>
      </c>
      <c r="D12834">
        <v>89.81</v>
      </c>
      <c r="E12834">
        <v>324</v>
      </c>
      <c r="F12834">
        <v>33</v>
      </c>
      <c r="G12834">
        <v>0</v>
      </c>
      <c r="H12834">
        <v>24</v>
      </c>
      <c r="I12834">
        <v>347</v>
      </c>
      <c r="J12834">
        <v>1</v>
      </c>
      <c r="K12834">
        <v>28</v>
      </c>
      <c r="L12834">
        <v>351</v>
      </c>
      <c r="M12834">
        <v>1</v>
      </c>
      <c r="N12834">
        <v>5.3041500000000003E-176</v>
      </c>
      <c r="O12834">
        <v>1583</v>
      </c>
    </row>
    <row r="12835" spans="1:15" x14ac:dyDescent="0.25">
      <c r="A12835" t="s">
        <v>12848</v>
      </c>
      <c r="B12835">
        <v>264</v>
      </c>
      <c r="C12835" s="1" t="str">
        <f>HYPERLINK("http://www.rosaceae.org/gb/gbrowse/malus_x_domestica/?name=MDP0000330648","MDP0000330648")</f>
        <v>MDP0000330648</v>
      </c>
      <c r="D12835">
        <v>90.45</v>
      </c>
      <c r="E12835">
        <v>262</v>
      </c>
      <c r="F12835">
        <v>25</v>
      </c>
      <c r="G12835">
        <v>2</v>
      </c>
      <c r="H12835">
        <v>1</v>
      </c>
      <c r="I12835">
        <v>261</v>
      </c>
      <c r="J12835">
        <v>1</v>
      </c>
      <c r="K12835">
        <v>1</v>
      </c>
      <c r="L12835">
        <v>261</v>
      </c>
      <c r="M12835">
        <v>1</v>
      </c>
      <c r="N12835">
        <v>5.0833099999999997E-135</v>
      </c>
      <c r="O12835">
        <v>1228</v>
      </c>
    </row>
    <row r="12836" spans="1:15" x14ac:dyDescent="0.25">
      <c r="A12836" t="s">
        <v>12849</v>
      </c>
      <c r="B12836">
        <v>152</v>
      </c>
      <c r="C12836" s="1" t="str">
        <f>HYPERLINK("http://www.rosaceae.org/gb/gbrowse/malus_x_domestica/?name=MDP0000163186","MDP0000163186")</f>
        <v>MDP0000163186</v>
      </c>
      <c r="D12836">
        <v>77.14</v>
      </c>
      <c r="E12836">
        <v>105</v>
      </c>
      <c r="F12836">
        <v>24</v>
      </c>
      <c r="G12836">
        <v>0</v>
      </c>
      <c r="H12836">
        <v>48</v>
      </c>
      <c r="I12836">
        <v>152</v>
      </c>
      <c r="J12836">
        <v>1</v>
      </c>
      <c r="K12836">
        <v>1</v>
      </c>
      <c r="L12836">
        <v>105</v>
      </c>
      <c r="M12836">
        <v>1</v>
      </c>
      <c r="N12836">
        <v>8.3572899999999995E-43</v>
      </c>
      <c r="O12836">
        <v>429</v>
      </c>
    </row>
    <row r="12837" spans="1:15" x14ac:dyDescent="0.25">
      <c r="A12837" t="s">
        <v>12850</v>
      </c>
      <c r="B12837">
        <v>235</v>
      </c>
      <c r="C12837" s="1" t="str">
        <f>HYPERLINK("http://www.rosaceae.org/gb/gbrowse/malus_x_domestica/?name=MDP0000653359","MDP0000653359")</f>
        <v>MDP0000653359</v>
      </c>
      <c r="D12837">
        <v>87.5</v>
      </c>
      <c r="E12837">
        <v>216</v>
      </c>
      <c r="F12837">
        <v>27</v>
      </c>
      <c r="G12837">
        <v>2</v>
      </c>
      <c r="H12837">
        <v>22</v>
      </c>
      <c r="I12837">
        <v>235</v>
      </c>
      <c r="J12837">
        <v>1</v>
      </c>
      <c r="K12837">
        <v>23</v>
      </c>
      <c r="L12837">
        <v>238</v>
      </c>
      <c r="M12837">
        <v>1</v>
      </c>
      <c r="N12837">
        <v>2.7448400000000001E-103</v>
      </c>
      <c r="O12837">
        <v>953</v>
      </c>
    </row>
    <row r="12838" spans="1:15" x14ac:dyDescent="0.25">
      <c r="A12838" t="s">
        <v>12851</v>
      </c>
      <c r="B12838">
        <v>359</v>
      </c>
      <c r="C12838" s="1" t="str">
        <f>HYPERLINK("http://www.rosaceae.org/gb/gbrowse/malus_x_domestica/?name=MDP0000196541","MDP0000196541")</f>
        <v>MDP0000196541</v>
      </c>
      <c r="D12838">
        <v>96.07</v>
      </c>
      <c r="E12838">
        <v>255</v>
      </c>
      <c r="F12838">
        <v>10</v>
      </c>
      <c r="G12838">
        <v>0</v>
      </c>
      <c r="H12838">
        <v>39</v>
      </c>
      <c r="I12838">
        <v>293</v>
      </c>
      <c r="J12838">
        <v>1</v>
      </c>
      <c r="K12838">
        <v>10</v>
      </c>
      <c r="L12838">
        <v>264</v>
      </c>
      <c r="M12838">
        <v>1</v>
      </c>
      <c r="N12838">
        <v>1.7935899999999999E-147</v>
      </c>
      <c r="O12838">
        <v>1337</v>
      </c>
    </row>
    <row r="12839" spans="1:15" x14ac:dyDescent="0.25">
      <c r="A12839" t="s">
        <v>12852</v>
      </c>
      <c r="B12839">
        <v>285</v>
      </c>
      <c r="C12839" s="1" t="str">
        <f>HYPERLINK("http://www.rosaceae.org/gb/gbrowse/malus_x_domestica/?name=MDP0000302095","MDP0000302095")</f>
        <v>MDP0000302095</v>
      </c>
      <c r="D12839">
        <v>54.42</v>
      </c>
      <c r="E12839">
        <v>305</v>
      </c>
      <c r="F12839">
        <v>139</v>
      </c>
      <c r="G12839">
        <v>43</v>
      </c>
      <c r="H12839">
        <v>1</v>
      </c>
      <c r="I12839">
        <v>262</v>
      </c>
      <c r="J12839">
        <v>1</v>
      </c>
      <c r="K12839">
        <v>177</v>
      </c>
      <c r="L12839">
        <v>481</v>
      </c>
      <c r="M12839">
        <v>1</v>
      </c>
      <c r="N12839">
        <v>2.18853E-95</v>
      </c>
      <c r="O12839">
        <v>886</v>
      </c>
    </row>
    <row r="12840" spans="1:15" x14ac:dyDescent="0.25">
      <c r="A12840" t="s">
        <v>12853</v>
      </c>
      <c r="B12840">
        <v>358</v>
      </c>
      <c r="C12840" s="1" t="str">
        <f>HYPERLINK("http://www.rosaceae.org/gb/gbrowse/malus_x_domestica/?name=MDP0000853667","MDP0000853667")</f>
        <v>MDP0000853667</v>
      </c>
      <c r="D12840">
        <v>42.52</v>
      </c>
      <c r="E12840">
        <v>87</v>
      </c>
      <c r="F12840">
        <v>50</v>
      </c>
      <c r="G12840">
        <v>3</v>
      </c>
      <c r="H12840">
        <v>254</v>
      </c>
      <c r="I12840">
        <v>337</v>
      </c>
      <c r="J12840">
        <v>1</v>
      </c>
      <c r="K12840">
        <v>43</v>
      </c>
      <c r="L12840">
        <v>129</v>
      </c>
      <c r="M12840">
        <v>1</v>
      </c>
      <c r="N12840">
        <v>1.8573000000000001E-13</v>
      </c>
      <c r="O12840">
        <v>181</v>
      </c>
    </row>
    <row r="12841" spans="1:15" x14ac:dyDescent="0.25">
      <c r="A12841" t="s">
        <v>12854</v>
      </c>
      <c r="B12841">
        <v>732</v>
      </c>
      <c r="C12841" s="1" t="str">
        <f>HYPERLINK("http://www.rosaceae.org/gb/gbrowse/malus_x_domestica/?name=MDP0000712450","MDP0000712450")</f>
        <v>MDP0000712450</v>
      </c>
      <c r="D12841">
        <v>29.88</v>
      </c>
      <c r="E12841">
        <v>338</v>
      </c>
      <c r="F12841">
        <v>237</v>
      </c>
      <c r="G12841">
        <v>82</v>
      </c>
      <c r="H12841">
        <v>227</v>
      </c>
      <c r="I12841">
        <v>488</v>
      </c>
      <c r="J12841">
        <v>1</v>
      </c>
      <c r="K12841">
        <v>408</v>
      </c>
      <c r="L12841">
        <v>739</v>
      </c>
      <c r="M12841">
        <v>1</v>
      </c>
      <c r="N12841">
        <v>1.6977999999999999E-32</v>
      </c>
      <c r="O12841">
        <v>348</v>
      </c>
    </row>
    <row r="12842" spans="1:15" x14ac:dyDescent="0.25">
      <c r="A12842" t="s">
        <v>12855</v>
      </c>
      <c r="B12842">
        <v>100</v>
      </c>
      <c r="C12842" s="1" t="str">
        <f>HYPERLINK("http://www.rosaceae.org/gb/gbrowse/malus_x_domestica/?name=MDP0000181464","MDP0000181464")</f>
        <v>MDP0000181464</v>
      </c>
      <c r="D12842">
        <v>96.49</v>
      </c>
      <c r="E12842">
        <v>57</v>
      </c>
      <c r="F12842">
        <v>2</v>
      </c>
      <c r="G12842">
        <v>0</v>
      </c>
      <c r="H12842">
        <v>44</v>
      </c>
      <c r="I12842">
        <v>100</v>
      </c>
      <c r="J12842">
        <v>1</v>
      </c>
      <c r="K12842">
        <v>583</v>
      </c>
      <c r="L12842">
        <v>639</v>
      </c>
      <c r="M12842">
        <v>1</v>
      </c>
      <c r="N12842">
        <v>3.27564E-28</v>
      </c>
      <c r="O12842">
        <v>301</v>
      </c>
    </row>
    <row r="12843" spans="1:15" x14ac:dyDescent="0.25">
      <c r="A12843" t="s">
        <v>12856</v>
      </c>
      <c r="B12843">
        <v>348</v>
      </c>
      <c r="C12843" s="1" t="str">
        <f>HYPERLINK("http://www.rosaceae.org/gb/gbrowse/malus_x_domestica/?name=MDP0000268373","MDP0000268373")</f>
        <v>MDP0000268373</v>
      </c>
      <c r="D12843">
        <v>62.94</v>
      </c>
      <c r="E12843">
        <v>224</v>
      </c>
      <c r="F12843">
        <v>83</v>
      </c>
      <c r="G12843">
        <v>10</v>
      </c>
      <c r="H12843">
        <v>35</v>
      </c>
      <c r="I12843">
        <v>248</v>
      </c>
      <c r="J12843">
        <v>1</v>
      </c>
      <c r="K12843">
        <v>34</v>
      </c>
      <c r="L12843">
        <v>257</v>
      </c>
      <c r="M12843">
        <v>1</v>
      </c>
      <c r="N12843">
        <v>1.5716699999999999E-74</v>
      </c>
      <c r="O12843">
        <v>707</v>
      </c>
    </row>
    <row r="12844" spans="1:15" x14ac:dyDescent="0.25">
      <c r="A12844" t="s">
        <v>12857</v>
      </c>
      <c r="B12844">
        <v>409</v>
      </c>
      <c r="C12844" s="1" t="str">
        <f>HYPERLINK("http://www.rosaceae.org/gb/gbrowse/malus_x_domestica/?name=MDP0000248331","MDP0000248331")</f>
        <v>MDP0000248331</v>
      </c>
      <c r="D12844">
        <v>72.88</v>
      </c>
      <c r="E12844">
        <v>402</v>
      </c>
      <c r="F12844">
        <v>109</v>
      </c>
      <c r="G12844">
        <v>1</v>
      </c>
      <c r="H12844">
        <v>8</v>
      </c>
      <c r="I12844">
        <v>409</v>
      </c>
      <c r="J12844">
        <v>1</v>
      </c>
      <c r="K12844">
        <v>400</v>
      </c>
      <c r="L12844">
        <v>800</v>
      </c>
      <c r="M12844">
        <v>1</v>
      </c>
      <c r="N12844">
        <v>1.63485E-170</v>
      </c>
      <c r="O12844">
        <v>1536</v>
      </c>
    </row>
    <row r="12845" spans="1:15" x14ac:dyDescent="0.25">
      <c r="A12845" t="s">
        <v>12858</v>
      </c>
      <c r="B12845">
        <v>372</v>
      </c>
      <c r="C12845" s="1" t="str">
        <f>HYPERLINK("http://www.rosaceae.org/gb/gbrowse/malus_x_domestica/?name=MDP0000468201","MDP0000468201")</f>
        <v>MDP0000468201</v>
      </c>
      <c r="D12845">
        <v>62.1</v>
      </c>
      <c r="E12845">
        <v>380</v>
      </c>
      <c r="F12845">
        <v>144</v>
      </c>
      <c r="G12845">
        <v>21</v>
      </c>
      <c r="H12845">
        <v>1</v>
      </c>
      <c r="I12845">
        <v>372</v>
      </c>
      <c r="J12845">
        <v>1</v>
      </c>
      <c r="K12845">
        <v>1</v>
      </c>
      <c r="L12845">
        <v>367</v>
      </c>
      <c r="M12845">
        <v>1</v>
      </c>
      <c r="N12845">
        <v>7.7349000000000001E-113</v>
      </c>
      <c r="O12845">
        <v>1038</v>
      </c>
    </row>
    <row r="12846" spans="1:15" x14ac:dyDescent="0.25">
      <c r="A12846" t="s">
        <v>12859</v>
      </c>
      <c r="B12846">
        <v>166</v>
      </c>
      <c r="C12846" s="1" t="str">
        <f>HYPERLINK("http://www.rosaceae.org/gb/gbrowse/malus_x_domestica/?name=MDP0000148325","MDP0000148325")</f>
        <v>MDP0000148325</v>
      </c>
      <c r="D12846">
        <v>46.46</v>
      </c>
      <c r="E12846">
        <v>99</v>
      </c>
      <c r="F12846">
        <v>53</v>
      </c>
      <c r="G12846">
        <v>0</v>
      </c>
      <c r="H12846">
        <v>1</v>
      </c>
      <c r="I12846">
        <v>99</v>
      </c>
      <c r="J12846">
        <v>1</v>
      </c>
      <c r="K12846">
        <v>432</v>
      </c>
      <c r="L12846">
        <v>530</v>
      </c>
      <c r="M12846">
        <v>1</v>
      </c>
      <c r="N12846">
        <v>4.6841300000000001E-16</v>
      </c>
      <c r="O12846">
        <v>199</v>
      </c>
    </row>
    <row r="12847" spans="1:15" x14ac:dyDescent="0.25">
      <c r="A12847" t="s">
        <v>12860</v>
      </c>
      <c r="B12847">
        <v>170</v>
      </c>
      <c r="C12847" s="1" t="str">
        <f>HYPERLINK("http://www.rosaceae.org/gb/gbrowse/malus_x_domestica/?name=MDP0000151721","MDP0000151721")</f>
        <v>MDP0000151721</v>
      </c>
      <c r="D12847">
        <v>70.41</v>
      </c>
      <c r="E12847">
        <v>169</v>
      </c>
      <c r="F12847">
        <v>50</v>
      </c>
      <c r="G12847">
        <v>15</v>
      </c>
      <c r="H12847">
        <v>1</v>
      </c>
      <c r="I12847">
        <v>169</v>
      </c>
      <c r="J12847">
        <v>1</v>
      </c>
      <c r="K12847">
        <v>1</v>
      </c>
      <c r="L12847">
        <v>154</v>
      </c>
      <c r="M12847">
        <v>1</v>
      </c>
      <c r="N12847">
        <v>2.0838E-66</v>
      </c>
      <c r="O12847">
        <v>633</v>
      </c>
    </row>
    <row r="12848" spans="1:15" x14ac:dyDescent="0.25">
      <c r="A12848" t="s">
        <v>12861</v>
      </c>
      <c r="B12848">
        <v>499</v>
      </c>
      <c r="C12848" s="1" t="str">
        <f>HYPERLINK("http://www.rosaceae.org/gb/gbrowse/malus_x_domestica/?name=MDP0000266497","MDP0000266497")</f>
        <v>MDP0000266497</v>
      </c>
      <c r="D12848">
        <v>72.540000000000006</v>
      </c>
      <c r="E12848">
        <v>499</v>
      </c>
      <c r="F12848">
        <v>137</v>
      </c>
      <c r="G12848">
        <v>4</v>
      </c>
      <c r="H12848">
        <v>1</v>
      </c>
      <c r="I12848">
        <v>497</v>
      </c>
      <c r="J12848">
        <v>1</v>
      </c>
      <c r="K12848">
        <v>8</v>
      </c>
      <c r="L12848">
        <v>504</v>
      </c>
      <c r="M12848">
        <v>1</v>
      </c>
      <c r="N12848">
        <v>0</v>
      </c>
      <c r="O12848">
        <v>1808</v>
      </c>
    </row>
    <row r="12849" spans="1:15" x14ac:dyDescent="0.25">
      <c r="A12849" t="s">
        <v>12862</v>
      </c>
      <c r="B12849">
        <v>444</v>
      </c>
      <c r="C12849" s="1" t="str">
        <f>HYPERLINK("http://www.rosaceae.org/gb/gbrowse/malus_x_domestica/?name=MDP0000301576","MDP0000301576")</f>
        <v>MDP0000301576</v>
      </c>
      <c r="D12849">
        <v>30.51</v>
      </c>
      <c r="E12849">
        <v>390</v>
      </c>
      <c r="F12849">
        <v>271</v>
      </c>
      <c r="G12849">
        <v>47</v>
      </c>
      <c r="H12849">
        <v>65</v>
      </c>
      <c r="I12849">
        <v>441</v>
      </c>
      <c r="J12849">
        <v>1</v>
      </c>
      <c r="K12849">
        <v>112</v>
      </c>
      <c r="L12849">
        <v>467</v>
      </c>
      <c r="M12849">
        <v>1</v>
      </c>
      <c r="N12849">
        <v>1.26247E-34</v>
      </c>
      <c r="O12849">
        <v>365</v>
      </c>
    </row>
    <row r="12850" spans="1:15" x14ac:dyDescent="0.25">
      <c r="A12850" t="s">
        <v>12863</v>
      </c>
      <c r="B12850">
        <v>151</v>
      </c>
      <c r="C12850" s="1" t="str">
        <f>HYPERLINK("http://www.rosaceae.org/gb/gbrowse/malus_x_domestica/?name=MDP0000209383","MDP0000209383")</f>
        <v>MDP0000209383</v>
      </c>
      <c r="D12850">
        <v>74.12</v>
      </c>
      <c r="E12850">
        <v>143</v>
      </c>
      <c r="F12850">
        <v>37</v>
      </c>
      <c r="G12850">
        <v>0</v>
      </c>
      <c r="H12850">
        <v>1</v>
      </c>
      <c r="I12850">
        <v>143</v>
      </c>
      <c r="J12850">
        <v>1</v>
      </c>
      <c r="K12850">
        <v>120</v>
      </c>
      <c r="L12850">
        <v>262</v>
      </c>
      <c r="M12850">
        <v>1</v>
      </c>
      <c r="N12850">
        <v>2.2814200000000002E-58</v>
      </c>
      <c r="O12850">
        <v>563</v>
      </c>
    </row>
    <row r="12851" spans="1:15" x14ac:dyDescent="0.25">
      <c r="A12851" t="s">
        <v>12864</v>
      </c>
      <c r="B12851">
        <v>725</v>
      </c>
      <c r="C12851" s="1" t="str">
        <f>HYPERLINK("http://www.rosaceae.org/gb/gbrowse/malus_x_domestica/?name=MDP0000218141","MDP0000218141")</f>
        <v>MDP0000218141</v>
      </c>
      <c r="D12851">
        <v>55.76</v>
      </c>
      <c r="E12851">
        <v>373</v>
      </c>
      <c r="F12851">
        <v>165</v>
      </c>
      <c r="G12851">
        <v>37</v>
      </c>
      <c r="H12851">
        <v>294</v>
      </c>
      <c r="I12851">
        <v>665</v>
      </c>
      <c r="J12851">
        <v>1</v>
      </c>
      <c r="K12851">
        <v>289</v>
      </c>
      <c r="L12851">
        <v>625</v>
      </c>
      <c r="M12851">
        <v>1</v>
      </c>
      <c r="N12851">
        <v>7.7916900000000005E-119</v>
      </c>
      <c r="O12851">
        <v>1093</v>
      </c>
    </row>
    <row r="12852" spans="1:15" x14ac:dyDescent="0.25">
      <c r="A12852" t="s">
        <v>12865</v>
      </c>
      <c r="B12852">
        <v>127</v>
      </c>
      <c r="C12852" s="1" t="str">
        <f>HYPERLINK("http://www.rosaceae.org/gb/gbrowse/malus_x_domestica/?name=MDP0000187362","MDP0000187362")</f>
        <v>MDP0000187362</v>
      </c>
      <c r="D12852">
        <v>68.37</v>
      </c>
      <c r="E12852">
        <v>117</v>
      </c>
      <c r="F12852">
        <v>37</v>
      </c>
      <c r="G12852">
        <v>2</v>
      </c>
      <c r="H12852">
        <v>5</v>
      </c>
      <c r="I12852">
        <v>121</v>
      </c>
      <c r="J12852">
        <v>1</v>
      </c>
      <c r="K12852">
        <v>2</v>
      </c>
      <c r="L12852">
        <v>116</v>
      </c>
      <c r="M12852">
        <v>1</v>
      </c>
      <c r="N12852">
        <v>1.3472399999999999E-39</v>
      </c>
      <c r="O12852">
        <v>399</v>
      </c>
    </row>
    <row r="12853" spans="1:15" x14ac:dyDescent="0.25">
      <c r="A12853" t="s">
        <v>12866</v>
      </c>
      <c r="B12853">
        <v>359</v>
      </c>
      <c r="C12853" s="1" t="str">
        <f>HYPERLINK("http://www.rosaceae.org/gb/gbrowse/malus_x_domestica/?name=MDP0000870909","MDP0000870909")</f>
        <v>MDP0000870909</v>
      </c>
      <c r="D12853">
        <v>63.5</v>
      </c>
      <c r="E12853">
        <v>359</v>
      </c>
      <c r="F12853">
        <v>131</v>
      </c>
      <c r="G12853">
        <v>6</v>
      </c>
      <c r="H12853">
        <v>1</v>
      </c>
      <c r="I12853">
        <v>359</v>
      </c>
      <c r="J12853">
        <v>1</v>
      </c>
      <c r="K12853">
        <v>1</v>
      </c>
      <c r="L12853">
        <v>353</v>
      </c>
      <c r="M12853">
        <v>1</v>
      </c>
      <c r="N12853">
        <v>1.5493000000000001E-134</v>
      </c>
      <c r="O12853">
        <v>1225</v>
      </c>
    </row>
    <row r="12854" spans="1:15" x14ac:dyDescent="0.25">
      <c r="A12854" t="s">
        <v>12867</v>
      </c>
      <c r="B12854">
        <v>139</v>
      </c>
      <c r="C12854" s="1" t="str">
        <f>HYPERLINK("http://www.rosaceae.org/gb/gbrowse/malus_x_domestica/?name=MDP0000299698","MDP0000299698")</f>
        <v>MDP0000299698</v>
      </c>
      <c r="D12854">
        <v>37.5</v>
      </c>
      <c r="E12854">
        <v>96</v>
      </c>
      <c r="F12854">
        <v>60</v>
      </c>
      <c r="G12854">
        <v>13</v>
      </c>
      <c r="H12854">
        <v>32</v>
      </c>
      <c r="I12854">
        <v>118</v>
      </c>
      <c r="J12854">
        <v>1</v>
      </c>
      <c r="K12854">
        <v>518</v>
      </c>
      <c r="L12854">
        <v>609</v>
      </c>
      <c r="M12854">
        <v>1</v>
      </c>
      <c r="N12854">
        <v>6.8249999999999997E-12</v>
      </c>
      <c r="O12854">
        <v>161</v>
      </c>
    </row>
    <row r="12855" spans="1:15" x14ac:dyDescent="0.25">
      <c r="A12855" t="s">
        <v>12868</v>
      </c>
      <c r="B12855">
        <v>460</v>
      </c>
      <c r="C12855" s="1" t="str">
        <f>HYPERLINK("http://www.rosaceae.org/gb/gbrowse/malus_x_domestica/?name=MDP0000199671","MDP0000199671")</f>
        <v>MDP0000199671</v>
      </c>
      <c r="D12855">
        <v>57.47</v>
      </c>
      <c r="E12855">
        <v>562</v>
      </c>
      <c r="F12855">
        <v>239</v>
      </c>
      <c r="G12855">
        <v>113</v>
      </c>
      <c r="H12855">
        <v>1</v>
      </c>
      <c r="I12855">
        <v>460</v>
      </c>
      <c r="J12855">
        <v>1</v>
      </c>
      <c r="K12855">
        <v>1</v>
      </c>
      <c r="L12855">
        <v>551</v>
      </c>
      <c r="M12855">
        <v>1</v>
      </c>
      <c r="N12855">
        <v>8.1273600000000003E-160</v>
      </c>
      <c r="O12855">
        <v>1444</v>
      </c>
    </row>
    <row r="12856" spans="1:15" x14ac:dyDescent="0.25">
      <c r="A12856" t="s">
        <v>12869</v>
      </c>
      <c r="B12856">
        <v>504</v>
      </c>
      <c r="C12856" s="1" t="str">
        <f>HYPERLINK("http://www.rosaceae.org/gb/gbrowse/malus_x_domestica/?name=MDP0000157363","MDP0000157363")</f>
        <v>MDP0000157363</v>
      </c>
      <c r="D12856">
        <v>70.41</v>
      </c>
      <c r="E12856">
        <v>524</v>
      </c>
      <c r="F12856">
        <v>155</v>
      </c>
      <c r="G12856">
        <v>22</v>
      </c>
      <c r="H12856">
        <v>1</v>
      </c>
      <c r="I12856">
        <v>503</v>
      </c>
      <c r="J12856">
        <v>1</v>
      </c>
      <c r="K12856">
        <v>40</v>
      </c>
      <c r="L12856">
        <v>562</v>
      </c>
      <c r="M12856">
        <v>1</v>
      </c>
      <c r="N12856">
        <v>0</v>
      </c>
      <c r="O12856">
        <v>1892</v>
      </c>
    </row>
    <row r="12857" spans="1:15" x14ac:dyDescent="0.25">
      <c r="A12857" t="s">
        <v>12870</v>
      </c>
      <c r="B12857">
        <v>355</v>
      </c>
      <c r="C12857" s="1" t="str">
        <f>HYPERLINK("http://www.rosaceae.org/gb/gbrowse/malus_x_domestica/?name=MDP0000730072","MDP0000730072")</f>
        <v>MDP0000730072</v>
      </c>
      <c r="D12857">
        <v>77.290000000000006</v>
      </c>
      <c r="E12857">
        <v>348</v>
      </c>
      <c r="F12857">
        <v>79</v>
      </c>
      <c r="G12857">
        <v>14</v>
      </c>
      <c r="H12857">
        <v>16</v>
      </c>
      <c r="I12857">
        <v>355</v>
      </c>
      <c r="J12857">
        <v>1</v>
      </c>
      <c r="K12857">
        <v>186</v>
      </c>
      <c r="L12857">
        <v>527</v>
      </c>
      <c r="M12857">
        <v>1</v>
      </c>
      <c r="N12857">
        <v>1.1495099999999999E-159</v>
      </c>
      <c r="O12857">
        <v>1442</v>
      </c>
    </row>
    <row r="12858" spans="1:15" x14ac:dyDescent="0.25">
      <c r="A12858" t="s">
        <v>12871</v>
      </c>
      <c r="B12858">
        <v>189</v>
      </c>
      <c r="C12858" s="1" t="str">
        <f>HYPERLINK("http://www.rosaceae.org/gb/gbrowse/malus_x_domestica/?name=MDP0000282778","MDP0000282778")</f>
        <v>MDP0000282778</v>
      </c>
      <c r="D12858">
        <v>42.35</v>
      </c>
      <c r="E12858">
        <v>170</v>
      </c>
      <c r="F12858">
        <v>98</v>
      </c>
      <c r="G12858">
        <v>0</v>
      </c>
      <c r="H12858">
        <v>14</v>
      </c>
      <c r="I12858">
        <v>183</v>
      </c>
      <c r="J12858">
        <v>1</v>
      </c>
      <c r="K12858">
        <v>1039</v>
      </c>
      <c r="L12858">
        <v>1208</v>
      </c>
      <c r="M12858">
        <v>1</v>
      </c>
      <c r="N12858">
        <v>2.2852599999999999E-33</v>
      </c>
      <c r="O12858">
        <v>349</v>
      </c>
    </row>
    <row r="12859" spans="1:15" x14ac:dyDescent="0.25">
      <c r="A12859" t="s">
        <v>12872</v>
      </c>
      <c r="B12859">
        <v>1324</v>
      </c>
      <c r="C12859" s="1" t="str">
        <f>HYPERLINK("http://www.rosaceae.org/gb/gbrowse/malus_x_domestica/?name=MDP0000492837","MDP0000492837")</f>
        <v>MDP0000492837</v>
      </c>
      <c r="D12859">
        <v>52.98</v>
      </c>
      <c r="E12859">
        <v>970</v>
      </c>
      <c r="F12859">
        <v>456</v>
      </c>
      <c r="G12859">
        <v>130</v>
      </c>
      <c r="H12859">
        <v>383</v>
      </c>
      <c r="I12859">
        <v>1313</v>
      </c>
      <c r="J12859">
        <v>1</v>
      </c>
      <c r="K12859">
        <v>334</v>
      </c>
      <c r="L12859">
        <v>1212</v>
      </c>
      <c r="M12859">
        <v>1</v>
      </c>
      <c r="N12859">
        <v>0</v>
      </c>
      <c r="O12859">
        <v>2068</v>
      </c>
    </row>
    <row r="12860" spans="1:15" x14ac:dyDescent="0.25">
      <c r="A12860" t="s">
        <v>12873</v>
      </c>
      <c r="B12860">
        <v>146</v>
      </c>
      <c r="C12860" s="1" t="str">
        <f>HYPERLINK("http://www.rosaceae.org/gb/gbrowse/malus_x_domestica/?name=MDP0000329966","MDP0000329966")</f>
        <v>MDP0000329966</v>
      </c>
      <c r="D12860">
        <v>81.5</v>
      </c>
      <c r="E12860">
        <v>146</v>
      </c>
      <c r="F12860">
        <v>27</v>
      </c>
      <c r="G12860">
        <v>0</v>
      </c>
      <c r="H12860">
        <v>1</v>
      </c>
      <c r="I12860">
        <v>146</v>
      </c>
      <c r="J12860">
        <v>1</v>
      </c>
      <c r="K12860">
        <v>4</v>
      </c>
      <c r="L12860">
        <v>149</v>
      </c>
      <c r="M12860">
        <v>1</v>
      </c>
      <c r="N12860">
        <v>2.53464E-69</v>
      </c>
      <c r="O12860">
        <v>657</v>
      </c>
    </row>
    <row r="12861" spans="1:15" x14ac:dyDescent="0.25">
      <c r="A12861" t="s">
        <v>12874</v>
      </c>
      <c r="B12861">
        <v>153</v>
      </c>
      <c r="C12861" s="1" t="str">
        <f>HYPERLINK("http://www.rosaceae.org/gb/gbrowse/malus_x_domestica/?name=MDP0000298660","MDP0000298660")</f>
        <v>MDP0000298660</v>
      </c>
      <c r="D12861">
        <v>75.959999999999994</v>
      </c>
      <c r="E12861">
        <v>104</v>
      </c>
      <c r="F12861">
        <v>25</v>
      </c>
      <c r="G12861">
        <v>1</v>
      </c>
      <c r="H12861">
        <v>1</v>
      </c>
      <c r="I12861">
        <v>104</v>
      </c>
      <c r="J12861">
        <v>1</v>
      </c>
      <c r="K12861">
        <v>563</v>
      </c>
      <c r="L12861">
        <v>665</v>
      </c>
      <c r="M12861">
        <v>1</v>
      </c>
      <c r="N12861">
        <v>7.5663100000000006E-42</v>
      </c>
      <c r="O12861">
        <v>420</v>
      </c>
    </row>
    <row r="12862" spans="1:15" x14ac:dyDescent="0.25">
      <c r="A12862" t="s">
        <v>12875</v>
      </c>
      <c r="B12862">
        <v>315</v>
      </c>
      <c r="C12862" s="1" t="str">
        <f>HYPERLINK("http://www.rosaceae.org/gb/gbrowse/malus_x_domestica/?name=MDP0000916873","MDP0000916873")</f>
        <v>MDP0000916873</v>
      </c>
      <c r="D12862">
        <v>65.489999999999995</v>
      </c>
      <c r="E12862">
        <v>313</v>
      </c>
      <c r="F12862">
        <v>108</v>
      </c>
      <c r="G12862">
        <v>7</v>
      </c>
      <c r="H12862">
        <v>4</v>
      </c>
      <c r="I12862">
        <v>315</v>
      </c>
      <c r="J12862">
        <v>1</v>
      </c>
      <c r="K12862">
        <v>6</v>
      </c>
      <c r="L12862">
        <v>312</v>
      </c>
      <c r="M12862">
        <v>1</v>
      </c>
      <c r="N12862">
        <v>4.3246399999999998E-111</v>
      </c>
      <c r="O12862">
        <v>1022</v>
      </c>
    </row>
    <row r="12863" spans="1:15" x14ac:dyDescent="0.25">
      <c r="A12863" t="s">
        <v>12876</v>
      </c>
      <c r="B12863">
        <v>701</v>
      </c>
      <c r="C12863" s="1" t="str">
        <f>HYPERLINK("http://www.rosaceae.org/gb/gbrowse/malus_x_domestica/?name=MDP0000516622","MDP0000516622")</f>
        <v>MDP0000516622</v>
      </c>
      <c r="D12863">
        <v>75.37</v>
      </c>
      <c r="E12863">
        <v>658</v>
      </c>
      <c r="F12863">
        <v>162</v>
      </c>
      <c r="G12863">
        <v>17</v>
      </c>
      <c r="H12863">
        <v>58</v>
      </c>
      <c r="I12863">
        <v>701</v>
      </c>
      <c r="J12863">
        <v>1</v>
      </c>
      <c r="K12863">
        <v>66</v>
      </c>
      <c r="L12863">
        <v>720</v>
      </c>
      <c r="M12863">
        <v>1</v>
      </c>
      <c r="N12863">
        <v>0</v>
      </c>
      <c r="O12863">
        <v>2528</v>
      </c>
    </row>
    <row r="12864" spans="1:15" x14ac:dyDescent="0.25">
      <c r="A12864" t="s">
        <v>12877</v>
      </c>
      <c r="B12864">
        <v>1116</v>
      </c>
      <c r="C12864" s="1" t="str">
        <f>HYPERLINK("http://www.rosaceae.org/gb/gbrowse/malus_x_domestica/?name=MDP0000173320","MDP0000173320")</f>
        <v>MDP0000173320</v>
      </c>
      <c r="D12864">
        <v>74.3</v>
      </c>
      <c r="E12864">
        <v>541</v>
      </c>
      <c r="F12864">
        <v>139</v>
      </c>
      <c r="G12864">
        <v>1</v>
      </c>
      <c r="H12864">
        <v>576</v>
      </c>
      <c r="I12864">
        <v>1116</v>
      </c>
      <c r="J12864">
        <v>1</v>
      </c>
      <c r="K12864">
        <v>224</v>
      </c>
      <c r="L12864">
        <v>763</v>
      </c>
      <c r="M12864">
        <v>1</v>
      </c>
      <c r="N12864">
        <v>0</v>
      </c>
      <c r="O12864">
        <v>2203</v>
      </c>
    </row>
    <row r="12865" spans="1:15" x14ac:dyDescent="0.25">
      <c r="A12865" t="s">
        <v>12878</v>
      </c>
      <c r="B12865">
        <v>496</v>
      </c>
      <c r="C12865" s="1" t="str">
        <f>HYPERLINK("http://www.rosaceae.org/gb/gbrowse/malus_x_domestica/?name=MDP0000248086","MDP0000248086")</f>
        <v>MDP0000248086</v>
      </c>
      <c r="D12865">
        <v>57.58</v>
      </c>
      <c r="E12865">
        <v>323</v>
      </c>
      <c r="F12865">
        <v>137</v>
      </c>
      <c r="G12865">
        <v>26</v>
      </c>
      <c r="H12865">
        <v>80</v>
      </c>
      <c r="I12865">
        <v>377</v>
      </c>
      <c r="J12865">
        <v>1</v>
      </c>
      <c r="K12865">
        <v>292</v>
      </c>
      <c r="L12865">
        <v>613</v>
      </c>
      <c r="M12865">
        <v>1</v>
      </c>
      <c r="N12865">
        <v>5.4529900000000001E-94</v>
      </c>
      <c r="O12865">
        <v>877</v>
      </c>
    </row>
    <row r="12866" spans="1:15" x14ac:dyDescent="0.25">
      <c r="A12866" t="s">
        <v>12879</v>
      </c>
      <c r="B12866">
        <v>140</v>
      </c>
      <c r="C12866" s="1" t="str">
        <f>HYPERLINK("http://www.rosaceae.org/gb/gbrowse/malus_x_domestica/?name=MDP0000163170","MDP0000163170")</f>
        <v>MDP0000163170</v>
      </c>
      <c r="D12866">
        <v>77.44</v>
      </c>
      <c r="E12866">
        <v>133</v>
      </c>
      <c r="F12866">
        <v>30</v>
      </c>
      <c r="G12866">
        <v>0</v>
      </c>
      <c r="H12866">
        <v>8</v>
      </c>
      <c r="I12866">
        <v>140</v>
      </c>
      <c r="J12866">
        <v>1</v>
      </c>
      <c r="K12866">
        <v>275</v>
      </c>
      <c r="L12866">
        <v>407</v>
      </c>
      <c r="M12866">
        <v>1</v>
      </c>
      <c r="N12866">
        <v>2.7003800000000001E-61</v>
      </c>
      <c r="O12866">
        <v>587</v>
      </c>
    </row>
    <row r="12867" spans="1:15" x14ac:dyDescent="0.25">
      <c r="A12867" t="s">
        <v>12880</v>
      </c>
      <c r="B12867">
        <v>593</v>
      </c>
      <c r="C12867" s="1" t="str">
        <f>HYPERLINK("http://www.rosaceae.org/gb/gbrowse/malus_x_domestica/?name=MDP0000237396","MDP0000237396")</f>
        <v>MDP0000237396</v>
      </c>
      <c r="D12867">
        <v>60.32</v>
      </c>
      <c r="E12867">
        <v>615</v>
      </c>
      <c r="F12867">
        <v>244</v>
      </c>
      <c r="G12867">
        <v>81</v>
      </c>
      <c r="H12867">
        <v>32</v>
      </c>
      <c r="I12867">
        <v>593</v>
      </c>
      <c r="J12867">
        <v>1</v>
      </c>
      <c r="K12867">
        <v>1</v>
      </c>
      <c r="L12867">
        <v>587</v>
      </c>
      <c r="M12867">
        <v>1</v>
      </c>
      <c r="N12867">
        <v>0</v>
      </c>
      <c r="O12867">
        <v>1677</v>
      </c>
    </row>
    <row r="12868" spans="1:15" x14ac:dyDescent="0.25">
      <c r="A12868" t="s">
        <v>12881</v>
      </c>
      <c r="B12868">
        <v>411</v>
      </c>
      <c r="C12868" s="1" t="str">
        <f>HYPERLINK("http://www.rosaceae.org/gb/gbrowse/malus_x_domestica/?name=MDP0000499580","MDP0000499580")</f>
        <v>MDP0000499580</v>
      </c>
      <c r="D12868">
        <v>78.11</v>
      </c>
      <c r="E12868">
        <v>265</v>
      </c>
      <c r="F12868">
        <v>58</v>
      </c>
      <c r="G12868">
        <v>0</v>
      </c>
      <c r="H12868">
        <v>143</v>
      </c>
      <c r="I12868">
        <v>407</v>
      </c>
      <c r="J12868">
        <v>1</v>
      </c>
      <c r="K12868">
        <v>1</v>
      </c>
      <c r="L12868">
        <v>265</v>
      </c>
      <c r="M12868">
        <v>1</v>
      </c>
      <c r="N12868">
        <v>3.3875400000000003E-126</v>
      </c>
      <c r="O12868">
        <v>1154</v>
      </c>
    </row>
    <row r="12869" spans="1:15" x14ac:dyDescent="0.25">
      <c r="A12869" t="s">
        <v>12882</v>
      </c>
      <c r="B12869">
        <v>229</v>
      </c>
      <c r="C12869" s="1" t="str">
        <f>HYPERLINK("http://www.rosaceae.org/gb/gbrowse/malus_x_domestica/?name=MDP0000207745","MDP0000207745")</f>
        <v>MDP0000207745</v>
      </c>
      <c r="D12869">
        <v>68.58</v>
      </c>
      <c r="E12869">
        <v>156</v>
      </c>
      <c r="F12869">
        <v>49</v>
      </c>
      <c r="G12869">
        <v>6</v>
      </c>
      <c r="H12869">
        <v>73</v>
      </c>
      <c r="I12869">
        <v>228</v>
      </c>
      <c r="J12869">
        <v>1</v>
      </c>
      <c r="K12869">
        <v>50</v>
      </c>
      <c r="L12869">
        <v>199</v>
      </c>
      <c r="M12869">
        <v>1</v>
      </c>
      <c r="N12869">
        <v>2.25084E-55</v>
      </c>
      <c r="O12869">
        <v>540</v>
      </c>
    </row>
    <row r="12870" spans="1:15" x14ac:dyDescent="0.25">
      <c r="A12870" t="s">
        <v>12883</v>
      </c>
      <c r="B12870">
        <v>1509</v>
      </c>
      <c r="C12870" s="1" t="str">
        <f>HYPERLINK("http://www.rosaceae.org/gb/gbrowse/malus_x_domestica/?name=MDP0000269701","MDP0000269701")</f>
        <v>MDP0000269701</v>
      </c>
      <c r="D12870">
        <v>78.25</v>
      </c>
      <c r="E12870">
        <v>1200</v>
      </c>
      <c r="F12870">
        <v>261</v>
      </c>
      <c r="G12870">
        <v>34</v>
      </c>
      <c r="H12870">
        <v>1</v>
      </c>
      <c r="I12870">
        <v>1169</v>
      </c>
      <c r="J12870">
        <v>1</v>
      </c>
      <c r="K12870">
        <v>259</v>
      </c>
      <c r="L12870">
        <v>1455</v>
      </c>
      <c r="M12870">
        <v>1</v>
      </c>
      <c r="N12870">
        <v>0</v>
      </c>
      <c r="O12870">
        <v>5032</v>
      </c>
    </row>
    <row r="12871" spans="1:15" x14ac:dyDescent="0.25">
      <c r="A12871" t="s">
        <v>12884</v>
      </c>
      <c r="B12871">
        <v>316</v>
      </c>
      <c r="C12871" s="1" t="str">
        <f>HYPERLINK("http://www.rosaceae.org/gb/gbrowse/malus_x_domestica/?name=MDP0000158008","MDP0000158008")</f>
        <v>MDP0000158008</v>
      </c>
      <c r="D12871">
        <v>62.89</v>
      </c>
      <c r="E12871">
        <v>318</v>
      </c>
      <c r="F12871">
        <v>118</v>
      </c>
      <c r="G12871">
        <v>2</v>
      </c>
      <c r="H12871">
        <v>1</v>
      </c>
      <c r="I12871">
        <v>316</v>
      </c>
      <c r="J12871">
        <v>1</v>
      </c>
      <c r="K12871">
        <v>177</v>
      </c>
      <c r="L12871">
        <v>494</v>
      </c>
      <c r="M12871">
        <v>1</v>
      </c>
      <c r="N12871">
        <v>9.70503E-102</v>
      </c>
      <c r="O12871">
        <v>942</v>
      </c>
    </row>
    <row r="12872" spans="1:15" x14ac:dyDescent="0.25">
      <c r="A12872" t="s">
        <v>12885</v>
      </c>
      <c r="B12872">
        <v>283</v>
      </c>
      <c r="C12872" s="1" t="str">
        <f>HYPERLINK("http://www.rosaceae.org/gb/gbrowse/malus_x_domestica/?name=MDP0000209618","MDP0000209618")</f>
        <v>MDP0000209618</v>
      </c>
      <c r="D12872">
        <v>52.15</v>
      </c>
      <c r="E12872">
        <v>278</v>
      </c>
      <c r="F12872">
        <v>133</v>
      </c>
      <c r="G12872">
        <v>64</v>
      </c>
      <c r="H12872">
        <v>63</v>
      </c>
      <c r="I12872">
        <v>277</v>
      </c>
      <c r="J12872">
        <v>1</v>
      </c>
      <c r="K12872">
        <v>383</v>
      </c>
      <c r="L12872">
        <v>659</v>
      </c>
      <c r="M12872">
        <v>1</v>
      </c>
      <c r="N12872">
        <v>3.0786199999999998E-60</v>
      </c>
      <c r="O12872">
        <v>583</v>
      </c>
    </row>
    <row r="12873" spans="1:15" x14ac:dyDescent="0.25">
      <c r="A12873" t="s">
        <v>12886</v>
      </c>
      <c r="B12873">
        <v>126</v>
      </c>
      <c r="C12873" s="1" t="str">
        <f>HYPERLINK("http://www.rosaceae.org/gb/gbrowse/malus_x_domestica/?name=MDP0000258930","MDP0000258930")</f>
        <v>MDP0000258930</v>
      </c>
      <c r="D12873">
        <v>65.38</v>
      </c>
      <c r="E12873">
        <v>78</v>
      </c>
      <c r="F12873">
        <v>27</v>
      </c>
      <c r="G12873">
        <v>0</v>
      </c>
      <c r="H12873">
        <v>1</v>
      </c>
      <c r="I12873">
        <v>78</v>
      </c>
      <c r="J12873">
        <v>1</v>
      </c>
      <c r="K12873">
        <v>1</v>
      </c>
      <c r="L12873">
        <v>78</v>
      </c>
      <c r="M12873">
        <v>1</v>
      </c>
      <c r="N12873">
        <v>2.1891E-23</v>
      </c>
      <c r="O12873">
        <v>259</v>
      </c>
    </row>
    <row r="12874" spans="1:15" x14ac:dyDescent="0.25">
      <c r="A12874" t="s">
        <v>12887</v>
      </c>
      <c r="B12874">
        <v>356</v>
      </c>
      <c r="C12874" s="1" t="str">
        <f>HYPERLINK("http://www.rosaceae.org/gb/gbrowse/malus_x_domestica/?name=MDP0000055639","MDP0000055639")</f>
        <v>MDP0000055639</v>
      </c>
      <c r="D12874">
        <v>57.43</v>
      </c>
      <c r="E12874">
        <v>343</v>
      </c>
      <c r="F12874">
        <v>146</v>
      </c>
      <c r="G12874">
        <v>19</v>
      </c>
      <c r="H12874">
        <v>11</v>
      </c>
      <c r="I12874">
        <v>336</v>
      </c>
      <c r="J12874">
        <v>1</v>
      </c>
      <c r="K12874">
        <v>7</v>
      </c>
      <c r="L12874">
        <v>347</v>
      </c>
      <c r="M12874">
        <v>1</v>
      </c>
      <c r="N12874">
        <v>3.7355499999999998E-108</v>
      </c>
      <c r="O12874">
        <v>998</v>
      </c>
    </row>
    <row r="12875" spans="1:15" x14ac:dyDescent="0.25">
      <c r="A12875" t="s">
        <v>12888</v>
      </c>
      <c r="B12875">
        <v>131</v>
      </c>
      <c r="C12875" s="1" t="str">
        <f>HYPERLINK("http://www.rosaceae.org/gb/gbrowse/malus_x_domestica/?name=MDP0000138538","MDP0000138538")</f>
        <v>MDP0000138538</v>
      </c>
      <c r="D12875">
        <v>60.3</v>
      </c>
      <c r="E12875">
        <v>131</v>
      </c>
      <c r="F12875">
        <v>52</v>
      </c>
      <c r="G12875">
        <v>5</v>
      </c>
      <c r="H12875">
        <v>1</v>
      </c>
      <c r="I12875">
        <v>131</v>
      </c>
      <c r="J12875">
        <v>1</v>
      </c>
      <c r="K12875">
        <v>1</v>
      </c>
      <c r="L12875">
        <v>126</v>
      </c>
      <c r="M12875">
        <v>1</v>
      </c>
      <c r="N12875">
        <v>1.3394499999999999E-35</v>
      </c>
      <c r="O12875">
        <v>365</v>
      </c>
    </row>
    <row r="12876" spans="1:15" x14ac:dyDescent="0.25">
      <c r="A12876" t="s">
        <v>12889</v>
      </c>
      <c r="B12876">
        <v>149</v>
      </c>
      <c r="C12876" s="1" t="str">
        <f>HYPERLINK("http://www.rosaceae.org/gb/gbrowse/malus_x_domestica/?name=MDP0000320576","MDP0000320576")</f>
        <v>MDP0000320576</v>
      </c>
      <c r="D12876">
        <v>44.66</v>
      </c>
      <c r="E12876">
        <v>103</v>
      </c>
      <c r="F12876">
        <v>57</v>
      </c>
      <c r="G12876">
        <v>12</v>
      </c>
      <c r="H12876">
        <v>2</v>
      </c>
      <c r="I12876">
        <v>103</v>
      </c>
      <c r="J12876">
        <v>1</v>
      </c>
      <c r="K12876">
        <v>3</v>
      </c>
      <c r="L12876">
        <v>94</v>
      </c>
      <c r="M12876">
        <v>1</v>
      </c>
      <c r="N12876">
        <v>8.40707E-12</v>
      </c>
      <c r="O12876">
        <v>161</v>
      </c>
    </row>
    <row r="12877" spans="1:15" x14ac:dyDescent="0.25">
      <c r="A12877" t="s">
        <v>12890</v>
      </c>
      <c r="B12877">
        <v>141</v>
      </c>
      <c r="C12877" s="1" t="str">
        <f>HYPERLINK("http://www.rosaceae.org/gb/gbrowse/malus_x_domestica/?name=MDP0000213117","MDP0000213117")</f>
        <v>MDP0000213117</v>
      </c>
      <c r="D12877">
        <v>37.200000000000003</v>
      </c>
      <c r="E12877">
        <v>172</v>
      </c>
      <c r="F12877">
        <v>108</v>
      </c>
      <c r="G12877">
        <v>50</v>
      </c>
      <c r="H12877">
        <v>1</v>
      </c>
      <c r="I12877">
        <v>123</v>
      </c>
      <c r="J12877">
        <v>1</v>
      </c>
      <c r="K12877">
        <v>1</v>
      </c>
      <c r="L12877">
        <v>171</v>
      </c>
      <c r="M12877">
        <v>1</v>
      </c>
      <c r="N12877">
        <v>9.2824199999999991E-19</v>
      </c>
      <c r="O12877">
        <v>221</v>
      </c>
    </row>
    <row r="12878" spans="1:15" x14ac:dyDescent="0.25">
      <c r="A12878" t="s">
        <v>12891</v>
      </c>
      <c r="B12878">
        <v>94</v>
      </c>
      <c r="C12878" s="1" t="str">
        <f>HYPERLINK("http://www.rosaceae.org/gb/gbrowse/malus_x_domestica/?name=MDP0000457187","MDP0000457187")</f>
        <v>MDP0000457187</v>
      </c>
      <c r="D12878">
        <v>92.47</v>
      </c>
      <c r="E12878">
        <v>93</v>
      </c>
      <c r="F12878">
        <v>7</v>
      </c>
      <c r="G12878">
        <v>0</v>
      </c>
      <c r="H12878">
        <v>1</v>
      </c>
      <c r="I12878">
        <v>93</v>
      </c>
      <c r="J12878">
        <v>1</v>
      </c>
      <c r="K12878">
        <v>1</v>
      </c>
      <c r="L12878">
        <v>93</v>
      </c>
      <c r="M12878">
        <v>1</v>
      </c>
      <c r="N12878">
        <v>4.5493999999999998E-47</v>
      </c>
      <c r="O12878">
        <v>463</v>
      </c>
    </row>
    <row r="12879" spans="1:15" x14ac:dyDescent="0.25">
      <c r="A12879" t="s">
        <v>12892</v>
      </c>
      <c r="B12879">
        <v>507</v>
      </c>
      <c r="C12879" s="1" t="str">
        <f>HYPERLINK("http://www.rosaceae.org/gb/gbrowse/malus_x_domestica/?name=MDP0000301858","MDP0000301858")</f>
        <v>MDP0000301858</v>
      </c>
      <c r="D12879">
        <v>60.89</v>
      </c>
      <c r="E12879">
        <v>537</v>
      </c>
      <c r="F12879">
        <v>210</v>
      </c>
      <c r="G12879">
        <v>92</v>
      </c>
      <c r="H12879">
        <v>2</v>
      </c>
      <c r="I12879">
        <v>489</v>
      </c>
      <c r="J12879">
        <v>1</v>
      </c>
      <c r="K12879">
        <v>3</v>
      </c>
      <c r="L12879">
        <v>496</v>
      </c>
      <c r="M12879">
        <v>1</v>
      </c>
      <c r="N12879">
        <v>2.42293E-168</v>
      </c>
      <c r="O12879">
        <v>1518</v>
      </c>
    </row>
    <row r="12880" spans="1:15" x14ac:dyDescent="0.25">
      <c r="A12880" t="s">
        <v>12893</v>
      </c>
      <c r="B12880">
        <v>280</v>
      </c>
      <c r="C12880" s="1" t="str">
        <f>HYPERLINK("http://www.rosaceae.org/gb/gbrowse/malus_x_domestica/?name=MDP0000155673","MDP0000155673")</f>
        <v>MDP0000155673</v>
      </c>
      <c r="D12880">
        <v>79.36</v>
      </c>
      <c r="E12880">
        <v>126</v>
      </c>
      <c r="F12880">
        <v>26</v>
      </c>
      <c r="G12880">
        <v>0</v>
      </c>
      <c r="H12880">
        <v>4</v>
      </c>
      <c r="I12880">
        <v>129</v>
      </c>
      <c r="J12880">
        <v>1</v>
      </c>
      <c r="K12880">
        <v>6</v>
      </c>
      <c r="L12880">
        <v>131</v>
      </c>
      <c r="M12880">
        <v>1</v>
      </c>
      <c r="N12880">
        <v>2.69693E-56</v>
      </c>
      <c r="O12880">
        <v>549</v>
      </c>
    </row>
    <row r="12881" spans="1:15" x14ac:dyDescent="0.25">
      <c r="A12881" t="s">
        <v>12894</v>
      </c>
      <c r="B12881">
        <v>236</v>
      </c>
      <c r="C12881" s="1" t="str">
        <f>HYPERLINK("http://www.rosaceae.org/gb/gbrowse/malus_x_domestica/?name=MDP0000304601","MDP0000304601")</f>
        <v>MDP0000304601</v>
      </c>
      <c r="D12881">
        <v>43.44</v>
      </c>
      <c r="E12881">
        <v>122</v>
      </c>
      <c r="F12881">
        <v>69</v>
      </c>
      <c r="G12881">
        <v>5</v>
      </c>
      <c r="H12881">
        <v>1</v>
      </c>
      <c r="I12881">
        <v>117</v>
      </c>
      <c r="J12881">
        <v>1</v>
      </c>
      <c r="K12881">
        <v>93</v>
      </c>
      <c r="L12881">
        <v>214</v>
      </c>
      <c r="M12881">
        <v>1</v>
      </c>
      <c r="N12881">
        <v>2.0807700000000001E-19</v>
      </c>
      <c r="O12881">
        <v>230</v>
      </c>
    </row>
    <row r="12882" spans="1:15" x14ac:dyDescent="0.25">
      <c r="A12882" t="s">
        <v>12895</v>
      </c>
      <c r="B12882">
        <v>317</v>
      </c>
      <c r="C12882" s="1" t="str">
        <f>HYPERLINK("http://www.rosaceae.org/gb/gbrowse/malus_x_domestica/?name=MDP0000435249","MDP0000435249")</f>
        <v>MDP0000435249</v>
      </c>
      <c r="D12882">
        <v>89</v>
      </c>
      <c r="E12882">
        <v>100</v>
      </c>
      <c r="F12882">
        <v>11</v>
      </c>
      <c r="G12882">
        <v>0</v>
      </c>
      <c r="H12882">
        <v>212</v>
      </c>
      <c r="I12882">
        <v>311</v>
      </c>
      <c r="J12882">
        <v>1</v>
      </c>
      <c r="K12882">
        <v>123</v>
      </c>
      <c r="L12882">
        <v>222</v>
      </c>
      <c r="M12882">
        <v>1</v>
      </c>
      <c r="N12882">
        <v>2.6503000000000001E-48</v>
      </c>
      <c r="O12882">
        <v>481</v>
      </c>
    </row>
    <row r="12883" spans="1:15" x14ac:dyDescent="0.25">
      <c r="A12883" t="s">
        <v>12896</v>
      </c>
      <c r="B12883">
        <v>242</v>
      </c>
      <c r="C12883" s="1" t="str">
        <f>HYPERLINK("http://www.rosaceae.org/gb/gbrowse/malus_x_domestica/?name=MDP0000216956","MDP0000216956")</f>
        <v>MDP0000216956</v>
      </c>
      <c r="D12883">
        <v>50</v>
      </c>
      <c r="E12883">
        <v>50</v>
      </c>
      <c r="F12883">
        <v>25</v>
      </c>
      <c r="G12883">
        <v>3</v>
      </c>
      <c r="H12883">
        <v>173</v>
      </c>
      <c r="I12883">
        <v>222</v>
      </c>
      <c r="J12883">
        <v>1</v>
      </c>
      <c r="K12883">
        <v>194</v>
      </c>
      <c r="L12883">
        <v>240</v>
      </c>
      <c r="M12883">
        <v>1</v>
      </c>
      <c r="N12883">
        <v>2.46274E-10</v>
      </c>
      <c r="O12883">
        <v>152</v>
      </c>
    </row>
    <row r="12884" spans="1:15" x14ac:dyDescent="0.25">
      <c r="A12884" t="s">
        <v>12897</v>
      </c>
      <c r="B12884">
        <v>156</v>
      </c>
      <c r="C12884" s="1" t="str">
        <f>HYPERLINK("http://www.rosaceae.org/gb/gbrowse/malus_x_domestica/?name=MDP0000124256","MDP0000124256")</f>
        <v>MDP0000124256</v>
      </c>
      <c r="D12884">
        <v>36.71</v>
      </c>
      <c r="E12884">
        <v>128</v>
      </c>
      <c r="F12884">
        <v>81</v>
      </c>
      <c r="G12884">
        <v>0</v>
      </c>
      <c r="H12884">
        <v>9</v>
      </c>
      <c r="I12884">
        <v>136</v>
      </c>
      <c r="J12884">
        <v>1</v>
      </c>
      <c r="K12884">
        <v>69</v>
      </c>
      <c r="L12884">
        <v>196</v>
      </c>
      <c r="M12884">
        <v>1</v>
      </c>
      <c r="N12884">
        <v>1.2618E-20</v>
      </c>
      <c r="O12884">
        <v>238</v>
      </c>
    </row>
    <row r="12885" spans="1:15" x14ac:dyDescent="0.25">
      <c r="A12885" t="s">
        <v>12898</v>
      </c>
      <c r="B12885">
        <v>261</v>
      </c>
      <c r="C12885" s="1" t="str">
        <f>HYPERLINK("http://www.rosaceae.org/gb/gbrowse/malus_x_domestica/?name=MDP0000215063","MDP0000215063")</f>
        <v>MDP0000215063</v>
      </c>
      <c r="D12885">
        <v>75.17</v>
      </c>
      <c r="E12885">
        <v>278</v>
      </c>
      <c r="F12885">
        <v>69</v>
      </c>
      <c r="G12885">
        <v>18</v>
      </c>
      <c r="H12885">
        <v>1</v>
      </c>
      <c r="I12885">
        <v>261</v>
      </c>
      <c r="J12885">
        <v>1</v>
      </c>
      <c r="K12885">
        <v>1</v>
      </c>
      <c r="L12885">
        <v>277</v>
      </c>
      <c r="M12885">
        <v>1</v>
      </c>
      <c r="N12885">
        <v>1.3223300000000001E-116</v>
      </c>
      <c r="O12885">
        <v>1069</v>
      </c>
    </row>
    <row r="12886" spans="1:15" x14ac:dyDescent="0.25">
      <c r="A12886" t="s">
        <v>12899</v>
      </c>
      <c r="B12886">
        <v>331</v>
      </c>
      <c r="C12886" s="1" t="str">
        <f>HYPERLINK("http://www.rosaceae.org/gb/gbrowse/malus_x_domestica/?name=MDP0000256723","MDP0000256723")</f>
        <v>MDP0000256723</v>
      </c>
      <c r="D12886">
        <v>45.8</v>
      </c>
      <c r="E12886">
        <v>334</v>
      </c>
      <c r="F12886">
        <v>181</v>
      </c>
      <c r="G12886">
        <v>8</v>
      </c>
      <c r="H12886">
        <v>1</v>
      </c>
      <c r="I12886">
        <v>329</v>
      </c>
      <c r="J12886">
        <v>1</v>
      </c>
      <c r="K12886">
        <v>311</v>
      </c>
      <c r="L12886">
        <v>641</v>
      </c>
      <c r="M12886">
        <v>1</v>
      </c>
      <c r="N12886">
        <v>2.2590699999999999E-70</v>
      </c>
      <c r="O12886">
        <v>671</v>
      </c>
    </row>
    <row r="12887" spans="1:15" x14ac:dyDescent="0.25">
      <c r="A12887" t="s">
        <v>12900</v>
      </c>
      <c r="B12887">
        <v>188</v>
      </c>
      <c r="C12887" s="1" t="str">
        <f>HYPERLINK("http://www.rosaceae.org/gb/gbrowse/malus_x_domestica/?name=MDP0000290730","MDP0000290730")</f>
        <v>MDP0000290730</v>
      </c>
      <c r="D12887">
        <v>45.56</v>
      </c>
      <c r="E12887">
        <v>79</v>
      </c>
      <c r="F12887">
        <v>43</v>
      </c>
      <c r="G12887">
        <v>1</v>
      </c>
      <c r="H12887">
        <v>2</v>
      </c>
      <c r="I12887">
        <v>79</v>
      </c>
      <c r="J12887">
        <v>1</v>
      </c>
      <c r="K12887">
        <v>120</v>
      </c>
      <c r="L12887">
        <v>198</v>
      </c>
      <c r="M12887">
        <v>1</v>
      </c>
      <c r="N12887">
        <v>8.5495899999999995E-13</v>
      </c>
      <c r="O12887">
        <v>171</v>
      </c>
    </row>
    <row r="12888" spans="1:15" x14ac:dyDescent="0.25">
      <c r="A12888" t="s">
        <v>12901</v>
      </c>
      <c r="B12888">
        <v>1312</v>
      </c>
      <c r="C12888" s="1" t="str">
        <f>HYPERLINK("http://www.rosaceae.org/gb/gbrowse/malus_x_domestica/?name=MDP0000172287","MDP0000172287")</f>
        <v>MDP0000172287</v>
      </c>
      <c r="D12888">
        <v>65.34</v>
      </c>
      <c r="E12888">
        <v>329</v>
      </c>
      <c r="F12888">
        <v>114</v>
      </c>
      <c r="G12888">
        <v>19</v>
      </c>
      <c r="H12888">
        <v>982</v>
      </c>
      <c r="I12888">
        <v>1291</v>
      </c>
      <c r="J12888">
        <v>1</v>
      </c>
      <c r="K12888">
        <v>27</v>
      </c>
      <c r="L12888">
        <v>355</v>
      </c>
      <c r="M12888">
        <v>1</v>
      </c>
      <c r="N12888">
        <v>3.9760999999999997E-113</v>
      </c>
      <c r="O12888">
        <v>1046</v>
      </c>
    </row>
    <row r="12889" spans="1:15" x14ac:dyDescent="0.25">
      <c r="A12889" t="s">
        <v>12902</v>
      </c>
      <c r="B12889">
        <v>1234</v>
      </c>
      <c r="C12889" s="1" t="str">
        <f>HYPERLINK("http://www.rosaceae.org/gb/gbrowse/malus_x_domestica/?name=MDP0000309380","MDP0000309380")</f>
        <v>MDP0000309380</v>
      </c>
      <c r="D12889">
        <v>73.02</v>
      </c>
      <c r="E12889">
        <v>152</v>
      </c>
      <c r="F12889">
        <v>41</v>
      </c>
      <c r="G12889">
        <v>15</v>
      </c>
      <c r="H12889">
        <v>1055</v>
      </c>
      <c r="I12889">
        <v>1205</v>
      </c>
      <c r="J12889">
        <v>1</v>
      </c>
      <c r="K12889">
        <v>29</v>
      </c>
      <c r="L12889">
        <v>166</v>
      </c>
      <c r="M12889">
        <v>1</v>
      </c>
      <c r="N12889">
        <v>1.0988600000000001E-57</v>
      </c>
      <c r="O12889">
        <v>568</v>
      </c>
    </row>
    <row r="12890" spans="1:15" x14ac:dyDescent="0.25">
      <c r="A12890" t="s">
        <v>12903</v>
      </c>
      <c r="B12890">
        <v>178</v>
      </c>
      <c r="C12890" s="1" t="str">
        <f>HYPERLINK("http://www.rosaceae.org/gb/gbrowse/malus_x_domestica/?name=MDP0000206093","MDP0000206093")</f>
        <v>MDP0000206093</v>
      </c>
      <c r="D12890">
        <v>80.89</v>
      </c>
      <c r="E12890">
        <v>178</v>
      </c>
      <c r="F12890">
        <v>34</v>
      </c>
      <c r="G12890">
        <v>3</v>
      </c>
      <c r="H12890">
        <v>1</v>
      </c>
      <c r="I12890">
        <v>175</v>
      </c>
      <c r="J12890">
        <v>1</v>
      </c>
      <c r="K12890">
        <v>1</v>
      </c>
      <c r="L12890">
        <v>178</v>
      </c>
      <c r="M12890">
        <v>1</v>
      </c>
      <c r="N12890">
        <v>1.2109499999999999E-79</v>
      </c>
      <c r="O12890">
        <v>748</v>
      </c>
    </row>
    <row r="12891" spans="1:15" x14ac:dyDescent="0.25">
      <c r="A12891" t="s">
        <v>12904</v>
      </c>
      <c r="B12891">
        <v>111</v>
      </c>
      <c r="C12891" s="1" t="str">
        <f>HYPERLINK("http://www.rosaceae.org/gb/gbrowse/malus_x_domestica/?name=MDP0000190255","MDP0000190255")</f>
        <v>MDP0000190255</v>
      </c>
      <c r="D12891">
        <v>85.58</v>
      </c>
      <c r="E12891">
        <v>111</v>
      </c>
      <c r="F12891">
        <v>16</v>
      </c>
      <c r="G12891">
        <v>0</v>
      </c>
      <c r="H12891">
        <v>1</v>
      </c>
      <c r="I12891">
        <v>111</v>
      </c>
      <c r="J12891">
        <v>1</v>
      </c>
      <c r="K12891">
        <v>1</v>
      </c>
      <c r="L12891">
        <v>111</v>
      </c>
      <c r="M12891">
        <v>1</v>
      </c>
      <c r="N12891">
        <v>7.9934800000000001E-53</v>
      </c>
      <c r="O12891">
        <v>513</v>
      </c>
    </row>
    <row r="12892" spans="1:15" x14ac:dyDescent="0.25">
      <c r="A12892" t="s">
        <v>12905</v>
      </c>
      <c r="B12892">
        <v>194</v>
      </c>
      <c r="C12892" s="1" t="str">
        <f>HYPERLINK("http://www.rosaceae.org/gb/gbrowse/malus_x_domestica/?name=MDP0000309976","MDP0000309976")</f>
        <v>MDP0000309976</v>
      </c>
      <c r="D12892">
        <v>43.25</v>
      </c>
      <c r="E12892">
        <v>178</v>
      </c>
      <c r="F12892">
        <v>101</v>
      </c>
      <c r="G12892">
        <v>22</v>
      </c>
      <c r="H12892">
        <v>38</v>
      </c>
      <c r="I12892">
        <v>194</v>
      </c>
      <c r="J12892">
        <v>1</v>
      </c>
      <c r="K12892">
        <v>456</v>
      </c>
      <c r="L12892">
        <v>632</v>
      </c>
      <c r="M12892">
        <v>1</v>
      </c>
      <c r="N12892">
        <v>5.9006799999999999E-25</v>
      </c>
      <c r="O12892">
        <v>277</v>
      </c>
    </row>
    <row r="12893" spans="1:15" x14ac:dyDescent="0.25">
      <c r="A12893" t="s">
        <v>12906</v>
      </c>
      <c r="B12893">
        <v>369</v>
      </c>
      <c r="C12893" s="1" t="str">
        <f>HYPERLINK("http://www.rosaceae.org/gb/gbrowse/malus_x_domestica/?name=MDP0000274423","MDP0000274423")</f>
        <v>MDP0000274423</v>
      </c>
      <c r="D12893">
        <v>65</v>
      </c>
      <c r="E12893">
        <v>360</v>
      </c>
      <c r="F12893">
        <v>126</v>
      </c>
      <c r="G12893">
        <v>0</v>
      </c>
      <c r="H12893">
        <v>10</v>
      </c>
      <c r="I12893">
        <v>369</v>
      </c>
      <c r="J12893">
        <v>1</v>
      </c>
      <c r="K12893">
        <v>1</v>
      </c>
      <c r="L12893">
        <v>360</v>
      </c>
      <c r="M12893">
        <v>1</v>
      </c>
      <c r="N12893">
        <v>9.1199799999999995E-139</v>
      </c>
      <c r="O12893">
        <v>1262</v>
      </c>
    </row>
    <row r="12894" spans="1:15" x14ac:dyDescent="0.25">
      <c r="A12894" t="s">
        <v>12907</v>
      </c>
      <c r="B12894">
        <v>655</v>
      </c>
      <c r="C12894" s="1" t="str">
        <f>HYPERLINK("http://www.rosaceae.org/gb/gbrowse/malus_x_domestica/?name=MDP0000563698","MDP0000563698")</f>
        <v>MDP0000563698</v>
      </c>
      <c r="D12894">
        <v>23.9</v>
      </c>
      <c r="E12894">
        <v>364</v>
      </c>
      <c r="F12894">
        <v>277</v>
      </c>
      <c r="G12894">
        <v>56</v>
      </c>
      <c r="H12894">
        <v>12</v>
      </c>
      <c r="I12894">
        <v>334</v>
      </c>
      <c r="J12894">
        <v>1</v>
      </c>
      <c r="K12894">
        <v>39</v>
      </c>
      <c r="L12894">
        <v>387</v>
      </c>
      <c r="M12894">
        <v>1</v>
      </c>
      <c r="N12894">
        <v>3.9272400000000001E-12</v>
      </c>
      <c r="O12894">
        <v>172</v>
      </c>
    </row>
    <row r="12895" spans="1:15" x14ac:dyDescent="0.25">
      <c r="A12895" t="s">
        <v>12908</v>
      </c>
      <c r="B12895">
        <v>433</v>
      </c>
      <c r="C12895" s="1" t="str">
        <f>HYPERLINK("http://www.rosaceae.org/gb/gbrowse/malus_x_domestica/?name=MDP0000764740","MDP0000764740")</f>
        <v>MDP0000764740</v>
      </c>
      <c r="D12895">
        <v>81.650000000000006</v>
      </c>
      <c r="E12895">
        <v>436</v>
      </c>
      <c r="F12895">
        <v>80</v>
      </c>
      <c r="G12895">
        <v>4</v>
      </c>
      <c r="H12895">
        <v>1</v>
      </c>
      <c r="I12895">
        <v>433</v>
      </c>
      <c r="J12895">
        <v>1</v>
      </c>
      <c r="K12895">
        <v>1</v>
      </c>
      <c r="L12895">
        <v>435</v>
      </c>
      <c r="M12895">
        <v>1</v>
      </c>
      <c r="N12895">
        <v>0</v>
      </c>
      <c r="O12895">
        <v>1839</v>
      </c>
    </row>
    <row r="12896" spans="1:15" x14ac:dyDescent="0.25">
      <c r="A12896" t="s">
        <v>12909</v>
      </c>
      <c r="B12896">
        <v>948</v>
      </c>
      <c r="C12896" s="1" t="str">
        <f>HYPERLINK("http://www.rosaceae.org/gb/gbrowse/malus_x_domestica/?name=MDP0000708926","MDP0000708926")</f>
        <v>MDP0000708926</v>
      </c>
      <c r="D12896">
        <v>64.900000000000006</v>
      </c>
      <c r="E12896">
        <v>906</v>
      </c>
      <c r="F12896">
        <v>318</v>
      </c>
      <c r="G12896">
        <v>12</v>
      </c>
      <c r="H12896">
        <v>1</v>
      </c>
      <c r="I12896">
        <v>906</v>
      </c>
      <c r="J12896">
        <v>1</v>
      </c>
      <c r="K12896">
        <v>1</v>
      </c>
      <c r="L12896">
        <v>894</v>
      </c>
      <c r="M12896">
        <v>1</v>
      </c>
      <c r="N12896">
        <v>0</v>
      </c>
      <c r="O12896">
        <v>3118</v>
      </c>
    </row>
    <row r="12897" spans="1:15" x14ac:dyDescent="0.25">
      <c r="A12897" t="s">
        <v>12910</v>
      </c>
      <c r="B12897">
        <v>497</v>
      </c>
      <c r="C12897" s="1" t="str">
        <f>HYPERLINK("http://www.rosaceae.org/gb/gbrowse/malus_x_domestica/?name=MDP0000194622","MDP0000194622")</f>
        <v>MDP0000194622</v>
      </c>
      <c r="D12897">
        <v>85.11</v>
      </c>
      <c r="E12897">
        <v>504</v>
      </c>
      <c r="F12897">
        <v>75</v>
      </c>
      <c r="G12897">
        <v>7</v>
      </c>
      <c r="H12897">
        <v>1</v>
      </c>
      <c r="I12897">
        <v>497</v>
      </c>
      <c r="J12897">
        <v>1</v>
      </c>
      <c r="K12897">
        <v>177</v>
      </c>
      <c r="L12897">
        <v>680</v>
      </c>
      <c r="M12897">
        <v>1</v>
      </c>
      <c r="N12897">
        <v>0</v>
      </c>
      <c r="O12897">
        <v>2266</v>
      </c>
    </row>
    <row r="12898" spans="1:15" x14ac:dyDescent="0.25">
      <c r="A12898" t="s">
        <v>12911</v>
      </c>
      <c r="B12898">
        <v>447</v>
      </c>
      <c r="C12898" s="1" t="str">
        <f>HYPERLINK("http://www.rosaceae.org/gb/gbrowse/malus_x_domestica/?name=MDP0000222238","MDP0000222238")</f>
        <v>MDP0000222238</v>
      </c>
      <c r="D12898">
        <v>67.430000000000007</v>
      </c>
      <c r="E12898">
        <v>393</v>
      </c>
      <c r="F12898">
        <v>128</v>
      </c>
      <c r="G12898">
        <v>21</v>
      </c>
      <c r="H12898">
        <v>74</v>
      </c>
      <c r="I12898">
        <v>446</v>
      </c>
      <c r="J12898">
        <v>1</v>
      </c>
      <c r="K12898">
        <v>60</v>
      </c>
      <c r="L12898">
        <v>451</v>
      </c>
      <c r="M12898">
        <v>1</v>
      </c>
      <c r="N12898">
        <v>1.5050700000000001E-149</v>
      </c>
      <c r="O12898">
        <v>1356</v>
      </c>
    </row>
    <row r="12899" spans="1:15" x14ac:dyDescent="0.25">
      <c r="A12899" t="s">
        <v>12912</v>
      </c>
      <c r="B12899">
        <v>275</v>
      </c>
      <c r="C12899" s="1" t="str">
        <f>HYPERLINK("http://www.rosaceae.org/gb/gbrowse/malus_x_domestica/?name=MDP0000247088","MDP0000247088")</f>
        <v>MDP0000247088</v>
      </c>
      <c r="D12899">
        <v>56.59</v>
      </c>
      <c r="E12899">
        <v>182</v>
      </c>
      <c r="F12899">
        <v>79</v>
      </c>
      <c r="G12899">
        <v>11</v>
      </c>
      <c r="H12899">
        <v>1</v>
      </c>
      <c r="I12899">
        <v>175</v>
      </c>
      <c r="J12899">
        <v>1</v>
      </c>
      <c r="K12899">
        <v>1</v>
      </c>
      <c r="L12899">
        <v>178</v>
      </c>
      <c r="M12899">
        <v>1</v>
      </c>
      <c r="N12899">
        <v>5.0323399999999999E-51</v>
      </c>
      <c r="O12899">
        <v>504</v>
      </c>
    </row>
    <row r="12900" spans="1:15" x14ac:dyDescent="0.25">
      <c r="A12900" t="s">
        <v>12913</v>
      </c>
      <c r="B12900">
        <v>592</v>
      </c>
      <c r="C12900" s="1" t="str">
        <f>HYPERLINK("http://www.rosaceae.org/gb/gbrowse/malus_x_domestica/?name=MDP0000125011","MDP0000125011")</f>
        <v>MDP0000125011</v>
      </c>
      <c r="D12900">
        <v>82.8</v>
      </c>
      <c r="E12900">
        <v>605</v>
      </c>
      <c r="F12900">
        <v>104</v>
      </c>
      <c r="G12900">
        <v>16</v>
      </c>
      <c r="H12900">
        <v>1</v>
      </c>
      <c r="I12900">
        <v>591</v>
      </c>
      <c r="J12900">
        <v>1</v>
      </c>
      <c r="K12900">
        <v>20</v>
      </c>
      <c r="L12900">
        <v>622</v>
      </c>
      <c r="M12900">
        <v>1</v>
      </c>
      <c r="N12900">
        <v>0</v>
      </c>
      <c r="O12900">
        <v>2651</v>
      </c>
    </row>
    <row r="12901" spans="1:15" x14ac:dyDescent="0.25">
      <c r="A12901" t="s">
        <v>12914</v>
      </c>
      <c r="B12901">
        <v>251</v>
      </c>
      <c r="C12901" s="1" t="str">
        <f>HYPERLINK("http://www.rosaceae.org/gb/gbrowse/malus_x_domestica/?name=MDP0000183910","MDP0000183910")</f>
        <v>MDP0000183910</v>
      </c>
      <c r="D12901">
        <v>77.39</v>
      </c>
      <c r="E12901">
        <v>230</v>
      </c>
      <c r="F12901">
        <v>52</v>
      </c>
      <c r="G12901">
        <v>7</v>
      </c>
      <c r="H12901">
        <v>24</v>
      </c>
      <c r="I12901">
        <v>251</v>
      </c>
      <c r="J12901">
        <v>1</v>
      </c>
      <c r="K12901">
        <v>45</v>
      </c>
      <c r="L12901">
        <v>269</v>
      </c>
      <c r="M12901">
        <v>1</v>
      </c>
      <c r="N12901">
        <v>6.9991000000000003E-103</v>
      </c>
      <c r="O12901">
        <v>950</v>
      </c>
    </row>
    <row r="12902" spans="1:15" x14ac:dyDescent="0.25">
      <c r="A12902" t="s">
        <v>12915</v>
      </c>
      <c r="B12902">
        <v>789</v>
      </c>
      <c r="C12902" s="1" t="str">
        <f>HYPERLINK("http://www.rosaceae.org/gb/gbrowse/malus_x_domestica/?name=MDP0000211490","MDP0000211490")</f>
        <v>MDP0000211490</v>
      </c>
      <c r="D12902">
        <v>76.86</v>
      </c>
      <c r="E12902">
        <v>778</v>
      </c>
      <c r="F12902">
        <v>180</v>
      </c>
      <c r="G12902">
        <v>13</v>
      </c>
      <c r="H12902">
        <v>14</v>
      </c>
      <c r="I12902">
        <v>788</v>
      </c>
      <c r="J12902">
        <v>1</v>
      </c>
      <c r="K12902">
        <v>47</v>
      </c>
      <c r="L12902">
        <v>814</v>
      </c>
      <c r="M12902">
        <v>1</v>
      </c>
      <c r="N12902">
        <v>0</v>
      </c>
      <c r="O12902">
        <v>3177</v>
      </c>
    </row>
    <row r="12903" spans="1:15" x14ac:dyDescent="0.25">
      <c r="A12903" t="s">
        <v>12916</v>
      </c>
      <c r="B12903">
        <v>305</v>
      </c>
      <c r="C12903" s="1" t="str">
        <f>HYPERLINK("http://www.rosaceae.org/gb/gbrowse/malus_x_domestica/?name=MDP0000850540","MDP0000850540")</f>
        <v>MDP0000850540</v>
      </c>
      <c r="D12903">
        <v>58.42</v>
      </c>
      <c r="E12903">
        <v>368</v>
      </c>
      <c r="F12903">
        <v>153</v>
      </c>
      <c r="G12903">
        <v>67</v>
      </c>
      <c r="H12903">
        <v>1</v>
      </c>
      <c r="I12903">
        <v>301</v>
      </c>
      <c r="J12903">
        <v>1</v>
      </c>
      <c r="K12903">
        <v>123</v>
      </c>
      <c r="L12903">
        <v>490</v>
      </c>
      <c r="M12903">
        <v>1</v>
      </c>
      <c r="N12903">
        <v>1.1675900000000001E-115</v>
      </c>
      <c r="O12903">
        <v>1061</v>
      </c>
    </row>
    <row r="12904" spans="1:15" x14ac:dyDescent="0.25">
      <c r="A12904" t="s">
        <v>12917</v>
      </c>
      <c r="B12904">
        <v>516</v>
      </c>
      <c r="C12904" s="1" t="str">
        <f>HYPERLINK("http://www.rosaceae.org/gb/gbrowse/malus_x_domestica/?name=MDP0000249325","MDP0000249325")</f>
        <v>MDP0000249325</v>
      </c>
      <c r="D12904">
        <v>83.72</v>
      </c>
      <c r="E12904">
        <v>510</v>
      </c>
      <c r="F12904">
        <v>83</v>
      </c>
      <c r="G12904">
        <v>10</v>
      </c>
      <c r="H12904">
        <v>1</v>
      </c>
      <c r="I12904">
        <v>509</v>
      </c>
      <c r="J12904">
        <v>1</v>
      </c>
      <c r="K12904">
        <v>2</v>
      </c>
      <c r="L12904">
        <v>502</v>
      </c>
      <c r="M12904">
        <v>1</v>
      </c>
      <c r="N12904">
        <v>0</v>
      </c>
      <c r="O12904">
        <v>2198</v>
      </c>
    </row>
    <row r="12905" spans="1:15" x14ac:dyDescent="0.25">
      <c r="A12905" t="s">
        <v>12918</v>
      </c>
      <c r="B12905">
        <v>372</v>
      </c>
      <c r="C12905" s="1" t="str">
        <f>HYPERLINK("http://www.rosaceae.org/gb/gbrowse/malus_x_domestica/?name=MDP0000312830","MDP0000312830")</f>
        <v>MDP0000312830</v>
      </c>
      <c r="D12905">
        <v>39.630000000000003</v>
      </c>
      <c r="E12905">
        <v>328</v>
      </c>
      <c r="F12905">
        <v>198</v>
      </c>
      <c r="G12905">
        <v>52</v>
      </c>
      <c r="H12905">
        <v>2</v>
      </c>
      <c r="I12905">
        <v>300</v>
      </c>
      <c r="J12905">
        <v>1</v>
      </c>
      <c r="K12905">
        <v>9</v>
      </c>
      <c r="L12905">
        <v>313</v>
      </c>
      <c r="M12905">
        <v>1</v>
      </c>
      <c r="N12905">
        <v>3.4288999999999999E-41</v>
      </c>
      <c r="O12905">
        <v>420</v>
      </c>
    </row>
    <row r="12906" spans="1:15" x14ac:dyDescent="0.25">
      <c r="A12906" t="s">
        <v>12919</v>
      </c>
      <c r="B12906">
        <v>185</v>
      </c>
      <c r="C12906" s="1" t="str">
        <f>HYPERLINK("http://www.rosaceae.org/gb/gbrowse/malus_x_domestica/?name=MDP0000936873","MDP0000936873")</f>
        <v>MDP0000936873</v>
      </c>
      <c r="D12906">
        <v>70.319999999999993</v>
      </c>
      <c r="E12906">
        <v>182</v>
      </c>
      <c r="F12906">
        <v>54</v>
      </c>
      <c r="G12906">
        <v>25</v>
      </c>
      <c r="H12906">
        <v>19</v>
      </c>
      <c r="I12906">
        <v>185</v>
      </c>
      <c r="J12906">
        <v>1</v>
      </c>
      <c r="K12906">
        <v>15</v>
      </c>
      <c r="L12906">
        <v>186</v>
      </c>
      <c r="M12906">
        <v>1</v>
      </c>
      <c r="N12906">
        <v>3.8778100000000001E-63</v>
      </c>
      <c r="O12906">
        <v>606</v>
      </c>
    </row>
    <row r="12907" spans="1:15" x14ac:dyDescent="0.25">
      <c r="A12907" t="s">
        <v>12920</v>
      </c>
      <c r="B12907">
        <v>81</v>
      </c>
      <c r="C12907" s="1" t="str">
        <f>HYPERLINK("http://www.rosaceae.org/gb/gbrowse/malus_x_domestica/?name=MDP0000894544","MDP0000894544")</f>
        <v>MDP0000894544</v>
      </c>
      <c r="D12907">
        <v>72</v>
      </c>
      <c r="E12907">
        <v>75</v>
      </c>
      <c r="F12907">
        <v>21</v>
      </c>
      <c r="G12907">
        <v>0</v>
      </c>
      <c r="H12907">
        <v>4</v>
      </c>
      <c r="I12907">
        <v>78</v>
      </c>
      <c r="J12907">
        <v>1</v>
      </c>
      <c r="K12907">
        <v>3</v>
      </c>
      <c r="L12907">
        <v>77</v>
      </c>
      <c r="M12907">
        <v>1</v>
      </c>
      <c r="N12907">
        <v>5.0779000000000004E-28</v>
      </c>
      <c r="O12907">
        <v>299</v>
      </c>
    </row>
    <row r="12908" spans="1:15" x14ac:dyDescent="0.25">
      <c r="A12908" t="s">
        <v>12921</v>
      </c>
      <c r="B12908">
        <v>526</v>
      </c>
      <c r="C12908" s="1" t="str">
        <f>HYPERLINK("http://www.rosaceae.org/gb/gbrowse/malus_x_domestica/?name=MDP0000779011","MDP0000779011")</f>
        <v>MDP0000779011</v>
      </c>
      <c r="D12908">
        <v>70.03</v>
      </c>
      <c r="E12908">
        <v>524</v>
      </c>
      <c r="F12908">
        <v>157</v>
      </c>
      <c r="G12908">
        <v>3</v>
      </c>
      <c r="H12908">
        <v>1</v>
      </c>
      <c r="I12908">
        <v>523</v>
      </c>
      <c r="J12908">
        <v>1</v>
      </c>
      <c r="K12908">
        <v>51</v>
      </c>
      <c r="L12908">
        <v>572</v>
      </c>
      <c r="M12908">
        <v>1</v>
      </c>
      <c r="N12908">
        <v>0</v>
      </c>
      <c r="O12908">
        <v>1960</v>
      </c>
    </row>
    <row r="12909" spans="1:15" x14ac:dyDescent="0.25">
      <c r="A12909" t="s">
        <v>12922</v>
      </c>
      <c r="B12909">
        <v>1179</v>
      </c>
      <c r="C12909" s="1" t="str">
        <f>HYPERLINK("http://www.rosaceae.org/gb/gbrowse/malus_x_domestica/?name=MDP0000178669","MDP0000178669")</f>
        <v>MDP0000178669</v>
      </c>
      <c r="D12909">
        <v>83.06</v>
      </c>
      <c r="E12909">
        <v>378</v>
      </c>
      <c r="F12909">
        <v>64</v>
      </c>
      <c r="G12909">
        <v>0</v>
      </c>
      <c r="H12909">
        <v>617</v>
      </c>
      <c r="I12909">
        <v>994</v>
      </c>
      <c r="J12909">
        <v>1</v>
      </c>
      <c r="K12909">
        <v>156</v>
      </c>
      <c r="L12909">
        <v>533</v>
      </c>
      <c r="M12909">
        <v>1</v>
      </c>
      <c r="N12909">
        <v>0</v>
      </c>
      <c r="O12909">
        <v>1761</v>
      </c>
    </row>
    <row r="12910" spans="1:15" x14ac:dyDescent="0.25">
      <c r="A12910" t="s">
        <v>12923</v>
      </c>
      <c r="B12910">
        <v>260</v>
      </c>
      <c r="C12910" s="1" t="str">
        <f>HYPERLINK("http://www.rosaceae.org/gb/gbrowse/malus_x_domestica/?name=MDP0000121646","MDP0000121646")</f>
        <v>MDP0000121646</v>
      </c>
      <c r="D12910">
        <v>50.96</v>
      </c>
      <c r="E12910">
        <v>155</v>
      </c>
      <c r="F12910">
        <v>76</v>
      </c>
      <c r="G12910">
        <v>39</v>
      </c>
      <c r="H12910">
        <v>140</v>
      </c>
      <c r="I12910">
        <v>255</v>
      </c>
      <c r="J12910">
        <v>1</v>
      </c>
      <c r="K12910">
        <v>219</v>
      </c>
      <c r="L12910">
        <v>373</v>
      </c>
      <c r="M12910">
        <v>1</v>
      </c>
      <c r="N12910">
        <v>1.1043499999999999E-25</v>
      </c>
      <c r="O12910">
        <v>285</v>
      </c>
    </row>
    <row r="12911" spans="1:15" x14ac:dyDescent="0.25">
      <c r="A12911" t="s">
        <v>12924</v>
      </c>
      <c r="B12911">
        <v>511</v>
      </c>
      <c r="C12911" s="1" t="str">
        <f>HYPERLINK("http://www.rosaceae.org/gb/gbrowse/malus_x_domestica/?name=MDP0000139721","MDP0000139721")</f>
        <v>MDP0000139721</v>
      </c>
      <c r="D12911">
        <v>69.38</v>
      </c>
      <c r="E12911">
        <v>196</v>
      </c>
      <c r="F12911">
        <v>60</v>
      </c>
      <c r="G12911">
        <v>8</v>
      </c>
      <c r="H12911">
        <v>323</v>
      </c>
      <c r="I12911">
        <v>511</v>
      </c>
      <c r="J12911">
        <v>1</v>
      </c>
      <c r="K12911">
        <v>6</v>
      </c>
      <c r="L12911">
        <v>200</v>
      </c>
      <c r="M12911">
        <v>1</v>
      </c>
      <c r="N12911">
        <v>3.5091599999999999E-76</v>
      </c>
      <c r="O12911">
        <v>724</v>
      </c>
    </row>
    <row r="12912" spans="1:15" x14ac:dyDescent="0.25">
      <c r="A12912" t="s">
        <v>12925</v>
      </c>
      <c r="B12912">
        <v>217</v>
      </c>
      <c r="C12912" s="1" t="str">
        <f>HYPERLINK("http://www.rosaceae.org/gb/gbrowse/malus_x_domestica/?name=MDP0000874064","MDP0000874064")</f>
        <v>MDP0000874064</v>
      </c>
      <c r="D12912">
        <v>41.08</v>
      </c>
      <c r="E12912">
        <v>185</v>
      </c>
      <c r="F12912">
        <v>109</v>
      </c>
      <c r="G12912">
        <v>34</v>
      </c>
      <c r="H12912">
        <v>8</v>
      </c>
      <c r="I12912">
        <v>168</v>
      </c>
      <c r="J12912">
        <v>1</v>
      </c>
      <c r="K12912">
        <v>21</v>
      </c>
      <c r="L12912">
        <v>195</v>
      </c>
      <c r="M12912">
        <v>1</v>
      </c>
      <c r="N12912">
        <v>1.3961900000000001E-26</v>
      </c>
      <c r="O12912">
        <v>291</v>
      </c>
    </row>
    <row r="12913" spans="1:15" x14ac:dyDescent="0.25">
      <c r="A12913" t="s">
        <v>12926</v>
      </c>
      <c r="B12913">
        <v>628</v>
      </c>
      <c r="C12913" s="1" t="str">
        <f>HYPERLINK("http://www.rosaceae.org/gb/gbrowse/malus_x_domestica/?name=MDP0000184738","MDP0000184738")</f>
        <v>MDP0000184738</v>
      </c>
      <c r="D12913">
        <v>59.6</v>
      </c>
      <c r="E12913">
        <v>151</v>
      </c>
      <c r="F12913">
        <v>61</v>
      </c>
      <c r="G12913">
        <v>13</v>
      </c>
      <c r="H12913">
        <v>2</v>
      </c>
      <c r="I12913">
        <v>140</v>
      </c>
      <c r="J12913">
        <v>1</v>
      </c>
      <c r="K12913">
        <v>3</v>
      </c>
      <c r="L12913">
        <v>152</v>
      </c>
      <c r="M12913">
        <v>1</v>
      </c>
      <c r="N12913">
        <v>1.1306000000000001E-45</v>
      </c>
      <c r="O12913">
        <v>461</v>
      </c>
    </row>
    <row r="12914" spans="1:15" x14ac:dyDescent="0.25">
      <c r="A12914" t="s">
        <v>12927</v>
      </c>
      <c r="B12914">
        <v>574</v>
      </c>
      <c r="C12914" s="1" t="str">
        <f>HYPERLINK("http://www.rosaceae.org/gb/gbrowse/malus_x_domestica/?name=MDP0000043338","MDP0000043338")</f>
        <v>MDP0000043338</v>
      </c>
      <c r="D12914">
        <v>55.99</v>
      </c>
      <c r="E12914">
        <v>484</v>
      </c>
      <c r="F12914">
        <v>213</v>
      </c>
      <c r="G12914">
        <v>138</v>
      </c>
      <c r="H12914">
        <v>80</v>
      </c>
      <c r="I12914">
        <v>519</v>
      </c>
      <c r="J12914">
        <v>1</v>
      </c>
      <c r="K12914">
        <v>1</v>
      </c>
      <c r="L12914">
        <v>390</v>
      </c>
      <c r="M12914">
        <v>1</v>
      </c>
      <c r="N12914">
        <v>6.4409800000000001E-131</v>
      </c>
      <c r="O12914">
        <v>1196</v>
      </c>
    </row>
    <row r="12915" spans="1:15" x14ac:dyDescent="0.25">
      <c r="A12915" t="s">
        <v>12928</v>
      </c>
      <c r="B12915">
        <v>370</v>
      </c>
      <c r="C12915" s="1" t="str">
        <f>HYPERLINK("http://www.rosaceae.org/gb/gbrowse/malus_x_domestica/?name=MDP0000274670","MDP0000274670")</f>
        <v>MDP0000274670</v>
      </c>
      <c r="D12915">
        <v>61.06</v>
      </c>
      <c r="E12915">
        <v>393</v>
      </c>
      <c r="F12915">
        <v>153</v>
      </c>
      <c r="G12915">
        <v>66</v>
      </c>
      <c r="H12915">
        <v>15</v>
      </c>
      <c r="I12915">
        <v>370</v>
      </c>
      <c r="J12915">
        <v>1</v>
      </c>
      <c r="K12915">
        <v>18</v>
      </c>
      <c r="L12915">
        <v>381</v>
      </c>
      <c r="M12915">
        <v>1</v>
      </c>
      <c r="N12915">
        <v>1.03247E-126</v>
      </c>
      <c r="O12915">
        <v>1158</v>
      </c>
    </row>
    <row r="12916" spans="1:15" x14ac:dyDescent="0.25">
      <c r="A12916" t="s">
        <v>12929</v>
      </c>
      <c r="B12916">
        <v>763</v>
      </c>
      <c r="C12916" s="1" t="str">
        <f>HYPERLINK("http://www.rosaceae.org/gb/gbrowse/malus_x_domestica/?name=MDP0000174389","MDP0000174389")</f>
        <v>MDP0000174389</v>
      </c>
      <c r="D12916">
        <v>68.88</v>
      </c>
      <c r="E12916">
        <v>90</v>
      </c>
      <c r="F12916">
        <v>28</v>
      </c>
      <c r="G12916">
        <v>13</v>
      </c>
      <c r="H12916">
        <v>32</v>
      </c>
      <c r="I12916">
        <v>108</v>
      </c>
      <c r="J12916">
        <v>1</v>
      </c>
      <c r="K12916">
        <v>185</v>
      </c>
      <c r="L12916">
        <v>274</v>
      </c>
      <c r="M12916">
        <v>1</v>
      </c>
      <c r="N12916">
        <v>1.8167599999999999E-24</v>
      </c>
      <c r="O12916">
        <v>279</v>
      </c>
    </row>
    <row r="12917" spans="1:15" x14ac:dyDescent="0.25">
      <c r="A12917" t="s">
        <v>12930</v>
      </c>
      <c r="B12917">
        <v>276</v>
      </c>
      <c r="C12917" s="1" t="str">
        <f>HYPERLINK("http://www.rosaceae.org/gb/gbrowse/malus_x_domestica/?name=MDP0000312387","MDP0000312387")</f>
        <v>MDP0000312387</v>
      </c>
      <c r="D12917">
        <v>57.18</v>
      </c>
      <c r="E12917">
        <v>313</v>
      </c>
      <c r="F12917">
        <v>134</v>
      </c>
      <c r="G12917">
        <v>37</v>
      </c>
      <c r="H12917">
        <v>1</v>
      </c>
      <c r="I12917">
        <v>276</v>
      </c>
      <c r="J12917">
        <v>1</v>
      </c>
      <c r="K12917">
        <v>1</v>
      </c>
      <c r="L12917">
        <v>313</v>
      </c>
      <c r="M12917">
        <v>1</v>
      </c>
      <c r="N12917">
        <v>4.4081100000000001E-96</v>
      </c>
      <c r="O12917">
        <v>892</v>
      </c>
    </row>
    <row r="12918" spans="1:15" x14ac:dyDescent="0.25">
      <c r="A12918" t="s">
        <v>12931</v>
      </c>
      <c r="B12918">
        <v>172</v>
      </c>
      <c r="C12918" s="1" t="str">
        <f>HYPERLINK("http://www.rosaceae.org/gb/gbrowse/malus_x_domestica/?name=MDP0000629887","MDP0000629887")</f>
        <v>MDP0000629887</v>
      </c>
      <c r="D12918">
        <v>83.33</v>
      </c>
      <c r="E12918">
        <v>138</v>
      </c>
      <c r="F12918">
        <v>23</v>
      </c>
      <c r="G12918">
        <v>1</v>
      </c>
      <c r="H12918">
        <v>36</v>
      </c>
      <c r="I12918">
        <v>172</v>
      </c>
      <c r="J12918">
        <v>1</v>
      </c>
      <c r="K12918">
        <v>36</v>
      </c>
      <c r="L12918">
        <v>173</v>
      </c>
      <c r="M12918">
        <v>1</v>
      </c>
      <c r="N12918">
        <v>6.71238E-66</v>
      </c>
      <c r="O12918">
        <v>629</v>
      </c>
    </row>
    <row r="12919" spans="1:15" x14ac:dyDescent="0.25">
      <c r="A12919" t="s">
        <v>12932</v>
      </c>
      <c r="B12919">
        <v>600</v>
      </c>
      <c r="C12919" s="1" t="str">
        <f>HYPERLINK("http://www.rosaceae.org/gb/gbrowse/malus_x_domestica/?name=MDP0000210133","MDP0000210133")</f>
        <v>MDP0000210133</v>
      </c>
      <c r="D12919">
        <v>76.75</v>
      </c>
      <c r="E12919">
        <v>611</v>
      </c>
      <c r="F12919">
        <v>142</v>
      </c>
      <c r="G12919">
        <v>27</v>
      </c>
      <c r="H12919">
        <v>1</v>
      </c>
      <c r="I12919">
        <v>600</v>
      </c>
      <c r="J12919">
        <v>1</v>
      </c>
      <c r="K12919">
        <v>41</v>
      </c>
      <c r="L12919">
        <v>635</v>
      </c>
      <c r="M12919">
        <v>1</v>
      </c>
      <c r="N12919">
        <v>0</v>
      </c>
      <c r="O12919">
        <v>2394</v>
      </c>
    </row>
    <row r="12920" spans="1:15" x14ac:dyDescent="0.25">
      <c r="A12920" t="s">
        <v>12933</v>
      </c>
      <c r="B12920">
        <v>797</v>
      </c>
      <c r="C12920" s="1" t="str">
        <f>HYPERLINK("http://www.rosaceae.org/gb/gbrowse/malus_x_domestica/?name=MDP0000231452","MDP0000231452")</f>
        <v>MDP0000231452</v>
      </c>
      <c r="D12920">
        <v>83.57</v>
      </c>
      <c r="E12920">
        <v>773</v>
      </c>
      <c r="F12920">
        <v>127</v>
      </c>
      <c r="G12920">
        <v>62</v>
      </c>
      <c r="H12920">
        <v>87</v>
      </c>
      <c r="I12920">
        <v>797</v>
      </c>
      <c r="J12920">
        <v>1</v>
      </c>
      <c r="K12920">
        <v>177</v>
      </c>
      <c r="L12920">
        <v>949</v>
      </c>
      <c r="M12920">
        <v>1</v>
      </c>
      <c r="N12920">
        <v>0</v>
      </c>
      <c r="O12920">
        <v>3382</v>
      </c>
    </row>
    <row r="12921" spans="1:15" x14ac:dyDescent="0.25">
      <c r="A12921" t="s">
        <v>12934</v>
      </c>
      <c r="B12921">
        <v>297</v>
      </c>
      <c r="C12921" s="1" t="str">
        <f>HYPERLINK("http://www.rosaceae.org/gb/gbrowse/malus_x_domestica/?name=MDP0000176356","MDP0000176356")</f>
        <v>MDP0000176356</v>
      </c>
      <c r="D12921">
        <v>68.290000000000006</v>
      </c>
      <c r="E12921">
        <v>287</v>
      </c>
      <c r="F12921">
        <v>91</v>
      </c>
      <c r="G12921">
        <v>16</v>
      </c>
      <c r="H12921">
        <v>10</v>
      </c>
      <c r="I12921">
        <v>296</v>
      </c>
      <c r="J12921">
        <v>1</v>
      </c>
      <c r="K12921">
        <v>11</v>
      </c>
      <c r="L12921">
        <v>281</v>
      </c>
      <c r="M12921">
        <v>1</v>
      </c>
      <c r="N12921">
        <v>3.8562699999999997E-114</v>
      </c>
      <c r="O12921">
        <v>1048</v>
      </c>
    </row>
    <row r="12922" spans="1:15" x14ac:dyDescent="0.25">
      <c r="A12922" t="s">
        <v>12935</v>
      </c>
      <c r="B12922">
        <v>925</v>
      </c>
      <c r="C12922" s="1" t="str">
        <f>HYPERLINK("http://www.rosaceae.org/gb/gbrowse/malus_x_domestica/?name=MDP0000285005","MDP0000285005")</f>
        <v>MDP0000285005</v>
      </c>
      <c r="D12922">
        <v>58.27</v>
      </c>
      <c r="E12922">
        <v>302</v>
      </c>
      <c r="F12922">
        <v>126</v>
      </c>
      <c r="G12922">
        <v>24</v>
      </c>
      <c r="H12922">
        <v>600</v>
      </c>
      <c r="I12922">
        <v>897</v>
      </c>
      <c r="J12922">
        <v>1</v>
      </c>
      <c r="K12922">
        <v>4</v>
      </c>
      <c r="L12922">
        <v>285</v>
      </c>
      <c r="M12922">
        <v>1</v>
      </c>
      <c r="N12922">
        <v>2.4116699999999998E-94</v>
      </c>
      <c r="O12922">
        <v>883</v>
      </c>
    </row>
    <row r="12923" spans="1:15" x14ac:dyDescent="0.25">
      <c r="A12923" t="s">
        <v>12936</v>
      </c>
      <c r="B12923">
        <v>381</v>
      </c>
      <c r="C12923" s="1" t="str">
        <f>HYPERLINK("http://www.rosaceae.org/gb/gbrowse/malus_x_domestica/?name=MDP0000233318","MDP0000233318")</f>
        <v>MDP0000233318</v>
      </c>
      <c r="D12923">
        <v>66.510000000000005</v>
      </c>
      <c r="E12923">
        <v>430</v>
      </c>
      <c r="F12923">
        <v>144</v>
      </c>
      <c r="G12923">
        <v>49</v>
      </c>
      <c r="H12923">
        <v>1</v>
      </c>
      <c r="I12923">
        <v>381</v>
      </c>
      <c r="J12923">
        <v>1</v>
      </c>
      <c r="K12923">
        <v>1</v>
      </c>
      <c r="L12923">
        <v>430</v>
      </c>
      <c r="M12923">
        <v>1</v>
      </c>
      <c r="N12923">
        <v>8.7859899999999997E-162</v>
      </c>
      <c r="O12923">
        <v>1460</v>
      </c>
    </row>
    <row r="12924" spans="1:15" x14ac:dyDescent="0.25">
      <c r="A12924" t="s">
        <v>12937</v>
      </c>
      <c r="B12924">
        <v>1485</v>
      </c>
      <c r="C12924" s="1" t="str">
        <f>HYPERLINK("http://www.rosaceae.org/gb/gbrowse/malus_x_domestica/?name=MDP0000310693","MDP0000310693")</f>
        <v>MDP0000310693</v>
      </c>
      <c r="D12924">
        <v>39.6</v>
      </c>
      <c r="E12924">
        <v>404</v>
      </c>
      <c r="F12924">
        <v>244</v>
      </c>
      <c r="G12924">
        <v>44</v>
      </c>
      <c r="H12924">
        <v>844</v>
      </c>
      <c r="I12924">
        <v>1210</v>
      </c>
      <c r="J12924">
        <v>1</v>
      </c>
      <c r="K12924">
        <v>125</v>
      </c>
      <c r="L12924">
        <v>521</v>
      </c>
      <c r="M12924">
        <v>1</v>
      </c>
      <c r="N12924">
        <v>2.7484600000000001E-52</v>
      </c>
      <c r="O12924">
        <v>522</v>
      </c>
    </row>
    <row r="12925" spans="1:15" x14ac:dyDescent="0.25">
      <c r="A12925" t="s">
        <v>12938</v>
      </c>
      <c r="B12925">
        <v>203</v>
      </c>
      <c r="C12925" s="1" t="str">
        <f>HYPERLINK("http://www.rosaceae.org/gb/gbrowse/malus_x_domestica/?name=MDP0000256063","MDP0000256063")</f>
        <v>MDP0000256063</v>
      </c>
      <c r="D12925">
        <v>65.209999999999994</v>
      </c>
      <c r="E12925">
        <v>207</v>
      </c>
      <c r="F12925">
        <v>72</v>
      </c>
      <c r="G12925">
        <v>29</v>
      </c>
      <c r="H12925">
        <v>3</v>
      </c>
      <c r="I12925">
        <v>180</v>
      </c>
      <c r="J12925">
        <v>1</v>
      </c>
      <c r="K12925">
        <v>2</v>
      </c>
      <c r="L12925">
        <v>208</v>
      </c>
      <c r="M12925">
        <v>1</v>
      </c>
      <c r="N12925">
        <v>8.5529300000000006E-61</v>
      </c>
      <c r="O12925">
        <v>586</v>
      </c>
    </row>
    <row r="12926" spans="1:15" x14ac:dyDescent="0.25">
      <c r="A12926" t="s">
        <v>12939</v>
      </c>
      <c r="B12926">
        <v>495</v>
      </c>
      <c r="C12926" s="1" t="str">
        <f>HYPERLINK("http://www.rosaceae.org/gb/gbrowse/malus_x_domestica/?name=MDP0000134284","MDP0000134284")</f>
        <v>MDP0000134284</v>
      </c>
      <c r="D12926">
        <v>76.599999999999994</v>
      </c>
      <c r="E12926">
        <v>389</v>
      </c>
      <c r="F12926">
        <v>91</v>
      </c>
      <c r="G12926">
        <v>11</v>
      </c>
      <c r="H12926">
        <v>111</v>
      </c>
      <c r="I12926">
        <v>494</v>
      </c>
      <c r="J12926">
        <v>1</v>
      </c>
      <c r="K12926">
        <v>2</v>
      </c>
      <c r="L12926">
        <v>384</v>
      </c>
      <c r="M12926">
        <v>1</v>
      </c>
      <c r="N12926">
        <v>4.4821400000000002E-157</v>
      </c>
      <c r="O12926">
        <v>1421</v>
      </c>
    </row>
    <row r="12927" spans="1:15" x14ac:dyDescent="0.25">
      <c r="A12927" t="s">
        <v>12940</v>
      </c>
      <c r="B12927">
        <v>281</v>
      </c>
      <c r="C12927" s="1" t="str">
        <f>HYPERLINK("http://www.rosaceae.org/gb/gbrowse/malus_x_domestica/?name=MDP0000779831","MDP0000779831")</f>
        <v>MDP0000779831</v>
      </c>
      <c r="D12927">
        <v>76.92</v>
      </c>
      <c r="E12927">
        <v>39</v>
      </c>
      <c r="F12927">
        <v>9</v>
      </c>
      <c r="G12927">
        <v>0</v>
      </c>
      <c r="H12927">
        <v>48</v>
      </c>
      <c r="I12927">
        <v>86</v>
      </c>
      <c r="J12927">
        <v>1</v>
      </c>
      <c r="K12927">
        <v>508</v>
      </c>
      <c r="L12927">
        <v>546</v>
      </c>
      <c r="M12927">
        <v>1</v>
      </c>
      <c r="N12927">
        <v>2.527E-12</v>
      </c>
      <c r="O12927">
        <v>170</v>
      </c>
    </row>
    <row r="12928" spans="1:15" x14ac:dyDescent="0.25">
      <c r="A12928" t="s">
        <v>12941</v>
      </c>
      <c r="B12928">
        <v>324</v>
      </c>
      <c r="C12928" s="1" t="str">
        <f>HYPERLINK("http://www.rosaceae.org/gb/gbrowse/malus_x_domestica/?name=MDP0000513732","MDP0000513732")</f>
        <v>MDP0000513732</v>
      </c>
      <c r="D12928">
        <v>34.4</v>
      </c>
      <c r="E12928">
        <v>311</v>
      </c>
      <c r="F12928">
        <v>204</v>
      </c>
      <c r="G12928">
        <v>39</v>
      </c>
      <c r="H12928">
        <v>23</v>
      </c>
      <c r="I12928">
        <v>303</v>
      </c>
      <c r="J12928">
        <v>1</v>
      </c>
      <c r="K12928">
        <v>412</v>
      </c>
      <c r="L12928">
        <v>713</v>
      </c>
      <c r="M12928">
        <v>1</v>
      </c>
      <c r="N12928">
        <v>1.6089099999999998E-39</v>
      </c>
      <c r="O12928">
        <v>405</v>
      </c>
    </row>
    <row r="12929" spans="1:15" x14ac:dyDescent="0.25">
      <c r="A12929" t="s">
        <v>12942</v>
      </c>
      <c r="B12929">
        <v>327</v>
      </c>
      <c r="C12929" s="1" t="str">
        <f>HYPERLINK("http://www.rosaceae.org/gb/gbrowse/malus_x_domestica/?name=MDP0000263180","MDP0000263180")</f>
        <v>MDP0000263180</v>
      </c>
      <c r="D12929">
        <v>91.71</v>
      </c>
      <c r="E12929">
        <v>326</v>
      </c>
      <c r="F12929">
        <v>27</v>
      </c>
      <c r="G12929">
        <v>1</v>
      </c>
      <c r="H12929">
        <v>1</v>
      </c>
      <c r="I12929">
        <v>326</v>
      </c>
      <c r="J12929">
        <v>1</v>
      </c>
      <c r="K12929">
        <v>1</v>
      </c>
      <c r="L12929">
        <v>325</v>
      </c>
      <c r="M12929">
        <v>1</v>
      </c>
      <c r="N12929">
        <v>1.60847E-173</v>
      </c>
      <c r="O12929">
        <v>1561</v>
      </c>
    </row>
    <row r="12930" spans="1:15" x14ac:dyDescent="0.25">
      <c r="A12930" t="s">
        <v>12943</v>
      </c>
      <c r="B12930">
        <v>473</v>
      </c>
      <c r="C12930" s="1" t="str">
        <f>HYPERLINK("http://www.rosaceae.org/gb/gbrowse/malus_x_domestica/?name=MDP0000248331","MDP0000248331")</f>
        <v>MDP0000248331</v>
      </c>
      <c r="D12930">
        <v>68.180000000000007</v>
      </c>
      <c r="E12930">
        <v>374</v>
      </c>
      <c r="F12930">
        <v>119</v>
      </c>
      <c r="G12930">
        <v>5</v>
      </c>
      <c r="H12930">
        <v>47</v>
      </c>
      <c r="I12930">
        <v>415</v>
      </c>
      <c r="J12930">
        <v>1</v>
      </c>
      <c r="K12930">
        <v>59</v>
      </c>
      <c r="L12930">
        <v>432</v>
      </c>
      <c r="M12930">
        <v>1</v>
      </c>
      <c r="N12930">
        <v>6.7059399999999999E-142</v>
      </c>
      <c r="O12930">
        <v>1290</v>
      </c>
    </row>
    <row r="12931" spans="1:15" x14ac:dyDescent="0.25">
      <c r="A12931" t="s">
        <v>12944</v>
      </c>
      <c r="B12931">
        <v>342</v>
      </c>
      <c r="C12931" s="1" t="str">
        <f>HYPERLINK("http://www.rosaceae.org/gb/gbrowse/malus_x_domestica/?name=MDP0000610354","MDP0000610354")</f>
        <v>MDP0000610354</v>
      </c>
      <c r="D12931">
        <v>45.76</v>
      </c>
      <c r="E12931">
        <v>118</v>
      </c>
      <c r="F12931">
        <v>64</v>
      </c>
      <c r="G12931">
        <v>1</v>
      </c>
      <c r="H12931">
        <v>1</v>
      </c>
      <c r="I12931">
        <v>117</v>
      </c>
      <c r="J12931">
        <v>1</v>
      </c>
      <c r="K12931">
        <v>357</v>
      </c>
      <c r="L12931">
        <v>474</v>
      </c>
      <c r="M12931">
        <v>1</v>
      </c>
      <c r="N12931">
        <v>1.6781600000000001E-21</v>
      </c>
      <c r="O12931">
        <v>250</v>
      </c>
    </row>
    <row r="12932" spans="1:15" x14ac:dyDescent="0.25">
      <c r="A12932" t="s">
        <v>12945</v>
      </c>
      <c r="B12932">
        <v>486</v>
      </c>
      <c r="C12932" s="1" t="str">
        <f>HYPERLINK("http://www.rosaceae.org/gb/gbrowse/malus_x_domestica/?name=MDP0000165459","MDP0000165459")</f>
        <v>MDP0000165459</v>
      </c>
      <c r="D12932">
        <v>82.29</v>
      </c>
      <c r="E12932">
        <v>480</v>
      </c>
      <c r="F12932">
        <v>85</v>
      </c>
      <c r="G12932">
        <v>4</v>
      </c>
      <c r="H12932">
        <v>7</v>
      </c>
      <c r="I12932">
        <v>486</v>
      </c>
      <c r="J12932">
        <v>1</v>
      </c>
      <c r="K12932">
        <v>1</v>
      </c>
      <c r="L12932">
        <v>476</v>
      </c>
      <c r="M12932">
        <v>1</v>
      </c>
      <c r="N12932">
        <v>0</v>
      </c>
      <c r="O12932">
        <v>2171</v>
      </c>
    </row>
    <row r="12933" spans="1:15" x14ac:dyDescent="0.25">
      <c r="A12933" t="s">
        <v>12946</v>
      </c>
      <c r="B12933">
        <v>176</v>
      </c>
      <c r="C12933" s="1" t="str">
        <f>HYPERLINK("http://www.rosaceae.org/gb/gbrowse/malus_x_domestica/?name=MDP0000625344","MDP0000625344")</f>
        <v>MDP0000625344</v>
      </c>
      <c r="D12933">
        <v>87.14</v>
      </c>
      <c r="E12933">
        <v>70</v>
      </c>
      <c r="F12933">
        <v>9</v>
      </c>
      <c r="G12933">
        <v>0</v>
      </c>
      <c r="H12933">
        <v>107</v>
      </c>
      <c r="I12933">
        <v>176</v>
      </c>
      <c r="J12933">
        <v>1</v>
      </c>
      <c r="K12933">
        <v>195</v>
      </c>
      <c r="L12933">
        <v>264</v>
      </c>
      <c r="M12933">
        <v>1</v>
      </c>
      <c r="N12933">
        <v>1.2486099999999999E-31</v>
      </c>
      <c r="O12933">
        <v>333</v>
      </c>
    </row>
    <row r="12934" spans="1:15" x14ac:dyDescent="0.25">
      <c r="A12934" t="s">
        <v>12947</v>
      </c>
      <c r="B12934">
        <v>324</v>
      </c>
      <c r="C12934" s="1" t="str">
        <f>HYPERLINK("http://www.rosaceae.org/gb/gbrowse/malus_x_domestica/?name=MDP0000319966","MDP0000319966")</f>
        <v>MDP0000319966</v>
      </c>
      <c r="D12934">
        <v>82.5</v>
      </c>
      <c r="E12934">
        <v>280</v>
      </c>
      <c r="F12934">
        <v>49</v>
      </c>
      <c r="G12934">
        <v>6</v>
      </c>
      <c r="H12934">
        <v>17</v>
      </c>
      <c r="I12934">
        <v>294</v>
      </c>
      <c r="J12934">
        <v>1</v>
      </c>
      <c r="K12934">
        <v>23</v>
      </c>
      <c r="L12934">
        <v>298</v>
      </c>
      <c r="M12934">
        <v>1</v>
      </c>
      <c r="N12934">
        <v>1.37039E-132</v>
      </c>
      <c r="O12934">
        <v>1208</v>
      </c>
    </row>
    <row r="12935" spans="1:15" x14ac:dyDescent="0.25">
      <c r="A12935" t="s">
        <v>12948</v>
      </c>
      <c r="B12935">
        <v>160</v>
      </c>
      <c r="C12935" s="1" t="str">
        <f>HYPERLINK("http://www.rosaceae.org/gb/gbrowse/malus_x_domestica/?name=MDP0000173837","MDP0000173837")</f>
        <v>MDP0000173837</v>
      </c>
      <c r="D12935">
        <v>77.94</v>
      </c>
      <c r="E12935">
        <v>68</v>
      </c>
      <c r="F12935">
        <v>15</v>
      </c>
      <c r="G12935">
        <v>0</v>
      </c>
      <c r="H12935">
        <v>56</v>
      </c>
      <c r="I12935">
        <v>123</v>
      </c>
      <c r="J12935">
        <v>1</v>
      </c>
      <c r="K12935">
        <v>377</v>
      </c>
      <c r="L12935">
        <v>444</v>
      </c>
      <c r="M12935">
        <v>1</v>
      </c>
      <c r="N12935">
        <v>2.03646E-27</v>
      </c>
      <c r="O12935">
        <v>296</v>
      </c>
    </row>
    <row r="12936" spans="1:15" x14ac:dyDescent="0.25">
      <c r="A12936" t="s">
        <v>12949</v>
      </c>
      <c r="B12936">
        <v>376</v>
      </c>
      <c r="C12936" s="1" t="str">
        <f>HYPERLINK("http://www.rosaceae.org/gb/gbrowse/malus_x_domestica/?name=MDP0000195679","MDP0000195679")</f>
        <v>MDP0000195679</v>
      </c>
      <c r="D12936">
        <v>67.47</v>
      </c>
      <c r="E12936">
        <v>372</v>
      </c>
      <c r="F12936">
        <v>121</v>
      </c>
      <c r="G12936">
        <v>27</v>
      </c>
      <c r="H12936">
        <v>1</v>
      </c>
      <c r="I12936">
        <v>364</v>
      </c>
      <c r="J12936">
        <v>1</v>
      </c>
      <c r="K12936">
        <v>73</v>
      </c>
      <c r="L12936">
        <v>425</v>
      </c>
      <c r="M12936">
        <v>1</v>
      </c>
      <c r="N12936">
        <v>3.9742699999999997E-130</v>
      </c>
      <c r="O12936">
        <v>1187</v>
      </c>
    </row>
    <row r="12937" spans="1:15" x14ac:dyDescent="0.25">
      <c r="A12937" t="s">
        <v>12950</v>
      </c>
      <c r="B12937">
        <v>178</v>
      </c>
      <c r="C12937" s="1" t="str">
        <f>HYPERLINK("http://www.rosaceae.org/gb/gbrowse/malus_x_domestica/?name=MDP0000440685","MDP0000440685")</f>
        <v>MDP0000440685</v>
      </c>
      <c r="D12937">
        <v>42.64</v>
      </c>
      <c r="E12937">
        <v>68</v>
      </c>
      <c r="F12937">
        <v>39</v>
      </c>
      <c r="G12937">
        <v>3</v>
      </c>
      <c r="H12937">
        <v>109</v>
      </c>
      <c r="I12937">
        <v>176</v>
      </c>
      <c r="J12937">
        <v>1</v>
      </c>
      <c r="K12937">
        <v>55</v>
      </c>
      <c r="L12937">
        <v>119</v>
      </c>
      <c r="M12937">
        <v>1</v>
      </c>
      <c r="N12937">
        <v>3.4506300000000002E-7</v>
      </c>
      <c r="O12937">
        <v>123</v>
      </c>
    </row>
    <row r="12938" spans="1:15" x14ac:dyDescent="0.25">
      <c r="A12938" t="s">
        <v>12951</v>
      </c>
      <c r="B12938">
        <v>1543</v>
      </c>
      <c r="C12938" s="1" t="str">
        <f>HYPERLINK("http://www.rosaceae.org/gb/gbrowse/malus_x_domestica/?name=MDP0000252405","MDP0000252405")</f>
        <v>MDP0000252405</v>
      </c>
      <c r="D12938">
        <v>77.87</v>
      </c>
      <c r="E12938">
        <v>1428</v>
      </c>
      <c r="F12938">
        <v>316</v>
      </c>
      <c r="G12938">
        <v>43</v>
      </c>
      <c r="H12938">
        <v>144</v>
      </c>
      <c r="I12938">
        <v>1543</v>
      </c>
      <c r="J12938">
        <v>1</v>
      </c>
      <c r="K12938">
        <v>81</v>
      </c>
      <c r="L12938">
        <v>1493</v>
      </c>
      <c r="M12938">
        <v>1</v>
      </c>
      <c r="N12938">
        <v>0</v>
      </c>
      <c r="O12938">
        <v>5739</v>
      </c>
    </row>
    <row r="12939" spans="1:15" x14ac:dyDescent="0.25">
      <c r="A12939" t="s">
        <v>12952</v>
      </c>
      <c r="B12939">
        <v>172</v>
      </c>
      <c r="C12939" s="1" t="str">
        <f>HYPERLINK("http://www.rosaceae.org/gb/gbrowse/malus_x_domestica/?name=MDP0000164135","MDP0000164135")</f>
        <v>MDP0000164135</v>
      </c>
      <c r="D12939">
        <v>39.090000000000003</v>
      </c>
      <c r="E12939">
        <v>110</v>
      </c>
      <c r="F12939">
        <v>67</v>
      </c>
      <c r="G12939">
        <v>22</v>
      </c>
      <c r="H12939">
        <v>28</v>
      </c>
      <c r="I12939">
        <v>137</v>
      </c>
      <c r="J12939">
        <v>1</v>
      </c>
      <c r="K12939">
        <v>139</v>
      </c>
      <c r="L12939">
        <v>226</v>
      </c>
      <c r="M12939">
        <v>1</v>
      </c>
      <c r="N12939">
        <v>2.7223800000000002E-13</v>
      </c>
      <c r="O12939">
        <v>175</v>
      </c>
    </row>
    <row r="12940" spans="1:15" x14ac:dyDescent="0.25">
      <c r="A12940" t="s">
        <v>12953</v>
      </c>
      <c r="B12940">
        <v>90</v>
      </c>
      <c r="C12940" s="1" t="str">
        <f>HYPERLINK("http://www.rosaceae.org/gb/gbrowse/malus_x_domestica/?name=MDP0000217893","MDP0000217893")</f>
        <v>MDP0000217893</v>
      </c>
      <c r="D12940">
        <v>73.33</v>
      </c>
      <c r="E12940">
        <v>45</v>
      </c>
      <c r="F12940">
        <v>12</v>
      </c>
      <c r="G12940">
        <v>0</v>
      </c>
      <c r="H12940">
        <v>46</v>
      </c>
      <c r="I12940">
        <v>90</v>
      </c>
      <c r="J12940">
        <v>1</v>
      </c>
      <c r="K12940">
        <v>675</v>
      </c>
      <c r="L12940">
        <v>719</v>
      </c>
      <c r="M12940">
        <v>1</v>
      </c>
      <c r="N12940">
        <v>4.0747899999999998E-11</v>
      </c>
      <c r="O12940">
        <v>153</v>
      </c>
    </row>
    <row r="12941" spans="1:15" x14ac:dyDescent="0.25">
      <c r="A12941" t="s">
        <v>12954</v>
      </c>
      <c r="B12941">
        <v>350</v>
      </c>
      <c r="C12941" s="1" t="str">
        <f>HYPERLINK("http://www.rosaceae.org/gb/gbrowse/malus_x_domestica/?name=MDP0000471081","MDP0000471081")</f>
        <v>MDP0000471081</v>
      </c>
      <c r="D12941">
        <v>49.77</v>
      </c>
      <c r="E12941">
        <v>227</v>
      </c>
      <c r="F12941">
        <v>114</v>
      </c>
      <c r="G12941">
        <v>21</v>
      </c>
      <c r="H12941">
        <v>9</v>
      </c>
      <c r="I12941">
        <v>234</v>
      </c>
      <c r="J12941">
        <v>1</v>
      </c>
      <c r="K12941">
        <v>106</v>
      </c>
      <c r="L12941">
        <v>312</v>
      </c>
      <c r="M12941">
        <v>1</v>
      </c>
      <c r="N12941">
        <v>6.9812900000000004E-53</v>
      </c>
      <c r="O12941">
        <v>521</v>
      </c>
    </row>
    <row r="12942" spans="1:15" x14ac:dyDescent="0.25">
      <c r="A12942" t="s">
        <v>12955</v>
      </c>
      <c r="B12942">
        <v>157</v>
      </c>
      <c r="C12942" s="1" t="str">
        <f>HYPERLINK("http://www.rosaceae.org/gb/gbrowse/malus_x_domestica/?name=MDP0000187362","MDP0000187362")</f>
        <v>MDP0000187362</v>
      </c>
      <c r="D12942">
        <v>61.24</v>
      </c>
      <c r="E12942">
        <v>129</v>
      </c>
      <c r="F12942">
        <v>50</v>
      </c>
      <c r="G12942">
        <v>36</v>
      </c>
      <c r="H12942">
        <v>65</v>
      </c>
      <c r="I12942">
        <v>157</v>
      </c>
      <c r="J12942">
        <v>1</v>
      </c>
      <c r="K12942">
        <v>220</v>
      </c>
      <c r="L12942">
        <v>348</v>
      </c>
      <c r="M12942">
        <v>1</v>
      </c>
      <c r="N12942">
        <v>8.5477500000000003E-39</v>
      </c>
      <c r="O12942">
        <v>394</v>
      </c>
    </row>
    <row r="12943" spans="1:15" x14ac:dyDescent="0.25">
      <c r="A12943" t="s">
        <v>12956</v>
      </c>
      <c r="B12943">
        <v>770</v>
      </c>
      <c r="C12943" s="1" t="str">
        <f>HYPERLINK("http://www.rosaceae.org/gb/gbrowse/malus_x_domestica/?name=MDP0000816713","MDP0000816713")</f>
        <v>MDP0000816713</v>
      </c>
      <c r="D12943">
        <v>38.369999999999997</v>
      </c>
      <c r="E12943">
        <v>542</v>
      </c>
      <c r="F12943">
        <v>334</v>
      </c>
      <c r="G12943">
        <v>64</v>
      </c>
      <c r="H12943">
        <v>33</v>
      </c>
      <c r="I12943">
        <v>530</v>
      </c>
      <c r="J12943">
        <v>1</v>
      </c>
      <c r="K12943">
        <v>86</v>
      </c>
      <c r="L12943">
        <v>607</v>
      </c>
      <c r="M12943">
        <v>1</v>
      </c>
      <c r="N12943">
        <v>2.5738799999999998E-68</v>
      </c>
      <c r="O12943">
        <v>658</v>
      </c>
    </row>
    <row r="12944" spans="1:15" x14ac:dyDescent="0.25">
      <c r="A12944" t="s">
        <v>12957</v>
      </c>
      <c r="B12944">
        <v>297</v>
      </c>
      <c r="C12944" s="1" t="str">
        <f>HYPERLINK("http://www.rosaceae.org/gb/gbrowse/malus_x_domestica/?name=MDP0000276361","MDP0000276361")</f>
        <v>MDP0000276361</v>
      </c>
      <c r="D12944">
        <v>67.02</v>
      </c>
      <c r="E12944">
        <v>282</v>
      </c>
      <c r="F12944">
        <v>93</v>
      </c>
      <c r="G12944">
        <v>4</v>
      </c>
      <c r="H12944">
        <v>12</v>
      </c>
      <c r="I12944">
        <v>290</v>
      </c>
      <c r="J12944">
        <v>1</v>
      </c>
      <c r="K12944">
        <v>4</v>
      </c>
      <c r="L12944">
        <v>284</v>
      </c>
      <c r="M12944">
        <v>1</v>
      </c>
      <c r="N12944">
        <v>2.4660500000000001E-102</v>
      </c>
      <c r="O12944">
        <v>946</v>
      </c>
    </row>
    <row r="12945" spans="1:15" x14ac:dyDescent="0.25">
      <c r="A12945" t="s">
        <v>12958</v>
      </c>
      <c r="B12945">
        <v>766</v>
      </c>
      <c r="C12945" s="1" t="str">
        <f>HYPERLINK("http://www.rosaceae.org/gb/gbrowse/malus_x_domestica/?name=MDP0000283768","MDP0000283768")</f>
        <v>MDP0000283768</v>
      </c>
      <c r="D12945">
        <v>61.51</v>
      </c>
      <c r="E12945">
        <v>764</v>
      </c>
      <c r="F12945">
        <v>294</v>
      </c>
      <c r="G12945">
        <v>144</v>
      </c>
      <c r="H12945">
        <v>56</v>
      </c>
      <c r="I12945">
        <v>766</v>
      </c>
      <c r="J12945">
        <v>1</v>
      </c>
      <c r="K12945">
        <v>443</v>
      </c>
      <c r="L12945">
        <v>1115</v>
      </c>
      <c r="M12945">
        <v>1</v>
      </c>
      <c r="N12945">
        <v>0</v>
      </c>
      <c r="O12945">
        <v>2276</v>
      </c>
    </row>
    <row r="12946" spans="1:15" x14ac:dyDescent="0.25">
      <c r="A12946" t="s">
        <v>12959</v>
      </c>
      <c r="B12946">
        <v>272</v>
      </c>
      <c r="C12946" s="1" t="str">
        <f>HYPERLINK("http://www.rosaceae.org/gb/gbrowse/malus_x_domestica/?name=MDP0000190535","MDP0000190535")</f>
        <v>MDP0000190535</v>
      </c>
      <c r="D12946">
        <v>75.73</v>
      </c>
      <c r="E12946">
        <v>272</v>
      </c>
      <c r="F12946">
        <v>66</v>
      </c>
      <c r="G12946">
        <v>9</v>
      </c>
      <c r="H12946">
        <v>10</v>
      </c>
      <c r="I12946">
        <v>272</v>
      </c>
      <c r="J12946">
        <v>1</v>
      </c>
      <c r="K12946">
        <v>13</v>
      </c>
      <c r="L12946">
        <v>284</v>
      </c>
      <c r="M12946">
        <v>1</v>
      </c>
      <c r="N12946">
        <v>1.7369099999999999E-120</v>
      </c>
      <c r="O12946">
        <v>1102</v>
      </c>
    </row>
    <row r="12947" spans="1:15" x14ac:dyDescent="0.25">
      <c r="A12947" t="s">
        <v>12960</v>
      </c>
      <c r="B12947">
        <v>134</v>
      </c>
      <c r="C12947" s="1" t="str">
        <f>HYPERLINK("http://www.rosaceae.org/gb/gbrowse/malus_x_domestica/?name=MDP0000176820","MDP0000176820")</f>
        <v>MDP0000176820</v>
      </c>
      <c r="D12947">
        <v>90</v>
      </c>
      <c r="E12947">
        <v>60</v>
      </c>
      <c r="F12947">
        <v>6</v>
      </c>
      <c r="G12947">
        <v>0</v>
      </c>
      <c r="H12947">
        <v>75</v>
      </c>
      <c r="I12947">
        <v>134</v>
      </c>
      <c r="J12947">
        <v>1</v>
      </c>
      <c r="K12947">
        <v>386</v>
      </c>
      <c r="L12947">
        <v>445</v>
      </c>
      <c r="M12947">
        <v>1</v>
      </c>
      <c r="N12947">
        <v>2.5928299999999998E-27</v>
      </c>
      <c r="O12947">
        <v>294</v>
      </c>
    </row>
    <row r="12948" spans="1:15" x14ac:dyDescent="0.25">
      <c r="A12948" t="s">
        <v>12961</v>
      </c>
      <c r="B12948">
        <v>361</v>
      </c>
      <c r="C12948" s="1" t="str">
        <f>HYPERLINK("http://www.rosaceae.org/gb/gbrowse/malus_x_domestica/?name=MDP0000247921","MDP0000247921")</f>
        <v>MDP0000247921</v>
      </c>
      <c r="D12948">
        <v>26.56</v>
      </c>
      <c r="E12948">
        <v>384</v>
      </c>
      <c r="F12948">
        <v>282</v>
      </c>
      <c r="G12948">
        <v>53</v>
      </c>
      <c r="H12948">
        <v>2</v>
      </c>
      <c r="I12948">
        <v>335</v>
      </c>
      <c r="J12948">
        <v>1</v>
      </c>
      <c r="K12948">
        <v>747</v>
      </c>
      <c r="L12948">
        <v>1127</v>
      </c>
      <c r="M12948">
        <v>1</v>
      </c>
      <c r="N12948">
        <v>4.1782100000000002E-20</v>
      </c>
      <c r="O12948">
        <v>238</v>
      </c>
    </row>
    <row r="12949" spans="1:15" x14ac:dyDescent="0.25">
      <c r="A12949" t="s">
        <v>12962</v>
      </c>
      <c r="B12949">
        <v>673</v>
      </c>
      <c r="C12949" s="1" t="str">
        <f>HYPERLINK("http://www.rosaceae.org/gb/gbrowse/malus_x_domestica/?name=MDP0000272058","MDP0000272058")</f>
        <v>MDP0000272058</v>
      </c>
      <c r="D12949">
        <v>87.12</v>
      </c>
      <c r="E12949">
        <v>435</v>
      </c>
      <c r="F12949">
        <v>56</v>
      </c>
      <c r="G12949">
        <v>3</v>
      </c>
      <c r="H12949">
        <v>239</v>
      </c>
      <c r="I12949">
        <v>673</v>
      </c>
      <c r="J12949">
        <v>1</v>
      </c>
      <c r="K12949">
        <v>363</v>
      </c>
      <c r="L12949">
        <v>794</v>
      </c>
      <c r="M12949">
        <v>1</v>
      </c>
      <c r="N12949">
        <v>0</v>
      </c>
      <c r="O12949">
        <v>2069</v>
      </c>
    </row>
    <row r="12950" spans="1:15" x14ac:dyDescent="0.25">
      <c r="A12950" t="s">
        <v>12963</v>
      </c>
      <c r="B12950">
        <v>261</v>
      </c>
      <c r="C12950" s="1" t="str">
        <f>HYPERLINK("http://www.rosaceae.org/gb/gbrowse/malus_x_domestica/?name=MDP0000441962","MDP0000441962")</f>
        <v>MDP0000441962</v>
      </c>
      <c r="D12950">
        <v>44.62</v>
      </c>
      <c r="E12950">
        <v>242</v>
      </c>
      <c r="F12950">
        <v>134</v>
      </c>
      <c r="G12950">
        <v>34</v>
      </c>
      <c r="H12950">
        <v>2</v>
      </c>
      <c r="I12950">
        <v>230</v>
      </c>
      <c r="J12950">
        <v>1</v>
      </c>
      <c r="K12950">
        <v>5</v>
      </c>
      <c r="L12950">
        <v>225</v>
      </c>
      <c r="M12950">
        <v>1</v>
      </c>
      <c r="N12950">
        <v>3.1898200000000001E-43</v>
      </c>
      <c r="O12950">
        <v>436</v>
      </c>
    </row>
    <row r="12951" spans="1:15" x14ac:dyDescent="0.25">
      <c r="A12951" t="s">
        <v>12964</v>
      </c>
      <c r="B12951">
        <v>409</v>
      </c>
      <c r="C12951" s="1" t="str">
        <f>HYPERLINK("http://www.rosaceae.org/gb/gbrowse/malus_x_domestica/?name=MDP0000128456","MDP0000128456")</f>
        <v>MDP0000128456</v>
      </c>
      <c r="D12951">
        <v>64.02</v>
      </c>
      <c r="E12951">
        <v>417</v>
      </c>
      <c r="F12951">
        <v>150</v>
      </c>
      <c r="G12951">
        <v>43</v>
      </c>
      <c r="H12951">
        <v>1</v>
      </c>
      <c r="I12951">
        <v>409</v>
      </c>
      <c r="J12951">
        <v>1</v>
      </c>
      <c r="K12951">
        <v>1</v>
      </c>
      <c r="L12951">
        <v>382</v>
      </c>
      <c r="M12951">
        <v>1</v>
      </c>
      <c r="N12951">
        <v>1.4694400000000001E-135</v>
      </c>
      <c r="O12951">
        <v>1235</v>
      </c>
    </row>
    <row r="12952" spans="1:15" x14ac:dyDescent="0.25">
      <c r="A12952" t="s">
        <v>12965</v>
      </c>
      <c r="B12952">
        <v>289</v>
      </c>
      <c r="C12952" s="1" t="str">
        <f>HYPERLINK("http://www.rosaceae.org/gb/gbrowse/malus_x_domestica/?name=MDP0000774306","MDP0000774306")</f>
        <v>MDP0000774306</v>
      </c>
      <c r="D12952">
        <v>39.93</v>
      </c>
      <c r="E12952">
        <v>308</v>
      </c>
      <c r="F12952">
        <v>185</v>
      </c>
      <c r="G12952">
        <v>53</v>
      </c>
      <c r="H12952">
        <v>1</v>
      </c>
      <c r="I12952">
        <v>261</v>
      </c>
      <c r="J12952">
        <v>1</v>
      </c>
      <c r="K12952">
        <v>35</v>
      </c>
      <c r="L12952">
        <v>336</v>
      </c>
      <c r="M12952">
        <v>1</v>
      </c>
      <c r="N12952">
        <v>9.7718199999999998E-45</v>
      </c>
      <c r="O12952">
        <v>450</v>
      </c>
    </row>
    <row r="12953" spans="1:15" x14ac:dyDescent="0.25">
      <c r="A12953" t="s">
        <v>12966</v>
      </c>
      <c r="B12953">
        <v>404</v>
      </c>
      <c r="C12953" s="1" t="str">
        <f>HYPERLINK("http://www.rosaceae.org/gb/gbrowse/malus_x_domestica/?name=MDP0000570413","MDP0000570413")</f>
        <v>MDP0000570413</v>
      </c>
      <c r="D12953">
        <v>49.78</v>
      </c>
      <c r="E12953">
        <v>464</v>
      </c>
      <c r="F12953">
        <v>233</v>
      </c>
      <c r="G12953">
        <v>85</v>
      </c>
      <c r="H12953">
        <v>1</v>
      </c>
      <c r="I12953">
        <v>404</v>
      </c>
      <c r="J12953">
        <v>1</v>
      </c>
      <c r="K12953">
        <v>1</v>
      </c>
      <c r="L12953">
        <v>439</v>
      </c>
      <c r="M12953">
        <v>1</v>
      </c>
      <c r="N12953">
        <v>3.7838400000000001E-96</v>
      </c>
      <c r="O12953">
        <v>895</v>
      </c>
    </row>
    <row r="12954" spans="1:15" x14ac:dyDescent="0.25">
      <c r="A12954" t="s">
        <v>12967</v>
      </c>
      <c r="B12954">
        <v>354</v>
      </c>
      <c r="C12954" s="1" t="str">
        <f>HYPERLINK("http://www.rosaceae.org/gb/gbrowse/malus_x_domestica/?name=MDP0000774306","MDP0000774306")</f>
        <v>MDP0000774306</v>
      </c>
      <c r="D12954">
        <v>46.7</v>
      </c>
      <c r="E12954">
        <v>364</v>
      </c>
      <c r="F12954">
        <v>194</v>
      </c>
      <c r="G12954">
        <v>23</v>
      </c>
      <c r="H12954">
        <v>1</v>
      </c>
      <c r="I12954">
        <v>349</v>
      </c>
      <c r="J12954">
        <v>1</v>
      </c>
      <c r="K12954">
        <v>1</v>
      </c>
      <c r="L12954">
        <v>356</v>
      </c>
      <c r="M12954">
        <v>1</v>
      </c>
      <c r="N12954">
        <v>5.5030599999999997E-68</v>
      </c>
      <c r="O12954">
        <v>651</v>
      </c>
    </row>
    <row r="12955" spans="1:15" x14ac:dyDescent="0.25">
      <c r="A12955" t="s">
        <v>12968</v>
      </c>
      <c r="B12955">
        <v>404</v>
      </c>
      <c r="C12955" s="1" t="str">
        <f>HYPERLINK("http://www.rosaceae.org/gb/gbrowse/malus_x_domestica/?name=MDP0000163674","MDP0000163674")</f>
        <v>MDP0000163674</v>
      </c>
      <c r="D12955">
        <v>68.62</v>
      </c>
      <c r="E12955">
        <v>357</v>
      </c>
      <c r="F12955">
        <v>112</v>
      </c>
      <c r="G12955">
        <v>48</v>
      </c>
      <c r="H12955">
        <v>11</v>
      </c>
      <c r="I12955">
        <v>364</v>
      </c>
      <c r="J12955">
        <v>1</v>
      </c>
      <c r="K12955">
        <v>45</v>
      </c>
      <c r="L12955">
        <v>356</v>
      </c>
      <c r="M12955">
        <v>1</v>
      </c>
      <c r="N12955">
        <v>1.23655E-126</v>
      </c>
      <c r="O12955">
        <v>1158</v>
      </c>
    </row>
    <row r="12956" spans="1:15" x14ac:dyDescent="0.25">
      <c r="A12956" t="s">
        <v>12969</v>
      </c>
      <c r="B12956">
        <v>489</v>
      </c>
      <c r="C12956" s="1" t="str">
        <f>HYPERLINK("http://www.rosaceae.org/gb/gbrowse/malus_x_domestica/?name=MDP0000471588","MDP0000471588")</f>
        <v>MDP0000471588</v>
      </c>
      <c r="D12956">
        <v>88.81</v>
      </c>
      <c r="E12956">
        <v>161</v>
      </c>
      <c r="F12956">
        <v>18</v>
      </c>
      <c r="G12956">
        <v>0</v>
      </c>
      <c r="H12956">
        <v>327</v>
      </c>
      <c r="I12956">
        <v>487</v>
      </c>
      <c r="J12956">
        <v>1</v>
      </c>
      <c r="K12956">
        <v>95</v>
      </c>
      <c r="L12956">
        <v>255</v>
      </c>
      <c r="M12956">
        <v>1</v>
      </c>
      <c r="N12956">
        <v>1.4104499999999999E-84</v>
      </c>
      <c r="O12956">
        <v>796</v>
      </c>
    </row>
    <row r="12957" spans="1:15" x14ac:dyDescent="0.25">
      <c r="A12957" t="s">
        <v>12970</v>
      </c>
      <c r="B12957">
        <v>219</v>
      </c>
      <c r="C12957" s="1" t="str">
        <f>HYPERLINK("http://www.rosaceae.org/gb/gbrowse/malus_x_domestica/?name=MDP0000265970","MDP0000265970")</f>
        <v>MDP0000265970</v>
      </c>
      <c r="D12957">
        <v>41.44</v>
      </c>
      <c r="E12957">
        <v>152</v>
      </c>
      <c r="F12957">
        <v>89</v>
      </c>
      <c r="G12957">
        <v>13</v>
      </c>
      <c r="H12957">
        <v>34</v>
      </c>
      <c r="I12957">
        <v>173</v>
      </c>
      <c r="J12957">
        <v>1</v>
      </c>
      <c r="K12957">
        <v>52</v>
      </c>
      <c r="L12957">
        <v>202</v>
      </c>
      <c r="M12957">
        <v>1</v>
      </c>
      <c r="N12957">
        <v>8.9062800000000005E-24</v>
      </c>
      <c r="O12957">
        <v>267</v>
      </c>
    </row>
    <row r="12958" spans="1:15" x14ac:dyDescent="0.25">
      <c r="A12958" t="s">
        <v>12971</v>
      </c>
      <c r="B12958">
        <v>1665</v>
      </c>
      <c r="C12958" s="1" t="str">
        <f>HYPERLINK("http://www.rosaceae.org/gb/gbrowse/malus_x_domestica/?name=MDP0000667501","MDP0000667501")</f>
        <v>MDP0000667501</v>
      </c>
      <c r="D12958">
        <v>43.22</v>
      </c>
      <c r="E12958">
        <v>1344</v>
      </c>
      <c r="F12958">
        <v>763</v>
      </c>
      <c r="G12958">
        <v>237</v>
      </c>
      <c r="H12958">
        <v>1</v>
      </c>
      <c r="I12958">
        <v>1183</v>
      </c>
      <c r="J12958">
        <v>1</v>
      </c>
      <c r="K12958">
        <v>1</v>
      </c>
      <c r="L12958">
        <v>1268</v>
      </c>
      <c r="M12958">
        <v>1</v>
      </c>
      <c r="N12958">
        <v>0</v>
      </c>
      <c r="O12958">
        <v>2157</v>
      </c>
    </row>
    <row r="12959" spans="1:15" x14ac:dyDescent="0.25">
      <c r="A12959" t="s">
        <v>12972</v>
      </c>
      <c r="B12959">
        <v>153</v>
      </c>
      <c r="C12959" s="1" t="str">
        <f>HYPERLINK("http://www.rosaceae.org/gb/gbrowse/malus_x_domestica/?name=MDP0000158008","MDP0000158008")</f>
        <v>MDP0000158008</v>
      </c>
      <c r="D12959">
        <v>74.099999999999994</v>
      </c>
      <c r="E12959">
        <v>112</v>
      </c>
      <c r="F12959">
        <v>29</v>
      </c>
      <c r="G12959">
        <v>4</v>
      </c>
      <c r="H12959">
        <v>45</v>
      </c>
      <c r="I12959">
        <v>152</v>
      </c>
      <c r="J12959">
        <v>1</v>
      </c>
      <c r="K12959">
        <v>54</v>
      </c>
      <c r="L12959">
        <v>165</v>
      </c>
      <c r="M12959">
        <v>1</v>
      </c>
      <c r="N12959">
        <v>6.1950199999999998E-41</v>
      </c>
      <c r="O12959">
        <v>413</v>
      </c>
    </row>
    <row r="12960" spans="1:15" x14ac:dyDescent="0.25">
      <c r="A12960" t="s">
        <v>12973</v>
      </c>
      <c r="B12960">
        <v>556</v>
      </c>
      <c r="C12960" s="1" t="str">
        <f>HYPERLINK("http://www.rosaceae.org/gb/gbrowse/malus_x_domestica/?name=MDP0000761026","MDP0000761026")</f>
        <v>MDP0000761026</v>
      </c>
      <c r="D12960">
        <v>73.680000000000007</v>
      </c>
      <c r="E12960">
        <v>570</v>
      </c>
      <c r="F12960">
        <v>150</v>
      </c>
      <c r="G12960">
        <v>21</v>
      </c>
      <c r="H12960">
        <v>1</v>
      </c>
      <c r="I12960">
        <v>554</v>
      </c>
      <c r="J12960">
        <v>1</v>
      </c>
      <c r="K12960">
        <v>1</v>
      </c>
      <c r="L12960">
        <v>565</v>
      </c>
      <c r="M12960">
        <v>1</v>
      </c>
      <c r="N12960">
        <v>0</v>
      </c>
      <c r="O12960">
        <v>2141</v>
      </c>
    </row>
    <row r="12961" spans="1:15" x14ac:dyDescent="0.25">
      <c r="A12961" t="s">
        <v>12974</v>
      </c>
      <c r="B12961">
        <v>1126</v>
      </c>
      <c r="C12961" s="1" t="str">
        <f>HYPERLINK("http://www.rosaceae.org/gb/gbrowse/malus_x_domestica/?name=MDP0000863082","MDP0000863082")</f>
        <v>MDP0000863082</v>
      </c>
      <c r="D12961">
        <v>71.709999999999994</v>
      </c>
      <c r="E12961">
        <v>495</v>
      </c>
      <c r="F12961">
        <v>140</v>
      </c>
      <c r="G12961">
        <v>2</v>
      </c>
      <c r="H12961">
        <v>632</v>
      </c>
      <c r="I12961">
        <v>1126</v>
      </c>
      <c r="J12961">
        <v>1</v>
      </c>
      <c r="K12961">
        <v>9</v>
      </c>
      <c r="L12961">
        <v>501</v>
      </c>
      <c r="M12961">
        <v>1</v>
      </c>
      <c r="N12961">
        <v>0</v>
      </c>
      <c r="O12961">
        <v>1742</v>
      </c>
    </row>
    <row r="12962" spans="1:15" x14ac:dyDescent="0.25">
      <c r="A12962" t="s">
        <v>12975</v>
      </c>
      <c r="B12962">
        <v>381</v>
      </c>
      <c r="C12962" s="1" t="str">
        <f>HYPERLINK("http://www.rosaceae.org/gb/gbrowse/malus_x_domestica/?name=MDP0000454898","MDP0000454898")</f>
        <v>MDP0000454898</v>
      </c>
      <c r="D12962">
        <v>73.8</v>
      </c>
      <c r="E12962">
        <v>42</v>
      </c>
      <c r="F12962">
        <v>11</v>
      </c>
      <c r="G12962">
        <v>0</v>
      </c>
      <c r="H12962">
        <v>327</v>
      </c>
      <c r="I12962">
        <v>368</v>
      </c>
      <c r="J12962">
        <v>1</v>
      </c>
      <c r="K12962">
        <v>34</v>
      </c>
      <c r="L12962">
        <v>75</v>
      </c>
      <c r="M12962">
        <v>1</v>
      </c>
      <c r="N12962">
        <v>1.1301599999999999E-12</v>
      </c>
      <c r="O12962">
        <v>174</v>
      </c>
    </row>
    <row r="12963" spans="1:15" x14ac:dyDescent="0.25">
      <c r="A12963" t="s">
        <v>12976</v>
      </c>
      <c r="B12963">
        <v>121</v>
      </c>
      <c r="C12963" s="1" t="str">
        <f>HYPERLINK("http://www.rosaceae.org/gb/gbrowse/malus_x_domestica/?name=MDP0000692516","MDP0000692516")</f>
        <v>MDP0000692516</v>
      </c>
      <c r="D12963">
        <v>64.930000000000007</v>
      </c>
      <c r="E12963">
        <v>77</v>
      </c>
      <c r="F12963">
        <v>27</v>
      </c>
      <c r="G12963">
        <v>0</v>
      </c>
      <c r="H12963">
        <v>1</v>
      </c>
      <c r="I12963">
        <v>77</v>
      </c>
      <c r="J12963">
        <v>1</v>
      </c>
      <c r="K12963">
        <v>1</v>
      </c>
      <c r="L12963">
        <v>77</v>
      </c>
      <c r="M12963">
        <v>1</v>
      </c>
      <c r="N12963">
        <v>2.52806E-22</v>
      </c>
      <c r="O12963">
        <v>250</v>
      </c>
    </row>
    <row r="12964" spans="1:15" x14ac:dyDescent="0.25">
      <c r="A12964" t="s">
        <v>12977</v>
      </c>
      <c r="B12964">
        <v>352</v>
      </c>
      <c r="C12964" s="1" t="str">
        <f>HYPERLINK("http://www.rosaceae.org/gb/gbrowse/malus_x_domestica/?name=MDP0000272003","MDP0000272003")</f>
        <v>MDP0000272003</v>
      </c>
      <c r="D12964">
        <v>56.44</v>
      </c>
      <c r="E12964">
        <v>326</v>
      </c>
      <c r="F12964">
        <v>142</v>
      </c>
      <c r="G12964">
        <v>34</v>
      </c>
      <c r="H12964">
        <v>1</v>
      </c>
      <c r="I12964">
        <v>318</v>
      </c>
      <c r="J12964">
        <v>1</v>
      </c>
      <c r="K12964">
        <v>1</v>
      </c>
      <c r="L12964">
        <v>300</v>
      </c>
      <c r="M12964">
        <v>1</v>
      </c>
      <c r="N12964">
        <v>1.2635200000000001E-77</v>
      </c>
      <c r="O12964">
        <v>734</v>
      </c>
    </row>
    <row r="12965" spans="1:15" x14ac:dyDescent="0.25">
      <c r="A12965" t="s">
        <v>12978</v>
      </c>
      <c r="B12965">
        <v>139</v>
      </c>
      <c r="C12965" s="1" t="str">
        <f>HYPERLINK("http://www.rosaceae.org/gb/gbrowse/malus_x_domestica/?name=MDP0000906542","MDP0000906542")</f>
        <v>MDP0000906542</v>
      </c>
      <c r="D12965">
        <v>72.41</v>
      </c>
      <c r="E12965">
        <v>87</v>
      </c>
      <c r="F12965">
        <v>24</v>
      </c>
      <c r="G12965">
        <v>0</v>
      </c>
      <c r="H12965">
        <v>2</v>
      </c>
      <c r="I12965">
        <v>88</v>
      </c>
      <c r="J12965">
        <v>1</v>
      </c>
      <c r="K12965">
        <v>25</v>
      </c>
      <c r="L12965">
        <v>111</v>
      </c>
      <c r="M12965">
        <v>1</v>
      </c>
      <c r="N12965">
        <v>2.6218900000000002E-31</v>
      </c>
      <c r="O12965">
        <v>329</v>
      </c>
    </row>
    <row r="12966" spans="1:15" x14ac:dyDescent="0.25">
      <c r="A12966" t="s">
        <v>12979</v>
      </c>
      <c r="B12966">
        <v>901</v>
      </c>
      <c r="C12966" s="1" t="str">
        <f>HYPERLINK("http://www.rosaceae.org/gb/gbrowse/malus_x_domestica/?name=MDP0000248039","MDP0000248039")</f>
        <v>MDP0000248039</v>
      </c>
      <c r="D12966">
        <v>84.69</v>
      </c>
      <c r="E12966">
        <v>477</v>
      </c>
      <c r="F12966">
        <v>73</v>
      </c>
      <c r="G12966">
        <v>5</v>
      </c>
      <c r="H12966">
        <v>16</v>
      </c>
      <c r="I12966">
        <v>490</v>
      </c>
      <c r="J12966">
        <v>1</v>
      </c>
      <c r="K12966">
        <v>14</v>
      </c>
      <c r="L12966">
        <v>487</v>
      </c>
      <c r="M12966">
        <v>1</v>
      </c>
      <c r="N12966">
        <v>0</v>
      </c>
      <c r="O12966">
        <v>2088</v>
      </c>
    </row>
    <row r="12967" spans="1:15" x14ac:dyDescent="0.25">
      <c r="A12967" t="s">
        <v>12980</v>
      </c>
      <c r="B12967">
        <v>253</v>
      </c>
      <c r="C12967" s="1" t="str">
        <f>HYPERLINK("http://www.rosaceae.org/gb/gbrowse/malus_x_domestica/?name=MDP0000892438","MDP0000892438")</f>
        <v>MDP0000892438</v>
      </c>
      <c r="D12967">
        <v>44.08</v>
      </c>
      <c r="E12967">
        <v>186</v>
      </c>
      <c r="F12967">
        <v>104</v>
      </c>
      <c r="G12967">
        <v>51</v>
      </c>
      <c r="H12967">
        <v>62</v>
      </c>
      <c r="I12967">
        <v>239</v>
      </c>
      <c r="J12967">
        <v>1</v>
      </c>
      <c r="K12967">
        <v>1</v>
      </c>
      <c r="L12967">
        <v>143</v>
      </c>
      <c r="M12967">
        <v>1</v>
      </c>
      <c r="N12967">
        <v>3.8191999999999999E-22</v>
      </c>
      <c r="O12967">
        <v>254</v>
      </c>
    </row>
    <row r="12968" spans="1:15" x14ac:dyDescent="0.25">
      <c r="A12968" t="s">
        <v>12981</v>
      </c>
      <c r="B12968">
        <v>1429</v>
      </c>
      <c r="C12968" s="1" t="str">
        <f>HYPERLINK("http://www.rosaceae.org/gb/gbrowse/malus_x_domestica/?name=MDP0000149925","MDP0000149925")</f>
        <v>MDP0000149925</v>
      </c>
      <c r="D12968">
        <v>53.26</v>
      </c>
      <c r="E12968">
        <v>505</v>
      </c>
      <c r="F12968">
        <v>236</v>
      </c>
      <c r="G12968">
        <v>36</v>
      </c>
      <c r="H12968">
        <v>399</v>
      </c>
      <c r="I12968">
        <v>901</v>
      </c>
      <c r="J12968">
        <v>1</v>
      </c>
      <c r="K12968">
        <v>24</v>
      </c>
      <c r="L12968">
        <v>494</v>
      </c>
      <c r="M12968">
        <v>1</v>
      </c>
      <c r="N12968">
        <v>1.23594E-132</v>
      </c>
      <c r="O12968">
        <v>1215</v>
      </c>
    </row>
    <row r="12969" spans="1:15" x14ac:dyDescent="0.25">
      <c r="A12969" t="s">
        <v>12982</v>
      </c>
      <c r="B12969">
        <v>414</v>
      </c>
      <c r="C12969" s="1" t="str">
        <f>HYPERLINK("http://www.rosaceae.org/gb/gbrowse/malus_x_domestica/?name=MDP0000304679","MDP0000304679")</f>
        <v>MDP0000304679</v>
      </c>
      <c r="D12969">
        <v>71.55</v>
      </c>
      <c r="E12969">
        <v>334</v>
      </c>
      <c r="F12969">
        <v>95</v>
      </c>
      <c r="G12969">
        <v>1</v>
      </c>
      <c r="H12969">
        <v>63</v>
      </c>
      <c r="I12969">
        <v>396</v>
      </c>
      <c r="J12969">
        <v>1</v>
      </c>
      <c r="K12969">
        <v>47</v>
      </c>
      <c r="L12969">
        <v>379</v>
      </c>
      <c r="M12969">
        <v>1</v>
      </c>
      <c r="N12969">
        <v>1.9666E-136</v>
      </c>
      <c r="O12969">
        <v>1242</v>
      </c>
    </row>
    <row r="12970" spans="1:15" x14ac:dyDescent="0.25">
      <c r="A12970" t="s">
        <v>12983</v>
      </c>
      <c r="B12970">
        <v>437</v>
      </c>
      <c r="C12970" s="1" t="str">
        <f>HYPERLINK("http://www.rosaceae.org/gb/gbrowse/malus_x_domestica/?name=MDP0000317113","MDP0000317113")</f>
        <v>MDP0000317113</v>
      </c>
      <c r="D12970">
        <v>51.61</v>
      </c>
      <c r="E12970">
        <v>403</v>
      </c>
      <c r="F12970">
        <v>195</v>
      </c>
      <c r="G12970">
        <v>43</v>
      </c>
      <c r="H12970">
        <v>1</v>
      </c>
      <c r="I12970">
        <v>395</v>
      </c>
      <c r="J12970">
        <v>1</v>
      </c>
      <c r="K12970">
        <v>1</v>
      </c>
      <c r="L12970">
        <v>368</v>
      </c>
      <c r="M12970">
        <v>1</v>
      </c>
      <c r="N12970">
        <v>4.0790600000000002E-84</v>
      </c>
      <c r="O12970">
        <v>791</v>
      </c>
    </row>
    <row r="12971" spans="1:15" x14ac:dyDescent="0.25">
      <c r="A12971" t="s">
        <v>12984</v>
      </c>
      <c r="B12971">
        <v>1066</v>
      </c>
      <c r="C12971" s="1" t="str">
        <f>HYPERLINK("http://www.rosaceae.org/gb/gbrowse/malus_x_domestica/?name=MDP0000456401","MDP0000456401")</f>
        <v>MDP0000456401</v>
      </c>
      <c r="D12971">
        <v>51.76</v>
      </c>
      <c r="E12971">
        <v>1049</v>
      </c>
      <c r="F12971">
        <v>506</v>
      </c>
      <c r="G12971">
        <v>36</v>
      </c>
      <c r="H12971">
        <v>24</v>
      </c>
      <c r="I12971">
        <v>1065</v>
      </c>
      <c r="J12971">
        <v>1</v>
      </c>
      <c r="K12971">
        <v>30</v>
      </c>
      <c r="L12971">
        <v>1049</v>
      </c>
      <c r="M12971">
        <v>1</v>
      </c>
      <c r="N12971">
        <v>0</v>
      </c>
      <c r="O12971">
        <v>2505</v>
      </c>
    </row>
    <row r="12972" spans="1:15" x14ac:dyDescent="0.25">
      <c r="A12972" t="s">
        <v>12985</v>
      </c>
      <c r="B12972">
        <v>367</v>
      </c>
      <c r="C12972" s="1" t="str">
        <f>HYPERLINK("http://www.rosaceae.org/gb/gbrowse/malus_x_domestica/?name=MDP0000166916","MDP0000166916")</f>
        <v>MDP0000166916</v>
      </c>
      <c r="D12972">
        <v>68.8</v>
      </c>
      <c r="E12972">
        <v>343</v>
      </c>
      <c r="F12972">
        <v>107</v>
      </c>
      <c r="G12972">
        <v>8</v>
      </c>
      <c r="H12972">
        <v>6</v>
      </c>
      <c r="I12972">
        <v>340</v>
      </c>
      <c r="J12972">
        <v>1</v>
      </c>
      <c r="K12972">
        <v>10</v>
      </c>
      <c r="L12972">
        <v>352</v>
      </c>
      <c r="M12972">
        <v>1</v>
      </c>
      <c r="N12972">
        <v>7.7977499999999999E-135</v>
      </c>
      <c r="O12972">
        <v>1228</v>
      </c>
    </row>
    <row r="12973" spans="1:15" x14ac:dyDescent="0.25">
      <c r="A12973" t="s">
        <v>12986</v>
      </c>
      <c r="B12973">
        <v>523</v>
      </c>
      <c r="C12973" s="1" t="str">
        <f>HYPERLINK("http://www.rosaceae.org/gb/gbrowse/malus_x_domestica/?name=MDP0000122562","MDP0000122562")</f>
        <v>MDP0000122562</v>
      </c>
      <c r="D12973">
        <v>75.489999999999995</v>
      </c>
      <c r="E12973">
        <v>559</v>
      </c>
      <c r="F12973">
        <v>137</v>
      </c>
      <c r="G12973">
        <v>36</v>
      </c>
      <c r="H12973">
        <v>1</v>
      </c>
      <c r="I12973">
        <v>523</v>
      </c>
      <c r="J12973">
        <v>1</v>
      </c>
      <c r="K12973">
        <v>1</v>
      </c>
      <c r="L12973">
        <v>559</v>
      </c>
      <c r="M12973">
        <v>1</v>
      </c>
      <c r="N12973">
        <v>0</v>
      </c>
      <c r="O12973">
        <v>2157</v>
      </c>
    </row>
    <row r="12974" spans="1:15" x14ac:dyDescent="0.25">
      <c r="A12974" t="s">
        <v>12987</v>
      </c>
      <c r="B12974">
        <v>209</v>
      </c>
      <c r="C12974" s="1" t="str">
        <f>HYPERLINK("http://www.rosaceae.org/gb/gbrowse/malus_x_domestica/?name=MDP0000239885","MDP0000239885")</f>
        <v>MDP0000239885</v>
      </c>
      <c r="D12974">
        <v>60.56</v>
      </c>
      <c r="E12974">
        <v>246</v>
      </c>
      <c r="F12974">
        <v>97</v>
      </c>
      <c r="G12974">
        <v>44</v>
      </c>
      <c r="H12974">
        <v>6</v>
      </c>
      <c r="I12974">
        <v>208</v>
      </c>
      <c r="J12974">
        <v>1</v>
      </c>
      <c r="K12974">
        <v>84</v>
      </c>
      <c r="L12974">
        <v>328</v>
      </c>
      <c r="M12974">
        <v>1</v>
      </c>
      <c r="N12974">
        <v>5.52295E-77</v>
      </c>
      <c r="O12974">
        <v>726</v>
      </c>
    </row>
    <row r="12975" spans="1:15" x14ac:dyDescent="0.25">
      <c r="A12975" t="s">
        <v>12988</v>
      </c>
      <c r="B12975">
        <v>452</v>
      </c>
      <c r="C12975" s="1" t="str">
        <f>HYPERLINK("http://www.rosaceae.org/gb/gbrowse/malus_x_domestica/?name=MDP0000764803","MDP0000764803")</f>
        <v>MDP0000764803</v>
      </c>
      <c r="D12975">
        <v>51.71</v>
      </c>
      <c r="E12975">
        <v>292</v>
      </c>
      <c r="F12975">
        <v>141</v>
      </c>
      <c r="G12975">
        <v>31</v>
      </c>
      <c r="H12975">
        <v>179</v>
      </c>
      <c r="I12975">
        <v>452</v>
      </c>
      <c r="J12975">
        <v>1</v>
      </c>
      <c r="K12975">
        <v>162</v>
      </c>
      <c r="L12975">
        <v>440</v>
      </c>
      <c r="M12975">
        <v>1</v>
      </c>
      <c r="N12975">
        <v>6.19796E-66</v>
      </c>
      <c r="O12975">
        <v>635</v>
      </c>
    </row>
    <row r="12976" spans="1:15" x14ac:dyDescent="0.25">
      <c r="A12976" t="s">
        <v>12989</v>
      </c>
      <c r="B12976">
        <v>341</v>
      </c>
      <c r="C12976" s="1" t="str">
        <f>HYPERLINK("http://www.rosaceae.org/gb/gbrowse/malus_x_domestica/?name=MDP0000289204","MDP0000289204")</f>
        <v>MDP0000289204</v>
      </c>
      <c r="D12976">
        <v>44.89</v>
      </c>
      <c r="E12976">
        <v>196</v>
      </c>
      <c r="F12976">
        <v>108</v>
      </c>
      <c r="G12976">
        <v>28</v>
      </c>
      <c r="H12976">
        <v>152</v>
      </c>
      <c r="I12976">
        <v>319</v>
      </c>
      <c r="J12976">
        <v>1</v>
      </c>
      <c r="K12976">
        <v>508</v>
      </c>
      <c r="L12976">
        <v>703</v>
      </c>
      <c r="M12976">
        <v>1</v>
      </c>
      <c r="N12976">
        <v>1.06735E-42</v>
      </c>
      <c r="O12976">
        <v>433</v>
      </c>
    </row>
    <row r="12977" spans="1:15" x14ac:dyDescent="0.25">
      <c r="A12977" t="s">
        <v>12990</v>
      </c>
      <c r="B12977">
        <v>407</v>
      </c>
      <c r="C12977" s="1" t="str">
        <f>HYPERLINK("http://www.rosaceae.org/gb/gbrowse/malus_x_domestica/?name=MDP0000170172","MDP0000170172")</f>
        <v>MDP0000170172</v>
      </c>
      <c r="D12977">
        <v>57.73</v>
      </c>
      <c r="E12977">
        <v>265</v>
      </c>
      <c r="F12977">
        <v>112</v>
      </c>
      <c r="G12977">
        <v>43</v>
      </c>
      <c r="H12977">
        <v>112</v>
      </c>
      <c r="I12977">
        <v>376</v>
      </c>
      <c r="J12977">
        <v>1</v>
      </c>
      <c r="K12977">
        <v>153</v>
      </c>
      <c r="L12977">
        <v>374</v>
      </c>
      <c r="M12977">
        <v>1</v>
      </c>
      <c r="N12977">
        <v>8.4927200000000004E-76</v>
      </c>
      <c r="O12977">
        <v>719</v>
      </c>
    </row>
    <row r="12978" spans="1:15" x14ac:dyDescent="0.25">
      <c r="A12978" t="s">
        <v>12991</v>
      </c>
      <c r="B12978">
        <v>395</v>
      </c>
      <c r="C12978" s="1" t="str">
        <f>HYPERLINK("http://www.rosaceae.org/gb/gbrowse/malus_x_domestica/?name=MDP0000063674","MDP0000063674")</f>
        <v>MDP0000063674</v>
      </c>
      <c r="D12978">
        <v>89.47</v>
      </c>
      <c r="E12978">
        <v>190</v>
      </c>
      <c r="F12978">
        <v>20</v>
      </c>
      <c r="G12978">
        <v>0</v>
      </c>
      <c r="H12978">
        <v>3</v>
      </c>
      <c r="I12978">
        <v>192</v>
      </c>
      <c r="J12978">
        <v>1</v>
      </c>
      <c r="K12978">
        <v>15</v>
      </c>
      <c r="L12978">
        <v>204</v>
      </c>
      <c r="M12978">
        <v>1</v>
      </c>
      <c r="N12978">
        <v>1.59266E-97</v>
      </c>
      <c r="O12978">
        <v>906</v>
      </c>
    </row>
    <row r="12979" spans="1:15" x14ac:dyDescent="0.25">
      <c r="A12979" t="s">
        <v>12992</v>
      </c>
      <c r="B12979">
        <v>654</v>
      </c>
      <c r="C12979" s="1" t="str">
        <f>HYPERLINK("http://www.rosaceae.org/gb/gbrowse/malus_x_domestica/?name=MDP0000214672","MDP0000214672")</f>
        <v>MDP0000214672</v>
      </c>
      <c r="D12979">
        <v>52.25</v>
      </c>
      <c r="E12979">
        <v>333</v>
      </c>
      <c r="F12979">
        <v>159</v>
      </c>
      <c r="G12979">
        <v>20</v>
      </c>
      <c r="H12979">
        <v>7</v>
      </c>
      <c r="I12979">
        <v>338</v>
      </c>
      <c r="J12979">
        <v>1</v>
      </c>
      <c r="K12979">
        <v>1</v>
      </c>
      <c r="L12979">
        <v>314</v>
      </c>
      <c r="M12979">
        <v>1</v>
      </c>
      <c r="N12979">
        <v>4.7594600000000002E-91</v>
      </c>
      <c r="O12979">
        <v>853</v>
      </c>
    </row>
    <row r="12980" spans="1:15" x14ac:dyDescent="0.25">
      <c r="A12980" t="s">
        <v>12993</v>
      </c>
      <c r="B12980">
        <v>318</v>
      </c>
      <c r="C12980" s="1" t="str">
        <f>HYPERLINK("http://www.rosaceae.org/gb/gbrowse/malus_x_domestica/?name=MDP0000223013","MDP0000223013")</f>
        <v>MDP0000223013</v>
      </c>
      <c r="D12980">
        <v>75.41</v>
      </c>
      <c r="E12980">
        <v>240</v>
      </c>
      <c r="F12980">
        <v>59</v>
      </c>
      <c r="G12980">
        <v>1</v>
      </c>
      <c r="H12980">
        <v>79</v>
      </c>
      <c r="I12980">
        <v>318</v>
      </c>
      <c r="J12980">
        <v>1</v>
      </c>
      <c r="K12980">
        <v>3</v>
      </c>
      <c r="L12980">
        <v>241</v>
      </c>
      <c r="M12980">
        <v>1</v>
      </c>
      <c r="N12980">
        <v>1.5594499999999999E-109</v>
      </c>
      <c r="O12980">
        <v>1009</v>
      </c>
    </row>
    <row r="12981" spans="1:15" x14ac:dyDescent="0.25">
      <c r="A12981" t="s">
        <v>12994</v>
      </c>
      <c r="B12981">
        <v>416</v>
      </c>
      <c r="C12981" s="1" t="str">
        <f>HYPERLINK("http://www.rosaceae.org/gb/gbrowse/malus_x_domestica/?name=MDP0000286920","MDP0000286920")</f>
        <v>MDP0000286920</v>
      </c>
      <c r="D12981">
        <v>78.58</v>
      </c>
      <c r="E12981">
        <v>425</v>
      </c>
      <c r="F12981">
        <v>91</v>
      </c>
      <c r="G12981">
        <v>10</v>
      </c>
      <c r="H12981">
        <v>1</v>
      </c>
      <c r="I12981">
        <v>415</v>
      </c>
      <c r="J12981">
        <v>1</v>
      </c>
      <c r="K12981">
        <v>81</v>
      </c>
      <c r="L12981">
        <v>505</v>
      </c>
      <c r="M12981">
        <v>1</v>
      </c>
      <c r="N12981">
        <v>0</v>
      </c>
      <c r="O12981">
        <v>1712</v>
      </c>
    </row>
    <row r="12982" spans="1:15" x14ac:dyDescent="0.25">
      <c r="A12982" t="s">
        <v>12995</v>
      </c>
      <c r="B12982">
        <v>768</v>
      </c>
      <c r="C12982" s="1" t="str">
        <f>HYPERLINK("http://www.rosaceae.org/gb/gbrowse/malus_x_domestica/?name=MDP0000238113","MDP0000238113")</f>
        <v>MDP0000238113</v>
      </c>
      <c r="D12982">
        <v>82.74</v>
      </c>
      <c r="E12982">
        <v>226</v>
      </c>
      <c r="F12982">
        <v>39</v>
      </c>
      <c r="G12982">
        <v>0</v>
      </c>
      <c r="H12982">
        <v>173</v>
      </c>
      <c r="I12982">
        <v>398</v>
      </c>
      <c r="J12982">
        <v>1</v>
      </c>
      <c r="K12982">
        <v>375</v>
      </c>
      <c r="L12982">
        <v>600</v>
      </c>
      <c r="M12982">
        <v>1</v>
      </c>
      <c r="N12982">
        <v>1.01335E-107</v>
      </c>
      <c r="O12982">
        <v>997</v>
      </c>
    </row>
    <row r="12983" spans="1:15" x14ac:dyDescent="0.25">
      <c r="A12983" t="s">
        <v>12996</v>
      </c>
      <c r="B12983">
        <v>537</v>
      </c>
      <c r="C12983" s="1" t="str">
        <f>HYPERLINK("http://www.rosaceae.org/gb/gbrowse/malus_x_domestica/?name=MDP0000643287","MDP0000643287")</f>
        <v>MDP0000643287</v>
      </c>
      <c r="D12983">
        <v>69.69</v>
      </c>
      <c r="E12983">
        <v>429</v>
      </c>
      <c r="F12983">
        <v>130</v>
      </c>
      <c r="G12983">
        <v>18</v>
      </c>
      <c r="H12983">
        <v>96</v>
      </c>
      <c r="I12983">
        <v>516</v>
      </c>
      <c r="J12983">
        <v>1</v>
      </c>
      <c r="K12983">
        <v>3</v>
      </c>
      <c r="L12983">
        <v>421</v>
      </c>
      <c r="M12983">
        <v>1</v>
      </c>
      <c r="N12983">
        <v>3.2074900000000001E-170</v>
      </c>
      <c r="O12983">
        <v>1535</v>
      </c>
    </row>
    <row r="12984" spans="1:15" x14ac:dyDescent="0.25">
      <c r="A12984" t="s">
        <v>12997</v>
      </c>
      <c r="B12984">
        <v>310</v>
      </c>
      <c r="C12984" s="1" t="str">
        <f>HYPERLINK("http://www.rosaceae.org/gb/gbrowse/malus_x_domestica/?name=MDP0000207413","MDP0000207413")</f>
        <v>MDP0000207413</v>
      </c>
      <c r="D12984">
        <v>60.2</v>
      </c>
      <c r="E12984">
        <v>289</v>
      </c>
      <c r="F12984">
        <v>115</v>
      </c>
      <c r="G12984">
        <v>9</v>
      </c>
      <c r="H12984">
        <v>26</v>
      </c>
      <c r="I12984">
        <v>309</v>
      </c>
      <c r="J12984">
        <v>1</v>
      </c>
      <c r="K12984">
        <v>24</v>
      </c>
      <c r="L12984">
        <v>308</v>
      </c>
      <c r="M12984">
        <v>1</v>
      </c>
      <c r="N12984">
        <v>1.92301E-90</v>
      </c>
      <c r="O12984">
        <v>844</v>
      </c>
    </row>
    <row r="12985" spans="1:15" x14ac:dyDescent="0.25">
      <c r="A12985" t="s">
        <v>12998</v>
      </c>
      <c r="B12985">
        <v>325</v>
      </c>
      <c r="C12985" s="1" t="str">
        <f>HYPERLINK("http://www.rosaceae.org/gb/gbrowse/malus_x_domestica/?name=MDP0000947001","MDP0000947001")</f>
        <v>MDP0000947001</v>
      </c>
      <c r="D12985">
        <v>54</v>
      </c>
      <c r="E12985">
        <v>250</v>
      </c>
      <c r="F12985">
        <v>115</v>
      </c>
      <c r="G12985">
        <v>11</v>
      </c>
      <c r="H12985">
        <v>77</v>
      </c>
      <c r="I12985">
        <v>325</v>
      </c>
      <c r="J12985">
        <v>1</v>
      </c>
      <c r="K12985">
        <v>13</v>
      </c>
      <c r="L12985">
        <v>252</v>
      </c>
      <c r="M12985">
        <v>1</v>
      </c>
      <c r="N12985">
        <v>2.1150099999999999E-61</v>
      </c>
      <c r="O12985">
        <v>594</v>
      </c>
    </row>
    <row r="12986" spans="1:15" x14ac:dyDescent="0.25">
      <c r="A12986" t="s">
        <v>12999</v>
      </c>
      <c r="B12986">
        <v>550</v>
      </c>
      <c r="C12986" s="1" t="str">
        <f>HYPERLINK("http://www.rosaceae.org/gb/gbrowse/malus_x_domestica/?name=MDP0000764742","MDP0000764742")</f>
        <v>MDP0000764742</v>
      </c>
      <c r="D12986">
        <v>61.47</v>
      </c>
      <c r="E12986">
        <v>366</v>
      </c>
      <c r="F12986">
        <v>141</v>
      </c>
      <c r="G12986">
        <v>58</v>
      </c>
      <c r="H12986">
        <v>15</v>
      </c>
      <c r="I12986">
        <v>339</v>
      </c>
      <c r="J12986">
        <v>1</v>
      </c>
      <c r="K12986">
        <v>15</v>
      </c>
      <c r="L12986">
        <v>363</v>
      </c>
      <c r="M12986">
        <v>1</v>
      </c>
      <c r="N12986">
        <v>2.19088E-120</v>
      </c>
      <c r="O12986">
        <v>1105</v>
      </c>
    </row>
    <row r="12987" spans="1:15" x14ac:dyDescent="0.25">
      <c r="A12987" t="s">
        <v>13000</v>
      </c>
      <c r="B12987">
        <v>66</v>
      </c>
      <c r="C12987" s="1" t="str">
        <f>HYPERLINK("http://www.rosaceae.org/gb/gbrowse/malus_x_domestica/?name=MDP0000708928","MDP0000708928")</f>
        <v>MDP0000708928</v>
      </c>
      <c r="D12987">
        <v>89.79</v>
      </c>
      <c r="E12987">
        <v>49</v>
      </c>
      <c r="F12987">
        <v>5</v>
      </c>
      <c r="G12987">
        <v>0</v>
      </c>
      <c r="H12987">
        <v>1</v>
      </c>
      <c r="I12987">
        <v>49</v>
      </c>
      <c r="J12987">
        <v>1</v>
      </c>
      <c r="K12987">
        <v>1</v>
      </c>
      <c r="L12987">
        <v>49</v>
      </c>
      <c r="M12987">
        <v>1</v>
      </c>
      <c r="N12987">
        <v>2.2279800000000001E-18</v>
      </c>
      <c r="O12987">
        <v>216</v>
      </c>
    </row>
    <row r="12988" spans="1:15" x14ac:dyDescent="0.25">
      <c r="A12988" t="s">
        <v>13001</v>
      </c>
      <c r="B12988">
        <v>441</v>
      </c>
      <c r="C12988" s="1" t="str">
        <f>HYPERLINK("http://www.rosaceae.org/gb/gbrowse/malus_x_domestica/?name=MDP0000250455","MDP0000250455")</f>
        <v>MDP0000250455</v>
      </c>
      <c r="D12988">
        <v>36.17</v>
      </c>
      <c r="E12988">
        <v>434</v>
      </c>
      <c r="F12988">
        <v>277</v>
      </c>
      <c r="G12988">
        <v>53</v>
      </c>
      <c r="H12988">
        <v>1</v>
      </c>
      <c r="I12988">
        <v>427</v>
      </c>
      <c r="J12988">
        <v>1</v>
      </c>
      <c r="K12988">
        <v>483</v>
      </c>
      <c r="L12988">
        <v>870</v>
      </c>
      <c r="M12988">
        <v>1</v>
      </c>
      <c r="N12988">
        <v>4.8427699999999998E-57</v>
      </c>
      <c r="O12988">
        <v>558</v>
      </c>
    </row>
    <row r="12989" spans="1:15" x14ac:dyDescent="0.25">
      <c r="A12989" t="s">
        <v>13002</v>
      </c>
      <c r="B12989">
        <v>1167</v>
      </c>
      <c r="C12989" s="1" t="str">
        <f>HYPERLINK("http://www.rosaceae.org/gb/gbrowse/malus_x_domestica/?name=MDP0000160076","MDP0000160076")</f>
        <v>MDP0000160076</v>
      </c>
      <c r="D12989">
        <v>56.36</v>
      </c>
      <c r="E12989">
        <v>1217</v>
      </c>
      <c r="F12989">
        <v>531</v>
      </c>
      <c r="G12989">
        <v>98</v>
      </c>
      <c r="H12989">
        <v>1</v>
      </c>
      <c r="I12989">
        <v>1167</v>
      </c>
      <c r="J12989">
        <v>1</v>
      </c>
      <c r="K12989">
        <v>1</v>
      </c>
      <c r="L12989">
        <v>1169</v>
      </c>
      <c r="M12989">
        <v>1</v>
      </c>
      <c r="N12989">
        <v>0</v>
      </c>
      <c r="O12989">
        <v>2978</v>
      </c>
    </row>
    <row r="12990" spans="1:15" x14ac:dyDescent="0.25">
      <c r="A12990" t="s">
        <v>13003</v>
      </c>
      <c r="B12990">
        <v>486</v>
      </c>
      <c r="C12990" s="1" t="str">
        <f>HYPERLINK("http://www.rosaceae.org/gb/gbrowse/malus_x_domestica/?name=MDP0000125010","MDP0000125010")</f>
        <v>MDP0000125010</v>
      </c>
      <c r="D12990">
        <v>76.2</v>
      </c>
      <c r="E12990">
        <v>479</v>
      </c>
      <c r="F12990">
        <v>114</v>
      </c>
      <c r="G12990">
        <v>11</v>
      </c>
      <c r="H12990">
        <v>19</v>
      </c>
      <c r="I12990">
        <v>486</v>
      </c>
      <c r="J12990">
        <v>1</v>
      </c>
      <c r="K12990">
        <v>1</v>
      </c>
      <c r="L12990">
        <v>479</v>
      </c>
      <c r="M12990">
        <v>1</v>
      </c>
      <c r="N12990">
        <v>0</v>
      </c>
      <c r="O12990">
        <v>1959</v>
      </c>
    </row>
    <row r="12991" spans="1:15" x14ac:dyDescent="0.25">
      <c r="A12991" t="s">
        <v>13004</v>
      </c>
      <c r="B12991">
        <v>398</v>
      </c>
      <c r="C12991" s="1" t="str">
        <f>HYPERLINK("http://www.rosaceae.org/gb/gbrowse/malus_x_domestica/?name=MDP0000828243","MDP0000828243")</f>
        <v>MDP0000828243</v>
      </c>
      <c r="D12991">
        <v>80.540000000000006</v>
      </c>
      <c r="E12991">
        <v>365</v>
      </c>
      <c r="F12991">
        <v>71</v>
      </c>
      <c r="G12991">
        <v>0</v>
      </c>
      <c r="H12991">
        <v>34</v>
      </c>
      <c r="I12991">
        <v>398</v>
      </c>
      <c r="J12991">
        <v>1</v>
      </c>
      <c r="K12991">
        <v>60</v>
      </c>
      <c r="L12991">
        <v>424</v>
      </c>
      <c r="M12991">
        <v>1</v>
      </c>
      <c r="N12991">
        <v>3.1426699999999999E-177</v>
      </c>
      <c r="O12991">
        <v>1594</v>
      </c>
    </row>
    <row r="12992" spans="1:15" x14ac:dyDescent="0.25">
      <c r="A12992" t="s">
        <v>13005</v>
      </c>
      <c r="B12992">
        <v>135</v>
      </c>
      <c r="C12992" s="1" t="str">
        <f>HYPERLINK("http://www.rosaceae.org/gb/gbrowse/malus_x_domestica/?name=MDP0000443333","MDP0000443333")</f>
        <v>MDP0000443333</v>
      </c>
      <c r="D12992">
        <v>60.86</v>
      </c>
      <c r="E12992">
        <v>138</v>
      </c>
      <c r="F12992">
        <v>54</v>
      </c>
      <c r="G12992">
        <v>35</v>
      </c>
      <c r="H12992">
        <v>15</v>
      </c>
      <c r="I12992">
        <v>117</v>
      </c>
      <c r="J12992">
        <v>1</v>
      </c>
      <c r="K12992">
        <v>17</v>
      </c>
      <c r="L12992">
        <v>154</v>
      </c>
      <c r="M12992">
        <v>1</v>
      </c>
      <c r="N12992">
        <v>2.16466E-40</v>
      </c>
      <c r="O12992">
        <v>407</v>
      </c>
    </row>
    <row r="12993" spans="1:15" x14ac:dyDescent="0.25">
      <c r="A12993" t="s">
        <v>13006</v>
      </c>
      <c r="B12993">
        <v>165</v>
      </c>
      <c r="C12993" s="1" t="str">
        <f>HYPERLINK("http://www.rosaceae.org/gb/gbrowse/malus_x_domestica/?name=MDP0000257529","MDP0000257529")</f>
        <v>MDP0000257529</v>
      </c>
      <c r="D12993">
        <v>46.66</v>
      </c>
      <c r="E12993">
        <v>165</v>
      </c>
      <c r="F12993">
        <v>88</v>
      </c>
      <c r="G12993">
        <v>12</v>
      </c>
      <c r="H12993">
        <v>2</v>
      </c>
      <c r="I12993">
        <v>160</v>
      </c>
      <c r="J12993">
        <v>1</v>
      </c>
      <c r="K12993">
        <v>67</v>
      </c>
      <c r="L12993">
        <v>225</v>
      </c>
      <c r="M12993">
        <v>1</v>
      </c>
      <c r="N12993">
        <v>1.9628099999999999E-31</v>
      </c>
      <c r="O12993">
        <v>331</v>
      </c>
    </row>
    <row r="12994" spans="1:15" x14ac:dyDescent="0.25">
      <c r="A12994" t="s">
        <v>13007</v>
      </c>
      <c r="B12994">
        <v>327</v>
      </c>
      <c r="C12994" s="1" t="str">
        <f>HYPERLINK("http://www.rosaceae.org/gb/gbrowse/malus_x_domestica/?name=MDP0000281613","MDP0000281613")</f>
        <v>MDP0000281613</v>
      </c>
      <c r="D12994">
        <v>53.33</v>
      </c>
      <c r="E12994">
        <v>330</v>
      </c>
      <c r="F12994">
        <v>154</v>
      </c>
      <c r="G12994">
        <v>17</v>
      </c>
      <c r="H12994">
        <v>4</v>
      </c>
      <c r="I12994">
        <v>327</v>
      </c>
      <c r="J12994">
        <v>1</v>
      </c>
      <c r="K12994">
        <v>1</v>
      </c>
      <c r="L12994">
        <v>319</v>
      </c>
      <c r="M12994">
        <v>1</v>
      </c>
      <c r="N12994">
        <v>8.3966099999999997E-85</v>
      </c>
      <c r="O12994">
        <v>796</v>
      </c>
    </row>
    <row r="12995" spans="1:15" x14ac:dyDescent="0.25">
      <c r="A12995" t="s">
        <v>13008</v>
      </c>
      <c r="B12995">
        <v>559</v>
      </c>
      <c r="C12995" s="1" t="str">
        <f>HYPERLINK("http://www.rosaceae.org/gb/gbrowse/malus_x_domestica/?name=MDP0000251627","MDP0000251627")</f>
        <v>MDP0000251627</v>
      </c>
      <c r="D12995">
        <v>41.84</v>
      </c>
      <c r="E12995">
        <v>325</v>
      </c>
      <c r="F12995">
        <v>189</v>
      </c>
      <c r="G12995">
        <v>40</v>
      </c>
      <c r="H12995">
        <v>56</v>
      </c>
      <c r="I12995">
        <v>360</v>
      </c>
      <c r="J12995">
        <v>1</v>
      </c>
      <c r="K12995">
        <v>259</v>
      </c>
      <c r="L12995">
        <v>563</v>
      </c>
      <c r="M12995">
        <v>1</v>
      </c>
      <c r="N12995">
        <v>3.8590800000000001E-58</v>
      </c>
      <c r="O12995">
        <v>568</v>
      </c>
    </row>
    <row r="12996" spans="1:15" x14ac:dyDescent="0.25">
      <c r="A12996" t="s">
        <v>13009</v>
      </c>
      <c r="B12996">
        <v>933</v>
      </c>
      <c r="C12996" s="1" t="str">
        <f>HYPERLINK("http://www.rosaceae.org/gb/gbrowse/malus_x_domestica/?name=MDP0000305771","MDP0000305771")</f>
        <v>MDP0000305771</v>
      </c>
      <c r="D12996">
        <v>67.010000000000005</v>
      </c>
      <c r="E12996">
        <v>967</v>
      </c>
      <c r="F12996">
        <v>319</v>
      </c>
      <c r="G12996">
        <v>41</v>
      </c>
      <c r="H12996">
        <v>1</v>
      </c>
      <c r="I12996">
        <v>933</v>
      </c>
      <c r="J12996">
        <v>1</v>
      </c>
      <c r="K12996">
        <v>430</v>
      </c>
      <c r="L12996">
        <v>1389</v>
      </c>
      <c r="M12996">
        <v>1</v>
      </c>
      <c r="N12996">
        <v>0</v>
      </c>
      <c r="O12996">
        <v>3269</v>
      </c>
    </row>
    <row r="12997" spans="1:15" x14ac:dyDescent="0.25">
      <c r="A12997" t="s">
        <v>13010</v>
      </c>
      <c r="B12997">
        <v>346</v>
      </c>
      <c r="C12997" s="1" t="str">
        <f>HYPERLINK("http://www.rosaceae.org/gb/gbrowse/malus_x_domestica/?name=MDP0000933301","MDP0000933301")</f>
        <v>MDP0000933301</v>
      </c>
      <c r="D12997">
        <v>55.68</v>
      </c>
      <c r="E12997">
        <v>255</v>
      </c>
      <c r="F12997">
        <v>113</v>
      </c>
      <c r="G12997">
        <v>3</v>
      </c>
      <c r="H12997">
        <v>91</v>
      </c>
      <c r="I12997">
        <v>343</v>
      </c>
      <c r="J12997">
        <v>1</v>
      </c>
      <c r="K12997">
        <v>195</v>
      </c>
      <c r="L12997">
        <v>448</v>
      </c>
      <c r="M12997">
        <v>1</v>
      </c>
      <c r="N12997">
        <v>2.3232299999999999E-79</v>
      </c>
      <c r="O12997">
        <v>749</v>
      </c>
    </row>
    <row r="12998" spans="1:15" x14ac:dyDescent="0.25">
      <c r="A12998" t="s">
        <v>13011</v>
      </c>
      <c r="B12998">
        <v>627</v>
      </c>
      <c r="C12998" s="1" t="str">
        <f>HYPERLINK("http://www.rosaceae.org/gb/gbrowse/malus_x_domestica/?name=MDP0000136254","MDP0000136254")</f>
        <v>MDP0000136254</v>
      </c>
      <c r="D12998">
        <v>80.08</v>
      </c>
      <c r="E12998">
        <v>226</v>
      </c>
      <c r="F12998">
        <v>45</v>
      </c>
      <c r="G12998">
        <v>0</v>
      </c>
      <c r="H12998">
        <v>2</v>
      </c>
      <c r="I12998">
        <v>227</v>
      </c>
      <c r="J12998">
        <v>1</v>
      </c>
      <c r="K12998">
        <v>5</v>
      </c>
      <c r="L12998">
        <v>230</v>
      </c>
      <c r="M12998">
        <v>1</v>
      </c>
      <c r="N12998">
        <v>1.1753099999999999E-106</v>
      </c>
      <c r="O12998">
        <v>987</v>
      </c>
    </row>
    <row r="12999" spans="1:15" x14ac:dyDescent="0.25">
      <c r="A12999" t="s">
        <v>13012</v>
      </c>
      <c r="B12999">
        <v>528</v>
      </c>
      <c r="C12999" s="1" t="str">
        <f>HYPERLINK("http://www.rosaceae.org/gb/gbrowse/malus_x_domestica/?name=MDP0000270602","MDP0000270602")</f>
        <v>MDP0000270602</v>
      </c>
      <c r="D12999">
        <v>71.48</v>
      </c>
      <c r="E12999">
        <v>533</v>
      </c>
      <c r="F12999">
        <v>152</v>
      </c>
      <c r="G12999">
        <v>31</v>
      </c>
      <c r="H12999">
        <v>1</v>
      </c>
      <c r="I12999">
        <v>527</v>
      </c>
      <c r="J12999">
        <v>1</v>
      </c>
      <c r="K12999">
        <v>1</v>
      </c>
      <c r="L12999">
        <v>508</v>
      </c>
      <c r="M12999">
        <v>1</v>
      </c>
      <c r="N12999">
        <v>0</v>
      </c>
      <c r="O12999">
        <v>1847</v>
      </c>
    </row>
    <row r="13000" spans="1:15" x14ac:dyDescent="0.25">
      <c r="A13000" t="s">
        <v>13013</v>
      </c>
      <c r="B13000">
        <v>415</v>
      </c>
      <c r="C13000" s="1" t="str">
        <f>HYPERLINK("http://www.rosaceae.org/gb/gbrowse/malus_x_domestica/?name=MDP0000285103","MDP0000285103")</f>
        <v>MDP0000285103</v>
      </c>
      <c r="D13000">
        <v>40.19</v>
      </c>
      <c r="E13000">
        <v>403</v>
      </c>
      <c r="F13000">
        <v>241</v>
      </c>
      <c r="G13000">
        <v>54</v>
      </c>
      <c r="H13000">
        <v>3</v>
      </c>
      <c r="I13000">
        <v>384</v>
      </c>
      <c r="J13000">
        <v>1</v>
      </c>
      <c r="K13000">
        <v>2</v>
      </c>
      <c r="L13000">
        <v>371</v>
      </c>
      <c r="M13000">
        <v>1</v>
      </c>
      <c r="N13000">
        <v>1.03317E-65</v>
      </c>
      <c r="O13000">
        <v>632</v>
      </c>
    </row>
    <row r="13001" spans="1:15" x14ac:dyDescent="0.25">
      <c r="A13001" t="s">
        <v>13014</v>
      </c>
      <c r="B13001">
        <v>501</v>
      </c>
      <c r="C13001" s="1" t="str">
        <f>HYPERLINK("http://www.rosaceae.org/gb/gbrowse/malus_x_domestica/?name=MDP0000211134","MDP0000211134")</f>
        <v>MDP0000211134</v>
      </c>
      <c r="D13001">
        <v>34.76</v>
      </c>
      <c r="E13001">
        <v>256</v>
      </c>
      <c r="F13001">
        <v>167</v>
      </c>
      <c r="G13001">
        <v>39</v>
      </c>
      <c r="H13001">
        <v>60</v>
      </c>
      <c r="I13001">
        <v>309</v>
      </c>
      <c r="J13001">
        <v>1</v>
      </c>
      <c r="K13001">
        <v>52</v>
      </c>
      <c r="L13001">
        <v>274</v>
      </c>
      <c r="M13001">
        <v>1</v>
      </c>
      <c r="N13001">
        <v>8.9085200000000006E-28</v>
      </c>
      <c r="O13001">
        <v>306</v>
      </c>
    </row>
    <row r="13002" spans="1:15" x14ac:dyDescent="0.25">
      <c r="A13002" t="s">
        <v>13015</v>
      </c>
      <c r="B13002">
        <v>180</v>
      </c>
      <c r="C13002" s="1" t="str">
        <f>HYPERLINK("http://www.rosaceae.org/gb/gbrowse/malus_x_domestica/?name=MDP0000324175","MDP0000324175")</f>
        <v>MDP0000324175</v>
      </c>
      <c r="D13002">
        <v>49.72</v>
      </c>
      <c r="E13002">
        <v>181</v>
      </c>
      <c r="F13002">
        <v>91</v>
      </c>
      <c r="G13002">
        <v>28</v>
      </c>
      <c r="H13002">
        <v>5</v>
      </c>
      <c r="I13002">
        <v>161</v>
      </c>
      <c r="J13002">
        <v>1</v>
      </c>
      <c r="K13002">
        <v>1</v>
      </c>
      <c r="L13002">
        <v>177</v>
      </c>
      <c r="M13002">
        <v>1</v>
      </c>
      <c r="N13002">
        <v>3.7128000000000002E-40</v>
      </c>
      <c r="O13002">
        <v>407</v>
      </c>
    </row>
    <row r="13003" spans="1:15" x14ac:dyDescent="0.25">
      <c r="A13003" t="s">
        <v>13016</v>
      </c>
      <c r="B13003">
        <v>280</v>
      </c>
      <c r="C13003" s="1" t="str">
        <f>HYPERLINK("http://www.rosaceae.org/gb/gbrowse/malus_x_domestica/?name=MDP0000142403","MDP0000142403")</f>
        <v>MDP0000142403</v>
      </c>
      <c r="D13003">
        <v>76.87</v>
      </c>
      <c r="E13003">
        <v>147</v>
      </c>
      <c r="F13003">
        <v>34</v>
      </c>
      <c r="G13003">
        <v>0</v>
      </c>
      <c r="H13003">
        <v>1</v>
      </c>
      <c r="I13003">
        <v>147</v>
      </c>
      <c r="J13003">
        <v>1</v>
      </c>
      <c r="K13003">
        <v>1</v>
      </c>
      <c r="L13003">
        <v>147</v>
      </c>
      <c r="M13003">
        <v>1</v>
      </c>
      <c r="N13003">
        <v>8.1014200000000006E-61</v>
      </c>
      <c r="O13003">
        <v>588</v>
      </c>
    </row>
    <row r="13004" spans="1:15" x14ac:dyDescent="0.25">
      <c r="A13004" t="s">
        <v>13017</v>
      </c>
      <c r="B13004">
        <v>925</v>
      </c>
      <c r="C13004" s="1" t="str">
        <f>HYPERLINK("http://www.rosaceae.org/gb/gbrowse/malus_x_domestica/?name=MDP0000314223","MDP0000314223")</f>
        <v>MDP0000314223</v>
      </c>
      <c r="D13004">
        <v>63.75</v>
      </c>
      <c r="E13004">
        <v>938</v>
      </c>
      <c r="F13004">
        <v>340</v>
      </c>
      <c r="G13004">
        <v>48</v>
      </c>
      <c r="H13004">
        <v>18</v>
      </c>
      <c r="I13004">
        <v>925</v>
      </c>
      <c r="J13004">
        <v>1</v>
      </c>
      <c r="K13004">
        <v>82</v>
      </c>
      <c r="L13004">
        <v>1001</v>
      </c>
      <c r="M13004">
        <v>1</v>
      </c>
      <c r="N13004">
        <v>0</v>
      </c>
      <c r="O13004">
        <v>2916</v>
      </c>
    </row>
    <row r="13005" spans="1:15" x14ac:dyDescent="0.25">
      <c r="A13005" t="s">
        <v>13018</v>
      </c>
      <c r="B13005">
        <v>428</v>
      </c>
      <c r="C13005" s="1" t="str">
        <f>HYPERLINK("http://www.rosaceae.org/gb/gbrowse/malus_x_domestica/?name=MDP0000241635","MDP0000241635")</f>
        <v>MDP0000241635</v>
      </c>
      <c r="D13005">
        <v>51.28</v>
      </c>
      <c r="E13005">
        <v>429</v>
      </c>
      <c r="F13005">
        <v>209</v>
      </c>
      <c r="G13005">
        <v>23</v>
      </c>
      <c r="H13005">
        <v>1</v>
      </c>
      <c r="I13005">
        <v>428</v>
      </c>
      <c r="J13005">
        <v>1</v>
      </c>
      <c r="K13005">
        <v>58</v>
      </c>
      <c r="L13005">
        <v>464</v>
      </c>
      <c r="M13005">
        <v>1</v>
      </c>
      <c r="N13005">
        <v>4.6939300000000004E-109</v>
      </c>
      <c r="O13005">
        <v>1006</v>
      </c>
    </row>
    <row r="13006" spans="1:15" x14ac:dyDescent="0.25">
      <c r="A13006" t="s">
        <v>13019</v>
      </c>
      <c r="B13006">
        <v>188</v>
      </c>
      <c r="C13006" s="1" t="str">
        <f>HYPERLINK("http://www.rosaceae.org/gb/gbrowse/malus_x_domestica/?name=MDP0000130874","MDP0000130874")</f>
        <v>MDP0000130874</v>
      </c>
      <c r="D13006">
        <v>83.33</v>
      </c>
      <c r="E13006">
        <v>156</v>
      </c>
      <c r="F13006">
        <v>26</v>
      </c>
      <c r="G13006">
        <v>1</v>
      </c>
      <c r="H13006">
        <v>25</v>
      </c>
      <c r="I13006">
        <v>179</v>
      </c>
      <c r="J13006">
        <v>1</v>
      </c>
      <c r="K13006">
        <v>113</v>
      </c>
      <c r="L13006">
        <v>268</v>
      </c>
      <c r="M13006">
        <v>1</v>
      </c>
      <c r="N13006">
        <v>1.9027500000000001E-73</v>
      </c>
      <c r="O13006">
        <v>695</v>
      </c>
    </row>
    <row r="13007" spans="1:15" x14ac:dyDescent="0.25">
      <c r="A13007" t="s">
        <v>13020</v>
      </c>
      <c r="B13007">
        <v>623</v>
      </c>
      <c r="C13007" s="1" t="str">
        <f>HYPERLINK("http://www.rosaceae.org/gb/gbrowse/malus_x_domestica/?name=MDP0000310368","MDP0000310368")</f>
        <v>MDP0000310368</v>
      </c>
      <c r="D13007">
        <v>75.680000000000007</v>
      </c>
      <c r="E13007">
        <v>625</v>
      </c>
      <c r="F13007">
        <v>152</v>
      </c>
      <c r="G13007">
        <v>10</v>
      </c>
      <c r="H13007">
        <v>1</v>
      </c>
      <c r="I13007">
        <v>623</v>
      </c>
      <c r="J13007">
        <v>1</v>
      </c>
      <c r="K13007">
        <v>94</v>
      </c>
      <c r="L13007">
        <v>710</v>
      </c>
      <c r="M13007">
        <v>1</v>
      </c>
      <c r="N13007">
        <v>0</v>
      </c>
      <c r="O13007">
        <v>2435</v>
      </c>
    </row>
    <row r="13008" spans="1:15" x14ac:dyDescent="0.25">
      <c r="A13008" t="s">
        <v>13021</v>
      </c>
      <c r="B13008">
        <v>99</v>
      </c>
      <c r="C13008" s="1" t="str">
        <f>HYPERLINK("http://www.rosaceae.org/gb/gbrowse/malus_x_domestica/?name=MDP0000804928","MDP0000804928")</f>
        <v>MDP0000804928</v>
      </c>
      <c r="D13008">
        <v>63.29</v>
      </c>
      <c r="E13008">
        <v>79</v>
      </c>
      <c r="F13008">
        <v>29</v>
      </c>
      <c r="G13008">
        <v>8</v>
      </c>
      <c r="H13008">
        <v>23</v>
      </c>
      <c r="I13008">
        <v>99</v>
      </c>
      <c r="J13008">
        <v>1</v>
      </c>
      <c r="K13008">
        <v>63</v>
      </c>
      <c r="L13008">
        <v>135</v>
      </c>
      <c r="M13008">
        <v>1</v>
      </c>
      <c r="N13008">
        <v>2.18462E-17</v>
      </c>
      <c r="O13008">
        <v>207</v>
      </c>
    </row>
    <row r="13009" spans="1:15" x14ac:dyDescent="0.25">
      <c r="A13009" t="s">
        <v>13022</v>
      </c>
      <c r="B13009">
        <v>272</v>
      </c>
      <c r="C13009" s="1" t="str">
        <f>HYPERLINK("http://www.rosaceae.org/gb/gbrowse/malus_x_domestica/?name=MDP0000534094","MDP0000534094")</f>
        <v>MDP0000534094</v>
      </c>
      <c r="D13009">
        <v>46.34</v>
      </c>
      <c r="E13009">
        <v>82</v>
      </c>
      <c r="F13009">
        <v>44</v>
      </c>
      <c r="G13009">
        <v>1</v>
      </c>
      <c r="H13009">
        <v>180</v>
      </c>
      <c r="I13009">
        <v>261</v>
      </c>
      <c r="J13009">
        <v>1</v>
      </c>
      <c r="K13009">
        <v>26</v>
      </c>
      <c r="L13009">
        <v>106</v>
      </c>
      <c r="M13009">
        <v>1</v>
      </c>
      <c r="N13009">
        <v>7.7069500000000004E-17</v>
      </c>
      <c r="O13009">
        <v>209</v>
      </c>
    </row>
    <row r="13010" spans="1:15" x14ac:dyDescent="0.25">
      <c r="A13010" t="s">
        <v>13023</v>
      </c>
      <c r="B13010">
        <v>92</v>
      </c>
      <c r="C13010" s="1" t="str">
        <f>HYPERLINK("http://www.rosaceae.org/gb/gbrowse/malus_x_domestica/?name=MDP0000319979","MDP0000319979")</f>
        <v>MDP0000319979</v>
      </c>
      <c r="D13010">
        <v>78.78</v>
      </c>
      <c r="E13010">
        <v>66</v>
      </c>
      <c r="F13010">
        <v>14</v>
      </c>
      <c r="G13010">
        <v>6</v>
      </c>
      <c r="H13010">
        <v>1</v>
      </c>
      <c r="I13010">
        <v>60</v>
      </c>
      <c r="J13010">
        <v>1</v>
      </c>
      <c r="K13010">
        <v>454</v>
      </c>
      <c r="L13010">
        <v>519</v>
      </c>
      <c r="M13010">
        <v>1</v>
      </c>
      <c r="N13010">
        <v>9.4441900000000009E-25</v>
      </c>
      <c r="O13010">
        <v>271</v>
      </c>
    </row>
    <row r="13011" spans="1:15" x14ac:dyDescent="0.25">
      <c r="A13011" t="s">
        <v>13024</v>
      </c>
      <c r="B13011">
        <v>479</v>
      </c>
      <c r="C13011" s="1" t="str">
        <f>HYPERLINK("http://www.rosaceae.org/gb/gbrowse/malus_x_domestica/?name=MDP0000923305","MDP0000923305")</f>
        <v>MDP0000923305</v>
      </c>
      <c r="D13011">
        <v>79.290000000000006</v>
      </c>
      <c r="E13011">
        <v>454</v>
      </c>
      <c r="F13011">
        <v>94</v>
      </c>
      <c r="G13011">
        <v>1</v>
      </c>
      <c r="H13011">
        <v>24</v>
      </c>
      <c r="I13011">
        <v>477</v>
      </c>
      <c r="J13011">
        <v>1</v>
      </c>
      <c r="K13011">
        <v>19</v>
      </c>
      <c r="L13011">
        <v>471</v>
      </c>
      <c r="M13011">
        <v>1</v>
      </c>
      <c r="N13011">
        <v>0</v>
      </c>
      <c r="O13011">
        <v>1889</v>
      </c>
    </row>
    <row r="13012" spans="1:15" x14ac:dyDescent="0.25">
      <c r="A13012" t="s">
        <v>13025</v>
      </c>
      <c r="B13012">
        <v>187</v>
      </c>
      <c r="C13012" s="1" t="str">
        <f>HYPERLINK("http://www.rosaceae.org/gb/gbrowse/malus_x_domestica/?name=MDP0000233319","MDP0000233319")</f>
        <v>MDP0000233319</v>
      </c>
      <c r="D13012">
        <v>58.85</v>
      </c>
      <c r="E13012">
        <v>209</v>
      </c>
      <c r="F13012">
        <v>86</v>
      </c>
      <c r="G13012">
        <v>46</v>
      </c>
      <c r="H13012">
        <v>1</v>
      </c>
      <c r="I13012">
        <v>170</v>
      </c>
      <c r="J13012">
        <v>1</v>
      </c>
      <c r="K13012">
        <v>1</v>
      </c>
      <c r="L13012">
        <v>202</v>
      </c>
      <c r="M13012">
        <v>1</v>
      </c>
      <c r="N13012">
        <v>5.0998700000000001E-59</v>
      </c>
      <c r="O13012">
        <v>570</v>
      </c>
    </row>
    <row r="13013" spans="1:15" x14ac:dyDescent="0.25">
      <c r="A13013" t="s">
        <v>13026</v>
      </c>
      <c r="B13013">
        <v>616</v>
      </c>
      <c r="C13013" s="1" t="str">
        <f>HYPERLINK("http://www.rosaceae.org/gb/gbrowse/malus_x_domestica/?name=MDP0000213095","MDP0000213095")</f>
        <v>MDP0000213095</v>
      </c>
      <c r="D13013">
        <v>75.819999999999993</v>
      </c>
      <c r="E13013">
        <v>637</v>
      </c>
      <c r="F13013">
        <v>154</v>
      </c>
      <c r="G13013">
        <v>36</v>
      </c>
      <c r="H13013">
        <v>13</v>
      </c>
      <c r="I13013">
        <v>615</v>
      </c>
      <c r="J13013">
        <v>1</v>
      </c>
      <c r="K13013">
        <v>16</v>
      </c>
      <c r="L13013">
        <v>650</v>
      </c>
      <c r="M13013">
        <v>1</v>
      </c>
      <c r="N13013">
        <v>0</v>
      </c>
      <c r="O13013">
        <v>2430</v>
      </c>
    </row>
    <row r="13014" spans="1:15" x14ac:dyDescent="0.25">
      <c r="A13014" t="s">
        <v>13027</v>
      </c>
      <c r="B13014">
        <v>1051</v>
      </c>
      <c r="C13014" s="1" t="str">
        <f>HYPERLINK("http://www.rosaceae.org/gb/gbrowse/malus_x_domestica/?name=MDP0000134284","MDP0000134284")</f>
        <v>MDP0000134284</v>
      </c>
      <c r="D13014">
        <v>65.77</v>
      </c>
      <c r="E13014">
        <v>1125</v>
      </c>
      <c r="F13014">
        <v>385</v>
      </c>
      <c r="G13014">
        <v>123</v>
      </c>
      <c r="H13014">
        <v>17</v>
      </c>
      <c r="I13014">
        <v>1051</v>
      </c>
      <c r="J13014">
        <v>1</v>
      </c>
      <c r="K13014">
        <v>565</v>
      </c>
      <c r="L13014">
        <v>1656</v>
      </c>
      <c r="M13014">
        <v>1</v>
      </c>
      <c r="N13014">
        <v>0</v>
      </c>
      <c r="O13014">
        <v>3716</v>
      </c>
    </row>
    <row r="13015" spans="1:15" x14ac:dyDescent="0.25">
      <c r="A13015" t="s">
        <v>13028</v>
      </c>
      <c r="B13015">
        <v>127</v>
      </c>
      <c r="C13015" s="1" t="str">
        <f>HYPERLINK("http://www.rosaceae.org/gb/gbrowse/malus_x_domestica/?name=MDP0000311558","MDP0000311558")</f>
        <v>MDP0000311558</v>
      </c>
      <c r="D13015">
        <v>39.369999999999997</v>
      </c>
      <c r="E13015">
        <v>127</v>
      </c>
      <c r="F13015">
        <v>77</v>
      </c>
      <c r="G13015">
        <v>11</v>
      </c>
      <c r="H13015">
        <v>1</v>
      </c>
      <c r="I13015">
        <v>118</v>
      </c>
      <c r="J13015">
        <v>1</v>
      </c>
      <c r="K13015">
        <v>1</v>
      </c>
      <c r="L13015">
        <v>125</v>
      </c>
      <c r="M13015">
        <v>1</v>
      </c>
      <c r="N13015">
        <v>3.5140899999999999E-13</v>
      </c>
      <c r="O13015">
        <v>171</v>
      </c>
    </row>
    <row r="13016" spans="1:15" x14ac:dyDescent="0.25">
      <c r="A13016" t="s">
        <v>13029</v>
      </c>
      <c r="B13016">
        <v>472</v>
      </c>
      <c r="C13016" s="1" t="str">
        <f>HYPERLINK("http://www.rosaceae.org/gb/gbrowse/malus_x_domestica/?name=MDP0000161222","MDP0000161222")</f>
        <v>MDP0000161222</v>
      </c>
      <c r="D13016">
        <v>36.06</v>
      </c>
      <c r="E13016">
        <v>183</v>
      </c>
      <c r="F13016">
        <v>117</v>
      </c>
      <c r="G13016">
        <v>21</v>
      </c>
      <c r="H13016">
        <v>268</v>
      </c>
      <c r="I13016">
        <v>445</v>
      </c>
      <c r="J13016">
        <v>1</v>
      </c>
      <c r="K13016">
        <v>647</v>
      </c>
      <c r="L13016">
        <v>813</v>
      </c>
      <c r="M13016">
        <v>1</v>
      </c>
      <c r="N13016">
        <v>2.6556100000000001E-18</v>
      </c>
      <c r="O13016">
        <v>224</v>
      </c>
    </row>
    <row r="13017" spans="1:15" x14ac:dyDescent="0.25">
      <c r="A13017" t="s">
        <v>13030</v>
      </c>
      <c r="B13017">
        <v>191</v>
      </c>
      <c r="C13017" s="1" t="str">
        <f>HYPERLINK("http://www.rosaceae.org/gb/gbrowse/malus_x_domestica/?name=MDP0000435842","MDP0000435842")</f>
        <v>MDP0000435842</v>
      </c>
      <c r="D13017">
        <v>37</v>
      </c>
      <c r="E13017">
        <v>127</v>
      </c>
      <c r="F13017">
        <v>80</v>
      </c>
      <c r="G13017">
        <v>27</v>
      </c>
      <c r="H13017">
        <v>60</v>
      </c>
      <c r="I13017">
        <v>186</v>
      </c>
      <c r="J13017">
        <v>1</v>
      </c>
      <c r="K13017">
        <v>634</v>
      </c>
      <c r="L13017">
        <v>733</v>
      </c>
      <c r="M13017">
        <v>1</v>
      </c>
      <c r="N13017">
        <v>7.0625900000000002E-15</v>
      </c>
      <c r="O13017">
        <v>190</v>
      </c>
    </row>
    <row r="13018" spans="1:15" x14ac:dyDescent="0.25">
      <c r="A13018" t="s">
        <v>13031</v>
      </c>
      <c r="B13018">
        <v>427</v>
      </c>
      <c r="C13018" s="1" t="str">
        <f>HYPERLINK("http://www.rosaceae.org/gb/gbrowse/malus_x_domestica/?name=MDP0000700517","MDP0000700517")</f>
        <v>MDP0000700517</v>
      </c>
      <c r="D13018">
        <v>28.92</v>
      </c>
      <c r="E13018">
        <v>204</v>
      </c>
      <c r="F13018">
        <v>145</v>
      </c>
      <c r="G13018">
        <v>15</v>
      </c>
      <c r="H13018">
        <v>224</v>
      </c>
      <c r="I13018">
        <v>412</v>
      </c>
      <c r="J13018">
        <v>1</v>
      </c>
      <c r="K13018">
        <v>104</v>
      </c>
      <c r="L13018">
        <v>307</v>
      </c>
      <c r="M13018">
        <v>1</v>
      </c>
      <c r="N13018">
        <v>3.21891E-18</v>
      </c>
      <c r="O13018">
        <v>223</v>
      </c>
    </row>
    <row r="13019" spans="1:15" x14ac:dyDescent="0.25">
      <c r="A13019" t="s">
        <v>13032</v>
      </c>
      <c r="B13019">
        <v>379</v>
      </c>
      <c r="C13019" s="1" t="str">
        <f>HYPERLINK("http://www.rosaceae.org/gb/gbrowse/malus_x_domestica/?name=MDP0000145879","MDP0000145879")</f>
        <v>MDP0000145879</v>
      </c>
      <c r="D13019">
        <v>64.739999999999995</v>
      </c>
      <c r="E13019">
        <v>329</v>
      </c>
      <c r="F13019">
        <v>116</v>
      </c>
      <c r="G13019">
        <v>15</v>
      </c>
      <c r="H13019">
        <v>3</v>
      </c>
      <c r="I13019">
        <v>321</v>
      </c>
      <c r="J13019">
        <v>1</v>
      </c>
      <c r="K13019">
        <v>7</v>
      </c>
      <c r="L13019">
        <v>330</v>
      </c>
      <c r="M13019">
        <v>1</v>
      </c>
      <c r="N13019">
        <v>1.0189500000000001E-114</v>
      </c>
      <c r="O13019">
        <v>1054</v>
      </c>
    </row>
    <row r="13020" spans="1:15" x14ac:dyDescent="0.25">
      <c r="A13020" t="s">
        <v>13033</v>
      </c>
      <c r="B13020">
        <v>493</v>
      </c>
      <c r="C13020" s="1" t="str">
        <f>HYPERLINK("http://www.rosaceae.org/gb/gbrowse/malus_x_domestica/?name=MDP0000784949","MDP0000784949")</f>
        <v>MDP0000784949</v>
      </c>
      <c r="D13020">
        <v>65.42</v>
      </c>
      <c r="E13020">
        <v>376</v>
      </c>
      <c r="F13020">
        <v>130</v>
      </c>
      <c r="G13020">
        <v>34</v>
      </c>
      <c r="H13020">
        <v>4</v>
      </c>
      <c r="I13020">
        <v>345</v>
      </c>
      <c r="J13020">
        <v>1</v>
      </c>
      <c r="K13020">
        <v>5</v>
      </c>
      <c r="L13020">
        <v>380</v>
      </c>
      <c r="M13020">
        <v>1</v>
      </c>
      <c r="N13020">
        <v>2.1019900000000001E-132</v>
      </c>
      <c r="O13020">
        <v>1208</v>
      </c>
    </row>
    <row r="13021" spans="1:15" x14ac:dyDescent="0.25">
      <c r="A13021" t="s">
        <v>13034</v>
      </c>
      <c r="B13021">
        <v>2821</v>
      </c>
      <c r="C13021" s="1" t="str">
        <f>HYPERLINK("http://www.rosaceae.org/gb/gbrowse/malus_x_domestica/?name=MDP0000274501","MDP0000274501")</f>
        <v>MDP0000274501</v>
      </c>
      <c r="D13021">
        <v>81.209999999999994</v>
      </c>
      <c r="E13021">
        <v>990</v>
      </c>
      <c r="F13021">
        <v>186</v>
      </c>
      <c r="G13021">
        <v>59</v>
      </c>
      <c r="H13021">
        <v>53</v>
      </c>
      <c r="I13021">
        <v>1013</v>
      </c>
      <c r="J13021">
        <v>1</v>
      </c>
      <c r="K13021">
        <v>19</v>
      </c>
      <c r="L13021">
        <v>978</v>
      </c>
      <c r="M13021">
        <v>1</v>
      </c>
      <c r="N13021">
        <v>0</v>
      </c>
      <c r="O13021">
        <v>4263</v>
      </c>
    </row>
    <row r="13022" spans="1:15" x14ac:dyDescent="0.25">
      <c r="A13022" t="s">
        <v>13035</v>
      </c>
      <c r="B13022">
        <v>415</v>
      </c>
      <c r="C13022" s="1" t="str">
        <f>HYPERLINK("http://www.rosaceae.org/gb/gbrowse/malus_x_domestica/?name=MDP0000231432","MDP0000231432")</f>
        <v>MDP0000231432</v>
      </c>
      <c r="D13022">
        <v>76.069999999999993</v>
      </c>
      <c r="E13022">
        <v>418</v>
      </c>
      <c r="F13022">
        <v>100</v>
      </c>
      <c r="G13022">
        <v>3</v>
      </c>
      <c r="H13022">
        <v>1</v>
      </c>
      <c r="I13022">
        <v>415</v>
      </c>
      <c r="J13022">
        <v>1</v>
      </c>
      <c r="K13022">
        <v>1</v>
      </c>
      <c r="L13022">
        <v>418</v>
      </c>
      <c r="M13022">
        <v>1</v>
      </c>
      <c r="N13022">
        <v>0</v>
      </c>
      <c r="O13022">
        <v>1641</v>
      </c>
    </row>
    <row r="13023" spans="1:15" x14ac:dyDescent="0.25">
      <c r="A13023" t="s">
        <v>13036</v>
      </c>
      <c r="B13023">
        <v>640</v>
      </c>
      <c r="C13023" s="1" t="str">
        <f>HYPERLINK("http://www.rosaceae.org/gb/gbrowse/malus_x_domestica/?name=MDP0000317119","MDP0000317119")</f>
        <v>MDP0000317119</v>
      </c>
      <c r="D13023">
        <v>61.67</v>
      </c>
      <c r="E13023">
        <v>501</v>
      </c>
      <c r="F13023">
        <v>192</v>
      </c>
      <c r="G13023">
        <v>52</v>
      </c>
      <c r="H13023">
        <v>175</v>
      </c>
      <c r="I13023">
        <v>624</v>
      </c>
      <c r="J13023">
        <v>1</v>
      </c>
      <c r="K13023">
        <v>45</v>
      </c>
      <c r="L13023">
        <v>544</v>
      </c>
      <c r="M13023">
        <v>1</v>
      </c>
      <c r="N13023">
        <v>0</v>
      </c>
      <c r="O13023">
        <v>1637</v>
      </c>
    </row>
    <row r="13024" spans="1:15" x14ac:dyDescent="0.25">
      <c r="A13024" t="s">
        <v>13037</v>
      </c>
      <c r="B13024">
        <v>208</v>
      </c>
      <c r="C13024" s="1" t="str">
        <f>HYPERLINK("http://www.rosaceae.org/gb/gbrowse/malus_x_domestica/?name=MDP0000951959","MDP0000951959")</f>
        <v>MDP0000951959</v>
      </c>
      <c r="D13024">
        <v>75.349999999999994</v>
      </c>
      <c r="E13024">
        <v>211</v>
      </c>
      <c r="F13024">
        <v>52</v>
      </c>
      <c r="G13024">
        <v>3</v>
      </c>
      <c r="H13024">
        <v>1</v>
      </c>
      <c r="I13024">
        <v>208</v>
      </c>
      <c r="J13024">
        <v>1</v>
      </c>
      <c r="K13024">
        <v>1</v>
      </c>
      <c r="L13024">
        <v>211</v>
      </c>
      <c r="M13024">
        <v>1</v>
      </c>
      <c r="N13024">
        <v>2.8669599999999998E-91</v>
      </c>
      <c r="O13024">
        <v>849</v>
      </c>
    </row>
    <row r="13025" spans="1:15" x14ac:dyDescent="0.25">
      <c r="A13025" t="s">
        <v>13038</v>
      </c>
      <c r="B13025">
        <v>407</v>
      </c>
      <c r="C13025" s="1" t="str">
        <f>HYPERLINK("http://www.rosaceae.org/gb/gbrowse/malus_x_domestica/?name=MDP0000272980","MDP0000272980")</f>
        <v>MDP0000272980</v>
      </c>
      <c r="D13025">
        <v>60.55</v>
      </c>
      <c r="E13025">
        <v>109</v>
      </c>
      <c r="F13025">
        <v>43</v>
      </c>
      <c r="G13025">
        <v>13</v>
      </c>
      <c r="H13025">
        <v>89</v>
      </c>
      <c r="I13025">
        <v>184</v>
      </c>
      <c r="J13025">
        <v>1</v>
      </c>
      <c r="K13025">
        <v>170</v>
      </c>
      <c r="L13025">
        <v>278</v>
      </c>
      <c r="M13025">
        <v>1</v>
      </c>
      <c r="N13025">
        <v>1.4808199999999999E-28</v>
      </c>
      <c r="O13025">
        <v>312</v>
      </c>
    </row>
    <row r="13026" spans="1:15" x14ac:dyDescent="0.25">
      <c r="A13026" t="s">
        <v>13039</v>
      </c>
      <c r="B13026">
        <v>454</v>
      </c>
      <c r="C13026" s="1" t="str">
        <f>HYPERLINK("http://www.rosaceae.org/gb/gbrowse/malus_x_domestica/?name=MDP0000188329","MDP0000188329")</f>
        <v>MDP0000188329</v>
      </c>
      <c r="D13026">
        <v>28.71</v>
      </c>
      <c r="E13026">
        <v>202</v>
      </c>
      <c r="F13026">
        <v>144</v>
      </c>
      <c r="G13026">
        <v>16</v>
      </c>
      <c r="H13026">
        <v>109</v>
      </c>
      <c r="I13026">
        <v>302</v>
      </c>
      <c r="J13026">
        <v>1</v>
      </c>
      <c r="K13026">
        <v>4</v>
      </c>
      <c r="L13026">
        <v>197</v>
      </c>
      <c r="M13026">
        <v>1</v>
      </c>
      <c r="N13026">
        <v>3.0861799999999999E-16</v>
      </c>
      <c r="O13026">
        <v>206</v>
      </c>
    </row>
    <row r="13027" spans="1:15" x14ac:dyDescent="0.25">
      <c r="A13027" t="s">
        <v>13040</v>
      </c>
      <c r="B13027">
        <v>139</v>
      </c>
      <c r="C13027" s="1" t="str">
        <f>HYPERLINK("http://www.rosaceae.org/gb/gbrowse/malus_x_domestica/?name=MDP0000518858","MDP0000518858")</f>
        <v>MDP0000518858</v>
      </c>
      <c r="D13027">
        <v>58.27</v>
      </c>
      <c r="E13027">
        <v>151</v>
      </c>
      <c r="F13027">
        <v>63</v>
      </c>
      <c r="G13027">
        <v>13</v>
      </c>
      <c r="H13027">
        <v>1</v>
      </c>
      <c r="I13027">
        <v>139</v>
      </c>
      <c r="J13027">
        <v>1</v>
      </c>
      <c r="K13027">
        <v>1</v>
      </c>
      <c r="L13027">
        <v>150</v>
      </c>
      <c r="M13027">
        <v>1</v>
      </c>
      <c r="N13027">
        <v>1.5344299999999999E-37</v>
      </c>
      <c r="O13027">
        <v>382</v>
      </c>
    </row>
    <row r="13028" spans="1:15" x14ac:dyDescent="0.25">
      <c r="A13028" t="s">
        <v>13041</v>
      </c>
      <c r="B13028">
        <v>387</v>
      </c>
      <c r="C13028" s="1" t="str">
        <f>HYPERLINK("http://www.rosaceae.org/gb/gbrowse/malus_x_domestica/?name=MDP0000215814","MDP0000215814")</f>
        <v>MDP0000215814</v>
      </c>
      <c r="D13028">
        <v>73.36</v>
      </c>
      <c r="E13028">
        <v>229</v>
      </c>
      <c r="F13028">
        <v>61</v>
      </c>
      <c r="G13028">
        <v>5</v>
      </c>
      <c r="H13028">
        <v>161</v>
      </c>
      <c r="I13028">
        <v>387</v>
      </c>
      <c r="J13028">
        <v>1</v>
      </c>
      <c r="K13028">
        <v>66</v>
      </c>
      <c r="L13028">
        <v>291</v>
      </c>
      <c r="M13028">
        <v>1</v>
      </c>
      <c r="N13028">
        <v>2.6190600000000003E-94</v>
      </c>
      <c r="O13028">
        <v>879</v>
      </c>
    </row>
    <row r="13029" spans="1:15" x14ac:dyDescent="0.25">
      <c r="A13029" t="s">
        <v>13042</v>
      </c>
      <c r="B13029">
        <v>112</v>
      </c>
      <c r="C13029" s="1" t="str">
        <f>HYPERLINK("http://www.rosaceae.org/gb/gbrowse/malus_x_domestica/?name=MDP0000321097","MDP0000321097")</f>
        <v>MDP0000321097</v>
      </c>
      <c r="D13029">
        <v>59.29</v>
      </c>
      <c r="E13029">
        <v>113</v>
      </c>
      <c r="F13029">
        <v>46</v>
      </c>
      <c r="G13029">
        <v>10</v>
      </c>
      <c r="H13029">
        <v>1</v>
      </c>
      <c r="I13029">
        <v>111</v>
      </c>
      <c r="J13029">
        <v>1</v>
      </c>
      <c r="K13029">
        <v>1</v>
      </c>
      <c r="L13029">
        <v>105</v>
      </c>
      <c r="M13029">
        <v>1</v>
      </c>
      <c r="N13029">
        <v>1.1887500000000001E-24</v>
      </c>
      <c r="O13029">
        <v>270</v>
      </c>
    </row>
    <row r="13030" spans="1:15" x14ac:dyDescent="0.25">
      <c r="A13030" t="s">
        <v>13043</v>
      </c>
      <c r="B13030">
        <v>271</v>
      </c>
      <c r="C13030" s="1" t="str">
        <f>HYPERLINK("http://www.rosaceae.org/gb/gbrowse/malus_x_domestica/?name=MDP0000241358","MDP0000241358")</f>
        <v>MDP0000241358</v>
      </c>
      <c r="D13030">
        <v>47.74</v>
      </c>
      <c r="E13030">
        <v>222</v>
      </c>
      <c r="F13030">
        <v>116</v>
      </c>
      <c r="G13030">
        <v>49</v>
      </c>
      <c r="H13030">
        <v>88</v>
      </c>
      <c r="I13030">
        <v>271</v>
      </c>
      <c r="J13030">
        <v>1</v>
      </c>
      <c r="K13030">
        <v>3</v>
      </c>
      <c r="L13030">
        <v>213</v>
      </c>
      <c r="M13030">
        <v>1</v>
      </c>
      <c r="N13030">
        <v>2.70532E-39</v>
      </c>
      <c r="O13030">
        <v>402</v>
      </c>
    </row>
    <row r="13031" spans="1:15" x14ac:dyDescent="0.25">
      <c r="A13031" t="s">
        <v>13044</v>
      </c>
      <c r="B13031">
        <v>414</v>
      </c>
      <c r="C13031" s="1" t="str">
        <f>HYPERLINK("http://www.rosaceae.org/gb/gbrowse/malus_x_domestica/?name=MDP0000150985","MDP0000150985")</f>
        <v>MDP0000150985</v>
      </c>
      <c r="D13031">
        <v>68.209999999999994</v>
      </c>
      <c r="E13031">
        <v>387</v>
      </c>
      <c r="F13031">
        <v>123</v>
      </c>
      <c r="G13031">
        <v>17</v>
      </c>
      <c r="H13031">
        <v>40</v>
      </c>
      <c r="I13031">
        <v>410</v>
      </c>
      <c r="J13031">
        <v>1</v>
      </c>
      <c r="K13031">
        <v>1</v>
      </c>
      <c r="L13031">
        <v>386</v>
      </c>
      <c r="M13031">
        <v>1</v>
      </c>
      <c r="N13031">
        <v>3.10372E-145</v>
      </c>
      <c r="O13031">
        <v>1318</v>
      </c>
    </row>
    <row r="13032" spans="1:15" x14ac:dyDescent="0.25">
      <c r="A13032" t="s">
        <v>13045</v>
      </c>
      <c r="B13032">
        <v>131</v>
      </c>
      <c r="C13032" s="1" t="str">
        <f>HYPERLINK("http://www.rosaceae.org/gb/gbrowse/malus_x_domestica/?name=MDP0000225251","MDP0000225251")</f>
        <v>MDP0000225251</v>
      </c>
      <c r="D13032">
        <v>85.49</v>
      </c>
      <c r="E13032">
        <v>131</v>
      </c>
      <c r="F13032">
        <v>19</v>
      </c>
      <c r="G13032">
        <v>1</v>
      </c>
      <c r="H13032">
        <v>1</v>
      </c>
      <c r="I13032">
        <v>131</v>
      </c>
      <c r="J13032">
        <v>1</v>
      </c>
      <c r="K13032">
        <v>1</v>
      </c>
      <c r="L13032">
        <v>130</v>
      </c>
      <c r="M13032">
        <v>1</v>
      </c>
      <c r="N13032">
        <v>2.8413899999999999E-60</v>
      </c>
      <c r="O13032">
        <v>578</v>
      </c>
    </row>
    <row r="13033" spans="1:15" x14ac:dyDescent="0.25">
      <c r="A13033" t="s">
        <v>13046</v>
      </c>
      <c r="B13033">
        <v>126</v>
      </c>
      <c r="C13033" s="1" t="str">
        <f>HYPERLINK("http://www.rosaceae.org/gb/gbrowse/malus_x_domestica/?name=MDP0000262289","MDP0000262289")</f>
        <v>MDP0000262289</v>
      </c>
      <c r="D13033">
        <v>67.180000000000007</v>
      </c>
      <c r="E13033">
        <v>64</v>
      </c>
      <c r="F13033">
        <v>21</v>
      </c>
      <c r="G13033">
        <v>2</v>
      </c>
      <c r="H13033">
        <v>1</v>
      </c>
      <c r="I13033">
        <v>63</v>
      </c>
      <c r="J13033">
        <v>1</v>
      </c>
      <c r="K13033">
        <v>1</v>
      </c>
      <c r="L13033">
        <v>63</v>
      </c>
      <c r="M13033">
        <v>1</v>
      </c>
      <c r="N13033">
        <v>2.4660600000000001E-15</v>
      </c>
      <c r="O13033">
        <v>190</v>
      </c>
    </row>
    <row r="13034" spans="1:15" x14ac:dyDescent="0.25">
      <c r="A13034" t="s">
        <v>13047</v>
      </c>
      <c r="B13034">
        <v>203</v>
      </c>
      <c r="C13034" s="1" t="str">
        <f>HYPERLINK("http://www.rosaceae.org/gb/gbrowse/malus_x_domestica/?name=MDP0000406379","MDP0000406379")</f>
        <v>MDP0000406379</v>
      </c>
      <c r="D13034">
        <v>57.57</v>
      </c>
      <c r="E13034">
        <v>66</v>
      </c>
      <c r="F13034">
        <v>28</v>
      </c>
      <c r="G13034">
        <v>2</v>
      </c>
      <c r="H13034">
        <v>77</v>
      </c>
      <c r="I13034">
        <v>142</v>
      </c>
      <c r="J13034">
        <v>1</v>
      </c>
      <c r="K13034">
        <v>220</v>
      </c>
      <c r="L13034">
        <v>283</v>
      </c>
      <c r="M13034">
        <v>1</v>
      </c>
      <c r="N13034">
        <v>6.3144300000000005E-14</v>
      </c>
      <c r="O13034">
        <v>182</v>
      </c>
    </row>
    <row r="13035" spans="1:15" x14ac:dyDescent="0.25">
      <c r="A13035" t="s">
        <v>13048</v>
      </c>
      <c r="B13035">
        <v>207</v>
      </c>
      <c r="C13035" s="1" t="str">
        <f>HYPERLINK("http://www.rosaceae.org/gb/gbrowse/malus_x_domestica/?name=MDP0000198630","MDP0000198630")</f>
        <v>MDP0000198630</v>
      </c>
      <c r="D13035">
        <v>55</v>
      </c>
      <c r="E13035">
        <v>80</v>
      </c>
      <c r="F13035">
        <v>36</v>
      </c>
      <c r="G13035">
        <v>8</v>
      </c>
      <c r="H13035">
        <v>18</v>
      </c>
      <c r="I13035">
        <v>97</v>
      </c>
      <c r="J13035">
        <v>1</v>
      </c>
      <c r="K13035">
        <v>1</v>
      </c>
      <c r="L13035">
        <v>72</v>
      </c>
      <c r="M13035">
        <v>1</v>
      </c>
      <c r="N13035">
        <v>7.5740599999999999E-18</v>
      </c>
      <c r="O13035">
        <v>216</v>
      </c>
    </row>
    <row r="13036" spans="1:15" x14ac:dyDescent="0.25">
      <c r="A13036" t="s">
        <v>13049</v>
      </c>
      <c r="B13036">
        <v>315</v>
      </c>
      <c r="C13036" s="1" t="str">
        <f>HYPERLINK("http://www.rosaceae.org/gb/gbrowse/malus_x_domestica/?name=MDP0000262916","MDP0000262916")</f>
        <v>MDP0000262916</v>
      </c>
      <c r="D13036">
        <v>28.9</v>
      </c>
      <c r="E13036">
        <v>128</v>
      </c>
      <c r="F13036">
        <v>91</v>
      </c>
      <c r="G13036">
        <v>3</v>
      </c>
      <c r="H13036">
        <v>183</v>
      </c>
      <c r="I13036">
        <v>310</v>
      </c>
      <c r="J13036">
        <v>1</v>
      </c>
      <c r="K13036">
        <v>7</v>
      </c>
      <c r="L13036">
        <v>131</v>
      </c>
      <c r="M13036">
        <v>1</v>
      </c>
      <c r="N13036">
        <v>7.4081399999999998E-10</v>
      </c>
      <c r="O13036">
        <v>149</v>
      </c>
    </row>
    <row r="13037" spans="1:15" x14ac:dyDescent="0.25">
      <c r="A13037" t="s">
        <v>13050</v>
      </c>
      <c r="B13037">
        <v>272</v>
      </c>
      <c r="C13037" s="1" t="str">
        <f>HYPERLINK("http://www.rosaceae.org/gb/gbrowse/malus_x_domestica/?name=MDP0000145050","MDP0000145050")</f>
        <v>MDP0000145050</v>
      </c>
      <c r="D13037">
        <v>61.39</v>
      </c>
      <c r="E13037">
        <v>272</v>
      </c>
      <c r="F13037">
        <v>105</v>
      </c>
      <c r="G13037">
        <v>13</v>
      </c>
      <c r="H13037">
        <v>1</v>
      </c>
      <c r="I13037">
        <v>269</v>
      </c>
      <c r="J13037">
        <v>1</v>
      </c>
      <c r="K13037">
        <v>1</v>
      </c>
      <c r="L13037">
        <v>262</v>
      </c>
      <c r="M13037">
        <v>1</v>
      </c>
      <c r="N13037">
        <v>6.6121500000000001E-85</v>
      </c>
      <c r="O13037">
        <v>796</v>
      </c>
    </row>
    <row r="13038" spans="1:15" x14ac:dyDescent="0.25">
      <c r="A13038" t="s">
        <v>13051</v>
      </c>
      <c r="B13038">
        <v>141</v>
      </c>
      <c r="C13038" s="1" t="str">
        <f>HYPERLINK("http://www.rosaceae.org/gb/gbrowse/malus_x_domestica/?name=MDP0000298660","MDP0000298660")</f>
        <v>MDP0000298660</v>
      </c>
      <c r="D13038">
        <v>65.41</v>
      </c>
      <c r="E13038">
        <v>133</v>
      </c>
      <c r="F13038">
        <v>46</v>
      </c>
      <c r="G13038">
        <v>9</v>
      </c>
      <c r="H13038">
        <v>1</v>
      </c>
      <c r="I13038">
        <v>125</v>
      </c>
      <c r="J13038">
        <v>1</v>
      </c>
      <c r="K13038">
        <v>563</v>
      </c>
      <c r="L13038">
        <v>694</v>
      </c>
      <c r="M13038">
        <v>1</v>
      </c>
      <c r="N13038">
        <v>2.3066900000000001E-44</v>
      </c>
      <c r="O13038">
        <v>441</v>
      </c>
    </row>
    <row r="13039" spans="1:15" x14ac:dyDescent="0.25">
      <c r="A13039" t="s">
        <v>13052</v>
      </c>
      <c r="B13039">
        <v>722</v>
      </c>
      <c r="C13039" s="1" t="str">
        <f>HYPERLINK("http://www.rosaceae.org/gb/gbrowse/malus_x_domestica/?name=MDP0000217893","MDP0000217893")</f>
        <v>MDP0000217893</v>
      </c>
      <c r="D13039">
        <v>81.599999999999994</v>
      </c>
      <c r="E13039">
        <v>734</v>
      </c>
      <c r="F13039">
        <v>135</v>
      </c>
      <c r="G13039">
        <v>22</v>
      </c>
      <c r="H13039">
        <v>1</v>
      </c>
      <c r="I13039">
        <v>722</v>
      </c>
      <c r="J13039">
        <v>1</v>
      </c>
      <c r="K13039">
        <v>1</v>
      </c>
      <c r="L13039">
        <v>724</v>
      </c>
      <c r="M13039">
        <v>1</v>
      </c>
      <c r="N13039">
        <v>0</v>
      </c>
      <c r="O13039">
        <v>3129</v>
      </c>
    </row>
    <row r="13040" spans="1:15" x14ac:dyDescent="0.25">
      <c r="A13040" t="s">
        <v>13053</v>
      </c>
      <c r="B13040">
        <v>963</v>
      </c>
      <c r="C13040" s="1" t="str">
        <f>HYPERLINK("http://www.rosaceae.org/gb/gbrowse/malus_x_domestica/?name=MDP0000233149","MDP0000233149")</f>
        <v>MDP0000233149</v>
      </c>
      <c r="D13040">
        <v>74.37</v>
      </c>
      <c r="E13040">
        <v>925</v>
      </c>
      <c r="F13040">
        <v>237</v>
      </c>
      <c r="G13040">
        <v>70</v>
      </c>
      <c r="H13040">
        <v>82</v>
      </c>
      <c r="I13040">
        <v>942</v>
      </c>
      <c r="J13040">
        <v>1</v>
      </c>
      <c r="K13040">
        <v>1</v>
      </c>
      <c r="L13040">
        <v>919</v>
      </c>
      <c r="M13040">
        <v>1</v>
      </c>
      <c r="N13040">
        <v>0</v>
      </c>
      <c r="O13040">
        <v>3294</v>
      </c>
    </row>
    <row r="13041" spans="1:15" x14ac:dyDescent="0.25">
      <c r="A13041" t="s">
        <v>13054</v>
      </c>
      <c r="B13041">
        <v>1096</v>
      </c>
      <c r="C13041" s="1" t="str">
        <f>HYPERLINK("http://www.rosaceae.org/gb/gbrowse/malus_x_domestica/?name=MDP0000248086","MDP0000248086")</f>
        <v>MDP0000248086</v>
      </c>
      <c r="D13041">
        <v>53.47</v>
      </c>
      <c r="E13041">
        <v>647</v>
      </c>
      <c r="F13041">
        <v>301</v>
      </c>
      <c r="G13041">
        <v>41</v>
      </c>
      <c r="H13041">
        <v>154</v>
      </c>
      <c r="I13041">
        <v>793</v>
      </c>
      <c r="J13041">
        <v>1</v>
      </c>
      <c r="K13041">
        <v>193</v>
      </c>
      <c r="L13041">
        <v>805</v>
      </c>
      <c r="M13041">
        <v>1</v>
      </c>
      <c r="N13041">
        <v>1.47099E-168</v>
      </c>
      <c r="O13041">
        <v>1523</v>
      </c>
    </row>
    <row r="13042" spans="1:15" x14ac:dyDescent="0.25">
      <c r="A13042" t="s">
        <v>13055</v>
      </c>
      <c r="B13042">
        <v>329</v>
      </c>
      <c r="C13042" s="1" t="str">
        <f>HYPERLINK("http://www.rosaceae.org/gb/gbrowse/malus_x_domestica/?name=MDP0000312793","MDP0000312793")</f>
        <v>MDP0000312793</v>
      </c>
      <c r="D13042">
        <v>33.979999999999997</v>
      </c>
      <c r="E13042">
        <v>153</v>
      </c>
      <c r="F13042">
        <v>101</v>
      </c>
      <c r="G13042">
        <v>30</v>
      </c>
      <c r="H13042">
        <v>148</v>
      </c>
      <c r="I13042">
        <v>270</v>
      </c>
      <c r="J13042">
        <v>1</v>
      </c>
      <c r="K13042">
        <v>315</v>
      </c>
      <c r="L13042">
        <v>467</v>
      </c>
      <c r="M13042">
        <v>1</v>
      </c>
      <c r="N13042">
        <v>5.1109899999999999E-15</v>
      </c>
      <c r="O13042">
        <v>194</v>
      </c>
    </row>
    <row r="13043" spans="1:15" x14ac:dyDescent="0.25">
      <c r="A13043" t="s">
        <v>13056</v>
      </c>
      <c r="B13043">
        <v>125</v>
      </c>
      <c r="C13043" s="1" t="str">
        <f>HYPERLINK("http://www.rosaceae.org/gb/gbrowse/malus_x_domestica/?name=MDP0000276609","MDP0000276609")</f>
        <v>MDP0000276609</v>
      </c>
      <c r="D13043">
        <v>38.83</v>
      </c>
      <c r="E13043">
        <v>103</v>
      </c>
      <c r="F13043">
        <v>63</v>
      </c>
      <c r="G13043">
        <v>6</v>
      </c>
      <c r="H13043">
        <v>9</v>
      </c>
      <c r="I13043">
        <v>110</v>
      </c>
      <c r="J13043">
        <v>1</v>
      </c>
      <c r="K13043">
        <v>291</v>
      </c>
      <c r="L13043">
        <v>388</v>
      </c>
      <c r="M13043">
        <v>1</v>
      </c>
      <c r="N13043">
        <v>4.5152999999999996E-16</v>
      </c>
      <c r="O13043">
        <v>196</v>
      </c>
    </row>
    <row r="13044" spans="1:15" x14ac:dyDescent="0.25">
      <c r="A13044" t="s">
        <v>13057</v>
      </c>
      <c r="B13044">
        <v>399</v>
      </c>
      <c r="C13044" s="1" t="str">
        <f>HYPERLINK("http://www.rosaceae.org/gb/gbrowse/malus_x_domestica/?name=MDP0000270344","MDP0000270344")</f>
        <v>MDP0000270344</v>
      </c>
      <c r="D13044">
        <v>76.709999999999994</v>
      </c>
      <c r="E13044">
        <v>378</v>
      </c>
      <c r="F13044">
        <v>88</v>
      </c>
      <c r="G13044">
        <v>8</v>
      </c>
      <c r="H13044">
        <v>22</v>
      </c>
      <c r="I13044">
        <v>399</v>
      </c>
      <c r="J13044">
        <v>1</v>
      </c>
      <c r="K13044">
        <v>147</v>
      </c>
      <c r="L13044">
        <v>516</v>
      </c>
      <c r="M13044">
        <v>1</v>
      </c>
      <c r="N13044">
        <v>1.5418100000000001E-170</v>
      </c>
      <c r="O13044">
        <v>1536</v>
      </c>
    </row>
    <row r="13045" spans="1:15" x14ac:dyDescent="0.25">
      <c r="A13045" t="s">
        <v>13058</v>
      </c>
      <c r="B13045">
        <v>249</v>
      </c>
      <c r="C13045" s="1" t="str">
        <f>HYPERLINK("http://www.rosaceae.org/gb/gbrowse/malus_x_domestica/?name=MDP0000288465","MDP0000288465")</f>
        <v>MDP0000288465</v>
      </c>
      <c r="D13045">
        <v>47.57</v>
      </c>
      <c r="E13045">
        <v>309</v>
      </c>
      <c r="F13045">
        <v>162</v>
      </c>
      <c r="G13045">
        <v>65</v>
      </c>
      <c r="H13045">
        <v>1</v>
      </c>
      <c r="I13045">
        <v>247</v>
      </c>
      <c r="J13045">
        <v>1</v>
      </c>
      <c r="K13045">
        <v>11</v>
      </c>
      <c r="L13045">
        <v>316</v>
      </c>
      <c r="M13045">
        <v>1</v>
      </c>
      <c r="N13045">
        <v>3.6452800000000002E-62</v>
      </c>
      <c r="O13045">
        <v>599</v>
      </c>
    </row>
    <row r="13046" spans="1:15" x14ac:dyDescent="0.25">
      <c r="A13046" t="s">
        <v>13059</v>
      </c>
      <c r="B13046">
        <v>447</v>
      </c>
      <c r="C13046" s="1" t="str">
        <f>HYPERLINK("http://www.rosaceae.org/gb/gbrowse/malus_x_domestica/?name=MDP0000258933","MDP0000258933")</f>
        <v>MDP0000258933</v>
      </c>
      <c r="D13046">
        <v>64.39</v>
      </c>
      <c r="E13046">
        <v>469</v>
      </c>
      <c r="F13046">
        <v>167</v>
      </c>
      <c r="G13046">
        <v>80</v>
      </c>
      <c r="H13046">
        <v>1</v>
      </c>
      <c r="I13046">
        <v>399</v>
      </c>
      <c r="J13046">
        <v>1</v>
      </c>
      <c r="K13046">
        <v>33</v>
      </c>
      <c r="L13046">
        <v>491</v>
      </c>
      <c r="M13046">
        <v>1</v>
      </c>
      <c r="N13046">
        <v>3.7305999999999996E-155</v>
      </c>
      <c r="O13046">
        <v>1404</v>
      </c>
    </row>
    <row r="13047" spans="1:15" x14ac:dyDescent="0.25">
      <c r="A13047" t="s">
        <v>13060</v>
      </c>
      <c r="B13047">
        <v>645</v>
      </c>
      <c r="C13047" s="1" t="str">
        <f>HYPERLINK("http://www.rosaceae.org/gb/gbrowse/malus_x_domestica/?name=MDP0000122981","MDP0000122981")</f>
        <v>MDP0000122981</v>
      </c>
      <c r="D13047">
        <v>75.900000000000006</v>
      </c>
      <c r="E13047">
        <v>660</v>
      </c>
      <c r="F13047">
        <v>159</v>
      </c>
      <c r="G13047">
        <v>21</v>
      </c>
      <c r="H13047">
        <v>1</v>
      </c>
      <c r="I13047">
        <v>644</v>
      </c>
      <c r="J13047">
        <v>1</v>
      </c>
      <c r="K13047">
        <v>1</v>
      </c>
      <c r="L13047">
        <v>655</v>
      </c>
      <c r="M13047">
        <v>1</v>
      </c>
      <c r="N13047">
        <v>0</v>
      </c>
      <c r="O13047">
        <v>2609</v>
      </c>
    </row>
    <row r="13048" spans="1:15" x14ac:dyDescent="0.25">
      <c r="A13048" t="s">
        <v>13061</v>
      </c>
      <c r="B13048">
        <v>348</v>
      </c>
      <c r="C13048" s="1" t="str">
        <f>HYPERLINK("http://www.rosaceae.org/gb/gbrowse/malus_x_domestica/?name=MDP0000254258","MDP0000254258")</f>
        <v>MDP0000254258</v>
      </c>
      <c r="D13048">
        <v>75.97</v>
      </c>
      <c r="E13048">
        <v>308</v>
      </c>
      <c r="F13048">
        <v>74</v>
      </c>
      <c r="G13048">
        <v>10</v>
      </c>
      <c r="H13048">
        <v>44</v>
      </c>
      <c r="I13048">
        <v>348</v>
      </c>
      <c r="J13048">
        <v>1</v>
      </c>
      <c r="K13048">
        <v>1</v>
      </c>
      <c r="L13048">
        <v>301</v>
      </c>
      <c r="M13048">
        <v>1</v>
      </c>
      <c r="N13048">
        <v>7.3039900000000005E-128</v>
      </c>
      <c r="O13048">
        <v>1167</v>
      </c>
    </row>
    <row r="13049" spans="1:15" x14ac:dyDescent="0.25">
      <c r="A13049" t="s">
        <v>13062</v>
      </c>
      <c r="B13049">
        <v>401</v>
      </c>
      <c r="C13049" s="1" t="str">
        <f>HYPERLINK("http://www.rosaceae.org/gb/gbrowse/malus_x_domestica/?name=MDP0000724504","MDP0000724504")</f>
        <v>MDP0000724504</v>
      </c>
      <c r="D13049">
        <v>82.89</v>
      </c>
      <c r="E13049">
        <v>152</v>
      </c>
      <c r="F13049">
        <v>26</v>
      </c>
      <c r="G13049">
        <v>0</v>
      </c>
      <c r="H13049">
        <v>126</v>
      </c>
      <c r="I13049">
        <v>277</v>
      </c>
      <c r="J13049">
        <v>1</v>
      </c>
      <c r="K13049">
        <v>1</v>
      </c>
      <c r="L13049">
        <v>152</v>
      </c>
      <c r="M13049">
        <v>1</v>
      </c>
      <c r="N13049">
        <v>1.00092E-72</v>
      </c>
      <c r="O13049">
        <v>693</v>
      </c>
    </row>
    <row r="13050" spans="1:15" x14ac:dyDescent="0.25">
      <c r="A13050" t="s">
        <v>13063</v>
      </c>
      <c r="B13050">
        <v>343</v>
      </c>
      <c r="C13050" s="1" t="str">
        <f>HYPERLINK("http://www.rosaceae.org/gb/gbrowse/malus_x_domestica/?name=MDP0000496792","MDP0000496792")</f>
        <v>MDP0000496792</v>
      </c>
      <c r="D13050">
        <v>73.150000000000006</v>
      </c>
      <c r="E13050">
        <v>190</v>
      </c>
      <c r="F13050">
        <v>51</v>
      </c>
      <c r="G13050">
        <v>6</v>
      </c>
      <c r="H13050">
        <v>160</v>
      </c>
      <c r="I13050">
        <v>343</v>
      </c>
      <c r="J13050">
        <v>1</v>
      </c>
      <c r="K13050">
        <v>128</v>
      </c>
      <c r="L13050">
        <v>317</v>
      </c>
      <c r="M13050">
        <v>1</v>
      </c>
      <c r="N13050">
        <v>7.70206E-75</v>
      </c>
      <c r="O13050">
        <v>710</v>
      </c>
    </row>
    <row r="13051" spans="1:15" x14ac:dyDescent="0.25">
      <c r="A13051" t="s">
        <v>13064</v>
      </c>
      <c r="B13051">
        <v>708</v>
      </c>
      <c r="C13051" s="1" t="str">
        <f>HYPERLINK("http://www.rosaceae.org/gb/gbrowse/malus_x_domestica/?name=MDP0000274998","MDP0000274998")</f>
        <v>MDP0000274998</v>
      </c>
      <c r="D13051">
        <v>57.97</v>
      </c>
      <c r="E13051">
        <v>69</v>
      </c>
      <c r="F13051">
        <v>29</v>
      </c>
      <c r="G13051">
        <v>2</v>
      </c>
      <c r="H13051">
        <v>640</v>
      </c>
      <c r="I13051">
        <v>708</v>
      </c>
      <c r="J13051">
        <v>1</v>
      </c>
      <c r="K13051">
        <v>1</v>
      </c>
      <c r="L13051">
        <v>67</v>
      </c>
      <c r="M13051">
        <v>1</v>
      </c>
      <c r="N13051">
        <v>1.2877299999999999E-15</v>
      </c>
      <c r="O13051">
        <v>203</v>
      </c>
    </row>
    <row r="13052" spans="1:15" x14ac:dyDescent="0.25">
      <c r="A13052" t="s">
        <v>13065</v>
      </c>
      <c r="B13052">
        <v>306</v>
      </c>
      <c r="C13052" s="1" t="str">
        <f>HYPERLINK("http://www.rosaceae.org/gb/gbrowse/malus_x_domestica/?name=MDP0000301857","MDP0000301857")</f>
        <v>MDP0000301857</v>
      </c>
      <c r="D13052">
        <v>74.45</v>
      </c>
      <c r="E13052">
        <v>184</v>
      </c>
      <c r="F13052">
        <v>47</v>
      </c>
      <c r="G13052">
        <v>3</v>
      </c>
      <c r="H13052">
        <v>125</v>
      </c>
      <c r="I13052">
        <v>305</v>
      </c>
      <c r="J13052">
        <v>1</v>
      </c>
      <c r="K13052">
        <v>158</v>
      </c>
      <c r="L13052">
        <v>341</v>
      </c>
      <c r="M13052">
        <v>1</v>
      </c>
      <c r="N13052">
        <v>2.0755400000000001E-76</v>
      </c>
      <c r="O13052">
        <v>723</v>
      </c>
    </row>
    <row r="13053" spans="1:15" x14ac:dyDescent="0.25">
      <c r="A13053" t="s">
        <v>13066</v>
      </c>
      <c r="B13053">
        <v>104</v>
      </c>
      <c r="C13053" s="1" t="str">
        <f>HYPERLINK("http://www.rosaceae.org/gb/gbrowse/malus_x_domestica/?name=MDP0000805790","MDP0000805790")</f>
        <v>MDP0000805790</v>
      </c>
      <c r="D13053">
        <v>57.27</v>
      </c>
      <c r="E13053">
        <v>110</v>
      </c>
      <c r="F13053">
        <v>47</v>
      </c>
      <c r="G13053">
        <v>10</v>
      </c>
      <c r="H13053">
        <v>1</v>
      </c>
      <c r="I13053">
        <v>104</v>
      </c>
      <c r="J13053">
        <v>1</v>
      </c>
      <c r="K13053">
        <v>1</v>
      </c>
      <c r="L13053">
        <v>106</v>
      </c>
      <c r="M13053">
        <v>1</v>
      </c>
      <c r="N13053">
        <v>4.3725899999999998E-22</v>
      </c>
      <c r="O13053">
        <v>248</v>
      </c>
    </row>
    <row r="13054" spans="1:15" x14ac:dyDescent="0.25">
      <c r="A13054" t="s">
        <v>13067</v>
      </c>
      <c r="B13054">
        <v>525</v>
      </c>
      <c r="C13054" s="1" t="str">
        <f>HYPERLINK("http://www.rosaceae.org/gb/gbrowse/malus_x_domestica/?name=MDP0000135680","MDP0000135680")</f>
        <v>MDP0000135680</v>
      </c>
      <c r="D13054">
        <v>76.430000000000007</v>
      </c>
      <c r="E13054">
        <v>539</v>
      </c>
      <c r="F13054">
        <v>127</v>
      </c>
      <c r="G13054">
        <v>18</v>
      </c>
      <c r="H13054">
        <v>1</v>
      </c>
      <c r="I13054">
        <v>523</v>
      </c>
      <c r="J13054">
        <v>1</v>
      </c>
      <c r="K13054">
        <v>1</v>
      </c>
      <c r="L13054">
        <v>537</v>
      </c>
      <c r="M13054">
        <v>1</v>
      </c>
      <c r="N13054">
        <v>0</v>
      </c>
      <c r="O13054">
        <v>2063</v>
      </c>
    </row>
    <row r="13055" spans="1:15" x14ac:dyDescent="0.25">
      <c r="A13055" t="s">
        <v>13068</v>
      </c>
      <c r="B13055">
        <v>871</v>
      </c>
      <c r="C13055" s="1" t="str">
        <f>HYPERLINK("http://www.rosaceae.org/gb/gbrowse/malus_x_domestica/?name=MDP0000160422","MDP0000160422")</f>
        <v>MDP0000160422</v>
      </c>
      <c r="D13055">
        <v>77.16</v>
      </c>
      <c r="E13055">
        <v>854</v>
      </c>
      <c r="F13055">
        <v>195</v>
      </c>
      <c r="G13055">
        <v>19</v>
      </c>
      <c r="H13055">
        <v>15</v>
      </c>
      <c r="I13055">
        <v>863</v>
      </c>
      <c r="J13055">
        <v>1</v>
      </c>
      <c r="K13055">
        <v>14</v>
      </c>
      <c r="L13055">
        <v>853</v>
      </c>
      <c r="M13055">
        <v>1</v>
      </c>
      <c r="N13055">
        <v>0</v>
      </c>
      <c r="O13055">
        <v>3408</v>
      </c>
    </row>
    <row r="13056" spans="1:15" x14ac:dyDescent="0.25">
      <c r="A13056" t="s">
        <v>13069</v>
      </c>
      <c r="B13056">
        <v>132</v>
      </c>
      <c r="C13056" s="1" t="str">
        <f>HYPERLINK("http://www.rosaceae.org/gb/gbrowse/malus_x_domestica/?name=MDP0000915810","MDP0000915810")</f>
        <v>MDP0000915810</v>
      </c>
      <c r="D13056">
        <v>48.09</v>
      </c>
      <c r="E13056">
        <v>131</v>
      </c>
      <c r="F13056">
        <v>68</v>
      </c>
      <c r="G13056">
        <v>13</v>
      </c>
      <c r="H13056">
        <v>2</v>
      </c>
      <c r="I13056">
        <v>132</v>
      </c>
      <c r="J13056">
        <v>1</v>
      </c>
      <c r="K13056">
        <v>142</v>
      </c>
      <c r="L13056">
        <v>259</v>
      </c>
      <c r="M13056">
        <v>1</v>
      </c>
      <c r="N13056">
        <v>1.9219799999999999E-28</v>
      </c>
      <c r="O13056">
        <v>303</v>
      </c>
    </row>
    <row r="13057" spans="1:15" x14ac:dyDescent="0.25">
      <c r="A13057" t="s">
        <v>13070</v>
      </c>
      <c r="B13057">
        <v>351</v>
      </c>
      <c r="C13057" s="1" t="str">
        <f>HYPERLINK("http://www.rosaceae.org/gb/gbrowse/malus_x_domestica/?name=MDP0000246926","MDP0000246926")</f>
        <v>MDP0000246926</v>
      </c>
      <c r="D13057">
        <v>62.17</v>
      </c>
      <c r="E13057">
        <v>193</v>
      </c>
      <c r="F13057">
        <v>73</v>
      </c>
      <c r="G13057">
        <v>1</v>
      </c>
      <c r="H13057">
        <v>1</v>
      </c>
      <c r="I13057">
        <v>192</v>
      </c>
      <c r="J13057">
        <v>1</v>
      </c>
      <c r="K13057">
        <v>1</v>
      </c>
      <c r="L13057">
        <v>193</v>
      </c>
      <c r="M13057">
        <v>1</v>
      </c>
      <c r="N13057">
        <v>7.7298999999999995E-61</v>
      </c>
      <c r="O13057">
        <v>589</v>
      </c>
    </row>
    <row r="13058" spans="1:15" x14ac:dyDescent="0.25">
      <c r="A13058" t="s">
        <v>13071</v>
      </c>
      <c r="B13058">
        <v>672</v>
      </c>
      <c r="C13058" s="1" t="str">
        <f>HYPERLINK("http://www.rosaceae.org/gb/gbrowse/malus_x_domestica/?name=MDP0000233123","MDP0000233123")</f>
        <v>MDP0000233123</v>
      </c>
      <c r="D13058">
        <v>70.489999999999995</v>
      </c>
      <c r="E13058">
        <v>444</v>
      </c>
      <c r="F13058">
        <v>131</v>
      </c>
      <c r="G13058">
        <v>51</v>
      </c>
      <c r="H13058">
        <v>3</v>
      </c>
      <c r="I13058">
        <v>429</v>
      </c>
      <c r="J13058">
        <v>1</v>
      </c>
      <c r="K13058">
        <v>4</v>
      </c>
      <c r="L13058">
        <v>413</v>
      </c>
      <c r="M13058">
        <v>1</v>
      </c>
      <c r="N13058">
        <v>1.8826400000000001E-179</v>
      </c>
      <c r="O13058">
        <v>1615</v>
      </c>
    </row>
    <row r="13059" spans="1:15" x14ac:dyDescent="0.25">
      <c r="A13059" t="s">
        <v>13072</v>
      </c>
      <c r="B13059">
        <v>170</v>
      </c>
      <c r="C13059" s="1" t="str">
        <f>HYPERLINK("http://www.rosaceae.org/gb/gbrowse/malus_x_domestica/?name=MDP0000243097","MDP0000243097")</f>
        <v>MDP0000243097</v>
      </c>
      <c r="D13059">
        <v>57.04</v>
      </c>
      <c r="E13059">
        <v>142</v>
      </c>
      <c r="F13059">
        <v>61</v>
      </c>
      <c r="G13059">
        <v>19</v>
      </c>
      <c r="H13059">
        <v>8</v>
      </c>
      <c r="I13059">
        <v>130</v>
      </c>
      <c r="J13059">
        <v>1</v>
      </c>
      <c r="K13059">
        <v>325</v>
      </c>
      <c r="L13059">
        <v>466</v>
      </c>
      <c r="M13059">
        <v>1</v>
      </c>
      <c r="N13059">
        <v>2.8108000000000001E-41</v>
      </c>
      <c r="O13059">
        <v>416</v>
      </c>
    </row>
    <row r="13060" spans="1:15" x14ac:dyDescent="0.25">
      <c r="A13060" t="s">
        <v>13073</v>
      </c>
      <c r="B13060">
        <v>303</v>
      </c>
      <c r="C13060" s="1" t="str">
        <f>HYPERLINK("http://www.rosaceae.org/gb/gbrowse/malus_x_domestica/?name=MDP0000197329","MDP0000197329")</f>
        <v>MDP0000197329</v>
      </c>
      <c r="D13060">
        <v>72.5</v>
      </c>
      <c r="E13060">
        <v>251</v>
      </c>
      <c r="F13060">
        <v>69</v>
      </c>
      <c r="G13060">
        <v>44</v>
      </c>
      <c r="H13060">
        <v>53</v>
      </c>
      <c r="I13060">
        <v>303</v>
      </c>
      <c r="J13060">
        <v>1</v>
      </c>
      <c r="K13060">
        <v>1</v>
      </c>
      <c r="L13060">
        <v>207</v>
      </c>
      <c r="M13060">
        <v>1</v>
      </c>
      <c r="N13060">
        <v>1.37153E-101</v>
      </c>
      <c r="O13060">
        <v>940</v>
      </c>
    </row>
    <row r="13061" spans="1:15" x14ac:dyDescent="0.25">
      <c r="A13061" t="s">
        <v>13074</v>
      </c>
      <c r="B13061">
        <v>636</v>
      </c>
      <c r="C13061" s="1" t="str">
        <f>HYPERLINK("http://www.rosaceae.org/gb/gbrowse/malus_x_domestica/?name=MDP0000232725","MDP0000232725")</f>
        <v>MDP0000232725</v>
      </c>
      <c r="D13061">
        <v>71.36</v>
      </c>
      <c r="E13061">
        <v>667</v>
      </c>
      <c r="F13061">
        <v>191</v>
      </c>
      <c r="G13061">
        <v>56</v>
      </c>
      <c r="H13061">
        <v>21</v>
      </c>
      <c r="I13061">
        <v>634</v>
      </c>
      <c r="J13061">
        <v>1</v>
      </c>
      <c r="K13061">
        <v>20</v>
      </c>
      <c r="L13061">
        <v>683</v>
      </c>
      <c r="M13061">
        <v>1</v>
      </c>
      <c r="N13061">
        <v>0</v>
      </c>
      <c r="O13061">
        <v>2464</v>
      </c>
    </row>
    <row r="13062" spans="1:15" x14ac:dyDescent="0.25">
      <c r="A13062" t="s">
        <v>13075</v>
      </c>
      <c r="B13062">
        <v>234</v>
      </c>
      <c r="C13062" s="1" t="str">
        <f>HYPERLINK("http://www.rosaceae.org/gb/gbrowse/malus_x_domestica/?name=MDP0000137221","MDP0000137221")</f>
        <v>MDP0000137221</v>
      </c>
      <c r="D13062">
        <v>63.39</v>
      </c>
      <c r="E13062">
        <v>112</v>
      </c>
      <c r="F13062">
        <v>41</v>
      </c>
      <c r="G13062">
        <v>4</v>
      </c>
      <c r="H13062">
        <v>45</v>
      </c>
      <c r="I13062">
        <v>152</v>
      </c>
      <c r="J13062">
        <v>1</v>
      </c>
      <c r="K13062">
        <v>22</v>
      </c>
      <c r="L13062">
        <v>133</v>
      </c>
      <c r="M13062">
        <v>1</v>
      </c>
      <c r="N13062">
        <v>9.9775200000000005E-29</v>
      </c>
      <c r="O13062">
        <v>310</v>
      </c>
    </row>
    <row r="13063" spans="1:15" x14ac:dyDescent="0.25">
      <c r="A13063" t="s">
        <v>13076</v>
      </c>
      <c r="B13063">
        <v>372</v>
      </c>
      <c r="C13063" s="1" t="str">
        <f>HYPERLINK("http://www.rosaceae.org/gb/gbrowse/malus_x_domestica/?name=MDP0000763960","MDP0000763960")</f>
        <v>MDP0000763960</v>
      </c>
      <c r="D13063">
        <v>70.19</v>
      </c>
      <c r="E13063">
        <v>208</v>
      </c>
      <c r="F13063">
        <v>62</v>
      </c>
      <c r="G13063">
        <v>1</v>
      </c>
      <c r="H13063">
        <v>21</v>
      </c>
      <c r="I13063">
        <v>227</v>
      </c>
      <c r="J13063">
        <v>1</v>
      </c>
      <c r="K13063">
        <v>20</v>
      </c>
      <c r="L13063">
        <v>227</v>
      </c>
      <c r="M13063">
        <v>1</v>
      </c>
      <c r="N13063">
        <v>2.3479000000000001E-81</v>
      </c>
      <c r="O13063">
        <v>767</v>
      </c>
    </row>
    <row r="13064" spans="1:15" x14ac:dyDescent="0.25">
      <c r="A13064" t="s">
        <v>13077</v>
      </c>
      <c r="B13064">
        <v>778</v>
      </c>
      <c r="C13064" s="1" t="str">
        <f>HYPERLINK("http://www.rosaceae.org/gb/gbrowse/malus_x_domestica/?name=MDP0000307989","MDP0000307989")</f>
        <v>MDP0000307989</v>
      </c>
      <c r="D13064">
        <v>72.040000000000006</v>
      </c>
      <c r="E13064">
        <v>651</v>
      </c>
      <c r="F13064">
        <v>182</v>
      </c>
      <c r="G13064">
        <v>43</v>
      </c>
      <c r="H13064">
        <v>111</v>
      </c>
      <c r="I13064">
        <v>756</v>
      </c>
      <c r="J13064">
        <v>1</v>
      </c>
      <c r="K13064">
        <v>7</v>
      </c>
      <c r="L13064">
        <v>619</v>
      </c>
      <c r="M13064">
        <v>1</v>
      </c>
      <c r="N13064">
        <v>0</v>
      </c>
      <c r="O13064">
        <v>2302</v>
      </c>
    </row>
    <row r="13065" spans="1:15" x14ac:dyDescent="0.25">
      <c r="A13065" t="s">
        <v>13078</v>
      </c>
      <c r="B13065">
        <v>550</v>
      </c>
      <c r="C13065" s="1" t="str">
        <f>HYPERLINK("http://www.rosaceae.org/gb/gbrowse/malus_x_domestica/?name=MDP0000254936","MDP0000254936")</f>
        <v>MDP0000254936</v>
      </c>
      <c r="D13065">
        <v>47.09</v>
      </c>
      <c r="E13065">
        <v>499</v>
      </c>
      <c r="F13065">
        <v>264</v>
      </c>
      <c r="G13065">
        <v>49</v>
      </c>
      <c r="H13065">
        <v>8</v>
      </c>
      <c r="I13065">
        <v>487</v>
      </c>
      <c r="J13065">
        <v>1</v>
      </c>
      <c r="K13065">
        <v>731</v>
      </c>
      <c r="L13065">
        <v>1199</v>
      </c>
      <c r="M13065">
        <v>1</v>
      </c>
      <c r="N13065">
        <v>5.1019999999999997E-111</v>
      </c>
      <c r="O13065">
        <v>1024</v>
      </c>
    </row>
    <row r="13066" spans="1:15" x14ac:dyDescent="0.25">
      <c r="A13066" t="s">
        <v>13079</v>
      </c>
      <c r="B13066">
        <v>148</v>
      </c>
      <c r="C13066" s="1" t="str">
        <f>HYPERLINK("http://www.rosaceae.org/gb/gbrowse/malus_x_domestica/?name=MDP0000464702","MDP0000464702")</f>
        <v>MDP0000464702</v>
      </c>
      <c r="D13066">
        <v>87.07</v>
      </c>
      <c r="E13066">
        <v>147</v>
      </c>
      <c r="F13066">
        <v>19</v>
      </c>
      <c r="G13066">
        <v>1</v>
      </c>
      <c r="H13066">
        <v>1</v>
      </c>
      <c r="I13066">
        <v>147</v>
      </c>
      <c r="J13066">
        <v>1</v>
      </c>
      <c r="K13066">
        <v>45</v>
      </c>
      <c r="L13066">
        <v>190</v>
      </c>
      <c r="M13066">
        <v>1</v>
      </c>
      <c r="N13066">
        <v>1.3820699999999999E-75</v>
      </c>
      <c r="O13066">
        <v>711</v>
      </c>
    </row>
    <row r="13067" spans="1:15" x14ac:dyDescent="0.25">
      <c r="A13067" t="s">
        <v>13080</v>
      </c>
      <c r="B13067">
        <v>285</v>
      </c>
      <c r="C13067" s="1" t="str">
        <f>HYPERLINK("http://www.rosaceae.org/gb/gbrowse/malus_x_domestica/?name=MDP0000196004","MDP0000196004")</f>
        <v>MDP0000196004</v>
      </c>
      <c r="D13067">
        <v>67.040000000000006</v>
      </c>
      <c r="E13067">
        <v>261</v>
      </c>
      <c r="F13067">
        <v>86</v>
      </c>
      <c r="G13067">
        <v>7</v>
      </c>
      <c r="H13067">
        <v>22</v>
      </c>
      <c r="I13067">
        <v>281</v>
      </c>
      <c r="J13067">
        <v>1</v>
      </c>
      <c r="K13067">
        <v>27</v>
      </c>
      <c r="L13067">
        <v>281</v>
      </c>
      <c r="M13067">
        <v>1</v>
      </c>
      <c r="N13067">
        <v>1.43252E-89</v>
      </c>
      <c r="O13067">
        <v>836</v>
      </c>
    </row>
    <row r="13068" spans="1:15" x14ac:dyDescent="0.25">
      <c r="A13068" t="s">
        <v>13081</v>
      </c>
      <c r="B13068">
        <v>361</v>
      </c>
      <c r="C13068" s="1" t="str">
        <f>HYPERLINK("http://www.rosaceae.org/gb/gbrowse/malus_x_domestica/?name=MDP0000274423","MDP0000274423")</f>
        <v>MDP0000274423</v>
      </c>
      <c r="D13068">
        <v>80.88</v>
      </c>
      <c r="E13068">
        <v>361</v>
      </c>
      <c r="F13068">
        <v>69</v>
      </c>
      <c r="G13068">
        <v>0</v>
      </c>
      <c r="H13068">
        <v>1</v>
      </c>
      <c r="I13068">
        <v>361</v>
      </c>
      <c r="J13068">
        <v>1</v>
      </c>
      <c r="K13068">
        <v>1</v>
      </c>
      <c r="L13068">
        <v>361</v>
      </c>
      <c r="M13068">
        <v>1</v>
      </c>
      <c r="N13068">
        <v>4.2753100000000002E-171</v>
      </c>
      <c r="O13068">
        <v>1540</v>
      </c>
    </row>
    <row r="13069" spans="1:15" x14ac:dyDescent="0.25">
      <c r="A13069" t="s">
        <v>13082</v>
      </c>
      <c r="B13069">
        <v>261</v>
      </c>
      <c r="C13069" s="1" t="str">
        <f>HYPERLINK("http://www.rosaceae.org/gb/gbrowse/malus_x_domestica/?name=MDP0000628479","MDP0000628479")</f>
        <v>MDP0000628479</v>
      </c>
      <c r="D13069">
        <v>58.39</v>
      </c>
      <c r="E13069">
        <v>286</v>
      </c>
      <c r="F13069">
        <v>119</v>
      </c>
      <c r="G13069">
        <v>39</v>
      </c>
      <c r="H13069">
        <v>3</v>
      </c>
      <c r="I13069">
        <v>251</v>
      </c>
      <c r="J13069">
        <v>1</v>
      </c>
      <c r="K13069">
        <v>4</v>
      </c>
      <c r="L13069">
        <v>287</v>
      </c>
      <c r="M13069">
        <v>1</v>
      </c>
      <c r="N13069">
        <v>5.3030899999999999E-74</v>
      </c>
      <c r="O13069">
        <v>701</v>
      </c>
    </row>
    <row r="13070" spans="1:15" x14ac:dyDescent="0.25">
      <c r="A13070" t="s">
        <v>13083</v>
      </c>
      <c r="B13070">
        <v>441</v>
      </c>
      <c r="C13070" s="1" t="str">
        <f>HYPERLINK("http://www.rosaceae.org/gb/gbrowse/malus_x_domestica/?name=MDP0000469141","MDP0000469141")</f>
        <v>MDP0000469141</v>
      </c>
      <c r="D13070">
        <v>56.25</v>
      </c>
      <c r="E13070">
        <v>96</v>
      </c>
      <c r="F13070">
        <v>42</v>
      </c>
      <c r="G13070">
        <v>6</v>
      </c>
      <c r="H13070">
        <v>269</v>
      </c>
      <c r="I13070">
        <v>362</v>
      </c>
      <c r="J13070">
        <v>1</v>
      </c>
      <c r="K13070">
        <v>578</v>
      </c>
      <c r="L13070">
        <v>669</v>
      </c>
      <c r="M13070">
        <v>1</v>
      </c>
      <c r="N13070">
        <v>6.5589200000000001E-18</v>
      </c>
      <c r="O13070">
        <v>220</v>
      </c>
    </row>
    <row r="13071" spans="1:15" x14ac:dyDescent="0.25">
      <c r="A13071" t="s">
        <v>13084</v>
      </c>
      <c r="B13071">
        <v>253</v>
      </c>
      <c r="C13071" s="1" t="str">
        <f>HYPERLINK("http://www.rosaceae.org/gb/gbrowse/malus_x_domestica/?name=MDP0000137804","MDP0000137804")</f>
        <v>MDP0000137804</v>
      </c>
      <c r="D13071">
        <v>80.73</v>
      </c>
      <c r="E13071">
        <v>244</v>
      </c>
      <c r="F13071">
        <v>47</v>
      </c>
      <c r="G13071">
        <v>8</v>
      </c>
      <c r="H13071">
        <v>1</v>
      </c>
      <c r="I13071">
        <v>242</v>
      </c>
      <c r="J13071">
        <v>1</v>
      </c>
      <c r="K13071">
        <v>65</v>
      </c>
      <c r="L13071">
        <v>302</v>
      </c>
      <c r="M13071">
        <v>1</v>
      </c>
      <c r="N13071">
        <v>1.87607E-114</v>
      </c>
      <c r="O13071">
        <v>1050</v>
      </c>
    </row>
    <row r="13072" spans="1:15" x14ac:dyDescent="0.25">
      <c r="A13072" t="s">
        <v>13085</v>
      </c>
      <c r="B13072">
        <v>401</v>
      </c>
      <c r="C13072" s="1" t="str">
        <f>HYPERLINK("http://www.rosaceae.org/gb/gbrowse/malus_x_domestica/?name=MDP0000948037","MDP0000948037")</f>
        <v>MDP0000948037</v>
      </c>
      <c r="D13072">
        <v>87.64</v>
      </c>
      <c r="E13072">
        <v>421</v>
      </c>
      <c r="F13072">
        <v>52</v>
      </c>
      <c r="G13072">
        <v>23</v>
      </c>
      <c r="H13072">
        <v>4</v>
      </c>
      <c r="I13072">
        <v>401</v>
      </c>
      <c r="J13072">
        <v>1</v>
      </c>
      <c r="K13072">
        <v>3</v>
      </c>
      <c r="L13072">
        <v>423</v>
      </c>
      <c r="M13072">
        <v>1</v>
      </c>
      <c r="N13072">
        <v>0</v>
      </c>
      <c r="O13072">
        <v>1917</v>
      </c>
    </row>
    <row r="13073" spans="1:15" x14ac:dyDescent="0.25">
      <c r="A13073" t="s">
        <v>13086</v>
      </c>
      <c r="B13073">
        <v>766</v>
      </c>
      <c r="C13073" s="1" t="str">
        <f>HYPERLINK("http://www.rosaceae.org/gb/gbrowse/malus_x_domestica/?name=MDP0000266330","MDP0000266330")</f>
        <v>MDP0000266330</v>
      </c>
      <c r="D13073">
        <v>77.16</v>
      </c>
      <c r="E13073">
        <v>635</v>
      </c>
      <c r="F13073">
        <v>145</v>
      </c>
      <c r="G13073">
        <v>21</v>
      </c>
      <c r="H13073">
        <v>150</v>
      </c>
      <c r="I13073">
        <v>766</v>
      </c>
      <c r="J13073">
        <v>1</v>
      </c>
      <c r="K13073">
        <v>55</v>
      </c>
      <c r="L13073">
        <v>686</v>
      </c>
      <c r="M13073">
        <v>1</v>
      </c>
      <c r="N13073">
        <v>0</v>
      </c>
      <c r="O13073">
        <v>2543</v>
      </c>
    </row>
    <row r="13074" spans="1:15" x14ac:dyDescent="0.25">
      <c r="A13074" t="s">
        <v>13087</v>
      </c>
      <c r="B13074">
        <v>305</v>
      </c>
      <c r="C13074" s="1" t="str">
        <f>HYPERLINK("http://www.rosaceae.org/gb/gbrowse/malus_x_domestica/?name=MDP0000134648","MDP0000134648")</f>
        <v>MDP0000134648</v>
      </c>
      <c r="D13074">
        <v>75.739999999999995</v>
      </c>
      <c r="E13074">
        <v>268</v>
      </c>
      <c r="F13074">
        <v>65</v>
      </c>
      <c r="G13074">
        <v>21</v>
      </c>
      <c r="H13074">
        <v>59</v>
      </c>
      <c r="I13074">
        <v>305</v>
      </c>
      <c r="J13074">
        <v>1</v>
      </c>
      <c r="K13074">
        <v>64</v>
      </c>
      <c r="L13074">
        <v>331</v>
      </c>
      <c r="M13074">
        <v>1</v>
      </c>
      <c r="N13074">
        <v>4.6969E-120</v>
      </c>
      <c r="O13074">
        <v>1099</v>
      </c>
    </row>
    <row r="13075" spans="1:15" x14ac:dyDescent="0.25">
      <c r="A13075" t="s">
        <v>13088</v>
      </c>
      <c r="B13075">
        <v>357</v>
      </c>
      <c r="C13075" s="1" t="str">
        <f>HYPERLINK("http://www.rosaceae.org/gb/gbrowse/malus_x_domestica/?name=MDP0000859648","MDP0000859648")</f>
        <v>MDP0000859648</v>
      </c>
      <c r="D13075">
        <v>75.98</v>
      </c>
      <c r="E13075">
        <v>329</v>
      </c>
      <c r="F13075">
        <v>79</v>
      </c>
      <c r="G13075">
        <v>37</v>
      </c>
      <c r="H13075">
        <v>32</v>
      </c>
      <c r="I13075">
        <v>357</v>
      </c>
      <c r="J13075">
        <v>1</v>
      </c>
      <c r="K13075">
        <v>9</v>
      </c>
      <c r="L13075">
        <v>303</v>
      </c>
      <c r="M13075">
        <v>1</v>
      </c>
      <c r="N13075">
        <v>2.0912199999999999E-137</v>
      </c>
      <c r="O13075">
        <v>1250</v>
      </c>
    </row>
    <row r="13076" spans="1:15" x14ac:dyDescent="0.25">
      <c r="A13076" t="s">
        <v>13089</v>
      </c>
      <c r="B13076">
        <v>323</v>
      </c>
      <c r="C13076" s="1" t="str">
        <f>HYPERLINK("http://www.rosaceae.org/gb/gbrowse/malus_x_domestica/?name=MDP0000125594","MDP0000125594")</f>
        <v>MDP0000125594</v>
      </c>
      <c r="D13076">
        <v>73.52</v>
      </c>
      <c r="E13076">
        <v>321</v>
      </c>
      <c r="F13076">
        <v>85</v>
      </c>
      <c r="G13076">
        <v>2</v>
      </c>
      <c r="H13076">
        <v>2</v>
      </c>
      <c r="I13076">
        <v>322</v>
      </c>
      <c r="J13076">
        <v>1</v>
      </c>
      <c r="K13076">
        <v>4</v>
      </c>
      <c r="L13076">
        <v>322</v>
      </c>
      <c r="M13076">
        <v>1</v>
      </c>
      <c r="N13076">
        <v>8.6061699999999999E-139</v>
      </c>
      <c r="O13076">
        <v>1261</v>
      </c>
    </row>
    <row r="13077" spans="1:15" x14ac:dyDescent="0.25">
      <c r="A13077" t="s">
        <v>13090</v>
      </c>
      <c r="B13077">
        <v>489</v>
      </c>
      <c r="C13077" s="1" t="str">
        <f>HYPERLINK("http://www.rosaceae.org/gb/gbrowse/malus_x_domestica/?name=MDP0000185723","MDP0000185723")</f>
        <v>MDP0000185723</v>
      </c>
      <c r="D13077">
        <v>39.72</v>
      </c>
      <c r="E13077">
        <v>511</v>
      </c>
      <c r="F13077">
        <v>308</v>
      </c>
      <c r="G13077">
        <v>85</v>
      </c>
      <c r="H13077">
        <v>9</v>
      </c>
      <c r="I13077">
        <v>489</v>
      </c>
      <c r="J13077">
        <v>1</v>
      </c>
      <c r="K13077">
        <v>6</v>
      </c>
      <c r="L13077">
        <v>461</v>
      </c>
      <c r="M13077">
        <v>1</v>
      </c>
      <c r="N13077">
        <v>2.7250500000000001E-86</v>
      </c>
      <c r="O13077">
        <v>811</v>
      </c>
    </row>
    <row r="13078" spans="1:15" x14ac:dyDescent="0.25">
      <c r="A13078" t="s">
        <v>13091</v>
      </c>
      <c r="B13078">
        <v>932</v>
      </c>
      <c r="C13078" s="1" t="str">
        <f>HYPERLINK("http://www.rosaceae.org/gb/gbrowse/malus_x_domestica/?name=MDP0000872868","MDP0000872868")</f>
        <v>MDP0000872868</v>
      </c>
      <c r="D13078">
        <v>85.11</v>
      </c>
      <c r="E13078">
        <v>598</v>
      </c>
      <c r="F13078">
        <v>89</v>
      </c>
      <c r="G13078">
        <v>0</v>
      </c>
      <c r="H13078">
        <v>334</v>
      </c>
      <c r="I13078">
        <v>931</v>
      </c>
      <c r="J13078">
        <v>1</v>
      </c>
      <c r="K13078">
        <v>1</v>
      </c>
      <c r="L13078">
        <v>598</v>
      </c>
      <c r="M13078">
        <v>1</v>
      </c>
      <c r="N13078">
        <v>0</v>
      </c>
      <c r="O13078">
        <v>2733</v>
      </c>
    </row>
    <row r="13079" spans="1:15" x14ac:dyDescent="0.25">
      <c r="A13079" t="s">
        <v>13092</v>
      </c>
      <c r="B13079">
        <v>604</v>
      </c>
      <c r="C13079" s="1" t="str">
        <f>HYPERLINK("http://www.rosaceae.org/gb/gbrowse/malus_x_domestica/?name=MDP0000322379","MDP0000322379")</f>
        <v>MDP0000322379</v>
      </c>
      <c r="D13079">
        <v>70.67</v>
      </c>
      <c r="E13079">
        <v>208</v>
      </c>
      <c r="F13079">
        <v>61</v>
      </c>
      <c r="G13079">
        <v>4</v>
      </c>
      <c r="H13079">
        <v>315</v>
      </c>
      <c r="I13079">
        <v>518</v>
      </c>
      <c r="J13079">
        <v>1</v>
      </c>
      <c r="K13079">
        <v>320</v>
      </c>
      <c r="L13079">
        <v>527</v>
      </c>
      <c r="M13079">
        <v>1</v>
      </c>
      <c r="N13079">
        <v>2.5560099999999998E-81</v>
      </c>
      <c r="O13079">
        <v>769</v>
      </c>
    </row>
    <row r="13080" spans="1:15" x14ac:dyDescent="0.25">
      <c r="A13080" t="s">
        <v>13093</v>
      </c>
      <c r="B13080">
        <v>302</v>
      </c>
      <c r="C13080" s="1" t="str">
        <f>HYPERLINK("http://www.rosaceae.org/gb/gbrowse/malus_x_domestica/?name=MDP0000281613","MDP0000281613")</f>
        <v>MDP0000281613</v>
      </c>
      <c r="D13080">
        <v>57.76</v>
      </c>
      <c r="E13080">
        <v>322</v>
      </c>
      <c r="F13080">
        <v>136</v>
      </c>
      <c r="G13080">
        <v>38</v>
      </c>
      <c r="H13080">
        <v>8</v>
      </c>
      <c r="I13080">
        <v>300</v>
      </c>
      <c r="J13080">
        <v>1</v>
      </c>
      <c r="K13080">
        <v>5</v>
      </c>
      <c r="L13080">
        <v>317</v>
      </c>
      <c r="M13080">
        <v>1</v>
      </c>
      <c r="N13080">
        <v>9.4863600000000005E-90</v>
      </c>
      <c r="O13080">
        <v>838</v>
      </c>
    </row>
    <row r="13081" spans="1:15" x14ac:dyDescent="0.25">
      <c r="A13081" t="s">
        <v>13094</v>
      </c>
      <c r="B13081">
        <v>558</v>
      </c>
      <c r="C13081" s="1" t="str">
        <f>HYPERLINK("http://www.rosaceae.org/gb/gbrowse/malus_x_domestica/?name=MDP0000209426","MDP0000209426")</f>
        <v>MDP0000209426</v>
      </c>
      <c r="D13081">
        <v>47.22</v>
      </c>
      <c r="E13081">
        <v>648</v>
      </c>
      <c r="F13081">
        <v>342</v>
      </c>
      <c r="G13081">
        <v>118</v>
      </c>
      <c r="H13081">
        <v>1</v>
      </c>
      <c r="I13081">
        <v>552</v>
      </c>
      <c r="J13081">
        <v>1</v>
      </c>
      <c r="K13081">
        <v>1</v>
      </c>
      <c r="L13081">
        <v>626</v>
      </c>
      <c r="M13081">
        <v>1</v>
      </c>
      <c r="N13081">
        <v>3.56115E-126</v>
      </c>
      <c r="O13081">
        <v>1155</v>
      </c>
    </row>
    <row r="13082" spans="1:15" x14ac:dyDescent="0.25">
      <c r="A13082" t="s">
        <v>13095</v>
      </c>
      <c r="B13082">
        <v>215</v>
      </c>
      <c r="C13082" s="1" t="str">
        <f>HYPERLINK("http://www.rosaceae.org/gb/gbrowse/malus_x_domestica/?name=MDP0000315498","MDP0000315498")</f>
        <v>MDP0000315498</v>
      </c>
      <c r="D13082">
        <v>75</v>
      </c>
      <c r="E13082">
        <v>92</v>
      </c>
      <c r="F13082">
        <v>23</v>
      </c>
      <c r="G13082">
        <v>0</v>
      </c>
      <c r="H13082">
        <v>25</v>
      </c>
      <c r="I13082">
        <v>116</v>
      </c>
      <c r="J13082">
        <v>1</v>
      </c>
      <c r="K13082">
        <v>29</v>
      </c>
      <c r="L13082">
        <v>120</v>
      </c>
      <c r="M13082">
        <v>1</v>
      </c>
      <c r="N13082">
        <v>1.1971700000000001E-37</v>
      </c>
      <c r="O13082">
        <v>387</v>
      </c>
    </row>
    <row r="13083" spans="1:15" x14ac:dyDescent="0.25">
      <c r="A13083" t="s">
        <v>13096</v>
      </c>
      <c r="B13083">
        <v>433</v>
      </c>
      <c r="C13083" s="1" t="str">
        <f>HYPERLINK("http://www.rosaceae.org/gb/gbrowse/malus_x_domestica/?name=MDP0000895594","MDP0000895594")</f>
        <v>MDP0000895594</v>
      </c>
      <c r="D13083">
        <v>37.03</v>
      </c>
      <c r="E13083">
        <v>432</v>
      </c>
      <c r="F13083">
        <v>272</v>
      </c>
      <c r="G13083">
        <v>88</v>
      </c>
      <c r="H13083">
        <v>25</v>
      </c>
      <c r="I13083">
        <v>369</v>
      </c>
      <c r="J13083">
        <v>1</v>
      </c>
      <c r="K13083">
        <v>30</v>
      </c>
      <c r="L13083">
        <v>460</v>
      </c>
      <c r="M13083">
        <v>1</v>
      </c>
      <c r="N13083">
        <v>2.3551E-66</v>
      </c>
      <c r="O13083">
        <v>638</v>
      </c>
    </row>
    <row r="13084" spans="1:15" x14ac:dyDescent="0.25">
      <c r="A13084" t="s">
        <v>13097</v>
      </c>
      <c r="B13084">
        <v>121</v>
      </c>
      <c r="C13084" s="1" t="str">
        <f>HYPERLINK("http://www.rosaceae.org/gb/gbrowse/malus_x_domestica/?name=MDP0000303658","MDP0000303658")</f>
        <v>MDP0000303658</v>
      </c>
      <c r="D13084">
        <v>85.29</v>
      </c>
      <c r="E13084">
        <v>34</v>
      </c>
      <c r="F13084">
        <v>5</v>
      </c>
      <c r="G13084">
        <v>0</v>
      </c>
      <c r="H13084">
        <v>1</v>
      </c>
      <c r="I13084">
        <v>34</v>
      </c>
      <c r="J13084">
        <v>1</v>
      </c>
      <c r="K13084">
        <v>145</v>
      </c>
      <c r="L13084">
        <v>178</v>
      </c>
      <c r="M13084">
        <v>1</v>
      </c>
      <c r="N13084">
        <v>7.26111E-9</v>
      </c>
      <c r="O13084">
        <v>134</v>
      </c>
    </row>
    <row r="13085" spans="1:15" x14ac:dyDescent="0.25">
      <c r="A13085" t="s">
        <v>13098</v>
      </c>
      <c r="B13085">
        <v>271</v>
      </c>
      <c r="C13085" s="1" t="str">
        <f>HYPERLINK("http://www.rosaceae.org/gb/gbrowse/malus_x_domestica/?name=MDP0000589422","MDP0000589422")</f>
        <v>MDP0000589422</v>
      </c>
      <c r="D13085">
        <v>35.81</v>
      </c>
      <c r="E13085">
        <v>296</v>
      </c>
      <c r="F13085">
        <v>190</v>
      </c>
      <c r="G13085">
        <v>80</v>
      </c>
      <c r="H13085">
        <v>1</v>
      </c>
      <c r="I13085">
        <v>271</v>
      </c>
      <c r="J13085">
        <v>1</v>
      </c>
      <c r="K13085">
        <v>1</v>
      </c>
      <c r="L13085">
        <v>241</v>
      </c>
      <c r="M13085">
        <v>1</v>
      </c>
      <c r="N13085">
        <v>3.5989700000000002E-33</v>
      </c>
      <c r="O13085">
        <v>349</v>
      </c>
    </row>
    <row r="13086" spans="1:15" x14ac:dyDescent="0.25">
      <c r="A13086" t="s">
        <v>13099</v>
      </c>
      <c r="B13086">
        <v>389</v>
      </c>
      <c r="C13086" s="1" t="str">
        <f>HYPERLINK("http://www.rosaceae.org/gb/gbrowse/malus_x_domestica/?name=MDP0000303386","MDP0000303386")</f>
        <v>MDP0000303386</v>
      </c>
      <c r="D13086">
        <v>93.31</v>
      </c>
      <c r="E13086">
        <v>389</v>
      </c>
      <c r="F13086">
        <v>26</v>
      </c>
      <c r="G13086">
        <v>0</v>
      </c>
      <c r="H13086">
        <v>1</v>
      </c>
      <c r="I13086">
        <v>389</v>
      </c>
      <c r="J13086">
        <v>1</v>
      </c>
      <c r="K13086">
        <v>31</v>
      </c>
      <c r="L13086">
        <v>419</v>
      </c>
      <c r="M13086">
        <v>1</v>
      </c>
      <c r="N13086">
        <v>0</v>
      </c>
      <c r="O13086">
        <v>1936</v>
      </c>
    </row>
    <row r="13087" spans="1:15" x14ac:dyDescent="0.25">
      <c r="A13087" t="s">
        <v>13100</v>
      </c>
      <c r="B13087">
        <v>380</v>
      </c>
      <c r="C13087" s="1" t="str">
        <f>HYPERLINK("http://www.rosaceae.org/gb/gbrowse/malus_x_domestica/?name=MDP0000337873","MDP0000337873")</f>
        <v>MDP0000337873</v>
      </c>
      <c r="D13087">
        <v>50.15</v>
      </c>
      <c r="E13087">
        <v>325</v>
      </c>
      <c r="F13087">
        <v>162</v>
      </c>
      <c r="G13087">
        <v>3</v>
      </c>
      <c r="H13087">
        <v>8</v>
      </c>
      <c r="I13087">
        <v>332</v>
      </c>
      <c r="J13087">
        <v>1</v>
      </c>
      <c r="K13087">
        <v>6</v>
      </c>
      <c r="L13087">
        <v>327</v>
      </c>
      <c r="M13087">
        <v>1</v>
      </c>
      <c r="N13087">
        <v>1.7851100000000001E-92</v>
      </c>
      <c r="O13087">
        <v>863</v>
      </c>
    </row>
    <row r="13088" spans="1:15" x14ac:dyDescent="0.25">
      <c r="A13088" t="s">
        <v>13101</v>
      </c>
      <c r="B13088">
        <v>166</v>
      </c>
      <c r="C13088" s="1" t="str">
        <f>HYPERLINK("http://www.rosaceae.org/gb/gbrowse/malus_x_domestica/?name=MDP0000286477","MDP0000286477")</f>
        <v>MDP0000286477</v>
      </c>
      <c r="D13088">
        <v>56.04</v>
      </c>
      <c r="E13088">
        <v>91</v>
      </c>
      <c r="F13088">
        <v>40</v>
      </c>
      <c r="G13088">
        <v>3</v>
      </c>
      <c r="H13088">
        <v>78</v>
      </c>
      <c r="I13088">
        <v>165</v>
      </c>
      <c r="J13088">
        <v>1</v>
      </c>
      <c r="K13088">
        <v>25</v>
      </c>
      <c r="L13088">
        <v>115</v>
      </c>
      <c r="M13088">
        <v>1</v>
      </c>
      <c r="N13088">
        <v>3.07832E-25</v>
      </c>
      <c r="O13088">
        <v>278</v>
      </c>
    </row>
    <row r="13089" spans="1:15" x14ac:dyDescent="0.25">
      <c r="A13089" t="s">
        <v>13102</v>
      </c>
      <c r="B13089">
        <v>1085</v>
      </c>
      <c r="C13089" s="1" t="str">
        <f>HYPERLINK("http://www.rosaceae.org/gb/gbrowse/malus_x_domestica/?name=MDP0000227830","MDP0000227830")</f>
        <v>MDP0000227830</v>
      </c>
      <c r="D13089">
        <v>80.89</v>
      </c>
      <c r="E13089">
        <v>1115</v>
      </c>
      <c r="F13089">
        <v>213</v>
      </c>
      <c r="G13089">
        <v>51</v>
      </c>
      <c r="H13089">
        <v>1</v>
      </c>
      <c r="I13089">
        <v>1085</v>
      </c>
      <c r="J13089">
        <v>1</v>
      </c>
      <c r="K13089">
        <v>1</v>
      </c>
      <c r="L13089">
        <v>1094</v>
      </c>
      <c r="M13089">
        <v>1</v>
      </c>
      <c r="N13089">
        <v>0</v>
      </c>
      <c r="O13089">
        <v>4732</v>
      </c>
    </row>
    <row r="13090" spans="1:15" x14ac:dyDescent="0.25">
      <c r="A13090" t="s">
        <v>13103</v>
      </c>
      <c r="B13090">
        <v>1522</v>
      </c>
      <c r="C13090" s="1" t="str">
        <f>HYPERLINK("http://www.rosaceae.org/gb/gbrowse/malus_x_domestica/?name=MDP0000231495","MDP0000231495")</f>
        <v>MDP0000231495</v>
      </c>
      <c r="D13090">
        <v>70.31</v>
      </c>
      <c r="E13090">
        <v>1489</v>
      </c>
      <c r="F13090">
        <v>442</v>
      </c>
      <c r="G13090">
        <v>102</v>
      </c>
      <c r="H13090">
        <v>1</v>
      </c>
      <c r="I13090">
        <v>1452</v>
      </c>
      <c r="J13090">
        <v>1</v>
      </c>
      <c r="K13090">
        <v>1</v>
      </c>
      <c r="L13090">
        <v>1424</v>
      </c>
      <c r="M13090">
        <v>1</v>
      </c>
      <c r="N13090">
        <v>0</v>
      </c>
      <c r="O13090">
        <v>5467</v>
      </c>
    </row>
    <row r="13091" spans="1:15" x14ac:dyDescent="0.25">
      <c r="A13091" t="s">
        <v>13104</v>
      </c>
      <c r="B13091">
        <v>441</v>
      </c>
      <c r="C13091" s="1" t="str">
        <f>HYPERLINK("http://www.rosaceae.org/gb/gbrowse/malus_x_domestica/?name=MDP0000087653","MDP0000087653")</f>
        <v>MDP0000087653</v>
      </c>
      <c r="D13091">
        <v>47.69</v>
      </c>
      <c r="E13091">
        <v>304</v>
      </c>
      <c r="F13091">
        <v>159</v>
      </c>
      <c r="G13091">
        <v>30</v>
      </c>
      <c r="H13091">
        <v>163</v>
      </c>
      <c r="I13091">
        <v>441</v>
      </c>
      <c r="J13091">
        <v>1</v>
      </c>
      <c r="K13091">
        <v>64</v>
      </c>
      <c r="L13091">
        <v>362</v>
      </c>
      <c r="M13091">
        <v>1</v>
      </c>
      <c r="N13091">
        <v>1.32448E-68</v>
      </c>
      <c r="O13091">
        <v>658</v>
      </c>
    </row>
    <row r="13092" spans="1:15" x14ac:dyDescent="0.25">
      <c r="A13092" t="s">
        <v>13105</v>
      </c>
      <c r="B13092">
        <v>501</v>
      </c>
      <c r="C13092" s="1" t="str">
        <f>HYPERLINK("http://www.rosaceae.org/gb/gbrowse/malus_x_domestica/?name=MDP0000721688","MDP0000721688")</f>
        <v>MDP0000721688</v>
      </c>
      <c r="D13092">
        <v>71.42</v>
      </c>
      <c r="E13092">
        <v>455</v>
      </c>
      <c r="F13092">
        <v>130</v>
      </c>
      <c r="G13092">
        <v>2</v>
      </c>
      <c r="H13092">
        <v>47</v>
      </c>
      <c r="I13092">
        <v>501</v>
      </c>
      <c r="J13092">
        <v>1</v>
      </c>
      <c r="K13092">
        <v>62</v>
      </c>
      <c r="L13092">
        <v>514</v>
      </c>
      <c r="M13092">
        <v>1</v>
      </c>
      <c r="N13092">
        <v>0</v>
      </c>
      <c r="O13092">
        <v>1733</v>
      </c>
    </row>
    <row r="13093" spans="1:15" x14ac:dyDescent="0.25">
      <c r="A13093" t="s">
        <v>13106</v>
      </c>
      <c r="B13093">
        <v>405</v>
      </c>
      <c r="C13093" s="1" t="str">
        <f>HYPERLINK("http://www.rosaceae.org/gb/gbrowse/malus_x_domestica/?name=MDP0000840417","MDP0000840417")</f>
        <v>MDP0000840417</v>
      </c>
      <c r="D13093">
        <v>84.69</v>
      </c>
      <c r="E13093">
        <v>405</v>
      </c>
      <c r="F13093">
        <v>62</v>
      </c>
      <c r="G13093">
        <v>0</v>
      </c>
      <c r="H13093">
        <v>1</v>
      </c>
      <c r="I13093">
        <v>405</v>
      </c>
      <c r="J13093">
        <v>1</v>
      </c>
      <c r="K13093">
        <v>1</v>
      </c>
      <c r="L13093">
        <v>405</v>
      </c>
      <c r="M13093">
        <v>1</v>
      </c>
      <c r="N13093">
        <v>0</v>
      </c>
      <c r="O13093">
        <v>1869</v>
      </c>
    </row>
    <row r="13094" spans="1:15" x14ac:dyDescent="0.25">
      <c r="A13094" t="s">
        <v>13107</v>
      </c>
      <c r="B13094">
        <v>246</v>
      </c>
      <c r="C13094" s="1" t="str">
        <f>HYPERLINK("http://www.rosaceae.org/gb/gbrowse/malus_x_domestica/?name=MDP0000811085","MDP0000811085")</f>
        <v>MDP0000811085</v>
      </c>
      <c r="D13094">
        <v>45.28</v>
      </c>
      <c r="E13094">
        <v>106</v>
      </c>
      <c r="F13094">
        <v>58</v>
      </c>
      <c r="G13094">
        <v>14</v>
      </c>
      <c r="H13094">
        <v>153</v>
      </c>
      <c r="I13094">
        <v>245</v>
      </c>
      <c r="J13094">
        <v>1</v>
      </c>
      <c r="K13094">
        <v>308</v>
      </c>
      <c r="L13094">
        <v>412</v>
      </c>
      <c r="M13094">
        <v>1</v>
      </c>
      <c r="N13094">
        <v>1.2346800000000001E-13</v>
      </c>
      <c r="O13094">
        <v>180</v>
      </c>
    </row>
    <row r="13095" spans="1:15" x14ac:dyDescent="0.25">
      <c r="A13095" t="s">
        <v>13108</v>
      </c>
      <c r="B13095">
        <v>928</v>
      </c>
      <c r="C13095" s="1" t="str">
        <f>HYPERLINK("http://www.rosaceae.org/gb/gbrowse/malus_x_domestica/?name=MDP0000201655","MDP0000201655")</f>
        <v>MDP0000201655</v>
      </c>
      <c r="D13095">
        <v>68.86</v>
      </c>
      <c r="E13095">
        <v>941</v>
      </c>
      <c r="F13095">
        <v>293</v>
      </c>
      <c r="G13095">
        <v>82</v>
      </c>
      <c r="H13095">
        <v>1</v>
      </c>
      <c r="I13095">
        <v>928</v>
      </c>
      <c r="J13095">
        <v>1</v>
      </c>
      <c r="K13095">
        <v>1</v>
      </c>
      <c r="L13095">
        <v>872</v>
      </c>
      <c r="M13095">
        <v>1</v>
      </c>
      <c r="N13095">
        <v>0</v>
      </c>
      <c r="O13095">
        <v>3184</v>
      </c>
    </row>
    <row r="13096" spans="1:15" x14ac:dyDescent="0.25">
      <c r="A13096" t="s">
        <v>13109</v>
      </c>
      <c r="B13096">
        <v>160</v>
      </c>
      <c r="C13096" s="1" t="str">
        <f>HYPERLINK("http://www.rosaceae.org/gb/gbrowse/malus_x_domestica/?name=MDP0000465593","MDP0000465593")</f>
        <v>MDP0000465593</v>
      </c>
      <c r="D13096">
        <v>46.51</v>
      </c>
      <c r="E13096">
        <v>43</v>
      </c>
      <c r="F13096">
        <v>23</v>
      </c>
      <c r="G13096">
        <v>0</v>
      </c>
      <c r="H13096">
        <v>4</v>
      </c>
      <c r="I13096">
        <v>46</v>
      </c>
      <c r="J13096">
        <v>1</v>
      </c>
      <c r="K13096">
        <v>121</v>
      </c>
      <c r="L13096">
        <v>163</v>
      </c>
      <c r="M13096">
        <v>1</v>
      </c>
      <c r="N13096">
        <v>3.7040100000000001E-7</v>
      </c>
      <c r="O13096">
        <v>122</v>
      </c>
    </row>
    <row r="13097" spans="1:15" x14ac:dyDescent="0.25">
      <c r="A13097" t="s">
        <v>13110</v>
      </c>
      <c r="B13097">
        <v>846</v>
      </c>
      <c r="C13097" s="1" t="str">
        <f>HYPERLINK("http://www.rosaceae.org/gb/gbrowse/malus_x_domestica/?name=MDP0000307703","MDP0000307703")</f>
        <v>MDP0000307703</v>
      </c>
      <c r="D13097">
        <v>75.17</v>
      </c>
      <c r="E13097">
        <v>854</v>
      </c>
      <c r="F13097">
        <v>212</v>
      </c>
      <c r="G13097">
        <v>31</v>
      </c>
      <c r="H13097">
        <v>1</v>
      </c>
      <c r="I13097">
        <v>846</v>
      </c>
      <c r="J13097">
        <v>1</v>
      </c>
      <c r="K13097">
        <v>1</v>
      </c>
      <c r="L13097">
        <v>831</v>
      </c>
      <c r="M13097">
        <v>1</v>
      </c>
      <c r="N13097">
        <v>0</v>
      </c>
      <c r="O13097">
        <v>3318</v>
      </c>
    </row>
    <row r="13098" spans="1:15" x14ac:dyDescent="0.25">
      <c r="A13098" t="s">
        <v>13111</v>
      </c>
      <c r="B13098">
        <v>201</v>
      </c>
      <c r="C13098" s="1" t="str">
        <f>HYPERLINK("http://www.rosaceae.org/gb/gbrowse/malus_x_domestica/?name=MDP0000161711","MDP0000161711")</f>
        <v>MDP0000161711</v>
      </c>
      <c r="D13098">
        <v>65.34</v>
      </c>
      <c r="E13098">
        <v>202</v>
      </c>
      <c r="F13098">
        <v>70</v>
      </c>
      <c r="G13098">
        <v>7</v>
      </c>
      <c r="H13098">
        <v>1</v>
      </c>
      <c r="I13098">
        <v>197</v>
      </c>
      <c r="J13098">
        <v>1</v>
      </c>
      <c r="K13098">
        <v>13</v>
      </c>
      <c r="L13098">
        <v>212</v>
      </c>
      <c r="M13098">
        <v>1</v>
      </c>
      <c r="N13098">
        <v>9.2467200000000001E-71</v>
      </c>
      <c r="O13098">
        <v>672</v>
      </c>
    </row>
    <row r="13099" spans="1:15" x14ac:dyDescent="0.25">
      <c r="A13099" t="s">
        <v>13112</v>
      </c>
      <c r="B13099">
        <v>105</v>
      </c>
      <c r="C13099" s="1" t="str">
        <f>HYPERLINK("http://www.rosaceae.org/gb/gbrowse/malus_x_domestica/?name=MDP0000294303","MDP0000294303")</f>
        <v>MDP0000294303</v>
      </c>
      <c r="D13099">
        <v>47.67</v>
      </c>
      <c r="E13099">
        <v>86</v>
      </c>
      <c r="F13099">
        <v>45</v>
      </c>
      <c r="G13099">
        <v>0</v>
      </c>
      <c r="H13099">
        <v>18</v>
      </c>
      <c r="I13099">
        <v>103</v>
      </c>
      <c r="J13099">
        <v>1</v>
      </c>
      <c r="K13099">
        <v>220</v>
      </c>
      <c r="L13099">
        <v>305</v>
      </c>
      <c r="M13099">
        <v>1</v>
      </c>
      <c r="N13099">
        <v>2.16347E-20</v>
      </c>
      <c r="O13099">
        <v>233</v>
      </c>
    </row>
    <row r="13100" spans="1:15" x14ac:dyDescent="0.25">
      <c r="A13100" t="s">
        <v>13113</v>
      </c>
      <c r="B13100">
        <v>111</v>
      </c>
      <c r="C13100" s="1" t="str">
        <f>HYPERLINK("http://www.rosaceae.org/gb/gbrowse/malus_x_domestica/?name=MDP0000119707","MDP0000119707")</f>
        <v>MDP0000119707</v>
      </c>
      <c r="D13100">
        <v>66.37</v>
      </c>
      <c r="E13100">
        <v>116</v>
      </c>
      <c r="F13100">
        <v>39</v>
      </c>
      <c r="G13100">
        <v>5</v>
      </c>
      <c r="H13100">
        <v>1</v>
      </c>
      <c r="I13100">
        <v>111</v>
      </c>
      <c r="J13100">
        <v>1</v>
      </c>
      <c r="K13100">
        <v>8</v>
      </c>
      <c r="L13100">
        <v>123</v>
      </c>
      <c r="M13100">
        <v>1</v>
      </c>
      <c r="N13100">
        <v>5.6615399999999999E-34</v>
      </c>
      <c r="O13100">
        <v>350</v>
      </c>
    </row>
    <row r="13101" spans="1:15" x14ac:dyDescent="0.25">
      <c r="A13101" t="s">
        <v>13114</v>
      </c>
      <c r="B13101">
        <v>273</v>
      </c>
      <c r="C13101" s="1" t="str">
        <f>HYPERLINK("http://www.rosaceae.org/gb/gbrowse/malus_x_domestica/?name=MDP0000435842","MDP0000435842")</f>
        <v>MDP0000435842</v>
      </c>
      <c r="D13101">
        <v>41.12</v>
      </c>
      <c r="E13101">
        <v>124</v>
      </c>
      <c r="F13101">
        <v>73</v>
      </c>
      <c r="G13101">
        <v>5</v>
      </c>
      <c r="H13101">
        <v>2</v>
      </c>
      <c r="I13101">
        <v>125</v>
      </c>
      <c r="J13101">
        <v>1</v>
      </c>
      <c r="K13101">
        <v>634</v>
      </c>
      <c r="L13101">
        <v>752</v>
      </c>
      <c r="M13101">
        <v>1</v>
      </c>
      <c r="N13101">
        <v>4.7356900000000004E-19</v>
      </c>
      <c r="O13101">
        <v>228</v>
      </c>
    </row>
    <row r="13102" spans="1:15" x14ac:dyDescent="0.25">
      <c r="A13102" t="s">
        <v>13115</v>
      </c>
      <c r="B13102">
        <v>202</v>
      </c>
      <c r="C13102" s="1" t="str">
        <f>HYPERLINK("http://www.rosaceae.org/gb/gbrowse/malus_x_domestica/?name=MDP0000312618","MDP0000312618")</f>
        <v>MDP0000312618</v>
      </c>
      <c r="D13102">
        <v>70.87</v>
      </c>
      <c r="E13102">
        <v>182</v>
      </c>
      <c r="F13102">
        <v>53</v>
      </c>
      <c r="G13102">
        <v>5</v>
      </c>
      <c r="H13102">
        <v>26</v>
      </c>
      <c r="I13102">
        <v>202</v>
      </c>
      <c r="J13102">
        <v>1</v>
      </c>
      <c r="K13102">
        <v>30</v>
      </c>
      <c r="L13102">
        <v>211</v>
      </c>
      <c r="M13102">
        <v>1</v>
      </c>
      <c r="N13102">
        <v>2.6485800000000002E-71</v>
      </c>
      <c r="O13102">
        <v>677</v>
      </c>
    </row>
    <row r="13103" spans="1:15" x14ac:dyDescent="0.25">
      <c r="A13103" t="s">
        <v>13116</v>
      </c>
      <c r="B13103">
        <v>249</v>
      </c>
      <c r="C13103" s="1" t="str">
        <f>HYPERLINK("http://www.rosaceae.org/gb/gbrowse/malus_x_domestica/?name=MDP0000238081","MDP0000238081")</f>
        <v>MDP0000238081</v>
      </c>
      <c r="D13103">
        <v>83.42</v>
      </c>
      <c r="E13103">
        <v>175</v>
      </c>
      <c r="F13103">
        <v>29</v>
      </c>
      <c r="G13103">
        <v>2</v>
      </c>
      <c r="H13103">
        <v>76</v>
      </c>
      <c r="I13103">
        <v>249</v>
      </c>
      <c r="J13103">
        <v>1</v>
      </c>
      <c r="K13103">
        <v>11</v>
      </c>
      <c r="L13103">
        <v>184</v>
      </c>
      <c r="M13103">
        <v>1</v>
      </c>
      <c r="N13103">
        <v>1.8431900000000001E-83</v>
      </c>
      <c r="O13103">
        <v>783</v>
      </c>
    </row>
    <row r="13104" spans="1:15" x14ac:dyDescent="0.25">
      <c r="A13104" t="s">
        <v>13117</v>
      </c>
      <c r="B13104">
        <v>1146</v>
      </c>
      <c r="C13104" s="1" t="str">
        <f>HYPERLINK("http://www.rosaceae.org/gb/gbrowse/malus_x_domestica/?name=MDP0000302892","MDP0000302892")</f>
        <v>MDP0000302892</v>
      </c>
      <c r="D13104">
        <v>84.97</v>
      </c>
      <c r="E13104">
        <v>865</v>
      </c>
      <c r="F13104">
        <v>130</v>
      </c>
      <c r="G13104">
        <v>29</v>
      </c>
      <c r="H13104">
        <v>283</v>
      </c>
      <c r="I13104">
        <v>1146</v>
      </c>
      <c r="J13104">
        <v>1</v>
      </c>
      <c r="K13104">
        <v>770</v>
      </c>
      <c r="L13104">
        <v>1606</v>
      </c>
      <c r="M13104">
        <v>1</v>
      </c>
      <c r="N13104">
        <v>0</v>
      </c>
      <c r="O13104">
        <v>3852</v>
      </c>
    </row>
    <row r="13105" spans="1:15" x14ac:dyDescent="0.25">
      <c r="A13105" t="s">
        <v>13118</v>
      </c>
      <c r="B13105">
        <v>423</v>
      </c>
      <c r="C13105" s="1" t="str">
        <f>HYPERLINK("http://www.rosaceae.org/gb/gbrowse/malus_x_domestica/?name=MDP0000780896","MDP0000780896")</f>
        <v>MDP0000780896</v>
      </c>
      <c r="D13105">
        <v>52.16</v>
      </c>
      <c r="E13105">
        <v>439</v>
      </c>
      <c r="F13105">
        <v>210</v>
      </c>
      <c r="G13105">
        <v>27</v>
      </c>
      <c r="H13105">
        <v>1</v>
      </c>
      <c r="I13105">
        <v>423</v>
      </c>
      <c r="J13105">
        <v>1</v>
      </c>
      <c r="K13105">
        <v>1</v>
      </c>
      <c r="L13105">
        <v>428</v>
      </c>
      <c r="M13105">
        <v>1</v>
      </c>
      <c r="N13105">
        <v>5.2856300000000003E-106</v>
      </c>
      <c r="O13105">
        <v>980</v>
      </c>
    </row>
    <row r="13106" spans="1:15" x14ac:dyDescent="0.25">
      <c r="A13106" t="s">
        <v>13119</v>
      </c>
      <c r="B13106">
        <v>138</v>
      </c>
      <c r="C13106" s="1" t="str">
        <f>HYPERLINK("http://www.rosaceae.org/gb/gbrowse/malus_x_domestica/?name=MDP0000143577","MDP0000143577")</f>
        <v>MDP0000143577</v>
      </c>
      <c r="D13106">
        <v>62.96</v>
      </c>
      <c r="E13106">
        <v>81</v>
      </c>
      <c r="F13106">
        <v>30</v>
      </c>
      <c r="G13106">
        <v>6</v>
      </c>
      <c r="H13106">
        <v>1</v>
      </c>
      <c r="I13106">
        <v>75</v>
      </c>
      <c r="J13106">
        <v>1</v>
      </c>
      <c r="K13106">
        <v>1</v>
      </c>
      <c r="L13106">
        <v>81</v>
      </c>
      <c r="M13106">
        <v>1</v>
      </c>
      <c r="N13106">
        <v>2.93547E-26</v>
      </c>
      <c r="O13106">
        <v>285</v>
      </c>
    </row>
    <row r="13107" spans="1:15" x14ac:dyDescent="0.25">
      <c r="A13107" t="s">
        <v>13120</v>
      </c>
      <c r="B13107">
        <v>226</v>
      </c>
      <c r="C13107" s="1" t="str">
        <f>HYPERLINK("http://www.rosaceae.org/gb/gbrowse/malus_x_domestica/?name=MDP0000319969","MDP0000319969")</f>
        <v>MDP0000319969</v>
      </c>
      <c r="D13107">
        <v>86.05</v>
      </c>
      <c r="E13107">
        <v>208</v>
      </c>
      <c r="F13107">
        <v>29</v>
      </c>
      <c r="G13107">
        <v>1</v>
      </c>
      <c r="H13107">
        <v>20</v>
      </c>
      <c r="I13107">
        <v>226</v>
      </c>
      <c r="J13107">
        <v>1</v>
      </c>
      <c r="K13107">
        <v>20</v>
      </c>
      <c r="L13107">
        <v>227</v>
      </c>
      <c r="M13107">
        <v>1</v>
      </c>
      <c r="N13107">
        <v>3.1551399999999997E-104</v>
      </c>
      <c r="O13107">
        <v>961</v>
      </c>
    </row>
    <row r="13108" spans="1:15" x14ac:dyDescent="0.25">
      <c r="A13108" t="s">
        <v>13121</v>
      </c>
      <c r="B13108">
        <v>341</v>
      </c>
      <c r="C13108" s="1" t="str">
        <f>HYPERLINK("http://www.rosaceae.org/gb/gbrowse/malus_x_domestica/?name=MDP0000222269","MDP0000222269")</f>
        <v>MDP0000222269</v>
      </c>
      <c r="D13108">
        <v>28.13</v>
      </c>
      <c r="E13108">
        <v>295</v>
      </c>
      <c r="F13108">
        <v>212</v>
      </c>
      <c r="G13108">
        <v>31</v>
      </c>
      <c r="H13108">
        <v>70</v>
      </c>
      <c r="I13108">
        <v>339</v>
      </c>
      <c r="J13108">
        <v>1</v>
      </c>
      <c r="K13108">
        <v>230</v>
      </c>
      <c r="L13108">
        <v>518</v>
      </c>
      <c r="M13108">
        <v>1</v>
      </c>
      <c r="N13108">
        <v>8.2648400000000002E-33</v>
      </c>
      <c r="O13108">
        <v>348</v>
      </c>
    </row>
    <row r="13109" spans="1:15" x14ac:dyDescent="0.25">
      <c r="A13109" t="s">
        <v>13122</v>
      </c>
      <c r="B13109">
        <v>396</v>
      </c>
      <c r="C13109" s="1" t="str">
        <f>HYPERLINK("http://www.rosaceae.org/gb/gbrowse/malus_x_domestica/?name=MDP0000207096","MDP0000207096")</f>
        <v>MDP0000207096</v>
      </c>
      <c r="D13109">
        <v>79.58</v>
      </c>
      <c r="E13109">
        <v>382</v>
      </c>
      <c r="F13109">
        <v>78</v>
      </c>
      <c r="G13109">
        <v>30</v>
      </c>
      <c r="H13109">
        <v>20</v>
      </c>
      <c r="I13109">
        <v>396</v>
      </c>
      <c r="J13109">
        <v>1</v>
      </c>
      <c r="K13109">
        <v>150</v>
      </c>
      <c r="L13109">
        <v>506</v>
      </c>
      <c r="M13109">
        <v>1</v>
      </c>
      <c r="N13109">
        <v>1.3314500000000001E-180</v>
      </c>
      <c r="O13109">
        <v>1623</v>
      </c>
    </row>
    <row r="13110" spans="1:15" x14ac:dyDescent="0.25">
      <c r="A13110" t="s">
        <v>13123</v>
      </c>
      <c r="B13110">
        <v>462</v>
      </c>
      <c r="C13110" s="1" t="str">
        <f>HYPERLINK("http://www.rosaceae.org/gb/gbrowse/malus_x_domestica/?name=MDP0000276208","MDP0000276208")</f>
        <v>MDP0000276208</v>
      </c>
      <c r="D13110">
        <v>79.61</v>
      </c>
      <c r="E13110">
        <v>309</v>
      </c>
      <c r="F13110">
        <v>63</v>
      </c>
      <c r="G13110">
        <v>0</v>
      </c>
      <c r="H13110">
        <v>153</v>
      </c>
      <c r="I13110">
        <v>461</v>
      </c>
      <c r="J13110">
        <v>1</v>
      </c>
      <c r="K13110">
        <v>25</v>
      </c>
      <c r="L13110">
        <v>333</v>
      </c>
      <c r="M13110">
        <v>1</v>
      </c>
      <c r="N13110">
        <v>4.0367300000000001E-147</v>
      </c>
      <c r="O13110">
        <v>1335</v>
      </c>
    </row>
    <row r="13111" spans="1:15" x14ac:dyDescent="0.25">
      <c r="A13111" t="s">
        <v>13124</v>
      </c>
      <c r="B13111">
        <v>125</v>
      </c>
      <c r="C13111" s="1" t="str">
        <f>HYPERLINK("http://www.rosaceae.org/gb/gbrowse/malus_x_domestica/?name=MDP0000595477","MDP0000595477")</f>
        <v>MDP0000595477</v>
      </c>
      <c r="D13111">
        <v>52.75</v>
      </c>
      <c r="E13111">
        <v>127</v>
      </c>
      <c r="F13111">
        <v>60</v>
      </c>
      <c r="G13111">
        <v>5</v>
      </c>
      <c r="H13111">
        <v>1</v>
      </c>
      <c r="I13111">
        <v>125</v>
      </c>
      <c r="J13111">
        <v>1</v>
      </c>
      <c r="K13111">
        <v>1</v>
      </c>
      <c r="L13111">
        <v>124</v>
      </c>
      <c r="M13111">
        <v>1</v>
      </c>
      <c r="N13111">
        <v>3.53564E-25</v>
      </c>
      <c r="O13111">
        <v>275</v>
      </c>
    </row>
    <row r="13112" spans="1:15" x14ac:dyDescent="0.25">
      <c r="A13112" t="s">
        <v>13125</v>
      </c>
      <c r="B13112">
        <v>245</v>
      </c>
      <c r="C13112" s="1" t="str">
        <f>HYPERLINK("http://www.rosaceae.org/gb/gbrowse/malus_x_domestica/?name=MDP0000262784","MDP0000262784")</f>
        <v>MDP0000262784</v>
      </c>
      <c r="D13112">
        <v>52.63</v>
      </c>
      <c r="E13112">
        <v>95</v>
      </c>
      <c r="F13112">
        <v>45</v>
      </c>
      <c r="G13112">
        <v>7</v>
      </c>
      <c r="H13112">
        <v>1</v>
      </c>
      <c r="I13112">
        <v>92</v>
      </c>
      <c r="J13112">
        <v>1</v>
      </c>
      <c r="K13112">
        <v>4</v>
      </c>
      <c r="L13112">
        <v>94</v>
      </c>
      <c r="M13112">
        <v>1</v>
      </c>
      <c r="N13112">
        <v>1.5461700000000001E-19</v>
      </c>
      <c r="O13112">
        <v>231</v>
      </c>
    </row>
    <row r="13113" spans="1:15" x14ac:dyDescent="0.25">
      <c r="A13113" t="s">
        <v>13126</v>
      </c>
      <c r="B13113">
        <v>444</v>
      </c>
      <c r="C13113" s="1" t="str">
        <f>HYPERLINK("http://www.rosaceae.org/gb/gbrowse/malus_x_domestica/?name=MDP0000298505","MDP0000298505")</f>
        <v>MDP0000298505</v>
      </c>
      <c r="D13113">
        <v>44.73</v>
      </c>
      <c r="E13113">
        <v>76</v>
      </c>
      <c r="F13113">
        <v>42</v>
      </c>
      <c r="G13113">
        <v>5</v>
      </c>
      <c r="H13113">
        <v>291</v>
      </c>
      <c r="I13113">
        <v>366</v>
      </c>
      <c r="J13113">
        <v>1</v>
      </c>
      <c r="K13113">
        <v>446</v>
      </c>
      <c r="L13113">
        <v>516</v>
      </c>
      <c r="M13113">
        <v>1</v>
      </c>
      <c r="N13113">
        <v>1.17053E-7</v>
      </c>
      <c r="O13113">
        <v>132</v>
      </c>
    </row>
    <row r="13114" spans="1:15" x14ac:dyDescent="0.25">
      <c r="A13114" t="s">
        <v>13127</v>
      </c>
      <c r="B13114">
        <v>229</v>
      </c>
      <c r="C13114" s="1" t="str">
        <f>HYPERLINK("http://www.rosaceae.org/gb/gbrowse/malus_x_domestica/?name=MDP0000128794","MDP0000128794")</f>
        <v>MDP0000128794</v>
      </c>
      <c r="D13114">
        <v>39.409999999999997</v>
      </c>
      <c r="E13114">
        <v>241</v>
      </c>
      <c r="F13114">
        <v>146</v>
      </c>
      <c r="G13114">
        <v>18</v>
      </c>
      <c r="H13114">
        <v>1</v>
      </c>
      <c r="I13114">
        <v>229</v>
      </c>
      <c r="J13114">
        <v>1</v>
      </c>
      <c r="K13114">
        <v>1</v>
      </c>
      <c r="L13114">
        <v>235</v>
      </c>
      <c r="M13114">
        <v>1</v>
      </c>
      <c r="N13114">
        <v>5.1402700000000001E-27</v>
      </c>
      <c r="O13114">
        <v>295</v>
      </c>
    </row>
    <row r="13115" spans="1:15" x14ac:dyDescent="0.25">
      <c r="A13115" t="s">
        <v>13128</v>
      </c>
      <c r="B13115">
        <v>1220</v>
      </c>
      <c r="C13115" s="1" t="str">
        <f>HYPERLINK("http://www.rosaceae.org/gb/gbrowse/malus_x_domestica/?name=MDP0000267283","MDP0000267283")</f>
        <v>MDP0000267283</v>
      </c>
      <c r="D13115">
        <v>76.02</v>
      </c>
      <c r="E13115">
        <v>955</v>
      </c>
      <c r="F13115">
        <v>229</v>
      </c>
      <c r="G13115">
        <v>87</v>
      </c>
      <c r="H13115">
        <v>285</v>
      </c>
      <c r="I13115">
        <v>1153</v>
      </c>
      <c r="J13115">
        <v>1</v>
      </c>
      <c r="K13115">
        <v>54</v>
      </c>
      <c r="L13115">
        <v>1007</v>
      </c>
      <c r="M13115">
        <v>1</v>
      </c>
      <c r="N13115">
        <v>0</v>
      </c>
      <c r="O13115">
        <v>3738</v>
      </c>
    </row>
    <row r="13116" spans="1:15" x14ac:dyDescent="0.25">
      <c r="A13116" t="s">
        <v>13129</v>
      </c>
      <c r="B13116">
        <v>457</v>
      </c>
      <c r="C13116" s="1" t="str">
        <f>HYPERLINK("http://www.rosaceae.org/gb/gbrowse/malus_x_domestica/?name=MDP0000315466","MDP0000315466")</f>
        <v>MDP0000315466</v>
      </c>
      <c r="D13116">
        <v>67.099999999999994</v>
      </c>
      <c r="E13116">
        <v>383</v>
      </c>
      <c r="F13116">
        <v>126</v>
      </c>
      <c r="G13116">
        <v>16</v>
      </c>
      <c r="H13116">
        <v>85</v>
      </c>
      <c r="I13116">
        <v>455</v>
      </c>
      <c r="J13116">
        <v>1</v>
      </c>
      <c r="K13116">
        <v>110</v>
      </c>
      <c r="L13116">
        <v>488</v>
      </c>
      <c r="M13116">
        <v>1</v>
      </c>
      <c r="N13116">
        <v>4.0248699999999998E-137</v>
      </c>
      <c r="O13116">
        <v>1249</v>
      </c>
    </row>
    <row r="13117" spans="1:15" x14ac:dyDescent="0.25">
      <c r="A13117" t="s">
        <v>13130</v>
      </c>
      <c r="B13117">
        <v>751</v>
      </c>
      <c r="C13117" s="1" t="str">
        <f>HYPERLINK("http://www.rosaceae.org/gb/gbrowse/malus_x_domestica/?name=MDP0000283768","MDP0000283768")</f>
        <v>MDP0000283768</v>
      </c>
      <c r="D13117">
        <v>79.53</v>
      </c>
      <c r="E13117">
        <v>694</v>
      </c>
      <c r="F13117">
        <v>142</v>
      </c>
      <c r="G13117">
        <v>21</v>
      </c>
      <c r="H13117">
        <v>57</v>
      </c>
      <c r="I13117">
        <v>750</v>
      </c>
      <c r="J13117">
        <v>1</v>
      </c>
      <c r="K13117">
        <v>443</v>
      </c>
      <c r="L13117">
        <v>1115</v>
      </c>
      <c r="M13117">
        <v>1</v>
      </c>
      <c r="N13117">
        <v>0</v>
      </c>
      <c r="O13117">
        <v>2961</v>
      </c>
    </row>
    <row r="13118" spans="1:15" x14ac:dyDescent="0.25">
      <c r="A13118" t="s">
        <v>13131</v>
      </c>
      <c r="B13118">
        <v>296</v>
      </c>
      <c r="C13118" s="1" t="str">
        <f>HYPERLINK("http://www.rosaceae.org/gb/gbrowse/malus_x_domestica/?name=MDP0000245659","MDP0000245659")</f>
        <v>MDP0000245659</v>
      </c>
      <c r="D13118">
        <v>71.12</v>
      </c>
      <c r="E13118">
        <v>239</v>
      </c>
      <c r="F13118">
        <v>69</v>
      </c>
      <c r="G13118">
        <v>0</v>
      </c>
      <c r="H13118">
        <v>2</v>
      </c>
      <c r="I13118">
        <v>240</v>
      </c>
      <c r="J13118">
        <v>1</v>
      </c>
      <c r="K13118">
        <v>179</v>
      </c>
      <c r="L13118">
        <v>417</v>
      </c>
      <c r="M13118">
        <v>1</v>
      </c>
      <c r="N13118">
        <v>2.0762700000000001E-102</v>
      </c>
      <c r="O13118">
        <v>947</v>
      </c>
    </row>
    <row r="13119" spans="1:15" x14ac:dyDescent="0.25">
      <c r="A13119" t="s">
        <v>13132</v>
      </c>
      <c r="B13119">
        <v>272</v>
      </c>
      <c r="C13119" s="1" t="str">
        <f>HYPERLINK("http://www.rosaceae.org/gb/gbrowse/malus_x_domestica/?name=MDP0000190535","MDP0000190535")</f>
        <v>MDP0000190535</v>
      </c>
      <c r="D13119">
        <v>80.930000000000007</v>
      </c>
      <c r="E13119">
        <v>236</v>
      </c>
      <c r="F13119">
        <v>45</v>
      </c>
      <c r="G13119">
        <v>3</v>
      </c>
      <c r="H13119">
        <v>32</v>
      </c>
      <c r="I13119">
        <v>267</v>
      </c>
      <c r="J13119">
        <v>1</v>
      </c>
      <c r="K13119">
        <v>44</v>
      </c>
      <c r="L13119">
        <v>276</v>
      </c>
      <c r="M13119">
        <v>1</v>
      </c>
      <c r="N13119">
        <v>2.9187600000000002E-114</v>
      </c>
      <c r="O13119">
        <v>1049</v>
      </c>
    </row>
    <row r="13120" spans="1:15" x14ac:dyDescent="0.25">
      <c r="A13120" t="s">
        <v>13133</v>
      </c>
      <c r="B13120">
        <v>163</v>
      </c>
      <c r="C13120" s="1" t="str">
        <f>HYPERLINK("http://www.rosaceae.org/gb/gbrowse/malus_x_domestica/?name=MDP0000931057","MDP0000931057")</f>
        <v>MDP0000931057</v>
      </c>
      <c r="D13120">
        <v>50.64</v>
      </c>
      <c r="E13120">
        <v>77</v>
      </c>
      <c r="F13120">
        <v>38</v>
      </c>
      <c r="G13120">
        <v>10</v>
      </c>
      <c r="H13120">
        <v>33</v>
      </c>
      <c r="I13120">
        <v>109</v>
      </c>
      <c r="J13120">
        <v>1</v>
      </c>
      <c r="K13120">
        <v>96</v>
      </c>
      <c r="L13120">
        <v>162</v>
      </c>
      <c r="M13120">
        <v>1</v>
      </c>
      <c r="N13120">
        <v>8.4749100000000003E-13</v>
      </c>
      <c r="O13120">
        <v>170</v>
      </c>
    </row>
    <row r="13121" spans="1:15" x14ac:dyDescent="0.25">
      <c r="A13121" t="s">
        <v>13134</v>
      </c>
      <c r="B13121">
        <v>339</v>
      </c>
      <c r="C13121" s="1" t="str">
        <f>HYPERLINK("http://www.rosaceae.org/gb/gbrowse/malus_x_domestica/?name=MDP0000297059","MDP0000297059")</f>
        <v>MDP0000297059</v>
      </c>
      <c r="D13121">
        <v>33.590000000000003</v>
      </c>
      <c r="E13121">
        <v>387</v>
      </c>
      <c r="F13121">
        <v>257</v>
      </c>
      <c r="G13121">
        <v>75</v>
      </c>
      <c r="H13121">
        <v>6</v>
      </c>
      <c r="I13121">
        <v>337</v>
      </c>
      <c r="J13121">
        <v>1</v>
      </c>
      <c r="K13121">
        <v>25</v>
      </c>
      <c r="L13121">
        <v>391</v>
      </c>
      <c r="M13121">
        <v>1</v>
      </c>
      <c r="N13121">
        <v>8.8849999999999996E-42</v>
      </c>
      <c r="O13121">
        <v>425</v>
      </c>
    </row>
    <row r="13122" spans="1:15" x14ac:dyDescent="0.25">
      <c r="A13122" t="s">
        <v>13135</v>
      </c>
      <c r="B13122">
        <v>368</v>
      </c>
      <c r="C13122" s="1" t="str">
        <f>HYPERLINK("http://www.rosaceae.org/gb/gbrowse/malus_x_domestica/?name=MDP0000231342","MDP0000231342")</f>
        <v>MDP0000231342</v>
      </c>
      <c r="D13122">
        <v>87.27</v>
      </c>
      <c r="E13122">
        <v>55</v>
      </c>
      <c r="F13122">
        <v>7</v>
      </c>
      <c r="G13122">
        <v>0</v>
      </c>
      <c r="H13122">
        <v>314</v>
      </c>
      <c r="I13122">
        <v>368</v>
      </c>
      <c r="J13122">
        <v>1</v>
      </c>
      <c r="K13122">
        <v>53</v>
      </c>
      <c r="L13122">
        <v>107</v>
      </c>
      <c r="M13122">
        <v>1</v>
      </c>
      <c r="N13122">
        <v>1.4379900000000001E-22</v>
      </c>
      <c r="O13122">
        <v>260</v>
      </c>
    </row>
    <row r="13123" spans="1:15" x14ac:dyDescent="0.25">
      <c r="A13123" t="s">
        <v>13136</v>
      </c>
      <c r="B13123">
        <v>296</v>
      </c>
      <c r="C13123" s="1" t="str">
        <f>HYPERLINK("http://www.rosaceae.org/gb/gbrowse/malus_x_domestica/?name=MDP0000233150","MDP0000233150")</f>
        <v>MDP0000233150</v>
      </c>
      <c r="D13123">
        <v>79.010000000000005</v>
      </c>
      <c r="E13123">
        <v>305</v>
      </c>
      <c r="F13123">
        <v>64</v>
      </c>
      <c r="G13123">
        <v>11</v>
      </c>
      <c r="H13123">
        <v>1</v>
      </c>
      <c r="I13123">
        <v>296</v>
      </c>
      <c r="J13123">
        <v>1</v>
      </c>
      <c r="K13123">
        <v>110</v>
      </c>
      <c r="L13123">
        <v>412</v>
      </c>
      <c r="M13123">
        <v>1</v>
      </c>
      <c r="N13123">
        <v>2.1959100000000001E-139</v>
      </c>
      <c r="O13123">
        <v>1266</v>
      </c>
    </row>
    <row r="13124" spans="1:15" x14ac:dyDescent="0.25">
      <c r="A13124" t="s">
        <v>13137</v>
      </c>
      <c r="B13124">
        <v>784</v>
      </c>
      <c r="C13124" s="1" t="str">
        <f>HYPERLINK("http://www.rosaceae.org/gb/gbrowse/malus_x_domestica/?name=MDP0000256805","MDP0000256805")</f>
        <v>MDP0000256805</v>
      </c>
      <c r="D13124">
        <v>47.65</v>
      </c>
      <c r="E13124">
        <v>789</v>
      </c>
      <c r="F13124">
        <v>413</v>
      </c>
      <c r="G13124">
        <v>113</v>
      </c>
      <c r="H13124">
        <v>1</v>
      </c>
      <c r="I13124">
        <v>731</v>
      </c>
      <c r="J13124">
        <v>1</v>
      </c>
      <c r="K13124">
        <v>1</v>
      </c>
      <c r="L13124">
        <v>734</v>
      </c>
      <c r="M13124">
        <v>1</v>
      </c>
      <c r="N13124">
        <v>1.3779399999999999E-166</v>
      </c>
      <c r="O13124">
        <v>1505</v>
      </c>
    </row>
    <row r="13125" spans="1:15" x14ac:dyDescent="0.25">
      <c r="A13125" t="s">
        <v>13138</v>
      </c>
      <c r="B13125">
        <v>557</v>
      </c>
      <c r="C13125" s="1" t="str">
        <f>HYPERLINK("http://www.rosaceae.org/gb/gbrowse/malus_x_domestica/?name=MDP0000242297","MDP0000242297")</f>
        <v>MDP0000242297</v>
      </c>
      <c r="D13125">
        <v>41.66</v>
      </c>
      <c r="E13125">
        <v>72</v>
      </c>
      <c r="F13125">
        <v>42</v>
      </c>
      <c r="G13125">
        <v>4</v>
      </c>
      <c r="H13125">
        <v>333</v>
      </c>
      <c r="I13125">
        <v>404</v>
      </c>
      <c r="J13125">
        <v>1</v>
      </c>
      <c r="K13125">
        <v>245</v>
      </c>
      <c r="L13125">
        <v>312</v>
      </c>
      <c r="M13125">
        <v>1</v>
      </c>
      <c r="N13125">
        <v>4.0291499999999999E-9</v>
      </c>
      <c r="O13125">
        <v>146</v>
      </c>
    </row>
    <row r="13126" spans="1:15" x14ac:dyDescent="0.25">
      <c r="A13126" t="s">
        <v>13139</v>
      </c>
      <c r="B13126">
        <v>222</v>
      </c>
      <c r="C13126" s="1" t="str">
        <f>HYPERLINK("http://www.rosaceae.org/gb/gbrowse/malus_x_domestica/?name=MDP0000660290","MDP0000660290")</f>
        <v>MDP0000660290</v>
      </c>
      <c r="D13126">
        <v>55.46</v>
      </c>
      <c r="E13126">
        <v>238</v>
      </c>
      <c r="F13126">
        <v>106</v>
      </c>
      <c r="G13126">
        <v>17</v>
      </c>
      <c r="H13126">
        <v>1</v>
      </c>
      <c r="I13126">
        <v>222</v>
      </c>
      <c r="J13126">
        <v>1</v>
      </c>
      <c r="K13126">
        <v>1</v>
      </c>
      <c r="L13126">
        <v>237</v>
      </c>
      <c r="M13126">
        <v>1</v>
      </c>
      <c r="N13126">
        <v>1.5485E-59</v>
      </c>
      <c r="O13126">
        <v>576</v>
      </c>
    </row>
    <row r="13127" spans="1:15" x14ac:dyDescent="0.25">
      <c r="A13127" t="s">
        <v>13140</v>
      </c>
      <c r="B13127">
        <v>355</v>
      </c>
      <c r="C13127" s="1" t="str">
        <f>HYPERLINK("http://www.rosaceae.org/gb/gbrowse/malus_x_domestica/?name=MDP0000294445","MDP0000294445")</f>
        <v>MDP0000294445</v>
      </c>
      <c r="D13127">
        <v>81.72</v>
      </c>
      <c r="E13127">
        <v>279</v>
      </c>
      <c r="F13127">
        <v>51</v>
      </c>
      <c r="G13127">
        <v>4</v>
      </c>
      <c r="H13127">
        <v>59</v>
      </c>
      <c r="I13127">
        <v>333</v>
      </c>
      <c r="J13127">
        <v>1</v>
      </c>
      <c r="K13127">
        <v>315</v>
      </c>
      <c r="L13127">
        <v>593</v>
      </c>
      <c r="M13127">
        <v>1</v>
      </c>
      <c r="N13127">
        <v>2.3607799999999999E-123</v>
      </c>
      <c r="O13127">
        <v>1129</v>
      </c>
    </row>
    <row r="13128" spans="1:15" x14ac:dyDescent="0.25">
      <c r="A13128" t="s">
        <v>13141</v>
      </c>
      <c r="B13128">
        <v>479</v>
      </c>
      <c r="C13128" s="1" t="str">
        <f>HYPERLINK("http://www.rosaceae.org/gb/gbrowse/malus_x_domestica/?name=MDP0000189375","MDP0000189375")</f>
        <v>MDP0000189375</v>
      </c>
      <c r="D13128">
        <v>68.599999999999994</v>
      </c>
      <c r="E13128">
        <v>172</v>
      </c>
      <c r="F13128">
        <v>54</v>
      </c>
      <c r="G13128">
        <v>16</v>
      </c>
      <c r="H13128">
        <v>324</v>
      </c>
      <c r="I13128">
        <v>479</v>
      </c>
      <c r="J13128">
        <v>1</v>
      </c>
      <c r="K13128">
        <v>26</v>
      </c>
      <c r="L13128">
        <v>197</v>
      </c>
      <c r="M13128">
        <v>1</v>
      </c>
      <c r="N13128">
        <v>2.3015899999999998E-59</v>
      </c>
      <c r="O13128">
        <v>578</v>
      </c>
    </row>
    <row r="13129" spans="1:15" x14ac:dyDescent="0.25">
      <c r="A13129" t="s">
        <v>13142</v>
      </c>
      <c r="B13129">
        <v>646</v>
      </c>
      <c r="C13129" s="1" t="str">
        <f>HYPERLINK("http://www.rosaceae.org/gb/gbrowse/malus_x_domestica/?name=MDP0000275386","MDP0000275386")</f>
        <v>MDP0000275386</v>
      </c>
      <c r="D13129">
        <v>66.099999999999994</v>
      </c>
      <c r="E13129">
        <v>295</v>
      </c>
      <c r="F13129">
        <v>100</v>
      </c>
      <c r="G13129">
        <v>4</v>
      </c>
      <c r="H13129">
        <v>124</v>
      </c>
      <c r="I13129">
        <v>414</v>
      </c>
      <c r="J13129">
        <v>1</v>
      </c>
      <c r="K13129">
        <v>200</v>
      </c>
      <c r="L13129">
        <v>494</v>
      </c>
      <c r="M13129">
        <v>1</v>
      </c>
      <c r="N13129">
        <v>5.6552699999999994E-107</v>
      </c>
      <c r="O13129">
        <v>990</v>
      </c>
    </row>
    <row r="13130" spans="1:15" x14ac:dyDescent="0.25">
      <c r="A13130" t="s">
        <v>13143</v>
      </c>
      <c r="B13130">
        <v>781</v>
      </c>
      <c r="C13130" s="1" t="str">
        <f>HYPERLINK("http://www.rosaceae.org/gb/gbrowse/malus_x_domestica/?name=MDP0000313546","MDP0000313546")</f>
        <v>MDP0000313546</v>
      </c>
      <c r="D13130">
        <v>62.06</v>
      </c>
      <c r="E13130">
        <v>398</v>
      </c>
      <c r="F13130">
        <v>151</v>
      </c>
      <c r="G13130">
        <v>26</v>
      </c>
      <c r="H13130">
        <v>406</v>
      </c>
      <c r="I13130">
        <v>781</v>
      </c>
      <c r="J13130">
        <v>1</v>
      </c>
      <c r="K13130">
        <v>464</v>
      </c>
      <c r="L13130">
        <v>857</v>
      </c>
      <c r="M13130">
        <v>1</v>
      </c>
      <c r="N13130">
        <v>5.5875700000000003E-128</v>
      </c>
      <c r="O13130">
        <v>1172</v>
      </c>
    </row>
    <row r="13131" spans="1:15" x14ac:dyDescent="0.25">
      <c r="A13131" t="s">
        <v>13144</v>
      </c>
      <c r="B13131">
        <v>278</v>
      </c>
      <c r="C13131" s="1" t="str">
        <f>HYPERLINK("http://www.rosaceae.org/gb/gbrowse/malus_x_domestica/?name=MDP0000255567","MDP0000255567")</f>
        <v>MDP0000255567</v>
      </c>
      <c r="D13131">
        <v>37.5</v>
      </c>
      <c r="E13131">
        <v>248</v>
      </c>
      <c r="F13131">
        <v>155</v>
      </c>
      <c r="G13131">
        <v>22</v>
      </c>
      <c r="H13131">
        <v>12</v>
      </c>
      <c r="I13131">
        <v>256</v>
      </c>
      <c r="J13131">
        <v>1</v>
      </c>
      <c r="K13131">
        <v>1003</v>
      </c>
      <c r="L13131">
        <v>1231</v>
      </c>
      <c r="M13131">
        <v>1</v>
      </c>
      <c r="N13131">
        <v>2.1056900000000001E-36</v>
      </c>
      <c r="O13131">
        <v>377</v>
      </c>
    </row>
    <row r="13132" spans="1:15" x14ac:dyDescent="0.25">
      <c r="A13132" t="s">
        <v>13145</v>
      </c>
      <c r="B13132">
        <v>225</v>
      </c>
      <c r="C13132" s="1" t="str">
        <f>HYPERLINK("http://www.rosaceae.org/gb/gbrowse/malus_x_domestica/?name=MDP0000614608","MDP0000614608")</f>
        <v>MDP0000614608</v>
      </c>
      <c r="D13132">
        <v>56.35</v>
      </c>
      <c r="E13132">
        <v>236</v>
      </c>
      <c r="F13132">
        <v>103</v>
      </c>
      <c r="G13132">
        <v>22</v>
      </c>
      <c r="H13132">
        <v>1</v>
      </c>
      <c r="I13132">
        <v>224</v>
      </c>
      <c r="J13132">
        <v>1</v>
      </c>
      <c r="K13132">
        <v>1</v>
      </c>
      <c r="L13132">
        <v>226</v>
      </c>
      <c r="M13132">
        <v>1</v>
      </c>
      <c r="N13132">
        <v>2.88808E-65</v>
      </c>
      <c r="O13132">
        <v>625</v>
      </c>
    </row>
    <row r="13133" spans="1:15" x14ac:dyDescent="0.25">
      <c r="A13133" t="s">
        <v>13146</v>
      </c>
      <c r="B13133">
        <v>1495</v>
      </c>
      <c r="C13133" s="1" t="str">
        <f>HYPERLINK("http://www.rosaceae.org/gb/gbrowse/malus_x_domestica/?name=MDP0000254260","MDP0000254260")</f>
        <v>MDP0000254260</v>
      </c>
      <c r="D13133">
        <v>81.41</v>
      </c>
      <c r="E13133">
        <v>705</v>
      </c>
      <c r="F13133">
        <v>131</v>
      </c>
      <c r="G13133">
        <v>4</v>
      </c>
      <c r="H13133">
        <v>130</v>
      </c>
      <c r="I13133">
        <v>833</v>
      </c>
      <c r="J13133">
        <v>1</v>
      </c>
      <c r="K13133">
        <v>1</v>
      </c>
      <c r="L13133">
        <v>702</v>
      </c>
      <c r="M13133">
        <v>1</v>
      </c>
      <c r="N13133">
        <v>0</v>
      </c>
      <c r="O13133">
        <v>2898</v>
      </c>
    </row>
    <row r="13134" spans="1:15" x14ac:dyDescent="0.25">
      <c r="A13134" t="s">
        <v>13147</v>
      </c>
      <c r="B13134">
        <v>1251</v>
      </c>
      <c r="C13134" s="1" t="str">
        <f>HYPERLINK("http://www.rosaceae.org/gb/gbrowse/malus_x_domestica/?name=MDP0000294856","MDP0000294856")</f>
        <v>MDP0000294856</v>
      </c>
      <c r="D13134">
        <v>71.180000000000007</v>
      </c>
      <c r="E13134">
        <v>1284</v>
      </c>
      <c r="F13134">
        <v>370</v>
      </c>
      <c r="G13134">
        <v>94</v>
      </c>
      <c r="H13134">
        <v>9</v>
      </c>
      <c r="I13134">
        <v>1251</v>
      </c>
      <c r="J13134">
        <v>1</v>
      </c>
      <c r="K13134">
        <v>1</v>
      </c>
      <c r="L13134">
        <v>1231</v>
      </c>
      <c r="M13134">
        <v>1</v>
      </c>
      <c r="N13134">
        <v>0</v>
      </c>
      <c r="O13134">
        <v>4581</v>
      </c>
    </row>
    <row r="13135" spans="1:15" x14ac:dyDescent="0.25">
      <c r="A13135" t="s">
        <v>13148</v>
      </c>
      <c r="B13135">
        <v>892</v>
      </c>
      <c r="C13135" s="1" t="str">
        <f>HYPERLINK("http://www.rosaceae.org/gb/gbrowse/malus_x_domestica/?name=MDP0000153237","MDP0000153237")</f>
        <v>MDP0000153237</v>
      </c>
      <c r="D13135">
        <v>75.180000000000007</v>
      </c>
      <c r="E13135">
        <v>822</v>
      </c>
      <c r="F13135">
        <v>204</v>
      </c>
      <c r="G13135">
        <v>14</v>
      </c>
      <c r="H13135">
        <v>1</v>
      </c>
      <c r="I13135">
        <v>812</v>
      </c>
      <c r="J13135">
        <v>1</v>
      </c>
      <c r="K13135">
        <v>3</v>
      </c>
      <c r="L13135">
        <v>820</v>
      </c>
      <c r="M13135">
        <v>1</v>
      </c>
      <c r="N13135">
        <v>0</v>
      </c>
      <c r="O13135">
        <v>3138</v>
      </c>
    </row>
    <row r="13136" spans="1:15" x14ac:dyDescent="0.25">
      <c r="A13136" t="s">
        <v>13149</v>
      </c>
      <c r="B13136">
        <v>146</v>
      </c>
      <c r="C13136" s="1" t="str">
        <f>HYPERLINK("http://www.rosaceae.org/gb/gbrowse/malus_x_domestica/?name=MDP0000194107","MDP0000194107")</f>
        <v>MDP0000194107</v>
      </c>
      <c r="D13136">
        <v>52.05</v>
      </c>
      <c r="E13136">
        <v>146</v>
      </c>
      <c r="F13136">
        <v>70</v>
      </c>
      <c r="G13136">
        <v>0</v>
      </c>
      <c r="H13136">
        <v>1</v>
      </c>
      <c r="I13136">
        <v>146</v>
      </c>
      <c r="J13136">
        <v>1</v>
      </c>
      <c r="K13136">
        <v>1</v>
      </c>
      <c r="L13136">
        <v>146</v>
      </c>
      <c r="M13136">
        <v>1</v>
      </c>
      <c r="N13136">
        <v>7.8842500000000005E-40</v>
      </c>
      <c r="O13136">
        <v>403</v>
      </c>
    </row>
    <row r="13137" spans="1:15" x14ac:dyDescent="0.25">
      <c r="A13137" t="s">
        <v>13150</v>
      </c>
      <c r="B13137">
        <v>1923</v>
      </c>
      <c r="C13137" s="1" t="str">
        <f>HYPERLINK("http://www.rosaceae.org/gb/gbrowse/malus_x_domestica/?name=MDP0000130002","MDP0000130002")</f>
        <v>MDP0000130002</v>
      </c>
      <c r="D13137">
        <v>77.430000000000007</v>
      </c>
      <c r="E13137">
        <v>966</v>
      </c>
      <c r="F13137">
        <v>218</v>
      </c>
      <c r="G13137">
        <v>142</v>
      </c>
      <c r="H13137">
        <v>162</v>
      </c>
      <c r="I13137">
        <v>985</v>
      </c>
      <c r="J13137">
        <v>1</v>
      </c>
      <c r="K13137">
        <v>1</v>
      </c>
      <c r="L13137">
        <v>966</v>
      </c>
      <c r="M13137">
        <v>1</v>
      </c>
      <c r="N13137">
        <v>0</v>
      </c>
      <c r="O13137">
        <v>3837</v>
      </c>
    </row>
    <row r="13138" spans="1:15" x14ac:dyDescent="0.25">
      <c r="A13138" t="s">
        <v>13151</v>
      </c>
      <c r="B13138">
        <v>772</v>
      </c>
      <c r="C13138" s="1" t="str">
        <f>HYPERLINK("http://www.rosaceae.org/gb/gbrowse/malus_x_domestica/?name=MDP0000135679","MDP0000135679")</f>
        <v>MDP0000135679</v>
      </c>
      <c r="D13138">
        <v>63.13</v>
      </c>
      <c r="E13138">
        <v>434</v>
      </c>
      <c r="F13138">
        <v>160</v>
      </c>
      <c r="G13138">
        <v>40</v>
      </c>
      <c r="H13138">
        <v>211</v>
      </c>
      <c r="I13138">
        <v>618</v>
      </c>
      <c r="J13138">
        <v>1</v>
      </c>
      <c r="K13138">
        <v>261</v>
      </c>
      <c r="L13138">
        <v>680</v>
      </c>
      <c r="M13138">
        <v>1</v>
      </c>
      <c r="N13138">
        <v>1.6511299999999998E-142</v>
      </c>
      <c r="O13138">
        <v>1297</v>
      </c>
    </row>
    <row r="13139" spans="1:15" x14ac:dyDescent="0.25">
      <c r="A13139" t="s">
        <v>13152</v>
      </c>
      <c r="B13139">
        <v>285</v>
      </c>
      <c r="C13139" s="1" t="str">
        <f>HYPERLINK("http://www.rosaceae.org/gb/gbrowse/malus_x_domestica/?name=MDP0000217823","MDP0000217823")</f>
        <v>MDP0000217823</v>
      </c>
      <c r="D13139">
        <v>57.61</v>
      </c>
      <c r="E13139">
        <v>210</v>
      </c>
      <c r="F13139">
        <v>89</v>
      </c>
      <c r="G13139">
        <v>2</v>
      </c>
      <c r="H13139">
        <v>72</v>
      </c>
      <c r="I13139">
        <v>280</v>
      </c>
      <c r="J13139">
        <v>1</v>
      </c>
      <c r="K13139">
        <v>652</v>
      </c>
      <c r="L13139">
        <v>860</v>
      </c>
      <c r="M13139">
        <v>1</v>
      </c>
      <c r="N13139">
        <v>1.83476E-70</v>
      </c>
      <c r="O13139">
        <v>671</v>
      </c>
    </row>
    <row r="13140" spans="1:15" x14ac:dyDescent="0.25">
      <c r="A13140" t="s">
        <v>13153</v>
      </c>
      <c r="B13140">
        <v>338</v>
      </c>
      <c r="C13140" s="1" t="str">
        <f>HYPERLINK("http://www.rosaceae.org/gb/gbrowse/malus_x_domestica/?name=MDP0000230093","MDP0000230093")</f>
        <v>MDP0000230093</v>
      </c>
      <c r="D13140">
        <v>84.45</v>
      </c>
      <c r="E13140">
        <v>328</v>
      </c>
      <c r="F13140">
        <v>51</v>
      </c>
      <c r="G13140">
        <v>0</v>
      </c>
      <c r="H13140">
        <v>9</v>
      </c>
      <c r="I13140">
        <v>336</v>
      </c>
      <c r="J13140">
        <v>1</v>
      </c>
      <c r="K13140">
        <v>129</v>
      </c>
      <c r="L13140">
        <v>456</v>
      </c>
      <c r="M13140">
        <v>1</v>
      </c>
      <c r="N13140">
        <v>4.1680899999999999E-163</v>
      </c>
      <c r="O13140">
        <v>1471</v>
      </c>
    </row>
    <row r="13141" spans="1:15" x14ac:dyDescent="0.25">
      <c r="A13141" t="s">
        <v>13154</v>
      </c>
      <c r="B13141">
        <v>134</v>
      </c>
      <c r="C13141" s="1" t="str">
        <f>HYPERLINK("http://www.rosaceae.org/gb/gbrowse/malus_x_domestica/?name=MDP0000133105","MDP0000133105")</f>
        <v>MDP0000133105</v>
      </c>
      <c r="D13141">
        <v>67.459999999999994</v>
      </c>
      <c r="E13141">
        <v>126</v>
      </c>
      <c r="F13141">
        <v>41</v>
      </c>
      <c r="G13141">
        <v>5</v>
      </c>
      <c r="H13141">
        <v>8</v>
      </c>
      <c r="I13141">
        <v>133</v>
      </c>
      <c r="J13141">
        <v>1</v>
      </c>
      <c r="K13141">
        <v>5</v>
      </c>
      <c r="L13141">
        <v>125</v>
      </c>
      <c r="M13141">
        <v>1</v>
      </c>
      <c r="N13141">
        <v>1.5765700000000001E-45</v>
      </c>
      <c r="O13141">
        <v>451</v>
      </c>
    </row>
    <row r="13142" spans="1:15" x14ac:dyDescent="0.25">
      <c r="A13142" t="s">
        <v>13155</v>
      </c>
      <c r="B13142">
        <v>521</v>
      </c>
      <c r="C13142" s="1" t="str">
        <f>HYPERLINK("http://www.rosaceae.org/gb/gbrowse/malus_x_domestica/?name=MDP0000148767","MDP0000148767")</f>
        <v>MDP0000148767</v>
      </c>
      <c r="D13142">
        <v>71.55</v>
      </c>
      <c r="E13142">
        <v>334</v>
      </c>
      <c r="F13142">
        <v>95</v>
      </c>
      <c r="G13142">
        <v>34</v>
      </c>
      <c r="H13142">
        <v>206</v>
      </c>
      <c r="I13142">
        <v>505</v>
      </c>
      <c r="J13142">
        <v>1</v>
      </c>
      <c r="K13142">
        <v>8</v>
      </c>
      <c r="L13142">
        <v>341</v>
      </c>
      <c r="M13142">
        <v>1</v>
      </c>
      <c r="N13142">
        <v>1.0895200000000001E-137</v>
      </c>
      <c r="O13142">
        <v>1254</v>
      </c>
    </row>
    <row r="13143" spans="1:15" x14ac:dyDescent="0.25">
      <c r="A13143" t="s">
        <v>13156</v>
      </c>
      <c r="B13143">
        <v>248</v>
      </c>
      <c r="C13143" s="1" t="str">
        <f>HYPERLINK("http://www.rosaceae.org/gb/gbrowse/malus_x_domestica/?name=MDP0000178172","MDP0000178172")</f>
        <v>MDP0000178172</v>
      </c>
      <c r="D13143">
        <v>82.4</v>
      </c>
      <c r="E13143">
        <v>108</v>
      </c>
      <c r="F13143">
        <v>19</v>
      </c>
      <c r="G13143">
        <v>0</v>
      </c>
      <c r="H13143">
        <v>22</v>
      </c>
      <c r="I13143">
        <v>129</v>
      </c>
      <c r="J13143">
        <v>1</v>
      </c>
      <c r="K13143">
        <v>24</v>
      </c>
      <c r="L13143">
        <v>131</v>
      </c>
      <c r="M13143">
        <v>1</v>
      </c>
      <c r="N13143">
        <v>3.9482700000000003E-51</v>
      </c>
      <c r="O13143">
        <v>504</v>
      </c>
    </row>
    <row r="13144" spans="1:15" x14ac:dyDescent="0.25">
      <c r="A13144" t="s">
        <v>13157</v>
      </c>
      <c r="B13144">
        <v>323</v>
      </c>
      <c r="C13144" s="1" t="str">
        <f>HYPERLINK("http://www.rosaceae.org/gb/gbrowse/malus_x_domestica/?name=MDP0000239885","MDP0000239885")</f>
        <v>MDP0000239885</v>
      </c>
      <c r="D13144">
        <v>73.069999999999993</v>
      </c>
      <c r="E13144">
        <v>182</v>
      </c>
      <c r="F13144">
        <v>49</v>
      </c>
      <c r="G13144">
        <v>1</v>
      </c>
      <c r="H13144">
        <v>141</v>
      </c>
      <c r="I13144">
        <v>322</v>
      </c>
      <c r="J13144">
        <v>1</v>
      </c>
      <c r="K13144">
        <v>148</v>
      </c>
      <c r="L13144">
        <v>328</v>
      </c>
      <c r="M13144">
        <v>1</v>
      </c>
      <c r="N13144">
        <v>3.8737200000000001E-72</v>
      </c>
      <c r="O13144">
        <v>686</v>
      </c>
    </row>
    <row r="13145" spans="1:15" x14ac:dyDescent="0.25">
      <c r="A13145" t="s">
        <v>13158</v>
      </c>
      <c r="B13145">
        <v>824</v>
      </c>
      <c r="C13145" s="1" t="str">
        <f>HYPERLINK("http://www.rosaceae.org/gb/gbrowse/malus_x_domestica/?name=MDP0000262367","MDP0000262367")</f>
        <v>MDP0000262367</v>
      </c>
      <c r="D13145">
        <v>54.57</v>
      </c>
      <c r="E13145">
        <v>328</v>
      </c>
      <c r="F13145">
        <v>149</v>
      </c>
      <c r="G13145">
        <v>3</v>
      </c>
      <c r="H13145">
        <v>124</v>
      </c>
      <c r="I13145">
        <v>449</v>
      </c>
      <c r="J13145">
        <v>1</v>
      </c>
      <c r="K13145">
        <v>80</v>
      </c>
      <c r="L13145">
        <v>406</v>
      </c>
      <c r="M13145">
        <v>1</v>
      </c>
      <c r="N13145">
        <v>3.1922200000000002E-97</v>
      </c>
      <c r="O13145">
        <v>907</v>
      </c>
    </row>
    <row r="13146" spans="1:15" x14ac:dyDescent="0.25">
      <c r="A13146" t="s">
        <v>13159</v>
      </c>
      <c r="B13146">
        <v>851</v>
      </c>
      <c r="C13146" s="1" t="str">
        <f>HYPERLINK("http://www.rosaceae.org/gb/gbrowse/malus_x_domestica/?name=MDP0000932254","MDP0000932254")</f>
        <v>MDP0000932254</v>
      </c>
      <c r="D13146">
        <v>87.13</v>
      </c>
      <c r="E13146">
        <v>855</v>
      </c>
      <c r="F13146">
        <v>110</v>
      </c>
      <c r="G13146">
        <v>4</v>
      </c>
      <c r="H13146">
        <v>1</v>
      </c>
      <c r="I13146">
        <v>851</v>
      </c>
      <c r="J13146">
        <v>1</v>
      </c>
      <c r="K13146">
        <v>60</v>
      </c>
      <c r="L13146">
        <v>914</v>
      </c>
      <c r="M13146">
        <v>1</v>
      </c>
      <c r="N13146">
        <v>0</v>
      </c>
      <c r="O13146">
        <v>3973</v>
      </c>
    </row>
    <row r="13147" spans="1:15" x14ac:dyDescent="0.25">
      <c r="A13147" t="s">
        <v>13160</v>
      </c>
      <c r="B13147">
        <v>293</v>
      </c>
      <c r="C13147" s="1" t="str">
        <f>HYPERLINK("http://www.rosaceae.org/gb/gbrowse/malus_x_domestica/?name=MDP0000450601","MDP0000450601")</f>
        <v>MDP0000450601</v>
      </c>
      <c r="D13147">
        <v>67.28</v>
      </c>
      <c r="E13147">
        <v>269</v>
      </c>
      <c r="F13147">
        <v>88</v>
      </c>
      <c r="G13147">
        <v>2</v>
      </c>
      <c r="H13147">
        <v>1</v>
      </c>
      <c r="I13147">
        <v>269</v>
      </c>
      <c r="J13147">
        <v>1</v>
      </c>
      <c r="K13147">
        <v>1</v>
      </c>
      <c r="L13147">
        <v>267</v>
      </c>
      <c r="M13147">
        <v>1</v>
      </c>
      <c r="N13147">
        <v>1.20834E-102</v>
      </c>
      <c r="O13147">
        <v>949</v>
      </c>
    </row>
    <row r="13148" spans="1:15" x14ac:dyDescent="0.25">
      <c r="A13148" t="s">
        <v>13161</v>
      </c>
      <c r="B13148">
        <v>679</v>
      </c>
      <c r="C13148" s="1" t="str">
        <f>HYPERLINK("http://www.rosaceae.org/gb/gbrowse/malus_x_domestica/?name=MDP0000289008","MDP0000289008")</f>
        <v>MDP0000289008</v>
      </c>
      <c r="D13148">
        <v>72.459999999999994</v>
      </c>
      <c r="E13148">
        <v>701</v>
      </c>
      <c r="F13148">
        <v>193</v>
      </c>
      <c r="G13148">
        <v>32</v>
      </c>
      <c r="H13148">
        <v>1</v>
      </c>
      <c r="I13148">
        <v>679</v>
      </c>
      <c r="J13148">
        <v>1</v>
      </c>
      <c r="K13148">
        <v>1</v>
      </c>
      <c r="L13148">
        <v>691</v>
      </c>
      <c r="M13148">
        <v>1</v>
      </c>
      <c r="N13148">
        <v>0</v>
      </c>
      <c r="O13148">
        <v>2556</v>
      </c>
    </row>
    <row r="13149" spans="1:15" x14ac:dyDescent="0.25">
      <c r="A13149" t="s">
        <v>13162</v>
      </c>
      <c r="B13149">
        <v>473</v>
      </c>
      <c r="C13149" s="1" t="str">
        <f>HYPERLINK("http://www.rosaceae.org/gb/gbrowse/malus_x_domestica/?name=MDP0000146703","MDP0000146703")</f>
        <v>MDP0000146703</v>
      </c>
      <c r="D13149">
        <v>77.47</v>
      </c>
      <c r="E13149">
        <v>475</v>
      </c>
      <c r="F13149">
        <v>107</v>
      </c>
      <c r="G13149">
        <v>4</v>
      </c>
      <c r="H13149">
        <v>1</v>
      </c>
      <c r="I13149">
        <v>473</v>
      </c>
      <c r="J13149">
        <v>1</v>
      </c>
      <c r="K13149">
        <v>1</v>
      </c>
      <c r="L13149">
        <v>473</v>
      </c>
      <c r="M13149">
        <v>1</v>
      </c>
      <c r="N13149">
        <v>0</v>
      </c>
      <c r="O13149">
        <v>2016</v>
      </c>
    </row>
    <row r="13150" spans="1:15" x14ac:dyDescent="0.25">
      <c r="A13150" t="s">
        <v>13163</v>
      </c>
      <c r="B13150">
        <v>474</v>
      </c>
      <c r="C13150" s="1" t="str">
        <f>HYPERLINK("http://www.rosaceae.org/gb/gbrowse/malus_x_domestica/?name=MDP0000200963","MDP0000200963")</f>
        <v>MDP0000200963</v>
      </c>
      <c r="D13150">
        <v>51.58</v>
      </c>
      <c r="E13150">
        <v>473</v>
      </c>
      <c r="F13150">
        <v>229</v>
      </c>
      <c r="G13150">
        <v>38</v>
      </c>
      <c r="H13150">
        <v>34</v>
      </c>
      <c r="I13150">
        <v>474</v>
      </c>
      <c r="J13150">
        <v>1</v>
      </c>
      <c r="K13150">
        <v>1</v>
      </c>
      <c r="L13150">
        <v>467</v>
      </c>
      <c r="M13150">
        <v>1</v>
      </c>
      <c r="N13150">
        <v>7.3204599999999996E-108</v>
      </c>
      <c r="O13150">
        <v>996</v>
      </c>
    </row>
    <row r="13151" spans="1:15" x14ac:dyDescent="0.25">
      <c r="A13151" t="s">
        <v>13164</v>
      </c>
      <c r="B13151">
        <v>249</v>
      </c>
      <c r="C13151" s="1" t="str">
        <f>HYPERLINK("http://www.rosaceae.org/gb/gbrowse/malus_x_domestica/?name=MDP0000921788","MDP0000921788")</f>
        <v>MDP0000921788</v>
      </c>
      <c r="D13151">
        <v>51.51</v>
      </c>
      <c r="E13151">
        <v>132</v>
      </c>
      <c r="F13151">
        <v>64</v>
      </c>
      <c r="G13151">
        <v>12</v>
      </c>
      <c r="H13151">
        <v>56</v>
      </c>
      <c r="I13151">
        <v>183</v>
      </c>
      <c r="J13151">
        <v>1</v>
      </c>
      <c r="K13151">
        <v>500</v>
      </c>
      <c r="L13151">
        <v>623</v>
      </c>
      <c r="M13151">
        <v>1</v>
      </c>
      <c r="N13151">
        <v>2.36844E-24</v>
      </c>
      <c r="O13151">
        <v>273</v>
      </c>
    </row>
    <row r="13152" spans="1:15" x14ac:dyDescent="0.25">
      <c r="A13152" t="s">
        <v>13165</v>
      </c>
      <c r="B13152">
        <v>198</v>
      </c>
      <c r="C13152" s="1" t="str">
        <f>HYPERLINK("http://www.rosaceae.org/gb/gbrowse/malus_x_domestica/?name=MDP0000152602","MDP0000152602")</f>
        <v>MDP0000152602</v>
      </c>
      <c r="D13152">
        <v>73.75</v>
      </c>
      <c r="E13152">
        <v>221</v>
      </c>
      <c r="F13152">
        <v>58</v>
      </c>
      <c r="G13152">
        <v>23</v>
      </c>
      <c r="H13152">
        <v>1</v>
      </c>
      <c r="I13152">
        <v>198</v>
      </c>
      <c r="J13152">
        <v>1</v>
      </c>
      <c r="K13152">
        <v>47</v>
      </c>
      <c r="L13152">
        <v>267</v>
      </c>
      <c r="M13152">
        <v>1</v>
      </c>
      <c r="N13152">
        <v>5.8758699999999996E-94</v>
      </c>
      <c r="O13152">
        <v>872</v>
      </c>
    </row>
    <row r="13153" spans="1:15" x14ac:dyDescent="0.25">
      <c r="A13153" t="s">
        <v>13166</v>
      </c>
      <c r="B13153">
        <v>191</v>
      </c>
      <c r="C13153" s="1" t="str">
        <f>HYPERLINK("http://www.rosaceae.org/gb/gbrowse/malus_x_domestica/?name=MDP0000247050","MDP0000247050")</f>
        <v>MDP0000247050</v>
      </c>
      <c r="D13153">
        <v>86.41</v>
      </c>
      <c r="E13153">
        <v>81</v>
      </c>
      <c r="F13153">
        <v>11</v>
      </c>
      <c r="G13153">
        <v>1</v>
      </c>
      <c r="H13153">
        <v>40</v>
      </c>
      <c r="I13153">
        <v>120</v>
      </c>
      <c r="J13153">
        <v>1</v>
      </c>
      <c r="K13153">
        <v>552</v>
      </c>
      <c r="L13153">
        <v>631</v>
      </c>
      <c r="M13153">
        <v>1</v>
      </c>
      <c r="N13153">
        <v>7.9556300000000003E-36</v>
      </c>
      <c r="O13153">
        <v>370</v>
      </c>
    </row>
    <row r="13154" spans="1:15" x14ac:dyDescent="0.25">
      <c r="A13154" t="s">
        <v>13167</v>
      </c>
      <c r="B13154">
        <v>373</v>
      </c>
      <c r="C13154" s="1" t="str">
        <f>HYPERLINK("http://www.rosaceae.org/gb/gbrowse/malus_x_domestica/?name=MDP0000222500","MDP0000222500")</f>
        <v>MDP0000222500</v>
      </c>
      <c r="D13154">
        <v>73.56</v>
      </c>
      <c r="E13154">
        <v>348</v>
      </c>
      <c r="F13154">
        <v>92</v>
      </c>
      <c r="G13154">
        <v>11</v>
      </c>
      <c r="H13154">
        <v>1</v>
      </c>
      <c r="I13154">
        <v>338</v>
      </c>
      <c r="J13154">
        <v>1</v>
      </c>
      <c r="K13154">
        <v>86</v>
      </c>
      <c r="L13154">
        <v>432</v>
      </c>
      <c r="M13154">
        <v>1</v>
      </c>
      <c r="N13154">
        <v>9.4598699999999996E-151</v>
      </c>
      <c r="O13154">
        <v>1365</v>
      </c>
    </row>
    <row r="13155" spans="1:15" x14ac:dyDescent="0.25">
      <c r="A13155" t="s">
        <v>13168</v>
      </c>
      <c r="B13155">
        <v>255</v>
      </c>
      <c r="C13155" s="1" t="str">
        <f>HYPERLINK("http://www.rosaceae.org/gb/gbrowse/malus_x_domestica/?name=MDP0000693678","MDP0000693678")</f>
        <v>MDP0000693678</v>
      </c>
      <c r="D13155">
        <v>61.56</v>
      </c>
      <c r="E13155">
        <v>255</v>
      </c>
      <c r="F13155">
        <v>98</v>
      </c>
      <c r="G13155">
        <v>13</v>
      </c>
      <c r="H13155">
        <v>3</v>
      </c>
      <c r="I13155">
        <v>253</v>
      </c>
      <c r="J13155">
        <v>1</v>
      </c>
      <c r="K13155">
        <v>6</v>
      </c>
      <c r="L13155">
        <v>251</v>
      </c>
      <c r="M13155">
        <v>1</v>
      </c>
      <c r="N13155">
        <v>1.5196600000000001E-80</v>
      </c>
      <c r="O13155">
        <v>758</v>
      </c>
    </row>
    <row r="13156" spans="1:15" x14ac:dyDescent="0.25">
      <c r="A13156" t="s">
        <v>13169</v>
      </c>
      <c r="B13156">
        <v>451</v>
      </c>
      <c r="C13156" s="1" t="str">
        <f>HYPERLINK("http://www.rosaceae.org/gb/gbrowse/malus_x_domestica/?name=MDP0000144545","MDP0000144545")</f>
        <v>MDP0000144545</v>
      </c>
      <c r="D13156">
        <v>34.590000000000003</v>
      </c>
      <c r="E13156">
        <v>211</v>
      </c>
      <c r="F13156">
        <v>138</v>
      </c>
      <c r="G13156">
        <v>19</v>
      </c>
      <c r="H13156">
        <v>1</v>
      </c>
      <c r="I13156">
        <v>207</v>
      </c>
      <c r="J13156">
        <v>1</v>
      </c>
      <c r="K13156">
        <v>376</v>
      </c>
      <c r="L13156">
        <v>571</v>
      </c>
      <c r="M13156">
        <v>1</v>
      </c>
      <c r="N13156">
        <v>1.10359E-22</v>
      </c>
      <c r="O13156">
        <v>262</v>
      </c>
    </row>
    <row r="13157" spans="1:15" x14ac:dyDescent="0.25">
      <c r="A13157" t="s">
        <v>13170</v>
      </c>
      <c r="B13157">
        <v>582</v>
      </c>
      <c r="C13157" s="1" t="str">
        <f>HYPERLINK("http://www.rosaceae.org/gb/gbrowse/malus_x_domestica/?name=MDP0000303103","MDP0000303103")</f>
        <v>MDP0000303103</v>
      </c>
      <c r="D13157">
        <v>76.290000000000006</v>
      </c>
      <c r="E13157">
        <v>599</v>
      </c>
      <c r="F13157">
        <v>142</v>
      </c>
      <c r="G13157">
        <v>17</v>
      </c>
      <c r="H13157">
        <v>1</v>
      </c>
      <c r="I13157">
        <v>582</v>
      </c>
      <c r="J13157">
        <v>1</v>
      </c>
      <c r="K13157">
        <v>1</v>
      </c>
      <c r="L13157">
        <v>599</v>
      </c>
      <c r="M13157">
        <v>1</v>
      </c>
      <c r="N13157">
        <v>0</v>
      </c>
      <c r="O13157">
        <v>2385</v>
      </c>
    </row>
    <row r="13158" spans="1:15" x14ac:dyDescent="0.25">
      <c r="A13158" t="s">
        <v>13171</v>
      </c>
      <c r="B13158">
        <v>408</v>
      </c>
      <c r="C13158" s="1" t="str">
        <f>HYPERLINK("http://www.rosaceae.org/gb/gbrowse/malus_x_domestica/?name=MDP0000210735","MDP0000210735")</f>
        <v>MDP0000210735</v>
      </c>
      <c r="D13158">
        <v>38.090000000000003</v>
      </c>
      <c r="E13158">
        <v>420</v>
      </c>
      <c r="F13158">
        <v>260</v>
      </c>
      <c r="G13158">
        <v>58</v>
      </c>
      <c r="H13158">
        <v>1</v>
      </c>
      <c r="I13158">
        <v>383</v>
      </c>
      <c r="J13158">
        <v>1</v>
      </c>
      <c r="K13158">
        <v>8</v>
      </c>
      <c r="L13158">
        <v>406</v>
      </c>
      <c r="M13158">
        <v>1</v>
      </c>
      <c r="N13158">
        <v>3.27836E-61</v>
      </c>
      <c r="O13158">
        <v>593</v>
      </c>
    </row>
    <row r="13159" spans="1:15" x14ac:dyDescent="0.25">
      <c r="A13159" t="s">
        <v>13172</v>
      </c>
      <c r="B13159">
        <v>947</v>
      </c>
      <c r="C13159" s="1" t="str">
        <f>HYPERLINK("http://www.rosaceae.org/gb/gbrowse/malus_x_domestica/?name=MDP0000821299","MDP0000821299")</f>
        <v>MDP0000821299</v>
      </c>
      <c r="D13159">
        <v>68.41</v>
      </c>
      <c r="E13159">
        <v>573</v>
      </c>
      <c r="F13159">
        <v>181</v>
      </c>
      <c r="G13159">
        <v>47</v>
      </c>
      <c r="H13159">
        <v>357</v>
      </c>
      <c r="I13159">
        <v>915</v>
      </c>
      <c r="J13159">
        <v>1</v>
      </c>
      <c r="K13159">
        <v>4</v>
      </c>
      <c r="L13159">
        <v>543</v>
      </c>
      <c r="M13159">
        <v>1</v>
      </c>
      <c r="N13159">
        <v>0</v>
      </c>
      <c r="O13159">
        <v>1947</v>
      </c>
    </row>
    <row r="13160" spans="1:15" x14ac:dyDescent="0.25">
      <c r="A13160" t="s">
        <v>13173</v>
      </c>
      <c r="B13160">
        <v>762</v>
      </c>
      <c r="C13160" s="1" t="str">
        <f>HYPERLINK("http://www.rosaceae.org/gb/gbrowse/malus_x_domestica/?name=MDP0000538003","MDP0000538003")</f>
        <v>MDP0000538003</v>
      </c>
      <c r="D13160">
        <v>25.35</v>
      </c>
      <c r="E13160">
        <v>497</v>
      </c>
      <c r="F13160">
        <v>371</v>
      </c>
      <c r="G13160">
        <v>35</v>
      </c>
      <c r="H13160">
        <v>269</v>
      </c>
      <c r="I13160">
        <v>751</v>
      </c>
      <c r="J13160">
        <v>1</v>
      </c>
      <c r="K13160">
        <v>2</v>
      </c>
      <c r="L13160">
        <v>477</v>
      </c>
      <c r="M13160">
        <v>1</v>
      </c>
      <c r="N13160">
        <v>7.82522E-47</v>
      </c>
      <c r="O13160">
        <v>472</v>
      </c>
    </row>
    <row r="13161" spans="1:15" x14ac:dyDescent="0.25">
      <c r="A13161" t="s">
        <v>13174</v>
      </c>
      <c r="B13161">
        <v>192</v>
      </c>
      <c r="C13161" s="1" t="str">
        <f>HYPERLINK("http://www.rosaceae.org/gb/gbrowse/malus_x_domestica/?name=MDP0000183907","MDP0000183907")</f>
        <v>MDP0000183907</v>
      </c>
      <c r="D13161">
        <v>79.5</v>
      </c>
      <c r="E13161">
        <v>200</v>
      </c>
      <c r="F13161">
        <v>41</v>
      </c>
      <c r="G13161">
        <v>11</v>
      </c>
      <c r="H13161">
        <v>4</v>
      </c>
      <c r="I13161">
        <v>192</v>
      </c>
      <c r="J13161">
        <v>1</v>
      </c>
      <c r="K13161">
        <v>321</v>
      </c>
      <c r="L13161">
        <v>520</v>
      </c>
      <c r="M13161">
        <v>1</v>
      </c>
      <c r="N13161">
        <v>5.8152899999999998E-89</v>
      </c>
      <c r="O13161">
        <v>828</v>
      </c>
    </row>
    <row r="13162" spans="1:15" x14ac:dyDescent="0.25">
      <c r="A13162" t="s">
        <v>13175</v>
      </c>
      <c r="B13162">
        <v>324</v>
      </c>
      <c r="C13162" s="1" t="str">
        <f>HYPERLINK("http://www.rosaceae.org/gb/gbrowse/malus_x_domestica/?name=MDP0000125594","MDP0000125594")</f>
        <v>MDP0000125594</v>
      </c>
      <c r="D13162">
        <v>75.3</v>
      </c>
      <c r="E13162">
        <v>324</v>
      </c>
      <c r="F13162">
        <v>80</v>
      </c>
      <c r="G13162">
        <v>1</v>
      </c>
      <c r="H13162">
        <v>1</v>
      </c>
      <c r="I13162">
        <v>324</v>
      </c>
      <c r="J13162">
        <v>1</v>
      </c>
      <c r="K13162">
        <v>1</v>
      </c>
      <c r="L13162">
        <v>323</v>
      </c>
      <c r="M13162">
        <v>1</v>
      </c>
      <c r="N13162">
        <v>5.54761E-144</v>
      </c>
      <c r="O13162">
        <v>1306</v>
      </c>
    </row>
    <row r="13163" spans="1:15" x14ac:dyDescent="0.25">
      <c r="A13163" t="s">
        <v>13176</v>
      </c>
      <c r="B13163">
        <v>207</v>
      </c>
      <c r="C13163" s="1" t="str">
        <f>HYPERLINK("http://www.rosaceae.org/gb/gbrowse/malus_x_domestica/?name=MDP0000265684","MDP0000265684")</f>
        <v>MDP0000265684</v>
      </c>
      <c r="D13163">
        <v>70.52</v>
      </c>
      <c r="E13163">
        <v>173</v>
      </c>
      <c r="F13163">
        <v>51</v>
      </c>
      <c r="G13163">
        <v>7</v>
      </c>
      <c r="H13163">
        <v>3</v>
      </c>
      <c r="I13163">
        <v>168</v>
      </c>
      <c r="J13163">
        <v>1</v>
      </c>
      <c r="K13163">
        <v>2</v>
      </c>
      <c r="L13163">
        <v>174</v>
      </c>
      <c r="M13163">
        <v>1</v>
      </c>
      <c r="N13163">
        <v>7.4073300000000001E-66</v>
      </c>
      <c r="O13163">
        <v>630</v>
      </c>
    </row>
    <row r="13164" spans="1:15" x14ac:dyDescent="0.25">
      <c r="A13164" t="s">
        <v>13177</v>
      </c>
      <c r="B13164">
        <v>255</v>
      </c>
      <c r="C13164" s="1" t="str">
        <f>HYPERLINK("http://www.rosaceae.org/gb/gbrowse/malus_x_domestica/?name=MDP0000322379","MDP0000322379")</f>
        <v>MDP0000322379</v>
      </c>
      <c r="D13164">
        <v>64.77</v>
      </c>
      <c r="E13164">
        <v>247</v>
      </c>
      <c r="F13164">
        <v>87</v>
      </c>
      <c r="G13164">
        <v>7</v>
      </c>
      <c r="H13164">
        <v>8</v>
      </c>
      <c r="I13164">
        <v>247</v>
      </c>
      <c r="J13164">
        <v>1</v>
      </c>
      <c r="K13164">
        <v>283</v>
      </c>
      <c r="L13164">
        <v>529</v>
      </c>
      <c r="M13164">
        <v>1</v>
      </c>
      <c r="N13164">
        <v>4.3395399999999998E-87</v>
      </c>
      <c r="O13164">
        <v>814</v>
      </c>
    </row>
    <row r="13165" spans="1:15" x14ac:dyDescent="0.25">
      <c r="A13165" t="s">
        <v>13178</v>
      </c>
      <c r="B13165">
        <v>167</v>
      </c>
      <c r="C13165" s="1" t="str">
        <f>HYPERLINK("http://www.rosaceae.org/gb/gbrowse/malus_x_domestica/?name=MDP0000303605","MDP0000303605")</f>
        <v>MDP0000303605</v>
      </c>
      <c r="D13165">
        <v>62.09</v>
      </c>
      <c r="E13165">
        <v>153</v>
      </c>
      <c r="F13165">
        <v>58</v>
      </c>
      <c r="G13165">
        <v>5</v>
      </c>
      <c r="H13165">
        <v>15</v>
      </c>
      <c r="I13165">
        <v>165</v>
      </c>
      <c r="J13165">
        <v>1</v>
      </c>
      <c r="K13165">
        <v>337</v>
      </c>
      <c r="L13165">
        <v>486</v>
      </c>
      <c r="M13165">
        <v>1</v>
      </c>
      <c r="N13165">
        <v>9.3357799999999992E-46</v>
      </c>
      <c r="O13165">
        <v>455</v>
      </c>
    </row>
    <row r="13166" spans="1:15" x14ac:dyDescent="0.25">
      <c r="A13166" t="s">
        <v>13179</v>
      </c>
      <c r="B13166">
        <v>174</v>
      </c>
      <c r="C13166" s="1" t="str">
        <f>HYPERLINK("http://www.rosaceae.org/gb/gbrowse/malus_x_domestica/?name=MDP0000129532","MDP0000129532")</f>
        <v>MDP0000129532</v>
      </c>
      <c r="D13166">
        <v>52.3</v>
      </c>
      <c r="E13166">
        <v>65</v>
      </c>
      <c r="F13166">
        <v>31</v>
      </c>
      <c r="G13166">
        <v>4</v>
      </c>
      <c r="H13166">
        <v>86</v>
      </c>
      <c r="I13166">
        <v>146</v>
      </c>
      <c r="J13166">
        <v>1</v>
      </c>
      <c r="K13166">
        <v>163</v>
      </c>
      <c r="L13166">
        <v>227</v>
      </c>
      <c r="M13166">
        <v>1</v>
      </c>
      <c r="N13166">
        <v>3.4759500000000001E-8</v>
      </c>
      <c r="O13166">
        <v>131</v>
      </c>
    </row>
    <row r="13167" spans="1:15" x14ac:dyDescent="0.25">
      <c r="A13167" t="s">
        <v>13180</v>
      </c>
      <c r="B13167">
        <v>420</v>
      </c>
      <c r="C13167" s="1" t="str">
        <f>HYPERLINK("http://www.rosaceae.org/gb/gbrowse/malus_x_domestica/?name=MDP0000753750","MDP0000753750")</f>
        <v>MDP0000753750</v>
      </c>
      <c r="D13167">
        <v>36.11</v>
      </c>
      <c r="E13167">
        <v>540</v>
      </c>
      <c r="F13167">
        <v>345</v>
      </c>
      <c r="G13167">
        <v>155</v>
      </c>
      <c r="H13167">
        <v>10</v>
      </c>
      <c r="I13167">
        <v>419</v>
      </c>
      <c r="J13167">
        <v>1</v>
      </c>
      <c r="K13167">
        <v>27</v>
      </c>
      <c r="L13167">
        <v>541</v>
      </c>
      <c r="M13167">
        <v>1</v>
      </c>
      <c r="N13167">
        <v>1.96798E-85</v>
      </c>
      <c r="O13167">
        <v>802</v>
      </c>
    </row>
    <row r="13168" spans="1:15" x14ac:dyDescent="0.25">
      <c r="A13168" t="s">
        <v>13181</v>
      </c>
      <c r="B13168">
        <v>433</v>
      </c>
      <c r="C13168" s="1" t="str">
        <f>HYPERLINK("http://www.rosaceae.org/gb/gbrowse/malus_x_domestica/?name=MDP0000288733","MDP0000288733")</f>
        <v>MDP0000288733</v>
      </c>
      <c r="D13168">
        <v>72.510000000000005</v>
      </c>
      <c r="E13168">
        <v>433</v>
      </c>
      <c r="F13168">
        <v>119</v>
      </c>
      <c r="G13168">
        <v>43</v>
      </c>
      <c r="H13168">
        <v>2</v>
      </c>
      <c r="I13168">
        <v>431</v>
      </c>
      <c r="J13168">
        <v>1</v>
      </c>
      <c r="K13168">
        <v>3</v>
      </c>
      <c r="L13168">
        <v>395</v>
      </c>
      <c r="M13168">
        <v>1</v>
      </c>
      <c r="N13168">
        <v>0</v>
      </c>
      <c r="O13168">
        <v>1660</v>
      </c>
    </row>
    <row r="13169" spans="1:15" x14ac:dyDescent="0.25">
      <c r="A13169" t="s">
        <v>13182</v>
      </c>
      <c r="B13169">
        <v>325</v>
      </c>
      <c r="C13169" s="1" t="str">
        <f>HYPERLINK("http://www.rosaceae.org/gb/gbrowse/malus_x_domestica/?name=MDP0000650046","MDP0000650046")</f>
        <v>MDP0000650046</v>
      </c>
      <c r="D13169">
        <v>50.93</v>
      </c>
      <c r="E13169">
        <v>214</v>
      </c>
      <c r="F13169">
        <v>105</v>
      </c>
      <c r="G13169">
        <v>19</v>
      </c>
      <c r="H13169">
        <v>1</v>
      </c>
      <c r="I13169">
        <v>201</v>
      </c>
      <c r="J13169">
        <v>1</v>
      </c>
      <c r="K13169">
        <v>1</v>
      </c>
      <c r="L13169">
        <v>208</v>
      </c>
      <c r="M13169">
        <v>1</v>
      </c>
      <c r="N13169">
        <v>6.9403299999999994E-49</v>
      </c>
      <c r="O13169">
        <v>486</v>
      </c>
    </row>
    <row r="13170" spans="1:15" x14ac:dyDescent="0.25">
      <c r="A13170" t="s">
        <v>13183</v>
      </c>
      <c r="B13170">
        <v>231</v>
      </c>
      <c r="C13170" s="1" t="str">
        <f>HYPERLINK("http://www.rosaceae.org/gb/gbrowse/malus_x_domestica/?name=MDP0000709066","MDP0000709066")</f>
        <v>MDP0000709066</v>
      </c>
      <c r="D13170">
        <v>76.87</v>
      </c>
      <c r="E13170">
        <v>173</v>
      </c>
      <c r="F13170">
        <v>40</v>
      </c>
      <c r="G13170">
        <v>4</v>
      </c>
      <c r="H13170">
        <v>1</v>
      </c>
      <c r="I13170">
        <v>169</v>
      </c>
      <c r="J13170">
        <v>1</v>
      </c>
      <c r="K13170">
        <v>1</v>
      </c>
      <c r="L13170">
        <v>173</v>
      </c>
      <c r="M13170">
        <v>1</v>
      </c>
      <c r="N13170">
        <v>2.7116499999999999E-70</v>
      </c>
      <c r="O13170">
        <v>669</v>
      </c>
    </row>
    <row r="13171" spans="1:15" x14ac:dyDescent="0.25">
      <c r="A13171" t="s">
        <v>13184</v>
      </c>
      <c r="B13171">
        <v>171</v>
      </c>
      <c r="C13171" s="1" t="str">
        <f>HYPERLINK("http://www.rosaceae.org/gb/gbrowse/malus_x_domestica/?name=MDP0000222184","MDP0000222184")</f>
        <v>MDP0000222184</v>
      </c>
      <c r="D13171">
        <v>61.84</v>
      </c>
      <c r="E13171">
        <v>152</v>
      </c>
      <c r="F13171">
        <v>58</v>
      </c>
      <c r="G13171">
        <v>2</v>
      </c>
      <c r="H13171">
        <v>21</v>
      </c>
      <c r="I13171">
        <v>171</v>
      </c>
      <c r="J13171">
        <v>1</v>
      </c>
      <c r="K13171">
        <v>21</v>
      </c>
      <c r="L13171">
        <v>171</v>
      </c>
      <c r="M13171">
        <v>1</v>
      </c>
      <c r="N13171">
        <v>9.1244700000000006E-55</v>
      </c>
      <c r="O13171">
        <v>533</v>
      </c>
    </row>
    <row r="13172" spans="1:15" x14ac:dyDescent="0.25">
      <c r="A13172" t="s">
        <v>13185</v>
      </c>
      <c r="B13172">
        <v>375</v>
      </c>
      <c r="C13172" s="1" t="str">
        <f>HYPERLINK("http://www.rosaceae.org/gb/gbrowse/malus_x_domestica/?name=MDP0000459932","MDP0000459932")</f>
        <v>MDP0000459932</v>
      </c>
      <c r="D13172">
        <v>38.51</v>
      </c>
      <c r="E13172">
        <v>135</v>
      </c>
      <c r="F13172">
        <v>83</v>
      </c>
      <c r="G13172">
        <v>4</v>
      </c>
      <c r="H13172">
        <v>236</v>
      </c>
      <c r="I13172">
        <v>369</v>
      </c>
      <c r="J13172">
        <v>1</v>
      </c>
      <c r="K13172">
        <v>28</v>
      </c>
      <c r="L13172">
        <v>159</v>
      </c>
      <c r="M13172">
        <v>1</v>
      </c>
      <c r="N13172">
        <v>2.4964800000000001E-23</v>
      </c>
      <c r="O13172">
        <v>266</v>
      </c>
    </row>
    <row r="13173" spans="1:15" x14ac:dyDescent="0.25">
      <c r="A13173" t="s">
        <v>13186</v>
      </c>
      <c r="B13173">
        <v>195</v>
      </c>
      <c r="C13173" s="1" t="str">
        <f>HYPERLINK("http://www.rosaceae.org/gb/gbrowse/malus_x_domestica/?name=MDP0000286389","MDP0000286389")</f>
        <v>MDP0000286389</v>
      </c>
      <c r="D13173">
        <v>40.47</v>
      </c>
      <c r="E13173">
        <v>84</v>
      </c>
      <c r="F13173">
        <v>50</v>
      </c>
      <c r="G13173">
        <v>0</v>
      </c>
      <c r="H13173">
        <v>110</v>
      </c>
      <c r="I13173">
        <v>193</v>
      </c>
      <c r="J13173">
        <v>1</v>
      </c>
      <c r="K13173">
        <v>550</v>
      </c>
      <c r="L13173">
        <v>633</v>
      </c>
      <c r="M13173">
        <v>1</v>
      </c>
      <c r="N13173">
        <v>9.8674800000000004E-14</v>
      </c>
      <c r="O13173">
        <v>180</v>
      </c>
    </row>
    <row r="13174" spans="1:15" x14ac:dyDescent="0.25">
      <c r="A13174" t="s">
        <v>13187</v>
      </c>
      <c r="B13174">
        <v>468</v>
      </c>
      <c r="C13174" s="1" t="str">
        <f>HYPERLINK("http://www.rosaceae.org/gb/gbrowse/malus_x_domestica/?name=MDP0000647255","MDP0000647255")</f>
        <v>MDP0000647255</v>
      </c>
      <c r="D13174">
        <v>81.66</v>
      </c>
      <c r="E13174">
        <v>409</v>
      </c>
      <c r="F13174">
        <v>75</v>
      </c>
      <c r="G13174">
        <v>30</v>
      </c>
      <c r="H13174">
        <v>81</v>
      </c>
      <c r="I13174">
        <v>468</v>
      </c>
      <c r="J13174">
        <v>1</v>
      </c>
      <c r="K13174">
        <v>24</v>
      </c>
      <c r="L13174">
        <v>423</v>
      </c>
      <c r="M13174">
        <v>1</v>
      </c>
      <c r="N13174">
        <v>0</v>
      </c>
      <c r="O13174">
        <v>1703</v>
      </c>
    </row>
    <row r="13175" spans="1:15" x14ac:dyDescent="0.25">
      <c r="A13175" t="s">
        <v>13188</v>
      </c>
      <c r="B13175">
        <v>466</v>
      </c>
      <c r="C13175" s="1" t="str">
        <f>HYPERLINK("http://www.rosaceae.org/gb/gbrowse/malus_x_domestica/?name=MDP0000721688","MDP0000721688")</f>
        <v>MDP0000721688</v>
      </c>
      <c r="D13175">
        <v>82.85</v>
      </c>
      <c r="E13175">
        <v>420</v>
      </c>
      <c r="F13175">
        <v>72</v>
      </c>
      <c r="G13175">
        <v>1</v>
      </c>
      <c r="H13175">
        <v>46</v>
      </c>
      <c r="I13175">
        <v>465</v>
      </c>
      <c r="J13175">
        <v>1</v>
      </c>
      <c r="K13175">
        <v>106</v>
      </c>
      <c r="L13175">
        <v>524</v>
      </c>
      <c r="M13175">
        <v>1</v>
      </c>
      <c r="N13175">
        <v>0</v>
      </c>
      <c r="O13175">
        <v>1853</v>
      </c>
    </row>
    <row r="13176" spans="1:15" x14ac:dyDescent="0.25">
      <c r="A13176" t="s">
        <v>13189</v>
      </c>
      <c r="B13176">
        <v>280</v>
      </c>
      <c r="C13176" s="1" t="str">
        <f>HYPERLINK("http://www.rosaceae.org/gb/gbrowse/malus_x_domestica/?name=MDP0000748997","MDP0000748997")</f>
        <v>MDP0000748997</v>
      </c>
      <c r="D13176">
        <v>47.54</v>
      </c>
      <c r="E13176">
        <v>61</v>
      </c>
      <c r="F13176">
        <v>32</v>
      </c>
      <c r="G13176">
        <v>1</v>
      </c>
      <c r="H13176">
        <v>36</v>
      </c>
      <c r="I13176">
        <v>96</v>
      </c>
      <c r="J13176">
        <v>1</v>
      </c>
      <c r="K13176">
        <v>237</v>
      </c>
      <c r="L13176">
        <v>296</v>
      </c>
      <c r="M13176">
        <v>1</v>
      </c>
      <c r="N13176">
        <v>1.67154E-8</v>
      </c>
      <c r="O13176">
        <v>137</v>
      </c>
    </row>
    <row r="13177" spans="1:15" x14ac:dyDescent="0.25">
      <c r="A13177" t="s">
        <v>13190</v>
      </c>
      <c r="B13177">
        <v>312</v>
      </c>
      <c r="C13177" s="1" t="str">
        <f>HYPERLINK("http://www.rosaceae.org/gb/gbrowse/malus_x_domestica/?name=MDP0000775016","MDP0000775016")</f>
        <v>MDP0000775016</v>
      </c>
      <c r="D13177">
        <v>41.42</v>
      </c>
      <c r="E13177">
        <v>70</v>
      </c>
      <c r="F13177">
        <v>41</v>
      </c>
      <c r="G13177">
        <v>0</v>
      </c>
      <c r="H13177">
        <v>13</v>
      </c>
      <c r="I13177">
        <v>82</v>
      </c>
      <c r="J13177">
        <v>1</v>
      </c>
      <c r="K13177">
        <v>20</v>
      </c>
      <c r="L13177">
        <v>89</v>
      </c>
      <c r="M13177">
        <v>1</v>
      </c>
      <c r="N13177">
        <v>4.8135200000000001E-9</v>
      </c>
      <c r="O13177">
        <v>142</v>
      </c>
    </row>
    <row r="13178" spans="1:15" x14ac:dyDescent="0.25">
      <c r="A13178" t="s">
        <v>13191</v>
      </c>
      <c r="B13178">
        <v>238</v>
      </c>
      <c r="C13178" s="1" t="str">
        <f>HYPERLINK("http://www.rosaceae.org/gb/gbrowse/malus_x_domestica/?name=MDP0000917280","MDP0000917280")</f>
        <v>MDP0000917280</v>
      </c>
      <c r="D13178">
        <v>67.12</v>
      </c>
      <c r="E13178">
        <v>146</v>
      </c>
      <c r="F13178">
        <v>48</v>
      </c>
      <c r="G13178">
        <v>10</v>
      </c>
      <c r="H13178">
        <v>91</v>
      </c>
      <c r="I13178">
        <v>236</v>
      </c>
      <c r="J13178">
        <v>1</v>
      </c>
      <c r="K13178">
        <v>258</v>
      </c>
      <c r="L13178">
        <v>393</v>
      </c>
      <c r="M13178">
        <v>1</v>
      </c>
      <c r="N13178">
        <v>1.00469E-48</v>
      </c>
      <c r="O13178">
        <v>483</v>
      </c>
    </row>
    <row r="13179" spans="1:15" x14ac:dyDescent="0.25">
      <c r="A13179" t="s">
        <v>13192</v>
      </c>
      <c r="B13179">
        <v>1618</v>
      </c>
      <c r="C13179" s="1" t="str">
        <f>HYPERLINK("http://www.rosaceae.org/gb/gbrowse/malus_x_domestica/?name=MDP0000659822","MDP0000659822")</f>
        <v>MDP0000659822</v>
      </c>
      <c r="D13179">
        <v>72.27</v>
      </c>
      <c r="E13179">
        <v>797</v>
      </c>
      <c r="F13179">
        <v>221</v>
      </c>
      <c r="G13179">
        <v>56</v>
      </c>
      <c r="H13179">
        <v>1</v>
      </c>
      <c r="I13179">
        <v>741</v>
      </c>
      <c r="J13179">
        <v>1</v>
      </c>
      <c r="K13179">
        <v>128</v>
      </c>
      <c r="L13179">
        <v>924</v>
      </c>
      <c r="M13179">
        <v>1</v>
      </c>
      <c r="N13179">
        <v>0</v>
      </c>
      <c r="O13179">
        <v>3092</v>
      </c>
    </row>
    <row r="13180" spans="1:15" x14ac:dyDescent="0.25">
      <c r="A13180" t="s">
        <v>13193</v>
      </c>
      <c r="B13180">
        <v>357</v>
      </c>
      <c r="C13180" s="1" t="str">
        <f>HYPERLINK("http://www.rosaceae.org/gb/gbrowse/malus_x_domestica/?name=MDP0000306353","MDP0000306353")</f>
        <v>MDP0000306353</v>
      </c>
      <c r="D13180">
        <v>74.64</v>
      </c>
      <c r="E13180">
        <v>351</v>
      </c>
      <c r="F13180">
        <v>89</v>
      </c>
      <c r="G13180">
        <v>11</v>
      </c>
      <c r="H13180">
        <v>1</v>
      </c>
      <c r="I13180">
        <v>344</v>
      </c>
      <c r="J13180">
        <v>1</v>
      </c>
      <c r="K13180">
        <v>1</v>
      </c>
      <c r="L13180">
        <v>347</v>
      </c>
      <c r="M13180">
        <v>1</v>
      </c>
      <c r="N13180">
        <v>6.6863799999999998E-157</v>
      </c>
      <c r="O13180">
        <v>1418</v>
      </c>
    </row>
    <row r="13181" spans="1:15" x14ac:dyDescent="0.25">
      <c r="A13181" t="s">
        <v>13194</v>
      </c>
      <c r="B13181">
        <v>197</v>
      </c>
      <c r="C13181" s="1" t="str">
        <f>HYPERLINK("http://www.rosaceae.org/gb/gbrowse/malus_x_domestica/?name=MDP0000247187","MDP0000247187")</f>
        <v>MDP0000247187</v>
      </c>
      <c r="D13181">
        <v>63.49</v>
      </c>
      <c r="E13181">
        <v>63</v>
      </c>
      <c r="F13181">
        <v>23</v>
      </c>
      <c r="G13181">
        <v>1</v>
      </c>
      <c r="H13181">
        <v>17</v>
      </c>
      <c r="I13181">
        <v>79</v>
      </c>
      <c r="J13181">
        <v>1</v>
      </c>
      <c r="K13181">
        <v>13</v>
      </c>
      <c r="L13181">
        <v>74</v>
      </c>
      <c r="M13181">
        <v>1</v>
      </c>
      <c r="N13181">
        <v>1.1407E-15</v>
      </c>
      <c r="O13181">
        <v>197</v>
      </c>
    </row>
    <row r="13182" spans="1:15" x14ac:dyDescent="0.25">
      <c r="A13182" t="s">
        <v>13195</v>
      </c>
      <c r="B13182">
        <v>368</v>
      </c>
      <c r="C13182" s="1" t="str">
        <f>HYPERLINK("http://www.rosaceae.org/gb/gbrowse/malus_x_domestica/?name=MDP0000694976","MDP0000694976")</f>
        <v>MDP0000694976</v>
      </c>
      <c r="D13182">
        <v>38.03</v>
      </c>
      <c r="E13182">
        <v>376</v>
      </c>
      <c r="F13182">
        <v>233</v>
      </c>
      <c r="G13182">
        <v>38</v>
      </c>
      <c r="H13182">
        <v>14</v>
      </c>
      <c r="I13182">
        <v>368</v>
      </c>
      <c r="J13182">
        <v>1</v>
      </c>
      <c r="K13182">
        <v>2</v>
      </c>
      <c r="L13182">
        <v>360</v>
      </c>
      <c r="M13182">
        <v>1</v>
      </c>
      <c r="N13182">
        <v>1.75415E-56</v>
      </c>
      <c r="O13182">
        <v>552</v>
      </c>
    </row>
    <row r="13183" spans="1:15" x14ac:dyDescent="0.25">
      <c r="A13183" t="s">
        <v>13196</v>
      </c>
      <c r="B13183">
        <v>565</v>
      </c>
      <c r="C13183" s="1" t="str">
        <f>HYPERLINK("http://www.rosaceae.org/gb/gbrowse/malus_x_domestica/?name=MDP0000626334","MDP0000626334")</f>
        <v>MDP0000626334</v>
      </c>
      <c r="D13183">
        <v>80.069999999999993</v>
      </c>
      <c r="E13183">
        <v>507</v>
      </c>
      <c r="F13183">
        <v>101</v>
      </c>
      <c r="G13183">
        <v>4</v>
      </c>
      <c r="H13183">
        <v>38</v>
      </c>
      <c r="I13183">
        <v>542</v>
      </c>
      <c r="J13183">
        <v>1</v>
      </c>
      <c r="K13183">
        <v>27</v>
      </c>
      <c r="L13183">
        <v>531</v>
      </c>
      <c r="M13183">
        <v>1</v>
      </c>
      <c r="N13183">
        <v>0</v>
      </c>
      <c r="O13183">
        <v>2062</v>
      </c>
    </row>
    <row r="13184" spans="1:15" x14ac:dyDescent="0.25">
      <c r="A13184" t="s">
        <v>13197</v>
      </c>
      <c r="B13184">
        <v>343</v>
      </c>
      <c r="C13184" s="1" t="str">
        <f>HYPERLINK("http://www.rosaceae.org/gb/gbrowse/malus_x_domestica/?name=MDP0000182815","MDP0000182815")</f>
        <v>MDP0000182815</v>
      </c>
      <c r="D13184">
        <v>75.36</v>
      </c>
      <c r="E13184">
        <v>406</v>
      </c>
      <c r="F13184">
        <v>100</v>
      </c>
      <c r="G13184">
        <v>63</v>
      </c>
      <c r="H13184">
        <v>1</v>
      </c>
      <c r="I13184">
        <v>343</v>
      </c>
      <c r="J13184">
        <v>1</v>
      </c>
      <c r="K13184">
        <v>1</v>
      </c>
      <c r="L13184">
        <v>406</v>
      </c>
      <c r="M13184">
        <v>1</v>
      </c>
      <c r="N13184">
        <v>3.9400300000000001E-171</v>
      </c>
      <c r="O13184">
        <v>1540</v>
      </c>
    </row>
    <row r="13185" spans="1:15" x14ac:dyDescent="0.25">
      <c r="A13185" t="s">
        <v>13198</v>
      </c>
      <c r="B13185">
        <v>720</v>
      </c>
      <c r="C13185" s="1" t="str">
        <f>HYPERLINK("http://www.rosaceae.org/gb/gbrowse/malus_x_domestica/?name=MDP0000170814","MDP0000170814")</f>
        <v>MDP0000170814</v>
      </c>
      <c r="D13185">
        <v>64.34</v>
      </c>
      <c r="E13185">
        <v>718</v>
      </c>
      <c r="F13185">
        <v>256</v>
      </c>
      <c r="G13185">
        <v>110</v>
      </c>
      <c r="H13185">
        <v>53</v>
      </c>
      <c r="I13185">
        <v>720</v>
      </c>
      <c r="J13185">
        <v>1</v>
      </c>
      <c r="K13185">
        <v>88</v>
      </c>
      <c r="L13185">
        <v>745</v>
      </c>
      <c r="M13185">
        <v>1</v>
      </c>
      <c r="N13185">
        <v>0</v>
      </c>
      <c r="O13185">
        <v>2280</v>
      </c>
    </row>
    <row r="13186" spans="1:15" x14ac:dyDescent="0.25">
      <c r="A13186" t="s">
        <v>13199</v>
      </c>
      <c r="B13186">
        <v>115</v>
      </c>
      <c r="C13186" s="1" t="str">
        <f>HYPERLINK("http://www.rosaceae.org/gb/gbrowse/malus_x_domestica/?name=MDP0000601325","MDP0000601325")</f>
        <v>MDP0000601325</v>
      </c>
      <c r="D13186">
        <v>56.79</v>
      </c>
      <c r="E13186">
        <v>81</v>
      </c>
      <c r="F13186">
        <v>35</v>
      </c>
      <c r="G13186">
        <v>8</v>
      </c>
      <c r="H13186">
        <v>1</v>
      </c>
      <c r="I13186">
        <v>80</v>
      </c>
      <c r="J13186">
        <v>1</v>
      </c>
      <c r="K13186">
        <v>71</v>
      </c>
      <c r="L13186">
        <v>144</v>
      </c>
      <c r="M13186">
        <v>1</v>
      </c>
      <c r="N13186">
        <v>2.0774099999999999E-20</v>
      </c>
      <c r="O13186">
        <v>233</v>
      </c>
    </row>
    <row r="13187" spans="1:15" x14ac:dyDescent="0.25">
      <c r="A13187" t="s">
        <v>13200</v>
      </c>
      <c r="B13187">
        <v>322</v>
      </c>
      <c r="C13187" s="1" t="str">
        <f>HYPERLINK("http://www.rosaceae.org/gb/gbrowse/malus_x_domestica/?name=MDP0000141273","MDP0000141273")</f>
        <v>MDP0000141273</v>
      </c>
      <c r="D13187">
        <v>70.150000000000006</v>
      </c>
      <c r="E13187">
        <v>315</v>
      </c>
      <c r="F13187">
        <v>94</v>
      </c>
      <c r="G13187">
        <v>1</v>
      </c>
      <c r="H13187">
        <v>1</v>
      </c>
      <c r="I13187">
        <v>314</v>
      </c>
      <c r="J13187">
        <v>1</v>
      </c>
      <c r="K13187">
        <v>1</v>
      </c>
      <c r="L13187">
        <v>315</v>
      </c>
      <c r="M13187">
        <v>1</v>
      </c>
      <c r="N13187">
        <v>3.10814E-125</v>
      </c>
      <c r="O13187">
        <v>1144</v>
      </c>
    </row>
    <row r="13188" spans="1:15" x14ac:dyDescent="0.25">
      <c r="A13188" t="s">
        <v>13201</v>
      </c>
      <c r="B13188">
        <v>1064</v>
      </c>
      <c r="C13188" s="1" t="str">
        <f>HYPERLINK("http://www.rosaceae.org/gb/gbrowse/malus_x_domestica/?name=MDP0000277459","MDP0000277459")</f>
        <v>MDP0000277459</v>
      </c>
      <c r="D13188">
        <v>68.55</v>
      </c>
      <c r="E13188">
        <v>194</v>
      </c>
      <c r="F13188">
        <v>61</v>
      </c>
      <c r="G13188">
        <v>3</v>
      </c>
      <c r="H13188">
        <v>809</v>
      </c>
      <c r="I13188">
        <v>1002</v>
      </c>
      <c r="J13188">
        <v>1</v>
      </c>
      <c r="K13188">
        <v>420</v>
      </c>
      <c r="L13188">
        <v>610</v>
      </c>
      <c r="M13188">
        <v>1</v>
      </c>
      <c r="N13188">
        <v>8.09154E-73</v>
      </c>
      <c r="O13188">
        <v>698</v>
      </c>
    </row>
    <row r="13189" spans="1:15" x14ac:dyDescent="0.25">
      <c r="A13189" t="s">
        <v>13202</v>
      </c>
      <c r="B13189">
        <v>534</v>
      </c>
      <c r="C13189" s="1" t="str">
        <f>HYPERLINK("http://www.rosaceae.org/gb/gbrowse/malus_x_domestica/?name=MDP0000227096","MDP0000227096")</f>
        <v>MDP0000227096</v>
      </c>
      <c r="D13189">
        <v>72.37</v>
      </c>
      <c r="E13189">
        <v>485</v>
      </c>
      <c r="F13189">
        <v>134</v>
      </c>
      <c r="G13189">
        <v>34</v>
      </c>
      <c r="H13189">
        <v>49</v>
      </c>
      <c r="I13189">
        <v>533</v>
      </c>
      <c r="J13189">
        <v>1</v>
      </c>
      <c r="K13189">
        <v>131</v>
      </c>
      <c r="L13189">
        <v>581</v>
      </c>
      <c r="M13189">
        <v>1</v>
      </c>
      <c r="N13189">
        <v>0</v>
      </c>
      <c r="O13189">
        <v>1824</v>
      </c>
    </row>
    <row r="13190" spans="1:15" x14ac:dyDescent="0.25">
      <c r="A13190" t="s">
        <v>13203</v>
      </c>
      <c r="B13190">
        <v>413</v>
      </c>
      <c r="C13190" s="1" t="str">
        <f>HYPERLINK("http://www.rosaceae.org/gb/gbrowse/malus_x_domestica/?name=MDP0000782093","MDP0000782093")</f>
        <v>MDP0000782093</v>
      </c>
      <c r="D13190">
        <v>71.09</v>
      </c>
      <c r="E13190">
        <v>422</v>
      </c>
      <c r="F13190">
        <v>122</v>
      </c>
      <c r="G13190">
        <v>15</v>
      </c>
      <c r="H13190">
        <v>1</v>
      </c>
      <c r="I13190">
        <v>413</v>
      </c>
      <c r="J13190">
        <v>1</v>
      </c>
      <c r="K13190">
        <v>1</v>
      </c>
      <c r="L13190">
        <v>416</v>
      </c>
      <c r="M13190">
        <v>1</v>
      </c>
      <c r="N13190">
        <v>1.06598E-165</v>
      </c>
      <c r="O13190">
        <v>1495</v>
      </c>
    </row>
    <row r="13191" spans="1:15" x14ac:dyDescent="0.25">
      <c r="A13191" t="s">
        <v>13204</v>
      </c>
      <c r="B13191">
        <v>488</v>
      </c>
      <c r="C13191" s="1" t="str">
        <f>HYPERLINK("http://www.rosaceae.org/gb/gbrowse/malus_x_domestica/?name=MDP0000191398","MDP0000191398")</f>
        <v>MDP0000191398</v>
      </c>
      <c r="D13191">
        <v>93.03</v>
      </c>
      <c r="E13191">
        <v>488</v>
      </c>
      <c r="F13191">
        <v>34</v>
      </c>
      <c r="G13191">
        <v>0</v>
      </c>
      <c r="H13191">
        <v>1</v>
      </c>
      <c r="I13191">
        <v>488</v>
      </c>
      <c r="J13191">
        <v>1</v>
      </c>
      <c r="K13191">
        <v>1</v>
      </c>
      <c r="L13191">
        <v>488</v>
      </c>
      <c r="M13191">
        <v>1</v>
      </c>
      <c r="N13191">
        <v>0</v>
      </c>
      <c r="O13191">
        <v>2408</v>
      </c>
    </row>
    <row r="13192" spans="1:15" x14ac:dyDescent="0.25">
      <c r="A13192" t="s">
        <v>13205</v>
      </c>
      <c r="B13192">
        <v>379</v>
      </c>
      <c r="C13192" s="1" t="str">
        <f>HYPERLINK("http://www.rosaceae.org/gb/gbrowse/malus_x_domestica/?name=MDP0000672840","MDP0000672840")</f>
        <v>MDP0000672840</v>
      </c>
      <c r="D13192">
        <v>39.700000000000003</v>
      </c>
      <c r="E13192">
        <v>413</v>
      </c>
      <c r="F13192">
        <v>249</v>
      </c>
      <c r="G13192">
        <v>50</v>
      </c>
      <c r="H13192">
        <v>4</v>
      </c>
      <c r="I13192">
        <v>378</v>
      </c>
      <c r="J13192">
        <v>1</v>
      </c>
      <c r="K13192">
        <v>2</v>
      </c>
      <c r="L13192">
        <v>402</v>
      </c>
      <c r="M13192">
        <v>1</v>
      </c>
      <c r="N13192">
        <v>1.0925100000000001E-75</v>
      </c>
      <c r="O13192">
        <v>718</v>
      </c>
    </row>
    <row r="13193" spans="1:15" x14ac:dyDescent="0.25">
      <c r="A13193" t="s">
        <v>13206</v>
      </c>
      <c r="B13193">
        <v>225</v>
      </c>
      <c r="C13193" s="1" t="str">
        <f>HYPERLINK("http://www.rosaceae.org/gb/gbrowse/malus_x_domestica/?name=MDP0000262141","MDP0000262141")</f>
        <v>MDP0000262141</v>
      </c>
      <c r="D13193">
        <v>45.41</v>
      </c>
      <c r="E13193">
        <v>207</v>
      </c>
      <c r="F13193">
        <v>113</v>
      </c>
      <c r="G13193">
        <v>18</v>
      </c>
      <c r="H13193">
        <v>23</v>
      </c>
      <c r="I13193">
        <v>220</v>
      </c>
      <c r="J13193">
        <v>1</v>
      </c>
      <c r="K13193">
        <v>34</v>
      </c>
      <c r="L13193">
        <v>231</v>
      </c>
      <c r="M13193">
        <v>1</v>
      </c>
      <c r="N13193">
        <v>2.0198699999999999E-32</v>
      </c>
      <c r="O13193">
        <v>342</v>
      </c>
    </row>
    <row r="13194" spans="1:15" x14ac:dyDescent="0.25">
      <c r="A13194" t="s">
        <v>13207</v>
      </c>
      <c r="B13194">
        <v>639</v>
      </c>
      <c r="C13194" s="1" t="str">
        <f>HYPERLINK("http://www.rosaceae.org/gb/gbrowse/malus_x_domestica/?name=MDP0000171708","MDP0000171708")</f>
        <v>MDP0000171708</v>
      </c>
      <c r="D13194">
        <v>61.53</v>
      </c>
      <c r="E13194">
        <v>169</v>
      </c>
      <c r="F13194">
        <v>65</v>
      </c>
      <c r="G13194">
        <v>1</v>
      </c>
      <c r="H13194">
        <v>406</v>
      </c>
      <c r="I13194">
        <v>574</v>
      </c>
      <c r="J13194">
        <v>1</v>
      </c>
      <c r="K13194">
        <v>232</v>
      </c>
      <c r="L13194">
        <v>399</v>
      </c>
      <c r="M13194">
        <v>1</v>
      </c>
      <c r="N13194">
        <v>4.0875699999999996E-59</v>
      </c>
      <c r="O13194">
        <v>577</v>
      </c>
    </row>
    <row r="13195" spans="1:15" x14ac:dyDescent="0.25">
      <c r="A13195" t="s">
        <v>13208</v>
      </c>
      <c r="B13195">
        <v>585</v>
      </c>
      <c r="C13195" s="1" t="str">
        <f>HYPERLINK("http://www.rosaceae.org/gb/gbrowse/malus_x_domestica/?name=MDP0000286908","MDP0000286908")</f>
        <v>MDP0000286908</v>
      </c>
      <c r="D13195">
        <v>84.3</v>
      </c>
      <c r="E13195">
        <v>478</v>
      </c>
      <c r="F13195">
        <v>75</v>
      </c>
      <c r="G13195">
        <v>7</v>
      </c>
      <c r="H13195">
        <v>1</v>
      </c>
      <c r="I13195">
        <v>478</v>
      </c>
      <c r="J13195">
        <v>1</v>
      </c>
      <c r="K13195">
        <v>1</v>
      </c>
      <c r="L13195">
        <v>471</v>
      </c>
      <c r="M13195">
        <v>1</v>
      </c>
      <c r="N13195">
        <v>0</v>
      </c>
      <c r="O13195">
        <v>2138</v>
      </c>
    </row>
    <row r="13196" spans="1:15" x14ac:dyDescent="0.25">
      <c r="A13196" t="s">
        <v>13209</v>
      </c>
      <c r="B13196">
        <v>418</v>
      </c>
      <c r="C13196" s="1" t="str">
        <f>HYPERLINK("http://www.rosaceae.org/gb/gbrowse/malus_x_domestica/?name=MDP0000156211","MDP0000156211")</f>
        <v>MDP0000156211</v>
      </c>
      <c r="D13196">
        <v>71.459999999999994</v>
      </c>
      <c r="E13196">
        <v>438</v>
      </c>
      <c r="F13196">
        <v>125</v>
      </c>
      <c r="G13196">
        <v>20</v>
      </c>
      <c r="H13196">
        <v>1</v>
      </c>
      <c r="I13196">
        <v>418</v>
      </c>
      <c r="J13196">
        <v>1</v>
      </c>
      <c r="K13196">
        <v>1</v>
      </c>
      <c r="L13196">
        <v>438</v>
      </c>
      <c r="M13196">
        <v>1</v>
      </c>
      <c r="N13196">
        <v>7.9924099999999993E-179</v>
      </c>
      <c r="O13196">
        <v>1608</v>
      </c>
    </row>
    <row r="13197" spans="1:15" x14ac:dyDescent="0.25">
      <c r="A13197" t="s">
        <v>13210</v>
      </c>
      <c r="B13197">
        <v>150</v>
      </c>
      <c r="C13197" s="1" t="str">
        <f>HYPERLINK("http://www.rosaceae.org/gb/gbrowse/malus_x_domestica/?name=MDP0000133528","MDP0000133528")</f>
        <v>MDP0000133528</v>
      </c>
      <c r="D13197">
        <v>46.2</v>
      </c>
      <c r="E13197">
        <v>145</v>
      </c>
      <c r="F13197">
        <v>78</v>
      </c>
      <c r="G13197">
        <v>0</v>
      </c>
      <c r="H13197">
        <v>4</v>
      </c>
      <c r="I13197">
        <v>148</v>
      </c>
      <c r="J13197">
        <v>1</v>
      </c>
      <c r="K13197">
        <v>60</v>
      </c>
      <c r="L13197">
        <v>204</v>
      </c>
      <c r="M13197">
        <v>1</v>
      </c>
      <c r="N13197">
        <v>4.86031E-36</v>
      </c>
      <c r="O13197">
        <v>370</v>
      </c>
    </row>
    <row r="13198" spans="1:15" x14ac:dyDescent="0.25">
      <c r="A13198" t="s">
        <v>13211</v>
      </c>
      <c r="B13198">
        <v>381</v>
      </c>
      <c r="C13198" s="1" t="str">
        <f>HYPERLINK("http://www.rosaceae.org/gb/gbrowse/malus_x_domestica/?name=MDP0000259249","MDP0000259249")</f>
        <v>MDP0000259249</v>
      </c>
      <c r="D13198">
        <v>48.55</v>
      </c>
      <c r="E13198">
        <v>138</v>
      </c>
      <c r="F13198">
        <v>71</v>
      </c>
      <c r="G13198">
        <v>15</v>
      </c>
      <c r="H13198">
        <v>192</v>
      </c>
      <c r="I13198">
        <v>317</v>
      </c>
      <c r="J13198">
        <v>1</v>
      </c>
      <c r="K13198">
        <v>23</v>
      </c>
      <c r="L13198">
        <v>157</v>
      </c>
      <c r="M13198">
        <v>1</v>
      </c>
      <c r="N13198">
        <v>9.0633800000000002E-26</v>
      </c>
      <c r="O13198">
        <v>287</v>
      </c>
    </row>
    <row r="13199" spans="1:15" x14ac:dyDescent="0.25">
      <c r="A13199" t="s">
        <v>13212</v>
      </c>
      <c r="B13199">
        <v>214</v>
      </c>
      <c r="C13199" s="1" t="str">
        <f>HYPERLINK("http://www.rosaceae.org/gb/gbrowse/malus_x_domestica/?name=MDP0000837613","MDP0000837613")</f>
        <v>MDP0000837613</v>
      </c>
      <c r="D13199">
        <v>40</v>
      </c>
      <c r="E13199">
        <v>130</v>
      </c>
      <c r="F13199">
        <v>78</v>
      </c>
      <c r="G13199">
        <v>12</v>
      </c>
      <c r="H13199">
        <v>45</v>
      </c>
      <c r="I13199">
        <v>165</v>
      </c>
      <c r="J13199">
        <v>1</v>
      </c>
      <c r="K13199">
        <v>129</v>
      </c>
      <c r="L13199">
        <v>255</v>
      </c>
      <c r="M13199">
        <v>1</v>
      </c>
      <c r="N13199">
        <v>1.73721E-18</v>
      </c>
      <c r="O13199">
        <v>221</v>
      </c>
    </row>
    <row r="13200" spans="1:15" x14ac:dyDescent="0.25">
      <c r="A13200" t="s">
        <v>13213</v>
      </c>
      <c r="B13200">
        <v>195</v>
      </c>
      <c r="C13200" s="1" t="str">
        <f>HYPERLINK("http://www.rosaceae.org/gb/gbrowse/malus_x_domestica/?name=MDP0000137366","MDP0000137366")</f>
        <v>MDP0000137366</v>
      </c>
      <c r="D13200">
        <v>61.87</v>
      </c>
      <c r="E13200">
        <v>160</v>
      </c>
      <c r="F13200">
        <v>61</v>
      </c>
      <c r="G13200">
        <v>1</v>
      </c>
      <c r="H13200">
        <v>24</v>
      </c>
      <c r="I13200">
        <v>183</v>
      </c>
      <c r="J13200">
        <v>1</v>
      </c>
      <c r="K13200">
        <v>25</v>
      </c>
      <c r="L13200">
        <v>183</v>
      </c>
      <c r="M13200">
        <v>1</v>
      </c>
      <c r="N13200">
        <v>1.2538799999999999E-50</v>
      </c>
      <c r="O13200">
        <v>498</v>
      </c>
    </row>
    <row r="13201" spans="1:15" x14ac:dyDescent="0.25">
      <c r="A13201" t="s">
        <v>13214</v>
      </c>
      <c r="B13201">
        <v>509</v>
      </c>
      <c r="C13201" s="1" t="str">
        <f>HYPERLINK("http://www.rosaceae.org/gb/gbrowse/malus_x_domestica/?name=MDP0000198630","MDP0000198630")</f>
        <v>MDP0000198630</v>
      </c>
      <c r="D13201">
        <v>48.23</v>
      </c>
      <c r="E13201">
        <v>452</v>
      </c>
      <c r="F13201">
        <v>234</v>
      </c>
      <c r="G13201">
        <v>14</v>
      </c>
      <c r="H13201">
        <v>25</v>
      </c>
      <c r="I13201">
        <v>471</v>
      </c>
      <c r="J13201">
        <v>1</v>
      </c>
      <c r="K13201">
        <v>3</v>
      </c>
      <c r="L13201">
        <v>445</v>
      </c>
      <c r="M13201">
        <v>1</v>
      </c>
      <c r="N13201">
        <v>3.5207700000000003E-105</v>
      </c>
      <c r="O13201">
        <v>974</v>
      </c>
    </row>
    <row r="13202" spans="1:15" x14ac:dyDescent="0.25">
      <c r="A13202" t="s">
        <v>13215</v>
      </c>
      <c r="B13202">
        <v>248</v>
      </c>
      <c r="C13202" s="1" t="str">
        <f>HYPERLINK("http://www.rosaceae.org/gb/gbrowse/malus_x_domestica/?name=MDP0000250644","MDP0000250644")</f>
        <v>MDP0000250644</v>
      </c>
      <c r="D13202">
        <v>34.35</v>
      </c>
      <c r="E13202">
        <v>195</v>
      </c>
      <c r="F13202">
        <v>128</v>
      </c>
      <c r="G13202">
        <v>6</v>
      </c>
      <c r="H13202">
        <v>13</v>
      </c>
      <c r="I13202">
        <v>206</v>
      </c>
      <c r="J13202">
        <v>1</v>
      </c>
      <c r="K13202">
        <v>121</v>
      </c>
      <c r="L13202">
        <v>310</v>
      </c>
      <c r="M13202">
        <v>1</v>
      </c>
      <c r="N13202">
        <v>5.4091100000000002E-30</v>
      </c>
      <c r="O13202">
        <v>322</v>
      </c>
    </row>
    <row r="13203" spans="1:15" x14ac:dyDescent="0.25">
      <c r="A13203" t="s">
        <v>13216</v>
      </c>
      <c r="B13203">
        <v>469</v>
      </c>
      <c r="C13203" s="1" t="str">
        <f>HYPERLINK("http://www.rosaceae.org/gb/gbrowse/malus_x_domestica/?name=MDP0000462161","MDP0000462161")</f>
        <v>MDP0000462161</v>
      </c>
      <c r="D13203">
        <v>77.37</v>
      </c>
      <c r="E13203">
        <v>327</v>
      </c>
      <c r="F13203">
        <v>74</v>
      </c>
      <c r="G13203">
        <v>0</v>
      </c>
      <c r="H13203">
        <v>2</v>
      </c>
      <c r="I13203">
        <v>328</v>
      </c>
      <c r="J13203">
        <v>1</v>
      </c>
      <c r="K13203">
        <v>164</v>
      </c>
      <c r="L13203">
        <v>490</v>
      </c>
      <c r="M13203">
        <v>1</v>
      </c>
      <c r="N13203">
        <v>1.2063E-150</v>
      </c>
      <c r="O13203">
        <v>1365</v>
      </c>
    </row>
    <row r="13204" spans="1:15" x14ac:dyDescent="0.25">
      <c r="A13204" t="s">
        <v>13217</v>
      </c>
      <c r="B13204">
        <v>642</v>
      </c>
      <c r="C13204" s="1" t="str">
        <f>HYPERLINK("http://www.rosaceae.org/gb/gbrowse/malus_x_domestica/?name=MDP0000309925","MDP0000309925")</f>
        <v>MDP0000309925</v>
      </c>
      <c r="D13204">
        <v>71.790000000000006</v>
      </c>
      <c r="E13204">
        <v>546</v>
      </c>
      <c r="F13204">
        <v>154</v>
      </c>
      <c r="G13204">
        <v>22</v>
      </c>
      <c r="H13204">
        <v>4</v>
      </c>
      <c r="I13204">
        <v>529</v>
      </c>
      <c r="J13204">
        <v>1</v>
      </c>
      <c r="K13204">
        <v>279</v>
      </c>
      <c r="L13204">
        <v>822</v>
      </c>
      <c r="M13204">
        <v>1</v>
      </c>
      <c r="N13204">
        <v>0</v>
      </c>
      <c r="O13204">
        <v>2053</v>
      </c>
    </row>
    <row r="13205" spans="1:15" x14ac:dyDescent="0.25">
      <c r="A13205" t="s">
        <v>13218</v>
      </c>
      <c r="B13205">
        <v>554</v>
      </c>
      <c r="C13205" s="1" t="str">
        <f>HYPERLINK("http://www.rosaceae.org/gb/gbrowse/malus_x_domestica/?name=MDP0000305973","MDP0000305973")</f>
        <v>MDP0000305973</v>
      </c>
      <c r="D13205">
        <v>61.69</v>
      </c>
      <c r="E13205">
        <v>355</v>
      </c>
      <c r="F13205">
        <v>136</v>
      </c>
      <c r="G13205">
        <v>20</v>
      </c>
      <c r="H13205">
        <v>12</v>
      </c>
      <c r="I13205">
        <v>366</v>
      </c>
      <c r="J13205">
        <v>1</v>
      </c>
      <c r="K13205">
        <v>57</v>
      </c>
      <c r="L13205">
        <v>391</v>
      </c>
      <c r="M13205">
        <v>1</v>
      </c>
      <c r="N13205">
        <v>1.4230799999999999E-122</v>
      </c>
      <c r="O13205">
        <v>1124</v>
      </c>
    </row>
    <row r="13206" spans="1:15" x14ac:dyDescent="0.25">
      <c r="A13206" t="s">
        <v>13219</v>
      </c>
      <c r="B13206">
        <v>1667</v>
      </c>
      <c r="C13206" s="1" t="str">
        <f>HYPERLINK("http://www.rosaceae.org/gb/gbrowse/malus_x_domestica/?name=MDP0000304705","MDP0000304705")</f>
        <v>MDP0000304705</v>
      </c>
      <c r="D13206">
        <v>43.84</v>
      </c>
      <c r="E13206">
        <v>1405</v>
      </c>
      <c r="F13206">
        <v>789</v>
      </c>
      <c r="G13206">
        <v>186</v>
      </c>
      <c r="H13206">
        <v>4</v>
      </c>
      <c r="I13206">
        <v>1254</v>
      </c>
      <c r="J13206">
        <v>1</v>
      </c>
      <c r="K13206">
        <v>1350</v>
      </c>
      <c r="L13206">
        <v>2722</v>
      </c>
      <c r="M13206">
        <v>1</v>
      </c>
      <c r="N13206">
        <v>0</v>
      </c>
      <c r="O13206">
        <v>2531</v>
      </c>
    </row>
    <row r="13207" spans="1:15" x14ac:dyDescent="0.25">
      <c r="A13207" t="s">
        <v>13220</v>
      </c>
      <c r="B13207">
        <v>655</v>
      </c>
      <c r="C13207" s="1" t="str">
        <f>HYPERLINK("http://www.rosaceae.org/gb/gbrowse/malus_x_domestica/?name=MDP0000887858","MDP0000887858")</f>
        <v>MDP0000887858</v>
      </c>
      <c r="D13207">
        <v>69.650000000000006</v>
      </c>
      <c r="E13207">
        <v>234</v>
      </c>
      <c r="F13207">
        <v>71</v>
      </c>
      <c r="G13207">
        <v>5</v>
      </c>
      <c r="H13207">
        <v>352</v>
      </c>
      <c r="I13207">
        <v>580</v>
      </c>
      <c r="J13207">
        <v>1</v>
      </c>
      <c r="K13207">
        <v>145</v>
      </c>
      <c r="L13207">
        <v>378</v>
      </c>
      <c r="M13207">
        <v>1</v>
      </c>
      <c r="N13207">
        <v>3.9390300000000001E-88</v>
      </c>
      <c r="O13207">
        <v>828</v>
      </c>
    </row>
    <row r="13208" spans="1:15" x14ac:dyDescent="0.25">
      <c r="A13208" t="s">
        <v>13221</v>
      </c>
      <c r="B13208">
        <v>197</v>
      </c>
      <c r="C13208" s="1" t="str">
        <f>HYPERLINK("http://www.rosaceae.org/gb/gbrowse/malus_x_domestica/?name=MDP0000203521","MDP0000203521")</f>
        <v>MDP0000203521</v>
      </c>
      <c r="D13208">
        <v>45.26</v>
      </c>
      <c r="E13208">
        <v>190</v>
      </c>
      <c r="F13208">
        <v>104</v>
      </c>
      <c r="G13208">
        <v>29</v>
      </c>
      <c r="H13208">
        <v>8</v>
      </c>
      <c r="I13208">
        <v>197</v>
      </c>
      <c r="J13208">
        <v>1</v>
      </c>
      <c r="K13208">
        <v>6</v>
      </c>
      <c r="L13208">
        <v>166</v>
      </c>
      <c r="M13208">
        <v>1</v>
      </c>
      <c r="N13208">
        <v>1.2882999999999999E-27</v>
      </c>
      <c r="O13208">
        <v>300</v>
      </c>
    </row>
    <row r="13209" spans="1:15" x14ac:dyDescent="0.25">
      <c r="A13209" t="s">
        <v>13222</v>
      </c>
      <c r="B13209">
        <v>249</v>
      </c>
      <c r="C13209" s="1" t="str">
        <f>HYPERLINK("http://www.rosaceae.org/gb/gbrowse/malus_x_domestica/?name=MDP0000294444","MDP0000294444")</f>
        <v>MDP0000294444</v>
      </c>
      <c r="D13209">
        <v>71.73</v>
      </c>
      <c r="E13209">
        <v>230</v>
      </c>
      <c r="F13209">
        <v>65</v>
      </c>
      <c r="G13209">
        <v>0</v>
      </c>
      <c r="H13209">
        <v>20</v>
      </c>
      <c r="I13209">
        <v>249</v>
      </c>
      <c r="J13209">
        <v>1</v>
      </c>
      <c r="K13209">
        <v>22</v>
      </c>
      <c r="L13209">
        <v>251</v>
      </c>
      <c r="M13209">
        <v>1</v>
      </c>
      <c r="N13209">
        <v>3.76002E-99</v>
      </c>
      <c r="O13209">
        <v>918</v>
      </c>
    </row>
    <row r="13210" spans="1:15" x14ac:dyDescent="0.25">
      <c r="A13210" t="s">
        <v>13223</v>
      </c>
      <c r="B13210">
        <v>981</v>
      </c>
      <c r="C13210" s="1" t="str">
        <f>HYPERLINK("http://www.rosaceae.org/gb/gbrowse/malus_x_domestica/?name=MDP0000296620","MDP0000296620")</f>
        <v>MDP0000296620</v>
      </c>
      <c r="D13210">
        <v>63.52</v>
      </c>
      <c r="E13210">
        <v>170</v>
      </c>
      <c r="F13210">
        <v>62</v>
      </c>
      <c r="G13210">
        <v>0</v>
      </c>
      <c r="H13210">
        <v>47</v>
      </c>
      <c r="I13210">
        <v>216</v>
      </c>
      <c r="J13210">
        <v>1</v>
      </c>
      <c r="K13210">
        <v>420</v>
      </c>
      <c r="L13210">
        <v>589</v>
      </c>
      <c r="M13210">
        <v>1</v>
      </c>
      <c r="N13210">
        <v>6.3065799999999997E-59</v>
      </c>
      <c r="O13210">
        <v>578</v>
      </c>
    </row>
    <row r="13211" spans="1:15" x14ac:dyDescent="0.25">
      <c r="A13211" t="s">
        <v>13224</v>
      </c>
      <c r="B13211">
        <v>146</v>
      </c>
      <c r="C13211" s="1" t="str">
        <f>HYPERLINK("http://www.rosaceae.org/gb/gbrowse/malus_x_domestica/?name=MDP0000249250","MDP0000249250")</f>
        <v>MDP0000249250</v>
      </c>
      <c r="D13211">
        <v>71.69</v>
      </c>
      <c r="E13211">
        <v>106</v>
      </c>
      <c r="F13211">
        <v>30</v>
      </c>
      <c r="G13211">
        <v>0</v>
      </c>
      <c r="H13211">
        <v>22</v>
      </c>
      <c r="I13211">
        <v>127</v>
      </c>
      <c r="J13211">
        <v>1</v>
      </c>
      <c r="K13211">
        <v>27</v>
      </c>
      <c r="L13211">
        <v>132</v>
      </c>
      <c r="M13211">
        <v>1</v>
      </c>
      <c r="N13211">
        <v>3.4805100000000001E-40</v>
      </c>
      <c r="O13211">
        <v>406</v>
      </c>
    </row>
    <row r="13212" spans="1:15" x14ac:dyDescent="0.25">
      <c r="A13212" t="s">
        <v>13225</v>
      </c>
      <c r="B13212">
        <v>772</v>
      </c>
      <c r="C13212" s="1" t="str">
        <f>HYPERLINK("http://www.rosaceae.org/gb/gbrowse/malus_x_domestica/?name=MDP0000186561","MDP0000186561")</f>
        <v>MDP0000186561</v>
      </c>
      <c r="D13212">
        <v>73.260000000000005</v>
      </c>
      <c r="E13212">
        <v>187</v>
      </c>
      <c r="F13212">
        <v>50</v>
      </c>
      <c r="G13212">
        <v>12</v>
      </c>
      <c r="H13212">
        <v>1</v>
      </c>
      <c r="I13212">
        <v>187</v>
      </c>
      <c r="J13212">
        <v>1</v>
      </c>
      <c r="K13212">
        <v>1</v>
      </c>
      <c r="L13212">
        <v>175</v>
      </c>
      <c r="M13212">
        <v>1</v>
      </c>
      <c r="N13212">
        <v>4.3195399999999998E-77</v>
      </c>
      <c r="O13212">
        <v>733</v>
      </c>
    </row>
    <row r="13213" spans="1:15" x14ac:dyDescent="0.25">
      <c r="A13213" t="s">
        <v>13226</v>
      </c>
      <c r="B13213">
        <v>669</v>
      </c>
      <c r="C13213" s="1" t="str">
        <f>HYPERLINK("http://www.rosaceae.org/gb/gbrowse/malus_x_domestica/?name=MDP0000279626","MDP0000279626")</f>
        <v>MDP0000279626</v>
      </c>
      <c r="D13213">
        <v>84.16</v>
      </c>
      <c r="E13213">
        <v>423</v>
      </c>
      <c r="F13213">
        <v>67</v>
      </c>
      <c r="G13213">
        <v>6</v>
      </c>
      <c r="H13213">
        <v>1</v>
      </c>
      <c r="I13213">
        <v>420</v>
      </c>
      <c r="J13213">
        <v>1</v>
      </c>
      <c r="K13213">
        <v>41</v>
      </c>
      <c r="L13213">
        <v>460</v>
      </c>
      <c r="M13213">
        <v>1</v>
      </c>
      <c r="N13213">
        <v>0</v>
      </c>
      <c r="O13213">
        <v>1874</v>
      </c>
    </row>
    <row r="13214" spans="1:15" x14ac:dyDescent="0.25">
      <c r="A13214" t="s">
        <v>13227</v>
      </c>
      <c r="B13214">
        <v>589</v>
      </c>
      <c r="C13214" s="1" t="str">
        <f>HYPERLINK("http://www.rosaceae.org/gb/gbrowse/malus_x_domestica/?name=MDP0000811394","MDP0000811394")</f>
        <v>MDP0000811394</v>
      </c>
      <c r="D13214">
        <v>55.04</v>
      </c>
      <c r="E13214">
        <v>327</v>
      </c>
      <c r="F13214">
        <v>147</v>
      </c>
      <c r="G13214">
        <v>38</v>
      </c>
      <c r="H13214">
        <v>293</v>
      </c>
      <c r="I13214">
        <v>587</v>
      </c>
      <c r="J13214">
        <v>1</v>
      </c>
      <c r="K13214">
        <v>8</v>
      </c>
      <c r="L13214">
        <v>328</v>
      </c>
      <c r="M13214">
        <v>1</v>
      </c>
      <c r="N13214">
        <v>7.2592599999999996E-87</v>
      </c>
      <c r="O13214">
        <v>816</v>
      </c>
    </row>
    <row r="13215" spans="1:15" x14ac:dyDescent="0.25">
      <c r="A13215" t="s">
        <v>13228</v>
      </c>
      <c r="B13215">
        <v>362</v>
      </c>
      <c r="C13215" s="1" t="str">
        <f>HYPERLINK("http://www.rosaceae.org/gb/gbrowse/malus_x_domestica/?name=MDP0000132406","MDP0000132406")</f>
        <v>MDP0000132406</v>
      </c>
      <c r="D13215">
        <v>27.98</v>
      </c>
      <c r="E13215">
        <v>411</v>
      </c>
      <c r="F13215">
        <v>296</v>
      </c>
      <c r="G13215">
        <v>89</v>
      </c>
      <c r="H13215">
        <v>1</v>
      </c>
      <c r="I13215">
        <v>362</v>
      </c>
      <c r="J13215">
        <v>1</v>
      </c>
      <c r="K13215">
        <v>73</v>
      </c>
      <c r="L13215">
        <v>443</v>
      </c>
      <c r="M13215">
        <v>1</v>
      </c>
      <c r="N13215">
        <v>7.8334500000000003E-24</v>
      </c>
      <c r="O13215">
        <v>270</v>
      </c>
    </row>
    <row r="13216" spans="1:15" x14ac:dyDescent="0.25">
      <c r="A13216" t="s">
        <v>13229</v>
      </c>
      <c r="B13216">
        <v>374</v>
      </c>
      <c r="C13216" s="1" t="str">
        <f>HYPERLINK("http://www.rosaceae.org/gb/gbrowse/malus_x_domestica/?name=MDP0000269506","MDP0000269506")</f>
        <v>MDP0000269506</v>
      </c>
      <c r="D13216">
        <v>60.22</v>
      </c>
      <c r="E13216">
        <v>352</v>
      </c>
      <c r="F13216">
        <v>140</v>
      </c>
      <c r="G13216">
        <v>32</v>
      </c>
      <c r="H13216">
        <v>27</v>
      </c>
      <c r="I13216">
        <v>355</v>
      </c>
      <c r="J13216">
        <v>1</v>
      </c>
      <c r="K13216">
        <v>95</v>
      </c>
      <c r="L13216">
        <v>437</v>
      </c>
      <c r="M13216">
        <v>1</v>
      </c>
      <c r="N13216">
        <v>7.1300800000000003E-103</v>
      </c>
      <c r="O13216">
        <v>952</v>
      </c>
    </row>
    <row r="13217" spans="1:15" x14ac:dyDescent="0.25">
      <c r="A13217" t="s">
        <v>13230</v>
      </c>
      <c r="B13217">
        <v>870</v>
      </c>
      <c r="C13217" s="1" t="str">
        <f>HYPERLINK("http://www.rosaceae.org/gb/gbrowse/malus_x_domestica/?name=MDP0000681634","MDP0000681634")</f>
        <v>MDP0000681634</v>
      </c>
      <c r="D13217">
        <v>72.61</v>
      </c>
      <c r="E13217">
        <v>869</v>
      </c>
      <c r="F13217">
        <v>238</v>
      </c>
      <c r="G13217">
        <v>8</v>
      </c>
      <c r="H13217">
        <v>1</v>
      </c>
      <c r="I13217">
        <v>868</v>
      </c>
      <c r="J13217">
        <v>1</v>
      </c>
      <c r="K13217">
        <v>1</v>
      </c>
      <c r="L13217">
        <v>862</v>
      </c>
      <c r="M13217">
        <v>1</v>
      </c>
      <c r="N13217">
        <v>0</v>
      </c>
      <c r="O13217">
        <v>3235</v>
      </c>
    </row>
    <row r="13218" spans="1:15" x14ac:dyDescent="0.25">
      <c r="A13218" t="s">
        <v>13231</v>
      </c>
      <c r="B13218">
        <v>223</v>
      </c>
      <c r="C13218" s="1" t="str">
        <f>HYPERLINK("http://www.rosaceae.org/gb/gbrowse/malus_x_domestica/?name=MDP0000820365","MDP0000820365")</f>
        <v>MDP0000820365</v>
      </c>
      <c r="D13218">
        <v>55.35</v>
      </c>
      <c r="E13218">
        <v>224</v>
      </c>
      <c r="F13218">
        <v>100</v>
      </c>
      <c r="G13218">
        <v>1</v>
      </c>
      <c r="H13218">
        <v>1</v>
      </c>
      <c r="I13218">
        <v>223</v>
      </c>
      <c r="J13218">
        <v>1</v>
      </c>
      <c r="K13218">
        <v>1</v>
      </c>
      <c r="L13218">
        <v>224</v>
      </c>
      <c r="M13218">
        <v>1</v>
      </c>
      <c r="N13218">
        <v>3.47596E-61</v>
      </c>
      <c r="O13218">
        <v>590</v>
      </c>
    </row>
    <row r="13219" spans="1:15" x14ac:dyDescent="0.25">
      <c r="A13219" t="s">
        <v>13232</v>
      </c>
      <c r="B13219">
        <v>519</v>
      </c>
      <c r="C13219" s="1" t="str">
        <f>HYPERLINK("http://www.rosaceae.org/gb/gbrowse/malus_x_domestica/?name=MDP0000288533","MDP0000288533")</f>
        <v>MDP0000288533</v>
      </c>
      <c r="D13219">
        <v>76.319999999999993</v>
      </c>
      <c r="E13219">
        <v>511</v>
      </c>
      <c r="F13219">
        <v>121</v>
      </c>
      <c r="G13219">
        <v>3</v>
      </c>
      <c r="H13219">
        <v>1</v>
      </c>
      <c r="I13219">
        <v>510</v>
      </c>
      <c r="J13219">
        <v>1</v>
      </c>
      <c r="K13219">
        <v>1</v>
      </c>
      <c r="L13219">
        <v>509</v>
      </c>
      <c r="M13219">
        <v>1</v>
      </c>
      <c r="N13219">
        <v>0</v>
      </c>
      <c r="O13219">
        <v>2025</v>
      </c>
    </row>
    <row r="13220" spans="1:15" x14ac:dyDescent="0.25">
      <c r="A13220" t="s">
        <v>13233</v>
      </c>
      <c r="B13220">
        <v>745</v>
      </c>
      <c r="C13220" s="1" t="str">
        <f>HYPERLINK("http://www.rosaceae.org/gb/gbrowse/malus_x_domestica/?name=MDP0000153762","MDP0000153762")</f>
        <v>MDP0000153762</v>
      </c>
      <c r="D13220">
        <v>92.95</v>
      </c>
      <c r="E13220">
        <v>667</v>
      </c>
      <c r="F13220">
        <v>47</v>
      </c>
      <c r="G13220">
        <v>0</v>
      </c>
      <c r="H13220">
        <v>1</v>
      </c>
      <c r="I13220">
        <v>667</v>
      </c>
      <c r="J13220">
        <v>1</v>
      </c>
      <c r="K13220">
        <v>97</v>
      </c>
      <c r="L13220">
        <v>763</v>
      </c>
      <c r="M13220">
        <v>1</v>
      </c>
      <c r="N13220">
        <v>0</v>
      </c>
      <c r="O13220">
        <v>3285</v>
      </c>
    </row>
    <row r="13221" spans="1:15" x14ac:dyDescent="0.25">
      <c r="A13221" t="s">
        <v>13234</v>
      </c>
      <c r="B13221">
        <v>878</v>
      </c>
      <c r="C13221" s="1" t="str">
        <f>HYPERLINK("http://www.rosaceae.org/gb/gbrowse/malus_x_domestica/?name=MDP0000450173","MDP0000450173")</f>
        <v>MDP0000450173</v>
      </c>
      <c r="D13221">
        <v>51.34</v>
      </c>
      <c r="E13221">
        <v>485</v>
      </c>
      <c r="F13221">
        <v>236</v>
      </c>
      <c r="G13221">
        <v>41</v>
      </c>
      <c r="H13221">
        <v>353</v>
      </c>
      <c r="I13221">
        <v>836</v>
      </c>
      <c r="J13221">
        <v>1</v>
      </c>
      <c r="K13221">
        <v>26</v>
      </c>
      <c r="L13221">
        <v>470</v>
      </c>
      <c r="M13221">
        <v>1</v>
      </c>
      <c r="N13221">
        <v>2.6614500000000002E-113</v>
      </c>
      <c r="O13221">
        <v>1046</v>
      </c>
    </row>
    <row r="13222" spans="1:15" x14ac:dyDescent="0.25">
      <c r="A13222" t="s">
        <v>13235</v>
      </c>
      <c r="B13222">
        <v>303</v>
      </c>
      <c r="C13222" s="1" t="str">
        <f>HYPERLINK("http://www.rosaceae.org/gb/gbrowse/malus_x_domestica/?name=MDP0000590116","MDP0000590116")</f>
        <v>MDP0000590116</v>
      </c>
      <c r="D13222">
        <v>41.94</v>
      </c>
      <c r="E13222">
        <v>267</v>
      </c>
      <c r="F13222">
        <v>155</v>
      </c>
      <c r="G13222">
        <v>29</v>
      </c>
      <c r="H13222">
        <v>45</v>
      </c>
      <c r="I13222">
        <v>295</v>
      </c>
      <c r="J13222">
        <v>1</v>
      </c>
      <c r="K13222">
        <v>51</v>
      </c>
      <c r="L13222">
        <v>304</v>
      </c>
      <c r="M13222">
        <v>1</v>
      </c>
      <c r="N13222">
        <v>1.8018099999999998E-52</v>
      </c>
      <c r="O13222">
        <v>517</v>
      </c>
    </row>
    <row r="13223" spans="1:15" x14ac:dyDescent="0.25">
      <c r="A13223" t="s">
        <v>13236</v>
      </c>
      <c r="B13223">
        <v>173</v>
      </c>
      <c r="C13223" s="1" t="str">
        <f>HYPERLINK("http://www.rosaceae.org/gb/gbrowse/malus_x_domestica/?name=MDP0000309933","MDP0000309933")</f>
        <v>MDP0000309933</v>
      </c>
      <c r="D13223">
        <v>37.28</v>
      </c>
      <c r="E13223">
        <v>118</v>
      </c>
      <c r="F13223">
        <v>74</v>
      </c>
      <c r="G13223">
        <v>34</v>
      </c>
      <c r="H13223">
        <v>56</v>
      </c>
      <c r="I13223">
        <v>154</v>
      </c>
      <c r="J13223">
        <v>1</v>
      </c>
      <c r="K13223">
        <v>903</v>
      </c>
      <c r="L13223">
        <v>1005</v>
      </c>
      <c r="M13223">
        <v>1</v>
      </c>
      <c r="N13223">
        <v>5.46878E-12</v>
      </c>
      <c r="O13223">
        <v>164</v>
      </c>
    </row>
    <row r="13224" spans="1:15" x14ac:dyDescent="0.25">
      <c r="A13224" t="s">
        <v>13237</v>
      </c>
      <c r="B13224">
        <v>613</v>
      </c>
      <c r="C13224" s="1" t="str">
        <f>HYPERLINK("http://www.rosaceae.org/gb/gbrowse/malus_x_domestica/?name=MDP0000148767","MDP0000148767")</f>
        <v>MDP0000148767</v>
      </c>
      <c r="D13224">
        <v>70.05</v>
      </c>
      <c r="E13224">
        <v>334</v>
      </c>
      <c r="F13224">
        <v>100</v>
      </c>
      <c r="G13224">
        <v>34</v>
      </c>
      <c r="H13224">
        <v>281</v>
      </c>
      <c r="I13224">
        <v>580</v>
      </c>
      <c r="J13224">
        <v>1</v>
      </c>
      <c r="K13224">
        <v>8</v>
      </c>
      <c r="L13224">
        <v>341</v>
      </c>
      <c r="M13224">
        <v>1</v>
      </c>
      <c r="N13224">
        <v>3.4607100000000001E-134</v>
      </c>
      <c r="O13224">
        <v>1225</v>
      </c>
    </row>
    <row r="13225" spans="1:15" x14ac:dyDescent="0.25">
      <c r="A13225" t="s">
        <v>13238</v>
      </c>
      <c r="B13225">
        <v>463</v>
      </c>
      <c r="C13225" s="1" t="str">
        <f>HYPERLINK("http://www.rosaceae.org/gb/gbrowse/malus_x_domestica/?name=MDP0000437115","MDP0000437115")</f>
        <v>MDP0000437115</v>
      </c>
      <c r="D13225">
        <v>78.790000000000006</v>
      </c>
      <c r="E13225">
        <v>382</v>
      </c>
      <c r="F13225">
        <v>81</v>
      </c>
      <c r="G13225">
        <v>0</v>
      </c>
      <c r="H13225">
        <v>19</v>
      </c>
      <c r="I13225">
        <v>400</v>
      </c>
      <c r="J13225">
        <v>1</v>
      </c>
      <c r="K13225">
        <v>16</v>
      </c>
      <c r="L13225">
        <v>397</v>
      </c>
      <c r="M13225">
        <v>1</v>
      </c>
      <c r="N13225">
        <v>2.0783100000000001E-173</v>
      </c>
      <c r="O13225">
        <v>1562</v>
      </c>
    </row>
    <row r="13226" spans="1:15" x14ac:dyDescent="0.25">
      <c r="A13226" t="s">
        <v>13239</v>
      </c>
      <c r="B13226">
        <v>279</v>
      </c>
      <c r="C13226" s="1" t="str">
        <f>HYPERLINK("http://www.rosaceae.org/gb/gbrowse/malus_x_domestica/?name=MDP0000146214","MDP0000146214")</f>
        <v>MDP0000146214</v>
      </c>
      <c r="D13226">
        <v>56.59</v>
      </c>
      <c r="E13226">
        <v>288</v>
      </c>
      <c r="F13226">
        <v>125</v>
      </c>
      <c r="G13226">
        <v>47</v>
      </c>
      <c r="H13226">
        <v>2</v>
      </c>
      <c r="I13226">
        <v>270</v>
      </c>
      <c r="J13226">
        <v>1</v>
      </c>
      <c r="K13226">
        <v>7</v>
      </c>
      <c r="L13226">
        <v>266</v>
      </c>
      <c r="M13226">
        <v>1</v>
      </c>
      <c r="N13226">
        <v>1.9395599999999998E-80</v>
      </c>
      <c r="O13226">
        <v>757</v>
      </c>
    </row>
    <row r="13227" spans="1:15" x14ac:dyDescent="0.25">
      <c r="A13227" t="s">
        <v>13240</v>
      </c>
      <c r="B13227">
        <v>470</v>
      </c>
      <c r="C13227" s="1" t="str">
        <f>HYPERLINK("http://www.rosaceae.org/gb/gbrowse/malus_x_domestica/?name=MDP0000437664","MDP0000437664")</f>
        <v>MDP0000437664</v>
      </c>
      <c r="D13227">
        <v>83.72</v>
      </c>
      <c r="E13227">
        <v>215</v>
      </c>
      <c r="F13227">
        <v>35</v>
      </c>
      <c r="G13227">
        <v>1</v>
      </c>
      <c r="H13227">
        <v>242</v>
      </c>
      <c r="I13227">
        <v>456</v>
      </c>
      <c r="J13227">
        <v>1</v>
      </c>
      <c r="K13227">
        <v>33</v>
      </c>
      <c r="L13227">
        <v>246</v>
      </c>
      <c r="M13227">
        <v>1</v>
      </c>
      <c r="N13227">
        <v>2.7546499999999999E-103</v>
      </c>
      <c r="O13227">
        <v>957</v>
      </c>
    </row>
    <row r="13228" spans="1:15" x14ac:dyDescent="0.25">
      <c r="A13228" t="s">
        <v>13241</v>
      </c>
      <c r="B13228">
        <v>303</v>
      </c>
      <c r="C13228" s="1" t="str">
        <f>HYPERLINK("http://www.rosaceae.org/gb/gbrowse/malus_x_domestica/?name=MDP0000709455","MDP0000709455")</f>
        <v>MDP0000709455</v>
      </c>
      <c r="D13228">
        <v>78.89</v>
      </c>
      <c r="E13228">
        <v>308</v>
      </c>
      <c r="F13228">
        <v>65</v>
      </c>
      <c r="G13228">
        <v>5</v>
      </c>
      <c r="H13228">
        <v>1</v>
      </c>
      <c r="I13228">
        <v>303</v>
      </c>
      <c r="J13228">
        <v>1</v>
      </c>
      <c r="K13228">
        <v>1</v>
      </c>
      <c r="L13228">
        <v>308</v>
      </c>
      <c r="M13228">
        <v>1</v>
      </c>
      <c r="N13228">
        <v>1.78701E-138</v>
      </c>
      <c r="O13228">
        <v>1258</v>
      </c>
    </row>
    <row r="13229" spans="1:15" x14ac:dyDescent="0.25">
      <c r="A13229" t="s">
        <v>13242</v>
      </c>
      <c r="B13229">
        <v>712</v>
      </c>
      <c r="C13229" s="1" t="str">
        <f>HYPERLINK("http://www.rosaceae.org/gb/gbrowse/malus_x_domestica/?name=MDP0000287992","MDP0000287992")</f>
        <v>MDP0000287992</v>
      </c>
      <c r="D13229">
        <v>50.36</v>
      </c>
      <c r="E13229">
        <v>544</v>
      </c>
      <c r="F13229">
        <v>270</v>
      </c>
      <c r="G13229">
        <v>50</v>
      </c>
      <c r="H13229">
        <v>2</v>
      </c>
      <c r="I13229">
        <v>505</v>
      </c>
      <c r="J13229">
        <v>1</v>
      </c>
      <c r="K13229">
        <v>353</v>
      </c>
      <c r="L13229">
        <v>886</v>
      </c>
      <c r="M13229">
        <v>1</v>
      </c>
      <c r="N13229">
        <v>1.07994E-127</v>
      </c>
      <c r="O13229">
        <v>1169</v>
      </c>
    </row>
    <row r="13230" spans="1:15" x14ac:dyDescent="0.25">
      <c r="A13230" t="s">
        <v>13243</v>
      </c>
      <c r="B13230">
        <v>149</v>
      </c>
      <c r="C13230" s="1" t="str">
        <f>HYPERLINK("http://www.rosaceae.org/gb/gbrowse/malus_x_domestica/?name=MDP0000136103","MDP0000136103")</f>
        <v>MDP0000136103</v>
      </c>
      <c r="D13230">
        <v>75</v>
      </c>
      <c r="E13230">
        <v>44</v>
      </c>
      <c r="F13230">
        <v>11</v>
      </c>
      <c r="G13230">
        <v>0</v>
      </c>
      <c r="H13230">
        <v>47</v>
      </c>
      <c r="I13230">
        <v>90</v>
      </c>
      <c r="J13230">
        <v>1</v>
      </c>
      <c r="K13230">
        <v>93</v>
      </c>
      <c r="L13230">
        <v>136</v>
      </c>
      <c r="M13230">
        <v>1</v>
      </c>
      <c r="N13230">
        <v>6.7675300000000003E-12</v>
      </c>
      <c r="O13230">
        <v>162</v>
      </c>
    </row>
    <row r="13231" spans="1:15" x14ac:dyDescent="0.25">
      <c r="A13231" t="s">
        <v>13244</v>
      </c>
      <c r="B13231">
        <v>629</v>
      </c>
      <c r="C13231" s="1" t="str">
        <f>HYPERLINK("http://www.rosaceae.org/gb/gbrowse/malus_x_domestica/?name=MDP0000148882","MDP0000148882")</f>
        <v>MDP0000148882</v>
      </c>
      <c r="D13231">
        <v>75.040000000000006</v>
      </c>
      <c r="E13231">
        <v>533</v>
      </c>
      <c r="F13231">
        <v>133</v>
      </c>
      <c r="G13231">
        <v>29</v>
      </c>
      <c r="H13231">
        <v>1</v>
      </c>
      <c r="I13231">
        <v>510</v>
      </c>
      <c r="J13231">
        <v>1</v>
      </c>
      <c r="K13231">
        <v>1</v>
      </c>
      <c r="L13231">
        <v>527</v>
      </c>
      <c r="M13231">
        <v>1</v>
      </c>
      <c r="N13231">
        <v>0</v>
      </c>
      <c r="O13231">
        <v>2071</v>
      </c>
    </row>
    <row r="13232" spans="1:15" x14ac:dyDescent="0.25">
      <c r="A13232" t="s">
        <v>13245</v>
      </c>
      <c r="B13232">
        <v>589</v>
      </c>
      <c r="C13232" s="1" t="str">
        <f>HYPERLINK("http://www.rosaceae.org/gb/gbrowse/malus_x_domestica/?name=MDP0000213122","MDP0000213122")</f>
        <v>MDP0000213122</v>
      </c>
      <c r="D13232">
        <v>68.61</v>
      </c>
      <c r="E13232">
        <v>548</v>
      </c>
      <c r="F13232">
        <v>172</v>
      </c>
      <c r="G13232">
        <v>23</v>
      </c>
      <c r="H13232">
        <v>30</v>
      </c>
      <c r="I13232">
        <v>554</v>
      </c>
      <c r="J13232">
        <v>1</v>
      </c>
      <c r="K13232">
        <v>192</v>
      </c>
      <c r="L13232">
        <v>739</v>
      </c>
      <c r="M13232">
        <v>1</v>
      </c>
      <c r="N13232">
        <v>0</v>
      </c>
      <c r="O13232">
        <v>1953</v>
      </c>
    </row>
    <row r="13233" spans="1:15" x14ac:dyDescent="0.25">
      <c r="A13233" t="s">
        <v>13246</v>
      </c>
      <c r="B13233">
        <v>534</v>
      </c>
      <c r="C13233" s="1" t="str">
        <f>HYPERLINK("http://www.rosaceae.org/gb/gbrowse/malus_x_domestica/?name=MDP0000254936","MDP0000254936")</f>
        <v>MDP0000254936</v>
      </c>
      <c r="D13233">
        <v>71.290000000000006</v>
      </c>
      <c r="E13233">
        <v>533</v>
      </c>
      <c r="F13233">
        <v>153</v>
      </c>
      <c r="G13233">
        <v>11</v>
      </c>
      <c r="H13233">
        <v>2</v>
      </c>
      <c r="I13233">
        <v>531</v>
      </c>
      <c r="J13233">
        <v>1</v>
      </c>
      <c r="K13233">
        <v>12</v>
      </c>
      <c r="L13233">
        <v>536</v>
      </c>
      <c r="M13233">
        <v>1</v>
      </c>
      <c r="N13233">
        <v>0</v>
      </c>
      <c r="O13233">
        <v>1975</v>
      </c>
    </row>
    <row r="13234" spans="1:15" x14ac:dyDescent="0.25">
      <c r="A13234" t="s">
        <v>13247</v>
      </c>
      <c r="B13234">
        <v>112</v>
      </c>
      <c r="C13234" s="1" t="str">
        <f>HYPERLINK("http://www.rosaceae.org/gb/gbrowse/malus_x_domestica/?name=MDP0000320628","MDP0000320628")</f>
        <v>MDP0000320628</v>
      </c>
      <c r="D13234">
        <v>68.88</v>
      </c>
      <c r="E13234">
        <v>45</v>
      </c>
      <c r="F13234">
        <v>14</v>
      </c>
      <c r="G13234">
        <v>0</v>
      </c>
      <c r="H13234">
        <v>27</v>
      </c>
      <c r="I13234">
        <v>71</v>
      </c>
      <c r="J13234">
        <v>1</v>
      </c>
      <c r="K13234">
        <v>179</v>
      </c>
      <c r="L13234">
        <v>223</v>
      </c>
      <c r="M13234">
        <v>1</v>
      </c>
      <c r="N13234">
        <v>1.16374E-11</v>
      </c>
      <c r="O13234">
        <v>158</v>
      </c>
    </row>
    <row r="13235" spans="1:15" x14ac:dyDescent="0.25">
      <c r="A13235" t="s">
        <v>13248</v>
      </c>
      <c r="B13235">
        <v>229</v>
      </c>
      <c r="C13235" s="1" t="str">
        <f>HYPERLINK("http://www.rosaceae.org/gb/gbrowse/malus_x_domestica/?name=MDP0000250518","MDP0000250518")</f>
        <v>MDP0000250518</v>
      </c>
      <c r="D13235">
        <v>74.5</v>
      </c>
      <c r="E13235">
        <v>102</v>
      </c>
      <c r="F13235">
        <v>26</v>
      </c>
      <c r="G13235">
        <v>0</v>
      </c>
      <c r="H13235">
        <v>128</v>
      </c>
      <c r="I13235">
        <v>229</v>
      </c>
      <c r="J13235">
        <v>1</v>
      </c>
      <c r="K13235">
        <v>514</v>
      </c>
      <c r="L13235">
        <v>615</v>
      </c>
      <c r="M13235">
        <v>1</v>
      </c>
      <c r="N13235">
        <v>4.9514099999999997E-41</v>
      </c>
      <c r="O13235">
        <v>416</v>
      </c>
    </row>
    <row r="13236" spans="1:15" x14ac:dyDescent="0.25">
      <c r="A13236" t="s">
        <v>13249</v>
      </c>
      <c r="B13236">
        <v>319</v>
      </c>
      <c r="C13236" s="1" t="str">
        <f>HYPERLINK("http://www.rosaceae.org/gb/gbrowse/malus_x_domestica/?name=MDP0000660991","MDP0000660991")</f>
        <v>MDP0000660991</v>
      </c>
      <c r="D13236">
        <v>65.19</v>
      </c>
      <c r="E13236">
        <v>362</v>
      </c>
      <c r="F13236">
        <v>126</v>
      </c>
      <c r="G13236">
        <v>43</v>
      </c>
      <c r="H13236">
        <v>1</v>
      </c>
      <c r="I13236">
        <v>319</v>
      </c>
      <c r="J13236">
        <v>1</v>
      </c>
      <c r="K13236">
        <v>1</v>
      </c>
      <c r="L13236">
        <v>362</v>
      </c>
      <c r="M13236">
        <v>1</v>
      </c>
      <c r="N13236">
        <v>4.1334300000000002E-130</v>
      </c>
      <c r="O13236">
        <v>1186</v>
      </c>
    </row>
    <row r="13237" spans="1:15" x14ac:dyDescent="0.25">
      <c r="A13237" t="s">
        <v>13250</v>
      </c>
      <c r="B13237">
        <v>282</v>
      </c>
      <c r="C13237" s="1" t="str">
        <f>HYPERLINK("http://www.rosaceae.org/gb/gbrowse/malus_x_domestica/?name=MDP0000170512","MDP0000170512")</f>
        <v>MDP0000170512</v>
      </c>
      <c r="D13237">
        <v>50</v>
      </c>
      <c r="E13237">
        <v>142</v>
      </c>
      <c r="F13237">
        <v>71</v>
      </c>
      <c r="G13237">
        <v>2</v>
      </c>
      <c r="H13237">
        <v>13</v>
      </c>
      <c r="I13237">
        <v>153</v>
      </c>
      <c r="J13237">
        <v>1</v>
      </c>
      <c r="K13237">
        <v>12</v>
      </c>
      <c r="L13237">
        <v>152</v>
      </c>
      <c r="M13237">
        <v>1</v>
      </c>
      <c r="N13237">
        <v>2.86327E-32</v>
      </c>
      <c r="O13237">
        <v>342</v>
      </c>
    </row>
    <row r="13238" spans="1:15" x14ac:dyDescent="0.25">
      <c r="A13238" t="s">
        <v>13251</v>
      </c>
      <c r="B13238">
        <v>157</v>
      </c>
      <c r="C13238" s="1" t="str">
        <f>HYPERLINK("http://www.rosaceae.org/gb/gbrowse/malus_x_domestica/?name=MDP0000492898","MDP0000492898")</f>
        <v>MDP0000492898</v>
      </c>
      <c r="D13238">
        <v>81.25</v>
      </c>
      <c r="E13238">
        <v>160</v>
      </c>
      <c r="F13238">
        <v>30</v>
      </c>
      <c r="G13238">
        <v>3</v>
      </c>
      <c r="H13238">
        <v>1</v>
      </c>
      <c r="I13238">
        <v>157</v>
      </c>
      <c r="J13238">
        <v>1</v>
      </c>
      <c r="K13238">
        <v>1</v>
      </c>
      <c r="L13238">
        <v>160</v>
      </c>
      <c r="M13238">
        <v>1</v>
      </c>
      <c r="N13238">
        <v>4.84777E-67</v>
      </c>
      <c r="O13238">
        <v>638</v>
      </c>
    </row>
    <row r="13239" spans="1:15" x14ac:dyDescent="0.25">
      <c r="A13239" t="s">
        <v>13252</v>
      </c>
      <c r="B13239">
        <v>1129</v>
      </c>
      <c r="C13239" s="1" t="str">
        <f>HYPERLINK("http://www.rosaceae.org/gb/gbrowse/malus_x_domestica/?name=MDP0000591411","MDP0000591411")</f>
        <v>MDP0000591411</v>
      </c>
      <c r="D13239">
        <v>58.36</v>
      </c>
      <c r="E13239">
        <v>956</v>
      </c>
      <c r="F13239">
        <v>398</v>
      </c>
      <c r="G13239">
        <v>51</v>
      </c>
      <c r="H13239">
        <v>162</v>
      </c>
      <c r="I13239">
        <v>1100</v>
      </c>
      <c r="J13239">
        <v>1</v>
      </c>
      <c r="K13239">
        <v>74</v>
      </c>
      <c r="L13239">
        <v>995</v>
      </c>
      <c r="M13239">
        <v>1</v>
      </c>
      <c r="N13239">
        <v>0</v>
      </c>
      <c r="O13239">
        <v>2606</v>
      </c>
    </row>
    <row r="13240" spans="1:15" x14ac:dyDescent="0.25">
      <c r="A13240" t="s">
        <v>13253</v>
      </c>
      <c r="B13240">
        <v>100</v>
      </c>
      <c r="C13240" s="1" t="str">
        <f>HYPERLINK("http://www.rosaceae.org/gb/gbrowse/malus_x_domestica/?name=MDP0000694070","MDP0000694070")</f>
        <v>MDP0000694070</v>
      </c>
      <c r="D13240">
        <v>51.68</v>
      </c>
      <c r="E13240">
        <v>89</v>
      </c>
      <c r="F13240">
        <v>43</v>
      </c>
      <c r="G13240">
        <v>23</v>
      </c>
      <c r="H13240">
        <v>33</v>
      </c>
      <c r="I13240">
        <v>100</v>
      </c>
      <c r="J13240">
        <v>1</v>
      </c>
      <c r="K13240">
        <v>90</v>
      </c>
      <c r="L13240">
        <v>176</v>
      </c>
      <c r="M13240">
        <v>1</v>
      </c>
      <c r="N13240">
        <v>1.1590499999999999E-14</v>
      </c>
      <c r="O13240">
        <v>184</v>
      </c>
    </row>
    <row r="13241" spans="1:15" x14ac:dyDescent="0.25">
      <c r="A13241" t="s">
        <v>13254</v>
      </c>
      <c r="B13241">
        <v>832</v>
      </c>
      <c r="C13241" s="1" t="str">
        <f>HYPERLINK("http://www.rosaceae.org/gb/gbrowse/malus_x_domestica/?name=MDP0000304297","MDP0000304297")</f>
        <v>MDP0000304297</v>
      </c>
      <c r="D13241">
        <v>68.84</v>
      </c>
      <c r="E13241">
        <v>414</v>
      </c>
      <c r="F13241">
        <v>129</v>
      </c>
      <c r="G13241">
        <v>18</v>
      </c>
      <c r="H13241">
        <v>412</v>
      </c>
      <c r="I13241">
        <v>807</v>
      </c>
      <c r="J13241">
        <v>1</v>
      </c>
      <c r="K13241">
        <v>177</v>
      </c>
      <c r="L13241">
        <v>590</v>
      </c>
      <c r="M13241">
        <v>1</v>
      </c>
      <c r="N13241">
        <v>8.4766799999999996E-163</v>
      </c>
      <c r="O13241">
        <v>1473</v>
      </c>
    </row>
    <row r="13242" spans="1:15" x14ac:dyDescent="0.25">
      <c r="A13242" t="s">
        <v>13255</v>
      </c>
      <c r="B13242">
        <v>295</v>
      </c>
      <c r="C13242" s="1" t="str">
        <f>HYPERLINK("http://www.rosaceae.org/gb/gbrowse/malus_x_domestica/?name=MDP0000821298","MDP0000821298")</f>
        <v>MDP0000821298</v>
      </c>
      <c r="D13242">
        <v>78.92</v>
      </c>
      <c r="E13242">
        <v>299</v>
      </c>
      <c r="F13242">
        <v>63</v>
      </c>
      <c r="G13242">
        <v>5</v>
      </c>
      <c r="H13242">
        <v>1</v>
      </c>
      <c r="I13242">
        <v>295</v>
      </c>
      <c r="J13242">
        <v>1</v>
      </c>
      <c r="K13242">
        <v>1</v>
      </c>
      <c r="L13242">
        <v>298</v>
      </c>
      <c r="M13242">
        <v>1</v>
      </c>
      <c r="N13242">
        <v>4.0226699999999999E-134</v>
      </c>
      <c r="O13242">
        <v>1221</v>
      </c>
    </row>
    <row r="13243" spans="1:15" x14ac:dyDescent="0.25">
      <c r="A13243" t="s">
        <v>13256</v>
      </c>
      <c r="B13243">
        <v>471</v>
      </c>
      <c r="C13243" s="1" t="str">
        <f>HYPERLINK("http://www.rosaceae.org/gb/gbrowse/malus_x_domestica/?name=MDP0000182763","MDP0000182763")</f>
        <v>MDP0000182763</v>
      </c>
      <c r="D13243">
        <v>40.26</v>
      </c>
      <c r="E13243">
        <v>149</v>
      </c>
      <c r="F13243">
        <v>89</v>
      </c>
      <c r="G13243">
        <v>21</v>
      </c>
      <c r="H13243">
        <v>24</v>
      </c>
      <c r="I13243">
        <v>164</v>
      </c>
      <c r="J13243">
        <v>1</v>
      </c>
      <c r="K13243">
        <v>25</v>
      </c>
      <c r="L13243">
        <v>160</v>
      </c>
      <c r="M13243">
        <v>1</v>
      </c>
      <c r="N13243">
        <v>1.19051E-13</v>
      </c>
      <c r="O13243">
        <v>184</v>
      </c>
    </row>
    <row r="13244" spans="1:15" x14ac:dyDescent="0.25">
      <c r="A13244" t="s">
        <v>13257</v>
      </c>
      <c r="B13244">
        <v>630</v>
      </c>
      <c r="C13244" s="1" t="str">
        <f>HYPERLINK("http://www.rosaceae.org/gb/gbrowse/malus_x_domestica/?name=MDP0000770037","MDP0000770037")</f>
        <v>MDP0000770037</v>
      </c>
      <c r="D13244">
        <v>48.63</v>
      </c>
      <c r="E13244">
        <v>403</v>
      </c>
      <c r="F13244">
        <v>207</v>
      </c>
      <c r="G13244">
        <v>43</v>
      </c>
      <c r="H13244">
        <v>83</v>
      </c>
      <c r="I13244">
        <v>468</v>
      </c>
      <c r="J13244">
        <v>1</v>
      </c>
      <c r="K13244">
        <v>719</v>
      </c>
      <c r="L13244">
        <v>1095</v>
      </c>
      <c r="M13244">
        <v>1</v>
      </c>
      <c r="N13244">
        <v>1.1883200000000001E-88</v>
      </c>
      <c r="O13244">
        <v>832</v>
      </c>
    </row>
    <row r="13245" spans="1:15" x14ac:dyDescent="0.25">
      <c r="A13245" t="s">
        <v>13258</v>
      </c>
      <c r="B13245">
        <v>619</v>
      </c>
      <c r="C13245" s="1" t="str">
        <f>HYPERLINK("http://www.rosaceae.org/gb/gbrowse/malus_x_domestica/?name=MDP0000780622","MDP0000780622")</f>
        <v>MDP0000780622</v>
      </c>
      <c r="D13245">
        <v>78.86</v>
      </c>
      <c r="E13245">
        <v>601</v>
      </c>
      <c r="F13245">
        <v>127</v>
      </c>
      <c r="G13245">
        <v>0</v>
      </c>
      <c r="H13245">
        <v>19</v>
      </c>
      <c r="I13245">
        <v>619</v>
      </c>
      <c r="J13245">
        <v>1</v>
      </c>
      <c r="K13245">
        <v>23</v>
      </c>
      <c r="L13245">
        <v>623</v>
      </c>
      <c r="M13245">
        <v>1</v>
      </c>
      <c r="N13245">
        <v>0</v>
      </c>
      <c r="O13245">
        <v>2621</v>
      </c>
    </row>
    <row r="13246" spans="1:15" x14ac:dyDescent="0.25">
      <c r="A13246" t="s">
        <v>13259</v>
      </c>
      <c r="B13246">
        <v>1420</v>
      </c>
      <c r="C13246" s="1" t="str">
        <f>HYPERLINK("http://www.rosaceae.org/gb/gbrowse/malus_x_domestica/?name=MDP0000236352","MDP0000236352")</f>
        <v>MDP0000236352</v>
      </c>
      <c r="D13246">
        <v>44.48</v>
      </c>
      <c r="E13246">
        <v>562</v>
      </c>
      <c r="F13246">
        <v>312</v>
      </c>
      <c r="G13246">
        <v>82</v>
      </c>
      <c r="H13246">
        <v>812</v>
      </c>
      <c r="I13246">
        <v>1327</v>
      </c>
      <c r="J13246">
        <v>1</v>
      </c>
      <c r="K13246">
        <v>558</v>
      </c>
      <c r="L13246">
        <v>1083</v>
      </c>
      <c r="M13246">
        <v>1</v>
      </c>
      <c r="N13246">
        <v>2.5795499999999999E-103</v>
      </c>
      <c r="O13246">
        <v>962</v>
      </c>
    </row>
    <row r="13247" spans="1:15" x14ac:dyDescent="0.25">
      <c r="A13247" t="s">
        <v>13260</v>
      </c>
      <c r="B13247">
        <v>528</v>
      </c>
      <c r="C13247" s="1" t="str">
        <f>HYPERLINK("http://www.rosaceae.org/gb/gbrowse/malus_x_domestica/?name=MDP0000191557","MDP0000191557")</f>
        <v>MDP0000191557</v>
      </c>
      <c r="D13247">
        <v>73.58</v>
      </c>
      <c r="E13247">
        <v>530</v>
      </c>
      <c r="F13247">
        <v>140</v>
      </c>
      <c r="G13247">
        <v>3</v>
      </c>
      <c r="H13247">
        <v>1</v>
      </c>
      <c r="I13247">
        <v>528</v>
      </c>
      <c r="J13247">
        <v>1</v>
      </c>
      <c r="K13247">
        <v>1</v>
      </c>
      <c r="L13247">
        <v>529</v>
      </c>
      <c r="M13247">
        <v>1</v>
      </c>
      <c r="N13247">
        <v>0</v>
      </c>
      <c r="O13247">
        <v>1996</v>
      </c>
    </row>
    <row r="13248" spans="1:15" x14ac:dyDescent="0.25">
      <c r="A13248" t="s">
        <v>13261</v>
      </c>
      <c r="B13248">
        <v>214</v>
      </c>
      <c r="C13248" s="1" t="str">
        <f>HYPERLINK("http://www.rosaceae.org/gb/gbrowse/malus_x_domestica/?name=MDP0000283919","MDP0000283919")</f>
        <v>MDP0000283919</v>
      </c>
      <c r="D13248">
        <v>32.71</v>
      </c>
      <c r="E13248">
        <v>217</v>
      </c>
      <c r="F13248">
        <v>146</v>
      </c>
      <c r="G13248">
        <v>44</v>
      </c>
      <c r="H13248">
        <v>19</v>
      </c>
      <c r="I13248">
        <v>195</v>
      </c>
      <c r="J13248">
        <v>1</v>
      </c>
      <c r="K13248">
        <v>776</v>
      </c>
      <c r="L13248">
        <v>988</v>
      </c>
      <c r="M13248">
        <v>1</v>
      </c>
      <c r="N13248">
        <v>2.2242100000000001E-29</v>
      </c>
      <c r="O13248">
        <v>315</v>
      </c>
    </row>
    <row r="13249" spans="1:15" x14ac:dyDescent="0.25">
      <c r="A13249" t="s">
        <v>13262</v>
      </c>
      <c r="B13249">
        <v>482</v>
      </c>
      <c r="C13249" s="1" t="str">
        <f>HYPERLINK("http://www.rosaceae.org/gb/gbrowse/malus_x_domestica/?name=MDP0000094767","MDP0000094767")</f>
        <v>MDP0000094767</v>
      </c>
      <c r="D13249">
        <v>86.37</v>
      </c>
      <c r="E13249">
        <v>455</v>
      </c>
      <c r="F13249">
        <v>62</v>
      </c>
      <c r="G13249">
        <v>0</v>
      </c>
      <c r="H13249">
        <v>27</v>
      </c>
      <c r="I13249">
        <v>481</v>
      </c>
      <c r="J13249">
        <v>1</v>
      </c>
      <c r="K13249">
        <v>1</v>
      </c>
      <c r="L13249">
        <v>455</v>
      </c>
      <c r="M13249">
        <v>1</v>
      </c>
      <c r="N13249">
        <v>0</v>
      </c>
      <c r="O13249">
        <v>2163</v>
      </c>
    </row>
    <row r="13250" spans="1:15" x14ac:dyDescent="0.25">
      <c r="A13250" t="s">
        <v>13263</v>
      </c>
      <c r="B13250">
        <v>410</v>
      </c>
      <c r="C13250" s="1" t="str">
        <f>HYPERLINK("http://www.rosaceae.org/gb/gbrowse/malus_x_domestica/?name=MDP0000293408","MDP0000293408")</f>
        <v>MDP0000293408</v>
      </c>
      <c r="D13250">
        <v>69.92</v>
      </c>
      <c r="E13250">
        <v>379</v>
      </c>
      <c r="F13250">
        <v>114</v>
      </c>
      <c r="G13250">
        <v>1</v>
      </c>
      <c r="H13250">
        <v>19</v>
      </c>
      <c r="I13250">
        <v>396</v>
      </c>
      <c r="J13250">
        <v>1</v>
      </c>
      <c r="K13250">
        <v>565</v>
      </c>
      <c r="L13250">
        <v>943</v>
      </c>
      <c r="M13250">
        <v>1</v>
      </c>
      <c r="N13250">
        <v>2.4758600000000001E-160</v>
      </c>
      <c r="O13250">
        <v>1448</v>
      </c>
    </row>
    <row r="13251" spans="1:15" x14ac:dyDescent="0.25">
      <c r="A13251" t="s">
        <v>13264</v>
      </c>
      <c r="B13251">
        <v>224</v>
      </c>
      <c r="C13251" s="1" t="str">
        <f>HYPERLINK("http://www.rosaceae.org/gb/gbrowse/malus_x_domestica/?name=MDP0000874064","MDP0000874064")</f>
        <v>MDP0000874064</v>
      </c>
      <c r="D13251">
        <v>33.33</v>
      </c>
      <c r="E13251">
        <v>198</v>
      </c>
      <c r="F13251">
        <v>132</v>
      </c>
      <c r="G13251">
        <v>41</v>
      </c>
      <c r="H13251">
        <v>16</v>
      </c>
      <c r="I13251">
        <v>188</v>
      </c>
      <c r="J13251">
        <v>1</v>
      </c>
      <c r="K13251">
        <v>23</v>
      </c>
      <c r="L13251">
        <v>204</v>
      </c>
      <c r="M13251">
        <v>1</v>
      </c>
      <c r="N13251">
        <v>2.28274E-14</v>
      </c>
      <c r="O13251">
        <v>186</v>
      </c>
    </row>
    <row r="13252" spans="1:15" x14ac:dyDescent="0.25">
      <c r="A13252" t="s">
        <v>13265</v>
      </c>
      <c r="B13252">
        <v>313</v>
      </c>
      <c r="C13252" s="1" t="str">
        <f>HYPERLINK("http://www.rosaceae.org/gb/gbrowse/malus_x_domestica/?name=MDP0000676683","MDP0000676683")</f>
        <v>MDP0000676683</v>
      </c>
      <c r="D13252">
        <v>69.91</v>
      </c>
      <c r="E13252">
        <v>123</v>
      </c>
      <c r="F13252">
        <v>37</v>
      </c>
      <c r="G13252">
        <v>0</v>
      </c>
      <c r="H13252">
        <v>2</v>
      </c>
      <c r="I13252">
        <v>124</v>
      </c>
      <c r="J13252">
        <v>1</v>
      </c>
      <c r="K13252">
        <v>19</v>
      </c>
      <c r="L13252">
        <v>141</v>
      </c>
      <c r="M13252">
        <v>1</v>
      </c>
      <c r="N13252">
        <v>3.4281299999999998E-45</v>
      </c>
      <c r="O13252">
        <v>454</v>
      </c>
    </row>
    <row r="13253" spans="1:15" x14ac:dyDescent="0.25">
      <c r="A13253" t="s">
        <v>13266</v>
      </c>
      <c r="B13253">
        <v>432</v>
      </c>
      <c r="C13253" s="1" t="str">
        <f>HYPERLINK("http://www.rosaceae.org/gb/gbrowse/malus_x_domestica/?name=MDP0000218271","MDP0000218271")</f>
        <v>MDP0000218271</v>
      </c>
      <c r="D13253">
        <v>65.97</v>
      </c>
      <c r="E13253">
        <v>338</v>
      </c>
      <c r="F13253">
        <v>115</v>
      </c>
      <c r="G13253">
        <v>16</v>
      </c>
      <c r="H13253">
        <v>75</v>
      </c>
      <c r="I13253">
        <v>397</v>
      </c>
      <c r="J13253">
        <v>1</v>
      </c>
      <c r="K13253">
        <v>1</v>
      </c>
      <c r="L13253">
        <v>337</v>
      </c>
      <c r="M13253">
        <v>1</v>
      </c>
      <c r="N13253">
        <v>2.4909600000000001E-121</v>
      </c>
      <c r="O13253">
        <v>1112</v>
      </c>
    </row>
    <row r="13254" spans="1:15" x14ac:dyDescent="0.25">
      <c r="A13254" t="s">
        <v>13267</v>
      </c>
      <c r="B13254">
        <v>203</v>
      </c>
      <c r="C13254" s="1" t="str">
        <f>HYPERLINK("http://www.rosaceae.org/gb/gbrowse/malus_x_domestica/?name=MDP0000127915","MDP0000127915")</f>
        <v>MDP0000127915</v>
      </c>
      <c r="D13254">
        <v>70.27</v>
      </c>
      <c r="E13254">
        <v>222</v>
      </c>
      <c r="F13254">
        <v>66</v>
      </c>
      <c r="G13254">
        <v>22</v>
      </c>
      <c r="H13254">
        <v>1</v>
      </c>
      <c r="I13254">
        <v>201</v>
      </c>
      <c r="J13254">
        <v>1</v>
      </c>
      <c r="K13254">
        <v>1</v>
      </c>
      <c r="L13254">
        <v>221</v>
      </c>
      <c r="M13254">
        <v>1</v>
      </c>
      <c r="N13254">
        <v>2.5966300000000001E-86</v>
      </c>
      <c r="O13254">
        <v>806</v>
      </c>
    </row>
    <row r="13255" spans="1:15" x14ac:dyDescent="0.25">
      <c r="A13255" t="s">
        <v>13268</v>
      </c>
      <c r="B13255">
        <v>1094</v>
      </c>
      <c r="C13255" s="1" t="str">
        <f>HYPERLINK("http://www.rosaceae.org/gb/gbrowse/malus_x_domestica/?name=MDP0000167531","MDP0000167531")</f>
        <v>MDP0000167531</v>
      </c>
      <c r="D13255">
        <v>76.36</v>
      </c>
      <c r="E13255">
        <v>639</v>
      </c>
      <c r="F13255">
        <v>151</v>
      </c>
      <c r="G13255">
        <v>38</v>
      </c>
      <c r="H13255">
        <v>488</v>
      </c>
      <c r="I13255">
        <v>1094</v>
      </c>
      <c r="J13255">
        <v>1</v>
      </c>
      <c r="K13255">
        <v>1</v>
      </c>
      <c r="L13255">
        <v>633</v>
      </c>
      <c r="M13255">
        <v>1</v>
      </c>
      <c r="N13255">
        <v>0</v>
      </c>
      <c r="O13255">
        <v>2552</v>
      </c>
    </row>
    <row r="13256" spans="1:15" x14ac:dyDescent="0.25">
      <c r="A13256" t="s">
        <v>13269</v>
      </c>
      <c r="B13256">
        <v>1030</v>
      </c>
      <c r="C13256" s="1" t="str">
        <f>HYPERLINK("http://www.rosaceae.org/gb/gbrowse/malus_x_domestica/?name=MDP0000687888","MDP0000687888")</f>
        <v>MDP0000687888</v>
      </c>
      <c r="D13256">
        <v>77.5</v>
      </c>
      <c r="E13256">
        <v>489</v>
      </c>
      <c r="F13256">
        <v>110</v>
      </c>
      <c r="G13256">
        <v>79</v>
      </c>
      <c r="H13256">
        <v>542</v>
      </c>
      <c r="I13256">
        <v>1030</v>
      </c>
      <c r="J13256">
        <v>1</v>
      </c>
      <c r="K13256">
        <v>2</v>
      </c>
      <c r="L13256">
        <v>411</v>
      </c>
      <c r="M13256">
        <v>1</v>
      </c>
      <c r="N13256">
        <v>0</v>
      </c>
      <c r="O13256">
        <v>1877</v>
      </c>
    </row>
    <row r="13257" spans="1:15" x14ac:dyDescent="0.25">
      <c r="A13257" t="s">
        <v>13270</v>
      </c>
      <c r="B13257">
        <v>538</v>
      </c>
      <c r="C13257" s="1" t="str">
        <f>HYPERLINK("http://www.rosaceae.org/gb/gbrowse/malus_x_domestica/?name=MDP0000211072","MDP0000211072")</f>
        <v>MDP0000211072</v>
      </c>
      <c r="D13257">
        <v>79.62</v>
      </c>
      <c r="E13257">
        <v>540</v>
      </c>
      <c r="F13257">
        <v>110</v>
      </c>
      <c r="G13257">
        <v>6</v>
      </c>
      <c r="H13257">
        <v>1</v>
      </c>
      <c r="I13257">
        <v>538</v>
      </c>
      <c r="J13257">
        <v>1</v>
      </c>
      <c r="K13257">
        <v>1</v>
      </c>
      <c r="L13257">
        <v>536</v>
      </c>
      <c r="M13257">
        <v>1</v>
      </c>
      <c r="N13257">
        <v>0</v>
      </c>
      <c r="O13257">
        <v>2262</v>
      </c>
    </row>
    <row r="13258" spans="1:15" x14ac:dyDescent="0.25">
      <c r="A13258" t="s">
        <v>13271</v>
      </c>
      <c r="B13258">
        <v>214</v>
      </c>
      <c r="C13258" s="1" t="str">
        <f>HYPERLINK("http://www.rosaceae.org/gb/gbrowse/malus_x_domestica/?name=MDP0000247921","MDP0000247921")</f>
        <v>MDP0000247921</v>
      </c>
      <c r="D13258">
        <v>44.16</v>
      </c>
      <c r="E13258">
        <v>197</v>
      </c>
      <c r="F13258">
        <v>110</v>
      </c>
      <c r="G13258">
        <v>3</v>
      </c>
      <c r="H13258">
        <v>3</v>
      </c>
      <c r="I13258">
        <v>197</v>
      </c>
      <c r="J13258">
        <v>1</v>
      </c>
      <c r="K13258">
        <v>591</v>
      </c>
      <c r="L13258">
        <v>786</v>
      </c>
      <c r="M13258">
        <v>1</v>
      </c>
      <c r="N13258">
        <v>2.6607799999999999E-44</v>
      </c>
      <c r="O13258">
        <v>444</v>
      </c>
    </row>
    <row r="13259" spans="1:15" x14ac:dyDescent="0.25">
      <c r="A13259" t="s">
        <v>13272</v>
      </c>
      <c r="B13259">
        <v>215</v>
      </c>
      <c r="C13259" s="1" t="str">
        <f>HYPERLINK("http://www.rosaceae.org/gb/gbrowse/malus_x_domestica/?name=MDP0000298045","MDP0000298045")</f>
        <v>MDP0000298045</v>
      </c>
      <c r="D13259">
        <v>59.13</v>
      </c>
      <c r="E13259">
        <v>208</v>
      </c>
      <c r="F13259">
        <v>85</v>
      </c>
      <c r="G13259">
        <v>23</v>
      </c>
      <c r="H13259">
        <v>6</v>
      </c>
      <c r="I13259">
        <v>194</v>
      </c>
      <c r="J13259">
        <v>1</v>
      </c>
      <c r="K13259">
        <v>127</v>
      </c>
      <c r="L13259">
        <v>330</v>
      </c>
      <c r="M13259">
        <v>1</v>
      </c>
      <c r="N13259">
        <v>3.0821899999999998E-56</v>
      </c>
      <c r="O13259">
        <v>547</v>
      </c>
    </row>
    <row r="13260" spans="1:15" x14ac:dyDescent="0.25">
      <c r="A13260" t="s">
        <v>13273</v>
      </c>
      <c r="B13260">
        <v>292</v>
      </c>
      <c r="C13260" s="1" t="str">
        <f>HYPERLINK("http://www.rosaceae.org/gb/gbrowse/malus_x_domestica/?name=MDP0000826966","MDP0000826966")</f>
        <v>MDP0000826966</v>
      </c>
      <c r="D13260">
        <v>64.33</v>
      </c>
      <c r="E13260">
        <v>300</v>
      </c>
      <c r="F13260">
        <v>107</v>
      </c>
      <c r="G13260">
        <v>15</v>
      </c>
      <c r="H13260">
        <v>1</v>
      </c>
      <c r="I13260">
        <v>292</v>
      </c>
      <c r="J13260">
        <v>1</v>
      </c>
      <c r="K13260">
        <v>1</v>
      </c>
      <c r="L13260">
        <v>293</v>
      </c>
      <c r="M13260">
        <v>1</v>
      </c>
      <c r="N13260">
        <v>1.8614E-90</v>
      </c>
      <c r="O13260">
        <v>844</v>
      </c>
    </row>
    <row r="13261" spans="1:15" x14ac:dyDescent="0.25">
      <c r="A13261" t="s">
        <v>13274</v>
      </c>
      <c r="B13261">
        <v>395</v>
      </c>
      <c r="C13261" s="1" t="str">
        <f>HYPERLINK("http://www.rosaceae.org/gb/gbrowse/malus_x_domestica/?name=MDP0000217335","MDP0000217335")</f>
        <v>MDP0000217335</v>
      </c>
      <c r="D13261">
        <v>36.229999999999997</v>
      </c>
      <c r="E13261">
        <v>414</v>
      </c>
      <c r="F13261">
        <v>264</v>
      </c>
      <c r="G13261">
        <v>55</v>
      </c>
      <c r="H13261">
        <v>18</v>
      </c>
      <c r="I13261">
        <v>395</v>
      </c>
      <c r="J13261">
        <v>1</v>
      </c>
      <c r="K13261">
        <v>28</v>
      </c>
      <c r="L13261">
        <v>422</v>
      </c>
      <c r="M13261">
        <v>1</v>
      </c>
      <c r="N13261">
        <v>1.5080699999999999E-55</v>
      </c>
      <c r="O13261">
        <v>544</v>
      </c>
    </row>
    <row r="13262" spans="1:15" x14ac:dyDescent="0.25">
      <c r="A13262" t="s">
        <v>13275</v>
      </c>
      <c r="B13262">
        <v>651</v>
      </c>
      <c r="C13262" s="1" t="str">
        <f>HYPERLINK("http://www.rosaceae.org/gb/gbrowse/malus_x_domestica/?name=MDP0000525440","MDP0000525440")</f>
        <v>MDP0000525440</v>
      </c>
      <c r="D13262">
        <v>83.86</v>
      </c>
      <c r="E13262">
        <v>533</v>
      </c>
      <c r="F13262">
        <v>86</v>
      </c>
      <c r="G13262">
        <v>0</v>
      </c>
      <c r="H13262">
        <v>22</v>
      </c>
      <c r="I13262">
        <v>554</v>
      </c>
      <c r="J13262">
        <v>1</v>
      </c>
      <c r="K13262">
        <v>48</v>
      </c>
      <c r="L13262">
        <v>580</v>
      </c>
      <c r="M13262">
        <v>1</v>
      </c>
      <c r="N13262">
        <v>0</v>
      </c>
      <c r="O13262">
        <v>2467</v>
      </c>
    </row>
    <row r="13263" spans="1:15" x14ac:dyDescent="0.25">
      <c r="A13263" t="s">
        <v>13276</v>
      </c>
      <c r="B13263">
        <v>132</v>
      </c>
      <c r="C13263" s="1" t="str">
        <f>HYPERLINK("http://www.rosaceae.org/gb/gbrowse/malus_x_domestica/?name=MDP0000306353","MDP0000306353")</f>
        <v>MDP0000306353</v>
      </c>
      <c r="D13263">
        <v>73.37</v>
      </c>
      <c r="E13263">
        <v>154</v>
      </c>
      <c r="F13263">
        <v>41</v>
      </c>
      <c r="G13263">
        <v>27</v>
      </c>
      <c r="H13263">
        <v>1</v>
      </c>
      <c r="I13263">
        <v>127</v>
      </c>
      <c r="J13263">
        <v>1</v>
      </c>
      <c r="K13263">
        <v>194</v>
      </c>
      <c r="L13263">
        <v>347</v>
      </c>
      <c r="M13263">
        <v>1</v>
      </c>
      <c r="N13263">
        <v>6.0190999999999999E-62</v>
      </c>
      <c r="O13263">
        <v>592</v>
      </c>
    </row>
    <row r="13264" spans="1:15" x14ac:dyDescent="0.25">
      <c r="A13264" t="s">
        <v>13277</v>
      </c>
      <c r="B13264">
        <v>322</v>
      </c>
      <c r="C13264" s="1" t="str">
        <f>HYPERLINK("http://www.rosaceae.org/gb/gbrowse/malus_x_domestica/?name=MDP0000943304","MDP0000943304")</f>
        <v>MDP0000943304</v>
      </c>
      <c r="D13264">
        <v>63.63</v>
      </c>
      <c r="E13264">
        <v>330</v>
      </c>
      <c r="F13264">
        <v>120</v>
      </c>
      <c r="G13264">
        <v>33</v>
      </c>
      <c r="H13264">
        <v>25</v>
      </c>
      <c r="I13264">
        <v>322</v>
      </c>
      <c r="J13264">
        <v>1</v>
      </c>
      <c r="K13264">
        <v>110</v>
      </c>
      <c r="L13264">
        <v>438</v>
      </c>
      <c r="M13264">
        <v>1</v>
      </c>
      <c r="N13264">
        <v>3.4763099999999999E-113</v>
      </c>
      <c r="O13264">
        <v>1040</v>
      </c>
    </row>
    <row r="13265" spans="1:15" x14ac:dyDescent="0.25">
      <c r="A13265" t="s">
        <v>13278</v>
      </c>
      <c r="B13265">
        <v>288</v>
      </c>
      <c r="C13265" s="1" t="str">
        <f>HYPERLINK("http://www.rosaceae.org/gb/gbrowse/malus_x_domestica/?name=MDP0000143989","MDP0000143989")</f>
        <v>MDP0000143989</v>
      </c>
      <c r="D13265">
        <v>39.18</v>
      </c>
      <c r="E13265">
        <v>296</v>
      </c>
      <c r="F13265">
        <v>180</v>
      </c>
      <c r="G13265">
        <v>43</v>
      </c>
      <c r="H13265">
        <v>2</v>
      </c>
      <c r="I13265">
        <v>271</v>
      </c>
      <c r="J13265">
        <v>1</v>
      </c>
      <c r="K13265">
        <v>82</v>
      </c>
      <c r="L13265">
        <v>360</v>
      </c>
      <c r="M13265">
        <v>1</v>
      </c>
      <c r="N13265">
        <v>7.5108899999999996E-42</v>
      </c>
      <c r="O13265">
        <v>425</v>
      </c>
    </row>
    <row r="13266" spans="1:15" x14ac:dyDescent="0.25">
      <c r="A13266" t="s">
        <v>13279</v>
      </c>
      <c r="B13266">
        <v>523</v>
      </c>
      <c r="C13266" s="1" t="str">
        <f>HYPERLINK("http://www.rosaceae.org/gb/gbrowse/malus_x_domestica/?name=MDP0000263388","MDP0000263388")</f>
        <v>MDP0000263388</v>
      </c>
      <c r="D13266">
        <v>25.31</v>
      </c>
      <c r="E13266">
        <v>474</v>
      </c>
      <c r="F13266">
        <v>354</v>
      </c>
      <c r="G13266">
        <v>74</v>
      </c>
      <c r="H13266">
        <v>26</v>
      </c>
      <c r="I13266">
        <v>495</v>
      </c>
      <c r="J13266">
        <v>1</v>
      </c>
      <c r="K13266">
        <v>2</v>
      </c>
      <c r="L13266">
        <v>405</v>
      </c>
      <c r="M13266">
        <v>1</v>
      </c>
      <c r="N13266">
        <v>2.45573E-27</v>
      </c>
      <c r="O13266">
        <v>302</v>
      </c>
    </row>
    <row r="13267" spans="1:15" x14ac:dyDescent="0.25">
      <c r="A13267" t="s">
        <v>13280</v>
      </c>
      <c r="B13267">
        <v>733</v>
      </c>
      <c r="C13267" s="1" t="str">
        <f>HYPERLINK("http://www.rosaceae.org/gb/gbrowse/malus_x_domestica/?name=MDP0000734561","MDP0000734561")</f>
        <v>MDP0000734561</v>
      </c>
      <c r="D13267">
        <v>50.83</v>
      </c>
      <c r="E13267">
        <v>602</v>
      </c>
      <c r="F13267">
        <v>296</v>
      </c>
      <c r="G13267">
        <v>67</v>
      </c>
      <c r="H13267">
        <v>158</v>
      </c>
      <c r="I13267">
        <v>719</v>
      </c>
      <c r="J13267">
        <v>1</v>
      </c>
      <c r="K13267">
        <v>166</v>
      </c>
      <c r="L13267">
        <v>740</v>
      </c>
      <c r="M13267">
        <v>1</v>
      </c>
      <c r="N13267">
        <v>1.76894E-155</v>
      </c>
      <c r="O13267">
        <v>1409</v>
      </c>
    </row>
    <row r="13268" spans="1:15" x14ac:dyDescent="0.25">
      <c r="A13268" t="s">
        <v>13281</v>
      </c>
      <c r="B13268">
        <v>760</v>
      </c>
      <c r="C13268" s="1" t="str">
        <f>HYPERLINK("http://www.rosaceae.org/gb/gbrowse/malus_x_domestica/?name=MDP0000464286","MDP0000464286")</f>
        <v>MDP0000464286</v>
      </c>
      <c r="D13268">
        <v>32.18</v>
      </c>
      <c r="E13268">
        <v>522</v>
      </c>
      <c r="F13268">
        <v>354</v>
      </c>
      <c r="G13268">
        <v>48</v>
      </c>
      <c r="H13268">
        <v>191</v>
      </c>
      <c r="I13268">
        <v>685</v>
      </c>
      <c r="J13268">
        <v>1</v>
      </c>
      <c r="K13268">
        <v>90</v>
      </c>
      <c r="L13268">
        <v>590</v>
      </c>
      <c r="M13268">
        <v>1</v>
      </c>
      <c r="N13268">
        <v>3.4785199999999997E-70</v>
      </c>
      <c r="O13268">
        <v>674</v>
      </c>
    </row>
    <row r="13269" spans="1:15" x14ac:dyDescent="0.25">
      <c r="A13269" t="s">
        <v>13282</v>
      </c>
      <c r="B13269">
        <v>205</v>
      </c>
      <c r="C13269" s="1" t="str">
        <f>HYPERLINK("http://www.rosaceae.org/gb/gbrowse/malus_x_domestica/?name=MDP0000090205","MDP0000090205")</f>
        <v>MDP0000090205</v>
      </c>
      <c r="D13269">
        <v>74.31</v>
      </c>
      <c r="E13269">
        <v>218</v>
      </c>
      <c r="F13269">
        <v>56</v>
      </c>
      <c r="G13269">
        <v>19</v>
      </c>
      <c r="H13269">
        <v>1</v>
      </c>
      <c r="I13269">
        <v>199</v>
      </c>
      <c r="J13269">
        <v>1</v>
      </c>
      <c r="K13269">
        <v>1</v>
      </c>
      <c r="L13269">
        <v>218</v>
      </c>
      <c r="M13269">
        <v>1</v>
      </c>
      <c r="N13269">
        <v>6.7731700000000007E-80</v>
      </c>
      <c r="O13269">
        <v>751</v>
      </c>
    </row>
    <row r="13270" spans="1:15" x14ac:dyDescent="0.25">
      <c r="A13270" t="s">
        <v>13283</v>
      </c>
      <c r="B13270">
        <v>505</v>
      </c>
      <c r="C13270" s="1" t="str">
        <f>HYPERLINK("http://www.rosaceae.org/gb/gbrowse/malus_x_domestica/?name=MDP0000321062","MDP0000321062")</f>
        <v>MDP0000321062</v>
      </c>
      <c r="D13270">
        <v>77.63</v>
      </c>
      <c r="E13270">
        <v>228</v>
      </c>
      <c r="F13270">
        <v>51</v>
      </c>
      <c r="G13270">
        <v>2</v>
      </c>
      <c r="H13270">
        <v>278</v>
      </c>
      <c r="I13270">
        <v>505</v>
      </c>
      <c r="J13270">
        <v>1</v>
      </c>
      <c r="K13270">
        <v>163</v>
      </c>
      <c r="L13270">
        <v>388</v>
      </c>
      <c r="M13270">
        <v>1</v>
      </c>
      <c r="N13270">
        <v>1.8809900000000001E-103</v>
      </c>
      <c r="O13270">
        <v>959</v>
      </c>
    </row>
    <row r="13271" spans="1:15" x14ac:dyDescent="0.25">
      <c r="A13271" t="s">
        <v>13284</v>
      </c>
      <c r="B13271">
        <v>390</v>
      </c>
      <c r="C13271" s="1" t="str">
        <f>HYPERLINK("http://www.rosaceae.org/gb/gbrowse/malus_x_domestica/?name=MDP0000276122","MDP0000276122")</f>
        <v>MDP0000276122</v>
      </c>
      <c r="D13271">
        <v>87.36</v>
      </c>
      <c r="E13271">
        <v>190</v>
      </c>
      <c r="F13271">
        <v>24</v>
      </c>
      <c r="G13271">
        <v>1</v>
      </c>
      <c r="H13271">
        <v>202</v>
      </c>
      <c r="I13271">
        <v>390</v>
      </c>
      <c r="J13271">
        <v>1</v>
      </c>
      <c r="K13271">
        <v>100</v>
      </c>
      <c r="L13271">
        <v>289</v>
      </c>
      <c r="M13271">
        <v>1</v>
      </c>
      <c r="N13271">
        <v>5.4246899999999998E-94</v>
      </c>
      <c r="O13271">
        <v>876</v>
      </c>
    </row>
    <row r="13272" spans="1:15" x14ac:dyDescent="0.25">
      <c r="A13272" t="s">
        <v>13285</v>
      </c>
      <c r="B13272">
        <v>168</v>
      </c>
      <c r="C13272" s="1" t="str">
        <f>HYPERLINK("http://www.rosaceae.org/gb/gbrowse/malus_x_domestica/?name=MDP0000720497","MDP0000720497")</f>
        <v>MDP0000720497</v>
      </c>
      <c r="D13272">
        <v>86.56</v>
      </c>
      <c r="E13272">
        <v>67</v>
      </c>
      <c r="F13272">
        <v>9</v>
      </c>
      <c r="G13272">
        <v>0</v>
      </c>
      <c r="H13272">
        <v>31</v>
      </c>
      <c r="I13272">
        <v>97</v>
      </c>
      <c r="J13272">
        <v>1</v>
      </c>
      <c r="K13272">
        <v>58</v>
      </c>
      <c r="L13272">
        <v>124</v>
      </c>
      <c r="M13272">
        <v>1</v>
      </c>
      <c r="N13272">
        <v>8.2510899999999993E-31</v>
      </c>
      <c r="O13272">
        <v>326</v>
      </c>
    </row>
    <row r="13273" spans="1:15" x14ac:dyDescent="0.25">
      <c r="A13273" t="s">
        <v>13286</v>
      </c>
      <c r="B13273">
        <v>289</v>
      </c>
      <c r="C13273" s="1" t="str">
        <f>HYPERLINK("http://www.rosaceae.org/gb/gbrowse/malus_x_domestica/?name=MDP0000148689","MDP0000148689")</f>
        <v>MDP0000148689</v>
      </c>
      <c r="D13273">
        <v>40.98</v>
      </c>
      <c r="E13273">
        <v>305</v>
      </c>
      <c r="F13273">
        <v>180</v>
      </c>
      <c r="G13273">
        <v>53</v>
      </c>
      <c r="H13273">
        <v>1</v>
      </c>
      <c r="I13273">
        <v>288</v>
      </c>
      <c r="J13273">
        <v>1</v>
      </c>
      <c r="K13273">
        <v>1</v>
      </c>
      <c r="L13273">
        <v>269</v>
      </c>
      <c r="M13273">
        <v>1</v>
      </c>
      <c r="N13273">
        <v>5.6696600000000001E-52</v>
      </c>
      <c r="O13273">
        <v>512</v>
      </c>
    </row>
    <row r="13274" spans="1:15" x14ac:dyDescent="0.25">
      <c r="A13274" t="s">
        <v>13287</v>
      </c>
      <c r="B13274">
        <v>206</v>
      </c>
      <c r="C13274" s="1" t="str">
        <f>HYPERLINK("http://www.rosaceae.org/gb/gbrowse/malus_x_domestica/?name=MDP0000247737","MDP0000247737")</f>
        <v>MDP0000247737</v>
      </c>
      <c r="D13274">
        <v>54.09</v>
      </c>
      <c r="E13274">
        <v>122</v>
      </c>
      <c r="F13274">
        <v>56</v>
      </c>
      <c r="G13274">
        <v>2</v>
      </c>
      <c r="H13274">
        <v>86</v>
      </c>
      <c r="I13274">
        <v>206</v>
      </c>
      <c r="J13274">
        <v>1</v>
      </c>
      <c r="K13274">
        <v>1183</v>
      </c>
      <c r="L13274">
        <v>1303</v>
      </c>
      <c r="M13274">
        <v>1</v>
      </c>
      <c r="N13274">
        <v>5.8219499999999999E-30</v>
      </c>
      <c r="O13274">
        <v>320</v>
      </c>
    </row>
    <row r="13275" spans="1:15" x14ac:dyDescent="0.25">
      <c r="A13275" t="s">
        <v>13288</v>
      </c>
      <c r="B13275">
        <v>176</v>
      </c>
      <c r="C13275" s="1" t="str">
        <f>HYPERLINK("http://www.rosaceae.org/gb/gbrowse/malus_x_domestica/?name=MDP0000137579","MDP0000137579")</f>
        <v>MDP0000137579</v>
      </c>
      <c r="D13275">
        <v>54.8</v>
      </c>
      <c r="E13275">
        <v>177</v>
      </c>
      <c r="F13275">
        <v>80</v>
      </c>
      <c r="G13275">
        <v>17</v>
      </c>
      <c r="H13275">
        <v>1</v>
      </c>
      <c r="I13275">
        <v>164</v>
      </c>
      <c r="J13275">
        <v>1</v>
      </c>
      <c r="K13275">
        <v>1</v>
      </c>
      <c r="L13275">
        <v>173</v>
      </c>
      <c r="M13275">
        <v>1</v>
      </c>
      <c r="N13275">
        <v>8.4258399999999999E-36</v>
      </c>
      <c r="O13275">
        <v>369</v>
      </c>
    </row>
    <row r="13276" spans="1:15" x14ac:dyDescent="0.25">
      <c r="A13276" t="s">
        <v>13289</v>
      </c>
      <c r="B13276">
        <v>576</v>
      </c>
      <c r="C13276" s="1" t="str">
        <f>HYPERLINK("http://www.rosaceae.org/gb/gbrowse/malus_x_domestica/?name=MDP0000205622","MDP0000205622")</f>
        <v>MDP0000205622</v>
      </c>
      <c r="D13276">
        <v>80.510000000000005</v>
      </c>
      <c r="E13276">
        <v>585</v>
      </c>
      <c r="F13276">
        <v>114</v>
      </c>
      <c r="G13276">
        <v>9</v>
      </c>
      <c r="H13276">
        <v>1</v>
      </c>
      <c r="I13276">
        <v>576</v>
      </c>
      <c r="J13276">
        <v>1</v>
      </c>
      <c r="K13276">
        <v>84</v>
      </c>
      <c r="L13276">
        <v>668</v>
      </c>
      <c r="M13276">
        <v>1</v>
      </c>
      <c r="N13276">
        <v>0</v>
      </c>
      <c r="O13276">
        <v>2460</v>
      </c>
    </row>
    <row r="13277" spans="1:15" x14ac:dyDescent="0.25">
      <c r="A13277" t="s">
        <v>13290</v>
      </c>
      <c r="B13277">
        <v>714</v>
      </c>
      <c r="C13277" s="1" t="str">
        <f>HYPERLINK("http://www.rosaceae.org/gb/gbrowse/malus_x_domestica/?name=MDP0000310222","MDP0000310222")</f>
        <v>MDP0000310222</v>
      </c>
      <c r="D13277">
        <v>84.63</v>
      </c>
      <c r="E13277">
        <v>449</v>
      </c>
      <c r="F13277">
        <v>69</v>
      </c>
      <c r="G13277">
        <v>3</v>
      </c>
      <c r="H13277">
        <v>1</v>
      </c>
      <c r="I13277">
        <v>449</v>
      </c>
      <c r="J13277">
        <v>1</v>
      </c>
      <c r="K13277">
        <v>1</v>
      </c>
      <c r="L13277">
        <v>446</v>
      </c>
      <c r="M13277">
        <v>1</v>
      </c>
      <c r="N13277">
        <v>0</v>
      </c>
      <c r="O13277">
        <v>2067</v>
      </c>
    </row>
    <row r="13278" spans="1:15" x14ac:dyDescent="0.25">
      <c r="A13278" t="s">
        <v>13291</v>
      </c>
      <c r="B13278">
        <v>1552</v>
      </c>
      <c r="C13278" s="1" t="str">
        <f>HYPERLINK("http://www.rosaceae.org/gb/gbrowse/malus_x_domestica/?name=MDP0000314476","MDP0000314476")</f>
        <v>MDP0000314476</v>
      </c>
      <c r="D13278">
        <v>71.48</v>
      </c>
      <c r="E13278">
        <v>554</v>
      </c>
      <c r="F13278">
        <v>158</v>
      </c>
      <c r="G13278">
        <v>5</v>
      </c>
      <c r="H13278">
        <v>663</v>
      </c>
      <c r="I13278">
        <v>1211</v>
      </c>
      <c r="J13278">
        <v>1</v>
      </c>
      <c r="K13278">
        <v>807</v>
      </c>
      <c r="L13278">
        <v>1360</v>
      </c>
      <c r="M13278">
        <v>1</v>
      </c>
      <c r="N13278">
        <v>0</v>
      </c>
      <c r="O13278">
        <v>1967</v>
      </c>
    </row>
    <row r="13279" spans="1:15" x14ac:dyDescent="0.25">
      <c r="A13279" t="s">
        <v>13292</v>
      </c>
      <c r="B13279">
        <v>542</v>
      </c>
      <c r="C13279" s="1" t="str">
        <f>HYPERLINK("http://www.rosaceae.org/gb/gbrowse/malus_x_domestica/?name=MDP0000290004","MDP0000290004")</f>
        <v>MDP0000290004</v>
      </c>
      <c r="D13279">
        <v>80.709999999999994</v>
      </c>
      <c r="E13279">
        <v>534</v>
      </c>
      <c r="F13279">
        <v>103</v>
      </c>
      <c r="G13279">
        <v>18</v>
      </c>
      <c r="H13279">
        <v>27</v>
      </c>
      <c r="I13279">
        <v>542</v>
      </c>
      <c r="J13279">
        <v>1</v>
      </c>
      <c r="K13279">
        <v>29</v>
      </c>
      <c r="L13279">
        <v>562</v>
      </c>
      <c r="M13279">
        <v>1</v>
      </c>
      <c r="N13279">
        <v>0</v>
      </c>
      <c r="O13279">
        <v>2282</v>
      </c>
    </row>
    <row r="13280" spans="1:15" x14ac:dyDescent="0.25">
      <c r="A13280" t="s">
        <v>13293</v>
      </c>
      <c r="B13280">
        <v>260</v>
      </c>
      <c r="C13280" s="1" t="str">
        <f>HYPERLINK("http://www.rosaceae.org/gb/gbrowse/malus_x_domestica/?name=MDP0000195394","MDP0000195394")</f>
        <v>MDP0000195394</v>
      </c>
      <c r="D13280">
        <v>75.510000000000005</v>
      </c>
      <c r="E13280">
        <v>147</v>
      </c>
      <c r="F13280">
        <v>36</v>
      </c>
      <c r="G13280">
        <v>0</v>
      </c>
      <c r="H13280">
        <v>61</v>
      </c>
      <c r="I13280">
        <v>207</v>
      </c>
      <c r="J13280">
        <v>1</v>
      </c>
      <c r="K13280">
        <v>166</v>
      </c>
      <c r="L13280">
        <v>312</v>
      </c>
      <c r="M13280">
        <v>1</v>
      </c>
      <c r="N13280">
        <v>2.0439599999999999E-60</v>
      </c>
      <c r="O13280">
        <v>584</v>
      </c>
    </row>
    <row r="13281" spans="1:15" x14ac:dyDescent="0.25">
      <c r="A13281" t="s">
        <v>13294</v>
      </c>
      <c r="B13281">
        <v>176</v>
      </c>
      <c r="C13281" s="1" t="str">
        <f>HYPERLINK("http://www.rosaceae.org/gb/gbrowse/malus_x_domestica/?name=MDP0000262141","MDP0000262141")</f>
        <v>MDP0000262141</v>
      </c>
      <c r="D13281">
        <v>54.47</v>
      </c>
      <c r="E13281">
        <v>123</v>
      </c>
      <c r="F13281">
        <v>56</v>
      </c>
      <c r="G13281">
        <v>15</v>
      </c>
      <c r="H13281">
        <v>55</v>
      </c>
      <c r="I13281">
        <v>176</v>
      </c>
      <c r="J13281">
        <v>1</v>
      </c>
      <c r="K13281">
        <v>317</v>
      </c>
      <c r="L13281">
        <v>425</v>
      </c>
      <c r="M13281">
        <v>1</v>
      </c>
      <c r="N13281">
        <v>6.5866800000000002E-22</v>
      </c>
      <c r="O13281">
        <v>250</v>
      </c>
    </row>
    <row r="13282" spans="1:15" x14ac:dyDescent="0.25">
      <c r="A13282" t="s">
        <v>13295</v>
      </c>
      <c r="B13282">
        <v>416</v>
      </c>
      <c r="C13282" s="1" t="str">
        <f>HYPERLINK("http://www.rosaceae.org/gb/gbrowse/malus_x_domestica/?name=MDP0000149711","MDP0000149711")</f>
        <v>MDP0000149711</v>
      </c>
      <c r="D13282">
        <v>86.54</v>
      </c>
      <c r="E13282">
        <v>394</v>
      </c>
      <c r="F13282">
        <v>53</v>
      </c>
      <c r="G13282">
        <v>2</v>
      </c>
      <c r="H13282">
        <v>25</v>
      </c>
      <c r="I13282">
        <v>416</v>
      </c>
      <c r="J13282">
        <v>1</v>
      </c>
      <c r="K13282">
        <v>26</v>
      </c>
      <c r="L13282">
        <v>419</v>
      </c>
      <c r="M13282">
        <v>1</v>
      </c>
      <c r="N13282">
        <v>0</v>
      </c>
      <c r="O13282">
        <v>1814</v>
      </c>
    </row>
    <row r="13283" spans="1:15" x14ac:dyDescent="0.25">
      <c r="A13283" t="s">
        <v>13296</v>
      </c>
      <c r="B13283">
        <v>412</v>
      </c>
      <c r="C13283" s="1" t="str">
        <f>HYPERLINK("http://www.rosaceae.org/gb/gbrowse/malus_x_domestica/?name=MDP0000133528","MDP0000133528")</f>
        <v>MDP0000133528</v>
      </c>
      <c r="D13283">
        <v>64.28</v>
      </c>
      <c r="E13283">
        <v>350</v>
      </c>
      <c r="F13283">
        <v>125</v>
      </c>
      <c r="G13283">
        <v>0</v>
      </c>
      <c r="H13283">
        <v>63</v>
      </c>
      <c r="I13283">
        <v>412</v>
      </c>
      <c r="J13283">
        <v>1</v>
      </c>
      <c r="K13283">
        <v>1</v>
      </c>
      <c r="L13283">
        <v>350</v>
      </c>
      <c r="M13283">
        <v>1</v>
      </c>
      <c r="N13283">
        <v>6.0754100000000002E-137</v>
      </c>
      <c r="O13283">
        <v>1247</v>
      </c>
    </row>
    <row r="13284" spans="1:15" x14ac:dyDescent="0.25">
      <c r="A13284" t="s">
        <v>13297</v>
      </c>
      <c r="B13284">
        <v>437</v>
      </c>
      <c r="C13284" s="1" t="str">
        <f>HYPERLINK("http://www.rosaceae.org/gb/gbrowse/malus_x_domestica/?name=MDP0000259264","MDP0000259264")</f>
        <v>MDP0000259264</v>
      </c>
      <c r="D13284">
        <v>67.25</v>
      </c>
      <c r="E13284">
        <v>284</v>
      </c>
      <c r="F13284">
        <v>93</v>
      </c>
      <c r="G13284">
        <v>7</v>
      </c>
      <c r="H13284">
        <v>11</v>
      </c>
      <c r="I13284">
        <v>293</v>
      </c>
      <c r="J13284">
        <v>1</v>
      </c>
      <c r="K13284">
        <v>40</v>
      </c>
      <c r="L13284">
        <v>317</v>
      </c>
      <c r="M13284">
        <v>1</v>
      </c>
      <c r="N13284">
        <v>1.7565899999999999E-112</v>
      </c>
      <c r="O13284">
        <v>1036</v>
      </c>
    </row>
    <row r="13285" spans="1:15" x14ac:dyDescent="0.25">
      <c r="A13285" t="s">
        <v>13298</v>
      </c>
      <c r="B13285">
        <v>347</v>
      </c>
      <c r="C13285" s="1" t="str">
        <f>HYPERLINK("http://www.rosaceae.org/gb/gbrowse/malus_x_domestica/?name=MDP0000137366","MDP0000137366")</f>
        <v>MDP0000137366</v>
      </c>
      <c r="D13285">
        <v>79.92</v>
      </c>
      <c r="E13285">
        <v>269</v>
      </c>
      <c r="F13285">
        <v>54</v>
      </c>
      <c r="G13285">
        <v>2</v>
      </c>
      <c r="H13285">
        <v>38</v>
      </c>
      <c r="I13285">
        <v>304</v>
      </c>
      <c r="J13285">
        <v>1</v>
      </c>
      <c r="K13285">
        <v>353</v>
      </c>
      <c r="L13285">
        <v>621</v>
      </c>
      <c r="M13285">
        <v>1</v>
      </c>
      <c r="N13285">
        <v>1.15134E-126</v>
      </c>
      <c r="O13285">
        <v>1157</v>
      </c>
    </row>
    <row r="13286" spans="1:15" x14ac:dyDescent="0.25">
      <c r="A13286" t="s">
        <v>13299</v>
      </c>
      <c r="B13286">
        <v>78</v>
      </c>
      <c r="C13286" s="1" t="str">
        <f>HYPERLINK("http://www.rosaceae.org/gb/gbrowse/malus_x_domestica/?name=MDP0000343762","MDP0000343762")</f>
        <v>MDP0000343762</v>
      </c>
      <c r="D13286">
        <v>67.14</v>
      </c>
      <c r="E13286">
        <v>70</v>
      </c>
      <c r="F13286">
        <v>23</v>
      </c>
      <c r="G13286">
        <v>4</v>
      </c>
      <c r="H13286">
        <v>1</v>
      </c>
      <c r="I13286">
        <v>66</v>
      </c>
      <c r="J13286">
        <v>1</v>
      </c>
      <c r="K13286">
        <v>13</v>
      </c>
      <c r="L13286">
        <v>82</v>
      </c>
      <c r="M13286">
        <v>1</v>
      </c>
      <c r="N13286">
        <v>2.2902E-15</v>
      </c>
      <c r="O13286">
        <v>190</v>
      </c>
    </row>
    <row r="13287" spans="1:15" x14ac:dyDescent="0.25">
      <c r="A13287" t="s">
        <v>13300</v>
      </c>
      <c r="B13287">
        <v>540</v>
      </c>
      <c r="C13287" s="1" t="str">
        <f>HYPERLINK("http://www.rosaceae.org/gb/gbrowse/malus_x_domestica/?name=MDP0000149387","MDP0000149387")</f>
        <v>MDP0000149387</v>
      </c>
      <c r="D13287">
        <v>75</v>
      </c>
      <c r="E13287">
        <v>540</v>
      </c>
      <c r="F13287">
        <v>135</v>
      </c>
      <c r="G13287">
        <v>0</v>
      </c>
      <c r="H13287">
        <v>1</v>
      </c>
      <c r="I13287">
        <v>540</v>
      </c>
      <c r="J13287">
        <v>1</v>
      </c>
      <c r="K13287">
        <v>1</v>
      </c>
      <c r="L13287">
        <v>540</v>
      </c>
      <c r="M13287">
        <v>1</v>
      </c>
      <c r="N13287">
        <v>0</v>
      </c>
      <c r="O13287">
        <v>2155</v>
      </c>
    </row>
    <row r="13288" spans="1:15" x14ac:dyDescent="0.25">
      <c r="A13288" t="s">
        <v>13301</v>
      </c>
      <c r="B13288">
        <v>224</v>
      </c>
      <c r="C13288" s="1" t="str">
        <f>HYPERLINK("http://www.rosaceae.org/gb/gbrowse/malus_x_domestica/?name=MDP0000575967","MDP0000575967")</f>
        <v>MDP0000575967</v>
      </c>
      <c r="D13288">
        <v>56.39</v>
      </c>
      <c r="E13288">
        <v>211</v>
      </c>
      <c r="F13288">
        <v>92</v>
      </c>
      <c r="G13288">
        <v>10</v>
      </c>
      <c r="H13288">
        <v>8</v>
      </c>
      <c r="I13288">
        <v>213</v>
      </c>
      <c r="J13288">
        <v>1</v>
      </c>
      <c r="K13288">
        <v>256</v>
      </c>
      <c r="L13288">
        <v>461</v>
      </c>
      <c r="M13288">
        <v>1</v>
      </c>
      <c r="N13288">
        <v>1.6671E-62</v>
      </c>
      <c r="O13288">
        <v>601</v>
      </c>
    </row>
    <row r="13289" spans="1:15" x14ac:dyDescent="0.25">
      <c r="A13289" t="s">
        <v>13302</v>
      </c>
      <c r="B13289">
        <v>261</v>
      </c>
      <c r="C13289" s="1" t="str">
        <f>HYPERLINK("http://www.rosaceae.org/gb/gbrowse/malus_x_domestica/?name=MDP0000225623","MDP0000225623")</f>
        <v>MDP0000225623</v>
      </c>
      <c r="D13289">
        <v>39.76</v>
      </c>
      <c r="E13289">
        <v>254</v>
      </c>
      <c r="F13289">
        <v>153</v>
      </c>
      <c r="G13289">
        <v>9</v>
      </c>
      <c r="H13289">
        <v>1</v>
      </c>
      <c r="I13289">
        <v>254</v>
      </c>
      <c r="J13289">
        <v>1</v>
      </c>
      <c r="K13289">
        <v>417</v>
      </c>
      <c r="L13289">
        <v>661</v>
      </c>
      <c r="M13289">
        <v>1</v>
      </c>
      <c r="N13289">
        <v>1.5577900000000001E-40</v>
      </c>
      <c r="O13289">
        <v>413</v>
      </c>
    </row>
    <row r="13290" spans="1:15" x14ac:dyDescent="0.25">
      <c r="A13290" t="s">
        <v>13303</v>
      </c>
      <c r="B13290">
        <v>872</v>
      </c>
      <c r="C13290" s="1" t="str">
        <f>HYPERLINK("http://www.rosaceae.org/gb/gbrowse/malus_x_domestica/?name=MDP0000263165","MDP0000263165")</f>
        <v>MDP0000263165</v>
      </c>
      <c r="D13290">
        <v>66.959999999999994</v>
      </c>
      <c r="E13290">
        <v>551</v>
      </c>
      <c r="F13290">
        <v>182</v>
      </c>
      <c r="G13290">
        <v>33</v>
      </c>
      <c r="H13290">
        <v>78</v>
      </c>
      <c r="I13290">
        <v>599</v>
      </c>
      <c r="J13290">
        <v>1</v>
      </c>
      <c r="K13290">
        <v>1098</v>
      </c>
      <c r="L13290">
        <v>1644</v>
      </c>
      <c r="M13290">
        <v>1</v>
      </c>
      <c r="N13290">
        <v>0</v>
      </c>
      <c r="O13290">
        <v>1857</v>
      </c>
    </row>
    <row r="13291" spans="1:15" x14ac:dyDescent="0.25">
      <c r="A13291" t="s">
        <v>13304</v>
      </c>
      <c r="B13291">
        <v>131</v>
      </c>
      <c r="C13291" s="1" t="str">
        <f>HYPERLINK("http://www.rosaceae.org/gb/gbrowse/malus_x_domestica/?name=MDP0000769492","MDP0000769492")</f>
        <v>MDP0000769492</v>
      </c>
      <c r="D13291">
        <v>65.849999999999994</v>
      </c>
      <c r="E13291">
        <v>82</v>
      </c>
      <c r="F13291">
        <v>28</v>
      </c>
      <c r="G13291">
        <v>0</v>
      </c>
      <c r="H13291">
        <v>3</v>
      </c>
      <c r="I13291">
        <v>84</v>
      </c>
      <c r="J13291">
        <v>1</v>
      </c>
      <c r="K13291">
        <v>2</v>
      </c>
      <c r="L13291">
        <v>83</v>
      </c>
      <c r="M13291">
        <v>1</v>
      </c>
      <c r="N13291">
        <v>5.1032099999999999E-26</v>
      </c>
      <c r="O13291">
        <v>282</v>
      </c>
    </row>
    <row r="13292" spans="1:15" x14ac:dyDescent="0.25">
      <c r="A13292" t="s">
        <v>13305</v>
      </c>
      <c r="B13292">
        <v>440</v>
      </c>
      <c r="C13292" s="1" t="str">
        <f>HYPERLINK("http://www.rosaceae.org/gb/gbrowse/malus_x_domestica/?name=MDP0000294443","MDP0000294443")</f>
        <v>MDP0000294443</v>
      </c>
      <c r="D13292">
        <v>88.47</v>
      </c>
      <c r="E13292">
        <v>434</v>
      </c>
      <c r="F13292">
        <v>50</v>
      </c>
      <c r="G13292">
        <v>0</v>
      </c>
      <c r="H13292">
        <v>7</v>
      </c>
      <c r="I13292">
        <v>440</v>
      </c>
      <c r="J13292">
        <v>1</v>
      </c>
      <c r="K13292">
        <v>3</v>
      </c>
      <c r="L13292">
        <v>436</v>
      </c>
      <c r="M13292">
        <v>1</v>
      </c>
      <c r="N13292">
        <v>0</v>
      </c>
      <c r="O13292">
        <v>2061</v>
      </c>
    </row>
    <row r="13293" spans="1:15" x14ac:dyDescent="0.25">
      <c r="A13293" t="s">
        <v>13306</v>
      </c>
      <c r="B13293">
        <v>262</v>
      </c>
      <c r="C13293" s="1" t="str">
        <f>HYPERLINK("http://www.rosaceae.org/gb/gbrowse/malus_x_domestica/?name=MDP0000772737","MDP0000772737")</f>
        <v>MDP0000772737</v>
      </c>
      <c r="D13293">
        <v>88.82</v>
      </c>
      <c r="E13293">
        <v>188</v>
      </c>
      <c r="F13293">
        <v>21</v>
      </c>
      <c r="G13293">
        <v>0</v>
      </c>
      <c r="H13293">
        <v>56</v>
      </c>
      <c r="I13293">
        <v>243</v>
      </c>
      <c r="J13293">
        <v>1</v>
      </c>
      <c r="K13293">
        <v>1</v>
      </c>
      <c r="L13293">
        <v>188</v>
      </c>
      <c r="M13293">
        <v>1</v>
      </c>
      <c r="N13293">
        <v>9.5994700000000003E-92</v>
      </c>
      <c r="O13293">
        <v>854</v>
      </c>
    </row>
    <row r="13294" spans="1:15" x14ac:dyDescent="0.25">
      <c r="A13294" t="s">
        <v>13307</v>
      </c>
      <c r="B13294">
        <v>125</v>
      </c>
      <c r="C13294" s="1" t="str">
        <f>HYPERLINK("http://www.rosaceae.org/gb/gbrowse/malus_x_domestica/?name=MDP0000261957","MDP0000261957")</f>
        <v>MDP0000261957</v>
      </c>
      <c r="D13294">
        <v>83.6</v>
      </c>
      <c r="E13294">
        <v>122</v>
      </c>
      <c r="F13294">
        <v>20</v>
      </c>
      <c r="G13294">
        <v>0</v>
      </c>
      <c r="H13294">
        <v>4</v>
      </c>
      <c r="I13294">
        <v>125</v>
      </c>
      <c r="J13294">
        <v>1</v>
      </c>
      <c r="K13294">
        <v>1</v>
      </c>
      <c r="L13294">
        <v>122</v>
      </c>
      <c r="M13294">
        <v>1</v>
      </c>
      <c r="N13294">
        <v>7.9328600000000006E-58</v>
      </c>
      <c r="O13294">
        <v>556</v>
      </c>
    </row>
    <row r="13295" spans="1:15" x14ac:dyDescent="0.25">
      <c r="A13295" t="s">
        <v>13308</v>
      </c>
      <c r="B13295">
        <v>1136</v>
      </c>
      <c r="C13295" s="1" t="str">
        <f>HYPERLINK("http://www.rosaceae.org/gb/gbrowse/malus_x_domestica/?name=MDP0000680595","MDP0000680595")</f>
        <v>MDP0000680595</v>
      </c>
      <c r="D13295">
        <v>57.44</v>
      </c>
      <c r="E13295">
        <v>745</v>
      </c>
      <c r="F13295">
        <v>317</v>
      </c>
      <c r="G13295">
        <v>87</v>
      </c>
      <c r="H13295">
        <v>1</v>
      </c>
      <c r="I13295">
        <v>703</v>
      </c>
      <c r="J13295">
        <v>1</v>
      </c>
      <c r="K13295">
        <v>1</v>
      </c>
      <c r="L13295">
        <v>700</v>
      </c>
      <c r="M13295">
        <v>1</v>
      </c>
      <c r="N13295">
        <v>0</v>
      </c>
      <c r="O13295">
        <v>1979</v>
      </c>
    </row>
    <row r="13296" spans="1:15" x14ac:dyDescent="0.25">
      <c r="A13296" t="s">
        <v>13309</v>
      </c>
      <c r="B13296">
        <v>490</v>
      </c>
      <c r="C13296" s="1" t="str">
        <f>HYPERLINK("http://www.rosaceae.org/gb/gbrowse/malus_x_domestica/?name=MDP0000156618","MDP0000156618")</f>
        <v>MDP0000156618</v>
      </c>
      <c r="D13296">
        <v>68.78</v>
      </c>
      <c r="E13296">
        <v>346</v>
      </c>
      <c r="F13296">
        <v>108</v>
      </c>
      <c r="G13296">
        <v>32</v>
      </c>
      <c r="H13296">
        <v>148</v>
      </c>
      <c r="I13296">
        <v>464</v>
      </c>
      <c r="J13296">
        <v>1</v>
      </c>
      <c r="K13296">
        <v>392</v>
      </c>
      <c r="L13296">
        <v>734</v>
      </c>
      <c r="M13296">
        <v>1</v>
      </c>
      <c r="N13296">
        <v>2.0138000000000001E-131</v>
      </c>
      <c r="O13296">
        <v>1200</v>
      </c>
    </row>
    <row r="13297" spans="1:15" x14ac:dyDescent="0.25">
      <c r="A13297" t="s">
        <v>13310</v>
      </c>
      <c r="B13297">
        <v>539</v>
      </c>
      <c r="C13297" s="1" t="str">
        <f>HYPERLINK("http://www.rosaceae.org/gb/gbrowse/malus_x_domestica/?name=MDP0000551760","MDP0000551760")</f>
        <v>MDP0000551760</v>
      </c>
      <c r="D13297">
        <v>62.99</v>
      </c>
      <c r="E13297">
        <v>527</v>
      </c>
      <c r="F13297">
        <v>195</v>
      </c>
      <c r="G13297">
        <v>14</v>
      </c>
      <c r="H13297">
        <v>1</v>
      </c>
      <c r="I13297">
        <v>513</v>
      </c>
      <c r="J13297">
        <v>1</v>
      </c>
      <c r="K13297">
        <v>1</v>
      </c>
      <c r="L13297">
        <v>527</v>
      </c>
      <c r="M13297">
        <v>1</v>
      </c>
      <c r="N13297">
        <v>0</v>
      </c>
      <c r="O13297">
        <v>1665</v>
      </c>
    </row>
    <row r="13298" spans="1:15" x14ac:dyDescent="0.25">
      <c r="A13298" t="s">
        <v>13311</v>
      </c>
      <c r="B13298">
        <v>1077</v>
      </c>
      <c r="C13298" s="1" t="str">
        <f>HYPERLINK("http://www.rosaceae.org/gb/gbrowse/malus_x_domestica/?name=MDP0000935671","MDP0000935671")</f>
        <v>MDP0000935671</v>
      </c>
      <c r="D13298">
        <v>88.76</v>
      </c>
      <c r="E13298">
        <v>1077</v>
      </c>
      <c r="F13298">
        <v>121</v>
      </c>
      <c r="G13298">
        <v>1</v>
      </c>
      <c r="H13298">
        <v>1</v>
      </c>
      <c r="I13298">
        <v>1077</v>
      </c>
      <c r="J13298">
        <v>1</v>
      </c>
      <c r="K13298">
        <v>1</v>
      </c>
      <c r="L13298">
        <v>1076</v>
      </c>
      <c r="M13298">
        <v>1</v>
      </c>
      <c r="N13298">
        <v>0</v>
      </c>
      <c r="O13298">
        <v>5145</v>
      </c>
    </row>
    <row r="13299" spans="1:15" x14ac:dyDescent="0.25">
      <c r="A13299" t="s">
        <v>13312</v>
      </c>
      <c r="B13299">
        <v>703</v>
      </c>
      <c r="C13299" s="1" t="str">
        <f>HYPERLINK("http://www.rosaceae.org/gb/gbrowse/malus_x_domestica/?name=MDP0000254260","MDP0000254260")</f>
        <v>MDP0000254260</v>
      </c>
      <c r="D13299">
        <v>84.68</v>
      </c>
      <c r="E13299">
        <v>705</v>
      </c>
      <c r="F13299">
        <v>108</v>
      </c>
      <c r="G13299">
        <v>4</v>
      </c>
      <c r="H13299">
        <v>1</v>
      </c>
      <c r="I13299">
        <v>703</v>
      </c>
      <c r="J13299">
        <v>1</v>
      </c>
      <c r="K13299">
        <v>1</v>
      </c>
      <c r="L13299">
        <v>703</v>
      </c>
      <c r="M13299">
        <v>1</v>
      </c>
      <c r="N13299">
        <v>0</v>
      </c>
      <c r="O13299">
        <v>3014</v>
      </c>
    </row>
    <row r="13300" spans="1:15" x14ac:dyDescent="0.25">
      <c r="A13300" t="s">
        <v>13313</v>
      </c>
      <c r="B13300">
        <v>675</v>
      </c>
      <c r="C13300" s="1" t="str">
        <f>HYPERLINK("http://www.rosaceae.org/gb/gbrowse/malus_x_domestica/?name=MDP0000197855","MDP0000197855")</f>
        <v>MDP0000197855</v>
      </c>
      <c r="D13300">
        <v>65.67</v>
      </c>
      <c r="E13300">
        <v>638</v>
      </c>
      <c r="F13300">
        <v>219</v>
      </c>
      <c r="G13300">
        <v>11</v>
      </c>
      <c r="H13300">
        <v>14</v>
      </c>
      <c r="I13300">
        <v>649</v>
      </c>
      <c r="J13300">
        <v>1</v>
      </c>
      <c r="K13300">
        <v>18</v>
      </c>
      <c r="L13300">
        <v>646</v>
      </c>
      <c r="M13300">
        <v>1</v>
      </c>
      <c r="N13300">
        <v>0</v>
      </c>
      <c r="O13300">
        <v>2175</v>
      </c>
    </row>
    <row r="13301" spans="1:15" x14ac:dyDescent="0.25">
      <c r="A13301" t="s">
        <v>13314</v>
      </c>
      <c r="B13301">
        <v>153</v>
      </c>
      <c r="C13301" s="1" t="str">
        <f>HYPERLINK("http://www.rosaceae.org/gb/gbrowse/malus_x_domestica/?name=MDP0000153733","MDP0000153733")</f>
        <v>MDP0000153733</v>
      </c>
      <c r="D13301">
        <v>69.28</v>
      </c>
      <c r="E13301">
        <v>153</v>
      </c>
      <c r="F13301">
        <v>47</v>
      </c>
      <c r="G13301">
        <v>36</v>
      </c>
      <c r="H13301">
        <v>1</v>
      </c>
      <c r="I13301">
        <v>152</v>
      </c>
      <c r="J13301">
        <v>1</v>
      </c>
      <c r="K13301">
        <v>1</v>
      </c>
      <c r="L13301">
        <v>118</v>
      </c>
      <c r="M13301">
        <v>1</v>
      </c>
      <c r="N13301">
        <v>6.3885800000000003E-50</v>
      </c>
      <c r="O13301">
        <v>490</v>
      </c>
    </row>
    <row r="13302" spans="1:15" x14ac:dyDescent="0.25">
      <c r="A13302" t="s">
        <v>13315</v>
      </c>
      <c r="B13302">
        <v>446</v>
      </c>
      <c r="C13302" s="1" t="str">
        <f>HYPERLINK("http://www.rosaceae.org/gb/gbrowse/malus_x_domestica/?name=MDP0000790341","MDP0000790341")</f>
        <v>MDP0000790341</v>
      </c>
      <c r="D13302">
        <v>86.09</v>
      </c>
      <c r="E13302">
        <v>446</v>
      </c>
      <c r="F13302">
        <v>62</v>
      </c>
      <c r="G13302">
        <v>0</v>
      </c>
      <c r="H13302">
        <v>1</v>
      </c>
      <c r="I13302">
        <v>446</v>
      </c>
      <c r="J13302">
        <v>1</v>
      </c>
      <c r="K13302">
        <v>83</v>
      </c>
      <c r="L13302">
        <v>528</v>
      </c>
      <c r="M13302">
        <v>1</v>
      </c>
      <c r="N13302">
        <v>0</v>
      </c>
      <c r="O13302">
        <v>2083</v>
      </c>
    </row>
    <row r="13303" spans="1:15" x14ac:dyDescent="0.25">
      <c r="A13303" t="s">
        <v>13316</v>
      </c>
      <c r="B13303">
        <v>1244</v>
      </c>
      <c r="C13303" s="1" t="str">
        <f>HYPERLINK("http://www.rosaceae.org/gb/gbrowse/malus_x_domestica/?name=MDP0000239950","MDP0000239950")</f>
        <v>MDP0000239950</v>
      </c>
      <c r="D13303">
        <v>76.319999999999993</v>
      </c>
      <c r="E13303">
        <v>752</v>
      </c>
      <c r="F13303">
        <v>178</v>
      </c>
      <c r="G13303">
        <v>30</v>
      </c>
      <c r="H13303">
        <v>514</v>
      </c>
      <c r="I13303">
        <v>1244</v>
      </c>
      <c r="J13303">
        <v>1</v>
      </c>
      <c r="K13303">
        <v>268</v>
      </c>
      <c r="L13303">
        <v>1010</v>
      </c>
      <c r="M13303">
        <v>1</v>
      </c>
      <c r="N13303">
        <v>0</v>
      </c>
      <c r="O13303">
        <v>2905</v>
      </c>
    </row>
    <row r="13304" spans="1:15" x14ac:dyDescent="0.25">
      <c r="A13304" t="s">
        <v>13317</v>
      </c>
      <c r="B13304">
        <v>168</v>
      </c>
      <c r="C13304" s="1" t="str">
        <f>HYPERLINK("http://www.rosaceae.org/gb/gbrowse/malus_x_domestica/?name=MDP0000266448","MDP0000266448")</f>
        <v>MDP0000266448</v>
      </c>
      <c r="D13304">
        <v>53.94</v>
      </c>
      <c r="E13304">
        <v>76</v>
      </c>
      <c r="F13304">
        <v>35</v>
      </c>
      <c r="G13304">
        <v>9</v>
      </c>
      <c r="H13304">
        <v>102</v>
      </c>
      <c r="I13304">
        <v>168</v>
      </c>
      <c r="J13304">
        <v>1</v>
      </c>
      <c r="K13304">
        <v>25</v>
      </c>
      <c r="L13304">
        <v>100</v>
      </c>
      <c r="M13304">
        <v>1</v>
      </c>
      <c r="N13304">
        <v>1.0829499999999999E-13</v>
      </c>
      <c r="O13304">
        <v>178</v>
      </c>
    </row>
    <row r="13305" spans="1:15" x14ac:dyDescent="0.25">
      <c r="A13305" t="s">
        <v>13318</v>
      </c>
      <c r="B13305">
        <v>295</v>
      </c>
      <c r="C13305" s="1" t="str">
        <f>HYPERLINK("http://www.rosaceae.org/gb/gbrowse/malus_x_domestica/?name=MDP0000275771","MDP0000275771")</f>
        <v>MDP0000275771</v>
      </c>
      <c r="D13305">
        <v>80.53</v>
      </c>
      <c r="E13305">
        <v>298</v>
      </c>
      <c r="F13305">
        <v>58</v>
      </c>
      <c r="G13305">
        <v>3</v>
      </c>
      <c r="H13305">
        <v>1</v>
      </c>
      <c r="I13305">
        <v>295</v>
      </c>
      <c r="J13305">
        <v>1</v>
      </c>
      <c r="K13305">
        <v>1</v>
      </c>
      <c r="L13305">
        <v>298</v>
      </c>
      <c r="M13305">
        <v>1</v>
      </c>
      <c r="N13305">
        <v>2.9720499999999998E-142</v>
      </c>
      <c r="O13305">
        <v>1291</v>
      </c>
    </row>
    <row r="13306" spans="1:15" x14ac:dyDescent="0.25">
      <c r="A13306" t="s">
        <v>13319</v>
      </c>
      <c r="B13306">
        <v>296</v>
      </c>
      <c r="C13306" s="1" t="str">
        <f>HYPERLINK("http://www.rosaceae.org/gb/gbrowse/malus_x_domestica/?name=MDP0000925348","MDP0000925348")</f>
        <v>MDP0000925348</v>
      </c>
      <c r="D13306">
        <v>54.37</v>
      </c>
      <c r="E13306">
        <v>160</v>
      </c>
      <c r="F13306">
        <v>73</v>
      </c>
      <c r="G13306">
        <v>1</v>
      </c>
      <c r="H13306">
        <v>1</v>
      </c>
      <c r="I13306">
        <v>160</v>
      </c>
      <c r="J13306">
        <v>1</v>
      </c>
      <c r="K13306">
        <v>1</v>
      </c>
      <c r="L13306">
        <v>159</v>
      </c>
      <c r="M13306">
        <v>1</v>
      </c>
      <c r="N13306">
        <v>5.5678200000000002E-38</v>
      </c>
      <c r="O13306">
        <v>391</v>
      </c>
    </row>
    <row r="13307" spans="1:15" x14ac:dyDescent="0.25">
      <c r="A13307" t="s">
        <v>13320</v>
      </c>
      <c r="B13307">
        <v>1270</v>
      </c>
      <c r="C13307" s="1" t="str">
        <f>HYPERLINK("http://www.rosaceae.org/gb/gbrowse/malus_x_domestica/?name=MDP0000257415","MDP0000257415")</f>
        <v>MDP0000257415</v>
      </c>
      <c r="D13307">
        <v>73.62</v>
      </c>
      <c r="E13307">
        <v>618</v>
      </c>
      <c r="F13307">
        <v>163</v>
      </c>
      <c r="G13307">
        <v>64</v>
      </c>
      <c r="H13307">
        <v>591</v>
      </c>
      <c r="I13307">
        <v>1144</v>
      </c>
      <c r="J13307">
        <v>1</v>
      </c>
      <c r="K13307">
        <v>30</v>
      </c>
      <c r="L13307">
        <v>647</v>
      </c>
      <c r="M13307">
        <v>1</v>
      </c>
      <c r="N13307">
        <v>0</v>
      </c>
      <c r="O13307">
        <v>2363</v>
      </c>
    </row>
    <row r="13308" spans="1:15" x14ac:dyDescent="0.25">
      <c r="A13308" t="s">
        <v>13321</v>
      </c>
      <c r="B13308">
        <v>341</v>
      </c>
      <c r="C13308" s="1" t="str">
        <f>HYPERLINK("http://www.rosaceae.org/gb/gbrowse/malus_x_domestica/?name=MDP0000573321","MDP0000573321")</f>
        <v>MDP0000573321</v>
      </c>
      <c r="D13308">
        <v>53.69</v>
      </c>
      <c r="E13308">
        <v>298</v>
      </c>
      <c r="F13308">
        <v>138</v>
      </c>
      <c r="G13308">
        <v>15</v>
      </c>
      <c r="H13308">
        <v>34</v>
      </c>
      <c r="I13308">
        <v>324</v>
      </c>
      <c r="J13308">
        <v>1</v>
      </c>
      <c r="K13308">
        <v>43</v>
      </c>
      <c r="L13308">
        <v>332</v>
      </c>
      <c r="M13308">
        <v>1</v>
      </c>
      <c r="N13308">
        <v>7.3697899999999993E-83</v>
      </c>
      <c r="O13308">
        <v>779</v>
      </c>
    </row>
    <row r="13309" spans="1:15" x14ac:dyDescent="0.25">
      <c r="A13309" t="s">
        <v>13322</v>
      </c>
      <c r="B13309">
        <v>365</v>
      </c>
      <c r="C13309" s="1" t="str">
        <f>HYPERLINK("http://www.rosaceae.org/gb/gbrowse/malus_x_domestica/?name=MDP0000293103","MDP0000293103")</f>
        <v>MDP0000293103</v>
      </c>
      <c r="D13309">
        <v>60.05</v>
      </c>
      <c r="E13309">
        <v>358</v>
      </c>
      <c r="F13309">
        <v>143</v>
      </c>
      <c r="G13309">
        <v>4</v>
      </c>
      <c r="H13309">
        <v>11</v>
      </c>
      <c r="I13309">
        <v>365</v>
      </c>
      <c r="J13309">
        <v>1</v>
      </c>
      <c r="K13309">
        <v>12</v>
      </c>
      <c r="L13309">
        <v>368</v>
      </c>
      <c r="M13309">
        <v>1</v>
      </c>
      <c r="N13309">
        <v>4.7422000000000002E-126</v>
      </c>
      <c r="O13309">
        <v>1152</v>
      </c>
    </row>
    <row r="13310" spans="1:15" x14ac:dyDescent="0.25">
      <c r="A13310" t="s">
        <v>13323</v>
      </c>
      <c r="B13310">
        <v>148</v>
      </c>
      <c r="C13310" s="1" t="str">
        <f>HYPERLINK("http://www.rosaceae.org/gb/gbrowse/malus_x_domestica/?name=MDP0000163922","MDP0000163922")</f>
        <v>MDP0000163922</v>
      </c>
      <c r="D13310">
        <v>48.12</v>
      </c>
      <c r="E13310">
        <v>133</v>
      </c>
      <c r="F13310">
        <v>69</v>
      </c>
      <c r="G13310">
        <v>4</v>
      </c>
      <c r="H13310">
        <v>1</v>
      </c>
      <c r="I13310">
        <v>129</v>
      </c>
      <c r="J13310">
        <v>1</v>
      </c>
      <c r="K13310">
        <v>1</v>
      </c>
      <c r="L13310">
        <v>133</v>
      </c>
      <c r="M13310">
        <v>1</v>
      </c>
      <c r="N13310">
        <v>5.7391099999999998E-28</v>
      </c>
      <c r="O13310">
        <v>300</v>
      </c>
    </row>
    <row r="13311" spans="1:15" x14ac:dyDescent="0.25">
      <c r="A13311" t="s">
        <v>13324</v>
      </c>
      <c r="B13311">
        <v>462</v>
      </c>
      <c r="C13311" s="1" t="str">
        <f>HYPERLINK("http://www.rosaceae.org/gb/gbrowse/malus_x_domestica/?name=MDP0000533318","MDP0000533318")</f>
        <v>MDP0000533318</v>
      </c>
      <c r="D13311">
        <v>72.239999999999995</v>
      </c>
      <c r="E13311">
        <v>209</v>
      </c>
      <c r="F13311">
        <v>58</v>
      </c>
      <c r="G13311">
        <v>2</v>
      </c>
      <c r="H13311">
        <v>59</v>
      </c>
      <c r="I13311">
        <v>267</v>
      </c>
      <c r="J13311">
        <v>1</v>
      </c>
      <c r="K13311">
        <v>38</v>
      </c>
      <c r="L13311">
        <v>244</v>
      </c>
      <c r="M13311">
        <v>1</v>
      </c>
      <c r="N13311">
        <v>2.2984800000000002E-75</v>
      </c>
      <c r="O13311">
        <v>716</v>
      </c>
    </row>
    <row r="13312" spans="1:15" x14ac:dyDescent="0.25">
      <c r="A13312" t="s">
        <v>13325</v>
      </c>
      <c r="B13312">
        <v>656</v>
      </c>
      <c r="C13312" s="1" t="str">
        <f>HYPERLINK("http://www.rosaceae.org/gb/gbrowse/malus_x_domestica/?name=MDP0000289104","MDP0000289104")</f>
        <v>MDP0000289104</v>
      </c>
      <c r="D13312">
        <v>34.4</v>
      </c>
      <c r="E13312">
        <v>218</v>
      </c>
      <c r="F13312">
        <v>143</v>
      </c>
      <c r="G13312">
        <v>15</v>
      </c>
      <c r="H13312">
        <v>138</v>
      </c>
      <c r="I13312">
        <v>351</v>
      </c>
      <c r="J13312">
        <v>1</v>
      </c>
      <c r="K13312">
        <v>1</v>
      </c>
      <c r="L13312">
        <v>207</v>
      </c>
      <c r="M13312">
        <v>1</v>
      </c>
      <c r="N13312">
        <v>4.4833499999999999E-22</v>
      </c>
      <c r="O13312">
        <v>258</v>
      </c>
    </row>
    <row r="13313" spans="1:15" x14ac:dyDescent="0.25">
      <c r="A13313" t="s">
        <v>13326</v>
      </c>
      <c r="B13313">
        <v>1384</v>
      </c>
      <c r="C13313" s="1" t="str">
        <f>HYPERLINK("http://www.rosaceae.org/gb/gbrowse/malus_x_domestica/?name=MDP0000230797","MDP0000230797")</f>
        <v>MDP0000230797</v>
      </c>
      <c r="D13313">
        <v>73.81</v>
      </c>
      <c r="E13313">
        <v>1054</v>
      </c>
      <c r="F13313">
        <v>276</v>
      </c>
      <c r="G13313">
        <v>67</v>
      </c>
      <c r="H13313">
        <v>354</v>
      </c>
      <c r="I13313">
        <v>1383</v>
      </c>
      <c r="J13313">
        <v>1</v>
      </c>
      <c r="K13313">
        <v>271</v>
      </c>
      <c r="L13313">
        <v>1281</v>
      </c>
      <c r="M13313">
        <v>1</v>
      </c>
      <c r="N13313">
        <v>0</v>
      </c>
      <c r="O13313">
        <v>3993</v>
      </c>
    </row>
    <row r="13314" spans="1:15" x14ac:dyDescent="0.25">
      <c r="A13314" t="s">
        <v>13327</v>
      </c>
      <c r="B13314">
        <v>277</v>
      </c>
      <c r="C13314" s="1" t="str">
        <f>HYPERLINK("http://www.rosaceae.org/gb/gbrowse/malus_x_domestica/?name=MDP0000281062","MDP0000281062")</f>
        <v>MDP0000281062</v>
      </c>
      <c r="D13314">
        <v>72.72</v>
      </c>
      <c r="E13314">
        <v>66</v>
      </c>
      <c r="F13314">
        <v>18</v>
      </c>
      <c r="G13314">
        <v>2</v>
      </c>
      <c r="H13314">
        <v>173</v>
      </c>
      <c r="I13314">
        <v>238</v>
      </c>
      <c r="J13314">
        <v>1</v>
      </c>
      <c r="K13314">
        <v>26</v>
      </c>
      <c r="L13314">
        <v>89</v>
      </c>
      <c r="M13314">
        <v>1</v>
      </c>
      <c r="N13314">
        <v>1.2124099999999999E-21</v>
      </c>
      <c r="O13314">
        <v>250</v>
      </c>
    </row>
    <row r="13315" spans="1:15" x14ac:dyDescent="0.25">
      <c r="A13315" t="s">
        <v>13328</v>
      </c>
      <c r="B13315">
        <v>483</v>
      </c>
      <c r="C13315" s="1" t="str">
        <f>HYPERLINK("http://www.rosaceae.org/gb/gbrowse/malus_x_domestica/?name=MDP0000808582","MDP0000808582")</f>
        <v>MDP0000808582</v>
      </c>
      <c r="D13315">
        <v>62.99</v>
      </c>
      <c r="E13315">
        <v>454</v>
      </c>
      <c r="F13315">
        <v>168</v>
      </c>
      <c r="G13315">
        <v>50</v>
      </c>
      <c r="H13315">
        <v>1</v>
      </c>
      <c r="I13315">
        <v>449</v>
      </c>
      <c r="J13315">
        <v>1</v>
      </c>
      <c r="K13315">
        <v>1</v>
      </c>
      <c r="L13315">
        <v>409</v>
      </c>
      <c r="M13315">
        <v>1</v>
      </c>
      <c r="N13315">
        <v>9.7606399999999994E-149</v>
      </c>
      <c r="O13315">
        <v>1349</v>
      </c>
    </row>
    <row r="13316" spans="1:15" x14ac:dyDescent="0.25">
      <c r="A13316" t="s">
        <v>13329</v>
      </c>
      <c r="B13316">
        <v>609</v>
      </c>
      <c r="C13316" s="1" t="str">
        <f>HYPERLINK("http://www.rosaceae.org/gb/gbrowse/malus_x_domestica/?name=MDP0000847583","MDP0000847583")</f>
        <v>MDP0000847583</v>
      </c>
      <c r="D13316">
        <v>75.790000000000006</v>
      </c>
      <c r="E13316">
        <v>533</v>
      </c>
      <c r="F13316">
        <v>129</v>
      </c>
      <c r="G13316">
        <v>21</v>
      </c>
      <c r="H13316">
        <v>98</v>
      </c>
      <c r="I13316">
        <v>609</v>
      </c>
      <c r="J13316">
        <v>1</v>
      </c>
      <c r="K13316">
        <v>1</v>
      </c>
      <c r="L13316">
        <v>533</v>
      </c>
      <c r="M13316">
        <v>1</v>
      </c>
      <c r="N13316">
        <v>0</v>
      </c>
      <c r="O13316">
        <v>2027</v>
      </c>
    </row>
    <row r="13317" spans="1:15" x14ac:dyDescent="0.25">
      <c r="A13317" t="s">
        <v>13330</v>
      </c>
      <c r="B13317">
        <v>100</v>
      </c>
      <c r="C13317" s="1" t="str">
        <f>HYPERLINK("http://www.rosaceae.org/gb/gbrowse/malus_x_domestica/?name=MDP0000947568","MDP0000947568")</f>
        <v>MDP0000947568</v>
      </c>
      <c r="D13317">
        <v>95</v>
      </c>
      <c r="E13317">
        <v>100</v>
      </c>
      <c r="F13317">
        <v>5</v>
      </c>
      <c r="G13317">
        <v>0</v>
      </c>
      <c r="H13317">
        <v>1</v>
      </c>
      <c r="I13317">
        <v>100</v>
      </c>
      <c r="J13317">
        <v>1</v>
      </c>
      <c r="K13317">
        <v>1</v>
      </c>
      <c r="L13317">
        <v>100</v>
      </c>
      <c r="M13317">
        <v>1</v>
      </c>
      <c r="N13317">
        <v>3.1479699999999998E-50</v>
      </c>
      <c r="O13317">
        <v>491</v>
      </c>
    </row>
    <row r="13318" spans="1:15" x14ac:dyDescent="0.25">
      <c r="A13318" t="s">
        <v>13331</v>
      </c>
      <c r="B13318">
        <v>603</v>
      </c>
      <c r="C13318" s="1" t="str">
        <f>HYPERLINK("http://www.rosaceae.org/gb/gbrowse/malus_x_domestica/?name=MDP0000161000","MDP0000161000")</f>
        <v>MDP0000161000</v>
      </c>
      <c r="D13318">
        <v>54.41</v>
      </c>
      <c r="E13318">
        <v>645</v>
      </c>
      <c r="F13318">
        <v>294</v>
      </c>
      <c r="G13318">
        <v>73</v>
      </c>
      <c r="H13318">
        <v>1</v>
      </c>
      <c r="I13318">
        <v>603</v>
      </c>
      <c r="J13318">
        <v>1</v>
      </c>
      <c r="K13318">
        <v>87</v>
      </c>
      <c r="L13318">
        <v>700</v>
      </c>
      <c r="M13318">
        <v>1</v>
      </c>
      <c r="N13318">
        <v>0</v>
      </c>
      <c r="O13318">
        <v>1663</v>
      </c>
    </row>
    <row r="13319" spans="1:15" x14ac:dyDescent="0.25">
      <c r="A13319" t="s">
        <v>13332</v>
      </c>
      <c r="B13319">
        <v>366</v>
      </c>
      <c r="C13319" s="1" t="str">
        <f>HYPERLINK("http://www.rosaceae.org/gb/gbrowse/malus_x_domestica/?name=MDP0000313040","MDP0000313040")</f>
        <v>MDP0000313040</v>
      </c>
      <c r="D13319">
        <v>50.86</v>
      </c>
      <c r="E13319">
        <v>403</v>
      </c>
      <c r="F13319">
        <v>198</v>
      </c>
      <c r="G13319">
        <v>53</v>
      </c>
      <c r="H13319">
        <v>1</v>
      </c>
      <c r="I13319">
        <v>366</v>
      </c>
      <c r="J13319">
        <v>1</v>
      </c>
      <c r="K13319">
        <v>1</v>
      </c>
      <c r="L13319">
        <v>387</v>
      </c>
      <c r="M13319">
        <v>1</v>
      </c>
      <c r="N13319">
        <v>5.1145100000000003E-80</v>
      </c>
      <c r="O13319">
        <v>755</v>
      </c>
    </row>
    <row r="13320" spans="1:15" x14ac:dyDescent="0.25">
      <c r="A13320" t="s">
        <v>13333</v>
      </c>
      <c r="B13320">
        <v>329</v>
      </c>
      <c r="C13320" s="1" t="str">
        <f>HYPERLINK("http://www.rosaceae.org/gb/gbrowse/malus_x_domestica/?name=MDP0000628484","MDP0000628484")</f>
        <v>MDP0000628484</v>
      </c>
      <c r="D13320">
        <v>45.42</v>
      </c>
      <c r="E13320">
        <v>328</v>
      </c>
      <c r="F13320">
        <v>179</v>
      </c>
      <c r="G13320">
        <v>55</v>
      </c>
      <c r="H13320">
        <v>40</v>
      </c>
      <c r="I13320">
        <v>329</v>
      </c>
      <c r="J13320">
        <v>1</v>
      </c>
      <c r="K13320">
        <v>44</v>
      </c>
      <c r="L13320">
        <v>354</v>
      </c>
      <c r="M13320">
        <v>1</v>
      </c>
      <c r="N13320">
        <v>8.1215500000000001E-58</v>
      </c>
      <c r="O13320">
        <v>563</v>
      </c>
    </row>
    <row r="13321" spans="1:15" x14ac:dyDescent="0.25">
      <c r="A13321" t="s">
        <v>13334</v>
      </c>
      <c r="B13321">
        <v>262</v>
      </c>
      <c r="C13321" s="1" t="str">
        <f>HYPERLINK("http://www.rosaceae.org/gb/gbrowse/malus_x_domestica/?name=MDP0000306873","MDP0000306873")</f>
        <v>MDP0000306873</v>
      </c>
      <c r="D13321">
        <v>74.3</v>
      </c>
      <c r="E13321">
        <v>144</v>
      </c>
      <c r="F13321">
        <v>37</v>
      </c>
      <c r="G13321">
        <v>1</v>
      </c>
      <c r="H13321">
        <v>1</v>
      </c>
      <c r="I13321">
        <v>144</v>
      </c>
      <c r="J13321">
        <v>1</v>
      </c>
      <c r="K13321">
        <v>215</v>
      </c>
      <c r="L13321">
        <v>357</v>
      </c>
      <c r="M13321">
        <v>1</v>
      </c>
      <c r="N13321">
        <v>4.8937400000000004E-56</v>
      </c>
      <c r="O13321">
        <v>546</v>
      </c>
    </row>
    <row r="13322" spans="1:15" x14ac:dyDescent="0.25">
      <c r="A13322" t="s">
        <v>13335</v>
      </c>
      <c r="B13322">
        <v>1308</v>
      </c>
      <c r="C13322" s="1" t="str">
        <f>HYPERLINK("http://www.rosaceae.org/gb/gbrowse/malus_x_domestica/?name=MDP0000132849","MDP0000132849")</f>
        <v>MDP0000132849</v>
      </c>
      <c r="D13322">
        <v>80.209999999999994</v>
      </c>
      <c r="E13322">
        <v>187</v>
      </c>
      <c r="F13322">
        <v>37</v>
      </c>
      <c r="G13322">
        <v>2</v>
      </c>
      <c r="H13322">
        <v>1122</v>
      </c>
      <c r="I13322">
        <v>1308</v>
      </c>
      <c r="J13322">
        <v>1</v>
      </c>
      <c r="K13322">
        <v>199</v>
      </c>
      <c r="L13322">
        <v>383</v>
      </c>
      <c r="M13322">
        <v>1</v>
      </c>
      <c r="N13322">
        <v>4.8416999999999996E-84</v>
      </c>
      <c r="O13322">
        <v>795</v>
      </c>
    </row>
    <row r="13323" spans="1:15" x14ac:dyDescent="0.25">
      <c r="A13323" t="s">
        <v>13336</v>
      </c>
      <c r="B13323">
        <v>429</v>
      </c>
      <c r="C13323" s="1" t="str">
        <f>HYPERLINK("http://www.rosaceae.org/gb/gbrowse/malus_x_domestica/?name=MDP0000250721","MDP0000250721")</f>
        <v>MDP0000250721</v>
      </c>
      <c r="D13323">
        <v>73.31</v>
      </c>
      <c r="E13323">
        <v>461</v>
      </c>
      <c r="F13323">
        <v>123</v>
      </c>
      <c r="G13323">
        <v>37</v>
      </c>
      <c r="H13323">
        <v>3</v>
      </c>
      <c r="I13323">
        <v>427</v>
      </c>
      <c r="J13323">
        <v>1</v>
      </c>
      <c r="K13323">
        <v>102</v>
      </c>
      <c r="L13323">
        <v>561</v>
      </c>
      <c r="M13323">
        <v>1</v>
      </c>
      <c r="N13323">
        <v>0</v>
      </c>
      <c r="O13323">
        <v>1688</v>
      </c>
    </row>
    <row r="13324" spans="1:15" x14ac:dyDescent="0.25">
      <c r="A13324" t="s">
        <v>13337</v>
      </c>
      <c r="B13324">
        <v>529</v>
      </c>
      <c r="C13324" s="1" t="str">
        <f>HYPERLINK("http://www.rosaceae.org/gb/gbrowse/malus_x_domestica/?name=MDP0000150618","MDP0000150618")</f>
        <v>MDP0000150618</v>
      </c>
      <c r="D13324">
        <v>53.88</v>
      </c>
      <c r="E13324">
        <v>553</v>
      </c>
      <c r="F13324">
        <v>255</v>
      </c>
      <c r="G13324">
        <v>59</v>
      </c>
      <c r="H13324">
        <v>1</v>
      </c>
      <c r="I13324">
        <v>525</v>
      </c>
      <c r="J13324">
        <v>1</v>
      </c>
      <c r="K13324">
        <v>1</v>
      </c>
      <c r="L13324">
        <v>522</v>
      </c>
      <c r="M13324">
        <v>1</v>
      </c>
      <c r="N13324">
        <v>2.0969699999999999E-132</v>
      </c>
      <c r="O13324">
        <v>1209</v>
      </c>
    </row>
    <row r="13325" spans="1:15" x14ac:dyDescent="0.25">
      <c r="A13325" t="s">
        <v>13338</v>
      </c>
      <c r="B13325">
        <v>474</v>
      </c>
      <c r="C13325" s="1" t="str">
        <f>HYPERLINK("http://www.rosaceae.org/gb/gbrowse/malus_x_domestica/?name=MDP0000303735","MDP0000303735")</f>
        <v>MDP0000303735</v>
      </c>
      <c r="D13325">
        <v>78.83</v>
      </c>
      <c r="E13325">
        <v>482</v>
      </c>
      <c r="F13325">
        <v>102</v>
      </c>
      <c r="G13325">
        <v>33</v>
      </c>
      <c r="H13325">
        <v>1</v>
      </c>
      <c r="I13325">
        <v>461</v>
      </c>
      <c r="J13325">
        <v>1</v>
      </c>
      <c r="K13325">
        <v>1</v>
      </c>
      <c r="L13325">
        <v>470</v>
      </c>
      <c r="M13325">
        <v>1</v>
      </c>
      <c r="N13325">
        <v>0</v>
      </c>
      <c r="O13325">
        <v>1984</v>
      </c>
    </row>
    <row r="13326" spans="1:15" x14ac:dyDescent="0.25">
      <c r="A13326" t="s">
        <v>13339</v>
      </c>
      <c r="B13326">
        <v>122</v>
      </c>
      <c r="C13326" s="1" t="str">
        <f>HYPERLINK("http://www.rosaceae.org/gb/gbrowse/malus_x_domestica/?name=MDP0000261957","MDP0000261957")</f>
        <v>MDP0000261957</v>
      </c>
      <c r="D13326">
        <v>61.47</v>
      </c>
      <c r="E13326">
        <v>122</v>
      </c>
      <c r="F13326">
        <v>47</v>
      </c>
      <c r="G13326">
        <v>0</v>
      </c>
      <c r="H13326">
        <v>1</v>
      </c>
      <c r="I13326">
        <v>122</v>
      </c>
      <c r="J13326">
        <v>1</v>
      </c>
      <c r="K13326">
        <v>1</v>
      </c>
      <c r="L13326">
        <v>122</v>
      </c>
      <c r="M13326">
        <v>1</v>
      </c>
      <c r="N13326">
        <v>5.3965299999999999E-42</v>
      </c>
      <c r="O13326">
        <v>420</v>
      </c>
    </row>
    <row r="13327" spans="1:15" x14ac:dyDescent="0.25">
      <c r="A13327" t="s">
        <v>13340</v>
      </c>
      <c r="B13327">
        <v>204</v>
      </c>
      <c r="C13327" s="1" t="str">
        <f>HYPERLINK("http://www.rosaceae.org/gb/gbrowse/malus_x_domestica/?name=MDP0000318717","MDP0000318717")</f>
        <v>MDP0000318717</v>
      </c>
      <c r="D13327">
        <v>50</v>
      </c>
      <c r="E13327">
        <v>118</v>
      </c>
      <c r="F13327">
        <v>59</v>
      </c>
      <c r="G13327">
        <v>23</v>
      </c>
      <c r="H13327">
        <v>16</v>
      </c>
      <c r="I13327">
        <v>116</v>
      </c>
      <c r="J13327">
        <v>1</v>
      </c>
      <c r="K13327">
        <v>260</v>
      </c>
      <c r="L13327">
        <v>371</v>
      </c>
      <c r="M13327">
        <v>1</v>
      </c>
      <c r="N13327">
        <v>8.4735799999999996E-23</v>
      </c>
      <c r="O13327">
        <v>258</v>
      </c>
    </row>
    <row r="13328" spans="1:15" x14ac:dyDescent="0.25">
      <c r="A13328" t="s">
        <v>13341</v>
      </c>
      <c r="B13328">
        <v>545</v>
      </c>
      <c r="C13328" s="1" t="str">
        <f>HYPERLINK("http://www.rosaceae.org/gb/gbrowse/malus_x_domestica/?name=MDP0000258186","MDP0000258186")</f>
        <v>MDP0000258186</v>
      </c>
      <c r="D13328">
        <v>64.8</v>
      </c>
      <c r="E13328">
        <v>341</v>
      </c>
      <c r="F13328">
        <v>120</v>
      </c>
      <c r="G13328">
        <v>18</v>
      </c>
      <c r="H13328">
        <v>215</v>
      </c>
      <c r="I13328">
        <v>545</v>
      </c>
      <c r="J13328">
        <v>1</v>
      </c>
      <c r="K13328">
        <v>428</v>
      </c>
      <c r="L13328">
        <v>760</v>
      </c>
      <c r="M13328">
        <v>1</v>
      </c>
      <c r="N13328">
        <v>2.3675899999999999E-101</v>
      </c>
      <c r="O13328">
        <v>941</v>
      </c>
    </row>
    <row r="13329" spans="1:15" x14ac:dyDescent="0.25">
      <c r="A13329" t="s">
        <v>13342</v>
      </c>
      <c r="B13329">
        <v>571</v>
      </c>
      <c r="C13329" s="1" t="str">
        <f>HYPERLINK("http://www.rosaceae.org/gb/gbrowse/malus_x_domestica/?name=MDP0000312017","MDP0000312017")</f>
        <v>MDP0000312017</v>
      </c>
      <c r="D13329">
        <v>77.23</v>
      </c>
      <c r="E13329">
        <v>571</v>
      </c>
      <c r="F13329">
        <v>130</v>
      </c>
      <c r="G13329">
        <v>5</v>
      </c>
      <c r="H13329">
        <v>1</v>
      </c>
      <c r="I13329">
        <v>571</v>
      </c>
      <c r="J13329">
        <v>1</v>
      </c>
      <c r="K13329">
        <v>1</v>
      </c>
      <c r="L13329">
        <v>566</v>
      </c>
      <c r="M13329">
        <v>1</v>
      </c>
      <c r="N13329">
        <v>0</v>
      </c>
      <c r="O13329">
        <v>2307</v>
      </c>
    </row>
    <row r="13330" spans="1:15" x14ac:dyDescent="0.25">
      <c r="A13330" t="s">
        <v>13343</v>
      </c>
      <c r="B13330">
        <v>735</v>
      </c>
      <c r="C13330" s="1" t="str">
        <f>HYPERLINK("http://www.rosaceae.org/gb/gbrowse/malus_x_domestica/?name=MDP0000163774","MDP0000163774")</f>
        <v>MDP0000163774</v>
      </c>
      <c r="D13330">
        <v>27.35</v>
      </c>
      <c r="E13330">
        <v>234</v>
      </c>
      <c r="F13330">
        <v>170</v>
      </c>
      <c r="G13330">
        <v>12</v>
      </c>
      <c r="H13330">
        <v>377</v>
      </c>
      <c r="I13330">
        <v>607</v>
      </c>
      <c r="J13330">
        <v>1</v>
      </c>
      <c r="K13330">
        <v>364</v>
      </c>
      <c r="L13330">
        <v>588</v>
      </c>
      <c r="M13330">
        <v>1</v>
      </c>
      <c r="N13330">
        <v>1.9086400000000001E-19</v>
      </c>
      <c r="O13330">
        <v>236</v>
      </c>
    </row>
    <row r="13331" spans="1:15" x14ac:dyDescent="0.25">
      <c r="A13331" t="s">
        <v>13344</v>
      </c>
      <c r="B13331">
        <v>292</v>
      </c>
      <c r="C13331" s="1" t="str">
        <f>HYPERLINK("http://www.rosaceae.org/gb/gbrowse/malus_x_domestica/?name=MDP0000652898","MDP0000652898")</f>
        <v>MDP0000652898</v>
      </c>
      <c r="D13331">
        <v>75.510000000000005</v>
      </c>
      <c r="E13331">
        <v>294</v>
      </c>
      <c r="F13331">
        <v>72</v>
      </c>
      <c r="G13331">
        <v>3</v>
      </c>
      <c r="H13331">
        <v>1</v>
      </c>
      <c r="I13331">
        <v>292</v>
      </c>
      <c r="J13331">
        <v>1</v>
      </c>
      <c r="K13331">
        <v>1</v>
      </c>
      <c r="L13331">
        <v>293</v>
      </c>
      <c r="M13331">
        <v>1</v>
      </c>
      <c r="N13331">
        <v>2.0531199999999999E-126</v>
      </c>
      <c r="O13331">
        <v>1154</v>
      </c>
    </row>
    <row r="13332" spans="1:15" x14ac:dyDescent="0.25">
      <c r="A13332" t="s">
        <v>13345</v>
      </c>
      <c r="B13332">
        <v>389</v>
      </c>
      <c r="C13332" s="1" t="str">
        <f>HYPERLINK("http://www.rosaceae.org/gb/gbrowse/malus_x_domestica/?name=MDP0000308372","MDP0000308372")</f>
        <v>MDP0000308372</v>
      </c>
      <c r="D13332">
        <v>50</v>
      </c>
      <c r="E13332">
        <v>226</v>
      </c>
      <c r="F13332">
        <v>113</v>
      </c>
      <c r="G13332">
        <v>31</v>
      </c>
      <c r="H13332">
        <v>180</v>
      </c>
      <c r="I13332">
        <v>374</v>
      </c>
      <c r="J13332">
        <v>1</v>
      </c>
      <c r="K13332">
        <v>809</v>
      </c>
      <c r="L13332">
        <v>1034</v>
      </c>
      <c r="M13332">
        <v>1</v>
      </c>
      <c r="N13332">
        <v>8.3620399999999995E-57</v>
      </c>
      <c r="O13332">
        <v>555</v>
      </c>
    </row>
    <row r="13333" spans="1:15" x14ac:dyDescent="0.25">
      <c r="A13333" t="s">
        <v>13346</v>
      </c>
      <c r="B13333">
        <v>643</v>
      </c>
      <c r="C13333" s="1" t="str">
        <f>HYPERLINK("http://www.rosaceae.org/gb/gbrowse/malus_x_domestica/?name=MDP0000883782","MDP0000883782")</f>
        <v>MDP0000883782</v>
      </c>
      <c r="D13333">
        <v>85.97</v>
      </c>
      <c r="E13333">
        <v>435</v>
      </c>
      <c r="F13333">
        <v>61</v>
      </c>
      <c r="G13333">
        <v>5</v>
      </c>
      <c r="H13333">
        <v>194</v>
      </c>
      <c r="I13333">
        <v>626</v>
      </c>
      <c r="J13333">
        <v>1</v>
      </c>
      <c r="K13333">
        <v>6</v>
      </c>
      <c r="L13333">
        <v>437</v>
      </c>
      <c r="M13333">
        <v>1</v>
      </c>
      <c r="N13333">
        <v>0</v>
      </c>
      <c r="O13333">
        <v>2083</v>
      </c>
    </row>
    <row r="13334" spans="1:15" x14ac:dyDescent="0.25">
      <c r="A13334" t="s">
        <v>13347</v>
      </c>
      <c r="B13334">
        <v>675</v>
      </c>
      <c r="C13334" s="1" t="str">
        <f>HYPERLINK("http://www.rosaceae.org/gb/gbrowse/malus_x_domestica/?name=MDP0000151345","MDP0000151345")</f>
        <v>MDP0000151345</v>
      </c>
      <c r="D13334">
        <v>73.69</v>
      </c>
      <c r="E13334">
        <v>692</v>
      </c>
      <c r="F13334">
        <v>182</v>
      </c>
      <c r="G13334">
        <v>25</v>
      </c>
      <c r="H13334">
        <v>1</v>
      </c>
      <c r="I13334">
        <v>675</v>
      </c>
      <c r="J13334">
        <v>1</v>
      </c>
      <c r="K13334">
        <v>1</v>
      </c>
      <c r="L13334">
        <v>684</v>
      </c>
      <c r="M13334">
        <v>1</v>
      </c>
      <c r="N13334">
        <v>0</v>
      </c>
      <c r="O13334">
        <v>2540</v>
      </c>
    </row>
    <row r="13335" spans="1:15" x14ac:dyDescent="0.25">
      <c r="A13335" t="s">
        <v>13348</v>
      </c>
      <c r="B13335">
        <v>290</v>
      </c>
      <c r="C13335" s="1" t="str">
        <f>HYPERLINK("http://www.rosaceae.org/gb/gbrowse/malus_x_domestica/?name=MDP0000874065","MDP0000874065")</f>
        <v>MDP0000874065</v>
      </c>
      <c r="D13335">
        <v>74.28</v>
      </c>
      <c r="E13335">
        <v>210</v>
      </c>
      <c r="F13335">
        <v>54</v>
      </c>
      <c r="G13335">
        <v>0</v>
      </c>
      <c r="H13335">
        <v>81</v>
      </c>
      <c r="I13335">
        <v>290</v>
      </c>
      <c r="J13335">
        <v>1</v>
      </c>
      <c r="K13335">
        <v>25</v>
      </c>
      <c r="L13335">
        <v>234</v>
      </c>
      <c r="M13335">
        <v>1</v>
      </c>
      <c r="N13335">
        <v>8.4037100000000005E-92</v>
      </c>
      <c r="O13335">
        <v>855</v>
      </c>
    </row>
    <row r="13336" spans="1:15" x14ac:dyDescent="0.25">
      <c r="A13336" t="s">
        <v>13349</v>
      </c>
      <c r="B13336">
        <v>452</v>
      </c>
      <c r="C13336" s="1" t="str">
        <f>HYPERLINK("http://www.rosaceae.org/gb/gbrowse/malus_x_domestica/?name=MDP0000203270","MDP0000203270")</f>
        <v>MDP0000203270</v>
      </c>
      <c r="D13336">
        <v>48.44</v>
      </c>
      <c r="E13336">
        <v>514</v>
      </c>
      <c r="F13336">
        <v>265</v>
      </c>
      <c r="G13336">
        <v>116</v>
      </c>
      <c r="H13336">
        <v>24</v>
      </c>
      <c r="I13336">
        <v>439</v>
      </c>
      <c r="J13336">
        <v>1</v>
      </c>
      <c r="K13336">
        <v>26</v>
      </c>
      <c r="L13336">
        <v>521</v>
      </c>
      <c r="M13336">
        <v>1</v>
      </c>
      <c r="N13336">
        <v>5.2386200000000005E-128</v>
      </c>
      <c r="O13336">
        <v>1170</v>
      </c>
    </row>
    <row r="13337" spans="1:15" x14ac:dyDescent="0.25">
      <c r="A13337" t="s">
        <v>13350</v>
      </c>
      <c r="B13337">
        <v>175</v>
      </c>
      <c r="C13337" s="1" t="str">
        <f>HYPERLINK("http://www.rosaceae.org/gb/gbrowse/malus_x_domestica/?name=MDP0000302297","MDP0000302297")</f>
        <v>MDP0000302297</v>
      </c>
      <c r="D13337">
        <v>44.44</v>
      </c>
      <c r="E13337">
        <v>144</v>
      </c>
      <c r="F13337">
        <v>80</v>
      </c>
      <c r="G13337">
        <v>6</v>
      </c>
      <c r="H13337">
        <v>5</v>
      </c>
      <c r="I13337">
        <v>145</v>
      </c>
      <c r="J13337">
        <v>1</v>
      </c>
      <c r="K13337">
        <v>727</v>
      </c>
      <c r="L13337">
        <v>867</v>
      </c>
      <c r="M13337">
        <v>1</v>
      </c>
      <c r="N13337">
        <v>1.1655300000000001E-22</v>
      </c>
      <c r="O13337">
        <v>256</v>
      </c>
    </row>
    <row r="13338" spans="1:15" x14ac:dyDescent="0.25">
      <c r="A13338" t="s">
        <v>13351</v>
      </c>
      <c r="B13338">
        <v>396</v>
      </c>
      <c r="C13338" s="1" t="str">
        <f>HYPERLINK("http://www.rosaceae.org/gb/gbrowse/malus_x_domestica/?name=MDP0000238035","MDP0000238035")</f>
        <v>MDP0000238035</v>
      </c>
      <c r="D13338">
        <v>51.8</v>
      </c>
      <c r="E13338">
        <v>388</v>
      </c>
      <c r="F13338">
        <v>187</v>
      </c>
      <c r="G13338">
        <v>43</v>
      </c>
      <c r="H13338">
        <v>23</v>
      </c>
      <c r="I13338">
        <v>396</v>
      </c>
      <c r="J13338">
        <v>1</v>
      </c>
      <c r="K13338">
        <v>142</v>
      </c>
      <c r="L13338">
        <v>500</v>
      </c>
      <c r="M13338">
        <v>1</v>
      </c>
      <c r="N13338">
        <v>1.24427E-97</v>
      </c>
      <c r="O13338">
        <v>907</v>
      </c>
    </row>
    <row r="13339" spans="1:15" x14ac:dyDescent="0.25">
      <c r="A13339" t="s">
        <v>13352</v>
      </c>
      <c r="B13339">
        <v>714</v>
      </c>
      <c r="C13339" s="1" t="str">
        <f>HYPERLINK("http://www.rosaceae.org/gb/gbrowse/malus_x_domestica/?name=MDP0000428573","MDP0000428573")</f>
        <v>MDP0000428573</v>
      </c>
      <c r="D13339">
        <v>78.599999999999994</v>
      </c>
      <c r="E13339">
        <v>500</v>
      </c>
      <c r="F13339">
        <v>107</v>
      </c>
      <c r="G13339">
        <v>6</v>
      </c>
      <c r="H13339">
        <v>1</v>
      </c>
      <c r="I13339">
        <v>496</v>
      </c>
      <c r="J13339">
        <v>1</v>
      </c>
      <c r="K13339">
        <v>1</v>
      </c>
      <c r="L13339">
        <v>498</v>
      </c>
      <c r="M13339">
        <v>1</v>
      </c>
      <c r="N13339">
        <v>0</v>
      </c>
      <c r="O13339">
        <v>2137</v>
      </c>
    </row>
    <row r="13340" spans="1:15" x14ac:dyDescent="0.25">
      <c r="A13340" t="s">
        <v>13353</v>
      </c>
      <c r="B13340">
        <v>190</v>
      </c>
      <c r="C13340" s="1" t="str">
        <f>HYPERLINK("http://www.rosaceae.org/gb/gbrowse/malus_x_domestica/?name=MDP0000286442","MDP0000286442")</f>
        <v>MDP0000286442</v>
      </c>
      <c r="D13340">
        <v>64.28</v>
      </c>
      <c r="E13340">
        <v>126</v>
      </c>
      <c r="F13340">
        <v>45</v>
      </c>
      <c r="G13340">
        <v>2</v>
      </c>
      <c r="H13340">
        <v>66</v>
      </c>
      <c r="I13340">
        <v>190</v>
      </c>
      <c r="J13340">
        <v>1</v>
      </c>
      <c r="K13340">
        <v>1022</v>
      </c>
      <c r="L13340">
        <v>1146</v>
      </c>
      <c r="M13340">
        <v>1</v>
      </c>
      <c r="N13340">
        <v>9.36368E-41</v>
      </c>
      <c r="O13340">
        <v>413</v>
      </c>
    </row>
    <row r="13341" spans="1:15" x14ac:dyDescent="0.25">
      <c r="A13341" t="s">
        <v>13354</v>
      </c>
      <c r="B13341">
        <v>210</v>
      </c>
      <c r="C13341" s="1" t="str">
        <f>HYPERLINK("http://www.rosaceae.org/gb/gbrowse/malus_x_domestica/?name=MDP0000811643","MDP0000811643")</f>
        <v>MDP0000811643</v>
      </c>
      <c r="D13341">
        <v>54.37</v>
      </c>
      <c r="E13341">
        <v>160</v>
      </c>
      <c r="F13341">
        <v>73</v>
      </c>
      <c r="G13341">
        <v>6</v>
      </c>
      <c r="H13341">
        <v>51</v>
      </c>
      <c r="I13341">
        <v>210</v>
      </c>
      <c r="J13341">
        <v>1</v>
      </c>
      <c r="K13341">
        <v>241</v>
      </c>
      <c r="L13341">
        <v>394</v>
      </c>
      <c r="M13341">
        <v>1</v>
      </c>
      <c r="N13341">
        <v>3.7417500000000001E-41</v>
      </c>
      <c r="O13341">
        <v>417</v>
      </c>
    </row>
    <row r="13342" spans="1:15" x14ac:dyDescent="0.25">
      <c r="A13342" t="s">
        <v>13355</v>
      </c>
      <c r="B13342">
        <v>289</v>
      </c>
      <c r="C13342" s="1" t="str">
        <f>HYPERLINK("http://www.rosaceae.org/gb/gbrowse/malus_x_domestica/?name=MDP0000724504","MDP0000724504")</f>
        <v>MDP0000724504</v>
      </c>
      <c r="D13342">
        <v>80.23</v>
      </c>
      <c r="E13342">
        <v>167</v>
      </c>
      <c r="F13342">
        <v>33</v>
      </c>
      <c r="G13342">
        <v>0</v>
      </c>
      <c r="H13342">
        <v>1</v>
      </c>
      <c r="I13342">
        <v>167</v>
      </c>
      <c r="J13342">
        <v>1</v>
      </c>
      <c r="K13342">
        <v>1</v>
      </c>
      <c r="L13342">
        <v>167</v>
      </c>
      <c r="M13342">
        <v>1</v>
      </c>
      <c r="N13342">
        <v>6.0172600000000001E-77</v>
      </c>
      <c r="O13342">
        <v>727</v>
      </c>
    </row>
    <row r="13343" spans="1:15" x14ac:dyDescent="0.25">
      <c r="A13343" t="s">
        <v>13356</v>
      </c>
      <c r="B13343">
        <v>815</v>
      </c>
      <c r="C13343" s="1" t="str">
        <f>HYPERLINK("http://www.rosaceae.org/gb/gbrowse/malus_x_domestica/?name=MDP0000130825","MDP0000130825")</f>
        <v>MDP0000130825</v>
      </c>
      <c r="D13343">
        <v>52.79</v>
      </c>
      <c r="E13343">
        <v>877</v>
      </c>
      <c r="F13343">
        <v>414</v>
      </c>
      <c r="G13343">
        <v>140</v>
      </c>
      <c r="H13343">
        <v>27</v>
      </c>
      <c r="I13343">
        <v>815</v>
      </c>
      <c r="J13343">
        <v>1</v>
      </c>
      <c r="K13343">
        <v>27</v>
      </c>
      <c r="L13343">
        <v>851</v>
      </c>
      <c r="M13343">
        <v>1</v>
      </c>
      <c r="N13343">
        <v>0</v>
      </c>
      <c r="O13343">
        <v>1823</v>
      </c>
    </row>
    <row r="13344" spans="1:15" x14ac:dyDescent="0.25">
      <c r="A13344" t="s">
        <v>13357</v>
      </c>
      <c r="B13344">
        <v>259</v>
      </c>
      <c r="C13344" s="1" t="str">
        <f>HYPERLINK("http://www.rosaceae.org/gb/gbrowse/malus_x_domestica/?name=MDP0000853667","MDP0000853667")</f>
        <v>MDP0000853667</v>
      </c>
      <c r="D13344">
        <v>42.52</v>
      </c>
      <c r="E13344">
        <v>174</v>
      </c>
      <c r="F13344">
        <v>100</v>
      </c>
      <c r="G13344">
        <v>20</v>
      </c>
      <c r="H13344">
        <v>87</v>
      </c>
      <c r="I13344">
        <v>244</v>
      </c>
      <c r="J13344">
        <v>1</v>
      </c>
      <c r="K13344">
        <v>1</v>
      </c>
      <c r="L13344">
        <v>170</v>
      </c>
      <c r="M13344">
        <v>1</v>
      </c>
      <c r="N13344">
        <v>2.65365E-30</v>
      </c>
      <c r="O13344">
        <v>324</v>
      </c>
    </row>
    <row r="13345" spans="1:15" x14ac:dyDescent="0.25">
      <c r="A13345" t="s">
        <v>13358</v>
      </c>
      <c r="B13345">
        <v>631</v>
      </c>
      <c r="C13345" s="1" t="str">
        <f>HYPERLINK("http://www.rosaceae.org/gb/gbrowse/malus_x_domestica/?name=MDP0000591798","MDP0000591798")</f>
        <v>MDP0000591798</v>
      </c>
      <c r="D13345">
        <v>56.62</v>
      </c>
      <c r="E13345">
        <v>83</v>
      </c>
      <c r="F13345">
        <v>36</v>
      </c>
      <c r="G13345">
        <v>3</v>
      </c>
      <c r="H13345">
        <v>543</v>
      </c>
      <c r="I13345">
        <v>625</v>
      </c>
      <c r="J13345">
        <v>1</v>
      </c>
      <c r="K13345">
        <v>89</v>
      </c>
      <c r="L13345">
        <v>168</v>
      </c>
      <c r="M13345">
        <v>1</v>
      </c>
      <c r="N13345">
        <v>1.10878E-17</v>
      </c>
      <c r="O13345">
        <v>220</v>
      </c>
    </row>
    <row r="13346" spans="1:15" x14ac:dyDescent="0.25">
      <c r="A13346" t="s">
        <v>13359</v>
      </c>
      <c r="B13346">
        <v>609</v>
      </c>
      <c r="C13346" s="1" t="str">
        <f>HYPERLINK("http://www.rosaceae.org/gb/gbrowse/malus_x_domestica/?name=MDP0000929213","MDP0000929213")</f>
        <v>MDP0000929213</v>
      </c>
      <c r="D13346">
        <v>74.22</v>
      </c>
      <c r="E13346">
        <v>613</v>
      </c>
      <c r="F13346">
        <v>158</v>
      </c>
      <c r="G13346">
        <v>17</v>
      </c>
      <c r="H13346">
        <v>2</v>
      </c>
      <c r="I13346">
        <v>609</v>
      </c>
      <c r="J13346">
        <v>1</v>
      </c>
      <c r="K13346">
        <v>7</v>
      </c>
      <c r="L13346">
        <v>607</v>
      </c>
      <c r="M13346">
        <v>1</v>
      </c>
      <c r="N13346">
        <v>0</v>
      </c>
      <c r="O13346">
        <v>2394</v>
      </c>
    </row>
    <row r="13347" spans="1:15" x14ac:dyDescent="0.25">
      <c r="A13347" t="s">
        <v>13360</v>
      </c>
      <c r="B13347">
        <v>333</v>
      </c>
      <c r="C13347" s="1" t="str">
        <f>HYPERLINK("http://www.rosaceae.org/gb/gbrowse/malus_x_domestica/?name=MDP0000146555","MDP0000146555")</f>
        <v>MDP0000146555</v>
      </c>
      <c r="D13347">
        <v>33.03</v>
      </c>
      <c r="E13347">
        <v>112</v>
      </c>
      <c r="F13347">
        <v>75</v>
      </c>
      <c r="G13347">
        <v>3</v>
      </c>
      <c r="H13347">
        <v>28</v>
      </c>
      <c r="I13347">
        <v>139</v>
      </c>
      <c r="J13347">
        <v>1</v>
      </c>
      <c r="K13347">
        <v>187</v>
      </c>
      <c r="L13347">
        <v>295</v>
      </c>
      <c r="M13347">
        <v>1</v>
      </c>
      <c r="N13347">
        <v>1.0073499999999999E-8</v>
      </c>
      <c r="O13347">
        <v>140</v>
      </c>
    </row>
    <row r="13348" spans="1:15" x14ac:dyDescent="0.25">
      <c r="A13348" t="s">
        <v>13361</v>
      </c>
      <c r="B13348">
        <v>813</v>
      </c>
      <c r="C13348" s="1" t="str">
        <f>HYPERLINK("http://www.rosaceae.org/gb/gbrowse/malus_x_domestica/?name=MDP0000927714","MDP0000927714")</f>
        <v>MDP0000927714</v>
      </c>
      <c r="D13348">
        <v>83.14</v>
      </c>
      <c r="E13348">
        <v>813</v>
      </c>
      <c r="F13348">
        <v>137</v>
      </c>
      <c r="G13348">
        <v>0</v>
      </c>
      <c r="H13348">
        <v>1</v>
      </c>
      <c r="I13348">
        <v>813</v>
      </c>
      <c r="J13348">
        <v>1</v>
      </c>
      <c r="K13348">
        <v>1</v>
      </c>
      <c r="L13348">
        <v>813</v>
      </c>
      <c r="M13348">
        <v>1</v>
      </c>
      <c r="N13348">
        <v>0</v>
      </c>
      <c r="O13348">
        <v>3517</v>
      </c>
    </row>
    <row r="13349" spans="1:15" x14ac:dyDescent="0.25">
      <c r="A13349" t="s">
        <v>13362</v>
      </c>
      <c r="B13349">
        <v>139</v>
      </c>
      <c r="C13349" s="1" t="str">
        <f>HYPERLINK("http://www.rosaceae.org/gb/gbrowse/malus_x_domestica/?name=MDP0000306353","MDP0000306353")</f>
        <v>MDP0000306353</v>
      </c>
      <c r="D13349">
        <v>54.86</v>
      </c>
      <c r="E13349">
        <v>144</v>
      </c>
      <c r="F13349">
        <v>65</v>
      </c>
      <c r="G13349">
        <v>13</v>
      </c>
      <c r="H13349">
        <v>3</v>
      </c>
      <c r="I13349">
        <v>139</v>
      </c>
      <c r="J13349">
        <v>1</v>
      </c>
      <c r="K13349">
        <v>1</v>
      </c>
      <c r="L13349">
        <v>138</v>
      </c>
      <c r="M13349">
        <v>1</v>
      </c>
      <c r="N13349">
        <v>2.1276400000000001E-32</v>
      </c>
      <c r="O13349">
        <v>338</v>
      </c>
    </row>
    <row r="13350" spans="1:15" x14ac:dyDescent="0.25">
      <c r="A13350" t="s">
        <v>13363</v>
      </c>
      <c r="B13350">
        <v>464</v>
      </c>
      <c r="C13350" s="1" t="str">
        <f>HYPERLINK("http://www.rosaceae.org/gb/gbrowse/malus_x_domestica/?name=MDP0000127499","MDP0000127499")</f>
        <v>MDP0000127499</v>
      </c>
      <c r="D13350">
        <v>52.63</v>
      </c>
      <c r="E13350">
        <v>342</v>
      </c>
      <c r="F13350">
        <v>162</v>
      </c>
      <c r="G13350">
        <v>33</v>
      </c>
      <c r="H13350">
        <v>129</v>
      </c>
      <c r="I13350">
        <v>464</v>
      </c>
      <c r="J13350">
        <v>1</v>
      </c>
      <c r="K13350">
        <v>23</v>
      </c>
      <c r="L13350">
        <v>337</v>
      </c>
      <c r="M13350">
        <v>1</v>
      </c>
      <c r="N13350">
        <v>1.7515300000000001E-82</v>
      </c>
      <c r="O13350">
        <v>777</v>
      </c>
    </row>
    <row r="13351" spans="1:15" x14ac:dyDescent="0.25">
      <c r="A13351" t="s">
        <v>13364</v>
      </c>
      <c r="B13351">
        <v>620</v>
      </c>
      <c r="C13351" s="1" t="str">
        <f>HYPERLINK("http://www.rosaceae.org/gb/gbrowse/malus_x_domestica/?name=MDP0000140915","MDP0000140915")</f>
        <v>MDP0000140915</v>
      </c>
      <c r="D13351">
        <v>58.02</v>
      </c>
      <c r="E13351">
        <v>548</v>
      </c>
      <c r="F13351">
        <v>230</v>
      </c>
      <c r="G13351">
        <v>8</v>
      </c>
      <c r="H13351">
        <v>51</v>
      </c>
      <c r="I13351">
        <v>596</v>
      </c>
      <c r="J13351">
        <v>1</v>
      </c>
      <c r="K13351">
        <v>69</v>
      </c>
      <c r="L13351">
        <v>610</v>
      </c>
      <c r="M13351">
        <v>1</v>
      </c>
      <c r="N13351">
        <v>0</v>
      </c>
      <c r="O13351">
        <v>1704</v>
      </c>
    </row>
    <row r="13352" spans="1:15" x14ac:dyDescent="0.25">
      <c r="A13352" t="s">
        <v>13365</v>
      </c>
      <c r="B13352">
        <v>68</v>
      </c>
      <c r="C13352" s="1" t="str">
        <f>HYPERLINK("http://www.rosaceae.org/gb/gbrowse/malus_x_domestica/?name=MDP0000219706","MDP0000219706")</f>
        <v>MDP0000219706</v>
      </c>
      <c r="D13352">
        <v>50.94</v>
      </c>
      <c r="E13352">
        <v>53</v>
      </c>
      <c r="F13352">
        <v>26</v>
      </c>
      <c r="G13352">
        <v>0</v>
      </c>
      <c r="H13352">
        <v>8</v>
      </c>
      <c r="I13352">
        <v>60</v>
      </c>
      <c r="J13352">
        <v>1</v>
      </c>
      <c r="K13352">
        <v>470</v>
      </c>
      <c r="L13352">
        <v>522</v>
      </c>
      <c r="M13352">
        <v>1</v>
      </c>
      <c r="N13352">
        <v>3.5124799999999998E-10</v>
      </c>
      <c r="O13352">
        <v>145</v>
      </c>
    </row>
    <row r="13353" spans="1:15" x14ac:dyDescent="0.25">
      <c r="A13353" t="s">
        <v>13366</v>
      </c>
      <c r="B13353">
        <v>405</v>
      </c>
      <c r="C13353" s="1" t="str">
        <f>HYPERLINK("http://www.rosaceae.org/gb/gbrowse/malus_x_domestica/?name=MDP0000920793","MDP0000920793")</f>
        <v>MDP0000920793</v>
      </c>
      <c r="D13353">
        <v>75.739999999999995</v>
      </c>
      <c r="E13353">
        <v>268</v>
      </c>
      <c r="F13353">
        <v>65</v>
      </c>
      <c r="G13353">
        <v>3</v>
      </c>
      <c r="H13353">
        <v>7</v>
      </c>
      <c r="I13353">
        <v>274</v>
      </c>
      <c r="J13353">
        <v>1</v>
      </c>
      <c r="K13353">
        <v>1</v>
      </c>
      <c r="L13353">
        <v>265</v>
      </c>
      <c r="M13353">
        <v>1</v>
      </c>
      <c r="N13353">
        <v>4.7679400000000002E-116</v>
      </c>
      <c r="O13353">
        <v>1066</v>
      </c>
    </row>
    <row r="13354" spans="1:15" x14ac:dyDescent="0.25">
      <c r="A13354" t="s">
        <v>13367</v>
      </c>
      <c r="B13354">
        <v>287</v>
      </c>
      <c r="C13354" s="1" t="str">
        <f>HYPERLINK("http://www.rosaceae.org/gb/gbrowse/malus_x_domestica/?name=MDP0000448602","MDP0000448602")</f>
        <v>MDP0000448602</v>
      </c>
      <c r="D13354">
        <v>49.29</v>
      </c>
      <c r="E13354">
        <v>353</v>
      </c>
      <c r="F13354">
        <v>179</v>
      </c>
      <c r="G13354">
        <v>82</v>
      </c>
      <c r="H13354">
        <v>2</v>
      </c>
      <c r="I13354">
        <v>280</v>
      </c>
      <c r="J13354">
        <v>1</v>
      </c>
      <c r="K13354">
        <v>6</v>
      </c>
      <c r="L13354">
        <v>350</v>
      </c>
      <c r="M13354">
        <v>1</v>
      </c>
      <c r="N13354">
        <v>1.77439E-79</v>
      </c>
      <c r="O13354">
        <v>749</v>
      </c>
    </row>
    <row r="13355" spans="1:15" x14ac:dyDescent="0.25">
      <c r="A13355" t="s">
        <v>13368</v>
      </c>
      <c r="B13355">
        <v>618</v>
      </c>
      <c r="C13355" s="1" t="str">
        <f>HYPERLINK("http://www.rosaceae.org/gb/gbrowse/malus_x_domestica/?name=MDP0000315398","MDP0000315398")</f>
        <v>MDP0000315398</v>
      </c>
      <c r="D13355">
        <v>65.33</v>
      </c>
      <c r="E13355">
        <v>427</v>
      </c>
      <c r="F13355">
        <v>148</v>
      </c>
      <c r="G13355">
        <v>17</v>
      </c>
      <c r="H13355">
        <v>188</v>
      </c>
      <c r="I13355">
        <v>600</v>
      </c>
      <c r="J13355">
        <v>1</v>
      </c>
      <c r="K13355">
        <v>292</v>
      </c>
      <c r="L13355">
        <v>715</v>
      </c>
      <c r="M13355">
        <v>1</v>
      </c>
      <c r="N13355">
        <v>5.7293000000000005E-156</v>
      </c>
      <c r="O13355">
        <v>1412</v>
      </c>
    </row>
    <row r="13356" spans="1:15" x14ac:dyDescent="0.25">
      <c r="A13356" t="s">
        <v>13369</v>
      </c>
      <c r="B13356">
        <v>314</v>
      </c>
      <c r="C13356" s="1" t="str">
        <f>HYPERLINK("http://www.rosaceae.org/gb/gbrowse/malus_x_domestica/?name=MDP0000153587","MDP0000153587")</f>
        <v>MDP0000153587</v>
      </c>
      <c r="D13356">
        <v>90.8</v>
      </c>
      <c r="E13356">
        <v>272</v>
      </c>
      <c r="F13356">
        <v>25</v>
      </c>
      <c r="G13356">
        <v>4</v>
      </c>
      <c r="H13356">
        <v>47</v>
      </c>
      <c r="I13356">
        <v>314</v>
      </c>
      <c r="J13356">
        <v>1</v>
      </c>
      <c r="K13356">
        <v>1</v>
      </c>
      <c r="L13356">
        <v>272</v>
      </c>
      <c r="M13356">
        <v>1</v>
      </c>
      <c r="N13356">
        <v>1.1510200000000001E-142</v>
      </c>
      <c r="O13356">
        <v>1295</v>
      </c>
    </row>
    <row r="13357" spans="1:15" x14ac:dyDescent="0.25">
      <c r="A13357" t="s">
        <v>13370</v>
      </c>
      <c r="B13357">
        <v>359</v>
      </c>
      <c r="C13357" s="1" t="str">
        <f>HYPERLINK("http://www.rosaceae.org/gb/gbrowse/malus_x_domestica/?name=MDP0000273878","MDP0000273878")</f>
        <v>MDP0000273878</v>
      </c>
      <c r="D13357">
        <v>75.84</v>
      </c>
      <c r="E13357">
        <v>207</v>
      </c>
      <c r="F13357">
        <v>50</v>
      </c>
      <c r="G13357">
        <v>0</v>
      </c>
      <c r="H13357">
        <v>119</v>
      </c>
      <c r="I13357">
        <v>325</v>
      </c>
      <c r="J13357">
        <v>1</v>
      </c>
      <c r="K13357">
        <v>32</v>
      </c>
      <c r="L13357">
        <v>238</v>
      </c>
      <c r="M13357">
        <v>1</v>
      </c>
      <c r="N13357">
        <v>7.9990999999999997E-84</v>
      </c>
      <c r="O13357">
        <v>788</v>
      </c>
    </row>
    <row r="13358" spans="1:15" x14ac:dyDescent="0.25">
      <c r="A13358" t="s">
        <v>13371</v>
      </c>
      <c r="B13358">
        <v>266</v>
      </c>
      <c r="C13358" s="1" t="str">
        <f>HYPERLINK("http://www.rosaceae.org/gb/gbrowse/malus_x_domestica/?name=MDP0000407613","MDP0000407613")</f>
        <v>MDP0000407613</v>
      </c>
      <c r="D13358">
        <v>55.84</v>
      </c>
      <c r="E13358">
        <v>265</v>
      </c>
      <c r="F13358">
        <v>117</v>
      </c>
      <c r="G13358">
        <v>10</v>
      </c>
      <c r="H13358">
        <v>1</v>
      </c>
      <c r="I13358">
        <v>262</v>
      </c>
      <c r="J13358">
        <v>1</v>
      </c>
      <c r="K13358">
        <v>1</v>
      </c>
      <c r="L13358">
        <v>258</v>
      </c>
      <c r="M13358">
        <v>1</v>
      </c>
      <c r="N13358">
        <v>1.0915299999999999E-73</v>
      </c>
      <c r="O13358">
        <v>699</v>
      </c>
    </row>
    <row r="13359" spans="1:15" x14ac:dyDescent="0.25">
      <c r="A13359" t="s">
        <v>13372</v>
      </c>
      <c r="B13359">
        <v>125</v>
      </c>
      <c r="C13359" s="1" t="str">
        <f>HYPERLINK("http://www.rosaceae.org/gb/gbrowse/malus_x_domestica/?name=MDP0000254701","MDP0000254701")</f>
        <v>MDP0000254701</v>
      </c>
      <c r="D13359">
        <v>49.56</v>
      </c>
      <c r="E13359">
        <v>115</v>
      </c>
      <c r="F13359">
        <v>58</v>
      </c>
      <c r="G13359">
        <v>0</v>
      </c>
      <c r="H13359">
        <v>9</v>
      </c>
      <c r="I13359">
        <v>123</v>
      </c>
      <c r="J13359">
        <v>1</v>
      </c>
      <c r="K13359">
        <v>1</v>
      </c>
      <c r="L13359">
        <v>115</v>
      </c>
      <c r="M13359">
        <v>1</v>
      </c>
      <c r="N13359">
        <v>1.1848E-26</v>
      </c>
      <c r="O13359">
        <v>287</v>
      </c>
    </row>
    <row r="13360" spans="1:15" x14ac:dyDescent="0.25">
      <c r="A13360" t="s">
        <v>13373</v>
      </c>
      <c r="B13360">
        <v>774</v>
      </c>
      <c r="C13360" s="1" t="str">
        <f>HYPERLINK("http://www.rosaceae.org/gb/gbrowse/malus_x_domestica/?name=MDP0000137580","MDP0000137580")</f>
        <v>MDP0000137580</v>
      </c>
      <c r="D13360">
        <v>65.73</v>
      </c>
      <c r="E13360">
        <v>820</v>
      </c>
      <c r="F13360">
        <v>281</v>
      </c>
      <c r="G13360">
        <v>56</v>
      </c>
      <c r="H13360">
        <v>1</v>
      </c>
      <c r="I13360">
        <v>767</v>
      </c>
      <c r="J13360">
        <v>1</v>
      </c>
      <c r="K13360">
        <v>1</v>
      </c>
      <c r="L13360">
        <v>817</v>
      </c>
      <c r="M13360">
        <v>1</v>
      </c>
      <c r="N13360">
        <v>0</v>
      </c>
      <c r="O13360">
        <v>2632</v>
      </c>
    </row>
    <row r="13361" spans="1:15" x14ac:dyDescent="0.25">
      <c r="A13361" t="s">
        <v>13374</v>
      </c>
      <c r="B13361">
        <v>431</v>
      </c>
      <c r="C13361" s="1" t="str">
        <f>HYPERLINK("http://www.rosaceae.org/gb/gbrowse/malus_x_domestica/?name=MDP0000214111","MDP0000214111")</f>
        <v>MDP0000214111</v>
      </c>
      <c r="D13361">
        <v>84.91</v>
      </c>
      <c r="E13361">
        <v>431</v>
      </c>
      <c r="F13361">
        <v>65</v>
      </c>
      <c r="G13361">
        <v>2</v>
      </c>
      <c r="H13361">
        <v>1</v>
      </c>
      <c r="I13361">
        <v>431</v>
      </c>
      <c r="J13361">
        <v>1</v>
      </c>
      <c r="K13361">
        <v>1</v>
      </c>
      <c r="L13361">
        <v>429</v>
      </c>
      <c r="M13361">
        <v>1</v>
      </c>
      <c r="N13361">
        <v>0</v>
      </c>
      <c r="O13361">
        <v>1950</v>
      </c>
    </row>
    <row r="13362" spans="1:15" x14ac:dyDescent="0.25">
      <c r="A13362" t="s">
        <v>13375</v>
      </c>
      <c r="B13362">
        <v>434</v>
      </c>
      <c r="C13362" s="1" t="str">
        <f>HYPERLINK("http://www.rosaceae.org/gb/gbrowse/malus_x_domestica/?name=MDP0000616079","MDP0000616079")</f>
        <v>MDP0000616079</v>
      </c>
      <c r="D13362">
        <v>68.260000000000005</v>
      </c>
      <c r="E13362">
        <v>438</v>
      </c>
      <c r="F13362">
        <v>139</v>
      </c>
      <c r="G13362">
        <v>35</v>
      </c>
      <c r="H13362">
        <v>1</v>
      </c>
      <c r="I13362">
        <v>434</v>
      </c>
      <c r="J13362">
        <v>1</v>
      </c>
      <c r="K13362">
        <v>1</v>
      </c>
      <c r="L13362">
        <v>407</v>
      </c>
      <c r="M13362">
        <v>1</v>
      </c>
      <c r="N13362">
        <v>4.3552199999999999E-172</v>
      </c>
      <c r="O13362">
        <v>1550</v>
      </c>
    </row>
    <row r="13363" spans="1:15" x14ac:dyDescent="0.25">
      <c r="A13363" t="s">
        <v>13376</v>
      </c>
      <c r="B13363">
        <v>278</v>
      </c>
      <c r="C13363" s="1" t="str">
        <f>HYPERLINK("http://www.rosaceae.org/gb/gbrowse/malus_x_domestica/?name=MDP0000314476","MDP0000314476")</f>
        <v>MDP0000314476</v>
      </c>
      <c r="D13363">
        <v>73.78</v>
      </c>
      <c r="E13363">
        <v>206</v>
      </c>
      <c r="F13363">
        <v>54</v>
      </c>
      <c r="G13363">
        <v>34</v>
      </c>
      <c r="H13363">
        <v>3</v>
      </c>
      <c r="I13363">
        <v>208</v>
      </c>
      <c r="J13363">
        <v>1</v>
      </c>
      <c r="K13363">
        <v>80</v>
      </c>
      <c r="L13363">
        <v>251</v>
      </c>
      <c r="M13363">
        <v>1</v>
      </c>
      <c r="N13363">
        <v>1.07357E-86</v>
      </c>
      <c r="O13363">
        <v>811</v>
      </c>
    </row>
    <row r="13364" spans="1:15" x14ac:dyDescent="0.25">
      <c r="A13364" t="s">
        <v>13377</v>
      </c>
      <c r="B13364">
        <v>844</v>
      </c>
      <c r="C13364" s="1" t="str">
        <f>HYPERLINK("http://www.rosaceae.org/gb/gbrowse/malus_x_domestica/?name=MDP0000595474","MDP0000595474")</f>
        <v>MDP0000595474</v>
      </c>
      <c r="D13364">
        <v>75.64</v>
      </c>
      <c r="E13364">
        <v>817</v>
      </c>
      <c r="F13364">
        <v>199</v>
      </c>
      <c r="G13364">
        <v>1</v>
      </c>
      <c r="H13364">
        <v>28</v>
      </c>
      <c r="I13364">
        <v>844</v>
      </c>
      <c r="J13364">
        <v>1</v>
      </c>
      <c r="K13364">
        <v>30</v>
      </c>
      <c r="L13364">
        <v>845</v>
      </c>
      <c r="M13364">
        <v>1</v>
      </c>
      <c r="N13364">
        <v>0</v>
      </c>
      <c r="O13364">
        <v>3392</v>
      </c>
    </row>
    <row r="13365" spans="1:15" x14ac:dyDescent="0.25">
      <c r="A13365" t="s">
        <v>13378</v>
      </c>
      <c r="B13365">
        <v>1589</v>
      </c>
      <c r="C13365" s="1" t="str">
        <f>HYPERLINK("http://www.rosaceae.org/gb/gbrowse/malus_x_domestica/?name=MDP0000320755","MDP0000320755")</f>
        <v>MDP0000320755</v>
      </c>
      <c r="D13365">
        <v>74.510000000000005</v>
      </c>
      <c r="E13365">
        <v>624</v>
      </c>
      <c r="F13365">
        <v>159</v>
      </c>
      <c r="G13365">
        <v>49</v>
      </c>
      <c r="H13365">
        <v>953</v>
      </c>
      <c r="I13365">
        <v>1573</v>
      </c>
      <c r="J13365">
        <v>1</v>
      </c>
      <c r="K13365">
        <v>400</v>
      </c>
      <c r="L13365">
        <v>977</v>
      </c>
      <c r="M13365">
        <v>1</v>
      </c>
      <c r="N13365">
        <v>0</v>
      </c>
      <c r="O13365">
        <v>2271</v>
      </c>
    </row>
    <row r="13366" spans="1:15" x14ac:dyDescent="0.25">
      <c r="A13366" t="s">
        <v>13379</v>
      </c>
      <c r="B13366">
        <v>403</v>
      </c>
      <c r="C13366" s="1" t="str">
        <f>HYPERLINK("http://www.rosaceae.org/gb/gbrowse/malus_x_domestica/?name=MDP0000803116","MDP0000803116")</f>
        <v>MDP0000803116</v>
      </c>
      <c r="D13366">
        <v>66.45</v>
      </c>
      <c r="E13366">
        <v>322</v>
      </c>
      <c r="F13366">
        <v>108</v>
      </c>
      <c r="G13366">
        <v>22</v>
      </c>
      <c r="H13366">
        <v>1</v>
      </c>
      <c r="I13366">
        <v>300</v>
      </c>
      <c r="J13366">
        <v>1</v>
      </c>
      <c r="K13366">
        <v>27</v>
      </c>
      <c r="L13366">
        <v>348</v>
      </c>
      <c r="M13366">
        <v>1</v>
      </c>
      <c r="N13366">
        <v>1.9961500000000001E-103</v>
      </c>
      <c r="O13366">
        <v>957</v>
      </c>
    </row>
    <row r="13367" spans="1:15" x14ac:dyDescent="0.25">
      <c r="A13367" t="s">
        <v>13380</v>
      </c>
      <c r="B13367">
        <v>214</v>
      </c>
      <c r="C13367" s="1" t="str">
        <f>HYPERLINK("http://www.rosaceae.org/gb/gbrowse/malus_x_domestica/?name=MDP0000278398","MDP0000278398")</f>
        <v>MDP0000278398</v>
      </c>
      <c r="D13367">
        <v>56.58</v>
      </c>
      <c r="E13367">
        <v>205</v>
      </c>
      <c r="F13367">
        <v>89</v>
      </c>
      <c r="G13367">
        <v>23</v>
      </c>
      <c r="H13367">
        <v>3</v>
      </c>
      <c r="I13367">
        <v>200</v>
      </c>
      <c r="J13367">
        <v>1</v>
      </c>
      <c r="K13367">
        <v>4</v>
      </c>
      <c r="L13367">
        <v>192</v>
      </c>
      <c r="M13367">
        <v>1</v>
      </c>
      <c r="N13367">
        <v>6.1163400000000006E-51</v>
      </c>
      <c r="O13367">
        <v>501</v>
      </c>
    </row>
    <row r="13368" spans="1:15" x14ac:dyDescent="0.25">
      <c r="A13368" t="s">
        <v>13381</v>
      </c>
      <c r="B13368">
        <v>467</v>
      </c>
      <c r="C13368" s="1" t="str">
        <f>HYPERLINK("http://www.rosaceae.org/gb/gbrowse/malus_x_domestica/?name=MDP0000258572","MDP0000258572")</f>
        <v>MDP0000258572</v>
      </c>
      <c r="D13368">
        <v>72.72</v>
      </c>
      <c r="E13368">
        <v>297</v>
      </c>
      <c r="F13368">
        <v>81</v>
      </c>
      <c r="G13368">
        <v>6</v>
      </c>
      <c r="H13368">
        <v>177</v>
      </c>
      <c r="I13368">
        <v>467</v>
      </c>
      <c r="J13368">
        <v>1</v>
      </c>
      <c r="K13368">
        <v>6</v>
      </c>
      <c r="L13368">
        <v>302</v>
      </c>
      <c r="M13368">
        <v>1</v>
      </c>
      <c r="N13368">
        <v>1.26313E-116</v>
      </c>
      <c r="O13368">
        <v>1072</v>
      </c>
    </row>
    <row r="13369" spans="1:15" x14ac:dyDescent="0.25">
      <c r="A13369" t="s">
        <v>13382</v>
      </c>
      <c r="B13369">
        <v>307</v>
      </c>
      <c r="C13369" s="1" t="str">
        <f>HYPERLINK("http://www.rosaceae.org/gb/gbrowse/malus_x_domestica/?name=MDP0000190824","MDP0000190824")</f>
        <v>MDP0000190824</v>
      </c>
      <c r="D13369">
        <v>53.58</v>
      </c>
      <c r="E13369">
        <v>265</v>
      </c>
      <c r="F13369">
        <v>123</v>
      </c>
      <c r="G13369">
        <v>4</v>
      </c>
      <c r="H13369">
        <v>43</v>
      </c>
      <c r="I13369">
        <v>305</v>
      </c>
      <c r="J13369">
        <v>1</v>
      </c>
      <c r="K13369">
        <v>5</v>
      </c>
      <c r="L13369">
        <v>267</v>
      </c>
      <c r="M13369">
        <v>1</v>
      </c>
      <c r="N13369">
        <v>5.95784E-82</v>
      </c>
      <c r="O13369">
        <v>771</v>
      </c>
    </row>
    <row r="13370" spans="1:15" x14ac:dyDescent="0.25">
      <c r="A13370" t="s">
        <v>13383</v>
      </c>
      <c r="B13370">
        <v>170</v>
      </c>
      <c r="C13370" s="1" t="str">
        <f>HYPERLINK("http://www.rosaceae.org/gb/gbrowse/malus_x_domestica/?name=MDP0000321349","MDP0000321349")</f>
        <v>MDP0000321349</v>
      </c>
      <c r="D13370">
        <v>45.61</v>
      </c>
      <c r="E13370">
        <v>171</v>
      </c>
      <c r="F13370">
        <v>93</v>
      </c>
      <c r="G13370">
        <v>14</v>
      </c>
      <c r="H13370">
        <v>1</v>
      </c>
      <c r="I13370">
        <v>169</v>
      </c>
      <c r="J13370">
        <v>1</v>
      </c>
      <c r="K13370">
        <v>1</v>
      </c>
      <c r="L13370">
        <v>159</v>
      </c>
      <c r="M13370">
        <v>1</v>
      </c>
      <c r="N13370">
        <v>1.76927E-26</v>
      </c>
      <c r="O13370">
        <v>289</v>
      </c>
    </row>
    <row r="13371" spans="1:15" x14ac:dyDescent="0.25">
      <c r="A13371" t="s">
        <v>13384</v>
      </c>
      <c r="B13371">
        <v>380</v>
      </c>
      <c r="C13371" s="1" t="str">
        <f>HYPERLINK("http://www.rosaceae.org/gb/gbrowse/malus_x_domestica/?name=MDP0000283768","MDP0000283768")</f>
        <v>MDP0000283768</v>
      </c>
      <c r="D13371">
        <v>74.489999999999995</v>
      </c>
      <c r="E13371">
        <v>298</v>
      </c>
      <c r="F13371">
        <v>76</v>
      </c>
      <c r="G13371">
        <v>5</v>
      </c>
      <c r="H13371">
        <v>18</v>
      </c>
      <c r="I13371">
        <v>314</v>
      </c>
      <c r="J13371">
        <v>1</v>
      </c>
      <c r="K13371">
        <v>17</v>
      </c>
      <c r="L13371">
        <v>310</v>
      </c>
      <c r="M13371">
        <v>1</v>
      </c>
      <c r="N13371">
        <v>2.2860599999999998E-131</v>
      </c>
      <c r="O13371">
        <v>1198</v>
      </c>
    </row>
    <row r="13372" spans="1:15" x14ac:dyDescent="0.25">
      <c r="A13372" t="s">
        <v>13385</v>
      </c>
      <c r="B13372">
        <v>458</v>
      </c>
      <c r="C13372" s="1" t="str">
        <f>HYPERLINK("http://www.rosaceae.org/gb/gbrowse/malus_x_domestica/?name=MDP0000514027","MDP0000514027")</f>
        <v>MDP0000514027</v>
      </c>
      <c r="D13372">
        <v>56.53</v>
      </c>
      <c r="E13372">
        <v>306</v>
      </c>
      <c r="F13372">
        <v>133</v>
      </c>
      <c r="G13372">
        <v>1</v>
      </c>
      <c r="H13372">
        <v>24</v>
      </c>
      <c r="I13372">
        <v>329</v>
      </c>
      <c r="J13372">
        <v>1</v>
      </c>
      <c r="K13372">
        <v>23</v>
      </c>
      <c r="L13372">
        <v>327</v>
      </c>
      <c r="M13372">
        <v>1</v>
      </c>
      <c r="N13372">
        <v>1.0399200000000001E-95</v>
      </c>
      <c r="O13372">
        <v>891</v>
      </c>
    </row>
    <row r="13373" spans="1:15" x14ac:dyDescent="0.25">
      <c r="A13373" t="s">
        <v>13386</v>
      </c>
      <c r="B13373">
        <v>476</v>
      </c>
      <c r="C13373" s="1" t="str">
        <f>HYPERLINK("http://www.rosaceae.org/gb/gbrowse/malus_x_domestica/?name=MDP0000155354","MDP0000155354")</f>
        <v>MDP0000155354</v>
      </c>
      <c r="D13373">
        <v>58.81</v>
      </c>
      <c r="E13373">
        <v>471</v>
      </c>
      <c r="F13373">
        <v>194</v>
      </c>
      <c r="G13373">
        <v>7</v>
      </c>
      <c r="H13373">
        <v>3</v>
      </c>
      <c r="I13373">
        <v>469</v>
      </c>
      <c r="J13373">
        <v>1</v>
      </c>
      <c r="K13373">
        <v>1</v>
      </c>
      <c r="L13373">
        <v>468</v>
      </c>
      <c r="M13373">
        <v>1</v>
      </c>
      <c r="N13373">
        <v>3.9136299999999999E-157</v>
      </c>
      <c r="O13373">
        <v>1421</v>
      </c>
    </row>
    <row r="13374" spans="1:15" x14ac:dyDescent="0.25">
      <c r="A13374" t="s">
        <v>13387</v>
      </c>
      <c r="B13374">
        <v>309</v>
      </c>
      <c r="C13374" s="1" t="str">
        <f>HYPERLINK("http://www.rosaceae.org/gb/gbrowse/malus_x_domestica/?name=MDP0000906354","MDP0000906354")</f>
        <v>MDP0000906354</v>
      </c>
      <c r="D13374">
        <v>94.56</v>
      </c>
      <c r="E13374">
        <v>184</v>
      </c>
      <c r="F13374">
        <v>10</v>
      </c>
      <c r="G13374">
        <v>0</v>
      </c>
      <c r="H13374">
        <v>126</v>
      </c>
      <c r="I13374">
        <v>309</v>
      </c>
      <c r="J13374">
        <v>1</v>
      </c>
      <c r="K13374">
        <v>1</v>
      </c>
      <c r="L13374">
        <v>184</v>
      </c>
      <c r="M13374">
        <v>1</v>
      </c>
      <c r="N13374">
        <v>1.4489099999999999E-100</v>
      </c>
      <c r="O13374">
        <v>931</v>
      </c>
    </row>
    <row r="13375" spans="1:15" x14ac:dyDescent="0.25">
      <c r="A13375" t="s">
        <v>13388</v>
      </c>
      <c r="B13375">
        <v>865</v>
      </c>
      <c r="C13375" s="1" t="str">
        <f>HYPERLINK("http://www.rosaceae.org/gb/gbrowse/malus_x_domestica/?name=MDP0000299496","MDP0000299496")</f>
        <v>MDP0000299496</v>
      </c>
      <c r="D13375">
        <v>39.24</v>
      </c>
      <c r="E13375">
        <v>237</v>
      </c>
      <c r="F13375">
        <v>144</v>
      </c>
      <c r="G13375">
        <v>3</v>
      </c>
      <c r="H13375">
        <v>475</v>
      </c>
      <c r="I13375">
        <v>708</v>
      </c>
      <c r="J13375">
        <v>1</v>
      </c>
      <c r="K13375">
        <v>555</v>
      </c>
      <c r="L13375">
        <v>791</v>
      </c>
      <c r="M13375">
        <v>1</v>
      </c>
      <c r="N13375">
        <v>5.6056300000000001E-46</v>
      </c>
      <c r="O13375">
        <v>465</v>
      </c>
    </row>
    <row r="13376" spans="1:15" x14ac:dyDescent="0.25">
      <c r="A13376" t="s">
        <v>13389</v>
      </c>
      <c r="B13376">
        <v>663</v>
      </c>
      <c r="C13376" s="1" t="str">
        <f>HYPERLINK("http://www.rosaceae.org/gb/gbrowse/malus_x_domestica/?name=MDP0000254096","MDP0000254096")</f>
        <v>MDP0000254096</v>
      </c>
      <c r="D13376">
        <v>57.48</v>
      </c>
      <c r="E13376">
        <v>454</v>
      </c>
      <c r="F13376">
        <v>193</v>
      </c>
      <c r="G13376">
        <v>35</v>
      </c>
      <c r="H13376">
        <v>24</v>
      </c>
      <c r="I13376">
        <v>469</v>
      </c>
      <c r="J13376">
        <v>1</v>
      </c>
      <c r="K13376">
        <v>123</v>
      </c>
      <c r="L13376">
        <v>549</v>
      </c>
      <c r="M13376">
        <v>1</v>
      </c>
      <c r="N13376">
        <v>2.3809200000000001E-148</v>
      </c>
      <c r="O13376">
        <v>1347</v>
      </c>
    </row>
    <row r="13377" spans="1:15" x14ac:dyDescent="0.25">
      <c r="A13377" t="s">
        <v>13390</v>
      </c>
      <c r="B13377">
        <v>557</v>
      </c>
      <c r="C13377" s="1" t="str">
        <f>HYPERLINK("http://www.rosaceae.org/gb/gbrowse/malus_x_domestica/?name=MDP0000238908","MDP0000238908")</f>
        <v>MDP0000238908</v>
      </c>
      <c r="D13377">
        <v>36.57</v>
      </c>
      <c r="E13377">
        <v>175</v>
      </c>
      <c r="F13377">
        <v>111</v>
      </c>
      <c r="G13377">
        <v>22</v>
      </c>
      <c r="H13377">
        <v>59</v>
      </c>
      <c r="I13377">
        <v>217</v>
      </c>
      <c r="J13377">
        <v>1</v>
      </c>
      <c r="K13377">
        <v>423</v>
      </c>
      <c r="L13377">
        <v>591</v>
      </c>
      <c r="M13377">
        <v>1</v>
      </c>
      <c r="N13377">
        <v>3.7311700000000002E-15</v>
      </c>
      <c r="O13377">
        <v>198</v>
      </c>
    </row>
    <row r="13378" spans="1:15" x14ac:dyDescent="0.25">
      <c r="A13378" t="s">
        <v>13391</v>
      </c>
      <c r="B13378">
        <v>160</v>
      </c>
      <c r="C13378" s="1" t="str">
        <f>HYPERLINK("http://www.rosaceae.org/gb/gbrowse/malus_x_domestica/?name=MDP0000204586","MDP0000204586")</f>
        <v>MDP0000204586</v>
      </c>
      <c r="D13378">
        <v>52.51</v>
      </c>
      <c r="E13378">
        <v>179</v>
      </c>
      <c r="F13378">
        <v>85</v>
      </c>
      <c r="G13378">
        <v>42</v>
      </c>
      <c r="H13378">
        <v>5</v>
      </c>
      <c r="I13378">
        <v>144</v>
      </c>
      <c r="J13378">
        <v>1</v>
      </c>
      <c r="K13378">
        <v>2</v>
      </c>
      <c r="L13378">
        <v>177</v>
      </c>
      <c r="M13378">
        <v>1</v>
      </c>
      <c r="N13378">
        <v>9.9136799999999996E-36</v>
      </c>
      <c r="O13378">
        <v>368</v>
      </c>
    </row>
    <row r="13379" spans="1:15" x14ac:dyDescent="0.25">
      <c r="A13379" t="s">
        <v>13392</v>
      </c>
      <c r="B13379">
        <v>100</v>
      </c>
      <c r="C13379" s="1" t="str">
        <f>HYPERLINK("http://www.rosaceae.org/gb/gbrowse/malus_x_domestica/?name=MDP0000882156","MDP0000882156")</f>
        <v>MDP0000882156</v>
      </c>
      <c r="D13379">
        <v>39.229999999999997</v>
      </c>
      <c r="E13379">
        <v>130</v>
      </c>
      <c r="F13379">
        <v>79</v>
      </c>
      <c r="G13379">
        <v>38</v>
      </c>
      <c r="H13379">
        <v>1</v>
      </c>
      <c r="I13379">
        <v>100</v>
      </c>
      <c r="J13379">
        <v>1</v>
      </c>
      <c r="K13379">
        <v>1</v>
      </c>
      <c r="L13379">
        <v>122</v>
      </c>
      <c r="M13379">
        <v>1</v>
      </c>
      <c r="N13379">
        <v>7.6369599999999994E-15</v>
      </c>
      <c r="O13379">
        <v>185</v>
      </c>
    </row>
    <row r="13380" spans="1:15" x14ac:dyDescent="0.25">
      <c r="A13380" t="s">
        <v>13393</v>
      </c>
      <c r="B13380">
        <v>483</v>
      </c>
      <c r="C13380" s="1" t="str">
        <f>HYPERLINK("http://www.rosaceae.org/gb/gbrowse/malus_x_domestica/?name=MDP0000250536","MDP0000250536")</f>
        <v>MDP0000250536</v>
      </c>
      <c r="D13380">
        <v>33.909999999999997</v>
      </c>
      <c r="E13380">
        <v>345</v>
      </c>
      <c r="F13380">
        <v>228</v>
      </c>
      <c r="G13380">
        <v>52</v>
      </c>
      <c r="H13380">
        <v>12</v>
      </c>
      <c r="I13380">
        <v>332</v>
      </c>
      <c r="J13380">
        <v>1</v>
      </c>
      <c r="K13380">
        <v>21</v>
      </c>
      <c r="L13380">
        <v>337</v>
      </c>
      <c r="M13380">
        <v>1</v>
      </c>
      <c r="N13380">
        <v>1.47028E-30</v>
      </c>
      <c r="O13380">
        <v>330</v>
      </c>
    </row>
    <row r="13381" spans="1:15" x14ac:dyDescent="0.25">
      <c r="A13381" t="s">
        <v>13394</v>
      </c>
      <c r="B13381">
        <v>183</v>
      </c>
      <c r="C13381" s="1" t="str">
        <f>HYPERLINK("http://www.rosaceae.org/gb/gbrowse/malus_x_domestica/?name=MDP0000203521","MDP0000203521")</f>
        <v>MDP0000203521</v>
      </c>
      <c r="D13381">
        <v>48.46</v>
      </c>
      <c r="E13381">
        <v>163</v>
      </c>
      <c r="F13381">
        <v>84</v>
      </c>
      <c r="G13381">
        <v>17</v>
      </c>
      <c r="H13381">
        <v>22</v>
      </c>
      <c r="I13381">
        <v>183</v>
      </c>
      <c r="J13381">
        <v>1</v>
      </c>
      <c r="K13381">
        <v>20</v>
      </c>
      <c r="L13381">
        <v>166</v>
      </c>
      <c r="M13381">
        <v>1</v>
      </c>
      <c r="N13381">
        <v>7.9779199999999996E-28</v>
      </c>
      <c r="O13381">
        <v>301</v>
      </c>
    </row>
    <row r="13382" spans="1:15" x14ac:dyDescent="0.25">
      <c r="A13382" t="s">
        <v>13395</v>
      </c>
      <c r="B13382">
        <v>177</v>
      </c>
      <c r="C13382" s="1" t="str">
        <f>HYPERLINK("http://www.rosaceae.org/gb/gbrowse/malus_x_domestica/?name=MDP0000318809","MDP0000318809")</f>
        <v>MDP0000318809</v>
      </c>
      <c r="D13382">
        <v>73.959999999999994</v>
      </c>
      <c r="E13382">
        <v>169</v>
      </c>
      <c r="F13382">
        <v>44</v>
      </c>
      <c r="G13382">
        <v>3</v>
      </c>
      <c r="H13382">
        <v>7</v>
      </c>
      <c r="I13382">
        <v>175</v>
      </c>
      <c r="J13382">
        <v>1</v>
      </c>
      <c r="K13382">
        <v>10</v>
      </c>
      <c r="L13382">
        <v>175</v>
      </c>
      <c r="M13382">
        <v>1</v>
      </c>
      <c r="N13382">
        <v>1.7748999999999999E-70</v>
      </c>
      <c r="O13382">
        <v>668</v>
      </c>
    </row>
    <row r="13383" spans="1:15" x14ac:dyDescent="0.25">
      <c r="A13383" t="s">
        <v>13396</v>
      </c>
      <c r="B13383">
        <v>547</v>
      </c>
      <c r="C13383" s="1" t="str">
        <f>HYPERLINK("http://www.rosaceae.org/gb/gbrowse/malus_x_domestica/?name=MDP0000036030","MDP0000036030")</f>
        <v>MDP0000036030</v>
      </c>
      <c r="D13383">
        <v>85.35</v>
      </c>
      <c r="E13383">
        <v>553</v>
      </c>
      <c r="F13383">
        <v>81</v>
      </c>
      <c r="G13383">
        <v>9</v>
      </c>
      <c r="H13383">
        <v>1</v>
      </c>
      <c r="I13383">
        <v>544</v>
      </c>
      <c r="J13383">
        <v>1</v>
      </c>
      <c r="K13383">
        <v>1</v>
      </c>
      <c r="L13383">
        <v>553</v>
      </c>
      <c r="M13383">
        <v>1</v>
      </c>
      <c r="N13383">
        <v>0</v>
      </c>
      <c r="O13383">
        <v>2438</v>
      </c>
    </row>
    <row r="13384" spans="1:15" x14ac:dyDescent="0.25">
      <c r="A13384" t="s">
        <v>13397</v>
      </c>
      <c r="B13384">
        <v>643</v>
      </c>
      <c r="C13384" s="1" t="str">
        <f>HYPERLINK("http://www.rosaceae.org/gb/gbrowse/malus_x_domestica/?name=MDP0000257135","MDP0000257135")</f>
        <v>MDP0000257135</v>
      </c>
      <c r="D13384">
        <v>75.650000000000006</v>
      </c>
      <c r="E13384">
        <v>649</v>
      </c>
      <c r="F13384">
        <v>158</v>
      </c>
      <c r="G13384">
        <v>10</v>
      </c>
      <c r="H13384">
        <v>1</v>
      </c>
      <c r="I13384">
        <v>643</v>
      </c>
      <c r="J13384">
        <v>1</v>
      </c>
      <c r="K13384">
        <v>509</v>
      </c>
      <c r="L13384">
        <v>1153</v>
      </c>
      <c r="M13384">
        <v>1</v>
      </c>
      <c r="N13384">
        <v>0</v>
      </c>
      <c r="O13384">
        <v>2654</v>
      </c>
    </row>
    <row r="13385" spans="1:15" x14ac:dyDescent="0.25">
      <c r="A13385" t="s">
        <v>13398</v>
      </c>
      <c r="B13385">
        <v>455</v>
      </c>
      <c r="C13385" s="1" t="str">
        <f>HYPERLINK("http://www.rosaceae.org/gb/gbrowse/malus_x_domestica/?name=MDP0000123248","MDP0000123248")</f>
        <v>MDP0000123248</v>
      </c>
      <c r="D13385">
        <v>57</v>
      </c>
      <c r="E13385">
        <v>407</v>
      </c>
      <c r="F13385">
        <v>175</v>
      </c>
      <c r="G13385">
        <v>4</v>
      </c>
      <c r="H13385">
        <v>8</v>
      </c>
      <c r="I13385">
        <v>411</v>
      </c>
      <c r="J13385">
        <v>1</v>
      </c>
      <c r="K13385">
        <v>6</v>
      </c>
      <c r="L13385">
        <v>411</v>
      </c>
      <c r="M13385">
        <v>1</v>
      </c>
      <c r="N13385">
        <v>7.6016200000000004E-140</v>
      </c>
      <c r="O13385">
        <v>1272</v>
      </c>
    </row>
    <row r="13386" spans="1:15" x14ac:dyDescent="0.25">
      <c r="A13386" t="s">
        <v>13399</v>
      </c>
      <c r="B13386">
        <v>384</v>
      </c>
      <c r="C13386" s="1" t="str">
        <f>HYPERLINK("http://www.rosaceae.org/gb/gbrowse/malus_x_domestica/?name=MDP0000304352","MDP0000304352")</f>
        <v>MDP0000304352</v>
      </c>
      <c r="D13386">
        <v>57.14</v>
      </c>
      <c r="E13386">
        <v>385</v>
      </c>
      <c r="F13386">
        <v>165</v>
      </c>
      <c r="G13386">
        <v>20</v>
      </c>
      <c r="H13386">
        <v>1</v>
      </c>
      <c r="I13386">
        <v>369</v>
      </c>
      <c r="J13386">
        <v>1</v>
      </c>
      <c r="K13386">
        <v>474</v>
      </c>
      <c r="L13386">
        <v>854</v>
      </c>
      <c r="M13386">
        <v>1</v>
      </c>
      <c r="N13386">
        <v>1.3357400000000001E-106</v>
      </c>
      <c r="O13386">
        <v>985</v>
      </c>
    </row>
    <row r="13387" spans="1:15" x14ac:dyDescent="0.25">
      <c r="A13387" t="s">
        <v>13400</v>
      </c>
      <c r="B13387">
        <v>285</v>
      </c>
      <c r="C13387" s="1" t="str">
        <f>HYPERLINK("http://www.rosaceae.org/gb/gbrowse/malus_x_domestica/?name=MDP0000320017","MDP0000320017")</f>
        <v>MDP0000320017</v>
      </c>
      <c r="D13387">
        <v>78.52</v>
      </c>
      <c r="E13387">
        <v>284</v>
      </c>
      <c r="F13387">
        <v>61</v>
      </c>
      <c r="G13387">
        <v>2</v>
      </c>
      <c r="H13387">
        <v>1</v>
      </c>
      <c r="I13387">
        <v>284</v>
      </c>
      <c r="J13387">
        <v>1</v>
      </c>
      <c r="K13387">
        <v>1</v>
      </c>
      <c r="L13387">
        <v>282</v>
      </c>
      <c r="M13387">
        <v>1</v>
      </c>
      <c r="N13387">
        <v>1.4160099999999999E-129</v>
      </c>
      <c r="O13387">
        <v>1181</v>
      </c>
    </row>
    <row r="13388" spans="1:15" x14ac:dyDescent="0.25">
      <c r="A13388" t="s">
        <v>13401</v>
      </c>
      <c r="B13388">
        <v>465</v>
      </c>
      <c r="C13388" s="1" t="str">
        <f>HYPERLINK("http://www.rosaceae.org/gb/gbrowse/malus_x_domestica/?name=MDP0000543445","MDP0000543445")</f>
        <v>MDP0000543445</v>
      </c>
      <c r="D13388">
        <v>58.65</v>
      </c>
      <c r="E13388">
        <v>462</v>
      </c>
      <c r="F13388">
        <v>191</v>
      </c>
      <c r="G13388">
        <v>19</v>
      </c>
      <c r="H13388">
        <v>11</v>
      </c>
      <c r="I13388">
        <v>463</v>
      </c>
      <c r="J13388">
        <v>1</v>
      </c>
      <c r="K13388">
        <v>27</v>
      </c>
      <c r="L13388">
        <v>478</v>
      </c>
      <c r="M13388">
        <v>1</v>
      </c>
      <c r="N13388">
        <v>1.7663200000000001E-149</v>
      </c>
      <c r="O13388">
        <v>1355</v>
      </c>
    </row>
    <row r="13389" spans="1:15" x14ac:dyDescent="0.25">
      <c r="A13389" t="s">
        <v>13402</v>
      </c>
      <c r="B13389">
        <v>171</v>
      </c>
      <c r="C13389" s="1" t="str">
        <f>HYPERLINK("http://www.rosaceae.org/gb/gbrowse/malus_x_domestica/?name=MDP0000831937","MDP0000831937")</f>
        <v>MDP0000831937</v>
      </c>
      <c r="D13389">
        <v>58.75</v>
      </c>
      <c r="E13389">
        <v>80</v>
      </c>
      <c r="F13389">
        <v>33</v>
      </c>
      <c r="G13389">
        <v>4</v>
      </c>
      <c r="H13389">
        <v>1</v>
      </c>
      <c r="I13389">
        <v>77</v>
      </c>
      <c r="J13389">
        <v>1</v>
      </c>
      <c r="K13389">
        <v>406</v>
      </c>
      <c r="L13389">
        <v>484</v>
      </c>
      <c r="M13389">
        <v>1</v>
      </c>
      <c r="N13389">
        <v>3.0412200000000002E-17</v>
      </c>
      <c r="O13389">
        <v>209</v>
      </c>
    </row>
    <row r="13390" spans="1:15" x14ac:dyDescent="0.25">
      <c r="A13390" t="s">
        <v>13403</v>
      </c>
      <c r="B13390">
        <v>324</v>
      </c>
      <c r="C13390" s="1" t="str">
        <f>HYPERLINK("http://www.rosaceae.org/gb/gbrowse/malus_x_domestica/?name=MDP0000143894","MDP0000143894")</f>
        <v>MDP0000143894</v>
      </c>
      <c r="D13390">
        <v>65.849999999999994</v>
      </c>
      <c r="E13390">
        <v>328</v>
      </c>
      <c r="F13390">
        <v>112</v>
      </c>
      <c r="G13390">
        <v>27</v>
      </c>
      <c r="H13390">
        <v>1</v>
      </c>
      <c r="I13390">
        <v>322</v>
      </c>
      <c r="J13390">
        <v>1</v>
      </c>
      <c r="K13390">
        <v>1</v>
      </c>
      <c r="L13390">
        <v>307</v>
      </c>
      <c r="M13390">
        <v>1</v>
      </c>
      <c r="N13390">
        <v>3.3590099999999999E-119</v>
      </c>
      <c r="O13390">
        <v>1092</v>
      </c>
    </row>
    <row r="13391" spans="1:15" x14ac:dyDescent="0.25">
      <c r="A13391" t="s">
        <v>13404</v>
      </c>
      <c r="B13391">
        <v>113</v>
      </c>
      <c r="C13391" s="1" t="str">
        <f>HYPERLINK("http://www.rosaceae.org/gb/gbrowse/malus_x_domestica/?name=MDP0000295653","MDP0000295653")</f>
        <v>MDP0000295653</v>
      </c>
      <c r="D13391">
        <v>78.760000000000005</v>
      </c>
      <c r="E13391">
        <v>113</v>
      </c>
      <c r="F13391">
        <v>24</v>
      </c>
      <c r="G13391">
        <v>1</v>
      </c>
      <c r="H13391">
        <v>1</v>
      </c>
      <c r="I13391">
        <v>113</v>
      </c>
      <c r="J13391">
        <v>1</v>
      </c>
      <c r="K13391">
        <v>1</v>
      </c>
      <c r="L13391">
        <v>112</v>
      </c>
      <c r="M13391">
        <v>1</v>
      </c>
      <c r="N13391">
        <v>4.2193900000000002E-46</v>
      </c>
      <c r="O13391">
        <v>455</v>
      </c>
    </row>
    <row r="13392" spans="1:15" x14ac:dyDescent="0.25">
      <c r="A13392" t="s">
        <v>13405</v>
      </c>
      <c r="B13392">
        <v>487</v>
      </c>
      <c r="C13392" s="1" t="str">
        <f>HYPERLINK("http://www.rosaceae.org/gb/gbrowse/malus_x_domestica/?name=MDP0000288533","MDP0000288533")</f>
        <v>MDP0000288533</v>
      </c>
      <c r="D13392">
        <v>70.45</v>
      </c>
      <c r="E13392">
        <v>511</v>
      </c>
      <c r="F13392">
        <v>151</v>
      </c>
      <c r="G13392">
        <v>35</v>
      </c>
      <c r="H13392">
        <v>1</v>
      </c>
      <c r="I13392">
        <v>478</v>
      </c>
      <c r="J13392">
        <v>1</v>
      </c>
      <c r="K13392">
        <v>1</v>
      </c>
      <c r="L13392">
        <v>509</v>
      </c>
      <c r="M13392">
        <v>1</v>
      </c>
      <c r="N13392">
        <v>0</v>
      </c>
      <c r="O13392">
        <v>1807</v>
      </c>
    </row>
    <row r="13393" spans="1:15" x14ac:dyDescent="0.25">
      <c r="A13393" t="s">
        <v>13406</v>
      </c>
      <c r="B13393">
        <v>596</v>
      </c>
      <c r="C13393" s="1" t="str">
        <f>HYPERLINK("http://www.rosaceae.org/gb/gbrowse/malus_x_domestica/?name=MDP0000383043","MDP0000383043")</f>
        <v>MDP0000383043</v>
      </c>
      <c r="D13393">
        <v>65.34</v>
      </c>
      <c r="E13393">
        <v>430</v>
      </c>
      <c r="F13393">
        <v>149</v>
      </c>
      <c r="G13393">
        <v>63</v>
      </c>
      <c r="H13393">
        <v>37</v>
      </c>
      <c r="I13393">
        <v>466</v>
      </c>
      <c r="J13393">
        <v>1</v>
      </c>
      <c r="K13393">
        <v>55</v>
      </c>
      <c r="L13393">
        <v>421</v>
      </c>
      <c r="M13393">
        <v>1</v>
      </c>
      <c r="N13393">
        <v>8.3915900000000005E-155</v>
      </c>
      <c r="O13393">
        <v>1402</v>
      </c>
    </row>
    <row r="13394" spans="1:15" x14ac:dyDescent="0.25">
      <c r="A13394" t="s">
        <v>13407</v>
      </c>
      <c r="B13394">
        <v>527</v>
      </c>
      <c r="C13394" s="1" t="str">
        <f>HYPERLINK("http://www.rosaceae.org/gb/gbrowse/malus_x_domestica/?name=MDP0000165931","MDP0000165931")</f>
        <v>MDP0000165931</v>
      </c>
      <c r="D13394">
        <v>55.94</v>
      </c>
      <c r="E13394">
        <v>572</v>
      </c>
      <c r="F13394">
        <v>252</v>
      </c>
      <c r="G13394">
        <v>63</v>
      </c>
      <c r="H13394">
        <v>2</v>
      </c>
      <c r="I13394">
        <v>527</v>
      </c>
      <c r="J13394">
        <v>1</v>
      </c>
      <c r="K13394">
        <v>4</v>
      </c>
      <c r="L13394">
        <v>558</v>
      </c>
      <c r="M13394">
        <v>1</v>
      </c>
      <c r="N13394">
        <v>5.1892300000000001E-156</v>
      </c>
      <c r="O13394">
        <v>1412</v>
      </c>
    </row>
    <row r="13395" spans="1:15" x14ac:dyDescent="0.25">
      <c r="A13395" t="s">
        <v>13408</v>
      </c>
      <c r="B13395">
        <v>610</v>
      </c>
      <c r="C13395" s="1" t="str">
        <f>HYPERLINK("http://www.rosaceae.org/gb/gbrowse/malus_x_domestica/?name=MDP0000763615","MDP0000763615")</f>
        <v>MDP0000763615</v>
      </c>
      <c r="D13395">
        <v>85.61</v>
      </c>
      <c r="E13395">
        <v>299</v>
      </c>
      <c r="F13395">
        <v>43</v>
      </c>
      <c r="G13395">
        <v>5</v>
      </c>
      <c r="H13395">
        <v>317</v>
      </c>
      <c r="I13395">
        <v>610</v>
      </c>
      <c r="J13395">
        <v>1</v>
      </c>
      <c r="K13395">
        <v>256</v>
      </c>
      <c r="L13395">
        <v>554</v>
      </c>
      <c r="M13395">
        <v>1</v>
      </c>
      <c r="N13395">
        <v>7.8103300000000006E-155</v>
      </c>
      <c r="O13395">
        <v>1403</v>
      </c>
    </row>
    <row r="13396" spans="1:15" x14ac:dyDescent="0.25">
      <c r="A13396" t="s">
        <v>13409</v>
      </c>
      <c r="B13396">
        <v>853</v>
      </c>
      <c r="C13396" s="1" t="str">
        <f>HYPERLINK("http://www.rosaceae.org/gb/gbrowse/malus_x_domestica/?name=MDP0000168587","MDP0000168587")</f>
        <v>MDP0000168587</v>
      </c>
      <c r="D13396">
        <v>66.55</v>
      </c>
      <c r="E13396">
        <v>900</v>
      </c>
      <c r="F13396">
        <v>301</v>
      </c>
      <c r="G13396">
        <v>66</v>
      </c>
      <c r="H13396">
        <v>1</v>
      </c>
      <c r="I13396">
        <v>853</v>
      </c>
      <c r="J13396">
        <v>1</v>
      </c>
      <c r="K13396">
        <v>1</v>
      </c>
      <c r="L13396">
        <v>881</v>
      </c>
      <c r="M13396">
        <v>1</v>
      </c>
      <c r="N13396">
        <v>0</v>
      </c>
      <c r="O13396">
        <v>2855</v>
      </c>
    </row>
    <row r="13397" spans="1:15" x14ac:dyDescent="0.25">
      <c r="A13397" t="s">
        <v>13410</v>
      </c>
      <c r="B13397">
        <v>194</v>
      </c>
      <c r="C13397" s="1" t="str">
        <f>HYPERLINK("http://www.rosaceae.org/gb/gbrowse/malus_x_domestica/?name=MDP0000334757","MDP0000334757")</f>
        <v>MDP0000334757</v>
      </c>
      <c r="D13397">
        <v>46.48</v>
      </c>
      <c r="E13397">
        <v>185</v>
      </c>
      <c r="F13397">
        <v>99</v>
      </c>
      <c r="G13397">
        <v>24</v>
      </c>
      <c r="H13397">
        <v>8</v>
      </c>
      <c r="I13397">
        <v>169</v>
      </c>
      <c r="J13397">
        <v>1</v>
      </c>
      <c r="K13397">
        <v>5</v>
      </c>
      <c r="L13397">
        <v>188</v>
      </c>
      <c r="M13397">
        <v>1</v>
      </c>
      <c r="N13397">
        <v>1.8894000000000001E-39</v>
      </c>
      <c r="O13397">
        <v>402</v>
      </c>
    </row>
    <row r="13398" spans="1:15" x14ac:dyDescent="0.25">
      <c r="A13398" t="s">
        <v>13411</v>
      </c>
      <c r="B13398">
        <v>259</v>
      </c>
      <c r="C13398" s="1" t="str">
        <f>HYPERLINK("http://www.rosaceae.org/gb/gbrowse/malus_x_domestica/?name=MDP0000162652","MDP0000162652")</f>
        <v>MDP0000162652</v>
      </c>
      <c r="D13398">
        <v>59.78</v>
      </c>
      <c r="E13398">
        <v>184</v>
      </c>
      <c r="F13398">
        <v>74</v>
      </c>
      <c r="G13398">
        <v>32</v>
      </c>
      <c r="H13398">
        <v>76</v>
      </c>
      <c r="I13398">
        <v>259</v>
      </c>
      <c r="J13398">
        <v>1</v>
      </c>
      <c r="K13398">
        <v>25</v>
      </c>
      <c r="L13398">
        <v>176</v>
      </c>
      <c r="M13398">
        <v>1</v>
      </c>
      <c r="N13398">
        <v>1.6510900000000001E-55</v>
      </c>
      <c r="O13398">
        <v>542</v>
      </c>
    </row>
    <row r="13399" spans="1:15" x14ac:dyDescent="0.25">
      <c r="A13399" t="s">
        <v>13412</v>
      </c>
      <c r="B13399">
        <v>448</v>
      </c>
      <c r="C13399" s="1" t="str">
        <f>HYPERLINK("http://www.rosaceae.org/gb/gbrowse/malus_x_domestica/?name=MDP0000178517","MDP0000178517")</f>
        <v>MDP0000178517</v>
      </c>
      <c r="D13399">
        <v>83.4</v>
      </c>
      <c r="E13399">
        <v>452</v>
      </c>
      <c r="F13399">
        <v>75</v>
      </c>
      <c r="G13399">
        <v>12</v>
      </c>
      <c r="H13399">
        <v>1</v>
      </c>
      <c r="I13399">
        <v>448</v>
      </c>
      <c r="J13399">
        <v>1</v>
      </c>
      <c r="K13399">
        <v>101</v>
      </c>
      <c r="L13399">
        <v>544</v>
      </c>
      <c r="M13399">
        <v>1</v>
      </c>
      <c r="N13399">
        <v>0</v>
      </c>
      <c r="O13399">
        <v>1949</v>
      </c>
    </row>
    <row r="13400" spans="1:15" x14ac:dyDescent="0.25">
      <c r="A13400" t="s">
        <v>13413</v>
      </c>
      <c r="B13400">
        <v>363</v>
      </c>
      <c r="C13400" s="1" t="str">
        <f>HYPERLINK("http://www.rosaceae.org/gb/gbrowse/malus_x_domestica/?name=MDP0000296512","MDP0000296512")</f>
        <v>MDP0000296512</v>
      </c>
      <c r="D13400">
        <v>76.55</v>
      </c>
      <c r="E13400">
        <v>337</v>
      </c>
      <c r="F13400">
        <v>79</v>
      </c>
      <c r="G13400">
        <v>3</v>
      </c>
      <c r="H13400">
        <v>24</v>
      </c>
      <c r="I13400">
        <v>358</v>
      </c>
      <c r="J13400">
        <v>1</v>
      </c>
      <c r="K13400">
        <v>26</v>
      </c>
      <c r="L13400">
        <v>361</v>
      </c>
      <c r="M13400">
        <v>1</v>
      </c>
      <c r="N13400">
        <v>6.1454699999999999E-155</v>
      </c>
      <c r="O13400">
        <v>1401</v>
      </c>
    </row>
    <row r="13401" spans="1:15" x14ac:dyDescent="0.25">
      <c r="A13401" t="s">
        <v>13414</v>
      </c>
      <c r="B13401">
        <v>331</v>
      </c>
      <c r="C13401" s="1" t="str">
        <f>HYPERLINK("http://www.rosaceae.org/gb/gbrowse/malus_x_domestica/?name=MDP0000239885","MDP0000239885")</f>
        <v>MDP0000239885</v>
      </c>
      <c r="D13401">
        <v>68.69</v>
      </c>
      <c r="E13401">
        <v>329</v>
      </c>
      <c r="F13401">
        <v>103</v>
      </c>
      <c r="G13401">
        <v>1</v>
      </c>
      <c r="H13401">
        <v>1</v>
      </c>
      <c r="I13401">
        <v>329</v>
      </c>
      <c r="J13401">
        <v>1</v>
      </c>
      <c r="K13401">
        <v>1</v>
      </c>
      <c r="L13401">
        <v>328</v>
      </c>
      <c r="M13401">
        <v>1</v>
      </c>
      <c r="N13401">
        <v>6.2027999999999995E-126</v>
      </c>
      <c r="O13401">
        <v>1151</v>
      </c>
    </row>
    <row r="13402" spans="1:15" x14ac:dyDescent="0.25">
      <c r="A13402" t="s">
        <v>13415</v>
      </c>
      <c r="B13402">
        <v>1147</v>
      </c>
      <c r="C13402" s="1" t="str">
        <f>HYPERLINK("http://www.rosaceae.org/gb/gbrowse/malus_x_domestica/?name=MDP0000686778","MDP0000686778")</f>
        <v>MDP0000686778</v>
      </c>
      <c r="D13402">
        <v>91.66</v>
      </c>
      <c r="E13402">
        <v>384</v>
      </c>
      <c r="F13402">
        <v>32</v>
      </c>
      <c r="G13402">
        <v>2</v>
      </c>
      <c r="H13402">
        <v>590</v>
      </c>
      <c r="I13402">
        <v>971</v>
      </c>
      <c r="J13402">
        <v>1</v>
      </c>
      <c r="K13402">
        <v>125</v>
      </c>
      <c r="L13402">
        <v>508</v>
      </c>
      <c r="M13402">
        <v>1</v>
      </c>
      <c r="N13402">
        <v>0</v>
      </c>
      <c r="O13402">
        <v>1909</v>
      </c>
    </row>
    <row r="13403" spans="1:15" x14ac:dyDescent="0.25">
      <c r="A13403" t="s">
        <v>13416</v>
      </c>
      <c r="B13403">
        <v>345</v>
      </c>
      <c r="C13403" s="1" t="str">
        <f>HYPERLINK("http://www.rosaceae.org/gb/gbrowse/malus_x_domestica/?name=MDP0000523205","MDP0000523205")</f>
        <v>MDP0000523205</v>
      </c>
      <c r="D13403">
        <v>66.08</v>
      </c>
      <c r="E13403">
        <v>345</v>
      </c>
      <c r="F13403">
        <v>117</v>
      </c>
      <c r="G13403">
        <v>2</v>
      </c>
      <c r="H13403">
        <v>1</v>
      </c>
      <c r="I13403">
        <v>344</v>
      </c>
      <c r="J13403">
        <v>1</v>
      </c>
      <c r="K13403">
        <v>1</v>
      </c>
      <c r="L13403">
        <v>344</v>
      </c>
      <c r="M13403">
        <v>1</v>
      </c>
      <c r="N13403">
        <v>3.2261200000000002E-141</v>
      </c>
      <c r="O13403">
        <v>1283</v>
      </c>
    </row>
    <row r="13404" spans="1:15" x14ac:dyDescent="0.25">
      <c r="A13404" t="s">
        <v>13417</v>
      </c>
      <c r="B13404">
        <v>479</v>
      </c>
      <c r="C13404" s="1" t="str">
        <f>HYPERLINK("http://www.rosaceae.org/gb/gbrowse/malus_x_domestica/?name=MDP0000875654","MDP0000875654")</f>
        <v>MDP0000875654</v>
      </c>
      <c r="D13404">
        <v>55.17</v>
      </c>
      <c r="E13404">
        <v>473</v>
      </c>
      <c r="F13404">
        <v>212</v>
      </c>
      <c r="G13404">
        <v>6</v>
      </c>
      <c r="H13404">
        <v>9</v>
      </c>
      <c r="I13404">
        <v>479</v>
      </c>
      <c r="J13404">
        <v>1</v>
      </c>
      <c r="K13404">
        <v>4</v>
      </c>
      <c r="L13404">
        <v>472</v>
      </c>
      <c r="M13404">
        <v>1</v>
      </c>
      <c r="N13404">
        <v>1.94578E-149</v>
      </c>
      <c r="O13404">
        <v>1355</v>
      </c>
    </row>
    <row r="13405" spans="1:15" x14ac:dyDescent="0.25">
      <c r="A13405" t="s">
        <v>13418</v>
      </c>
      <c r="B13405">
        <v>782</v>
      </c>
      <c r="C13405" s="1" t="str">
        <f>HYPERLINK("http://www.rosaceae.org/gb/gbrowse/malus_x_domestica/?name=MDP0000819495","MDP0000819495")</f>
        <v>MDP0000819495</v>
      </c>
      <c r="D13405">
        <v>61.83</v>
      </c>
      <c r="E13405">
        <v>731</v>
      </c>
      <c r="F13405">
        <v>279</v>
      </c>
      <c r="G13405">
        <v>30</v>
      </c>
      <c r="H13405">
        <v>55</v>
      </c>
      <c r="I13405">
        <v>782</v>
      </c>
      <c r="J13405">
        <v>1</v>
      </c>
      <c r="K13405">
        <v>10</v>
      </c>
      <c r="L13405">
        <v>713</v>
      </c>
      <c r="M13405">
        <v>1</v>
      </c>
      <c r="N13405">
        <v>0</v>
      </c>
      <c r="O13405">
        <v>2392</v>
      </c>
    </row>
    <row r="13406" spans="1:15" x14ac:dyDescent="0.25">
      <c r="A13406" t="s">
        <v>13419</v>
      </c>
      <c r="B13406">
        <v>331</v>
      </c>
      <c r="C13406" s="1" t="str">
        <f>HYPERLINK("http://www.rosaceae.org/gb/gbrowse/malus_x_domestica/?name=MDP0000231217","MDP0000231217")</f>
        <v>MDP0000231217</v>
      </c>
      <c r="D13406">
        <v>57.05</v>
      </c>
      <c r="E13406">
        <v>156</v>
      </c>
      <c r="F13406">
        <v>67</v>
      </c>
      <c r="G13406">
        <v>24</v>
      </c>
      <c r="H13406">
        <v>152</v>
      </c>
      <c r="I13406">
        <v>283</v>
      </c>
      <c r="J13406">
        <v>1</v>
      </c>
      <c r="K13406">
        <v>86</v>
      </c>
      <c r="L13406">
        <v>241</v>
      </c>
      <c r="M13406">
        <v>1</v>
      </c>
      <c r="N13406">
        <v>1.6710999999999999E-45</v>
      </c>
      <c r="O13406">
        <v>457</v>
      </c>
    </row>
    <row r="13407" spans="1:15" x14ac:dyDescent="0.25">
      <c r="A13407" t="s">
        <v>13420</v>
      </c>
      <c r="B13407">
        <v>1016</v>
      </c>
      <c r="C13407" s="1" t="str">
        <f>HYPERLINK("http://www.rosaceae.org/gb/gbrowse/malus_x_domestica/?name=MDP0000846195","MDP0000846195")</f>
        <v>MDP0000846195</v>
      </c>
      <c r="D13407">
        <v>33.1</v>
      </c>
      <c r="E13407">
        <v>1033</v>
      </c>
      <c r="F13407">
        <v>691</v>
      </c>
      <c r="G13407">
        <v>126</v>
      </c>
      <c r="H13407">
        <v>49</v>
      </c>
      <c r="I13407">
        <v>978</v>
      </c>
      <c r="J13407">
        <v>1</v>
      </c>
      <c r="K13407">
        <v>1</v>
      </c>
      <c r="L13407">
        <v>1010</v>
      </c>
      <c r="M13407">
        <v>1</v>
      </c>
      <c r="N13407">
        <v>1.6428800000000001E-144</v>
      </c>
      <c r="O13407">
        <v>1316</v>
      </c>
    </row>
    <row r="13408" spans="1:15" x14ac:dyDescent="0.25">
      <c r="A13408" t="s">
        <v>13421</v>
      </c>
      <c r="B13408">
        <v>1726</v>
      </c>
      <c r="C13408" s="1" t="str">
        <f>HYPERLINK("http://www.rosaceae.org/gb/gbrowse/malus_x_domestica/?name=MDP0000192721","MDP0000192721")</f>
        <v>MDP0000192721</v>
      </c>
      <c r="D13408">
        <v>72.38</v>
      </c>
      <c r="E13408">
        <v>862</v>
      </c>
      <c r="F13408">
        <v>238</v>
      </c>
      <c r="G13408">
        <v>44</v>
      </c>
      <c r="H13408">
        <v>867</v>
      </c>
      <c r="I13408">
        <v>1726</v>
      </c>
      <c r="J13408">
        <v>1</v>
      </c>
      <c r="K13408">
        <v>33</v>
      </c>
      <c r="L13408">
        <v>852</v>
      </c>
      <c r="M13408">
        <v>1</v>
      </c>
      <c r="N13408">
        <v>0</v>
      </c>
      <c r="O13408">
        <v>3336</v>
      </c>
    </row>
    <row r="13409" spans="1:15" x14ac:dyDescent="0.25">
      <c r="A13409" t="s">
        <v>13422</v>
      </c>
      <c r="B13409">
        <v>164</v>
      </c>
      <c r="C13409" s="1" t="str">
        <f>HYPERLINK("http://www.rosaceae.org/gb/gbrowse/malus_x_domestica/?name=MDP0000296620","MDP0000296620")</f>
        <v>MDP0000296620</v>
      </c>
      <c r="D13409">
        <v>35.159999999999997</v>
      </c>
      <c r="E13409">
        <v>91</v>
      </c>
      <c r="F13409">
        <v>59</v>
      </c>
      <c r="G13409">
        <v>1</v>
      </c>
      <c r="H13409">
        <v>70</v>
      </c>
      <c r="I13409">
        <v>159</v>
      </c>
      <c r="J13409">
        <v>1</v>
      </c>
      <c r="K13409">
        <v>467</v>
      </c>
      <c r="L13409">
        <v>557</v>
      </c>
      <c r="M13409">
        <v>1</v>
      </c>
      <c r="N13409">
        <v>5.3381699999999997E-12</v>
      </c>
      <c r="O13409">
        <v>164</v>
      </c>
    </row>
    <row r="13410" spans="1:15" x14ac:dyDescent="0.25">
      <c r="A13410" t="s">
        <v>13423</v>
      </c>
      <c r="B13410">
        <v>1086</v>
      </c>
      <c r="C13410" s="1" t="str">
        <f>HYPERLINK("http://www.rosaceae.org/gb/gbrowse/malus_x_domestica/?name=MDP0000317970","MDP0000317970")</f>
        <v>MDP0000317970</v>
      </c>
      <c r="D13410">
        <v>53.16</v>
      </c>
      <c r="E13410">
        <v>1074</v>
      </c>
      <c r="F13410">
        <v>503</v>
      </c>
      <c r="G13410">
        <v>100</v>
      </c>
      <c r="H13410">
        <v>30</v>
      </c>
      <c r="I13410">
        <v>1085</v>
      </c>
      <c r="J13410">
        <v>1</v>
      </c>
      <c r="K13410">
        <v>35</v>
      </c>
      <c r="L13410">
        <v>1026</v>
      </c>
      <c r="M13410">
        <v>1</v>
      </c>
      <c r="N13410">
        <v>0</v>
      </c>
      <c r="O13410">
        <v>2678</v>
      </c>
    </row>
    <row r="13411" spans="1:15" x14ac:dyDescent="0.25">
      <c r="A13411" t="s">
        <v>13424</v>
      </c>
      <c r="B13411">
        <v>84</v>
      </c>
      <c r="C13411" s="1" t="str">
        <f>HYPERLINK("http://www.rosaceae.org/gb/gbrowse/malus_x_domestica/?name=MDP0000207215","MDP0000207215")</f>
        <v>MDP0000207215</v>
      </c>
      <c r="D13411">
        <v>74.64</v>
      </c>
      <c r="E13411">
        <v>71</v>
      </c>
      <c r="F13411">
        <v>18</v>
      </c>
      <c r="G13411">
        <v>0</v>
      </c>
      <c r="H13411">
        <v>1</v>
      </c>
      <c r="I13411">
        <v>71</v>
      </c>
      <c r="J13411">
        <v>1</v>
      </c>
      <c r="K13411">
        <v>474</v>
      </c>
      <c r="L13411">
        <v>544</v>
      </c>
      <c r="M13411">
        <v>1</v>
      </c>
      <c r="N13411">
        <v>1.1590099999999999E-26</v>
      </c>
      <c r="O13411">
        <v>287</v>
      </c>
    </row>
    <row r="13412" spans="1:15" x14ac:dyDescent="0.25">
      <c r="A13412" t="s">
        <v>13425</v>
      </c>
      <c r="B13412">
        <v>93</v>
      </c>
      <c r="C13412" s="1" t="str">
        <f>HYPERLINK("http://www.rosaceae.org/gb/gbrowse/malus_x_domestica/?name=MDP0000239596","MDP0000239596")</f>
        <v>MDP0000239596</v>
      </c>
      <c r="D13412">
        <v>97.61</v>
      </c>
      <c r="E13412">
        <v>84</v>
      </c>
      <c r="F13412">
        <v>2</v>
      </c>
      <c r="G13412">
        <v>0</v>
      </c>
      <c r="H13412">
        <v>1</v>
      </c>
      <c r="I13412">
        <v>84</v>
      </c>
      <c r="J13412">
        <v>1</v>
      </c>
      <c r="K13412">
        <v>56</v>
      </c>
      <c r="L13412">
        <v>139</v>
      </c>
      <c r="M13412">
        <v>1</v>
      </c>
      <c r="N13412">
        <v>3.1372400000000002E-45</v>
      </c>
      <c r="O13412">
        <v>447</v>
      </c>
    </row>
    <row r="13413" spans="1:15" x14ac:dyDescent="0.25">
      <c r="A13413" t="s">
        <v>13426</v>
      </c>
      <c r="B13413">
        <v>530</v>
      </c>
      <c r="C13413" s="1" t="str">
        <f>HYPERLINK("http://www.rosaceae.org/gb/gbrowse/malus_x_domestica/?name=MDP0000210506","MDP0000210506")</f>
        <v>MDP0000210506</v>
      </c>
      <c r="D13413">
        <v>70.89</v>
      </c>
      <c r="E13413">
        <v>512</v>
      </c>
      <c r="F13413">
        <v>149</v>
      </c>
      <c r="G13413">
        <v>34</v>
      </c>
      <c r="H13413">
        <v>20</v>
      </c>
      <c r="I13413">
        <v>530</v>
      </c>
      <c r="J13413">
        <v>1</v>
      </c>
      <c r="K13413">
        <v>20</v>
      </c>
      <c r="L13413">
        <v>498</v>
      </c>
      <c r="M13413">
        <v>1</v>
      </c>
      <c r="N13413">
        <v>0</v>
      </c>
      <c r="O13413">
        <v>1755</v>
      </c>
    </row>
    <row r="13414" spans="1:15" x14ac:dyDescent="0.25">
      <c r="A13414" t="s">
        <v>13427</v>
      </c>
      <c r="B13414">
        <v>487</v>
      </c>
      <c r="C13414" s="1" t="str">
        <f>HYPERLINK("http://www.rosaceae.org/gb/gbrowse/malus_x_domestica/?name=MDP0000250720","MDP0000250720")</f>
        <v>MDP0000250720</v>
      </c>
      <c r="D13414">
        <v>73.8</v>
      </c>
      <c r="E13414">
        <v>271</v>
      </c>
      <c r="F13414">
        <v>71</v>
      </c>
      <c r="G13414">
        <v>19</v>
      </c>
      <c r="H13414">
        <v>42</v>
      </c>
      <c r="I13414">
        <v>304</v>
      </c>
      <c r="J13414">
        <v>1</v>
      </c>
      <c r="K13414">
        <v>45</v>
      </c>
      <c r="L13414">
        <v>304</v>
      </c>
      <c r="M13414">
        <v>1</v>
      </c>
      <c r="N13414">
        <v>2.49796E-109</v>
      </c>
      <c r="O13414">
        <v>1009</v>
      </c>
    </row>
    <row r="13415" spans="1:15" x14ac:dyDescent="0.25">
      <c r="A13415" t="s">
        <v>13428</v>
      </c>
      <c r="B13415">
        <v>972</v>
      </c>
      <c r="C13415" s="1" t="str">
        <f>HYPERLINK("http://www.rosaceae.org/gb/gbrowse/malus_x_domestica/?name=MDP0000447975","MDP0000447975")</f>
        <v>MDP0000447975</v>
      </c>
      <c r="D13415">
        <v>50.6</v>
      </c>
      <c r="E13415">
        <v>998</v>
      </c>
      <c r="F13415">
        <v>493</v>
      </c>
      <c r="G13415">
        <v>92</v>
      </c>
      <c r="H13415">
        <v>1</v>
      </c>
      <c r="I13415">
        <v>972</v>
      </c>
      <c r="J13415">
        <v>1</v>
      </c>
      <c r="K13415">
        <v>18</v>
      </c>
      <c r="L13415">
        <v>949</v>
      </c>
      <c r="M13415">
        <v>1</v>
      </c>
      <c r="N13415">
        <v>0</v>
      </c>
      <c r="O13415">
        <v>2226</v>
      </c>
    </row>
    <row r="13416" spans="1:15" x14ac:dyDescent="0.25">
      <c r="A13416" t="s">
        <v>13429</v>
      </c>
      <c r="B13416">
        <v>318</v>
      </c>
      <c r="C13416" s="1" t="str">
        <f>HYPERLINK("http://www.rosaceae.org/gb/gbrowse/malus_x_domestica/?name=MDP0000210968","MDP0000210968")</f>
        <v>MDP0000210968</v>
      </c>
      <c r="D13416">
        <v>37.53</v>
      </c>
      <c r="E13416">
        <v>341</v>
      </c>
      <c r="F13416">
        <v>213</v>
      </c>
      <c r="G13416">
        <v>65</v>
      </c>
      <c r="H13416">
        <v>18</v>
      </c>
      <c r="I13416">
        <v>310</v>
      </c>
      <c r="J13416">
        <v>1</v>
      </c>
      <c r="K13416">
        <v>42</v>
      </c>
      <c r="L13416">
        <v>365</v>
      </c>
      <c r="M13416">
        <v>1</v>
      </c>
      <c r="N13416">
        <v>8.5165700000000001E-38</v>
      </c>
      <c r="O13416">
        <v>390</v>
      </c>
    </row>
    <row r="13417" spans="1:15" x14ac:dyDescent="0.25">
      <c r="A13417" t="s">
        <v>13430</v>
      </c>
      <c r="B13417">
        <v>570</v>
      </c>
      <c r="C13417" s="1" t="str">
        <f>HYPERLINK("http://www.rosaceae.org/gb/gbrowse/malus_x_domestica/?name=MDP0000193842","MDP0000193842")</f>
        <v>MDP0000193842</v>
      </c>
      <c r="D13417">
        <v>60</v>
      </c>
      <c r="E13417">
        <v>570</v>
      </c>
      <c r="F13417">
        <v>228</v>
      </c>
      <c r="G13417">
        <v>11</v>
      </c>
      <c r="H13417">
        <v>5</v>
      </c>
      <c r="I13417">
        <v>568</v>
      </c>
      <c r="J13417">
        <v>1</v>
      </c>
      <c r="K13417">
        <v>60</v>
      </c>
      <c r="L13417">
        <v>624</v>
      </c>
      <c r="M13417">
        <v>1</v>
      </c>
      <c r="N13417">
        <v>0</v>
      </c>
      <c r="O13417">
        <v>1759</v>
      </c>
    </row>
    <row r="13418" spans="1:15" x14ac:dyDescent="0.25">
      <c r="A13418" t="s">
        <v>13431</v>
      </c>
      <c r="B13418">
        <v>474</v>
      </c>
      <c r="C13418" s="1" t="str">
        <f>HYPERLINK("http://www.rosaceae.org/gb/gbrowse/malus_x_domestica/?name=MDP0000869086","MDP0000869086")</f>
        <v>MDP0000869086</v>
      </c>
      <c r="D13418">
        <v>78.3</v>
      </c>
      <c r="E13418">
        <v>461</v>
      </c>
      <c r="F13418">
        <v>100</v>
      </c>
      <c r="G13418">
        <v>13</v>
      </c>
      <c r="H13418">
        <v>6</v>
      </c>
      <c r="I13418">
        <v>464</v>
      </c>
      <c r="J13418">
        <v>1</v>
      </c>
      <c r="K13418">
        <v>2</v>
      </c>
      <c r="L13418">
        <v>451</v>
      </c>
      <c r="M13418">
        <v>1</v>
      </c>
      <c r="N13418">
        <v>0</v>
      </c>
      <c r="O13418">
        <v>1930</v>
      </c>
    </row>
    <row r="13419" spans="1:15" x14ac:dyDescent="0.25">
      <c r="A13419" t="s">
        <v>13432</v>
      </c>
      <c r="B13419">
        <v>374</v>
      </c>
      <c r="C13419" s="1" t="str">
        <f>HYPERLINK("http://www.rosaceae.org/gb/gbrowse/malus_x_domestica/?name=MDP0000223016","MDP0000223016")</f>
        <v>MDP0000223016</v>
      </c>
      <c r="D13419">
        <v>81.14</v>
      </c>
      <c r="E13419">
        <v>297</v>
      </c>
      <c r="F13419">
        <v>56</v>
      </c>
      <c r="G13419">
        <v>3</v>
      </c>
      <c r="H13419">
        <v>32</v>
      </c>
      <c r="I13419">
        <v>325</v>
      </c>
      <c r="J13419">
        <v>1</v>
      </c>
      <c r="K13419">
        <v>201</v>
      </c>
      <c r="L13419">
        <v>497</v>
      </c>
      <c r="M13419">
        <v>1</v>
      </c>
      <c r="N13419">
        <v>2.7698900000000002E-141</v>
      </c>
      <c r="O13419">
        <v>1284</v>
      </c>
    </row>
    <row r="13420" spans="1:15" x14ac:dyDescent="0.25">
      <c r="A13420" t="s">
        <v>13433</v>
      </c>
      <c r="B13420">
        <v>561</v>
      </c>
      <c r="C13420" s="1" t="str">
        <f>HYPERLINK("http://www.rosaceae.org/gb/gbrowse/malus_x_domestica/?name=MDP0000879480","MDP0000879480")</f>
        <v>MDP0000879480</v>
      </c>
      <c r="D13420">
        <v>66.790000000000006</v>
      </c>
      <c r="E13420">
        <v>259</v>
      </c>
      <c r="F13420">
        <v>86</v>
      </c>
      <c r="G13420">
        <v>7</v>
      </c>
      <c r="H13420">
        <v>4</v>
      </c>
      <c r="I13420">
        <v>256</v>
      </c>
      <c r="J13420">
        <v>1</v>
      </c>
      <c r="K13420">
        <v>8</v>
      </c>
      <c r="L13420">
        <v>265</v>
      </c>
      <c r="M13420">
        <v>1</v>
      </c>
      <c r="N13420">
        <v>6.21828E-97</v>
      </c>
      <c r="O13420">
        <v>903</v>
      </c>
    </row>
    <row r="13421" spans="1:15" x14ac:dyDescent="0.25">
      <c r="A13421" t="s">
        <v>13434</v>
      </c>
      <c r="B13421">
        <v>293</v>
      </c>
      <c r="C13421" s="1" t="str">
        <f>HYPERLINK("http://www.rosaceae.org/gb/gbrowse/malus_x_domestica/?name=MDP0000150438","MDP0000150438")</f>
        <v>MDP0000150438</v>
      </c>
      <c r="D13421">
        <v>42.1</v>
      </c>
      <c r="E13421">
        <v>247</v>
      </c>
      <c r="F13421">
        <v>143</v>
      </c>
      <c r="G13421">
        <v>11</v>
      </c>
      <c r="H13421">
        <v>51</v>
      </c>
      <c r="I13421">
        <v>290</v>
      </c>
      <c r="J13421">
        <v>1</v>
      </c>
      <c r="K13421">
        <v>138</v>
      </c>
      <c r="L13421">
        <v>380</v>
      </c>
      <c r="M13421">
        <v>1</v>
      </c>
      <c r="N13421">
        <v>1.30388E-41</v>
      </c>
      <c r="O13421">
        <v>423</v>
      </c>
    </row>
    <row r="13422" spans="1:15" x14ac:dyDescent="0.25">
      <c r="A13422" t="s">
        <v>13435</v>
      </c>
      <c r="B13422">
        <v>253</v>
      </c>
      <c r="C13422" s="1" t="str">
        <f>HYPERLINK("http://www.rosaceae.org/gb/gbrowse/malus_x_domestica/?name=MDP0000290966","MDP0000290966")</f>
        <v>MDP0000290966</v>
      </c>
      <c r="D13422">
        <v>30.25</v>
      </c>
      <c r="E13422">
        <v>195</v>
      </c>
      <c r="F13422">
        <v>136</v>
      </c>
      <c r="G13422">
        <v>5</v>
      </c>
      <c r="H13422">
        <v>23</v>
      </c>
      <c r="I13422">
        <v>214</v>
      </c>
      <c r="J13422">
        <v>1</v>
      </c>
      <c r="K13422">
        <v>88</v>
      </c>
      <c r="L13422">
        <v>280</v>
      </c>
      <c r="M13422">
        <v>1</v>
      </c>
      <c r="N13422">
        <v>4.11943E-20</v>
      </c>
      <c r="O13422">
        <v>236</v>
      </c>
    </row>
    <row r="13423" spans="1:15" x14ac:dyDescent="0.25">
      <c r="A13423" t="s">
        <v>13436</v>
      </c>
      <c r="B13423">
        <v>708</v>
      </c>
      <c r="C13423" s="1" t="str">
        <f>HYPERLINK("http://www.rosaceae.org/gb/gbrowse/malus_x_domestica/?name=MDP0000207810","MDP0000207810")</f>
        <v>MDP0000207810</v>
      </c>
      <c r="D13423">
        <v>60.74</v>
      </c>
      <c r="E13423">
        <v>675</v>
      </c>
      <c r="F13423">
        <v>265</v>
      </c>
      <c r="G13423">
        <v>37</v>
      </c>
      <c r="H13423">
        <v>29</v>
      </c>
      <c r="I13423">
        <v>686</v>
      </c>
      <c r="J13423">
        <v>1</v>
      </c>
      <c r="K13423">
        <v>31</v>
      </c>
      <c r="L13423">
        <v>685</v>
      </c>
      <c r="M13423">
        <v>1</v>
      </c>
      <c r="N13423">
        <v>0</v>
      </c>
      <c r="O13423">
        <v>1914</v>
      </c>
    </row>
    <row r="13424" spans="1:15" x14ac:dyDescent="0.25">
      <c r="A13424" t="s">
        <v>13437</v>
      </c>
      <c r="B13424">
        <v>302</v>
      </c>
      <c r="C13424" s="1" t="str">
        <f>HYPERLINK("http://www.rosaceae.org/gb/gbrowse/malus_x_domestica/?name=MDP0000170638","MDP0000170638")</f>
        <v>MDP0000170638</v>
      </c>
      <c r="D13424">
        <v>73.89</v>
      </c>
      <c r="E13424">
        <v>203</v>
      </c>
      <c r="F13424">
        <v>53</v>
      </c>
      <c r="G13424">
        <v>1</v>
      </c>
      <c r="H13424">
        <v>1</v>
      </c>
      <c r="I13424">
        <v>203</v>
      </c>
      <c r="J13424">
        <v>1</v>
      </c>
      <c r="K13424">
        <v>1</v>
      </c>
      <c r="L13424">
        <v>202</v>
      </c>
      <c r="M13424">
        <v>1</v>
      </c>
      <c r="N13424">
        <v>1.21008E-84</v>
      </c>
      <c r="O13424">
        <v>794</v>
      </c>
    </row>
    <row r="13425" spans="1:15" x14ac:dyDescent="0.25">
      <c r="A13425" t="s">
        <v>13438</v>
      </c>
      <c r="B13425">
        <v>337</v>
      </c>
      <c r="C13425" s="1" t="str">
        <f>HYPERLINK("http://www.rosaceae.org/gb/gbrowse/malus_x_domestica/?name=MDP0000550122","MDP0000550122")</f>
        <v>MDP0000550122</v>
      </c>
      <c r="D13425">
        <v>83.33</v>
      </c>
      <c r="E13425">
        <v>276</v>
      </c>
      <c r="F13425">
        <v>46</v>
      </c>
      <c r="G13425">
        <v>0</v>
      </c>
      <c r="H13425">
        <v>62</v>
      </c>
      <c r="I13425">
        <v>337</v>
      </c>
      <c r="J13425">
        <v>1</v>
      </c>
      <c r="K13425">
        <v>3</v>
      </c>
      <c r="L13425">
        <v>278</v>
      </c>
      <c r="M13425">
        <v>1</v>
      </c>
      <c r="N13425">
        <v>1.56546E-130</v>
      </c>
      <c r="O13425">
        <v>1190</v>
      </c>
    </row>
    <row r="13426" spans="1:15" x14ac:dyDescent="0.25">
      <c r="A13426" t="s">
        <v>13439</v>
      </c>
      <c r="B13426">
        <v>1407</v>
      </c>
      <c r="C13426" s="1" t="str">
        <f>HYPERLINK("http://www.rosaceae.org/gb/gbrowse/malus_x_domestica/?name=MDP0000295837","MDP0000295837")</f>
        <v>MDP0000295837</v>
      </c>
      <c r="D13426">
        <v>85.28</v>
      </c>
      <c r="E13426">
        <v>1407</v>
      </c>
      <c r="F13426">
        <v>207</v>
      </c>
      <c r="G13426">
        <v>5</v>
      </c>
      <c r="H13426">
        <v>1</v>
      </c>
      <c r="I13426">
        <v>1404</v>
      </c>
      <c r="J13426">
        <v>1</v>
      </c>
      <c r="K13426">
        <v>1</v>
      </c>
      <c r="L13426">
        <v>1405</v>
      </c>
      <c r="M13426">
        <v>1</v>
      </c>
      <c r="N13426">
        <v>0</v>
      </c>
      <c r="O13426">
        <v>6340</v>
      </c>
    </row>
    <row r="13427" spans="1:15" x14ac:dyDescent="0.25">
      <c r="A13427" t="s">
        <v>13440</v>
      </c>
      <c r="B13427">
        <v>489</v>
      </c>
      <c r="C13427" s="1" t="str">
        <f>HYPERLINK("http://www.rosaceae.org/gb/gbrowse/malus_x_domestica/?name=MDP0000223359","MDP0000223359")</f>
        <v>MDP0000223359</v>
      </c>
      <c r="D13427">
        <v>73.69</v>
      </c>
      <c r="E13427">
        <v>498</v>
      </c>
      <c r="F13427">
        <v>131</v>
      </c>
      <c r="G13427">
        <v>17</v>
      </c>
      <c r="H13427">
        <v>1</v>
      </c>
      <c r="I13427">
        <v>489</v>
      </c>
      <c r="J13427">
        <v>1</v>
      </c>
      <c r="K13427">
        <v>1</v>
      </c>
      <c r="L13427">
        <v>490</v>
      </c>
      <c r="M13427">
        <v>1</v>
      </c>
      <c r="N13427">
        <v>0</v>
      </c>
      <c r="O13427">
        <v>1855</v>
      </c>
    </row>
    <row r="13428" spans="1:15" x14ac:dyDescent="0.25">
      <c r="A13428" t="s">
        <v>13441</v>
      </c>
      <c r="B13428">
        <v>401</v>
      </c>
      <c r="C13428" s="1" t="str">
        <f>HYPERLINK("http://www.rosaceae.org/gb/gbrowse/malus_x_domestica/?name=MDP0000240855","MDP0000240855")</f>
        <v>MDP0000240855</v>
      </c>
      <c r="D13428">
        <v>46.27</v>
      </c>
      <c r="E13428">
        <v>389</v>
      </c>
      <c r="F13428">
        <v>209</v>
      </c>
      <c r="G13428">
        <v>45</v>
      </c>
      <c r="H13428">
        <v>1</v>
      </c>
      <c r="I13428">
        <v>345</v>
      </c>
      <c r="J13428">
        <v>1</v>
      </c>
      <c r="K13428">
        <v>1</v>
      </c>
      <c r="L13428">
        <v>388</v>
      </c>
      <c r="M13428">
        <v>1</v>
      </c>
      <c r="N13428">
        <v>1.3143800000000001E-82</v>
      </c>
      <c r="O13428">
        <v>778</v>
      </c>
    </row>
    <row r="13429" spans="1:15" x14ac:dyDescent="0.25">
      <c r="A13429" t="s">
        <v>13442</v>
      </c>
      <c r="B13429">
        <v>132</v>
      </c>
      <c r="C13429" s="1" t="str">
        <f>HYPERLINK("http://www.rosaceae.org/gb/gbrowse/malus_x_domestica/?name=MDP0000261499","MDP0000261499")</f>
        <v>MDP0000261499</v>
      </c>
      <c r="D13429">
        <v>83.7</v>
      </c>
      <c r="E13429">
        <v>135</v>
      </c>
      <c r="F13429">
        <v>22</v>
      </c>
      <c r="G13429">
        <v>3</v>
      </c>
      <c r="H13429">
        <v>1</v>
      </c>
      <c r="I13429">
        <v>132</v>
      </c>
      <c r="J13429">
        <v>1</v>
      </c>
      <c r="K13429">
        <v>147</v>
      </c>
      <c r="L13429">
        <v>281</v>
      </c>
      <c r="M13429">
        <v>1</v>
      </c>
      <c r="N13429">
        <v>1.6509799999999999E-63</v>
      </c>
      <c r="O13429">
        <v>606</v>
      </c>
    </row>
    <row r="13430" spans="1:15" x14ac:dyDescent="0.25">
      <c r="A13430" t="s">
        <v>13443</v>
      </c>
      <c r="B13430">
        <v>123</v>
      </c>
      <c r="C13430" s="1" t="str">
        <f>HYPERLINK("http://www.rosaceae.org/gb/gbrowse/malus_x_domestica/?name=MDP0000286442","MDP0000286442")</f>
        <v>MDP0000286442</v>
      </c>
      <c r="D13430">
        <v>34.57</v>
      </c>
      <c r="E13430">
        <v>107</v>
      </c>
      <c r="F13430">
        <v>70</v>
      </c>
      <c r="G13430">
        <v>23</v>
      </c>
      <c r="H13430">
        <v>14</v>
      </c>
      <c r="I13430">
        <v>97</v>
      </c>
      <c r="J13430">
        <v>1</v>
      </c>
      <c r="K13430">
        <v>1257</v>
      </c>
      <c r="L13430">
        <v>1363</v>
      </c>
      <c r="M13430">
        <v>1</v>
      </c>
      <c r="N13430">
        <v>1.77538E-8</v>
      </c>
      <c r="O13430">
        <v>131</v>
      </c>
    </row>
    <row r="13431" spans="1:15" x14ac:dyDescent="0.25">
      <c r="A13431" t="s">
        <v>13444</v>
      </c>
      <c r="B13431">
        <v>413</v>
      </c>
      <c r="C13431" s="1" t="str">
        <f>HYPERLINK("http://www.rosaceae.org/gb/gbrowse/malus_x_domestica/?name=MDP0000262005","MDP0000262005")</f>
        <v>MDP0000262005</v>
      </c>
      <c r="D13431">
        <v>73.78</v>
      </c>
      <c r="E13431">
        <v>328</v>
      </c>
      <c r="F13431">
        <v>86</v>
      </c>
      <c r="G13431">
        <v>15</v>
      </c>
      <c r="H13431">
        <v>22</v>
      </c>
      <c r="I13431">
        <v>335</v>
      </c>
      <c r="J13431">
        <v>1</v>
      </c>
      <c r="K13431">
        <v>1087</v>
      </c>
      <c r="L13431">
        <v>1413</v>
      </c>
      <c r="M13431">
        <v>1</v>
      </c>
      <c r="N13431">
        <v>1.94111E-141</v>
      </c>
      <c r="O13431">
        <v>1285</v>
      </c>
    </row>
    <row r="13432" spans="1:15" x14ac:dyDescent="0.25">
      <c r="A13432" t="s">
        <v>13445</v>
      </c>
      <c r="B13432">
        <v>393</v>
      </c>
      <c r="C13432" s="1" t="str">
        <f>HYPERLINK("http://www.rosaceae.org/gb/gbrowse/malus_x_domestica/?name=MDP0000253638","MDP0000253638")</f>
        <v>MDP0000253638</v>
      </c>
      <c r="D13432">
        <v>81.84</v>
      </c>
      <c r="E13432">
        <v>391</v>
      </c>
      <c r="F13432">
        <v>71</v>
      </c>
      <c r="G13432">
        <v>0</v>
      </c>
      <c r="H13432">
        <v>1</v>
      </c>
      <c r="I13432">
        <v>391</v>
      </c>
      <c r="J13432">
        <v>1</v>
      </c>
      <c r="K13432">
        <v>1</v>
      </c>
      <c r="L13432">
        <v>391</v>
      </c>
      <c r="M13432">
        <v>1</v>
      </c>
      <c r="N13432">
        <v>0</v>
      </c>
      <c r="O13432">
        <v>1740</v>
      </c>
    </row>
    <row r="13433" spans="1:15" x14ac:dyDescent="0.25">
      <c r="A13433" t="s">
        <v>13446</v>
      </c>
      <c r="B13433">
        <v>380</v>
      </c>
      <c r="C13433" s="1" t="str">
        <f>HYPERLINK("http://www.rosaceae.org/gb/gbrowse/malus_x_domestica/?name=MDP0000134352","MDP0000134352")</f>
        <v>MDP0000134352</v>
      </c>
      <c r="D13433">
        <v>70.75</v>
      </c>
      <c r="E13433">
        <v>400</v>
      </c>
      <c r="F13433">
        <v>117</v>
      </c>
      <c r="G13433">
        <v>25</v>
      </c>
      <c r="H13433">
        <v>1</v>
      </c>
      <c r="I13433">
        <v>380</v>
      </c>
      <c r="J13433">
        <v>1</v>
      </c>
      <c r="K13433">
        <v>1</v>
      </c>
      <c r="L13433">
        <v>395</v>
      </c>
      <c r="M13433">
        <v>1</v>
      </c>
      <c r="N13433">
        <v>8.5501299999999997E-157</v>
      </c>
      <c r="O13433">
        <v>1417</v>
      </c>
    </row>
    <row r="13434" spans="1:15" x14ac:dyDescent="0.25">
      <c r="A13434" t="s">
        <v>13447</v>
      </c>
      <c r="B13434">
        <v>384</v>
      </c>
      <c r="C13434" s="1" t="str">
        <f>HYPERLINK("http://www.rosaceae.org/gb/gbrowse/malus_x_domestica/?name=MDP0000172208","MDP0000172208")</f>
        <v>MDP0000172208</v>
      </c>
      <c r="D13434">
        <v>25</v>
      </c>
      <c r="E13434">
        <v>120</v>
      </c>
      <c r="F13434">
        <v>90</v>
      </c>
      <c r="G13434">
        <v>1</v>
      </c>
      <c r="H13434">
        <v>19</v>
      </c>
      <c r="I13434">
        <v>138</v>
      </c>
      <c r="J13434">
        <v>1</v>
      </c>
      <c r="K13434">
        <v>249</v>
      </c>
      <c r="L13434">
        <v>367</v>
      </c>
      <c r="M13434">
        <v>1</v>
      </c>
      <c r="N13434">
        <v>6.4872199999999998E-8</v>
      </c>
      <c r="O13434">
        <v>133</v>
      </c>
    </row>
    <row r="13435" spans="1:15" x14ac:dyDescent="0.25">
      <c r="A13435" t="s">
        <v>13448</v>
      </c>
      <c r="B13435">
        <v>246</v>
      </c>
      <c r="C13435" s="1" t="str">
        <f>HYPERLINK("http://www.rosaceae.org/gb/gbrowse/malus_x_domestica/?name=MDP0000184265","MDP0000184265")</f>
        <v>MDP0000184265</v>
      </c>
      <c r="D13435">
        <v>76.87</v>
      </c>
      <c r="E13435">
        <v>147</v>
      </c>
      <c r="F13435">
        <v>34</v>
      </c>
      <c r="G13435">
        <v>2</v>
      </c>
      <c r="H13435">
        <v>1</v>
      </c>
      <c r="I13435">
        <v>146</v>
      </c>
      <c r="J13435">
        <v>1</v>
      </c>
      <c r="K13435">
        <v>629</v>
      </c>
      <c r="L13435">
        <v>774</v>
      </c>
      <c r="M13435">
        <v>1</v>
      </c>
      <c r="N13435">
        <v>1.0837000000000001E-60</v>
      </c>
      <c r="O13435">
        <v>586</v>
      </c>
    </row>
    <row r="13436" spans="1:15" x14ac:dyDescent="0.25">
      <c r="A13436" t="s">
        <v>13449</v>
      </c>
      <c r="B13436">
        <v>663</v>
      </c>
      <c r="C13436" s="1" t="str">
        <f>HYPERLINK("http://www.rosaceae.org/gb/gbrowse/malus_x_domestica/?name=MDP0000143173","MDP0000143173")</f>
        <v>MDP0000143173</v>
      </c>
      <c r="D13436">
        <v>59.91</v>
      </c>
      <c r="E13436">
        <v>721</v>
      </c>
      <c r="F13436">
        <v>289</v>
      </c>
      <c r="G13436">
        <v>87</v>
      </c>
      <c r="H13436">
        <v>1</v>
      </c>
      <c r="I13436">
        <v>663</v>
      </c>
      <c r="J13436">
        <v>1</v>
      </c>
      <c r="K13436">
        <v>1</v>
      </c>
      <c r="L13436">
        <v>692</v>
      </c>
      <c r="M13436">
        <v>1</v>
      </c>
      <c r="N13436">
        <v>0</v>
      </c>
      <c r="O13436">
        <v>1847</v>
      </c>
    </row>
    <row r="13437" spans="1:15" x14ac:dyDescent="0.25">
      <c r="A13437" t="s">
        <v>13450</v>
      </c>
      <c r="B13437">
        <v>563</v>
      </c>
      <c r="C13437" s="1" t="str">
        <f>HYPERLINK("http://www.rosaceae.org/gb/gbrowse/malus_x_domestica/?name=MDP0000340590","MDP0000340590")</f>
        <v>MDP0000340590</v>
      </c>
      <c r="D13437">
        <v>88.62</v>
      </c>
      <c r="E13437">
        <v>255</v>
      </c>
      <c r="F13437">
        <v>29</v>
      </c>
      <c r="G13437">
        <v>0</v>
      </c>
      <c r="H13437">
        <v>308</v>
      </c>
      <c r="I13437">
        <v>562</v>
      </c>
      <c r="J13437">
        <v>1</v>
      </c>
      <c r="K13437">
        <v>1</v>
      </c>
      <c r="L13437">
        <v>255</v>
      </c>
      <c r="M13437">
        <v>1</v>
      </c>
      <c r="N13437">
        <v>1.8766300000000002E-129</v>
      </c>
      <c r="O13437">
        <v>1183</v>
      </c>
    </row>
    <row r="13438" spans="1:15" x14ac:dyDescent="0.25">
      <c r="A13438" t="s">
        <v>13451</v>
      </c>
      <c r="B13438">
        <v>355</v>
      </c>
      <c r="C13438" s="1" t="str">
        <f>HYPERLINK("http://www.rosaceae.org/gb/gbrowse/malus_x_domestica/?name=MDP0000127501","MDP0000127501")</f>
        <v>MDP0000127501</v>
      </c>
      <c r="D13438">
        <v>83.38</v>
      </c>
      <c r="E13438">
        <v>325</v>
      </c>
      <c r="F13438">
        <v>54</v>
      </c>
      <c r="G13438">
        <v>2</v>
      </c>
      <c r="H13438">
        <v>1</v>
      </c>
      <c r="I13438">
        <v>323</v>
      </c>
      <c r="J13438">
        <v>1</v>
      </c>
      <c r="K13438">
        <v>1</v>
      </c>
      <c r="L13438">
        <v>325</v>
      </c>
      <c r="M13438">
        <v>1</v>
      </c>
      <c r="N13438">
        <v>6.2533600000000001E-159</v>
      </c>
      <c r="O13438">
        <v>1435</v>
      </c>
    </row>
    <row r="13439" spans="1:15" x14ac:dyDescent="0.25">
      <c r="A13439" t="s">
        <v>13452</v>
      </c>
      <c r="B13439">
        <v>90</v>
      </c>
      <c r="C13439" s="1" t="str">
        <f>HYPERLINK("http://www.rosaceae.org/gb/gbrowse/malus_x_domestica/?name=MDP0000194340","MDP0000194340")</f>
        <v>MDP0000194340</v>
      </c>
      <c r="D13439">
        <v>66.66</v>
      </c>
      <c r="E13439">
        <v>48</v>
      </c>
      <c r="F13439">
        <v>16</v>
      </c>
      <c r="G13439">
        <v>3</v>
      </c>
      <c r="H13439">
        <v>3</v>
      </c>
      <c r="I13439">
        <v>50</v>
      </c>
      <c r="J13439">
        <v>1</v>
      </c>
      <c r="K13439">
        <v>750</v>
      </c>
      <c r="L13439">
        <v>794</v>
      </c>
      <c r="M13439">
        <v>1</v>
      </c>
      <c r="N13439">
        <v>1.03712E-11</v>
      </c>
      <c r="O13439">
        <v>158</v>
      </c>
    </row>
    <row r="13440" spans="1:15" x14ac:dyDescent="0.25">
      <c r="A13440" t="s">
        <v>13453</v>
      </c>
      <c r="B13440">
        <v>354</v>
      </c>
      <c r="C13440" s="1" t="str">
        <f>HYPERLINK("http://www.rosaceae.org/gb/gbrowse/malus_x_domestica/?name=MDP0000239826","MDP0000239826")</f>
        <v>MDP0000239826</v>
      </c>
      <c r="D13440">
        <v>41.87</v>
      </c>
      <c r="E13440">
        <v>277</v>
      </c>
      <c r="F13440">
        <v>161</v>
      </c>
      <c r="G13440">
        <v>2</v>
      </c>
      <c r="H13440">
        <v>4</v>
      </c>
      <c r="I13440">
        <v>280</v>
      </c>
      <c r="J13440">
        <v>1</v>
      </c>
      <c r="K13440">
        <v>190</v>
      </c>
      <c r="L13440">
        <v>464</v>
      </c>
      <c r="M13440">
        <v>1</v>
      </c>
      <c r="N13440">
        <v>1.1015299999999999E-62</v>
      </c>
      <c r="O13440">
        <v>605</v>
      </c>
    </row>
    <row r="13441" spans="1:15" x14ac:dyDescent="0.25">
      <c r="A13441" t="s">
        <v>13454</v>
      </c>
      <c r="B13441">
        <v>533</v>
      </c>
      <c r="C13441" s="1" t="str">
        <f>HYPERLINK("http://www.rosaceae.org/gb/gbrowse/malus_x_domestica/?name=MDP0000128857","MDP0000128857")</f>
        <v>MDP0000128857</v>
      </c>
      <c r="D13441">
        <v>27.98</v>
      </c>
      <c r="E13441">
        <v>243</v>
      </c>
      <c r="F13441">
        <v>175</v>
      </c>
      <c r="G13441">
        <v>10</v>
      </c>
      <c r="H13441">
        <v>3</v>
      </c>
      <c r="I13441">
        <v>244</v>
      </c>
      <c r="J13441">
        <v>1</v>
      </c>
      <c r="K13441">
        <v>507</v>
      </c>
      <c r="L13441">
        <v>740</v>
      </c>
      <c r="M13441">
        <v>1</v>
      </c>
      <c r="N13441">
        <v>3.5396800000000002E-28</v>
      </c>
      <c r="O13441">
        <v>310</v>
      </c>
    </row>
    <row r="13442" spans="1:15" x14ac:dyDescent="0.25">
      <c r="A13442" t="s">
        <v>13455</v>
      </c>
      <c r="B13442">
        <v>156</v>
      </c>
      <c r="C13442" s="1" t="str">
        <f>HYPERLINK("http://www.rosaceae.org/gb/gbrowse/malus_x_domestica/?name=MDP0000321062","MDP0000321062")</f>
        <v>MDP0000321062</v>
      </c>
      <c r="D13442">
        <v>81.93</v>
      </c>
      <c r="E13442">
        <v>155</v>
      </c>
      <c r="F13442">
        <v>28</v>
      </c>
      <c r="G13442">
        <v>1</v>
      </c>
      <c r="H13442">
        <v>1</v>
      </c>
      <c r="I13442">
        <v>155</v>
      </c>
      <c r="J13442">
        <v>1</v>
      </c>
      <c r="K13442">
        <v>1</v>
      </c>
      <c r="L13442">
        <v>154</v>
      </c>
      <c r="M13442">
        <v>1</v>
      </c>
      <c r="N13442">
        <v>2.4658199999999999E-69</v>
      </c>
      <c r="O13442">
        <v>658</v>
      </c>
    </row>
    <row r="13443" spans="1:15" x14ac:dyDescent="0.25">
      <c r="A13443" t="s">
        <v>13456</v>
      </c>
      <c r="B13443">
        <v>325</v>
      </c>
      <c r="C13443" s="1" t="str">
        <f>HYPERLINK("http://www.rosaceae.org/gb/gbrowse/malus_x_domestica/?name=MDP0000769354","MDP0000769354")</f>
        <v>MDP0000769354</v>
      </c>
      <c r="D13443">
        <v>46.72</v>
      </c>
      <c r="E13443">
        <v>351</v>
      </c>
      <c r="F13443">
        <v>187</v>
      </c>
      <c r="G13443">
        <v>55</v>
      </c>
      <c r="H13443">
        <v>1</v>
      </c>
      <c r="I13443">
        <v>325</v>
      </c>
      <c r="J13443">
        <v>1</v>
      </c>
      <c r="K13443">
        <v>1</v>
      </c>
      <c r="L13443">
        <v>322</v>
      </c>
      <c r="M13443">
        <v>1</v>
      </c>
      <c r="N13443">
        <v>4.9392900000000003E-71</v>
      </c>
      <c r="O13443">
        <v>677</v>
      </c>
    </row>
    <row r="13444" spans="1:15" x14ac:dyDescent="0.25">
      <c r="A13444" t="s">
        <v>13457</v>
      </c>
      <c r="B13444">
        <v>162</v>
      </c>
      <c r="C13444" s="1" t="str">
        <f>HYPERLINK("http://www.rosaceae.org/gb/gbrowse/malus_x_domestica/?name=MDP0000478139","MDP0000478139")</f>
        <v>MDP0000478139</v>
      </c>
      <c r="D13444">
        <v>90.54</v>
      </c>
      <c r="E13444">
        <v>148</v>
      </c>
      <c r="F13444">
        <v>14</v>
      </c>
      <c r="G13444">
        <v>0</v>
      </c>
      <c r="H13444">
        <v>5</v>
      </c>
      <c r="I13444">
        <v>152</v>
      </c>
      <c r="J13444">
        <v>1</v>
      </c>
      <c r="K13444">
        <v>39</v>
      </c>
      <c r="L13444">
        <v>186</v>
      </c>
      <c r="M13444">
        <v>1</v>
      </c>
      <c r="N13444">
        <v>3.4378000000000001E-81</v>
      </c>
      <c r="O13444">
        <v>760</v>
      </c>
    </row>
    <row r="13445" spans="1:15" x14ac:dyDescent="0.25">
      <c r="A13445" t="s">
        <v>13458</v>
      </c>
      <c r="B13445">
        <v>109</v>
      </c>
      <c r="C13445" s="1" t="str">
        <f>HYPERLINK("http://www.rosaceae.org/gb/gbrowse/malus_x_domestica/?name=MDP0000307576","MDP0000307576")</f>
        <v>MDP0000307576</v>
      </c>
      <c r="D13445">
        <v>57.89</v>
      </c>
      <c r="E13445">
        <v>114</v>
      </c>
      <c r="F13445">
        <v>48</v>
      </c>
      <c r="G13445">
        <v>9</v>
      </c>
      <c r="H13445">
        <v>1</v>
      </c>
      <c r="I13445">
        <v>107</v>
      </c>
      <c r="J13445">
        <v>1</v>
      </c>
      <c r="K13445">
        <v>1</v>
      </c>
      <c r="L13445">
        <v>112</v>
      </c>
      <c r="M13445">
        <v>1</v>
      </c>
      <c r="N13445">
        <v>5.7942300000000003E-29</v>
      </c>
      <c r="O13445">
        <v>307</v>
      </c>
    </row>
    <row r="13446" spans="1:15" x14ac:dyDescent="0.25">
      <c r="A13446" t="s">
        <v>13459</v>
      </c>
      <c r="B13446">
        <v>449</v>
      </c>
      <c r="C13446" s="1" t="str">
        <f>HYPERLINK("http://www.rosaceae.org/gb/gbrowse/malus_x_domestica/?name=MDP0000176045","MDP0000176045")</f>
        <v>MDP0000176045</v>
      </c>
      <c r="D13446">
        <v>29.32</v>
      </c>
      <c r="E13446">
        <v>324</v>
      </c>
      <c r="F13446">
        <v>229</v>
      </c>
      <c r="G13446">
        <v>75</v>
      </c>
      <c r="H13446">
        <v>50</v>
      </c>
      <c r="I13446">
        <v>328</v>
      </c>
      <c r="J13446">
        <v>1</v>
      </c>
      <c r="K13446">
        <v>4</v>
      </c>
      <c r="L13446">
        <v>297</v>
      </c>
      <c r="M13446">
        <v>1</v>
      </c>
      <c r="N13446">
        <v>3.7753299999999998E-19</v>
      </c>
      <c r="O13446">
        <v>231</v>
      </c>
    </row>
    <row r="13447" spans="1:15" x14ac:dyDescent="0.25">
      <c r="A13447" t="s">
        <v>13460</v>
      </c>
      <c r="B13447">
        <v>296</v>
      </c>
      <c r="C13447" s="1" t="str">
        <f>HYPERLINK("http://www.rosaceae.org/gb/gbrowse/malus_x_domestica/?name=MDP0000288462","MDP0000288462")</f>
        <v>MDP0000288462</v>
      </c>
      <c r="D13447">
        <v>66.77</v>
      </c>
      <c r="E13447">
        <v>301</v>
      </c>
      <c r="F13447">
        <v>100</v>
      </c>
      <c r="G13447">
        <v>16</v>
      </c>
      <c r="H13447">
        <v>3</v>
      </c>
      <c r="I13447">
        <v>291</v>
      </c>
      <c r="J13447">
        <v>1</v>
      </c>
      <c r="K13447">
        <v>5</v>
      </c>
      <c r="L13447">
        <v>301</v>
      </c>
      <c r="M13447">
        <v>1</v>
      </c>
      <c r="N13447">
        <v>5.4527999999999994E-110</v>
      </c>
      <c r="O13447">
        <v>1012</v>
      </c>
    </row>
    <row r="13448" spans="1:15" x14ac:dyDescent="0.25">
      <c r="A13448" t="s">
        <v>13461</v>
      </c>
      <c r="B13448">
        <v>1041</v>
      </c>
      <c r="C13448" s="1" t="str">
        <f>HYPERLINK("http://www.rosaceae.org/gb/gbrowse/malus_x_domestica/?name=MDP0000230529","MDP0000230529")</f>
        <v>MDP0000230529</v>
      </c>
      <c r="D13448">
        <v>83.47</v>
      </c>
      <c r="E13448">
        <v>1029</v>
      </c>
      <c r="F13448">
        <v>170</v>
      </c>
      <c r="G13448">
        <v>52</v>
      </c>
      <c r="H13448">
        <v>1</v>
      </c>
      <c r="I13448">
        <v>977</v>
      </c>
      <c r="J13448">
        <v>1</v>
      </c>
      <c r="K13448">
        <v>1</v>
      </c>
      <c r="L13448">
        <v>1029</v>
      </c>
      <c r="M13448">
        <v>1</v>
      </c>
      <c r="N13448">
        <v>0</v>
      </c>
      <c r="O13448">
        <v>4472</v>
      </c>
    </row>
    <row r="13449" spans="1:15" x14ac:dyDescent="0.25">
      <c r="A13449" t="s">
        <v>13462</v>
      </c>
      <c r="B13449">
        <v>280</v>
      </c>
      <c r="C13449" s="1" t="str">
        <f>HYPERLINK("http://www.rosaceae.org/gb/gbrowse/malus_x_domestica/?name=MDP0000245516","MDP0000245516")</f>
        <v>MDP0000245516</v>
      </c>
      <c r="D13449">
        <v>81.14</v>
      </c>
      <c r="E13449">
        <v>175</v>
      </c>
      <c r="F13449">
        <v>33</v>
      </c>
      <c r="G13449">
        <v>0</v>
      </c>
      <c r="H13449">
        <v>1</v>
      </c>
      <c r="I13449">
        <v>175</v>
      </c>
      <c r="J13449">
        <v>1</v>
      </c>
      <c r="K13449">
        <v>266</v>
      </c>
      <c r="L13449">
        <v>440</v>
      </c>
      <c r="M13449">
        <v>1</v>
      </c>
      <c r="N13449">
        <v>2.9859399999999998E-79</v>
      </c>
      <c r="O13449">
        <v>747</v>
      </c>
    </row>
    <row r="13450" spans="1:15" x14ac:dyDescent="0.25">
      <c r="A13450" t="s">
        <v>13463</v>
      </c>
      <c r="B13450">
        <v>1042</v>
      </c>
      <c r="C13450" s="1" t="str">
        <f>HYPERLINK("http://www.rosaceae.org/gb/gbrowse/malus_x_domestica/?name=MDP0000143009","MDP0000143009")</f>
        <v>MDP0000143009</v>
      </c>
      <c r="D13450">
        <v>79.61</v>
      </c>
      <c r="E13450">
        <v>1040</v>
      </c>
      <c r="F13450">
        <v>212</v>
      </c>
      <c r="G13450">
        <v>30</v>
      </c>
      <c r="H13450">
        <v>23</v>
      </c>
      <c r="I13450">
        <v>1042</v>
      </c>
      <c r="J13450">
        <v>1</v>
      </c>
      <c r="K13450">
        <v>24</v>
      </c>
      <c r="L13450">
        <v>1053</v>
      </c>
      <c r="M13450">
        <v>1</v>
      </c>
      <c r="N13450">
        <v>0</v>
      </c>
      <c r="O13450">
        <v>4358</v>
      </c>
    </row>
    <row r="13451" spans="1:15" x14ac:dyDescent="0.25">
      <c r="A13451" t="s">
        <v>13464</v>
      </c>
      <c r="B13451">
        <v>321</v>
      </c>
      <c r="C13451" s="1" t="str">
        <f>HYPERLINK("http://www.rosaceae.org/gb/gbrowse/malus_x_domestica/?name=MDP0000603111","MDP0000603111")</f>
        <v>MDP0000603111</v>
      </c>
      <c r="D13451">
        <v>81.61</v>
      </c>
      <c r="E13451">
        <v>321</v>
      </c>
      <c r="F13451">
        <v>59</v>
      </c>
      <c r="G13451">
        <v>0</v>
      </c>
      <c r="H13451">
        <v>1</v>
      </c>
      <c r="I13451">
        <v>321</v>
      </c>
      <c r="J13451">
        <v>1</v>
      </c>
      <c r="K13451">
        <v>1</v>
      </c>
      <c r="L13451">
        <v>321</v>
      </c>
      <c r="M13451">
        <v>1</v>
      </c>
      <c r="N13451">
        <v>6.6542E-160</v>
      </c>
      <c r="O13451">
        <v>1443</v>
      </c>
    </row>
    <row r="13452" spans="1:15" x14ac:dyDescent="0.25">
      <c r="A13452" t="s">
        <v>13465</v>
      </c>
      <c r="B13452">
        <v>219</v>
      </c>
      <c r="C13452" s="1" t="str">
        <f>HYPERLINK("http://www.rosaceae.org/gb/gbrowse/malus_x_domestica/?name=MDP0000407755","MDP0000407755")</f>
        <v>MDP0000407755</v>
      </c>
      <c r="D13452">
        <v>63.47</v>
      </c>
      <c r="E13452">
        <v>219</v>
      </c>
      <c r="F13452">
        <v>80</v>
      </c>
      <c r="G13452">
        <v>17</v>
      </c>
      <c r="H13452">
        <v>1</v>
      </c>
      <c r="I13452">
        <v>219</v>
      </c>
      <c r="J13452">
        <v>1</v>
      </c>
      <c r="K13452">
        <v>1</v>
      </c>
      <c r="L13452">
        <v>202</v>
      </c>
      <c r="M13452">
        <v>1</v>
      </c>
      <c r="N13452">
        <v>1.5535299999999999E-61</v>
      </c>
      <c r="O13452">
        <v>593</v>
      </c>
    </row>
    <row r="13453" spans="1:15" x14ac:dyDescent="0.25">
      <c r="A13453" t="s">
        <v>13466</v>
      </c>
      <c r="B13453">
        <v>288</v>
      </c>
      <c r="C13453" s="1" t="str">
        <f>HYPERLINK("http://www.rosaceae.org/gb/gbrowse/malus_x_domestica/?name=MDP0000189426","MDP0000189426")</f>
        <v>MDP0000189426</v>
      </c>
      <c r="D13453">
        <v>33</v>
      </c>
      <c r="E13453">
        <v>300</v>
      </c>
      <c r="F13453">
        <v>201</v>
      </c>
      <c r="G13453">
        <v>46</v>
      </c>
      <c r="H13453">
        <v>33</v>
      </c>
      <c r="I13453">
        <v>287</v>
      </c>
      <c r="J13453">
        <v>1</v>
      </c>
      <c r="K13453">
        <v>83</v>
      </c>
      <c r="L13453">
        <v>381</v>
      </c>
      <c r="M13453">
        <v>1</v>
      </c>
      <c r="N13453">
        <v>1.0675499999999999E-37</v>
      </c>
      <c r="O13453">
        <v>389</v>
      </c>
    </row>
    <row r="13454" spans="1:15" x14ac:dyDescent="0.25">
      <c r="A13454" t="s">
        <v>13467</v>
      </c>
      <c r="B13454">
        <v>274</v>
      </c>
      <c r="C13454" s="1" t="str">
        <f>HYPERLINK("http://www.rosaceae.org/gb/gbrowse/malus_x_domestica/?name=MDP0000190488","MDP0000190488")</f>
        <v>MDP0000190488</v>
      </c>
      <c r="D13454">
        <v>76.08</v>
      </c>
      <c r="E13454">
        <v>230</v>
      </c>
      <c r="F13454">
        <v>55</v>
      </c>
      <c r="G13454">
        <v>0</v>
      </c>
      <c r="H13454">
        <v>1</v>
      </c>
      <c r="I13454">
        <v>230</v>
      </c>
      <c r="J13454">
        <v>1</v>
      </c>
      <c r="K13454">
        <v>1</v>
      </c>
      <c r="L13454">
        <v>230</v>
      </c>
      <c r="M13454">
        <v>1</v>
      </c>
      <c r="N13454">
        <v>1.69583E-99</v>
      </c>
      <c r="O13454">
        <v>922</v>
      </c>
    </row>
    <row r="13455" spans="1:15" x14ac:dyDescent="0.25">
      <c r="A13455" t="s">
        <v>13468</v>
      </c>
      <c r="B13455">
        <v>314</v>
      </c>
      <c r="C13455" s="1" t="str">
        <f>HYPERLINK("http://www.rosaceae.org/gb/gbrowse/malus_x_domestica/?name=MDP0000951278","MDP0000951278")</f>
        <v>MDP0000951278</v>
      </c>
      <c r="D13455">
        <v>38.92</v>
      </c>
      <c r="E13455">
        <v>280</v>
      </c>
      <c r="F13455">
        <v>171</v>
      </c>
      <c r="G13455">
        <v>41</v>
      </c>
      <c r="H13455">
        <v>73</v>
      </c>
      <c r="I13455">
        <v>314</v>
      </c>
      <c r="J13455">
        <v>1</v>
      </c>
      <c r="K13455">
        <v>123</v>
      </c>
      <c r="L13455">
        <v>399</v>
      </c>
      <c r="M13455">
        <v>1</v>
      </c>
      <c r="N13455">
        <v>5.6709800000000002E-52</v>
      </c>
      <c r="O13455">
        <v>512</v>
      </c>
    </row>
    <row r="13456" spans="1:15" x14ac:dyDescent="0.25">
      <c r="A13456" t="s">
        <v>13469</v>
      </c>
      <c r="B13456">
        <v>173</v>
      </c>
      <c r="C13456" s="1" t="str">
        <f>HYPERLINK("http://www.rosaceae.org/gb/gbrowse/malus_x_domestica/?name=MDP0000827125","MDP0000827125")</f>
        <v>MDP0000827125</v>
      </c>
      <c r="D13456">
        <v>74.62</v>
      </c>
      <c r="E13456">
        <v>134</v>
      </c>
      <c r="F13456">
        <v>34</v>
      </c>
      <c r="G13456">
        <v>0</v>
      </c>
      <c r="H13456">
        <v>1</v>
      </c>
      <c r="I13456">
        <v>134</v>
      </c>
      <c r="J13456">
        <v>1</v>
      </c>
      <c r="K13456">
        <v>1</v>
      </c>
      <c r="L13456">
        <v>134</v>
      </c>
      <c r="M13456">
        <v>1</v>
      </c>
      <c r="N13456">
        <v>1.6940099999999999E-54</v>
      </c>
      <c r="O13456">
        <v>531</v>
      </c>
    </row>
    <row r="13457" spans="1:15" x14ac:dyDescent="0.25">
      <c r="A13457" t="s">
        <v>13470</v>
      </c>
      <c r="B13457">
        <v>919</v>
      </c>
      <c r="C13457" s="1" t="str">
        <f>HYPERLINK("http://www.rosaceae.org/gb/gbrowse/malus_x_domestica/?name=MDP0000545129","MDP0000545129")</f>
        <v>MDP0000545129</v>
      </c>
      <c r="D13457">
        <v>92.87</v>
      </c>
      <c r="E13457">
        <v>421</v>
      </c>
      <c r="F13457">
        <v>30</v>
      </c>
      <c r="G13457">
        <v>4</v>
      </c>
      <c r="H13457">
        <v>501</v>
      </c>
      <c r="I13457">
        <v>919</v>
      </c>
      <c r="J13457">
        <v>1</v>
      </c>
      <c r="K13457">
        <v>506</v>
      </c>
      <c r="L13457">
        <v>924</v>
      </c>
      <c r="M13457">
        <v>1</v>
      </c>
      <c r="N13457">
        <v>0</v>
      </c>
      <c r="O13457">
        <v>2118</v>
      </c>
    </row>
    <row r="13458" spans="1:15" x14ac:dyDescent="0.25">
      <c r="A13458" t="s">
        <v>13471</v>
      </c>
      <c r="B13458">
        <v>550</v>
      </c>
      <c r="C13458" s="1" t="str">
        <f>HYPERLINK("http://www.rosaceae.org/gb/gbrowse/malus_x_domestica/?name=MDP0000878279","MDP0000878279")</f>
        <v>MDP0000878279</v>
      </c>
      <c r="D13458">
        <v>84.82</v>
      </c>
      <c r="E13458">
        <v>547</v>
      </c>
      <c r="F13458">
        <v>83</v>
      </c>
      <c r="G13458">
        <v>1</v>
      </c>
      <c r="H13458">
        <v>1</v>
      </c>
      <c r="I13458">
        <v>547</v>
      </c>
      <c r="J13458">
        <v>1</v>
      </c>
      <c r="K13458">
        <v>1</v>
      </c>
      <c r="L13458">
        <v>546</v>
      </c>
      <c r="M13458">
        <v>1</v>
      </c>
      <c r="N13458">
        <v>0</v>
      </c>
      <c r="O13458">
        <v>2382</v>
      </c>
    </row>
    <row r="13459" spans="1:15" x14ac:dyDescent="0.25">
      <c r="A13459" t="s">
        <v>13472</v>
      </c>
      <c r="B13459">
        <v>1223</v>
      </c>
      <c r="C13459" s="1" t="str">
        <f>HYPERLINK("http://www.rosaceae.org/gb/gbrowse/malus_x_domestica/?name=MDP0000250887","MDP0000250887")</f>
        <v>MDP0000250887</v>
      </c>
      <c r="D13459">
        <v>83.25</v>
      </c>
      <c r="E13459">
        <v>1230</v>
      </c>
      <c r="F13459">
        <v>206</v>
      </c>
      <c r="G13459">
        <v>12</v>
      </c>
      <c r="H13459">
        <v>1</v>
      </c>
      <c r="I13459">
        <v>1222</v>
      </c>
      <c r="J13459">
        <v>1</v>
      </c>
      <c r="K13459">
        <v>1</v>
      </c>
      <c r="L13459">
        <v>1226</v>
      </c>
      <c r="M13459">
        <v>1</v>
      </c>
      <c r="N13459">
        <v>0</v>
      </c>
      <c r="O13459">
        <v>5497</v>
      </c>
    </row>
    <row r="13460" spans="1:15" x14ac:dyDescent="0.25">
      <c r="A13460" t="s">
        <v>13473</v>
      </c>
      <c r="B13460">
        <v>138</v>
      </c>
      <c r="C13460" s="1" t="str">
        <f>HYPERLINK("http://www.rosaceae.org/gb/gbrowse/malus_x_domestica/?name=MDP0000260960","MDP0000260960")</f>
        <v>MDP0000260960</v>
      </c>
      <c r="D13460">
        <v>29.41</v>
      </c>
      <c r="E13460">
        <v>136</v>
      </c>
      <c r="F13460">
        <v>96</v>
      </c>
      <c r="G13460">
        <v>1</v>
      </c>
      <c r="H13460">
        <v>3</v>
      </c>
      <c r="I13460">
        <v>137</v>
      </c>
      <c r="J13460">
        <v>1</v>
      </c>
      <c r="K13460">
        <v>386</v>
      </c>
      <c r="L13460">
        <v>521</v>
      </c>
      <c r="M13460">
        <v>1</v>
      </c>
      <c r="N13460">
        <v>2.0779E-9</v>
      </c>
      <c r="O13460">
        <v>140</v>
      </c>
    </row>
    <row r="13461" spans="1:15" x14ac:dyDescent="0.25">
      <c r="A13461" t="s">
        <v>13474</v>
      </c>
      <c r="B13461">
        <v>109</v>
      </c>
      <c r="C13461" s="1" t="str">
        <f>HYPERLINK("http://www.rosaceae.org/gb/gbrowse/malus_x_domestica/?name=MDP0000298660","MDP0000298660")</f>
        <v>MDP0000298660</v>
      </c>
      <c r="D13461">
        <v>76.92</v>
      </c>
      <c r="E13461">
        <v>104</v>
      </c>
      <c r="F13461">
        <v>24</v>
      </c>
      <c r="G13461">
        <v>0</v>
      </c>
      <c r="H13461">
        <v>1</v>
      </c>
      <c r="I13461">
        <v>104</v>
      </c>
      <c r="J13461">
        <v>1</v>
      </c>
      <c r="K13461">
        <v>563</v>
      </c>
      <c r="L13461">
        <v>666</v>
      </c>
      <c r="M13461">
        <v>1</v>
      </c>
      <c r="N13461">
        <v>4.2709999999999997E-45</v>
      </c>
      <c r="O13461">
        <v>446</v>
      </c>
    </row>
    <row r="13462" spans="1:15" x14ac:dyDescent="0.25">
      <c r="A13462" t="s">
        <v>13475</v>
      </c>
      <c r="B13462">
        <v>536</v>
      </c>
      <c r="C13462" s="1" t="str">
        <f>HYPERLINK("http://www.rosaceae.org/gb/gbrowse/malus_x_domestica/?name=MDP0000215521","MDP0000215521")</f>
        <v>MDP0000215521</v>
      </c>
      <c r="D13462">
        <v>79.02</v>
      </c>
      <c r="E13462">
        <v>534</v>
      </c>
      <c r="F13462">
        <v>112</v>
      </c>
      <c r="G13462">
        <v>3</v>
      </c>
      <c r="H13462">
        <v>1</v>
      </c>
      <c r="I13462">
        <v>534</v>
      </c>
      <c r="J13462">
        <v>1</v>
      </c>
      <c r="K13462">
        <v>1</v>
      </c>
      <c r="L13462">
        <v>531</v>
      </c>
      <c r="M13462">
        <v>1</v>
      </c>
      <c r="N13462">
        <v>0</v>
      </c>
      <c r="O13462">
        <v>2303</v>
      </c>
    </row>
    <row r="13463" spans="1:15" x14ac:dyDescent="0.25">
      <c r="A13463" t="s">
        <v>13476</v>
      </c>
      <c r="B13463">
        <v>90</v>
      </c>
      <c r="C13463" s="1" t="str">
        <f>HYPERLINK("http://www.rosaceae.org/gb/gbrowse/malus_x_domestica/?name=MDP0000204586","MDP0000204586")</f>
        <v>MDP0000204586</v>
      </c>
      <c r="D13463">
        <v>70.650000000000006</v>
      </c>
      <c r="E13463">
        <v>92</v>
      </c>
      <c r="F13463">
        <v>27</v>
      </c>
      <c r="G13463">
        <v>2</v>
      </c>
      <c r="H13463">
        <v>1</v>
      </c>
      <c r="I13463">
        <v>90</v>
      </c>
      <c r="J13463">
        <v>1</v>
      </c>
      <c r="K13463">
        <v>256</v>
      </c>
      <c r="L13463">
        <v>347</v>
      </c>
      <c r="M13463">
        <v>1</v>
      </c>
      <c r="N13463">
        <v>5.2956699999999998E-28</v>
      </c>
      <c r="O13463">
        <v>299</v>
      </c>
    </row>
    <row r="13464" spans="1:15" x14ac:dyDescent="0.25">
      <c r="A13464" t="s">
        <v>13477</v>
      </c>
      <c r="B13464">
        <v>109</v>
      </c>
      <c r="C13464" s="1" t="str">
        <f>HYPERLINK("http://www.rosaceae.org/gb/gbrowse/malus_x_domestica/?name=MDP0000166068","MDP0000166068")</f>
        <v>MDP0000166068</v>
      </c>
      <c r="D13464">
        <v>59.57</v>
      </c>
      <c r="E13464">
        <v>94</v>
      </c>
      <c r="F13464">
        <v>38</v>
      </c>
      <c r="G13464">
        <v>3</v>
      </c>
      <c r="H13464">
        <v>14</v>
      </c>
      <c r="I13464">
        <v>107</v>
      </c>
      <c r="J13464">
        <v>1</v>
      </c>
      <c r="K13464">
        <v>55</v>
      </c>
      <c r="L13464">
        <v>145</v>
      </c>
      <c r="M13464">
        <v>1</v>
      </c>
      <c r="N13464">
        <v>2.4767800000000002E-25</v>
      </c>
      <c r="O13464">
        <v>276</v>
      </c>
    </row>
    <row r="13465" spans="1:15" x14ac:dyDescent="0.25">
      <c r="A13465" t="s">
        <v>13478</v>
      </c>
      <c r="B13465">
        <v>107</v>
      </c>
      <c r="C13465" s="1" t="str">
        <f>HYPERLINK("http://www.rosaceae.org/gb/gbrowse/malus_x_domestica/?name=MDP0000456821","MDP0000456821")</f>
        <v>MDP0000456821</v>
      </c>
      <c r="D13465">
        <v>53.22</v>
      </c>
      <c r="E13465">
        <v>62</v>
      </c>
      <c r="F13465">
        <v>29</v>
      </c>
      <c r="G13465">
        <v>3</v>
      </c>
      <c r="H13465">
        <v>22</v>
      </c>
      <c r="I13465">
        <v>80</v>
      </c>
      <c r="J13465">
        <v>1</v>
      </c>
      <c r="K13465">
        <v>1252</v>
      </c>
      <c r="L13465">
        <v>1313</v>
      </c>
      <c r="M13465">
        <v>1</v>
      </c>
      <c r="N13465">
        <v>5.8204399999999998E-8</v>
      </c>
      <c r="O13465">
        <v>126</v>
      </c>
    </row>
    <row r="13466" spans="1:15" x14ac:dyDescent="0.25">
      <c r="A13466" t="s">
        <v>13479</v>
      </c>
      <c r="B13466">
        <v>180</v>
      </c>
      <c r="C13466" s="1" t="str">
        <f>HYPERLINK("http://www.rosaceae.org/gb/gbrowse/malus_x_domestica/?name=MDP0000304208","MDP0000304208")</f>
        <v>MDP0000304208</v>
      </c>
      <c r="D13466">
        <v>52.17</v>
      </c>
      <c r="E13466">
        <v>92</v>
      </c>
      <c r="F13466">
        <v>44</v>
      </c>
      <c r="G13466">
        <v>2</v>
      </c>
      <c r="H13466">
        <v>3</v>
      </c>
      <c r="I13466">
        <v>94</v>
      </c>
      <c r="J13466">
        <v>1</v>
      </c>
      <c r="K13466">
        <v>4</v>
      </c>
      <c r="L13466">
        <v>93</v>
      </c>
      <c r="M13466">
        <v>1</v>
      </c>
      <c r="N13466">
        <v>1.1331599999999999E-18</v>
      </c>
      <c r="O13466">
        <v>222</v>
      </c>
    </row>
    <row r="13467" spans="1:15" x14ac:dyDescent="0.25">
      <c r="A13467" t="s">
        <v>13480</v>
      </c>
      <c r="B13467">
        <v>357</v>
      </c>
      <c r="C13467" s="1" t="str">
        <f>HYPERLINK("http://www.rosaceae.org/gb/gbrowse/malus_x_domestica/?name=MDP0000769656","MDP0000769656")</f>
        <v>MDP0000769656</v>
      </c>
      <c r="D13467">
        <v>50.89</v>
      </c>
      <c r="E13467">
        <v>393</v>
      </c>
      <c r="F13467">
        <v>193</v>
      </c>
      <c r="G13467">
        <v>64</v>
      </c>
      <c r="H13467">
        <v>2</v>
      </c>
      <c r="I13467">
        <v>353</v>
      </c>
      <c r="J13467">
        <v>1</v>
      </c>
      <c r="K13467">
        <v>6</v>
      </c>
      <c r="L13467">
        <v>375</v>
      </c>
      <c r="M13467">
        <v>1</v>
      </c>
      <c r="N13467">
        <v>3.2405499999999999E-94</v>
      </c>
      <c r="O13467">
        <v>877</v>
      </c>
    </row>
    <row r="13468" spans="1:15" x14ac:dyDescent="0.25">
      <c r="A13468" t="s">
        <v>13481</v>
      </c>
      <c r="B13468">
        <v>469</v>
      </c>
      <c r="C13468" s="1" t="str">
        <f>HYPERLINK("http://www.rosaceae.org/gb/gbrowse/malus_x_domestica/?name=MDP0000202281","MDP0000202281")</f>
        <v>MDP0000202281</v>
      </c>
      <c r="D13468">
        <v>82.51</v>
      </c>
      <c r="E13468">
        <v>509</v>
      </c>
      <c r="F13468">
        <v>89</v>
      </c>
      <c r="G13468">
        <v>45</v>
      </c>
      <c r="H13468">
        <v>5</v>
      </c>
      <c r="I13468">
        <v>469</v>
      </c>
      <c r="J13468">
        <v>1</v>
      </c>
      <c r="K13468">
        <v>108</v>
      </c>
      <c r="L13468">
        <v>615</v>
      </c>
      <c r="M13468">
        <v>1</v>
      </c>
      <c r="N13468">
        <v>0</v>
      </c>
      <c r="O13468">
        <v>2218</v>
      </c>
    </row>
    <row r="13469" spans="1:15" x14ac:dyDescent="0.25">
      <c r="A13469" t="s">
        <v>13482</v>
      </c>
      <c r="B13469">
        <v>492</v>
      </c>
      <c r="C13469" s="1" t="str">
        <f>HYPERLINK("http://www.rosaceae.org/gb/gbrowse/malus_x_domestica/?name=MDP0000123248","MDP0000123248")</f>
        <v>MDP0000123248</v>
      </c>
      <c r="D13469">
        <v>55.97</v>
      </c>
      <c r="E13469">
        <v>427</v>
      </c>
      <c r="F13469">
        <v>188</v>
      </c>
      <c r="G13469">
        <v>4</v>
      </c>
      <c r="H13469">
        <v>67</v>
      </c>
      <c r="I13469">
        <v>490</v>
      </c>
      <c r="J13469">
        <v>1</v>
      </c>
      <c r="K13469">
        <v>12</v>
      </c>
      <c r="L13469">
        <v>437</v>
      </c>
      <c r="M13469">
        <v>1</v>
      </c>
      <c r="N13469">
        <v>1.50762E-147</v>
      </c>
      <c r="O13469">
        <v>1339</v>
      </c>
    </row>
    <row r="13470" spans="1:15" x14ac:dyDescent="0.25">
      <c r="A13470" t="s">
        <v>13483</v>
      </c>
      <c r="B13470">
        <v>208</v>
      </c>
      <c r="C13470" s="1" t="str">
        <f>HYPERLINK("http://www.rosaceae.org/gb/gbrowse/malus_x_domestica/?name=MDP0000245693","MDP0000245693")</f>
        <v>MDP0000245693</v>
      </c>
      <c r="D13470">
        <v>59.13</v>
      </c>
      <c r="E13470">
        <v>230</v>
      </c>
      <c r="F13470">
        <v>94</v>
      </c>
      <c r="G13470">
        <v>37</v>
      </c>
      <c r="H13470">
        <v>6</v>
      </c>
      <c r="I13470">
        <v>208</v>
      </c>
      <c r="J13470">
        <v>1</v>
      </c>
      <c r="K13470">
        <v>289</v>
      </c>
      <c r="L13470">
        <v>508</v>
      </c>
      <c r="M13470">
        <v>1</v>
      </c>
      <c r="N13470">
        <v>1.68088E-62</v>
      </c>
      <c r="O13470">
        <v>601</v>
      </c>
    </row>
    <row r="13471" spans="1:15" x14ac:dyDescent="0.25">
      <c r="A13471" t="s">
        <v>13484</v>
      </c>
      <c r="B13471">
        <v>1101</v>
      </c>
      <c r="C13471" s="1" t="str">
        <f>HYPERLINK("http://www.rosaceae.org/gb/gbrowse/malus_x_domestica/?name=MDP0000156618","MDP0000156618")</f>
        <v>MDP0000156618</v>
      </c>
      <c r="D13471">
        <v>70.64</v>
      </c>
      <c r="E13471">
        <v>1189</v>
      </c>
      <c r="F13471">
        <v>349</v>
      </c>
      <c r="G13471">
        <v>102</v>
      </c>
      <c r="H13471">
        <v>1</v>
      </c>
      <c r="I13471">
        <v>1100</v>
      </c>
      <c r="J13471">
        <v>1</v>
      </c>
      <c r="K13471">
        <v>1</v>
      </c>
      <c r="L13471">
        <v>1176</v>
      </c>
      <c r="M13471">
        <v>1</v>
      </c>
      <c r="N13471">
        <v>0</v>
      </c>
      <c r="O13471">
        <v>4147</v>
      </c>
    </row>
    <row r="13472" spans="1:15" x14ac:dyDescent="0.25">
      <c r="A13472" t="s">
        <v>13485</v>
      </c>
      <c r="B13472">
        <v>229</v>
      </c>
      <c r="C13472" s="1" t="str">
        <f>HYPERLINK("http://www.rosaceae.org/gb/gbrowse/malus_x_domestica/?name=MDP0000941839","MDP0000941839")</f>
        <v>MDP0000941839</v>
      </c>
      <c r="D13472">
        <v>81.650000000000006</v>
      </c>
      <c r="E13472">
        <v>229</v>
      </c>
      <c r="F13472">
        <v>42</v>
      </c>
      <c r="G13472">
        <v>36</v>
      </c>
      <c r="H13472">
        <v>1</v>
      </c>
      <c r="I13472">
        <v>229</v>
      </c>
      <c r="J13472">
        <v>1</v>
      </c>
      <c r="K13472">
        <v>1</v>
      </c>
      <c r="L13472">
        <v>193</v>
      </c>
      <c r="M13472">
        <v>1</v>
      </c>
      <c r="N13472">
        <v>1.1975E-102</v>
      </c>
      <c r="O13472">
        <v>948</v>
      </c>
    </row>
    <row r="13473" spans="1:15" x14ac:dyDescent="0.25">
      <c r="A13473" t="s">
        <v>13486</v>
      </c>
      <c r="B13473">
        <v>475</v>
      </c>
      <c r="C13473" s="1" t="str">
        <f>HYPERLINK("http://www.rosaceae.org/gb/gbrowse/malus_x_domestica/?name=MDP0000143893","MDP0000143893")</f>
        <v>MDP0000143893</v>
      </c>
      <c r="D13473">
        <v>59.57</v>
      </c>
      <c r="E13473">
        <v>376</v>
      </c>
      <c r="F13473">
        <v>152</v>
      </c>
      <c r="G13473">
        <v>44</v>
      </c>
      <c r="H13473">
        <v>64</v>
      </c>
      <c r="I13473">
        <v>436</v>
      </c>
      <c r="J13473">
        <v>1</v>
      </c>
      <c r="K13473">
        <v>128</v>
      </c>
      <c r="L13473">
        <v>462</v>
      </c>
      <c r="M13473">
        <v>1</v>
      </c>
      <c r="N13473">
        <v>1.9585100000000001E-118</v>
      </c>
      <c r="O13473">
        <v>1088</v>
      </c>
    </row>
    <row r="13474" spans="1:15" x14ac:dyDescent="0.25">
      <c r="A13474" t="s">
        <v>13487</v>
      </c>
      <c r="B13474">
        <v>478</v>
      </c>
      <c r="C13474" s="1" t="str">
        <f>HYPERLINK("http://www.rosaceae.org/gb/gbrowse/malus_x_domestica/?name=MDP0000273989","MDP0000273989")</f>
        <v>MDP0000273989</v>
      </c>
      <c r="D13474">
        <v>42.3</v>
      </c>
      <c r="E13474">
        <v>208</v>
      </c>
      <c r="F13474">
        <v>120</v>
      </c>
      <c r="G13474">
        <v>35</v>
      </c>
      <c r="H13474">
        <v>239</v>
      </c>
      <c r="I13474">
        <v>411</v>
      </c>
      <c r="J13474">
        <v>1</v>
      </c>
      <c r="K13474">
        <v>50</v>
      </c>
      <c r="L13474">
        <v>257</v>
      </c>
      <c r="M13474">
        <v>1</v>
      </c>
      <c r="N13474">
        <v>7.7992099999999996E-42</v>
      </c>
      <c r="O13474">
        <v>427</v>
      </c>
    </row>
    <row r="13475" spans="1:15" x14ac:dyDescent="0.25">
      <c r="A13475" t="s">
        <v>13488</v>
      </c>
      <c r="B13475">
        <v>1190</v>
      </c>
      <c r="C13475" s="1" t="str">
        <f>HYPERLINK("http://www.rosaceae.org/gb/gbrowse/malus_x_domestica/?name=MDP0000617759","MDP0000617759")</f>
        <v>MDP0000617759</v>
      </c>
      <c r="D13475">
        <v>51.75</v>
      </c>
      <c r="E13475">
        <v>941</v>
      </c>
      <c r="F13475">
        <v>454</v>
      </c>
      <c r="G13475">
        <v>120</v>
      </c>
      <c r="H13475">
        <v>59</v>
      </c>
      <c r="I13475">
        <v>925</v>
      </c>
      <c r="J13475">
        <v>1</v>
      </c>
      <c r="K13475">
        <v>1133</v>
      </c>
      <c r="L13475">
        <v>2027</v>
      </c>
      <c r="M13475">
        <v>1</v>
      </c>
      <c r="N13475">
        <v>0</v>
      </c>
      <c r="O13475">
        <v>2166</v>
      </c>
    </row>
    <row r="13476" spans="1:15" x14ac:dyDescent="0.25">
      <c r="A13476" t="s">
        <v>13489</v>
      </c>
      <c r="B13476">
        <v>1513</v>
      </c>
      <c r="C13476" s="1" t="str">
        <f>HYPERLINK("http://www.rosaceae.org/gb/gbrowse/malus_x_domestica/?name=MDP0000266453","MDP0000266453")</f>
        <v>MDP0000266453</v>
      </c>
      <c r="D13476">
        <v>76.8</v>
      </c>
      <c r="E13476">
        <v>819</v>
      </c>
      <c r="F13476">
        <v>190</v>
      </c>
      <c r="G13476">
        <v>13</v>
      </c>
      <c r="H13476">
        <v>605</v>
      </c>
      <c r="I13476">
        <v>1411</v>
      </c>
      <c r="J13476">
        <v>1</v>
      </c>
      <c r="K13476">
        <v>439</v>
      </c>
      <c r="L13476">
        <v>1256</v>
      </c>
      <c r="M13476">
        <v>1</v>
      </c>
      <c r="N13476">
        <v>0</v>
      </c>
      <c r="O13476">
        <v>3092</v>
      </c>
    </row>
    <row r="13477" spans="1:15" x14ac:dyDescent="0.25">
      <c r="A13477" t="s">
        <v>13490</v>
      </c>
      <c r="B13477">
        <v>551</v>
      </c>
      <c r="C13477" s="1" t="str">
        <f>HYPERLINK("http://www.rosaceae.org/gb/gbrowse/malus_x_domestica/?name=MDP0000149925","MDP0000149925")</f>
        <v>MDP0000149925</v>
      </c>
      <c r="D13477">
        <v>53.96</v>
      </c>
      <c r="E13477">
        <v>504</v>
      </c>
      <c r="F13477">
        <v>232</v>
      </c>
      <c r="G13477">
        <v>32</v>
      </c>
      <c r="H13477">
        <v>26</v>
      </c>
      <c r="I13477">
        <v>522</v>
      </c>
      <c r="J13477">
        <v>1</v>
      </c>
      <c r="K13477">
        <v>22</v>
      </c>
      <c r="L13477">
        <v>500</v>
      </c>
      <c r="M13477">
        <v>1</v>
      </c>
      <c r="N13477">
        <v>2.6298800000000001E-131</v>
      </c>
      <c r="O13477">
        <v>1199</v>
      </c>
    </row>
    <row r="13478" spans="1:15" x14ac:dyDescent="0.25">
      <c r="A13478" t="s">
        <v>13491</v>
      </c>
      <c r="B13478">
        <v>370</v>
      </c>
      <c r="C13478" s="1" t="str">
        <f>HYPERLINK("http://www.rosaceae.org/gb/gbrowse/malus_x_domestica/?name=MDP0000138698","MDP0000138698")</f>
        <v>MDP0000138698</v>
      </c>
      <c r="D13478">
        <v>32.94</v>
      </c>
      <c r="E13478">
        <v>340</v>
      </c>
      <c r="F13478">
        <v>228</v>
      </c>
      <c r="G13478">
        <v>60</v>
      </c>
      <c r="H13478">
        <v>70</v>
      </c>
      <c r="I13478">
        <v>369</v>
      </c>
      <c r="J13478">
        <v>1</v>
      </c>
      <c r="K13478">
        <v>96</v>
      </c>
      <c r="L13478">
        <v>415</v>
      </c>
      <c r="M13478">
        <v>1</v>
      </c>
      <c r="N13478">
        <v>3.5430599999999996E-46</v>
      </c>
      <c r="O13478">
        <v>463</v>
      </c>
    </row>
    <row r="13479" spans="1:15" x14ac:dyDescent="0.25">
      <c r="A13479" t="s">
        <v>13492</v>
      </c>
      <c r="B13479">
        <v>233</v>
      </c>
      <c r="C13479" s="1" t="str">
        <f>HYPERLINK("http://www.rosaceae.org/gb/gbrowse/malus_x_domestica/?name=MDP0000849234","MDP0000849234")</f>
        <v>MDP0000849234</v>
      </c>
      <c r="D13479">
        <v>43.61</v>
      </c>
      <c r="E13479">
        <v>227</v>
      </c>
      <c r="F13479">
        <v>128</v>
      </c>
      <c r="G13479">
        <v>33</v>
      </c>
      <c r="H13479">
        <v>10</v>
      </c>
      <c r="I13479">
        <v>217</v>
      </c>
      <c r="J13479">
        <v>1</v>
      </c>
      <c r="K13479">
        <v>55</v>
      </c>
      <c r="L13479">
        <v>267</v>
      </c>
      <c r="M13479">
        <v>1</v>
      </c>
      <c r="N13479">
        <v>1.95726E-38</v>
      </c>
      <c r="O13479">
        <v>394</v>
      </c>
    </row>
    <row r="13480" spans="1:15" x14ac:dyDescent="0.25">
      <c r="A13480" t="s">
        <v>13493</v>
      </c>
      <c r="B13480">
        <v>437</v>
      </c>
      <c r="C13480" s="1" t="str">
        <f>HYPERLINK("http://www.rosaceae.org/gb/gbrowse/malus_x_domestica/?name=MDP0000192559","MDP0000192559")</f>
        <v>MDP0000192559</v>
      </c>
      <c r="D13480">
        <v>73.23</v>
      </c>
      <c r="E13480">
        <v>269</v>
      </c>
      <c r="F13480">
        <v>72</v>
      </c>
      <c r="G13480">
        <v>4</v>
      </c>
      <c r="H13480">
        <v>173</v>
      </c>
      <c r="I13480">
        <v>437</v>
      </c>
      <c r="J13480">
        <v>1</v>
      </c>
      <c r="K13480">
        <v>139</v>
      </c>
      <c r="L13480">
        <v>407</v>
      </c>
      <c r="M13480">
        <v>1</v>
      </c>
      <c r="N13480">
        <v>1.06113E-95</v>
      </c>
      <c r="O13480">
        <v>891</v>
      </c>
    </row>
    <row r="13481" spans="1:15" x14ac:dyDescent="0.25">
      <c r="A13481" t="s">
        <v>13494</v>
      </c>
      <c r="B13481">
        <v>300</v>
      </c>
      <c r="C13481" s="1" t="str">
        <f>HYPERLINK("http://www.rosaceae.org/gb/gbrowse/malus_x_domestica/?name=MDP0000275060","MDP0000275060")</f>
        <v>MDP0000275060</v>
      </c>
      <c r="D13481">
        <v>70.62</v>
      </c>
      <c r="E13481">
        <v>286</v>
      </c>
      <c r="F13481">
        <v>84</v>
      </c>
      <c r="G13481">
        <v>13</v>
      </c>
      <c r="H13481">
        <v>1</v>
      </c>
      <c r="I13481">
        <v>286</v>
      </c>
      <c r="J13481">
        <v>1</v>
      </c>
      <c r="K13481">
        <v>20</v>
      </c>
      <c r="L13481">
        <v>292</v>
      </c>
      <c r="M13481">
        <v>1</v>
      </c>
      <c r="N13481">
        <v>2.8948499999999999E-120</v>
      </c>
      <c r="O13481">
        <v>1101</v>
      </c>
    </row>
    <row r="13482" spans="1:15" x14ac:dyDescent="0.25">
      <c r="A13482" t="s">
        <v>13495</v>
      </c>
      <c r="B13482">
        <v>528</v>
      </c>
      <c r="C13482" s="1" t="str">
        <f>HYPERLINK("http://www.rosaceae.org/gb/gbrowse/malus_x_domestica/?name=MDP0000254924","MDP0000254924")</f>
        <v>MDP0000254924</v>
      </c>
      <c r="D13482">
        <v>73.92</v>
      </c>
      <c r="E13482">
        <v>514</v>
      </c>
      <c r="F13482">
        <v>134</v>
      </c>
      <c r="G13482">
        <v>20</v>
      </c>
      <c r="H13482">
        <v>1</v>
      </c>
      <c r="I13482">
        <v>510</v>
      </c>
      <c r="J13482">
        <v>1</v>
      </c>
      <c r="K13482">
        <v>801</v>
      </c>
      <c r="L13482">
        <v>1298</v>
      </c>
      <c r="M13482">
        <v>1</v>
      </c>
      <c r="N13482">
        <v>0</v>
      </c>
      <c r="O13482">
        <v>1944</v>
      </c>
    </row>
    <row r="13483" spans="1:15" x14ac:dyDescent="0.25">
      <c r="A13483" t="s">
        <v>13496</v>
      </c>
      <c r="B13483">
        <v>441</v>
      </c>
      <c r="C13483" s="1" t="str">
        <f>HYPERLINK("http://www.rosaceae.org/gb/gbrowse/malus_x_domestica/?name=MDP0000623346","MDP0000623346")</f>
        <v>MDP0000623346</v>
      </c>
      <c r="D13483">
        <v>93.19</v>
      </c>
      <c r="E13483">
        <v>235</v>
      </c>
      <c r="F13483">
        <v>16</v>
      </c>
      <c r="G13483">
        <v>0</v>
      </c>
      <c r="H13483">
        <v>207</v>
      </c>
      <c r="I13483">
        <v>441</v>
      </c>
      <c r="J13483">
        <v>1</v>
      </c>
      <c r="K13483">
        <v>137</v>
      </c>
      <c r="L13483">
        <v>371</v>
      </c>
      <c r="M13483">
        <v>1</v>
      </c>
      <c r="N13483">
        <v>2.5755699999999998E-134</v>
      </c>
      <c r="O13483">
        <v>1224</v>
      </c>
    </row>
    <row r="13484" spans="1:15" x14ac:dyDescent="0.25">
      <c r="A13484" t="s">
        <v>13497</v>
      </c>
      <c r="B13484">
        <v>706</v>
      </c>
      <c r="C13484" s="1" t="str">
        <f>HYPERLINK("http://www.rosaceae.org/gb/gbrowse/malus_x_domestica/?name=MDP0000179039","MDP0000179039")</f>
        <v>MDP0000179039</v>
      </c>
      <c r="D13484">
        <v>38.69</v>
      </c>
      <c r="E13484">
        <v>703</v>
      </c>
      <c r="F13484">
        <v>431</v>
      </c>
      <c r="G13484">
        <v>126</v>
      </c>
      <c r="H13484">
        <v>1</v>
      </c>
      <c r="I13484">
        <v>659</v>
      </c>
      <c r="J13484">
        <v>1</v>
      </c>
      <c r="K13484">
        <v>48</v>
      </c>
      <c r="L13484">
        <v>668</v>
      </c>
      <c r="M13484">
        <v>1</v>
      </c>
      <c r="N13484">
        <v>8.2667899999999995E-123</v>
      </c>
      <c r="O13484">
        <v>1127</v>
      </c>
    </row>
    <row r="13485" spans="1:15" x14ac:dyDescent="0.25">
      <c r="A13485" t="s">
        <v>13498</v>
      </c>
      <c r="B13485">
        <v>157</v>
      </c>
      <c r="C13485" s="1" t="str">
        <f>HYPERLINK("http://www.rosaceae.org/gb/gbrowse/malus_x_domestica/?name=MDP0000168790","MDP0000168790")</f>
        <v>MDP0000168790</v>
      </c>
      <c r="D13485">
        <v>51.63</v>
      </c>
      <c r="E13485">
        <v>184</v>
      </c>
      <c r="F13485">
        <v>89</v>
      </c>
      <c r="G13485">
        <v>47</v>
      </c>
      <c r="H13485">
        <v>19</v>
      </c>
      <c r="I13485">
        <v>155</v>
      </c>
      <c r="J13485">
        <v>1</v>
      </c>
      <c r="K13485">
        <v>6</v>
      </c>
      <c r="L13485">
        <v>189</v>
      </c>
      <c r="M13485">
        <v>1</v>
      </c>
      <c r="N13485">
        <v>5.3524199999999997E-42</v>
      </c>
      <c r="O13485">
        <v>422</v>
      </c>
    </row>
    <row r="13486" spans="1:15" x14ac:dyDescent="0.25">
      <c r="A13486" t="s">
        <v>13499</v>
      </c>
      <c r="B13486">
        <v>457</v>
      </c>
      <c r="C13486" s="1" t="str">
        <f>HYPERLINK("http://www.rosaceae.org/gb/gbrowse/malus_x_domestica/?name=MDP0000256303","MDP0000256303")</f>
        <v>MDP0000256303</v>
      </c>
      <c r="D13486">
        <v>79.94</v>
      </c>
      <c r="E13486">
        <v>369</v>
      </c>
      <c r="F13486">
        <v>74</v>
      </c>
      <c r="G13486">
        <v>1</v>
      </c>
      <c r="H13486">
        <v>90</v>
      </c>
      <c r="I13486">
        <v>457</v>
      </c>
      <c r="J13486">
        <v>1</v>
      </c>
      <c r="K13486">
        <v>1005</v>
      </c>
      <c r="L13486">
        <v>1373</v>
      </c>
      <c r="M13486">
        <v>1</v>
      </c>
      <c r="N13486">
        <v>0</v>
      </c>
      <c r="O13486">
        <v>1642</v>
      </c>
    </row>
    <row r="13487" spans="1:15" x14ac:dyDescent="0.25">
      <c r="A13487" t="s">
        <v>13500</v>
      </c>
      <c r="B13487">
        <v>368</v>
      </c>
      <c r="C13487" s="1" t="str">
        <f>HYPERLINK("http://www.rosaceae.org/gb/gbrowse/malus_x_domestica/?name=MDP0000172739","MDP0000172739")</f>
        <v>MDP0000172739</v>
      </c>
      <c r="D13487">
        <v>77.66</v>
      </c>
      <c r="E13487">
        <v>385</v>
      </c>
      <c r="F13487">
        <v>86</v>
      </c>
      <c r="G13487">
        <v>38</v>
      </c>
      <c r="H13487">
        <v>15</v>
      </c>
      <c r="I13487">
        <v>368</v>
      </c>
      <c r="J13487">
        <v>1</v>
      </c>
      <c r="K13487">
        <v>28</v>
      </c>
      <c r="L13487">
        <v>405</v>
      </c>
      <c r="M13487">
        <v>1</v>
      </c>
      <c r="N13487">
        <v>2.1314999999999998E-161</v>
      </c>
      <c r="O13487">
        <v>1457</v>
      </c>
    </row>
    <row r="13488" spans="1:15" x14ac:dyDescent="0.25">
      <c r="A13488" t="s">
        <v>13501</v>
      </c>
      <c r="B13488">
        <v>819</v>
      </c>
      <c r="C13488" s="1" t="str">
        <f>HYPERLINK("http://www.rosaceae.org/gb/gbrowse/malus_x_domestica/?name=MDP0000260294","MDP0000260294")</f>
        <v>MDP0000260294</v>
      </c>
      <c r="D13488">
        <v>72.010000000000005</v>
      </c>
      <c r="E13488">
        <v>822</v>
      </c>
      <c r="F13488">
        <v>230</v>
      </c>
      <c r="G13488">
        <v>9</v>
      </c>
      <c r="H13488">
        <v>5</v>
      </c>
      <c r="I13488">
        <v>819</v>
      </c>
      <c r="J13488">
        <v>1</v>
      </c>
      <c r="K13488">
        <v>4</v>
      </c>
      <c r="L13488">
        <v>823</v>
      </c>
      <c r="M13488">
        <v>1</v>
      </c>
      <c r="N13488">
        <v>0</v>
      </c>
      <c r="O13488">
        <v>3103</v>
      </c>
    </row>
    <row r="13489" spans="1:15" x14ac:dyDescent="0.25">
      <c r="A13489" t="s">
        <v>13502</v>
      </c>
      <c r="B13489">
        <v>406</v>
      </c>
      <c r="C13489" s="1" t="str">
        <f>HYPERLINK("http://www.rosaceae.org/gb/gbrowse/malus_x_domestica/?name=MDP0000145734","MDP0000145734")</f>
        <v>MDP0000145734</v>
      </c>
      <c r="D13489">
        <v>61.95</v>
      </c>
      <c r="E13489">
        <v>389</v>
      </c>
      <c r="F13489">
        <v>148</v>
      </c>
      <c r="G13489">
        <v>8</v>
      </c>
      <c r="H13489">
        <v>18</v>
      </c>
      <c r="I13489">
        <v>406</v>
      </c>
      <c r="J13489">
        <v>1</v>
      </c>
      <c r="K13489">
        <v>66</v>
      </c>
      <c r="L13489">
        <v>446</v>
      </c>
      <c r="M13489">
        <v>1</v>
      </c>
      <c r="N13489">
        <v>1.4922000000000001E-134</v>
      </c>
      <c r="O13489">
        <v>1226</v>
      </c>
    </row>
    <row r="13490" spans="1:15" x14ac:dyDescent="0.25">
      <c r="A13490" t="s">
        <v>13503</v>
      </c>
      <c r="B13490">
        <v>261</v>
      </c>
      <c r="C13490" s="1" t="str">
        <f>HYPERLINK("http://www.rosaceae.org/gb/gbrowse/malus_x_domestica/?name=MDP0000192720","MDP0000192720")</f>
        <v>MDP0000192720</v>
      </c>
      <c r="D13490">
        <v>67.819999999999993</v>
      </c>
      <c r="E13490">
        <v>230</v>
      </c>
      <c r="F13490">
        <v>74</v>
      </c>
      <c r="G13490">
        <v>32</v>
      </c>
      <c r="H13490">
        <v>48</v>
      </c>
      <c r="I13490">
        <v>245</v>
      </c>
      <c r="J13490">
        <v>1</v>
      </c>
      <c r="K13490">
        <v>61</v>
      </c>
      <c r="L13490">
        <v>290</v>
      </c>
      <c r="M13490">
        <v>1</v>
      </c>
      <c r="N13490">
        <v>5.7100299999999998E-78</v>
      </c>
      <c r="O13490">
        <v>736</v>
      </c>
    </row>
    <row r="13491" spans="1:15" x14ac:dyDescent="0.25">
      <c r="A13491" t="s">
        <v>13504</v>
      </c>
      <c r="B13491">
        <v>265</v>
      </c>
      <c r="C13491" s="1" t="str">
        <f>HYPERLINK("http://www.rosaceae.org/gb/gbrowse/malus_x_domestica/?name=MDP0000945788","MDP0000945788")</f>
        <v>MDP0000945788</v>
      </c>
      <c r="D13491">
        <v>74.680000000000007</v>
      </c>
      <c r="E13491">
        <v>158</v>
      </c>
      <c r="F13491">
        <v>40</v>
      </c>
      <c r="G13491">
        <v>0</v>
      </c>
      <c r="H13491">
        <v>103</v>
      </c>
      <c r="I13491">
        <v>260</v>
      </c>
      <c r="J13491">
        <v>1</v>
      </c>
      <c r="K13491">
        <v>26</v>
      </c>
      <c r="L13491">
        <v>183</v>
      </c>
      <c r="M13491">
        <v>1</v>
      </c>
      <c r="N13491">
        <v>2.81339E-67</v>
      </c>
      <c r="O13491">
        <v>643</v>
      </c>
    </row>
    <row r="13492" spans="1:15" x14ac:dyDescent="0.25">
      <c r="A13492" t="s">
        <v>13505</v>
      </c>
      <c r="B13492">
        <v>443</v>
      </c>
      <c r="C13492" s="1" t="str">
        <f>HYPERLINK("http://www.rosaceae.org/gb/gbrowse/malus_x_domestica/?name=MDP0000272067","MDP0000272067")</f>
        <v>MDP0000272067</v>
      </c>
      <c r="D13492">
        <v>73.42</v>
      </c>
      <c r="E13492">
        <v>459</v>
      </c>
      <c r="F13492">
        <v>122</v>
      </c>
      <c r="G13492">
        <v>21</v>
      </c>
      <c r="H13492">
        <v>1</v>
      </c>
      <c r="I13492">
        <v>442</v>
      </c>
      <c r="J13492">
        <v>1</v>
      </c>
      <c r="K13492">
        <v>40</v>
      </c>
      <c r="L13492">
        <v>494</v>
      </c>
      <c r="M13492">
        <v>1</v>
      </c>
      <c r="N13492">
        <v>0</v>
      </c>
      <c r="O13492">
        <v>1669</v>
      </c>
    </row>
    <row r="13493" spans="1:15" x14ac:dyDescent="0.25">
      <c r="A13493" t="s">
        <v>13506</v>
      </c>
      <c r="B13493">
        <v>294</v>
      </c>
      <c r="C13493" s="1" t="str">
        <f>HYPERLINK("http://www.rosaceae.org/gb/gbrowse/malus_x_domestica/?name=MDP0000306870","MDP0000306870")</f>
        <v>MDP0000306870</v>
      </c>
      <c r="D13493">
        <v>36.36</v>
      </c>
      <c r="E13493">
        <v>132</v>
      </c>
      <c r="F13493">
        <v>84</v>
      </c>
      <c r="G13493">
        <v>1</v>
      </c>
      <c r="H13493">
        <v>2</v>
      </c>
      <c r="I13493">
        <v>132</v>
      </c>
      <c r="J13493">
        <v>1</v>
      </c>
      <c r="K13493">
        <v>4</v>
      </c>
      <c r="L13493">
        <v>135</v>
      </c>
      <c r="M13493">
        <v>1</v>
      </c>
      <c r="N13493">
        <v>1.24718E-11</v>
      </c>
      <c r="O13493">
        <v>164</v>
      </c>
    </row>
    <row r="13494" spans="1:15" x14ac:dyDescent="0.25">
      <c r="A13494" t="s">
        <v>13507</v>
      </c>
      <c r="B13494">
        <v>1098</v>
      </c>
      <c r="C13494" s="1" t="str">
        <f>HYPERLINK("http://www.rosaceae.org/gb/gbrowse/malus_x_domestica/?name=MDP0000206348","MDP0000206348")</f>
        <v>MDP0000206348</v>
      </c>
      <c r="D13494">
        <v>89.72</v>
      </c>
      <c r="E13494">
        <v>954</v>
      </c>
      <c r="F13494">
        <v>98</v>
      </c>
      <c r="G13494">
        <v>11</v>
      </c>
      <c r="H13494">
        <v>154</v>
      </c>
      <c r="I13494">
        <v>1097</v>
      </c>
      <c r="J13494">
        <v>1</v>
      </c>
      <c r="K13494">
        <v>1</v>
      </c>
      <c r="L13494">
        <v>953</v>
      </c>
      <c r="M13494">
        <v>1</v>
      </c>
      <c r="N13494">
        <v>0</v>
      </c>
      <c r="O13494">
        <v>4464</v>
      </c>
    </row>
    <row r="13495" spans="1:15" x14ac:dyDescent="0.25">
      <c r="A13495" t="s">
        <v>13508</v>
      </c>
      <c r="B13495">
        <v>906</v>
      </c>
      <c r="C13495" s="1" t="str">
        <f>HYPERLINK("http://www.rosaceae.org/gb/gbrowse/malus_x_domestica/?name=MDP0000317119","MDP0000317119")</f>
        <v>MDP0000317119</v>
      </c>
      <c r="D13495">
        <v>71.16</v>
      </c>
      <c r="E13495">
        <v>541</v>
      </c>
      <c r="F13495">
        <v>156</v>
      </c>
      <c r="G13495">
        <v>10</v>
      </c>
      <c r="H13495">
        <v>13</v>
      </c>
      <c r="I13495">
        <v>552</v>
      </c>
      <c r="J13495">
        <v>1</v>
      </c>
      <c r="K13495">
        <v>13</v>
      </c>
      <c r="L13495">
        <v>544</v>
      </c>
      <c r="M13495">
        <v>1</v>
      </c>
      <c r="N13495">
        <v>0</v>
      </c>
      <c r="O13495">
        <v>2014</v>
      </c>
    </row>
    <row r="13496" spans="1:15" x14ac:dyDescent="0.25">
      <c r="A13496" t="s">
        <v>13509</v>
      </c>
      <c r="B13496">
        <v>591</v>
      </c>
      <c r="C13496" s="1" t="str">
        <f>HYPERLINK("http://www.rosaceae.org/gb/gbrowse/malus_x_domestica/?name=MDP0000892526","MDP0000892526")</f>
        <v>MDP0000892526</v>
      </c>
      <c r="D13496">
        <v>78.349999999999994</v>
      </c>
      <c r="E13496">
        <v>462</v>
      </c>
      <c r="F13496">
        <v>100</v>
      </c>
      <c r="G13496">
        <v>2</v>
      </c>
      <c r="H13496">
        <v>1</v>
      </c>
      <c r="I13496">
        <v>461</v>
      </c>
      <c r="J13496">
        <v>1</v>
      </c>
      <c r="K13496">
        <v>1</v>
      </c>
      <c r="L13496">
        <v>461</v>
      </c>
      <c r="M13496">
        <v>1</v>
      </c>
      <c r="N13496">
        <v>0</v>
      </c>
      <c r="O13496">
        <v>1931</v>
      </c>
    </row>
    <row r="13497" spans="1:15" x14ac:dyDescent="0.25">
      <c r="A13497" t="s">
        <v>13510</v>
      </c>
      <c r="B13497">
        <v>589</v>
      </c>
      <c r="C13497" s="1" t="str">
        <f>HYPERLINK("http://www.rosaceae.org/gb/gbrowse/malus_x_domestica/?name=MDP0000303736","MDP0000303736")</f>
        <v>MDP0000303736</v>
      </c>
      <c r="D13497">
        <v>79.959999999999994</v>
      </c>
      <c r="E13497">
        <v>519</v>
      </c>
      <c r="F13497">
        <v>104</v>
      </c>
      <c r="G13497">
        <v>3</v>
      </c>
      <c r="H13497">
        <v>49</v>
      </c>
      <c r="I13497">
        <v>567</v>
      </c>
      <c r="J13497">
        <v>1</v>
      </c>
      <c r="K13497">
        <v>48</v>
      </c>
      <c r="L13497">
        <v>563</v>
      </c>
      <c r="M13497">
        <v>1</v>
      </c>
      <c r="N13497">
        <v>0</v>
      </c>
      <c r="O13497">
        <v>2128</v>
      </c>
    </row>
    <row r="13498" spans="1:15" x14ac:dyDescent="0.25">
      <c r="A13498" t="s">
        <v>13511</v>
      </c>
      <c r="B13498">
        <v>386</v>
      </c>
      <c r="C13498" s="1" t="str">
        <f>HYPERLINK("http://www.rosaceae.org/gb/gbrowse/malus_x_domestica/?name=MDP0000120805","MDP0000120805")</f>
        <v>MDP0000120805</v>
      </c>
      <c r="D13498">
        <v>59.21</v>
      </c>
      <c r="E13498">
        <v>228</v>
      </c>
      <c r="F13498">
        <v>93</v>
      </c>
      <c r="G13498">
        <v>12</v>
      </c>
      <c r="H13498">
        <v>1</v>
      </c>
      <c r="I13498">
        <v>217</v>
      </c>
      <c r="J13498">
        <v>1</v>
      </c>
      <c r="K13498">
        <v>1</v>
      </c>
      <c r="L13498">
        <v>227</v>
      </c>
      <c r="M13498">
        <v>1</v>
      </c>
      <c r="N13498">
        <v>5.7576700000000001E-70</v>
      </c>
      <c r="O13498">
        <v>669</v>
      </c>
    </row>
    <row r="13499" spans="1:15" x14ac:dyDescent="0.25">
      <c r="A13499" t="s">
        <v>13512</v>
      </c>
      <c r="B13499">
        <v>771</v>
      </c>
      <c r="C13499" s="1" t="str">
        <f>HYPERLINK("http://www.rosaceae.org/gb/gbrowse/malus_x_domestica/?name=MDP0000303522","MDP0000303522")</f>
        <v>MDP0000303522</v>
      </c>
      <c r="D13499">
        <v>76.42</v>
      </c>
      <c r="E13499">
        <v>509</v>
      </c>
      <c r="F13499">
        <v>120</v>
      </c>
      <c r="G13499">
        <v>43</v>
      </c>
      <c r="H13499">
        <v>4</v>
      </c>
      <c r="I13499">
        <v>486</v>
      </c>
      <c r="J13499">
        <v>1</v>
      </c>
      <c r="K13499">
        <v>1</v>
      </c>
      <c r="L13499">
        <v>492</v>
      </c>
      <c r="M13499">
        <v>1</v>
      </c>
      <c r="N13499">
        <v>0</v>
      </c>
      <c r="O13499">
        <v>1928</v>
      </c>
    </row>
    <row r="13500" spans="1:15" x14ac:dyDescent="0.25">
      <c r="A13500" t="s">
        <v>13513</v>
      </c>
      <c r="B13500">
        <v>171</v>
      </c>
      <c r="C13500" s="1" t="str">
        <f>HYPERLINK("http://www.rosaceae.org/gb/gbrowse/malus_x_domestica/?name=MDP0000288172","MDP0000288172")</f>
        <v>MDP0000288172</v>
      </c>
      <c r="D13500">
        <v>49.33</v>
      </c>
      <c r="E13500">
        <v>225</v>
      </c>
      <c r="F13500">
        <v>114</v>
      </c>
      <c r="G13500">
        <v>54</v>
      </c>
      <c r="H13500">
        <v>1</v>
      </c>
      <c r="I13500">
        <v>171</v>
      </c>
      <c r="J13500">
        <v>1</v>
      </c>
      <c r="K13500">
        <v>195</v>
      </c>
      <c r="L13500">
        <v>419</v>
      </c>
      <c r="M13500">
        <v>1</v>
      </c>
      <c r="N13500">
        <v>2.8144899999999997E-54</v>
      </c>
      <c r="O13500">
        <v>529</v>
      </c>
    </row>
    <row r="13501" spans="1:15" x14ac:dyDescent="0.25">
      <c r="A13501" t="s">
        <v>13514</v>
      </c>
      <c r="B13501">
        <v>267</v>
      </c>
      <c r="C13501" s="1" t="str">
        <f>HYPERLINK("http://www.rosaceae.org/gb/gbrowse/malus_x_domestica/?name=MDP0000879480","MDP0000879480")</f>
        <v>MDP0000879480</v>
      </c>
      <c r="D13501">
        <v>76.92</v>
      </c>
      <c r="E13501">
        <v>221</v>
      </c>
      <c r="F13501">
        <v>51</v>
      </c>
      <c r="G13501">
        <v>8</v>
      </c>
      <c r="H13501">
        <v>1</v>
      </c>
      <c r="I13501">
        <v>213</v>
      </c>
      <c r="J13501">
        <v>1</v>
      </c>
      <c r="K13501">
        <v>1</v>
      </c>
      <c r="L13501">
        <v>221</v>
      </c>
      <c r="M13501">
        <v>1</v>
      </c>
      <c r="N13501">
        <v>2.0058899999999999E-96</v>
      </c>
      <c r="O13501">
        <v>895</v>
      </c>
    </row>
    <row r="13502" spans="1:15" x14ac:dyDescent="0.25">
      <c r="A13502" t="s">
        <v>13515</v>
      </c>
      <c r="B13502">
        <v>1043</v>
      </c>
      <c r="C13502" s="1" t="str">
        <f>HYPERLINK("http://www.rosaceae.org/gb/gbrowse/malus_x_domestica/?name=MDP0000209424","MDP0000209424")</f>
        <v>MDP0000209424</v>
      </c>
      <c r="D13502">
        <v>53.09</v>
      </c>
      <c r="E13502">
        <v>1130</v>
      </c>
      <c r="F13502">
        <v>530</v>
      </c>
      <c r="G13502">
        <v>221</v>
      </c>
      <c r="H13502">
        <v>6</v>
      </c>
      <c r="I13502">
        <v>1039</v>
      </c>
      <c r="J13502">
        <v>1</v>
      </c>
      <c r="K13502">
        <v>7</v>
      </c>
      <c r="L13502">
        <v>1011</v>
      </c>
      <c r="M13502">
        <v>1</v>
      </c>
      <c r="N13502">
        <v>0</v>
      </c>
      <c r="O13502">
        <v>2494</v>
      </c>
    </row>
    <row r="13503" spans="1:15" x14ac:dyDescent="0.25">
      <c r="A13503" t="s">
        <v>13516</v>
      </c>
      <c r="B13503">
        <v>438</v>
      </c>
      <c r="C13503" s="1" t="str">
        <f>HYPERLINK("http://www.rosaceae.org/gb/gbrowse/malus_x_domestica/?name=MDP0000247921","MDP0000247921")</f>
        <v>MDP0000247921</v>
      </c>
      <c r="D13503">
        <v>37.81</v>
      </c>
      <c r="E13503">
        <v>275</v>
      </c>
      <c r="F13503">
        <v>171</v>
      </c>
      <c r="G13503">
        <v>27</v>
      </c>
      <c r="H13503">
        <v>144</v>
      </c>
      <c r="I13503">
        <v>392</v>
      </c>
      <c r="J13503">
        <v>1</v>
      </c>
      <c r="K13503">
        <v>563</v>
      </c>
      <c r="L13503">
        <v>836</v>
      </c>
      <c r="M13503">
        <v>1</v>
      </c>
      <c r="N13503">
        <v>2.0482700000000001E-53</v>
      </c>
      <c r="O13503">
        <v>527</v>
      </c>
    </row>
    <row r="13504" spans="1:15" x14ac:dyDescent="0.25">
      <c r="A13504" t="s">
        <v>13517</v>
      </c>
      <c r="B13504">
        <v>259</v>
      </c>
      <c r="C13504" s="1" t="str">
        <f>HYPERLINK("http://www.rosaceae.org/gb/gbrowse/malus_x_domestica/?name=MDP0000895592","MDP0000895592")</f>
        <v>MDP0000895592</v>
      </c>
      <c r="D13504">
        <v>54.66</v>
      </c>
      <c r="E13504">
        <v>150</v>
      </c>
      <c r="F13504">
        <v>68</v>
      </c>
      <c r="G13504">
        <v>27</v>
      </c>
      <c r="H13504">
        <v>9</v>
      </c>
      <c r="I13504">
        <v>135</v>
      </c>
      <c r="J13504">
        <v>1</v>
      </c>
      <c r="K13504">
        <v>57</v>
      </c>
      <c r="L13504">
        <v>202</v>
      </c>
      <c r="M13504">
        <v>1</v>
      </c>
      <c r="N13504">
        <v>1.07612E-35</v>
      </c>
      <c r="O13504">
        <v>371</v>
      </c>
    </row>
    <row r="13505" spans="1:15" x14ac:dyDescent="0.25">
      <c r="A13505" t="s">
        <v>13518</v>
      </c>
      <c r="B13505">
        <v>367</v>
      </c>
      <c r="C13505" s="1" t="str">
        <f>HYPERLINK("http://www.rosaceae.org/gb/gbrowse/malus_x_domestica/?name=MDP0000285734","MDP0000285734")</f>
        <v>MDP0000285734</v>
      </c>
      <c r="D13505">
        <v>59.93</v>
      </c>
      <c r="E13505">
        <v>332</v>
      </c>
      <c r="F13505">
        <v>133</v>
      </c>
      <c r="G13505">
        <v>54</v>
      </c>
      <c r="H13505">
        <v>77</v>
      </c>
      <c r="I13505">
        <v>355</v>
      </c>
      <c r="J13505">
        <v>1</v>
      </c>
      <c r="K13505">
        <v>922</v>
      </c>
      <c r="L13505">
        <v>1252</v>
      </c>
      <c r="M13505">
        <v>1</v>
      </c>
      <c r="N13505">
        <v>3.9660299999999999E-107</v>
      </c>
      <c r="O13505">
        <v>989</v>
      </c>
    </row>
    <row r="13506" spans="1:15" x14ac:dyDescent="0.25">
      <c r="A13506" t="s">
        <v>13519</v>
      </c>
      <c r="B13506">
        <v>247</v>
      </c>
      <c r="C13506" s="1" t="str">
        <f>HYPERLINK("http://www.rosaceae.org/gb/gbrowse/malus_x_domestica/?name=MDP0000203624","MDP0000203624")</f>
        <v>MDP0000203624</v>
      </c>
      <c r="D13506">
        <v>80.239999999999995</v>
      </c>
      <c r="E13506">
        <v>243</v>
      </c>
      <c r="F13506">
        <v>48</v>
      </c>
      <c r="G13506">
        <v>1</v>
      </c>
      <c r="H13506">
        <v>1</v>
      </c>
      <c r="I13506">
        <v>243</v>
      </c>
      <c r="J13506">
        <v>1</v>
      </c>
      <c r="K13506">
        <v>55</v>
      </c>
      <c r="L13506">
        <v>296</v>
      </c>
      <c r="M13506">
        <v>1</v>
      </c>
      <c r="N13506">
        <v>1.6587300000000001E-112</v>
      </c>
      <c r="O13506">
        <v>1033</v>
      </c>
    </row>
    <row r="13507" spans="1:15" x14ac:dyDescent="0.25">
      <c r="A13507" t="s">
        <v>13520</v>
      </c>
      <c r="B13507">
        <v>176</v>
      </c>
      <c r="C13507" s="1" t="str">
        <f>HYPERLINK("http://www.rosaceae.org/gb/gbrowse/malus_x_domestica/?name=MDP0000167080","MDP0000167080")</f>
        <v>MDP0000167080</v>
      </c>
      <c r="D13507">
        <v>55.83</v>
      </c>
      <c r="E13507">
        <v>120</v>
      </c>
      <c r="F13507">
        <v>53</v>
      </c>
      <c r="G13507">
        <v>23</v>
      </c>
      <c r="H13507">
        <v>68</v>
      </c>
      <c r="I13507">
        <v>165</v>
      </c>
      <c r="J13507">
        <v>1</v>
      </c>
      <c r="K13507">
        <v>139</v>
      </c>
      <c r="L13507">
        <v>257</v>
      </c>
      <c r="M13507">
        <v>1</v>
      </c>
      <c r="N13507">
        <v>4.5508600000000003E-31</v>
      </c>
      <c r="O13507">
        <v>329</v>
      </c>
    </row>
    <row r="13508" spans="1:15" x14ac:dyDescent="0.25">
      <c r="A13508" t="s">
        <v>13521</v>
      </c>
      <c r="B13508">
        <v>268</v>
      </c>
      <c r="C13508" s="1" t="str">
        <f>HYPERLINK("http://www.rosaceae.org/gb/gbrowse/malus_x_domestica/?name=MDP0000292097","MDP0000292097")</f>
        <v>MDP0000292097</v>
      </c>
      <c r="D13508">
        <v>66.31</v>
      </c>
      <c r="E13508">
        <v>190</v>
      </c>
      <c r="F13508">
        <v>64</v>
      </c>
      <c r="G13508">
        <v>4</v>
      </c>
      <c r="H13508">
        <v>12</v>
      </c>
      <c r="I13508">
        <v>197</v>
      </c>
      <c r="J13508">
        <v>1</v>
      </c>
      <c r="K13508">
        <v>959</v>
      </c>
      <c r="L13508">
        <v>1148</v>
      </c>
      <c r="M13508">
        <v>1</v>
      </c>
      <c r="N13508">
        <v>4.5336900000000001E-67</v>
      </c>
      <c r="O13508">
        <v>642</v>
      </c>
    </row>
    <row r="13509" spans="1:15" x14ac:dyDescent="0.25">
      <c r="A13509" t="s">
        <v>13522</v>
      </c>
      <c r="B13509">
        <v>102</v>
      </c>
      <c r="C13509" s="1" t="str">
        <f>HYPERLINK("http://www.rosaceae.org/gb/gbrowse/malus_x_domestica/?name=MDP0000417447","MDP0000417447")</f>
        <v>MDP0000417447</v>
      </c>
      <c r="D13509">
        <v>92.47</v>
      </c>
      <c r="E13509">
        <v>93</v>
      </c>
      <c r="F13509">
        <v>7</v>
      </c>
      <c r="G13509">
        <v>0</v>
      </c>
      <c r="H13509">
        <v>1</v>
      </c>
      <c r="I13509">
        <v>93</v>
      </c>
      <c r="J13509">
        <v>1</v>
      </c>
      <c r="K13509">
        <v>1</v>
      </c>
      <c r="L13509">
        <v>93</v>
      </c>
      <c r="M13509">
        <v>1</v>
      </c>
      <c r="N13509">
        <v>5.6129600000000001E-47</v>
      </c>
      <c r="O13509">
        <v>463</v>
      </c>
    </row>
    <row r="13510" spans="1:15" x14ac:dyDescent="0.25">
      <c r="A13510" t="s">
        <v>13523</v>
      </c>
      <c r="B13510">
        <v>261</v>
      </c>
      <c r="C13510" s="1" t="str">
        <f>HYPERLINK("http://www.rosaceae.org/gb/gbrowse/malus_x_domestica/?name=MDP0000291480","MDP0000291480")</f>
        <v>MDP0000291480</v>
      </c>
      <c r="D13510">
        <v>84.24</v>
      </c>
      <c r="E13510">
        <v>146</v>
      </c>
      <c r="F13510">
        <v>23</v>
      </c>
      <c r="G13510">
        <v>1</v>
      </c>
      <c r="H13510">
        <v>116</v>
      </c>
      <c r="I13510">
        <v>261</v>
      </c>
      <c r="J13510">
        <v>1</v>
      </c>
      <c r="K13510">
        <v>16</v>
      </c>
      <c r="L13510">
        <v>160</v>
      </c>
      <c r="M13510">
        <v>1</v>
      </c>
      <c r="N13510">
        <v>1.44543E-68</v>
      </c>
      <c r="O13510">
        <v>655</v>
      </c>
    </row>
    <row r="13511" spans="1:15" x14ac:dyDescent="0.25">
      <c r="A13511" t="s">
        <v>13524</v>
      </c>
      <c r="B13511">
        <v>454</v>
      </c>
      <c r="C13511" s="1" t="str">
        <f>HYPERLINK("http://www.rosaceae.org/gb/gbrowse/malus_x_domestica/?name=MDP0000142206","MDP0000142206")</f>
        <v>MDP0000142206</v>
      </c>
      <c r="D13511">
        <v>71.86</v>
      </c>
      <c r="E13511">
        <v>359</v>
      </c>
      <c r="F13511">
        <v>101</v>
      </c>
      <c r="G13511">
        <v>16</v>
      </c>
      <c r="H13511">
        <v>111</v>
      </c>
      <c r="I13511">
        <v>454</v>
      </c>
      <c r="J13511">
        <v>1</v>
      </c>
      <c r="K13511">
        <v>105</v>
      </c>
      <c r="L13511">
        <v>462</v>
      </c>
      <c r="M13511">
        <v>1</v>
      </c>
      <c r="N13511">
        <v>1.0561399999999999E-146</v>
      </c>
      <c r="O13511">
        <v>1331</v>
      </c>
    </row>
    <row r="13512" spans="1:15" x14ac:dyDescent="0.25">
      <c r="A13512" t="s">
        <v>13525</v>
      </c>
      <c r="B13512">
        <v>228</v>
      </c>
      <c r="C13512" s="1" t="str">
        <f>HYPERLINK("http://www.rosaceae.org/gb/gbrowse/malus_x_domestica/?name=MDP0000346227","MDP0000346227")</f>
        <v>MDP0000346227</v>
      </c>
      <c r="D13512">
        <v>92.72</v>
      </c>
      <c r="E13512">
        <v>55</v>
      </c>
      <c r="F13512">
        <v>4</v>
      </c>
      <c r="G13512">
        <v>0</v>
      </c>
      <c r="H13512">
        <v>159</v>
      </c>
      <c r="I13512">
        <v>213</v>
      </c>
      <c r="J13512">
        <v>1</v>
      </c>
      <c r="K13512">
        <v>6</v>
      </c>
      <c r="L13512">
        <v>60</v>
      </c>
      <c r="M13512">
        <v>1</v>
      </c>
      <c r="N13512">
        <v>4.9786700000000001E-24</v>
      </c>
      <c r="O13512">
        <v>270</v>
      </c>
    </row>
    <row r="13513" spans="1:15" x14ac:dyDescent="0.25">
      <c r="A13513" t="s">
        <v>13526</v>
      </c>
      <c r="B13513">
        <v>538</v>
      </c>
      <c r="C13513" s="1" t="str">
        <f>HYPERLINK("http://www.rosaceae.org/gb/gbrowse/malus_x_domestica/?name=MDP0000244738","MDP0000244738")</f>
        <v>MDP0000244738</v>
      </c>
      <c r="D13513">
        <v>78.66</v>
      </c>
      <c r="E13513">
        <v>511</v>
      </c>
      <c r="F13513">
        <v>109</v>
      </c>
      <c r="G13513">
        <v>8</v>
      </c>
      <c r="H13513">
        <v>35</v>
      </c>
      <c r="I13513">
        <v>538</v>
      </c>
      <c r="J13513">
        <v>1</v>
      </c>
      <c r="K13513">
        <v>38</v>
      </c>
      <c r="L13513">
        <v>547</v>
      </c>
      <c r="M13513">
        <v>1</v>
      </c>
      <c r="N13513">
        <v>0</v>
      </c>
      <c r="O13513">
        <v>2108</v>
      </c>
    </row>
    <row r="13514" spans="1:15" x14ac:dyDescent="0.25">
      <c r="A13514" t="s">
        <v>13527</v>
      </c>
      <c r="B13514">
        <v>855</v>
      </c>
      <c r="C13514" s="1" t="str">
        <f>HYPERLINK("http://www.rosaceae.org/gb/gbrowse/malus_x_domestica/?name=MDP0000265728","MDP0000265728")</f>
        <v>MDP0000265728</v>
      </c>
      <c r="D13514">
        <v>90.04</v>
      </c>
      <c r="E13514">
        <v>854</v>
      </c>
      <c r="F13514">
        <v>85</v>
      </c>
      <c r="G13514">
        <v>2</v>
      </c>
      <c r="H13514">
        <v>1</v>
      </c>
      <c r="I13514">
        <v>854</v>
      </c>
      <c r="J13514">
        <v>1</v>
      </c>
      <c r="K13514">
        <v>2</v>
      </c>
      <c r="L13514">
        <v>853</v>
      </c>
      <c r="M13514">
        <v>1</v>
      </c>
      <c r="N13514">
        <v>0</v>
      </c>
      <c r="O13514">
        <v>4165</v>
      </c>
    </row>
    <row r="13515" spans="1:15" x14ac:dyDescent="0.25">
      <c r="A13515" t="s">
        <v>13528</v>
      </c>
      <c r="B13515">
        <v>382</v>
      </c>
      <c r="C13515" s="1" t="str">
        <f>HYPERLINK("http://www.rosaceae.org/gb/gbrowse/malus_x_domestica/?name=MDP0000206199","MDP0000206199")</f>
        <v>MDP0000206199</v>
      </c>
      <c r="D13515">
        <v>31.16</v>
      </c>
      <c r="E13515">
        <v>215</v>
      </c>
      <c r="F13515">
        <v>148</v>
      </c>
      <c r="G13515">
        <v>39</v>
      </c>
      <c r="H13515">
        <v>4</v>
      </c>
      <c r="I13515">
        <v>202</v>
      </c>
      <c r="J13515">
        <v>1</v>
      </c>
      <c r="K13515">
        <v>1</v>
      </c>
      <c r="L13515">
        <v>192</v>
      </c>
      <c r="M13515">
        <v>1</v>
      </c>
      <c r="N13515">
        <v>2.8877599999999998E-12</v>
      </c>
      <c r="O13515">
        <v>171</v>
      </c>
    </row>
    <row r="13516" spans="1:15" x14ac:dyDescent="0.25">
      <c r="A13516" t="s">
        <v>13529</v>
      </c>
      <c r="B13516">
        <v>189</v>
      </c>
      <c r="C13516" s="1" t="str">
        <f>HYPERLINK("http://www.rosaceae.org/gb/gbrowse/malus_x_domestica/?name=MDP0000205471","MDP0000205471")</f>
        <v>MDP0000205471</v>
      </c>
      <c r="D13516">
        <v>72.13</v>
      </c>
      <c r="E13516">
        <v>61</v>
      </c>
      <c r="F13516">
        <v>17</v>
      </c>
      <c r="G13516">
        <v>8</v>
      </c>
      <c r="H13516">
        <v>1</v>
      </c>
      <c r="I13516">
        <v>61</v>
      </c>
      <c r="J13516">
        <v>1</v>
      </c>
      <c r="K13516">
        <v>39</v>
      </c>
      <c r="L13516">
        <v>91</v>
      </c>
      <c r="M13516">
        <v>1</v>
      </c>
      <c r="N13516">
        <v>1.8786900000000001E-18</v>
      </c>
      <c r="O13516">
        <v>220</v>
      </c>
    </row>
    <row r="13517" spans="1:15" x14ac:dyDescent="0.25">
      <c r="A13517" t="s">
        <v>13530</v>
      </c>
      <c r="B13517">
        <v>165</v>
      </c>
      <c r="C13517" s="1" t="str">
        <f>HYPERLINK("http://www.rosaceae.org/gb/gbrowse/malus_x_domestica/?name=MDP0000251234","MDP0000251234")</f>
        <v>MDP0000251234</v>
      </c>
      <c r="D13517">
        <v>50</v>
      </c>
      <c r="E13517">
        <v>82</v>
      </c>
      <c r="F13517">
        <v>41</v>
      </c>
      <c r="G13517">
        <v>12</v>
      </c>
      <c r="H13517">
        <v>61</v>
      </c>
      <c r="I13517">
        <v>134</v>
      </c>
      <c r="J13517">
        <v>1</v>
      </c>
      <c r="K13517">
        <v>869</v>
      </c>
      <c r="L13517">
        <v>946</v>
      </c>
      <c r="M13517">
        <v>1</v>
      </c>
      <c r="N13517">
        <v>9.08127E-14</v>
      </c>
      <c r="O13517">
        <v>179</v>
      </c>
    </row>
    <row r="13518" spans="1:15" x14ac:dyDescent="0.25">
      <c r="A13518" t="s">
        <v>13531</v>
      </c>
      <c r="B13518">
        <v>401</v>
      </c>
      <c r="C13518" s="1" t="str">
        <f>HYPERLINK("http://www.rosaceae.org/gb/gbrowse/malus_x_domestica/?name=MDP0000136726","MDP0000136726")</f>
        <v>MDP0000136726</v>
      </c>
      <c r="D13518">
        <v>50</v>
      </c>
      <c r="E13518">
        <v>156</v>
      </c>
      <c r="F13518">
        <v>78</v>
      </c>
      <c r="G13518">
        <v>3</v>
      </c>
      <c r="H13518">
        <v>2</v>
      </c>
      <c r="I13518">
        <v>155</v>
      </c>
      <c r="J13518">
        <v>1</v>
      </c>
      <c r="K13518">
        <v>34</v>
      </c>
      <c r="L13518">
        <v>188</v>
      </c>
      <c r="M13518">
        <v>1</v>
      </c>
      <c r="N13518">
        <v>1.38877E-36</v>
      </c>
      <c r="O13518">
        <v>381</v>
      </c>
    </row>
    <row r="13519" spans="1:15" x14ac:dyDescent="0.25">
      <c r="A13519" t="s">
        <v>13532</v>
      </c>
      <c r="B13519">
        <v>469</v>
      </c>
      <c r="C13519" s="1" t="str">
        <f>HYPERLINK("http://www.rosaceae.org/gb/gbrowse/malus_x_domestica/?name=MDP0000267592","MDP0000267592")</f>
        <v>MDP0000267592</v>
      </c>
      <c r="D13519">
        <v>61.4</v>
      </c>
      <c r="E13519">
        <v>469</v>
      </c>
      <c r="F13519">
        <v>181</v>
      </c>
      <c r="G13519">
        <v>77</v>
      </c>
      <c r="H13519">
        <v>34</v>
      </c>
      <c r="I13519">
        <v>469</v>
      </c>
      <c r="J13519">
        <v>1</v>
      </c>
      <c r="K13519">
        <v>31</v>
      </c>
      <c r="L13519">
        <v>455</v>
      </c>
      <c r="M13519">
        <v>1</v>
      </c>
      <c r="N13519">
        <v>3.3413299999999998E-147</v>
      </c>
      <c r="O13519">
        <v>1336</v>
      </c>
    </row>
    <row r="13520" spans="1:15" x14ac:dyDescent="0.25">
      <c r="A13520" t="s">
        <v>13533</v>
      </c>
      <c r="B13520">
        <v>459</v>
      </c>
      <c r="C13520" s="1" t="str">
        <f>HYPERLINK("http://www.rosaceae.org/gb/gbrowse/malus_x_domestica/?name=MDP0000181570","MDP0000181570")</f>
        <v>MDP0000181570</v>
      </c>
      <c r="D13520">
        <v>43.49</v>
      </c>
      <c r="E13520">
        <v>492</v>
      </c>
      <c r="F13520">
        <v>278</v>
      </c>
      <c r="G13520">
        <v>116</v>
      </c>
      <c r="H13520">
        <v>17</v>
      </c>
      <c r="I13520">
        <v>457</v>
      </c>
      <c r="J13520">
        <v>1</v>
      </c>
      <c r="K13520">
        <v>1</v>
      </c>
      <c r="L13520">
        <v>427</v>
      </c>
      <c r="M13520">
        <v>1</v>
      </c>
      <c r="N13520">
        <v>2.7524100000000001E-86</v>
      </c>
      <c r="O13520">
        <v>810</v>
      </c>
    </row>
    <row r="13521" spans="1:15" x14ac:dyDescent="0.25">
      <c r="A13521" t="s">
        <v>13534</v>
      </c>
      <c r="B13521">
        <v>333</v>
      </c>
      <c r="C13521" s="1" t="str">
        <f>HYPERLINK("http://www.rosaceae.org/gb/gbrowse/malus_x_domestica/?name=MDP0000201897","MDP0000201897")</f>
        <v>MDP0000201897</v>
      </c>
      <c r="D13521">
        <v>29.71</v>
      </c>
      <c r="E13521">
        <v>249</v>
      </c>
      <c r="F13521">
        <v>175</v>
      </c>
      <c r="G13521">
        <v>5</v>
      </c>
      <c r="H13521">
        <v>27</v>
      </c>
      <c r="I13521">
        <v>274</v>
      </c>
      <c r="J13521">
        <v>1</v>
      </c>
      <c r="K13521">
        <v>581</v>
      </c>
      <c r="L13521">
        <v>825</v>
      </c>
      <c r="M13521">
        <v>1</v>
      </c>
      <c r="N13521">
        <v>5.4077599999999996E-25</v>
      </c>
      <c r="O13521">
        <v>280</v>
      </c>
    </row>
    <row r="13522" spans="1:15" x14ac:dyDescent="0.25">
      <c r="A13522" t="s">
        <v>13535</v>
      </c>
      <c r="B13522">
        <v>262</v>
      </c>
      <c r="C13522" s="1" t="str">
        <f>HYPERLINK("http://www.rosaceae.org/gb/gbrowse/malus_x_domestica/?name=MDP0000855406","MDP0000855406")</f>
        <v>MDP0000855406</v>
      </c>
      <c r="D13522">
        <v>29.07</v>
      </c>
      <c r="E13522">
        <v>141</v>
      </c>
      <c r="F13522">
        <v>100</v>
      </c>
      <c r="G13522">
        <v>9</v>
      </c>
      <c r="H13522">
        <v>2</v>
      </c>
      <c r="I13522">
        <v>141</v>
      </c>
      <c r="J13522">
        <v>1</v>
      </c>
      <c r="K13522">
        <v>4</v>
      </c>
      <c r="L13522">
        <v>136</v>
      </c>
      <c r="M13522">
        <v>1</v>
      </c>
      <c r="N13522">
        <v>2.6525200000000001E-10</v>
      </c>
      <c r="O13522">
        <v>152</v>
      </c>
    </row>
    <row r="13523" spans="1:15" x14ac:dyDescent="0.25">
      <c r="A13523" t="s">
        <v>13536</v>
      </c>
      <c r="B13523">
        <v>271</v>
      </c>
      <c r="C13523" s="1" t="str">
        <f>HYPERLINK("http://www.rosaceae.org/gb/gbrowse/malus_x_domestica/?name=MDP0000243435","MDP0000243435")</f>
        <v>MDP0000243435</v>
      </c>
      <c r="D13523">
        <v>65.56</v>
      </c>
      <c r="E13523">
        <v>151</v>
      </c>
      <c r="F13523">
        <v>52</v>
      </c>
      <c r="G13523">
        <v>4</v>
      </c>
      <c r="H13523">
        <v>123</v>
      </c>
      <c r="I13523">
        <v>269</v>
      </c>
      <c r="J13523">
        <v>1</v>
      </c>
      <c r="K13523">
        <v>130</v>
      </c>
      <c r="L13523">
        <v>280</v>
      </c>
      <c r="M13523">
        <v>1</v>
      </c>
      <c r="N13523">
        <v>5.4807899999999996E-50</v>
      </c>
      <c r="O13523">
        <v>494</v>
      </c>
    </row>
    <row r="13524" spans="1:15" x14ac:dyDescent="0.25">
      <c r="A13524" t="s">
        <v>13537</v>
      </c>
      <c r="B13524">
        <v>795</v>
      </c>
      <c r="C13524" s="1" t="str">
        <f>HYPERLINK("http://www.rosaceae.org/gb/gbrowse/malus_x_domestica/?name=MDP0000448602","MDP0000448602")</f>
        <v>MDP0000448602</v>
      </c>
      <c r="D13524">
        <v>79.55</v>
      </c>
      <c r="E13524">
        <v>318</v>
      </c>
      <c r="F13524">
        <v>65</v>
      </c>
      <c r="G13524">
        <v>0</v>
      </c>
      <c r="H13524">
        <v>98</v>
      </c>
      <c r="I13524">
        <v>415</v>
      </c>
      <c r="J13524">
        <v>1</v>
      </c>
      <c r="K13524">
        <v>32</v>
      </c>
      <c r="L13524">
        <v>349</v>
      </c>
      <c r="M13524">
        <v>1</v>
      </c>
      <c r="N13524">
        <v>1.4817799999999999E-144</v>
      </c>
      <c r="O13524">
        <v>1315</v>
      </c>
    </row>
    <row r="13525" spans="1:15" x14ac:dyDescent="0.25">
      <c r="A13525" t="s">
        <v>13538</v>
      </c>
      <c r="B13525">
        <v>508</v>
      </c>
      <c r="C13525" s="1" t="str">
        <f>HYPERLINK("http://www.rosaceae.org/gb/gbrowse/malus_x_domestica/?name=MDP0000466345","MDP0000466345")</f>
        <v>MDP0000466345</v>
      </c>
      <c r="D13525">
        <v>62.41</v>
      </c>
      <c r="E13525">
        <v>447</v>
      </c>
      <c r="F13525">
        <v>168</v>
      </c>
      <c r="G13525">
        <v>30</v>
      </c>
      <c r="H13525">
        <v>41</v>
      </c>
      <c r="I13525">
        <v>478</v>
      </c>
      <c r="J13525">
        <v>1</v>
      </c>
      <c r="K13525">
        <v>70</v>
      </c>
      <c r="L13525">
        <v>495</v>
      </c>
      <c r="M13525">
        <v>1</v>
      </c>
      <c r="N13525">
        <v>3.9592599999999996E-152</v>
      </c>
      <c r="O13525">
        <v>1378</v>
      </c>
    </row>
    <row r="13526" spans="1:15" x14ac:dyDescent="0.25">
      <c r="A13526" t="s">
        <v>13539</v>
      </c>
      <c r="B13526">
        <v>195</v>
      </c>
      <c r="C13526" s="1" t="str">
        <f>HYPERLINK("http://www.rosaceae.org/gb/gbrowse/malus_x_domestica/?name=MDP0000321137","MDP0000321137")</f>
        <v>MDP0000321137</v>
      </c>
      <c r="D13526">
        <v>80</v>
      </c>
      <c r="E13526">
        <v>175</v>
      </c>
      <c r="F13526">
        <v>35</v>
      </c>
      <c r="G13526">
        <v>0</v>
      </c>
      <c r="H13526">
        <v>21</v>
      </c>
      <c r="I13526">
        <v>195</v>
      </c>
      <c r="J13526">
        <v>1</v>
      </c>
      <c r="K13526">
        <v>21</v>
      </c>
      <c r="L13526">
        <v>195</v>
      </c>
      <c r="M13526">
        <v>1</v>
      </c>
      <c r="N13526">
        <v>6.60639E-74</v>
      </c>
      <c r="O13526">
        <v>699</v>
      </c>
    </row>
    <row r="13527" spans="1:15" x14ac:dyDescent="0.25">
      <c r="A13527" t="s">
        <v>13540</v>
      </c>
      <c r="B13527">
        <v>889</v>
      </c>
      <c r="C13527" s="1" t="str">
        <f>HYPERLINK("http://www.rosaceae.org/gb/gbrowse/malus_x_domestica/?name=MDP0000478139","MDP0000478139")</f>
        <v>MDP0000478139</v>
      </c>
      <c r="D13527">
        <v>58.7</v>
      </c>
      <c r="E13527">
        <v>867</v>
      </c>
      <c r="F13527">
        <v>358</v>
      </c>
      <c r="G13527">
        <v>86</v>
      </c>
      <c r="H13527">
        <v>17</v>
      </c>
      <c r="I13527">
        <v>844</v>
      </c>
      <c r="J13527">
        <v>1</v>
      </c>
      <c r="K13527">
        <v>330</v>
      </c>
      <c r="L13527">
        <v>1149</v>
      </c>
      <c r="M13527">
        <v>1</v>
      </c>
      <c r="N13527">
        <v>0</v>
      </c>
      <c r="O13527">
        <v>2468</v>
      </c>
    </row>
    <row r="13528" spans="1:15" x14ac:dyDescent="0.25">
      <c r="A13528" t="s">
        <v>13541</v>
      </c>
      <c r="B13528">
        <v>742</v>
      </c>
      <c r="C13528" s="1" t="str">
        <f>HYPERLINK("http://www.rosaceae.org/gb/gbrowse/malus_x_domestica/?name=MDP0000159735","MDP0000159735")</f>
        <v>MDP0000159735</v>
      </c>
      <c r="D13528">
        <v>55.86</v>
      </c>
      <c r="E13528">
        <v>673</v>
      </c>
      <c r="F13528">
        <v>297</v>
      </c>
      <c r="G13528">
        <v>173</v>
      </c>
      <c r="H13528">
        <v>171</v>
      </c>
      <c r="I13528">
        <v>742</v>
      </c>
      <c r="J13528">
        <v>1</v>
      </c>
      <c r="K13528">
        <v>17</v>
      </c>
      <c r="L13528">
        <v>617</v>
      </c>
      <c r="M13528">
        <v>1</v>
      </c>
      <c r="N13528">
        <v>0</v>
      </c>
      <c r="O13528">
        <v>1724</v>
      </c>
    </row>
    <row r="13529" spans="1:15" x14ac:dyDescent="0.25">
      <c r="A13529" t="s">
        <v>13542</v>
      </c>
      <c r="B13529">
        <v>424</v>
      </c>
      <c r="C13529" s="1" t="str">
        <f>HYPERLINK("http://www.rosaceae.org/gb/gbrowse/malus_x_domestica/?name=MDP0000191807","MDP0000191807")</f>
        <v>MDP0000191807</v>
      </c>
      <c r="D13529">
        <v>24.11</v>
      </c>
      <c r="E13529">
        <v>369</v>
      </c>
      <c r="F13529">
        <v>280</v>
      </c>
      <c r="G13529">
        <v>83</v>
      </c>
      <c r="H13529">
        <v>63</v>
      </c>
      <c r="I13529">
        <v>394</v>
      </c>
      <c r="J13529">
        <v>1</v>
      </c>
      <c r="K13529">
        <v>3</v>
      </c>
      <c r="L13529">
        <v>325</v>
      </c>
      <c r="M13529">
        <v>1</v>
      </c>
      <c r="N13529">
        <v>2.9403699999999997E-10</v>
      </c>
      <c r="O13529">
        <v>154</v>
      </c>
    </row>
    <row r="13530" spans="1:15" x14ac:dyDescent="0.25">
      <c r="A13530" t="s">
        <v>13543</v>
      </c>
      <c r="B13530">
        <v>307</v>
      </c>
      <c r="C13530" s="1" t="str">
        <f>HYPERLINK("http://www.rosaceae.org/gb/gbrowse/malus_x_domestica/?name=MDP0000127101","MDP0000127101")</f>
        <v>MDP0000127101</v>
      </c>
      <c r="D13530">
        <v>55.33</v>
      </c>
      <c r="E13530">
        <v>300</v>
      </c>
      <c r="F13530">
        <v>134</v>
      </c>
      <c r="G13530">
        <v>43</v>
      </c>
      <c r="H13530">
        <v>28</v>
      </c>
      <c r="I13530">
        <v>307</v>
      </c>
      <c r="J13530">
        <v>1</v>
      </c>
      <c r="K13530">
        <v>1</v>
      </c>
      <c r="L13530">
        <v>277</v>
      </c>
      <c r="M13530">
        <v>1</v>
      </c>
      <c r="N13530">
        <v>1.1317E-84</v>
      </c>
      <c r="O13530">
        <v>794</v>
      </c>
    </row>
    <row r="13531" spans="1:15" x14ac:dyDescent="0.25">
      <c r="A13531" t="s">
        <v>13544</v>
      </c>
      <c r="B13531">
        <v>141</v>
      </c>
      <c r="C13531" s="1" t="str">
        <f>HYPERLINK("http://www.rosaceae.org/gb/gbrowse/malus_x_domestica/?name=MDP0000302554","MDP0000302554")</f>
        <v>MDP0000302554</v>
      </c>
      <c r="D13531">
        <v>36.03</v>
      </c>
      <c r="E13531">
        <v>111</v>
      </c>
      <c r="F13531">
        <v>71</v>
      </c>
      <c r="G13531">
        <v>0</v>
      </c>
      <c r="H13531">
        <v>30</v>
      </c>
      <c r="I13531">
        <v>140</v>
      </c>
      <c r="J13531">
        <v>1</v>
      </c>
      <c r="K13531">
        <v>252</v>
      </c>
      <c r="L13531">
        <v>362</v>
      </c>
      <c r="M13531">
        <v>1</v>
      </c>
      <c r="N13531">
        <v>3.2749799999999998E-15</v>
      </c>
      <c r="O13531">
        <v>190</v>
      </c>
    </row>
    <row r="13532" spans="1:15" x14ac:dyDescent="0.25">
      <c r="A13532" t="s">
        <v>13545</v>
      </c>
      <c r="B13532">
        <v>368</v>
      </c>
      <c r="C13532" s="1" t="str">
        <f>HYPERLINK("http://www.rosaceae.org/gb/gbrowse/malus_x_domestica/?name=MDP0000307124","MDP0000307124")</f>
        <v>MDP0000307124</v>
      </c>
      <c r="D13532">
        <v>63.34</v>
      </c>
      <c r="E13532">
        <v>401</v>
      </c>
      <c r="F13532">
        <v>147</v>
      </c>
      <c r="G13532">
        <v>58</v>
      </c>
      <c r="H13532">
        <v>8</v>
      </c>
      <c r="I13532">
        <v>364</v>
      </c>
      <c r="J13532">
        <v>1</v>
      </c>
      <c r="K13532">
        <v>265</v>
      </c>
      <c r="L13532">
        <v>651</v>
      </c>
      <c r="M13532">
        <v>1</v>
      </c>
      <c r="N13532">
        <v>1.84706E-137</v>
      </c>
      <c r="O13532">
        <v>1250</v>
      </c>
    </row>
    <row r="13533" spans="1:15" x14ac:dyDescent="0.25">
      <c r="A13533" t="s">
        <v>13546</v>
      </c>
      <c r="B13533">
        <v>489</v>
      </c>
      <c r="C13533" s="1" t="str">
        <f>HYPERLINK("http://www.rosaceae.org/gb/gbrowse/malus_x_domestica/?name=MDP0000849735","MDP0000849735")</f>
        <v>MDP0000849735</v>
      </c>
      <c r="D13533">
        <v>55.51</v>
      </c>
      <c r="E13533">
        <v>290</v>
      </c>
      <c r="F13533">
        <v>129</v>
      </c>
      <c r="G13533">
        <v>7</v>
      </c>
      <c r="H13533">
        <v>163</v>
      </c>
      <c r="I13533">
        <v>449</v>
      </c>
      <c r="J13533">
        <v>1</v>
      </c>
      <c r="K13533">
        <v>32</v>
      </c>
      <c r="L13533">
        <v>317</v>
      </c>
      <c r="M13533">
        <v>1</v>
      </c>
      <c r="N13533">
        <v>1.0978000000000001E-85</v>
      </c>
      <c r="O13533">
        <v>805</v>
      </c>
    </row>
    <row r="13534" spans="1:15" x14ac:dyDescent="0.25">
      <c r="A13534" t="s">
        <v>13547</v>
      </c>
      <c r="B13534">
        <v>622</v>
      </c>
      <c r="C13534" s="1" t="str">
        <f>HYPERLINK("http://www.rosaceae.org/gb/gbrowse/malus_x_domestica/?name=MDP0000680536","MDP0000680536")</f>
        <v>MDP0000680536</v>
      </c>
      <c r="D13534">
        <v>57.47</v>
      </c>
      <c r="E13534">
        <v>555</v>
      </c>
      <c r="F13534">
        <v>236</v>
      </c>
      <c r="G13534">
        <v>45</v>
      </c>
      <c r="H13534">
        <v>34</v>
      </c>
      <c r="I13534">
        <v>570</v>
      </c>
      <c r="J13534">
        <v>1</v>
      </c>
      <c r="K13534">
        <v>16</v>
      </c>
      <c r="L13534">
        <v>543</v>
      </c>
      <c r="M13534">
        <v>1</v>
      </c>
      <c r="N13534">
        <v>5.7726500000000003E-157</v>
      </c>
      <c r="O13534">
        <v>1421</v>
      </c>
    </row>
    <row r="13535" spans="1:15" x14ac:dyDescent="0.25">
      <c r="A13535" t="s">
        <v>13548</v>
      </c>
      <c r="B13535">
        <v>777</v>
      </c>
      <c r="C13535" s="1" t="str">
        <f>HYPERLINK("http://www.rosaceae.org/gb/gbrowse/malus_x_domestica/?name=MDP0000157957","MDP0000157957")</f>
        <v>MDP0000157957</v>
      </c>
      <c r="D13535">
        <v>55.43</v>
      </c>
      <c r="E13535">
        <v>368</v>
      </c>
      <c r="F13535">
        <v>164</v>
      </c>
      <c r="G13535">
        <v>32</v>
      </c>
      <c r="H13535">
        <v>426</v>
      </c>
      <c r="I13535">
        <v>777</v>
      </c>
      <c r="J13535">
        <v>1</v>
      </c>
      <c r="K13535">
        <v>34</v>
      </c>
      <c r="L13535">
        <v>385</v>
      </c>
      <c r="M13535">
        <v>1</v>
      </c>
      <c r="N13535">
        <v>6.8018099999999996E-91</v>
      </c>
      <c r="O13535">
        <v>852</v>
      </c>
    </row>
    <row r="13536" spans="1:15" x14ac:dyDescent="0.25">
      <c r="A13536" t="s">
        <v>13549</v>
      </c>
      <c r="B13536">
        <v>156</v>
      </c>
      <c r="C13536" s="1" t="str">
        <f>HYPERLINK("http://www.rosaceae.org/gb/gbrowse/malus_x_domestica/?name=MDP0000347010","MDP0000347010")</f>
        <v>MDP0000347010</v>
      </c>
      <c r="D13536">
        <v>70.319999999999993</v>
      </c>
      <c r="E13536">
        <v>155</v>
      </c>
      <c r="F13536">
        <v>46</v>
      </c>
      <c r="G13536">
        <v>33</v>
      </c>
      <c r="H13536">
        <v>2</v>
      </c>
      <c r="I13536">
        <v>156</v>
      </c>
      <c r="J13536">
        <v>1</v>
      </c>
      <c r="K13536">
        <v>1</v>
      </c>
      <c r="L13536">
        <v>122</v>
      </c>
      <c r="M13536">
        <v>1</v>
      </c>
      <c r="N13536">
        <v>1.75804E-56</v>
      </c>
      <c r="O13536">
        <v>547</v>
      </c>
    </row>
    <row r="13537" spans="1:15" x14ac:dyDescent="0.25">
      <c r="A13537" t="s">
        <v>13550</v>
      </c>
      <c r="B13537">
        <v>335</v>
      </c>
      <c r="C13537" s="1" t="str">
        <f>HYPERLINK("http://www.rosaceae.org/gb/gbrowse/malus_x_domestica/?name=MDP0000202623","MDP0000202623")</f>
        <v>MDP0000202623</v>
      </c>
      <c r="D13537">
        <v>71.599999999999994</v>
      </c>
      <c r="E13537">
        <v>81</v>
      </c>
      <c r="F13537">
        <v>23</v>
      </c>
      <c r="G13537">
        <v>0</v>
      </c>
      <c r="H13537">
        <v>1</v>
      </c>
      <c r="I13537">
        <v>81</v>
      </c>
      <c r="J13537">
        <v>1</v>
      </c>
      <c r="K13537">
        <v>1</v>
      </c>
      <c r="L13537">
        <v>81</v>
      </c>
      <c r="M13537">
        <v>1</v>
      </c>
      <c r="N13537">
        <v>1.81121E-29</v>
      </c>
      <c r="O13537">
        <v>319</v>
      </c>
    </row>
    <row r="13538" spans="1:15" x14ac:dyDescent="0.25">
      <c r="A13538" t="s">
        <v>13551</v>
      </c>
      <c r="B13538">
        <v>402</v>
      </c>
      <c r="C13538" s="1" t="str">
        <f>HYPERLINK("http://www.rosaceae.org/gb/gbrowse/malus_x_domestica/?name=MDP0000312412","MDP0000312412")</f>
        <v>MDP0000312412</v>
      </c>
      <c r="D13538">
        <v>66.58</v>
      </c>
      <c r="E13538">
        <v>425</v>
      </c>
      <c r="F13538">
        <v>142</v>
      </c>
      <c r="G13538">
        <v>37</v>
      </c>
      <c r="H13538">
        <v>4</v>
      </c>
      <c r="I13538">
        <v>402</v>
      </c>
      <c r="J13538">
        <v>1</v>
      </c>
      <c r="K13538">
        <v>1</v>
      </c>
      <c r="L13538">
        <v>414</v>
      </c>
      <c r="M13538">
        <v>1</v>
      </c>
      <c r="N13538">
        <v>5.3876400000000001E-149</v>
      </c>
      <c r="O13538">
        <v>1350</v>
      </c>
    </row>
    <row r="13539" spans="1:15" x14ac:dyDescent="0.25">
      <c r="A13539" t="s">
        <v>13552</v>
      </c>
      <c r="B13539">
        <v>361</v>
      </c>
      <c r="C13539" s="1" t="str">
        <f>HYPERLINK("http://www.rosaceae.org/gb/gbrowse/malus_x_domestica/?name=MDP0000297059","MDP0000297059")</f>
        <v>MDP0000297059</v>
      </c>
      <c r="D13539">
        <v>42.66</v>
      </c>
      <c r="E13539">
        <v>218</v>
      </c>
      <c r="F13539">
        <v>125</v>
      </c>
      <c r="G13539">
        <v>12</v>
      </c>
      <c r="H13539">
        <v>142</v>
      </c>
      <c r="I13539">
        <v>359</v>
      </c>
      <c r="J13539">
        <v>1</v>
      </c>
      <c r="K13539">
        <v>185</v>
      </c>
      <c r="L13539">
        <v>390</v>
      </c>
      <c r="M13539">
        <v>1</v>
      </c>
      <c r="N13539">
        <v>1.6185500000000001E-39</v>
      </c>
      <c r="O13539">
        <v>406</v>
      </c>
    </row>
    <row r="13540" spans="1:15" x14ac:dyDescent="0.25">
      <c r="A13540" t="s">
        <v>13553</v>
      </c>
      <c r="B13540">
        <v>336</v>
      </c>
      <c r="C13540" s="1" t="str">
        <f>HYPERLINK("http://www.rosaceae.org/gb/gbrowse/malus_x_domestica/?name=MDP0000262808","MDP0000262808")</f>
        <v>MDP0000262808</v>
      </c>
      <c r="D13540">
        <v>72.61</v>
      </c>
      <c r="E13540">
        <v>336</v>
      </c>
      <c r="F13540">
        <v>92</v>
      </c>
      <c r="G13540">
        <v>3</v>
      </c>
      <c r="H13540">
        <v>1</v>
      </c>
      <c r="I13540">
        <v>335</v>
      </c>
      <c r="J13540">
        <v>1</v>
      </c>
      <c r="K13540">
        <v>1</v>
      </c>
      <c r="L13540">
        <v>334</v>
      </c>
      <c r="M13540">
        <v>1</v>
      </c>
      <c r="N13540">
        <v>2.5633499999999999E-141</v>
      </c>
      <c r="O13540">
        <v>1283</v>
      </c>
    </row>
    <row r="13541" spans="1:15" x14ac:dyDescent="0.25">
      <c r="A13541" t="s">
        <v>13554</v>
      </c>
      <c r="B13541">
        <v>556</v>
      </c>
      <c r="C13541" s="1" t="str">
        <f>HYPERLINK("http://www.rosaceae.org/gb/gbrowse/malus_x_domestica/?name=MDP0000274900","MDP0000274900")</f>
        <v>MDP0000274900</v>
      </c>
      <c r="D13541">
        <v>81.34</v>
      </c>
      <c r="E13541">
        <v>461</v>
      </c>
      <c r="F13541">
        <v>86</v>
      </c>
      <c r="G13541">
        <v>2</v>
      </c>
      <c r="H13541">
        <v>84</v>
      </c>
      <c r="I13541">
        <v>542</v>
      </c>
      <c r="J13541">
        <v>1</v>
      </c>
      <c r="K13541">
        <v>1</v>
      </c>
      <c r="L13541">
        <v>461</v>
      </c>
      <c r="M13541">
        <v>1</v>
      </c>
      <c r="N13541">
        <v>0</v>
      </c>
      <c r="O13541">
        <v>1954</v>
      </c>
    </row>
    <row r="13542" spans="1:15" x14ac:dyDescent="0.25">
      <c r="A13542" t="s">
        <v>13555</v>
      </c>
      <c r="B13542">
        <v>147</v>
      </c>
      <c r="C13542" s="1" t="str">
        <f>HYPERLINK("http://www.rosaceae.org/gb/gbrowse/malus_x_domestica/?name=MDP0000192653","MDP0000192653")</f>
        <v>MDP0000192653</v>
      </c>
      <c r="D13542">
        <v>85.57</v>
      </c>
      <c r="E13542">
        <v>104</v>
      </c>
      <c r="F13542">
        <v>15</v>
      </c>
      <c r="G13542">
        <v>0</v>
      </c>
      <c r="H13542">
        <v>24</v>
      </c>
      <c r="I13542">
        <v>127</v>
      </c>
      <c r="J13542">
        <v>1</v>
      </c>
      <c r="K13542">
        <v>33</v>
      </c>
      <c r="L13542">
        <v>136</v>
      </c>
      <c r="M13542">
        <v>1</v>
      </c>
      <c r="N13542">
        <v>2.2541299999999999E-50</v>
      </c>
      <c r="O13542">
        <v>494</v>
      </c>
    </row>
    <row r="13543" spans="1:15" x14ac:dyDescent="0.25">
      <c r="A13543" t="s">
        <v>13556</v>
      </c>
      <c r="B13543">
        <v>229</v>
      </c>
      <c r="C13543" s="1" t="str">
        <f>HYPERLINK("http://www.rosaceae.org/gb/gbrowse/malus_x_domestica/?name=MDP0000265677","MDP0000265677")</f>
        <v>MDP0000265677</v>
      </c>
      <c r="D13543">
        <v>48.19</v>
      </c>
      <c r="E13543">
        <v>83</v>
      </c>
      <c r="F13543">
        <v>43</v>
      </c>
      <c r="G13543">
        <v>0</v>
      </c>
      <c r="H13543">
        <v>1</v>
      </c>
      <c r="I13543">
        <v>83</v>
      </c>
      <c r="J13543">
        <v>1</v>
      </c>
      <c r="K13543">
        <v>144</v>
      </c>
      <c r="L13543">
        <v>226</v>
      </c>
      <c r="M13543">
        <v>1</v>
      </c>
      <c r="N13543">
        <v>3.0952800000000001E-21</v>
      </c>
      <c r="O13543">
        <v>246</v>
      </c>
    </row>
    <row r="13544" spans="1:15" x14ac:dyDescent="0.25">
      <c r="A13544" t="s">
        <v>13557</v>
      </c>
      <c r="B13544">
        <v>187</v>
      </c>
      <c r="C13544" s="1" t="str">
        <f>HYPERLINK("http://www.rosaceae.org/gb/gbrowse/malus_x_domestica/?name=MDP0000235281","MDP0000235281")</f>
        <v>MDP0000235281</v>
      </c>
      <c r="D13544">
        <v>47.05</v>
      </c>
      <c r="E13544">
        <v>187</v>
      </c>
      <c r="F13544">
        <v>99</v>
      </c>
      <c r="G13544">
        <v>25</v>
      </c>
      <c r="H13544">
        <v>1</v>
      </c>
      <c r="I13544">
        <v>187</v>
      </c>
      <c r="J13544">
        <v>1</v>
      </c>
      <c r="K13544">
        <v>1</v>
      </c>
      <c r="L13544">
        <v>162</v>
      </c>
      <c r="M13544">
        <v>1</v>
      </c>
      <c r="N13544">
        <v>5.7188800000000005E-38</v>
      </c>
      <c r="O13544">
        <v>389</v>
      </c>
    </row>
    <row r="13545" spans="1:15" x14ac:dyDescent="0.25">
      <c r="A13545" t="s">
        <v>13558</v>
      </c>
      <c r="B13545">
        <v>381</v>
      </c>
      <c r="C13545" s="1" t="str">
        <f>HYPERLINK("http://www.rosaceae.org/gb/gbrowse/malus_x_domestica/?name=MDP0000290156","MDP0000290156")</f>
        <v>MDP0000290156</v>
      </c>
      <c r="D13545">
        <v>52.06</v>
      </c>
      <c r="E13545">
        <v>388</v>
      </c>
      <c r="F13545">
        <v>186</v>
      </c>
      <c r="G13545">
        <v>21</v>
      </c>
      <c r="H13545">
        <v>1</v>
      </c>
      <c r="I13545">
        <v>381</v>
      </c>
      <c r="J13545">
        <v>1</v>
      </c>
      <c r="K13545">
        <v>1</v>
      </c>
      <c r="L13545">
        <v>374</v>
      </c>
      <c r="M13545">
        <v>1</v>
      </c>
      <c r="N13545">
        <v>2.2423400000000001E-95</v>
      </c>
      <c r="O13545">
        <v>888</v>
      </c>
    </row>
    <row r="13546" spans="1:15" x14ac:dyDescent="0.25">
      <c r="A13546" t="s">
        <v>13559</v>
      </c>
      <c r="B13546">
        <v>1956</v>
      </c>
      <c r="C13546" s="1" t="str">
        <f>HYPERLINK("http://www.rosaceae.org/gb/gbrowse/malus_x_domestica/?name=MDP0000069525","MDP0000069525")</f>
        <v>MDP0000069525</v>
      </c>
      <c r="D13546">
        <v>82.27</v>
      </c>
      <c r="E13546">
        <v>965</v>
      </c>
      <c r="F13546">
        <v>171</v>
      </c>
      <c r="G13546">
        <v>49</v>
      </c>
      <c r="H13546">
        <v>115</v>
      </c>
      <c r="I13546">
        <v>1038</v>
      </c>
      <c r="J13546">
        <v>1</v>
      </c>
      <c r="K13546">
        <v>132</v>
      </c>
      <c r="L13546">
        <v>1088</v>
      </c>
      <c r="M13546">
        <v>1</v>
      </c>
      <c r="N13546">
        <v>0</v>
      </c>
      <c r="O13546">
        <v>4165</v>
      </c>
    </row>
    <row r="13547" spans="1:15" x14ac:dyDescent="0.25">
      <c r="A13547" t="s">
        <v>13560</v>
      </c>
      <c r="B13547">
        <v>509</v>
      </c>
      <c r="C13547" s="1" t="str">
        <f>HYPERLINK("http://www.rosaceae.org/gb/gbrowse/malus_x_domestica/?name=MDP0000263165","MDP0000263165")</f>
        <v>MDP0000263165</v>
      </c>
      <c r="D13547">
        <v>60.24</v>
      </c>
      <c r="E13547">
        <v>161</v>
      </c>
      <c r="F13547">
        <v>64</v>
      </c>
      <c r="G13547">
        <v>5</v>
      </c>
      <c r="H13547">
        <v>67</v>
      </c>
      <c r="I13547">
        <v>226</v>
      </c>
      <c r="J13547">
        <v>1</v>
      </c>
      <c r="K13547">
        <v>1096</v>
      </c>
      <c r="L13547">
        <v>1252</v>
      </c>
      <c r="M13547">
        <v>1</v>
      </c>
      <c r="N13547">
        <v>2.0121399999999998E-49</v>
      </c>
      <c r="O13547">
        <v>493</v>
      </c>
    </row>
    <row r="13548" spans="1:15" x14ac:dyDescent="0.25">
      <c r="A13548" t="s">
        <v>13561</v>
      </c>
      <c r="B13548">
        <v>272</v>
      </c>
      <c r="C13548" s="1" t="str">
        <f>HYPERLINK("http://www.rosaceae.org/gb/gbrowse/malus_x_domestica/?name=MDP0000610843","MDP0000610843")</f>
        <v>MDP0000610843</v>
      </c>
      <c r="D13548">
        <v>69.37</v>
      </c>
      <c r="E13548">
        <v>271</v>
      </c>
      <c r="F13548">
        <v>83</v>
      </c>
      <c r="G13548">
        <v>11</v>
      </c>
      <c r="H13548">
        <v>1</v>
      </c>
      <c r="I13548">
        <v>267</v>
      </c>
      <c r="J13548">
        <v>1</v>
      </c>
      <c r="K13548">
        <v>1</v>
      </c>
      <c r="L13548">
        <v>264</v>
      </c>
      <c r="M13548">
        <v>1</v>
      </c>
      <c r="N13548">
        <v>2.20997E-95</v>
      </c>
      <c r="O13548">
        <v>886</v>
      </c>
    </row>
    <row r="13549" spans="1:15" x14ac:dyDescent="0.25">
      <c r="A13549" t="s">
        <v>13562</v>
      </c>
      <c r="B13549">
        <v>990</v>
      </c>
      <c r="C13549" s="1" t="str">
        <f>HYPERLINK("http://www.rosaceae.org/gb/gbrowse/malus_x_domestica/?name=MDP0000876796","MDP0000876796")</f>
        <v>MDP0000876796</v>
      </c>
      <c r="D13549">
        <v>34.46</v>
      </c>
      <c r="E13549">
        <v>650</v>
      </c>
      <c r="F13549">
        <v>426</v>
      </c>
      <c r="G13549">
        <v>53</v>
      </c>
      <c r="H13549">
        <v>15</v>
      </c>
      <c r="I13549">
        <v>631</v>
      </c>
      <c r="J13549">
        <v>1</v>
      </c>
      <c r="K13549">
        <v>17</v>
      </c>
      <c r="L13549">
        <v>646</v>
      </c>
      <c r="M13549">
        <v>1</v>
      </c>
      <c r="N13549">
        <v>2.8143700000000002E-86</v>
      </c>
      <c r="O13549">
        <v>813</v>
      </c>
    </row>
    <row r="13550" spans="1:15" x14ac:dyDescent="0.25">
      <c r="A13550" t="s">
        <v>13563</v>
      </c>
      <c r="B13550">
        <v>312</v>
      </c>
      <c r="C13550" s="1" t="str">
        <f>HYPERLINK("http://www.rosaceae.org/gb/gbrowse/malus_x_domestica/?name=MDP0000791092","MDP0000791092")</f>
        <v>MDP0000791092</v>
      </c>
      <c r="D13550">
        <v>31.31</v>
      </c>
      <c r="E13550">
        <v>281</v>
      </c>
      <c r="F13550">
        <v>193</v>
      </c>
      <c r="G13550">
        <v>25</v>
      </c>
      <c r="H13550">
        <v>45</v>
      </c>
      <c r="I13550">
        <v>311</v>
      </c>
      <c r="J13550">
        <v>1</v>
      </c>
      <c r="K13550">
        <v>50</v>
      </c>
      <c r="L13550">
        <v>319</v>
      </c>
      <c r="M13550">
        <v>1</v>
      </c>
      <c r="N13550">
        <v>6.2217800000000005E-16</v>
      </c>
      <c r="O13550">
        <v>202</v>
      </c>
    </row>
    <row r="13551" spans="1:15" x14ac:dyDescent="0.25">
      <c r="A13551" t="s">
        <v>13564</v>
      </c>
      <c r="B13551">
        <v>490</v>
      </c>
      <c r="C13551" s="1" t="str">
        <f>HYPERLINK("http://www.rosaceae.org/gb/gbrowse/malus_x_domestica/?name=MDP0000202281","MDP0000202281")</f>
        <v>MDP0000202281</v>
      </c>
      <c r="D13551">
        <v>83.42</v>
      </c>
      <c r="E13551">
        <v>537</v>
      </c>
      <c r="F13551">
        <v>89</v>
      </c>
      <c r="G13551">
        <v>49</v>
      </c>
      <c r="H13551">
        <v>1</v>
      </c>
      <c r="I13551">
        <v>490</v>
      </c>
      <c r="J13551">
        <v>1</v>
      </c>
      <c r="K13551">
        <v>81</v>
      </c>
      <c r="L13551">
        <v>615</v>
      </c>
      <c r="M13551">
        <v>1</v>
      </c>
      <c r="N13551">
        <v>0</v>
      </c>
      <c r="O13551">
        <v>2335</v>
      </c>
    </row>
    <row r="13552" spans="1:15" x14ac:dyDescent="0.25">
      <c r="A13552" t="s">
        <v>13565</v>
      </c>
      <c r="B13552">
        <v>489</v>
      </c>
      <c r="C13552" s="1" t="str">
        <f>HYPERLINK("http://www.rosaceae.org/gb/gbrowse/malus_x_domestica/?name=MDP0000285617","MDP0000285617")</f>
        <v>MDP0000285617</v>
      </c>
      <c r="D13552">
        <v>78.84</v>
      </c>
      <c r="E13552">
        <v>501</v>
      </c>
      <c r="F13552">
        <v>106</v>
      </c>
      <c r="G13552">
        <v>26</v>
      </c>
      <c r="H13552">
        <v>1</v>
      </c>
      <c r="I13552">
        <v>487</v>
      </c>
      <c r="J13552">
        <v>1</v>
      </c>
      <c r="K13552">
        <v>1</v>
      </c>
      <c r="L13552">
        <v>489</v>
      </c>
      <c r="M13552">
        <v>1</v>
      </c>
      <c r="N13552">
        <v>0</v>
      </c>
      <c r="O13552">
        <v>2074</v>
      </c>
    </row>
    <row r="13553" spans="1:15" x14ac:dyDescent="0.25">
      <c r="A13553" t="s">
        <v>13566</v>
      </c>
      <c r="B13553">
        <v>237</v>
      </c>
      <c r="C13553" s="1" t="str">
        <f>HYPERLINK("http://www.rosaceae.org/gb/gbrowse/malus_x_domestica/?name=MDP0000245693","MDP0000245693")</f>
        <v>MDP0000245693</v>
      </c>
      <c r="D13553">
        <v>88.79</v>
      </c>
      <c r="E13553">
        <v>232</v>
      </c>
      <c r="F13553">
        <v>26</v>
      </c>
      <c r="G13553">
        <v>0</v>
      </c>
      <c r="H13553">
        <v>6</v>
      </c>
      <c r="I13553">
        <v>237</v>
      </c>
      <c r="J13553">
        <v>1</v>
      </c>
      <c r="K13553">
        <v>277</v>
      </c>
      <c r="L13553">
        <v>508</v>
      </c>
      <c r="M13553">
        <v>1</v>
      </c>
      <c r="N13553">
        <v>6.9340500000000002E-123</v>
      </c>
      <c r="O13553">
        <v>1122</v>
      </c>
    </row>
    <row r="13554" spans="1:15" x14ac:dyDescent="0.25">
      <c r="A13554" t="s">
        <v>13567</v>
      </c>
      <c r="B13554">
        <v>206</v>
      </c>
      <c r="C13554" s="1" t="str">
        <f>HYPERLINK("http://www.rosaceae.org/gb/gbrowse/malus_x_domestica/?name=MDP0000273732","MDP0000273732")</f>
        <v>MDP0000273732</v>
      </c>
      <c r="D13554">
        <v>67.31</v>
      </c>
      <c r="E13554">
        <v>205</v>
      </c>
      <c r="F13554">
        <v>67</v>
      </c>
      <c r="G13554">
        <v>6</v>
      </c>
      <c r="H13554">
        <v>1</v>
      </c>
      <c r="I13554">
        <v>201</v>
      </c>
      <c r="J13554">
        <v>1</v>
      </c>
      <c r="K13554">
        <v>1</v>
      </c>
      <c r="L13554">
        <v>203</v>
      </c>
      <c r="M13554">
        <v>1</v>
      </c>
      <c r="N13554">
        <v>1.6170899999999999E-74</v>
      </c>
      <c r="O13554">
        <v>704</v>
      </c>
    </row>
    <row r="13555" spans="1:15" x14ac:dyDescent="0.25">
      <c r="A13555" t="s">
        <v>13568</v>
      </c>
      <c r="B13555">
        <v>103</v>
      </c>
      <c r="C13555" s="1" t="str">
        <f>HYPERLINK("http://www.rosaceae.org/gb/gbrowse/malus_x_domestica/?name=MDP0000222691","MDP0000222691")</f>
        <v>MDP0000222691</v>
      </c>
      <c r="D13555">
        <v>93.2</v>
      </c>
      <c r="E13555">
        <v>103</v>
      </c>
      <c r="F13555">
        <v>7</v>
      </c>
      <c r="G13555">
        <v>0</v>
      </c>
      <c r="H13555">
        <v>1</v>
      </c>
      <c r="I13555">
        <v>103</v>
      </c>
      <c r="J13555">
        <v>1</v>
      </c>
      <c r="K13555">
        <v>1</v>
      </c>
      <c r="L13555">
        <v>103</v>
      </c>
      <c r="M13555">
        <v>1</v>
      </c>
      <c r="N13555">
        <v>7.1771900000000004E-51</v>
      </c>
      <c r="O13555">
        <v>496</v>
      </c>
    </row>
    <row r="13556" spans="1:15" x14ac:dyDescent="0.25">
      <c r="A13556" t="s">
        <v>13569</v>
      </c>
      <c r="B13556">
        <v>1252</v>
      </c>
      <c r="C13556" s="1" t="str">
        <f>HYPERLINK("http://www.rosaceae.org/gb/gbrowse/malus_x_domestica/?name=MDP0000155154","MDP0000155154")</f>
        <v>MDP0000155154</v>
      </c>
      <c r="D13556">
        <v>76.489999999999995</v>
      </c>
      <c r="E13556">
        <v>868</v>
      </c>
      <c r="F13556">
        <v>204</v>
      </c>
      <c r="G13556">
        <v>61</v>
      </c>
      <c r="H13556">
        <v>1</v>
      </c>
      <c r="I13556">
        <v>837</v>
      </c>
      <c r="J13556">
        <v>1</v>
      </c>
      <c r="K13556">
        <v>10</v>
      </c>
      <c r="L13556">
        <v>847</v>
      </c>
      <c r="M13556">
        <v>1</v>
      </c>
      <c r="N13556">
        <v>0</v>
      </c>
      <c r="O13556">
        <v>3363</v>
      </c>
    </row>
    <row r="13557" spans="1:15" x14ac:dyDescent="0.25">
      <c r="A13557" t="s">
        <v>13570</v>
      </c>
      <c r="B13557">
        <v>875</v>
      </c>
      <c r="C13557" s="1" t="str">
        <f>HYPERLINK("http://www.rosaceae.org/gb/gbrowse/malus_x_domestica/?name=MDP0000179353","MDP0000179353")</f>
        <v>MDP0000179353</v>
      </c>
      <c r="D13557">
        <v>39.4</v>
      </c>
      <c r="E13557">
        <v>269</v>
      </c>
      <c r="F13557">
        <v>163</v>
      </c>
      <c r="G13557">
        <v>34</v>
      </c>
      <c r="H13557">
        <v>572</v>
      </c>
      <c r="I13557">
        <v>814</v>
      </c>
      <c r="J13557">
        <v>1</v>
      </c>
      <c r="K13557">
        <v>392</v>
      </c>
      <c r="L13557">
        <v>652</v>
      </c>
      <c r="M13557">
        <v>1</v>
      </c>
      <c r="N13557">
        <v>2.2928900000000001E-38</v>
      </c>
      <c r="O13557">
        <v>400</v>
      </c>
    </row>
    <row r="13558" spans="1:15" x14ac:dyDescent="0.25">
      <c r="A13558" t="s">
        <v>13571</v>
      </c>
      <c r="B13558">
        <v>299</v>
      </c>
      <c r="C13558" s="1" t="str">
        <f>HYPERLINK("http://www.rosaceae.org/gb/gbrowse/malus_x_domestica/?name=MDP0000275771","MDP0000275771")</f>
        <v>MDP0000275771</v>
      </c>
      <c r="D13558">
        <v>82.43</v>
      </c>
      <c r="E13558">
        <v>279</v>
      </c>
      <c r="F13558">
        <v>49</v>
      </c>
      <c r="G13558">
        <v>2</v>
      </c>
      <c r="H13558">
        <v>21</v>
      </c>
      <c r="I13558">
        <v>299</v>
      </c>
      <c r="J13558">
        <v>1</v>
      </c>
      <c r="K13558">
        <v>22</v>
      </c>
      <c r="L13558">
        <v>298</v>
      </c>
      <c r="M13558">
        <v>1</v>
      </c>
      <c r="N13558">
        <v>1.15458E-136</v>
      </c>
      <c r="O13558">
        <v>1243</v>
      </c>
    </row>
    <row r="13559" spans="1:15" x14ac:dyDescent="0.25">
      <c r="A13559" t="s">
        <v>13572</v>
      </c>
      <c r="B13559">
        <v>935</v>
      </c>
      <c r="C13559" s="1" t="str">
        <f>HYPERLINK("http://www.rosaceae.org/gb/gbrowse/malus_x_domestica/?name=MDP0000225751","MDP0000225751")</f>
        <v>MDP0000225751</v>
      </c>
      <c r="D13559">
        <v>69.78</v>
      </c>
      <c r="E13559">
        <v>940</v>
      </c>
      <c r="F13559">
        <v>284</v>
      </c>
      <c r="G13559">
        <v>25</v>
      </c>
      <c r="H13559">
        <v>1</v>
      </c>
      <c r="I13559">
        <v>919</v>
      </c>
      <c r="J13559">
        <v>1</v>
      </c>
      <c r="K13559">
        <v>1</v>
      </c>
      <c r="L13559">
        <v>936</v>
      </c>
      <c r="M13559">
        <v>1</v>
      </c>
      <c r="N13559">
        <v>0</v>
      </c>
      <c r="O13559">
        <v>3361</v>
      </c>
    </row>
    <row r="13560" spans="1:15" x14ac:dyDescent="0.25">
      <c r="A13560" t="s">
        <v>13573</v>
      </c>
      <c r="B13560">
        <v>73</v>
      </c>
      <c r="C13560" s="1" t="str">
        <f>HYPERLINK("http://www.rosaceae.org/gb/gbrowse/malus_x_domestica/?name=MDP0000168825","MDP0000168825")</f>
        <v>MDP0000168825</v>
      </c>
      <c r="D13560">
        <v>67.790000000000006</v>
      </c>
      <c r="E13560">
        <v>59</v>
      </c>
      <c r="F13560">
        <v>19</v>
      </c>
      <c r="G13560">
        <v>6</v>
      </c>
      <c r="H13560">
        <v>1</v>
      </c>
      <c r="I13560">
        <v>55</v>
      </c>
      <c r="J13560">
        <v>1</v>
      </c>
      <c r="K13560">
        <v>1</v>
      </c>
      <c r="L13560">
        <v>57</v>
      </c>
      <c r="M13560">
        <v>1</v>
      </c>
      <c r="N13560">
        <v>3.9857299999999997E-11</v>
      </c>
      <c r="O13560">
        <v>153</v>
      </c>
    </row>
    <row r="13561" spans="1:15" x14ac:dyDescent="0.25">
      <c r="A13561" t="s">
        <v>13574</v>
      </c>
      <c r="B13561">
        <v>303</v>
      </c>
      <c r="C13561" s="1" t="str">
        <f>HYPERLINK("http://www.rosaceae.org/gb/gbrowse/malus_x_domestica/?name=MDP0000266453","MDP0000266453")</f>
        <v>MDP0000266453</v>
      </c>
      <c r="D13561">
        <v>79.72</v>
      </c>
      <c r="E13561">
        <v>286</v>
      </c>
      <c r="F13561">
        <v>58</v>
      </c>
      <c r="G13561">
        <v>24</v>
      </c>
      <c r="H13561">
        <v>9</v>
      </c>
      <c r="I13561">
        <v>274</v>
      </c>
      <c r="J13561">
        <v>1</v>
      </c>
      <c r="K13561">
        <v>5</v>
      </c>
      <c r="L13561">
        <v>286</v>
      </c>
      <c r="M13561">
        <v>1</v>
      </c>
      <c r="N13561">
        <v>3.61326E-127</v>
      </c>
      <c r="O13561">
        <v>1161</v>
      </c>
    </row>
    <row r="13562" spans="1:15" x14ac:dyDescent="0.25">
      <c r="A13562" t="s">
        <v>13575</v>
      </c>
      <c r="B13562">
        <v>827</v>
      </c>
      <c r="C13562" s="1" t="str">
        <f>HYPERLINK("http://www.rosaceae.org/gb/gbrowse/malus_x_domestica/?name=MDP0000707372","MDP0000707372")</f>
        <v>MDP0000707372</v>
      </c>
      <c r="D13562">
        <v>81.72</v>
      </c>
      <c r="E13562">
        <v>476</v>
      </c>
      <c r="F13562">
        <v>87</v>
      </c>
      <c r="G13562">
        <v>0</v>
      </c>
      <c r="H13562">
        <v>333</v>
      </c>
      <c r="I13562">
        <v>808</v>
      </c>
      <c r="J13562">
        <v>1</v>
      </c>
      <c r="K13562">
        <v>45</v>
      </c>
      <c r="L13562">
        <v>520</v>
      </c>
      <c r="M13562">
        <v>1</v>
      </c>
      <c r="N13562">
        <v>0</v>
      </c>
      <c r="O13562">
        <v>2122</v>
      </c>
    </row>
    <row r="13563" spans="1:15" x14ac:dyDescent="0.25">
      <c r="A13563" t="s">
        <v>13576</v>
      </c>
      <c r="B13563">
        <v>126</v>
      </c>
      <c r="C13563" s="1" t="str">
        <f>HYPERLINK("http://www.rosaceae.org/gb/gbrowse/malus_x_domestica/?name=MDP0000176227","MDP0000176227")</f>
        <v>MDP0000176227</v>
      </c>
      <c r="D13563">
        <v>31.39</v>
      </c>
      <c r="E13563">
        <v>86</v>
      </c>
      <c r="F13563">
        <v>59</v>
      </c>
      <c r="G13563">
        <v>0</v>
      </c>
      <c r="H13563">
        <v>40</v>
      </c>
      <c r="I13563">
        <v>125</v>
      </c>
      <c r="J13563">
        <v>1</v>
      </c>
      <c r="K13563">
        <v>392</v>
      </c>
      <c r="L13563">
        <v>477</v>
      </c>
      <c r="M13563">
        <v>1</v>
      </c>
      <c r="N13563">
        <v>7.68825E-7</v>
      </c>
      <c r="O13563">
        <v>117</v>
      </c>
    </row>
    <row r="13564" spans="1:15" x14ac:dyDescent="0.25">
      <c r="A13564" t="s">
        <v>13577</v>
      </c>
      <c r="B13564">
        <v>643</v>
      </c>
      <c r="C13564" s="1" t="str">
        <f>HYPERLINK("http://www.rosaceae.org/gb/gbrowse/malus_x_domestica/?name=MDP0000271679","MDP0000271679")</f>
        <v>MDP0000271679</v>
      </c>
      <c r="D13564">
        <v>67.37</v>
      </c>
      <c r="E13564">
        <v>472</v>
      </c>
      <c r="F13564">
        <v>154</v>
      </c>
      <c r="G13564">
        <v>46</v>
      </c>
      <c r="H13564">
        <v>53</v>
      </c>
      <c r="I13564">
        <v>524</v>
      </c>
      <c r="J13564">
        <v>1</v>
      </c>
      <c r="K13564">
        <v>8</v>
      </c>
      <c r="L13564">
        <v>433</v>
      </c>
      <c r="M13564">
        <v>1</v>
      </c>
      <c r="N13564">
        <v>0</v>
      </c>
      <c r="O13564">
        <v>1649</v>
      </c>
    </row>
    <row r="13565" spans="1:15" x14ac:dyDescent="0.25">
      <c r="A13565" t="s">
        <v>13578</v>
      </c>
      <c r="B13565">
        <v>1036</v>
      </c>
      <c r="C13565" s="1" t="str">
        <f>HYPERLINK("http://www.rosaceae.org/gb/gbrowse/malus_x_domestica/?name=MDP0000691040","MDP0000691040")</f>
        <v>MDP0000691040</v>
      </c>
      <c r="D13565">
        <v>51.1</v>
      </c>
      <c r="E13565">
        <v>996</v>
      </c>
      <c r="F13565">
        <v>487</v>
      </c>
      <c r="G13565">
        <v>42</v>
      </c>
      <c r="H13565">
        <v>25</v>
      </c>
      <c r="I13565">
        <v>1014</v>
      </c>
      <c r="J13565">
        <v>1</v>
      </c>
      <c r="K13565">
        <v>18</v>
      </c>
      <c r="L13565">
        <v>977</v>
      </c>
      <c r="M13565">
        <v>1</v>
      </c>
      <c r="N13565">
        <v>0</v>
      </c>
      <c r="O13565">
        <v>2292</v>
      </c>
    </row>
    <row r="13566" spans="1:15" x14ac:dyDescent="0.25">
      <c r="A13566" t="s">
        <v>13579</v>
      </c>
      <c r="B13566">
        <v>526</v>
      </c>
      <c r="C13566" s="1" t="str">
        <f>HYPERLINK("http://www.rosaceae.org/gb/gbrowse/malus_x_domestica/?name=MDP0000308757","MDP0000308757")</f>
        <v>MDP0000308757</v>
      </c>
      <c r="D13566">
        <v>32.15</v>
      </c>
      <c r="E13566">
        <v>339</v>
      </c>
      <c r="F13566">
        <v>230</v>
      </c>
      <c r="G13566">
        <v>13</v>
      </c>
      <c r="H13566">
        <v>41</v>
      </c>
      <c r="I13566">
        <v>378</v>
      </c>
      <c r="J13566">
        <v>1</v>
      </c>
      <c r="K13566">
        <v>1022</v>
      </c>
      <c r="L13566">
        <v>1348</v>
      </c>
      <c r="M13566">
        <v>1</v>
      </c>
      <c r="N13566">
        <v>1.9457E-49</v>
      </c>
      <c r="O13566">
        <v>493</v>
      </c>
    </row>
    <row r="13567" spans="1:15" x14ac:dyDescent="0.25">
      <c r="A13567" t="s">
        <v>13580</v>
      </c>
      <c r="B13567">
        <v>402</v>
      </c>
      <c r="C13567" s="1" t="str">
        <f>HYPERLINK("http://www.rosaceae.org/gb/gbrowse/malus_x_domestica/?name=MDP0000171539","MDP0000171539")</f>
        <v>MDP0000171539</v>
      </c>
      <c r="D13567">
        <v>73.64</v>
      </c>
      <c r="E13567">
        <v>387</v>
      </c>
      <c r="F13567">
        <v>102</v>
      </c>
      <c r="G13567">
        <v>6</v>
      </c>
      <c r="H13567">
        <v>1</v>
      </c>
      <c r="I13567">
        <v>381</v>
      </c>
      <c r="J13567">
        <v>1</v>
      </c>
      <c r="K13567">
        <v>1</v>
      </c>
      <c r="L13567">
        <v>387</v>
      </c>
      <c r="M13567">
        <v>1</v>
      </c>
      <c r="N13567">
        <v>2.2889999999999999E-166</v>
      </c>
      <c r="O13567">
        <v>1500</v>
      </c>
    </row>
    <row r="13568" spans="1:15" x14ac:dyDescent="0.25">
      <c r="A13568" t="s">
        <v>13581</v>
      </c>
      <c r="B13568">
        <v>332</v>
      </c>
      <c r="C13568" s="1" t="str">
        <f>HYPERLINK("http://www.rosaceae.org/gb/gbrowse/malus_x_domestica/?name=MDP0000239885","MDP0000239885")</f>
        <v>MDP0000239885</v>
      </c>
      <c r="D13568">
        <v>74.77</v>
      </c>
      <c r="E13568">
        <v>329</v>
      </c>
      <c r="F13568">
        <v>83</v>
      </c>
      <c r="G13568">
        <v>0</v>
      </c>
      <c r="H13568">
        <v>4</v>
      </c>
      <c r="I13568">
        <v>332</v>
      </c>
      <c r="J13568">
        <v>1</v>
      </c>
      <c r="K13568">
        <v>1</v>
      </c>
      <c r="L13568">
        <v>329</v>
      </c>
      <c r="M13568">
        <v>1</v>
      </c>
      <c r="N13568">
        <v>3.6021999999999997E-145</v>
      </c>
      <c r="O13568">
        <v>1316</v>
      </c>
    </row>
    <row r="13569" spans="1:15" x14ac:dyDescent="0.25">
      <c r="A13569" t="s">
        <v>13582</v>
      </c>
      <c r="B13569">
        <v>248</v>
      </c>
      <c r="C13569" s="1" t="str">
        <f>HYPERLINK("http://www.rosaceae.org/gb/gbrowse/malus_x_domestica/?name=MDP0000205216","MDP0000205216")</f>
        <v>MDP0000205216</v>
      </c>
      <c r="D13569">
        <v>63.98</v>
      </c>
      <c r="E13569">
        <v>236</v>
      </c>
      <c r="F13569">
        <v>85</v>
      </c>
      <c r="G13569">
        <v>14</v>
      </c>
      <c r="H13569">
        <v>1</v>
      </c>
      <c r="I13569">
        <v>229</v>
      </c>
      <c r="J13569">
        <v>1</v>
      </c>
      <c r="K13569">
        <v>73</v>
      </c>
      <c r="L13569">
        <v>301</v>
      </c>
      <c r="M13569">
        <v>1</v>
      </c>
      <c r="N13569">
        <v>4.3250200000000002E-82</v>
      </c>
      <c r="O13569">
        <v>771</v>
      </c>
    </row>
    <row r="13570" spans="1:15" x14ac:dyDescent="0.25">
      <c r="A13570" t="s">
        <v>13583</v>
      </c>
      <c r="B13570">
        <v>457</v>
      </c>
      <c r="C13570" s="1" t="str">
        <f>HYPERLINK("http://www.rosaceae.org/gb/gbrowse/malus_x_domestica/?name=MDP0000262724","MDP0000262724")</f>
        <v>MDP0000262724</v>
      </c>
      <c r="D13570">
        <v>85.11</v>
      </c>
      <c r="E13570">
        <v>356</v>
      </c>
      <c r="F13570">
        <v>53</v>
      </c>
      <c r="G13570">
        <v>1</v>
      </c>
      <c r="H13570">
        <v>1</v>
      </c>
      <c r="I13570">
        <v>355</v>
      </c>
      <c r="J13570">
        <v>1</v>
      </c>
      <c r="K13570">
        <v>1</v>
      </c>
      <c r="L13570">
        <v>356</v>
      </c>
      <c r="M13570">
        <v>1</v>
      </c>
      <c r="N13570">
        <v>4.01297E-176</v>
      </c>
      <c r="O13570">
        <v>1585</v>
      </c>
    </row>
    <row r="13571" spans="1:15" x14ac:dyDescent="0.25">
      <c r="A13571" t="s">
        <v>13584</v>
      </c>
      <c r="B13571">
        <v>2101</v>
      </c>
      <c r="C13571" s="1" t="str">
        <f>HYPERLINK("http://www.rosaceae.org/gb/gbrowse/malus_x_domestica/?name=MDP0000299377","MDP0000299377")</f>
        <v>MDP0000299377</v>
      </c>
      <c r="D13571">
        <v>56.19</v>
      </c>
      <c r="E13571">
        <v>1187</v>
      </c>
      <c r="F13571">
        <v>520</v>
      </c>
      <c r="G13571">
        <v>172</v>
      </c>
      <c r="H13571">
        <v>974</v>
      </c>
      <c r="I13571">
        <v>2094</v>
      </c>
      <c r="J13571">
        <v>1</v>
      </c>
      <c r="K13571">
        <v>1137</v>
      </c>
      <c r="L13571">
        <v>2217</v>
      </c>
      <c r="M13571">
        <v>1</v>
      </c>
      <c r="N13571">
        <v>0</v>
      </c>
      <c r="O13571">
        <v>3088</v>
      </c>
    </row>
    <row r="13572" spans="1:15" x14ac:dyDescent="0.25">
      <c r="A13572" t="s">
        <v>13585</v>
      </c>
      <c r="B13572">
        <v>646</v>
      </c>
      <c r="C13572" s="1" t="str">
        <f>HYPERLINK("http://www.rosaceae.org/gb/gbrowse/malus_x_domestica/?name=MDP0000168790","MDP0000168790")</f>
        <v>MDP0000168790</v>
      </c>
      <c r="D13572">
        <v>58.47</v>
      </c>
      <c r="E13572">
        <v>342</v>
      </c>
      <c r="F13572">
        <v>142</v>
      </c>
      <c r="G13572">
        <v>34</v>
      </c>
      <c r="H13572">
        <v>20</v>
      </c>
      <c r="I13572">
        <v>327</v>
      </c>
      <c r="J13572">
        <v>1</v>
      </c>
      <c r="K13572">
        <v>6</v>
      </c>
      <c r="L13572">
        <v>347</v>
      </c>
      <c r="M13572">
        <v>1</v>
      </c>
      <c r="N13572">
        <v>2.7825500000000002E-107</v>
      </c>
      <c r="O13572">
        <v>993</v>
      </c>
    </row>
    <row r="13573" spans="1:15" x14ac:dyDescent="0.25">
      <c r="A13573" t="s">
        <v>13586</v>
      </c>
      <c r="B13573">
        <v>921</v>
      </c>
      <c r="C13573" s="1" t="str">
        <f>HYPERLINK("http://www.rosaceae.org/gb/gbrowse/malus_x_domestica/?name=MDP0000733017","MDP0000733017")</f>
        <v>MDP0000733017</v>
      </c>
      <c r="D13573">
        <v>68.14</v>
      </c>
      <c r="E13573">
        <v>923</v>
      </c>
      <c r="F13573">
        <v>294</v>
      </c>
      <c r="G13573">
        <v>12</v>
      </c>
      <c r="H13573">
        <v>1</v>
      </c>
      <c r="I13573">
        <v>919</v>
      </c>
      <c r="J13573">
        <v>1</v>
      </c>
      <c r="K13573">
        <v>1</v>
      </c>
      <c r="L13573">
        <v>915</v>
      </c>
      <c r="M13573">
        <v>1</v>
      </c>
      <c r="N13573">
        <v>0</v>
      </c>
      <c r="O13573">
        <v>3137</v>
      </c>
    </row>
    <row r="13574" spans="1:15" x14ac:dyDescent="0.25">
      <c r="A13574" t="s">
        <v>13587</v>
      </c>
      <c r="B13574">
        <v>832</v>
      </c>
      <c r="C13574" s="1" t="str">
        <f>HYPERLINK("http://www.rosaceae.org/gb/gbrowse/malus_x_domestica/?name=MDP0000186402","MDP0000186402")</f>
        <v>MDP0000186402</v>
      </c>
      <c r="D13574">
        <v>28.09</v>
      </c>
      <c r="E13574">
        <v>210</v>
      </c>
      <c r="F13574">
        <v>151</v>
      </c>
      <c r="G13574">
        <v>16</v>
      </c>
      <c r="H13574">
        <v>361</v>
      </c>
      <c r="I13574">
        <v>568</v>
      </c>
      <c r="J13574">
        <v>1</v>
      </c>
      <c r="K13574">
        <v>110</v>
      </c>
      <c r="L13574">
        <v>305</v>
      </c>
      <c r="M13574">
        <v>1</v>
      </c>
      <c r="N13574">
        <v>1.0028E-14</v>
      </c>
      <c r="O13574">
        <v>196</v>
      </c>
    </row>
    <row r="13575" spans="1:15" x14ac:dyDescent="0.25">
      <c r="A13575" t="s">
        <v>13588</v>
      </c>
      <c r="B13575">
        <v>228</v>
      </c>
      <c r="C13575" s="1" t="str">
        <f>HYPERLINK("http://www.rosaceae.org/gb/gbrowse/malus_x_domestica/?name=MDP0000231217","MDP0000231217")</f>
        <v>MDP0000231217</v>
      </c>
      <c r="D13575">
        <v>79.709999999999994</v>
      </c>
      <c r="E13575">
        <v>207</v>
      </c>
      <c r="F13575">
        <v>42</v>
      </c>
      <c r="G13575">
        <v>3</v>
      </c>
      <c r="H13575">
        <v>1</v>
      </c>
      <c r="I13575">
        <v>204</v>
      </c>
      <c r="J13575">
        <v>1</v>
      </c>
      <c r="K13575">
        <v>77</v>
      </c>
      <c r="L13575">
        <v>283</v>
      </c>
      <c r="M13575">
        <v>1</v>
      </c>
      <c r="N13575">
        <v>2.7361200000000001E-103</v>
      </c>
      <c r="O13575">
        <v>953</v>
      </c>
    </row>
    <row r="13576" spans="1:15" x14ac:dyDescent="0.25">
      <c r="A13576" t="s">
        <v>13589</v>
      </c>
      <c r="B13576">
        <v>138</v>
      </c>
      <c r="C13576" s="1" t="str">
        <f>HYPERLINK("http://www.rosaceae.org/gb/gbrowse/malus_x_domestica/?name=MDP0000453458","MDP0000453458")</f>
        <v>MDP0000453458</v>
      </c>
      <c r="D13576">
        <v>41.55</v>
      </c>
      <c r="E13576">
        <v>154</v>
      </c>
      <c r="F13576">
        <v>90</v>
      </c>
      <c r="G13576">
        <v>38</v>
      </c>
      <c r="H13576">
        <v>12</v>
      </c>
      <c r="I13576">
        <v>138</v>
      </c>
      <c r="J13576">
        <v>1</v>
      </c>
      <c r="K13576">
        <v>66</v>
      </c>
      <c r="L13576">
        <v>208</v>
      </c>
      <c r="M13576">
        <v>1</v>
      </c>
      <c r="N13576">
        <v>2.97038E-14</v>
      </c>
      <c r="O13576">
        <v>181</v>
      </c>
    </row>
    <row r="13577" spans="1:15" x14ac:dyDescent="0.25">
      <c r="A13577" t="s">
        <v>13590</v>
      </c>
      <c r="B13577">
        <v>474</v>
      </c>
      <c r="C13577" s="1" t="str">
        <f>HYPERLINK("http://www.rosaceae.org/gb/gbrowse/malus_x_domestica/?name=MDP0000427970","MDP0000427970")</f>
        <v>MDP0000427970</v>
      </c>
      <c r="D13577">
        <v>84.06</v>
      </c>
      <c r="E13577">
        <v>477</v>
      </c>
      <c r="F13577">
        <v>76</v>
      </c>
      <c r="G13577">
        <v>3</v>
      </c>
      <c r="H13577">
        <v>1</v>
      </c>
      <c r="I13577">
        <v>474</v>
      </c>
      <c r="J13577">
        <v>1</v>
      </c>
      <c r="K13577">
        <v>1</v>
      </c>
      <c r="L13577">
        <v>477</v>
      </c>
      <c r="M13577">
        <v>1</v>
      </c>
      <c r="N13577">
        <v>0</v>
      </c>
      <c r="O13577">
        <v>2165</v>
      </c>
    </row>
    <row r="13578" spans="1:15" x14ac:dyDescent="0.25">
      <c r="A13578" t="s">
        <v>13591</v>
      </c>
      <c r="B13578">
        <v>327</v>
      </c>
      <c r="C13578" s="1" t="str">
        <f>HYPERLINK("http://www.rosaceae.org/gb/gbrowse/malus_x_domestica/?name=MDP0000945788","MDP0000945788")</f>
        <v>MDP0000945788</v>
      </c>
      <c r="D13578">
        <v>69.14</v>
      </c>
      <c r="E13578">
        <v>175</v>
      </c>
      <c r="F13578">
        <v>54</v>
      </c>
      <c r="G13578">
        <v>1</v>
      </c>
      <c r="H13578">
        <v>1</v>
      </c>
      <c r="I13578">
        <v>174</v>
      </c>
      <c r="J13578">
        <v>1</v>
      </c>
      <c r="K13578">
        <v>1</v>
      </c>
      <c r="L13578">
        <v>175</v>
      </c>
      <c r="M13578">
        <v>1</v>
      </c>
      <c r="N13578">
        <v>1.2486200000000001E-68</v>
      </c>
      <c r="O13578">
        <v>656</v>
      </c>
    </row>
    <row r="13579" spans="1:15" x14ac:dyDescent="0.25">
      <c r="A13579" t="s">
        <v>13592</v>
      </c>
      <c r="B13579">
        <v>331</v>
      </c>
      <c r="C13579" s="1" t="str">
        <f>HYPERLINK("http://www.rosaceae.org/gb/gbrowse/malus_x_domestica/?name=MDP0000312064","MDP0000312064")</f>
        <v>MDP0000312064</v>
      </c>
      <c r="D13579">
        <v>66.16</v>
      </c>
      <c r="E13579">
        <v>331</v>
      </c>
      <c r="F13579">
        <v>112</v>
      </c>
      <c r="G13579">
        <v>4</v>
      </c>
      <c r="H13579">
        <v>1</v>
      </c>
      <c r="I13579">
        <v>328</v>
      </c>
      <c r="J13579">
        <v>1</v>
      </c>
      <c r="K13579">
        <v>1</v>
      </c>
      <c r="L13579">
        <v>330</v>
      </c>
      <c r="M13579">
        <v>1</v>
      </c>
      <c r="N13579">
        <v>3.9177400000000002E-128</v>
      </c>
      <c r="O13579">
        <v>1169</v>
      </c>
    </row>
    <row r="13580" spans="1:15" x14ac:dyDescent="0.25">
      <c r="A13580" t="s">
        <v>13593</v>
      </c>
      <c r="B13580">
        <v>300</v>
      </c>
      <c r="C13580" s="1" t="str">
        <f>HYPERLINK("http://www.rosaceae.org/gb/gbrowse/malus_x_domestica/?name=MDP0000283650","MDP0000283650")</f>
        <v>MDP0000283650</v>
      </c>
      <c r="D13580">
        <v>66.44</v>
      </c>
      <c r="E13580">
        <v>295</v>
      </c>
      <c r="F13580">
        <v>99</v>
      </c>
      <c r="G13580">
        <v>18</v>
      </c>
      <c r="H13580">
        <v>22</v>
      </c>
      <c r="I13580">
        <v>298</v>
      </c>
      <c r="J13580">
        <v>1</v>
      </c>
      <c r="K13580">
        <v>22</v>
      </c>
      <c r="L13580">
        <v>316</v>
      </c>
      <c r="M13580">
        <v>1</v>
      </c>
      <c r="N13580">
        <v>1.39519E-105</v>
      </c>
      <c r="O13580">
        <v>974</v>
      </c>
    </row>
    <row r="13581" spans="1:15" x14ac:dyDescent="0.25">
      <c r="A13581" t="s">
        <v>13594</v>
      </c>
      <c r="B13581">
        <v>263</v>
      </c>
      <c r="C13581" s="1" t="str">
        <f>HYPERLINK("http://www.rosaceae.org/gb/gbrowse/malus_x_domestica/?name=MDP0000165836","MDP0000165836")</f>
        <v>MDP0000165836</v>
      </c>
      <c r="D13581">
        <v>47.74</v>
      </c>
      <c r="E13581">
        <v>111</v>
      </c>
      <c r="F13581">
        <v>58</v>
      </c>
      <c r="G13581">
        <v>20</v>
      </c>
      <c r="H13581">
        <v>95</v>
      </c>
      <c r="I13581">
        <v>185</v>
      </c>
      <c r="J13581">
        <v>1</v>
      </c>
      <c r="K13581">
        <v>3</v>
      </c>
      <c r="L13581">
        <v>113</v>
      </c>
      <c r="M13581">
        <v>1</v>
      </c>
      <c r="N13581">
        <v>2.1627299999999999E-16</v>
      </c>
      <c r="O13581">
        <v>205</v>
      </c>
    </row>
    <row r="13582" spans="1:15" x14ac:dyDescent="0.25">
      <c r="A13582" t="s">
        <v>13595</v>
      </c>
      <c r="B13582">
        <v>322</v>
      </c>
      <c r="C13582" s="1" t="str">
        <f>HYPERLINK("http://www.rosaceae.org/gb/gbrowse/malus_x_domestica/?name=MDP0000823145","MDP0000823145")</f>
        <v>MDP0000823145</v>
      </c>
      <c r="D13582">
        <v>85.66</v>
      </c>
      <c r="E13582">
        <v>286</v>
      </c>
      <c r="F13582">
        <v>41</v>
      </c>
      <c r="G13582">
        <v>0</v>
      </c>
      <c r="H13582">
        <v>37</v>
      </c>
      <c r="I13582">
        <v>322</v>
      </c>
      <c r="J13582">
        <v>1</v>
      </c>
      <c r="K13582">
        <v>42</v>
      </c>
      <c r="L13582">
        <v>327</v>
      </c>
      <c r="M13582">
        <v>1</v>
      </c>
      <c r="N13582">
        <v>3.7449999999999999E-144</v>
      </c>
      <c r="O13582">
        <v>1307</v>
      </c>
    </row>
    <row r="13583" spans="1:15" x14ac:dyDescent="0.25">
      <c r="A13583" t="s">
        <v>13596</v>
      </c>
      <c r="B13583">
        <v>286</v>
      </c>
      <c r="C13583" s="1" t="str">
        <f>HYPERLINK("http://www.rosaceae.org/gb/gbrowse/malus_x_domestica/?name=MDP0000831007","MDP0000831007")</f>
        <v>MDP0000831007</v>
      </c>
      <c r="D13583">
        <v>73.45</v>
      </c>
      <c r="E13583">
        <v>211</v>
      </c>
      <c r="F13583">
        <v>56</v>
      </c>
      <c r="G13583">
        <v>7</v>
      </c>
      <c r="H13583">
        <v>76</v>
      </c>
      <c r="I13583">
        <v>286</v>
      </c>
      <c r="J13583">
        <v>1</v>
      </c>
      <c r="K13583">
        <v>178</v>
      </c>
      <c r="L13583">
        <v>381</v>
      </c>
      <c r="M13583">
        <v>1</v>
      </c>
      <c r="N13583">
        <v>1.7612199999999999E-86</v>
      </c>
      <c r="O13583">
        <v>810</v>
      </c>
    </row>
    <row r="13584" spans="1:15" x14ac:dyDescent="0.25">
      <c r="A13584" t="s">
        <v>13597</v>
      </c>
      <c r="B13584">
        <v>631</v>
      </c>
      <c r="C13584" s="1" t="str">
        <f>HYPERLINK("http://www.rosaceae.org/gb/gbrowse/malus_x_domestica/?name=MDP0000254206","MDP0000254206")</f>
        <v>MDP0000254206</v>
      </c>
      <c r="D13584">
        <v>61.83</v>
      </c>
      <c r="E13584">
        <v>435</v>
      </c>
      <c r="F13584">
        <v>166</v>
      </c>
      <c r="G13584">
        <v>37</v>
      </c>
      <c r="H13584">
        <v>48</v>
      </c>
      <c r="I13584">
        <v>475</v>
      </c>
      <c r="J13584">
        <v>1</v>
      </c>
      <c r="K13584">
        <v>469</v>
      </c>
      <c r="L13584">
        <v>873</v>
      </c>
      <c r="M13584">
        <v>1</v>
      </c>
      <c r="N13584">
        <v>5.8357099999999995E-131</v>
      </c>
      <c r="O13584">
        <v>1197</v>
      </c>
    </row>
    <row r="13585" spans="1:15" x14ac:dyDescent="0.25">
      <c r="A13585" t="s">
        <v>13598</v>
      </c>
      <c r="B13585">
        <v>176</v>
      </c>
      <c r="C13585" s="1" t="str">
        <f>HYPERLINK("http://www.rosaceae.org/gb/gbrowse/malus_x_domestica/?name=MDP0000310202","MDP0000310202")</f>
        <v>MDP0000310202</v>
      </c>
      <c r="D13585">
        <v>57.66</v>
      </c>
      <c r="E13585">
        <v>163</v>
      </c>
      <c r="F13585">
        <v>69</v>
      </c>
      <c r="G13585">
        <v>8</v>
      </c>
      <c r="H13585">
        <v>1</v>
      </c>
      <c r="I13585">
        <v>159</v>
      </c>
      <c r="J13585">
        <v>1</v>
      </c>
      <c r="K13585">
        <v>29</v>
      </c>
      <c r="L13585">
        <v>187</v>
      </c>
      <c r="M13585">
        <v>1</v>
      </c>
      <c r="N13585">
        <v>1.76546E-45</v>
      </c>
      <c r="O13585">
        <v>453</v>
      </c>
    </row>
    <row r="13586" spans="1:15" x14ac:dyDescent="0.25">
      <c r="A13586" t="s">
        <v>13599</v>
      </c>
      <c r="B13586">
        <v>266</v>
      </c>
      <c r="C13586" s="1" t="str">
        <f>HYPERLINK("http://www.rosaceae.org/gb/gbrowse/malus_x_domestica/?name=MDP0000498524","MDP0000498524")</f>
        <v>MDP0000498524</v>
      </c>
      <c r="D13586">
        <v>70</v>
      </c>
      <c r="E13586">
        <v>200</v>
      </c>
      <c r="F13586">
        <v>60</v>
      </c>
      <c r="G13586">
        <v>7</v>
      </c>
      <c r="H13586">
        <v>30</v>
      </c>
      <c r="I13586">
        <v>224</v>
      </c>
      <c r="J13586">
        <v>1</v>
      </c>
      <c r="K13586">
        <v>1</v>
      </c>
      <c r="L13586">
        <v>198</v>
      </c>
      <c r="M13586">
        <v>1</v>
      </c>
      <c r="N13586">
        <v>5.9790200000000005E-78</v>
      </c>
      <c r="O13586">
        <v>736</v>
      </c>
    </row>
    <row r="13587" spans="1:15" x14ac:dyDescent="0.25">
      <c r="A13587" t="s">
        <v>13600</v>
      </c>
      <c r="B13587">
        <v>129</v>
      </c>
      <c r="C13587" s="1" t="str">
        <f>HYPERLINK("http://www.rosaceae.org/gb/gbrowse/malus_x_domestica/?name=MDP0000177956","MDP0000177956")</f>
        <v>MDP0000177956</v>
      </c>
      <c r="D13587">
        <v>71.42</v>
      </c>
      <c r="E13587">
        <v>105</v>
      </c>
      <c r="F13587">
        <v>30</v>
      </c>
      <c r="G13587">
        <v>1</v>
      </c>
      <c r="H13587">
        <v>25</v>
      </c>
      <c r="I13587">
        <v>129</v>
      </c>
      <c r="J13587">
        <v>1</v>
      </c>
      <c r="K13587">
        <v>37</v>
      </c>
      <c r="L13587">
        <v>140</v>
      </c>
      <c r="M13587">
        <v>1</v>
      </c>
      <c r="N13587">
        <v>1.06255E-37</v>
      </c>
      <c r="O13587">
        <v>383</v>
      </c>
    </row>
    <row r="13588" spans="1:15" x14ac:dyDescent="0.25">
      <c r="A13588" t="s">
        <v>13601</v>
      </c>
      <c r="B13588">
        <v>285</v>
      </c>
      <c r="C13588" s="1" t="str">
        <f>HYPERLINK("http://www.rosaceae.org/gb/gbrowse/malus_x_domestica/?name=MDP0000725634","MDP0000725634")</f>
        <v>MDP0000725634</v>
      </c>
      <c r="D13588">
        <v>28.87</v>
      </c>
      <c r="E13588">
        <v>284</v>
      </c>
      <c r="F13588">
        <v>202</v>
      </c>
      <c r="G13588">
        <v>18</v>
      </c>
      <c r="H13588">
        <v>8</v>
      </c>
      <c r="I13588">
        <v>278</v>
      </c>
      <c r="J13588">
        <v>1</v>
      </c>
      <c r="K13588">
        <v>39</v>
      </c>
      <c r="L13588">
        <v>317</v>
      </c>
      <c r="M13588">
        <v>1</v>
      </c>
      <c r="N13588">
        <v>9.3269999999999995E-16</v>
      </c>
      <c r="O13588">
        <v>200</v>
      </c>
    </row>
    <row r="13589" spans="1:15" x14ac:dyDescent="0.25">
      <c r="A13589" t="s">
        <v>13602</v>
      </c>
      <c r="B13589">
        <v>339</v>
      </c>
      <c r="C13589" s="1" t="str">
        <f>HYPERLINK("http://www.rosaceae.org/gb/gbrowse/malus_x_domestica/?name=MDP0000211849","MDP0000211849")</f>
        <v>MDP0000211849</v>
      </c>
      <c r="D13589">
        <v>87.03</v>
      </c>
      <c r="E13589">
        <v>324</v>
      </c>
      <c r="F13589">
        <v>42</v>
      </c>
      <c r="G13589">
        <v>0</v>
      </c>
      <c r="H13589">
        <v>16</v>
      </c>
      <c r="I13589">
        <v>339</v>
      </c>
      <c r="J13589">
        <v>1</v>
      </c>
      <c r="K13589">
        <v>193</v>
      </c>
      <c r="L13589">
        <v>516</v>
      </c>
      <c r="M13589">
        <v>1</v>
      </c>
      <c r="N13589">
        <v>1.16375E-175</v>
      </c>
      <c r="O13589">
        <v>1579</v>
      </c>
    </row>
    <row r="13590" spans="1:15" x14ac:dyDescent="0.25">
      <c r="A13590" t="s">
        <v>13603</v>
      </c>
      <c r="B13590">
        <v>364</v>
      </c>
      <c r="C13590" s="1" t="str">
        <f>HYPERLINK("http://www.rosaceae.org/gb/gbrowse/malus_x_domestica/?name=MDP0000232047","MDP0000232047")</f>
        <v>MDP0000232047</v>
      </c>
      <c r="D13590">
        <v>96.64</v>
      </c>
      <c r="E13590">
        <v>358</v>
      </c>
      <c r="F13590">
        <v>12</v>
      </c>
      <c r="G13590">
        <v>0</v>
      </c>
      <c r="H13590">
        <v>1</v>
      </c>
      <c r="I13590">
        <v>358</v>
      </c>
      <c r="J13590">
        <v>1</v>
      </c>
      <c r="K13590">
        <v>1</v>
      </c>
      <c r="L13590">
        <v>358</v>
      </c>
      <c r="M13590">
        <v>1</v>
      </c>
      <c r="N13590">
        <v>0</v>
      </c>
      <c r="O13590">
        <v>1878</v>
      </c>
    </row>
    <row r="13591" spans="1:15" x14ac:dyDescent="0.25">
      <c r="A13591" t="s">
        <v>13604</v>
      </c>
      <c r="B13591">
        <v>1374</v>
      </c>
      <c r="C13591" s="1" t="str">
        <f>HYPERLINK("http://www.rosaceae.org/gb/gbrowse/malus_x_domestica/?name=MDP0000285734","MDP0000285734")</f>
        <v>MDP0000285734</v>
      </c>
      <c r="D13591">
        <v>59.19</v>
      </c>
      <c r="E13591">
        <v>321</v>
      </c>
      <c r="F13591">
        <v>131</v>
      </c>
      <c r="G13591">
        <v>82</v>
      </c>
      <c r="H13591">
        <v>508</v>
      </c>
      <c r="I13591">
        <v>752</v>
      </c>
      <c r="J13591">
        <v>1</v>
      </c>
      <c r="K13591">
        <v>926</v>
      </c>
      <c r="L13591">
        <v>1240</v>
      </c>
      <c r="M13591">
        <v>1</v>
      </c>
      <c r="N13591">
        <v>1.6322099999999999E-90</v>
      </c>
      <c r="O13591">
        <v>851</v>
      </c>
    </row>
    <row r="13592" spans="1:15" x14ac:dyDescent="0.25">
      <c r="A13592" t="s">
        <v>13605</v>
      </c>
      <c r="B13592">
        <v>152</v>
      </c>
      <c r="C13592" s="1" t="str">
        <f>HYPERLINK("http://www.rosaceae.org/gb/gbrowse/malus_x_domestica/?name=MDP0000243760","MDP0000243760")</f>
        <v>MDP0000243760</v>
      </c>
      <c r="D13592">
        <v>74.5</v>
      </c>
      <c r="E13592">
        <v>153</v>
      </c>
      <c r="F13592">
        <v>39</v>
      </c>
      <c r="G13592">
        <v>1</v>
      </c>
      <c r="H13592">
        <v>1</v>
      </c>
      <c r="I13592">
        <v>152</v>
      </c>
      <c r="J13592">
        <v>1</v>
      </c>
      <c r="K13592">
        <v>214</v>
      </c>
      <c r="L13592">
        <v>366</v>
      </c>
      <c r="M13592">
        <v>1</v>
      </c>
      <c r="N13592">
        <v>5.0467300000000003E-56</v>
      </c>
      <c r="O13592">
        <v>543</v>
      </c>
    </row>
    <row r="13593" spans="1:15" x14ac:dyDescent="0.25">
      <c r="A13593" t="s">
        <v>13606</v>
      </c>
      <c r="B13593">
        <v>261</v>
      </c>
      <c r="C13593" s="1" t="str">
        <f>HYPERLINK("http://www.rosaceae.org/gb/gbrowse/malus_x_domestica/?name=MDP0000122740","MDP0000122740")</f>
        <v>MDP0000122740</v>
      </c>
      <c r="D13593">
        <v>52.22</v>
      </c>
      <c r="E13593">
        <v>180</v>
      </c>
      <c r="F13593">
        <v>86</v>
      </c>
      <c r="G13593">
        <v>14</v>
      </c>
      <c r="H13593">
        <v>10</v>
      </c>
      <c r="I13593">
        <v>175</v>
      </c>
      <c r="J13593">
        <v>1</v>
      </c>
      <c r="K13593">
        <v>13</v>
      </c>
      <c r="L13593">
        <v>192</v>
      </c>
      <c r="M13593">
        <v>1</v>
      </c>
      <c r="N13593">
        <v>6.7650599999999999E-40</v>
      </c>
      <c r="O13593">
        <v>407</v>
      </c>
    </row>
    <row r="13594" spans="1:15" x14ac:dyDescent="0.25">
      <c r="A13594" t="s">
        <v>13607</v>
      </c>
      <c r="B13594">
        <v>123</v>
      </c>
      <c r="C13594" s="1" t="str">
        <f>HYPERLINK("http://www.rosaceae.org/gb/gbrowse/malus_x_domestica/?name=MDP0000320366","MDP0000320366")</f>
        <v>MDP0000320366</v>
      </c>
      <c r="D13594">
        <v>68.08</v>
      </c>
      <c r="E13594">
        <v>47</v>
      </c>
      <c r="F13594">
        <v>15</v>
      </c>
      <c r="G13594">
        <v>3</v>
      </c>
      <c r="H13594">
        <v>68</v>
      </c>
      <c r="I13594">
        <v>111</v>
      </c>
      <c r="J13594">
        <v>1</v>
      </c>
      <c r="K13594">
        <v>179</v>
      </c>
      <c r="L13594">
        <v>225</v>
      </c>
      <c r="M13594">
        <v>1</v>
      </c>
      <c r="N13594">
        <v>1.3930100000000001E-10</v>
      </c>
      <c r="O13594">
        <v>149</v>
      </c>
    </row>
    <row r="13595" spans="1:15" x14ac:dyDescent="0.25">
      <c r="A13595" t="s">
        <v>13608</v>
      </c>
      <c r="B13595">
        <v>591</v>
      </c>
      <c r="C13595" s="1" t="str">
        <f>HYPERLINK("http://www.rosaceae.org/gb/gbrowse/malus_x_domestica/?name=MDP0000275915","MDP0000275915")</f>
        <v>MDP0000275915</v>
      </c>
      <c r="D13595">
        <v>78.400000000000006</v>
      </c>
      <c r="E13595">
        <v>616</v>
      </c>
      <c r="F13595">
        <v>133</v>
      </c>
      <c r="G13595">
        <v>32</v>
      </c>
      <c r="H13595">
        <v>1</v>
      </c>
      <c r="I13595">
        <v>589</v>
      </c>
      <c r="J13595">
        <v>1</v>
      </c>
      <c r="K13595">
        <v>1</v>
      </c>
      <c r="L13595">
        <v>611</v>
      </c>
      <c r="M13595">
        <v>1</v>
      </c>
      <c r="N13595">
        <v>0</v>
      </c>
      <c r="O13595">
        <v>2567</v>
      </c>
    </row>
    <row r="13596" spans="1:15" x14ac:dyDescent="0.25">
      <c r="A13596" t="s">
        <v>13609</v>
      </c>
      <c r="B13596">
        <v>406</v>
      </c>
      <c r="C13596" s="1" t="str">
        <f>HYPERLINK("http://www.rosaceae.org/gb/gbrowse/malus_x_domestica/?name=MDP0000377836","MDP0000377836")</f>
        <v>MDP0000377836</v>
      </c>
      <c r="D13596">
        <v>57.27</v>
      </c>
      <c r="E13596">
        <v>419</v>
      </c>
      <c r="F13596">
        <v>179</v>
      </c>
      <c r="G13596">
        <v>41</v>
      </c>
      <c r="H13596">
        <v>1</v>
      </c>
      <c r="I13596">
        <v>405</v>
      </c>
      <c r="J13596">
        <v>1</v>
      </c>
      <c r="K13596">
        <v>1</v>
      </c>
      <c r="L13596">
        <v>392</v>
      </c>
      <c r="M13596">
        <v>1</v>
      </c>
      <c r="N13596">
        <v>4.5450199999999997E-120</v>
      </c>
      <c r="O13596">
        <v>1101</v>
      </c>
    </row>
    <row r="13597" spans="1:15" x14ac:dyDescent="0.25">
      <c r="A13597" t="s">
        <v>13610</v>
      </c>
      <c r="B13597">
        <v>144</v>
      </c>
      <c r="C13597" s="1" t="str">
        <f>HYPERLINK("http://www.rosaceae.org/gb/gbrowse/malus_x_domestica/?name=MDP0000253320","MDP0000253320")</f>
        <v>MDP0000253320</v>
      </c>
      <c r="D13597">
        <v>30.07</v>
      </c>
      <c r="E13597">
        <v>133</v>
      </c>
      <c r="F13597">
        <v>93</v>
      </c>
      <c r="G13597">
        <v>24</v>
      </c>
      <c r="H13597">
        <v>27</v>
      </c>
      <c r="I13597">
        <v>143</v>
      </c>
      <c r="J13597">
        <v>1</v>
      </c>
      <c r="K13597">
        <v>309</v>
      </c>
      <c r="L13597">
        <v>433</v>
      </c>
      <c r="M13597">
        <v>1</v>
      </c>
      <c r="N13597">
        <v>6.0964599999999999E-9</v>
      </c>
      <c r="O13597">
        <v>136</v>
      </c>
    </row>
    <row r="13598" spans="1:15" x14ac:dyDescent="0.25">
      <c r="A13598" t="s">
        <v>13611</v>
      </c>
      <c r="B13598">
        <v>412</v>
      </c>
      <c r="C13598" s="1" t="str">
        <f>HYPERLINK("http://www.rosaceae.org/gb/gbrowse/malus_x_domestica/?name=MDP0000291621","MDP0000291621")</f>
        <v>MDP0000291621</v>
      </c>
      <c r="D13598">
        <v>59.21</v>
      </c>
      <c r="E13598">
        <v>304</v>
      </c>
      <c r="F13598">
        <v>124</v>
      </c>
      <c r="G13598">
        <v>29</v>
      </c>
      <c r="H13598">
        <v>108</v>
      </c>
      <c r="I13598">
        <v>407</v>
      </c>
      <c r="J13598">
        <v>1</v>
      </c>
      <c r="K13598">
        <v>61</v>
      </c>
      <c r="L13598">
        <v>339</v>
      </c>
      <c r="M13598">
        <v>1</v>
      </c>
      <c r="N13598">
        <v>3.0468300000000002E-100</v>
      </c>
      <c r="O13598">
        <v>930</v>
      </c>
    </row>
    <row r="13599" spans="1:15" x14ac:dyDescent="0.25">
      <c r="A13599" t="s">
        <v>13612</v>
      </c>
      <c r="B13599">
        <v>443</v>
      </c>
      <c r="C13599" s="1" t="str">
        <f>HYPERLINK("http://www.rosaceae.org/gb/gbrowse/malus_x_domestica/?name=MDP0000402529","MDP0000402529")</f>
        <v>MDP0000402529</v>
      </c>
      <c r="D13599">
        <v>66.510000000000005</v>
      </c>
      <c r="E13599">
        <v>436</v>
      </c>
      <c r="F13599">
        <v>146</v>
      </c>
      <c r="G13599">
        <v>17</v>
      </c>
      <c r="H13599">
        <v>3</v>
      </c>
      <c r="I13599">
        <v>426</v>
      </c>
      <c r="J13599">
        <v>1</v>
      </c>
      <c r="K13599">
        <v>4</v>
      </c>
      <c r="L13599">
        <v>434</v>
      </c>
      <c r="M13599">
        <v>1</v>
      </c>
      <c r="N13599">
        <v>1.27735E-156</v>
      </c>
      <c r="O13599">
        <v>1417</v>
      </c>
    </row>
    <row r="13600" spans="1:15" x14ac:dyDescent="0.25">
      <c r="A13600" t="s">
        <v>13613</v>
      </c>
      <c r="B13600">
        <v>495</v>
      </c>
      <c r="C13600" s="1" t="str">
        <f>HYPERLINK("http://www.rosaceae.org/gb/gbrowse/malus_x_domestica/?name=MDP0000227061","MDP0000227061")</f>
        <v>MDP0000227061</v>
      </c>
      <c r="D13600">
        <v>68.03</v>
      </c>
      <c r="E13600">
        <v>438</v>
      </c>
      <c r="F13600">
        <v>140</v>
      </c>
      <c r="G13600">
        <v>33</v>
      </c>
      <c r="H13600">
        <v>62</v>
      </c>
      <c r="I13600">
        <v>495</v>
      </c>
      <c r="J13600">
        <v>1</v>
      </c>
      <c r="K13600">
        <v>451</v>
      </c>
      <c r="L13600">
        <v>859</v>
      </c>
      <c r="M13600">
        <v>1</v>
      </c>
      <c r="N13600">
        <v>5.6600599999999998E-158</v>
      </c>
      <c r="O13600">
        <v>1429</v>
      </c>
    </row>
    <row r="13601" spans="1:15" x14ac:dyDescent="0.25">
      <c r="A13601" t="s">
        <v>13614</v>
      </c>
      <c r="B13601">
        <v>357</v>
      </c>
      <c r="C13601" s="1" t="str">
        <f>HYPERLINK("http://www.rosaceae.org/gb/gbrowse/malus_x_domestica/?name=MDP0000306712","MDP0000306712")</f>
        <v>MDP0000306712</v>
      </c>
      <c r="D13601">
        <v>70.08</v>
      </c>
      <c r="E13601">
        <v>351</v>
      </c>
      <c r="F13601">
        <v>105</v>
      </c>
      <c r="G13601">
        <v>0</v>
      </c>
      <c r="H13601">
        <v>7</v>
      </c>
      <c r="I13601">
        <v>357</v>
      </c>
      <c r="J13601">
        <v>1</v>
      </c>
      <c r="K13601">
        <v>559</v>
      </c>
      <c r="L13601">
        <v>909</v>
      </c>
      <c r="M13601">
        <v>1</v>
      </c>
      <c r="N13601">
        <v>2.9996399999999999E-159</v>
      </c>
      <c r="O13601">
        <v>1438</v>
      </c>
    </row>
    <row r="13602" spans="1:15" x14ac:dyDescent="0.25">
      <c r="A13602" t="s">
        <v>13615</v>
      </c>
      <c r="B13602">
        <v>234</v>
      </c>
      <c r="C13602" s="1" t="str">
        <f>HYPERLINK("http://www.rosaceae.org/gb/gbrowse/malus_x_domestica/?name=MDP0000266097","MDP0000266097")</f>
        <v>MDP0000266097</v>
      </c>
      <c r="D13602">
        <v>79.38</v>
      </c>
      <c r="E13602">
        <v>228</v>
      </c>
      <c r="F13602">
        <v>47</v>
      </c>
      <c r="G13602">
        <v>0</v>
      </c>
      <c r="H13602">
        <v>1</v>
      </c>
      <c r="I13602">
        <v>228</v>
      </c>
      <c r="J13602">
        <v>1</v>
      </c>
      <c r="K13602">
        <v>314</v>
      </c>
      <c r="L13602">
        <v>541</v>
      </c>
      <c r="M13602">
        <v>1</v>
      </c>
      <c r="N13602">
        <v>3.9992300000000002E-103</v>
      </c>
      <c r="O13602">
        <v>952</v>
      </c>
    </row>
    <row r="13603" spans="1:15" x14ac:dyDescent="0.25">
      <c r="A13603" t="s">
        <v>13616</v>
      </c>
      <c r="B13603">
        <v>221</v>
      </c>
      <c r="C13603" s="1" t="str">
        <f>HYPERLINK("http://www.rosaceae.org/gb/gbrowse/malus_x_domestica/?name=MDP0000756723","MDP0000756723")</f>
        <v>MDP0000756723</v>
      </c>
      <c r="D13603">
        <v>57.74</v>
      </c>
      <c r="E13603">
        <v>71</v>
      </c>
      <c r="F13603">
        <v>30</v>
      </c>
      <c r="G13603">
        <v>1</v>
      </c>
      <c r="H13603">
        <v>101</v>
      </c>
      <c r="I13603">
        <v>171</v>
      </c>
      <c r="J13603">
        <v>1</v>
      </c>
      <c r="K13603">
        <v>1</v>
      </c>
      <c r="L13603">
        <v>70</v>
      </c>
      <c r="M13603">
        <v>1</v>
      </c>
      <c r="N13603">
        <v>1.1177599999999999E-16</v>
      </c>
      <c r="O13603">
        <v>206</v>
      </c>
    </row>
    <row r="13604" spans="1:15" x14ac:dyDescent="0.25">
      <c r="A13604" t="s">
        <v>13617</v>
      </c>
      <c r="B13604">
        <v>831</v>
      </c>
      <c r="C13604" s="1" t="str">
        <f>HYPERLINK("http://www.rosaceae.org/gb/gbrowse/malus_x_domestica/?name=MDP0000265388","MDP0000265388")</f>
        <v>MDP0000265388</v>
      </c>
      <c r="D13604">
        <v>86.9</v>
      </c>
      <c r="E13604">
        <v>84</v>
      </c>
      <c r="F13604">
        <v>11</v>
      </c>
      <c r="G13604">
        <v>0</v>
      </c>
      <c r="H13604">
        <v>744</v>
      </c>
      <c r="I13604">
        <v>827</v>
      </c>
      <c r="J13604">
        <v>1</v>
      </c>
      <c r="K13604">
        <v>236</v>
      </c>
      <c r="L13604">
        <v>319</v>
      </c>
      <c r="M13604">
        <v>1</v>
      </c>
      <c r="N13604">
        <v>1.5088500000000001E-39</v>
      </c>
      <c r="O13604">
        <v>410</v>
      </c>
    </row>
    <row r="13605" spans="1:15" x14ac:dyDescent="0.25">
      <c r="A13605" t="s">
        <v>13618</v>
      </c>
      <c r="B13605">
        <v>504</v>
      </c>
      <c r="C13605" s="1" t="str">
        <f>HYPERLINK("http://www.rosaceae.org/gb/gbrowse/malus_x_domestica/?name=MDP0000267614","MDP0000267614")</f>
        <v>MDP0000267614</v>
      </c>
      <c r="D13605">
        <v>67.459999999999994</v>
      </c>
      <c r="E13605">
        <v>458</v>
      </c>
      <c r="F13605">
        <v>149</v>
      </c>
      <c r="G13605">
        <v>12</v>
      </c>
      <c r="H13605">
        <v>57</v>
      </c>
      <c r="I13605">
        <v>502</v>
      </c>
      <c r="J13605">
        <v>1</v>
      </c>
      <c r="K13605">
        <v>61</v>
      </c>
      <c r="L13605">
        <v>518</v>
      </c>
      <c r="M13605">
        <v>1</v>
      </c>
      <c r="N13605">
        <v>3.6695300000000002E-178</v>
      </c>
      <c r="O13605">
        <v>1603</v>
      </c>
    </row>
    <row r="13606" spans="1:15" x14ac:dyDescent="0.25">
      <c r="A13606" t="s">
        <v>13619</v>
      </c>
      <c r="B13606">
        <v>523</v>
      </c>
      <c r="C13606" s="1" t="str">
        <f>HYPERLINK("http://www.rosaceae.org/gb/gbrowse/malus_x_domestica/?name=MDP0000246887","MDP0000246887")</f>
        <v>MDP0000246887</v>
      </c>
      <c r="D13606">
        <v>80.69</v>
      </c>
      <c r="E13606">
        <v>544</v>
      </c>
      <c r="F13606">
        <v>105</v>
      </c>
      <c r="G13606">
        <v>30</v>
      </c>
      <c r="H13606">
        <v>1</v>
      </c>
      <c r="I13606">
        <v>519</v>
      </c>
      <c r="J13606">
        <v>1</v>
      </c>
      <c r="K13606">
        <v>1</v>
      </c>
      <c r="L13606">
        <v>539</v>
      </c>
      <c r="M13606">
        <v>1</v>
      </c>
      <c r="N13606">
        <v>0</v>
      </c>
      <c r="O13606">
        <v>2302</v>
      </c>
    </row>
    <row r="13607" spans="1:15" x14ac:dyDescent="0.25">
      <c r="A13607" t="s">
        <v>13620</v>
      </c>
      <c r="B13607">
        <v>348</v>
      </c>
      <c r="C13607" s="1" t="str">
        <f>HYPERLINK("http://www.rosaceae.org/gb/gbrowse/malus_x_domestica/?name=MDP0000842286","MDP0000842286")</f>
        <v>MDP0000842286</v>
      </c>
      <c r="D13607">
        <v>86.16</v>
      </c>
      <c r="E13607">
        <v>347</v>
      </c>
      <c r="F13607">
        <v>48</v>
      </c>
      <c r="G13607">
        <v>0</v>
      </c>
      <c r="H13607">
        <v>1</v>
      </c>
      <c r="I13607">
        <v>347</v>
      </c>
      <c r="J13607">
        <v>1</v>
      </c>
      <c r="K13607">
        <v>1</v>
      </c>
      <c r="L13607">
        <v>347</v>
      </c>
      <c r="M13607">
        <v>1</v>
      </c>
      <c r="N13607">
        <v>5.3295199999999997E-179</v>
      </c>
      <c r="O13607">
        <v>1608</v>
      </c>
    </row>
    <row r="13608" spans="1:15" x14ac:dyDescent="0.25">
      <c r="A13608" t="s">
        <v>13621</v>
      </c>
      <c r="B13608">
        <v>352</v>
      </c>
      <c r="C13608" s="1" t="str">
        <f>HYPERLINK("http://www.rosaceae.org/gb/gbrowse/malus_x_domestica/?name=MDP0000192471","MDP0000192471")</f>
        <v>MDP0000192471</v>
      </c>
      <c r="D13608">
        <v>61.42</v>
      </c>
      <c r="E13608">
        <v>280</v>
      </c>
      <c r="F13608">
        <v>108</v>
      </c>
      <c r="G13608">
        <v>4</v>
      </c>
      <c r="H13608">
        <v>30</v>
      </c>
      <c r="I13608">
        <v>305</v>
      </c>
      <c r="J13608">
        <v>1</v>
      </c>
      <c r="K13608">
        <v>213</v>
      </c>
      <c r="L13608">
        <v>492</v>
      </c>
      <c r="M13608">
        <v>1</v>
      </c>
      <c r="N13608">
        <v>3.1398600000000001E-103</v>
      </c>
      <c r="O13608">
        <v>955</v>
      </c>
    </row>
    <row r="13609" spans="1:15" x14ac:dyDescent="0.25">
      <c r="A13609" t="s">
        <v>13622</v>
      </c>
      <c r="B13609">
        <v>194</v>
      </c>
      <c r="C13609" s="1" t="str">
        <f>HYPERLINK("http://www.rosaceae.org/gb/gbrowse/malus_x_domestica/?name=MDP0000291677","MDP0000291677")</f>
        <v>MDP0000291677</v>
      </c>
      <c r="D13609">
        <v>36.19</v>
      </c>
      <c r="E13609">
        <v>210</v>
      </c>
      <c r="F13609">
        <v>134</v>
      </c>
      <c r="G13609">
        <v>29</v>
      </c>
      <c r="H13609">
        <v>1</v>
      </c>
      <c r="I13609">
        <v>185</v>
      </c>
      <c r="J13609">
        <v>1</v>
      </c>
      <c r="K13609">
        <v>993</v>
      </c>
      <c r="L13609">
        <v>1198</v>
      </c>
      <c r="M13609">
        <v>1</v>
      </c>
      <c r="N13609">
        <v>7.2005499999999998E-29</v>
      </c>
      <c r="O13609">
        <v>310</v>
      </c>
    </row>
    <row r="13610" spans="1:15" x14ac:dyDescent="0.25">
      <c r="A13610" t="s">
        <v>13623</v>
      </c>
      <c r="B13610">
        <v>153</v>
      </c>
      <c r="C13610" s="1" t="str">
        <f>HYPERLINK("http://www.rosaceae.org/gb/gbrowse/malus_x_domestica/?name=MDP0000188994","MDP0000188994")</f>
        <v>MDP0000188994</v>
      </c>
      <c r="D13610">
        <v>88.23</v>
      </c>
      <c r="E13610">
        <v>34</v>
      </c>
      <c r="F13610">
        <v>4</v>
      </c>
      <c r="G13610">
        <v>0</v>
      </c>
      <c r="H13610">
        <v>79</v>
      </c>
      <c r="I13610">
        <v>112</v>
      </c>
      <c r="J13610">
        <v>1</v>
      </c>
      <c r="K13610">
        <v>120</v>
      </c>
      <c r="L13610">
        <v>153</v>
      </c>
      <c r="M13610">
        <v>1</v>
      </c>
      <c r="N13610">
        <v>2.4348600000000002E-10</v>
      </c>
      <c r="O13610">
        <v>149</v>
      </c>
    </row>
    <row r="13611" spans="1:15" x14ac:dyDescent="0.25">
      <c r="A13611" t="s">
        <v>13624</v>
      </c>
      <c r="B13611">
        <v>1109</v>
      </c>
      <c r="C13611" s="1" t="str">
        <f>HYPERLINK("http://www.rosaceae.org/gb/gbrowse/malus_x_domestica/?name=MDP0000185481","MDP0000185481")</f>
        <v>MDP0000185481</v>
      </c>
      <c r="D13611">
        <v>49.24</v>
      </c>
      <c r="E13611">
        <v>725</v>
      </c>
      <c r="F13611">
        <v>368</v>
      </c>
      <c r="G13611">
        <v>131</v>
      </c>
      <c r="H13611">
        <v>498</v>
      </c>
      <c r="I13611">
        <v>1091</v>
      </c>
      <c r="J13611">
        <v>1</v>
      </c>
      <c r="K13611">
        <v>8</v>
      </c>
      <c r="L13611">
        <v>732</v>
      </c>
      <c r="M13611">
        <v>1</v>
      </c>
      <c r="N13611">
        <v>0</v>
      </c>
      <c r="O13611">
        <v>1750</v>
      </c>
    </row>
    <row r="13612" spans="1:15" x14ac:dyDescent="0.25">
      <c r="A13612" t="s">
        <v>13625</v>
      </c>
      <c r="B13612">
        <v>187</v>
      </c>
      <c r="C13612" s="1" t="str">
        <f>HYPERLINK("http://www.rosaceae.org/gb/gbrowse/malus_x_domestica/?name=MDP0000158607","MDP0000158607")</f>
        <v>MDP0000158607</v>
      </c>
      <c r="D13612">
        <v>58.33</v>
      </c>
      <c r="E13612">
        <v>180</v>
      </c>
      <c r="F13612">
        <v>75</v>
      </c>
      <c r="G13612">
        <v>9</v>
      </c>
      <c r="H13612">
        <v>3</v>
      </c>
      <c r="I13612">
        <v>182</v>
      </c>
      <c r="J13612">
        <v>1</v>
      </c>
      <c r="K13612">
        <v>9</v>
      </c>
      <c r="L13612">
        <v>179</v>
      </c>
      <c r="M13612">
        <v>1</v>
      </c>
      <c r="N13612">
        <v>5.42388E-48</v>
      </c>
      <c r="O13612">
        <v>475</v>
      </c>
    </row>
    <row r="13613" spans="1:15" x14ac:dyDescent="0.25">
      <c r="A13613" t="s">
        <v>13626</v>
      </c>
      <c r="B13613">
        <v>111</v>
      </c>
      <c r="C13613" s="1" t="str">
        <f>HYPERLINK("http://www.rosaceae.org/gb/gbrowse/malus_x_domestica/?name=MDP0000448602","MDP0000448602")</f>
        <v>MDP0000448602</v>
      </c>
      <c r="D13613">
        <v>80.19</v>
      </c>
      <c r="E13613">
        <v>101</v>
      </c>
      <c r="F13613">
        <v>20</v>
      </c>
      <c r="G13613">
        <v>2</v>
      </c>
      <c r="H13613">
        <v>1</v>
      </c>
      <c r="I13613">
        <v>101</v>
      </c>
      <c r="J13613">
        <v>1</v>
      </c>
      <c r="K13613">
        <v>1</v>
      </c>
      <c r="L13613">
        <v>99</v>
      </c>
      <c r="M13613">
        <v>1</v>
      </c>
      <c r="N13613">
        <v>4.69982E-43</v>
      </c>
      <c r="O13613">
        <v>429</v>
      </c>
    </row>
    <row r="13614" spans="1:15" x14ac:dyDescent="0.25">
      <c r="A13614" t="s">
        <v>13627</v>
      </c>
      <c r="B13614">
        <v>176</v>
      </c>
      <c r="C13614" s="1" t="str">
        <f>HYPERLINK("http://www.rosaceae.org/gb/gbrowse/malus_x_domestica/?name=MDP0000748886","MDP0000748886")</f>
        <v>MDP0000748886</v>
      </c>
      <c r="D13614">
        <v>95.07</v>
      </c>
      <c r="E13614">
        <v>142</v>
      </c>
      <c r="F13614">
        <v>7</v>
      </c>
      <c r="G13614">
        <v>0</v>
      </c>
      <c r="H13614">
        <v>35</v>
      </c>
      <c r="I13614">
        <v>176</v>
      </c>
      <c r="J13614">
        <v>1</v>
      </c>
      <c r="K13614">
        <v>1</v>
      </c>
      <c r="L13614">
        <v>142</v>
      </c>
      <c r="M13614">
        <v>1</v>
      </c>
      <c r="N13614">
        <v>1.27352E-78</v>
      </c>
      <c r="O13614">
        <v>739</v>
      </c>
    </row>
    <row r="13615" spans="1:15" x14ac:dyDescent="0.25">
      <c r="A13615" t="s">
        <v>13628</v>
      </c>
      <c r="B13615">
        <v>285</v>
      </c>
      <c r="C13615" s="1" t="str">
        <f>HYPERLINK("http://www.rosaceae.org/gb/gbrowse/malus_x_domestica/?name=MDP0000203688","MDP0000203688")</f>
        <v>MDP0000203688</v>
      </c>
      <c r="D13615">
        <v>66.78</v>
      </c>
      <c r="E13615">
        <v>280</v>
      </c>
      <c r="F13615">
        <v>93</v>
      </c>
      <c r="G13615">
        <v>48</v>
      </c>
      <c r="H13615">
        <v>42</v>
      </c>
      <c r="I13615">
        <v>278</v>
      </c>
      <c r="J13615">
        <v>1</v>
      </c>
      <c r="K13615">
        <v>45</v>
      </c>
      <c r="L13615">
        <v>319</v>
      </c>
      <c r="M13615">
        <v>1</v>
      </c>
      <c r="N13615">
        <v>9.2853400000000003E-89</v>
      </c>
      <c r="O13615">
        <v>829</v>
      </c>
    </row>
    <row r="13616" spans="1:15" x14ac:dyDescent="0.25">
      <c r="A13616" t="s">
        <v>13629</v>
      </c>
      <c r="B13616">
        <v>939</v>
      </c>
      <c r="C13616" s="1" t="str">
        <f>HYPERLINK("http://www.rosaceae.org/gb/gbrowse/malus_x_domestica/?name=MDP0000275899","MDP0000275899")</f>
        <v>MDP0000275899</v>
      </c>
      <c r="D13616">
        <v>64.13</v>
      </c>
      <c r="E13616">
        <v>460</v>
      </c>
      <c r="F13616">
        <v>165</v>
      </c>
      <c r="G13616">
        <v>14</v>
      </c>
      <c r="H13616">
        <v>1</v>
      </c>
      <c r="I13616">
        <v>457</v>
      </c>
      <c r="J13616">
        <v>1</v>
      </c>
      <c r="K13616">
        <v>829</v>
      </c>
      <c r="L13616">
        <v>1277</v>
      </c>
      <c r="M13616">
        <v>1</v>
      </c>
      <c r="N13616">
        <v>2.9309899999999998E-171</v>
      </c>
      <c r="O13616">
        <v>1546</v>
      </c>
    </row>
    <row r="13617" spans="1:15" x14ac:dyDescent="0.25">
      <c r="A13617" t="s">
        <v>13630</v>
      </c>
      <c r="B13617">
        <v>444</v>
      </c>
      <c r="C13617" s="1" t="str">
        <f>HYPERLINK("http://www.rosaceae.org/gb/gbrowse/malus_x_domestica/?name=MDP0000278561","MDP0000278561")</f>
        <v>MDP0000278561</v>
      </c>
      <c r="D13617">
        <v>83.83</v>
      </c>
      <c r="E13617">
        <v>297</v>
      </c>
      <c r="F13617">
        <v>48</v>
      </c>
      <c r="G13617">
        <v>6</v>
      </c>
      <c r="H13617">
        <v>1</v>
      </c>
      <c r="I13617">
        <v>291</v>
      </c>
      <c r="J13617">
        <v>1</v>
      </c>
      <c r="K13617">
        <v>1</v>
      </c>
      <c r="L13617">
        <v>297</v>
      </c>
      <c r="M13617">
        <v>1</v>
      </c>
      <c r="N13617">
        <v>2.5083100000000001E-141</v>
      </c>
      <c r="O13617">
        <v>1285</v>
      </c>
    </row>
    <row r="13618" spans="1:15" x14ac:dyDescent="0.25">
      <c r="A13618" t="s">
        <v>13631</v>
      </c>
      <c r="B13618">
        <v>1550</v>
      </c>
      <c r="C13618" s="1" t="str">
        <f>HYPERLINK("http://www.rosaceae.org/gb/gbrowse/malus_x_domestica/?name=MDP0000260907","MDP0000260907")</f>
        <v>MDP0000260907</v>
      </c>
      <c r="D13618">
        <v>71.44</v>
      </c>
      <c r="E13618">
        <v>1075</v>
      </c>
      <c r="F13618">
        <v>307</v>
      </c>
      <c r="G13618">
        <v>37</v>
      </c>
      <c r="H13618">
        <v>1</v>
      </c>
      <c r="I13618">
        <v>1067</v>
      </c>
      <c r="J13618">
        <v>1</v>
      </c>
      <c r="K13618">
        <v>461</v>
      </c>
      <c r="L13618">
        <v>1506</v>
      </c>
      <c r="M13618">
        <v>1</v>
      </c>
      <c r="N13618">
        <v>0</v>
      </c>
      <c r="O13618">
        <v>3969</v>
      </c>
    </row>
    <row r="13619" spans="1:15" x14ac:dyDescent="0.25">
      <c r="A13619" t="s">
        <v>13632</v>
      </c>
      <c r="B13619">
        <v>161</v>
      </c>
      <c r="C13619" s="1" t="str">
        <f>HYPERLINK("http://www.rosaceae.org/gb/gbrowse/malus_x_domestica/?name=MDP0000230530","MDP0000230530")</f>
        <v>MDP0000230530</v>
      </c>
      <c r="D13619">
        <v>79.13</v>
      </c>
      <c r="E13619">
        <v>115</v>
      </c>
      <c r="F13619">
        <v>24</v>
      </c>
      <c r="G13619">
        <v>0</v>
      </c>
      <c r="H13619">
        <v>42</v>
      </c>
      <c r="I13619">
        <v>156</v>
      </c>
      <c r="J13619">
        <v>1</v>
      </c>
      <c r="K13619">
        <v>6</v>
      </c>
      <c r="L13619">
        <v>120</v>
      </c>
      <c r="M13619">
        <v>1</v>
      </c>
      <c r="N13619">
        <v>6.3870499999999995E-51</v>
      </c>
      <c r="O13619">
        <v>499</v>
      </c>
    </row>
    <row r="13620" spans="1:15" x14ac:dyDescent="0.25">
      <c r="A13620" t="s">
        <v>13633</v>
      </c>
      <c r="B13620">
        <v>108</v>
      </c>
      <c r="C13620" s="1" t="str">
        <f>HYPERLINK("http://www.rosaceae.org/gb/gbrowse/malus_x_domestica/?name=MDP0000738532","MDP0000738532")</f>
        <v>MDP0000738532</v>
      </c>
      <c r="D13620">
        <v>42.5</v>
      </c>
      <c r="E13620">
        <v>80</v>
      </c>
      <c r="F13620">
        <v>46</v>
      </c>
      <c r="G13620">
        <v>7</v>
      </c>
      <c r="H13620">
        <v>16</v>
      </c>
      <c r="I13620">
        <v>91</v>
      </c>
      <c r="J13620">
        <v>1</v>
      </c>
      <c r="K13620">
        <v>122</v>
      </c>
      <c r="L13620">
        <v>198</v>
      </c>
      <c r="M13620">
        <v>1</v>
      </c>
      <c r="N13620">
        <v>4.1907499999999999E-7</v>
      </c>
      <c r="O13620">
        <v>119</v>
      </c>
    </row>
    <row r="13621" spans="1:15" x14ac:dyDescent="0.25">
      <c r="A13621" t="s">
        <v>13634</v>
      </c>
      <c r="B13621">
        <v>198</v>
      </c>
      <c r="C13621" s="1" t="str">
        <f>HYPERLINK("http://www.rosaceae.org/gb/gbrowse/malus_x_domestica/?name=MDP0000233329","MDP0000233329")</f>
        <v>MDP0000233329</v>
      </c>
      <c r="D13621">
        <v>34.9</v>
      </c>
      <c r="E13621">
        <v>212</v>
      </c>
      <c r="F13621">
        <v>138</v>
      </c>
      <c r="G13621">
        <v>32</v>
      </c>
      <c r="H13621">
        <v>10</v>
      </c>
      <c r="I13621">
        <v>198</v>
      </c>
      <c r="J13621">
        <v>1</v>
      </c>
      <c r="K13621">
        <v>90</v>
      </c>
      <c r="L13621">
        <v>292</v>
      </c>
      <c r="M13621">
        <v>1</v>
      </c>
      <c r="N13621">
        <v>2.13209E-22</v>
      </c>
      <c r="O13621">
        <v>255</v>
      </c>
    </row>
    <row r="13622" spans="1:15" x14ac:dyDescent="0.25">
      <c r="A13622" t="s">
        <v>13635</v>
      </c>
      <c r="B13622">
        <v>307</v>
      </c>
      <c r="C13622" s="1" t="str">
        <f>HYPERLINK("http://www.rosaceae.org/gb/gbrowse/malus_x_domestica/?name=MDP0000273646","MDP0000273646")</f>
        <v>MDP0000273646</v>
      </c>
      <c r="D13622">
        <v>47.49</v>
      </c>
      <c r="E13622">
        <v>299</v>
      </c>
      <c r="F13622">
        <v>157</v>
      </c>
      <c r="G13622">
        <v>46</v>
      </c>
      <c r="H13622">
        <v>22</v>
      </c>
      <c r="I13622">
        <v>302</v>
      </c>
      <c r="J13622">
        <v>1</v>
      </c>
      <c r="K13622">
        <v>49</v>
      </c>
      <c r="L13622">
        <v>319</v>
      </c>
      <c r="M13622">
        <v>1</v>
      </c>
      <c r="N13622">
        <v>3.9484300000000001E-62</v>
      </c>
      <c r="O13622">
        <v>600</v>
      </c>
    </row>
    <row r="13623" spans="1:15" x14ac:dyDescent="0.25">
      <c r="A13623" t="s">
        <v>13636</v>
      </c>
      <c r="B13623">
        <v>1148</v>
      </c>
      <c r="C13623" s="1" t="str">
        <f>HYPERLINK("http://www.rosaceae.org/gb/gbrowse/malus_x_domestica/?name=MDP0000428602","MDP0000428602")</f>
        <v>MDP0000428602</v>
      </c>
      <c r="D13623">
        <v>55.92</v>
      </c>
      <c r="E13623">
        <v>1223</v>
      </c>
      <c r="F13623">
        <v>539</v>
      </c>
      <c r="G13623">
        <v>82</v>
      </c>
      <c r="H13623">
        <v>1</v>
      </c>
      <c r="I13623">
        <v>1148</v>
      </c>
      <c r="J13623">
        <v>1</v>
      </c>
      <c r="K13623">
        <v>2</v>
      </c>
      <c r="L13623">
        <v>1217</v>
      </c>
      <c r="M13623">
        <v>1</v>
      </c>
      <c r="N13623">
        <v>0</v>
      </c>
      <c r="O13623">
        <v>3047</v>
      </c>
    </row>
    <row r="13624" spans="1:15" x14ac:dyDescent="0.25">
      <c r="A13624" t="s">
        <v>13637</v>
      </c>
      <c r="B13624">
        <v>530</v>
      </c>
      <c r="C13624" s="1" t="str">
        <f>HYPERLINK("http://www.rosaceae.org/gb/gbrowse/malus_x_domestica/?name=MDP0000380205","MDP0000380205")</f>
        <v>MDP0000380205</v>
      </c>
      <c r="D13624">
        <v>29.6</v>
      </c>
      <c r="E13624">
        <v>500</v>
      </c>
      <c r="F13624">
        <v>352</v>
      </c>
      <c r="G13624">
        <v>45</v>
      </c>
      <c r="H13624">
        <v>6</v>
      </c>
      <c r="I13624">
        <v>466</v>
      </c>
      <c r="J13624">
        <v>1</v>
      </c>
      <c r="K13624">
        <v>4</v>
      </c>
      <c r="L13624">
        <v>497</v>
      </c>
      <c r="M13624">
        <v>1</v>
      </c>
      <c r="N13624">
        <v>2.5907299999999998E-44</v>
      </c>
      <c r="O13624">
        <v>449</v>
      </c>
    </row>
    <row r="13625" spans="1:15" x14ac:dyDescent="0.25">
      <c r="A13625" t="s">
        <v>13638</v>
      </c>
      <c r="B13625">
        <v>226</v>
      </c>
      <c r="C13625" s="1" t="str">
        <f>HYPERLINK("http://www.rosaceae.org/gb/gbrowse/malus_x_domestica/?name=MDP0000252308","MDP0000252308")</f>
        <v>MDP0000252308</v>
      </c>
      <c r="D13625">
        <v>55.55</v>
      </c>
      <c r="E13625">
        <v>117</v>
      </c>
      <c r="F13625">
        <v>52</v>
      </c>
      <c r="G13625">
        <v>5</v>
      </c>
      <c r="H13625">
        <v>53</v>
      </c>
      <c r="I13625">
        <v>167</v>
      </c>
      <c r="J13625">
        <v>1</v>
      </c>
      <c r="K13625">
        <v>46</v>
      </c>
      <c r="L13625">
        <v>159</v>
      </c>
      <c r="M13625">
        <v>1</v>
      </c>
      <c r="N13625">
        <v>7.9491199999999999E-25</v>
      </c>
      <c r="O13625">
        <v>276</v>
      </c>
    </row>
    <row r="13626" spans="1:15" x14ac:dyDescent="0.25">
      <c r="A13626" t="s">
        <v>13639</v>
      </c>
      <c r="B13626">
        <v>488</v>
      </c>
      <c r="C13626" s="1" t="str">
        <f>HYPERLINK("http://www.rosaceae.org/gb/gbrowse/malus_x_domestica/?name=MDP0000284522","MDP0000284522")</f>
        <v>MDP0000284522</v>
      </c>
      <c r="D13626">
        <v>72.5</v>
      </c>
      <c r="E13626">
        <v>491</v>
      </c>
      <c r="F13626">
        <v>135</v>
      </c>
      <c r="G13626">
        <v>7</v>
      </c>
      <c r="H13626">
        <v>3</v>
      </c>
      <c r="I13626">
        <v>487</v>
      </c>
      <c r="J13626">
        <v>1</v>
      </c>
      <c r="K13626">
        <v>10</v>
      </c>
      <c r="L13626">
        <v>499</v>
      </c>
      <c r="M13626">
        <v>1</v>
      </c>
      <c r="N13626">
        <v>0</v>
      </c>
      <c r="O13626">
        <v>1818</v>
      </c>
    </row>
    <row r="13627" spans="1:15" x14ac:dyDescent="0.25">
      <c r="A13627" t="s">
        <v>13640</v>
      </c>
      <c r="B13627">
        <v>153</v>
      </c>
      <c r="C13627" s="1" t="str">
        <f>HYPERLINK("http://www.rosaceae.org/gb/gbrowse/malus_x_domestica/?name=MDP0000842520","MDP0000842520")</f>
        <v>MDP0000842520</v>
      </c>
      <c r="D13627">
        <v>74.05</v>
      </c>
      <c r="E13627">
        <v>158</v>
      </c>
      <c r="F13627">
        <v>41</v>
      </c>
      <c r="G13627">
        <v>7</v>
      </c>
      <c r="H13627">
        <v>1</v>
      </c>
      <c r="I13627">
        <v>151</v>
      </c>
      <c r="J13627">
        <v>1</v>
      </c>
      <c r="K13627">
        <v>1</v>
      </c>
      <c r="L13627">
        <v>158</v>
      </c>
      <c r="M13627">
        <v>1</v>
      </c>
      <c r="N13627">
        <v>7.1552399999999997E-62</v>
      </c>
      <c r="O13627">
        <v>593</v>
      </c>
    </row>
    <row r="13628" spans="1:15" x14ac:dyDescent="0.25">
      <c r="A13628" t="s">
        <v>13641</v>
      </c>
      <c r="B13628">
        <v>733</v>
      </c>
      <c r="C13628" s="1" t="str">
        <f>HYPERLINK("http://www.rosaceae.org/gb/gbrowse/malus_x_domestica/?name=MDP0000130913","MDP0000130913")</f>
        <v>MDP0000130913</v>
      </c>
      <c r="D13628">
        <v>68.709999999999994</v>
      </c>
      <c r="E13628">
        <v>390</v>
      </c>
      <c r="F13628">
        <v>122</v>
      </c>
      <c r="G13628">
        <v>26</v>
      </c>
      <c r="H13628">
        <v>363</v>
      </c>
      <c r="I13628">
        <v>733</v>
      </c>
      <c r="J13628">
        <v>1</v>
      </c>
      <c r="K13628">
        <v>1</v>
      </c>
      <c r="L13628">
        <v>383</v>
      </c>
      <c r="M13628">
        <v>1</v>
      </c>
      <c r="N13628">
        <v>5.45796E-154</v>
      </c>
      <c r="O13628">
        <v>1396</v>
      </c>
    </row>
    <row r="13629" spans="1:15" x14ac:dyDescent="0.25">
      <c r="A13629" t="s">
        <v>13642</v>
      </c>
      <c r="B13629">
        <v>244</v>
      </c>
      <c r="C13629" s="1" t="str">
        <f>HYPERLINK("http://www.rosaceae.org/gb/gbrowse/malus_x_domestica/?name=MDP0000132950","MDP0000132950")</f>
        <v>MDP0000132950</v>
      </c>
      <c r="D13629">
        <v>37.5</v>
      </c>
      <c r="E13629">
        <v>136</v>
      </c>
      <c r="F13629">
        <v>85</v>
      </c>
      <c r="G13629">
        <v>34</v>
      </c>
      <c r="H13629">
        <v>19</v>
      </c>
      <c r="I13629">
        <v>120</v>
      </c>
      <c r="J13629">
        <v>1</v>
      </c>
      <c r="K13629">
        <v>17</v>
      </c>
      <c r="L13629">
        <v>152</v>
      </c>
      <c r="M13629">
        <v>1</v>
      </c>
      <c r="N13629">
        <v>1.1204999999999999E-12</v>
      </c>
      <c r="O13629">
        <v>172</v>
      </c>
    </row>
    <row r="13630" spans="1:15" x14ac:dyDescent="0.25">
      <c r="A13630" t="s">
        <v>13643</v>
      </c>
      <c r="B13630">
        <v>195</v>
      </c>
      <c r="C13630" s="1" t="str">
        <f>HYPERLINK("http://www.rosaceae.org/gb/gbrowse/malus_x_domestica/?name=MDP0000296324","MDP0000296324")</f>
        <v>MDP0000296324</v>
      </c>
      <c r="D13630">
        <v>67.52</v>
      </c>
      <c r="E13630">
        <v>194</v>
      </c>
      <c r="F13630">
        <v>63</v>
      </c>
      <c r="G13630">
        <v>4</v>
      </c>
      <c r="H13630">
        <v>1</v>
      </c>
      <c r="I13630">
        <v>194</v>
      </c>
      <c r="J13630">
        <v>1</v>
      </c>
      <c r="K13630">
        <v>1</v>
      </c>
      <c r="L13630">
        <v>190</v>
      </c>
      <c r="M13630">
        <v>1</v>
      </c>
      <c r="N13630">
        <v>1.13764E-69</v>
      </c>
      <c r="O13630">
        <v>662</v>
      </c>
    </row>
    <row r="13631" spans="1:15" x14ac:dyDescent="0.25">
      <c r="A13631" t="s">
        <v>13644</v>
      </c>
      <c r="B13631">
        <v>368</v>
      </c>
      <c r="C13631" s="1" t="str">
        <f>HYPERLINK("http://www.rosaceae.org/gb/gbrowse/malus_x_domestica/?name=MDP0000161311","MDP0000161311")</f>
        <v>MDP0000161311</v>
      </c>
      <c r="D13631">
        <v>73.61</v>
      </c>
      <c r="E13631">
        <v>163</v>
      </c>
      <c r="F13631">
        <v>43</v>
      </c>
      <c r="G13631">
        <v>5</v>
      </c>
      <c r="H13631">
        <v>91</v>
      </c>
      <c r="I13631">
        <v>253</v>
      </c>
      <c r="J13631">
        <v>1</v>
      </c>
      <c r="K13631">
        <v>106</v>
      </c>
      <c r="L13631">
        <v>263</v>
      </c>
      <c r="M13631">
        <v>1</v>
      </c>
      <c r="N13631">
        <v>8.4782499999999997E-61</v>
      </c>
      <c r="O13631">
        <v>589</v>
      </c>
    </row>
    <row r="13632" spans="1:15" x14ac:dyDescent="0.25">
      <c r="A13632" t="s">
        <v>13645</v>
      </c>
      <c r="B13632">
        <v>356</v>
      </c>
      <c r="C13632" s="1" t="str">
        <f>HYPERLINK("http://www.rosaceae.org/gb/gbrowse/malus_x_domestica/?name=MDP0000297059","MDP0000297059")</f>
        <v>MDP0000297059</v>
      </c>
      <c r="D13632">
        <v>38.479999999999997</v>
      </c>
      <c r="E13632">
        <v>369</v>
      </c>
      <c r="F13632">
        <v>227</v>
      </c>
      <c r="G13632">
        <v>62</v>
      </c>
      <c r="H13632">
        <v>31</v>
      </c>
      <c r="I13632">
        <v>354</v>
      </c>
      <c r="J13632">
        <v>1</v>
      </c>
      <c r="K13632">
        <v>39</v>
      </c>
      <c r="L13632">
        <v>390</v>
      </c>
      <c r="M13632">
        <v>1</v>
      </c>
      <c r="N13632">
        <v>3.7890000000000001E-59</v>
      </c>
      <c r="O13632">
        <v>575</v>
      </c>
    </row>
    <row r="13633" spans="1:15" x14ac:dyDescent="0.25">
      <c r="A13633" t="s">
        <v>13646</v>
      </c>
      <c r="B13633">
        <v>110</v>
      </c>
      <c r="C13633" s="1" t="str">
        <f>HYPERLINK("http://www.rosaceae.org/gb/gbrowse/malus_x_domestica/?name=MDP0000557646","MDP0000557646")</f>
        <v>MDP0000557646</v>
      </c>
      <c r="D13633">
        <v>89.65</v>
      </c>
      <c r="E13633">
        <v>58</v>
      </c>
      <c r="F13633">
        <v>6</v>
      </c>
      <c r="G13633">
        <v>0</v>
      </c>
      <c r="H13633">
        <v>52</v>
      </c>
      <c r="I13633">
        <v>109</v>
      </c>
      <c r="J13633">
        <v>1</v>
      </c>
      <c r="K13633">
        <v>62</v>
      </c>
      <c r="L13633">
        <v>119</v>
      </c>
      <c r="M13633">
        <v>1</v>
      </c>
      <c r="N13633">
        <v>2.52947E-27</v>
      </c>
      <c r="O13633">
        <v>293</v>
      </c>
    </row>
    <row r="13634" spans="1:15" x14ac:dyDescent="0.25">
      <c r="A13634" t="s">
        <v>13647</v>
      </c>
      <c r="B13634">
        <v>450</v>
      </c>
      <c r="C13634" s="1" t="str">
        <f>HYPERLINK("http://www.rosaceae.org/gb/gbrowse/malus_x_domestica/?name=MDP0000838621","MDP0000838621")</f>
        <v>MDP0000838621</v>
      </c>
      <c r="D13634">
        <v>29.16</v>
      </c>
      <c r="E13634">
        <v>360</v>
      </c>
      <c r="F13634">
        <v>255</v>
      </c>
      <c r="G13634">
        <v>36</v>
      </c>
      <c r="H13634">
        <v>85</v>
      </c>
      <c r="I13634">
        <v>427</v>
      </c>
      <c r="J13634">
        <v>1</v>
      </c>
      <c r="K13634">
        <v>79</v>
      </c>
      <c r="L13634">
        <v>419</v>
      </c>
      <c r="M13634">
        <v>1</v>
      </c>
      <c r="N13634">
        <v>8.7664899999999998E-30</v>
      </c>
      <c r="O13634">
        <v>323</v>
      </c>
    </row>
    <row r="13635" spans="1:15" x14ac:dyDescent="0.25">
      <c r="A13635" t="s">
        <v>13648</v>
      </c>
      <c r="B13635">
        <v>1188</v>
      </c>
      <c r="C13635" s="1" t="str">
        <f>HYPERLINK("http://www.rosaceae.org/gb/gbrowse/malus_x_domestica/?name=MDP0000262367","MDP0000262367")</f>
        <v>MDP0000262367</v>
      </c>
      <c r="D13635">
        <v>54.71</v>
      </c>
      <c r="E13635">
        <v>329</v>
      </c>
      <c r="F13635">
        <v>149</v>
      </c>
      <c r="G13635">
        <v>1</v>
      </c>
      <c r="H13635">
        <v>855</v>
      </c>
      <c r="I13635">
        <v>1182</v>
      </c>
      <c r="J13635">
        <v>1</v>
      </c>
      <c r="K13635">
        <v>77</v>
      </c>
      <c r="L13635">
        <v>405</v>
      </c>
      <c r="M13635">
        <v>1</v>
      </c>
      <c r="N13635">
        <v>2.0633099999999999E-99</v>
      </c>
      <c r="O13635">
        <v>927</v>
      </c>
    </row>
    <row r="13636" spans="1:15" x14ac:dyDescent="0.25">
      <c r="A13636" t="s">
        <v>13649</v>
      </c>
      <c r="B13636">
        <v>496</v>
      </c>
      <c r="C13636" s="1" t="str">
        <f>HYPERLINK("http://www.rosaceae.org/gb/gbrowse/malus_x_domestica/?name=MDP0000447651","MDP0000447651")</f>
        <v>MDP0000447651</v>
      </c>
      <c r="D13636">
        <v>53.2</v>
      </c>
      <c r="E13636">
        <v>250</v>
      </c>
      <c r="F13636">
        <v>117</v>
      </c>
      <c r="G13636">
        <v>10</v>
      </c>
      <c r="H13636">
        <v>241</v>
      </c>
      <c r="I13636">
        <v>490</v>
      </c>
      <c r="J13636">
        <v>1</v>
      </c>
      <c r="K13636">
        <v>163</v>
      </c>
      <c r="L13636">
        <v>402</v>
      </c>
      <c r="M13636">
        <v>1</v>
      </c>
      <c r="N13636">
        <v>2.9133000000000003E-69</v>
      </c>
      <c r="O13636">
        <v>664</v>
      </c>
    </row>
    <row r="13637" spans="1:15" x14ac:dyDescent="0.25">
      <c r="A13637" t="s">
        <v>13650</v>
      </c>
      <c r="B13637">
        <v>332</v>
      </c>
      <c r="C13637" s="1" t="str">
        <f>HYPERLINK("http://www.rosaceae.org/gb/gbrowse/malus_x_domestica/?name=MDP0000541588","MDP0000541588")</f>
        <v>MDP0000541588</v>
      </c>
      <c r="D13637">
        <v>86.46</v>
      </c>
      <c r="E13637">
        <v>303</v>
      </c>
      <c r="F13637">
        <v>41</v>
      </c>
      <c r="G13637">
        <v>1</v>
      </c>
      <c r="H13637">
        <v>30</v>
      </c>
      <c r="I13637">
        <v>332</v>
      </c>
      <c r="J13637">
        <v>1</v>
      </c>
      <c r="K13637">
        <v>2</v>
      </c>
      <c r="L13637">
        <v>303</v>
      </c>
      <c r="M13637">
        <v>1</v>
      </c>
      <c r="N13637">
        <v>1.6272E-152</v>
      </c>
      <c r="O13637">
        <v>1380</v>
      </c>
    </row>
    <row r="13638" spans="1:15" x14ac:dyDescent="0.25">
      <c r="A13638" t="s">
        <v>13651</v>
      </c>
      <c r="B13638">
        <v>1208</v>
      </c>
      <c r="C13638" s="1" t="str">
        <f>HYPERLINK("http://www.rosaceae.org/gb/gbrowse/malus_x_domestica/?name=MDP0000235280","MDP0000235280")</f>
        <v>MDP0000235280</v>
      </c>
      <c r="D13638">
        <v>89.32</v>
      </c>
      <c r="E13638">
        <v>534</v>
      </c>
      <c r="F13638">
        <v>57</v>
      </c>
      <c r="G13638">
        <v>1</v>
      </c>
      <c r="H13638">
        <v>673</v>
      </c>
      <c r="I13638">
        <v>1206</v>
      </c>
      <c r="J13638">
        <v>1</v>
      </c>
      <c r="K13638">
        <v>1</v>
      </c>
      <c r="L13638">
        <v>533</v>
      </c>
      <c r="M13638">
        <v>1</v>
      </c>
      <c r="N13638">
        <v>0</v>
      </c>
      <c r="O13638">
        <v>2562</v>
      </c>
    </row>
    <row r="13639" spans="1:15" x14ac:dyDescent="0.25">
      <c r="A13639" t="s">
        <v>13652</v>
      </c>
      <c r="B13639">
        <v>657</v>
      </c>
      <c r="C13639" s="1" t="str">
        <f>HYPERLINK("http://www.rosaceae.org/gb/gbrowse/malus_x_domestica/?name=MDP0000141837","MDP0000141837")</f>
        <v>MDP0000141837</v>
      </c>
      <c r="D13639">
        <v>85.73</v>
      </c>
      <c r="E13639">
        <v>659</v>
      </c>
      <c r="F13639">
        <v>94</v>
      </c>
      <c r="G13639">
        <v>55</v>
      </c>
      <c r="H13639">
        <v>37</v>
      </c>
      <c r="I13639">
        <v>653</v>
      </c>
      <c r="J13639">
        <v>1</v>
      </c>
      <c r="K13639">
        <v>74</v>
      </c>
      <c r="L13639">
        <v>719</v>
      </c>
      <c r="M13639">
        <v>1</v>
      </c>
      <c r="N13639">
        <v>0</v>
      </c>
      <c r="O13639">
        <v>2951</v>
      </c>
    </row>
    <row r="13640" spans="1:15" x14ac:dyDescent="0.25">
      <c r="A13640" t="s">
        <v>13653</v>
      </c>
      <c r="B13640">
        <v>1090</v>
      </c>
      <c r="C13640" s="1" t="str">
        <f>HYPERLINK("http://www.rosaceae.org/gb/gbrowse/malus_x_domestica/?name=MDP0000161046","MDP0000161046")</f>
        <v>MDP0000161046</v>
      </c>
      <c r="D13640">
        <v>81.459999999999994</v>
      </c>
      <c r="E13640">
        <v>966</v>
      </c>
      <c r="F13640">
        <v>179</v>
      </c>
      <c r="G13640">
        <v>48</v>
      </c>
      <c r="H13640">
        <v>147</v>
      </c>
      <c r="I13640">
        <v>1090</v>
      </c>
      <c r="J13640">
        <v>1</v>
      </c>
      <c r="K13640">
        <v>176</v>
      </c>
      <c r="L13640">
        <v>1115</v>
      </c>
      <c r="M13640">
        <v>1</v>
      </c>
      <c r="N13640">
        <v>0</v>
      </c>
      <c r="O13640">
        <v>4147</v>
      </c>
    </row>
    <row r="13641" spans="1:15" x14ac:dyDescent="0.25">
      <c r="A13641" t="s">
        <v>13654</v>
      </c>
      <c r="B13641">
        <v>134</v>
      </c>
      <c r="C13641" s="1" t="str">
        <f>HYPERLINK("http://www.rosaceae.org/gb/gbrowse/malus_x_domestica/?name=MDP0000166068","MDP0000166068")</f>
        <v>MDP0000166068</v>
      </c>
      <c r="D13641">
        <v>55.47</v>
      </c>
      <c r="E13641">
        <v>137</v>
      </c>
      <c r="F13641">
        <v>61</v>
      </c>
      <c r="G13641">
        <v>8</v>
      </c>
      <c r="H13641">
        <v>1</v>
      </c>
      <c r="I13641">
        <v>134</v>
      </c>
      <c r="J13641">
        <v>1</v>
      </c>
      <c r="K13641">
        <v>18</v>
      </c>
      <c r="L13641">
        <v>149</v>
      </c>
      <c r="M13641">
        <v>1</v>
      </c>
      <c r="N13641">
        <v>2.4832800000000001E-32</v>
      </c>
      <c r="O13641">
        <v>337</v>
      </c>
    </row>
    <row r="13642" spans="1:15" x14ac:dyDescent="0.25">
      <c r="A13642" t="s">
        <v>13655</v>
      </c>
      <c r="B13642">
        <v>251</v>
      </c>
      <c r="C13642" s="1" t="str">
        <f>HYPERLINK("http://www.rosaceae.org/gb/gbrowse/malus_x_domestica/?name=MDP0000308148","MDP0000308148")</f>
        <v>MDP0000308148</v>
      </c>
      <c r="D13642">
        <v>33.520000000000003</v>
      </c>
      <c r="E13642">
        <v>173</v>
      </c>
      <c r="F13642">
        <v>115</v>
      </c>
      <c r="G13642">
        <v>80</v>
      </c>
      <c r="H13642">
        <v>103</v>
      </c>
      <c r="I13642">
        <v>197</v>
      </c>
      <c r="J13642">
        <v>1</v>
      </c>
      <c r="K13642">
        <v>225</v>
      </c>
      <c r="L13642">
        <v>395</v>
      </c>
      <c r="M13642">
        <v>1</v>
      </c>
      <c r="N13642">
        <v>1.4012499999999999E-10</v>
      </c>
      <c r="O13642">
        <v>154</v>
      </c>
    </row>
    <row r="13643" spans="1:15" x14ac:dyDescent="0.25">
      <c r="A13643" t="s">
        <v>13656</v>
      </c>
      <c r="B13643">
        <v>155</v>
      </c>
      <c r="C13643" s="1" t="str">
        <f>HYPERLINK("http://www.rosaceae.org/gb/gbrowse/malus_x_domestica/?name=MDP0000185014","MDP0000185014")</f>
        <v>MDP0000185014</v>
      </c>
      <c r="D13643">
        <v>77.27</v>
      </c>
      <c r="E13643">
        <v>44</v>
      </c>
      <c r="F13643">
        <v>10</v>
      </c>
      <c r="G13643">
        <v>0</v>
      </c>
      <c r="H13643">
        <v>112</v>
      </c>
      <c r="I13643">
        <v>155</v>
      </c>
      <c r="J13643">
        <v>1</v>
      </c>
      <c r="K13643">
        <v>46</v>
      </c>
      <c r="L13643">
        <v>89</v>
      </c>
      <c r="M13643">
        <v>1</v>
      </c>
      <c r="N13643">
        <v>1.3510700000000001E-15</v>
      </c>
      <c r="O13643">
        <v>194</v>
      </c>
    </row>
    <row r="13644" spans="1:15" x14ac:dyDescent="0.25">
      <c r="A13644" t="s">
        <v>13657</v>
      </c>
      <c r="B13644">
        <v>604</v>
      </c>
      <c r="C13644" s="1" t="str">
        <f>HYPERLINK("http://www.rosaceae.org/gb/gbrowse/malus_x_domestica/?name=MDP0000297419","MDP0000297419")</f>
        <v>MDP0000297419</v>
      </c>
      <c r="D13644">
        <v>27.36</v>
      </c>
      <c r="E13644">
        <v>201</v>
      </c>
      <c r="F13644">
        <v>146</v>
      </c>
      <c r="G13644">
        <v>32</v>
      </c>
      <c r="H13644">
        <v>245</v>
      </c>
      <c r="I13644">
        <v>413</v>
      </c>
      <c r="J13644">
        <v>1</v>
      </c>
      <c r="K13644">
        <v>2</v>
      </c>
      <c r="L13644">
        <v>202</v>
      </c>
      <c r="M13644">
        <v>1</v>
      </c>
      <c r="N13644">
        <v>5.1627899999999996E-16</v>
      </c>
      <c r="O13644">
        <v>205</v>
      </c>
    </row>
    <row r="13645" spans="1:15" x14ac:dyDescent="0.25">
      <c r="A13645" t="s">
        <v>13658</v>
      </c>
      <c r="B13645">
        <v>473</v>
      </c>
      <c r="C13645" s="1" t="str">
        <f>HYPERLINK("http://www.rosaceae.org/gb/gbrowse/malus_x_domestica/?name=MDP0000129092","MDP0000129092")</f>
        <v>MDP0000129092</v>
      </c>
      <c r="D13645">
        <v>74.84</v>
      </c>
      <c r="E13645">
        <v>477</v>
      </c>
      <c r="F13645">
        <v>120</v>
      </c>
      <c r="G13645">
        <v>11</v>
      </c>
      <c r="H13645">
        <v>1</v>
      </c>
      <c r="I13645">
        <v>469</v>
      </c>
      <c r="J13645">
        <v>1</v>
      </c>
      <c r="K13645">
        <v>88</v>
      </c>
      <c r="L13645">
        <v>561</v>
      </c>
      <c r="M13645">
        <v>1</v>
      </c>
      <c r="N13645">
        <v>0</v>
      </c>
      <c r="O13645">
        <v>1795</v>
      </c>
    </row>
    <row r="13646" spans="1:15" x14ac:dyDescent="0.25">
      <c r="A13646" t="s">
        <v>13659</v>
      </c>
      <c r="B13646">
        <v>569</v>
      </c>
      <c r="C13646" s="1" t="str">
        <f>HYPERLINK("http://www.rosaceae.org/gb/gbrowse/malus_x_domestica/?name=MDP0000174216","MDP0000174216")</f>
        <v>MDP0000174216</v>
      </c>
      <c r="D13646">
        <v>79.53</v>
      </c>
      <c r="E13646">
        <v>430</v>
      </c>
      <c r="F13646">
        <v>88</v>
      </c>
      <c r="G13646">
        <v>2</v>
      </c>
      <c r="H13646">
        <v>138</v>
      </c>
      <c r="I13646">
        <v>567</v>
      </c>
      <c r="J13646">
        <v>1</v>
      </c>
      <c r="K13646">
        <v>72</v>
      </c>
      <c r="L13646">
        <v>499</v>
      </c>
      <c r="M13646">
        <v>1</v>
      </c>
      <c r="N13646">
        <v>0</v>
      </c>
      <c r="O13646">
        <v>1860</v>
      </c>
    </row>
    <row r="13647" spans="1:15" x14ac:dyDescent="0.25">
      <c r="A13647" t="s">
        <v>13660</v>
      </c>
      <c r="B13647">
        <v>315</v>
      </c>
      <c r="C13647" s="1" t="str">
        <f>HYPERLINK("http://www.rosaceae.org/gb/gbrowse/malus_x_domestica/?name=MDP0000184228","MDP0000184228")</f>
        <v>MDP0000184228</v>
      </c>
      <c r="D13647">
        <v>69.680000000000007</v>
      </c>
      <c r="E13647">
        <v>320</v>
      </c>
      <c r="F13647">
        <v>97</v>
      </c>
      <c r="G13647">
        <v>14</v>
      </c>
      <c r="H13647">
        <v>5</v>
      </c>
      <c r="I13647">
        <v>315</v>
      </c>
      <c r="J13647">
        <v>1</v>
      </c>
      <c r="K13647">
        <v>8</v>
      </c>
      <c r="L13647">
        <v>322</v>
      </c>
      <c r="M13647">
        <v>1</v>
      </c>
      <c r="N13647">
        <v>9.5924900000000004E-126</v>
      </c>
      <c r="O13647">
        <v>1149</v>
      </c>
    </row>
    <row r="13648" spans="1:15" x14ac:dyDescent="0.25">
      <c r="A13648" t="s">
        <v>13661</v>
      </c>
      <c r="B13648">
        <v>368</v>
      </c>
      <c r="C13648" s="1" t="str">
        <f>HYPERLINK("http://www.rosaceae.org/gb/gbrowse/malus_x_domestica/?name=MDP0000414898","MDP0000414898")</f>
        <v>MDP0000414898</v>
      </c>
      <c r="D13648">
        <v>90.12</v>
      </c>
      <c r="E13648">
        <v>314</v>
      </c>
      <c r="F13648">
        <v>31</v>
      </c>
      <c r="G13648">
        <v>0</v>
      </c>
      <c r="H13648">
        <v>26</v>
      </c>
      <c r="I13648">
        <v>339</v>
      </c>
      <c r="J13648">
        <v>1</v>
      </c>
      <c r="K13648">
        <v>5</v>
      </c>
      <c r="L13648">
        <v>318</v>
      </c>
      <c r="M13648">
        <v>1</v>
      </c>
      <c r="N13648">
        <v>8.2881600000000002E-168</v>
      </c>
      <c r="O13648">
        <v>1512</v>
      </c>
    </row>
    <row r="13649" spans="1:15" x14ac:dyDescent="0.25">
      <c r="A13649" t="s">
        <v>13662</v>
      </c>
      <c r="B13649">
        <v>284</v>
      </c>
      <c r="C13649" s="1" t="str">
        <f>HYPERLINK("http://www.rosaceae.org/gb/gbrowse/malus_x_domestica/?name=MDP0000238683","MDP0000238683")</f>
        <v>MDP0000238683</v>
      </c>
      <c r="D13649">
        <v>53.77</v>
      </c>
      <c r="E13649">
        <v>305</v>
      </c>
      <c r="F13649">
        <v>141</v>
      </c>
      <c r="G13649">
        <v>39</v>
      </c>
      <c r="H13649">
        <v>1</v>
      </c>
      <c r="I13649">
        <v>284</v>
      </c>
      <c r="J13649">
        <v>1</v>
      </c>
      <c r="K13649">
        <v>1</v>
      </c>
      <c r="L13649">
        <v>287</v>
      </c>
      <c r="M13649">
        <v>1</v>
      </c>
      <c r="N13649">
        <v>9.2057899999999997E-71</v>
      </c>
      <c r="O13649">
        <v>674</v>
      </c>
    </row>
    <row r="13650" spans="1:15" x14ac:dyDescent="0.25">
      <c r="A13650" t="s">
        <v>13663</v>
      </c>
      <c r="B13650">
        <v>401</v>
      </c>
      <c r="C13650" s="1" t="str">
        <f>HYPERLINK("http://www.rosaceae.org/gb/gbrowse/malus_x_domestica/?name=MDP0000672840","MDP0000672840")</f>
        <v>MDP0000672840</v>
      </c>
      <c r="D13650">
        <v>36.229999999999997</v>
      </c>
      <c r="E13650">
        <v>414</v>
      </c>
      <c r="F13650">
        <v>264</v>
      </c>
      <c r="G13650">
        <v>64</v>
      </c>
      <c r="H13650">
        <v>33</v>
      </c>
      <c r="I13650">
        <v>400</v>
      </c>
      <c r="J13650">
        <v>1</v>
      </c>
      <c r="K13650">
        <v>7</v>
      </c>
      <c r="L13650">
        <v>402</v>
      </c>
      <c r="M13650">
        <v>1</v>
      </c>
      <c r="N13650">
        <v>3.1576E-52</v>
      </c>
      <c r="O13650">
        <v>516</v>
      </c>
    </row>
    <row r="13651" spans="1:15" x14ac:dyDescent="0.25">
      <c r="A13651" t="s">
        <v>13664</v>
      </c>
      <c r="B13651">
        <v>591</v>
      </c>
      <c r="C13651" s="1" t="str">
        <f>HYPERLINK("http://www.rosaceae.org/gb/gbrowse/malus_x_domestica/?name=MDP0000842296","MDP0000842296")</f>
        <v>MDP0000842296</v>
      </c>
      <c r="D13651">
        <v>46.02</v>
      </c>
      <c r="E13651">
        <v>239</v>
      </c>
      <c r="F13651">
        <v>129</v>
      </c>
      <c r="G13651">
        <v>18</v>
      </c>
      <c r="H13651">
        <v>64</v>
      </c>
      <c r="I13651">
        <v>287</v>
      </c>
      <c r="J13651">
        <v>1</v>
      </c>
      <c r="K13651">
        <v>284</v>
      </c>
      <c r="L13651">
        <v>519</v>
      </c>
      <c r="M13651">
        <v>1</v>
      </c>
      <c r="N13651">
        <v>3.9362199999999999E-54</v>
      </c>
      <c r="O13651">
        <v>534</v>
      </c>
    </row>
    <row r="13652" spans="1:15" x14ac:dyDescent="0.25">
      <c r="A13652" t="s">
        <v>13665</v>
      </c>
      <c r="B13652">
        <v>311</v>
      </c>
      <c r="C13652" s="1" t="str">
        <f>HYPERLINK("http://www.rosaceae.org/gb/gbrowse/malus_x_domestica/?name=MDP0000235597","MDP0000235597")</f>
        <v>MDP0000235597</v>
      </c>
      <c r="D13652">
        <v>76.45</v>
      </c>
      <c r="E13652">
        <v>310</v>
      </c>
      <c r="F13652">
        <v>73</v>
      </c>
      <c r="G13652">
        <v>3</v>
      </c>
      <c r="H13652">
        <v>1</v>
      </c>
      <c r="I13652">
        <v>310</v>
      </c>
      <c r="J13652">
        <v>1</v>
      </c>
      <c r="K13652">
        <v>1</v>
      </c>
      <c r="L13652">
        <v>307</v>
      </c>
      <c r="M13652">
        <v>1</v>
      </c>
      <c r="N13652">
        <v>2.91972E-134</v>
      </c>
      <c r="O13652">
        <v>1222</v>
      </c>
    </row>
    <row r="13653" spans="1:15" x14ac:dyDescent="0.25">
      <c r="A13653" t="s">
        <v>13666</v>
      </c>
      <c r="B13653">
        <v>688</v>
      </c>
      <c r="C13653" s="1" t="str">
        <f>HYPERLINK("http://www.rosaceae.org/gb/gbrowse/malus_x_domestica/?name=MDP0000225752","MDP0000225752")</f>
        <v>MDP0000225752</v>
      </c>
      <c r="D13653">
        <v>56.42</v>
      </c>
      <c r="E13653">
        <v>755</v>
      </c>
      <c r="F13653">
        <v>329</v>
      </c>
      <c r="G13653">
        <v>92</v>
      </c>
      <c r="H13653">
        <v>1</v>
      </c>
      <c r="I13653">
        <v>686</v>
      </c>
      <c r="J13653">
        <v>1</v>
      </c>
      <c r="K13653">
        <v>1</v>
      </c>
      <c r="L13653">
        <v>732</v>
      </c>
      <c r="M13653">
        <v>1</v>
      </c>
      <c r="N13653">
        <v>0</v>
      </c>
      <c r="O13653">
        <v>2034</v>
      </c>
    </row>
    <row r="13654" spans="1:15" x14ac:dyDescent="0.25">
      <c r="A13654" t="s">
        <v>13667</v>
      </c>
      <c r="B13654">
        <v>454</v>
      </c>
      <c r="C13654" s="1" t="str">
        <f>HYPERLINK("http://www.rosaceae.org/gb/gbrowse/malus_x_domestica/?name=MDP0000639465","MDP0000639465")</f>
        <v>MDP0000639465</v>
      </c>
      <c r="D13654">
        <v>59.95</v>
      </c>
      <c r="E13654">
        <v>482</v>
      </c>
      <c r="F13654">
        <v>193</v>
      </c>
      <c r="G13654">
        <v>36</v>
      </c>
      <c r="H13654">
        <v>1</v>
      </c>
      <c r="I13654">
        <v>454</v>
      </c>
      <c r="J13654">
        <v>1</v>
      </c>
      <c r="K13654">
        <v>1</v>
      </c>
      <c r="L13654">
        <v>474</v>
      </c>
      <c r="M13654">
        <v>1</v>
      </c>
      <c r="N13654">
        <v>4.8233700000000001E-145</v>
      </c>
      <c r="O13654">
        <v>1317</v>
      </c>
    </row>
    <row r="13655" spans="1:15" x14ac:dyDescent="0.25">
      <c r="A13655" t="s">
        <v>13668</v>
      </c>
      <c r="B13655">
        <v>179</v>
      </c>
      <c r="C13655" s="1" t="str">
        <f>HYPERLINK("http://www.rosaceae.org/gb/gbrowse/malus_x_domestica/?name=MDP0000125671","MDP0000125671")</f>
        <v>MDP0000125671</v>
      </c>
      <c r="D13655">
        <v>36.840000000000003</v>
      </c>
      <c r="E13655">
        <v>76</v>
      </c>
      <c r="F13655">
        <v>48</v>
      </c>
      <c r="G13655">
        <v>0</v>
      </c>
      <c r="H13655">
        <v>14</v>
      </c>
      <c r="I13655">
        <v>89</v>
      </c>
      <c r="J13655">
        <v>1</v>
      </c>
      <c r="K13655">
        <v>349</v>
      </c>
      <c r="L13655">
        <v>424</v>
      </c>
      <c r="M13655">
        <v>1</v>
      </c>
      <c r="N13655">
        <v>3.7972000000000001E-7</v>
      </c>
      <c r="O13655">
        <v>122</v>
      </c>
    </row>
    <row r="13656" spans="1:15" x14ac:dyDescent="0.25">
      <c r="A13656" t="s">
        <v>13669</v>
      </c>
      <c r="B13656">
        <v>763</v>
      </c>
      <c r="C13656" s="1" t="str">
        <f>HYPERLINK("http://www.rosaceae.org/gb/gbrowse/malus_x_domestica/?name=MDP0000266454","MDP0000266454")</f>
        <v>MDP0000266454</v>
      </c>
      <c r="D13656">
        <v>70.88</v>
      </c>
      <c r="E13656">
        <v>790</v>
      </c>
      <c r="F13656">
        <v>230</v>
      </c>
      <c r="G13656">
        <v>50</v>
      </c>
      <c r="H13656">
        <v>1</v>
      </c>
      <c r="I13656">
        <v>754</v>
      </c>
      <c r="J13656">
        <v>1</v>
      </c>
      <c r="K13656">
        <v>1</v>
      </c>
      <c r="L13656">
        <v>776</v>
      </c>
      <c r="M13656">
        <v>1</v>
      </c>
      <c r="N13656">
        <v>0</v>
      </c>
      <c r="O13656">
        <v>2806</v>
      </c>
    </row>
    <row r="13657" spans="1:15" x14ac:dyDescent="0.25">
      <c r="A13657" t="s">
        <v>13670</v>
      </c>
      <c r="B13657">
        <v>597</v>
      </c>
      <c r="C13657" s="1" t="str">
        <f>HYPERLINK("http://www.rosaceae.org/gb/gbrowse/malus_x_domestica/?name=MDP0000902760","MDP0000902760")</f>
        <v>MDP0000902760</v>
      </c>
      <c r="D13657">
        <v>68.900000000000006</v>
      </c>
      <c r="E13657">
        <v>447</v>
      </c>
      <c r="F13657">
        <v>139</v>
      </c>
      <c r="G13657">
        <v>19</v>
      </c>
      <c r="H13657">
        <v>168</v>
      </c>
      <c r="I13657">
        <v>596</v>
      </c>
      <c r="J13657">
        <v>1</v>
      </c>
      <c r="K13657">
        <v>29</v>
      </c>
      <c r="L13657">
        <v>474</v>
      </c>
      <c r="M13657">
        <v>1</v>
      </c>
      <c r="N13657">
        <v>0</v>
      </c>
      <c r="O13657">
        <v>1634</v>
      </c>
    </row>
    <row r="13658" spans="1:15" x14ac:dyDescent="0.25">
      <c r="A13658" t="s">
        <v>13671</v>
      </c>
      <c r="B13658">
        <v>557</v>
      </c>
      <c r="C13658" s="1" t="str">
        <f>HYPERLINK("http://www.rosaceae.org/gb/gbrowse/malus_x_domestica/?name=MDP0000258318","MDP0000258318")</f>
        <v>MDP0000258318</v>
      </c>
      <c r="D13658">
        <v>67.14</v>
      </c>
      <c r="E13658">
        <v>563</v>
      </c>
      <c r="F13658">
        <v>185</v>
      </c>
      <c r="G13658">
        <v>33</v>
      </c>
      <c r="H13658">
        <v>1</v>
      </c>
      <c r="I13658">
        <v>557</v>
      </c>
      <c r="J13658">
        <v>1</v>
      </c>
      <c r="K13658">
        <v>1</v>
      </c>
      <c r="L13658">
        <v>536</v>
      </c>
      <c r="M13658">
        <v>1</v>
      </c>
      <c r="N13658">
        <v>0</v>
      </c>
      <c r="O13658">
        <v>1917</v>
      </c>
    </row>
    <row r="13659" spans="1:15" x14ac:dyDescent="0.25">
      <c r="A13659" t="s">
        <v>13672</v>
      </c>
      <c r="B13659">
        <v>374</v>
      </c>
      <c r="C13659" s="1" t="str">
        <f>HYPERLINK("http://www.rosaceae.org/gb/gbrowse/malus_x_domestica/?name=MDP0000125243","MDP0000125243")</f>
        <v>MDP0000125243</v>
      </c>
      <c r="D13659">
        <v>47.08</v>
      </c>
      <c r="E13659">
        <v>274</v>
      </c>
      <c r="F13659">
        <v>145</v>
      </c>
      <c r="G13659">
        <v>24</v>
      </c>
      <c r="H13659">
        <v>61</v>
      </c>
      <c r="I13659">
        <v>323</v>
      </c>
      <c r="J13659">
        <v>1</v>
      </c>
      <c r="K13659">
        <v>6</v>
      </c>
      <c r="L13659">
        <v>266</v>
      </c>
      <c r="M13659">
        <v>1</v>
      </c>
      <c r="N13659">
        <v>2.6351400000000003E-54</v>
      </c>
      <c r="O13659">
        <v>533</v>
      </c>
    </row>
    <row r="13660" spans="1:15" x14ac:dyDescent="0.25">
      <c r="A13660" t="s">
        <v>13673</v>
      </c>
      <c r="B13660">
        <v>635</v>
      </c>
      <c r="C13660" s="1" t="str">
        <f>HYPERLINK("http://www.rosaceae.org/gb/gbrowse/malus_x_domestica/?name=MDP0000949258","MDP0000949258")</f>
        <v>MDP0000949258</v>
      </c>
      <c r="D13660">
        <v>75.64</v>
      </c>
      <c r="E13660">
        <v>661</v>
      </c>
      <c r="F13660">
        <v>161</v>
      </c>
      <c r="G13660">
        <v>39</v>
      </c>
      <c r="H13660">
        <v>1</v>
      </c>
      <c r="I13660">
        <v>625</v>
      </c>
      <c r="J13660">
        <v>1</v>
      </c>
      <c r="K13660">
        <v>1</v>
      </c>
      <c r="L13660">
        <v>658</v>
      </c>
      <c r="M13660">
        <v>1</v>
      </c>
      <c r="N13660">
        <v>0</v>
      </c>
      <c r="O13660">
        <v>2487</v>
      </c>
    </row>
    <row r="13661" spans="1:15" x14ac:dyDescent="0.25">
      <c r="A13661" t="s">
        <v>13674</v>
      </c>
      <c r="B13661">
        <v>307</v>
      </c>
      <c r="C13661" s="1" t="str">
        <f>HYPERLINK("http://www.rosaceae.org/gb/gbrowse/malus_x_domestica/?name=MDP0000185794","MDP0000185794")</f>
        <v>MDP0000185794</v>
      </c>
      <c r="D13661">
        <v>66.44</v>
      </c>
      <c r="E13661">
        <v>307</v>
      </c>
      <c r="F13661">
        <v>103</v>
      </c>
      <c r="G13661">
        <v>0</v>
      </c>
      <c r="H13661">
        <v>1</v>
      </c>
      <c r="I13661">
        <v>307</v>
      </c>
      <c r="J13661">
        <v>1</v>
      </c>
      <c r="K13661">
        <v>100</v>
      </c>
      <c r="L13661">
        <v>406</v>
      </c>
      <c r="M13661">
        <v>1</v>
      </c>
      <c r="N13661">
        <v>4.4551600000000003E-106</v>
      </c>
      <c r="O13661">
        <v>979</v>
      </c>
    </row>
    <row r="13662" spans="1:15" x14ac:dyDescent="0.25">
      <c r="A13662" t="s">
        <v>13675</v>
      </c>
      <c r="B13662">
        <v>216</v>
      </c>
      <c r="C13662" s="1" t="str">
        <f>HYPERLINK("http://www.rosaceae.org/gb/gbrowse/malus_x_domestica/?name=MDP0000184046","MDP0000184046")</f>
        <v>MDP0000184046</v>
      </c>
      <c r="D13662">
        <v>74.42</v>
      </c>
      <c r="E13662">
        <v>219</v>
      </c>
      <c r="F13662">
        <v>56</v>
      </c>
      <c r="G13662">
        <v>3</v>
      </c>
      <c r="H13662">
        <v>1</v>
      </c>
      <c r="I13662">
        <v>216</v>
      </c>
      <c r="J13662">
        <v>1</v>
      </c>
      <c r="K13662">
        <v>1</v>
      </c>
      <c r="L13662">
        <v>219</v>
      </c>
      <c r="M13662">
        <v>1</v>
      </c>
      <c r="N13662">
        <v>6.5284800000000003E-87</v>
      </c>
      <c r="O13662">
        <v>812</v>
      </c>
    </row>
    <row r="13663" spans="1:15" x14ac:dyDescent="0.25">
      <c r="A13663" t="s">
        <v>13676</v>
      </c>
      <c r="B13663">
        <v>354</v>
      </c>
      <c r="C13663" s="1" t="str">
        <f>HYPERLINK("http://www.rosaceae.org/gb/gbrowse/malus_x_domestica/?name=MDP0000211406","MDP0000211406")</f>
        <v>MDP0000211406</v>
      </c>
      <c r="D13663">
        <v>64.64</v>
      </c>
      <c r="E13663">
        <v>280</v>
      </c>
      <c r="F13663">
        <v>99</v>
      </c>
      <c r="G13663">
        <v>17</v>
      </c>
      <c r="H13663">
        <v>83</v>
      </c>
      <c r="I13663">
        <v>346</v>
      </c>
      <c r="J13663">
        <v>1</v>
      </c>
      <c r="K13663">
        <v>216</v>
      </c>
      <c r="L13663">
        <v>494</v>
      </c>
      <c r="M13663">
        <v>1</v>
      </c>
      <c r="N13663">
        <v>6.9171399999999997E-85</v>
      </c>
      <c r="O13663">
        <v>797</v>
      </c>
    </row>
    <row r="13664" spans="1:15" x14ac:dyDescent="0.25">
      <c r="A13664" t="s">
        <v>13677</v>
      </c>
      <c r="B13664">
        <v>262</v>
      </c>
      <c r="C13664" s="1" t="str">
        <f>HYPERLINK("http://www.rosaceae.org/gb/gbrowse/malus_x_domestica/?name=MDP0000239885","MDP0000239885")</f>
        <v>MDP0000239885</v>
      </c>
      <c r="D13664">
        <v>71.92</v>
      </c>
      <c r="E13664">
        <v>260</v>
      </c>
      <c r="F13664">
        <v>73</v>
      </c>
      <c r="G13664">
        <v>5</v>
      </c>
      <c r="H13664">
        <v>8</v>
      </c>
      <c r="I13664">
        <v>262</v>
      </c>
      <c r="J13664">
        <v>1</v>
      </c>
      <c r="K13664">
        <v>70</v>
      </c>
      <c r="L13664">
        <v>329</v>
      </c>
      <c r="M13664">
        <v>1</v>
      </c>
      <c r="N13664">
        <v>6.1508499999999997E-102</v>
      </c>
      <c r="O13664">
        <v>942</v>
      </c>
    </row>
    <row r="13665" spans="1:15" x14ac:dyDescent="0.25">
      <c r="A13665" t="s">
        <v>13678</v>
      </c>
      <c r="B13665">
        <v>262</v>
      </c>
      <c r="C13665" s="1" t="str">
        <f>HYPERLINK("http://www.rosaceae.org/gb/gbrowse/malus_x_domestica/?name=MDP0000209440","MDP0000209440")</f>
        <v>MDP0000209440</v>
      </c>
      <c r="D13665">
        <v>51.57</v>
      </c>
      <c r="E13665">
        <v>190</v>
      </c>
      <c r="F13665">
        <v>92</v>
      </c>
      <c r="G13665">
        <v>7</v>
      </c>
      <c r="H13665">
        <v>63</v>
      </c>
      <c r="I13665">
        <v>245</v>
      </c>
      <c r="J13665">
        <v>1</v>
      </c>
      <c r="K13665">
        <v>96</v>
      </c>
      <c r="L13665">
        <v>285</v>
      </c>
      <c r="M13665">
        <v>1</v>
      </c>
      <c r="N13665">
        <v>9.7227100000000005E-48</v>
      </c>
      <c r="O13665">
        <v>475</v>
      </c>
    </row>
    <row r="13666" spans="1:15" x14ac:dyDescent="0.25">
      <c r="A13666" t="s">
        <v>13679</v>
      </c>
      <c r="B13666">
        <v>370</v>
      </c>
      <c r="C13666" s="1" t="str">
        <f>HYPERLINK("http://www.rosaceae.org/gb/gbrowse/malus_x_domestica/?name=MDP0000759061","MDP0000759061")</f>
        <v>MDP0000759061</v>
      </c>
      <c r="D13666">
        <v>59.63</v>
      </c>
      <c r="E13666">
        <v>275</v>
      </c>
      <c r="F13666">
        <v>111</v>
      </c>
      <c r="G13666">
        <v>32</v>
      </c>
      <c r="H13666">
        <v>1</v>
      </c>
      <c r="I13666">
        <v>254</v>
      </c>
      <c r="J13666">
        <v>1</v>
      </c>
      <c r="K13666">
        <v>1</v>
      </c>
      <c r="L13666">
        <v>264</v>
      </c>
      <c r="M13666">
        <v>1</v>
      </c>
      <c r="N13666">
        <v>9.0303200000000006E-71</v>
      </c>
      <c r="O13666">
        <v>675</v>
      </c>
    </row>
    <row r="13667" spans="1:15" x14ac:dyDescent="0.25">
      <c r="A13667" t="s">
        <v>13680</v>
      </c>
      <c r="B13667">
        <v>333</v>
      </c>
      <c r="C13667" s="1" t="str">
        <f>HYPERLINK("http://www.rosaceae.org/gb/gbrowse/malus_x_domestica/?name=MDP0000168790","MDP0000168790")</f>
        <v>MDP0000168790</v>
      </c>
      <c r="D13667">
        <v>70.44</v>
      </c>
      <c r="E13667">
        <v>362</v>
      </c>
      <c r="F13667">
        <v>107</v>
      </c>
      <c r="G13667">
        <v>33</v>
      </c>
      <c r="H13667">
        <v>1</v>
      </c>
      <c r="I13667">
        <v>333</v>
      </c>
      <c r="J13667">
        <v>1</v>
      </c>
      <c r="K13667">
        <v>1</v>
      </c>
      <c r="L13667">
        <v>358</v>
      </c>
      <c r="M13667">
        <v>1</v>
      </c>
      <c r="N13667">
        <v>2.52874E-143</v>
      </c>
      <c r="O13667">
        <v>1301</v>
      </c>
    </row>
    <row r="13668" spans="1:15" x14ac:dyDescent="0.25">
      <c r="A13668" t="s">
        <v>13681</v>
      </c>
      <c r="B13668">
        <v>144</v>
      </c>
      <c r="C13668" s="1" t="str">
        <f>HYPERLINK("http://www.rosaceae.org/gb/gbrowse/malus_x_domestica/?name=MDP0000182955","MDP0000182955")</f>
        <v>MDP0000182955</v>
      </c>
      <c r="D13668">
        <v>66.66</v>
      </c>
      <c r="E13668">
        <v>129</v>
      </c>
      <c r="F13668">
        <v>43</v>
      </c>
      <c r="G13668">
        <v>2</v>
      </c>
      <c r="H13668">
        <v>18</v>
      </c>
      <c r="I13668">
        <v>144</v>
      </c>
      <c r="J13668">
        <v>1</v>
      </c>
      <c r="K13668">
        <v>239</v>
      </c>
      <c r="L13668">
        <v>367</v>
      </c>
      <c r="M13668">
        <v>1</v>
      </c>
      <c r="N13668">
        <v>3.4238500000000002E-42</v>
      </c>
      <c r="O13668">
        <v>423</v>
      </c>
    </row>
    <row r="13669" spans="1:15" x14ac:dyDescent="0.25">
      <c r="A13669" t="s">
        <v>13682</v>
      </c>
      <c r="B13669">
        <v>341</v>
      </c>
      <c r="C13669" s="1" t="str">
        <f>HYPERLINK("http://www.rosaceae.org/gb/gbrowse/malus_x_domestica/?name=MDP0000847579","MDP0000847579")</f>
        <v>MDP0000847579</v>
      </c>
      <c r="D13669">
        <v>67.959999999999994</v>
      </c>
      <c r="E13669">
        <v>309</v>
      </c>
      <c r="F13669">
        <v>99</v>
      </c>
      <c r="G13669">
        <v>44</v>
      </c>
      <c r="H13669">
        <v>77</v>
      </c>
      <c r="I13669">
        <v>341</v>
      </c>
      <c r="J13669">
        <v>1</v>
      </c>
      <c r="K13669">
        <v>20</v>
      </c>
      <c r="L13669">
        <v>328</v>
      </c>
      <c r="M13669">
        <v>1</v>
      </c>
      <c r="N13669">
        <v>2.7802999999999997E-107</v>
      </c>
      <c r="O13669">
        <v>990</v>
      </c>
    </row>
    <row r="13670" spans="1:15" x14ac:dyDescent="0.25">
      <c r="A13670" t="s">
        <v>13683</v>
      </c>
      <c r="B13670">
        <v>158</v>
      </c>
      <c r="C13670" s="1" t="str">
        <f>HYPERLINK("http://www.rosaceae.org/gb/gbrowse/malus_x_domestica/?name=MDP0000453458","MDP0000453458")</f>
        <v>MDP0000453458</v>
      </c>
      <c r="D13670">
        <v>46.29</v>
      </c>
      <c r="E13670">
        <v>162</v>
      </c>
      <c r="F13670">
        <v>87</v>
      </c>
      <c r="G13670">
        <v>17</v>
      </c>
      <c r="H13670">
        <v>2</v>
      </c>
      <c r="I13670">
        <v>158</v>
      </c>
      <c r="J13670">
        <v>1</v>
      </c>
      <c r="K13670">
        <v>59</v>
      </c>
      <c r="L13670">
        <v>208</v>
      </c>
      <c r="M13670">
        <v>1</v>
      </c>
      <c r="N13670">
        <v>1.11212E-20</v>
      </c>
      <c r="O13670">
        <v>238</v>
      </c>
    </row>
    <row r="13671" spans="1:15" x14ac:dyDescent="0.25">
      <c r="A13671" t="s">
        <v>13684</v>
      </c>
      <c r="B13671">
        <v>474</v>
      </c>
      <c r="C13671" s="1" t="str">
        <f>HYPERLINK("http://www.rosaceae.org/gb/gbrowse/malus_x_domestica/?name=MDP0000427970","MDP0000427970")</f>
        <v>MDP0000427970</v>
      </c>
      <c r="D13671">
        <v>84.32</v>
      </c>
      <c r="E13671">
        <v>453</v>
      </c>
      <c r="F13671">
        <v>71</v>
      </c>
      <c r="G13671">
        <v>1</v>
      </c>
      <c r="H13671">
        <v>23</v>
      </c>
      <c r="I13671">
        <v>474</v>
      </c>
      <c r="J13671">
        <v>1</v>
      </c>
      <c r="K13671">
        <v>25</v>
      </c>
      <c r="L13671">
        <v>477</v>
      </c>
      <c r="M13671">
        <v>1</v>
      </c>
      <c r="N13671">
        <v>0</v>
      </c>
      <c r="O13671">
        <v>2067</v>
      </c>
    </row>
    <row r="13672" spans="1:15" x14ac:dyDescent="0.25">
      <c r="A13672" t="s">
        <v>13685</v>
      </c>
      <c r="B13672">
        <v>500</v>
      </c>
      <c r="C13672" s="1" t="str">
        <f>HYPERLINK("http://www.rosaceae.org/gb/gbrowse/malus_x_domestica/?name=MDP0000137284","MDP0000137284")</f>
        <v>MDP0000137284</v>
      </c>
      <c r="D13672">
        <v>78.569999999999993</v>
      </c>
      <c r="E13672">
        <v>420</v>
      </c>
      <c r="F13672">
        <v>90</v>
      </c>
      <c r="G13672">
        <v>14</v>
      </c>
      <c r="H13672">
        <v>87</v>
      </c>
      <c r="I13672">
        <v>500</v>
      </c>
      <c r="J13672">
        <v>1</v>
      </c>
      <c r="K13672">
        <v>1</v>
      </c>
      <c r="L13672">
        <v>412</v>
      </c>
      <c r="M13672">
        <v>1</v>
      </c>
      <c r="N13672">
        <v>0</v>
      </c>
      <c r="O13672">
        <v>1721</v>
      </c>
    </row>
    <row r="13673" spans="1:15" x14ac:dyDescent="0.25">
      <c r="A13673" t="s">
        <v>13686</v>
      </c>
      <c r="B13673">
        <v>1065</v>
      </c>
      <c r="C13673" s="1" t="str">
        <f>HYPERLINK("http://www.rosaceae.org/gb/gbrowse/malus_x_domestica/?name=MDP0000168881","MDP0000168881")</f>
        <v>MDP0000168881</v>
      </c>
      <c r="D13673">
        <v>69.180000000000007</v>
      </c>
      <c r="E13673">
        <v>1113</v>
      </c>
      <c r="F13673">
        <v>343</v>
      </c>
      <c r="G13673">
        <v>110</v>
      </c>
      <c r="H13673">
        <v>1</v>
      </c>
      <c r="I13673">
        <v>1024</v>
      </c>
      <c r="J13673">
        <v>1</v>
      </c>
      <c r="K13673">
        <v>1</v>
      </c>
      <c r="L13673">
        <v>1092</v>
      </c>
      <c r="M13673">
        <v>1</v>
      </c>
      <c r="N13673">
        <v>0</v>
      </c>
      <c r="O13673">
        <v>3927</v>
      </c>
    </row>
    <row r="13674" spans="1:15" x14ac:dyDescent="0.25">
      <c r="A13674" t="s">
        <v>13687</v>
      </c>
      <c r="B13674">
        <v>284</v>
      </c>
      <c r="C13674" s="1" t="str">
        <f>HYPERLINK("http://www.rosaceae.org/gb/gbrowse/malus_x_domestica/?name=MDP0000097759","MDP0000097759")</f>
        <v>MDP0000097759</v>
      </c>
      <c r="D13674">
        <v>54.11</v>
      </c>
      <c r="E13674">
        <v>231</v>
      </c>
      <c r="F13674">
        <v>106</v>
      </c>
      <c r="G13674">
        <v>13</v>
      </c>
      <c r="H13674">
        <v>1</v>
      </c>
      <c r="I13674">
        <v>222</v>
      </c>
      <c r="J13674">
        <v>1</v>
      </c>
      <c r="K13674">
        <v>21</v>
      </c>
      <c r="L13674">
        <v>247</v>
      </c>
      <c r="M13674">
        <v>1</v>
      </c>
      <c r="N13674">
        <v>2.39148E-58</v>
      </c>
      <c r="O13674">
        <v>567</v>
      </c>
    </row>
    <row r="13675" spans="1:15" x14ac:dyDescent="0.25">
      <c r="A13675" t="s">
        <v>13688</v>
      </c>
      <c r="B13675">
        <v>566</v>
      </c>
      <c r="C13675" s="1" t="str">
        <f>HYPERLINK("http://www.rosaceae.org/gb/gbrowse/malus_x_domestica/?name=MDP0000214614","MDP0000214614")</f>
        <v>MDP0000214614</v>
      </c>
      <c r="D13675">
        <v>76.89</v>
      </c>
      <c r="E13675">
        <v>593</v>
      </c>
      <c r="F13675">
        <v>137</v>
      </c>
      <c r="G13675">
        <v>39</v>
      </c>
      <c r="H13675">
        <v>1</v>
      </c>
      <c r="I13675">
        <v>565</v>
      </c>
      <c r="J13675">
        <v>1</v>
      </c>
      <c r="K13675">
        <v>1</v>
      </c>
      <c r="L13675">
        <v>582</v>
      </c>
      <c r="M13675">
        <v>1</v>
      </c>
      <c r="N13675">
        <v>0</v>
      </c>
      <c r="O13675">
        <v>2340</v>
      </c>
    </row>
    <row r="13676" spans="1:15" x14ac:dyDescent="0.25">
      <c r="A13676" t="s">
        <v>13689</v>
      </c>
      <c r="B13676">
        <v>208</v>
      </c>
      <c r="C13676" s="1" t="str">
        <f>HYPERLINK("http://www.rosaceae.org/gb/gbrowse/malus_x_domestica/?name=MDP0000150610","MDP0000150610")</f>
        <v>MDP0000150610</v>
      </c>
      <c r="D13676">
        <v>62.98</v>
      </c>
      <c r="E13676">
        <v>208</v>
      </c>
      <c r="F13676">
        <v>77</v>
      </c>
      <c r="G13676">
        <v>5</v>
      </c>
      <c r="H13676">
        <v>1</v>
      </c>
      <c r="I13676">
        <v>208</v>
      </c>
      <c r="J13676">
        <v>1</v>
      </c>
      <c r="K13676">
        <v>274</v>
      </c>
      <c r="L13676">
        <v>476</v>
      </c>
      <c r="M13676">
        <v>1</v>
      </c>
      <c r="N13676">
        <v>5.9541400000000003E-74</v>
      </c>
      <c r="O13676">
        <v>700</v>
      </c>
    </row>
    <row r="13677" spans="1:15" x14ac:dyDescent="0.25">
      <c r="A13677" t="s">
        <v>13690</v>
      </c>
      <c r="B13677">
        <v>246</v>
      </c>
      <c r="C13677" s="1" t="str">
        <f>HYPERLINK("http://www.rosaceae.org/gb/gbrowse/malus_x_domestica/?name=MDP0000823144","MDP0000823144")</f>
        <v>MDP0000823144</v>
      </c>
      <c r="D13677">
        <v>38.61</v>
      </c>
      <c r="E13677">
        <v>246</v>
      </c>
      <c r="F13677">
        <v>151</v>
      </c>
      <c r="G13677">
        <v>21</v>
      </c>
      <c r="H13677">
        <v>1</v>
      </c>
      <c r="I13677">
        <v>236</v>
      </c>
      <c r="J13677">
        <v>1</v>
      </c>
      <c r="K13677">
        <v>1</v>
      </c>
      <c r="L13677">
        <v>235</v>
      </c>
      <c r="M13677">
        <v>1</v>
      </c>
      <c r="N13677">
        <v>1.28907E-37</v>
      </c>
      <c r="O13677">
        <v>387</v>
      </c>
    </row>
    <row r="13678" spans="1:15" x14ac:dyDescent="0.25">
      <c r="A13678" t="s">
        <v>13691</v>
      </c>
      <c r="B13678">
        <v>314</v>
      </c>
      <c r="C13678" s="1" t="str">
        <f>HYPERLINK("http://www.rosaceae.org/gb/gbrowse/malus_x_domestica/?name=MDP0000160122","MDP0000160122")</f>
        <v>MDP0000160122</v>
      </c>
      <c r="D13678">
        <v>78.989999999999995</v>
      </c>
      <c r="E13678">
        <v>238</v>
      </c>
      <c r="F13678">
        <v>50</v>
      </c>
      <c r="G13678">
        <v>2</v>
      </c>
      <c r="H13678">
        <v>71</v>
      </c>
      <c r="I13678">
        <v>306</v>
      </c>
      <c r="J13678">
        <v>1</v>
      </c>
      <c r="K13678">
        <v>1</v>
      </c>
      <c r="L13678">
        <v>238</v>
      </c>
      <c r="M13678">
        <v>1</v>
      </c>
      <c r="N13678">
        <v>1.0864099999999999E-111</v>
      </c>
      <c r="O13678">
        <v>1027</v>
      </c>
    </row>
    <row r="13679" spans="1:15" x14ac:dyDescent="0.25">
      <c r="A13679" t="s">
        <v>13692</v>
      </c>
      <c r="B13679">
        <v>293</v>
      </c>
      <c r="C13679" s="1" t="str">
        <f>HYPERLINK("http://www.rosaceae.org/gb/gbrowse/malus_x_domestica/?name=MDP0000150126","MDP0000150126")</f>
        <v>MDP0000150126</v>
      </c>
      <c r="D13679">
        <v>65.73</v>
      </c>
      <c r="E13679">
        <v>286</v>
      </c>
      <c r="F13679">
        <v>98</v>
      </c>
      <c r="G13679">
        <v>18</v>
      </c>
      <c r="H13679">
        <v>2</v>
      </c>
      <c r="I13679">
        <v>287</v>
      </c>
      <c r="J13679">
        <v>1</v>
      </c>
      <c r="K13679">
        <v>15</v>
      </c>
      <c r="L13679">
        <v>282</v>
      </c>
      <c r="M13679">
        <v>1</v>
      </c>
      <c r="N13679">
        <v>3.4555600000000002E-104</v>
      </c>
      <c r="O13679">
        <v>962</v>
      </c>
    </row>
    <row r="13680" spans="1:15" x14ac:dyDescent="0.25">
      <c r="A13680" t="s">
        <v>13693</v>
      </c>
      <c r="B13680">
        <v>281</v>
      </c>
      <c r="C13680" s="1" t="str">
        <f>HYPERLINK("http://www.rosaceae.org/gb/gbrowse/malus_x_domestica/?name=MDP0000479436","MDP0000479436")</f>
        <v>MDP0000479436</v>
      </c>
      <c r="D13680">
        <v>70</v>
      </c>
      <c r="E13680">
        <v>270</v>
      </c>
      <c r="F13680">
        <v>81</v>
      </c>
      <c r="G13680">
        <v>1</v>
      </c>
      <c r="H13680">
        <v>3</v>
      </c>
      <c r="I13680">
        <v>271</v>
      </c>
      <c r="J13680">
        <v>1</v>
      </c>
      <c r="K13680">
        <v>103</v>
      </c>
      <c r="L13680">
        <v>372</v>
      </c>
      <c r="M13680">
        <v>1</v>
      </c>
      <c r="N13680">
        <v>2.9545500000000002E-106</v>
      </c>
      <c r="O13680">
        <v>980</v>
      </c>
    </row>
    <row r="13681" spans="1:15" x14ac:dyDescent="0.25">
      <c r="A13681" t="s">
        <v>13694</v>
      </c>
      <c r="B13681">
        <v>1157</v>
      </c>
      <c r="C13681" s="1" t="str">
        <f>HYPERLINK("http://www.rosaceae.org/gb/gbrowse/malus_x_domestica/?name=MDP0000242092","MDP0000242092")</f>
        <v>MDP0000242092</v>
      </c>
      <c r="D13681">
        <v>77.099999999999994</v>
      </c>
      <c r="E13681">
        <v>808</v>
      </c>
      <c r="F13681">
        <v>185</v>
      </c>
      <c r="G13681">
        <v>68</v>
      </c>
      <c r="H13681">
        <v>1</v>
      </c>
      <c r="I13681">
        <v>741</v>
      </c>
      <c r="J13681">
        <v>1</v>
      </c>
      <c r="K13681">
        <v>1</v>
      </c>
      <c r="L13681">
        <v>807</v>
      </c>
      <c r="M13681">
        <v>1</v>
      </c>
      <c r="N13681">
        <v>0</v>
      </c>
      <c r="O13681">
        <v>3259</v>
      </c>
    </row>
    <row r="13682" spans="1:15" x14ac:dyDescent="0.25">
      <c r="A13682" t="s">
        <v>13695</v>
      </c>
      <c r="B13682">
        <v>147</v>
      </c>
      <c r="C13682" s="1" t="str">
        <f>HYPERLINK("http://www.rosaceae.org/gb/gbrowse/malus_x_domestica/?name=MDP0000147902","MDP0000147902")</f>
        <v>MDP0000147902</v>
      </c>
      <c r="D13682">
        <v>48.5</v>
      </c>
      <c r="E13682">
        <v>167</v>
      </c>
      <c r="F13682">
        <v>86</v>
      </c>
      <c r="G13682">
        <v>50</v>
      </c>
      <c r="H13682">
        <v>6</v>
      </c>
      <c r="I13682">
        <v>139</v>
      </c>
      <c r="J13682">
        <v>1</v>
      </c>
      <c r="K13682">
        <v>64</v>
      </c>
      <c r="L13682">
        <v>213</v>
      </c>
      <c r="M13682">
        <v>1</v>
      </c>
      <c r="N13682">
        <v>1.13268E-35</v>
      </c>
      <c r="O13682">
        <v>367</v>
      </c>
    </row>
    <row r="13683" spans="1:15" x14ac:dyDescent="0.25">
      <c r="A13683" t="s">
        <v>13696</v>
      </c>
      <c r="B13683">
        <v>338</v>
      </c>
      <c r="C13683" s="1" t="str">
        <f>HYPERLINK("http://www.rosaceae.org/gb/gbrowse/malus_x_domestica/?name=MDP0000211848","MDP0000211848")</f>
        <v>MDP0000211848</v>
      </c>
      <c r="D13683">
        <v>62.69</v>
      </c>
      <c r="E13683">
        <v>386</v>
      </c>
      <c r="F13683">
        <v>144</v>
      </c>
      <c r="G13683">
        <v>77</v>
      </c>
      <c r="H13683">
        <v>1</v>
      </c>
      <c r="I13683">
        <v>338</v>
      </c>
      <c r="J13683">
        <v>1</v>
      </c>
      <c r="K13683">
        <v>1</v>
      </c>
      <c r="L13683">
        <v>357</v>
      </c>
      <c r="M13683">
        <v>1</v>
      </c>
      <c r="N13683">
        <v>1.8481499999999999E-119</v>
      </c>
      <c r="O13683">
        <v>1095</v>
      </c>
    </row>
    <row r="13684" spans="1:15" x14ac:dyDescent="0.25">
      <c r="A13684" t="s">
        <v>13697</v>
      </c>
      <c r="B13684">
        <v>514</v>
      </c>
      <c r="C13684" s="1" t="str">
        <f>HYPERLINK("http://www.rosaceae.org/gb/gbrowse/malus_x_domestica/?name=MDP0000778465","MDP0000778465")</f>
        <v>MDP0000778465</v>
      </c>
      <c r="D13684">
        <v>57.76</v>
      </c>
      <c r="E13684">
        <v>502</v>
      </c>
      <c r="F13684">
        <v>212</v>
      </c>
      <c r="G13684">
        <v>38</v>
      </c>
      <c r="H13684">
        <v>33</v>
      </c>
      <c r="I13684">
        <v>514</v>
      </c>
      <c r="J13684">
        <v>1</v>
      </c>
      <c r="K13684">
        <v>1</v>
      </c>
      <c r="L13684">
        <v>484</v>
      </c>
      <c r="M13684">
        <v>1</v>
      </c>
      <c r="N13684">
        <v>5.0067300000000004E-142</v>
      </c>
      <c r="O13684">
        <v>1291</v>
      </c>
    </row>
    <row r="13685" spans="1:15" x14ac:dyDescent="0.25">
      <c r="A13685" t="s">
        <v>13698</v>
      </c>
      <c r="B13685">
        <v>643</v>
      </c>
      <c r="C13685" s="1" t="str">
        <f>HYPERLINK("http://www.rosaceae.org/gb/gbrowse/malus_x_domestica/?name=MDP0000275412","MDP0000275412")</f>
        <v>MDP0000275412</v>
      </c>
      <c r="D13685">
        <v>79.36</v>
      </c>
      <c r="E13685">
        <v>533</v>
      </c>
      <c r="F13685">
        <v>110</v>
      </c>
      <c r="G13685">
        <v>28</v>
      </c>
      <c r="H13685">
        <v>5</v>
      </c>
      <c r="I13685">
        <v>536</v>
      </c>
      <c r="J13685">
        <v>1</v>
      </c>
      <c r="K13685">
        <v>214</v>
      </c>
      <c r="L13685">
        <v>719</v>
      </c>
      <c r="M13685">
        <v>1</v>
      </c>
      <c r="N13685">
        <v>0</v>
      </c>
      <c r="O13685">
        <v>2199</v>
      </c>
    </row>
    <row r="13686" spans="1:15" x14ac:dyDescent="0.25">
      <c r="A13686" t="s">
        <v>13699</v>
      </c>
      <c r="B13686">
        <v>133</v>
      </c>
      <c r="C13686" s="1" t="str">
        <f>HYPERLINK("http://www.rosaceae.org/gb/gbrowse/malus_x_domestica/?name=MDP0000148002","MDP0000148002")</f>
        <v>MDP0000148002</v>
      </c>
      <c r="D13686">
        <v>69.900000000000006</v>
      </c>
      <c r="E13686">
        <v>103</v>
      </c>
      <c r="F13686">
        <v>31</v>
      </c>
      <c r="G13686">
        <v>0</v>
      </c>
      <c r="H13686">
        <v>30</v>
      </c>
      <c r="I13686">
        <v>132</v>
      </c>
      <c r="J13686">
        <v>1</v>
      </c>
      <c r="K13686">
        <v>54</v>
      </c>
      <c r="L13686">
        <v>156</v>
      </c>
      <c r="M13686">
        <v>1</v>
      </c>
      <c r="N13686">
        <v>1.37214E-38</v>
      </c>
      <c r="O13686">
        <v>391</v>
      </c>
    </row>
    <row r="13687" spans="1:15" x14ac:dyDescent="0.25">
      <c r="A13687" t="s">
        <v>13700</v>
      </c>
      <c r="B13687">
        <v>189</v>
      </c>
      <c r="C13687" s="1" t="str">
        <f>HYPERLINK("http://www.rosaceae.org/gb/gbrowse/malus_x_domestica/?name=MDP0000155184","MDP0000155184")</f>
        <v>MDP0000155184</v>
      </c>
      <c r="D13687">
        <v>41.66</v>
      </c>
      <c r="E13687">
        <v>120</v>
      </c>
      <c r="F13687">
        <v>70</v>
      </c>
      <c r="G13687">
        <v>32</v>
      </c>
      <c r="H13687">
        <v>2</v>
      </c>
      <c r="I13687">
        <v>89</v>
      </c>
      <c r="J13687">
        <v>1</v>
      </c>
      <c r="K13687">
        <v>5</v>
      </c>
      <c r="L13687">
        <v>124</v>
      </c>
      <c r="M13687">
        <v>1</v>
      </c>
      <c r="N13687">
        <v>1.40453E-14</v>
      </c>
      <c r="O13687">
        <v>187</v>
      </c>
    </row>
    <row r="13688" spans="1:15" x14ac:dyDescent="0.25">
      <c r="A13688" t="s">
        <v>13701</v>
      </c>
      <c r="B13688">
        <v>168</v>
      </c>
      <c r="C13688" s="1" t="str">
        <f>HYPERLINK("http://www.rosaceae.org/gb/gbrowse/malus_x_domestica/?name=MDP0000145781","MDP0000145781")</f>
        <v>MDP0000145781</v>
      </c>
      <c r="D13688">
        <v>34</v>
      </c>
      <c r="E13688">
        <v>200</v>
      </c>
      <c r="F13688">
        <v>132</v>
      </c>
      <c r="G13688">
        <v>32</v>
      </c>
      <c r="H13688">
        <v>1</v>
      </c>
      <c r="I13688">
        <v>168</v>
      </c>
      <c r="J13688">
        <v>1</v>
      </c>
      <c r="K13688">
        <v>29</v>
      </c>
      <c r="L13688">
        <v>228</v>
      </c>
      <c r="M13688">
        <v>1</v>
      </c>
      <c r="N13688">
        <v>8.3589100000000008E-15</v>
      </c>
      <c r="O13688">
        <v>188</v>
      </c>
    </row>
    <row r="13689" spans="1:15" x14ac:dyDescent="0.25">
      <c r="A13689" t="s">
        <v>13702</v>
      </c>
      <c r="B13689">
        <v>312</v>
      </c>
      <c r="C13689" s="1" t="str">
        <f>HYPERLINK("http://www.rosaceae.org/gb/gbrowse/malus_x_domestica/?name=MDP0000323121","MDP0000323121")</f>
        <v>MDP0000323121</v>
      </c>
      <c r="D13689">
        <v>68.760000000000005</v>
      </c>
      <c r="E13689">
        <v>317</v>
      </c>
      <c r="F13689">
        <v>99</v>
      </c>
      <c r="G13689">
        <v>32</v>
      </c>
      <c r="H13689">
        <v>1</v>
      </c>
      <c r="I13689">
        <v>312</v>
      </c>
      <c r="J13689">
        <v>1</v>
      </c>
      <c r="K13689">
        <v>1</v>
      </c>
      <c r="L13689">
        <v>290</v>
      </c>
      <c r="M13689">
        <v>1</v>
      </c>
      <c r="N13689">
        <v>1.1494E-114</v>
      </c>
      <c r="O13689">
        <v>1053</v>
      </c>
    </row>
    <row r="13690" spans="1:15" x14ac:dyDescent="0.25">
      <c r="A13690" t="s">
        <v>13703</v>
      </c>
      <c r="B13690">
        <v>1146</v>
      </c>
      <c r="C13690" s="1" t="str">
        <f>HYPERLINK("http://www.rosaceae.org/gb/gbrowse/malus_x_domestica/?name=MDP0000399562","MDP0000399562")</f>
        <v>MDP0000399562</v>
      </c>
      <c r="D13690">
        <v>80.239999999999995</v>
      </c>
      <c r="E13690">
        <v>1144</v>
      </c>
      <c r="F13690">
        <v>226</v>
      </c>
      <c r="G13690">
        <v>12</v>
      </c>
      <c r="H13690">
        <v>12</v>
      </c>
      <c r="I13690">
        <v>1146</v>
      </c>
      <c r="J13690">
        <v>1</v>
      </c>
      <c r="K13690">
        <v>8</v>
      </c>
      <c r="L13690">
        <v>1148</v>
      </c>
      <c r="M13690">
        <v>1</v>
      </c>
      <c r="N13690">
        <v>0</v>
      </c>
      <c r="O13690">
        <v>4824</v>
      </c>
    </row>
    <row r="13691" spans="1:15" x14ac:dyDescent="0.25">
      <c r="A13691" t="s">
        <v>13704</v>
      </c>
      <c r="B13691">
        <v>565</v>
      </c>
      <c r="C13691" s="1" t="str">
        <f>HYPERLINK("http://www.rosaceae.org/gb/gbrowse/malus_x_domestica/?name=MDP0000287358","MDP0000287358")</f>
        <v>MDP0000287358</v>
      </c>
      <c r="D13691">
        <v>80.81</v>
      </c>
      <c r="E13691">
        <v>563</v>
      </c>
      <c r="F13691">
        <v>108</v>
      </c>
      <c r="G13691">
        <v>0</v>
      </c>
      <c r="H13691">
        <v>1</v>
      </c>
      <c r="I13691">
        <v>563</v>
      </c>
      <c r="J13691">
        <v>1</v>
      </c>
      <c r="K13691">
        <v>371</v>
      </c>
      <c r="L13691">
        <v>933</v>
      </c>
      <c r="M13691">
        <v>1</v>
      </c>
      <c r="N13691">
        <v>0</v>
      </c>
      <c r="O13691">
        <v>2415</v>
      </c>
    </row>
    <row r="13692" spans="1:15" x14ac:dyDescent="0.25">
      <c r="A13692" t="s">
        <v>13705</v>
      </c>
      <c r="B13692">
        <v>666</v>
      </c>
      <c r="C13692" s="1" t="str">
        <f>HYPERLINK("http://www.rosaceae.org/gb/gbrowse/malus_x_domestica/?name=MDP0000321041","MDP0000321041")</f>
        <v>MDP0000321041</v>
      </c>
      <c r="D13692">
        <v>84.07</v>
      </c>
      <c r="E13692">
        <v>427</v>
      </c>
      <c r="F13692">
        <v>68</v>
      </c>
      <c r="G13692">
        <v>4</v>
      </c>
      <c r="H13692">
        <v>242</v>
      </c>
      <c r="I13692">
        <v>664</v>
      </c>
      <c r="J13692">
        <v>1</v>
      </c>
      <c r="K13692">
        <v>48</v>
      </c>
      <c r="L13692">
        <v>474</v>
      </c>
      <c r="M13692">
        <v>1</v>
      </c>
      <c r="N13692">
        <v>0</v>
      </c>
      <c r="O13692">
        <v>1863</v>
      </c>
    </row>
    <row r="13693" spans="1:15" x14ac:dyDescent="0.25">
      <c r="A13693" t="s">
        <v>13706</v>
      </c>
      <c r="B13693">
        <v>502</v>
      </c>
      <c r="C13693" s="1" t="str">
        <f>HYPERLINK("http://www.rosaceae.org/gb/gbrowse/malus_x_domestica/?name=MDP0000258463","MDP0000258463")</f>
        <v>MDP0000258463</v>
      </c>
      <c r="D13693">
        <v>71.650000000000006</v>
      </c>
      <c r="E13693">
        <v>434</v>
      </c>
      <c r="F13693">
        <v>123</v>
      </c>
      <c r="G13693">
        <v>10</v>
      </c>
      <c r="H13693">
        <v>10</v>
      </c>
      <c r="I13693">
        <v>435</v>
      </c>
      <c r="J13693">
        <v>1</v>
      </c>
      <c r="K13693">
        <v>218</v>
      </c>
      <c r="L13693">
        <v>649</v>
      </c>
      <c r="M13693">
        <v>1</v>
      </c>
      <c r="N13693">
        <v>3.5434599999999998E-166</v>
      </c>
      <c r="O13693">
        <v>1500</v>
      </c>
    </row>
    <row r="13694" spans="1:15" x14ac:dyDescent="0.25">
      <c r="A13694" t="s">
        <v>13707</v>
      </c>
      <c r="B13694">
        <v>542</v>
      </c>
      <c r="C13694" s="1" t="str">
        <f>HYPERLINK("http://www.rosaceae.org/gb/gbrowse/malus_x_domestica/?name=MDP0000181657","MDP0000181657")</f>
        <v>MDP0000181657</v>
      </c>
      <c r="D13694">
        <v>76.14</v>
      </c>
      <c r="E13694">
        <v>394</v>
      </c>
      <c r="F13694">
        <v>94</v>
      </c>
      <c r="G13694">
        <v>4</v>
      </c>
      <c r="H13694">
        <v>1</v>
      </c>
      <c r="I13694">
        <v>391</v>
      </c>
      <c r="J13694">
        <v>1</v>
      </c>
      <c r="K13694">
        <v>1</v>
      </c>
      <c r="L13694">
        <v>393</v>
      </c>
      <c r="M13694">
        <v>1</v>
      </c>
      <c r="N13694">
        <v>1.75004E-170</v>
      </c>
      <c r="O13694">
        <v>1537</v>
      </c>
    </row>
    <row r="13695" spans="1:15" x14ac:dyDescent="0.25">
      <c r="A13695" t="s">
        <v>13708</v>
      </c>
      <c r="B13695">
        <v>121</v>
      </c>
      <c r="C13695" s="1" t="str">
        <f>HYPERLINK("http://www.rosaceae.org/gb/gbrowse/malus_x_domestica/?name=MDP0000266097","MDP0000266097")</f>
        <v>MDP0000266097</v>
      </c>
      <c r="D13695">
        <v>57.26</v>
      </c>
      <c r="E13695">
        <v>117</v>
      </c>
      <c r="F13695">
        <v>50</v>
      </c>
      <c r="G13695">
        <v>34</v>
      </c>
      <c r="H13695">
        <v>39</v>
      </c>
      <c r="I13695">
        <v>121</v>
      </c>
      <c r="J13695">
        <v>1</v>
      </c>
      <c r="K13695">
        <v>353</v>
      </c>
      <c r="L13695">
        <v>469</v>
      </c>
      <c r="M13695">
        <v>1</v>
      </c>
      <c r="N13695">
        <v>3.2145299999999998E-28</v>
      </c>
      <c r="O13695">
        <v>301</v>
      </c>
    </row>
    <row r="13696" spans="1:15" x14ac:dyDescent="0.25">
      <c r="A13696" t="s">
        <v>13709</v>
      </c>
      <c r="B13696">
        <v>890</v>
      </c>
      <c r="C13696" s="1" t="str">
        <f>HYPERLINK("http://www.rosaceae.org/gb/gbrowse/malus_x_domestica/?name=MDP0000197491","MDP0000197491")</f>
        <v>MDP0000197491</v>
      </c>
      <c r="D13696">
        <v>51.3</v>
      </c>
      <c r="E13696">
        <v>115</v>
      </c>
      <c r="F13696">
        <v>56</v>
      </c>
      <c r="G13696">
        <v>12</v>
      </c>
      <c r="H13696">
        <v>421</v>
      </c>
      <c r="I13696">
        <v>534</v>
      </c>
      <c r="J13696">
        <v>1</v>
      </c>
      <c r="K13696">
        <v>5</v>
      </c>
      <c r="L13696">
        <v>108</v>
      </c>
      <c r="M13696">
        <v>1</v>
      </c>
      <c r="N13696">
        <v>1.1853299999999999E-21</v>
      </c>
      <c r="O13696">
        <v>256</v>
      </c>
    </row>
    <row r="13697" spans="1:15" x14ac:dyDescent="0.25">
      <c r="A13697" t="s">
        <v>13710</v>
      </c>
      <c r="B13697">
        <v>1147</v>
      </c>
      <c r="C13697" s="1" t="str">
        <f>HYPERLINK("http://www.rosaceae.org/gb/gbrowse/malus_x_domestica/?name=MDP0000222717","MDP0000222717")</f>
        <v>MDP0000222717</v>
      </c>
      <c r="D13697">
        <v>59.86</v>
      </c>
      <c r="E13697">
        <v>765</v>
      </c>
      <c r="F13697">
        <v>307</v>
      </c>
      <c r="G13697">
        <v>46</v>
      </c>
      <c r="H13697">
        <v>120</v>
      </c>
      <c r="I13697">
        <v>868</v>
      </c>
      <c r="J13697">
        <v>1</v>
      </c>
      <c r="K13697">
        <v>208</v>
      </c>
      <c r="L13697">
        <v>942</v>
      </c>
      <c r="M13697">
        <v>1</v>
      </c>
      <c r="N13697">
        <v>0</v>
      </c>
      <c r="O13697">
        <v>2162</v>
      </c>
    </row>
    <row r="13698" spans="1:15" x14ac:dyDescent="0.25">
      <c r="A13698" t="s">
        <v>13711</v>
      </c>
      <c r="B13698">
        <v>610</v>
      </c>
      <c r="C13698" s="1" t="str">
        <f>HYPERLINK("http://www.rosaceae.org/gb/gbrowse/malus_x_domestica/?name=MDP0000192506","MDP0000192506")</f>
        <v>MDP0000192506</v>
      </c>
      <c r="D13698">
        <v>91.47</v>
      </c>
      <c r="E13698">
        <v>610</v>
      </c>
      <c r="F13698">
        <v>52</v>
      </c>
      <c r="G13698">
        <v>0</v>
      </c>
      <c r="H13698">
        <v>1</v>
      </c>
      <c r="I13698">
        <v>610</v>
      </c>
      <c r="J13698">
        <v>1</v>
      </c>
      <c r="K13698">
        <v>1</v>
      </c>
      <c r="L13698">
        <v>610</v>
      </c>
      <c r="M13698">
        <v>1</v>
      </c>
      <c r="N13698">
        <v>0</v>
      </c>
      <c r="O13698">
        <v>3010</v>
      </c>
    </row>
    <row r="13699" spans="1:15" x14ac:dyDescent="0.25">
      <c r="A13699" t="s">
        <v>13712</v>
      </c>
      <c r="B13699">
        <v>424</v>
      </c>
      <c r="C13699" s="1" t="str">
        <f>HYPERLINK("http://www.rosaceae.org/gb/gbrowse/malus_x_domestica/?name=MDP0000292031","MDP0000292031")</f>
        <v>MDP0000292031</v>
      </c>
      <c r="D13699">
        <v>67.34</v>
      </c>
      <c r="E13699">
        <v>196</v>
      </c>
      <c r="F13699">
        <v>64</v>
      </c>
      <c r="G13699">
        <v>5</v>
      </c>
      <c r="H13699">
        <v>1</v>
      </c>
      <c r="I13699">
        <v>193</v>
      </c>
      <c r="J13699">
        <v>1</v>
      </c>
      <c r="K13699">
        <v>1</v>
      </c>
      <c r="L13699">
        <v>194</v>
      </c>
      <c r="M13699">
        <v>1</v>
      </c>
      <c r="N13699">
        <v>5.7261200000000002E-71</v>
      </c>
      <c r="O13699">
        <v>678</v>
      </c>
    </row>
    <row r="13700" spans="1:15" x14ac:dyDescent="0.25">
      <c r="A13700" t="s">
        <v>13713</v>
      </c>
      <c r="B13700">
        <v>120</v>
      </c>
      <c r="C13700" s="1" t="str">
        <f>HYPERLINK("http://www.rosaceae.org/gb/gbrowse/malus_x_domestica/?name=MDP0000185481","MDP0000185481")</f>
        <v>MDP0000185481</v>
      </c>
      <c r="D13700">
        <v>61.53</v>
      </c>
      <c r="E13700">
        <v>117</v>
      </c>
      <c r="F13700">
        <v>45</v>
      </c>
      <c r="G13700">
        <v>0</v>
      </c>
      <c r="H13700">
        <v>1</v>
      </c>
      <c r="I13700">
        <v>117</v>
      </c>
      <c r="J13700">
        <v>1</v>
      </c>
      <c r="K13700">
        <v>102</v>
      </c>
      <c r="L13700">
        <v>218</v>
      </c>
      <c r="M13700">
        <v>1</v>
      </c>
      <c r="N13700">
        <v>5.8582100000000002E-39</v>
      </c>
      <c r="O13700">
        <v>393</v>
      </c>
    </row>
    <row r="13701" spans="1:15" x14ac:dyDescent="0.25">
      <c r="A13701" t="s">
        <v>13714</v>
      </c>
      <c r="B13701">
        <v>311</v>
      </c>
      <c r="C13701" s="1" t="str">
        <f>HYPERLINK("http://www.rosaceae.org/gb/gbrowse/malus_x_domestica/?name=MDP0000194340","MDP0000194340")</f>
        <v>MDP0000194340</v>
      </c>
      <c r="D13701">
        <v>57.44</v>
      </c>
      <c r="E13701">
        <v>47</v>
      </c>
      <c r="F13701">
        <v>20</v>
      </c>
      <c r="G13701">
        <v>3</v>
      </c>
      <c r="H13701">
        <v>3</v>
      </c>
      <c r="I13701">
        <v>49</v>
      </c>
      <c r="J13701">
        <v>1</v>
      </c>
      <c r="K13701">
        <v>750</v>
      </c>
      <c r="L13701">
        <v>793</v>
      </c>
      <c r="M13701">
        <v>1</v>
      </c>
      <c r="N13701">
        <v>3.8264300000000002E-7</v>
      </c>
      <c r="O13701">
        <v>126</v>
      </c>
    </row>
    <row r="13702" spans="1:15" x14ac:dyDescent="0.25">
      <c r="A13702" t="s">
        <v>13715</v>
      </c>
      <c r="B13702">
        <v>570</v>
      </c>
      <c r="C13702" s="1" t="str">
        <f>HYPERLINK("http://www.rosaceae.org/gb/gbrowse/malus_x_domestica/?name=MDP0000201897","MDP0000201897")</f>
        <v>MDP0000201897</v>
      </c>
      <c r="D13702">
        <v>30.36</v>
      </c>
      <c r="E13702">
        <v>247</v>
      </c>
      <c r="F13702">
        <v>172</v>
      </c>
      <c r="G13702">
        <v>15</v>
      </c>
      <c r="H13702">
        <v>1</v>
      </c>
      <c r="I13702">
        <v>244</v>
      </c>
      <c r="J13702">
        <v>1</v>
      </c>
      <c r="K13702">
        <v>595</v>
      </c>
      <c r="L13702">
        <v>829</v>
      </c>
      <c r="M13702">
        <v>1</v>
      </c>
      <c r="N13702">
        <v>5.4694500000000002E-32</v>
      </c>
      <c r="O13702">
        <v>343</v>
      </c>
    </row>
    <row r="13703" spans="1:15" x14ac:dyDescent="0.25">
      <c r="A13703" t="s">
        <v>13716</v>
      </c>
      <c r="B13703">
        <v>180</v>
      </c>
      <c r="C13703" s="1" t="str">
        <f>HYPERLINK("http://www.rosaceae.org/gb/gbrowse/malus_x_domestica/?name=MDP0000613377","MDP0000613377")</f>
        <v>MDP0000613377</v>
      </c>
      <c r="D13703">
        <v>45.94</v>
      </c>
      <c r="E13703">
        <v>74</v>
      </c>
      <c r="F13703">
        <v>40</v>
      </c>
      <c r="G13703">
        <v>11</v>
      </c>
      <c r="H13703">
        <v>4</v>
      </c>
      <c r="I13703">
        <v>68</v>
      </c>
      <c r="J13703">
        <v>1</v>
      </c>
      <c r="K13703">
        <v>6</v>
      </c>
      <c r="L13703">
        <v>77</v>
      </c>
      <c r="M13703">
        <v>1</v>
      </c>
      <c r="N13703">
        <v>1.02758E-10</v>
      </c>
      <c r="O13703">
        <v>153</v>
      </c>
    </row>
    <row r="13704" spans="1:15" x14ac:dyDescent="0.25">
      <c r="A13704" t="s">
        <v>13717</v>
      </c>
      <c r="B13704">
        <v>526</v>
      </c>
      <c r="C13704" s="1" t="str">
        <f>HYPERLINK("http://www.rosaceae.org/gb/gbrowse/malus_x_domestica/?name=MDP0000876630","MDP0000876630")</f>
        <v>MDP0000876630</v>
      </c>
      <c r="D13704">
        <v>66.94</v>
      </c>
      <c r="E13704">
        <v>484</v>
      </c>
      <c r="F13704">
        <v>160</v>
      </c>
      <c r="G13704">
        <v>13</v>
      </c>
      <c r="H13704">
        <v>5</v>
      </c>
      <c r="I13704">
        <v>482</v>
      </c>
      <c r="J13704">
        <v>1</v>
      </c>
      <c r="K13704">
        <v>3</v>
      </c>
      <c r="L13704">
        <v>479</v>
      </c>
      <c r="M13704">
        <v>1</v>
      </c>
      <c r="N13704">
        <v>0</v>
      </c>
      <c r="O13704">
        <v>1665</v>
      </c>
    </row>
    <row r="13705" spans="1:15" x14ac:dyDescent="0.25">
      <c r="A13705" t="s">
        <v>13718</v>
      </c>
      <c r="B13705">
        <v>639</v>
      </c>
      <c r="C13705" s="1" t="str">
        <f>HYPERLINK("http://www.rosaceae.org/gb/gbrowse/malus_x_domestica/?name=MDP0000280415","MDP0000280415")</f>
        <v>MDP0000280415</v>
      </c>
      <c r="D13705">
        <v>48.6</v>
      </c>
      <c r="E13705">
        <v>251</v>
      </c>
      <c r="F13705">
        <v>129</v>
      </c>
      <c r="G13705">
        <v>44</v>
      </c>
      <c r="H13705">
        <v>152</v>
      </c>
      <c r="I13705">
        <v>365</v>
      </c>
      <c r="J13705">
        <v>1</v>
      </c>
      <c r="K13705">
        <v>53</v>
      </c>
      <c r="L13705">
        <v>296</v>
      </c>
      <c r="M13705">
        <v>1</v>
      </c>
      <c r="N13705">
        <v>1.7040699999999999E-55</v>
      </c>
      <c r="O13705">
        <v>546</v>
      </c>
    </row>
    <row r="13706" spans="1:15" x14ac:dyDescent="0.25">
      <c r="A13706" t="s">
        <v>13719</v>
      </c>
      <c r="B13706">
        <v>254</v>
      </c>
      <c r="C13706" s="1" t="str">
        <f>HYPERLINK("http://www.rosaceae.org/gb/gbrowse/malus_x_domestica/?name=MDP0000946340","MDP0000946340")</f>
        <v>MDP0000946340</v>
      </c>
      <c r="D13706">
        <v>42.71</v>
      </c>
      <c r="E13706">
        <v>295</v>
      </c>
      <c r="F13706">
        <v>169</v>
      </c>
      <c r="G13706">
        <v>55</v>
      </c>
      <c r="H13706">
        <v>1</v>
      </c>
      <c r="I13706">
        <v>254</v>
      </c>
      <c r="J13706">
        <v>1</v>
      </c>
      <c r="K13706">
        <v>1</v>
      </c>
      <c r="L13706">
        <v>281</v>
      </c>
      <c r="M13706">
        <v>1</v>
      </c>
      <c r="N13706">
        <v>1.56203E-49</v>
      </c>
      <c r="O13706">
        <v>490</v>
      </c>
    </row>
    <row r="13707" spans="1:15" x14ac:dyDescent="0.25">
      <c r="A13707" t="s">
        <v>13720</v>
      </c>
      <c r="B13707">
        <v>343</v>
      </c>
      <c r="C13707" s="1" t="str">
        <f>HYPERLINK("http://www.rosaceae.org/gb/gbrowse/malus_x_domestica/?name=MDP0000316637","MDP0000316637")</f>
        <v>MDP0000316637</v>
      </c>
      <c r="D13707">
        <v>77.400000000000006</v>
      </c>
      <c r="E13707">
        <v>332</v>
      </c>
      <c r="F13707">
        <v>75</v>
      </c>
      <c r="G13707">
        <v>11</v>
      </c>
      <c r="H13707">
        <v>20</v>
      </c>
      <c r="I13707">
        <v>343</v>
      </c>
      <c r="J13707">
        <v>1</v>
      </c>
      <c r="K13707">
        <v>17</v>
      </c>
      <c r="L13707">
        <v>345</v>
      </c>
      <c r="M13707">
        <v>1</v>
      </c>
      <c r="N13707">
        <v>4.8194600000000002E-138</v>
      </c>
      <c r="O13707">
        <v>1255</v>
      </c>
    </row>
    <row r="13708" spans="1:15" x14ac:dyDescent="0.25">
      <c r="A13708" t="s">
        <v>13721</v>
      </c>
      <c r="B13708">
        <v>843</v>
      </c>
      <c r="C13708" s="1" t="str">
        <f>HYPERLINK("http://www.rosaceae.org/gb/gbrowse/malus_x_domestica/?name=MDP0000292276","MDP0000292276")</f>
        <v>MDP0000292276</v>
      </c>
      <c r="D13708">
        <v>76.95</v>
      </c>
      <c r="E13708">
        <v>525</v>
      </c>
      <c r="F13708">
        <v>121</v>
      </c>
      <c r="G13708">
        <v>10</v>
      </c>
      <c r="H13708">
        <v>208</v>
      </c>
      <c r="I13708">
        <v>732</v>
      </c>
      <c r="J13708">
        <v>1</v>
      </c>
      <c r="K13708">
        <v>26</v>
      </c>
      <c r="L13708">
        <v>540</v>
      </c>
      <c r="M13708">
        <v>1</v>
      </c>
      <c r="N13708">
        <v>0</v>
      </c>
      <c r="O13708">
        <v>2143</v>
      </c>
    </row>
    <row r="13709" spans="1:15" x14ac:dyDescent="0.25">
      <c r="A13709" t="s">
        <v>13722</v>
      </c>
      <c r="B13709">
        <v>434</v>
      </c>
      <c r="C13709" s="1" t="str">
        <f>HYPERLINK("http://www.rosaceae.org/gb/gbrowse/malus_x_domestica/?name=MDP0000198416","MDP0000198416")</f>
        <v>MDP0000198416</v>
      </c>
      <c r="D13709">
        <v>75.73</v>
      </c>
      <c r="E13709">
        <v>445</v>
      </c>
      <c r="F13709">
        <v>108</v>
      </c>
      <c r="G13709">
        <v>14</v>
      </c>
      <c r="H13709">
        <v>1</v>
      </c>
      <c r="I13709">
        <v>434</v>
      </c>
      <c r="J13709">
        <v>1</v>
      </c>
      <c r="K13709">
        <v>1</v>
      </c>
      <c r="L13709">
        <v>442</v>
      </c>
      <c r="M13709">
        <v>1</v>
      </c>
      <c r="N13709">
        <v>0</v>
      </c>
      <c r="O13709">
        <v>1683</v>
      </c>
    </row>
    <row r="13710" spans="1:15" x14ac:dyDescent="0.25">
      <c r="A13710" t="s">
        <v>13723</v>
      </c>
      <c r="B13710">
        <v>590</v>
      </c>
      <c r="C13710" s="1" t="str">
        <f>HYPERLINK("http://www.rosaceae.org/gb/gbrowse/malus_x_domestica/?name=MDP0000143005","MDP0000143005")</f>
        <v>MDP0000143005</v>
      </c>
      <c r="D13710">
        <v>80.06</v>
      </c>
      <c r="E13710">
        <v>577</v>
      </c>
      <c r="F13710">
        <v>115</v>
      </c>
      <c r="G13710">
        <v>18</v>
      </c>
      <c r="H13710">
        <v>21</v>
      </c>
      <c r="I13710">
        <v>582</v>
      </c>
      <c r="J13710">
        <v>1</v>
      </c>
      <c r="K13710">
        <v>21</v>
      </c>
      <c r="L13710">
        <v>594</v>
      </c>
      <c r="M13710">
        <v>1</v>
      </c>
      <c r="N13710">
        <v>0</v>
      </c>
      <c r="O13710">
        <v>2460</v>
      </c>
    </row>
    <row r="13711" spans="1:15" x14ac:dyDescent="0.25">
      <c r="A13711" t="s">
        <v>13724</v>
      </c>
      <c r="B13711">
        <v>532</v>
      </c>
      <c r="C13711" s="1" t="str">
        <f>HYPERLINK("http://www.rosaceae.org/gb/gbrowse/malus_x_domestica/?name=MDP0000163007","MDP0000163007")</f>
        <v>MDP0000163007</v>
      </c>
      <c r="D13711">
        <v>60.85</v>
      </c>
      <c r="E13711">
        <v>493</v>
      </c>
      <c r="F13711">
        <v>193</v>
      </c>
      <c r="G13711">
        <v>56</v>
      </c>
      <c r="H13711">
        <v>1</v>
      </c>
      <c r="I13711">
        <v>464</v>
      </c>
      <c r="J13711">
        <v>1</v>
      </c>
      <c r="K13711">
        <v>1</v>
      </c>
      <c r="L13711">
        <v>466</v>
      </c>
      <c r="M13711">
        <v>1</v>
      </c>
      <c r="N13711">
        <v>5.8915600000000002E-162</v>
      </c>
      <c r="O13711">
        <v>1463</v>
      </c>
    </row>
    <row r="13712" spans="1:15" x14ac:dyDescent="0.25">
      <c r="A13712" t="s">
        <v>13725</v>
      </c>
      <c r="B13712">
        <v>724</v>
      </c>
      <c r="C13712" s="1" t="str">
        <f>HYPERLINK("http://www.rosaceae.org/gb/gbrowse/malus_x_domestica/?name=MDP0000231711","MDP0000231711")</f>
        <v>MDP0000231711</v>
      </c>
      <c r="D13712">
        <v>68.260000000000005</v>
      </c>
      <c r="E13712">
        <v>416</v>
      </c>
      <c r="F13712">
        <v>132</v>
      </c>
      <c r="G13712">
        <v>30</v>
      </c>
      <c r="H13712">
        <v>1</v>
      </c>
      <c r="I13712">
        <v>409</v>
      </c>
      <c r="J13712">
        <v>1</v>
      </c>
      <c r="K13712">
        <v>134</v>
      </c>
      <c r="L13712">
        <v>526</v>
      </c>
      <c r="M13712">
        <v>1</v>
      </c>
      <c r="N13712">
        <v>2.3623500000000001E-143</v>
      </c>
      <c r="O13712">
        <v>1304</v>
      </c>
    </row>
    <row r="13713" spans="1:15" x14ac:dyDescent="0.25">
      <c r="A13713" t="s">
        <v>13726</v>
      </c>
      <c r="B13713">
        <v>175</v>
      </c>
      <c r="C13713" s="1" t="str">
        <f>HYPERLINK("http://www.rosaceae.org/gb/gbrowse/malus_x_domestica/?name=MDP0000185254","MDP0000185254")</f>
        <v>MDP0000185254</v>
      </c>
      <c r="D13713">
        <v>77.77</v>
      </c>
      <c r="E13713">
        <v>81</v>
      </c>
      <c r="F13713">
        <v>18</v>
      </c>
      <c r="G13713">
        <v>9</v>
      </c>
      <c r="H13713">
        <v>87</v>
      </c>
      <c r="I13713">
        <v>158</v>
      </c>
      <c r="J13713">
        <v>1</v>
      </c>
      <c r="K13713">
        <v>209</v>
      </c>
      <c r="L13713">
        <v>289</v>
      </c>
      <c r="M13713">
        <v>1</v>
      </c>
      <c r="N13713">
        <v>6.2175000000000005E-32</v>
      </c>
      <c r="O13713">
        <v>336</v>
      </c>
    </row>
    <row r="13714" spans="1:15" x14ac:dyDescent="0.25">
      <c r="A13714" t="s">
        <v>13727</v>
      </c>
      <c r="B13714">
        <v>132</v>
      </c>
      <c r="C13714" s="1" t="str">
        <f>HYPERLINK("http://www.rosaceae.org/gb/gbrowse/malus_x_domestica/?name=MDP0000270113","MDP0000270113")</f>
        <v>MDP0000270113</v>
      </c>
      <c r="D13714">
        <v>81.81</v>
      </c>
      <c r="E13714">
        <v>33</v>
      </c>
      <c r="F13714">
        <v>6</v>
      </c>
      <c r="G13714">
        <v>0</v>
      </c>
      <c r="H13714">
        <v>36</v>
      </c>
      <c r="I13714">
        <v>68</v>
      </c>
      <c r="J13714">
        <v>1</v>
      </c>
      <c r="K13714">
        <v>637</v>
      </c>
      <c r="L13714">
        <v>669</v>
      </c>
      <c r="M13714">
        <v>1</v>
      </c>
      <c r="N13714">
        <v>1.9011699999999999E-8</v>
      </c>
      <c r="O13714">
        <v>131</v>
      </c>
    </row>
    <row r="13715" spans="1:15" x14ac:dyDescent="0.25">
      <c r="A13715" t="s">
        <v>13728</v>
      </c>
      <c r="B13715">
        <v>501</v>
      </c>
      <c r="C13715" s="1" t="str">
        <f>HYPERLINK("http://www.rosaceae.org/gb/gbrowse/malus_x_domestica/?name=MDP0000130913","MDP0000130913")</f>
        <v>MDP0000130913</v>
      </c>
      <c r="D13715">
        <v>73.739999999999995</v>
      </c>
      <c r="E13715">
        <v>377</v>
      </c>
      <c r="F13715">
        <v>99</v>
      </c>
      <c r="G13715">
        <v>28</v>
      </c>
      <c r="H13715">
        <v>1</v>
      </c>
      <c r="I13715">
        <v>351</v>
      </c>
      <c r="J13715">
        <v>1</v>
      </c>
      <c r="K13715">
        <v>1</v>
      </c>
      <c r="L13715">
        <v>375</v>
      </c>
      <c r="M13715">
        <v>1</v>
      </c>
      <c r="N13715">
        <v>2.4315899999999999E-161</v>
      </c>
      <c r="O13715">
        <v>1458</v>
      </c>
    </row>
    <row r="13716" spans="1:15" x14ac:dyDescent="0.25">
      <c r="A13716" t="s">
        <v>13729</v>
      </c>
      <c r="B13716">
        <v>356</v>
      </c>
      <c r="C13716" s="1" t="str">
        <f>HYPERLINK("http://www.rosaceae.org/gb/gbrowse/malus_x_domestica/?name=MDP0000232047","MDP0000232047")</f>
        <v>MDP0000232047</v>
      </c>
      <c r="D13716">
        <v>84.05</v>
      </c>
      <c r="E13716">
        <v>345</v>
      </c>
      <c r="F13716">
        <v>55</v>
      </c>
      <c r="G13716">
        <v>0</v>
      </c>
      <c r="H13716">
        <v>5</v>
      </c>
      <c r="I13716">
        <v>349</v>
      </c>
      <c r="J13716">
        <v>1</v>
      </c>
      <c r="K13716">
        <v>13</v>
      </c>
      <c r="L13716">
        <v>357</v>
      </c>
      <c r="M13716">
        <v>1</v>
      </c>
      <c r="N13716">
        <v>1.19632E-179</v>
      </c>
      <c r="O13716">
        <v>1614</v>
      </c>
    </row>
    <row r="13717" spans="1:15" x14ac:dyDescent="0.25">
      <c r="A13717" t="s">
        <v>13730</v>
      </c>
      <c r="B13717">
        <v>888</v>
      </c>
      <c r="C13717" s="1" t="str">
        <f>HYPERLINK("http://www.rosaceae.org/gb/gbrowse/malus_x_domestica/?name=MDP0000209079","MDP0000209079")</f>
        <v>MDP0000209079</v>
      </c>
      <c r="D13717">
        <v>72.489999999999995</v>
      </c>
      <c r="E13717">
        <v>887</v>
      </c>
      <c r="F13717">
        <v>244</v>
      </c>
      <c r="G13717">
        <v>30</v>
      </c>
      <c r="H13717">
        <v>8</v>
      </c>
      <c r="I13717">
        <v>888</v>
      </c>
      <c r="J13717">
        <v>1</v>
      </c>
      <c r="K13717">
        <v>26</v>
      </c>
      <c r="L13717">
        <v>888</v>
      </c>
      <c r="M13717">
        <v>1</v>
      </c>
      <c r="N13717">
        <v>0</v>
      </c>
      <c r="O13717">
        <v>3509</v>
      </c>
    </row>
    <row r="13718" spans="1:15" x14ac:dyDescent="0.25">
      <c r="A13718" t="s">
        <v>13731</v>
      </c>
      <c r="B13718">
        <v>230</v>
      </c>
      <c r="C13718" s="1" t="str">
        <f>HYPERLINK("http://www.rosaceae.org/gb/gbrowse/malus_x_domestica/?name=MDP0000347851","MDP0000347851")</f>
        <v>MDP0000347851</v>
      </c>
      <c r="D13718">
        <v>58.13</v>
      </c>
      <c r="E13718">
        <v>86</v>
      </c>
      <c r="F13718">
        <v>36</v>
      </c>
      <c r="G13718">
        <v>11</v>
      </c>
      <c r="H13718">
        <v>156</v>
      </c>
      <c r="I13718">
        <v>230</v>
      </c>
      <c r="J13718">
        <v>1</v>
      </c>
      <c r="K13718">
        <v>39</v>
      </c>
      <c r="L13718">
        <v>124</v>
      </c>
      <c r="M13718">
        <v>1</v>
      </c>
      <c r="N13718">
        <v>1.41355E-17</v>
      </c>
      <c r="O13718">
        <v>214</v>
      </c>
    </row>
    <row r="13719" spans="1:15" x14ac:dyDescent="0.25">
      <c r="A13719" t="s">
        <v>13732</v>
      </c>
      <c r="B13719">
        <v>325</v>
      </c>
      <c r="C13719" s="1" t="str">
        <f>HYPERLINK("http://www.rosaceae.org/gb/gbrowse/malus_x_domestica/?name=MDP0000298660","MDP0000298660")</f>
        <v>MDP0000298660</v>
      </c>
      <c r="D13719">
        <v>38.979999999999997</v>
      </c>
      <c r="E13719">
        <v>336</v>
      </c>
      <c r="F13719">
        <v>205</v>
      </c>
      <c r="G13719">
        <v>86</v>
      </c>
      <c r="H13719">
        <v>69</v>
      </c>
      <c r="I13719">
        <v>321</v>
      </c>
      <c r="J13719">
        <v>1</v>
      </c>
      <c r="K13719">
        <v>159</v>
      </c>
      <c r="L13719">
        <v>491</v>
      </c>
      <c r="M13719">
        <v>1</v>
      </c>
      <c r="N13719">
        <v>1.5990799999999999E-47</v>
      </c>
      <c r="O13719">
        <v>474</v>
      </c>
    </row>
    <row r="13720" spans="1:15" x14ac:dyDescent="0.25">
      <c r="A13720" t="s">
        <v>13733</v>
      </c>
      <c r="B13720">
        <v>412</v>
      </c>
      <c r="C13720" s="1" t="str">
        <f>HYPERLINK("http://www.rosaceae.org/gb/gbrowse/malus_x_domestica/?name=MDP0000262367","MDP0000262367")</f>
        <v>MDP0000262367</v>
      </c>
      <c r="D13720">
        <v>47.79</v>
      </c>
      <c r="E13720">
        <v>408</v>
      </c>
      <c r="F13720">
        <v>213</v>
      </c>
      <c r="G13720">
        <v>5</v>
      </c>
      <c r="H13720">
        <v>1</v>
      </c>
      <c r="I13720">
        <v>407</v>
      </c>
      <c r="J13720">
        <v>1</v>
      </c>
      <c r="K13720">
        <v>1</v>
      </c>
      <c r="L13720">
        <v>404</v>
      </c>
      <c r="M13720">
        <v>1</v>
      </c>
      <c r="N13720">
        <v>6.3438199999999996E-103</v>
      </c>
      <c r="O13720">
        <v>953</v>
      </c>
    </row>
    <row r="13721" spans="1:15" x14ac:dyDescent="0.25">
      <c r="A13721" t="s">
        <v>13734</v>
      </c>
      <c r="B13721">
        <v>552</v>
      </c>
      <c r="C13721" s="1" t="str">
        <f>HYPERLINK("http://www.rosaceae.org/gb/gbrowse/malus_x_domestica/?name=MDP0000146680","MDP0000146680")</f>
        <v>MDP0000146680</v>
      </c>
      <c r="D13721">
        <v>95.03</v>
      </c>
      <c r="E13721">
        <v>504</v>
      </c>
      <c r="F13721">
        <v>25</v>
      </c>
      <c r="G13721">
        <v>0</v>
      </c>
      <c r="H13721">
        <v>3</v>
      </c>
      <c r="I13721">
        <v>506</v>
      </c>
      <c r="J13721">
        <v>1</v>
      </c>
      <c r="K13721">
        <v>7</v>
      </c>
      <c r="L13721">
        <v>510</v>
      </c>
      <c r="M13721">
        <v>1</v>
      </c>
      <c r="N13721">
        <v>0</v>
      </c>
      <c r="O13721">
        <v>2605</v>
      </c>
    </row>
    <row r="13722" spans="1:15" x14ac:dyDescent="0.25">
      <c r="A13722" t="s">
        <v>13735</v>
      </c>
      <c r="B13722">
        <v>550</v>
      </c>
      <c r="C13722" s="1" t="str">
        <f>HYPERLINK("http://www.rosaceae.org/gb/gbrowse/malus_x_domestica/?name=MDP0000171553","MDP0000171553")</f>
        <v>MDP0000171553</v>
      </c>
      <c r="D13722">
        <v>53.17</v>
      </c>
      <c r="E13722">
        <v>378</v>
      </c>
      <c r="F13722">
        <v>177</v>
      </c>
      <c r="G13722">
        <v>15</v>
      </c>
      <c r="H13722">
        <v>172</v>
      </c>
      <c r="I13722">
        <v>537</v>
      </c>
      <c r="J13722">
        <v>1</v>
      </c>
      <c r="K13722">
        <v>159</v>
      </c>
      <c r="L13722">
        <v>533</v>
      </c>
      <c r="M13722">
        <v>1</v>
      </c>
      <c r="N13722">
        <v>1.5746500000000001E-108</v>
      </c>
      <c r="O13722">
        <v>1003</v>
      </c>
    </row>
    <row r="13723" spans="1:15" x14ac:dyDescent="0.25">
      <c r="A13723" t="s">
        <v>13736</v>
      </c>
      <c r="B13723">
        <v>198</v>
      </c>
      <c r="C13723" s="1" t="str">
        <f>HYPERLINK("http://www.rosaceae.org/gb/gbrowse/malus_x_domestica/?name=MDP0000252894","MDP0000252894")</f>
        <v>MDP0000252894</v>
      </c>
      <c r="D13723">
        <v>65.02</v>
      </c>
      <c r="E13723">
        <v>203</v>
      </c>
      <c r="F13723">
        <v>71</v>
      </c>
      <c r="G13723">
        <v>12</v>
      </c>
      <c r="H13723">
        <v>5</v>
      </c>
      <c r="I13723">
        <v>197</v>
      </c>
      <c r="J13723">
        <v>1</v>
      </c>
      <c r="K13723">
        <v>151</v>
      </c>
      <c r="L13723">
        <v>351</v>
      </c>
      <c r="M13723">
        <v>1</v>
      </c>
      <c r="N13723">
        <v>2.4645500000000002E-69</v>
      </c>
      <c r="O13723">
        <v>659</v>
      </c>
    </row>
    <row r="13724" spans="1:15" x14ac:dyDescent="0.25">
      <c r="A13724" t="s">
        <v>13737</v>
      </c>
      <c r="B13724">
        <v>589</v>
      </c>
      <c r="C13724" s="1" t="str">
        <f>HYPERLINK("http://www.rosaceae.org/gb/gbrowse/malus_x_domestica/?name=MDP0000246974","MDP0000246974")</f>
        <v>MDP0000246974</v>
      </c>
      <c r="D13724">
        <v>82.17</v>
      </c>
      <c r="E13724">
        <v>404</v>
      </c>
      <c r="F13724">
        <v>72</v>
      </c>
      <c r="G13724">
        <v>8</v>
      </c>
      <c r="H13724">
        <v>58</v>
      </c>
      <c r="I13724">
        <v>453</v>
      </c>
      <c r="J13724">
        <v>1</v>
      </c>
      <c r="K13724">
        <v>1</v>
      </c>
      <c r="L13724">
        <v>404</v>
      </c>
      <c r="M13724">
        <v>1</v>
      </c>
      <c r="N13724">
        <v>0</v>
      </c>
      <c r="O13724">
        <v>1804</v>
      </c>
    </row>
    <row r="13725" spans="1:15" x14ac:dyDescent="0.25">
      <c r="A13725" t="s">
        <v>13738</v>
      </c>
      <c r="B13725">
        <v>196</v>
      </c>
      <c r="C13725" s="1" t="str">
        <f>HYPERLINK("http://www.rosaceae.org/gb/gbrowse/malus_x_domestica/?name=MDP0000691977","MDP0000691977")</f>
        <v>MDP0000691977</v>
      </c>
      <c r="D13725">
        <v>51.86</v>
      </c>
      <c r="E13725">
        <v>214</v>
      </c>
      <c r="F13725">
        <v>103</v>
      </c>
      <c r="G13725">
        <v>38</v>
      </c>
      <c r="H13725">
        <v>1</v>
      </c>
      <c r="I13725">
        <v>194</v>
      </c>
      <c r="J13725">
        <v>1</v>
      </c>
      <c r="K13725">
        <v>1</v>
      </c>
      <c r="L13725">
        <v>196</v>
      </c>
      <c r="M13725">
        <v>1</v>
      </c>
      <c r="N13725">
        <v>2.8278899999999999E-43</v>
      </c>
      <c r="O13725">
        <v>435</v>
      </c>
    </row>
    <row r="13726" spans="1:15" x14ac:dyDescent="0.25">
      <c r="A13726" t="s">
        <v>13739</v>
      </c>
      <c r="B13726">
        <v>700</v>
      </c>
      <c r="C13726" s="1" t="str">
        <f>HYPERLINK("http://www.rosaceae.org/gb/gbrowse/malus_x_domestica/?name=MDP0000305971","MDP0000305971")</f>
        <v>MDP0000305971</v>
      </c>
      <c r="D13726">
        <v>80.400000000000006</v>
      </c>
      <c r="E13726">
        <v>648</v>
      </c>
      <c r="F13726">
        <v>127</v>
      </c>
      <c r="G13726">
        <v>0</v>
      </c>
      <c r="H13726">
        <v>1</v>
      </c>
      <c r="I13726">
        <v>648</v>
      </c>
      <c r="J13726">
        <v>1</v>
      </c>
      <c r="K13726">
        <v>272</v>
      </c>
      <c r="L13726">
        <v>919</v>
      </c>
      <c r="M13726">
        <v>1</v>
      </c>
      <c r="N13726">
        <v>0</v>
      </c>
      <c r="O13726">
        <v>2829</v>
      </c>
    </row>
    <row r="13727" spans="1:15" x14ac:dyDescent="0.25">
      <c r="A13727" t="s">
        <v>13740</v>
      </c>
      <c r="B13727">
        <v>444</v>
      </c>
      <c r="C13727" s="1" t="str">
        <f>HYPERLINK("http://www.rosaceae.org/gb/gbrowse/malus_x_domestica/?name=MDP0000887858","MDP0000887858")</f>
        <v>MDP0000887858</v>
      </c>
      <c r="D13727">
        <v>66.66</v>
      </c>
      <c r="E13727">
        <v>87</v>
      </c>
      <c r="F13727">
        <v>29</v>
      </c>
      <c r="G13727">
        <v>12</v>
      </c>
      <c r="H13727">
        <v>350</v>
      </c>
      <c r="I13727">
        <v>424</v>
      </c>
      <c r="J13727">
        <v>1</v>
      </c>
      <c r="K13727">
        <v>130</v>
      </c>
      <c r="L13727">
        <v>216</v>
      </c>
      <c r="M13727">
        <v>1</v>
      </c>
      <c r="N13727">
        <v>2.7731599999999999E-25</v>
      </c>
      <c r="O13727">
        <v>284</v>
      </c>
    </row>
    <row r="13728" spans="1:15" x14ac:dyDescent="0.25">
      <c r="A13728" t="s">
        <v>13741</v>
      </c>
      <c r="B13728">
        <v>210</v>
      </c>
      <c r="C13728" s="1" t="str">
        <f>HYPERLINK("http://www.rosaceae.org/gb/gbrowse/malus_x_domestica/?name=MDP0000509748","MDP0000509748")</f>
        <v>MDP0000509748</v>
      </c>
      <c r="D13728">
        <v>69.069999999999993</v>
      </c>
      <c r="E13728">
        <v>152</v>
      </c>
      <c r="F13728">
        <v>47</v>
      </c>
      <c r="G13728">
        <v>1</v>
      </c>
      <c r="H13728">
        <v>58</v>
      </c>
      <c r="I13728">
        <v>209</v>
      </c>
      <c r="J13728">
        <v>1</v>
      </c>
      <c r="K13728">
        <v>1</v>
      </c>
      <c r="L13728">
        <v>151</v>
      </c>
      <c r="M13728">
        <v>1</v>
      </c>
      <c r="N13728">
        <v>3.0731999999999999E-58</v>
      </c>
      <c r="O13728">
        <v>564</v>
      </c>
    </row>
    <row r="13729" spans="1:15" x14ac:dyDescent="0.25">
      <c r="A13729" t="s">
        <v>13742</v>
      </c>
      <c r="B13729">
        <v>160</v>
      </c>
      <c r="C13729" s="1" t="str">
        <f>HYPERLINK("http://www.rosaceae.org/gb/gbrowse/malus_x_domestica/?name=MDP0000147795","MDP0000147795")</f>
        <v>MDP0000147795</v>
      </c>
      <c r="D13729">
        <v>85</v>
      </c>
      <c r="E13729">
        <v>160</v>
      </c>
      <c r="F13729">
        <v>24</v>
      </c>
      <c r="G13729">
        <v>0</v>
      </c>
      <c r="H13729">
        <v>1</v>
      </c>
      <c r="I13729">
        <v>160</v>
      </c>
      <c r="J13729">
        <v>1</v>
      </c>
      <c r="K13729">
        <v>1</v>
      </c>
      <c r="L13729">
        <v>160</v>
      </c>
      <c r="M13729">
        <v>1</v>
      </c>
      <c r="N13729">
        <v>4.51024E-76</v>
      </c>
      <c r="O13729">
        <v>716</v>
      </c>
    </row>
    <row r="13730" spans="1:15" x14ac:dyDescent="0.25">
      <c r="A13730" t="s">
        <v>13743</v>
      </c>
      <c r="B13730">
        <v>339</v>
      </c>
      <c r="C13730" s="1" t="str">
        <f>HYPERLINK("http://www.rosaceae.org/gb/gbrowse/malus_x_domestica/?name=MDP0000185626","MDP0000185626")</f>
        <v>MDP0000185626</v>
      </c>
      <c r="D13730">
        <v>93.77</v>
      </c>
      <c r="E13730">
        <v>225</v>
      </c>
      <c r="F13730">
        <v>14</v>
      </c>
      <c r="G13730">
        <v>0</v>
      </c>
      <c r="H13730">
        <v>74</v>
      </c>
      <c r="I13730">
        <v>298</v>
      </c>
      <c r="J13730">
        <v>1</v>
      </c>
      <c r="K13730">
        <v>110</v>
      </c>
      <c r="L13730">
        <v>334</v>
      </c>
      <c r="M13730">
        <v>1</v>
      </c>
      <c r="N13730">
        <v>1.2846099999999999E-122</v>
      </c>
      <c r="O13730">
        <v>1122</v>
      </c>
    </row>
    <row r="13731" spans="1:15" x14ac:dyDescent="0.25">
      <c r="A13731" t="s">
        <v>13744</v>
      </c>
      <c r="B13731">
        <v>122</v>
      </c>
      <c r="C13731" s="1" t="str">
        <f>HYPERLINK("http://www.rosaceae.org/gb/gbrowse/malus_x_domestica/?name=MDP0000297587","MDP0000297587")</f>
        <v>MDP0000297587</v>
      </c>
      <c r="D13731">
        <v>79.5</v>
      </c>
      <c r="E13731">
        <v>122</v>
      </c>
      <c r="F13731">
        <v>25</v>
      </c>
      <c r="G13731">
        <v>0</v>
      </c>
      <c r="H13731">
        <v>1</v>
      </c>
      <c r="I13731">
        <v>122</v>
      </c>
      <c r="J13731">
        <v>1</v>
      </c>
      <c r="K13731">
        <v>1</v>
      </c>
      <c r="L13731">
        <v>122</v>
      </c>
      <c r="M13731">
        <v>1</v>
      </c>
      <c r="N13731">
        <v>5.5221000000000004E-49</v>
      </c>
      <c r="O13731">
        <v>480</v>
      </c>
    </row>
    <row r="13732" spans="1:15" x14ac:dyDescent="0.25">
      <c r="A13732" t="s">
        <v>13745</v>
      </c>
      <c r="B13732">
        <v>191</v>
      </c>
      <c r="C13732" s="1" t="str">
        <f>HYPERLINK("http://www.rosaceae.org/gb/gbrowse/malus_x_domestica/?name=MDP0000206889","MDP0000206889")</f>
        <v>MDP0000206889</v>
      </c>
      <c r="D13732">
        <v>82.32</v>
      </c>
      <c r="E13732">
        <v>198</v>
      </c>
      <c r="F13732">
        <v>35</v>
      </c>
      <c r="G13732">
        <v>8</v>
      </c>
      <c r="H13732">
        <v>1</v>
      </c>
      <c r="I13732">
        <v>190</v>
      </c>
      <c r="J13732">
        <v>1</v>
      </c>
      <c r="K13732">
        <v>1</v>
      </c>
      <c r="L13732">
        <v>198</v>
      </c>
      <c r="M13732">
        <v>1</v>
      </c>
      <c r="N13732">
        <v>1.5036599999999999E-84</v>
      </c>
      <c r="O13732">
        <v>790</v>
      </c>
    </row>
    <row r="13733" spans="1:15" x14ac:dyDescent="0.25">
      <c r="A13733" t="s">
        <v>13746</v>
      </c>
      <c r="B13733">
        <v>408</v>
      </c>
      <c r="C13733" s="1" t="str">
        <f>HYPERLINK("http://www.rosaceae.org/gb/gbrowse/malus_x_domestica/?name=MDP0000822936","MDP0000822936")</f>
        <v>MDP0000822936</v>
      </c>
      <c r="D13733">
        <v>70.34</v>
      </c>
      <c r="E13733">
        <v>408</v>
      </c>
      <c r="F13733">
        <v>121</v>
      </c>
      <c r="G13733">
        <v>2</v>
      </c>
      <c r="H13733">
        <v>1</v>
      </c>
      <c r="I13733">
        <v>408</v>
      </c>
      <c r="J13733">
        <v>1</v>
      </c>
      <c r="K13733">
        <v>1</v>
      </c>
      <c r="L13733">
        <v>406</v>
      </c>
      <c r="M13733">
        <v>1</v>
      </c>
      <c r="N13733">
        <v>7.8938300000000003E-167</v>
      </c>
      <c r="O13733">
        <v>1504</v>
      </c>
    </row>
    <row r="13734" spans="1:15" x14ac:dyDescent="0.25">
      <c r="A13734" t="s">
        <v>13747</v>
      </c>
      <c r="B13734">
        <v>229</v>
      </c>
      <c r="C13734" s="1" t="str">
        <f>HYPERLINK("http://www.rosaceae.org/gb/gbrowse/malus_x_domestica/?name=MDP0000161216","MDP0000161216")</f>
        <v>MDP0000161216</v>
      </c>
      <c r="D13734">
        <v>51.79</v>
      </c>
      <c r="E13734">
        <v>139</v>
      </c>
      <c r="F13734">
        <v>67</v>
      </c>
      <c r="G13734">
        <v>38</v>
      </c>
      <c r="H13734">
        <v>119</v>
      </c>
      <c r="I13734">
        <v>229</v>
      </c>
      <c r="J13734">
        <v>1</v>
      </c>
      <c r="K13734">
        <v>240</v>
      </c>
      <c r="L13734">
        <v>368</v>
      </c>
      <c r="M13734">
        <v>1</v>
      </c>
      <c r="N13734">
        <v>8.2729399999999998E-26</v>
      </c>
      <c r="O13734">
        <v>285</v>
      </c>
    </row>
    <row r="13735" spans="1:15" x14ac:dyDescent="0.25">
      <c r="A13735" t="s">
        <v>13748</v>
      </c>
      <c r="B13735">
        <v>561</v>
      </c>
      <c r="C13735" s="1" t="str">
        <f>HYPERLINK("http://www.rosaceae.org/gb/gbrowse/malus_x_domestica/?name=MDP0000220272","MDP0000220272")</f>
        <v>MDP0000220272</v>
      </c>
      <c r="D13735">
        <v>49.21</v>
      </c>
      <c r="E13735">
        <v>254</v>
      </c>
      <c r="F13735">
        <v>129</v>
      </c>
      <c r="G13735">
        <v>11</v>
      </c>
      <c r="H13735">
        <v>48</v>
      </c>
      <c r="I13735">
        <v>292</v>
      </c>
      <c r="J13735">
        <v>1</v>
      </c>
      <c r="K13735">
        <v>1</v>
      </c>
      <c r="L13735">
        <v>252</v>
      </c>
      <c r="M13735">
        <v>1</v>
      </c>
      <c r="N13735">
        <v>1.40023E-59</v>
      </c>
      <c r="O13735">
        <v>581</v>
      </c>
    </row>
    <row r="13736" spans="1:15" x14ac:dyDescent="0.25">
      <c r="A13736" t="s">
        <v>13749</v>
      </c>
      <c r="B13736">
        <v>488</v>
      </c>
      <c r="C13736" s="1" t="str">
        <f>HYPERLINK("http://www.rosaceae.org/gb/gbrowse/malus_x_domestica/?name=MDP0000194023","MDP0000194023")</f>
        <v>MDP0000194023</v>
      </c>
      <c r="D13736">
        <v>72.12</v>
      </c>
      <c r="E13736">
        <v>409</v>
      </c>
      <c r="F13736">
        <v>114</v>
      </c>
      <c r="G13736">
        <v>13</v>
      </c>
      <c r="H13736">
        <v>80</v>
      </c>
      <c r="I13736">
        <v>488</v>
      </c>
      <c r="J13736">
        <v>1</v>
      </c>
      <c r="K13736">
        <v>973</v>
      </c>
      <c r="L13736">
        <v>1368</v>
      </c>
      <c r="M13736">
        <v>1</v>
      </c>
      <c r="N13736">
        <v>3.3583700000000001E-162</v>
      </c>
      <c r="O13736">
        <v>1465</v>
      </c>
    </row>
    <row r="13737" spans="1:15" x14ac:dyDescent="0.25">
      <c r="A13737" t="s">
        <v>13750</v>
      </c>
      <c r="B13737">
        <v>79</v>
      </c>
      <c r="C13737" s="1" t="str">
        <f>HYPERLINK("http://www.rosaceae.org/gb/gbrowse/malus_x_domestica/?name=MDP0000894544","MDP0000894544")</f>
        <v>MDP0000894544</v>
      </c>
      <c r="D13737">
        <v>84.61</v>
      </c>
      <c r="E13737">
        <v>78</v>
      </c>
      <c r="F13737">
        <v>12</v>
      </c>
      <c r="G13737">
        <v>0</v>
      </c>
      <c r="H13737">
        <v>1</v>
      </c>
      <c r="I13737">
        <v>78</v>
      </c>
      <c r="J13737">
        <v>1</v>
      </c>
      <c r="K13737">
        <v>1</v>
      </c>
      <c r="L13737">
        <v>78</v>
      </c>
      <c r="M13737">
        <v>1</v>
      </c>
      <c r="N13737">
        <v>1.05381E-34</v>
      </c>
      <c r="O13737">
        <v>357</v>
      </c>
    </row>
    <row r="13738" spans="1:15" x14ac:dyDescent="0.25">
      <c r="A13738" t="s">
        <v>13751</v>
      </c>
      <c r="B13738">
        <v>508</v>
      </c>
      <c r="C13738" s="1" t="str">
        <f>HYPERLINK("http://www.rosaceae.org/gb/gbrowse/malus_x_domestica/?name=MDP0000266454","MDP0000266454")</f>
        <v>MDP0000266454</v>
      </c>
      <c r="D13738">
        <v>70.41</v>
      </c>
      <c r="E13738">
        <v>507</v>
      </c>
      <c r="F13738">
        <v>150</v>
      </c>
      <c r="G13738">
        <v>6</v>
      </c>
      <c r="H13738">
        <v>1</v>
      </c>
      <c r="I13738">
        <v>502</v>
      </c>
      <c r="J13738">
        <v>1</v>
      </c>
      <c r="K13738">
        <v>789</v>
      </c>
      <c r="L13738">
        <v>1294</v>
      </c>
      <c r="M13738">
        <v>1</v>
      </c>
      <c r="N13738">
        <v>0</v>
      </c>
      <c r="O13738">
        <v>1947</v>
      </c>
    </row>
    <row r="13739" spans="1:15" x14ac:dyDescent="0.25">
      <c r="A13739" t="s">
        <v>13752</v>
      </c>
      <c r="B13739">
        <v>487</v>
      </c>
      <c r="C13739" s="1" t="str">
        <f>HYPERLINK("http://www.rosaceae.org/gb/gbrowse/malus_x_domestica/?name=MDP0000149352","MDP0000149352")</f>
        <v>MDP0000149352</v>
      </c>
      <c r="D13739">
        <v>71.010000000000005</v>
      </c>
      <c r="E13739">
        <v>376</v>
      </c>
      <c r="F13739">
        <v>109</v>
      </c>
      <c r="G13739">
        <v>1</v>
      </c>
      <c r="H13739">
        <v>109</v>
      </c>
      <c r="I13739">
        <v>484</v>
      </c>
      <c r="J13739">
        <v>1</v>
      </c>
      <c r="K13739">
        <v>74</v>
      </c>
      <c r="L13739">
        <v>448</v>
      </c>
      <c r="M13739">
        <v>1</v>
      </c>
      <c r="N13739">
        <v>6.7667600000000005E-154</v>
      </c>
      <c r="O13739">
        <v>1394</v>
      </c>
    </row>
    <row r="13740" spans="1:15" x14ac:dyDescent="0.25">
      <c r="A13740" t="s">
        <v>13753</v>
      </c>
      <c r="B13740">
        <v>244</v>
      </c>
      <c r="C13740" s="1" t="str">
        <f>HYPERLINK("http://www.rosaceae.org/gb/gbrowse/malus_x_domestica/?name=MDP0000139977","MDP0000139977")</f>
        <v>MDP0000139977</v>
      </c>
      <c r="D13740">
        <v>36.6</v>
      </c>
      <c r="E13740">
        <v>153</v>
      </c>
      <c r="F13740">
        <v>97</v>
      </c>
      <c r="G13740">
        <v>30</v>
      </c>
      <c r="H13740">
        <v>78</v>
      </c>
      <c r="I13740">
        <v>200</v>
      </c>
      <c r="J13740">
        <v>1</v>
      </c>
      <c r="K13740">
        <v>91</v>
      </c>
      <c r="L13740">
        <v>243</v>
      </c>
      <c r="M13740">
        <v>1</v>
      </c>
      <c r="N13740">
        <v>6.1395000000000005E-16</v>
      </c>
      <c r="O13740">
        <v>200</v>
      </c>
    </row>
    <row r="13741" spans="1:15" x14ac:dyDescent="0.25">
      <c r="A13741" t="s">
        <v>13754</v>
      </c>
      <c r="B13741">
        <v>202</v>
      </c>
      <c r="C13741" s="1" t="str">
        <f>HYPERLINK("http://www.rosaceae.org/gb/gbrowse/malus_x_domestica/?name=MDP0000144205","MDP0000144205")</f>
        <v>MDP0000144205</v>
      </c>
      <c r="D13741">
        <v>81.56</v>
      </c>
      <c r="E13741">
        <v>217</v>
      </c>
      <c r="F13741">
        <v>40</v>
      </c>
      <c r="G13741">
        <v>15</v>
      </c>
      <c r="H13741">
        <v>1</v>
      </c>
      <c r="I13741">
        <v>202</v>
      </c>
      <c r="J13741">
        <v>1</v>
      </c>
      <c r="K13741">
        <v>1</v>
      </c>
      <c r="L13741">
        <v>217</v>
      </c>
      <c r="M13741">
        <v>1</v>
      </c>
      <c r="N13741">
        <v>1.05775E-100</v>
      </c>
      <c r="O13741">
        <v>930</v>
      </c>
    </row>
    <row r="13742" spans="1:15" x14ac:dyDescent="0.25">
      <c r="A13742" t="s">
        <v>13755</v>
      </c>
      <c r="B13742">
        <v>810</v>
      </c>
      <c r="C13742" s="1" t="str">
        <f>HYPERLINK("http://www.rosaceae.org/gb/gbrowse/malus_x_domestica/?name=MDP0000252726","MDP0000252726")</f>
        <v>MDP0000252726</v>
      </c>
      <c r="D13742">
        <v>50.46</v>
      </c>
      <c r="E13742">
        <v>852</v>
      </c>
      <c r="F13742">
        <v>422</v>
      </c>
      <c r="G13742">
        <v>113</v>
      </c>
      <c r="H13742">
        <v>8</v>
      </c>
      <c r="I13742">
        <v>801</v>
      </c>
      <c r="J13742">
        <v>1</v>
      </c>
      <c r="K13742">
        <v>8</v>
      </c>
      <c r="L13742">
        <v>804</v>
      </c>
      <c r="M13742">
        <v>1</v>
      </c>
      <c r="N13742">
        <v>0</v>
      </c>
      <c r="O13742">
        <v>1906</v>
      </c>
    </row>
    <row r="13743" spans="1:15" x14ac:dyDescent="0.25">
      <c r="A13743" t="s">
        <v>13756</v>
      </c>
      <c r="B13743">
        <v>329</v>
      </c>
      <c r="C13743" s="1" t="str">
        <f>HYPERLINK("http://www.rosaceae.org/gb/gbrowse/malus_x_domestica/?name=MDP0000239885","MDP0000239885")</f>
        <v>MDP0000239885</v>
      </c>
      <c r="D13743">
        <v>70.819999999999993</v>
      </c>
      <c r="E13743">
        <v>329</v>
      </c>
      <c r="F13743">
        <v>96</v>
      </c>
      <c r="G13743">
        <v>0</v>
      </c>
      <c r="H13743">
        <v>1</v>
      </c>
      <c r="I13743">
        <v>329</v>
      </c>
      <c r="J13743">
        <v>1</v>
      </c>
      <c r="K13743">
        <v>1</v>
      </c>
      <c r="L13743">
        <v>329</v>
      </c>
      <c r="M13743">
        <v>1</v>
      </c>
      <c r="N13743">
        <v>3.5960399999999999E-134</v>
      </c>
      <c r="O13743">
        <v>1222</v>
      </c>
    </row>
    <row r="13744" spans="1:15" x14ac:dyDescent="0.25">
      <c r="A13744" t="s">
        <v>13757</v>
      </c>
      <c r="B13744">
        <v>178</v>
      </c>
      <c r="C13744" s="1" t="str">
        <f>HYPERLINK("http://www.rosaceae.org/gb/gbrowse/malus_x_domestica/?name=MDP0000194903","MDP0000194903")</f>
        <v>MDP0000194903</v>
      </c>
      <c r="D13744">
        <v>57.61</v>
      </c>
      <c r="E13744">
        <v>151</v>
      </c>
      <c r="F13744">
        <v>64</v>
      </c>
      <c r="G13744">
        <v>8</v>
      </c>
      <c r="H13744">
        <v>35</v>
      </c>
      <c r="I13744">
        <v>178</v>
      </c>
      <c r="J13744">
        <v>1</v>
      </c>
      <c r="K13744">
        <v>41</v>
      </c>
      <c r="L13744">
        <v>190</v>
      </c>
      <c r="M13744">
        <v>1</v>
      </c>
      <c r="N13744">
        <v>3.2714699999999998E-47</v>
      </c>
      <c r="O13744">
        <v>468</v>
      </c>
    </row>
    <row r="13745" spans="1:15" x14ac:dyDescent="0.25">
      <c r="A13745" t="s">
        <v>13758</v>
      </c>
      <c r="B13745">
        <v>927</v>
      </c>
      <c r="C13745" s="1" t="str">
        <f>HYPERLINK("http://www.rosaceae.org/gb/gbrowse/malus_x_domestica/?name=MDP0000126666","MDP0000126666")</f>
        <v>MDP0000126666</v>
      </c>
      <c r="D13745">
        <v>63.77</v>
      </c>
      <c r="E13745">
        <v>265</v>
      </c>
      <c r="F13745">
        <v>96</v>
      </c>
      <c r="G13745">
        <v>40</v>
      </c>
      <c r="H13745">
        <v>315</v>
      </c>
      <c r="I13745">
        <v>579</v>
      </c>
      <c r="J13745">
        <v>1</v>
      </c>
      <c r="K13745">
        <v>1</v>
      </c>
      <c r="L13745">
        <v>225</v>
      </c>
      <c r="M13745">
        <v>1</v>
      </c>
      <c r="N13745">
        <v>1.5156100000000001E-93</v>
      </c>
      <c r="O13745">
        <v>876</v>
      </c>
    </row>
    <row r="13746" spans="1:15" x14ac:dyDescent="0.25">
      <c r="A13746" t="s">
        <v>13759</v>
      </c>
      <c r="B13746">
        <v>399</v>
      </c>
      <c r="C13746" s="1" t="str">
        <f>HYPERLINK("http://www.rosaceae.org/gb/gbrowse/malus_x_domestica/?name=MDP0000773851","MDP0000773851")</f>
        <v>MDP0000773851</v>
      </c>
      <c r="D13746">
        <v>76.98</v>
      </c>
      <c r="E13746">
        <v>404</v>
      </c>
      <c r="F13746">
        <v>93</v>
      </c>
      <c r="G13746">
        <v>6</v>
      </c>
      <c r="H13746">
        <v>2</v>
      </c>
      <c r="I13746">
        <v>399</v>
      </c>
      <c r="J13746">
        <v>1</v>
      </c>
      <c r="K13746">
        <v>3</v>
      </c>
      <c r="L13746">
        <v>406</v>
      </c>
      <c r="M13746">
        <v>1</v>
      </c>
      <c r="N13746">
        <v>0</v>
      </c>
      <c r="O13746">
        <v>1671</v>
      </c>
    </row>
    <row r="13747" spans="1:15" x14ac:dyDescent="0.25">
      <c r="A13747" t="s">
        <v>13760</v>
      </c>
      <c r="B13747">
        <v>171</v>
      </c>
      <c r="C13747" s="1" t="str">
        <f>HYPERLINK("http://www.rosaceae.org/gb/gbrowse/malus_x_domestica/?name=MDP0000325346","MDP0000325346")</f>
        <v>MDP0000325346</v>
      </c>
      <c r="D13747">
        <v>70.959999999999994</v>
      </c>
      <c r="E13747">
        <v>155</v>
      </c>
      <c r="F13747">
        <v>45</v>
      </c>
      <c r="G13747">
        <v>0</v>
      </c>
      <c r="H13747">
        <v>17</v>
      </c>
      <c r="I13747">
        <v>171</v>
      </c>
      <c r="J13747">
        <v>1</v>
      </c>
      <c r="K13747">
        <v>17</v>
      </c>
      <c r="L13747">
        <v>171</v>
      </c>
      <c r="M13747">
        <v>1</v>
      </c>
      <c r="N13747">
        <v>1.5803000000000001E-59</v>
      </c>
      <c r="O13747">
        <v>574</v>
      </c>
    </row>
    <row r="13748" spans="1:15" x14ac:dyDescent="0.25">
      <c r="A13748" t="s">
        <v>13761</v>
      </c>
      <c r="B13748">
        <v>862</v>
      </c>
      <c r="C13748" s="1" t="str">
        <f>HYPERLINK("http://www.rosaceae.org/gb/gbrowse/malus_x_domestica/?name=MDP0000786650","MDP0000786650")</f>
        <v>MDP0000786650</v>
      </c>
      <c r="D13748">
        <v>72.61</v>
      </c>
      <c r="E13748">
        <v>588</v>
      </c>
      <c r="F13748">
        <v>161</v>
      </c>
      <c r="G13748">
        <v>17</v>
      </c>
      <c r="H13748">
        <v>274</v>
      </c>
      <c r="I13748">
        <v>861</v>
      </c>
      <c r="J13748">
        <v>1</v>
      </c>
      <c r="K13748">
        <v>1</v>
      </c>
      <c r="L13748">
        <v>571</v>
      </c>
      <c r="M13748">
        <v>1</v>
      </c>
      <c r="N13748">
        <v>0</v>
      </c>
      <c r="O13748">
        <v>2319</v>
      </c>
    </row>
    <row r="13749" spans="1:15" x14ac:dyDescent="0.25">
      <c r="A13749" t="s">
        <v>13762</v>
      </c>
      <c r="B13749">
        <v>1343</v>
      </c>
      <c r="C13749" s="1" t="str">
        <f>HYPERLINK("http://www.rosaceae.org/gb/gbrowse/malus_x_domestica/?name=MDP0000172742","MDP0000172742")</f>
        <v>MDP0000172742</v>
      </c>
      <c r="D13749">
        <v>77.89</v>
      </c>
      <c r="E13749">
        <v>1357</v>
      </c>
      <c r="F13749">
        <v>300</v>
      </c>
      <c r="G13749">
        <v>22</v>
      </c>
      <c r="H13749">
        <v>1</v>
      </c>
      <c r="I13749">
        <v>1343</v>
      </c>
      <c r="J13749">
        <v>1</v>
      </c>
      <c r="K13749">
        <v>1</v>
      </c>
      <c r="L13749">
        <v>1349</v>
      </c>
      <c r="M13749">
        <v>1</v>
      </c>
      <c r="N13749">
        <v>0</v>
      </c>
      <c r="O13749">
        <v>5359</v>
      </c>
    </row>
    <row r="13750" spans="1:15" x14ac:dyDescent="0.25">
      <c r="A13750" t="s">
        <v>13763</v>
      </c>
      <c r="B13750">
        <v>470</v>
      </c>
      <c r="C13750" s="1" t="str">
        <f>HYPERLINK("http://www.rosaceae.org/gb/gbrowse/malus_x_domestica/?name=MDP0000231216","MDP0000231216")</f>
        <v>MDP0000231216</v>
      </c>
      <c r="D13750">
        <v>62.39</v>
      </c>
      <c r="E13750">
        <v>343</v>
      </c>
      <c r="F13750">
        <v>129</v>
      </c>
      <c r="G13750">
        <v>67</v>
      </c>
      <c r="H13750">
        <v>183</v>
      </c>
      <c r="I13750">
        <v>469</v>
      </c>
      <c r="J13750">
        <v>1</v>
      </c>
      <c r="K13750">
        <v>101</v>
      </c>
      <c r="L13750">
        <v>432</v>
      </c>
      <c r="M13750">
        <v>1</v>
      </c>
      <c r="N13750">
        <v>1.4614900000000001E-102</v>
      </c>
      <c r="O13750">
        <v>951</v>
      </c>
    </row>
    <row r="13751" spans="1:15" x14ac:dyDescent="0.25">
      <c r="A13751" t="s">
        <v>13764</v>
      </c>
      <c r="B13751">
        <v>295</v>
      </c>
      <c r="C13751" s="1" t="str">
        <f>HYPERLINK("http://www.rosaceae.org/gb/gbrowse/malus_x_domestica/?name=MDP0000284538","MDP0000284538")</f>
        <v>MDP0000284538</v>
      </c>
      <c r="D13751">
        <v>76.81</v>
      </c>
      <c r="E13751">
        <v>220</v>
      </c>
      <c r="F13751">
        <v>51</v>
      </c>
      <c r="G13751">
        <v>0</v>
      </c>
      <c r="H13751">
        <v>53</v>
      </c>
      <c r="I13751">
        <v>272</v>
      </c>
      <c r="J13751">
        <v>1</v>
      </c>
      <c r="K13751">
        <v>190</v>
      </c>
      <c r="L13751">
        <v>409</v>
      </c>
      <c r="M13751">
        <v>1</v>
      </c>
      <c r="N13751">
        <v>1.9845699999999998E-96</v>
      </c>
      <c r="O13751">
        <v>895</v>
      </c>
    </row>
    <row r="13752" spans="1:15" x14ac:dyDescent="0.25">
      <c r="A13752" t="s">
        <v>13765</v>
      </c>
      <c r="B13752">
        <v>167</v>
      </c>
      <c r="C13752" s="1" t="str">
        <f>HYPERLINK("http://www.rosaceae.org/gb/gbrowse/malus_x_domestica/?name=MDP0000246150","MDP0000246150")</f>
        <v>MDP0000246150</v>
      </c>
      <c r="D13752">
        <v>74.25</v>
      </c>
      <c r="E13752">
        <v>167</v>
      </c>
      <c r="F13752">
        <v>43</v>
      </c>
      <c r="G13752">
        <v>2</v>
      </c>
      <c r="H13752">
        <v>1</v>
      </c>
      <c r="I13752">
        <v>166</v>
      </c>
      <c r="J13752">
        <v>1</v>
      </c>
      <c r="K13752">
        <v>1</v>
      </c>
      <c r="L13752">
        <v>166</v>
      </c>
      <c r="M13752">
        <v>1</v>
      </c>
      <c r="N13752">
        <v>4.6105200000000003E-62</v>
      </c>
      <c r="O13752">
        <v>595</v>
      </c>
    </row>
    <row r="13753" spans="1:15" x14ac:dyDescent="0.25">
      <c r="A13753" t="s">
        <v>13766</v>
      </c>
      <c r="B13753">
        <v>332</v>
      </c>
      <c r="C13753" s="1" t="str">
        <f>HYPERLINK("http://www.rosaceae.org/gb/gbrowse/malus_x_domestica/?name=MDP0000562580","MDP0000562580")</f>
        <v>MDP0000562580</v>
      </c>
      <c r="D13753">
        <v>68.94</v>
      </c>
      <c r="E13753">
        <v>190</v>
      </c>
      <c r="F13753">
        <v>59</v>
      </c>
      <c r="G13753">
        <v>7</v>
      </c>
      <c r="H13753">
        <v>1</v>
      </c>
      <c r="I13753">
        <v>183</v>
      </c>
      <c r="J13753">
        <v>1</v>
      </c>
      <c r="K13753">
        <v>1</v>
      </c>
      <c r="L13753">
        <v>190</v>
      </c>
      <c r="M13753">
        <v>1</v>
      </c>
      <c r="N13753">
        <v>3.5872500000000001E-73</v>
      </c>
      <c r="O13753">
        <v>696</v>
      </c>
    </row>
    <row r="13754" spans="1:15" x14ac:dyDescent="0.25">
      <c r="A13754" t="s">
        <v>13767</v>
      </c>
      <c r="B13754">
        <v>179</v>
      </c>
      <c r="C13754" s="1" t="str">
        <f>HYPERLINK("http://www.rosaceae.org/gb/gbrowse/malus_x_domestica/?name=MDP0000943252","MDP0000943252")</f>
        <v>MDP0000943252</v>
      </c>
      <c r="D13754">
        <v>67.03</v>
      </c>
      <c r="E13754">
        <v>179</v>
      </c>
      <c r="F13754">
        <v>59</v>
      </c>
      <c r="G13754">
        <v>4</v>
      </c>
      <c r="H13754">
        <v>1</v>
      </c>
      <c r="I13754">
        <v>178</v>
      </c>
      <c r="J13754">
        <v>1</v>
      </c>
      <c r="K13754">
        <v>1</v>
      </c>
      <c r="L13754">
        <v>176</v>
      </c>
      <c r="M13754">
        <v>1</v>
      </c>
      <c r="N13754">
        <v>2.5658E-64</v>
      </c>
      <c r="O13754">
        <v>615</v>
      </c>
    </row>
    <row r="13755" spans="1:15" x14ac:dyDescent="0.25">
      <c r="A13755" t="s">
        <v>13768</v>
      </c>
      <c r="B13755">
        <v>591</v>
      </c>
      <c r="C13755" s="1" t="str">
        <f>HYPERLINK("http://www.rosaceae.org/gb/gbrowse/malus_x_domestica/?name=MDP0000213770","MDP0000213770")</f>
        <v>MDP0000213770</v>
      </c>
      <c r="D13755">
        <v>79.150000000000006</v>
      </c>
      <c r="E13755">
        <v>590</v>
      </c>
      <c r="F13755">
        <v>123</v>
      </c>
      <c r="G13755">
        <v>4</v>
      </c>
      <c r="H13755">
        <v>3</v>
      </c>
      <c r="I13755">
        <v>589</v>
      </c>
      <c r="J13755">
        <v>1</v>
      </c>
      <c r="K13755">
        <v>1</v>
      </c>
      <c r="L13755">
        <v>589</v>
      </c>
      <c r="M13755">
        <v>1</v>
      </c>
      <c r="N13755">
        <v>0</v>
      </c>
      <c r="O13755">
        <v>2506</v>
      </c>
    </row>
    <row r="13756" spans="1:15" x14ac:dyDescent="0.25">
      <c r="A13756" t="s">
        <v>13769</v>
      </c>
      <c r="B13756">
        <v>274</v>
      </c>
      <c r="C13756" s="1" t="str">
        <f>HYPERLINK("http://www.rosaceae.org/gb/gbrowse/malus_x_domestica/?name=MDP0000307862","MDP0000307862")</f>
        <v>MDP0000307862</v>
      </c>
      <c r="D13756">
        <v>35.950000000000003</v>
      </c>
      <c r="E13756">
        <v>242</v>
      </c>
      <c r="F13756">
        <v>155</v>
      </c>
      <c r="G13756">
        <v>29</v>
      </c>
      <c r="H13756">
        <v>35</v>
      </c>
      <c r="I13756">
        <v>259</v>
      </c>
      <c r="J13756">
        <v>1</v>
      </c>
      <c r="K13756">
        <v>990</v>
      </c>
      <c r="L13756">
        <v>1219</v>
      </c>
      <c r="M13756">
        <v>1</v>
      </c>
      <c r="N13756">
        <v>4.5910299999999997E-31</v>
      </c>
      <c r="O13756">
        <v>331</v>
      </c>
    </row>
    <row r="13757" spans="1:15" x14ac:dyDescent="0.25">
      <c r="A13757" t="s">
        <v>13770</v>
      </c>
      <c r="B13757">
        <v>224</v>
      </c>
      <c r="C13757" s="1" t="str">
        <f>HYPERLINK("http://www.rosaceae.org/gb/gbrowse/malus_x_domestica/?name=MDP0000608906","MDP0000608906")</f>
        <v>MDP0000608906</v>
      </c>
      <c r="D13757">
        <v>55.85</v>
      </c>
      <c r="E13757">
        <v>256</v>
      </c>
      <c r="F13757">
        <v>113</v>
      </c>
      <c r="G13757">
        <v>38</v>
      </c>
      <c r="H13757">
        <v>1</v>
      </c>
      <c r="I13757">
        <v>224</v>
      </c>
      <c r="J13757">
        <v>1</v>
      </c>
      <c r="K13757">
        <v>131</v>
      </c>
      <c r="L13757">
        <v>380</v>
      </c>
      <c r="M13757">
        <v>1</v>
      </c>
      <c r="N13757">
        <v>1.5847799999999999E-64</v>
      </c>
      <c r="O13757">
        <v>619</v>
      </c>
    </row>
    <row r="13758" spans="1:15" x14ac:dyDescent="0.25">
      <c r="A13758" t="s">
        <v>13771</v>
      </c>
      <c r="B13758">
        <v>155</v>
      </c>
      <c r="C13758" s="1" t="str">
        <f>HYPERLINK("http://www.rosaceae.org/gb/gbrowse/malus_x_domestica/?name=MDP0000683389","MDP0000683389")</f>
        <v>MDP0000683389</v>
      </c>
      <c r="D13758">
        <v>67.09</v>
      </c>
      <c r="E13758">
        <v>155</v>
      </c>
      <c r="F13758">
        <v>51</v>
      </c>
      <c r="G13758">
        <v>12</v>
      </c>
      <c r="H13758">
        <v>1</v>
      </c>
      <c r="I13758">
        <v>154</v>
      </c>
      <c r="J13758">
        <v>1</v>
      </c>
      <c r="K13758">
        <v>49</v>
      </c>
      <c r="L13758">
        <v>192</v>
      </c>
      <c r="M13758">
        <v>1</v>
      </c>
      <c r="N13758">
        <v>3.9227999999999999E-51</v>
      </c>
      <c r="O13758">
        <v>501</v>
      </c>
    </row>
    <row r="13759" spans="1:15" x14ac:dyDescent="0.25">
      <c r="A13759" t="s">
        <v>13772</v>
      </c>
      <c r="B13759">
        <v>577</v>
      </c>
      <c r="C13759" s="1" t="str">
        <f>HYPERLINK("http://www.rosaceae.org/gb/gbrowse/malus_x_domestica/?name=MDP0000823143","MDP0000823143")</f>
        <v>MDP0000823143</v>
      </c>
      <c r="D13759">
        <v>66.14</v>
      </c>
      <c r="E13759">
        <v>576</v>
      </c>
      <c r="F13759">
        <v>195</v>
      </c>
      <c r="G13759">
        <v>11</v>
      </c>
      <c r="H13759">
        <v>1</v>
      </c>
      <c r="I13759">
        <v>576</v>
      </c>
      <c r="J13759">
        <v>1</v>
      </c>
      <c r="K13759">
        <v>1</v>
      </c>
      <c r="L13759">
        <v>565</v>
      </c>
      <c r="M13759">
        <v>1</v>
      </c>
      <c r="N13759">
        <v>0</v>
      </c>
      <c r="O13759">
        <v>2057</v>
      </c>
    </row>
    <row r="13760" spans="1:15" x14ac:dyDescent="0.25">
      <c r="A13760" t="s">
        <v>13773</v>
      </c>
      <c r="B13760">
        <v>1291</v>
      </c>
      <c r="C13760" s="1" t="str">
        <f>HYPERLINK("http://www.rosaceae.org/gb/gbrowse/malus_x_domestica/?name=MDP0000264457","MDP0000264457")</f>
        <v>MDP0000264457</v>
      </c>
      <c r="D13760">
        <v>60.98</v>
      </c>
      <c r="E13760">
        <v>692</v>
      </c>
      <c r="F13760">
        <v>270</v>
      </c>
      <c r="G13760">
        <v>32</v>
      </c>
      <c r="H13760">
        <v>613</v>
      </c>
      <c r="I13760">
        <v>1288</v>
      </c>
      <c r="J13760">
        <v>1</v>
      </c>
      <c r="K13760">
        <v>552</v>
      </c>
      <c r="L13760">
        <v>1227</v>
      </c>
      <c r="M13760">
        <v>1</v>
      </c>
      <c r="N13760">
        <v>0</v>
      </c>
      <c r="O13760">
        <v>2005</v>
      </c>
    </row>
    <row r="13761" spans="1:15" x14ac:dyDescent="0.25">
      <c r="A13761" t="s">
        <v>13774</v>
      </c>
      <c r="B13761">
        <v>383</v>
      </c>
      <c r="C13761" s="1" t="str">
        <f>HYPERLINK("http://www.rosaceae.org/gb/gbrowse/malus_x_domestica/?name=MDP0000258905","MDP0000258905")</f>
        <v>MDP0000258905</v>
      </c>
      <c r="D13761">
        <v>70.930000000000007</v>
      </c>
      <c r="E13761">
        <v>258</v>
      </c>
      <c r="F13761">
        <v>75</v>
      </c>
      <c r="G13761">
        <v>45</v>
      </c>
      <c r="H13761">
        <v>21</v>
      </c>
      <c r="I13761">
        <v>265</v>
      </c>
      <c r="J13761">
        <v>1</v>
      </c>
      <c r="K13761">
        <v>6</v>
      </c>
      <c r="L13761">
        <v>231</v>
      </c>
      <c r="M13761">
        <v>1</v>
      </c>
      <c r="N13761">
        <v>1.2361000000000001E-102</v>
      </c>
      <c r="O13761">
        <v>950</v>
      </c>
    </row>
    <row r="13762" spans="1:15" x14ac:dyDescent="0.25">
      <c r="A13762" t="s">
        <v>13775</v>
      </c>
      <c r="B13762">
        <v>310</v>
      </c>
      <c r="C13762" s="1" t="str">
        <f>HYPERLINK("http://www.rosaceae.org/gb/gbrowse/malus_x_domestica/?name=MDP0000146631","MDP0000146631")</f>
        <v>MDP0000146631</v>
      </c>
      <c r="D13762">
        <v>68.790000000000006</v>
      </c>
      <c r="E13762">
        <v>298</v>
      </c>
      <c r="F13762">
        <v>93</v>
      </c>
      <c r="G13762">
        <v>18</v>
      </c>
      <c r="H13762">
        <v>1</v>
      </c>
      <c r="I13762">
        <v>298</v>
      </c>
      <c r="J13762">
        <v>1</v>
      </c>
      <c r="K13762">
        <v>1</v>
      </c>
      <c r="L13762">
        <v>280</v>
      </c>
      <c r="M13762">
        <v>1</v>
      </c>
      <c r="N13762">
        <v>1.32441E-110</v>
      </c>
      <c r="O13762">
        <v>1018</v>
      </c>
    </row>
    <row r="13763" spans="1:15" x14ac:dyDescent="0.25">
      <c r="A13763" t="s">
        <v>13776</v>
      </c>
      <c r="B13763">
        <v>266</v>
      </c>
      <c r="C13763" s="1" t="str">
        <f>HYPERLINK("http://www.rosaceae.org/gb/gbrowse/malus_x_domestica/?name=MDP0000165594","MDP0000165594")</f>
        <v>MDP0000165594</v>
      </c>
      <c r="D13763">
        <v>53.9</v>
      </c>
      <c r="E13763">
        <v>269</v>
      </c>
      <c r="F13763">
        <v>124</v>
      </c>
      <c r="G13763">
        <v>17</v>
      </c>
      <c r="H13763">
        <v>1</v>
      </c>
      <c r="I13763">
        <v>265</v>
      </c>
      <c r="J13763">
        <v>1</v>
      </c>
      <c r="K13763">
        <v>86</v>
      </c>
      <c r="L13763">
        <v>341</v>
      </c>
      <c r="M13763">
        <v>1</v>
      </c>
      <c r="N13763">
        <v>2.9207900000000002E-74</v>
      </c>
      <c r="O13763">
        <v>704</v>
      </c>
    </row>
    <row r="13764" spans="1:15" x14ac:dyDescent="0.25">
      <c r="A13764" t="s">
        <v>13777</v>
      </c>
      <c r="B13764">
        <v>610</v>
      </c>
      <c r="C13764" s="1" t="str">
        <f>HYPERLINK("http://www.rosaceae.org/gb/gbrowse/malus_x_domestica/?name=MDP0000498524","MDP0000498524")</f>
        <v>MDP0000498524</v>
      </c>
      <c r="D13764">
        <v>63.15</v>
      </c>
      <c r="E13764">
        <v>247</v>
      </c>
      <c r="F13764">
        <v>91</v>
      </c>
      <c r="G13764">
        <v>7</v>
      </c>
      <c r="H13764">
        <v>8</v>
      </c>
      <c r="I13764">
        <v>249</v>
      </c>
      <c r="J13764">
        <v>1</v>
      </c>
      <c r="K13764">
        <v>19</v>
      </c>
      <c r="L13764">
        <v>263</v>
      </c>
      <c r="M13764">
        <v>1</v>
      </c>
      <c r="N13764">
        <v>6.9622399999999998E-91</v>
      </c>
      <c r="O13764">
        <v>851</v>
      </c>
    </row>
    <row r="13765" spans="1:15" x14ac:dyDescent="0.25">
      <c r="A13765" t="s">
        <v>13778</v>
      </c>
      <c r="B13765">
        <v>1666</v>
      </c>
      <c r="C13765" s="1" t="str">
        <f>HYPERLINK("http://www.rosaceae.org/gb/gbrowse/malus_x_domestica/?name=MDP0000127798","MDP0000127798")</f>
        <v>MDP0000127798</v>
      </c>
      <c r="D13765">
        <v>61.35</v>
      </c>
      <c r="E13765">
        <v>1695</v>
      </c>
      <c r="F13765">
        <v>655</v>
      </c>
      <c r="G13765">
        <v>131</v>
      </c>
      <c r="H13765">
        <v>1</v>
      </c>
      <c r="I13765">
        <v>1650</v>
      </c>
      <c r="J13765">
        <v>1</v>
      </c>
      <c r="K13765">
        <v>23</v>
      </c>
      <c r="L13765">
        <v>1631</v>
      </c>
      <c r="M13765">
        <v>1</v>
      </c>
      <c r="N13765">
        <v>0</v>
      </c>
      <c r="O13765">
        <v>4753</v>
      </c>
    </row>
    <row r="13766" spans="1:15" x14ac:dyDescent="0.25">
      <c r="A13766" t="s">
        <v>13779</v>
      </c>
      <c r="B13766">
        <v>837</v>
      </c>
      <c r="C13766" s="1" t="str">
        <f>HYPERLINK("http://www.rosaceae.org/gb/gbrowse/malus_x_domestica/?name=MDP0000479094","MDP0000479094")</f>
        <v>MDP0000479094</v>
      </c>
      <c r="D13766">
        <v>55.16</v>
      </c>
      <c r="E13766">
        <v>774</v>
      </c>
      <c r="F13766">
        <v>347</v>
      </c>
      <c r="G13766">
        <v>45</v>
      </c>
      <c r="H13766">
        <v>74</v>
      </c>
      <c r="I13766">
        <v>837</v>
      </c>
      <c r="J13766">
        <v>1</v>
      </c>
      <c r="K13766">
        <v>5</v>
      </c>
      <c r="L13766">
        <v>743</v>
      </c>
      <c r="M13766">
        <v>1</v>
      </c>
      <c r="N13766">
        <v>0</v>
      </c>
      <c r="O13766">
        <v>2284</v>
      </c>
    </row>
    <row r="13767" spans="1:15" x14ac:dyDescent="0.25">
      <c r="A13767" t="s">
        <v>13780</v>
      </c>
      <c r="B13767">
        <v>289</v>
      </c>
      <c r="C13767" s="1" t="str">
        <f>HYPERLINK("http://www.rosaceae.org/gb/gbrowse/malus_x_domestica/?name=MDP0000139019","MDP0000139019")</f>
        <v>MDP0000139019</v>
      </c>
      <c r="D13767">
        <v>81.08</v>
      </c>
      <c r="E13767">
        <v>259</v>
      </c>
      <c r="F13767">
        <v>49</v>
      </c>
      <c r="G13767">
        <v>6</v>
      </c>
      <c r="H13767">
        <v>30</v>
      </c>
      <c r="I13767">
        <v>288</v>
      </c>
      <c r="J13767">
        <v>1</v>
      </c>
      <c r="K13767">
        <v>30</v>
      </c>
      <c r="L13767">
        <v>282</v>
      </c>
      <c r="M13767">
        <v>1</v>
      </c>
      <c r="N13767">
        <v>2.4724299999999999E-123</v>
      </c>
      <c r="O13767">
        <v>1127</v>
      </c>
    </row>
    <row r="13768" spans="1:15" x14ac:dyDescent="0.25">
      <c r="A13768" t="s">
        <v>13781</v>
      </c>
      <c r="B13768">
        <v>209</v>
      </c>
      <c r="C13768" s="1" t="str">
        <f>HYPERLINK("http://www.rosaceae.org/gb/gbrowse/malus_x_domestica/?name=MDP0000326390","MDP0000326390")</f>
        <v>MDP0000326390</v>
      </c>
      <c r="D13768">
        <v>53.12</v>
      </c>
      <c r="E13768">
        <v>256</v>
      </c>
      <c r="F13768">
        <v>120</v>
      </c>
      <c r="G13768">
        <v>55</v>
      </c>
      <c r="H13768">
        <v>1</v>
      </c>
      <c r="I13768">
        <v>209</v>
      </c>
      <c r="J13768">
        <v>1</v>
      </c>
      <c r="K13768">
        <v>1</v>
      </c>
      <c r="L13768">
        <v>248</v>
      </c>
      <c r="M13768">
        <v>1</v>
      </c>
      <c r="N13768">
        <v>4.5430099999999999E-60</v>
      </c>
      <c r="O13768">
        <v>580</v>
      </c>
    </row>
    <row r="13769" spans="1:15" x14ac:dyDescent="0.25">
      <c r="A13769" t="s">
        <v>13782</v>
      </c>
      <c r="B13769">
        <v>357</v>
      </c>
      <c r="C13769" s="1" t="str">
        <f>HYPERLINK("http://www.rosaceae.org/gb/gbrowse/malus_x_domestica/?name=MDP0000275411","MDP0000275411")</f>
        <v>MDP0000275411</v>
      </c>
      <c r="D13769">
        <v>84.31</v>
      </c>
      <c r="E13769">
        <v>357</v>
      </c>
      <c r="F13769">
        <v>56</v>
      </c>
      <c r="G13769">
        <v>1</v>
      </c>
      <c r="H13769">
        <v>1</v>
      </c>
      <c r="I13769">
        <v>357</v>
      </c>
      <c r="J13769">
        <v>1</v>
      </c>
      <c r="K13769">
        <v>1</v>
      </c>
      <c r="L13769">
        <v>356</v>
      </c>
      <c r="M13769">
        <v>1</v>
      </c>
      <c r="N13769">
        <v>8.3923500000000003E-179</v>
      </c>
      <c r="O13769">
        <v>1607</v>
      </c>
    </row>
    <row r="13770" spans="1:15" x14ac:dyDescent="0.25">
      <c r="A13770" t="s">
        <v>13783</v>
      </c>
      <c r="B13770">
        <v>386</v>
      </c>
      <c r="C13770" s="1" t="str">
        <f>HYPERLINK("http://www.rosaceae.org/gb/gbrowse/malus_x_domestica/?name=MDP0000211134","MDP0000211134")</f>
        <v>MDP0000211134</v>
      </c>
      <c r="D13770">
        <v>42.55</v>
      </c>
      <c r="E13770">
        <v>376</v>
      </c>
      <c r="F13770">
        <v>216</v>
      </c>
      <c r="G13770">
        <v>13</v>
      </c>
      <c r="H13770">
        <v>19</v>
      </c>
      <c r="I13770">
        <v>386</v>
      </c>
      <c r="J13770">
        <v>1</v>
      </c>
      <c r="K13770">
        <v>1</v>
      </c>
      <c r="L13770">
        <v>371</v>
      </c>
      <c r="M13770">
        <v>1</v>
      </c>
      <c r="N13770">
        <v>1.0399699999999999E-73</v>
      </c>
      <c r="O13770">
        <v>701</v>
      </c>
    </row>
    <row r="13771" spans="1:15" x14ac:dyDescent="0.25">
      <c r="A13771" t="s">
        <v>13784</v>
      </c>
      <c r="B13771">
        <v>304</v>
      </c>
      <c r="C13771" s="1" t="str">
        <f>HYPERLINK("http://www.rosaceae.org/gb/gbrowse/malus_x_domestica/?name=MDP0000220519","MDP0000220519")</f>
        <v>MDP0000220519</v>
      </c>
      <c r="D13771">
        <v>61.42</v>
      </c>
      <c r="E13771">
        <v>70</v>
      </c>
      <c r="F13771">
        <v>27</v>
      </c>
      <c r="G13771">
        <v>0</v>
      </c>
      <c r="H13771">
        <v>92</v>
      </c>
      <c r="I13771">
        <v>161</v>
      </c>
      <c r="J13771">
        <v>1</v>
      </c>
      <c r="K13771">
        <v>45</v>
      </c>
      <c r="L13771">
        <v>114</v>
      </c>
      <c r="M13771">
        <v>1</v>
      </c>
      <c r="N13771">
        <v>1.58829E-15</v>
      </c>
      <c r="O13771">
        <v>198</v>
      </c>
    </row>
    <row r="13772" spans="1:15" x14ac:dyDescent="0.25">
      <c r="A13772" t="s">
        <v>13785</v>
      </c>
      <c r="B13772">
        <v>699</v>
      </c>
      <c r="C13772" s="1" t="str">
        <f>HYPERLINK("http://www.rosaceae.org/gb/gbrowse/malus_x_domestica/?name=MDP0000292097","MDP0000292097")</f>
        <v>MDP0000292097</v>
      </c>
      <c r="D13772">
        <v>55.64</v>
      </c>
      <c r="E13772">
        <v>505</v>
      </c>
      <c r="F13772">
        <v>224</v>
      </c>
      <c r="G13772">
        <v>61</v>
      </c>
      <c r="H13772">
        <v>1</v>
      </c>
      <c r="I13772">
        <v>501</v>
      </c>
      <c r="J13772">
        <v>1</v>
      </c>
      <c r="K13772">
        <v>98</v>
      </c>
      <c r="L13772">
        <v>545</v>
      </c>
      <c r="M13772">
        <v>1</v>
      </c>
      <c r="N13772">
        <v>1.3485599999999999E-139</v>
      </c>
      <c r="O13772">
        <v>1272</v>
      </c>
    </row>
    <row r="13773" spans="1:15" x14ac:dyDescent="0.25">
      <c r="A13773" t="s">
        <v>13786</v>
      </c>
      <c r="B13773">
        <v>852</v>
      </c>
      <c r="C13773" s="1" t="str">
        <f>HYPERLINK("http://www.rosaceae.org/gb/gbrowse/malus_x_domestica/?name=MDP0000145781","MDP0000145781")</f>
        <v>MDP0000145781</v>
      </c>
      <c r="D13773">
        <v>49.33</v>
      </c>
      <c r="E13773">
        <v>75</v>
      </c>
      <c r="F13773">
        <v>38</v>
      </c>
      <c r="G13773">
        <v>5</v>
      </c>
      <c r="H13773">
        <v>1</v>
      </c>
      <c r="I13773">
        <v>73</v>
      </c>
      <c r="J13773">
        <v>1</v>
      </c>
      <c r="K13773">
        <v>1</v>
      </c>
      <c r="L13773">
        <v>72</v>
      </c>
      <c r="M13773">
        <v>1</v>
      </c>
      <c r="N13773">
        <v>2.83108E-11</v>
      </c>
      <c r="O13773">
        <v>166</v>
      </c>
    </row>
    <row r="13774" spans="1:15" x14ac:dyDescent="0.25">
      <c r="A13774" t="s">
        <v>13787</v>
      </c>
      <c r="B13774">
        <v>283</v>
      </c>
      <c r="C13774" s="1" t="str">
        <f>HYPERLINK("http://www.rosaceae.org/gb/gbrowse/malus_x_domestica/?name=MDP0000397306","MDP0000397306")</f>
        <v>MDP0000397306</v>
      </c>
      <c r="D13774">
        <v>68.11</v>
      </c>
      <c r="E13774">
        <v>207</v>
      </c>
      <c r="F13774">
        <v>66</v>
      </c>
      <c r="G13774">
        <v>2</v>
      </c>
      <c r="H13774">
        <v>3</v>
      </c>
      <c r="I13774">
        <v>209</v>
      </c>
      <c r="J13774">
        <v>1</v>
      </c>
      <c r="K13774">
        <v>2</v>
      </c>
      <c r="L13774">
        <v>206</v>
      </c>
      <c r="M13774">
        <v>1</v>
      </c>
      <c r="N13774">
        <v>8.9237099999999994E-73</v>
      </c>
      <c r="O13774">
        <v>691</v>
      </c>
    </row>
    <row r="13775" spans="1:15" x14ac:dyDescent="0.25">
      <c r="A13775" t="s">
        <v>13788</v>
      </c>
      <c r="B13775">
        <v>305</v>
      </c>
      <c r="C13775" s="1" t="str">
        <f>HYPERLINK("http://www.rosaceae.org/gb/gbrowse/malus_x_domestica/?name=MDP0000916479","MDP0000916479")</f>
        <v>MDP0000916479</v>
      </c>
      <c r="D13775">
        <v>26</v>
      </c>
      <c r="E13775">
        <v>150</v>
      </c>
      <c r="F13775">
        <v>111</v>
      </c>
      <c r="G13775">
        <v>4</v>
      </c>
      <c r="H13775">
        <v>150</v>
      </c>
      <c r="I13775">
        <v>299</v>
      </c>
      <c r="J13775">
        <v>1</v>
      </c>
      <c r="K13775">
        <v>52</v>
      </c>
      <c r="L13775">
        <v>197</v>
      </c>
      <c r="M13775">
        <v>1</v>
      </c>
      <c r="N13775">
        <v>1.2144699999999999E-8</v>
      </c>
      <c r="O13775">
        <v>139</v>
      </c>
    </row>
    <row r="13776" spans="1:15" x14ac:dyDescent="0.25">
      <c r="A13776" t="s">
        <v>13789</v>
      </c>
      <c r="B13776">
        <v>1081</v>
      </c>
      <c r="C13776" s="1" t="str">
        <f>HYPERLINK("http://www.rosaceae.org/gb/gbrowse/malus_x_domestica/?name=MDP0000197803","MDP0000197803")</f>
        <v>MDP0000197803</v>
      </c>
      <c r="D13776">
        <v>71.28</v>
      </c>
      <c r="E13776">
        <v>1111</v>
      </c>
      <c r="F13776">
        <v>319</v>
      </c>
      <c r="G13776">
        <v>41</v>
      </c>
      <c r="H13776">
        <v>1</v>
      </c>
      <c r="I13776">
        <v>1081</v>
      </c>
      <c r="J13776">
        <v>1</v>
      </c>
      <c r="K13776">
        <v>1</v>
      </c>
      <c r="L13776">
        <v>1100</v>
      </c>
      <c r="M13776">
        <v>1</v>
      </c>
      <c r="N13776">
        <v>0</v>
      </c>
      <c r="O13776">
        <v>3902</v>
      </c>
    </row>
    <row r="13777" spans="1:15" x14ac:dyDescent="0.25">
      <c r="A13777" t="s">
        <v>13790</v>
      </c>
      <c r="B13777">
        <v>486</v>
      </c>
      <c r="C13777" s="1" t="str">
        <f>HYPERLINK("http://www.rosaceae.org/gb/gbrowse/malus_x_domestica/?name=MDP0000139824","MDP0000139824")</f>
        <v>MDP0000139824</v>
      </c>
      <c r="D13777">
        <v>78.040000000000006</v>
      </c>
      <c r="E13777">
        <v>492</v>
      </c>
      <c r="F13777">
        <v>108</v>
      </c>
      <c r="G13777">
        <v>7</v>
      </c>
      <c r="H13777">
        <v>1</v>
      </c>
      <c r="I13777">
        <v>486</v>
      </c>
      <c r="J13777">
        <v>1</v>
      </c>
      <c r="K13777">
        <v>731</v>
      </c>
      <c r="L13777">
        <v>1221</v>
      </c>
      <c r="M13777">
        <v>1</v>
      </c>
      <c r="N13777">
        <v>0</v>
      </c>
      <c r="O13777">
        <v>1990</v>
      </c>
    </row>
    <row r="13778" spans="1:15" x14ac:dyDescent="0.25">
      <c r="A13778" t="s">
        <v>13791</v>
      </c>
      <c r="B13778">
        <v>227</v>
      </c>
      <c r="C13778" s="1" t="str">
        <f>HYPERLINK("http://www.rosaceae.org/gb/gbrowse/malus_x_domestica/?name=MDP0000167283","MDP0000167283")</f>
        <v>MDP0000167283</v>
      </c>
      <c r="D13778">
        <v>50</v>
      </c>
      <c r="E13778">
        <v>80</v>
      </c>
      <c r="F13778">
        <v>40</v>
      </c>
      <c r="G13778">
        <v>14</v>
      </c>
      <c r="H13778">
        <v>46</v>
      </c>
      <c r="I13778">
        <v>111</v>
      </c>
      <c r="J13778">
        <v>1</v>
      </c>
      <c r="K13778">
        <v>25</v>
      </c>
      <c r="L13778">
        <v>104</v>
      </c>
      <c r="M13778">
        <v>1</v>
      </c>
      <c r="N13778">
        <v>1.17072E-11</v>
      </c>
      <c r="O13778">
        <v>163</v>
      </c>
    </row>
    <row r="13779" spans="1:15" x14ac:dyDescent="0.25">
      <c r="A13779" t="s">
        <v>13792</v>
      </c>
      <c r="B13779">
        <v>325</v>
      </c>
      <c r="C13779" s="1" t="str">
        <f>HYPERLINK("http://www.rosaceae.org/gb/gbrowse/malus_x_domestica/?name=MDP0000171994","MDP0000171994")</f>
        <v>MDP0000171994</v>
      </c>
      <c r="D13779">
        <v>43.71</v>
      </c>
      <c r="E13779">
        <v>318</v>
      </c>
      <c r="F13779">
        <v>179</v>
      </c>
      <c r="G13779">
        <v>84</v>
      </c>
      <c r="H13779">
        <v>42</v>
      </c>
      <c r="I13779">
        <v>295</v>
      </c>
      <c r="J13779">
        <v>1</v>
      </c>
      <c r="K13779">
        <v>28</v>
      </c>
      <c r="L13779">
        <v>325</v>
      </c>
      <c r="M13779">
        <v>1</v>
      </c>
      <c r="N13779">
        <v>2.6594200000000001E-48</v>
      </c>
      <c r="O13779">
        <v>481</v>
      </c>
    </row>
    <row r="13780" spans="1:15" x14ac:dyDescent="0.25">
      <c r="A13780" t="s">
        <v>13793</v>
      </c>
      <c r="B13780">
        <v>515</v>
      </c>
      <c r="C13780" s="1" t="str">
        <f>HYPERLINK("http://www.rosaceae.org/gb/gbrowse/malus_x_domestica/?name=MDP0000238381","MDP0000238381")</f>
        <v>MDP0000238381</v>
      </c>
      <c r="D13780">
        <v>68.75</v>
      </c>
      <c r="E13780">
        <v>544</v>
      </c>
      <c r="F13780">
        <v>170</v>
      </c>
      <c r="G13780">
        <v>39</v>
      </c>
      <c r="H13780">
        <v>1</v>
      </c>
      <c r="I13780">
        <v>515</v>
      </c>
      <c r="J13780">
        <v>1</v>
      </c>
      <c r="K13780">
        <v>1</v>
      </c>
      <c r="L13780">
        <v>534</v>
      </c>
      <c r="M13780">
        <v>1</v>
      </c>
      <c r="N13780">
        <v>0</v>
      </c>
      <c r="O13780">
        <v>1866</v>
      </c>
    </row>
    <row r="13781" spans="1:15" x14ac:dyDescent="0.25">
      <c r="A13781" t="s">
        <v>13794</v>
      </c>
      <c r="B13781">
        <v>276</v>
      </c>
      <c r="C13781" s="1" t="str">
        <f>HYPERLINK("http://www.rosaceae.org/gb/gbrowse/malus_x_domestica/?name=MDP0000886900","MDP0000886900")</f>
        <v>MDP0000886900</v>
      </c>
      <c r="D13781">
        <v>51.72</v>
      </c>
      <c r="E13781">
        <v>290</v>
      </c>
      <c r="F13781">
        <v>140</v>
      </c>
      <c r="G13781">
        <v>16</v>
      </c>
      <c r="H13781">
        <v>1</v>
      </c>
      <c r="I13781">
        <v>275</v>
      </c>
      <c r="J13781">
        <v>1</v>
      </c>
      <c r="K13781">
        <v>1</v>
      </c>
      <c r="L13781">
        <v>289</v>
      </c>
      <c r="M13781">
        <v>1</v>
      </c>
      <c r="N13781">
        <v>1.3109699999999999E-77</v>
      </c>
      <c r="O13781">
        <v>733</v>
      </c>
    </row>
    <row r="13782" spans="1:15" x14ac:dyDescent="0.25">
      <c r="A13782" t="s">
        <v>13795</v>
      </c>
      <c r="B13782">
        <v>721</v>
      </c>
      <c r="C13782" s="1" t="str">
        <f>HYPERLINK("http://www.rosaceae.org/gb/gbrowse/malus_x_domestica/?name=MDP0000217952","MDP0000217952")</f>
        <v>MDP0000217952</v>
      </c>
      <c r="D13782">
        <v>81.260000000000005</v>
      </c>
      <c r="E13782">
        <v>347</v>
      </c>
      <c r="F13782">
        <v>65</v>
      </c>
      <c r="G13782">
        <v>2</v>
      </c>
      <c r="H13782">
        <v>1</v>
      </c>
      <c r="I13782">
        <v>345</v>
      </c>
      <c r="J13782">
        <v>1</v>
      </c>
      <c r="K13782">
        <v>1</v>
      </c>
      <c r="L13782">
        <v>347</v>
      </c>
      <c r="M13782">
        <v>1</v>
      </c>
      <c r="N13782">
        <v>3.66327E-167</v>
      </c>
      <c r="O13782">
        <v>1510</v>
      </c>
    </row>
    <row r="13783" spans="1:15" x14ac:dyDescent="0.25">
      <c r="A13783" t="s">
        <v>13796</v>
      </c>
      <c r="B13783">
        <v>229</v>
      </c>
      <c r="C13783" s="1" t="str">
        <f>HYPERLINK("http://www.rosaceae.org/gb/gbrowse/malus_x_domestica/?name=MDP0000292031","MDP0000292031")</f>
        <v>MDP0000292031</v>
      </c>
      <c r="D13783">
        <v>75.209999999999994</v>
      </c>
      <c r="E13783">
        <v>230</v>
      </c>
      <c r="F13783">
        <v>57</v>
      </c>
      <c r="G13783">
        <v>6</v>
      </c>
      <c r="H13783">
        <v>1</v>
      </c>
      <c r="I13783">
        <v>229</v>
      </c>
      <c r="J13783">
        <v>1</v>
      </c>
      <c r="K13783">
        <v>1</v>
      </c>
      <c r="L13783">
        <v>225</v>
      </c>
      <c r="M13783">
        <v>1</v>
      </c>
      <c r="N13783">
        <v>2.7631000000000001E-96</v>
      </c>
      <c r="O13783">
        <v>893</v>
      </c>
    </row>
    <row r="13784" spans="1:15" x14ac:dyDescent="0.25">
      <c r="A13784" t="s">
        <v>13797</v>
      </c>
      <c r="B13784">
        <v>311</v>
      </c>
      <c r="C13784" s="1" t="str">
        <f>HYPERLINK("http://www.rosaceae.org/gb/gbrowse/malus_x_domestica/?name=MDP0000161955","MDP0000161955")</f>
        <v>MDP0000161955</v>
      </c>
      <c r="D13784">
        <v>45.98</v>
      </c>
      <c r="E13784">
        <v>274</v>
      </c>
      <c r="F13784">
        <v>148</v>
      </c>
      <c r="G13784">
        <v>67</v>
      </c>
      <c r="H13784">
        <v>30</v>
      </c>
      <c r="I13784">
        <v>298</v>
      </c>
      <c r="J13784">
        <v>1</v>
      </c>
      <c r="K13784">
        <v>19</v>
      </c>
      <c r="L13784">
        <v>230</v>
      </c>
      <c r="M13784">
        <v>1</v>
      </c>
      <c r="N13784">
        <v>1.35456E-49</v>
      </c>
      <c r="O13784">
        <v>492</v>
      </c>
    </row>
    <row r="13785" spans="1:15" x14ac:dyDescent="0.25">
      <c r="A13785" t="s">
        <v>13798</v>
      </c>
      <c r="B13785">
        <v>255</v>
      </c>
      <c r="C13785" s="1" t="str">
        <f>HYPERLINK("http://www.rosaceae.org/gb/gbrowse/malus_x_domestica/?name=MDP0000521389","MDP0000521389")</f>
        <v>MDP0000521389</v>
      </c>
      <c r="D13785">
        <v>38.36</v>
      </c>
      <c r="E13785">
        <v>232</v>
      </c>
      <c r="F13785">
        <v>143</v>
      </c>
      <c r="G13785">
        <v>18</v>
      </c>
      <c r="H13785">
        <v>24</v>
      </c>
      <c r="I13785">
        <v>250</v>
      </c>
      <c r="J13785">
        <v>1</v>
      </c>
      <c r="K13785">
        <v>390</v>
      </c>
      <c r="L13785">
        <v>608</v>
      </c>
      <c r="M13785">
        <v>1</v>
      </c>
      <c r="N13785">
        <v>1.64828E-30</v>
      </c>
      <c r="O13785">
        <v>326</v>
      </c>
    </row>
    <row r="13786" spans="1:15" x14ac:dyDescent="0.25">
      <c r="A13786" t="s">
        <v>13799</v>
      </c>
      <c r="B13786">
        <v>422</v>
      </c>
      <c r="C13786" s="1" t="str">
        <f>HYPERLINK("http://www.rosaceae.org/gb/gbrowse/malus_x_domestica/?name=MDP0000224892","MDP0000224892")</f>
        <v>MDP0000224892</v>
      </c>
      <c r="D13786">
        <v>63.08</v>
      </c>
      <c r="E13786">
        <v>382</v>
      </c>
      <c r="F13786">
        <v>141</v>
      </c>
      <c r="G13786">
        <v>51</v>
      </c>
      <c r="H13786">
        <v>44</v>
      </c>
      <c r="I13786">
        <v>395</v>
      </c>
      <c r="J13786">
        <v>1</v>
      </c>
      <c r="K13786">
        <v>77</v>
      </c>
      <c r="L13786">
        <v>437</v>
      </c>
      <c r="M13786">
        <v>1</v>
      </c>
      <c r="N13786">
        <v>8.2938899999999997E-124</v>
      </c>
      <c r="O13786">
        <v>1133</v>
      </c>
    </row>
    <row r="13787" spans="1:15" x14ac:dyDescent="0.25">
      <c r="A13787" t="s">
        <v>13800</v>
      </c>
      <c r="B13787">
        <v>524</v>
      </c>
      <c r="C13787" s="1" t="str">
        <f>HYPERLINK("http://www.rosaceae.org/gb/gbrowse/malus_x_domestica/?name=MDP0000876630","MDP0000876630")</f>
        <v>MDP0000876630</v>
      </c>
      <c r="D13787">
        <v>77.8</v>
      </c>
      <c r="E13787">
        <v>482</v>
      </c>
      <c r="F13787">
        <v>107</v>
      </c>
      <c r="G13787">
        <v>10</v>
      </c>
      <c r="H13787">
        <v>38</v>
      </c>
      <c r="I13787">
        <v>510</v>
      </c>
      <c r="J13787">
        <v>1</v>
      </c>
      <c r="K13787">
        <v>3</v>
      </c>
      <c r="L13787">
        <v>483</v>
      </c>
      <c r="M13787">
        <v>1</v>
      </c>
      <c r="N13787">
        <v>0</v>
      </c>
      <c r="O13787">
        <v>1946</v>
      </c>
    </row>
    <row r="13788" spans="1:15" x14ac:dyDescent="0.25">
      <c r="A13788" t="s">
        <v>13801</v>
      </c>
      <c r="B13788">
        <v>984</v>
      </c>
      <c r="C13788" s="1" t="str">
        <f>HYPERLINK("http://www.rosaceae.org/gb/gbrowse/malus_x_domestica/?name=MDP0000244520","MDP0000244520")</f>
        <v>MDP0000244520</v>
      </c>
      <c r="D13788">
        <v>44.1</v>
      </c>
      <c r="E13788">
        <v>730</v>
      </c>
      <c r="F13788">
        <v>408</v>
      </c>
      <c r="G13788">
        <v>127</v>
      </c>
      <c r="H13788">
        <v>291</v>
      </c>
      <c r="I13788">
        <v>969</v>
      </c>
      <c r="J13788">
        <v>1</v>
      </c>
      <c r="K13788">
        <v>41</v>
      </c>
      <c r="L13788">
        <v>694</v>
      </c>
      <c r="M13788">
        <v>1</v>
      </c>
      <c r="N13788">
        <v>8.2923400000000004E-134</v>
      </c>
      <c r="O13788">
        <v>1223</v>
      </c>
    </row>
    <row r="13789" spans="1:15" x14ac:dyDescent="0.25">
      <c r="A13789" t="s">
        <v>13802</v>
      </c>
      <c r="B13789">
        <v>437</v>
      </c>
      <c r="C13789" s="1" t="str">
        <f>HYPERLINK("http://www.rosaceae.org/gb/gbrowse/malus_x_domestica/?name=MDP0000911376","MDP0000911376")</f>
        <v>MDP0000911376</v>
      </c>
      <c r="D13789">
        <v>78.92</v>
      </c>
      <c r="E13789">
        <v>299</v>
      </c>
      <c r="F13789">
        <v>63</v>
      </c>
      <c r="G13789">
        <v>0</v>
      </c>
      <c r="H13789">
        <v>139</v>
      </c>
      <c r="I13789">
        <v>437</v>
      </c>
      <c r="J13789">
        <v>1</v>
      </c>
      <c r="K13789">
        <v>1</v>
      </c>
      <c r="L13789">
        <v>299</v>
      </c>
      <c r="M13789">
        <v>1</v>
      </c>
      <c r="N13789">
        <v>1.1290599999999999E-140</v>
      </c>
      <c r="O13789">
        <v>1279</v>
      </c>
    </row>
    <row r="13790" spans="1:15" x14ac:dyDescent="0.25">
      <c r="A13790" t="s">
        <v>13803</v>
      </c>
      <c r="B13790">
        <v>394</v>
      </c>
      <c r="C13790" s="1" t="str">
        <f>HYPERLINK("http://www.rosaceae.org/gb/gbrowse/malus_x_domestica/?name=MDP0000143004","MDP0000143004")</f>
        <v>MDP0000143004</v>
      </c>
      <c r="D13790">
        <v>77.72</v>
      </c>
      <c r="E13790">
        <v>404</v>
      </c>
      <c r="F13790">
        <v>90</v>
      </c>
      <c r="G13790">
        <v>23</v>
      </c>
      <c r="H13790">
        <v>1</v>
      </c>
      <c r="I13790">
        <v>393</v>
      </c>
      <c r="J13790">
        <v>1</v>
      </c>
      <c r="K13790">
        <v>1</v>
      </c>
      <c r="L13790">
        <v>392</v>
      </c>
      <c r="M13790">
        <v>1</v>
      </c>
      <c r="N13790">
        <v>2.9237700000000001E-177</v>
      </c>
      <c r="O13790">
        <v>1594</v>
      </c>
    </row>
    <row r="13791" spans="1:15" x14ac:dyDescent="0.25">
      <c r="A13791" t="s">
        <v>13804</v>
      </c>
      <c r="B13791">
        <v>532</v>
      </c>
      <c r="C13791" s="1" t="str">
        <f>HYPERLINK("http://www.rosaceae.org/gb/gbrowse/malus_x_domestica/?name=MDP0000568858","MDP0000568858")</f>
        <v>MDP0000568858</v>
      </c>
      <c r="D13791">
        <v>27.6</v>
      </c>
      <c r="E13791">
        <v>460</v>
      </c>
      <c r="F13791">
        <v>333</v>
      </c>
      <c r="G13791">
        <v>42</v>
      </c>
      <c r="H13791">
        <v>34</v>
      </c>
      <c r="I13791">
        <v>459</v>
      </c>
      <c r="J13791">
        <v>1</v>
      </c>
      <c r="K13791">
        <v>39</v>
      </c>
      <c r="L13791">
        <v>490</v>
      </c>
      <c r="M13791">
        <v>1</v>
      </c>
      <c r="N13791">
        <v>3.2956799999999999E-36</v>
      </c>
      <c r="O13791">
        <v>379</v>
      </c>
    </row>
    <row r="13792" spans="1:15" x14ac:dyDescent="0.25">
      <c r="A13792" t="s">
        <v>13805</v>
      </c>
      <c r="B13792">
        <v>336</v>
      </c>
      <c r="C13792" s="1" t="str">
        <f>HYPERLINK("http://www.rosaceae.org/gb/gbrowse/malus_x_domestica/?name=MDP0000231712","MDP0000231712")</f>
        <v>MDP0000231712</v>
      </c>
      <c r="D13792">
        <v>60.91</v>
      </c>
      <c r="E13792">
        <v>284</v>
      </c>
      <c r="F13792">
        <v>111</v>
      </c>
      <c r="G13792">
        <v>42</v>
      </c>
      <c r="H13792">
        <v>1</v>
      </c>
      <c r="I13792">
        <v>255</v>
      </c>
      <c r="J13792">
        <v>1</v>
      </c>
      <c r="K13792">
        <v>1</v>
      </c>
      <c r="L13792">
        <v>271</v>
      </c>
      <c r="M13792">
        <v>1</v>
      </c>
      <c r="N13792">
        <v>7.7859499999999999E-79</v>
      </c>
      <c r="O13792">
        <v>744</v>
      </c>
    </row>
    <row r="13793" spans="1:15" x14ac:dyDescent="0.25">
      <c r="A13793" t="s">
        <v>13806</v>
      </c>
      <c r="B13793">
        <v>460</v>
      </c>
      <c r="C13793" s="1" t="str">
        <f>HYPERLINK("http://www.rosaceae.org/gb/gbrowse/malus_x_domestica/?name=MDP0000282535","MDP0000282535")</f>
        <v>MDP0000282535</v>
      </c>
      <c r="D13793">
        <v>61.13</v>
      </c>
      <c r="E13793">
        <v>476</v>
      </c>
      <c r="F13793">
        <v>185</v>
      </c>
      <c r="G13793">
        <v>58</v>
      </c>
      <c r="H13793">
        <v>11</v>
      </c>
      <c r="I13793">
        <v>429</v>
      </c>
      <c r="J13793">
        <v>1</v>
      </c>
      <c r="K13793">
        <v>27</v>
      </c>
      <c r="L13793">
        <v>501</v>
      </c>
      <c r="M13793">
        <v>1</v>
      </c>
      <c r="N13793">
        <v>1.1661999999999999E-151</v>
      </c>
      <c r="O13793">
        <v>1374</v>
      </c>
    </row>
    <row r="13794" spans="1:15" x14ac:dyDescent="0.25">
      <c r="A13794" t="s">
        <v>13807</v>
      </c>
      <c r="B13794">
        <v>110</v>
      </c>
      <c r="C13794" s="1" t="str">
        <f>HYPERLINK("http://www.rosaceae.org/gb/gbrowse/malus_x_domestica/?name=MDP0000563788","MDP0000563788")</f>
        <v>MDP0000563788</v>
      </c>
      <c r="D13794">
        <v>68.569999999999993</v>
      </c>
      <c r="E13794">
        <v>70</v>
      </c>
      <c r="F13794">
        <v>22</v>
      </c>
      <c r="G13794">
        <v>2</v>
      </c>
      <c r="H13794">
        <v>30</v>
      </c>
      <c r="I13794">
        <v>97</v>
      </c>
      <c r="J13794">
        <v>1</v>
      </c>
      <c r="K13794">
        <v>284</v>
      </c>
      <c r="L13794">
        <v>353</v>
      </c>
      <c r="M13794">
        <v>1</v>
      </c>
      <c r="N13794">
        <v>3.5377700000000001E-21</v>
      </c>
      <c r="O13794">
        <v>240</v>
      </c>
    </row>
    <row r="13795" spans="1:15" x14ac:dyDescent="0.25">
      <c r="A13795" t="s">
        <v>13808</v>
      </c>
      <c r="B13795">
        <v>248</v>
      </c>
      <c r="C13795" s="1" t="str">
        <f>HYPERLINK("http://www.rosaceae.org/gb/gbrowse/malus_x_domestica/?name=MDP0000836660","MDP0000836660")</f>
        <v>MDP0000836660</v>
      </c>
      <c r="D13795">
        <v>41.86</v>
      </c>
      <c r="E13795">
        <v>258</v>
      </c>
      <c r="F13795">
        <v>150</v>
      </c>
      <c r="G13795">
        <v>18</v>
      </c>
      <c r="H13795">
        <v>8</v>
      </c>
      <c r="I13795">
        <v>248</v>
      </c>
      <c r="J13795">
        <v>1</v>
      </c>
      <c r="K13795">
        <v>4</v>
      </c>
      <c r="L13795">
        <v>260</v>
      </c>
      <c r="M13795">
        <v>1</v>
      </c>
      <c r="N13795">
        <v>2.2607500000000001E-46</v>
      </c>
      <c r="O13795">
        <v>463</v>
      </c>
    </row>
    <row r="13796" spans="1:15" x14ac:dyDescent="0.25">
      <c r="A13796" t="s">
        <v>13809</v>
      </c>
      <c r="B13796">
        <v>1222</v>
      </c>
      <c r="C13796" s="1" t="str">
        <f>HYPERLINK("http://www.rosaceae.org/gb/gbrowse/malus_x_domestica/?name=MDP0000247921","MDP0000247921")</f>
        <v>MDP0000247921</v>
      </c>
      <c r="D13796">
        <v>29.27</v>
      </c>
      <c r="E13796">
        <v>509</v>
      </c>
      <c r="F13796">
        <v>360</v>
      </c>
      <c r="G13796">
        <v>56</v>
      </c>
      <c r="H13796">
        <v>703</v>
      </c>
      <c r="I13796">
        <v>1197</v>
      </c>
      <c r="J13796">
        <v>1</v>
      </c>
      <c r="K13796">
        <v>661</v>
      </c>
      <c r="L13796">
        <v>1127</v>
      </c>
      <c r="M13796">
        <v>1</v>
      </c>
      <c r="N13796">
        <v>2.2923299999999999E-45</v>
      </c>
      <c r="O13796">
        <v>461</v>
      </c>
    </row>
    <row r="13797" spans="1:15" x14ac:dyDescent="0.25">
      <c r="A13797" t="s">
        <v>13810</v>
      </c>
      <c r="B13797">
        <v>552</v>
      </c>
      <c r="C13797" s="1" t="str">
        <f>HYPERLINK("http://www.rosaceae.org/gb/gbrowse/malus_x_domestica/?name=MDP0000262805","MDP0000262805")</f>
        <v>MDP0000262805</v>
      </c>
      <c r="D13797">
        <v>46.83</v>
      </c>
      <c r="E13797">
        <v>348</v>
      </c>
      <c r="F13797">
        <v>185</v>
      </c>
      <c r="G13797">
        <v>56</v>
      </c>
      <c r="H13797">
        <v>1</v>
      </c>
      <c r="I13797">
        <v>348</v>
      </c>
      <c r="J13797">
        <v>1</v>
      </c>
      <c r="K13797">
        <v>1</v>
      </c>
      <c r="L13797">
        <v>292</v>
      </c>
      <c r="M13797">
        <v>1</v>
      </c>
      <c r="N13797">
        <v>3.9334999999999999E-74</v>
      </c>
      <c r="O13797">
        <v>706</v>
      </c>
    </row>
    <row r="13798" spans="1:15" x14ac:dyDescent="0.25">
      <c r="A13798" t="s">
        <v>13811</v>
      </c>
      <c r="B13798">
        <v>220</v>
      </c>
      <c r="C13798" s="1" t="str">
        <f>HYPERLINK("http://www.rosaceae.org/gb/gbrowse/malus_x_domestica/?name=MDP0000670228","MDP0000670228")</f>
        <v>MDP0000670228</v>
      </c>
      <c r="D13798">
        <v>36.409999999999997</v>
      </c>
      <c r="E13798">
        <v>162</v>
      </c>
      <c r="F13798">
        <v>103</v>
      </c>
      <c r="G13798">
        <v>29</v>
      </c>
      <c r="H13798">
        <v>85</v>
      </c>
      <c r="I13798">
        <v>217</v>
      </c>
      <c r="J13798">
        <v>1</v>
      </c>
      <c r="K13798">
        <v>146</v>
      </c>
      <c r="L13798">
        <v>307</v>
      </c>
      <c r="M13798">
        <v>1</v>
      </c>
      <c r="N13798">
        <v>8.4882100000000002E-17</v>
      </c>
      <c r="O13798">
        <v>207</v>
      </c>
    </row>
    <row r="13799" spans="1:15" x14ac:dyDescent="0.25">
      <c r="A13799" t="s">
        <v>13812</v>
      </c>
      <c r="B13799">
        <v>576</v>
      </c>
      <c r="C13799" s="1" t="str">
        <f>HYPERLINK("http://www.rosaceae.org/gb/gbrowse/malus_x_domestica/?name=MDP0000171553","MDP0000171553")</f>
        <v>MDP0000171553</v>
      </c>
      <c r="D13799">
        <v>53.68</v>
      </c>
      <c r="E13799">
        <v>380</v>
      </c>
      <c r="F13799">
        <v>176</v>
      </c>
      <c r="G13799">
        <v>18</v>
      </c>
      <c r="H13799">
        <v>200</v>
      </c>
      <c r="I13799">
        <v>561</v>
      </c>
      <c r="J13799">
        <v>1</v>
      </c>
      <c r="K13799">
        <v>159</v>
      </c>
      <c r="L13799">
        <v>538</v>
      </c>
      <c r="M13799">
        <v>1</v>
      </c>
      <c r="N13799">
        <v>5.8374899999999998E-111</v>
      </c>
      <c r="O13799">
        <v>1024</v>
      </c>
    </row>
    <row r="13800" spans="1:15" x14ac:dyDescent="0.25">
      <c r="A13800" t="s">
        <v>13813</v>
      </c>
      <c r="B13800">
        <v>340</v>
      </c>
      <c r="C13800" s="1" t="str">
        <f>HYPERLINK("http://www.rosaceae.org/gb/gbrowse/malus_x_domestica/?name=MDP0000298659","MDP0000298659")</f>
        <v>MDP0000298659</v>
      </c>
      <c r="D13800">
        <v>65.52</v>
      </c>
      <c r="E13800">
        <v>351</v>
      </c>
      <c r="F13800">
        <v>121</v>
      </c>
      <c r="G13800">
        <v>31</v>
      </c>
      <c r="H13800">
        <v>1</v>
      </c>
      <c r="I13800">
        <v>340</v>
      </c>
      <c r="J13800">
        <v>1</v>
      </c>
      <c r="K13800">
        <v>1</v>
      </c>
      <c r="L13800">
        <v>331</v>
      </c>
      <c r="M13800">
        <v>1</v>
      </c>
      <c r="N13800">
        <v>1.8178600000000001E-119</v>
      </c>
      <c r="O13800">
        <v>1095</v>
      </c>
    </row>
    <row r="13801" spans="1:15" x14ac:dyDescent="0.25">
      <c r="A13801" t="s">
        <v>13814</v>
      </c>
      <c r="B13801">
        <v>559</v>
      </c>
      <c r="C13801" s="1" t="str">
        <f>HYPERLINK("http://www.rosaceae.org/gb/gbrowse/malus_x_domestica/?name=MDP0000308157","MDP0000308157")</f>
        <v>MDP0000308157</v>
      </c>
      <c r="D13801">
        <v>80.59</v>
      </c>
      <c r="E13801">
        <v>536</v>
      </c>
      <c r="F13801">
        <v>104</v>
      </c>
      <c r="G13801">
        <v>10</v>
      </c>
      <c r="H13801">
        <v>28</v>
      </c>
      <c r="I13801">
        <v>559</v>
      </c>
      <c r="J13801">
        <v>1</v>
      </c>
      <c r="K13801">
        <v>37</v>
      </c>
      <c r="L13801">
        <v>566</v>
      </c>
      <c r="M13801">
        <v>1</v>
      </c>
      <c r="N13801">
        <v>0</v>
      </c>
      <c r="O13801">
        <v>2274</v>
      </c>
    </row>
    <row r="13802" spans="1:15" x14ac:dyDescent="0.25">
      <c r="A13802" t="s">
        <v>13815</v>
      </c>
      <c r="B13802">
        <v>163</v>
      </c>
      <c r="C13802" s="1" t="str">
        <f>HYPERLINK("http://www.rosaceae.org/gb/gbrowse/malus_x_domestica/?name=MDP0000277510","MDP0000277510")</f>
        <v>MDP0000277510</v>
      </c>
      <c r="D13802">
        <v>59.03</v>
      </c>
      <c r="E13802">
        <v>166</v>
      </c>
      <c r="F13802">
        <v>68</v>
      </c>
      <c r="G13802">
        <v>7</v>
      </c>
      <c r="H13802">
        <v>1</v>
      </c>
      <c r="I13802">
        <v>159</v>
      </c>
      <c r="J13802">
        <v>1</v>
      </c>
      <c r="K13802">
        <v>1</v>
      </c>
      <c r="L13802">
        <v>166</v>
      </c>
      <c r="M13802">
        <v>1</v>
      </c>
      <c r="N13802">
        <v>4.9097500000000002E-54</v>
      </c>
      <c r="O13802">
        <v>526</v>
      </c>
    </row>
    <row r="13803" spans="1:15" x14ac:dyDescent="0.25">
      <c r="A13803" t="s">
        <v>13816</v>
      </c>
      <c r="B13803">
        <v>270</v>
      </c>
      <c r="C13803" s="1" t="str">
        <f>HYPERLINK("http://www.rosaceae.org/gb/gbrowse/malus_x_domestica/?name=MDP0000387787","MDP0000387787")</f>
        <v>MDP0000387787</v>
      </c>
      <c r="D13803">
        <v>72.3</v>
      </c>
      <c r="E13803">
        <v>278</v>
      </c>
      <c r="F13803">
        <v>77</v>
      </c>
      <c r="G13803">
        <v>27</v>
      </c>
      <c r="H13803">
        <v>1</v>
      </c>
      <c r="I13803">
        <v>270</v>
      </c>
      <c r="J13803">
        <v>1</v>
      </c>
      <c r="K13803">
        <v>1</v>
      </c>
      <c r="L13803">
        <v>259</v>
      </c>
      <c r="M13803">
        <v>1</v>
      </c>
      <c r="N13803">
        <v>1.4720700000000001E-103</v>
      </c>
      <c r="O13803">
        <v>956</v>
      </c>
    </row>
    <row r="13804" spans="1:15" x14ac:dyDescent="0.25">
      <c r="A13804" t="s">
        <v>13817</v>
      </c>
      <c r="B13804">
        <v>188</v>
      </c>
      <c r="C13804" s="1" t="str">
        <f>HYPERLINK("http://www.rosaceae.org/gb/gbrowse/malus_x_domestica/?name=MDP0000667723","MDP0000667723")</f>
        <v>MDP0000667723</v>
      </c>
      <c r="D13804">
        <v>76.52</v>
      </c>
      <c r="E13804">
        <v>115</v>
      </c>
      <c r="F13804">
        <v>27</v>
      </c>
      <c r="G13804">
        <v>3</v>
      </c>
      <c r="H13804">
        <v>77</v>
      </c>
      <c r="I13804">
        <v>188</v>
      </c>
      <c r="J13804">
        <v>1</v>
      </c>
      <c r="K13804">
        <v>82</v>
      </c>
      <c r="L13804">
        <v>196</v>
      </c>
      <c r="M13804">
        <v>1</v>
      </c>
      <c r="N13804">
        <v>6.5438700000000002E-43</v>
      </c>
      <c r="O13804">
        <v>431</v>
      </c>
    </row>
    <row r="13805" spans="1:15" x14ac:dyDescent="0.25">
      <c r="A13805" t="s">
        <v>13818</v>
      </c>
      <c r="B13805">
        <v>666</v>
      </c>
      <c r="C13805" s="1" t="str">
        <f>HYPERLINK("http://www.rosaceae.org/gb/gbrowse/malus_x_domestica/?name=MDP0000263165","MDP0000263165")</f>
        <v>MDP0000263165</v>
      </c>
      <c r="D13805">
        <v>71.69</v>
      </c>
      <c r="E13805">
        <v>583</v>
      </c>
      <c r="F13805">
        <v>165</v>
      </c>
      <c r="G13805">
        <v>32</v>
      </c>
      <c r="H13805">
        <v>76</v>
      </c>
      <c r="I13805">
        <v>656</v>
      </c>
      <c r="J13805">
        <v>1</v>
      </c>
      <c r="K13805">
        <v>1098</v>
      </c>
      <c r="L13805">
        <v>1650</v>
      </c>
      <c r="M13805">
        <v>1</v>
      </c>
      <c r="N13805">
        <v>0</v>
      </c>
      <c r="O13805">
        <v>2141</v>
      </c>
    </row>
    <row r="13806" spans="1:15" x14ac:dyDescent="0.25">
      <c r="A13806" t="s">
        <v>13819</v>
      </c>
      <c r="B13806">
        <v>212</v>
      </c>
      <c r="C13806" s="1" t="str">
        <f>HYPERLINK("http://www.rosaceae.org/gb/gbrowse/malus_x_domestica/?name=MDP0000692967","MDP0000692967")</f>
        <v>MDP0000692967</v>
      </c>
      <c r="D13806">
        <v>78.260000000000005</v>
      </c>
      <c r="E13806">
        <v>46</v>
      </c>
      <c r="F13806">
        <v>10</v>
      </c>
      <c r="G13806">
        <v>0</v>
      </c>
      <c r="H13806">
        <v>162</v>
      </c>
      <c r="I13806">
        <v>207</v>
      </c>
      <c r="J13806">
        <v>1</v>
      </c>
      <c r="K13806">
        <v>330</v>
      </c>
      <c r="L13806">
        <v>375</v>
      </c>
      <c r="M13806">
        <v>1</v>
      </c>
      <c r="N13806">
        <v>9.3720400000000007E-15</v>
      </c>
      <c r="O13806">
        <v>189</v>
      </c>
    </row>
    <row r="13807" spans="1:15" x14ac:dyDescent="0.25">
      <c r="A13807" t="s">
        <v>13820</v>
      </c>
      <c r="B13807">
        <v>1290</v>
      </c>
      <c r="C13807" s="1" t="str">
        <f>HYPERLINK("http://www.rosaceae.org/gb/gbrowse/malus_x_domestica/?name=MDP0000149195","MDP0000149195")</f>
        <v>MDP0000149195</v>
      </c>
      <c r="D13807">
        <v>52.54</v>
      </c>
      <c r="E13807">
        <v>1041</v>
      </c>
      <c r="F13807">
        <v>494</v>
      </c>
      <c r="G13807">
        <v>140</v>
      </c>
      <c r="H13807">
        <v>1</v>
      </c>
      <c r="I13807">
        <v>939</v>
      </c>
      <c r="J13807">
        <v>1</v>
      </c>
      <c r="K13807">
        <v>1</v>
      </c>
      <c r="L13807">
        <v>1003</v>
      </c>
      <c r="M13807">
        <v>1</v>
      </c>
      <c r="N13807">
        <v>0</v>
      </c>
      <c r="O13807">
        <v>2427</v>
      </c>
    </row>
    <row r="13808" spans="1:15" x14ac:dyDescent="0.25">
      <c r="A13808" t="s">
        <v>13821</v>
      </c>
      <c r="B13808">
        <v>1007</v>
      </c>
      <c r="C13808" s="1" t="str">
        <f>HYPERLINK("http://www.rosaceae.org/gb/gbrowse/malus_x_domestica/?name=MDP0000298245","MDP0000298245")</f>
        <v>MDP0000298245</v>
      </c>
      <c r="D13808">
        <v>70.209999999999994</v>
      </c>
      <c r="E13808">
        <v>1071</v>
      </c>
      <c r="F13808">
        <v>319</v>
      </c>
      <c r="G13808">
        <v>131</v>
      </c>
      <c r="H13808">
        <v>2</v>
      </c>
      <c r="I13808">
        <v>1007</v>
      </c>
      <c r="J13808">
        <v>1</v>
      </c>
      <c r="K13808">
        <v>4</v>
      </c>
      <c r="L13808">
        <v>1008</v>
      </c>
      <c r="M13808">
        <v>1</v>
      </c>
      <c r="N13808">
        <v>0</v>
      </c>
      <c r="O13808">
        <v>3735</v>
      </c>
    </row>
    <row r="13809" spans="1:15" x14ac:dyDescent="0.25">
      <c r="A13809" t="s">
        <v>13822</v>
      </c>
      <c r="B13809">
        <v>305</v>
      </c>
      <c r="C13809" s="1" t="str">
        <f>HYPERLINK("http://www.rosaceae.org/gb/gbrowse/malus_x_domestica/?name=MDP0000401899","MDP0000401899")</f>
        <v>MDP0000401899</v>
      </c>
      <c r="D13809">
        <v>75.34</v>
      </c>
      <c r="E13809">
        <v>288</v>
      </c>
      <c r="F13809">
        <v>71</v>
      </c>
      <c r="G13809">
        <v>0</v>
      </c>
      <c r="H13809">
        <v>1</v>
      </c>
      <c r="I13809">
        <v>288</v>
      </c>
      <c r="J13809">
        <v>1</v>
      </c>
      <c r="K13809">
        <v>1</v>
      </c>
      <c r="L13809">
        <v>288</v>
      </c>
      <c r="M13809">
        <v>1</v>
      </c>
      <c r="N13809">
        <v>1.13543E-125</v>
      </c>
      <c r="O13809">
        <v>1148</v>
      </c>
    </row>
    <row r="13810" spans="1:15" x14ac:dyDescent="0.25">
      <c r="A13810" t="s">
        <v>13823</v>
      </c>
      <c r="B13810">
        <v>861</v>
      </c>
      <c r="C13810" s="1" t="str">
        <f>HYPERLINK("http://www.rosaceae.org/gb/gbrowse/malus_x_domestica/?name=MDP0000198536","MDP0000198536")</f>
        <v>MDP0000198536</v>
      </c>
      <c r="D13810">
        <v>72.7</v>
      </c>
      <c r="E13810">
        <v>872</v>
      </c>
      <c r="F13810">
        <v>238</v>
      </c>
      <c r="G13810">
        <v>18</v>
      </c>
      <c r="H13810">
        <v>5</v>
      </c>
      <c r="I13810">
        <v>860</v>
      </c>
      <c r="J13810">
        <v>1</v>
      </c>
      <c r="K13810">
        <v>10</v>
      </c>
      <c r="L13810">
        <v>879</v>
      </c>
      <c r="M13810">
        <v>1</v>
      </c>
      <c r="N13810">
        <v>0</v>
      </c>
      <c r="O13810">
        <v>3314</v>
      </c>
    </row>
    <row r="13811" spans="1:15" x14ac:dyDescent="0.25">
      <c r="A13811" t="s">
        <v>13824</v>
      </c>
      <c r="B13811">
        <v>146</v>
      </c>
      <c r="C13811" s="1" t="str">
        <f>HYPERLINK("http://www.rosaceae.org/gb/gbrowse/malus_x_domestica/?name=MDP0000262974","MDP0000262974")</f>
        <v>MDP0000262974</v>
      </c>
      <c r="D13811">
        <v>81.7</v>
      </c>
      <c r="E13811">
        <v>82</v>
      </c>
      <c r="F13811">
        <v>15</v>
      </c>
      <c r="G13811">
        <v>0</v>
      </c>
      <c r="H13811">
        <v>59</v>
      </c>
      <c r="I13811">
        <v>140</v>
      </c>
      <c r="J13811">
        <v>1</v>
      </c>
      <c r="K13811">
        <v>1</v>
      </c>
      <c r="L13811">
        <v>82</v>
      </c>
      <c r="M13811">
        <v>1</v>
      </c>
      <c r="N13811">
        <v>1.5132400000000001E-35</v>
      </c>
      <c r="O13811">
        <v>366</v>
      </c>
    </row>
    <row r="13812" spans="1:15" x14ac:dyDescent="0.25">
      <c r="A13812" t="s">
        <v>13825</v>
      </c>
      <c r="B13812">
        <v>493</v>
      </c>
      <c r="C13812" s="1" t="str">
        <f>HYPERLINK("http://www.rosaceae.org/gb/gbrowse/malus_x_domestica/?name=MDP0000285302","MDP0000285302")</f>
        <v>MDP0000285302</v>
      </c>
      <c r="D13812">
        <v>77.900000000000006</v>
      </c>
      <c r="E13812">
        <v>181</v>
      </c>
      <c r="F13812">
        <v>40</v>
      </c>
      <c r="G13812">
        <v>2</v>
      </c>
      <c r="H13812">
        <v>32</v>
      </c>
      <c r="I13812">
        <v>210</v>
      </c>
      <c r="J13812">
        <v>1</v>
      </c>
      <c r="K13812">
        <v>1128</v>
      </c>
      <c r="L13812">
        <v>1308</v>
      </c>
      <c r="M13812">
        <v>1</v>
      </c>
      <c r="N13812">
        <v>1.02548E-75</v>
      </c>
      <c r="O13812">
        <v>719</v>
      </c>
    </row>
    <row r="13813" spans="1:15" x14ac:dyDescent="0.25">
      <c r="A13813" t="s">
        <v>13826</v>
      </c>
      <c r="B13813">
        <v>789</v>
      </c>
      <c r="C13813" s="1" t="str">
        <f>HYPERLINK("http://www.rosaceae.org/gb/gbrowse/malus_x_domestica/?name=MDP0000252210","MDP0000252210")</f>
        <v>MDP0000252210</v>
      </c>
      <c r="D13813">
        <v>72.239999999999995</v>
      </c>
      <c r="E13813">
        <v>807</v>
      </c>
      <c r="F13813">
        <v>224</v>
      </c>
      <c r="G13813">
        <v>28</v>
      </c>
      <c r="H13813">
        <v>1</v>
      </c>
      <c r="I13813">
        <v>789</v>
      </c>
      <c r="J13813">
        <v>1</v>
      </c>
      <c r="K13813">
        <v>1</v>
      </c>
      <c r="L13813">
        <v>797</v>
      </c>
      <c r="M13813">
        <v>1</v>
      </c>
      <c r="N13813">
        <v>0</v>
      </c>
      <c r="O13813">
        <v>2883</v>
      </c>
    </row>
    <row r="13814" spans="1:15" x14ac:dyDescent="0.25">
      <c r="A13814" t="s">
        <v>13827</v>
      </c>
      <c r="B13814">
        <v>328</v>
      </c>
      <c r="C13814" s="1" t="str">
        <f>HYPERLINK("http://www.rosaceae.org/gb/gbrowse/malus_x_domestica/?name=MDP0000852477","MDP0000852477")</f>
        <v>MDP0000852477</v>
      </c>
      <c r="D13814">
        <v>79.510000000000005</v>
      </c>
      <c r="E13814">
        <v>332</v>
      </c>
      <c r="F13814">
        <v>68</v>
      </c>
      <c r="G13814">
        <v>4</v>
      </c>
      <c r="H13814">
        <v>1</v>
      </c>
      <c r="I13814">
        <v>328</v>
      </c>
      <c r="J13814">
        <v>1</v>
      </c>
      <c r="K13814">
        <v>1</v>
      </c>
      <c r="L13814">
        <v>332</v>
      </c>
      <c r="M13814">
        <v>1</v>
      </c>
      <c r="N13814">
        <v>8.7118200000000006E-146</v>
      </c>
      <c r="O13814">
        <v>1322</v>
      </c>
    </row>
    <row r="13815" spans="1:15" x14ac:dyDescent="0.25">
      <c r="A13815" t="s">
        <v>13828</v>
      </c>
      <c r="B13815">
        <v>700</v>
      </c>
      <c r="C13815" s="1" t="str">
        <f>HYPERLINK("http://www.rosaceae.org/gb/gbrowse/malus_x_domestica/?name=MDP0000194023","MDP0000194023")</f>
        <v>MDP0000194023</v>
      </c>
      <c r="D13815">
        <v>47.43</v>
      </c>
      <c r="E13815">
        <v>839</v>
      </c>
      <c r="F13815">
        <v>441</v>
      </c>
      <c r="G13815">
        <v>183</v>
      </c>
      <c r="H13815">
        <v>1</v>
      </c>
      <c r="I13815">
        <v>682</v>
      </c>
      <c r="J13815">
        <v>1</v>
      </c>
      <c r="K13815">
        <v>1</v>
      </c>
      <c r="L13815">
        <v>813</v>
      </c>
      <c r="M13815">
        <v>1</v>
      </c>
      <c r="N13815">
        <v>0</v>
      </c>
      <c r="O13815">
        <v>1632</v>
      </c>
    </row>
    <row r="13816" spans="1:15" x14ac:dyDescent="0.25">
      <c r="A13816" t="s">
        <v>13829</v>
      </c>
      <c r="B13816">
        <v>280</v>
      </c>
      <c r="C13816" s="1" t="str">
        <f>HYPERLINK("http://www.rosaceae.org/gb/gbrowse/malus_x_domestica/?name=MDP0000751143","MDP0000751143")</f>
        <v>MDP0000751143</v>
      </c>
      <c r="D13816">
        <v>55.97</v>
      </c>
      <c r="E13816">
        <v>184</v>
      </c>
      <c r="F13816">
        <v>81</v>
      </c>
      <c r="G13816">
        <v>18</v>
      </c>
      <c r="H13816">
        <v>71</v>
      </c>
      <c r="I13816">
        <v>237</v>
      </c>
      <c r="J13816">
        <v>1</v>
      </c>
      <c r="K13816">
        <v>191</v>
      </c>
      <c r="L13816">
        <v>373</v>
      </c>
      <c r="M13816">
        <v>1</v>
      </c>
      <c r="N13816">
        <v>3.3522500000000001E-54</v>
      </c>
      <c r="O13816">
        <v>531</v>
      </c>
    </row>
    <row r="13817" spans="1:15" x14ac:dyDescent="0.25">
      <c r="A13817" t="s">
        <v>13830</v>
      </c>
      <c r="B13817">
        <v>544</v>
      </c>
      <c r="C13817" s="1" t="str">
        <f>HYPERLINK("http://www.rosaceae.org/gb/gbrowse/malus_x_domestica/?name=MDP0000281935","MDP0000281935")</f>
        <v>MDP0000281935</v>
      </c>
      <c r="D13817">
        <v>57.93</v>
      </c>
      <c r="E13817">
        <v>580</v>
      </c>
      <c r="F13817">
        <v>244</v>
      </c>
      <c r="G13817">
        <v>66</v>
      </c>
      <c r="H13817">
        <v>1</v>
      </c>
      <c r="I13817">
        <v>544</v>
      </c>
      <c r="J13817">
        <v>1</v>
      </c>
      <c r="K13817">
        <v>49</v>
      </c>
      <c r="L13817">
        <v>598</v>
      </c>
      <c r="M13817">
        <v>1</v>
      </c>
      <c r="N13817">
        <v>1.09142E-174</v>
      </c>
      <c r="O13817">
        <v>1573</v>
      </c>
    </row>
    <row r="13818" spans="1:15" x14ac:dyDescent="0.25">
      <c r="A13818" t="s">
        <v>13831</v>
      </c>
      <c r="B13818">
        <v>587</v>
      </c>
      <c r="C13818" s="1" t="str">
        <f>HYPERLINK("http://www.rosaceae.org/gb/gbrowse/malus_x_domestica/?name=MDP0000320714","MDP0000320714")</f>
        <v>MDP0000320714</v>
      </c>
      <c r="D13818">
        <v>50.8</v>
      </c>
      <c r="E13818">
        <v>500</v>
      </c>
      <c r="F13818">
        <v>246</v>
      </c>
      <c r="G13818">
        <v>31</v>
      </c>
      <c r="H13818">
        <v>89</v>
      </c>
      <c r="I13818">
        <v>574</v>
      </c>
      <c r="J13818">
        <v>1</v>
      </c>
      <c r="K13818">
        <v>53</v>
      </c>
      <c r="L13818">
        <v>535</v>
      </c>
      <c r="M13818">
        <v>1</v>
      </c>
      <c r="N13818">
        <v>1.9403199999999999E-134</v>
      </c>
      <c r="O13818">
        <v>1227</v>
      </c>
    </row>
    <row r="13819" spans="1:15" x14ac:dyDescent="0.25">
      <c r="A13819" t="s">
        <v>13832</v>
      </c>
      <c r="B13819">
        <v>196</v>
      </c>
      <c r="C13819" s="1" t="str">
        <f>HYPERLINK("http://www.rosaceae.org/gb/gbrowse/malus_x_domestica/?name=MDP0000121177","MDP0000121177")</f>
        <v>MDP0000121177</v>
      </c>
      <c r="D13819">
        <v>48.71</v>
      </c>
      <c r="E13819">
        <v>117</v>
      </c>
      <c r="F13819">
        <v>60</v>
      </c>
      <c r="G13819">
        <v>21</v>
      </c>
      <c r="H13819">
        <v>25</v>
      </c>
      <c r="I13819">
        <v>125</v>
      </c>
      <c r="J13819">
        <v>1</v>
      </c>
      <c r="K13819">
        <v>22</v>
      </c>
      <c r="L13819">
        <v>133</v>
      </c>
      <c r="M13819">
        <v>1</v>
      </c>
      <c r="N13819">
        <v>2.7328600000000001E-17</v>
      </c>
      <c r="O13819">
        <v>211</v>
      </c>
    </row>
    <row r="13820" spans="1:15" x14ac:dyDescent="0.25">
      <c r="A13820" t="s">
        <v>13833</v>
      </c>
      <c r="B13820">
        <v>514</v>
      </c>
      <c r="C13820" s="1" t="str">
        <f>HYPERLINK("http://www.rosaceae.org/gb/gbrowse/malus_x_domestica/?name=MDP0000854530","MDP0000854530")</f>
        <v>MDP0000854530</v>
      </c>
      <c r="D13820">
        <v>79.3</v>
      </c>
      <c r="E13820">
        <v>343</v>
      </c>
      <c r="F13820">
        <v>71</v>
      </c>
      <c r="G13820">
        <v>2</v>
      </c>
      <c r="H13820">
        <v>174</v>
      </c>
      <c r="I13820">
        <v>514</v>
      </c>
      <c r="J13820">
        <v>1</v>
      </c>
      <c r="K13820">
        <v>25</v>
      </c>
      <c r="L13820">
        <v>367</v>
      </c>
      <c r="M13820">
        <v>1</v>
      </c>
      <c r="N13820">
        <v>1.7795900000000001E-170</v>
      </c>
      <c r="O13820">
        <v>1537</v>
      </c>
    </row>
    <row r="13821" spans="1:15" x14ac:dyDescent="0.25">
      <c r="A13821" t="s">
        <v>13834</v>
      </c>
      <c r="B13821">
        <v>328</v>
      </c>
      <c r="C13821" s="1" t="str">
        <f>HYPERLINK("http://www.rosaceae.org/gb/gbrowse/malus_x_domestica/?name=MDP0000406379","MDP0000406379")</f>
        <v>MDP0000406379</v>
      </c>
      <c r="D13821">
        <v>58.79</v>
      </c>
      <c r="E13821">
        <v>182</v>
      </c>
      <c r="F13821">
        <v>75</v>
      </c>
      <c r="G13821">
        <v>1</v>
      </c>
      <c r="H13821">
        <v>101</v>
      </c>
      <c r="I13821">
        <v>281</v>
      </c>
      <c r="J13821">
        <v>1</v>
      </c>
      <c r="K13821">
        <v>220</v>
      </c>
      <c r="L13821">
        <v>401</v>
      </c>
      <c r="M13821">
        <v>1</v>
      </c>
      <c r="N13821">
        <v>8.1650300000000004E-53</v>
      </c>
      <c r="O13821">
        <v>520</v>
      </c>
    </row>
    <row r="13822" spans="1:15" x14ac:dyDescent="0.25">
      <c r="A13822" t="s">
        <v>13835</v>
      </c>
      <c r="B13822">
        <v>107</v>
      </c>
      <c r="C13822" s="1" t="str">
        <f>HYPERLINK("http://www.rosaceae.org/gb/gbrowse/malus_x_domestica/?name=MDP0000254462","MDP0000254462")</f>
        <v>MDP0000254462</v>
      </c>
      <c r="D13822">
        <v>81.98</v>
      </c>
      <c r="E13822">
        <v>111</v>
      </c>
      <c r="F13822">
        <v>20</v>
      </c>
      <c r="G13822">
        <v>4</v>
      </c>
      <c r="H13822">
        <v>1</v>
      </c>
      <c r="I13822">
        <v>107</v>
      </c>
      <c r="J13822">
        <v>1</v>
      </c>
      <c r="K13822">
        <v>1</v>
      </c>
      <c r="L13822">
        <v>111</v>
      </c>
      <c r="M13822">
        <v>1</v>
      </c>
      <c r="N13822">
        <v>9.9846300000000003E-46</v>
      </c>
      <c r="O13822">
        <v>452</v>
      </c>
    </row>
    <row r="13823" spans="1:15" x14ac:dyDescent="0.25">
      <c r="A13823" t="s">
        <v>13836</v>
      </c>
      <c r="B13823">
        <v>378</v>
      </c>
      <c r="C13823" s="1" t="str">
        <f>HYPERLINK("http://www.rosaceae.org/gb/gbrowse/malus_x_domestica/?name=MDP0000138668","MDP0000138668")</f>
        <v>MDP0000138668</v>
      </c>
      <c r="D13823">
        <v>75.06</v>
      </c>
      <c r="E13823">
        <v>377</v>
      </c>
      <c r="F13823">
        <v>94</v>
      </c>
      <c r="G13823">
        <v>49</v>
      </c>
      <c r="H13823">
        <v>1</v>
      </c>
      <c r="I13823">
        <v>377</v>
      </c>
      <c r="J13823">
        <v>1</v>
      </c>
      <c r="K13823">
        <v>1</v>
      </c>
      <c r="L13823">
        <v>328</v>
      </c>
      <c r="M13823">
        <v>1</v>
      </c>
      <c r="N13823">
        <v>4.3919799999999999E-156</v>
      </c>
      <c r="O13823">
        <v>1411</v>
      </c>
    </row>
    <row r="13824" spans="1:15" x14ac:dyDescent="0.25">
      <c r="A13824" t="s">
        <v>13837</v>
      </c>
      <c r="B13824">
        <v>882</v>
      </c>
      <c r="C13824" s="1" t="str">
        <f>HYPERLINK("http://www.rosaceae.org/gb/gbrowse/malus_x_domestica/?name=MDP0000126666","MDP0000126666")</f>
        <v>MDP0000126666</v>
      </c>
      <c r="D13824">
        <v>52.68</v>
      </c>
      <c r="E13824">
        <v>279</v>
      </c>
      <c r="F13824">
        <v>132</v>
      </c>
      <c r="G13824">
        <v>34</v>
      </c>
      <c r="H13824">
        <v>305</v>
      </c>
      <c r="I13824">
        <v>583</v>
      </c>
      <c r="J13824">
        <v>1</v>
      </c>
      <c r="K13824">
        <v>1</v>
      </c>
      <c r="L13824">
        <v>245</v>
      </c>
      <c r="M13824">
        <v>1</v>
      </c>
      <c r="N13824">
        <v>8.1350399999999999E-76</v>
      </c>
      <c r="O13824">
        <v>723</v>
      </c>
    </row>
    <row r="13825" spans="1:15" x14ac:dyDescent="0.25">
      <c r="A13825" t="s">
        <v>13838</v>
      </c>
      <c r="B13825">
        <v>410</v>
      </c>
      <c r="C13825" s="1" t="str">
        <f>HYPERLINK("http://www.rosaceae.org/gb/gbrowse/malus_x_domestica/?name=MDP0000199588","MDP0000199588")</f>
        <v>MDP0000199588</v>
      </c>
      <c r="D13825">
        <v>69.38</v>
      </c>
      <c r="E13825">
        <v>405</v>
      </c>
      <c r="F13825">
        <v>124</v>
      </c>
      <c r="G13825">
        <v>9</v>
      </c>
      <c r="H13825">
        <v>3</v>
      </c>
      <c r="I13825">
        <v>401</v>
      </c>
      <c r="J13825">
        <v>1</v>
      </c>
      <c r="K13825">
        <v>2</v>
      </c>
      <c r="L13825">
        <v>403</v>
      </c>
      <c r="M13825">
        <v>1</v>
      </c>
      <c r="N13825">
        <v>3.3126500000000001E-163</v>
      </c>
      <c r="O13825">
        <v>1473</v>
      </c>
    </row>
    <row r="13826" spans="1:15" x14ac:dyDescent="0.25">
      <c r="A13826" t="s">
        <v>13839</v>
      </c>
      <c r="B13826">
        <v>482</v>
      </c>
      <c r="C13826" s="1" t="str">
        <f>HYPERLINK("http://www.rosaceae.org/gb/gbrowse/malus_x_domestica/?name=MDP0000321049","MDP0000321049")</f>
        <v>MDP0000321049</v>
      </c>
      <c r="D13826">
        <v>51.51</v>
      </c>
      <c r="E13826">
        <v>429</v>
      </c>
      <c r="F13826">
        <v>208</v>
      </c>
      <c r="G13826">
        <v>51</v>
      </c>
      <c r="H13826">
        <v>73</v>
      </c>
      <c r="I13826">
        <v>481</v>
      </c>
      <c r="J13826">
        <v>1</v>
      </c>
      <c r="K13826">
        <v>5</v>
      </c>
      <c r="L13826">
        <v>402</v>
      </c>
      <c r="M13826">
        <v>1</v>
      </c>
      <c r="N13826">
        <v>8.6475000000000003E-97</v>
      </c>
      <c r="O13826">
        <v>901</v>
      </c>
    </row>
    <row r="13827" spans="1:15" x14ac:dyDescent="0.25">
      <c r="A13827" t="s">
        <v>13840</v>
      </c>
      <c r="B13827">
        <v>442</v>
      </c>
      <c r="C13827" s="1" t="str">
        <f>HYPERLINK("http://www.rosaceae.org/gb/gbrowse/malus_x_domestica/?name=MDP0000230407","MDP0000230407")</f>
        <v>MDP0000230407</v>
      </c>
      <c r="D13827">
        <v>84.5</v>
      </c>
      <c r="E13827">
        <v>355</v>
      </c>
      <c r="F13827">
        <v>55</v>
      </c>
      <c r="G13827">
        <v>0</v>
      </c>
      <c r="H13827">
        <v>88</v>
      </c>
      <c r="I13827">
        <v>442</v>
      </c>
      <c r="J13827">
        <v>1</v>
      </c>
      <c r="K13827">
        <v>1</v>
      </c>
      <c r="L13827">
        <v>355</v>
      </c>
      <c r="M13827">
        <v>1</v>
      </c>
      <c r="N13827">
        <v>3.53248E-177</v>
      </c>
      <c r="O13827">
        <v>1594</v>
      </c>
    </row>
    <row r="13828" spans="1:15" x14ac:dyDescent="0.25">
      <c r="A13828" t="s">
        <v>13841</v>
      </c>
      <c r="B13828">
        <v>689</v>
      </c>
      <c r="C13828" s="1" t="str">
        <f>HYPERLINK("http://www.rosaceae.org/gb/gbrowse/malus_x_domestica/?name=MDP0000911425","MDP0000911425")</f>
        <v>MDP0000911425</v>
      </c>
      <c r="D13828">
        <v>64.349999999999994</v>
      </c>
      <c r="E13828">
        <v>693</v>
      </c>
      <c r="F13828">
        <v>247</v>
      </c>
      <c r="G13828">
        <v>17</v>
      </c>
      <c r="H13828">
        <v>3</v>
      </c>
      <c r="I13828">
        <v>689</v>
      </c>
      <c r="J13828">
        <v>1</v>
      </c>
      <c r="K13828">
        <v>5</v>
      </c>
      <c r="L13828">
        <v>686</v>
      </c>
      <c r="M13828">
        <v>1</v>
      </c>
      <c r="N13828">
        <v>0</v>
      </c>
      <c r="O13828">
        <v>2222</v>
      </c>
    </row>
    <row r="13829" spans="1:15" x14ac:dyDescent="0.25">
      <c r="A13829" t="s">
        <v>13842</v>
      </c>
      <c r="B13829">
        <v>301</v>
      </c>
      <c r="C13829" s="1" t="str">
        <f>HYPERLINK("http://www.rosaceae.org/gb/gbrowse/malus_x_domestica/?name=MDP0000204548","MDP0000204548")</f>
        <v>MDP0000204548</v>
      </c>
      <c r="D13829">
        <v>61.9</v>
      </c>
      <c r="E13829">
        <v>336</v>
      </c>
      <c r="F13829">
        <v>128</v>
      </c>
      <c r="G13829">
        <v>39</v>
      </c>
      <c r="H13829">
        <v>1</v>
      </c>
      <c r="I13829">
        <v>301</v>
      </c>
      <c r="J13829">
        <v>1</v>
      </c>
      <c r="K13829">
        <v>216</v>
      </c>
      <c r="L13829">
        <v>547</v>
      </c>
      <c r="M13829">
        <v>1</v>
      </c>
      <c r="N13829">
        <v>1.0453199999999999E-111</v>
      </c>
      <c r="O13829">
        <v>1027</v>
      </c>
    </row>
    <row r="13830" spans="1:15" x14ac:dyDescent="0.25">
      <c r="A13830" t="s">
        <v>13843</v>
      </c>
      <c r="B13830">
        <v>205</v>
      </c>
      <c r="C13830" s="1" t="str">
        <f>HYPERLINK("http://www.rosaceae.org/gb/gbrowse/malus_x_domestica/?name=MDP0000280862","MDP0000280862")</f>
        <v>MDP0000280862</v>
      </c>
      <c r="D13830">
        <v>64.349999999999994</v>
      </c>
      <c r="E13830">
        <v>202</v>
      </c>
      <c r="F13830">
        <v>72</v>
      </c>
      <c r="G13830">
        <v>3</v>
      </c>
      <c r="H13830">
        <v>1</v>
      </c>
      <c r="I13830">
        <v>202</v>
      </c>
      <c r="J13830">
        <v>1</v>
      </c>
      <c r="K13830">
        <v>1</v>
      </c>
      <c r="L13830">
        <v>199</v>
      </c>
      <c r="M13830">
        <v>1</v>
      </c>
      <c r="N13830">
        <v>1.2825600000000001E-64</v>
      </c>
      <c r="O13830">
        <v>619</v>
      </c>
    </row>
    <row r="13831" spans="1:15" x14ac:dyDescent="0.25">
      <c r="A13831" t="s">
        <v>13844</v>
      </c>
      <c r="B13831">
        <v>1033</v>
      </c>
      <c r="C13831" s="1" t="str">
        <f>HYPERLINK("http://www.rosaceae.org/gb/gbrowse/malus_x_domestica/?name=MDP0000284537","MDP0000284537")</f>
        <v>MDP0000284537</v>
      </c>
      <c r="D13831">
        <v>78.319999999999993</v>
      </c>
      <c r="E13831">
        <v>826</v>
      </c>
      <c r="F13831">
        <v>179</v>
      </c>
      <c r="G13831">
        <v>7</v>
      </c>
      <c r="H13831">
        <v>20</v>
      </c>
      <c r="I13831">
        <v>841</v>
      </c>
      <c r="J13831">
        <v>1</v>
      </c>
      <c r="K13831">
        <v>20</v>
      </c>
      <c r="L13831">
        <v>842</v>
      </c>
      <c r="M13831">
        <v>1</v>
      </c>
      <c r="N13831">
        <v>0</v>
      </c>
      <c r="O13831">
        <v>3394</v>
      </c>
    </row>
    <row r="13832" spans="1:15" x14ac:dyDescent="0.25">
      <c r="A13832" t="s">
        <v>13845</v>
      </c>
      <c r="B13832">
        <v>212</v>
      </c>
      <c r="C13832" s="1" t="str">
        <f>HYPERLINK("http://www.rosaceae.org/gb/gbrowse/malus_x_domestica/?name=MDP0000925910","MDP0000925910")</f>
        <v>MDP0000925910</v>
      </c>
      <c r="D13832">
        <v>65.349999999999994</v>
      </c>
      <c r="E13832">
        <v>127</v>
      </c>
      <c r="F13832">
        <v>44</v>
      </c>
      <c r="G13832">
        <v>2</v>
      </c>
      <c r="H13832">
        <v>1</v>
      </c>
      <c r="I13832">
        <v>127</v>
      </c>
      <c r="J13832">
        <v>1</v>
      </c>
      <c r="K13832">
        <v>1</v>
      </c>
      <c r="L13832">
        <v>125</v>
      </c>
      <c r="M13832">
        <v>1</v>
      </c>
      <c r="N13832">
        <v>1.1854899999999999E-38</v>
      </c>
      <c r="O13832">
        <v>395</v>
      </c>
    </row>
    <row r="13833" spans="1:15" x14ac:dyDescent="0.25">
      <c r="A13833" t="s">
        <v>13846</v>
      </c>
      <c r="B13833">
        <v>1116</v>
      </c>
      <c r="C13833" s="1" t="str">
        <f>HYPERLINK("http://www.rosaceae.org/gb/gbrowse/malus_x_domestica/?name=MDP0000793656","MDP0000793656")</f>
        <v>MDP0000793656</v>
      </c>
      <c r="D13833">
        <v>89.71</v>
      </c>
      <c r="E13833">
        <v>690</v>
      </c>
      <c r="F13833">
        <v>71</v>
      </c>
      <c r="G13833">
        <v>1</v>
      </c>
      <c r="H13833">
        <v>426</v>
      </c>
      <c r="I13833">
        <v>1115</v>
      </c>
      <c r="J13833">
        <v>1</v>
      </c>
      <c r="K13833">
        <v>24</v>
      </c>
      <c r="L13833">
        <v>712</v>
      </c>
      <c r="M13833">
        <v>1</v>
      </c>
      <c r="N13833">
        <v>0</v>
      </c>
      <c r="O13833">
        <v>3295</v>
      </c>
    </row>
    <row r="13834" spans="1:15" x14ac:dyDescent="0.25">
      <c r="A13834" t="s">
        <v>13847</v>
      </c>
      <c r="B13834">
        <v>692</v>
      </c>
      <c r="C13834" s="1" t="str">
        <f>HYPERLINK("http://www.rosaceae.org/gb/gbrowse/malus_x_domestica/?name=MDP0000292933","MDP0000292933")</f>
        <v>MDP0000292933</v>
      </c>
      <c r="D13834">
        <v>80.86</v>
      </c>
      <c r="E13834">
        <v>690</v>
      </c>
      <c r="F13834">
        <v>132</v>
      </c>
      <c r="G13834">
        <v>4</v>
      </c>
      <c r="H13834">
        <v>1</v>
      </c>
      <c r="I13834">
        <v>690</v>
      </c>
      <c r="J13834">
        <v>1</v>
      </c>
      <c r="K13834">
        <v>1</v>
      </c>
      <c r="L13834">
        <v>686</v>
      </c>
      <c r="M13834">
        <v>1</v>
      </c>
      <c r="N13834">
        <v>0</v>
      </c>
      <c r="O13834">
        <v>2906</v>
      </c>
    </row>
    <row r="13835" spans="1:15" x14ac:dyDescent="0.25">
      <c r="A13835" t="s">
        <v>13848</v>
      </c>
      <c r="B13835">
        <v>323</v>
      </c>
      <c r="C13835" s="1" t="str">
        <f>HYPERLINK("http://www.rosaceae.org/gb/gbrowse/malus_x_domestica/?name=MDP0000306867","MDP0000306867")</f>
        <v>MDP0000306867</v>
      </c>
      <c r="D13835">
        <v>77.739999999999995</v>
      </c>
      <c r="E13835">
        <v>328</v>
      </c>
      <c r="F13835">
        <v>73</v>
      </c>
      <c r="G13835">
        <v>14</v>
      </c>
      <c r="H13835">
        <v>1</v>
      </c>
      <c r="I13835">
        <v>318</v>
      </c>
      <c r="J13835">
        <v>1</v>
      </c>
      <c r="K13835">
        <v>1</v>
      </c>
      <c r="L13835">
        <v>324</v>
      </c>
      <c r="M13835">
        <v>1</v>
      </c>
      <c r="N13835">
        <v>2.4162099999999999E-146</v>
      </c>
      <c r="O13835">
        <v>1326</v>
      </c>
    </row>
    <row r="13836" spans="1:15" x14ac:dyDescent="0.25">
      <c r="A13836" t="s">
        <v>13849</v>
      </c>
      <c r="B13836">
        <v>197</v>
      </c>
      <c r="C13836" s="1" t="str">
        <f>HYPERLINK("http://www.rosaceae.org/gb/gbrowse/malus_x_domestica/?name=MDP0000557646","MDP0000557646")</f>
        <v>MDP0000557646</v>
      </c>
      <c r="D13836">
        <v>68.959999999999994</v>
      </c>
      <c r="E13836">
        <v>87</v>
      </c>
      <c r="F13836">
        <v>27</v>
      </c>
      <c r="G13836">
        <v>14</v>
      </c>
      <c r="H13836">
        <v>13</v>
      </c>
      <c r="I13836">
        <v>85</v>
      </c>
      <c r="J13836">
        <v>1</v>
      </c>
      <c r="K13836">
        <v>30</v>
      </c>
      <c r="L13836">
        <v>116</v>
      </c>
      <c r="M13836">
        <v>1</v>
      </c>
      <c r="N13836">
        <v>2.8683700000000002E-29</v>
      </c>
      <c r="O13836">
        <v>314</v>
      </c>
    </row>
    <row r="13837" spans="1:15" x14ac:dyDescent="0.25">
      <c r="A13837" t="s">
        <v>13850</v>
      </c>
      <c r="B13837">
        <v>313</v>
      </c>
      <c r="C13837" s="1" t="str">
        <f>HYPERLINK("http://www.rosaceae.org/gb/gbrowse/malus_x_domestica/?name=MDP0000219413","MDP0000219413")</f>
        <v>MDP0000219413</v>
      </c>
      <c r="D13837">
        <v>44.35</v>
      </c>
      <c r="E13837">
        <v>248</v>
      </c>
      <c r="F13837">
        <v>138</v>
      </c>
      <c r="G13837">
        <v>38</v>
      </c>
      <c r="H13837">
        <v>1</v>
      </c>
      <c r="I13837">
        <v>235</v>
      </c>
      <c r="J13837">
        <v>1</v>
      </c>
      <c r="K13837">
        <v>1</v>
      </c>
      <c r="L13837">
        <v>223</v>
      </c>
      <c r="M13837">
        <v>1</v>
      </c>
      <c r="N13837">
        <v>6.6271299999999999E-45</v>
      </c>
      <c r="O13837">
        <v>451</v>
      </c>
    </row>
    <row r="13838" spans="1:15" x14ac:dyDescent="0.25">
      <c r="A13838" t="s">
        <v>13851</v>
      </c>
      <c r="B13838">
        <v>1097</v>
      </c>
      <c r="C13838" s="1" t="str">
        <f>HYPERLINK("http://www.rosaceae.org/gb/gbrowse/malus_x_domestica/?name=MDP0000133479","MDP0000133479")</f>
        <v>MDP0000133479</v>
      </c>
      <c r="D13838">
        <v>73.489999999999995</v>
      </c>
      <c r="E13838">
        <v>864</v>
      </c>
      <c r="F13838">
        <v>229</v>
      </c>
      <c r="G13838">
        <v>9</v>
      </c>
      <c r="H13838">
        <v>1</v>
      </c>
      <c r="I13838">
        <v>858</v>
      </c>
      <c r="J13838">
        <v>1</v>
      </c>
      <c r="K13838">
        <v>1</v>
      </c>
      <c r="L13838">
        <v>861</v>
      </c>
      <c r="M13838">
        <v>1</v>
      </c>
      <c r="N13838">
        <v>0</v>
      </c>
      <c r="O13838">
        <v>3452</v>
      </c>
    </row>
    <row r="13839" spans="1:15" x14ac:dyDescent="0.25">
      <c r="A13839" t="s">
        <v>13852</v>
      </c>
      <c r="B13839">
        <v>624</v>
      </c>
      <c r="C13839" s="1" t="str">
        <f>HYPERLINK("http://www.rosaceae.org/gb/gbrowse/malus_x_domestica/?name=MDP0000231769","MDP0000231769")</f>
        <v>MDP0000231769</v>
      </c>
      <c r="D13839">
        <v>87.01</v>
      </c>
      <c r="E13839">
        <v>624</v>
      </c>
      <c r="F13839">
        <v>81</v>
      </c>
      <c r="G13839">
        <v>0</v>
      </c>
      <c r="H13839">
        <v>1</v>
      </c>
      <c r="I13839">
        <v>624</v>
      </c>
      <c r="J13839">
        <v>1</v>
      </c>
      <c r="K13839">
        <v>14</v>
      </c>
      <c r="L13839">
        <v>637</v>
      </c>
      <c r="M13839">
        <v>1</v>
      </c>
      <c r="N13839">
        <v>0</v>
      </c>
      <c r="O13839">
        <v>2983</v>
      </c>
    </row>
    <row r="13840" spans="1:15" x14ac:dyDescent="0.25">
      <c r="A13840" t="s">
        <v>13853</v>
      </c>
      <c r="B13840">
        <v>212</v>
      </c>
      <c r="C13840" s="1" t="str">
        <f>HYPERLINK("http://www.rosaceae.org/gb/gbrowse/malus_x_domestica/?name=MDP0000288520","MDP0000288520")</f>
        <v>MDP0000288520</v>
      </c>
      <c r="D13840">
        <v>83.7</v>
      </c>
      <c r="E13840">
        <v>178</v>
      </c>
      <c r="F13840">
        <v>29</v>
      </c>
      <c r="G13840">
        <v>0</v>
      </c>
      <c r="H13840">
        <v>4</v>
      </c>
      <c r="I13840">
        <v>181</v>
      </c>
      <c r="J13840">
        <v>1</v>
      </c>
      <c r="K13840">
        <v>8</v>
      </c>
      <c r="L13840">
        <v>185</v>
      </c>
      <c r="M13840">
        <v>1</v>
      </c>
      <c r="N13840">
        <v>5.9015700000000001E-85</v>
      </c>
      <c r="O13840">
        <v>795</v>
      </c>
    </row>
    <row r="13841" spans="1:15" x14ac:dyDescent="0.25">
      <c r="A13841" t="s">
        <v>13854</v>
      </c>
      <c r="B13841">
        <v>543</v>
      </c>
      <c r="C13841" s="1" t="str">
        <f>HYPERLINK("http://www.rosaceae.org/gb/gbrowse/malus_x_domestica/?name=MDP0000185239","MDP0000185239")</f>
        <v>MDP0000185239</v>
      </c>
      <c r="D13841">
        <v>49.4</v>
      </c>
      <c r="E13841">
        <v>587</v>
      </c>
      <c r="F13841">
        <v>297</v>
      </c>
      <c r="G13841">
        <v>106</v>
      </c>
      <c r="H13841">
        <v>1</v>
      </c>
      <c r="I13841">
        <v>543</v>
      </c>
      <c r="J13841">
        <v>1</v>
      </c>
      <c r="K13841">
        <v>1</v>
      </c>
      <c r="L13841">
        <v>525</v>
      </c>
      <c r="M13841">
        <v>1</v>
      </c>
      <c r="N13841">
        <v>3.3940700000000001E-138</v>
      </c>
      <c r="O13841">
        <v>1259</v>
      </c>
    </row>
    <row r="13842" spans="1:15" x14ac:dyDescent="0.25">
      <c r="A13842" t="s">
        <v>13855</v>
      </c>
      <c r="B13842">
        <v>632</v>
      </c>
      <c r="C13842" s="1" t="str">
        <f>HYPERLINK("http://www.rosaceae.org/gb/gbrowse/malus_x_domestica/?name=MDP0000288172","MDP0000288172")</f>
        <v>MDP0000288172</v>
      </c>
      <c r="D13842">
        <v>70.290000000000006</v>
      </c>
      <c r="E13842">
        <v>303</v>
      </c>
      <c r="F13842">
        <v>90</v>
      </c>
      <c r="G13842">
        <v>4</v>
      </c>
      <c r="H13842">
        <v>330</v>
      </c>
      <c r="I13842">
        <v>632</v>
      </c>
      <c r="J13842">
        <v>1</v>
      </c>
      <c r="K13842">
        <v>184</v>
      </c>
      <c r="L13842">
        <v>482</v>
      </c>
      <c r="M13842">
        <v>1</v>
      </c>
      <c r="N13842">
        <v>4.7488300000000002E-129</v>
      </c>
      <c r="O13842">
        <v>1180</v>
      </c>
    </row>
    <row r="13843" spans="1:15" x14ac:dyDescent="0.25">
      <c r="A13843" t="s">
        <v>13856</v>
      </c>
      <c r="B13843">
        <v>928</v>
      </c>
      <c r="C13843" s="1" t="str">
        <f>HYPERLINK("http://www.rosaceae.org/gb/gbrowse/malus_x_domestica/?name=MDP0000321191","MDP0000321191")</f>
        <v>MDP0000321191</v>
      </c>
      <c r="D13843">
        <v>78.31</v>
      </c>
      <c r="E13843">
        <v>913</v>
      </c>
      <c r="F13843">
        <v>198</v>
      </c>
      <c r="G13843">
        <v>18</v>
      </c>
      <c r="H13843">
        <v>32</v>
      </c>
      <c r="I13843">
        <v>928</v>
      </c>
      <c r="J13843">
        <v>1</v>
      </c>
      <c r="K13843">
        <v>423</v>
      </c>
      <c r="L13843">
        <v>1333</v>
      </c>
      <c r="M13843">
        <v>1</v>
      </c>
      <c r="N13843">
        <v>0</v>
      </c>
      <c r="O13843">
        <v>3690</v>
      </c>
    </row>
    <row r="13844" spans="1:15" x14ac:dyDescent="0.25">
      <c r="A13844" t="s">
        <v>13857</v>
      </c>
      <c r="B13844">
        <v>835</v>
      </c>
      <c r="C13844" s="1" t="str">
        <f>HYPERLINK("http://www.rosaceae.org/gb/gbrowse/malus_x_domestica/?name=MDP0000250602","MDP0000250602")</f>
        <v>MDP0000250602</v>
      </c>
      <c r="D13844">
        <v>56.34</v>
      </c>
      <c r="E13844">
        <v>914</v>
      </c>
      <c r="F13844">
        <v>399</v>
      </c>
      <c r="G13844">
        <v>126</v>
      </c>
      <c r="H13844">
        <v>1</v>
      </c>
      <c r="I13844">
        <v>834</v>
      </c>
      <c r="J13844">
        <v>1</v>
      </c>
      <c r="K13844">
        <v>1</v>
      </c>
      <c r="L13844">
        <v>868</v>
      </c>
      <c r="M13844">
        <v>1</v>
      </c>
      <c r="N13844">
        <v>0</v>
      </c>
      <c r="O13844">
        <v>2268</v>
      </c>
    </row>
    <row r="13845" spans="1:15" x14ac:dyDescent="0.25">
      <c r="A13845" t="s">
        <v>13858</v>
      </c>
      <c r="B13845">
        <v>229</v>
      </c>
      <c r="C13845" s="1" t="str">
        <f>HYPERLINK("http://www.rosaceae.org/gb/gbrowse/malus_x_domestica/?name=MDP0000262601","MDP0000262601")</f>
        <v>MDP0000262601</v>
      </c>
      <c r="D13845">
        <v>75.66</v>
      </c>
      <c r="E13845">
        <v>226</v>
      </c>
      <c r="F13845">
        <v>55</v>
      </c>
      <c r="G13845">
        <v>3</v>
      </c>
      <c r="H13845">
        <v>1</v>
      </c>
      <c r="I13845">
        <v>225</v>
      </c>
      <c r="J13845">
        <v>1</v>
      </c>
      <c r="K13845">
        <v>39</v>
      </c>
      <c r="L13845">
        <v>262</v>
      </c>
      <c r="M13845">
        <v>1</v>
      </c>
      <c r="N13845">
        <v>8.9708600000000004E-92</v>
      </c>
      <c r="O13845">
        <v>854</v>
      </c>
    </row>
    <row r="13846" spans="1:15" x14ac:dyDescent="0.25">
      <c r="A13846" t="s">
        <v>13859</v>
      </c>
      <c r="B13846">
        <v>284</v>
      </c>
      <c r="C13846" s="1" t="str">
        <f>HYPERLINK("http://www.rosaceae.org/gb/gbrowse/malus_x_domestica/?name=MDP0000289836","MDP0000289836")</f>
        <v>MDP0000289836</v>
      </c>
      <c r="D13846">
        <v>55.18</v>
      </c>
      <c r="E13846">
        <v>328</v>
      </c>
      <c r="F13846">
        <v>147</v>
      </c>
      <c r="G13846">
        <v>86</v>
      </c>
      <c r="H13846">
        <v>1</v>
      </c>
      <c r="I13846">
        <v>284</v>
      </c>
      <c r="J13846">
        <v>1</v>
      </c>
      <c r="K13846">
        <v>1</v>
      </c>
      <c r="L13846">
        <v>286</v>
      </c>
      <c r="M13846">
        <v>1</v>
      </c>
      <c r="N13846">
        <v>2.1295399999999999E-84</v>
      </c>
      <c r="O13846">
        <v>792</v>
      </c>
    </row>
    <row r="13847" spans="1:15" x14ac:dyDescent="0.25">
      <c r="A13847" t="s">
        <v>13860</v>
      </c>
      <c r="B13847">
        <v>655</v>
      </c>
      <c r="C13847" s="1" t="str">
        <f>HYPERLINK("http://www.rosaceae.org/gb/gbrowse/malus_x_domestica/?name=MDP0000320714","MDP0000320714")</f>
        <v>MDP0000320714</v>
      </c>
      <c r="D13847">
        <v>90.11</v>
      </c>
      <c r="E13847">
        <v>516</v>
      </c>
      <c r="F13847">
        <v>51</v>
      </c>
      <c r="G13847">
        <v>3</v>
      </c>
      <c r="H13847">
        <v>143</v>
      </c>
      <c r="I13847">
        <v>655</v>
      </c>
      <c r="J13847">
        <v>1</v>
      </c>
      <c r="K13847">
        <v>36</v>
      </c>
      <c r="L13847">
        <v>551</v>
      </c>
      <c r="M13847">
        <v>1</v>
      </c>
      <c r="N13847">
        <v>0</v>
      </c>
      <c r="O13847">
        <v>2488</v>
      </c>
    </row>
    <row r="13848" spans="1:15" x14ac:dyDescent="0.25">
      <c r="A13848" t="s">
        <v>13861</v>
      </c>
      <c r="B13848">
        <v>236</v>
      </c>
      <c r="C13848" s="1" t="str">
        <f>HYPERLINK("http://www.rosaceae.org/gb/gbrowse/malus_x_domestica/?name=MDP0000243760","MDP0000243760")</f>
        <v>MDP0000243760</v>
      </c>
      <c r="D13848">
        <v>70.790000000000006</v>
      </c>
      <c r="E13848">
        <v>202</v>
      </c>
      <c r="F13848">
        <v>59</v>
      </c>
      <c r="G13848">
        <v>0</v>
      </c>
      <c r="H13848">
        <v>8</v>
      </c>
      <c r="I13848">
        <v>209</v>
      </c>
      <c r="J13848">
        <v>1</v>
      </c>
      <c r="K13848">
        <v>2</v>
      </c>
      <c r="L13848">
        <v>203</v>
      </c>
      <c r="M13848">
        <v>1</v>
      </c>
      <c r="N13848">
        <v>1.4149E-83</v>
      </c>
      <c r="O13848">
        <v>783</v>
      </c>
    </row>
    <row r="13849" spans="1:15" x14ac:dyDescent="0.25">
      <c r="A13849" t="s">
        <v>13862</v>
      </c>
      <c r="B13849">
        <v>273</v>
      </c>
      <c r="C13849" s="1" t="str">
        <f>HYPERLINK("http://www.rosaceae.org/gb/gbrowse/malus_x_domestica/?name=MDP0000855406","MDP0000855406")</f>
        <v>MDP0000855406</v>
      </c>
      <c r="D13849">
        <v>29.18</v>
      </c>
      <c r="E13849">
        <v>281</v>
      </c>
      <c r="F13849">
        <v>199</v>
      </c>
      <c r="G13849">
        <v>20</v>
      </c>
      <c r="H13849">
        <v>2</v>
      </c>
      <c r="I13849">
        <v>270</v>
      </c>
      <c r="J13849">
        <v>1</v>
      </c>
      <c r="K13849">
        <v>5</v>
      </c>
      <c r="L13849">
        <v>277</v>
      </c>
      <c r="M13849">
        <v>1</v>
      </c>
      <c r="N13849">
        <v>5.0655200000000001E-17</v>
      </c>
      <c r="O13849">
        <v>210</v>
      </c>
    </row>
    <row r="13850" spans="1:15" x14ac:dyDescent="0.25">
      <c r="A13850" t="s">
        <v>13863</v>
      </c>
      <c r="B13850">
        <v>99</v>
      </c>
      <c r="C13850" s="1" t="str">
        <f>HYPERLINK("http://www.rosaceae.org/gb/gbrowse/malus_x_domestica/?name=MDP0000557282","MDP0000557282")</f>
        <v>MDP0000557282</v>
      </c>
      <c r="D13850">
        <v>60.37</v>
      </c>
      <c r="E13850">
        <v>53</v>
      </c>
      <c r="F13850">
        <v>21</v>
      </c>
      <c r="G13850">
        <v>9</v>
      </c>
      <c r="H13850">
        <v>30</v>
      </c>
      <c r="I13850">
        <v>82</v>
      </c>
      <c r="J13850">
        <v>1</v>
      </c>
      <c r="K13850">
        <v>269</v>
      </c>
      <c r="L13850">
        <v>312</v>
      </c>
      <c r="M13850">
        <v>1</v>
      </c>
      <c r="N13850">
        <v>1.0078199999999999E-9</v>
      </c>
      <c r="O13850">
        <v>141</v>
      </c>
    </row>
    <row r="13851" spans="1:15" x14ac:dyDescent="0.25">
      <c r="A13851" t="s">
        <v>13864</v>
      </c>
      <c r="B13851">
        <v>375</v>
      </c>
      <c r="C13851" s="1" t="str">
        <f>HYPERLINK("http://www.rosaceae.org/gb/gbrowse/malus_x_domestica/?name=MDP0000199442","MDP0000199442")</f>
        <v>MDP0000199442</v>
      </c>
      <c r="D13851">
        <v>62.29</v>
      </c>
      <c r="E13851">
        <v>374</v>
      </c>
      <c r="F13851">
        <v>141</v>
      </c>
      <c r="G13851">
        <v>6</v>
      </c>
      <c r="H13851">
        <v>1</v>
      </c>
      <c r="I13851">
        <v>374</v>
      </c>
      <c r="J13851">
        <v>1</v>
      </c>
      <c r="K13851">
        <v>1</v>
      </c>
      <c r="L13851">
        <v>368</v>
      </c>
      <c r="M13851">
        <v>1</v>
      </c>
      <c r="N13851">
        <v>4.72063E-128</v>
      </c>
      <c r="O13851">
        <v>1169</v>
      </c>
    </row>
    <row r="13852" spans="1:15" x14ac:dyDescent="0.25">
      <c r="A13852" t="s">
        <v>13865</v>
      </c>
      <c r="B13852">
        <v>233</v>
      </c>
      <c r="C13852" s="1" t="str">
        <f>HYPERLINK("http://www.rosaceae.org/gb/gbrowse/malus_x_domestica/?name=MDP0000931380","MDP0000931380")</f>
        <v>MDP0000931380</v>
      </c>
      <c r="D13852">
        <v>40</v>
      </c>
      <c r="E13852">
        <v>75</v>
      </c>
      <c r="F13852">
        <v>45</v>
      </c>
      <c r="G13852">
        <v>7</v>
      </c>
      <c r="H13852">
        <v>61</v>
      </c>
      <c r="I13852">
        <v>135</v>
      </c>
      <c r="J13852">
        <v>1</v>
      </c>
      <c r="K13852">
        <v>23</v>
      </c>
      <c r="L13852">
        <v>90</v>
      </c>
      <c r="M13852">
        <v>1</v>
      </c>
      <c r="N13852">
        <v>6.7332999999999996E-7</v>
      </c>
      <c r="O13852">
        <v>122</v>
      </c>
    </row>
    <row r="13853" spans="1:15" x14ac:dyDescent="0.25">
      <c r="A13853" t="s">
        <v>13866</v>
      </c>
      <c r="B13853">
        <v>140</v>
      </c>
      <c r="C13853" s="1" t="str">
        <f>HYPERLINK("http://www.rosaceae.org/gb/gbrowse/malus_x_domestica/?name=MDP0000302597","MDP0000302597")</f>
        <v>MDP0000302597</v>
      </c>
      <c r="D13853">
        <v>84.29</v>
      </c>
      <c r="E13853">
        <v>121</v>
      </c>
      <c r="F13853">
        <v>19</v>
      </c>
      <c r="G13853">
        <v>0</v>
      </c>
      <c r="H13853">
        <v>11</v>
      </c>
      <c r="I13853">
        <v>131</v>
      </c>
      <c r="J13853">
        <v>1</v>
      </c>
      <c r="K13853">
        <v>200</v>
      </c>
      <c r="L13853">
        <v>320</v>
      </c>
      <c r="M13853">
        <v>1</v>
      </c>
      <c r="N13853">
        <v>2.91773E-53</v>
      </c>
      <c r="O13853">
        <v>518</v>
      </c>
    </row>
    <row r="13854" spans="1:15" x14ac:dyDescent="0.25">
      <c r="A13854" t="s">
        <v>13867</v>
      </c>
      <c r="B13854">
        <v>609</v>
      </c>
      <c r="C13854" s="1" t="str">
        <f>HYPERLINK("http://www.rosaceae.org/gb/gbrowse/malus_x_domestica/?name=MDP0000275417","MDP0000275417")</f>
        <v>MDP0000275417</v>
      </c>
      <c r="D13854">
        <v>67.89</v>
      </c>
      <c r="E13854">
        <v>623</v>
      </c>
      <c r="F13854">
        <v>200</v>
      </c>
      <c r="G13854">
        <v>37</v>
      </c>
      <c r="H13854">
        <v>5</v>
      </c>
      <c r="I13854">
        <v>591</v>
      </c>
      <c r="J13854">
        <v>1</v>
      </c>
      <c r="K13854">
        <v>16</v>
      </c>
      <c r="L13854">
        <v>637</v>
      </c>
      <c r="M13854">
        <v>1</v>
      </c>
      <c r="N13854">
        <v>0</v>
      </c>
      <c r="O13854">
        <v>2196</v>
      </c>
    </row>
    <row r="13855" spans="1:15" x14ac:dyDescent="0.25">
      <c r="A13855" t="s">
        <v>13868</v>
      </c>
      <c r="B13855">
        <v>722</v>
      </c>
      <c r="C13855" s="1" t="str">
        <f>HYPERLINK("http://www.rosaceae.org/gb/gbrowse/malus_x_domestica/?name=MDP0000704111","MDP0000704111")</f>
        <v>MDP0000704111</v>
      </c>
      <c r="D13855">
        <v>74.37</v>
      </c>
      <c r="E13855">
        <v>722</v>
      </c>
      <c r="F13855">
        <v>185</v>
      </c>
      <c r="G13855">
        <v>5</v>
      </c>
      <c r="H13855">
        <v>1</v>
      </c>
      <c r="I13855">
        <v>722</v>
      </c>
      <c r="J13855">
        <v>1</v>
      </c>
      <c r="K13855">
        <v>1</v>
      </c>
      <c r="L13855">
        <v>717</v>
      </c>
      <c r="M13855">
        <v>1</v>
      </c>
      <c r="N13855">
        <v>0</v>
      </c>
      <c r="O13855">
        <v>2695</v>
      </c>
    </row>
    <row r="13856" spans="1:15" x14ac:dyDescent="0.25">
      <c r="A13856" t="s">
        <v>13869</v>
      </c>
      <c r="B13856">
        <v>122</v>
      </c>
      <c r="C13856" s="1" t="str">
        <f>HYPERLINK("http://www.rosaceae.org/gb/gbrowse/malus_x_domestica/?name=MDP0000139823","MDP0000139823")</f>
        <v>MDP0000139823</v>
      </c>
      <c r="D13856">
        <v>76.22</v>
      </c>
      <c r="E13856">
        <v>122</v>
      </c>
      <c r="F13856">
        <v>29</v>
      </c>
      <c r="G13856">
        <v>0</v>
      </c>
      <c r="H13856">
        <v>1</v>
      </c>
      <c r="I13856">
        <v>122</v>
      </c>
      <c r="J13856">
        <v>1</v>
      </c>
      <c r="K13856">
        <v>1</v>
      </c>
      <c r="L13856">
        <v>122</v>
      </c>
      <c r="M13856">
        <v>1</v>
      </c>
      <c r="N13856">
        <v>6.5249500000000002E-49</v>
      </c>
      <c r="O13856">
        <v>479</v>
      </c>
    </row>
    <row r="13857" spans="1:15" x14ac:dyDescent="0.25">
      <c r="A13857" t="s">
        <v>13870</v>
      </c>
      <c r="B13857">
        <v>539</v>
      </c>
      <c r="C13857" s="1" t="str">
        <f>HYPERLINK("http://www.rosaceae.org/gb/gbrowse/malus_x_domestica/?name=MDP0000247921","MDP0000247921")</f>
        <v>MDP0000247921</v>
      </c>
      <c r="D13857">
        <v>23.8</v>
      </c>
      <c r="E13857">
        <v>420</v>
      </c>
      <c r="F13857">
        <v>320</v>
      </c>
      <c r="G13857">
        <v>67</v>
      </c>
      <c r="H13857">
        <v>157</v>
      </c>
      <c r="I13857">
        <v>509</v>
      </c>
      <c r="J13857">
        <v>1</v>
      </c>
      <c r="K13857">
        <v>704</v>
      </c>
      <c r="L13857">
        <v>1123</v>
      </c>
      <c r="M13857">
        <v>1</v>
      </c>
      <c r="N13857">
        <v>2.6805600000000001E-28</v>
      </c>
      <c r="O13857">
        <v>311</v>
      </c>
    </row>
    <row r="13858" spans="1:15" x14ac:dyDescent="0.25">
      <c r="A13858" t="s">
        <v>13871</v>
      </c>
      <c r="B13858">
        <v>405</v>
      </c>
      <c r="C13858" s="1" t="str">
        <f>HYPERLINK("http://www.rosaceae.org/gb/gbrowse/malus_x_domestica/?name=MDP0000252036","MDP0000252036")</f>
        <v>MDP0000252036</v>
      </c>
      <c r="D13858">
        <v>92.98</v>
      </c>
      <c r="E13858">
        <v>385</v>
      </c>
      <c r="F13858">
        <v>27</v>
      </c>
      <c r="G13858">
        <v>0</v>
      </c>
      <c r="H13858">
        <v>21</v>
      </c>
      <c r="I13858">
        <v>405</v>
      </c>
      <c r="J13858">
        <v>1</v>
      </c>
      <c r="K13858">
        <v>22</v>
      </c>
      <c r="L13858">
        <v>406</v>
      </c>
      <c r="M13858">
        <v>1</v>
      </c>
      <c r="N13858">
        <v>0</v>
      </c>
      <c r="O13858">
        <v>1911</v>
      </c>
    </row>
    <row r="13859" spans="1:15" x14ac:dyDescent="0.25">
      <c r="A13859" t="s">
        <v>13872</v>
      </c>
      <c r="B13859">
        <v>265</v>
      </c>
      <c r="C13859" s="1" t="str">
        <f>HYPERLINK("http://www.rosaceae.org/gb/gbrowse/malus_x_domestica/?name=MDP0000208135","MDP0000208135")</f>
        <v>MDP0000208135</v>
      </c>
      <c r="D13859">
        <v>54.88</v>
      </c>
      <c r="E13859">
        <v>133</v>
      </c>
      <c r="F13859">
        <v>60</v>
      </c>
      <c r="G13859">
        <v>16</v>
      </c>
      <c r="H13859">
        <v>28</v>
      </c>
      <c r="I13859">
        <v>144</v>
      </c>
      <c r="J13859">
        <v>1</v>
      </c>
      <c r="K13859">
        <v>1</v>
      </c>
      <c r="L13859">
        <v>133</v>
      </c>
      <c r="M13859">
        <v>1</v>
      </c>
      <c r="N13859">
        <v>5.3107900000000002E-34</v>
      </c>
      <c r="O13859">
        <v>356</v>
      </c>
    </row>
    <row r="13860" spans="1:15" x14ac:dyDescent="0.25">
      <c r="A13860" t="s">
        <v>13873</v>
      </c>
      <c r="B13860">
        <v>501</v>
      </c>
      <c r="C13860" s="1" t="str">
        <f>HYPERLINK("http://www.rosaceae.org/gb/gbrowse/malus_x_domestica/?name=MDP0000740981","MDP0000740981")</f>
        <v>MDP0000740981</v>
      </c>
      <c r="D13860">
        <v>55.98</v>
      </c>
      <c r="E13860">
        <v>468</v>
      </c>
      <c r="F13860">
        <v>206</v>
      </c>
      <c r="G13860">
        <v>11</v>
      </c>
      <c r="H13860">
        <v>38</v>
      </c>
      <c r="I13860">
        <v>498</v>
      </c>
      <c r="J13860">
        <v>1</v>
      </c>
      <c r="K13860">
        <v>26</v>
      </c>
      <c r="L13860">
        <v>489</v>
      </c>
      <c r="M13860">
        <v>1</v>
      </c>
      <c r="N13860">
        <v>4.1251399999999999E-151</v>
      </c>
      <c r="O13860">
        <v>1370</v>
      </c>
    </row>
    <row r="13861" spans="1:15" x14ac:dyDescent="0.25">
      <c r="A13861" t="s">
        <v>13874</v>
      </c>
      <c r="B13861">
        <v>226</v>
      </c>
      <c r="C13861" s="1" t="str">
        <f>HYPERLINK("http://www.rosaceae.org/gb/gbrowse/malus_x_domestica/?name=MDP0000292031","MDP0000292031")</f>
        <v>MDP0000292031</v>
      </c>
      <c r="D13861">
        <v>70.739999999999995</v>
      </c>
      <c r="E13861">
        <v>229</v>
      </c>
      <c r="F13861">
        <v>67</v>
      </c>
      <c r="G13861">
        <v>7</v>
      </c>
      <c r="H13861">
        <v>1</v>
      </c>
      <c r="I13861">
        <v>226</v>
      </c>
      <c r="J13861">
        <v>1</v>
      </c>
      <c r="K13861">
        <v>1</v>
      </c>
      <c r="L13861">
        <v>225</v>
      </c>
      <c r="M13861">
        <v>1</v>
      </c>
      <c r="N13861">
        <v>5.6828099999999997E-89</v>
      </c>
      <c r="O13861">
        <v>830</v>
      </c>
    </row>
    <row r="13862" spans="1:15" x14ac:dyDescent="0.25">
      <c r="A13862" t="s">
        <v>13875</v>
      </c>
      <c r="B13862">
        <v>141</v>
      </c>
      <c r="C13862" s="1" t="str">
        <f>HYPERLINK("http://www.rosaceae.org/gb/gbrowse/malus_x_domestica/?name=MDP0000302984","MDP0000302984")</f>
        <v>MDP0000302984</v>
      </c>
      <c r="D13862">
        <v>41.73</v>
      </c>
      <c r="E13862">
        <v>127</v>
      </c>
      <c r="F13862">
        <v>74</v>
      </c>
      <c r="G13862">
        <v>2</v>
      </c>
      <c r="H13862">
        <v>5</v>
      </c>
      <c r="I13862">
        <v>131</v>
      </c>
      <c r="J13862">
        <v>1</v>
      </c>
      <c r="K13862">
        <v>508</v>
      </c>
      <c r="L13862">
        <v>632</v>
      </c>
      <c r="M13862">
        <v>1</v>
      </c>
      <c r="N13862">
        <v>2.86072E-21</v>
      </c>
      <c r="O13862">
        <v>242</v>
      </c>
    </row>
    <row r="13863" spans="1:15" x14ac:dyDescent="0.25">
      <c r="A13863" t="s">
        <v>13876</v>
      </c>
      <c r="B13863">
        <v>385</v>
      </c>
      <c r="C13863" s="1" t="str">
        <f>HYPERLINK("http://www.rosaceae.org/gb/gbrowse/malus_x_domestica/?name=MDP0000274883","MDP0000274883")</f>
        <v>MDP0000274883</v>
      </c>
      <c r="D13863">
        <v>41.47</v>
      </c>
      <c r="E13863">
        <v>340</v>
      </c>
      <c r="F13863">
        <v>199</v>
      </c>
      <c r="G13863">
        <v>71</v>
      </c>
      <c r="H13863">
        <v>8</v>
      </c>
      <c r="I13863">
        <v>345</v>
      </c>
      <c r="J13863">
        <v>1</v>
      </c>
      <c r="K13863">
        <v>541</v>
      </c>
      <c r="L13863">
        <v>811</v>
      </c>
      <c r="M13863">
        <v>1</v>
      </c>
      <c r="N13863">
        <v>1.13918E-63</v>
      </c>
      <c r="O13863">
        <v>614</v>
      </c>
    </row>
    <row r="13864" spans="1:15" x14ac:dyDescent="0.25">
      <c r="A13864" t="s">
        <v>13877</v>
      </c>
      <c r="B13864">
        <v>329</v>
      </c>
      <c r="C13864" s="1" t="str">
        <f>HYPERLINK("http://www.rosaceae.org/gb/gbrowse/malus_x_domestica/?name=MDP0000122734","MDP0000122734")</f>
        <v>MDP0000122734</v>
      </c>
      <c r="D13864">
        <v>81.42</v>
      </c>
      <c r="E13864">
        <v>140</v>
      </c>
      <c r="F13864">
        <v>26</v>
      </c>
      <c r="G13864">
        <v>1</v>
      </c>
      <c r="H13864">
        <v>1</v>
      </c>
      <c r="I13864">
        <v>139</v>
      </c>
      <c r="J13864">
        <v>1</v>
      </c>
      <c r="K13864">
        <v>1</v>
      </c>
      <c r="L13864">
        <v>140</v>
      </c>
      <c r="M13864">
        <v>1</v>
      </c>
      <c r="N13864">
        <v>1.4543399999999999E-62</v>
      </c>
      <c r="O13864">
        <v>604</v>
      </c>
    </row>
    <row r="13865" spans="1:15" x14ac:dyDescent="0.25">
      <c r="A13865" t="s">
        <v>13878</v>
      </c>
      <c r="B13865">
        <v>310</v>
      </c>
      <c r="C13865" s="1" t="str">
        <f>HYPERLINK("http://www.rosaceae.org/gb/gbrowse/malus_x_domestica/?name=MDP0000124256","MDP0000124256")</f>
        <v>MDP0000124256</v>
      </c>
      <c r="D13865">
        <v>39.24</v>
      </c>
      <c r="E13865">
        <v>186</v>
      </c>
      <c r="F13865">
        <v>113</v>
      </c>
      <c r="G13865">
        <v>13</v>
      </c>
      <c r="H13865">
        <v>42</v>
      </c>
      <c r="I13865">
        <v>223</v>
      </c>
      <c r="J13865">
        <v>1</v>
      </c>
      <c r="K13865">
        <v>8</v>
      </c>
      <c r="L13865">
        <v>184</v>
      </c>
      <c r="M13865">
        <v>1</v>
      </c>
      <c r="N13865">
        <v>3.5980100000000002E-30</v>
      </c>
      <c r="O13865">
        <v>324</v>
      </c>
    </row>
    <row r="13866" spans="1:15" x14ac:dyDescent="0.25">
      <c r="A13866" t="s">
        <v>13879</v>
      </c>
      <c r="B13866">
        <v>383</v>
      </c>
      <c r="C13866" s="1" t="str">
        <f>HYPERLINK("http://www.rosaceae.org/gb/gbrowse/malus_x_domestica/?name=MDP0000536422","MDP0000536422")</f>
        <v>MDP0000536422</v>
      </c>
      <c r="D13866">
        <v>60</v>
      </c>
      <c r="E13866">
        <v>75</v>
      </c>
      <c r="F13866">
        <v>30</v>
      </c>
      <c r="G13866">
        <v>0</v>
      </c>
      <c r="H13866">
        <v>260</v>
      </c>
      <c r="I13866">
        <v>334</v>
      </c>
      <c r="J13866">
        <v>1</v>
      </c>
      <c r="K13866">
        <v>22</v>
      </c>
      <c r="L13866">
        <v>96</v>
      </c>
      <c r="M13866">
        <v>1</v>
      </c>
      <c r="N13866">
        <v>3.8069099999999999E-21</v>
      </c>
      <c r="O13866">
        <v>248</v>
      </c>
    </row>
    <row r="13867" spans="1:15" x14ac:dyDescent="0.25">
      <c r="A13867" t="s">
        <v>13880</v>
      </c>
      <c r="B13867">
        <v>115</v>
      </c>
      <c r="C13867" s="1" t="str">
        <f>HYPERLINK("http://www.rosaceae.org/gb/gbrowse/malus_x_domestica/?name=MDP0000234344","MDP0000234344")</f>
        <v>MDP0000234344</v>
      </c>
      <c r="D13867">
        <v>48.07</v>
      </c>
      <c r="E13867">
        <v>156</v>
      </c>
      <c r="F13867">
        <v>81</v>
      </c>
      <c r="G13867">
        <v>43</v>
      </c>
      <c r="H13867">
        <v>2</v>
      </c>
      <c r="I13867">
        <v>115</v>
      </c>
      <c r="J13867">
        <v>1</v>
      </c>
      <c r="K13867">
        <v>7</v>
      </c>
      <c r="L13867">
        <v>161</v>
      </c>
      <c r="M13867">
        <v>1</v>
      </c>
      <c r="N13867">
        <v>5.3178400000000002E-30</v>
      </c>
      <c r="O13867">
        <v>316</v>
      </c>
    </row>
    <row r="13868" spans="1:15" x14ac:dyDescent="0.25">
      <c r="A13868" t="s">
        <v>13881</v>
      </c>
      <c r="B13868">
        <v>668</v>
      </c>
      <c r="C13868" s="1" t="str">
        <f>HYPERLINK("http://www.rosaceae.org/gb/gbrowse/malus_x_domestica/?name=MDP0000321147","MDP0000321147")</f>
        <v>MDP0000321147</v>
      </c>
      <c r="D13868">
        <v>59.27</v>
      </c>
      <c r="E13868">
        <v>749</v>
      </c>
      <c r="F13868">
        <v>305</v>
      </c>
      <c r="G13868">
        <v>125</v>
      </c>
      <c r="H13868">
        <v>28</v>
      </c>
      <c r="I13868">
        <v>651</v>
      </c>
      <c r="J13868">
        <v>1</v>
      </c>
      <c r="K13868">
        <v>81</v>
      </c>
      <c r="L13868">
        <v>829</v>
      </c>
      <c r="M13868">
        <v>1</v>
      </c>
      <c r="N13868">
        <v>0</v>
      </c>
      <c r="O13868">
        <v>2027</v>
      </c>
    </row>
    <row r="13869" spans="1:15" x14ac:dyDescent="0.25">
      <c r="A13869" t="s">
        <v>13882</v>
      </c>
      <c r="B13869">
        <v>164</v>
      </c>
      <c r="C13869" s="1" t="str">
        <f>HYPERLINK("http://www.rosaceae.org/gb/gbrowse/malus_x_domestica/?name=MDP0000444739","MDP0000444739")</f>
        <v>MDP0000444739</v>
      </c>
      <c r="D13869">
        <v>65.739999999999995</v>
      </c>
      <c r="E13869">
        <v>108</v>
      </c>
      <c r="F13869">
        <v>37</v>
      </c>
      <c r="G13869">
        <v>2</v>
      </c>
      <c r="H13869">
        <v>1</v>
      </c>
      <c r="I13869">
        <v>108</v>
      </c>
      <c r="J13869">
        <v>1</v>
      </c>
      <c r="K13869">
        <v>62</v>
      </c>
      <c r="L13869">
        <v>167</v>
      </c>
      <c r="M13869">
        <v>1</v>
      </c>
      <c r="N13869">
        <v>5.3073099999999995E-32</v>
      </c>
      <c r="O13869">
        <v>336</v>
      </c>
    </row>
    <row r="13870" spans="1:15" x14ac:dyDescent="0.25">
      <c r="A13870" t="s">
        <v>13883</v>
      </c>
      <c r="B13870">
        <v>836</v>
      </c>
      <c r="C13870" s="1" t="str">
        <f>HYPERLINK("http://www.rosaceae.org/gb/gbrowse/malus_x_domestica/?name=MDP0000660436","MDP0000660436")</f>
        <v>MDP0000660436</v>
      </c>
      <c r="D13870">
        <v>68.8</v>
      </c>
      <c r="E13870">
        <v>840</v>
      </c>
      <c r="F13870">
        <v>262</v>
      </c>
      <c r="G13870">
        <v>12</v>
      </c>
      <c r="H13870">
        <v>1</v>
      </c>
      <c r="I13870">
        <v>833</v>
      </c>
      <c r="J13870">
        <v>1</v>
      </c>
      <c r="K13870">
        <v>1</v>
      </c>
      <c r="L13870">
        <v>835</v>
      </c>
      <c r="M13870">
        <v>1</v>
      </c>
      <c r="N13870">
        <v>0</v>
      </c>
      <c r="O13870">
        <v>2945</v>
      </c>
    </row>
    <row r="13871" spans="1:15" x14ac:dyDescent="0.25">
      <c r="A13871" t="s">
        <v>13884</v>
      </c>
      <c r="B13871">
        <v>102</v>
      </c>
      <c r="C13871" s="1" t="str">
        <f>HYPERLINK("http://www.rosaceae.org/gb/gbrowse/malus_x_domestica/?name=MDP0000778229","MDP0000778229")</f>
        <v>MDP0000778229</v>
      </c>
      <c r="D13871">
        <v>46.93</v>
      </c>
      <c r="E13871">
        <v>49</v>
      </c>
      <c r="F13871">
        <v>26</v>
      </c>
      <c r="G13871">
        <v>0</v>
      </c>
      <c r="H13871">
        <v>44</v>
      </c>
      <c r="I13871">
        <v>92</v>
      </c>
      <c r="J13871">
        <v>1</v>
      </c>
      <c r="K13871">
        <v>13</v>
      </c>
      <c r="L13871">
        <v>61</v>
      </c>
      <c r="M13871">
        <v>1</v>
      </c>
      <c r="N13871">
        <v>4.4580199999999998E-7</v>
      </c>
      <c r="O13871">
        <v>118</v>
      </c>
    </row>
    <row r="13872" spans="1:15" x14ac:dyDescent="0.25">
      <c r="A13872" t="s">
        <v>13885</v>
      </c>
      <c r="B13872">
        <v>452</v>
      </c>
      <c r="C13872" s="1" t="str">
        <f>HYPERLINK("http://www.rosaceae.org/gb/gbrowse/malus_x_domestica/?name=MDP0000194473","MDP0000194473")</f>
        <v>MDP0000194473</v>
      </c>
      <c r="D13872">
        <v>79.77</v>
      </c>
      <c r="E13872">
        <v>440</v>
      </c>
      <c r="F13872">
        <v>89</v>
      </c>
      <c r="G13872">
        <v>2</v>
      </c>
      <c r="H13872">
        <v>15</v>
      </c>
      <c r="I13872">
        <v>452</v>
      </c>
      <c r="J13872">
        <v>1</v>
      </c>
      <c r="K13872">
        <v>19</v>
      </c>
      <c r="L13872">
        <v>458</v>
      </c>
      <c r="M13872">
        <v>1</v>
      </c>
      <c r="N13872">
        <v>0</v>
      </c>
      <c r="O13872">
        <v>1825</v>
      </c>
    </row>
    <row r="13873" spans="1:15" x14ac:dyDescent="0.25">
      <c r="A13873" t="s">
        <v>13886</v>
      </c>
      <c r="B13873">
        <v>200</v>
      </c>
      <c r="C13873" s="1" t="str">
        <f>HYPERLINK("http://www.rosaceae.org/gb/gbrowse/malus_x_domestica/?name=MDP0000230524","MDP0000230524")</f>
        <v>MDP0000230524</v>
      </c>
      <c r="D13873">
        <v>47.22</v>
      </c>
      <c r="E13873">
        <v>180</v>
      </c>
      <c r="F13873">
        <v>95</v>
      </c>
      <c r="G13873">
        <v>25</v>
      </c>
      <c r="H13873">
        <v>4</v>
      </c>
      <c r="I13873">
        <v>183</v>
      </c>
      <c r="J13873">
        <v>1</v>
      </c>
      <c r="K13873">
        <v>658</v>
      </c>
      <c r="L13873">
        <v>812</v>
      </c>
      <c r="M13873">
        <v>1</v>
      </c>
      <c r="N13873">
        <v>1.3582200000000001E-34</v>
      </c>
      <c r="O13873">
        <v>360</v>
      </c>
    </row>
    <row r="13874" spans="1:15" x14ac:dyDescent="0.25">
      <c r="A13874" t="s">
        <v>13887</v>
      </c>
      <c r="B13874">
        <v>419</v>
      </c>
      <c r="C13874" s="1" t="str">
        <f>HYPERLINK("http://www.rosaceae.org/gb/gbrowse/malus_x_domestica/?name=MDP0000304769","MDP0000304769")</f>
        <v>MDP0000304769</v>
      </c>
      <c r="D13874">
        <v>51.25</v>
      </c>
      <c r="E13874">
        <v>160</v>
      </c>
      <c r="F13874">
        <v>78</v>
      </c>
      <c r="G13874">
        <v>19</v>
      </c>
      <c r="H13874">
        <v>135</v>
      </c>
      <c r="I13874">
        <v>287</v>
      </c>
      <c r="J13874">
        <v>1</v>
      </c>
      <c r="K13874">
        <v>268</v>
      </c>
      <c r="L13874">
        <v>415</v>
      </c>
      <c r="M13874">
        <v>1</v>
      </c>
      <c r="N13874">
        <v>4.7387500000000001E-36</v>
      </c>
      <c r="O13874">
        <v>377</v>
      </c>
    </row>
    <row r="13875" spans="1:15" x14ac:dyDescent="0.25">
      <c r="A13875" t="s">
        <v>13888</v>
      </c>
      <c r="B13875">
        <v>551</v>
      </c>
      <c r="C13875" s="1" t="str">
        <f>HYPERLINK("http://www.rosaceae.org/gb/gbrowse/malus_x_domestica/?name=MDP0000143003","MDP0000143003")</f>
        <v>MDP0000143003</v>
      </c>
      <c r="D13875">
        <v>91.83</v>
      </c>
      <c r="E13875">
        <v>551</v>
      </c>
      <c r="F13875">
        <v>45</v>
      </c>
      <c r="G13875">
        <v>1</v>
      </c>
      <c r="H13875">
        <v>1</v>
      </c>
      <c r="I13875">
        <v>551</v>
      </c>
      <c r="J13875">
        <v>1</v>
      </c>
      <c r="K13875">
        <v>9</v>
      </c>
      <c r="L13875">
        <v>558</v>
      </c>
      <c r="M13875">
        <v>1</v>
      </c>
      <c r="N13875">
        <v>0</v>
      </c>
      <c r="O13875">
        <v>2762</v>
      </c>
    </row>
    <row r="13876" spans="1:15" x14ac:dyDescent="0.25">
      <c r="A13876" t="s">
        <v>13889</v>
      </c>
      <c r="B13876">
        <v>677</v>
      </c>
      <c r="C13876" s="1" t="str">
        <f>HYPERLINK("http://www.rosaceae.org/gb/gbrowse/malus_x_domestica/?name=MDP0000939679","MDP0000939679")</f>
        <v>MDP0000939679</v>
      </c>
      <c r="D13876">
        <v>64.92</v>
      </c>
      <c r="E13876">
        <v>268</v>
      </c>
      <c r="F13876">
        <v>94</v>
      </c>
      <c r="G13876">
        <v>15</v>
      </c>
      <c r="H13876">
        <v>1</v>
      </c>
      <c r="I13876">
        <v>261</v>
      </c>
      <c r="J13876">
        <v>1</v>
      </c>
      <c r="K13876">
        <v>1</v>
      </c>
      <c r="L13876">
        <v>260</v>
      </c>
      <c r="M13876">
        <v>1</v>
      </c>
      <c r="N13876">
        <v>1.6922699999999999E-88</v>
      </c>
      <c r="O13876">
        <v>831</v>
      </c>
    </row>
    <row r="13877" spans="1:15" x14ac:dyDescent="0.25">
      <c r="A13877" t="s">
        <v>13890</v>
      </c>
      <c r="B13877">
        <v>2238</v>
      </c>
      <c r="C13877" s="1" t="str">
        <f>HYPERLINK("http://www.rosaceae.org/gb/gbrowse/malus_x_domestica/?name=MDP0000308416","MDP0000308416")</f>
        <v>MDP0000308416</v>
      </c>
      <c r="D13877">
        <v>87.6</v>
      </c>
      <c r="E13877">
        <v>2065</v>
      </c>
      <c r="F13877">
        <v>256</v>
      </c>
      <c r="G13877">
        <v>79</v>
      </c>
      <c r="H13877">
        <v>85</v>
      </c>
      <c r="I13877">
        <v>2149</v>
      </c>
      <c r="J13877">
        <v>1</v>
      </c>
      <c r="K13877">
        <v>4</v>
      </c>
      <c r="L13877">
        <v>1989</v>
      </c>
      <c r="M13877">
        <v>1</v>
      </c>
      <c r="N13877">
        <v>0</v>
      </c>
      <c r="O13877">
        <v>9601</v>
      </c>
    </row>
    <row r="13878" spans="1:15" x14ac:dyDescent="0.25">
      <c r="A13878" t="s">
        <v>13891</v>
      </c>
      <c r="B13878">
        <v>1185</v>
      </c>
      <c r="C13878" s="1" t="str">
        <f>HYPERLINK("http://www.rosaceae.org/gb/gbrowse/malus_x_domestica/?name=MDP0000329703","MDP0000329703")</f>
        <v>MDP0000329703</v>
      </c>
      <c r="D13878">
        <v>67.2</v>
      </c>
      <c r="E13878">
        <v>308</v>
      </c>
      <c r="F13878">
        <v>101</v>
      </c>
      <c r="G13878">
        <v>42</v>
      </c>
      <c r="H13878">
        <v>913</v>
      </c>
      <c r="I13878">
        <v>1178</v>
      </c>
      <c r="J13878">
        <v>1</v>
      </c>
      <c r="K13878">
        <v>67</v>
      </c>
      <c r="L13878">
        <v>374</v>
      </c>
      <c r="M13878">
        <v>1</v>
      </c>
      <c r="N13878">
        <v>6.4848599999999997E-111</v>
      </c>
      <c r="O13878">
        <v>1027</v>
      </c>
    </row>
    <row r="13879" spans="1:15" x14ac:dyDescent="0.25">
      <c r="A13879" t="s">
        <v>13892</v>
      </c>
      <c r="B13879">
        <v>125</v>
      </c>
      <c r="C13879" s="1" t="str">
        <f>HYPERLINK("http://www.rosaceae.org/gb/gbrowse/malus_x_domestica/?name=MDP0000155096","MDP0000155096")</f>
        <v>MDP0000155096</v>
      </c>
      <c r="D13879">
        <v>97.61</v>
      </c>
      <c r="E13879">
        <v>42</v>
      </c>
      <c r="F13879">
        <v>1</v>
      </c>
      <c r="G13879">
        <v>0</v>
      </c>
      <c r="H13879">
        <v>83</v>
      </c>
      <c r="I13879">
        <v>124</v>
      </c>
      <c r="J13879">
        <v>1</v>
      </c>
      <c r="K13879">
        <v>668</v>
      </c>
      <c r="L13879">
        <v>709</v>
      </c>
      <c r="M13879">
        <v>1</v>
      </c>
      <c r="N13879">
        <v>1.34588E-18</v>
      </c>
      <c r="O13879">
        <v>218</v>
      </c>
    </row>
    <row r="13880" spans="1:15" x14ac:dyDescent="0.25">
      <c r="A13880" t="s">
        <v>13893</v>
      </c>
      <c r="B13880">
        <v>808</v>
      </c>
      <c r="C13880" s="1" t="str">
        <f>HYPERLINK("http://www.rosaceae.org/gb/gbrowse/malus_x_domestica/?name=MDP0000302898","MDP0000302898")</f>
        <v>MDP0000302898</v>
      </c>
      <c r="D13880">
        <v>84.31</v>
      </c>
      <c r="E13880">
        <v>816</v>
      </c>
      <c r="F13880">
        <v>128</v>
      </c>
      <c r="G13880">
        <v>11</v>
      </c>
      <c r="H13880">
        <v>3</v>
      </c>
      <c r="I13880">
        <v>807</v>
      </c>
      <c r="J13880">
        <v>1</v>
      </c>
      <c r="K13880">
        <v>440</v>
      </c>
      <c r="L13880">
        <v>1255</v>
      </c>
      <c r="M13880">
        <v>1</v>
      </c>
      <c r="N13880">
        <v>0</v>
      </c>
      <c r="O13880">
        <v>3681</v>
      </c>
    </row>
    <row r="13881" spans="1:15" x14ac:dyDescent="0.25">
      <c r="A13881" t="s">
        <v>13894</v>
      </c>
      <c r="B13881">
        <v>241</v>
      </c>
      <c r="C13881" s="1" t="str">
        <f>HYPERLINK("http://www.rosaceae.org/gb/gbrowse/malus_x_domestica/?name=MDP0000400817","MDP0000400817")</f>
        <v>MDP0000400817</v>
      </c>
      <c r="D13881">
        <v>34.700000000000003</v>
      </c>
      <c r="E13881">
        <v>219</v>
      </c>
      <c r="F13881">
        <v>143</v>
      </c>
      <c r="G13881">
        <v>9</v>
      </c>
      <c r="H13881">
        <v>1</v>
      </c>
      <c r="I13881">
        <v>219</v>
      </c>
      <c r="J13881">
        <v>1</v>
      </c>
      <c r="K13881">
        <v>658</v>
      </c>
      <c r="L13881">
        <v>867</v>
      </c>
      <c r="M13881">
        <v>1</v>
      </c>
      <c r="N13881">
        <v>1.1283200000000001E-30</v>
      </c>
      <c r="O13881">
        <v>327</v>
      </c>
    </row>
    <row r="13882" spans="1:15" x14ac:dyDescent="0.25">
      <c r="A13882" t="s">
        <v>13895</v>
      </c>
      <c r="B13882">
        <v>802</v>
      </c>
      <c r="C13882" s="1" t="str">
        <f>HYPERLINK("http://www.rosaceae.org/gb/gbrowse/malus_x_domestica/?name=MDP0000298512","MDP0000298512")</f>
        <v>MDP0000298512</v>
      </c>
      <c r="D13882">
        <v>79.180000000000007</v>
      </c>
      <c r="E13882">
        <v>807</v>
      </c>
      <c r="F13882">
        <v>168</v>
      </c>
      <c r="G13882">
        <v>46</v>
      </c>
      <c r="H13882">
        <v>1</v>
      </c>
      <c r="I13882">
        <v>802</v>
      </c>
      <c r="J13882">
        <v>1</v>
      </c>
      <c r="K13882">
        <v>1</v>
      </c>
      <c r="L13882">
        <v>766</v>
      </c>
      <c r="M13882">
        <v>1</v>
      </c>
      <c r="N13882">
        <v>0</v>
      </c>
      <c r="O13882">
        <v>3258</v>
      </c>
    </row>
    <row r="13883" spans="1:15" x14ac:dyDescent="0.25">
      <c r="A13883" t="s">
        <v>13896</v>
      </c>
      <c r="B13883">
        <v>221</v>
      </c>
      <c r="C13883" s="1" t="str">
        <f>HYPERLINK("http://www.rosaceae.org/gb/gbrowse/malus_x_domestica/?name=MDP0000253285","MDP0000253285")</f>
        <v>MDP0000253285</v>
      </c>
      <c r="D13883">
        <v>73.17</v>
      </c>
      <c r="E13883">
        <v>205</v>
      </c>
      <c r="F13883">
        <v>55</v>
      </c>
      <c r="G13883">
        <v>8</v>
      </c>
      <c r="H13883">
        <v>25</v>
      </c>
      <c r="I13883">
        <v>221</v>
      </c>
      <c r="J13883">
        <v>1</v>
      </c>
      <c r="K13883">
        <v>1</v>
      </c>
      <c r="L13883">
        <v>205</v>
      </c>
      <c r="M13883">
        <v>1</v>
      </c>
      <c r="N13883">
        <v>6.8784600000000004E-80</v>
      </c>
      <c r="O13883">
        <v>751</v>
      </c>
    </row>
    <row r="13884" spans="1:15" x14ac:dyDescent="0.25">
      <c r="A13884" t="s">
        <v>13897</v>
      </c>
      <c r="B13884">
        <v>330</v>
      </c>
      <c r="C13884" s="1" t="str">
        <f>HYPERLINK("http://www.rosaceae.org/gb/gbrowse/malus_x_domestica/?name=MDP0000272261","MDP0000272261")</f>
        <v>MDP0000272261</v>
      </c>
      <c r="D13884">
        <v>78.59</v>
      </c>
      <c r="E13884">
        <v>355</v>
      </c>
      <c r="F13884">
        <v>76</v>
      </c>
      <c r="G13884">
        <v>31</v>
      </c>
      <c r="H13884">
        <v>1</v>
      </c>
      <c r="I13884">
        <v>324</v>
      </c>
      <c r="J13884">
        <v>1</v>
      </c>
      <c r="K13884">
        <v>87</v>
      </c>
      <c r="L13884">
        <v>441</v>
      </c>
      <c r="M13884">
        <v>1</v>
      </c>
      <c r="N13884">
        <v>3.4394100000000001E-159</v>
      </c>
      <c r="O13884">
        <v>1437</v>
      </c>
    </row>
    <row r="13885" spans="1:15" x14ac:dyDescent="0.25">
      <c r="A13885" t="s">
        <v>13898</v>
      </c>
      <c r="B13885">
        <v>315</v>
      </c>
      <c r="C13885" s="1" t="str">
        <f>HYPERLINK("http://www.rosaceae.org/gb/gbrowse/malus_x_domestica/?name=MDP0000695917","MDP0000695917")</f>
        <v>MDP0000695917</v>
      </c>
      <c r="D13885">
        <v>31.52</v>
      </c>
      <c r="E13885">
        <v>203</v>
      </c>
      <c r="F13885">
        <v>139</v>
      </c>
      <c r="G13885">
        <v>18</v>
      </c>
      <c r="H13885">
        <v>1</v>
      </c>
      <c r="I13885">
        <v>202</v>
      </c>
      <c r="J13885">
        <v>1</v>
      </c>
      <c r="K13885">
        <v>15</v>
      </c>
      <c r="L13885">
        <v>200</v>
      </c>
      <c r="M13885">
        <v>1</v>
      </c>
      <c r="N13885">
        <v>3.8785900000000003E-26</v>
      </c>
      <c r="O13885">
        <v>290</v>
      </c>
    </row>
    <row r="13886" spans="1:15" x14ac:dyDescent="0.25">
      <c r="A13886" t="s">
        <v>13899</v>
      </c>
      <c r="B13886">
        <v>493</v>
      </c>
      <c r="C13886" s="1" t="str">
        <f>HYPERLINK("http://www.rosaceae.org/gb/gbrowse/malus_x_domestica/?name=MDP0000447651","MDP0000447651")</f>
        <v>MDP0000447651</v>
      </c>
      <c r="D13886">
        <v>56.82</v>
      </c>
      <c r="E13886">
        <v>227</v>
      </c>
      <c r="F13886">
        <v>98</v>
      </c>
      <c r="G13886">
        <v>1</v>
      </c>
      <c r="H13886">
        <v>257</v>
      </c>
      <c r="I13886">
        <v>482</v>
      </c>
      <c r="J13886">
        <v>1</v>
      </c>
      <c r="K13886">
        <v>164</v>
      </c>
      <c r="L13886">
        <v>390</v>
      </c>
      <c r="M13886">
        <v>1</v>
      </c>
      <c r="N13886">
        <v>5.6741400000000004E-74</v>
      </c>
      <c r="O13886">
        <v>704</v>
      </c>
    </row>
    <row r="13887" spans="1:15" x14ac:dyDescent="0.25">
      <c r="A13887" t="s">
        <v>13900</v>
      </c>
      <c r="B13887">
        <v>183</v>
      </c>
      <c r="C13887" s="1" t="str">
        <f>HYPERLINK("http://www.rosaceae.org/gb/gbrowse/malus_x_domestica/?name=MDP0000128791","MDP0000128791")</f>
        <v>MDP0000128791</v>
      </c>
      <c r="D13887">
        <v>46.24</v>
      </c>
      <c r="E13887">
        <v>173</v>
      </c>
      <c r="F13887">
        <v>93</v>
      </c>
      <c r="G13887">
        <v>40</v>
      </c>
      <c r="H13887">
        <v>12</v>
      </c>
      <c r="I13887">
        <v>183</v>
      </c>
      <c r="J13887">
        <v>1</v>
      </c>
      <c r="K13887">
        <v>79</v>
      </c>
      <c r="L13887">
        <v>212</v>
      </c>
      <c r="M13887">
        <v>1</v>
      </c>
      <c r="N13887">
        <v>1.25117E-29</v>
      </c>
      <c r="O13887">
        <v>316</v>
      </c>
    </row>
    <row r="13888" spans="1:15" x14ac:dyDescent="0.25">
      <c r="A13888" t="s">
        <v>13901</v>
      </c>
      <c r="B13888">
        <v>309</v>
      </c>
      <c r="C13888" s="1" t="str">
        <f>HYPERLINK("http://www.rosaceae.org/gb/gbrowse/malus_x_domestica/?name=MDP0000887107","MDP0000887107")</f>
        <v>MDP0000887107</v>
      </c>
      <c r="D13888">
        <v>80.349999999999994</v>
      </c>
      <c r="E13888">
        <v>112</v>
      </c>
      <c r="F13888">
        <v>22</v>
      </c>
      <c r="G13888">
        <v>0</v>
      </c>
      <c r="H13888">
        <v>1</v>
      </c>
      <c r="I13888">
        <v>112</v>
      </c>
      <c r="J13888">
        <v>1</v>
      </c>
      <c r="K13888">
        <v>1</v>
      </c>
      <c r="L13888">
        <v>112</v>
      </c>
      <c r="M13888">
        <v>1</v>
      </c>
      <c r="N13888">
        <v>1.9193999999999999E-51</v>
      </c>
      <c r="O13888">
        <v>508</v>
      </c>
    </row>
    <row r="13889" spans="1:15" x14ac:dyDescent="0.25">
      <c r="A13889" t="s">
        <v>13902</v>
      </c>
      <c r="B13889">
        <v>170</v>
      </c>
      <c r="C13889" s="1" t="str">
        <f>HYPERLINK("http://www.rosaceae.org/gb/gbrowse/malus_x_domestica/?name=MDP0000277510","MDP0000277510")</f>
        <v>MDP0000277510</v>
      </c>
      <c r="D13889">
        <v>59.74</v>
      </c>
      <c r="E13889">
        <v>159</v>
      </c>
      <c r="F13889">
        <v>64</v>
      </c>
      <c r="G13889">
        <v>4</v>
      </c>
      <c r="H13889">
        <v>10</v>
      </c>
      <c r="I13889">
        <v>164</v>
      </c>
      <c r="J13889">
        <v>1</v>
      </c>
      <c r="K13889">
        <v>9</v>
      </c>
      <c r="L13889">
        <v>167</v>
      </c>
      <c r="M13889">
        <v>1</v>
      </c>
      <c r="N13889">
        <v>2.57532E-55</v>
      </c>
      <c r="O13889">
        <v>537</v>
      </c>
    </row>
    <row r="13890" spans="1:15" x14ac:dyDescent="0.25">
      <c r="A13890" t="s">
        <v>13903</v>
      </c>
      <c r="B13890">
        <v>345</v>
      </c>
      <c r="C13890" s="1" t="str">
        <f>HYPERLINK("http://www.rosaceae.org/gb/gbrowse/malus_x_domestica/?name=MDP0000253097","MDP0000253097")</f>
        <v>MDP0000253097</v>
      </c>
      <c r="D13890">
        <v>75.37</v>
      </c>
      <c r="E13890">
        <v>337</v>
      </c>
      <c r="F13890">
        <v>83</v>
      </c>
      <c r="G13890">
        <v>29</v>
      </c>
      <c r="H13890">
        <v>3</v>
      </c>
      <c r="I13890">
        <v>338</v>
      </c>
      <c r="J13890">
        <v>1</v>
      </c>
      <c r="K13890">
        <v>8</v>
      </c>
      <c r="L13890">
        <v>316</v>
      </c>
      <c r="M13890">
        <v>1</v>
      </c>
      <c r="N13890">
        <v>1.364E-146</v>
      </c>
      <c r="O13890">
        <v>1329</v>
      </c>
    </row>
    <row r="13891" spans="1:15" x14ac:dyDescent="0.25">
      <c r="A13891" t="s">
        <v>13904</v>
      </c>
      <c r="B13891">
        <v>54</v>
      </c>
      <c r="C13891" s="1" t="str">
        <f>HYPERLINK("http://www.rosaceae.org/gb/gbrowse/malus_x_domestica/?name=MDP0000798095","MDP0000798095")</f>
        <v>MDP0000798095</v>
      </c>
      <c r="D13891">
        <v>70.58</v>
      </c>
      <c r="E13891">
        <v>51</v>
      </c>
      <c r="F13891">
        <v>15</v>
      </c>
      <c r="G13891">
        <v>0</v>
      </c>
      <c r="H13891">
        <v>1</v>
      </c>
      <c r="I13891">
        <v>51</v>
      </c>
      <c r="J13891">
        <v>1</v>
      </c>
      <c r="K13891">
        <v>90</v>
      </c>
      <c r="L13891">
        <v>140</v>
      </c>
      <c r="M13891">
        <v>1</v>
      </c>
      <c r="N13891">
        <v>5.9929000000000002E-16</v>
      </c>
      <c r="O13891">
        <v>195</v>
      </c>
    </row>
    <row r="13892" spans="1:15" x14ac:dyDescent="0.25">
      <c r="A13892" t="s">
        <v>13905</v>
      </c>
      <c r="B13892">
        <v>396</v>
      </c>
      <c r="C13892" s="1" t="str">
        <f>HYPERLINK("http://www.rosaceae.org/gb/gbrowse/malus_x_domestica/?name=MDP0000134330","MDP0000134330")</f>
        <v>MDP0000134330</v>
      </c>
      <c r="D13892">
        <v>50</v>
      </c>
      <c r="E13892">
        <v>286</v>
      </c>
      <c r="F13892">
        <v>143</v>
      </c>
      <c r="G13892">
        <v>44</v>
      </c>
      <c r="H13892">
        <v>5</v>
      </c>
      <c r="I13892">
        <v>259</v>
      </c>
      <c r="J13892">
        <v>1</v>
      </c>
      <c r="K13892">
        <v>6</v>
      </c>
      <c r="L13892">
        <v>278</v>
      </c>
      <c r="M13892">
        <v>1</v>
      </c>
      <c r="N13892">
        <v>8.22755E-57</v>
      </c>
      <c r="O13892">
        <v>555</v>
      </c>
    </row>
    <row r="13893" spans="1:15" x14ac:dyDescent="0.25">
      <c r="A13893" t="s">
        <v>13906</v>
      </c>
      <c r="B13893">
        <v>95</v>
      </c>
      <c r="C13893" s="1" t="str">
        <f>HYPERLINK("http://www.rosaceae.org/gb/gbrowse/malus_x_domestica/?name=MDP0000653934","MDP0000653934")</f>
        <v>MDP0000653934</v>
      </c>
      <c r="D13893">
        <v>62.16</v>
      </c>
      <c r="E13893">
        <v>74</v>
      </c>
      <c r="F13893">
        <v>28</v>
      </c>
      <c r="G13893">
        <v>5</v>
      </c>
      <c r="H13893">
        <v>21</v>
      </c>
      <c r="I13893">
        <v>94</v>
      </c>
      <c r="J13893">
        <v>1</v>
      </c>
      <c r="K13893">
        <v>27</v>
      </c>
      <c r="L13893">
        <v>95</v>
      </c>
      <c r="M13893">
        <v>1</v>
      </c>
      <c r="N13893">
        <v>5.1781200000000003E-21</v>
      </c>
      <c r="O13893">
        <v>239</v>
      </c>
    </row>
    <row r="13894" spans="1:15" x14ac:dyDescent="0.25">
      <c r="A13894" t="s">
        <v>13907</v>
      </c>
      <c r="B13894">
        <v>720</v>
      </c>
      <c r="C13894" s="1" t="str">
        <f>HYPERLINK("http://www.rosaceae.org/gb/gbrowse/malus_x_domestica/?name=MDP0000283036","MDP0000283036")</f>
        <v>MDP0000283036</v>
      </c>
      <c r="D13894">
        <v>57.84</v>
      </c>
      <c r="E13894">
        <v>529</v>
      </c>
      <c r="F13894">
        <v>223</v>
      </c>
      <c r="G13894">
        <v>21</v>
      </c>
      <c r="H13894">
        <v>6</v>
      </c>
      <c r="I13894">
        <v>532</v>
      </c>
      <c r="J13894">
        <v>1</v>
      </c>
      <c r="K13894">
        <v>7</v>
      </c>
      <c r="L13894">
        <v>516</v>
      </c>
      <c r="M13894">
        <v>1</v>
      </c>
      <c r="N13894">
        <v>7.3563299999999998E-174</v>
      </c>
      <c r="O13894">
        <v>1567</v>
      </c>
    </row>
    <row r="13895" spans="1:15" x14ac:dyDescent="0.25">
      <c r="A13895" t="s">
        <v>13908</v>
      </c>
      <c r="B13895">
        <v>442</v>
      </c>
      <c r="C13895" s="1" t="str">
        <f>HYPERLINK("http://www.rosaceae.org/gb/gbrowse/malus_x_domestica/?name=MDP0000136726","MDP0000136726")</f>
        <v>MDP0000136726</v>
      </c>
      <c r="D13895">
        <v>51.11</v>
      </c>
      <c r="E13895">
        <v>225</v>
      </c>
      <c r="F13895">
        <v>110</v>
      </c>
      <c r="G13895">
        <v>33</v>
      </c>
      <c r="H13895">
        <v>16</v>
      </c>
      <c r="I13895">
        <v>237</v>
      </c>
      <c r="J13895">
        <v>1</v>
      </c>
      <c r="K13895">
        <v>21</v>
      </c>
      <c r="L13895">
        <v>215</v>
      </c>
      <c r="M13895">
        <v>1</v>
      </c>
      <c r="N13895">
        <v>5.5032800000000003E-58</v>
      </c>
      <c r="O13895">
        <v>566</v>
      </c>
    </row>
    <row r="13896" spans="1:15" x14ac:dyDescent="0.25">
      <c r="A13896" t="s">
        <v>13909</v>
      </c>
      <c r="B13896">
        <v>658</v>
      </c>
      <c r="C13896" s="1" t="str">
        <f>HYPERLINK("http://www.rosaceae.org/gb/gbrowse/malus_x_domestica/?name=MDP0000198535","MDP0000198535")</f>
        <v>MDP0000198535</v>
      </c>
      <c r="D13896">
        <v>79.66</v>
      </c>
      <c r="E13896">
        <v>654</v>
      </c>
      <c r="F13896">
        <v>133</v>
      </c>
      <c r="G13896">
        <v>1</v>
      </c>
      <c r="H13896">
        <v>1</v>
      </c>
      <c r="I13896">
        <v>653</v>
      </c>
      <c r="J13896">
        <v>1</v>
      </c>
      <c r="K13896">
        <v>1</v>
      </c>
      <c r="L13896">
        <v>654</v>
      </c>
      <c r="M13896">
        <v>1</v>
      </c>
      <c r="N13896">
        <v>0</v>
      </c>
      <c r="O13896">
        <v>2751</v>
      </c>
    </row>
    <row r="13897" spans="1:15" x14ac:dyDescent="0.25">
      <c r="A13897" t="s">
        <v>13910</v>
      </c>
      <c r="B13897">
        <v>861</v>
      </c>
      <c r="C13897" s="1" t="str">
        <f>HYPERLINK("http://www.rosaceae.org/gb/gbrowse/malus_x_domestica/?name=MDP0000262974","MDP0000262974")</f>
        <v>MDP0000262974</v>
      </c>
      <c r="D13897">
        <v>75.56</v>
      </c>
      <c r="E13897">
        <v>532</v>
      </c>
      <c r="F13897">
        <v>130</v>
      </c>
      <c r="G13897">
        <v>26</v>
      </c>
      <c r="H13897">
        <v>338</v>
      </c>
      <c r="I13897">
        <v>861</v>
      </c>
      <c r="J13897">
        <v>1</v>
      </c>
      <c r="K13897">
        <v>236</v>
      </c>
      <c r="L13897">
        <v>749</v>
      </c>
      <c r="M13897">
        <v>1</v>
      </c>
      <c r="N13897">
        <v>0</v>
      </c>
      <c r="O13897">
        <v>2026</v>
      </c>
    </row>
    <row r="13898" spans="1:15" x14ac:dyDescent="0.25">
      <c r="A13898" t="s">
        <v>13911</v>
      </c>
      <c r="B13898">
        <v>317</v>
      </c>
      <c r="C13898" s="1" t="str">
        <f>HYPERLINK("http://www.rosaceae.org/gb/gbrowse/malus_x_domestica/?name=MDP0000268526","MDP0000268526")</f>
        <v>MDP0000268526</v>
      </c>
      <c r="D13898">
        <v>62.9</v>
      </c>
      <c r="E13898">
        <v>62</v>
      </c>
      <c r="F13898">
        <v>23</v>
      </c>
      <c r="G13898">
        <v>1</v>
      </c>
      <c r="H13898">
        <v>146</v>
      </c>
      <c r="I13898">
        <v>207</v>
      </c>
      <c r="J13898">
        <v>1</v>
      </c>
      <c r="K13898">
        <v>6</v>
      </c>
      <c r="L13898">
        <v>66</v>
      </c>
      <c r="M13898">
        <v>1</v>
      </c>
      <c r="N13898">
        <v>8.6076600000000004E-14</v>
      </c>
      <c r="O13898">
        <v>183</v>
      </c>
    </row>
    <row r="13899" spans="1:15" x14ac:dyDescent="0.25">
      <c r="A13899" t="s">
        <v>13912</v>
      </c>
      <c r="B13899">
        <v>225</v>
      </c>
      <c r="C13899" s="1" t="str">
        <f>HYPERLINK("http://www.rosaceae.org/gb/gbrowse/malus_x_domestica/?name=MDP0000252209","MDP0000252209")</f>
        <v>MDP0000252209</v>
      </c>
      <c r="D13899">
        <v>54.49</v>
      </c>
      <c r="E13899">
        <v>178</v>
      </c>
      <c r="F13899">
        <v>81</v>
      </c>
      <c r="G13899">
        <v>8</v>
      </c>
      <c r="H13899">
        <v>8</v>
      </c>
      <c r="I13899">
        <v>179</v>
      </c>
      <c r="J13899">
        <v>1</v>
      </c>
      <c r="K13899">
        <v>2</v>
      </c>
      <c r="L13899">
        <v>177</v>
      </c>
      <c r="M13899">
        <v>1</v>
      </c>
      <c r="N13899">
        <v>9.1980000000000008E-41</v>
      </c>
      <c r="O13899">
        <v>414</v>
      </c>
    </row>
    <row r="13900" spans="1:15" x14ac:dyDescent="0.25">
      <c r="A13900" t="s">
        <v>13913</v>
      </c>
      <c r="B13900">
        <v>214</v>
      </c>
      <c r="C13900" s="1" t="str">
        <f>HYPERLINK("http://www.rosaceae.org/gb/gbrowse/malus_x_domestica/?name=MDP0000225543","MDP0000225543")</f>
        <v>MDP0000225543</v>
      </c>
      <c r="D13900">
        <v>76.27</v>
      </c>
      <c r="E13900">
        <v>215</v>
      </c>
      <c r="F13900">
        <v>51</v>
      </c>
      <c r="G13900">
        <v>2</v>
      </c>
      <c r="H13900">
        <v>1</v>
      </c>
      <c r="I13900">
        <v>214</v>
      </c>
      <c r="J13900">
        <v>1</v>
      </c>
      <c r="K13900">
        <v>76</v>
      </c>
      <c r="L13900">
        <v>289</v>
      </c>
      <c r="M13900">
        <v>1</v>
      </c>
      <c r="N13900">
        <v>1.0595500000000001E-83</v>
      </c>
      <c r="O13900">
        <v>784</v>
      </c>
    </row>
    <row r="13901" spans="1:15" x14ac:dyDescent="0.25">
      <c r="A13901" t="s">
        <v>13914</v>
      </c>
      <c r="B13901">
        <v>472</v>
      </c>
      <c r="C13901" s="1" t="str">
        <f>HYPERLINK("http://www.rosaceae.org/gb/gbrowse/malus_x_domestica/?name=MDP0000226487","MDP0000226487")</f>
        <v>MDP0000226487</v>
      </c>
      <c r="D13901">
        <v>84.08</v>
      </c>
      <c r="E13901">
        <v>465</v>
      </c>
      <c r="F13901">
        <v>74</v>
      </c>
      <c r="G13901">
        <v>2</v>
      </c>
      <c r="H13901">
        <v>8</v>
      </c>
      <c r="I13901">
        <v>470</v>
      </c>
      <c r="J13901">
        <v>1</v>
      </c>
      <c r="K13901">
        <v>30</v>
      </c>
      <c r="L13901">
        <v>494</v>
      </c>
      <c r="M13901">
        <v>1</v>
      </c>
      <c r="N13901">
        <v>0</v>
      </c>
      <c r="O13901">
        <v>2035</v>
      </c>
    </row>
    <row r="13902" spans="1:15" x14ac:dyDescent="0.25">
      <c r="A13902" t="s">
        <v>13915</v>
      </c>
      <c r="B13902">
        <v>407</v>
      </c>
      <c r="C13902" s="1" t="str">
        <f>HYPERLINK("http://www.rosaceae.org/gb/gbrowse/malus_x_domestica/?name=MDP0000914572","MDP0000914572")</f>
        <v>MDP0000914572</v>
      </c>
      <c r="D13902">
        <v>73.8</v>
      </c>
      <c r="E13902">
        <v>397</v>
      </c>
      <c r="F13902">
        <v>104</v>
      </c>
      <c r="G13902">
        <v>28</v>
      </c>
      <c r="H13902">
        <v>8</v>
      </c>
      <c r="I13902">
        <v>379</v>
      </c>
      <c r="J13902">
        <v>1</v>
      </c>
      <c r="K13902">
        <v>6</v>
      </c>
      <c r="L13902">
        <v>399</v>
      </c>
      <c r="M13902">
        <v>1</v>
      </c>
      <c r="N13902">
        <v>3.1161799999999998E-167</v>
      </c>
      <c r="O13902">
        <v>1508</v>
      </c>
    </row>
    <row r="13903" spans="1:15" x14ac:dyDescent="0.25">
      <c r="A13903" t="s">
        <v>13916</v>
      </c>
      <c r="B13903">
        <v>330</v>
      </c>
      <c r="C13903" s="1" t="str">
        <f>HYPERLINK("http://www.rosaceae.org/gb/gbrowse/malus_x_domestica/?name=MDP0000163822","MDP0000163822")</f>
        <v>MDP0000163822</v>
      </c>
      <c r="D13903">
        <v>50.94</v>
      </c>
      <c r="E13903">
        <v>316</v>
      </c>
      <c r="F13903">
        <v>155</v>
      </c>
      <c r="G13903">
        <v>19</v>
      </c>
      <c r="H13903">
        <v>1</v>
      </c>
      <c r="I13903">
        <v>306</v>
      </c>
      <c r="J13903">
        <v>1</v>
      </c>
      <c r="K13903">
        <v>67</v>
      </c>
      <c r="L13903">
        <v>373</v>
      </c>
      <c r="M13903">
        <v>1</v>
      </c>
      <c r="N13903">
        <v>1.0020700000000001E-67</v>
      </c>
      <c r="O13903">
        <v>649</v>
      </c>
    </row>
    <row r="13904" spans="1:15" x14ac:dyDescent="0.25">
      <c r="A13904" t="s">
        <v>13917</v>
      </c>
      <c r="B13904">
        <v>156</v>
      </c>
      <c r="C13904" s="1" t="str">
        <f>HYPERLINK("http://www.rosaceae.org/gb/gbrowse/malus_x_domestica/?name=MDP0000163774","MDP0000163774")</f>
        <v>MDP0000163774</v>
      </c>
      <c r="D13904">
        <v>68.180000000000007</v>
      </c>
      <c r="E13904">
        <v>44</v>
      </c>
      <c r="F13904">
        <v>14</v>
      </c>
      <c r="G13904">
        <v>0</v>
      </c>
      <c r="H13904">
        <v>5</v>
      </c>
      <c r="I13904">
        <v>48</v>
      </c>
      <c r="J13904">
        <v>1</v>
      </c>
      <c r="K13904">
        <v>304</v>
      </c>
      <c r="L13904">
        <v>347</v>
      </c>
      <c r="M13904">
        <v>1</v>
      </c>
      <c r="N13904">
        <v>1.35203E-12</v>
      </c>
      <c r="O13904">
        <v>168</v>
      </c>
    </row>
    <row r="13905" spans="1:15" x14ac:dyDescent="0.25">
      <c r="A13905" t="s">
        <v>13918</v>
      </c>
      <c r="B13905">
        <v>1100</v>
      </c>
      <c r="C13905" s="1" t="str">
        <f>HYPERLINK("http://www.rosaceae.org/gb/gbrowse/malus_x_domestica/?name=MDP0000281934","MDP0000281934")</f>
        <v>MDP0000281934</v>
      </c>
      <c r="D13905">
        <v>80.41</v>
      </c>
      <c r="E13905">
        <v>1052</v>
      </c>
      <c r="F13905">
        <v>206</v>
      </c>
      <c r="G13905">
        <v>0</v>
      </c>
      <c r="H13905">
        <v>49</v>
      </c>
      <c r="I13905">
        <v>1100</v>
      </c>
      <c r="J13905">
        <v>1</v>
      </c>
      <c r="K13905">
        <v>1</v>
      </c>
      <c r="L13905">
        <v>1052</v>
      </c>
      <c r="M13905">
        <v>1</v>
      </c>
      <c r="N13905">
        <v>0</v>
      </c>
      <c r="O13905">
        <v>4586</v>
      </c>
    </row>
    <row r="13906" spans="1:15" x14ac:dyDescent="0.25">
      <c r="A13906" t="s">
        <v>13919</v>
      </c>
      <c r="B13906">
        <v>162</v>
      </c>
      <c r="C13906" s="1" t="str">
        <f>HYPERLINK("http://www.rosaceae.org/gb/gbrowse/malus_x_domestica/?name=MDP0000778861","MDP0000778861")</f>
        <v>MDP0000778861</v>
      </c>
      <c r="D13906">
        <v>45.39</v>
      </c>
      <c r="E13906">
        <v>163</v>
      </c>
      <c r="F13906">
        <v>89</v>
      </c>
      <c r="G13906">
        <v>14</v>
      </c>
      <c r="H13906">
        <v>3</v>
      </c>
      <c r="I13906">
        <v>158</v>
      </c>
      <c r="J13906">
        <v>1</v>
      </c>
      <c r="K13906">
        <v>54</v>
      </c>
      <c r="L13906">
        <v>209</v>
      </c>
      <c r="M13906">
        <v>1</v>
      </c>
      <c r="N13906">
        <v>1.28342E-26</v>
      </c>
      <c r="O13906">
        <v>290</v>
      </c>
    </row>
    <row r="13907" spans="1:15" x14ac:dyDescent="0.25">
      <c r="A13907" t="s">
        <v>13920</v>
      </c>
      <c r="B13907">
        <v>526</v>
      </c>
      <c r="C13907" s="1" t="str">
        <f>HYPERLINK("http://www.rosaceae.org/gb/gbrowse/malus_x_domestica/?name=MDP0000267831","MDP0000267831")</f>
        <v>MDP0000267831</v>
      </c>
      <c r="D13907">
        <v>50</v>
      </c>
      <c r="E13907">
        <v>452</v>
      </c>
      <c r="F13907">
        <v>226</v>
      </c>
      <c r="G13907">
        <v>88</v>
      </c>
      <c r="H13907">
        <v>68</v>
      </c>
      <c r="I13907">
        <v>436</v>
      </c>
      <c r="J13907">
        <v>1</v>
      </c>
      <c r="K13907">
        <v>133</v>
      </c>
      <c r="L13907">
        <v>579</v>
      </c>
      <c r="M13907">
        <v>1</v>
      </c>
      <c r="N13907">
        <v>4.6787900000000001E-102</v>
      </c>
      <c r="O13907">
        <v>947</v>
      </c>
    </row>
    <row r="13908" spans="1:15" x14ac:dyDescent="0.25">
      <c r="A13908" t="s">
        <v>13921</v>
      </c>
      <c r="B13908">
        <v>375</v>
      </c>
      <c r="C13908" s="1" t="str">
        <f>HYPERLINK("http://www.rosaceae.org/gb/gbrowse/malus_x_domestica/?name=MDP0000170851","MDP0000170851")</f>
        <v>MDP0000170851</v>
      </c>
      <c r="D13908">
        <v>38.159999999999997</v>
      </c>
      <c r="E13908">
        <v>359</v>
      </c>
      <c r="F13908">
        <v>222</v>
      </c>
      <c r="G13908">
        <v>49</v>
      </c>
      <c r="H13908">
        <v>11</v>
      </c>
      <c r="I13908">
        <v>359</v>
      </c>
      <c r="J13908">
        <v>1</v>
      </c>
      <c r="K13908">
        <v>26</v>
      </c>
      <c r="L13908">
        <v>345</v>
      </c>
      <c r="M13908">
        <v>1</v>
      </c>
      <c r="N13908">
        <v>6.1965799999999996E-53</v>
      </c>
      <c r="O13908">
        <v>522</v>
      </c>
    </row>
    <row r="13909" spans="1:15" x14ac:dyDescent="0.25">
      <c r="A13909" t="s">
        <v>13922</v>
      </c>
      <c r="B13909">
        <v>761</v>
      </c>
      <c r="C13909" s="1" t="str">
        <f>HYPERLINK("http://www.rosaceae.org/gb/gbrowse/malus_x_domestica/?name=MDP0000184044","MDP0000184044")</f>
        <v>MDP0000184044</v>
      </c>
      <c r="D13909">
        <v>64.72</v>
      </c>
      <c r="E13909">
        <v>771</v>
      </c>
      <c r="F13909">
        <v>272</v>
      </c>
      <c r="G13909">
        <v>79</v>
      </c>
      <c r="H13909">
        <v>26</v>
      </c>
      <c r="I13909">
        <v>756</v>
      </c>
      <c r="J13909">
        <v>1</v>
      </c>
      <c r="K13909">
        <v>31</v>
      </c>
      <c r="L13909">
        <v>762</v>
      </c>
      <c r="M13909">
        <v>1</v>
      </c>
      <c r="N13909">
        <v>0</v>
      </c>
      <c r="O13909">
        <v>2360</v>
      </c>
    </row>
    <row r="13910" spans="1:15" x14ac:dyDescent="0.25">
      <c r="A13910" t="s">
        <v>13923</v>
      </c>
      <c r="B13910">
        <v>297</v>
      </c>
      <c r="C13910" s="1" t="str">
        <f>HYPERLINK("http://www.rosaceae.org/gb/gbrowse/malus_x_domestica/?name=MDP0000194993","MDP0000194993")</f>
        <v>MDP0000194993</v>
      </c>
      <c r="D13910">
        <v>84.79</v>
      </c>
      <c r="E13910">
        <v>296</v>
      </c>
      <c r="F13910">
        <v>45</v>
      </c>
      <c r="G13910">
        <v>0</v>
      </c>
      <c r="H13910">
        <v>2</v>
      </c>
      <c r="I13910">
        <v>297</v>
      </c>
      <c r="J13910">
        <v>1</v>
      </c>
      <c r="K13910">
        <v>4</v>
      </c>
      <c r="L13910">
        <v>299</v>
      </c>
      <c r="M13910">
        <v>1</v>
      </c>
      <c r="N13910">
        <v>3.3682599999999999E-149</v>
      </c>
      <c r="O13910">
        <v>1351</v>
      </c>
    </row>
    <row r="13911" spans="1:15" x14ac:dyDescent="0.25">
      <c r="A13911" t="s">
        <v>13924</v>
      </c>
      <c r="B13911">
        <v>434</v>
      </c>
      <c r="C13911" s="1" t="str">
        <f>HYPERLINK("http://www.rosaceae.org/gb/gbrowse/malus_x_domestica/?name=MDP0000139060","MDP0000139060")</f>
        <v>MDP0000139060</v>
      </c>
      <c r="D13911">
        <v>72.09</v>
      </c>
      <c r="E13911">
        <v>473</v>
      </c>
      <c r="F13911">
        <v>132</v>
      </c>
      <c r="G13911">
        <v>72</v>
      </c>
      <c r="H13911">
        <v>3</v>
      </c>
      <c r="I13911">
        <v>433</v>
      </c>
      <c r="J13911">
        <v>1</v>
      </c>
      <c r="K13911">
        <v>51</v>
      </c>
      <c r="L13911">
        <v>493</v>
      </c>
      <c r="M13911">
        <v>1</v>
      </c>
      <c r="N13911">
        <v>0</v>
      </c>
      <c r="O13911">
        <v>1752</v>
      </c>
    </row>
    <row r="13912" spans="1:15" x14ac:dyDescent="0.25">
      <c r="A13912" t="s">
        <v>13925</v>
      </c>
      <c r="B13912">
        <v>548</v>
      </c>
      <c r="C13912" s="1" t="str">
        <f>HYPERLINK("http://www.rosaceae.org/gb/gbrowse/malus_x_domestica/?name=MDP0000279466","MDP0000279466")</f>
        <v>MDP0000279466</v>
      </c>
      <c r="D13912">
        <v>59.09</v>
      </c>
      <c r="E13912">
        <v>550</v>
      </c>
      <c r="F13912">
        <v>225</v>
      </c>
      <c r="G13912">
        <v>31</v>
      </c>
      <c r="H13912">
        <v>1</v>
      </c>
      <c r="I13912">
        <v>548</v>
      </c>
      <c r="J13912">
        <v>1</v>
      </c>
      <c r="K13912">
        <v>1</v>
      </c>
      <c r="L13912">
        <v>521</v>
      </c>
      <c r="M13912">
        <v>1</v>
      </c>
      <c r="N13912">
        <v>4.7204599999999997E-162</v>
      </c>
      <c r="O13912">
        <v>1464</v>
      </c>
    </row>
    <row r="13913" spans="1:15" x14ac:dyDescent="0.25">
      <c r="A13913" t="s">
        <v>13926</v>
      </c>
      <c r="B13913">
        <v>412</v>
      </c>
      <c r="C13913" s="1" t="str">
        <f>HYPERLINK("http://www.rosaceae.org/gb/gbrowse/malus_x_domestica/?name=MDP0000152673","MDP0000152673")</f>
        <v>MDP0000152673</v>
      </c>
      <c r="D13913">
        <v>86.66</v>
      </c>
      <c r="E13913">
        <v>180</v>
      </c>
      <c r="F13913">
        <v>24</v>
      </c>
      <c r="G13913">
        <v>0</v>
      </c>
      <c r="H13913">
        <v>1</v>
      </c>
      <c r="I13913">
        <v>180</v>
      </c>
      <c r="J13913">
        <v>1</v>
      </c>
      <c r="K13913">
        <v>42</v>
      </c>
      <c r="L13913">
        <v>221</v>
      </c>
      <c r="M13913">
        <v>1</v>
      </c>
      <c r="N13913">
        <v>3.3254300000000002E-86</v>
      </c>
      <c r="O13913">
        <v>809</v>
      </c>
    </row>
    <row r="13914" spans="1:15" x14ac:dyDescent="0.25">
      <c r="A13914" t="s">
        <v>13927</v>
      </c>
      <c r="B13914">
        <v>130</v>
      </c>
      <c r="C13914" s="1" t="str">
        <f>HYPERLINK("http://www.rosaceae.org/gb/gbrowse/malus_x_domestica/?name=MDP0000512554","MDP0000512554")</f>
        <v>MDP0000512554</v>
      </c>
      <c r="D13914">
        <v>36.840000000000003</v>
      </c>
      <c r="E13914">
        <v>95</v>
      </c>
      <c r="F13914">
        <v>60</v>
      </c>
      <c r="G13914">
        <v>0</v>
      </c>
      <c r="H13914">
        <v>1</v>
      </c>
      <c r="I13914">
        <v>95</v>
      </c>
      <c r="J13914">
        <v>1</v>
      </c>
      <c r="K13914">
        <v>1</v>
      </c>
      <c r="L13914">
        <v>95</v>
      </c>
      <c r="M13914">
        <v>1</v>
      </c>
      <c r="N13914">
        <v>1.0370300000000001E-9</v>
      </c>
      <c r="O13914">
        <v>142</v>
      </c>
    </row>
    <row r="13915" spans="1:15" x14ac:dyDescent="0.25">
      <c r="A13915" t="s">
        <v>13928</v>
      </c>
      <c r="B13915">
        <v>710</v>
      </c>
      <c r="C13915" s="1" t="str">
        <f>HYPERLINK("http://www.rosaceae.org/gb/gbrowse/malus_x_domestica/?name=MDP0000279790","MDP0000279790")</f>
        <v>MDP0000279790</v>
      </c>
      <c r="D13915">
        <v>71.58</v>
      </c>
      <c r="E13915">
        <v>542</v>
      </c>
      <c r="F13915">
        <v>154</v>
      </c>
      <c r="G13915">
        <v>10</v>
      </c>
      <c r="H13915">
        <v>173</v>
      </c>
      <c r="I13915">
        <v>710</v>
      </c>
      <c r="J13915">
        <v>1</v>
      </c>
      <c r="K13915">
        <v>51</v>
      </c>
      <c r="L13915">
        <v>586</v>
      </c>
      <c r="M13915">
        <v>1</v>
      </c>
      <c r="N13915">
        <v>0</v>
      </c>
      <c r="O13915">
        <v>1975</v>
      </c>
    </row>
    <row r="13916" spans="1:15" x14ac:dyDescent="0.25">
      <c r="A13916" t="s">
        <v>13929</v>
      </c>
      <c r="B13916">
        <v>117</v>
      </c>
      <c r="C13916" s="1" t="str">
        <f>HYPERLINK("http://www.rosaceae.org/gb/gbrowse/malus_x_domestica/?name=MDP0000319928","MDP0000319928")</f>
        <v>MDP0000319928</v>
      </c>
      <c r="D13916">
        <v>78.569999999999993</v>
      </c>
      <c r="E13916">
        <v>98</v>
      </c>
      <c r="F13916">
        <v>21</v>
      </c>
      <c r="G13916">
        <v>1</v>
      </c>
      <c r="H13916">
        <v>21</v>
      </c>
      <c r="I13916">
        <v>117</v>
      </c>
      <c r="J13916">
        <v>1</v>
      </c>
      <c r="K13916">
        <v>2</v>
      </c>
      <c r="L13916">
        <v>99</v>
      </c>
      <c r="M13916">
        <v>1</v>
      </c>
      <c r="N13916">
        <v>1.9175700000000001E-42</v>
      </c>
      <c r="O13916">
        <v>423</v>
      </c>
    </row>
    <row r="13917" spans="1:15" x14ac:dyDescent="0.25">
      <c r="A13917" t="s">
        <v>13930</v>
      </c>
      <c r="B13917">
        <v>415</v>
      </c>
      <c r="C13917" s="1" t="str">
        <f>HYPERLINK("http://www.rosaceae.org/gb/gbrowse/malus_x_domestica/?name=MDP0000269352","MDP0000269352")</f>
        <v>MDP0000269352</v>
      </c>
      <c r="D13917">
        <v>66.819999999999993</v>
      </c>
      <c r="E13917">
        <v>410</v>
      </c>
      <c r="F13917">
        <v>136</v>
      </c>
      <c r="G13917">
        <v>1</v>
      </c>
      <c r="H13917">
        <v>1</v>
      </c>
      <c r="I13917">
        <v>409</v>
      </c>
      <c r="J13917">
        <v>1</v>
      </c>
      <c r="K13917">
        <v>1</v>
      </c>
      <c r="L13917">
        <v>410</v>
      </c>
      <c r="M13917">
        <v>1</v>
      </c>
      <c r="N13917">
        <v>2.4600700000000001E-152</v>
      </c>
      <c r="O13917">
        <v>1379</v>
      </c>
    </row>
    <row r="13918" spans="1:15" x14ac:dyDescent="0.25">
      <c r="A13918" t="s">
        <v>13931</v>
      </c>
      <c r="B13918">
        <v>719</v>
      </c>
      <c r="C13918" s="1" t="str">
        <f>HYPERLINK("http://www.rosaceae.org/gb/gbrowse/malus_x_domestica/?name=MDP0000314558","MDP0000314558")</f>
        <v>MDP0000314558</v>
      </c>
      <c r="D13918">
        <v>73.61</v>
      </c>
      <c r="E13918">
        <v>720</v>
      </c>
      <c r="F13918">
        <v>190</v>
      </c>
      <c r="G13918">
        <v>6</v>
      </c>
      <c r="H13918">
        <v>1</v>
      </c>
      <c r="I13918">
        <v>719</v>
      </c>
      <c r="J13918">
        <v>1</v>
      </c>
      <c r="K13918">
        <v>1</v>
      </c>
      <c r="L13918">
        <v>715</v>
      </c>
      <c r="M13918">
        <v>1</v>
      </c>
      <c r="N13918">
        <v>0</v>
      </c>
      <c r="O13918">
        <v>2828</v>
      </c>
    </row>
    <row r="13919" spans="1:15" x14ac:dyDescent="0.25">
      <c r="A13919" t="s">
        <v>13932</v>
      </c>
      <c r="B13919">
        <v>876</v>
      </c>
      <c r="C13919" s="1" t="str">
        <f>HYPERLINK("http://www.rosaceae.org/gb/gbrowse/malus_x_domestica/?name=MDP0000292934","MDP0000292934")</f>
        <v>MDP0000292934</v>
      </c>
      <c r="D13919">
        <v>75.58</v>
      </c>
      <c r="E13919">
        <v>811</v>
      </c>
      <c r="F13919">
        <v>198</v>
      </c>
      <c r="G13919">
        <v>13</v>
      </c>
      <c r="H13919">
        <v>62</v>
      </c>
      <c r="I13919">
        <v>862</v>
      </c>
      <c r="J13919">
        <v>1</v>
      </c>
      <c r="K13919">
        <v>61</v>
      </c>
      <c r="L13919">
        <v>868</v>
      </c>
      <c r="M13919">
        <v>1</v>
      </c>
      <c r="N13919">
        <v>0</v>
      </c>
      <c r="O13919">
        <v>3207</v>
      </c>
    </row>
    <row r="13920" spans="1:15" x14ac:dyDescent="0.25">
      <c r="A13920" t="s">
        <v>13933</v>
      </c>
      <c r="B13920">
        <v>324</v>
      </c>
      <c r="C13920" s="1" t="str">
        <f>HYPERLINK("http://www.rosaceae.org/gb/gbrowse/malus_x_domestica/?name=MDP0000788664","MDP0000788664")</f>
        <v>MDP0000788664</v>
      </c>
      <c r="D13920">
        <v>66.56</v>
      </c>
      <c r="E13920">
        <v>335</v>
      </c>
      <c r="F13920">
        <v>112</v>
      </c>
      <c r="G13920">
        <v>13</v>
      </c>
      <c r="H13920">
        <v>1</v>
      </c>
      <c r="I13920">
        <v>323</v>
      </c>
      <c r="J13920">
        <v>1</v>
      </c>
      <c r="K13920">
        <v>1</v>
      </c>
      <c r="L13920">
        <v>334</v>
      </c>
      <c r="M13920">
        <v>1</v>
      </c>
      <c r="N13920">
        <v>8.1036500000000003E-132</v>
      </c>
      <c r="O13920">
        <v>1201</v>
      </c>
    </row>
    <row r="13921" spans="1:15" x14ac:dyDescent="0.25">
      <c r="A13921" t="s">
        <v>13934</v>
      </c>
      <c r="B13921">
        <v>121</v>
      </c>
      <c r="C13921" s="1" t="str">
        <f>HYPERLINK("http://www.rosaceae.org/gb/gbrowse/malus_x_domestica/?name=MDP0000259301","MDP0000259301")</f>
        <v>MDP0000259301</v>
      </c>
      <c r="D13921">
        <v>79.16</v>
      </c>
      <c r="E13921">
        <v>48</v>
      </c>
      <c r="F13921">
        <v>10</v>
      </c>
      <c r="G13921">
        <v>1</v>
      </c>
      <c r="H13921">
        <v>2</v>
      </c>
      <c r="I13921">
        <v>48</v>
      </c>
      <c r="J13921">
        <v>1</v>
      </c>
      <c r="K13921">
        <v>851</v>
      </c>
      <c r="L13921">
        <v>898</v>
      </c>
      <c r="M13921">
        <v>1</v>
      </c>
      <c r="N13921">
        <v>3.7194799999999998E-14</v>
      </c>
      <c r="O13921">
        <v>180</v>
      </c>
    </row>
    <row r="13922" spans="1:15" x14ac:dyDescent="0.25">
      <c r="A13922" t="s">
        <v>13935</v>
      </c>
      <c r="B13922">
        <v>272</v>
      </c>
      <c r="C13922" s="1" t="str">
        <f>HYPERLINK("http://www.rosaceae.org/gb/gbrowse/malus_x_domestica/?name=MDP0000124256","MDP0000124256")</f>
        <v>MDP0000124256</v>
      </c>
      <c r="D13922">
        <v>32.72</v>
      </c>
      <c r="E13922">
        <v>110</v>
      </c>
      <c r="F13922">
        <v>74</v>
      </c>
      <c r="G13922">
        <v>1</v>
      </c>
      <c r="H13922">
        <v>138</v>
      </c>
      <c r="I13922">
        <v>246</v>
      </c>
      <c r="J13922">
        <v>1</v>
      </c>
      <c r="K13922">
        <v>81</v>
      </c>
      <c r="L13922">
        <v>190</v>
      </c>
      <c r="M13922">
        <v>1</v>
      </c>
      <c r="N13922">
        <v>1.7777699999999999E-11</v>
      </c>
      <c r="O13922">
        <v>162</v>
      </c>
    </row>
    <row r="13923" spans="1:15" x14ac:dyDescent="0.25">
      <c r="A13923" t="s">
        <v>13936</v>
      </c>
      <c r="B13923">
        <v>422</v>
      </c>
      <c r="C13923" s="1" t="str">
        <f>HYPERLINK("http://www.rosaceae.org/gb/gbrowse/malus_x_domestica/?name=MDP0000125635","MDP0000125635")</f>
        <v>MDP0000125635</v>
      </c>
      <c r="D13923">
        <v>65.91</v>
      </c>
      <c r="E13923">
        <v>487</v>
      </c>
      <c r="F13923">
        <v>166</v>
      </c>
      <c r="G13923">
        <v>66</v>
      </c>
      <c r="H13923">
        <v>1</v>
      </c>
      <c r="I13923">
        <v>422</v>
      </c>
      <c r="J13923">
        <v>1</v>
      </c>
      <c r="K13923">
        <v>1</v>
      </c>
      <c r="L13923">
        <v>486</v>
      </c>
      <c r="M13923">
        <v>1</v>
      </c>
      <c r="N13923">
        <v>0</v>
      </c>
      <c r="O13923">
        <v>1629</v>
      </c>
    </row>
    <row r="13924" spans="1:15" x14ac:dyDescent="0.25">
      <c r="A13924" t="s">
        <v>13937</v>
      </c>
      <c r="B13924">
        <v>310</v>
      </c>
      <c r="C13924" s="1" t="str">
        <f>HYPERLINK("http://www.rosaceae.org/gb/gbrowse/malus_x_domestica/?name=MDP0000020140","MDP0000020140")</f>
        <v>MDP0000020140</v>
      </c>
      <c r="D13924">
        <v>42.04</v>
      </c>
      <c r="E13924">
        <v>264</v>
      </c>
      <c r="F13924">
        <v>153</v>
      </c>
      <c r="G13924">
        <v>1</v>
      </c>
      <c r="H13924">
        <v>4</v>
      </c>
      <c r="I13924">
        <v>266</v>
      </c>
      <c r="J13924">
        <v>1</v>
      </c>
      <c r="K13924">
        <v>7</v>
      </c>
      <c r="L13924">
        <v>270</v>
      </c>
      <c r="M13924">
        <v>1</v>
      </c>
      <c r="N13924">
        <v>3.2832300000000001E-58</v>
      </c>
      <c r="O13924">
        <v>566</v>
      </c>
    </row>
    <row r="13925" spans="1:15" x14ac:dyDescent="0.25">
      <c r="A13925" t="s">
        <v>13938</v>
      </c>
      <c r="B13925">
        <v>461</v>
      </c>
      <c r="C13925" s="1" t="str">
        <f>HYPERLINK("http://www.rosaceae.org/gb/gbrowse/malus_x_domestica/?name=MDP0000786621","MDP0000786621")</f>
        <v>MDP0000786621</v>
      </c>
      <c r="D13925">
        <v>87.45</v>
      </c>
      <c r="E13925">
        <v>287</v>
      </c>
      <c r="F13925">
        <v>36</v>
      </c>
      <c r="G13925">
        <v>5</v>
      </c>
      <c r="H13925">
        <v>175</v>
      </c>
      <c r="I13925">
        <v>461</v>
      </c>
      <c r="J13925">
        <v>1</v>
      </c>
      <c r="K13925">
        <v>83</v>
      </c>
      <c r="L13925">
        <v>364</v>
      </c>
      <c r="M13925">
        <v>1</v>
      </c>
      <c r="N13925">
        <v>3.3473899999999999E-150</v>
      </c>
      <c r="O13925">
        <v>1361</v>
      </c>
    </row>
    <row r="13926" spans="1:15" x14ac:dyDescent="0.25">
      <c r="A13926" t="s">
        <v>13939</v>
      </c>
      <c r="B13926">
        <v>237</v>
      </c>
      <c r="C13926" s="1" t="str">
        <f>HYPERLINK("http://www.rosaceae.org/gb/gbrowse/malus_x_domestica/?name=MDP0000287232","MDP0000287232")</f>
        <v>MDP0000287232</v>
      </c>
      <c r="D13926">
        <v>43.2</v>
      </c>
      <c r="E13926">
        <v>250</v>
      </c>
      <c r="F13926">
        <v>142</v>
      </c>
      <c r="G13926">
        <v>33</v>
      </c>
      <c r="H13926">
        <v>1</v>
      </c>
      <c r="I13926">
        <v>235</v>
      </c>
      <c r="J13926">
        <v>1</v>
      </c>
      <c r="K13926">
        <v>1</v>
      </c>
      <c r="L13926">
        <v>232</v>
      </c>
      <c r="M13926">
        <v>1</v>
      </c>
      <c r="N13926">
        <v>6.4781499999999999E-41</v>
      </c>
      <c r="O13926">
        <v>415</v>
      </c>
    </row>
    <row r="13927" spans="1:15" x14ac:dyDescent="0.25">
      <c r="A13927" t="s">
        <v>13940</v>
      </c>
      <c r="B13927">
        <v>583</v>
      </c>
      <c r="C13927" s="1" t="str">
        <f>HYPERLINK("http://www.rosaceae.org/gb/gbrowse/malus_x_domestica/?name=MDP0000405748","MDP0000405748")</f>
        <v>MDP0000405748</v>
      </c>
      <c r="D13927">
        <v>41.86</v>
      </c>
      <c r="E13927">
        <v>430</v>
      </c>
      <c r="F13927">
        <v>250</v>
      </c>
      <c r="G13927">
        <v>76</v>
      </c>
      <c r="H13927">
        <v>175</v>
      </c>
      <c r="I13927">
        <v>549</v>
      </c>
      <c r="J13927">
        <v>1</v>
      </c>
      <c r="K13927">
        <v>196</v>
      </c>
      <c r="L13927">
        <v>604</v>
      </c>
      <c r="M13927">
        <v>1</v>
      </c>
      <c r="N13927">
        <v>9.1866999999999995E-66</v>
      </c>
      <c r="O13927">
        <v>634</v>
      </c>
    </row>
    <row r="13928" spans="1:15" x14ac:dyDescent="0.25">
      <c r="A13928" t="s">
        <v>13941</v>
      </c>
      <c r="B13928">
        <v>316</v>
      </c>
      <c r="C13928" s="1" t="str">
        <f>HYPERLINK("http://www.rosaceae.org/gb/gbrowse/malus_x_domestica/?name=MDP0000223016","MDP0000223016")</f>
        <v>MDP0000223016</v>
      </c>
      <c r="D13928">
        <v>72.510000000000005</v>
      </c>
      <c r="E13928">
        <v>302</v>
      </c>
      <c r="F13928">
        <v>83</v>
      </c>
      <c r="G13928">
        <v>5</v>
      </c>
      <c r="H13928">
        <v>15</v>
      </c>
      <c r="I13928">
        <v>315</v>
      </c>
      <c r="J13928">
        <v>1</v>
      </c>
      <c r="K13928">
        <v>200</v>
      </c>
      <c r="L13928">
        <v>497</v>
      </c>
      <c r="M13928">
        <v>1</v>
      </c>
      <c r="N13928">
        <v>1.4372500000000001E-128</v>
      </c>
      <c r="O13928">
        <v>1173</v>
      </c>
    </row>
    <row r="13929" spans="1:15" x14ac:dyDescent="0.25">
      <c r="A13929" t="s">
        <v>13942</v>
      </c>
      <c r="B13929">
        <v>290</v>
      </c>
      <c r="C13929" s="1" t="str">
        <f>HYPERLINK("http://www.rosaceae.org/gb/gbrowse/malus_x_domestica/?name=MDP0000915151","MDP0000915151")</f>
        <v>MDP0000915151</v>
      </c>
      <c r="D13929">
        <v>71.42</v>
      </c>
      <c r="E13929">
        <v>245</v>
      </c>
      <c r="F13929">
        <v>70</v>
      </c>
      <c r="G13929">
        <v>7</v>
      </c>
      <c r="H13929">
        <v>5</v>
      </c>
      <c r="I13929">
        <v>243</v>
      </c>
      <c r="J13929">
        <v>1</v>
      </c>
      <c r="K13929">
        <v>9</v>
      </c>
      <c r="L13929">
        <v>252</v>
      </c>
      <c r="M13929">
        <v>1</v>
      </c>
      <c r="N13929">
        <v>3.1072500000000002E-99</v>
      </c>
      <c r="O13929">
        <v>920</v>
      </c>
    </row>
    <row r="13930" spans="1:15" x14ac:dyDescent="0.25">
      <c r="A13930" t="s">
        <v>13943</v>
      </c>
      <c r="B13930">
        <v>253</v>
      </c>
      <c r="C13930" s="1" t="str">
        <f>HYPERLINK("http://www.rosaceae.org/gb/gbrowse/malus_x_domestica/?name=MDP0000553127","MDP0000553127")</f>
        <v>MDP0000553127</v>
      </c>
      <c r="D13930">
        <v>55</v>
      </c>
      <c r="E13930">
        <v>140</v>
      </c>
      <c r="F13930">
        <v>63</v>
      </c>
      <c r="G13930">
        <v>0</v>
      </c>
      <c r="H13930">
        <v>23</v>
      </c>
      <c r="I13930">
        <v>162</v>
      </c>
      <c r="J13930">
        <v>1</v>
      </c>
      <c r="K13930">
        <v>24</v>
      </c>
      <c r="L13930">
        <v>163</v>
      </c>
      <c r="M13930">
        <v>1</v>
      </c>
      <c r="N13930">
        <v>7.0933199999999994E-45</v>
      </c>
      <c r="O13930">
        <v>450</v>
      </c>
    </row>
    <row r="13931" spans="1:15" x14ac:dyDescent="0.25">
      <c r="A13931" t="s">
        <v>13944</v>
      </c>
      <c r="B13931">
        <v>389</v>
      </c>
      <c r="C13931" s="1" t="str">
        <f>HYPERLINK("http://www.rosaceae.org/gb/gbrowse/malus_x_domestica/?name=MDP0000792734","MDP0000792734")</f>
        <v>MDP0000792734</v>
      </c>
      <c r="D13931">
        <v>51.96</v>
      </c>
      <c r="E13931">
        <v>356</v>
      </c>
      <c r="F13931">
        <v>171</v>
      </c>
      <c r="G13931">
        <v>5</v>
      </c>
      <c r="H13931">
        <v>37</v>
      </c>
      <c r="I13931">
        <v>389</v>
      </c>
      <c r="J13931">
        <v>1</v>
      </c>
      <c r="K13931">
        <v>50</v>
      </c>
      <c r="L13931">
        <v>403</v>
      </c>
      <c r="M13931">
        <v>1</v>
      </c>
      <c r="N13931">
        <v>2.3073299999999999E-95</v>
      </c>
      <c r="O13931">
        <v>888</v>
      </c>
    </row>
    <row r="13932" spans="1:15" x14ac:dyDescent="0.25">
      <c r="A13932" t="s">
        <v>13945</v>
      </c>
      <c r="B13932">
        <v>549</v>
      </c>
      <c r="C13932" s="1" t="str">
        <f>HYPERLINK("http://www.rosaceae.org/gb/gbrowse/malus_x_domestica/?name=MDP0000179069","MDP0000179069")</f>
        <v>MDP0000179069</v>
      </c>
      <c r="D13932">
        <v>81.93</v>
      </c>
      <c r="E13932">
        <v>548</v>
      </c>
      <c r="F13932">
        <v>99</v>
      </c>
      <c r="G13932">
        <v>24</v>
      </c>
      <c r="H13932">
        <v>1</v>
      </c>
      <c r="I13932">
        <v>545</v>
      </c>
      <c r="J13932">
        <v>1</v>
      </c>
      <c r="K13932">
        <v>1</v>
      </c>
      <c r="L13932">
        <v>527</v>
      </c>
      <c r="M13932">
        <v>1</v>
      </c>
      <c r="N13932">
        <v>0</v>
      </c>
      <c r="O13932">
        <v>2373</v>
      </c>
    </row>
    <row r="13933" spans="1:15" x14ac:dyDescent="0.25">
      <c r="A13933" t="s">
        <v>13946</v>
      </c>
      <c r="B13933">
        <v>274</v>
      </c>
      <c r="C13933" s="1" t="str">
        <f>HYPERLINK("http://www.rosaceae.org/gb/gbrowse/malus_x_domestica/?name=MDP0000171111","MDP0000171111")</f>
        <v>MDP0000171111</v>
      </c>
      <c r="D13933">
        <v>40.07</v>
      </c>
      <c r="E13933">
        <v>282</v>
      </c>
      <c r="F13933">
        <v>169</v>
      </c>
      <c r="G13933">
        <v>24</v>
      </c>
      <c r="H13933">
        <v>5</v>
      </c>
      <c r="I13933">
        <v>273</v>
      </c>
      <c r="J13933">
        <v>1</v>
      </c>
      <c r="K13933">
        <v>85</v>
      </c>
      <c r="L13933">
        <v>355</v>
      </c>
      <c r="M13933">
        <v>1</v>
      </c>
      <c r="N13933">
        <v>4.4287599999999999E-40</v>
      </c>
      <c r="O13933">
        <v>409</v>
      </c>
    </row>
    <row r="13934" spans="1:15" x14ac:dyDescent="0.25">
      <c r="A13934" t="s">
        <v>13947</v>
      </c>
      <c r="B13934">
        <v>344</v>
      </c>
      <c r="C13934" s="1" t="str">
        <f>HYPERLINK("http://www.rosaceae.org/gb/gbrowse/malus_x_domestica/?name=MDP0000205762","MDP0000205762")</f>
        <v>MDP0000205762</v>
      </c>
      <c r="D13934">
        <v>68.25</v>
      </c>
      <c r="E13934">
        <v>293</v>
      </c>
      <c r="F13934">
        <v>93</v>
      </c>
      <c r="G13934">
        <v>28</v>
      </c>
      <c r="H13934">
        <v>11</v>
      </c>
      <c r="I13934">
        <v>301</v>
      </c>
      <c r="J13934">
        <v>1</v>
      </c>
      <c r="K13934">
        <v>119</v>
      </c>
      <c r="L13934">
        <v>385</v>
      </c>
      <c r="M13934">
        <v>1</v>
      </c>
      <c r="N13934">
        <v>4.03295E-105</v>
      </c>
      <c r="O13934">
        <v>971</v>
      </c>
    </row>
    <row r="13935" spans="1:15" x14ac:dyDescent="0.25">
      <c r="A13935" t="s">
        <v>13948</v>
      </c>
      <c r="B13935">
        <v>247</v>
      </c>
      <c r="C13935" s="1" t="str">
        <f>HYPERLINK("http://www.rosaceae.org/gb/gbrowse/malus_x_domestica/?name=MDP0000144837","MDP0000144837")</f>
        <v>MDP0000144837</v>
      </c>
      <c r="D13935">
        <v>51.08</v>
      </c>
      <c r="E13935">
        <v>231</v>
      </c>
      <c r="F13935">
        <v>113</v>
      </c>
      <c r="G13935">
        <v>29</v>
      </c>
      <c r="H13935">
        <v>22</v>
      </c>
      <c r="I13935">
        <v>247</v>
      </c>
      <c r="J13935">
        <v>1</v>
      </c>
      <c r="K13935">
        <v>32</v>
      </c>
      <c r="L13935">
        <v>238</v>
      </c>
      <c r="M13935">
        <v>1</v>
      </c>
      <c r="N13935">
        <v>4.4403800000000001E-54</v>
      </c>
      <c r="O13935">
        <v>529</v>
      </c>
    </row>
    <row r="13936" spans="1:15" x14ac:dyDescent="0.25">
      <c r="A13936" t="s">
        <v>13949</v>
      </c>
      <c r="B13936">
        <v>488</v>
      </c>
      <c r="C13936" s="1" t="str">
        <f>HYPERLINK("http://www.rosaceae.org/gb/gbrowse/malus_x_domestica/?name=MDP0000285734","MDP0000285734")</f>
        <v>MDP0000285734</v>
      </c>
      <c r="D13936">
        <v>63.97</v>
      </c>
      <c r="E13936">
        <v>483</v>
      </c>
      <c r="F13936">
        <v>174</v>
      </c>
      <c r="G13936">
        <v>12</v>
      </c>
      <c r="H13936">
        <v>1</v>
      </c>
      <c r="I13936">
        <v>472</v>
      </c>
      <c r="J13936">
        <v>1</v>
      </c>
      <c r="K13936">
        <v>1</v>
      </c>
      <c r="L13936">
        <v>482</v>
      </c>
      <c r="M13936">
        <v>1</v>
      </c>
      <c r="N13936">
        <v>8.4644300000000001E-168</v>
      </c>
      <c r="O13936">
        <v>1513</v>
      </c>
    </row>
    <row r="13937" spans="1:15" x14ac:dyDescent="0.25">
      <c r="A13937" t="s">
        <v>13950</v>
      </c>
      <c r="B13937">
        <v>256</v>
      </c>
      <c r="C13937" s="1" t="str">
        <f>HYPERLINK("http://www.rosaceae.org/gb/gbrowse/malus_x_domestica/?name=MDP0000506266","MDP0000506266")</f>
        <v>MDP0000506266</v>
      </c>
      <c r="D13937">
        <v>54.16</v>
      </c>
      <c r="E13937">
        <v>240</v>
      </c>
      <c r="F13937">
        <v>110</v>
      </c>
      <c r="G13937">
        <v>20</v>
      </c>
      <c r="H13937">
        <v>2</v>
      </c>
      <c r="I13937">
        <v>241</v>
      </c>
      <c r="J13937">
        <v>1</v>
      </c>
      <c r="K13937">
        <v>6</v>
      </c>
      <c r="L13937">
        <v>225</v>
      </c>
      <c r="M13937">
        <v>1</v>
      </c>
      <c r="N13937">
        <v>9.6332500000000001E-64</v>
      </c>
      <c r="O13937">
        <v>613</v>
      </c>
    </row>
    <row r="13938" spans="1:15" x14ac:dyDescent="0.25">
      <c r="A13938" t="s">
        <v>13951</v>
      </c>
      <c r="B13938">
        <v>309</v>
      </c>
      <c r="C13938" s="1" t="str">
        <f>HYPERLINK("http://www.rosaceae.org/gb/gbrowse/malus_x_domestica/?name=MDP0000303333","MDP0000303333")</f>
        <v>MDP0000303333</v>
      </c>
      <c r="D13938">
        <v>66.83</v>
      </c>
      <c r="E13938">
        <v>196</v>
      </c>
      <c r="F13938">
        <v>65</v>
      </c>
      <c r="G13938">
        <v>19</v>
      </c>
      <c r="H13938">
        <v>114</v>
      </c>
      <c r="I13938">
        <v>309</v>
      </c>
      <c r="J13938">
        <v>1</v>
      </c>
      <c r="K13938">
        <v>1</v>
      </c>
      <c r="L13938">
        <v>177</v>
      </c>
      <c r="M13938">
        <v>1</v>
      </c>
      <c r="N13938">
        <v>3.0828899999999998E-57</v>
      </c>
      <c r="O13938">
        <v>558</v>
      </c>
    </row>
    <row r="13939" spans="1:15" x14ac:dyDescent="0.25">
      <c r="A13939" t="s">
        <v>13952</v>
      </c>
      <c r="B13939">
        <v>1011</v>
      </c>
      <c r="C13939" s="1" t="str">
        <f>HYPERLINK("http://www.rosaceae.org/gb/gbrowse/malus_x_domestica/?name=MDP0000196032","MDP0000196032")</f>
        <v>MDP0000196032</v>
      </c>
      <c r="D13939">
        <v>49.01</v>
      </c>
      <c r="E13939">
        <v>969</v>
      </c>
      <c r="F13939">
        <v>494</v>
      </c>
      <c r="G13939">
        <v>76</v>
      </c>
      <c r="H13939">
        <v>42</v>
      </c>
      <c r="I13939">
        <v>1005</v>
      </c>
      <c r="J13939">
        <v>1</v>
      </c>
      <c r="K13939">
        <v>34</v>
      </c>
      <c r="L13939">
        <v>931</v>
      </c>
      <c r="M13939">
        <v>1</v>
      </c>
      <c r="N13939">
        <v>0</v>
      </c>
      <c r="O13939">
        <v>2250</v>
      </c>
    </row>
    <row r="13940" spans="1:15" x14ac:dyDescent="0.25">
      <c r="A13940" t="s">
        <v>13953</v>
      </c>
      <c r="B13940">
        <v>380</v>
      </c>
      <c r="C13940" s="1" t="str">
        <f>HYPERLINK("http://www.rosaceae.org/gb/gbrowse/malus_x_domestica/?name=MDP0000320462","MDP0000320462")</f>
        <v>MDP0000320462</v>
      </c>
      <c r="D13940">
        <v>58.85</v>
      </c>
      <c r="E13940">
        <v>384</v>
      </c>
      <c r="F13940">
        <v>158</v>
      </c>
      <c r="G13940">
        <v>9</v>
      </c>
      <c r="H13940">
        <v>1</v>
      </c>
      <c r="I13940">
        <v>380</v>
      </c>
      <c r="J13940">
        <v>1</v>
      </c>
      <c r="K13940">
        <v>1</v>
      </c>
      <c r="L13940">
        <v>379</v>
      </c>
      <c r="M13940">
        <v>1</v>
      </c>
      <c r="N13940">
        <v>3.2316099999999997E-117</v>
      </c>
      <c r="O13940">
        <v>1076</v>
      </c>
    </row>
    <row r="13941" spans="1:15" x14ac:dyDescent="0.25">
      <c r="A13941" t="s">
        <v>13954</v>
      </c>
      <c r="B13941">
        <v>304</v>
      </c>
      <c r="C13941" s="1" t="str">
        <f>HYPERLINK("http://www.rosaceae.org/gb/gbrowse/malus_x_domestica/?name=MDP0000227827","MDP0000227827")</f>
        <v>MDP0000227827</v>
      </c>
      <c r="D13941">
        <v>64.760000000000005</v>
      </c>
      <c r="E13941">
        <v>298</v>
      </c>
      <c r="F13941">
        <v>105</v>
      </c>
      <c r="G13941">
        <v>2</v>
      </c>
      <c r="H13941">
        <v>7</v>
      </c>
      <c r="I13941">
        <v>304</v>
      </c>
      <c r="J13941">
        <v>1</v>
      </c>
      <c r="K13941">
        <v>5</v>
      </c>
      <c r="L13941">
        <v>300</v>
      </c>
      <c r="M13941">
        <v>1</v>
      </c>
      <c r="N13941">
        <v>1.3281300000000001E-114</v>
      </c>
      <c r="O13941">
        <v>1052</v>
      </c>
    </row>
    <row r="13942" spans="1:15" x14ac:dyDescent="0.25">
      <c r="A13942" t="s">
        <v>13955</v>
      </c>
      <c r="B13942">
        <v>470</v>
      </c>
      <c r="C13942" s="1" t="str">
        <f>HYPERLINK("http://www.rosaceae.org/gb/gbrowse/malus_x_domestica/?name=MDP0000278004","MDP0000278004")</f>
        <v>MDP0000278004</v>
      </c>
      <c r="D13942">
        <v>50.98</v>
      </c>
      <c r="E13942">
        <v>51</v>
      </c>
      <c r="F13942">
        <v>25</v>
      </c>
      <c r="G13942">
        <v>0</v>
      </c>
      <c r="H13942">
        <v>197</v>
      </c>
      <c r="I13942">
        <v>247</v>
      </c>
      <c r="J13942">
        <v>1</v>
      </c>
      <c r="K13942">
        <v>405</v>
      </c>
      <c r="L13942">
        <v>455</v>
      </c>
      <c r="M13942">
        <v>1</v>
      </c>
      <c r="N13942">
        <v>5.61262E-8</v>
      </c>
      <c r="O13942">
        <v>135</v>
      </c>
    </row>
    <row r="13943" spans="1:15" x14ac:dyDescent="0.25">
      <c r="A13943" t="s">
        <v>13956</v>
      </c>
      <c r="B13943">
        <v>624</v>
      </c>
      <c r="C13943" s="1" t="str">
        <f>HYPERLINK("http://www.rosaceae.org/gb/gbrowse/malus_x_domestica/?name=MDP0000770390","MDP0000770390")</f>
        <v>MDP0000770390</v>
      </c>
      <c r="D13943">
        <v>68.64</v>
      </c>
      <c r="E13943">
        <v>625</v>
      </c>
      <c r="F13943">
        <v>196</v>
      </c>
      <c r="G13943">
        <v>6</v>
      </c>
      <c r="H13943">
        <v>1</v>
      </c>
      <c r="I13943">
        <v>624</v>
      </c>
      <c r="J13943">
        <v>1</v>
      </c>
      <c r="K13943">
        <v>1</v>
      </c>
      <c r="L13943">
        <v>620</v>
      </c>
      <c r="M13943">
        <v>1</v>
      </c>
      <c r="N13943">
        <v>0</v>
      </c>
      <c r="O13943">
        <v>2181</v>
      </c>
    </row>
    <row r="13944" spans="1:15" x14ac:dyDescent="0.25">
      <c r="A13944" t="s">
        <v>13957</v>
      </c>
      <c r="B13944">
        <v>103</v>
      </c>
      <c r="C13944" s="1" t="str">
        <f>HYPERLINK("http://www.rosaceae.org/gb/gbrowse/malus_x_domestica/?name=MDP0000446835","MDP0000446835")</f>
        <v>MDP0000446835</v>
      </c>
      <c r="D13944">
        <v>51.76</v>
      </c>
      <c r="E13944">
        <v>85</v>
      </c>
      <c r="F13944">
        <v>41</v>
      </c>
      <c r="G13944">
        <v>2</v>
      </c>
      <c r="H13944">
        <v>1</v>
      </c>
      <c r="I13944">
        <v>85</v>
      </c>
      <c r="J13944">
        <v>1</v>
      </c>
      <c r="K13944">
        <v>1</v>
      </c>
      <c r="L13944">
        <v>83</v>
      </c>
      <c r="M13944">
        <v>1</v>
      </c>
      <c r="N13944">
        <v>1.25681E-17</v>
      </c>
      <c r="O13944">
        <v>209</v>
      </c>
    </row>
    <row r="13945" spans="1:15" x14ac:dyDescent="0.25">
      <c r="A13945" t="s">
        <v>13958</v>
      </c>
      <c r="B13945">
        <v>340</v>
      </c>
      <c r="C13945" s="1" t="str">
        <f>HYPERLINK("http://www.rosaceae.org/gb/gbrowse/malus_x_domestica/?name=MDP0000164135","MDP0000164135")</f>
        <v>MDP0000164135</v>
      </c>
      <c r="D13945">
        <v>43.33</v>
      </c>
      <c r="E13945">
        <v>90</v>
      </c>
      <c r="F13945">
        <v>51</v>
      </c>
      <c r="G13945">
        <v>0</v>
      </c>
      <c r="H13945">
        <v>75</v>
      </c>
      <c r="I13945">
        <v>164</v>
      </c>
      <c r="J13945">
        <v>1</v>
      </c>
      <c r="K13945">
        <v>126</v>
      </c>
      <c r="L13945">
        <v>215</v>
      </c>
      <c r="M13945">
        <v>1</v>
      </c>
      <c r="N13945">
        <v>1.66647E-16</v>
      </c>
      <c r="O13945">
        <v>207</v>
      </c>
    </row>
    <row r="13946" spans="1:15" x14ac:dyDescent="0.25">
      <c r="A13946" t="s">
        <v>13959</v>
      </c>
      <c r="B13946">
        <v>307</v>
      </c>
      <c r="C13946" s="1" t="str">
        <f>HYPERLINK("http://www.rosaceae.org/gb/gbrowse/malus_x_domestica/?name=MDP0000336888","MDP0000336888")</f>
        <v>MDP0000336888</v>
      </c>
      <c r="D13946">
        <v>85.44</v>
      </c>
      <c r="E13946">
        <v>213</v>
      </c>
      <c r="F13946">
        <v>31</v>
      </c>
      <c r="G13946">
        <v>2</v>
      </c>
      <c r="H13946">
        <v>46</v>
      </c>
      <c r="I13946">
        <v>256</v>
      </c>
      <c r="J13946">
        <v>1</v>
      </c>
      <c r="K13946">
        <v>38</v>
      </c>
      <c r="L13946">
        <v>250</v>
      </c>
      <c r="M13946">
        <v>1</v>
      </c>
      <c r="N13946">
        <v>4.2011899999999998E-107</v>
      </c>
      <c r="O13946">
        <v>988</v>
      </c>
    </row>
    <row r="13947" spans="1:15" x14ac:dyDescent="0.25">
      <c r="A13947" t="s">
        <v>13960</v>
      </c>
      <c r="B13947">
        <v>249</v>
      </c>
      <c r="C13947" s="1" t="str">
        <f>HYPERLINK("http://www.rosaceae.org/gb/gbrowse/malus_x_domestica/?name=MDP0000842137","MDP0000842137")</f>
        <v>MDP0000842137</v>
      </c>
      <c r="D13947">
        <v>64.8</v>
      </c>
      <c r="E13947">
        <v>250</v>
      </c>
      <c r="F13947">
        <v>88</v>
      </c>
      <c r="G13947">
        <v>4</v>
      </c>
      <c r="H13947">
        <v>2</v>
      </c>
      <c r="I13947">
        <v>249</v>
      </c>
      <c r="J13947">
        <v>1</v>
      </c>
      <c r="K13947">
        <v>29</v>
      </c>
      <c r="L13947">
        <v>276</v>
      </c>
      <c r="M13947">
        <v>1</v>
      </c>
      <c r="N13947">
        <v>9.59223E-92</v>
      </c>
      <c r="O13947">
        <v>854</v>
      </c>
    </row>
    <row r="13948" spans="1:15" x14ac:dyDescent="0.25">
      <c r="A13948" t="s">
        <v>13961</v>
      </c>
      <c r="B13948">
        <v>498</v>
      </c>
      <c r="C13948" s="1" t="str">
        <f>HYPERLINK("http://www.rosaceae.org/gb/gbrowse/malus_x_domestica/?name=MDP0000740981","MDP0000740981")</f>
        <v>MDP0000740981</v>
      </c>
      <c r="D13948">
        <v>54.64</v>
      </c>
      <c r="E13948">
        <v>463</v>
      </c>
      <c r="F13948">
        <v>210</v>
      </c>
      <c r="G13948">
        <v>10</v>
      </c>
      <c r="H13948">
        <v>36</v>
      </c>
      <c r="I13948">
        <v>491</v>
      </c>
      <c r="J13948">
        <v>1</v>
      </c>
      <c r="K13948">
        <v>26</v>
      </c>
      <c r="L13948">
        <v>485</v>
      </c>
      <c r="M13948">
        <v>1</v>
      </c>
      <c r="N13948">
        <v>7.2865099999999995E-148</v>
      </c>
      <c r="O13948">
        <v>1342</v>
      </c>
    </row>
    <row r="13949" spans="1:15" x14ac:dyDescent="0.25">
      <c r="A13949" t="s">
        <v>13962</v>
      </c>
      <c r="B13949">
        <v>290</v>
      </c>
      <c r="C13949" s="1" t="str">
        <f>HYPERLINK("http://www.rosaceae.org/gb/gbrowse/malus_x_domestica/?name=MDP0000148752","MDP0000148752")</f>
        <v>MDP0000148752</v>
      </c>
      <c r="D13949">
        <v>66.150000000000006</v>
      </c>
      <c r="E13949">
        <v>65</v>
      </c>
      <c r="F13949">
        <v>22</v>
      </c>
      <c r="G13949">
        <v>0</v>
      </c>
      <c r="H13949">
        <v>114</v>
      </c>
      <c r="I13949">
        <v>178</v>
      </c>
      <c r="J13949">
        <v>1</v>
      </c>
      <c r="K13949">
        <v>196</v>
      </c>
      <c r="L13949">
        <v>260</v>
      </c>
      <c r="M13949">
        <v>1</v>
      </c>
      <c r="N13949">
        <v>3.5160700000000001E-18</v>
      </c>
      <c r="O13949">
        <v>221</v>
      </c>
    </row>
    <row r="13950" spans="1:15" x14ac:dyDescent="0.25">
      <c r="A13950" t="s">
        <v>13963</v>
      </c>
      <c r="B13950">
        <v>763</v>
      </c>
      <c r="C13950" s="1" t="str">
        <f>HYPERLINK("http://www.rosaceae.org/gb/gbrowse/malus_x_domestica/?name=MDP0000164177","MDP0000164177")</f>
        <v>MDP0000164177</v>
      </c>
      <c r="D13950">
        <v>59.57</v>
      </c>
      <c r="E13950">
        <v>757</v>
      </c>
      <c r="F13950">
        <v>306</v>
      </c>
      <c r="G13950">
        <v>24</v>
      </c>
      <c r="H13950">
        <v>14</v>
      </c>
      <c r="I13950">
        <v>749</v>
      </c>
      <c r="J13950">
        <v>1</v>
      </c>
      <c r="K13950">
        <v>16</v>
      </c>
      <c r="L13950">
        <v>769</v>
      </c>
      <c r="M13950">
        <v>1</v>
      </c>
      <c r="N13950">
        <v>0</v>
      </c>
      <c r="O13950">
        <v>2294</v>
      </c>
    </row>
    <row r="13951" spans="1:15" x14ac:dyDescent="0.25">
      <c r="A13951" t="s">
        <v>13964</v>
      </c>
      <c r="B13951">
        <v>271</v>
      </c>
      <c r="C13951" s="1" t="str">
        <f>HYPERLINK("http://www.rosaceae.org/gb/gbrowse/malus_x_domestica/?name=MDP0000292031","MDP0000292031")</f>
        <v>MDP0000292031</v>
      </c>
      <c r="D13951">
        <v>76.09</v>
      </c>
      <c r="E13951">
        <v>205</v>
      </c>
      <c r="F13951">
        <v>49</v>
      </c>
      <c r="G13951">
        <v>4</v>
      </c>
      <c r="H13951">
        <v>28</v>
      </c>
      <c r="I13951">
        <v>230</v>
      </c>
      <c r="J13951">
        <v>1</v>
      </c>
      <c r="K13951">
        <v>23</v>
      </c>
      <c r="L13951">
        <v>225</v>
      </c>
      <c r="M13951">
        <v>1</v>
      </c>
      <c r="N13951">
        <v>2.2007900000000001E-89</v>
      </c>
      <c r="O13951">
        <v>834</v>
      </c>
    </row>
    <row r="13952" spans="1:15" x14ac:dyDescent="0.25">
      <c r="A13952" t="s">
        <v>13965</v>
      </c>
      <c r="B13952">
        <v>726</v>
      </c>
      <c r="C13952" s="1" t="str">
        <f>HYPERLINK("http://www.rosaceae.org/gb/gbrowse/malus_x_domestica/?name=MDP0000254701","MDP0000254701")</f>
        <v>MDP0000254701</v>
      </c>
      <c r="D13952">
        <v>42.15</v>
      </c>
      <c r="E13952">
        <v>204</v>
      </c>
      <c r="F13952">
        <v>118</v>
      </c>
      <c r="G13952">
        <v>1</v>
      </c>
      <c r="H13952">
        <v>475</v>
      </c>
      <c r="I13952">
        <v>678</v>
      </c>
      <c r="J13952">
        <v>1</v>
      </c>
      <c r="K13952">
        <v>1</v>
      </c>
      <c r="L13952">
        <v>203</v>
      </c>
      <c r="M13952">
        <v>1</v>
      </c>
      <c r="N13952">
        <v>9.1071400000000007E-47</v>
      </c>
      <c r="O13952">
        <v>471</v>
      </c>
    </row>
    <row r="13953" spans="1:15" x14ac:dyDescent="0.25">
      <c r="A13953" t="s">
        <v>13966</v>
      </c>
      <c r="B13953">
        <v>117</v>
      </c>
      <c r="C13953" s="1" t="str">
        <f>HYPERLINK("http://www.rosaceae.org/gb/gbrowse/malus_x_domestica/?name=MDP0000119707","MDP0000119707")</f>
        <v>MDP0000119707</v>
      </c>
      <c r="D13953">
        <v>67.47</v>
      </c>
      <c r="E13953">
        <v>123</v>
      </c>
      <c r="F13953">
        <v>40</v>
      </c>
      <c r="G13953">
        <v>6</v>
      </c>
      <c r="H13953">
        <v>1</v>
      </c>
      <c r="I13953">
        <v>117</v>
      </c>
      <c r="J13953">
        <v>1</v>
      </c>
      <c r="K13953">
        <v>1</v>
      </c>
      <c r="L13953">
        <v>123</v>
      </c>
      <c r="M13953">
        <v>1</v>
      </c>
      <c r="N13953">
        <v>5.2281099999999997E-36</v>
      </c>
      <c r="O13953">
        <v>368</v>
      </c>
    </row>
    <row r="13954" spans="1:15" x14ac:dyDescent="0.25">
      <c r="A13954" t="s">
        <v>13967</v>
      </c>
      <c r="B13954">
        <v>358</v>
      </c>
      <c r="C13954" s="1" t="str">
        <f>HYPERLINK("http://www.rosaceae.org/gb/gbrowse/malus_x_domestica/?name=MDP0000150000","MDP0000150000")</f>
        <v>MDP0000150000</v>
      </c>
      <c r="D13954">
        <v>29.12</v>
      </c>
      <c r="E13954">
        <v>333</v>
      </c>
      <c r="F13954">
        <v>236</v>
      </c>
      <c r="G13954">
        <v>65</v>
      </c>
      <c r="H13954">
        <v>1</v>
      </c>
      <c r="I13954">
        <v>276</v>
      </c>
      <c r="J13954">
        <v>1</v>
      </c>
      <c r="K13954">
        <v>1</v>
      </c>
      <c r="L13954">
        <v>325</v>
      </c>
      <c r="M13954">
        <v>1</v>
      </c>
      <c r="N13954">
        <v>1.8983100000000002E-24</v>
      </c>
      <c r="O13954">
        <v>276</v>
      </c>
    </row>
    <row r="13955" spans="1:15" x14ac:dyDescent="0.25">
      <c r="A13955" t="s">
        <v>13968</v>
      </c>
      <c r="B13955">
        <v>67</v>
      </c>
      <c r="C13955" s="1" t="str">
        <f>HYPERLINK("http://www.rosaceae.org/gb/gbrowse/malus_x_domestica/?name=MDP0000205665","MDP0000205665")</f>
        <v>MDP0000205665</v>
      </c>
      <c r="D13955">
        <v>70</v>
      </c>
      <c r="E13955">
        <v>70</v>
      </c>
      <c r="F13955">
        <v>21</v>
      </c>
      <c r="G13955">
        <v>4</v>
      </c>
      <c r="H13955">
        <v>1</v>
      </c>
      <c r="I13955">
        <v>66</v>
      </c>
      <c r="J13955">
        <v>1</v>
      </c>
      <c r="K13955">
        <v>101</v>
      </c>
      <c r="L13955">
        <v>170</v>
      </c>
      <c r="M13955">
        <v>1</v>
      </c>
      <c r="N13955">
        <v>4.11512E-21</v>
      </c>
      <c r="O13955">
        <v>240</v>
      </c>
    </row>
    <row r="13956" spans="1:15" x14ac:dyDescent="0.25">
      <c r="A13956" t="s">
        <v>13969</v>
      </c>
      <c r="B13956">
        <v>122</v>
      </c>
      <c r="C13956" s="1" t="str">
        <f>HYPERLINK("http://www.rosaceae.org/gb/gbrowse/malus_x_domestica/?name=MDP0000821933","MDP0000821933")</f>
        <v>MDP0000821933</v>
      </c>
      <c r="D13956">
        <v>64.47</v>
      </c>
      <c r="E13956">
        <v>76</v>
      </c>
      <c r="F13956">
        <v>27</v>
      </c>
      <c r="G13956">
        <v>7</v>
      </c>
      <c r="H13956">
        <v>49</v>
      </c>
      <c r="I13956">
        <v>122</v>
      </c>
      <c r="J13956">
        <v>1</v>
      </c>
      <c r="K13956">
        <v>133</v>
      </c>
      <c r="L13956">
        <v>203</v>
      </c>
      <c r="M13956">
        <v>1</v>
      </c>
      <c r="N13956">
        <v>2.73997E-20</v>
      </c>
      <c r="O13956">
        <v>232</v>
      </c>
    </row>
    <row r="13957" spans="1:15" x14ac:dyDescent="0.25">
      <c r="A13957" t="s">
        <v>13970</v>
      </c>
      <c r="B13957">
        <v>364</v>
      </c>
      <c r="C13957" s="1" t="str">
        <f>HYPERLINK("http://www.rosaceae.org/gb/gbrowse/malus_x_domestica/?name=MDP0000178415","MDP0000178415")</f>
        <v>MDP0000178415</v>
      </c>
      <c r="D13957">
        <v>81.84</v>
      </c>
      <c r="E13957">
        <v>369</v>
      </c>
      <c r="F13957">
        <v>67</v>
      </c>
      <c r="G13957">
        <v>8</v>
      </c>
      <c r="H13957">
        <v>2</v>
      </c>
      <c r="I13957">
        <v>362</v>
      </c>
      <c r="J13957">
        <v>1</v>
      </c>
      <c r="K13957">
        <v>18</v>
      </c>
      <c r="L13957">
        <v>386</v>
      </c>
      <c r="M13957">
        <v>1</v>
      </c>
      <c r="N13957">
        <v>4.6239899999999997E-171</v>
      </c>
      <c r="O13957">
        <v>1540</v>
      </c>
    </row>
    <row r="13958" spans="1:15" x14ac:dyDescent="0.25">
      <c r="A13958" t="s">
        <v>13971</v>
      </c>
      <c r="B13958">
        <v>793</v>
      </c>
      <c r="C13958" s="1" t="str">
        <f>HYPERLINK("http://www.rosaceae.org/gb/gbrowse/malus_x_domestica/?name=MDP0000315206","MDP0000315206")</f>
        <v>MDP0000315206</v>
      </c>
      <c r="D13958">
        <v>80.8</v>
      </c>
      <c r="E13958">
        <v>547</v>
      </c>
      <c r="F13958">
        <v>105</v>
      </c>
      <c r="G13958">
        <v>39</v>
      </c>
      <c r="H13958">
        <v>280</v>
      </c>
      <c r="I13958">
        <v>792</v>
      </c>
      <c r="J13958">
        <v>1</v>
      </c>
      <c r="K13958">
        <v>32</v>
      </c>
      <c r="L13958">
        <v>573</v>
      </c>
      <c r="M13958">
        <v>1</v>
      </c>
      <c r="N13958">
        <v>0</v>
      </c>
      <c r="O13958">
        <v>2360</v>
      </c>
    </row>
    <row r="13959" spans="1:15" x14ac:dyDescent="0.25">
      <c r="A13959" t="s">
        <v>13972</v>
      </c>
      <c r="B13959">
        <v>486</v>
      </c>
      <c r="C13959" s="1" t="str">
        <f>HYPERLINK("http://www.rosaceae.org/gb/gbrowse/malus_x_domestica/?name=MDP0000275896","MDP0000275896")</f>
        <v>MDP0000275896</v>
      </c>
      <c r="D13959">
        <v>80.66</v>
      </c>
      <c r="E13959">
        <v>481</v>
      </c>
      <c r="F13959">
        <v>93</v>
      </c>
      <c r="G13959">
        <v>10</v>
      </c>
      <c r="H13959">
        <v>6</v>
      </c>
      <c r="I13959">
        <v>486</v>
      </c>
      <c r="J13959">
        <v>1</v>
      </c>
      <c r="K13959">
        <v>24</v>
      </c>
      <c r="L13959">
        <v>494</v>
      </c>
      <c r="M13959">
        <v>1</v>
      </c>
      <c r="N13959">
        <v>0</v>
      </c>
      <c r="O13959">
        <v>2056</v>
      </c>
    </row>
    <row r="13960" spans="1:15" x14ac:dyDescent="0.25">
      <c r="A13960" t="s">
        <v>13973</v>
      </c>
      <c r="B13960">
        <v>544</v>
      </c>
      <c r="C13960" s="1" t="str">
        <f>HYPERLINK("http://www.rosaceae.org/gb/gbrowse/malus_x_domestica/?name=MDP0000217095","MDP0000217095")</f>
        <v>MDP0000217095</v>
      </c>
      <c r="D13960">
        <v>72.400000000000006</v>
      </c>
      <c r="E13960">
        <v>500</v>
      </c>
      <c r="F13960">
        <v>138</v>
      </c>
      <c r="G13960">
        <v>5</v>
      </c>
      <c r="H13960">
        <v>47</v>
      </c>
      <c r="I13960">
        <v>544</v>
      </c>
      <c r="J13960">
        <v>1</v>
      </c>
      <c r="K13960">
        <v>17</v>
      </c>
      <c r="L13960">
        <v>513</v>
      </c>
      <c r="M13960">
        <v>1</v>
      </c>
      <c r="N13960">
        <v>0</v>
      </c>
      <c r="O13960">
        <v>1843</v>
      </c>
    </row>
    <row r="13961" spans="1:15" x14ac:dyDescent="0.25">
      <c r="A13961" t="s">
        <v>13974</v>
      </c>
      <c r="B13961">
        <v>247</v>
      </c>
      <c r="C13961" s="1" t="str">
        <f>HYPERLINK("http://www.rosaceae.org/gb/gbrowse/malus_x_domestica/?name=MDP0000273744","MDP0000273744")</f>
        <v>MDP0000273744</v>
      </c>
      <c r="D13961">
        <v>67.64</v>
      </c>
      <c r="E13961">
        <v>170</v>
      </c>
      <c r="F13961">
        <v>55</v>
      </c>
      <c r="G13961">
        <v>10</v>
      </c>
      <c r="H13961">
        <v>4</v>
      </c>
      <c r="I13961">
        <v>166</v>
      </c>
      <c r="J13961">
        <v>1</v>
      </c>
      <c r="K13961">
        <v>5</v>
      </c>
      <c r="L13961">
        <v>171</v>
      </c>
      <c r="M13961">
        <v>1</v>
      </c>
      <c r="N13961">
        <v>4.9079900000000001E-54</v>
      </c>
      <c r="O13961">
        <v>529</v>
      </c>
    </row>
    <row r="13962" spans="1:15" x14ac:dyDescent="0.25">
      <c r="A13962" t="s">
        <v>13975</v>
      </c>
      <c r="B13962">
        <v>921</v>
      </c>
      <c r="C13962" s="1" t="str">
        <f>HYPERLINK("http://www.rosaceae.org/gb/gbrowse/malus_x_domestica/?name=MDP0000226809","MDP0000226809")</f>
        <v>MDP0000226809</v>
      </c>
      <c r="D13962">
        <v>51.43</v>
      </c>
      <c r="E13962">
        <v>908</v>
      </c>
      <c r="F13962">
        <v>441</v>
      </c>
      <c r="G13962">
        <v>114</v>
      </c>
      <c r="H13962">
        <v>84</v>
      </c>
      <c r="I13962">
        <v>918</v>
      </c>
      <c r="J13962">
        <v>1</v>
      </c>
      <c r="K13962">
        <v>30</v>
      </c>
      <c r="L13962">
        <v>896</v>
      </c>
      <c r="M13962">
        <v>1</v>
      </c>
      <c r="N13962">
        <v>0</v>
      </c>
      <c r="O13962">
        <v>1976</v>
      </c>
    </row>
    <row r="13963" spans="1:15" x14ac:dyDescent="0.25">
      <c r="A13963" t="s">
        <v>13976</v>
      </c>
      <c r="B13963">
        <v>960</v>
      </c>
      <c r="C13963" s="1" t="str">
        <f>HYPERLINK("http://www.rosaceae.org/gb/gbrowse/malus_x_domestica/?name=MDP0000211222","MDP0000211222")</f>
        <v>MDP0000211222</v>
      </c>
      <c r="D13963">
        <v>59.7</v>
      </c>
      <c r="E13963">
        <v>407</v>
      </c>
      <c r="F13963">
        <v>164</v>
      </c>
      <c r="G13963">
        <v>22</v>
      </c>
      <c r="H13963">
        <v>1</v>
      </c>
      <c r="I13963">
        <v>395</v>
      </c>
      <c r="J13963">
        <v>1</v>
      </c>
      <c r="K13963">
        <v>1</v>
      </c>
      <c r="L13963">
        <v>397</v>
      </c>
      <c r="M13963">
        <v>1</v>
      </c>
      <c r="N13963">
        <v>3.4569499999999997E-120</v>
      </c>
      <c r="O13963">
        <v>1106</v>
      </c>
    </row>
    <row r="13964" spans="1:15" x14ac:dyDescent="0.25">
      <c r="A13964" t="s">
        <v>13977</v>
      </c>
      <c r="B13964">
        <v>640</v>
      </c>
      <c r="C13964" s="1" t="str">
        <f>HYPERLINK("http://www.rosaceae.org/gb/gbrowse/malus_x_domestica/?name=MDP0000253567","MDP0000253567")</f>
        <v>MDP0000253567</v>
      </c>
      <c r="D13964">
        <v>65.06</v>
      </c>
      <c r="E13964">
        <v>664</v>
      </c>
      <c r="F13964">
        <v>232</v>
      </c>
      <c r="G13964">
        <v>48</v>
      </c>
      <c r="H13964">
        <v>6</v>
      </c>
      <c r="I13964">
        <v>639</v>
      </c>
      <c r="J13964">
        <v>1</v>
      </c>
      <c r="K13964">
        <v>7</v>
      </c>
      <c r="L13964">
        <v>652</v>
      </c>
      <c r="M13964">
        <v>1</v>
      </c>
      <c r="N13964">
        <v>0</v>
      </c>
      <c r="O13964">
        <v>2298</v>
      </c>
    </row>
    <row r="13965" spans="1:15" x14ac:dyDescent="0.25">
      <c r="A13965" t="s">
        <v>13978</v>
      </c>
      <c r="B13965">
        <v>127</v>
      </c>
      <c r="C13965" s="1" t="str">
        <f>HYPERLINK("http://www.rosaceae.org/gb/gbrowse/malus_x_domestica/?name=MDP0000120175","MDP0000120175")</f>
        <v>MDP0000120175</v>
      </c>
      <c r="D13965">
        <v>51.11</v>
      </c>
      <c r="E13965">
        <v>135</v>
      </c>
      <c r="F13965">
        <v>66</v>
      </c>
      <c r="G13965">
        <v>32</v>
      </c>
      <c r="H13965">
        <v>23</v>
      </c>
      <c r="I13965">
        <v>125</v>
      </c>
      <c r="J13965">
        <v>1</v>
      </c>
      <c r="K13965">
        <v>10</v>
      </c>
      <c r="L13965">
        <v>144</v>
      </c>
      <c r="M13965">
        <v>1</v>
      </c>
      <c r="N13965">
        <v>7.4674500000000001E-32</v>
      </c>
      <c r="O13965">
        <v>332</v>
      </c>
    </row>
    <row r="13966" spans="1:15" x14ac:dyDescent="0.25">
      <c r="A13966" t="s">
        <v>13979</v>
      </c>
      <c r="B13966">
        <v>463</v>
      </c>
      <c r="C13966" s="1" t="str">
        <f>HYPERLINK("http://www.rosaceae.org/gb/gbrowse/malus_x_domestica/?name=MDP0000246948","MDP0000246948")</f>
        <v>MDP0000246948</v>
      </c>
      <c r="D13966">
        <v>84.91</v>
      </c>
      <c r="E13966">
        <v>464</v>
      </c>
      <c r="F13966">
        <v>70</v>
      </c>
      <c r="G13966">
        <v>4</v>
      </c>
      <c r="H13966">
        <v>1</v>
      </c>
      <c r="I13966">
        <v>463</v>
      </c>
      <c r="J13966">
        <v>1</v>
      </c>
      <c r="K13966">
        <v>1</v>
      </c>
      <c r="L13966">
        <v>461</v>
      </c>
      <c r="M13966">
        <v>1</v>
      </c>
      <c r="N13966">
        <v>0</v>
      </c>
      <c r="O13966">
        <v>1945</v>
      </c>
    </row>
    <row r="13967" spans="1:15" x14ac:dyDescent="0.25">
      <c r="A13967" t="s">
        <v>13980</v>
      </c>
      <c r="B13967">
        <v>50</v>
      </c>
      <c r="C13967" s="1" t="str">
        <f>HYPERLINK("http://www.rosaceae.org/gb/gbrowse/malus_x_domestica/?name=MDP0000305630","MDP0000305630")</f>
        <v>MDP0000305630</v>
      </c>
      <c r="D13967">
        <v>88.88</v>
      </c>
      <c r="E13967">
        <v>36</v>
      </c>
      <c r="F13967">
        <v>4</v>
      </c>
      <c r="G13967">
        <v>0</v>
      </c>
      <c r="H13967">
        <v>15</v>
      </c>
      <c r="I13967">
        <v>50</v>
      </c>
      <c r="J13967">
        <v>1</v>
      </c>
      <c r="K13967">
        <v>32</v>
      </c>
      <c r="L13967">
        <v>67</v>
      </c>
      <c r="M13967">
        <v>1</v>
      </c>
      <c r="N13967">
        <v>5.22294E-12</v>
      </c>
      <c r="O13967">
        <v>161</v>
      </c>
    </row>
    <row r="13968" spans="1:15" x14ac:dyDescent="0.25">
      <c r="A13968" t="s">
        <v>13981</v>
      </c>
      <c r="B13968">
        <v>348</v>
      </c>
      <c r="C13968" s="1" t="str">
        <f>HYPERLINK("http://www.rosaceae.org/gb/gbrowse/malus_x_domestica/?name=MDP0000726526","MDP0000726526")</f>
        <v>MDP0000726526</v>
      </c>
      <c r="D13968">
        <v>41.63</v>
      </c>
      <c r="E13968">
        <v>257</v>
      </c>
      <c r="F13968">
        <v>150</v>
      </c>
      <c r="G13968">
        <v>31</v>
      </c>
      <c r="H13968">
        <v>8</v>
      </c>
      <c r="I13968">
        <v>250</v>
      </c>
      <c r="J13968">
        <v>1</v>
      </c>
      <c r="K13968">
        <v>21</v>
      </c>
      <c r="L13968">
        <v>260</v>
      </c>
      <c r="M13968">
        <v>1</v>
      </c>
      <c r="N13968">
        <v>6.4515800000000005E-38</v>
      </c>
      <c r="O13968">
        <v>392</v>
      </c>
    </row>
    <row r="13969" spans="1:15" x14ac:dyDescent="0.25">
      <c r="A13969" t="s">
        <v>13982</v>
      </c>
      <c r="B13969">
        <v>379</v>
      </c>
      <c r="C13969" s="1" t="str">
        <f>HYPERLINK("http://www.rosaceae.org/gb/gbrowse/malus_x_domestica/?name=MDP0000302898","MDP0000302898")</f>
        <v>MDP0000302898</v>
      </c>
      <c r="D13969">
        <v>81.52</v>
      </c>
      <c r="E13969">
        <v>341</v>
      </c>
      <c r="F13969">
        <v>63</v>
      </c>
      <c r="G13969">
        <v>1</v>
      </c>
      <c r="H13969">
        <v>1</v>
      </c>
      <c r="I13969">
        <v>340</v>
      </c>
      <c r="J13969">
        <v>1</v>
      </c>
      <c r="K13969">
        <v>48</v>
      </c>
      <c r="L13969">
        <v>388</v>
      </c>
      <c r="M13969">
        <v>1</v>
      </c>
      <c r="N13969">
        <v>1.7120599999999999E-166</v>
      </c>
      <c r="O13969">
        <v>1501</v>
      </c>
    </row>
    <row r="13970" spans="1:15" x14ac:dyDescent="0.25">
      <c r="A13970" t="s">
        <v>13983</v>
      </c>
      <c r="B13970">
        <v>549</v>
      </c>
      <c r="C13970" s="1" t="str">
        <f>HYPERLINK("http://www.rosaceae.org/gb/gbrowse/malus_x_domestica/?name=MDP0000157048","MDP0000157048")</f>
        <v>MDP0000157048</v>
      </c>
      <c r="D13970">
        <v>69.180000000000007</v>
      </c>
      <c r="E13970">
        <v>490</v>
      </c>
      <c r="F13970">
        <v>151</v>
      </c>
      <c r="G13970">
        <v>10</v>
      </c>
      <c r="H13970">
        <v>61</v>
      </c>
      <c r="I13970">
        <v>549</v>
      </c>
      <c r="J13970">
        <v>1</v>
      </c>
      <c r="K13970">
        <v>78</v>
      </c>
      <c r="L13970">
        <v>558</v>
      </c>
      <c r="M13970">
        <v>1</v>
      </c>
      <c r="N13970">
        <v>0</v>
      </c>
      <c r="O13970">
        <v>1761</v>
      </c>
    </row>
    <row r="13971" spans="1:15" x14ac:dyDescent="0.25">
      <c r="A13971" t="s">
        <v>13984</v>
      </c>
      <c r="B13971">
        <v>674</v>
      </c>
      <c r="C13971" s="1" t="str">
        <f>HYPERLINK("http://www.rosaceae.org/gb/gbrowse/malus_x_domestica/?name=MDP0000144890","MDP0000144890")</f>
        <v>MDP0000144890</v>
      </c>
      <c r="D13971">
        <v>60.4</v>
      </c>
      <c r="E13971">
        <v>639</v>
      </c>
      <c r="F13971">
        <v>253</v>
      </c>
      <c r="G13971">
        <v>26</v>
      </c>
      <c r="H13971">
        <v>49</v>
      </c>
      <c r="I13971">
        <v>673</v>
      </c>
      <c r="J13971">
        <v>1</v>
      </c>
      <c r="K13971">
        <v>99</v>
      </c>
      <c r="L13971">
        <v>725</v>
      </c>
      <c r="M13971">
        <v>1</v>
      </c>
      <c r="N13971">
        <v>0</v>
      </c>
      <c r="O13971">
        <v>1989</v>
      </c>
    </row>
    <row r="13972" spans="1:15" x14ac:dyDescent="0.25">
      <c r="A13972" t="s">
        <v>13985</v>
      </c>
      <c r="B13972">
        <v>450</v>
      </c>
      <c r="C13972" s="1" t="str">
        <f>HYPERLINK("http://www.rosaceae.org/gb/gbrowse/malus_x_domestica/?name=MDP0000142597","MDP0000142597")</f>
        <v>MDP0000142597</v>
      </c>
      <c r="D13972">
        <v>78.77</v>
      </c>
      <c r="E13972">
        <v>391</v>
      </c>
      <c r="F13972">
        <v>83</v>
      </c>
      <c r="G13972">
        <v>8</v>
      </c>
      <c r="H13972">
        <v>67</v>
      </c>
      <c r="I13972">
        <v>449</v>
      </c>
      <c r="J13972">
        <v>1</v>
      </c>
      <c r="K13972">
        <v>9</v>
      </c>
      <c r="L13972">
        <v>399</v>
      </c>
      <c r="M13972">
        <v>1</v>
      </c>
      <c r="N13972">
        <v>1.3174800000000001E-178</v>
      </c>
      <c r="O13972">
        <v>1606</v>
      </c>
    </row>
    <row r="13973" spans="1:15" x14ac:dyDescent="0.25">
      <c r="A13973" t="s">
        <v>13986</v>
      </c>
      <c r="B13973">
        <v>536</v>
      </c>
      <c r="C13973" s="1" t="str">
        <f>HYPERLINK("http://www.rosaceae.org/gb/gbrowse/malus_x_domestica/?name=MDP0000247921","MDP0000247921")</f>
        <v>MDP0000247921</v>
      </c>
      <c r="D13973">
        <v>40.72</v>
      </c>
      <c r="E13973">
        <v>275</v>
      </c>
      <c r="F13973">
        <v>163</v>
      </c>
      <c r="G13973">
        <v>3</v>
      </c>
      <c r="H13973">
        <v>131</v>
      </c>
      <c r="I13973">
        <v>403</v>
      </c>
      <c r="J13973">
        <v>1</v>
      </c>
      <c r="K13973">
        <v>563</v>
      </c>
      <c r="L13973">
        <v>836</v>
      </c>
      <c r="M13973">
        <v>1</v>
      </c>
      <c r="N13973">
        <v>4.81051E-59</v>
      </c>
      <c r="O13973">
        <v>576</v>
      </c>
    </row>
    <row r="13974" spans="1:15" x14ac:dyDescent="0.25">
      <c r="A13974" t="s">
        <v>13987</v>
      </c>
      <c r="B13974">
        <v>395</v>
      </c>
      <c r="C13974" s="1" t="str">
        <f>HYPERLINK("http://www.rosaceae.org/gb/gbrowse/malus_x_domestica/?name=MDP0000297059","MDP0000297059")</f>
        <v>MDP0000297059</v>
      </c>
      <c r="D13974">
        <v>44.39</v>
      </c>
      <c r="E13974">
        <v>223</v>
      </c>
      <c r="F13974">
        <v>124</v>
      </c>
      <c r="G13974">
        <v>19</v>
      </c>
      <c r="H13974">
        <v>57</v>
      </c>
      <c r="I13974">
        <v>276</v>
      </c>
      <c r="J13974">
        <v>1</v>
      </c>
      <c r="K13974">
        <v>182</v>
      </c>
      <c r="L13974">
        <v>388</v>
      </c>
      <c r="M13974">
        <v>1</v>
      </c>
      <c r="N13974">
        <v>4.0553400000000002E-39</v>
      </c>
      <c r="O13974">
        <v>403</v>
      </c>
    </row>
    <row r="13975" spans="1:15" x14ac:dyDescent="0.25">
      <c r="A13975" t="s">
        <v>13988</v>
      </c>
      <c r="B13975">
        <v>452</v>
      </c>
      <c r="C13975" s="1" t="str">
        <f>HYPERLINK("http://www.rosaceae.org/gb/gbrowse/malus_x_domestica/?name=MDP0000512420","MDP0000512420")</f>
        <v>MDP0000512420</v>
      </c>
      <c r="D13975">
        <v>84.96</v>
      </c>
      <c r="E13975">
        <v>459</v>
      </c>
      <c r="F13975">
        <v>69</v>
      </c>
      <c r="G13975">
        <v>7</v>
      </c>
      <c r="H13975">
        <v>1</v>
      </c>
      <c r="I13975">
        <v>452</v>
      </c>
      <c r="J13975">
        <v>1</v>
      </c>
      <c r="K13975">
        <v>64</v>
      </c>
      <c r="L13975">
        <v>522</v>
      </c>
      <c r="M13975">
        <v>1</v>
      </c>
      <c r="N13975">
        <v>0</v>
      </c>
      <c r="O13975">
        <v>2111</v>
      </c>
    </row>
    <row r="13976" spans="1:15" x14ac:dyDescent="0.25">
      <c r="A13976" t="s">
        <v>13989</v>
      </c>
      <c r="B13976">
        <v>1004</v>
      </c>
      <c r="C13976" s="1" t="str">
        <f>HYPERLINK("http://www.rosaceae.org/gb/gbrowse/malus_x_domestica/?name=MDP0000310800","MDP0000310800")</f>
        <v>MDP0000310800</v>
      </c>
      <c r="D13976">
        <v>83.11</v>
      </c>
      <c r="E13976">
        <v>1001</v>
      </c>
      <c r="F13976">
        <v>169</v>
      </c>
      <c r="G13976">
        <v>17</v>
      </c>
      <c r="H13976">
        <v>2</v>
      </c>
      <c r="I13976">
        <v>1002</v>
      </c>
      <c r="J13976">
        <v>1</v>
      </c>
      <c r="K13976">
        <v>92</v>
      </c>
      <c r="L13976">
        <v>1075</v>
      </c>
      <c r="M13976">
        <v>1</v>
      </c>
      <c r="N13976">
        <v>0</v>
      </c>
      <c r="O13976">
        <v>4355</v>
      </c>
    </row>
    <row r="13977" spans="1:15" x14ac:dyDescent="0.25">
      <c r="A13977" t="s">
        <v>13990</v>
      </c>
      <c r="B13977">
        <v>141</v>
      </c>
      <c r="C13977" s="1" t="str">
        <f>HYPERLINK("http://www.rosaceae.org/gb/gbrowse/malus_x_domestica/?name=MDP0000910895","MDP0000910895")</f>
        <v>MDP0000910895</v>
      </c>
      <c r="D13977">
        <v>55.31</v>
      </c>
      <c r="E13977">
        <v>141</v>
      </c>
      <c r="F13977">
        <v>63</v>
      </c>
      <c r="G13977">
        <v>15</v>
      </c>
      <c r="H13977">
        <v>1</v>
      </c>
      <c r="I13977">
        <v>141</v>
      </c>
      <c r="J13977">
        <v>1</v>
      </c>
      <c r="K13977">
        <v>1</v>
      </c>
      <c r="L13977">
        <v>126</v>
      </c>
      <c r="M13977">
        <v>1</v>
      </c>
      <c r="N13977">
        <v>8.5047600000000001E-33</v>
      </c>
      <c r="O13977">
        <v>342</v>
      </c>
    </row>
    <row r="13978" spans="1:15" x14ac:dyDescent="0.25">
      <c r="A13978" t="s">
        <v>13991</v>
      </c>
      <c r="B13978">
        <v>548</v>
      </c>
      <c r="C13978" s="1" t="str">
        <f>HYPERLINK("http://www.rosaceae.org/gb/gbrowse/malus_x_domestica/?name=MDP0000171553","MDP0000171553")</f>
        <v>MDP0000171553</v>
      </c>
      <c r="D13978">
        <v>54.73</v>
      </c>
      <c r="E13978">
        <v>380</v>
      </c>
      <c r="F13978">
        <v>172</v>
      </c>
      <c r="G13978">
        <v>39</v>
      </c>
      <c r="H13978">
        <v>201</v>
      </c>
      <c r="I13978">
        <v>541</v>
      </c>
      <c r="J13978">
        <v>1</v>
      </c>
      <c r="K13978">
        <v>159</v>
      </c>
      <c r="L13978">
        <v>538</v>
      </c>
      <c r="M13978">
        <v>1</v>
      </c>
      <c r="N13978">
        <v>2.0805000000000001E-110</v>
      </c>
      <c r="O13978">
        <v>1019</v>
      </c>
    </row>
    <row r="13979" spans="1:15" x14ac:dyDescent="0.25">
      <c r="A13979" t="s">
        <v>13992</v>
      </c>
      <c r="B13979">
        <v>791</v>
      </c>
      <c r="C13979" s="1" t="str">
        <f>HYPERLINK("http://www.rosaceae.org/gb/gbrowse/malus_x_domestica/?name=MDP0000206561","MDP0000206561")</f>
        <v>MDP0000206561</v>
      </c>
      <c r="D13979">
        <v>48.75</v>
      </c>
      <c r="E13979">
        <v>443</v>
      </c>
      <c r="F13979">
        <v>227</v>
      </c>
      <c r="G13979">
        <v>54</v>
      </c>
      <c r="H13979">
        <v>1</v>
      </c>
      <c r="I13979">
        <v>439</v>
      </c>
      <c r="J13979">
        <v>1</v>
      </c>
      <c r="K13979">
        <v>1</v>
      </c>
      <c r="L13979">
        <v>393</v>
      </c>
      <c r="M13979">
        <v>1</v>
      </c>
      <c r="N13979">
        <v>1.14273E-99</v>
      </c>
      <c r="O13979">
        <v>928</v>
      </c>
    </row>
    <row r="13980" spans="1:15" x14ac:dyDescent="0.25">
      <c r="A13980" t="s">
        <v>13993</v>
      </c>
      <c r="B13980">
        <v>278</v>
      </c>
      <c r="C13980" s="1" t="str">
        <f>HYPERLINK("http://www.rosaceae.org/gb/gbrowse/malus_x_domestica/?name=MDP0000184480","MDP0000184480")</f>
        <v>MDP0000184480</v>
      </c>
      <c r="D13980">
        <v>65.67</v>
      </c>
      <c r="E13980">
        <v>236</v>
      </c>
      <c r="F13980">
        <v>81</v>
      </c>
      <c r="G13980">
        <v>7</v>
      </c>
      <c r="H13980">
        <v>24</v>
      </c>
      <c r="I13980">
        <v>254</v>
      </c>
      <c r="J13980">
        <v>1</v>
      </c>
      <c r="K13980">
        <v>24</v>
      </c>
      <c r="L13980">
        <v>257</v>
      </c>
      <c r="M13980">
        <v>1</v>
      </c>
      <c r="N13980">
        <v>1.9763399999999999E-82</v>
      </c>
      <c r="O13980">
        <v>774</v>
      </c>
    </row>
    <row r="13981" spans="1:15" x14ac:dyDescent="0.25">
      <c r="A13981" t="s">
        <v>13994</v>
      </c>
      <c r="B13981">
        <v>143</v>
      </c>
      <c r="C13981" s="1" t="str">
        <f>HYPERLINK("http://www.rosaceae.org/gb/gbrowse/malus_x_domestica/?name=MDP0000430145","MDP0000430145")</f>
        <v>MDP0000430145</v>
      </c>
      <c r="D13981">
        <v>50.93</v>
      </c>
      <c r="E13981">
        <v>161</v>
      </c>
      <c r="F13981">
        <v>79</v>
      </c>
      <c r="G13981">
        <v>30</v>
      </c>
      <c r="H13981">
        <v>9</v>
      </c>
      <c r="I13981">
        <v>139</v>
      </c>
      <c r="J13981">
        <v>1</v>
      </c>
      <c r="K13981">
        <v>313</v>
      </c>
      <c r="L13981">
        <v>473</v>
      </c>
      <c r="M13981">
        <v>1</v>
      </c>
      <c r="N13981">
        <v>2.78266E-27</v>
      </c>
      <c r="O13981">
        <v>294</v>
      </c>
    </row>
    <row r="13982" spans="1:15" x14ac:dyDescent="0.25">
      <c r="A13982" t="s">
        <v>13995</v>
      </c>
      <c r="B13982">
        <v>148</v>
      </c>
      <c r="C13982" s="1" t="str">
        <f>HYPERLINK("http://www.rosaceae.org/gb/gbrowse/malus_x_domestica/?name=MDP0000795431","MDP0000795431")</f>
        <v>MDP0000795431</v>
      </c>
      <c r="D13982">
        <v>54.48</v>
      </c>
      <c r="E13982">
        <v>156</v>
      </c>
      <c r="F13982">
        <v>71</v>
      </c>
      <c r="G13982">
        <v>19</v>
      </c>
      <c r="H13982">
        <v>1</v>
      </c>
      <c r="I13982">
        <v>141</v>
      </c>
      <c r="J13982">
        <v>1</v>
      </c>
      <c r="K13982">
        <v>1</v>
      </c>
      <c r="L13982">
        <v>152</v>
      </c>
      <c r="M13982">
        <v>1</v>
      </c>
      <c r="N13982">
        <v>7.5473699999999995E-33</v>
      </c>
      <c r="O13982">
        <v>343</v>
      </c>
    </row>
    <row r="13983" spans="1:15" x14ac:dyDescent="0.25">
      <c r="A13983" t="s">
        <v>13996</v>
      </c>
      <c r="B13983">
        <v>347</v>
      </c>
      <c r="C13983" s="1" t="str">
        <f>HYPERLINK("http://www.rosaceae.org/gb/gbrowse/malus_x_domestica/?name=MDP0000166168","MDP0000166168")</f>
        <v>MDP0000166168</v>
      </c>
      <c r="D13983">
        <v>53.96</v>
      </c>
      <c r="E13983">
        <v>189</v>
      </c>
      <c r="F13983">
        <v>87</v>
      </c>
      <c r="G13983">
        <v>7</v>
      </c>
      <c r="H13983">
        <v>28</v>
      </c>
      <c r="I13983">
        <v>209</v>
      </c>
      <c r="J13983">
        <v>1</v>
      </c>
      <c r="K13983">
        <v>111</v>
      </c>
      <c r="L13983">
        <v>299</v>
      </c>
      <c r="M13983">
        <v>1</v>
      </c>
      <c r="N13983">
        <v>2.2203500000000001E-48</v>
      </c>
      <c r="O13983">
        <v>482</v>
      </c>
    </row>
    <row r="13984" spans="1:15" x14ac:dyDescent="0.25">
      <c r="A13984" t="s">
        <v>13997</v>
      </c>
      <c r="B13984">
        <v>714</v>
      </c>
      <c r="C13984" s="1" t="str">
        <f>HYPERLINK("http://www.rosaceae.org/gb/gbrowse/malus_x_domestica/?name=MDP0000306342","MDP0000306342")</f>
        <v>MDP0000306342</v>
      </c>
      <c r="D13984">
        <v>70.25</v>
      </c>
      <c r="E13984">
        <v>696</v>
      </c>
      <c r="F13984">
        <v>207</v>
      </c>
      <c r="G13984">
        <v>12</v>
      </c>
      <c r="H13984">
        <v>24</v>
      </c>
      <c r="I13984">
        <v>708</v>
      </c>
      <c r="J13984">
        <v>1</v>
      </c>
      <c r="K13984">
        <v>25</v>
      </c>
      <c r="L13984">
        <v>719</v>
      </c>
      <c r="M13984">
        <v>1</v>
      </c>
      <c r="N13984">
        <v>0</v>
      </c>
      <c r="O13984">
        <v>2524</v>
      </c>
    </row>
    <row r="13985" spans="1:15" x14ac:dyDescent="0.25">
      <c r="A13985" t="s">
        <v>13998</v>
      </c>
      <c r="B13985">
        <v>550</v>
      </c>
      <c r="C13985" s="1" t="str">
        <f>HYPERLINK("http://www.rosaceae.org/gb/gbrowse/malus_x_domestica/?name=MDP0000493184","MDP0000493184")</f>
        <v>MDP0000493184</v>
      </c>
      <c r="D13985">
        <v>37.58</v>
      </c>
      <c r="E13985">
        <v>463</v>
      </c>
      <c r="F13985">
        <v>289</v>
      </c>
      <c r="G13985">
        <v>18</v>
      </c>
      <c r="H13985">
        <v>89</v>
      </c>
      <c r="I13985">
        <v>544</v>
      </c>
      <c r="J13985">
        <v>1</v>
      </c>
      <c r="K13985">
        <v>7</v>
      </c>
      <c r="L13985">
        <v>458</v>
      </c>
      <c r="M13985">
        <v>1</v>
      </c>
      <c r="N13985">
        <v>6.0847500000000002E-79</v>
      </c>
      <c r="O13985">
        <v>748</v>
      </c>
    </row>
    <row r="13986" spans="1:15" x14ac:dyDescent="0.25">
      <c r="A13986" t="s">
        <v>13999</v>
      </c>
      <c r="B13986">
        <v>247</v>
      </c>
      <c r="C13986" s="1" t="str">
        <f>HYPERLINK("http://www.rosaceae.org/gb/gbrowse/malus_x_domestica/?name=MDP0000901242","MDP0000901242")</f>
        <v>MDP0000901242</v>
      </c>
      <c r="D13986">
        <v>68.83</v>
      </c>
      <c r="E13986">
        <v>231</v>
      </c>
      <c r="F13986">
        <v>72</v>
      </c>
      <c r="G13986">
        <v>4</v>
      </c>
      <c r="H13986">
        <v>1</v>
      </c>
      <c r="I13986">
        <v>228</v>
      </c>
      <c r="J13986">
        <v>1</v>
      </c>
      <c r="K13986">
        <v>1</v>
      </c>
      <c r="L13986">
        <v>230</v>
      </c>
      <c r="M13986">
        <v>1</v>
      </c>
      <c r="N13986">
        <v>2.35161E-88</v>
      </c>
      <c r="O13986">
        <v>825</v>
      </c>
    </row>
    <row r="13987" spans="1:15" x14ac:dyDescent="0.25">
      <c r="A13987" t="s">
        <v>14000</v>
      </c>
      <c r="B13987">
        <v>233</v>
      </c>
      <c r="C13987" s="1" t="str">
        <f>HYPERLINK("http://www.rosaceae.org/gb/gbrowse/malus_x_domestica/?name=MDP0000139992","MDP0000139992")</f>
        <v>MDP0000139992</v>
      </c>
      <c r="D13987">
        <v>66.8</v>
      </c>
      <c r="E13987">
        <v>244</v>
      </c>
      <c r="F13987">
        <v>81</v>
      </c>
      <c r="G13987">
        <v>13</v>
      </c>
      <c r="H13987">
        <v>1</v>
      </c>
      <c r="I13987">
        <v>233</v>
      </c>
      <c r="J13987">
        <v>1</v>
      </c>
      <c r="K13987">
        <v>1</v>
      </c>
      <c r="L13987">
        <v>242</v>
      </c>
      <c r="M13987">
        <v>1</v>
      </c>
      <c r="N13987">
        <v>1.3869000000000001E-75</v>
      </c>
      <c r="O13987">
        <v>714</v>
      </c>
    </row>
    <row r="13988" spans="1:15" x14ac:dyDescent="0.25">
      <c r="A13988" t="s">
        <v>14001</v>
      </c>
      <c r="B13988">
        <v>528</v>
      </c>
      <c r="C13988" s="1" t="str">
        <f>HYPERLINK("http://www.rosaceae.org/gb/gbrowse/malus_x_domestica/?name=MDP0000174526","MDP0000174526")</f>
        <v>MDP0000174526</v>
      </c>
      <c r="D13988">
        <v>62.67</v>
      </c>
      <c r="E13988">
        <v>209</v>
      </c>
      <c r="F13988">
        <v>78</v>
      </c>
      <c r="G13988">
        <v>2</v>
      </c>
      <c r="H13988">
        <v>294</v>
      </c>
      <c r="I13988">
        <v>502</v>
      </c>
      <c r="J13988">
        <v>1</v>
      </c>
      <c r="K13988">
        <v>300</v>
      </c>
      <c r="L13988">
        <v>506</v>
      </c>
      <c r="M13988">
        <v>1</v>
      </c>
      <c r="N13988">
        <v>8.4385300000000005E-70</v>
      </c>
      <c r="O13988">
        <v>669</v>
      </c>
    </row>
    <row r="13989" spans="1:15" x14ac:dyDescent="0.25">
      <c r="A13989" t="s">
        <v>14002</v>
      </c>
      <c r="B13989">
        <v>404</v>
      </c>
      <c r="C13989" s="1" t="str">
        <f>HYPERLINK("http://www.rosaceae.org/gb/gbrowse/malus_x_domestica/?name=MDP0000136726","MDP0000136726")</f>
        <v>MDP0000136726</v>
      </c>
      <c r="D13989">
        <v>34.97</v>
      </c>
      <c r="E13989">
        <v>346</v>
      </c>
      <c r="F13989">
        <v>225</v>
      </c>
      <c r="G13989">
        <v>53</v>
      </c>
      <c r="H13989">
        <v>3</v>
      </c>
      <c r="I13989">
        <v>306</v>
      </c>
      <c r="J13989">
        <v>1</v>
      </c>
      <c r="K13989">
        <v>772</v>
      </c>
      <c r="L13989">
        <v>1106</v>
      </c>
      <c r="M13989">
        <v>1</v>
      </c>
      <c r="N13989">
        <v>6.6644699999999996E-43</v>
      </c>
      <c r="O13989">
        <v>435</v>
      </c>
    </row>
    <row r="13990" spans="1:15" x14ac:dyDescent="0.25">
      <c r="A13990" t="s">
        <v>14003</v>
      </c>
      <c r="B13990">
        <v>918</v>
      </c>
      <c r="C13990" s="1" t="str">
        <f>HYPERLINK("http://www.rosaceae.org/gb/gbrowse/malus_x_domestica/?name=MDP0000284220","MDP0000284220")</f>
        <v>MDP0000284220</v>
      </c>
      <c r="D13990">
        <v>79.069999999999993</v>
      </c>
      <c r="E13990">
        <v>755</v>
      </c>
      <c r="F13990">
        <v>158</v>
      </c>
      <c r="G13990">
        <v>43</v>
      </c>
      <c r="H13990">
        <v>201</v>
      </c>
      <c r="I13990">
        <v>918</v>
      </c>
      <c r="J13990">
        <v>1</v>
      </c>
      <c r="K13990">
        <v>1</v>
      </c>
      <c r="L13990">
        <v>749</v>
      </c>
      <c r="M13990">
        <v>1</v>
      </c>
      <c r="N13990">
        <v>0</v>
      </c>
      <c r="O13990">
        <v>3110</v>
      </c>
    </row>
    <row r="13991" spans="1:15" x14ac:dyDescent="0.25">
      <c r="A13991" t="s">
        <v>14004</v>
      </c>
      <c r="B13991">
        <v>824</v>
      </c>
      <c r="C13991" s="1" t="str">
        <f>HYPERLINK("http://www.rosaceae.org/gb/gbrowse/malus_x_domestica/?name=MDP0000216295","MDP0000216295")</f>
        <v>MDP0000216295</v>
      </c>
      <c r="D13991">
        <v>43.01</v>
      </c>
      <c r="E13991">
        <v>809</v>
      </c>
      <c r="F13991">
        <v>461</v>
      </c>
      <c r="G13991">
        <v>33</v>
      </c>
      <c r="H13991">
        <v>14</v>
      </c>
      <c r="I13991">
        <v>800</v>
      </c>
      <c r="J13991">
        <v>1</v>
      </c>
      <c r="K13991">
        <v>24</v>
      </c>
      <c r="L13991">
        <v>821</v>
      </c>
      <c r="M13991">
        <v>1</v>
      </c>
      <c r="N13991">
        <v>0</v>
      </c>
      <c r="O13991">
        <v>1653</v>
      </c>
    </row>
    <row r="13992" spans="1:15" x14ac:dyDescent="0.25">
      <c r="A13992" t="s">
        <v>14005</v>
      </c>
      <c r="B13992">
        <v>161</v>
      </c>
      <c r="C13992" s="1" t="str">
        <f>HYPERLINK("http://www.rosaceae.org/gb/gbrowse/malus_x_domestica/?name=MDP0000204163","MDP0000204163")</f>
        <v>MDP0000204163</v>
      </c>
      <c r="D13992">
        <v>52.56</v>
      </c>
      <c r="E13992">
        <v>156</v>
      </c>
      <c r="F13992">
        <v>74</v>
      </c>
      <c r="G13992">
        <v>42</v>
      </c>
      <c r="H13992">
        <v>6</v>
      </c>
      <c r="I13992">
        <v>161</v>
      </c>
      <c r="J13992">
        <v>1</v>
      </c>
      <c r="K13992">
        <v>4</v>
      </c>
      <c r="L13992">
        <v>117</v>
      </c>
      <c r="M13992">
        <v>1</v>
      </c>
      <c r="N13992">
        <v>2.1317800000000002E-37</v>
      </c>
      <c r="O13992">
        <v>382</v>
      </c>
    </row>
    <row r="13993" spans="1:15" x14ac:dyDescent="0.25">
      <c r="A13993" t="s">
        <v>14006</v>
      </c>
      <c r="B13993">
        <v>1137</v>
      </c>
      <c r="C13993" s="1" t="str">
        <f>HYPERLINK("http://www.rosaceae.org/gb/gbrowse/malus_x_domestica/?name=MDP0000285302","MDP0000285302")</f>
        <v>MDP0000285302</v>
      </c>
      <c r="D13993">
        <v>90.18</v>
      </c>
      <c r="E13993">
        <v>1111</v>
      </c>
      <c r="F13993">
        <v>109</v>
      </c>
      <c r="G13993">
        <v>3</v>
      </c>
      <c r="H13993">
        <v>1</v>
      </c>
      <c r="I13993">
        <v>1111</v>
      </c>
      <c r="J13993">
        <v>1</v>
      </c>
      <c r="K13993">
        <v>1</v>
      </c>
      <c r="L13993">
        <v>1108</v>
      </c>
      <c r="M13993">
        <v>1</v>
      </c>
      <c r="N13993">
        <v>0</v>
      </c>
      <c r="O13993">
        <v>5386</v>
      </c>
    </row>
    <row r="13994" spans="1:15" x14ac:dyDescent="0.25">
      <c r="A13994" t="s">
        <v>14007</v>
      </c>
      <c r="B13994">
        <v>534</v>
      </c>
      <c r="C13994" s="1" t="str">
        <f>HYPERLINK("http://www.rosaceae.org/gb/gbrowse/malus_x_domestica/?name=MDP0000819497","MDP0000819497")</f>
        <v>MDP0000819497</v>
      </c>
      <c r="D13994">
        <v>52.66</v>
      </c>
      <c r="E13994">
        <v>169</v>
      </c>
      <c r="F13994">
        <v>80</v>
      </c>
      <c r="G13994">
        <v>10</v>
      </c>
      <c r="H13994">
        <v>358</v>
      </c>
      <c r="I13994">
        <v>526</v>
      </c>
      <c r="J13994">
        <v>1</v>
      </c>
      <c r="K13994">
        <v>96</v>
      </c>
      <c r="L13994">
        <v>254</v>
      </c>
      <c r="M13994">
        <v>1</v>
      </c>
      <c r="N13994">
        <v>3.4166600000000001E-43</v>
      </c>
      <c r="O13994">
        <v>439</v>
      </c>
    </row>
    <row r="13995" spans="1:15" x14ac:dyDescent="0.25">
      <c r="A13995" t="s">
        <v>14008</v>
      </c>
      <c r="B13995">
        <v>247</v>
      </c>
      <c r="C13995" s="1" t="str">
        <f>HYPERLINK("http://www.rosaceae.org/gb/gbrowse/malus_x_domestica/?name=MDP0000225544","MDP0000225544")</f>
        <v>MDP0000225544</v>
      </c>
      <c r="D13995">
        <v>90.94</v>
      </c>
      <c r="E13995">
        <v>232</v>
      </c>
      <c r="F13995">
        <v>21</v>
      </c>
      <c r="G13995">
        <v>2</v>
      </c>
      <c r="H13995">
        <v>1</v>
      </c>
      <c r="I13995">
        <v>230</v>
      </c>
      <c r="J13995">
        <v>1</v>
      </c>
      <c r="K13995">
        <v>219</v>
      </c>
      <c r="L13995">
        <v>450</v>
      </c>
      <c r="M13995">
        <v>1</v>
      </c>
      <c r="N13995">
        <v>2.3656700000000001E-125</v>
      </c>
      <c r="O13995">
        <v>1144</v>
      </c>
    </row>
    <row r="13996" spans="1:15" x14ac:dyDescent="0.25">
      <c r="A13996" t="s">
        <v>14009</v>
      </c>
      <c r="B13996">
        <v>246</v>
      </c>
      <c r="C13996" s="1" t="str">
        <f>HYPERLINK("http://www.rosaceae.org/gb/gbrowse/malus_x_domestica/?name=MDP0000313619","MDP0000313619")</f>
        <v>MDP0000313619</v>
      </c>
      <c r="D13996">
        <v>69.930000000000007</v>
      </c>
      <c r="E13996">
        <v>143</v>
      </c>
      <c r="F13996">
        <v>43</v>
      </c>
      <c r="G13996">
        <v>19</v>
      </c>
      <c r="H13996">
        <v>122</v>
      </c>
      <c r="I13996">
        <v>245</v>
      </c>
      <c r="J13996">
        <v>1</v>
      </c>
      <c r="K13996">
        <v>78</v>
      </c>
      <c r="L13996">
        <v>220</v>
      </c>
      <c r="M13996">
        <v>1</v>
      </c>
      <c r="N13996">
        <v>3.8655599999999999E-48</v>
      </c>
      <c r="O13996">
        <v>478</v>
      </c>
    </row>
    <row r="13997" spans="1:15" x14ac:dyDescent="0.25">
      <c r="A13997" t="s">
        <v>14010</v>
      </c>
      <c r="B13997">
        <v>591</v>
      </c>
      <c r="C13997" s="1" t="str">
        <f>HYPERLINK("http://www.rosaceae.org/gb/gbrowse/malus_x_domestica/?name=MDP0000277457","MDP0000277457")</f>
        <v>MDP0000277457</v>
      </c>
      <c r="D13997">
        <v>67.45</v>
      </c>
      <c r="E13997">
        <v>467</v>
      </c>
      <c r="F13997">
        <v>152</v>
      </c>
      <c r="G13997">
        <v>18</v>
      </c>
      <c r="H13997">
        <v>1</v>
      </c>
      <c r="I13997">
        <v>449</v>
      </c>
      <c r="J13997">
        <v>1</v>
      </c>
      <c r="K13997">
        <v>650</v>
      </c>
      <c r="L13997">
        <v>1116</v>
      </c>
      <c r="M13997">
        <v>1</v>
      </c>
      <c r="N13997">
        <v>1.1234200000000001E-177</v>
      </c>
      <c r="O13997">
        <v>1599</v>
      </c>
    </row>
    <row r="13998" spans="1:15" x14ac:dyDescent="0.25">
      <c r="A13998" t="s">
        <v>14011</v>
      </c>
      <c r="B13998">
        <v>712</v>
      </c>
      <c r="C13998" s="1" t="str">
        <f>HYPERLINK("http://www.rosaceae.org/gb/gbrowse/malus_x_domestica/?name=MDP0000446003","MDP0000446003")</f>
        <v>MDP0000446003</v>
      </c>
      <c r="D13998">
        <v>77.77</v>
      </c>
      <c r="E13998">
        <v>711</v>
      </c>
      <c r="F13998">
        <v>158</v>
      </c>
      <c r="G13998">
        <v>2</v>
      </c>
      <c r="H13998">
        <v>2</v>
      </c>
      <c r="I13998">
        <v>710</v>
      </c>
      <c r="J13998">
        <v>1</v>
      </c>
      <c r="K13998">
        <v>6</v>
      </c>
      <c r="L13998">
        <v>716</v>
      </c>
      <c r="M13998">
        <v>1</v>
      </c>
      <c r="N13998">
        <v>0</v>
      </c>
      <c r="O13998">
        <v>2996</v>
      </c>
    </row>
    <row r="13999" spans="1:15" x14ac:dyDescent="0.25">
      <c r="A13999" t="s">
        <v>14012</v>
      </c>
      <c r="B13999">
        <v>313</v>
      </c>
      <c r="C13999" s="1" t="str">
        <f>HYPERLINK("http://www.rosaceae.org/gb/gbrowse/malus_x_domestica/?name=MDP0000751143","MDP0000751143")</f>
        <v>MDP0000751143</v>
      </c>
      <c r="D13999">
        <v>65</v>
      </c>
      <c r="E13999">
        <v>320</v>
      </c>
      <c r="F13999">
        <v>112</v>
      </c>
      <c r="G13999">
        <v>11</v>
      </c>
      <c r="H13999">
        <v>1</v>
      </c>
      <c r="I13999">
        <v>313</v>
      </c>
      <c r="J13999">
        <v>1</v>
      </c>
      <c r="K13999">
        <v>59</v>
      </c>
      <c r="L13999">
        <v>374</v>
      </c>
      <c r="M13999">
        <v>1</v>
      </c>
      <c r="N13999">
        <v>8.2006499999999996E-116</v>
      </c>
      <c r="O13999">
        <v>1063</v>
      </c>
    </row>
    <row r="14000" spans="1:15" x14ac:dyDescent="0.25">
      <c r="A14000" t="s">
        <v>14013</v>
      </c>
      <c r="B14000">
        <v>212</v>
      </c>
      <c r="C14000" s="1" t="str">
        <f>HYPERLINK("http://www.rosaceae.org/gb/gbrowse/malus_x_domestica/?name=MDP0000136645","MDP0000136645")</f>
        <v>MDP0000136645</v>
      </c>
      <c r="D14000">
        <v>60.66</v>
      </c>
      <c r="E14000">
        <v>211</v>
      </c>
      <c r="F14000">
        <v>83</v>
      </c>
      <c r="G14000">
        <v>6</v>
      </c>
      <c r="H14000">
        <v>1</v>
      </c>
      <c r="I14000">
        <v>211</v>
      </c>
      <c r="J14000">
        <v>1</v>
      </c>
      <c r="K14000">
        <v>1</v>
      </c>
      <c r="L14000">
        <v>205</v>
      </c>
      <c r="M14000">
        <v>1</v>
      </c>
      <c r="N14000">
        <v>1.1654600000000001E-68</v>
      </c>
      <c r="O14000">
        <v>654</v>
      </c>
    </row>
    <row r="14001" spans="1:15" x14ac:dyDescent="0.25">
      <c r="A14001" t="s">
        <v>14014</v>
      </c>
      <c r="B14001">
        <v>690</v>
      </c>
      <c r="C14001" s="1" t="str">
        <f>HYPERLINK("http://www.rosaceae.org/gb/gbrowse/malus_x_domestica/?name=MDP0000310682","MDP0000310682")</f>
        <v>MDP0000310682</v>
      </c>
      <c r="D14001">
        <v>66.03</v>
      </c>
      <c r="E14001">
        <v>689</v>
      </c>
      <c r="F14001">
        <v>234</v>
      </c>
      <c r="G14001">
        <v>10</v>
      </c>
      <c r="H14001">
        <v>3</v>
      </c>
      <c r="I14001">
        <v>685</v>
      </c>
      <c r="J14001">
        <v>1</v>
      </c>
      <c r="K14001">
        <v>5</v>
      </c>
      <c r="L14001">
        <v>689</v>
      </c>
      <c r="M14001">
        <v>1</v>
      </c>
      <c r="N14001">
        <v>0</v>
      </c>
      <c r="O14001">
        <v>2498</v>
      </c>
    </row>
    <row r="14002" spans="1:15" x14ac:dyDescent="0.25">
      <c r="A14002" t="s">
        <v>14015</v>
      </c>
      <c r="B14002">
        <v>127</v>
      </c>
      <c r="C14002" s="1" t="str">
        <f>HYPERLINK("http://www.rosaceae.org/gb/gbrowse/malus_x_domestica/?name=MDP0000183142","MDP0000183142")</f>
        <v>MDP0000183142</v>
      </c>
      <c r="D14002">
        <v>65.97</v>
      </c>
      <c r="E14002">
        <v>97</v>
      </c>
      <c r="F14002">
        <v>33</v>
      </c>
      <c r="G14002">
        <v>2</v>
      </c>
      <c r="H14002">
        <v>33</v>
      </c>
      <c r="I14002">
        <v>127</v>
      </c>
      <c r="J14002">
        <v>1</v>
      </c>
      <c r="K14002">
        <v>145</v>
      </c>
      <c r="L14002">
        <v>241</v>
      </c>
      <c r="M14002">
        <v>1</v>
      </c>
      <c r="N14002">
        <v>3.0126599999999997E-26</v>
      </c>
      <c r="O14002">
        <v>284</v>
      </c>
    </row>
    <row r="14003" spans="1:15" x14ac:dyDescent="0.25">
      <c r="A14003" t="s">
        <v>14016</v>
      </c>
      <c r="B14003">
        <v>466</v>
      </c>
      <c r="C14003" s="1" t="str">
        <f>HYPERLINK("http://www.rosaceae.org/gb/gbrowse/malus_x_domestica/?name=MDP0000308806","MDP0000308806")</f>
        <v>MDP0000308806</v>
      </c>
      <c r="D14003">
        <v>55.01</v>
      </c>
      <c r="E14003">
        <v>449</v>
      </c>
      <c r="F14003">
        <v>202</v>
      </c>
      <c r="G14003">
        <v>21</v>
      </c>
      <c r="H14003">
        <v>20</v>
      </c>
      <c r="I14003">
        <v>465</v>
      </c>
      <c r="J14003">
        <v>1</v>
      </c>
      <c r="K14003">
        <v>29</v>
      </c>
      <c r="L14003">
        <v>459</v>
      </c>
      <c r="M14003">
        <v>1</v>
      </c>
      <c r="N14003">
        <v>5.53651E-132</v>
      </c>
      <c r="O14003">
        <v>1204</v>
      </c>
    </row>
    <row r="14004" spans="1:15" x14ac:dyDescent="0.25">
      <c r="A14004" t="s">
        <v>14017</v>
      </c>
      <c r="B14004">
        <v>1758</v>
      </c>
      <c r="C14004" s="1" t="str">
        <f>HYPERLINK("http://www.rosaceae.org/gb/gbrowse/malus_x_domestica/?name=MDP0000275961","MDP0000275961")</f>
        <v>MDP0000275961</v>
      </c>
      <c r="D14004">
        <v>86.85</v>
      </c>
      <c r="E14004">
        <v>1750</v>
      </c>
      <c r="F14004">
        <v>230</v>
      </c>
      <c r="G14004">
        <v>21</v>
      </c>
      <c r="H14004">
        <v>13</v>
      </c>
      <c r="I14004">
        <v>1757</v>
      </c>
      <c r="J14004">
        <v>1</v>
      </c>
      <c r="K14004">
        <v>19</v>
      </c>
      <c r="L14004">
        <v>1752</v>
      </c>
      <c r="M14004">
        <v>1</v>
      </c>
      <c r="N14004">
        <v>0</v>
      </c>
      <c r="O14004">
        <v>8216</v>
      </c>
    </row>
    <row r="14005" spans="1:15" x14ac:dyDescent="0.25">
      <c r="A14005" t="s">
        <v>14018</v>
      </c>
      <c r="B14005">
        <v>375</v>
      </c>
      <c r="C14005" s="1" t="str">
        <f>HYPERLINK("http://www.rosaceae.org/gb/gbrowse/malus_x_domestica/?name=MDP0000267409","MDP0000267409")</f>
        <v>MDP0000267409</v>
      </c>
      <c r="D14005">
        <v>30.79</v>
      </c>
      <c r="E14005">
        <v>302</v>
      </c>
      <c r="F14005">
        <v>209</v>
      </c>
      <c r="G14005">
        <v>70</v>
      </c>
      <c r="H14005">
        <v>5</v>
      </c>
      <c r="I14005">
        <v>257</v>
      </c>
      <c r="J14005">
        <v>1</v>
      </c>
      <c r="K14005">
        <v>542</v>
      </c>
      <c r="L14005">
        <v>822</v>
      </c>
      <c r="M14005">
        <v>1</v>
      </c>
      <c r="N14005">
        <v>7.9094600000000004E-17</v>
      </c>
      <c r="O14005">
        <v>210</v>
      </c>
    </row>
    <row r="14006" spans="1:15" x14ac:dyDescent="0.25">
      <c r="A14006" t="s">
        <v>14019</v>
      </c>
      <c r="B14006">
        <v>246</v>
      </c>
      <c r="C14006" s="1" t="str">
        <f>HYPERLINK("http://www.rosaceae.org/gb/gbrowse/malus_x_domestica/?name=MDP0000175588","MDP0000175588")</f>
        <v>MDP0000175588</v>
      </c>
      <c r="D14006">
        <v>70</v>
      </c>
      <c r="E14006">
        <v>160</v>
      </c>
      <c r="F14006">
        <v>48</v>
      </c>
      <c r="G14006">
        <v>3</v>
      </c>
      <c r="H14006">
        <v>82</v>
      </c>
      <c r="I14006">
        <v>241</v>
      </c>
      <c r="J14006">
        <v>1</v>
      </c>
      <c r="K14006">
        <v>52</v>
      </c>
      <c r="L14006">
        <v>208</v>
      </c>
      <c r="M14006">
        <v>1</v>
      </c>
      <c r="N14006">
        <v>3.1549000000000002E-58</v>
      </c>
      <c r="O14006">
        <v>565</v>
      </c>
    </row>
    <row r="14007" spans="1:15" x14ac:dyDescent="0.25">
      <c r="A14007" t="s">
        <v>14020</v>
      </c>
      <c r="B14007">
        <v>644</v>
      </c>
      <c r="C14007" s="1" t="str">
        <f>HYPERLINK("http://www.rosaceae.org/gb/gbrowse/malus_x_domestica/?name=MDP0000204554","MDP0000204554")</f>
        <v>MDP0000204554</v>
      </c>
      <c r="D14007">
        <v>51.12</v>
      </c>
      <c r="E14007">
        <v>401</v>
      </c>
      <c r="F14007">
        <v>196</v>
      </c>
      <c r="G14007">
        <v>39</v>
      </c>
      <c r="H14007">
        <v>1</v>
      </c>
      <c r="I14007">
        <v>373</v>
      </c>
      <c r="J14007">
        <v>1</v>
      </c>
      <c r="K14007">
        <v>1</v>
      </c>
      <c r="L14007">
        <v>390</v>
      </c>
      <c r="M14007">
        <v>1</v>
      </c>
      <c r="N14007">
        <v>4.46292E-105</v>
      </c>
      <c r="O14007">
        <v>974</v>
      </c>
    </row>
    <row r="14008" spans="1:15" x14ac:dyDescent="0.25">
      <c r="A14008" t="s">
        <v>14021</v>
      </c>
      <c r="B14008">
        <v>184</v>
      </c>
      <c r="C14008" s="1" t="str">
        <f>HYPERLINK("http://www.rosaceae.org/gb/gbrowse/malus_x_domestica/?name=MDP0000248399","MDP0000248399")</f>
        <v>MDP0000248399</v>
      </c>
      <c r="D14008">
        <v>96.19</v>
      </c>
      <c r="E14008">
        <v>184</v>
      </c>
      <c r="F14008">
        <v>7</v>
      </c>
      <c r="G14008">
        <v>0</v>
      </c>
      <c r="H14008">
        <v>1</v>
      </c>
      <c r="I14008">
        <v>184</v>
      </c>
      <c r="J14008">
        <v>1</v>
      </c>
      <c r="K14008">
        <v>1</v>
      </c>
      <c r="L14008">
        <v>184</v>
      </c>
      <c r="M14008">
        <v>1</v>
      </c>
      <c r="N14008">
        <v>1.0663999999999999E-102</v>
      </c>
      <c r="O14008">
        <v>947</v>
      </c>
    </row>
    <row r="14009" spans="1:15" x14ac:dyDescent="0.25">
      <c r="A14009" t="s">
        <v>14022</v>
      </c>
      <c r="B14009">
        <v>321</v>
      </c>
      <c r="C14009" s="1" t="str">
        <f>HYPERLINK("http://www.rosaceae.org/gb/gbrowse/malus_x_domestica/?name=MDP0000319160","MDP0000319160")</f>
        <v>MDP0000319160</v>
      </c>
      <c r="D14009">
        <v>49.85</v>
      </c>
      <c r="E14009">
        <v>347</v>
      </c>
      <c r="F14009">
        <v>174</v>
      </c>
      <c r="G14009">
        <v>55</v>
      </c>
      <c r="H14009">
        <v>20</v>
      </c>
      <c r="I14009">
        <v>321</v>
      </c>
      <c r="J14009">
        <v>1</v>
      </c>
      <c r="K14009">
        <v>24</v>
      </c>
      <c r="L14009">
        <v>360</v>
      </c>
      <c r="M14009">
        <v>1</v>
      </c>
      <c r="N14009">
        <v>3.2851400000000002E-62</v>
      </c>
      <c r="O14009">
        <v>601</v>
      </c>
    </row>
    <row r="14010" spans="1:15" x14ac:dyDescent="0.25">
      <c r="A14010" t="s">
        <v>14023</v>
      </c>
      <c r="B14010">
        <v>170</v>
      </c>
      <c r="C14010" s="1" t="str">
        <f>HYPERLINK("http://www.rosaceae.org/gb/gbrowse/malus_x_domestica/?name=MDP0000319927","MDP0000319927")</f>
        <v>MDP0000319927</v>
      </c>
      <c r="D14010">
        <v>62.41</v>
      </c>
      <c r="E14010">
        <v>149</v>
      </c>
      <c r="F14010">
        <v>56</v>
      </c>
      <c r="G14010">
        <v>0</v>
      </c>
      <c r="H14010">
        <v>21</v>
      </c>
      <c r="I14010">
        <v>169</v>
      </c>
      <c r="J14010">
        <v>1</v>
      </c>
      <c r="K14010">
        <v>16</v>
      </c>
      <c r="L14010">
        <v>164</v>
      </c>
      <c r="M14010">
        <v>1</v>
      </c>
      <c r="N14010">
        <v>1.39014E-52</v>
      </c>
      <c r="O14010">
        <v>514</v>
      </c>
    </row>
    <row r="14011" spans="1:15" x14ac:dyDescent="0.25">
      <c r="A14011" t="s">
        <v>14024</v>
      </c>
      <c r="B14011">
        <v>488</v>
      </c>
      <c r="C14011" s="1" t="str">
        <f>HYPERLINK("http://www.rosaceae.org/gb/gbrowse/malus_x_domestica/?name=MDP0000269351","MDP0000269351")</f>
        <v>MDP0000269351</v>
      </c>
      <c r="D14011">
        <v>70.8</v>
      </c>
      <c r="E14011">
        <v>483</v>
      </c>
      <c r="F14011">
        <v>141</v>
      </c>
      <c r="G14011">
        <v>11</v>
      </c>
      <c r="H14011">
        <v>12</v>
      </c>
      <c r="I14011">
        <v>484</v>
      </c>
      <c r="J14011">
        <v>1</v>
      </c>
      <c r="K14011">
        <v>2</v>
      </c>
      <c r="L14011">
        <v>483</v>
      </c>
      <c r="M14011">
        <v>1</v>
      </c>
      <c r="N14011">
        <v>0</v>
      </c>
      <c r="O14011">
        <v>1781</v>
      </c>
    </row>
    <row r="14012" spans="1:15" x14ac:dyDescent="0.25">
      <c r="A14012" t="s">
        <v>14025</v>
      </c>
      <c r="B14012">
        <v>365</v>
      </c>
      <c r="C14012" s="1" t="str">
        <f>HYPERLINK("http://www.rosaceae.org/gb/gbrowse/malus_x_domestica/?name=MDP0000617020","MDP0000617020")</f>
        <v>MDP0000617020</v>
      </c>
      <c r="D14012">
        <v>58.78</v>
      </c>
      <c r="E14012">
        <v>330</v>
      </c>
      <c r="F14012">
        <v>136</v>
      </c>
      <c r="G14012">
        <v>3</v>
      </c>
      <c r="H14012">
        <v>35</v>
      </c>
      <c r="I14012">
        <v>364</v>
      </c>
      <c r="J14012">
        <v>1</v>
      </c>
      <c r="K14012">
        <v>33</v>
      </c>
      <c r="L14012">
        <v>359</v>
      </c>
      <c r="M14012">
        <v>1</v>
      </c>
      <c r="N14012">
        <v>1.5691799999999999E-113</v>
      </c>
      <c r="O14012">
        <v>1044</v>
      </c>
    </row>
    <row r="14013" spans="1:15" x14ac:dyDescent="0.25">
      <c r="A14013" t="s">
        <v>14026</v>
      </c>
      <c r="B14013">
        <v>237</v>
      </c>
      <c r="C14013" s="1" t="str">
        <f>HYPERLINK("http://www.rosaceae.org/gb/gbrowse/malus_x_domestica/?name=MDP0000278334","MDP0000278334")</f>
        <v>MDP0000278334</v>
      </c>
      <c r="D14013">
        <v>63.86</v>
      </c>
      <c r="E14013">
        <v>238</v>
      </c>
      <c r="F14013">
        <v>86</v>
      </c>
      <c r="G14013">
        <v>15</v>
      </c>
      <c r="H14013">
        <v>1</v>
      </c>
      <c r="I14013">
        <v>237</v>
      </c>
      <c r="J14013">
        <v>1</v>
      </c>
      <c r="K14013">
        <v>38</v>
      </c>
      <c r="L14013">
        <v>261</v>
      </c>
      <c r="M14013">
        <v>1</v>
      </c>
      <c r="N14013">
        <v>1.68659E-78</v>
      </c>
      <c r="O14013">
        <v>740</v>
      </c>
    </row>
    <row r="14014" spans="1:15" x14ac:dyDescent="0.25">
      <c r="A14014" t="s">
        <v>14027</v>
      </c>
      <c r="B14014">
        <v>585</v>
      </c>
      <c r="C14014" s="1" t="str">
        <f>HYPERLINK("http://www.rosaceae.org/gb/gbrowse/malus_x_domestica/?name=MDP0000209844","MDP0000209844")</f>
        <v>MDP0000209844</v>
      </c>
      <c r="D14014">
        <v>75.45</v>
      </c>
      <c r="E14014">
        <v>497</v>
      </c>
      <c r="F14014">
        <v>122</v>
      </c>
      <c r="G14014">
        <v>33</v>
      </c>
      <c r="H14014">
        <v>1</v>
      </c>
      <c r="I14014">
        <v>464</v>
      </c>
      <c r="J14014">
        <v>1</v>
      </c>
      <c r="K14014">
        <v>1</v>
      </c>
      <c r="L14014">
        <v>497</v>
      </c>
      <c r="M14014">
        <v>1</v>
      </c>
      <c r="N14014">
        <v>0</v>
      </c>
      <c r="O14014">
        <v>2029</v>
      </c>
    </row>
    <row r="14015" spans="1:15" x14ac:dyDescent="0.25">
      <c r="A14015" t="s">
        <v>14028</v>
      </c>
      <c r="B14015">
        <v>325</v>
      </c>
      <c r="C14015" s="1" t="str">
        <f>HYPERLINK("http://www.rosaceae.org/gb/gbrowse/malus_x_domestica/?name=MDP0000205471","MDP0000205471")</f>
        <v>MDP0000205471</v>
      </c>
      <c r="D14015">
        <v>53.42</v>
      </c>
      <c r="E14015">
        <v>73</v>
      </c>
      <c r="F14015">
        <v>34</v>
      </c>
      <c r="G14015">
        <v>2</v>
      </c>
      <c r="H14015">
        <v>23</v>
      </c>
      <c r="I14015">
        <v>95</v>
      </c>
      <c r="J14015">
        <v>1</v>
      </c>
      <c r="K14015">
        <v>50</v>
      </c>
      <c r="L14015">
        <v>120</v>
      </c>
      <c r="M14015">
        <v>1</v>
      </c>
      <c r="N14015">
        <v>1.1470499999999999E-13</v>
      </c>
      <c r="O14015">
        <v>182</v>
      </c>
    </row>
    <row r="14016" spans="1:15" x14ac:dyDescent="0.25">
      <c r="A14016" t="s">
        <v>14029</v>
      </c>
      <c r="B14016">
        <v>349</v>
      </c>
      <c r="C14016" s="1" t="str">
        <f>HYPERLINK("http://www.rosaceae.org/gb/gbrowse/malus_x_domestica/?name=MDP0000095192","MDP0000095192")</f>
        <v>MDP0000095192</v>
      </c>
      <c r="D14016">
        <v>74.84</v>
      </c>
      <c r="E14016">
        <v>318</v>
      </c>
      <c r="F14016">
        <v>80</v>
      </c>
      <c r="G14016">
        <v>7</v>
      </c>
      <c r="H14016">
        <v>1</v>
      </c>
      <c r="I14016">
        <v>312</v>
      </c>
      <c r="J14016">
        <v>1</v>
      </c>
      <c r="K14016">
        <v>1</v>
      </c>
      <c r="L14016">
        <v>317</v>
      </c>
      <c r="M14016">
        <v>1</v>
      </c>
      <c r="N14016">
        <v>2.8004800000000001E-139</v>
      </c>
      <c r="O14016">
        <v>1266</v>
      </c>
    </row>
    <row r="14017" spans="1:15" x14ac:dyDescent="0.25">
      <c r="A14017" t="s">
        <v>14030</v>
      </c>
      <c r="B14017">
        <v>268</v>
      </c>
      <c r="C14017" s="1" t="str">
        <f>HYPERLINK("http://www.rosaceae.org/gb/gbrowse/malus_x_domestica/?name=MDP0000224441","MDP0000224441")</f>
        <v>MDP0000224441</v>
      </c>
      <c r="D14017">
        <v>92.77</v>
      </c>
      <c r="E14017">
        <v>249</v>
      </c>
      <c r="F14017">
        <v>18</v>
      </c>
      <c r="G14017">
        <v>0</v>
      </c>
      <c r="H14017">
        <v>1</v>
      </c>
      <c r="I14017">
        <v>249</v>
      </c>
      <c r="J14017">
        <v>1</v>
      </c>
      <c r="K14017">
        <v>1</v>
      </c>
      <c r="L14017">
        <v>249</v>
      </c>
      <c r="M14017">
        <v>1</v>
      </c>
      <c r="N14017">
        <v>7.1092099999999996E-127</v>
      </c>
      <c r="O14017">
        <v>1157</v>
      </c>
    </row>
    <row r="14018" spans="1:15" x14ac:dyDescent="0.25">
      <c r="A14018" t="s">
        <v>14031</v>
      </c>
      <c r="B14018">
        <v>191</v>
      </c>
      <c r="C14018" s="1" t="str">
        <f>HYPERLINK("http://www.rosaceae.org/gb/gbrowse/malus_x_domestica/?name=MDP0000227352","MDP0000227352")</f>
        <v>MDP0000227352</v>
      </c>
      <c r="D14018">
        <v>28.76</v>
      </c>
      <c r="E14018">
        <v>146</v>
      </c>
      <c r="F14018">
        <v>104</v>
      </c>
      <c r="G14018">
        <v>9</v>
      </c>
      <c r="H14018">
        <v>55</v>
      </c>
      <c r="I14018">
        <v>191</v>
      </c>
      <c r="J14018">
        <v>1</v>
      </c>
      <c r="K14018">
        <v>92</v>
      </c>
      <c r="L14018">
        <v>237</v>
      </c>
      <c r="M14018">
        <v>1</v>
      </c>
      <c r="N14018">
        <v>6.9557899999999998E-10</v>
      </c>
      <c r="O14018">
        <v>146</v>
      </c>
    </row>
    <row r="14019" spans="1:15" x14ac:dyDescent="0.25">
      <c r="A14019" t="s">
        <v>14032</v>
      </c>
      <c r="B14019">
        <v>604</v>
      </c>
      <c r="C14019" s="1" t="str">
        <f>HYPERLINK("http://www.rosaceae.org/gb/gbrowse/malus_x_domestica/?name=MDP0000296578","MDP0000296578")</f>
        <v>MDP0000296578</v>
      </c>
      <c r="D14019">
        <v>75.94</v>
      </c>
      <c r="E14019">
        <v>553</v>
      </c>
      <c r="F14019">
        <v>133</v>
      </c>
      <c r="G14019">
        <v>6</v>
      </c>
      <c r="H14019">
        <v>1</v>
      </c>
      <c r="I14019">
        <v>548</v>
      </c>
      <c r="J14019">
        <v>1</v>
      </c>
      <c r="K14019">
        <v>1</v>
      </c>
      <c r="L14019">
        <v>552</v>
      </c>
      <c r="M14019">
        <v>1</v>
      </c>
      <c r="N14019">
        <v>0</v>
      </c>
      <c r="O14019">
        <v>2192</v>
      </c>
    </row>
    <row r="14020" spans="1:15" x14ac:dyDescent="0.25">
      <c r="A14020" t="s">
        <v>14033</v>
      </c>
      <c r="B14020">
        <v>621</v>
      </c>
      <c r="C14020" s="1" t="str">
        <f>HYPERLINK("http://www.rosaceae.org/gb/gbrowse/malus_x_domestica/?name=MDP0000405748","MDP0000405748")</f>
        <v>MDP0000405748</v>
      </c>
      <c r="D14020">
        <v>51.41</v>
      </c>
      <c r="E14020">
        <v>494</v>
      </c>
      <c r="F14020">
        <v>240</v>
      </c>
      <c r="G14020">
        <v>67</v>
      </c>
      <c r="H14020">
        <v>142</v>
      </c>
      <c r="I14020">
        <v>621</v>
      </c>
      <c r="J14020">
        <v>1</v>
      </c>
      <c r="K14020">
        <v>196</v>
      </c>
      <c r="L14020">
        <v>636</v>
      </c>
      <c r="M14020">
        <v>1</v>
      </c>
      <c r="N14020">
        <v>3.3192900000000001E-102</v>
      </c>
      <c r="O14020">
        <v>949</v>
      </c>
    </row>
    <row r="14021" spans="1:15" x14ac:dyDescent="0.25">
      <c r="A14021" t="s">
        <v>14034</v>
      </c>
      <c r="B14021">
        <v>858</v>
      </c>
      <c r="C14021" s="1" t="str">
        <f>HYPERLINK("http://www.rosaceae.org/gb/gbrowse/malus_x_domestica/?name=MDP0000297560","MDP0000297560")</f>
        <v>MDP0000297560</v>
      </c>
      <c r="D14021">
        <v>62.84</v>
      </c>
      <c r="E14021">
        <v>802</v>
      </c>
      <c r="F14021">
        <v>298</v>
      </c>
      <c r="G14021">
        <v>39</v>
      </c>
      <c r="H14021">
        <v>62</v>
      </c>
      <c r="I14021">
        <v>845</v>
      </c>
      <c r="J14021">
        <v>1</v>
      </c>
      <c r="K14021">
        <v>430</v>
      </c>
      <c r="L14021">
        <v>1210</v>
      </c>
      <c r="M14021">
        <v>1</v>
      </c>
      <c r="N14021">
        <v>0</v>
      </c>
      <c r="O14021">
        <v>2360</v>
      </c>
    </row>
    <row r="14022" spans="1:15" x14ac:dyDescent="0.25">
      <c r="A14022" t="s">
        <v>14035</v>
      </c>
      <c r="B14022">
        <v>404</v>
      </c>
      <c r="C14022" s="1" t="str">
        <f>HYPERLINK("http://www.rosaceae.org/gb/gbrowse/malus_x_domestica/?name=MDP0000498524","MDP0000498524")</f>
        <v>MDP0000498524</v>
      </c>
      <c r="D14022">
        <v>69.42</v>
      </c>
      <c r="E14022">
        <v>242</v>
      </c>
      <c r="F14022">
        <v>74</v>
      </c>
      <c r="G14022">
        <v>5</v>
      </c>
      <c r="H14022">
        <v>6</v>
      </c>
      <c r="I14022">
        <v>246</v>
      </c>
      <c r="J14022">
        <v>1</v>
      </c>
      <c r="K14022">
        <v>9</v>
      </c>
      <c r="L14022">
        <v>246</v>
      </c>
      <c r="M14022">
        <v>1</v>
      </c>
      <c r="N14022">
        <v>9.5533699999999998E-96</v>
      </c>
      <c r="O14022">
        <v>891</v>
      </c>
    </row>
    <row r="14023" spans="1:15" x14ac:dyDescent="0.25">
      <c r="A14023" t="s">
        <v>14036</v>
      </c>
      <c r="B14023">
        <v>913</v>
      </c>
      <c r="C14023" s="1" t="str">
        <f>HYPERLINK("http://www.rosaceae.org/gb/gbrowse/malus_x_domestica/?name=MDP0000144846","MDP0000144846")</f>
        <v>MDP0000144846</v>
      </c>
      <c r="D14023">
        <v>57.61</v>
      </c>
      <c r="E14023">
        <v>519</v>
      </c>
      <c r="F14023">
        <v>220</v>
      </c>
      <c r="G14023">
        <v>66</v>
      </c>
      <c r="H14023">
        <v>4</v>
      </c>
      <c r="I14023">
        <v>516</v>
      </c>
      <c r="J14023">
        <v>1</v>
      </c>
      <c r="K14023">
        <v>2</v>
      </c>
      <c r="L14023">
        <v>460</v>
      </c>
      <c r="M14023">
        <v>1</v>
      </c>
      <c r="N14023">
        <v>1.34394E-160</v>
      </c>
      <c r="O14023">
        <v>1454</v>
      </c>
    </row>
    <row r="14024" spans="1:15" x14ac:dyDescent="0.25">
      <c r="A14024" t="s">
        <v>14037</v>
      </c>
      <c r="B14024">
        <v>96</v>
      </c>
      <c r="C14024" s="1" t="str">
        <f>HYPERLINK("http://www.rosaceae.org/gb/gbrowse/malus_x_domestica/?name=MDP0000211757","MDP0000211757")</f>
        <v>MDP0000211757</v>
      </c>
      <c r="D14024">
        <v>53.33</v>
      </c>
      <c r="E14024">
        <v>90</v>
      </c>
      <c r="F14024">
        <v>42</v>
      </c>
      <c r="G14024">
        <v>1</v>
      </c>
      <c r="H14024">
        <v>1</v>
      </c>
      <c r="I14024">
        <v>90</v>
      </c>
      <c r="J14024">
        <v>1</v>
      </c>
      <c r="K14024">
        <v>306</v>
      </c>
      <c r="L14024">
        <v>394</v>
      </c>
      <c r="M14024">
        <v>1</v>
      </c>
      <c r="N14024">
        <v>1.12139E-20</v>
      </c>
      <c r="O14024">
        <v>236</v>
      </c>
    </row>
    <row r="14025" spans="1:15" x14ac:dyDescent="0.25">
      <c r="A14025" t="s">
        <v>14038</v>
      </c>
      <c r="B14025">
        <v>765</v>
      </c>
      <c r="C14025" s="1" t="str">
        <f>HYPERLINK("http://www.rosaceae.org/gb/gbrowse/malus_x_domestica/?name=MDP0000239047","MDP0000239047")</f>
        <v>MDP0000239047</v>
      </c>
      <c r="D14025">
        <v>85.83</v>
      </c>
      <c r="E14025">
        <v>692</v>
      </c>
      <c r="F14025">
        <v>98</v>
      </c>
      <c r="G14025">
        <v>22</v>
      </c>
      <c r="H14025">
        <v>1</v>
      </c>
      <c r="I14025">
        <v>675</v>
      </c>
      <c r="J14025">
        <v>1</v>
      </c>
      <c r="K14025">
        <v>1</v>
      </c>
      <c r="L14025">
        <v>687</v>
      </c>
      <c r="M14025">
        <v>1</v>
      </c>
      <c r="N14025">
        <v>0</v>
      </c>
      <c r="O14025">
        <v>3092</v>
      </c>
    </row>
    <row r="14026" spans="1:15" x14ac:dyDescent="0.25">
      <c r="A14026" t="s">
        <v>14039</v>
      </c>
      <c r="B14026">
        <v>177</v>
      </c>
      <c r="C14026" s="1" t="str">
        <f>HYPERLINK("http://www.rosaceae.org/gb/gbrowse/malus_x_domestica/?name=MDP0000139021","MDP0000139021")</f>
        <v>MDP0000139021</v>
      </c>
      <c r="D14026">
        <v>60</v>
      </c>
      <c r="E14026">
        <v>125</v>
      </c>
      <c r="F14026">
        <v>50</v>
      </c>
      <c r="G14026">
        <v>0</v>
      </c>
      <c r="H14026">
        <v>3</v>
      </c>
      <c r="I14026">
        <v>127</v>
      </c>
      <c r="J14026">
        <v>1</v>
      </c>
      <c r="K14026">
        <v>55</v>
      </c>
      <c r="L14026">
        <v>179</v>
      </c>
      <c r="M14026">
        <v>1</v>
      </c>
      <c r="N14026">
        <v>5.7199599999999999E-34</v>
      </c>
      <c r="O14026">
        <v>354</v>
      </c>
    </row>
    <row r="14027" spans="1:15" x14ac:dyDescent="0.25">
      <c r="A14027" t="s">
        <v>14040</v>
      </c>
      <c r="B14027">
        <v>258</v>
      </c>
      <c r="C14027" s="1" t="str">
        <f>HYPERLINK("http://www.rosaceae.org/gb/gbrowse/malus_x_domestica/?name=MDP0000129011","MDP0000129011")</f>
        <v>MDP0000129011</v>
      </c>
      <c r="D14027">
        <v>46.86</v>
      </c>
      <c r="E14027">
        <v>335</v>
      </c>
      <c r="F14027">
        <v>178</v>
      </c>
      <c r="G14027">
        <v>88</v>
      </c>
      <c r="H14027">
        <v>1</v>
      </c>
      <c r="I14027">
        <v>258</v>
      </c>
      <c r="J14027">
        <v>1</v>
      </c>
      <c r="K14027">
        <v>1</v>
      </c>
      <c r="L14027">
        <v>324</v>
      </c>
      <c r="M14027">
        <v>1</v>
      </c>
      <c r="N14027">
        <v>1.4601900000000001E-54</v>
      </c>
      <c r="O14027">
        <v>534</v>
      </c>
    </row>
    <row r="14028" spans="1:15" x14ac:dyDescent="0.25">
      <c r="A14028" t="s">
        <v>14041</v>
      </c>
      <c r="B14028">
        <v>242</v>
      </c>
      <c r="C14028" s="1" t="str">
        <f>HYPERLINK("http://www.rosaceae.org/gb/gbrowse/malus_x_domestica/?name=MDP0000144837","MDP0000144837")</f>
        <v>MDP0000144837</v>
      </c>
      <c r="D14028">
        <v>61.04</v>
      </c>
      <c r="E14028">
        <v>249</v>
      </c>
      <c r="F14028">
        <v>97</v>
      </c>
      <c r="G14028">
        <v>18</v>
      </c>
      <c r="H14028">
        <v>1</v>
      </c>
      <c r="I14028">
        <v>242</v>
      </c>
      <c r="J14028">
        <v>1</v>
      </c>
      <c r="K14028">
        <v>1</v>
      </c>
      <c r="L14028">
        <v>238</v>
      </c>
      <c r="M14028">
        <v>1</v>
      </c>
      <c r="N14028">
        <v>1.3938E-74</v>
      </c>
      <c r="O14028">
        <v>706</v>
      </c>
    </row>
    <row r="14029" spans="1:15" x14ac:dyDescent="0.25">
      <c r="A14029" t="s">
        <v>14042</v>
      </c>
      <c r="B14029">
        <v>273</v>
      </c>
      <c r="C14029" s="1" t="str">
        <f>HYPERLINK("http://www.rosaceae.org/gb/gbrowse/malus_x_domestica/?name=MDP0000307666","MDP0000307666")</f>
        <v>MDP0000307666</v>
      </c>
      <c r="D14029">
        <v>42.8</v>
      </c>
      <c r="E14029">
        <v>264</v>
      </c>
      <c r="F14029">
        <v>151</v>
      </c>
      <c r="G14029">
        <v>30</v>
      </c>
      <c r="H14029">
        <v>4</v>
      </c>
      <c r="I14029">
        <v>260</v>
      </c>
      <c r="J14029">
        <v>1</v>
      </c>
      <c r="K14029">
        <v>224</v>
      </c>
      <c r="L14029">
        <v>464</v>
      </c>
      <c r="M14029">
        <v>1</v>
      </c>
      <c r="N14029">
        <v>1.1563399999999999E-47</v>
      </c>
      <c r="O14029">
        <v>474</v>
      </c>
    </row>
    <row r="14030" spans="1:15" x14ac:dyDescent="0.25">
      <c r="A14030" t="s">
        <v>14043</v>
      </c>
      <c r="B14030">
        <v>193</v>
      </c>
      <c r="C14030" s="1" t="str">
        <f>HYPERLINK("http://www.rosaceae.org/gb/gbrowse/malus_x_domestica/?name=MDP0000506266","MDP0000506266")</f>
        <v>MDP0000506266</v>
      </c>
      <c r="D14030">
        <v>39.42</v>
      </c>
      <c r="E14030">
        <v>208</v>
      </c>
      <c r="F14030">
        <v>126</v>
      </c>
      <c r="G14030">
        <v>45</v>
      </c>
      <c r="H14030">
        <v>1</v>
      </c>
      <c r="I14030">
        <v>183</v>
      </c>
      <c r="J14030">
        <v>1</v>
      </c>
      <c r="K14030">
        <v>1</v>
      </c>
      <c r="L14030">
        <v>188</v>
      </c>
      <c r="M14030">
        <v>1</v>
      </c>
      <c r="N14030">
        <v>7.4398799999999995E-24</v>
      </c>
      <c r="O14030">
        <v>267</v>
      </c>
    </row>
    <row r="14031" spans="1:15" x14ac:dyDescent="0.25">
      <c r="A14031" t="s">
        <v>14044</v>
      </c>
      <c r="B14031">
        <v>672</v>
      </c>
      <c r="C14031" s="1" t="str">
        <f>HYPERLINK("http://www.rosaceae.org/gb/gbrowse/malus_x_domestica/?name=MDP0000299568","MDP0000299568")</f>
        <v>MDP0000299568</v>
      </c>
      <c r="D14031">
        <v>65.77</v>
      </c>
      <c r="E14031">
        <v>374</v>
      </c>
      <c r="F14031">
        <v>128</v>
      </c>
      <c r="G14031">
        <v>53</v>
      </c>
      <c r="H14031">
        <v>250</v>
      </c>
      <c r="I14031">
        <v>619</v>
      </c>
      <c r="J14031">
        <v>1</v>
      </c>
      <c r="K14031">
        <v>9</v>
      </c>
      <c r="L14031">
        <v>333</v>
      </c>
      <c r="M14031">
        <v>1</v>
      </c>
      <c r="N14031">
        <v>7.1404299999999996E-128</v>
      </c>
      <c r="O14031">
        <v>1171</v>
      </c>
    </row>
    <row r="14032" spans="1:15" x14ac:dyDescent="0.25">
      <c r="A14032" t="s">
        <v>14045</v>
      </c>
      <c r="B14032">
        <v>328</v>
      </c>
      <c r="C14032" s="1" t="str">
        <f>HYPERLINK("http://www.rosaceae.org/gb/gbrowse/malus_x_domestica/?name=MDP0000182973","MDP0000182973")</f>
        <v>MDP0000182973</v>
      </c>
      <c r="D14032">
        <v>78.16</v>
      </c>
      <c r="E14032">
        <v>316</v>
      </c>
      <c r="F14032">
        <v>69</v>
      </c>
      <c r="G14032">
        <v>11</v>
      </c>
      <c r="H14032">
        <v>24</v>
      </c>
      <c r="I14032">
        <v>328</v>
      </c>
      <c r="J14032">
        <v>1</v>
      </c>
      <c r="K14032">
        <v>29</v>
      </c>
      <c r="L14032">
        <v>344</v>
      </c>
      <c r="M14032">
        <v>1</v>
      </c>
      <c r="N14032">
        <v>1.5645600000000001E-140</v>
      </c>
      <c r="O14032">
        <v>1276</v>
      </c>
    </row>
    <row r="14033" spans="1:15" x14ac:dyDescent="0.25">
      <c r="A14033" t="s">
        <v>14046</v>
      </c>
      <c r="B14033">
        <v>244</v>
      </c>
      <c r="C14033" s="1" t="str">
        <f>HYPERLINK("http://www.rosaceae.org/gb/gbrowse/malus_x_domestica/?name=MDP0000772040","MDP0000772040")</f>
        <v>MDP0000772040</v>
      </c>
      <c r="D14033">
        <v>68.48</v>
      </c>
      <c r="E14033">
        <v>257</v>
      </c>
      <c r="F14033">
        <v>81</v>
      </c>
      <c r="G14033">
        <v>18</v>
      </c>
      <c r="H14033">
        <v>1</v>
      </c>
      <c r="I14033">
        <v>241</v>
      </c>
      <c r="J14033">
        <v>1</v>
      </c>
      <c r="K14033">
        <v>1</v>
      </c>
      <c r="L14033">
        <v>255</v>
      </c>
      <c r="M14033">
        <v>1</v>
      </c>
      <c r="N14033">
        <v>2.4572899999999999E-95</v>
      </c>
      <c r="O14033">
        <v>885</v>
      </c>
    </row>
    <row r="14034" spans="1:15" x14ac:dyDescent="0.25">
      <c r="A14034" t="s">
        <v>14047</v>
      </c>
      <c r="B14034">
        <v>125</v>
      </c>
      <c r="C14034" s="1" t="str">
        <f>HYPERLINK("http://www.rosaceae.org/gb/gbrowse/malus_x_domestica/?name=MDP0000318832","MDP0000318832")</f>
        <v>MDP0000318832</v>
      </c>
      <c r="D14034">
        <v>78.08</v>
      </c>
      <c r="E14034">
        <v>73</v>
      </c>
      <c r="F14034">
        <v>16</v>
      </c>
      <c r="G14034">
        <v>0</v>
      </c>
      <c r="H14034">
        <v>3</v>
      </c>
      <c r="I14034">
        <v>75</v>
      </c>
      <c r="J14034">
        <v>1</v>
      </c>
      <c r="K14034">
        <v>158</v>
      </c>
      <c r="L14034">
        <v>230</v>
      </c>
      <c r="M14034">
        <v>1</v>
      </c>
      <c r="N14034">
        <v>1.5572E-33</v>
      </c>
      <c r="O14034">
        <v>347</v>
      </c>
    </row>
    <row r="14035" spans="1:15" x14ac:dyDescent="0.25">
      <c r="A14035" t="s">
        <v>14048</v>
      </c>
      <c r="B14035">
        <v>312</v>
      </c>
      <c r="C14035" s="1" t="str">
        <f>HYPERLINK("http://www.rosaceae.org/gb/gbrowse/malus_x_domestica/?name=MDP0000772731","MDP0000772731")</f>
        <v>MDP0000772731</v>
      </c>
      <c r="D14035">
        <v>37.5</v>
      </c>
      <c r="E14035">
        <v>136</v>
      </c>
      <c r="F14035">
        <v>85</v>
      </c>
      <c r="G14035">
        <v>10</v>
      </c>
      <c r="H14035">
        <v>7</v>
      </c>
      <c r="I14035">
        <v>136</v>
      </c>
      <c r="J14035">
        <v>1</v>
      </c>
      <c r="K14035">
        <v>45</v>
      </c>
      <c r="L14035">
        <v>176</v>
      </c>
      <c r="M14035">
        <v>1</v>
      </c>
      <c r="N14035">
        <v>2.3031599999999998E-19</v>
      </c>
      <c r="O14035">
        <v>231</v>
      </c>
    </row>
    <row r="14036" spans="1:15" x14ac:dyDescent="0.25">
      <c r="A14036" t="s">
        <v>14049</v>
      </c>
      <c r="B14036">
        <v>619</v>
      </c>
      <c r="C14036" s="1" t="str">
        <f>HYPERLINK("http://www.rosaceae.org/gb/gbrowse/malus_x_domestica/?name=MDP0000169047","MDP0000169047")</f>
        <v>MDP0000169047</v>
      </c>
      <c r="D14036">
        <v>42.3</v>
      </c>
      <c r="E14036">
        <v>624</v>
      </c>
      <c r="F14036">
        <v>360</v>
      </c>
      <c r="G14036">
        <v>40</v>
      </c>
      <c r="H14036">
        <v>21</v>
      </c>
      <c r="I14036">
        <v>612</v>
      </c>
      <c r="J14036">
        <v>1</v>
      </c>
      <c r="K14036">
        <v>23</v>
      </c>
      <c r="L14036">
        <v>638</v>
      </c>
      <c r="M14036">
        <v>1</v>
      </c>
      <c r="N14036">
        <v>5.9460899999999998E-121</v>
      </c>
      <c r="O14036">
        <v>1111</v>
      </c>
    </row>
    <row r="14037" spans="1:15" x14ac:dyDescent="0.25">
      <c r="A14037" t="s">
        <v>14050</v>
      </c>
      <c r="B14037">
        <v>197</v>
      </c>
      <c r="C14037" s="1" t="str">
        <f>HYPERLINK("http://www.rosaceae.org/gb/gbrowse/malus_x_domestica/?name=MDP0000281397","MDP0000281397")</f>
        <v>MDP0000281397</v>
      </c>
      <c r="D14037">
        <v>69.59</v>
      </c>
      <c r="E14037">
        <v>148</v>
      </c>
      <c r="F14037">
        <v>45</v>
      </c>
      <c r="G14037">
        <v>19</v>
      </c>
      <c r="H14037">
        <v>26</v>
      </c>
      <c r="I14037">
        <v>155</v>
      </c>
      <c r="J14037">
        <v>1</v>
      </c>
      <c r="K14037">
        <v>27</v>
      </c>
      <c r="L14037">
        <v>173</v>
      </c>
      <c r="M14037">
        <v>1</v>
      </c>
      <c r="N14037">
        <v>4.2503199999999998E-54</v>
      </c>
      <c r="O14037">
        <v>528</v>
      </c>
    </row>
    <row r="14038" spans="1:15" x14ac:dyDescent="0.25">
      <c r="A14038" t="s">
        <v>14051</v>
      </c>
      <c r="B14038">
        <v>322</v>
      </c>
      <c r="C14038" s="1" t="str">
        <f>HYPERLINK("http://www.rosaceae.org/gb/gbrowse/malus_x_domestica/?name=MDP0000123873","MDP0000123873")</f>
        <v>MDP0000123873</v>
      </c>
      <c r="D14038">
        <v>56.31</v>
      </c>
      <c r="E14038">
        <v>364</v>
      </c>
      <c r="F14038">
        <v>159</v>
      </c>
      <c r="G14038">
        <v>61</v>
      </c>
      <c r="H14038">
        <v>1</v>
      </c>
      <c r="I14038">
        <v>317</v>
      </c>
      <c r="J14038">
        <v>1</v>
      </c>
      <c r="K14038">
        <v>1</v>
      </c>
      <c r="L14038">
        <v>350</v>
      </c>
      <c r="M14038">
        <v>1</v>
      </c>
      <c r="N14038">
        <v>3.1917500000000002E-91</v>
      </c>
      <c r="O14038">
        <v>851</v>
      </c>
    </row>
    <row r="14039" spans="1:15" x14ac:dyDescent="0.25">
      <c r="A14039" t="s">
        <v>14052</v>
      </c>
      <c r="B14039">
        <v>111</v>
      </c>
      <c r="C14039" s="1" t="str">
        <f>HYPERLINK("http://www.rosaceae.org/gb/gbrowse/malus_x_domestica/?name=MDP0000433653","MDP0000433653")</f>
        <v>MDP0000433653</v>
      </c>
      <c r="D14039">
        <v>77.569999999999993</v>
      </c>
      <c r="E14039">
        <v>107</v>
      </c>
      <c r="F14039">
        <v>24</v>
      </c>
      <c r="G14039">
        <v>0</v>
      </c>
      <c r="H14039">
        <v>5</v>
      </c>
      <c r="I14039">
        <v>111</v>
      </c>
      <c r="J14039">
        <v>1</v>
      </c>
      <c r="K14039">
        <v>115</v>
      </c>
      <c r="L14039">
        <v>221</v>
      </c>
      <c r="M14039">
        <v>1</v>
      </c>
      <c r="N14039">
        <v>2.3104399999999998E-46</v>
      </c>
      <c r="O14039">
        <v>457</v>
      </c>
    </row>
    <row r="14040" spans="1:15" x14ac:dyDescent="0.25">
      <c r="A14040" t="s">
        <v>14053</v>
      </c>
      <c r="B14040">
        <v>130</v>
      </c>
      <c r="C14040" s="1" t="str">
        <f>HYPERLINK("http://www.rosaceae.org/gb/gbrowse/malus_x_domestica/?name=MDP0000135375","MDP0000135375")</f>
        <v>MDP0000135375</v>
      </c>
      <c r="D14040">
        <v>48.5</v>
      </c>
      <c r="E14040">
        <v>134</v>
      </c>
      <c r="F14040">
        <v>69</v>
      </c>
      <c r="G14040">
        <v>24</v>
      </c>
      <c r="H14040">
        <v>1</v>
      </c>
      <c r="I14040">
        <v>130</v>
      </c>
      <c r="J14040">
        <v>1</v>
      </c>
      <c r="K14040">
        <v>1</v>
      </c>
      <c r="L14040">
        <v>114</v>
      </c>
      <c r="M14040">
        <v>1</v>
      </c>
      <c r="N14040">
        <v>6.4767199999999997E-22</v>
      </c>
      <c r="O14040">
        <v>247</v>
      </c>
    </row>
    <row r="14041" spans="1:15" x14ac:dyDescent="0.25">
      <c r="A14041" t="s">
        <v>14054</v>
      </c>
      <c r="B14041">
        <v>949</v>
      </c>
      <c r="C14041" s="1" t="str">
        <f>HYPERLINK("http://www.rosaceae.org/gb/gbrowse/malus_x_domestica/?name=MDP0000283614","MDP0000283614")</f>
        <v>MDP0000283614</v>
      </c>
      <c r="D14041">
        <v>69.430000000000007</v>
      </c>
      <c r="E14041">
        <v>831</v>
      </c>
      <c r="F14041">
        <v>254</v>
      </c>
      <c r="G14041">
        <v>76</v>
      </c>
      <c r="H14041">
        <v>168</v>
      </c>
      <c r="I14041">
        <v>949</v>
      </c>
      <c r="J14041">
        <v>1</v>
      </c>
      <c r="K14041">
        <v>112</v>
      </c>
      <c r="L14041">
        <v>915</v>
      </c>
      <c r="M14041">
        <v>1</v>
      </c>
      <c r="N14041">
        <v>0</v>
      </c>
      <c r="O14041">
        <v>2866</v>
      </c>
    </row>
    <row r="14042" spans="1:15" x14ac:dyDescent="0.25">
      <c r="A14042" t="s">
        <v>14055</v>
      </c>
      <c r="B14042">
        <v>402</v>
      </c>
      <c r="C14042" s="1" t="str">
        <f>HYPERLINK("http://www.rosaceae.org/gb/gbrowse/malus_x_domestica/?name=MDP0000775116","MDP0000775116")</f>
        <v>MDP0000775116</v>
      </c>
      <c r="D14042">
        <v>40.21</v>
      </c>
      <c r="E14042">
        <v>470</v>
      </c>
      <c r="F14042">
        <v>281</v>
      </c>
      <c r="G14042">
        <v>76</v>
      </c>
      <c r="H14042">
        <v>1</v>
      </c>
      <c r="I14042">
        <v>399</v>
      </c>
      <c r="J14042">
        <v>1</v>
      </c>
      <c r="K14042">
        <v>12</v>
      </c>
      <c r="L14042">
        <v>476</v>
      </c>
      <c r="M14042">
        <v>1</v>
      </c>
      <c r="N14042">
        <v>3.2578400000000002E-71</v>
      </c>
      <c r="O14042">
        <v>680</v>
      </c>
    </row>
    <row r="14043" spans="1:15" x14ac:dyDescent="0.25">
      <c r="A14043" t="s">
        <v>14056</v>
      </c>
      <c r="B14043">
        <v>292</v>
      </c>
      <c r="C14043" s="1" t="str">
        <f>HYPERLINK("http://www.rosaceae.org/gb/gbrowse/malus_x_domestica/?name=MDP0000294168","MDP0000294168")</f>
        <v>MDP0000294168</v>
      </c>
      <c r="D14043">
        <v>67.25</v>
      </c>
      <c r="E14043">
        <v>281</v>
      </c>
      <c r="F14043">
        <v>92</v>
      </c>
      <c r="G14043">
        <v>16</v>
      </c>
      <c r="H14043">
        <v>1</v>
      </c>
      <c r="I14043">
        <v>265</v>
      </c>
      <c r="J14043">
        <v>1</v>
      </c>
      <c r="K14043">
        <v>1</v>
      </c>
      <c r="L14043">
        <v>281</v>
      </c>
      <c r="M14043">
        <v>1</v>
      </c>
      <c r="N14043">
        <v>1.8389899999999999E-103</v>
      </c>
      <c r="O14043">
        <v>956</v>
      </c>
    </row>
    <row r="14044" spans="1:15" x14ac:dyDescent="0.25">
      <c r="A14044" t="s">
        <v>14057</v>
      </c>
      <c r="B14044">
        <v>143</v>
      </c>
      <c r="C14044" s="1" t="str">
        <f>HYPERLINK("http://www.rosaceae.org/gb/gbrowse/malus_x_domestica/?name=MDP0000426083","MDP0000426083")</f>
        <v>MDP0000426083</v>
      </c>
      <c r="D14044">
        <v>70.42</v>
      </c>
      <c r="E14044">
        <v>142</v>
      </c>
      <c r="F14044">
        <v>42</v>
      </c>
      <c r="G14044">
        <v>7</v>
      </c>
      <c r="H14044">
        <v>1</v>
      </c>
      <c r="I14044">
        <v>142</v>
      </c>
      <c r="J14044">
        <v>1</v>
      </c>
      <c r="K14044">
        <v>1</v>
      </c>
      <c r="L14044">
        <v>135</v>
      </c>
      <c r="M14044">
        <v>1</v>
      </c>
      <c r="N14044">
        <v>9.65177E-54</v>
      </c>
      <c r="O14044">
        <v>522</v>
      </c>
    </row>
    <row r="14045" spans="1:15" x14ac:dyDescent="0.25">
      <c r="A14045" t="s">
        <v>14058</v>
      </c>
      <c r="B14045">
        <v>142</v>
      </c>
      <c r="C14045" s="1" t="str">
        <f>HYPERLINK("http://www.rosaceae.org/gb/gbrowse/malus_x_domestica/?name=MDP0000436958","MDP0000436958")</f>
        <v>MDP0000436958</v>
      </c>
      <c r="D14045">
        <v>89.62</v>
      </c>
      <c r="E14045">
        <v>106</v>
      </c>
      <c r="F14045">
        <v>11</v>
      </c>
      <c r="G14045">
        <v>0</v>
      </c>
      <c r="H14045">
        <v>1</v>
      </c>
      <c r="I14045">
        <v>106</v>
      </c>
      <c r="J14045">
        <v>1</v>
      </c>
      <c r="K14045">
        <v>59</v>
      </c>
      <c r="L14045">
        <v>164</v>
      </c>
      <c r="M14045">
        <v>1</v>
      </c>
      <c r="N14045">
        <v>1.0919200000000001E-47</v>
      </c>
      <c r="O14045">
        <v>470</v>
      </c>
    </row>
    <row r="14046" spans="1:15" x14ac:dyDescent="0.25">
      <c r="A14046" t="s">
        <v>14059</v>
      </c>
      <c r="B14046">
        <v>583</v>
      </c>
      <c r="C14046" s="1" t="str">
        <f>HYPERLINK("http://www.rosaceae.org/gb/gbrowse/malus_x_domestica/?name=MDP0000318279","MDP0000318279")</f>
        <v>MDP0000318279</v>
      </c>
      <c r="D14046">
        <v>36.71</v>
      </c>
      <c r="E14046">
        <v>207</v>
      </c>
      <c r="F14046">
        <v>131</v>
      </c>
      <c r="G14046">
        <v>2</v>
      </c>
      <c r="H14046">
        <v>163</v>
      </c>
      <c r="I14046">
        <v>369</v>
      </c>
      <c r="J14046">
        <v>1</v>
      </c>
      <c r="K14046">
        <v>123</v>
      </c>
      <c r="L14046">
        <v>327</v>
      </c>
      <c r="M14046">
        <v>1</v>
      </c>
      <c r="N14046">
        <v>1.1413E-36</v>
      </c>
      <c r="O14046">
        <v>383</v>
      </c>
    </row>
    <row r="14047" spans="1:15" x14ac:dyDescent="0.25">
      <c r="A14047" t="s">
        <v>14060</v>
      </c>
      <c r="B14047">
        <v>141</v>
      </c>
      <c r="C14047" s="1" t="str">
        <f>HYPERLINK("http://www.rosaceae.org/gb/gbrowse/malus_x_domestica/?name=MDP0000201897","MDP0000201897")</f>
        <v>MDP0000201897</v>
      </c>
      <c r="D14047">
        <v>32.57</v>
      </c>
      <c r="E14047">
        <v>132</v>
      </c>
      <c r="F14047">
        <v>89</v>
      </c>
      <c r="G14047">
        <v>12</v>
      </c>
      <c r="H14047">
        <v>1</v>
      </c>
      <c r="I14047">
        <v>130</v>
      </c>
      <c r="J14047">
        <v>1</v>
      </c>
      <c r="K14047">
        <v>595</v>
      </c>
      <c r="L14047">
        <v>716</v>
      </c>
      <c r="M14047">
        <v>1</v>
      </c>
      <c r="N14047">
        <v>5.2708799999999999E-14</v>
      </c>
      <c r="O14047">
        <v>180</v>
      </c>
    </row>
    <row r="14048" spans="1:15" x14ac:dyDescent="0.25">
      <c r="A14048" t="s">
        <v>14061</v>
      </c>
      <c r="B14048">
        <v>165</v>
      </c>
      <c r="C14048" s="1" t="str">
        <f>HYPERLINK("http://www.rosaceae.org/gb/gbrowse/malus_x_domestica/?name=MDP0000204794","MDP0000204794")</f>
        <v>MDP0000204794</v>
      </c>
      <c r="D14048">
        <v>36.479999999999997</v>
      </c>
      <c r="E14048">
        <v>74</v>
      </c>
      <c r="F14048">
        <v>47</v>
      </c>
      <c r="G14048">
        <v>0</v>
      </c>
      <c r="H14048">
        <v>85</v>
      </c>
      <c r="I14048">
        <v>158</v>
      </c>
      <c r="J14048">
        <v>1</v>
      </c>
      <c r="K14048">
        <v>302</v>
      </c>
      <c r="L14048">
        <v>375</v>
      </c>
      <c r="M14048">
        <v>1</v>
      </c>
      <c r="N14048">
        <v>2.6248499999999998E-7</v>
      </c>
      <c r="O14048">
        <v>123</v>
      </c>
    </row>
    <row r="14049" spans="1:15" x14ac:dyDescent="0.25">
      <c r="A14049" t="s">
        <v>14062</v>
      </c>
      <c r="B14049">
        <v>142</v>
      </c>
      <c r="C14049" s="1" t="str">
        <f>HYPERLINK("http://www.rosaceae.org/gb/gbrowse/malus_x_domestica/?name=MDP0000156993","MDP0000156993")</f>
        <v>MDP0000156993</v>
      </c>
      <c r="D14049">
        <v>60.41</v>
      </c>
      <c r="E14049">
        <v>144</v>
      </c>
      <c r="F14049">
        <v>57</v>
      </c>
      <c r="G14049">
        <v>9</v>
      </c>
      <c r="H14049">
        <v>4</v>
      </c>
      <c r="I14049">
        <v>140</v>
      </c>
      <c r="J14049">
        <v>1</v>
      </c>
      <c r="K14049">
        <v>97</v>
      </c>
      <c r="L14049">
        <v>238</v>
      </c>
      <c r="M14049">
        <v>1</v>
      </c>
      <c r="N14049">
        <v>6.5223699999999996E-41</v>
      </c>
      <c r="O14049">
        <v>412</v>
      </c>
    </row>
    <row r="14050" spans="1:15" x14ac:dyDescent="0.25">
      <c r="A14050" t="s">
        <v>14063</v>
      </c>
      <c r="B14050">
        <v>1036</v>
      </c>
      <c r="C14050" s="1" t="str">
        <f>HYPERLINK("http://www.rosaceae.org/gb/gbrowse/malus_x_domestica/?name=MDP0000311304","MDP0000311304")</f>
        <v>MDP0000311304</v>
      </c>
      <c r="D14050">
        <v>77.91</v>
      </c>
      <c r="E14050">
        <v>394</v>
      </c>
      <c r="F14050">
        <v>87</v>
      </c>
      <c r="G14050">
        <v>1</v>
      </c>
      <c r="H14050">
        <v>8</v>
      </c>
      <c r="I14050">
        <v>401</v>
      </c>
      <c r="J14050">
        <v>1</v>
      </c>
      <c r="K14050">
        <v>366</v>
      </c>
      <c r="L14050">
        <v>758</v>
      </c>
      <c r="M14050">
        <v>1</v>
      </c>
      <c r="N14050">
        <v>0</v>
      </c>
      <c r="O14050">
        <v>1666</v>
      </c>
    </row>
    <row r="14051" spans="1:15" x14ac:dyDescent="0.25">
      <c r="A14051" t="s">
        <v>14064</v>
      </c>
      <c r="B14051">
        <v>315</v>
      </c>
      <c r="C14051" s="1" t="str">
        <f>HYPERLINK("http://www.rosaceae.org/gb/gbrowse/malus_x_domestica/?name=MDP0000122724","MDP0000122724")</f>
        <v>MDP0000122724</v>
      </c>
      <c r="D14051">
        <v>69.930000000000007</v>
      </c>
      <c r="E14051">
        <v>316</v>
      </c>
      <c r="F14051">
        <v>95</v>
      </c>
      <c r="G14051">
        <v>4</v>
      </c>
      <c r="H14051">
        <v>1</v>
      </c>
      <c r="I14051">
        <v>313</v>
      </c>
      <c r="J14051">
        <v>1</v>
      </c>
      <c r="K14051">
        <v>1</v>
      </c>
      <c r="L14051">
        <v>315</v>
      </c>
      <c r="M14051">
        <v>1</v>
      </c>
      <c r="N14051">
        <v>4.6792099999999998E-127</v>
      </c>
      <c r="O14051">
        <v>1160</v>
      </c>
    </row>
    <row r="14052" spans="1:15" x14ac:dyDescent="0.25">
      <c r="A14052" t="s">
        <v>14065</v>
      </c>
      <c r="B14052">
        <v>1071</v>
      </c>
      <c r="C14052" s="1" t="str">
        <f>HYPERLINK("http://www.rosaceae.org/gb/gbrowse/malus_x_domestica/?name=MDP0000223735","MDP0000223735")</f>
        <v>MDP0000223735</v>
      </c>
      <c r="D14052">
        <v>54.7</v>
      </c>
      <c r="E14052">
        <v>775</v>
      </c>
      <c r="F14052">
        <v>351</v>
      </c>
      <c r="G14052">
        <v>22</v>
      </c>
      <c r="H14052">
        <v>304</v>
      </c>
      <c r="I14052">
        <v>1071</v>
      </c>
      <c r="J14052">
        <v>1</v>
      </c>
      <c r="K14052">
        <v>16</v>
      </c>
      <c r="L14052">
        <v>775</v>
      </c>
      <c r="M14052">
        <v>1</v>
      </c>
      <c r="N14052">
        <v>0</v>
      </c>
      <c r="O14052">
        <v>2139</v>
      </c>
    </row>
    <row r="14053" spans="1:15" x14ac:dyDescent="0.25">
      <c r="A14053" t="s">
        <v>14066</v>
      </c>
      <c r="B14053">
        <v>340</v>
      </c>
      <c r="C14053" s="1" t="str">
        <f>HYPERLINK("http://www.rosaceae.org/gb/gbrowse/malus_x_domestica/?name=MDP0000884343","MDP0000884343")</f>
        <v>MDP0000884343</v>
      </c>
      <c r="D14053">
        <v>63.42</v>
      </c>
      <c r="E14053">
        <v>298</v>
      </c>
      <c r="F14053">
        <v>109</v>
      </c>
      <c r="G14053">
        <v>34</v>
      </c>
      <c r="H14053">
        <v>69</v>
      </c>
      <c r="I14053">
        <v>334</v>
      </c>
      <c r="J14053">
        <v>1</v>
      </c>
      <c r="K14053">
        <v>25</v>
      </c>
      <c r="L14053">
        <v>320</v>
      </c>
      <c r="M14053">
        <v>1</v>
      </c>
      <c r="N14053">
        <v>1.37203E-111</v>
      </c>
      <c r="O14053">
        <v>1027</v>
      </c>
    </row>
    <row r="14054" spans="1:15" x14ac:dyDescent="0.25">
      <c r="A14054" t="s">
        <v>14067</v>
      </c>
      <c r="B14054">
        <v>704</v>
      </c>
      <c r="C14054" s="1" t="str">
        <f>HYPERLINK("http://www.rosaceae.org/gb/gbrowse/malus_x_domestica/?name=MDP0000780534","MDP0000780534")</f>
        <v>MDP0000780534</v>
      </c>
      <c r="D14054">
        <v>66.42</v>
      </c>
      <c r="E14054">
        <v>700</v>
      </c>
      <c r="F14054">
        <v>235</v>
      </c>
      <c r="G14054">
        <v>21</v>
      </c>
      <c r="H14054">
        <v>23</v>
      </c>
      <c r="I14054">
        <v>704</v>
      </c>
      <c r="J14054">
        <v>1</v>
      </c>
      <c r="K14054">
        <v>1</v>
      </c>
      <c r="L14054">
        <v>697</v>
      </c>
      <c r="M14054">
        <v>1</v>
      </c>
      <c r="N14054">
        <v>0</v>
      </c>
      <c r="O14054">
        <v>2281</v>
      </c>
    </row>
    <row r="14055" spans="1:15" x14ac:dyDescent="0.25">
      <c r="A14055" t="s">
        <v>14068</v>
      </c>
      <c r="B14055">
        <v>394</v>
      </c>
      <c r="C14055" s="1" t="str">
        <f>HYPERLINK("http://www.rosaceae.org/gb/gbrowse/malus_x_domestica/?name=MDP0000574151","MDP0000574151")</f>
        <v>MDP0000574151</v>
      </c>
      <c r="D14055">
        <v>76.209999999999994</v>
      </c>
      <c r="E14055">
        <v>164</v>
      </c>
      <c r="F14055">
        <v>39</v>
      </c>
      <c r="G14055">
        <v>0</v>
      </c>
      <c r="H14055">
        <v>56</v>
      </c>
      <c r="I14055">
        <v>219</v>
      </c>
      <c r="J14055">
        <v>1</v>
      </c>
      <c r="K14055">
        <v>150</v>
      </c>
      <c r="L14055">
        <v>313</v>
      </c>
      <c r="M14055">
        <v>1</v>
      </c>
      <c r="N14055">
        <v>4.1090500000000004E-68</v>
      </c>
      <c r="O14055">
        <v>653</v>
      </c>
    </row>
    <row r="14056" spans="1:15" x14ac:dyDescent="0.25">
      <c r="A14056" t="s">
        <v>14069</v>
      </c>
      <c r="B14056">
        <v>494</v>
      </c>
      <c r="C14056" s="1" t="str">
        <f>HYPERLINK("http://www.rosaceae.org/gb/gbrowse/malus_x_domestica/?name=MDP0000152642","MDP0000152642")</f>
        <v>MDP0000152642</v>
      </c>
      <c r="D14056">
        <v>40.58</v>
      </c>
      <c r="E14056">
        <v>478</v>
      </c>
      <c r="F14056">
        <v>284</v>
      </c>
      <c r="G14056">
        <v>80</v>
      </c>
      <c r="H14056">
        <v>28</v>
      </c>
      <c r="I14056">
        <v>489</v>
      </c>
      <c r="J14056">
        <v>1</v>
      </c>
      <c r="K14056">
        <v>24</v>
      </c>
      <c r="L14056">
        <v>437</v>
      </c>
      <c r="M14056">
        <v>1</v>
      </c>
      <c r="N14056">
        <v>8.6014500000000009E-87</v>
      </c>
      <c r="O14056">
        <v>815</v>
      </c>
    </row>
    <row r="14057" spans="1:15" x14ac:dyDescent="0.25">
      <c r="A14057" t="s">
        <v>14070</v>
      </c>
      <c r="B14057">
        <v>193</v>
      </c>
      <c r="C14057" s="1" t="str">
        <f>HYPERLINK("http://www.rosaceae.org/gb/gbrowse/malus_x_domestica/?name=MDP0000334368","MDP0000334368")</f>
        <v>MDP0000334368</v>
      </c>
      <c r="D14057">
        <v>81.05</v>
      </c>
      <c r="E14057">
        <v>95</v>
      </c>
      <c r="F14057">
        <v>18</v>
      </c>
      <c r="G14057">
        <v>0</v>
      </c>
      <c r="H14057">
        <v>84</v>
      </c>
      <c r="I14057">
        <v>178</v>
      </c>
      <c r="J14057">
        <v>1</v>
      </c>
      <c r="K14057">
        <v>51</v>
      </c>
      <c r="L14057">
        <v>145</v>
      </c>
      <c r="M14057">
        <v>1</v>
      </c>
      <c r="N14057">
        <v>1.6370000000000001E-37</v>
      </c>
      <c r="O14057">
        <v>385</v>
      </c>
    </row>
    <row r="14058" spans="1:15" x14ac:dyDescent="0.25">
      <c r="A14058" t="s">
        <v>14071</v>
      </c>
      <c r="B14058">
        <v>144</v>
      </c>
      <c r="C14058" s="1" t="str">
        <f>HYPERLINK("http://www.rosaceae.org/gb/gbrowse/malus_x_domestica/?name=MDP0000260960","MDP0000260960")</f>
        <v>MDP0000260960</v>
      </c>
      <c r="D14058">
        <v>33.33</v>
      </c>
      <c r="E14058">
        <v>135</v>
      </c>
      <c r="F14058">
        <v>90</v>
      </c>
      <c r="G14058">
        <v>0</v>
      </c>
      <c r="H14058">
        <v>9</v>
      </c>
      <c r="I14058">
        <v>143</v>
      </c>
      <c r="J14058">
        <v>1</v>
      </c>
      <c r="K14058">
        <v>385</v>
      </c>
      <c r="L14058">
        <v>519</v>
      </c>
      <c r="M14058">
        <v>1</v>
      </c>
      <c r="N14058">
        <v>1.76918E-17</v>
      </c>
      <c r="O14058">
        <v>210</v>
      </c>
    </row>
    <row r="14059" spans="1:15" x14ac:dyDescent="0.25">
      <c r="A14059" t="s">
        <v>14072</v>
      </c>
      <c r="B14059">
        <v>411</v>
      </c>
      <c r="C14059" s="1" t="str">
        <f>HYPERLINK("http://www.rosaceae.org/gb/gbrowse/malus_x_domestica/?name=MDP0000298352","MDP0000298352")</f>
        <v>MDP0000298352</v>
      </c>
      <c r="D14059">
        <v>59.38</v>
      </c>
      <c r="E14059">
        <v>293</v>
      </c>
      <c r="F14059">
        <v>119</v>
      </c>
      <c r="G14059">
        <v>24</v>
      </c>
      <c r="H14059">
        <v>134</v>
      </c>
      <c r="I14059">
        <v>405</v>
      </c>
      <c r="J14059">
        <v>1</v>
      </c>
      <c r="K14059">
        <v>616</v>
      </c>
      <c r="L14059">
        <v>905</v>
      </c>
      <c r="M14059">
        <v>1</v>
      </c>
      <c r="N14059">
        <v>6.4593899999999997E-87</v>
      </c>
      <c r="O14059">
        <v>815</v>
      </c>
    </row>
    <row r="14060" spans="1:15" x14ac:dyDescent="0.25">
      <c r="A14060" t="s">
        <v>14073</v>
      </c>
      <c r="B14060">
        <v>718</v>
      </c>
      <c r="C14060" s="1" t="str">
        <f>HYPERLINK("http://www.rosaceae.org/gb/gbrowse/malus_x_domestica/?name=MDP0000118786","MDP0000118786")</f>
        <v>MDP0000118786</v>
      </c>
      <c r="D14060">
        <v>60.49</v>
      </c>
      <c r="E14060">
        <v>686</v>
      </c>
      <c r="F14060">
        <v>271</v>
      </c>
      <c r="G14060">
        <v>52</v>
      </c>
      <c r="H14060">
        <v>1</v>
      </c>
      <c r="I14060">
        <v>651</v>
      </c>
      <c r="J14060">
        <v>1</v>
      </c>
      <c r="K14060">
        <v>1</v>
      </c>
      <c r="L14060">
        <v>669</v>
      </c>
      <c r="M14060">
        <v>1</v>
      </c>
      <c r="N14060">
        <v>0</v>
      </c>
      <c r="O14060">
        <v>1791</v>
      </c>
    </row>
    <row r="14061" spans="1:15" x14ac:dyDescent="0.25">
      <c r="A14061" t="s">
        <v>14074</v>
      </c>
      <c r="B14061">
        <v>359</v>
      </c>
      <c r="C14061" s="1" t="str">
        <f>HYPERLINK("http://www.rosaceae.org/gb/gbrowse/malus_x_domestica/?name=MDP0000151417","MDP0000151417")</f>
        <v>MDP0000151417</v>
      </c>
      <c r="D14061">
        <v>79.19</v>
      </c>
      <c r="E14061">
        <v>346</v>
      </c>
      <c r="F14061">
        <v>72</v>
      </c>
      <c r="G14061">
        <v>0</v>
      </c>
      <c r="H14061">
        <v>5</v>
      </c>
      <c r="I14061">
        <v>350</v>
      </c>
      <c r="J14061">
        <v>1</v>
      </c>
      <c r="K14061">
        <v>57</v>
      </c>
      <c r="L14061">
        <v>402</v>
      </c>
      <c r="M14061">
        <v>1</v>
      </c>
      <c r="N14061">
        <v>2.8957100000000002E-164</v>
      </c>
      <c r="O14061">
        <v>1481</v>
      </c>
    </row>
    <row r="14062" spans="1:15" x14ac:dyDescent="0.25">
      <c r="A14062" t="s">
        <v>14075</v>
      </c>
      <c r="B14062">
        <v>2737</v>
      </c>
      <c r="C14062" s="1" t="str">
        <f>HYPERLINK("http://www.rosaceae.org/gb/gbrowse/malus_x_domestica/?name=MDP0000252504","MDP0000252504")</f>
        <v>MDP0000252504</v>
      </c>
      <c r="D14062">
        <v>73.52</v>
      </c>
      <c r="E14062">
        <v>1443</v>
      </c>
      <c r="F14062">
        <v>382</v>
      </c>
      <c r="G14062">
        <v>120</v>
      </c>
      <c r="H14062">
        <v>1031</v>
      </c>
      <c r="I14062">
        <v>2384</v>
      </c>
      <c r="J14062">
        <v>1</v>
      </c>
      <c r="K14062">
        <v>907</v>
      </c>
      <c r="L14062">
        <v>2318</v>
      </c>
      <c r="M14062">
        <v>1</v>
      </c>
      <c r="N14062">
        <v>0</v>
      </c>
      <c r="O14062">
        <v>5254</v>
      </c>
    </row>
    <row r="14063" spans="1:15" x14ac:dyDescent="0.25">
      <c r="A14063" t="s">
        <v>14076</v>
      </c>
      <c r="B14063">
        <v>358</v>
      </c>
      <c r="C14063" s="1" t="str">
        <f>HYPERLINK("http://www.rosaceae.org/gb/gbrowse/malus_x_domestica/?name=MDP0000133792","MDP0000133792")</f>
        <v>MDP0000133792</v>
      </c>
      <c r="D14063">
        <v>58.92</v>
      </c>
      <c r="E14063">
        <v>297</v>
      </c>
      <c r="F14063">
        <v>122</v>
      </c>
      <c r="G14063">
        <v>16</v>
      </c>
      <c r="H14063">
        <v>8</v>
      </c>
      <c r="I14063">
        <v>292</v>
      </c>
      <c r="J14063">
        <v>1</v>
      </c>
      <c r="K14063">
        <v>19</v>
      </c>
      <c r="L14063">
        <v>311</v>
      </c>
      <c r="M14063">
        <v>1</v>
      </c>
      <c r="N14063">
        <v>3.8798299999999998E-91</v>
      </c>
      <c r="O14063">
        <v>851</v>
      </c>
    </row>
    <row r="14064" spans="1:15" x14ac:dyDescent="0.25">
      <c r="A14064" t="s">
        <v>14077</v>
      </c>
      <c r="B14064">
        <v>319</v>
      </c>
      <c r="C14064" s="1" t="str">
        <f>HYPERLINK("http://www.rosaceae.org/gb/gbrowse/malus_x_domestica/?name=MDP0000842619","MDP0000842619")</f>
        <v>MDP0000842619</v>
      </c>
      <c r="D14064">
        <v>82.17</v>
      </c>
      <c r="E14064">
        <v>258</v>
      </c>
      <c r="F14064">
        <v>46</v>
      </c>
      <c r="G14064">
        <v>16</v>
      </c>
      <c r="H14064">
        <v>78</v>
      </c>
      <c r="I14064">
        <v>319</v>
      </c>
      <c r="J14064">
        <v>1</v>
      </c>
      <c r="K14064">
        <v>1</v>
      </c>
      <c r="L14064">
        <v>258</v>
      </c>
      <c r="M14064">
        <v>1</v>
      </c>
      <c r="N14064">
        <v>3.4492399999999999E-121</v>
      </c>
      <c r="O14064">
        <v>1109</v>
      </c>
    </row>
    <row r="14065" spans="1:15" x14ac:dyDescent="0.25">
      <c r="A14065" t="s">
        <v>14078</v>
      </c>
      <c r="B14065">
        <v>1110</v>
      </c>
      <c r="C14065" s="1" t="str">
        <f>HYPERLINK("http://www.rosaceae.org/gb/gbrowse/malus_x_domestica/?name=MDP0000298511","MDP0000298511")</f>
        <v>MDP0000298511</v>
      </c>
      <c r="D14065">
        <v>62.42</v>
      </c>
      <c r="E14065">
        <v>1070</v>
      </c>
      <c r="F14065">
        <v>402</v>
      </c>
      <c r="G14065">
        <v>52</v>
      </c>
      <c r="H14065">
        <v>38</v>
      </c>
      <c r="I14065">
        <v>1107</v>
      </c>
      <c r="J14065">
        <v>1</v>
      </c>
      <c r="K14065">
        <v>43</v>
      </c>
      <c r="L14065">
        <v>1060</v>
      </c>
      <c r="M14065">
        <v>1</v>
      </c>
      <c r="N14065">
        <v>0</v>
      </c>
      <c r="O14065">
        <v>3274</v>
      </c>
    </row>
    <row r="14066" spans="1:15" x14ac:dyDescent="0.25">
      <c r="A14066" t="s">
        <v>14079</v>
      </c>
      <c r="B14066">
        <v>473</v>
      </c>
      <c r="C14066" s="1" t="str">
        <f>HYPERLINK("http://www.rosaceae.org/gb/gbrowse/malus_x_domestica/?name=MDP0000258129","MDP0000258129")</f>
        <v>MDP0000258129</v>
      </c>
      <c r="D14066">
        <v>47.8</v>
      </c>
      <c r="E14066">
        <v>479</v>
      </c>
      <c r="F14066">
        <v>250</v>
      </c>
      <c r="G14066">
        <v>29</v>
      </c>
      <c r="H14066">
        <v>1</v>
      </c>
      <c r="I14066">
        <v>458</v>
      </c>
      <c r="J14066">
        <v>1</v>
      </c>
      <c r="K14066">
        <v>278</v>
      </c>
      <c r="L14066">
        <v>748</v>
      </c>
      <c r="M14066">
        <v>1</v>
      </c>
      <c r="N14066">
        <v>1.29607E-113</v>
      </c>
      <c r="O14066">
        <v>1046</v>
      </c>
    </row>
    <row r="14067" spans="1:15" x14ac:dyDescent="0.25">
      <c r="A14067" t="s">
        <v>14080</v>
      </c>
      <c r="B14067">
        <v>411</v>
      </c>
      <c r="C14067" s="1" t="str">
        <f>HYPERLINK("http://www.rosaceae.org/gb/gbrowse/malus_x_domestica/?name=MDP0000263766","MDP0000263766")</f>
        <v>MDP0000263766</v>
      </c>
      <c r="D14067">
        <v>61.73</v>
      </c>
      <c r="E14067">
        <v>392</v>
      </c>
      <c r="F14067">
        <v>150</v>
      </c>
      <c r="G14067">
        <v>30</v>
      </c>
      <c r="H14067">
        <v>1</v>
      </c>
      <c r="I14067">
        <v>374</v>
      </c>
      <c r="J14067">
        <v>1</v>
      </c>
      <c r="K14067">
        <v>1</v>
      </c>
      <c r="L14067">
        <v>380</v>
      </c>
      <c r="M14067">
        <v>1</v>
      </c>
      <c r="N14067">
        <v>5.5566399999999999E-117</v>
      </c>
      <c r="O14067">
        <v>1074</v>
      </c>
    </row>
    <row r="14068" spans="1:15" x14ac:dyDescent="0.25">
      <c r="A14068" t="s">
        <v>14081</v>
      </c>
      <c r="B14068">
        <v>364</v>
      </c>
      <c r="C14068" s="1" t="str">
        <f>HYPERLINK("http://www.rosaceae.org/gb/gbrowse/malus_x_domestica/?name=MDP0000052608","MDP0000052608")</f>
        <v>MDP0000052608</v>
      </c>
      <c r="D14068">
        <v>78.36</v>
      </c>
      <c r="E14068">
        <v>319</v>
      </c>
      <c r="F14068">
        <v>69</v>
      </c>
      <c r="G14068">
        <v>5</v>
      </c>
      <c r="H14068">
        <v>1</v>
      </c>
      <c r="I14068">
        <v>316</v>
      </c>
      <c r="J14068">
        <v>1</v>
      </c>
      <c r="K14068">
        <v>1</v>
      </c>
      <c r="L14068">
        <v>317</v>
      </c>
      <c r="M14068">
        <v>1</v>
      </c>
      <c r="N14068">
        <v>1.0029699999999999E-147</v>
      </c>
      <c r="O14068">
        <v>1339</v>
      </c>
    </row>
    <row r="14069" spans="1:15" x14ac:dyDescent="0.25">
      <c r="A14069" t="s">
        <v>14082</v>
      </c>
      <c r="B14069">
        <v>489</v>
      </c>
      <c r="C14069" s="1" t="str">
        <f>HYPERLINK("http://www.rosaceae.org/gb/gbrowse/malus_x_domestica/?name=MDP0000306653","MDP0000306653")</f>
        <v>MDP0000306653</v>
      </c>
      <c r="D14069">
        <v>77.989999999999995</v>
      </c>
      <c r="E14069">
        <v>468</v>
      </c>
      <c r="F14069">
        <v>103</v>
      </c>
      <c r="G14069">
        <v>52</v>
      </c>
      <c r="H14069">
        <v>30</v>
      </c>
      <c r="I14069">
        <v>449</v>
      </c>
      <c r="J14069">
        <v>1</v>
      </c>
      <c r="K14069">
        <v>35</v>
      </c>
      <c r="L14069">
        <v>498</v>
      </c>
      <c r="M14069">
        <v>1</v>
      </c>
      <c r="N14069">
        <v>0</v>
      </c>
      <c r="O14069">
        <v>1896</v>
      </c>
    </row>
    <row r="14070" spans="1:15" x14ac:dyDescent="0.25">
      <c r="A14070" t="s">
        <v>14083</v>
      </c>
      <c r="B14070">
        <v>123</v>
      </c>
      <c r="C14070" s="1" t="str">
        <f>HYPERLINK("http://www.rosaceae.org/gb/gbrowse/malus_x_domestica/?name=MDP0000336843","MDP0000336843")</f>
        <v>MDP0000336843</v>
      </c>
      <c r="D14070">
        <v>91.86</v>
      </c>
      <c r="E14070">
        <v>123</v>
      </c>
      <c r="F14070">
        <v>10</v>
      </c>
      <c r="G14070">
        <v>0</v>
      </c>
      <c r="H14070">
        <v>1</v>
      </c>
      <c r="I14070">
        <v>123</v>
      </c>
      <c r="J14070">
        <v>1</v>
      </c>
      <c r="K14070">
        <v>30</v>
      </c>
      <c r="L14070">
        <v>152</v>
      </c>
      <c r="M14070">
        <v>1</v>
      </c>
      <c r="N14070">
        <v>4.6366799999999997E-64</v>
      </c>
      <c r="O14070">
        <v>610</v>
      </c>
    </row>
    <row r="14071" spans="1:15" x14ac:dyDescent="0.25">
      <c r="A14071" t="s">
        <v>14084</v>
      </c>
      <c r="B14071">
        <v>156</v>
      </c>
      <c r="C14071" s="1" t="str">
        <f>HYPERLINK("http://www.rosaceae.org/gb/gbrowse/malus_x_domestica/?name=MDP0000186402","MDP0000186402")</f>
        <v>MDP0000186402</v>
      </c>
      <c r="D14071">
        <v>34.39</v>
      </c>
      <c r="E14071">
        <v>157</v>
      </c>
      <c r="F14071">
        <v>103</v>
      </c>
      <c r="G14071">
        <v>8</v>
      </c>
      <c r="H14071">
        <v>4</v>
      </c>
      <c r="I14071">
        <v>155</v>
      </c>
      <c r="J14071">
        <v>1</v>
      </c>
      <c r="K14071">
        <v>396</v>
      </c>
      <c r="L14071">
        <v>549</v>
      </c>
      <c r="M14071">
        <v>1</v>
      </c>
      <c r="N14071">
        <v>1.81004E-13</v>
      </c>
      <c r="O14071">
        <v>176</v>
      </c>
    </row>
    <row r="14072" spans="1:15" x14ac:dyDescent="0.25">
      <c r="A14072" t="s">
        <v>14085</v>
      </c>
      <c r="B14072">
        <v>499</v>
      </c>
      <c r="C14072" s="1" t="str">
        <f>HYPERLINK("http://www.rosaceae.org/gb/gbrowse/malus_x_domestica/?name=MDP0000171553","MDP0000171553")</f>
        <v>MDP0000171553</v>
      </c>
      <c r="D14072">
        <v>53.33</v>
      </c>
      <c r="E14072">
        <v>375</v>
      </c>
      <c r="F14072">
        <v>175</v>
      </c>
      <c r="G14072">
        <v>45</v>
      </c>
      <c r="H14072">
        <v>157</v>
      </c>
      <c r="I14072">
        <v>486</v>
      </c>
      <c r="J14072">
        <v>1</v>
      </c>
      <c r="K14072">
        <v>159</v>
      </c>
      <c r="L14072">
        <v>533</v>
      </c>
      <c r="M14072">
        <v>1</v>
      </c>
      <c r="N14072">
        <v>2.1159200000000001E-105</v>
      </c>
      <c r="O14072">
        <v>975</v>
      </c>
    </row>
    <row r="14073" spans="1:15" x14ac:dyDescent="0.25">
      <c r="A14073" t="s">
        <v>14086</v>
      </c>
      <c r="B14073">
        <v>987</v>
      </c>
      <c r="C14073" s="1" t="str">
        <f>HYPERLINK("http://www.rosaceae.org/gb/gbrowse/malus_x_domestica/?name=MDP0000206559","MDP0000206559")</f>
        <v>MDP0000206559</v>
      </c>
      <c r="D14073">
        <v>67.36</v>
      </c>
      <c r="E14073">
        <v>996</v>
      </c>
      <c r="F14073">
        <v>325</v>
      </c>
      <c r="G14073">
        <v>22</v>
      </c>
      <c r="H14073">
        <v>1</v>
      </c>
      <c r="I14073">
        <v>987</v>
      </c>
      <c r="J14073">
        <v>1</v>
      </c>
      <c r="K14073">
        <v>1</v>
      </c>
      <c r="L14073">
        <v>983</v>
      </c>
      <c r="M14073">
        <v>1</v>
      </c>
      <c r="N14073">
        <v>0</v>
      </c>
      <c r="O14073">
        <v>3226</v>
      </c>
    </row>
    <row r="14074" spans="1:15" x14ac:dyDescent="0.25">
      <c r="A14074" t="s">
        <v>14087</v>
      </c>
      <c r="B14074">
        <v>767</v>
      </c>
      <c r="C14074" s="1" t="str">
        <f>HYPERLINK("http://www.rosaceae.org/gb/gbrowse/malus_x_domestica/?name=MDP0000182419","MDP0000182419")</f>
        <v>MDP0000182419</v>
      </c>
      <c r="D14074">
        <v>78.52</v>
      </c>
      <c r="E14074">
        <v>731</v>
      </c>
      <c r="F14074">
        <v>157</v>
      </c>
      <c r="G14074">
        <v>68</v>
      </c>
      <c r="H14074">
        <v>101</v>
      </c>
      <c r="I14074">
        <v>767</v>
      </c>
      <c r="J14074">
        <v>1</v>
      </c>
      <c r="K14074">
        <v>1</v>
      </c>
      <c r="L14074">
        <v>727</v>
      </c>
      <c r="M14074">
        <v>1</v>
      </c>
      <c r="N14074">
        <v>0</v>
      </c>
      <c r="O14074">
        <v>2918</v>
      </c>
    </row>
    <row r="14075" spans="1:15" x14ac:dyDescent="0.25">
      <c r="A14075" t="s">
        <v>14088</v>
      </c>
      <c r="B14075">
        <v>468</v>
      </c>
      <c r="C14075" s="1" t="str">
        <f>HYPERLINK("http://www.rosaceae.org/gb/gbrowse/malus_x_domestica/?name=MDP0000285282","MDP0000285282")</f>
        <v>MDP0000285282</v>
      </c>
      <c r="D14075">
        <v>83.37</v>
      </c>
      <c r="E14075">
        <v>385</v>
      </c>
      <c r="F14075">
        <v>64</v>
      </c>
      <c r="G14075">
        <v>5</v>
      </c>
      <c r="H14075">
        <v>83</v>
      </c>
      <c r="I14075">
        <v>465</v>
      </c>
      <c r="J14075">
        <v>1</v>
      </c>
      <c r="K14075">
        <v>1</v>
      </c>
      <c r="L14075">
        <v>382</v>
      </c>
      <c r="M14075">
        <v>1</v>
      </c>
      <c r="N14075">
        <v>1.1925499999999999E-180</v>
      </c>
      <c r="O14075">
        <v>1624</v>
      </c>
    </row>
    <row r="14076" spans="1:15" x14ac:dyDescent="0.25">
      <c r="A14076" t="s">
        <v>14089</v>
      </c>
      <c r="B14076">
        <v>630</v>
      </c>
      <c r="C14076" s="1" t="str">
        <f>HYPERLINK("http://www.rosaceae.org/gb/gbrowse/malus_x_domestica/?name=MDP0000795432","MDP0000795432")</f>
        <v>MDP0000795432</v>
      </c>
      <c r="D14076">
        <v>54.83</v>
      </c>
      <c r="E14076">
        <v>476</v>
      </c>
      <c r="F14076">
        <v>215</v>
      </c>
      <c r="G14076">
        <v>43</v>
      </c>
      <c r="H14076">
        <v>181</v>
      </c>
      <c r="I14076">
        <v>630</v>
      </c>
      <c r="J14076">
        <v>1</v>
      </c>
      <c r="K14076">
        <v>3</v>
      </c>
      <c r="L14076">
        <v>461</v>
      </c>
      <c r="M14076">
        <v>1</v>
      </c>
      <c r="N14076">
        <v>9.5021699999999995E-112</v>
      </c>
      <c r="O14076">
        <v>1031</v>
      </c>
    </row>
    <row r="14077" spans="1:15" x14ac:dyDescent="0.25">
      <c r="A14077" t="s">
        <v>14090</v>
      </c>
      <c r="B14077">
        <v>264</v>
      </c>
      <c r="C14077" s="1" t="str">
        <f>HYPERLINK("http://www.rosaceae.org/gb/gbrowse/malus_x_domestica/?name=MDP0000270825","MDP0000270825")</f>
        <v>MDP0000270825</v>
      </c>
      <c r="D14077">
        <v>35.549999999999997</v>
      </c>
      <c r="E14077">
        <v>90</v>
      </c>
      <c r="F14077">
        <v>58</v>
      </c>
      <c r="G14077">
        <v>35</v>
      </c>
      <c r="H14077">
        <v>41</v>
      </c>
      <c r="I14077">
        <v>95</v>
      </c>
      <c r="J14077">
        <v>1</v>
      </c>
      <c r="K14077">
        <v>42</v>
      </c>
      <c r="L14077">
        <v>131</v>
      </c>
      <c r="M14077">
        <v>1</v>
      </c>
      <c r="N14077">
        <v>2.1246399999999999E-7</v>
      </c>
      <c r="O14077">
        <v>127</v>
      </c>
    </row>
    <row r="14078" spans="1:15" x14ac:dyDescent="0.25">
      <c r="A14078" t="s">
        <v>14091</v>
      </c>
      <c r="B14078">
        <v>741</v>
      </c>
      <c r="C14078" s="1" t="str">
        <f>HYPERLINK("http://www.rosaceae.org/gb/gbrowse/malus_x_domestica/?name=MDP0000306343","MDP0000306343")</f>
        <v>MDP0000306343</v>
      </c>
      <c r="D14078">
        <v>82.09</v>
      </c>
      <c r="E14078">
        <v>620</v>
      </c>
      <c r="F14078">
        <v>111</v>
      </c>
      <c r="G14078">
        <v>0</v>
      </c>
      <c r="H14078">
        <v>122</v>
      </c>
      <c r="I14078">
        <v>741</v>
      </c>
      <c r="J14078">
        <v>1</v>
      </c>
      <c r="K14078">
        <v>85</v>
      </c>
      <c r="L14078">
        <v>704</v>
      </c>
      <c r="M14078">
        <v>1</v>
      </c>
      <c r="N14078">
        <v>0</v>
      </c>
      <c r="O14078">
        <v>2677</v>
      </c>
    </row>
    <row r="14079" spans="1:15" x14ac:dyDescent="0.25">
      <c r="A14079" t="s">
        <v>14092</v>
      </c>
      <c r="B14079">
        <v>357</v>
      </c>
      <c r="C14079" s="1" t="str">
        <f>HYPERLINK("http://www.rosaceae.org/gb/gbrowse/malus_x_domestica/?name=MDP0000207981","MDP0000207981")</f>
        <v>MDP0000207981</v>
      </c>
      <c r="D14079">
        <v>66.209999999999994</v>
      </c>
      <c r="E14079">
        <v>222</v>
      </c>
      <c r="F14079">
        <v>75</v>
      </c>
      <c r="G14079">
        <v>1</v>
      </c>
      <c r="H14079">
        <v>135</v>
      </c>
      <c r="I14079">
        <v>356</v>
      </c>
      <c r="J14079">
        <v>1</v>
      </c>
      <c r="K14079">
        <v>116</v>
      </c>
      <c r="L14079">
        <v>336</v>
      </c>
      <c r="M14079">
        <v>1</v>
      </c>
      <c r="N14079">
        <v>3.8390600000000001E-85</v>
      </c>
      <c r="O14079">
        <v>799</v>
      </c>
    </row>
    <row r="14080" spans="1:15" x14ac:dyDescent="0.25">
      <c r="A14080" t="s">
        <v>14093</v>
      </c>
      <c r="B14080">
        <v>705</v>
      </c>
      <c r="C14080" s="1" t="str">
        <f>HYPERLINK("http://www.rosaceae.org/gb/gbrowse/malus_x_domestica/?name=MDP0000229858","MDP0000229858")</f>
        <v>MDP0000229858</v>
      </c>
      <c r="D14080">
        <v>58.69</v>
      </c>
      <c r="E14080">
        <v>506</v>
      </c>
      <c r="F14080">
        <v>209</v>
      </c>
      <c r="G14080">
        <v>50</v>
      </c>
      <c r="H14080">
        <v>121</v>
      </c>
      <c r="I14080">
        <v>585</v>
      </c>
      <c r="J14080">
        <v>1</v>
      </c>
      <c r="K14080">
        <v>95</v>
      </c>
      <c r="L14080">
        <v>591</v>
      </c>
      <c r="M14080">
        <v>1</v>
      </c>
      <c r="N14080">
        <v>4.6376200000000002E-154</v>
      </c>
      <c r="O14080">
        <v>1397</v>
      </c>
    </row>
    <row r="14081" spans="1:15" x14ac:dyDescent="0.25">
      <c r="A14081" t="s">
        <v>14094</v>
      </c>
      <c r="B14081">
        <v>290</v>
      </c>
      <c r="C14081" s="1" t="str">
        <f>HYPERLINK("http://www.rosaceae.org/gb/gbrowse/malus_x_domestica/?name=MDP0000541993","MDP0000541993")</f>
        <v>MDP0000541993</v>
      </c>
      <c r="D14081">
        <v>29.82</v>
      </c>
      <c r="E14081">
        <v>114</v>
      </c>
      <c r="F14081">
        <v>80</v>
      </c>
      <c r="G14081">
        <v>6</v>
      </c>
      <c r="H14081">
        <v>33</v>
      </c>
      <c r="I14081">
        <v>146</v>
      </c>
      <c r="J14081">
        <v>1</v>
      </c>
      <c r="K14081">
        <v>19</v>
      </c>
      <c r="L14081">
        <v>126</v>
      </c>
      <c r="M14081">
        <v>1</v>
      </c>
      <c r="N14081">
        <v>6.6982299999999994E-11</v>
      </c>
      <c r="O14081">
        <v>158</v>
      </c>
    </row>
    <row r="14082" spans="1:15" x14ac:dyDescent="0.25">
      <c r="A14082" t="s">
        <v>14095</v>
      </c>
      <c r="B14082">
        <v>317</v>
      </c>
      <c r="C14082" s="1" t="str">
        <f>HYPERLINK("http://www.rosaceae.org/gb/gbrowse/malus_x_domestica/?name=MDP0000167175","MDP0000167175")</f>
        <v>MDP0000167175</v>
      </c>
      <c r="D14082">
        <v>60.23</v>
      </c>
      <c r="E14082">
        <v>259</v>
      </c>
      <c r="F14082">
        <v>103</v>
      </c>
      <c r="G14082">
        <v>4</v>
      </c>
      <c r="H14082">
        <v>21</v>
      </c>
      <c r="I14082">
        <v>279</v>
      </c>
      <c r="J14082">
        <v>1</v>
      </c>
      <c r="K14082">
        <v>257</v>
      </c>
      <c r="L14082">
        <v>511</v>
      </c>
      <c r="M14082">
        <v>1</v>
      </c>
      <c r="N14082">
        <v>2.0250200000000001E-84</v>
      </c>
      <c r="O14082">
        <v>792</v>
      </c>
    </row>
    <row r="14083" spans="1:15" x14ac:dyDescent="0.25">
      <c r="A14083" t="s">
        <v>14096</v>
      </c>
      <c r="B14083">
        <v>142</v>
      </c>
      <c r="C14083" s="1" t="str">
        <f>HYPERLINK("http://www.rosaceae.org/gb/gbrowse/malus_x_domestica/?name=MDP0000247211","MDP0000247211")</f>
        <v>MDP0000247211</v>
      </c>
      <c r="D14083">
        <v>70.33</v>
      </c>
      <c r="E14083">
        <v>118</v>
      </c>
      <c r="F14083">
        <v>35</v>
      </c>
      <c r="G14083">
        <v>0</v>
      </c>
      <c r="H14083">
        <v>25</v>
      </c>
      <c r="I14083">
        <v>142</v>
      </c>
      <c r="J14083">
        <v>1</v>
      </c>
      <c r="K14083">
        <v>23</v>
      </c>
      <c r="L14083">
        <v>140</v>
      </c>
      <c r="M14083">
        <v>1</v>
      </c>
      <c r="N14083">
        <v>1.7885E-43</v>
      </c>
      <c r="O14083">
        <v>434</v>
      </c>
    </row>
    <row r="14084" spans="1:15" x14ac:dyDescent="0.25">
      <c r="A14084" t="s">
        <v>14097</v>
      </c>
      <c r="B14084">
        <v>194</v>
      </c>
      <c r="C14084" s="1" t="str">
        <f>HYPERLINK("http://www.rosaceae.org/gb/gbrowse/malus_x_domestica/?name=MDP0000197586","MDP0000197586")</f>
        <v>MDP0000197586</v>
      </c>
      <c r="D14084">
        <v>98.71</v>
      </c>
      <c r="E14084">
        <v>156</v>
      </c>
      <c r="F14084">
        <v>2</v>
      </c>
      <c r="G14084">
        <v>0</v>
      </c>
      <c r="H14084">
        <v>1</v>
      </c>
      <c r="I14084">
        <v>156</v>
      </c>
      <c r="J14084">
        <v>1</v>
      </c>
      <c r="K14084">
        <v>523</v>
      </c>
      <c r="L14084">
        <v>678</v>
      </c>
      <c r="M14084">
        <v>1</v>
      </c>
      <c r="N14084">
        <v>1.25774E-90</v>
      </c>
      <c r="O14084">
        <v>843</v>
      </c>
    </row>
    <row r="14085" spans="1:15" x14ac:dyDescent="0.25">
      <c r="A14085" t="s">
        <v>14098</v>
      </c>
      <c r="B14085">
        <v>1345</v>
      </c>
      <c r="C14085" s="1" t="str">
        <f>HYPERLINK("http://www.rosaceae.org/gb/gbrowse/malus_x_domestica/?name=MDP0000155151","MDP0000155151")</f>
        <v>MDP0000155151</v>
      </c>
      <c r="D14085">
        <v>80.510000000000005</v>
      </c>
      <c r="E14085">
        <v>1365</v>
      </c>
      <c r="F14085">
        <v>266</v>
      </c>
      <c r="G14085">
        <v>36</v>
      </c>
      <c r="H14085">
        <v>1</v>
      </c>
      <c r="I14085">
        <v>1345</v>
      </c>
      <c r="J14085">
        <v>1</v>
      </c>
      <c r="K14085">
        <v>77</v>
      </c>
      <c r="L14085">
        <v>1425</v>
      </c>
      <c r="M14085">
        <v>1</v>
      </c>
      <c r="N14085">
        <v>0</v>
      </c>
      <c r="O14085">
        <v>5702</v>
      </c>
    </row>
    <row r="14086" spans="1:15" x14ac:dyDescent="0.25">
      <c r="A14086" t="s">
        <v>14099</v>
      </c>
      <c r="B14086">
        <v>386</v>
      </c>
      <c r="C14086" s="1" t="str">
        <f>HYPERLINK("http://www.rosaceae.org/gb/gbrowse/malus_x_domestica/?name=MDP0000566907","MDP0000566907")</f>
        <v>MDP0000566907</v>
      </c>
      <c r="D14086">
        <v>36.799999999999997</v>
      </c>
      <c r="E14086">
        <v>163</v>
      </c>
      <c r="F14086">
        <v>103</v>
      </c>
      <c r="G14086">
        <v>12</v>
      </c>
      <c r="H14086">
        <v>161</v>
      </c>
      <c r="I14086">
        <v>323</v>
      </c>
      <c r="J14086">
        <v>1</v>
      </c>
      <c r="K14086">
        <v>146</v>
      </c>
      <c r="L14086">
        <v>296</v>
      </c>
      <c r="M14086">
        <v>1</v>
      </c>
      <c r="N14086">
        <v>7.0735000000000001E-22</v>
      </c>
      <c r="O14086">
        <v>254</v>
      </c>
    </row>
    <row r="14087" spans="1:15" x14ac:dyDescent="0.25">
      <c r="A14087" t="s">
        <v>14100</v>
      </c>
      <c r="B14087">
        <v>829</v>
      </c>
      <c r="C14087" s="1" t="str">
        <f>HYPERLINK("http://www.rosaceae.org/gb/gbrowse/malus_x_domestica/?name=MDP0000852480","MDP0000852480")</f>
        <v>MDP0000852480</v>
      </c>
      <c r="D14087">
        <v>75.89</v>
      </c>
      <c r="E14087">
        <v>809</v>
      </c>
      <c r="F14087">
        <v>195</v>
      </c>
      <c r="G14087">
        <v>15</v>
      </c>
      <c r="H14087">
        <v>23</v>
      </c>
      <c r="I14087">
        <v>829</v>
      </c>
      <c r="J14087">
        <v>1</v>
      </c>
      <c r="K14087">
        <v>25</v>
      </c>
      <c r="L14087">
        <v>820</v>
      </c>
      <c r="M14087">
        <v>1</v>
      </c>
      <c r="N14087">
        <v>0</v>
      </c>
      <c r="O14087">
        <v>3189</v>
      </c>
    </row>
    <row r="14088" spans="1:15" x14ac:dyDescent="0.25">
      <c r="A14088" t="s">
        <v>14101</v>
      </c>
      <c r="B14088">
        <v>209</v>
      </c>
      <c r="C14088" s="1" t="str">
        <f>HYPERLINK("http://www.rosaceae.org/gb/gbrowse/malus_x_domestica/?name=MDP0000646524","MDP0000646524")</f>
        <v>MDP0000646524</v>
      </c>
      <c r="D14088">
        <v>90.9</v>
      </c>
      <c r="E14088">
        <v>154</v>
      </c>
      <c r="F14088">
        <v>14</v>
      </c>
      <c r="G14088">
        <v>0</v>
      </c>
      <c r="H14088">
        <v>2</v>
      </c>
      <c r="I14088">
        <v>155</v>
      </c>
      <c r="J14088">
        <v>1</v>
      </c>
      <c r="K14088">
        <v>451</v>
      </c>
      <c r="L14088">
        <v>604</v>
      </c>
      <c r="M14088">
        <v>1</v>
      </c>
      <c r="N14088">
        <v>1.44133E-77</v>
      </c>
      <c r="O14088">
        <v>731</v>
      </c>
    </row>
    <row r="14089" spans="1:15" x14ac:dyDescent="0.25">
      <c r="A14089" t="s">
        <v>14102</v>
      </c>
      <c r="B14089">
        <v>511</v>
      </c>
      <c r="C14089" s="1" t="str">
        <f>HYPERLINK("http://www.rosaceae.org/gb/gbrowse/malus_x_domestica/?name=MDP0000714217","MDP0000714217")</f>
        <v>MDP0000714217</v>
      </c>
      <c r="D14089">
        <v>28.3</v>
      </c>
      <c r="E14089">
        <v>431</v>
      </c>
      <c r="F14089">
        <v>309</v>
      </c>
      <c r="G14089">
        <v>53</v>
      </c>
      <c r="H14089">
        <v>85</v>
      </c>
      <c r="I14089">
        <v>511</v>
      </c>
      <c r="J14089">
        <v>1</v>
      </c>
      <c r="K14089">
        <v>86</v>
      </c>
      <c r="L14089">
        <v>467</v>
      </c>
      <c r="M14089">
        <v>1</v>
      </c>
      <c r="N14089">
        <v>2.26039E-39</v>
      </c>
      <c r="O14089">
        <v>406</v>
      </c>
    </row>
    <row r="14090" spans="1:15" x14ac:dyDescent="0.25">
      <c r="A14090" t="s">
        <v>14103</v>
      </c>
      <c r="B14090">
        <v>204</v>
      </c>
      <c r="C14090" s="1" t="str">
        <f>HYPERLINK("http://www.rosaceae.org/gb/gbrowse/malus_x_domestica/?name=MDP0000251651","MDP0000251651")</f>
        <v>MDP0000251651</v>
      </c>
      <c r="D14090">
        <v>39.72</v>
      </c>
      <c r="E14090">
        <v>73</v>
      </c>
      <c r="F14090">
        <v>44</v>
      </c>
      <c r="G14090">
        <v>0</v>
      </c>
      <c r="H14090">
        <v>1</v>
      </c>
      <c r="I14090">
        <v>73</v>
      </c>
      <c r="J14090">
        <v>1</v>
      </c>
      <c r="K14090">
        <v>227</v>
      </c>
      <c r="L14090">
        <v>299</v>
      </c>
      <c r="M14090">
        <v>1</v>
      </c>
      <c r="N14090">
        <v>1.2068299999999999E-11</v>
      </c>
      <c r="O14090">
        <v>162</v>
      </c>
    </row>
    <row r="14091" spans="1:15" x14ac:dyDescent="0.25">
      <c r="A14091" t="s">
        <v>14104</v>
      </c>
      <c r="B14091">
        <v>257</v>
      </c>
      <c r="C14091" s="1" t="str">
        <f>HYPERLINK("http://www.rosaceae.org/gb/gbrowse/malus_x_domestica/?name=MDP0000128730","MDP0000128730")</f>
        <v>MDP0000128730</v>
      </c>
      <c r="D14091">
        <v>76.27</v>
      </c>
      <c r="E14091">
        <v>177</v>
      </c>
      <c r="F14091">
        <v>42</v>
      </c>
      <c r="G14091">
        <v>25</v>
      </c>
      <c r="H14091">
        <v>83</v>
      </c>
      <c r="I14091">
        <v>257</v>
      </c>
      <c r="J14091">
        <v>1</v>
      </c>
      <c r="K14091">
        <v>30</v>
      </c>
      <c r="L14091">
        <v>183</v>
      </c>
      <c r="M14091">
        <v>1</v>
      </c>
      <c r="N14091">
        <v>8.6190100000000004E-67</v>
      </c>
      <c r="O14091">
        <v>639</v>
      </c>
    </row>
    <row r="14092" spans="1:15" x14ac:dyDescent="0.25">
      <c r="A14092" t="s">
        <v>14105</v>
      </c>
      <c r="B14092">
        <v>215</v>
      </c>
      <c r="C14092" s="1" t="str">
        <f>HYPERLINK("http://www.rosaceae.org/gb/gbrowse/malus_x_domestica/?name=MDP0000314448","MDP0000314448")</f>
        <v>MDP0000314448</v>
      </c>
      <c r="D14092">
        <v>85.86</v>
      </c>
      <c r="E14092">
        <v>191</v>
      </c>
      <c r="F14092">
        <v>27</v>
      </c>
      <c r="G14092">
        <v>1</v>
      </c>
      <c r="H14092">
        <v>1</v>
      </c>
      <c r="I14092">
        <v>190</v>
      </c>
      <c r="J14092">
        <v>1</v>
      </c>
      <c r="K14092">
        <v>1</v>
      </c>
      <c r="L14092">
        <v>191</v>
      </c>
      <c r="M14092">
        <v>1</v>
      </c>
      <c r="N14092">
        <v>2.8779800000000001E-91</v>
      </c>
      <c r="O14092">
        <v>849</v>
      </c>
    </row>
    <row r="14093" spans="1:15" x14ac:dyDescent="0.25">
      <c r="A14093" t="s">
        <v>14106</v>
      </c>
      <c r="B14093">
        <v>206</v>
      </c>
      <c r="C14093" s="1" t="str">
        <f>HYPERLINK("http://www.rosaceae.org/gb/gbrowse/malus_x_domestica/?name=MDP0000633931","MDP0000633931")</f>
        <v>MDP0000633931</v>
      </c>
      <c r="D14093">
        <v>46.76</v>
      </c>
      <c r="E14093">
        <v>139</v>
      </c>
      <c r="F14093">
        <v>74</v>
      </c>
      <c r="G14093">
        <v>5</v>
      </c>
      <c r="H14093">
        <v>69</v>
      </c>
      <c r="I14093">
        <v>206</v>
      </c>
      <c r="J14093">
        <v>1</v>
      </c>
      <c r="K14093">
        <v>78</v>
      </c>
      <c r="L14093">
        <v>212</v>
      </c>
      <c r="M14093">
        <v>1</v>
      </c>
      <c r="N14093">
        <v>1.6093499999999999E-33</v>
      </c>
      <c r="O14093">
        <v>351</v>
      </c>
    </row>
    <row r="14094" spans="1:15" x14ac:dyDescent="0.25">
      <c r="A14094" t="s">
        <v>14107</v>
      </c>
      <c r="B14094">
        <v>800</v>
      </c>
      <c r="C14094" s="1" t="str">
        <f>HYPERLINK("http://www.rosaceae.org/gb/gbrowse/malus_x_domestica/?name=MDP0000277077","MDP0000277077")</f>
        <v>MDP0000277077</v>
      </c>
      <c r="D14094">
        <v>70.08</v>
      </c>
      <c r="E14094">
        <v>829</v>
      </c>
      <c r="F14094">
        <v>248</v>
      </c>
      <c r="G14094">
        <v>53</v>
      </c>
      <c r="H14094">
        <v>4</v>
      </c>
      <c r="I14094">
        <v>796</v>
      </c>
      <c r="J14094">
        <v>1</v>
      </c>
      <c r="K14094">
        <v>5</v>
      </c>
      <c r="L14094">
        <v>816</v>
      </c>
      <c r="M14094">
        <v>1</v>
      </c>
      <c r="N14094">
        <v>0</v>
      </c>
      <c r="O14094">
        <v>3051</v>
      </c>
    </row>
    <row r="14095" spans="1:15" x14ac:dyDescent="0.25">
      <c r="A14095" t="s">
        <v>14108</v>
      </c>
      <c r="B14095">
        <v>352</v>
      </c>
      <c r="C14095" s="1" t="str">
        <f>HYPERLINK("http://www.rosaceae.org/gb/gbrowse/malus_x_domestica/?name=MDP0000185794","MDP0000185794")</f>
        <v>MDP0000185794</v>
      </c>
      <c r="D14095">
        <v>41.44</v>
      </c>
      <c r="E14095">
        <v>345</v>
      </c>
      <c r="F14095">
        <v>202</v>
      </c>
      <c r="G14095">
        <v>48</v>
      </c>
      <c r="H14095">
        <v>1</v>
      </c>
      <c r="I14095">
        <v>329</v>
      </c>
      <c r="J14095">
        <v>1</v>
      </c>
      <c r="K14095">
        <v>92</v>
      </c>
      <c r="L14095">
        <v>404</v>
      </c>
      <c r="M14095">
        <v>1</v>
      </c>
      <c r="N14095">
        <v>2.9569600000000002E-51</v>
      </c>
      <c r="O14095">
        <v>507</v>
      </c>
    </row>
    <row r="14096" spans="1:15" x14ac:dyDescent="0.25">
      <c r="A14096" t="s">
        <v>14109</v>
      </c>
      <c r="B14096">
        <v>166</v>
      </c>
      <c r="C14096" s="1" t="str">
        <f>HYPERLINK("http://www.rosaceae.org/gb/gbrowse/malus_x_domestica/?name=MDP0000666679","MDP0000666679")</f>
        <v>MDP0000666679</v>
      </c>
      <c r="D14096">
        <v>93.97</v>
      </c>
      <c r="E14096">
        <v>166</v>
      </c>
      <c r="F14096">
        <v>10</v>
      </c>
      <c r="G14096">
        <v>0</v>
      </c>
      <c r="H14096">
        <v>1</v>
      </c>
      <c r="I14096">
        <v>166</v>
      </c>
      <c r="J14096">
        <v>1</v>
      </c>
      <c r="K14096">
        <v>1</v>
      </c>
      <c r="L14096">
        <v>166</v>
      </c>
      <c r="M14096">
        <v>1</v>
      </c>
      <c r="N14096">
        <v>2.49626E-86</v>
      </c>
      <c r="O14096">
        <v>805</v>
      </c>
    </row>
    <row r="14097" spans="1:15" x14ac:dyDescent="0.25">
      <c r="A14097" t="s">
        <v>14110</v>
      </c>
      <c r="B14097">
        <v>880</v>
      </c>
      <c r="C14097" s="1" t="str">
        <f>HYPERLINK("http://www.rosaceae.org/gb/gbrowse/malus_x_domestica/?name=MDP0000229852","MDP0000229852")</f>
        <v>MDP0000229852</v>
      </c>
      <c r="D14097">
        <v>25</v>
      </c>
      <c r="E14097">
        <v>308</v>
      </c>
      <c r="F14097">
        <v>231</v>
      </c>
      <c r="G14097">
        <v>41</v>
      </c>
      <c r="H14097">
        <v>556</v>
      </c>
      <c r="I14097">
        <v>843</v>
      </c>
      <c r="J14097">
        <v>1</v>
      </c>
      <c r="K14097">
        <v>67</v>
      </c>
      <c r="L14097">
        <v>353</v>
      </c>
      <c r="M14097">
        <v>1</v>
      </c>
      <c r="N14097">
        <v>2.0654200000000001E-18</v>
      </c>
      <c r="O14097">
        <v>228</v>
      </c>
    </row>
    <row r="14098" spans="1:15" x14ac:dyDescent="0.25">
      <c r="A14098" t="s">
        <v>14111</v>
      </c>
      <c r="B14098">
        <v>628</v>
      </c>
      <c r="C14098" s="1" t="str">
        <f>HYPERLINK("http://www.rosaceae.org/gb/gbrowse/malus_x_domestica/?name=MDP0000167744","MDP0000167744")</f>
        <v>MDP0000167744</v>
      </c>
      <c r="D14098">
        <v>55.17</v>
      </c>
      <c r="E14098">
        <v>290</v>
      </c>
      <c r="F14098">
        <v>130</v>
      </c>
      <c r="G14098">
        <v>10</v>
      </c>
      <c r="H14098">
        <v>1</v>
      </c>
      <c r="I14098">
        <v>280</v>
      </c>
      <c r="J14098">
        <v>1</v>
      </c>
      <c r="K14098">
        <v>61</v>
      </c>
      <c r="L14098">
        <v>350</v>
      </c>
      <c r="M14098">
        <v>1</v>
      </c>
      <c r="N14098">
        <v>4.0174299999999998E-75</v>
      </c>
      <c r="O14098">
        <v>715</v>
      </c>
    </row>
    <row r="14099" spans="1:15" x14ac:dyDescent="0.25">
      <c r="A14099" t="s">
        <v>14112</v>
      </c>
      <c r="B14099">
        <v>709</v>
      </c>
      <c r="C14099" s="1" t="str">
        <f>HYPERLINK("http://www.rosaceae.org/gb/gbrowse/malus_x_domestica/?name=MDP0000141892","MDP0000141892")</f>
        <v>MDP0000141892</v>
      </c>
      <c r="D14099">
        <v>63.09</v>
      </c>
      <c r="E14099">
        <v>550</v>
      </c>
      <c r="F14099">
        <v>203</v>
      </c>
      <c r="G14099">
        <v>60</v>
      </c>
      <c r="H14099">
        <v>155</v>
      </c>
      <c r="I14099">
        <v>667</v>
      </c>
      <c r="J14099">
        <v>1</v>
      </c>
      <c r="K14099">
        <v>86</v>
      </c>
      <c r="L14099">
        <v>612</v>
      </c>
      <c r="M14099">
        <v>1</v>
      </c>
      <c r="N14099">
        <v>0</v>
      </c>
      <c r="O14099">
        <v>1674</v>
      </c>
    </row>
    <row r="14100" spans="1:15" x14ac:dyDescent="0.25">
      <c r="A14100" t="s">
        <v>14113</v>
      </c>
      <c r="B14100">
        <v>658</v>
      </c>
      <c r="C14100" s="1" t="str">
        <f>HYPERLINK("http://www.rosaceae.org/gb/gbrowse/malus_x_domestica/?name=MDP0000150823","MDP0000150823")</f>
        <v>MDP0000150823</v>
      </c>
      <c r="D14100">
        <v>61.86</v>
      </c>
      <c r="E14100">
        <v>653</v>
      </c>
      <c r="F14100">
        <v>249</v>
      </c>
      <c r="G14100">
        <v>30</v>
      </c>
      <c r="H14100">
        <v>26</v>
      </c>
      <c r="I14100">
        <v>656</v>
      </c>
      <c r="J14100">
        <v>1</v>
      </c>
      <c r="K14100">
        <v>39</v>
      </c>
      <c r="L14100">
        <v>683</v>
      </c>
      <c r="M14100">
        <v>1</v>
      </c>
      <c r="N14100">
        <v>0</v>
      </c>
      <c r="O14100">
        <v>1905</v>
      </c>
    </row>
    <row r="14101" spans="1:15" x14ac:dyDescent="0.25">
      <c r="A14101" t="s">
        <v>14114</v>
      </c>
      <c r="B14101">
        <v>964</v>
      </c>
      <c r="C14101" s="1" t="str">
        <f>HYPERLINK("http://www.rosaceae.org/gb/gbrowse/malus_x_domestica/?name=MDP0000252999","MDP0000252999")</f>
        <v>MDP0000252999</v>
      </c>
      <c r="D14101">
        <v>61.64</v>
      </c>
      <c r="E14101">
        <v>970</v>
      </c>
      <c r="F14101">
        <v>372</v>
      </c>
      <c r="G14101">
        <v>89</v>
      </c>
      <c r="H14101">
        <v>1</v>
      </c>
      <c r="I14101">
        <v>921</v>
      </c>
      <c r="J14101">
        <v>1</v>
      </c>
      <c r="K14101">
        <v>50</v>
      </c>
      <c r="L14101">
        <v>979</v>
      </c>
      <c r="M14101">
        <v>1</v>
      </c>
      <c r="N14101">
        <v>0</v>
      </c>
      <c r="O14101">
        <v>2821</v>
      </c>
    </row>
    <row r="14102" spans="1:15" x14ac:dyDescent="0.25">
      <c r="A14102" t="s">
        <v>14115</v>
      </c>
      <c r="B14102">
        <v>910</v>
      </c>
      <c r="C14102" s="1" t="str">
        <f>HYPERLINK("http://www.rosaceae.org/gb/gbrowse/malus_x_domestica/?name=MDP0000184282","MDP0000184282")</f>
        <v>MDP0000184282</v>
      </c>
      <c r="D14102">
        <v>75.650000000000006</v>
      </c>
      <c r="E14102">
        <v>879</v>
      </c>
      <c r="F14102">
        <v>214</v>
      </c>
      <c r="G14102">
        <v>23</v>
      </c>
      <c r="H14102">
        <v>34</v>
      </c>
      <c r="I14102">
        <v>910</v>
      </c>
      <c r="J14102">
        <v>1</v>
      </c>
      <c r="K14102">
        <v>75</v>
      </c>
      <c r="L14102">
        <v>932</v>
      </c>
      <c r="M14102">
        <v>1</v>
      </c>
      <c r="N14102">
        <v>0</v>
      </c>
      <c r="O14102">
        <v>3563</v>
      </c>
    </row>
    <row r="14103" spans="1:15" x14ac:dyDescent="0.25">
      <c r="A14103" t="s">
        <v>14116</v>
      </c>
      <c r="B14103">
        <v>604</v>
      </c>
      <c r="C14103" s="1" t="str">
        <f>HYPERLINK("http://www.rosaceae.org/gb/gbrowse/malus_x_domestica/?name=MDP0000265468","MDP0000265468")</f>
        <v>MDP0000265468</v>
      </c>
      <c r="D14103">
        <v>80.13</v>
      </c>
      <c r="E14103">
        <v>594</v>
      </c>
      <c r="F14103">
        <v>118</v>
      </c>
      <c r="G14103">
        <v>38</v>
      </c>
      <c r="H14103">
        <v>49</v>
      </c>
      <c r="I14103">
        <v>604</v>
      </c>
      <c r="J14103">
        <v>1</v>
      </c>
      <c r="K14103">
        <v>7</v>
      </c>
      <c r="L14103">
        <v>600</v>
      </c>
      <c r="M14103">
        <v>1</v>
      </c>
      <c r="N14103">
        <v>0</v>
      </c>
      <c r="O14103">
        <v>2468</v>
      </c>
    </row>
    <row r="14104" spans="1:15" x14ac:dyDescent="0.25">
      <c r="A14104" t="s">
        <v>14117</v>
      </c>
      <c r="B14104">
        <v>404</v>
      </c>
      <c r="C14104" s="1" t="str">
        <f>HYPERLINK("http://www.rosaceae.org/gb/gbrowse/malus_x_domestica/?name=MDP0000319856","MDP0000319856")</f>
        <v>MDP0000319856</v>
      </c>
      <c r="D14104">
        <v>71.239999999999995</v>
      </c>
      <c r="E14104">
        <v>379</v>
      </c>
      <c r="F14104">
        <v>109</v>
      </c>
      <c r="G14104">
        <v>29</v>
      </c>
      <c r="H14104">
        <v>29</v>
      </c>
      <c r="I14104">
        <v>384</v>
      </c>
      <c r="J14104">
        <v>1</v>
      </c>
      <c r="K14104">
        <v>30</v>
      </c>
      <c r="L14104">
        <v>402</v>
      </c>
      <c r="M14104">
        <v>1</v>
      </c>
      <c r="N14104">
        <v>3.7026899999999997E-142</v>
      </c>
      <c r="O14104">
        <v>1291</v>
      </c>
    </row>
    <row r="14105" spans="1:15" x14ac:dyDescent="0.25">
      <c r="A14105" t="s">
        <v>14118</v>
      </c>
      <c r="B14105">
        <v>296</v>
      </c>
      <c r="C14105" s="1" t="str">
        <f>HYPERLINK("http://www.rosaceae.org/gb/gbrowse/malus_x_domestica/?name=MDP0000557134","MDP0000557134")</f>
        <v>MDP0000557134</v>
      </c>
      <c r="D14105">
        <v>70.069999999999993</v>
      </c>
      <c r="E14105">
        <v>284</v>
      </c>
      <c r="F14105">
        <v>85</v>
      </c>
      <c r="G14105">
        <v>27</v>
      </c>
      <c r="H14105">
        <v>1</v>
      </c>
      <c r="I14105">
        <v>284</v>
      </c>
      <c r="J14105">
        <v>1</v>
      </c>
      <c r="K14105">
        <v>1</v>
      </c>
      <c r="L14105">
        <v>257</v>
      </c>
      <c r="M14105">
        <v>1</v>
      </c>
      <c r="N14105">
        <v>1.6122799999999999E-111</v>
      </c>
      <c r="O14105">
        <v>1026</v>
      </c>
    </row>
    <row r="14106" spans="1:15" x14ac:dyDescent="0.25">
      <c r="A14106" t="s">
        <v>14119</v>
      </c>
      <c r="B14106">
        <v>675</v>
      </c>
      <c r="C14106" s="1" t="str">
        <f>HYPERLINK("http://www.rosaceae.org/gb/gbrowse/malus_x_domestica/?name=MDP0000172963","MDP0000172963")</f>
        <v>MDP0000172963</v>
      </c>
      <c r="D14106">
        <v>58.52</v>
      </c>
      <c r="E14106">
        <v>745</v>
      </c>
      <c r="F14106">
        <v>309</v>
      </c>
      <c r="G14106">
        <v>74</v>
      </c>
      <c r="H14106">
        <v>1</v>
      </c>
      <c r="I14106">
        <v>674</v>
      </c>
      <c r="J14106">
        <v>1</v>
      </c>
      <c r="K14106">
        <v>78</v>
      </c>
      <c r="L14106">
        <v>819</v>
      </c>
      <c r="M14106">
        <v>1</v>
      </c>
      <c r="N14106">
        <v>0</v>
      </c>
      <c r="O14106">
        <v>2029</v>
      </c>
    </row>
    <row r="14107" spans="1:15" x14ac:dyDescent="0.25">
      <c r="A14107" t="s">
        <v>14120</v>
      </c>
      <c r="B14107">
        <v>180</v>
      </c>
      <c r="C14107" s="1" t="str">
        <f>HYPERLINK("http://www.rosaceae.org/gb/gbrowse/malus_x_domestica/?name=MDP0000314736","MDP0000314736")</f>
        <v>MDP0000314736</v>
      </c>
      <c r="D14107">
        <v>88.23</v>
      </c>
      <c r="E14107">
        <v>51</v>
      </c>
      <c r="F14107">
        <v>6</v>
      </c>
      <c r="G14107">
        <v>0</v>
      </c>
      <c r="H14107">
        <v>130</v>
      </c>
      <c r="I14107">
        <v>180</v>
      </c>
      <c r="J14107">
        <v>1</v>
      </c>
      <c r="K14107">
        <v>387</v>
      </c>
      <c r="L14107">
        <v>437</v>
      </c>
      <c r="M14107">
        <v>1</v>
      </c>
      <c r="N14107">
        <v>3.7300600000000001E-24</v>
      </c>
      <c r="O14107">
        <v>269</v>
      </c>
    </row>
    <row r="14108" spans="1:15" x14ac:dyDescent="0.25">
      <c r="A14108" t="s">
        <v>14121</v>
      </c>
      <c r="B14108">
        <v>211</v>
      </c>
      <c r="C14108" s="1" t="str">
        <f>HYPERLINK("http://www.rosaceae.org/gb/gbrowse/malus_x_domestica/?name=MDP0000272009","MDP0000272009")</f>
        <v>MDP0000272009</v>
      </c>
      <c r="D14108">
        <v>37.85</v>
      </c>
      <c r="E14108">
        <v>214</v>
      </c>
      <c r="F14108">
        <v>133</v>
      </c>
      <c r="G14108">
        <v>32</v>
      </c>
      <c r="H14108">
        <v>12</v>
      </c>
      <c r="I14108">
        <v>200</v>
      </c>
      <c r="J14108">
        <v>1</v>
      </c>
      <c r="K14108">
        <v>5</v>
      </c>
      <c r="L14108">
        <v>211</v>
      </c>
      <c r="M14108">
        <v>1</v>
      </c>
      <c r="N14108">
        <v>3.2425800000000002E-19</v>
      </c>
      <c r="O14108">
        <v>228</v>
      </c>
    </row>
    <row r="14109" spans="1:15" x14ac:dyDescent="0.25">
      <c r="A14109" t="s">
        <v>14122</v>
      </c>
      <c r="B14109">
        <v>447</v>
      </c>
      <c r="C14109" s="1" t="str">
        <f>HYPERLINK("http://www.rosaceae.org/gb/gbrowse/malus_x_domestica/?name=MDP0000292722","MDP0000292722")</f>
        <v>MDP0000292722</v>
      </c>
      <c r="D14109">
        <v>71.05</v>
      </c>
      <c r="E14109">
        <v>38</v>
      </c>
      <c r="F14109">
        <v>11</v>
      </c>
      <c r="G14109">
        <v>0</v>
      </c>
      <c r="H14109">
        <v>312</v>
      </c>
      <c r="I14109">
        <v>349</v>
      </c>
      <c r="J14109">
        <v>1</v>
      </c>
      <c r="K14109">
        <v>309</v>
      </c>
      <c r="L14109">
        <v>346</v>
      </c>
      <c r="M14109">
        <v>1</v>
      </c>
      <c r="N14109">
        <v>3.4908200000000002E-10</v>
      </c>
      <c r="O14109">
        <v>154</v>
      </c>
    </row>
    <row r="14110" spans="1:15" x14ac:dyDescent="0.25">
      <c r="A14110" t="s">
        <v>14123</v>
      </c>
      <c r="B14110">
        <v>886</v>
      </c>
      <c r="C14110" s="1" t="str">
        <f>HYPERLINK("http://www.rosaceae.org/gb/gbrowse/malus_x_domestica/?name=MDP0000262620","MDP0000262620")</f>
        <v>MDP0000262620</v>
      </c>
      <c r="D14110">
        <v>57.25</v>
      </c>
      <c r="E14110">
        <v>903</v>
      </c>
      <c r="F14110">
        <v>386</v>
      </c>
      <c r="G14110">
        <v>88</v>
      </c>
      <c r="H14110">
        <v>25</v>
      </c>
      <c r="I14110">
        <v>885</v>
      </c>
      <c r="J14110">
        <v>1</v>
      </c>
      <c r="K14110">
        <v>74</v>
      </c>
      <c r="L14110">
        <v>930</v>
      </c>
      <c r="M14110">
        <v>1</v>
      </c>
      <c r="N14110">
        <v>0</v>
      </c>
      <c r="O14110">
        <v>2672</v>
      </c>
    </row>
    <row r="14111" spans="1:15" x14ac:dyDescent="0.25">
      <c r="A14111" t="s">
        <v>14124</v>
      </c>
      <c r="B14111">
        <v>168</v>
      </c>
      <c r="C14111" s="1" t="str">
        <f>HYPERLINK("http://www.rosaceae.org/gb/gbrowse/malus_x_domestica/?name=MDP0000139283","MDP0000139283")</f>
        <v>MDP0000139283</v>
      </c>
      <c r="D14111">
        <v>74.33</v>
      </c>
      <c r="E14111">
        <v>113</v>
      </c>
      <c r="F14111">
        <v>29</v>
      </c>
      <c r="G14111">
        <v>1</v>
      </c>
      <c r="H14111">
        <v>55</v>
      </c>
      <c r="I14111">
        <v>166</v>
      </c>
      <c r="J14111">
        <v>1</v>
      </c>
      <c r="K14111">
        <v>152</v>
      </c>
      <c r="L14111">
        <v>264</v>
      </c>
      <c r="M14111">
        <v>1</v>
      </c>
      <c r="N14111">
        <v>1.41429E-42</v>
      </c>
      <c r="O14111">
        <v>427</v>
      </c>
    </row>
    <row r="14112" spans="1:15" x14ac:dyDescent="0.25">
      <c r="A14112" t="s">
        <v>14125</v>
      </c>
      <c r="B14112">
        <v>325</v>
      </c>
      <c r="C14112" s="1" t="str">
        <f>HYPERLINK("http://www.rosaceae.org/gb/gbrowse/malus_x_domestica/?name=MDP0000192816","MDP0000192816")</f>
        <v>MDP0000192816</v>
      </c>
      <c r="D14112">
        <v>84.77</v>
      </c>
      <c r="E14112">
        <v>335</v>
      </c>
      <c r="F14112">
        <v>51</v>
      </c>
      <c r="G14112">
        <v>14</v>
      </c>
      <c r="H14112">
        <v>1</v>
      </c>
      <c r="I14112">
        <v>325</v>
      </c>
      <c r="J14112">
        <v>1</v>
      </c>
      <c r="K14112">
        <v>52</v>
      </c>
      <c r="L14112">
        <v>382</v>
      </c>
      <c r="M14112">
        <v>1</v>
      </c>
      <c r="N14112">
        <v>2.4480400000000001E-161</v>
      </c>
      <c r="O14112">
        <v>1456</v>
      </c>
    </row>
    <row r="14113" spans="1:15" x14ac:dyDescent="0.25">
      <c r="A14113" t="s">
        <v>14126</v>
      </c>
      <c r="B14113">
        <v>325</v>
      </c>
      <c r="C14113" s="1" t="str">
        <f>HYPERLINK("http://www.rosaceae.org/gb/gbrowse/malus_x_domestica/?name=MDP0000774306","MDP0000774306")</f>
        <v>MDP0000774306</v>
      </c>
      <c r="D14113">
        <v>30.76</v>
      </c>
      <c r="E14113">
        <v>351</v>
      </c>
      <c r="F14113">
        <v>243</v>
      </c>
      <c r="G14113">
        <v>85</v>
      </c>
      <c r="H14113">
        <v>15</v>
      </c>
      <c r="I14113">
        <v>289</v>
      </c>
      <c r="J14113">
        <v>1</v>
      </c>
      <c r="K14113">
        <v>2</v>
      </c>
      <c r="L14113">
        <v>343</v>
      </c>
      <c r="M14113">
        <v>1</v>
      </c>
      <c r="N14113">
        <v>1.5188899999999999E-23</v>
      </c>
      <c r="O14113">
        <v>267</v>
      </c>
    </row>
    <row r="14114" spans="1:15" x14ac:dyDescent="0.25">
      <c r="A14114" t="s">
        <v>14127</v>
      </c>
      <c r="B14114">
        <v>132</v>
      </c>
      <c r="C14114" s="1" t="str">
        <f>HYPERLINK("http://www.rosaceae.org/gb/gbrowse/malus_x_domestica/?name=MDP0000862430","MDP0000862430")</f>
        <v>MDP0000862430</v>
      </c>
      <c r="D14114">
        <v>55.24</v>
      </c>
      <c r="E14114">
        <v>143</v>
      </c>
      <c r="F14114">
        <v>64</v>
      </c>
      <c r="G14114">
        <v>14</v>
      </c>
      <c r="H14114">
        <v>3</v>
      </c>
      <c r="I14114">
        <v>131</v>
      </c>
      <c r="J14114">
        <v>1</v>
      </c>
      <c r="K14114">
        <v>7</v>
      </c>
      <c r="L14114">
        <v>149</v>
      </c>
      <c r="M14114">
        <v>1</v>
      </c>
      <c r="N14114">
        <v>3.7101200000000003E-33</v>
      </c>
      <c r="O14114">
        <v>344</v>
      </c>
    </row>
    <row r="14115" spans="1:15" x14ac:dyDescent="0.25">
      <c r="A14115" t="s">
        <v>14128</v>
      </c>
      <c r="B14115">
        <v>814</v>
      </c>
      <c r="C14115" s="1" t="str">
        <f>HYPERLINK("http://www.rosaceae.org/gb/gbrowse/malus_x_domestica/?name=MDP0000297560","MDP0000297560")</f>
        <v>MDP0000297560</v>
      </c>
      <c r="D14115">
        <v>58.82</v>
      </c>
      <c r="E14115">
        <v>833</v>
      </c>
      <c r="F14115">
        <v>343</v>
      </c>
      <c r="G14115">
        <v>48</v>
      </c>
      <c r="H14115">
        <v>1</v>
      </c>
      <c r="I14115">
        <v>801</v>
      </c>
      <c r="J14115">
        <v>1</v>
      </c>
      <c r="K14115">
        <v>394</v>
      </c>
      <c r="L14115">
        <v>1210</v>
      </c>
      <c r="M14115">
        <v>1</v>
      </c>
      <c r="N14115">
        <v>0</v>
      </c>
      <c r="O14115">
        <v>2244</v>
      </c>
    </row>
    <row r="14116" spans="1:15" x14ac:dyDescent="0.25">
      <c r="A14116" t="s">
        <v>14129</v>
      </c>
      <c r="B14116">
        <v>700</v>
      </c>
      <c r="C14116" s="1" t="str">
        <f>HYPERLINK("http://www.rosaceae.org/gb/gbrowse/malus_x_domestica/?name=MDP0000322379","MDP0000322379")</f>
        <v>MDP0000322379</v>
      </c>
      <c r="D14116">
        <v>53.91</v>
      </c>
      <c r="E14116">
        <v>345</v>
      </c>
      <c r="F14116">
        <v>159</v>
      </c>
      <c r="G14116">
        <v>21</v>
      </c>
      <c r="H14116">
        <v>6</v>
      </c>
      <c r="I14116">
        <v>346</v>
      </c>
      <c r="J14116">
        <v>1</v>
      </c>
      <c r="K14116">
        <v>283</v>
      </c>
      <c r="L14116">
        <v>610</v>
      </c>
      <c r="M14116">
        <v>1</v>
      </c>
      <c r="N14116">
        <v>1.0214E-96</v>
      </c>
      <c r="O14116">
        <v>902</v>
      </c>
    </row>
    <row r="14117" spans="1:15" x14ac:dyDescent="0.25">
      <c r="A14117" t="s">
        <v>14130</v>
      </c>
      <c r="B14117">
        <v>628</v>
      </c>
      <c r="C14117" s="1" t="str">
        <f>HYPERLINK("http://www.rosaceae.org/gb/gbrowse/malus_x_domestica/?name=MDP0000144846","MDP0000144846")</f>
        <v>MDP0000144846</v>
      </c>
      <c r="D14117">
        <v>69.77</v>
      </c>
      <c r="E14117">
        <v>526</v>
      </c>
      <c r="F14117">
        <v>159</v>
      </c>
      <c r="G14117">
        <v>61</v>
      </c>
      <c r="H14117">
        <v>132</v>
      </c>
      <c r="I14117">
        <v>623</v>
      </c>
      <c r="J14117">
        <v>1</v>
      </c>
      <c r="K14117">
        <v>207</v>
      </c>
      <c r="L14117">
        <v>705</v>
      </c>
      <c r="M14117">
        <v>1</v>
      </c>
      <c r="N14117">
        <v>0</v>
      </c>
      <c r="O14117">
        <v>1853</v>
      </c>
    </row>
    <row r="14118" spans="1:15" x14ac:dyDescent="0.25">
      <c r="A14118" t="s">
        <v>14131</v>
      </c>
      <c r="B14118">
        <v>230</v>
      </c>
      <c r="C14118" s="1" t="str">
        <f>HYPERLINK("http://www.rosaceae.org/gb/gbrowse/malus_x_domestica/?name=MDP0000321191","MDP0000321191")</f>
        <v>MDP0000321191</v>
      </c>
      <c r="D14118">
        <v>41.99</v>
      </c>
      <c r="E14118">
        <v>231</v>
      </c>
      <c r="F14118">
        <v>134</v>
      </c>
      <c r="G14118">
        <v>41</v>
      </c>
      <c r="H14118">
        <v>41</v>
      </c>
      <c r="I14118">
        <v>230</v>
      </c>
      <c r="J14118">
        <v>1</v>
      </c>
      <c r="K14118">
        <v>36</v>
      </c>
      <c r="L14118">
        <v>266</v>
      </c>
      <c r="M14118">
        <v>1</v>
      </c>
      <c r="N14118">
        <v>2.0090000000000001E-42</v>
      </c>
      <c r="O14118">
        <v>428</v>
      </c>
    </row>
    <row r="14119" spans="1:15" x14ac:dyDescent="0.25">
      <c r="A14119" t="s">
        <v>14132</v>
      </c>
      <c r="B14119">
        <v>764</v>
      </c>
      <c r="C14119" s="1" t="str">
        <f>HYPERLINK("http://www.rosaceae.org/gb/gbrowse/malus_x_domestica/?name=MDP0000181489","MDP0000181489")</f>
        <v>MDP0000181489</v>
      </c>
      <c r="D14119">
        <v>76.12</v>
      </c>
      <c r="E14119">
        <v>687</v>
      </c>
      <c r="F14119">
        <v>164</v>
      </c>
      <c r="G14119">
        <v>2</v>
      </c>
      <c r="H14119">
        <v>58</v>
      </c>
      <c r="I14119">
        <v>744</v>
      </c>
      <c r="J14119">
        <v>1</v>
      </c>
      <c r="K14119">
        <v>52</v>
      </c>
      <c r="L14119">
        <v>736</v>
      </c>
      <c r="M14119">
        <v>1</v>
      </c>
      <c r="N14119">
        <v>0</v>
      </c>
      <c r="O14119">
        <v>2784</v>
      </c>
    </row>
    <row r="14120" spans="1:15" x14ac:dyDescent="0.25">
      <c r="A14120" t="s">
        <v>14133</v>
      </c>
      <c r="B14120">
        <v>187</v>
      </c>
      <c r="C14120" s="1" t="str">
        <f>HYPERLINK("http://www.rosaceae.org/gb/gbrowse/malus_x_domestica/?name=MDP0000316852","MDP0000316852")</f>
        <v>MDP0000316852</v>
      </c>
      <c r="D14120">
        <v>38.090000000000003</v>
      </c>
      <c r="E14120">
        <v>84</v>
      </c>
      <c r="F14120">
        <v>52</v>
      </c>
      <c r="G14120">
        <v>4</v>
      </c>
      <c r="H14120">
        <v>12</v>
      </c>
      <c r="I14120">
        <v>91</v>
      </c>
      <c r="J14120">
        <v>1</v>
      </c>
      <c r="K14120">
        <v>135</v>
      </c>
      <c r="L14120">
        <v>218</v>
      </c>
      <c r="M14120">
        <v>1</v>
      </c>
      <c r="N14120">
        <v>5.3483899999999998E-10</v>
      </c>
      <c r="O14120">
        <v>147</v>
      </c>
    </row>
    <row r="14121" spans="1:15" x14ac:dyDescent="0.25">
      <c r="A14121" t="s">
        <v>14134</v>
      </c>
      <c r="B14121">
        <v>183</v>
      </c>
      <c r="C14121" s="1" t="str">
        <f>HYPERLINK("http://www.rosaceae.org/gb/gbrowse/malus_x_domestica/?name=MDP0000215916","MDP0000215916")</f>
        <v>MDP0000215916</v>
      </c>
      <c r="D14121">
        <v>37.229999999999997</v>
      </c>
      <c r="E14121">
        <v>94</v>
      </c>
      <c r="F14121">
        <v>59</v>
      </c>
      <c r="G14121">
        <v>5</v>
      </c>
      <c r="H14121">
        <v>35</v>
      </c>
      <c r="I14121">
        <v>126</v>
      </c>
      <c r="J14121">
        <v>1</v>
      </c>
      <c r="K14121">
        <v>34</v>
      </c>
      <c r="L14121">
        <v>124</v>
      </c>
      <c r="M14121">
        <v>1</v>
      </c>
      <c r="N14121">
        <v>1.11008E-10</v>
      </c>
      <c r="O14121">
        <v>153</v>
      </c>
    </row>
    <row r="14122" spans="1:15" x14ac:dyDescent="0.25">
      <c r="A14122" t="s">
        <v>14135</v>
      </c>
      <c r="B14122">
        <v>313</v>
      </c>
      <c r="C14122" s="1" t="str">
        <f>HYPERLINK("http://www.rosaceae.org/gb/gbrowse/malus_x_domestica/?name=MDP0000571636","MDP0000571636")</f>
        <v>MDP0000571636</v>
      </c>
      <c r="D14122">
        <v>78.27</v>
      </c>
      <c r="E14122">
        <v>313</v>
      </c>
      <c r="F14122">
        <v>68</v>
      </c>
      <c r="G14122">
        <v>0</v>
      </c>
      <c r="H14122">
        <v>1</v>
      </c>
      <c r="I14122">
        <v>313</v>
      </c>
      <c r="J14122">
        <v>1</v>
      </c>
      <c r="K14122">
        <v>123</v>
      </c>
      <c r="L14122">
        <v>435</v>
      </c>
      <c r="M14122">
        <v>1</v>
      </c>
      <c r="N14122">
        <v>1.96926E-144</v>
      </c>
      <c r="O14122">
        <v>1310</v>
      </c>
    </row>
    <row r="14123" spans="1:15" x14ac:dyDescent="0.25">
      <c r="A14123" t="s">
        <v>14136</v>
      </c>
      <c r="B14123">
        <v>952</v>
      </c>
      <c r="C14123" s="1" t="str">
        <f>HYPERLINK("http://www.rosaceae.org/gb/gbrowse/malus_x_domestica/?name=MDP0000156895","MDP0000156895")</f>
        <v>MDP0000156895</v>
      </c>
      <c r="D14123">
        <v>79.099999999999994</v>
      </c>
      <c r="E14123">
        <v>627</v>
      </c>
      <c r="F14123">
        <v>131</v>
      </c>
      <c r="G14123">
        <v>4</v>
      </c>
      <c r="H14123">
        <v>27</v>
      </c>
      <c r="I14123">
        <v>649</v>
      </c>
      <c r="J14123">
        <v>1</v>
      </c>
      <c r="K14123">
        <v>30</v>
      </c>
      <c r="L14123">
        <v>656</v>
      </c>
      <c r="M14123">
        <v>1</v>
      </c>
      <c r="N14123">
        <v>0</v>
      </c>
      <c r="O14123">
        <v>2488</v>
      </c>
    </row>
    <row r="14124" spans="1:15" x14ac:dyDescent="0.25">
      <c r="A14124" t="s">
        <v>14137</v>
      </c>
      <c r="B14124">
        <v>240</v>
      </c>
      <c r="C14124" s="1" t="str">
        <f>HYPERLINK("http://www.rosaceae.org/gb/gbrowse/malus_x_domestica/?name=MDP0000506266","MDP0000506266")</f>
        <v>MDP0000506266</v>
      </c>
      <c r="D14124">
        <v>53.94</v>
      </c>
      <c r="E14124">
        <v>228</v>
      </c>
      <c r="F14124">
        <v>105</v>
      </c>
      <c r="G14124">
        <v>7</v>
      </c>
      <c r="H14124">
        <v>1</v>
      </c>
      <c r="I14124">
        <v>225</v>
      </c>
      <c r="J14124">
        <v>1</v>
      </c>
      <c r="K14124">
        <v>1</v>
      </c>
      <c r="L14124">
        <v>224</v>
      </c>
      <c r="M14124">
        <v>1</v>
      </c>
      <c r="N14124">
        <v>2.7668500000000002E-57</v>
      </c>
      <c r="O14124">
        <v>557</v>
      </c>
    </row>
    <row r="14125" spans="1:15" x14ac:dyDescent="0.25">
      <c r="A14125" t="s">
        <v>14138</v>
      </c>
      <c r="B14125">
        <v>691</v>
      </c>
      <c r="C14125" s="1" t="str">
        <f>HYPERLINK("http://www.rosaceae.org/gb/gbrowse/malus_x_domestica/?name=MDP0000462686","MDP0000462686")</f>
        <v>MDP0000462686</v>
      </c>
      <c r="D14125">
        <v>64.290000000000006</v>
      </c>
      <c r="E14125">
        <v>703</v>
      </c>
      <c r="F14125">
        <v>251</v>
      </c>
      <c r="G14125">
        <v>32</v>
      </c>
      <c r="H14125">
        <v>16</v>
      </c>
      <c r="I14125">
        <v>688</v>
      </c>
      <c r="J14125">
        <v>1</v>
      </c>
      <c r="K14125">
        <v>24</v>
      </c>
      <c r="L14125">
        <v>724</v>
      </c>
      <c r="M14125">
        <v>1</v>
      </c>
      <c r="N14125">
        <v>0</v>
      </c>
      <c r="O14125">
        <v>2381</v>
      </c>
    </row>
    <row r="14126" spans="1:15" x14ac:dyDescent="0.25">
      <c r="A14126" t="s">
        <v>14139</v>
      </c>
      <c r="B14126">
        <v>774</v>
      </c>
      <c r="C14126" s="1" t="str">
        <f>HYPERLINK("http://www.rosaceae.org/gb/gbrowse/malus_x_domestica/?name=MDP0000268228","MDP0000268228")</f>
        <v>MDP0000268228</v>
      </c>
      <c r="D14126">
        <v>71.3</v>
      </c>
      <c r="E14126">
        <v>223</v>
      </c>
      <c r="F14126">
        <v>64</v>
      </c>
      <c r="G14126">
        <v>4</v>
      </c>
      <c r="H14126">
        <v>137</v>
      </c>
      <c r="I14126">
        <v>357</v>
      </c>
      <c r="J14126">
        <v>1</v>
      </c>
      <c r="K14126">
        <v>335</v>
      </c>
      <c r="L14126">
        <v>555</v>
      </c>
      <c r="M14126">
        <v>1</v>
      </c>
      <c r="N14126">
        <v>1.4001399999999999E-88</v>
      </c>
      <c r="O14126">
        <v>832</v>
      </c>
    </row>
    <row r="14127" spans="1:15" x14ac:dyDescent="0.25">
      <c r="A14127" t="s">
        <v>14140</v>
      </c>
      <c r="B14127">
        <v>340</v>
      </c>
      <c r="C14127" s="1" t="str">
        <f>HYPERLINK("http://www.rosaceae.org/gb/gbrowse/malus_x_domestica/?name=MDP0000322036","MDP0000322036")</f>
        <v>MDP0000322036</v>
      </c>
      <c r="D14127">
        <v>34.950000000000003</v>
      </c>
      <c r="E14127">
        <v>309</v>
      </c>
      <c r="F14127">
        <v>201</v>
      </c>
      <c r="G14127">
        <v>54</v>
      </c>
      <c r="H14127">
        <v>12</v>
      </c>
      <c r="I14127">
        <v>314</v>
      </c>
      <c r="J14127">
        <v>1</v>
      </c>
      <c r="K14127">
        <v>93</v>
      </c>
      <c r="L14127">
        <v>353</v>
      </c>
      <c r="M14127">
        <v>1</v>
      </c>
      <c r="N14127">
        <v>4.2059999999999996E-46</v>
      </c>
      <c r="O14127">
        <v>462</v>
      </c>
    </row>
    <row r="14128" spans="1:15" x14ac:dyDescent="0.25">
      <c r="A14128" t="s">
        <v>14141</v>
      </c>
      <c r="B14128">
        <v>193</v>
      </c>
      <c r="C14128" s="1" t="str">
        <f>HYPERLINK("http://www.rosaceae.org/gb/gbrowse/malus_x_domestica/?name=MDP0000163774","MDP0000163774")</f>
        <v>MDP0000163774</v>
      </c>
      <c r="D14128">
        <v>43.96</v>
      </c>
      <c r="E14128">
        <v>116</v>
      </c>
      <c r="F14128">
        <v>65</v>
      </c>
      <c r="G14128">
        <v>17</v>
      </c>
      <c r="H14128">
        <v>30</v>
      </c>
      <c r="I14128">
        <v>128</v>
      </c>
      <c r="J14128">
        <v>1</v>
      </c>
      <c r="K14128">
        <v>46</v>
      </c>
      <c r="L14128">
        <v>161</v>
      </c>
      <c r="M14128">
        <v>1</v>
      </c>
      <c r="N14128">
        <v>4.8642100000000005E-22</v>
      </c>
      <c r="O14128">
        <v>251</v>
      </c>
    </row>
    <row r="14129" spans="1:15" x14ac:dyDescent="0.25">
      <c r="A14129" t="s">
        <v>14142</v>
      </c>
      <c r="B14129">
        <v>128</v>
      </c>
      <c r="C14129" s="1" t="str">
        <f>HYPERLINK("http://www.rosaceae.org/gb/gbrowse/malus_x_domestica/?name=MDP0000263508","MDP0000263508")</f>
        <v>MDP0000263508</v>
      </c>
      <c r="D14129">
        <v>63.23</v>
      </c>
      <c r="E14129">
        <v>68</v>
      </c>
      <c r="F14129">
        <v>25</v>
      </c>
      <c r="G14129">
        <v>12</v>
      </c>
      <c r="H14129">
        <v>73</v>
      </c>
      <c r="I14129">
        <v>128</v>
      </c>
      <c r="J14129">
        <v>1</v>
      </c>
      <c r="K14129">
        <v>11</v>
      </c>
      <c r="L14129">
        <v>78</v>
      </c>
      <c r="M14129">
        <v>1</v>
      </c>
      <c r="N14129">
        <v>4.0557E-16</v>
      </c>
      <c r="O14129">
        <v>197</v>
      </c>
    </row>
    <row r="14130" spans="1:15" x14ac:dyDescent="0.25">
      <c r="A14130" t="s">
        <v>14143</v>
      </c>
      <c r="B14130">
        <v>567</v>
      </c>
      <c r="C14130" s="1" t="str">
        <f>HYPERLINK("http://www.rosaceae.org/gb/gbrowse/malus_x_domestica/?name=MDP0000154584","MDP0000154584")</f>
        <v>MDP0000154584</v>
      </c>
      <c r="D14130">
        <v>65.59</v>
      </c>
      <c r="E14130">
        <v>436</v>
      </c>
      <c r="F14130">
        <v>150</v>
      </c>
      <c r="G14130">
        <v>74</v>
      </c>
      <c r="H14130">
        <v>173</v>
      </c>
      <c r="I14130">
        <v>542</v>
      </c>
      <c r="J14130">
        <v>1</v>
      </c>
      <c r="K14130">
        <v>35</v>
      </c>
      <c r="L14130">
        <v>462</v>
      </c>
      <c r="M14130">
        <v>1</v>
      </c>
      <c r="N14130">
        <v>8.0293400000000003E-153</v>
      </c>
      <c r="O14130">
        <v>1385</v>
      </c>
    </row>
    <row r="14131" spans="1:15" x14ac:dyDescent="0.25">
      <c r="A14131" t="s">
        <v>14144</v>
      </c>
      <c r="B14131">
        <v>231</v>
      </c>
      <c r="C14131" s="1" t="str">
        <f>HYPERLINK("http://www.rosaceae.org/gb/gbrowse/malus_x_domestica/?name=MDP0000241313","MDP0000241313")</f>
        <v>MDP0000241313</v>
      </c>
      <c r="D14131">
        <v>40.880000000000003</v>
      </c>
      <c r="E14131">
        <v>225</v>
      </c>
      <c r="F14131">
        <v>133</v>
      </c>
      <c r="G14131">
        <v>42</v>
      </c>
      <c r="H14131">
        <v>24</v>
      </c>
      <c r="I14131">
        <v>221</v>
      </c>
      <c r="J14131">
        <v>1</v>
      </c>
      <c r="K14131">
        <v>85</v>
      </c>
      <c r="L14131">
        <v>294</v>
      </c>
      <c r="M14131">
        <v>1</v>
      </c>
      <c r="N14131">
        <v>9.0537500000000005E-27</v>
      </c>
      <c r="O14131">
        <v>293</v>
      </c>
    </row>
    <row r="14132" spans="1:15" x14ac:dyDescent="0.25">
      <c r="A14132" t="s">
        <v>14145</v>
      </c>
      <c r="B14132">
        <v>218</v>
      </c>
      <c r="C14132" s="1" t="str">
        <f>HYPERLINK("http://www.rosaceae.org/gb/gbrowse/malus_x_domestica/?name=MDP0000126344","MDP0000126344")</f>
        <v>MDP0000126344</v>
      </c>
      <c r="D14132">
        <v>75.569999999999993</v>
      </c>
      <c r="E14132">
        <v>217</v>
      </c>
      <c r="F14132">
        <v>53</v>
      </c>
      <c r="G14132">
        <v>3</v>
      </c>
      <c r="H14132">
        <v>4</v>
      </c>
      <c r="I14132">
        <v>217</v>
      </c>
      <c r="J14132">
        <v>1</v>
      </c>
      <c r="K14132">
        <v>103</v>
      </c>
      <c r="L14132">
        <v>319</v>
      </c>
      <c r="M14132">
        <v>1</v>
      </c>
      <c r="N14132">
        <v>7.2053400000000002E-93</v>
      </c>
      <c r="O14132">
        <v>863</v>
      </c>
    </row>
    <row r="14133" spans="1:15" x14ac:dyDescent="0.25">
      <c r="A14133" t="s">
        <v>14146</v>
      </c>
      <c r="B14133">
        <v>394</v>
      </c>
      <c r="C14133" s="1" t="str">
        <f>HYPERLINK("http://www.rosaceae.org/gb/gbrowse/malus_x_domestica/?name=MDP0000324175","MDP0000324175")</f>
        <v>MDP0000324175</v>
      </c>
      <c r="D14133">
        <v>57.41</v>
      </c>
      <c r="E14133">
        <v>155</v>
      </c>
      <c r="F14133">
        <v>66</v>
      </c>
      <c r="G14133">
        <v>4</v>
      </c>
      <c r="H14133">
        <v>230</v>
      </c>
      <c r="I14133">
        <v>381</v>
      </c>
      <c r="J14133">
        <v>1</v>
      </c>
      <c r="K14133">
        <v>23</v>
      </c>
      <c r="L14133">
        <v>176</v>
      </c>
      <c r="M14133">
        <v>1</v>
      </c>
      <c r="N14133">
        <v>1.02681E-45</v>
      </c>
      <c r="O14133">
        <v>460</v>
      </c>
    </row>
    <row r="14134" spans="1:15" x14ac:dyDescent="0.25">
      <c r="A14134" t="s">
        <v>14147</v>
      </c>
      <c r="B14134">
        <v>486</v>
      </c>
      <c r="C14134" s="1" t="str">
        <f>HYPERLINK("http://www.rosaceae.org/gb/gbrowse/malus_x_domestica/?name=MDP0000740981","MDP0000740981")</f>
        <v>MDP0000740981</v>
      </c>
      <c r="D14134">
        <v>53.89</v>
      </c>
      <c r="E14134">
        <v>475</v>
      </c>
      <c r="F14134">
        <v>219</v>
      </c>
      <c r="G14134">
        <v>12</v>
      </c>
      <c r="H14134">
        <v>16</v>
      </c>
      <c r="I14134">
        <v>481</v>
      </c>
      <c r="J14134">
        <v>1</v>
      </c>
      <c r="K14134">
        <v>14</v>
      </c>
      <c r="L14134">
        <v>485</v>
      </c>
      <c r="M14134">
        <v>1</v>
      </c>
      <c r="N14134">
        <v>4.53088E-147</v>
      </c>
      <c r="O14134">
        <v>1335</v>
      </c>
    </row>
    <row r="14135" spans="1:15" x14ac:dyDescent="0.25">
      <c r="A14135" t="s">
        <v>14148</v>
      </c>
      <c r="B14135">
        <v>950</v>
      </c>
      <c r="C14135" s="1" t="str">
        <f>HYPERLINK("http://www.rosaceae.org/gb/gbrowse/malus_x_domestica/?name=MDP0000210735","MDP0000210735")</f>
        <v>MDP0000210735</v>
      </c>
      <c r="D14135">
        <v>39.36</v>
      </c>
      <c r="E14135">
        <v>409</v>
      </c>
      <c r="F14135">
        <v>248</v>
      </c>
      <c r="G14135">
        <v>66</v>
      </c>
      <c r="H14135">
        <v>485</v>
      </c>
      <c r="I14135">
        <v>833</v>
      </c>
      <c r="J14135">
        <v>1</v>
      </c>
      <c r="K14135">
        <v>7</v>
      </c>
      <c r="L14135">
        <v>409</v>
      </c>
      <c r="M14135">
        <v>1</v>
      </c>
      <c r="N14135">
        <v>3.1458099999999999E-59</v>
      </c>
      <c r="O14135">
        <v>580</v>
      </c>
    </row>
    <row r="14136" spans="1:15" x14ac:dyDescent="0.25">
      <c r="A14136" t="s">
        <v>14149</v>
      </c>
      <c r="B14136">
        <v>99</v>
      </c>
      <c r="C14136" s="1" t="str">
        <f>HYPERLINK("http://www.rosaceae.org/gb/gbrowse/malus_x_domestica/?name=MDP0000285731","MDP0000285731")</f>
        <v>MDP0000285731</v>
      </c>
      <c r="D14136">
        <v>65.709999999999994</v>
      </c>
      <c r="E14136">
        <v>70</v>
      </c>
      <c r="F14136">
        <v>24</v>
      </c>
      <c r="G14136">
        <v>9</v>
      </c>
      <c r="H14136">
        <v>37</v>
      </c>
      <c r="I14136">
        <v>99</v>
      </c>
      <c r="J14136">
        <v>1</v>
      </c>
      <c r="K14136">
        <v>38</v>
      </c>
      <c r="L14136">
        <v>105</v>
      </c>
      <c r="M14136">
        <v>1</v>
      </c>
      <c r="N14136">
        <v>1.3026800000000001E-16</v>
      </c>
      <c r="O14136">
        <v>201</v>
      </c>
    </row>
    <row r="14137" spans="1:15" x14ac:dyDescent="0.25">
      <c r="A14137" t="s">
        <v>14150</v>
      </c>
      <c r="B14137">
        <v>447</v>
      </c>
      <c r="C14137" s="1" t="str">
        <f>HYPERLINK("http://www.rosaceae.org/gb/gbrowse/malus_x_domestica/?name=MDP0000243227","MDP0000243227")</f>
        <v>MDP0000243227</v>
      </c>
      <c r="D14137">
        <v>85.06</v>
      </c>
      <c r="E14137">
        <v>375</v>
      </c>
      <c r="F14137">
        <v>56</v>
      </c>
      <c r="G14137">
        <v>5</v>
      </c>
      <c r="H14137">
        <v>17</v>
      </c>
      <c r="I14137">
        <v>387</v>
      </c>
      <c r="J14137">
        <v>1</v>
      </c>
      <c r="K14137">
        <v>12</v>
      </c>
      <c r="L14137">
        <v>385</v>
      </c>
      <c r="M14137">
        <v>1</v>
      </c>
      <c r="N14137">
        <v>0</v>
      </c>
      <c r="O14137">
        <v>1675</v>
      </c>
    </row>
    <row r="14138" spans="1:15" x14ac:dyDescent="0.25">
      <c r="A14138" t="s">
        <v>14151</v>
      </c>
      <c r="B14138">
        <v>112</v>
      </c>
      <c r="C14138" s="1" t="str">
        <f>HYPERLINK("http://www.rosaceae.org/gb/gbrowse/malus_x_domestica/?name=MDP0000187203","MDP0000187203")</f>
        <v>MDP0000187203</v>
      </c>
      <c r="D14138">
        <v>34.119999999999997</v>
      </c>
      <c r="E14138">
        <v>126</v>
      </c>
      <c r="F14138">
        <v>83</v>
      </c>
      <c r="G14138">
        <v>24</v>
      </c>
      <c r="H14138">
        <v>3</v>
      </c>
      <c r="I14138">
        <v>105</v>
      </c>
      <c r="J14138">
        <v>1</v>
      </c>
      <c r="K14138">
        <v>4</v>
      </c>
      <c r="L14138">
        <v>128</v>
      </c>
      <c r="M14138">
        <v>1</v>
      </c>
      <c r="N14138">
        <v>6.0181299999999995E-13</v>
      </c>
      <c r="O14138">
        <v>169</v>
      </c>
    </row>
    <row r="14139" spans="1:15" x14ac:dyDescent="0.25">
      <c r="A14139" t="s">
        <v>14152</v>
      </c>
      <c r="B14139">
        <v>690</v>
      </c>
      <c r="C14139" s="1" t="str">
        <f>HYPERLINK("http://www.rosaceae.org/gb/gbrowse/malus_x_domestica/?name=MDP0000311548","MDP0000311548")</f>
        <v>MDP0000311548</v>
      </c>
      <c r="D14139">
        <v>36.49</v>
      </c>
      <c r="E14139">
        <v>137</v>
      </c>
      <c r="F14139">
        <v>87</v>
      </c>
      <c r="G14139">
        <v>6</v>
      </c>
      <c r="H14139">
        <v>351</v>
      </c>
      <c r="I14139">
        <v>487</v>
      </c>
      <c r="J14139">
        <v>1</v>
      </c>
      <c r="K14139">
        <v>20</v>
      </c>
      <c r="L14139">
        <v>150</v>
      </c>
      <c r="M14139">
        <v>1</v>
      </c>
      <c r="N14139">
        <v>2.5501700000000001E-18</v>
      </c>
      <c r="O14139">
        <v>226</v>
      </c>
    </row>
    <row r="14140" spans="1:15" x14ac:dyDescent="0.25">
      <c r="A14140" t="s">
        <v>14153</v>
      </c>
      <c r="B14140">
        <v>860</v>
      </c>
      <c r="C14140" s="1" t="str">
        <f>HYPERLINK("http://www.rosaceae.org/gb/gbrowse/malus_x_domestica/?name=MDP0000202551","MDP0000202551")</f>
        <v>MDP0000202551</v>
      </c>
      <c r="D14140">
        <v>70.06</v>
      </c>
      <c r="E14140">
        <v>815</v>
      </c>
      <c r="F14140">
        <v>244</v>
      </c>
      <c r="G14140">
        <v>58</v>
      </c>
      <c r="H14140">
        <v>56</v>
      </c>
      <c r="I14140">
        <v>860</v>
      </c>
      <c r="J14140">
        <v>1</v>
      </c>
      <c r="K14140">
        <v>23</v>
      </c>
      <c r="L14140">
        <v>789</v>
      </c>
      <c r="M14140">
        <v>1</v>
      </c>
      <c r="N14140">
        <v>0</v>
      </c>
      <c r="O14140">
        <v>2949</v>
      </c>
    </row>
    <row r="14141" spans="1:15" x14ac:dyDescent="0.25">
      <c r="A14141" t="s">
        <v>14154</v>
      </c>
      <c r="B14141">
        <v>557</v>
      </c>
      <c r="C14141" s="1" t="str">
        <f>HYPERLINK("http://www.rosaceae.org/gb/gbrowse/malus_x_domestica/?name=MDP0000306273","MDP0000306273")</f>
        <v>MDP0000306273</v>
      </c>
      <c r="D14141">
        <v>78.459999999999994</v>
      </c>
      <c r="E14141">
        <v>562</v>
      </c>
      <c r="F14141">
        <v>121</v>
      </c>
      <c r="G14141">
        <v>21</v>
      </c>
      <c r="H14141">
        <v>3</v>
      </c>
      <c r="I14141">
        <v>547</v>
      </c>
      <c r="J14141">
        <v>1</v>
      </c>
      <c r="K14141">
        <v>10</v>
      </c>
      <c r="L14141">
        <v>567</v>
      </c>
      <c r="M14141">
        <v>1</v>
      </c>
      <c r="N14141">
        <v>0</v>
      </c>
      <c r="O14141">
        <v>2328</v>
      </c>
    </row>
    <row r="14142" spans="1:15" x14ac:dyDescent="0.25">
      <c r="A14142" t="s">
        <v>14155</v>
      </c>
      <c r="B14142">
        <v>332</v>
      </c>
      <c r="C14142" s="1" t="str">
        <f>HYPERLINK("http://www.rosaceae.org/gb/gbrowse/malus_x_domestica/?name=MDP0000818047","MDP0000818047")</f>
        <v>MDP0000818047</v>
      </c>
      <c r="D14142">
        <v>94.52</v>
      </c>
      <c r="E14142">
        <v>73</v>
      </c>
      <c r="F14142">
        <v>4</v>
      </c>
      <c r="G14142">
        <v>0</v>
      </c>
      <c r="H14142">
        <v>1</v>
      </c>
      <c r="I14142">
        <v>73</v>
      </c>
      <c r="J14142">
        <v>1</v>
      </c>
      <c r="K14142">
        <v>1</v>
      </c>
      <c r="L14142">
        <v>73</v>
      </c>
      <c r="M14142">
        <v>1</v>
      </c>
      <c r="N14142">
        <v>8.8516599999999999E-37</v>
      </c>
      <c r="O14142">
        <v>382</v>
      </c>
    </row>
    <row r="14143" spans="1:15" x14ac:dyDescent="0.25">
      <c r="A14143" t="s">
        <v>14156</v>
      </c>
      <c r="B14143">
        <v>193</v>
      </c>
      <c r="C14143" s="1" t="str">
        <f>HYPERLINK("http://www.rosaceae.org/gb/gbrowse/malus_x_domestica/?name=MDP0000580186","MDP0000580186")</f>
        <v>MDP0000580186</v>
      </c>
      <c r="D14143">
        <v>81.010000000000005</v>
      </c>
      <c r="E14143">
        <v>79</v>
      </c>
      <c r="F14143">
        <v>15</v>
      </c>
      <c r="G14143">
        <v>0</v>
      </c>
      <c r="H14143">
        <v>31</v>
      </c>
      <c r="I14143">
        <v>109</v>
      </c>
      <c r="J14143">
        <v>1</v>
      </c>
      <c r="K14143">
        <v>32</v>
      </c>
      <c r="L14143">
        <v>110</v>
      </c>
      <c r="M14143">
        <v>1</v>
      </c>
      <c r="N14143">
        <v>9.6858499999999993E-35</v>
      </c>
      <c r="O14143">
        <v>361</v>
      </c>
    </row>
    <row r="14144" spans="1:15" x14ac:dyDescent="0.25">
      <c r="A14144" t="s">
        <v>14157</v>
      </c>
      <c r="B14144">
        <v>190</v>
      </c>
      <c r="C14144" s="1" t="str">
        <f>HYPERLINK("http://www.rosaceae.org/gb/gbrowse/malus_x_domestica/?name=MDP0000201074","MDP0000201074")</f>
        <v>MDP0000201074</v>
      </c>
      <c r="D14144">
        <v>58.46</v>
      </c>
      <c r="E14144">
        <v>183</v>
      </c>
      <c r="F14144">
        <v>76</v>
      </c>
      <c r="G14144">
        <v>28</v>
      </c>
      <c r="H14144">
        <v>30</v>
      </c>
      <c r="I14144">
        <v>190</v>
      </c>
      <c r="J14144">
        <v>1</v>
      </c>
      <c r="K14144">
        <v>36</v>
      </c>
      <c r="L14144">
        <v>212</v>
      </c>
      <c r="M14144">
        <v>1</v>
      </c>
      <c r="N14144">
        <v>3.4314399999999998E-50</v>
      </c>
      <c r="O14144">
        <v>494</v>
      </c>
    </row>
    <row r="14145" spans="1:15" x14ac:dyDescent="0.25">
      <c r="A14145" t="s">
        <v>14158</v>
      </c>
      <c r="B14145">
        <v>187</v>
      </c>
      <c r="C14145" s="1" t="str">
        <f>HYPERLINK("http://www.rosaceae.org/gb/gbrowse/malus_x_domestica/?name=MDP0000283005","MDP0000283005")</f>
        <v>MDP0000283005</v>
      </c>
      <c r="D14145">
        <v>32.97</v>
      </c>
      <c r="E14145">
        <v>94</v>
      </c>
      <c r="F14145">
        <v>63</v>
      </c>
      <c r="G14145">
        <v>2</v>
      </c>
      <c r="H14145">
        <v>81</v>
      </c>
      <c r="I14145">
        <v>174</v>
      </c>
      <c r="J14145">
        <v>1</v>
      </c>
      <c r="K14145">
        <v>117</v>
      </c>
      <c r="L14145">
        <v>208</v>
      </c>
      <c r="M14145">
        <v>1</v>
      </c>
      <c r="N14145">
        <v>1.5827899999999999E-8</v>
      </c>
      <c r="O14145">
        <v>135</v>
      </c>
    </row>
    <row r="14146" spans="1:15" x14ac:dyDescent="0.25">
      <c r="A14146" t="s">
        <v>14159</v>
      </c>
      <c r="B14146">
        <v>254</v>
      </c>
      <c r="C14146" s="1" t="str">
        <f>HYPERLINK("http://www.rosaceae.org/gb/gbrowse/malus_x_domestica/?name=MDP0000186402","MDP0000186402")</f>
        <v>MDP0000186402</v>
      </c>
      <c r="D14146">
        <v>32.82</v>
      </c>
      <c r="E14146">
        <v>131</v>
      </c>
      <c r="F14146">
        <v>88</v>
      </c>
      <c r="G14146">
        <v>2</v>
      </c>
      <c r="H14146">
        <v>85</v>
      </c>
      <c r="I14146">
        <v>214</v>
      </c>
      <c r="J14146">
        <v>1</v>
      </c>
      <c r="K14146">
        <v>396</v>
      </c>
      <c r="L14146">
        <v>525</v>
      </c>
      <c r="M14146">
        <v>1</v>
      </c>
      <c r="N14146">
        <v>4.1537500000000001E-14</v>
      </c>
      <c r="O14146">
        <v>185</v>
      </c>
    </row>
    <row r="14147" spans="1:15" x14ac:dyDescent="0.25">
      <c r="A14147" t="s">
        <v>14160</v>
      </c>
      <c r="B14147">
        <v>229</v>
      </c>
      <c r="C14147" s="1" t="str">
        <f>HYPERLINK("http://www.rosaceae.org/gb/gbrowse/malus_x_domestica/?name=MDP0000215013","MDP0000215013")</f>
        <v>MDP0000215013</v>
      </c>
      <c r="D14147">
        <v>73.790000000000006</v>
      </c>
      <c r="E14147">
        <v>229</v>
      </c>
      <c r="F14147">
        <v>60</v>
      </c>
      <c r="G14147">
        <v>1</v>
      </c>
      <c r="H14147">
        <v>1</v>
      </c>
      <c r="I14147">
        <v>229</v>
      </c>
      <c r="J14147">
        <v>1</v>
      </c>
      <c r="K14147">
        <v>1</v>
      </c>
      <c r="L14147">
        <v>228</v>
      </c>
      <c r="M14147">
        <v>1</v>
      </c>
      <c r="N14147">
        <v>1.8059899999999999E-95</v>
      </c>
      <c r="O14147">
        <v>886</v>
      </c>
    </row>
    <row r="14148" spans="1:15" x14ac:dyDescent="0.25">
      <c r="A14148" t="s">
        <v>14161</v>
      </c>
      <c r="B14148">
        <v>236</v>
      </c>
      <c r="C14148" s="1" t="str">
        <f>HYPERLINK("http://www.rosaceae.org/gb/gbrowse/malus_x_domestica/?name=MDP0000813278","MDP0000813278")</f>
        <v>MDP0000813278</v>
      </c>
      <c r="D14148">
        <v>63.63</v>
      </c>
      <c r="E14148">
        <v>198</v>
      </c>
      <c r="F14148">
        <v>72</v>
      </c>
      <c r="G14148">
        <v>12</v>
      </c>
      <c r="H14148">
        <v>23</v>
      </c>
      <c r="I14148">
        <v>219</v>
      </c>
      <c r="J14148">
        <v>1</v>
      </c>
      <c r="K14148">
        <v>31</v>
      </c>
      <c r="L14148">
        <v>217</v>
      </c>
      <c r="M14148">
        <v>1</v>
      </c>
      <c r="N14148">
        <v>1.16419E-65</v>
      </c>
      <c r="O14148">
        <v>629</v>
      </c>
    </row>
    <row r="14149" spans="1:15" x14ac:dyDescent="0.25">
      <c r="A14149" t="s">
        <v>14162</v>
      </c>
      <c r="B14149">
        <v>668</v>
      </c>
      <c r="C14149" s="1" t="str">
        <f>HYPERLINK("http://www.rosaceae.org/gb/gbrowse/malus_x_domestica/?name=MDP0000174194","MDP0000174194")</f>
        <v>MDP0000174194</v>
      </c>
      <c r="D14149">
        <v>36.4</v>
      </c>
      <c r="E14149">
        <v>401</v>
      </c>
      <c r="F14149">
        <v>255</v>
      </c>
      <c r="G14149">
        <v>40</v>
      </c>
      <c r="H14149">
        <v>112</v>
      </c>
      <c r="I14149">
        <v>487</v>
      </c>
      <c r="J14149">
        <v>1</v>
      </c>
      <c r="K14149">
        <v>8</v>
      </c>
      <c r="L14149">
        <v>393</v>
      </c>
      <c r="M14149">
        <v>1</v>
      </c>
      <c r="N14149">
        <v>1.0432099999999999E-61</v>
      </c>
      <c r="O14149">
        <v>600</v>
      </c>
    </row>
    <row r="14150" spans="1:15" x14ac:dyDescent="0.25">
      <c r="A14150" t="s">
        <v>14163</v>
      </c>
      <c r="B14150">
        <v>493</v>
      </c>
      <c r="C14150" s="1" t="str">
        <f>HYPERLINK("http://www.rosaceae.org/gb/gbrowse/malus_x_domestica/?name=MDP0000118787","MDP0000118787")</f>
        <v>MDP0000118787</v>
      </c>
      <c r="D14150">
        <v>66.05</v>
      </c>
      <c r="E14150">
        <v>436</v>
      </c>
      <c r="F14150">
        <v>148</v>
      </c>
      <c r="G14150">
        <v>34</v>
      </c>
      <c r="H14150">
        <v>1</v>
      </c>
      <c r="I14150">
        <v>410</v>
      </c>
      <c r="J14150">
        <v>1</v>
      </c>
      <c r="K14150">
        <v>9</v>
      </c>
      <c r="L14150">
        <v>436</v>
      </c>
      <c r="M14150">
        <v>1</v>
      </c>
      <c r="N14150">
        <v>6.7692899999999998E-156</v>
      </c>
      <c r="O14150">
        <v>1411</v>
      </c>
    </row>
    <row r="14151" spans="1:15" x14ac:dyDescent="0.25">
      <c r="A14151" t="s">
        <v>14164</v>
      </c>
      <c r="B14151">
        <v>627</v>
      </c>
      <c r="C14151" s="1" t="str">
        <f>HYPERLINK("http://www.rosaceae.org/gb/gbrowse/malus_x_domestica/?name=MDP0000887896","MDP0000887896")</f>
        <v>MDP0000887896</v>
      </c>
      <c r="D14151">
        <v>83.14</v>
      </c>
      <c r="E14151">
        <v>629</v>
      </c>
      <c r="F14151">
        <v>106</v>
      </c>
      <c r="G14151">
        <v>6</v>
      </c>
      <c r="H14151">
        <v>1</v>
      </c>
      <c r="I14151">
        <v>627</v>
      </c>
      <c r="J14151">
        <v>1</v>
      </c>
      <c r="K14151">
        <v>1</v>
      </c>
      <c r="L14151">
        <v>625</v>
      </c>
      <c r="M14151">
        <v>1</v>
      </c>
      <c r="N14151">
        <v>0</v>
      </c>
      <c r="O14151">
        <v>2773</v>
      </c>
    </row>
    <row r="14152" spans="1:15" x14ac:dyDescent="0.25">
      <c r="A14152" t="s">
        <v>14165</v>
      </c>
      <c r="B14152">
        <v>333</v>
      </c>
      <c r="C14152" s="1" t="str">
        <f>HYPERLINK("http://www.rosaceae.org/gb/gbrowse/malus_x_domestica/?name=MDP0000234464","MDP0000234464")</f>
        <v>MDP0000234464</v>
      </c>
      <c r="D14152">
        <v>54.54</v>
      </c>
      <c r="E14152">
        <v>187</v>
      </c>
      <c r="F14152">
        <v>85</v>
      </c>
      <c r="G14152">
        <v>12</v>
      </c>
      <c r="H14152">
        <v>1</v>
      </c>
      <c r="I14152">
        <v>187</v>
      </c>
      <c r="J14152">
        <v>1</v>
      </c>
      <c r="K14152">
        <v>1</v>
      </c>
      <c r="L14152">
        <v>175</v>
      </c>
      <c r="M14152">
        <v>1</v>
      </c>
      <c r="N14152">
        <v>4.6627899999999996E-47</v>
      </c>
      <c r="O14152">
        <v>470</v>
      </c>
    </row>
    <row r="14153" spans="1:15" x14ac:dyDescent="0.25">
      <c r="A14153" t="s">
        <v>14166</v>
      </c>
      <c r="B14153">
        <v>233</v>
      </c>
      <c r="C14153" s="1" t="str">
        <f>HYPERLINK("http://www.rosaceae.org/gb/gbrowse/malus_x_domestica/?name=MDP0000133792","MDP0000133792")</f>
        <v>MDP0000133792</v>
      </c>
      <c r="D14153">
        <v>41.05</v>
      </c>
      <c r="E14153">
        <v>285</v>
      </c>
      <c r="F14153">
        <v>168</v>
      </c>
      <c r="G14153">
        <v>71</v>
      </c>
      <c r="H14153">
        <v>4</v>
      </c>
      <c r="I14153">
        <v>223</v>
      </c>
      <c r="J14153">
        <v>1</v>
      </c>
      <c r="K14153">
        <v>22</v>
      </c>
      <c r="L14153">
        <v>300</v>
      </c>
      <c r="M14153">
        <v>1</v>
      </c>
      <c r="N14153">
        <v>1.76617E-47</v>
      </c>
      <c r="O14153">
        <v>472</v>
      </c>
    </row>
    <row r="14154" spans="1:15" x14ac:dyDescent="0.25">
      <c r="A14154" t="s">
        <v>14167</v>
      </c>
      <c r="B14154">
        <v>523</v>
      </c>
      <c r="C14154" s="1" t="str">
        <f>HYPERLINK("http://www.rosaceae.org/gb/gbrowse/malus_x_domestica/?name=MDP0000136656","MDP0000136656")</f>
        <v>MDP0000136656</v>
      </c>
      <c r="D14154">
        <v>53.59</v>
      </c>
      <c r="E14154">
        <v>487</v>
      </c>
      <c r="F14154">
        <v>226</v>
      </c>
      <c r="G14154">
        <v>40</v>
      </c>
      <c r="H14154">
        <v>48</v>
      </c>
      <c r="I14154">
        <v>514</v>
      </c>
      <c r="J14154">
        <v>1</v>
      </c>
      <c r="K14154">
        <v>21</v>
      </c>
      <c r="L14154">
        <v>487</v>
      </c>
      <c r="M14154">
        <v>1</v>
      </c>
      <c r="N14154">
        <v>3.6215799999999997E-126</v>
      </c>
      <c r="O14154">
        <v>1155</v>
      </c>
    </row>
    <row r="14155" spans="1:15" x14ac:dyDescent="0.25">
      <c r="A14155" t="s">
        <v>14168</v>
      </c>
      <c r="B14155">
        <v>1008</v>
      </c>
      <c r="C14155" s="1" t="str">
        <f>HYPERLINK("http://www.rosaceae.org/gb/gbrowse/malus_x_domestica/?name=MDP0000298511","MDP0000298511")</f>
        <v>MDP0000298511</v>
      </c>
      <c r="D14155">
        <v>64.44</v>
      </c>
      <c r="E14155">
        <v>1021</v>
      </c>
      <c r="F14155">
        <v>363</v>
      </c>
      <c r="G14155">
        <v>49</v>
      </c>
      <c r="H14155">
        <v>35</v>
      </c>
      <c r="I14155">
        <v>1007</v>
      </c>
      <c r="J14155">
        <v>1</v>
      </c>
      <c r="K14155">
        <v>43</v>
      </c>
      <c r="L14155">
        <v>1062</v>
      </c>
      <c r="M14155">
        <v>1</v>
      </c>
      <c r="N14155">
        <v>0</v>
      </c>
      <c r="O14155">
        <v>3309</v>
      </c>
    </row>
    <row r="14156" spans="1:15" x14ac:dyDescent="0.25">
      <c r="A14156" t="s">
        <v>14169</v>
      </c>
      <c r="B14156">
        <v>1119</v>
      </c>
      <c r="C14156" s="1" t="str">
        <f>HYPERLINK("http://www.rosaceae.org/gb/gbrowse/malus_x_domestica/?name=MDP0000149868","MDP0000149868")</f>
        <v>MDP0000149868</v>
      </c>
      <c r="D14156">
        <v>80.08</v>
      </c>
      <c r="E14156">
        <v>919</v>
      </c>
      <c r="F14156">
        <v>183</v>
      </c>
      <c r="G14156">
        <v>60</v>
      </c>
      <c r="H14156">
        <v>202</v>
      </c>
      <c r="I14156">
        <v>1119</v>
      </c>
      <c r="J14156">
        <v>1</v>
      </c>
      <c r="K14156">
        <v>194</v>
      </c>
      <c r="L14156">
        <v>1053</v>
      </c>
      <c r="M14156">
        <v>1</v>
      </c>
      <c r="N14156">
        <v>0</v>
      </c>
      <c r="O14156">
        <v>3895</v>
      </c>
    </row>
    <row r="14157" spans="1:15" x14ac:dyDescent="0.25">
      <c r="A14157" t="s">
        <v>14170</v>
      </c>
      <c r="B14157">
        <v>217</v>
      </c>
      <c r="C14157" s="1" t="str">
        <f>HYPERLINK("http://www.rosaceae.org/gb/gbrowse/malus_x_domestica/?name=MDP0000262802","MDP0000262802")</f>
        <v>MDP0000262802</v>
      </c>
      <c r="D14157">
        <v>64.91</v>
      </c>
      <c r="E14157">
        <v>57</v>
      </c>
      <c r="F14157">
        <v>20</v>
      </c>
      <c r="G14157">
        <v>0</v>
      </c>
      <c r="H14157">
        <v>96</v>
      </c>
      <c r="I14157">
        <v>152</v>
      </c>
      <c r="J14157">
        <v>1</v>
      </c>
      <c r="K14157">
        <v>124</v>
      </c>
      <c r="L14157">
        <v>180</v>
      </c>
      <c r="M14157">
        <v>1</v>
      </c>
      <c r="N14157">
        <v>6.5531599999999997E-17</v>
      </c>
      <c r="O14157">
        <v>208</v>
      </c>
    </row>
    <row r="14158" spans="1:15" x14ac:dyDescent="0.25">
      <c r="A14158" t="s">
        <v>14171</v>
      </c>
      <c r="B14158">
        <v>740</v>
      </c>
      <c r="C14158" s="1" t="str">
        <f>HYPERLINK("http://www.rosaceae.org/gb/gbrowse/malus_x_domestica/?name=MDP0000189406","MDP0000189406")</f>
        <v>MDP0000189406</v>
      </c>
      <c r="D14158">
        <v>47.44</v>
      </c>
      <c r="E14158">
        <v>274</v>
      </c>
      <c r="F14158">
        <v>144</v>
      </c>
      <c r="G14158">
        <v>36</v>
      </c>
      <c r="H14158">
        <v>46</v>
      </c>
      <c r="I14158">
        <v>284</v>
      </c>
      <c r="J14158">
        <v>1</v>
      </c>
      <c r="K14158">
        <v>1</v>
      </c>
      <c r="L14158">
        <v>273</v>
      </c>
      <c r="M14158">
        <v>1</v>
      </c>
      <c r="N14158">
        <v>1.7082499999999999E-55</v>
      </c>
      <c r="O14158">
        <v>547</v>
      </c>
    </row>
    <row r="14159" spans="1:15" x14ac:dyDescent="0.25">
      <c r="A14159" t="s">
        <v>14172</v>
      </c>
      <c r="B14159">
        <v>455</v>
      </c>
      <c r="C14159" s="1" t="str">
        <f>HYPERLINK("http://www.rosaceae.org/gb/gbrowse/malus_x_domestica/?name=MDP0000232543","MDP0000232543")</f>
        <v>MDP0000232543</v>
      </c>
      <c r="D14159">
        <v>70.41</v>
      </c>
      <c r="E14159">
        <v>382</v>
      </c>
      <c r="F14159">
        <v>113</v>
      </c>
      <c r="G14159">
        <v>3</v>
      </c>
      <c r="H14159">
        <v>70</v>
      </c>
      <c r="I14159">
        <v>450</v>
      </c>
      <c r="J14159">
        <v>1</v>
      </c>
      <c r="K14159">
        <v>70</v>
      </c>
      <c r="L14159">
        <v>449</v>
      </c>
      <c r="M14159">
        <v>1</v>
      </c>
      <c r="N14159">
        <v>8.21294E-161</v>
      </c>
      <c r="O14159">
        <v>1453</v>
      </c>
    </row>
    <row r="14160" spans="1:15" x14ac:dyDescent="0.25">
      <c r="A14160" t="s">
        <v>14173</v>
      </c>
      <c r="B14160">
        <v>679</v>
      </c>
      <c r="C14160" s="1" t="str">
        <f>HYPERLINK("http://www.rosaceae.org/gb/gbrowse/malus_x_domestica/?name=MDP0000184478","MDP0000184478")</f>
        <v>MDP0000184478</v>
      </c>
      <c r="D14160">
        <v>67.78</v>
      </c>
      <c r="E14160">
        <v>627</v>
      </c>
      <c r="F14160">
        <v>202</v>
      </c>
      <c r="G14160">
        <v>36</v>
      </c>
      <c r="H14160">
        <v>89</v>
      </c>
      <c r="I14160">
        <v>679</v>
      </c>
      <c r="J14160">
        <v>1</v>
      </c>
      <c r="K14160">
        <v>253</v>
      </c>
      <c r="L14160">
        <v>879</v>
      </c>
      <c r="M14160">
        <v>1</v>
      </c>
      <c r="N14160">
        <v>0</v>
      </c>
      <c r="O14160">
        <v>2145</v>
      </c>
    </row>
    <row r="14161" spans="1:15" x14ac:dyDescent="0.25">
      <c r="A14161" t="s">
        <v>14174</v>
      </c>
      <c r="B14161">
        <v>432</v>
      </c>
      <c r="C14161" s="1" t="str">
        <f>HYPERLINK("http://www.rosaceae.org/gb/gbrowse/malus_x_domestica/?name=MDP0000126549","MDP0000126549")</f>
        <v>MDP0000126549</v>
      </c>
      <c r="D14161">
        <v>62.75</v>
      </c>
      <c r="E14161">
        <v>196</v>
      </c>
      <c r="F14161">
        <v>73</v>
      </c>
      <c r="G14161">
        <v>18</v>
      </c>
      <c r="H14161">
        <v>1</v>
      </c>
      <c r="I14161">
        <v>189</v>
      </c>
      <c r="J14161">
        <v>1</v>
      </c>
      <c r="K14161">
        <v>1</v>
      </c>
      <c r="L14161">
        <v>185</v>
      </c>
      <c r="M14161">
        <v>1</v>
      </c>
      <c r="N14161">
        <v>1.0747699999999999E-56</v>
      </c>
      <c r="O14161">
        <v>555</v>
      </c>
    </row>
    <row r="14162" spans="1:15" x14ac:dyDescent="0.25">
      <c r="A14162" t="s">
        <v>14175</v>
      </c>
      <c r="B14162">
        <v>773</v>
      </c>
      <c r="C14162" s="1" t="str">
        <f>HYPERLINK("http://www.rosaceae.org/gb/gbrowse/malus_x_domestica/?name=MDP0000840574","MDP0000840574")</f>
        <v>MDP0000840574</v>
      </c>
      <c r="D14162">
        <v>86.13</v>
      </c>
      <c r="E14162">
        <v>685</v>
      </c>
      <c r="F14162">
        <v>95</v>
      </c>
      <c r="G14162">
        <v>5</v>
      </c>
      <c r="H14162">
        <v>18</v>
      </c>
      <c r="I14162">
        <v>702</v>
      </c>
      <c r="J14162">
        <v>1</v>
      </c>
      <c r="K14162">
        <v>24</v>
      </c>
      <c r="L14162">
        <v>703</v>
      </c>
      <c r="M14162">
        <v>1</v>
      </c>
      <c r="N14162">
        <v>0</v>
      </c>
      <c r="O14162">
        <v>3179</v>
      </c>
    </row>
    <row r="14163" spans="1:15" x14ac:dyDescent="0.25">
      <c r="A14163" t="s">
        <v>14176</v>
      </c>
      <c r="B14163">
        <v>317</v>
      </c>
      <c r="C14163" s="1" t="str">
        <f>HYPERLINK("http://www.rosaceae.org/gb/gbrowse/malus_x_domestica/?name=MDP0000171612","MDP0000171612")</f>
        <v>MDP0000171612</v>
      </c>
      <c r="D14163">
        <v>50.43</v>
      </c>
      <c r="E14163">
        <v>228</v>
      </c>
      <c r="F14163">
        <v>113</v>
      </c>
      <c r="G14163">
        <v>2</v>
      </c>
      <c r="H14163">
        <v>53</v>
      </c>
      <c r="I14163">
        <v>278</v>
      </c>
      <c r="J14163">
        <v>1</v>
      </c>
      <c r="K14163">
        <v>31</v>
      </c>
      <c r="L14163">
        <v>258</v>
      </c>
      <c r="M14163">
        <v>1</v>
      </c>
      <c r="N14163">
        <v>1.17398E-65</v>
      </c>
      <c r="O14163">
        <v>630</v>
      </c>
    </row>
    <row r="14164" spans="1:15" x14ac:dyDescent="0.25">
      <c r="A14164" t="s">
        <v>14177</v>
      </c>
      <c r="B14164">
        <v>607</v>
      </c>
      <c r="C14164" s="1" t="str">
        <f>HYPERLINK("http://www.rosaceae.org/gb/gbrowse/malus_x_domestica/?name=MDP0000306344","MDP0000306344")</f>
        <v>MDP0000306344</v>
      </c>
      <c r="D14164">
        <v>69.569999999999993</v>
      </c>
      <c r="E14164">
        <v>618</v>
      </c>
      <c r="F14164">
        <v>188</v>
      </c>
      <c r="G14164">
        <v>31</v>
      </c>
      <c r="H14164">
        <v>16</v>
      </c>
      <c r="I14164">
        <v>603</v>
      </c>
      <c r="J14164">
        <v>1</v>
      </c>
      <c r="K14164">
        <v>28</v>
      </c>
      <c r="L14164">
        <v>644</v>
      </c>
      <c r="M14164">
        <v>1</v>
      </c>
      <c r="N14164">
        <v>0</v>
      </c>
      <c r="O14164">
        <v>2215</v>
      </c>
    </row>
    <row r="14165" spans="1:15" x14ac:dyDescent="0.25">
      <c r="A14165" t="s">
        <v>14178</v>
      </c>
      <c r="B14165">
        <v>485</v>
      </c>
      <c r="C14165" s="1" t="str">
        <f>HYPERLINK("http://www.rosaceae.org/gb/gbrowse/malus_x_domestica/?name=MDP0000388090","MDP0000388090")</f>
        <v>MDP0000388090</v>
      </c>
      <c r="D14165">
        <v>85.29</v>
      </c>
      <c r="E14165">
        <v>408</v>
      </c>
      <c r="F14165">
        <v>60</v>
      </c>
      <c r="G14165">
        <v>4</v>
      </c>
      <c r="H14165">
        <v>81</v>
      </c>
      <c r="I14165">
        <v>485</v>
      </c>
      <c r="J14165">
        <v>1</v>
      </c>
      <c r="K14165">
        <v>1</v>
      </c>
      <c r="L14165">
        <v>407</v>
      </c>
      <c r="M14165">
        <v>1</v>
      </c>
      <c r="N14165">
        <v>0</v>
      </c>
      <c r="O14165">
        <v>1819</v>
      </c>
    </row>
    <row r="14166" spans="1:15" x14ac:dyDescent="0.25">
      <c r="A14166" t="s">
        <v>14179</v>
      </c>
      <c r="B14166">
        <v>316</v>
      </c>
      <c r="C14166" s="1" t="str">
        <f>HYPERLINK("http://www.rosaceae.org/gb/gbrowse/malus_x_domestica/?name=MDP0000465581","MDP0000465581")</f>
        <v>MDP0000465581</v>
      </c>
      <c r="D14166">
        <v>87.68</v>
      </c>
      <c r="E14166">
        <v>268</v>
      </c>
      <c r="F14166">
        <v>33</v>
      </c>
      <c r="G14166">
        <v>0</v>
      </c>
      <c r="H14166">
        <v>49</v>
      </c>
      <c r="I14166">
        <v>316</v>
      </c>
      <c r="J14166">
        <v>1</v>
      </c>
      <c r="K14166">
        <v>5</v>
      </c>
      <c r="L14166">
        <v>272</v>
      </c>
      <c r="M14166">
        <v>1</v>
      </c>
      <c r="N14166">
        <v>1.11477E-141</v>
      </c>
      <c r="O14166">
        <v>1286</v>
      </c>
    </row>
    <row r="14167" spans="1:15" x14ac:dyDescent="0.25">
      <c r="A14167" t="s">
        <v>14180</v>
      </c>
      <c r="B14167">
        <v>748</v>
      </c>
      <c r="C14167" s="1" t="str">
        <f>HYPERLINK("http://www.rosaceae.org/gb/gbrowse/malus_x_domestica/?name=MDP0000170095","MDP0000170095")</f>
        <v>MDP0000170095</v>
      </c>
      <c r="D14167">
        <v>73.08</v>
      </c>
      <c r="E14167">
        <v>743</v>
      </c>
      <c r="F14167">
        <v>200</v>
      </c>
      <c r="G14167">
        <v>32</v>
      </c>
      <c r="H14167">
        <v>1</v>
      </c>
      <c r="I14167">
        <v>715</v>
      </c>
      <c r="J14167">
        <v>1</v>
      </c>
      <c r="K14167">
        <v>1156</v>
      </c>
      <c r="L14167">
        <v>1894</v>
      </c>
      <c r="M14167">
        <v>1</v>
      </c>
      <c r="N14167">
        <v>0</v>
      </c>
      <c r="O14167">
        <v>2877</v>
      </c>
    </row>
    <row r="14168" spans="1:15" x14ac:dyDescent="0.25">
      <c r="A14168" t="s">
        <v>14181</v>
      </c>
      <c r="B14168">
        <v>241</v>
      </c>
      <c r="C14168" s="1" t="str">
        <f>HYPERLINK("http://www.rosaceae.org/gb/gbrowse/malus_x_domestica/?name=MDP0000214729","MDP0000214729")</f>
        <v>MDP0000214729</v>
      </c>
      <c r="D14168">
        <v>35.33</v>
      </c>
      <c r="E14168">
        <v>283</v>
      </c>
      <c r="F14168">
        <v>183</v>
      </c>
      <c r="G14168">
        <v>57</v>
      </c>
      <c r="H14168">
        <v>1</v>
      </c>
      <c r="I14168">
        <v>226</v>
      </c>
      <c r="J14168">
        <v>1</v>
      </c>
      <c r="K14168">
        <v>1</v>
      </c>
      <c r="L14168">
        <v>283</v>
      </c>
      <c r="M14168">
        <v>1</v>
      </c>
      <c r="N14168">
        <v>5.6824999999999996E-37</v>
      </c>
      <c r="O14168">
        <v>382</v>
      </c>
    </row>
    <row r="14169" spans="1:15" x14ac:dyDescent="0.25">
      <c r="A14169" t="s">
        <v>14182</v>
      </c>
      <c r="B14169">
        <v>185</v>
      </c>
      <c r="C14169" s="1" t="str">
        <f>HYPERLINK("http://www.rosaceae.org/gb/gbrowse/malus_x_domestica/?name=MDP0000670699","MDP0000670699")</f>
        <v>MDP0000670699</v>
      </c>
      <c r="D14169">
        <v>74.61</v>
      </c>
      <c r="E14169">
        <v>197</v>
      </c>
      <c r="F14169">
        <v>50</v>
      </c>
      <c r="G14169">
        <v>21</v>
      </c>
      <c r="H14169">
        <v>1</v>
      </c>
      <c r="I14169">
        <v>185</v>
      </c>
      <c r="J14169">
        <v>1</v>
      </c>
      <c r="K14169">
        <v>1</v>
      </c>
      <c r="L14169">
        <v>188</v>
      </c>
      <c r="M14169">
        <v>1</v>
      </c>
      <c r="N14169">
        <v>4.7579000000000001E-77</v>
      </c>
      <c r="O14169">
        <v>725</v>
      </c>
    </row>
    <row r="14170" spans="1:15" x14ac:dyDescent="0.25">
      <c r="A14170" t="s">
        <v>14183</v>
      </c>
      <c r="B14170">
        <v>1426</v>
      </c>
      <c r="C14170" s="1" t="str">
        <f>HYPERLINK("http://www.rosaceae.org/gb/gbrowse/malus_x_domestica/?name=MDP0000213552","MDP0000213552")</f>
        <v>MDP0000213552</v>
      </c>
      <c r="D14170">
        <v>51.66</v>
      </c>
      <c r="E14170">
        <v>871</v>
      </c>
      <c r="F14170">
        <v>421</v>
      </c>
      <c r="G14170">
        <v>29</v>
      </c>
      <c r="H14170">
        <v>2</v>
      </c>
      <c r="I14170">
        <v>852</v>
      </c>
      <c r="J14170">
        <v>1</v>
      </c>
      <c r="K14170">
        <v>3</v>
      </c>
      <c r="L14170">
        <v>864</v>
      </c>
      <c r="M14170">
        <v>1</v>
      </c>
      <c r="N14170">
        <v>0</v>
      </c>
      <c r="O14170">
        <v>2145</v>
      </c>
    </row>
    <row r="14171" spans="1:15" x14ac:dyDescent="0.25">
      <c r="A14171" t="s">
        <v>14184</v>
      </c>
      <c r="B14171">
        <v>90</v>
      </c>
      <c r="C14171" s="1" t="str">
        <f>HYPERLINK("http://www.rosaceae.org/gb/gbrowse/malus_x_domestica/?name=MDP0000171612","MDP0000171612")</f>
        <v>MDP0000171612</v>
      </c>
      <c r="D14171">
        <v>40.9</v>
      </c>
      <c r="E14171">
        <v>66</v>
      </c>
      <c r="F14171">
        <v>39</v>
      </c>
      <c r="G14171">
        <v>3</v>
      </c>
      <c r="H14171">
        <v>14</v>
      </c>
      <c r="I14171">
        <v>76</v>
      </c>
      <c r="J14171">
        <v>1</v>
      </c>
      <c r="K14171">
        <v>46</v>
      </c>
      <c r="L14171">
        <v>111</v>
      </c>
      <c r="M14171">
        <v>1</v>
      </c>
      <c r="N14171">
        <v>9.8761799999999997E-8</v>
      </c>
      <c r="O14171">
        <v>124</v>
      </c>
    </row>
    <row r="14172" spans="1:15" x14ac:dyDescent="0.25">
      <c r="A14172" t="s">
        <v>14185</v>
      </c>
      <c r="B14172">
        <v>450</v>
      </c>
      <c r="C14172" s="1" t="str">
        <f>HYPERLINK("http://www.rosaceae.org/gb/gbrowse/malus_x_domestica/?name=MDP0000389735","MDP0000389735")</f>
        <v>MDP0000389735</v>
      </c>
      <c r="D14172">
        <v>68.040000000000006</v>
      </c>
      <c r="E14172">
        <v>388</v>
      </c>
      <c r="F14172">
        <v>124</v>
      </c>
      <c r="G14172">
        <v>6</v>
      </c>
      <c r="H14172">
        <v>31</v>
      </c>
      <c r="I14172">
        <v>412</v>
      </c>
      <c r="J14172">
        <v>1</v>
      </c>
      <c r="K14172">
        <v>31</v>
      </c>
      <c r="L14172">
        <v>418</v>
      </c>
      <c r="M14172">
        <v>1</v>
      </c>
      <c r="N14172">
        <v>1.11959E-135</v>
      </c>
      <c r="O14172">
        <v>1236</v>
      </c>
    </row>
    <row r="14173" spans="1:15" x14ac:dyDescent="0.25">
      <c r="A14173" t="s">
        <v>14186</v>
      </c>
      <c r="B14173">
        <v>678</v>
      </c>
      <c r="C14173" s="1" t="str">
        <f>HYPERLINK("http://www.rosaceae.org/gb/gbrowse/malus_x_domestica/?name=MDP0000308750","MDP0000308750")</f>
        <v>MDP0000308750</v>
      </c>
      <c r="D14173">
        <v>76.48</v>
      </c>
      <c r="E14173">
        <v>489</v>
      </c>
      <c r="F14173">
        <v>115</v>
      </c>
      <c r="G14173">
        <v>37</v>
      </c>
      <c r="H14173">
        <v>45</v>
      </c>
      <c r="I14173">
        <v>532</v>
      </c>
      <c r="J14173">
        <v>1</v>
      </c>
      <c r="K14173">
        <v>50</v>
      </c>
      <c r="L14173">
        <v>502</v>
      </c>
      <c r="M14173">
        <v>1</v>
      </c>
      <c r="N14173">
        <v>0</v>
      </c>
      <c r="O14173">
        <v>1974</v>
      </c>
    </row>
    <row r="14174" spans="1:15" x14ac:dyDescent="0.25">
      <c r="A14174" t="s">
        <v>14187</v>
      </c>
      <c r="B14174">
        <v>619</v>
      </c>
      <c r="C14174" s="1" t="str">
        <f>HYPERLINK("http://www.rosaceae.org/gb/gbrowse/malus_x_domestica/?name=MDP0000270835","MDP0000270835")</f>
        <v>MDP0000270835</v>
      </c>
      <c r="D14174">
        <v>43.26</v>
      </c>
      <c r="E14174">
        <v>460</v>
      </c>
      <c r="F14174">
        <v>261</v>
      </c>
      <c r="G14174">
        <v>16</v>
      </c>
      <c r="H14174">
        <v>161</v>
      </c>
      <c r="I14174">
        <v>612</v>
      </c>
      <c r="J14174">
        <v>1</v>
      </c>
      <c r="K14174">
        <v>59</v>
      </c>
      <c r="L14174">
        <v>510</v>
      </c>
      <c r="M14174">
        <v>1</v>
      </c>
      <c r="N14174">
        <v>6.9999500000000001E-105</v>
      </c>
      <c r="O14174">
        <v>972</v>
      </c>
    </row>
    <row r="14175" spans="1:15" x14ac:dyDescent="0.25">
      <c r="A14175" t="s">
        <v>14188</v>
      </c>
      <c r="B14175">
        <v>1002</v>
      </c>
      <c r="C14175" s="1" t="str">
        <f>HYPERLINK("http://www.rosaceae.org/gb/gbrowse/malus_x_domestica/?name=MDP0000235045","MDP0000235045")</f>
        <v>MDP0000235045</v>
      </c>
      <c r="D14175">
        <v>87.25</v>
      </c>
      <c r="E14175">
        <v>620</v>
      </c>
      <c r="F14175">
        <v>79</v>
      </c>
      <c r="G14175">
        <v>0</v>
      </c>
      <c r="H14175">
        <v>1</v>
      </c>
      <c r="I14175">
        <v>620</v>
      </c>
      <c r="J14175">
        <v>1</v>
      </c>
      <c r="K14175">
        <v>1</v>
      </c>
      <c r="L14175">
        <v>620</v>
      </c>
      <c r="M14175">
        <v>1</v>
      </c>
      <c r="N14175">
        <v>0</v>
      </c>
      <c r="O14175">
        <v>2878</v>
      </c>
    </row>
    <row r="14176" spans="1:15" x14ac:dyDescent="0.25">
      <c r="A14176" t="s">
        <v>14189</v>
      </c>
      <c r="B14176">
        <v>392</v>
      </c>
      <c r="C14176" s="1" t="str">
        <f>HYPERLINK("http://www.rosaceae.org/gb/gbrowse/malus_x_domestica/?name=MDP0000320612","MDP0000320612")</f>
        <v>MDP0000320612</v>
      </c>
      <c r="D14176">
        <v>75.400000000000006</v>
      </c>
      <c r="E14176">
        <v>435</v>
      </c>
      <c r="F14176">
        <v>107</v>
      </c>
      <c r="G14176">
        <v>43</v>
      </c>
      <c r="H14176">
        <v>1</v>
      </c>
      <c r="I14176">
        <v>392</v>
      </c>
      <c r="J14176">
        <v>1</v>
      </c>
      <c r="K14176">
        <v>1</v>
      </c>
      <c r="L14176">
        <v>435</v>
      </c>
      <c r="M14176">
        <v>1</v>
      </c>
      <c r="N14176">
        <v>2.7121900000000002E-178</v>
      </c>
      <c r="O14176">
        <v>1603</v>
      </c>
    </row>
    <row r="14177" spans="1:15" x14ac:dyDescent="0.25">
      <c r="A14177" t="s">
        <v>14190</v>
      </c>
      <c r="B14177">
        <v>531</v>
      </c>
      <c r="C14177" s="1" t="str">
        <f>HYPERLINK("http://www.rosaceae.org/gb/gbrowse/malus_x_domestica/?name=MDP0000237182","MDP0000237182")</f>
        <v>MDP0000237182</v>
      </c>
      <c r="D14177">
        <v>32.799999999999997</v>
      </c>
      <c r="E14177">
        <v>250</v>
      </c>
      <c r="F14177">
        <v>168</v>
      </c>
      <c r="G14177">
        <v>8</v>
      </c>
      <c r="H14177">
        <v>58</v>
      </c>
      <c r="I14177">
        <v>303</v>
      </c>
      <c r="J14177">
        <v>1</v>
      </c>
      <c r="K14177">
        <v>267</v>
      </c>
      <c r="L14177">
        <v>512</v>
      </c>
      <c r="M14177">
        <v>1</v>
      </c>
      <c r="N14177">
        <v>3.0039199999999999E-31</v>
      </c>
      <c r="O14177">
        <v>336</v>
      </c>
    </row>
    <row r="14178" spans="1:15" x14ac:dyDescent="0.25">
      <c r="A14178" t="s">
        <v>14191</v>
      </c>
      <c r="B14178">
        <v>765</v>
      </c>
      <c r="C14178" s="1" t="str">
        <f>HYPERLINK("http://www.rosaceae.org/gb/gbrowse/malus_x_domestica/?name=MDP0000232976","MDP0000232976")</f>
        <v>MDP0000232976</v>
      </c>
      <c r="D14178">
        <v>66.42</v>
      </c>
      <c r="E14178">
        <v>813</v>
      </c>
      <c r="F14178">
        <v>273</v>
      </c>
      <c r="G14178">
        <v>155</v>
      </c>
      <c r="H14178">
        <v>95</v>
      </c>
      <c r="I14178">
        <v>761</v>
      </c>
      <c r="J14178">
        <v>1</v>
      </c>
      <c r="K14178">
        <v>596</v>
      </c>
      <c r="L14178">
        <v>1399</v>
      </c>
      <c r="M14178">
        <v>1</v>
      </c>
      <c r="N14178">
        <v>0</v>
      </c>
      <c r="O14178">
        <v>2691</v>
      </c>
    </row>
    <row r="14179" spans="1:15" x14ac:dyDescent="0.25">
      <c r="A14179" t="s">
        <v>14192</v>
      </c>
      <c r="B14179">
        <v>220</v>
      </c>
      <c r="C14179" s="1" t="str">
        <f>HYPERLINK("http://www.rosaceae.org/gb/gbrowse/malus_x_domestica/?name=MDP0000406379","MDP0000406379")</f>
        <v>MDP0000406379</v>
      </c>
      <c r="D14179">
        <v>40.1</v>
      </c>
      <c r="E14179">
        <v>187</v>
      </c>
      <c r="F14179">
        <v>112</v>
      </c>
      <c r="G14179">
        <v>59</v>
      </c>
      <c r="H14179">
        <v>90</v>
      </c>
      <c r="I14179">
        <v>220</v>
      </c>
      <c r="J14179">
        <v>1</v>
      </c>
      <c r="K14179">
        <v>220</v>
      </c>
      <c r="L14179">
        <v>403</v>
      </c>
      <c r="M14179">
        <v>1</v>
      </c>
      <c r="N14179">
        <v>1.1252900000000001E-22</v>
      </c>
      <c r="O14179">
        <v>258</v>
      </c>
    </row>
    <row r="14180" spans="1:15" x14ac:dyDescent="0.25">
      <c r="A14180" t="s">
        <v>14193</v>
      </c>
      <c r="B14180">
        <v>301</v>
      </c>
      <c r="C14180" s="1" t="str">
        <f>HYPERLINK("http://www.rosaceae.org/gb/gbrowse/malus_x_domestica/?name=MDP0000132723","MDP0000132723")</f>
        <v>MDP0000132723</v>
      </c>
      <c r="D14180">
        <v>84.28</v>
      </c>
      <c r="E14180">
        <v>280</v>
      </c>
      <c r="F14180">
        <v>44</v>
      </c>
      <c r="G14180">
        <v>5</v>
      </c>
      <c r="H14180">
        <v>22</v>
      </c>
      <c r="I14180">
        <v>301</v>
      </c>
      <c r="J14180">
        <v>1</v>
      </c>
      <c r="K14180">
        <v>14</v>
      </c>
      <c r="L14180">
        <v>288</v>
      </c>
      <c r="M14180">
        <v>1</v>
      </c>
      <c r="N14180">
        <v>8.01251E-137</v>
      </c>
      <c r="O14180">
        <v>1244</v>
      </c>
    </row>
    <row r="14181" spans="1:15" x14ac:dyDescent="0.25">
      <c r="A14181" t="s">
        <v>14194</v>
      </c>
      <c r="B14181">
        <v>861</v>
      </c>
      <c r="C14181" s="1" t="str">
        <f>HYPERLINK("http://www.rosaceae.org/gb/gbrowse/malus_x_domestica/?name=MDP0000950533","MDP0000950533")</f>
        <v>MDP0000950533</v>
      </c>
      <c r="D14181">
        <v>63.52</v>
      </c>
      <c r="E14181">
        <v>573</v>
      </c>
      <c r="F14181">
        <v>209</v>
      </c>
      <c r="G14181">
        <v>34</v>
      </c>
      <c r="H14181">
        <v>120</v>
      </c>
      <c r="I14181">
        <v>670</v>
      </c>
      <c r="J14181">
        <v>1</v>
      </c>
      <c r="K14181">
        <v>458</v>
      </c>
      <c r="L14181">
        <v>1018</v>
      </c>
      <c r="M14181">
        <v>1</v>
      </c>
      <c r="N14181">
        <v>0</v>
      </c>
      <c r="O14181">
        <v>1702</v>
      </c>
    </row>
    <row r="14182" spans="1:15" x14ac:dyDescent="0.25">
      <c r="A14182" t="s">
        <v>14195</v>
      </c>
      <c r="B14182">
        <v>465</v>
      </c>
      <c r="C14182" s="1" t="str">
        <f>HYPERLINK("http://www.rosaceae.org/gb/gbrowse/malus_x_domestica/?name=MDP0000256036","MDP0000256036")</f>
        <v>MDP0000256036</v>
      </c>
      <c r="D14182">
        <v>82.18</v>
      </c>
      <c r="E14182">
        <v>466</v>
      </c>
      <c r="F14182">
        <v>83</v>
      </c>
      <c r="G14182">
        <v>9</v>
      </c>
      <c r="H14182">
        <v>1</v>
      </c>
      <c r="I14182">
        <v>464</v>
      </c>
      <c r="J14182">
        <v>1</v>
      </c>
      <c r="K14182">
        <v>1</v>
      </c>
      <c r="L14182">
        <v>459</v>
      </c>
      <c r="M14182">
        <v>1</v>
      </c>
      <c r="N14182">
        <v>0</v>
      </c>
      <c r="O14182">
        <v>2019</v>
      </c>
    </row>
    <row r="14183" spans="1:15" x14ac:dyDescent="0.25">
      <c r="A14183" t="s">
        <v>14196</v>
      </c>
      <c r="B14183">
        <v>517</v>
      </c>
      <c r="C14183" s="1" t="str">
        <f>HYPERLINK("http://www.rosaceae.org/gb/gbrowse/malus_x_domestica/?name=MDP0000212751","MDP0000212751")</f>
        <v>MDP0000212751</v>
      </c>
      <c r="D14183">
        <v>64.36</v>
      </c>
      <c r="E14183">
        <v>362</v>
      </c>
      <c r="F14183">
        <v>129</v>
      </c>
      <c r="G14183">
        <v>45</v>
      </c>
      <c r="H14183">
        <v>184</v>
      </c>
      <c r="I14183">
        <v>517</v>
      </c>
      <c r="J14183">
        <v>1</v>
      </c>
      <c r="K14183">
        <v>105</v>
      </c>
      <c r="L14183">
        <v>449</v>
      </c>
      <c r="M14183">
        <v>1</v>
      </c>
      <c r="N14183">
        <v>5.6379099999999998E-132</v>
      </c>
      <c r="O14183">
        <v>1205</v>
      </c>
    </row>
    <row r="14184" spans="1:15" x14ac:dyDescent="0.25">
      <c r="A14184" t="s">
        <v>14197</v>
      </c>
      <c r="B14184">
        <v>386</v>
      </c>
      <c r="C14184" s="1" t="str">
        <f>HYPERLINK("http://www.rosaceae.org/gb/gbrowse/malus_x_domestica/?name=MDP0000307091","MDP0000307091")</f>
        <v>MDP0000307091</v>
      </c>
      <c r="D14184">
        <v>82.15</v>
      </c>
      <c r="E14184">
        <v>353</v>
      </c>
      <c r="F14184">
        <v>63</v>
      </c>
      <c r="G14184">
        <v>9</v>
      </c>
      <c r="H14184">
        <v>43</v>
      </c>
      <c r="I14184">
        <v>386</v>
      </c>
      <c r="J14184">
        <v>1</v>
      </c>
      <c r="K14184">
        <v>40</v>
      </c>
      <c r="L14184">
        <v>392</v>
      </c>
      <c r="M14184">
        <v>1</v>
      </c>
      <c r="N14184">
        <v>1.9756399999999999E-162</v>
      </c>
      <c r="O14184">
        <v>1466</v>
      </c>
    </row>
    <row r="14185" spans="1:15" x14ac:dyDescent="0.25">
      <c r="A14185" t="s">
        <v>14198</v>
      </c>
      <c r="B14185">
        <v>696</v>
      </c>
      <c r="C14185" s="1" t="str">
        <f>HYPERLINK("http://www.rosaceae.org/gb/gbrowse/malus_x_domestica/?name=MDP0000252998","MDP0000252998")</f>
        <v>MDP0000252998</v>
      </c>
      <c r="D14185">
        <v>70.05</v>
      </c>
      <c r="E14185">
        <v>698</v>
      </c>
      <c r="F14185">
        <v>209</v>
      </c>
      <c r="G14185">
        <v>23</v>
      </c>
      <c r="H14185">
        <v>1</v>
      </c>
      <c r="I14185">
        <v>692</v>
      </c>
      <c r="J14185">
        <v>1</v>
      </c>
      <c r="K14185">
        <v>1</v>
      </c>
      <c r="L14185">
        <v>681</v>
      </c>
      <c r="M14185">
        <v>1</v>
      </c>
      <c r="N14185">
        <v>0</v>
      </c>
      <c r="O14185">
        <v>2553</v>
      </c>
    </row>
    <row r="14186" spans="1:15" x14ac:dyDescent="0.25">
      <c r="A14186" t="s">
        <v>14199</v>
      </c>
      <c r="B14186">
        <v>424</v>
      </c>
      <c r="C14186" s="1" t="str">
        <f>HYPERLINK("http://www.rosaceae.org/gb/gbrowse/malus_x_domestica/?name=MDP0000126058","MDP0000126058")</f>
        <v>MDP0000126058</v>
      </c>
      <c r="D14186">
        <v>65.34</v>
      </c>
      <c r="E14186">
        <v>430</v>
      </c>
      <c r="F14186">
        <v>149</v>
      </c>
      <c r="G14186">
        <v>24</v>
      </c>
      <c r="H14186">
        <v>1</v>
      </c>
      <c r="I14186">
        <v>415</v>
      </c>
      <c r="J14186">
        <v>1</v>
      </c>
      <c r="K14186">
        <v>1</v>
      </c>
      <c r="L14186">
        <v>421</v>
      </c>
      <c r="M14186">
        <v>1</v>
      </c>
      <c r="N14186">
        <v>2.5339200000000001E-149</v>
      </c>
      <c r="O14186">
        <v>1353</v>
      </c>
    </row>
    <row r="14187" spans="1:15" x14ac:dyDescent="0.25">
      <c r="A14187" t="s">
        <v>14200</v>
      </c>
      <c r="B14187">
        <v>176</v>
      </c>
      <c r="C14187" s="1" t="str">
        <f>HYPERLINK("http://www.rosaceae.org/gb/gbrowse/malus_x_domestica/?name=MDP0000909475","MDP0000909475")</f>
        <v>MDP0000909475</v>
      </c>
      <c r="D14187">
        <v>77.09</v>
      </c>
      <c r="E14187">
        <v>131</v>
      </c>
      <c r="F14187">
        <v>30</v>
      </c>
      <c r="G14187">
        <v>5</v>
      </c>
      <c r="H14187">
        <v>48</v>
      </c>
      <c r="I14187">
        <v>176</v>
      </c>
      <c r="J14187">
        <v>1</v>
      </c>
      <c r="K14187">
        <v>41</v>
      </c>
      <c r="L14187">
        <v>168</v>
      </c>
      <c r="M14187">
        <v>1</v>
      </c>
      <c r="N14187">
        <v>2.6086400000000001E-51</v>
      </c>
      <c r="O14187">
        <v>503</v>
      </c>
    </row>
    <row r="14188" spans="1:15" x14ac:dyDescent="0.25">
      <c r="A14188" t="s">
        <v>14201</v>
      </c>
      <c r="B14188">
        <v>533</v>
      </c>
      <c r="C14188" s="1" t="str">
        <f>HYPERLINK("http://www.rosaceae.org/gb/gbrowse/malus_x_domestica/?name=MDP0000231375","MDP0000231375")</f>
        <v>MDP0000231375</v>
      </c>
      <c r="D14188">
        <v>81.42</v>
      </c>
      <c r="E14188">
        <v>560</v>
      </c>
      <c r="F14188">
        <v>104</v>
      </c>
      <c r="G14188">
        <v>28</v>
      </c>
      <c r="H14188">
        <v>1</v>
      </c>
      <c r="I14188">
        <v>532</v>
      </c>
      <c r="J14188">
        <v>1</v>
      </c>
      <c r="K14188">
        <v>1</v>
      </c>
      <c r="L14188">
        <v>560</v>
      </c>
      <c r="M14188">
        <v>1</v>
      </c>
      <c r="N14188">
        <v>0</v>
      </c>
      <c r="O14188">
        <v>2404</v>
      </c>
    </row>
    <row r="14189" spans="1:15" x14ac:dyDescent="0.25">
      <c r="A14189" t="s">
        <v>14202</v>
      </c>
      <c r="B14189">
        <v>374</v>
      </c>
      <c r="C14189" s="1" t="str">
        <f>HYPERLINK("http://www.rosaceae.org/gb/gbrowse/malus_x_domestica/?name=MDP0000317557","MDP0000317557")</f>
        <v>MDP0000317557</v>
      </c>
      <c r="D14189">
        <v>51.88</v>
      </c>
      <c r="E14189">
        <v>397</v>
      </c>
      <c r="F14189">
        <v>191</v>
      </c>
      <c r="G14189">
        <v>30</v>
      </c>
      <c r="H14189">
        <v>4</v>
      </c>
      <c r="I14189">
        <v>371</v>
      </c>
      <c r="J14189">
        <v>1</v>
      </c>
      <c r="K14189">
        <v>48</v>
      </c>
      <c r="L14189">
        <v>443</v>
      </c>
      <c r="M14189">
        <v>1</v>
      </c>
      <c r="N14189">
        <v>5.6786999999999998E-111</v>
      </c>
      <c r="O14189">
        <v>1022</v>
      </c>
    </row>
    <row r="14190" spans="1:15" x14ac:dyDescent="0.25">
      <c r="A14190" t="s">
        <v>14203</v>
      </c>
      <c r="B14190">
        <v>625</v>
      </c>
      <c r="C14190" s="1" t="str">
        <f>HYPERLINK("http://www.rosaceae.org/gb/gbrowse/malus_x_domestica/?name=MDP0000237182","MDP0000237182")</f>
        <v>MDP0000237182</v>
      </c>
      <c r="D14190">
        <v>26.96</v>
      </c>
      <c r="E14190">
        <v>204</v>
      </c>
      <c r="F14190">
        <v>149</v>
      </c>
      <c r="G14190">
        <v>18</v>
      </c>
      <c r="H14190">
        <v>5</v>
      </c>
      <c r="I14190">
        <v>190</v>
      </c>
      <c r="J14190">
        <v>1</v>
      </c>
      <c r="K14190">
        <v>272</v>
      </c>
      <c r="L14190">
        <v>475</v>
      </c>
      <c r="M14190">
        <v>1</v>
      </c>
      <c r="N14190">
        <v>3.64753E-14</v>
      </c>
      <c r="O14190">
        <v>190</v>
      </c>
    </row>
    <row r="14191" spans="1:15" x14ac:dyDescent="0.25">
      <c r="A14191" t="s">
        <v>14204</v>
      </c>
      <c r="B14191">
        <v>201</v>
      </c>
      <c r="C14191" s="1" t="str">
        <f>HYPERLINK("http://www.rosaceae.org/gb/gbrowse/malus_x_domestica/?name=MDP0000153655","MDP0000153655")</f>
        <v>MDP0000153655</v>
      </c>
      <c r="D14191">
        <v>62.12</v>
      </c>
      <c r="E14191">
        <v>66</v>
      </c>
      <c r="F14191">
        <v>25</v>
      </c>
      <c r="G14191">
        <v>0</v>
      </c>
      <c r="H14191">
        <v>109</v>
      </c>
      <c r="I14191">
        <v>174</v>
      </c>
      <c r="J14191">
        <v>1</v>
      </c>
      <c r="K14191">
        <v>92</v>
      </c>
      <c r="L14191">
        <v>157</v>
      </c>
      <c r="M14191">
        <v>1</v>
      </c>
      <c r="N14191">
        <v>1.53623E-17</v>
      </c>
      <c r="O14191">
        <v>213</v>
      </c>
    </row>
    <row r="14192" spans="1:15" x14ac:dyDescent="0.25">
      <c r="A14192" t="s">
        <v>14205</v>
      </c>
      <c r="B14192">
        <v>553</v>
      </c>
      <c r="C14192" s="1" t="str">
        <f>HYPERLINK("http://www.rosaceae.org/gb/gbrowse/malus_x_domestica/?name=MDP0000500735","MDP0000500735")</f>
        <v>MDP0000500735</v>
      </c>
      <c r="D14192">
        <v>63.1</v>
      </c>
      <c r="E14192">
        <v>599</v>
      </c>
      <c r="F14192">
        <v>221</v>
      </c>
      <c r="G14192">
        <v>61</v>
      </c>
      <c r="H14192">
        <v>1</v>
      </c>
      <c r="I14192">
        <v>549</v>
      </c>
      <c r="J14192">
        <v>1</v>
      </c>
      <c r="K14192">
        <v>1</v>
      </c>
      <c r="L14192">
        <v>588</v>
      </c>
      <c r="M14192">
        <v>1</v>
      </c>
      <c r="N14192">
        <v>0</v>
      </c>
      <c r="O14192">
        <v>1709</v>
      </c>
    </row>
    <row r="14193" spans="1:15" x14ac:dyDescent="0.25">
      <c r="A14193" t="s">
        <v>14206</v>
      </c>
      <c r="B14193">
        <v>1009</v>
      </c>
      <c r="C14193" s="1" t="str">
        <f>HYPERLINK("http://www.rosaceae.org/gb/gbrowse/malus_x_domestica/?name=MDP0000127640","MDP0000127640")</f>
        <v>MDP0000127640</v>
      </c>
      <c r="D14193">
        <v>39.36</v>
      </c>
      <c r="E14193">
        <v>94</v>
      </c>
      <c r="F14193">
        <v>57</v>
      </c>
      <c r="G14193">
        <v>3</v>
      </c>
      <c r="H14193">
        <v>750</v>
      </c>
      <c r="I14193">
        <v>841</v>
      </c>
      <c r="J14193">
        <v>1</v>
      </c>
      <c r="K14193">
        <v>18</v>
      </c>
      <c r="L14193">
        <v>110</v>
      </c>
      <c r="M14193">
        <v>1</v>
      </c>
      <c r="N14193">
        <v>1.42316E-8</v>
      </c>
      <c r="O14193">
        <v>143</v>
      </c>
    </row>
    <row r="14194" spans="1:15" x14ac:dyDescent="0.25">
      <c r="A14194" t="s">
        <v>14207</v>
      </c>
      <c r="B14194">
        <v>679</v>
      </c>
      <c r="C14194" s="1" t="str">
        <f>HYPERLINK("http://www.rosaceae.org/gb/gbrowse/malus_x_domestica/?name=MDP0000774719","MDP0000774719")</f>
        <v>MDP0000774719</v>
      </c>
      <c r="D14194">
        <v>57.38</v>
      </c>
      <c r="E14194">
        <v>697</v>
      </c>
      <c r="F14194">
        <v>297</v>
      </c>
      <c r="G14194">
        <v>64</v>
      </c>
      <c r="H14194">
        <v>15</v>
      </c>
      <c r="I14194">
        <v>676</v>
      </c>
      <c r="J14194">
        <v>1</v>
      </c>
      <c r="K14194">
        <v>12</v>
      </c>
      <c r="L14194">
        <v>679</v>
      </c>
      <c r="M14194">
        <v>1</v>
      </c>
      <c r="N14194">
        <v>0</v>
      </c>
      <c r="O14194">
        <v>1893</v>
      </c>
    </row>
    <row r="14195" spans="1:15" x14ac:dyDescent="0.25">
      <c r="A14195" t="s">
        <v>14208</v>
      </c>
      <c r="B14195">
        <v>1215</v>
      </c>
      <c r="C14195" s="1" t="str">
        <f>HYPERLINK("http://www.rosaceae.org/gb/gbrowse/malus_x_domestica/?name=MDP0000293437","MDP0000293437")</f>
        <v>MDP0000293437</v>
      </c>
      <c r="D14195">
        <v>69.13</v>
      </c>
      <c r="E14195">
        <v>784</v>
      </c>
      <c r="F14195">
        <v>242</v>
      </c>
      <c r="G14195">
        <v>31</v>
      </c>
      <c r="H14195">
        <v>1</v>
      </c>
      <c r="I14195">
        <v>765</v>
      </c>
      <c r="J14195">
        <v>1</v>
      </c>
      <c r="K14195">
        <v>180</v>
      </c>
      <c r="L14195">
        <v>951</v>
      </c>
      <c r="M14195">
        <v>1</v>
      </c>
      <c r="N14195">
        <v>0</v>
      </c>
      <c r="O14195">
        <v>2663</v>
      </c>
    </row>
    <row r="14196" spans="1:15" x14ac:dyDescent="0.25">
      <c r="A14196" t="s">
        <v>14209</v>
      </c>
      <c r="B14196">
        <v>501</v>
      </c>
      <c r="C14196" s="1" t="str">
        <f>HYPERLINK("http://www.rosaceae.org/gb/gbrowse/malus_x_domestica/?name=MDP0000422455","MDP0000422455")</f>
        <v>MDP0000422455</v>
      </c>
      <c r="D14196">
        <v>88.09</v>
      </c>
      <c r="E14196">
        <v>504</v>
      </c>
      <c r="F14196">
        <v>60</v>
      </c>
      <c r="G14196">
        <v>7</v>
      </c>
      <c r="H14196">
        <v>1</v>
      </c>
      <c r="I14196">
        <v>501</v>
      </c>
      <c r="J14196">
        <v>1</v>
      </c>
      <c r="K14196">
        <v>1</v>
      </c>
      <c r="L14196">
        <v>500</v>
      </c>
      <c r="M14196">
        <v>1</v>
      </c>
      <c r="N14196">
        <v>0</v>
      </c>
      <c r="O14196">
        <v>2308</v>
      </c>
    </row>
    <row r="14197" spans="1:15" x14ac:dyDescent="0.25">
      <c r="A14197" t="s">
        <v>14210</v>
      </c>
      <c r="B14197">
        <v>623</v>
      </c>
      <c r="C14197" s="1" t="str">
        <f>HYPERLINK("http://www.rosaceae.org/gb/gbrowse/malus_x_domestica/?name=MDP0000279478","MDP0000279478")</f>
        <v>MDP0000279478</v>
      </c>
      <c r="D14197">
        <v>74.45</v>
      </c>
      <c r="E14197">
        <v>548</v>
      </c>
      <c r="F14197">
        <v>140</v>
      </c>
      <c r="G14197">
        <v>2</v>
      </c>
      <c r="H14197">
        <v>7</v>
      </c>
      <c r="I14197">
        <v>554</v>
      </c>
      <c r="J14197">
        <v>1</v>
      </c>
      <c r="K14197">
        <v>8</v>
      </c>
      <c r="L14197">
        <v>553</v>
      </c>
      <c r="M14197">
        <v>1</v>
      </c>
      <c r="N14197">
        <v>0</v>
      </c>
      <c r="O14197">
        <v>2154</v>
      </c>
    </row>
    <row r="14198" spans="1:15" x14ac:dyDescent="0.25">
      <c r="A14198" t="s">
        <v>14211</v>
      </c>
      <c r="B14198">
        <v>1104</v>
      </c>
      <c r="C14198" s="1" t="str">
        <f>HYPERLINK("http://www.rosaceae.org/gb/gbrowse/malus_x_domestica/?name=MDP0000200579","MDP0000200579")</f>
        <v>MDP0000200579</v>
      </c>
      <c r="D14198">
        <v>69.88</v>
      </c>
      <c r="E14198">
        <v>1149</v>
      </c>
      <c r="F14198">
        <v>346</v>
      </c>
      <c r="G14198">
        <v>47</v>
      </c>
      <c r="H14198">
        <v>1</v>
      </c>
      <c r="I14198">
        <v>1104</v>
      </c>
      <c r="J14198">
        <v>1</v>
      </c>
      <c r="K14198">
        <v>1</v>
      </c>
      <c r="L14198">
        <v>1147</v>
      </c>
      <c r="M14198">
        <v>1</v>
      </c>
      <c r="N14198">
        <v>0</v>
      </c>
      <c r="O14198">
        <v>4027</v>
      </c>
    </row>
    <row r="14199" spans="1:15" x14ac:dyDescent="0.25">
      <c r="A14199" t="s">
        <v>14212</v>
      </c>
      <c r="B14199">
        <v>135</v>
      </c>
      <c r="C14199" s="1" t="str">
        <f>HYPERLINK("http://www.rosaceae.org/gb/gbrowse/malus_x_domestica/?name=MDP0000605925","MDP0000605925")</f>
        <v>MDP0000605925</v>
      </c>
      <c r="D14199">
        <v>50</v>
      </c>
      <c r="E14199">
        <v>80</v>
      </c>
      <c r="F14199">
        <v>40</v>
      </c>
      <c r="G14199">
        <v>11</v>
      </c>
      <c r="H14199">
        <v>58</v>
      </c>
      <c r="I14199">
        <v>135</v>
      </c>
      <c r="J14199">
        <v>1</v>
      </c>
      <c r="K14199">
        <v>1</v>
      </c>
      <c r="L14199">
        <v>71</v>
      </c>
      <c r="M14199">
        <v>1</v>
      </c>
      <c r="N14199">
        <v>3.6346300000000003E-8</v>
      </c>
      <c r="O14199">
        <v>129</v>
      </c>
    </row>
    <row r="14200" spans="1:15" x14ac:dyDescent="0.25">
      <c r="A14200" t="s">
        <v>14213</v>
      </c>
      <c r="B14200">
        <v>443</v>
      </c>
      <c r="C14200" s="1" t="str">
        <f>HYPERLINK("http://www.rosaceae.org/gb/gbrowse/malus_x_domestica/?name=MDP0000813186","MDP0000813186")</f>
        <v>MDP0000813186</v>
      </c>
      <c r="D14200">
        <v>66.66</v>
      </c>
      <c r="E14200">
        <v>258</v>
      </c>
      <c r="F14200">
        <v>86</v>
      </c>
      <c r="G14200">
        <v>6</v>
      </c>
      <c r="H14200">
        <v>1</v>
      </c>
      <c r="I14200">
        <v>254</v>
      </c>
      <c r="J14200">
        <v>1</v>
      </c>
      <c r="K14200">
        <v>1</v>
      </c>
      <c r="L14200">
        <v>256</v>
      </c>
      <c r="M14200">
        <v>1</v>
      </c>
      <c r="N14200">
        <v>6.5009400000000003E-98</v>
      </c>
      <c r="O14200">
        <v>910</v>
      </c>
    </row>
    <row r="14201" spans="1:15" x14ac:dyDescent="0.25">
      <c r="A14201" t="s">
        <v>14214</v>
      </c>
      <c r="B14201">
        <v>259</v>
      </c>
      <c r="C14201" s="1" t="str">
        <f>HYPERLINK("http://www.rosaceae.org/gb/gbrowse/malus_x_domestica/?name=MDP0000156219","MDP0000156219")</f>
        <v>MDP0000156219</v>
      </c>
      <c r="D14201">
        <v>49.09</v>
      </c>
      <c r="E14201">
        <v>165</v>
      </c>
      <c r="F14201">
        <v>84</v>
      </c>
      <c r="G14201">
        <v>5</v>
      </c>
      <c r="H14201">
        <v>12</v>
      </c>
      <c r="I14201">
        <v>174</v>
      </c>
      <c r="J14201">
        <v>1</v>
      </c>
      <c r="K14201">
        <v>14</v>
      </c>
      <c r="L14201">
        <v>175</v>
      </c>
      <c r="M14201">
        <v>1</v>
      </c>
      <c r="N14201">
        <v>8.2491100000000002E-32</v>
      </c>
      <c r="O14201">
        <v>337</v>
      </c>
    </row>
    <row r="14202" spans="1:15" x14ac:dyDescent="0.25">
      <c r="A14202" t="s">
        <v>14215</v>
      </c>
      <c r="B14202">
        <v>400</v>
      </c>
      <c r="C14202" s="1" t="str">
        <f>HYPERLINK("http://www.rosaceae.org/gb/gbrowse/malus_x_domestica/?name=MDP0000792734","MDP0000792734")</f>
        <v>MDP0000792734</v>
      </c>
      <c r="D14202">
        <v>49.4</v>
      </c>
      <c r="E14202">
        <v>338</v>
      </c>
      <c r="F14202">
        <v>171</v>
      </c>
      <c r="G14202">
        <v>37</v>
      </c>
      <c r="H14202">
        <v>44</v>
      </c>
      <c r="I14202">
        <v>346</v>
      </c>
      <c r="J14202">
        <v>1</v>
      </c>
      <c r="K14202">
        <v>62</v>
      </c>
      <c r="L14202">
        <v>397</v>
      </c>
      <c r="M14202">
        <v>1</v>
      </c>
      <c r="N14202">
        <v>1.42722E-74</v>
      </c>
      <c r="O14202">
        <v>709</v>
      </c>
    </row>
    <row r="14203" spans="1:15" x14ac:dyDescent="0.25">
      <c r="A14203" t="s">
        <v>14216</v>
      </c>
      <c r="B14203">
        <v>291</v>
      </c>
      <c r="C14203" s="1" t="str">
        <f>HYPERLINK("http://www.rosaceae.org/gb/gbrowse/malus_x_domestica/?name=MDP0000181488","MDP0000181488")</f>
        <v>MDP0000181488</v>
      </c>
      <c r="D14203">
        <v>62.05</v>
      </c>
      <c r="E14203">
        <v>311</v>
      </c>
      <c r="F14203">
        <v>118</v>
      </c>
      <c r="G14203">
        <v>30</v>
      </c>
      <c r="H14203">
        <v>2</v>
      </c>
      <c r="I14203">
        <v>291</v>
      </c>
      <c r="J14203">
        <v>1</v>
      </c>
      <c r="K14203">
        <v>1</v>
      </c>
      <c r="L14203">
        <v>302</v>
      </c>
      <c r="M14203">
        <v>1</v>
      </c>
      <c r="N14203">
        <v>4.68019E-86</v>
      </c>
      <c r="O14203">
        <v>806</v>
      </c>
    </row>
    <row r="14204" spans="1:15" x14ac:dyDescent="0.25">
      <c r="A14204" t="s">
        <v>14217</v>
      </c>
      <c r="B14204">
        <v>65</v>
      </c>
      <c r="C14204" s="1" t="str">
        <f>HYPERLINK("http://www.rosaceae.org/gb/gbrowse/malus_x_domestica/?name=MDP0000284049","MDP0000284049")</f>
        <v>MDP0000284049</v>
      </c>
      <c r="D14204">
        <v>87.17</v>
      </c>
      <c r="E14204">
        <v>39</v>
      </c>
      <c r="F14204">
        <v>5</v>
      </c>
      <c r="G14204">
        <v>1</v>
      </c>
      <c r="H14204">
        <v>1</v>
      </c>
      <c r="I14204">
        <v>38</v>
      </c>
      <c r="J14204">
        <v>1</v>
      </c>
      <c r="K14204">
        <v>130</v>
      </c>
      <c r="L14204">
        <v>168</v>
      </c>
      <c r="M14204">
        <v>1</v>
      </c>
      <c r="N14204">
        <v>1.8024900000000001E-11</v>
      </c>
      <c r="O14204">
        <v>156</v>
      </c>
    </row>
    <row r="14205" spans="1:15" x14ac:dyDescent="0.25">
      <c r="A14205" t="s">
        <v>14218</v>
      </c>
      <c r="B14205">
        <v>187</v>
      </c>
      <c r="C14205" s="1" t="str">
        <f>HYPERLINK("http://www.rosaceae.org/gb/gbrowse/malus_x_domestica/?name=MDP0000135890","MDP0000135890")</f>
        <v>MDP0000135890</v>
      </c>
      <c r="D14205">
        <v>83.13</v>
      </c>
      <c r="E14205">
        <v>172</v>
      </c>
      <c r="F14205">
        <v>29</v>
      </c>
      <c r="G14205">
        <v>0</v>
      </c>
      <c r="H14205">
        <v>1</v>
      </c>
      <c r="I14205">
        <v>172</v>
      </c>
      <c r="J14205">
        <v>1</v>
      </c>
      <c r="K14205">
        <v>1</v>
      </c>
      <c r="L14205">
        <v>172</v>
      </c>
      <c r="M14205">
        <v>1</v>
      </c>
      <c r="N14205">
        <v>1.1773399999999999E-79</v>
      </c>
      <c r="O14205">
        <v>748</v>
      </c>
    </row>
    <row r="14206" spans="1:15" x14ac:dyDescent="0.25">
      <c r="A14206" t="s">
        <v>14219</v>
      </c>
      <c r="B14206">
        <v>736</v>
      </c>
      <c r="C14206" s="1" t="str">
        <f>HYPERLINK("http://www.rosaceae.org/gb/gbrowse/malus_x_domestica/?name=MDP0000307313","MDP0000307313")</f>
        <v>MDP0000307313</v>
      </c>
      <c r="D14206">
        <v>62.34</v>
      </c>
      <c r="E14206">
        <v>632</v>
      </c>
      <c r="F14206">
        <v>238</v>
      </c>
      <c r="G14206">
        <v>15</v>
      </c>
      <c r="H14206">
        <v>82</v>
      </c>
      <c r="I14206">
        <v>700</v>
      </c>
      <c r="J14206">
        <v>1</v>
      </c>
      <c r="K14206">
        <v>333</v>
      </c>
      <c r="L14206">
        <v>962</v>
      </c>
      <c r="M14206">
        <v>1</v>
      </c>
      <c r="N14206">
        <v>0</v>
      </c>
      <c r="O14206">
        <v>2031</v>
      </c>
    </row>
    <row r="14207" spans="1:15" x14ac:dyDescent="0.25">
      <c r="A14207" t="s">
        <v>14220</v>
      </c>
      <c r="B14207">
        <v>590</v>
      </c>
      <c r="C14207" s="1" t="str">
        <f>HYPERLINK("http://www.rosaceae.org/gb/gbrowse/malus_x_domestica/?name=MDP0000789845","MDP0000789845")</f>
        <v>MDP0000789845</v>
      </c>
      <c r="D14207">
        <v>83.15</v>
      </c>
      <c r="E14207">
        <v>469</v>
      </c>
      <c r="F14207">
        <v>79</v>
      </c>
      <c r="G14207">
        <v>4</v>
      </c>
      <c r="H14207">
        <v>126</v>
      </c>
      <c r="I14207">
        <v>590</v>
      </c>
      <c r="J14207">
        <v>1</v>
      </c>
      <c r="K14207">
        <v>43</v>
      </c>
      <c r="L14207">
        <v>511</v>
      </c>
      <c r="M14207">
        <v>1</v>
      </c>
      <c r="N14207">
        <v>0</v>
      </c>
      <c r="O14207">
        <v>2107</v>
      </c>
    </row>
    <row r="14208" spans="1:15" x14ac:dyDescent="0.25">
      <c r="A14208" t="s">
        <v>14221</v>
      </c>
      <c r="B14208">
        <v>125</v>
      </c>
      <c r="C14208" s="1" t="str">
        <f>HYPERLINK("http://www.rosaceae.org/gb/gbrowse/malus_x_domestica/?name=MDP0000303384","MDP0000303384")</f>
        <v>MDP0000303384</v>
      </c>
      <c r="D14208">
        <v>55</v>
      </c>
      <c r="E14208">
        <v>80</v>
      </c>
      <c r="F14208">
        <v>36</v>
      </c>
      <c r="G14208">
        <v>4</v>
      </c>
      <c r="H14208">
        <v>23</v>
      </c>
      <c r="I14208">
        <v>102</v>
      </c>
      <c r="J14208">
        <v>1</v>
      </c>
      <c r="K14208">
        <v>18</v>
      </c>
      <c r="L14208">
        <v>93</v>
      </c>
      <c r="M14208">
        <v>1</v>
      </c>
      <c r="N14208">
        <v>2.49332E-21</v>
      </c>
      <c r="O14208">
        <v>241</v>
      </c>
    </row>
    <row r="14209" spans="1:15" x14ac:dyDescent="0.25">
      <c r="A14209" t="s">
        <v>14222</v>
      </c>
      <c r="B14209">
        <v>225</v>
      </c>
      <c r="C14209" s="1" t="str">
        <f>HYPERLINK("http://www.rosaceae.org/gb/gbrowse/malus_x_domestica/?name=MDP0000169044","MDP0000169044")</f>
        <v>MDP0000169044</v>
      </c>
      <c r="D14209">
        <v>60.75</v>
      </c>
      <c r="E14209">
        <v>186</v>
      </c>
      <c r="F14209">
        <v>73</v>
      </c>
      <c r="G14209">
        <v>15</v>
      </c>
      <c r="H14209">
        <v>1</v>
      </c>
      <c r="I14209">
        <v>173</v>
      </c>
      <c r="J14209">
        <v>1</v>
      </c>
      <c r="K14209">
        <v>3</v>
      </c>
      <c r="L14209">
        <v>186</v>
      </c>
      <c r="M14209">
        <v>1</v>
      </c>
      <c r="N14209">
        <v>2.2005899999999999E-53</v>
      </c>
      <c r="O14209">
        <v>523</v>
      </c>
    </row>
    <row r="14210" spans="1:15" x14ac:dyDescent="0.25">
      <c r="A14210" t="s">
        <v>14223</v>
      </c>
      <c r="B14210">
        <v>230</v>
      </c>
      <c r="C14210" s="1" t="str">
        <f>HYPERLINK("http://www.rosaceae.org/gb/gbrowse/malus_x_domestica/?name=MDP0000604645","MDP0000604645")</f>
        <v>MDP0000604645</v>
      </c>
      <c r="D14210">
        <v>40.54</v>
      </c>
      <c r="E14210">
        <v>259</v>
      </c>
      <c r="F14210">
        <v>154</v>
      </c>
      <c r="G14210">
        <v>30</v>
      </c>
      <c r="H14210">
        <v>1</v>
      </c>
      <c r="I14210">
        <v>230</v>
      </c>
      <c r="J14210">
        <v>1</v>
      </c>
      <c r="K14210">
        <v>94</v>
      </c>
      <c r="L14210">
        <v>351</v>
      </c>
      <c r="M14210">
        <v>1</v>
      </c>
      <c r="N14210">
        <v>1.83921E-30</v>
      </c>
      <c r="O14210">
        <v>325</v>
      </c>
    </row>
    <row r="14211" spans="1:15" x14ac:dyDescent="0.25">
      <c r="A14211" t="s">
        <v>14224</v>
      </c>
      <c r="B14211">
        <v>411</v>
      </c>
      <c r="C14211" s="1" t="str">
        <f>HYPERLINK("http://www.rosaceae.org/gb/gbrowse/malus_x_domestica/?name=MDP0000811085","MDP0000811085")</f>
        <v>MDP0000811085</v>
      </c>
      <c r="D14211">
        <v>43.02</v>
      </c>
      <c r="E14211">
        <v>430</v>
      </c>
      <c r="F14211">
        <v>245</v>
      </c>
      <c r="G14211">
        <v>38</v>
      </c>
      <c r="H14211">
        <v>1</v>
      </c>
      <c r="I14211">
        <v>410</v>
      </c>
      <c r="J14211">
        <v>1</v>
      </c>
      <c r="K14211">
        <v>1</v>
      </c>
      <c r="L14211">
        <v>412</v>
      </c>
      <c r="M14211">
        <v>1</v>
      </c>
      <c r="N14211">
        <v>5.2117499999999997E-79</v>
      </c>
      <c r="O14211">
        <v>747</v>
      </c>
    </row>
    <row r="14212" spans="1:15" x14ac:dyDescent="0.25">
      <c r="A14212" t="s">
        <v>14225</v>
      </c>
      <c r="B14212">
        <v>803</v>
      </c>
      <c r="C14212" s="1" t="str">
        <f>HYPERLINK("http://www.rosaceae.org/gb/gbrowse/malus_x_domestica/?name=MDP0000227827","MDP0000227827")</f>
        <v>MDP0000227827</v>
      </c>
      <c r="D14212">
        <v>52.72</v>
      </c>
      <c r="E14212">
        <v>294</v>
      </c>
      <c r="F14212">
        <v>139</v>
      </c>
      <c r="G14212">
        <v>4</v>
      </c>
      <c r="H14212">
        <v>7</v>
      </c>
      <c r="I14212">
        <v>299</v>
      </c>
      <c r="J14212">
        <v>1</v>
      </c>
      <c r="K14212">
        <v>5</v>
      </c>
      <c r="L14212">
        <v>295</v>
      </c>
      <c r="M14212">
        <v>1</v>
      </c>
      <c r="N14212">
        <v>2.8822899999999999E-87</v>
      </c>
      <c r="O14212">
        <v>821</v>
      </c>
    </row>
    <row r="14213" spans="1:15" x14ac:dyDescent="0.25">
      <c r="A14213" t="s">
        <v>14226</v>
      </c>
      <c r="B14213">
        <v>284</v>
      </c>
      <c r="C14213" s="1" t="str">
        <f>HYPERLINK("http://www.rosaceae.org/gb/gbrowse/malus_x_domestica/?name=MDP0000207132","MDP0000207132")</f>
        <v>MDP0000207132</v>
      </c>
      <c r="D14213">
        <v>36.5</v>
      </c>
      <c r="E14213">
        <v>200</v>
      </c>
      <c r="F14213">
        <v>127</v>
      </c>
      <c r="G14213">
        <v>4</v>
      </c>
      <c r="H14213">
        <v>8</v>
      </c>
      <c r="I14213">
        <v>204</v>
      </c>
      <c r="J14213">
        <v>1</v>
      </c>
      <c r="K14213">
        <v>1</v>
      </c>
      <c r="L14213">
        <v>199</v>
      </c>
      <c r="M14213">
        <v>1</v>
      </c>
      <c r="N14213">
        <v>4.2094100000000001E-36</v>
      </c>
      <c r="O14213">
        <v>375</v>
      </c>
    </row>
    <row r="14214" spans="1:15" x14ac:dyDescent="0.25">
      <c r="A14214" t="s">
        <v>14227</v>
      </c>
      <c r="B14214">
        <v>1159</v>
      </c>
      <c r="C14214" s="1" t="str">
        <f>HYPERLINK("http://www.rosaceae.org/gb/gbrowse/malus_x_domestica/?name=MDP0000208072","MDP0000208072")</f>
        <v>MDP0000208072</v>
      </c>
      <c r="D14214">
        <v>67.290000000000006</v>
      </c>
      <c r="E14214">
        <v>1223</v>
      </c>
      <c r="F14214">
        <v>400</v>
      </c>
      <c r="G14214">
        <v>110</v>
      </c>
      <c r="H14214">
        <v>6</v>
      </c>
      <c r="I14214">
        <v>1158</v>
      </c>
      <c r="J14214">
        <v>1</v>
      </c>
      <c r="K14214">
        <v>10</v>
      </c>
      <c r="L14214">
        <v>1192</v>
      </c>
      <c r="M14214">
        <v>1</v>
      </c>
      <c r="N14214">
        <v>0</v>
      </c>
      <c r="O14214">
        <v>3938</v>
      </c>
    </row>
    <row r="14215" spans="1:15" x14ac:dyDescent="0.25">
      <c r="A14215" t="s">
        <v>14228</v>
      </c>
      <c r="B14215">
        <v>144</v>
      </c>
      <c r="C14215" s="1" t="str">
        <f>HYPERLINK("http://www.rosaceae.org/gb/gbrowse/malus_x_domestica/?name=MDP0000163690","MDP0000163690")</f>
        <v>MDP0000163690</v>
      </c>
      <c r="D14215">
        <v>62.39</v>
      </c>
      <c r="E14215">
        <v>117</v>
      </c>
      <c r="F14215">
        <v>44</v>
      </c>
      <c r="G14215">
        <v>0</v>
      </c>
      <c r="H14215">
        <v>2</v>
      </c>
      <c r="I14215">
        <v>118</v>
      </c>
      <c r="J14215">
        <v>1</v>
      </c>
      <c r="K14215">
        <v>31</v>
      </c>
      <c r="L14215">
        <v>147</v>
      </c>
      <c r="M14215">
        <v>1</v>
      </c>
      <c r="N14215">
        <v>1.15897E-37</v>
      </c>
      <c r="O14215">
        <v>384</v>
      </c>
    </row>
    <row r="14216" spans="1:15" x14ac:dyDescent="0.25">
      <c r="A14216" t="s">
        <v>14229</v>
      </c>
      <c r="B14216">
        <v>361</v>
      </c>
      <c r="C14216" s="1" t="str">
        <f>HYPERLINK("http://www.rosaceae.org/gb/gbrowse/malus_x_domestica/?name=MDP0000156241","MDP0000156241")</f>
        <v>MDP0000156241</v>
      </c>
      <c r="D14216">
        <v>49.11</v>
      </c>
      <c r="E14216">
        <v>338</v>
      </c>
      <c r="F14216">
        <v>172</v>
      </c>
      <c r="G14216">
        <v>56</v>
      </c>
      <c r="H14216">
        <v>65</v>
      </c>
      <c r="I14216">
        <v>361</v>
      </c>
      <c r="J14216">
        <v>1</v>
      </c>
      <c r="K14216">
        <v>56</v>
      </c>
      <c r="L14216">
        <v>378</v>
      </c>
      <c r="M14216">
        <v>1</v>
      </c>
      <c r="N14216">
        <v>1.8044E-67</v>
      </c>
      <c r="O14216">
        <v>647</v>
      </c>
    </row>
    <row r="14217" spans="1:15" x14ac:dyDescent="0.25">
      <c r="A14217" t="s">
        <v>14230</v>
      </c>
      <c r="B14217">
        <v>522</v>
      </c>
      <c r="C14217" s="1" t="str">
        <f>HYPERLINK("http://www.rosaceae.org/gb/gbrowse/malus_x_domestica/?name=MDP0000181794","MDP0000181794")</f>
        <v>MDP0000181794</v>
      </c>
      <c r="D14217">
        <v>32.06</v>
      </c>
      <c r="E14217">
        <v>524</v>
      </c>
      <c r="F14217">
        <v>356</v>
      </c>
      <c r="G14217">
        <v>47</v>
      </c>
      <c r="H14217">
        <v>1</v>
      </c>
      <c r="I14217">
        <v>501</v>
      </c>
      <c r="J14217">
        <v>1</v>
      </c>
      <c r="K14217">
        <v>23</v>
      </c>
      <c r="L14217">
        <v>522</v>
      </c>
      <c r="M14217">
        <v>1</v>
      </c>
      <c r="N14217">
        <v>1.6688500000000001E-56</v>
      </c>
      <c r="O14217">
        <v>554</v>
      </c>
    </row>
    <row r="14218" spans="1:15" x14ac:dyDescent="0.25">
      <c r="A14218" t="s">
        <v>14231</v>
      </c>
      <c r="B14218">
        <v>492</v>
      </c>
      <c r="C14218" s="1" t="str">
        <f>HYPERLINK("http://www.rosaceae.org/gb/gbrowse/malus_x_domestica/?name=MDP0000255309","MDP0000255309")</f>
        <v>MDP0000255309</v>
      </c>
      <c r="D14218">
        <v>87.88</v>
      </c>
      <c r="E14218">
        <v>355</v>
      </c>
      <c r="F14218">
        <v>43</v>
      </c>
      <c r="G14218">
        <v>0</v>
      </c>
      <c r="H14218">
        <v>1</v>
      </c>
      <c r="I14218">
        <v>355</v>
      </c>
      <c r="J14218">
        <v>1</v>
      </c>
      <c r="K14218">
        <v>1</v>
      </c>
      <c r="L14218">
        <v>355</v>
      </c>
      <c r="M14218">
        <v>1</v>
      </c>
      <c r="N14218">
        <v>0</v>
      </c>
      <c r="O14218">
        <v>1669</v>
      </c>
    </row>
    <row r="14219" spans="1:15" x14ac:dyDescent="0.25">
      <c r="A14219" t="s">
        <v>14232</v>
      </c>
      <c r="B14219">
        <v>1103</v>
      </c>
      <c r="C14219" s="1" t="str">
        <f>HYPERLINK("http://www.rosaceae.org/gb/gbrowse/malus_x_domestica/?name=MDP0000322725","MDP0000322725")</f>
        <v>MDP0000322725</v>
      </c>
      <c r="D14219">
        <v>77.03</v>
      </c>
      <c r="E14219">
        <v>675</v>
      </c>
      <c r="F14219">
        <v>155</v>
      </c>
      <c r="G14219">
        <v>29</v>
      </c>
      <c r="H14219">
        <v>5</v>
      </c>
      <c r="I14219">
        <v>650</v>
      </c>
      <c r="J14219">
        <v>1</v>
      </c>
      <c r="K14219">
        <v>32</v>
      </c>
      <c r="L14219">
        <v>706</v>
      </c>
      <c r="M14219">
        <v>1</v>
      </c>
      <c r="N14219">
        <v>0</v>
      </c>
      <c r="O14219">
        <v>2732</v>
      </c>
    </row>
    <row r="14220" spans="1:15" x14ac:dyDescent="0.25">
      <c r="A14220" t="s">
        <v>14233</v>
      </c>
      <c r="B14220">
        <v>216</v>
      </c>
      <c r="C14220" s="1" t="str">
        <f>HYPERLINK("http://www.rosaceae.org/gb/gbrowse/malus_x_domestica/?name=MDP0000200990","MDP0000200990")</f>
        <v>MDP0000200990</v>
      </c>
      <c r="D14220">
        <v>62.13</v>
      </c>
      <c r="E14220">
        <v>206</v>
      </c>
      <c r="F14220">
        <v>78</v>
      </c>
      <c r="G14220">
        <v>28</v>
      </c>
      <c r="H14220">
        <v>13</v>
      </c>
      <c r="I14220">
        <v>216</v>
      </c>
      <c r="J14220">
        <v>1</v>
      </c>
      <c r="K14220">
        <v>116</v>
      </c>
      <c r="L14220">
        <v>295</v>
      </c>
      <c r="M14220">
        <v>1</v>
      </c>
      <c r="N14220">
        <v>6.3091000000000006E-61</v>
      </c>
      <c r="O14220">
        <v>587</v>
      </c>
    </row>
    <row r="14221" spans="1:15" x14ac:dyDescent="0.25">
      <c r="A14221" t="s">
        <v>14234</v>
      </c>
      <c r="B14221">
        <v>191</v>
      </c>
      <c r="C14221" s="1" t="str">
        <f>HYPERLINK("http://www.rosaceae.org/gb/gbrowse/malus_x_domestica/?name=MDP0000309030","MDP0000309030")</f>
        <v>MDP0000309030</v>
      </c>
      <c r="D14221">
        <v>46.77</v>
      </c>
      <c r="E14221">
        <v>186</v>
      </c>
      <c r="F14221">
        <v>99</v>
      </c>
      <c r="G14221">
        <v>10</v>
      </c>
      <c r="H14221">
        <v>9</v>
      </c>
      <c r="I14221">
        <v>186</v>
      </c>
      <c r="J14221">
        <v>1</v>
      </c>
      <c r="K14221">
        <v>125</v>
      </c>
      <c r="L14221">
        <v>308</v>
      </c>
      <c r="M14221">
        <v>1</v>
      </c>
      <c r="N14221">
        <v>1.7974600000000001E-44</v>
      </c>
      <c r="O14221">
        <v>445</v>
      </c>
    </row>
    <row r="14222" spans="1:15" x14ac:dyDescent="0.25">
      <c r="A14222" t="s">
        <v>14235</v>
      </c>
      <c r="B14222">
        <v>467</v>
      </c>
      <c r="C14222" s="1" t="str">
        <f>HYPERLINK("http://www.rosaceae.org/gb/gbrowse/malus_x_domestica/?name=MDP0000610678","MDP0000610678")</f>
        <v>MDP0000610678</v>
      </c>
      <c r="D14222">
        <v>85.05</v>
      </c>
      <c r="E14222">
        <v>455</v>
      </c>
      <c r="F14222">
        <v>68</v>
      </c>
      <c r="G14222">
        <v>5</v>
      </c>
      <c r="H14222">
        <v>14</v>
      </c>
      <c r="I14222">
        <v>463</v>
      </c>
      <c r="J14222">
        <v>1</v>
      </c>
      <c r="K14222">
        <v>26</v>
      </c>
      <c r="L14222">
        <v>480</v>
      </c>
      <c r="M14222">
        <v>1</v>
      </c>
      <c r="N14222">
        <v>0</v>
      </c>
      <c r="O14222">
        <v>2107</v>
      </c>
    </row>
    <row r="14223" spans="1:15" x14ac:dyDescent="0.25">
      <c r="A14223" t="s">
        <v>14236</v>
      </c>
      <c r="B14223">
        <v>107</v>
      </c>
      <c r="C14223" s="1" t="str">
        <f>HYPERLINK("http://www.rosaceae.org/gb/gbrowse/malus_x_domestica/?name=MDP0000239496","MDP0000239496")</f>
        <v>MDP0000239496</v>
      </c>
      <c r="D14223">
        <v>63.33</v>
      </c>
      <c r="E14223">
        <v>90</v>
      </c>
      <c r="F14223">
        <v>33</v>
      </c>
      <c r="G14223">
        <v>6</v>
      </c>
      <c r="H14223">
        <v>20</v>
      </c>
      <c r="I14223">
        <v>107</v>
      </c>
      <c r="J14223">
        <v>1</v>
      </c>
      <c r="K14223">
        <v>28</v>
      </c>
      <c r="L14223">
        <v>113</v>
      </c>
      <c r="M14223">
        <v>1</v>
      </c>
      <c r="N14223">
        <v>2.0952399999999999E-21</v>
      </c>
      <c r="O14223">
        <v>242</v>
      </c>
    </row>
    <row r="14224" spans="1:15" x14ac:dyDescent="0.25">
      <c r="A14224" t="s">
        <v>14237</v>
      </c>
      <c r="B14224">
        <v>1009</v>
      </c>
      <c r="C14224" s="1" t="str">
        <f>HYPERLINK("http://www.rosaceae.org/gb/gbrowse/malus_x_domestica/?name=MDP0000321974","MDP0000321974")</f>
        <v>MDP0000321974</v>
      </c>
      <c r="D14224">
        <v>44.82</v>
      </c>
      <c r="E14224">
        <v>1053</v>
      </c>
      <c r="F14224">
        <v>581</v>
      </c>
      <c r="G14224">
        <v>134</v>
      </c>
      <c r="H14224">
        <v>1</v>
      </c>
      <c r="I14224">
        <v>992</v>
      </c>
      <c r="J14224">
        <v>1</v>
      </c>
      <c r="K14224">
        <v>1</v>
      </c>
      <c r="L14224">
        <v>980</v>
      </c>
      <c r="M14224">
        <v>1</v>
      </c>
      <c r="N14224">
        <v>0</v>
      </c>
      <c r="O14224">
        <v>1924</v>
      </c>
    </row>
    <row r="14225" spans="1:15" x14ac:dyDescent="0.25">
      <c r="A14225" t="s">
        <v>14238</v>
      </c>
      <c r="B14225">
        <v>67</v>
      </c>
      <c r="C14225" s="1" t="str">
        <f>HYPERLINK("http://www.rosaceae.org/gb/gbrowse/malus_x_domestica/?name=MDP0000327358","MDP0000327358")</f>
        <v>MDP0000327358</v>
      </c>
      <c r="D14225">
        <v>98.41</v>
      </c>
      <c r="E14225">
        <v>63</v>
      </c>
      <c r="F14225">
        <v>1</v>
      </c>
      <c r="G14225">
        <v>0</v>
      </c>
      <c r="H14225">
        <v>5</v>
      </c>
      <c r="I14225">
        <v>67</v>
      </c>
      <c r="J14225">
        <v>1</v>
      </c>
      <c r="K14225">
        <v>272</v>
      </c>
      <c r="L14225">
        <v>334</v>
      </c>
      <c r="M14225">
        <v>1</v>
      </c>
      <c r="N14225">
        <v>2.9397000000000002E-30</v>
      </c>
      <c r="O14225">
        <v>318</v>
      </c>
    </row>
    <row r="14226" spans="1:15" x14ac:dyDescent="0.25">
      <c r="A14226" t="s">
        <v>14239</v>
      </c>
      <c r="B14226">
        <v>279</v>
      </c>
      <c r="C14226" s="1" t="str">
        <f>HYPERLINK("http://www.rosaceae.org/gb/gbrowse/malus_x_domestica/?name=MDP0000899100","MDP0000899100")</f>
        <v>MDP0000899100</v>
      </c>
      <c r="D14226">
        <v>29.1</v>
      </c>
      <c r="E14226">
        <v>189</v>
      </c>
      <c r="F14226">
        <v>134</v>
      </c>
      <c r="G14226">
        <v>14</v>
      </c>
      <c r="H14226">
        <v>91</v>
      </c>
      <c r="I14226">
        <v>265</v>
      </c>
      <c r="J14226">
        <v>1</v>
      </c>
      <c r="K14226">
        <v>53</v>
      </c>
      <c r="L14226">
        <v>241</v>
      </c>
      <c r="M14226">
        <v>1</v>
      </c>
      <c r="N14226">
        <v>3.75757E-15</v>
      </c>
      <c r="O14226">
        <v>194</v>
      </c>
    </row>
    <row r="14227" spans="1:15" x14ac:dyDescent="0.25">
      <c r="A14227" t="s">
        <v>14240</v>
      </c>
      <c r="B14227">
        <v>370</v>
      </c>
      <c r="C14227" s="1" t="str">
        <f>HYPERLINK("http://www.rosaceae.org/gb/gbrowse/malus_x_domestica/?name=MDP0000318279","MDP0000318279")</f>
        <v>MDP0000318279</v>
      </c>
      <c r="D14227">
        <v>34.1</v>
      </c>
      <c r="E14227">
        <v>217</v>
      </c>
      <c r="F14227">
        <v>143</v>
      </c>
      <c r="G14227">
        <v>7</v>
      </c>
      <c r="H14227">
        <v>35</v>
      </c>
      <c r="I14227">
        <v>251</v>
      </c>
      <c r="J14227">
        <v>1</v>
      </c>
      <c r="K14227">
        <v>119</v>
      </c>
      <c r="L14227">
        <v>328</v>
      </c>
      <c r="M14227">
        <v>1</v>
      </c>
      <c r="N14227">
        <v>2.67956E-31</v>
      </c>
      <c r="O14227">
        <v>335</v>
      </c>
    </row>
    <row r="14228" spans="1:15" x14ac:dyDescent="0.25">
      <c r="A14228" t="s">
        <v>14241</v>
      </c>
      <c r="B14228">
        <v>694</v>
      </c>
      <c r="C14228" s="1" t="str">
        <f>HYPERLINK("http://www.rosaceae.org/gb/gbrowse/malus_x_domestica/?name=MDP0000130897","MDP0000130897")</f>
        <v>MDP0000130897</v>
      </c>
      <c r="D14228">
        <v>41.7</v>
      </c>
      <c r="E14228">
        <v>199</v>
      </c>
      <c r="F14228">
        <v>116</v>
      </c>
      <c r="G14228">
        <v>3</v>
      </c>
      <c r="H14228">
        <v>11</v>
      </c>
      <c r="I14228">
        <v>208</v>
      </c>
      <c r="J14228">
        <v>1</v>
      </c>
      <c r="K14228">
        <v>8</v>
      </c>
      <c r="L14228">
        <v>204</v>
      </c>
      <c r="M14228">
        <v>1</v>
      </c>
      <c r="N14228">
        <v>8.4132599999999996E-40</v>
      </c>
      <c r="O14228">
        <v>411</v>
      </c>
    </row>
    <row r="14229" spans="1:15" x14ac:dyDescent="0.25">
      <c r="A14229" t="s">
        <v>14242</v>
      </c>
      <c r="B14229">
        <v>365</v>
      </c>
      <c r="C14229" s="1" t="str">
        <f>HYPERLINK("http://www.rosaceae.org/gb/gbrowse/malus_x_domestica/?name=MDP0000294807","MDP0000294807")</f>
        <v>MDP0000294807</v>
      </c>
      <c r="D14229">
        <v>63.76</v>
      </c>
      <c r="E14229">
        <v>425</v>
      </c>
      <c r="F14229">
        <v>154</v>
      </c>
      <c r="G14229">
        <v>84</v>
      </c>
      <c r="H14229">
        <v>18</v>
      </c>
      <c r="I14229">
        <v>365</v>
      </c>
      <c r="J14229">
        <v>1</v>
      </c>
      <c r="K14229">
        <v>147</v>
      </c>
      <c r="L14229">
        <v>564</v>
      </c>
      <c r="M14229">
        <v>1</v>
      </c>
      <c r="N14229">
        <v>1.61998E-147</v>
      </c>
      <c r="O14229">
        <v>1337</v>
      </c>
    </row>
    <row r="14230" spans="1:15" x14ac:dyDescent="0.25">
      <c r="A14230" t="s">
        <v>14243</v>
      </c>
      <c r="B14230">
        <v>379</v>
      </c>
      <c r="C14230" s="1" t="str">
        <f>HYPERLINK("http://www.rosaceae.org/gb/gbrowse/malus_x_domestica/?name=MDP0000212992","MDP0000212992")</f>
        <v>MDP0000212992</v>
      </c>
      <c r="D14230">
        <v>74.55</v>
      </c>
      <c r="E14230">
        <v>224</v>
      </c>
      <c r="F14230">
        <v>57</v>
      </c>
      <c r="G14230">
        <v>5</v>
      </c>
      <c r="H14230">
        <v>156</v>
      </c>
      <c r="I14230">
        <v>379</v>
      </c>
      <c r="J14230">
        <v>1</v>
      </c>
      <c r="K14230">
        <v>72</v>
      </c>
      <c r="L14230">
        <v>290</v>
      </c>
      <c r="M14230">
        <v>1</v>
      </c>
      <c r="N14230">
        <v>1.2879299999999999E-83</v>
      </c>
      <c r="O14230">
        <v>786</v>
      </c>
    </row>
    <row r="14231" spans="1:15" x14ac:dyDescent="0.25">
      <c r="A14231" t="s">
        <v>14244</v>
      </c>
      <c r="B14231">
        <v>1106</v>
      </c>
      <c r="C14231" s="1" t="str">
        <f>HYPERLINK("http://www.rosaceae.org/gb/gbrowse/malus_x_domestica/?name=MDP0000279107","MDP0000279107")</f>
        <v>MDP0000279107</v>
      </c>
      <c r="D14231">
        <v>54.41</v>
      </c>
      <c r="E14231">
        <v>849</v>
      </c>
      <c r="F14231">
        <v>387</v>
      </c>
      <c r="G14231">
        <v>89</v>
      </c>
      <c r="H14231">
        <v>279</v>
      </c>
      <c r="I14231">
        <v>1075</v>
      </c>
      <c r="J14231">
        <v>1</v>
      </c>
      <c r="K14231">
        <v>117</v>
      </c>
      <c r="L14231">
        <v>928</v>
      </c>
      <c r="M14231">
        <v>1</v>
      </c>
      <c r="N14231">
        <v>0</v>
      </c>
      <c r="O14231">
        <v>2256</v>
      </c>
    </row>
    <row r="14232" spans="1:15" x14ac:dyDescent="0.25">
      <c r="A14232" t="s">
        <v>14245</v>
      </c>
      <c r="B14232">
        <v>1050</v>
      </c>
      <c r="C14232" s="1" t="str">
        <f>HYPERLINK("http://www.rosaceae.org/gb/gbrowse/malus_x_domestica/?name=MDP0000088540","MDP0000088540")</f>
        <v>MDP0000088540</v>
      </c>
      <c r="D14232">
        <v>79.52</v>
      </c>
      <c r="E14232">
        <v>254</v>
      </c>
      <c r="F14232">
        <v>52</v>
      </c>
      <c r="G14232">
        <v>5</v>
      </c>
      <c r="H14232">
        <v>783</v>
      </c>
      <c r="I14232">
        <v>1032</v>
      </c>
      <c r="J14232">
        <v>1</v>
      </c>
      <c r="K14232">
        <v>1</v>
      </c>
      <c r="L14232">
        <v>253</v>
      </c>
      <c r="M14232">
        <v>1</v>
      </c>
      <c r="N14232">
        <v>2.5146999999999999E-110</v>
      </c>
      <c r="O14232">
        <v>1021</v>
      </c>
    </row>
    <row r="14233" spans="1:15" x14ac:dyDescent="0.25">
      <c r="A14233" t="s">
        <v>14246</v>
      </c>
      <c r="B14233">
        <v>392</v>
      </c>
      <c r="C14233" s="1" t="str">
        <f>HYPERLINK("http://www.rosaceae.org/gb/gbrowse/malus_x_domestica/?name=MDP0000225718","MDP0000225718")</f>
        <v>MDP0000225718</v>
      </c>
      <c r="D14233">
        <v>39.200000000000003</v>
      </c>
      <c r="E14233">
        <v>403</v>
      </c>
      <c r="F14233">
        <v>245</v>
      </c>
      <c r="G14233">
        <v>49</v>
      </c>
      <c r="H14233">
        <v>1</v>
      </c>
      <c r="I14233">
        <v>381</v>
      </c>
      <c r="J14233">
        <v>1</v>
      </c>
      <c r="K14233">
        <v>3</v>
      </c>
      <c r="L14233">
        <v>378</v>
      </c>
      <c r="M14233">
        <v>1</v>
      </c>
      <c r="N14233">
        <v>2.1267500000000001E-67</v>
      </c>
      <c r="O14233">
        <v>647</v>
      </c>
    </row>
    <row r="14234" spans="1:15" x14ac:dyDescent="0.25">
      <c r="A14234" t="s">
        <v>14247</v>
      </c>
      <c r="B14234">
        <v>252</v>
      </c>
      <c r="C14234" s="1" t="str">
        <f>HYPERLINK("http://www.rosaceae.org/gb/gbrowse/malus_x_domestica/?name=MDP0000321180","MDP0000321180")</f>
        <v>MDP0000321180</v>
      </c>
      <c r="D14234">
        <v>46.88</v>
      </c>
      <c r="E14234">
        <v>241</v>
      </c>
      <c r="F14234">
        <v>128</v>
      </c>
      <c r="G14234">
        <v>8</v>
      </c>
      <c r="H14234">
        <v>1</v>
      </c>
      <c r="I14234">
        <v>233</v>
      </c>
      <c r="J14234">
        <v>1</v>
      </c>
      <c r="K14234">
        <v>73</v>
      </c>
      <c r="L14234">
        <v>313</v>
      </c>
      <c r="M14234">
        <v>1</v>
      </c>
      <c r="N14234">
        <v>5.48304E-47</v>
      </c>
      <c r="O14234">
        <v>468</v>
      </c>
    </row>
    <row r="14235" spans="1:15" x14ac:dyDescent="0.25">
      <c r="A14235" t="s">
        <v>14248</v>
      </c>
      <c r="B14235">
        <v>174</v>
      </c>
      <c r="C14235" s="1" t="str">
        <f>HYPERLINK("http://www.rosaceae.org/gb/gbrowse/malus_x_domestica/?name=MDP0000142824","MDP0000142824")</f>
        <v>MDP0000142824</v>
      </c>
      <c r="D14235">
        <v>67.08</v>
      </c>
      <c r="E14235">
        <v>161</v>
      </c>
      <c r="F14235">
        <v>53</v>
      </c>
      <c r="G14235">
        <v>13</v>
      </c>
      <c r="H14235">
        <v>9</v>
      </c>
      <c r="I14235">
        <v>169</v>
      </c>
      <c r="J14235">
        <v>1</v>
      </c>
      <c r="K14235">
        <v>12</v>
      </c>
      <c r="L14235">
        <v>159</v>
      </c>
      <c r="M14235">
        <v>1</v>
      </c>
      <c r="N14235">
        <v>2.8777900000000001E-55</v>
      </c>
      <c r="O14235">
        <v>537</v>
      </c>
    </row>
    <row r="14236" spans="1:15" x14ac:dyDescent="0.25">
      <c r="A14236" t="s">
        <v>14249</v>
      </c>
      <c r="B14236">
        <v>953</v>
      </c>
      <c r="C14236" s="1" t="str">
        <f>HYPERLINK("http://www.rosaceae.org/gb/gbrowse/malus_x_domestica/?name=MDP0000543169","MDP0000543169")</f>
        <v>MDP0000543169</v>
      </c>
      <c r="D14236">
        <v>83.44</v>
      </c>
      <c r="E14236">
        <v>441</v>
      </c>
      <c r="F14236">
        <v>73</v>
      </c>
      <c r="G14236">
        <v>8</v>
      </c>
      <c r="H14236">
        <v>511</v>
      </c>
      <c r="I14236">
        <v>951</v>
      </c>
      <c r="J14236">
        <v>1</v>
      </c>
      <c r="K14236">
        <v>1</v>
      </c>
      <c r="L14236">
        <v>433</v>
      </c>
      <c r="M14236">
        <v>1</v>
      </c>
      <c r="N14236">
        <v>0</v>
      </c>
      <c r="O14236">
        <v>1862</v>
      </c>
    </row>
    <row r="14237" spans="1:15" x14ac:dyDescent="0.25">
      <c r="A14237" t="s">
        <v>14250</v>
      </c>
      <c r="B14237">
        <v>306</v>
      </c>
      <c r="C14237" s="1" t="str">
        <f>HYPERLINK("http://www.rosaceae.org/gb/gbrowse/malus_x_domestica/?name=MDP0000180148","MDP0000180148")</f>
        <v>MDP0000180148</v>
      </c>
      <c r="D14237">
        <v>78.78</v>
      </c>
      <c r="E14237">
        <v>33</v>
      </c>
      <c r="F14237">
        <v>7</v>
      </c>
      <c r="G14237">
        <v>0</v>
      </c>
      <c r="H14237">
        <v>249</v>
      </c>
      <c r="I14237">
        <v>281</v>
      </c>
      <c r="J14237">
        <v>1</v>
      </c>
      <c r="K14237">
        <v>110</v>
      </c>
      <c r="L14237">
        <v>142</v>
      </c>
      <c r="M14237">
        <v>1</v>
      </c>
      <c r="N14237">
        <v>9.9870799999999994E-10</v>
      </c>
      <c r="O14237">
        <v>148</v>
      </c>
    </row>
    <row r="14238" spans="1:15" x14ac:dyDescent="0.25">
      <c r="A14238" t="s">
        <v>14251</v>
      </c>
      <c r="B14238">
        <v>547</v>
      </c>
      <c r="C14238" s="1" t="str">
        <f>HYPERLINK("http://www.rosaceae.org/gb/gbrowse/malus_x_domestica/?name=MDP0000457301","MDP0000457301")</f>
        <v>MDP0000457301</v>
      </c>
      <c r="D14238">
        <v>77.37</v>
      </c>
      <c r="E14238">
        <v>526</v>
      </c>
      <c r="F14238">
        <v>119</v>
      </c>
      <c r="G14238">
        <v>11</v>
      </c>
      <c r="H14238">
        <v>19</v>
      </c>
      <c r="I14238">
        <v>536</v>
      </c>
      <c r="J14238">
        <v>1</v>
      </c>
      <c r="K14238">
        <v>1</v>
      </c>
      <c r="L14238">
        <v>523</v>
      </c>
      <c r="M14238">
        <v>1</v>
      </c>
      <c r="N14238">
        <v>0</v>
      </c>
      <c r="O14238">
        <v>2132</v>
      </c>
    </row>
    <row r="14239" spans="1:15" x14ac:dyDescent="0.25">
      <c r="A14239" t="s">
        <v>14252</v>
      </c>
      <c r="B14239">
        <v>1056</v>
      </c>
      <c r="C14239" s="1" t="str">
        <f>HYPERLINK("http://www.rosaceae.org/gb/gbrowse/malus_x_domestica/?name=MDP0000305310","MDP0000305310")</f>
        <v>MDP0000305310</v>
      </c>
      <c r="D14239">
        <v>75.260000000000005</v>
      </c>
      <c r="E14239">
        <v>1124</v>
      </c>
      <c r="F14239">
        <v>278</v>
      </c>
      <c r="G14239">
        <v>92</v>
      </c>
      <c r="H14239">
        <v>1</v>
      </c>
      <c r="I14239">
        <v>1056</v>
      </c>
      <c r="J14239">
        <v>1</v>
      </c>
      <c r="K14239">
        <v>344</v>
      </c>
      <c r="L14239">
        <v>1443</v>
      </c>
      <c r="M14239">
        <v>1</v>
      </c>
      <c r="N14239">
        <v>0</v>
      </c>
      <c r="O14239">
        <v>4341</v>
      </c>
    </row>
    <row r="14240" spans="1:15" x14ac:dyDescent="0.25">
      <c r="A14240" t="s">
        <v>14253</v>
      </c>
      <c r="B14240">
        <v>887</v>
      </c>
      <c r="C14240" s="1" t="str">
        <f>HYPERLINK("http://www.rosaceae.org/gb/gbrowse/malus_x_domestica/?name=MDP0000267674","MDP0000267674")</f>
        <v>MDP0000267674</v>
      </c>
      <c r="D14240">
        <v>48.39</v>
      </c>
      <c r="E14240">
        <v>622</v>
      </c>
      <c r="F14240">
        <v>321</v>
      </c>
      <c r="G14240">
        <v>49</v>
      </c>
      <c r="H14240">
        <v>204</v>
      </c>
      <c r="I14240">
        <v>816</v>
      </c>
      <c r="J14240">
        <v>1</v>
      </c>
      <c r="K14240">
        <v>383</v>
      </c>
      <c r="L14240">
        <v>964</v>
      </c>
      <c r="M14240">
        <v>1</v>
      </c>
      <c r="N14240">
        <v>1.09284E-144</v>
      </c>
      <c r="O14240">
        <v>1317</v>
      </c>
    </row>
    <row r="14241" spans="1:15" x14ac:dyDescent="0.25">
      <c r="A14241" t="s">
        <v>14254</v>
      </c>
      <c r="B14241">
        <v>325</v>
      </c>
      <c r="C14241" s="1" t="str">
        <f>HYPERLINK("http://www.rosaceae.org/gb/gbrowse/malus_x_domestica/?name=MDP0000133792","MDP0000133792")</f>
        <v>MDP0000133792</v>
      </c>
      <c r="D14241">
        <v>51</v>
      </c>
      <c r="E14241">
        <v>249</v>
      </c>
      <c r="F14241">
        <v>122</v>
      </c>
      <c r="G14241">
        <v>14</v>
      </c>
      <c r="H14241">
        <v>3</v>
      </c>
      <c r="I14241">
        <v>242</v>
      </c>
      <c r="J14241">
        <v>1</v>
      </c>
      <c r="K14241">
        <v>59</v>
      </c>
      <c r="L14241">
        <v>302</v>
      </c>
      <c r="M14241">
        <v>1</v>
      </c>
      <c r="N14241">
        <v>2.8071400000000002E-63</v>
      </c>
      <c r="O14241">
        <v>610</v>
      </c>
    </row>
    <row r="14242" spans="1:15" x14ac:dyDescent="0.25">
      <c r="A14242" t="s">
        <v>14255</v>
      </c>
      <c r="B14242">
        <v>528</v>
      </c>
      <c r="C14242" s="1" t="str">
        <f>HYPERLINK("http://www.rosaceae.org/gb/gbrowse/malus_x_domestica/?name=MDP0000853195","MDP0000853195")</f>
        <v>MDP0000853195</v>
      </c>
      <c r="D14242">
        <v>76.37</v>
      </c>
      <c r="E14242">
        <v>529</v>
      </c>
      <c r="F14242">
        <v>125</v>
      </c>
      <c r="G14242">
        <v>5</v>
      </c>
      <c r="H14242">
        <v>1</v>
      </c>
      <c r="I14242">
        <v>528</v>
      </c>
      <c r="J14242">
        <v>1</v>
      </c>
      <c r="K14242">
        <v>1</v>
      </c>
      <c r="L14242">
        <v>525</v>
      </c>
      <c r="M14242">
        <v>1</v>
      </c>
      <c r="N14242">
        <v>0</v>
      </c>
      <c r="O14242">
        <v>2078</v>
      </c>
    </row>
    <row r="14243" spans="1:15" x14ac:dyDescent="0.25">
      <c r="A14243" t="s">
        <v>14256</v>
      </c>
      <c r="B14243">
        <v>1359</v>
      </c>
      <c r="C14243" s="1" t="str">
        <f>HYPERLINK("http://www.rosaceae.org/gb/gbrowse/malus_x_domestica/?name=MDP0000619907","MDP0000619907")</f>
        <v>MDP0000619907</v>
      </c>
      <c r="D14243">
        <v>34.64</v>
      </c>
      <c r="E14243">
        <v>381</v>
      </c>
      <c r="F14243">
        <v>249</v>
      </c>
      <c r="G14243">
        <v>36</v>
      </c>
      <c r="H14243">
        <v>942</v>
      </c>
      <c r="I14243">
        <v>1297</v>
      </c>
      <c r="J14243">
        <v>1</v>
      </c>
      <c r="K14243">
        <v>17</v>
      </c>
      <c r="L14243">
        <v>386</v>
      </c>
      <c r="M14243">
        <v>1</v>
      </c>
      <c r="N14243">
        <v>6.7939300000000002E-51</v>
      </c>
      <c r="O14243">
        <v>510</v>
      </c>
    </row>
    <row r="14244" spans="1:15" x14ac:dyDescent="0.25">
      <c r="A14244" t="s">
        <v>14257</v>
      </c>
      <c r="B14244">
        <v>502</v>
      </c>
      <c r="C14244" s="1" t="str">
        <f>HYPERLINK("http://www.rosaceae.org/gb/gbrowse/malus_x_domestica/?name=MDP0000243178","MDP0000243178")</f>
        <v>MDP0000243178</v>
      </c>
      <c r="D14244">
        <v>38.119999999999997</v>
      </c>
      <c r="E14244">
        <v>522</v>
      </c>
      <c r="F14244">
        <v>323</v>
      </c>
      <c r="G14244">
        <v>40</v>
      </c>
      <c r="H14244">
        <v>5</v>
      </c>
      <c r="I14244">
        <v>496</v>
      </c>
      <c r="J14244">
        <v>1</v>
      </c>
      <c r="K14244">
        <v>20</v>
      </c>
      <c r="L14244">
        <v>531</v>
      </c>
      <c r="M14244">
        <v>1</v>
      </c>
      <c r="N14244">
        <v>1.8128400000000002E-89</v>
      </c>
      <c r="O14244">
        <v>838</v>
      </c>
    </row>
    <row r="14245" spans="1:15" x14ac:dyDescent="0.25">
      <c r="A14245" t="s">
        <v>14258</v>
      </c>
      <c r="B14245">
        <v>654</v>
      </c>
      <c r="C14245" s="1" t="str">
        <f>HYPERLINK("http://www.rosaceae.org/gb/gbrowse/malus_x_domestica/?name=MDP0000297059","MDP0000297059")</f>
        <v>MDP0000297059</v>
      </c>
      <c r="D14245">
        <v>38.770000000000003</v>
      </c>
      <c r="E14245">
        <v>441</v>
      </c>
      <c r="F14245">
        <v>270</v>
      </c>
      <c r="G14245">
        <v>69</v>
      </c>
      <c r="H14245">
        <v>5</v>
      </c>
      <c r="I14245">
        <v>432</v>
      </c>
      <c r="J14245">
        <v>1</v>
      </c>
      <c r="K14245">
        <v>13</v>
      </c>
      <c r="L14245">
        <v>397</v>
      </c>
      <c r="M14245">
        <v>1</v>
      </c>
      <c r="N14245">
        <v>3.08072E-66</v>
      </c>
      <c r="O14245">
        <v>639</v>
      </c>
    </row>
    <row r="14246" spans="1:15" x14ac:dyDescent="0.25">
      <c r="A14246" t="s">
        <v>14259</v>
      </c>
      <c r="B14246">
        <v>736</v>
      </c>
      <c r="C14246" s="1" t="str">
        <f>HYPERLINK("http://www.rosaceae.org/gb/gbrowse/malus_x_domestica/?name=MDP0000628105","MDP0000628105")</f>
        <v>MDP0000628105</v>
      </c>
      <c r="D14246">
        <v>37.659999999999997</v>
      </c>
      <c r="E14246">
        <v>778</v>
      </c>
      <c r="F14246">
        <v>485</v>
      </c>
      <c r="G14246">
        <v>129</v>
      </c>
      <c r="H14246">
        <v>1</v>
      </c>
      <c r="I14246">
        <v>736</v>
      </c>
      <c r="J14246">
        <v>1</v>
      </c>
      <c r="K14246">
        <v>38</v>
      </c>
      <c r="L14246">
        <v>728</v>
      </c>
      <c r="M14246">
        <v>1</v>
      </c>
      <c r="N14246">
        <v>3.9239699999999999E-100</v>
      </c>
      <c r="O14246">
        <v>932</v>
      </c>
    </row>
    <row r="14247" spans="1:15" x14ac:dyDescent="0.25">
      <c r="A14247" t="s">
        <v>14260</v>
      </c>
      <c r="B14247">
        <v>1008</v>
      </c>
      <c r="C14247" s="1" t="str">
        <f>HYPERLINK("http://www.rosaceae.org/gb/gbrowse/malus_x_domestica/?name=MDP0000219043","MDP0000219043")</f>
        <v>MDP0000219043</v>
      </c>
      <c r="D14247">
        <v>61.15</v>
      </c>
      <c r="E14247">
        <v>865</v>
      </c>
      <c r="F14247">
        <v>336</v>
      </c>
      <c r="G14247">
        <v>61</v>
      </c>
      <c r="H14247">
        <v>161</v>
      </c>
      <c r="I14247">
        <v>1008</v>
      </c>
      <c r="J14247">
        <v>1</v>
      </c>
      <c r="K14247">
        <v>332</v>
      </c>
      <c r="L14247">
        <v>1152</v>
      </c>
      <c r="M14247">
        <v>1</v>
      </c>
      <c r="N14247">
        <v>0</v>
      </c>
      <c r="O14247">
        <v>2494</v>
      </c>
    </row>
    <row r="14248" spans="1:15" x14ac:dyDescent="0.25">
      <c r="A14248" t="s">
        <v>14261</v>
      </c>
      <c r="B14248">
        <v>460</v>
      </c>
      <c r="C14248" s="1" t="str">
        <f>HYPERLINK("http://www.rosaceae.org/gb/gbrowse/malus_x_domestica/?name=MDP0000179082","MDP0000179082")</f>
        <v>MDP0000179082</v>
      </c>
      <c r="D14248">
        <v>67.77</v>
      </c>
      <c r="E14248">
        <v>512</v>
      </c>
      <c r="F14248">
        <v>165</v>
      </c>
      <c r="G14248">
        <v>70</v>
      </c>
      <c r="H14248">
        <v>7</v>
      </c>
      <c r="I14248">
        <v>460</v>
      </c>
      <c r="J14248">
        <v>1</v>
      </c>
      <c r="K14248">
        <v>40</v>
      </c>
      <c r="L14248">
        <v>539</v>
      </c>
      <c r="M14248">
        <v>1</v>
      </c>
      <c r="N14248">
        <v>0</v>
      </c>
      <c r="O14248">
        <v>1734</v>
      </c>
    </row>
    <row r="14249" spans="1:15" x14ac:dyDescent="0.25">
      <c r="A14249" t="s">
        <v>14262</v>
      </c>
      <c r="B14249">
        <v>544</v>
      </c>
      <c r="C14249" s="1" t="str">
        <f>HYPERLINK("http://www.rosaceae.org/gb/gbrowse/malus_x_domestica/?name=MDP0000315842","MDP0000315842")</f>
        <v>MDP0000315842</v>
      </c>
      <c r="D14249">
        <v>62.13</v>
      </c>
      <c r="E14249">
        <v>243</v>
      </c>
      <c r="F14249">
        <v>92</v>
      </c>
      <c r="G14249">
        <v>11</v>
      </c>
      <c r="H14249">
        <v>108</v>
      </c>
      <c r="I14249">
        <v>339</v>
      </c>
      <c r="J14249">
        <v>1</v>
      </c>
      <c r="K14249">
        <v>308</v>
      </c>
      <c r="L14249">
        <v>550</v>
      </c>
      <c r="M14249">
        <v>1</v>
      </c>
      <c r="N14249">
        <v>2.0317099999999998E-74</v>
      </c>
      <c r="O14249">
        <v>709</v>
      </c>
    </row>
    <row r="14250" spans="1:15" x14ac:dyDescent="0.25">
      <c r="A14250" t="s">
        <v>14263</v>
      </c>
      <c r="B14250">
        <v>1195</v>
      </c>
      <c r="C14250" s="1" t="str">
        <f>HYPERLINK("http://www.rosaceae.org/gb/gbrowse/malus_x_domestica/?name=MDP0000232544","MDP0000232544")</f>
        <v>MDP0000232544</v>
      </c>
      <c r="D14250">
        <v>66.63</v>
      </c>
      <c r="E14250">
        <v>1241</v>
      </c>
      <c r="F14250">
        <v>414</v>
      </c>
      <c r="G14250">
        <v>69</v>
      </c>
      <c r="H14250">
        <v>1</v>
      </c>
      <c r="I14250">
        <v>1178</v>
      </c>
      <c r="J14250">
        <v>1</v>
      </c>
      <c r="K14250">
        <v>1</v>
      </c>
      <c r="L14250">
        <v>1235</v>
      </c>
      <c r="M14250">
        <v>1</v>
      </c>
      <c r="N14250">
        <v>0</v>
      </c>
      <c r="O14250">
        <v>4045</v>
      </c>
    </row>
    <row r="14251" spans="1:15" x14ac:dyDescent="0.25">
      <c r="A14251" t="s">
        <v>14264</v>
      </c>
      <c r="B14251">
        <v>395</v>
      </c>
      <c r="C14251" s="1" t="str">
        <f>HYPERLINK("http://www.rosaceae.org/gb/gbrowse/malus_x_domestica/?name=MDP0000164577","MDP0000164577")</f>
        <v>MDP0000164577</v>
      </c>
      <c r="D14251">
        <v>59.07</v>
      </c>
      <c r="E14251">
        <v>325</v>
      </c>
      <c r="F14251">
        <v>133</v>
      </c>
      <c r="G14251">
        <v>66</v>
      </c>
      <c r="H14251">
        <v>137</v>
      </c>
      <c r="I14251">
        <v>395</v>
      </c>
      <c r="J14251">
        <v>1</v>
      </c>
      <c r="K14251">
        <v>207</v>
      </c>
      <c r="L14251">
        <v>531</v>
      </c>
      <c r="M14251">
        <v>1</v>
      </c>
      <c r="N14251">
        <v>1.7262400000000001E-107</v>
      </c>
      <c r="O14251">
        <v>992</v>
      </c>
    </row>
    <row r="14252" spans="1:15" x14ac:dyDescent="0.25">
      <c r="A14252" t="s">
        <v>14265</v>
      </c>
      <c r="B14252">
        <v>359</v>
      </c>
      <c r="C14252" s="1" t="str">
        <f>HYPERLINK("http://www.rosaceae.org/gb/gbrowse/malus_x_domestica/?name=MDP0000499338","MDP0000499338")</f>
        <v>MDP0000499338</v>
      </c>
      <c r="D14252">
        <v>72.37</v>
      </c>
      <c r="E14252">
        <v>286</v>
      </c>
      <c r="F14252">
        <v>79</v>
      </c>
      <c r="G14252">
        <v>1</v>
      </c>
      <c r="H14252">
        <v>1</v>
      </c>
      <c r="I14252">
        <v>285</v>
      </c>
      <c r="J14252">
        <v>1</v>
      </c>
      <c r="K14252">
        <v>1</v>
      </c>
      <c r="L14252">
        <v>286</v>
      </c>
      <c r="M14252">
        <v>1</v>
      </c>
      <c r="N14252">
        <v>1.29585E-117</v>
      </c>
      <c r="O14252">
        <v>1079</v>
      </c>
    </row>
    <row r="14253" spans="1:15" x14ac:dyDescent="0.25">
      <c r="A14253" t="s">
        <v>14266</v>
      </c>
      <c r="B14253">
        <v>971</v>
      </c>
      <c r="C14253" s="1" t="str">
        <f>HYPERLINK("http://www.rosaceae.org/gb/gbrowse/malus_x_domestica/?name=MDP0000138715","MDP0000138715")</f>
        <v>MDP0000138715</v>
      </c>
      <c r="D14253">
        <v>67.81</v>
      </c>
      <c r="E14253">
        <v>985</v>
      </c>
      <c r="F14253">
        <v>317</v>
      </c>
      <c r="G14253">
        <v>28</v>
      </c>
      <c r="H14253">
        <v>4</v>
      </c>
      <c r="I14253">
        <v>971</v>
      </c>
      <c r="J14253">
        <v>1</v>
      </c>
      <c r="K14253">
        <v>75</v>
      </c>
      <c r="L14253">
        <v>1048</v>
      </c>
      <c r="M14253">
        <v>1</v>
      </c>
      <c r="N14253">
        <v>0</v>
      </c>
      <c r="O14253">
        <v>3350</v>
      </c>
    </row>
    <row r="14254" spans="1:15" x14ac:dyDescent="0.25">
      <c r="A14254" t="s">
        <v>14267</v>
      </c>
      <c r="B14254">
        <v>777</v>
      </c>
      <c r="C14254" s="1" t="str">
        <f>HYPERLINK("http://www.rosaceae.org/gb/gbrowse/malus_x_domestica/?name=MDP0000834327","MDP0000834327")</f>
        <v>MDP0000834327</v>
      </c>
      <c r="D14254">
        <v>69.069999999999993</v>
      </c>
      <c r="E14254">
        <v>624</v>
      </c>
      <c r="F14254">
        <v>193</v>
      </c>
      <c r="G14254">
        <v>18</v>
      </c>
      <c r="H14254">
        <v>157</v>
      </c>
      <c r="I14254">
        <v>767</v>
      </c>
      <c r="J14254">
        <v>1</v>
      </c>
      <c r="K14254">
        <v>2</v>
      </c>
      <c r="L14254">
        <v>620</v>
      </c>
      <c r="M14254">
        <v>1</v>
      </c>
      <c r="N14254">
        <v>0</v>
      </c>
      <c r="O14254">
        <v>2194</v>
      </c>
    </row>
    <row r="14255" spans="1:15" x14ac:dyDescent="0.25">
      <c r="A14255" t="s">
        <v>14268</v>
      </c>
      <c r="B14255">
        <v>594</v>
      </c>
      <c r="C14255" s="1" t="str">
        <f>HYPERLINK("http://www.rosaceae.org/gb/gbrowse/malus_x_domestica/?name=MDP0000778663","MDP0000778663")</f>
        <v>MDP0000778663</v>
      </c>
      <c r="D14255">
        <v>75.069999999999993</v>
      </c>
      <c r="E14255">
        <v>313</v>
      </c>
      <c r="F14255">
        <v>78</v>
      </c>
      <c r="G14255">
        <v>3</v>
      </c>
      <c r="H14255">
        <v>130</v>
      </c>
      <c r="I14255">
        <v>442</v>
      </c>
      <c r="J14255">
        <v>1</v>
      </c>
      <c r="K14255">
        <v>1</v>
      </c>
      <c r="L14255">
        <v>310</v>
      </c>
      <c r="M14255">
        <v>1</v>
      </c>
      <c r="N14255">
        <v>1.6830399999999999E-128</v>
      </c>
      <c r="O14255">
        <v>1175</v>
      </c>
    </row>
    <row r="14256" spans="1:15" x14ac:dyDescent="0.25">
      <c r="A14256" t="s">
        <v>14269</v>
      </c>
      <c r="B14256">
        <v>311</v>
      </c>
      <c r="C14256" s="1" t="str">
        <f>HYPERLINK("http://www.rosaceae.org/gb/gbrowse/malus_x_domestica/?name=MDP0000269765","MDP0000269765")</f>
        <v>MDP0000269765</v>
      </c>
      <c r="D14256">
        <v>63.08</v>
      </c>
      <c r="E14256">
        <v>344</v>
      </c>
      <c r="F14256">
        <v>127</v>
      </c>
      <c r="G14256">
        <v>33</v>
      </c>
      <c r="H14256">
        <v>1</v>
      </c>
      <c r="I14256">
        <v>311</v>
      </c>
      <c r="J14256">
        <v>1</v>
      </c>
      <c r="K14256">
        <v>1</v>
      </c>
      <c r="L14256">
        <v>344</v>
      </c>
      <c r="M14256">
        <v>1</v>
      </c>
      <c r="N14256">
        <v>1.61282E-109</v>
      </c>
      <c r="O14256">
        <v>1009</v>
      </c>
    </row>
    <row r="14257" spans="1:15" x14ac:dyDescent="0.25">
      <c r="A14257" t="s">
        <v>14270</v>
      </c>
      <c r="B14257">
        <v>221</v>
      </c>
      <c r="C14257" s="1" t="str">
        <f>HYPERLINK("http://www.rosaceae.org/gb/gbrowse/malus_x_domestica/?name=MDP0000183572","MDP0000183572")</f>
        <v>MDP0000183572</v>
      </c>
      <c r="D14257">
        <v>56.89</v>
      </c>
      <c r="E14257">
        <v>174</v>
      </c>
      <c r="F14257">
        <v>75</v>
      </c>
      <c r="G14257">
        <v>41</v>
      </c>
      <c r="H14257">
        <v>46</v>
      </c>
      <c r="I14257">
        <v>178</v>
      </c>
      <c r="J14257">
        <v>1</v>
      </c>
      <c r="K14257">
        <v>35</v>
      </c>
      <c r="L14257">
        <v>208</v>
      </c>
      <c r="M14257">
        <v>1</v>
      </c>
      <c r="N14257">
        <v>1.31952E-48</v>
      </c>
      <c r="O14257">
        <v>481</v>
      </c>
    </row>
    <row r="14258" spans="1:15" x14ac:dyDescent="0.25">
      <c r="A14258" t="s">
        <v>14271</v>
      </c>
      <c r="B14258">
        <v>149</v>
      </c>
      <c r="C14258" s="1" t="str">
        <f>HYPERLINK("http://www.rosaceae.org/gb/gbrowse/malus_x_domestica/?name=MDP0000140140","MDP0000140140")</f>
        <v>MDP0000140140</v>
      </c>
      <c r="D14258">
        <v>62.79</v>
      </c>
      <c r="E14258">
        <v>129</v>
      </c>
      <c r="F14258">
        <v>48</v>
      </c>
      <c r="G14258">
        <v>0</v>
      </c>
      <c r="H14258">
        <v>21</v>
      </c>
      <c r="I14258">
        <v>149</v>
      </c>
      <c r="J14258">
        <v>1</v>
      </c>
      <c r="K14258">
        <v>43</v>
      </c>
      <c r="L14258">
        <v>171</v>
      </c>
      <c r="M14258">
        <v>1</v>
      </c>
      <c r="N14258">
        <v>5.0489100000000004E-44</v>
      </c>
      <c r="O14258">
        <v>439</v>
      </c>
    </row>
    <row r="14259" spans="1:15" x14ac:dyDescent="0.25">
      <c r="A14259" t="s">
        <v>14272</v>
      </c>
      <c r="B14259">
        <v>616</v>
      </c>
      <c r="C14259" s="1" t="str">
        <f>HYPERLINK("http://www.rosaceae.org/gb/gbrowse/malus_x_domestica/?name=MDP0000134667","MDP0000134667")</f>
        <v>MDP0000134667</v>
      </c>
      <c r="D14259">
        <v>53.58</v>
      </c>
      <c r="E14259">
        <v>209</v>
      </c>
      <c r="F14259">
        <v>97</v>
      </c>
      <c r="G14259">
        <v>14</v>
      </c>
      <c r="H14259">
        <v>107</v>
      </c>
      <c r="I14259">
        <v>301</v>
      </c>
      <c r="J14259">
        <v>1</v>
      </c>
      <c r="K14259">
        <v>19</v>
      </c>
      <c r="L14259">
        <v>227</v>
      </c>
      <c r="M14259">
        <v>1</v>
      </c>
      <c r="N14259">
        <v>1.0014799999999999E-57</v>
      </c>
      <c r="O14259">
        <v>565</v>
      </c>
    </row>
    <row r="14260" spans="1:15" x14ac:dyDescent="0.25">
      <c r="A14260" t="s">
        <v>14273</v>
      </c>
      <c r="B14260">
        <v>585</v>
      </c>
      <c r="C14260" s="1" t="str">
        <f>HYPERLINK("http://www.rosaceae.org/gb/gbrowse/malus_x_domestica/?name=MDP0000197586","MDP0000197586")</f>
        <v>MDP0000197586</v>
      </c>
      <c r="D14260">
        <v>43.61</v>
      </c>
      <c r="E14260">
        <v>493</v>
      </c>
      <c r="F14260">
        <v>278</v>
      </c>
      <c r="G14260">
        <v>116</v>
      </c>
      <c r="H14260">
        <v>191</v>
      </c>
      <c r="I14260">
        <v>574</v>
      </c>
      <c r="J14260">
        <v>1</v>
      </c>
      <c r="K14260">
        <v>24</v>
      </c>
      <c r="L14260">
        <v>509</v>
      </c>
      <c r="M14260">
        <v>1</v>
      </c>
      <c r="N14260">
        <v>1.2342700000000001E-97</v>
      </c>
      <c r="O14260">
        <v>909</v>
      </c>
    </row>
    <row r="14261" spans="1:15" x14ac:dyDescent="0.25">
      <c r="A14261" t="s">
        <v>14274</v>
      </c>
      <c r="B14261">
        <v>387</v>
      </c>
      <c r="C14261" s="1" t="str">
        <f>HYPERLINK("http://www.rosaceae.org/gb/gbrowse/malus_x_domestica/?name=MDP0000185402","MDP0000185402")</f>
        <v>MDP0000185402</v>
      </c>
      <c r="D14261">
        <v>58.95</v>
      </c>
      <c r="E14261">
        <v>402</v>
      </c>
      <c r="F14261">
        <v>165</v>
      </c>
      <c r="G14261">
        <v>69</v>
      </c>
      <c r="H14261">
        <v>53</v>
      </c>
      <c r="I14261">
        <v>387</v>
      </c>
      <c r="J14261">
        <v>1</v>
      </c>
      <c r="K14261">
        <v>115</v>
      </c>
      <c r="L14261">
        <v>514</v>
      </c>
      <c r="M14261">
        <v>1</v>
      </c>
      <c r="N14261">
        <v>3.0687899999999997E-123</v>
      </c>
      <c r="O14261">
        <v>1128</v>
      </c>
    </row>
    <row r="14262" spans="1:15" x14ac:dyDescent="0.25">
      <c r="A14262" t="s">
        <v>14275</v>
      </c>
      <c r="B14262">
        <v>492</v>
      </c>
      <c r="C14262" s="1" t="str">
        <f>HYPERLINK("http://www.rosaceae.org/gb/gbrowse/malus_x_domestica/?name=MDP0000203143","MDP0000203143")</f>
        <v>MDP0000203143</v>
      </c>
      <c r="D14262">
        <v>68.25</v>
      </c>
      <c r="E14262">
        <v>293</v>
      </c>
      <c r="F14262">
        <v>93</v>
      </c>
      <c r="G14262">
        <v>8</v>
      </c>
      <c r="H14262">
        <v>157</v>
      </c>
      <c r="I14262">
        <v>447</v>
      </c>
      <c r="J14262">
        <v>1</v>
      </c>
      <c r="K14262">
        <v>3</v>
      </c>
      <c r="L14262">
        <v>289</v>
      </c>
      <c r="M14262">
        <v>1</v>
      </c>
      <c r="N14262">
        <v>7.8105200000000004E-114</v>
      </c>
      <c r="O14262">
        <v>1048</v>
      </c>
    </row>
    <row r="14263" spans="1:15" x14ac:dyDescent="0.25">
      <c r="A14263" t="s">
        <v>14276</v>
      </c>
      <c r="B14263">
        <v>1056</v>
      </c>
      <c r="C14263" s="1" t="str">
        <f>HYPERLINK("http://www.rosaceae.org/gb/gbrowse/malus_x_domestica/?name=MDP0000313472","MDP0000313472")</f>
        <v>MDP0000313472</v>
      </c>
      <c r="D14263">
        <v>47.08</v>
      </c>
      <c r="E14263">
        <v>446</v>
      </c>
      <c r="F14263">
        <v>236</v>
      </c>
      <c r="G14263">
        <v>73</v>
      </c>
      <c r="H14263">
        <v>30</v>
      </c>
      <c r="I14263">
        <v>411</v>
      </c>
      <c r="J14263">
        <v>1</v>
      </c>
      <c r="K14263">
        <v>36</v>
      </c>
      <c r="L14263">
        <v>472</v>
      </c>
      <c r="M14263">
        <v>1</v>
      </c>
      <c r="N14263">
        <v>1.2831E-93</v>
      </c>
      <c r="O14263">
        <v>877</v>
      </c>
    </row>
    <row r="14264" spans="1:15" x14ac:dyDescent="0.25">
      <c r="A14264" t="s">
        <v>14277</v>
      </c>
      <c r="B14264">
        <v>458</v>
      </c>
      <c r="C14264" s="1" t="str">
        <f>HYPERLINK("http://www.rosaceae.org/gb/gbrowse/malus_x_domestica/?name=MDP0000799658","MDP0000799658")</f>
        <v>MDP0000799658</v>
      </c>
      <c r="D14264">
        <v>62.55</v>
      </c>
      <c r="E14264">
        <v>462</v>
      </c>
      <c r="F14264">
        <v>173</v>
      </c>
      <c r="G14264">
        <v>13</v>
      </c>
      <c r="H14264">
        <v>1</v>
      </c>
      <c r="I14264">
        <v>458</v>
      </c>
      <c r="J14264">
        <v>1</v>
      </c>
      <c r="K14264">
        <v>1</v>
      </c>
      <c r="L14264">
        <v>453</v>
      </c>
      <c r="M14264">
        <v>1</v>
      </c>
      <c r="N14264">
        <v>2.24363E-148</v>
      </c>
      <c r="O14264">
        <v>1346</v>
      </c>
    </row>
    <row r="14265" spans="1:15" x14ac:dyDescent="0.25">
      <c r="A14265" t="s">
        <v>14278</v>
      </c>
      <c r="B14265">
        <v>852</v>
      </c>
      <c r="C14265" s="1" t="str">
        <f>HYPERLINK("http://www.rosaceae.org/gb/gbrowse/malus_x_domestica/?name=MDP0000186701","MDP0000186701")</f>
        <v>MDP0000186701</v>
      </c>
      <c r="D14265">
        <v>58.94</v>
      </c>
      <c r="E14265">
        <v>894</v>
      </c>
      <c r="F14265">
        <v>367</v>
      </c>
      <c r="G14265">
        <v>81</v>
      </c>
      <c r="H14265">
        <v>1</v>
      </c>
      <c r="I14265">
        <v>852</v>
      </c>
      <c r="J14265">
        <v>1</v>
      </c>
      <c r="K14265">
        <v>1</v>
      </c>
      <c r="L14265">
        <v>855</v>
      </c>
      <c r="M14265">
        <v>1</v>
      </c>
      <c r="N14265">
        <v>0</v>
      </c>
      <c r="O14265">
        <v>2501</v>
      </c>
    </row>
    <row r="14266" spans="1:15" x14ac:dyDescent="0.25">
      <c r="A14266" t="s">
        <v>14279</v>
      </c>
      <c r="B14266">
        <v>212</v>
      </c>
      <c r="C14266" s="1" t="str">
        <f>HYPERLINK("http://www.rosaceae.org/gb/gbrowse/malus_x_domestica/?name=MDP0000208088","MDP0000208088")</f>
        <v>MDP0000208088</v>
      </c>
      <c r="D14266">
        <v>48</v>
      </c>
      <c r="E14266">
        <v>225</v>
      </c>
      <c r="F14266">
        <v>117</v>
      </c>
      <c r="G14266">
        <v>49</v>
      </c>
      <c r="H14266">
        <v>34</v>
      </c>
      <c r="I14266">
        <v>212</v>
      </c>
      <c r="J14266">
        <v>1</v>
      </c>
      <c r="K14266">
        <v>77</v>
      </c>
      <c r="L14266">
        <v>298</v>
      </c>
      <c r="M14266">
        <v>1</v>
      </c>
      <c r="N14266">
        <v>9.9235800000000001E-48</v>
      </c>
      <c r="O14266">
        <v>474</v>
      </c>
    </row>
    <row r="14267" spans="1:15" x14ac:dyDescent="0.25">
      <c r="A14267" t="s">
        <v>14280</v>
      </c>
      <c r="B14267">
        <v>480</v>
      </c>
      <c r="C14267" s="1" t="str">
        <f>HYPERLINK("http://www.rosaceae.org/gb/gbrowse/malus_x_domestica/?name=MDP0000282171","MDP0000282171")</f>
        <v>MDP0000282171</v>
      </c>
      <c r="D14267">
        <v>77.16</v>
      </c>
      <c r="E14267">
        <v>219</v>
      </c>
      <c r="F14267">
        <v>50</v>
      </c>
      <c r="G14267">
        <v>5</v>
      </c>
      <c r="H14267">
        <v>1</v>
      </c>
      <c r="I14267">
        <v>214</v>
      </c>
      <c r="J14267">
        <v>1</v>
      </c>
      <c r="K14267">
        <v>1</v>
      </c>
      <c r="L14267">
        <v>219</v>
      </c>
      <c r="M14267">
        <v>1</v>
      </c>
      <c r="N14267">
        <v>3.7043E-96</v>
      </c>
      <c r="O14267">
        <v>896</v>
      </c>
    </row>
    <row r="14268" spans="1:15" x14ac:dyDescent="0.25">
      <c r="A14268" t="s">
        <v>14281</v>
      </c>
      <c r="B14268">
        <v>906</v>
      </c>
      <c r="C14268" s="1" t="str">
        <f>HYPERLINK("http://www.rosaceae.org/gb/gbrowse/malus_x_domestica/?name=MDP0000628060","MDP0000628060")</f>
        <v>MDP0000628060</v>
      </c>
      <c r="D14268">
        <v>65.06</v>
      </c>
      <c r="E14268">
        <v>521</v>
      </c>
      <c r="F14268">
        <v>182</v>
      </c>
      <c r="G14268">
        <v>30</v>
      </c>
      <c r="H14268">
        <v>394</v>
      </c>
      <c r="I14268">
        <v>884</v>
      </c>
      <c r="J14268">
        <v>1</v>
      </c>
      <c r="K14268">
        <v>1</v>
      </c>
      <c r="L14268">
        <v>521</v>
      </c>
      <c r="M14268">
        <v>1</v>
      </c>
      <c r="N14268">
        <v>0</v>
      </c>
      <c r="O14268">
        <v>1761</v>
      </c>
    </row>
    <row r="14269" spans="1:15" x14ac:dyDescent="0.25">
      <c r="A14269" t="s">
        <v>14282</v>
      </c>
      <c r="B14269">
        <v>610</v>
      </c>
      <c r="C14269" s="1" t="str">
        <f>HYPERLINK("http://www.rosaceae.org/gb/gbrowse/malus_x_domestica/?name=MDP0000191854","MDP0000191854")</f>
        <v>MDP0000191854</v>
      </c>
      <c r="D14269">
        <v>81.12</v>
      </c>
      <c r="E14269">
        <v>604</v>
      </c>
      <c r="F14269">
        <v>114</v>
      </c>
      <c r="G14269">
        <v>3</v>
      </c>
      <c r="H14269">
        <v>8</v>
      </c>
      <c r="I14269">
        <v>610</v>
      </c>
      <c r="J14269">
        <v>1</v>
      </c>
      <c r="K14269">
        <v>87</v>
      </c>
      <c r="L14269">
        <v>688</v>
      </c>
      <c r="M14269">
        <v>1</v>
      </c>
      <c r="N14269">
        <v>0</v>
      </c>
      <c r="O14269">
        <v>2590</v>
      </c>
    </row>
    <row r="14270" spans="1:15" x14ac:dyDescent="0.25">
      <c r="A14270" t="s">
        <v>14283</v>
      </c>
      <c r="B14270">
        <v>300</v>
      </c>
      <c r="C14270" s="1" t="str">
        <f>HYPERLINK("http://www.rosaceae.org/gb/gbrowse/malus_x_domestica/?name=MDP0000138698","MDP0000138698")</f>
        <v>MDP0000138698</v>
      </c>
      <c r="D14270">
        <v>48.9</v>
      </c>
      <c r="E14270">
        <v>319</v>
      </c>
      <c r="F14270">
        <v>163</v>
      </c>
      <c r="G14270">
        <v>23</v>
      </c>
      <c r="H14270">
        <v>3</v>
      </c>
      <c r="I14270">
        <v>299</v>
      </c>
      <c r="J14270">
        <v>1</v>
      </c>
      <c r="K14270">
        <v>98</v>
      </c>
      <c r="L14270">
        <v>415</v>
      </c>
      <c r="M14270">
        <v>1</v>
      </c>
      <c r="N14270">
        <v>1.51537E-79</v>
      </c>
      <c r="O14270">
        <v>750</v>
      </c>
    </row>
    <row r="14271" spans="1:15" x14ac:dyDescent="0.25">
      <c r="A14271" t="s">
        <v>14284</v>
      </c>
      <c r="B14271">
        <v>433</v>
      </c>
      <c r="C14271" s="1" t="str">
        <f>HYPERLINK("http://www.rosaceae.org/gb/gbrowse/malus_x_domestica/?name=MDP0000147190","MDP0000147190")</f>
        <v>MDP0000147190</v>
      </c>
      <c r="D14271">
        <v>32.93</v>
      </c>
      <c r="E14271">
        <v>252</v>
      </c>
      <c r="F14271">
        <v>169</v>
      </c>
      <c r="G14271">
        <v>31</v>
      </c>
      <c r="H14271">
        <v>114</v>
      </c>
      <c r="I14271">
        <v>365</v>
      </c>
      <c r="J14271">
        <v>1</v>
      </c>
      <c r="K14271">
        <v>63</v>
      </c>
      <c r="L14271">
        <v>283</v>
      </c>
      <c r="M14271">
        <v>1</v>
      </c>
      <c r="N14271">
        <v>8.88845E-32</v>
      </c>
      <c r="O14271">
        <v>340</v>
      </c>
    </row>
    <row r="14272" spans="1:15" x14ac:dyDescent="0.25">
      <c r="A14272" t="s">
        <v>14285</v>
      </c>
      <c r="B14272">
        <v>340</v>
      </c>
      <c r="C14272" s="1" t="str">
        <f>HYPERLINK("http://www.rosaceae.org/gb/gbrowse/malus_x_domestica/?name=MDP0000264024","MDP0000264024")</f>
        <v>MDP0000264024</v>
      </c>
      <c r="D14272">
        <v>50.88</v>
      </c>
      <c r="E14272">
        <v>338</v>
      </c>
      <c r="F14272">
        <v>166</v>
      </c>
      <c r="G14272">
        <v>36</v>
      </c>
      <c r="H14272">
        <v>33</v>
      </c>
      <c r="I14272">
        <v>337</v>
      </c>
      <c r="J14272">
        <v>1</v>
      </c>
      <c r="K14272">
        <v>28</v>
      </c>
      <c r="L14272">
        <v>362</v>
      </c>
      <c r="M14272">
        <v>1</v>
      </c>
      <c r="N14272">
        <v>3.0035700000000001E-85</v>
      </c>
      <c r="O14272">
        <v>800</v>
      </c>
    </row>
    <row r="14273" spans="1:15" x14ac:dyDescent="0.25">
      <c r="A14273" t="s">
        <v>14286</v>
      </c>
      <c r="B14273">
        <v>183</v>
      </c>
      <c r="C14273" s="1" t="str">
        <f>HYPERLINK("http://www.rosaceae.org/gb/gbrowse/malus_x_domestica/?name=MDP0000134135","MDP0000134135")</f>
        <v>MDP0000134135</v>
      </c>
      <c r="D14273">
        <v>48.03</v>
      </c>
      <c r="E14273">
        <v>127</v>
      </c>
      <c r="F14273">
        <v>66</v>
      </c>
      <c r="G14273">
        <v>18</v>
      </c>
      <c r="H14273">
        <v>1</v>
      </c>
      <c r="I14273">
        <v>118</v>
      </c>
      <c r="J14273">
        <v>1</v>
      </c>
      <c r="K14273">
        <v>348</v>
      </c>
      <c r="L14273">
        <v>465</v>
      </c>
      <c r="M14273">
        <v>1</v>
      </c>
      <c r="N14273">
        <v>3.2167400000000001E-24</v>
      </c>
      <c r="O14273">
        <v>270</v>
      </c>
    </row>
    <row r="14274" spans="1:15" x14ac:dyDescent="0.25">
      <c r="A14274" t="s">
        <v>14287</v>
      </c>
      <c r="B14274">
        <v>375</v>
      </c>
      <c r="C14274" s="1" t="str">
        <f>HYPERLINK("http://www.rosaceae.org/gb/gbrowse/malus_x_domestica/?name=MDP0000185794","MDP0000185794")</f>
        <v>MDP0000185794</v>
      </c>
      <c r="D14274">
        <v>67.739999999999995</v>
      </c>
      <c r="E14274">
        <v>186</v>
      </c>
      <c r="F14274">
        <v>60</v>
      </c>
      <c r="G14274">
        <v>0</v>
      </c>
      <c r="H14274">
        <v>188</v>
      </c>
      <c r="I14274">
        <v>373</v>
      </c>
      <c r="J14274">
        <v>1</v>
      </c>
      <c r="K14274">
        <v>219</v>
      </c>
      <c r="L14274">
        <v>404</v>
      </c>
      <c r="M14274">
        <v>1</v>
      </c>
      <c r="N14274">
        <v>2.0326699999999999E-70</v>
      </c>
      <c r="O14274">
        <v>672</v>
      </c>
    </row>
    <row r="14275" spans="1:15" x14ac:dyDescent="0.25">
      <c r="A14275" t="s">
        <v>14288</v>
      </c>
      <c r="B14275">
        <v>69</v>
      </c>
      <c r="C14275" s="1" t="str">
        <f>HYPERLINK("http://www.rosaceae.org/gb/gbrowse/malus_x_domestica/?name=MDP0000608985","MDP0000608985")</f>
        <v>MDP0000608985</v>
      </c>
      <c r="D14275">
        <v>58.73</v>
      </c>
      <c r="E14275">
        <v>63</v>
      </c>
      <c r="F14275">
        <v>26</v>
      </c>
      <c r="G14275">
        <v>5</v>
      </c>
      <c r="H14275">
        <v>1</v>
      </c>
      <c r="I14275">
        <v>58</v>
      </c>
      <c r="J14275">
        <v>1</v>
      </c>
      <c r="K14275">
        <v>1</v>
      </c>
      <c r="L14275">
        <v>63</v>
      </c>
      <c r="M14275">
        <v>1</v>
      </c>
      <c r="N14275">
        <v>3.1673399999999997E-11</v>
      </c>
      <c r="O14275">
        <v>154</v>
      </c>
    </row>
    <row r="14276" spans="1:15" x14ac:dyDescent="0.25">
      <c r="A14276" t="s">
        <v>14289</v>
      </c>
      <c r="B14276">
        <v>176</v>
      </c>
      <c r="C14276" s="1" t="str">
        <f>HYPERLINK("http://www.rosaceae.org/gb/gbrowse/malus_x_domestica/?name=MDP0000150641","MDP0000150641")</f>
        <v>MDP0000150641</v>
      </c>
      <c r="D14276">
        <v>34.880000000000003</v>
      </c>
      <c r="E14276">
        <v>172</v>
      </c>
      <c r="F14276">
        <v>112</v>
      </c>
      <c r="G14276">
        <v>27</v>
      </c>
      <c r="H14276">
        <v>17</v>
      </c>
      <c r="I14276">
        <v>173</v>
      </c>
      <c r="J14276">
        <v>1</v>
      </c>
      <c r="K14276">
        <v>7</v>
      </c>
      <c r="L14276">
        <v>166</v>
      </c>
      <c r="M14276">
        <v>1</v>
      </c>
      <c r="N14276">
        <v>2.6352499999999998E-16</v>
      </c>
      <c r="O14276">
        <v>201</v>
      </c>
    </row>
    <row r="14277" spans="1:15" x14ac:dyDescent="0.25">
      <c r="A14277" t="s">
        <v>14290</v>
      </c>
      <c r="B14277">
        <v>144</v>
      </c>
      <c r="C14277" s="1" t="str">
        <f>HYPERLINK("http://www.rosaceae.org/gb/gbrowse/malus_x_domestica/?name=MDP0000766814","MDP0000766814")</f>
        <v>MDP0000766814</v>
      </c>
      <c r="D14277">
        <v>40.14</v>
      </c>
      <c r="E14277">
        <v>137</v>
      </c>
      <c r="F14277">
        <v>82</v>
      </c>
      <c r="G14277">
        <v>17</v>
      </c>
      <c r="H14277">
        <v>1</v>
      </c>
      <c r="I14277">
        <v>135</v>
      </c>
      <c r="J14277">
        <v>1</v>
      </c>
      <c r="K14277">
        <v>1</v>
      </c>
      <c r="L14277">
        <v>122</v>
      </c>
      <c r="M14277">
        <v>1</v>
      </c>
      <c r="N14277">
        <v>2.2187699999999999E-13</v>
      </c>
      <c r="O14277">
        <v>174</v>
      </c>
    </row>
    <row r="14278" spans="1:15" x14ac:dyDescent="0.25">
      <c r="A14278" t="s">
        <v>14291</v>
      </c>
      <c r="B14278">
        <v>191</v>
      </c>
      <c r="C14278" s="1" t="str">
        <f>HYPERLINK("http://www.rosaceae.org/gb/gbrowse/malus_x_domestica/?name=MDP0000709706","MDP0000709706")</f>
        <v>MDP0000709706</v>
      </c>
      <c r="D14278">
        <v>38.21</v>
      </c>
      <c r="E14278">
        <v>246</v>
      </c>
      <c r="F14278">
        <v>152</v>
      </c>
      <c r="G14278">
        <v>62</v>
      </c>
      <c r="H14278">
        <v>1</v>
      </c>
      <c r="I14278">
        <v>184</v>
      </c>
      <c r="J14278">
        <v>1</v>
      </c>
      <c r="K14278">
        <v>1</v>
      </c>
      <c r="L14278">
        <v>246</v>
      </c>
      <c r="M14278">
        <v>1</v>
      </c>
      <c r="N14278">
        <v>1.22071E-26</v>
      </c>
      <c r="O14278">
        <v>291</v>
      </c>
    </row>
    <row r="14279" spans="1:15" x14ac:dyDescent="0.25">
      <c r="A14279" t="s">
        <v>14292</v>
      </c>
      <c r="B14279">
        <v>203</v>
      </c>
      <c r="C14279" s="1" t="str">
        <f>HYPERLINK("http://www.rosaceae.org/gb/gbrowse/malus_x_domestica/?name=MDP0000185125","MDP0000185125")</f>
        <v>MDP0000185125</v>
      </c>
      <c r="D14279">
        <v>30.21</v>
      </c>
      <c r="E14279">
        <v>139</v>
      </c>
      <c r="F14279">
        <v>97</v>
      </c>
      <c r="G14279">
        <v>4</v>
      </c>
      <c r="H14279">
        <v>20</v>
      </c>
      <c r="I14279">
        <v>157</v>
      </c>
      <c r="J14279">
        <v>1</v>
      </c>
      <c r="K14279">
        <v>72</v>
      </c>
      <c r="L14279">
        <v>207</v>
      </c>
      <c r="M14279">
        <v>1</v>
      </c>
      <c r="N14279">
        <v>2.6082800000000002E-13</v>
      </c>
      <c r="O14279">
        <v>176</v>
      </c>
    </row>
    <row r="14280" spans="1:15" x14ac:dyDescent="0.25">
      <c r="A14280" t="s">
        <v>14293</v>
      </c>
      <c r="B14280">
        <v>446</v>
      </c>
      <c r="C14280" s="1" t="str">
        <f>HYPERLINK("http://www.rosaceae.org/gb/gbrowse/malus_x_domestica/?name=MDP0000313910","MDP0000313910")</f>
        <v>MDP0000313910</v>
      </c>
      <c r="D14280">
        <v>79.45</v>
      </c>
      <c r="E14280">
        <v>443</v>
      </c>
      <c r="F14280">
        <v>91</v>
      </c>
      <c r="G14280">
        <v>1</v>
      </c>
      <c r="H14280">
        <v>4</v>
      </c>
      <c r="I14280">
        <v>446</v>
      </c>
      <c r="J14280">
        <v>1</v>
      </c>
      <c r="K14280">
        <v>26</v>
      </c>
      <c r="L14280">
        <v>467</v>
      </c>
      <c r="M14280">
        <v>1</v>
      </c>
      <c r="N14280">
        <v>0</v>
      </c>
      <c r="O14280">
        <v>1881</v>
      </c>
    </row>
    <row r="14281" spans="1:15" x14ac:dyDescent="0.25">
      <c r="A14281" t="s">
        <v>14294</v>
      </c>
      <c r="B14281">
        <v>444</v>
      </c>
      <c r="C14281" s="1" t="str">
        <f>HYPERLINK("http://www.rosaceae.org/gb/gbrowse/malus_x_domestica/?name=MDP0000126058","MDP0000126058")</f>
        <v>MDP0000126058</v>
      </c>
      <c r="D14281">
        <v>64.16</v>
      </c>
      <c r="E14281">
        <v>480</v>
      </c>
      <c r="F14281">
        <v>172</v>
      </c>
      <c r="G14281">
        <v>57</v>
      </c>
      <c r="H14281">
        <v>1</v>
      </c>
      <c r="I14281">
        <v>429</v>
      </c>
      <c r="J14281">
        <v>1</v>
      </c>
      <c r="K14281">
        <v>466</v>
      </c>
      <c r="L14281">
        <v>939</v>
      </c>
      <c r="M14281">
        <v>1</v>
      </c>
      <c r="N14281">
        <v>1.23023E-152</v>
      </c>
      <c r="O14281">
        <v>1382</v>
      </c>
    </row>
    <row r="14282" spans="1:15" x14ac:dyDescent="0.25">
      <c r="A14282" t="s">
        <v>14295</v>
      </c>
      <c r="B14282">
        <v>418</v>
      </c>
      <c r="C14282" s="1" t="str">
        <f>HYPERLINK("http://www.rosaceae.org/gb/gbrowse/malus_x_domestica/?name=MDP0000191786","MDP0000191786")</f>
        <v>MDP0000191786</v>
      </c>
      <c r="D14282">
        <v>29.55</v>
      </c>
      <c r="E14282">
        <v>379</v>
      </c>
      <c r="F14282">
        <v>267</v>
      </c>
      <c r="G14282">
        <v>53</v>
      </c>
      <c r="H14282">
        <v>35</v>
      </c>
      <c r="I14282">
        <v>405</v>
      </c>
      <c r="J14282">
        <v>1</v>
      </c>
      <c r="K14282">
        <v>527</v>
      </c>
      <c r="L14282">
        <v>860</v>
      </c>
      <c r="M14282">
        <v>1</v>
      </c>
      <c r="N14282">
        <v>2.6721400000000001E-44</v>
      </c>
      <c r="O14282">
        <v>448</v>
      </c>
    </row>
    <row r="14283" spans="1:15" x14ac:dyDescent="0.25">
      <c r="A14283" t="s">
        <v>14296</v>
      </c>
      <c r="B14283">
        <v>736</v>
      </c>
      <c r="C14283" s="1" t="str">
        <f>HYPERLINK("http://www.rosaceae.org/gb/gbrowse/malus_x_domestica/?name=MDP0000245314","MDP0000245314")</f>
        <v>MDP0000245314</v>
      </c>
      <c r="D14283">
        <v>62.63</v>
      </c>
      <c r="E14283">
        <v>661</v>
      </c>
      <c r="F14283">
        <v>247</v>
      </c>
      <c r="G14283">
        <v>38</v>
      </c>
      <c r="H14283">
        <v>88</v>
      </c>
      <c r="I14283">
        <v>735</v>
      </c>
      <c r="J14283">
        <v>1</v>
      </c>
      <c r="K14283">
        <v>1</v>
      </c>
      <c r="L14283">
        <v>636</v>
      </c>
      <c r="M14283">
        <v>1</v>
      </c>
      <c r="N14283">
        <v>0</v>
      </c>
      <c r="O14283">
        <v>2089</v>
      </c>
    </row>
    <row r="14284" spans="1:15" x14ac:dyDescent="0.25">
      <c r="A14284" t="s">
        <v>14297</v>
      </c>
      <c r="B14284">
        <v>806</v>
      </c>
      <c r="C14284" s="1" t="str">
        <f>HYPERLINK("http://www.rosaceae.org/gb/gbrowse/malus_x_domestica/?name=MDP0000305882","MDP0000305882")</f>
        <v>MDP0000305882</v>
      </c>
      <c r="D14284">
        <v>58.28</v>
      </c>
      <c r="E14284">
        <v>362</v>
      </c>
      <c r="F14284">
        <v>151</v>
      </c>
      <c r="G14284">
        <v>4</v>
      </c>
      <c r="H14284">
        <v>4</v>
      </c>
      <c r="I14284">
        <v>363</v>
      </c>
      <c r="J14284">
        <v>1</v>
      </c>
      <c r="K14284">
        <v>3</v>
      </c>
      <c r="L14284">
        <v>362</v>
      </c>
      <c r="M14284">
        <v>1</v>
      </c>
      <c r="N14284">
        <v>2.3679500000000001E-118</v>
      </c>
      <c r="O14284">
        <v>1089</v>
      </c>
    </row>
    <row r="14285" spans="1:15" x14ac:dyDescent="0.25">
      <c r="A14285" t="s">
        <v>14298</v>
      </c>
      <c r="B14285">
        <v>374</v>
      </c>
      <c r="C14285" s="1" t="str">
        <f>HYPERLINK("http://www.rosaceae.org/gb/gbrowse/malus_x_domestica/?name=MDP0000617021","MDP0000617021")</f>
        <v>MDP0000617021</v>
      </c>
      <c r="D14285">
        <v>51.5</v>
      </c>
      <c r="E14285">
        <v>332</v>
      </c>
      <c r="F14285">
        <v>161</v>
      </c>
      <c r="G14285">
        <v>48</v>
      </c>
      <c r="H14285">
        <v>70</v>
      </c>
      <c r="I14285">
        <v>374</v>
      </c>
      <c r="J14285">
        <v>1</v>
      </c>
      <c r="K14285">
        <v>638</v>
      </c>
      <c r="L14285">
        <v>948</v>
      </c>
      <c r="M14285">
        <v>1</v>
      </c>
      <c r="N14285">
        <v>2.7378500000000002E-66</v>
      </c>
      <c r="O14285">
        <v>637</v>
      </c>
    </row>
    <row r="14286" spans="1:15" x14ac:dyDescent="0.25">
      <c r="A14286" t="s">
        <v>14299</v>
      </c>
      <c r="B14286">
        <v>188</v>
      </c>
      <c r="C14286" s="1" t="str">
        <f>HYPERLINK("http://www.rosaceae.org/gb/gbrowse/malus_x_domestica/?name=MDP0000165731","MDP0000165731")</f>
        <v>MDP0000165731</v>
      </c>
      <c r="D14286">
        <v>70.319999999999993</v>
      </c>
      <c r="E14286">
        <v>182</v>
      </c>
      <c r="F14286">
        <v>54</v>
      </c>
      <c r="G14286">
        <v>4</v>
      </c>
      <c r="H14286">
        <v>6</v>
      </c>
      <c r="I14286">
        <v>187</v>
      </c>
      <c r="J14286">
        <v>1</v>
      </c>
      <c r="K14286">
        <v>5</v>
      </c>
      <c r="L14286">
        <v>182</v>
      </c>
      <c r="M14286">
        <v>1</v>
      </c>
      <c r="N14286">
        <v>1.3230599999999999E-60</v>
      </c>
      <c r="O14286">
        <v>584</v>
      </c>
    </row>
    <row r="14287" spans="1:15" x14ac:dyDescent="0.25">
      <c r="A14287" t="s">
        <v>14300</v>
      </c>
      <c r="B14287">
        <v>621</v>
      </c>
      <c r="C14287" s="1" t="str">
        <f>HYPERLINK("http://www.rosaceae.org/gb/gbrowse/malus_x_domestica/?name=MDP0000122015","MDP0000122015")</f>
        <v>MDP0000122015</v>
      </c>
      <c r="D14287">
        <v>75.430000000000007</v>
      </c>
      <c r="E14287">
        <v>399</v>
      </c>
      <c r="F14287">
        <v>98</v>
      </c>
      <c r="G14287">
        <v>41</v>
      </c>
      <c r="H14287">
        <v>244</v>
      </c>
      <c r="I14287">
        <v>621</v>
      </c>
      <c r="J14287">
        <v>1</v>
      </c>
      <c r="K14287">
        <v>4</v>
      </c>
      <c r="L14287">
        <v>382</v>
      </c>
      <c r="M14287">
        <v>1</v>
      </c>
      <c r="N14287">
        <v>5.1616799999999995E-162</v>
      </c>
      <c r="O14287">
        <v>1465</v>
      </c>
    </row>
    <row r="14288" spans="1:15" x14ac:dyDescent="0.25">
      <c r="A14288" t="s">
        <v>14301</v>
      </c>
      <c r="B14288">
        <v>813</v>
      </c>
      <c r="C14288" s="1" t="str">
        <f>HYPERLINK("http://www.rosaceae.org/gb/gbrowse/malus_x_domestica/?name=MDP0000255715","MDP0000255715")</f>
        <v>MDP0000255715</v>
      </c>
      <c r="D14288">
        <v>57.97</v>
      </c>
      <c r="E14288">
        <v>821</v>
      </c>
      <c r="F14288">
        <v>345</v>
      </c>
      <c r="G14288">
        <v>55</v>
      </c>
      <c r="H14288">
        <v>12</v>
      </c>
      <c r="I14288">
        <v>813</v>
      </c>
      <c r="J14288">
        <v>1</v>
      </c>
      <c r="K14288">
        <v>57</v>
      </c>
      <c r="L14288">
        <v>841</v>
      </c>
      <c r="M14288">
        <v>1</v>
      </c>
      <c r="N14288">
        <v>0</v>
      </c>
      <c r="O14288">
        <v>2112</v>
      </c>
    </row>
    <row r="14289" spans="1:15" x14ac:dyDescent="0.25">
      <c r="A14289" t="s">
        <v>14302</v>
      </c>
      <c r="B14289">
        <v>438</v>
      </c>
      <c r="C14289" s="1" t="str">
        <f>HYPERLINK("http://www.rosaceae.org/gb/gbrowse/malus_x_domestica/?name=MDP0000132677","MDP0000132677")</f>
        <v>MDP0000132677</v>
      </c>
      <c r="D14289">
        <v>85.58</v>
      </c>
      <c r="E14289">
        <v>340</v>
      </c>
      <c r="F14289">
        <v>49</v>
      </c>
      <c r="G14289">
        <v>4</v>
      </c>
      <c r="H14289">
        <v>103</v>
      </c>
      <c r="I14289">
        <v>438</v>
      </c>
      <c r="J14289">
        <v>1</v>
      </c>
      <c r="K14289">
        <v>17</v>
      </c>
      <c r="L14289">
        <v>356</v>
      </c>
      <c r="M14289">
        <v>1</v>
      </c>
      <c r="N14289">
        <v>1.2105599999999999E-169</v>
      </c>
      <c r="O14289">
        <v>1529</v>
      </c>
    </row>
    <row r="14290" spans="1:15" x14ac:dyDescent="0.25">
      <c r="A14290" t="s">
        <v>14303</v>
      </c>
      <c r="B14290">
        <v>216</v>
      </c>
      <c r="C14290" s="1" t="str">
        <f>HYPERLINK("http://www.rosaceae.org/gb/gbrowse/malus_x_domestica/?name=MDP0000159186","MDP0000159186")</f>
        <v>MDP0000159186</v>
      </c>
      <c r="D14290">
        <v>97.2</v>
      </c>
      <c r="E14290">
        <v>143</v>
      </c>
      <c r="F14290">
        <v>4</v>
      </c>
      <c r="G14290">
        <v>0</v>
      </c>
      <c r="H14290">
        <v>74</v>
      </c>
      <c r="I14290">
        <v>216</v>
      </c>
      <c r="J14290">
        <v>1</v>
      </c>
      <c r="K14290">
        <v>1</v>
      </c>
      <c r="L14290">
        <v>143</v>
      </c>
      <c r="M14290">
        <v>1</v>
      </c>
      <c r="N14290">
        <v>1.9193000000000001E-79</v>
      </c>
      <c r="O14290">
        <v>747</v>
      </c>
    </row>
    <row r="14291" spans="1:15" x14ac:dyDescent="0.25">
      <c r="A14291" t="s">
        <v>14304</v>
      </c>
      <c r="B14291">
        <v>592</v>
      </c>
      <c r="C14291" s="1" t="str">
        <f>HYPERLINK("http://www.rosaceae.org/gb/gbrowse/malus_x_domestica/?name=MDP0000122478","MDP0000122478")</f>
        <v>MDP0000122478</v>
      </c>
      <c r="D14291">
        <v>60.29</v>
      </c>
      <c r="E14291">
        <v>335</v>
      </c>
      <c r="F14291">
        <v>133</v>
      </c>
      <c r="G14291">
        <v>12</v>
      </c>
      <c r="H14291">
        <v>23</v>
      </c>
      <c r="I14291">
        <v>348</v>
      </c>
      <c r="J14291">
        <v>1</v>
      </c>
      <c r="K14291">
        <v>26</v>
      </c>
      <c r="L14291">
        <v>357</v>
      </c>
      <c r="M14291">
        <v>1</v>
      </c>
      <c r="N14291">
        <v>7.3717799999999995E-113</v>
      </c>
      <c r="O14291">
        <v>1041</v>
      </c>
    </row>
    <row r="14292" spans="1:15" x14ac:dyDescent="0.25">
      <c r="A14292" t="s">
        <v>14305</v>
      </c>
      <c r="B14292">
        <v>123</v>
      </c>
      <c r="C14292" s="1" t="str">
        <f>HYPERLINK("http://www.rosaceae.org/gb/gbrowse/malus_x_domestica/?name=MDP0000231978","MDP0000231978")</f>
        <v>MDP0000231978</v>
      </c>
      <c r="D14292">
        <v>54.73</v>
      </c>
      <c r="E14292">
        <v>95</v>
      </c>
      <c r="F14292">
        <v>43</v>
      </c>
      <c r="G14292">
        <v>3</v>
      </c>
      <c r="H14292">
        <v>29</v>
      </c>
      <c r="I14292">
        <v>120</v>
      </c>
      <c r="J14292">
        <v>1</v>
      </c>
      <c r="K14292">
        <v>11</v>
      </c>
      <c r="L14292">
        <v>105</v>
      </c>
      <c r="M14292">
        <v>1</v>
      </c>
      <c r="N14292">
        <v>9.6995700000000008E-22</v>
      </c>
      <c r="O14292">
        <v>245</v>
      </c>
    </row>
    <row r="14293" spans="1:15" x14ac:dyDescent="0.25">
      <c r="A14293" t="s">
        <v>14306</v>
      </c>
      <c r="B14293">
        <v>401</v>
      </c>
      <c r="C14293" s="1" t="str">
        <f>HYPERLINK("http://www.rosaceae.org/gb/gbrowse/malus_x_domestica/?name=MDP0000357409","MDP0000357409")</f>
        <v>MDP0000357409</v>
      </c>
      <c r="D14293">
        <v>52.67</v>
      </c>
      <c r="E14293">
        <v>112</v>
      </c>
      <c r="F14293">
        <v>53</v>
      </c>
      <c r="G14293">
        <v>16</v>
      </c>
      <c r="H14293">
        <v>1</v>
      </c>
      <c r="I14293">
        <v>110</v>
      </c>
      <c r="J14293">
        <v>1</v>
      </c>
      <c r="K14293">
        <v>6</v>
      </c>
      <c r="L14293">
        <v>103</v>
      </c>
      <c r="M14293">
        <v>1</v>
      </c>
      <c r="N14293">
        <v>4.0935100000000002E-20</v>
      </c>
      <c r="O14293">
        <v>239</v>
      </c>
    </row>
    <row r="14294" spans="1:15" x14ac:dyDescent="0.25">
      <c r="A14294" t="s">
        <v>14307</v>
      </c>
      <c r="B14294">
        <v>486</v>
      </c>
      <c r="C14294" s="1" t="str">
        <f>HYPERLINK("http://www.rosaceae.org/gb/gbrowse/malus_x_domestica/?name=MDP0000281173","MDP0000281173")</f>
        <v>MDP0000281173</v>
      </c>
      <c r="D14294">
        <v>79.03</v>
      </c>
      <c r="E14294">
        <v>291</v>
      </c>
      <c r="F14294">
        <v>61</v>
      </c>
      <c r="G14294">
        <v>1</v>
      </c>
      <c r="H14294">
        <v>9</v>
      </c>
      <c r="I14294">
        <v>298</v>
      </c>
      <c r="J14294">
        <v>1</v>
      </c>
      <c r="K14294">
        <v>314</v>
      </c>
      <c r="L14294">
        <v>604</v>
      </c>
      <c r="M14294">
        <v>1</v>
      </c>
      <c r="N14294">
        <v>9.2272799999999998E-140</v>
      </c>
      <c r="O14294">
        <v>1272</v>
      </c>
    </row>
    <row r="14295" spans="1:15" x14ac:dyDescent="0.25">
      <c r="A14295" t="s">
        <v>14308</v>
      </c>
      <c r="B14295">
        <v>451</v>
      </c>
      <c r="C14295" s="1" t="str">
        <f>HYPERLINK("http://www.rosaceae.org/gb/gbrowse/malus_x_domestica/?name=MDP0000266451","MDP0000266451")</f>
        <v>MDP0000266451</v>
      </c>
      <c r="D14295">
        <v>57.41</v>
      </c>
      <c r="E14295">
        <v>479</v>
      </c>
      <c r="F14295">
        <v>204</v>
      </c>
      <c r="G14295">
        <v>52</v>
      </c>
      <c r="H14295">
        <v>8</v>
      </c>
      <c r="I14295">
        <v>438</v>
      </c>
      <c r="J14295">
        <v>1</v>
      </c>
      <c r="K14295">
        <v>80</v>
      </c>
      <c r="L14295">
        <v>554</v>
      </c>
      <c r="M14295">
        <v>1</v>
      </c>
      <c r="N14295">
        <v>3.9161900000000002E-143</v>
      </c>
      <c r="O14295">
        <v>1300</v>
      </c>
    </row>
    <row r="14296" spans="1:15" x14ac:dyDescent="0.25">
      <c r="A14296" t="s">
        <v>14309</v>
      </c>
      <c r="B14296">
        <v>217</v>
      </c>
      <c r="C14296" s="1" t="str">
        <f>HYPERLINK("http://www.rosaceae.org/gb/gbrowse/malus_x_domestica/?name=MDP0000322989","MDP0000322989")</f>
        <v>MDP0000322989</v>
      </c>
      <c r="D14296">
        <v>86.24</v>
      </c>
      <c r="E14296">
        <v>189</v>
      </c>
      <c r="F14296">
        <v>26</v>
      </c>
      <c r="G14296">
        <v>0</v>
      </c>
      <c r="H14296">
        <v>29</v>
      </c>
      <c r="I14296">
        <v>217</v>
      </c>
      <c r="J14296">
        <v>1</v>
      </c>
      <c r="K14296">
        <v>45</v>
      </c>
      <c r="L14296">
        <v>233</v>
      </c>
      <c r="M14296">
        <v>1</v>
      </c>
      <c r="N14296">
        <v>2.2977300000000001E-92</v>
      </c>
      <c r="O14296">
        <v>859</v>
      </c>
    </row>
    <row r="14297" spans="1:15" x14ac:dyDescent="0.25">
      <c r="A14297" t="s">
        <v>14310</v>
      </c>
      <c r="B14297">
        <v>428</v>
      </c>
      <c r="C14297" s="1" t="str">
        <f>HYPERLINK("http://www.rosaceae.org/gb/gbrowse/malus_x_domestica/?name=MDP0000243706","MDP0000243706")</f>
        <v>MDP0000243706</v>
      </c>
      <c r="D14297">
        <v>64.930000000000007</v>
      </c>
      <c r="E14297">
        <v>365</v>
      </c>
      <c r="F14297">
        <v>128</v>
      </c>
      <c r="G14297">
        <v>29</v>
      </c>
      <c r="H14297">
        <v>46</v>
      </c>
      <c r="I14297">
        <v>410</v>
      </c>
      <c r="J14297">
        <v>1</v>
      </c>
      <c r="K14297">
        <v>514</v>
      </c>
      <c r="L14297">
        <v>849</v>
      </c>
      <c r="M14297">
        <v>1</v>
      </c>
      <c r="N14297">
        <v>1.41855E-121</v>
      </c>
      <c r="O14297">
        <v>1114</v>
      </c>
    </row>
    <row r="14298" spans="1:15" x14ac:dyDescent="0.25">
      <c r="A14298" t="s">
        <v>14311</v>
      </c>
      <c r="B14298">
        <v>536</v>
      </c>
      <c r="C14298" s="1" t="str">
        <f>HYPERLINK("http://www.rosaceae.org/gb/gbrowse/malus_x_domestica/?name=MDP0000513437","MDP0000513437")</f>
        <v>MDP0000513437</v>
      </c>
      <c r="D14298">
        <v>82.62</v>
      </c>
      <c r="E14298">
        <v>541</v>
      </c>
      <c r="F14298">
        <v>94</v>
      </c>
      <c r="G14298">
        <v>38</v>
      </c>
      <c r="H14298">
        <v>17</v>
      </c>
      <c r="I14298">
        <v>521</v>
      </c>
      <c r="J14298">
        <v>1</v>
      </c>
      <c r="K14298">
        <v>16</v>
      </c>
      <c r="L14298">
        <v>554</v>
      </c>
      <c r="M14298">
        <v>1</v>
      </c>
      <c r="N14298">
        <v>0</v>
      </c>
      <c r="O14298">
        <v>2326</v>
      </c>
    </row>
    <row r="14299" spans="1:15" x14ac:dyDescent="0.25">
      <c r="A14299" t="s">
        <v>14312</v>
      </c>
      <c r="B14299">
        <v>301</v>
      </c>
      <c r="C14299" s="1" t="str">
        <f>HYPERLINK("http://www.rosaceae.org/gb/gbrowse/malus_x_domestica/?name=MDP0000243760","MDP0000243760")</f>
        <v>MDP0000243760</v>
      </c>
      <c r="D14299">
        <v>52.85</v>
      </c>
      <c r="E14299">
        <v>210</v>
      </c>
      <c r="F14299">
        <v>99</v>
      </c>
      <c r="G14299">
        <v>5</v>
      </c>
      <c r="H14299">
        <v>5</v>
      </c>
      <c r="I14299">
        <v>213</v>
      </c>
      <c r="J14299">
        <v>1</v>
      </c>
      <c r="K14299">
        <v>2</v>
      </c>
      <c r="L14299">
        <v>207</v>
      </c>
      <c r="M14299">
        <v>1</v>
      </c>
      <c r="N14299">
        <v>3.44435E-56</v>
      </c>
      <c r="O14299">
        <v>549</v>
      </c>
    </row>
    <row r="14300" spans="1:15" x14ac:dyDescent="0.25">
      <c r="A14300" t="s">
        <v>14313</v>
      </c>
      <c r="B14300">
        <v>399</v>
      </c>
      <c r="C14300" s="1" t="str">
        <f>HYPERLINK("http://www.rosaceae.org/gb/gbrowse/malus_x_domestica/?name=MDP0000169044","MDP0000169044")</f>
        <v>MDP0000169044</v>
      </c>
      <c r="D14300">
        <v>79.64</v>
      </c>
      <c r="E14300">
        <v>393</v>
      </c>
      <c r="F14300">
        <v>80</v>
      </c>
      <c r="G14300">
        <v>9</v>
      </c>
      <c r="H14300">
        <v>10</v>
      </c>
      <c r="I14300">
        <v>399</v>
      </c>
      <c r="J14300">
        <v>1</v>
      </c>
      <c r="K14300">
        <v>159</v>
      </c>
      <c r="L14300">
        <v>545</v>
      </c>
      <c r="M14300">
        <v>1</v>
      </c>
      <c r="N14300">
        <v>0</v>
      </c>
      <c r="O14300">
        <v>1668</v>
      </c>
    </row>
    <row r="14301" spans="1:15" x14ac:dyDescent="0.25">
      <c r="A14301" t="s">
        <v>14314</v>
      </c>
      <c r="B14301">
        <v>392</v>
      </c>
      <c r="C14301" s="1" t="str">
        <f>HYPERLINK("http://www.rosaceae.org/gb/gbrowse/malus_x_domestica/?name=MDP0000306395","MDP0000306395")</f>
        <v>MDP0000306395</v>
      </c>
      <c r="D14301">
        <v>77.05</v>
      </c>
      <c r="E14301">
        <v>292</v>
      </c>
      <c r="F14301">
        <v>67</v>
      </c>
      <c r="G14301">
        <v>1</v>
      </c>
      <c r="H14301">
        <v>65</v>
      </c>
      <c r="I14301">
        <v>355</v>
      </c>
      <c r="J14301">
        <v>1</v>
      </c>
      <c r="K14301">
        <v>1</v>
      </c>
      <c r="L14301">
        <v>292</v>
      </c>
      <c r="M14301">
        <v>1</v>
      </c>
      <c r="N14301">
        <v>7.3634200000000002E-129</v>
      </c>
      <c r="O14301">
        <v>1177</v>
      </c>
    </row>
    <row r="14302" spans="1:15" x14ac:dyDescent="0.25">
      <c r="A14302" t="s">
        <v>14315</v>
      </c>
      <c r="B14302">
        <v>1343</v>
      </c>
      <c r="C14302" s="1" t="str">
        <f>HYPERLINK("http://www.rosaceae.org/gb/gbrowse/malus_x_domestica/?name=MDP0000148170","MDP0000148170")</f>
        <v>MDP0000148170</v>
      </c>
      <c r="D14302">
        <v>74.73</v>
      </c>
      <c r="E14302">
        <v>376</v>
      </c>
      <c r="F14302">
        <v>95</v>
      </c>
      <c r="G14302">
        <v>3</v>
      </c>
      <c r="H14302">
        <v>965</v>
      </c>
      <c r="I14302">
        <v>1340</v>
      </c>
      <c r="J14302">
        <v>1</v>
      </c>
      <c r="K14302">
        <v>375</v>
      </c>
      <c r="L14302">
        <v>747</v>
      </c>
      <c r="M14302">
        <v>1</v>
      </c>
      <c r="N14302">
        <v>1.25396E-165</v>
      </c>
      <c r="O14302">
        <v>1499</v>
      </c>
    </row>
    <row r="14303" spans="1:15" x14ac:dyDescent="0.25">
      <c r="A14303" t="s">
        <v>14316</v>
      </c>
      <c r="B14303">
        <v>296</v>
      </c>
      <c r="C14303" s="1" t="str">
        <f>HYPERLINK("http://www.rosaceae.org/gb/gbrowse/malus_x_domestica/?name=MDP0000227827","MDP0000227827")</f>
        <v>MDP0000227827</v>
      </c>
      <c r="D14303">
        <v>58.27</v>
      </c>
      <c r="E14303">
        <v>290</v>
      </c>
      <c r="F14303">
        <v>121</v>
      </c>
      <c r="G14303">
        <v>7</v>
      </c>
      <c r="H14303">
        <v>9</v>
      </c>
      <c r="I14303">
        <v>293</v>
      </c>
      <c r="J14303">
        <v>1</v>
      </c>
      <c r="K14303">
        <v>7</v>
      </c>
      <c r="L14303">
        <v>294</v>
      </c>
      <c r="M14303">
        <v>1</v>
      </c>
      <c r="N14303">
        <v>1.10477E-91</v>
      </c>
      <c r="O14303">
        <v>855</v>
      </c>
    </row>
    <row r="14304" spans="1:15" x14ac:dyDescent="0.25">
      <c r="A14304" t="s">
        <v>14317</v>
      </c>
      <c r="B14304">
        <v>164</v>
      </c>
      <c r="C14304" s="1" t="str">
        <f>HYPERLINK("http://www.rosaceae.org/gb/gbrowse/malus_x_domestica/?name=MDP0000296902","MDP0000296902")</f>
        <v>MDP0000296902</v>
      </c>
      <c r="D14304">
        <v>50.98</v>
      </c>
      <c r="E14304">
        <v>51</v>
      </c>
      <c r="F14304">
        <v>25</v>
      </c>
      <c r="G14304">
        <v>0</v>
      </c>
      <c r="H14304">
        <v>90</v>
      </c>
      <c r="I14304">
        <v>140</v>
      </c>
      <c r="J14304">
        <v>1</v>
      </c>
      <c r="K14304">
        <v>794</v>
      </c>
      <c r="L14304">
        <v>844</v>
      </c>
      <c r="M14304">
        <v>1</v>
      </c>
      <c r="N14304">
        <v>1.06821E-7</v>
      </c>
      <c r="O14304">
        <v>126</v>
      </c>
    </row>
    <row r="14305" spans="1:15" x14ac:dyDescent="0.25">
      <c r="A14305" t="s">
        <v>14318</v>
      </c>
      <c r="B14305">
        <v>262</v>
      </c>
      <c r="C14305" s="1" t="str">
        <f>HYPERLINK("http://www.rosaceae.org/gb/gbrowse/malus_x_domestica/?name=MDP0000227463","MDP0000227463")</f>
        <v>MDP0000227463</v>
      </c>
      <c r="D14305">
        <v>38.97</v>
      </c>
      <c r="E14305">
        <v>136</v>
      </c>
      <c r="F14305">
        <v>83</v>
      </c>
      <c r="G14305">
        <v>8</v>
      </c>
      <c r="H14305">
        <v>59</v>
      </c>
      <c r="I14305">
        <v>192</v>
      </c>
      <c r="J14305">
        <v>1</v>
      </c>
      <c r="K14305">
        <v>792</v>
      </c>
      <c r="L14305">
        <v>921</v>
      </c>
      <c r="M14305">
        <v>1</v>
      </c>
      <c r="N14305">
        <v>1.21696E-21</v>
      </c>
      <c r="O14305">
        <v>250</v>
      </c>
    </row>
    <row r="14306" spans="1:15" x14ac:dyDescent="0.25">
      <c r="A14306" t="s">
        <v>14319</v>
      </c>
      <c r="B14306">
        <v>257</v>
      </c>
      <c r="C14306" s="1" t="str">
        <f>HYPERLINK("http://www.rosaceae.org/gb/gbrowse/malus_x_domestica/?name=MDP0000242491","MDP0000242491")</f>
        <v>MDP0000242491</v>
      </c>
      <c r="D14306">
        <v>61.42</v>
      </c>
      <c r="E14306">
        <v>197</v>
      </c>
      <c r="F14306">
        <v>76</v>
      </c>
      <c r="G14306">
        <v>1</v>
      </c>
      <c r="H14306">
        <v>30</v>
      </c>
      <c r="I14306">
        <v>225</v>
      </c>
      <c r="J14306">
        <v>1</v>
      </c>
      <c r="K14306">
        <v>49</v>
      </c>
      <c r="L14306">
        <v>245</v>
      </c>
      <c r="M14306">
        <v>1</v>
      </c>
      <c r="N14306">
        <v>1.02815E-62</v>
      </c>
      <c r="O14306">
        <v>604</v>
      </c>
    </row>
    <row r="14307" spans="1:15" x14ac:dyDescent="0.25">
      <c r="A14307" t="s">
        <v>14320</v>
      </c>
      <c r="B14307">
        <v>157</v>
      </c>
      <c r="C14307" s="1" t="str">
        <f>HYPERLINK("http://www.rosaceae.org/gb/gbrowse/malus_x_domestica/?name=MDP0000156994","MDP0000156994")</f>
        <v>MDP0000156994</v>
      </c>
      <c r="D14307">
        <v>73.489999999999995</v>
      </c>
      <c r="E14307">
        <v>83</v>
      </c>
      <c r="F14307">
        <v>22</v>
      </c>
      <c r="G14307">
        <v>0</v>
      </c>
      <c r="H14307">
        <v>72</v>
      </c>
      <c r="I14307">
        <v>154</v>
      </c>
      <c r="J14307">
        <v>1</v>
      </c>
      <c r="K14307">
        <v>71</v>
      </c>
      <c r="L14307">
        <v>153</v>
      </c>
      <c r="M14307">
        <v>1</v>
      </c>
      <c r="N14307">
        <v>2.9675899999999999E-33</v>
      </c>
      <c r="O14307">
        <v>347</v>
      </c>
    </row>
    <row r="14308" spans="1:15" x14ac:dyDescent="0.25">
      <c r="A14308" t="s">
        <v>14321</v>
      </c>
      <c r="B14308">
        <v>673</v>
      </c>
      <c r="C14308" s="1" t="str">
        <f>HYPERLINK("http://www.rosaceae.org/gb/gbrowse/malus_x_domestica/?name=MDP0000229393","MDP0000229393")</f>
        <v>MDP0000229393</v>
      </c>
      <c r="D14308">
        <v>65.989999999999995</v>
      </c>
      <c r="E14308">
        <v>747</v>
      </c>
      <c r="F14308">
        <v>254</v>
      </c>
      <c r="G14308">
        <v>79</v>
      </c>
      <c r="H14308">
        <v>1</v>
      </c>
      <c r="I14308">
        <v>673</v>
      </c>
      <c r="J14308">
        <v>1</v>
      </c>
      <c r="K14308">
        <v>1</v>
      </c>
      <c r="L14308">
        <v>742</v>
      </c>
      <c r="M14308">
        <v>1</v>
      </c>
      <c r="N14308">
        <v>0</v>
      </c>
      <c r="O14308">
        <v>2303</v>
      </c>
    </row>
    <row r="14309" spans="1:15" x14ac:dyDescent="0.25">
      <c r="A14309" t="s">
        <v>14322</v>
      </c>
      <c r="B14309">
        <v>742</v>
      </c>
      <c r="C14309" s="1" t="str">
        <f>HYPERLINK("http://www.rosaceae.org/gb/gbrowse/malus_x_domestica/?name=MDP0000182903","MDP0000182903")</f>
        <v>MDP0000182903</v>
      </c>
      <c r="D14309">
        <v>79.23</v>
      </c>
      <c r="E14309">
        <v>419</v>
      </c>
      <c r="F14309">
        <v>87</v>
      </c>
      <c r="G14309">
        <v>5</v>
      </c>
      <c r="H14309">
        <v>185</v>
      </c>
      <c r="I14309">
        <v>601</v>
      </c>
      <c r="J14309">
        <v>1</v>
      </c>
      <c r="K14309">
        <v>112</v>
      </c>
      <c r="L14309">
        <v>527</v>
      </c>
      <c r="M14309">
        <v>1</v>
      </c>
      <c r="N14309">
        <v>0</v>
      </c>
      <c r="O14309">
        <v>1738</v>
      </c>
    </row>
    <row r="14310" spans="1:15" x14ac:dyDescent="0.25">
      <c r="A14310" t="s">
        <v>14323</v>
      </c>
      <c r="B14310">
        <v>531</v>
      </c>
      <c r="C14310" s="1" t="str">
        <f>HYPERLINK("http://www.rosaceae.org/gb/gbrowse/malus_x_domestica/?name=MDP0000183137","MDP0000183137")</f>
        <v>MDP0000183137</v>
      </c>
      <c r="D14310">
        <v>53.6</v>
      </c>
      <c r="E14310">
        <v>319</v>
      </c>
      <c r="F14310">
        <v>148</v>
      </c>
      <c r="G14310">
        <v>50</v>
      </c>
      <c r="H14310">
        <v>195</v>
      </c>
      <c r="I14310">
        <v>510</v>
      </c>
      <c r="J14310">
        <v>1</v>
      </c>
      <c r="K14310">
        <v>759</v>
      </c>
      <c r="L14310">
        <v>1030</v>
      </c>
      <c r="M14310">
        <v>1</v>
      </c>
      <c r="N14310">
        <v>6.0607099999999997E-85</v>
      </c>
      <c r="O14310">
        <v>799</v>
      </c>
    </row>
    <row r="14311" spans="1:15" x14ac:dyDescent="0.25">
      <c r="A14311" t="s">
        <v>14324</v>
      </c>
      <c r="B14311">
        <v>497</v>
      </c>
      <c r="C14311" s="1" t="str">
        <f>HYPERLINK("http://www.rosaceae.org/gb/gbrowse/malus_x_domestica/?name=MDP0000734600","MDP0000734600")</f>
        <v>MDP0000734600</v>
      </c>
      <c r="D14311">
        <v>82.91</v>
      </c>
      <c r="E14311">
        <v>474</v>
      </c>
      <c r="F14311">
        <v>81</v>
      </c>
      <c r="G14311">
        <v>9</v>
      </c>
      <c r="H14311">
        <v>24</v>
      </c>
      <c r="I14311">
        <v>497</v>
      </c>
      <c r="J14311">
        <v>1</v>
      </c>
      <c r="K14311">
        <v>71</v>
      </c>
      <c r="L14311">
        <v>535</v>
      </c>
      <c r="M14311">
        <v>1</v>
      </c>
      <c r="N14311">
        <v>0</v>
      </c>
      <c r="O14311">
        <v>2119</v>
      </c>
    </row>
    <row r="14312" spans="1:15" x14ac:dyDescent="0.25">
      <c r="A14312" t="s">
        <v>14325</v>
      </c>
      <c r="B14312">
        <v>410</v>
      </c>
      <c r="C14312" s="1" t="str">
        <f>HYPERLINK("http://www.rosaceae.org/gb/gbrowse/malus_x_domestica/?name=MDP0000766240","MDP0000766240")</f>
        <v>MDP0000766240</v>
      </c>
      <c r="D14312">
        <v>86.14</v>
      </c>
      <c r="E14312">
        <v>397</v>
      </c>
      <c r="F14312">
        <v>55</v>
      </c>
      <c r="G14312">
        <v>33</v>
      </c>
      <c r="H14312">
        <v>14</v>
      </c>
      <c r="I14312">
        <v>410</v>
      </c>
      <c r="J14312">
        <v>1</v>
      </c>
      <c r="K14312">
        <v>14</v>
      </c>
      <c r="L14312">
        <v>377</v>
      </c>
      <c r="M14312">
        <v>1</v>
      </c>
      <c r="N14312">
        <v>0</v>
      </c>
      <c r="O14312">
        <v>1809</v>
      </c>
    </row>
    <row r="14313" spans="1:15" x14ac:dyDescent="0.25">
      <c r="A14313" t="s">
        <v>14326</v>
      </c>
      <c r="B14313">
        <v>277</v>
      </c>
      <c r="C14313" s="1" t="str">
        <f>HYPERLINK("http://www.rosaceae.org/gb/gbrowse/malus_x_domestica/?name=MDP0000122951","MDP0000122951")</f>
        <v>MDP0000122951</v>
      </c>
      <c r="D14313">
        <v>57.05</v>
      </c>
      <c r="E14313">
        <v>333</v>
      </c>
      <c r="F14313">
        <v>143</v>
      </c>
      <c r="G14313">
        <v>57</v>
      </c>
      <c r="H14313">
        <v>1</v>
      </c>
      <c r="I14313">
        <v>277</v>
      </c>
      <c r="J14313">
        <v>1</v>
      </c>
      <c r="K14313">
        <v>1</v>
      </c>
      <c r="L14313">
        <v>332</v>
      </c>
      <c r="M14313">
        <v>1</v>
      </c>
      <c r="N14313">
        <v>4.7408499999999997E-95</v>
      </c>
      <c r="O14313">
        <v>883</v>
      </c>
    </row>
    <row r="14314" spans="1:15" x14ac:dyDescent="0.25">
      <c r="A14314" t="s">
        <v>14327</v>
      </c>
      <c r="B14314">
        <v>78</v>
      </c>
      <c r="C14314" s="1" t="str">
        <f>HYPERLINK("http://www.rosaceae.org/gb/gbrowse/malus_x_domestica/?name=MDP0000205883","MDP0000205883")</f>
        <v>MDP0000205883</v>
      </c>
      <c r="D14314">
        <v>57.33</v>
      </c>
      <c r="E14314">
        <v>75</v>
      </c>
      <c r="F14314">
        <v>32</v>
      </c>
      <c r="G14314">
        <v>2</v>
      </c>
      <c r="H14314">
        <v>1</v>
      </c>
      <c r="I14314">
        <v>73</v>
      </c>
      <c r="J14314">
        <v>1</v>
      </c>
      <c r="K14314">
        <v>1</v>
      </c>
      <c r="L14314">
        <v>75</v>
      </c>
      <c r="M14314">
        <v>1</v>
      </c>
      <c r="N14314">
        <v>4.0741000000000002E-14</v>
      </c>
      <c r="O14314">
        <v>179</v>
      </c>
    </row>
    <row r="14315" spans="1:15" x14ac:dyDescent="0.25">
      <c r="A14315" t="s">
        <v>14328</v>
      </c>
      <c r="B14315">
        <v>1400</v>
      </c>
      <c r="C14315" s="1" t="str">
        <f>HYPERLINK("http://www.rosaceae.org/gb/gbrowse/malus_x_domestica/?name=MDP0000287346","MDP0000287346")</f>
        <v>MDP0000287346</v>
      </c>
      <c r="D14315">
        <v>44.97</v>
      </c>
      <c r="E14315">
        <v>567</v>
      </c>
      <c r="F14315">
        <v>312</v>
      </c>
      <c r="G14315">
        <v>53</v>
      </c>
      <c r="H14315">
        <v>850</v>
      </c>
      <c r="I14315">
        <v>1387</v>
      </c>
      <c r="J14315">
        <v>1</v>
      </c>
      <c r="K14315">
        <v>27</v>
      </c>
      <c r="L14315">
        <v>569</v>
      </c>
      <c r="M14315">
        <v>1</v>
      </c>
      <c r="N14315">
        <v>1.1274E-113</v>
      </c>
      <c r="O14315">
        <v>1051</v>
      </c>
    </row>
    <row r="14316" spans="1:15" x14ac:dyDescent="0.25">
      <c r="A14316" t="s">
        <v>14329</v>
      </c>
      <c r="B14316">
        <v>349</v>
      </c>
      <c r="C14316" s="1" t="str">
        <f>HYPERLINK("http://www.rosaceae.org/gb/gbrowse/malus_x_domestica/?name=MDP0000128857","MDP0000128857")</f>
        <v>MDP0000128857</v>
      </c>
      <c r="D14316">
        <v>28.86</v>
      </c>
      <c r="E14316">
        <v>246</v>
      </c>
      <c r="F14316">
        <v>175</v>
      </c>
      <c r="G14316">
        <v>15</v>
      </c>
      <c r="H14316">
        <v>3</v>
      </c>
      <c r="I14316">
        <v>245</v>
      </c>
      <c r="J14316">
        <v>1</v>
      </c>
      <c r="K14316">
        <v>507</v>
      </c>
      <c r="L14316">
        <v>740</v>
      </c>
      <c r="M14316">
        <v>1</v>
      </c>
      <c r="N14316">
        <v>2.0553699999999999E-26</v>
      </c>
      <c r="O14316">
        <v>293</v>
      </c>
    </row>
    <row r="14317" spans="1:15" x14ac:dyDescent="0.25">
      <c r="A14317" t="s">
        <v>14330</v>
      </c>
      <c r="B14317">
        <v>964</v>
      </c>
      <c r="C14317" s="1" t="str">
        <f>HYPERLINK("http://www.rosaceae.org/gb/gbrowse/malus_x_domestica/?name=MDP0000167145","MDP0000167145")</f>
        <v>MDP0000167145</v>
      </c>
      <c r="D14317">
        <v>42.63</v>
      </c>
      <c r="E14317">
        <v>197</v>
      </c>
      <c r="F14317">
        <v>113</v>
      </c>
      <c r="G14317">
        <v>27</v>
      </c>
      <c r="H14317">
        <v>499</v>
      </c>
      <c r="I14317">
        <v>693</v>
      </c>
      <c r="J14317">
        <v>1</v>
      </c>
      <c r="K14317">
        <v>55</v>
      </c>
      <c r="L14317">
        <v>226</v>
      </c>
      <c r="M14317">
        <v>1</v>
      </c>
      <c r="N14317">
        <v>1.62346E-38</v>
      </c>
      <c r="O14317">
        <v>401</v>
      </c>
    </row>
    <row r="14318" spans="1:15" x14ac:dyDescent="0.25">
      <c r="A14318" t="s">
        <v>14331</v>
      </c>
      <c r="B14318">
        <v>173</v>
      </c>
      <c r="C14318" s="1" t="str">
        <f>HYPERLINK("http://www.rosaceae.org/gb/gbrowse/malus_x_domestica/?name=MDP0000183712","MDP0000183712")</f>
        <v>MDP0000183712</v>
      </c>
      <c r="D14318">
        <v>29.74</v>
      </c>
      <c r="E14318">
        <v>158</v>
      </c>
      <c r="F14318">
        <v>111</v>
      </c>
      <c r="G14318">
        <v>16</v>
      </c>
      <c r="H14318">
        <v>1</v>
      </c>
      <c r="I14318">
        <v>143</v>
      </c>
      <c r="J14318">
        <v>1</v>
      </c>
      <c r="K14318">
        <v>1</v>
      </c>
      <c r="L14318">
        <v>157</v>
      </c>
      <c r="M14318">
        <v>1</v>
      </c>
      <c r="N14318">
        <v>7.8358300000000002E-9</v>
      </c>
      <c r="O14318">
        <v>137</v>
      </c>
    </row>
    <row r="14319" spans="1:15" x14ac:dyDescent="0.25">
      <c r="A14319" t="s">
        <v>14332</v>
      </c>
      <c r="B14319">
        <v>419</v>
      </c>
      <c r="C14319" s="1" t="str">
        <f>HYPERLINK("http://www.rosaceae.org/gb/gbrowse/malus_x_domestica/?name=MDP0000131723","MDP0000131723")</f>
        <v>MDP0000131723</v>
      </c>
      <c r="D14319">
        <v>76.52</v>
      </c>
      <c r="E14319">
        <v>230</v>
      </c>
      <c r="F14319">
        <v>54</v>
      </c>
      <c r="G14319">
        <v>6</v>
      </c>
      <c r="H14319">
        <v>196</v>
      </c>
      <c r="I14319">
        <v>419</v>
      </c>
      <c r="J14319">
        <v>1</v>
      </c>
      <c r="K14319">
        <v>1</v>
      </c>
      <c r="L14319">
        <v>230</v>
      </c>
      <c r="M14319">
        <v>1</v>
      </c>
      <c r="N14319">
        <v>5.7785699999999999E-100</v>
      </c>
      <c r="O14319">
        <v>928</v>
      </c>
    </row>
    <row r="14320" spans="1:15" x14ac:dyDescent="0.25">
      <c r="A14320" t="s">
        <v>14333</v>
      </c>
      <c r="B14320">
        <v>214</v>
      </c>
      <c r="C14320" s="1" t="str">
        <f>HYPERLINK("http://www.rosaceae.org/gb/gbrowse/malus_x_domestica/?name=MDP0000158578","MDP0000158578")</f>
        <v>MDP0000158578</v>
      </c>
      <c r="D14320">
        <v>35.22</v>
      </c>
      <c r="E14320">
        <v>176</v>
      </c>
      <c r="F14320">
        <v>114</v>
      </c>
      <c r="G14320">
        <v>21</v>
      </c>
      <c r="H14320">
        <v>9</v>
      </c>
      <c r="I14320">
        <v>174</v>
      </c>
      <c r="J14320">
        <v>1</v>
      </c>
      <c r="K14320">
        <v>278</v>
      </c>
      <c r="L14320">
        <v>442</v>
      </c>
      <c r="M14320">
        <v>1</v>
      </c>
      <c r="N14320">
        <v>2.2313200000000001E-18</v>
      </c>
      <c r="O14320">
        <v>220</v>
      </c>
    </row>
    <row r="14321" spans="1:15" x14ac:dyDescent="0.25">
      <c r="A14321" t="s">
        <v>14334</v>
      </c>
      <c r="B14321">
        <v>379</v>
      </c>
      <c r="C14321" s="1" t="str">
        <f>HYPERLINK("http://www.rosaceae.org/gb/gbrowse/malus_x_domestica/?name=MDP0000809880","MDP0000809880")</f>
        <v>MDP0000809880</v>
      </c>
      <c r="D14321">
        <v>33.229999999999997</v>
      </c>
      <c r="E14321">
        <v>349</v>
      </c>
      <c r="F14321">
        <v>233</v>
      </c>
      <c r="G14321">
        <v>77</v>
      </c>
      <c r="H14321">
        <v>89</v>
      </c>
      <c r="I14321">
        <v>376</v>
      </c>
      <c r="J14321">
        <v>1</v>
      </c>
      <c r="K14321">
        <v>90</v>
      </c>
      <c r="L14321">
        <v>422</v>
      </c>
      <c r="M14321">
        <v>1</v>
      </c>
      <c r="N14321">
        <v>8.98727E-30</v>
      </c>
      <c r="O14321">
        <v>322</v>
      </c>
    </row>
    <row r="14322" spans="1:15" x14ac:dyDescent="0.25">
      <c r="A14322" t="s">
        <v>14335</v>
      </c>
      <c r="B14322">
        <v>312</v>
      </c>
      <c r="C14322" s="1" t="str">
        <f>HYPERLINK("http://www.rosaceae.org/gb/gbrowse/malus_x_domestica/?name=MDP0000185125","MDP0000185125")</f>
        <v>MDP0000185125</v>
      </c>
      <c r="D14322">
        <v>34.4</v>
      </c>
      <c r="E14322">
        <v>186</v>
      </c>
      <c r="F14322">
        <v>122</v>
      </c>
      <c r="G14322">
        <v>2</v>
      </c>
      <c r="H14322">
        <v>123</v>
      </c>
      <c r="I14322">
        <v>308</v>
      </c>
      <c r="J14322">
        <v>1</v>
      </c>
      <c r="K14322">
        <v>3</v>
      </c>
      <c r="L14322">
        <v>186</v>
      </c>
      <c r="M14322">
        <v>1</v>
      </c>
      <c r="N14322">
        <v>1.8065900000000001E-22</v>
      </c>
      <c r="O14322">
        <v>258</v>
      </c>
    </row>
    <row r="14323" spans="1:15" x14ac:dyDescent="0.25">
      <c r="A14323" t="s">
        <v>14336</v>
      </c>
      <c r="B14323">
        <v>443</v>
      </c>
      <c r="C14323" s="1" t="str">
        <f>HYPERLINK("http://www.rosaceae.org/gb/gbrowse/malus_x_domestica/?name=MDP0000158709","MDP0000158709")</f>
        <v>MDP0000158709</v>
      </c>
      <c r="D14323">
        <v>81.59</v>
      </c>
      <c r="E14323">
        <v>413</v>
      </c>
      <c r="F14323">
        <v>76</v>
      </c>
      <c r="G14323">
        <v>11</v>
      </c>
      <c r="H14323">
        <v>1</v>
      </c>
      <c r="I14323">
        <v>410</v>
      </c>
      <c r="J14323">
        <v>1</v>
      </c>
      <c r="K14323">
        <v>1</v>
      </c>
      <c r="L14323">
        <v>405</v>
      </c>
      <c r="M14323">
        <v>1</v>
      </c>
      <c r="N14323">
        <v>0</v>
      </c>
      <c r="O14323">
        <v>1739</v>
      </c>
    </row>
    <row r="14324" spans="1:15" x14ac:dyDescent="0.25">
      <c r="A14324" t="s">
        <v>14337</v>
      </c>
      <c r="B14324">
        <v>375</v>
      </c>
      <c r="C14324" s="1" t="str">
        <f>HYPERLINK("http://www.rosaceae.org/gb/gbrowse/malus_x_domestica/?name=MDP0000225718","MDP0000225718")</f>
        <v>MDP0000225718</v>
      </c>
      <c r="D14324">
        <v>33.840000000000003</v>
      </c>
      <c r="E14324">
        <v>390</v>
      </c>
      <c r="F14324">
        <v>258</v>
      </c>
      <c r="G14324">
        <v>48</v>
      </c>
      <c r="H14324">
        <v>4</v>
      </c>
      <c r="I14324">
        <v>364</v>
      </c>
      <c r="J14324">
        <v>1</v>
      </c>
      <c r="K14324">
        <v>8</v>
      </c>
      <c r="L14324">
        <v>378</v>
      </c>
      <c r="M14324">
        <v>1</v>
      </c>
      <c r="N14324">
        <v>1.3860699999999999E-38</v>
      </c>
      <c r="O14324">
        <v>398</v>
      </c>
    </row>
    <row r="14325" spans="1:15" x14ac:dyDescent="0.25">
      <c r="A14325" t="s">
        <v>14338</v>
      </c>
      <c r="B14325">
        <v>490</v>
      </c>
      <c r="C14325" s="1" t="str">
        <f>HYPERLINK("http://www.rosaceae.org/gb/gbrowse/malus_x_domestica/?name=MDP0000156297","MDP0000156297")</f>
        <v>MDP0000156297</v>
      </c>
      <c r="D14325">
        <v>50.26</v>
      </c>
      <c r="E14325">
        <v>376</v>
      </c>
      <c r="F14325">
        <v>187</v>
      </c>
      <c r="G14325">
        <v>24</v>
      </c>
      <c r="H14325">
        <v>112</v>
      </c>
      <c r="I14325">
        <v>470</v>
      </c>
      <c r="J14325">
        <v>1</v>
      </c>
      <c r="K14325">
        <v>61</v>
      </c>
      <c r="L14325">
        <v>429</v>
      </c>
      <c r="M14325">
        <v>1</v>
      </c>
      <c r="N14325">
        <v>3.5631699999999997E-91</v>
      </c>
      <c r="O14325">
        <v>853</v>
      </c>
    </row>
    <row r="14326" spans="1:15" x14ac:dyDescent="0.25">
      <c r="A14326" t="s">
        <v>14339</v>
      </c>
      <c r="B14326">
        <v>507</v>
      </c>
      <c r="C14326" s="1" t="str">
        <f>HYPERLINK("http://www.rosaceae.org/gb/gbrowse/malus_x_domestica/?name=MDP0000298680","MDP0000298680")</f>
        <v>MDP0000298680</v>
      </c>
      <c r="D14326">
        <v>61.81</v>
      </c>
      <c r="E14326">
        <v>474</v>
      </c>
      <c r="F14326">
        <v>181</v>
      </c>
      <c r="G14326">
        <v>35</v>
      </c>
      <c r="H14326">
        <v>4</v>
      </c>
      <c r="I14326">
        <v>443</v>
      </c>
      <c r="J14326">
        <v>1</v>
      </c>
      <c r="K14326">
        <v>1</v>
      </c>
      <c r="L14326">
        <v>473</v>
      </c>
      <c r="M14326">
        <v>1</v>
      </c>
      <c r="N14326">
        <v>1.55745E-167</v>
      </c>
      <c r="O14326">
        <v>1511</v>
      </c>
    </row>
    <row r="14327" spans="1:15" x14ac:dyDescent="0.25">
      <c r="A14327" t="s">
        <v>14340</v>
      </c>
      <c r="B14327">
        <v>414</v>
      </c>
      <c r="C14327" s="1" t="str">
        <f>HYPERLINK("http://www.rosaceae.org/gb/gbrowse/malus_x_domestica/?name=MDP0000226083","MDP0000226083")</f>
        <v>MDP0000226083</v>
      </c>
      <c r="D14327">
        <v>60.42</v>
      </c>
      <c r="E14327">
        <v>422</v>
      </c>
      <c r="F14327">
        <v>167</v>
      </c>
      <c r="G14327">
        <v>8</v>
      </c>
      <c r="H14327">
        <v>1</v>
      </c>
      <c r="I14327">
        <v>414</v>
      </c>
      <c r="J14327">
        <v>1</v>
      </c>
      <c r="K14327">
        <v>1</v>
      </c>
      <c r="L14327">
        <v>422</v>
      </c>
      <c r="M14327">
        <v>1</v>
      </c>
      <c r="N14327">
        <v>1.53155E-135</v>
      </c>
      <c r="O14327">
        <v>1234</v>
      </c>
    </row>
    <row r="14328" spans="1:15" x14ac:dyDescent="0.25">
      <c r="A14328" t="s">
        <v>14341</v>
      </c>
      <c r="B14328">
        <v>196</v>
      </c>
      <c r="C14328" s="1" t="str">
        <f>HYPERLINK("http://www.rosaceae.org/gb/gbrowse/malus_x_domestica/?name=MDP0000306081","MDP0000306081")</f>
        <v>MDP0000306081</v>
      </c>
      <c r="D14328">
        <v>66.83</v>
      </c>
      <c r="E14328">
        <v>196</v>
      </c>
      <c r="F14328">
        <v>65</v>
      </c>
      <c r="G14328">
        <v>6</v>
      </c>
      <c r="H14328">
        <v>2</v>
      </c>
      <c r="I14328">
        <v>191</v>
      </c>
      <c r="J14328">
        <v>1</v>
      </c>
      <c r="K14328">
        <v>4</v>
      </c>
      <c r="L14328">
        <v>199</v>
      </c>
      <c r="M14328">
        <v>1</v>
      </c>
      <c r="N14328">
        <v>1.8956199999999998E-70</v>
      </c>
      <c r="O14328">
        <v>669</v>
      </c>
    </row>
    <row r="14329" spans="1:15" x14ac:dyDescent="0.25">
      <c r="A14329" t="s">
        <v>14342</v>
      </c>
      <c r="B14329">
        <v>939</v>
      </c>
      <c r="C14329" s="1" t="str">
        <f>HYPERLINK("http://www.rosaceae.org/gb/gbrowse/malus_x_domestica/?name=MDP0000615984","MDP0000615984")</f>
        <v>MDP0000615984</v>
      </c>
      <c r="D14329">
        <v>68.569999999999993</v>
      </c>
      <c r="E14329">
        <v>401</v>
      </c>
      <c r="F14329">
        <v>126</v>
      </c>
      <c r="G14329">
        <v>10</v>
      </c>
      <c r="H14329">
        <v>542</v>
      </c>
      <c r="I14329">
        <v>934</v>
      </c>
      <c r="J14329">
        <v>1</v>
      </c>
      <c r="K14329">
        <v>14</v>
      </c>
      <c r="L14329">
        <v>412</v>
      </c>
      <c r="M14329">
        <v>1</v>
      </c>
      <c r="N14329">
        <v>1.82748E-160</v>
      </c>
      <c r="O14329">
        <v>1453</v>
      </c>
    </row>
    <row r="14330" spans="1:15" x14ac:dyDescent="0.25">
      <c r="A14330" t="s">
        <v>14343</v>
      </c>
      <c r="B14330">
        <v>148</v>
      </c>
      <c r="C14330" s="1" t="str">
        <f>HYPERLINK("http://www.rosaceae.org/gb/gbrowse/malus_x_domestica/?name=MDP0000235018","MDP0000235018")</f>
        <v>MDP0000235018</v>
      </c>
      <c r="D14330">
        <v>73.13</v>
      </c>
      <c r="E14330">
        <v>134</v>
      </c>
      <c r="F14330">
        <v>36</v>
      </c>
      <c r="G14330">
        <v>1</v>
      </c>
      <c r="H14330">
        <v>14</v>
      </c>
      <c r="I14330">
        <v>146</v>
      </c>
      <c r="J14330">
        <v>1</v>
      </c>
      <c r="K14330">
        <v>15</v>
      </c>
      <c r="L14330">
        <v>148</v>
      </c>
      <c r="M14330">
        <v>1</v>
      </c>
      <c r="N14330">
        <v>4.0121599999999999E-54</v>
      </c>
      <c r="O14330">
        <v>526</v>
      </c>
    </row>
    <row r="14331" spans="1:15" x14ac:dyDescent="0.25">
      <c r="A14331" t="s">
        <v>14344</v>
      </c>
      <c r="B14331">
        <v>737</v>
      </c>
      <c r="C14331" s="1" t="str">
        <f>HYPERLINK("http://www.rosaceae.org/gb/gbrowse/malus_x_domestica/?name=MDP0000284833","MDP0000284833")</f>
        <v>MDP0000284833</v>
      </c>
      <c r="D14331">
        <v>61.18</v>
      </c>
      <c r="E14331">
        <v>657</v>
      </c>
      <c r="F14331">
        <v>255</v>
      </c>
      <c r="G14331">
        <v>60</v>
      </c>
      <c r="H14331">
        <v>85</v>
      </c>
      <c r="I14331">
        <v>731</v>
      </c>
      <c r="J14331">
        <v>1</v>
      </c>
      <c r="K14331">
        <v>83</v>
      </c>
      <c r="L14331">
        <v>689</v>
      </c>
      <c r="M14331">
        <v>1</v>
      </c>
      <c r="N14331">
        <v>0</v>
      </c>
      <c r="O14331">
        <v>1825</v>
      </c>
    </row>
    <row r="14332" spans="1:15" x14ac:dyDescent="0.25">
      <c r="A14332" t="s">
        <v>14345</v>
      </c>
      <c r="B14332">
        <v>337</v>
      </c>
      <c r="C14332" s="1" t="str">
        <f>HYPERLINK("http://www.rosaceae.org/gb/gbrowse/malus_x_domestica/?name=MDP0000581957","MDP0000581957")</f>
        <v>MDP0000581957</v>
      </c>
      <c r="D14332">
        <v>78.930000000000007</v>
      </c>
      <c r="E14332">
        <v>337</v>
      </c>
      <c r="F14332">
        <v>71</v>
      </c>
      <c r="G14332">
        <v>3</v>
      </c>
      <c r="H14332">
        <v>4</v>
      </c>
      <c r="I14332">
        <v>337</v>
      </c>
      <c r="J14332">
        <v>1</v>
      </c>
      <c r="K14332">
        <v>5</v>
      </c>
      <c r="L14332">
        <v>341</v>
      </c>
      <c r="M14332">
        <v>1</v>
      </c>
      <c r="N14332">
        <v>1.45507E-152</v>
      </c>
      <c r="O14332">
        <v>1380</v>
      </c>
    </row>
    <row r="14333" spans="1:15" x14ac:dyDescent="0.25">
      <c r="A14333" t="s">
        <v>14346</v>
      </c>
      <c r="B14333">
        <v>230</v>
      </c>
      <c r="C14333" s="1" t="str">
        <f>HYPERLINK("http://www.rosaceae.org/gb/gbrowse/malus_x_domestica/?name=MDP0000528111","MDP0000528111")</f>
        <v>MDP0000528111</v>
      </c>
      <c r="D14333">
        <v>41.46</v>
      </c>
      <c r="E14333">
        <v>246</v>
      </c>
      <c r="F14333">
        <v>144</v>
      </c>
      <c r="G14333">
        <v>41</v>
      </c>
      <c r="H14333">
        <v>19</v>
      </c>
      <c r="I14333">
        <v>229</v>
      </c>
      <c r="J14333">
        <v>1</v>
      </c>
      <c r="K14333">
        <v>3</v>
      </c>
      <c r="L14333">
        <v>242</v>
      </c>
      <c r="M14333">
        <v>1</v>
      </c>
      <c r="N14333">
        <v>2.8571199999999999E-36</v>
      </c>
      <c r="O14333">
        <v>375</v>
      </c>
    </row>
    <row r="14334" spans="1:15" x14ac:dyDescent="0.25">
      <c r="A14334" t="s">
        <v>14347</v>
      </c>
      <c r="B14334">
        <v>228</v>
      </c>
      <c r="C14334" s="1" t="str">
        <f>HYPERLINK("http://www.rosaceae.org/gb/gbrowse/malus_x_domestica/?name=MDP0000557349","MDP0000557349")</f>
        <v>MDP0000557349</v>
      </c>
      <c r="D14334">
        <v>48.11</v>
      </c>
      <c r="E14334">
        <v>106</v>
      </c>
      <c r="F14334">
        <v>55</v>
      </c>
      <c r="G14334">
        <v>0</v>
      </c>
      <c r="H14334">
        <v>56</v>
      </c>
      <c r="I14334">
        <v>161</v>
      </c>
      <c r="J14334">
        <v>1</v>
      </c>
      <c r="K14334">
        <v>78</v>
      </c>
      <c r="L14334">
        <v>183</v>
      </c>
      <c r="M14334">
        <v>1</v>
      </c>
      <c r="N14334">
        <v>9.0811600000000002E-23</v>
      </c>
      <c r="O14334">
        <v>259</v>
      </c>
    </row>
    <row r="14335" spans="1:15" x14ac:dyDescent="0.25">
      <c r="A14335" t="s">
        <v>14348</v>
      </c>
      <c r="B14335">
        <v>1545</v>
      </c>
      <c r="C14335" s="1" t="str">
        <f>HYPERLINK("http://www.rosaceae.org/gb/gbrowse/malus_x_domestica/?name=MDP0000248803","MDP0000248803")</f>
        <v>MDP0000248803</v>
      </c>
      <c r="D14335">
        <v>70.150000000000006</v>
      </c>
      <c r="E14335">
        <v>1578</v>
      </c>
      <c r="F14335">
        <v>471</v>
      </c>
      <c r="G14335">
        <v>77</v>
      </c>
      <c r="H14335">
        <v>4</v>
      </c>
      <c r="I14335">
        <v>1544</v>
      </c>
      <c r="J14335">
        <v>1</v>
      </c>
      <c r="K14335">
        <v>5</v>
      </c>
      <c r="L14335">
        <v>1542</v>
      </c>
      <c r="M14335">
        <v>1</v>
      </c>
      <c r="N14335">
        <v>0</v>
      </c>
      <c r="O14335">
        <v>5415</v>
      </c>
    </row>
    <row r="14336" spans="1:15" x14ac:dyDescent="0.25">
      <c r="A14336" t="s">
        <v>14349</v>
      </c>
      <c r="B14336">
        <v>420</v>
      </c>
      <c r="C14336" s="1" t="str">
        <f>HYPERLINK("http://www.rosaceae.org/gb/gbrowse/malus_x_domestica/?name=MDP0000898896","MDP0000898896")</f>
        <v>MDP0000898896</v>
      </c>
      <c r="D14336">
        <v>60.89</v>
      </c>
      <c r="E14336">
        <v>179</v>
      </c>
      <c r="F14336">
        <v>70</v>
      </c>
      <c r="G14336">
        <v>21</v>
      </c>
      <c r="H14336">
        <v>1</v>
      </c>
      <c r="I14336">
        <v>177</v>
      </c>
      <c r="J14336">
        <v>1</v>
      </c>
      <c r="K14336">
        <v>1</v>
      </c>
      <c r="L14336">
        <v>160</v>
      </c>
      <c r="M14336">
        <v>1</v>
      </c>
      <c r="N14336">
        <v>1.53406E-52</v>
      </c>
      <c r="O14336">
        <v>519</v>
      </c>
    </row>
    <row r="14337" spans="1:15" x14ac:dyDescent="0.25">
      <c r="A14337" t="s">
        <v>14350</v>
      </c>
      <c r="B14337">
        <v>520</v>
      </c>
      <c r="C14337" s="1" t="str">
        <f>HYPERLINK("http://www.rosaceae.org/gb/gbrowse/malus_x_domestica/?name=MDP0000243178","MDP0000243178")</f>
        <v>MDP0000243178</v>
      </c>
      <c r="D14337">
        <v>60.97</v>
      </c>
      <c r="E14337">
        <v>533</v>
      </c>
      <c r="F14337">
        <v>208</v>
      </c>
      <c r="G14337">
        <v>18</v>
      </c>
      <c r="H14337">
        <v>1</v>
      </c>
      <c r="I14337">
        <v>516</v>
      </c>
      <c r="J14337">
        <v>1</v>
      </c>
      <c r="K14337">
        <v>1</v>
      </c>
      <c r="L14337">
        <v>532</v>
      </c>
      <c r="M14337">
        <v>1</v>
      </c>
      <c r="N14337">
        <v>1.4374600000000001E-180</v>
      </c>
      <c r="O14337">
        <v>1624</v>
      </c>
    </row>
    <row r="14338" spans="1:15" x14ac:dyDescent="0.25">
      <c r="A14338" t="s">
        <v>14351</v>
      </c>
      <c r="B14338">
        <v>245</v>
      </c>
      <c r="C14338" s="1" t="str">
        <f>HYPERLINK("http://www.rosaceae.org/gb/gbrowse/malus_x_domestica/?name=MDP0000296890","MDP0000296890")</f>
        <v>MDP0000296890</v>
      </c>
      <c r="D14338">
        <v>62.65</v>
      </c>
      <c r="E14338">
        <v>241</v>
      </c>
      <c r="F14338">
        <v>90</v>
      </c>
      <c r="G14338">
        <v>21</v>
      </c>
      <c r="H14338">
        <v>2</v>
      </c>
      <c r="I14338">
        <v>230</v>
      </c>
      <c r="J14338">
        <v>1</v>
      </c>
      <c r="K14338">
        <v>3</v>
      </c>
      <c r="L14338">
        <v>234</v>
      </c>
      <c r="M14338">
        <v>1</v>
      </c>
      <c r="N14338">
        <v>4.1690599999999997E-80</v>
      </c>
      <c r="O14338">
        <v>754</v>
      </c>
    </row>
    <row r="14339" spans="1:15" x14ac:dyDescent="0.25">
      <c r="A14339" t="s">
        <v>14352</v>
      </c>
      <c r="B14339">
        <v>422</v>
      </c>
      <c r="C14339" s="1" t="str">
        <f>HYPERLINK("http://www.rosaceae.org/gb/gbrowse/malus_x_domestica/?name=MDP0000914975","MDP0000914975")</f>
        <v>MDP0000914975</v>
      </c>
      <c r="D14339">
        <v>50.9</v>
      </c>
      <c r="E14339">
        <v>385</v>
      </c>
      <c r="F14339">
        <v>189</v>
      </c>
      <c r="G14339">
        <v>23</v>
      </c>
      <c r="H14339">
        <v>40</v>
      </c>
      <c r="I14339">
        <v>421</v>
      </c>
      <c r="J14339">
        <v>1</v>
      </c>
      <c r="K14339">
        <v>55</v>
      </c>
      <c r="L14339">
        <v>419</v>
      </c>
      <c r="M14339">
        <v>1</v>
      </c>
      <c r="N14339">
        <v>5.6864400000000004E-102</v>
      </c>
      <c r="O14339">
        <v>945</v>
      </c>
    </row>
    <row r="14340" spans="1:15" x14ac:dyDescent="0.25">
      <c r="A14340" t="s">
        <v>14353</v>
      </c>
      <c r="B14340">
        <v>135</v>
      </c>
      <c r="C14340" s="1" t="str">
        <f>HYPERLINK("http://www.rosaceae.org/gb/gbrowse/malus_x_domestica/?name=MDP0000033458","MDP0000033458")</f>
        <v>MDP0000033458</v>
      </c>
      <c r="D14340">
        <v>77.69</v>
      </c>
      <c r="E14340">
        <v>139</v>
      </c>
      <c r="F14340">
        <v>31</v>
      </c>
      <c r="G14340">
        <v>4</v>
      </c>
      <c r="H14340">
        <v>1</v>
      </c>
      <c r="I14340">
        <v>135</v>
      </c>
      <c r="J14340">
        <v>1</v>
      </c>
      <c r="K14340">
        <v>1</v>
      </c>
      <c r="L14340">
        <v>139</v>
      </c>
      <c r="M14340">
        <v>1</v>
      </c>
      <c r="N14340">
        <v>2.94159E-47</v>
      </c>
      <c r="O14340">
        <v>466</v>
      </c>
    </row>
    <row r="14341" spans="1:15" x14ac:dyDescent="0.25">
      <c r="A14341" t="s">
        <v>14354</v>
      </c>
      <c r="B14341">
        <v>189</v>
      </c>
      <c r="C14341" s="1" t="str">
        <f>HYPERLINK("http://www.rosaceae.org/gb/gbrowse/malus_x_domestica/?name=MDP0000477455","MDP0000477455")</f>
        <v>MDP0000477455</v>
      </c>
      <c r="D14341">
        <v>65.489999999999995</v>
      </c>
      <c r="E14341">
        <v>171</v>
      </c>
      <c r="F14341">
        <v>59</v>
      </c>
      <c r="G14341">
        <v>0</v>
      </c>
      <c r="H14341">
        <v>19</v>
      </c>
      <c r="I14341">
        <v>189</v>
      </c>
      <c r="J14341">
        <v>1</v>
      </c>
      <c r="K14341">
        <v>19</v>
      </c>
      <c r="L14341">
        <v>189</v>
      </c>
      <c r="M14341">
        <v>1</v>
      </c>
      <c r="N14341">
        <v>5.6788800000000004E-59</v>
      </c>
      <c r="O14341">
        <v>570</v>
      </c>
    </row>
    <row r="14342" spans="1:15" x14ac:dyDescent="0.25">
      <c r="A14342" t="s">
        <v>14355</v>
      </c>
      <c r="B14342">
        <v>413</v>
      </c>
      <c r="C14342" s="1" t="str">
        <f>HYPERLINK("http://www.rosaceae.org/gb/gbrowse/malus_x_domestica/?name=MDP0000409821","MDP0000409821")</f>
        <v>MDP0000409821</v>
      </c>
      <c r="D14342">
        <v>76.209999999999994</v>
      </c>
      <c r="E14342">
        <v>412</v>
      </c>
      <c r="F14342">
        <v>98</v>
      </c>
      <c r="G14342">
        <v>10</v>
      </c>
      <c r="H14342">
        <v>1</v>
      </c>
      <c r="I14342">
        <v>411</v>
      </c>
      <c r="J14342">
        <v>1</v>
      </c>
      <c r="K14342">
        <v>1</v>
      </c>
      <c r="L14342">
        <v>403</v>
      </c>
      <c r="M14342">
        <v>1</v>
      </c>
      <c r="N14342">
        <v>0</v>
      </c>
      <c r="O14342">
        <v>1650</v>
      </c>
    </row>
    <row r="14343" spans="1:15" x14ac:dyDescent="0.25">
      <c r="A14343" t="s">
        <v>14356</v>
      </c>
      <c r="B14343">
        <v>379</v>
      </c>
      <c r="C14343" s="1" t="str">
        <f>HYPERLINK("http://www.rosaceae.org/gb/gbrowse/malus_x_domestica/?name=MDP0000320808","MDP0000320808")</f>
        <v>MDP0000320808</v>
      </c>
      <c r="D14343">
        <v>70</v>
      </c>
      <c r="E14343">
        <v>370</v>
      </c>
      <c r="F14343">
        <v>111</v>
      </c>
      <c r="G14343">
        <v>7</v>
      </c>
      <c r="H14343">
        <v>1</v>
      </c>
      <c r="I14343">
        <v>364</v>
      </c>
      <c r="J14343">
        <v>1</v>
      </c>
      <c r="K14343">
        <v>134</v>
      </c>
      <c r="L14343">
        <v>502</v>
      </c>
      <c r="M14343">
        <v>1</v>
      </c>
      <c r="N14343">
        <v>9.0786700000000001E-139</v>
      </c>
      <c r="O14343">
        <v>1262</v>
      </c>
    </row>
    <row r="14344" spans="1:15" x14ac:dyDescent="0.25">
      <c r="A14344" t="s">
        <v>14357</v>
      </c>
      <c r="B14344">
        <v>431</v>
      </c>
      <c r="C14344" s="1" t="str">
        <f>HYPERLINK("http://www.rosaceae.org/gb/gbrowse/malus_x_domestica/?name=MDP0000132406","MDP0000132406")</f>
        <v>MDP0000132406</v>
      </c>
      <c r="D14344">
        <v>41.84</v>
      </c>
      <c r="E14344">
        <v>411</v>
      </c>
      <c r="F14344">
        <v>239</v>
      </c>
      <c r="G14344">
        <v>37</v>
      </c>
      <c r="H14344">
        <v>2</v>
      </c>
      <c r="I14344">
        <v>391</v>
      </c>
      <c r="J14344">
        <v>1</v>
      </c>
      <c r="K14344">
        <v>37</v>
      </c>
      <c r="L14344">
        <v>431</v>
      </c>
      <c r="M14344">
        <v>1</v>
      </c>
      <c r="N14344">
        <v>2.4035099999999999E-61</v>
      </c>
      <c r="O14344">
        <v>595</v>
      </c>
    </row>
    <row r="14345" spans="1:15" x14ac:dyDescent="0.25">
      <c r="A14345" t="s">
        <v>14358</v>
      </c>
      <c r="B14345">
        <v>476</v>
      </c>
      <c r="C14345" s="1" t="str">
        <f>HYPERLINK("http://www.rosaceae.org/gb/gbrowse/malus_x_domestica/?name=MDP0000203443","MDP0000203443")</f>
        <v>MDP0000203443</v>
      </c>
      <c r="D14345">
        <v>71.73</v>
      </c>
      <c r="E14345">
        <v>414</v>
      </c>
      <c r="F14345">
        <v>117</v>
      </c>
      <c r="G14345">
        <v>9</v>
      </c>
      <c r="H14345">
        <v>66</v>
      </c>
      <c r="I14345">
        <v>476</v>
      </c>
      <c r="J14345">
        <v>1</v>
      </c>
      <c r="K14345">
        <v>58</v>
      </c>
      <c r="L14345">
        <v>465</v>
      </c>
      <c r="M14345">
        <v>1</v>
      </c>
      <c r="N14345">
        <v>2.9106499999999998E-171</v>
      </c>
      <c r="O14345">
        <v>1543</v>
      </c>
    </row>
    <row r="14346" spans="1:15" x14ac:dyDescent="0.25">
      <c r="A14346" t="s">
        <v>14359</v>
      </c>
      <c r="B14346">
        <v>844</v>
      </c>
      <c r="C14346" s="1" t="str">
        <f>HYPERLINK("http://www.rosaceae.org/gb/gbrowse/malus_x_domestica/?name=MDP0000005879","MDP0000005879")</f>
        <v>MDP0000005879</v>
      </c>
      <c r="D14346">
        <v>93.24</v>
      </c>
      <c r="E14346">
        <v>829</v>
      </c>
      <c r="F14346">
        <v>56</v>
      </c>
      <c r="G14346">
        <v>5</v>
      </c>
      <c r="H14346">
        <v>21</v>
      </c>
      <c r="I14346">
        <v>844</v>
      </c>
      <c r="J14346">
        <v>1</v>
      </c>
      <c r="K14346">
        <v>1</v>
      </c>
      <c r="L14346">
        <v>829</v>
      </c>
      <c r="M14346">
        <v>1</v>
      </c>
      <c r="N14346">
        <v>0</v>
      </c>
      <c r="O14346">
        <v>4134</v>
      </c>
    </row>
    <row r="14347" spans="1:15" x14ac:dyDescent="0.25">
      <c r="A14347" t="s">
        <v>14360</v>
      </c>
      <c r="B14347">
        <v>194</v>
      </c>
      <c r="C14347" s="1" t="str">
        <f>HYPERLINK("http://www.rosaceae.org/gb/gbrowse/malus_x_domestica/?name=MDP0000137362","MDP0000137362")</f>
        <v>MDP0000137362</v>
      </c>
      <c r="D14347">
        <v>67.040000000000006</v>
      </c>
      <c r="E14347">
        <v>176</v>
      </c>
      <c r="F14347">
        <v>58</v>
      </c>
      <c r="G14347">
        <v>12</v>
      </c>
      <c r="H14347">
        <v>25</v>
      </c>
      <c r="I14347">
        <v>189</v>
      </c>
      <c r="J14347">
        <v>1</v>
      </c>
      <c r="K14347">
        <v>21</v>
      </c>
      <c r="L14347">
        <v>195</v>
      </c>
      <c r="M14347">
        <v>1</v>
      </c>
      <c r="N14347">
        <v>1.83257E-58</v>
      </c>
      <c r="O14347">
        <v>566</v>
      </c>
    </row>
    <row r="14348" spans="1:15" x14ac:dyDescent="0.25">
      <c r="A14348" t="s">
        <v>14361</v>
      </c>
      <c r="B14348">
        <v>193</v>
      </c>
      <c r="C14348" s="1" t="str">
        <f>HYPERLINK("http://www.rosaceae.org/gb/gbrowse/malus_x_domestica/?name=MDP0000259301","MDP0000259301")</f>
        <v>MDP0000259301</v>
      </c>
      <c r="D14348">
        <v>74.33</v>
      </c>
      <c r="E14348">
        <v>113</v>
      </c>
      <c r="F14348">
        <v>29</v>
      </c>
      <c r="G14348">
        <v>3</v>
      </c>
      <c r="H14348">
        <v>4</v>
      </c>
      <c r="I14348">
        <v>113</v>
      </c>
      <c r="J14348">
        <v>1</v>
      </c>
      <c r="K14348">
        <v>779</v>
      </c>
      <c r="L14348">
        <v>891</v>
      </c>
      <c r="M14348">
        <v>1</v>
      </c>
      <c r="N14348">
        <v>2.2079899999999999E-41</v>
      </c>
      <c r="O14348">
        <v>418</v>
      </c>
    </row>
    <row r="14349" spans="1:15" x14ac:dyDescent="0.25">
      <c r="A14349" t="s">
        <v>14362</v>
      </c>
      <c r="B14349">
        <v>259</v>
      </c>
      <c r="C14349" s="1" t="str">
        <f>HYPERLINK("http://www.rosaceae.org/gb/gbrowse/malus_x_domestica/?name=MDP0000241559","MDP0000241559")</f>
        <v>MDP0000241559</v>
      </c>
      <c r="D14349">
        <v>76.88</v>
      </c>
      <c r="E14349">
        <v>199</v>
      </c>
      <c r="F14349">
        <v>46</v>
      </c>
      <c r="G14349">
        <v>3</v>
      </c>
      <c r="H14349">
        <v>59</v>
      </c>
      <c r="I14349">
        <v>254</v>
      </c>
      <c r="J14349">
        <v>1</v>
      </c>
      <c r="K14349">
        <v>208</v>
      </c>
      <c r="L14349">
        <v>406</v>
      </c>
      <c r="M14349">
        <v>1</v>
      </c>
      <c r="N14349">
        <v>1.3294E-83</v>
      </c>
      <c r="O14349">
        <v>784</v>
      </c>
    </row>
    <row r="14350" spans="1:15" x14ac:dyDescent="0.25">
      <c r="A14350" t="s">
        <v>14363</v>
      </c>
      <c r="B14350">
        <v>682</v>
      </c>
      <c r="C14350" s="1" t="str">
        <f>HYPERLINK("http://www.rosaceae.org/gb/gbrowse/malus_x_domestica/?name=MDP0000029168","MDP0000029168")</f>
        <v>MDP0000029168</v>
      </c>
      <c r="D14350">
        <v>72.28</v>
      </c>
      <c r="E14350">
        <v>700</v>
      </c>
      <c r="F14350">
        <v>194</v>
      </c>
      <c r="G14350">
        <v>31</v>
      </c>
      <c r="H14350">
        <v>1</v>
      </c>
      <c r="I14350">
        <v>682</v>
      </c>
      <c r="J14350">
        <v>1</v>
      </c>
      <c r="K14350">
        <v>1</v>
      </c>
      <c r="L14350">
        <v>687</v>
      </c>
      <c r="M14350">
        <v>1</v>
      </c>
      <c r="N14350">
        <v>0</v>
      </c>
      <c r="O14350">
        <v>2391</v>
      </c>
    </row>
    <row r="14351" spans="1:15" x14ac:dyDescent="0.25">
      <c r="A14351" t="s">
        <v>14364</v>
      </c>
      <c r="B14351">
        <v>167</v>
      </c>
      <c r="C14351" s="1" t="str">
        <f>HYPERLINK("http://www.rosaceae.org/gb/gbrowse/malus_x_domestica/?name=MDP0000150929","MDP0000150929")</f>
        <v>MDP0000150929</v>
      </c>
      <c r="D14351">
        <v>89.82</v>
      </c>
      <c r="E14351">
        <v>167</v>
      </c>
      <c r="F14351">
        <v>17</v>
      </c>
      <c r="G14351">
        <v>0</v>
      </c>
      <c r="H14351">
        <v>1</v>
      </c>
      <c r="I14351">
        <v>167</v>
      </c>
      <c r="J14351">
        <v>1</v>
      </c>
      <c r="K14351">
        <v>1</v>
      </c>
      <c r="L14351">
        <v>167</v>
      </c>
      <c r="M14351">
        <v>1</v>
      </c>
      <c r="N14351">
        <v>2.2540800000000002E-84</v>
      </c>
      <c r="O14351">
        <v>788</v>
      </c>
    </row>
    <row r="14352" spans="1:15" x14ac:dyDescent="0.25">
      <c r="A14352" t="s">
        <v>14365</v>
      </c>
      <c r="B14352">
        <v>481</v>
      </c>
      <c r="C14352" s="1" t="str">
        <f>HYPERLINK("http://www.rosaceae.org/gb/gbrowse/malus_x_domestica/?name=MDP0000313839","MDP0000313839")</f>
        <v>MDP0000313839</v>
      </c>
      <c r="D14352">
        <v>41.88</v>
      </c>
      <c r="E14352">
        <v>265</v>
      </c>
      <c r="F14352">
        <v>154</v>
      </c>
      <c r="G14352">
        <v>61</v>
      </c>
      <c r="H14352">
        <v>1</v>
      </c>
      <c r="I14352">
        <v>252</v>
      </c>
      <c r="J14352">
        <v>1</v>
      </c>
      <c r="K14352">
        <v>1</v>
      </c>
      <c r="L14352">
        <v>217</v>
      </c>
      <c r="M14352">
        <v>1</v>
      </c>
      <c r="N14352">
        <v>1.4548400000000001E-48</v>
      </c>
      <c r="O14352">
        <v>485</v>
      </c>
    </row>
    <row r="14353" spans="1:15" x14ac:dyDescent="0.25">
      <c r="A14353" t="s">
        <v>14366</v>
      </c>
      <c r="B14353">
        <v>551</v>
      </c>
      <c r="C14353" s="1" t="str">
        <f>HYPERLINK("http://www.rosaceae.org/gb/gbrowse/malus_x_domestica/?name=MDP0000249384","MDP0000249384")</f>
        <v>MDP0000249384</v>
      </c>
      <c r="D14353">
        <v>74.47</v>
      </c>
      <c r="E14353">
        <v>474</v>
      </c>
      <c r="F14353">
        <v>121</v>
      </c>
      <c r="G14353">
        <v>31</v>
      </c>
      <c r="H14353">
        <v>77</v>
      </c>
      <c r="I14353">
        <v>550</v>
      </c>
      <c r="J14353">
        <v>1</v>
      </c>
      <c r="K14353">
        <v>28</v>
      </c>
      <c r="L14353">
        <v>470</v>
      </c>
      <c r="M14353">
        <v>1</v>
      </c>
      <c r="N14353">
        <v>0</v>
      </c>
      <c r="O14353">
        <v>1877</v>
      </c>
    </row>
    <row r="14354" spans="1:15" x14ac:dyDescent="0.25">
      <c r="A14354" t="s">
        <v>14367</v>
      </c>
      <c r="B14354">
        <v>817</v>
      </c>
      <c r="C14354" s="1" t="str">
        <f>HYPERLINK("http://www.rosaceae.org/gb/gbrowse/malus_x_domestica/?name=MDP0000320511","MDP0000320511")</f>
        <v>MDP0000320511</v>
      </c>
      <c r="D14354">
        <v>63.22</v>
      </c>
      <c r="E14354">
        <v>726</v>
      </c>
      <c r="F14354">
        <v>267</v>
      </c>
      <c r="G14354">
        <v>77</v>
      </c>
      <c r="H14354">
        <v>2</v>
      </c>
      <c r="I14354">
        <v>652</v>
      </c>
      <c r="J14354">
        <v>1</v>
      </c>
      <c r="K14354">
        <v>3</v>
      </c>
      <c r="L14354">
        <v>726</v>
      </c>
      <c r="M14354">
        <v>1</v>
      </c>
      <c r="N14354">
        <v>0</v>
      </c>
      <c r="O14354">
        <v>2256</v>
      </c>
    </row>
    <row r="14355" spans="1:15" x14ac:dyDescent="0.25">
      <c r="A14355" t="s">
        <v>14368</v>
      </c>
      <c r="B14355">
        <v>825</v>
      </c>
      <c r="C14355" s="1" t="str">
        <f>HYPERLINK("http://www.rosaceae.org/gb/gbrowse/malus_x_domestica/?name=MDP0000201499","MDP0000201499")</f>
        <v>MDP0000201499</v>
      </c>
      <c r="D14355">
        <v>54.84</v>
      </c>
      <c r="E14355">
        <v>722</v>
      </c>
      <c r="F14355">
        <v>326</v>
      </c>
      <c r="G14355">
        <v>49</v>
      </c>
      <c r="H14355">
        <v>25</v>
      </c>
      <c r="I14355">
        <v>733</v>
      </c>
      <c r="J14355">
        <v>1</v>
      </c>
      <c r="K14355">
        <v>68</v>
      </c>
      <c r="L14355">
        <v>753</v>
      </c>
      <c r="M14355">
        <v>1</v>
      </c>
      <c r="N14355">
        <v>0</v>
      </c>
      <c r="O14355">
        <v>1887</v>
      </c>
    </row>
    <row r="14356" spans="1:15" x14ac:dyDescent="0.25">
      <c r="A14356" t="s">
        <v>14369</v>
      </c>
      <c r="B14356">
        <v>454</v>
      </c>
      <c r="C14356" s="1" t="str">
        <f>HYPERLINK("http://www.rosaceae.org/gb/gbrowse/malus_x_domestica/?name=MDP0000259792","MDP0000259792")</f>
        <v>MDP0000259792</v>
      </c>
      <c r="D14356">
        <v>73.17</v>
      </c>
      <c r="E14356">
        <v>410</v>
      </c>
      <c r="F14356">
        <v>110</v>
      </c>
      <c r="G14356">
        <v>10</v>
      </c>
      <c r="H14356">
        <v>54</v>
      </c>
      <c r="I14356">
        <v>454</v>
      </c>
      <c r="J14356">
        <v>1</v>
      </c>
      <c r="K14356">
        <v>34</v>
      </c>
      <c r="L14356">
        <v>442</v>
      </c>
      <c r="M14356">
        <v>1</v>
      </c>
      <c r="N14356">
        <v>1.02705E-156</v>
      </c>
      <c r="O14356">
        <v>1418</v>
      </c>
    </row>
    <row r="14357" spans="1:15" x14ac:dyDescent="0.25">
      <c r="A14357" t="s">
        <v>14370</v>
      </c>
      <c r="B14357">
        <v>329</v>
      </c>
      <c r="C14357" s="1" t="str">
        <f>HYPERLINK("http://www.rosaceae.org/gb/gbrowse/malus_x_domestica/?name=MDP0000684133","MDP0000684133")</f>
        <v>MDP0000684133</v>
      </c>
      <c r="D14357">
        <v>85.85</v>
      </c>
      <c r="E14357">
        <v>304</v>
      </c>
      <c r="F14357">
        <v>43</v>
      </c>
      <c r="G14357">
        <v>0</v>
      </c>
      <c r="H14357">
        <v>26</v>
      </c>
      <c r="I14357">
        <v>329</v>
      </c>
      <c r="J14357">
        <v>1</v>
      </c>
      <c r="K14357">
        <v>24</v>
      </c>
      <c r="L14357">
        <v>327</v>
      </c>
      <c r="M14357">
        <v>1</v>
      </c>
      <c r="N14357">
        <v>1.3019500000000001E-156</v>
      </c>
      <c r="O14357">
        <v>1415</v>
      </c>
    </row>
    <row r="14358" spans="1:15" x14ac:dyDescent="0.25">
      <c r="A14358" t="s">
        <v>14371</v>
      </c>
      <c r="B14358">
        <v>561</v>
      </c>
      <c r="C14358" s="1" t="str">
        <f>HYPERLINK("http://www.rosaceae.org/gb/gbrowse/malus_x_domestica/?name=MDP0000708692","MDP0000708692")</f>
        <v>MDP0000708692</v>
      </c>
      <c r="D14358">
        <v>61.27</v>
      </c>
      <c r="E14358">
        <v>519</v>
      </c>
      <c r="F14358">
        <v>201</v>
      </c>
      <c r="G14358">
        <v>41</v>
      </c>
      <c r="H14358">
        <v>66</v>
      </c>
      <c r="I14358">
        <v>561</v>
      </c>
      <c r="J14358">
        <v>1</v>
      </c>
      <c r="K14358">
        <v>20</v>
      </c>
      <c r="L14358">
        <v>520</v>
      </c>
      <c r="M14358">
        <v>1</v>
      </c>
      <c r="N14358">
        <v>2.1167100000000001E-159</v>
      </c>
      <c r="O14358">
        <v>1442</v>
      </c>
    </row>
    <row r="14359" spans="1:15" x14ac:dyDescent="0.25">
      <c r="A14359" t="s">
        <v>14372</v>
      </c>
      <c r="B14359">
        <v>477</v>
      </c>
      <c r="C14359" s="1" t="str">
        <f>HYPERLINK("http://www.rosaceae.org/gb/gbrowse/malus_x_domestica/?name=MDP0000282166","MDP0000282166")</f>
        <v>MDP0000282166</v>
      </c>
      <c r="D14359">
        <v>65.900000000000006</v>
      </c>
      <c r="E14359">
        <v>481</v>
      </c>
      <c r="F14359">
        <v>164</v>
      </c>
      <c r="G14359">
        <v>10</v>
      </c>
      <c r="H14359">
        <v>2</v>
      </c>
      <c r="I14359">
        <v>473</v>
      </c>
      <c r="J14359">
        <v>1</v>
      </c>
      <c r="K14359">
        <v>1</v>
      </c>
      <c r="L14359">
        <v>480</v>
      </c>
      <c r="M14359">
        <v>1</v>
      </c>
      <c r="N14359">
        <v>1.2336E-177</v>
      </c>
      <c r="O14359">
        <v>1598</v>
      </c>
    </row>
    <row r="14360" spans="1:15" x14ac:dyDescent="0.25">
      <c r="A14360" t="s">
        <v>14373</v>
      </c>
      <c r="B14360">
        <v>516</v>
      </c>
      <c r="C14360" s="1" t="str">
        <f>HYPERLINK("http://www.rosaceae.org/gb/gbrowse/malus_x_domestica/?name=MDP0000191853","MDP0000191853")</f>
        <v>MDP0000191853</v>
      </c>
      <c r="D14360">
        <v>83.22</v>
      </c>
      <c r="E14360">
        <v>483</v>
      </c>
      <c r="F14360">
        <v>81</v>
      </c>
      <c r="G14360">
        <v>2</v>
      </c>
      <c r="H14360">
        <v>28</v>
      </c>
      <c r="I14360">
        <v>510</v>
      </c>
      <c r="J14360">
        <v>1</v>
      </c>
      <c r="K14360">
        <v>33</v>
      </c>
      <c r="L14360">
        <v>513</v>
      </c>
      <c r="M14360">
        <v>1</v>
      </c>
      <c r="N14360">
        <v>0</v>
      </c>
      <c r="O14360">
        <v>2179</v>
      </c>
    </row>
    <row r="14361" spans="1:15" x14ac:dyDescent="0.25">
      <c r="A14361" t="s">
        <v>14374</v>
      </c>
      <c r="B14361">
        <v>307</v>
      </c>
      <c r="C14361" s="1" t="str">
        <f>HYPERLINK("http://www.rosaceae.org/gb/gbrowse/malus_x_domestica/?name=MDP0000251022","MDP0000251022")</f>
        <v>MDP0000251022</v>
      </c>
      <c r="D14361">
        <v>79.180000000000007</v>
      </c>
      <c r="E14361">
        <v>269</v>
      </c>
      <c r="F14361">
        <v>56</v>
      </c>
      <c r="G14361">
        <v>9</v>
      </c>
      <c r="H14361">
        <v>39</v>
      </c>
      <c r="I14361">
        <v>307</v>
      </c>
      <c r="J14361">
        <v>1</v>
      </c>
      <c r="K14361">
        <v>49</v>
      </c>
      <c r="L14361">
        <v>308</v>
      </c>
      <c r="M14361">
        <v>1</v>
      </c>
      <c r="N14361">
        <v>1.7139799999999999E-120</v>
      </c>
      <c r="O14361">
        <v>1103</v>
      </c>
    </row>
    <row r="14362" spans="1:15" x14ac:dyDescent="0.25">
      <c r="A14362" t="s">
        <v>14375</v>
      </c>
      <c r="B14362">
        <v>412</v>
      </c>
      <c r="C14362" s="1" t="str">
        <f>HYPERLINK("http://www.rosaceae.org/gb/gbrowse/malus_x_domestica/?name=MDP0000293468","MDP0000293468")</f>
        <v>MDP0000293468</v>
      </c>
      <c r="D14362">
        <v>61.94</v>
      </c>
      <c r="E14362">
        <v>402</v>
      </c>
      <c r="F14362">
        <v>153</v>
      </c>
      <c r="G14362">
        <v>82</v>
      </c>
      <c r="H14362">
        <v>93</v>
      </c>
      <c r="I14362">
        <v>412</v>
      </c>
      <c r="J14362">
        <v>1</v>
      </c>
      <c r="K14362">
        <v>266</v>
      </c>
      <c r="L14362">
        <v>667</v>
      </c>
      <c r="M14362">
        <v>1</v>
      </c>
      <c r="N14362">
        <v>4.2549300000000002E-128</v>
      </c>
      <c r="O14362">
        <v>1170</v>
      </c>
    </row>
    <row r="14363" spans="1:15" x14ac:dyDescent="0.25">
      <c r="A14363" t="s">
        <v>14376</v>
      </c>
      <c r="B14363">
        <v>557</v>
      </c>
      <c r="C14363" s="1" t="str">
        <f>HYPERLINK("http://www.rosaceae.org/gb/gbrowse/malus_x_domestica/?name=MDP0000186402","MDP0000186402")</f>
        <v>MDP0000186402</v>
      </c>
      <c r="D14363">
        <v>25.11</v>
      </c>
      <c r="E14363">
        <v>215</v>
      </c>
      <c r="F14363">
        <v>161</v>
      </c>
      <c r="G14363">
        <v>15</v>
      </c>
      <c r="H14363">
        <v>4</v>
      </c>
      <c r="I14363">
        <v>215</v>
      </c>
      <c r="J14363">
        <v>1</v>
      </c>
      <c r="K14363">
        <v>109</v>
      </c>
      <c r="L14363">
        <v>311</v>
      </c>
      <c r="M14363">
        <v>1</v>
      </c>
      <c r="N14363">
        <v>8.6042500000000003E-11</v>
      </c>
      <c r="O14363">
        <v>160</v>
      </c>
    </row>
    <row r="14364" spans="1:15" x14ac:dyDescent="0.25">
      <c r="A14364" t="s">
        <v>14377</v>
      </c>
      <c r="B14364">
        <v>419</v>
      </c>
      <c r="C14364" s="1" t="str">
        <f>HYPERLINK("http://www.rosaceae.org/gb/gbrowse/malus_x_domestica/?name=MDP0000718631","MDP0000718631")</f>
        <v>MDP0000718631</v>
      </c>
      <c r="D14364">
        <v>88.58</v>
      </c>
      <c r="E14364">
        <v>403</v>
      </c>
      <c r="F14364">
        <v>46</v>
      </c>
      <c r="G14364">
        <v>4</v>
      </c>
      <c r="H14364">
        <v>10</v>
      </c>
      <c r="I14364">
        <v>412</v>
      </c>
      <c r="J14364">
        <v>1</v>
      </c>
      <c r="K14364">
        <v>1</v>
      </c>
      <c r="L14364">
        <v>399</v>
      </c>
      <c r="M14364">
        <v>1</v>
      </c>
      <c r="N14364">
        <v>0</v>
      </c>
      <c r="O14364">
        <v>1863</v>
      </c>
    </row>
    <row r="14365" spans="1:15" x14ac:dyDescent="0.25">
      <c r="A14365" t="s">
        <v>14378</v>
      </c>
      <c r="B14365">
        <v>595</v>
      </c>
      <c r="C14365" s="1" t="str">
        <f>HYPERLINK("http://www.rosaceae.org/gb/gbrowse/malus_x_domestica/?name=MDP0000312032","MDP0000312032")</f>
        <v>MDP0000312032</v>
      </c>
      <c r="D14365">
        <v>77.3</v>
      </c>
      <c r="E14365">
        <v>608</v>
      </c>
      <c r="F14365">
        <v>138</v>
      </c>
      <c r="G14365">
        <v>16</v>
      </c>
      <c r="H14365">
        <v>1</v>
      </c>
      <c r="I14365">
        <v>595</v>
      </c>
      <c r="J14365">
        <v>1</v>
      </c>
      <c r="K14365">
        <v>1</v>
      </c>
      <c r="L14365">
        <v>605</v>
      </c>
      <c r="M14365">
        <v>1</v>
      </c>
      <c r="N14365">
        <v>0</v>
      </c>
      <c r="O14365">
        <v>2423</v>
      </c>
    </row>
    <row r="14366" spans="1:15" x14ac:dyDescent="0.25">
      <c r="A14366" t="s">
        <v>14379</v>
      </c>
      <c r="B14366">
        <v>233</v>
      </c>
      <c r="C14366" s="1" t="str">
        <f>HYPERLINK("http://www.rosaceae.org/gb/gbrowse/malus_x_domestica/?name=MDP0000319510","MDP0000319510")</f>
        <v>MDP0000319510</v>
      </c>
      <c r="D14366">
        <v>69.56</v>
      </c>
      <c r="E14366">
        <v>92</v>
      </c>
      <c r="F14366">
        <v>28</v>
      </c>
      <c r="G14366">
        <v>17</v>
      </c>
      <c r="H14366">
        <v>127</v>
      </c>
      <c r="I14366">
        <v>201</v>
      </c>
      <c r="J14366">
        <v>1</v>
      </c>
      <c r="K14366">
        <v>1</v>
      </c>
      <c r="L14366">
        <v>92</v>
      </c>
      <c r="M14366">
        <v>1</v>
      </c>
      <c r="N14366">
        <v>2.4795399999999999E-28</v>
      </c>
      <c r="O14366">
        <v>307</v>
      </c>
    </row>
    <row r="14367" spans="1:15" x14ac:dyDescent="0.25">
      <c r="A14367" t="s">
        <v>14380</v>
      </c>
      <c r="B14367">
        <v>472</v>
      </c>
      <c r="C14367" s="1" t="str">
        <f>HYPERLINK("http://www.rosaceae.org/gb/gbrowse/malus_x_domestica/?name=MDP0000322330","MDP0000322330")</f>
        <v>MDP0000322330</v>
      </c>
      <c r="D14367">
        <v>70.14</v>
      </c>
      <c r="E14367">
        <v>479</v>
      </c>
      <c r="F14367">
        <v>143</v>
      </c>
      <c r="G14367">
        <v>56</v>
      </c>
      <c r="H14367">
        <v>1</v>
      </c>
      <c r="I14367">
        <v>471</v>
      </c>
      <c r="J14367">
        <v>1</v>
      </c>
      <c r="K14367">
        <v>183</v>
      </c>
      <c r="L14367">
        <v>613</v>
      </c>
      <c r="M14367">
        <v>1</v>
      </c>
      <c r="N14367">
        <v>0</v>
      </c>
      <c r="O14367">
        <v>1799</v>
      </c>
    </row>
    <row r="14368" spans="1:15" x14ac:dyDescent="0.25">
      <c r="A14368" t="s">
        <v>14381</v>
      </c>
      <c r="B14368">
        <v>209</v>
      </c>
      <c r="C14368" s="1" t="str">
        <f>HYPERLINK("http://www.rosaceae.org/gb/gbrowse/malus_x_domestica/?name=MDP0000184861","MDP0000184861")</f>
        <v>MDP0000184861</v>
      </c>
      <c r="D14368">
        <v>93.13</v>
      </c>
      <c r="E14368">
        <v>204</v>
      </c>
      <c r="F14368">
        <v>14</v>
      </c>
      <c r="G14368">
        <v>5</v>
      </c>
      <c r="H14368">
        <v>6</v>
      </c>
      <c r="I14368">
        <v>209</v>
      </c>
      <c r="J14368">
        <v>1</v>
      </c>
      <c r="K14368">
        <v>10</v>
      </c>
      <c r="L14368">
        <v>208</v>
      </c>
      <c r="M14368">
        <v>1</v>
      </c>
      <c r="N14368">
        <v>6.6851200000000002E-109</v>
      </c>
      <c r="O14368">
        <v>1001</v>
      </c>
    </row>
    <row r="14369" spans="1:15" x14ac:dyDescent="0.25">
      <c r="A14369" t="s">
        <v>14382</v>
      </c>
      <c r="B14369">
        <v>809</v>
      </c>
      <c r="C14369" s="1" t="str">
        <f>HYPERLINK("http://www.rosaceae.org/gb/gbrowse/malus_x_domestica/?name=MDP0000841379","MDP0000841379")</f>
        <v>MDP0000841379</v>
      </c>
      <c r="D14369">
        <v>69.849999999999994</v>
      </c>
      <c r="E14369">
        <v>690</v>
      </c>
      <c r="F14369">
        <v>208</v>
      </c>
      <c r="G14369">
        <v>30</v>
      </c>
      <c r="H14369">
        <v>5</v>
      </c>
      <c r="I14369">
        <v>679</v>
      </c>
      <c r="J14369">
        <v>1</v>
      </c>
      <c r="K14369">
        <v>32</v>
      </c>
      <c r="L14369">
        <v>706</v>
      </c>
      <c r="M14369">
        <v>1</v>
      </c>
      <c r="N14369">
        <v>0</v>
      </c>
      <c r="O14369">
        <v>2339</v>
      </c>
    </row>
    <row r="14370" spans="1:15" x14ac:dyDescent="0.25">
      <c r="A14370" t="s">
        <v>14383</v>
      </c>
      <c r="B14370">
        <v>316</v>
      </c>
      <c r="C14370" s="1" t="str">
        <f>HYPERLINK("http://www.rosaceae.org/gb/gbrowse/malus_x_domestica/?name=MDP0000293963","MDP0000293963")</f>
        <v>MDP0000293963</v>
      </c>
      <c r="D14370">
        <v>82.58</v>
      </c>
      <c r="E14370">
        <v>310</v>
      </c>
      <c r="F14370">
        <v>54</v>
      </c>
      <c r="G14370">
        <v>0</v>
      </c>
      <c r="H14370">
        <v>1</v>
      </c>
      <c r="I14370">
        <v>310</v>
      </c>
      <c r="J14370">
        <v>1</v>
      </c>
      <c r="K14370">
        <v>142</v>
      </c>
      <c r="L14370">
        <v>451</v>
      </c>
      <c r="M14370">
        <v>1</v>
      </c>
      <c r="N14370">
        <v>3.8389599999999998E-164</v>
      </c>
      <c r="O14370">
        <v>1480</v>
      </c>
    </row>
    <row r="14371" spans="1:15" x14ac:dyDescent="0.25">
      <c r="A14371" t="s">
        <v>14384</v>
      </c>
      <c r="B14371">
        <v>170</v>
      </c>
      <c r="C14371" s="1" t="str">
        <f>HYPERLINK("http://www.rosaceae.org/gb/gbrowse/malus_x_domestica/?name=MDP0000173724","MDP0000173724")</f>
        <v>MDP0000173724</v>
      </c>
      <c r="D14371">
        <v>47.54</v>
      </c>
      <c r="E14371">
        <v>204</v>
      </c>
      <c r="F14371">
        <v>107</v>
      </c>
      <c r="G14371">
        <v>36</v>
      </c>
      <c r="H14371">
        <v>1</v>
      </c>
      <c r="I14371">
        <v>168</v>
      </c>
      <c r="J14371">
        <v>1</v>
      </c>
      <c r="K14371">
        <v>1</v>
      </c>
      <c r="L14371">
        <v>204</v>
      </c>
      <c r="M14371">
        <v>1</v>
      </c>
      <c r="N14371">
        <v>1.8361099999999999E-42</v>
      </c>
      <c r="O14371">
        <v>427</v>
      </c>
    </row>
    <row r="14372" spans="1:15" x14ac:dyDescent="0.25">
      <c r="A14372" t="s">
        <v>14385</v>
      </c>
      <c r="B14372">
        <v>174</v>
      </c>
      <c r="C14372" s="1" t="str">
        <f>HYPERLINK("http://www.rosaceae.org/gb/gbrowse/malus_x_domestica/?name=MDP0000219481","MDP0000219481")</f>
        <v>MDP0000219481</v>
      </c>
      <c r="D14372">
        <v>30.81</v>
      </c>
      <c r="E14372">
        <v>172</v>
      </c>
      <c r="F14372">
        <v>119</v>
      </c>
      <c r="G14372">
        <v>23</v>
      </c>
      <c r="H14372">
        <v>9</v>
      </c>
      <c r="I14372">
        <v>171</v>
      </c>
      <c r="J14372">
        <v>1</v>
      </c>
      <c r="K14372">
        <v>6</v>
      </c>
      <c r="L14372">
        <v>163</v>
      </c>
      <c r="M14372">
        <v>1</v>
      </c>
      <c r="N14372">
        <v>3.0900500000000002E-11</v>
      </c>
      <c r="O14372">
        <v>157</v>
      </c>
    </row>
    <row r="14373" spans="1:15" x14ac:dyDescent="0.25">
      <c r="A14373" t="s">
        <v>14386</v>
      </c>
      <c r="B14373">
        <v>194</v>
      </c>
      <c r="C14373" s="1" t="str">
        <f>HYPERLINK("http://www.rosaceae.org/gb/gbrowse/malus_x_domestica/?name=MDP0000304878","MDP0000304878")</f>
        <v>MDP0000304878</v>
      </c>
      <c r="D14373">
        <v>56.25</v>
      </c>
      <c r="E14373">
        <v>208</v>
      </c>
      <c r="F14373">
        <v>91</v>
      </c>
      <c r="G14373">
        <v>22</v>
      </c>
      <c r="H14373">
        <v>1</v>
      </c>
      <c r="I14373">
        <v>194</v>
      </c>
      <c r="J14373">
        <v>1</v>
      </c>
      <c r="K14373">
        <v>3</v>
      </c>
      <c r="L14373">
        <v>202</v>
      </c>
      <c r="M14373">
        <v>1</v>
      </c>
      <c r="N14373">
        <v>1.1803599999999999E-50</v>
      </c>
      <c r="O14373">
        <v>498</v>
      </c>
    </row>
    <row r="14374" spans="1:15" x14ac:dyDescent="0.25">
      <c r="A14374" t="s">
        <v>14387</v>
      </c>
      <c r="B14374">
        <v>680</v>
      </c>
      <c r="C14374" s="1" t="str">
        <f>HYPERLINK("http://www.rosaceae.org/gb/gbrowse/malus_x_domestica/?name=MDP0000293207","MDP0000293207")</f>
        <v>MDP0000293207</v>
      </c>
      <c r="D14374">
        <v>59.55</v>
      </c>
      <c r="E14374">
        <v>361</v>
      </c>
      <c r="F14374">
        <v>146</v>
      </c>
      <c r="G14374">
        <v>1</v>
      </c>
      <c r="H14374">
        <v>4</v>
      </c>
      <c r="I14374">
        <v>364</v>
      </c>
      <c r="J14374">
        <v>1</v>
      </c>
      <c r="K14374">
        <v>578</v>
      </c>
      <c r="L14374">
        <v>937</v>
      </c>
      <c r="M14374">
        <v>1</v>
      </c>
      <c r="N14374">
        <v>6.7803400000000003E-125</v>
      </c>
      <c r="O14374">
        <v>1145</v>
      </c>
    </row>
    <row r="14375" spans="1:15" x14ac:dyDescent="0.25">
      <c r="A14375" t="s">
        <v>14388</v>
      </c>
      <c r="B14375">
        <v>430</v>
      </c>
      <c r="C14375" s="1" t="str">
        <f>HYPERLINK("http://www.rosaceae.org/gb/gbrowse/malus_x_domestica/?name=MDP0000241635","MDP0000241635")</f>
        <v>MDP0000241635</v>
      </c>
      <c r="D14375">
        <v>39.1</v>
      </c>
      <c r="E14375">
        <v>179</v>
      </c>
      <c r="F14375">
        <v>109</v>
      </c>
      <c r="G14375">
        <v>14</v>
      </c>
      <c r="H14375">
        <v>234</v>
      </c>
      <c r="I14375">
        <v>410</v>
      </c>
      <c r="J14375">
        <v>1</v>
      </c>
      <c r="K14375">
        <v>294</v>
      </c>
      <c r="L14375">
        <v>460</v>
      </c>
      <c r="M14375">
        <v>1</v>
      </c>
      <c r="N14375">
        <v>4.5702500000000002E-21</v>
      </c>
      <c r="O14375">
        <v>247</v>
      </c>
    </row>
    <row r="14376" spans="1:15" x14ac:dyDescent="0.25">
      <c r="A14376" t="s">
        <v>14389</v>
      </c>
      <c r="B14376">
        <v>534</v>
      </c>
      <c r="C14376" s="1" t="str">
        <f>HYPERLINK("http://www.rosaceae.org/gb/gbrowse/malus_x_domestica/?name=MDP0000617021","MDP0000617021")</f>
        <v>MDP0000617021</v>
      </c>
      <c r="D14376">
        <v>70.33</v>
      </c>
      <c r="E14376">
        <v>509</v>
      </c>
      <c r="F14376">
        <v>151</v>
      </c>
      <c r="G14376">
        <v>5</v>
      </c>
      <c r="H14376">
        <v>2</v>
      </c>
      <c r="I14376">
        <v>505</v>
      </c>
      <c r="J14376">
        <v>1</v>
      </c>
      <c r="K14376">
        <v>4</v>
      </c>
      <c r="L14376">
        <v>512</v>
      </c>
      <c r="M14376">
        <v>1</v>
      </c>
      <c r="N14376">
        <v>0</v>
      </c>
      <c r="O14376">
        <v>1928</v>
      </c>
    </row>
    <row r="14377" spans="1:15" x14ac:dyDescent="0.25">
      <c r="A14377" t="s">
        <v>14390</v>
      </c>
      <c r="B14377">
        <v>599</v>
      </c>
      <c r="C14377" s="1" t="str">
        <f>HYPERLINK("http://www.rosaceae.org/gb/gbrowse/malus_x_domestica/?name=MDP0000269627","MDP0000269627")</f>
        <v>MDP0000269627</v>
      </c>
      <c r="D14377">
        <v>77.77</v>
      </c>
      <c r="E14377">
        <v>324</v>
      </c>
      <c r="F14377">
        <v>72</v>
      </c>
      <c r="G14377">
        <v>21</v>
      </c>
      <c r="H14377">
        <v>297</v>
      </c>
      <c r="I14377">
        <v>599</v>
      </c>
      <c r="J14377">
        <v>1</v>
      </c>
      <c r="K14377">
        <v>929</v>
      </c>
      <c r="L14377">
        <v>1252</v>
      </c>
      <c r="M14377">
        <v>1</v>
      </c>
      <c r="N14377">
        <v>4.5655699999999998E-146</v>
      </c>
      <c r="O14377">
        <v>1327</v>
      </c>
    </row>
    <row r="14378" spans="1:15" x14ac:dyDescent="0.25">
      <c r="A14378" t="s">
        <v>14391</v>
      </c>
      <c r="B14378">
        <v>210</v>
      </c>
      <c r="C14378" s="1" t="str">
        <f>HYPERLINK("http://www.rosaceae.org/gb/gbrowse/malus_x_domestica/?name=MDP0000146799","MDP0000146799")</f>
        <v>MDP0000146799</v>
      </c>
      <c r="D14378">
        <v>66.81</v>
      </c>
      <c r="E14378">
        <v>223</v>
      </c>
      <c r="F14378">
        <v>74</v>
      </c>
      <c r="G14378">
        <v>14</v>
      </c>
      <c r="H14378">
        <v>1</v>
      </c>
      <c r="I14378">
        <v>210</v>
      </c>
      <c r="J14378">
        <v>1</v>
      </c>
      <c r="K14378">
        <v>60</v>
      </c>
      <c r="L14378">
        <v>281</v>
      </c>
      <c r="M14378">
        <v>1</v>
      </c>
      <c r="N14378">
        <v>1.8870499999999998E-71</v>
      </c>
      <c r="O14378">
        <v>678</v>
      </c>
    </row>
    <row r="14379" spans="1:15" x14ac:dyDescent="0.25">
      <c r="A14379" t="s">
        <v>14392</v>
      </c>
      <c r="B14379">
        <v>246</v>
      </c>
      <c r="C14379" s="1" t="str">
        <f>HYPERLINK("http://www.rosaceae.org/gb/gbrowse/malus_x_domestica/?name=MDP0000236009","MDP0000236009")</f>
        <v>MDP0000236009</v>
      </c>
      <c r="D14379">
        <v>38.46</v>
      </c>
      <c r="E14379">
        <v>78</v>
      </c>
      <c r="F14379">
        <v>48</v>
      </c>
      <c r="G14379">
        <v>2</v>
      </c>
      <c r="H14379">
        <v>7</v>
      </c>
      <c r="I14379">
        <v>84</v>
      </c>
      <c r="J14379">
        <v>1</v>
      </c>
      <c r="K14379">
        <v>116</v>
      </c>
      <c r="L14379">
        <v>191</v>
      </c>
      <c r="M14379">
        <v>1</v>
      </c>
      <c r="N14379">
        <v>1.5886200000000001E-7</v>
      </c>
      <c r="O14379">
        <v>128</v>
      </c>
    </row>
    <row r="14380" spans="1:15" x14ac:dyDescent="0.25">
      <c r="A14380" t="s">
        <v>14393</v>
      </c>
      <c r="B14380">
        <v>236</v>
      </c>
      <c r="C14380" s="1" t="str">
        <f>HYPERLINK("http://www.rosaceae.org/gb/gbrowse/malus_x_domestica/?name=MDP0000313211","MDP0000313211")</f>
        <v>MDP0000313211</v>
      </c>
      <c r="D14380">
        <v>54.22</v>
      </c>
      <c r="E14380">
        <v>225</v>
      </c>
      <c r="F14380">
        <v>103</v>
      </c>
      <c r="G14380">
        <v>7</v>
      </c>
      <c r="H14380">
        <v>7</v>
      </c>
      <c r="I14380">
        <v>230</v>
      </c>
      <c r="J14380">
        <v>1</v>
      </c>
      <c r="K14380">
        <v>5</v>
      </c>
      <c r="L14380">
        <v>223</v>
      </c>
      <c r="M14380">
        <v>1</v>
      </c>
      <c r="N14380">
        <v>1.5130999999999999E-53</v>
      </c>
      <c r="O14380">
        <v>524</v>
      </c>
    </row>
    <row r="14381" spans="1:15" x14ac:dyDescent="0.25">
      <c r="A14381" t="s">
        <v>14394</v>
      </c>
      <c r="B14381">
        <v>758</v>
      </c>
      <c r="C14381" s="1" t="str">
        <f>HYPERLINK("http://www.rosaceae.org/gb/gbrowse/malus_x_domestica/?name=MDP0000198534","MDP0000198534")</f>
        <v>MDP0000198534</v>
      </c>
      <c r="D14381">
        <v>64.98</v>
      </c>
      <c r="E14381">
        <v>771</v>
      </c>
      <c r="F14381">
        <v>270</v>
      </c>
      <c r="G14381">
        <v>50</v>
      </c>
      <c r="H14381">
        <v>1</v>
      </c>
      <c r="I14381">
        <v>757</v>
      </c>
      <c r="J14381">
        <v>1</v>
      </c>
      <c r="K14381">
        <v>1</v>
      </c>
      <c r="L14381">
        <v>735</v>
      </c>
      <c r="M14381">
        <v>1</v>
      </c>
      <c r="N14381">
        <v>0</v>
      </c>
      <c r="O14381">
        <v>2334</v>
      </c>
    </row>
    <row r="14382" spans="1:15" x14ac:dyDescent="0.25">
      <c r="A14382" t="s">
        <v>14395</v>
      </c>
      <c r="B14382">
        <v>539</v>
      </c>
      <c r="C14382" s="1" t="str">
        <f>HYPERLINK("http://www.rosaceae.org/gb/gbrowse/malus_x_domestica/?name=MDP0000319817","MDP0000319817")</f>
        <v>MDP0000319817</v>
      </c>
      <c r="D14382">
        <v>71.98</v>
      </c>
      <c r="E14382">
        <v>539</v>
      </c>
      <c r="F14382">
        <v>151</v>
      </c>
      <c r="G14382">
        <v>52</v>
      </c>
      <c r="H14382">
        <v>1</v>
      </c>
      <c r="I14382">
        <v>539</v>
      </c>
      <c r="J14382">
        <v>1</v>
      </c>
      <c r="K14382">
        <v>770</v>
      </c>
      <c r="L14382">
        <v>1256</v>
      </c>
      <c r="M14382">
        <v>1</v>
      </c>
      <c r="N14382">
        <v>0</v>
      </c>
      <c r="O14382">
        <v>1936</v>
      </c>
    </row>
    <row r="14383" spans="1:15" x14ac:dyDescent="0.25">
      <c r="A14383" t="s">
        <v>14396</v>
      </c>
      <c r="B14383">
        <v>172</v>
      </c>
      <c r="C14383" s="1" t="str">
        <f>HYPERLINK("http://www.rosaceae.org/gb/gbrowse/malus_x_domestica/?name=MDP0000143462","MDP0000143462")</f>
        <v>MDP0000143462</v>
      </c>
      <c r="D14383">
        <v>60.73</v>
      </c>
      <c r="E14383">
        <v>191</v>
      </c>
      <c r="F14383">
        <v>75</v>
      </c>
      <c r="G14383">
        <v>19</v>
      </c>
      <c r="H14383">
        <v>1</v>
      </c>
      <c r="I14383">
        <v>172</v>
      </c>
      <c r="J14383">
        <v>1</v>
      </c>
      <c r="K14383">
        <v>1</v>
      </c>
      <c r="L14383">
        <v>191</v>
      </c>
      <c r="M14383">
        <v>1</v>
      </c>
      <c r="N14383">
        <v>3.7313300000000002E-48</v>
      </c>
      <c r="O14383">
        <v>476</v>
      </c>
    </row>
    <row r="14384" spans="1:15" x14ac:dyDescent="0.25">
      <c r="A14384" t="s">
        <v>14397</v>
      </c>
      <c r="B14384">
        <v>278</v>
      </c>
      <c r="C14384" s="1" t="str">
        <f>HYPERLINK("http://www.rosaceae.org/gb/gbrowse/malus_x_domestica/?name=MDP0000276272","MDP0000276272")</f>
        <v>MDP0000276272</v>
      </c>
      <c r="D14384">
        <v>59.24</v>
      </c>
      <c r="E14384">
        <v>265</v>
      </c>
      <c r="F14384">
        <v>108</v>
      </c>
      <c r="G14384">
        <v>44</v>
      </c>
      <c r="H14384">
        <v>31</v>
      </c>
      <c r="I14384">
        <v>252</v>
      </c>
      <c r="J14384">
        <v>1</v>
      </c>
      <c r="K14384">
        <v>143</v>
      </c>
      <c r="L14384">
        <v>406</v>
      </c>
      <c r="M14384">
        <v>1</v>
      </c>
      <c r="N14384">
        <v>3.85818E-77</v>
      </c>
      <c r="O14384">
        <v>729</v>
      </c>
    </row>
    <row r="14385" spans="1:15" x14ac:dyDescent="0.25">
      <c r="A14385" t="s">
        <v>14398</v>
      </c>
      <c r="B14385">
        <v>625</v>
      </c>
      <c r="C14385" s="1" t="str">
        <f>HYPERLINK("http://www.rosaceae.org/gb/gbrowse/malus_x_domestica/?name=MDP0000282431","MDP0000282431")</f>
        <v>MDP0000282431</v>
      </c>
      <c r="D14385">
        <v>56.51</v>
      </c>
      <c r="E14385">
        <v>453</v>
      </c>
      <c r="F14385">
        <v>197</v>
      </c>
      <c r="G14385">
        <v>68</v>
      </c>
      <c r="H14385">
        <v>178</v>
      </c>
      <c r="I14385">
        <v>624</v>
      </c>
      <c r="J14385">
        <v>1</v>
      </c>
      <c r="K14385">
        <v>1</v>
      </c>
      <c r="L14385">
        <v>391</v>
      </c>
      <c r="M14385">
        <v>1</v>
      </c>
      <c r="N14385">
        <v>2.7387400000000001E-139</v>
      </c>
      <c r="O14385">
        <v>1269</v>
      </c>
    </row>
    <row r="14386" spans="1:15" x14ac:dyDescent="0.25">
      <c r="A14386" t="s">
        <v>14399</v>
      </c>
      <c r="B14386">
        <v>152</v>
      </c>
      <c r="C14386" s="1" t="str">
        <f>HYPERLINK("http://www.rosaceae.org/gb/gbrowse/malus_x_domestica/?name=MDP0000281173","MDP0000281173")</f>
        <v>MDP0000281173</v>
      </c>
      <c r="D14386">
        <v>71.5</v>
      </c>
      <c r="E14386">
        <v>186</v>
      </c>
      <c r="F14386">
        <v>53</v>
      </c>
      <c r="G14386">
        <v>35</v>
      </c>
      <c r="H14386">
        <v>1</v>
      </c>
      <c r="I14386">
        <v>151</v>
      </c>
      <c r="J14386">
        <v>1</v>
      </c>
      <c r="K14386">
        <v>75</v>
      </c>
      <c r="L14386">
        <v>260</v>
      </c>
      <c r="M14386">
        <v>1</v>
      </c>
      <c r="N14386">
        <v>2.5555200000000001E-72</v>
      </c>
      <c r="O14386">
        <v>683</v>
      </c>
    </row>
    <row r="14387" spans="1:15" x14ac:dyDescent="0.25">
      <c r="A14387" t="s">
        <v>14400</v>
      </c>
      <c r="B14387">
        <v>330</v>
      </c>
      <c r="C14387" s="1" t="str">
        <f>HYPERLINK("http://www.rosaceae.org/gb/gbrowse/malus_x_domestica/?name=MDP0000936441","MDP0000936441")</f>
        <v>MDP0000936441</v>
      </c>
      <c r="D14387">
        <v>43.42</v>
      </c>
      <c r="E14387">
        <v>152</v>
      </c>
      <c r="F14387">
        <v>86</v>
      </c>
      <c r="G14387">
        <v>30</v>
      </c>
      <c r="H14387">
        <v>76</v>
      </c>
      <c r="I14387">
        <v>203</v>
      </c>
      <c r="J14387">
        <v>1</v>
      </c>
      <c r="K14387">
        <v>9</v>
      </c>
      <c r="L14387">
        <v>154</v>
      </c>
      <c r="M14387">
        <v>1</v>
      </c>
      <c r="N14387">
        <v>1.7567799999999999E-30</v>
      </c>
      <c r="O14387">
        <v>327</v>
      </c>
    </row>
    <row r="14388" spans="1:15" x14ac:dyDescent="0.25">
      <c r="A14388" t="s">
        <v>14401</v>
      </c>
      <c r="B14388">
        <v>356</v>
      </c>
      <c r="C14388" s="1" t="str">
        <f>HYPERLINK("http://www.rosaceae.org/gb/gbrowse/malus_x_domestica/?name=MDP0000843359","MDP0000843359")</f>
        <v>MDP0000843359</v>
      </c>
      <c r="D14388">
        <v>48.51</v>
      </c>
      <c r="E14388">
        <v>303</v>
      </c>
      <c r="F14388">
        <v>156</v>
      </c>
      <c r="G14388">
        <v>7</v>
      </c>
      <c r="H14388">
        <v>5</v>
      </c>
      <c r="I14388">
        <v>304</v>
      </c>
      <c r="J14388">
        <v>1</v>
      </c>
      <c r="K14388">
        <v>3</v>
      </c>
      <c r="L14388">
        <v>301</v>
      </c>
      <c r="M14388">
        <v>1</v>
      </c>
      <c r="N14388">
        <v>8.6745100000000003E-80</v>
      </c>
      <c r="O14388">
        <v>753</v>
      </c>
    </row>
    <row r="14389" spans="1:15" x14ac:dyDescent="0.25">
      <c r="A14389" t="s">
        <v>14402</v>
      </c>
      <c r="B14389">
        <v>277</v>
      </c>
      <c r="C14389" s="1" t="str">
        <f>HYPERLINK("http://www.rosaceae.org/gb/gbrowse/malus_x_domestica/?name=MDP0000506266","MDP0000506266")</f>
        <v>MDP0000506266</v>
      </c>
      <c r="D14389">
        <v>50.45</v>
      </c>
      <c r="E14389">
        <v>218</v>
      </c>
      <c r="F14389">
        <v>108</v>
      </c>
      <c r="G14389">
        <v>17</v>
      </c>
      <c r="H14389">
        <v>9</v>
      </c>
      <c r="I14389">
        <v>209</v>
      </c>
      <c r="J14389">
        <v>1</v>
      </c>
      <c r="K14389">
        <v>8</v>
      </c>
      <c r="L14389">
        <v>225</v>
      </c>
      <c r="M14389">
        <v>1</v>
      </c>
      <c r="N14389">
        <v>1.4696599999999999E-48</v>
      </c>
      <c r="O14389">
        <v>482</v>
      </c>
    </row>
    <row r="14390" spans="1:15" x14ac:dyDescent="0.25">
      <c r="A14390" t="s">
        <v>14403</v>
      </c>
      <c r="B14390">
        <v>966</v>
      </c>
      <c r="C14390" s="1" t="str">
        <f>HYPERLINK("http://www.rosaceae.org/gb/gbrowse/malus_x_domestica/?name=MDP0000232699","MDP0000232699")</f>
        <v>MDP0000232699</v>
      </c>
      <c r="D14390">
        <v>52.77</v>
      </c>
      <c r="E14390">
        <v>936</v>
      </c>
      <c r="F14390">
        <v>442</v>
      </c>
      <c r="G14390">
        <v>97</v>
      </c>
      <c r="H14390">
        <v>19</v>
      </c>
      <c r="I14390">
        <v>948</v>
      </c>
      <c r="J14390">
        <v>1</v>
      </c>
      <c r="K14390">
        <v>91</v>
      </c>
      <c r="L14390">
        <v>935</v>
      </c>
      <c r="M14390">
        <v>1</v>
      </c>
      <c r="N14390">
        <v>0</v>
      </c>
      <c r="O14390">
        <v>2362</v>
      </c>
    </row>
    <row r="14391" spans="1:15" x14ac:dyDescent="0.25">
      <c r="A14391" t="s">
        <v>14404</v>
      </c>
      <c r="B14391">
        <v>488</v>
      </c>
      <c r="C14391" s="1" t="str">
        <f>HYPERLINK("http://www.rosaceae.org/gb/gbrowse/malus_x_domestica/?name=MDP0000320497","MDP0000320497")</f>
        <v>MDP0000320497</v>
      </c>
      <c r="D14391">
        <v>48.76</v>
      </c>
      <c r="E14391">
        <v>486</v>
      </c>
      <c r="F14391">
        <v>249</v>
      </c>
      <c r="G14391">
        <v>59</v>
      </c>
      <c r="H14391">
        <v>1</v>
      </c>
      <c r="I14391">
        <v>469</v>
      </c>
      <c r="J14391">
        <v>1</v>
      </c>
      <c r="K14391">
        <v>1</v>
      </c>
      <c r="L14391">
        <v>444</v>
      </c>
      <c r="M14391">
        <v>1</v>
      </c>
      <c r="N14391">
        <v>3.4222600000000003E-97</v>
      </c>
      <c r="O14391">
        <v>905</v>
      </c>
    </row>
    <row r="14392" spans="1:15" x14ac:dyDescent="0.25">
      <c r="A14392" t="s">
        <v>14405</v>
      </c>
      <c r="B14392">
        <v>237</v>
      </c>
      <c r="C14392" s="1" t="str">
        <f>HYPERLINK("http://www.rosaceae.org/gb/gbrowse/malus_x_domestica/?name=MDP0000213154","MDP0000213154")</f>
        <v>MDP0000213154</v>
      </c>
      <c r="D14392">
        <v>47.28</v>
      </c>
      <c r="E14392">
        <v>258</v>
      </c>
      <c r="F14392">
        <v>136</v>
      </c>
      <c r="G14392">
        <v>30</v>
      </c>
      <c r="H14392">
        <v>3</v>
      </c>
      <c r="I14392">
        <v>232</v>
      </c>
      <c r="J14392">
        <v>1</v>
      </c>
      <c r="K14392">
        <v>4</v>
      </c>
      <c r="L14392">
        <v>259</v>
      </c>
      <c r="M14392">
        <v>1</v>
      </c>
      <c r="N14392">
        <v>9.8998200000000002E-46</v>
      </c>
      <c r="O14392">
        <v>457</v>
      </c>
    </row>
    <row r="14393" spans="1:15" x14ac:dyDescent="0.25">
      <c r="A14393" t="s">
        <v>14406</v>
      </c>
      <c r="B14393">
        <v>927</v>
      </c>
      <c r="C14393" s="1" t="str">
        <f>HYPERLINK("http://www.rosaceae.org/gb/gbrowse/malus_x_domestica/?name=MDP0000148169","MDP0000148169")</f>
        <v>MDP0000148169</v>
      </c>
      <c r="D14393">
        <v>79.39</v>
      </c>
      <c r="E14393">
        <v>927</v>
      </c>
      <c r="F14393">
        <v>191</v>
      </c>
      <c r="G14393">
        <v>2</v>
      </c>
      <c r="H14393">
        <v>1</v>
      </c>
      <c r="I14393">
        <v>927</v>
      </c>
      <c r="J14393">
        <v>1</v>
      </c>
      <c r="K14393">
        <v>1</v>
      </c>
      <c r="L14393">
        <v>925</v>
      </c>
      <c r="M14393">
        <v>1</v>
      </c>
      <c r="N14393">
        <v>0</v>
      </c>
      <c r="O14393">
        <v>3947</v>
      </c>
    </row>
    <row r="14394" spans="1:15" x14ac:dyDescent="0.25">
      <c r="A14394" t="s">
        <v>14407</v>
      </c>
      <c r="B14394">
        <v>305</v>
      </c>
      <c r="C14394" s="1" t="str">
        <f>HYPERLINK("http://www.rosaceae.org/gb/gbrowse/malus_x_domestica/?name=MDP0000227827","MDP0000227827")</f>
        <v>MDP0000227827</v>
      </c>
      <c r="D14394">
        <v>53</v>
      </c>
      <c r="E14394">
        <v>300</v>
      </c>
      <c r="F14394">
        <v>141</v>
      </c>
      <c r="G14394">
        <v>4</v>
      </c>
      <c r="H14394">
        <v>5</v>
      </c>
      <c r="I14394">
        <v>303</v>
      </c>
      <c r="J14394">
        <v>1</v>
      </c>
      <c r="K14394">
        <v>3</v>
      </c>
      <c r="L14394">
        <v>299</v>
      </c>
      <c r="M14394">
        <v>1</v>
      </c>
      <c r="N14394">
        <v>1.01266E-88</v>
      </c>
      <c r="O14394">
        <v>829</v>
      </c>
    </row>
    <row r="14395" spans="1:15" x14ac:dyDescent="0.25">
      <c r="A14395" t="s">
        <v>14408</v>
      </c>
      <c r="B14395">
        <v>805</v>
      </c>
      <c r="C14395" s="1" t="str">
        <f>HYPERLINK("http://www.rosaceae.org/gb/gbrowse/malus_x_domestica/?name=MDP0000130897","MDP0000130897")</f>
        <v>MDP0000130897</v>
      </c>
      <c r="D14395">
        <v>37.5</v>
      </c>
      <c r="E14395">
        <v>144</v>
      </c>
      <c r="F14395">
        <v>90</v>
      </c>
      <c r="G14395">
        <v>1</v>
      </c>
      <c r="H14395">
        <v>654</v>
      </c>
      <c r="I14395">
        <v>797</v>
      </c>
      <c r="J14395">
        <v>1</v>
      </c>
      <c r="K14395">
        <v>425</v>
      </c>
      <c r="L14395">
        <v>567</v>
      </c>
      <c r="M14395">
        <v>1</v>
      </c>
      <c r="N14395">
        <v>1.1852799999999999E-25</v>
      </c>
      <c r="O14395">
        <v>290</v>
      </c>
    </row>
    <row r="14396" spans="1:15" x14ac:dyDescent="0.25">
      <c r="A14396" t="s">
        <v>14409</v>
      </c>
      <c r="B14396">
        <v>274</v>
      </c>
      <c r="C14396" s="1" t="str">
        <f>HYPERLINK("http://www.rosaceae.org/gb/gbrowse/malus_x_domestica/?name=MDP0000163690","MDP0000163690")</f>
        <v>MDP0000163690</v>
      </c>
      <c r="D14396">
        <v>59.64</v>
      </c>
      <c r="E14396">
        <v>228</v>
      </c>
      <c r="F14396">
        <v>92</v>
      </c>
      <c r="G14396">
        <v>22</v>
      </c>
      <c r="H14396">
        <v>40</v>
      </c>
      <c r="I14396">
        <v>266</v>
      </c>
      <c r="J14396">
        <v>1</v>
      </c>
      <c r="K14396">
        <v>31</v>
      </c>
      <c r="L14396">
        <v>237</v>
      </c>
      <c r="M14396">
        <v>1</v>
      </c>
      <c r="N14396">
        <v>8.1382099999999997E-71</v>
      </c>
      <c r="O14396">
        <v>674</v>
      </c>
    </row>
    <row r="14397" spans="1:15" x14ac:dyDescent="0.25">
      <c r="A14397" t="s">
        <v>14410</v>
      </c>
      <c r="B14397">
        <v>303</v>
      </c>
      <c r="C14397" s="1" t="str">
        <f>HYPERLINK("http://www.rosaceae.org/gb/gbrowse/malus_x_domestica/?name=MDP0000176969","MDP0000176969")</f>
        <v>MDP0000176969</v>
      </c>
      <c r="D14397">
        <v>81.040000000000006</v>
      </c>
      <c r="E14397">
        <v>306</v>
      </c>
      <c r="F14397">
        <v>58</v>
      </c>
      <c r="G14397">
        <v>3</v>
      </c>
      <c r="H14397">
        <v>1</v>
      </c>
      <c r="I14397">
        <v>303</v>
      </c>
      <c r="J14397">
        <v>1</v>
      </c>
      <c r="K14397">
        <v>1</v>
      </c>
      <c r="L14397">
        <v>306</v>
      </c>
      <c r="M14397">
        <v>1</v>
      </c>
      <c r="N14397">
        <v>4.2143799999999998E-143</v>
      </c>
      <c r="O14397">
        <v>1298</v>
      </c>
    </row>
    <row r="14398" spans="1:15" x14ac:dyDescent="0.25">
      <c r="A14398" t="s">
        <v>14411</v>
      </c>
      <c r="B14398">
        <v>265</v>
      </c>
      <c r="C14398" s="1" t="str">
        <f>HYPERLINK("http://www.rosaceae.org/gb/gbrowse/malus_x_domestica/?name=MDP0000281609","MDP0000281609")</f>
        <v>MDP0000281609</v>
      </c>
      <c r="D14398">
        <v>46.42</v>
      </c>
      <c r="E14398">
        <v>252</v>
      </c>
      <c r="F14398">
        <v>135</v>
      </c>
      <c r="G14398">
        <v>10</v>
      </c>
      <c r="H14398">
        <v>20</v>
      </c>
      <c r="I14398">
        <v>262</v>
      </c>
      <c r="J14398">
        <v>1</v>
      </c>
      <c r="K14398">
        <v>14</v>
      </c>
      <c r="L14398">
        <v>264</v>
      </c>
      <c r="M14398">
        <v>1</v>
      </c>
      <c r="N14398">
        <v>4.1048900000000001E-59</v>
      </c>
      <c r="O14398">
        <v>573</v>
      </c>
    </row>
    <row r="14399" spans="1:15" x14ac:dyDescent="0.25">
      <c r="A14399" t="s">
        <v>14412</v>
      </c>
      <c r="B14399">
        <v>367</v>
      </c>
      <c r="C14399" s="1" t="str">
        <f>HYPERLINK("http://www.rosaceae.org/gb/gbrowse/malus_x_domestica/?name=MDP0000462264","MDP0000462264")</f>
        <v>MDP0000462264</v>
      </c>
      <c r="D14399">
        <v>58.68</v>
      </c>
      <c r="E14399">
        <v>351</v>
      </c>
      <c r="F14399">
        <v>145</v>
      </c>
      <c r="G14399">
        <v>9</v>
      </c>
      <c r="H14399">
        <v>1</v>
      </c>
      <c r="I14399">
        <v>347</v>
      </c>
      <c r="J14399">
        <v>1</v>
      </c>
      <c r="K14399">
        <v>1</v>
      </c>
      <c r="L14399">
        <v>346</v>
      </c>
      <c r="M14399">
        <v>1</v>
      </c>
      <c r="N14399">
        <v>4.7447699999999997E-93</v>
      </c>
      <c r="O14399">
        <v>867</v>
      </c>
    </row>
    <row r="14400" spans="1:15" x14ac:dyDescent="0.25">
      <c r="A14400" t="s">
        <v>14413</v>
      </c>
      <c r="B14400">
        <v>792</v>
      </c>
      <c r="C14400" s="1" t="str">
        <f>HYPERLINK("http://www.rosaceae.org/gb/gbrowse/malus_x_domestica/?name=MDP0000286971","MDP0000286971")</f>
        <v>MDP0000286971</v>
      </c>
      <c r="D14400">
        <v>75.56</v>
      </c>
      <c r="E14400">
        <v>753</v>
      </c>
      <c r="F14400">
        <v>184</v>
      </c>
      <c r="G14400">
        <v>9</v>
      </c>
      <c r="H14400">
        <v>45</v>
      </c>
      <c r="I14400">
        <v>791</v>
      </c>
      <c r="J14400">
        <v>1</v>
      </c>
      <c r="K14400">
        <v>7</v>
      </c>
      <c r="L14400">
        <v>756</v>
      </c>
      <c r="M14400">
        <v>1</v>
      </c>
      <c r="N14400">
        <v>0</v>
      </c>
      <c r="O14400">
        <v>2990</v>
      </c>
    </row>
    <row r="14401" spans="1:15" x14ac:dyDescent="0.25">
      <c r="A14401" t="s">
        <v>14414</v>
      </c>
      <c r="B14401">
        <v>769</v>
      </c>
      <c r="C14401" s="1" t="str">
        <f>HYPERLINK("http://www.rosaceae.org/gb/gbrowse/malus_x_domestica/?name=MDP0000191261","MDP0000191261")</f>
        <v>MDP0000191261</v>
      </c>
      <c r="D14401">
        <v>36.49</v>
      </c>
      <c r="E14401">
        <v>137</v>
      </c>
      <c r="F14401">
        <v>87</v>
      </c>
      <c r="G14401">
        <v>3</v>
      </c>
      <c r="H14401">
        <v>19</v>
      </c>
      <c r="I14401">
        <v>155</v>
      </c>
      <c r="J14401">
        <v>1</v>
      </c>
      <c r="K14401">
        <v>10</v>
      </c>
      <c r="L14401">
        <v>143</v>
      </c>
      <c r="M14401">
        <v>1</v>
      </c>
      <c r="N14401">
        <v>4.0576800000000001E-18</v>
      </c>
      <c r="O14401">
        <v>225</v>
      </c>
    </row>
    <row r="14402" spans="1:15" x14ac:dyDescent="0.25">
      <c r="A14402" t="s">
        <v>14415</v>
      </c>
      <c r="B14402">
        <v>241</v>
      </c>
      <c r="C14402" s="1" t="str">
        <f>HYPERLINK("http://www.rosaceae.org/gb/gbrowse/malus_x_domestica/?name=MDP0000552335","MDP0000552335")</f>
        <v>MDP0000552335</v>
      </c>
      <c r="D14402">
        <v>90.47</v>
      </c>
      <c r="E14402">
        <v>105</v>
      </c>
      <c r="F14402">
        <v>10</v>
      </c>
      <c r="G14402">
        <v>0</v>
      </c>
      <c r="H14402">
        <v>51</v>
      </c>
      <c r="I14402">
        <v>155</v>
      </c>
      <c r="J14402">
        <v>1</v>
      </c>
      <c r="K14402">
        <v>136</v>
      </c>
      <c r="L14402">
        <v>240</v>
      </c>
      <c r="M14402">
        <v>1</v>
      </c>
      <c r="N14402">
        <v>1.63203E-52</v>
      </c>
      <c r="O14402">
        <v>516</v>
      </c>
    </row>
    <row r="14403" spans="1:15" x14ac:dyDescent="0.25">
      <c r="A14403" t="s">
        <v>14416</v>
      </c>
      <c r="B14403">
        <v>582</v>
      </c>
      <c r="C14403" s="1" t="str">
        <f>HYPERLINK("http://www.rosaceae.org/gb/gbrowse/malus_x_domestica/?name=MDP0000842296","MDP0000842296")</f>
        <v>MDP0000842296</v>
      </c>
      <c r="D14403">
        <v>80.239999999999995</v>
      </c>
      <c r="E14403">
        <v>582</v>
      </c>
      <c r="F14403">
        <v>115</v>
      </c>
      <c r="G14403">
        <v>3</v>
      </c>
      <c r="H14403">
        <v>1</v>
      </c>
      <c r="I14403">
        <v>582</v>
      </c>
      <c r="J14403">
        <v>1</v>
      </c>
      <c r="K14403">
        <v>1</v>
      </c>
      <c r="L14403">
        <v>579</v>
      </c>
      <c r="M14403">
        <v>1</v>
      </c>
      <c r="N14403">
        <v>0</v>
      </c>
      <c r="O14403">
        <v>2547</v>
      </c>
    </row>
    <row r="14404" spans="1:15" x14ac:dyDescent="0.25">
      <c r="A14404" t="s">
        <v>14417</v>
      </c>
      <c r="B14404">
        <v>228</v>
      </c>
      <c r="C14404" s="1" t="str">
        <f>HYPERLINK("http://www.rosaceae.org/gb/gbrowse/malus_x_domestica/?name=MDP0000435798","MDP0000435798")</f>
        <v>MDP0000435798</v>
      </c>
      <c r="D14404">
        <v>53.2</v>
      </c>
      <c r="E14404">
        <v>156</v>
      </c>
      <c r="F14404">
        <v>73</v>
      </c>
      <c r="G14404">
        <v>2</v>
      </c>
      <c r="H14404">
        <v>2</v>
      </c>
      <c r="I14404">
        <v>157</v>
      </c>
      <c r="J14404">
        <v>1</v>
      </c>
      <c r="K14404">
        <v>46</v>
      </c>
      <c r="L14404">
        <v>199</v>
      </c>
      <c r="M14404">
        <v>1</v>
      </c>
      <c r="N14404">
        <v>6.3614499999999999E-42</v>
      </c>
      <c r="O14404">
        <v>424</v>
      </c>
    </row>
    <row r="14405" spans="1:15" x14ac:dyDescent="0.25">
      <c r="A14405" t="s">
        <v>14418</v>
      </c>
      <c r="B14405">
        <v>46</v>
      </c>
      <c r="C14405" s="1" t="str">
        <f>HYPERLINK("http://www.rosaceae.org/gb/gbrowse/malus_x_domestica/?name=MDP0000297458","MDP0000297458")</f>
        <v>MDP0000297458</v>
      </c>
      <c r="D14405">
        <v>73.33</v>
      </c>
      <c r="E14405">
        <v>45</v>
      </c>
      <c r="F14405">
        <v>12</v>
      </c>
      <c r="G14405">
        <v>0</v>
      </c>
      <c r="H14405">
        <v>1</v>
      </c>
      <c r="I14405">
        <v>45</v>
      </c>
      <c r="J14405">
        <v>1</v>
      </c>
      <c r="K14405">
        <v>137</v>
      </c>
      <c r="L14405">
        <v>181</v>
      </c>
      <c r="M14405">
        <v>1</v>
      </c>
      <c r="N14405">
        <v>8.5045599999999998E-14</v>
      </c>
      <c r="O14405">
        <v>176</v>
      </c>
    </row>
    <row r="14406" spans="1:15" x14ac:dyDescent="0.25">
      <c r="A14406" t="s">
        <v>14419</v>
      </c>
      <c r="B14406">
        <v>138</v>
      </c>
      <c r="C14406" s="1" t="str">
        <f>HYPERLINK("http://www.rosaceae.org/gb/gbrowse/malus_x_domestica/?name=MDP0000161222","MDP0000161222")</f>
        <v>MDP0000161222</v>
      </c>
      <c r="D14406">
        <v>30.76</v>
      </c>
      <c r="E14406">
        <v>91</v>
      </c>
      <c r="F14406">
        <v>63</v>
      </c>
      <c r="G14406">
        <v>2</v>
      </c>
      <c r="H14406">
        <v>3</v>
      </c>
      <c r="I14406">
        <v>93</v>
      </c>
      <c r="J14406">
        <v>1</v>
      </c>
      <c r="K14406">
        <v>161</v>
      </c>
      <c r="L14406">
        <v>249</v>
      </c>
      <c r="M14406">
        <v>1</v>
      </c>
      <c r="N14406">
        <v>1.40301E-11</v>
      </c>
      <c r="O14406">
        <v>158</v>
      </c>
    </row>
    <row r="14407" spans="1:15" x14ac:dyDescent="0.25">
      <c r="A14407" t="s">
        <v>14420</v>
      </c>
      <c r="B14407">
        <v>145</v>
      </c>
      <c r="C14407" s="1" t="str">
        <f>HYPERLINK("http://www.rosaceae.org/gb/gbrowse/malus_x_domestica/?name=MDP0000256261","MDP0000256261")</f>
        <v>MDP0000256261</v>
      </c>
      <c r="D14407">
        <v>89.47</v>
      </c>
      <c r="E14407">
        <v>57</v>
      </c>
      <c r="F14407">
        <v>6</v>
      </c>
      <c r="G14407">
        <v>0</v>
      </c>
      <c r="H14407">
        <v>1</v>
      </c>
      <c r="I14407">
        <v>57</v>
      </c>
      <c r="J14407">
        <v>1</v>
      </c>
      <c r="K14407">
        <v>1</v>
      </c>
      <c r="L14407">
        <v>57</v>
      </c>
      <c r="M14407">
        <v>1</v>
      </c>
      <c r="N14407">
        <v>2.5178100000000002E-25</v>
      </c>
      <c r="O14407">
        <v>277</v>
      </c>
    </row>
    <row r="14408" spans="1:15" x14ac:dyDescent="0.25">
      <c r="A14408" t="s">
        <v>14421</v>
      </c>
      <c r="B14408">
        <v>303</v>
      </c>
      <c r="C14408" s="1" t="str">
        <f>HYPERLINK("http://www.rosaceae.org/gb/gbrowse/malus_x_domestica/?name=MDP0000245109","MDP0000245109")</f>
        <v>MDP0000245109</v>
      </c>
      <c r="D14408">
        <v>45.94</v>
      </c>
      <c r="E14408">
        <v>148</v>
      </c>
      <c r="F14408">
        <v>80</v>
      </c>
      <c r="G14408">
        <v>12</v>
      </c>
      <c r="H14408">
        <v>60</v>
      </c>
      <c r="I14408">
        <v>196</v>
      </c>
      <c r="J14408">
        <v>1</v>
      </c>
      <c r="K14408">
        <v>26</v>
      </c>
      <c r="L14408">
        <v>172</v>
      </c>
      <c r="M14408">
        <v>1</v>
      </c>
      <c r="N14408">
        <v>9.3238199999999998E-23</v>
      </c>
      <c r="O14408">
        <v>260</v>
      </c>
    </row>
    <row r="14409" spans="1:15" x14ac:dyDescent="0.25">
      <c r="A14409" t="s">
        <v>14422</v>
      </c>
      <c r="B14409">
        <v>766</v>
      </c>
      <c r="C14409" s="1" t="str">
        <f>HYPERLINK("http://www.rosaceae.org/gb/gbrowse/malus_x_domestica/?name=MDP0000314713","MDP0000314713")</f>
        <v>MDP0000314713</v>
      </c>
      <c r="D14409">
        <v>83.98</v>
      </c>
      <c r="E14409">
        <v>618</v>
      </c>
      <c r="F14409">
        <v>99</v>
      </c>
      <c r="G14409">
        <v>0</v>
      </c>
      <c r="H14409">
        <v>38</v>
      </c>
      <c r="I14409">
        <v>655</v>
      </c>
      <c r="J14409">
        <v>1</v>
      </c>
      <c r="K14409">
        <v>342</v>
      </c>
      <c r="L14409">
        <v>959</v>
      </c>
      <c r="M14409">
        <v>1</v>
      </c>
      <c r="N14409">
        <v>0</v>
      </c>
      <c r="O14409">
        <v>2841</v>
      </c>
    </row>
    <row r="14410" spans="1:15" x14ac:dyDescent="0.25">
      <c r="A14410" t="s">
        <v>14423</v>
      </c>
      <c r="B14410">
        <v>499</v>
      </c>
      <c r="C14410" s="1" t="str">
        <f>HYPERLINK("http://www.rosaceae.org/gb/gbrowse/malus_x_domestica/?name=MDP0000287053","MDP0000287053")</f>
        <v>MDP0000287053</v>
      </c>
      <c r="D14410">
        <v>66.56</v>
      </c>
      <c r="E14410">
        <v>326</v>
      </c>
      <c r="F14410">
        <v>109</v>
      </c>
      <c r="G14410">
        <v>31</v>
      </c>
      <c r="H14410">
        <v>39</v>
      </c>
      <c r="I14410">
        <v>343</v>
      </c>
      <c r="J14410">
        <v>1</v>
      </c>
      <c r="K14410">
        <v>57</v>
      </c>
      <c r="L14410">
        <v>372</v>
      </c>
      <c r="M14410">
        <v>1</v>
      </c>
      <c r="N14410">
        <v>6.4149300000000002E-107</v>
      </c>
      <c r="O14410">
        <v>989</v>
      </c>
    </row>
    <row r="14411" spans="1:15" x14ac:dyDescent="0.25">
      <c r="A14411" t="s">
        <v>14424</v>
      </c>
      <c r="B14411">
        <v>183</v>
      </c>
      <c r="C14411" s="1" t="str">
        <f>HYPERLINK("http://www.rosaceae.org/gb/gbrowse/malus_x_domestica/?name=MDP0000158709","MDP0000158709")</f>
        <v>MDP0000158709</v>
      </c>
      <c r="D14411">
        <v>75.36</v>
      </c>
      <c r="E14411">
        <v>138</v>
      </c>
      <c r="F14411">
        <v>34</v>
      </c>
      <c r="G14411">
        <v>0</v>
      </c>
      <c r="H14411">
        <v>1</v>
      </c>
      <c r="I14411">
        <v>138</v>
      </c>
      <c r="J14411">
        <v>1</v>
      </c>
      <c r="K14411">
        <v>478</v>
      </c>
      <c r="L14411">
        <v>615</v>
      </c>
      <c r="M14411">
        <v>1</v>
      </c>
      <c r="N14411">
        <v>5.76156E-57</v>
      </c>
      <c r="O14411">
        <v>552</v>
      </c>
    </row>
    <row r="14412" spans="1:15" x14ac:dyDescent="0.25">
      <c r="A14412" t="s">
        <v>14425</v>
      </c>
      <c r="B14412">
        <v>141</v>
      </c>
      <c r="C14412" s="1" t="str">
        <f>HYPERLINK("http://www.rosaceae.org/gb/gbrowse/malus_x_domestica/?name=MDP0000157231","MDP0000157231")</f>
        <v>MDP0000157231</v>
      </c>
      <c r="D14412">
        <v>87.8</v>
      </c>
      <c r="E14412">
        <v>82</v>
      </c>
      <c r="F14412">
        <v>10</v>
      </c>
      <c r="G14412">
        <v>1</v>
      </c>
      <c r="H14412">
        <v>5</v>
      </c>
      <c r="I14412">
        <v>85</v>
      </c>
      <c r="J14412">
        <v>1</v>
      </c>
      <c r="K14412">
        <v>669</v>
      </c>
      <c r="L14412">
        <v>750</v>
      </c>
      <c r="M14412">
        <v>1</v>
      </c>
      <c r="N14412">
        <v>1.61456E-37</v>
      </c>
      <c r="O14412">
        <v>382</v>
      </c>
    </row>
    <row r="14413" spans="1:15" x14ac:dyDescent="0.25">
      <c r="A14413" t="s">
        <v>14426</v>
      </c>
      <c r="B14413">
        <v>121</v>
      </c>
      <c r="C14413" s="1" t="str">
        <f>HYPERLINK("http://www.rosaceae.org/gb/gbrowse/malus_x_domestica/?name=MDP0000264380","MDP0000264380")</f>
        <v>MDP0000264380</v>
      </c>
      <c r="D14413">
        <v>60.83</v>
      </c>
      <c r="E14413">
        <v>143</v>
      </c>
      <c r="F14413">
        <v>56</v>
      </c>
      <c r="G14413">
        <v>43</v>
      </c>
      <c r="H14413">
        <v>10</v>
      </c>
      <c r="I14413">
        <v>109</v>
      </c>
      <c r="J14413">
        <v>1</v>
      </c>
      <c r="K14413">
        <v>49</v>
      </c>
      <c r="L14413">
        <v>191</v>
      </c>
      <c r="M14413">
        <v>1</v>
      </c>
      <c r="N14413">
        <v>7.2564399999999996E-40</v>
      </c>
      <c r="O14413">
        <v>401</v>
      </c>
    </row>
    <row r="14414" spans="1:15" x14ac:dyDescent="0.25">
      <c r="A14414" t="s">
        <v>14427</v>
      </c>
      <c r="B14414">
        <v>374</v>
      </c>
      <c r="C14414" s="1" t="str">
        <f>HYPERLINK("http://www.rosaceae.org/gb/gbrowse/malus_x_domestica/?name=MDP0000852699","MDP0000852699")</f>
        <v>MDP0000852699</v>
      </c>
      <c r="D14414">
        <v>64.42</v>
      </c>
      <c r="E14414">
        <v>298</v>
      </c>
      <c r="F14414">
        <v>106</v>
      </c>
      <c r="G14414">
        <v>6</v>
      </c>
      <c r="H14414">
        <v>24</v>
      </c>
      <c r="I14414">
        <v>316</v>
      </c>
      <c r="J14414">
        <v>1</v>
      </c>
      <c r="K14414">
        <v>26</v>
      </c>
      <c r="L14414">
        <v>322</v>
      </c>
      <c r="M14414">
        <v>1</v>
      </c>
      <c r="N14414">
        <v>4.5805299999999999E-104</v>
      </c>
      <c r="O14414">
        <v>963</v>
      </c>
    </row>
    <row r="14415" spans="1:15" x14ac:dyDescent="0.25">
      <c r="A14415" t="s">
        <v>14428</v>
      </c>
      <c r="B14415">
        <v>703</v>
      </c>
      <c r="C14415" s="1" t="str">
        <f>HYPERLINK("http://www.rosaceae.org/gb/gbrowse/malus_x_domestica/?name=MDP0000091547","MDP0000091547")</f>
        <v>MDP0000091547</v>
      </c>
      <c r="D14415">
        <v>77.42</v>
      </c>
      <c r="E14415">
        <v>700</v>
      </c>
      <c r="F14415">
        <v>158</v>
      </c>
      <c r="G14415">
        <v>4</v>
      </c>
      <c r="H14415">
        <v>1</v>
      </c>
      <c r="I14415">
        <v>696</v>
      </c>
      <c r="J14415">
        <v>1</v>
      </c>
      <c r="K14415">
        <v>1</v>
      </c>
      <c r="L14415">
        <v>700</v>
      </c>
      <c r="M14415">
        <v>1</v>
      </c>
      <c r="N14415">
        <v>0</v>
      </c>
      <c r="O14415">
        <v>2828</v>
      </c>
    </row>
    <row r="14416" spans="1:15" x14ac:dyDescent="0.25">
      <c r="A14416" t="s">
        <v>14429</v>
      </c>
      <c r="B14416">
        <v>764</v>
      </c>
      <c r="C14416" s="1" t="str">
        <f>HYPERLINK("http://www.rosaceae.org/gb/gbrowse/malus_x_domestica/?name=MDP0000706828","MDP0000706828")</f>
        <v>MDP0000706828</v>
      </c>
      <c r="D14416">
        <v>76.819999999999993</v>
      </c>
      <c r="E14416">
        <v>384</v>
      </c>
      <c r="F14416">
        <v>89</v>
      </c>
      <c r="G14416">
        <v>2</v>
      </c>
      <c r="H14416">
        <v>375</v>
      </c>
      <c r="I14416">
        <v>756</v>
      </c>
      <c r="J14416">
        <v>1</v>
      </c>
      <c r="K14416">
        <v>178</v>
      </c>
      <c r="L14416">
        <v>561</v>
      </c>
      <c r="M14416">
        <v>1</v>
      </c>
      <c r="N14416">
        <v>0</v>
      </c>
      <c r="O14416">
        <v>1632</v>
      </c>
    </row>
    <row r="14417" spans="1:15" x14ac:dyDescent="0.25">
      <c r="A14417" t="s">
        <v>14430</v>
      </c>
      <c r="B14417">
        <v>154</v>
      </c>
      <c r="C14417" s="1" t="str">
        <f>HYPERLINK("http://www.rosaceae.org/gb/gbrowse/malus_x_domestica/?name=MDP0000235018","MDP0000235018")</f>
        <v>MDP0000235018</v>
      </c>
      <c r="D14417">
        <v>72.290000000000006</v>
      </c>
      <c r="E14417">
        <v>148</v>
      </c>
      <c r="F14417">
        <v>41</v>
      </c>
      <c r="G14417">
        <v>0</v>
      </c>
      <c r="H14417">
        <v>1</v>
      </c>
      <c r="I14417">
        <v>148</v>
      </c>
      <c r="J14417">
        <v>1</v>
      </c>
      <c r="K14417">
        <v>1</v>
      </c>
      <c r="L14417">
        <v>148</v>
      </c>
      <c r="M14417">
        <v>1</v>
      </c>
      <c r="N14417">
        <v>1.2896300000000001E-60</v>
      </c>
      <c r="O14417">
        <v>582</v>
      </c>
    </row>
    <row r="14418" spans="1:15" x14ac:dyDescent="0.25">
      <c r="A14418" t="s">
        <v>14431</v>
      </c>
      <c r="B14418">
        <v>986</v>
      </c>
      <c r="C14418" s="1" t="str">
        <f>HYPERLINK("http://www.rosaceae.org/gb/gbrowse/malus_x_domestica/?name=MDP0000178956","MDP0000178956")</f>
        <v>MDP0000178956</v>
      </c>
      <c r="D14418">
        <v>75.44</v>
      </c>
      <c r="E14418">
        <v>957</v>
      </c>
      <c r="F14418">
        <v>235</v>
      </c>
      <c r="G14418">
        <v>53</v>
      </c>
      <c r="H14418">
        <v>42</v>
      </c>
      <c r="I14418">
        <v>986</v>
      </c>
      <c r="J14418">
        <v>1</v>
      </c>
      <c r="K14418">
        <v>14</v>
      </c>
      <c r="L14418">
        <v>929</v>
      </c>
      <c r="M14418">
        <v>1</v>
      </c>
      <c r="N14418">
        <v>0</v>
      </c>
      <c r="O14418">
        <v>3808</v>
      </c>
    </row>
    <row r="14419" spans="1:15" x14ac:dyDescent="0.25">
      <c r="A14419" t="s">
        <v>14432</v>
      </c>
      <c r="B14419">
        <v>517</v>
      </c>
      <c r="C14419" s="1" t="str">
        <f>HYPERLINK("http://www.rosaceae.org/gb/gbrowse/malus_x_domestica/?name=MDP0000316102","MDP0000316102")</f>
        <v>MDP0000316102</v>
      </c>
      <c r="D14419">
        <v>83.58</v>
      </c>
      <c r="E14419">
        <v>195</v>
      </c>
      <c r="F14419">
        <v>32</v>
      </c>
      <c r="G14419">
        <v>0</v>
      </c>
      <c r="H14419">
        <v>1</v>
      </c>
      <c r="I14419">
        <v>195</v>
      </c>
      <c r="J14419">
        <v>1</v>
      </c>
      <c r="K14419">
        <v>1</v>
      </c>
      <c r="L14419">
        <v>195</v>
      </c>
      <c r="M14419">
        <v>1</v>
      </c>
      <c r="N14419">
        <v>9.79345E-98</v>
      </c>
      <c r="O14419">
        <v>909</v>
      </c>
    </row>
    <row r="14420" spans="1:15" x14ac:dyDescent="0.25">
      <c r="A14420" t="s">
        <v>14433</v>
      </c>
      <c r="B14420">
        <v>1332</v>
      </c>
      <c r="C14420" s="1" t="str">
        <f>HYPERLINK("http://www.rosaceae.org/gb/gbrowse/malus_x_domestica/?name=MDP0000254398","MDP0000254398")</f>
        <v>MDP0000254398</v>
      </c>
      <c r="D14420">
        <v>61.79</v>
      </c>
      <c r="E14420">
        <v>1429</v>
      </c>
      <c r="F14420">
        <v>546</v>
      </c>
      <c r="G14420">
        <v>125</v>
      </c>
      <c r="H14420">
        <v>1</v>
      </c>
      <c r="I14420">
        <v>1323</v>
      </c>
      <c r="J14420">
        <v>1</v>
      </c>
      <c r="K14420">
        <v>1</v>
      </c>
      <c r="L14420">
        <v>1410</v>
      </c>
      <c r="M14420">
        <v>1</v>
      </c>
      <c r="N14420">
        <v>0</v>
      </c>
      <c r="O14420">
        <v>3970</v>
      </c>
    </row>
    <row r="14421" spans="1:15" x14ac:dyDescent="0.25">
      <c r="A14421" t="s">
        <v>14434</v>
      </c>
      <c r="B14421">
        <v>438</v>
      </c>
      <c r="C14421" s="1" t="str">
        <f>HYPERLINK("http://www.rosaceae.org/gb/gbrowse/malus_x_domestica/?name=MDP0000248673","MDP0000248673")</f>
        <v>MDP0000248673</v>
      </c>
      <c r="D14421">
        <v>68.66</v>
      </c>
      <c r="E14421">
        <v>233</v>
      </c>
      <c r="F14421">
        <v>73</v>
      </c>
      <c r="G14421">
        <v>4</v>
      </c>
      <c r="H14421">
        <v>99</v>
      </c>
      <c r="I14421">
        <v>327</v>
      </c>
      <c r="J14421">
        <v>1</v>
      </c>
      <c r="K14421">
        <v>41</v>
      </c>
      <c r="L14421">
        <v>273</v>
      </c>
      <c r="M14421">
        <v>1</v>
      </c>
      <c r="N14421">
        <v>9.9676600000000003E-92</v>
      </c>
      <c r="O14421">
        <v>857</v>
      </c>
    </row>
    <row r="14422" spans="1:15" x14ac:dyDescent="0.25">
      <c r="A14422" t="s">
        <v>14435</v>
      </c>
      <c r="B14422">
        <v>473</v>
      </c>
      <c r="C14422" s="1" t="str">
        <f>HYPERLINK("http://www.rosaceae.org/gb/gbrowse/malus_x_domestica/?name=MDP0000617956","MDP0000617956")</f>
        <v>MDP0000617956</v>
      </c>
      <c r="D14422">
        <v>69.05</v>
      </c>
      <c r="E14422">
        <v>475</v>
      </c>
      <c r="F14422">
        <v>147</v>
      </c>
      <c r="G14422">
        <v>8</v>
      </c>
      <c r="H14422">
        <v>1</v>
      </c>
      <c r="I14422">
        <v>468</v>
      </c>
      <c r="J14422">
        <v>1</v>
      </c>
      <c r="K14422">
        <v>1</v>
      </c>
      <c r="L14422">
        <v>474</v>
      </c>
      <c r="M14422">
        <v>1</v>
      </c>
      <c r="N14422">
        <v>0</v>
      </c>
      <c r="O14422">
        <v>1708</v>
      </c>
    </row>
    <row r="14423" spans="1:15" x14ac:dyDescent="0.25">
      <c r="A14423" t="s">
        <v>14436</v>
      </c>
      <c r="B14423">
        <v>152</v>
      </c>
      <c r="C14423" s="1" t="str">
        <f>HYPERLINK("http://www.rosaceae.org/gb/gbrowse/malus_x_domestica/?name=MDP0000578491","MDP0000578491")</f>
        <v>MDP0000578491</v>
      </c>
      <c r="D14423">
        <v>70.89</v>
      </c>
      <c r="E14423">
        <v>134</v>
      </c>
      <c r="F14423">
        <v>39</v>
      </c>
      <c r="G14423">
        <v>10</v>
      </c>
      <c r="H14423">
        <v>15</v>
      </c>
      <c r="I14423">
        <v>148</v>
      </c>
      <c r="J14423">
        <v>1</v>
      </c>
      <c r="K14423">
        <v>12</v>
      </c>
      <c r="L14423">
        <v>135</v>
      </c>
      <c r="M14423">
        <v>1</v>
      </c>
      <c r="N14423">
        <v>3.0954600000000002E-44</v>
      </c>
      <c r="O14423">
        <v>441</v>
      </c>
    </row>
    <row r="14424" spans="1:15" x14ac:dyDescent="0.25">
      <c r="A14424" t="s">
        <v>14437</v>
      </c>
      <c r="B14424">
        <v>814</v>
      </c>
      <c r="C14424" s="1" t="str">
        <f>HYPERLINK("http://www.rosaceae.org/gb/gbrowse/malus_x_domestica/?name=MDP0000280476","MDP0000280476")</f>
        <v>MDP0000280476</v>
      </c>
      <c r="D14424">
        <v>57.05</v>
      </c>
      <c r="E14424">
        <v>836</v>
      </c>
      <c r="F14424">
        <v>359</v>
      </c>
      <c r="G14424">
        <v>52</v>
      </c>
      <c r="H14424">
        <v>26</v>
      </c>
      <c r="I14424">
        <v>814</v>
      </c>
      <c r="J14424">
        <v>1</v>
      </c>
      <c r="K14424">
        <v>2</v>
      </c>
      <c r="L14424">
        <v>832</v>
      </c>
      <c r="M14424">
        <v>1</v>
      </c>
      <c r="N14424">
        <v>0</v>
      </c>
      <c r="O14424">
        <v>2377</v>
      </c>
    </row>
    <row r="14425" spans="1:15" x14ac:dyDescent="0.25">
      <c r="A14425" t="s">
        <v>14438</v>
      </c>
      <c r="B14425">
        <v>239</v>
      </c>
      <c r="C14425" s="1" t="str">
        <f>HYPERLINK("http://www.rosaceae.org/gb/gbrowse/malus_x_domestica/?name=MDP0000175314","MDP0000175314")</f>
        <v>MDP0000175314</v>
      </c>
      <c r="D14425">
        <v>71.42</v>
      </c>
      <c r="E14425">
        <v>42</v>
      </c>
      <c r="F14425">
        <v>12</v>
      </c>
      <c r="G14425">
        <v>1</v>
      </c>
      <c r="H14425">
        <v>192</v>
      </c>
      <c r="I14425">
        <v>232</v>
      </c>
      <c r="J14425">
        <v>1</v>
      </c>
      <c r="K14425">
        <v>380</v>
      </c>
      <c r="L14425">
        <v>421</v>
      </c>
      <c r="M14425">
        <v>1</v>
      </c>
      <c r="N14425">
        <v>1.1996499999999999E-8</v>
      </c>
      <c r="O14425">
        <v>137</v>
      </c>
    </row>
    <row r="14426" spans="1:15" x14ac:dyDescent="0.25">
      <c r="A14426" t="s">
        <v>14439</v>
      </c>
      <c r="B14426">
        <v>589</v>
      </c>
      <c r="C14426" s="1" t="str">
        <f>HYPERLINK("http://www.rosaceae.org/gb/gbrowse/malus_x_domestica/?name=MDP0000184475","MDP0000184475")</f>
        <v>MDP0000184475</v>
      </c>
      <c r="D14426">
        <v>41.06</v>
      </c>
      <c r="E14426">
        <v>660</v>
      </c>
      <c r="F14426">
        <v>389</v>
      </c>
      <c r="G14426">
        <v>119</v>
      </c>
      <c r="H14426">
        <v>6</v>
      </c>
      <c r="I14426">
        <v>577</v>
      </c>
      <c r="J14426">
        <v>1</v>
      </c>
      <c r="K14426">
        <v>348</v>
      </c>
      <c r="L14426">
        <v>976</v>
      </c>
      <c r="M14426">
        <v>1</v>
      </c>
      <c r="N14426">
        <v>3.9273600000000003E-105</v>
      </c>
      <c r="O14426">
        <v>974</v>
      </c>
    </row>
    <row r="14427" spans="1:15" x14ac:dyDescent="0.25">
      <c r="A14427" t="s">
        <v>14440</v>
      </c>
      <c r="B14427">
        <v>198</v>
      </c>
      <c r="C14427" s="1" t="str">
        <f>HYPERLINK("http://www.rosaceae.org/gb/gbrowse/malus_x_domestica/?name=MDP0000203230","MDP0000203230")</f>
        <v>MDP0000203230</v>
      </c>
      <c r="D14427">
        <v>76.38</v>
      </c>
      <c r="E14427">
        <v>144</v>
      </c>
      <c r="F14427">
        <v>34</v>
      </c>
      <c r="G14427">
        <v>3</v>
      </c>
      <c r="H14427">
        <v>50</v>
      </c>
      <c r="I14427">
        <v>193</v>
      </c>
      <c r="J14427">
        <v>1</v>
      </c>
      <c r="K14427">
        <v>40</v>
      </c>
      <c r="L14427">
        <v>180</v>
      </c>
      <c r="M14427">
        <v>1</v>
      </c>
      <c r="N14427">
        <v>3.2580299999999998E-56</v>
      </c>
      <c r="O14427">
        <v>546</v>
      </c>
    </row>
    <row r="14428" spans="1:15" x14ac:dyDescent="0.25">
      <c r="A14428" t="s">
        <v>14441</v>
      </c>
      <c r="B14428">
        <v>346</v>
      </c>
      <c r="C14428" s="1" t="str">
        <f>HYPERLINK("http://www.rosaceae.org/gb/gbrowse/malus_x_domestica/?name=MDP0000152304","MDP0000152304")</f>
        <v>MDP0000152304</v>
      </c>
      <c r="D14428">
        <v>67.7</v>
      </c>
      <c r="E14428">
        <v>384</v>
      </c>
      <c r="F14428">
        <v>124</v>
      </c>
      <c r="G14428">
        <v>70</v>
      </c>
      <c r="H14428">
        <v>1</v>
      </c>
      <c r="I14428">
        <v>343</v>
      </c>
      <c r="J14428">
        <v>1</v>
      </c>
      <c r="K14428">
        <v>1</v>
      </c>
      <c r="L14428">
        <v>355</v>
      </c>
      <c r="M14428">
        <v>1</v>
      </c>
      <c r="N14428">
        <v>4.7620800000000002E-136</v>
      </c>
      <c r="O14428">
        <v>1238</v>
      </c>
    </row>
    <row r="14429" spans="1:15" x14ac:dyDescent="0.25">
      <c r="A14429" t="s">
        <v>14442</v>
      </c>
      <c r="B14429">
        <v>525</v>
      </c>
      <c r="C14429" s="1" t="str">
        <f>HYPERLINK("http://www.rosaceae.org/gb/gbrowse/malus_x_domestica/?name=MDP0000292722","MDP0000292722")</f>
        <v>MDP0000292722</v>
      </c>
      <c r="D14429">
        <v>59.15</v>
      </c>
      <c r="E14429">
        <v>71</v>
      </c>
      <c r="F14429">
        <v>29</v>
      </c>
      <c r="G14429">
        <v>1</v>
      </c>
      <c r="H14429">
        <v>235</v>
      </c>
      <c r="I14429">
        <v>304</v>
      </c>
      <c r="J14429">
        <v>1</v>
      </c>
      <c r="K14429">
        <v>328</v>
      </c>
      <c r="L14429">
        <v>398</v>
      </c>
      <c r="M14429">
        <v>1</v>
      </c>
      <c r="N14429">
        <v>5.70022E-17</v>
      </c>
      <c r="O14429">
        <v>213</v>
      </c>
    </row>
    <row r="14430" spans="1:15" x14ac:dyDescent="0.25">
      <c r="A14430" t="s">
        <v>14443</v>
      </c>
      <c r="B14430">
        <v>291</v>
      </c>
      <c r="C14430" s="1" t="str">
        <f>HYPERLINK("http://www.rosaceae.org/gb/gbrowse/malus_x_domestica/?name=MDP0000123421","MDP0000123421")</f>
        <v>MDP0000123421</v>
      </c>
      <c r="D14430">
        <v>50</v>
      </c>
      <c r="E14430">
        <v>198</v>
      </c>
      <c r="F14430">
        <v>99</v>
      </c>
      <c r="G14430">
        <v>12</v>
      </c>
      <c r="H14430">
        <v>95</v>
      </c>
      <c r="I14430">
        <v>284</v>
      </c>
      <c r="J14430">
        <v>1</v>
      </c>
      <c r="K14430">
        <v>94</v>
      </c>
      <c r="L14430">
        <v>287</v>
      </c>
      <c r="M14430">
        <v>1</v>
      </c>
      <c r="N14430">
        <v>2.6379500000000001E-49</v>
      </c>
      <c r="O14430">
        <v>489</v>
      </c>
    </row>
    <row r="14431" spans="1:15" x14ac:dyDescent="0.25">
      <c r="A14431" t="s">
        <v>14444</v>
      </c>
      <c r="B14431">
        <v>435</v>
      </c>
      <c r="C14431" s="1" t="str">
        <f>HYPERLINK("http://www.rosaceae.org/gb/gbrowse/malus_x_domestica/?name=MDP0000938736","MDP0000938736")</f>
        <v>MDP0000938736</v>
      </c>
      <c r="D14431">
        <v>93.75</v>
      </c>
      <c r="E14431">
        <v>384</v>
      </c>
      <c r="F14431">
        <v>24</v>
      </c>
      <c r="G14431">
        <v>0</v>
      </c>
      <c r="H14431">
        <v>1</v>
      </c>
      <c r="I14431">
        <v>384</v>
      </c>
      <c r="J14431">
        <v>1</v>
      </c>
      <c r="K14431">
        <v>128</v>
      </c>
      <c r="L14431">
        <v>511</v>
      </c>
      <c r="M14431">
        <v>1</v>
      </c>
      <c r="N14431">
        <v>0</v>
      </c>
      <c r="O14431">
        <v>1943</v>
      </c>
    </row>
    <row r="14432" spans="1:15" x14ac:dyDescent="0.25">
      <c r="A14432" t="s">
        <v>14445</v>
      </c>
      <c r="B14432">
        <v>149</v>
      </c>
      <c r="C14432" s="1" t="str">
        <f>HYPERLINK("http://www.rosaceae.org/gb/gbrowse/malus_x_domestica/?name=MDP0000506127","MDP0000506127")</f>
        <v>MDP0000506127</v>
      </c>
      <c r="D14432">
        <v>47.05</v>
      </c>
      <c r="E14432">
        <v>170</v>
      </c>
      <c r="F14432">
        <v>90</v>
      </c>
      <c r="G14432">
        <v>45</v>
      </c>
      <c r="H14432">
        <v>1</v>
      </c>
      <c r="I14432">
        <v>127</v>
      </c>
      <c r="J14432">
        <v>1</v>
      </c>
      <c r="K14432">
        <v>1</v>
      </c>
      <c r="L14432">
        <v>168</v>
      </c>
      <c r="M14432">
        <v>1</v>
      </c>
      <c r="N14432">
        <v>4.1854500000000002E-29</v>
      </c>
      <c r="O14432">
        <v>310</v>
      </c>
    </row>
    <row r="14433" spans="1:15" x14ac:dyDescent="0.25">
      <c r="A14433" t="s">
        <v>14446</v>
      </c>
      <c r="B14433">
        <v>546</v>
      </c>
      <c r="C14433" s="1" t="str">
        <f>HYPERLINK("http://www.rosaceae.org/gb/gbrowse/malus_x_domestica/?name=MDP0000742438","MDP0000742438")</f>
        <v>MDP0000742438</v>
      </c>
      <c r="D14433">
        <v>68.239999999999995</v>
      </c>
      <c r="E14433">
        <v>444</v>
      </c>
      <c r="F14433">
        <v>141</v>
      </c>
      <c r="G14433">
        <v>36</v>
      </c>
      <c r="H14433">
        <v>91</v>
      </c>
      <c r="I14433">
        <v>507</v>
      </c>
      <c r="J14433">
        <v>1</v>
      </c>
      <c r="K14433">
        <v>178</v>
      </c>
      <c r="L14433">
        <v>612</v>
      </c>
      <c r="M14433">
        <v>1</v>
      </c>
      <c r="N14433">
        <v>3.3031700000000001E-169</v>
      </c>
      <c r="O14433">
        <v>1526</v>
      </c>
    </row>
    <row r="14434" spans="1:15" x14ac:dyDescent="0.25">
      <c r="A14434" t="s">
        <v>14447</v>
      </c>
      <c r="B14434">
        <v>248</v>
      </c>
      <c r="C14434" s="1" t="str">
        <f>HYPERLINK("http://www.rosaceae.org/gb/gbrowse/malus_x_domestica/?name=MDP0000222770","MDP0000222770")</f>
        <v>MDP0000222770</v>
      </c>
      <c r="D14434">
        <v>66.94</v>
      </c>
      <c r="E14434">
        <v>239</v>
      </c>
      <c r="F14434">
        <v>79</v>
      </c>
      <c r="G14434">
        <v>9</v>
      </c>
      <c r="H14434">
        <v>18</v>
      </c>
      <c r="I14434">
        <v>248</v>
      </c>
      <c r="J14434">
        <v>1</v>
      </c>
      <c r="K14434">
        <v>368</v>
      </c>
      <c r="L14434">
        <v>605</v>
      </c>
      <c r="M14434">
        <v>1</v>
      </c>
      <c r="N14434">
        <v>1.13783E-83</v>
      </c>
      <c r="O14434">
        <v>784</v>
      </c>
    </row>
    <row r="14435" spans="1:15" x14ac:dyDescent="0.25">
      <c r="A14435" t="s">
        <v>14448</v>
      </c>
      <c r="B14435">
        <v>678</v>
      </c>
      <c r="C14435" s="1" t="str">
        <f>HYPERLINK("http://www.rosaceae.org/gb/gbrowse/malus_x_domestica/?name=MDP0000146108","MDP0000146108")</f>
        <v>MDP0000146108</v>
      </c>
      <c r="D14435">
        <v>72.52</v>
      </c>
      <c r="E14435">
        <v>666</v>
      </c>
      <c r="F14435">
        <v>183</v>
      </c>
      <c r="G14435">
        <v>18</v>
      </c>
      <c r="H14435">
        <v>28</v>
      </c>
      <c r="I14435">
        <v>675</v>
      </c>
      <c r="J14435">
        <v>1</v>
      </c>
      <c r="K14435">
        <v>19</v>
      </c>
      <c r="L14435">
        <v>684</v>
      </c>
      <c r="M14435">
        <v>1</v>
      </c>
      <c r="N14435">
        <v>0</v>
      </c>
      <c r="O14435">
        <v>2448</v>
      </c>
    </row>
    <row r="14436" spans="1:15" x14ac:dyDescent="0.25">
      <c r="A14436" t="s">
        <v>14449</v>
      </c>
      <c r="B14436">
        <v>806</v>
      </c>
      <c r="C14436" s="1" t="str">
        <f>HYPERLINK("http://www.rosaceae.org/gb/gbrowse/malus_x_domestica/?name=MDP0000172953","MDP0000172953")</f>
        <v>MDP0000172953</v>
      </c>
      <c r="D14436">
        <v>77.97</v>
      </c>
      <c r="E14436">
        <v>731</v>
      </c>
      <c r="F14436">
        <v>161</v>
      </c>
      <c r="G14436">
        <v>22</v>
      </c>
      <c r="H14436">
        <v>1</v>
      </c>
      <c r="I14436">
        <v>720</v>
      </c>
      <c r="J14436">
        <v>1</v>
      </c>
      <c r="K14436">
        <v>1</v>
      </c>
      <c r="L14436">
        <v>720</v>
      </c>
      <c r="M14436">
        <v>1</v>
      </c>
      <c r="N14436">
        <v>0</v>
      </c>
      <c r="O14436">
        <v>2937</v>
      </c>
    </row>
    <row r="14437" spans="1:15" x14ac:dyDescent="0.25">
      <c r="A14437" t="s">
        <v>14450</v>
      </c>
      <c r="B14437">
        <v>350</v>
      </c>
      <c r="C14437" s="1" t="str">
        <f>HYPERLINK("http://www.rosaceae.org/gb/gbrowse/malus_x_domestica/?name=MDP0000250901","MDP0000250901")</f>
        <v>MDP0000250901</v>
      </c>
      <c r="D14437">
        <v>38.270000000000003</v>
      </c>
      <c r="E14437">
        <v>324</v>
      </c>
      <c r="F14437">
        <v>200</v>
      </c>
      <c r="G14437">
        <v>18</v>
      </c>
      <c r="H14437">
        <v>36</v>
      </c>
      <c r="I14437">
        <v>343</v>
      </c>
      <c r="J14437">
        <v>1</v>
      </c>
      <c r="K14437">
        <v>22</v>
      </c>
      <c r="L14437">
        <v>343</v>
      </c>
      <c r="M14437">
        <v>1</v>
      </c>
      <c r="N14437">
        <v>2.5583799999999999E-62</v>
      </c>
      <c r="O14437">
        <v>602</v>
      </c>
    </row>
    <row r="14438" spans="1:15" x14ac:dyDescent="0.25">
      <c r="A14438" t="s">
        <v>14451</v>
      </c>
      <c r="B14438">
        <v>330</v>
      </c>
      <c r="C14438" s="1" t="str">
        <f>HYPERLINK("http://www.rosaceae.org/gb/gbrowse/malus_x_domestica/?name=MDP0000702676","MDP0000702676")</f>
        <v>MDP0000702676</v>
      </c>
      <c r="D14438">
        <v>65.64</v>
      </c>
      <c r="E14438">
        <v>326</v>
      </c>
      <c r="F14438">
        <v>112</v>
      </c>
      <c r="G14438">
        <v>3</v>
      </c>
      <c r="H14438">
        <v>5</v>
      </c>
      <c r="I14438">
        <v>327</v>
      </c>
      <c r="J14438">
        <v>1</v>
      </c>
      <c r="K14438">
        <v>17</v>
      </c>
      <c r="L14438">
        <v>342</v>
      </c>
      <c r="M14438">
        <v>1</v>
      </c>
      <c r="N14438">
        <v>4.2828599999999998E-122</v>
      </c>
      <c r="O14438">
        <v>1117</v>
      </c>
    </row>
    <row r="14439" spans="1:15" x14ac:dyDescent="0.25">
      <c r="A14439" t="s">
        <v>14452</v>
      </c>
      <c r="B14439">
        <v>403</v>
      </c>
      <c r="C14439" s="1" t="str">
        <f>HYPERLINK("http://www.rosaceae.org/gb/gbrowse/malus_x_domestica/?name=MDP0000269700","MDP0000269700")</f>
        <v>MDP0000269700</v>
      </c>
      <c r="D14439">
        <v>78.290000000000006</v>
      </c>
      <c r="E14439">
        <v>364</v>
      </c>
      <c r="F14439">
        <v>79</v>
      </c>
      <c r="G14439">
        <v>11</v>
      </c>
      <c r="H14439">
        <v>40</v>
      </c>
      <c r="I14439">
        <v>403</v>
      </c>
      <c r="J14439">
        <v>1</v>
      </c>
      <c r="K14439">
        <v>576</v>
      </c>
      <c r="L14439">
        <v>928</v>
      </c>
      <c r="M14439">
        <v>1</v>
      </c>
      <c r="N14439">
        <v>4.1151800000000002E-169</v>
      </c>
      <c r="O14439">
        <v>1524</v>
      </c>
    </row>
    <row r="14440" spans="1:15" x14ac:dyDescent="0.25">
      <c r="A14440" t="s">
        <v>14453</v>
      </c>
      <c r="B14440">
        <v>472</v>
      </c>
      <c r="C14440" s="1" t="str">
        <f>HYPERLINK("http://www.rosaceae.org/gb/gbrowse/malus_x_domestica/?name=MDP0000233286","MDP0000233286")</f>
        <v>MDP0000233286</v>
      </c>
      <c r="D14440">
        <v>46.53</v>
      </c>
      <c r="E14440">
        <v>245</v>
      </c>
      <c r="F14440">
        <v>131</v>
      </c>
      <c r="G14440">
        <v>5</v>
      </c>
      <c r="H14440">
        <v>81</v>
      </c>
      <c r="I14440">
        <v>320</v>
      </c>
      <c r="J14440">
        <v>1</v>
      </c>
      <c r="K14440">
        <v>55</v>
      </c>
      <c r="L14440">
        <v>299</v>
      </c>
      <c r="M14440">
        <v>1</v>
      </c>
      <c r="N14440">
        <v>3.29017E-56</v>
      </c>
      <c r="O14440">
        <v>551</v>
      </c>
    </row>
    <row r="14441" spans="1:15" x14ac:dyDescent="0.25">
      <c r="A14441" t="s">
        <v>14454</v>
      </c>
      <c r="B14441">
        <v>207</v>
      </c>
      <c r="C14441" s="1" t="str">
        <f>HYPERLINK("http://www.rosaceae.org/gb/gbrowse/malus_x_domestica/?name=MDP0000181942","MDP0000181942")</f>
        <v>MDP0000181942</v>
      </c>
      <c r="D14441">
        <v>56.47</v>
      </c>
      <c r="E14441">
        <v>85</v>
      </c>
      <c r="F14441">
        <v>37</v>
      </c>
      <c r="G14441">
        <v>8</v>
      </c>
      <c r="H14441">
        <v>7</v>
      </c>
      <c r="I14441">
        <v>87</v>
      </c>
      <c r="J14441">
        <v>1</v>
      </c>
      <c r="K14441">
        <v>3</v>
      </c>
      <c r="L14441">
        <v>83</v>
      </c>
      <c r="M14441">
        <v>1</v>
      </c>
      <c r="N14441">
        <v>5.0774500000000003E-16</v>
      </c>
      <c r="O14441">
        <v>200</v>
      </c>
    </row>
    <row r="14442" spans="1:15" x14ac:dyDescent="0.25">
      <c r="A14442" t="s">
        <v>14455</v>
      </c>
      <c r="B14442">
        <v>413</v>
      </c>
      <c r="C14442" s="1" t="str">
        <f>HYPERLINK("http://www.rosaceae.org/gb/gbrowse/malus_x_domestica/?name=MDP0000175577","MDP0000175577")</f>
        <v>MDP0000175577</v>
      </c>
      <c r="D14442">
        <v>72.52</v>
      </c>
      <c r="E14442">
        <v>455</v>
      </c>
      <c r="F14442">
        <v>125</v>
      </c>
      <c r="G14442">
        <v>54</v>
      </c>
      <c r="H14442">
        <v>1</v>
      </c>
      <c r="I14442">
        <v>413</v>
      </c>
      <c r="J14442">
        <v>1</v>
      </c>
      <c r="K14442">
        <v>3</v>
      </c>
      <c r="L14442">
        <v>445</v>
      </c>
      <c r="M14442">
        <v>1</v>
      </c>
      <c r="N14442">
        <v>0</v>
      </c>
      <c r="O14442">
        <v>1636</v>
      </c>
    </row>
    <row r="14443" spans="1:15" x14ac:dyDescent="0.25">
      <c r="A14443" t="s">
        <v>14456</v>
      </c>
      <c r="B14443">
        <v>655</v>
      </c>
      <c r="C14443" s="1" t="str">
        <f>HYPERLINK("http://www.rosaceae.org/gb/gbrowse/malus_x_domestica/?name=MDP0000378491","MDP0000378491")</f>
        <v>MDP0000378491</v>
      </c>
      <c r="D14443">
        <v>92.77</v>
      </c>
      <c r="E14443">
        <v>277</v>
      </c>
      <c r="F14443">
        <v>20</v>
      </c>
      <c r="G14443">
        <v>0</v>
      </c>
      <c r="H14443">
        <v>379</v>
      </c>
      <c r="I14443">
        <v>655</v>
      </c>
      <c r="J14443">
        <v>1</v>
      </c>
      <c r="K14443">
        <v>1</v>
      </c>
      <c r="L14443">
        <v>277</v>
      </c>
      <c r="M14443">
        <v>1</v>
      </c>
      <c r="N14443">
        <v>1.04302E-153</v>
      </c>
      <c r="O14443">
        <v>1393</v>
      </c>
    </row>
    <row r="14444" spans="1:15" x14ac:dyDescent="0.25">
      <c r="A14444" t="s">
        <v>14457</v>
      </c>
      <c r="B14444">
        <v>753</v>
      </c>
      <c r="C14444" s="1" t="str">
        <f>HYPERLINK("http://www.rosaceae.org/gb/gbrowse/malus_x_domestica/?name=MDP0000311885","MDP0000311885")</f>
        <v>MDP0000311885</v>
      </c>
      <c r="D14444">
        <v>73.87</v>
      </c>
      <c r="E14444">
        <v>754</v>
      </c>
      <c r="F14444">
        <v>197</v>
      </c>
      <c r="G14444">
        <v>31</v>
      </c>
      <c r="H14444">
        <v>21</v>
      </c>
      <c r="I14444">
        <v>752</v>
      </c>
      <c r="J14444">
        <v>1</v>
      </c>
      <c r="K14444">
        <v>336</v>
      </c>
      <c r="L14444">
        <v>1080</v>
      </c>
      <c r="M14444">
        <v>1</v>
      </c>
      <c r="N14444">
        <v>0</v>
      </c>
      <c r="O14444">
        <v>2843</v>
      </c>
    </row>
    <row r="14445" spans="1:15" x14ac:dyDescent="0.25">
      <c r="A14445" t="s">
        <v>14458</v>
      </c>
      <c r="B14445">
        <v>624</v>
      </c>
      <c r="C14445" s="1" t="str">
        <f>HYPERLINK("http://www.rosaceae.org/gb/gbrowse/malus_x_domestica/?name=MDP0000136799","MDP0000136799")</f>
        <v>MDP0000136799</v>
      </c>
      <c r="D14445">
        <v>82.93</v>
      </c>
      <c r="E14445">
        <v>586</v>
      </c>
      <c r="F14445">
        <v>100</v>
      </c>
      <c r="G14445">
        <v>13</v>
      </c>
      <c r="H14445">
        <v>3</v>
      </c>
      <c r="I14445">
        <v>584</v>
      </c>
      <c r="J14445">
        <v>1</v>
      </c>
      <c r="K14445">
        <v>9</v>
      </c>
      <c r="L14445">
        <v>585</v>
      </c>
      <c r="M14445">
        <v>1</v>
      </c>
      <c r="N14445">
        <v>0</v>
      </c>
      <c r="O14445">
        <v>2602</v>
      </c>
    </row>
    <row r="14446" spans="1:15" x14ac:dyDescent="0.25">
      <c r="A14446" t="s">
        <v>14459</v>
      </c>
      <c r="B14446">
        <v>1138</v>
      </c>
      <c r="C14446" s="1" t="str">
        <f>HYPERLINK("http://www.rosaceae.org/gb/gbrowse/malus_x_domestica/?name=MDP0000305783","MDP0000305783")</f>
        <v>MDP0000305783</v>
      </c>
      <c r="D14446">
        <v>84.84</v>
      </c>
      <c r="E14446">
        <v>1122</v>
      </c>
      <c r="F14446">
        <v>170</v>
      </c>
      <c r="G14446">
        <v>15</v>
      </c>
      <c r="H14446">
        <v>3</v>
      </c>
      <c r="I14446">
        <v>1121</v>
      </c>
      <c r="J14446">
        <v>1</v>
      </c>
      <c r="K14446">
        <v>4</v>
      </c>
      <c r="L14446">
        <v>1113</v>
      </c>
      <c r="M14446">
        <v>1</v>
      </c>
      <c r="N14446">
        <v>0</v>
      </c>
      <c r="O14446">
        <v>5057</v>
      </c>
    </row>
    <row r="14447" spans="1:15" x14ac:dyDescent="0.25">
      <c r="A14447" t="s">
        <v>14460</v>
      </c>
      <c r="B14447">
        <v>506</v>
      </c>
      <c r="C14447" s="1" t="str">
        <f>HYPERLINK("http://www.rosaceae.org/gb/gbrowse/malus_x_domestica/?name=MDP0000402780","MDP0000402780")</f>
        <v>MDP0000402780</v>
      </c>
      <c r="D14447">
        <v>56.55</v>
      </c>
      <c r="E14447">
        <v>488</v>
      </c>
      <c r="F14447">
        <v>212</v>
      </c>
      <c r="G14447">
        <v>10</v>
      </c>
      <c r="H14447">
        <v>7</v>
      </c>
      <c r="I14447">
        <v>485</v>
      </c>
      <c r="J14447">
        <v>1</v>
      </c>
      <c r="K14447">
        <v>5</v>
      </c>
      <c r="L14447">
        <v>491</v>
      </c>
      <c r="M14447">
        <v>1</v>
      </c>
      <c r="N14447">
        <v>6.1250999999999997E-155</v>
      </c>
      <c r="O14447">
        <v>1403</v>
      </c>
    </row>
    <row r="14448" spans="1:15" x14ac:dyDescent="0.25">
      <c r="A14448" t="s">
        <v>14461</v>
      </c>
      <c r="B14448">
        <v>260</v>
      </c>
      <c r="C14448" s="1" t="str">
        <f>HYPERLINK("http://www.rosaceae.org/gb/gbrowse/malus_x_domestica/?name=MDP0000500248","MDP0000500248")</f>
        <v>MDP0000500248</v>
      </c>
      <c r="D14448">
        <v>28.2</v>
      </c>
      <c r="E14448">
        <v>195</v>
      </c>
      <c r="F14448">
        <v>140</v>
      </c>
      <c r="G14448">
        <v>46</v>
      </c>
      <c r="H14448">
        <v>8</v>
      </c>
      <c r="I14448">
        <v>157</v>
      </c>
      <c r="J14448">
        <v>1</v>
      </c>
      <c r="K14448">
        <v>65</v>
      </c>
      <c r="L14448">
        <v>258</v>
      </c>
      <c r="M14448">
        <v>1</v>
      </c>
      <c r="N14448">
        <v>1.0715099999999999E-14</v>
      </c>
      <c r="O14448">
        <v>190</v>
      </c>
    </row>
    <row r="14449" spans="1:15" x14ac:dyDescent="0.25">
      <c r="A14449" t="s">
        <v>14462</v>
      </c>
      <c r="B14449">
        <v>145</v>
      </c>
      <c r="C14449" s="1" t="str">
        <f>HYPERLINK("http://www.rosaceae.org/gb/gbrowse/malus_x_domestica/?name=MDP0000647619","MDP0000647619")</f>
        <v>MDP0000647619</v>
      </c>
      <c r="D14449">
        <v>83.33</v>
      </c>
      <c r="E14449">
        <v>54</v>
      </c>
      <c r="F14449">
        <v>9</v>
      </c>
      <c r="G14449">
        <v>0</v>
      </c>
      <c r="H14449">
        <v>27</v>
      </c>
      <c r="I14449">
        <v>80</v>
      </c>
      <c r="J14449">
        <v>1</v>
      </c>
      <c r="K14449">
        <v>276</v>
      </c>
      <c r="L14449">
        <v>329</v>
      </c>
      <c r="M14449">
        <v>1</v>
      </c>
      <c r="N14449">
        <v>8.3048300000000004E-24</v>
      </c>
      <c r="O14449">
        <v>264</v>
      </c>
    </row>
    <row r="14450" spans="1:15" x14ac:dyDescent="0.25">
      <c r="A14450" t="s">
        <v>14463</v>
      </c>
      <c r="B14450">
        <v>240</v>
      </c>
      <c r="C14450" s="1" t="str">
        <f>HYPERLINK("http://www.rosaceae.org/gb/gbrowse/malus_x_domestica/?name=MDP0000820500","MDP0000820500")</f>
        <v>MDP0000820500</v>
      </c>
      <c r="D14450">
        <v>46.08</v>
      </c>
      <c r="E14450">
        <v>217</v>
      </c>
      <c r="F14450">
        <v>117</v>
      </c>
      <c r="G14450">
        <v>34</v>
      </c>
      <c r="H14450">
        <v>36</v>
      </c>
      <c r="I14450">
        <v>219</v>
      </c>
      <c r="J14450">
        <v>1</v>
      </c>
      <c r="K14450">
        <v>78</v>
      </c>
      <c r="L14450">
        <v>293</v>
      </c>
      <c r="M14450">
        <v>1</v>
      </c>
      <c r="N14450">
        <v>3.1521400000000001E-39</v>
      </c>
      <c r="O14450">
        <v>401</v>
      </c>
    </row>
    <row r="14451" spans="1:15" x14ac:dyDescent="0.25">
      <c r="A14451" t="s">
        <v>14464</v>
      </c>
      <c r="B14451">
        <v>682</v>
      </c>
      <c r="C14451" s="1" t="str">
        <f>HYPERLINK("http://www.rosaceae.org/gb/gbrowse/malus_x_domestica/?name=MDP0000227298","MDP0000227298")</f>
        <v>MDP0000227298</v>
      </c>
      <c r="D14451">
        <v>30.49</v>
      </c>
      <c r="E14451">
        <v>482</v>
      </c>
      <c r="F14451">
        <v>335</v>
      </c>
      <c r="G14451">
        <v>76</v>
      </c>
      <c r="H14451">
        <v>196</v>
      </c>
      <c r="I14451">
        <v>657</v>
      </c>
      <c r="J14451">
        <v>1</v>
      </c>
      <c r="K14451">
        <v>58</v>
      </c>
      <c r="L14451">
        <v>483</v>
      </c>
      <c r="M14451">
        <v>1</v>
      </c>
      <c r="N14451">
        <v>9.6974600000000005E-54</v>
      </c>
      <c r="O14451">
        <v>531</v>
      </c>
    </row>
    <row r="14452" spans="1:15" x14ac:dyDescent="0.25">
      <c r="A14452" t="s">
        <v>14465</v>
      </c>
      <c r="B14452">
        <v>196</v>
      </c>
      <c r="C14452" s="1" t="str">
        <f>HYPERLINK("http://www.rosaceae.org/gb/gbrowse/malus_x_domestica/?name=MDP0000627954","MDP0000627954")</f>
        <v>MDP0000627954</v>
      </c>
      <c r="D14452">
        <v>83.96</v>
      </c>
      <c r="E14452">
        <v>106</v>
      </c>
      <c r="F14452">
        <v>17</v>
      </c>
      <c r="G14452">
        <v>0</v>
      </c>
      <c r="H14452">
        <v>91</v>
      </c>
      <c r="I14452">
        <v>196</v>
      </c>
      <c r="J14452">
        <v>1</v>
      </c>
      <c r="K14452">
        <v>78</v>
      </c>
      <c r="L14452">
        <v>183</v>
      </c>
      <c r="M14452">
        <v>1</v>
      </c>
      <c r="N14452">
        <v>1.66788E-51</v>
      </c>
      <c r="O14452">
        <v>506</v>
      </c>
    </row>
    <row r="14453" spans="1:15" x14ac:dyDescent="0.25">
      <c r="A14453" t="s">
        <v>14466</v>
      </c>
      <c r="B14453">
        <v>307</v>
      </c>
      <c r="C14453" s="1" t="str">
        <f>HYPERLINK("http://www.rosaceae.org/gb/gbrowse/malus_x_domestica/?name=MDP0000264094","MDP0000264094")</f>
        <v>MDP0000264094</v>
      </c>
      <c r="D14453">
        <v>30.8</v>
      </c>
      <c r="E14453">
        <v>250</v>
      </c>
      <c r="F14453">
        <v>173</v>
      </c>
      <c r="G14453">
        <v>8</v>
      </c>
      <c r="H14453">
        <v>29</v>
      </c>
      <c r="I14453">
        <v>273</v>
      </c>
      <c r="J14453">
        <v>1</v>
      </c>
      <c r="K14453">
        <v>96</v>
      </c>
      <c r="L14453">
        <v>342</v>
      </c>
      <c r="M14453">
        <v>1</v>
      </c>
      <c r="N14453">
        <v>2.3196400000000001E-26</v>
      </c>
      <c r="O14453">
        <v>291</v>
      </c>
    </row>
    <row r="14454" spans="1:15" x14ac:dyDescent="0.25">
      <c r="A14454" t="s">
        <v>14467</v>
      </c>
      <c r="B14454">
        <v>343</v>
      </c>
      <c r="C14454" s="1" t="str">
        <f>HYPERLINK("http://www.rosaceae.org/gb/gbrowse/malus_x_domestica/?name=MDP0000293970","MDP0000293970")</f>
        <v>MDP0000293970</v>
      </c>
      <c r="D14454">
        <v>37</v>
      </c>
      <c r="E14454">
        <v>100</v>
      </c>
      <c r="F14454">
        <v>63</v>
      </c>
      <c r="G14454">
        <v>2</v>
      </c>
      <c r="H14454">
        <v>77</v>
      </c>
      <c r="I14454">
        <v>176</v>
      </c>
      <c r="J14454">
        <v>1</v>
      </c>
      <c r="K14454">
        <v>30</v>
      </c>
      <c r="L14454">
        <v>127</v>
      </c>
      <c r="M14454">
        <v>1</v>
      </c>
      <c r="N14454">
        <v>9.4135899999999996E-16</v>
      </c>
      <c r="O14454">
        <v>201</v>
      </c>
    </row>
    <row r="14455" spans="1:15" x14ac:dyDescent="0.25">
      <c r="A14455" t="s">
        <v>14468</v>
      </c>
      <c r="B14455">
        <v>578</v>
      </c>
      <c r="C14455" s="1" t="str">
        <f>HYPERLINK("http://www.rosaceae.org/gb/gbrowse/malus_x_domestica/?name=MDP0000805363","MDP0000805363")</f>
        <v>MDP0000805363</v>
      </c>
      <c r="D14455">
        <v>67.63</v>
      </c>
      <c r="E14455">
        <v>519</v>
      </c>
      <c r="F14455">
        <v>168</v>
      </c>
      <c r="G14455">
        <v>27</v>
      </c>
      <c r="H14455">
        <v>35</v>
      </c>
      <c r="I14455">
        <v>536</v>
      </c>
      <c r="J14455">
        <v>1</v>
      </c>
      <c r="K14455">
        <v>3</v>
      </c>
      <c r="L14455">
        <v>511</v>
      </c>
      <c r="M14455">
        <v>1</v>
      </c>
      <c r="N14455">
        <v>0</v>
      </c>
      <c r="O14455">
        <v>1736</v>
      </c>
    </row>
    <row r="14456" spans="1:15" x14ac:dyDescent="0.25">
      <c r="A14456" t="s">
        <v>14469</v>
      </c>
      <c r="B14456">
        <v>858</v>
      </c>
      <c r="C14456" s="1" t="str">
        <f>HYPERLINK("http://www.rosaceae.org/gb/gbrowse/malus_x_domestica/?name=MDP0000296428","MDP0000296428")</f>
        <v>MDP0000296428</v>
      </c>
      <c r="D14456">
        <v>84.47</v>
      </c>
      <c r="E14456">
        <v>850</v>
      </c>
      <c r="F14456">
        <v>132</v>
      </c>
      <c r="G14456">
        <v>11</v>
      </c>
      <c r="H14456">
        <v>1</v>
      </c>
      <c r="I14456">
        <v>846</v>
      </c>
      <c r="J14456">
        <v>1</v>
      </c>
      <c r="K14456">
        <v>1</v>
      </c>
      <c r="L14456">
        <v>843</v>
      </c>
      <c r="M14456">
        <v>1</v>
      </c>
      <c r="N14456">
        <v>0</v>
      </c>
      <c r="O14456">
        <v>3880</v>
      </c>
    </row>
    <row r="14457" spans="1:15" x14ac:dyDescent="0.25">
      <c r="A14457" t="s">
        <v>14470</v>
      </c>
      <c r="B14457">
        <v>360</v>
      </c>
      <c r="C14457" s="1" t="str">
        <f>HYPERLINK("http://www.rosaceae.org/gb/gbrowse/malus_x_domestica/?name=MDP0000179399","MDP0000179399")</f>
        <v>MDP0000179399</v>
      </c>
      <c r="D14457">
        <v>47.52</v>
      </c>
      <c r="E14457">
        <v>364</v>
      </c>
      <c r="F14457">
        <v>191</v>
      </c>
      <c r="G14457">
        <v>87</v>
      </c>
      <c r="H14457">
        <v>77</v>
      </c>
      <c r="I14457">
        <v>360</v>
      </c>
      <c r="J14457">
        <v>1</v>
      </c>
      <c r="K14457">
        <v>172</v>
      </c>
      <c r="L14457">
        <v>528</v>
      </c>
      <c r="M14457">
        <v>1</v>
      </c>
      <c r="N14457">
        <v>4.2252599999999999E-83</v>
      </c>
      <c r="O14457">
        <v>782</v>
      </c>
    </row>
    <row r="14458" spans="1:15" x14ac:dyDescent="0.25">
      <c r="A14458" t="s">
        <v>14471</v>
      </c>
      <c r="B14458">
        <v>2883</v>
      </c>
      <c r="C14458" s="1" t="str">
        <f>HYPERLINK("http://www.rosaceae.org/gb/gbrowse/malus_x_domestica/?name=MDP0000222764","MDP0000222764")</f>
        <v>MDP0000222764</v>
      </c>
      <c r="D14458">
        <v>56.45</v>
      </c>
      <c r="E14458">
        <v>1456</v>
      </c>
      <c r="F14458">
        <v>634</v>
      </c>
      <c r="G14458">
        <v>152</v>
      </c>
      <c r="H14458">
        <v>941</v>
      </c>
      <c r="I14458">
        <v>2323</v>
      </c>
      <c r="J14458">
        <v>1</v>
      </c>
      <c r="K14458">
        <v>1</v>
      </c>
      <c r="L14458">
        <v>1377</v>
      </c>
      <c r="M14458">
        <v>1</v>
      </c>
      <c r="N14458">
        <v>0</v>
      </c>
      <c r="O14458">
        <v>3785</v>
      </c>
    </row>
    <row r="14459" spans="1:15" x14ac:dyDescent="0.25">
      <c r="A14459" t="s">
        <v>14472</v>
      </c>
      <c r="B14459">
        <v>341</v>
      </c>
      <c r="C14459" s="1" t="str">
        <f>HYPERLINK("http://www.rosaceae.org/gb/gbrowse/malus_x_domestica/?name=MDP0000296691","MDP0000296691")</f>
        <v>MDP0000296691</v>
      </c>
      <c r="D14459">
        <v>31.4</v>
      </c>
      <c r="E14459">
        <v>121</v>
      </c>
      <c r="F14459">
        <v>83</v>
      </c>
      <c r="G14459">
        <v>26</v>
      </c>
      <c r="H14459">
        <v>99</v>
      </c>
      <c r="I14459">
        <v>213</v>
      </c>
      <c r="J14459">
        <v>1</v>
      </c>
      <c r="K14459">
        <v>367</v>
      </c>
      <c r="L14459">
        <v>467</v>
      </c>
      <c r="M14459">
        <v>1</v>
      </c>
      <c r="N14459">
        <v>7.1598599999999999E-10</v>
      </c>
      <c r="O14459">
        <v>150</v>
      </c>
    </row>
    <row r="14460" spans="1:15" x14ac:dyDescent="0.25">
      <c r="A14460" t="s">
        <v>14473</v>
      </c>
      <c r="B14460">
        <v>149</v>
      </c>
      <c r="C14460" s="1" t="str">
        <f>HYPERLINK("http://www.rosaceae.org/gb/gbrowse/malus_x_domestica/?name=MDP0000557465","MDP0000557465")</f>
        <v>MDP0000557465</v>
      </c>
      <c r="D14460">
        <v>86</v>
      </c>
      <c r="E14460">
        <v>150</v>
      </c>
      <c r="F14460">
        <v>21</v>
      </c>
      <c r="G14460">
        <v>1</v>
      </c>
      <c r="H14460">
        <v>1</v>
      </c>
      <c r="I14460">
        <v>149</v>
      </c>
      <c r="J14460">
        <v>1</v>
      </c>
      <c r="K14460">
        <v>1</v>
      </c>
      <c r="L14460">
        <v>150</v>
      </c>
      <c r="M14460">
        <v>1</v>
      </c>
      <c r="N14460">
        <v>5.6319000000000001E-70</v>
      </c>
      <c r="O14460">
        <v>663</v>
      </c>
    </row>
    <row r="14461" spans="1:15" x14ac:dyDescent="0.25">
      <c r="A14461" t="s">
        <v>14474</v>
      </c>
      <c r="B14461">
        <v>373</v>
      </c>
      <c r="C14461" s="1" t="str">
        <f>HYPERLINK("http://www.rosaceae.org/gb/gbrowse/malus_x_domestica/?name=MDP0000159189","MDP0000159189")</f>
        <v>MDP0000159189</v>
      </c>
      <c r="D14461">
        <v>65.900000000000006</v>
      </c>
      <c r="E14461">
        <v>396</v>
      </c>
      <c r="F14461">
        <v>135</v>
      </c>
      <c r="G14461">
        <v>41</v>
      </c>
      <c r="H14461">
        <v>17</v>
      </c>
      <c r="I14461">
        <v>371</v>
      </c>
      <c r="J14461">
        <v>1</v>
      </c>
      <c r="K14461">
        <v>70</v>
      </c>
      <c r="L14461">
        <v>465</v>
      </c>
      <c r="M14461">
        <v>1</v>
      </c>
      <c r="N14461">
        <v>3.7210599999999999E-146</v>
      </c>
      <c r="O14461">
        <v>1326</v>
      </c>
    </row>
    <row r="14462" spans="1:15" x14ac:dyDescent="0.25">
      <c r="A14462" t="s">
        <v>14475</v>
      </c>
      <c r="B14462">
        <v>180</v>
      </c>
      <c r="C14462" s="1" t="str">
        <f>HYPERLINK("http://www.rosaceae.org/gb/gbrowse/malus_x_domestica/?name=MDP0000231979","MDP0000231979")</f>
        <v>MDP0000231979</v>
      </c>
      <c r="D14462">
        <v>75.510000000000005</v>
      </c>
      <c r="E14462">
        <v>147</v>
      </c>
      <c r="F14462">
        <v>36</v>
      </c>
      <c r="G14462">
        <v>7</v>
      </c>
      <c r="H14462">
        <v>40</v>
      </c>
      <c r="I14462">
        <v>180</v>
      </c>
      <c r="J14462">
        <v>1</v>
      </c>
      <c r="K14462">
        <v>335</v>
      </c>
      <c r="L14462">
        <v>480</v>
      </c>
      <c r="M14462">
        <v>1</v>
      </c>
      <c r="N14462">
        <v>2.18156E-61</v>
      </c>
      <c r="O14462">
        <v>590</v>
      </c>
    </row>
    <row r="14463" spans="1:15" x14ac:dyDescent="0.25">
      <c r="A14463" t="s">
        <v>14476</v>
      </c>
      <c r="B14463">
        <v>98</v>
      </c>
      <c r="C14463" s="1" t="str">
        <f>HYPERLINK("http://www.rosaceae.org/gb/gbrowse/malus_x_domestica/?name=MDP0000320018","MDP0000320018")</f>
        <v>MDP0000320018</v>
      </c>
      <c r="D14463">
        <v>72.97</v>
      </c>
      <c r="E14463">
        <v>74</v>
      </c>
      <c r="F14463">
        <v>20</v>
      </c>
      <c r="G14463">
        <v>0</v>
      </c>
      <c r="H14463">
        <v>1</v>
      </c>
      <c r="I14463">
        <v>74</v>
      </c>
      <c r="J14463">
        <v>1</v>
      </c>
      <c r="K14463">
        <v>1</v>
      </c>
      <c r="L14463">
        <v>74</v>
      </c>
      <c r="M14463">
        <v>1</v>
      </c>
      <c r="N14463">
        <v>4.5898499999999997E-29</v>
      </c>
      <c r="O14463">
        <v>308</v>
      </c>
    </row>
    <row r="14464" spans="1:15" x14ac:dyDescent="0.25">
      <c r="A14464" t="s">
        <v>14477</v>
      </c>
      <c r="B14464">
        <v>255</v>
      </c>
      <c r="C14464" s="1" t="str">
        <f>HYPERLINK("http://www.rosaceae.org/gb/gbrowse/malus_x_domestica/?name=MDP0000255592","MDP0000255592")</f>
        <v>MDP0000255592</v>
      </c>
      <c r="D14464">
        <v>67.27</v>
      </c>
      <c r="E14464">
        <v>220</v>
      </c>
      <c r="F14464">
        <v>72</v>
      </c>
      <c r="G14464">
        <v>4</v>
      </c>
      <c r="H14464">
        <v>34</v>
      </c>
      <c r="I14464">
        <v>249</v>
      </c>
      <c r="J14464">
        <v>1</v>
      </c>
      <c r="K14464">
        <v>139</v>
      </c>
      <c r="L14464">
        <v>358</v>
      </c>
      <c r="M14464">
        <v>1</v>
      </c>
      <c r="N14464">
        <v>1.0698E-82</v>
      </c>
      <c r="O14464">
        <v>776</v>
      </c>
    </row>
    <row r="14465" spans="1:15" x14ac:dyDescent="0.25">
      <c r="A14465" t="s">
        <v>14478</v>
      </c>
      <c r="B14465">
        <v>619</v>
      </c>
      <c r="C14465" s="1" t="str">
        <f>HYPERLINK("http://www.rosaceae.org/gb/gbrowse/malus_x_domestica/?name=MDP0000181352","MDP0000181352")</f>
        <v>MDP0000181352</v>
      </c>
      <c r="D14465">
        <v>48.5</v>
      </c>
      <c r="E14465">
        <v>134</v>
      </c>
      <c r="F14465">
        <v>69</v>
      </c>
      <c r="G14465">
        <v>54</v>
      </c>
      <c r="H14465">
        <v>152</v>
      </c>
      <c r="I14465">
        <v>285</v>
      </c>
      <c r="J14465">
        <v>1</v>
      </c>
      <c r="K14465">
        <v>1</v>
      </c>
      <c r="L14465">
        <v>80</v>
      </c>
      <c r="M14465">
        <v>1</v>
      </c>
      <c r="N14465">
        <v>3.90072E-21</v>
      </c>
      <c r="O14465">
        <v>250</v>
      </c>
    </row>
    <row r="14466" spans="1:15" x14ac:dyDescent="0.25">
      <c r="A14466" t="s">
        <v>14479</v>
      </c>
      <c r="B14466">
        <v>185</v>
      </c>
      <c r="C14466" s="1" t="str">
        <f>HYPERLINK("http://www.rosaceae.org/gb/gbrowse/malus_x_domestica/?name=MDP0000207132","MDP0000207132")</f>
        <v>MDP0000207132</v>
      </c>
      <c r="D14466">
        <v>35.51</v>
      </c>
      <c r="E14466">
        <v>183</v>
      </c>
      <c r="F14466">
        <v>118</v>
      </c>
      <c r="G14466">
        <v>8</v>
      </c>
      <c r="H14466">
        <v>3</v>
      </c>
      <c r="I14466">
        <v>177</v>
      </c>
      <c r="J14466">
        <v>1</v>
      </c>
      <c r="K14466">
        <v>17</v>
      </c>
      <c r="L14466">
        <v>199</v>
      </c>
      <c r="M14466">
        <v>1</v>
      </c>
      <c r="N14466">
        <v>9.3185600000000003E-32</v>
      </c>
      <c r="O14466">
        <v>335</v>
      </c>
    </row>
    <row r="14467" spans="1:15" x14ac:dyDescent="0.25">
      <c r="A14467" t="s">
        <v>14480</v>
      </c>
      <c r="B14467">
        <v>358</v>
      </c>
      <c r="C14467" s="1" t="str">
        <f>HYPERLINK("http://www.rosaceae.org/gb/gbrowse/malus_x_domestica/?name=MDP0000226294","MDP0000226294")</f>
        <v>MDP0000226294</v>
      </c>
      <c r="D14467">
        <v>45.62</v>
      </c>
      <c r="E14467">
        <v>217</v>
      </c>
      <c r="F14467">
        <v>118</v>
      </c>
      <c r="G14467">
        <v>5</v>
      </c>
      <c r="H14467">
        <v>140</v>
      </c>
      <c r="I14467">
        <v>356</v>
      </c>
      <c r="J14467">
        <v>1</v>
      </c>
      <c r="K14467">
        <v>594</v>
      </c>
      <c r="L14467">
        <v>805</v>
      </c>
      <c r="M14467">
        <v>1</v>
      </c>
      <c r="N14467">
        <v>3.18794E-49</v>
      </c>
      <c r="O14467">
        <v>489</v>
      </c>
    </row>
    <row r="14468" spans="1:15" x14ac:dyDescent="0.25">
      <c r="A14468" t="s">
        <v>14481</v>
      </c>
      <c r="B14468">
        <v>207</v>
      </c>
      <c r="C14468" s="1" t="str">
        <f>HYPERLINK("http://www.rosaceae.org/gb/gbrowse/malus_x_domestica/?name=MDP0000506266","MDP0000506266")</f>
        <v>MDP0000506266</v>
      </c>
      <c r="D14468">
        <v>54.38</v>
      </c>
      <c r="E14468">
        <v>228</v>
      </c>
      <c r="F14468">
        <v>104</v>
      </c>
      <c r="G14468">
        <v>30</v>
      </c>
      <c r="H14468">
        <v>7</v>
      </c>
      <c r="I14468">
        <v>207</v>
      </c>
      <c r="J14468">
        <v>1</v>
      </c>
      <c r="K14468">
        <v>4</v>
      </c>
      <c r="L14468">
        <v>228</v>
      </c>
      <c r="M14468">
        <v>1</v>
      </c>
      <c r="N14468">
        <v>1.35582E-52</v>
      </c>
      <c r="O14468">
        <v>515</v>
      </c>
    </row>
    <row r="14469" spans="1:15" x14ac:dyDescent="0.25">
      <c r="A14469" t="s">
        <v>14482</v>
      </c>
      <c r="B14469">
        <v>650</v>
      </c>
      <c r="C14469" s="1" t="str">
        <f>HYPERLINK("http://www.rosaceae.org/gb/gbrowse/malus_x_domestica/?name=MDP0000128701","MDP0000128701")</f>
        <v>MDP0000128701</v>
      </c>
      <c r="D14469">
        <v>70.12</v>
      </c>
      <c r="E14469">
        <v>395</v>
      </c>
      <c r="F14469">
        <v>118</v>
      </c>
      <c r="G14469">
        <v>6</v>
      </c>
      <c r="H14469">
        <v>11</v>
      </c>
      <c r="I14469">
        <v>400</v>
      </c>
      <c r="J14469">
        <v>1</v>
      </c>
      <c r="K14469">
        <v>113</v>
      </c>
      <c r="L14469">
        <v>506</v>
      </c>
      <c r="M14469">
        <v>1</v>
      </c>
      <c r="N14469">
        <v>4.5950800000000001E-158</v>
      </c>
      <c r="O14469">
        <v>1431</v>
      </c>
    </row>
    <row r="14470" spans="1:15" x14ac:dyDescent="0.25">
      <c r="A14470" t="s">
        <v>14483</v>
      </c>
      <c r="B14470">
        <v>320</v>
      </c>
      <c r="C14470" s="1" t="str">
        <f>HYPERLINK("http://www.rosaceae.org/gb/gbrowse/malus_x_domestica/?name=MDP0000301576","MDP0000301576")</f>
        <v>MDP0000301576</v>
      </c>
      <c r="D14470">
        <v>30</v>
      </c>
      <c r="E14470">
        <v>110</v>
      </c>
      <c r="F14470">
        <v>77</v>
      </c>
      <c r="G14470">
        <v>7</v>
      </c>
      <c r="H14470">
        <v>45</v>
      </c>
      <c r="I14470">
        <v>151</v>
      </c>
      <c r="J14470">
        <v>1</v>
      </c>
      <c r="K14470">
        <v>87</v>
      </c>
      <c r="L14470">
        <v>192</v>
      </c>
      <c r="M14470">
        <v>1</v>
      </c>
      <c r="N14470">
        <v>3.95885E-7</v>
      </c>
      <c r="O14470">
        <v>126</v>
      </c>
    </row>
    <row r="14471" spans="1:15" x14ac:dyDescent="0.25">
      <c r="A14471" t="s">
        <v>14484</v>
      </c>
      <c r="B14471">
        <v>221</v>
      </c>
      <c r="C14471" s="1" t="str">
        <f>HYPERLINK("http://www.rosaceae.org/gb/gbrowse/malus_x_domestica/?name=MDP0000908499","MDP0000908499")</f>
        <v>MDP0000908499</v>
      </c>
      <c r="D14471">
        <v>42.46</v>
      </c>
      <c r="E14471">
        <v>219</v>
      </c>
      <c r="F14471">
        <v>126</v>
      </c>
      <c r="G14471">
        <v>27</v>
      </c>
      <c r="H14471">
        <v>1</v>
      </c>
      <c r="I14471">
        <v>215</v>
      </c>
      <c r="J14471">
        <v>1</v>
      </c>
      <c r="K14471">
        <v>1</v>
      </c>
      <c r="L14471">
        <v>196</v>
      </c>
      <c r="M14471">
        <v>1</v>
      </c>
      <c r="N14471">
        <v>1.17745E-38</v>
      </c>
      <c r="O14471">
        <v>396</v>
      </c>
    </row>
    <row r="14472" spans="1:15" x14ac:dyDescent="0.25">
      <c r="A14472" t="s">
        <v>14485</v>
      </c>
      <c r="B14472">
        <v>1201</v>
      </c>
      <c r="C14472" s="1" t="str">
        <f>HYPERLINK("http://www.rosaceae.org/gb/gbrowse/malus_x_domestica/?name=MDP0000260135","MDP0000260135")</f>
        <v>MDP0000260135</v>
      </c>
      <c r="D14472">
        <v>44.18</v>
      </c>
      <c r="E14472">
        <v>1213</v>
      </c>
      <c r="F14472">
        <v>677</v>
      </c>
      <c r="G14472">
        <v>158</v>
      </c>
      <c r="H14472">
        <v>53</v>
      </c>
      <c r="I14472">
        <v>1167</v>
      </c>
      <c r="J14472">
        <v>1</v>
      </c>
      <c r="K14472">
        <v>1180</v>
      </c>
      <c r="L14472">
        <v>2332</v>
      </c>
      <c r="M14472">
        <v>1</v>
      </c>
      <c r="N14472">
        <v>0</v>
      </c>
      <c r="O14472">
        <v>1915</v>
      </c>
    </row>
    <row r="14473" spans="1:15" x14ac:dyDescent="0.25">
      <c r="A14473" t="s">
        <v>14486</v>
      </c>
      <c r="B14473">
        <v>571</v>
      </c>
      <c r="C14473" s="1" t="str">
        <f>HYPERLINK("http://www.rosaceae.org/gb/gbrowse/malus_x_domestica/?name=MDP0000149912","MDP0000149912")</f>
        <v>MDP0000149912</v>
      </c>
      <c r="D14473">
        <v>78.09</v>
      </c>
      <c r="E14473">
        <v>461</v>
      </c>
      <c r="F14473">
        <v>101</v>
      </c>
      <c r="G14473">
        <v>6</v>
      </c>
      <c r="H14473">
        <v>84</v>
      </c>
      <c r="I14473">
        <v>538</v>
      </c>
      <c r="J14473">
        <v>1</v>
      </c>
      <c r="K14473">
        <v>1</v>
      </c>
      <c r="L14473">
        <v>461</v>
      </c>
      <c r="M14473">
        <v>1</v>
      </c>
      <c r="N14473">
        <v>0</v>
      </c>
      <c r="O14473">
        <v>1834</v>
      </c>
    </row>
    <row r="14474" spans="1:15" x14ac:dyDescent="0.25">
      <c r="A14474" t="s">
        <v>14487</v>
      </c>
      <c r="B14474">
        <v>149</v>
      </c>
      <c r="C14474" s="1" t="str">
        <f>HYPERLINK("http://www.rosaceae.org/gb/gbrowse/malus_x_domestica/?name=MDP0000313704","MDP0000313704")</f>
        <v>MDP0000313704</v>
      </c>
      <c r="D14474">
        <v>93.02</v>
      </c>
      <c r="E14474">
        <v>43</v>
      </c>
      <c r="F14474">
        <v>3</v>
      </c>
      <c r="G14474">
        <v>0</v>
      </c>
      <c r="H14474">
        <v>30</v>
      </c>
      <c r="I14474">
        <v>72</v>
      </c>
      <c r="J14474">
        <v>1</v>
      </c>
      <c r="K14474">
        <v>846</v>
      </c>
      <c r="L14474">
        <v>888</v>
      </c>
      <c r="M14474">
        <v>1</v>
      </c>
      <c r="N14474">
        <v>2.5254399999999998E-16</v>
      </c>
      <c r="O14474">
        <v>200</v>
      </c>
    </row>
    <row r="14475" spans="1:15" x14ac:dyDescent="0.25">
      <c r="A14475" t="s">
        <v>14488</v>
      </c>
      <c r="B14475">
        <v>576</v>
      </c>
      <c r="C14475" s="1" t="str">
        <f>HYPERLINK("http://www.rosaceae.org/gb/gbrowse/malus_x_domestica/?name=MDP0000234440","MDP0000234440")</f>
        <v>MDP0000234440</v>
      </c>
      <c r="D14475">
        <v>55.71</v>
      </c>
      <c r="E14475">
        <v>420</v>
      </c>
      <c r="F14475">
        <v>186</v>
      </c>
      <c r="G14475">
        <v>28</v>
      </c>
      <c r="H14475">
        <v>1</v>
      </c>
      <c r="I14475">
        <v>393</v>
      </c>
      <c r="J14475">
        <v>1</v>
      </c>
      <c r="K14475">
        <v>1</v>
      </c>
      <c r="L14475">
        <v>419</v>
      </c>
      <c r="M14475">
        <v>1</v>
      </c>
      <c r="N14475">
        <v>3.7414500000000001E-120</v>
      </c>
      <c r="O14475">
        <v>1103</v>
      </c>
    </row>
    <row r="14476" spans="1:15" x14ac:dyDescent="0.25">
      <c r="A14476" t="s">
        <v>14489</v>
      </c>
      <c r="B14476">
        <v>743</v>
      </c>
      <c r="C14476" s="1" t="str">
        <f>HYPERLINK("http://www.rosaceae.org/gb/gbrowse/malus_x_domestica/?name=MDP0000279170","MDP0000279170")</f>
        <v>MDP0000279170</v>
      </c>
      <c r="D14476">
        <v>66.75</v>
      </c>
      <c r="E14476">
        <v>758</v>
      </c>
      <c r="F14476">
        <v>252</v>
      </c>
      <c r="G14476">
        <v>64</v>
      </c>
      <c r="H14476">
        <v>1</v>
      </c>
      <c r="I14476">
        <v>743</v>
      </c>
      <c r="J14476">
        <v>1</v>
      </c>
      <c r="K14476">
        <v>1</v>
      </c>
      <c r="L14476">
        <v>709</v>
      </c>
      <c r="M14476">
        <v>1</v>
      </c>
      <c r="N14476">
        <v>0</v>
      </c>
      <c r="O14476">
        <v>2375</v>
      </c>
    </row>
    <row r="14477" spans="1:15" x14ac:dyDescent="0.25">
      <c r="A14477" t="s">
        <v>14490</v>
      </c>
      <c r="B14477">
        <v>271</v>
      </c>
      <c r="C14477" s="1" t="str">
        <f>HYPERLINK("http://www.rosaceae.org/gb/gbrowse/malus_x_domestica/?name=MDP0000167963","MDP0000167963")</f>
        <v>MDP0000167963</v>
      </c>
      <c r="D14477">
        <v>86.66</v>
      </c>
      <c r="E14477">
        <v>255</v>
      </c>
      <c r="F14477">
        <v>34</v>
      </c>
      <c r="G14477">
        <v>0</v>
      </c>
      <c r="H14477">
        <v>17</v>
      </c>
      <c r="I14477">
        <v>271</v>
      </c>
      <c r="J14477">
        <v>1</v>
      </c>
      <c r="K14477">
        <v>59</v>
      </c>
      <c r="L14477">
        <v>313</v>
      </c>
      <c r="M14477">
        <v>1</v>
      </c>
      <c r="N14477">
        <v>1.44497E-130</v>
      </c>
      <c r="O14477">
        <v>1189</v>
      </c>
    </row>
    <row r="14478" spans="1:15" x14ac:dyDescent="0.25">
      <c r="A14478" t="s">
        <v>14491</v>
      </c>
      <c r="B14478">
        <v>564</v>
      </c>
      <c r="C14478" s="1" t="str">
        <f>HYPERLINK("http://www.rosaceae.org/gb/gbrowse/malus_x_domestica/?name=MDP0000222340","MDP0000222340")</f>
        <v>MDP0000222340</v>
      </c>
      <c r="D14478">
        <v>50.92</v>
      </c>
      <c r="E14478">
        <v>487</v>
      </c>
      <c r="F14478">
        <v>239</v>
      </c>
      <c r="G14478">
        <v>12</v>
      </c>
      <c r="H14478">
        <v>86</v>
      </c>
      <c r="I14478">
        <v>562</v>
      </c>
      <c r="J14478">
        <v>1</v>
      </c>
      <c r="K14478">
        <v>1</v>
      </c>
      <c r="L14478">
        <v>485</v>
      </c>
      <c r="M14478">
        <v>1</v>
      </c>
      <c r="N14478">
        <v>2.8610300000000002E-121</v>
      </c>
      <c r="O14478">
        <v>1113</v>
      </c>
    </row>
    <row r="14479" spans="1:15" x14ac:dyDescent="0.25">
      <c r="A14479" t="s">
        <v>14492</v>
      </c>
      <c r="B14479">
        <v>139</v>
      </c>
      <c r="C14479" s="1" t="str">
        <f>HYPERLINK("http://www.rosaceae.org/gb/gbrowse/malus_x_domestica/?name=MDP0000206285","MDP0000206285")</f>
        <v>MDP0000206285</v>
      </c>
      <c r="D14479">
        <v>72.97</v>
      </c>
      <c r="E14479">
        <v>111</v>
      </c>
      <c r="F14479">
        <v>30</v>
      </c>
      <c r="G14479">
        <v>0</v>
      </c>
      <c r="H14479">
        <v>26</v>
      </c>
      <c r="I14479">
        <v>136</v>
      </c>
      <c r="J14479">
        <v>1</v>
      </c>
      <c r="K14479">
        <v>116</v>
      </c>
      <c r="L14479">
        <v>226</v>
      </c>
      <c r="M14479">
        <v>1</v>
      </c>
      <c r="N14479">
        <v>2.61203E-44</v>
      </c>
      <c r="O14479">
        <v>441</v>
      </c>
    </row>
    <row r="14480" spans="1:15" x14ac:dyDescent="0.25">
      <c r="A14480" t="s">
        <v>14493</v>
      </c>
      <c r="B14480">
        <v>204</v>
      </c>
      <c r="C14480" s="1" t="str">
        <f>HYPERLINK("http://www.rosaceae.org/gb/gbrowse/malus_x_domestica/?name=MDP0000495754","MDP0000495754")</f>
        <v>MDP0000495754</v>
      </c>
      <c r="D14480">
        <v>70.209999999999994</v>
      </c>
      <c r="E14480">
        <v>47</v>
      </c>
      <c r="F14480">
        <v>14</v>
      </c>
      <c r="G14480">
        <v>0</v>
      </c>
      <c r="H14480">
        <v>1</v>
      </c>
      <c r="I14480">
        <v>47</v>
      </c>
      <c r="J14480">
        <v>1</v>
      </c>
      <c r="K14480">
        <v>1</v>
      </c>
      <c r="L14480">
        <v>47</v>
      </c>
      <c r="M14480">
        <v>1</v>
      </c>
      <c r="N14480">
        <v>6.3991400000000003E-13</v>
      </c>
      <c r="O14480">
        <v>173</v>
      </c>
    </row>
    <row r="14481" spans="1:15" x14ac:dyDescent="0.25">
      <c r="A14481" t="s">
        <v>14494</v>
      </c>
      <c r="B14481">
        <v>322</v>
      </c>
      <c r="C14481" s="1" t="str">
        <f>HYPERLINK("http://www.rosaceae.org/gb/gbrowse/malus_x_domestica/?name=MDP0000187185","MDP0000187185")</f>
        <v>MDP0000187185</v>
      </c>
      <c r="D14481">
        <v>35.42</v>
      </c>
      <c r="E14481">
        <v>319</v>
      </c>
      <c r="F14481">
        <v>206</v>
      </c>
      <c r="G14481">
        <v>6</v>
      </c>
      <c r="H14481">
        <v>1</v>
      </c>
      <c r="I14481">
        <v>319</v>
      </c>
      <c r="J14481">
        <v>1</v>
      </c>
      <c r="K14481">
        <v>1</v>
      </c>
      <c r="L14481">
        <v>313</v>
      </c>
      <c r="M14481">
        <v>1</v>
      </c>
      <c r="N14481">
        <v>1.11107E-47</v>
      </c>
      <c r="O14481">
        <v>476</v>
      </c>
    </row>
    <row r="14482" spans="1:15" x14ac:dyDescent="0.25">
      <c r="A14482" t="s">
        <v>14495</v>
      </c>
      <c r="B14482">
        <v>428</v>
      </c>
      <c r="C14482" s="1" t="str">
        <f>HYPERLINK("http://www.rosaceae.org/gb/gbrowse/malus_x_domestica/?name=MDP0000714778","MDP0000714778")</f>
        <v>MDP0000714778</v>
      </c>
      <c r="D14482">
        <v>55.2</v>
      </c>
      <c r="E14482">
        <v>413</v>
      </c>
      <c r="F14482">
        <v>185</v>
      </c>
      <c r="G14482">
        <v>33</v>
      </c>
      <c r="H14482">
        <v>33</v>
      </c>
      <c r="I14482">
        <v>426</v>
      </c>
      <c r="J14482">
        <v>1</v>
      </c>
      <c r="K14482">
        <v>37</v>
      </c>
      <c r="L14482">
        <v>435</v>
      </c>
      <c r="M14482">
        <v>1</v>
      </c>
      <c r="N14482">
        <v>9.917589999999999E-119</v>
      </c>
      <c r="O14482">
        <v>1090</v>
      </c>
    </row>
    <row r="14483" spans="1:15" x14ac:dyDescent="0.25">
      <c r="A14483" t="s">
        <v>14496</v>
      </c>
      <c r="B14483">
        <v>406</v>
      </c>
      <c r="C14483" s="1" t="str">
        <f>HYPERLINK("http://www.rosaceae.org/gb/gbrowse/malus_x_domestica/?name=MDP0000165836","MDP0000165836")</f>
        <v>MDP0000165836</v>
      </c>
      <c r="D14483">
        <v>48.59</v>
      </c>
      <c r="E14483">
        <v>107</v>
      </c>
      <c r="F14483">
        <v>55</v>
      </c>
      <c r="G14483">
        <v>20</v>
      </c>
      <c r="H14483">
        <v>128</v>
      </c>
      <c r="I14483">
        <v>214</v>
      </c>
      <c r="J14483">
        <v>1</v>
      </c>
      <c r="K14483">
        <v>3</v>
      </c>
      <c r="L14483">
        <v>109</v>
      </c>
      <c r="M14483">
        <v>1</v>
      </c>
      <c r="N14483">
        <v>3.2187799999999998E-15</v>
      </c>
      <c r="O14483">
        <v>197</v>
      </c>
    </row>
    <row r="14484" spans="1:15" x14ac:dyDescent="0.25">
      <c r="A14484" t="s">
        <v>14497</v>
      </c>
      <c r="B14484">
        <v>394</v>
      </c>
      <c r="C14484" s="1" t="str">
        <f>HYPERLINK("http://www.rosaceae.org/gb/gbrowse/malus_x_domestica/?name=MDP0000199411","MDP0000199411")</f>
        <v>MDP0000199411</v>
      </c>
      <c r="D14484">
        <v>80</v>
      </c>
      <c r="E14484">
        <v>340</v>
      </c>
      <c r="F14484">
        <v>68</v>
      </c>
      <c r="G14484">
        <v>0</v>
      </c>
      <c r="H14484">
        <v>54</v>
      </c>
      <c r="I14484">
        <v>393</v>
      </c>
      <c r="J14484">
        <v>1</v>
      </c>
      <c r="K14484">
        <v>59</v>
      </c>
      <c r="L14484">
        <v>398</v>
      </c>
      <c r="M14484">
        <v>1</v>
      </c>
      <c r="N14484">
        <v>2.1701900000000001E-169</v>
      </c>
      <c r="O14484">
        <v>1526</v>
      </c>
    </row>
    <row r="14485" spans="1:15" x14ac:dyDescent="0.25">
      <c r="A14485" t="s">
        <v>14498</v>
      </c>
      <c r="B14485">
        <v>404</v>
      </c>
      <c r="C14485" s="1" t="str">
        <f>HYPERLINK("http://www.rosaceae.org/gb/gbrowse/malus_x_domestica/?name=MDP0000528435","MDP0000528435")</f>
        <v>MDP0000528435</v>
      </c>
      <c r="D14485">
        <v>54.77</v>
      </c>
      <c r="E14485">
        <v>398</v>
      </c>
      <c r="F14485">
        <v>180</v>
      </c>
      <c r="G14485">
        <v>15</v>
      </c>
      <c r="H14485">
        <v>19</v>
      </c>
      <c r="I14485">
        <v>403</v>
      </c>
      <c r="J14485">
        <v>1</v>
      </c>
      <c r="K14485">
        <v>51</v>
      </c>
      <c r="L14485">
        <v>446</v>
      </c>
      <c r="M14485">
        <v>1</v>
      </c>
      <c r="N14485">
        <v>1.8340200000000001E-119</v>
      </c>
      <c r="O14485">
        <v>1096</v>
      </c>
    </row>
    <row r="14486" spans="1:15" x14ac:dyDescent="0.25">
      <c r="A14486" t="s">
        <v>14499</v>
      </c>
      <c r="B14486">
        <v>217</v>
      </c>
      <c r="C14486" s="1" t="str">
        <f>HYPERLINK("http://www.rosaceae.org/gb/gbrowse/malus_x_domestica/?name=MDP0000241165","MDP0000241165")</f>
        <v>MDP0000241165</v>
      </c>
      <c r="D14486">
        <v>76</v>
      </c>
      <c r="E14486">
        <v>200</v>
      </c>
      <c r="F14486">
        <v>48</v>
      </c>
      <c r="G14486">
        <v>0</v>
      </c>
      <c r="H14486">
        <v>4</v>
      </c>
      <c r="I14486">
        <v>203</v>
      </c>
      <c r="J14486">
        <v>1</v>
      </c>
      <c r="K14486">
        <v>287</v>
      </c>
      <c r="L14486">
        <v>486</v>
      </c>
      <c r="M14486">
        <v>1</v>
      </c>
      <c r="N14486">
        <v>6.1484300000000002E-93</v>
      </c>
      <c r="O14486">
        <v>864</v>
      </c>
    </row>
    <row r="14487" spans="1:15" x14ac:dyDescent="0.25">
      <c r="A14487" t="s">
        <v>14500</v>
      </c>
      <c r="B14487">
        <v>288</v>
      </c>
      <c r="C14487" s="1" t="str">
        <f>HYPERLINK("http://www.rosaceae.org/gb/gbrowse/malus_x_domestica/?name=MDP0000219706","MDP0000219706")</f>
        <v>MDP0000219706</v>
      </c>
      <c r="D14487">
        <v>32.729999999999997</v>
      </c>
      <c r="E14487">
        <v>223</v>
      </c>
      <c r="F14487">
        <v>150</v>
      </c>
      <c r="G14487">
        <v>15</v>
      </c>
      <c r="H14487">
        <v>56</v>
      </c>
      <c r="I14487">
        <v>270</v>
      </c>
      <c r="J14487">
        <v>1</v>
      </c>
      <c r="K14487">
        <v>306</v>
      </c>
      <c r="L14487">
        <v>521</v>
      </c>
      <c r="M14487">
        <v>1</v>
      </c>
      <c r="N14487">
        <v>3.38815E-25</v>
      </c>
      <c r="O14487">
        <v>281</v>
      </c>
    </row>
    <row r="14488" spans="1:15" x14ac:dyDescent="0.25">
      <c r="A14488" t="s">
        <v>14501</v>
      </c>
      <c r="B14488">
        <v>185</v>
      </c>
      <c r="C14488" s="1" t="str">
        <f>HYPERLINK("http://www.rosaceae.org/gb/gbrowse/malus_x_domestica/?name=MDP0000247289","MDP0000247289")</f>
        <v>MDP0000247289</v>
      </c>
      <c r="D14488">
        <v>69.14</v>
      </c>
      <c r="E14488">
        <v>188</v>
      </c>
      <c r="F14488">
        <v>58</v>
      </c>
      <c r="G14488">
        <v>12</v>
      </c>
      <c r="H14488">
        <v>1</v>
      </c>
      <c r="I14488">
        <v>176</v>
      </c>
      <c r="J14488">
        <v>1</v>
      </c>
      <c r="K14488">
        <v>1</v>
      </c>
      <c r="L14488">
        <v>188</v>
      </c>
      <c r="M14488">
        <v>1</v>
      </c>
      <c r="N14488">
        <v>2.27141E-66</v>
      </c>
      <c r="O14488">
        <v>633</v>
      </c>
    </row>
    <row r="14489" spans="1:15" x14ac:dyDescent="0.25">
      <c r="A14489" t="s">
        <v>14502</v>
      </c>
      <c r="B14489">
        <v>110</v>
      </c>
      <c r="C14489" s="1" t="str">
        <f>HYPERLINK("http://www.rosaceae.org/gb/gbrowse/malus_x_domestica/?name=MDP0000173540","MDP0000173540")</f>
        <v>MDP0000173540</v>
      </c>
      <c r="D14489">
        <v>40.67</v>
      </c>
      <c r="E14489">
        <v>59</v>
      </c>
      <c r="F14489">
        <v>35</v>
      </c>
      <c r="G14489">
        <v>0</v>
      </c>
      <c r="H14489">
        <v>51</v>
      </c>
      <c r="I14489">
        <v>109</v>
      </c>
      <c r="J14489">
        <v>1</v>
      </c>
      <c r="K14489">
        <v>8</v>
      </c>
      <c r="L14489">
        <v>66</v>
      </c>
      <c r="M14489">
        <v>1</v>
      </c>
      <c r="N14489">
        <v>1.4668499999999999E-7</v>
      </c>
      <c r="O14489">
        <v>123</v>
      </c>
    </row>
    <row r="14490" spans="1:15" x14ac:dyDescent="0.25">
      <c r="A14490" t="s">
        <v>14503</v>
      </c>
      <c r="B14490">
        <v>984</v>
      </c>
      <c r="C14490" s="1" t="str">
        <f>HYPERLINK("http://www.rosaceae.org/gb/gbrowse/malus_x_domestica/?name=MDP0000137539","MDP0000137539")</f>
        <v>MDP0000137539</v>
      </c>
      <c r="D14490">
        <v>95.18</v>
      </c>
      <c r="E14490">
        <v>353</v>
      </c>
      <c r="F14490">
        <v>17</v>
      </c>
      <c r="G14490">
        <v>6</v>
      </c>
      <c r="H14490">
        <v>1</v>
      </c>
      <c r="I14490">
        <v>347</v>
      </c>
      <c r="J14490">
        <v>1</v>
      </c>
      <c r="K14490">
        <v>1</v>
      </c>
      <c r="L14490">
        <v>353</v>
      </c>
      <c r="M14490">
        <v>1</v>
      </c>
      <c r="N14490">
        <v>0</v>
      </c>
      <c r="O14490">
        <v>1787</v>
      </c>
    </row>
    <row r="14491" spans="1:15" x14ac:dyDescent="0.25">
      <c r="A14491" t="s">
        <v>14504</v>
      </c>
      <c r="B14491">
        <v>3644</v>
      </c>
      <c r="C14491" s="1" t="str">
        <f>HYPERLINK("http://www.rosaceae.org/gb/gbrowse/malus_x_domestica/?name=MDP0000233031","MDP0000233031")</f>
        <v>MDP0000233031</v>
      </c>
      <c r="D14491">
        <v>75.099999999999994</v>
      </c>
      <c r="E14491">
        <v>980</v>
      </c>
      <c r="F14491">
        <v>244</v>
      </c>
      <c r="G14491">
        <v>19</v>
      </c>
      <c r="H14491">
        <v>1815</v>
      </c>
      <c r="I14491">
        <v>2793</v>
      </c>
      <c r="J14491">
        <v>1</v>
      </c>
      <c r="K14491">
        <v>43</v>
      </c>
      <c r="L14491">
        <v>1004</v>
      </c>
      <c r="M14491">
        <v>1</v>
      </c>
      <c r="N14491">
        <v>0</v>
      </c>
      <c r="O14491">
        <v>3876</v>
      </c>
    </row>
    <row r="14492" spans="1:15" x14ac:dyDescent="0.25">
      <c r="A14492" t="s">
        <v>14505</v>
      </c>
      <c r="B14492">
        <v>223</v>
      </c>
      <c r="C14492" s="1" t="str">
        <f>HYPERLINK("http://www.rosaceae.org/gb/gbrowse/malus_x_domestica/?name=MDP0000909262","MDP0000909262")</f>
        <v>MDP0000909262</v>
      </c>
      <c r="D14492">
        <v>63.15</v>
      </c>
      <c r="E14492">
        <v>209</v>
      </c>
      <c r="F14492">
        <v>77</v>
      </c>
      <c r="G14492">
        <v>22</v>
      </c>
      <c r="H14492">
        <v>1</v>
      </c>
      <c r="I14492">
        <v>191</v>
      </c>
      <c r="J14492">
        <v>1</v>
      </c>
      <c r="K14492">
        <v>1</v>
      </c>
      <c r="L14492">
        <v>205</v>
      </c>
      <c r="M14492">
        <v>1</v>
      </c>
      <c r="N14492">
        <v>5.6703700000000002E-71</v>
      </c>
      <c r="O14492">
        <v>674</v>
      </c>
    </row>
    <row r="14493" spans="1:15" x14ac:dyDescent="0.25">
      <c r="A14493" t="s">
        <v>14506</v>
      </c>
      <c r="B14493">
        <v>118</v>
      </c>
      <c r="C14493" s="1" t="str">
        <f>HYPERLINK("http://www.rosaceae.org/gb/gbrowse/malus_x_domestica/?name=MDP0000316126","MDP0000316126")</f>
        <v>MDP0000316126</v>
      </c>
      <c r="D14493">
        <v>64.510000000000005</v>
      </c>
      <c r="E14493">
        <v>62</v>
      </c>
      <c r="F14493">
        <v>22</v>
      </c>
      <c r="G14493">
        <v>7</v>
      </c>
      <c r="H14493">
        <v>59</v>
      </c>
      <c r="I14493">
        <v>116</v>
      </c>
      <c r="J14493">
        <v>1</v>
      </c>
      <c r="K14493">
        <v>25</v>
      </c>
      <c r="L14493">
        <v>83</v>
      </c>
      <c r="M14493">
        <v>1</v>
      </c>
      <c r="N14493">
        <v>2.71306E-13</v>
      </c>
      <c r="O14493">
        <v>172</v>
      </c>
    </row>
    <row r="14494" spans="1:15" x14ac:dyDescent="0.25">
      <c r="A14494" t="s">
        <v>14507</v>
      </c>
      <c r="B14494">
        <v>112</v>
      </c>
      <c r="C14494" s="1" t="str">
        <f>HYPERLINK("http://www.rosaceae.org/gb/gbrowse/malus_x_domestica/?name=MDP0000759984","MDP0000759984")</f>
        <v>MDP0000759984</v>
      </c>
      <c r="D14494">
        <v>49.12</v>
      </c>
      <c r="E14494">
        <v>57</v>
      </c>
      <c r="F14494">
        <v>29</v>
      </c>
      <c r="G14494">
        <v>0</v>
      </c>
      <c r="H14494">
        <v>16</v>
      </c>
      <c r="I14494">
        <v>72</v>
      </c>
      <c r="J14494">
        <v>1</v>
      </c>
      <c r="K14494">
        <v>2</v>
      </c>
      <c r="L14494">
        <v>58</v>
      </c>
      <c r="M14494">
        <v>1</v>
      </c>
      <c r="N14494">
        <v>1.06199E-10</v>
      </c>
      <c r="O14494">
        <v>150</v>
      </c>
    </row>
    <row r="14495" spans="1:15" x14ac:dyDescent="0.25">
      <c r="A14495" t="s">
        <v>14508</v>
      </c>
      <c r="B14495">
        <v>222</v>
      </c>
      <c r="C14495" s="1" t="str">
        <f>HYPERLINK("http://www.rosaceae.org/gb/gbrowse/malus_x_domestica/?name=MDP0000443024","MDP0000443024")</f>
        <v>MDP0000443024</v>
      </c>
      <c r="D14495">
        <v>69.75</v>
      </c>
      <c r="E14495">
        <v>248</v>
      </c>
      <c r="F14495">
        <v>75</v>
      </c>
      <c r="G14495">
        <v>28</v>
      </c>
      <c r="H14495">
        <v>1</v>
      </c>
      <c r="I14495">
        <v>222</v>
      </c>
      <c r="J14495">
        <v>1</v>
      </c>
      <c r="K14495">
        <v>1</v>
      </c>
      <c r="L14495">
        <v>246</v>
      </c>
      <c r="M14495">
        <v>1</v>
      </c>
      <c r="N14495">
        <v>9.4478599999999998E-95</v>
      </c>
      <c r="O14495">
        <v>879</v>
      </c>
    </row>
    <row r="14496" spans="1:15" x14ac:dyDescent="0.25">
      <c r="A14496" t="s">
        <v>14509</v>
      </c>
      <c r="B14496">
        <v>209</v>
      </c>
      <c r="C14496" s="1" t="str">
        <f>HYPERLINK("http://www.rosaceae.org/gb/gbrowse/malus_x_domestica/?name=MDP0000293444","MDP0000293444")</f>
        <v>MDP0000293444</v>
      </c>
      <c r="D14496">
        <v>77.290000000000006</v>
      </c>
      <c r="E14496">
        <v>207</v>
      </c>
      <c r="F14496">
        <v>47</v>
      </c>
      <c r="G14496">
        <v>10</v>
      </c>
      <c r="H14496">
        <v>1</v>
      </c>
      <c r="I14496">
        <v>207</v>
      </c>
      <c r="J14496">
        <v>1</v>
      </c>
      <c r="K14496">
        <v>1</v>
      </c>
      <c r="L14496">
        <v>197</v>
      </c>
      <c r="M14496">
        <v>1</v>
      </c>
      <c r="N14496">
        <v>7.3069799999999997E-90</v>
      </c>
      <c r="O14496">
        <v>837</v>
      </c>
    </row>
    <row r="14497" spans="1:15" x14ac:dyDescent="0.25">
      <c r="A14497" t="s">
        <v>14510</v>
      </c>
      <c r="B14497">
        <v>314</v>
      </c>
      <c r="C14497" s="1" t="str">
        <f>HYPERLINK("http://www.rosaceae.org/gb/gbrowse/malus_x_domestica/?name=MDP0000235018","MDP0000235018")</f>
        <v>MDP0000235018</v>
      </c>
      <c r="D14497">
        <v>71.22</v>
      </c>
      <c r="E14497">
        <v>139</v>
      </c>
      <c r="F14497">
        <v>40</v>
      </c>
      <c r="G14497">
        <v>0</v>
      </c>
      <c r="H14497">
        <v>1</v>
      </c>
      <c r="I14497">
        <v>139</v>
      </c>
      <c r="J14497">
        <v>1</v>
      </c>
      <c r="K14497">
        <v>1</v>
      </c>
      <c r="L14497">
        <v>139</v>
      </c>
      <c r="M14497">
        <v>1</v>
      </c>
      <c r="N14497">
        <v>4.8353900000000001E-55</v>
      </c>
      <c r="O14497">
        <v>539</v>
      </c>
    </row>
    <row r="14498" spans="1:15" x14ac:dyDescent="0.25">
      <c r="A14498" t="s">
        <v>14511</v>
      </c>
      <c r="B14498">
        <v>411</v>
      </c>
      <c r="C14498" s="1" t="str">
        <f>HYPERLINK("http://www.rosaceae.org/gb/gbrowse/malus_x_domestica/?name=MDP0000321404","MDP0000321404")</f>
        <v>MDP0000321404</v>
      </c>
      <c r="D14498">
        <v>86.05</v>
      </c>
      <c r="E14498">
        <v>337</v>
      </c>
      <c r="F14498">
        <v>47</v>
      </c>
      <c r="G14498">
        <v>0</v>
      </c>
      <c r="H14498">
        <v>75</v>
      </c>
      <c r="I14498">
        <v>411</v>
      </c>
      <c r="J14498">
        <v>1</v>
      </c>
      <c r="K14498">
        <v>14</v>
      </c>
      <c r="L14498">
        <v>350</v>
      </c>
      <c r="M14498">
        <v>1</v>
      </c>
      <c r="N14498">
        <v>3.4224200000000001E-177</v>
      </c>
      <c r="O14498">
        <v>1594</v>
      </c>
    </row>
    <row r="14499" spans="1:15" x14ac:dyDescent="0.25">
      <c r="A14499" t="s">
        <v>14512</v>
      </c>
      <c r="B14499">
        <v>105</v>
      </c>
      <c r="C14499" s="1" t="str">
        <f>HYPERLINK("http://www.rosaceae.org/gb/gbrowse/malus_x_domestica/?name=MDP0000319634","MDP0000319634")</f>
        <v>MDP0000319634</v>
      </c>
      <c r="D14499">
        <v>43.47</v>
      </c>
      <c r="E14499">
        <v>69</v>
      </c>
      <c r="F14499">
        <v>39</v>
      </c>
      <c r="G14499">
        <v>5</v>
      </c>
      <c r="H14499">
        <v>30</v>
      </c>
      <c r="I14499">
        <v>98</v>
      </c>
      <c r="J14499">
        <v>1</v>
      </c>
      <c r="K14499">
        <v>19</v>
      </c>
      <c r="L14499">
        <v>82</v>
      </c>
      <c r="M14499">
        <v>1</v>
      </c>
      <c r="N14499">
        <v>5.8093400000000001E-9</v>
      </c>
      <c r="O14499">
        <v>135</v>
      </c>
    </row>
    <row r="14500" spans="1:15" x14ac:dyDescent="0.25">
      <c r="A14500" t="s">
        <v>14513</v>
      </c>
      <c r="B14500">
        <v>378</v>
      </c>
      <c r="C14500" s="1" t="str">
        <f>HYPERLINK("http://www.rosaceae.org/gb/gbrowse/malus_x_domestica/?name=MDP0000255104","MDP0000255104")</f>
        <v>MDP0000255104</v>
      </c>
      <c r="D14500">
        <v>52.15</v>
      </c>
      <c r="E14500">
        <v>372</v>
      </c>
      <c r="F14500">
        <v>178</v>
      </c>
      <c r="G14500">
        <v>42</v>
      </c>
      <c r="H14500">
        <v>1</v>
      </c>
      <c r="I14500">
        <v>357</v>
      </c>
      <c r="J14500">
        <v>1</v>
      </c>
      <c r="K14500">
        <v>75</v>
      </c>
      <c r="L14500">
        <v>419</v>
      </c>
      <c r="M14500">
        <v>1</v>
      </c>
      <c r="N14500">
        <v>4.5561200000000003E-87</v>
      </c>
      <c r="O14500">
        <v>816</v>
      </c>
    </row>
    <row r="14501" spans="1:15" x14ac:dyDescent="0.25">
      <c r="A14501" t="s">
        <v>14514</v>
      </c>
      <c r="B14501">
        <v>635</v>
      </c>
      <c r="C14501" s="1" t="str">
        <f>HYPERLINK("http://www.rosaceae.org/gb/gbrowse/malus_x_domestica/?name=MDP0000309160","MDP0000309160")</f>
        <v>MDP0000309160</v>
      </c>
      <c r="D14501">
        <v>74.099999999999994</v>
      </c>
      <c r="E14501">
        <v>641</v>
      </c>
      <c r="F14501">
        <v>166</v>
      </c>
      <c r="G14501">
        <v>43</v>
      </c>
      <c r="H14501">
        <v>32</v>
      </c>
      <c r="I14501">
        <v>635</v>
      </c>
      <c r="J14501">
        <v>1</v>
      </c>
      <c r="K14501">
        <v>32</v>
      </c>
      <c r="L14501">
        <v>666</v>
      </c>
      <c r="M14501">
        <v>1</v>
      </c>
      <c r="N14501">
        <v>0</v>
      </c>
      <c r="O14501">
        <v>2369</v>
      </c>
    </row>
    <row r="14502" spans="1:15" x14ac:dyDescent="0.25">
      <c r="A14502" t="s">
        <v>14515</v>
      </c>
      <c r="B14502">
        <v>600</v>
      </c>
      <c r="C14502" s="1" t="str">
        <f>HYPERLINK("http://www.rosaceae.org/gb/gbrowse/malus_x_domestica/?name=MDP0000304032","MDP0000304032")</f>
        <v>MDP0000304032</v>
      </c>
      <c r="D14502">
        <v>93.77</v>
      </c>
      <c r="E14502">
        <v>257</v>
      </c>
      <c r="F14502">
        <v>16</v>
      </c>
      <c r="G14502">
        <v>0</v>
      </c>
      <c r="H14502">
        <v>344</v>
      </c>
      <c r="I14502">
        <v>600</v>
      </c>
      <c r="J14502">
        <v>1</v>
      </c>
      <c r="K14502">
        <v>265</v>
      </c>
      <c r="L14502">
        <v>521</v>
      </c>
      <c r="M14502">
        <v>1</v>
      </c>
      <c r="N14502">
        <v>7.4933999999999999E-142</v>
      </c>
      <c r="O14502">
        <v>1291</v>
      </c>
    </row>
    <row r="14503" spans="1:15" x14ac:dyDescent="0.25">
      <c r="A14503" t="s">
        <v>14516</v>
      </c>
      <c r="B14503">
        <v>247</v>
      </c>
      <c r="C14503" s="1" t="str">
        <f>HYPERLINK("http://www.rosaceae.org/gb/gbrowse/malus_x_domestica/?name=MDP0000300751","MDP0000300751")</f>
        <v>MDP0000300751</v>
      </c>
      <c r="D14503">
        <v>88.35</v>
      </c>
      <c r="E14503">
        <v>249</v>
      </c>
      <c r="F14503">
        <v>29</v>
      </c>
      <c r="G14503">
        <v>2</v>
      </c>
      <c r="H14503">
        <v>1</v>
      </c>
      <c r="I14503">
        <v>247</v>
      </c>
      <c r="J14503">
        <v>1</v>
      </c>
      <c r="K14503">
        <v>1</v>
      </c>
      <c r="L14503">
        <v>249</v>
      </c>
      <c r="M14503">
        <v>1</v>
      </c>
      <c r="N14503">
        <v>7.3581800000000002E-125</v>
      </c>
      <c r="O14503">
        <v>1140</v>
      </c>
    </row>
    <row r="14504" spans="1:15" x14ac:dyDescent="0.25">
      <c r="A14504" t="s">
        <v>14517</v>
      </c>
      <c r="B14504">
        <v>475</v>
      </c>
      <c r="C14504" s="1" t="str">
        <f>HYPERLINK("http://www.rosaceae.org/gb/gbrowse/malus_x_domestica/?name=MDP0000617956","MDP0000617956")</f>
        <v>MDP0000617956</v>
      </c>
      <c r="D14504">
        <v>66.66</v>
      </c>
      <c r="E14504">
        <v>477</v>
      </c>
      <c r="F14504">
        <v>159</v>
      </c>
      <c r="G14504">
        <v>9</v>
      </c>
      <c r="H14504">
        <v>1</v>
      </c>
      <c r="I14504">
        <v>471</v>
      </c>
      <c r="J14504">
        <v>1</v>
      </c>
      <c r="K14504">
        <v>1</v>
      </c>
      <c r="L14504">
        <v>474</v>
      </c>
      <c r="M14504">
        <v>1</v>
      </c>
      <c r="N14504">
        <v>0</v>
      </c>
      <c r="O14504">
        <v>1646</v>
      </c>
    </row>
    <row r="14505" spans="1:15" x14ac:dyDescent="0.25">
      <c r="A14505" t="s">
        <v>14518</v>
      </c>
      <c r="B14505">
        <v>430</v>
      </c>
      <c r="C14505" s="1" t="str">
        <f>HYPERLINK("http://www.rosaceae.org/gb/gbrowse/malus_x_domestica/?name=MDP0000298680","MDP0000298680")</f>
        <v>MDP0000298680</v>
      </c>
      <c r="D14505">
        <v>62.47</v>
      </c>
      <c r="E14505">
        <v>437</v>
      </c>
      <c r="F14505">
        <v>164</v>
      </c>
      <c r="G14505">
        <v>10</v>
      </c>
      <c r="H14505">
        <v>1</v>
      </c>
      <c r="I14505">
        <v>429</v>
      </c>
      <c r="J14505">
        <v>1</v>
      </c>
      <c r="K14505">
        <v>1</v>
      </c>
      <c r="L14505">
        <v>435</v>
      </c>
      <c r="M14505">
        <v>1</v>
      </c>
      <c r="N14505">
        <v>1.5345699999999999E-159</v>
      </c>
      <c r="O14505">
        <v>1442</v>
      </c>
    </row>
    <row r="14506" spans="1:15" x14ac:dyDescent="0.25">
      <c r="A14506" t="s">
        <v>14519</v>
      </c>
      <c r="B14506">
        <v>546</v>
      </c>
      <c r="C14506" s="1" t="str">
        <f>HYPERLINK("http://www.rosaceae.org/gb/gbrowse/malus_x_domestica/?name=MDP0000179084","MDP0000179084")</f>
        <v>MDP0000179084</v>
      </c>
      <c r="D14506">
        <v>74.42</v>
      </c>
      <c r="E14506">
        <v>563</v>
      </c>
      <c r="F14506">
        <v>144</v>
      </c>
      <c r="G14506">
        <v>32</v>
      </c>
      <c r="H14506">
        <v>1</v>
      </c>
      <c r="I14506">
        <v>546</v>
      </c>
      <c r="J14506">
        <v>1</v>
      </c>
      <c r="K14506">
        <v>11</v>
      </c>
      <c r="L14506">
        <v>558</v>
      </c>
      <c r="M14506">
        <v>1</v>
      </c>
      <c r="N14506">
        <v>0</v>
      </c>
      <c r="O14506">
        <v>2147</v>
      </c>
    </row>
    <row r="14507" spans="1:15" x14ac:dyDescent="0.25">
      <c r="A14507" t="s">
        <v>14520</v>
      </c>
      <c r="B14507">
        <v>156</v>
      </c>
      <c r="C14507" s="1" t="str">
        <f>HYPERLINK("http://www.rosaceae.org/gb/gbrowse/malus_x_domestica/?name=MDP0000231342","MDP0000231342")</f>
        <v>MDP0000231342</v>
      </c>
      <c r="D14507">
        <v>85.71</v>
      </c>
      <c r="E14507">
        <v>56</v>
      </c>
      <c r="F14507">
        <v>8</v>
      </c>
      <c r="G14507">
        <v>0</v>
      </c>
      <c r="H14507">
        <v>101</v>
      </c>
      <c r="I14507">
        <v>156</v>
      </c>
      <c r="J14507">
        <v>1</v>
      </c>
      <c r="K14507">
        <v>52</v>
      </c>
      <c r="L14507">
        <v>107</v>
      </c>
      <c r="M14507">
        <v>1</v>
      </c>
      <c r="N14507">
        <v>9.4958800000000002E-23</v>
      </c>
      <c r="O14507">
        <v>256</v>
      </c>
    </row>
    <row r="14508" spans="1:15" x14ac:dyDescent="0.25">
      <c r="A14508" t="s">
        <v>14521</v>
      </c>
      <c r="B14508">
        <v>253</v>
      </c>
      <c r="C14508" s="1" t="str">
        <f>HYPERLINK("http://www.rosaceae.org/gb/gbrowse/malus_x_domestica/?name=MDP0000271350","MDP0000271350")</f>
        <v>MDP0000271350</v>
      </c>
      <c r="D14508">
        <v>88.6</v>
      </c>
      <c r="E14508">
        <v>158</v>
      </c>
      <c r="F14508">
        <v>18</v>
      </c>
      <c r="G14508">
        <v>0</v>
      </c>
      <c r="H14508">
        <v>89</v>
      </c>
      <c r="I14508">
        <v>246</v>
      </c>
      <c r="J14508">
        <v>1</v>
      </c>
      <c r="K14508">
        <v>36</v>
      </c>
      <c r="L14508">
        <v>193</v>
      </c>
      <c r="M14508">
        <v>1</v>
      </c>
      <c r="N14508">
        <v>5.8863000000000004E-84</v>
      </c>
      <c r="O14508">
        <v>787</v>
      </c>
    </row>
    <row r="14509" spans="1:15" x14ac:dyDescent="0.25">
      <c r="A14509" t="s">
        <v>14522</v>
      </c>
      <c r="B14509">
        <v>287</v>
      </c>
      <c r="C14509" s="1" t="str">
        <f>HYPERLINK("http://www.rosaceae.org/gb/gbrowse/malus_x_domestica/?name=MDP0000331365","MDP0000331365")</f>
        <v>MDP0000331365</v>
      </c>
      <c r="D14509">
        <v>57.98</v>
      </c>
      <c r="E14509">
        <v>288</v>
      </c>
      <c r="F14509">
        <v>121</v>
      </c>
      <c r="G14509">
        <v>12</v>
      </c>
      <c r="H14509">
        <v>1</v>
      </c>
      <c r="I14509">
        <v>282</v>
      </c>
      <c r="J14509">
        <v>1</v>
      </c>
      <c r="K14509">
        <v>1</v>
      </c>
      <c r="L14509">
        <v>282</v>
      </c>
      <c r="M14509">
        <v>1</v>
      </c>
      <c r="N14509">
        <v>3.5332500000000001E-92</v>
      </c>
      <c r="O14509">
        <v>859</v>
      </c>
    </row>
    <row r="14510" spans="1:15" x14ac:dyDescent="0.25">
      <c r="A14510" t="s">
        <v>14523</v>
      </c>
      <c r="B14510">
        <v>398</v>
      </c>
      <c r="C14510" s="1" t="str">
        <f>HYPERLINK("http://www.rosaceae.org/gb/gbrowse/malus_x_domestica/?name=MDP0000145618","MDP0000145618")</f>
        <v>MDP0000145618</v>
      </c>
      <c r="D14510">
        <v>82.5</v>
      </c>
      <c r="E14510">
        <v>400</v>
      </c>
      <c r="F14510">
        <v>70</v>
      </c>
      <c r="G14510">
        <v>40</v>
      </c>
      <c r="H14510">
        <v>39</v>
      </c>
      <c r="I14510">
        <v>398</v>
      </c>
      <c r="J14510">
        <v>1</v>
      </c>
      <c r="K14510">
        <v>1</v>
      </c>
      <c r="L14510">
        <v>400</v>
      </c>
      <c r="M14510">
        <v>1</v>
      </c>
      <c r="N14510">
        <v>0</v>
      </c>
      <c r="O14510">
        <v>1760</v>
      </c>
    </row>
    <row r="14511" spans="1:15" x14ac:dyDescent="0.25">
      <c r="A14511" t="s">
        <v>14524</v>
      </c>
      <c r="B14511">
        <v>277</v>
      </c>
      <c r="C14511" s="1" t="str">
        <f>HYPERLINK("http://www.rosaceae.org/gb/gbrowse/malus_x_domestica/?name=MDP0000163548","MDP0000163548")</f>
        <v>MDP0000163548</v>
      </c>
      <c r="D14511">
        <v>77.83</v>
      </c>
      <c r="E14511">
        <v>194</v>
      </c>
      <c r="F14511">
        <v>43</v>
      </c>
      <c r="G14511">
        <v>0</v>
      </c>
      <c r="H14511">
        <v>64</v>
      </c>
      <c r="I14511">
        <v>257</v>
      </c>
      <c r="J14511">
        <v>1</v>
      </c>
      <c r="K14511">
        <v>118</v>
      </c>
      <c r="L14511">
        <v>311</v>
      </c>
      <c r="M14511">
        <v>1</v>
      </c>
      <c r="N14511">
        <v>3.3193000000000002E-87</v>
      </c>
      <c r="O14511">
        <v>816</v>
      </c>
    </row>
    <row r="14512" spans="1:15" x14ac:dyDescent="0.25">
      <c r="A14512" t="s">
        <v>14525</v>
      </c>
      <c r="B14512">
        <v>1173</v>
      </c>
      <c r="C14512" s="1" t="str">
        <f>HYPERLINK("http://www.rosaceae.org/gb/gbrowse/malus_x_domestica/?name=MDP0000169857","MDP0000169857")</f>
        <v>MDP0000169857</v>
      </c>
      <c r="D14512">
        <v>55.76</v>
      </c>
      <c r="E14512">
        <v>1223</v>
      </c>
      <c r="F14512">
        <v>541</v>
      </c>
      <c r="G14512">
        <v>79</v>
      </c>
      <c r="H14512">
        <v>13</v>
      </c>
      <c r="I14512">
        <v>1173</v>
      </c>
      <c r="J14512">
        <v>1</v>
      </c>
      <c r="K14512">
        <v>1</v>
      </c>
      <c r="L14512">
        <v>1206</v>
      </c>
      <c r="M14512">
        <v>1</v>
      </c>
      <c r="N14512">
        <v>0</v>
      </c>
      <c r="O14512">
        <v>3156</v>
      </c>
    </row>
    <row r="14513" spans="1:15" x14ac:dyDescent="0.25">
      <c r="A14513" t="s">
        <v>14526</v>
      </c>
      <c r="B14513">
        <v>1352</v>
      </c>
      <c r="C14513" s="1" t="str">
        <f>HYPERLINK("http://www.rosaceae.org/gb/gbrowse/malus_x_domestica/?name=MDP0000183294","MDP0000183294")</f>
        <v>MDP0000183294</v>
      </c>
      <c r="D14513">
        <v>80.599999999999994</v>
      </c>
      <c r="E14513">
        <v>1356</v>
      </c>
      <c r="F14513">
        <v>263</v>
      </c>
      <c r="G14513">
        <v>6</v>
      </c>
      <c r="H14513">
        <v>1</v>
      </c>
      <c r="I14513">
        <v>1352</v>
      </c>
      <c r="J14513">
        <v>1</v>
      </c>
      <c r="K14513">
        <v>1</v>
      </c>
      <c r="L14513">
        <v>1354</v>
      </c>
      <c r="M14513">
        <v>1</v>
      </c>
      <c r="N14513">
        <v>0</v>
      </c>
      <c r="O14513">
        <v>5721</v>
      </c>
    </row>
    <row r="14514" spans="1:15" x14ac:dyDescent="0.25">
      <c r="A14514" t="s">
        <v>14527</v>
      </c>
      <c r="B14514">
        <v>156</v>
      </c>
      <c r="C14514" s="1" t="str">
        <f>HYPERLINK("http://www.rosaceae.org/gb/gbrowse/malus_x_domestica/?name=MDP0000316111","MDP0000316111")</f>
        <v>MDP0000316111</v>
      </c>
      <c r="D14514">
        <v>52.44</v>
      </c>
      <c r="E14514">
        <v>143</v>
      </c>
      <c r="F14514">
        <v>68</v>
      </c>
      <c r="G14514">
        <v>2</v>
      </c>
      <c r="H14514">
        <v>1</v>
      </c>
      <c r="I14514">
        <v>143</v>
      </c>
      <c r="J14514">
        <v>1</v>
      </c>
      <c r="K14514">
        <v>198</v>
      </c>
      <c r="L14514">
        <v>338</v>
      </c>
      <c r="M14514">
        <v>1</v>
      </c>
      <c r="N14514">
        <v>4.7712700000000001E-37</v>
      </c>
      <c r="O14514">
        <v>379</v>
      </c>
    </row>
    <row r="14515" spans="1:15" x14ac:dyDescent="0.25">
      <c r="A14515" t="s">
        <v>14528</v>
      </c>
      <c r="B14515">
        <v>410</v>
      </c>
      <c r="C14515" s="1" t="str">
        <f>HYPERLINK("http://www.rosaceae.org/gb/gbrowse/malus_x_domestica/?name=MDP0000228858","MDP0000228858")</f>
        <v>MDP0000228858</v>
      </c>
      <c r="D14515">
        <v>33.130000000000003</v>
      </c>
      <c r="E14515">
        <v>329</v>
      </c>
      <c r="F14515">
        <v>220</v>
      </c>
      <c r="G14515">
        <v>41</v>
      </c>
      <c r="H14515">
        <v>1</v>
      </c>
      <c r="I14515">
        <v>317</v>
      </c>
      <c r="J14515">
        <v>1</v>
      </c>
      <c r="K14515">
        <v>1</v>
      </c>
      <c r="L14515">
        <v>300</v>
      </c>
      <c r="M14515">
        <v>1</v>
      </c>
      <c r="N14515">
        <v>3.4957399999999999E-35</v>
      </c>
      <c r="O14515">
        <v>369</v>
      </c>
    </row>
    <row r="14516" spans="1:15" x14ac:dyDescent="0.25">
      <c r="A14516" t="s">
        <v>14529</v>
      </c>
      <c r="B14516">
        <v>587</v>
      </c>
      <c r="C14516" s="1" t="str">
        <f>HYPERLINK("http://www.rosaceae.org/gb/gbrowse/malus_x_domestica/?name=MDP0000308578","MDP0000308578")</f>
        <v>MDP0000308578</v>
      </c>
      <c r="D14516">
        <v>82.27</v>
      </c>
      <c r="E14516">
        <v>79</v>
      </c>
      <c r="F14516">
        <v>14</v>
      </c>
      <c r="G14516">
        <v>0</v>
      </c>
      <c r="H14516">
        <v>509</v>
      </c>
      <c r="I14516">
        <v>587</v>
      </c>
      <c r="J14516">
        <v>1</v>
      </c>
      <c r="K14516">
        <v>1</v>
      </c>
      <c r="L14516">
        <v>79</v>
      </c>
      <c r="M14516">
        <v>1</v>
      </c>
      <c r="N14516">
        <v>2.3210799999999998E-34</v>
      </c>
      <c r="O14516">
        <v>364</v>
      </c>
    </row>
    <row r="14517" spans="1:15" x14ac:dyDescent="0.25">
      <c r="A14517" t="s">
        <v>14530</v>
      </c>
      <c r="B14517">
        <v>213</v>
      </c>
      <c r="C14517" s="1" t="str">
        <f>HYPERLINK("http://www.rosaceae.org/gb/gbrowse/malus_x_domestica/?name=MDP0000322409","MDP0000322409")</f>
        <v>MDP0000322409</v>
      </c>
      <c r="D14517">
        <v>69.16</v>
      </c>
      <c r="E14517">
        <v>227</v>
      </c>
      <c r="F14517">
        <v>70</v>
      </c>
      <c r="G14517">
        <v>37</v>
      </c>
      <c r="H14517">
        <v>2</v>
      </c>
      <c r="I14517">
        <v>191</v>
      </c>
      <c r="J14517">
        <v>1</v>
      </c>
      <c r="K14517">
        <v>2951</v>
      </c>
      <c r="L14517">
        <v>3177</v>
      </c>
      <c r="M14517">
        <v>1</v>
      </c>
      <c r="N14517">
        <v>2.3371899999999999E-87</v>
      </c>
      <c r="O14517">
        <v>815</v>
      </c>
    </row>
    <row r="14518" spans="1:15" x14ac:dyDescent="0.25">
      <c r="A14518" t="s">
        <v>14531</v>
      </c>
      <c r="B14518">
        <v>681</v>
      </c>
      <c r="C14518" s="1" t="str">
        <f>HYPERLINK("http://www.rosaceae.org/gb/gbrowse/malus_x_domestica/?name=MDP0000614064","MDP0000614064")</f>
        <v>MDP0000614064</v>
      </c>
      <c r="D14518">
        <v>31.81</v>
      </c>
      <c r="E14518">
        <v>220</v>
      </c>
      <c r="F14518">
        <v>150</v>
      </c>
      <c r="G14518">
        <v>27</v>
      </c>
      <c r="H14518">
        <v>2</v>
      </c>
      <c r="I14518">
        <v>197</v>
      </c>
      <c r="J14518">
        <v>1</v>
      </c>
      <c r="K14518">
        <v>54</v>
      </c>
      <c r="L14518">
        <v>270</v>
      </c>
      <c r="M14518">
        <v>1</v>
      </c>
      <c r="N14518">
        <v>8.5695100000000002E-14</v>
      </c>
      <c r="O14518">
        <v>187</v>
      </c>
    </row>
    <row r="14519" spans="1:15" x14ac:dyDescent="0.25">
      <c r="A14519" t="s">
        <v>14532</v>
      </c>
      <c r="B14519">
        <v>208</v>
      </c>
      <c r="C14519" s="1" t="str">
        <f>HYPERLINK("http://www.rosaceae.org/gb/gbrowse/malus_x_domestica/?name=MDP0000774306","MDP0000774306")</f>
        <v>MDP0000774306</v>
      </c>
      <c r="D14519">
        <v>43.56</v>
      </c>
      <c r="E14519">
        <v>202</v>
      </c>
      <c r="F14519">
        <v>114</v>
      </c>
      <c r="G14519">
        <v>24</v>
      </c>
      <c r="H14519">
        <v>11</v>
      </c>
      <c r="I14519">
        <v>197</v>
      </c>
      <c r="J14519">
        <v>1</v>
      </c>
      <c r="K14519">
        <v>1</v>
      </c>
      <c r="L14519">
        <v>193</v>
      </c>
      <c r="M14519">
        <v>1</v>
      </c>
      <c r="N14519">
        <v>4.8085800000000004E-34</v>
      </c>
      <c r="O14519">
        <v>355</v>
      </c>
    </row>
    <row r="14520" spans="1:15" x14ac:dyDescent="0.25">
      <c r="A14520" t="s">
        <v>14533</v>
      </c>
      <c r="B14520">
        <v>545</v>
      </c>
      <c r="C14520" s="1" t="str">
        <f>HYPERLINK("http://www.rosaceae.org/gb/gbrowse/malus_x_domestica/?name=MDP0000498780","MDP0000498780")</f>
        <v>MDP0000498780</v>
      </c>
      <c r="D14520">
        <v>71.06</v>
      </c>
      <c r="E14520">
        <v>311</v>
      </c>
      <c r="F14520">
        <v>90</v>
      </c>
      <c r="G14520">
        <v>23</v>
      </c>
      <c r="H14520">
        <v>1</v>
      </c>
      <c r="I14520">
        <v>299</v>
      </c>
      <c r="J14520">
        <v>1</v>
      </c>
      <c r="K14520">
        <v>1</v>
      </c>
      <c r="L14520">
        <v>300</v>
      </c>
      <c r="M14520">
        <v>1</v>
      </c>
      <c r="N14520">
        <v>2.5602200000000002E-119</v>
      </c>
      <c r="O14520">
        <v>1096</v>
      </c>
    </row>
    <row r="14521" spans="1:15" x14ac:dyDescent="0.25">
      <c r="A14521" t="s">
        <v>14534</v>
      </c>
      <c r="B14521">
        <v>516</v>
      </c>
      <c r="C14521" s="1" t="str">
        <f>HYPERLINK("http://www.rosaceae.org/gb/gbrowse/malus_x_domestica/?name=MDP0000304714","MDP0000304714")</f>
        <v>MDP0000304714</v>
      </c>
      <c r="D14521">
        <v>61.94</v>
      </c>
      <c r="E14521">
        <v>339</v>
      </c>
      <c r="F14521">
        <v>129</v>
      </c>
      <c r="G14521">
        <v>41</v>
      </c>
      <c r="H14521">
        <v>178</v>
      </c>
      <c r="I14521">
        <v>516</v>
      </c>
      <c r="J14521">
        <v>1</v>
      </c>
      <c r="K14521">
        <v>1</v>
      </c>
      <c r="L14521">
        <v>298</v>
      </c>
      <c r="M14521">
        <v>1</v>
      </c>
      <c r="N14521">
        <v>1.4920999999999999E-104</v>
      </c>
      <c r="O14521">
        <v>968</v>
      </c>
    </row>
    <row r="14522" spans="1:15" x14ac:dyDescent="0.25">
      <c r="A14522" t="s">
        <v>14535</v>
      </c>
      <c r="B14522">
        <v>203</v>
      </c>
      <c r="C14522" s="1" t="str">
        <f>HYPERLINK("http://www.rosaceae.org/gb/gbrowse/malus_x_domestica/?name=MDP0000304589","MDP0000304589")</f>
        <v>MDP0000304589</v>
      </c>
      <c r="D14522">
        <v>36.090000000000003</v>
      </c>
      <c r="E14522">
        <v>133</v>
      </c>
      <c r="F14522">
        <v>85</v>
      </c>
      <c r="G14522">
        <v>14</v>
      </c>
      <c r="H14522">
        <v>29</v>
      </c>
      <c r="I14522">
        <v>159</v>
      </c>
      <c r="J14522">
        <v>1</v>
      </c>
      <c r="K14522">
        <v>235</v>
      </c>
      <c r="L14522">
        <v>355</v>
      </c>
      <c r="M14522">
        <v>1</v>
      </c>
      <c r="N14522">
        <v>7.46334E-13</v>
      </c>
      <c r="O14522">
        <v>173</v>
      </c>
    </row>
    <row r="14523" spans="1:15" x14ac:dyDescent="0.25">
      <c r="A14523" t="s">
        <v>14536</v>
      </c>
      <c r="B14523">
        <v>286</v>
      </c>
      <c r="C14523" s="1" t="str">
        <f>HYPERLINK("http://www.rosaceae.org/gb/gbrowse/malus_x_domestica/?name=MDP0000275789","MDP0000275789")</f>
        <v>MDP0000275789</v>
      </c>
      <c r="D14523">
        <v>33.33</v>
      </c>
      <c r="E14523">
        <v>135</v>
      </c>
      <c r="F14523">
        <v>90</v>
      </c>
      <c r="G14523">
        <v>4</v>
      </c>
      <c r="H14523">
        <v>32</v>
      </c>
      <c r="I14523">
        <v>164</v>
      </c>
      <c r="J14523">
        <v>1</v>
      </c>
      <c r="K14523">
        <v>141</v>
      </c>
      <c r="L14523">
        <v>273</v>
      </c>
      <c r="M14523">
        <v>1</v>
      </c>
      <c r="N14523">
        <v>2.3507900000000001E-11</v>
      </c>
      <c r="O14523">
        <v>162</v>
      </c>
    </row>
    <row r="14524" spans="1:15" x14ac:dyDescent="0.25">
      <c r="A14524" t="s">
        <v>14537</v>
      </c>
      <c r="B14524">
        <v>292</v>
      </c>
      <c r="C14524" s="1" t="str">
        <f>HYPERLINK("http://www.rosaceae.org/gb/gbrowse/malus_x_domestica/?name=MDP0000191851","MDP0000191851")</f>
        <v>MDP0000191851</v>
      </c>
      <c r="D14524">
        <v>59.92</v>
      </c>
      <c r="E14524">
        <v>252</v>
      </c>
      <c r="F14524">
        <v>101</v>
      </c>
      <c r="G14524">
        <v>2</v>
      </c>
      <c r="H14524">
        <v>43</v>
      </c>
      <c r="I14524">
        <v>292</v>
      </c>
      <c r="J14524">
        <v>1</v>
      </c>
      <c r="K14524">
        <v>12</v>
      </c>
      <c r="L14524">
        <v>263</v>
      </c>
      <c r="M14524">
        <v>1</v>
      </c>
      <c r="N14524">
        <v>8.1117000000000002E-78</v>
      </c>
      <c r="O14524">
        <v>735</v>
      </c>
    </row>
    <row r="14525" spans="1:15" x14ac:dyDescent="0.25">
      <c r="A14525" t="s">
        <v>14538</v>
      </c>
      <c r="B14525">
        <v>777</v>
      </c>
      <c r="C14525" s="1" t="str">
        <f>HYPERLINK("http://www.rosaceae.org/gb/gbrowse/malus_x_domestica/?name=MDP0000187830","MDP0000187830")</f>
        <v>MDP0000187830</v>
      </c>
      <c r="D14525">
        <v>67.87</v>
      </c>
      <c r="E14525">
        <v>470</v>
      </c>
      <c r="F14525">
        <v>151</v>
      </c>
      <c r="G14525">
        <v>58</v>
      </c>
      <c r="H14525">
        <v>262</v>
      </c>
      <c r="I14525">
        <v>711</v>
      </c>
      <c r="J14525">
        <v>1</v>
      </c>
      <c r="K14525">
        <v>27</v>
      </c>
      <c r="L14525">
        <v>458</v>
      </c>
      <c r="M14525">
        <v>1</v>
      </c>
      <c r="N14525">
        <v>1.3833399999999999E-174</v>
      </c>
      <c r="O14525">
        <v>1574</v>
      </c>
    </row>
    <row r="14526" spans="1:15" x14ac:dyDescent="0.25">
      <c r="A14526" t="s">
        <v>14539</v>
      </c>
      <c r="B14526">
        <v>440</v>
      </c>
      <c r="C14526" s="1" t="str">
        <f>HYPERLINK("http://www.rosaceae.org/gb/gbrowse/malus_x_domestica/?name=MDP0000281064","MDP0000281064")</f>
        <v>MDP0000281064</v>
      </c>
      <c r="D14526">
        <v>75.98</v>
      </c>
      <c r="E14526">
        <v>408</v>
      </c>
      <c r="F14526">
        <v>98</v>
      </c>
      <c r="G14526">
        <v>14</v>
      </c>
      <c r="H14526">
        <v>26</v>
      </c>
      <c r="I14526">
        <v>432</v>
      </c>
      <c r="J14526">
        <v>1</v>
      </c>
      <c r="K14526">
        <v>79</v>
      </c>
      <c r="L14526">
        <v>473</v>
      </c>
      <c r="M14526">
        <v>1</v>
      </c>
      <c r="N14526">
        <v>0</v>
      </c>
      <c r="O14526">
        <v>1627</v>
      </c>
    </row>
    <row r="14527" spans="1:15" x14ac:dyDescent="0.25">
      <c r="A14527" t="s">
        <v>14540</v>
      </c>
      <c r="B14527">
        <v>361</v>
      </c>
      <c r="C14527" s="1" t="str">
        <f>HYPERLINK("http://www.rosaceae.org/gb/gbrowse/malus_x_domestica/?name=MDP0000231748","MDP0000231748")</f>
        <v>MDP0000231748</v>
      </c>
      <c r="D14527">
        <v>70.55</v>
      </c>
      <c r="E14527">
        <v>326</v>
      </c>
      <c r="F14527">
        <v>96</v>
      </c>
      <c r="G14527">
        <v>14</v>
      </c>
      <c r="H14527">
        <v>47</v>
      </c>
      <c r="I14527">
        <v>361</v>
      </c>
      <c r="J14527">
        <v>1</v>
      </c>
      <c r="K14527">
        <v>41</v>
      </c>
      <c r="L14527">
        <v>363</v>
      </c>
      <c r="M14527">
        <v>1</v>
      </c>
      <c r="N14527">
        <v>3.9210400000000001E-124</v>
      </c>
      <c r="O14527">
        <v>1135</v>
      </c>
    </row>
    <row r="14528" spans="1:15" x14ac:dyDescent="0.25">
      <c r="A14528" t="s">
        <v>14541</v>
      </c>
      <c r="B14528">
        <v>138</v>
      </c>
      <c r="C14528" s="1" t="str">
        <f>HYPERLINK("http://www.rosaceae.org/gb/gbrowse/malus_x_domestica/?name=MDP0000141998","MDP0000141998")</f>
        <v>MDP0000141998</v>
      </c>
      <c r="D14528">
        <v>75.78</v>
      </c>
      <c r="E14528">
        <v>128</v>
      </c>
      <c r="F14528">
        <v>31</v>
      </c>
      <c r="G14528">
        <v>0</v>
      </c>
      <c r="H14528">
        <v>4</v>
      </c>
      <c r="I14528">
        <v>131</v>
      </c>
      <c r="J14528">
        <v>1</v>
      </c>
      <c r="K14528">
        <v>9</v>
      </c>
      <c r="L14528">
        <v>136</v>
      </c>
      <c r="M14528">
        <v>1</v>
      </c>
      <c r="N14528">
        <v>3.2734699999999998E-53</v>
      </c>
      <c r="O14528">
        <v>517</v>
      </c>
    </row>
    <row r="14529" spans="1:15" x14ac:dyDescent="0.25">
      <c r="A14529" t="s">
        <v>14542</v>
      </c>
      <c r="B14529">
        <v>497</v>
      </c>
      <c r="C14529" s="1" t="str">
        <f>HYPERLINK("http://www.rosaceae.org/gb/gbrowse/malus_x_domestica/?name=MDP0000260361","MDP0000260361")</f>
        <v>MDP0000260361</v>
      </c>
      <c r="D14529">
        <v>72.53</v>
      </c>
      <c r="E14529">
        <v>466</v>
      </c>
      <c r="F14529">
        <v>128</v>
      </c>
      <c r="G14529">
        <v>18</v>
      </c>
      <c r="H14529">
        <v>44</v>
      </c>
      <c r="I14529">
        <v>497</v>
      </c>
      <c r="J14529">
        <v>1</v>
      </c>
      <c r="K14529">
        <v>167</v>
      </c>
      <c r="L14529">
        <v>626</v>
      </c>
      <c r="M14529">
        <v>1</v>
      </c>
      <c r="N14529">
        <v>0</v>
      </c>
      <c r="O14529">
        <v>1721</v>
      </c>
    </row>
    <row r="14530" spans="1:15" x14ac:dyDescent="0.25">
      <c r="A14530" t="s">
        <v>14543</v>
      </c>
      <c r="B14530">
        <v>847</v>
      </c>
      <c r="C14530" s="1" t="str">
        <f>HYPERLINK("http://www.rosaceae.org/gb/gbrowse/malus_x_domestica/?name=MDP0000890776","MDP0000890776")</f>
        <v>MDP0000890776</v>
      </c>
      <c r="D14530">
        <v>51.59</v>
      </c>
      <c r="E14530">
        <v>659</v>
      </c>
      <c r="F14530">
        <v>319</v>
      </c>
      <c r="G14530">
        <v>50</v>
      </c>
      <c r="H14530">
        <v>219</v>
      </c>
      <c r="I14530">
        <v>847</v>
      </c>
      <c r="J14530">
        <v>1</v>
      </c>
      <c r="K14530">
        <v>252</v>
      </c>
      <c r="L14530">
        <v>890</v>
      </c>
      <c r="M14530">
        <v>1</v>
      </c>
      <c r="N14530">
        <v>2.6485100000000001E-160</v>
      </c>
      <c r="O14530">
        <v>1451</v>
      </c>
    </row>
    <row r="14531" spans="1:15" x14ac:dyDescent="0.25">
      <c r="A14531" t="s">
        <v>14544</v>
      </c>
      <c r="B14531">
        <v>307</v>
      </c>
      <c r="C14531" s="1" t="str">
        <f>HYPERLINK("http://www.rosaceae.org/gb/gbrowse/malus_x_domestica/?name=MDP0000692160","MDP0000692160")</f>
        <v>MDP0000692160</v>
      </c>
      <c r="D14531">
        <v>61.81</v>
      </c>
      <c r="E14531">
        <v>254</v>
      </c>
      <c r="F14531">
        <v>97</v>
      </c>
      <c r="G14531">
        <v>7</v>
      </c>
      <c r="H14531">
        <v>1</v>
      </c>
      <c r="I14531">
        <v>249</v>
      </c>
      <c r="J14531">
        <v>1</v>
      </c>
      <c r="K14531">
        <v>255</v>
      </c>
      <c r="L14531">
        <v>506</v>
      </c>
      <c r="M14531">
        <v>1</v>
      </c>
      <c r="N14531">
        <v>3.2625499999999999E-87</v>
      </c>
      <c r="O14531">
        <v>816</v>
      </c>
    </row>
    <row r="14532" spans="1:15" x14ac:dyDescent="0.25">
      <c r="A14532" t="s">
        <v>14545</v>
      </c>
      <c r="B14532">
        <v>565</v>
      </c>
      <c r="C14532" s="1" t="str">
        <f>HYPERLINK("http://www.rosaceae.org/gb/gbrowse/malus_x_domestica/?name=MDP0000402780","MDP0000402780")</f>
        <v>MDP0000402780</v>
      </c>
      <c r="D14532">
        <v>59.29</v>
      </c>
      <c r="E14532">
        <v>457</v>
      </c>
      <c r="F14532">
        <v>186</v>
      </c>
      <c r="G14532">
        <v>3</v>
      </c>
      <c r="H14532">
        <v>22</v>
      </c>
      <c r="I14532">
        <v>475</v>
      </c>
      <c r="J14532">
        <v>1</v>
      </c>
      <c r="K14532">
        <v>35</v>
      </c>
      <c r="L14532">
        <v>491</v>
      </c>
      <c r="M14532">
        <v>1</v>
      </c>
      <c r="N14532">
        <v>6.7074400000000002E-154</v>
      </c>
      <c r="O14532">
        <v>1394</v>
      </c>
    </row>
    <row r="14533" spans="1:15" x14ac:dyDescent="0.25">
      <c r="A14533" t="s">
        <v>14546</v>
      </c>
      <c r="B14533">
        <v>459</v>
      </c>
      <c r="C14533" s="1" t="str">
        <f>HYPERLINK("http://www.rosaceae.org/gb/gbrowse/malus_x_domestica/?name=MDP0000144960","MDP0000144960")</f>
        <v>MDP0000144960</v>
      </c>
      <c r="D14533">
        <v>58.2</v>
      </c>
      <c r="E14533">
        <v>67</v>
      </c>
      <c r="F14533">
        <v>28</v>
      </c>
      <c r="G14533">
        <v>3</v>
      </c>
      <c r="H14533">
        <v>16</v>
      </c>
      <c r="I14533">
        <v>79</v>
      </c>
      <c r="J14533">
        <v>1</v>
      </c>
      <c r="K14533">
        <v>78</v>
      </c>
      <c r="L14533">
        <v>144</v>
      </c>
      <c r="M14533">
        <v>1</v>
      </c>
      <c r="N14533">
        <v>2.5222999999999998E-13</v>
      </c>
      <c r="O14533">
        <v>181</v>
      </c>
    </row>
    <row r="14534" spans="1:15" x14ac:dyDescent="0.25">
      <c r="A14534" t="s">
        <v>14547</v>
      </c>
      <c r="B14534">
        <v>139</v>
      </c>
      <c r="C14534" s="1" t="str">
        <f>HYPERLINK("http://www.rosaceae.org/gb/gbrowse/malus_x_domestica/?name=MDP0000647619","MDP0000647619")</f>
        <v>MDP0000647619</v>
      </c>
      <c r="D14534">
        <v>62.5</v>
      </c>
      <c r="E14534">
        <v>72</v>
      </c>
      <c r="F14534">
        <v>27</v>
      </c>
      <c r="G14534">
        <v>3</v>
      </c>
      <c r="H14534">
        <v>3</v>
      </c>
      <c r="I14534">
        <v>71</v>
      </c>
      <c r="J14534">
        <v>1</v>
      </c>
      <c r="K14534">
        <v>255</v>
      </c>
      <c r="L14534">
        <v>326</v>
      </c>
      <c r="M14534">
        <v>1</v>
      </c>
      <c r="N14534">
        <v>3.9224499999999998E-23</v>
      </c>
      <c r="O14534">
        <v>258</v>
      </c>
    </row>
    <row r="14535" spans="1:15" x14ac:dyDescent="0.25">
      <c r="A14535" t="s">
        <v>14548</v>
      </c>
      <c r="B14535">
        <v>174</v>
      </c>
      <c r="C14535" s="1" t="str">
        <f>HYPERLINK("http://www.rosaceae.org/gb/gbrowse/malus_x_domestica/?name=MDP0000820500","MDP0000820500")</f>
        <v>MDP0000820500</v>
      </c>
      <c r="D14535">
        <v>39.82</v>
      </c>
      <c r="E14535">
        <v>231</v>
      </c>
      <c r="F14535">
        <v>139</v>
      </c>
      <c r="G14535">
        <v>67</v>
      </c>
      <c r="H14535">
        <v>1</v>
      </c>
      <c r="I14535">
        <v>172</v>
      </c>
      <c r="J14535">
        <v>1</v>
      </c>
      <c r="K14535">
        <v>229</v>
      </c>
      <c r="L14535">
        <v>451</v>
      </c>
      <c r="M14535">
        <v>1</v>
      </c>
      <c r="N14535">
        <v>3.2077099999999999E-26</v>
      </c>
      <c r="O14535">
        <v>287</v>
      </c>
    </row>
    <row r="14536" spans="1:15" x14ac:dyDescent="0.25">
      <c r="A14536" t="s">
        <v>14549</v>
      </c>
      <c r="B14536">
        <v>354</v>
      </c>
      <c r="C14536" s="1" t="str">
        <f>HYPERLINK("http://www.rosaceae.org/gb/gbrowse/malus_x_domestica/?name=MDP0000219481","MDP0000219481")</f>
        <v>MDP0000219481</v>
      </c>
      <c r="D14536">
        <v>39.1</v>
      </c>
      <c r="E14536">
        <v>312</v>
      </c>
      <c r="F14536">
        <v>190</v>
      </c>
      <c r="G14536">
        <v>11</v>
      </c>
      <c r="H14536">
        <v>36</v>
      </c>
      <c r="I14536">
        <v>346</v>
      </c>
      <c r="J14536">
        <v>1</v>
      </c>
      <c r="K14536">
        <v>493</v>
      </c>
      <c r="L14536">
        <v>794</v>
      </c>
      <c r="M14536">
        <v>1</v>
      </c>
      <c r="N14536">
        <v>2.9281399999999998E-57</v>
      </c>
      <c r="O14536">
        <v>559</v>
      </c>
    </row>
    <row r="14537" spans="1:15" x14ac:dyDescent="0.25">
      <c r="A14537" t="s">
        <v>14550</v>
      </c>
      <c r="B14537">
        <v>105</v>
      </c>
      <c r="C14537" s="1" t="str">
        <f>HYPERLINK("http://www.rosaceae.org/gb/gbrowse/malus_x_domestica/?name=MDP0000304881","MDP0000304881")</f>
        <v>MDP0000304881</v>
      </c>
      <c r="D14537">
        <v>73.209999999999994</v>
      </c>
      <c r="E14537">
        <v>56</v>
      </c>
      <c r="F14537">
        <v>15</v>
      </c>
      <c r="G14537">
        <v>2</v>
      </c>
      <c r="H14537">
        <v>49</v>
      </c>
      <c r="I14537">
        <v>104</v>
      </c>
      <c r="J14537">
        <v>1</v>
      </c>
      <c r="K14537">
        <v>32</v>
      </c>
      <c r="L14537">
        <v>85</v>
      </c>
      <c r="M14537">
        <v>1</v>
      </c>
      <c r="N14537">
        <v>4.9022400000000003E-19</v>
      </c>
      <c r="O14537">
        <v>222</v>
      </c>
    </row>
    <row r="14538" spans="1:15" x14ac:dyDescent="0.25">
      <c r="A14538" t="s">
        <v>14551</v>
      </c>
      <c r="B14538">
        <v>399</v>
      </c>
      <c r="C14538" s="1" t="str">
        <f>HYPERLINK("http://www.rosaceae.org/gb/gbrowse/malus_x_domestica/?name=MDP0000317557","MDP0000317557")</f>
        <v>MDP0000317557</v>
      </c>
      <c r="D14538">
        <v>56.27</v>
      </c>
      <c r="E14538">
        <v>311</v>
      </c>
      <c r="F14538">
        <v>136</v>
      </c>
      <c r="G14538">
        <v>5</v>
      </c>
      <c r="H14538">
        <v>43</v>
      </c>
      <c r="I14538">
        <v>350</v>
      </c>
      <c r="J14538">
        <v>1</v>
      </c>
      <c r="K14538">
        <v>107</v>
      </c>
      <c r="L14538">
        <v>415</v>
      </c>
      <c r="M14538">
        <v>1</v>
      </c>
      <c r="N14538">
        <v>2.8240799999999999E-97</v>
      </c>
      <c r="O14538">
        <v>904</v>
      </c>
    </row>
    <row r="14539" spans="1:15" x14ac:dyDescent="0.25">
      <c r="A14539" t="s">
        <v>14552</v>
      </c>
      <c r="B14539">
        <v>171</v>
      </c>
      <c r="C14539" s="1" t="str">
        <f>HYPERLINK("http://www.rosaceae.org/gb/gbrowse/malus_x_domestica/?name=MDP0000547052","MDP0000547052")</f>
        <v>MDP0000547052</v>
      </c>
      <c r="D14539">
        <v>58.95</v>
      </c>
      <c r="E14539">
        <v>134</v>
      </c>
      <c r="F14539">
        <v>55</v>
      </c>
      <c r="G14539">
        <v>3</v>
      </c>
      <c r="H14539">
        <v>39</v>
      </c>
      <c r="I14539">
        <v>170</v>
      </c>
      <c r="J14539">
        <v>1</v>
      </c>
      <c r="K14539">
        <v>43</v>
      </c>
      <c r="L14539">
        <v>175</v>
      </c>
      <c r="M14539">
        <v>1</v>
      </c>
      <c r="N14539">
        <v>1.6850899999999999E-39</v>
      </c>
      <c r="O14539">
        <v>401</v>
      </c>
    </row>
    <row r="14540" spans="1:15" x14ac:dyDescent="0.25">
      <c r="A14540" t="s">
        <v>14553</v>
      </c>
      <c r="B14540">
        <v>187</v>
      </c>
      <c r="C14540" s="1" t="str">
        <f>HYPERLINK("http://www.rosaceae.org/gb/gbrowse/malus_x_domestica/?name=MDP0000233571","MDP0000233571")</f>
        <v>MDP0000233571</v>
      </c>
      <c r="D14540">
        <v>93.04</v>
      </c>
      <c r="E14540">
        <v>187</v>
      </c>
      <c r="F14540">
        <v>13</v>
      </c>
      <c r="G14540">
        <v>0</v>
      </c>
      <c r="H14540">
        <v>1</v>
      </c>
      <c r="I14540">
        <v>187</v>
      </c>
      <c r="J14540">
        <v>1</v>
      </c>
      <c r="K14540">
        <v>1</v>
      </c>
      <c r="L14540">
        <v>187</v>
      </c>
      <c r="M14540">
        <v>1</v>
      </c>
      <c r="N14540">
        <v>1.9948999999999999E-102</v>
      </c>
      <c r="O14540">
        <v>944</v>
      </c>
    </row>
    <row r="14541" spans="1:15" x14ac:dyDescent="0.25">
      <c r="A14541" t="s">
        <v>14554</v>
      </c>
      <c r="B14541">
        <v>186</v>
      </c>
      <c r="C14541" s="1" t="str">
        <f>HYPERLINK("http://www.rosaceae.org/gb/gbrowse/malus_x_domestica/?name=MDP0000231435","MDP0000231435")</f>
        <v>MDP0000231435</v>
      </c>
      <c r="D14541">
        <v>74.19</v>
      </c>
      <c r="E14541">
        <v>217</v>
      </c>
      <c r="F14541">
        <v>56</v>
      </c>
      <c r="G14541">
        <v>31</v>
      </c>
      <c r="H14541">
        <v>1</v>
      </c>
      <c r="I14541">
        <v>186</v>
      </c>
      <c r="J14541">
        <v>1</v>
      </c>
      <c r="K14541">
        <v>284</v>
      </c>
      <c r="L14541">
        <v>500</v>
      </c>
      <c r="M14541">
        <v>1</v>
      </c>
      <c r="N14541">
        <v>1.708E-81</v>
      </c>
      <c r="O14541">
        <v>764</v>
      </c>
    </row>
    <row r="14542" spans="1:15" x14ac:dyDescent="0.25">
      <c r="A14542" t="s">
        <v>14555</v>
      </c>
      <c r="B14542">
        <v>863</v>
      </c>
      <c r="C14542" s="1" t="str">
        <f>HYPERLINK("http://www.rosaceae.org/gb/gbrowse/malus_x_domestica/?name=MDP0000423544","MDP0000423544")</f>
        <v>MDP0000423544</v>
      </c>
      <c r="D14542">
        <v>81.69</v>
      </c>
      <c r="E14542">
        <v>863</v>
      </c>
      <c r="F14542">
        <v>158</v>
      </c>
      <c r="G14542">
        <v>3</v>
      </c>
      <c r="H14542">
        <v>1</v>
      </c>
      <c r="I14542">
        <v>862</v>
      </c>
      <c r="J14542">
        <v>1</v>
      </c>
      <c r="K14542">
        <v>84</v>
      </c>
      <c r="L14542">
        <v>944</v>
      </c>
      <c r="M14542">
        <v>1</v>
      </c>
      <c r="N14542">
        <v>0</v>
      </c>
      <c r="O14542">
        <v>3842</v>
      </c>
    </row>
    <row r="14543" spans="1:15" x14ac:dyDescent="0.25">
      <c r="A14543" t="s">
        <v>14556</v>
      </c>
      <c r="B14543">
        <v>410</v>
      </c>
      <c r="C14543" s="1" t="str">
        <f>HYPERLINK("http://www.rosaceae.org/gb/gbrowse/malus_x_domestica/?name=MDP0000260960","MDP0000260960")</f>
        <v>MDP0000260960</v>
      </c>
      <c r="D14543">
        <v>38.18</v>
      </c>
      <c r="E14543">
        <v>110</v>
      </c>
      <c r="F14543">
        <v>68</v>
      </c>
      <c r="G14543">
        <v>6</v>
      </c>
      <c r="H14543">
        <v>292</v>
      </c>
      <c r="I14543">
        <v>401</v>
      </c>
      <c r="J14543">
        <v>1</v>
      </c>
      <c r="K14543">
        <v>419</v>
      </c>
      <c r="L14543">
        <v>522</v>
      </c>
      <c r="M14543">
        <v>1</v>
      </c>
      <c r="N14543">
        <v>2.3174E-14</v>
      </c>
      <c r="O14543">
        <v>189</v>
      </c>
    </row>
    <row r="14544" spans="1:15" x14ac:dyDescent="0.25">
      <c r="A14544" t="s">
        <v>14557</v>
      </c>
      <c r="B14544">
        <v>175</v>
      </c>
      <c r="C14544" s="1" t="str">
        <f>HYPERLINK("http://www.rosaceae.org/gb/gbrowse/malus_x_domestica/?name=MDP0000155528","MDP0000155528")</f>
        <v>MDP0000155528</v>
      </c>
      <c r="D14544">
        <v>80.34</v>
      </c>
      <c r="E14544">
        <v>173</v>
      </c>
      <c r="F14544">
        <v>34</v>
      </c>
      <c r="G14544">
        <v>0</v>
      </c>
      <c r="H14544">
        <v>3</v>
      </c>
      <c r="I14544">
        <v>175</v>
      </c>
      <c r="J14544">
        <v>1</v>
      </c>
      <c r="K14544">
        <v>138</v>
      </c>
      <c r="L14544">
        <v>310</v>
      </c>
      <c r="M14544">
        <v>1</v>
      </c>
      <c r="N14544">
        <v>1.05404E-81</v>
      </c>
      <c r="O14544">
        <v>765</v>
      </c>
    </row>
    <row r="14545" spans="1:15" x14ac:dyDescent="0.25">
      <c r="A14545" t="s">
        <v>14558</v>
      </c>
      <c r="B14545">
        <v>378</v>
      </c>
      <c r="C14545" s="1" t="str">
        <f>HYPERLINK("http://www.rosaceae.org/gb/gbrowse/malus_x_domestica/?name=MDP0000159189","MDP0000159189")</f>
        <v>MDP0000159189</v>
      </c>
      <c r="D14545">
        <v>61.59</v>
      </c>
      <c r="E14545">
        <v>401</v>
      </c>
      <c r="F14545">
        <v>154</v>
      </c>
      <c r="G14545">
        <v>36</v>
      </c>
      <c r="H14545">
        <v>11</v>
      </c>
      <c r="I14545">
        <v>375</v>
      </c>
      <c r="J14545">
        <v>1</v>
      </c>
      <c r="K14545">
        <v>64</v>
      </c>
      <c r="L14545">
        <v>464</v>
      </c>
      <c r="M14545">
        <v>1</v>
      </c>
      <c r="N14545">
        <v>1.1831000000000001E-133</v>
      </c>
      <c r="O14545">
        <v>1218</v>
      </c>
    </row>
    <row r="14546" spans="1:15" x14ac:dyDescent="0.25">
      <c r="A14546" t="s">
        <v>14559</v>
      </c>
      <c r="B14546">
        <v>302</v>
      </c>
      <c r="C14546" s="1" t="str">
        <f>HYPERLINK("http://www.rosaceae.org/gb/gbrowse/malus_x_domestica/?name=MDP0000143463","MDP0000143463")</f>
        <v>MDP0000143463</v>
      </c>
      <c r="D14546">
        <v>43.33</v>
      </c>
      <c r="E14546">
        <v>150</v>
      </c>
      <c r="F14546">
        <v>85</v>
      </c>
      <c r="G14546">
        <v>0</v>
      </c>
      <c r="H14546">
        <v>99</v>
      </c>
      <c r="I14546">
        <v>248</v>
      </c>
      <c r="J14546">
        <v>1</v>
      </c>
      <c r="K14546">
        <v>50</v>
      </c>
      <c r="L14546">
        <v>199</v>
      </c>
      <c r="M14546">
        <v>1</v>
      </c>
      <c r="N14546">
        <v>8.12016E-22</v>
      </c>
      <c r="O14546">
        <v>252</v>
      </c>
    </row>
    <row r="14547" spans="1:15" x14ac:dyDescent="0.25">
      <c r="A14547" t="s">
        <v>14560</v>
      </c>
      <c r="B14547">
        <v>850</v>
      </c>
      <c r="C14547" s="1" t="str">
        <f>HYPERLINK("http://www.rosaceae.org/gb/gbrowse/malus_x_domestica/?name=MDP0000280846","MDP0000280846")</f>
        <v>MDP0000280846</v>
      </c>
      <c r="D14547">
        <v>70.260000000000005</v>
      </c>
      <c r="E14547">
        <v>807</v>
      </c>
      <c r="F14547">
        <v>240</v>
      </c>
      <c r="G14547">
        <v>11</v>
      </c>
      <c r="H14547">
        <v>1</v>
      </c>
      <c r="I14547">
        <v>803</v>
      </c>
      <c r="J14547">
        <v>1</v>
      </c>
      <c r="K14547">
        <v>61</v>
      </c>
      <c r="L14547">
        <v>860</v>
      </c>
      <c r="M14547">
        <v>1</v>
      </c>
      <c r="N14547">
        <v>0</v>
      </c>
      <c r="O14547">
        <v>2811</v>
      </c>
    </row>
    <row r="14548" spans="1:15" x14ac:dyDescent="0.25">
      <c r="A14548" t="s">
        <v>14561</v>
      </c>
      <c r="B14548">
        <v>226</v>
      </c>
      <c r="C14548" s="1" t="str">
        <f>HYPERLINK("http://www.rosaceae.org/gb/gbrowse/malus_x_domestica/?name=MDP0000872167","MDP0000872167")</f>
        <v>MDP0000872167</v>
      </c>
      <c r="D14548">
        <v>36.96</v>
      </c>
      <c r="E14548">
        <v>211</v>
      </c>
      <c r="F14548">
        <v>133</v>
      </c>
      <c r="G14548">
        <v>19</v>
      </c>
      <c r="H14548">
        <v>6</v>
      </c>
      <c r="I14548">
        <v>210</v>
      </c>
      <c r="J14548">
        <v>1</v>
      </c>
      <c r="K14548">
        <v>60</v>
      </c>
      <c r="L14548">
        <v>257</v>
      </c>
      <c r="M14548">
        <v>1</v>
      </c>
      <c r="N14548">
        <v>3.8741999999999999E-29</v>
      </c>
      <c r="O14548">
        <v>314</v>
      </c>
    </row>
    <row r="14549" spans="1:15" x14ac:dyDescent="0.25">
      <c r="A14549" t="s">
        <v>14562</v>
      </c>
      <c r="B14549">
        <v>344</v>
      </c>
      <c r="C14549" s="1" t="str">
        <f>HYPERLINK("http://www.rosaceae.org/gb/gbrowse/malus_x_domestica/?name=MDP0000887805","MDP0000887805")</f>
        <v>MDP0000887805</v>
      </c>
      <c r="D14549">
        <v>68.06</v>
      </c>
      <c r="E14549">
        <v>357</v>
      </c>
      <c r="F14549">
        <v>114</v>
      </c>
      <c r="G14549">
        <v>24</v>
      </c>
      <c r="H14549">
        <v>3</v>
      </c>
      <c r="I14549">
        <v>344</v>
      </c>
      <c r="J14549">
        <v>1</v>
      </c>
      <c r="K14549">
        <v>4</v>
      </c>
      <c r="L14549">
        <v>351</v>
      </c>
      <c r="M14549">
        <v>1</v>
      </c>
      <c r="N14549">
        <v>1.3892299999999999E-126</v>
      </c>
      <c r="O14549">
        <v>1156</v>
      </c>
    </row>
    <row r="14550" spans="1:15" x14ac:dyDescent="0.25">
      <c r="A14550" t="s">
        <v>14563</v>
      </c>
      <c r="B14550">
        <v>531</v>
      </c>
      <c r="C14550" s="1" t="str">
        <f>HYPERLINK("http://www.rosaceae.org/gb/gbrowse/malus_x_domestica/?name=MDP0000243706","MDP0000243706")</f>
        <v>MDP0000243706</v>
      </c>
      <c r="D14550">
        <v>63.42</v>
      </c>
      <c r="E14550">
        <v>555</v>
      </c>
      <c r="F14550">
        <v>203</v>
      </c>
      <c r="G14550">
        <v>74</v>
      </c>
      <c r="H14550">
        <v>1</v>
      </c>
      <c r="I14550">
        <v>519</v>
      </c>
      <c r="J14550">
        <v>1</v>
      </c>
      <c r="K14550">
        <v>1</v>
      </c>
      <c r="L14550">
        <v>517</v>
      </c>
      <c r="M14550">
        <v>1</v>
      </c>
      <c r="N14550">
        <v>0</v>
      </c>
      <c r="O14550">
        <v>1765</v>
      </c>
    </row>
    <row r="14551" spans="1:15" x14ac:dyDescent="0.25">
      <c r="A14551" t="s">
        <v>14564</v>
      </c>
      <c r="B14551">
        <v>285</v>
      </c>
      <c r="C14551" s="1" t="str">
        <f>HYPERLINK("http://www.rosaceae.org/gb/gbrowse/malus_x_domestica/?name=MDP0000626065","MDP0000626065")</f>
        <v>MDP0000626065</v>
      </c>
      <c r="D14551">
        <v>49.59</v>
      </c>
      <c r="E14551">
        <v>246</v>
      </c>
      <c r="F14551">
        <v>124</v>
      </c>
      <c r="G14551">
        <v>8</v>
      </c>
      <c r="H14551">
        <v>41</v>
      </c>
      <c r="I14551">
        <v>284</v>
      </c>
      <c r="J14551">
        <v>1</v>
      </c>
      <c r="K14551">
        <v>82</v>
      </c>
      <c r="L14551">
        <v>321</v>
      </c>
      <c r="M14551">
        <v>1</v>
      </c>
      <c r="N14551">
        <v>1.4097200000000001E-58</v>
      </c>
      <c r="O14551">
        <v>569</v>
      </c>
    </row>
    <row r="14552" spans="1:15" x14ac:dyDescent="0.25">
      <c r="A14552" t="s">
        <v>14565</v>
      </c>
      <c r="B14552">
        <v>237</v>
      </c>
      <c r="C14552" s="1" t="str">
        <f>HYPERLINK("http://www.rosaceae.org/gb/gbrowse/malus_x_domestica/?name=MDP0000506266","MDP0000506266")</f>
        <v>MDP0000506266</v>
      </c>
      <c r="D14552">
        <v>61.96</v>
      </c>
      <c r="E14552">
        <v>234</v>
      </c>
      <c r="F14552">
        <v>89</v>
      </c>
      <c r="G14552">
        <v>9</v>
      </c>
      <c r="H14552">
        <v>4</v>
      </c>
      <c r="I14552">
        <v>236</v>
      </c>
      <c r="J14552">
        <v>1</v>
      </c>
      <c r="K14552">
        <v>2</v>
      </c>
      <c r="L14552">
        <v>227</v>
      </c>
      <c r="M14552">
        <v>1</v>
      </c>
      <c r="N14552">
        <v>7.5122100000000004E-77</v>
      </c>
      <c r="O14552">
        <v>725</v>
      </c>
    </row>
    <row r="14553" spans="1:15" x14ac:dyDescent="0.25">
      <c r="A14553" t="s">
        <v>14566</v>
      </c>
      <c r="B14553">
        <v>1007</v>
      </c>
      <c r="C14553" s="1" t="str">
        <f>HYPERLINK("http://www.rosaceae.org/gb/gbrowse/malus_x_domestica/?name=MDP0000196032","MDP0000196032")</f>
        <v>MDP0000196032</v>
      </c>
      <c r="D14553">
        <v>48.69</v>
      </c>
      <c r="E14553">
        <v>961</v>
      </c>
      <c r="F14553">
        <v>493</v>
      </c>
      <c r="G14553">
        <v>82</v>
      </c>
      <c r="H14553">
        <v>41</v>
      </c>
      <c r="I14553">
        <v>990</v>
      </c>
      <c r="J14553">
        <v>1</v>
      </c>
      <c r="K14553">
        <v>34</v>
      </c>
      <c r="L14553">
        <v>923</v>
      </c>
      <c r="M14553">
        <v>1</v>
      </c>
      <c r="N14553">
        <v>0</v>
      </c>
      <c r="O14553">
        <v>2175</v>
      </c>
    </row>
    <row r="14554" spans="1:15" x14ac:dyDescent="0.25">
      <c r="A14554" t="s">
        <v>14567</v>
      </c>
      <c r="B14554">
        <v>588</v>
      </c>
      <c r="C14554" s="1" t="str">
        <f>HYPERLINK("http://www.rosaceae.org/gb/gbrowse/malus_x_domestica/?name=MDP0000147906","MDP0000147906")</f>
        <v>MDP0000147906</v>
      </c>
      <c r="D14554">
        <v>59.68</v>
      </c>
      <c r="E14554">
        <v>630</v>
      </c>
      <c r="F14554">
        <v>254</v>
      </c>
      <c r="G14554">
        <v>51</v>
      </c>
      <c r="H14554">
        <v>4</v>
      </c>
      <c r="I14554">
        <v>587</v>
      </c>
      <c r="J14554">
        <v>1</v>
      </c>
      <c r="K14554">
        <v>89</v>
      </c>
      <c r="L14554">
        <v>713</v>
      </c>
      <c r="M14554">
        <v>1</v>
      </c>
      <c r="N14554">
        <v>0</v>
      </c>
      <c r="O14554">
        <v>1878</v>
      </c>
    </row>
    <row r="14555" spans="1:15" x14ac:dyDescent="0.25">
      <c r="A14555" t="s">
        <v>14568</v>
      </c>
      <c r="B14555">
        <v>401</v>
      </c>
      <c r="C14555" s="1" t="str">
        <f>HYPERLINK("http://www.rosaceae.org/gb/gbrowse/malus_x_domestica/?name=MDP0000125338","MDP0000125338")</f>
        <v>MDP0000125338</v>
      </c>
      <c r="D14555">
        <v>29.84</v>
      </c>
      <c r="E14555">
        <v>382</v>
      </c>
      <c r="F14555">
        <v>268</v>
      </c>
      <c r="G14555">
        <v>36</v>
      </c>
      <c r="H14555">
        <v>36</v>
      </c>
      <c r="I14555">
        <v>399</v>
      </c>
      <c r="J14555">
        <v>1</v>
      </c>
      <c r="K14555">
        <v>33</v>
      </c>
      <c r="L14555">
        <v>396</v>
      </c>
      <c r="M14555">
        <v>1</v>
      </c>
      <c r="N14555">
        <v>7.7441899999999993E-37</v>
      </c>
      <c r="O14555">
        <v>383</v>
      </c>
    </row>
    <row r="14556" spans="1:15" x14ac:dyDescent="0.25">
      <c r="A14556" t="s">
        <v>14569</v>
      </c>
      <c r="B14556">
        <v>259</v>
      </c>
      <c r="C14556" s="1" t="str">
        <f>HYPERLINK("http://www.rosaceae.org/gb/gbrowse/malus_x_domestica/?name=MDP0000247921","MDP0000247921")</f>
        <v>MDP0000247921</v>
      </c>
      <c r="D14556">
        <v>37.17</v>
      </c>
      <c r="E14556">
        <v>78</v>
      </c>
      <c r="F14556">
        <v>49</v>
      </c>
      <c r="G14556">
        <v>2</v>
      </c>
      <c r="H14556">
        <v>22</v>
      </c>
      <c r="I14556">
        <v>98</v>
      </c>
      <c r="J14556">
        <v>1</v>
      </c>
      <c r="K14556">
        <v>753</v>
      </c>
      <c r="L14556">
        <v>829</v>
      </c>
      <c r="M14556">
        <v>1</v>
      </c>
      <c r="N14556">
        <v>6.3620700000000003E-7</v>
      </c>
      <c r="O14556">
        <v>123</v>
      </c>
    </row>
    <row r="14557" spans="1:15" x14ac:dyDescent="0.25">
      <c r="A14557" t="s">
        <v>14570</v>
      </c>
      <c r="B14557">
        <v>907</v>
      </c>
      <c r="C14557" s="1" t="str">
        <f>HYPERLINK("http://www.rosaceae.org/gb/gbrowse/malus_x_domestica/?name=MDP0000414288","MDP0000414288")</f>
        <v>MDP0000414288</v>
      </c>
      <c r="D14557">
        <v>63.2</v>
      </c>
      <c r="E14557">
        <v>405</v>
      </c>
      <c r="F14557">
        <v>149</v>
      </c>
      <c r="G14557">
        <v>38</v>
      </c>
      <c r="H14557">
        <v>508</v>
      </c>
      <c r="I14557">
        <v>880</v>
      </c>
      <c r="J14557">
        <v>1</v>
      </c>
      <c r="K14557">
        <v>1</v>
      </c>
      <c r="L14557">
        <v>399</v>
      </c>
      <c r="M14557">
        <v>1</v>
      </c>
      <c r="N14557">
        <v>1.3784199999999999E-133</v>
      </c>
      <c r="O14557">
        <v>1221</v>
      </c>
    </row>
    <row r="14558" spans="1:15" x14ac:dyDescent="0.25">
      <c r="A14558" t="s">
        <v>14571</v>
      </c>
      <c r="B14558">
        <v>704</v>
      </c>
      <c r="C14558" s="1" t="str">
        <f>HYPERLINK("http://www.rosaceae.org/gb/gbrowse/malus_x_domestica/?name=MDP0000557233","MDP0000557233")</f>
        <v>MDP0000557233</v>
      </c>
      <c r="D14558">
        <v>74.78</v>
      </c>
      <c r="E14558">
        <v>702</v>
      </c>
      <c r="F14558">
        <v>177</v>
      </c>
      <c r="G14558">
        <v>2</v>
      </c>
      <c r="H14558">
        <v>1</v>
      </c>
      <c r="I14558">
        <v>702</v>
      </c>
      <c r="J14558">
        <v>1</v>
      </c>
      <c r="K14558">
        <v>1</v>
      </c>
      <c r="L14558">
        <v>700</v>
      </c>
      <c r="M14558">
        <v>1</v>
      </c>
      <c r="N14558">
        <v>0</v>
      </c>
      <c r="O14558">
        <v>2706</v>
      </c>
    </row>
    <row r="14559" spans="1:15" x14ac:dyDescent="0.25">
      <c r="A14559" t="s">
        <v>14572</v>
      </c>
      <c r="B14559">
        <v>535</v>
      </c>
      <c r="C14559" s="1" t="str">
        <f>HYPERLINK("http://www.rosaceae.org/gb/gbrowse/malus_x_domestica/?name=MDP0000274797","MDP0000274797")</f>
        <v>MDP0000274797</v>
      </c>
      <c r="D14559">
        <v>62.01</v>
      </c>
      <c r="E14559">
        <v>337</v>
      </c>
      <c r="F14559">
        <v>128</v>
      </c>
      <c r="G14559">
        <v>3</v>
      </c>
      <c r="H14559">
        <v>186</v>
      </c>
      <c r="I14559">
        <v>519</v>
      </c>
      <c r="J14559">
        <v>1</v>
      </c>
      <c r="K14559">
        <v>121</v>
      </c>
      <c r="L14559">
        <v>457</v>
      </c>
      <c r="M14559">
        <v>1</v>
      </c>
      <c r="N14559">
        <v>3.4429400000000003E-111</v>
      </c>
      <c r="O14559">
        <v>1026</v>
      </c>
    </row>
    <row r="14560" spans="1:15" x14ac:dyDescent="0.25">
      <c r="A14560" t="s">
        <v>14573</v>
      </c>
      <c r="B14560">
        <v>509</v>
      </c>
      <c r="C14560" s="1" t="str">
        <f>HYPERLINK("http://www.rosaceae.org/gb/gbrowse/malus_x_domestica/?name=MDP0000268534","MDP0000268534")</f>
        <v>MDP0000268534</v>
      </c>
      <c r="D14560">
        <v>39.6</v>
      </c>
      <c r="E14560">
        <v>351</v>
      </c>
      <c r="F14560">
        <v>212</v>
      </c>
      <c r="G14560">
        <v>42</v>
      </c>
      <c r="H14560">
        <v>162</v>
      </c>
      <c r="I14560">
        <v>506</v>
      </c>
      <c r="J14560">
        <v>1</v>
      </c>
      <c r="K14560">
        <v>74</v>
      </c>
      <c r="L14560">
        <v>388</v>
      </c>
      <c r="M14560">
        <v>1</v>
      </c>
      <c r="N14560">
        <v>1.51207E-56</v>
      </c>
      <c r="O14560">
        <v>554</v>
      </c>
    </row>
    <row r="14561" spans="1:15" x14ac:dyDescent="0.25">
      <c r="A14561" t="s">
        <v>14574</v>
      </c>
      <c r="B14561">
        <v>153</v>
      </c>
      <c r="C14561" s="1" t="str">
        <f>HYPERLINK("http://www.rosaceae.org/gb/gbrowse/malus_x_domestica/?name=MDP0000792725","MDP0000792725")</f>
        <v>MDP0000792725</v>
      </c>
      <c r="D14561">
        <v>42.7</v>
      </c>
      <c r="E14561">
        <v>96</v>
      </c>
      <c r="F14561">
        <v>55</v>
      </c>
      <c r="G14561">
        <v>0</v>
      </c>
      <c r="H14561">
        <v>44</v>
      </c>
      <c r="I14561">
        <v>139</v>
      </c>
      <c r="J14561">
        <v>1</v>
      </c>
      <c r="K14561">
        <v>135</v>
      </c>
      <c r="L14561">
        <v>230</v>
      </c>
      <c r="M14561">
        <v>1</v>
      </c>
      <c r="N14561">
        <v>5.9319399999999997E-18</v>
      </c>
      <c r="O14561">
        <v>214</v>
      </c>
    </row>
    <row r="14562" spans="1:15" x14ac:dyDescent="0.25">
      <c r="A14562" t="s">
        <v>14575</v>
      </c>
      <c r="B14562">
        <v>469</v>
      </c>
      <c r="C14562" s="1" t="str">
        <f>HYPERLINK("http://www.rosaceae.org/gb/gbrowse/malus_x_domestica/?name=MDP0000413933","MDP0000413933")</f>
        <v>MDP0000413933</v>
      </c>
      <c r="D14562">
        <v>76.099999999999994</v>
      </c>
      <c r="E14562">
        <v>431</v>
      </c>
      <c r="F14562">
        <v>103</v>
      </c>
      <c r="G14562">
        <v>0</v>
      </c>
      <c r="H14562">
        <v>1</v>
      </c>
      <c r="I14562">
        <v>431</v>
      </c>
      <c r="J14562">
        <v>1</v>
      </c>
      <c r="K14562">
        <v>204</v>
      </c>
      <c r="L14562">
        <v>634</v>
      </c>
      <c r="M14562">
        <v>1</v>
      </c>
      <c r="N14562">
        <v>0</v>
      </c>
      <c r="O14562">
        <v>1828</v>
      </c>
    </row>
    <row r="14563" spans="1:15" x14ac:dyDescent="0.25">
      <c r="A14563" t="s">
        <v>14576</v>
      </c>
      <c r="B14563">
        <v>989</v>
      </c>
      <c r="C14563" s="1" t="str">
        <f>HYPERLINK("http://www.rosaceae.org/gb/gbrowse/malus_x_domestica/?name=MDP0000637744","MDP0000637744")</f>
        <v>MDP0000637744</v>
      </c>
      <c r="D14563">
        <v>64.16</v>
      </c>
      <c r="E14563">
        <v>240</v>
      </c>
      <c r="F14563">
        <v>86</v>
      </c>
      <c r="G14563">
        <v>5</v>
      </c>
      <c r="H14563">
        <v>166</v>
      </c>
      <c r="I14563">
        <v>405</v>
      </c>
      <c r="J14563">
        <v>1</v>
      </c>
      <c r="K14563">
        <v>892</v>
      </c>
      <c r="L14563">
        <v>1126</v>
      </c>
      <c r="M14563">
        <v>1</v>
      </c>
      <c r="N14563">
        <v>4.12403E-88</v>
      </c>
      <c r="O14563">
        <v>829</v>
      </c>
    </row>
    <row r="14564" spans="1:15" x14ac:dyDescent="0.25">
      <c r="A14564" t="s">
        <v>14577</v>
      </c>
      <c r="B14564">
        <v>511</v>
      </c>
      <c r="C14564" s="1" t="str">
        <f>HYPERLINK("http://www.rosaceae.org/gb/gbrowse/malus_x_domestica/?name=MDP0000380205","MDP0000380205")</f>
        <v>MDP0000380205</v>
      </c>
      <c r="D14564">
        <v>25.63</v>
      </c>
      <c r="E14564">
        <v>515</v>
      </c>
      <c r="F14564">
        <v>383</v>
      </c>
      <c r="G14564">
        <v>53</v>
      </c>
      <c r="H14564">
        <v>5</v>
      </c>
      <c r="I14564">
        <v>484</v>
      </c>
      <c r="J14564">
        <v>1</v>
      </c>
      <c r="K14564">
        <v>2</v>
      </c>
      <c r="L14564">
        <v>498</v>
      </c>
      <c r="M14564">
        <v>1</v>
      </c>
      <c r="N14564">
        <v>1.3070199999999999E-29</v>
      </c>
      <c r="O14564">
        <v>322</v>
      </c>
    </row>
    <row r="14565" spans="1:15" x14ac:dyDescent="0.25">
      <c r="A14565" t="s">
        <v>14578</v>
      </c>
      <c r="B14565">
        <v>514</v>
      </c>
      <c r="C14565" s="1" t="str">
        <f>HYPERLINK("http://www.rosaceae.org/gb/gbrowse/malus_x_domestica/?name=MDP0000263313","MDP0000263313")</f>
        <v>MDP0000263313</v>
      </c>
      <c r="D14565">
        <v>79.42</v>
      </c>
      <c r="E14565">
        <v>175</v>
      </c>
      <c r="F14565">
        <v>36</v>
      </c>
      <c r="G14565">
        <v>8</v>
      </c>
      <c r="H14565">
        <v>327</v>
      </c>
      <c r="I14565">
        <v>493</v>
      </c>
      <c r="J14565">
        <v>1</v>
      </c>
      <c r="K14565">
        <v>62</v>
      </c>
      <c r="L14565">
        <v>236</v>
      </c>
      <c r="M14565">
        <v>1</v>
      </c>
      <c r="N14565">
        <v>2.53208E-76</v>
      </c>
      <c r="O14565">
        <v>725</v>
      </c>
    </row>
    <row r="14566" spans="1:15" x14ac:dyDescent="0.25">
      <c r="A14566" t="s">
        <v>14579</v>
      </c>
      <c r="B14566">
        <v>227</v>
      </c>
      <c r="C14566" s="1" t="str">
        <f>HYPERLINK("http://www.rosaceae.org/gb/gbrowse/malus_x_domestica/?name=MDP0000298976","MDP0000298976")</f>
        <v>MDP0000298976</v>
      </c>
      <c r="D14566">
        <v>59.25</v>
      </c>
      <c r="E14566">
        <v>216</v>
      </c>
      <c r="F14566">
        <v>88</v>
      </c>
      <c r="G14566">
        <v>1</v>
      </c>
      <c r="H14566">
        <v>6</v>
      </c>
      <c r="I14566">
        <v>220</v>
      </c>
      <c r="J14566">
        <v>1</v>
      </c>
      <c r="K14566">
        <v>800</v>
      </c>
      <c r="L14566">
        <v>1015</v>
      </c>
      <c r="M14566">
        <v>1</v>
      </c>
      <c r="N14566">
        <v>1.7775899999999998E-67</v>
      </c>
      <c r="O14566">
        <v>644</v>
      </c>
    </row>
    <row r="14567" spans="1:15" x14ac:dyDescent="0.25">
      <c r="A14567" t="s">
        <v>14580</v>
      </c>
      <c r="B14567">
        <v>1257</v>
      </c>
      <c r="C14567" s="1" t="str">
        <f>HYPERLINK("http://www.rosaceae.org/gb/gbrowse/malus_x_domestica/?name=MDP0000302554","MDP0000302554")</f>
        <v>MDP0000302554</v>
      </c>
      <c r="D14567">
        <v>58.4</v>
      </c>
      <c r="E14567">
        <v>363</v>
      </c>
      <c r="F14567">
        <v>151</v>
      </c>
      <c r="G14567">
        <v>24</v>
      </c>
      <c r="H14567">
        <v>464</v>
      </c>
      <c r="I14567">
        <v>815</v>
      </c>
      <c r="J14567">
        <v>1</v>
      </c>
      <c r="K14567">
        <v>187</v>
      </c>
      <c r="L14567">
        <v>536</v>
      </c>
      <c r="M14567">
        <v>1</v>
      </c>
      <c r="N14567">
        <v>8.0288500000000007E-117</v>
      </c>
      <c r="O14567">
        <v>1078</v>
      </c>
    </row>
    <row r="14568" spans="1:15" x14ac:dyDescent="0.25">
      <c r="A14568" t="s">
        <v>14581</v>
      </c>
      <c r="B14568">
        <v>546</v>
      </c>
      <c r="C14568" s="1" t="str">
        <f>HYPERLINK("http://www.rosaceae.org/gb/gbrowse/malus_x_domestica/?name=MDP0000700517","MDP0000700517")</f>
        <v>MDP0000700517</v>
      </c>
      <c r="D14568">
        <v>23.96</v>
      </c>
      <c r="E14568">
        <v>217</v>
      </c>
      <c r="F14568">
        <v>165</v>
      </c>
      <c r="G14568">
        <v>7</v>
      </c>
      <c r="H14568">
        <v>331</v>
      </c>
      <c r="I14568">
        <v>540</v>
      </c>
      <c r="J14568">
        <v>1</v>
      </c>
      <c r="K14568">
        <v>91</v>
      </c>
      <c r="L14568">
        <v>307</v>
      </c>
      <c r="M14568">
        <v>1</v>
      </c>
      <c r="N14568">
        <v>2.9013600000000001E-12</v>
      </c>
      <c r="O14568">
        <v>173</v>
      </c>
    </row>
    <row r="14569" spans="1:15" x14ac:dyDescent="0.25">
      <c r="A14569" t="s">
        <v>14582</v>
      </c>
      <c r="B14569">
        <v>206</v>
      </c>
      <c r="C14569" s="1" t="str">
        <f>HYPERLINK("http://www.rosaceae.org/gb/gbrowse/malus_x_domestica/?name=MDP0000186631","MDP0000186631")</f>
        <v>MDP0000186631</v>
      </c>
      <c r="D14569">
        <v>39.130000000000003</v>
      </c>
      <c r="E14569">
        <v>138</v>
      </c>
      <c r="F14569">
        <v>84</v>
      </c>
      <c r="G14569">
        <v>15</v>
      </c>
      <c r="H14569">
        <v>48</v>
      </c>
      <c r="I14569">
        <v>185</v>
      </c>
      <c r="J14569">
        <v>1</v>
      </c>
      <c r="K14569">
        <v>56</v>
      </c>
      <c r="L14569">
        <v>178</v>
      </c>
      <c r="M14569">
        <v>1</v>
      </c>
      <c r="N14569">
        <v>8.2252500000000002E-18</v>
      </c>
      <c r="O14569">
        <v>215</v>
      </c>
    </row>
    <row r="14570" spans="1:15" x14ac:dyDescent="0.25">
      <c r="A14570" t="s">
        <v>14583</v>
      </c>
      <c r="B14570">
        <v>988</v>
      </c>
      <c r="C14570" s="1" t="str">
        <f>HYPERLINK("http://www.rosaceae.org/gb/gbrowse/malus_x_domestica/?name=MDP0000770205","MDP0000770205")</f>
        <v>MDP0000770205</v>
      </c>
      <c r="D14570">
        <v>78.78</v>
      </c>
      <c r="E14570">
        <v>985</v>
      </c>
      <c r="F14570">
        <v>209</v>
      </c>
      <c r="G14570">
        <v>64</v>
      </c>
      <c r="H14570">
        <v>7</v>
      </c>
      <c r="I14570">
        <v>987</v>
      </c>
      <c r="J14570">
        <v>1</v>
      </c>
      <c r="K14570">
        <v>4</v>
      </c>
      <c r="L14570">
        <v>928</v>
      </c>
      <c r="M14570">
        <v>1</v>
      </c>
      <c r="N14570">
        <v>0</v>
      </c>
      <c r="O14570">
        <v>3971</v>
      </c>
    </row>
    <row r="14571" spans="1:15" x14ac:dyDescent="0.25">
      <c r="A14571" t="s">
        <v>14584</v>
      </c>
      <c r="B14571">
        <v>1611</v>
      </c>
      <c r="C14571" s="1" t="str">
        <f>HYPERLINK("http://www.rosaceae.org/gb/gbrowse/malus_x_domestica/?name=MDP0000272756","MDP0000272756")</f>
        <v>MDP0000272756</v>
      </c>
      <c r="D14571">
        <v>60.55</v>
      </c>
      <c r="E14571">
        <v>1412</v>
      </c>
      <c r="F14571">
        <v>557</v>
      </c>
      <c r="G14571">
        <v>140</v>
      </c>
      <c r="H14571">
        <v>1</v>
      </c>
      <c r="I14571">
        <v>1298</v>
      </c>
      <c r="J14571">
        <v>1</v>
      </c>
      <c r="K14571">
        <v>19</v>
      </c>
      <c r="L14571">
        <v>1404</v>
      </c>
      <c r="M14571">
        <v>1</v>
      </c>
      <c r="N14571">
        <v>0</v>
      </c>
      <c r="O14571">
        <v>3969</v>
      </c>
    </row>
    <row r="14572" spans="1:15" x14ac:dyDescent="0.25">
      <c r="A14572" t="s">
        <v>14585</v>
      </c>
      <c r="B14572">
        <v>124</v>
      </c>
      <c r="C14572" s="1" t="str">
        <f>HYPERLINK("http://www.rosaceae.org/gb/gbrowse/malus_x_domestica/?name=MDP0000774306","MDP0000774306")</f>
        <v>MDP0000774306</v>
      </c>
      <c r="D14572">
        <v>50.66</v>
      </c>
      <c r="E14572">
        <v>75</v>
      </c>
      <c r="F14572">
        <v>37</v>
      </c>
      <c r="G14572">
        <v>4</v>
      </c>
      <c r="H14572">
        <v>29</v>
      </c>
      <c r="I14572">
        <v>100</v>
      </c>
      <c r="J14572">
        <v>1</v>
      </c>
      <c r="K14572">
        <v>137</v>
      </c>
      <c r="L14572">
        <v>210</v>
      </c>
      <c r="M14572">
        <v>1</v>
      </c>
      <c r="N14572">
        <v>1.08104E-9</v>
      </c>
      <c r="O14572">
        <v>141</v>
      </c>
    </row>
    <row r="14573" spans="1:15" x14ac:dyDescent="0.25">
      <c r="A14573" t="s">
        <v>14586</v>
      </c>
      <c r="B14573">
        <v>806</v>
      </c>
      <c r="C14573" s="1" t="str">
        <f>HYPERLINK("http://www.rosaceae.org/gb/gbrowse/malus_x_domestica/?name=MDP0000173207","MDP0000173207")</f>
        <v>MDP0000173207</v>
      </c>
      <c r="D14573">
        <v>62.22</v>
      </c>
      <c r="E14573">
        <v>863</v>
      </c>
      <c r="F14573">
        <v>326</v>
      </c>
      <c r="G14573">
        <v>78</v>
      </c>
      <c r="H14573">
        <v>1</v>
      </c>
      <c r="I14573">
        <v>805</v>
      </c>
      <c r="J14573">
        <v>1</v>
      </c>
      <c r="K14573">
        <v>139</v>
      </c>
      <c r="L14573">
        <v>981</v>
      </c>
      <c r="M14573">
        <v>1</v>
      </c>
      <c r="N14573">
        <v>0</v>
      </c>
      <c r="O14573">
        <v>2485</v>
      </c>
    </row>
    <row r="14574" spans="1:15" x14ac:dyDescent="0.25">
      <c r="A14574" t="s">
        <v>14587</v>
      </c>
      <c r="B14574">
        <v>1252</v>
      </c>
      <c r="C14574" s="1" t="str">
        <f>HYPERLINK("http://www.rosaceae.org/gb/gbrowse/malus_x_domestica/?name=MDP0000245551","MDP0000245551")</f>
        <v>MDP0000245551</v>
      </c>
      <c r="D14574">
        <v>75.709999999999994</v>
      </c>
      <c r="E14574">
        <v>914</v>
      </c>
      <c r="F14574">
        <v>222</v>
      </c>
      <c r="G14574">
        <v>64</v>
      </c>
      <c r="H14574">
        <v>217</v>
      </c>
      <c r="I14574">
        <v>1066</v>
      </c>
      <c r="J14574">
        <v>1</v>
      </c>
      <c r="K14574">
        <v>275</v>
      </c>
      <c r="L14574">
        <v>1188</v>
      </c>
      <c r="M14574">
        <v>1</v>
      </c>
      <c r="N14574">
        <v>0</v>
      </c>
      <c r="O14574">
        <v>3618</v>
      </c>
    </row>
    <row r="14575" spans="1:15" x14ac:dyDescent="0.25">
      <c r="A14575" t="s">
        <v>14588</v>
      </c>
      <c r="B14575">
        <v>114</v>
      </c>
      <c r="C14575" s="1" t="str">
        <f>HYPERLINK("http://www.rosaceae.org/gb/gbrowse/malus_x_domestica/?name=MDP0000269868","MDP0000269868")</f>
        <v>MDP0000269868</v>
      </c>
      <c r="D14575">
        <v>68.88</v>
      </c>
      <c r="E14575">
        <v>90</v>
      </c>
      <c r="F14575">
        <v>28</v>
      </c>
      <c r="G14575">
        <v>7</v>
      </c>
      <c r="H14575">
        <v>22</v>
      </c>
      <c r="I14575">
        <v>109</v>
      </c>
      <c r="J14575">
        <v>1</v>
      </c>
      <c r="K14575">
        <v>20</v>
      </c>
      <c r="L14575">
        <v>104</v>
      </c>
      <c r="M14575">
        <v>1</v>
      </c>
      <c r="N14575">
        <v>3.6416800000000002E-24</v>
      </c>
      <c r="O14575">
        <v>266</v>
      </c>
    </row>
    <row r="14576" spans="1:15" x14ac:dyDescent="0.25">
      <c r="A14576" t="s">
        <v>14589</v>
      </c>
      <c r="B14576">
        <v>75</v>
      </c>
      <c r="C14576" s="1" t="str">
        <f>HYPERLINK("http://www.rosaceae.org/gb/gbrowse/malus_x_domestica/?name=MDP0000206285","MDP0000206285")</f>
        <v>MDP0000206285</v>
      </c>
      <c r="D14576">
        <v>66.17</v>
      </c>
      <c r="E14576">
        <v>68</v>
      </c>
      <c r="F14576">
        <v>23</v>
      </c>
      <c r="G14576">
        <v>2</v>
      </c>
      <c r="H14576">
        <v>9</v>
      </c>
      <c r="I14576">
        <v>74</v>
      </c>
      <c r="J14576">
        <v>1</v>
      </c>
      <c r="K14576">
        <v>115</v>
      </c>
      <c r="L14576">
        <v>182</v>
      </c>
      <c r="M14576">
        <v>1</v>
      </c>
      <c r="N14576">
        <v>4.2237899999999998E-20</v>
      </c>
      <c r="O14576">
        <v>231</v>
      </c>
    </row>
    <row r="14577" spans="1:15" x14ac:dyDescent="0.25">
      <c r="A14577" t="s">
        <v>14590</v>
      </c>
      <c r="B14577">
        <v>401</v>
      </c>
      <c r="C14577" s="1" t="str">
        <f>HYPERLINK("http://www.rosaceae.org/gb/gbrowse/malus_x_domestica/?name=MDP0000235326","MDP0000235326")</f>
        <v>MDP0000235326</v>
      </c>
      <c r="D14577">
        <v>32.729999999999997</v>
      </c>
      <c r="E14577">
        <v>168</v>
      </c>
      <c r="F14577">
        <v>113</v>
      </c>
      <c r="G14577">
        <v>15</v>
      </c>
      <c r="H14577">
        <v>17</v>
      </c>
      <c r="I14577">
        <v>184</v>
      </c>
      <c r="J14577">
        <v>1</v>
      </c>
      <c r="K14577">
        <v>6</v>
      </c>
      <c r="L14577">
        <v>158</v>
      </c>
      <c r="M14577">
        <v>1</v>
      </c>
      <c r="N14577">
        <v>1.5982E-12</v>
      </c>
      <c r="O14577">
        <v>173</v>
      </c>
    </row>
    <row r="14578" spans="1:15" x14ac:dyDescent="0.25">
      <c r="A14578" t="s">
        <v>14591</v>
      </c>
      <c r="B14578">
        <v>471</v>
      </c>
      <c r="C14578" s="1" t="str">
        <f>HYPERLINK("http://www.rosaceae.org/gb/gbrowse/malus_x_domestica/?name=MDP0000943790","MDP0000943790")</f>
        <v>MDP0000943790</v>
      </c>
      <c r="D14578">
        <v>47.08</v>
      </c>
      <c r="E14578">
        <v>429</v>
      </c>
      <c r="F14578">
        <v>227</v>
      </c>
      <c r="G14578">
        <v>24</v>
      </c>
      <c r="H14578">
        <v>59</v>
      </c>
      <c r="I14578">
        <v>466</v>
      </c>
      <c r="J14578">
        <v>1</v>
      </c>
      <c r="K14578">
        <v>94</v>
      </c>
      <c r="L14578">
        <v>519</v>
      </c>
      <c r="M14578">
        <v>1</v>
      </c>
      <c r="N14578">
        <v>5.5114699999999997E-109</v>
      </c>
      <c r="O14578">
        <v>1006</v>
      </c>
    </row>
    <row r="14579" spans="1:15" x14ac:dyDescent="0.25">
      <c r="A14579" t="s">
        <v>14592</v>
      </c>
      <c r="B14579">
        <v>1343</v>
      </c>
      <c r="C14579" s="1" t="str">
        <f>HYPERLINK("http://www.rosaceae.org/gb/gbrowse/malus_x_domestica/?name=MDP0000125643","MDP0000125643")</f>
        <v>MDP0000125643</v>
      </c>
      <c r="D14579">
        <v>40</v>
      </c>
      <c r="E14579">
        <v>605</v>
      </c>
      <c r="F14579">
        <v>363</v>
      </c>
      <c r="G14579">
        <v>68</v>
      </c>
      <c r="H14579">
        <v>210</v>
      </c>
      <c r="I14579">
        <v>750</v>
      </c>
      <c r="J14579">
        <v>1</v>
      </c>
      <c r="K14579">
        <v>489</v>
      </c>
      <c r="L14579">
        <v>1089</v>
      </c>
      <c r="M14579">
        <v>1</v>
      </c>
      <c r="N14579">
        <v>2.9670799999999998E-101</v>
      </c>
      <c r="O14579">
        <v>944</v>
      </c>
    </row>
    <row r="14580" spans="1:15" x14ac:dyDescent="0.25">
      <c r="A14580" t="s">
        <v>14593</v>
      </c>
      <c r="B14580">
        <v>158</v>
      </c>
      <c r="C14580" s="1" t="str">
        <f>HYPERLINK("http://www.rosaceae.org/gb/gbrowse/malus_x_domestica/?name=MDP0000283138","MDP0000283138")</f>
        <v>MDP0000283138</v>
      </c>
      <c r="D14580">
        <v>85.41</v>
      </c>
      <c r="E14580">
        <v>48</v>
      </c>
      <c r="F14580">
        <v>7</v>
      </c>
      <c r="G14580">
        <v>0</v>
      </c>
      <c r="H14580">
        <v>83</v>
      </c>
      <c r="I14580">
        <v>130</v>
      </c>
      <c r="J14580">
        <v>1</v>
      </c>
      <c r="K14580">
        <v>1571</v>
      </c>
      <c r="L14580">
        <v>1618</v>
      </c>
      <c r="M14580">
        <v>1</v>
      </c>
      <c r="N14580">
        <v>5.6171699999999998E-17</v>
      </c>
      <c r="O14580">
        <v>206</v>
      </c>
    </row>
    <row r="14581" spans="1:15" x14ac:dyDescent="0.25">
      <c r="A14581" t="s">
        <v>14594</v>
      </c>
      <c r="B14581">
        <v>193</v>
      </c>
      <c r="C14581" s="1" t="str">
        <f>HYPERLINK("http://www.rosaceae.org/gb/gbrowse/malus_x_domestica/?name=MDP0000378275","MDP0000378275")</f>
        <v>MDP0000378275</v>
      </c>
      <c r="D14581">
        <v>86.36</v>
      </c>
      <c r="E14581">
        <v>154</v>
      </c>
      <c r="F14581">
        <v>21</v>
      </c>
      <c r="G14581">
        <v>0</v>
      </c>
      <c r="H14581">
        <v>40</v>
      </c>
      <c r="I14581">
        <v>193</v>
      </c>
      <c r="J14581">
        <v>1</v>
      </c>
      <c r="K14581">
        <v>37</v>
      </c>
      <c r="L14581">
        <v>190</v>
      </c>
      <c r="M14581">
        <v>1</v>
      </c>
      <c r="N14581">
        <v>3.1816699999999997E-76</v>
      </c>
      <c r="O14581">
        <v>719</v>
      </c>
    </row>
    <row r="14582" spans="1:15" x14ac:dyDescent="0.25">
      <c r="A14582" t="s">
        <v>14595</v>
      </c>
      <c r="B14582">
        <v>325</v>
      </c>
      <c r="C14582" s="1" t="str">
        <f>HYPERLINK("http://www.rosaceae.org/gb/gbrowse/malus_x_domestica/?name=MDP0000237596","MDP0000237596")</f>
        <v>MDP0000237596</v>
      </c>
      <c r="D14582">
        <v>61.39</v>
      </c>
      <c r="E14582">
        <v>329</v>
      </c>
      <c r="F14582">
        <v>127</v>
      </c>
      <c r="G14582">
        <v>37</v>
      </c>
      <c r="H14582">
        <v>1</v>
      </c>
      <c r="I14582">
        <v>320</v>
      </c>
      <c r="J14582">
        <v>1</v>
      </c>
      <c r="K14582">
        <v>1</v>
      </c>
      <c r="L14582">
        <v>301</v>
      </c>
      <c r="M14582">
        <v>1</v>
      </c>
      <c r="N14582">
        <v>5.3195099999999997E-103</v>
      </c>
      <c r="O14582">
        <v>953</v>
      </c>
    </row>
    <row r="14583" spans="1:15" x14ac:dyDescent="0.25">
      <c r="A14583" t="s">
        <v>14596</v>
      </c>
      <c r="B14583">
        <v>267</v>
      </c>
      <c r="C14583" s="1" t="str">
        <f>HYPERLINK("http://www.rosaceae.org/gb/gbrowse/malus_x_domestica/?name=MDP0000258402","MDP0000258402")</f>
        <v>MDP0000258402</v>
      </c>
      <c r="D14583">
        <v>82.87</v>
      </c>
      <c r="E14583">
        <v>257</v>
      </c>
      <c r="F14583">
        <v>44</v>
      </c>
      <c r="G14583">
        <v>0</v>
      </c>
      <c r="H14583">
        <v>1</v>
      </c>
      <c r="I14583">
        <v>257</v>
      </c>
      <c r="J14583">
        <v>1</v>
      </c>
      <c r="K14583">
        <v>1</v>
      </c>
      <c r="L14583">
        <v>257</v>
      </c>
      <c r="M14583">
        <v>1</v>
      </c>
      <c r="N14583">
        <v>7.6152499999999998E-128</v>
      </c>
      <c r="O14583">
        <v>1166</v>
      </c>
    </row>
    <row r="14584" spans="1:15" x14ac:dyDescent="0.25">
      <c r="A14584" t="s">
        <v>14597</v>
      </c>
      <c r="B14584">
        <v>595</v>
      </c>
      <c r="C14584" s="1" t="str">
        <f>HYPERLINK("http://www.rosaceae.org/gb/gbrowse/malus_x_domestica/?name=MDP0000185338","MDP0000185338")</f>
        <v>MDP0000185338</v>
      </c>
      <c r="D14584">
        <v>81.98</v>
      </c>
      <c r="E14584">
        <v>544</v>
      </c>
      <c r="F14584">
        <v>98</v>
      </c>
      <c r="G14584">
        <v>3</v>
      </c>
      <c r="H14584">
        <v>52</v>
      </c>
      <c r="I14584">
        <v>595</v>
      </c>
      <c r="J14584">
        <v>1</v>
      </c>
      <c r="K14584">
        <v>19</v>
      </c>
      <c r="L14584">
        <v>559</v>
      </c>
      <c r="M14584">
        <v>1</v>
      </c>
      <c r="N14584">
        <v>0</v>
      </c>
      <c r="O14584">
        <v>2422</v>
      </c>
    </row>
    <row r="14585" spans="1:15" x14ac:dyDescent="0.25">
      <c r="A14585" t="s">
        <v>14598</v>
      </c>
      <c r="B14585">
        <v>157</v>
      </c>
      <c r="C14585" s="1" t="str">
        <f>HYPERLINK("http://www.rosaceae.org/gb/gbrowse/malus_x_domestica/?name=MDP0000300752","MDP0000300752")</f>
        <v>MDP0000300752</v>
      </c>
      <c r="D14585">
        <v>71.91</v>
      </c>
      <c r="E14585">
        <v>146</v>
      </c>
      <c r="F14585">
        <v>41</v>
      </c>
      <c r="G14585">
        <v>2</v>
      </c>
      <c r="H14585">
        <v>1</v>
      </c>
      <c r="I14585">
        <v>146</v>
      </c>
      <c r="J14585">
        <v>1</v>
      </c>
      <c r="K14585">
        <v>1</v>
      </c>
      <c r="L14585">
        <v>144</v>
      </c>
      <c r="M14585">
        <v>1</v>
      </c>
      <c r="N14585">
        <v>9.4096299999999991E-53</v>
      </c>
      <c r="O14585">
        <v>515</v>
      </c>
    </row>
    <row r="14586" spans="1:15" x14ac:dyDescent="0.25">
      <c r="A14586" t="s">
        <v>14599</v>
      </c>
      <c r="B14586">
        <v>473</v>
      </c>
      <c r="C14586" s="1" t="str">
        <f>HYPERLINK("http://www.rosaceae.org/gb/gbrowse/malus_x_domestica/?name=MDP0000617956","MDP0000617956")</f>
        <v>MDP0000617956</v>
      </c>
      <c r="D14586">
        <v>73.64</v>
      </c>
      <c r="E14586">
        <v>478</v>
      </c>
      <c r="F14586">
        <v>126</v>
      </c>
      <c r="G14586">
        <v>17</v>
      </c>
      <c r="H14586">
        <v>1</v>
      </c>
      <c r="I14586">
        <v>466</v>
      </c>
      <c r="J14586">
        <v>1</v>
      </c>
      <c r="K14586">
        <v>1</v>
      </c>
      <c r="L14586">
        <v>473</v>
      </c>
      <c r="M14586">
        <v>1</v>
      </c>
      <c r="N14586">
        <v>0</v>
      </c>
      <c r="O14586">
        <v>1818</v>
      </c>
    </row>
    <row r="14587" spans="1:15" x14ac:dyDescent="0.25">
      <c r="A14587" t="s">
        <v>14600</v>
      </c>
      <c r="B14587">
        <v>370</v>
      </c>
      <c r="C14587" s="1" t="str">
        <f>HYPERLINK("http://www.rosaceae.org/gb/gbrowse/malus_x_domestica/?name=MDP0000298680","MDP0000298680")</f>
        <v>MDP0000298680</v>
      </c>
      <c r="D14587">
        <v>49.88</v>
      </c>
      <c r="E14587">
        <v>443</v>
      </c>
      <c r="F14587">
        <v>222</v>
      </c>
      <c r="G14587">
        <v>78</v>
      </c>
      <c r="H14587">
        <v>1</v>
      </c>
      <c r="I14587">
        <v>368</v>
      </c>
      <c r="J14587">
        <v>1</v>
      </c>
      <c r="K14587">
        <v>1</v>
      </c>
      <c r="L14587">
        <v>440</v>
      </c>
      <c r="M14587">
        <v>1</v>
      </c>
      <c r="N14587">
        <v>5.1125499999999998E-105</v>
      </c>
      <c r="O14587">
        <v>971</v>
      </c>
    </row>
    <row r="14588" spans="1:15" x14ac:dyDescent="0.25">
      <c r="A14588" t="s">
        <v>14601</v>
      </c>
      <c r="B14588">
        <v>180</v>
      </c>
      <c r="C14588" s="1" t="str">
        <f>HYPERLINK("http://www.rosaceae.org/gb/gbrowse/malus_x_domestica/?name=MDP0000220008","MDP0000220008")</f>
        <v>MDP0000220008</v>
      </c>
      <c r="D14588">
        <v>67.849999999999994</v>
      </c>
      <c r="E14588">
        <v>224</v>
      </c>
      <c r="F14588">
        <v>72</v>
      </c>
      <c r="G14588">
        <v>45</v>
      </c>
      <c r="H14588">
        <v>1</v>
      </c>
      <c r="I14588">
        <v>180</v>
      </c>
      <c r="J14588">
        <v>1</v>
      </c>
      <c r="K14588">
        <v>63</v>
      </c>
      <c r="L14588">
        <v>285</v>
      </c>
      <c r="M14588">
        <v>1</v>
      </c>
      <c r="N14588">
        <v>9.7585899999999997E-74</v>
      </c>
      <c r="O14588">
        <v>697</v>
      </c>
    </row>
    <row r="14589" spans="1:15" x14ac:dyDescent="0.25">
      <c r="A14589" t="s">
        <v>14602</v>
      </c>
      <c r="B14589">
        <v>436</v>
      </c>
      <c r="C14589" s="1" t="str">
        <f>HYPERLINK("http://www.rosaceae.org/gb/gbrowse/malus_x_domestica/?name=MDP0000178691","MDP0000178691")</f>
        <v>MDP0000178691</v>
      </c>
      <c r="D14589">
        <v>53.36</v>
      </c>
      <c r="E14589">
        <v>461</v>
      </c>
      <c r="F14589">
        <v>215</v>
      </c>
      <c r="G14589">
        <v>32</v>
      </c>
      <c r="H14589">
        <v>1</v>
      </c>
      <c r="I14589">
        <v>434</v>
      </c>
      <c r="J14589">
        <v>1</v>
      </c>
      <c r="K14589">
        <v>1</v>
      </c>
      <c r="L14589">
        <v>456</v>
      </c>
      <c r="M14589">
        <v>1</v>
      </c>
      <c r="N14589">
        <v>4.1466499999999998E-132</v>
      </c>
      <c r="O14589">
        <v>1205</v>
      </c>
    </row>
    <row r="14590" spans="1:15" x14ac:dyDescent="0.25">
      <c r="A14590" t="s">
        <v>14603</v>
      </c>
      <c r="B14590">
        <v>397</v>
      </c>
      <c r="C14590" s="1" t="str">
        <f>HYPERLINK("http://www.rosaceae.org/gb/gbrowse/malus_x_domestica/?name=MDP0000753038","MDP0000753038")</f>
        <v>MDP0000753038</v>
      </c>
      <c r="D14590">
        <v>61.95</v>
      </c>
      <c r="E14590">
        <v>389</v>
      </c>
      <c r="F14590">
        <v>148</v>
      </c>
      <c r="G14590">
        <v>20</v>
      </c>
      <c r="H14590">
        <v>10</v>
      </c>
      <c r="I14590">
        <v>385</v>
      </c>
      <c r="J14590">
        <v>1</v>
      </c>
      <c r="K14590">
        <v>166</v>
      </c>
      <c r="L14590">
        <v>547</v>
      </c>
      <c r="M14590">
        <v>1</v>
      </c>
      <c r="N14590">
        <v>4.6779E-117</v>
      </c>
      <c r="O14590">
        <v>1075</v>
      </c>
    </row>
    <row r="14591" spans="1:15" x14ac:dyDescent="0.25">
      <c r="A14591" t="s">
        <v>14604</v>
      </c>
      <c r="B14591">
        <v>357</v>
      </c>
      <c r="C14591" s="1" t="str">
        <f>HYPERLINK("http://www.rosaceae.org/gb/gbrowse/malus_x_domestica/?name=MDP0000496435","MDP0000496435")</f>
        <v>MDP0000496435</v>
      </c>
      <c r="D14591">
        <v>70.17</v>
      </c>
      <c r="E14591">
        <v>342</v>
      </c>
      <c r="F14591">
        <v>102</v>
      </c>
      <c r="G14591">
        <v>2</v>
      </c>
      <c r="H14591">
        <v>16</v>
      </c>
      <c r="I14591">
        <v>356</v>
      </c>
      <c r="J14591">
        <v>1</v>
      </c>
      <c r="K14591">
        <v>21</v>
      </c>
      <c r="L14591">
        <v>361</v>
      </c>
      <c r="M14591">
        <v>1</v>
      </c>
      <c r="N14591">
        <v>5.0976899999999998E-143</v>
      </c>
      <c r="O14591">
        <v>1298</v>
      </c>
    </row>
    <row r="14592" spans="1:15" x14ac:dyDescent="0.25">
      <c r="A14592" t="s">
        <v>14605</v>
      </c>
      <c r="B14592">
        <v>955</v>
      </c>
      <c r="C14592" s="1" t="str">
        <f>HYPERLINK("http://www.rosaceae.org/gb/gbrowse/malus_x_domestica/?name=MDP0000181085","MDP0000181085")</f>
        <v>MDP0000181085</v>
      </c>
      <c r="D14592">
        <v>87.61</v>
      </c>
      <c r="E14592">
        <v>953</v>
      </c>
      <c r="F14592">
        <v>118</v>
      </c>
      <c r="G14592">
        <v>0</v>
      </c>
      <c r="H14592">
        <v>3</v>
      </c>
      <c r="I14592">
        <v>955</v>
      </c>
      <c r="J14592">
        <v>1</v>
      </c>
      <c r="K14592">
        <v>53</v>
      </c>
      <c r="L14592">
        <v>1005</v>
      </c>
      <c r="M14592">
        <v>1</v>
      </c>
      <c r="N14592">
        <v>0</v>
      </c>
      <c r="O14592">
        <v>4419</v>
      </c>
    </row>
    <row r="14593" spans="1:15" x14ac:dyDescent="0.25">
      <c r="A14593" t="s">
        <v>14606</v>
      </c>
      <c r="B14593">
        <v>255</v>
      </c>
      <c r="C14593" s="1" t="str">
        <f>HYPERLINK("http://www.rosaceae.org/gb/gbrowse/malus_x_domestica/?name=MDP0000368424","MDP0000368424")</f>
        <v>MDP0000368424</v>
      </c>
      <c r="D14593">
        <v>46.51</v>
      </c>
      <c r="E14593">
        <v>258</v>
      </c>
      <c r="F14593">
        <v>138</v>
      </c>
      <c r="G14593">
        <v>29</v>
      </c>
      <c r="H14593">
        <v>1</v>
      </c>
      <c r="I14593">
        <v>244</v>
      </c>
      <c r="J14593">
        <v>1</v>
      </c>
      <c r="K14593">
        <v>1</v>
      </c>
      <c r="L14593">
        <v>243</v>
      </c>
      <c r="M14593">
        <v>1</v>
      </c>
      <c r="N14593">
        <v>4.4524E-56</v>
      </c>
      <c r="O14593">
        <v>547</v>
      </c>
    </row>
    <row r="14594" spans="1:15" x14ac:dyDescent="0.25">
      <c r="A14594" t="s">
        <v>14607</v>
      </c>
      <c r="B14594">
        <v>395</v>
      </c>
      <c r="C14594" s="1" t="str">
        <f>HYPERLINK("http://www.rosaceae.org/gb/gbrowse/malus_x_domestica/?name=MDP0000265117","MDP0000265117")</f>
        <v>MDP0000265117</v>
      </c>
      <c r="D14594">
        <v>81.63</v>
      </c>
      <c r="E14594">
        <v>392</v>
      </c>
      <c r="F14594">
        <v>72</v>
      </c>
      <c r="G14594">
        <v>8</v>
      </c>
      <c r="H14594">
        <v>4</v>
      </c>
      <c r="I14594">
        <v>395</v>
      </c>
      <c r="J14594">
        <v>1</v>
      </c>
      <c r="K14594">
        <v>46</v>
      </c>
      <c r="L14594">
        <v>429</v>
      </c>
      <c r="M14594">
        <v>1</v>
      </c>
      <c r="N14594">
        <v>0</v>
      </c>
      <c r="O14594">
        <v>1713</v>
      </c>
    </row>
    <row r="14595" spans="1:15" x14ac:dyDescent="0.25">
      <c r="A14595" t="s">
        <v>14608</v>
      </c>
      <c r="B14595">
        <v>1492</v>
      </c>
      <c r="C14595" s="1" t="str">
        <f>HYPERLINK("http://www.rosaceae.org/gb/gbrowse/malus_x_domestica/?name=MDP0000298212","MDP0000298212")</f>
        <v>MDP0000298212</v>
      </c>
      <c r="D14595">
        <v>58.47</v>
      </c>
      <c r="E14595">
        <v>1546</v>
      </c>
      <c r="F14595">
        <v>642</v>
      </c>
      <c r="G14595">
        <v>156</v>
      </c>
      <c r="H14595">
        <v>6</v>
      </c>
      <c r="I14595">
        <v>1486</v>
      </c>
      <c r="J14595">
        <v>1</v>
      </c>
      <c r="K14595">
        <v>128</v>
      </c>
      <c r="L14595">
        <v>1582</v>
      </c>
      <c r="M14595">
        <v>1</v>
      </c>
      <c r="N14595">
        <v>0</v>
      </c>
      <c r="O14595">
        <v>4251</v>
      </c>
    </row>
    <row r="14596" spans="1:15" x14ac:dyDescent="0.25">
      <c r="A14596" t="s">
        <v>14609</v>
      </c>
      <c r="B14596">
        <v>168</v>
      </c>
      <c r="C14596" s="1" t="str">
        <f>HYPERLINK("http://www.rosaceae.org/gb/gbrowse/malus_x_domestica/?name=MDP0000817710","MDP0000817710")</f>
        <v>MDP0000817710</v>
      </c>
      <c r="D14596">
        <v>60</v>
      </c>
      <c r="E14596">
        <v>70</v>
      </c>
      <c r="F14596">
        <v>28</v>
      </c>
      <c r="G14596">
        <v>6</v>
      </c>
      <c r="H14596">
        <v>67</v>
      </c>
      <c r="I14596">
        <v>136</v>
      </c>
      <c r="J14596">
        <v>1</v>
      </c>
      <c r="K14596">
        <v>310</v>
      </c>
      <c r="L14596">
        <v>373</v>
      </c>
      <c r="M14596">
        <v>1</v>
      </c>
      <c r="N14596">
        <v>1.60156E-16</v>
      </c>
      <c r="O14596">
        <v>203</v>
      </c>
    </row>
    <row r="14597" spans="1:15" x14ac:dyDescent="0.25">
      <c r="A14597" t="s">
        <v>14610</v>
      </c>
      <c r="B14597">
        <v>297</v>
      </c>
      <c r="C14597" s="1" t="str">
        <f>HYPERLINK("http://www.rosaceae.org/gb/gbrowse/malus_x_domestica/?name=MDP0000248514","MDP0000248514")</f>
        <v>MDP0000248514</v>
      </c>
      <c r="D14597">
        <v>46.79</v>
      </c>
      <c r="E14597">
        <v>203</v>
      </c>
      <c r="F14597">
        <v>108</v>
      </c>
      <c r="G14597">
        <v>11</v>
      </c>
      <c r="H14597">
        <v>98</v>
      </c>
      <c r="I14597">
        <v>291</v>
      </c>
      <c r="J14597">
        <v>1</v>
      </c>
      <c r="K14597">
        <v>498</v>
      </c>
      <c r="L14597">
        <v>698</v>
      </c>
      <c r="M14597">
        <v>1</v>
      </c>
      <c r="N14597">
        <v>1.4715299999999999E-41</v>
      </c>
      <c r="O14597">
        <v>422</v>
      </c>
    </row>
    <row r="14598" spans="1:15" x14ac:dyDescent="0.25">
      <c r="A14598" t="s">
        <v>14611</v>
      </c>
      <c r="B14598">
        <v>300</v>
      </c>
      <c r="C14598" s="1" t="str">
        <f>HYPERLINK("http://www.rosaceae.org/gb/gbrowse/malus_x_domestica/?name=MDP0000228858","MDP0000228858")</f>
        <v>MDP0000228858</v>
      </c>
      <c r="D14598">
        <v>48.76</v>
      </c>
      <c r="E14598">
        <v>203</v>
      </c>
      <c r="F14598">
        <v>104</v>
      </c>
      <c r="G14598">
        <v>14</v>
      </c>
      <c r="H14598">
        <v>106</v>
      </c>
      <c r="I14598">
        <v>295</v>
      </c>
      <c r="J14598">
        <v>1</v>
      </c>
      <c r="K14598">
        <v>101</v>
      </c>
      <c r="L14598">
        <v>302</v>
      </c>
      <c r="M14598">
        <v>1</v>
      </c>
      <c r="N14598">
        <v>1.9633899999999999E-49</v>
      </c>
      <c r="O14598">
        <v>490</v>
      </c>
    </row>
    <row r="14599" spans="1:15" x14ac:dyDescent="0.25">
      <c r="A14599" t="s">
        <v>14612</v>
      </c>
      <c r="B14599">
        <v>230</v>
      </c>
      <c r="C14599" s="1" t="str">
        <f>HYPERLINK("http://www.rosaceae.org/gb/gbrowse/malus_x_domestica/?name=MDP0000847719","MDP0000847719")</f>
        <v>MDP0000847719</v>
      </c>
      <c r="D14599">
        <v>71.73</v>
      </c>
      <c r="E14599">
        <v>230</v>
      </c>
      <c r="F14599">
        <v>65</v>
      </c>
      <c r="G14599">
        <v>0</v>
      </c>
      <c r="H14599">
        <v>1</v>
      </c>
      <c r="I14599">
        <v>230</v>
      </c>
      <c r="J14599">
        <v>1</v>
      </c>
      <c r="K14599">
        <v>758</v>
      </c>
      <c r="L14599">
        <v>987</v>
      </c>
      <c r="M14599">
        <v>1</v>
      </c>
      <c r="N14599">
        <v>1.94393E-98</v>
      </c>
      <c r="O14599">
        <v>911</v>
      </c>
    </row>
    <row r="14600" spans="1:15" x14ac:dyDescent="0.25">
      <c r="A14600" t="s">
        <v>14613</v>
      </c>
      <c r="B14600">
        <v>299</v>
      </c>
      <c r="C14600" s="1" t="str">
        <f>HYPERLINK("http://www.rosaceae.org/gb/gbrowse/malus_x_domestica/?name=MDP0000296691","MDP0000296691")</f>
        <v>MDP0000296691</v>
      </c>
      <c r="D14600">
        <v>26.08</v>
      </c>
      <c r="E14600">
        <v>299</v>
      </c>
      <c r="F14600">
        <v>221</v>
      </c>
      <c r="G14600">
        <v>59</v>
      </c>
      <c r="H14600">
        <v>6</v>
      </c>
      <c r="I14600">
        <v>291</v>
      </c>
      <c r="J14600">
        <v>1</v>
      </c>
      <c r="K14600">
        <v>421</v>
      </c>
      <c r="L14600">
        <v>673</v>
      </c>
      <c r="M14600">
        <v>1</v>
      </c>
      <c r="N14600">
        <v>3.5053399999999999E-18</v>
      </c>
      <c r="O14600">
        <v>221</v>
      </c>
    </row>
    <row r="14601" spans="1:15" x14ac:dyDescent="0.25">
      <c r="A14601" t="s">
        <v>14614</v>
      </c>
      <c r="B14601">
        <v>256</v>
      </c>
      <c r="C14601" s="1" t="str">
        <f>HYPERLINK("http://www.rosaceae.org/gb/gbrowse/malus_x_domestica/?name=MDP0000817710","MDP0000817710")</f>
        <v>MDP0000817710</v>
      </c>
      <c r="D14601">
        <v>65.11</v>
      </c>
      <c r="E14601">
        <v>43</v>
      </c>
      <c r="F14601">
        <v>15</v>
      </c>
      <c r="G14601">
        <v>0</v>
      </c>
      <c r="H14601">
        <v>214</v>
      </c>
      <c r="I14601">
        <v>256</v>
      </c>
      <c r="J14601">
        <v>1</v>
      </c>
      <c r="K14601">
        <v>325</v>
      </c>
      <c r="L14601">
        <v>367</v>
      </c>
      <c r="M14601">
        <v>1</v>
      </c>
      <c r="N14601">
        <v>1.09032E-10</v>
      </c>
      <c r="O14601">
        <v>155</v>
      </c>
    </row>
    <row r="14602" spans="1:15" x14ac:dyDescent="0.25">
      <c r="A14602" t="s">
        <v>14615</v>
      </c>
      <c r="B14602">
        <v>270</v>
      </c>
      <c r="C14602" s="1" t="str">
        <f>HYPERLINK("http://www.rosaceae.org/gb/gbrowse/malus_x_domestica/?name=MDP0000312830","MDP0000312830")</f>
        <v>MDP0000312830</v>
      </c>
      <c r="D14602">
        <v>31.54</v>
      </c>
      <c r="E14602">
        <v>317</v>
      </c>
      <c r="F14602">
        <v>217</v>
      </c>
      <c r="G14602">
        <v>128</v>
      </c>
      <c r="H14602">
        <v>14</v>
      </c>
      <c r="I14602">
        <v>208</v>
      </c>
      <c r="J14602">
        <v>1</v>
      </c>
      <c r="K14602">
        <v>13</v>
      </c>
      <c r="L14602">
        <v>323</v>
      </c>
      <c r="M14602">
        <v>1</v>
      </c>
      <c r="N14602">
        <v>2.24937E-22</v>
      </c>
      <c r="O14602">
        <v>256</v>
      </c>
    </row>
    <row r="14603" spans="1:15" x14ac:dyDescent="0.25">
      <c r="A14603" t="s">
        <v>14616</v>
      </c>
      <c r="B14603">
        <v>241</v>
      </c>
      <c r="C14603" s="1" t="str">
        <f>HYPERLINK("http://www.rosaceae.org/gb/gbrowse/malus_x_domestica/?name=MDP0000694976","MDP0000694976")</f>
        <v>MDP0000694976</v>
      </c>
      <c r="D14603">
        <v>38.96</v>
      </c>
      <c r="E14603">
        <v>290</v>
      </c>
      <c r="F14603">
        <v>177</v>
      </c>
      <c r="G14603">
        <v>78</v>
      </c>
      <c r="H14603">
        <v>1</v>
      </c>
      <c r="I14603">
        <v>219</v>
      </c>
      <c r="J14603">
        <v>1</v>
      </c>
      <c r="K14603">
        <v>1</v>
      </c>
      <c r="L14603">
        <v>283</v>
      </c>
      <c r="M14603">
        <v>1</v>
      </c>
      <c r="N14603">
        <v>1.6269399999999999E-34</v>
      </c>
      <c r="O14603">
        <v>360</v>
      </c>
    </row>
    <row r="14604" spans="1:15" x14ac:dyDescent="0.25">
      <c r="A14604" t="s">
        <v>14617</v>
      </c>
      <c r="B14604">
        <v>148</v>
      </c>
      <c r="C14604" s="1" t="str">
        <f>HYPERLINK("http://www.rosaceae.org/gb/gbrowse/malus_x_domestica/?name=MDP0000436345","MDP0000436345")</f>
        <v>MDP0000436345</v>
      </c>
      <c r="D14604">
        <v>74</v>
      </c>
      <c r="E14604">
        <v>150</v>
      </c>
      <c r="F14604">
        <v>39</v>
      </c>
      <c r="G14604">
        <v>11</v>
      </c>
      <c r="H14604">
        <v>3</v>
      </c>
      <c r="I14604">
        <v>145</v>
      </c>
      <c r="J14604">
        <v>1</v>
      </c>
      <c r="K14604">
        <v>2</v>
      </c>
      <c r="L14604">
        <v>147</v>
      </c>
      <c r="M14604">
        <v>1</v>
      </c>
      <c r="N14604">
        <v>1.5241800000000001E-54</v>
      </c>
      <c r="O14604">
        <v>530</v>
      </c>
    </row>
    <row r="14605" spans="1:15" x14ac:dyDescent="0.25">
      <c r="A14605" t="s">
        <v>14618</v>
      </c>
      <c r="B14605">
        <v>551</v>
      </c>
      <c r="C14605" s="1" t="str">
        <f>HYPERLINK("http://www.rosaceae.org/gb/gbrowse/malus_x_domestica/?name=MDP0000130813","MDP0000130813")</f>
        <v>MDP0000130813</v>
      </c>
      <c r="D14605">
        <v>69.83</v>
      </c>
      <c r="E14605">
        <v>557</v>
      </c>
      <c r="F14605">
        <v>168</v>
      </c>
      <c r="G14605">
        <v>23</v>
      </c>
      <c r="H14605">
        <v>13</v>
      </c>
      <c r="I14605">
        <v>551</v>
      </c>
      <c r="J14605">
        <v>1</v>
      </c>
      <c r="K14605">
        <v>6</v>
      </c>
      <c r="L14605">
        <v>557</v>
      </c>
      <c r="M14605">
        <v>1</v>
      </c>
      <c r="N14605">
        <v>0</v>
      </c>
      <c r="O14605">
        <v>1965</v>
      </c>
    </row>
    <row r="14606" spans="1:15" x14ac:dyDescent="0.25">
      <c r="A14606" t="s">
        <v>14619</v>
      </c>
      <c r="B14606">
        <v>188</v>
      </c>
      <c r="C14606" s="1" t="str">
        <f>HYPERLINK("http://www.rosaceae.org/gb/gbrowse/malus_x_domestica/?name=MDP0000702676","MDP0000702676")</f>
        <v>MDP0000702676</v>
      </c>
      <c r="D14606">
        <v>56.75</v>
      </c>
      <c r="E14606">
        <v>185</v>
      </c>
      <c r="F14606">
        <v>80</v>
      </c>
      <c r="G14606">
        <v>1</v>
      </c>
      <c r="H14606">
        <v>1</v>
      </c>
      <c r="I14606">
        <v>184</v>
      </c>
      <c r="J14606">
        <v>1</v>
      </c>
      <c r="K14606">
        <v>157</v>
      </c>
      <c r="L14606">
        <v>341</v>
      </c>
      <c r="M14606">
        <v>1</v>
      </c>
      <c r="N14606">
        <v>5.7954800000000002E-59</v>
      </c>
      <c r="O14606">
        <v>570</v>
      </c>
    </row>
    <row r="14607" spans="1:15" x14ac:dyDescent="0.25">
      <c r="A14607" t="s">
        <v>14620</v>
      </c>
      <c r="B14607">
        <v>317</v>
      </c>
      <c r="C14607" s="1" t="str">
        <f>HYPERLINK("http://www.rosaceae.org/gb/gbrowse/malus_x_domestica/?name=MDP0000164504","MDP0000164504")</f>
        <v>MDP0000164504</v>
      </c>
      <c r="D14607">
        <v>47.07</v>
      </c>
      <c r="E14607">
        <v>325</v>
      </c>
      <c r="F14607">
        <v>172</v>
      </c>
      <c r="G14607">
        <v>61</v>
      </c>
      <c r="H14607">
        <v>34</v>
      </c>
      <c r="I14607">
        <v>302</v>
      </c>
      <c r="J14607">
        <v>1</v>
      </c>
      <c r="K14607">
        <v>65</v>
      </c>
      <c r="L14607">
        <v>384</v>
      </c>
      <c r="M14607">
        <v>1</v>
      </c>
      <c r="N14607">
        <v>3.9580499999999999E-46</v>
      </c>
      <c r="O14607">
        <v>462</v>
      </c>
    </row>
    <row r="14608" spans="1:15" x14ac:dyDescent="0.25">
      <c r="A14608" t="s">
        <v>14621</v>
      </c>
      <c r="B14608">
        <v>326</v>
      </c>
      <c r="C14608" s="1" t="str">
        <f>HYPERLINK("http://www.rosaceae.org/gb/gbrowse/malus_x_domestica/?name=MDP0000500222","MDP0000500222")</f>
        <v>MDP0000500222</v>
      </c>
      <c r="D14608">
        <v>32.56</v>
      </c>
      <c r="E14608">
        <v>304</v>
      </c>
      <c r="F14608">
        <v>205</v>
      </c>
      <c r="G14608">
        <v>42</v>
      </c>
      <c r="H14608">
        <v>17</v>
      </c>
      <c r="I14608">
        <v>296</v>
      </c>
      <c r="J14608">
        <v>1</v>
      </c>
      <c r="K14608">
        <v>73</v>
      </c>
      <c r="L14608">
        <v>358</v>
      </c>
      <c r="M14608">
        <v>1</v>
      </c>
      <c r="N14608">
        <v>1.3764E-33</v>
      </c>
      <c r="O14608">
        <v>354</v>
      </c>
    </row>
    <row r="14609" spans="1:15" x14ac:dyDescent="0.25">
      <c r="A14609" t="s">
        <v>14622</v>
      </c>
      <c r="B14609">
        <v>434</v>
      </c>
      <c r="C14609" s="1" t="str">
        <f>HYPERLINK("http://www.rosaceae.org/gb/gbrowse/malus_x_domestica/?name=MDP0000179051","MDP0000179051")</f>
        <v>MDP0000179051</v>
      </c>
      <c r="D14609">
        <v>67.78</v>
      </c>
      <c r="E14609">
        <v>388</v>
      </c>
      <c r="F14609">
        <v>125</v>
      </c>
      <c r="G14609">
        <v>13</v>
      </c>
      <c r="H14609">
        <v>41</v>
      </c>
      <c r="I14609">
        <v>427</v>
      </c>
      <c r="J14609">
        <v>1</v>
      </c>
      <c r="K14609">
        <v>38</v>
      </c>
      <c r="L14609">
        <v>413</v>
      </c>
      <c r="M14609">
        <v>1</v>
      </c>
      <c r="N14609">
        <v>3.9677900000000002E-148</v>
      </c>
      <c r="O14609">
        <v>1343</v>
      </c>
    </row>
    <row r="14610" spans="1:15" x14ac:dyDescent="0.25">
      <c r="A14610" t="s">
        <v>14623</v>
      </c>
      <c r="B14610">
        <v>496</v>
      </c>
      <c r="C14610" s="1" t="str">
        <f>HYPERLINK("http://www.rosaceae.org/gb/gbrowse/malus_x_domestica/?name=MDP0000292896","MDP0000292896")</f>
        <v>MDP0000292896</v>
      </c>
      <c r="D14610">
        <v>59.5</v>
      </c>
      <c r="E14610">
        <v>489</v>
      </c>
      <c r="F14610">
        <v>198</v>
      </c>
      <c r="G14610">
        <v>1</v>
      </c>
      <c r="H14610">
        <v>6</v>
      </c>
      <c r="I14610">
        <v>493</v>
      </c>
      <c r="J14610">
        <v>1</v>
      </c>
      <c r="K14610">
        <v>4</v>
      </c>
      <c r="L14610">
        <v>492</v>
      </c>
      <c r="M14610">
        <v>1</v>
      </c>
      <c r="N14610">
        <v>1.23895E-169</v>
      </c>
      <c r="O14610">
        <v>1529</v>
      </c>
    </row>
    <row r="14611" spans="1:15" x14ac:dyDescent="0.25">
      <c r="A14611" t="s">
        <v>14624</v>
      </c>
      <c r="B14611">
        <v>784</v>
      </c>
      <c r="C14611" s="1" t="str">
        <f>HYPERLINK("http://www.rosaceae.org/gb/gbrowse/malus_x_domestica/?name=MDP0000205111","MDP0000205111")</f>
        <v>MDP0000205111</v>
      </c>
      <c r="D14611">
        <v>46.15</v>
      </c>
      <c r="E14611">
        <v>78</v>
      </c>
      <c r="F14611">
        <v>42</v>
      </c>
      <c r="G14611">
        <v>7</v>
      </c>
      <c r="H14611">
        <v>401</v>
      </c>
      <c r="I14611">
        <v>471</v>
      </c>
      <c r="J14611">
        <v>1</v>
      </c>
      <c r="K14611">
        <v>331</v>
      </c>
      <c r="L14611">
        <v>408</v>
      </c>
      <c r="M14611">
        <v>1</v>
      </c>
      <c r="N14611">
        <v>2.5646499999999998E-9</v>
      </c>
      <c r="O14611">
        <v>149</v>
      </c>
    </row>
    <row r="14612" spans="1:15" x14ac:dyDescent="0.25">
      <c r="A14612" t="s">
        <v>14625</v>
      </c>
      <c r="B14612">
        <v>330</v>
      </c>
      <c r="C14612" s="1" t="str">
        <f>HYPERLINK("http://www.rosaceae.org/gb/gbrowse/malus_x_domestica/?name=MDP0000308097","MDP0000308097")</f>
        <v>MDP0000308097</v>
      </c>
      <c r="D14612">
        <v>75.83</v>
      </c>
      <c r="E14612">
        <v>240</v>
      </c>
      <c r="F14612">
        <v>58</v>
      </c>
      <c r="G14612">
        <v>1</v>
      </c>
      <c r="H14612">
        <v>28</v>
      </c>
      <c r="I14612">
        <v>267</v>
      </c>
      <c r="J14612">
        <v>1</v>
      </c>
      <c r="K14612">
        <v>137</v>
      </c>
      <c r="L14612">
        <v>375</v>
      </c>
      <c r="M14612">
        <v>1</v>
      </c>
      <c r="N14612">
        <v>1.9662099999999998E-102</v>
      </c>
      <c r="O14612">
        <v>948</v>
      </c>
    </row>
    <row r="14613" spans="1:15" x14ac:dyDescent="0.25">
      <c r="A14613" t="s">
        <v>14626</v>
      </c>
      <c r="B14613">
        <v>520</v>
      </c>
      <c r="C14613" s="1" t="str">
        <f>HYPERLINK("http://www.rosaceae.org/gb/gbrowse/malus_x_domestica/?name=MDP0000260362","MDP0000260362")</f>
        <v>MDP0000260362</v>
      </c>
      <c r="D14613">
        <v>71.42</v>
      </c>
      <c r="E14613">
        <v>483</v>
      </c>
      <c r="F14613">
        <v>138</v>
      </c>
      <c r="G14613">
        <v>7</v>
      </c>
      <c r="H14613">
        <v>43</v>
      </c>
      <c r="I14613">
        <v>520</v>
      </c>
      <c r="J14613">
        <v>1</v>
      </c>
      <c r="K14613">
        <v>25</v>
      </c>
      <c r="L14613">
        <v>505</v>
      </c>
      <c r="M14613">
        <v>1</v>
      </c>
      <c r="N14613">
        <v>0</v>
      </c>
      <c r="O14613">
        <v>1861</v>
      </c>
    </row>
    <row r="14614" spans="1:15" x14ac:dyDescent="0.25">
      <c r="A14614" t="s">
        <v>14627</v>
      </c>
      <c r="B14614">
        <v>562</v>
      </c>
      <c r="C14614" s="1" t="str">
        <f>HYPERLINK("http://www.rosaceae.org/gb/gbrowse/malus_x_domestica/?name=MDP0000200105","MDP0000200105")</f>
        <v>MDP0000200105</v>
      </c>
      <c r="D14614">
        <v>82.97</v>
      </c>
      <c r="E14614">
        <v>282</v>
      </c>
      <c r="F14614">
        <v>48</v>
      </c>
      <c r="G14614">
        <v>2</v>
      </c>
      <c r="H14614">
        <v>270</v>
      </c>
      <c r="I14614">
        <v>550</v>
      </c>
      <c r="J14614">
        <v>1</v>
      </c>
      <c r="K14614">
        <v>500</v>
      </c>
      <c r="L14614">
        <v>780</v>
      </c>
      <c r="M14614">
        <v>1</v>
      </c>
      <c r="N14614">
        <v>4.2330799999999999E-136</v>
      </c>
      <c r="O14614">
        <v>1241</v>
      </c>
    </row>
    <row r="14615" spans="1:15" x14ac:dyDescent="0.25">
      <c r="A14615" t="s">
        <v>14628</v>
      </c>
      <c r="B14615">
        <v>238</v>
      </c>
      <c r="C14615" s="1" t="str">
        <f>HYPERLINK("http://www.rosaceae.org/gb/gbrowse/malus_x_domestica/?name=MDP0000128733","MDP0000128733")</f>
        <v>MDP0000128733</v>
      </c>
      <c r="D14615">
        <v>72.680000000000007</v>
      </c>
      <c r="E14615">
        <v>205</v>
      </c>
      <c r="F14615">
        <v>56</v>
      </c>
      <c r="G14615">
        <v>0</v>
      </c>
      <c r="H14615">
        <v>32</v>
      </c>
      <c r="I14615">
        <v>236</v>
      </c>
      <c r="J14615">
        <v>1</v>
      </c>
      <c r="K14615">
        <v>318</v>
      </c>
      <c r="L14615">
        <v>522</v>
      </c>
      <c r="M14615">
        <v>1</v>
      </c>
      <c r="N14615">
        <v>1.9685E-88</v>
      </c>
      <c r="O14615">
        <v>825</v>
      </c>
    </row>
    <row r="14616" spans="1:15" x14ac:dyDescent="0.25">
      <c r="A14616" t="s">
        <v>14629</v>
      </c>
      <c r="B14616">
        <v>271</v>
      </c>
      <c r="C14616" s="1" t="str">
        <f>HYPERLINK("http://www.rosaceae.org/gb/gbrowse/malus_x_domestica/?name=MDP0000255134","MDP0000255134")</f>
        <v>MDP0000255134</v>
      </c>
      <c r="D14616">
        <v>31.25</v>
      </c>
      <c r="E14616">
        <v>128</v>
      </c>
      <c r="F14616">
        <v>88</v>
      </c>
      <c r="G14616">
        <v>21</v>
      </c>
      <c r="H14616">
        <v>1</v>
      </c>
      <c r="I14616">
        <v>121</v>
      </c>
      <c r="J14616">
        <v>1</v>
      </c>
      <c r="K14616">
        <v>30</v>
      </c>
      <c r="L14616">
        <v>143</v>
      </c>
      <c r="M14616">
        <v>1</v>
      </c>
      <c r="N14616">
        <v>3.5641199999999999E-9</v>
      </c>
      <c r="O14616">
        <v>143</v>
      </c>
    </row>
    <row r="14617" spans="1:15" x14ac:dyDescent="0.25">
      <c r="A14617" t="s">
        <v>14630</v>
      </c>
      <c r="B14617">
        <v>845</v>
      </c>
      <c r="C14617" s="1" t="str">
        <f>HYPERLINK("http://www.rosaceae.org/gb/gbrowse/malus_x_domestica/?name=MDP0000874507","MDP0000874507")</f>
        <v>MDP0000874507</v>
      </c>
      <c r="D14617">
        <v>52.02</v>
      </c>
      <c r="E14617">
        <v>690</v>
      </c>
      <c r="F14617">
        <v>331</v>
      </c>
      <c r="G14617">
        <v>85</v>
      </c>
      <c r="H14617">
        <v>199</v>
      </c>
      <c r="I14617">
        <v>806</v>
      </c>
      <c r="J14617">
        <v>1</v>
      </c>
      <c r="K14617">
        <v>393</v>
      </c>
      <c r="L14617">
        <v>1079</v>
      </c>
      <c r="M14617">
        <v>1</v>
      </c>
      <c r="N14617">
        <v>2.6541800000000003E-172</v>
      </c>
      <c r="O14617">
        <v>1555</v>
      </c>
    </row>
    <row r="14618" spans="1:15" x14ac:dyDescent="0.25">
      <c r="A14618" t="s">
        <v>14631</v>
      </c>
      <c r="B14618">
        <v>137</v>
      </c>
      <c r="C14618" s="1" t="str">
        <f>HYPERLINK("http://www.rosaceae.org/gb/gbrowse/malus_x_domestica/?name=MDP0000296002","MDP0000296002")</f>
        <v>MDP0000296002</v>
      </c>
      <c r="D14618">
        <v>67.27</v>
      </c>
      <c r="E14618">
        <v>55</v>
      </c>
      <c r="F14618">
        <v>18</v>
      </c>
      <c r="G14618">
        <v>0</v>
      </c>
      <c r="H14618">
        <v>58</v>
      </c>
      <c r="I14618">
        <v>112</v>
      </c>
      <c r="J14618">
        <v>1</v>
      </c>
      <c r="K14618">
        <v>25</v>
      </c>
      <c r="L14618">
        <v>79</v>
      </c>
      <c r="M14618">
        <v>1</v>
      </c>
      <c r="N14618">
        <v>7.2146900000000005E-16</v>
      </c>
      <c r="O14618">
        <v>195</v>
      </c>
    </row>
    <row r="14619" spans="1:15" x14ac:dyDescent="0.25">
      <c r="A14619" t="s">
        <v>14632</v>
      </c>
      <c r="B14619">
        <v>96</v>
      </c>
      <c r="C14619" s="1" t="str">
        <f>HYPERLINK("http://www.rosaceae.org/gb/gbrowse/malus_x_domestica/?name=MDP0000583070","MDP0000583070")</f>
        <v>MDP0000583070</v>
      </c>
      <c r="D14619">
        <v>96.96</v>
      </c>
      <c r="E14619">
        <v>66</v>
      </c>
      <c r="F14619">
        <v>2</v>
      </c>
      <c r="G14619">
        <v>0</v>
      </c>
      <c r="H14619">
        <v>2</v>
      </c>
      <c r="I14619">
        <v>67</v>
      </c>
      <c r="J14619">
        <v>1</v>
      </c>
      <c r="K14619">
        <v>23</v>
      </c>
      <c r="L14619">
        <v>88</v>
      </c>
      <c r="M14619">
        <v>1</v>
      </c>
      <c r="N14619">
        <v>8.5563500000000006E-33</v>
      </c>
      <c r="O14619">
        <v>340</v>
      </c>
    </row>
    <row r="14620" spans="1:15" x14ac:dyDescent="0.25">
      <c r="A14620" t="s">
        <v>14633</v>
      </c>
      <c r="B14620">
        <v>278</v>
      </c>
      <c r="C14620" s="1" t="str">
        <f>HYPERLINK("http://www.rosaceae.org/gb/gbrowse/malus_x_domestica/?name=MDP0000293774","MDP0000293774")</f>
        <v>MDP0000293774</v>
      </c>
      <c r="D14620">
        <v>28.22</v>
      </c>
      <c r="E14620">
        <v>248</v>
      </c>
      <c r="F14620">
        <v>178</v>
      </c>
      <c r="G14620">
        <v>33</v>
      </c>
      <c r="H14620">
        <v>11</v>
      </c>
      <c r="I14620">
        <v>234</v>
      </c>
      <c r="J14620">
        <v>1</v>
      </c>
      <c r="K14620">
        <v>24</v>
      </c>
      <c r="L14620">
        <v>262</v>
      </c>
      <c r="M14620">
        <v>1</v>
      </c>
      <c r="N14620">
        <v>4.1262199999999999E-18</v>
      </c>
      <c r="O14620">
        <v>220</v>
      </c>
    </row>
    <row r="14621" spans="1:15" x14ac:dyDescent="0.25">
      <c r="A14621" t="s">
        <v>14634</v>
      </c>
      <c r="B14621">
        <v>688</v>
      </c>
      <c r="C14621" s="1" t="str">
        <f>HYPERLINK("http://www.rosaceae.org/gb/gbrowse/malus_x_domestica/?name=MDP0000310682","MDP0000310682")</f>
        <v>MDP0000310682</v>
      </c>
      <c r="D14621">
        <v>85.77</v>
      </c>
      <c r="E14621">
        <v>689</v>
      </c>
      <c r="F14621">
        <v>98</v>
      </c>
      <c r="G14621">
        <v>1</v>
      </c>
      <c r="H14621">
        <v>1</v>
      </c>
      <c r="I14621">
        <v>688</v>
      </c>
      <c r="J14621">
        <v>1</v>
      </c>
      <c r="K14621">
        <v>4</v>
      </c>
      <c r="L14621">
        <v>692</v>
      </c>
      <c r="M14621">
        <v>1</v>
      </c>
      <c r="N14621">
        <v>0</v>
      </c>
      <c r="O14621">
        <v>3236</v>
      </c>
    </row>
    <row r="14622" spans="1:15" x14ac:dyDescent="0.25">
      <c r="A14622" t="s">
        <v>14635</v>
      </c>
      <c r="B14622">
        <v>161</v>
      </c>
      <c r="C14622" s="1" t="str">
        <f>HYPERLINK("http://www.rosaceae.org/gb/gbrowse/malus_x_domestica/?name=MDP0000557134","MDP0000557134")</f>
        <v>MDP0000557134</v>
      </c>
      <c r="D14622">
        <v>67.64</v>
      </c>
      <c r="E14622">
        <v>68</v>
      </c>
      <c r="F14622">
        <v>22</v>
      </c>
      <c r="G14622">
        <v>0</v>
      </c>
      <c r="H14622">
        <v>82</v>
      </c>
      <c r="I14622">
        <v>149</v>
      </c>
      <c r="J14622">
        <v>1</v>
      </c>
      <c r="K14622">
        <v>190</v>
      </c>
      <c r="L14622">
        <v>257</v>
      </c>
      <c r="M14622">
        <v>1</v>
      </c>
      <c r="N14622">
        <v>1.09898E-20</v>
      </c>
      <c r="O14622">
        <v>238</v>
      </c>
    </row>
    <row r="14623" spans="1:15" x14ac:dyDescent="0.25">
      <c r="A14623" t="s">
        <v>14636</v>
      </c>
      <c r="B14623">
        <v>114</v>
      </c>
      <c r="C14623" s="1" t="str">
        <f>HYPERLINK("http://www.rosaceae.org/gb/gbrowse/malus_x_domestica/?name=MDP0000286444","MDP0000286444")</f>
        <v>MDP0000286444</v>
      </c>
      <c r="D14623">
        <v>44.33</v>
      </c>
      <c r="E14623">
        <v>106</v>
      </c>
      <c r="F14623">
        <v>59</v>
      </c>
      <c r="G14623">
        <v>5</v>
      </c>
      <c r="H14623">
        <v>9</v>
      </c>
      <c r="I14623">
        <v>114</v>
      </c>
      <c r="J14623">
        <v>1</v>
      </c>
      <c r="K14623">
        <v>972</v>
      </c>
      <c r="L14623">
        <v>1072</v>
      </c>
      <c r="M14623">
        <v>1</v>
      </c>
      <c r="N14623">
        <v>1.4569900000000001E-18</v>
      </c>
      <c r="O14623">
        <v>218</v>
      </c>
    </row>
    <row r="14624" spans="1:15" x14ac:dyDescent="0.25">
      <c r="A14624" t="s">
        <v>14637</v>
      </c>
      <c r="B14624">
        <v>389</v>
      </c>
      <c r="C14624" s="1" t="str">
        <f>HYPERLINK("http://www.rosaceae.org/gb/gbrowse/malus_x_domestica/?name=MDP0000269628","MDP0000269628")</f>
        <v>MDP0000269628</v>
      </c>
      <c r="D14624">
        <v>82.56</v>
      </c>
      <c r="E14624">
        <v>390</v>
      </c>
      <c r="F14624">
        <v>68</v>
      </c>
      <c r="G14624">
        <v>3</v>
      </c>
      <c r="H14624">
        <v>1</v>
      </c>
      <c r="I14624">
        <v>389</v>
      </c>
      <c r="J14624">
        <v>1</v>
      </c>
      <c r="K14624">
        <v>1</v>
      </c>
      <c r="L14624">
        <v>388</v>
      </c>
      <c r="M14624">
        <v>1</v>
      </c>
      <c r="N14624">
        <v>0</v>
      </c>
      <c r="O14624">
        <v>1646</v>
      </c>
    </row>
    <row r="14625" spans="1:15" x14ac:dyDescent="0.25">
      <c r="A14625" t="s">
        <v>14638</v>
      </c>
      <c r="B14625">
        <v>407</v>
      </c>
      <c r="C14625" s="1" t="str">
        <f>HYPERLINK("http://www.rosaceae.org/gb/gbrowse/malus_x_domestica/?name=MDP0000320295","MDP0000320295")</f>
        <v>MDP0000320295</v>
      </c>
      <c r="D14625">
        <v>90.1</v>
      </c>
      <c r="E14625">
        <v>394</v>
      </c>
      <c r="F14625">
        <v>39</v>
      </c>
      <c r="G14625">
        <v>1</v>
      </c>
      <c r="H14625">
        <v>1</v>
      </c>
      <c r="I14625">
        <v>394</v>
      </c>
      <c r="J14625">
        <v>1</v>
      </c>
      <c r="K14625">
        <v>1</v>
      </c>
      <c r="L14625">
        <v>393</v>
      </c>
      <c r="M14625">
        <v>1</v>
      </c>
      <c r="N14625">
        <v>0</v>
      </c>
      <c r="O14625">
        <v>1922</v>
      </c>
    </row>
    <row r="14626" spans="1:15" x14ac:dyDescent="0.25">
      <c r="A14626" t="s">
        <v>14639</v>
      </c>
      <c r="B14626">
        <v>231</v>
      </c>
      <c r="C14626" s="1" t="str">
        <f>HYPERLINK("http://www.rosaceae.org/gb/gbrowse/malus_x_domestica/?name=MDP0000805696","MDP0000805696")</f>
        <v>MDP0000805696</v>
      </c>
      <c r="D14626">
        <v>70.23</v>
      </c>
      <c r="E14626">
        <v>84</v>
      </c>
      <c r="F14626">
        <v>25</v>
      </c>
      <c r="G14626">
        <v>2</v>
      </c>
      <c r="H14626">
        <v>150</v>
      </c>
      <c r="I14626">
        <v>231</v>
      </c>
      <c r="J14626">
        <v>1</v>
      </c>
      <c r="K14626">
        <v>19</v>
      </c>
      <c r="L14626">
        <v>102</v>
      </c>
      <c r="M14626">
        <v>1</v>
      </c>
      <c r="N14626">
        <v>4.7267400000000002E-24</v>
      </c>
      <c r="O14626">
        <v>270</v>
      </c>
    </row>
    <row r="14627" spans="1:15" x14ac:dyDescent="0.25">
      <c r="A14627" t="s">
        <v>14640</v>
      </c>
      <c r="B14627">
        <v>385</v>
      </c>
      <c r="C14627" s="1" t="str">
        <f>HYPERLINK("http://www.rosaceae.org/gb/gbrowse/malus_x_domestica/?name=MDP0000150055","MDP0000150055")</f>
        <v>MDP0000150055</v>
      </c>
      <c r="D14627">
        <v>47.21</v>
      </c>
      <c r="E14627">
        <v>377</v>
      </c>
      <c r="F14627">
        <v>199</v>
      </c>
      <c r="G14627">
        <v>37</v>
      </c>
      <c r="H14627">
        <v>21</v>
      </c>
      <c r="I14627">
        <v>385</v>
      </c>
      <c r="J14627">
        <v>1</v>
      </c>
      <c r="K14627">
        <v>15</v>
      </c>
      <c r="L14627">
        <v>366</v>
      </c>
      <c r="M14627">
        <v>1</v>
      </c>
      <c r="N14627">
        <v>4.1831499999999998E-66</v>
      </c>
      <c r="O14627">
        <v>635</v>
      </c>
    </row>
    <row r="14628" spans="1:15" x14ac:dyDescent="0.25">
      <c r="A14628" t="s">
        <v>14641</v>
      </c>
      <c r="B14628">
        <v>426</v>
      </c>
      <c r="C14628" s="1" t="str">
        <f>HYPERLINK("http://www.rosaceae.org/gb/gbrowse/malus_x_domestica/?name=MDP0000188994","MDP0000188994")</f>
        <v>MDP0000188994</v>
      </c>
      <c r="D14628">
        <v>71.319999999999993</v>
      </c>
      <c r="E14628">
        <v>401</v>
      </c>
      <c r="F14628">
        <v>115</v>
      </c>
      <c r="G14628">
        <v>1</v>
      </c>
      <c r="H14628">
        <v>24</v>
      </c>
      <c r="I14628">
        <v>423</v>
      </c>
      <c r="J14628">
        <v>1</v>
      </c>
      <c r="K14628">
        <v>12</v>
      </c>
      <c r="L14628">
        <v>412</v>
      </c>
      <c r="M14628">
        <v>1</v>
      </c>
      <c r="N14628">
        <v>1.57607E-168</v>
      </c>
      <c r="O14628">
        <v>1519</v>
      </c>
    </row>
    <row r="14629" spans="1:15" x14ac:dyDescent="0.25">
      <c r="A14629" t="s">
        <v>14642</v>
      </c>
      <c r="B14629">
        <v>1064</v>
      </c>
      <c r="C14629" s="1" t="str">
        <f>HYPERLINK("http://www.rosaceae.org/gb/gbrowse/malus_x_domestica/?name=MDP0000282326","MDP0000282326")</f>
        <v>MDP0000282326</v>
      </c>
      <c r="D14629">
        <v>53</v>
      </c>
      <c r="E14629">
        <v>549</v>
      </c>
      <c r="F14629">
        <v>258</v>
      </c>
      <c r="G14629">
        <v>69</v>
      </c>
      <c r="H14629">
        <v>73</v>
      </c>
      <c r="I14629">
        <v>569</v>
      </c>
      <c r="J14629">
        <v>1</v>
      </c>
      <c r="K14629">
        <v>1</v>
      </c>
      <c r="L14629">
        <v>532</v>
      </c>
      <c r="M14629">
        <v>1</v>
      </c>
      <c r="N14629">
        <v>3.8092600000000002E-139</v>
      </c>
      <c r="O14629">
        <v>1270</v>
      </c>
    </row>
    <row r="14630" spans="1:15" x14ac:dyDescent="0.25">
      <c r="A14630" t="s">
        <v>14643</v>
      </c>
      <c r="B14630">
        <v>394</v>
      </c>
      <c r="C14630" s="1" t="str">
        <f>HYPERLINK("http://www.rosaceae.org/gb/gbrowse/malus_x_domestica/?name=MDP0000507227","MDP0000507227")</f>
        <v>MDP0000507227</v>
      </c>
      <c r="D14630">
        <v>84.06</v>
      </c>
      <c r="E14630">
        <v>389</v>
      </c>
      <c r="F14630">
        <v>62</v>
      </c>
      <c r="G14630">
        <v>13</v>
      </c>
      <c r="H14630">
        <v>1</v>
      </c>
      <c r="I14630">
        <v>389</v>
      </c>
      <c r="J14630">
        <v>1</v>
      </c>
      <c r="K14630">
        <v>195</v>
      </c>
      <c r="L14630">
        <v>570</v>
      </c>
      <c r="M14630">
        <v>1</v>
      </c>
      <c r="N14630">
        <v>0</v>
      </c>
      <c r="O14630">
        <v>1726</v>
      </c>
    </row>
    <row r="14631" spans="1:15" x14ac:dyDescent="0.25">
      <c r="A14631" t="s">
        <v>14644</v>
      </c>
      <c r="B14631">
        <v>110</v>
      </c>
      <c r="C14631" s="1" t="str">
        <f>HYPERLINK("http://www.rosaceae.org/gb/gbrowse/malus_x_domestica/?name=MDP0000129532","MDP0000129532")</f>
        <v>MDP0000129532</v>
      </c>
      <c r="D14631">
        <v>79.8</v>
      </c>
      <c r="E14631">
        <v>104</v>
      </c>
      <c r="F14631">
        <v>21</v>
      </c>
      <c r="G14631">
        <v>0</v>
      </c>
      <c r="H14631">
        <v>2</v>
      </c>
      <c r="I14631">
        <v>105</v>
      </c>
      <c r="J14631">
        <v>1</v>
      </c>
      <c r="K14631">
        <v>192</v>
      </c>
      <c r="L14631">
        <v>295</v>
      </c>
      <c r="M14631">
        <v>1</v>
      </c>
      <c r="N14631">
        <v>1.9416799999999999E-47</v>
      </c>
      <c r="O14631">
        <v>466</v>
      </c>
    </row>
    <row r="14632" spans="1:15" x14ac:dyDescent="0.25">
      <c r="A14632" t="s">
        <v>14645</v>
      </c>
      <c r="B14632">
        <v>196</v>
      </c>
      <c r="C14632" s="1" t="str">
        <f>HYPERLINK("http://www.rosaceae.org/gb/gbrowse/malus_x_domestica/?name=MDP0000872167","MDP0000872167")</f>
        <v>MDP0000872167</v>
      </c>
      <c r="D14632">
        <v>38.51</v>
      </c>
      <c r="E14632">
        <v>148</v>
      </c>
      <c r="F14632">
        <v>91</v>
      </c>
      <c r="G14632">
        <v>10</v>
      </c>
      <c r="H14632">
        <v>48</v>
      </c>
      <c r="I14632">
        <v>193</v>
      </c>
      <c r="J14632">
        <v>1</v>
      </c>
      <c r="K14632">
        <v>118</v>
      </c>
      <c r="L14632">
        <v>257</v>
      </c>
      <c r="M14632">
        <v>1</v>
      </c>
      <c r="N14632">
        <v>7.1959299999999998E-16</v>
      </c>
      <c r="O14632">
        <v>198</v>
      </c>
    </row>
    <row r="14633" spans="1:15" x14ac:dyDescent="0.25">
      <c r="A14633" t="s">
        <v>14646</v>
      </c>
      <c r="B14633">
        <v>124</v>
      </c>
      <c r="C14633" s="1" t="str">
        <f>HYPERLINK("http://www.rosaceae.org/gb/gbrowse/malus_x_domestica/?name=MDP0000306392","MDP0000306392")</f>
        <v>MDP0000306392</v>
      </c>
      <c r="D14633">
        <v>76.05</v>
      </c>
      <c r="E14633">
        <v>71</v>
      </c>
      <c r="F14633">
        <v>17</v>
      </c>
      <c r="G14633">
        <v>1</v>
      </c>
      <c r="H14633">
        <v>53</v>
      </c>
      <c r="I14633">
        <v>123</v>
      </c>
      <c r="J14633">
        <v>1</v>
      </c>
      <c r="K14633">
        <v>21</v>
      </c>
      <c r="L14633">
        <v>90</v>
      </c>
      <c r="M14633">
        <v>1</v>
      </c>
      <c r="N14633">
        <v>6.4144699999999994E-26</v>
      </c>
      <c r="O14633">
        <v>281</v>
      </c>
    </row>
    <row r="14634" spans="1:15" x14ac:dyDescent="0.25">
      <c r="A14634" t="s">
        <v>14647</v>
      </c>
      <c r="B14634">
        <v>335</v>
      </c>
      <c r="C14634" s="1" t="str">
        <f>HYPERLINK("http://www.rosaceae.org/gb/gbrowse/malus_x_domestica/?name=MDP0000299496","MDP0000299496")</f>
        <v>MDP0000299496</v>
      </c>
      <c r="D14634">
        <v>35.97</v>
      </c>
      <c r="E14634">
        <v>139</v>
      </c>
      <c r="F14634">
        <v>89</v>
      </c>
      <c r="G14634">
        <v>39</v>
      </c>
      <c r="H14634">
        <v>112</v>
      </c>
      <c r="I14634">
        <v>211</v>
      </c>
      <c r="J14634">
        <v>1</v>
      </c>
      <c r="K14634">
        <v>465</v>
      </c>
      <c r="L14634">
        <v>603</v>
      </c>
      <c r="M14634">
        <v>1</v>
      </c>
      <c r="N14634">
        <v>4.0817600000000004E-18</v>
      </c>
      <c r="O14634">
        <v>221</v>
      </c>
    </row>
    <row r="14635" spans="1:15" x14ac:dyDescent="0.25">
      <c r="A14635" t="s">
        <v>14648</v>
      </c>
      <c r="B14635">
        <v>472</v>
      </c>
      <c r="C14635" s="1" t="str">
        <f>HYPERLINK("http://www.rosaceae.org/gb/gbrowse/malus_x_domestica/?name=MDP0000303658","MDP0000303658")</f>
        <v>MDP0000303658</v>
      </c>
      <c r="D14635">
        <v>39.03</v>
      </c>
      <c r="E14635">
        <v>310</v>
      </c>
      <c r="F14635">
        <v>189</v>
      </c>
      <c r="G14635">
        <v>52</v>
      </c>
      <c r="H14635">
        <v>84</v>
      </c>
      <c r="I14635">
        <v>391</v>
      </c>
      <c r="J14635">
        <v>1</v>
      </c>
      <c r="K14635">
        <v>87</v>
      </c>
      <c r="L14635">
        <v>346</v>
      </c>
      <c r="M14635">
        <v>1</v>
      </c>
      <c r="N14635">
        <v>2.1923999999999998E-46</v>
      </c>
      <c r="O14635">
        <v>466</v>
      </c>
    </row>
    <row r="14636" spans="1:15" x14ac:dyDescent="0.25">
      <c r="A14636" t="s">
        <v>14649</v>
      </c>
      <c r="B14636">
        <v>558</v>
      </c>
      <c r="C14636" s="1" t="str">
        <f>HYPERLINK("http://www.rosaceae.org/gb/gbrowse/malus_x_domestica/?name=MDP0000134649","MDP0000134649")</f>
        <v>MDP0000134649</v>
      </c>
      <c r="D14636">
        <v>54.65</v>
      </c>
      <c r="E14636">
        <v>580</v>
      </c>
      <c r="F14636">
        <v>263</v>
      </c>
      <c r="G14636">
        <v>73</v>
      </c>
      <c r="H14636">
        <v>8</v>
      </c>
      <c r="I14636">
        <v>542</v>
      </c>
      <c r="J14636">
        <v>1</v>
      </c>
      <c r="K14636">
        <v>5</v>
      </c>
      <c r="L14636">
        <v>556</v>
      </c>
      <c r="M14636">
        <v>1</v>
      </c>
      <c r="N14636">
        <v>8.8110799999999995E-167</v>
      </c>
      <c r="O14636">
        <v>1505</v>
      </c>
    </row>
    <row r="14637" spans="1:15" x14ac:dyDescent="0.25">
      <c r="A14637" t="s">
        <v>14650</v>
      </c>
      <c r="B14637">
        <v>267</v>
      </c>
      <c r="C14637" s="1" t="str">
        <f>HYPERLINK("http://www.rosaceae.org/gb/gbrowse/malus_x_domestica/?name=MDP0000506266","MDP0000506266")</f>
        <v>MDP0000506266</v>
      </c>
      <c r="D14637">
        <v>39.39</v>
      </c>
      <c r="E14637">
        <v>264</v>
      </c>
      <c r="F14637">
        <v>160</v>
      </c>
      <c r="G14637">
        <v>48</v>
      </c>
      <c r="H14637">
        <v>6</v>
      </c>
      <c r="I14637">
        <v>265</v>
      </c>
      <c r="J14637">
        <v>1</v>
      </c>
      <c r="K14637">
        <v>8</v>
      </c>
      <c r="L14637">
        <v>227</v>
      </c>
      <c r="M14637">
        <v>1</v>
      </c>
      <c r="N14637">
        <v>2.1632199999999998E-37</v>
      </c>
      <c r="O14637">
        <v>386</v>
      </c>
    </row>
    <row r="14638" spans="1:15" x14ac:dyDescent="0.25">
      <c r="A14638" t="s">
        <v>14651</v>
      </c>
      <c r="B14638">
        <v>931</v>
      </c>
      <c r="C14638" s="1" t="str">
        <f>HYPERLINK("http://www.rosaceae.org/gb/gbrowse/malus_x_domestica/?name=MDP0000232699","MDP0000232699")</f>
        <v>MDP0000232699</v>
      </c>
      <c r="D14638">
        <v>50</v>
      </c>
      <c r="E14638">
        <v>888</v>
      </c>
      <c r="F14638">
        <v>444</v>
      </c>
      <c r="G14638">
        <v>82</v>
      </c>
      <c r="H14638">
        <v>3</v>
      </c>
      <c r="I14638">
        <v>883</v>
      </c>
      <c r="J14638">
        <v>1</v>
      </c>
      <c r="K14638">
        <v>101</v>
      </c>
      <c r="L14638">
        <v>913</v>
      </c>
      <c r="M14638">
        <v>1</v>
      </c>
      <c r="N14638">
        <v>0</v>
      </c>
      <c r="O14638">
        <v>2147</v>
      </c>
    </row>
    <row r="14639" spans="1:15" x14ac:dyDescent="0.25">
      <c r="A14639" t="s">
        <v>14652</v>
      </c>
      <c r="B14639">
        <v>355</v>
      </c>
      <c r="C14639" s="1" t="str">
        <f>HYPERLINK("http://www.rosaceae.org/gb/gbrowse/malus_x_domestica/?name=MDP0000282390","MDP0000282390")</f>
        <v>MDP0000282390</v>
      </c>
      <c r="D14639">
        <v>80.06</v>
      </c>
      <c r="E14639">
        <v>331</v>
      </c>
      <c r="F14639">
        <v>66</v>
      </c>
      <c r="G14639">
        <v>4</v>
      </c>
      <c r="H14639">
        <v>27</v>
      </c>
      <c r="I14639">
        <v>355</v>
      </c>
      <c r="J14639">
        <v>1</v>
      </c>
      <c r="K14639">
        <v>26</v>
      </c>
      <c r="L14639">
        <v>354</v>
      </c>
      <c r="M14639">
        <v>1</v>
      </c>
      <c r="N14639">
        <v>1.9300000000000001E-156</v>
      </c>
      <c r="O14639">
        <v>1414</v>
      </c>
    </row>
    <row r="14640" spans="1:15" x14ac:dyDescent="0.25">
      <c r="A14640" t="s">
        <v>14653</v>
      </c>
      <c r="B14640">
        <v>233</v>
      </c>
      <c r="C14640" s="1" t="str">
        <f>HYPERLINK("http://www.rosaceae.org/gb/gbrowse/malus_x_domestica/?name=MDP0000698897","MDP0000698897")</f>
        <v>MDP0000698897</v>
      </c>
      <c r="D14640">
        <v>43.33</v>
      </c>
      <c r="E14640">
        <v>60</v>
      </c>
      <c r="F14640">
        <v>34</v>
      </c>
      <c r="G14640">
        <v>1</v>
      </c>
      <c r="H14640">
        <v>167</v>
      </c>
      <c r="I14640">
        <v>225</v>
      </c>
      <c r="J14640">
        <v>1</v>
      </c>
      <c r="K14640">
        <v>107</v>
      </c>
      <c r="L14640">
        <v>166</v>
      </c>
      <c r="M14640">
        <v>1</v>
      </c>
      <c r="N14640">
        <v>7.1341500000000002E-9</v>
      </c>
      <c r="O14640">
        <v>139</v>
      </c>
    </row>
    <row r="14641" spans="1:15" x14ac:dyDescent="0.25">
      <c r="A14641" t="s">
        <v>14654</v>
      </c>
      <c r="B14641">
        <v>555</v>
      </c>
      <c r="C14641" s="1" t="str">
        <f>HYPERLINK("http://www.rosaceae.org/gb/gbrowse/malus_x_domestica/?name=MDP0000551940","MDP0000551940")</f>
        <v>MDP0000551940</v>
      </c>
      <c r="D14641">
        <v>27.53</v>
      </c>
      <c r="E14641">
        <v>581</v>
      </c>
      <c r="F14641">
        <v>421</v>
      </c>
      <c r="G14641">
        <v>62</v>
      </c>
      <c r="H14641">
        <v>1</v>
      </c>
      <c r="I14641">
        <v>552</v>
      </c>
      <c r="J14641">
        <v>1</v>
      </c>
      <c r="K14641">
        <v>419</v>
      </c>
      <c r="L14641">
        <v>966</v>
      </c>
      <c r="M14641">
        <v>1</v>
      </c>
      <c r="N14641">
        <v>1.0112000000000001E-42</v>
      </c>
      <c r="O14641">
        <v>435</v>
      </c>
    </row>
    <row r="14642" spans="1:15" x14ac:dyDescent="0.25">
      <c r="A14642" t="s">
        <v>14655</v>
      </c>
      <c r="B14642">
        <v>214</v>
      </c>
      <c r="C14642" s="1" t="str">
        <f>HYPERLINK("http://www.rosaceae.org/gb/gbrowse/malus_x_domestica/?name=MDP0000336535","MDP0000336535")</f>
        <v>MDP0000336535</v>
      </c>
      <c r="D14642">
        <v>57.05</v>
      </c>
      <c r="E14642">
        <v>170</v>
      </c>
      <c r="F14642">
        <v>73</v>
      </c>
      <c r="G14642">
        <v>9</v>
      </c>
      <c r="H14642">
        <v>54</v>
      </c>
      <c r="I14642">
        <v>214</v>
      </c>
      <c r="J14642">
        <v>1</v>
      </c>
      <c r="K14642">
        <v>52</v>
      </c>
      <c r="L14642">
        <v>221</v>
      </c>
      <c r="M14642">
        <v>1</v>
      </c>
      <c r="N14642">
        <v>2.4072699999999998E-44</v>
      </c>
      <c r="O14642">
        <v>444</v>
      </c>
    </row>
    <row r="14643" spans="1:15" x14ac:dyDescent="0.25">
      <c r="A14643" t="s">
        <v>14656</v>
      </c>
      <c r="B14643">
        <v>251</v>
      </c>
      <c r="C14643" s="1" t="str">
        <f>HYPERLINK("http://www.rosaceae.org/gb/gbrowse/malus_x_domestica/?name=MDP0000837613","MDP0000837613")</f>
        <v>MDP0000837613</v>
      </c>
      <c r="D14643">
        <v>45.76</v>
      </c>
      <c r="E14643">
        <v>236</v>
      </c>
      <c r="F14643">
        <v>128</v>
      </c>
      <c r="G14643">
        <v>12</v>
      </c>
      <c r="H14643">
        <v>24</v>
      </c>
      <c r="I14643">
        <v>250</v>
      </c>
      <c r="J14643">
        <v>1</v>
      </c>
      <c r="K14643">
        <v>32</v>
      </c>
      <c r="L14643">
        <v>264</v>
      </c>
      <c r="M14643">
        <v>1</v>
      </c>
      <c r="N14643">
        <v>1.3053799999999999E-53</v>
      </c>
      <c r="O14643">
        <v>525</v>
      </c>
    </row>
    <row r="14644" spans="1:15" x14ac:dyDescent="0.25">
      <c r="A14644" t="s">
        <v>14657</v>
      </c>
      <c r="B14644">
        <v>114</v>
      </c>
      <c r="C14644" s="1" t="str">
        <f>HYPERLINK("http://www.rosaceae.org/gb/gbrowse/malus_x_domestica/?name=MDP0000323212","MDP0000323212")</f>
        <v>MDP0000323212</v>
      </c>
      <c r="D14644">
        <v>68.900000000000006</v>
      </c>
      <c r="E14644">
        <v>119</v>
      </c>
      <c r="F14644">
        <v>37</v>
      </c>
      <c r="G14644">
        <v>5</v>
      </c>
      <c r="H14644">
        <v>1</v>
      </c>
      <c r="I14644">
        <v>114</v>
      </c>
      <c r="J14644">
        <v>1</v>
      </c>
      <c r="K14644">
        <v>17</v>
      </c>
      <c r="L14644">
        <v>135</v>
      </c>
      <c r="M14644">
        <v>1</v>
      </c>
      <c r="N14644">
        <v>8.9256600000000003E-40</v>
      </c>
      <c r="O14644">
        <v>400</v>
      </c>
    </row>
    <row r="14645" spans="1:15" x14ac:dyDescent="0.25">
      <c r="A14645" t="s">
        <v>14658</v>
      </c>
      <c r="B14645">
        <v>310</v>
      </c>
      <c r="C14645" s="1" t="str">
        <f>HYPERLINK("http://www.rosaceae.org/gb/gbrowse/malus_x_domestica/?name=MDP0000171164","MDP0000171164")</f>
        <v>MDP0000171164</v>
      </c>
      <c r="D14645">
        <v>73.739999999999995</v>
      </c>
      <c r="E14645">
        <v>259</v>
      </c>
      <c r="F14645">
        <v>68</v>
      </c>
      <c r="G14645">
        <v>0</v>
      </c>
      <c r="H14645">
        <v>2</v>
      </c>
      <c r="I14645">
        <v>260</v>
      </c>
      <c r="J14645">
        <v>1</v>
      </c>
      <c r="K14645">
        <v>236</v>
      </c>
      <c r="L14645">
        <v>494</v>
      </c>
      <c r="M14645">
        <v>1</v>
      </c>
      <c r="N14645">
        <v>1.3240300000000001E-111</v>
      </c>
      <c r="O14645">
        <v>1027</v>
      </c>
    </row>
    <row r="14646" spans="1:15" x14ac:dyDescent="0.25">
      <c r="A14646" t="s">
        <v>14659</v>
      </c>
      <c r="B14646">
        <v>264</v>
      </c>
      <c r="C14646" s="1" t="str">
        <f>HYPERLINK("http://www.rosaceae.org/gb/gbrowse/malus_x_domestica/?name=MDP0000141638","MDP0000141638")</f>
        <v>MDP0000141638</v>
      </c>
      <c r="D14646">
        <v>65.319999999999993</v>
      </c>
      <c r="E14646">
        <v>274</v>
      </c>
      <c r="F14646">
        <v>95</v>
      </c>
      <c r="G14646">
        <v>21</v>
      </c>
      <c r="H14646">
        <v>1</v>
      </c>
      <c r="I14646">
        <v>254</v>
      </c>
      <c r="J14646">
        <v>1</v>
      </c>
      <c r="K14646">
        <v>482</v>
      </c>
      <c r="L14646">
        <v>754</v>
      </c>
      <c r="M14646">
        <v>1</v>
      </c>
      <c r="N14646">
        <v>3.4394700000000001E-101</v>
      </c>
      <c r="O14646">
        <v>936</v>
      </c>
    </row>
    <row r="14647" spans="1:15" x14ac:dyDescent="0.25">
      <c r="A14647" t="s">
        <v>14660</v>
      </c>
      <c r="B14647">
        <v>956</v>
      </c>
      <c r="C14647" s="1" t="str">
        <f>HYPERLINK("http://www.rosaceae.org/gb/gbrowse/malus_x_domestica/?name=MDP0000292294","MDP0000292294")</f>
        <v>MDP0000292294</v>
      </c>
      <c r="D14647">
        <v>64.41</v>
      </c>
      <c r="E14647">
        <v>815</v>
      </c>
      <c r="F14647">
        <v>290</v>
      </c>
      <c r="G14647">
        <v>35</v>
      </c>
      <c r="H14647">
        <v>144</v>
      </c>
      <c r="I14647">
        <v>940</v>
      </c>
      <c r="J14647">
        <v>1</v>
      </c>
      <c r="K14647">
        <v>29</v>
      </c>
      <c r="L14647">
        <v>826</v>
      </c>
      <c r="M14647">
        <v>1</v>
      </c>
      <c r="N14647">
        <v>0</v>
      </c>
      <c r="O14647">
        <v>2673</v>
      </c>
    </row>
    <row r="14648" spans="1:15" x14ac:dyDescent="0.25">
      <c r="A14648" t="s">
        <v>14661</v>
      </c>
      <c r="B14648">
        <v>490</v>
      </c>
      <c r="C14648" s="1" t="str">
        <f>HYPERLINK("http://www.rosaceae.org/gb/gbrowse/malus_x_domestica/?name=MDP0000242885","MDP0000242885")</f>
        <v>MDP0000242885</v>
      </c>
      <c r="D14648">
        <v>53.62</v>
      </c>
      <c r="E14648">
        <v>552</v>
      </c>
      <c r="F14648">
        <v>256</v>
      </c>
      <c r="G14648">
        <v>90</v>
      </c>
      <c r="H14648">
        <v>11</v>
      </c>
      <c r="I14648">
        <v>490</v>
      </c>
      <c r="J14648">
        <v>1</v>
      </c>
      <c r="K14648">
        <v>38</v>
      </c>
      <c r="L14648">
        <v>571</v>
      </c>
      <c r="M14648">
        <v>1</v>
      </c>
      <c r="N14648">
        <v>1.9820700000000001E-157</v>
      </c>
      <c r="O14648">
        <v>1424</v>
      </c>
    </row>
    <row r="14649" spans="1:15" x14ac:dyDescent="0.25">
      <c r="A14649" t="s">
        <v>14662</v>
      </c>
      <c r="B14649">
        <v>1248</v>
      </c>
      <c r="C14649" s="1" t="str">
        <f>HYPERLINK("http://www.rosaceae.org/gb/gbrowse/malus_x_domestica/?name=MDP0000226809","MDP0000226809")</f>
        <v>MDP0000226809</v>
      </c>
      <c r="D14649">
        <v>50.17</v>
      </c>
      <c r="E14649">
        <v>849</v>
      </c>
      <c r="F14649">
        <v>423</v>
      </c>
      <c r="G14649">
        <v>116</v>
      </c>
      <c r="H14649">
        <v>16</v>
      </c>
      <c r="I14649">
        <v>781</v>
      </c>
      <c r="J14649">
        <v>1</v>
      </c>
      <c r="K14649">
        <v>79</v>
      </c>
      <c r="L14649">
        <v>894</v>
      </c>
      <c r="M14649">
        <v>1</v>
      </c>
      <c r="N14649">
        <v>0</v>
      </c>
      <c r="O14649">
        <v>1789</v>
      </c>
    </row>
    <row r="14650" spans="1:15" x14ac:dyDescent="0.25">
      <c r="A14650" t="s">
        <v>14663</v>
      </c>
      <c r="B14650">
        <v>255</v>
      </c>
      <c r="C14650" s="1" t="str">
        <f>HYPERLINK("http://www.rosaceae.org/gb/gbrowse/malus_x_domestica/?name=MDP0000136671","MDP0000136671")</f>
        <v>MDP0000136671</v>
      </c>
      <c r="D14650">
        <v>54.19</v>
      </c>
      <c r="E14650">
        <v>286</v>
      </c>
      <c r="F14650">
        <v>131</v>
      </c>
      <c r="G14650">
        <v>32</v>
      </c>
      <c r="H14650">
        <v>1</v>
      </c>
      <c r="I14650">
        <v>255</v>
      </c>
      <c r="J14650">
        <v>1</v>
      </c>
      <c r="K14650">
        <v>1</v>
      </c>
      <c r="L14650">
        <v>285</v>
      </c>
      <c r="M14650">
        <v>1</v>
      </c>
      <c r="N14650">
        <v>1.48338E-77</v>
      </c>
      <c r="O14650">
        <v>732</v>
      </c>
    </row>
    <row r="14651" spans="1:15" x14ac:dyDescent="0.25">
      <c r="A14651" t="s">
        <v>14664</v>
      </c>
      <c r="B14651">
        <v>314</v>
      </c>
      <c r="C14651" s="1" t="str">
        <f>HYPERLINK("http://www.rosaceae.org/gb/gbrowse/malus_x_domestica/?name=MDP0000670228","MDP0000670228")</f>
        <v>MDP0000670228</v>
      </c>
      <c r="D14651">
        <v>30.73</v>
      </c>
      <c r="E14651">
        <v>205</v>
      </c>
      <c r="F14651">
        <v>142</v>
      </c>
      <c r="G14651">
        <v>47</v>
      </c>
      <c r="H14651">
        <v>67</v>
      </c>
      <c r="I14651">
        <v>254</v>
      </c>
      <c r="J14651">
        <v>1</v>
      </c>
      <c r="K14651">
        <v>128</v>
      </c>
      <c r="L14651">
        <v>302</v>
      </c>
      <c r="M14651">
        <v>1</v>
      </c>
      <c r="N14651">
        <v>3.3316099999999999E-16</v>
      </c>
      <c r="O14651">
        <v>204</v>
      </c>
    </row>
    <row r="14652" spans="1:15" x14ac:dyDescent="0.25">
      <c r="A14652" t="s">
        <v>14665</v>
      </c>
      <c r="B14652">
        <v>320</v>
      </c>
      <c r="C14652" s="1" t="str">
        <f>HYPERLINK("http://www.rosaceae.org/gb/gbrowse/malus_x_domestica/?name=MDP0000255344","MDP0000255344")</f>
        <v>MDP0000255344</v>
      </c>
      <c r="D14652">
        <v>37</v>
      </c>
      <c r="E14652">
        <v>254</v>
      </c>
      <c r="F14652">
        <v>160</v>
      </c>
      <c r="G14652">
        <v>15</v>
      </c>
      <c r="H14652">
        <v>1</v>
      </c>
      <c r="I14652">
        <v>252</v>
      </c>
      <c r="J14652">
        <v>1</v>
      </c>
      <c r="K14652">
        <v>73</v>
      </c>
      <c r="L14652">
        <v>313</v>
      </c>
      <c r="M14652">
        <v>1</v>
      </c>
      <c r="N14652">
        <v>1.7171100000000001E-39</v>
      </c>
      <c r="O14652">
        <v>405</v>
      </c>
    </row>
    <row r="14653" spans="1:15" x14ac:dyDescent="0.25">
      <c r="A14653" t="s">
        <v>14666</v>
      </c>
      <c r="B14653">
        <v>158</v>
      </c>
      <c r="C14653" s="1" t="str">
        <f>HYPERLINK("http://www.rosaceae.org/gb/gbrowse/malus_x_domestica/?name=MDP0000195070","MDP0000195070")</f>
        <v>MDP0000195070</v>
      </c>
      <c r="D14653">
        <v>51.57</v>
      </c>
      <c r="E14653">
        <v>159</v>
      </c>
      <c r="F14653">
        <v>77</v>
      </c>
      <c r="G14653">
        <v>43</v>
      </c>
      <c r="H14653">
        <v>42</v>
      </c>
      <c r="I14653">
        <v>158</v>
      </c>
      <c r="J14653">
        <v>1</v>
      </c>
      <c r="K14653">
        <v>118</v>
      </c>
      <c r="L14653">
        <v>275</v>
      </c>
      <c r="M14653">
        <v>1</v>
      </c>
      <c r="N14653">
        <v>9.3819799999999996E-32</v>
      </c>
      <c r="O14653">
        <v>334</v>
      </c>
    </row>
    <row r="14654" spans="1:15" x14ac:dyDescent="0.25">
      <c r="A14654" t="s">
        <v>14667</v>
      </c>
      <c r="B14654">
        <v>330</v>
      </c>
      <c r="C14654" s="1" t="str">
        <f>HYPERLINK("http://www.rosaceae.org/gb/gbrowse/malus_x_domestica/?name=MDP0000274485","MDP0000274485")</f>
        <v>MDP0000274485</v>
      </c>
      <c r="D14654">
        <v>46.77</v>
      </c>
      <c r="E14654">
        <v>124</v>
      </c>
      <c r="F14654">
        <v>66</v>
      </c>
      <c r="G14654">
        <v>0</v>
      </c>
      <c r="H14654">
        <v>1</v>
      </c>
      <c r="I14654">
        <v>124</v>
      </c>
      <c r="J14654">
        <v>1</v>
      </c>
      <c r="K14654">
        <v>108</v>
      </c>
      <c r="L14654">
        <v>231</v>
      </c>
      <c r="M14654">
        <v>1</v>
      </c>
      <c r="N14654">
        <v>4.9908600000000001E-26</v>
      </c>
      <c r="O14654">
        <v>289</v>
      </c>
    </row>
    <row r="14655" spans="1:15" x14ac:dyDescent="0.25">
      <c r="A14655" t="s">
        <v>14668</v>
      </c>
      <c r="B14655">
        <v>422</v>
      </c>
      <c r="C14655" s="1" t="str">
        <f>HYPERLINK("http://www.rosaceae.org/gb/gbrowse/malus_x_domestica/?name=MDP0000274034","MDP0000274034")</f>
        <v>MDP0000274034</v>
      </c>
      <c r="D14655">
        <v>27.58</v>
      </c>
      <c r="E14655">
        <v>116</v>
      </c>
      <c r="F14655">
        <v>84</v>
      </c>
      <c r="G14655">
        <v>9</v>
      </c>
      <c r="H14655">
        <v>177</v>
      </c>
      <c r="I14655">
        <v>292</v>
      </c>
      <c r="J14655">
        <v>1</v>
      </c>
      <c r="K14655">
        <v>564</v>
      </c>
      <c r="L14655">
        <v>670</v>
      </c>
      <c r="M14655">
        <v>1</v>
      </c>
      <c r="N14655">
        <v>2.2952400000000001E-8</v>
      </c>
      <c r="O14655">
        <v>138</v>
      </c>
    </row>
    <row r="14656" spans="1:15" x14ac:dyDescent="0.25">
      <c r="A14656" t="s">
        <v>14669</v>
      </c>
      <c r="B14656">
        <v>550</v>
      </c>
      <c r="C14656" s="1" t="str">
        <f>HYPERLINK("http://www.rosaceae.org/gb/gbrowse/malus_x_domestica/?name=MDP0000225796","MDP0000225796")</f>
        <v>MDP0000225796</v>
      </c>
      <c r="D14656">
        <v>66.010000000000005</v>
      </c>
      <c r="E14656">
        <v>515</v>
      </c>
      <c r="F14656">
        <v>175</v>
      </c>
      <c r="G14656">
        <v>28</v>
      </c>
      <c r="H14656">
        <v>37</v>
      </c>
      <c r="I14656">
        <v>524</v>
      </c>
      <c r="J14656">
        <v>1</v>
      </c>
      <c r="K14656">
        <v>23</v>
      </c>
      <c r="L14656">
        <v>536</v>
      </c>
      <c r="M14656">
        <v>1</v>
      </c>
      <c r="N14656">
        <v>0</v>
      </c>
      <c r="O14656">
        <v>1726</v>
      </c>
    </row>
    <row r="14657" spans="1:15" x14ac:dyDescent="0.25">
      <c r="A14657" t="s">
        <v>14670</v>
      </c>
      <c r="B14657">
        <v>256</v>
      </c>
      <c r="C14657" s="1" t="str">
        <f>HYPERLINK("http://www.rosaceae.org/gb/gbrowse/malus_x_domestica/?name=MDP0000428119","MDP0000428119")</f>
        <v>MDP0000428119</v>
      </c>
      <c r="D14657">
        <v>42.85</v>
      </c>
      <c r="E14657">
        <v>77</v>
      </c>
      <c r="F14657">
        <v>44</v>
      </c>
      <c r="G14657">
        <v>0</v>
      </c>
      <c r="H14657">
        <v>1</v>
      </c>
      <c r="I14657">
        <v>77</v>
      </c>
      <c r="J14657">
        <v>1</v>
      </c>
      <c r="K14657">
        <v>11</v>
      </c>
      <c r="L14657">
        <v>87</v>
      </c>
      <c r="M14657">
        <v>1</v>
      </c>
      <c r="N14657">
        <v>5.64499E-8</v>
      </c>
      <c r="O14657">
        <v>132</v>
      </c>
    </row>
    <row r="14658" spans="1:15" x14ac:dyDescent="0.25">
      <c r="A14658" t="s">
        <v>14671</v>
      </c>
      <c r="B14658">
        <v>776</v>
      </c>
      <c r="C14658" s="1" t="str">
        <f>HYPERLINK("http://www.rosaceae.org/gb/gbrowse/malus_x_domestica/?name=MDP0000303056","MDP0000303056")</f>
        <v>MDP0000303056</v>
      </c>
      <c r="D14658">
        <v>83.49</v>
      </c>
      <c r="E14658">
        <v>721</v>
      </c>
      <c r="F14658">
        <v>119</v>
      </c>
      <c r="G14658">
        <v>37</v>
      </c>
      <c r="H14658">
        <v>66</v>
      </c>
      <c r="I14658">
        <v>776</v>
      </c>
      <c r="J14658">
        <v>1</v>
      </c>
      <c r="K14658">
        <v>200</v>
      </c>
      <c r="L14658">
        <v>893</v>
      </c>
      <c r="M14658">
        <v>1</v>
      </c>
      <c r="N14658">
        <v>0</v>
      </c>
      <c r="O14658">
        <v>3258</v>
      </c>
    </row>
    <row r="14659" spans="1:15" x14ac:dyDescent="0.25">
      <c r="A14659" t="s">
        <v>14672</v>
      </c>
      <c r="B14659">
        <v>224</v>
      </c>
      <c r="C14659" s="1" t="str">
        <f>HYPERLINK("http://www.rosaceae.org/gb/gbrowse/malus_x_domestica/?name=MDP0000217096","MDP0000217096")</f>
        <v>MDP0000217096</v>
      </c>
      <c r="D14659">
        <v>69.64</v>
      </c>
      <c r="E14659">
        <v>224</v>
      </c>
      <c r="F14659">
        <v>68</v>
      </c>
      <c r="G14659">
        <v>4</v>
      </c>
      <c r="H14659">
        <v>1</v>
      </c>
      <c r="I14659">
        <v>224</v>
      </c>
      <c r="J14659">
        <v>1</v>
      </c>
      <c r="K14659">
        <v>1</v>
      </c>
      <c r="L14659">
        <v>220</v>
      </c>
      <c r="M14659">
        <v>1</v>
      </c>
      <c r="N14659">
        <v>1.8309400000000001E-84</v>
      </c>
      <c r="O14659">
        <v>791</v>
      </c>
    </row>
    <row r="14660" spans="1:15" x14ac:dyDescent="0.25">
      <c r="A14660" t="s">
        <v>14673</v>
      </c>
      <c r="B14660">
        <v>918</v>
      </c>
      <c r="C14660" s="1" t="str">
        <f>HYPERLINK("http://www.rosaceae.org/gb/gbrowse/malus_x_domestica/?name=MDP0000233031","MDP0000233031")</f>
        <v>MDP0000233031</v>
      </c>
      <c r="D14660">
        <v>72.06</v>
      </c>
      <c r="E14660">
        <v>247</v>
      </c>
      <c r="F14660">
        <v>69</v>
      </c>
      <c r="G14660">
        <v>22</v>
      </c>
      <c r="H14660">
        <v>692</v>
      </c>
      <c r="I14660">
        <v>917</v>
      </c>
      <c r="J14660">
        <v>1</v>
      </c>
      <c r="K14660">
        <v>555</v>
      </c>
      <c r="L14660">
        <v>800</v>
      </c>
      <c r="M14660">
        <v>1</v>
      </c>
      <c r="N14660">
        <v>2.4297000000000002E-96</v>
      </c>
      <c r="O14660">
        <v>900</v>
      </c>
    </row>
    <row r="14661" spans="1:15" x14ac:dyDescent="0.25">
      <c r="A14661" t="s">
        <v>14674</v>
      </c>
      <c r="B14661">
        <v>646</v>
      </c>
      <c r="C14661" s="1" t="str">
        <f>HYPERLINK("http://www.rosaceae.org/gb/gbrowse/malus_x_domestica/?name=MDP0000231800","MDP0000231800")</f>
        <v>MDP0000231800</v>
      </c>
      <c r="D14661">
        <v>61.52</v>
      </c>
      <c r="E14661">
        <v>564</v>
      </c>
      <c r="F14661">
        <v>217</v>
      </c>
      <c r="G14661">
        <v>68</v>
      </c>
      <c r="H14661">
        <v>69</v>
      </c>
      <c r="I14661">
        <v>627</v>
      </c>
      <c r="J14661">
        <v>1</v>
      </c>
      <c r="K14661">
        <v>79</v>
      </c>
      <c r="L14661">
        <v>579</v>
      </c>
      <c r="M14661">
        <v>1</v>
      </c>
      <c r="N14661">
        <v>0</v>
      </c>
      <c r="O14661">
        <v>1700</v>
      </c>
    </row>
    <row r="14662" spans="1:15" x14ac:dyDescent="0.25">
      <c r="A14662" t="s">
        <v>14675</v>
      </c>
      <c r="B14662">
        <v>376</v>
      </c>
      <c r="C14662" s="1" t="str">
        <f>HYPERLINK("http://www.rosaceae.org/gb/gbrowse/malus_x_domestica/?name=MDP0000190279","MDP0000190279")</f>
        <v>MDP0000190279</v>
      </c>
      <c r="D14662">
        <v>60.52</v>
      </c>
      <c r="E14662">
        <v>456</v>
      </c>
      <c r="F14662">
        <v>180</v>
      </c>
      <c r="G14662">
        <v>99</v>
      </c>
      <c r="H14662">
        <v>1</v>
      </c>
      <c r="I14662">
        <v>359</v>
      </c>
      <c r="J14662">
        <v>1</v>
      </c>
      <c r="K14662">
        <v>1</v>
      </c>
      <c r="L14662">
        <v>454</v>
      </c>
      <c r="M14662">
        <v>1</v>
      </c>
      <c r="N14662">
        <v>2.2469299999999999E-140</v>
      </c>
      <c r="O14662">
        <v>1276</v>
      </c>
    </row>
    <row r="14663" spans="1:15" x14ac:dyDescent="0.25">
      <c r="A14663" t="s">
        <v>14676</v>
      </c>
      <c r="B14663">
        <v>483</v>
      </c>
      <c r="C14663" s="1" t="str">
        <f>HYPERLINK("http://www.rosaceae.org/gb/gbrowse/malus_x_domestica/?name=MDP0000125733","MDP0000125733")</f>
        <v>MDP0000125733</v>
      </c>
      <c r="D14663">
        <v>93.08</v>
      </c>
      <c r="E14663">
        <v>448</v>
      </c>
      <c r="F14663">
        <v>31</v>
      </c>
      <c r="G14663">
        <v>12</v>
      </c>
      <c r="H14663">
        <v>46</v>
      </c>
      <c r="I14663">
        <v>481</v>
      </c>
      <c r="J14663">
        <v>1</v>
      </c>
      <c r="K14663">
        <v>17</v>
      </c>
      <c r="L14663">
        <v>464</v>
      </c>
      <c r="M14663">
        <v>1</v>
      </c>
      <c r="N14663">
        <v>0</v>
      </c>
      <c r="O14663">
        <v>2234</v>
      </c>
    </row>
    <row r="14664" spans="1:15" x14ac:dyDescent="0.25">
      <c r="A14664" t="s">
        <v>14677</v>
      </c>
      <c r="B14664">
        <v>404</v>
      </c>
      <c r="C14664" s="1" t="str">
        <f>HYPERLINK("http://www.rosaceae.org/gb/gbrowse/malus_x_domestica/?name=MDP0000149834","MDP0000149834")</f>
        <v>MDP0000149834</v>
      </c>
      <c r="D14664">
        <v>74.37</v>
      </c>
      <c r="E14664">
        <v>281</v>
      </c>
      <c r="F14664">
        <v>72</v>
      </c>
      <c r="G14664">
        <v>18</v>
      </c>
      <c r="H14664">
        <v>142</v>
      </c>
      <c r="I14664">
        <v>404</v>
      </c>
      <c r="J14664">
        <v>1</v>
      </c>
      <c r="K14664">
        <v>32</v>
      </c>
      <c r="L14664">
        <v>312</v>
      </c>
      <c r="M14664">
        <v>1</v>
      </c>
      <c r="N14664">
        <v>1.2294800000000001E-117</v>
      </c>
      <c r="O14664">
        <v>1080</v>
      </c>
    </row>
    <row r="14665" spans="1:15" x14ac:dyDescent="0.25">
      <c r="A14665" t="s">
        <v>14678</v>
      </c>
      <c r="B14665">
        <v>123</v>
      </c>
      <c r="C14665" s="1" t="str">
        <f>HYPERLINK("http://www.rosaceae.org/gb/gbrowse/malus_x_domestica/?name=MDP0000310472","MDP0000310472")</f>
        <v>MDP0000310472</v>
      </c>
      <c r="D14665">
        <v>37.93</v>
      </c>
      <c r="E14665">
        <v>87</v>
      </c>
      <c r="F14665">
        <v>54</v>
      </c>
      <c r="G14665">
        <v>35</v>
      </c>
      <c r="H14665">
        <v>23</v>
      </c>
      <c r="I14665">
        <v>74</v>
      </c>
      <c r="J14665">
        <v>1</v>
      </c>
      <c r="K14665">
        <v>78</v>
      </c>
      <c r="L14665">
        <v>164</v>
      </c>
      <c r="M14665">
        <v>1</v>
      </c>
      <c r="N14665">
        <v>8.3784500000000002E-9</v>
      </c>
      <c r="O14665">
        <v>133</v>
      </c>
    </row>
    <row r="14666" spans="1:15" x14ac:dyDescent="0.25">
      <c r="A14666" t="s">
        <v>14679</v>
      </c>
      <c r="B14666">
        <v>448</v>
      </c>
      <c r="C14666" s="1" t="str">
        <f>HYPERLINK("http://www.rosaceae.org/gb/gbrowse/malus_x_domestica/?name=MDP0000280679","MDP0000280679")</f>
        <v>MDP0000280679</v>
      </c>
      <c r="D14666">
        <v>92.14</v>
      </c>
      <c r="E14666">
        <v>420</v>
      </c>
      <c r="F14666">
        <v>33</v>
      </c>
      <c r="G14666">
        <v>5</v>
      </c>
      <c r="H14666">
        <v>18</v>
      </c>
      <c r="I14666">
        <v>432</v>
      </c>
      <c r="J14666">
        <v>1</v>
      </c>
      <c r="K14666">
        <v>18</v>
      </c>
      <c r="L14666">
        <v>437</v>
      </c>
      <c r="M14666">
        <v>1</v>
      </c>
      <c r="N14666">
        <v>0</v>
      </c>
      <c r="O14666">
        <v>2125</v>
      </c>
    </row>
    <row r="14667" spans="1:15" x14ac:dyDescent="0.25">
      <c r="A14667" t="s">
        <v>14680</v>
      </c>
      <c r="B14667">
        <v>636</v>
      </c>
      <c r="C14667" s="1" t="str">
        <f>HYPERLINK("http://www.rosaceae.org/gb/gbrowse/malus_x_domestica/?name=MDP0000191986","MDP0000191986")</f>
        <v>MDP0000191986</v>
      </c>
      <c r="D14667">
        <v>79.58</v>
      </c>
      <c r="E14667">
        <v>622</v>
      </c>
      <c r="F14667">
        <v>127</v>
      </c>
      <c r="G14667">
        <v>60</v>
      </c>
      <c r="H14667">
        <v>1</v>
      </c>
      <c r="I14667">
        <v>563</v>
      </c>
      <c r="J14667">
        <v>1</v>
      </c>
      <c r="K14667">
        <v>1</v>
      </c>
      <c r="L14667">
        <v>621</v>
      </c>
      <c r="M14667">
        <v>1</v>
      </c>
      <c r="N14667">
        <v>0</v>
      </c>
      <c r="O14667">
        <v>2473</v>
      </c>
    </row>
    <row r="14668" spans="1:15" x14ac:dyDescent="0.25">
      <c r="A14668" t="s">
        <v>14681</v>
      </c>
      <c r="B14668">
        <v>264</v>
      </c>
      <c r="C14668" s="1" t="str">
        <f>HYPERLINK("http://www.rosaceae.org/gb/gbrowse/malus_x_domestica/?name=MDP0000237597","MDP0000237597")</f>
        <v>MDP0000237597</v>
      </c>
      <c r="D14668">
        <v>72.45</v>
      </c>
      <c r="E14668">
        <v>265</v>
      </c>
      <c r="F14668">
        <v>73</v>
      </c>
      <c r="G14668">
        <v>2</v>
      </c>
      <c r="H14668">
        <v>2</v>
      </c>
      <c r="I14668">
        <v>264</v>
      </c>
      <c r="J14668">
        <v>1</v>
      </c>
      <c r="K14668">
        <v>8</v>
      </c>
      <c r="L14668">
        <v>272</v>
      </c>
      <c r="M14668">
        <v>1</v>
      </c>
      <c r="N14668">
        <v>2.7582899999999998E-114</v>
      </c>
      <c r="O14668">
        <v>1049</v>
      </c>
    </row>
    <row r="14669" spans="1:15" x14ac:dyDescent="0.25">
      <c r="A14669" t="s">
        <v>14682</v>
      </c>
      <c r="B14669">
        <v>356</v>
      </c>
      <c r="C14669" s="1" t="str">
        <f>HYPERLINK("http://www.rosaceae.org/gb/gbrowse/malus_x_domestica/?name=MDP0000226662","MDP0000226662")</f>
        <v>MDP0000226662</v>
      </c>
      <c r="D14669">
        <v>51.49</v>
      </c>
      <c r="E14669">
        <v>367</v>
      </c>
      <c r="F14669">
        <v>178</v>
      </c>
      <c r="G14669">
        <v>26</v>
      </c>
      <c r="H14669">
        <v>10</v>
      </c>
      <c r="I14669">
        <v>352</v>
      </c>
      <c r="J14669">
        <v>1</v>
      </c>
      <c r="K14669">
        <v>12</v>
      </c>
      <c r="L14669">
        <v>376</v>
      </c>
      <c r="M14669">
        <v>1</v>
      </c>
      <c r="N14669">
        <v>1.6396399999999999E-99</v>
      </c>
      <c r="O14669">
        <v>923</v>
      </c>
    </row>
    <row r="14670" spans="1:15" x14ac:dyDescent="0.25">
      <c r="A14670" t="s">
        <v>14683</v>
      </c>
      <c r="B14670">
        <v>144</v>
      </c>
      <c r="C14670" s="1" t="str">
        <f>HYPERLINK("http://www.rosaceae.org/gb/gbrowse/malus_x_domestica/?name=MDP0000180803","MDP0000180803")</f>
        <v>MDP0000180803</v>
      </c>
      <c r="D14670">
        <v>82.6</v>
      </c>
      <c r="E14670">
        <v>138</v>
      </c>
      <c r="F14670">
        <v>24</v>
      </c>
      <c r="G14670">
        <v>2</v>
      </c>
      <c r="H14670">
        <v>8</v>
      </c>
      <c r="I14670">
        <v>144</v>
      </c>
      <c r="J14670">
        <v>1</v>
      </c>
      <c r="K14670">
        <v>58</v>
      </c>
      <c r="L14670">
        <v>194</v>
      </c>
      <c r="M14670">
        <v>1</v>
      </c>
      <c r="N14670">
        <v>4.9140199999999997E-62</v>
      </c>
      <c r="O14670">
        <v>594</v>
      </c>
    </row>
    <row r="14671" spans="1:15" x14ac:dyDescent="0.25">
      <c r="A14671" t="s">
        <v>14684</v>
      </c>
      <c r="B14671">
        <v>329</v>
      </c>
      <c r="C14671" s="1" t="str">
        <f>HYPERLINK("http://www.rosaceae.org/gb/gbrowse/malus_x_domestica/?name=MDP0000285400","MDP0000285400")</f>
        <v>MDP0000285400</v>
      </c>
      <c r="D14671">
        <v>77.67</v>
      </c>
      <c r="E14671">
        <v>327</v>
      </c>
      <c r="F14671">
        <v>73</v>
      </c>
      <c r="G14671">
        <v>0</v>
      </c>
      <c r="H14671">
        <v>1</v>
      </c>
      <c r="I14671">
        <v>327</v>
      </c>
      <c r="J14671">
        <v>1</v>
      </c>
      <c r="K14671">
        <v>45</v>
      </c>
      <c r="L14671">
        <v>371</v>
      </c>
      <c r="M14671">
        <v>1</v>
      </c>
      <c r="N14671">
        <v>1.01423E-154</v>
      </c>
      <c r="O14671">
        <v>1399</v>
      </c>
    </row>
    <row r="14672" spans="1:15" x14ac:dyDescent="0.25">
      <c r="A14672" t="s">
        <v>14685</v>
      </c>
      <c r="B14672">
        <v>376</v>
      </c>
      <c r="C14672" s="1" t="str">
        <f>HYPERLINK("http://www.rosaceae.org/gb/gbrowse/malus_x_domestica/?name=MDP0000280712","MDP0000280712")</f>
        <v>MDP0000280712</v>
      </c>
      <c r="D14672">
        <v>50.76</v>
      </c>
      <c r="E14672">
        <v>65</v>
      </c>
      <c r="F14672">
        <v>32</v>
      </c>
      <c r="G14672">
        <v>0</v>
      </c>
      <c r="H14672">
        <v>1</v>
      </c>
      <c r="I14672">
        <v>65</v>
      </c>
      <c r="J14672">
        <v>1</v>
      </c>
      <c r="K14672">
        <v>213</v>
      </c>
      <c r="L14672">
        <v>277</v>
      </c>
      <c r="M14672">
        <v>1</v>
      </c>
      <c r="N14672">
        <v>1.0822600000000001E-12</v>
      </c>
      <c r="O14672">
        <v>175</v>
      </c>
    </row>
    <row r="14673" spans="1:15" x14ac:dyDescent="0.25">
      <c r="A14673" t="s">
        <v>14686</v>
      </c>
      <c r="B14673">
        <v>516</v>
      </c>
      <c r="C14673" s="1" t="str">
        <f>HYPERLINK("http://www.rosaceae.org/gb/gbrowse/malus_x_domestica/?name=MDP0000617956","MDP0000617956")</f>
        <v>MDP0000617956</v>
      </c>
      <c r="D14673">
        <v>73.78</v>
      </c>
      <c r="E14673">
        <v>473</v>
      </c>
      <c r="F14673">
        <v>124</v>
      </c>
      <c r="G14673">
        <v>13</v>
      </c>
      <c r="H14673">
        <v>48</v>
      </c>
      <c r="I14673">
        <v>509</v>
      </c>
      <c r="J14673">
        <v>1</v>
      </c>
      <c r="K14673">
        <v>3</v>
      </c>
      <c r="L14673">
        <v>473</v>
      </c>
      <c r="M14673">
        <v>1</v>
      </c>
      <c r="N14673">
        <v>0</v>
      </c>
      <c r="O14673">
        <v>1825</v>
      </c>
    </row>
    <row r="14674" spans="1:15" x14ac:dyDescent="0.25">
      <c r="A14674" t="s">
        <v>14687</v>
      </c>
      <c r="B14674">
        <v>498</v>
      </c>
      <c r="C14674" s="1" t="str">
        <f>HYPERLINK("http://www.rosaceae.org/gb/gbrowse/malus_x_domestica/?name=MDP0000271527","MDP0000271527")</f>
        <v>MDP0000271527</v>
      </c>
      <c r="D14674">
        <v>54.37</v>
      </c>
      <c r="E14674">
        <v>434</v>
      </c>
      <c r="F14674">
        <v>198</v>
      </c>
      <c r="G14674">
        <v>44</v>
      </c>
      <c r="H14674">
        <v>4</v>
      </c>
      <c r="I14674">
        <v>404</v>
      </c>
      <c r="J14674">
        <v>1</v>
      </c>
      <c r="K14674">
        <v>1</v>
      </c>
      <c r="L14674">
        <v>423</v>
      </c>
      <c r="M14674">
        <v>1</v>
      </c>
      <c r="N14674">
        <v>1.7875700000000001E-131</v>
      </c>
      <c r="O14674">
        <v>1200</v>
      </c>
    </row>
    <row r="14675" spans="1:15" x14ac:dyDescent="0.25">
      <c r="A14675" t="s">
        <v>14688</v>
      </c>
      <c r="B14675">
        <v>125</v>
      </c>
      <c r="C14675" s="1" t="str">
        <f>HYPERLINK("http://www.rosaceae.org/gb/gbrowse/malus_x_domestica/?name=MDP0000240010","MDP0000240010")</f>
        <v>MDP0000240010</v>
      </c>
      <c r="D14675">
        <v>74.19</v>
      </c>
      <c r="E14675">
        <v>31</v>
      </c>
      <c r="F14675">
        <v>8</v>
      </c>
      <c r="G14675">
        <v>0</v>
      </c>
      <c r="H14675">
        <v>33</v>
      </c>
      <c r="I14675">
        <v>63</v>
      </c>
      <c r="J14675">
        <v>1</v>
      </c>
      <c r="K14675">
        <v>104</v>
      </c>
      <c r="L14675">
        <v>134</v>
      </c>
      <c r="M14675">
        <v>1</v>
      </c>
      <c r="N14675">
        <v>7.0428199999999998E-8</v>
      </c>
      <c r="O14675">
        <v>125</v>
      </c>
    </row>
    <row r="14676" spans="1:15" x14ac:dyDescent="0.25">
      <c r="A14676" t="s">
        <v>14689</v>
      </c>
      <c r="B14676">
        <v>257</v>
      </c>
      <c r="C14676" s="1" t="str">
        <f>HYPERLINK("http://www.rosaceae.org/gb/gbrowse/malus_x_domestica/?name=MDP0000273845","MDP0000273845")</f>
        <v>MDP0000273845</v>
      </c>
      <c r="D14676">
        <v>77.61</v>
      </c>
      <c r="E14676">
        <v>67</v>
      </c>
      <c r="F14676">
        <v>15</v>
      </c>
      <c r="G14676">
        <v>1</v>
      </c>
      <c r="H14676">
        <v>82</v>
      </c>
      <c r="I14676">
        <v>148</v>
      </c>
      <c r="J14676">
        <v>1</v>
      </c>
      <c r="K14676">
        <v>92</v>
      </c>
      <c r="L14676">
        <v>157</v>
      </c>
      <c r="M14676">
        <v>1</v>
      </c>
      <c r="N14676">
        <v>7.2053200000000002E-23</v>
      </c>
      <c r="O14676">
        <v>260</v>
      </c>
    </row>
    <row r="14677" spans="1:15" x14ac:dyDescent="0.25">
      <c r="A14677" t="s">
        <v>14690</v>
      </c>
      <c r="B14677">
        <v>555</v>
      </c>
      <c r="C14677" s="1" t="str">
        <f>HYPERLINK("http://www.rosaceae.org/gb/gbrowse/malus_x_domestica/?name=MDP0000146033","MDP0000146033")</f>
        <v>MDP0000146033</v>
      </c>
      <c r="D14677">
        <v>57.97</v>
      </c>
      <c r="E14677">
        <v>276</v>
      </c>
      <c r="F14677">
        <v>116</v>
      </c>
      <c r="G14677">
        <v>27</v>
      </c>
      <c r="H14677">
        <v>204</v>
      </c>
      <c r="I14677">
        <v>452</v>
      </c>
      <c r="J14677">
        <v>1</v>
      </c>
      <c r="K14677">
        <v>251</v>
      </c>
      <c r="L14677">
        <v>526</v>
      </c>
      <c r="M14677">
        <v>1</v>
      </c>
      <c r="N14677">
        <v>6.7240199999999996E-69</v>
      </c>
      <c r="O14677">
        <v>661</v>
      </c>
    </row>
    <row r="14678" spans="1:15" x14ac:dyDescent="0.25">
      <c r="A14678" t="s">
        <v>14691</v>
      </c>
      <c r="B14678">
        <v>326</v>
      </c>
      <c r="C14678" s="1" t="str">
        <f>HYPERLINK("http://www.rosaceae.org/gb/gbrowse/malus_x_domestica/?name=MDP0000136398","MDP0000136398")</f>
        <v>MDP0000136398</v>
      </c>
      <c r="D14678">
        <v>78.5</v>
      </c>
      <c r="E14678">
        <v>307</v>
      </c>
      <c r="F14678">
        <v>66</v>
      </c>
      <c r="G14678">
        <v>1</v>
      </c>
      <c r="H14678">
        <v>20</v>
      </c>
      <c r="I14678">
        <v>326</v>
      </c>
      <c r="J14678">
        <v>1</v>
      </c>
      <c r="K14678">
        <v>21</v>
      </c>
      <c r="L14678">
        <v>326</v>
      </c>
      <c r="M14678">
        <v>1</v>
      </c>
      <c r="N14678">
        <v>2.8039900000000001E-140</v>
      </c>
      <c r="O14678">
        <v>1274</v>
      </c>
    </row>
    <row r="14679" spans="1:15" x14ac:dyDescent="0.25">
      <c r="A14679" t="s">
        <v>14692</v>
      </c>
      <c r="B14679">
        <v>579</v>
      </c>
      <c r="C14679" s="1" t="str">
        <f>HYPERLINK("http://www.rosaceae.org/gb/gbrowse/malus_x_domestica/?name=MDP0000384593","MDP0000384593")</f>
        <v>MDP0000384593</v>
      </c>
      <c r="D14679">
        <v>85.64</v>
      </c>
      <c r="E14679">
        <v>599</v>
      </c>
      <c r="F14679">
        <v>86</v>
      </c>
      <c r="G14679">
        <v>20</v>
      </c>
      <c r="H14679">
        <v>1</v>
      </c>
      <c r="I14679">
        <v>579</v>
      </c>
      <c r="J14679">
        <v>1</v>
      </c>
      <c r="K14679">
        <v>1</v>
      </c>
      <c r="L14679">
        <v>599</v>
      </c>
      <c r="M14679">
        <v>1</v>
      </c>
      <c r="N14679">
        <v>0</v>
      </c>
      <c r="O14679">
        <v>2706</v>
      </c>
    </row>
    <row r="14680" spans="1:15" x14ac:dyDescent="0.25">
      <c r="A14680" t="s">
        <v>14693</v>
      </c>
      <c r="B14680">
        <v>94</v>
      </c>
      <c r="C14680" s="1" t="str">
        <f>HYPERLINK("http://www.rosaceae.org/gb/gbrowse/malus_x_domestica/?name=MDP0000265117","MDP0000265117")</f>
        <v>MDP0000265117</v>
      </c>
      <c r="D14680">
        <v>82.14</v>
      </c>
      <c r="E14680">
        <v>28</v>
      </c>
      <c r="F14680">
        <v>5</v>
      </c>
      <c r="G14680">
        <v>0</v>
      </c>
      <c r="H14680">
        <v>59</v>
      </c>
      <c r="I14680">
        <v>86</v>
      </c>
      <c r="J14680">
        <v>1</v>
      </c>
      <c r="K14680">
        <v>363</v>
      </c>
      <c r="L14680">
        <v>390</v>
      </c>
      <c r="M14680">
        <v>1</v>
      </c>
      <c r="N14680">
        <v>2.2257800000000001E-9</v>
      </c>
      <c r="O14680">
        <v>138</v>
      </c>
    </row>
    <row r="14681" spans="1:15" x14ac:dyDescent="0.25">
      <c r="A14681" t="s">
        <v>14694</v>
      </c>
      <c r="B14681">
        <v>527</v>
      </c>
      <c r="C14681" s="1" t="str">
        <f>HYPERLINK("http://www.rosaceae.org/gb/gbrowse/malus_x_domestica/?name=MDP0000277093","MDP0000277093")</f>
        <v>MDP0000277093</v>
      </c>
      <c r="D14681">
        <v>56.4</v>
      </c>
      <c r="E14681">
        <v>578</v>
      </c>
      <c r="F14681">
        <v>252</v>
      </c>
      <c r="G14681">
        <v>54</v>
      </c>
      <c r="H14681">
        <v>1</v>
      </c>
      <c r="I14681">
        <v>527</v>
      </c>
      <c r="J14681">
        <v>1</v>
      </c>
      <c r="K14681">
        <v>1</v>
      </c>
      <c r="L14681">
        <v>575</v>
      </c>
      <c r="M14681">
        <v>1</v>
      </c>
      <c r="N14681">
        <v>0</v>
      </c>
      <c r="O14681">
        <v>1691</v>
      </c>
    </row>
    <row r="14682" spans="1:15" x14ac:dyDescent="0.25">
      <c r="A14682" t="s">
        <v>14695</v>
      </c>
      <c r="B14682">
        <v>509</v>
      </c>
      <c r="C14682" s="1" t="str">
        <f>HYPERLINK("http://www.rosaceae.org/gb/gbrowse/malus_x_domestica/?name=MDP0000298233","MDP0000298233")</f>
        <v>MDP0000298233</v>
      </c>
      <c r="D14682">
        <v>66.45</v>
      </c>
      <c r="E14682">
        <v>319</v>
      </c>
      <c r="F14682">
        <v>107</v>
      </c>
      <c r="G14682">
        <v>8</v>
      </c>
      <c r="H14682">
        <v>191</v>
      </c>
      <c r="I14682">
        <v>503</v>
      </c>
      <c r="J14682">
        <v>1</v>
      </c>
      <c r="K14682">
        <v>11</v>
      </c>
      <c r="L14682">
        <v>327</v>
      </c>
      <c r="M14682">
        <v>1</v>
      </c>
      <c r="N14682">
        <v>1.8481499999999999E-112</v>
      </c>
      <c r="O14682">
        <v>1036</v>
      </c>
    </row>
    <row r="14683" spans="1:15" x14ac:dyDescent="0.25">
      <c r="A14683" t="s">
        <v>14696</v>
      </c>
      <c r="B14683">
        <v>149</v>
      </c>
      <c r="C14683" s="1" t="str">
        <f>HYPERLINK("http://www.rosaceae.org/gb/gbrowse/malus_x_domestica/?name=MDP0000185125","MDP0000185125")</f>
        <v>MDP0000185125</v>
      </c>
      <c r="D14683">
        <v>41.74</v>
      </c>
      <c r="E14683">
        <v>103</v>
      </c>
      <c r="F14683">
        <v>60</v>
      </c>
      <c r="G14683">
        <v>0</v>
      </c>
      <c r="H14683">
        <v>11</v>
      </c>
      <c r="I14683">
        <v>113</v>
      </c>
      <c r="J14683">
        <v>1</v>
      </c>
      <c r="K14683">
        <v>110</v>
      </c>
      <c r="L14683">
        <v>212</v>
      </c>
      <c r="M14683">
        <v>1</v>
      </c>
      <c r="N14683">
        <v>2.0982699999999999E-22</v>
      </c>
      <c r="O14683">
        <v>253</v>
      </c>
    </row>
    <row r="14684" spans="1:15" x14ac:dyDescent="0.25">
      <c r="A14684" t="s">
        <v>14697</v>
      </c>
      <c r="B14684">
        <v>96</v>
      </c>
      <c r="C14684" s="1" t="str">
        <f>HYPERLINK("http://www.rosaceae.org/gb/gbrowse/malus_x_domestica/?name=MDP0000283213","MDP0000283213")</f>
        <v>MDP0000283213</v>
      </c>
      <c r="D14684">
        <v>47.05</v>
      </c>
      <c r="E14684">
        <v>102</v>
      </c>
      <c r="F14684">
        <v>54</v>
      </c>
      <c r="G14684">
        <v>12</v>
      </c>
      <c r="H14684">
        <v>3</v>
      </c>
      <c r="I14684">
        <v>94</v>
      </c>
      <c r="J14684">
        <v>1</v>
      </c>
      <c r="K14684">
        <v>159</v>
      </c>
      <c r="L14684">
        <v>258</v>
      </c>
      <c r="M14684">
        <v>1</v>
      </c>
      <c r="N14684">
        <v>3.0085200000000002E-12</v>
      </c>
      <c r="O14684">
        <v>163</v>
      </c>
    </row>
    <row r="14685" spans="1:15" x14ac:dyDescent="0.25">
      <c r="A14685" t="s">
        <v>14698</v>
      </c>
      <c r="B14685">
        <v>188</v>
      </c>
      <c r="C14685" s="1" t="str">
        <f>HYPERLINK("http://www.rosaceae.org/gb/gbrowse/malus_x_domestica/?name=MDP0000243608","MDP0000243608")</f>
        <v>MDP0000243608</v>
      </c>
      <c r="D14685">
        <v>85.71</v>
      </c>
      <c r="E14685">
        <v>147</v>
      </c>
      <c r="F14685">
        <v>21</v>
      </c>
      <c r="G14685">
        <v>5</v>
      </c>
      <c r="H14685">
        <v>25</v>
      </c>
      <c r="I14685">
        <v>166</v>
      </c>
      <c r="J14685">
        <v>1</v>
      </c>
      <c r="K14685">
        <v>25</v>
      </c>
      <c r="L14685">
        <v>171</v>
      </c>
      <c r="M14685">
        <v>1</v>
      </c>
      <c r="N14685">
        <v>6.1262700000000004E-69</v>
      </c>
      <c r="O14685">
        <v>656</v>
      </c>
    </row>
    <row r="14686" spans="1:15" x14ac:dyDescent="0.25">
      <c r="A14686" t="s">
        <v>14699</v>
      </c>
      <c r="B14686">
        <v>552</v>
      </c>
      <c r="C14686" s="1" t="str">
        <f>HYPERLINK("http://www.rosaceae.org/gb/gbrowse/malus_x_domestica/?name=MDP0000394762","MDP0000394762")</f>
        <v>MDP0000394762</v>
      </c>
      <c r="D14686">
        <v>29.52</v>
      </c>
      <c r="E14686">
        <v>271</v>
      </c>
      <c r="F14686">
        <v>191</v>
      </c>
      <c r="G14686">
        <v>12</v>
      </c>
      <c r="H14686">
        <v>251</v>
      </c>
      <c r="I14686">
        <v>518</v>
      </c>
      <c r="J14686">
        <v>1</v>
      </c>
      <c r="K14686">
        <v>573</v>
      </c>
      <c r="L14686">
        <v>834</v>
      </c>
      <c r="M14686">
        <v>1</v>
      </c>
      <c r="N14686">
        <v>7.8923500000000002E-32</v>
      </c>
      <c r="O14686">
        <v>341</v>
      </c>
    </row>
    <row r="14687" spans="1:15" x14ac:dyDescent="0.25">
      <c r="A14687" t="s">
        <v>14700</v>
      </c>
      <c r="B14687">
        <v>413</v>
      </c>
      <c r="C14687" s="1" t="str">
        <f>HYPERLINK("http://www.rosaceae.org/gb/gbrowse/malus_x_domestica/?name=MDP0000299496","MDP0000299496")</f>
        <v>MDP0000299496</v>
      </c>
      <c r="D14687">
        <v>51.54</v>
      </c>
      <c r="E14687">
        <v>227</v>
      </c>
      <c r="F14687">
        <v>110</v>
      </c>
      <c r="G14687">
        <v>2</v>
      </c>
      <c r="H14687">
        <v>141</v>
      </c>
      <c r="I14687">
        <v>365</v>
      </c>
      <c r="J14687">
        <v>1</v>
      </c>
      <c r="K14687">
        <v>450</v>
      </c>
      <c r="L14687">
        <v>676</v>
      </c>
      <c r="M14687">
        <v>1</v>
      </c>
      <c r="N14687">
        <v>1.5713799999999999E-64</v>
      </c>
      <c r="O14687">
        <v>622</v>
      </c>
    </row>
    <row r="14688" spans="1:15" x14ac:dyDescent="0.25">
      <c r="A14688" t="s">
        <v>14701</v>
      </c>
      <c r="B14688">
        <v>379</v>
      </c>
      <c r="C14688" s="1" t="str">
        <f>HYPERLINK("http://www.rosaceae.org/gb/gbrowse/malus_x_domestica/?name=MDP0000255057","MDP0000255057")</f>
        <v>MDP0000255057</v>
      </c>
      <c r="D14688">
        <v>72.34</v>
      </c>
      <c r="E14688">
        <v>94</v>
      </c>
      <c r="F14688">
        <v>26</v>
      </c>
      <c r="G14688">
        <v>0</v>
      </c>
      <c r="H14688">
        <v>176</v>
      </c>
      <c r="I14688">
        <v>269</v>
      </c>
      <c r="J14688">
        <v>1</v>
      </c>
      <c r="K14688">
        <v>663</v>
      </c>
      <c r="L14688">
        <v>756</v>
      </c>
      <c r="M14688">
        <v>1</v>
      </c>
      <c r="N14688">
        <v>9.2017299999999998E-35</v>
      </c>
      <c r="O14688">
        <v>365</v>
      </c>
    </row>
    <row r="14689" spans="1:15" x14ac:dyDescent="0.25">
      <c r="A14689" t="s">
        <v>14702</v>
      </c>
      <c r="B14689">
        <v>284</v>
      </c>
      <c r="C14689" s="1" t="str">
        <f>HYPERLINK("http://www.rosaceae.org/gb/gbrowse/malus_x_domestica/?name=MDP0000774306","MDP0000774306")</f>
        <v>MDP0000774306</v>
      </c>
      <c r="D14689">
        <v>35.46</v>
      </c>
      <c r="E14689">
        <v>282</v>
      </c>
      <c r="F14689">
        <v>182</v>
      </c>
      <c r="G14689">
        <v>51</v>
      </c>
      <c r="H14689">
        <v>31</v>
      </c>
      <c r="I14689">
        <v>268</v>
      </c>
      <c r="J14689">
        <v>1</v>
      </c>
      <c r="K14689">
        <v>21</v>
      </c>
      <c r="L14689">
        <v>295</v>
      </c>
      <c r="M14689">
        <v>1</v>
      </c>
      <c r="N14689">
        <v>4.7323700000000002E-35</v>
      </c>
      <c r="O14689">
        <v>366</v>
      </c>
    </row>
    <row r="14690" spans="1:15" x14ac:dyDescent="0.25">
      <c r="A14690" t="s">
        <v>14703</v>
      </c>
      <c r="B14690">
        <v>410</v>
      </c>
      <c r="C14690" s="1" t="str">
        <f>HYPERLINK("http://www.rosaceae.org/gb/gbrowse/malus_x_domestica/?name=MDP0000172991","MDP0000172991")</f>
        <v>MDP0000172991</v>
      </c>
      <c r="D14690">
        <v>62.53</v>
      </c>
      <c r="E14690">
        <v>379</v>
      </c>
      <c r="F14690">
        <v>142</v>
      </c>
      <c r="G14690">
        <v>16</v>
      </c>
      <c r="H14690">
        <v>1</v>
      </c>
      <c r="I14690">
        <v>377</v>
      </c>
      <c r="J14690">
        <v>1</v>
      </c>
      <c r="K14690">
        <v>310</v>
      </c>
      <c r="L14690">
        <v>674</v>
      </c>
      <c r="M14690">
        <v>1</v>
      </c>
      <c r="N14690">
        <v>1.21271E-118</v>
      </c>
      <c r="O14690">
        <v>1089</v>
      </c>
    </row>
    <row r="14691" spans="1:15" x14ac:dyDescent="0.25">
      <c r="A14691" t="s">
        <v>14704</v>
      </c>
      <c r="B14691">
        <v>360</v>
      </c>
      <c r="C14691" s="1" t="str">
        <f>HYPERLINK("http://www.rosaceae.org/gb/gbrowse/malus_x_domestica/?name=MDP0000278354","MDP0000278354")</f>
        <v>MDP0000278354</v>
      </c>
      <c r="D14691">
        <v>69.59</v>
      </c>
      <c r="E14691">
        <v>319</v>
      </c>
      <c r="F14691">
        <v>97</v>
      </c>
      <c r="G14691">
        <v>20</v>
      </c>
      <c r="H14691">
        <v>13</v>
      </c>
      <c r="I14691">
        <v>325</v>
      </c>
      <c r="J14691">
        <v>1</v>
      </c>
      <c r="K14691">
        <v>14</v>
      </c>
      <c r="L14691">
        <v>318</v>
      </c>
      <c r="M14691">
        <v>1</v>
      </c>
      <c r="N14691">
        <v>7.6908099999999998E-118</v>
      </c>
      <c r="O14691">
        <v>1081</v>
      </c>
    </row>
    <row r="14692" spans="1:15" x14ac:dyDescent="0.25">
      <c r="A14692" t="s">
        <v>14705</v>
      </c>
      <c r="B14692">
        <v>278</v>
      </c>
      <c r="C14692" s="1" t="str">
        <f>HYPERLINK("http://www.rosaceae.org/gb/gbrowse/malus_x_domestica/?name=MDP0000231075","MDP0000231075")</f>
        <v>MDP0000231075</v>
      </c>
      <c r="D14692">
        <v>64.28</v>
      </c>
      <c r="E14692">
        <v>322</v>
      </c>
      <c r="F14692">
        <v>115</v>
      </c>
      <c r="G14692">
        <v>68</v>
      </c>
      <c r="H14692">
        <v>1</v>
      </c>
      <c r="I14692">
        <v>254</v>
      </c>
      <c r="J14692">
        <v>1</v>
      </c>
      <c r="K14692">
        <v>1</v>
      </c>
      <c r="L14692">
        <v>322</v>
      </c>
      <c r="M14692">
        <v>1</v>
      </c>
      <c r="N14692">
        <v>1.46474E-108</v>
      </c>
      <c r="O14692">
        <v>1000</v>
      </c>
    </row>
    <row r="14693" spans="1:15" x14ac:dyDescent="0.25">
      <c r="A14693" t="s">
        <v>14706</v>
      </c>
      <c r="B14693">
        <v>526</v>
      </c>
      <c r="C14693" s="1" t="str">
        <f>HYPERLINK("http://www.rosaceae.org/gb/gbrowse/malus_x_domestica/?name=MDP0000233010","MDP0000233010")</f>
        <v>MDP0000233010</v>
      </c>
      <c r="D14693">
        <v>47.04</v>
      </c>
      <c r="E14693">
        <v>389</v>
      </c>
      <c r="F14693">
        <v>206</v>
      </c>
      <c r="G14693">
        <v>49</v>
      </c>
      <c r="H14693">
        <v>13</v>
      </c>
      <c r="I14693">
        <v>370</v>
      </c>
      <c r="J14693">
        <v>1</v>
      </c>
      <c r="K14693">
        <v>12</v>
      </c>
      <c r="L14693">
        <v>382</v>
      </c>
      <c r="M14693">
        <v>1</v>
      </c>
      <c r="N14693">
        <v>3.4292899999999999E-80</v>
      </c>
      <c r="O14693">
        <v>758</v>
      </c>
    </row>
    <row r="14694" spans="1:15" x14ac:dyDescent="0.25">
      <c r="A14694" t="s">
        <v>14707</v>
      </c>
      <c r="B14694">
        <v>1176</v>
      </c>
      <c r="C14694" s="1" t="str">
        <f>HYPERLINK("http://www.rosaceae.org/gb/gbrowse/malus_x_domestica/?name=MDP0000228839","MDP0000228839")</f>
        <v>MDP0000228839</v>
      </c>
      <c r="D14694">
        <v>60.51</v>
      </c>
      <c r="E14694">
        <v>780</v>
      </c>
      <c r="F14694">
        <v>308</v>
      </c>
      <c r="G14694">
        <v>104</v>
      </c>
      <c r="H14694">
        <v>1</v>
      </c>
      <c r="I14694">
        <v>696</v>
      </c>
      <c r="J14694">
        <v>1</v>
      </c>
      <c r="K14694">
        <v>1</v>
      </c>
      <c r="L14694">
        <v>760</v>
      </c>
      <c r="M14694">
        <v>1</v>
      </c>
      <c r="N14694">
        <v>0</v>
      </c>
      <c r="O14694">
        <v>2298</v>
      </c>
    </row>
    <row r="14695" spans="1:15" x14ac:dyDescent="0.25">
      <c r="A14695" t="s">
        <v>14708</v>
      </c>
      <c r="B14695">
        <v>422</v>
      </c>
      <c r="C14695" s="1" t="str">
        <f>HYPERLINK("http://www.rosaceae.org/gb/gbrowse/malus_x_domestica/?name=MDP0000179051","MDP0000179051")</f>
        <v>MDP0000179051</v>
      </c>
      <c r="D14695">
        <v>43.85</v>
      </c>
      <c r="E14695">
        <v>301</v>
      </c>
      <c r="F14695">
        <v>169</v>
      </c>
      <c r="G14695">
        <v>41</v>
      </c>
      <c r="H14695">
        <v>44</v>
      </c>
      <c r="I14695">
        <v>310</v>
      </c>
      <c r="J14695">
        <v>1</v>
      </c>
      <c r="K14695">
        <v>38</v>
      </c>
      <c r="L14695">
        <v>331</v>
      </c>
      <c r="M14695">
        <v>1</v>
      </c>
      <c r="N14695">
        <v>5.85466E-59</v>
      </c>
      <c r="O14695">
        <v>574</v>
      </c>
    </row>
    <row r="14696" spans="1:15" x14ac:dyDescent="0.25">
      <c r="A14696" t="s">
        <v>14709</v>
      </c>
      <c r="B14696">
        <v>486</v>
      </c>
      <c r="C14696" s="1" t="str">
        <f>HYPERLINK("http://www.rosaceae.org/gb/gbrowse/malus_x_domestica/?name=MDP0000146753","MDP0000146753")</f>
        <v>MDP0000146753</v>
      </c>
      <c r="D14696">
        <v>63.2</v>
      </c>
      <c r="E14696">
        <v>424</v>
      </c>
      <c r="F14696">
        <v>156</v>
      </c>
      <c r="G14696">
        <v>64</v>
      </c>
      <c r="H14696">
        <v>63</v>
      </c>
      <c r="I14696">
        <v>485</v>
      </c>
      <c r="J14696">
        <v>1</v>
      </c>
      <c r="K14696">
        <v>11</v>
      </c>
      <c r="L14696">
        <v>371</v>
      </c>
      <c r="M14696">
        <v>1</v>
      </c>
      <c r="N14696">
        <v>1.38476E-149</v>
      </c>
      <c r="O14696">
        <v>1356</v>
      </c>
    </row>
    <row r="14697" spans="1:15" x14ac:dyDescent="0.25">
      <c r="A14697" t="s">
        <v>14710</v>
      </c>
      <c r="B14697">
        <v>353</v>
      </c>
      <c r="C14697" s="1" t="str">
        <f>HYPERLINK("http://www.rosaceae.org/gb/gbrowse/malus_x_domestica/?name=MDP0000277077","MDP0000277077")</f>
        <v>MDP0000277077</v>
      </c>
      <c r="D14697">
        <v>58.87</v>
      </c>
      <c r="E14697">
        <v>248</v>
      </c>
      <c r="F14697">
        <v>102</v>
      </c>
      <c r="G14697">
        <v>21</v>
      </c>
      <c r="H14697">
        <v>8</v>
      </c>
      <c r="I14697">
        <v>246</v>
      </c>
      <c r="J14697">
        <v>1</v>
      </c>
      <c r="K14697">
        <v>820</v>
      </c>
      <c r="L14697">
        <v>1055</v>
      </c>
      <c r="M14697">
        <v>1</v>
      </c>
      <c r="N14697">
        <v>3.7382600000000001E-62</v>
      </c>
      <c r="O14697">
        <v>601</v>
      </c>
    </row>
    <row r="14698" spans="1:15" x14ac:dyDescent="0.25">
      <c r="A14698" t="s">
        <v>14711</v>
      </c>
      <c r="B14698">
        <v>220</v>
      </c>
      <c r="C14698" s="1" t="str">
        <f>HYPERLINK("http://www.rosaceae.org/gb/gbrowse/malus_x_domestica/?name=MDP0000269413","MDP0000269413")</f>
        <v>MDP0000269413</v>
      </c>
      <c r="D14698">
        <v>29.78</v>
      </c>
      <c r="E14698">
        <v>235</v>
      </c>
      <c r="F14698">
        <v>165</v>
      </c>
      <c r="G14698">
        <v>44</v>
      </c>
      <c r="H14698">
        <v>18</v>
      </c>
      <c r="I14698">
        <v>217</v>
      </c>
      <c r="J14698">
        <v>1</v>
      </c>
      <c r="K14698">
        <v>31</v>
      </c>
      <c r="L14698">
        <v>256</v>
      </c>
      <c r="M14698">
        <v>1</v>
      </c>
      <c r="N14698">
        <v>3.7149199999999996E-18</v>
      </c>
      <c r="O14698">
        <v>219</v>
      </c>
    </row>
    <row r="14699" spans="1:15" x14ac:dyDescent="0.25">
      <c r="A14699" t="s">
        <v>14712</v>
      </c>
      <c r="B14699">
        <v>298</v>
      </c>
      <c r="C14699" s="1" t="str">
        <f>HYPERLINK("http://www.rosaceae.org/gb/gbrowse/malus_x_domestica/?name=MDP0000443966","MDP0000443966")</f>
        <v>MDP0000443966</v>
      </c>
      <c r="D14699">
        <v>80.42</v>
      </c>
      <c r="E14699">
        <v>235</v>
      </c>
      <c r="F14699">
        <v>46</v>
      </c>
      <c r="G14699">
        <v>10</v>
      </c>
      <c r="H14699">
        <v>66</v>
      </c>
      <c r="I14699">
        <v>293</v>
      </c>
      <c r="J14699">
        <v>1</v>
      </c>
      <c r="K14699">
        <v>68</v>
      </c>
      <c r="L14699">
        <v>299</v>
      </c>
      <c r="M14699">
        <v>1</v>
      </c>
      <c r="N14699">
        <v>8.3662599999999996E-108</v>
      </c>
      <c r="O14699">
        <v>994</v>
      </c>
    </row>
    <row r="14700" spans="1:15" x14ac:dyDescent="0.25">
      <c r="A14700" t="s">
        <v>14713</v>
      </c>
      <c r="B14700">
        <v>586</v>
      </c>
      <c r="C14700" s="1" t="str">
        <f>HYPERLINK("http://www.rosaceae.org/gb/gbrowse/malus_x_domestica/?name=MDP0000296582","MDP0000296582")</f>
        <v>MDP0000296582</v>
      </c>
      <c r="D14700">
        <v>83.05</v>
      </c>
      <c r="E14700">
        <v>531</v>
      </c>
      <c r="F14700">
        <v>90</v>
      </c>
      <c r="G14700">
        <v>3</v>
      </c>
      <c r="H14700">
        <v>15</v>
      </c>
      <c r="I14700">
        <v>542</v>
      </c>
      <c r="J14700">
        <v>1</v>
      </c>
      <c r="K14700">
        <v>38</v>
      </c>
      <c r="L14700">
        <v>568</v>
      </c>
      <c r="M14700">
        <v>1</v>
      </c>
      <c r="N14700">
        <v>0</v>
      </c>
      <c r="O14700">
        <v>2426</v>
      </c>
    </row>
    <row r="14701" spans="1:15" x14ac:dyDescent="0.25">
      <c r="A14701" t="s">
        <v>14714</v>
      </c>
      <c r="B14701">
        <v>494</v>
      </c>
      <c r="C14701" s="1" t="str">
        <f>HYPERLINK("http://www.rosaceae.org/gb/gbrowse/malus_x_domestica/?name=MDP0000128733","MDP0000128733")</f>
        <v>MDP0000128733</v>
      </c>
      <c r="D14701">
        <v>62.23</v>
      </c>
      <c r="E14701">
        <v>527</v>
      </c>
      <c r="F14701">
        <v>199</v>
      </c>
      <c r="G14701">
        <v>36</v>
      </c>
      <c r="H14701">
        <v>1</v>
      </c>
      <c r="I14701">
        <v>494</v>
      </c>
      <c r="J14701">
        <v>1</v>
      </c>
      <c r="K14701">
        <v>1</v>
      </c>
      <c r="L14701">
        <v>524</v>
      </c>
      <c r="M14701">
        <v>1</v>
      </c>
      <c r="N14701">
        <v>0</v>
      </c>
      <c r="O14701">
        <v>1698</v>
      </c>
    </row>
    <row r="14702" spans="1:15" x14ac:dyDescent="0.25">
      <c r="A14702" t="s">
        <v>14715</v>
      </c>
      <c r="B14702">
        <v>756</v>
      </c>
      <c r="C14702" s="1" t="str">
        <f>HYPERLINK("http://www.rosaceae.org/gb/gbrowse/malus_x_domestica/?name=MDP0000118814","MDP0000118814")</f>
        <v>MDP0000118814</v>
      </c>
      <c r="D14702">
        <v>67.010000000000005</v>
      </c>
      <c r="E14702">
        <v>770</v>
      </c>
      <c r="F14702">
        <v>254</v>
      </c>
      <c r="G14702">
        <v>82</v>
      </c>
      <c r="H14702">
        <v>1</v>
      </c>
      <c r="I14702">
        <v>747</v>
      </c>
      <c r="J14702">
        <v>1</v>
      </c>
      <c r="K14702">
        <v>1</v>
      </c>
      <c r="L14702">
        <v>711</v>
      </c>
      <c r="M14702">
        <v>1</v>
      </c>
      <c r="N14702">
        <v>0</v>
      </c>
      <c r="O14702">
        <v>2614</v>
      </c>
    </row>
    <row r="14703" spans="1:15" x14ac:dyDescent="0.25">
      <c r="A14703" t="s">
        <v>14716</v>
      </c>
      <c r="B14703">
        <v>232</v>
      </c>
      <c r="C14703" s="1" t="str">
        <f>HYPERLINK("http://www.rosaceae.org/gb/gbrowse/malus_x_domestica/?name=MDP0000223161","MDP0000223161")</f>
        <v>MDP0000223161</v>
      </c>
      <c r="D14703">
        <v>76.42</v>
      </c>
      <c r="E14703">
        <v>246</v>
      </c>
      <c r="F14703">
        <v>58</v>
      </c>
      <c r="G14703">
        <v>15</v>
      </c>
      <c r="H14703">
        <v>1</v>
      </c>
      <c r="I14703">
        <v>231</v>
      </c>
      <c r="J14703">
        <v>1</v>
      </c>
      <c r="K14703">
        <v>1</v>
      </c>
      <c r="L14703">
        <v>246</v>
      </c>
      <c r="M14703">
        <v>1</v>
      </c>
      <c r="N14703">
        <v>1.10893E-101</v>
      </c>
      <c r="O14703">
        <v>939</v>
      </c>
    </row>
    <row r="14704" spans="1:15" x14ac:dyDescent="0.25">
      <c r="A14704" t="s">
        <v>14717</v>
      </c>
      <c r="B14704">
        <v>671</v>
      </c>
      <c r="C14704" s="1" t="str">
        <f>HYPERLINK("http://www.rosaceae.org/gb/gbrowse/malus_x_domestica/?name=MDP0000153650","MDP0000153650")</f>
        <v>MDP0000153650</v>
      </c>
      <c r="D14704">
        <v>81.739999999999995</v>
      </c>
      <c r="E14704">
        <v>526</v>
      </c>
      <c r="F14704">
        <v>96</v>
      </c>
      <c r="G14704">
        <v>88</v>
      </c>
      <c r="H14704">
        <v>155</v>
      </c>
      <c r="I14704">
        <v>592</v>
      </c>
      <c r="J14704">
        <v>1</v>
      </c>
      <c r="K14704">
        <v>1</v>
      </c>
      <c r="L14704">
        <v>526</v>
      </c>
      <c r="M14704">
        <v>1</v>
      </c>
      <c r="N14704">
        <v>0</v>
      </c>
      <c r="O14704">
        <v>2205</v>
      </c>
    </row>
    <row r="14705" spans="1:15" x14ac:dyDescent="0.25">
      <c r="A14705" t="s">
        <v>14718</v>
      </c>
      <c r="B14705">
        <v>127</v>
      </c>
      <c r="C14705" s="1" t="str">
        <f>HYPERLINK("http://www.rosaceae.org/gb/gbrowse/malus_x_domestica/?name=MDP0000238643","MDP0000238643")</f>
        <v>MDP0000238643</v>
      </c>
      <c r="D14705">
        <v>57.14</v>
      </c>
      <c r="E14705">
        <v>77</v>
      </c>
      <c r="F14705">
        <v>33</v>
      </c>
      <c r="G14705">
        <v>0</v>
      </c>
      <c r="H14705">
        <v>18</v>
      </c>
      <c r="I14705">
        <v>94</v>
      </c>
      <c r="J14705">
        <v>1</v>
      </c>
      <c r="K14705">
        <v>27</v>
      </c>
      <c r="L14705">
        <v>103</v>
      </c>
      <c r="M14705">
        <v>1</v>
      </c>
      <c r="N14705">
        <v>2.0737999999999999E-19</v>
      </c>
      <c r="O14705">
        <v>225</v>
      </c>
    </row>
    <row r="14706" spans="1:15" x14ac:dyDescent="0.25">
      <c r="A14706" t="s">
        <v>14719</v>
      </c>
      <c r="B14706">
        <v>322</v>
      </c>
      <c r="C14706" s="1" t="str">
        <f>HYPERLINK("http://www.rosaceae.org/gb/gbrowse/malus_x_domestica/?name=MDP0000294406","MDP0000294406")</f>
        <v>MDP0000294406</v>
      </c>
      <c r="D14706">
        <v>66.77</v>
      </c>
      <c r="E14706">
        <v>322</v>
      </c>
      <c r="F14706">
        <v>107</v>
      </c>
      <c r="G14706">
        <v>4</v>
      </c>
      <c r="H14706">
        <v>1</v>
      </c>
      <c r="I14706">
        <v>321</v>
      </c>
      <c r="J14706">
        <v>1</v>
      </c>
      <c r="K14706">
        <v>1</v>
      </c>
      <c r="L14706">
        <v>319</v>
      </c>
      <c r="M14706">
        <v>1</v>
      </c>
      <c r="N14706">
        <v>1.2374899999999999E-107</v>
      </c>
      <c r="O14706">
        <v>993</v>
      </c>
    </row>
    <row r="14707" spans="1:15" x14ac:dyDescent="0.25">
      <c r="A14707" t="s">
        <v>14720</v>
      </c>
      <c r="B14707">
        <v>321</v>
      </c>
      <c r="C14707" s="1" t="str">
        <f>HYPERLINK("http://www.rosaceae.org/gb/gbrowse/malus_x_domestica/?name=MDP0000304883","MDP0000304883")</f>
        <v>MDP0000304883</v>
      </c>
      <c r="D14707">
        <v>65.849999999999994</v>
      </c>
      <c r="E14707">
        <v>369</v>
      </c>
      <c r="F14707">
        <v>126</v>
      </c>
      <c r="G14707">
        <v>51</v>
      </c>
      <c r="H14707">
        <v>1</v>
      </c>
      <c r="I14707">
        <v>319</v>
      </c>
      <c r="J14707">
        <v>1</v>
      </c>
      <c r="K14707">
        <v>54</v>
      </c>
      <c r="L14707">
        <v>421</v>
      </c>
      <c r="M14707">
        <v>1</v>
      </c>
      <c r="N14707">
        <v>1.7376699999999999E-129</v>
      </c>
      <c r="O14707">
        <v>1181</v>
      </c>
    </row>
    <row r="14708" spans="1:15" x14ac:dyDescent="0.25">
      <c r="A14708" t="s">
        <v>14721</v>
      </c>
      <c r="B14708">
        <v>797</v>
      </c>
      <c r="C14708" s="1" t="str">
        <f>HYPERLINK("http://www.rosaceae.org/gb/gbrowse/malus_x_domestica/?name=MDP0000305882","MDP0000305882")</f>
        <v>MDP0000305882</v>
      </c>
      <c r="D14708">
        <v>56.34</v>
      </c>
      <c r="E14708">
        <v>378</v>
      </c>
      <c r="F14708">
        <v>165</v>
      </c>
      <c r="G14708">
        <v>2</v>
      </c>
      <c r="H14708">
        <v>161</v>
      </c>
      <c r="I14708">
        <v>538</v>
      </c>
      <c r="J14708">
        <v>1</v>
      </c>
      <c r="K14708">
        <v>3</v>
      </c>
      <c r="L14708">
        <v>378</v>
      </c>
      <c r="M14708">
        <v>1</v>
      </c>
      <c r="N14708">
        <v>1.4648E-118</v>
      </c>
      <c r="O14708">
        <v>1091</v>
      </c>
    </row>
    <row r="14709" spans="1:15" x14ac:dyDescent="0.25">
      <c r="A14709" t="s">
        <v>14722</v>
      </c>
      <c r="B14709">
        <v>685</v>
      </c>
      <c r="C14709" s="1" t="str">
        <f>HYPERLINK("http://www.rosaceae.org/gb/gbrowse/malus_x_domestica/?name=MDP0000237182","MDP0000237182")</f>
        <v>MDP0000237182</v>
      </c>
      <c r="D14709">
        <v>36.130000000000003</v>
      </c>
      <c r="E14709">
        <v>119</v>
      </c>
      <c r="F14709">
        <v>76</v>
      </c>
      <c r="G14709">
        <v>1</v>
      </c>
      <c r="H14709">
        <v>140</v>
      </c>
      <c r="I14709">
        <v>257</v>
      </c>
      <c r="J14709">
        <v>1</v>
      </c>
      <c r="K14709">
        <v>392</v>
      </c>
      <c r="L14709">
        <v>510</v>
      </c>
      <c r="M14709">
        <v>1</v>
      </c>
      <c r="N14709">
        <v>1.8760200000000001E-11</v>
      </c>
      <c r="O14709">
        <v>167</v>
      </c>
    </row>
    <row r="14710" spans="1:15" x14ac:dyDescent="0.25">
      <c r="A14710" t="s">
        <v>14723</v>
      </c>
      <c r="B14710">
        <v>172</v>
      </c>
      <c r="C14710" s="1" t="str">
        <f>HYPERLINK("http://www.rosaceae.org/gb/gbrowse/malus_x_domestica/?name=MDP0000547052","MDP0000547052")</f>
        <v>MDP0000547052</v>
      </c>
      <c r="D14710">
        <v>76.08</v>
      </c>
      <c r="E14710">
        <v>138</v>
      </c>
      <c r="F14710">
        <v>33</v>
      </c>
      <c r="G14710">
        <v>2</v>
      </c>
      <c r="H14710">
        <v>35</v>
      </c>
      <c r="I14710">
        <v>171</v>
      </c>
      <c r="J14710">
        <v>1</v>
      </c>
      <c r="K14710">
        <v>39</v>
      </c>
      <c r="L14710">
        <v>175</v>
      </c>
      <c r="M14710">
        <v>1</v>
      </c>
      <c r="N14710">
        <v>5.4174499999999999E-57</v>
      </c>
      <c r="O14710">
        <v>552</v>
      </c>
    </row>
    <row r="14711" spans="1:15" x14ac:dyDescent="0.25">
      <c r="A14711" t="s">
        <v>14724</v>
      </c>
      <c r="B14711">
        <v>430</v>
      </c>
      <c r="C14711" s="1" t="str">
        <f>HYPERLINK("http://www.rosaceae.org/gb/gbrowse/malus_x_domestica/?name=MDP0000747045","MDP0000747045")</f>
        <v>MDP0000747045</v>
      </c>
      <c r="D14711">
        <v>58.35</v>
      </c>
      <c r="E14711">
        <v>437</v>
      </c>
      <c r="F14711">
        <v>182</v>
      </c>
      <c r="G14711">
        <v>21</v>
      </c>
      <c r="H14711">
        <v>1</v>
      </c>
      <c r="I14711">
        <v>417</v>
      </c>
      <c r="J14711">
        <v>1</v>
      </c>
      <c r="K14711">
        <v>1</v>
      </c>
      <c r="L14711">
        <v>436</v>
      </c>
      <c r="M14711">
        <v>1</v>
      </c>
      <c r="N14711">
        <v>3.0062000000000002E-142</v>
      </c>
      <c r="O14711">
        <v>1293</v>
      </c>
    </row>
    <row r="14712" spans="1:15" x14ac:dyDescent="0.25">
      <c r="A14712" t="s">
        <v>14725</v>
      </c>
      <c r="B14712">
        <v>578</v>
      </c>
      <c r="C14712" s="1" t="str">
        <f>HYPERLINK("http://www.rosaceae.org/gb/gbrowse/malus_x_domestica/?name=MDP0000879596","MDP0000879596")</f>
        <v>MDP0000879596</v>
      </c>
      <c r="D14712">
        <v>80.599999999999994</v>
      </c>
      <c r="E14712">
        <v>433</v>
      </c>
      <c r="F14712">
        <v>84</v>
      </c>
      <c r="G14712">
        <v>2</v>
      </c>
      <c r="H14712">
        <v>146</v>
      </c>
      <c r="I14712">
        <v>577</v>
      </c>
      <c r="J14712">
        <v>1</v>
      </c>
      <c r="K14712">
        <v>9</v>
      </c>
      <c r="L14712">
        <v>440</v>
      </c>
      <c r="M14712">
        <v>1</v>
      </c>
      <c r="N14712">
        <v>0</v>
      </c>
      <c r="O14712">
        <v>1826</v>
      </c>
    </row>
    <row r="14713" spans="1:15" x14ac:dyDescent="0.25">
      <c r="A14713" t="s">
        <v>14726</v>
      </c>
      <c r="B14713">
        <v>716</v>
      </c>
      <c r="C14713" s="1" t="str">
        <f>HYPERLINK("http://www.rosaceae.org/gb/gbrowse/malus_x_domestica/?name=MDP0000307795","MDP0000307795")</f>
        <v>MDP0000307795</v>
      </c>
      <c r="D14713">
        <v>57.27</v>
      </c>
      <c r="E14713">
        <v>426</v>
      </c>
      <c r="F14713">
        <v>182</v>
      </c>
      <c r="G14713">
        <v>1</v>
      </c>
      <c r="H14713">
        <v>254</v>
      </c>
      <c r="I14713">
        <v>678</v>
      </c>
      <c r="J14713">
        <v>1</v>
      </c>
      <c r="K14713">
        <v>1</v>
      </c>
      <c r="L14713">
        <v>426</v>
      </c>
      <c r="M14713">
        <v>1</v>
      </c>
      <c r="N14713">
        <v>1.9139500000000001E-133</v>
      </c>
      <c r="O14713">
        <v>1219</v>
      </c>
    </row>
    <row r="14714" spans="1:15" x14ac:dyDescent="0.25">
      <c r="A14714" t="s">
        <v>14727</v>
      </c>
      <c r="B14714">
        <v>218</v>
      </c>
      <c r="C14714" s="1" t="str">
        <f>HYPERLINK("http://www.rosaceae.org/gb/gbrowse/malus_x_domestica/?name=MDP0000284161","MDP0000284161")</f>
        <v>MDP0000284161</v>
      </c>
      <c r="D14714">
        <v>55.12</v>
      </c>
      <c r="E14714">
        <v>156</v>
      </c>
      <c r="F14714">
        <v>70</v>
      </c>
      <c r="G14714">
        <v>4</v>
      </c>
      <c r="H14714">
        <v>41</v>
      </c>
      <c r="I14714">
        <v>194</v>
      </c>
      <c r="J14714">
        <v>1</v>
      </c>
      <c r="K14714">
        <v>46</v>
      </c>
      <c r="L14714">
        <v>199</v>
      </c>
      <c r="M14714">
        <v>1</v>
      </c>
      <c r="N14714">
        <v>2.8509E-39</v>
      </c>
      <c r="O14714">
        <v>401</v>
      </c>
    </row>
    <row r="14715" spans="1:15" x14ac:dyDescent="0.25">
      <c r="A14715" t="s">
        <v>14728</v>
      </c>
      <c r="B14715">
        <v>609</v>
      </c>
      <c r="C14715" s="1" t="str">
        <f>HYPERLINK("http://www.rosaceae.org/gb/gbrowse/malus_x_domestica/?name=MDP0000541993","MDP0000541993")</f>
        <v>MDP0000541993</v>
      </c>
      <c r="D14715">
        <v>34.61</v>
      </c>
      <c r="E14715">
        <v>156</v>
      </c>
      <c r="F14715">
        <v>102</v>
      </c>
      <c r="G14715">
        <v>13</v>
      </c>
      <c r="H14715">
        <v>9</v>
      </c>
      <c r="I14715">
        <v>162</v>
      </c>
      <c r="J14715">
        <v>1</v>
      </c>
      <c r="K14715">
        <v>3</v>
      </c>
      <c r="L14715">
        <v>147</v>
      </c>
      <c r="M14715">
        <v>1</v>
      </c>
      <c r="N14715">
        <v>5.0032999999999999E-15</v>
      </c>
      <c r="O14715">
        <v>197</v>
      </c>
    </row>
    <row r="14716" spans="1:15" x14ac:dyDescent="0.25">
      <c r="A14716" t="s">
        <v>14729</v>
      </c>
      <c r="B14716">
        <v>725</v>
      </c>
      <c r="C14716" s="1" t="str">
        <f>HYPERLINK("http://www.rosaceae.org/gb/gbrowse/malus_x_domestica/?name=MDP0000262145","MDP0000262145")</f>
        <v>MDP0000262145</v>
      </c>
      <c r="D14716">
        <v>68.209999999999994</v>
      </c>
      <c r="E14716">
        <v>667</v>
      </c>
      <c r="F14716">
        <v>212</v>
      </c>
      <c r="G14716">
        <v>69</v>
      </c>
      <c r="H14716">
        <v>55</v>
      </c>
      <c r="I14716">
        <v>717</v>
      </c>
      <c r="J14716">
        <v>1</v>
      </c>
      <c r="K14716">
        <v>282</v>
      </c>
      <c r="L14716">
        <v>883</v>
      </c>
      <c r="M14716">
        <v>1</v>
      </c>
      <c r="N14716">
        <v>0</v>
      </c>
      <c r="O14716">
        <v>2282</v>
      </c>
    </row>
    <row r="14717" spans="1:15" x14ac:dyDescent="0.25">
      <c r="A14717" t="s">
        <v>14730</v>
      </c>
      <c r="B14717">
        <v>413</v>
      </c>
      <c r="C14717" s="1" t="str">
        <f>HYPERLINK("http://www.rosaceae.org/gb/gbrowse/malus_x_domestica/?name=MDP0000188994","MDP0000188994")</f>
        <v>MDP0000188994</v>
      </c>
      <c r="D14717">
        <v>75.489999999999995</v>
      </c>
      <c r="E14717">
        <v>404</v>
      </c>
      <c r="F14717">
        <v>99</v>
      </c>
      <c r="G14717">
        <v>1</v>
      </c>
      <c r="H14717">
        <v>11</v>
      </c>
      <c r="I14717">
        <v>413</v>
      </c>
      <c r="J14717">
        <v>1</v>
      </c>
      <c r="K14717">
        <v>12</v>
      </c>
      <c r="L14717">
        <v>415</v>
      </c>
      <c r="M14717">
        <v>1</v>
      </c>
      <c r="N14717">
        <v>0</v>
      </c>
      <c r="O14717">
        <v>1658</v>
      </c>
    </row>
    <row r="14718" spans="1:15" x14ac:dyDescent="0.25">
      <c r="A14718" t="s">
        <v>14731</v>
      </c>
      <c r="B14718">
        <v>384</v>
      </c>
      <c r="C14718" s="1" t="str">
        <f>HYPERLINK("http://www.rosaceae.org/gb/gbrowse/malus_x_domestica/?name=MDP0000282326","MDP0000282326")</f>
        <v>MDP0000282326</v>
      </c>
      <c r="D14718">
        <v>77.03</v>
      </c>
      <c r="E14718">
        <v>270</v>
      </c>
      <c r="F14718">
        <v>62</v>
      </c>
      <c r="G14718">
        <v>18</v>
      </c>
      <c r="H14718">
        <v>103</v>
      </c>
      <c r="I14718">
        <v>369</v>
      </c>
      <c r="J14718">
        <v>1</v>
      </c>
      <c r="K14718">
        <v>695</v>
      </c>
      <c r="L14718">
        <v>949</v>
      </c>
      <c r="M14718">
        <v>1</v>
      </c>
      <c r="N14718">
        <v>4.6573100000000001E-115</v>
      </c>
      <c r="O14718">
        <v>1057</v>
      </c>
    </row>
    <row r="14719" spans="1:15" x14ac:dyDescent="0.25">
      <c r="A14719" t="s">
        <v>14732</v>
      </c>
      <c r="B14719">
        <v>525</v>
      </c>
      <c r="C14719" s="1" t="str">
        <f>HYPERLINK("http://www.rosaceae.org/gb/gbrowse/malus_x_domestica/?name=MDP0000179187","MDP0000179187")</f>
        <v>MDP0000179187</v>
      </c>
      <c r="D14719">
        <v>75.150000000000006</v>
      </c>
      <c r="E14719">
        <v>499</v>
      </c>
      <c r="F14719">
        <v>124</v>
      </c>
      <c r="G14719">
        <v>15</v>
      </c>
      <c r="H14719">
        <v>27</v>
      </c>
      <c r="I14719">
        <v>525</v>
      </c>
      <c r="J14719">
        <v>1</v>
      </c>
      <c r="K14719">
        <v>224</v>
      </c>
      <c r="L14719">
        <v>707</v>
      </c>
      <c r="M14719">
        <v>1</v>
      </c>
      <c r="N14719">
        <v>0</v>
      </c>
      <c r="O14719">
        <v>2037</v>
      </c>
    </row>
    <row r="14720" spans="1:15" x14ac:dyDescent="0.25">
      <c r="A14720" t="s">
        <v>14733</v>
      </c>
      <c r="B14720">
        <v>100</v>
      </c>
      <c r="C14720" s="1" t="str">
        <f>HYPERLINK("http://www.rosaceae.org/gb/gbrowse/malus_x_domestica/?name=MDP0000260817","MDP0000260817")</f>
        <v>MDP0000260817</v>
      </c>
      <c r="D14720">
        <v>84.09</v>
      </c>
      <c r="E14720">
        <v>88</v>
      </c>
      <c r="F14720">
        <v>14</v>
      </c>
      <c r="G14720">
        <v>2</v>
      </c>
      <c r="H14720">
        <v>15</v>
      </c>
      <c r="I14720">
        <v>100</v>
      </c>
      <c r="J14720">
        <v>1</v>
      </c>
      <c r="K14720">
        <v>15</v>
      </c>
      <c r="L14720">
        <v>102</v>
      </c>
      <c r="M14720">
        <v>1</v>
      </c>
      <c r="N14720">
        <v>2.43898E-38</v>
      </c>
      <c r="O14720">
        <v>388</v>
      </c>
    </row>
    <row r="14721" spans="1:15" x14ac:dyDescent="0.25">
      <c r="A14721" t="s">
        <v>14734</v>
      </c>
      <c r="B14721">
        <v>321</v>
      </c>
      <c r="C14721" s="1" t="str">
        <f>HYPERLINK("http://www.rosaceae.org/gb/gbrowse/malus_x_domestica/?name=MDP0000127946","MDP0000127946")</f>
        <v>MDP0000127946</v>
      </c>
      <c r="D14721">
        <v>62.74</v>
      </c>
      <c r="E14721">
        <v>357</v>
      </c>
      <c r="F14721">
        <v>133</v>
      </c>
      <c r="G14721">
        <v>42</v>
      </c>
      <c r="H14721">
        <v>1</v>
      </c>
      <c r="I14721">
        <v>321</v>
      </c>
      <c r="J14721">
        <v>1</v>
      </c>
      <c r="K14721">
        <v>78</v>
      </c>
      <c r="L14721">
        <v>428</v>
      </c>
      <c r="M14721">
        <v>1</v>
      </c>
      <c r="N14721">
        <v>5.9965900000000001E-116</v>
      </c>
      <c r="O14721">
        <v>1064</v>
      </c>
    </row>
    <row r="14722" spans="1:15" x14ac:dyDescent="0.25">
      <c r="A14722" t="s">
        <v>14735</v>
      </c>
      <c r="B14722">
        <v>1779</v>
      </c>
      <c r="C14722" s="1" t="str">
        <f>HYPERLINK("http://www.rosaceae.org/gb/gbrowse/malus_x_domestica/?name=MDP0000261040","MDP0000261040")</f>
        <v>MDP0000261040</v>
      </c>
      <c r="D14722">
        <v>61.02</v>
      </c>
      <c r="E14722">
        <v>1070</v>
      </c>
      <c r="F14722">
        <v>417</v>
      </c>
      <c r="G14722">
        <v>110</v>
      </c>
      <c r="H14722">
        <v>1</v>
      </c>
      <c r="I14722">
        <v>1063</v>
      </c>
      <c r="J14722">
        <v>1</v>
      </c>
      <c r="K14722">
        <v>1</v>
      </c>
      <c r="L14722">
        <v>967</v>
      </c>
      <c r="M14722">
        <v>1</v>
      </c>
      <c r="N14722">
        <v>0</v>
      </c>
      <c r="O14722">
        <v>2909</v>
      </c>
    </row>
    <row r="14723" spans="1:15" x14ac:dyDescent="0.25">
      <c r="A14723" t="s">
        <v>14736</v>
      </c>
      <c r="B14723">
        <v>256</v>
      </c>
      <c r="C14723" s="1" t="str">
        <f>HYPERLINK("http://www.rosaceae.org/gb/gbrowse/malus_x_domestica/?name=MDP0000146129","MDP0000146129")</f>
        <v>MDP0000146129</v>
      </c>
      <c r="D14723">
        <v>38.65</v>
      </c>
      <c r="E14723">
        <v>313</v>
      </c>
      <c r="F14723">
        <v>192</v>
      </c>
      <c r="G14723">
        <v>72</v>
      </c>
      <c r="H14723">
        <v>10</v>
      </c>
      <c r="I14723">
        <v>256</v>
      </c>
      <c r="J14723">
        <v>1</v>
      </c>
      <c r="K14723">
        <v>25</v>
      </c>
      <c r="L14723">
        <v>331</v>
      </c>
      <c r="M14723">
        <v>1</v>
      </c>
      <c r="N14723">
        <v>8.6630899999999996E-56</v>
      </c>
      <c r="O14723">
        <v>544</v>
      </c>
    </row>
    <row r="14724" spans="1:15" x14ac:dyDescent="0.25">
      <c r="A14724" t="s">
        <v>14737</v>
      </c>
      <c r="B14724">
        <v>66</v>
      </c>
      <c r="C14724" s="1" t="str">
        <f>HYPERLINK("http://www.rosaceae.org/gb/gbrowse/malus_x_domestica/?name=MDP0000234911","MDP0000234911")</f>
        <v>MDP0000234911</v>
      </c>
      <c r="D14724">
        <v>96.66</v>
      </c>
      <c r="E14724">
        <v>60</v>
      </c>
      <c r="F14724">
        <v>2</v>
      </c>
      <c r="G14724">
        <v>0</v>
      </c>
      <c r="H14724">
        <v>1</v>
      </c>
      <c r="I14724">
        <v>60</v>
      </c>
      <c r="J14724">
        <v>1</v>
      </c>
      <c r="K14724">
        <v>80</v>
      </c>
      <c r="L14724">
        <v>139</v>
      </c>
      <c r="M14724">
        <v>1</v>
      </c>
      <c r="N14724">
        <v>4.9079299999999999E-28</v>
      </c>
      <c r="O14724">
        <v>299</v>
      </c>
    </row>
    <row r="14725" spans="1:15" x14ac:dyDescent="0.25">
      <c r="A14725" t="s">
        <v>14738</v>
      </c>
      <c r="B14725">
        <v>870</v>
      </c>
      <c r="C14725" s="1" t="str">
        <f>HYPERLINK("http://www.rosaceae.org/gb/gbrowse/malus_x_domestica/?name=MDP0000262060","MDP0000262060")</f>
        <v>MDP0000262060</v>
      </c>
      <c r="D14725">
        <v>86.22</v>
      </c>
      <c r="E14725">
        <v>501</v>
      </c>
      <c r="F14725">
        <v>69</v>
      </c>
      <c r="G14725">
        <v>4</v>
      </c>
      <c r="H14725">
        <v>1</v>
      </c>
      <c r="I14725">
        <v>501</v>
      </c>
      <c r="J14725">
        <v>1</v>
      </c>
      <c r="K14725">
        <v>480</v>
      </c>
      <c r="L14725">
        <v>976</v>
      </c>
      <c r="M14725">
        <v>1</v>
      </c>
      <c r="N14725">
        <v>0</v>
      </c>
      <c r="O14725">
        <v>2325</v>
      </c>
    </row>
    <row r="14726" spans="1:15" x14ac:dyDescent="0.25">
      <c r="A14726" t="s">
        <v>14739</v>
      </c>
      <c r="B14726">
        <v>412</v>
      </c>
      <c r="C14726" s="1" t="str">
        <f>HYPERLINK("http://www.rosaceae.org/gb/gbrowse/malus_x_domestica/?name=MDP0000190474","MDP0000190474")</f>
        <v>MDP0000190474</v>
      </c>
      <c r="D14726">
        <v>72.63</v>
      </c>
      <c r="E14726">
        <v>413</v>
      </c>
      <c r="F14726">
        <v>113</v>
      </c>
      <c r="G14726">
        <v>8</v>
      </c>
      <c r="H14726">
        <v>3</v>
      </c>
      <c r="I14726">
        <v>412</v>
      </c>
      <c r="J14726">
        <v>1</v>
      </c>
      <c r="K14726">
        <v>5</v>
      </c>
      <c r="L14726">
        <v>412</v>
      </c>
      <c r="M14726">
        <v>1</v>
      </c>
      <c r="N14726">
        <v>8.4016899999999999E-170</v>
      </c>
      <c r="O14726">
        <v>1530</v>
      </c>
    </row>
    <row r="14727" spans="1:15" x14ac:dyDescent="0.25">
      <c r="A14727" t="s">
        <v>14740</v>
      </c>
      <c r="B14727">
        <v>759</v>
      </c>
      <c r="C14727" s="1" t="str">
        <f>HYPERLINK("http://www.rosaceae.org/gb/gbrowse/malus_x_domestica/?name=MDP0000163412","MDP0000163412")</f>
        <v>MDP0000163412</v>
      </c>
      <c r="D14727">
        <v>43.2</v>
      </c>
      <c r="E14727">
        <v>574</v>
      </c>
      <c r="F14727">
        <v>326</v>
      </c>
      <c r="G14727">
        <v>69</v>
      </c>
      <c r="H14727">
        <v>114</v>
      </c>
      <c r="I14727">
        <v>632</v>
      </c>
      <c r="J14727">
        <v>1</v>
      </c>
      <c r="K14727">
        <v>97</v>
      </c>
      <c r="L14727">
        <v>656</v>
      </c>
      <c r="M14727">
        <v>1</v>
      </c>
      <c r="N14727">
        <v>5.07276E-116</v>
      </c>
      <c r="O14727">
        <v>1069</v>
      </c>
    </row>
    <row r="14728" spans="1:15" x14ac:dyDescent="0.25">
      <c r="A14728" t="s">
        <v>14741</v>
      </c>
      <c r="B14728">
        <v>196</v>
      </c>
      <c r="C14728" s="1" t="str">
        <f>HYPERLINK("http://www.rosaceae.org/gb/gbrowse/malus_x_domestica/?name=MDP0000508747","MDP0000508747")</f>
        <v>MDP0000508747</v>
      </c>
      <c r="D14728">
        <v>44.61</v>
      </c>
      <c r="E14728">
        <v>65</v>
      </c>
      <c r="F14728">
        <v>36</v>
      </c>
      <c r="G14728">
        <v>0</v>
      </c>
      <c r="H14728">
        <v>127</v>
      </c>
      <c r="I14728">
        <v>191</v>
      </c>
      <c r="J14728">
        <v>1</v>
      </c>
      <c r="K14728">
        <v>157</v>
      </c>
      <c r="L14728">
        <v>221</v>
      </c>
      <c r="M14728">
        <v>1</v>
      </c>
      <c r="N14728">
        <v>1.94336E-13</v>
      </c>
      <c r="O14728">
        <v>177</v>
      </c>
    </row>
    <row r="14729" spans="1:15" x14ac:dyDescent="0.25">
      <c r="A14729" t="s">
        <v>14742</v>
      </c>
      <c r="B14729">
        <v>304</v>
      </c>
      <c r="C14729" s="1" t="str">
        <f>HYPERLINK("http://www.rosaceae.org/gb/gbrowse/malus_x_domestica/?name=MDP0000847523","MDP0000847523")</f>
        <v>MDP0000847523</v>
      </c>
      <c r="D14729">
        <v>69.459999999999994</v>
      </c>
      <c r="E14729">
        <v>298</v>
      </c>
      <c r="F14729">
        <v>91</v>
      </c>
      <c r="G14729">
        <v>0</v>
      </c>
      <c r="H14729">
        <v>7</v>
      </c>
      <c r="I14729">
        <v>304</v>
      </c>
      <c r="J14729">
        <v>1</v>
      </c>
      <c r="K14729">
        <v>6</v>
      </c>
      <c r="L14729">
        <v>303</v>
      </c>
      <c r="M14729">
        <v>1</v>
      </c>
      <c r="N14729">
        <v>7.7591900000000008E-127</v>
      </c>
      <c r="O14729">
        <v>1158</v>
      </c>
    </row>
    <row r="14730" spans="1:15" x14ac:dyDescent="0.25">
      <c r="A14730" t="s">
        <v>14743</v>
      </c>
      <c r="B14730">
        <v>410</v>
      </c>
      <c r="C14730" s="1" t="str">
        <f>HYPERLINK("http://www.rosaceae.org/gb/gbrowse/malus_x_domestica/?name=MDP0000299496","MDP0000299496")</f>
        <v>MDP0000299496</v>
      </c>
      <c r="D14730">
        <v>32.25</v>
      </c>
      <c r="E14730">
        <v>403</v>
      </c>
      <c r="F14730">
        <v>273</v>
      </c>
      <c r="G14730">
        <v>70</v>
      </c>
      <c r="H14730">
        <v>2</v>
      </c>
      <c r="I14730">
        <v>334</v>
      </c>
      <c r="J14730">
        <v>1</v>
      </c>
      <c r="K14730">
        <v>506</v>
      </c>
      <c r="L14730">
        <v>908</v>
      </c>
      <c r="M14730">
        <v>1</v>
      </c>
      <c r="N14730">
        <v>4.2497700000000002E-52</v>
      </c>
      <c r="O14730">
        <v>515</v>
      </c>
    </row>
    <row r="14731" spans="1:15" x14ac:dyDescent="0.25">
      <c r="A14731" t="s">
        <v>14744</v>
      </c>
      <c r="B14731">
        <v>126</v>
      </c>
      <c r="C14731" s="1" t="str">
        <f>HYPERLINK("http://www.rosaceae.org/gb/gbrowse/malus_x_domestica/?name=MDP0000234444","MDP0000234444")</f>
        <v>MDP0000234444</v>
      </c>
      <c r="D14731">
        <v>75.59</v>
      </c>
      <c r="E14731">
        <v>127</v>
      </c>
      <c r="F14731">
        <v>31</v>
      </c>
      <c r="G14731">
        <v>2</v>
      </c>
      <c r="H14731">
        <v>1</v>
      </c>
      <c r="I14731">
        <v>125</v>
      </c>
      <c r="J14731">
        <v>1</v>
      </c>
      <c r="K14731">
        <v>1</v>
      </c>
      <c r="L14731">
        <v>127</v>
      </c>
      <c r="M14731">
        <v>1</v>
      </c>
      <c r="N14731">
        <v>2.60741E-53</v>
      </c>
      <c r="O14731">
        <v>517</v>
      </c>
    </row>
    <row r="14732" spans="1:15" x14ac:dyDescent="0.25">
      <c r="A14732" t="s">
        <v>14745</v>
      </c>
      <c r="B14732">
        <v>448</v>
      </c>
      <c r="C14732" s="1" t="str">
        <f>HYPERLINK("http://www.rosaceae.org/gb/gbrowse/malus_x_domestica/?name=MDP0000141638","MDP0000141638")</f>
        <v>MDP0000141638</v>
      </c>
      <c r="D14732">
        <v>72.260000000000005</v>
      </c>
      <c r="E14732">
        <v>119</v>
      </c>
      <c r="F14732">
        <v>33</v>
      </c>
      <c r="G14732">
        <v>0</v>
      </c>
      <c r="H14732">
        <v>329</v>
      </c>
      <c r="I14732">
        <v>447</v>
      </c>
      <c r="J14732">
        <v>1</v>
      </c>
      <c r="K14732">
        <v>338</v>
      </c>
      <c r="L14732">
        <v>456</v>
      </c>
      <c r="M14732">
        <v>1</v>
      </c>
      <c r="N14732">
        <v>5.8087800000000005E-48</v>
      </c>
      <c r="O14732">
        <v>480</v>
      </c>
    </row>
    <row r="14733" spans="1:15" x14ac:dyDescent="0.25">
      <c r="A14733" t="s">
        <v>14746</v>
      </c>
      <c r="B14733">
        <v>829</v>
      </c>
      <c r="C14733" s="1" t="str">
        <f>HYPERLINK("http://www.rosaceae.org/gb/gbrowse/malus_x_domestica/?name=MDP0000209438","MDP0000209438")</f>
        <v>MDP0000209438</v>
      </c>
      <c r="D14733">
        <v>63.03</v>
      </c>
      <c r="E14733">
        <v>825</v>
      </c>
      <c r="F14733">
        <v>305</v>
      </c>
      <c r="G14733">
        <v>36</v>
      </c>
      <c r="H14733">
        <v>30</v>
      </c>
      <c r="I14733">
        <v>829</v>
      </c>
      <c r="J14733">
        <v>1</v>
      </c>
      <c r="K14733">
        <v>32</v>
      </c>
      <c r="L14733">
        <v>845</v>
      </c>
      <c r="M14733">
        <v>1</v>
      </c>
      <c r="N14733">
        <v>0</v>
      </c>
      <c r="O14733">
        <v>2676</v>
      </c>
    </row>
    <row r="14734" spans="1:15" x14ac:dyDescent="0.25">
      <c r="A14734" t="s">
        <v>14747</v>
      </c>
      <c r="B14734">
        <v>3112</v>
      </c>
      <c r="C14734" s="1" t="str">
        <f>HYPERLINK("http://www.rosaceae.org/gb/gbrowse/malus_x_domestica/?name=MDP0000283610","MDP0000283610")</f>
        <v>MDP0000283610</v>
      </c>
      <c r="D14734">
        <v>77.010000000000005</v>
      </c>
      <c r="E14734">
        <v>3150</v>
      </c>
      <c r="F14734">
        <v>724</v>
      </c>
      <c r="G14734">
        <v>190</v>
      </c>
      <c r="H14734">
        <v>1</v>
      </c>
      <c r="I14734">
        <v>3046</v>
      </c>
      <c r="J14734">
        <v>1</v>
      </c>
      <c r="K14734">
        <v>608</v>
      </c>
      <c r="L14734">
        <v>3671</v>
      </c>
      <c r="M14734">
        <v>1</v>
      </c>
      <c r="N14734">
        <v>0</v>
      </c>
      <c r="O14734">
        <v>12438</v>
      </c>
    </row>
    <row r="14735" spans="1:15" x14ac:dyDescent="0.25">
      <c r="A14735" t="s">
        <v>14748</v>
      </c>
      <c r="B14735">
        <v>345</v>
      </c>
      <c r="C14735" s="1" t="str">
        <f>HYPERLINK("http://www.rosaceae.org/gb/gbrowse/malus_x_domestica/?name=MDP0000297244","MDP0000297244")</f>
        <v>MDP0000297244</v>
      </c>
      <c r="D14735">
        <v>58.33</v>
      </c>
      <c r="E14735">
        <v>120</v>
      </c>
      <c r="F14735">
        <v>50</v>
      </c>
      <c r="G14735">
        <v>3</v>
      </c>
      <c r="H14735">
        <v>1</v>
      </c>
      <c r="I14735">
        <v>120</v>
      </c>
      <c r="J14735">
        <v>1</v>
      </c>
      <c r="K14735">
        <v>178</v>
      </c>
      <c r="L14735">
        <v>294</v>
      </c>
      <c r="M14735">
        <v>1</v>
      </c>
      <c r="N14735">
        <v>1.4114700000000001E-28</v>
      </c>
      <c r="O14735">
        <v>311</v>
      </c>
    </row>
    <row r="14736" spans="1:15" x14ac:dyDescent="0.25">
      <c r="A14736" t="s">
        <v>14749</v>
      </c>
      <c r="B14736">
        <v>219</v>
      </c>
      <c r="C14736" s="1" t="str">
        <f>HYPERLINK("http://www.rosaceae.org/gb/gbrowse/malus_x_domestica/?name=MDP0000216956","MDP0000216956")</f>
        <v>MDP0000216956</v>
      </c>
      <c r="D14736">
        <v>32.53</v>
      </c>
      <c r="E14736">
        <v>166</v>
      </c>
      <c r="F14736">
        <v>112</v>
      </c>
      <c r="G14736">
        <v>29</v>
      </c>
      <c r="H14736">
        <v>76</v>
      </c>
      <c r="I14736">
        <v>215</v>
      </c>
      <c r="J14736">
        <v>1</v>
      </c>
      <c r="K14736">
        <v>79</v>
      </c>
      <c r="L14736">
        <v>241</v>
      </c>
      <c r="M14736">
        <v>1</v>
      </c>
      <c r="N14736">
        <v>5.3215400000000005E-16</v>
      </c>
      <c r="O14736">
        <v>200</v>
      </c>
    </row>
    <row r="14737" spans="1:15" x14ac:dyDescent="0.25">
      <c r="A14737" t="s">
        <v>14750</v>
      </c>
      <c r="B14737">
        <v>316</v>
      </c>
      <c r="C14737" s="1" t="str">
        <f>HYPERLINK("http://www.rosaceae.org/gb/gbrowse/malus_x_domestica/?name=MDP0000670228","MDP0000670228")</f>
        <v>MDP0000670228</v>
      </c>
      <c r="D14737">
        <v>30.28</v>
      </c>
      <c r="E14737">
        <v>208</v>
      </c>
      <c r="F14737">
        <v>145</v>
      </c>
      <c r="G14737">
        <v>53</v>
      </c>
      <c r="H14737">
        <v>67</v>
      </c>
      <c r="I14737">
        <v>255</v>
      </c>
      <c r="J14737">
        <v>1</v>
      </c>
      <c r="K14737">
        <v>129</v>
      </c>
      <c r="L14737">
        <v>302</v>
      </c>
      <c r="M14737">
        <v>1</v>
      </c>
      <c r="N14737">
        <v>3.4474399999999999E-17</v>
      </c>
      <c r="O14737">
        <v>212</v>
      </c>
    </row>
    <row r="14738" spans="1:15" x14ac:dyDescent="0.25">
      <c r="A14738" t="s">
        <v>14751</v>
      </c>
      <c r="B14738">
        <v>281</v>
      </c>
      <c r="C14738" s="1" t="str">
        <f>HYPERLINK("http://www.rosaceae.org/gb/gbrowse/malus_x_domestica/?name=MDP0000537161","MDP0000537161")</f>
        <v>MDP0000537161</v>
      </c>
      <c r="D14738">
        <v>33.700000000000003</v>
      </c>
      <c r="E14738">
        <v>267</v>
      </c>
      <c r="F14738">
        <v>177</v>
      </c>
      <c r="G14738">
        <v>21</v>
      </c>
      <c r="H14738">
        <v>24</v>
      </c>
      <c r="I14738">
        <v>275</v>
      </c>
      <c r="J14738">
        <v>1</v>
      </c>
      <c r="K14738">
        <v>88</v>
      </c>
      <c r="L14738">
        <v>348</v>
      </c>
      <c r="M14738">
        <v>1</v>
      </c>
      <c r="N14738">
        <v>4.21702E-30</v>
      </c>
      <c r="O14738">
        <v>323</v>
      </c>
    </row>
    <row r="14739" spans="1:15" x14ac:dyDescent="0.25">
      <c r="A14739" t="s">
        <v>14752</v>
      </c>
      <c r="B14739">
        <v>386</v>
      </c>
      <c r="C14739" s="1" t="str">
        <f>HYPERLINK("http://www.rosaceae.org/gb/gbrowse/malus_x_domestica/?name=MDP0000700517","MDP0000700517")</f>
        <v>MDP0000700517</v>
      </c>
      <c r="D14739">
        <v>26.47</v>
      </c>
      <c r="E14739">
        <v>306</v>
      </c>
      <c r="F14739">
        <v>225</v>
      </c>
      <c r="G14739">
        <v>52</v>
      </c>
      <c r="H14739">
        <v>95</v>
      </c>
      <c r="I14739">
        <v>353</v>
      </c>
      <c r="J14739">
        <v>1</v>
      </c>
      <c r="K14739">
        <v>109</v>
      </c>
      <c r="L14739">
        <v>409</v>
      </c>
      <c r="M14739">
        <v>1</v>
      </c>
      <c r="N14739">
        <v>4.3962899999999998E-22</v>
      </c>
      <c r="O14739">
        <v>256</v>
      </c>
    </row>
    <row r="14740" spans="1:15" x14ac:dyDescent="0.25">
      <c r="A14740" t="s">
        <v>14753</v>
      </c>
      <c r="B14740">
        <v>421</v>
      </c>
      <c r="C14740" s="1" t="str">
        <f>HYPERLINK("http://www.rosaceae.org/gb/gbrowse/malus_x_domestica/?name=MDP0000318279","MDP0000318279")</f>
        <v>MDP0000318279</v>
      </c>
      <c r="D14740">
        <v>37.68</v>
      </c>
      <c r="E14740">
        <v>207</v>
      </c>
      <c r="F14740">
        <v>129</v>
      </c>
      <c r="G14740">
        <v>2</v>
      </c>
      <c r="H14740">
        <v>193</v>
      </c>
      <c r="I14740">
        <v>399</v>
      </c>
      <c r="J14740">
        <v>1</v>
      </c>
      <c r="K14740">
        <v>123</v>
      </c>
      <c r="L14740">
        <v>327</v>
      </c>
      <c r="M14740">
        <v>1</v>
      </c>
      <c r="N14740">
        <v>4.3134099999999999E-37</v>
      </c>
      <c r="O14740">
        <v>386</v>
      </c>
    </row>
    <row r="14741" spans="1:15" x14ac:dyDescent="0.25">
      <c r="A14741" t="s">
        <v>14754</v>
      </c>
      <c r="B14741">
        <v>73</v>
      </c>
      <c r="C14741" s="1" t="str">
        <f>HYPERLINK("http://www.rosaceae.org/gb/gbrowse/malus_x_domestica/?name=MDP0000162755","MDP0000162755")</f>
        <v>MDP0000162755</v>
      </c>
      <c r="D14741">
        <v>74.540000000000006</v>
      </c>
      <c r="E14741">
        <v>55</v>
      </c>
      <c r="F14741">
        <v>14</v>
      </c>
      <c r="G14741">
        <v>0</v>
      </c>
      <c r="H14741">
        <v>6</v>
      </c>
      <c r="I14741">
        <v>60</v>
      </c>
      <c r="J14741">
        <v>1</v>
      </c>
      <c r="K14741">
        <v>105</v>
      </c>
      <c r="L14741">
        <v>159</v>
      </c>
      <c r="M14741">
        <v>1</v>
      </c>
      <c r="N14741">
        <v>1.06591E-13</v>
      </c>
      <c r="O14741">
        <v>176</v>
      </c>
    </row>
    <row r="14742" spans="1:15" x14ac:dyDescent="0.25">
      <c r="A14742" t="s">
        <v>14755</v>
      </c>
      <c r="B14742">
        <v>656</v>
      </c>
      <c r="C14742" s="1" t="str">
        <f>HYPERLINK("http://www.rosaceae.org/gb/gbrowse/malus_x_domestica/?name=MDP0000415023","MDP0000415023")</f>
        <v>MDP0000415023</v>
      </c>
      <c r="D14742">
        <v>69.959999999999994</v>
      </c>
      <c r="E14742">
        <v>656</v>
      </c>
      <c r="F14742">
        <v>197</v>
      </c>
      <c r="G14742">
        <v>1</v>
      </c>
      <c r="H14742">
        <v>1</v>
      </c>
      <c r="I14742">
        <v>656</v>
      </c>
      <c r="J14742">
        <v>1</v>
      </c>
      <c r="K14742">
        <v>1</v>
      </c>
      <c r="L14742">
        <v>655</v>
      </c>
      <c r="M14742">
        <v>1</v>
      </c>
      <c r="N14742">
        <v>0</v>
      </c>
      <c r="O14742">
        <v>2494</v>
      </c>
    </row>
    <row r="14743" spans="1:15" x14ac:dyDescent="0.25">
      <c r="A14743" t="s">
        <v>14756</v>
      </c>
      <c r="B14743">
        <v>442</v>
      </c>
      <c r="C14743" s="1" t="str">
        <f>HYPERLINK("http://www.rosaceae.org/gb/gbrowse/malus_x_domestica/?name=MDP0000258587","MDP0000258587")</f>
        <v>MDP0000258587</v>
      </c>
      <c r="D14743">
        <v>67.739999999999995</v>
      </c>
      <c r="E14743">
        <v>155</v>
      </c>
      <c r="F14743">
        <v>50</v>
      </c>
      <c r="G14743">
        <v>12</v>
      </c>
      <c r="H14743">
        <v>71</v>
      </c>
      <c r="I14743">
        <v>215</v>
      </c>
      <c r="J14743">
        <v>1</v>
      </c>
      <c r="K14743">
        <v>88</v>
      </c>
      <c r="L14743">
        <v>240</v>
      </c>
      <c r="M14743">
        <v>1</v>
      </c>
      <c r="N14743">
        <v>9.6446599999999999E-51</v>
      </c>
      <c r="O14743">
        <v>503</v>
      </c>
    </row>
    <row r="14744" spans="1:15" x14ac:dyDescent="0.25">
      <c r="A14744" t="s">
        <v>14757</v>
      </c>
      <c r="B14744">
        <v>389</v>
      </c>
      <c r="C14744" s="1" t="str">
        <f>HYPERLINK("http://www.rosaceae.org/gb/gbrowse/malus_x_domestica/?name=MDP0000248100","MDP0000248100")</f>
        <v>MDP0000248100</v>
      </c>
      <c r="D14744">
        <v>37.840000000000003</v>
      </c>
      <c r="E14744">
        <v>251</v>
      </c>
      <c r="F14744">
        <v>156</v>
      </c>
      <c r="G14744">
        <v>25</v>
      </c>
      <c r="H14744">
        <v>63</v>
      </c>
      <c r="I14744">
        <v>300</v>
      </c>
      <c r="J14744">
        <v>1</v>
      </c>
      <c r="K14744">
        <v>37</v>
      </c>
      <c r="L14744">
        <v>275</v>
      </c>
      <c r="M14744">
        <v>1</v>
      </c>
      <c r="N14744">
        <v>3.8422500000000001E-34</v>
      </c>
      <c r="O14744">
        <v>360</v>
      </c>
    </row>
    <row r="14745" spans="1:15" x14ac:dyDescent="0.25">
      <c r="A14745" t="s">
        <v>14758</v>
      </c>
      <c r="B14745">
        <v>138</v>
      </c>
      <c r="C14745" s="1" t="str">
        <f>HYPERLINK("http://www.rosaceae.org/gb/gbrowse/malus_x_domestica/?name=MDP0000408273","MDP0000408273")</f>
        <v>MDP0000408273</v>
      </c>
      <c r="D14745">
        <v>85.05</v>
      </c>
      <c r="E14745">
        <v>87</v>
      </c>
      <c r="F14745">
        <v>13</v>
      </c>
      <c r="G14745">
        <v>0</v>
      </c>
      <c r="H14745">
        <v>1</v>
      </c>
      <c r="I14745">
        <v>87</v>
      </c>
      <c r="J14745">
        <v>1</v>
      </c>
      <c r="K14745">
        <v>1</v>
      </c>
      <c r="L14745">
        <v>87</v>
      </c>
      <c r="M14745">
        <v>1</v>
      </c>
      <c r="N14745">
        <v>6.04538E-38</v>
      </c>
      <c r="O14745">
        <v>386</v>
      </c>
    </row>
    <row r="14746" spans="1:15" x14ac:dyDescent="0.25">
      <c r="A14746" t="s">
        <v>14759</v>
      </c>
      <c r="B14746">
        <v>135</v>
      </c>
      <c r="C14746" s="1" t="str">
        <f>HYPERLINK("http://www.rosaceae.org/gb/gbrowse/malus_x_domestica/?name=MDP0000251733","MDP0000251733")</f>
        <v>MDP0000251733</v>
      </c>
      <c r="D14746">
        <v>42.85</v>
      </c>
      <c r="E14746">
        <v>84</v>
      </c>
      <c r="F14746">
        <v>48</v>
      </c>
      <c r="G14746">
        <v>5</v>
      </c>
      <c r="H14746">
        <v>34</v>
      </c>
      <c r="I14746">
        <v>112</v>
      </c>
      <c r="J14746">
        <v>1</v>
      </c>
      <c r="K14746">
        <v>1</v>
      </c>
      <c r="L14746">
        <v>84</v>
      </c>
      <c r="M14746">
        <v>1</v>
      </c>
      <c r="N14746">
        <v>3.3110900000000002E-13</v>
      </c>
      <c r="O14746">
        <v>172</v>
      </c>
    </row>
    <row r="14747" spans="1:15" x14ac:dyDescent="0.25">
      <c r="A14747" t="s">
        <v>14760</v>
      </c>
      <c r="B14747">
        <v>1038</v>
      </c>
      <c r="C14747" s="1" t="str">
        <f>HYPERLINK("http://www.rosaceae.org/gb/gbrowse/malus_x_domestica/?name=MDP0000300852","MDP0000300852")</f>
        <v>MDP0000300852</v>
      </c>
      <c r="D14747">
        <v>49.36</v>
      </c>
      <c r="E14747">
        <v>391</v>
      </c>
      <c r="F14747">
        <v>198</v>
      </c>
      <c r="G14747">
        <v>84</v>
      </c>
      <c r="H14747">
        <v>732</v>
      </c>
      <c r="I14747">
        <v>1038</v>
      </c>
      <c r="J14747">
        <v>1</v>
      </c>
      <c r="K14747">
        <v>444</v>
      </c>
      <c r="L14747">
        <v>834</v>
      </c>
      <c r="M14747">
        <v>1</v>
      </c>
      <c r="N14747">
        <v>1.4027800000000001E-93</v>
      </c>
      <c r="O14747">
        <v>877</v>
      </c>
    </row>
    <row r="14748" spans="1:15" x14ac:dyDescent="0.25">
      <c r="A14748" t="s">
        <v>14761</v>
      </c>
      <c r="B14748">
        <v>821</v>
      </c>
      <c r="C14748" s="1" t="str">
        <f>HYPERLINK("http://www.rosaceae.org/gb/gbrowse/malus_x_domestica/?name=MDP0000231809","MDP0000231809")</f>
        <v>MDP0000231809</v>
      </c>
      <c r="D14748">
        <v>73.02</v>
      </c>
      <c r="E14748">
        <v>797</v>
      </c>
      <c r="F14748">
        <v>215</v>
      </c>
      <c r="G14748">
        <v>23</v>
      </c>
      <c r="H14748">
        <v>34</v>
      </c>
      <c r="I14748">
        <v>821</v>
      </c>
      <c r="J14748">
        <v>1</v>
      </c>
      <c r="K14748">
        <v>36</v>
      </c>
      <c r="L14748">
        <v>818</v>
      </c>
      <c r="M14748">
        <v>1</v>
      </c>
      <c r="N14748">
        <v>0</v>
      </c>
      <c r="O14748">
        <v>3011</v>
      </c>
    </row>
    <row r="14749" spans="1:15" x14ac:dyDescent="0.25">
      <c r="A14749" t="s">
        <v>14762</v>
      </c>
      <c r="B14749">
        <v>158</v>
      </c>
      <c r="C14749" s="1" t="str">
        <f>HYPERLINK("http://www.rosaceae.org/gb/gbrowse/malus_x_domestica/?name=MDP0000140166","MDP0000140166")</f>
        <v>MDP0000140166</v>
      </c>
      <c r="D14749">
        <v>63.23</v>
      </c>
      <c r="E14749">
        <v>136</v>
      </c>
      <c r="F14749">
        <v>50</v>
      </c>
      <c r="G14749">
        <v>3</v>
      </c>
      <c r="H14749">
        <v>22</v>
      </c>
      <c r="I14749">
        <v>157</v>
      </c>
      <c r="J14749">
        <v>1</v>
      </c>
      <c r="K14749">
        <v>52</v>
      </c>
      <c r="L14749">
        <v>184</v>
      </c>
      <c r="M14749">
        <v>1</v>
      </c>
      <c r="N14749">
        <v>4.8433500000000001E-39</v>
      </c>
      <c r="O14749">
        <v>396</v>
      </c>
    </row>
    <row r="14750" spans="1:15" x14ac:dyDescent="0.25">
      <c r="A14750" t="s">
        <v>14763</v>
      </c>
      <c r="B14750">
        <v>136</v>
      </c>
      <c r="C14750" s="1" t="str">
        <f>HYPERLINK("http://www.rosaceae.org/gb/gbrowse/malus_x_domestica/?name=MDP0000556302","MDP0000556302")</f>
        <v>MDP0000556302</v>
      </c>
      <c r="D14750">
        <v>60.15</v>
      </c>
      <c r="E14750">
        <v>133</v>
      </c>
      <c r="F14750">
        <v>53</v>
      </c>
      <c r="G14750">
        <v>0</v>
      </c>
      <c r="H14750">
        <v>2</v>
      </c>
      <c r="I14750">
        <v>134</v>
      </c>
      <c r="J14750">
        <v>1</v>
      </c>
      <c r="K14750">
        <v>65</v>
      </c>
      <c r="L14750">
        <v>197</v>
      </c>
      <c r="M14750">
        <v>1</v>
      </c>
      <c r="N14750">
        <v>2.1783400000000002E-40</v>
      </c>
      <c r="O14750">
        <v>407</v>
      </c>
    </row>
    <row r="14751" spans="1:15" x14ac:dyDescent="0.25">
      <c r="A14751" t="s">
        <v>14764</v>
      </c>
      <c r="B14751">
        <v>213</v>
      </c>
      <c r="C14751" s="1" t="str">
        <f>HYPERLINK("http://www.rosaceae.org/gb/gbrowse/malus_x_domestica/?name=MDP0000294097","MDP0000294097")</f>
        <v>MDP0000294097</v>
      </c>
      <c r="D14751">
        <v>62.69</v>
      </c>
      <c r="E14751">
        <v>260</v>
      </c>
      <c r="F14751">
        <v>97</v>
      </c>
      <c r="G14751">
        <v>52</v>
      </c>
      <c r="H14751">
        <v>1</v>
      </c>
      <c r="I14751">
        <v>213</v>
      </c>
      <c r="J14751">
        <v>1</v>
      </c>
      <c r="K14751">
        <v>4</v>
      </c>
      <c r="L14751">
        <v>258</v>
      </c>
      <c r="M14751">
        <v>1</v>
      </c>
      <c r="N14751">
        <v>3.8591400000000002E-84</v>
      </c>
      <c r="O14751">
        <v>788</v>
      </c>
    </row>
    <row r="14752" spans="1:15" x14ac:dyDescent="0.25">
      <c r="A14752" t="s">
        <v>14765</v>
      </c>
      <c r="B14752">
        <v>428</v>
      </c>
      <c r="C14752" s="1" t="str">
        <f>HYPERLINK("http://www.rosaceae.org/gb/gbrowse/malus_x_domestica/?name=MDP0000941598","MDP0000941598")</f>
        <v>MDP0000941598</v>
      </c>
      <c r="D14752">
        <v>82.4</v>
      </c>
      <c r="E14752">
        <v>432</v>
      </c>
      <c r="F14752">
        <v>76</v>
      </c>
      <c r="G14752">
        <v>4</v>
      </c>
      <c r="H14752">
        <v>1</v>
      </c>
      <c r="I14752">
        <v>428</v>
      </c>
      <c r="J14752">
        <v>1</v>
      </c>
      <c r="K14752">
        <v>1</v>
      </c>
      <c r="L14752">
        <v>432</v>
      </c>
      <c r="M14752">
        <v>1</v>
      </c>
      <c r="N14752">
        <v>0</v>
      </c>
      <c r="O14752">
        <v>1846</v>
      </c>
    </row>
    <row r="14753" spans="1:15" x14ac:dyDescent="0.25">
      <c r="A14753" t="s">
        <v>14766</v>
      </c>
      <c r="B14753">
        <v>230</v>
      </c>
      <c r="C14753" s="1" t="str">
        <f>HYPERLINK("http://www.rosaceae.org/gb/gbrowse/malus_x_domestica/?name=MDP0000264944","MDP0000264944")</f>
        <v>MDP0000264944</v>
      </c>
      <c r="D14753">
        <v>34.94</v>
      </c>
      <c r="E14753">
        <v>269</v>
      </c>
      <c r="F14753">
        <v>175</v>
      </c>
      <c r="G14753">
        <v>64</v>
      </c>
      <c r="H14753">
        <v>1</v>
      </c>
      <c r="I14753">
        <v>229</v>
      </c>
      <c r="J14753">
        <v>1</v>
      </c>
      <c r="K14753">
        <v>2</v>
      </c>
      <c r="L14753">
        <v>246</v>
      </c>
      <c r="M14753">
        <v>1</v>
      </c>
      <c r="N14753">
        <v>4.0006699999999998E-26</v>
      </c>
      <c r="O14753">
        <v>288</v>
      </c>
    </row>
    <row r="14754" spans="1:15" x14ac:dyDescent="0.25">
      <c r="A14754" t="s">
        <v>14767</v>
      </c>
      <c r="B14754">
        <v>303</v>
      </c>
      <c r="C14754" s="1" t="str">
        <f>HYPERLINK("http://www.rosaceae.org/gb/gbrowse/malus_x_domestica/?name=MDP0000290446","MDP0000290446")</f>
        <v>MDP0000290446</v>
      </c>
      <c r="D14754">
        <v>84.84</v>
      </c>
      <c r="E14754">
        <v>33</v>
      </c>
      <c r="F14754">
        <v>5</v>
      </c>
      <c r="G14754">
        <v>0</v>
      </c>
      <c r="H14754">
        <v>60</v>
      </c>
      <c r="I14754">
        <v>92</v>
      </c>
      <c r="J14754">
        <v>1</v>
      </c>
      <c r="K14754">
        <v>65</v>
      </c>
      <c r="L14754">
        <v>97</v>
      </c>
      <c r="M14754">
        <v>1</v>
      </c>
      <c r="N14754">
        <v>3.7692400000000001E-10</v>
      </c>
      <c r="O14754">
        <v>152</v>
      </c>
    </row>
    <row r="14755" spans="1:15" x14ac:dyDescent="0.25">
      <c r="A14755" t="s">
        <v>14768</v>
      </c>
      <c r="B14755">
        <v>312</v>
      </c>
      <c r="C14755" s="1" t="str">
        <f>HYPERLINK("http://www.rosaceae.org/gb/gbrowse/malus_x_domestica/?name=MDP0000139262","MDP0000139262")</f>
        <v>MDP0000139262</v>
      </c>
      <c r="D14755">
        <v>44.3</v>
      </c>
      <c r="E14755">
        <v>316</v>
      </c>
      <c r="F14755">
        <v>176</v>
      </c>
      <c r="G14755">
        <v>25</v>
      </c>
      <c r="H14755">
        <v>15</v>
      </c>
      <c r="I14755">
        <v>310</v>
      </c>
      <c r="J14755">
        <v>1</v>
      </c>
      <c r="K14755">
        <v>17</v>
      </c>
      <c r="L14755">
        <v>327</v>
      </c>
      <c r="M14755">
        <v>1</v>
      </c>
      <c r="N14755">
        <v>4.3581500000000003E-64</v>
      </c>
      <c r="O14755">
        <v>617</v>
      </c>
    </row>
    <row r="14756" spans="1:15" x14ac:dyDescent="0.25">
      <c r="A14756" t="s">
        <v>14769</v>
      </c>
      <c r="B14756">
        <v>354</v>
      </c>
      <c r="C14756" s="1" t="str">
        <f>HYPERLINK("http://www.rosaceae.org/gb/gbrowse/malus_x_domestica/?name=MDP0000119418","MDP0000119418")</f>
        <v>MDP0000119418</v>
      </c>
      <c r="D14756">
        <v>51.32</v>
      </c>
      <c r="E14756">
        <v>339</v>
      </c>
      <c r="F14756">
        <v>165</v>
      </c>
      <c r="G14756">
        <v>19</v>
      </c>
      <c r="H14756">
        <v>29</v>
      </c>
      <c r="I14756">
        <v>350</v>
      </c>
      <c r="J14756">
        <v>1</v>
      </c>
      <c r="K14756">
        <v>35</v>
      </c>
      <c r="L14756">
        <v>371</v>
      </c>
      <c r="M14756">
        <v>1</v>
      </c>
      <c r="N14756">
        <v>7.0030100000000005E-100</v>
      </c>
      <c r="O14756">
        <v>926</v>
      </c>
    </row>
    <row r="14757" spans="1:15" x14ac:dyDescent="0.25">
      <c r="A14757" t="s">
        <v>14770</v>
      </c>
      <c r="B14757">
        <v>131</v>
      </c>
      <c r="C14757" s="1" t="str">
        <f>HYPERLINK("http://www.rosaceae.org/gb/gbrowse/malus_x_domestica/?name=MDP0000473823","MDP0000473823")</f>
        <v>MDP0000473823</v>
      </c>
      <c r="D14757">
        <v>41</v>
      </c>
      <c r="E14757">
        <v>100</v>
      </c>
      <c r="F14757">
        <v>59</v>
      </c>
      <c r="G14757">
        <v>5</v>
      </c>
      <c r="H14757">
        <v>22</v>
      </c>
      <c r="I14757">
        <v>121</v>
      </c>
      <c r="J14757">
        <v>1</v>
      </c>
      <c r="K14757">
        <v>15</v>
      </c>
      <c r="L14757">
        <v>109</v>
      </c>
      <c r="M14757">
        <v>1</v>
      </c>
      <c r="N14757">
        <v>3.2085199999999999E-15</v>
      </c>
      <c r="O14757">
        <v>189</v>
      </c>
    </row>
    <row r="14758" spans="1:15" x14ac:dyDescent="0.25">
      <c r="A14758" t="s">
        <v>14771</v>
      </c>
      <c r="B14758">
        <v>274</v>
      </c>
      <c r="C14758" s="1" t="str">
        <f>HYPERLINK("http://www.rosaceae.org/gb/gbrowse/malus_x_domestica/?name=MDP0000221147","MDP0000221147")</f>
        <v>MDP0000221147</v>
      </c>
      <c r="D14758">
        <v>76.64</v>
      </c>
      <c r="E14758">
        <v>274</v>
      </c>
      <c r="F14758">
        <v>64</v>
      </c>
      <c r="G14758">
        <v>6</v>
      </c>
      <c r="H14758">
        <v>1</v>
      </c>
      <c r="I14758">
        <v>274</v>
      </c>
      <c r="J14758">
        <v>1</v>
      </c>
      <c r="K14758">
        <v>1</v>
      </c>
      <c r="L14758">
        <v>268</v>
      </c>
      <c r="M14758">
        <v>1</v>
      </c>
      <c r="N14758">
        <v>1.2931899999999999E-113</v>
      </c>
      <c r="O14758">
        <v>1043</v>
      </c>
    </row>
    <row r="14759" spans="1:15" x14ac:dyDescent="0.25">
      <c r="A14759" t="s">
        <v>14772</v>
      </c>
      <c r="B14759">
        <v>106</v>
      </c>
      <c r="C14759" s="1" t="str">
        <f>HYPERLINK("http://www.rosaceae.org/gb/gbrowse/malus_x_domestica/?name=MDP0000469141","MDP0000469141")</f>
        <v>MDP0000469141</v>
      </c>
      <c r="D14759">
        <v>66.36</v>
      </c>
      <c r="E14759">
        <v>110</v>
      </c>
      <c r="F14759">
        <v>37</v>
      </c>
      <c r="G14759">
        <v>5</v>
      </c>
      <c r="H14759">
        <v>1</v>
      </c>
      <c r="I14759">
        <v>106</v>
      </c>
      <c r="J14759">
        <v>1</v>
      </c>
      <c r="K14759">
        <v>573</v>
      </c>
      <c r="L14759">
        <v>681</v>
      </c>
      <c r="M14759">
        <v>1</v>
      </c>
      <c r="N14759">
        <v>2.2422199999999999E-29</v>
      </c>
      <c r="O14759">
        <v>311</v>
      </c>
    </row>
    <row r="14760" spans="1:15" x14ac:dyDescent="0.25">
      <c r="A14760" t="s">
        <v>14773</v>
      </c>
      <c r="B14760">
        <v>843</v>
      </c>
      <c r="C14760" s="1" t="str">
        <f>HYPERLINK("http://www.rosaceae.org/gb/gbrowse/malus_x_domestica/?name=MDP0000279398","MDP0000279398")</f>
        <v>MDP0000279398</v>
      </c>
      <c r="D14760">
        <v>70.14</v>
      </c>
      <c r="E14760">
        <v>402</v>
      </c>
      <c r="F14760">
        <v>120</v>
      </c>
      <c r="G14760">
        <v>12</v>
      </c>
      <c r="H14760">
        <v>426</v>
      </c>
      <c r="I14760">
        <v>826</v>
      </c>
      <c r="J14760">
        <v>1</v>
      </c>
      <c r="K14760">
        <v>42</v>
      </c>
      <c r="L14760">
        <v>432</v>
      </c>
      <c r="M14760">
        <v>1</v>
      </c>
      <c r="N14760">
        <v>8.4514999999999997E-168</v>
      </c>
      <c r="O14760">
        <v>1516</v>
      </c>
    </row>
    <row r="14761" spans="1:15" x14ac:dyDescent="0.25">
      <c r="A14761" t="s">
        <v>14774</v>
      </c>
      <c r="B14761">
        <v>436</v>
      </c>
      <c r="C14761" s="1" t="str">
        <f>HYPERLINK("http://www.rosaceae.org/gb/gbrowse/malus_x_domestica/?name=MDP0000199471","MDP0000199471")</f>
        <v>MDP0000199471</v>
      </c>
      <c r="D14761">
        <v>28.5</v>
      </c>
      <c r="E14761">
        <v>214</v>
      </c>
      <c r="F14761">
        <v>153</v>
      </c>
      <c r="G14761">
        <v>47</v>
      </c>
      <c r="H14761">
        <v>107</v>
      </c>
      <c r="I14761">
        <v>279</v>
      </c>
      <c r="J14761">
        <v>1</v>
      </c>
      <c r="K14761">
        <v>29</v>
      </c>
      <c r="L14761">
        <v>236</v>
      </c>
      <c r="M14761">
        <v>1</v>
      </c>
      <c r="N14761">
        <v>2.68924E-14</v>
      </c>
      <c r="O14761">
        <v>189</v>
      </c>
    </row>
    <row r="14762" spans="1:15" x14ac:dyDescent="0.25">
      <c r="A14762" t="s">
        <v>14775</v>
      </c>
      <c r="B14762">
        <v>499</v>
      </c>
      <c r="C14762" s="1" t="str">
        <f>HYPERLINK("http://www.rosaceae.org/gb/gbrowse/malus_x_domestica/?name=MDP0000289123","MDP0000289123")</f>
        <v>MDP0000289123</v>
      </c>
      <c r="D14762">
        <v>35.28</v>
      </c>
      <c r="E14762">
        <v>428</v>
      </c>
      <c r="F14762">
        <v>277</v>
      </c>
      <c r="G14762">
        <v>67</v>
      </c>
      <c r="H14762">
        <v>58</v>
      </c>
      <c r="I14762">
        <v>452</v>
      </c>
      <c r="J14762">
        <v>1</v>
      </c>
      <c r="K14762">
        <v>21</v>
      </c>
      <c r="L14762">
        <v>414</v>
      </c>
      <c r="M14762">
        <v>1</v>
      </c>
      <c r="N14762">
        <v>1.6073100000000001E-46</v>
      </c>
      <c r="O14762">
        <v>468</v>
      </c>
    </row>
    <row r="14763" spans="1:15" x14ac:dyDescent="0.25">
      <c r="A14763" t="s">
        <v>14776</v>
      </c>
      <c r="B14763">
        <v>218</v>
      </c>
      <c r="C14763" s="1" t="str">
        <f>HYPERLINK("http://www.rosaceae.org/gb/gbrowse/malus_x_domestica/?name=MDP0000706530","MDP0000706530")</f>
        <v>MDP0000706530</v>
      </c>
      <c r="D14763">
        <v>84</v>
      </c>
      <c r="E14763">
        <v>200</v>
      </c>
      <c r="F14763">
        <v>32</v>
      </c>
      <c r="G14763">
        <v>2</v>
      </c>
      <c r="H14763">
        <v>15</v>
      </c>
      <c r="I14763">
        <v>212</v>
      </c>
      <c r="J14763">
        <v>1</v>
      </c>
      <c r="K14763">
        <v>28</v>
      </c>
      <c r="L14763">
        <v>227</v>
      </c>
      <c r="M14763">
        <v>1</v>
      </c>
      <c r="N14763">
        <v>4.7054000000000002E-95</v>
      </c>
      <c r="O14763">
        <v>882</v>
      </c>
    </row>
    <row r="14764" spans="1:15" x14ac:dyDescent="0.25">
      <c r="A14764" t="s">
        <v>14777</v>
      </c>
      <c r="B14764">
        <v>1060</v>
      </c>
      <c r="C14764" s="1" t="str">
        <f>HYPERLINK("http://www.rosaceae.org/gb/gbrowse/malus_x_domestica/?name=MDP0000568197","MDP0000568197")</f>
        <v>MDP0000568197</v>
      </c>
      <c r="D14764">
        <v>34.31</v>
      </c>
      <c r="E14764">
        <v>306</v>
      </c>
      <c r="F14764">
        <v>201</v>
      </c>
      <c r="G14764">
        <v>40</v>
      </c>
      <c r="H14764">
        <v>123</v>
      </c>
      <c r="I14764">
        <v>400</v>
      </c>
      <c r="J14764">
        <v>1</v>
      </c>
      <c r="K14764">
        <v>11</v>
      </c>
      <c r="L14764">
        <v>304</v>
      </c>
      <c r="M14764">
        <v>1</v>
      </c>
      <c r="N14764">
        <v>3.0183499999999998E-35</v>
      </c>
      <c r="O14764">
        <v>374</v>
      </c>
    </row>
    <row r="14765" spans="1:15" x14ac:dyDescent="0.25">
      <c r="A14765" t="s">
        <v>14778</v>
      </c>
      <c r="B14765">
        <v>694</v>
      </c>
      <c r="C14765" s="1" t="str">
        <f>HYPERLINK("http://www.rosaceae.org/gb/gbrowse/malus_x_domestica/?name=MDP0000124624","MDP0000124624")</f>
        <v>MDP0000124624</v>
      </c>
      <c r="D14765">
        <v>68.73</v>
      </c>
      <c r="E14765">
        <v>499</v>
      </c>
      <c r="F14765">
        <v>156</v>
      </c>
      <c r="G14765">
        <v>9</v>
      </c>
      <c r="H14765">
        <v>157</v>
      </c>
      <c r="I14765">
        <v>652</v>
      </c>
      <c r="J14765">
        <v>1</v>
      </c>
      <c r="K14765">
        <v>2</v>
      </c>
      <c r="L14765">
        <v>494</v>
      </c>
      <c r="M14765">
        <v>1</v>
      </c>
      <c r="N14765">
        <v>0</v>
      </c>
      <c r="O14765">
        <v>1697</v>
      </c>
    </row>
    <row r="14766" spans="1:15" x14ac:dyDescent="0.25">
      <c r="A14766" t="s">
        <v>14779</v>
      </c>
      <c r="B14766">
        <v>219</v>
      </c>
      <c r="C14766" s="1" t="str">
        <f>HYPERLINK("http://www.rosaceae.org/gb/gbrowse/malus_x_domestica/?name=MDP0000284588","MDP0000284588")</f>
        <v>MDP0000284588</v>
      </c>
      <c r="D14766">
        <v>53.51</v>
      </c>
      <c r="E14766">
        <v>185</v>
      </c>
      <c r="F14766">
        <v>86</v>
      </c>
      <c r="G14766">
        <v>24</v>
      </c>
      <c r="H14766">
        <v>1</v>
      </c>
      <c r="I14766">
        <v>166</v>
      </c>
      <c r="J14766">
        <v>1</v>
      </c>
      <c r="K14766">
        <v>1</v>
      </c>
      <c r="L14766">
        <v>180</v>
      </c>
      <c r="M14766">
        <v>1</v>
      </c>
      <c r="N14766">
        <v>6.3878199999999998E-48</v>
      </c>
      <c r="O14766">
        <v>475</v>
      </c>
    </row>
    <row r="14767" spans="1:15" x14ac:dyDescent="0.25">
      <c r="A14767" t="s">
        <v>14780</v>
      </c>
      <c r="B14767">
        <v>486</v>
      </c>
      <c r="C14767" s="1" t="str">
        <f>HYPERLINK("http://www.rosaceae.org/gb/gbrowse/malus_x_domestica/?name=MDP0000306343","MDP0000306343")</f>
        <v>MDP0000306343</v>
      </c>
      <c r="D14767">
        <v>82.75</v>
      </c>
      <c r="E14767">
        <v>116</v>
      </c>
      <c r="F14767">
        <v>20</v>
      </c>
      <c r="G14767">
        <v>0</v>
      </c>
      <c r="H14767">
        <v>225</v>
      </c>
      <c r="I14767">
        <v>340</v>
      </c>
      <c r="J14767">
        <v>1</v>
      </c>
      <c r="K14767">
        <v>269</v>
      </c>
      <c r="L14767">
        <v>384</v>
      </c>
      <c r="M14767">
        <v>1</v>
      </c>
      <c r="N14767">
        <v>8.64062E-50</v>
      </c>
      <c r="O14767">
        <v>496</v>
      </c>
    </row>
    <row r="14768" spans="1:15" x14ac:dyDescent="0.25">
      <c r="A14768" t="s">
        <v>14781</v>
      </c>
      <c r="B14768">
        <v>266</v>
      </c>
      <c r="C14768" s="1" t="str">
        <f>HYPERLINK("http://www.rosaceae.org/gb/gbrowse/malus_x_domestica/?name=MDP0000217844","MDP0000217844")</f>
        <v>MDP0000217844</v>
      </c>
      <c r="D14768">
        <v>59.32</v>
      </c>
      <c r="E14768">
        <v>236</v>
      </c>
      <c r="F14768">
        <v>96</v>
      </c>
      <c r="G14768">
        <v>28</v>
      </c>
      <c r="H14768">
        <v>1</v>
      </c>
      <c r="I14768">
        <v>209</v>
      </c>
      <c r="J14768">
        <v>1</v>
      </c>
      <c r="K14768">
        <v>108</v>
      </c>
      <c r="L14768">
        <v>342</v>
      </c>
      <c r="M14768">
        <v>1</v>
      </c>
      <c r="N14768">
        <v>2.2376699999999999E-72</v>
      </c>
      <c r="O14768">
        <v>687</v>
      </c>
    </row>
    <row r="14769" spans="1:15" x14ac:dyDescent="0.25">
      <c r="A14769" t="s">
        <v>14782</v>
      </c>
      <c r="B14769">
        <v>336</v>
      </c>
      <c r="C14769" s="1" t="str">
        <f>HYPERLINK("http://www.rosaceae.org/gb/gbrowse/malus_x_domestica/?name=MDP0000670228","MDP0000670228")</f>
        <v>MDP0000670228</v>
      </c>
      <c r="D14769">
        <v>26.45</v>
      </c>
      <c r="E14769">
        <v>189</v>
      </c>
      <c r="F14769">
        <v>139</v>
      </c>
      <c r="G14769">
        <v>42</v>
      </c>
      <c r="H14769">
        <v>142</v>
      </c>
      <c r="I14769">
        <v>313</v>
      </c>
      <c r="J14769">
        <v>1</v>
      </c>
      <c r="K14769">
        <v>146</v>
      </c>
      <c r="L14769">
        <v>309</v>
      </c>
      <c r="M14769">
        <v>1</v>
      </c>
      <c r="N14769">
        <v>9.5437500000000003E-10</v>
      </c>
      <c r="O14769">
        <v>149</v>
      </c>
    </row>
    <row r="14770" spans="1:15" x14ac:dyDescent="0.25">
      <c r="A14770" t="s">
        <v>14783</v>
      </c>
      <c r="B14770">
        <v>131</v>
      </c>
      <c r="C14770" s="1" t="str">
        <f>HYPERLINK("http://www.rosaceae.org/gb/gbrowse/malus_x_domestica/?name=MDP0000408630","MDP0000408630")</f>
        <v>MDP0000408630</v>
      </c>
      <c r="D14770">
        <v>88.54</v>
      </c>
      <c r="E14770">
        <v>131</v>
      </c>
      <c r="F14770">
        <v>15</v>
      </c>
      <c r="G14770">
        <v>0</v>
      </c>
      <c r="H14770">
        <v>1</v>
      </c>
      <c r="I14770">
        <v>131</v>
      </c>
      <c r="J14770">
        <v>1</v>
      </c>
      <c r="K14770">
        <v>1</v>
      </c>
      <c r="L14770">
        <v>131</v>
      </c>
      <c r="M14770">
        <v>1</v>
      </c>
      <c r="N14770">
        <v>1.7771599999999999E-67</v>
      </c>
      <c r="O14770">
        <v>640</v>
      </c>
    </row>
    <row r="14771" spans="1:15" x14ac:dyDescent="0.25">
      <c r="A14771" t="s">
        <v>14784</v>
      </c>
      <c r="B14771">
        <v>984</v>
      </c>
      <c r="C14771" s="1" t="str">
        <f>HYPERLINK("http://www.rosaceae.org/gb/gbrowse/malus_x_domestica/?name=MDP0000283213","MDP0000283213")</f>
        <v>MDP0000283213</v>
      </c>
      <c r="D14771">
        <v>75.55</v>
      </c>
      <c r="E14771">
        <v>986</v>
      </c>
      <c r="F14771">
        <v>241</v>
      </c>
      <c r="G14771">
        <v>9</v>
      </c>
      <c r="H14771">
        <v>1</v>
      </c>
      <c r="I14771">
        <v>980</v>
      </c>
      <c r="J14771">
        <v>1</v>
      </c>
      <c r="K14771">
        <v>328</v>
      </c>
      <c r="L14771">
        <v>1310</v>
      </c>
      <c r="M14771">
        <v>1</v>
      </c>
      <c r="N14771">
        <v>0</v>
      </c>
      <c r="O14771">
        <v>3977</v>
      </c>
    </row>
    <row r="14772" spans="1:15" x14ac:dyDescent="0.25">
      <c r="A14772" t="s">
        <v>14785</v>
      </c>
      <c r="B14772">
        <v>218</v>
      </c>
      <c r="C14772" s="1" t="str">
        <f>HYPERLINK("http://www.rosaceae.org/gb/gbrowse/malus_x_domestica/?name=MDP0000310632","MDP0000310632")</f>
        <v>MDP0000310632</v>
      </c>
      <c r="D14772">
        <v>88.46</v>
      </c>
      <c r="E14772">
        <v>156</v>
      </c>
      <c r="F14772">
        <v>18</v>
      </c>
      <c r="G14772">
        <v>1</v>
      </c>
      <c r="H14772">
        <v>54</v>
      </c>
      <c r="I14772">
        <v>209</v>
      </c>
      <c r="J14772">
        <v>1</v>
      </c>
      <c r="K14772">
        <v>1</v>
      </c>
      <c r="L14772">
        <v>155</v>
      </c>
      <c r="M14772">
        <v>1</v>
      </c>
      <c r="N14772">
        <v>1.6939600000000001E-79</v>
      </c>
      <c r="O14772">
        <v>748</v>
      </c>
    </row>
    <row r="14773" spans="1:15" x14ac:dyDescent="0.25">
      <c r="A14773" t="s">
        <v>14786</v>
      </c>
      <c r="B14773">
        <v>425</v>
      </c>
      <c r="C14773" s="1" t="str">
        <f>HYPERLINK("http://www.rosaceae.org/gb/gbrowse/malus_x_domestica/?name=MDP0000383809","MDP0000383809")</f>
        <v>MDP0000383809</v>
      </c>
      <c r="D14773">
        <v>36.97</v>
      </c>
      <c r="E14773">
        <v>119</v>
      </c>
      <c r="F14773">
        <v>75</v>
      </c>
      <c r="G14773">
        <v>0</v>
      </c>
      <c r="H14773">
        <v>305</v>
      </c>
      <c r="I14773">
        <v>423</v>
      </c>
      <c r="J14773">
        <v>1</v>
      </c>
      <c r="K14773">
        <v>1296</v>
      </c>
      <c r="L14773">
        <v>1414</v>
      </c>
      <c r="M14773">
        <v>1</v>
      </c>
      <c r="N14773">
        <v>5.0225299999999998E-16</v>
      </c>
      <c r="O14773">
        <v>204</v>
      </c>
    </row>
    <row r="14774" spans="1:15" x14ac:dyDescent="0.25">
      <c r="A14774" t="s">
        <v>14787</v>
      </c>
      <c r="B14774">
        <v>348</v>
      </c>
      <c r="C14774" s="1" t="str">
        <f>HYPERLINK("http://www.rosaceae.org/gb/gbrowse/malus_x_domestica/?name=MDP0000303291","MDP0000303291")</f>
        <v>MDP0000303291</v>
      </c>
      <c r="D14774">
        <v>91.06</v>
      </c>
      <c r="E14774">
        <v>179</v>
      </c>
      <c r="F14774">
        <v>16</v>
      </c>
      <c r="G14774">
        <v>6</v>
      </c>
      <c r="H14774">
        <v>72</v>
      </c>
      <c r="I14774">
        <v>246</v>
      </c>
      <c r="J14774">
        <v>1</v>
      </c>
      <c r="K14774">
        <v>59</v>
      </c>
      <c r="L14774">
        <v>235</v>
      </c>
      <c r="M14774">
        <v>1</v>
      </c>
      <c r="N14774">
        <v>1.0394099999999999E-90</v>
      </c>
      <c r="O14774">
        <v>847</v>
      </c>
    </row>
    <row r="14775" spans="1:15" x14ac:dyDescent="0.25">
      <c r="A14775" t="s">
        <v>14788</v>
      </c>
      <c r="B14775">
        <v>217</v>
      </c>
      <c r="C14775" s="1" t="str">
        <f>HYPERLINK("http://www.rosaceae.org/gb/gbrowse/malus_x_domestica/?name=MDP0000383450","MDP0000383450")</f>
        <v>MDP0000383450</v>
      </c>
      <c r="D14775">
        <v>42.79</v>
      </c>
      <c r="E14775">
        <v>215</v>
      </c>
      <c r="F14775">
        <v>123</v>
      </c>
      <c r="G14775">
        <v>36</v>
      </c>
      <c r="H14775">
        <v>3</v>
      </c>
      <c r="I14775">
        <v>181</v>
      </c>
      <c r="J14775">
        <v>1</v>
      </c>
      <c r="K14775">
        <v>403</v>
      </c>
      <c r="L14775">
        <v>617</v>
      </c>
      <c r="M14775">
        <v>1</v>
      </c>
      <c r="N14775">
        <v>3.6194399999999998E-50</v>
      </c>
      <c r="O14775">
        <v>495</v>
      </c>
    </row>
    <row r="14776" spans="1:15" x14ac:dyDescent="0.25">
      <c r="A14776" t="s">
        <v>14789</v>
      </c>
      <c r="B14776">
        <v>252</v>
      </c>
      <c r="C14776" s="1" t="str">
        <f>HYPERLINK("http://www.rosaceae.org/gb/gbrowse/malus_x_domestica/?name=MDP0000225549","MDP0000225549")</f>
        <v>MDP0000225549</v>
      </c>
      <c r="D14776">
        <v>29.58</v>
      </c>
      <c r="E14776">
        <v>169</v>
      </c>
      <c r="F14776">
        <v>119</v>
      </c>
      <c r="G14776">
        <v>45</v>
      </c>
      <c r="H14776">
        <v>30</v>
      </c>
      <c r="I14776">
        <v>153</v>
      </c>
      <c r="J14776">
        <v>1</v>
      </c>
      <c r="K14776">
        <v>1</v>
      </c>
      <c r="L14776">
        <v>169</v>
      </c>
      <c r="M14776">
        <v>1</v>
      </c>
      <c r="N14776">
        <v>4.8831099999999998E-15</v>
      </c>
      <c r="O14776">
        <v>193</v>
      </c>
    </row>
    <row r="14777" spans="1:15" x14ac:dyDescent="0.25">
      <c r="A14777" t="s">
        <v>14790</v>
      </c>
      <c r="B14777">
        <v>133</v>
      </c>
      <c r="C14777" s="1" t="str">
        <f>HYPERLINK("http://www.rosaceae.org/gb/gbrowse/malus_x_domestica/?name=MDP0000263508","MDP0000263508")</f>
        <v>MDP0000263508</v>
      </c>
      <c r="D14777">
        <v>90.76</v>
      </c>
      <c r="E14777">
        <v>65</v>
      </c>
      <c r="F14777">
        <v>6</v>
      </c>
      <c r="G14777">
        <v>0</v>
      </c>
      <c r="H14777">
        <v>67</v>
      </c>
      <c r="I14777">
        <v>131</v>
      </c>
      <c r="J14777">
        <v>1</v>
      </c>
      <c r="K14777">
        <v>8</v>
      </c>
      <c r="L14777">
        <v>72</v>
      </c>
      <c r="M14777">
        <v>1</v>
      </c>
      <c r="N14777">
        <v>1.38725E-29</v>
      </c>
      <c r="O14777">
        <v>313</v>
      </c>
    </row>
    <row r="14778" spans="1:15" x14ac:dyDescent="0.25">
      <c r="A14778" t="s">
        <v>14791</v>
      </c>
      <c r="B14778">
        <v>849</v>
      </c>
      <c r="C14778" s="1" t="str">
        <f>HYPERLINK("http://www.rosaceae.org/gb/gbrowse/malus_x_domestica/?name=MDP0000175904","MDP0000175904")</f>
        <v>MDP0000175904</v>
      </c>
      <c r="D14778">
        <v>69.930000000000007</v>
      </c>
      <c r="E14778">
        <v>868</v>
      </c>
      <c r="F14778">
        <v>261</v>
      </c>
      <c r="G14778">
        <v>53</v>
      </c>
      <c r="H14778">
        <v>1</v>
      </c>
      <c r="I14778">
        <v>849</v>
      </c>
      <c r="J14778">
        <v>1</v>
      </c>
      <c r="K14778">
        <v>36</v>
      </c>
      <c r="L14778">
        <v>869</v>
      </c>
      <c r="M14778">
        <v>1</v>
      </c>
      <c r="N14778">
        <v>0</v>
      </c>
      <c r="O14778">
        <v>2990</v>
      </c>
    </row>
    <row r="14779" spans="1:15" x14ac:dyDescent="0.25">
      <c r="A14779" t="s">
        <v>14792</v>
      </c>
      <c r="B14779">
        <v>430</v>
      </c>
      <c r="C14779" s="1" t="str">
        <f>HYPERLINK("http://www.rosaceae.org/gb/gbrowse/malus_x_domestica/?name=MDP0000140000","MDP0000140000")</f>
        <v>MDP0000140000</v>
      </c>
      <c r="D14779">
        <v>86.36</v>
      </c>
      <c r="E14779">
        <v>374</v>
      </c>
      <c r="F14779">
        <v>51</v>
      </c>
      <c r="G14779">
        <v>15</v>
      </c>
      <c r="H14779">
        <v>58</v>
      </c>
      <c r="I14779">
        <v>419</v>
      </c>
      <c r="J14779">
        <v>1</v>
      </c>
      <c r="K14779">
        <v>45</v>
      </c>
      <c r="L14779">
        <v>415</v>
      </c>
      <c r="M14779">
        <v>1</v>
      </c>
      <c r="N14779">
        <v>0</v>
      </c>
      <c r="O14779">
        <v>1659</v>
      </c>
    </row>
    <row r="14780" spans="1:15" x14ac:dyDescent="0.25">
      <c r="A14780" t="s">
        <v>14793</v>
      </c>
      <c r="B14780">
        <v>260</v>
      </c>
      <c r="C14780" s="1" t="str">
        <f>HYPERLINK("http://www.rosaceae.org/gb/gbrowse/malus_x_domestica/?name=MDP0000157209","MDP0000157209")</f>
        <v>MDP0000157209</v>
      </c>
      <c r="D14780">
        <v>73.75</v>
      </c>
      <c r="E14780">
        <v>320</v>
      </c>
      <c r="F14780">
        <v>84</v>
      </c>
      <c r="G14780">
        <v>61</v>
      </c>
      <c r="H14780">
        <v>2</v>
      </c>
      <c r="I14780">
        <v>260</v>
      </c>
      <c r="J14780">
        <v>1</v>
      </c>
      <c r="K14780">
        <v>7</v>
      </c>
      <c r="L14780">
        <v>326</v>
      </c>
      <c r="M14780">
        <v>1</v>
      </c>
      <c r="N14780">
        <v>3.39001E-128</v>
      </c>
      <c r="O14780">
        <v>1169</v>
      </c>
    </row>
    <row r="14781" spans="1:15" x14ac:dyDescent="0.25">
      <c r="A14781" t="s">
        <v>14794</v>
      </c>
      <c r="B14781">
        <v>331</v>
      </c>
      <c r="C14781" s="1" t="str">
        <f>HYPERLINK("http://www.rosaceae.org/gb/gbrowse/malus_x_domestica/?name=MDP0000228838","MDP0000228838")</f>
        <v>MDP0000228838</v>
      </c>
      <c r="D14781">
        <v>45.37</v>
      </c>
      <c r="E14781">
        <v>324</v>
      </c>
      <c r="F14781">
        <v>177</v>
      </c>
      <c r="G14781">
        <v>54</v>
      </c>
      <c r="H14781">
        <v>8</v>
      </c>
      <c r="I14781">
        <v>330</v>
      </c>
      <c r="J14781">
        <v>1</v>
      </c>
      <c r="K14781">
        <v>7</v>
      </c>
      <c r="L14781">
        <v>277</v>
      </c>
      <c r="M14781">
        <v>1</v>
      </c>
      <c r="N14781">
        <v>3.7366500000000003E-61</v>
      </c>
      <c r="O14781">
        <v>592</v>
      </c>
    </row>
    <row r="14782" spans="1:15" x14ac:dyDescent="0.25">
      <c r="A14782" t="s">
        <v>14795</v>
      </c>
      <c r="B14782">
        <v>936</v>
      </c>
      <c r="C14782" s="1" t="str">
        <f>HYPERLINK("http://www.rosaceae.org/gb/gbrowse/malus_x_domestica/?name=MDP0000131298","MDP0000131298")</f>
        <v>MDP0000131298</v>
      </c>
      <c r="D14782">
        <v>72.5</v>
      </c>
      <c r="E14782">
        <v>502</v>
      </c>
      <c r="F14782">
        <v>138</v>
      </c>
      <c r="G14782">
        <v>2</v>
      </c>
      <c r="H14782">
        <v>435</v>
      </c>
      <c r="I14782">
        <v>936</v>
      </c>
      <c r="J14782">
        <v>1</v>
      </c>
      <c r="K14782">
        <v>133</v>
      </c>
      <c r="L14782">
        <v>632</v>
      </c>
      <c r="M14782">
        <v>1</v>
      </c>
      <c r="N14782">
        <v>0</v>
      </c>
      <c r="O14782">
        <v>1983</v>
      </c>
    </row>
    <row r="14783" spans="1:15" x14ac:dyDescent="0.25">
      <c r="A14783" t="s">
        <v>14796</v>
      </c>
      <c r="B14783">
        <v>508</v>
      </c>
      <c r="C14783" s="1" t="str">
        <f>HYPERLINK("http://www.rosaceae.org/gb/gbrowse/malus_x_domestica/?name=MDP0000281064","MDP0000281064")</f>
        <v>MDP0000281064</v>
      </c>
      <c r="D14783">
        <v>57.28</v>
      </c>
      <c r="E14783">
        <v>398</v>
      </c>
      <c r="F14783">
        <v>170</v>
      </c>
      <c r="G14783">
        <v>12</v>
      </c>
      <c r="H14783">
        <v>80</v>
      </c>
      <c r="I14783">
        <v>477</v>
      </c>
      <c r="J14783">
        <v>1</v>
      </c>
      <c r="K14783">
        <v>87</v>
      </c>
      <c r="L14783">
        <v>472</v>
      </c>
      <c r="M14783">
        <v>1</v>
      </c>
      <c r="N14783">
        <v>2.0434599999999999E-131</v>
      </c>
      <c r="O14783">
        <v>1200</v>
      </c>
    </row>
    <row r="14784" spans="1:15" x14ac:dyDescent="0.25">
      <c r="A14784" t="s">
        <v>14797</v>
      </c>
      <c r="B14784">
        <v>857</v>
      </c>
      <c r="C14784" s="1" t="str">
        <f>HYPERLINK("http://www.rosaceae.org/gb/gbrowse/malus_x_domestica/?name=MDP0000607392","MDP0000607392")</f>
        <v>MDP0000607392</v>
      </c>
      <c r="D14784">
        <v>77.97</v>
      </c>
      <c r="E14784">
        <v>867</v>
      </c>
      <c r="F14784">
        <v>191</v>
      </c>
      <c r="G14784">
        <v>15</v>
      </c>
      <c r="H14784">
        <v>4</v>
      </c>
      <c r="I14784">
        <v>855</v>
      </c>
      <c r="J14784">
        <v>1</v>
      </c>
      <c r="K14784">
        <v>12</v>
      </c>
      <c r="L14784">
        <v>878</v>
      </c>
      <c r="M14784">
        <v>1</v>
      </c>
      <c r="N14784">
        <v>0</v>
      </c>
      <c r="O14784">
        <v>3636</v>
      </c>
    </row>
    <row r="14785" spans="1:15" x14ac:dyDescent="0.25">
      <c r="A14785" t="s">
        <v>14798</v>
      </c>
      <c r="B14785">
        <v>510</v>
      </c>
      <c r="C14785" s="1" t="str">
        <f>HYPERLINK("http://www.rosaceae.org/gb/gbrowse/malus_x_domestica/?name=MDP0000662845","MDP0000662845")</f>
        <v>MDP0000662845</v>
      </c>
      <c r="D14785">
        <v>48.14</v>
      </c>
      <c r="E14785">
        <v>405</v>
      </c>
      <c r="F14785">
        <v>210</v>
      </c>
      <c r="G14785">
        <v>38</v>
      </c>
      <c r="H14785">
        <v>13</v>
      </c>
      <c r="I14785">
        <v>395</v>
      </c>
      <c r="J14785">
        <v>1</v>
      </c>
      <c r="K14785">
        <v>3</v>
      </c>
      <c r="L14785">
        <v>391</v>
      </c>
      <c r="M14785">
        <v>1</v>
      </c>
      <c r="N14785">
        <v>1.8635300000000001E-92</v>
      </c>
      <c r="O14785">
        <v>864</v>
      </c>
    </row>
    <row r="14786" spans="1:15" x14ac:dyDescent="0.25">
      <c r="A14786" t="s">
        <v>14799</v>
      </c>
      <c r="B14786">
        <v>309</v>
      </c>
      <c r="C14786" s="1" t="str">
        <f>HYPERLINK("http://www.rosaceae.org/gb/gbrowse/malus_x_domestica/?name=MDP0000144960","MDP0000144960")</f>
        <v>MDP0000144960</v>
      </c>
      <c r="D14786">
        <v>77.88</v>
      </c>
      <c r="E14786">
        <v>312</v>
      </c>
      <c r="F14786">
        <v>69</v>
      </c>
      <c r="G14786">
        <v>5</v>
      </c>
      <c r="H14786">
        <v>1</v>
      </c>
      <c r="I14786">
        <v>309</v>
      </c>
      <c r="J14786">
        <v>1</v>
      </c>
      <c r="K14786">
        <v>1</v>
      </c>
      <c r="L14786">
        <v>310</v>
      </c>
      <c r="M14786">
        <v>1</v>
      </c>
      <c r="N14786">
        <v>2.4422599999999999E-141</v>
      </c>
      <c r="O14786">
        <v>1283</v>
      </c>
    </row>
    <row r="14787" spans="1:15" x14ac:dyDescent="0.25">
      <c r="A14787" t="s">
        <v>14800</v>
      </c>
      <c r="B14787">
        <v>495</v>
      </c>
      <c r="C14787" s="1" t="str">
        <f>HYPERLINK("http://www.rosaceae.org/gb/gbrowse/malus_x_domestica/?name=MDP0000558147","MDP0000558147")</f>
        <v>MDP0000558147</v>
      </c>
      <c r="D14787">
        <v>55.11</v>
      </c>
      <c r="E14787">
        <v>459</v>
      </c>
      <c r="F14787">
        <v>206</v>
      </c>
      <c r="G14787">
        <v>30</v>
      </c>
      <c r="H14787">
        <v>34</v>
      </c>
      <c r="I14787">
        <v>486</v>
      </c>
      <c r="J14787">
        <v>1</v>
      </c>
      <c r="K14787">
        <v>26</v>
      </c>
      <c r="L14787">
        <v>460</v>
      </c>
      <c r="M14787">
        <v>1</v>
      </c>
      <c r="N14787">
        <v>5.3746699999999997E-135</v>
      </c>
      <c r="O14787">
        <v>1231</v>
      </c>
    </row>
    <row r="14788" spans="1:15" x14ac:dyDescent="0.25">
      <c r="A14788" t="s">
        <v>14801</v>
      </c>
      <c r="B14788">
        <v>240</v>
      </c>
      <c r="C14788" s="1" t="str">
        <f>HYPERLINK("http://www.rosaceae.org/gb/gbrowse/malus_x_domestica/?name=MDP0000296584","MDP0000296584")</f>
        <v>MDP0000296584</v>
      </c>
      <c r="D14788">
        <v>84.64</v>
      </c>
      <c r="E14788">
        <v>241</v>
      </c>
      <c r="F14788">
        <v>37</v>
      </c>
      <c r="G14788">
        <v>1</v>
      </c>
      <c r="H14788">
        <v>1</v>
      </c>
      <c r="I14788">
        <v>240</v>
      </c>
      <c r="J14788">
        <v>1</v>
      </c>
      <c r="K14788">
        <v>1</v>
      </c>
      <c r="L14788">
        <v>241</v>
      </c>
      <c r="M14788">
        <v>1</v>
      </c>
      <c r="N14788">
        <v>2.83087E-122</v>
      </c>
      <c r="O14788">
        <v>1117</v>
      </c>
    </row>
    <row r="14789" spans="1:15" x14ac:dyDescent="0.25">
      <c r="A14789" t="s">
        <v>14802</v>
      </c>
      <c r="B14789">
        <v>166</v>
      </c>
      <c r="C14789" s="1" t="str">
        <f>HYPERLINK("http://www.rosaceae.org/gb/gbrowse/malus_x_domestica/?name=MDP0000238038","MDP0000238038")</f>
        <v>MDP0000238038</v>
      </c>
      <c r="D14789">
        <v>80.34</v>
      </c>
      <c r="E14789">
        <v>117</v>
      </c>
      <c r="F14789">
        <v>23</v>
      </c>
      <c r="G14789">
        <v>0</v>
      </c>
      <c r="H14789">
        <v>50</v>
      </c>
      <c r="I14789">
        <v>166</v>
      </c>
      <c r="J14789">
        <v>1</v>
      </c>
      <c r="K14789">
        <v>143</v>
      </c>
      <c r="L14789">
        <v>259</v>
      </c>
      <c r="M14789">
        <v>1</v>
      </c>
      <c r="N14789">
        <v>6.3120599999999997E-52</v>
      </c>
      <c r="O14789">
        <v>508</v>
      </c>
    </row>
    <row r="14790" spans="1:15" x14ac:dyDescent="0.25">
      <c r="A14790" t="s">
        <v>14803</v>
      </c>
      <c r="B14790">
        <v>713</v>
      </c>
      <c r="C14790" s="1" t="str">
        <f>HYPERLINK("http://www.rosaceae.org/gb/gbrowse/malus_x_domestica/?name=MDP0000893454","MDP0000893454")</f>
        <v>MDP0000893454</v>
      </c>
      <c r="D14790">
        <v>69.010000000000005</v>
      </c>
      <c r="E14790">
        <v>652</v>
      </c>
      <c r="F14790">
        <v>202</v>
      </c>
      <c r="G14790">
        <v>5</v>
      </c>
      <c r="H14790">
        <v>66</v>
      </c>
      <c r="I14790">
        <v>713</v>
      </c>
      <c r="J14790">
        <v>1</v>
      </c>
      <c r="K14790">
        <v>53</v>
      </c>
      <c r="L14790">
        <v>703</v>
      </c>
      <c r="M14790">
        <v>1</v>
      </c>
      <c r="N14790">
        <v>0</v>
      </c>
      <c r="O14790">
        <v>2206</v>
      </c>
    </row>
    <row r="14791" spans="1:15" x14ac:dyDescent="0.25">
      <c r="A14791" t="s">
        <v>14804</v>
      </c>
      <c r="B14791">
        <v>495</v>
      </c>
      <c r="C14791" s="1" t="str">
        <f>HYPERLINK("http://www.rosaceae.org/gb/gbrowse/malus_x_domestica/?name=MDP0000553830","MDP0000553830")</f>
        <v>MDP0000553830</v>
      </c>
      <c r="D14791">
        <v>64.87</v>
      </c>
      <c r="E14791">
        <v>501</v>
      </c>
      <c r="F14791">
        <v>176</v>
      </c>
      <c r="G14791">
        <v>14</v>
      </c>
      <c r="H14791">
        <v>1</v>
      </c>
      <c r="I14791">
        <v>495</v>
      </c>
      <c r="J14791">
        <v>1</v>
      </c>
      <c r="K14791">
        <v>1</v>
      </c>
      <c r="L14791">
        <v>493</v>
      </c>
      <c r="M14791">
        <v>1</v>
      </c>
      <c r="N14791">
        <v>2.34326E-178</v>
      </c>
      <c r="O14791">
        <v>1605</v>
      </c>
    </row>
    <row r="14792" spans="1:15" x14ac:dyDescent="0.25">
      <c r="A14792" t="s">
        <v>14805</v>
      </c>
      <c r="B14792">
        <v>917</v>
      </c>
      <c r="C14792" s="1" t="str">
        <f>HYPERLINK("http://www.rosaceae.org/gb/gbrowse/malus_x_domestica/?name=MDP0000310615","MDP0000310615")</f>
        <v>MDP0000310615</v>
      </c>
      <c r="D14792">
        <v>49.18</v>
      </c>
      <c r="E14792">
        <v>553</v>
      </c>
      <c r="F14792">
        <v>281</v>
      </c>
      <c r="G14792">
        <v>66</v>
      </c>
      <c r="H14792">
        <v>349</v>
      </c>
      <c r="I14792">
        <v>865</v>
      </c>
      <c r="J14792">
        <v>1</v>
      </c>
      <c r="K14792">
        <v>144</v>
      </c>
      <c r="L14792">
        <v>666</v>
      </c>
      <c r="M14792">
        <v>1</v>
      </c>
      <c r="N14792">
        <v>2.11543E-109</v>
      </c>
      <c r="O14792">
        <v>1013</v>
      </c>
    </row>
    <row r="14793" spans="1:15" x14ac:dyDescent="0.25">
      <c r="A14793" t="s">
        <v>14806</v>
      </c>
      <c r="B14793">
        <v>353</v>
      </c>
      <c r="C14793" s="1" t="str">
        <f>HYPERLINK("http://www.rosaceae.org/gb/gbrowse/malus_x_domestica/?name=MDP0000191017","MDP0000191017")</f>
        <v>MDP0000191017</v>
      </c>
      <c r="D14793">
        <v>60.22</v>
      </c>
      <c r="E14793">
        <v>362</v>
      </c>
      <c r="F14793">
        <v>144</v>
      </c>
      <c r="G14793">
        <v>34</v>
      </c>
      <c r="H14793">
        <v>1</v>
      </c>
      <c r="I14793">
        <v>341</v>
      </c>
      <c r="J14793">
        <v>1</v>
      </c>
      <c r="K14793">
        <v>1</v>
      </c>
      <c r="L14793">
        <v>349</v>
      </c>
      <c r="M14793">
        <v>1</v>
      </c>
      <c r="N14793">
        <v>6.1968900000000004E-103</v>
      </c>
      <c r="O14793">
        <v>953</v>
      </c>
    </row>
    <row r="14794" spans="1:15" x14ac:dyDescent="0.25">
      <c r="A14794" t="s">
        <v>14807</v>
      </c>
      <c r="B14794">
        <v>208</v>
      </c>
      <c r="C14794" s="1" t="str">
        <f>HYPERLINK("http://www.rosaceae.org/gb/gbrowse/malus_x_domestica/?name=MDP0000234561","MDP0000234561")</f>
        <v>MDP0000234561</v>
      </c>
      <c r="D14794">
        <v>56.07</v>
      </c>
      <c r="E14794">
        <v>214</v>
      </c>
      <c r="F14794">
        <v>94</v>
      </c>
      <c r="G14794">
        <v>23</v>
      </c>
      <c r="H14794">
        <v>10</v>
      </c>
      <c r="I14794">
        <v>208</v>
      </c>
      <c r="J14794">
        <v>1</v>
      </c>
      <c r="K14794">
        <v>40</v>
      </c>
      <c r="L14794">
        <v>245</v>
      </c>
      <c r="M14794">
        <v>1</v>
      </c>
      <c r="N14794">
        <v>1.4742299999999999E-54</v>
      </c>
      <c r="O14794">
        <v>532</v>
      </c>
    </row>
    <row r="14795" spans="1:15" x14ac:dyDescent="0.25">
      <c r="A14795" t="s">
        <v>14808</v>
      </c>
      <c r="B14795">
        <v>567</v>
      </c>
      <c r="C14795" s="1" t="str">
        <f>HYPERLINK("http://www.rosaceae.org/gb/gbrowse/malus_x_domestica/?name=MDP0000211143","MDP0000211143")</f>
        <v>MDP0000211143</v>
      </c>
      <c r="D14795">
        <v>63.45</v>
      </c>
      <c r="E14795">
        <v>539</v>
      </c>
      <c r="F14795">
        <v>197</v>
      </c>
      <c r="G14795">
        <v>11</v>
      </c>
      <c r="H14795">
        <v>1</v>
      </c>
      <c r="I14795">
        <v>536</v>
      </c>
      <c r="J14795">
        <v>1</v>
      </c>
      <c r="K14795">
        <v>1</v>
      </c>
      <c r="L14795">
        <v>531</v>
      </c>
      <c r="M14795">
        <v>1</v>
      </c>
      <c r="N14795">
        <v>0</v>
      </c>
      <c r="O14795">
        <v>1649</v>
      </c>
    </row>
    <row r="14796" spans="1:15" x14ac:dyDescent="0.25">
      <c r="A14796" t="s">
        <v>14809</v>
      </c>
      <c r="B14796">
        <v>867</v>
      </c>
      <c r="C14796" s="1" t="str">
        <f>HYPERLINK("http://www.rosaceae.org/gb/gbrowse/malus_x_domestica/?name=MDP0000186542","MDP0000186542")</f>
        <v>MDP0000186542</v>
      </c>
      <c r="D14796">
        <v>70.569999999999993</v>
      </c>
      <c r="E14796">
        <v>367</v>
      </c>
      <c r="F14796">
        <v>108</v>
      </c>
      <c r="G14796">
        <v>25</v>
      </c>
      <c r="H14796">
        <v>513</v>
      </c>
      <c r="I14796">
        <v>867</v>
      </c>
      <c r="J14796">
        <v>1</v>
      </c>
      <c r="K14796">
        <v>155</v>
      </c>
      <c r="L14796">
        <v>508</v>
      </c>
      <c r="M14796">
        <v>1</v>
      </c>
      <c r="N14796">
        <v>2.5597000000000002E-140</v>
      </c>
      <c r="O14796">
        <v>1279</v>
      </c>
    </row>
    <row r="14797" spans="1:15" x14ac:dyDescent="0.25">
      <c r="A14797" t="s">
        <v>14810</v>
      </c>
      <c r="B14797">
        <v>354</v>
      </c>
      <c r="C14797" s="1" t="str">
        <f>HYPERLINK("http://www.rosaceae.org/gb/gbrowse/malus_x_domestica/?name=MDP0000165729","MDP0000165729")</f>
        <v>MDP0000165729</v>
      </c>
      <c r="D14797">
        <v>64.900000000000006</v>
      </c>
      <c r="E14797">
        <v>322</v>
      </c>
      <c r="F14797">
        <v>113</v>
      </c>
      <c r="G14797">
        <v>20</v>
      </c>
      <c r="H14797">
        <v>11</v>
      </c>
      <c r="I14797">
        <v>322</v>
      </c>
      <c r="J14797">
        <v>1</v>
      </c>
      <c r="K14797">
        <v>4</v>
      </c>
      <c r="L14797">
        <v>315</v>
      </c>
      <c r="M14797">
        <v>1</v>
      </c>
      <c r="N14797">
        <v>3.2360899999999999E-115</v>
      </c>
      <c r="O14797">
        <v>1058</v>
      </c>
    </row>
    <row r="14798" spans="1:15" x14ac:dyDescent="0.25">
      <c r="A14798" t="s">
        <v>14811</v>
      </c>
      <c r="B14798">
        <v>686</v>
      </c>
      <c r="C14798" s="1" t="str">
        <f>HYPERLINK("http://www.rosaceae.org/gb/gbrowse/malus_x_domestica/?name=MDP0000944576","MDP0000944576")</f>
        <v>MDP0000944576</v>
      </c>
      <c r="D14798">
        <v>82.72</v>
      </c>
      <c r="E14798">
        <v>654</v>
      </c>
      <c r="F14798">
        <v>113</v>
      </c>
      <c r="G14798">
        <v>12</v>
      </c>
      <c r="H14798">
        <v>1</v>
      </c>
      <c r="I14798">
        <v>654</v>
      </c>
      <c r="J14798">
        <v>1</v>
      </c>
      <c r="K14798">
        <v>1</v>
      </c>
      <c r="L14798">
        <v>642</v>
      </c>
      <c r="M14798">
        <v>1</v>
      </c>
      <c r="N14798">
        <v>0</v>
      </c>
      <c r="O14798">
        <v>2913</v>
      </c>
    </row>
    <row r="14799" spans="1:15" x14ac:dyDescent="0.25">
      <c r="A14799" t="s">
        <v>14812</v>
      </c>
      <c r="B14799">
        <v>444</v>
      </c>
      <c r="C14799" s="1" t="str">
        <f>HYPERLINK("http://www.rosaceae.org/gb/gbrowse/malus_x_domestica/?name=MDP0000872139","MDP0000872139")</f>
        <v>MDP0000872139</v>
      </c>
      <c r="D14799">
        <v>40.33</v>
      </c>
      <c r="E14799">
        <v>424</v>
      </c>
      <c r="F14799">
        <v>253</v>
      </c>
      <c r="G14799">
        <v>7</v>
      </c>
      <c r="H14799">
        <v>10</v>
      </c>
      <c r="I14799">
        <v>431</v>
      </c>
      <c r="J14799">
        <v>1</v>
      </c>
      <c r="K14799">
        <v>190</v>
      </c>
      <c r="L14799">
        <v>608</v>
      </c>
      <c r="M14799">
        <v>1</v>
      </c>
      <c r="N14799">
        <v>2.2637000000000001E-92</v>
      </c>
      <c r="O14799">
        <v>863</v>
      </c>
    </row>
    <row r="14800" spans="1:15" x14ac:dyDescent="0.25">
      <c r="A14800" t="s">
        <v>14813</v>
      </c>
      <c r="B14800">
        <v>339</v>
      </c>
      <c r="C14800" s="1" t="str">
        <f>HYPERLINK("http://www.rosaceae.org/gb/gbrowse/malus_x_domestica/?name=MDP0000320695","MDP0000320695")</f>
        <v>MDP0000320695</v>
      </c>
      <c r="D14800">
        <v>53.79</v>
      </c>
      <c r="E14800">
        <v>329</v>
      </c>
      <c r="F14800">
        <v>152</v>
      </c>
      <c r="G14800">
        <v>10</v>
      </c>
      <c r="H14800">
        <v>1</v>
      </c>
      <c r="I14800">
        <v>325</v>
      </c>
      <c r="J14800">
        <v>1</v>
      </c>
      <c r="K14800">
        <v>565</v>
      </c>
      <c r="L14800">
        <v>887</v>
      </c>
      <c r="M14800">
        <v>1</v>
      </c>
      <c r="N14800">
        <v>1.0068300000000001E-99</v>
      </c>
      <c r="O14800">
        <v>925</v>
      </c>
    </row>
    <row r="14801" spans="1:15" x14ac:dyDescent="0.25">
      <c r="A14801" t="s">
        <v>14814</v>
      </c>
      <c r="B14801">
        <v>309</v>
      </c>
      <c r="C14801" s="1" t="str">
        <f>HYPERLINK("http://www.rosaceae.org/gb/gbrowse/malus_x_domestica/?name=MDP0000310981","MDP0000310981")</f>
        <v>MDP0000310981</v>
      </c>
      <c r="D14801">
        <v>55.66</v>
      </c>
      <c r="E14801">
        <v>318</v>
      </c>
      <c r="F14801">
        <v>141</v>
      </c>
      <c r="G14801">
        <v>51</v>
      </c>
      <c r="H14801">
        <v>6</v>
      </c>
      <c r="I14801">
        <v>280</v>
      </c>
      <c r="J14801">
        <v>1</v>
      </c>
      <c r="K14801">
        <v>13</v>
      </c>
      <c r="L14801">
        <v>322</v>
      </c>
      <c r="M14801">
        <v>1</v>
      </c>
      <c r="N14801">
        <v>1.41842E-87</v>
      </c>
      <c r="O14801">
        <v>819</v>
      </c>
    </row>
    <row r="14802" spans="1:15" x14ac:dyDescent="0.25">
      <c r="A14802" t="s">
        <v>14815</v>
      </c>
      <c r="B14802">
        <v>949</v>
      </c>
      <c r="C14802" s="1" t="str">
        <f>HYPERLINK("http://www.rosaceae.org/gb/gbrowse/malus_x_domestica/?name=MDP0000142103","MDP0000142103")</f>
        <v>MDP0000142103</v>
      </c>
      <c r="D14802">
        <v>75.25</v>
      </c>
      <c r="E14802">
        <v>998</v>
      </c>
      <c r="F14802">
        <v>247</v>
      </c>
      <c r="G14802">
        <v>76</v>
      </c>
      <c r="H14802">
        <v>3</v>
      </c>
      <c r="I14802">
        <v>949</v>
      </c>
      <c r="J14802">
        <v>1</v>
      </c>
      <c r="K14802">
        <v>4</v>
      </c>
      <c r="L14802">
        <v>976</v>
      </c>
      <c r="M14802">
        <v>1</v>
      </c>
      <c r="N14802">
        <v>0</v>
      </c>
      <c r="O14802">
        <v>3837</v>
      </c>
    </row>
    <row r="14803" spans="1:15" x14ac:dyDescent="0.25">
      <c r="A14803" t="s">
        <v>14816</v>
      </c>
      <c r="B14803">
        <v>1163</v>
      </c>
      <c r="C14803" s="1" t="str">
        <f>HYPERLINK("http://www.rosaceae.org/gb/gbrowse/malus_x_domestica/?name=MDP0000319817","MDP0000319817")</f>
        <v>MDP0000319817</v>
      </c>
      <c r="D14803">
        <v>78.400000000000006</v>
      </c>
      <c r="E14803">
        <v>375</v>
      </c>
      <c r="F14803">
        <v>81</v>
      </c>
      <c r="G14803">
        <v>11</v>
      </c>
      <c r="H14803">
        <v>727</v>
      </c>
      <c r="I14803">
        <v>1091</v>
      </c>
      <c r="J14803">
        <v>1</v>
      </c>
      <c r="K14803">
        <v>353</v>
      </c>
      <c r="L14803">
        <v>726</v>
      </c>
      <c r="M14803">
        <v>1</v>
      </c>
      <c r="N14803">
        <v>1.5084600000000001E-165</v>
      </c>
      <c r="O14803">
        <v>1498</v>
      </c>
    </row>
    <row r="14804" spans="1:15" x14ac:dyDescent="0.25">
      <c r="A14804" t="s">
        <v>14817</v>
      </c>
      <c r="B14804">
        <v>373</v>
      </c>
      <c r="C14804" s="1" t="str">
        <f>HYPERLINK("http://www.rosaceae.org/gb/gbrowse/malus_x_domestica/?name=MDP0000123993","MDP0000123993")</f>
        <v>MDP0000123993</v>
      </c>
      <c r="D14804">
        <v>70.78</v>
      </c>
      <c r="E14804">
        <v>332</v>
      </c>
      <c r="F14804">
        <v>97</v>
      </c>
      <c r="G14804">
        <v>0</v>
      </c>
      <c r="H14804">
        <v>42</v>
      </c>
      <c r="I14804">
        <v>373</v>
      </c>
      <c r="J14804">
        <v>1</v>
      </c>
      <c r="K14804">
        <v>21</v>
      </c>
      <c r="L14804">
        <v>352</v>
      </c>
      <c r="M14804">
        <v>1</v>
      </c>
      <c r="N14804">
        <v>2.8369299999999998E-132</v>
      </c>
      <c r="O14804">
        <v>1206</v>
      </c>
    </row>
    <row r="14805" spans="1:15" x14ac:dyDescent="0.25">
      <c r="A14805" t="s">
        <v>14818</v>
      </c>
      <c r="B14805">
        <v>457</v>
      </c>
      <c r="C14805" s="1" t="str">
        <f>HYPERLINK("http://www.rosaceae.org/gb/gbrowse/malus_x_domestica/?name=MDP0000300189","MDP0000300189")</f>
        <v>MDP0000300189</v>
      </c>
      <c r="D14805">
        <v>44.44</v>
      </c>
      <c r="E14805">
        <v>450</v>
      </c>
      <c r="F14805">
        <v>250</v>
      </c>
      <c r="G14805">
        <v>14</v>
      </c>
      <c r="H14805">
        <v>11</v>
      </c>
      <c r="I14805">
        <v>455</v>
      </c>
      <c r="J14805">
        <v>1</v>
      </c>
      <c r="K14805">
        <v>13</v>
      </c>
      <c r="L14805">
        <v>453</v>
      </c>
      <c r="M14805">
        <v>1</v>
      </c>
      <c r="N14805">
        <v>1.2067500000000001E-90</v>
      </c>
      <c r="O14805">
        <v>848</v>
      </c>
    </row>
    <row r="14806" spans="1:15" x14ac:dyDescent="0.25">
      <c r="A14806" t="s">
        <v>14819</v>
      </c>
      <c r="B14806">
        <v>372</v>
      </c>
      <c r="C14806" s="1" t="str">
        <f>HYPERLINK("http://www.rosaceae.org/gb/gbrowse/malus_x_domestica/?name=MDP0000230530","MDP0000230530")</f>
        <v>MDP0000230530</v>
      </c>
      <c r="D14806">
        <v>46.94</v>
      </c>
      <c r="E14806">
        <v>262</v>
      </c>
      <c r="F14806">
        <v>139</v>
      </c>
      <c r="G14806">
        <v>0</v>
      </c>
      <c r="H14806">
        <v>52</v>
      </c>
      <c r="I14806">
        <v>313</v>
      </c>
      <c r="J14806">
        <v>1</v>
      </c>
      <c r="K14806">
        <v>6</v>
      </c>
      <c r="L14806">
        <v>267</v>
      </c>
      <c r="M14806">
        <v>1</v>
      </c>
      <c r="N14806">
        <v>7.2674399999999998E-69</v>
      </c>
      <c r="O14806">
        <v>659</v>
      </c>
    </row>
    <row r="14807" spans="1:15" x14ac:dyDescent="0.25">
      <c r="A14807" t="s">
        <v>14820</v>
      </c>
      <c r="B14807">
        <v>506</v>
      </c>
      <c r="C14807" s="1" t="str">
        <f>HYPERLINK("http://www.rosaceae.org/gb/gbrowse/malus_x_domestica/?name=MDP0000247118","MDP0000247118")</f>
        <v>MDP0000247118</v>
      </c>
      <c r="D14807">
        <v>77.12</v>
      </c>
      <c r="E14807">
        <v>507</v>
      </c>
      <c r="F14807">
        <v>116</v>
      </c>
      <c r="G14807">
        <v>1</v>
      </c>
      <c r="H14807">
        <v>1</v>
      </c>
      <c r="I14807">
        <v>506</v>
      </c>
      <c r="J14807">
        <v>1</v>
      </c>
      <c r="K14807">
        <v>51</v>
      </c>
      <c r="L14807">
        <v>557</v>
      </c>
      <c r="M14807">
        <v>1</v>
      </c>
      <c r="N14807">
        <v>0</v>
      </c>
      <c r="O14807">
        <v>1980</v>
      </c>
    </row>
    <row r="14808" spans="1:15" x14ac:dyDescent="0.25">
      <c r="A14808" t="s">
        <v>14821</v>
      </c>
      <c r="B14808">
        <v>321</v>
      </c>
      <c r="C14808" s="1" t="str">
        <f>HYPERLINK("http://www.rosaceae.org/gb/gbrowse/malus_x_domestica/?name=MDP0000658649","MDP0000658649")</f>
        <v>MDP0000658649</v>
      </c>
      <c r="D14808">
        <v>83.43</v>
      </c>
      <c r="E14808">
        <v>320</v>
      </c>
      <c r="F14808">
        <v>53</v>
      </c>
      <c r="G14808">
        <v>0</v>
      </c>
      <c r="H14808">
        <v>1</v>
      </c>
      <c r="I14808">
        <v>320</v>
      </c>
      <c r="J14808">
        <v>1</v>
      </c>
      <c r="K14808">
        <v>1</v>
      </c>
      <c r="L14808">
        <v>320</v>
      </c>
      <c r="M14808">
        <v>1</v>
      </c>
      <c r="N14808">
        <v>4.9776400000000001E-154</v>
      </c>
      <c r="O14808">
        <v>1393</v>
      </c>
    </row>
    <row r="14809" spans="1:15" x14ac:dyDescent="0.25">
      <c r="A14809" t="s">
        <v>14822</v>
      </c>
      <c r="B14809">
        <v>449</v>
      </c>
      <c r="C14809" s="1" t="str">
        <f>HYPERLINK("http://www.rosaceae.org/gb/gbrowse/malus_x_domestica/?name=MDP0000798095","MDP0000798095")</f>
        <v>MDP0000798095</v>
      </c>
      <c r="D14809">
        <v>60.07</v>
      </c>
      <c r="E14809">
        <v>516</v>
      </c>
      <c r="F14809">
        <v>206</v>
      </c>
      <c r="G14809">
        <v>86</v>
      </c>
      <c r="H14809">
        <v>20</v>
      </c>
      <c r="I14809">
        <v>449</v>
      </c>
      <c r="J14809">
        <v>1</v>
      </c>
      <c r="K14809">
        <v>23</v>
      </c>
      <c r="L14809">
        <v>538</v>
      </c>
      <c r="M14809">
        <v>1</v>
      </c>
      <c r="N14809">
        <v>5.0831700000000003E-173</v>
      </c>
      <c r="O14809">
        <v>1558</v>
      </c>
    </row>
    <row r="14810" spans="1:15" x14ac:dyDescent="0.25">
      <c r="A14810" t="s">
        <v>14823</v>
      </c>
      <c r="B14810">
        <v>365</v>
      </c>
      <c r="C14810" s="1" t="str">
        <f>HYPERLINK("http://www.rosaceae.org/gb/gbrowse/malus_x_domestica/?name=MDP0000226326","MDP0000226326")</f>
        <v>MDP0000226326</v>
      </c>
      <c r="D14810">
        <v>51.52</v>
      </c>
      <c r="E14810">
        <v>361</v>
      </c>
      <c r="F14810">
        <v>175</v>
      </c>
      <c r="G14810">
        <v>4</v>
      </c>
      <c r="H14810">
        <v>8</v>
      </c>
      <c r="I14810">
        <v>365</v>
      </c>
      <c r="J14810">
        <v>1</v>
      </c>
      <c r="K14810">
        <v>6</v>
      </c>
      <c r="L14810">
        <v>365</v>
      </c>
      <c r="M14810">
        <v>1</v>
      </c>
      <c r="N14810">
        <v>1.3395200000000001E-112</v>
      </c>
      <c r="O14810">
        <v>1036</v>
      </c>
    </row>
    <row r="14811" spans="1:15" x14ac:dyDescent="0.25">
      <c r="A14811" t="s">
        <v>14824</v>
      </c>
      <c r="B14811">
        <v>526</v>
      </c>
      <c r="C14811" s="1" t="str">
        <f>HYPERLINK("http://www.rosaceae.org/gb/gbrowse/malus_x_domestica/?name=MDP0000157686","MDP0000157686")</f>
        <v>MDP0000157686</v>
      </c>
      <c r="D14811">
        <v>55.47</v>
      </c>
      <c r="E14811">
        <v>265</v>
      </c>
      <c r="F14811">
        <v>118</v>
      </c>
      <c r="G14811">
        <v>27</v>
      </c>
      <c r="H14811">
        <v>252</v>
      </c>
      <c r="I14811">
        <v>516</v>
      </c>
      <c r="J14811">
        <v>1</v>
      </c>
      <c r="K14811">
        <v>353</v>
      </c>
      <c r="L14811">
        <v>590</v>
      </c>
      <c r="M14811">
        <v>1</v>
      </c>
      <c r="N14811">
        <v>9.4850100000000005E-82</v>
      </c>
      <c r="O14811">
        <v>772</v>
      </c>
    </row>
    <row r="14812" spans="1:15" x14ac:dyDescent="0.25">
      <c r="A14812" t="s">
        <v>14825</v>
      </c>
      <c r="B14812">
        <v>261</v>
      </c>
      <c r="C14812" s="1" t="str">
        <f>HYPERLINK("http://www.rosaceae.org/gb/gbrowse/malus_x_domestica/?name=MDP0000222399","MDP0000222399")</f>
        <v>MDP0000222399</v>
      </c>
      <c r="D14812">
        <v>56.57</v>
      </c>
      <c r="E14812">
        <v>152</v>
      </c>
      <c r="F14812">
        <v>66</v>
      </c>
      <c r="G14812">
        <v>0</v>
      </c>
      <c r="H14812">
        <v>88</v>
      </c>
      <c r="I14812">
        <v>239</v>
      </c>
      <c r="J14812">
        <v>1</v>
      </c>
      <c r="K14812">
        <v>239</v>
      </c>
      <c r="L14812">
        <v>390</v>
      </c>
      <c r="M14812">
        <v>1</v>
      </c>
      <c r="N14812">
        <v>1.66291E-45</v>
      </c>
      <c r="O14812">
        <v>456</v>
      </c>
    </row>
    <row r="14813" spans="1:15" x14ac:dyDescent="0.25">
      <c r="A14813" t="s">
        <v>14826</v>
      </c>
      <c r="B14813">
        <v>971</v>
      </c>
      <c r="C14813" s="1" t="str">
        <f>HYPERLINK("http://www.rosaceae.org/gb/gbrowse/malus_x_domestica/?name=MDP0000296691","MDP0000296691")</f>
        <v>MDP0000296691</v>
      </c>
      <c r="D14813">
        <v>29.27</v>
      </c>
      <c r="E14813">
        <v>345</v>
      </c>
      <c r="F14813">
        <v>244</v>
      </c>
      <c r="G14813">
        <v>99</v>
      </c>
      <c r="H14813">
        <v>550</v>
      </c>
      <c r="I14813">
        <v>837</v>
      </c>
      <c r="J14813">
        <v>1</v>
      </c>
      <c r="K14813">
        <v>371</v>
      </c>
      <c r="L14813">
        <v>673</v>
      </c>
      <c r="M14813">
        <v>1</v>
      </c>
      <c r="N14813">
        <v>4.29645E-19</v>
      </c>
      <c r="O14813">
        <v>234</v>
      </c>
    </row>
    <row r="14814" spans="1:15" x14ac:dyDescent="0.25">
      <c r="A14814" t="s">
        <v>14827</v>
      </c>
      <c r="B14814">
        <v>524</v>
      </c>
      <c r="C14814" s="1" t="str">
        <f>HYPERLINK("http://www.rosaceae.org/gb/gbrowse/malus_x_domestica/?name=MDP0000164360","MDP0000164360")</f>
        <v>MDP0000164360</v>
      </c>
      <c r="D14814">
        <v>80</v>
      </c>
      <c r="E14814">
        <v>50</v>
      </c>
      <c r="F14814">
        <v>10</v>
      </c>
      <c r="G14814">
        <v>0</v>
      </c>
      <c r="H14814">
        <v>337</v>
      </c>
      <c r="I14814">
        <v>386</v>
      </c>
      <c r="J14814">
        <v>1</v>
      </c>
      <c r="K14814">
        <v>1</v>
      </c>
      <c r="L14814">
        <v>50</v>
      </c>
      <c r="M14814">
        <v>1</v>
      </c>
      <c r="N14814">
        <v>1.72502E-16</v>
      </c>
      <c r="O14814">
        <v>209</v>
      </c>
    </row>
    <row r="14815" spans="1:15" x14ac:dyDescent="0.25">
      <c r="A14815" t="s">
        <v>14828</v>
      </c>
      <c r="B14815">
        <v>173</v>
      </c>
      <c r="C14815" s="1" t="str">
        <f>HYPERLINK("http://www.rosaceae.org/gb/gbrowse/malus_x_domestica/?name=MDP0000253857","MDP0000253857")</f>
        <v>MDP0000253857</v>
      </c>
      <c r="D14815">
        <v>50.56</v>
      </c>
      <c r="E14815">
        <v>176</v>
      </c>
      <c r="F14815">
        <v>87</v>
      </c>
      <c r="G14815">
        <v>13</v>
      </c>
      <c r="H14815">
        <v>1</v>
      </c>
      <c r="I14815">
        <v>164</v>
      </c>
      <c r="J14815">
        <v>1</v>
      </c>
      <c r="K14815">
        <v>1</v>
      </c>
      <c r="L14815">
        <v>175</v>
      </c>
      <c r="M14815">
        <v>1</v>
      </c>
      <c r="N14815">
        <v>1.30347E-37</v>
      </c>
      <c r="O14815">
        <v>385</v>
      </c>
    </row>
    <row r="14816" spans="1:15" x14ac:dyDescent="0.25">
      <c r="A14816" t="s">
        <v>14829</v>
      </c>
      <c r="B14816">
        <v>1007</v>
      </c>
      <c r="C14816" s="1" t="str">
        <f>HYPERLINK("http://www.rosaceae.org/gb/gbrowse/malus_x_domestica/?name=MDP0000122720","MDP0000122720")</f>
        <v>MDP0000122720</v>
      </c>
      <c r="D14816">
        <v>53.42</v>
      </c>
      <c r="E14816">
        <v>496</v>
      </c>
      <c r="F14816">
        <v>231</v>
      </c>
      <c r="G14816">
        <v>77</v>
      </c>
      <c r="H14816">
        <v>361</v>
      </c>
      <c r="I14816">
        <v>819</v>
      </c>
      <c r="J14816">
        <v>1</v>
      </c>
      <c r="K14816">
        <v>9</v>
      </c>
      <c r="L14816">
        <v>464</v>
      </c>
      <c r="M14816">
        <v>1</v>
      </c>
      <c r="N14816">
        <v>5.35128E-123</v>
      </c>
      <c r="O14816">
        <v>1130</v>
      </c>
    </row>
    <row r="14817" spans="1:15" x14ac:dyDescent="0.25">
      <c r="A14817" t="s">
        <v>14830</v>
      </c>
      <c r="B14817">
        <v>478</v>
      </c>
      <c r="C14817" s="1" t="str">
        <f>HYPERLINK("http://www.rosaceae.org/gb/gbrowse/malus_x_domestica/?name=MDP0000222340","MDP0000222340")</f>
        <v>MDP0000222340</v>
      </c>
      <c r="D14817">
        <v>40.200000000000003</v>
      </c>
      <c r="E14817">
        <v>490</v>
      </c>
      <c r="F14817">
        <v>293</v>
      </c>
      <c r="G14817">
        <v>50</v>
      </c>
      <c r="H14817">
        <v>1</v>
      </c>
      <c r="I14817">
        <v>441</v>
      </c>
      <c r="J14817">
        <v>1</v>
      </c>
      <c r="K14817">
        <v>1</v>
      </c>
      <c r="L14817">
        <v>489</v>
      </c>
      <c r="M14817">
        <v>1</v>
      </c>
      <c r="N14817">
        <v>2.2437099999999998E-80</v>
      </c>
      <c r="O14817">
        <v>759</v>
      </c>
    </row>
    <row r="14818" spans="1:15" x14ac:dyDescent="0.25">
      <c r="A14818" t="s">
        <v>14831</v>
      </c>
      <c r="B14818">
        <v>960</v>
      </c>
      <c r="C14818" s="1" t="str">
        <f>HYPERLINK("http://www.rosaceae.org/gb/gbrowse/malus_x_domestica/?name=MDP0000292294","MDP0000292294")</f>
        <v>MDP0000292294</v>
      </c>
      <c r="D14818">
        <v>54.13</v>
      </c>
      <c r="E14818">
        <v>955</v>
      </c>
      <c r="F14818">
        <v>438</v>
      </c>
      <c r="G14818">
        <v>122</v>
      </c>
      <c r="H14818">
        <v>28</v>
      </c>
      <c r="I14818">
        <v>868</v>
      </c>
      <c r="J14818">
        <v>1</v>
      </c>
      <c r="K14818">
        <v>31</v>
      </c>
      <c r="L14818">
        <v>977</v>
      </c>
      <c r="M14818">
        <v>1</v>
      </c>
      <c r="N14818">
        <v>0</v>
      </c>
      <c r="O14818">
        <v>2483</v>
      </c>
    </row>
    <row r="14819" spans="1:15" x14ac:dyDescent="0.25">
      <c r="A14819" t="s">
        <v>14832</v>
      </c>
      <c r="B14819">
        <v>520</v>
      </c>
      <c r="C14819" s="1" t="str">
        <f>HYPERLINK("http://www.rosaceae.org/gb/gbrowse/malus_x_domestica/?name=MDP0000297244","MDP0000297244")</f>
        <v>MDP0000297244</v>
      </c>
      <c r="D14819">
        <v>83.47</v>
      </c>
      <c r="E14819">
        <v>236</v>
      </c>
      <c r="F14819">
        <v>39</v>
      </c>
      <c r="G14819">
        <v>0</v>
      </c>
      <c r="H14819">
        <v>1</v>
      </c>
      <c r="I14819">
        <v>236</v>
      </c>
      <c r="J14819">
        <v>1</v>
      </c>
      <c r="K14819">
        <v>83</v>
      </c>
      <c r="L14819">
        <v>318</v>
      </c>
      <c r="M14819">
        <v>1</v>
      </c>
      <c r="N14819">
        <v>1.00656E-114</v>
      </c>
      <c r="O14819">
        <v>1056</v>
      </c>
    </row>
    <row r="14820" spans="1:15" x14ac:dyDescent="0.25">
      <c r="A14820" t="s">
        <v>14833</v>
      </c>
      <c r="B14820">
        <v>275</v>
      </c>
      <c r="C14820" s="1" t="str">
        <f>HYPERLINK("http://www.rosaceae.org/gb/gbrowse/malus_x_domestica/?name=MDP0000136670","MDP0000136670")</f>
        <v>MDP0000136670</v>
      </c>
      <c r="D14820">
        <v>74.59</v>
      </c>
      <c r="E14820">
        <v>185</v>
      </c>
      <c r="F14820">
        <v>47</v>
      </c>
      <c r="G14820">
        <v>21</v>
      </c>
      <c r="H14820">
        <v>72</v>
      </c>
      <c r="I14820">
        <v>235</v>
      </c>
      <c r="J14820">
        <v>1</v>
      </c>
      <c r="K14820">
        <v>54</v>
      </c>
      <c r="L14820">
        <v>238</v>
      </c>
      <c r="M14820">
        <v>1</v>
      </c>
      <c r="N14820">
        <v>9.5009799999999992E-75</v>
      </c>
      <c r="O14820">
        <v>708</v>
      </c>
    </row>
    <row r="14821" spans="1:15" x14ac:dyDescent="0.25">
      <c r="A14821" t="s">
        <v>14834</v>
      </c>
      <c r="B14821">
        <v>268</v>
      </c>
      <c r="C14821" s="1" t="str">
        <f>HYPERLINK("http://www.rosaceae.org/gb/gbrowse/malus_x_domestica/?name=MDP0000314254","MDP0000314254")</f>
        <v>MDP0000314254</v>
      </c>
      <c r="D14821">
        <v>42.68</v>
      </c>
      <c r="E14821">
        <v>164</v>
      </c>
      <c r="F14821">
        <v>94</v>
      </c>
      <c r="G14821">
        <v>0</v>
      </c>
      <c r="H14821">
        <v>35</v>
      </c>
      <c r="I14821">
        <v>198</v>
      </c>
      <c r="J14821">
        <v>1</v>
      </c>
      <c r="K14821">
        <v>278</v>
      </c>
      <c r="L14821">
        <v>441</v>
      </c>
      <c r="M14821">
        <v>1</v>
      </c>
      <c r="N14821">
        <v>6.1349600000000004E-31</v>
      </c>
      <c r="O14821">
        <v>330</v>
      </c>
    </row>
    <row r="14822" spans="1:15" x14ac:dyDescent="0.25">
      <c r="A14822" t="s">
        <v>14835</v>
      </c>
      <c r="B14822">
        <v>642</v>
      </c>
      <c r="C14822" s="1" t="str">
        <f>HYPERLINK("http://www.rosaceae.org/gb/gbrowse/malus_x_domestica/?name=MDP0000220226","MDP0000220226")</f>
        <v>MDP0000220226</v>
      </c>
      <c r="D14822">
        <v>32.6</v>
      </c>
      <c r="E14822">
        <v>736</v>
      </c>
      <c r="F14822">
        <v>496</v>
      </c>
      <c r="G14822">
        <v>176</v>
      </c>
      <c r="H14822">
        <v>4</v>
      </c>
      <c r="I14822">
        <v>631</v>
      </c>
      <c r="J14822">
        <v>1</v>
      </c>
      <c r="K14822">
        <v>450</v>
      </c>
      <c r="L14822">
        <v>1117</v>
      </c>
      <c r="M14822">
        <v>1</v>
      </c>
      <c r="N14822">
        <v>2.0530699999999998E-65</v>
      </c>
      <c r="O14822">
        <v>632</v>
      </c>
    </row>
    <row r="14823" spans="1:15" x14ac:dyDescent="0.25">
      <c r="A14823" t="s">
        <v>14836</v>
      </c>
      <c r="B14823">
        <v>130</v>
      </c>
      <c r="C14823" s="1" t="str">
        <f>HYPERLINK("http://www.rosaceae.org/gb/gbrowse/malus_x_domestica/?name=MDP0000224255","MDP0000224255")</f>
        <v>MDP0000224255</v>
      </c>
      <c r="D14823">
        <v>39.18</v>
      </c>
      <c r="E14823">
        <v>74</v>
      </c>
      <c r="F14823">
        <v>45</v>
      </c>
      <c r="G14823">
        <v>0</v>
      </c>
      <c r="H14823">
        <v>1</v>
      </c>
      <c r="I14823">
        <v>74</v>
      </c>
      <c r="J14823">
        <v>1</v>
      </c>
      <c r="K14823">
        <v>2522</v>
      </c>
      <c r="L14823">
        <v>2595</v>
      </c>
      <c r="M14823">
        <v>1</v>
      </c>
      <c r="N14823">
        <v>1.87638E-7</v>
      </c>
      <c r="O14823">
        <v>122</v>
      </c>
    </row>
    <row r="14824" spans="1:15" x14ac:dyDescent="0.25">
      <c r="A14824" t="s">
        <v>14837</v>
      </c>
      <c r="B14824">
        <v>206</v>
      </c>
      <c r="C14824" s="1" t="str">
        <f>HYPERLINK("http://www.rosaceae.org/gb/gbrowse/malus_x_domestica/?name=MDP0000492026","MDP0000492026")</f>
        <v>MDP0000492026</v>
      </c>
      <c r="D14824">
        <v>35.97</v>
      </c>
      <c r="E14824">
        <v>139</v>
      </c>
      <c r="F14824">
        <v>89</v>
      </c>
      <c r="G14824">
        <v>40</v>
      </c>
      <c r="H14824">
        <v>22</v>
      </c>
      <c r="I14824">
        <v>147</v>
      </c>
      <c r="J14824">
        <v>1</v>
      </c>
      <c r="K14824">
        <v>363</v>
      </c>
      <c r="L14824">
        <v>474</v>
      </c>
      <c r="M14824">
        <v>1</v>
      </c>
      <c r="N14824">
        <v>2.2200500000000001E-17</v>
      </c>
      <c r="O14824">
        <v>212</v>
      </c>
    </row>
    <row r="14825" spans="1:15" x14ac:dyDescent="0.25">
      <c r="A14825" t="s">
        <v>14838</v>
      </c>
      <c r="B14825">
        <v>380</v>
      </c>
      <c r="C14825" s="1" t="str">
        <f>HYPERLINK("http://www.rosaceae.org/gb/gbrowse/malus_x_domestica/?name=MDP0000448915","MDP0000448915")</f>
        <v>MDP0000448915</v>
      </c>
      <c r="D14825">
        <v>77.77</v>
      </c>
      <c r="E14825">
        <v>180</v>
      </c>
      <c r="F14825">
        <v>40</v>
      </c>
      <c r="G14825">
        <v>0</v>
      </c>
      <c r="H14825">
        <v>1</v>
      </c>
      <c r="I14825">
        <v>180</v>
      </c>
      <c r="J14825">
        <v>1</v>
      </c>
      <c r="K14825">
        <v>1202</v>
      </c>
      <c r="L14825">
        <v>1381</v>
      </c>
      <c r="M14825">
        <v>1</v>
      </c>
      <c r="N14825">
        <v>1.4291699999999999E-82</v>
      </c>
      <c r="O14825">
        <v>777</v>
      </c>
    </row>
    <row r="14826" spans="1:15" x14ac:dyDescent="0.25">
      <c r="A14826" t="s">
        <v>14839</v>
      </c>
      <c r="B14826">
        <v>112</v>
      </c>
      <c r="C14826" s="1" t="str">
        <f>HYPERLINK("http://www.rosaceae.org/gb/gbrowse/malus_x_domestica/?name=MDP0000039359","MDP0000039359")</f>
        <v>MDP0000039359</v>
      </c>
      <c r="D14826">
        <v>42.57</v>
      </c>
      <c r="E14826">
        <v>101</v>
      </c>
      <c r="F14826">
        <v>58</v>
      </c>
      <c r="G14826">
        <v>18</v>
      </c>
      <c r="H14826">
        <v>8</v>
      </c>
      <c r="I14826">
        <v>92</v>
      </c>
      <c r="J14826">
        <v>1</v>
      </c>
      <c r="K14826">
        <v>13</v>
      </c>
      <c r="L14826">
        <v>111</v>
      </c>
      <c r="M14826">
        <v>1</v>
      </c>
      <c r="N14826">
        <v>5.5411900000000004E-10</v>
      </c>
      <c r="O14826">
        <v>144</v>
      </c>
    </row>
    <row r="14827" spans="1:15" x14ac:dyDescent="0.25">
      <c r="A14827" t="s">
        <v>14840</v>
      </c>
      <c r="B14827">
        <v>302</v>
      </c>
      <c r="C14827" s="1" t="str">
        <f>HYPERLINK("http://www.rosaceae.org/gb/gbrowse/malus_x_domestica/?name=MDP0000732635","MDP0000732635")</f>
        <v>MDP0000732635</v>
      </c>
      <c r="D14827">
        <v>57.19</v>
      </c>
      <c r="E14827">
        <v>264</v>
      </c>
      <c r="F14827">
        <v>113</v>
      </c>
      <c r="G14827">
        <v>48</v>
      </c>
      <c r="H14827">
        <v>1</v>
      </c>
      <c r="I14827">
        <v>259</v>
      </c>
      <c r="J14827">
        <v>1</v>
      </c>
      <c r="K14827">
        <v>1</v>
      </c>
      <c r="L14827">
        <v>221</v>
      </c>
      <c r="M14827">
        <v>1</v>
      </c>
      <c r="N14827">
        <v>3.1662199999999999E-76</v>
      </c>
      <c r="O14827">
        <v>721</v>
      </c>
    </row>
    <row r="14828" spans="1:15" x14ac:dyDescent="0.25">
      <c r="A14828" t="s">
        <v>14841</v>
      </c>
      <c r="B14828">
        <v>495</v>
      </c>
      <c r="C14828" s="1" t="str">
        <f>HYPERLINK("http://www.rosaceae.org/gb/gbrowse/malus_x_domestica/?name=MDP0000325085","MDP0000325085")</f>
        <v>MDP0000325085</v>
      </c>
      <c r="D14828">
        <v>91.95</v>
      </c>
      <c r="E14828">
        <v>410</v>
      </c>
      <c r="F14828">
        <v>33</v>
      </c>
      <c r="G14828">
        <v>0</v>
      </c>
      <c r="H14828">
        <v>85</v>
      </c>
      <c r="I14828">
        <v>494</v>
      </c>
      <c r="J14828">
        <v>1</v>
      </c>
      <c r="K14828">
        <v>1</v>
      </c>
      <c r="L14828">
        <v>410</v>
      </c>
      <c r="M14828">
        <v>1</v>
      </c>
      <c r="N14828">
        <v>0</v>
      </c>
      <c r="O14828">
        <v>2050</v>
      </c>
    </row>
    <row r="14829" spans="1:15" x14ac:dyDescent="0.25">
      <c r="A14829" t="s">
        <v>14842</v>
      </c>
      <c r="B14829">
        <v>135</v>
      </c>
      <c r="C14829" s="1" t="str">
        <f>HYPERLINK("http://www.rosaceae.org/gb/gbrowse/malus_x_domestica/?name=MDP0000182101","MDP0000182101")</f>
        <v>MDP0000182101</v>
      </c>
      <c r="D14829">
        <v>36.450000000000003</v>
      </c>
      <c r="E14829">
        <v>96</v>
      </c>
      <c r="F14829">
        <v>61</v>
      </c>
      <c r="G14829">
        <v>3</v>
      </c>
      <c r="H14829">
        <v>25</v>
      </c>
      <c r="I14829">
        <v>118</v>
      </c>
      <c r="J14829">
        <v>1</v>
      </c>
      <c r="K14829">
        <v>210</v>
      </c>
      <c r="L14829">
        <v>304</v>
      </c>
      <c r="M14829">
        <v>1</v>
      </c>
      <c r="N14829">
        <v>1.2805000000000001E-9</v>
      </c>
      <c r="O14829">
        <v>141</v>
      </c>
    </row>
    <row r="14830" spans="1:15" x14ac:dyDescent="0.25">
      <c r="A14830" t="s">
        <v>14843</v>
      </c>
      <c r="B14830">
        <v>950</v>
      </c>
      <c r="C14830" s="1" t="str">
        <f>HYPERLINK("http://www.rosaceae.org/gb/gbrowse/malus_x_domestica/?name=MDP0000167063","MDP0000167063")</f>
        <v>MDP0000167063</v>
      </c>
      <c r="D14830">
        <v>70.27</v>
      </c>
      <c r="E14830">
        <v>582</v>
      </c>
      <c r="F14830">
        <v>173</v>
      </c>
      <c r="G14830">
        <v>106</v>
      </c>
      <c r="H14830">
        <v>435</v>
      </c>
      <c r="I14830">
        <v>950</v>
      </c>
      <c r="J14830">
        <v>1</v>
      </c>
      <c r="K14830">
        <v>230</v>
      </c>
      <c r="L14830">
        <v>771</v>
      </c>
      <c r="M14830">
        <v>1</v>
      </c>
      <c r="N14830">
        <v>0</v>
      </c>
      <c r="O14830">
        <v>1924</v>
      </c>
    </row>
    <row r="14831" spans="1:15" x14ac:dyDescent="0.25">
      <c r="A14831" t="s">
        <v>14844</v>
      </c>
      <c r="B14831">
        <v>532</v>
      </c>
      <c r="C14831" s="1" t="str">
        <f>HYPERLINK("http://www.rosaceae.org/gb/gbrowse/malus_x_domestica/?name=MDP0000656101","MDP0000656101")</f>
        <v>MDP0000656101</v>
      </c>
      <c r="D14831">
        <v>77.98</v>
      </c>
      <c r="E14831">
        <v>536</v>
      </c>
      <c r="F14831">
        <v>118</v>
      </c>
      <c r="G14831">
        <v>19</v>
      </c>
      <c r="H14831">
        <v>12</v>
      </c>
      <c r="I14831">
        <v>532</v>
      </c>
      <c r="J14831">
        <v>1</v>
      </c>
      <c r="K14831">
        <v>12</v>
      </c>
      <c r="L14831">
        <v>543</v>
      </c>
      <c r="M14831">
        <v>1</v>
      </c>
      <c r="N14831">
        <v>0</v>
      </c>
      <c r="O14831">
        <v>2115</v>
      </c>
    </row>
    <row r="14832" spans="1:15" x14ac:dyDescent="0.25">
      <c r="A14832" t="s">
        <v>14845</v>
      </c>
      <c r="B14832">
        <v>445</v>
      </c>
      <c r="C14832" s="1" t="str">
        <f>HYPERLINK("http://www.rosaceae.org/gb/gbrowse/malus_x_domestica/?name=MDP0000843352","MDP0000843352")</f>
        <v>MDP0000843352</v>
      </c>
      <c r="D14832">
        <v>71.91</v>
      </c>
      <c r="E14832">
        <v>292</v>
      </c>
      <c r="F14832">
        <v>82</v>
      </c>
      <c r="G14832">
        <v>0</v>
      </c>
      <c r="H14832">
        <v>26</v>
      </c>
      <c r="I14832">
        <v>317</v>
      </c>
      <c r="J14832">
        <v>1</v>
      </c>
      <c r="K14832">
        <v>21</v>
      </c>
      <c r="L14832">
        <v>312</v>
      </c>
      <c r="M14832">
        <v>1</v>
      </c>
      <c r="N14832">
        <v>2.7712E-124</v>
      </c>
      <c r="O14832">
        <v>1138</v>
      </c>
    </row>
    <row r="14833" spans="1:15" x14ac:dyDescent="0.25">
      <c r="A14833" t="s">
        <v>14846</v>
      </c>
      <c r="B14833">
        <v>564</v>
      </c>
      <c r="C14833" s="1" t="str">
        <f>HYPERLINK("http://www.rosaceae.org/gb/gbrowse/malus_x_domestica/?name=MDP0000151783","MDP0000151783")</f>
        <v>MDP0000151783</v>
      </c>
      <c r="D14833">
        <v>64.209999999999994</v>
      </c>
      <c r="E14833">
        <v>475</v>
      </c>
      <c r="F14833">
        <v>170</v>
      </c>
      <c r="G14833">
        <v>29</v>
      </c>
      <c r="H14833">
        <v>12</v>
      </c>
      <c r="I14833">
        <v>458</v>
      </c>
      <c r="J14833">
        <v>1</v>
      </c>
      <c r="K14833">
        <v>15</v>
      </c>
      <c r="L14833">
        <v>488</v>
      </c>
      <c r="M14833">
        <v>1</v>
      </c>
      <c r="N14833">
        <v>1.8436299999999999E-169</v>
      </c>
      <c r="O14833">
        <v>1528</v>
      </c>
    </row>
    <row r="14834" spans="1:15" x14ac:dyDescent="0.25">
      <c r="A14834" t="s">
        <v>14847</v>
      </c>
      <c r="B14834">
        <v>829</v>
      </c>
      <c r="C14834" s="1" t="str">
        <f>HYPERLINK("http://www.rosaceae.org/gb/gbrowse/malus_x_domestica/?name=MDP0000170973","MDP0000170973")</f>
        <v>MDP0000170973</v>
      </c>
      <c r="D14834">
        <v>74.760000000000005</v>
      </c>
      <c r="E14834">
        <v>860</v>
      </c>
      <c r="F14834">
        <v>217</v>
      </c>
      <c r="G14834">
        <v>44</v>
      </c>
      <c r="H14834">
        <v>1</v>
      </c>
      <c r="I14834">
        <v>824</v>
      </c>
      <c r="J14834">
        <v>1</v>
      </c>
      <c r="K14834">
        <v>1</v>
      </c>
      <c r="L14834">
        <v>852</v>
      </c>
      <c r="M14834">
        <v>1</v>
      </c>
      <c r="N14834">
        <v>0</v>
      </c>
      <c r="O14834">
        <v>3226</v>
      </c>
    </row>
    <row r="14835" spans="1:15" x14ac:dyDescent="0.25">
      <c r="A14835" t="s">
        <v>14848</v>
      </c>
      <c r="B14835">
        <v>99</v>
      </c>
      <c r="C14835" s="1" t="str">
        <f>HYPERLINK("http://www.rosaceae.org/gb/gbrowse/malus_x_domestica/?name=MDP0000236820","MDP0000236820")</f>
        <v>MDP0000236820</v>
      </c>
      <c r="D14835">
        <v>46.66</v>
      </c>
      <c r="E14835">
        <v>120</v>
      </c>
      <c r="F14835">
        <v>64</v>
      </c>
      <c r="G14835">
        <v>30</v>
      </c>
      <c r="H14835">
        <v>8</v>
      </c>
      <c r="I14835">
        <v>97</v>
      </c>
      <c r="J14835">
        <v>1</v>
      </c>
      <c r="K14835">
        <v>541</v>
      </c>
      <c r="L14835">
        <v>660</v>
      </c>
      <c r="M14835">
        <v>1</v>
      </c>
      <c r="N14835">
        <v>5.6456800000000004E-23</v>
      </c>
      <c r="O14835">
        <v>255</v>
      </c>
    </row>
    <row r="14836" spans="1:15" x14ac:dyDescent="0.25">
      <c r="A14836" t="s">
        <v>14849</v>
      </c>
      <c r="B14836">
        <v>231</v>
      </c>
      <c r="C14836" s="1" t="str">
        <f>HYPERLINK("http://www.rosaceae.org/gb/gbrowse/malus_x_domestica/?name=MDP0000753946","MDP0000753946")</f>
        <v>MDP0000753946</v>
      </c>
      <c r="D14836">
        <v>61.59</v>
      </c>
      <c r="E14836">
        <v>263</v>
      </c>
      <c r="F14836">
        <v>101</v>
      </c>
      <c r="G14836">
        <v>34</v>
      </c>
      <c r="H14836">
        <v>1</v>
      </c>
      <c r="I14836">
        <v>231</v>
      </c>
      <c r="J14836">
        <v>1</v>
      </c>
      <c r="K14836">
        <v>1</v>
      </c>
      <c r="L14836">
        <v>261</v>
      </c>
      <c r="M14836">
        <v>1</v>
      </c>
      <c r="N14836">
        <v>2.7931300000000001E-83</v>
      </c>
      <c r="O14836">
        <v>781</v>
      </c>
    </row>
    <row r="14837" spans="1:15" x14ac:dyDescent="0.25">
      <c r="A14837" t="s">
        <v>14850</v>
      </c>
      <c r="B14837">
        <v>645</v>
      </c>
      <c r="C14837" s="1" t="str">
        <f>HYPERLINK("http://www.rosaceae.org/gb/gbrowse/malus_x_domestica/?name=MDP0000131123","MDP0000131123")</f>
        <v>MDP0000131123</v>
      </c>
      <c r="D14837">
        <v>73.849999999999994</v>
      </c>
      <c r="E14837">
        <v>631</v>
      </c>
      <c r="F14837">
        <v>165</v>
      </c>
      <c r="G14837">
        <v>29</v>
      </c>
      <c r="H14837">
        <v>22</v>
      </c>
      <c r="I14837">
        <v>645</v>
      </c>
      <c r="J14837">
        <v>1</v>
      </c>
      <c r="K14837">
        <v>22</v>
      </c>
      <c r="L14837">
        <v>630</v>
      </c>
      <c r="M14837">
        <v>1</v>
      </c>
      <c r="N14837">
        <v>0</v>
      </c>
      <c r="O14837">
        <v>2415</v>
      </c>
    </row>
    <row r="14838" spans="1:15" x14ac:dyDescent="0.25">
      <c r="A14838" t="s">
        <v>14851</v>
      </c>
      <c r="B14838">
        <v>520</v>
      </c>
      <c r="C14838" s="1" t="str">
        <f>HYPERLINK("http://www.rosaceae.org/gb/gbrowse/malus_x_domestica/?name=MDP0000164429","MDP0000164429")</f>
        <v>MDP0000164429</v>
      </c>
      <c r="D14838">
        <v>83.93</v>
      </c>
      <c r="E14838">
        <v>523</v>
      </c>
      <c r="F14838">
        <v>84</v>
      </c>
      <c r="G14838">
        <v>5</v>
      </c>
      <c r="H14838">
        <v>1</v>
      </c>
      <c r="I14838">
        <v>518</v>
      </c>
      <c r="J14838">
        <v>1</v>
      </c>
      <c r="K14838">
        <v>1</v>
      </c>
      <c r="L14838">
        <v>523</v>
      </c>
      <c r="M14838">
        <v>1</v>
      </c>
      <c r="N14838">
        <v>0</v>
      </c>
      <c r="O14838">
        <v>2232</v>
      </c>
    </row>
    <row r="14839" spans="1:15" x14ac:dyDescent="0.25">
      <c r="A14839" t="s">
        <v>14852</v>
      </c>
      <c r="B14839">
        <v>362</v>
      </c>
      <c r="C14839" s="1" t="str">
        <f>HYPERLINK("http://www.rosaceae.org/gb/gbrowse/malus_x_domestica/?name=MDP0000149180","MDP0000149180")</f>
        <v>MDP0000149180</v>
      </c>
      <c r="D14839">
        <v>77.010000000000005</v>
      </c>
      <c r="E14839">
        <v>335</v>
      </c>
      <c r="F14839">
        <v>77</v>
      </c>
      <c r="G14839">
        <v>1</v>
      </c>
      <c r="H14839">
        <v>29</v>
      </c>
      <c r="I14839">
        <v>362</v>
      </c>
      <c r="J14839">
        <v>1</v>
      </c>
      <c r="K14839">
        <v>22</v>
      </c>
      <c r="L14839">
        <v>356</v>
      </c>
      <c r="M14839">
        <v>1</v>
      </c>
      <c r="N14839">
        <v>5.7726699999999998E-156</v>
      </c>
      <c r="O14839">
        <v>1410</v>
      </c>
    </row>
    <row r="14840" spans="1:15" x14ac:dyDescent="0.25">
      <c r="A14840" t="s">
        <v>14853</v>
      </c>
      <c r="B14840">
        <v>688</v>
      </c>
      <c r="C14840" s="1" t="str">
        <f>HYPERLINK("http://www.rosaceae.org/gb/gbrowse/malus_x_domestica/?name=MDP0000237182","MDP0000237182")</f>
        <v>MDP0000237182</v>
      </c>
      <c r="D14840">
        <v>28.8</v>
      </c>
      <c r="E14840">
        <v>250</v>
      </c>
      <c r="F14840">
        <v>178</v>
      </c>
      <c r="G14840">
        <v>12</v>
      </c>
      <c r="H14840">
        <v>122</v>
      </c>
      <c r="I14840">
        <v>369</v>
      </c>
      <c r="J14840">
        <v>1</v>
      </c>
      <c r="K14840">
        <v>272</v>
      </c>
      <c r="L14840">
        <v>511</v>
      </c>
      <c r="M14840">
        <v>1</v>
      </c>
      <c r="N14840">
        <v>1.1976E-23</v>
      </c>
      <c r="O14840">
        <v>272</v>
      </c>
    </row>
    <row r="14841" spans="1:15" x14ac:dyDescent="0.25">
      <c r="A14841" t="s">
        <v>14854</v>
      </c>
      <c r="B14841">
        <v>365</v>
      </c>
      <c r="C14841" s="1" t="str">
        <f>HYPERLINK("http://www.rosaceae.org/gb/gbrowse/malus_x_domestica/?name=MDP0000119418","MDP0000119418")</f>
        <v>MDP0000119418</v>
      </c>
      <c r="D14841">
        <v>54.27</v>
      </c>
      <c r="E14841">
        <v>339</v>
      </c>
      <c r="F14841">
        <v>155</v>
      </c>
      <c r="G14841">
        <v>8</v>
      </c>
      <c r="H14841">
        <v>29</v>
      </c>
      <c r="I14841">
        <v>361</v>
      </c>
      <c r="J14841">
        <v>1</v>
      </c>
      <c r="K14841">
        <v>35</v>
      </c>
      <c r="L14841">
        <v>371</v>
      </c>
      <c r="M14841">
        <v>1</v>
      </c>
      <c r="N14841">
        <v>2.9424199999999999E-103</v>
      </c>
      <c r="O14841">
        <v>955</v>
      </c>
    </row>
    <row r="14842" spans="1:15" x14ac:dyDescent="0.25">
      <c r="A14842" t="s">
        <v>14855</v>
      </c>
      <c r="B14842">
        <v>233</v>
      </c>
      <c r="C14842" s="1" t="str">
        <f>HYPERLINK("http://www.rosaceae.org/gb/gbrowse/malus_x_domestica/?name=MDP0000473823","MDP0000473823")</f>
        <v>MDP0000473823</v>
      </c>
      <c r="D14842">
        <v>39.840000000000003</v>
      </c>
      <c r="E14842">
        <v>128</v>
      </c>
      <c r="F14842">
        <v>77</v>
      </c>
      <c r="G14842">
        <v>10</v>
      </c>
      <c r="H14842">
        <v>3</v>
      </c>
      <c r="I14842">
        <v>129</v>
      </c>
      <c r="J14842">
        <v>1</v>
      </c>
      <c r="K14842">
        <v>1</v>
      </c>
      <c r="L14842">
        <v>119</v>
      </c>
      <c r="M14842">
        <v>1</v>
      </c>
      <c r="N14842">
        <v>5.63309E-18</v>
      </c>
      <c r="O14842">
        <v>218</v>
      </c>
    </row>
    <row r="14843" spans="1:15" x14ac:dyDescent="0.25">
      <c r="A14843" t="s">
        <v>14856</v>
      </c>
      <c r="B14843">
        <v>358</v>
      </c>
      <c r="C14843" s="1" t="str">
        <f>HYPERLINK("http://www.rosaceae.org/gb/gbrowse/malus_x_domestica/?name=MDP0000381531","MDP0000381531")</f>
        <v>MDP0000381531</v>
      </c>
      <c r="D14843">
        <v>73.5</v>
      </c>
      <c r="E14843">
        <v>351</v>
      </c>
      <c r="F14843">
        <v>93</v>
      </c>
      <c r="G14843">
        <v>6</v>
      </c>
      <c r="H14843">
        <v>4</v>
      </c>
      <c r="I14843">
        <v>350</v>
      </c>
      <c r="J14843">
        <v>1</v>
      </c>
      <c r="K14843">
        <v>42</v>
      </c>
      <c r="L14843">
        <v>390</v>
      </c>
      <c r="M14843">
        <v>1</v>
      </c>
      <c r="N14843">
        <v>3.2511100000000003E-154</v>
      </c>
      <c r="O14843">
        <v>1395</v>
      </c>
    </row>
    <row r="14844" spans="1:15" x14ac:dyDescent="0.25">
      <c r="A14844" t="s">
        <v>14857</v>
      </c>
      <c r="B14844">
        <v>275</v>
      </c>
      <c r="C14844" s="1" t="str">
        <f>HYPERLINK("http://www.rosaceae.org/gb/gbrowse/malus_x_domestica/?name=MDP0000221147","MDP0000221147")</f>
        <v>MDP0000221147</v>
      </c>
      <c r="D14844">
        <v>71.489999999999995</v>
      </c>
      <c r="E14844">
        <v>221</v>
      </c>
      <c r="F14844">
        <v>63</v>
      </c>
      <c r="G14844">
        <v>0</v>
      </c>
      <c r="H14844">
        <v>1</v>
      </c>
      <c r="I14844">
        <v>221</v>
      </c>
      <c r="J14844">
        <v>1</v>
      </c>
      <c r="K14844">
        <v>274</v>
      </c>
      <c r="L14844">
        <v>494</v>
      </c>
      <c r="M14844">
        <v>1</v>
      </c>
      <c r="N14844">
        <v>6.2852300000000004E-90</v>
      </c>
      <c r="O14844">
        <v>839</v>
      </c>
    </row>
    <row r="14845" spans="1:15" x14ac:dyDescent="0.25">
      <c r="A14845" t="s">
        <v>14858</v>
      </c>
      <c r="B14845">
        <v>832</v>
      </c>
      <c r="C14845" s="1" t="str">
        <f>HYPERLINK("http://www.rosaceae.org/gb/gbrowse/malus_x_domestica/?name=MDP0000277458","MDP0000277458")</f>
        <v>MDP0000277458</v>
      </c>
      <c r="D14845">
        <v>47.95</v>
      </c>
      <c r="E14845">
        <v>880</v>
      </c>
      <c r="F14845">
        <v>458</v>
      </c>
      <c r="G14845">
        <v>108</v>
      </c>
      <c r="H14845">
        <v>1</v>
      </c>
      <c r="I14845">
        <v>806</v>
      </c>
      <c r="J14845">
        <v>1</v>
      </c>
      <c r="K14845">
        <v>1</v>
      </c>
      <c r="L14845">
        <v>846</v>
      </c>
      <c r="M14845">
        <v>1</v>
      </c>
      <c r="N14845">
        <v>0</v>
      </c>
      <c r="O14845">
        <v>1674</v>
      </c>
    </row>
    <row r="14846" spans="1:15" x14ac:dyDescent="0.25">
      <c r="A14846" t="s">
        <v>14859</v>
      </c>
      <c r="B14846">
        <v>438</v>
      </c>
      <c r="C14846" s="1" t="str">
        <f>HYPERLINK("http://www.rosaceae.org/gb/gbrowse/malus_x_domestica/?name=MDP0000597812","MDP0000597812")</f>
        <v>MDP0000597812</v>
      </c>
      <c r="D14846">
        <v>66.739999999999995</v>
      </c>
      <c r="E14846">
        <v>454</v>
      </c>
      <c r="F14846">
        <v>151</v>
      </c>
      <c r="G14846">
        <v>16</v>
      </c>
      <c r="H14846">
        <v>1</v>
      </c>
      <c r="I14846">
        <v>438</v>
      </c>
      <c r="J14846">
        <v>1</v>
      </c>
      <c r="K14846">
        <v>1</v>
      </c>
      <c r="L14846">
        <v>454</v>
      </c>
      <c r="M14846">
        <v>1</v>
      </c>
      <c r="N14846">
        <v>7.08876E-174</v>
      </c>
      <c r="O14846">
        <v>1565</v>
      </c>
    </row>
    <row r="14847" spans="1:15" x14ac:dyDescent="0.25">
      <c r="A14847" t="s">
        <v>14860</v>
      </c>
      <c r="B14847">
        <v>270</v>
      </c>
      <c r="C14847" s="1" t="str">
        <f>HYPERLINK("http://www.rosaceae.org/gb/gbrowse/malus_x_domestica/?name=MDP0000176265","MDP0000176265")</f>
        <v>MDP0000176265</v>
      </c>
      <c r="D14847">
        <v>52.49</v>
      </c>
      <c r="E14847">
        <v>301</v>
      </c>
      <c r="F14847">
        <v>143</v>
      </c>
      <c r="G14847">
        <v>39</v>
      </c>
      <c r="H14847">
        <v>1</v>
      </c>
      <c r="I14847">
        <v>264</v>
      </c>
      <c r="J14847">
        <v>1</v>
      </c>
      <c r="K14847">
        <v>1</v>
      </c>
      <c r="L14847">
        <v>299</v>
      </c>
      <c r="M14847">
        <v>1</v>
      </c>
      <c r="N14847">
        <v>1.08988E-75</v>
      </c>
      <c r="O14847">
        <v>716</v>
      </c>
    </row>
    <row r="14848" spans="1:15" x14ac:dyDescent="0.25">
      <c r="A14848" t="s">
        <v>14861</v>
      </c>
      <c r="B14848">
        <v>564</v>
      </c>
      <c r="C14848" s="1" t="str">
        <f>HYPERLINK("http://www.rosaceae.org/gb/gbrowse/malus_x_domestica/?name=MDP0000780353","MDP0000780353")</f>
        <v>MDP0000780353</v>
      </c>
      <c r="D14848">
        <v>47.97</v>
      </c>
      <c r="E14848">
        <v>544</v>
      </c>
      <c r="F14848">
        <v>283</v>
      </c>
      <c r="G14848">
        <v>51</v>
      </c>
      <c r="H14848">
        <v>52</v>
      </c>
      <c r="I14848">
        <v>559</v>
      </c>
      <c r="J14848">
        <v>1</v>
      </c>
      <c r="K14848">
        <v>59</v>
      </c>
      <c r="L14848">
        <v>587</v>
      </c>
      <c r="M14848">
        <v>1</v>
      </c>
      <c r="N14848">
        <v>1.1276799999999999E-109</v>
      </c>
      <c r="O14848">
        <v>1013</v>
      </c>
    </row>
    <row r="14849" spans="1:15" x14ac:dyDescent="0.25">
      <c r="A14849" t="s">
        <v>14862</v>
      </c>
      <c r="B14849">
        <v>904</v>
      </c>
      <c r="C14849" s="1" t="str">
        <f>HYPERLINK("http://www.rosaceae.org/gb/gbrowse/malus_x_domestica/?name=MDP0000172171","MDP0000172171")</f>
        <v>MDP0000172171</v>
      </c>
      <c r="D14849">
        <v>72.010000000000005</v>
      </c>
      <c r="E14849">
        <v>268</v>
      </c>
      <c r="F14849">
        <v>75</v>
      </c>
      <c r="G14849">
        <v>1</v>
      </c>
      <c r="H14849">
        <v>324</v>
      </c>
      <c r="I14849">
        <v>590</v>
      </c>
      <c r="J14849">
        <v>1</v>
      </c>
      <c r="K14849">
        <v>452</v>
      </c>
      <c r="L14849">
        <v>719</v>
      </c>
      <c r="M14849">
        <v>1</v>
      </c>
      <c r="N14849">
        <v>4.0128500000000002E-118</v>
      </c>
      <c r="O14849">
        <v>1088</v>
      </c>
    </row>
    <row r="14850" spans="1:15" x14ac:dyDescent="0.25">
      <c r="A14850" t="s">
        <v>14863</v>
      </c>
      <c r="B14850">
        <v>786</v>
      </c>
      <c r="C14850" s="1" t="str">
        <f>HYPERLINK("http://www.rosaceae.org/gb/gbrowse/malus_x_domestica/?name=MDP0000212109","MDP0000212109")</f>
        <v>MDP0000212109</v>
      </c>
      <c r="D14850">
        <v>70.19</v>
      </c>
      <c r="E14850">
        <v>765</v>
      </c>
      <c r="F14850">
        <v>228</v>
      </c>
      <c r="G14850">
        <v>15</v>
      </c>
      <c r="H14850">
        <v>12</v>
      </c>
      <c r="I14850">
        <v>766</v>
      </c>
      <c r="J14850">
        <v>1</v>
      </c>
      <c r="K14850">
        <v>1</v>
      </c>
      <c r="L14850">
        <v>760</v>
      </c>
      <c r="M14850">
        <v>1</v>
      </c>
      <c r="N14850">
        <v>0</v>
      </c>
      <c r="O14850">
        <v>2619</v>
      </c>
    </row>
    <row r="14851" spans="1:15" x14ac:dyDescent="0.25">
      <c r="A14851" t="s">
        <v>14864</v>
      </c>
      <c r="B14851">
        <v>1590</v>
      </c>
      <c r="C14851" s="1" t="str">
        <f>HYPERLINK("http://www.rosaceae.org/gb/gbrowse/malus_x_domestica/?name=MDP0000198613","MDP0000198613")</f>
        <v>MDP0000198613</v>
      </c>
      <c r="D14851">
        <v>81.97</v>
      </c>
      <c r="E14851">
        <v>1409</v>
      </c>
      <c r="F14851">
        <v>254</v>
      </c>
      <c r="G14851">
        <v>27</v>
      </c>
      <c r="H14851">
        <v>1</v>
      </c>
      <c r="I14851">
        <v>1405</v>
      </c>
      <c r="J14851">
        <v>1</v>
      </c>
      <c r="K14851">
        <v>1</v>
      </c>
      <c r="L14851">
        <v>1386</v>
      </c>
      <c r="M14851">
        <v>1</v>
      </c>
      <c r="N14851">
        <v>0</v>
      </c>
      <c r="O14851">
        <v>6005</v>
      </c>
    </row>
    <row r="14852" spans="1:15" x14ac:dyDescent="0.25">
      <c r="A14852" t="s">
        <v>14865</v>
      </c>
      <c r="B14852">
        <v>729</v>
      </c>
      <c r="C14852" s="1" t="str">
        <f>HYPERLINK("http://www.rosaceae.org/gb/gbrowse/malus_x_domestica/?name=MDP0000239797","MDP0000239797")</f>
        <v>MDP0000239797</v>
      </c>
      <c r="D14852">
        <v>77.12</v>
      </c>
      <c r="E14852">
        <v>306</v>
      </c>
      <c r="F14852">
        <v>70</v>
      </c>
      <c r="G14852">
        <v>6</v>
      </c>
      <c r="H14852">
        <v>1</v>
      </c>
      <c r="I14852">
        <v>301</v>
      </c>
      <c r="J14852">
        <v>1</v>
      </c>
      <c r="K14852">
        <v>160</v>
      </c>
      <c r="L14852">
        <v>464</v>
      </c>
      <c r="M14852">
        <v>1</v>
      </c>
      <c r="N14852">
        <v>1.19535E-132</v>
      </c>
      <c r="O14852">
        <v>1212</v>
      </c>
    </row>
    <row r="14853" spans="1:15" x14ac:dyDescent="0.25">
      <c r="A14853" t="s">
        <v>14866</v>
      </c>
      <c r="B14853">
        <v>504</v>
      </c>
      <c r="C14853" s="1" t="str">
        <f>HYPERLINK("http://www.rosaceae.org/gb/gbrowse/malus_x_domestica/?name=MDP0000284588","MDP0000284588")</f>
        <v>MDP0000284588</v>
      </c>
      <c r="D14853">
        <v>82.77</v>
      </c>
      <c r="E14853">
        <v>505</v>
      </c>
      <c r="F14853">
        <v>87</v>
      </c>
      <c r="G14853">
        <v>1</v>
      </c>
      <c r="H14853">
        <v>1</v>
      </c>
      <c r="I14853">
        <v>504</v>
      </c>
      <c r="J14853">
        <v>1</v>
      </c>
      <c r="K14853">
        <v>441</v>
      </c>
      <c r="L14853">
        <v>945</v>
      </c>
      <c r="M14853">
        <v>1</v>
      </c>
      <c r="N14853">
        <v>0</v>
      </c>
      <c r="O14853">
        <v>2281</v>
      </c>
    </row>
    <row r="14854" spans="1:15" x14ac:dyDescent="0.25">
      <c r="A14854" t="s">
        <v>14867</v>
      </c>
      <c r="B14854">
        <v>223</v>
      </c>
      <c r="C14854" s="1" t="str">
        <f>HYPERLINK("http://www.rosaceae.org/gb/gbrowse/malus_x_domestica/?name=MDP0000523206","MDP0000523206")</f>
        <v>MDP0000523206</v>
      </c>
      <c r="D14854">
        <v>64.86</v>
      </c>
      <c r="E14854">
        <v>74</v>
      </c>
      <c r="F14854">
        <v>26</v>
      </c>
      <c r="G14854">
        <v>0</v>
      </c>
      <c r="H14854">
        <v>149</v>
      </c>
      <c r="I14854">
        <v>222</v>
      </c>
      <c r="J14854">
        <v>1</v>
      </c>
      <c r="K14854">
        <v>14</v>
      </c>
      <c r="L14854">
        <v>87</v>
      </c>
      <c r="M14854">
        <v>1</v>
      </c>
      <c r="N14854">
        <v>6.3516499999999999E-25</v>
      </c>
      <c r="O14854">
        <v>277</v>
      </c>
    </row>
    <row r="14855" spans="1:15" x14ac:dyDescent="0.25">
      <c r="A14855" t="s">
        <v>14868</v>
      </c>
      <c r="B14855">
        <v>868</v>
      </c>
      <c r="C14855" s="1" t="str">
        <f>HYPERLINK("http://www.rosaceae.org/gb/gbrowse/malus_x_domestica/?name=MDP0000948518","MDP0000948518")</f>
        <v>MDP0000948518</v>
      </c>
      <c r="D14855">
        <v>87.86</v>
      </c>
      <c r="E14855">
        <v>758</v>
      </c>
      <c r="F14855">
        <v>92</v>
      </c>
      <c r="G14855">
        <v>15</v>
      </c>
      <c r="H14855">
        <v>1</v>
      </c>
      <c r="I14855">
        <v>746</v>
      </c>
      <c r="J14855">
        <v>1</v>
      </c>
      <c r="K14855">
        <v>1</v>
      </c>
      <c r="L14855">
        <v>755</v>
      </c>
      <c r="M14855">
        <v>1</v>
      </c>
      <c r="N14855">
        <v>0</v>
      </c>
      <c r="O14855">
        <v>3472</v>
      </c>
    </row>
    <row r="14856" spans="1:15" x14ac:dyDescent="0.25">
      <c r="A14856" t="s">
        <v>14869</v>
      </c>
      <c r="B14856">
        <v>142</v>
      </c>
      <c r="C14856" s="1" t="str">
        <f>HYPERLINK("http://www.rosaceae.org/gb/gbrowse/malus_x_domestica/?name=MDP0000208958","MDP0000208958")</f>
        <v>MDP0000208958</v>
      </c>
      <c r="D14856">
        <v>83.1</v>
      </c>
      <c r="E14856">
        <v>148</v>
      </c>
      <c r="F14856">
        <v>25</v>
      </c>
      <c r="G14856">
        <v>9</v>
      </c>
      <c r="H14856">
        <v>1</v>
      </c>
      <c r="I14856">
        <v>142</v>
      </c>
      <c r="J14856">
        <v>1</v>
      </c>
      <c r="K14856">
        <v>1</v>
      </c>
      <c r="L14856">
        <v>145</v>
      </c>
      <c r="M14856">
        <v>1</v>
      </c>
      <c r="N14856">
        <v>3.9636300000000001E-61</v>
      </c>
      <c r="O14856">
        <v>586</v>
      </c>
    </row>
    <row r="14857" spans="1:15" x14ac:dyDescent="0.25">
      <c r="A14857" t="s">
        <v>14870</v>
      </c>
      <c r="B14857">
        <v>420</v>
      </c>
      <c r="C14857" s="1" t="str">
        <f>HYPERLINK("http://www.rosaceae.org/gb/gbrowse/malus_x_domestica/?name=MDP0000293482","MDP0000293482")</f>
        <v>MDP0000293482</v>
      </c>
      <c r="D14857">
        <v>82.85</v>
      </c>
      <c r="E14857">
        <v>420</v>
      </c>
      <c r="F14857">
        <v>72</v>
      </c>
      <c r="G14857">
        <v>0</v>
      </c>
      <c r="H14857">
        <v>1</v>
      </c>
      <c r="I14857">
        <v>420</v>
      </c>
      <c r="J14857">
        <v>1</v>
      </c>
      <c r="K14857">
        <v>1</v>
      </c>
      <c r="L14857">
        <v>420</v>
      </c>
      <c r="M14857">
        <v>1</v>
      </c>
      <c r="N14857">
        <v>0</v>
      </c>
      <c r="O14857">
        <v>1847</v>
      </c>
    </row>
    <row r="14858" spans="1:15" x14ac:dyDescent="0.25">
      <c r="A14858" t="s">
        <v>14871</v>
      </c>
      <c r="B14858">
        <v>472</v>
      </c>
      <c r="C14858" s="1" t="str">
        <f>HYPERLINK("http://www.rosaceae.org/gb/gbrowse/malus_x_domestica/?name=MDP0000127933","MDP0000127933")</f>
        <v>MDP0000127933</v>
      </c>
      <c r="D14858">
        <v>93.45</v>
      </c>
      <c r="E14858">
        <v>168</v>
      </c>
      <c r="F14858">
        <v>11</v>
      </c>
      <c r="G14858">
        <v>0</v>
      </c>
      <c r="H14858">
        <v>304</v>
      </c>
      <c r="I14858">
        <v>471</v>
      </c>
      <c r="J14858">
        <v>1</v>
      </c>
      <c r="K14858">
        <v>1</v>
      </c>
      <c r="L14858">
        <v>168</v>
      </c>
      <c r="M14858">
        <v>1</v>
      </c>
      <c r="N14858">
        <v>7.1480900000000001E-85</v>
      </c>
      <c r="O14858">
        <v>798</v>
      </c>
    </row>
    <row r="14859" spans="1:15" x14ac:dyDescent="0.25">
      <c r="A14859" t="s">
        <v>14872</v>
      </c>
      <c r="B14859">
        <v>301</v>
      </c>
      <c r="C14859" s="1" t="str">
        <f>HYPERLINK("http://www.rosaceae.org/gb/gbrowse/malus_x_domestica/?name=MDP0000130400","MDP0000130400")</f>
        <v>MDP0000130400</v>
      </c>
      <c r="D14859">
        <v>57.98</v>
      </c>
      <c r="E14859">
        <v>307</v>
      </c>
      <c r="F14859">
        <v>129</v>
      </c>
      <c r="G14859">
        <v>35</v>
      </c>
      <c r="H14859">
        <v>1</v>
      </c>
      <c r="I14859">
        <v>301</v>
      </c>
      <c r="J14859">
        <v>1</v>
      </c>
      <c r="K14859">
        <v>1</v>
      </c>
      <c r="L14859">
        <v>278</v>
      </c>
      <c r="M14859">
        <v>1</v>
      </c>
      <c r="N14859">
        <v>1.5051600000000001E-91</v>
      </c>
      <c r="O14859">
        <v>853</v>
      </c>
    </row>
    <row r="14860" spans="1:15" x14ac:dyDescent="0.25">
      <c r="A14860" t="s">
        <v>14873</v>
      </c>
      <c r="B14860">
        <v>822</v>
      </c>
      <c r="C14860" s="1" t="str">
        <f>HYPERLINK("http://www.rosaceae.org/gb/gbrowse/malus_x_domestica/?name=MDP0000614064","MDP0000614064")</f>
        <v>MDP0000614064</v>
      </c>
      <c r="D14860">
        <v>40.98</v>
      </c>
      <c r="E14860">
        <v>122</v>
      </c>
      <c r="F14860">
        <v>72</v>
      </c>
      <c r="G14860">
        <v>10</v>
      </c>
      <c r="H14860">
        <v>262</v>
      </c>
      <c r="I14860">
        <v>383</v>
      </c>
      <c r="J14860">
        <v>1</v>
      </c>
      <c r="K14860">
        <v>65</v>
      </c>
      <c r="L14860">
        <v>176</v>
      </c>
      <c r="M14860">
        <v>1</v>
      </c>
      <c r="N14860">
        <v>1.9426900000000001E-16</v>
      </c>
      <c r="O14860">
        <v>210</v>
      </c>
    </row>
    <row r="14861" spans="1:15" x14ac:dyDescent="0.25">
      <c r="A14861" t="s">
        <v>14874</v>
      </c>
      <c r="B14861">
        <v>904</v>
      </c>
      <c r="C14861" s="1" t="str">
        <f>HYPERLINK("http://www.rosaceae.org/gb/gbrowse/malus_x_domestica/?name=MDP0000172990","MDP0000172990")</f>
        <v>MDP0000172990</v>
      </c>
      <c r="D14861">
        <v>72.36</v>
      </c>
      <c r="E14861">
        <v>760</v>
      </c>
      <c r="F14861">
        <v>210</v>
      </c>
      <c r="G14861">
        <v>3</v>
      </c>
      <c r="H14861">
        <v>22</v>
      </c>
      <c r="I14861">
        <v>778</v>
      </c>
      <c r="J14861">
        <v>1</v>
      </c>
      <c r="K14861">
        <v>20</v>
      </c>
      <c r="L14861">
        <v>779</v>
      </c>
      <c r="M14861">
        <v>1</v>
      </c>
      <c r="N14861">
        <v>0</v>
      </c>
      <c r="O14861">
        <v>2904</v>
      </c>
    </row>
    <row r="14862" spans="1:15" x14ac:dyDescent="0.25">
      <c r="A14862" t="s">
        <v>14875</v>
      </c>
      <c r="B14862">
        <v>551</v>
      </c>
      <c r="C14862" s="1" t="str">
        <f>HYPERLINK("http://www.rosaceae.org/gb/gbrowse/malus_x_domestica/?name=MDP0000270884","MDP0000270884")</f>
        <v>MDP0000270884</v>
      </c>
      <c r="D14862">
        <v>69.239999999999995</v>
      </c>
      <c r="E14862">
        <v>465</v>
      </c>
      <c r="F14862">
        <v>143</v>
      </c>
      <c r="G14862">
        <v>14</v>
      </c>
      <c r="H14862">
        <v>96</v>
      </c>
      <c r="I14862">
        <v>548</v>
      </c>
      <c r="J14862">
        <v>1</v>
      </c>
      <c r="K14862">
        <v>119</v>
      </c>
      <c r="L14862">
        <v>581</v>
      </c>
      <c r="M14862">
        <v>1</v>
      </c>
      <c r="N14862">
        <v>4.1442499999999998E-174</v>
      </c>
      <c r="O14862">
        <v>1568</v>
      </c>
    </row>
    <row r="14863" spans="1:15" x14ac:dyDescent="0.25">
      <c r="A14863" t="s">
        <v>14876</v>
      </c>
      <c r="B14863">
        <v>528</v>
      </c>
      <c r="C14863" s="1" t="str">
        <f>HYPERLINK("http://www.rosaceae.org/gb/gbrowse/malus_x_domestica/?name=MDP0000544996","MDP0000544996")</f>
        <v>MDP0000544996</v>
      </c>
      <c r="D14863">
        <v>69.540000000000006</v>
      </c>
      <c r="E14863">
        <v>545</v>
      </c>
      <c r="F14863">
        <v>166</v>
      </c>
      <c r="G14863">
        <v>88</v>
      </c>
      <c r="H14863">
        <v>1</v>
      </c>
      <c r="I14863">
        <v>523</v>
      </c>
      <c r="J14863">
        <v>1</v>
      </c>
      <c r="K14863">
        <v>1</v>
      </c>
      <c r="L14863">
        <v>479</v>
      </c>
      <c r="M14863">
        <v>1</v>
      </c>
      <c r="N14863">
        <v>0</v>
      </c>
      <c r="O14863">
        <v>1877</v>
      </c>
    </row>
    <row r="14864" spans="1:15" x14ac:dyDescent="0.25">
      <c r="A14864" t="s">
        <v>14877</v>
      </c>
      <c r="B14864">
        <v>382</v>
      </c>
      <c r="C14864" s="1" t="str">
        <f>HYPERLINK("http://www.rosaceae.org/gb/gbrowse/malus_x_domestica/?name=MDP0000307516","MDP0000307516")</f>
        <v>MDP0000307516</v>
      </c>
      <c r="D14864">
        <v>47.29</v>
      </c>
      <c r="E14864">
        <v>370</v>
      </c>
      <c r="F14864">
        <v>195</v>
      </c>
      <c r="G14864">
        <v>49</v>
      </c>
      <c r="H14864">
        <v>1</v>
      </c>
      <c r="I14864">
        <v>367</v>
      </c>
      <c r="J14864">
        <v>1</v>
      </c>
      <c r="K14864">
        <v>1</v>
      </c>
      <c r="L14864">
        <v>324</v>
      </c>
      <c r="M14864">
        <v>1</v>
      </c>
      <c r="N14864">
        <v>2.722E-72</v>
      </c>
      <c r="O14864">
        <v>689</v>
      </c>
    </row>
    <row r="14865" spans="1:15" x14ac:dyDescent="0.25">
      <c r="A14865" t="s">
        <v>14878</v>
      </c>
      <c r="B14865">
        <v>174</v>
      </c>
      <c r="C14865" s="1" t="str">
        <f>HYPERLINK("http://www.rosaceae.org/gb/gbrowse/malus_x_domestica/?name=MDP0000127750","MDP0000127750")</f>
        <v>MDP0000127750</v>
      </c>
      <c r="D14865">
        <v>43.75</v>
      </c>
      <c r="E14865">
        <v>80</v>
      </c>
      <c r="F14865">
        <v>45</v>
      </c>
      <c r="G14865">
        <v>2</v>
      </c>
      <c r="H14865">
        <v>78</v>
      </c>
      <c r="I14865">
        <v>157</v>
      </c>
      <c r="J14865">
        <v>1</v>
      </c>
      <c r="K14865">
        <v>45</v>
      </c>
      <c r="L14865">
        <v>122</v>
      </c>
      <c r="M14865">
        <v>1</v>
      </c>
      <c r="N14865">
        <v>3.84089E-9</v>
      </c>
      <c r="O14865">
        <v>139</v>
      </c>
    </row>
    <row r="14866" spans="1:15" x14ac:dyDescent="0.25">
      <c r="A14866" t="s">
        <v>14879</v>
      </c>
      <c r="B14866">
        <v>250</v>
      </c>
      <c r="C14866" s="1" t="str">
        <f>HYPERLINK("http://www.rosaceae.org/gb/gbrowse/malus_x_domestica/?name=MDP0000696952","MDP0000696952")</f>
        <v>MDP0000696952</v>
      </c>
      <c r="D14866">
        <v>52.92</v>
      </c>
      <c r="E14866">
        <v>308</v>
      </c>
      <c r="F14866">
        <v>145</v>
      </c>
      <c r="G14866">
        <v>66</v>
      </c>
      <c r="H14866">
        <v>1</v>
      </c>
      <c r="I14866">
        <v>242</v>
      </c>
      <c r="J14866">
        <v>1</v>
      </c>
      <c r="K14866">
        <v>181</v>
      </c>
      <c r="L14866">
        <v>488</v>
      </c>
      <c r="M14866">
        <v>1</v>
      </c>
      <c r="N14866">
        <v>4.6408000000000001E-87</v>
      </c>
      <c r="O14866">
        <v>814</v>
      </c>
    </row>
    <row r="14867" spans="1:15" x14ac:dyDescent="0.25">
      <c r="A14867" t="s">
        <v>14880</v>
      </c>
      <c r="B14867">
        <v>297</v>
      </c>
      <c r="C14867" s="1" t="str">
        <f>HYPERLINK("http://www.rosaceae.org/gb/gbrowse/malus_x_domestica/?name=MDP0000772598","MDP0000772598")</f>
        <v>MDP0000772598</v>
      </c>
      <c r="D14867">
        <v>67.900000000000006</v>
      </c>
      <c r="E14867">
        <v>243</v>
      </c>
      <c r="F14867">
        <v>78</v>
      </c>
      <c r="G14867">
        <v>6</v>
      </c>
      <c r="H14867">
        <v>1</v>
      </c>
      <c r="I14867">
        <v>238</v>
      </c>
      <c r="J14867">
        <v>1</v>
      </c>
      <c r="K14867">
        <v>1</v>
      </c>
      <c r="L14867">
        <v>242</v>
      </c>
      <c r="M14867">
        <v>1</v>
      </c>
      <c r="N14867">
        <v>9.2533699999999997E-88</v>
      </c>
      <c r="O14867">
        <v>821</v>
      </c>
    </row>
    <row r="14868" spans="1:15" x14ac:dyDescent="0.25">
      <c r="A14868" t="s">
        <v>14881</v>
      </c>
      <c r="B14868">
        <v>610</v>
      </c>
      <c r="C14868" s="1" t="str">
        <f>HYPERLINK("http://www.rosaceae.org/gb/gbrowse/malus_x_domestica/?name=MDP0000308095","MDP0000308095")</f>
        <v>MDP0000308095</v>
      </c>
      <c r="D14868">
        <v>83.55</v>
      </c>
      <c r="E14868">
        <v>614</v>
      </c>
      <c r="F14868">
        <v>101</v>
      </c>
      <c r="G14868">
        <v>45</v>
      </c>
      <c r="H14868">
        <v>42</v>
      </c>
      <c r="I14868">
        <v>610</v>
      </c>
      <c r="J14868">
        <v>1</v>
      </c>
      <c r="K14868">
        <v>1</v>
      </c>
      <c r="L14868">
        <v>614</v>
      </c>
      <c r="M14868">
        <v>1</v>
      </c>
      <c r="N14868">
        <v>0</v>
      </c>
      <c r="O14868">
        <v>2693</v>
      </c>
    </row>
    <row r="14869" spans="1:15" x14ac:dyDescent="0.25">
      <c r="A14869" t="s">
        <v>14882</v>
      </c>
      <c r="B14869">
        <v>512</v>
      </c>
      <c r="C14869" s="1" t="str">
        <f>HYPERLINK("http://www.rosaceae.org/gb/gbrowse/malus_x_domestica/?name=MDP0000558147","MDP0000558147")</f>
        <v>MDP0000558147</v>
      </c>
      <c r="D14869">
        <v>53.92</v>
      </c>
      <c r="E14869">
        <v>471</v>
      </c>
      <c r="F14869">
        <v>217</v>
      </c>
      <c r="G14869">
        <v>33</v>
      </c>
      <c r="H14869">
        <v>31</v>
      </c>
      <c r="I14869">
        <v>495</v>
      </c>
      <c r="J14869">
        <v>1</v>
      </c>
      <c r="K14869">
        <v>27</v>
      </c>
      <c r="L14869">
        <v>470</v>
      </c>
      <c r="M14869">
        <v>1</v>
      </c>
      <c r="N14869">
        <v>5.3290600000000003E-140</v>
      </c>
      <c r="O14869">
        <v>1274</v>
      </c>
    </row>
    <row r="14870" spans="1:15" x14ac:dyDescent="0.25">
      <c r="A14870" t="s">
        <v>14883</v>
      </c>
      <c r="B14870">
        <v>210</v>
      </c>
      <c r="C14870" s="1" t="str">
        <f>HYPERLINK("http://www.rosaceae.org/gb/gbrowse/malus_x_domestica/?name=MDP0000324175","MDP0000324175")</f>
        <v>MDP0000324175</v>
      </c>
      <c r="D14870">
        <v>45.03</v>
      </c>
      <c r="E14870">
        <v>151</v>
      </c>
      <c r="F14870">
        <v>83</v>
      </c>
      <c r="G14870">
        <v>2</v>
      </c>
      <c r="H14870">
        <v>43</v>
      </c>
      <c r="I14870">
        <v>191</v>
      </c>
      <c r="J14870">
        <v>1</v>
      </c>
      <c r="K14870">
        <v>27</v>
      </c>
      <c r="L14870">
        <v>177</v>
      </c>
      <c r="M14870">
        <v>1</v>
      </c>
      <c r="N14870">
        <v>2.3363699999999999E-25</v>
      </c>
      <c r="O14870">
        <v>281</v>
      </c>
    </row>
    <row r="14871" spans="1:15" x14ac:dyDescent="0.25">
      <c r="A14871" t="s">
        <v>14884</v>
      </c>
      <c r="B14871">
        <v>175</v>
      </c>
      <c r="C14871" s="1" t="str">
        <f>HYPERLINK("http://www.rosaceae.org/gb/gbrowse/malus_x_domestica/?name=MDP0000430422","MDP0000430422")</f>
        <v>MDP0000430422</v>
      </c>
      <c r="D14871">
        <v>65.78</v>
      </c>
      <c r="E14871">
        <v>38</v>
      </c>
      <c r="F14871">
        <v>13</v>
      </c>
      <c r="G14871">
        <v>0</v>
      </c>
      <c r="H14871">
        <v>95</v>
      </c>
      <c r="I14871">
        <v>132</v>
      </c>
      <c r="J14871">
        <v>1</v>
      </c>
      <c r="K14871">
        <v>269</v>
      </c>
      <c r="L14871">
        <v>306</v>
      </c>
      <c r="M14871">
        <v>1</v>
      </c>
      <c r="N14871">
        <v>3.0796499999999998E-9</v>
      </c>
      <c r="O14871">
        <v>140</v>
      </c>
    </row>
    <row r="14872" spans="1:15" x14ac:dyDescent="0.25">
      <c r="A14872" t="s">
        <v>14885</v>
      </c>
      <c r="B14872">
        <v>579</v>
      </c>
      <c r="C14872" s="1" t="str">
        <f>HYPERLINK("http://www.rosaceae.org/gb/gbrowse/malus_x_domestica/?name=MDP0000265616","MDP0000265616")</f>
        <v>MDP0000265616</v>
      </c>
      <c r="D14872">
        <v>42.26</v>
      </c>
      <c r="E14872">
        <v>168</v>
      </c>
      <c r="F14872">
        <v>97</v>
      </c>
      <c r="G14872">
        <v>14</v>
      </c>
      <c r="H14872">
        <v>4</v>
      </c>
      <c r="I14872">
        <v>159</v>
      </c>
      <c r="J14872">
        <v>1</v>
      </c>
      <c r="K14872">
        <v>167</v>
      </c>
      <c r="L14872">
        <v>332</v>
      </c>
      <c r="M14872">
        <v>1</v>
      </c>
      <c r="N14872">
        <v>9.5143699999999993E-31</v>
      </c>
      <c r="O14872">
        <v>332</v>
      </c>
    </row>
    <row r="14873" spans="1:15" x14ac:dyDescent="0.25">
      <c r="A14873" t="s">
        <v>14886</v>
      </c>
      <c r="B14873">
        <v>427</v>
      </c>
      <c r="C14873" s="1" t="str">
        <f>HYPERLINK("http://www.rosaceae.org/gb/gbrowse/malus_x_domestica/?name=MDP0000182779","MDP0000182779")</f>
        <v>MDP0000182779</v>
      </c>
      <c r="D14873">
        <v>72.16</v>
      </c>
      <c r="E14873">
        <v>406</v>
      </c>
      <c r="F14873">
        <v>113</v>
      </c>
      <c r="G14873">
        <v>22</v>
      </c>
      <c r="H14873">
        <v>28</v>
      </c>
      <c r="I14873">
        <v>415</v>
      </c>
      <c r="J14873">
        <v>1</v>
      </c>
      <c r="K14873">
        <v>4</v>
      </c>
      <c r="L14873">
        <v>405</v>
      </c>
      <c r="M14873">
        <v>1</v>
      </c>
      <c r="N14873">
        <v>1.183E-161</v>
      </c>
      <c r="O14873">
        <v>1460</v>
      </c>
    </row>
    <row r="14874" spans="1:15" x14ac:dyDescent="0.25">
      <c r="A14874" t="s">
        <v>14887</v>
      </c>
      <c r="B14874">
        <v>785</v>
      </c>
      <c r="C14874" s="1" t="str">
        <f>HYPERLINK("http://www.rosaceae.org/gb/gbrowse/malus_x_domestica/?name=MDP0000662684","MDP0000662684")</f>
        <v>MDP0000662684</v>
      </c>
      <c r="D14874">
        <v>82.59</v>
      </c>
      <c r="E14874">
        <v>793</v>
      </c>
      <c r="F14874">
        <v>138</v>
      </c>
      <c r="G14874">
        <v>10</v>
      </c>
      <c r="H14874">
        <v>1</v>
      </c>
      <c r="I14874">
        <v>785</v>
      </c>
      <c r="J14874">
        <v>1</v>
      </c>
      <c r="K14874">
        <v>1</v>
      </c>
      <c r="L14874">
        <v>791</v>
      </c>
      <c r="M14874">
        <v>1</v>
      </c>
      <c r="N14874">
        <v>0</v>
      </c>
      <c r="O14874">
        <v>3432</v>
      </c>
    </row>
    <row r="14875" spans="1:15" x14ac:dyDescent="0.25">
      <c r="A14875" t="s">
        <v>14888</v>
      </c>
      <c r="B14875">
        <v>293</v>
      </c>
      <c r="C14875" s="1" t="str">
        <f>HYPERLINK("http://www.rosaceae.org/gb/gbrowse/malus_x_domestica/?name=MDP0000941113","MDP0000941113")</f>
        <v>MDP0000941113</v>
      </c>
      <c r="D14875">
        <v>76.64</v>
      </c>
      <c r="E14875">
        <v>197</v>
      </c>
      <c r="F14875">
        <v>46</v>
      </c>
      <c r="G14875">
        <v>9</v>
      </c>
      <c r="H14875">
        <v>104</v>
      </c>
      <c r="I14875">
        <v>291</v>
      </c>
      <c r="J14875">
        <v>1</v>
      </c>
      <c r="K14875">
        <v>86</v>
      </c>
      <c r="L14875">
        <v>282</v>
      </c>
      <c r="M14875">
        <v>1</v>
      </c>
      <c r="N14875">
        <v>5.4933000000000003E-88</v>
      </c>
      <c r="O14875">
        <v>823</v>
      </c>
    </row>
    <row r="14876" spans="1:15" x14ac:dyDescent="0.25">
      <c r="A14876" t="s">
        <v>14889</v>
      </c>
      <c r="B14876">
        <v>167</v>
      </c>
      <c r="C14876" s="1" t="str">
        <f>HYPERLINK("http://www.rosaceae.org/gb/gbrowse/malus_x_domestica/?name=MDP0000216956","MDP0000216956")</f>
        <v>MDP0000216956</v>
      </c>
      <c r="D14876">
        <v>32.72</v>
      </c>
      <c r="E14876">
        <v>165</v>
      </c>
      <c r="F14876">
        <v>111</v>
      </c>
      <c r="G14876">
        <v>20</v>
      </c>
      <c r="H14876">
        <v>1</v>
      </c>
      <c r="I14876">
        <v>159</v>
      </c>
      <c r="J14876">
        <v>1</v>
      </c>
      <c r="K14876">
        <v>92</v>
      </c>
      <c r="L14876">
        <v>242</v>
      </c>
      <c r="M14876">
        <v>1</v>
      </c>
      <c r="N14876">
        <v>1.00761E-12</v>
      </c>
      <c r="O14876">
        <v>170</v>
      </c>
    </row>
    <row r="14877" spans="1:15" x14ac:dyDescent="0.25">
      <c r="A14877" t="s">
        <v>14890</v>
      </c>
      <c r="B14877">
        <v>363</v>
      </c>
      <c r="C14877" s="1" t="str">
        <f>HYPERLINK("http://www.rosaceae.org/gb/gbrowse/malus_x_domestica/?name=MDP0000221213","MDP0000221213")</f>
        <v>MDP0000221213</v>
      </c>
      <c r="D14877">
        <v>64.45</v>
      </c>
      <c r="E14877">
        <v>332</v>
      </c>
      <c r="F14877">
        <v>118</v>
      </c>
      <c r="G14877">
        <v>25</v>
      </c>
      <c r="H14877">
        <v>37</v>
      </c>
      <c r="I14877">
        <v>363</v>
      </c>
      <c r="J14877">
        <v>1</v>
      </c>
      <c r="K14877">
        <v>23</v>
      </c>
      <c r="L14877">
        <v>334</v>
      </c>
      <c r="M14877">
        <v>1</v>
      </c>
      <c r="N14877">
        <v>1.1728400000000001E-112</v>
      </c>
      <c r="O14877">
        <v>1036</v>
      </c>
    </row>
    <row r="14878" spans="1:15" x14ac:dyDescent="0.25">
      <c r="A14878" t="s">
        <v>14891</v>
      </c>
      <c r="B14878">
        <v>148</v>
      </c>
      <c r="C14878" s="1" t="str">
        <f>HYPERLINK("http://www.rosaceae.org/gb/gbrowse/malus_x_domestica/?name=MDP0000218883","MDP0000218883")</f>
        <v>MDP0000218883</v>
      </c>
      <c r="D14878">
        <v>52.59</v>
      </c>
      <c r="E14878">
        <v>154</v>
      </c>
      <c r="F14878">
        <v>73</v>
      </c>
      <c r="G14878">
        <v>12</v>
      </c>
      <c r="H14878">
        <v>1</v>
      </c>
      <c r="I14878">
        <v>148</v>
      </c>
      <c r="J14878">
        <v>1</v>
      </c>
      <c r="K14878">
        <v>1</v>
      </c>
      <c r="L14878">
        <v>148</v>
      </c>
      <c r="M14878">
        <v>1</v>
      </c>
      <c r="N14878">
        <v>2.4468299999999999E-33</v>
      </c>
      <c r="O14878">
        <v>347</v>
      </c>
    </row>
    <row r="14879" spans="1:15" x14ac:dyDescent="0.25">
      <c r="A14879" t="s">
        <v>14892</v>
      </c>
      <c r="B14879">
        <v>1158</v>
      </c>
      <c r="C14879" s="1" t="str">
        <f>HYPERLINK("http://www.rosaceae.org/gb/gbrowse/malus_x_domestica/?name=MDP0000204278","MDP0000204278")</f>
        <v>MDP0000204278</v>
      </c>
      <c r="D14879">
        <v>60.41</v>
      </c>
      <c r="E14879">
        <v>1066</v>
      </c>
      <c r="F14879">
        <v>422</v>
      </c>
      <c r="G14879">
        <v>82</v>
      </c>
      <c r="H14879">
        <v>146</v>
      </c>
      <c r="I14879">
        <v>1155</v>
      </c>
      <c r="J14879">
        <v>1</v>
      </c>
      <c r="K14879">
        <v>1</v>
      </c>
      <c r="L14879">
        <v>1040</v>
      </c>
      <c r="M14879">
        <v>1</v>
      </c>
      <c r="N14879">
        <v>0</v>
      </c>
      <c r="O14879">
        <v>3061</v>
      </c>
    </row>
    <row r="14880" spans="1:15" x14ac:dyDescent="0.25">
      <c r="A14880" t="s">
        <v>14893</v>
      </c>
      <c r="B14880">
        <v>222</v>
      </c>
      <c r="C14880" s="1" t="str">
        <f>HYPERLINK("http://www.rosaceae.org/gb/gbrowse/malus_x_domestica/?name=MDP0000197744","MDP0000197744")</f>
        <v>MDP0000197744</v>
      </c>
      <c r="D14880">
        <v>50</v>
      </c>
      <c r="E14880">
        <v>192</v>
      </c>
      <c r="F14880">
        <v>96</v>
      </c>
      <c r="G14880">
        <v>21</v>
      </c>
      <c r="H14880">
        <v>42</v>
      </c>
      <c r="I14880">
        <v>222</v>
      </c>
      <c r="J14880">
        <v>1</v>
      </c>
      <c r="K14880">
        <v>38</v>
      </c>
      <c r="L14880">
        <v>219</v>
      </c>
      <c r="M14880">
        <v>1</v>
      </c>
      <c r="N14880">
        <v>5.4104599999999999E-32</v>
      </c>
      <c r="O14880">
        <v>338</v>
      </c>
    </row>
    <row r="14881" spans="1:15" x14ac:dyDescent="0.25">
      <c r="A14881" t="s">
        <v>14894</v>
      </c>
      <c r="B14881">
        <v>326</v>
      </c>
      <c r="C14881" s="1" t="str">
        <f>HYPERLINK("http://www.rosaceae.org/gb/gbrowse/malus_x_domestica/?name=MDP0000463584","MDP0000463584")</f>
        <v>MDP0000463584</v>
      </c>
      <c r="D14881">
        <v>66.78</v>
      </c>
      <c r="E14881">
        <v>271</v>
      </c>
      <c r="F14881">
        <v>90</v>
      </c>
      <c r="G14881">
        <v>6</v>
      </c>
      <c r="H14881">
        <v>20</v>
      </c>
      <c r="I14881">
        <v>290</v>
      </c>
      <c r="J14881">
        <v>1</v>
      </c>
      <c r="K14881">
        <v>11</v>
      </c>
      <c r="L14881">
        <v>275</v>
      </c>
      <c r="M14881">
        <v>1</v>
      </c>
      <c r="N14881">
        <v>2.4411099999999998E-100</v>
      </c>
      <c r="O14881">
        <v>930</v>
      </c>
    </row>
    <row r="14882" spans="1:15" x14ac:dyDescent="0.25">
      <c r="A14882" t="s">
        <v>14895</v>
      </c>
      <c r="B14882">
        <v>235</v>
      </c>
      <c r="C14882" s="1" t="str">
        <f>HYPERLINK("http://www.rosaceae.org/gb/gbrowse/malus_x_domestica/?name=MDP0000702385","MDP0000702385")</f>
        <v>MDP0000702385</v>
      </c>
      <c r="D14882">
        <v>65.5</v>
      </c>
      <c r="E14882">
        <v>229</v>
      </c>
      <c r="F14882">
        <v>79</v>
      </c>
      <c r="G14882">
        <v>7</v>
      </c>
      <c r="H14882">
        <v>6</v>
      </c>
      <c r="I14882">
        <v>234</v>
      </c>
      <c r="J14882">
        <v>1</v>
      </c>
      <c r="K14882">
        <v>3</v>
      </c>
      <c r="L14882">
        <v>224</v>
      </c>
      <c r="M14882">
        <v>1</v>
      </c>
      <c r="N14882">
        <v>1.27105E-82</v>
      </c>
      <c r="O14882">
        <v>775</v>
      </c>
    </row>
    <row r="14883" spans="1:15" x14ac:dyDescent="0.25">
      <c r="A14883" t="s">
        <v>14896</v>
      </c>
      <c r="B14883">
        <v>285</v>
      </c>
      <c r="C14883" s="1" t="str">
        <f>HYPERLINK("http://www.rosaceae.org/gb/gbrowse/malus_x_domestica/?name=MDP0000319787","MDP0000319787")</f>
        <v>MDP0000319787</v>
      </c>
      <c r="D14883">
        <v>79.19</v>
      </c>
      <c r="E14883">
        <v>298</v>
      </c>
      <c r="F14883">
        <v>62</v>
      </c>
      <c r="G14883">
        <v>18</v>
      </c>
      <c r="H14883">
        <v>1</v>
      </c>
      <c r="I14883">
        <v>285</v>
      </c>
      <c r="J14883">
        <v>1</v>
      </c>
      <c r="K14883">
        <v>1</v>
      </c>
      <c r="L14883">
        <v>293</v>
      </c>
      <c r="M14883">
        <v>1</v>
      </c>
      <c r="N14883">
        <v>4.2842699999999998E-138</v>
      </c>
      <c r="O14883">
        <v>1255</v>
      </c>
    </row>
    <row r="14884" spans="1:15" x14ac:dyDescent="0.25">
      <c r="A14884" t="s">
        <v>14897</v>
      </c>
      <c r="B14884">
        <v>251</v>
      </c>
      <c r="C14884" s="1" t="str">
        <f>HYPERLINK("http://www.rosaceae.org/gb/gbrowse/malus_x_domestica/?name=MDP0000257330","MDP0000257330")</f>
        <v>MDP0000257330</v>
      </c>
      <c r="D14884">
        <v>74.73</v>
      </c>
      <c r="E14884">
        <v>190</v>
      </c>
      <c r="F14884">
        <v>48</v>
      </c>
      <c r="G14884">
        <v>2</v>
      </c>
      <c r="H14884">
        <v>1</v>
      </c>
      <c r="I14884">
        <v>189</v>
      </c>
      <c r="J14884">
        <v>1</v>
      </c>
      <c r="K14884">
        <v>35</v>
      </c>
      <c r="L14884">
        <v>223</v>
      </c>
      <c r="M14884">
        <v>1</v>
      </c>
      <c r="N14884">
        <v>7.5410300000000002E-76</v>
      </c>
      <c r="O14884">
        <v>717</v>
      </c>
    </row>
    <row r="14885" spans="1:15" x14ac:dyDescent="0.25">
      <c r="A14885" t="s">
        <v>14898</v>
      </c>
      <c r="B14885">
        <v>546</v>
      </c>
      <c r="C14885" s="1" t="str">
        <f>HYPERLINK("http://www.rosaceae.org/gb/gbrowse/malus_x_domestica/?name=MDP0000212875","MDP0000212875")</f>
        <v>MDP0000212875</v>
      </c>
      <c r="D14885">
        <v>50.07</v>
      </c>
      <c r="E14885">
        <v>649</v>
      </c>
      <c r="F14885">
        <v>324</v>
      </c>
      <c r="G14885">
        <v>201</v>
      </c>
      <c r="H14885">
        <v>4</v>
      </c>
      <c r="I14885">
        <v>522</v>
      </c>
      <c r="J14885">
        <v>1</v>
      </c>
      <c r="K14885">
        <v>11</v>
      </c>
      <c r="L14885">
        <v>588</v>
      </c>
      <c r="M14885">
        <v>1</v>
      </c>
      <c r="N14885">
        <v>6.5797699999999997E-152</v>
      </c>
      <c r="O14885">
        <v>1377</v>
      </c>
    </row>
    <row r="14886" spans="1:15" x14ac:dyDescent="0.25">
      <c r="A14886" t="s">
        <v>14899</v>
      </c>
      <c r="B14886">
        <v>276</v>
      </c>
      <c r="C14886" s="1" t="str">
        <f>HYPERLINK("http://www.rosaceae.org/gb/gbrowse/malus_x_domestica/?name=MDP0000300189","MDP0000300189")</f>
        <v>MDP0000300189</v>
      </c>
      <c r="D14886">
        <v>31.27</v>
      </c>
      <c r="E14886">
        <v>227</v>
      </c>
      <c r="F14886">
        <v>156</v>
      </c>
      <c r="G14886">
        <v>33</v>
      </c>
      <c r="H14886">
        <v>53</v>
      </c>
      <c r="I14886">
        <v>276</v>
      </c>
      <c r="J14886">
        <v>1</v>
      </c>
      <c r="K14886">
        <v>133</v>
      </c>
      <c r="L14886">
        <v>329</v>
      </c>
      <c r="M14886">
        <v>1</v>
      </c>
      <c r="N14886">
        <v>4.1087399999999998E-22</v>
      </c>
      <c r="O14886">
        <v>254</v>
      </c>
    </row>
    <row r="14887" spans="1:15" x14ac:dyDescent="0.25">
      <c r="A14887" t="s">
        <v>14900</v>
      </c>
      <c r="B14887">
        <v>203</v>
      </c>
      <c r="C14887" s="1" t="str">
        <f>HYPERLINK("http://www.rosaceae.org/gb/gbrowse/malus_x_domestica/?name=MDP0000262149","MDP0000262149")</f>
        <v>MDP0000262149</v>
      </c>
      <c r="D14887">
        <v>87.68</v>
      </c>
      <c r="E14887">
        <v>203</v>
      </c>
      <c r="F14887">
        <v>25</v>
      </c>
      <c r="G14887">
        <v>0</v>
      </c>
      <c r="H14887">
        <v>1</v>
      </c>
      <c r="I14887">
        <v>203</v>
      </c>
      <c r="J14887">
        <v>1</v>
      </c>
      <c r="K14887">
        <v>1</v>
      </c>
      <c r="L14887">
        <v>203</v>
      </c>
      <c r="M14887">
        <v>1</v>
      </c>
      <c r="N14887">
        <v>6.8095100000000001E-99</v>
      </c>
      <c r="O14887">
        <v>915</v>
      </c>
    </row>
    <row r="14888" spans="1:15" x14ac:dyDescent="0.25">
      <c r="A14888" t="s">
        <v>14901</v>
      </c>
      <c r="B14888">
        <v>296</v>
      </c>
      <c r="C14888" s="1" t="str">
        <f>HYPERLINK("http://www.rosaceae.org/gb/gbrowse/malus_x_domestica/?name=MDP0000254933","MDP0000254933")</f>
        <v>MDP0000254933</v>
      </c>
      <c r="D14888">
        <v>30.05</v>
      </c>
      <c r="E14888">
        <v>173</v>
      </c>
      <c r="F14888">
        <v>121</v>
      </c>
      <c r="G14888">
        <v>27</v>
      </c>
      <c r="H14888">
        <v>8</v>
      </c>
      <c r="I14888">
        <v>163</v>
      </c>
      <c r="J14888">
        <v>1</v>
      </c>
      <c r="K14888">
        <v>16</v>
      </c>
      <c r="L14888">
        <v>178</v>
      </c>
      <c r="M14888">
        <v>1</v>
      </c>
      <c r="N14888">
        <v>1.6327200000000001E-10</v>
      </c>
      <c r="O14888">
        <v>155</v>
      </c>
    </row>
    <row r="14889" spans="1:15" x14ac:dyDescent="0.25">
      <c r="A14889" t="s">
        <v>14902</v>
      </c>
      <c r="B14889">
        <v>390</v>
      </c>
      <c r="C14889" s="1" t="str">
        <f>HYPERLINK("http://www.rosaceae.org/gb/gbrowse/malus_x_domestica/?name=MDP0000139452","MDP0000139452")</f>
        <v>MDP0000139452</v>
      </c>
      <c r="D14889">
        <v>90.58</v>
      </c>
      <c r="E14889">
        <v>393</v>
      </c>
      <c r="F14889">
        <v>37</v>
      </c>
      <c r="G14889">
        <v>4</v>
      </c>
      <c r="H14889">
        <v>1</v>
      </c>
      <c r="I14889">
        <v>390</v>
      </c>
      <c r="J14889">
        <v>1</v>
      </c>
      <c r="K14889">
        <v>6</v>
      </c>
      <c r="L14889">
        <v>397</v>
      </c>
      <c r="M14889">
        <v>1</v>
      </c>
      <c r="N14889">
        <v>0</v>
      </c>
      <c r="O14889">
        <v>1919</v>
      </c>
    </row>
    <row r="14890" spans="1:15" x14ac:dyDescent="0.25">
      <c r="A14890" t="s">
        <v>14903</v>
      </c>
      <c r="B14890">
        <v>874</v>
      </c>
      <c r="C14890" s="1" t="str">
        <f>HYPERLINK("http://www.rosaceae.org/gb/gbrowse/malus_x_domestica/?name=MDP0000199314","MDP0000199314")</f>
        <v>MDP0000199314</v>
      </c>
      <c r="D14890">
        <v>58.1</v>
      </c>
      <c r="E14890">
        <v>728</v>
      </c>
      <c r="F14890">
        <v>305</v>
      </c>
      <c r="G14890">
        <v>110</v>
      </c>
      <c r="H14890">
        <v>76</v>
      </c>
      <c r="I14890">
        <v>787</v>
      </c>
      <c r="J14890">
        <v>1</v>
      </c>
      <c r="K14890">
        <v>31</v>
      </c>
      <c r="L14890">
        <v>664</v>
      </c>
      <c r="M14890">
        <v>1</v>
      </c>
      <c r="N14890">
        <v>0</v>
      </c>
      <c r="O14890">
        <v>1929</v>
      </c>
    </row>
    <row r="14891" spans="1:15" x14ac:dyDescent="0.25">
      <c r="A14891" t="s">
        <v>14904</v>
      </c>
      <c r="B14891">
        <v>880</v>
      </c>
      <c r="C14891" s="1" t="str">
        <f>HYPERLINK("http://www.rosaceae.org/gb/gbrowse/malus_x_domestica/?name=MDP0000507230","MDP0000507230")</f>
        <v>MDP0000507230</v>
      </c>
      <c r="D14891">
        <v>78.239999999999995</v>
      </c>
      <c r="E14891">
        <v>855</v>
      </c>
      <c r="F14891">
        <v>186</v>
      </c>
      <c r="G14891">
        <v>4</v>
      </c>
      <c r="H14891">
        <v>1</v>
      </c>
      <c r="I14891">
        <v>855</v>
      </c>
      <c r="J14891">
        <v>1</v>
      </c>
      <c r="K14891">
        <v>1</v>
      </c>
      <c r="L14891">
        <v>851</v>
      </c>
      <c r="M14891">
        <v>1</v>
      </c>
      <c r="N14891">
        <v>0</v>
      </c>
      <c r="O14891">
        <v>3496</v>
      </c>
    </row>
    <row r="14892" spans="1:15" x14ac:dyDescent="0.25">
      <c r="A14892" t="s">
        <v>14905</v>
      </c>
      <c r="B14892">
        <v>412</v>
      </c>
      <c r="C14892" s="1" t="str">
        <f>HYPERLINK("http://www.rosaceae.org/gb/gbrowse/malus_x_domestica/?name=MDP0000179618","MDP0000179618")</f>
        <v>MDP0000179618</v>
      </c>
      <c r="D14892">
        <v>78.89</v>
      </c>
      <c r="E14892">
        <v>417</v>
      </c>
      <c r="F14892">
        <v>88</v>
      </c>
      <c r="G14892">
        <v>5</v>
      </c>
      <c r="H14892">
        <v>1</v>
      </c>
      <c r="I14892">
        <v>412</v>
      </c>
      <c r="J14892">
        <v>1</v>
      </c>
      <c r="K14892">
        <v>4</v>
      </c>
      <c r="L14892">
        <v>420</v>
      </c>
      <c r="M14892">
        <v>1</v>
      </c>
      <c r="N14892">
        <v>0</v>
      </c>
      <c r="O14892">
        <v>1717</v>
      </c>
    </row>
    <row r="14893" spans="1:15" x14ac:dyDescent="0.25">
      <c r="A14893" t="s">
        <v>14906</v>
      </c>
      <c r="B14893">
        <v>231</v>
      </c>
      <c r="C14893" s="1" t="str">
        <f>HYPERLINK("http://www.rosaceae.org/gb/gbrowse/malus_x_domestica/?name=MDP0000797759","MDP0000797759")</f>
        <v>MDP0000797759</v>
      </c>
      <c r="D14893">
        <v>88.88</v>
      </c>
      <c r="E14893">
        <v>81</v>
      </c>
      <c r="F14893">
        <v>9</v>
      </c>
      <c r="G14893">
        <v>0</v>
      </c>
      <c r="H14893">
        <v>59</v>
      </c>
      <c r="I14893">
        <v>139</v>
      </c>
      <c r="J14893">
        <v>1</v>
      </c>
      <c r="K14893">
        <v>5</v>
      </c>
      <c r="L14893">
        <v>85</v>
      </c>
      <c r="M14893">
        <v>1</v>
      </c>
      <c r="N14893">
        <v>5.0747200000000003E-38</v>
      </c>
      <c r="O14893">
        <v>390</v>
      </c>
    </row>
    <row r="14894" spans="1:15" x14ac:dyDescent="0.25">
      <c r="A14894" t="s">
        <v>14907</v>
      </c>
      <c r="B14894">
        <v>194</v>
      </c>
      <c r="C14894" s="1" t="str">
        <f>HYPERLINK("http://www.rosaceae.org/gb/gbrowse/malus_x_domestica/?name=MDP0000173776","MDP0000173776")</f>
        <v>MDP0000173776</v>
      </c>
      <c r="D14894">
        <v>38.26</v>
      </c>
      <c r="E14894">
        <v>115</v>
      </c>
      <c r="F14894">
        <v>71</v>
      </c>
      <c r="G14894">
        <v>1</v>
      </c>
      <c r="H14894">
        <v>77</v>
      </c>
      <c r="I14894">
        <v>190</v>
      </c>
      <c r="J14894">
        <v>1</v>
      </c>
      <c r="K14894">
        <v>102</v>
      </c>
      <c r="L14894">
        <v>216</v>
      </c>
      <c r="M14894">
        <v>1</v>
      </c>
      <c r="N14894">
        <v>1.0439900000000001E-13</v>
      </c>
      <c r="O14894">
        <v>180</v>
      </c>
    </row>
    <row r="14895" spans="1:15" x14ac:dyDescent="0.25">
      <c r="A14895" t="s">
        <v>14908</v>
      </c>
      <c r="B14895">
        <v>280</v>
      </c>
      <c r="C14895" s="1" t="str">
        <f>HYPERLINK("http://www.rosaceae.org/gb/gbrowse/malus_x_domestica/?name=MDP0000272900","MDP0000272900")</f>
        <v>MDP0000272900</v>
      </c>
      <c r="D14895">
        <v>41.75</v>
      </c>
      <c r="E14895">
        <v>285</v>
      </c>
      <c r="F14895">
        <v>166</v>
      </c>
      <c r="G14895">
        <v>27</v>
      </c>
      <c r="H14895">
        <v>2</v>
      </c>
      <c r="I14895">
        <v>278</v>
      </c>
      <c r="J14895">
        <v>1</v>
      </c>
      <c r="K14895">
        <v>7</v>
      </c>
      <c r="L14895">
        <v>272</v>
      </c>
      <c r="M14895">
        <v>1</v>
      </c>
      <c r="N14895">
        <v>6.1216500000000002E-49</v>
      </c>
      <c r="O14895">
        <v>486</v>
      </c>
    </row>
    <row r="14896" spans="1:15" x14ac:dyDescent="0.25">
      <c r="A14896" t="s">
        <v>14909</v>
      </c>
      <c r="B14896">
        <v>234</v>
      </c>
      <c r="C14896" s="1" t="str">
        <f>HYPERLINK("http://www.rosaceae.org/gb/gbrowse/malus_x_domestica/?name=MDP0000136726","MDP0000136726")</f>
        <v>MDP0000136726</v>
      </c>
      <c r="D14896">
        <v>39.770000000000003</v>
      </c>
      <c r="E14896">
        <v>176</v>
      </c>
      <c r="F14896">
        <v>106</v>
      </c>
      <c r="G14896">
        <v>16</v>
      </c>
      <c r="H14896">
        <v>1</v>
      </c>
      <c r="I14896">
        <v>176</v>
      </c>
      <c r="J14896">
        <v>1</v>
      </c>
      <c r="K14896">
        <v>944</v>
      </c>
      <c r="L14896">
        <v>1103</v>
      </c>
      <c r="M14896">
        <v>1</v>
      </c>
      <c r="N14896">
        <v>3.7265500000000001E-30</v>
      </c>
      <c r="O14896">
        <v>323</v>
      </c>
    </row>
    <row r="14897" spans="1:15" x14ac:dyDescent="0.25">
      <c r="A14897" t="s">
        <v>14910</v>
      </c>
      <c r="B14897">
        <v>339</v>
      </c>
      <c r="C14897" s="1" t="str">
        <f>HYPERLINK("http://www.rosaceae.org/gb/gbrowse/malus_x_domestica/?name=MDP0000254471","MDP0000254471")</f>
        <v>MDP0000254471</v>
      </c>
      <c r="D14897">
        <v>76.59</v>
      </c>
      <c r="E14897">
        <v>141</v>
      </c>
      <c r="F14897">
        <v>33</v>
      </c>
      <c r="G14897">
        <v>6</v>
      </c>
      <c r="H14897">
        <v>125</v>
      </c>
      <c r="I14897">
        <v>265</v>
      </c>
      <c r="J14897">
        <v>1</v>
      </c>
      <c r="K14897">
        <v>92</v>
      </c>
      <c r="L14897">
        <v>226</v>
      </c>
      <c r="M14897">
        <v>1</v>
      </c>
      <c r="N14897">
        <v>8.3445499999999995E-57</v>
      </c>
      <c r="O14897">
        <v>554</v>
      </c>
    </row>
    <row r="14898" spans="1:15" x14ac:dyDescent="0.25">
      <c r="A14898" t="s">
        <v>14911</v>
      </c>
      <c r="B14898">
        <v>380</v>
      </c>
      <c r="C14898" s="1" t="str">
        <f>HYPERLINK("http://www.rosaceae.org/gb/gbrowse/malus_x_domestica/?name=MDP0000184678","MDP0000184678")</f>
        <v>MDP0000184678</v>
      </c>
      <c r="D14898">
        <v>68.73</v>
      </c>
      <c r="E14898">
        <v>355</v>
      </c>
      <c r="F14898">
        <v>111</v>
      </c>
      <c r="G14898">
        <v>26</v>
      </c>
      <c r="H14898">
        <v>37</v>
      </c>
      <c r="I14898">
        <v>377</v>
      </c>
      <c r="J14898">
        <v>1</v>
      </c>
      <c r="K14898">
        <v>34</v>
      </c>
      <c r="L14898">
        <v>376</v>
      </c>
      <c r="M14898">
        <v>1</v>
      </c>
      <c r="N14898">
        <v>5.4317399999999998E-139</v>
      </c>
      <c r="O14898">
        <v>1264</v>
      </c>
    </row>
    <row r="14899" spans="1:15" x14ac:dyDescent="0.25">
      <c r="A14899" t="s">
        <v>14912</v>
      </c>
      <c r="B14899">
        <v>109</v>
      </c>
      <c r="C14899" s="1" t="str">
        <f>HYPERLINK("http://www.rosaceae.org/gb/gbrowse/malus_x_domestica/?name=MDP0000322229","MDP0000322229")</f>
        <v>MDP0000322229</v>
      </c>
      <c r="D14899">
        <v>71.09</v>
      </c>
      <c r="E14899">
        <v>128</v>
      </c>
      <c r="F14899">
        <v>37</v>
      </c>
      <c r="G14899">
        <v>24</v>
      </c>
      <c r="H14899">
        <v>1</v>
      </c>
      <c r="I14899">
        <v>105</v>
      </c>
      <c r="J14899">
        <v>1</v>
      </c>
      <c r="K14899">
        <v>37</v>
      </c>
      <c r="L14899">
        <v>163</v>
      </c>
      <c r="M14899">
        <v>1</v>
      </c>
      <c r="N14899">
        <v>1.6646E-43</v>
      </c>
      <c r="O14899">
        <v>433</v>
      </c>
    </row>
    <row r="14900" spans="1:15" x14ac:dyDescent="0.25">
      <c r="A14900" t="s">
        <v>14913</v>
      </c>
      <c r="B14900">
        <v>279</v>
      </c>
      <c r="C14900" s="1" t="str">
        <f>HYPERLINK("http://www.rosaceae.org/gb/gbrowse/malus_x_domestica/?name=MDP0000258062","MDP0000258062")</f>
        <v>MDP0000258062</v>
      </c>
      <c r="D14900">
        <v>67.22</v>
      </c>
      <c r="E14900">
        <v>119</v>
      </c>
      <c r="F14900">
        <v>39</v>
      </c>
      <c r="G14900">
        <v>5</v>
      </c>
      <c r="H14900">
        <v>165</v>
      </c>
      <c r="I14900">
        <v>278</v>
      </c>
      <c r="J14900">
        <v>1</v>
      </c>
      <c r="K14900">
        <v>3</v>
      </c>
      <c r="L14900">
        <v>121</v>
      </c>
      <c r="M14900">
        <v>1</v>
      </c>
      <c r="N14900">
        <v>1.07731E-36</v>
      </c>
      <c r="O14900">
        <v>380</v>
      </c>
    </row>
    <row r="14901" spans="1:15" x14ac:dyDescent="0.25">
      <c r="A14901" t="s">
        <v>14914</v>
      </c>
      <c r="B14901">
        <v>234</v>
      </c>
      <c r="C14901" s="1" t="str">
        <f>HYPERLINK("http://www.rosaceae.org/gb/gbrowse/malus_x_domestica/?name=MDP0000939190","MDP0000939190")</f>
        <v>MDP0000939190</v>
      </c>
      <c r="D14901">
        <v>70</v>
      </c>
      <c r="E14901">
        <v>90</v>
      </c>
      <c r="F14901">
        <v>27</v>
      </c>
      <c r="G14901">
        <v>0</v>
      </c>
      <c r="H14901">
        <v>145</v>
      </c>
      <c r="I14901">
        <v>234</v>
      </c>
      <c r="J14901">
        <v>1</v>
      </c>
      <c r="K14901">
        <v>7</v>
      </c>
      <c r="L14901">
        <v>96</v>
      </c>
      <c r="M14901">
        <v>1</v>
      </c>
      <c r="N14901">
        <v>1.9777100000000001E-28</v>
      </c>
      <c r="O14901">
        <v>308</v>
      </c>
    </row>
    <row r="14902" spans="1:15" x14ac:dyDescent="0.25">
      <c r="A14902" t="s">
        <v>14915</v>
      </c>
      <c r="B14902">
        <v>468</v>
      </c>
      <c r="C14902" s="1" t="str">
        <f>HYPERLINK("http://www.rosaceae.org/gb/gbrowse/malus_x_domestica/?name=MDP0000139264","MDP0000139264")</f>
        <v>MDP0000139264</v>
      </c>
      <c r="D14902">
        <v>46.23</v>
      </c>
      <c r="E14902">
        <v>93</v>
      </c>
      <c r="F14902">
        <v>50</v>
      </c>
      <c r="G14902">
        <v>4</v>
      </c>
      <c r="H14902">
        <v>154</v>
      </c>
      <c r="I14902">
        <v>244</v>
      </c>
      <c r="J14902">
        <v>1</v>
      </c>
      <c r="K14902">
        <v>1</v>
      </c>
      <c r="L14902">
        <v>91</v>
      </c>
      <c r="M14902">
        <v>1</v>
      </c>
      <c r="N14902">
        <v>1.94673E-15</v>
      </c>
      <c r="O14902">
        <v>199</v>
      </c>
    </row>
    <row r="14903" spans="1:15" x14ac:dyDescent="0.25">
      <c r="A14903" t="s">
        <v>14916</v>
      </c>
      <c r="B14903">
        <v>265</v>
      </c>
      <c r="C14903" s="1" t="str">
        <f>HYPERLINK("http://www.rosaceae.org/gb/gbrowse/malus_x_domestica/?name=MDP0000162563","MDP0000162563")</f>
        <v>MDP0000162563</v>
      </c>
      <c r="D14903">
        <v>47.77</v>
      </c>
      <c r="E14903">
        <v>270</v>
      </c>
      <c r="F14903">
        <v>141</v>
      </c>
      <c r="G14903">
        <v>77</v>
      </c>
      <c r="H14903">
        <v>17</v>
      </c>
      <c r="I14903">
        <v>209</v>
      </c>
      <c r="J14903">
        <v>1</v>
      </c>
      <c r="K14903">
        <v>13</v>
      </c>
      <c r="L14903">
        <v>282</v>
      </c>
      <c r="M14903">
        <v>1</v>
      </c>
      <c r="N14903">
        <v>1.3894999999999999E-54</v>
      </c>
      <c r="O14903">
        <v>534</v>
      </c>
    </row>
    <row r="14904" spans="1:15" x14ac:dyDescent="0.25">
      <c r="A14904" t="s">
        <v>14917</v>
      </c>
      <c r="B14904">
        <v>773</v>
      </c>
      <c r="C14904" s="1" t="str">
        <f>HYPERLINK("http://www.rosaceae.org/gb/gbrowse/malus_x_domestica/?name=MDP0000171191","MDP0000171191")</f>
        <v>MDP0000171191</v>
      </c>
      <c r="D14904">
        <v>54.59</v>
      </c>
      <c r="E14904">
        <v>696</v>
      </c>
      <c r="F14904">
        <v>316</v>
      </c>
      <c r="G14904">
        <v>84</v>
      </c>
      <c r="H14904">
        <v>158</v>
      </c>
      <c r="I14904">
        <v>773</v>
      </c>
      <c r="J14904">
        <v>1</v>
      </c>
      <c r="K14904">
        <v>126</v>
      </c>
      <c r="L14904">
        <v>817</v>
      </c>
      <c r="M14904">
        <v>1</v>
      </c>
      <c r="N14904">
        <v>0</v>
      </c>
      <c r="O14904">
        <v>1712</v>
      </c>
    </row>
    <row r="14905" spans="1:15" x14ac:dyDescent="0.25">
      <c r="A14905" t="s">
        <v>14918</v>
      </c>
      <c r="B14905">
        <v>786</v>
      </c>
      <c r="C14905" s="1" t="str">
        <f>HYPERLINK("http://www.rosaceae.org/gb/gbrowse/malus_x_domestica/?name=MDP0000209438","MDP0000209438")</f>
        <v>MDP0000209438</v>
      </c>
      <c r="D14905">
        <v>56.84</v>
      </c>
      <c r="E14905">
        <v>855</v>
      </c>
      <c r="F14905">
        <v>369</v>
      </c>
      <c r="G14905">
        <v>79</v>
      </c>
      <c r="H14905">
        <v>1</v>
      </c>
      <c r="I14905">
        <v>786</v>
      </c>
      <c r="J14905">
        <v>1</v>
      </c>
      <c r="K14905">
        <v>1</v>
      </c>
      <c r="L14905">
        <v>845</v>
      </c>
      <c r="M14905">
        <v>1</v>
      </c>
      <c r="N14905">
        <v>0</v>
      </c>
      <c r="O14905">
        <v>2389</v>
      </c>
    </row>
    <row r="14906" spans="1:15" x14ac:dyDescent="0.25">
      <c r="A14906" t="s">
        <v>14919</v>
      </c>
      <c r="B14906">
        <v>489</v>
      </c>
      <c r="C14906" s="1" t="str">
        <f>HYPERLINK("http://www.rosaceae.org/gb/gbrowse/malus_x_domestica/?name=MDP0000769222","MDP0000769222")</f>
        <v>MDP0000769222</v>
      </c>
      <c r="D14906">
        <v>47.62</v>
      </c>
      <c r="E14906">
        <v>485</v>
      </c>
      <c r="F14906">
        <v>254</v>
      </c>
      <c r="G14906">
        <v>37</v>
      </c>
      <c r="H14906">
        <v>38</v>
      </c>
      <c r="I14906">
        <v>489</v>
      </c>
      <c r="J14906">
        <v>1</v>
      </c>
      <c r="K14906">
        <v>359</v>
      </c>
      <c r="L14906">
        <v>839</v>
      </c>
      <c r="M14906">
        <v>1</v>
      </c>
      <c r="N14906">
        <v>4.1342999999999998E-116</v>
      </c>
      <c r="O14906">
        <v>1068</v>
      </c>
    </row>
    <row r="14907" spans="1:15" x14ac:dyDescent="0.25">
      <c r="A14907" t="s">
        <v>14920</v>
      </c>
      <c r="B14907">
        <v>624</v>
      </c>
      <c r="C14907" s="1" t="str">
        <f>HYPERLINK("http://www.rosaceae.org/gb/gbrowse/malus_x_domestica/?name=MDP0000088633","MDP0000088633")</f>
        <v>MDP0000088633</v>
      </c>
      <c r="D14907">
        <v>69.16</v>
      </c>
      <c r="E14907">
        <v>561</v>
      </c>
      <c r="F14907">
        <v>173</v>
      </c>
      <c r="G14907">
        <v>15</v>
      </c>
      <c r="H14907">
        <v>47</v>
      </c>
      <c r="I14907">
        <v>604</v>
      </c>
      <c r="J14907">
        <v>1</v>
      </c>
      <c r="K14907">
        <v>16</v>
      </c>
      <c r="L14907">
        <v>564</v>
      </c>
      <c r="M14907">
        <v>1</v>
      </c>
      <c r="N14907">
        <v>0</v>
      </c>
      <c r="O14907">
        <v>1901</v>
      </c>
    </row>
    <row r="14908" spans="1:15" x14ac:dyDescent="0.25">
      <c r="A14908" t="s">
        <v>14921</v>
      </c>
      <c r="B14908">
        <v>774</v>
      </c>
      <c r="C14908" s="1" t="str">
        <f>HYPERLINK("http://www.rosaceae.org/gb/gbrowse/malus_x_domestica/?name=MDP0000168238","MDP0000168238")</f>
        <v>MDP0000168238</v>
      </c>
      <c r="D14908">
        <v>48</v>
      </c>
      <c r="E14908">
        <v>100</v>
      </c>
      <c r="F14908">
        <v>52</v>
      </c>
      <c r="G14908">
        <v>5</v>
      </c>
      <c r="H14908">
        <v>25</v>
      </c>
      <c r="I14908">
        <v>120</v>
      </c>
      <c r="J14908">
        <v>1</v>
      </c>
      <c r="K14908">
        <v>5</v>
      </c>
      <c r="L14908">
        <v>103</v>
      </c>
      <c r="M14908">
        <v>1</v>
      </c>
      <c r="N14908">
        <v>2.8798599999999999E-18</v>
      </c>
      <c r="O14908">
        <v>226</v>
      </c>
    </row>
    <row r="14909" spans="1:15" x14ac:dyDescent="0.25">
      <c r="A14909" t="s">
        <v>14922</v>
      </c>
      <c r="B14909">
        <v>42</v>
      </c>
      <c r="C14909" s="1" t="str">
        <f>HYPERLINK("http://www.rosaceae.org/gb/gbrowse/malus_x_domestica/?name=MDP0000716623","MDP0000716623")</f>
        <v>MDP0000716623</v>
      </c>
      <c r="D14909">
        <v>65.849999999999994</v>
      </c>
      <c r="E14909">
        <v>41</v>
      </c>
      <c r="F14909">
        <v>14</v>
      </c>
      <c r="G14909">
        <v>0</v>
      </c>
      <c r="H14909">
        <v>2</v>
      </c>
      <c r="I14909">
        <v>42</v>
      </c>
      <c r="J14909">
        <v>1</v>
      </c>
      <c r="K14909">
        <v>339</v>
      </c>
      <c r="L14909">
        <v>379</v>
      </c>
      <c r="M14909">
        <v>1</v>
      </c>
      <c r="N14909">
        <v>2.3035399999999999E-11</v>
      </c>
      <c r="O14909">
        <v>155</v>
      </c>
    </row>
    <row r="14910" spans="1:15" x14ac:dyDescent="0.25">
      <c r="A14910" t="s">
        <v>14923</v>
      </c>
      <c r="B14910">
        <v>420</v>
      </c>
      <c r="C14910" s="1" t="str">
        <f>HYPERLINK("http://www.rosaceae.org/gb/gbrowse/malus_x_domestica/?name=MDP0000188175","MDP0000188175")</f>
        <v>MDP0000188175</v>
      </c>
      <c r="D14910">
        <v>28.76</v>
      </c>
      <c r="E14910">
        <v>452</v>
      </c>
      <c r="F14910">
        <v>322</v>
      </c>
      <c r="G14910">
        <v>58</v>
      </c>
      <c r="H14910">
        <v>12</v>
      </c>
      <c r="I14910">
        <v>417</v>
      </c>
      <c r="J14910">
        <v>1</v>
      </c>
      <c r="K14910">
        <v>6</v>
      </c>
      <c r="L14910">
        <v>445</v>
      </c>
      <c r="M14910">
        <v>1</v>
      </c>
      <c r="N14910">
        <v>1.1878699999999999E-42</v>
      </c>
      <c r="O14910">
        <v>433</v>
      </c>
    </row>
    <row r="14911" spans="1:15" x14ac:dyDescent="0.25">
      <c r="A14911" t="s">
        <v>14924</v>
      </c>
      <c r="B14911">
        <v>186</v>
      </c>
      <c r="C14911" s="1" t="str">
        <f>HYPERLINK("http://www.rosaceae.org/gb/gbrowse/malus_x_domestica/?name=MDP0000160416","MDP0000160416")</f>
        <v>MDP0000160416</v>
      </c>
      <c r="D14911">
        <v>48.1</v>
      </c>
      <c r="E14911">
        <v>237</v>
      </c>
      <c r="F14911">
        <v>123</v>
      </c>
      <c r="G14911">
        <v>56</v>
      </c>
      <c r="H14911">
        <v>4</v>
      </c>
      <c r="I14911">
        <v>186</v>
      </c>
      <c r="J14911">
        <v>1</v>
      </c>
      <c r="K14911">
        <v>276</v>
      </c>
      <c r="L14911">
        <v>510</v>
      </c>
      <c r="M14911">
        <v>1</v>
      </c>
      <c r="N14911">
        <v>1.5058499999999999E-55</v>
      </c>
      <c r="O14911">
        <v>540</v>
      </c>
    </row>
    <row r="14912" spans="1:15" x14ac:dyDescent="0.25">
      <c r="A14912" t="s">
        <v>14925</v>
      </c>
      <c r="B14912">
        <v>385</v>
      </c>
      <c r="C14912" s="1" t="str">
        <f>HYPERLINK("http://www.rosaceae.org/gb/gbrowse/malus_x_domestica/?name=MDP0000899100","MDP0000899100")</f>
        <v>MDP0000899100</v>
      </c>
      <c r="D14912">
        <v>29.1</v>
      </c>
      <c r="E14912">
        <v>189</v>
      </c>
      <c r="F14912">
        <v>134</v>
      </c>
      <c r="G14912">
        <v>35</v>
      </c>
      <c r="H14912">
        <v>217</v>
      </c>
      <c r="I14912">
        <v>370</v>
      </c>
      <c r="J14912">
        <v>1</v>
      </c>
      <c r="K14912">
        <v>53</v>
      </c>
      <c r="L14912">
        <v>241</v>
      </c>
      <c r="M14912">
        <v>1</v>
      </c>
      <c r="N14912">
        <v>1.4970000000000001E-13</v>
      </c>
      <c r="O14912">
        <v>182</v>
      </c>
    </row>
    <row r="14913" spans="1:15" x14ac:dyDescent="0.25">
      <c r="A14913" t="s">
        <v>14926</v>
      </c>
      <c r="B14913">
        <v>419</v>
      </c>
      <c r="C14913" s="1" t="str">
        <f>HYPERLINK("http://www.rosaceae.org/gb/gbrowse/malus_x_domestica/?name=MDP0000265473","MDP0000265473")</f>
        <v>MDP0000265473</v>
      </c>
      <c r="D14913">
        <v>59.16</v>
      </c>
      <c r="E14913">
        <v>431</v>
      </c>
      <c r="F14913">
        <v>176</v>
      </c>
      <c r="G14913">
        <v>13</v>
      </c>
      <c r="H14913">
        <v>1</v>
      </c>
      <c r="I14913">
        <v>419</v>
      </c>
      <c r="J14913">
        <v>1</v>
      </c>
      <c r="K14913">
        <v>11</v>
      </c>
      <c r="L14913">
        <v>440</v>
      </c>
      <c r="M14913">
        <v>1</v>
      </c>
      <c r="N14913">
        <v>2.7599299999999998E-145</v>
      </c>
      <c r="O14913">
        <v>1319</v>
      </c>
    </row>
    <row r="14914" spans="1:15" x14ac:dyDescent="0.25">
      <c r="A14914" t="s">
        <v>14927</v>
      </c>
      <c r="B14914">
        <v>420</v>
      </c>
      <c r="C14914" s="1" t="str">
        <f>HYPERLINK("http://www.rosaceae.org/gb/gbrowse/malus_x_domestica/?name=MDP0000770211","MDP0000770211")</f>
        <v>MDP0000770211</v>
      </c>
      <c r="D14914">
        <v>80.64</v>
      </c>
      <c r="E14914">
        <v>217</v>
      </c>
      <c r="F14914">
        <v>42</v>
      </c>
      <c r="G14914">
        <v>0</v>
      </c>
      <c r="H14914">
        <v>180</v>
      </c>
      <c r="I14914">
        <v>396</v>
      </c>
      <c r="J14914">
        <v>1</v>
      </c>
      <c r="K14914">
        <v>19</v>
      </c>
      <c r="L14914">
        <v>235</v>
      </c>
      <c r="M14914">
        <v>1</v>
      </c>
      <c r="N14914">
        <v>2.25871E-99</v>
      </c>
      <c r="O14914">
        <v>923</v>
      </c>
    </row>
    <row r="14915" spans="1:15" x14ac:dyDescent="0.25">
      <c r="A14915" t="s">
        <v>14928</v>
      </c>
      <c r="B14915">
        <v>216</v>
      </c>
      <c r="C14915" s="1" t="str">
        <f>HYPERLINK("http://www.rosaceae.org/gb/gbrowse/malus_x_domestica/?name=MDP0000216333","MDP0000216333")</f>
        <v>MDP0000216333</v>
      </c>
      <c r="D14915">
        <v>61.26</v>
      </c>
      <c r="E14915">
        <v>111</v>
      </c>
      <c r="F14915">
        <v>43</v>
      </c>
      <c r="G14915">
        <v>2</v>
      </c>
      <c r="H14915">
        <v>25</v>
      </c>
      <c r="I14915">
        <v>133</v>
      </c>
      <c r="J14915">
        <v>1</v>
      </c>
      <c r="K14915">
        <v>116</v>
      </c>
      <c r="L14915">
        <v>226</v>
      </c>
      <c r="M14915">
        <v>1</v>
      </c>
      <c r="N14915">
        <v>7.1590199999999999E-28</v>
      </c>
      <c r="O14915">
        <v>302</v>
      </c>
    </row>
    <row r="14916" spans="1:15" x14ac:dyDescent="0.25">
      <c r="A14916" t="s">
        <v>14929</v>
      </c>
      <c r="B14916">
        <v>460</v>
      </c>
      <c r="C14916" s="1" t="str">
        <f>HYPERLINK("http://www.rosaceae.org/gb/gbrowse/malus_x_domestica/?name=MDP0000287993","MDP0000287993")</f>
        <v>MDP0000287993</v>
      </c>
      <c r="D14916">
        <v>80.19</v>
      </c>
      <c r="E14916">
        <v>414</v>
      </c>
      <c r="F14916">
        <v>82</v>
      </c>
      <c r="G14916">
        <v>14</v>
      </c>
      <c r="H14916">
        <v>55</v>
      </c>
      <c r="I14916">
        <v>460</v>
      </c>
      <c r="J14916">
        <v>1</v>
      </c>
      <c r="K14916">
        <v>1</v>
      </c>
      <c r="L14916">
        <v>408</v>
      </c>
      <c r="M14916">
        <v>1</v>
      </c>
      <c r="N14916">
        <v>0</v>
      </c>
      <c r="O14916">
        <v>1670</v>
      </c>
    </row>
    <row r="14917" spans="1:15" x14ac:dyDescent="0.25">
      <c r="A14917" t="s">
        <v>14930</v>
      </c>
      <c r="B14917">
        <v>212</v>
      </c>
      <c r="C14917" s="1" t="str">
        <f>HYPERLINK("http://www.rosaceae.org/gb/gbrowse/malus_x_domestica/?name=MDP0000163774","MDP0000163774")</f>
        <v>MDP0000163774</v>
      </c>
      <c r="D14917">
        <v>31.21</v>
      </c>
      <c r="E14917">
        <v>157</v>
      </c>
      <c r="F14917">
        <v>108</v>
      </c>
      <c r="G14917">
        <v>9</v>
      </c>
      <c r="H14917">
        <v>44</v>
      </c>
      <c r="I14917">
        <v>200</v>
      </c>
      <c r="J14917">
        <v>1</v>
      </c>
      <c r="K14917">
        <v>400</v>
      </c>
      <c r="L14917">
        <v>547</v>
      </c>
      <c r="M14917">
        <v>1</v>
      </c>
      <c r="N14917">
        <v>1.5577499999999999E-17</v>
      </c>
      <c r="O14917">
        <v>213</v>
      </c>
    </row>
    <row r="14918" spans="1:15" x14ac:dyDescent="0.25">
      <c r="A14918" t="s">
        <v>14931</v>
      </c>
      <c r="B14918">
        <v>281</v>
      </c>
      <c r="C14918" s="1" t="str">
        <f>HYPERLINK("http://www.rosaceae.org/gb/gbrowse/malus_x_domestica/?name=MDP0000949756","MDP0000949756")</f>
        <v>MDP0000949756</v>
      </c>
      <c r="D14918">
        <v>43.22</v>
      </c>
      <c r="E14918">
        <v>310</v>
      </c>
      <c r="F14918">
        <v>176</v>
      </c>
      <c r="G14918">
        <v>48</v>
      </c>
      <c r="H14918">
        <v>7</v>
      </c>
      <c r="I14918">
        <v>278</v>
      </c>
      <c r="J14918">
        <v>1</v>
      </c>
      <c r="K14918">
        <v>7</v>
      </c>
      <c r="L14918">
        <v>306</v>
      </c>
      <c r="M14918">
        <v>1</v>
      </c>
      <c r="N14918">
        <v>1.4501199999999999E-57</v>
      </c>
      <c r="O14918">
        <v>560</v>
      </c>
    </row>
    <row r="14919" spans="1:15" x14ac:dyDescent="0.25">
      <c r="A14919" t="s">
        <v>14932</v>
      </c>
      <c r="B14919">
        <v>192</v>
      </c>
      <c r="C14919" s="1" t="str">
        <f>HYPERLINK("http://www.rosaceae.org/gb/gbrowse/malus_x_domestica/?name=MDP0000268169","MDP0000268169")</f>
        <v>MDP0000268169</v>
      </c>
      <c r="D14919">
        <v>63.29</v>
      </c>
      <c r="E14919">
        <v>158</v>
      </c>
      <c r="F14919">
        <v>58</v>
      </c>
      <c r="G14919">
        <v>1</v>
      </c>
      <c r="H14919">
        <v>11</v>
      </c>
      <c r="I14919">
        <v>168</v>
      </c>
      <c r="J14919">
        <v>1</v>
      </c>
      <c r="K14919">
        <v>55</v>
      </c>
      <c r="L14919">
        <v>211</v>
      </c>
      <c r="M14919">
        <v>1</v>
      </c>
      <c r="N14919">
        <v>2.4336400000000001E-43</v>
      </c>
      <c r="O14919">
        <v>435</v>
      </c>
    </row>
    <row r="14920" spans="1:15" x14ac:dyDescent="0.25">
      <c r="A14920" t="s">
        <v>14933</v>
      </c>
      <c r="B14920">
        <v>372</v>
      </c>
      <c r="C14920" s="1" t="str">
        <f>HYPERLINK("http://www.rosaceae.org/gb/gbrowse/malus_x_domestica/?name=MDP0000171771","MDP0000171771")</f>
        <v>MDP0000171771</v>
      </c>
      <c r="D14920">
        <v>45.53</v>
      </c>
      <c r="E14920">
        <v>112</v>
      </c>
      <c r="F14920">
        <v>61</v>
      </c>
      <c r="G14920">
        <v>6</v>
      </c>
      <c r="H14920">
        <v>4</v>
      </c>
      <c r="I14920">
        <v>112</v>
      </c>
      <c r="J14920">
        <v>1</v>
      </c>
      <c r="K14920">
        <v>24</v>
      </c>
      <c r="L14920">
        <v>132</v>
      </c>
      <c r="M14920">
        <v>1</v>
      </c>
      <c r="N14920">
        <v>1.21645E-18</v>
      </c>
      <c r="O14920">
        <v>226</v>
      </c>
    </row>
    <row r="14921" spans="1:15" x14ac:dyDescent="0.25">
      <c r="A14921" t="s">
        <v>14934</v>
      </c>
      <c r="B14921">
        <v>1367</v>
      </c>
      <c r="C14921" s="1" t="str">
        <f>HYPERLINK("http://www.rosaceae.org/gb/gbrowse/malus_x_domestica/?name=MDP0000182297","MDP0000182297")</f>
        <v>MDP0000182297</v>
      </c>
      <c r="D14921">
        <v>50.65</v>
      </c>
      <c r="E14921">
        <v>835</v>
      </c>
      <c r="F14921">
        <v>412</v>
      </c>
      <c r="G14921">
        <v>33</v>
      </c>
      <c r="H14921">
        <v>1</v>
      </c>
      <c r="I14921">
        <v>811</v>
      </c>
      <c r="J14921">
        <v>1</v>
      </c>
      <c r="K14921">
        <v>1</v>
      </c>
      <c r="L14921">
        <v>826</v>
      </c>
      <c r="M14921">
        <v>1</v>
      </c>
      <c r="N14921">
        <v>0</v>
      </c>
      <c r="O14921">
        <v>1788</v>
      </c>
    </row>
    <row r="14922" spans="1:15" x14ac:dyDescent="0.25">
      <c r="A14922" t="s">
        <v>14935</v>
      </c>
      <c r="B14922">
        <v>537</v>
      </c>
      <c r="C14922" s="1" t="str">
        <f>HYPERLINK("http://www.rosaceae.org/gb/gbrowse/malus_x_domestica/?name=MDP0000236820","MDP0000236820")</f>
        <v>MDP0000236820</v>
      </c>
      <c r="D14922">
        <v>64.05</v>
      </c>
      <c r="E14922">
        <v>498</v>
      </c>
      <c r="F14922">
        <v>179</v>
      </c>
      <c r="G14922">
        <v>23</v>
      </c>
      <c r="H14922">
        <v>39</v>
      </c>
      <c r="I14922">
        <v>535</v>
      </c>
      <c r="J14922">
        <v>1</v>
      </c>
      <c r="K14922">
        <v>320</v>
      </c>
      <c r="L14922">
        <v>795</v>
      </c>
      <c r="M14922">
        <v>1</v>
      </c>
      <c r="N14922">
        <v>0</v>
      </c>
      <c r="O14922">
        <v>1672</v>
      </c>
    </row>
    <row r="14923" spans="1:15" x14ac:dyDescent="0.25">
      <c r="A14923" t="s">
        <v>14936</v>
      </c>
      <c r="B14923">
        <v>323</v>
      </c>
      <c r="C14923" s="1" t="str">
        <f>HYPERLINK("http://www.rosaceae.org/gb/gbrowse/malus_x_domestica/?name=MDP0000823167","MDP0000823167")</f>
        <v>MDP0000823167</v>
      </c>
      <c r="D14923">
        <v>76.510000000000005</v>
      </c>
      <c r="E14923">
        <v>264</v>
      </c>
      <c r="F14923">
        <v>62</v>
      </c>
      <c r="G14923">
        <v>1</v>
      </c>
      <c r="H14923">
        <v>60</v>
      </c>
      <c r="I14923">
        <v>323</v>
      </c>
      <c r="J14923">
        <v>1</v>
      </c>
      <c r="K14923">
        <v>68</v>
      </c>
      <c r="L14923">
        <v>330</v>
      </c>
      <c r="M14923">
        <v>1</v>
      </c>
      <c r="N14923">
        <v>4.8423699999999998E-108</v>
      </c>
      <c r="O14923">
        <v>996</v>
      </c>
    </row>
    <row r="14924" spans="1:15" x14ac:dyDescent="0.25">
      <c r="A14924" t="s">
        <v>14937</v>
      </c>
      <c r="B14924">
        <v>594</v>
      </c>
      <c r="C14924" s="1" t="str">
        <f>HYPERLINK("http://www.rosaceae.org/gb/gbrowse/malus_x_domestica/?name=MDP0000170531","MDP0000170531")</f>
        <v>MDP0000170531</v>
      </c>
      <c r="D14924">
        <v>76.959999999999994</v>
      </c>
      <c r="E14924">
        <v>612</v>
      </c>
      <c r="F14924">
        <v>141</v>
      </c>
      <c r="G14924">
        <v>19</v>
      </c>
      <c r="H14924">
        <v>1</v>
      </c>
      <c r="I14924">
        <v>594</v>
      </c>
      <c r="J14924">
        <v>1</v>
      </c>
      <c r="K14924">
        <v>57</v>
      </c>
      <c r="L14924">
        <v>667</v>
      </c>
      <c r="M14924">
        <v>1</v>
      </c>
      <c r="N14924">
        <v>0</v>
      </c>
      <c r="O14924">
        <v>2474</v>
      </c>
    </row>
    <row r="14925" spans="1:15" x14ac:dyDescent="0.25">
      <c r="A14925" t="s">
        <v>14938</v>
      </c>
      <c r="B14925">
        <v>1235</v>
      </c>
      <c r="C14925" s="1" t="str">
        <f>HYPERLINK("http://www.rosaceae.org/gb/gbrowse/malus_x_domestica/?name=MDP0000142098","MDP0000142098")</f>
        <v>MDP0000142098</v>
      </c>
      <c r="D14925">
        <v>83.08</v>
      </c>
      <c r="E14925">
        <v>739</v>
      </c>
      <c r="F14925">
        <v>125</v>
      </c>
      <c r="G14925">
        <v>3</v>
      </c>
      <c r="H14925">
        <v>379</v>
      </c>
      <c r="I14925">
        <v>1114</v>
      </c>
      <c r="J14925">
        <v>1</v>
      </c>
      <c r="K14925">
        <v>1</v>
      </c>
      <c r="L14925">
        <v>739</v>
      </c>
      <c r="M14925">
        <v>1</v>
      </c>
      <c r="N14925">
        <v>0</v>
      </c>
      <c r="O14925">
        <v>3257</v>
      </c>
    </row>
    <row r="14926" spans="1:15" x14ac:dyDescent="0.25">
      <c r="A14926" t="s">
        <v>14939</v>
      </c>
      <c r="B14926">
        <v>419</v>
      </c>
      <c r="C14926" s="1" t="str">
        <f>HYPERLINK("http://www.rosaceae.org/gb/gbrowse/malus_x_domestica/?name=MDP0000193791","MDP0000193791")</f>
        <v>MDP0000193791</v>
      </c>
      <c r="D14926">
        <v>71.040000000000006</v>
      </c>
      <c r="E14926">
        <v>449</v>
      </c>
      <c r="F14926">
        <v>130</v>
      </c>
      <c r="G14926">
        <v>54</v>
      </c>
      <c r="H14926">
        <v>1</v>
      </c>
      <c r="I14926">
        <v>419</v>
      </c>
      <c r="J14926">
        <v>1</v>
      </c>
      <c r="K14926">
        <v>25</v>
      </c>
      <c r="L14926">
        <v>449</v>
      </c>
      <c r="M14926">
        <v>1</v>
      </c>
      <c r="N14926">
        <v>0</v>
      </c>
      <c r="O14926">
        <v>1636</v>
      </c>
    </row>
    <row r="14927" spans="1:15" x14ac:dyDescent="0.25">
      <c r="A14927" t="s">
        <v>14940</v>
      </c>
      <c r="B14927">
        <v>585</v>
      </c>
      <c r="C14927" s="1" t="str">
        <f>HYPERLINK("http://www.rosaceae.org/gb/gbrowse/malus_x_domestica/?name=MDP0000230434","MDP0000230434")</f>
        <v>MDP0000230434</v>
      </c>
      <c r="D14927">
        <v>42.35</v>
      </c>
      <c r="E14927">
        <v>340</v>
      </c>
      <c r="F14927">
        <v>196</v>
      </c>
      <c r="G14927">
        <v>44</v>
      </c>
      <c r="H14927">
        <v>255</v>
      </c>
      <c r="I14927">
        <v>551</v>
      </c>
      <c r="J14927">
        <v>1</v>
      </c>
      <c r="K14927">
        <v>51</v>
      </c>
      <c r="L14927">
        <v>389</v>
      </c>
      <c r="M14927">
        <v>1</v>
      </c>
      <c r="N14927">
        <v>5.9711099999999997E-70</v>
      </c>
      <c r="O14927">
        <v>670</v>
      </c>
    </row>
    <row r="14928" spans="1:15" x14ac:dyDescent="0.25">
      <c r="A14928" t="s">
        <v>14941</v>
      </c>
      <c r="B14928">
        <v>108</v>
      </c>
      <c r="C14928" s="1" t="str">
        <f>HYPERLINK("http://www.rosaceae.org/gb/gbrowse/malus_x_domestica/?name=MDP0000408853","MDP0000408853")</f>
        <v>MDP0000408853</v>
      </c>
      <c r="D14928">
        <v>48.27</v>
      </c>
      <c r="E14928">
        <v>58</v>
      </c>
      <c r="F14928">
        <v>30</v>
      </c>
      <c r="G14928">
        <v>1</v>
      </c>
      <c r="H14928">
        <v>2</v>
      </c>
      <c r="I14928">
        <v>59</v>
      </c>
      <c r="J14928">
        <v>1</v>
      </c>
      <c r="K14928">
        <v>104</v>
      </c>
      <c r="L14928">
        <v>160</v>
      </c>
      <c r="M14928">
        <v>1</v>
      </c>
      <c r="N14928">
        <v>4.1907499999999999E-7</v>
      </c>
      <c r="O14928">
        <v>119</v>
      </c>
    </row>
    <row r="14929" spans="1:15" x14ac:dyDescent="0.25">
      <c r="A14929" t="s">
        <v>14942</v>
      </c>
      <c r="B14929">
        <v>86</v>
      </c>
      <c r="C14929" s="1" t="str">
        <f>HYPERLINK("http://www.rosaceae.org/gb/gbrowse/malus_x_domestica/?name=MDP0000473823","MDP0000473823")</f>
        <v>MDP0000473823</v>
      </c>
      <c r="D14929">
        <v>45.12</v>
      </c>
      <c r="E14929">
        <v>82</v>
      </c>
      <c r="F14929">
        <v>45</v>
      </c>
      <c r="G14929">
        <v>18</v>
      </c>
      <c r="H14929">
        <v>3</v>
      </c>
      <c r="I14929">
        <v>80</v>
      </c>
      <c r="J14929">
        <v>1</v>
      </c>
      <c r="K14929">
        <v>1</v>
      </c>
      <c r="L14929">
        <v>68</v>
      </c>
      <c r="M14929">
        <v>1</v>
      </c>
      <c r="N14929">
        <v>4.0823100000000002E-7</v>
      </c>
      <c r="O14929">
        <v>119</v>
      </c>
    </row>
    <row r="14930" spans="1:15" x14ac:dyDescent="0.25">
      <c r="A14930" t="s">
        <v>14943</v>
      </c>
      <c r="B14930">
        <v>365</v>
      </c>
      <c r="C14930" s="1" t="str">
        <f>HYPERLINK("http://www.rosaceae.org/gb/gbrowse/malus_x_domestica/?name=MDP0000185340","MDP0000185340")</f>
        <v>MDP0000185340</v>
      </c>
      <c r="D14930">
        <v>78.23</v>
      </c>
      <c r="E14930">
        <v>317</v>
      </c>
      <c r="F14930">
        <v>69</v>
      </c>
      <c r="G14930">
        <v>7</v>
      </c>
      <c r="H14930">
        <v>43</v>
      </c>
      <c r="I14930">
        <v>353</v>
      </c>
      <c r="J14930">
        <v>1</v>
      </c>
      <c r="K14930">
        <v>30</v>
      </c>
      <c r="L14930">
        <v>345</v>
      </c>
      <c r="M14930">
        <v>1</v>
      </c>
      <c r="N14930">
        <v>3.3778599999999997E-145</v>
      </c>
      <c r="O14930">
        <v>1317</v>
      </c>
    </row>
    <row r="14931" spans="1:15" x14ac:dyDescent="0.25">
      <c r="A14931" t="s">
        <v>14944</v>
      </c>
      <c r="B14931">
        <v>109</v>
      </c>
      <c r="C14931" s="1" t="str">
        <f>HYPERLINK("http://www.rosaceae.org/gb/gbrowse/malus_x_domestica/?name=MDP0000153628","MDP0000153628")</f>
        <v>MDP0000153628</v>
      </c>
      <c r="D14931">
        <v>49.15</v>
      </c>
      <c r="E14931">
        <v>59</v>
      </c>
      <c r="F14931">
        <v>30</v>
      </c>
      <c r="G14931">
        <v>0</v>
      </c>
      <c r="H14931">
        <v>49</v>
      </c>
      <c r="I14931">
        <v>107</v>
      </c>
      <c r="J14931">
        <v>1</v>
      </c>
      <c r="K14931">
        <v>113</v>
      </c>
      <c r="L14931">
        <v>171</v>
      </c>
      <c r="M14931">
        <v>1</v>
      </c>
      <c r="N14931">
        <v>8.0693000000000007E-9</v>
      </c>
      <c r="O14931">
        <v>133</v>
      </c>
    </row>
    <row r="14932" spans="1:15" x14ac:dyDescent="0.25">
      <c r="A14932" t="s">
        <v>14945</v>
      </c>
      <c r="B14932">
        <v>520</v>
      </c>
      <c r="C14932" s="1" t="str">
        <f>HYPERLINK("http://www.rosaceae.org/gb/gbrowse/malus_x_domestica/?name=MDP0000126791","MDP0000126791")</f>
        <v>MDP0000126791</v>
      </c>
      <c r="D14932">
        <v>62.32</v>
      </c>
      <c r="E14932">
        <v>292</v>
      </c>
      <c r="F14932">
        <v>110</v>
      </c>
      <c r="G14932">
        <v>3</v>
      </c>
      <c r="H14932">
        <v>33</v>
      </c>
      <c r="I14932">
        <v>322</v>
      </c>
      <c r="J14932">
        <v>1</v>
      </c>
      <c r="K14932">
        <v>36</v>
      </c>
      <c r="L14932">
        <v>326</v>
      </c>
      <c r="M14932">
        <v>1</v>
      </c>
      <c r="N14932">
        <v>6.9827900000000002E-110</v>
      </c>
      <c r="O14932">
        <v>1014</v>
      </c>
    </row>
    <row r="14933" spans="1:15" x14ac:dyDescent="0.25">
      <c r="A14933" t="s">
        <v>14946</v>
      </c>
      <c r="B14933">
        <v>276</v>
      </c>
      <c r="C14933" s="1" t="str">
        <f>HYPERLINK("http://www.rosaceae.org/gb/gbrowse/malus_x_domestica/?name=MDP0000158544","MDP0000158544")</f>
        <v>MDP0000158544</v>
      </c>
      <c r="D14933">
        <v>83.21</v>
      </c>
      <c r="E14933">
        <v>280</v>
      </c>
      <c r="F14933">
        <v>47</v>
      </c>
      <c r="G14933">
        <v>13</v>
      </c>
      <c r="H14933">
        <v>1</v>
      </c>
      <c r="I14933">
        <v>275</v>
      </c>
      <c r="J14933">
        <v>1</v>
      </c>
      <c r="K14933">
        <v>1</v>
      </c>
      <c r="L14933">
        <v>272</v>
      </c>
      <c r="M14933">
        <v>1</v>
      </c>
      <c r="N14933">
        <v>1.5885700000000001E-134</v>
      </c>
      <c r="O14933">
        <v>1224</v>
      </c>
    </row>
    <row r="14934" spans="1:15" x14ac:dyDescent="0.25">
      <c r="A14934" t="s">
        <v>14947</v>
      </c>
      <c r="B14934">
        <v>128</v>
      </c>
      <c r="C14934" s="1" t="str">
        <f>HYPERLINK("http://www.rosaceae.org/gb/gbrowse/malus_x_domestica/?name=MDP0000832263","MDP0000832263")</f>
        <v>MDP0000832263</v>
      </c>
      <c r="D14934">
        <v>40.31</v>
      </c>
      <c r="E14934">
        <v>129</v>
      </c>
      <c r="F14934">
        <v>77</v>
      </c>
      <c r="G14934">
        <v>30</v>
      </c>
      <c r="H14934">
        <v>24</v>
      </c>
      <c r="I14934">
        <v>123</v>
      </c>
      <c r="J14934">
        <v>1</v>
      </c>
      <c r="K14934">
        <v>300</v>
      </c>
      <c r="L14934">
        <v>427</v>
      </c>
      <c r="M14934">
        <v>1</v>
      </c>
      <c r="N14934">
        <v>4.5203599999999998E-16</v>
      </c>
      <c r="O14934">
        <v>196</v>
      </c>
    </row>
    <row r="14935" spans="1:15" x14ac:dyDescent="0.25">
      <c r="A14935" t="s">
        <v>14948</v>
      </c>
      <c r="B14935">
        <v>649</v>
      </c>
      <c r="C14935" s="1" t="str">
        <f>HYPERLINK("http://www.rosaceae.org/gb/gbrowse/malus_x_domestica/?name=MDP0000316085","MDP0000316085")</f>
        <v>MDP0000316085</v>
      </c>
      <c r="D14935">
        <v>69.69</v>
      </c>
      <c r="E14935">
        <v>264</v>
      </c>
      <c r="F14935">
        <v>80</v>
      </c>
      <c r="G14935">
        <v>11</v>
      </c>
      <c r="H14935">
        <v>1</v>
      </c>
      <c r="I14935">
        <v>254</v>
      </c>
      <c r="J14935">
        <v>1</v>
      </c>
      <c r="K14935">
        <v>1</v>
      </c>
      <c r="L14935">
        <v>263</v>
      </c>
      <c r="M14935">
        <v>1</v>
      </c>
      <c r="N14935">
        <v>4.8226500000000001E-100</v>
      </c>
      <c r="O14935">
        <v>930</v>
      </c>
    </row>
    <row r="14936" spans="1:15" x14ac:dyDescent="0.25">
      <c r="A14936" t="s">
        <v>14949</v>
      </c>
      <c r="B14936">
        <v>577</v>
      </c>
      <c r="C14936" s="1" t="str">
        <f>HYPERLINK("http://www.rosaceae.org/gb/gbrowse/malus_x_domestica/?name=MDP0000125339","MDP0000125339")</f>
        <v>MDP0000125339</v>
      </c>
      <c r="D14936">
        <v>30.1</v>
      </c>
      <c r="E14936">
        <v>382</v>
      </c>
      <c r="F14936">
        <v>267</v>
      </c>
      <c r="G14936">
        <v>33</v>
      </c>
      <c r="H14936">
        <v>6</v>
      </c>
      <c r="I14936">
        <v>364</v>
      </c>
      <c r="J14936">
        <v>1</v>
      </c>
      <c r="K14936">
        <v>117</v>
      </c>
      <c r="L14936">
        <v>488</v>
      </c>
      <c r="M14936">
        <v>1</v>
      </c>
      <c r="N14936">
        <v>5.4669500000000004E-28</v>
      </c>
      <c r="O14936">
        <v>308</v>
      </c>
    </row>
    <row r="14937" spans="1:15" x14ac:dyDescent="0.25">
      <c r="A14937" t="s">
        <v>14950</v>
      </c>
      <c r="B14937">
        <v>513</v>
      </c>
      <c r="C14937" s="1" t="str">
        <f>HYPERLINK("http://www.rosaceae.org/gb/gbrowse/malus_x_domestica/?name=MDP0000188637","MDP0000188637")</f>
        <v>MDP0000188637</v>
      </c>
      <c r="D14937">
        <v>56.39</v>
      </c>
      <c r="E14937">
        <v>477</v>
      </c>
      <c r="F14937">
        <v>208</v>
      </c>
      <c r="G14937">
        <v>45</v>
      </c>
      <c r="H14937">
        <v>1</v>
      </c>
      <c r="I14937">
        <v>439</v>
      </c>
      <c r="J14937">
        <v>1</v>
      </c>
      <c r="K14937">
        <v>1</v>
      </c>
      <c r="L14937">
        <v>470</v>
      </c>
      <c r="M14937">
        <v>1</v>
      </c>
      <c r="N14937">
        <v>4.7436399999999999E-147</v>
      </c>
      <c r="O14937">
        <v>1335</v>
      </c>
    </row>
    <row r="14938" spans="1:15" x14ac:dyDescent="0.25">
      <c r="A14938" t="s">
        <v>14951</v>
      </c>
      <c r="B14938">
        <v>213</v>
      </c>
      <c r="C14938" s="1" t="str">
        <f>HYPERLINK("http://www.rosaceae.org/gb/gbrowse/malus_x_domestica/?name=MDP0000784187","MDP0000784187")</f>
        <v>MDP0000784187</v>
      </c>
      <c r="D14938">
        <v>68.5</v>
      </c>
      <c r="E14938">
        <v>200</v>
      </c>
      <c r="F14938">
        <v>63</v>
      </c>
      <c r="G14938">
        <v>10</v>
      </c>
      <c r="H14938">
        <v>1</v>
      </c>
      <c r="I14938">
        <v>190</v>
      </c>
      <c r="J14938">
        <v>1</v>
      </c>
      <c r="K14938">
        <v>1</v>
      </c>
      <c r="L14938">
        <v>200</v>
      </c>
      <c r="M14938">
        <v>1</v>
      </c>
      <c r="N14938">
        <v>1.00282E-70</v>
      </c>
      <c r="O14938">
        <v>672</v>
      </c>
    </row>
    <row r="14939" spans="1:15" x14ac:dyDescent="0.25">
      <c r="A14939" t="s">
        <v>14952</v>
      </c>
      <c r="B14939">
        <v>1011</v>
      </c>
      <c r="C14939" s="1" t="str">
        <f>HYPERLINK("http://www.rosaceae.org/gb/gbrowse/malus_x_domestica/?name=MDP0000312861","MDP0000312861")</f>
        <v>MDP0000312861</v>
      </c>
      <c r="D14939">
        <v>35.979999999999997</v>
      </c>
      <c r="E14939">
        <v>289</v>
      </c>
      <c r="F14939">
        <v>185</v>
      </c>
      <c r="G14939">
        <v>2</v>
      </c>
      <c r="H14939">
        <v>723</v>
      </c>
      <c r="I14939">
        <v>1010</v>
      </c>
      <c r="J14939">
        <v>1</v>
      </c>
      <c r="K14939">
        <v>1354</v>
      </c>
      <c r="L14939">
        <v>1641</v>
      </c>
      <c r="M14939">
        <v>1</v>
      </c>
      <c r="N14939">
        <v>1.2287699999999999E-33</v>
      </c>
      <c r="O14939">
        <v>360</v>
      </c>
    </row>
    <row r="14940" spans="1:15" x14ac:dyDescent="0.25">
      <c r="A14940" t="s">
        <v>14953</v>
      </c>
      <c r="B14940">
        <v>181</v>
      </c>
      <c r="C14940" s="1" t="str">
        <f>HYPERLINK("http://www.rosaceae.org/gb/gbrowse/malus_x_domestica/?name=MDP0000317420","MDP0000317420")</f>
        <v>MDP0000317420</v>
      </c>
      <c r="D14940">
        <v>65.28</v>
      </c>
      <c r="E14940">
        <v>121</v>
      </c>
      <c r="F14940">
        <v>42</v>
      </c>
      <c r="G14940">
        <v>1</v>
      </c>
      <c r="H14940">
        <v>56</v>
      </c>
      <c r="I14940">
        <v>176</v>
      </c>
      <c r="J14940">
        <v>1</v>
      </c>
      <c r="K14940">
        <v>193</v>
      </c>
      <c r="L14940">
        <v>312</v>
      </c>
      <c r="M14940">
        <v>1</v>
      </c>
      <c r="N14940">
        <v>1.78605E-44</v>
      </c>
      <c r="O14940">
        <v>444</v>
      </c>
    </row>
    <row r="14941" spans="1:15" x14ac:dyDescent="0.25">
      <c r="A14941" t="s">
        <v>14954</v>
      </c>
      <c r="B14941">
        <v>301</v>
      </c>
      <c r="C14941" s="1" t="str">
        <f>HYPERLINK("http://www.rosaceae.org/gb/gbrowse/malus_x_domestica/?name=MDP0000897180","MDP0000897180")</f>
        <v>MDP0000897180</v>
      </c>
      <c r="D14941">
        <v>73</v>
      </c>
      <c r="E14941">
        <v>300</v>
      </c>
      <c r="F14941">
        <v>81</v>
      </c>
      <c r="G14941">
        <v>0</v>
      </c>
      <c r="H14941">
        <v>1</v>
      </c>
      <c r="I14941">
        <v>300</v>
      </c>
      <c r="J14941">
        <v>1</v>
      </c>
      <c r="K14941">
        <v>161</v>
      </c>
      <c r="L14941">
        <v>460</v>
      </c>
      <c r="M14941">
        <v>1</v>
      </c>
      <c r="N14941">
        <v>1.52995E-121</v>
      </c>
      <c r="O14941">
        <v>1112</v>
      </c>
    </row>
    <row r="14942" spans="1:15" x14ac:dyDescent="0.25">
      <c r="A14942" t="s">
        <v>14955</v>
      </c>
      <c r="B14942">
        <v>328</v>
      </c>
      <c r="C14942" s="1" t="str">
        <f>HYPERLINK("http://www.rosaceae.org/gb/gbrowse/malus_x_domestica/?name=MDP0000262060","MDP0000262060")</f>
        <v>MDP0000262060</v>
      </c>
      <c r="D14942">
        <v>47.93</v>
      </c>
      <c r="E14942">
        <v>242</v>
      </c>
      <c r="F14942">
        <v>126</v>
      </c>
      <c r="G14942">
        <v>64</v>
      </c>
      <c r="H14942">
        <v>150</v>
      </c>
      <c r="I14942">
        <v>328</v>
      </c>
      <c r="J14942">
        <v>1</v>
      </c>
      <c r="K14942">
        <v>1412</v>
      </c>
      <c r="L14942">
        <v>1652</v>
      </c>
      <c r="M14942">
        <v>1</v>
      </c>
      <c r="N14942">
        <v>1.7607999999999999E-49</v>
      </c>
      <c r="O14942">
        <v>491</v>
      </c>
    </row>
    <row r="14943" spans="1:15" x14ac:dyDescent="0.25">
      <c r="A14943" t="s">
        <v>14956</v>
      </c>
      <c r="B14943">
        <v>371</v>
      </c>
      <c r="C14943" s="1" t="str">
        <f>HYPERLINK("http://www.rosaceae.org/gb/gbrowse/malus_x_domestica/?name=MDP0000297419","MDP0000297419")</f>
        <v>MDP0000297419</v>
      </c>
      <c r="D14943">
        <v>29.44</v>
      </c>
      <c r="E14943">
        <v>197</v>
      </c>
      <c r="F14943">
        <v>139</v>
      </c>
      <c r="G14943">
        <v>15</v>
      </c>
      <c r="H14943">
        <v>52</v>
      </c>
      <c r="I14943">
        <v>240</v>
      </c>
      <c r="J14943">
        <v>1</v>
      </c>
      <c r="K14943">
        <v>4</v>
      </c>
      <c r="L14943">
        <v>193</v>
      </c>
      <c r="M14943">
        <v>1</v>
      </c>
      <c r="N14943">
        <v>1.6954799999999999E-11</v>
      </c>
      <c r="O14943">
        <v>164</v>
      </c>
    </row>
    <row r="14944" spans="1:15" x14ac:dyDescent="0.25">
      <c r="A14944" t="s">
        <v>14957</v>
      </c>
      <c r="B14944">
        <v>208</v>
      </c>
      <c r="C14944" s="1" t="str">
        <f>HYPERLINK("http://www.rosaceae.org/gb/gbrowse/malus_x_domestica/?name=MDP0000420318","MDP0000420318")</f>
        <v>MDP0000420318</v>
      </c>
      <c r="D14944">
        <v>82.35</v>
      </c>
      <c r="E14944">
        <v>204</v>
      </c>
      <c r="F14944">
        <v>36</v>
      </c>
      <c r="G14944">
        <v>2</v>
      </c>
      <c r="H14944">
        <v>1</v>
      </c>
      <c r="I14944">
        <v>202</v>
      </c>
      <c r="J14944">
        <v>1</v>
      </c>
      <c r="K14944">
        <v>1</v>
      </c>
      <c r="L14944">
        <v>204</v>
      </c>
      <c r="M14944">
        <v>1</v>
      </c>
      <c r="N14944">
        <v>2.17439E-95</v>
      </c>
      <c r="O14944">
        <v>884</v>
      </c>
    </row>
    <row r="14945" spans="1:15" x14ac:dyDescent="0.25">
      <c r="A14945" t="s">
        <v>14958</v>
      </c>
      <c r="B14945">
        <v>379</v>
      </c>
      <c r="C14945" s="1" t="str">
        <f>HYPERLINK("http://www.rosaceae.org/gb/gbrowse/malus_x_domestica/?name=MDP0000294961","MDP0000294961")</f>
        <v>MDP0000294961</v>
      </c>
      <c r="D14945">
        <v>61.92</v>
      </c>
      <c r="E14945">
        <v>218</v>
      </c>
      <c r="F14945">
        <v>83</v>
      </c>
      <c r="G14945">
        <v>25</v>
      </c>
      <c r="H14945">
        <v>60</v>
      </c>
      <c r="I14945">
        <v>263</v>
      </c>
      <c r="J14945">
        <v>1</v>
      </c>
      <c r="K14945">
        <v>1</v>
      </c>
      <c r="L14945">
        <v>207</v>
      </c>
      <c r="M14945">
        <v>1</v>
      </c>
      <c r="N14945">
        <v>1.7055500000000001E-64</v>
      </c>
      <c r="O14945">
        <v>621</v>
      </c>
    </row>
    <row r="14946" spans="1:15" x14ac:dyDescent="0.25">
      <c r="A14946" t="s">
        <v>14959</v>
      </c>
      <c r="B14946">
        <v>835</v>
      </c>
      <c r="C14946" s="1" t="str">
        <f>HYPERLINK("http://www.rosaceae.org/gb/gbrowse/malus_x_domestica/?name=MDP0000193964","MDP0000193964")</f>
        <v>MDP0000193964</v>
      </c>
      <c r="D14946">
        <v>54.9</v>
      </c>
      <c r="E14946">
        <v>765</v>
      </c>
      <c r="F14946">
        <v>345</v>
      </c>
      <c r="G14946">
        <v>58</v>
      </c>
      <c r="H14946">
        <v>92</v>
      </c>
      <c r="I14946">
        <v>828</v>
      </c>
      <c r="J14946">
        <v>1</v>
      </c>
      <c r="K14946">
        <v>208</v>
      </c>
      <c r="L14946">
        <v>942</v>
      </c>
      <c r="M14946">
        <v>1</v>
      </c>
      <c r="N14946">
        <v>0</v>
      </c>
      <c r="O14946">
        <v>2058</v>
      </c>
    </row>
    <row r="14947" spans="1:15" x14ac:dyDescent="0.25">
      <c r="A14947" t="s">
        <v>14960</v>
      </c>
      <c r="B14947">
        <v>363</v>
      </c>
      <c r="C14947" s="1" t="str">
        <f>HYPERLINK("http://www.rosaceae.org/gb/gbrowse/malus_x_domestica/?name=MDP0000125748","MDP0000125748")</f>
        <v>MDP0000125748</v>
      </c>
      <c r="D14947">
        <v>74.12</v>
      </c>
      <c r="E14947">
        <v>371</v>
      </c>
      <c r="F14947">
        <v>96</v>
      </c>
      <c r="G14947">
        <v>38</v>
      </c>
      <c r="H14947">
        <v>1</v>
      </c>
      <c r="I14947">
        <v>363</v>
      </c>
      <c r="J14947">
        <v>1</v>
      </c>
      <c r="K14947">
        <v>1</v>
      </c>
      <c r="L14947">
        <v>341</v>
      </c>
      <c r="M14947">
        <v>1</v>
      </c>
      <c r="N14947">
        <v>2.6081200000000003E-147</v>
      </c>
      <c r="O14947">
        <v>1335</v>
      </c>
    </row>
    <row r="14948" spans="1:15" x14ac:dyDescent="0.25">
      <c r="A14948" t="s">
        <v>14961</v>
      </c>
      <c r="B14948">
        <v>181</v>
      </c>
      <c r="C14948" s="1" t="str">
        <f>HYPERLINK("http://www.rosaceae.org/gb/gbrowse/malus_x_domestica/?name=MDP0000677249","MDP0000677249")</f>
        <v>MDP0000677249</v>
      </c>
      <c r="D14948">
        <v>74.03</v>
      </c>
      <c r="E14948">
        <v>181</v>
      </c>
      <c r="F14948">
        <v>47</v>
      </c>
      <c r="G14948">
        <v>26</v>
      </c>
      <c r="H14948">
        <v>1</v>
      </c>
      <c r="I14948">
        <v>181</v>
      </c>
      <c r="J14948">
        <v>1</v>
      </c>
      <c r="K14948">
        <v>1</v>
      </c>
      <c r="L14948">
        <v>155</v>
      </c>
      <c r="M14948">
        <v>1</v>
      </c>
      <c r="N14948">
        <v>2.29924E-65</v>
      </c>
      <c r="O14948">
        <v>625</v>
      </c>
    </row>
    <row r="14949" spans="1:15" x14ac:dyDescent="0.25">
      <c r="A14949" t="s">
        <v>14962</v>
      </c>
      <c r="B14949">
        <v>567</v>
      </c>
      <c r="C14949" s="1" t="str">
        <f>HYPERLINK("http://www.rosaceae.org/gb/gbrowse/malus_x_domestica/?name=MDP0000120176","MDP0000120176")</f>
        <v>MDP0000120176</v>
      </c>
      <c r="D14949">
        <v>58.31</v>
      </c>
      <c r="E14949">
        <v>523</v>
      </c>
      <c r="F14949">
        <v>218</v>
      </c>
      <c r="G14949">
        <v>59</v>
      </c>
      <c r="H14949">
        <v>96</v>
      </c>
      <c r="I14949">
        <v>567</v>
      </c>
      <c r="J14949">
        <v>1</v>
      </c>
      <c r="K14949">
        <v>59</v>
      </c>
      <c r="L14949">
        <v>573</v>
      </c>
      <c r="M14949">
        <v>1</v>
      </c>
      <c r="N14949">
        <v>1.10788E-164</v>
      </c>
      <c r="O14949">
        <v>1487</v>
      </c>
    </row>
    <row r="14950" spans="1:15" x14ac:dyDescent="0.25">
      <c r="A14950" t="s">
        <v>14963</v>
      </c>
      <c r="B14950">
        <v>426</v>
      </c>
      <c r="C14950" s="1" t="str">
        <f>HYPERLINK("http://www.rosaceae.org/gb/gbrowse/malus_x_domestica/?name=MDP0000871411","MDP0000871411")</f>
        <v>MDP0000871411</v>
      </c>
      <c r="D14950">
        <v>79.69</v>
      </c>
      <c r="E14950">
        <v>399</v>
      </c>
      <c r="F14950">
        <v>81</v>
      </c>
      <c r="G14950">
        <v>13</v>
      </c>
      <c r="H14950">
        <v>40</v>
      </c>
      <c r="I14950">
        <v>426</v>
      </c>
      <c r="J14950">
        <v>1</v>
      </c>
      <c r="K14950">
        <v>15</v>
      </c>
      <c r="L14950">
        <v>412</v>
      </c>
      <c r="M14950">
        <v>1</v>
      </c>
      <c r="N14950">
        <v>0</v>
      </c>
      <c r="O14950">
        <v>1664</v>
      </c>
    </row>
    <row r="14951" spans="1:15" x14ac:dyDescent="0.25">
      <c r="A14951" t="s">
        <v>14964</v>
      </c>
      <c r="B14951">
        <v>1746</v>
      </c>
      <c r="C14951" s="1" t="str">
        <f>HYPERLINK("http://www.rosaceae.org/gb/gbrowse/malus_x_domestica/?name=MDP0000225549","MDP0000225549")</f>
        <v>MDP0000225549</v>
      </c>
      <c r="D14951">
        <v>61.55</v>
      </c>
      <c r="E14951">
        <v>731</v>
      </c>
      <c r="F14951">
        <v>281</v>
      </c>
      <c r="G14951">
        <v>55</v>
      </c>
      <c r="H14951">
        <v>1068</v>
      </c>
      <c r="I14951">
        <v>1746</v>
      </c>
      <c r="J14951">
        <v>1</v>
      </c>
      <c r="K14951">
        <v>10</v>
      </c>
      <c r="L14951">
        <v>737</v>
      </c>
      <c r="M14951">
        <v>1</v>
      </c>
      <c r="N14951">
        <v>0</v>
      </c>
      <c r="O14951">
        <v>2264</v>
      </c>
    </row>
    <row r="14952" spans="1:15" x14ac:dyDescent="0.25">
      <c r="A14952" t="s">
        <v>14965</v>
      </c>
      <c r="B14952">
        <v>288</v>
      </c>
      <c r="C14952" s="1" t="str">
        <f>HYPERLINK("http://www.rosaceae.org/gb/gbrowse/malus_x_domestica/?name=MDP0000330537","MDP0000330537")</f>
        <v>MDP0000330537</v>
      </c>
      <c r="D14952">
        <v>63.82</v>
      </c>
      <c r="E14952">
        <v>282</v>
      </c>
      <c r="F14952">
        <v>102</v>
      </c>
      <c r="G14952">
        <v>5</v>
      </c>
      <c r="H14952">
        <v>7</v>
      </c>
      <c r="I14952">
        <v>288</v>
      </c>
      <c r="J14952">
        <v>1</v>
      </c>
      <c r="K14952">
        <v>65</v>
      </c>
      <c r="L14952">
        <v>341</v>
      </c>
      <c r="M14952">
        <v>1</v>
      </c>
      <c r="N14952">
        <v>2.97362E-101</v>
      </c>
      <c r="O14952">
        <v>937</v>
      </c>
    </row>
    <row r="14953" spans="1:15" x14ac:dyDescent="0.25">
      <c r="A14953" t="s">
        <v>14966</v>
      </c>
      <c r="B14953">
        <v>503</v>
      </c>
      <c r="C14953" s="1" t="str">
        <f>HYPERLINK("http://www.rosaceae.org/gb/gbrowse/malus_x_domestica/?name=MDP0000181414","MDP0000181414")</f>
        <v>MDP0000181414</v>
      </c>
      <c r="D14953">
        <v>49.9</v>
      </c>
      <c r="E14953">
        <v>531</v>
      </c>
      <c r="F14953">
        <v>266</v>
      </c>
      <c r="G14953">
        <v>72</v>
      </c>
      <c r="H14953">
        <v>40</v>
      </c>
      <c r="I14953">
        <v>503</v>
      </c>
      <c r="J14953">
        <v>1</v>
      </c>
      <c r="K14953">
        <v>1</v>
      </c>
      <c r="L14953">
        <v>526</v>
      </c>
      <c r="M14953">
        <v>1</v>
      </c>
      <c r="N14953">
        <v>3.3348599999999999E-125</v>
      </c>
      <c r="O14953">
        <v>1146</v>
      </c>
    </row>
    <row r="14954" spans="1:15" x14ac:dyDescent="0.25">
      <c r="A14954" t="s">
        <v>14967</v>
      </c>
      <c r="B14954">
        <v>708</v>
      </c>
      <c r="C14954" s="1" t="str">
        <f>HYPERLINK("http://www.rosaceae.org/gb/gbrowse/malus_x_domestica/?name=MDP0000236750","MDP0000236750")</f>
        <v>MDP0000236750</v>
      </c>
      <c r="D14954">
        <v>42.41</v>
      </c>
      <c r="E14954">
        <v>481</v>
      </c>
      <c r="F14954">
        <v>277</v>
      </c>
      <c r="G14954">
        <v>60</v>
      </c>
      <c r="H14954">
        <v>5</v>
      </c>
      <c r="I14954">
        <v>482</v>
      </c>
      <c r="J14954">
        <v>1</v>
      </c>
      <c r="K14954">
        <v>431</v>
      </c>
      <c r="L14954">
        <v>854</v>
      </c>
      <c r="M14954">
        <v>1</v>
      </c>
      <c r="N14954">
        <v>3.0034399999999999E-87</v>
      </c>
      <c r="O14954">
        <v>820</v>
      </c>
    </row>
    <row r="14955" spans="1:15" x14ac:dyDescent="0.25">
      <c r="A14955" t="s">
        <v>14968</v>
      </c>
      <c r="B14955">
        <v>443</v>
      </c>
      <c r="C14955" s="1" t="str">
        <f>HYPERLINK("http://www.rosaceae.org/gb/gbrowse/malus_x_domestica/?name=MDP0000226074","MDP0000226074")</f>
        <v>MDP0000226074</v>
      </c>
      <c r="D14955">
        <v>80.17</v>
      </c>
      <c r="E14955">
        <v>449</v>
      </c>
      <c r="F14955">
        <v>89</v>
      </c>
      <c r="G14955">
        <v>12</v>
      </c>
      <c r="H14955">
        <v>1</v>
      </c>
      <c r="I14955">
        <v>443</v>
      </c>
      <c r="J14955">
        <v>1</v>
      </c>
      <c r="K14955">
        <v>1</v>
      </c>
      <c r="L14955">
        <v>443</v>
      </c>
      <c r="M14955">
        <v>1</v>
      </c>
      <c r="N14955">
        <v>0</v>
      </c>
      <c r="O14955">
        <v>1884</v>
      </c>
    </row>
    <row r="14956" spans="1:15" x14ac:dyDescent="0.25">
      <c r="A14956" t="s">
        <v>14969</v>
      </c>
      <c r="B14956">
        <v>169</v>
      </c>
      <c r="C14956" s="1" t="str">
        <f>HYPERLINK("http://www.rosaceae.org/gb/gbrowse/malus_x_domestica/?name=MDP0000232264","MDP0000232264")</f>
        <v>MDP0000232264</v>
      </c>
      <c r="D14956">
        <v>80.400000000000006</v>
      </c>
      <c r="E14956">
        <v>148</v>
      </c>
      <c r="F14956">
        <v>29</v>
      </c>
      <c r="G14956">
        <v>0</v>
      </c>
      <c r="H14956">
        <v>1</v>
      </c>
      <c r="I14956">
        <v>148</v>
      </c>
      <c r="J14956">
        <v>1</v>
      </c>
      <c r="K14956">
        <v>1</v>
      </c>
      <c r="L14956">
        <v>148</v>
      </c>
      <c r="M14956">
        <v>1</v>
      </c>
      <c r="N14956">
        <v>2.30767E-70</v>
      </c>
      <c r="O14956">
        <v>667</v>
      </c>
    </row>
    <row r="14957" spans="1:15" x14ac:dyDescent="0.25">
      <c r="A14957" t="s">
        <v>14970</v>
      </c>
      <c r="B14957">
        <v>88</v>
      </c>
      <c r="C14957" s="1" t="str">
        <f>HYPERLINK("http://www.rosaceae.org/gb/gbrowse/malus_x_domestica/?name=MDP0000343650","MDP0000343650")</f>
        <v>MDP0000343650</v>
      </c>
      <c r="D14957">
        <v>52.94</v>
      </c>
      <c r="E14957">
        <v>51</v>
      </c>
      <c r="F14957">
        <v>24</v>
      </c>
      <c r="G14957">
        <v>0</v>
      </c>
      <c r="H14957">
        <v>27</v>
      </c>
      <c r="I14957">
        <v>77</v>
      </c>
      <c r="J14957">
        <v>1</v>
      </c>
      <c r="K14957">
        <v>31</v>
      </c>
      <c r="L14957">
        <v>81</v>
      </c>
      <c r="M14957">
        <v>1</v>
      </c>
      <c r="N14957">
        <v>6.9731499999999996E-9</v>
      </c>
      <c r="O14957">
        <v>134</v>
      </c>
    </row>
    <row r="14958" spans="1:15" x14ac:dyDescent="0.25">
      <c r="A14958" t="s">
        <v>14971</v>
      </c>
      <c r="B14958">
        <v>212</v>
      </c>
      <c r="C14958" s="1" t="str">
        <f>HYPERLINK("http://www.rosaceae.org/gb/gbrowse/malus_x_domestica/?name=MDP0000345238","MDP0000345238")</f>
        <v>MDP0000345238</v>
      </c>
      <c r="D14958">
        <v>67.459999999999994</v>
      </c>
      <c r="E14958">
        <v>209</v>
      </c>
      <c r="F14958">
        <v>68</v>
      </c>
      <c r="G14958">
        <v>8</v>
      </c>
      <c r="H14958">
        <v>8</v>
      </c>
      <c r="I14958">
        <v>212</v>
      </c>
      <c r="J14958">
        <v>1</v>
      </c>
      <c r="K14958">
        <v>19</v>
      </c>
      <c r="L14958">
        <v>223</v>
      </c>
      <c r="M14958">
        <v>1</v>
      </c>
      <c r="N14958">
        <v>3.2777600000000003E-70</v>
      </c>
      <c r="O14958">
        <v>667</v>
      </c>
    </row>
    <row r="14959" spans="1:15" x14ac:dyDescent="0.25">
      <c r="A14959" t="s">
        <v>14972</v>
      </c>
      <c r="B14959">
        <v>943</v>
      </c>
      <c r="C14959" s="1" t="str">
        <f>HYPERLINK("http://www.rosaceae.org/gb/gbrowse/malus_x_domestica/?name=MDP0000319016","MDP0000319016")</f>
        <v>MDP0000319016</v>
      </c>
      <c r="D14959">
        <v>81.92</v>
      </c>
      <c r="E14959">
        <v>946</v>
      </c>
      <c r="F14959">
        <v>171</v>
      </c>
      <c r="G14959">
        <v>7</v>
      </c>
      <c r="H14959">
        <v>1</v>
      </c>
      <c r="I14959">
        <v>943</v>
      </c>
      <c r="J14959">
        <v>1</v>
      </c>
      <c r="K14959">
        <v>1</v>
      </c>
      <c r="L14959">
        <v>942</v>
      </c>
      <c r="M14959">
        <v>1</v>
      </c>
      <c r="N14959">
        <v>0</v>
      </c>
      <c r="O14959">
        <v>4109</v>
      </c>
    </row>
    <row r="14960" spans="1:15" x14ac:dyDescent="0.25">
      <c r="A14960" t="s">
        <v>14973</v>
      </c>
      <c r="B14960">
        <v>303</v>
      </c>
      <c r="C14960" s="1" t="str">
        <f>HYPERLINK("http://www.rosaceae.org/gb/gbrowse/malus_x_domestica/?name=MDP0000397744","MDP0000397744")</f>
        <v>MDP0000397744</v>
      </c>
      <c r="D14960">
        <v>85.14</v>
      </c>
      <c r="E14960">
        <v>303</v>
      </c>
      <c r="F14960">
        <v>45</v>
      </c>
      <c r="G14960">
        <v>4</v>
      </c>
      <c r="H14960">
        <v>1</v>
      </c>
      <c r="I14960">
        <v>303</v>
      </c>
      <c r="J14960">
        <v>1</v>
      </c>
      <c r="K14960">
        <v>1</v>
      </c>
      <c r="L14960">
        <v>299</v>
      </c>
      <c r="M14960">
        <v>1</v>
      </c>
      <c r="N14960">
        <v>3.4954499999999999E-155</v>
      </c>
      <c r="O14960">
        <v>1402</v>
      </c>
    </row>
    <row r="14961" spans="1:15" x14ac:dyDescent="0.25">
      <c r="A14961" t="s">
        <v>14974</v>
      </c>
      <c r="B14961">
        <v>480</v>
      </c>
      <c r="C14961" s="1" t="str">
        <f>HYPERLINK("http://www.rosaceae.org/gb/gbrowse/malus_x_domestica/?name=MDP0000140520","MDP0000140520")</f>
        <v>MDP0000140520</v>
      </c>
      <c r="D14961">
        <v>78.569999999999993</v>
      </c>
      <c r="E14961">
        <v>56</v>
      </c>
      <c r="F14961">
        <v>12</v>
      </c>
      <c r="G14961">
        <v>1</v>
      </c>
      <c r="H14961">
        <v>116</v>
      </c>
      <c r="I14961">
        <v>171</v>
      </c>
      <c r="J14961">
        <v>1</v>
      </c>
      <c r="K14961">
        <v>184</v>
      </c>
      <c r="L14961">
        <v>238</v>
      </c>
      <c r="M14961">
        <v>1</v>
      </c>
      <c r="N14961">
        <v>4.1163400000000001E-20</v>
      </c>
      <c r="O14961">
        <v>240</v>
      </c>
    </row>
    <row r="14962" spans="1:15" x14ac:dyDescent="0.25">
      <c r="A14962" t="s">
        <v>14975</v>
      </c>
      <c r="B14962">
        <v>682</v>
      </c>
      <c r="C14962" s="1" t="str">
        <f>HYPERLINK("http://www.rosaceae.org/gb/gbrowse/malus_x_domestica/?name=MDP0000528705","MDP0000528705")</f>
        <v>MDP0000528705</v>
      </c>
      <c r="D14962">
        <v>71.64</v>
      </c>
      <c r="E14962">
        <v>649</v>
      </c>
      <c r="F14962">
        <v>184</v>
      </c>
      <c r="G14962">
        <v>14</v>
      </c>
      <c r="H14962">
        <v>29</v>
      </c>
      <c r="I14962">
        <v>671</v>
      </c>
      <c r="J14962">
        <v>1</v>
      </c>
      <c r="K14962">
        <v>17</v>
      </c>
      <c r="L14962">
        <v>657</v>
      </c>
      <c r="M14962">
        <v>1</v>
      </c>
      <c r="N14962">
        <v>0</v>
      </c>
      <c r="O14962">
        <v>2423</v>
      </c>
    </row>
    <row r="14963" spans="1:15" x14ac:dyDescent="0.25">
      <c r="A14963" t="s">
        <v>14976</v>
      </c>
      <c r="B14963">
        <v>176</v>
      </c>
      <c r="C14963" s="1" t="str">
        <f>HYPERLINK("http://www.rosaceae.org/gb/gbrowse/malus_x_domestica/?name=MDP0000208709","MDP0000208709")</f>
        <v>MDP0000208709</v>
      </c>
      <c r="D14963">
        <v>82.7</v>
      </c>
      <c r="E14963">
        <v>133</v>
      </c>
      <c r="F14963">
        <v>23</v>
      </c>
      <c r="G14963">
        <v>0</v>
      </c>
      <c r="H14963">
        <v>44</v>
      </c>
      <c r="I14963">
        <v>176</v>
      </c>
      <c r="J14963">
        <v>1</v>
      </c>
      <c r="K14963">
        <v>1</v>
      </c>
      <c r="L14963">
        <v>133</v>
      </c>
      <c r="M14963">
        <v>1</v>
      </c>
      <c r="N14963">
        <v>1.0481699999999999E-59</v>
      </c>
      <c r="O14963">
        <v>576</v>
      </c>
    </row>
    <row r="14964" spans="1:15" x14ac:dyDescent="0.25">
      <c r="A14964" t="s">
        <v>14977</v>
      </c>
      <c r="B14964">
        <v>416</v>
      </c>
      <c r="C14964" s="1" t="str">
        <f>HYPERLINK("http://www.rosaceae.org/gb/gbrowse/malus_x_domestica/?name=MDP0000289955","MDP0000289955")</f>
        <v>MDP0000289955</v>
      </c>
      <c r="D14964">
        <v>41.86</v>
      </c>
      <c r="E14964">
        <v>215</v>
      </c>
      <c r="F14964">
        <v>125</v>
      </c>
      <c r="G14964">
        <v>32</v>
      </c>
      <c r="H14964">
        <v>176</v>
      </c>
      <c r="I14964">
        <v>373</v>
      </c>
      <c r="J14964">
        <v>1</v>
      </c>
      <c r="K14964">
        <v>16</v>
      </c>
      <c r="L14964">
        <v>215</v>
      </c>
      <c r="M14964">
        <v>1</v>
      </c>
      <c r="N14964">
        <v>1.08105E-35</v>
      </c>
      <c r="O14964">
        <v>373</v>
      </c>
    </row>
    <row r="14965" spans="1:15" x14ac:dyDescent="0.25">
      <c r="A14965" t="s">
        <v>14978</v>
      </c>
      <c r="B14965">
        <v>204</v>
      </c>
      <c r="C14965" s="1" t="str">
        <f>HYPERLINK("http://www.rosaceae.org/gb/gbrowse/malus_x_domestica/?name=MDP0000151714","MDP0000151714")</f>
        <v>MDP0000151714</v>
      </c>
      <c r="D14965">
        <v>54.33</v>
      </c>
      <c r="E14965">
        <v>127</v>
      </c>
      <c r="F14965">
        <v>58</v>
      </c>
      <c r="G14965">
        <v>10</v>
      </c>
      <c r="H14965">
        <v>13</v>
      </c>
      <c r="I14965">
        <v>129</v>
      </c>
      <c r="J14965">
        <v>1</v>
      </c>
      <c r="K14965">
        <v>10</v>
      </c>
      <c r="L14965">
        <v>136</v>
      </c>
      <c r="M14965">
        <v>1</v>
      </c>
      <c r="N14965">
        <v>2.3168100000000001E-35</v>
      </c>
      <c r="O14965">
        <v>367</v>
      </c>
    </row>
    <row r="14966" spans="1:15" x14ac:dyDescent="0.25">
      <c r="A14966" t="s">
        <v>14979</v>
      </c>
      <c r="B14966">
        <v>484</v>
      </c>
      <c r="C14966" s="1" t="str">
        <f>HYPERLINK("http://www.rosaceae.org/gb/gbrowse/malus_x_domestica/?name=MDP0000310614","MDP0000310614")</f>
        <v>MDP0000310614</v>
      </c>
      <c r="D14966">
        <v>80.06</v>
      </c>
      <c r="E14966">
        <v>321</v>
      </c>
      <c r="F14966">
        <v>64</v>
      </c>
      <c r="G14966">
        <v>0</v>
      </c>
      <c r="H14966">
        <v>163</v>
      </c>
      <c r="I14966">
        <v>483</v>
      </c>
      <c r="J14966">
        <v>1</v>
      </c>
      <c r="K14966">
        <v>77</v>
      </c>
      <c r="L14966">
        <v>397</v>
      </c>
      <c r="M14966">
        <v>1</v>
      </c>
      <c r="N14966">
        <v>2.38565E-154</v>
      </c>
      <c r="O14966">
        <v>1397</v>
      </c>
    </row>
    <row r="14967" spans="1:15" x14ac:dyDescent="0.25">
      <c r="A14967" t="s">
        <v>14980</v>
      </c>
      <c r="B14967">
        <v>340</v>
      </c>
      <c r="C14967" s="1" t="str">
        <f>HYPERLINK("http://www.rosaceae.org/gb/gbrowse/malus_x_domestica/?name=MDP0000727569","MDP0000727569")</f>
        <v>MDP0000727569</v>
      </c>
      <c r="D14967">
        <v>55.22</v>
      </c>
      <c r="E14967">
        <v>335</v>
      </c>
      <c r="F14967">
        <v>150</v>
      </c>
      <c r="G14967">
        <v>8</v>
      </c>
      <c r="H14967">
        <v>7</v>
      </c>
      <c r="I14967">
        <v>338</v>
      </c>
      <c r="J14967">
        <v>1</v>
      </c>
      <c r="K14967">
        <v>4</v>
      </c>
      <c r="L14967">
        <v>333</v>
      </c>
      <c r="M14967">
        <v>1</v>
      </c>
      <c r="N14967">
        <v>1.9506900000000001E-106</v>
      </c>
      <c r="O14967">
        <v>983</v>
      </c>
    </row>
    <row r="14968" spans="1:15" x14ac:dyDescent="0.25">
      <c r="A14968" t="s">
        <v>14981</v>
      </c>
      <c r="B14968">
        <v>275</v>
      </c>
      <c r="C14968" s="1" t="str">
        <f>HYPERLINK("http://www.rosaceae.org/gb/gbrowse/malus_x_domestica/?name=MDP0000223149","MDP0000223149")</f>
        <v>MDP0000223149</v>
      </c>
      <c r="D14968">
        <v>36.26</v>
      </c>
      <c r="E14968">
        <v>193</v>
      </c>
      <c r="F14968">
        <v>123</v>
      </c>
      <c r="G14968">
        <v>12</v>
      </c>
      <c r="H14968">
        <v>43</v>
      </c>
      <c r="I14968">
        <v>227</v>
      </c>
      <c r="J14968">
        <v>1</v>
      </c>
      <c r="K14968">
        <v>260</v>
      </c>
      <c r="L14968">
        <v>448</v>
      </c>
      <c r="M14968">
        <v>1</v>
      </c>
      <c r="N14968">
        <v>1.16824E-23</v>
      </c>
      <c r="O14968">
        <v>268</v>
      </c>
    </row>
    <row r="14969" spans="1:15" x14ac:dyDescent="0.25">
      <c r="A14969" t="s">
        <v>14982</v>
      </c>
      <c r="B14969">
        <v>683</v>
      </c>
      <c r="C14969" s="1" t="str">
        <f>HYPERLINK("http://www.rosaceae.org/gb/gbrowse/malus_x_domestica/?name=MDP0000313879","MDP0000313879")</f>
        <v>MDP0000313879</v>
      </c>
      <c r="D14969">
        <v>79.569999999999993</v>
      </c>
      <c r="E14969">
        <v>666</v>
      </c>
      <c r="F14969">
        <v>136</v>
      </c>
      <c r="G14969">
        <v>17</v>
      </c>
      <c r="H14969">
        <v>31</v>
      </c>
      <c r="I14969">
        <v>679</v>
      </c>
      <c r="J14969">
        <v>1</v>
      </c>
      <c r="K14969">
        <v>40</v>
      </c>
      <c r="L14969">
        <v>705</v>
      </c>
      <c r="M14969">
        <v>1</v>
      </c>
      <c r="N14969">
        <v>0</v>
      </c>
      <c r="O14969">
        <v>2804</v>
      </c>
    </row>
    <row r="14970" spans="1:15" x14ac:dyDescent="0.25">
      <c r="A14970" t="s">
        <v>14983</v>
      </c>
      <c r="B14970">
        <v>403</v>
      </c>
      <c r="C14970" s="1" t="str">
        <f>HYPERLINK("http://www.rosaceae.org/gb/gbrowse/malus_x_domestica/?name=MDP0000204279","MDP0000204279")</f>
        <v>MDP0000204279</v>
      </c>
      <c r="D14970">
        <v>79.05</v>
      </c>
      <c r="E14970">
        <v>358</v>
      </c>
      <c r="F14970">
        <v>75</v>
      </c>
      <c r="G14970">
        <v>0</v>
      </c>
      <c r="H14970">
        <v>43</v>
      </c>
      <c r="I14970">
        <v>400</v>
      </c>
      <c r="J14970">
        <v>1</v>
      </c>
      <c r="K14970">
        <v>1</v>
      </c>
      <c r="L14970">
        <v>358</v>
      </c>
      <c r="M14970">
        <v>1</v>
      </c>
      <c r="N14970">
        <v>1.5646700000000001E-166</v>
      </c>
      <c r="O14970">
        <v>1502</v>
      </c>
    </row>
    <row r="14971" spans="1:15" x14ac:dyDescent="0.25">
      <c r="A14971" t="s">
        <v>14984</v>
      </c>
      <c r="B14971">
        <v>907</v>
      </c>
      <c r="C14971" s="1" t="str">
        <f>HYPERLINK("http://www.rosaceae.org/gb/gbrowse/malus_x_domestica/?name=MDP0000238682","MDP0000238682")</f>
        <v>MDP0000238682</v>
      </c>
      <c r="D14971">
        <v>30.52</v>
      </c>
      <c r="E14971">
        <v>416</v>
      </c>
      <c r="F14971">
        <v>289</v>
      </c>
      <c r="G14971">
        <v>33</v>
      </c>
      <c r="H14971">
        <v>216</v>
      </c>
      <c r="I14971">
        <v>610</v>
      </c>
      <c r="J14971">
        <v>1</v>
      </c>
      <c r="K14971">
        <v>214</v>
      </c>
      <c r="L14971">
        <v>617</v>
      </c>
      <c r="M14971">
        <v>1</v>
      </c>
      <c r="N14971">
        <v>8.3496499999999999E-50</v>
      </c>
      <c r="O14971">
        <v>499</v>
      </c>
    </row>
    <row r="14972" spans="1:15" x14ac:dyDescent="0.25">
      <c r="A14972" t="s">
        <v>14985</v>
      </c>
      <c r="B14972">
        <v>370</v>
      </c>
      <c r="C14972" s="1" t="str">
        <f>HYPERLINK("http://www.rosaceae.org/gb/gbrowse/malus_x_domestica/?name=MDP0000702386","MDP0000702386")</f>
        <v>MDP0000702386</v>
      </c>
      <c r="D14972">
        <v>58.64</v>
      </c>
      <c r="E14972">
        <v>399</v>
      </c>
      <c r="F14972">
        <v>165</v>
      </c>
      <c r="G14972">
        <v>36</v>
      </c>
      <c r="H14972">
        <v>5</v>
      </c>
      <c r="I14972">
        <v>368</v>
      </c>
      <c r="J14972">
        <v>1</v>
      </c>
      <c r="K14972">
        <v>41</v>
      </c>
      <c r="L14972">
        <v>438</v>
      </c>
      <c r="M14972">
        <v>1</v>
      </c>
      <c r="N14972">
        <v>2.1405199999999999E-115</v>
      </c>
      <c r="O14972">
        <v>1060</v>
      </c>
    </row>
    <row r="14973" spans="1:15" x14ac:dyDescent="0.25">
      <c r="A14973" t="s">
        <v>14986</v>
      </c>
      <c r="B14973">
        <v>577</v>
      </c>
      <c r="C14973" s="1" t="str">
        <f>HYPERLINK("http://www.rosaceae.org/gb/gbrowse/malus_x_domestica/?name=MDP0000500732","MDP0000500732")</f>
        <v>MDP0000500732</v>
      </c>
      <c r="D14973">
        <v>79.37</v>
      </c>
      <c r="E14973">
        <v>577</v>
      </c>
      <c r="F14973">
        <v>119</v>
      </c>
      <c r="G14973">
        <v>3</v>
      </c>
      <c r="H14973">
        <v>1</v>
      </c>
      <c r="I14973">
        <v>577</v>
      </c>
      <c r="J14973">
        <v>1</v>
      </c>
      <c r="K14973">
        <v>1</v>
      </c>
      <c r="L14973">
        <v>574</v>
      </c>
      <c r="M14973">
        <v>1</v>
      </c>
      <c r="N14973">
        <v>0</v>
      </c>
      <c r="O14973">
        <v>2372</v>
      </c>
    </row>
    <row r="14974" spans="1:15" x14ac:dyDescent="0.25">
      <c r="A14974" t="s">
        <v>14987</v>
      </c>
      <c r="B14974">
        <v>227</v>
      </c>
      <c r="C14974" s="1" t="str">
        <f>HYPERLINK("http://www.rosaceae.org/gb/gbrowse/malus_x_domestica/?name=MDP0000934542","MDP0000934542")</f>
        <v>MDP0000934542</v>
      </c>
      <c r="D14974">
        <v>78.849999999999994</v>
      </c>
      <c r="E14974">
        <v>227</v>
      </c>
      <c r="F14974">
        <v>48</v>
      </c>
      <c r="G14974">
        <v>2</v>
      </c>
      <c r="H14974">
        <v>1</v>
      </c>
      <c r="I14974">
        <v>225</v>
      </c>
      <c r="J14974">
        <v>1</v>
      </c>
      <c r="K14974">
        <v>1</v>
      </c>
      <c r="L14974">
        <v>227</v>
      </c>
      <c r="M14974">
        <v>1</v>
      </c>
      <c r="N14974">
        <v>5.4763700000000001E-100</v>
      </c>
      <c r="O14974">
        <v>925</v>
      </c>
    </row>
    <row r="14975" spans="1:15" x14ac:dyDescent="0.25">
      <c r="A14975" t="s">
        <v>14988</v>
      </c>
      <c r="B14975">
        <v>1311</v>
      </c>
      <c r="C14975" s="1" t="str">
        <f>HYPERLINK("http://www.rosaceae.org/gb/gbrowse/malus_x_domestica/?name=MDP0000934741","MDP0000934741")</f>
        <v>MDP0000934741</v>
      </c>
      <c r="D14975">
        <v>45.71</v>
      </c>
      <c r="E14975">
        <v>956</v>
      </c>
      <c r="F14975">
        <v>519</v>
      </c>
      <c r="G14975">
        <v>92</v>
      </c>
      <c r="H14975">
        <v>375</v>
      </c>
      <c r="I14975">
        <v>1309</v>
      </c>
      <c r="J14975">
        <v>1</v>
      </c>
      <c r="K14975">
        <v>328</v>
      </c>
      <c r="L14975">
        <v>1212</v>
      </c>
      <c r="M14975">
        <v>1</v>
      </c>
      <c r="N14975">
        <v>0</v>
      </c>
      <c r="O14975">
        <v>1795</v>
      </c>
    </row>
    <row r="14976" spans="1:15" x14ac:dyDescent="0.25">
      <c r="A14976" t="s">
        <v>14989</v>
      </c>
      <c r="B14976">
        <v>473</v>
      </c>
      <c r="C14976" s="1" t="str">
        <f>HYPERLINK("http://www.rosaceae.org/gb/gbrowse/malus_x_domestica/?name=MDP0000269361","MDP0000269361")</f>
        <v>MDP0000269361</v>
      </c>
      <c r="D14976">
        <v>84.93</v>
      </c>
      <c r="E14976">
        <v>478</v>
      </c>
      <c r="F14976">
        <v>72</v>
      </c>
      <c r="G14976">
        <v>8</v>
      </c>
      <c r="H14976">
        <v>1</v>
      </c>
      <c r="I14976">
        <v>472</v>
      </c>
      <c r="J14976">
        <v>1</v>
      </c>
      <c r="K14976">
        <v>1</v>
      </c>
      <c r="L14976">
        <v>476</v>
      </c>
      <c r="M14976">
        <v>1</v>
      </c>
      <c r="N14976">
        <v>0</v>
      </c>
      <c r="O14976">
        <v>2097</v>
      </c>
    </row>
    <row r="14977" spans="1:15" x14ac:dyDescent="0.25">
      <c r="A14977" t="s">
        <v>14990</v>
      </c>
      <c r="B14977">
        <v>728</v>
      </c>
      <c r="C14977" s="1" t="str">
        <f>HYPERLINK("http://www.rosaceae.org/gb/gbrowse/malus_x_domestica/?name=MDP0000750157","MDP0000750157")</f>
        <v>MDP0000750157</v>
      </c>
      <c r="D14977">
        <v>59</v>
      </c>
      <c r="E14977">
        <v>161</v>
      </c>
      <c r="F14977">
        <v>66</v>
      </c>
      <c r="G14977">
        <v>11</v>
      </c>
      <c r="H14977">
        <v>202</v>
      </c>
      <c r="I14977">
        <v>362</v>
      </c>
      <c r="J14977">
        <v>1</v>
      </c>
      <c r="K14977">
        <v>102</v>
      </c>
      <c r="L14977">
        <v>251</v>
      </c>
      <c r="M14977">
        <v>1</v>
      </c>
      <c r="N14977">
        <v>1.24522E-43</v>
      </c>
      <c r="O14977">
        <v>444</v>
      </c>
    </row>
    <row r="14978" spans="1:15" x14ac:dyDescent="0.25">
      <c r="A14978" t="s">
        <v>14991</v>
      </c>
      <c r="B14978">
        <v>332</v>
      </c>
      <c r="C14978" s="1" t="str">
        <f>HYPERLINK("http://www.rosaceae.org/gb/gbrowse/malus_x_domestica/?name=MDP0000160957","MDP0000160957")</f>
        <v>MDP0000160957</v>
      </c>
      <c r="D14978">
        <v>37.94</v>
      </c>
      <c r="E14978">
        <v>369</v>
      </c>
      <c r="F14978">
        <v>229</v>
      </c>
      <c r="G14978">
        <v>94</v>
      </c>
      <c r="H14978">
        <v>32</v>
      </c>
      <c r="I14978">
        <v>332</v>
      </c>
      <c r="J14978">
        <v>1</v>
      </c>
      <c r="K14978">
        <v>60</v>
      </c>
      <c r="L14978">
        <v>402</v>
      </c>
      <c r="M14978">
        <v>1</v>
      </c>
      <c r="N14978">
        <v>4.7683899999999997E-41</v>
      </c>
      <c r="O14978">
        <v>418</v>
      </c>
    </row>
    <row r="14979" spans="1:15" x14ac:dyDescent="0.25">
      <c r="A14979" t="s">
        <v>14992</v>
      </c>
      <c r="B14979">
        <v>734</v>
      </c>
      <c r="C14979" s="1" t="str">
        <f>HYPERLINK("http://www.rosaceae.org/gb/gbrowse/malus_x_domestica/?name=MDP0000245808","MDP0000245808")</f>
        <v>MDP0000245808</v>
      </c>
      <c r="D14979">
        <v>64.91</v>
      </c>
      <c r="E14979">
        <v>744</v>
      </c>
      <c r="F14979">
        <v>261</v>
      </c>
      <c r="G14979">
        <v>24</v>
      </c>
      <c r="H14979">
        <v>2</v>
      </c>
      <c r="I14979">
        <v>734</v>
      </c>
      <c r="J14979">
        <v>1</v>
      </c>
      <c r="K14979">
        <v>3</v>
      </c>
      <c r="L14979">
        <v>733</v>
      </c>
      <c r="M14979">
        <v>1</v>
      </c>
      <c r="N14979">
        <v>0</v>
      </c>
      <c r="O14979">
        <v>2406</v>
      </c>
    </row>
    <row r="14980" spans="1:15" x14ac:dyDescent="0.25">
      <c r="A14980" t="s">
        <v>14993</v>
      </c>
      <c r="B14980">
        <v>309</v>
      </c>
      <c r="C14980" s="1" t="str">
        <f>HYPERLINK("http://www.rosaceae.org/gb/gbrowse/malus_x_domestica/?name=MDP0000629440","MDP0000629440")</f>
        <v>MDP0000629440</v>
      </c>
      <c r="D14980">
        <v>63.6</v>
      </c>
      <c r="E14980">
        <v>316</v>
      </c>
      <c r="F14980">
        <v>115</v>
      </c>
      <c r="G14980">
        <v>11</v>
      </c>
      <c r="H14980">
        <v>1</v>
      </c>
      <c r="I14980">
        <v>309</v>
      </c>
      <c r="J14980">
        <v>1</v>
      </c>
      <c r="K14980">
        <v>1</v>
      </c>
      <c r="L14980">
        <v>312</v>
      </c>
      <c r="M14980">
        <v>1</v>
      </c>
      <c r="N14980">
        <v>1.1283799999999999E-99</v>
      </c>
      <c r="O14980">
        <v>924</v>
      </c>
    </row>
    <row r="14981" spans="1:15" x14ac:dyDescent="0.25">
      <c r="A14981" t="s">
        <v>14994</v>
      </c>
      <c r="B14981">
        <v>159</v>
      </c>
      <c r="C14981" s="1" t="str">
        <f>HYPERLINK("http://www.rosaceae.org/gb/gbrowse/malus_x_domestica/?name=MDP0000179185","MDP0000179185")</f>
        <v>MDP0000179185</v>
      </c>
      <c r="D14981">
        <v>56.39</v>
      </c>
      <c r="E14981">
        <v>172</v>
      </c>
      <c r="F14981">
        <v>75</v>
      </c>
      <c r="G14981">
        <v>39</v>
      </c>
      <c r="H14981">
        <v>23</v>
      </c>
      <c r="I14981">
        <v>155</v>
      </c>
      <c r="J14981">
        <v>1</v>
      </c>
      <c r="K14981">
        <v>21</v>
      </c>
      <c r="L14981">
        <v>192</v>
      </c>
      <c r="M14981">
        <v>1</v>
      </c>
      <c r="N14981">
        <v>1.1690600000000001E-46</v>
      </c>
      <c r="O14981">
        <v>462</v>
      </c>
    </row>
    <row r="14982" spans="1:15" x14ac:dyDescent="0.25">
      <c r="A14982" t="s">
        <v>14995</v>
      </c>
      <c r="B14982">
        <v>97</v>
      </c>
      <c r="C14982" s="1" t="str">
        <f>HYPERLINK("http://www.rosaceae.org/gb/gbrowse/malus_x_domestica/?name=MDP0000700517","MDP0000700517")</f>
        <v>MDP0000700517</v>
      </c>
      <c r="D14982">
        <v>34.14</v>
      </c>
      <c r="E14982">
        <v>82</v>
      </c>
      <c r="F14982">
        <v>54</v>
      </c>
      <c r="G14982">
        <v>6</v>
      </c>
      <c r="H14982">
        <v>20</v>
      </c>
      <c r="I14982">
        <v>95</v>
      </c>
      <c r="J14982">
        <v>1</v>
      </c>
      <c r="K14982">
        <v>186</v>
      </c>
      <c r="L14982">
        <v>267</v>
      </c>
      <c r="M14982">
        <v>1</v>
      </c>
      <c r="N14982">
        <v>1.5392E-10</v>
      </c>
      <c r="O14982">
        <v>148</v>
      </c>
    </row>
    <row r="14983" spans="1:15" x14ac:dyDescent="0.25">
      <c r="A14983" t="s">
        <v>14996</v>
      </c>
      <c r="B14983">
        <v>462</v>
      </c>
      <c r="C14983" s="1" t="str">
        <f>HYPERLINK("http://www.rosaceae.org/gb/gbrowse/malus_x_domestica/?name=MDP0000207283","MDP0000207283")</f>
        <v>MDP0000207283</v>
      </c>
      <c r="D14983">
        <v>65.98</v>
      </c>
      <c r="E14983">
        <v>491</v>
      </c>
      <c r="F14983">
        <v>167</v>
      </c>
      <c r="G14983">
        <v>31</v>
      </c>
      <c r="H14983">
        <v>1</v>
      </c>
      <c r="I14983">
        <v>461</v>
      </c>
      <c r="J14983">
        <v>1</v>
      </c>
      <c r="K14983">
        <v>108</v>
      </c>
      <c r="L14983">
        <v>597</v>
      </c>
      <c r="M14983">
        <v>1</v>
      </c>
      <c r="N14983">
        <v>4.6543199999999999E-174</v>
      </c>
      <c r="O14983">
        <v>1567</v>
      </c>
    </row>
    <row r="14984" spans="1:15" x14ac:dyDescent="0.25">
      <c r="A14984" t="s">
        <v>14997</v>
      </c>
      <c r="B14984">
        <v>707</v>
      </c>
      <c r="C14984" s="1" t="str">
        <f>HYPERLINK("http://www.rosaceae.org/gb/gbrowse/malus_x_domestica/?name=MDP0000236768","MDP0000236768")</f>
        <v>MDP0000236768</v>
      </c>
      <c r="D14984">
        <v>70.23</v>
      </c>
      <c r="E14984">
        <v>588</v>
      </c>
      <c r="F14984">
        <v>175</v>
      </c>
      <c r="G14984">
        <v>28</v>
      </c>
      <c r="H14984">
        <v>111</v>
      </c>
      <c r="I14984">
        <v>693</v>
      </c>
      <c r="J14984">
        <v>1</v>
      </c>
      <c r="K14984">
        <v>442</v>
      </c>
      <c r="L14984">
        <v>1006</v>
      </c>
      <c r="M14984">
        <v>1</v>
      </c>
      <c r="N14984">
        <v>0</v>
      </c>
      <c r="O14984">
        <v>2089</v>
      </c>
    </row>
    <row r="14985" spans="1:15" x14ac:dyDescent="0.25">
      <c r="A14985" t="s">
        <v>14998</v>
      </c>
      <c r="B14985">
        <v>256</v>
      </c>
      <c r="C14985" s="1" t="str">
        <f>HYPERLINK("http://www.rosaceae.org/gb/gbrowse/malus_x_domestica/?name=MDP0000122908","MDP0000122908")</f>
        <v>MDP0000122908</v>
      </c>
      <c r="D14985">
        <v>45.24</v>
      </c>
      <c r="E14985">
        <v>305</v>
      </c>
      <c r="F14985">
        <v>167</v>
      </c>
      <c r="G14985">
        <v>84</v>
      </c>
      <c r="H14985">
        <v>3</v>
      </c>
      <c r="I14985">
        <v>256</v>
      </c>
      <c r="J14985">
        <v>1</v>
      </c>
      <c r="K14985">
        <v>117</v>
      </c>
      <c r="L14985">
        <v>388</v>
      </c>
      <c r="M14985">
        <v>1</v>
      </c>
      <c r="N14985">
        <v>2.4182799999999999E-54</v>
      </c>
      <c r="O14985">
        <v>532</v>
      </c>
    </row>
    <row r="14986" spans="1:15" x14ac:dyDescent="0.25">
      <c r="A14986" t="s">
        <v>14999</v>
      </c>
      <c r="B14986">
        <v>184</v>
      </c>
      <c r="C14986" s="1" t="str">
        <f>HYPERLINK("http://www.rosaceae.org/gb/gbrowse/malus_x_domestica/?name=MDP0000234913","MDP0000234913")</f>
        <v>MDP0000234913</v>
      </c>
      <c r="D14986">
        <v>78.180000000000007</v>
      </c>
      <c r="E14986">
        <v>110</v>
      </c>
      <c r="F14986">
        <v>24</v>
      </c>
      <c r="G14986">
        <v>6</v>
      </c>
      <c r="H14986">
        <v>67</v>
      </c>
      <c r="I14986">
        <v>176</v>
      </c>
      <c r="J14986">
        <v>1</v>
      </c>
      <c r="K14986">
        <v>1</v>
      </c>
      <c r="L14986">
        <v>104</v>
      </c>
      <c r="M14986">
        <v>1</v>
      </c>
      <c r="N14986">
        <v>1.7032399999999999E-41</v>
      </c>
      <c r="O14986">
        <v>419</v>
      </c>
    </row>
    <row r="14987" spans="1:15" x14ac:dyDescent="0.25">
      <c r="A14987" t="s">
        <v>15000</v>
      </c>
      <c r="B14987">
        <v>484</v>
      </c>
      <c r="C14987" s="1" t="str">
        <f>HYPERLINK("http://www.rosaceae.org/gb/gbrowse/malus_x_domestica/?name=MDP0000470237","MDP0000470237")</f>
        <v>MDP0000470237</v>
      </c>
      <c r="D14987">
        <v>84.51</v>
      </c>
      <c r="E14987">
        <v>394</v>
      </c>
      <c r="F14987">
        <v>61</v>
      </c>
      <c r="G14987">
        <v>1</v>
      </c>
      <c r="H14987">
        <v>92</v>
      </c>
      <c r="I14987">
        <v>484</v>
      </c>
      <c r="J14987">
        <v>1</v>
      </c>
      <c r="K14987">
        <v>1</v>
      </c>
      <c r="L14987">
        <v>394</v>
      </c>
      <c r="M14987">
        <v>1</v>
      </c>
      <c r="N14987">
        <v>0</v>
      </c>
      <c r="O14987">
        <v>1768</v>
      </c>
    </row>
    <row r="14988" spans="1:15" x14ac:dyDescent="0.25">
      <c r="A14988" t="s">
        <v>15001</v>
      </c>
      <c r="B14988">
        <v>513</v>
      </c>
      <c r="C14988" s="1" t="str">
        <f>HYPERLINK("http://www.rosaceae.org/gb/gbrowse/malus_x_domestica/?name=MDP0000948307","MDP0000948307")</f>
        <v>MDP0000948307</v>
      </c>
      <c r="D14988">
        <v>80</v>
      </c>
      <c r="E14988">
        <v>100</v>
      </c>
      <c r="F14988">
        <v>20</v>
      </c>
      <c r="G14988">
        <v>0</v>
      </c>
      <c r="H14988">
        <v>413</v>
      </c>
      <c r="I14988">
        <v>512</v>
      </c>
      <c r="J14988">
        <v>1</v>
      </c>
      <c r="K14988">
        <v>10</v>
      </c>
      <c r="L14988">
        <v>109</v>
      </c>
      <c r="M14988">
        <v>1</v>
      </c>
      <c r="N14988">
        <v>1.48389E-40</v>
      </c>
      <c r="O14988">
        <v>416</v>
      </c>
    </row>
    <row r="14989" spans="1:15" x14ac:dyDescent="0.25">
      <c r="A14989" t="s">
        <v>15002</v>
      </c>
      <c r="B14989">
        <v>740</v>
      </c>
      <c r="C14989" s="1" t="str">
        <f>HYPERLINK("http://www.rosaceae.org/gb/gbrowse/malus_x_domestica/?name=MDP0000184678","MDP0000184678")</f>
        <v>MDP0000184678</v>
      </c>
      <c r="D14989">
        <v>70.44</v>
      </c>
      <c r="E14989">
        <v>335</v>
      </c>
      <c r="F14989">
        <v>99</v>
      </c>
      <c r="G14989">
        <v>19</v>
      </c>
      <c r="H14989">
        <v>49</v>
      </c>
      <c r="I14989">
        <v>368</v>
      </c>
      <c r="J14989">
        <v>1</v>
      </c>
      <c r="K14989">
        <v>44</v>
      </c>
      <c r="L14989">
        <v>374</v>
      </c>
      <c r="M14989">
        <v>1</v>
      </c>
      <c r="N14989">
        <v>5.7879799999999997E-134</v>
      </c>
      <c r="O14989">
        <v>1223</v>
      </c>
    </row>
    <row r="14990" spans="1:15" x14ac:dyDescent="0.25">
      <c r="A14990" t="s">
        <v>15003</v>
      </c>
      <c r="B14990">
        <v>989</v>
      </c>
      <c r="C14990" s="1" t="str">
        <f>HYPERLINK("http://www.rosaceae.org/gb/gbrowse/malus_x_domestica/?name=MDP0000935390","MDP0000935390")</f>
        <v>MDP0000935390</v>
      </c>
      <c r="D14990">
        <v>76.63</v>
      </c>
      <c r="E14990">
        <v>612</v>
      </c>
      <c r="F14990">
        <v>143</v>
      </c>
      <c r="G14990">
        <v>38</v>
      </c>
      <c r="H14990">
        <v>416</v>
      </c>
      <c r="I14990">
        <v>989</v>
      </c>
      <c r="J14990">
        <v>1</v>
      </c>
      <c r="K14990">
        <v>27</v>
      </c>
      <c r="L14990">
        <v>638</v>
      </c>
      <c r="M14990">
        <v>1</v>
      </c>
      <c r="N14990">
        <v>0</v>
      </c>
      <c r="O14990">
        <v>2313</v>
      </c>
    </row>
    <row r="14991" spans="1:15" x14ac:dyDescent="0.25">
      <c r="A14991" t="s">
        <v>15004</v>
      </c>
      <c r="B14991">
        <v>597</v>
      </c>
      <c r="C14991" s="1" t="str">
        <f>HYPERLINK("http://www.rosaceae.org/gb/gbrowse/malus_x_domestica/?name=MDP0000156144","MDP0000156144")</f>
        <v>MDP0000156144</v>
      </c>
      <c r="D14991">
        <v>80.209999999999994</v>
      </c>
      <c r="E14991">
        <v>546</v>
      </c>
      <c r="F14991">
        <v>108</v>
      </c>
      <c r="G14991">
        <v>12</v>
      </c>
      <c r="H14991">
        <v>60</v>
      </c>
      <c r="I14991">
        <v>597</v>
      </c>
      <c r="J14991">
        <v>1</v>
      </c>
      <c r="K14991">
        <v>11</v>
      </c>
      <c r="L14991">
        <v>552</v>
      </c>
      <c r="M14991">
        <v>1</v>
      </c>
      <c r="N14991">
        <v>0</v>
      </c>
      <c r="O14991">
        <v>2332</v>
      </c>
    </row>
    <row r="14992" spans="1:15" x14ac:dyDescent="0.25">
      <c r="A14992" t="s">
        <v>15005</v>
      </c>
      <c r="B14992">
        <v>78</v>
      </c>
      <c r="C14992" s="1" t="str">
        <f>HYPERLINK("http://www.rosaceae.org/gb/gbrowse/malus_x_domestica/?name=MDP0000147906","MDP0000147906")</f>
        <v>MDP0000147906</v>
      </c>
      <c r="D14992">
        <v>62.68</v>
      </c>
      <c r="E14992">
        <v>67</v>
      </c>
      <c r="F14992">
        <v>25</v>
      </c>
      <c r="G14992">
        <v>0</v>
      </c>
      <c r="H14992">
        <v>9</v>
      </c>
      <c r="I14992">
        <v>75</v>
      </c>
      <c r="J14992">
        <v>1</v>
      </c>
      <c r="K14992">
        <v>586</v>
      </c>
      <c r="L14992">
        <v>652</v>
      </c>
      <c r="M14992">
        <v>1</v>
      </c>
      <c r="N14992">
        <v>5.5379800000000003E-20</v>
      </c>
      <c r="O14992">
        <v>230</v>
      </c>
    </row>
    <row r="14993" spans="1:15" x14ac:dyDescent="0.25">
      <c r="A14993" t="s">
        <v>15006</v>
      </c>
      <c r="B14993">
        <v>465</v>
      </c>
      <c r="C14993" s="1" t="str">
        <f>HYPERLINK("http://www.rosaceae.org/gb/gbrowse/malus_x_domestica/?name=MDP0000272542","MDP0000272542")</f>
        <v>MDP0000272542</v>
      </c>
      <c r="D14993">
        <v>44.5</v>
      </c>
      <c r="E14993">
        <v>537</v>
      </c>
      <c r="F14993">
        <v>298</v>
      </c>
      <c r="G14993">
        <v>114</v>
      </c>
      <c r="H14993">
        <v>1</v>
      </c>
      <c r="I14993">
        <v>455</v>
      </c>
      <c r="J14993">
        <v>1</v>
      </c>
      <c r="K14993">
        <v>70</v>
      </c>
      <c r="L14993">
        <v>574</v>
      </c>
      <c r="M14993">
        <v>1</v>
      </c>
      <c r="N14993">
        <v>8.4819300000000003E-90</v>
      </c>
      <c r="O14993">
        <v>841</v>
      </c>
    </row>
    <row r="14994" spans="1:15" x14ac:dyDescent="0.25">
      <c r="A14994" t="s">
        <v>15007</v>
      </c>
      <c r="B14994">
        <v>246</v>
      </c>
      <c r="C14994" s="1" t="str">
        <f>HYPERLINK("http://www.rosaceae.org/gb/gbrowse/malus_x_domestica/?name=MDP0000256881","MDP0000256881")</f>
        <v>MDP0000256881</v>
      </c>
      <c r="D14994">
        <v>46.03</v>
      </c>
      <c r="E14994">
        <v>252</v>
      </c>
      <c r="F14994">
        <v>136</v>
      </c>
      <c r="G14994">
        <v>16</v>
      </c>
      <c r="H14994">
        <v>1</v>
      </c>
      <c r="I14994">
        <v>245</v>
      </c>
      <c r="J14994">
        <v>1</v>
      </c>
      <c r="K14994">
        <v>1</v>
      </c>
      <c r="L14994">
        <v>243</v>
      </c>
      <c r="M14994">
        <v>1</v>
      </c>
      <c r="N14994">
        <v>2.9606100000000001E-47</v>
      </c>
      <c r="O14994">
        <v>470</v>
      </c>
    </row>
    <row r="14995" spans="1:15" x14ac:dyDescent="0.25">
      <c r="A14995" t="s">
        <v>15008</v>
      </c>
      <c r="B14995">
        <v>681</v>
      </c>
      <c r="C14995" s="1" t="str">
        <f>HYPERLINK("http://www.rosaceae.org/gb/gbrowse/malus_x_domestica/?name=MDP0000900582","MDP0000900582")</f>
        <v>MDP0000900582</v>
      </c>
      <c r="D14995">
        <v>65.06</v>
      </c>
      <c r="E14995">
        <v>415</v>
      </c>
      <c r="F14995">
        <v>145</v>
      </c>
      <c r="G14995">
        <v>17</v>
      </c>
      <c r="H14995">
        <v>27</v>
      </c>
      <c r="I14995">
        <v>440</v>
      </c>
      <c r="J14995">
        <v>1</v>
      </c>
      <c r="K14995">
        <v>38</v>
      </c>
      <c r="L14995">
        <v>436</v>
      </c>
      <c r="M14995">
        <v>1</v>
      </c>
      <c r="N14995">
        <v>7.3172200000000002E-156</v>
      </c>
      <c r="O14995">
        <v>1412</v>
      </c>
    </row>
    <row r="14996" spans="1:15" x14ac:dyDescent="0.25">
      <c r="A14996" t="s">
        <v>15009</v>
      </c>
      <c r="B14996">
        <v>392</v>
      </c>
      <c r="C14996" s="1" t="str">
        <f>HYPERLINK("http://www.rosaceae.org/gb/gbrowse/malus_x_domestica/?name=MDP0000210289","MDP0000210289")</f>
        <v>MDP0000210289</v>
      </c>
      <c r="D14996">
        <v>46.8</v>
      </c>
      <c r="E14996">
        <v>250</v>
      </c>
      <c r="F14996">
        <v>133</v>
      </c>
      <c r="G14996">
        <v>46</v>
      </c>
      <c r="H14996">
        <v>39</v>
      </c>
      <c r="I14996">
        <v>242</v>
      </c>
      <c r="J14996">
        <v>1</v>
      </c>
      <c r="K14996">
        <v>4</v>
      </c>
      <c r="L14996">
        <v>253</v>
      </c>
      <c r="M14996">
        <v>1</v>
      </c>
      <c r="N14996">
        <v>2.4828800000000001E-51</v>
      </c>
      <c r="O14996">
        <v>508</v>
      </c>
    </row>
    <row r="14997" spans="1:15" x14ac:dyDescent="0.25">
      <c r="A14997" t="s">
        <v>15010</v>
      </c>
      <c r="B14997">
        <v>337</v>
      </c>
      <c r="C14997" s="1" t="str">
        <f>HYPERLINK("http://www.rosaceae.org/gb/gbrowse/malus_x_domestica/?name=MDP0000271508","MDP0000271508")</f>
        <v>MDP0000271508</v>
      </c>
      <c r="D14997">
        <v>33.44</v>
      </c>
      <c r="E14997">
        <v>293</v>
      </c>
      <c r="F14997">
        <v>195</v>
      </c>
      <c r="G14997">
        <v>74</v>
      </c>
      <c r="H14997">
        <v>13</v>
      </c>
      <c r="I14997">
        <v>303</v>
      </c>
      <c r="J14997">
        <v>1</v>
      </c>
      <c r="K14997">
        <v>19</v>
      </c>
      <c r="L14997">
        <v>239</v>
      </c>
      <c r="M14997">
        <v>1</v>
      </c>
      <c r="N14997">
        <v>4.7704399999999997E-28</v>
      </c>
      <c r="O14997">
        <v>306</v>
      </c>
    </row>
    <row r="14998" spans="1:15" x14ac:dyDescent="0.25">
      <c r="A14998" t="s">
        <v>15011</v>
      </c>
      <c r="B14998">
        <v>803</v>
      </c>
      <c r="C14998" s="1" t="str">
        <f>HYPERLINK("http://www.rosaceae.org/gb/gbrowse/malus_x_domestica/?name=MDP0000209438","MDP0000209438")</f>
        <v>MDP0000209438</v>
      </c>
      <c r="D14998">
        <v>60.21</v>
      </c>
      <c r="E14998">
        <v>837</v>
      </c>
      <c r="F14998">
        <v>333</v>
      </c>
      <c r="G14998">
        <v>48</v>
      </c>
      <c r="H14998">
        <v>7</v>
      </c>
      <c r="I14998">
        <v>803</v>
      </c>
      <c r="J14998">
        <v>1</v>
      </c>
      <c r="K14998">
        <v>17</v>
      </c>
      <c r="L14998">
        <v>845</v>
      </c>
      <c r="M14998">
        <v>1</v>
      </c>
      <c r="N14998">
        <v>0</v>
      </c>
      <c r="O14998">
        <v>2503</v>
      </c>
    </row>
    <row r="14999" spans="1:15" x14ac:dyDescent="0.25">
      <c r="A14999" t="s">
        <v>15012</v>
      </c>
      <c r="B14999">
        <v>526</v>
      </c>
      <c r="C14999" s="1" t="str">
        <f>HYPERLINK("http://www.rosaceae.org/gb/gbrowse/malus_x_domestica/?name=MDP0000183678","MDP0000183678")</f>
        <v>MDP0000183678</v>
      </c>
      <c r="D14999">
        <v>75.8</v>
      </c>
      <c r="E14999">
        <v>467</v>
      </c>
      <c r="F14999">
        <v>113</v>
      </c>
      <c r="G14999">
        <v>13</v>
      </c>
      <c r="H14999">
        <v>28</v>
      </c>
      <c r="I14999">
        <v>487</v>
      </c>
      <c r="J14999">
        <v>1</v>
      </c>
      <c r="K14999">
        <v>30</v>
      </c>
      <c r="L14999">
        <v>490</v>
      </c>
      <c r="M14999">
        <v>1</v>
      </c>
      <c r="N14999">
        <v>0</v>
      </c>
      <c r="O14999">
        <v>1815</v>
      </c>
    </row>
    <row r="15000" spans="1:15" x14ac:dyDescent="0.25">
      <c r="A15000" t="s">
        <v>15013</v>
      </c>
      <c r="B15000">
        <v>1131</v>
      </c>
      <c r="C15000" s="1" t="str">
        <f>HYPERLINK("http://www.rosaceae.org/gb/gbrowse/malus_x_domestica/?name=MDP0000200336","MDP0000200336")</f>
        <v>MDP0000200336</v>
      </c>
      <c r="D15000">
        <v>74.319999999999993</v>
      </c>
      <c r="E15000">
        <v>1145</v>
      </c>
      <c r="F15000">
        <v>294</v>
      </c>
      <c r="G15000">
        <v>46</v>
      </c>
      <c r="H15000">
        <v>1</v>
      </c>
      <c r="I15000">
        <v>1130</v>
      </c>
      <c r="J15000">
        <v>1</v>
      </c>
      <c r="K15000">
        <v>1</v>
      </c>
      <c r="L15000">
        <v>1114</v>
      </c>
      <c r="M15000">
        <v>1</v>
      </c>
      <c r="N15000">
        <v>0</v>
      </c>
      <c r="O15000">
        <v>4440</v>
      </c>
    </row>
    <row r="15001" spans="1:15" x14ac:dyDescent="0.25">
      <c r="A15001" t="s">
        <v>15014</v>
      </c>
      <c r="B15001">
        <v>353</v>
      </c>
      <c r="C15001" s="1" t="str">
        <f>HYPERLINK("http://www.rosaceae.org/gb/gbrowse/malus_x_domestica/?name=MDP0000263595","MDP0000263595")</f>
        <v>MDP0000263595</v>
      </c>
      <c r="D15001">
        <v>44.23</v>
      </c>
      <c r="E15001">
        <v>364</v>
      </c>
      <c r="F15001">
        <v>203</v>
      </c>
      <c r="G15001">
        <v>48</v>
      </c>
      <c r="H15001">
        <v>1</v>
      </c>
      <c r="I15001">
        <v>353</v>
      </c>
      <c r="J15001">
        <v>1</v>
      </c>
      <c r="K15001">
        <v>1</v>
      </c>
      <c r="L15001">
        <v>327</v>
      </c>
      <c r="M15001">
        <v>1</v>
      </c>
      <c r="N15001">
        <v>2.2796499999999999E-70</v>
      </c>
      <c r="O15001">
        <v>672</v>
      </c>
    </row>
    <row r="15002" spans="1:15" x14ac:dyDescent="0.25">
      <c r="A15002" t="s">
        <v>15015</v>
      </c>
      <c r="B15002">
        <v>282</v>
      </c>
      <c r="C15002" s="1" t="str">
        <f>HYPERLINK("http://www.rosaceae.org/gb/gbrowse/malus_x_domestica/?name=MDP0000670228","MDP0000670228")</f>
        <v>MDP0000670228</v>
      </c>
      <c r="D15002">
        <v>31.6</v>
      </c>
      <c r="E15002">
        <v>174</v>
      </c>
      <c r="F15002">
        <v>119</v>
      </c>
      <c r="G15002">
        <v>33</v>
      </c>
      <c r="H15002">
        <v>89</v>
      </c>
      <c r="I15002">
        <v>244</v>
      </c>
      <c r="J15002">
        <v>1</v>
      </c>
      <c r="K15002">
        <v>146</v>
      </c>
      <c r="L15002">
        <v>304</v>
      </c>
      <c r="M15002">
        <v>1</v>
      </c>
      <c r="N15002">
        <v>4.1897900000000003E-14</v>
      </c>
      <c r="O15002">
        <v>185</v>
      </c>
    </row>
    <row r="15003" spans="1:15" x14ac:dyDescent="0.25">
      <c r="A15003" t="s">
        <v>15016</v>
      </c>
      <c r="B15003">
        <v>269</v>
      </c>
      <c r="C15003" s="1" t="str">
        <f>HYPERLINK("http://www.rosaceae.org/gb/gbrowse/malus_x_domestica/?name=MDP0000217451","MDP0000217451")</f>
        <v>MDP0000217451</v>
      </c>
      <c r="D15003">
        <v>64.900000000000006</v>
      </c>
      <c r="E15003">
        <v>302</v>
      </c>
      <c r="F15003">
        <v>106</v>
      </c>
      <c r="G15003">
        <v>38</v>
      </c>
      <c r="H15003">
        <v>6</v>
      </c>
      <c r="I15003">
        <v>269</v>
      </c>
      <c r="J15003">
        <v>1</v>
      </c>
      <c r="K15003">
        <v>4</v>
      </c>
      <c r="L15003">
        <v>305</v>
      </c>
      <c r="M15003">
        <v>1</v>
      </c>
      <c r="N15003">
        <v>2.3355300000000001E-102</v>
      </c>
      <c r="O15003">
        <v>946</v>
      </c>
    </row>
    <row r="15004" spans="1:15" x14ac:dyDescent="0.25">
      <c r="A15004" t="s">
        <v>15017</v>
      </c>
      <c r="B15004">
        <v>38</v>
      </c>
      <c r="C15004" s="1" t="str">
        <f>HYPERLINK("http://www.rosaceae.org/gb/gbrowse/malus_x_domestica/?name=MDP0000872533","MDP0000872533")</f>
        <v>MDP0000872533</v>
      </c>
      <c r="D15004">
        <v>87.5</v>
      </c>
      <c r="E15004">
        <v>32</v>
      </c>
      <c r="F15004">
        <v>4</v>
      </c>
      <c r="G15004">
        <v>0</v>
      </c>
      <c r="H15004">
        <v>1</v>
      </c>
      <c r="I15004">
        <v>32</v>
      </c>
      <c r="J15004">
        <v>1</v>
      </c>
      <c r="K15004">
        <v>437</v>
      </c>
      <c r="L15004">
        <v>468</v>
      </c>
      <c r="M15004">
        <v>1</v>
      </c>
      <c r="N15004">
        <v>6.7192200000000001E-12</v>
      </c>
      <c r="O15004">
        <v>160</v>
      </c>
    </row>
    <row r="15005" spans="1:15" x14ac:dyDescent="0.25">
      <c r="A15005" t="s">
        <v>15018</v>
      </c>
      <c r="B15005">
        <v>233</v>
      </c>
      <c r="C15005" s="1" t="str">
        <f>HYPERLINK("http://www.rosaceae.org/gb/gbrowse/malus_x_domestica/?name=MDP0000316899","MDP0000316899")</f>
        <v>MDP0000316899</v>
      </c>
      <c r="D15005">
        <v>44.95</v>
      </c>
      <c r="E15005">
        <v>109</v>
      </c>
      <c r="F15005">
        <v>60</v>
      </c>
      <c r="G15005">
        <v>1</v>
      </c>
      <c r="H15005">
        <v>51</v>
      </c>
      <c r="I15005">
        <v>159</v>
      </c>
      <c r="J15005">
        <v>1</v>
      </c>
      <c r="K15005">
        <v>444</v>
      </c>
      <c r="L15005">
        <v>551</v>
      </c>
      <c r="M15005">
        <v>1</v>
      </c>
      <c r="N15005">
        <v>1.4939500000000001E-20</v>
      </c>
      <c r="O15005">
        <v>240</v>
      </c>
    </row>
    <row r="15006" spans="1:15" x14ac:dyDescent="0.25">
      <c r="A15006" t="s">
        <v>15019</v>
      </c>
      <c r="B15006">
        <v>120</v>
      </c>
      <c r="C15006" s="1" t="str">
        <f>HYPERLINK("http://www.rosaceae.org/gb/gbrowse/malus_x_domestica/?name=MDP0000847266","MDP0000847266")</f>
        <v>MDP0000847266</v>
      </c>
      <c r="D15006">
        <v>54.34</v>
      </c>
      <c r="E15006">
        <v>92</v>
      </c>
      <c r="F15006">
        <v>42</v>
      </c>
      <c r="G15006">
        <v>8</v>
      </c>
      <c r="H15006">
        <v>4</v>
      </c>
      <c r="I15006">
        <v>89</v>
      </c>
      <c r="J15006">
        <v>1</v>
      </c>
      <c r="K15006">
        <v>2</v>
      </c>
      <c r="L15006">
        <v>91</v>
      </c>
      <c r="M15006">
        <v>1</v>
      </c>
      <c r="N15006">
        <v>4.1491999999999999E-20</v>
      </c>
      <c r="O15006">
        <v>231</v>
      </c>
    </row>
    <row r="15007" spans="1:15" x14ac:dyDescent="0.25">
      <c r="A15007" t="s">
        <v>15020</v>
      </c>
      <c r="B15007">
        <v>491</v>
      </c>
      <c r="C15007" s="1" t="str">
        <f>HYPERLINK("http://www.rosaceae.org/gb/gbrowse/malus_x_domestica/?name=MDP0000561477","MDP0000561477")</f>
        <v>MDP0000561477</v>
      </c>
      <c r="D15007">
        <v>66.39</v>
      </c>
      <c r="E15007">
        <v>488</v>
      </c>
      <c r="F15007">
        <v>164</v>
      </c>
      <c r="G15007">
        <v>3</v>
      </c>
      <c r="H15007">
        <v>5</v>
      </c>
      <c r="I15007">
        <v>491</v>
      </c>
      <c r="J15007">
        <v>1</v>
      </c>
      <c r="K15007">
        <v>3</v>
      </c>
      <c r="L15007">
        <v>488</v>
      </c>
      <c r="M15007">
        <v>1</v>
      </c>
      <c r="N15007">
        <v>0</v>
      </c>
      <c r="O15007">
        <v>1718</v>
      </c>
    </row>
    <row r="15008" spans="1:15" x14ac:dyDescent="0.25">
      <c r="A15008" t="s">
        <v>15021</v>
      </c>
      <c r="B15008">
        <v>199</v>
      </c>
      <c r="C15008" s="1" t="str">
        <f>HYPERLINK("http://www.rosaceae.org/gb/gbrowse/malus_x_domestica/?name=MDP0000313132","MDP0000313132")</f>
        <v>MDP0000313132</v>
      </c>
      <c r="D15008">
        <v>69.34</v>
      </c>
      <c r="E15008">
        <v>199</v>
      </c>
      <c r="F15008">
        <v>61</v>
      </c>
      <c r="G15008">
        <v>1</v>
      </c>
      <c r="H15008">
        <v>1</v>
      </c>
      <c r="I15008">
        <v>199</v>
      </c>
      <c r="J15008">
        <v>1</v>
      </c>
      <c r="K15008">
        <v>1</v>
      </c>
      <c r="L15008">
        <v>198</v>
      </c>
      <c r="M15008">
        <v>1</v>
      </c>
      <c r="N15008">
        <v>6.0156699999999998E-76</v>
      </c>
      <c r="O15008">
        <v>716</v>
      </c>
    </row>
    <row r="15009" spans="1:15" x14ac:dyDescent="0.25">
      <c r="A15009" t="s">
        <v>15022</v>
      </c>
      <c r="B15009">
        <v>617</v>
      </c>
      <c r="C15009" s="1" t="str">
        <f>HYPERLINK("http://www.rosaceae.org/gb/gbrowse/malus_x_domestica/?name=MDP0000127882","MDP0000127882")</f>
        <v>MDP0000127882</v>
      </c>
      <c r="D15009">
        <v>82.61</v>
      </c>
      <c r="E15009">
        <v>627</v>
      </c>
      <c r="F15009">
        <v>109</v>
      </c>
      <c r="G15009">
        <v>21</v>
      </c>
      <c r="H15009">
        <v>1</v>
      </c>
      <c r="I15009">
        <v>617</v>
      </c>
      <c r="J15009">
        <v>1</v>
      </c>
      <c r="K15009">
        <v>1</v>
      </c>
      <c r="L15009">
        <v>616</v>
      </c>
      <c r="M15009">
        <v>1</v>
      </c>
      <c r="N15009">
        <v>0</v>
      </c>
      <c r="O15009">
        <v>2603</v>
      </c>
    </row>
    <row r="15010" spans="1:15" x14ac:dyDescent="0.25">
      <c r="A15010" t="s">
        <v>15023</v>
      </c>
      <c r="B15010">
        <v>213</v>
      </c>
      <c r="C15010" s="1" t="str">
        <f>HYPERLINK("http://www.rosaceae.org/gb/gbrowse/malus_x_domestica/?name=MDP0000384344","MDP0000384344")</f>
        <v>MDP0000384344</v>
      </c>
      <c r="D15010">
        <v>91.07</v>
      </c>
      <c r="E15010">
        <v>213</v>
      </c>
      <c r="F15010">
        <v>19</v>
      </c>
      <c r="G15010">
        <v>0</v>
      </c>
      <c r="H15010">
        <v>1</v>
      </c>
      <c r="I15010">
        <v>213</v>
      </c>
      <c r="J15010">
        <v>1</v>
      </c>
      <c r="K15010">
        <v>1</v>
      </c>
      <c r="L15010">
        <v>213</v>
      </c>
      <c r="M15010">
        <v>1</v>
      </c>
      <c r="N15010">
        <v>4.4469799999999998E-113</v>
      </c>
      <c r="O15010">
        <v>1037</v>
      </c>
    </row>
    <row r="15011" spans="1:15" x14ac:dyDescent="0.25">
      <c r="A15011" t="s">
        <v>15024</v>
      </c>
      <c r="B15011">
        <v>354</v>
      </c>
      <c r="C15011" s="1" t="str">
        <f>HYPERLINK("http://www.rosaceae.org/gb/gbrowse/malus_x_domestica/?name=MDP0000163533","MDP0000163533")</f>
        <v>MDP0000163533</v>
      </c>
      <c r="D15011">
        <v>42.4</v>
      </c>
      <c r="E15011">
        <v>375</v>
      </c>
      <c r="F15011">
        <v>216</v>
      </c>
      <c r="G15011">
        <v>43</v>
      </c>
      <c r="H15011">
        <v>7</v>
      </c>
      <c r="I15011">
        <v>344</v>
      </c>
      <c r="J15011">
        <v>1</v>
      </c>
      <c r="K15011">
        <v>50</v>
      </c>
      <c r="L15011">
        <v>418</v>
      </c>
      <c r="M15011">
        <v>1</v>
      </c>
      <c r="N15011">
        <v>2.6271499999999998E-57</v>
      </c>
      <c r="O15011">
        <v>559</v>
      </c>
    </row>
    <row r="15012" spans="1:15" x14ac:dyDescent="0.25">
      <c r="A15012" t="s">
        <v>15025</v>
      </c>
      <c r="B15012">
        <v>305</v>
      </c>
      <c r="C15012" s="1" t="str">
        <f>HYPERLINK("http://www.rosaceae.org/gb/gbrowse/malus_x_domestica/?name=MDP0000293886","MDP0000293886")</f>
        <v>MDP0000293886</v>
      </c>
      <c r="D15012">
        <v>75.069999999999993</v>
      </c>
      <c r="E15012">
        <v>337</v>
      </c>
      <c r="F15012">
        <v>84</v>
      </c>
      <c r="G15012">
        <v>32</v>
      </c>
      <c r="H15012">
        <v>1</v>
      </c>
      <c r="I15012">
        <v>305</v>
      </c>
      <c r="J15012">
        <v>1</v>
      </c>
      <c r="K15012">
        <v>3</v>
      </c>
      <c r="L15012">
        <v>339</v>
      </c>
      <c r="M15012">
        <v>1</v>
      </c>
      <c r="N15012">
        <v>3.0312300000000001E-134</v>
      </c>
      <c r="O15012">
        <v>1222</v>
      </c>
    </row>
    <row r="15013" spans="1:15" x14ac:dyDescent="0.25">
      <c r="A15013" t="s">
        <v>15026</v>
      </c>
      <c r="B15013">
        <v>1545</v>
      </c>
      <c r="C15013" s="1" t="str">
        <f>HYPERLINK("http://www.rosaceae.org/gb/gbrowse/malus_x_domestica/?name=MDP0000174203","MDP0000174203")</f>
        <v>MDP0000174203</v>
      </c>
      <c r="D15013">
        <v>62.69</v>
      </c>
      <c r="E15013">
        <v>981</v>
      </c>
      <c r="F15013">
        <v>366</v>
      </c>
      <c r="G15013">
        <v>13</v>
      </c>
      <c r="H15013">
        <v>2</v>
      </c>
      <c r="I15013">
        <v>981</v>
      </c>
      <c r="J15013">
        <v>1</v>
      </c>
      <c r="K15013">
        <v>3</v>
      </c>
      <c r="L15013">
        <v>971</v>
      </c>
      <c r="M15013">
        <v>1</v>
      </c>
      <c r="N15013">
        <v>0</v>
      </c>
      <c r="O15013">
        <v>3030</v>
      </c>
    </row>
    <row r="15014" spans="1:15" x14ac:dyDescent="0.25">
      <c r="A15014" t="s">
        <v>15027</v>
      </c>
      <c r="B15014">
        <v>258</v>
      </c>
      <c r="C15014" s="1" t="str">
        <f>HYPERLINK("http://www.rosaceae.org/gb/gbrowse/malus_x_domestica/?name=MDP0000294097","MDP0000294097")</f>
        <v>MDP0000294097</v>
      </c>
      <c r="D15014">
        <v>84.88</v>
      </c>
      <c r="E15014">
        <v>258</v>
      </c>
      <c r="F15014">
        <v>39</v>
      </c>
      <c r="G15014">
        <v>0</v>
      </c>
      <c r="H15014">
        <v>1</v>
      </c>
      <c r="I15014">
        <v>258</v>
      </c>
      <c r="J15014">
        <v>1</v>
      </c>
      <c r="K15014">
        <v>1</v>
      </c>
      <c r="L15014">
        <v>258</v>
      </c>
      <c r="M15014">
        <v>1</v>
      </c>
      <c r="N15014">
        <v>1.0943E-128</v>
      </c>
      <c r="O15014">
        <v>1173</v>
      </c>
    </row>
    <row r="15015" spans="1:15" x14ac:dyDescent="0.25">
      <c r="A15015" t="s">
        <v>15028</v>
      </c>
      <c r="B15015">
        <v>480</v>
      </c>
      <c r="C15015" s="1" t="str">
        <f>HYPERLINK("http://www.rosaceae.org/gb/gbrowse/malus_x_domestica/?name=MDP0000952113","MDP0000952113")</f>
        <v>MDP0000952113</v>
      </c>
      <c r="D15015">
        <v>79.209999999999994</v>
      </c>
      <c r="E15015">
        <v>255</v>
      </c>
      <c r="F15015">
        <v>53</v>
      </c>
      <c r="G15015">
        <v>21</v>
      </c>
      <c r="H15015">
        <v>209</v>
      </c>
      <c r="I15015">
        <v>442</v>
      </c>
      <c r="J15015">
        <v>1</v>
      </c>
      <c r="K15015">
        <v>12</v>
      </c>
      <c r="L15015">
        <v>266</v>
      </c>
      <c r="M15015">
        <v>1</v>
      </c>
      <c r="N15015">
        <v>2.1405500000000001E-117</v>
      </c>
      <c r="O15015">
        <v>1079</v>
      </c>
    </row>
    <row r="15016" spans="1:15" x14ac:dyDescent="0.25">
      <c r="A15016" t="s">
        <v>15029</v>
      </c>
      <c r="B15016">
        <v>639</v>
      </c>
      <c r="C15016" s="1" t="str">
        <f>HYPERLINK("http://www.rosaceae.org/gb/gbrowse/malus_x_domestica/?name=MDP0000573835","MDP0000573835")</f>
        <v>MDP0000573835</v>
      </c>
      <c r="D15016">
        <v>79.650000000000006</v>
      </c>
      <c r="E15016">
        <v>639</v>
      </c>
      <c r="F15016">
        <v>130</v>
      </c>
      <c r="G15016">
        <v>1</v>
      </c>
      <c r="H15016">
        <v>1</v>
      </c>
      <c r="I15016">
        <v>639</v>
      </c>
      <c r="J15016">
        <v>1</v>
      </c>
      <c r="K15016">
        <v>1</v>
      </c>
      <c r="L15016">
        <v>638</v>
      </c>
      <c r="M15016">
        <v>1</v>
      </c>
      <c r="N15016">
        <v>0</v>
      </c>
      <c r="O15016">
        <v>2725</v>
      </c>
    </row>
    <row r="15017" spans="1:15" x14ac:dyDescent="0.25">
      <c r="A15017" t="s">
        <v>15030</v>
      </c>
      <c r="B15017">
        <v>336</v>
      </c>
      <c r="C15017" s="1" t="str">
        <f>HYPERLINK("http://www.rosaceae.org/gb/gbrowse/malus_x_domestica/?name=MDP0000224715","MDP0000224715")</f>
        <v>MDP0000224715</v>
      </c>
      <c r="D15017">
        <v>71.33</v>
      </c>
      <c r="E15017">
        <v>314</v>
      </c>
      <c r="F15017">
        <v>90</v>
      </c>
      <c r="G15017">
        <v>15</v>
      </c>
      <c r="H15017">
        <v>38</v>
      </c>
      <c r="I15017">
        <v>336</v>
      </c>
      <c r="J15017">
        <v>1</v>
      </c>
      <c r="K15017">
        <v>38</v>
      </c>
      <c r="L15017">
        <v>351</v>
      </c>
      <c r="M15017">
        <v>1</v>
      </c>
      <c r="N15017">
        <v>3.2241000000000001E-127</v>
      </c>
      <c r="O15017">
        <v>1162</v>
      </c>
    </row>
    <row r="15018" spans="1:15" x14ac:dyDescent="0.25">
      <c r="A15018" t="s">
        <v>15031</v>
      </c>
      <c r="B15018">
        <v>623</v>
      </c>
      <c r="C15018" s="1" t="str">
        <f>HYPERLINK("http://www.rosaceae.org/gb/gbrowse/malus_x_domestica/?name=MDP0000292744","MDP0000292744")</f>
        <v>MDP0000292744</v>
      </c>
      <c r="D15018">
        <v>68.42</v>
      </c>
      <c r="E15018">
        <v>323</v>
      </c>
      <c r="F15018">
        <v>102</v>
      </c>
      <c r="G15018">
        <v>4</v>
      </c>
      <c r="H15018">
        <v>1</v>
      </c>
      <c r="I15018">
        <v>323</v>
      </c>
      <c r="J15018">
        <v>1</v>
      </c>
      <c r="K15018">
        <v>1</v>
      </c>
      <c r="L15018">
        <v>319</v>
      </c>
      <c r="M15018">
        <v>1</v>
      </c>
      <c r="N15018">
        <v>5.2968500000000003E-124</v>
      </c>
      <c r="O15018">
        <v>1137</v>
      </c>
    </row>
    <row r="15019" spans="1:15" x14ac:dyDescent="0.25">
      <c r="A15019" t="s">
        <v>15032</v>
      </c>
      <c r="B15019">
        <v>267</v>
      </c>
      <c r="C15019" s="1" t="str">
        <f>HYPERLINK("http://www.rosaceae.org/gb/gbrowse/malus_x_domestica/?name=MDP0000285927","MDP0000285927")</f>
        <v>MDP0000285927</v>
      </c>
      <c r="D15019">
        <v>64.400000000000006</v>
      </c>
      <c r="E15019">
        <v>118</v>
      </c>
      <c r="F15019">
        <v>42</v>
      </c>
      <c r="G15019">
        <v>3</v>
      </c>
      <c r="H15019">
        <v>1</v>
      </c>
      <c r="I15019">
        <v>117</v>
      </c>
      <c r="J15019">
        <v>1</v>
      </c>
      <c r="K15019">
        <v>1</v>
      </c>
      <c r="L15019">
        <v>116</v>
      </c>
      <c r="M15019">
        <v>1</v>
      </c>
      <c r="N15019">
        <v>4.0843899999999999E-32</v>
      </c>
      <c r="O15019">
        <v>340</v>
      </c>
    </row>
    <row r="15020" spans="1:15" x14ac:dyDescent="0.25">
      <c r="A15020" t="s">
        <v>15033</v>
      </c>
      <c r="B15020">
        <v>490</v>
      </c>
      <c r="C15020" s="1" t="str">
        <f>HYPERLINK("http://www.rosaceae.org/gb/gbrowse/malus_x_domestica/?name=MDP0000802237","MDP0000802237")</f>
        <v>MDP0000802237</v>
      </c>
      <c r="D15020">
        <v>43.15</v>
      </c>
      <c r="E15020">
        <v>380</v>
      </c>
      <c r="F15020">
        <v>216</v>
      </c>
      <c r="G15020">
        <v>28</v>
      </c>
      <c r="H15020">
        <v>62</v>
      </c>
      <c r="I15020">
        <v>430</v>
      </c>
      <c r="J15020">
        <v>1</v>
      </c>
      <c r="K15020">
        <v>6</v>
      </c>
      <c r="L15020">
        <v>368</v>
      </c>
      <c r="M15020">
        <v>1</v>
      </c>
      <c r="N15020">
        <v>7.9632599999999996E-80</v>
      </c>
      <c r="O15020">
        <v>755</v>
      </c>
    </row>
    <row r="15021" spans="1:15" x14ac:dyDescent="0.25">
      <c r="A15021" t="s">
        <v>15034</v>
      </c>
      <c r="B15021">
        <v>189</v>
      </c>
      <c r="C15021" s="1" t="str">
        <f>HYPERLINK("http://www.rosaceae.org/gb/gbrowse/malus_x_domestica/?name=MDP0000322668","MDP0000322668")</f>
        <v>MDP0000322668</v>
      </c>
      <c r="D15021">
        <v>68.78</v>
      </c>
      <c r="E15021">
        <v>189</v>
      </c>
      <c r="F15021">
        <v>59</v>
      </c>
      <c r="G15021">
        <v>1</v>
      </c>
      <c r="H15021">
        <v>1</v>
      </c>
      <c r="I15021">
        <v>188</v>
      </c>
      <c r="J15021">
        <v>1</v>
      </c>
      <c r="K15021">
        <v>344</v>
      </c>
      <c r="L15021">
        <v>532</v>
      </c>
      <c r="M15021">
        <v>1</v>
      </c>
      <c r="N15021">
        <v>1.2488000000000001E-74</v>
      </c>
      <c r="O15021">
        <v>705</v>
      </c>
    </row>
    <row r="15022" spans="1:15" x14ac:dyDescent="0.25">
      <c r="A15022" t="s">
        <v>15035</v>
      </c>
      <c r="B15022">
        <v>151</v>
      </c>
      <c r="C15022" s="1" t="str">
        <f>HYPERLINK("http://www.rosaceae.org/gb/gbrowse/malus_x_domestica/?name=MDP0000129913","MDP0000129913")</f>
        <v>MDP0000129913</v>
      </c>
      <c r="D15022">
        <v>42.18</v>
      </c>
      <c r="E15022">
        <v>128</v>
      </c>
      <c r="F15022">
        <v>74</v>
      </c>
      <c r="G15022">
        <v>3</v>
      </c>
      <c r="H15022">
        <v>24</v>
      </c>
      <c r="I15022">
        <v>151</v>
      </c>
      <c r="J15022">
        <v>1</v>
      </c>
      <c r="K15022">
        <v>139</v>
      </c>
      <c r="L15022">
        <v>263</v>
      </c>
      <c r="M15022">
        <v>1</v>
      </c>
      <c r="N15022">
        <v>2.0529799999999999E-19</v>
      </c>
      <c r="O15022">
        <v>227</v>
      </c>
    </row>
    <row r="15023" spans="1:15" x14ac:dyDescent="0.25">
      <c r="A15023" t="s">
        <v>15036</v>
      </c>
      <c r="B15023">
        <v>345</v>
      </c>
      <c r="C15023" s="1" t="str">
        <f>HYPERLINK("http://www.rosaceae.org/gb/gbrowse/malus_x_domestica/?name=MDP0000723275","MDP0000723275")</f>
        <v>MDP0000723275</v>
      </c>
      <c r="D15023">
        <v>89.53</v>
      </c>
      <c r="E15023">
        <v>325</v>
      </c>
      <c r="F15023">
        <v>34</v>
      </c>
      <c r="G15023">
        <v>3</v>
      </c>
      <c r="H15023">
        <v>24</v>
      </c>
      <c r="I15023">
        <v>345</v>
      </c>
      <c r="J15023">
        <v>1</v>
      </c>
      <c r="K15023">
        <v>38</v>
      </c>
      <c r="L15023">
        <v>362</v>
      </c>
      <c r="M15023">
        <v>1</v>
      </c>
      <c r="N15023">
        <v>2.2366099999999999E-167</v>
      </c>
      <c r="O15023">
        <v>1508</v>
      </c>
    </row>
    <row r="15024" spans="1:15" x14ac:dyDescent="0.25">
      <c r="A15024" t="s">
        <v>15037</v>
      </c>
      <c r="B15024">
        <v>272</v>
      </c>
      <c r="C15024" s="1" t="str">
        <f>HYPERLINK("http://www.rosaceae.org/gb/gbrowse/malus_x_domestica/?name=MDP0000646524","MDP0000646524")</f>
        <v>MDP0000646524</v>
      </c>
      <c r="D15024">
        <v>46.97</v>
      </c>
      <c r="E15024">
        <v>281</v>
      </c>
      <c r="F15024">
        <v>149</v>
      </c>
      <c r="G15024">
        <v>70</v>
      </c>
      <c r="H15024">
        <v>8</v>
      </c>
      <c r="I15024">
        <v>270</v>
      </c>
      <c r="J15024">
        <v>1</v>
      </c>
      <c r="K15024">
        <v>245</v>
      </c>
      <c r="L15024">
        <v>473</v>
      </c>
      <c r="M15024">
        <v>1</v>
      </c>
      <c r="N15024">
        <v>2.7314300000000001E-55</v>
      </c>
      <c r="O15024">
        <v>540</v>
      </c>
    </row>
    <row r="15025" spans="1:15" x14ac:dyDescent="0.25">
      <c r="A15025" t="s">
        <v>15038</v>
      </c>
      <c r="B15025">
        <v>214</v>
      </c>
      <c r="C15025" s="1" t="str">
        <f>HYPERLINK("http://www.rosaceae.org/gb/gbrowse/malus_x_domestica/?name=MDP0000312861","MDP0000312861")</f>
        <v>MDP0000312861</v>
      </c>
      <c r="D15025">
        <v>27.58</v>
      </c>
      <c r="E15025">
        <v>174</v>
      </c>
      <c r="F15025">
        <v>126</v>
      </c>
      <c r="G15025">
        <v>35</v>
      </c>
      <c r="H15025">
        <v>2</v>
      </c>
      <c r="I15025">
        <v>140</v>
      </c>
      <c r="J15025">
        <v>1</v>
      </c>
      <c r="K15025">
        <v>1409</v>
      </c>
      <c r="L15025">
        <v>1582</v>
      </c>
      <c r="M15025">
        <v>1</v>
      </c>
      <c r="N15025">
        <v>4.6647400000000003E-7</v>
      </c>
      <c r="O15025">
        <v>123</v>
      </c>
    </row>
    <row r="15026" spans="1:15" x14ac:dyDescent="0.25">
      <c r="A15026" t="s">
        <v>15039</v>
      </c>
      <c r="B15026">
        <v>268</v>
      </c>
      <c r="C15026" s="1" t="str">
        <f>HYPERLINK("http://www.rosaceae.org/gb/gbrowse/malus_x_domestica/?name=MDP0000753736","MDP0000753736")</f>
        <v>MDP0000753736</v>
      </c>
      <c r="D15026">
        <v>59.24</v>
      </c>
      <c r="E15026">
        <v>265</v>
      </c>
      <c r="F15026">
        <v>108</v>
      </c>
      <c r="G15026">
        <v>40</v>
      </c>
      <c r="H15026">
        <v>18</v>
      </c>
      <c r="I15026">
        <v>268</v>
      </c>
      <c r="J15026">
        <v>1</v>
      </c>
      <c r="K15026">
        <v>203</v>
      </c>
      <c r="L15026">
        <v>441</v>
      </c>
      <c r="M15026">
        <v>1</v>
      </c>
      <c r="N15026">
        <v>2.48267E-72</v>
      </c>
      <c r="O15026">
        <v>687</v>
      </c>
    </row>
    <row r="15027" spans="1:15" x14ac:dyDescent="0.25">
      <c r="A15027" t="s">
        <v>15040</v>
      </c>
      <c r="B15027">
        <v>89</v>
      </c>
      <c r="C15027" s="1" t="str">
        <f>HYPERLINK("http://www.rosaceae.org/gb/gbrowse/malus_x_domestica/?name=MDP0000322020","MDP0000322020")</f>
        <v>MDP0000322020</v>
      </c>
      <c r="D15027">
        <v>50.74</v>
      </c>
      <c r="E15027">
        <v>67</v>
      </c>
      <c r="F15027">
        <v>33</v>
      </c>
      <c r="G15027">
        <v>13</v>
      </c>
      <c r="H15027">
        <v>1</v>
      </c>
      <c r="I15027">
        <v>66</v>
      </c>
      <c r="J15027">
        <v>1</v>
      </c>
      <c r="K15027">
        <v>294</v>
      </c>
      <c r="L15027">
        <v>348</v>
      </c>
      <c r="M15027">
        <v>1</v>
      </c>
      <c r="N15027">
        <v>3.2380400000000001E-9</v>
      </c>
      <c r="O15027">
        <v>137</v>
      </c>
    </row>
    <row r="15028" spans="1:15" x14ac:dyDescent="0.25">
      <c r="A15028" t="s">
        <v>15041</v>
      </c>
      <c r="B15028">
        <v>185</v>
      </c>
      <c r="C15028" s="1" t="str">
        <f>HYPERLINK("http://www.rosaceae.org/gb/gbrowse/malus_x_domestica/?name=MDP0000157369","MDP0000157369")</f>
        <v>MDP0000157369</v>
      </c>
      <c r="D15028">
        <v>59.21</v>
      </c>
      <c r="E15028">
        <v>76</v>
      </c>
      <c r="F15028">
        <v>31</v>
      </c>
      <c r="G15028">
        <v>7</v>
      </c>
      <c r="H15028">
        <v>95</v>
      </c>
      <c r="I15028">
        <v>170</v>
      </c>
      <c r="J15028">
        <v>1</v>
      </c>
      <c r="K15028">
        <v>1</v>
      </c>
      <c r="L15028">
        <v>69</v>
      </c>
      <c r="M15028">
        <v>1</v>
      </c>
      <c r="N15028">
        <v>3.2166999999999998E-17</v>
      </c>
      <c r="O15028">
        <v>210</v>
      </c>
    </row>
    <row r="15029" spans="1:15" x14ac:dyDescent="0.25">
      <c r="A15029" t="s">
        <v>15042</v>
      </c>
      <c r="B15029">
        <v>154</v>
      </c>
      <c r="C15029" s="1" t="str">
        <f>HYPERLINK("http://www.rosaceae.org/gb/gbrowse/malus_x_domestica/?name=MDP0000295586","MDP0000295586")</f>
        <v>MDP0000295586</v>
      </c>
      <c r="D15029">
        <v>67.64</v>
      </c>
      <c r="E15029">
        <v>136</v>
      </c>
      <c r="F15029">
        <v>44</v>
      </c>
      <c r="G15029">
        <v>2</v>
      </c>
      <c r="H15029">
        <v>17</v>
      </c>
      <c r="I15029">
        <v>152</v>
      </c>
      <c r="J15029">
        <v>1</v>
      </c>
      <c r="K15029">
        <v>17</v>
      </c>
      <c r="L15029">
        <v>150</v>
      </c>
      <c r="M15029">
        <v>1</v>
      </c>
      <c r="N15029">
        <v>2.1878399999999999E-50</v>
      </c>
      <c r="O15029">
        <v>494</v>
      </c>
    </row>
    <row r="15030" spans="1:15" x14ac:dyDescent="0.25">
      <c r="A15030" t="s">
        <v>15043</v>
      </c>
      <c r="B15030">
        <v>375</v>
      </c>
      <c r="C15030" s="1" t="str">
        <f>HYPERLINK("http://www.rosaceae.org/gb/gbrowse/malus_x_domestica/?name=MDP0000247921","MDP0000247921")</f>
        <v>MDP0000247921</v>
      </c>
      <c r="D15030">
        <v>23.8</v>
      </c>
      <c r="E15030">
        <v>315</v>
      </c>
      <c r="F15030">
        <v>240</v>
      </c>
      <c r="G15030">
        <v>75</v>
      </c>
      <c r="H15030">
        <v>8</v>
      </c>
      <c r="I15030">
        <v>249</v>
      </c>
      <c r="J15030">
        <v>1</v>
      </c>
      <c r="K15030">
        <v>696</v>
      </c>
      <c r="L15030">
        <v>1008</v>
      </c>
      <c r="M15030">
        <v>1</v>
      </c>
      <c r="N15030">
        <v>1.1710699999999999E-15</v>
      </c>
      <c r="O15030">
        <v>200</v>
      </c>
    </row>
    <row r="15031" spans="1:15" x14ac:dyDescent="0.25">
      <c r="A15031" t="s">
        <v>15044</v>
      </c>
      <c r="B15031">
        <v>335</v>
      </c>
      <c r="C15031" s="1" t="str">
        <f>HYPERLINK("http://www.rosaceae.org/gb/gbrowse/malus_x_domestica/?name=MDP0000431419","MDP0000431419")</f>
        <v>MDP0000431419</v>
      </c>
      <c r="D15031">
        <v>87.71</v>
      </c>
      <c r="E15031">
        <v>57</v>
      </c>
      <c r="F15031">
        <v>7</v>
      </c>
      <c r="G15031">
        <v>4</v>
      </c>
      <c r="H15031">
        <v>73</v>
      </c>
      <c r="I15031">
        <v>125</v>
      </c>
      <c r="J15031">
        <v>1</v>
      </c>
      <c r="K15031">
        <v>155</v>
      </c>
      <c r="L15031">
        <v>211</v>
      </c>
      <c r="M15031">
        <v>1</v>
      </c>
      <c r="N15031">
        <v>4.2141799999999998E-23</v>
      </c>
      <c r="O15031">
        <v>264</v>
      </c>
    </row>
    <row r="15032" spans="1:15" x14ac:dyDescent="0.25">
      <c r="A15032" t="s">
        <v>15045</v>
      </c>
      <c r="B15032">
        <v>932</v>
      </c>
      <c r="C15032" s="1" t="str">
        <f>HYPERLINK("http://www.rosaceae.org/gb/gbrowse/malus_x_domestica/?name=MDP0000248514","MDP0000248514")</f>
        <v>MDP0000248514</v>
      </c>
      <c r="D15032">
        <v>57.4</v>
      </c>
      <c r="E15032">
        <v>270</v>
      </c>
      <c r="F15032">
        <v>115</v>
      </c>
      <c r="G15032">
        <v>12</v>
      </c>
      <c r="H15032">
        <v>172</v>
      </c>
      <c r="I15032">
        <v>435</v>
      </c>
      <c r="J15032">
        <v>1</v>
      </c>
      <c r="K15032">
        <v>427</v>
      </c>
      <c r="L15032">
        <v>690</v>
      </c>
      <c r="M15032">
        <v>1</v>
      </c>
      <c r="N15032">
        <v>3.30381E-74</v>
      </c>
      <c r="O15032">
        <v>709</v>
      </c>
    </row>
    <row r="15033" spans="1:15" x14ac:dyDescent="0.25">
      <c r="A15033" t="s">
        <v>15046</v>
      </c>
      <c r="B15033">
        <v>338</v>
      </c>
      <c r="C15033" s="1" t="str">
        <f>HYPERLINK("http://www.rosaceae.org/gb/gbrowse/malus_x_domestica/?name=MDP0000232988","MDP0000232988")</f>
        <v>MDP0000232988</v>
      </c>
      <c r="D15033">
        <v>71.62</v>
      </c>
      <c r="E15033">
        <v>363</v>
      </c>
      <c r="F15033">
        <v>103</v>
      </c>
      <c r="G15033">
        <v>48</v>
      </c>
      <c r="H15033">
        <v>1</v>
      </c>
      <c r="I15033">
        <v>338</v>
      </c>
      <c r="J15033">
        <v>1</v>
      </c>
      <c r="K15033">
        <v>41</v>
      </c>
      <c r="L15033">
        <v>380</v>
      </c>
      <c r="M15033">
        <v>1</v>
      </c>
      <c r="N15033">
        <v>1.5893900000000001E-150</v>
      </c>
      <c r="O15033">
        <v>1363</v>
      </c>
    </row>
    <row r="15034" spans="1:15" x14ac:dyDescent="0.25">
      <c r="A15034" t="s">
        <v>15047</v>
      </c>
      <c r="B15034">
        <v>258</v>
      </c>
      <c r="C15034" s="1" t="str">
        <f>HYPERLINK("http://www.rosaceae.org/gb/gbrowse/malus_x_domestica/?name=MDP0000183910","MDP0000183910")</f>
        <v>MDP0000183910</v>
      </c>
      <c r="D15034">
        <v>66.38</v>
      </c>
      <c r="E15034">
        <v>235</v>
      </c>
      <c r="F15034">
        <v>79</v>
      </c>
      <c r="G15034">
        <v>0</v>
      </c>
      <c r="H15034">
        <v>23</v>
      </c>
      <c r="I15034">
        <v>257</v>
      </c>
      <c r="J15034">
        <v>1</v>
      </c>
      <c r="K15034">
        <v>1</v>
      </c>
      <c r="L15034">
        <v>235</v>
      </c>
      <c r="M15034">
        <v>1</v>
      </c>
      <c r="N15034">
        <v>8.3361900000000004E-89</v>
      </c>
      <c r="O15034">
        <v>829</v>
      </c>
    </row>
    <row r="15035" spans="1:15" x14ac:dyDescent="0.25">
      <c r="A15035" t="s">
        <v>15048</v>
      </c>
      <c r="B15035">
        <v>431</v>
      </c>
      <c r="C15035" s="1" t="str">
        <f>HYPERLINK("http://www.rosaceae.org/gb/gbrowse/malus_x_domestica/?name=MDP0000129763","MDP0000129763")</f>
        <v>MDP0000129763</v>
      </c>
      <c r="D15035">
        <v>64.63</v>
      </c>
      <c r="E15035">
        <v>444</v>
      </c>
      <c r="F15035">
        <v>157</v>
      </c>
      <c r="G15035">
        <v>21</v>
      </c>
      <c r="H15035">
        <v>4</v>
      </c>
      <c r="I15035">
        <v>427</v>
      </c>
      <c r="J15035">
        <v>1</v>
      </c>
      <c r="K15035">
        <v>5</v>
      </c>
      <c r="L15035">
        <v>447</v>
      </c>
      <c r="M15035">
        <v>1</v>
      </c>
      <c r="N15035">
        <v>8.8697699999999999E-162</v>
      </c>
      <c r="O15035">
        <v>1461</v>
      </c>
    </row>
    <row r="15036" spans="1:15" x14ac:dyDescent="0.25">
      <c r="A15036" t="s">
        <v>15049</v>
      </c>
      <c r="B15036">
        <v>491</v>
      </c>
      <c r="C15036" s="1" t="str">
        <f>HYPERLINK("http://www.rosaceae.org/gb/gbrowse/malus_x_domestica/?name=MDP0000203790","MDP0000203790")</f>
        <v>MDP0000203790</v>
      </c>
      <c r="D15036">
        <v>39.21</v>
      </c>
      <c r="E15036">
        <v>487</v>
      </c>
      <c r="F15036">
        <v>296</v>
      </c>
      <c r="G15036">
        <v>107</v>
      </c>
      <c r="H15036">
        <v>29</v>
      </c>
      <c r="I15036">
        <v>485</v>
      </c>
      <c r="J15036">
        <v>1</v>
      </c>
      <c r="K15036">
        <v>22</v>
      </c>
      <c r="L15036">
        <v>431</v>
      </c>
      <c r="M15036">
        <v>1</v>
      </c>
      <c r="N15036">
        <v>1.3705000000000001E-86</v>
      </c>
      <c r="O15036">
        <v>813</v>
      </c>
    </row>
    <row r="15037" spans="1:15" x14ac:dyDescent="0.25">
      <c r="A15037" t="s">
        <v>15050</v>
      </c>
      <c r="B15037">
        <v>232</v>
      </c>
      <c r="C15037" s="1" t="str">
        <f>HYPERLINK("http://www.rosaceae.org/gb/gbrowse/malus_x_domestica/?name=MDP0000170826","MDP0000170826")</f>
        <v>MDP0000170826</v>
      </c>
      <c r="D15037">
        <v>57.56</v>
      </c>
      <c r="E15037">
        <v>238</v>
      </c>
      <c r="F15037">
        <v>101</v>
      </c>
      <c r="G15037">
        <v>14</v>
      </c>
      <c r="H15037">
        <v>1</v>
      </c>
      <c r="I15037">
        <v>232</v>
      </c>
      <c r="J15037">
        <v>1</v>
      </c>
      <c r="K15037">
        <v>18</v>
      </c>
      <c r="L15037">
        <v>247</v>
      </c>
      <c r="M15037">
        <v>1</v>
      </c>
      <c r="N15037">
        <v>1.53952E-63</v>
      </c>
      <c r="O15037">
        <v>610</v>
      </c>
    </row>
    <row r="15038" spans="1:15" x14ac:dyDescent="0.25">
      <c r="A15038" t="s">
        <v>15051</v>
      </c>
      <c r="B15038">
        <v>1267</v>
      </c>
      <c r="C15038" s="1" t="str">
        <f>HYPERLINK("http://www.rosaceae.org/gb/gbrowse/malus_x_domestica/?name=MDP0000315705","MDP0000315705")</f>
        <v>MDP0000315705</v>
      </c>
      <c r="D15038">
        <v>51.71</v>
      </c>
      <c r="E15038">
        <v>1284</v>
      </c>
      <c r="F15038">
        <v>620</v>
      </c>
      <c r="G15038">
        <v>103</v>
      </c>
      <c r="H15038">
        <v>43</v>
      </c>
      <c r="I15038">
        <v>1254</v>
      </c>
      <c r="J15038">
        <v>1</v>
      </c>
      <c r="K15038">
        <v>59</v>
      </c>
      <c r="L15038">
        <v>1311</v>
      </c>
      <c r="M15038">
        <v>1</v>
      </c>
      <c r="N15038">
        <v>0</v>
      </c>
      <c r="O15038">
        <v>2703</v>
      </c>
    </row>
    <row r="15039" spans="1:15" x14ac:dyDescent="0.25">
      <c r="A15039" t="s">
        <v>15052</v>
      </c>
      <c r="B15039">
        <v>531</v>
      </c>
      <c r="C15039" s="1" t="str">
        <f>HYPERLINK("http://www.rosaceae.org/gb/gbrowse/malus_x_domestica/?name=MDP0000308680","MDP0000308680")</f>
        <v>MDP0000308680</v>
      </c>
      <c r="D15039">
        <v>44.62</v>
      </c>
      <c r="E15039">
        <v>121</v>
      </c>
      <c r="F15039">
        <v>67</v>
      </c>
      <c r="G15039">
        <v>1</v>
      </c>
      <c r="H15039">
        <v>115</v>
      </c>
      <c r="I15039">
        <v>235</v>
      </c>
      <c r="J15039">
        <v>1</v>
      </c>
      <c r="K15039">
        <v>153</v>
      </c>
      <c r="L15039">
        <v>272</v>
      </c>
      <c r="M15039">
        <v>1</v>
      </c>
      <c r="N15039">
        <v>7.0539699999999996E-22</v>
      </c>
      <c r="O15039">
        <v>255</v>
      </c>
    </row>
    <row r="15040" spans="1:15" x14ac:dyDescent="0.25">
      <c r="A15040" t="s">
        <v>15053</v>
      </c>
      <c r="B15040">
        <v>984</v>
      </c>
      <c r="C15040" s="1" t="str">
        <f>HYPERLINK("http://www.rosaceae.org/gb/gbrowse/malus_x_domestica/?name=MDP0000554525","MDP0000554525")</f>
        <v>MDP0000554525</v>
      </c>
      <c r="D15040">
        <v>90.42</v>
      </c>
      <c r="E15040">
        <v>470</v>
      </c>
      <c r="F15040">
        <v>45</v>
      </c>
      <c r="G15040">
        <v>6</v>
      </c>
      <c r="H15040">
        <v>1</v>
      </c>
      <c r="I15040">
        <v>467</v>
      </c>
      <c r="J15040">
        <v>1</v>
      </c>
      <c r="K15040">
        <v>1</v>
      </c>
      <c r="L15040">
        <v>467</v>
      </c>
      <c r="M15040">
        <v>1</v>
      </c>
      <c r="N15040">
        <v>0</v>
      </c>
      <c r="O15040">
        <v>2280</v>
      </c>
    </row>
    <row r="15041" spans="1:15" x14ac:dyDescent="0.25">
      <c r="A15041" t="s">
        <v>15054</v>
      </c>
      <c r="B15041">
        <v>499</v>
      </c>
      <c r="C15041" s="1" t="str">
        <f>HYPERLINK("http://www.rosaceae.org/gb/gbrowse/malus_x_domestica/?name=MDP0000652692","MDP0000652692")</f>
        <v>MDP0000652692</v>
      </c>
      <c r="D15041">
        <v>94.73</v>
      </c>
      <c r="E15041">
        <v>380</v>
      </c>
      <c r="F15041">
        <v>20</v>
      </c>
      <c r="G15041">
        <v>3</v>
      </c>
      <c r="H15041">
        <v>1</v>
      </c>
      <c r="I15041">
        <v>380</v>
      </c>
      <c r="J15041">
        <v>1</v>
      </c>
      <c r="K15041">
        <v>1</v>
      </c>
      <c r="L15041">
        <v>377</v>
      </c>
      <c r="M15041">
        <v>1</v>
      </c>
      <c r="N15041">
        <v>0</v>
      </c>
      <c r="O15041">
        <v>1911</v>
      </c>
    </row>
    <row r="15042" spans="1:15" x14ac:dyDescent="0.25">
      <c r="A15042" t="s">
        <v>15055</v>
      </c>
      <c r="B15042">
        <v>225</v>
      </c>
      <c r="C15042" s="1" t="str">
        <f>HYPERLINK("http://www.rosaceae.org/gb/gbrowse/malus_x_domestica/?name=MDP0000251651","MDP0000251651")</f>
        <v>MDP0000251651</v>
      </c>
      <c r="D15042">
        <v>41.77</v>
      </c>
      <c r="E15042">
        <v>79</v>
      </c>
      <c r="F15042">
        <v>46</v>
      </c>
      <c r="G15042">
        <v>1</v>
      </c>
      <c r="H15042">
        <v>6</v>
      </c>
      <c r="I15042">
        <v>84</v>
      </c>
      <c r="J15042">
        <v>1</v>
      </c>
      <c r="K15042">
        <v>221</v>
      </c>
      <c r="L15042">
        <v>298</v>
      </c>
      <c r="M15042">
        <v>1</v>
      </c>
      <c r="N15042">
        <v>3.21378E-13</v>
      </c>
      <c r="O15042">
        <v>176</v>
      </c>
    </row>
    <row r="15043" spans="1:15" x14ac:dyDescent="0.25">
      <c r="A15043" t="s">
        <v>15056</v>
      </c>
      <c r="B15043">
        <v>639</v>
      </c>
      <c r="C15043" s="1" t="str">
        <f>HYPERLINK("http://www.rosaceae.org/gb/gbrowse/malus_x_domestica/?name=MDP0000264165","MDP0000264165")</f>
        <v>MDP0000264165</v>
      </c>
      <c r="D15043">
        <v>44.29</v>
      </c>
      <c r="E15043">
        <v>614</v>
      </c>
      <c r="F15043">
        <v>342</v>
      </c>
      <c r="G15043">
        <v>108</v>
      </c>
      <c r="H15043">
        <v>19</v>
      </c>
      <c r="I15043">
        <v>552</v>
      </c>
      <c r="J15043">
        <v>1</v>
      </c>
      <c r="K15043">
        <v>24</v>
      </c>
      <c r="L15043">
        <v>609</v>
      </c>
      <c r="M15043">
        <v>1</v>
      </c>
      <c r="N15043">
        <v>7.3208500000000001E-121</v>
      </c>
      <c r="O15043">
        <v>1110</v>
      </c>
    </row>
    <row r="15044" spans="1:15" x14ac:dyDescent="0.25">
      <c r="A15044" t="s">
        <v>15057</v>
      </c>
      <c r="B15044">
        <v>506</v>
      </c>
      <c r="C15044" s="1" t="str">
        <f>HYPERLINK("http://www.rosaceae.org/gb/gbrowse/malus_x_domestica/?name=MDP0000155544","MDP0000155544")</f>
        <v>MDP0000155544</v>
      </c>
      <c r="D15044">
        <v>42.44</v>
      </c>
      <c r="E15044">
        <v>311</v>
      </c>
      <c r="F15044">
        <v>179</v>
      </c>
      <c r="G15044">
        <v>7</v>
      </c>
      <c r="H15044">
        <v>182</v>
      </c>
      <c r="I15044">
        <v>491</v>
      </c>
      <c r="J15044">
        <v>1</v>
      </c>
      <c r="K15044">
        <v>53</v>
      </c>
      <c r="L15044">
        <v>357</v>
      </c>
      <c r="M15044">
        <v>1</v>
      </c>
      <c r="N15044">
        <v>6.9571599999999998E-61</v>
      </c>
      <c r="O15044">
        <v>592</v>
      </c>
    </row>
    <row r="15045" spans="1:15" x14ac:dyDescent="0.25">
      <c r="A15045" t="s">
        <v>15058</v>
      </c>
      <c r="B15045">
        <v>494</v>
      </c>
      <c r="C15045" s="1" t="str">
        <f>HYPERLINK("http://www.rosaceae.org/gb/gbrowse/malus_x_domestica/?name=MDP0000148314","MDP0000148314")</f>
        <v>MDP0000148314</v>
      </c>
      <c r="D15045">
        <v>67.25</v>
      </c>
      <c r="E15045">
        <v>455</v>
      </c>
      <c r="F15045">
        <v>149</v>
      </c>
      <c r="G15045">
        <v>6</v>
      </c>
      <c r="H15045">
        <v>43</v>
      </c>
      <c r="I15045">
        <v>494</v>
      </c>
      <c r="J15045">
        <v>1</v>
      </c>
      <c r="K15045">
        <v>1</v>
      </c>
      <c r="L15045">
        <v>452</v>
      </c>
      <c r="M15045">
        <v>1</v>
      </c>
      <c r="N15045">
        <v>0</v>
      </c>
      <c r="O15045">
        <v>1644</v>
      </c>
    </row>
    <row r="15046" spans="1:15" x14ac:dyDescent="0.25">
      <c r="A15046" t="s">
        <v>15059</v>
      </c>
      <c r="B15046">
        <v>518</v>
      </c>
      <c r="C15046" s="1" t="str">
        <f>HYPERLINK("http://www.rosaceae.org/gb/gbrowse/malus_x_domestica/?name=MDP0000319015","MDP0000319015")</f>
        <v>MDP0000319015</v>
      </c>
      <c r="D15046">
        <v>82.38</v>
      </c>
      <c r="E15046">
        <v>511</v>
      </c>
      <c r="F15046">
        <v>90</v>
      </c>
      <c r="G15046">
        <v>1</v>
      </c>
      <c r="H15046">
        <v>1</v>
      </c>
      <c r="I15046">
        <v>511</v>
      </c>
      <c r="J15046">
        <v>1</v>
      </c>
      <c r="K15046">
        <v>396</v>
      </c>
      <c r="L15046">
        <v>905</v>
      </c>
      <c r="M15046">
        <v>1</v>
      </c>
      <c r="N15046">
        <v>0</v>
      </c>
      <c r="O15046">
        <v>2281</v>
      </c>
    </row>
    <row r="15047" spans="1:15" x14ac:dyDescent="0.25">
      <c r="A15047" t="s">
        <v>15060</v>
      </c>
      <c r="B15047">
        <v>339</v>
      </c>
      <c r="C15047" s="1" t="str">
        <f>HYPERLINK("http://www.rosaceae.org/gb/gbrowse/malus_x_domestica/?name=MDP0000289651","MDP0000289651")</f>
        <v>MDP0000289651</v>
      </c>
      <c r="D15047">
        <v>75.069999999999993</v>
      </c>
      <c r="E15047">
        <v>353</v>
      </c>
      <c r="F15047">
        <v>88</v>
      </c>
      <c r="G15047">
        <v>21</v>
      </c>
      <c r="H15047">
        <v>1</v>
      </c>
      <c r="I15047">
        <v>335</v>
      </c>
      <c r="J15047">
        <v>1</v>
      </c>
      <c r="K15047">
        <v>1</v>
      </c>
      <c r="L15047">
        <v>350</v>
      </c>
      <c r="M15047">
        <v>1</v>
      </c>
      <c r="N15047">
        <v>4.6858199999999999E-148</v>
      </c>
      <c r="O15047">
        <v>1341</v>
      </c>
    </row>
    <row r="15048" spans="1:15" x14ac:dyDescent="0.25">
      <c r="A15048" t="s">
        <v>15061</v>
      </c>
      <c r="B15048">
        <v>679</v>
      </c>
      <c r="C15048" s="1" t="str">
        <f>HYPERLINK("http://www.rosaceae.org/gb/gbrowse/malus_x_domestica/?name=MDP0000010811","MDP0000010811")</f>
        <v>MDP0000010811</v>
      </c>
      <c r="D15048">
        <v>91.07</v>
      </c>
      <c r="E15048">
        <v>695</v>
      </c>
      <c r="F15048">
        <v>62</v>
      </c>
      <c r="G15048">
        <v>19</v>
      </c>
      <c r="H15048">
        <v>1</v>
      </c>
      <c r="I15048">
        <v>678</v>
      </c>
      <c r="J15048">
        <v>1</v>
      </c>
      <c r="K15048">
        <v>1</v>
      </c>
      <c r="L15048">
        <v>693</v>
      </c>
      <c r="M15048">
        <v>1</v>
      </c>
      <c r="N15048">
        <v>0</v>
      </c>
      <c r="O15048">
        <v>3320</v>
      </c>
    </row>
    <row r="15049" spans="1:15" x14ac:dyDescent="0.25">
      <c r="A15049" t="s">
        <v>15062</v>
      </c>
      <c r="B15049">
        <v>330</v>
      </c>
      <c r="C15049" s="1" t="str">
        <f>HYPERLINK("http://www.rosaceae.org/gb/gbrowse/malus_x_domestica/?name=MDP0000296585","MDP0000296585")</f>
        <v>MDP0000296585</v>
      </c>
      <c r="D15049">
        <v>88.18</v>
      </c>
      <c r="E15049">
        <v>330</v>
      </c>
      <c r="F15049">
        <v>39</v>
      </c>
      <c r="G15049">
        <v>1</v>
      </c>
      <c r="H15049">
        <v>1</v>
      </c>
      <c r="I15049">
        <v>330</v>
      </c>
      <c r="J15049">
        <v>1</v>
      </c>
      <c r="K15049">
        <v>39</v>
      </c>
      <c r="L15049">
        <v>367</v>
      </c>
      <c r="M15049">
        <v>1</v>
      </c>
      <c r="N15049">
        <v>6.2445100000000003E-174</v>
      </c>
      <c r="O15049">
        <v>1564</v>
      </c>
    </row>
    <row r="15050" spans="1:15" x14ac:dyDescent="0.25">
      <c r="A15050" t="s">
        <v>15063</v>
      </c>
      <c r="B15050">
        <v>439</v>
      </c>
      <c r="C15050" s="1" t="str">
        <f>HYPERLINK("http://www.rosaceae.org/gb/gbrowse/malus_x_domestica/?name=MDP0000166913","MDP0000166913")</f>
        <v>MDP0000166913</v>
      </c>
      <c r="D15050">
        <v>64.52</v>
      </c>
      <c r="E15050">
        <v>389</v>
      </c>
      <c r="F15050">
        <v>138</v>
      </c>
      <c r="G15050">
        <v>18</v>
      </c>
      <c r="H15050">
        <v>2</v>
      </c>
      <c r="I15050">
        <v>381</v>
      </c>
      <c r="J15050">
        <v>1</v>
      </c>
      <c r="K15050">
        <v>166</v>
      </c>
      <c r="L15050">
        <v>545</v>
      </c>
      <c r="M15050">
        <v>1</v>
      </c>
      <c r="N15050">
        <v>3.88276E-131</v>
      </c>
      <c r="O15050">
        <v>1197</v>
      </c>
    </row>
    <row r="15051" spans="1:15" x14ac:dyDescent="0.25">
      <c r="A15051" t="s">
        <v>15064</v>
      </c>
      <c r="B15051">
        <v>200</v>
      </c>
      <c r="C15051" s="1" t="str">
        <f>HYPERLINK("http://www.rosaceae.org/gb/gbrowse/malus_x_domestica/?name=MDP0000798964","MDP0000798964")</f>
        <v>MDP0000798964</v>
      </c>
      <c r="D15051">
        <v>70.42</v>
      </c>
      <c r="E15051">
        <v>142</v>
      </c>
      <c r="F15051">
        <v>42</v>
      </c>
      <c r="G15051">
        <v>3</v>
      </c>
      <c r="H15051">
        <v>28</v>
      </c>
      <c r="I15051">
        <v>167</v>
      </c>
      <c r="J15051">
        <v>1</v>
      </c>
      <c r="K15051">
        <v>63</v>
      </c>
      <c r="L15051">
        <v>203</v>
      </c>
      <c r="M15051">
        <v>1</v>
      </c>
      <c r="N15051">
        <v>2.7232699999999999E-52</v>
      </c>
      <c r="O15051">
        <v>513</v>
      </c>
    </row>
    <row r="15052" spans="1:15" x14ac:dyDescent="0.25">
      <c r="A15052" t="s">
        <v>15065</v>
      </c>
      <c r="B15052">
        <v>173</v>
      </c>
      <c r="C15052" s="1" t="str">
        <f>HYPERLINK("http://www.rosaceae.org/gb/gbrowse/malus_x_domestica/?name=MDP0000151714","MDP0000151714")</f>
        <v>MDP0000151714</v>
      </c>
      <c r="D15052">
        <v>57.5</v>
      </c>
      <c r="E15052">
        <v>80</v>
      </c>
      <c r="F15052">
        <v>34</v>
      </c>
      <c r="G15052">
        <v>11</v>
      </c>
      <c r="H15052">
        <v>8</v>
      </c>
      <c r="I15052">
        <v>77</v>
      </c>
      <c r="J15052">
        <v>1</v>
      </c>
      <c r="K15052">
        <v>25</v>
      </c>
      <c r="L15052">
        <v>103</v>
      </c>
      <c r="M15052">
        <v>1</v>
      </c>
      <c r="N15052">
        <v>1.17628E-17</v>
      </c>
      <c r="O15052">
        <v>213</v>
      </c>
    </row>
    <row r="15053" spans="1:15" x14ac:dyDescent="0.25">
      <c r="A15053" t="s">
        <v>15066</v>
      </c>
      <c r="B15053">
        <v>299</v>
      </c>
      <c r="C15053" s="1" t="str">
        <f>HYPERLINK("http://www.rosaceae.org/gb/gbrowse/malus_x_domestica/?name=MDP0000215991","MDP0000215991")</f>
        <v>MDP0000215991</v>
      </c>
      <c r="D15053">
        <v>46.55</v>
      </c>
      <c r="E15053">
        <v>58</v>
      </c>
      <c r="F15053">
        <v>31</v>
      </c>
      <c r="G15053">
        <v>4</v>
      </c>
      <c r="H15053">
        <v>171</v>
      </c>
      <c r="I15053">
        <v>226</v>
      </c>
      <c r="J15053">
        <v>1</v>
      </c>
      <c r="K15053">
        <v>504</v>
      </c>
      <c r="L15053">
        <v>559</v>
      </c>
      <c r="M15053">
        <v>1</v>
      </c>
      <c r="N15053">
        <v>8.3699400000000006E-9</v>
      </c>
      <c r="O15053">
        <v>140</v>
      </c>
    </row>
    <row r="15054" spans="1:15" x14ac:dyDescent="0.25">
      <c r="A15054" t="s">
        <v>15067</v>
      </c>
      <c r="B15054">
        <v>302</v>
      </c>
      <c r="C15054" s="1" t="str">
        <f>HYPERLINK("http://www.rosaceae.org/gb/gbrowse/malus_x_domestica/?name=MDP0000890854","MDP0000890854")</f>
        <v>MDP0000890854</v>
      </c>
      <c r="D15054">
        <v>35.590000000000003</v>
      </c>
      <c r="E15054">
        <v>309</v>
      </c>
      <c r="F15054">
        <v>199</v>
      </c>
      <c r="G15054">
        <v>58</v>
      </c>
      <c r="H15054">
        <v>9</v>
      </c>
      <c r="I15054">
        <v>297</v>
      </c>
      <c r="J15054">
        <v>1</v>
      </c>
      <c r="K15054">
        <v>6</v>
      </c>
      <c r="L15054">
        <v>276</v>
      </c>
      <c r="M15054">
        <v>1</v>
      </c>
      <c r="N15054">
        <v>1.3353599999999999E-32</v>
      </c>
      <c r="O15054">
        <v>345</v>
      </c>
    </row>
    <row r="15055" spans="1:15" x14ac:dyDescent="0.25">
      <c r="A15055" t="s">
        <v>15068</v>
      </c>
      <c r="B15055">
        <v>720</v>
      </c>
      <c r="C15055" s="1" t="str">
        <f>HYPERLINK("http://www.rosaceae.org/gb/gbrowse/malus_x_domestica/?name=MDP0000264448","MDP0000264448")</f>
        <v>MDP0000264448</v>
      </c>
      <c r="D15055">
        <v>54.05</v>
      </c>
      <c r="E15055">
        <v>579</v>
      </c>
      <c r="F15055">
        <v>266</v>
      </c>
      <c r="G15055">
        <v>87</v>
      </c>
      <c r="H15055">
        <v>1</v>
      </c>
      <c r="I15055">
        <v>499</v>
      </c>
      <c r="J15055">
        <v>1</v>
      </c>
      <c r="K15055">
        <v>1</v>
      </c>
      <c r="L15055">
        <v>572</v>
      </c>
      <c r="M15055">
        <v>1</v>
      </c>
      <c r="N15055">
        <v>3.1819099999999998E-158</v>
      </c>
      <c r="O15055">
        <v>1433</v>
      </c>
    </row>
    <row r="15056" spans="1:15" x14ac:dyDescent="0.25">
      <c r="A15056" t="s">
        <v>15069</v>
      </c>
      <c r="B15056">
        <v>1878</v>
      </c>
      <c r="C15056" s="1" t="str">
        <f>HYPERLINK("http://www.rosaceae.org/gb/gbrowse/malus_x_domestica/?name=MDP0000170215","MDP0000170215")</f>
        <v>MDP0000170215</v>
      </c>
      <c r="D15056">
        <v>57.74</v>
      </c>
      <c r="E15056">
        <v>620</v>
      </c>
      <c r="F15056">
        <v>262</v>
      </c>
      <c r="G15056">
        <v>31</v>
      </c>
      <c r="H15056">
        <v>736</v>
      </c>
      <c r="I15056">
        <v>1330</v>
      </c>
      <c r="J15056">
        <v>1</v>
      </c>
      <c r="K15056">
        <v>38</v>
      </c>
      <c r="L15056">
        <v>651</v>
      </c>
      <c r="M15056">
        <v>1</v>
      </c>
      <c r="N15056">
        <v>0</v>
      </c>
      <c r="O15056">
        <v>1825</v>
      </c>
    </row>
    <row r="15057" spans="1:15" x14ac:dyDescent="0.25">
      <c r="A15057" t="s">
        <v>15070</v>
      </c>
      <c r="B15057">
        <v>209</v>
      </c>
      <c r="C15057" s="1" t="str">
        <f>HYPERLINK("http://www.rosaceae.org/gb/gbrowse/malus_x_domestica/?name=MDP0000182259","MDP0000182259")</f>
        <v>MDP0000182259</v>
      </c>
      <c r="D15057">
        <v>74.66</v>
      </c>
      <c r="E15057">
        <v>75</v>
      </c>
      <c r="F15057">
        <v>19</v>
      </c>
      <c r="G15057">
        <v>1</v>
      </c>
      <c r="H15057">
        <v>1</v>
      </c>
      <c r="I15057">
        <v>74</v>
      </c>
      <c r="J15057">
        <v>1</v>
      </c>
      <c r="K15057">
        <v>1</v>
      </c>
      <c r="L15057">
        <v>75</v>
      </c>
      <c r="M15057">
        <v>1</v>
      </c>
      <c r="N15057">
        <v>2.7603199999999998E-23</v>
      </c>
      <c r="O15057">
        <v>263</v>
      </c>
    </row>
    <row r="15058" spans="1:15" x14ac:dyDescent="0.25">
      <c r="A15058" t="s">
        <v>15071</v>
      </c>
      <c r="B15058">
        <v>112</v>
      </c>
      <c r="C15058" s="1" t="str">
        <f>HYPERLINK("http://www.rosaceae.org/gb/gbrowse/malus_x_domestica/?name=MDP0000204279","MDP0000204279")</f>
        <v>MDP0000204279</v>
      </c>
      <c r="D15058">
        <v>81.19</v>
      </c>
      <c r="E15058">
        <v>117</v>
      </c>
      <c r="F15058">
        <v>22</v>
      </c>
      <c r="G15058">
        <v>5</v>
      </c>
      <c r="H15058">
        <v>1</v>
      </c>
      <c r="I15058">
        <v>112</v>
      </c>
      <c r="J15058">
        <v>1</v>
      </c>
      <c r="K15058">
        <v>412</v>
      </c>
      <c r="L15058">
        <v>528</v>
      </c>
      <c r="M15058">
        <v>1</v>
      </c>
      <c r="N15058">
        <v>9.5055899999999994E-48</v>
      </c>
      <c r="O15058">
        <v>469</v>
      </c>
    </row>
    <row r="15059" spans="1:15" x14ac:dyDescent="0.25">
      <c r="A15059" t="s">
        <v>15072</v>
      </c>
      <c r="B15059">
        <v>103</v>
      </c>
      <c r="C15059" s="1" t="str">
        <f>HYPERLINK("http://www.rosaceae.org/gb/gbrowse/malus_x_domestica/?name=MDP0000804707","MDP0000804707")</f>
        <v>MDP0000804707</v>
      </c>
      <c r="D15059">
        <v>70.88</v>
      </c>
      <c r="E15059">
        <v>79</v>
      </c>
      <c r="F15059">
        <v>23</v>
      </c>
      <c r="G15059">
        <v>1</v>
      </c>
      <c r="H15059">
        <v>1</v>
      </c>
      <c r="I15059">
        <v>78</v>
      </c>
      <c r="J15059">
        <v>1</v>
      </c>
      <c r="K15059">
        <v>209</v>
      </c>
      <c r="L15059">
        <v>287</v>
      </c>
      <c r="M15059">
        <v>1</v>
      </c>
      <c r="N15059">
        <v>4.72933E-22</v>
      </c>
      <c r="O15059">
        <v>248</v>
      </c>
    </row>
    <row r="15060" spans="1:15" x14ac:dyDescent="0.25">
      <c r="A15060" t="s">
        <v>15073</v>
      </c>
      <c r="B15060">
        <v>505</v>
      </c>
      <c r="C15060" s="1" t="str">
        <f>HYPERLINK("http://www.rosaceae.org/gb/gbrowse/malus_x_domestica/?name=MDP0000319788","MDP0000319788")</f>
        <v>MDP0000319788</v>
      </c>
      <c r="D15060">
        <v>67.89</v>
      </c>
      <c r="E15060">
        <v>489</v>
      </c>
      <c r="F15060">
        <v>157</v>
      </c>
      <c r="G15060">
        <v>25</v>
      </c>
      <c r="H15060">
        <v>24</v>
      </c>
      <c r="I15060">
        <v>504</v>
      </c>
      <c r="J15060">
        <v>1</v>
      </c>
      <c r="K15060">
        <v>67</v>
      </c>
      <c r="L15060">
        <v>538</v>
      </c>
      <c r="M15060">
        <v>1</v>
      </c>
      <c r="N15060">
        <v>0</v>
      </c>
      <c r="O15060">
        <v>1625</v>
      </c>
    </row>
    <row r="15061" spans="1:15" x14ac:dyDescent="0.25">
      <c r="A15061" t="s">
        <v>15074</v>
      </c>
      <c r="B15061">
        <v>257</v>
      </c>
      <c r="C15061" s="1" t="str">
        <f>HYPERLINK("http://www.rosaceae.org/gb/gbrowse/malus_x_domestica/?name=MDP0000257867","MDP0000257867")</f>
        <v>MDP0000257867</v>
      </c>
      <c r="D15061">
        <v>61.47</v>
      </c>
      <c r="E15061">
        <v>244</v>
      </c>
      <c r="F15061">
        <v>94</v>
      </c>
      <c r="G15061">
        <v>9</v>
      </c>
      <c r="H15061">
        <v>14</v>
      </c>
      <c r="I15061">
        <v>257</v>
      </c>
      <c r="J15061">
        <v>1</v>
      </c>
      <c r="K15061">
        <v>19</v>
      </c>
      <c r="L15061">
        <v>253</v>
      </c>
      <c r="M15061">
        <v>1</v>
      </c>
      <c r="N15061">
        <v>1.4642199999999999E-80</v>
      </c>
      <c r="O15061">
        <v>758</v>
      </c>
    </row>
    <row r="15062" spans="1:15" x14ac:dyDescent="0.25">
      <c r="A15062" t="s">
        <v>15075</v>
      </c>
      <c r="B15062">
        <v>412</v>
      </c>
      <c r="C15062" s="1" t="str">
        <f>HYPERLINK("http://www.rosaceae.org/gb/gbrowse/malus_x_domestica/?name=MDP0000291710","MDP0000291710")</f>
        <v>MDP0000291710</v>
      </c>
      <c r="D15062">
        <v>26.77</v>
      </c>
      <c r="E15062">
        <v>239</v>
      </c>
      <c r="F15062">
        <v>175</v>
      </c>
      <c r="G15062">
        <v>36</v>
      </c>
      <c r="H15062">
        <v>16</v>
      </c>
      <c r="I15062">
        <v>224</v>
      </c>
      <c r="J15062">
        <v>1</v>
      </c>
      <c r="K15062">
        <v>104</v>
      </c>
      <c r="L15062">
        <v>336</v>
      </c>
      <c r="M15062">
        <v>1</v>
      </c>
      <c r="N15062">
        <v>9.9565900000000007E-16</v>
      </c>
      <c r="O15062">
        <v>201</v>
      </c>
    </row>
    <row r="15063" spans="1:15" x14ac:dyDescent="0.25">
      <c r="A15063" t="s">
        <v>15076</v>
      </c>
      <c r="B15063">
        <v>846</v>
      </c>
      <c r="C15063" s="1" t="str">
        <f>HYPERLINK("http://www.rosaceae.org/gb/gbrowse/malus_x_domestica/?name=MDP0000284310","MDP0000284310")</f>
        <v>MDP0000284310</v>
      </c>
      <c r="D15063">
        <v>59.03</v>
      </c>
      <c r="E15063">
        <v>537</v>
      </c>
      <c r="F15063">
        <v>220</v>
      </c>
      <c r="G15063">
        <v>16</v>
      </c>
      <c r="H15063">
        <v>60</v>
      </c>
      <c r="I15063">
        <v>593</v>
      </c>
      <c r="J15063">
        <v>1</v>
      </c>
      <c r="K15063">
        <v>36</v>
      </c>
      <c r="L15063">
        <v>559</v>
      </c>
      <c r="M15063">
        <v>1</v>
      </c>
      <c r="N15063">
        <v>2.63495E-173</v>
      </c>
      <c r="O15063">
        <v>1563</v>
      </c>
    </row>
    <row r="15064" spans="1:15" x14ac:dyDescent="0.25">
      <c r="A15064" t="s">
        <v>15077</v>
      </c>
      <c r="B15064">
        <v>284</v>
      </c>
      <c r="C15064" s="1" t="str">
        <f>HYPERLINK("http://www.rosaceae.org/gb/gbrowse/malus_x_domestica/?name=MDP0000245809","MDP0000245809")</f>
        <v>MDP0000245809</v>
      </c>
      <c r="D15064">
        <v>73.260000000000005</v>
      </c>
      <c r="E15064">
        <v>288</v>
      </c>
      <c r="F15064">
        <v>77</v>
      </c>
      <c r="G15064">
        <v>4</v>
      </c>
      <c r="H15064">
        <v>1</v>
      </c>
      <c r="I15064">
        <v>284</v>
      </c>
      <c r="J15064">
        <v>1</v>
      </c>
      <c r="K15064">
        <v>1</v>
      </c>
      <c r="L15064">
        <v>288</v>
      </c>
      <c r="M15064">
        <v>1</v>
      </c>
      <c r="N15064">
        <v>5.5700499999999999E-106</v>
      </c>
      <c r="O15064">
        <v>978</v>
      </c>
    </row>
    <row r="15065" spans="1:15" x14ac:dyDescent="0.25">
      <c r="A15065" t="s">
        <v>15078</v>
      </c>
      <c r="B15065">
        <v>472</v>
      </c>
      <c r="C15065" s="1" t="str">
        <f>HYPERLINK("http://www.rosaceae.org/gb/gbrowse/malus_x_domestica/?name=MDP0000804900","MDP0000804900")</f>
        <v>MDP0000804900</v>
      </c>
      <c r="D15065">
        <v>74.27</v>
      </c>
      <c r="E15065">
        <v>311</v>
      </c>
      <c r="F15065">
        <v>80</v>
      </c>
      <c r="G15065">
        <v>3</v>
      </c>
      <c r="H15065">
        <v>163</v>
      </c>
      <c r="I15065">
        <v>472</v>
      </c>
      <c r="J15065">
        <v>1</v>
      </c>
      <c r="K15065">
        <v>3</v>
      </c>
      <c r="L15065">
        <v>311</v>
      </c>
      <c r="M15065">
        <v>1</v>
      </c>
      <c r="N15065">
        <v>9.7491200000000009E-137</v>
      </c>
      <c r="O15065">
        <v>1245</v>
      </c>
    </row>
    <row r="15066" spans="1:15" x14ac:dyDescent="0.25">
      <c r="A15066" t="s">
        <v>15079</v>
      </c>
      <c r="B15066">
        <v>404</v>
      </c>
      <c r="C15066" s="1" t="str">
        <f>HYPERLINK("http://www.rosaceae.org/gb/gbrowse/malus_x_domestica/?name=MDP0000681158","MDP0000681158")</f>
        <v>MDP0000681158</v>
      </c>
      <c r="D15066">
        <v>41.51</v>
      </c>
      <c r="E15066">
        <v>330</v>
      </c>
      <c r="F15066">
        <v>193</v>
      </c>
      <c r="G15066">
        <v>14</v>
      </c>
      <c r="H15066">
        <v>84</v>
      </c>
      <c r="I15066">
        <v>400</v>
      </c>
      <c r="J15066">
        <v>1</v>
      </c>
      <c r="K15066">
        <v>50</v>
      </c>
      <c r="L15066">
        <v>378</v>
      </c>
      <c r="M15066">
        <v>1</v>
      </c>
      <c r="N15066">
        <v>1.7301900000000001E-61</v>
      </c>
      <c r="O15066">
        <v>596</v>
      </c>
    </row>
    <row r="15067" spans="1:15" x14ac:dyDescent="0.25">
      <c r="A15067" t="s">
        <v>15080</v>
      </c>
      <c r="B15067">
        <v>151</v>
      </c>
      <c r="C15067" s="1" t="str">
        <f>HYPERLINK("http://www.rosaceae.org/gb/gbrowse/malus_x_domestica/?name=MDP0000240772","MDP0000240772")</f>
        <v>MDP0000240772</v>
      </c>
      <c r="D15067">
        <v>53.42</v>
      </c>
      <c r="E15067">
        <v>146</v>
      </c>
      <c r="F15067">
        <v>68</v>
      </c>
      <c r="G15067">
        <v>32</v>
      </c>
      <c r="H15067">
        <v>1</v>
      </c>
      <c r="I15067">
        <v>115</v>
      </c>
      <c r="J15067">
        <v>1</v>
      </c>
      <c r="K15067">
        <v>406</v>
      </c>
      <c r="L15067">
        <v>550</v>
      </c>
      <c r="M15067">
        <v>1</v>
      </c>
      <c r="N15067">
        <v>1.15935E-33</v>
      </c>
      <c r="O15067">
        <v>350</v>
      </c>
    </row>
    <row r="15068" spans="1:15" x14ac:dyDescent="0.25">
      <c r="A15068" t="s">
        <v>15081</v>
      </c>
      <c r="B15068">
        <v>907</v>
      </c>
      <c r="C15068" s="1" t="str">
        <f>HYPERLINK("http://www.rosaceae.org/gb/gbrowse/malus_x_domestica/?name=MDP0000142893","MDP0000142893")</f>
        <v>MDP0000142893</v>
      </c>
      <c r="D15068">
        <v>84.03</v>
      </c>
      <c r="E15068">
        <v>764</v>
      </c>
      <c r="F15068">
        <v>122</v>
      </c>
      <c r="G15068">
        <v>17</v>
      </c>
      <c r="H15068">
        <v>158</v>
      </c>
      <c r="I15068">
        <v>907</v>
      </c>
      <c r="J15068">
        <v>1</v>
      </c>
      <c r="K15068">
        <v>1</v>
      </c>
      <c r="L15068">
        <v>761</v>
      </c>
      <c r="M15068">
        <v>1</v>
      </c>
      <c r="N15068">
        <v>0</v>
      </c>
      <c r="O15068">
        <v>3379</v>
      </c>
    </row>
    <row r="15069" spans="1:15" x14ac:dyDescent="0.25">
      <c r="A15069" t="s">
        <v>15082</v>
      </c>
      <c r="B15069">
        <v>317</v>
      </c>
      <c r="C15069" s="1" t="str">
        <f>HYPERLINK("http://www.rosaceae.org/gb/gbrowse/malus_x_domestica/?name=MDP0000513431","MDP0000513431")</f>
        <v>MDP0000513431</v>
      </c>
      <c r="D15069">
        <v>48.97</v>
      </c>
      <c r="E15069">
        <v>245</v>
      </c>
      <c r="F15069">
        <v>125</v>
      </c>
      <c r="G15069">
        <v>18</v>
      </c>
      <c r="H15069">
        <v>88</v>
      </c>
      <c r="I15069">
        <v>315</v>
      </c>
      <c r="J15069">
        <v>1</v>
      </c>
      <c r="K15069">
        <v>14</v>
      </c>
      <c r="L15069">
        <v>257</v>
      </c>
      <c r="M15069">
        <v>1</v>
      </c>
      <c r="N15069">
        <v>1.2403500000000001E-48</v>
      </c>
      <c r="O15069">
        <v>484</v>
      </c>
    </row>
    <row r="15070" spans="1:15" x14ac:dyDescent="0.25">
      <c r="A15070" t="s">
        <v>15083</v>
      </c>
      <c r="B15070">
        <v>397</v>
      </c>
      <c r="C15070" s="1" t="str">
        <f>HYPERLINK("http://www.rosaceae.org/gb/gbrowse/malus_x_domestica/?name=MDP0000150425","MDP0000150425")</f>
        <v>MDP0000150425</v>
      </c>
      <c r="D15070">
        <v>80</v>
      </c>
      <c r="E15070">
        <v>30</v>
      </c>
      <c r="F15070">
        <v>6</v>
      </c>
      <c r="G15070">
        <v>0</v>
      </c>
      <c r="H15070">
        <v>83</v>
      </c>
      <c r="I15070">
        <v>112</v>
      </c>
      <c r="J15070">
        <v>1</v>
      </c>
      <c r="K15070">
        <v>533</v>
      </c>
      <c r="L15070">
        <v>562</v>
      </c>
      <c r="M15070">
        <v>1</v>
      </c>
      <c r="N15070">
        <v>9.8948200000000005E-8</v>
      </c>
      <c r="O15070">
        <v>132</v>
      </c>
    </row>
    <row r="15071" spans="1:15" x14ac:dyDescent="0.25">
      <c r="A15071" t="s">
        <v>15084</v>
      </c>
      <c r="B15071">
        <v>707</v>
      </c>
      <c r="C15071" s="1" t="str">
        <f>HYPERLINK("http://www.rosaceae.org/gb/gbrowse/malus_x_domestica/?name=MDP0000141450","MDP0000141450")</f>
        <v>MDP0000141450</v>
      </c>
      <c r="D15071">
        <v>71.39</v>
      </c>
      <c r="E15071">
        <v>769</v>
      </c>
      <c r="F15071">
        <v>220</v>
      </c>
      <c r="G15071">
        <v>107</v>
      </c>
      <c r="H15071">
        <v>1</v>
      </c>
      <c r="I15071">
        <v>707</v>
      </c>
      <c r="J15071">
        <v>1</v>
      </c>
      <c r="K15071">
        <v>1</v>
      </c>
      <c r="L15071">
        <v>724</v>
      </c>
      <c r="M15071">
        <v>1</v>
      </c>
      <c r="N15071">
        <v>0</v>
      </c>
      <c r="O15071">
        <v>2676</v>
      </c>
    </row>
    <row r="15072" spans="1:15" x14ac:dyDescent="0.25">
      <c r="A15072" t="s">
        <v>15085</v>
      </c>
      <c r="B15072">
        <v>437</v>
      </c>
      <c r="C15072" s="1" t="str">
        <f>HYPERLINK("http://www.rosaceae.org/gb/gbrowse/malus_x_domestica/?name=MDP0000215948","MDP0000215948")</f>
        <v>MDP0000215948</v>
      </c>
      <c r="D15072">
        <v>72.3</v>
      </c>
      <c r="E15072">
        <v>213</v>
      </c>
      <c r="F15072">
        <v>59</v>
      </c>
      <c r="G15072">
        <v>31</v>
      </c>
      <c r="H15072">
        <v>42</v>
      </c>
      <c r="I15072">
        <v>223</v>
      </c>
      <c r="J15072">
        <v>1</v>
      </c>
      <c r="K15072">
        <v>39</v>
      </c>
      <c r="L15072">
        <v>251</v>
      </c>
      <c r="M15072">
        <v>1</v>
      </c>
      <c r="N15072">
        <v>9.0116999999999997E-84</v>
      </c>
      <c r="O15072">
        <v>788</v>
      </c>
    </row>
    <row r="15073" spans="1:15" x14ac:dyDescent="0.25">
      <c r="A15073" t="s">
        <v>15086</v>
      </c>
      <c r="B15073">
        <v>618</v>
      </c>
      <c r="C15073" s="1" t="str">
        <f>HYPERLINK("http://www.rosaceae.org/gb/gbrowse/malus_x_domestica/?name=MDP0000147906","MDP0000147906")</f>
        <v>MDP0000147906</v>
      </c>
      <c r="D15073">
        <v>57.45</v>
      </c>
      <c r="E15073">
        <v>637</v>
      </c>
      <c r="F15073">
        <v>271</v>
      </c>
      <c r="G15073">
        <v>60</v>
      </c>
      <c r="H15073">
        <v>39</v>
      </c>
      <c r="I15073">
        <v>617</v>
      </c>
      <c r="J15073">
        <v>1</v>
      </c>
      <c r="K15073">
        <v>79</v>
      </c>
      <c r="L15073">
        <v>713</v>
      </c>
      <c r="M15073">
        <v>1</v>
      </c>
      <c r="N15073">
        <v>0</v>
      </c>
      <c r="O15073">
        <v>1772</v>
      </c>
    </row>
    <row r="15074" spans="1:15" x14ac:dyDescent="0.25">
      <c r="A15074" t="s">
        <v>15087</v>
      </c>
      <c r="B15074">
        <v>489</v>
      </c>
      <c r="C15074" s="1" t="str">
        <f>HYPERLINK("http://www.rosaceae.org/gb/gbrowse/malus_x_domestica/?name=MDP0000222416","MDP0000222416")</f>
        <v>MDP0000222416</v>
      </c>
      <c r="D15074">
        <v>33.119999999999997</v>
      </c>
      <c r="E15074">
        <v>160</v>
      </c>
      <c r="F15074">
        <v>107</v>
      </c>
      <c r="G15074">
        <v>23</v>
      </c>
      <c r="H15074">
        <v>274</v>
      </c>
      <c r="I15074">
        <v>428</v>
      </c>
      <c r="J15074">
        <v>1</v>
      </c>
      <c r="K15074">
        <v>1131</v>
      </c>
      <c r="L15074">
        <v>1272</v>
      </c>
      <c r="M15074">
        <v>1</v>
      </c>
      <c r="N15074">
        <v>6.6803000000000001E-15</v>
      </c>
      <c r="O15074">
        <v>195</v>
      </c>
    </row>
    <row r="15075" spans="1:15" x14ac:dyDescent="0.25">
      <c r="A15075" t="s">
        <v>15088</v>
      </c>
      <c r="B15075">
        <v>318</v>
      </c>
      <c r="C15075" s="1" t="str">
        <f>HYPERLINK("http://www.rosaceae.org/gb/gbrowse/malus_x_domestica/?name=MDP0000272542","MDP0000272542")</f>
        <v>MDP0000272542</v>
      </c>
      <c r="D15075">
        <v>69.23</v>
      </c>
      <c r="E15075">
        <v>325</v>
      </c>
      <c r="F15075">
        <v>100</v>
      </c>
      <c r="G15075">
        <v>25</v>
      </c>
      <c r="H15075">
        <v>1</v>
      </c>
      <c r="I15075">
        <v>318</v>
      </c>
      <c r="J15075">
        <v>1</v>
      </c>
      <c r="K15075">
        <v>568</v>
      </c>
      <c r="L15075">
        <v>874</v>
      </c>
      <c r="M15075">
        <v>1</v>
      </c>
      <c r="N15075">
        <v>1.2019400000000001E-115</v>
      </c>
      <c r="O15075">
        <v>1062</v>
      </c>
    </row>
    <row r="15076" spans="1:15" x14ac:dyDescent="0.25">
      <c r="A15076" t="s">
        <v>15089</v>
      </c>
      <c r="B15076">
        <v>376</v>
      </c>
      <c r="C15076" s="1" t="str">
        <f>HYPERLINK("http://www.rosaceae.org/gb/gbrowse/malus_x_domestica/?name=MDP0000119418","MDP0000119418")</f>
        <v>MDP0000119418</v>
      </c>
      <c r="D15076">
        <v>84.19</v>
      </c>
      <c r="E15076">
        <v>348</v>
      </c>
      <c r="F15076">
        <v>55</v>
      </c>
      <c r="G15076">
        <v>0</v>
      </c>
      <c r="H15076">
        <v>29</v>
      </c>
      <c r="I15076">
        <v>376</v>
      </c>
      <c r="J15076">
        <v>1</v>
      </c>
      <c r="K15076">
        <v>27</v>
      </c>
      <c r="L15076">
        <v>374</v>
      </c>
      <c r="M15076">
        <v>1</v>
      </c>
      <c r="N15076">
        <v>0</v>
      </c>
      <c r="O15076">
        <v>1626</v>
      </c>
    </row>
    <row r="15077" spans="1:15" x14ac:dyDescent="0.25">
      <c r="A15077" t="s">
        <v>15090</v>
      </c>
      <c r="B15077">
        <v>169</v>
      </c>
      <c r="C15077" s="1" t="str">
        <f>HYPERLINK("http://www.rosaceae.org/gb/gbrowse/malus_x_domestica/?name=MDP0000324718","MDP0000324718")</f>
        <v>MDP0000324718</v>
      </c>
      <c r="D15077">
        <v>64.77</v>
      </c>
      <c r="E15077">
        <v>88</v>
      </c>
      <c r="F15077">
        <v>31</v>
      </c>
      <c r="G15077">
        <v>9</v>
      </c>
      <c r="H15077">
        <v>10</v>
      </c>
      <c r="I15077">
        <v>96</v>
      </c>
      <c r="J15077">
        <v>1</v>
      </c>
      <c r="K15077">
        <v>42</v>
      </c>
      <c r="L15077">
        <v>121</v>
      </c>
      <c r="M15077">
        <v>1</v>
      </c>
      <c r="N15077">
        <v>2.4382800000000001E-24</v>
      </c>
      <c r="O15077">
        <v>270</v>
      </c>
    </row>
    <row r="15078" spans="1:15" x14ac:dyDescent="0.25">
      <c r="A15078" t="s">
        <v>15091</v>
      </c>
      <c r="B15078">
        <v>201</v>
      </c>
      <c r="C15078" s="1" t="str">
        <f>HYPERLINK("http://www.rosaceae.org/gb/gbrowse/malus_x_domestica/?name=MDP0000947338","MDP0000947338")</f>
        <v>MDP0000947338</v>
      </c>
      <c r="D15078">
        <v>67.319999999999993</v>
      </c>
      <c r="E15078">
        <v>202</v>
      </c>
      <c r="F15078">
        <v>66</v>
      </c>
      <c r="G15078">
        <v>1</v>
      </c>
      <c r="H15078">
        <v>1</v>
      </c>
      <c r="I15078">
        <v>201</v>
      </c>
      <c r="J15078">
        <v>1</v>
      </c>
      <c r="K15078">
        <v>1</v>
      </c>
      <c r="L15078">
        <v>202</v>
      </c>
      <c r="M15078">
        <v>1</v>
      </c>
      <c r="N15078">
        <v>2.0575700000000001E-74</v>
      </c>
      <c r="O15078">
        <v>703</v>
      </c>
    </row>
    <row r="15079" spans="1:15" x14ac:dyDescent="0.25">
      <c r="A15079" t="s">
        <v>15092</v>
      </c>
      <c r="B15079">
        <v>309</v>
      </c>
      <c r="C15079" s="1" t="str">
        <f>HYPERLINK("http://www.rosaceae.org/gb/gbrowse/malus_x_domestica/?name=MDP0000297723","MDP0000297723")</f>
        <v>MDP0000297723</v>
      </c>
      <c r="D15079">
        <v>39</v>
      </c>
      <c r="E15079">
        <v>323</v>
      </c>
      <c r="F15079">
        <v>197</v>
      </c>
      <c r="G15079">
        <v>49</v>
      </c>
      <c r="H15079">
        <v>8</v>
      </c>
      <c r="I15079">
        <v>296</v>
      </c>
      <c r="J15079">
        <v>1</v>
      </c>
      <c r="K15079">
        <v>252</v>
      </c>
      <c r="L15079">
        <v>559</v>
      </c>
      <c r="M15079">
        <v>1</v>
      </c>
      <c r="N15079">
        <v>1.66799E-46</v>
      </c>
      <c r="O15079">
        <v>465</v>
      </c>
    </row>
    <row r="15080" spans="1:15" x14ac:dyDescent="0.25">
      <c r="A15080" t="s">
        <v>15093</v>
      </c>
      <c r="B15080">
        <v>954</v>
      </c>
      <c r="C15080" s="1" t="str">
        <f>HYPERLINK("http://www.rosaceae.org/gb/gbrowse/malus_x_domestica/?name=MDP0000202781","MDP0000202781")</f>
        <v>MDP0000202781</v>
      </c>
      <c r="D15080">
        <v>64.14</v>
      </c>
      <c r="E15080">
        <v>792</v>
      </c>
      <c r="F15080">
        <v>284</v>
      </c>
      <c r="G15080">
        <v>21</v>
      </c>
      <c r="H15080">
        <v>20</v>
      </c>
      <c r="I15080">
        <v>797</v>
      </c>
      <c r="J15080">
        <v>1</v>
      </c>
      <c r="K15080">
        <v>29</v>
      </c>
      <c r="L15080">
        <v>813</v>
      </c>
      <c r="M15080">
        <v>1</v>
      </c>
      <c r="N15080">
        <v>0</v>
      </c>
      <c r="O15080">
        <v>2629</v>
      </c>
    </row>
    <row r="15081" spans="1:15" x14ac:dyDescent="0.25">
      <c r="A15081" t="s">
        <v>15094</v>
      </c>
      <c r="B15081">
        <v>494</v>
      </c>
      <c r="C15081" s="1" t="str">
        <f>HYPERLINK("http://www.rosaceae.org/gb/gbrowse/malus_x_domestica/?name=MDP0000769222","MDP0000769222")</f>
        <v>MDP0000769222</v>
      </c>
      <c r="D15081">
        <v>48.76</v>
      </c>
      <c r="E15081">
        <v>486</v>
      </c>
      <c r="F15081">
        <v>249</v>
      </c>
      <c r="G15081">
        <v>33</v>
      </c>
      <c r="H15081">
        <v>37</v>
      </c>
      <c r="I15081">
        <v>494</v>
      </c>
      <c r="J15081">
        <v>1</v>
      </c>
      <c r="K15081">
        <v>359</v>
      </c>
      <c r="L15081">
        <v>839</v>
      </c>
      <c r="M15081">
        <v>1</v>
      </c>
      <c r="N15081">
        <v>2.2413400000000001E-121</v>
      </c>
      <c r="O15081">
        <v>1113</v>
      </c>
    </row>
    <row r="15082" spans="1:15" x14ac:dyDescent="0.25">
      <c r="A15082" t="s">
        <v>15095</v>
      </c>
      <c r="B15082">
        <v>1044</v>
      </c>
      <c r="C15082" s="1" t="str">
        <f>HYPERLINK("http://www.rosaceae.org/gb/gbrowse/malus_x_domestica/?name=MDP0000297246","MDP0000297246")</f>
        <v>MDP0000297246</v>
      </c>
      <c r="D15082">
        <v>80.569999999999993</v>
      </c>
      <c r="E15082">
        <v>829</v>
      </c>
      <c r="F15082">
        <v>161</v>
      </c>
      <c r="G15082">
        <v>7</v>
      </c>
      <c r="H15082">
        <v>170</v>
      </c>
      <c r="I15082">
        <v>992</v>
      </c>
      <c r="J15082">
        <v>1</v>
      </c>
      <c r="K15082">
        <v>45</v>
      </c>
      <c r="L15082">
        <v>872</v>
      </c>
      <c r="M15082">
        <v>1</v>
      </c>
      <c r="N15082">
        <v>0</v>
      </c>
      <c r="O15082">
        <v>3329</v>
      </c>
    </row>
    <row r="15083" spans="1:15" x14ac:dyDescent="0.25">
      <c r="A15083" t="s">
        <v>15096</v>
      </c>
      <c r="B15083">
        <v>745</v>
      </c>
      <c r="C15083" s="1" t="str">
        <f>HYPERLINK("http://www.rosaceae.org/gb/gbrowse/malus_x_domestica/?name=MDP0000200335","MDP0000200335")</f>
        <v>MDP0000200335</v>
      </c>
      <c r="D15083">
        <v>83.09</v>
      </c>
      <c r="E15083">
        <v>710</v>
      </c>
      <c r="F15083">
        <v>120</v>
      </c>
      <c r="G15083">
        <v>27</v>
      </c>
      <c r="H15083">
        <v>42</v>
      </c>
      <c r="I15083">
        <v>742</v>
      </c>
      <c r="J15083">
        <v>1</v>
      </c>
      <c r="K15083">
        <v>20</v>
      </c>
      <c r="L15083">
        <v>711</v>
      </c>
      <c r="M15083">
        <v>1</v>
      </c>
      <c r="N15083">
        <v>0</v>
      </c>
      <c r="O15083">
        <v>3111</v>
      </c>
    </row>
    <row r="15084" spans="1:15" x14ac:dyDescent="0.25">
      <c r="A15084" t="s">
        <v>15097</v>
      </c>
      <c r="B15084">
        <v>293</v>
      </c>
      <c r="C15084" s="1" t="str">
        <f>HYPERLINK("http://www.rosaceae.org/gb/gbrowse/malus_x_domestica/?name=MDP0000263595","MDP0000263595")</f>
        <v>MDP0000263595</v>
      </c>
      <c r="D15084">
        <v>66.98</v>
      </c>
      <c r="E15084">
        <v>318</v>
      </c>
      <c r="F15084">
        <v>105</v>
      </c>
      <c r="G15084">
        <v>36</v>
      </c>
      <c r="H15084">
        <v>1</v>
      </c>
      <c r="I15084">
        <v>293</v>
      </c>
      <c r="J15084">
        <v>1</v>
      </c>
      <c r="K15084">
        <v>1</v>
      </c>
      <c r="L15084">
        <v>307</v>
      </c>
      <c r="M15084">
        <v>1</v>
      </c>
      <c r="N15084">
        <v>2.3986099999999998E-97</v>
      </c>
      <c r="O15084">
        <v>903</v>
      </c>
    </row>
    <row r="15085" spans="1:15" x14ac:dyDescent="0.25">
      <c r="A15085" t="s">
        <v>15098</v>
      </c>
      <c r="B15085">
        <v>264</v>
      </c>
      <c r="C15085" s="1" t="str">
        <f>HYPERLINK("http://www.rosaceae.org/gb/gbrowse/malus_x_domestica/?name=MDP0000670228","MDP0000670228")</f>
        <v>MDP0000670228</v>
      </c>
      <c r="D15085">
        <v>30.81</v>
      </c>
      <c r="E15085">
        <v>159</v>
      </c>
      <c r="F15085">
        <v>110</v>
      </c>
      <c r="G15085">
        <v>27</v>
      </c>
      <c r="H15085">
        <v>88</v>
      </c>
      <c r="I15085">
        <v>219</v>
      </c>
      <c r="J15085">
        <v>1</v>
      </c>
      <c r="K15085">
        <v>146</v>
      </c>
      <c r="L15085">
        <v>304</v>
      </c>
      <c r="M15085">
        <v>1</v>
      </c>
      <c r="N15085">
        <v>1.83833E-17</v>
      </c>
      <c r="O15085">
        <v>214</v>
      </c>
    </row>
    <row r="15086" spans="1:15" x14ac:dyDescent="0.25">
      <c r="A15086" t="s">
        <v>15099</v>
      </c>
      <c r="B15086">
        <v>263</v>
      </c>
      <c r="C15086" s="1" t="str">
        <f>HYPERLINK("http://www.rosaceae.org/gb/gbrowse/malus_x_domestica/?name=MDP0000216638","MDP0000216638")</f>
        <v>MDP0000216638</v>
      </c>
      <c r="D15086">
        <v>49.75</v>
      </c>
      <c r="E15086">
        <v>203</v>
      </c>
      <c r="F15086">
        <v>102</v>
      </c>
      <c r="G15086">
        <v>36</v>
      </c>
      <c r="H15086">
        <v>4</v>
      </c>
      <c r="I15086">
        <v>171</v>
      </c>
      <c r="J15086">
        <v>1</v>
      </c>
      <c r="K15086">
        <v>113</v>
      </c>
      <c r="L15086">
        <v>314</v>
      </c>
      <c r="M15086">
        <v>1</v>
      </c>
      <c r="N15086">
        <v>2.41246E-42</v>
      </c>
      <c r="O15086">
        <v>428</v>
      </c>
    </row>
    <row r="15087" spans="1:15" x14ac:dyDescent="0.25">
      <c r="A15087" t="s">
        <v>15100</v>
      </c>
      <c r="B15087">
        <v>182</v>
      </c>
      <c r="C15087" s="1" t="str">
        <f>HYPERLINK("http://www.rosaceae.org/gb/gbrowse/malus_x_domestica/?name=MDP0000290966","MDP0000290966")</f>
        <v>MDP0000290966</v>
      </c>
      <c r="D15087">
        <v>32.75</v>
      </c>
      <c r="E15087">
        <v>174</v>
      </c>
      <c r="F15087">
        <v>117</v>
      </c>
      <c r="G15087">
        <v>1</v>
      </c>
      <c r="H15087">
        <v>3</v>
      </c>
      <c r="I15087">
        <v>175</v>
      </c>
      <c r="J15087">
        <v>1</v>
      </c>
      <c r="K15087">
        <v>107</v>
      </c>
      <c r="L15087">
        <v>280</v>
      </c>
      <c r="M15087">
        <v>1</v>
      </c>
      <c r="N15087">
        <v>2.2055999999999998E-19</v>
      </c>
      <c r="O15087">
        <v>228</v>
      </c>
    </row>
    <row r="15088" spans="1:15" x14ac:dyDescent="0.25">
      <c r="A15088" t="s">
        <v>15101</v>
      </c>
      <c r="B15088">
        <v>213</v>
      </c>
      <c r="C15088" s="1" t="str">
        <f>HYPERLINK("http://www.rosaceae.org/gb/gbrowse/malus_x_domestica/?name=MDP0000165836","MDP0000165836")</f>
        <v>MDP0000165836</v>
      </c>
      <c r="D15088">
        <v>42.53</v>
      </c>
      <c r="E15088">
        <v>134</v>
      </c>
      <c r="F15088">
        <v>77</v>
      </c>
      <c r="G15088">
        <v>21</v>
      </c>
      <c r="H15088">
        <v>100</v>
      </c>
      <c r="I15088">
        <v>213</v>
      </c>
      <c r="J15088">
        <v>1</v>
      </c>
      <c r="K15088">
        <v>3</v>
      </c>
      <c r="L15088">
        <v>135</v>
      </c>
      <c r="M15088">
        <v>1</v>
      </c>
      <c r="N15088">
        <v>1.01864E-16</v>
      </c>
      <c r="O15088">
        <v>206</v>
      </c>
    </row>
    <row r="15089" spans="1:15" x14ac:dyDescent="0.25">
      <c r="A15089" t="s">
        <v>15102</v>
      </c>
      <c r="B15089">
        <v>127</v>
      </c>
      <c r="C15089" s="1" t="str">
        <f>HYPERLINK("http://www.rosaceae.org/gb/gbrowse/malus_x_domestica/?name=MDP0000843359","MDP0000843359")</f>
        <v>MDP0000843359</v>
      </c>
      <c r="D15089">
        <v>77.95</v>
      </c>
      <c r="E15089">
        <v>127</v>
      </c>
      <c r="F15089">
        <v>28</v>
      </c>
      <c r="G15089">
        <v>0</v>
      </c>
      <c r="H15089">
        <v>1</v>
      </c>
      <c r="I15089">
        <v>127</v>
      </c>
      <c r="J15089">
        <v>1</v>
      </c>
      <c r="K15089">
        <v>391</v>
      </c>
      <c r="L15089">
        <v>517</v>
      </c>
      <c r="M15089">
        <v>1</v>
      </c>
      <c r="N15089">
        <v>6.3796799999999995E-57</v>
      </c>
      <c r="O15089">
        <v>549</v>
      </c>
    </row>
    <row r="15090" spans="1:15" x14ac:dyDescent="0.25">
      <c r="A15090" t="s">
        <v>15103</v>
      </c>
      <c r="B15090">
        <v>356</v>
      </c>
      <c r="C15090" s="1" t="str">
        <f>HYPERLINK("http://www.rosaceae.org/gb/gbrowse/malus_x_domestica/?name=MDP0000853667","MDP0000853667")</f>
        <v>MDP0000853667</v>
      </c>
      <c r="D15090">
        <v>48.12</v>
      </c>
      <c r="E15090">
        <v>187</v>
      </c>
      <c r="F15090">
        <v>97</v>
      </c>
      <c r="G15090">
        <v>10</v>
      </c>
      <c r="H15090">
        <v>5</v>
      </c>
      <c r="I15090">
        <v>191</v>
      </c>
      <c r="J15090">
        <v>1</v>
      </c>
      <c r="K15090">
        <v>33</v>
      </c>
      <c r="L15090">
        <v>209</v>
      </c>
      <c r="M15090">
        <v>1</v>
      </c>
      <c r="N15090">
        <v>1.4831800000000001E-42</v>
      </c>
      <c r="O15090">
        <v>432</v>
      </c>
    </row>
    <row r="15091" spans="1:15" x14ac:dyDescent="0.25">
      <c r="A15091" t="s">
        <v>15104</v>
      </c>
      <c r="B15091">
        <v>309</v>
      </c>
      <c r="C15091" s="1" t="str">
        <f>HYPERLINK("http://www.rosaceae.org/gb/gbrowse/malus_x_domestica/?name=MDP0000283081","MDP0000283081")</f>
        <v>MDP0000283081</v>
      </c>
      <c r="D15091">
        <v>46.85</v>
      </c>
      <c r="E15091">
        <v>254</v>
      </c>
      <c r="F15091">
        <v>135</v>
      </c>
      <c r="G15091">
        <v>58</v>
      </c>
      <c r="H15091">
        <v>76</v>
      </c>
      <c r="I15091">
        <v>271</v>
      </c>
      <c r="J15091">
        <v>1</v>
      </c>
      <c r="K15091">
        <v>5</v>
      </c>
      <c r="L15091">
        <v>258</v>
      </c>
      <c r="M15091">
        <v>1</v>
      </c>
      <c r="N15091">
        <v>1.5557699999999999E-56</v>
      </c>
      <c r="O15091">
        <v>552</v>
      </c>
    </row>
    <row r="15092" spans="1:15" x14ac:dyDescent="0.25">
      <c r="A15092" t="s">
        <v>15105</v>
      </c>
      <c r="B15092">
        <v>536</v>
      </c>
      <c r="C15092" s="1" t="str">
        <f>HYPERLINK("http://www.rosaceae.org/gb/gbrowse/malus_x_domestica/?name=MDP0000320322","MDP0000320322")</f>
        <v>MDP0000320322</v>
      </c>
      <c r="D15092">
        <v>80.08</v>
      </c>
      <c r="E15092">
        <v>457</v>
      </c>
      <c r="F15092">
        <v>91</v>
      </c>
      <c r="G15092">
        <v>8</v>
      </c>
      <c r="H15092">
        <v>85</v>
      </c>
      <c r="I15092">
        <v>533</v>
      </c>
      <c r="J15092">
        <v>1</v>
      </c>
      <c r="K15092">
        <v>84</v>
      </c>
      <c r="L15092">
        <v>540</v>
      </c>
      <c r="M15092">
        <v>1</v>
      </c>
      <c r="N15092">
        <v>0</v>
      </c>
      <c r="O15092">
        <v>1870</v>
      </c>
    </row>
    <row r="15093" spans="1:15" x14ac:dyDescent="0.25">
      <c r="A15093" t="s">
        <v>15106</v>
      </c>
      <c r="B15093">
        <v>4710</v>
      </c>
      <c r="C15093" s="1" t="str">
        <f>HYPERLINK("http://www.rosaceae.org/gb/gbrowse/malus_x_domestica/?name=MDP0000302212","MDP0000302212")</f>
        <v>MDP0000302212</v>
      </c>
      <c r="D15093">
        <v>79.73</v>
      </c>
      <c r="E15093">
        <v>4733</v>
      </c>
      <c r="F15093">
        <v>959</v>
      </c>
      <c r="G15093">
        <v>69</v>
      </c>
      <c r="H15093">
        <v>13</v>
      </c>
      <c r="I15093">
        <v>4683</v>
      </c>
      <c r="J15093">
        <v>1</v>
      </c>
      <c r="K15093">
        <v>11</v>
      </c>
      <c r="L15093">
        <v>4736</v>
      </c>
      <c r="M15093">
        <v>1</v>
      </c>
      <c r="N15093">
        <v>0</v>
      </c>
      <c r="O15093">
        <v>20052</v>
      </c>
    </row>
    <row r="15094" spans="1:15" x14ac:dyDescent="0.25">
      <c r="A15094" t="s">
        <v>15107</v>
      </c>
      <c r="B15094">
        <v>279</v>
      </c>
      <c r="C15094" s="1" t="str">
        <f>HYPERLINK("http://www.rosaceae.org/gb/gbrowse/malus_x_domestica/?name=MDP0000943929","MDP0000943929")</f>
        <v>MDP0000943929</v>
      </c>
      <c r="D15094">
        <v>45.81</v>
      </c>
      <c r="E15094">
        <v>179</v>
      </c>
      <c r="F15094">
        <v>97</v>
      </c>
      <c r="G15094">
        <v>15</v>
      </c>
      <c r="H15094">
        <v>1</v>
      </c>
      <c r="I15094">
        <v>177</v>
      </c>
      <c r="J15094">
        <v>1</v>
      </c>
      <c r="K15094">
        <v>1</v>
      </c>
      <c r="L15094">
        <v>166</v>
      </c>
      <c r="M15094">
        <v>1</v>
      </c>
      <c r="N15094">
        <v>2.7962E-27</v>
      </c>
      <c r="O15094">
        <v>299</v>
      </c>
    </row>
    <row r="15095" spans="1:15" x14ac:dyDescent="0.25">
      <c r="A15095" t="s">
        <v>15108</v>
      </c>
      <c r="B15095">
        <v>390</v>
      </c>
      <c r="C15095" s="1" t="str">
        <f>HYPERLINK("http://www.rosaceae.org/gb/gbrowse/malus_x_domestica/?name=MDP0000902292","MDP0000902292")</f>
        <v>MDP0000902292</v>
      </c>
      <c r="D15095">
        <v>78.459999999999994</v>
      </c>
      <c r="E15095">
        <v>390</v>
      </c>
      <c r="F15095">
        <v>84</v>
      </c>
      <c r="G15095">
        <v>2</v>
      </c>
      <c r="H15095">
        <v>1</v>
      </c>
      <c r="I15095">
        <v>390</v>
      </c>
      <c r="J15095">
        <v>1</v>
      </c>
      <c r="K15095">
        <v>1</v>
      </c>
      <c r="L15095">
        <v>388</v>
      </c>
      <c r="M15095">
        <v>1</v>
      </c>
      <c r="N15095">
        <v>0</v>
      </c>
      <c r="O15095">
        <v>1670</v>
      </c>
    </row>
    <row r="15096" spans="1:15" x14ac:dyDescent="0.25">
      <c r="A15096" t="s">
        <v>15109</v>
      </c>
      <c r="B15096">
        <v>765</v>
      </c>
      <c r="C15096" s="1" t="str">
        <f>HYPERLINK("http://www.rosaceae.org/gb/gbrowse/malus_x_domestica/?name=MDP0000293312","MDP0000293312")</f>
        <v>MDP0000293312</v>
      </c>
      <c r="D15096">
        <v>62.87</v>
      </c>
      <c r="E15096">
        <v>641</v>
      </c>
      <c r="F15096">
        <v>238</v>
      </c>
      <c r="G15096">
        <v>119</v>
      </c>
      <c r="H15096">
        <v>159</v>
      </c>
      <c r="I15096">
        <v>765</v>
      </c>
      <c r="J15096">
        <v>1</v>
      </c>
      <c r="K15096">
        <v>86</v>
      </c>
      <c r="L15096">
        <v>641</v>
      </c>
      <c r="M15096">
        <v>1</v>
      </c>
      <c r="N15096">
        <v>0</v>
      </c>
      <c r="O15096">
        <v>1910</v>
      </c>
    </row>
    <row r="15097" spans="1:15" x14ac:dyDescent="0.25">
      <c r="A15097" t="s">
        <v>15110</v>
      </c>
      <c r="B15097">
        <v>722</v>
      </c>
      <c r="C15097" s="1" t="str">
        <f>HYPERLINK("http://www.rosaceae.org/gb/gbrowse/malus_x_domestica/?name=MDP0000574166","MDP0000574166")</f>
        <v>MDP0000574166</v>
      </c>
      <c r="D15097">
        <v>60.87</v>
      </c>
      <c r="E15097">
        <v>754</v>
      </c>
      <c r="F15097">
        <v>295</v>
      </c>
      <c r="G15097">
        <v>49</v>
      </c>
      <c r="H15097">
        <v>1</v>
      </c>
      <c r="I15097">
        <v>721</v>
      </c>
      <c r="J15097">
        <v>1</v>
      </c>
      <c r="K15097">
        <v>45</v>
      </c>
      <c r="L15097">
        <v>782</v>
      </c>
      <c r="M15097">
        <v>1</v>
      </c>
      <c r="N15097">
        <v>0</v>
      </c>
      <c r="O15097">
        <v>2115</v>
      </c>
    </row>
    <row r="15098" spans="1:15" x14ac:dyDescent="0.25">
      <c r="A15098" t="s">
        <v>15111</v>
      </c>
      <c r="B15098">
        <v>1215</v>
      </c>
      <c r="C15098" s="1" t="str">
        <f>HYPERLINK("http://www.rosaceae.org/gb/gbrowse/malus_x_domestica/?name=MDP0000249811","MDP0000249811")</f>
        <v>MDP0000249811</v>
      </c>
      <c r="D15098">
        <v>58.05</v>
      </c>
      <c r="E15098">
        <v>1068</v>
      </c>
      <c r="F15098">
        <v>448</v>
      </c>
      <c r="G15098">
        <v>110</v>
      </c>
      <c r="H15098">
        <v>213</v>
      </c>
      <c r="I15098">
        <v>1197</v>
      </c>
      <c r="J15098">
        <v>1</v>
      </c>
      <c r="K15098">
        <v>256</v>
      </c>
      <c r="L15098">
        <v>1296</v>
      </c>
      <c r="M15098">
        <v>1</v>
      </c>
      <c r="N15098">
        <v>0</v>
      </c>
      <c r="O15098">
        <v>2901</v>
      </c>
    </row>
    <row r="15099" spans="1:15" x14ac:dyDescent="0.25">
      <c r="A15099" t="s">
        <v>15112</v>
      </c>
      <c r="B15099">
        <v>306</v>
      </c>
      <c r="C15099" s="1" t="str">
        <f>HYPERLINK("http://www.rosaceae.org/gb/gbrowse/malus_x_domestica/?name=MDP0000236820","MDP0000236820")</f>
        <v>MDP0000236820</v>
      </c>
      <c r="D15099">
        <v>51.81</v>
      </c>
      <c r="E15099">
        <v>303</v>
      </c>
      <c r="F15099">
        <v>146</v>
      </c>
      <c r="G15099">
        <v>60</v>
      </c>
      <c r="H15099">
        <v>12</v>
      </c>
      <c r="I15099">
        <v>303</v>
      </c>
      <c r="J15099">
        <v>1</v>
      </c>
      <c r="K15099">
        <v>10</v>
      </c>
      <c r="L15099">
        <v>263</v>
      </c>
      <c r="M15099">
        <v>1</v>
      </c>
      <c r="N15099">
        <v>1.14876E-73</v>
      </c>
      <c r="O15099">
        <v>699</v>
      </c>
    </row>
    <row r="15100" spans="1:15" x14ac:dyDescent="0.25">
      <c r="A15100" t="s">
        <v>15113</v>
      </c>
      <c r="B15100">
        <v>381</v>
      </c>
      <c r="C15100" s="1" t="str">
        <f>HYPERLINK("http://www.rosaceae.org/gb/gbrowse/malus_x_domestica/?name=MDP0000646524","MDP0000646524")</f>
        <v>MDP0000646524</v>
      </c>
      <c r="D15100">
        <v>99.73</v>
      </c>
      <c r="E15100">
        <v>381</v>
      </c>
      <c r="F15100">
        <v>1</v>
      </c>
      <c r="G15100">
        <v>0</v>
      </c>
      <c r="H15100">
        <v>1</v>
      </c>
      <c r="I15100">
        <v>381</v>
      </c>
      <c r="J15100">
        <v>1</v>
      </c>
      <c r="K15100">
        <v>464</v>
      </c>
      <c r="L15100">
        <v>844</v>
      </c>
      <c r="M15100">
        <v>1</v>
      </c>
      <c r="N15100">
        <v>0</v>
      </c>
      <c r="O15100">
        <v>1961</v>
      </c>
    </row>
    <row r="15101" spans="1:15" x14ac:dyDescent="0.25">
      <c r="A15101" t="s">
        <v>15114</v>
      </c>
      <c r="B15101">
        <v>391</v>
      </c>
      <c r="C15101" s="1" t="str">
        <f>HYPERLINK("http://www.rosaceae.org/gb/gbrowse/malus_x_domestica/?name=MDP0000294096","MDP0000294096")</f>
        <v>MDP0000294096</v>
      </c>
      <c r="D15101">
        <v>60.5</v>
      </c>
      <c r="E15101">
        <v>357</v>
      </c>
      <c r="F15101">
        <v>141</v>
      </c>
      <c r="G15101">
        <v>44</v>
      </c>
      <c r="H15101">
        <v>79</v>
      </c>
      <c r="I15101">
        <v>391</v>
      </c>
      <c r="J15101">
        <v>1</v>
      </c>
      <c r="K15101">
        <v>1</v>
      </c>
      <c r="L15101">
        <v>357</v>
      </c>
      <c r="M15101">
        <v>1</v>
      </c>
      <c r="N15101">
        <v>3.2562200000000001E-111</v>
      </c>
      <c r="O15101">
        <v>1024</v>
      </c>
    </row>
    <row r="15102" spans="1:15" x14ac:dyDescent="0.25">
      <c r="A15102" t="s">
        <v>15115</v>
      </c>
      <c r="B15102">
        <v>1735</v>
      </c>
      <c r="C15102" s="1" t="str">
        <f>HYPERLINK("http://www.rosaceae.org/gb/gbrowse/malus_x_domestica/?name=MDP0000194211","MDP0000194211")</f>
        <v>MDP0000194211</v>
      </c>
      <c r="D15102">
        <v>70.95</v>
      </c>
      <c r="E15102">
        <v>1095</v>
      </c>
      <c r="F15102">
        <v>318</v>
      </c>
      <c r="G15102">
        <v>87</v>
      </c>
      <c r="H15102">
        <v>36</v>
      </c>
      <c r="I15102">
        <v>1115</v>
      </c>
      <c r="J15102">
        <v>1</v>
      </c>
      <c r="K15102">
        <v>83</v>
      </c>
      <c r="L15102">
        <v>1105</v>
      </c>
      <c r="M15102">
        <v>1</v>
      </c>
      <c r="N15102">
        <v>0</v>
      </c>
      <c r="O15102">
        <v>4006</v>
      </c>
    </row>
    <row r="15103" spans="1:15" x14ac:dyDescent="0.25">
      <c r="A15103" t="s">
        <v>15116</v>
      </c>
      <c r="B15103">
        <v>148</v>
      </c>
      <c r="C15103" s="1" t="str">
        <f>HYPERLINK("http://www.rosaceae.org/gb/gbrowse/malus_x_domestica/?name=MDP0000165014","MDP0000165014")</f>
        <v>MDP0000165014</v>
      </c>
      <c r="D15103">
        <v>59.57</v>
      </c>
      <c r="E15103">
        <v>94</v>
      </c>
      <c r="F15103">
        <v>38</v>
      </c>
      <c r="G15103">
        <v>3</v>
      </c>
      <c r="H15103">
        <v>19</v>
      </c>
      <c r="I15103">
        <v>109</v>
      </c>
      <c r="J15103">
        <v>1</v>
      </c>
      <c r="K15103">
        <v>56</v>
      </c>
      <c r="L15103">
        <v>149</v>
      </c>
      <c r="M15103">
        <v>1</v>
      </c>
      <c r="N15103">
        <v>2.3320799999999999E-26</v>
      </c>
      <c r="O15103">
        <v>287</v>
      </c>
    </row>
    <row r="15104" spans="1:15" x14ac:dyDescent="0.25">
      <c r="A15104" t="s">
        <v>15117</v>
      </c>
      <c r="B15104">
        <v>348</v>
      </c>
      <c r="C15104" s="1" t="str">
        <f>HYPERLINK("http://www.rosaceae.org/gb/gbrowse/malus_x_domestica/?name=MDP0000195096","MDP0000195096")</f>
        <v>MDP0000195096</v>
      </c>
      <c r="D15104">
        <v>72.56</v>
      </c>
      <c r="E15104">
        <v>339</v>
      </c>
      <c r="F15104">
        <v>93</v>
      </c>
      <c r="G15104">
        <v>4</v>
      </c>
      <c r="H15104">
        <v>8</v>
      </c>
      <c r="I15104">
        <v>346</v>
      </c>
      <c r="J15104">
        <v>1</v>
      </c>
      <c r="K15104">
        <v>9</v>
      </c>
      <c r="L15104">
        <v>343</v>
      </c>
      <c r="M15104">
        <v>1</v>
      </c>
      <c r="N15104">
        <v>3.6625000000000001E-149</v>
      </c>
      <c r="O15104">
        <v>1351</v>
      </c>
    </row>
    <row r="15105" spans="1:15" x14ac:dyDescent="0.25">
      <c r="A15105" t="s">
        <v>15118</v>
      </c>
      <c r="B15105">
        <v>316</v>
      </c>
      <c r="C15105" s="1" t="str">
        <f>HYPERLINK("http://www.rosaceae.org/gb/gbrowse/malus_x_domestica/?name=MDP0000156973","MDP0000156973")</f>
        <v>MDP0000156973</v>
      </c>
      <c r="D15105">
        <v>79.489999999999995</v>
      </c>
      <c r="E15105">
        <v>317</v>
      </c>
      <c r="F15105">
        <v>65</v>
      </c>
      <c r="G15105">
        <v>1</v>
      </c>
      <c r="H15105">
        <v>1</v>
      </c>
      <c r="I15105">
        <v>316</v>
      </c>
      <c r="J15105">
        <v>1</v>
      </c>
      <c r="K15105">
        <v>1</v>
      </c>
      <c r="L15105">
        <v>317</v>
      </c>
      <c r="M15105">
        <v>1</v>
      </c>
      <c r="N15105">
        <v>6.96632E-152</v>
      </c>
      <c r="O15105">
        <v>1374</v>
      </c>
    </row>
    <row r="15106" spans="1:15" x14ac:dyDescent="0.25">
      <c r="A15106" t="s">
        <v>15119</v>
      </c>
      <c r="B15106">
        <v>210</v>
      </c>
      <c r="C15106" s="1" t="str">
        <f>HYPERLINK("http://www.rosaceae.org/gb/gbrowse/malus_x_domestica/?name=MDP0000135386","MDP0000135386")</f>
        <v>MDP0000135386</v>
      </c>
      <c r="D15106">
        <v>75</v>
      </c>
      <c r="E15106">
        <v>32</v>
      </c>
      <c r="F15106">
        <v>8</v>
      </c>
      <c r="G15106">
        <v>1</v>
      </c>
      <c r="H15106">
        <v>156</v>
      </c>
      <c r="I15106">
        <v>187</v>
      </c>
      <c r="J15106">
        <v>1</v>
      </c>
      <c r="K15106">
        <v>123</v>
      </c>
      <c r="L15106">
        <v>153</v>
      </c>
      <c r="M15106">
        <v>1</v>
      </c>
      <c r="N15106">
        <v>1.4966899999999999E-7</v>
      </c>
      <c r="O15106">
        <v>127</v>
      </c>
    </row>
    <row r="15107" spans="1:15" x14ac:dyDescent="0.25">
      <c r="A15107" t="s">
        <v>15120</v>
      </c>
      <c r="B15107">
        <v>1165</v>
      </c>
      <c r="C15107" s="1" t="str">
        <f>HYPERLINK("http://www.rosaceae.org/gb/gbrowse/malus_x_domestica/?name=MDP0000273006","MDP0000273006")</f>
        <v>MDP0000273006</v>
      </c>
      <c r="D15107">
        <v>80.59</v>
      </c>
      <c r="E15107">
        <v>1175</v>
      </c>
      <c r="F15107">
        <v>228</v>
      </c>
      <c r="G15107">
        <v>10</v>
      </c>
      <c r="H15107">
        <v>1</v>
      </c>
      <c r="I15107">
        <v>1165</v>
      </c>
      <c r="J15107">
        <v>1</v>
      </c>
      <c r="K15107">
        <v>305</v>
      </c>
      <c r="L15107">
        <v>1479</v>
      </c>
      <c r="M15107">
        <v>1</v>
      </c>
      <c r="N15107">
        <v>0</v>
      </c>
      <c r="O15107">
        <v>4999</v>
      </c>
    </row>
    <row r="15108" spans="1:15" x14ac:dyDescent="0.25">
      <c r="A15108" t="s">
        <v>15121</v>
      </c>
      <c r="B15108">
        <v>269</v>
      </c>
      <c r="C15108" s="1" t="str">
        <f>HYPERLINK("http://www.rosaceae.org/gb/gbrowse/malus_x_domestica/?name=MDP0000123825","MDP0000123825")</f>
        <v>MDP0000123825</v>
      </c>
      <c r="D15108">
        <v>53.44</v>
      </c>
      <c r="E15108">
        <v>116</v>
      </c>
      <c r="F15108">
        <v>54</v>
      </c>
      <c r="G15108">
        <v>3</v>
      </c>
      <c r="H15108">
        <v>14</v>
      </c>
      <c r="I15108">
        <v>128</v>
      </c>
      <c r="J15108">
        <v>1</v>
      </c>
      <c r="K15108">
        <v>149</v>
      </c>
      <c r="L15108">
        <v>262</v>
      </c>
      <c r="M15108">
        <v>1</v>
      </c>
      <c r="N15108">
        <v>9.1513800000000008E-25</v>
      </c>
      <c r="O15108">
        <v>277</v>
      </c>
    </row>
    <row r="15109" spans="1:15" x14ac:dyDescent="0.25">
      <c r="A15109" t="s">
        <v>15122</v>
      </c>
      <c r="B15109">
        <v>859</v>
      </c>
      <c r="C15109" s="1" t="str">
        <f>HYPERLINK("http://www.rosaceae.org/gb/gbrowse/malus_x_domestica/?name=MDP0000191925","MDP0000191925")</f>
        <v>MDP0000191925</v>
      </c>
      <c r="D15109">
        <v>55.65</v>
      </c>
      <c r="E15109">
        <v>814</v>
      </c>
      <c r="F15109">
        <v>361</v>
      </c>
      <c r="G15109">
        <v>74</v>
      </c>
      <c r="H15109">
        <v>1</v>
      </c>
      <c r="I15109">
        <v>783</v>
      </c>
      <c r="J15109">
        <v>1</v>
      </c>
      <c r="K15109">
        <v>1</v>
      </c>
      <c r="L15109">
        <v>771</v>
      </c>
      <c r="M15109">
        <v>1</v>
      </c>
      <c r="N15109">
        <v>0</v>
      </c>
      <c r="O15109">
        <v>2138</v>
      </c>
    </row>
    <row r="15110" spans="1:15" x14ac:dyDescent="0.25">
      <c r="A15110" t="s">
        <v>15123</v>
      </c>
      <c r="B15110">
        <v>140</v>
      </c>
      <c r="C15110" s="1" t="str">
        <f>HYPERLINK("http://www.rosaceae.org/gb/gbrowse/malus_x_domestica/?name=MDP0000235765","MDP0000235765")</f>
        <v>MDP0000235765</v>
      </c>
      <c r="D15110">
        <v>37.6</v>
      </c>
      <c r="E15110">
        <v>117</v>
      </c>
      <c r="F15110">
        <v>73</v>
      </c>
      <c r="G15110">
        <v>1</v>
      </c>
      <c r="H15110">
        <v>21</v>
      </c>
      <c r="I15110">
        <v>136</v>
      </c>
      <c r="J15110">
        <v>1</v>
      </c>
      <c r="K15110">
        <v>135</v>
      </c>
      <c r="L15110">
        <v>251</v>
      </c>
      <c r="M15110">
        <v>1</v>
      </c>
      <c r="N15110">
        <v>1.24909E-15</v>
      </c>
      <c r="O15110">
        <v>194</v>
      </c>
    </row>
    <row r="15111" spans="1:15" x14ac:dyDescent="0.25">
      <c r="A15111" t="s">
        <v>15124</v>
      </c>
      <c r="B15111">
        <v>130</v>
      </c>
      <c r="C15111" s="1" t="str">
        <f>HYPERLINK("http://www.rosaceae.org/gb/gbrowse/malus_x_domestica/?name=MDP0000296689","MDP0000296689")</f>
        <v>MDP0000296689</v>
      </c>
      <c r="D15111">
        <v>72.09</v>
      </c>
      <c r="E15111">
        <v>43</v>
      </c>
      <c r="F15111">
        <v>12</v>
      </c>
      <c r="G15111">
        <v>6</v>
      </c>
      <c r="H15111">
        <v>49</v>
      </c>
      <c r="I15111">
        <v>85</v>
      </c>
      <c r="J15111">
        <v>1</v>
      </c>
      <c r="K15111">
        <v>4</v>
      </c>
      <c r="L15111">
        <v>46</v>
      </c>
      <c r="M15111">
        <v>1</v>
      </c>
      <c r="N15111">
        <v>2.2324800000000002E-12</v>
      </c>
      <c r="O15111">
        <v>165</v>
      </c>
    </row>
    <row r="15112" spans="1:15" x14ac:dyDescent="0.25">
      <c r="A15112" t="s">
        <v>15125</v>
      </c>
      <c r="B15112">
        <v>472</v>
      </c>
      <c r="C15112" s="1" t="str">
        <f>HYPERLINK("http://www.rosaceae.org/gb/gbrowse/malus_x_domestica/?name=MDP0000260343","MDP0000260343")</f>
        <v>MDP0000260343</v>
      </c>
      <c r="D15112">
        <v>70.09</v>
      </c>
      <c r="E15112">
        <v>418</v>
      </c>
      <c r="F15112">
        <v>125</v>
      </c>
      <c r="G15112">
        <v>2</v>
      </c>
      <c r="H15112">
        <v>55</v>
      </c>
      <c r="I15112">
        <v>472</v>
      </c>
      <c r="J15112">
        <v>1</v>
      </c>
      <c r="K15112">
        <v>1</v>
      </c>
      <c r="L15112">
        <v>416</v>
      </c>
      <c r="M15112">
        <v>1</v>
      </c>
      <c r="N15112">
        <v>3.9181299999999997E-173</v>
      </c>
      <c r="O15112">
        <v>1559</v>
      </c>
    </row>
    <row r="15113" spans="1:15" x14ac:dyDescent="0.25">
      <c r="A15113" t="s">
        <v>15126</v>
      </c>
      <c r="B15113">
        <v>492</v>
      </c>
      <c r="C15113" s="1" t="str">
        <f>HYPERLINK("http://www.rosaceae.org/gb/gbrowse/malus_x_domestica/?name=MDP0000265115","MDP0000265115")</f>
        <v>MDP0000265115</v>
      </c>
      <c r="D15113">
        <v>83.36</v>
      </c>
      <c r="E15113">
        <v>499</v>
      </c>
      <c r="F15113">
        <v>83</v>
      </c>
      <c r="G15113">
        <v>12</v>
      </c>
      <c r="H15113">
        <v>2</v>
      </c>
      <c r="I15113">
        <v>488</v>
      </c>
      <c r="J15113">
        <v>1</v>
      </c>
      <c r="K15113">
        <v>29</v>
      </c>
      <c r="L15113">
        <v>527</v>
      </c>
      <c r="M15113">
        <v>1</v>
      </c>
      <c r="N15113">
        <v>0</v>
      </c>
      <c r="O15113">
        <v>2197</v>
      </c>
    </row>
    <row r="15114" spans="1:15" x14ac:dyDescent="0.25">
      <c r="A15114" t="s">
        <v>15127</v>
      </c>
      <c r="B15114">
        <v>601</v>
      </c>
      <c r="C15114" s="1" t="str">
        <f>HYPERLINK("http://www.rosaceae.org/gb/gbrowse/malus_x_domestica/?name=MDP0000264296","MDP0000264296")</f>
        <v>MDP0000264296</v>
      </c>
      <c r="D15114">
        <v>42.79</v>
      </c>
      <c r="E15114">
        <v>437</v>
      </c>
      <c r="F15114">
        <v>250</v>
      </c>
      <c r="G15114">
        <v>46</v>
      </c>
      <c r="H15114">
        <v>1</v>
      </c>
      <c r="I15114">
        <v>420</v>
      </c>
      <c r="J15114">
        <v>1</v>
      </c>
      <c r="K15114">
        <v>14</v>
      </c>
      <c r="L15114">
        <v>421</v>
      </c>
      <c r="M15114">
        <v>1</v>
      </c>
      <c r="N15114">
        <v>9.7546099999999997E-74</v>
      </c>
      <c r="O15114">
        <v>703</v>
      </c>
    </row>
    <row r="15115" spans="1:15" x14ac:dyDescent="0.25">
      <c r="A15115" t="s">
        <v>15128</v>
      </c>
      <c r="B15115">
        <v>296</v>
      </c>
      <c r="C15115" s="1" t="str">
        <f>HYPERLINK("http://www.rosaceae.org/gb/gbrowse/malus_x_domestica/?name=MDP0000296128","MDP0000296128")</f>
        <v>MDP0000296128</v>
      </c>
      <c r="D15115">
        <v>30.76</v>
      </c>
      <c r="E15115">
        <v>156</v>
      </c>
      <c r="F15115">
        <v>108</v>
      </c>
      <c r="G15115">
        <v>21</v>
      </c>
      <c r="H15115">
        <v>156</v>
      </c>
      <c r="I15115">
        <v>295</v>
      </c>
      <c r="J15115">
        <v>1</v>
      </c>
      <c r="K15115">
        <v>280</v>
      </c>
      <c r="L15115">
        <v>430</v>
      </c>
      <c r="M15115">
        <v>1</v>
      </c>
      <c r="N15115">
        <v>3.31641E-12</v>
      </c>
      <c r="O15115">
        <v>169</v>
      </c>
    </row>
    <row r="15116" spans="1:15" x14ac:dyDescent="0.25">
      <c r="A15116" t="s">
        <v>15129</v>
      </c>
      <c r="B15116">
        <v>136</v>
      </c>
      <c r="C15116" s="1" t="str">
        <f>HYPERLINK("http://www.rosaceae.org/gb/gbrowse/malus_x_domestica/?name=MDP0000121016","MDP0000121016")</f>
        <v>MDP0000121016</v>
      </c>
      <c r="D15116">
        <v>100</v>
      </c>
      <c r="E15116">
        <v>136</v>
      </c>
      <c r="F15116">
        <v>0</v>
      </c>
      <c r="G15116">
        <v>0</v>
      </c>
      <c r="H15116">
        <v>1</v>
      </c>
      <c r="I15116">
        <v>136</v>
      </c>
      <c r="J15116">
        <v>1</v>
      </c>
      <c r="K15116">
        <v>20</v>
      </c>
      <c r="L15116">
        <v>155</v>
      </c>
      <c r="M15116">
        <v>1</v>
      </c>
      <c r="N15116">
        <v>1.2128699999999999E-74</v>
      </c>
      <c r="O15116">
        <v>702</v>
      </c>
    </row>
    <row r="15117" spans="1:15" x14ac:dyDescent="0.25">
      <c r="A15117" t="s">
        <v>15130</v>
      </c>
      <c r="B15117">
        <v>400</v>
      </c>
      <c r="C15117" s="1" t="str">
        <f>HYPERLINK("http://www.rosaceae.org/gb/gbrowse/malus_x_domestica/?name=MDP0000232989","MDP0000232989")</f>
        <v>MDP0000232989</v>
      </c>
      <c r="D15117">
        <v>59.21</v>
      </c>
      <c r="E15117">
        <v>304</v>
      </c>
      <c r="F15117">
        <v>124</v>
      </c>
      <c r="G15117">
        <v>12</v>
      </c>
      <c r="H15117">
        <v>1</v>
      </c>
      <c r="I15117">
        <v>292</v>
      </c>
      <c r="J15117">
        <v>1</v>
      </c>
      <c r="K15117">
        <v>1</v>
      </c>
      <c r="L15117">
        <v>304</v>
      </c>
      <c r="M15117">
        <v>1</v>
      </c>
      <c r="N15117">
        <v>3.76214E-98</v>
      </c>
      <c r="O15117">
        <v>912</v>
      </c>
    </row>
    <row r="15118" spans="1:15" x14ac:dyDescent="0.25">
      <c r="A15118" t="s">
        <v>15131</v>
      </c>
      <c r="B15118">
        <v>341</v>
      </c>
      <c r="C15118" s="1" t="str">
        <f>HYPERLINK("http://www.rosaceae.org/gb/gbrowse/malus_x_domestica/?name=MDP0000185430","MDP0000185430")</f>
        <v>MDP0000185430</v>
      </c>
      <c r="D15118">
        <v>77.03</v>
      </c>
      <c r="E15118">
        <v>344</v>
      </c>
      <c r="F15118">
        <v>79</v>
      </c>
      <c r="G15118">
        <v>3</v>
      </c>
      <c r="H15118">
        <v>1</v>
      </c>
      <c r="I15118">
        <v>341</v>
      </c>
      <c r="J15118">
        <v>1</v>
      </c>
      <c r="K15118">
        <v>1</v>
      </c>
      <c r="L15118">
        <v>344</v>
      </c>
      <c r="M15118">
        <v>1</v>
      </c>
      <c r="N15118">
        <v>1.8222800000000001E-154</v>
      </c>
      <c r="O15118">
        <v>1397</v>
      </c>
    </row>
    <row r="15119" spans="1:15" x14ac:dyDescent="0.25">
      <c r="A15119" t="s">
        <v>15132</v>
      </c>
      <c r="B15119">
        <v>139</v>
      </c>
      <c r="C15119" s="1" t="str">
        <f>HYPERLINK("http://www.rosaceae.org/gb/gbrowse/malus_x_domestica/?name=MDP0000850178","MDP0000850178")</f>
        <v>MDP0000850178</v>
      </c>
      <c r="D15119">
        <v>75.88</v>
      </c>
      <c r="E15119">
        <v>141</v>
      </c>
      <c r="F15119">
        <v>34</v>
      </c>
      <c r="G15119">
        <v>2</v>
      </c>
      <c r="H15119">
        <v>1</v>
      </c>
      <c r="I15119">
        <v>139</v>
      </c>
      <c r="J15119">
        <v>1</v>
      </c>
      <c r="K15119">
        <v>1</v>
      </c>
      <c r="L15119">
        <v>141</v>
      </c>
      <c r="M15119">
        <v>1</v>
      </c>
      <c r="N15119">
        <v>2.5393499999999999E-55</v>
      </c>
      <c r="O15119">
        <v>536</v>
      </c>
    </row>
    <row r="15120" spans="1:15" x14ac:dyDescent="0.25">
      <c r="A15120" t="s">
        <v>15133</v>
      </c>
      <c r="B15120">
        <v>613</v>
      </c>
      <c r="C15120" s="1" t="str">
        <f>HYPERLINK("http://www.rosaceae.org/gb/gbrowse/malus_x_domestica/?name=MDP0000448817","MDP0000448817")</f>
        <v>MDP0000448817</v>
      </c>
      <c r="D15120">
        <v>35.35</v>
      </c>
      <c r="E15120">
        <v>413</v>
      </c>
      <c r="F15120">
        <v>267</v>
      </c>
      <c r="G15120">
        <v>63</v>
      </c>
      <c r="H15120">
        <v>1</v>
      </c>
      <c r="I15120">
        <v>370</v>
      </c>
      <c r="J15120">
        <v>1</v>
      </c>
      <c r="K15120">
        <v>33</v>
      </c>
      <c r="L15120">
        <v>425</v>
      </c>
      <c r="M15120">
        <v>1</v>
      </c>
      <c r="N15120">
        <v>3.2763700000000003E-35</v>
      </c>
      <c r="O15120">
        <v>371</v>
      </c>
    </row>
    <row r="15121" spans="1:15" x14ac:dyDescent="0.25">
      <c r="A15121" t="s">
        <v>15134</v>
      </c>
      <c r="B15121">
        <v>676</v>
      </c>
      <c r="C15121" s="1" t="str">
        <f>HYPERLINK("http://www.rosaceae.org/gb/gbrowse/malus_x_domestica/?name=MDP0000315706","MDP0000315706")</f>
        <v>MDP0000315706</v>
      </c>
      <c r="D15121">
        <v>62.46</v>
      </c>
      <c r="E15121">
        <v>682</v>
      </c>
      <c r="F15121">
        <v>256</v>
      </c>
      <c r="G15121">
        <v>63</v>
      </c>
      <c r="H15121">
        <v>14</v>
      </c>
      <c r="I15121">
        <v>676</v>
      </c>
      <c r="J15121">
        <v>1</v>
      </c>
      <c r="K15121">
        <v>15</v>
      </c>
      <c r="L15121">
        <v>652</v>
      </c>
      <c r="M15121">
        <v>1</v>
      </c>
      <c r="N15121">
        <v>0</v>
      </c>
      <c r="O15121">
        <v>1917</v>
      </c>
    </row>
    <row r="15122" spans="1:15" x14ac:dyDescent="0.25">
      <c r="A15122" t="s">
        <v>15135</v>
      </c>
      <c r="B15122">
        <v>1662</v>
      </c>
      <c r="C15122" s="1" t="str">
        <f>HYPERLINK("http://www.rosaceae.org/gb/gbrowse/malus_x_domestica/?name=MDP0000167843","MDP0000167843")</f>
        <v>MDP0000167843</v>
      </c>
      <c r="D15122">
        <v>74.430000000000007</v>
      </c>
      <c r="E15122">
        <v>1009</v>
      </c>
      <c r="F15122">
        <v>258</v>
      </c>
      <c r="G15122">
        <v>59</v>
      </c>
      <c r="H15122">
        <v>707</v>
      </c>
      <c r="I15122">
        <v>1662</v>
      </c>
      <c r="J15122">
        <v>1</v>
      </c>
      <c r="K15122">
        <v>652</v>
      </c>
      <c r="L15122">
        <v>1654</v>
      </c>
      <c r="M15122">
        <v>1</v>
      </c>
      <c r="N15122">
        <v>0</v>
      </c>
      <c r="O15122">
        <v>3847</v>
      </c>
    </row>
    <row r="15123" spans="1:15" x14ac:dyDescent="0.25">
      <c r="A15123" t="s">
        <v>15136</v>
      </c>
      <c r="B15123">
        <v>1062</v>
      </c>
      <c r="C15123" s="1" t="str">
        <f>HYPERLINK("http://www.rosaceae.org/gb/gbrowse/malus_x_domestica/?name=MDP0000319861","MDP0000319861")</f>
        <v>MDP0000319861</v>
      </c>
      <c r="D15123">
        <v>63.29</v>
      </c>
      <c r="E15123">
        <v>1128</v>
      </c>
      <c r="F15123">
        <v>414</v>
      </c>
      <c r="G15123">
        <v>80</v>
      </c>
      <c r="H15123">
        <v>5</v>
      </c>
      <c r="I15123">
        <v>1059</v>
      </c>
      <c r="J15123">
        <v>1</v>
      </c>
      <c r="K15123">
        <v>1</v>
      </c>
      <c r="L15123">
        <v>1121</v>
      </c>
      <c r="M15123">
        <v>1</v>
      </c>
      <c r="N15123">
        <v>0</v>
      </c>
      <c r="O15123">
        <v>3608</v>
      </c>
    </row>
    <row r="15124" spans="1:15" x14ac:dyDescent="0.25">
      <c r="A15124" t="s">
        <v>15137</v>
      </c>
      <c r="B15124">
        <v>137</v>
      </c>
      <c r="C15124" s="1" t="str">
        <f>HYPERLINK("http://www.rosaceae.org/gb/gbrowse/malus_x_domestica/?name=MDP0000281231","MDP0000281231")</f>
        <v>MDP0000281231</v>
      </c>
      <c r="D15124">
        <v>60</v>
      </c>
      <c r="E15124">
        <v>125</v>
      </c>
      <c r="F15124">
        <v>50</v>
      </c>
      <c r="G15124">
        <v>1</v>
      </c>
      <c r="H15124">
        <v>13</v>
      </c>
      <c r="I15124">
        <v>137</v>
      </c>
      <c r="J15124">
        <v>1</v>
      </c>
      <c r="K15124">
        <v>1425</v>
      </c>
      <c r="L15124">
        <v>1548</v>
      </c>
      <c r="M15124">
        <v>1</v>
      </c>
      <c r="N15124">
        <v>1.0789600000000001E-37</v>
      </c>
      <c r="O15124">
        <v>384</v>
      </c>
    </row>
    <row r="15125" spans="1:15" x14ac:dyDescent="0.25">
      <c r="A15125" t="s">
        <v>15138</v>
      </c>
      <c r="B15125">
        <v>661</v>
      </c>
      <c r="C15125" s="1" t="str">
        <f>HYPERLINK("http://www.rosaceae.org/gb/gbrowse/malus_x_domestica/?name=MDP0000220906","MDP0000220906")</f>
        <v>MDP0000220906</v>
      </c>
      <c r="D15125">
        <v>69.930000000000007</v>
      </c>
      <c r="E15125">
        <v>745</v>
      </c>
      <c r="F15125">
        <v>224</v>
      </c>
      <c r="G15125">
        <v>106</v>
      </c>
      <c r="H15125">
        <v>1</v>
      </c>
      <c r="I15125">
        <v>661</v>
      </c>
      <c r="J15125">
        <v>1</v>
      </c>
      <c r="K15125">
        <v>5</v>
      </c>
      <c r="L15125">
        <v>727</v>
      </c>
      <c r="M15125">
        <v>1</v>
      </c>
      <c r="N15125">
        <v>0</v>
      </c>
      <c r="O15125">
        <v>2663</v>
      </c>
    </row>
    <row r="15126" spans="1:15" x14ac:dyDescent="0.25">
      <c r="A15126" t="s">
        <v>15139</v>
      </c>
      <c r="B15126">
        <v>790</v>
      </c>
      <c r="C15126" s="1" t="str">
        <f>HYPERLINK("http://www.rosaceae.org/gb/gbrowse/malus_x_domestica/?name=MDP0000244225","MDP0000244225")</f>
        <v>MDP0000244225</v>
      </c>
      <c r="D15126">
        <v>64.92</v>
      </c>
      <c r="E15126">
        <v>325</v>
      </c>
      <c r="F15126">
        <v>114</v>
      </c>
      <c r="G15126">
        <v>43</v>
      </c>
      <c r="H15126">
        <v>9</v>
      </c>
      <c r="I15126">
        <v>290</v>
      </c>
      <c r="J15126">
        <v>1</v>
      </c>
      <c r="K15126">
        <v>8</v>
      </c>
      <c r="L15126">
        <v>332</v>
      </c>
      <c r="M15126">
        <v>1</v>
      </c>
      <c r="N15126">
        <v>1.79666E-116</v>
      </c>
      <c r="O15126">
        <v>1073</v>
      </c>
    </row>
    <row r="15127" spans="1:15" x14ac:dyDescent="0.25">
      <c r="A15127" t="s">
        <v>15140</v>
      </c>
      <c r="B15127">
        <v>686</v>
      </c>
      <c r="C15127" s="1" t="str">
        <f>HYPERLINK("http://www.rosaceae.org/gb/gbrowse/malus_x_domestica/?name=MDP0000281065","MDP0000281065")</f>
        <v>MDP0000281065</v>
      </c>
      <c r="D15127">
        <v>69.97</v>
      </c>
      <c r="E15127">
        <v>696</v>
      </c>
      <c r="F15127">
        <v>209</v>
      </c>
      <c r="G15127">
        <v>27</v>
      </c>
      <c r="H15127">
        <v>1</v>
      </c>
      <c r="I15127">
        <v>686</v>
      </c>
      <c r="J15127">
        <v>1</v>
      </c>
      <c r="K15127">
        <v>1</v>
      </c>
      <c r="L15127">
        <v>679</v>
      </c>
      <c r="M15127">
        <v>1</v>
      </c>
      <c r="N15127">
        <v>0</v>
      </c>
      <c r="O15127">
        <v>2305</v>
      </c>
    </row>
    <row r="15128" spans="1:15" x14ac:dyDescent="0.25">
      <c r="A15128" t="s">
        <v>15141</v>
      </c>
      <c r="B15128">
        <v>335</v>
      </c>
      <c r="C15128" s="1" t="str">
        <f>HYPERLINK("http://www.rosaceae.org/gb/gbrowse/malus_x_domestica/?name=MDP0000229007","MDP0000229007")</f>
        <v>MDP0000229007</v>
      </c>
      <c r="D15128">
        <v>54.17</v>
      </c>
      <c r="E15128">
        <v>347</v>
      </c>
      <c r="F15128">
        <v>159</v>
      </c>
      <c r="G15128">
        <v>34</v>
      </c>
      <c r="H15128">
        <v>1</v>
      </c>
      <c r="I15128">
        <v>335</v>
      </c>
      <c r="J15128">
        <v>1</v>
      </c>
      <c r="K15128">
        <v>1</v>
      </c>
      <c r="L15128">
        <v>325</v>
      </c>
      <c r="M15128">
        <v>1</v>
      </c>
      <c r="N15128">
        <v>3.1401399999999999E-88</v>
      </c>
      <c r="O15128">
        <v>825</v>
      </c>
    </row>
    <row r="15129" spans="1:15" x14ac:dyDescent="0.25">
      <c r="A15129" t="s">
        <v>15142</v>
      </c>
      <c r="B15129">
        <v>511</v>
      </c>
      <c r="C15129" s="1" t="str">
        <f>HYPERLINK("http://www.rosaceae.org/gb/gbrowse/malus_x_domestica/?name=MDP0000137177","MDP0000137177")</f>
        <v>MDP0000137177</v>
      </c>
      <c r="D15129">
        <v>57.6</v>
      </c>
      <c r="E15129">
        <v>493</v>
      </c>
      <c r="F15129">
        <v>209</v>
      </c>
      <c r="G15129">
        <v>10</v>
      </c>
      <c r="H15129">
        <v>1</v>
      </c>
      <c r="I15129">
        <v>489</v>
      </c>
      <c r="J15129">
        <v>1</v>
      </c>
      <c r="K15129">
        <v>61</v>
      </c>
      <c r="L15129">
        <v>547</v>
      </c>
      <c r="M15129">
        <v>1</v>
      </c>
      <c r="N15129">
        <v>1.33903E-147</v>
      </c>
      <c r="O15129">
        <v>1339</v>
      </c>
    </row>
    <row r="15130" spans="1:15" x14ac:dyDescent="0.25">
      <c r="A15130" t="s">
        <v>15143</v>
      </c>
      <c r="B15130">
        <v>309</v>
      </c>
      <c r="C15130" s="1" t="str">
        <f>HYPERLINK("http://www.rosaceae.org/gb/gbrowse/malus_x_domestica/?name=MDP0000296586","MDP0000296586")</f>
        <v>MDP0000296586</v>
      </c>
      <c r="D15130">
        <v>70.97</v>
      </c>
      <c r="E15130">
        <v>317</v>
      </c>
      <c r="F15130">
        <v>92</v>
      </c>
      <c r="G15130">
        <v>12</v>
      </c>
      <c r="H15130">
        <v>1</v>
      </c>
      <c r="I15130">
        <v>309</v>
      </c>
      <c r="J15130">
        <v>1</v>
      </c>
      <c r="K15130">
        <v>1</v>
      </c>
      <c r="L15130">
        <v>313</v>
      </c>
      <c r="M15130">
        <v>1</v>
      </c>
      <c r="N15130">
        <v>4.2938000000000003E-123</v>
      </c>
      <c r="O15130">
        <v>1126</v>
      </c>
    </row>
    <row r="15131" spans="1:15" x14ac:dyDescent="0.25">
      <c r="A15131" t="s">
        <v>15144</v>
      </c>
      <c r="B15131">
        <v>333</v>
      </c>
      <c r="C15131" s="1" t="str">
        <f>HYPERLINK("http://www.rosaceae.org/gb/gbrowse/malus_x_domestica/?name=MDP0000179236","MDP0000179236")</f>
        <v>MDP0000179236</v>
      </c>
      <c r="D15131">
        <v>63.59</v>
      </c>
      <c r="E15131">
        <v>228</v>
      </c>
      <c r="F15131">
        <v>83</v>
      </c>
      <c r="G15131">
        <v>24</v>
      </c>
      <c r="H15131">
        <v>110</v>
      </c>
      <c r="I15131">
        <v>333</v>
      </c>
      <c r="J15131">
        <v>1</v>
      </c>
      <c r="K15131">
        <v>1</v>
      </c>
      <c r="L15131">
        <v>208</v>
      </c>
      <c r="M15131">
        <v>1</v>
      </c>
      <c r="N15131">
        <v>8.3734200000000007E-71</v>
      </c>
      <c r="O15131">
        <v>675</v>
      </c>
    </row>
    <row r="15132" spans="1:15" x14ac:dyDescent="0.25">
      <c r="A15132" t="s">
        <v>15145</v>
      </c>
      <c r="B15132">
        <v>228</v>
      </c>
      <c r="C15132" s="1" t="str">
        <f>HYPERLINK("http://www.rosaceae.org/gb/gbrowse/malus_x_domestica/?name=MDP0000290934","MDP0000290934")</f>
        <v>MDP0000290934</v>
      </c>
      <c r="D15132">
        <v>59.67</v>
      </c>
      <c r="E15132">
        <v>186</v>
      </c>
      <c r="F15132">
        <v>75</v>
      </c>
      <c r="G15132">
        <v>6</v>
      </c>
      <c r="H15132">
        <v>20</v>
      </c>
      <c r="I15132">
        <v>204</v>
      </c>
      <c r="J15132">
        <v>1</v>
      </c>
      <c r="K15132">
        <v>9</v>
      </c>
      <c r="L15132">
        <v>189</v>
      </c>
      <c r="M15132">
        <v>1</v>
      </c>
      <c r="N15132">
        <v>2.8480900000000002E-51</v>
      </c>
      <c r="O15132">
        <v>505</v>
      </c>
    </row>
    <row r="15133" spans="1:15" x14ac:dyDescent="0.25">
      <c r="A15133" t="s">
        <v>15146</v>
      </c>
      <c r="B15133">
        <v>336</v>
      </c>
      <c r="C15133" s="1" t="str">
        <f>HYPERLINK("http://www.rosaceae.org/gb/gbrowse/malus_x_domestica/?name=MDP0000232042","MDP0000232042")</f>
        <v>MDP0000232042</v>
      </c>
      <c r="D15133">
        <v>77.430000000000007</v>
      </c>
      <c r="E15133">
        <v>257</v>
      </c>
      <c r="F15133">
        <v>58</v>
      </c>
      <c r="G15133">
        <v>0</v>
      </c>
      <c r="H15133">
        <v>38</v>
      </c>
      <c r="I15133">
        <v>294</v>
      </c>
      <c r="J15133">
        <v>1</v>
      </c>
      <c r="K15133">
        <v>1</v>
      </c>
      <c r="L15133">
        <v>257</v>
      </c>
      <c r="M15133">
        <v>1</v>
      </c>
      <c r="N15133">
        <v>1.23829E-118</v>
      </c>
      <c r="O15133">
        <v>1088</v>
      </c>
    </row>
    <row r="15134" spans="1:15" x14ac:dyDescent="0.25">
      <c r="A15134" t="s">
        <v>15147</v>
      </c>
      <c r="B15134">
        <v>739</v>
      </c>
      <c r="C15134" s="1" t="str">
        <f>HYPERLINK("http://www.rosaceae.org/gb/gbrowse/malus_x_domestica/?name=MDP0000134946","MDP0000134946")</f>
        <v>MDP0000134946</v>
      </c>
      <c r="D15134">
        <v>85.81</v>
      </c>
      <c r="E15134">
        <v>733</v>
      </c>
      <c r="F15134">
        <v>104</v>
      </c>
      <c r="G15134">
        <v>1</v>
      </c>
      <c r="H15134">
        <v>7</v>
      </c>
      <c r="I15134">
        <v>739</v>
      </c>
      <c r="J15134">
        <v>1</v>
      </c>
      <c r="K15134">
        <v>1</v>
      </c>
      <c r="L15134">
        <v>732</v>
      </c>
      <c r="M15134">
        <v>1</v>
      </c>
      <c r="N15134">
        <v>0</v>
      </c>
      <c r="O15134">
        <v>3349</v>
      </c>
    </row>
    <row r="15135" spans="1:15" x14ac:dyDescent="0.25">
      <c r="A15135" t="s">
        <v>15148</v>
      </c>
      <c r="B15135">
        <v>209</v>
      </c>
      <c r="C15135" s="1" t="str">
        <f>HYPERLINK("http://www.rosaceae.org/gb/gbrowse/malus_x_domestica/?name=MDP0000285227","MDP0000285227")</f>
        <v>MDP0000285227</v>
      </c>
      <c r="D15135">
        <v>82.14</v>
      </c>
      <c r="E15135">
        <v>168</v>
      </c>
      <c r="F15135">
        <v>30</v>
      </c>
      <c r="G15135">
        <v>20</v>
      </c>
      <c r="H15135">
        <v>1</v>
      </c>
      <c r="I15135">
        <v>168</v>
      </c>
      <c r="J15135">
        <v>1</v>
      </c>
      <c r="K15135">
        <v>1</v>
      </c>
      <c r="L15135">
        <v>148</v>
      </c>
      <c r="M15135">
        <v>1</v>
      </c>
      <c r="N15135">
        <v>9.0436500000000004E-74</v>
      </c>
      <c r="O15135">
        <v>698</v>
      </c>
    </row>
    <row r="15136" spans="1:15" x14ac:dyDescent="0.25">
      <c r="A15136" t="s">
        <v>15149</v>
      </c>
      <c r="B15136">
        <v>1759</v>
      </c>
      <c r="C15136" s="1" t="str">
        <f>HYPERLINK("http://www.rosaceae.org/gb/gbrowse/malus_x_domestica/?name=MDP0000493661","MDP0000493661")</f>
        <v>MDP0000493661</v>
      </c>
      <c r="D15136">
        <v>45.61</v>
      </c>
      <c r="E15136">
        <v>947</v>
      </c>
      <c r="F15136">
        <v>515</v>
      </c>
      <c r="G15136">
        <v>167</v>
      </c>
      <c r="H15136">
        <v>1</v>
      </c>
      <c r="I15136">
        <v>799</v>
      </c>
      <c r="J15136">
        <v>1</v>
      </c>
      <c r="K15136">
        <v>1</v>
      </c>
      <c r="L15136">
        <v>928</v>
      </c>
      <c r="M15136">
        <v>1</v>
      </c>
      <c r="N15136">
        <v>0</v>
      </c>
      <c r="O15136">
        <v>1783</v>
      </c>
    </row>
    <row r="15137" spans="1:15" x14ac:dyDescent="0.25">
      <c r="A15137" t="s">
        <v>15150</v>
      </c>
      <c r="B15137">
        <v>497</v>
      </c>
      <c r="C15137" s="1" t="str">
        <f>HYPERLINK("http://www.rosaceae.org/gb/gbrowse/malus_x_domestica/?name=MDP0000858452","MDP0000858452")</f>
        <v>MDP0000858452</v>
      </c>
      <c r="D15137">
        <v>69</v>
      </c>
      <c r="E15137">
        <v>484</v>
      </c>
      <c r="F15137">
        <v>150</v>
      </c>
      <c r="G15137">
        <v>5</v>
      </c>
      <c r="H15137">
        <v>13</v>
      </c>
      <c r="I15137">
        <v>496</v>
      </c>
      <c r="J15137">
        <v>1</v>
      </c>
      <c r="K15137">
        <v>47</v>
      </c>
      <c r="L15137">
        <v>525</v>
      </c>
      <c r="M15137">
        <v>1</v>
      </c>
      <c r="N15137">
        <v>0</v>
      </c>
      <c r="O15137">
        <v>1693</v>
      </c>
    </row>
    <row r="15138" spans="1:15" x14ac:dyDescent="0.25">
      <c r="A15138" t="s">
        <v>15151</v>
      </c>
      <c r="B15138">
        <v>197</v>
      </c>
      <c r="C15138" s="1" t="str">
        <f>HYPERLINK("http://www.rosaceae.org/gb/gbrowse/malus_x_domestica/?name=MDP0000257992","MDP0000257992")</f>
        <v>MDP0000257992</v>
      </c>
      <c r="D15138">
        <v>73.41</v>
      </c>
      <c r="E15138">
        <v>173</v>
      </c>
      <c r="F15138">
        <v>46</v>
      </c>
      <c r="G15138">
        <v>3</v>
      </c>
      <c r="H15138">
        <v>9</v>
      </c>
      <c r="I15138">
        <v>178</v>
      </c>
      <c r="J15138">
        <v>1</v>
      </c>
      <c r="K15138">
        <v>1</v>
      </c>
      <c r="L15138">
        <v>173</v>
      </c>
      <c r="M15138">
        <v>1</v>
      </c>
      <c r="N15138">
        <v>6.3182099999999998E-68</v>
      </c>
      <c r="O15138">
        <v>647</v>
      </c>
    </row>
    <row r="15139" spans="1:15" x14ac:dyDescent="0.25">
      <c r="A15139" t="s">
        <v>15152</v>
      </c>
      <c r="B15139">
        <v>475</v>
      </c>
      <c r="C15139" s="1" t="str">
        <f>HYPERLINK("http://www.rosaceae.org/gb/gbrowse/malus_x_domestica/?name=MDP0000256423","MDP0000256423")</f>
        <v>MDP0000256423</v>
      </c>
      <c r="D15139">
        <v>73.13</v>
      </c>
      <c r="E15139">
        <v>443</v>
      </c>
      <c r="F15139">
        <v>119</v>
      </c>
      <c r="G15139">
        <v>21</v>
      </c>
      <c r="H15139">
        <v>1</v>
      </c>
      <c r="I15139">
        <v>427</v>
      </c>
      <c r="J15139">
        <v>1</v>
      </c>
      <c r="K15139">
        <v>1</v>
      </c>
      <c r="L15139">
        <v>438</v>
      </c>
      <c r="M15139">
        <v>1</v>
      </c>
      <c r="N15139">
        <v>6.9528099999999996E-180</v>
      </c>
      <c r="O15139">
        <v>1618</v>
      </c>
    </row>
    <row r="15140" spans="1:15" x14ac:dyDescent="0.25">
      <c r="A15140" t="s">
        <v>15153</v>
      </c>
      <c r="B15140">
        <v>73</v>
      </c>
      <c r="C15140" s="1" t="str">
        <f>HYPERLINK("http://www.rosaceae.org/gb/gbrowse/malus_x_domestica/?name=MDP0000240993","MDP0000240993")</f>
        <v>MDP0000240993</v>
      </c>
      <c r="D15140">
        <v>62.79</v>
      </c>
      <c r="E15140">
        <v>43</v>
      </c>
      <c r="F15140">
        <v>16</v>
      </c>
      <c r="G15140">
        <v>0</v>
      </c>
      <c r="H15140">
        <v>26</v>
      </c>
      <c r="I15140">
        <v>68</v>
      </c>
      <c r="J15140">
        <v>1</v>
      </c>
      <c r="K15140">
        <v>20</v>
      </c>
      <c r="L15140">
        <v>62</v>
      </c>
      <c r="M15140">
        <v>1</v>
      </c>
      <c r="N15140">
        <v>1.5659799999999999E-10</v>
      </c>
      <c r="O15140">
        <v>148</v>
      </c>
    </row>
    <row r="15141" spans="1:15" x14ac:dyDescent="0.25">
      <c r="A15141" t="s">
        <v>15154</v>
      </c>
      <c r="B15141">
        <v>75</v>
      </c>
      <c r="C15141" s="1" t="str">
        <f>HYPERLINK("http://www.rosaceae.org/gb/gbrowse/malus_x_domestica/?name=MDP0000217043","MDP0000217043")</f>
        <v>MDP0000217043</v>
      </c>
      <c r="D15141">
        <v>89.04</v>
      </c>
      <c r="E15141">
        <v>73</v>
      </c>
      <c r="F15141">
        <v>8</v>
      </c>
      <c r="G15141">
        <v>0</v>
      </c>
      <c r="H15141">
        <v>3</v>
      </c>
      <c r="I15141">
        <v>75</v>
      </c>
      <c r="J15141">
        <v>1</v>
      </c>
      <c r="K15141">
        <v>629</v>
      </c>
      <c r="L15141">
        <v>701</v>
      </c>
      <c r="M15141">
        <v>1</v>
      </c>
      <c r="N15141">
        <v>1.0978299999999999E-34</v>
      </c>
      <c r="O15141">
        <v>356</v>
      </c>
    </row>
    <row r="15142" spans="1:15" x14ac:dyDescent="0.25">
      <c r="A15142" t="s">
        <v>15155</v>
      </c>
      <c r="B15142">
        <v>172</v>
      </c>
      <c r="C15142" s="1" t="str">
        <f>HYPERLINK("http://www.rosaceae.org/gb/gbrowse/malus_x_domestica/?name=MDP0000298960","MDP0000298960")</f>
        <v>MDP0000298960</v>
      </c>
      <c r="D15142">
        <v>67.69</v>
      </c>
      <c r="E15142">
        <v>65</v>
      </c>
      <c r="F15142">
        <v>21</v>
      </c>
      <c r="G15142">
        <v>5</v>
      </c>
      <c r="H15142">
        <v>100</v>
      </c>
      <c r="I15142">
        <v>164</v>
      </c>
      <c r="J15142">
        <v>1</v>
      </c>
      <c r="K15142">
        <v>435</v>
      </c>
      <c r="L15142">
        <v>494</v>
      </c>
      <c r="M15142">
        <v>1</v>
      </c>
      <c r="N15142">
        <v>1.2947699999999999E-15</v>
      </c>
      <c r="O15142">
        <v>195</v>
      </c>
    </row>
    <row r="15143" spans="1:15" x14ac:dyDescent="0.25">
      <c r="A15143" t="s">
        <v>15156</v>
      </c>
      <c r="B15143">
        <v>236</v>
      </c>
      <c r="C15143" s="1" t="str">
        <f>HYPERLINK("http://www.rosaceae.org/gb/gbrowse/malus_x_domestica/?name=MDP0000207745","MDP0000207745")</f>
        <v>MDP0000207745</v>
      </c>
      <c r="D15143">
        <v>63.88</v>
      </c>
      <c r="E15143">
        <v>144</v>
      </c>
      <c r="F15143">
        <v>52</v>
      </c>
      <c r="G15143">
        <v>5</v>
      </c>
      <c r="H15143">
        <v>92</v>
      </c>
      <c r="I15143">
        <v>235</v>
      </c>
      <c r="J15143">
        <v>1</v>
      </c>
      <c r="K15143">
        <v>61</v>
      </c>
      <c r="L15143">
        <v>199</v>
      </c>
      <c r="M15143">
        <v>1</v>
      </c>
      <c r="N15143">
        <v>1.6753599999999999E-47</v>
      </c>
      <c r="O15143">
        <v>472</v>
      </c>
    </row>
    <row r="15144" spans="1:15" x14ac:dyDescent="0.25">
      <c r="A15144" t="s">
        <v>15157</v>
      </c>
      <c r="B15144">
        <v>499</v>
      </c>
      <c r="C15144" s="1" t="str">
        <f>HYPERLINK("http://www.rosaceae.org/gb/gbrowse/malus_x_domestica/?name=MDP0000249564","MDP0000249564")</f>
        <v>MDP0000249564</v>
      </c>
      <c r="D15144">
        <v>48.66</v>
      </c>
      <c r="E15144">
        <v>448</v>
      </c>
      <c r="F15144">
        <v>230</v>
      </c>
      <c r="G15144">
        <v>61</v>
      </c>
      <c r="H15144">
        <v>39</v>
      </c>
      <c r="I15144">
        <v>486</v>
      </c>
      <c r="J15144">
        <v>1</v>
      </c>
      <c r="K15144">
        <v>94</v>
      </c>
      <c r="L15144">
        <v>480</v>
      </c>
      <c r="M15144">
        <v>1</v>
      </c>
      <c r="N15144">
        <v>8.1990000000000007E-124</v>
      </c>
      <c r="O15144">
        <v>1134</v>
      </c>
    </row>
    <row r="15145" spans="1:15" x14ac:dyDescent="0.25">
      <c r="A15145" t="s">
        <v>15158</v>
      </c>
      <c r="B15145">
        <v>621</v>
      </c>
      <c r="C15145" s="1" t="str">
        <f>HYPERLINK("http://www.rosaceae.org/gb/gbrowse/malus_x_domestica/?name=MDP0000232225","MDP0000232225")</f>
        <v>MDP0000232225</v>
      </c>
      <c r="D15145">
        <v>65</v>
      </c>
      <c r="E15145">
        <v>500</v>
      </c>
      <c r="F15145">
        <v>175</v>
      </c>
      <c r="G15145">
        <v>52</v>
      </c>
      <c r="H15145">
        <v>31</v>
      </c>
      <c r="I15145">
        <v>527</v>
      </c>
      <c r="J15145">
        <v>1</v>
      </c>
      <c r="K15145">
        <v>30</v>
      </c>
      <c r="L15145">
        <v>480</v>
      </c>
      <c r="M15145">
        <v>1</v>
      </c>
      <c r="N15145">
        <v>8.7688199999999996E-176</v>
      </c>
      <c r="O15145">
        <v>1583</v>
      </c>
    </row>
    <row r="15146" spans="1:15" x14ac:dyDescent="0.25">
      <c r="A15146" t="s">
        <v>15159</v>
      </c>
      <c r="B15146">
        <v>769</v>
      </c>
      <c r="C15146" s="1" t="str">
        <f>HYPERLINK("http://www.rosaceae.org/gb/gbrowse/malus_x_domestica/?name=MDP0000130370","MDP0000130370")</f>
        <v>MDP0000130370</v>
      </c>
      <c r="D15146">
        <v>56.13</v>
      </c>
      <c r="E15146">
        <v>554</v>
      </c>
      <c r="F15146">
        <v>243</v>
      </c>
      <c r="G15146">
        <v>102</v>
      </c>
      <c r="H15146">
        <v>42</v>
      </c>
      <c r="I15146">
        <v>563</v>
      </c>
      <c r="J15146">
        <v>1</v>
      </c>
      <c r="K15146">
        <v>1</v>
      </c>
      <c r="L15146">
        <v>484</v>
      </c>
      <c r="M15146">
        <v>1</v>
      </c>
      <c r="N15146">
        <v>5.3947700000000002E-158</v>
      </c>
      <c r="O15146">
        <v>1431</v>
      </c>
    </row>
    <row r="15147" spans="1:15" x14ac:dyDescent="0.25">
      <c r="A15147" t="s">
        <v>15160</v>
      </c>
      <c r="B15147">
        <v>416</v>
      </c>
      <c r="C15147" s="1" t="str">
        <f>HYPERLINK("http://www.rosaceae.org/gb/gbrowse/malus_x_domestica/?name=MDP0000296599","MDP0000296599")</f>
        <v>MDP0000296599</v>
      </c>
      <c r="D15147">
        <v>77.900000000000006</v>
      </c>
      <c r="E15147">
        <v>353</v>
      </c>
      <c r="F15147">
        <v>78</v>
      </c>
      <c r="G15147">
        <v>1</v>
      </c>
      <c r="H15147">
        <v>56</v>
      </c>
      <c r="I15147">
        <v>408</v>
      </c>
      <c r="J15147">
        <v>1</v>
      </c>
      <c r="K15147">
        <v>64</v>
      </c>
      <c r="L15147">
        <v>415</v>
      </c>
      <c r="M15147">
        <v>1</v>
      </c>
      <c r="N15147">
        <v>3.8350700000000001E-157</v>
      </c>
      <c r="O15147">
        <v>1421</v>
      </c>
    </row>
    <row r="15148" spans="1:15" x14ac:dyDescent="0.25">
      <c r="A15148" t="s">
        <v>15161</v>
      </c>
      <c r="B15148">
        <v>173</v>
      </c>
      <c r="C15148" s="1" t="str">
        <f>HYPERLINK("http://www.rosaceae.org/gb/gbrowse/malus_x_domestica/?name=MDP0000307441","MDP0000307441")</f>
        <v>MDP0000307441</v>
      </c>
      <c r="D15148">
        <v>93.28</v>
      </c>
      <c r="E15148">
        <v>134</v>
      </c>
      <c r="F15148">
        <v>9</v>
      </c>
      <c r="G15148">
        <v>0</v>
      </c>
      <c r="H15148">
        <v>26</v>
      </c>
      <c r="I15148">
        <v>159</v>
      </c>
      <c r="J15148">
        <v>1</v>
      </c>
      <c r="K15148">
        <v>75</v>
      </c>
      <c r="L15148">
        <v>208</v>
      </c>
      <c r="M15148">
        <v>1</v>
      </c>
      <c r="N15148">
        <v>1.6711900000000001E-72</v>
      </c>
      <c r="O15148">
        <v>686</v>
      </c>
    </row>
    <row r="15149" spans="1:15" x14ac:dyDescent="0.25">
      <c r="A15149" t="s">
        <v>15162</v>
      </c>
      <c r="B15149">
        <v>777</v>
      </c>
      <c r="C15149" s="1" t="str">
        <f>HYPERLINK("http://www.rosaceae.org/gb/gbrowse/malus_x_domestica/?name=MDP0000556996","MDP0000556996")</f>
        <v>MDP0000556996</v>
      </c>
      <c r="D15149">
        <v>46.44</v>
      </c>
      <c r="E15149">
        <v>577</v>
      </c>
      <c r="F15149">
        <v>309</v>
      </c>
      <c r="G15149">
        <v>35</v>
      </c>
      <c r="H15149">
        <v>92</v>
      </c>
      <c r="I15149">
        <v>657</v>
      </c>
      <c r="J15149">
        <v>1</v>
      </c>
      <c r="K15149">
        <v>36</v>
      </c>
      <c r="L15149">
        <v>588</v>
      </c>
      <c r="M15149">
        <v>1</v>
      </c>
      <c r="N15149">
        <v>3.4340599999999998E-146</v>
      </c>
      <c r="O15149">
        <v>1329</v>
      </c>
    </row>
    <row r="15150" spans="1:15" x14ac:dyDescent="0.25">
      <c r="A15150" t="s">
        <v>15163</v>
      </c>
      <c r="B15150">
        <v>367</v>
      </c>
      <c r="C15150" s="1" t="str">
        <f>HYPERLINK("http://www.rosaceae.org/gb/gbrowse/malus_x_domestica/?name=MDP0000255598","MDP0000255598")</f>
        <v>MDP0000255598</v>
      </c>
      <c r="D15150">
        <v>81.61</v>
      </c>
      <c r="E15150">
        <v>321</v>
      </c>
      <c r="F15150">
        <v>59</v>
      </c>
      <c r="G15150">
        <v>0</v>
      </c>
      <c r="H15150">
        <v>44</v>
      </c>
      <c r="I15150">
        <v>364</v>
      </c>
      <c r="J15150">
        <v>1</v>
      </c>
      <c r="K15150">
        <v>1</v>
      </c>
      <c r="L15150">
        <v>321</v>
      </c>
      <c r="M15150">
        <v>1</v>
      </c>
      <c r="N15150">
        <v>1.5756499999999999E-154</v>
      </c>
      <c r="O15150">
        <v>1398</v>
      </c>
    </row>
    <row r="15151" spans="1:15" x14ac:dyDescent="0.25">
      <c r="A15151" t="s">
        <v>15164</v>
      </c>
      <c r="B15151">
        <v>151</v>
      </c>
      <c r="C15151" s="1" t="str">
        <f>HYPERLINK("http://www.rosaceae.org/gb/gbrowse/malus_x_domestica/?name=MDP0000597906","MDP0000597906")</f>
        <v>MDP0000597906</v>
      </c>
      <c r="D15151">
        <v>72.069999999999993</v>
      </c>
      <c r="E15151">
        <v>154</v>
      </c>
      <c r="F15151">
        <v>43</v>
      </c>
      <c r="G15151">
        <v>4</v>
      </c>
      <c r="H15151">
        <v>1</v>
      </c>
      <c r="I15151">
        <v>151</v>
      </c>
      <c r="J15151">
        <v>1</v>
      </c>
      <c r="K15151">
        <v>1</v>
      </c>
      <c r="L15151">
        <v>153</v>
      </c>
      <c r="M15151">
        <v>1</v>
      </c>
      <c r="N15151">
        <v>4.0329300000000001E-50</v>
      </c>
      <c r="O15151">
        <v>492</v>
      </c>
    </row>
    <row r="15152" spans="1:15" x14ac:dyDescent="0.25">
      <c r="A15152" t="s">
        <v>15165</v>
      </c>
      <c r="B15152">
        <v>721</v>
      </c>
      <c r="C15152" s="1" t="str">
        <f>HYPERLINK("http://www.rosaceae.org/gb/gbrowse/malus_x_domestica/?name=MDP0000423776","MDP0000423776")</f>
        <v>MDP0000423776</v>
      </c>
      <c r="D15152">
        <v>45.75</v>
      </c>
      <c r="E15152">
        <v>212</v>
      </c>
      <c r="F15152">
        <v>115</v>
      </c>
      <c r="G15152">
        <v>8</v>
      </c>
      <c r="H15152">
        <v>253</v>
      </c>
      <c r="I15152">
        <v>461</v>
      </c>
      <c r="J15152">
        <v>1</v>
      </c>
      <c r="K15152">
        <v>8</v>
      </c>
      <c r="L15152">
        <v>214</v>
      </c>
      <c r="M15152">
        <v>1</v>
      </c>
      <c r="N15152">
        <v>2.04682E-45</v>
      </c>
      <c r="O15152">
        <v>460</v>
      </c>
    </row>
    <row r="15153" spans="1:15" x14ac:dyDescent="0.25">
      <c r="A15153" t="s">
        <v>15166</v>
      </c>
      <c r="B15153">
        <v>332</v>
      </c>
      <c r="C15153" s="1" t="str">
        <f>HYPERLINK("http://www.rosaceae.org/gb/gbrowse/malus_x_domestica/?name=MDP0000136726","MDP0000136726")</f>
        <v>MDP0000136726</v>
      </c>
      <c r="D15153">
        <v>40.049999999999997</v>
      </c>
      <c r="E15153">
        <v>352</v>
      </c>
      <c r="F15153">
        <v>211</v>
      </c>
      <c r="G15153">
        <v>51</v>
      </c>
      <c r="H15153">
        <v>2</v>
      </c>
      <c r="I15153">
        <v>304</v>
      </c>
      <c r="J15153">
        <v>1</v>
      </c>
      <c r="K15153">
        <v>754</v>
      </c>
      <c r="L15153">
        <v>1103</v>
      </c>
      <c r="M15153">
        <v>1</v>
      </c>
      <c r="N15153">
        <v>6.2381500000000003E-64</v>
      </c>
      <c r="O15153">
        <v>616</v>
      </c>
    </row>
    <row r="15154" spans="1:15" x14ac:dyDescent="0.25">
      <c r="A15154" t="s">
        <v>15167</v>
      </c>
      <c r="B15154">
        <v>381</v>
      </c>
      <c r="C15154" s="1" t="str">
        <f>HYPERLINK("http://www.rosaceae.org/gb/gbrowse/malus_x_domestica/?name=MDP0000312058","MDP0000312058")</f>
        <v>MDP0000312058</v>
      </c>
      <c r="D15154">
        <v>70.349999999999994</v>
      </c>
      <c r="E15154">
        <v>280</v>
      </c>
      <c r="F15154">
        <v>83</v>
      </c>
      <c r="G15154">
        <v>7</v>
      </c>
      <c r="H15154">
        <v>56</v>
      </c>
      <c r="I15154">
        <v>330</v>
      </c>
      <c r="J15154">
        <v>1</v>
      </c>
      <c r="K15154">
        <v>1</v>
      </c>
      <c r="L15154">
        <v>278</v>
      </c>
      <c r="M15154">
        <v>1</v>
      </c>
      <c r="N15154">
        <v>2.58182E-98</v>
      </c>
      <c r="O15154">
        <v>913</v>
      </c>
    </row>
    <row r="15155" spans="1:15" x14ac:dyDescent="0.25">
      <c r="A15155" t="s">
        <v>15168</v>
      </c>
      <c r="B15155">
        <v>851</v>
      </c>
      <c r="C15155" s="1" t="str">
        <f>HYPERLINK("http://www.rosaceae.org/gb/gbrowse/malus_x_domestica/?name=MDP0000138501","MDP0000138501")</f>
        <v>MDP0000138501</v>
      </c>
      <c r="D15155">
        <v>62.09</v>
      </c>
      <c r="E15155">
        <v>124</v>
      </c>
      <c r="F15155">
        <v>47</v>
      </c>
      <c r="G15155">
        <v>5</v>
      </c>
      <c r="H15155">
        <v>432</v>
      </c>
      <c r="I15155">
        <v>550</v>
      </c>
      <c r="J15155">
        <v>1</v>
      </c>
      <c r="K15155">
        <v>241</v>
      </c>
      <c r="L15155">
        <v>364</v>
      </c>
      <c r="M15155">
        <v>1</v>
      </c>
      <c r="N15155">
        <v>2.1485E-37</v>
      </c>
      <c r="O15155">
        <v>391</v>
      </c>
    </row>
    <row r="15156" spans="1:15" x14ac:dyDescent="0.25">
      <c r="A15156" t="s">
        <v>15169</v>
      </c>
      <c r="B15156">
        <v>136</v>
      </c>
      <c r="C15156" s="1" t="str">
        <f>HYPERLINK("http://www.rosaceae.org/gb/gbrowse/malus_x_domestica/?name=MDP0000322229","MDP0000322229")</f>
        <v>MDP0000322229</v>
      </c>
      <c r="D15156">
        <v>87.5</v>
      </c>
      <c r="E15156">
        <v>136</v>
      </c>
      <c r="F15156">
        <v>17</v>
      </c>
      <c r="G15156">
        <v>0</v>
      </c>
      <c r="H15156">
        <v>1</v>
      </c>
      <c r="I15156">
        <v>136</v>
      </c>
      <c r="J15156">
        <v>1</v>
      </c>
      <c r="K15156">
        <v>37</v>
      </c>
      <c r="L15156">
        <v>172</v>
      </c>
      <c r="M15156">
        <v>1</v>
      </c>
      <c r="N15156">
        <v>3.0720100000000002E-63</v>
      </c>
      <c r="O15156">
        <v>604</v>
      </c>
    </row>
    <row r="15157" spans="1:15" x14ac:dyDescent="0.25">
      <c r="A15157" t="s">
        <v>15170</v>
      </c>
      <c r="B15157">
        <v>405</v>
      </c>
      <c r="C15157" s="1" t="str">
        <f>HYPERLINK("http://www.rosaceae.org/gb/gbrowse/malus_x_domestica/?name=MDP0000123472","MDP0000123472")</f>
        <v>MDP0000123472</v>
      </c>
      <c r="D15157">
        <v>75.7</v>
      </c>
      <c r="E15157">
        <v>107</v>
      </c>
      <c r="F15157">
        <v>26</v>
      </c>
      <c r="G15157">
        <v>2</v>
      </c>
      <c r="H15157">
        <v>163</v>
      </c>
      <c r="I15157">
        <v>267</v>
      </c>
      <c r="J15157">
        <v>1</v>
      </c>
      <c r="K15157">
        <v>145</v>
      </c>
      <c r="L15157">
        <v>251</v>
      </c>
      <c r="M15157">
        <v>1</v>
      </c>
      <c r="N15157">
        <v>7.8423800000000003E-40</v>
      </c>
      <c r="O15157">
        <v>409</v>
      </c>
    </row>
    <row r="15158" spans="1:15" x14ac:dyDescent="0.25">
      <c r="A15158" t="s">
        <v>15171</v>
      </c>
      <c r="B15158">
        <v>326</v>
      </c>
      <c r="C15158" s="1" t="str">
        <f>HYPERLINK("http://www.rosaceae.org/gb/gbrowse/malus_x_domestica/?name=MDP0000737899","MDP0000737899")</f>
        <v>MDP0000737899</v>
      </c>
      <c r="D15158">
        <v>69.010000000000005</v>
      </c>
      <c r="E15158">
        <v>255</v>
      </c>
      <c r="F15158">
        <v>79</v>
      </c>
      <c r="G15158">
        <v>13</v>
      </c>
      <c r="H15158">
        <v>72</v>
      </c>
      <c r="I15158">
        <v>326</v>
      </c>
      <c r="J15158">
        <v>1</v>
      </c>
      <c r="K15158">
        <v>1</v>
      </c>
      <c r="L15158">
        <v>242</v>
      </c>
      <c r="M15158">
        <v>1</v>
      </c>
      <c r="N15158">
        <v>5.8691300000000004E-96</v>
      </c>
      <c r="O15158">
        <v>892</v>
      </c>
    </row>
    <row r="15159" spans="1:15" x14ac:dyDescent="0.25">
      <c r="A15159" t="s">
        <v>15172</v>
      </c>
      <c r="B15159">
        <v>484</v>
      </c>
      <c r="C15159" s="1" t="str">
        <f>HYPERLINK("http://www.rosaceae.org/gb/gbrowse/malus_x_domestica/?name=MDP0000185979","MDP0000185979")</f>
        <v>MDP0000185979</v>
      </c>
      <c r="D15159">
        <v>55.01</v>
      </c>
      <c r="E15159">
        <v>269</v>
      </c>
      <c r="F15159">
        <v>121</v>
      </c>
      <c r="G15159">
        <v>18</v>
      </c>
      <c r="H15159">
        <v>2</v>
      </c>
      <c r="I15159">
        <v>263</v>
      </c>
      <c r="J15159">
        <v>1</v>
      </c>
      <c r="K15159">
        <v>22</v>
      </c>
      <c r="L15159">
        <v>279</v>
      </c>
      <c r="M15159">
        <v>1</v>
      </c>
      <c r="N15159">
        <v>7.5834199999999997E-79</v>
      </c>
      <c r="O15159">
        <v>746</v>
      </c>
    </row>
    <row r="15160" spans="1:15" x14ac:dyDescent="0.25">
      <c r="A15160" t="s">
        <v>15173</v>
      </c>
      <c r="B15160">
        <v>291</v>
      </c>
      <c r="C15160" s="1" t="str">
        <f>HYPERLINK("http://www.rosaceae.org/gb/gbrowse/malus_x_domestica/?name=MDP0000343311","MDP0000343311")</f>
        <v>MDP0000343311</v>
      </c>
      <c r="D15160">
        <v>43.85</v>
      </c>
      <c r="E15160">
        <v>114</v>
      </c>
      <c r="F15160">
        <v>64</v>
      </c>
      <c r="G15160">
        <v>51</v>
      </c>
      <c r="H15160">
        <v>127</v>
      </c>
      <c r="I15160">
        <v>189</v>
      </c>
      <c r="J15160">
        <v>1</v>
      </c>
      <c r="K15160">
        <v>1</v>
      </c>
      <c r="L15160">
        <v>114</v>
      </c>
      <c r="M15160">
        <v>1</v>
      </c>
      <c r="N15160">
        <v>1.12768E-16</v>
      </c>
      <c r="O15160">
        <v>208</v>
      </c>
    </row>
    <row r="15161" spans="1:15" x14ac:dyDescent="0.25">
      <c r="A15161" t="s">
        <v>15174</v>
      </c>
      <c r="B15161">
        <v>678</v>
      </c>
      <c r="C15161" s="1" t="str">
        <f>HYPERLINK("http://www.rosaceae.org/gb/gbrowse/malus_x_domestica/?name=MDP0000204536","MDP0000204536")</f>
        <v>MDP0000204536</v>
      </c>
      <c r="D15161">
        <v>73.400000000000006</v>
      </c>
      <c r="E15161">
        <v>470</v>
      </c>
      <c r="F15161">
        <v>125</v>
      </c>
      <c r="G15161">
        <v>16</v>
      </c>
      <c r="H15161">
        <v>222</v>
      </c>
      <c r="I15161">
        <v>678</v>
      </c>
      <c r="J15161">
        <v>1</v>
      </c>
      <c r="K15161">
        <v>275</v>
      </c>
      <c r="L15161">
        <v>741</v>
      </c>
      <c r="M15161">
        <v>1</v>
      </c>
      <c r="N15161">
        <v>0</v>
      </c>
      <c r="O15161">
        <v>1797</v>
      </c>
    </row>
    <row r="15162" spans="1:15" x14ac:dyDescent="0.25">
      <c r="A15162" t="s">
        <v>15175</v>
      </c>
      <c r="B15162">
        <v>212</v>
      </c>
      <c r="C15162" s="1" t="str">
        <f>HYPERLINK("http://www.rosaceae.org/gb/gbrowse/malus_x_domestica/?name=MDP0000136426","MDP0000136426")</f>
        <v>MDP0000136426</v>
      </c>
      <c r="D15162">
        <v>50.21</v>
      </c>
      <c r="E15162">
        <v>237</v>
      </c>
      <c r="F15162">
        <v>118</v>
      </c>
      <c r="G15162">
        <v>51</v>
      </c>
      <c r="H15162">
        <v>1</v>
      </c>
      <c r="I15162">
        <v>211</v>
      </c>
      <c r="J15162">
        <v>1</v>
      </c>
      <c r="K15162">
        <v>1</v>
      </c>
      <c r="L15162">
        <v>212</v>
      </c>
      <c r="M15162">
        <v>1</v>
      </c>
      <c r="N15162">
        <v>4.0347700000000001E-44</v>
      </c>
      <c r="O15162">
        <v>442</v>
      </c>
    </row>
    <row r="15163" spans="1:15" x14ac:dyDescent="0.25">
      <c r="A15163" t="s">
        <v>15176</v>
      </c>
      <c r="B15163">
        <v>575</v>
      </c>
      <c r="C15163" s="1" t="str">
        <f>HYPERLINK("http://www.rosaceae.org/gb/gbrowse/malus_x_domestica/?name=MDP0000209438","MDP0000209438")</f>
        <v>MDP0000209438</v>
      </c>
      <c r="D15163">
        <v>66.22</v>
      </c>
      <c r="E15163">
        <v>610</v>
      </c>
      <c r="F15163">
        <v>206</v>
      </c>
      <c r="G15163">
        <v>35</v>
      </c>
      <c r="H15163">
        <v>1</v>
      </c>
      <c r="I15163">
        <v>575</v>
      </c>
      <c r="J15163">
        <v>1</v>
      </c>
      <c r="K15163">
        <v>236</v>
      </c>
      <c r="L15163">
        <v>845</v>
      </c>
      <c r="M15163">
        <v>1</v>
      </c>
      <c r="N15163">
        <v>0</v>
      </c>
      <c r="O15163">
        <v>2044</v>
      </c>
    </row>
    <row r="15164" spans="1:15" x14ac:dyDescent="0.25">
      <c r="A15164" t="s">
        <v>15177</v>
      </c>
      <c r="B15164">
        <v>703</v>
      </c>
      <c r="C15164" s="1" t="str">
        <f>HYPERLINK("http://www.rosaceae.org/gb/gbrowse/malus_x_domestica/?name=MDP0000288685","MDP0000288685")</f>
        <v>MDP0000288685</v>
      </c>
      <c r="D15164">
        <v>79.34</v>
      </c>
      <c r="E15164">
        <v>615</v>
      </c>
      <c r="F15164">
        <v>127</v>
      </c>
      <c r="G15164">
        <v>22</v>
      </c>
      <c r="H15164">
        <v>90</v>
      </c>
      <c r="I15164">
        <v>703</v>
      </c>
      <c r="J15164">
        <v>1</v>
      </c>
      <c r="K15164">
        <v>135</v>
      </c>
      <c r="L15164">
        <v>728</v>
      </c>
      <c r="M15164">
        <v>1</v>
      </c>
      <c r="N15164">
        <v>0</v>
      </c>
      <c r="O15164">
        <v>2570</v>
      </c>
    </row>
    <row r="15165" spans="1:15" x14ac:dyDescent="0.25">
      <c r="A15165" t="s">
        <v>15178</v>
      </c>
      <c r="B15165">
        <v>117</v>
      </c>
      <c r="C15165" s="1" t="str">
        <f>HYPERLINK("http://www.rosaceae.org/gb/gbrowse/malus_x_domestica/?name=MDP0000290460","MDP0000290460")</f>
        <v>MDP0000290460</v>
      </c>
      <c r="D15165">
        <v>78.400000000000006</v>
      </c>
      <c r="E15165">
        <v>88</v>
      </c>
      <c r="F15165">
        <v>19</v>
      </c>
      <c r="G15165">
        <v>0</v>
      </c>
      <c r="H15165">
        <v>28</v>
      </c>
      <c r="I15165">
        <v>115</v>
      </c>
      <c r="J15165">
        <v>1</v>
      </c>
      <c r="K15165">
        <v>36</v>
      </c>
      <c r="L15165">
        <v>123</v>
      </c>
      <c r="M15165">
        <v>1</v>
      </c>
      <c r="N15165">
        <v>4.5367300000000002E-36</v>
      </c>
      <c r="O15165">
        <v>368</v>
      </c>
    </row>
    <row r="15166" spans="1:15" x14ac:dyDescent="0.25">
      <c r="A15166" t="s">
        <v>15179</v>
      </c>
      <c r="B15166">
        <v>946</v>
      </c>
      <c r="C15166" s="1" t="str">
        <f>HYPERLINK("http://www.rosaceae.org/gb/gbrowse/malus_x_domestica/?name=MDP0000897742","MDP0000897742")</f>
        <v>MDP0000897742</v>
      </c>
      <c r="D15166">
        <v>76.94</v>
      </c>
      <c r="E15166">
        <v>386</v>
      </c>
      <c r="F15166">
        <v>89</v>
      </c>
      <c r="G15166">
        <v>0</v>
      </c>
      <c r="H15166">
        <v>1</v>
      </c>
      <c r="I15166">
        <v>386</v>
      </c>
      <c r="J15166">
        <v>1</v>
      </c>
      <c r="K15166">
        <v>1</v>
      </c>
      <c r="L15166">
        <v>386</v>
      </c>
      <c r="M15166">
        <v>1</v>
      </c>
      <c r="N15166">
        <v>2.6895900000000001E-180</v>
      </c>
      <c r="O15166">
        <v>1624</v>
      </c>
    </row>
    <row r="15167" spans="1:15" x14ac:dyDescent="0.25">
      <c r="A15167" t="s">
        <v>15180</v>
      </c>
      <c r="B15167">
        <v>217</v>
      </c>
      <c r="C15167" s="1" t="str">
        <f>HYPERLINK("http://www.rosaceae.org/gb/gbrowse/malus_x_domestica/?name=MDP0000256696","MDP0000256696")</f>
        <v>MDP0000256696</v>
      </c>
      <c r="D15167">
        <v>74.17</v>
      </c>
      <c r="E15167">
        <v>213</v>
      </c>
      <c r="F15167">
        <v>55</v>
      </c>
      <c r="G15167">
        <v>2</v>
      </c>
      <c r="H15167">
        <v>5</v>
      </c>
      <c r="I15167">
        <v>217</v>
      </c>
      <c r="J15167">
        <v>1</v>
      </c>
      <c r="K15167">
        <v>2</v>
      </c>
      <c r="L15167">
        <v>212</v>
      </c>
      <c r="M15167">
        <v>1</v>
      </c>
      <c r="N15167">
        <v>1.3164300000000001E-85</v>
      </c>
      <c r="O15167">
        <v>800</v>
      </c>
    </row>
    <row r="15168" spans="1:15" x14ac:dyDescent="0.25">
      <c r="A15168" t="s">
        <v>15181</v>
      </c>
      <c r="B15168">
        <v>1122</v>
      </c>
      <c r="C15168" s="1" t="str">
        <f>HYPERLINK("http://www.rosaceae.org/gb/gbrowse/malus_x_domestica/?name=MDP0000280075","MDP0000280075")</f>
        <v>MDP0000280075</v>
      </c>
      <c r="D15168">
        <v>67.69</v>
      </c>
      <c r="E15168">
        <v>777</v>
      </c>
      <c r="F15168">
        <v>251</v>
      </c>
      <c r="G15168">
        <v>68</v>
      </c>
      <c r="H15168">
        <v>214</v>
      </c>
      <c r="I15168">
        <v>974</v>
      </c>
      <c r="J15168">
        <v>1</v>
      </c>
      <c r="K15168">
        <v>45</v>
      </c>
      <c r="L15168">
        <v>769</v>
      </c>
      <c r="M15168">
        <v>1</v>
      </c>
      <c r="N15168">
        <v>0</v>
      </c>
      <c r="O15168">
        <v>2422</v>
      </c>
    </row>
    <row r="15169" spans="1:15" x14ac:dyDescent="0.25">
      <c r="A15169" t="s">
        <v>15182</v>
      </c>
      <c r="B15169">
        <v>273</v>
      </c>
      <c r="C15169" s="1" t="str">
        <f>HYPERLINK("http://www.rosaceae.org/gb/gbrowse/malus_x_domestica/?name=MDP0000240094","MDP0000240094")</f>
        <v>MDP0000240094</v>
      </c>
      <c r="D15169">
        <v>71.849999999999994</v>
      </c>
      <c r="E15169">
        <v>199</v>
      </c>
      <c r="F15169">
        <v>56</v>
      </c>
      <c r="G15169">
        <v>8</v>
      </c>
      <c r="H15169">
        <v>81</v>
      </c>
      <c r="I15169">
        <v>273</v>
      </c>
      <c r="J15169">
        <v>1</v>
      </c>
      <c r="K15169">
        <v>6</v>
      </c>
      <c r="L15169">
        <v>202</v>
      </c>
      <c r="M15169">
        <v>1</v>
      </c>
      <c r="N15169">
        <v>6.4514099999999996E-75</v>
      </c>
      <c r="O15169">
        <v>710</v>
      </c>
    </row>
    <row r="15170" spans="1:15" x14ac:dyDescent="0.25">
      <c r="A15170" t="s">
        <v>15183</v>
      </c>
      <c r="B15170">
        <v>660</v>
      </c>
      <c r="C15170" s="1" t="str">
        <f>HYPERLINK("http://www.rosaceae.org/gb/gbrowse/malus_x_domestica/?name=MDP0000319460","MDP0000319460")</f>
        <v>MDP0000319460</v>
      </c>
      <c r="D15170">
        <v>55.87</v>
      </c>
      <c r="E15170">
        <v>621</v>
      </c>
      <c r="F15170">
        <v>274</v>
      </c>
      <c r="G15170">
        <v>30</v>
      </c>
      <c r="H15170">
        <v>33</v>
      </c>
      <c r="I15170">
        <v>640</v>
      </c>
      <c r="J15170">
        <v>1</v>
      </c>
      <c r="K15170">
        <v>32</v>
      </c>
      <c r="L15170">
        <v>635</v>
      </c>
      <c r="M15170">
        <v>1</v>
      </c>
      <c r="N15170">
        <v>0</v>
      </c>
      <c r="O15170">
        <v>1708</v>
      </c>
    </row>
    <row r="15171" spans="1:15" x14ac:dyDescent="0.25">
      <c r="A15171" t="s">
        <v>15184</v>
      </c>
      <c r="B15171">
        <v>200</v>
      </c>
      <c r="C15171" s="1" t="str">
        <f>HYPERLINK("http://www.rosaceae.org/gb/gbrowse/malus_x_domestica/?name=MDP0000307226","MDP0000307226")</f>
        <v>MDP0000307226</v>
      </c>
      <c r="D15171">
        <v>42.52</v>
      </c>
      <c r="E15171">
        <v>87</v>
      </c>
      <c r="F15171">
        <v>50</v>
      </c>
      <c r="G15171">
        <v>3</v>
      </c>
      <c r="H15171">
        <v>114</v>
      </c>
      <c r="I15171">
        <v>200</v>
      </c>
      <c r="J15171">
        <v>1</v>
      </c>
      <c r="K15171">
        <v>73</v>
      </c>
      <c r="L15171">
        <v>156</v>
      </c>
      <c r="M15171">
        <v>1</v>
      </c>
      <c r="N15171">
        <v>2.2930100000000001E-12</v>
      </c>
      <c r="O15171">
        <v>168</v>
      </c>
    </row>
    <row r="15172" spans="1:15" x14ac:dyDescent="0.25">
      <c r="A15172" t="s">
        <v>15185</v>
      </c>
      <c r="B15172">
        <v>489</v>
      </c>
      <c r="C15172" s="1" t="str">
        <f>HYPERLINK("http://www.rosaceae.org/gb/gbrowse/malus_x_domestica/?name=MDP0000286804","MDP0000286804")</f>
        <v>MDP0000286804</v>
      </c>
      <c r="D15172">
        <v>30.93</v>
      </c>
      <c r="E15172">
        <v>236</v>
      </c>
      <c r="F15172">
        <v>163</v>
      </c>
      <c r="G15172">
        <v>12</v>
      </c>
      <c r="H15172">
        <v>105</v>
      </c>
      <c r="I15172">
        <v>339</v>
      </c>
      <c r="J15172">
        <v>1</v>
      </c>
      <c r="K15172">
        <v>393</v>
      </c>
      <c r="L15172">
        <v>617</v>
      </c>
      <c r="M15172">
        <v>1</v>
      </c>
      <c r="N15172">
        <v>2.4075600000000001E-24</v>
      </c>
      <c r="O15172">
        <v>276</v>
      </c>
    </row>
    <row r="15173" spans="1:15" x14ac:dyDescent="0.25">
      <c r="A15173" t="s">
        <v>15186</v>
      </c>
      <c r="B15173">
        <v>333</v>
      </c>
      <c r="C15173" s="1" t="str">
        <f>HYPERLINK("http://www.rosaceae.org/gb/gbrowse/malus_x_domestica/?name=MDP0000320323","MDP0000320323")</f>
        <v>MDP0000320323</v>
      </c>
      <c r="D15173">
        <v>72.53</v>
      </c>
      <c r="E15173">
        <v>233</v>
      </c>
      <c r="F15173">
        <v>64</v>
      </c>
      <c r="G15173">
        <v>1</v>
      </c>
      <c r="H15173">
        <v>102</v>
      </c>
      <c r="I15173">
        <v>333</v>
      </c>
      <c r="J15173">
        <v>1</v>
      </c>
      <c r="K15173">
        <v>1</v>
      </c>
      <c r="L15173">
        <v>233</v>
      </c>
      <c r="M15173">
        <v>1</v>
      </c>
      <c r="N15173">
        <v>4.5301299999999999E-89</v>
      </c>
      <c r="O15173">
        <v>833</v>
      </c>
    </row>
    <row r="15174" spans="1:15" x14ac:dyDescent="0.25">
      <c r="A15174" t="s">
        <v>15187</v>
      </c>
      <c r="B15174">
        <v>839</v>
      </c>
      <c r="C15174" s="1" t="str">
        <f>HYPERLINK("http://www.rosaceae.org/gb/gbrowse/malus_x_domestica/?name=MDP0000879985","MDP0000879985")</f>
        <v>MDP0000879985</v>
      </c>
      <c r="D15174">
        <v>63.55</v>
      </c>
      <c r="E15174">
        <v>867</v>
      </c>
      <c r="F15174">
        <v>316</v>
      </c>
      <c r="G15174">
        <v>36</v>
      </c>
      <c r="H15174">
        <v>1</v>
      </c>
      <c r="I15174">
        <v>839</v>
      </c>
      <c r="J15174">
        <v>1</v>
      </c>
      <c r="K15174">
        <v>1</v>
      </c>
      <c r="L15174">
        <v>859</v>
      </c>
      <c r="M15174">
        <v>1</v>
      </c>
      <c r="N15174">
        <v>0</v>
      </c>
      <c r="O15174">
        <v>2623</v>
      </c>
    </row>
    <row r="15175" spans="1:15" x14ac:dyDescent="0.25">
      <c r="A15175" t="s">
        <v>15188</v>
      </c>
      <c r="B15175">
        <v>873</v>
      </c>
      <c r="C15175" s="1" t="str">
        <f>HYPERLINK("http://www.rosaceae.org/gb/gbrowse/malus_x_domestica/?name=MDP0000302319","MDP0000302319")</f>
        <v>MDP0000302319</v>
      </c>
      <c r="D15175">
        <v>72.84</v>
      </c>
      <c r="E15175">
        <v>788</v>
      </c>
      <c r="F15175">
        <v>214</v>
      </c>
      <c r="G15175">
        <v>9</v>
      </c>
      <c r="H15175">
        <v>92</v>
      </c>
      <c r="I15175">
        <v>873</v>
      </c>
      <c r="J15175">
        <v>1</v>
      </c>
      <c r="K15175">
        <v>12</v>
      </c>
      <c r="L15175">
        <v>796</v>
      </c>
      <c r="M15175">
        <v>1</v>
      </c>
      <c r="N15175">
        <v>0</v>
      </c>
      <c r="O15175">
        <v>2850</v>
      </c>
    </row>
    <row r="15176" spans="1:15" x14ac:dyDescent="0.25">
      <c r="A15176" t="s">
        <v>15189</v>
      </c>
      <c r="B15176">
        <v>443</v>
      </c>
      <c r="C15176" s="1" t="str">
        <f>HYPERLINK("http://www.rosaceae.org/gb/gbrowse/malus_x_domestica/?name=MDP0000322036","MDP0000322036")</f>
        <v>MDP0000322036</v>
      </c>
      <c r="D15176">
        <v>35.76</v>
      </c>
      <c r="E15176">
        <v>274</v>
      </c>
      <c r="F15176">
        <v>176</v>
      </c>
      <c r="G15176">
        <v>41</v>
      </c>
      <c r="H15176">
        <v>28</v>
      </c>
      <c r="I15176">
        <v>299</v>
      </c>
      <c r="J15176">
        <v>1</v>
      </c>
      <c r="K15176">
        <v>87</v>
      </c>
      <c r="L15176">
        <v>321</v>
      </c>
      <c r="M15176">
        <v>1</v>
      </c>
      <c r="N15176">
        <v>4.5810399999999997E-39</v>
      </c>
      <c r="O15176">
        <v>403</v>
      </c>
    </row>
    <row r="15177" spans="1:15" x14ac:dyDescent="0.25">
      <c r="A15177" t="s">
        <v>15190</v>
      </c>
      <c r="B15177">
        <v>189</v>
      </c>
      <c r="C15177" s="1" t="str">
        <f>HYPERLINK("http://www.rosaceae.org/gb/gbrowse/malus_x_domestica/?name=MDP0000257298","MDP0000257298")</f>
        <v>MDP0000257298</v>
      </c>
      <c r="D15177">
        <v>39.090000000000003</v>
      </c>
      <c r="E15177">
        <v>133</v>
      </c>
      <c r="F15177">
        <v>81</v>
      </c>
      <c r="G15177">
        <v>19</v>
      </c>
      <c r="H15177">
        <v>3</v>
      </c>
      <c r="I15177">
        <v>129</v>
      </c>
      <c r="J15177">
        <v>1</v>
      </c>
      <c r="K15177">
        <v>80</v>
      </c>
      <c r="L15177">
        <v>199</v>
      </c>
      <c r="M15177">
        <v>1</v>
      </c>
      <c r="N15177">
        <v>3.7314399999999999E-11</v>
      </c>
      <c r="O15177">
        <v>157</v>
      </c>
    </row>
    <row r="15178" spans="1:15" x14ac:dyDescent="0.25">
      <c r="A15178" t="s">
        <v>15191</v>
      </c>
      <c r="B15178">
        <v>303</v>
      </c>
      <c r="C15178" s="1" t="str">
        <f>HYPERLINK("http://www.rosaceae.org/gb/gbrowse/malus_x_domestica/?name=MDP0000725634","MDP0000725634")</f>
        <v>MDP0000725634</v>
      </c>
      <c r="D15178">
        <v>30.88</v>
      </c>
      <c r="E15178">
        <v>272</v>
      </c>
      <c r="F15178">
        <v>188</v>
      </c>
      <c r="G15178">
        <v>13</v>
      </c>
      <c r="H15178">
        <v>16</v>
      </c>
      <c r="I15178">
        <v>284</v>
      </c>
      <c r="J15178">
        <v>1</v>
      </c>
      <c r="K15178">
        <v>88</v>
      </c>
      <c r="L15178">
        <v>349</v>
      </c>
      <c r="M15178">
        <v>1</v>
      </c>
      <c r="N15178">
        <v>6.7923699999999998E-22</v>
      </c>
      <c r="O15178">
        <v>253</v>
      </c>
    </row>
    <row r="15179" spans="1:15" x14ac:dyDescent="0.25">
      <c r="A15179" t="s">
        <v>15192</v>
      </c>
      <c r="B15179">
        <v>691</v>
      </c>
      <c r="C15179" s="1" t="str">
        <f>HYPERLINK("http://www.rosaceae.org/gb/gbrowse/malus_x_domestica/?name=MDP0000202258","MDP0000202258")</f>
        <v>MDP0000202258</v>
      </c>
      <c r="D15179">
        <v>56.89</v>
      </c>
      <c r="E15179">
        <v>174</v>
      </c>
      <c r="F15179">
        <v>75</v>
      </c>
      <c r="G15179">
        <v>47</v>
      </c>
      <c r="H15179">
        <v>454</v>
      </c>
      <c r="I15179">
        <v>600</v>
      </c>
      <c r="J15179">
        <v>1</v>
      </c>
      <c r="K15179">
        <v>73</v>
      </c>
      <c r="L15179">
        <v>226</v>
      </c>
      <c r="M15179">
        <v>1</v>
      </c>
      <c r="N15179">
        <v>3.8823999999999998E-42</v>
      </c>
      <c r="O15179">
        <v>431</v>
      </c>
    </row>
    <row r="15180" spans="1:15" x14ac:dyDescent="0.25">
      <c r="A15180" t="s">
        <v>15193</v>
      </c>
      <c r="B15180">
        <v>528</v>
      </c>
      <c r="C15180" s="1" t="str">
        <f>HYPERLINK("http://www.rosaceae.org/gb/gbrowse/malus_x_domestica/?name=MDP0000138927","MDP0000138927")</f>
        <v>MDP0000138927</v>
      </c>
      <c r="D15180">
        <v>54.49</v>
      </c>
      <c r="E15180">
        <v>523</v>
      </c>
      <c r="F15180">
        <v>238</v>
      </c>
      <c r="G15180">
        <v>12</v>
      </c>
      <c r="H15180">
        <v>1</v>
      </c>
      <c r="I15180">
        <v>518</v>
      </c>
      <c r="J15180">
        <v>1</v>
      </c>
      <c r="K15180">
        <v>28</v>
      </c>
      <c r="L15180">
        <v>543</v>
      </c>
      <c r="M15180">
        <v>1</v>
      </c>
      <c r="N15180">
        <v>4.5111200000000003E-158</v>
      </c>
      <c r="O15180">
        <v>1430</v>
      </c>
    </row>
    <row r="15181" spans="1:15" x14ac:dyDescent="0.25">
      <c r="A15181" t="s">
        <v>15194</v>
      </c>
      <c r="B15181">
        <v>678</v>
      </c>
      <c r="C15181" s="1" t="str">
        <f>HYPERLINK("http://www.rosaceae.org/gb/gbrowse/malus_x_domestica/?name=MDP0000238475","MDP0000238475")</f>
        <v>MDP0000238475</v>
      </c>
      <c r="D15181">
        <v>84.08</v>
      </c>
      <c r="E15181">
        <v>685</v>
      </c>
      <c r="F15181">
        <v>109</v>
      </c>
      <c r="G15181">
        <v>20</v>
      </c>
      <c r="H15181">
        <v>13</v>
      </c>
      <c r="I15181">
        <v>678</v>
      </c>
      <c r="J15181">
        <v>1</v>
      </c>
      <c r="K15181">
        <v>1</v>
      </c>
      <c r="L15181">
        <v>684</v>
      </c>
      <c r="M15181">
        <v>1</v>
      </c>
      <c r="N15181">
        <v>0</v>
      </c>
      <c r="O15181">
        <v>2997</v>
      </c>
    </row>
    <row r="15182" spans="1:15" x14ac:dyDescent="0.25">
      <c r="A15182" t="s">
        <v>15195</v>
      </c>
      <c r="B15182">
        <v>133</v>
      </c>
      <c r="C15182" s="1" t="str">
        <f>HYPERLINK("http://www.rosaceae.org/gb/gbrowse/malus_x_domestica/?name=MDP0000296317","MDP0000296317")</f>
        <v>MDP0000296317</v>
      </c>
      <c r="D15182">
        <v>33.06</v>
      </c>
      <c r="E15182">
        <v>124</v>
      </c>
      <c r="F15182">
        <v>83</v>
      </c>
      <c r="G15182">
        <v>17</v>
      </c>
      <c r="H15182">
        <v>18</v>
      </c>
      <c r="I15182">
        <v>133</v>
      </c>
      <c r="J15182">
        <v>1</v>
      </c>
      <c r="K15182">
        <v>360</v>
      </c>
      <c r="L15182">
        <v>474</v>
      </c>
      <c r="M15182">
        <v>1</v>
      </c>
      <c r="N15182">
        <v>3.08261E-9</v>
      </c>
      <c r="O15182">
        <v>138</v>
      </c>
    </row>
    <row r="15183" spans="1:15" x14ac:dyDescent="0.25">
      <c r="A15183" t="s">
        <v>15196</v>
      </c>
      <c r="B15183">
        <v>285</v>
      </c>
      <c r="C15183" s="1" t="str">
        <f>HYPERLINK("http://www.rosaceae.org/gb/gbrowse/malus_x_domestica/?name=MDP0000510232","MDP0000510232")</f>
        <v>MDP0000510232</v>
      </c>
      <c r="D15183">
        <v>30.76</v>
      </c>
      <c r="E15183">
        <v>117</v>
      </c>
      <c r="F15183">
        <v>81</v>
      </c>
      <c r="G15183">
        <v>23</v>
      </c>
      <c r="H15183">
        <v>105</v>
      </c>
      <c r="I15183">
        <v>221</v>
      </c>
      <c r="J15183">
        <v>1</v>
      </c>
      <c r="K15183">
        <v>123</v>
      </c>
      <c r="L15183">
        <v>216</v>
      </c>
      <c r="M15183">
        <v>1</v>
      </c>
      <c r="N15183">
        <v>7.1580100000000002E-8</v>
      </c>
      <c r="O15183">
        <v>132</v>
      </c>
    </row>
    <row r="15184" spans="1:15" x14ac:dyDescent="0.25">
      <c r="A15184" t="s">
        <v>15197</v>
      </c>
      <c r="B15184">
        <v>260</v>
      </c>
      <c r="C15184" s="1" t="str">
        <f>HYPERLINK("http://www.rosaceae.org/gb/gbrowse/malus_x_domestica/?name=MDP0000271337","MDP0000271337")</f>
        <v>MDP0000271337</v>
      </c>
      <c r="D15184">
        <v>60.36</v>
      </c>
      <c r="E15184">
        <v>217</v>
      </c>
      <c r="F15184">
        <v>86</v>
      </c>
      <c r="G15184">
        <v>9</v>
      </c>
      <c r="H15184">
        <v>51</v>
      </c>
      <c r="I15184">
        <v>260</v>
      </c>
      <c r="J15184">
        <v>1</v>
      </c>
      <c r="K15184">
        <v>5</v>
      </c>
      <c r="L15184">
        <v>219</v>
      </c>
      <c r="M15184">
        <v>1</v>
      </c>
      <c r="N15184">
        <v>8.2983900000000005E-62</v>
      </c>
      <c r="O15184">
        <v>596</v>
      </c>
    </row>
    <row r="15185" spans="1:15" x14ac:dyDescent="0.25">
      <c r="A15185" t="s">
        <v>15198</v>
      </c>
      <c r="B15185">
        <v>394</v>
      </c>
      <c r="C15185" s="1" t="str">
        <f>HYPERLINK("http://www.rosaceae.org/gb/gbrowse/malus_x_domestica/?name=MDP0000185340","MDP0000185340")</f>
        <v>MDP0000185340</v>
      </c>
      <c r="D15185">
        <v>71.11</v>
      </c>
      <c r="E15185">
        <v>270</v>
      </c>
      <c r="F15185">
        <v>78</v>
      </c>
      <c r="G15185">
        <v>4</v>
      </c>
      <c r="H15185">
        <v>126</v>
      </c>
      <c r="I15185">
        <v>394</v>
      </c>
      <c r="J15185">
        <v>1</v>
      </c>
      <c r="K15185">
        <v>68</v>
      </c>
      <c r="L15185">
        <v>334</v>
      </c>
      <c r="M15185">
        <v>1</v>
      </c>
      <c r="N15185">
        <v>8.6686800000000005E-112</v>
      </c>
      <c r="O15185">
        <v>1029</v>
      </c>
    </row>
    <row r="15186" spans="1:15" x14ac:dyDescent="0.25">
      <c r="A15186" t="s">
        <v>15199</v>
      </c>
      <c r="B15186">
        <v>360</v>
      </c>
      <c r="C15186" s="1" t="str">
        <f>HYPERLINK("http://www.rosaceae.org/gb/gbrowse/malus_x_domestica/?name=MDP0000862750","MDP0000862750")</f>
        <v>MDP0000862750</v>
      </c>
      <c r="D15186">
        <v>77.239999999999995</v>
      </c>
      <c r="E15186">
        <v>290</v>
      </c>
      <c r="F15186">
        <v>66</v>
      </c>
      <c r="G15186">
        <v>8</v>
      </c>
      <c r="H15186">
        <v>1</v>
      </c>
      <c r="I15186">
        <v>290</v>
      </c>
      <c r="J15186">
        <v>1</v>
      </c>
      <c r="K15186">
        <v>1</v>
      </c>
      <c r="L15186">
        <v>282</v>
      </c>
      <c r="M15186">
        <v>1</v>
      </c>
      <c r="N15186">
        <v>5.58327E-129</v>
      </c>
      <c r="O15186">
        <v>1177</v>
      </c>
    </row>
    <row r="15187" spans="1:15" x14ac:dyDescent="0.25">
      <c r="A15187" t="s">
        <v>15200</v>
      </c>
      <c r="B15187">
        <v>236</v>
      </c>
      <c r="C15187" s="1" t="str">
        <f>HYPERLINK("http://www.rosaceae.org/gb/gbrowse/malus_x_domestica/?name=MDP0000803920","MDP0000803920")</f>
        <v>MDP0000803920</v>
      </c>
      <c r="D15187">
        <v>59.52</v>
      </c>
      <c r="E15187">
        <v>210</v>
      </c>
      <c r="F15187">
        <v>85</v>
      </c>
      <c r="G15187">
        <v>6</v>
      </c>
      <c r="H15187">
        <v>10</v>
      </c>
      <c r="I15187">
        <v>216</v>
      </c>
      <c r="J15187">
        <v>1</v>
      </c>
      <c r="K15187">
        <v>798</v>
      </c>
      <c r="L15187">
        <v>1004</v>
      </c>
      <c r="M15187">
        <v>1</v>
      </c>
      <c r="N15187">
        <v>5.2711300000000001E-65</v>
      </c>
      <c r="O15187">
        <v>623</v>
      </c>
    </row>
    <row r="15188" spans="1:15" x14ac:dyDescent="0.25">
      <c r="A15188" t="s">
        <v>15201</v>
      </c>
      <c r="B15188">
        <v>579</v>
      </c>
      <c r="C15188" s="1" t="str">
        <f>HYPERLINK("http://www.rosaceae.org/gb/gbrowse/malus_x_domestica/?name=MDP0000710740","MDP0000710740")</f>
        <v>MDP0000710740</v>
      </c>
      <c r="D15188">
        <v>60.55</v>
      </c>
      <c r="E15188">
        <v>218</v>
      </c>
      <c r="F15188">
        <v>86</v>
      </c>
      <c r="G15188">
        <v>0</v>
      </c>
      <c r="H15188">
        <v>1</v>
      </c>
      <c r="I15188">
        <v>218</v>
      </c>
      <c r="J15188">
        <v>1</v>
      </c>
      <c r="K15188">
        <v>373</v>
      </c>
      <c r="L15188">
        <v>590</v>
      </c>
      <c r="M15188">
        <v>1</v>
      </c>
      <c r="N15188">
        <v>2.1656200000000001E-71</v>
      </c>
      <c r="O15188">
        <v>683</v>
      </c>
    </row>
    <row r="15189" spans="1:15" x14ac:dyDescent="0.25">
      <c r="A15189" t="s">
        <v>15202</v>
      </c>
      <c r="B15189">
        <v>199</v>
      </c>
      <c r="C15189" s="1" t="str">
        <f>HYPERLINK("http://www.rosaceae.org/gb/gbrowse/malus_x_domestica/?name=MDP0000778575","MDP0000778575")</f>
        <v>MDP0000778575</v>
      </c>
      <c r="D15189">
        <v>88.83</v>
      </c>
      <c r="E15189">
        <v>206</v>
      </c>
      <c r="F15189">
        <v>23</v>
      </c>
      <c r="G15189">
        <v>9</v>
      </c>
      <c r="H15189">
        <v>3</v>
      </c>
      <c r="I15189">
        <v>199</v>
      </c>
      <c r="J15189">
        <v>1</v>
      </c>
      <c r="K15189">
        <v>2</v>
      </c>
      <c r="L15189">
        <v>207</v>
      </c>
      <c r="M15189">
        <v>1</v>
      </c>
      <c r="N15189">
        <v>2.34307E-105</v>
      </c>
      <c r="O15189">
        <v>970</v>
      </c>
    </row>
    <row r="15190" spans="1:15" x14ac:dyDescent="0.25">
      <c r="A15190" t="s">
        <v>15203</v>
      </c>
      <c r="B15190">
        <v>410</v>
      </c>
      <c r="C15190" s="1" t="str">
        <f>HYPERLINK("http://www.rosaceae.org/gb/gbrowse/malus_x_domestica/?name=MDP0000406379","MDP0000406379")</f>
        <v>MDP0000406379</v>
      </c>
      <c r="D15190">
        <v>41.9</v>
      </c>
      <c r="E15190">
        <v>210</v>
      </c>
      <c r="F15190">
        <v>122</v>
      </c>
      <c r="G15190">
        <v>43</v>
      </c>
      <c r="H15190">
        <v>215</v>
      </c>
      <c r="I15190">
        <v>399</v>
      </c>
      <c r="J15190">
        <v>1</v>
      </c>
      <c r="K15190">
        <v>191</v>
      </c>
      <c r="L15190">
        <v>382</v>
      </c>
      <c r="M15190">
        <v>1</v>
      </c>
      <c r="N15190">
        <v>3.3088999999999998E-23</v>
      </c>
      <c r="O15190">
        <v>266</v>
      </c>
    </row>
    <row r="15191" spans="1:15" x14ac:dyDescent="0.25">
      <c r="A15191" t="s">
        <v>15204</v>
      </c>
      <c r="B15191">
        <v>456</v>
      </c>
      <c r="C15191" s="1" t="str">
        <f>HYPERLINK("http://www.rosaceae.org/gb/gbrowse/malus_x_domestica/?name=MDP0000201897","MDP0000201897")</f>
        <v>MDP0000201897</v>
      </c>
      <c r="D15191">
        <v>33.75</v>
      </c>
      <c r="E15191">
        <v>157</v>
      </c>
      <c r="F15191">
        <v>104</v>
      </c>
      <c r="G15191">
        <v>18</v>
      </c>
      <c r="H15191">
        <v>9</v>
      </c>
      <c r="I15191">
        <v>158</v>
      </c>
      <c r="J15191">
        <v>1</v>
      </c>
      <c r="K15191">
        <v>689</v>
      </c>
      <c r="L15191">
        <v>834</v>
      </c>
      <c r="M15191">
        <v>1</v>
      </c>
      <c r="N15191">
        <v>1.9969499999999999E-12</v>
      </c>
      <c r="O15191">
        <v>173</v>
      </c>
    </row>
    <row r="15192" spans="1:15" x14ac:dyDescent="0.25">
      <c r="A15192" t="s">
        <v>15205</v>
      </c>
      <c r="B15192">
        <v>132</v>
      </c>
      <c r="C15192" s="1" t="str">
        <f>HYPERLINK("http://www.rosaceae.org/gb/gbrowse/malus_x_domestica/?name=MDP0000235765","MDP0000235765")</f>
        <v>MDP0000235765</v>
      </c>
      <c r="D15192">
        <v>72.86</v>
      </c>
      <c r="E15192">
        <v>129</v>
      </c>
      <c r="F15192">
        <v>35</v>
      </c>
      <c r="G15192">
        <v>4</v>
      </c>
      <c r="H15192">
        <v>1</v>
      </c>
      <c r="I15192">
        <v>128</v>
      </c>
      <c r="J15192">
        <v>1</v>
      </c>
      <c r="K15192">
        <v>126</v>
      </c>
      <c r="L15192">
        <v>251</v>
      </c>
      <c r="M15192">
        <v>1</v>
      </c>
      <c r="N15192">
        <v>2.1316499999999999E-45</v>
      </c>
      <c r="O15192">
        <v>450</v>
      </c>
    </row>
    <row r="15193" spans="1:15" x14ac:dyDescent="0.25">
      <c r="A15193" t="s">
        <v>15206</v>
      </c>
      <c r="B15193">
        <v>1141</v>
      </c>
      <c r="C15193" s="1" t="str">
        <f>HYPERLINK("http://www.rosaceae.org/gb/gbrowse/malus_x_domestica/?name=MDP0000312861","MDP0000312861")</f>
        <v>MDP0000312861</v>
      </c>
      <c r="D15193">
        <v>34.78</v>
      </c>
      <c r="E15193">
        <v>414</v>
      </c>
      <c r="F15193">
        <v>270</v>
      </c>
      <c r="G15193">
        <v>82</v>
      </c>
      <c r="H15193">
        <v>424</v>
      </c>
      <c r="I15193">
        <v>835</v>
      </c>
      <c r="J15193">
        <v>1</v>
      </c>
      <c r="K15193">
        <v>696</v>
      </c>
      <c r="L15193">
        <v>1029</v>
      </c>
      <c r="M15193">
        <v>1</v>
      </c>
      <c r="N15193">
        <v>3.0572200000000001E-44</v>
      </c>
      <c r="O15193">
        <v>452</v>
      </c>
    </row>
    <row r="15194" spans="1:15" x14ac:dyDescent="0.25">
      <c r="A15194" t="s">
        <v>15207</v>
      </c>
      <c r="B15194">
        <v>426</v>
      </c>
      <c r="C15194" s="1" t="str">
        <f>HYPERLINK("http://www.rosaceae.org/gb/gbrowse/malus_x_domestica/?name=MDP0000260343","MDP0000260343")</f>
        <v>MDP0000260343</v>
      </c>
      <c r="D15194">
        <v>64.12</v>
      </c>
      <c r="E15194">
        <v>262</v>
      </c>
      <c r="F15194">
        <v>94</v>
      </c>
      <c r="G15194">
        <v>3</v>
      </c>
      <c r="H15194">
        <v>165</v>
      </c>
      <c r="I15194">
        <v>426</v>
      </c>
      <c r="J15194">
        <v>1</v>
      </c>
      <c r="K15194">
        <v>158</v>
      </c>
      <c r="L15194">
        <v>416</v>
      </c>
      <c r="M15194">
        <v>1</v>
      </c>
      <c r="N15194">
        <v>1.01793E-93</v>
      </c>
      <c r="O15194">
        <v>874</v>
      </c>
    </row>
    <row r="15195" spans="1:15" x14ac:dyDescent="0.25">
      <c r="A15195" t="s">
        <v>15208</v>
      </c>
      <c r="B15195">
        <v>519</v>
      </c>
      <c r="C15195" s="1" t="str">
        <f>HYPERLINK("http://www.rosaceae.org/gb/gbrowse/malus_x_domestica/?name=MDP0000265115","MDP0000265115")</f>
        <v>MDP0000265115</v>
      </c>
      <c r="D15195">
        <v>63.41</v>
      </c>
      <c r="E15195">
        <v>164</v>
      </c>
      <c r="F15195">
        <v>60</v>
      </c>
      <c r="G15195">
        <v>1</v>
      </c>
      <c r="H15195">
        <v>284</v>
      </c>
      <c r="I15195">
        <v>446</v>
      </c>
      <c r="J15195">
        <v>1</v>
      </c>
      <c r="K15195">
        <v>752</v>
      </c>
      <c r="L15195">
        <v>915</v>
      </c>
      <c r="M15195">
        <v>1</v>
      </c>
      <c r="N15195">
        <v>1.1965699999999999E-56</v>
      </c>
      <c r="O15195">
        <v>555</v>
      </c>
    </row>
    <row r="15196" spans="1:15" x14ac:dyDescent="0.25">
      <c r="A15196" t="s">
        <v>15209</v>
      </c>
      <c r="B15196">
        <v>237</v>
      </c>
      <c r="C15196" s="1" t="str">
        <f>HYPERLINK("http://www.rosaceae.org/gb/gbrowse/malus_x_domestica/?name=MDP0000265036","MDP0000265036")</f>
        <v>MDP0000265036</v>
      </c>
      <c r="D15196">
        <v>67.23</v>
      </c>
      <c r="E15196">
        <v>177</v>
      </c>
      <c r="F15196">
        <v>58</v>
      </c>
      <c r="G15196">
        <v>12</v>
      </c>
      <c r="H15196">
        <v>1</v>
      </c>
      <c r="I15196">
        <v>168</v>
      </c>
      <c r="J15196">
        <v>1</v>
      </c>
      <c r="K15196">
        <v>1</v>
      </c>
      <c r="L15196">
        <v>174</v>
      </c>
      <c r="M15196">
        <v>1</v>
      </c>
      <c r="N15196">
        <v>6.4001600000000002E-54</v>
      </c>
      <c r="O15196">
        <v>528</v>
      </c>
    </row>
    <row r="15197" spans="1:15" x14ac:dyDescent="0.25">
      <c r="A15197" t="s">
        <v>15210</v>
      </c>
      <c r="B15197">
        <v>724</v>
      </c>
      <c r="C15197" s="1" t="str">
        <f>HYPERLINK("http://www.rosaceae.org/gb/gbrowse/malus_x_domestica/?name=MDP0000301440","MDP0000301440")</f>
        <v>MDP0000301440</v>
      </c>
      <c r="D15197">
        <v>88.63</v>
      </c>
      <c r="E15197">
        <v>88</v>
      </c>
      <c r="F15197">
        <v>10</v>
      </c>
      <c r="G15197">
        <v>1</v>
      </c>
      <c r="H15197">
        <v>383</v>
      </c>
      <c r="I15197">
        <v>470</v>
      </c>
      <c r="J15197">
        <v>1</v>
      </c>
      <c r="K15197">
        <v>93</v>
      </c>
      <c r="L15197">
        <v>179</v>
      </c>
      <c r="M15197">
        <v>1</v>
      </c>
      <c r="N15197">
        <v>4.63004E-38</v>
      </c>
      <c r="O15197">
        <v>396</v>
      </c>
    </row>
    <row r="15198" spans="1:15" x14ac:dyDescent="0.25">
      <c r="A15198" t="s">
        <v>15211</v>
      </c>
      <c r="B15198">
        <v>358</v>
      </c>
      <c r="C15198" s="1" t="str">
        <f>HYPERLINK("http://www.rosaceae.org/gb/gbrowse/malus_x_domestica/?name=MDP0000126620","MDP0000126620")</f>
        <v>MDP0000126620</v>
      </c>
      <c r="D15198">
        <v>57.18</v>
      </c>
      <c r="E15198">
        <v>376</v>
      </c>
      <c r="F15198">
        <v>161</v>
      </c>
      <c r="G15198">
        <v>25</v>
      </c>
      <c r="H15198">
        <v>1</v>
      </c>
      <c r="I15198">
        <v>354</v>
      </c>
      <c r="J15198">
        <v>1</v>
      </c>
      <c r="K15198">
        <v>1</v>
      </c>
      <c r="L15198">
        <v>373</v>
      </c>
      <c r="M15198">
        <v>1</v>
      </c>
      <c r="N15198">
        <v>5.5587899999999998E-117</v>
      </c>
      <c r="O15198">
        <v>1074</v>
      </c>
    </row>
    <row r="15199" spans="1:15" x14ac:dyDescent="0.25">
      <c r="A15199" t="s">
        <v>15212</v>
      </c>
      <c r="B15199">
        <v>502</v>
      </c>
      <c r="C15199" s="1" t="str">
        <f>HYPERLINK("http://www.rosaceae.org/gb/gbrowse/malus_x_domestica/?name=MDP0000232989","MDP0000232989")</f>
        <v>MDP0000232989</v>
      </c>
      <c r="D15199">
        <v>69.47</v>
      </c>
      <c r="E15199">
        <v>475</v>
      </c>
      <c r="F15199">
        <v>145</v>
      </c>
      <c r="G15199">
        <v>10</v>
      </c>
      <c r="H15199">
        <v>29</v>
      </c>
      <c r="I15199">
        <v>496</v>
      </c>
      <c r="J15199">
        <v>1</v>
      </c>
      <c r="K15199">
        <v>1</v>
      </c>
      <c r="L15199">
        <v>472</v>
      </c>
      <c r="M15199">
        <v>1</v>
      </c>
      <c r="N15199">
        <v>0</v>
      </c>
      <c r="O15199">
        <v>1708</v>
      </c>
    </row>
    <row r="15200" spans="1:15" x14ac:dyDescent="0.25">
      <c r="A15200" t="s">
        <v>15213</v>
      </c>
      <c r="B15200">
        <v>559</v>
      </c>
      <c r="C15200" s="1" t="str">
        <f>HYPERLINK("http://www.rosaceae.org/gb/gbrowse/malus_x_domestica/?name=MDP0000321182","MDP0000321182")</f>
        <v>MDP0000321182</v>
      </c>
      <c r="D15200">
        <v>64</v>
      </c>
      <c r="E15200">
        <v>275</v>
      </c>
      <c r="F15200">
        <v>99</v>
      </c>
      <c r="G15200">
        <v>11</v>
      </c>
      <c r="H15200">
        <v>195</v>
      </c>
      <c r="I15200">
        <v>465</v>
      </c>
      <c r="J15200">
        <v>1</v>
      </c>
      <c r="K15200">
        <v>580</v>
      </c>
      <c r="L15200">
        <v>847</v>
      </c>
      <c r="M15200">
        <v>1</v>
      </c>
      <c r="N15200">
        <v>3.48511E-93</v>
      </c>
      <c r="O15200">
        <v>871</v>
      </c>
    </row>
    <row r="15201" spans="1:15" x14ac:dyDescent="0.25">
      <c r="A15201" t="s">
        <v>15214</v>
      </c>
      <c r="B15201">
        <v>761</v>
      </c>
      <c r="C15201" s="1" t="str">
        <f>HYPERLINK("http://www.rosaceae.org/gb/gbrowse/malus_x_domestica/?name=MDP0000226755","MDP0000226755")</f>
        <v>MDP0000226755</v>
      </c>
      <c r="D15201">
        <v>59.22</v>
      </c>
      <c r="E15201">
        <v>569</v>
      </c>
      <c r="F15201">
        <v>232</v>
      </c>
      <c r="G15201">
        <v>29</v>
      </c>
      <c r="H15201">
        <v>1</v>
      </c>
      <c r="I15201">
        <v>563</v>
      </c>
      <c r="J15201">
        <v>1</v>
      </c>
      <c r="K15201">
        <v>1</v>
      </c>
      <c r="L15201">
        <v>546</v>
      </c>
      <c r="M15201">
        <v>1</v>
      </c>
      <c r="N15201">
        <v>0</v>
      </c>
      <c r="O15201">
        <v>1629</v>
      </c>
    </row>
    <row r="15202" spans="1:15" x14ac:dyDescent="0.25">
      <c r="A15202" t="s">
        <v>15215</v>
      </c>
      <c r="B15202">
        <v>623</v>
      </c>
      <c r="C15202" s="1" t="str">
        <f>HYPERLINK("http://www.rosaceae.org/gb/gbrowse/malus_x_domestica/?name=MDP0000119864","MDP0000119864")</f>
        <v>MDP0000119864</v>
      </c>
      <c r="D15202">
        <v>70.930000000000007</v>
      </c>
      <c r="E15202">
        <v>633</v>
      </c>
      <c r="F15202">
        <v>184</v>
      </c>
      <c r="G15202">
        <v>35</v>
      </c>
      <c r="H15202">
        <v>1</v>
      </c>
      <c r="I15202">
        <v>602</v>
      </c>
      <c r="J15202">
        <v>1</v>
      </c>
      <c r="K15202">
        <v>1</v>
      </c>
      <c r="L15202">
        <v>629</v>
      </c>
      <c r="M15202">
        <v>1</v>
      </c>
      <c r="N15202">
        <v>0</v>
      </c>
      <c r="O15202">
        <v>2242</v>
      </c>
    </row>
    <row r="15203" spans="1:15" x14ac:dyDescent="0.25">
      <c r="A15203" t="s">
        <v>15216</v>
      </c>
      <c r="B15203">
        <v>1006</v>
      </c>
      <c r="C15203" s="1" t="str">
        <f>HYPERLINK("http://www.rosaceae.org/gb/gbrowse/malus_x_domestica/?name=MDP0000208980","MDP0000208980")</f>
        <v>MDP0000208980</v>
      </c>
      <c r="D15203">
        <v>54.66</v>
      </c>
      <c r="E15203">
        <v>825</v>
      </c>
      <c r="F15203">
        <v>374</v>
      </c>
      <c r="G15203">
        <v>119</v>
      </c>
      <c r="H15203">
        <v>1</v>
      </c>
      <c r="I15203">
        <v>746</v>
      </c>
      <c r="J15203">
        <v>1</v>
      </c>
      <c r="K15203">
        <v>128</v>
      </c>
      <c r="L15203">
        <v>912</v>
      </c>
      <c r="M15203">
        <v>1</v>
      </c>
      <c r="N15203">
        <v>0</v>
      </c>
      <c r="O15203">
        <v>1973</v>
      </c>
    </row>
    <row r="15204" spans="1:15" x14ac:dyDescent="0.25">
      <c r="A15204" t="s">
        <v>15217</v>
      </c>
      <c r="B15204">
        <v>874</v>
      </c>
      <c r="C15204" s="1" t="str">
        <f>HYPERLINK("http://www.rosaceae.org/gb/gbrowse/malus_x_domestica/?name=MDP0000276160","MDP0000276160")</f>
        <v>MDP0000276160</v>
      </c>
      <c r="D15204">
        <v>56.29</v>
      </c>
      <c r="E15204">
        <v>906</v>
      </c>
      <c r="F15204">
        <v>396</v>
      </c>
      <c r="G15204">
        <v>84</v>
      </c>
      <c r="H15204">
        <v>1</v>
      </c>
      <c r="I15204">
        <v>869</v>
      </c>
      <c r="J15204">
        <v>1</v>
      </c>
      <c r="K15204">
        <v>1</v>
      </c>
      <c r="L15204">
        <v>859</v>
      </c>
      <c r="M15204">
        <v>1</v>
      </c>
      <c r="N15204">
        <v>0</v>
      </c>
      <c r="O15204">
        <v>2423</v>
      </c>
    </row>
    <row r="15205" spans="1:15" x14ac:dyDescent="0.25">
      <c r="A15205" t="s">
        <v>15218</v>
      </c>
      <c r="B15205">
        <v>462</v>
      </c>
      <c r="C15205" s="1" t="str">
        <f>HYPERLINK("http://www.rosaceae.org/gb/gbrowse/malus_x_domestica/?name=MDP0000202598","MDP0000202598")</f>
        <v>MDP0000202598</v>
      </c>
      <c r="D15205">
        <v>74.75</v>
      </c>
      <c r="E15205">
        <v>309</v>
      </c>
      <c r="F15205">
        <v>78</v>
      </c>
      <c r="G15205">
        <v>4</v>
      </c>
      <c r="H15205">
        <v>147</v>
      </c>
      <c r="I15205">
        <v>452</v>
      </c>
      <c r="J15205">
        <v>1</v>
      </c>
      <c r="K15205">
        <v>1</v>
      </c>
      <c r="L15205">
        <v>308</v>
      </c>
      <c r="M15205">
        <v>1</v>
      </c>
      <c r="N15205">
        <v>2.7398900000000001E-131</v>
      </c>
      <c r="O15205">
        <v>1198</v>
      </c>
    </row>
    <row r="15206" spans="1:15" x14ac:dyDescent="0.25">
      <c r="A15206" t="s">
        <v>15219</v>
      </c>
      <c r="B15206">
        <v>209</v>
      </c>
      <c r="C15206" s="1" t="str">
        <f>HYPERLINK("http://www.rosaceae.org/gb/gbrowse/malus_x_domestica/?name=MDP0000188739","MDP0000188739")</f>
        <v>MDP0000188739</v>
      </c>
      <c r="D15206">
        <v>63.03</v>
      </c>
      <c r="E15206">
        <v>211</v>
      </c>
      <c r="F15206">
        <v>78</v>
      </c>
      <c r="G15206">
        <v>7</v>
      </c>
      <c r="H15206">
        <v>4</v>
      </c>
      <c r="I15206">
        <v>209</v>
      </c>
      <c r="J15206">
        <v>1</v>
      </c>
      <c r="K15206">
        <v>6</v>
      </c>
      <c r="L15206">
        <v>214</v>
      </c>
      <c r="M15206">
        <v>1</v>
      </c>
      <c r="N15206">
        <v>6.2774700000000004E-67</v>
      </c>
      <c r="O15206">
        <v>639</v>
      </c>
    </row>
    <row r="15207" spans="1:15" x14ac:dyDescent="0.25">
      <c r="A15207" t="s">
        <v>15220</v>
      </c>
      <c r="B15207">
        <v>719</v>
      </c>
      <c r="C15207" s="1" t="str">
        <f>HYPERLINK("http://www.rosaceae.org/gb/gbrowse/malus_x_domestica/?name=MDP0000243086","MDP0000243086")</f>
        <v>MDP0000243086</v>
      </c>
      <c r="D15207">
        <v>60.29</v>
      </c>
      <c r="E15207">
        <v>743</v>
      </c>
      <c r="F15207">
        <v>295</v>
      </c>
      <c r="G15207">
        <v>53</v>
      </c>
      <c r="H15207">
        <v>1</v>
      </c>
      <c r="I15207">
        <v>717</v>
      </c>
      <c r="J15207">
        <v>1</v>
      </c>
      <c r="K15207">
        <v>1</v>
      </c>
      <c r="L15207">
        <v>716</v>
      </c>
      <c r="M15207">
        <v>1</v>
      </c>
      <c r="N15207">
        <v>0</v>
      </c>
      <c r="O15207">
        <v>1994</v>
      </c>
    </row>
    <row r="15208" spans="1:15" x14ac:dyDescent="0.25">
      <c r="A15208" t="s">
        <v>15221</v>
      </c>
      <c r="B15208">
        <v>297</v>
      </c>
      <c r="C15208" s="1" t="str">
        <f>HYPERLINK("http://www.rosaceae.org/gb/gbrowse/malus_x_domestica/?name=MDP0000243386","MDP0000243386")</f>
        <v>MDP0000243386</v>
      </c>
      <c r="D15208">
        <v>61.88</v>
      </c>
      <c r="E15208">
        <v>202</v>
      </c>
      <c r="F15208">
        <v>77</v>
      </c>
      <c r="G15208">
        <v>29</v>
      </c>
      <c r="H15208">
        <v>30</v>
      </c>
      <c r="I15208">
        <v>216</v>
      </c>
      <c r="J15208">
        <v>1</v>
      </c>
      <c r="K15208">
        <v>71</v>
      </c>
      <c r="L15208">
        <v>258</v>
      </c>
      <c r="M15208">
        <v>1</v>
      </c>
      <c r="N15208">
        <v>2.5847199999999999E-55</v>
      </c>
      <c r="O15208">
        <v>541</v>
      </c>
    </row>
    <row r="15209" spans="1:15" x14ac:dyDescent="0.25">
      <c r="A15209" t="s">
        <v>15222</v>
      </c>
      <c r="B15209">
        <v>128</v>
      </c>
      <c r="C15209" s="1" t="str">
        <f>HYPERLINK("http://www.rosaceae.org/gb/gbrowse/malus_x_domestica/?name=MDP0000666136","MDP0000666136")</f>
        <v>MDP0000666136</v>
      </c>
      <c r="D15209">
        <v>79.56</v>
      </c>
      <c r="E15209">
        <v>93</v>
      </c>
      <c r="F15209">
        <v>19</v>
      </c>
      <c r="G15209">
        <v>2</v>
      </c>
      <c r="H15209">
        <v>1</v>
      </c>
      <c r="I15209">
        <v>93</v>
      </c>
      <c r="J15209">
        <v>1</v>
      </c>
      <c r="K15209">
        <v>270</v>
      </c>
      <c r="L15209">
        <v>360</v>
      </c>
      <c r="M15209">
        <v>1</v>
      </c>
      <c r="N15209">
        <v>6.7700299999999995E-33</v>
      </c>
      <c r="O15209">
        <v>342</v>
      </c>
    </row>
    <row r="15210" spans="1:15" x14ac:dyDescent="0.25">
      <c r="A15210" t="s">
        <v>15223</v>
      </c>
      <c r="B15210">
        <v>128</v>
      </c>
      <c r="C15210" s="1" t="str">
        <f>HYPERLINK("http://www.rosaceae.org/gb/gbrowse/malus_x_domestica/?name=MDP0000262472","MDP0000262472")</f>
        <v>MDP0000262472</v>
      </c>
      <c r="D15210">
        <v>51.61</v>
      </c>
      <c r="E15210">
        <v>62</v>
      </c>
      <c r="F15210">
        <v>30</v>
      </c>
      <c r="G15210">
        <v>2</v>
      </c>
      <c r="H15210">
        <v>54</v>
      </c>
      <c r="I15210">
        <v>113</v>
      </c>
      <c r="J15210">
        <v>1</v>
      </c>
      <c r="K15210">
        <v>16</v>
      </c>
      <c r="L15210">
        <v>77</v>
      </c>
      <c r="M15210">
        <v>1</v>
      </c>
      <c r="N15210">
        <v>1.09688E-8</v>
      </c>
      <c r="O15210">
        <v>133</v>
      </c>
    </row>
    <row r="15211" spans="1:15" x14ac:dyDescent="0.25">
      <c r="A15211" t="s">
        <v>15224</v>
      </c>
      <c r="B15211">
        <v>116</v>
      </c>
      <c r="C15211" s="1" t="str">
        <f>HYPERLINK("http://www.rosaceae.org/gb/gbrowse/malus_x_domestica/?name=MDP0000289651","MDP0000289651")</f>
        <v>MDP0000289651</v>
      </c>
      <c r="D15211">
        <v>69.86</v>
      </c>
      <c r="E15211">
        <v>73</v>
      </c>
      <c r="F15211">
        <v>22</v>
      </c>
      <c r="G15211">
        <v>1</v>
      </c>
      <c r="H15211">
        <v>43</v>
      </c>
      <c r="I15211">
        <v>114</v>
      </c>
      <c r="J15211">
        <v>1</v>
      </c>
      <c r="K15211">
        <v>275</v>
      </c>
      <c r="L15211">
        <v>347</v>
      </c>
      <c r="M15211">
        <v>1</v>
      </c>
      <c r="N15211">
        <v>2.8887699999999999E-22</v>
      </c>
      <c r="O15211">
        <v>249</v>
      </c>
    </row>
    <row r="15212" spans="1:15" x14ac:dyDescent="0.25">
      <c r="A15212" t="s">
        <v>15225</v>
      </c>
      <c r="B15212">
        <v>213</v>
      </c>
      <c r="C15212" s="1" t="str">
        <f>HYPERLINK("http://www.rosaceae.org/gb/gbrowse/malus_x_domestica/?name=MDP0000580263","MDP0000580263")</f>
        <v>MDP0000580263</v>
      </c>
      <c r="D15212">
        <v>88.88</v>
      </c>
      <c r="E15212">
        <v>117</v>
      </c>
      <c r="F15212">
        <v>13</v>
      </c>
      <c r="G15212">
        <v>0</v>
      </c>
      <c r="H15212">
        <v>36</v>
      </c>
      <c r="I15212">
        <v>152</v>
      </c>
      <c r="J15212">
        <v>1</v>
      </c>
      <c r="K15212">
        <v>38</v>
      </c>
      <c r="L15212">
        <v>154</v>
      </c>
      <c r="M15212">
        <v>1</v>
      </c>
      <c r="N15212">
        <v>1.7464099999999999E-56</v>
      </c>
      <c r="O15212">
        <v>549</v>
      </c>
    </row>
    <row r="15213" spans="1:15" x14ac:dyDescent="0.25">
      <c r="A15213" t="s">
        <v>15226</v>
      </c>
      <c r="B15213">
        <v>288</v>
      </c>
      <c r="C15213" s="1" t="str">
        <f>HYPERLINK("http://www.rosaceae.org/gb/gbrowse/malus_x_domestica/?name=MDP0000337674","MDP0000337674")</f>
        <v>MDP0000337674</v>
      </c>
      <c r="D15213">
        <v>93.78</v>
      </c>
      <c r="E15213">
        <v>161</v>
      </c>
      <c r="F15213">
        <v>10</v>
      </c>
      <c r="G15213">
        <v>0</v>
      </c>
      <c r="H15213">
        <v>128</v>
      </c>
      <c r="I15213">
        <v>288</v>
      </c>
      <c r="J15213">
        <v>1</v>
      </c>
      <c r="K15213">
        <v>1</v>
      </c>
      <c r="L15213">
        <v>161</v>
      </c>
      <c r="M15213">
        <v>1</v>
      </c>
      <c r="N15213">
        <v>1.0010999999999999E-86</v>
      </c>
      <c r="O15213">
        <v>812</v>
      </c>
    </row>
    <row r="15214" spans="1:15" x14ac:dyDescent="0.25">
      <c r="A15214" t="s">
        <v>15227</v>
      </c>
      <c r="B15214">
        <v>288</v>
      </c>
      <c r="C15214" s="1" t="str">
        <f>HYPERLINK("http://www.rosaceae.org/gb/gbrowse/malus_x_domestica/?name=MDP0000319763","MDP0000319763")</f>
        <v>MDP0000319763</v>
      </c>
      <c r="D15214">
        <v>82.62</v>
      </c>
      <c r="E15214">
        <v>282</v>
      </c>
      <c r="F15214">
        <v>49</v>
      </c>
      <c r="G15214">
        <v>13</v>
      </c>
      <c r="H15214">
        <v>6</v>
      </c>
      <c r="I15214">
        <v>287</v>
      </c>
      <c r="J15214">
        <v>1</v>
      </c>
      <c r="K15214">
        <v>6</v>
      </c>
      <c r="L15214">
        <v>274</v>
      </c>
      <c r="M15214">
        <v>1</v>
      </c>
      <c r="N15214">
        <v>2.43101E-134</v>
      </c>
      <c r="O15214">
        <v>1222</v>
      </c>
    </row>
    <row r="15215" spans="1:15" x14ac:dyDescent="0.25">
      <c r="A15215" t="s">
        <v>15228</v>
      </c>
      <c r="B15215">
        <v>206</v>
      </c>
      <c r="C15215" s="1" t="str">
        <f>HYPERLINK("http://www.rosaceae.org/gb/gbrowse/malus_x_domestica/?name=MDP0000364397","MDP0000364397")</f>
        <v>MDP0000364397</v>
      </c>
      <c r="D15215">
        <v>87.93</v>
      </c>
      <c r="E15215">
        <v>58</v>
      </c>
      <c r="F15215">
        <v>7</v>
      </c>
      <c r="G15215">
        <v>2</v>
      </c>
      <c r="H15215">
        <v>135</v>
      </c>
      <c r="I15215">
        <v>192</v>
      </c>
      <c r="J15215">
        <v>1</v>
      </c>
      <c r="K15215">
        <v>29</v>
      </c>
      <c r="L15215">
        <v>84</v>
      </c>
      <c r="M15215">
        <v>1</v>
      </c>
      <c r="N15215">
        <v>1.4848099999999999E-23</v>
      </c>
      <c r="O15215">
        <v>265</v>
      </c>
    </row>
    <row r="15216" spans="1:15" x14ac:dyDescent="0.25">
      <c r="A15216" t="s">
        <v>15229</v>
      </c>
      <c r="B15216">
        <v>945</v>
      </c>
      <c r="C15216" s="1" t="str">
        <f>HYPERLINK("http://www.rosaceae.org/gb/gbrowse/malus_x_domestica/?name=MDP0000231391","MDP0000231391")</f>
        <v>MDP0000231391</v>
      </c>
      <c r="D15216">
        <v>76.790000000000006</v>
      </c>
      <c r="E15216">
        <v>935</v>
      </c>
      <c r="F15216">
        <v>217</v>
      </c>
      <c r="G15216">
        <v>19</v>
      </c>
      <c r="H15216">
        <v>24</v>
      </c>
      <c r="I15216">
        <v>945</v>
      </c>
      <c r="J15216">
        <v>1</v>
      </c>
      <c r="K15216">
        <v>30</v>
      </c>
      <c r="L15216">
        <v>958</v>
      </c>
      <c r="M15216">
        <v>1</v>
      </c>
      <c r="N15216">
        <v>0</v>
      </c>
      <c r="O15216">
        <v>3750</v>
      </c>
    </row>
    <row r="15217" spans="1:15" x14ac:dyDescent="0.25">
      <c r="A15217" t="s">
        <v>15230</v>
      </c>
      <c r="B15217">
        <v>492</v>
      </c>
      <c r="C15217" s="1" t="str">
        <f>HYPERLINK("http://www.rosaceae.org/gb/gbrowse/malus_x_domestica/?name=MDP0000192364","MDP0000192364")</f>
        <v>MDP0000192364</v>
      </c>
      <c r="D15217">
        <v>85.19</v>
      </c>
      <c r="E15217">
        <v>439</v>
      </c>
      <c r="F15217">
        <v>65</v>
      </c>
      <c r="G15217">
        <v>9</v>
      </c>
      <c r="H15217">
        <v>56</v>
      </c>
      <c r="I15217">
        <v>492</v>
      </c>
      <c r="J15217">
        <v>1</v>
      </c>
      <c r="K15217">
        <v>1</v>
      </c>
      <c r="L15217">
        <v>432</v>
      </c>
      <c r="M15217">
        <v>1</v>
      </c>
      <c r="N15217">
        <v>0</v>
      </c>
      <c r="O15217">
        <v>1964</v>
      </c>
    </row>
    <row r="15218" spans="1:15" x14ac:dyDescent="0.25">
      <c r="A15218" t="s">
        <v>15231</v>
      </c>
      <c r="B15218">
        <v>249</v>
      </c>
      <c r="C15218" s="1" t="str">
        <f>HYPERLINK("http://www.rosaceae.org/gb/gbrowse/malus_x_domestica/?name=MDP0000225425","MDP0000225425")</f>
        <v>MDP0000225425</v>
      </c>
      <c r="D15218">
        <v>48.03</v>
      </c>
      <c r="E15218">
        <v>102</v>
      </c>
      <c r="F15218">
        <v>53</v>
      </c>
      <c r="G15218">
        <v>1</v>
      </c>
      <c r="H15218">
        <v>84</v>
      </c>
      <c r="I15218">
        <v>184</v>
      </c>
      <c r="J15218">
        <v>1</v>
      </c>
      <c r="K15218">
        <v>89</v>
      </c>
      <c r="L15218">
        <v>190</v>
      </c>
      <c r="M15218">
        <v>1</v>
      </c>
      <c r="N15218">
        <v>1.10114E-18</v>
      </c>
      <c r="O15218">
        <v>224</v>
      </c>
    </row>
    <row r="15219" spans="1:15" x14ac:dyDescent="0.25">
      <c r="A15219" t="s">
        <v>15232</v>
      </c>
      <c r="B15219">
        <v>662</v>
      </c>
      <c r="C15219" s="1" t="str">
        <f>HYPERLINK("http://www.rosaceae.org/gb/gbrowse/malus_x_domestica/?name=MDP0000257015","MDP0000257015")</f>
        <v>MDP0000257015</v>
      </c>
      <c r="D15219">
        <v>73.42</v>
      </c>
      <c r="E15219">
        <v>666</v>
      </c>
      <c r="F15219">
        <v>177</v>
      </c>
      <c r="G15219">
        <v>25</v>
      </c>
      <c r="H15219">
        <v>1</v>
      </c>
      <c r="I15219">
        <v>662</v>
      </c>
      <c r="J15219">
        <v>1</v>
      </c>
      <c r="K15219">
        <v>1</v>
      </c>
      <c r="L15219">
        <v>645</v>
      </c>
      <c r="M15219">
        <v>1</v>
      </c>
      <c r="N15219">
        <v>0</v>
      </c>
      <c r="O15219">
        <v>2463</v>
      </c>
    </row>
    <row r="15220" spans="1:15" x14ac:dyDescent="0.25">
      <c r="A15220" t="s">
        <v>15233</v>
      </c>
      <c r="B15220">
        <v>526</v>
      </c>
      <c r="C15220" s="1" t="str">
        <f>HYPERLINK("http://www.rosaceae.org/gb/gbrowse/malus_x_domestica/?name=MDP0000293399","MDP0000293399")</f>
        <v>MDP0000293399</v>
      </c>
      <c r="D15220">
        <v>52.25</v>
      </c>
      <c r="E15220">
        <v>509</v>
      </c>
      <c r="F15220">
        <v>243</v>
      </c>
      <c r="G15220">
        <v>40</v>
      </c>
      <c r="H15220">
        <v>47</v>
      </c>
      <c r="I15220">
        <v>523</v>
      </c>
      <c r="J15220">
        <v>1</v>
      </c>
      <c r="K15220">
        <v>110</v>
      </c>
      <c r="L15220">
        <v>610</v>
      </c>
      <c r="M15220">
        <v>1</v>
      </c>
      <c r="N15220">
        <v>3.1552899999999999E-137</v>
      </c>
      <c r="O15220">
        <v>1250</v>
      </c>
    </row>
    <row r="15221" spans="1:15" x14ac:dyDescent="0.25">
      <c r="A15221" t="s">
        <v>15234</v>
      </c>
      <c r="B15221">
        <v>238</v>
      </c>
      <c r="C15221" s="1" t="str">
        <f>HYPERLINK("http://www.rosaceae.org/gb/gbrowse/malus_x_domestica/?name=MDP0000182259","MDP0000182259")</f>
        <v>MDP0000182259</v>
      </c>
      <c r="D15221">
        <v>75</v>
      </c>
      <c r="E15221">
        <v>76</v>
      </c>
      <c r="F15221">
        <v>19</v>
      </c>
      <c r="G15221">
        <v>1</v>
      </c>
      <c r="H15221">
        <v>1</v>
      </c>
      <c r="I15221">
        <v>75</v>
      </c>
      <c r="J15221">
        <v>1</v>
      </c>
      <c r="K15221">
        <v>1</v>
      </c>
      <c r="L15221">
        <v>76</v>
      </c>
      <c r="M15221">
        <v>1</v>
      </c>
      <c r="N15221">
        <v>8.1463799999999995E-24</v>
      </c>
      <c r="O15221">
        <v>268</v>
      </c>
    </row>
    <row r="15222" spans="1:15" x14ac:dyDescent="0.25">
      <c r="A15222" t="s">
        <v>15235</v>
      </c>
      <c r="B15222">
        <v>295</v>
      </c>
      <c r="C15222" s="1" t="str">
        <f>HYPERLINK("http://www.rosaceae.org/gb/gbrowse/malus_x_domestica/?name=MDP0000595652","MDP0000595652")</f>
        <v>MDP0000595652</v>
      </c>
      <c r="D15222">
        <v>79.09</v>
      </c>
      <c r="E15222">
        <v>311</v>
      </c>
      <c r="F15222">
        <v>65</v>
      </c>
      <c r="G15222">
        <v>16</v>
      </c>
      <c r="H15222">
        <v>1</v>
      </c>
      <c r="I15222">
        <v>295</v>
      </c>
      <c r="J15222">
        <v>1</v>
      </c>
      <c r="K15222">
        <v>1</v>
      </c>
      <c r="L15222">
        <v>311</v>
      </c>
      <c r="M15222">
        <v>1</v>
      </c>
      <c r="N15222">
        <v>3.4775699999999998E-147</v>
      </c>
      <c r="O15222">
        <v>1333</v>
      </c>
    </row>
    <row r="15223" spans="1:15" x14ac:dyDescent="0.25">
      <c r="A15223" t="s">
        <v>15236</v>
      </c>
      <c r="B15223">
        <v>699</v>
      </c>
      <c r="C15223" s="1" t="str">
        <f>HYPERLINK("http://www.rosaceae.org/gb/gbrowse/malus_x_domestica/?name=MDP0000276962","MDP0000276962")</f>
        <v>MDP0000276962</v>
      </c>
      <c r="D15223">
        <v>74.5</v>
      </c>
      <c r="E15223">
        <v>455</v>
      </c>
      <c r="F15223">
        <v>116</v>
      </c>
      <c r="G15223">
        <v>4</v>
      </c>
      <c r="H15223">
        <v>1</v>
      </c>
      <c r="I15223">
        <v>451</v>
      </c>
      <c r="J15223">
        <v>1</v>
      </c>
      <c r="K15223">
        <v>1</v>
      </c>
      <c r="L15223">
        <v>455</v>
      </c>
      <c r="M15223">
        <v>1</v>
      </c>
      <c r="N15223">
        <v>0</v>
      </c>
      <c r="O15223">
        <v>1726</v>
      </c>
    </row>
    <row r="15224" spans="1:15" x14ac:dyDescent="0.25">
      <c r="A15224" t="s">
        <v>15237</v>
      </c>
      <c r="B15224">
        <v>249</v>
      </c>
      <c r="C15224" s="1" t="str">
        <f>HYPERLINK("http://www.rosaceae.org/gb/gbrowse/malus_x_domestica/?name=MDP0000463584","MDP0000463584")</f>
        <v>MDP0000463584</v>
      </c>
      <c r="D15224">
        <v>56.54</v>
      </c>
      <c r="E15224">
        <v>191</v>
      </c>
      <c r="F15224">
        <v>83</v>
      </c>
      <c r="G15224">
        <v>4</v>
      </c>
      <c r="H15224">
        <v>1</v>
      </c>
      <c r="I15224">
        <v>191</v>
      </c>
      <c r="J15224">
        <v>1</v>
      </c>
      <c r="K15224">
        <v>88</v>
      </c>
      <c r="L15224">
        <v>274</v>
      </c>
      <c r="M15224">
        <v>1</v>
      </c>
      <c r="N15224">
        <v>4.9665699999999998E-60</v>
      </c>
      <c r="O15224">
        <v>581</v>
      </c>
    </row>
    <row r="15225" spans="1:15" x14ac:dyDescent="0.25">
      <c r="A15225" t="s">
        <v>15238</v>
      </c>
      <c r="B15225">
        <v>596</v>
      </c>
      <c r="C15225" s="1" t="str">
        <f>HYPERLINK("http://www.rosaceae.org/gb/gbrowse/malus_x_domestica/?name=MDP0000217043","MDP0000217043")</f>
        <v>MDP0000217043</v>
      </c>
      <c r="D15225">
        <v>82.17</v>
      </c>
      <c r="E15225">
        <v>258</v>
      </c>
      <c r="F15225">
        <v>46</v>
      </c>
      <c r="G15225">
        <v>8</v>
      </c>
      <c r="H15225">
        <v>1</v>
      </c>
      <c r="I15225">
        <v>250</v>
      </c>
      <c r="J15225">
        <v>1</v>
      </c>
      <c r="K15225">
        <v>914</v>
      </c>
      <c r="L15225">
        <v>1171</v>
      </c>
      <c r="M15225">
        <v>1</v>
      </c>
      <c r="N15225">
        <v>2.5260700000000002E-123</v>
      </c>
      <c r="O15225">
        <v>1131</v>
      </c>
    </row>
    <row r="15226" spans="1:15" x14ac:dyDescent="0.25">
      <c r="A15226" t="s">
        <v>15239</v>
      </c>
      <c r="B15226">
        <v>421</v>
      </c>
      <c r="C15226" s="1" t="str">
        <f>HYPERLINK("http://www.rosaceae.org/gb/gbrowse/malus_x_domestica/?name=MDP0000318637","MDP0000318637")</f>
        <v>MDP0000318637</v>
      </c>
      <c r="D15226">
        <v>24.88</v>
      </c>
      <c r="E15226">
        <v>418</v>
      </c>
      <c r="F15226">
        <v>314</v>
      </c>
      <c r="G15226">
        <v>65</v>
      </c>
      <c r="H15226">
        <v>1</v>
      </c>
      <c r="I15226">
        <v>408</v>
      </c>
      <c r="J15226">
        <v>1</v>
      </c>
      <c r="K15226">
        <v>19</v>
      </c>
      <c r="L15226">
        <v>381</v>
      </c>
      <c r="M15226">
        <v>1</v>
      </c>
      <c r="N15226">
        <v>4.0769599999999999E-30</v>
      </c>
      <c r="O15226">
        <v>325</v>
      </c>
    </row>
    <row r="15227" spans="1:15" x14ac:dyDescent="0.25">
      <c r="A15227" t="s">
        <v>15240</v>
      </c>
      <c r="B15227">
        <v>301</v>
      </c>
      <c r="C15227" s="1" t="str">
        <f>HYPERLINK("http://www.rosaceae.org/gb/gbrowse/malus_x_domestica/?name=MDP0000477923","MDP0000477923")</f>
        <v>MDP0000477923</v>
      </c>
      <c r="D15227">
        <v>50</v>
      </c>
      <c r="E15227">
        <v>156</v>
      </c>
      <c r="F15227">
        <v>78</v>
      </c>
      <c r="G15227">
        <v>10</v>
      </c>
      <c r="H15227">
        <v>1</v>
      </c>
      <c r="I15227">
        <v>156</v>
      </c>
      <c r="J15227">
        <v>1</v>
      </c>
      <c r="K15227">
        <v>1</v>
      </c>
      <c r="L15227">
        <v>146</v>
      </c>
      <c r="M15227">
        <v>1</v>
      </c>
      <c r="N15227">
        <v>1.49198E-35</v>
      </c>
      <c r="O15227">
        <v>371</v>
      </c>
    </row>
    <row r="15228" spans="1:15" x14ac:dyDescent="0.25">
      <c r="A15228" t="s">
        <v>15241</v>
      </c>
      <c r="B15228">
        <v>813</v>
      </c>
      <c r="C15228" s="1" t="str">
        <f>HYPERLINK("http://www.rosaceae.org/gb/gbrowse/malus_x_domestica/?name=MDP0000313521","MDP0000313521")</f>
        <v>MDP0000313521</v>
      </c>
      <c r="D15228">
        <v>74.900000000000006</v>
      </c>
      <c r="E15228">
        <v>805</v>
      </c>
      <c r="F15228">
        <v>202</v>
      </c>
      <c r="G15228">
        <v>24</v>
      </c>
      <c r="H15228">
        <v>9</v>
      </c>
      <c r="I15228">
        <v>806</v>
      </c>
      <c r="J15228">
        <v>1</v>
      </c>
      <c r="K15228">
        <v>19</v>
      </c>
      <c r="L15228">
        <v>806</v>
      </c>
      <c r="M15228">
        <v>1</v>
      </c>
      <c r="N15228">
        <v>0</v>
      </c>
      <c r="O15228">
        <v>3133</v>
      </c>
    </row>
    <row r="15229" spans="1:15" x14ac:dyDescent="0.25">
      <c r="A15229" t="s">
        <v>15242</v>
      </c>
      <c r="B15229">
        <v>383</v>
      </c>
      <c r="C15229" s="1" t="str">
        <f>HYPERLINK("http://www.rosaceae.org/gb/gbrowse/malus_x_domestica/?name=MDP0000622335","MDP0000622335")</f>
        <v>MDP0000622335</v>
      </c>
      <c r="D15229">
        <v>74.8</v>
      </c>
      <c r="E15229">
        <v>385</v>
      </c>
      <c r="F15229">
        <v>97</v>
      </c>
      <c r="G15229">
        <v>3</v>
      </c>
      <c r="H15229">
        <v>1</v>
      </c>
      <c r="I15229">
        <v>383</v>
      </c>
      <c r="J15229">
        <v>1</v>
      </c>
      <c r="K15229">
        <v>1</v>
      </c>
      <c r="L15229">
        <v>384</v>
      </c>
      <c r="M15229">
        <v>1</v>
      </c>
      <c r="N15229">
        <v>5.3982100000000006E-169</v>
      </c>
      <c r="O15229">
        <v>1523</v>
      </c>
    </row>
    <row r="15230" spans="1:15" x14ac:dyDescent="0.25">
      <c r="A15230" t="s">
        <v>15243</v>
      </c>
      <c r="B15230">
        <v>491</v>
      </c>
      <c r="C15230" s="1" t="str">
        <f>HYPERLINK("http://www.rosaceae.org/gb/gbrowse/malus_x_domestica/?name=MDP0000164767","MDP0000164767")</f>
        <v>MDP0000164767</v>
      </c>
      <c r="D15230">
        <v>70.739999999999995</v>
      </c>
      <c r="E15230">
        <v>417</v>
      </c>
      <c r="F15230">
        <v>122</v>
      </c>
      <c r="G15230">
        <v>0</v>
      </c>
      <c r="H15230">
        <v>1</v>
      </c>
      <c r="I15230">
        <v>417</v>
      </c>
      <c r="J15230">
        <v>1</v>
      </c>
      <c r="K15230">
        <v>1</v>
      </c>
      <c r="L15230">
        <v>417</v>
      </c>
      <c r="M15230">
        <v>1</v>
      </c>
      <c r="N15230">
        <v>1.4639799999999999E-175</v>
      </c>
      <c r="O15230">
        <v>1580</v>
      </c>
    </row>
    <row r="15231" spans="1:15" x14ac:dyDescent="0.25">
      <c r="A15231" t="s">
        <v>15244</v>
      </c>
      <c r="B15231">
        <v>574</v>
      </c>
      <c r="C15231" s="1" t="str">
        <f>HYPERLINK("http://www.rosaceae.org/gb/gbrowse/malus_x_domestica/?name=MDP0000205940","MDP0000205940")</f>
        <v>MDP0000205940</v>
      </c>
      <c r="D15231">
        <v>97.55</v>
      </c>
      <c r="E15231">
        <v>490</v>
      </c>
      <c r="F15231">
        <v>12</v>
      </c>
      <c r="G15231">
        <v>0</v>
      </c>
      <c r="H15231">
        <v>85</v>
      </c>
      <c r="I15231">
        <v>574</v>
      </c>
      <c r="J15231">
        <v>1</v>
      </c>
      <c r="K15231">
        <v>50</v>
      </c>
      <c r="L15231">
        <v>539</v>
      </c>
      <c r="M15231">
        <v>1</v>
      </c>
      <c r="N15231">
        <v>0</v>
      </c>
      <c r="O15231">
        <v>2540</v>
      </c>
    </row>
    <row r="15232" spans="1:15" x14ac:dyDescent="0.25">
      <c r="A15232" t="s">
        <v>15245</v>
      </c>
      <c r="B15232">
        <v>1145</v>
      </c>
      <c r="C15232" s="1" t="str">
        <f>HYPERLINK("http://www.rosaceae.org/gb/gbrowse/malus_x_domestica/?name=MDP0000276701","MDP0000276701")</f>
        <v>MDP0000276701</v>
      </c>
      <c r="D15232">
        <v>64.010000000000005</v>
      </c>
      <c r="E15232">
        <v>717</v>
      </c>
      <c r="F15232">
        <v>258</v>
      </c>
      <c r="G15232">
        <v>14</v>
      </c>
      <c r="H15232">
        <v>38</v>
      </c>
      <c r="I15232">
        <v>750</v>
      </c>
      <c r="J15232">
        <v>1</v>
      </c>
      <c r="K15232">
        <v>39</v>
      </c>
      <c r="L15232">
        <v>745</v>
      </c>
      <c r="M15232">
        <v>1</v>
      </c>
      <c r="N15232">
        <v>0</v>
      </c>
      <c r="O15232">
        <v>2257</v>
      </c>
    </row>
    <row r="15233" spans="1:15" x14ac:dyDescent="0.25">
      <c r="A15233" t="s">
        <v>15246</v>
      </c>
      <c r="B15233">
        <v>86</v>
      </c>
      <c r="C15233" s="1" t="str">
        <f>HYPERLINK("http://www.rosaceae.org/gb/gbrowse/malus_x_domestica/?name=MDP0000187900","MDP0000187900")</f>
        <v>MDP0000187900</v>
      </c>
      <c r="D15233">
        <v>57.62</v>
      </c>
      <c r="E15233">
        <v>59</v>
      </c>
      <c r="F15233">
        <v>25</v>
      </c>
      <c r="G15233">
        <v>9</v>
      </c>
      <c r="H15233">
        <v>1</v>
      </c>
      <c r="I15233">
        <v>53</v>
      </c>
      <c r="J15233">
        <v>1</v>
      </c>
      <c r="K15233">
        <v>1</v>
      </c>
      <c r="L15233">
        <v>56</v>
      </c>
      <c r="M15233">
        <v>1</v>
      </c>
      <c r="N15233">
        <v>6.7873000000000003E-9</v>
      </c>
      <c r="O15233">
        <v>134</v>
      </c>
    </row>
    <row r="15234" spans="1:15" x14ac:dyDescent="0.25">
      <c r="A15234" t="s">
        <v>15247</v>
      </c>
      <c r="B15234">
        <v>378</v>
      </c>
      <c r="C15234" s="1" t="str">
        <f>HYPERLINK("http://www.rosaceae.org/gb/gbrowse/malus_x_domestica/?name=MDP0000157560","MDP0000157560")</f>
        <v>MDP0000157560</v>
      </c>
      <c r="D15234">
        <v>63.2</v>
      </c>
      <c r="E15234">
        <v>356</v>
      </c>
      <c r="F15234">
        <v>131</v>
      </c>
      <c r="G15234">
        <v>14</v>
      </c>
      <c r="H15234">
        <v>30</v>
      </c>
      <c r="I15234">
        <v>376</v>
      </c>
      <c r="J15234">
        <v>1</v>
      </c>
      <c r="K15234">
        <v>31</v>
      </c>
      <c r="L15234">
        <v>381</v>
      </c>
      <c r="M15234">
        <v>1</v>
      </c>
      <c r="N15234">
        <v>1.0575600000000001E-117</v>
      </c>
      <c r="O15234">
        <v>1080</v>
      </c>
    </row>
    <row r="15235" spans="1:15" x14ac:dyDescent="0.25">
      <c r="A15235" t="s">
        <v>15248</v>
      </c>
      <c r="B15235">
        <v>107</v>
      </c>
      <c r="C15235" s="1" t="str">
        <f>HYPERLINK("http://www.rosaceae.org/gb/gbrowse/malus_x_domestica/?name=MDP0000155448","MDP0000155448")</f>
        <v>MDP0000155448</v>
      </c>
      <c r="D15235">
        <v>71.69</v>
      </c>
      <c r="E15235">
        <v>106</v>
      </c>
      <c r="F15235">
        <v>30</v>
      </c>
      <c r="G15235">
        <v>0</v>
      </c>
      <c r="H15235">
        <v>1</v>
      </c>
      <c r="I15235">
        <v>106</v>
      </c>
      <c r="J15235">
        <v>1</v>
      </c>
      <c r="K15235">
        <v>1</v>
      </c>
      <c r="L15235">
        <v>106</v>
      </c>
      <c r="M15235">
        <v>1</v>
      </c>
      <c r="N15235">
        <v>2.1353100000000001E-42</v>
      </c>
      <c r="O15235">
        <v>423</v>
      </c>
    </row>
    <row r="15236" spans="1:15" x14ac:dyDescent="0.25">
      <c r="A15236" t="s">
        <v>15249</v>
      </c>
      <c r="B15236">
        <v>271</v>
      </c>
      <c r="C15236" s="1" t="str">
        <f>HYPERLINK("http://www.rosaceae.org/gb/gbrowse/malus_x_domestica/?name=MDP0000293904","MDP0000293904")</f>
        <v>MDP0000293904</v>
      </c>
      <c r="D15236">
        <v>42.85</v>
      </c>
      <c r="E15236">
        <v>238</v>
      </c>
      <c r="F15236">
        <v>136</v>
      </c>
      <c r="G15236">
        <v>74</v>
      </c>
      <c r="H15236">
        <v>1</v>
      </c>
      <c r="I15236">
        <v>165</v>
      </c>
      <c r="J15236">
        <v>1</v>
      </c>
      <c r="K15236">
        <v>157</v>
      </c>
      <c r="L15236">
        <v>393</v>
      </c>
      <c r="M15236">
        <v>1</v>
      </c>
      <c r="N15236">
        <v>2.19852E-35</v>
      </c>
      <c r="O15236">
        <v>369</v>
      </c>
    </row>
    <row r="15237" spans="1:15" x14ac:dyDescent="0.25">
      <c r="A15237" t="s">
        <v>15250</v>
      </c>
      <c r="B15237">
        <v>314</v>
      </c>
      <c r="C15237" s="1" t="str">
        <f>HYPERLINK("http://www.rosaceae.org/gb/gbrowse/malus_x_domestica/?name=MDP0000241840","MDP0000241840")</f>
        <v>MDP0000241840</v>
      </c>
      <c r="D15237">
        <v>54.76</v>
      </c>
      <c r="E15237">
        <v>168</v>
      </c>
      <c r="F15237">
        <v>76</v>
      </c>
      <c r="G15237">
        <v>8</v>
      </c>
      <c r="H15237">
        <v>148</v>
      </c>
      <c r="I15237">
        <v>314</v>
      </c>
      <c r="J15237">
        <v>1</v>
      </c>
      <c r="K15237">
        <v>284</v>
      </c>
      <c r="L15237">
        <v>444</v>
      </c>
      <c r="M15237">
        <v>1</v>
      </c>
      <c r="N15237">
        <v>1.11798E-41</v>
      </c>
      <c r="O15237">
        <v>424</v>
      </c>
    </row>
    <row r="15238" spans="1:15" x14ac:dyDescent="0.25">
      <c r="A15238" t="s">
        <v>15251</v>
      </c>
      <c r="B15238">
        <v>605</v>
      </c>
      <c r="C15238" s="1" t="str">
        <f>HYPERLINK("http://www.rosaceae.org/gb/gbrowse/malus_x_domestica/?name=MDP0000319525","MDP0000319525")</f>
        <v>MDP0000319525</v>
      </c>
      <c r="D15238">
        <v>48.59</v>
      </c>
      <c r="E15238">
        <v>461</v>
      </c>
      <c r="F15238">
        <v>237</v>
      </c>
      <c r="G15238">
        <v>4</v>
      </c>
      <c r="H15238">
        <v>116</v>
      </c>
      <c r="I15238">
        <v>573</v>
      </c>
      <c r="J15238">
        <v>1</v>
      </c>
      <c r="K15238">
        <v>126</v>
      </c>
      <c r="L15238">
        <v>585</v>
      </c>
      <c r="M15238">
        <v>1</v>
      </c>
      <c r="N15238">
        <v>1.3618199999999999E-130</v>
      </c>
      <c r="O15238">
        <v>1194</v>
      </c>
    </row>
    <row r="15239" spans="1:15" x14ac:dyDescent="0.25">
      <c r="A15239" t="s">
        <v>15252</v>
      </c>
      <c r="B15239">
        <v>367</v>
      </c>
      <c r="C15239" s="1" t="str">
        <f>HYPERLINK("http://www.rosaceae.org/gb/gbrowse/malus_x_domestica/?name=MDP0000232209","MDP0000232209")</f>
        <v>MDP0000232209</v>
      </c>
      <c r="D15239">
        <v>70.680000000000007</v>
      </c>
      <c r="E15239">
        <v>365</v>
      </c>
      <c r="F15239">
        <v>107</v>
      </c>
      <c r="G15239">
        <v>51</v>
      </c>
      <c r="H15239">
        <v>1</v>
      </c>
      <c r="I15239">
        <v>364</v>
      </c>
      <c r="J15239">
        <v>1</v>
      </c>
      <c r="K15239">
        <v>9</v>
      </c>
      <c r="L15239">
        <v>323</v>
      </c>
      <c r="M15239">
        <v>1</v>
      </c>
      <c r="N15239">
        <v>1.21064E-142</v>
      </c>
      <c r="O15239">
        <v>1295</v>
      </c>
    </row>
    <row r="15240" spans="1:15" x14ac:dyDescent="0.25">
      <c r="A15240" t="s">
        <v>15253</v>
      </c>
      <c r="B15240">
        <v>348</v>
      </c>
      <c r="C15240" s="1" t="str">
        <f>HYPERLINK("http://www.rosaceae.org/gb/gbrowse/malus_x_domestica/?name=MDP0000146555","MDP0000146555")</f>
        <v>MDP0000146555</v>
      </c>
      <c r="D15240">
        <v>40.9</v>
      </c>
      <c r="E15240">
        <v>110</v>
      </c>
      <c r="F15240">
        <v>65</v>
      </c>
      <c r="G15240">
        <v>2</v>
      </c>
      <c r="H15240">
        <v>87</v>
      </c>
      <c r="I15240">
        <v>196</v>
      </c>
      <c r="J15240">
        <v>1</v>
      </c>
      <c r="K15240">
        <v>186</v>
      </c>
      <c r="L15240">
        <v>293</v>
      </c>
      <c r="M15240">
        <v>1</v>
      </c>
      <c r="N15240">
        <v>9.0574099999999994E-19</v>
      </c>
      <c r="O15240">
        <v>227</v>
      </c>
    </row>
    <row r="15241" spans="1:15" x14ac:dyDescent="0.25">
      <c r="A15241" t="s">
        <v>15254</v>
      </c>
      <c r="B15241">
        <v>413</v>
      </c>
      <c r="C15241" s="1" t="str">
        <f>HYPERLINK("http://www.rosaceae.org/gb/gbrowse/malus_x_domestica/?name=MDP0000650846","MDP0000650846")</f>
        <v>MDP0000650846</v>
      </c>
      <c r="D15241">
        <v>62.67</v>
      </c>
      <c r="E15241">
        <v>418</v>
      </c>
      <c r="F15241">
        <v>156</v>
      </c>
      <c r="G15241">
        <v>11</v>
      </c>
      <c r="H15241">
        <v>1</v>
      </c>
      <c r="I15241">
        <v>413</v>
      </c>
      <c r="J15241">
        <v>1</v>
      </c>
      <c r="K15241">
        <v>1</v>
      </c>
      <c r="L15241">
        <v>412</v>
      </c>
      <c r="M15241">
        <v>1</v>
      </c>
      <c r="N15241">
        <v>1.9089800000000001E-141</v>
      </c>
      <c r="O15241">
        <v>1285</v>
      </c>
    </row>
    <row r="15242" spans="1:15" x14ac:dyDescent="0.25">
      <c r="A15242" t="s">
        <v>15255</v>
      </c>
      <c r="B15242">
        <v>191</v>
      </c>
      <c r="C15242" s="1" t="str">
        <f>HYPERLINK("http://www.rosaceae.org/gb/gbrowse/malus_x_domestica/?name=MDP0000770985","MDP0000770985")</f>
        <v>MDP0000770985</v>
      </c>
      <c r="D15242">
        <v>61.53</v>
      </c>
      <c r="E15242">
        <v>91</v>
      </c>
      <c r="F15242">
        <v>35</v>
      </c>
      <c r="G15242">
        <v>1</v>
      </c>
      <c r="H15242">
        <v>1</v>
      </c>
      <c r="I15242">
        <v>90</v>
      </c>
      <c r="J15242">
        <v>1</v>
      </c>
      <c r="K15242">
        <v>1</v>
      </c>
      <c r="L15242">
        <v>91</v>
      </c>
      <c r="M15242">
        <v>1</v>
      </c>
      <c r="N15242">
        <v>3.0075900000000002E-24</v>
      </c>
      <c r="O15242">
        <v>270</v>
      </c>
    </row>
    <row r="15243" spans="1:15" x14ac:dyDescent="0.25">
      <c r="A15243" t="s">
        <v>15256</v>
      </c>
      <c r="B15243">
        <v>271</v>
      </c>
      <c r="C15243" s="1" t="str">
        <f>HYPERLINK("http://www.rosaceae.org/gb/gbrowse/malus_x_domestica/?name=MDP0000927575","MDP0000927575")</f>
        <v>MDP0000927575</v>
      </c>
      <c r="D15243">
        <v>88.88</v>
      </c>
      <c r="E15243">
        <v>54</v>
      </c>
      <c r="F15243">
        <v>6</v>
      </c>
      <c r="G15243">
        <v>0</v>
      </c>
      <c r="H15243">
        <v>200</v>
      </c>
      <c r="I15243">
        <v>253</v>
      </c>
      <c r="J15243">
        <v>1</v>
      </c>
      <c r="K15243">
        <v>152</v>
      </c>
      <c r="L15243">
        <v>205</v>
      </c>
      <c r="M15243">
        <v>1</v>
      </c>
      <c r="N15243">
        <v>1.9799800000000001E-22</v>
      </c>
      <c r="O15243">
        <v>257</v>
      </c>
    </row>
    <row r="15244" spans="1:15" x14ac:dyDescent="0.25">
      <c r="A15244" t="s">
        <v>15257</v>
      </c>
      <c r="B15244">
        <v>384</v>
      </c>
      <c r="C15244" s="1" t="str">
        <f>HYPERLINK("http://www.rosaceae.org/gb/gbrowse/malus_x_domestica/?name=MDP0000222416","MDP0000222416")</f>
        <v>MDP0000222416</v>
      </c>
      <c r="D15244">
        <v>30.27</v>
      </c>
      <c r="E15244">
        <v>360</v>
      </c>
      <c r="F15244">
        <v>251</v>
      </c>
      <c r="G15244">
        <v>79</v>
      </c>
      <c r="H15244">
        <v>38</v>
      </c>
      <c r="I15244">
        <v>384</v>
      </c>
      <c r="J15244">
        <v>1</v>
      </c>
      <c r="K15244">
        <v>1130</v>
      </c>
      <c r="L15244">
        <v>1423</v>
      </c>
      <c r="M15244">
        <v>1</v>
      </c>
      <c r="N15244">
        <v>1.2184799999999999E-20</v>
      </c>
      <c r="O15244">
        <v>243</v>
      </c>
    </row>
    <row r="15245" spans="1:15" x14ac:dyDescent="0.25">
      <c r="A15245" t="s">
        <v>15258</v>
      </c>
      <c r="B15245">
        <v>267</v>
      </c>
      <c r="C15245" s="1" t="str">
        <f>HYPERLINK("http://www.rosaceae.org/gb/gbrowse/malus_x_domestica/?name=MDP0000882147","MDP0000882147")</f>
        <v>MDP0000882147</v>
      </c>
      <c r="D15245">
        <v>73.680000000000007</v>
      </c>
      <c r="E15245">
        <v>266</v>
      </c>
      <c r="F15245">
        <v>70</v>
      </c>
      <c r="G15245">
        <v>0</v>
      </c>
      <c r="H15245">
        <v>1</v>
      </c>
      <c r="I15245">
        <v>266</v>
      </c>
      <c r="J15245">
        <v>1</v>
      </c>
      <c r="K15245">
        <v>1</v>
      </c>
      <c r="L15245">
        <v>266</v>
      </c>
      <c r="M15245">
        <v>1</v>
      </c>
      <c r="N15245">
        <v>4.6361100000000001E-113</v>
      </c>
      <c r="O15245">
        <v>1038</v>
      </c>
    </row>
    <row r="15246" spans="1:15" x14ac:dyDescent="0.25">
      <c r="A15246" t="s">
        <v>15259</v>
      </c>
      <c r="B15246">
        <v>254</v>
      </c>
      <c r="C15246" s="1" t="str">
        <f>HYPERLINK("http://www.rosaceae.org/gb/gbrowse/malus_x_domestica/?name=MDP0000276045","MDP0000276045")</f>
        <v>MDP0000276045</v>
      </c>
      <c r="D15246">
        <v>81.93</v>
      </c>
      <c r="E15246">
        <v>238</v>
      </c>
      <c r="F15246">
        <v>43</v>
      </c>
      <c r="G15246">
        <v>0</v>
      </c>
      <c r="H15246">
        <v>14</v>
      </c>
      <c r="I15246">
        <v>251</v>
      </c>
      <c r="J15246">
        <v>1</v>
      </c>
      <c r="K15246">
        <v>1</v>
      </c>
      <c r="L15246">
        <v>238</v>
      </c>
      <c r="M15246">
        <v>1</v>
      </c>
      <c r="N15246">
        <v>8.2342100000000004E-100</v>
      </c>
      <c r="O15246">
        <v>924</v>
      </c>
    </row>
    <row r="15247" spans="1:15" x14ac:dyDescent="0.25">
      <c r="A15247" t="s">
        <v>15260</v>
      </c>
      <c r="B15247">
        <v>958</v>
      </c>
      <c r="C15247" s="1" t="str">
        <f>HYPERLINK("http://www.rosaceae.org/gb/gbrowse/malus_x_domestica/?name=MDP0000316521","MDP0000316521")</f>
        <v>MDP0000316521</v>
      </c>
      <c r="D15247">
        <v>81.78</v>
      </c>
      <c r="E15247">
        <v>961</v>
      </c>
      <c r="F15247">
        <v>175</v>
      </c>
      <c r="G15247">
        <v>12</v>
      </c>
      <c r="H15247">
        <v>1</v>
      </c>
      <c r="I15247">
        <v>957</v>
      </c>
      <c r="J15247">
        <v>1</v>
      </c>
      <c r="K15247">
        <v>1</v>
      </c>
      <c r="L15247">
        <v>953</v>
      </c>
      <c r="M15247">
        <v>1</v>
      </c>
      <c r="N15247">
        <v>0</v>
      </c>
      <c r="O15247">
        <v>4148</v>
      </c>
    </row>
    <row r="15248" spans="1:15" x14ac:dyDescent="0.25">
      <c r="A15248" t="s">
        <v>15261</v>
      </c>
      <c r="B15248">
        <v>912</v>
      </c>
      <c r="C15248" s="1" t="str">
        <f>HYPERLINK("http://www.rosaceae.org/gb/gbrowse/malus_x_domestica/?name=MDP0000226487","MDP0000226487")</f>
        <v>MDP0000226487</v>
      </c>
      <c r="D15248">
        <v>79.14</v>
      </c>
      <c r="E15248">
        <v>489</v>
      </c>
      <c r="F15248">
        <v>102</v>
      </c>
      <c r="G15248">
        <v>9</v>
      </c>
      <c r="H15248">
        <v>82</v>
      </c>
      <c r="I15248">
        <v>561</v>
      </c>
      <c r="J15248">
        <v>1</v>
      </c>
      <c r="K15248">
        <v>1</v>
      </c>
      <c r="L15248">
        <v>489</v>
      </c>
      <c r="M15248">
        <v>1</v>
      </c>
      <c r="N15248">
        <v>0</v>
      </c>
      <c r="O15248">
        <v>2006</v>
      </c>
    </row>
    <row r="15249" spans="1:15" x14ac:dyDescent="0.25">
      <c r="A15249" t="s">
        <v>15262</v>
      </c>
      <c r="B15249">
        <v>605</v>
      </c>
      <c r="C15249" s="1" t="str">
        <f>HYPERLINK("http://www.rosaceae.org/gb/gbrowse/malus_x_domestica/?name=MDP0000086517","MDP0000086517")</f>
        <v>MDP0000086517</v>
      </c>
      <c r="D15249">
        <v>43.67</v>
      </c>
      <c r="E15249">
        <v>593</v>
      </c>
      <c r="F15249">
        <v>334</v>
      </c>
      <c r="G15249">
        <v>32</v>
      </c>
      <c r="H15249">
        <v>26</v>
      </c>
      <c r="I15249">
        <v>604</v>
      </c>
      <c r="J15249">
        <v>1</v>
      </c>
      <c r="K15249">
        <v>20</v>
      </c>
      <c r="L15249">
        <v>594</v>
      </c>
      <c r="M15249">
        <v>1</v>
      </c>
      <c r="N15249">
        <v>7.8198100000000006E-145</v>
      </c>
      <c r="O15249">
        <v>1316</v>
      </c>
    </row>
    <row r="15250" spans="1:15" x14ac:dyDescent="0.25">
      <c r="A15250" t="s">
        <v>15263</v>
      </c>
      <c r="B15250">
        <v>487</v>
      </c>
      <c r="C15250" s="1" t="str">
        <f>HYPERLINK("http://www.rosaceae.org/gb/gbrowse/malus_x_domestica/?name=MDP0000769222","MDP0000769222")</f>
        <v>MDP0000769222</v>
      </c>
      <c r="D15250">
        <v>49.18</v>
      </c>
      <c r="E15250">
        <v>490</v>
      </c>
      <c r="F15250">
        <v>249</v>
      </c>
      <c r="G15250">
        <v>34</v>
      </c>
      <c r="H15250">
        <v>29</v>
      </c>
      <c r="I15250">
        <v>487</v>
      </c>
      <c r="J15250">
        <v>1</v>
      </c>
      <c r="K15250">
        <v>353</v>
      </c>
      <c r="L15250">
        <v>839</v>
      </c>
      <c r="M15250">
        <v>1</v>
      </c>
      <c r="N15250">
        <v>1.68176E-121</v>
      </c>
      <c r="O15250">
        <v>1114</v>
      </c>
    </row>
    <row r="15251" spans="1:15" x14ac:dyDescent="0.25">
      <c r="A15251" t="s">
        <v>15264</v>
      </c>
      <c r="B15251">
        <v>335</v>
      </c>
      <c r="C15251" s="1" t="str">
        <f>HYPERLINK("http://www.rosaceae.org/gb/gbrowse/malus_x_domestica/?name=MDP0000702676","MDP0000702676")</f>
        <v>MDP0000702676</v>
      </c>
      <c r="D15251">
        <v>54.26</v>
      </c>
      <c r="E15251">
        <v>328</v>
      </c>
      <c r="F15251">
        <v>150</v>
      </c>
      <c r="G15251">
        <v>6</v>
      </c>
      <c r="H15251">
        <v>8</v>
      </c>
      <c r="I15251">
        <v>329</v>
      </c>
      <c r="J15251">
        <v>1</v>
      </c>
      <c r="K15251">
        <v>17</v>
      </c>
      <c r="L15251">
        <v>344</v>
      </c>
      <c r="M15251">
        <v>1</v>
      </c>
      <c r="N15251">
        <v>2.6498200000000001E-98</v>
      </c>
      <c r="O15251">
        <v>912</v>
      </c>
    </row>
    <row r="15252" spans="1:15" x14ac:dyDescent="0.25">
      <c r="A15252" t="s">
        <v>15265</v>
      </c>
      <c r="B15252">
        <v>370</v>
      </c>
      <c r="C15252" s="1" t="str">
        <f>HYPERLINK("http://www.rosaceae.org/gb/gbrowse/malus_x_domestica/?name=MDP0000270117","MDP0000270117")</f>
        <v>MDP0000270117</v>
      </c>
      <c r="D15252">
        <v>72.849999999999994</v>
      </c>
      <c r="E15252">
        <v>350</v>
      </c>
      <c r="F15252">
        <v>95</v>
      </c>
      <c r="G15252">
        <v>6</v>
      </c>
      <c r="H15252">
        <v>1</v>
      </c>
      <c r="I15252">
        <v>350</v>
      </c>
      <c r="J15252">
        <v>1</v>
      </c>
      <c r="K15252">
        <v>7</v>
      </c>
      <c r="L15252">
        <v>350</v>
      </c>
      <c r="M15252">
        <v>1</v>
      </c>
      <c r="N15252">
        <v>5.0101700000000004E-146</v>
      </c>
      <c r="O15252">
        <v>1324</v>
      </c>
    </row>
    <row r="15253" spans="1:15" x14ac:dyDescent="0.25">
      <c r="A15253" t="s">
        <v>15266</v>
      </c>
      <c r="B15253">
        <v>213</v>
      </c>
      <c r="C15253" s="1" t="str">
        <f>HYPERLINK("http://www.rosaceae.org/gb/gbrowse/malus_x_domestica/?name=MDP0000699473","MDP0000699473")</f>
        <v>MDP0000699473</v>
      </c>
      <c r="D15253">
        <v>63.04</v>
      </c>
      <c r="E15253">
        <v>138</v>
      </c>
      <c r="F15253">
        <v>51</v>
      </c>
      <c r="G15253">
        <v>6</v>
      </c>
      <c r="H15253">
        <v>75</v>
      </c>
      <c r="I15253">
        <v>212</v>
      </c>
      <c r="J15253">
        <v>1</v>
      </c>
      <c r="K15253">
        <v>55</v>
      </c>
      <c r="L15253">
        <v>186</v>
      </c>
      <c r="M15253">
        <v>1</v>
      </c>
      <c r="N15253">
        <v>3.1454999999999998E-41</v>
      </c>
      <c r="O15253">
        <v>418</v>
      </c>
    </row>
    <row r="15254" spans="1:15" x14ac:dyDescent="0.25">
      <c r="A15254" t="s">
        <v>15267</v>
      </c>
      <c r="B15254">
        <v>1447</v>
      </c>
      <c r="C15254" s="1" t="str">
        <f>HYPERLINK("http://www.rosaceae.org/gb/gbrowse/malus_x_domestica/?name=MDP0000118826","MDP0000118826")</f>
        <v>MDP0000118826</v>
      </c>
      <c r="D15254">
        <v>54.9</v>
      </c>
      <c r="E15254">
        <v>1355</v>
      </c>
      <c r="F15254">
        <v>611</v>
      </c>
      <c r="G15254">
        <v>134</v>
      </c>
      <c r="H15254">
        <v>1</v>
      </c>
      <c r="I15254">
        <v>1318</v>
      </c>
      <c r="J15254">
        <v>1</v>
      </c>
      <c r="K15254">
        <v>106</v>
      </c>
      <c r="L15254">
        <v>1363</v>
      </c>
      <c r="M15254">
        <v>1</v>
      </c>
      <c r="N15254">
        <v>0</v>
      </c>
      <c r="O15254">
        <v>3209</v>
      </c>
    </row>
    <row r="15255" spans="1:15" x14ac:dyDescent="0.25">
      <c r="A15255" t="s">
        <v>15268</v>
      </c>
      <c r="B15255">
        <v>160</v>
      </c>
      <c r="C15255" s="1" t="str">
        <f>HYPERLINK("http://www.rosaceae.org/gb/gbrowse/malus_x_domestica/?name=MDP0000152574","MDP0000152574")</f>
        <v>MDP0000152574</v>
      </c>
      <c r="D15255">
        <v>45.9</v>
      </c>
      <c r="E15255">
        <v>122</v>
      </c>
      <c r="F15255">
        <v>66</v>
      </c>
      <c r="G15255">
        <v>0</v>
      </c>
      <c r="H15255">
        <v>37</v>
      </c>
      <c r="I15255">
        <v>158</v>
      </c>
      <c r="J15255">
        <v>1</v>
      </c>
      <c r="K15255">
        <v>88</v>
      </c>
      <c r="L15255">
        <v>209</v>
      </c>
      <c r="M15255">
        <v>1</v>
      </c>
      <c r="N15255">
        <v>1.6131100000000001E-25</v>
      </c>
      <c r="O15255">
        <v>280</v>
      </c>
    </row>
    <row r="15256" spans="1:15" x14ac:dyDescent="0.25">
      <c r="A15256" t="s">
        <v>15269</v>
      </c>
      <c r="B15256">
        <v>348</v>
      </c>
      <c r="C15256" s="1" t="str">
        <f>HYPERLINK("http://www.rosaceae.org/gb/gbrowse/malus_x_domestica/?name=MDP0000638489","MDP0000638489")</f>
        <v>MDP0000638489</v>
      </c>
      <c r="D15256">
        <v>83.94</v>
      </c>
      <c r="E15256">
        <v>137</v>
      </c>
      <c r="F15256">
        <v>22</v>
      </c>
      <c r="G15256">
        <v>0</v>
      </c>
      <c r="H15256">
        <v>210</v>
      </c>
      <c r="I15256">
        <v>346</v>
      </c>
      <c r="J15256">
        <v>1</v>
      </c>
      <c r="K15256">
        <v>18</v>
      </c>
      <c r="L15256">
        <v>154</v>
      </c>
      <c r="M15256">
        <v>1</v>
      </c>
      <c r="N15256">
        <v>1.34554E-63</v>
      </c>
      <c r="O15256">
        <v>613</v>
      </c>
    </row>
    <row r="15257" spans="1:15" x14ac:dyDescent="0.25">
      <c r="A15257" t="s">
        <v>15270</v>
      </c>
      <c r="B15257">
        <v>237</v>
      </c>
      <c r="C15257" s="1" t="str">
        <f>HYPERLINK("http://www.rosaceae.org/gb/gbrowse/malus_x_domestica/?name=MDP0000230524","MDP0000230524")</f>
        <v>MDP0000230524</v>
      </c>
      <c r="D15257">
        <v>62.13</v>
      </c>
      <c r="E15257">
        <v>243</v>
      </c>
      <c r="F15257">
        <v>92</v>
      </c>
      <c r="G15257">
        <v>12</v>
      </c>
      <c r="H15257">
        <v>1</v>
      </c>
      <c r="I15257">
        <v>236</v>
      </c>
      <c r="J15257">
        <v>1</v>
      </c>
      <c r="K15257">
        <v>597</v>
      </c>
      <c r="L15257">
        <v>834</v>
      </c>
      <c r="M15257">
        <v>1</v>
      </c>
      <c r="N15257">
        <v>8.8129300000000005E-73</v>
      </c>
      <c r="O15257">
        <v>690</v>
      </c>
    </row>
    <row r="15258" spans="1:15" x14ac:dyDescent="0.25">
      <c r="A15258" t="s">
        <v>15271</v>
      </c>
      <c r="B15258">
        <v>182</v>
      </c>
      <c r="C15258" s="1" t="str">
        <f>HYPERLINK("http://www.rosaceae.org/gb/gbrowse/malus_x_domestica/?name=MDP0000225463","MDP0000225463")</f>
        <v>MDP0000225463</v>
      </c>
      <c r="D15258">
        <v>37.36</v>
      </c>
      <c r="E15258">
        <v>91</v>
      </c>
      <c r="F15258">
        <v>57</v>
      </c>
      <c r="G15258">
        <v>4</v>
      </c>
      <c r="H15258">
        <v>1</v>
      </c>
      <c r="I15258">
        <v>87</v>
      </c>
      <c r="J15258">
        <v>1</v>
      </c>
      <c r="K15258">
        <v>3</v>
      </c>
      <c r="L15258">
        <v>93</v>
      </c>
      <c r="M15258">
        <v>1</v>
      </c>
      <c r="N15258">
        <v>1.10604E-11</v>
      </c>
      <c r="O15258">
        <v>162</v>
      </c>
    </row>
    <row r="15259" spans="1:15" x14ac:dyDescent="0.25">
      <c r="A15259" t="s">
        <v>15272</v>
      </c>
      <c r="B15259">
        <v>282</v>
      </c>
      <c r="C15259" s="1" t="str">
        <f>HYPERLINK("http://www.rosaceae.org/gb/gbrowse/malus_x_domestica/?name=MDP0000161222","MDP0000161222")</f>
        <v>MDP0000161222</v>
      </c>
      <c r="D15259">
        <v>24.4</v>
      </c>
      <c r="E15259">
        <v>168</v>
      </c>
      <c r="F15259">
        <v>127</v>
      </c>
      <c r="G15259">
        <v>21</v>
      </c>
      <c r="H15259">
        <v>104</v>
      </c>
      <c r="I15259">
        <v>268</v>
      </c>
      <c r="J15259">
        <v>1</v>
      </c>
      <c r="K15259">
        <v>597</v>
      </c>
      <c r="L15259">
        <v>746</v>
      </c>
      <c r="M15259">
        <v>1</v>
      </c>
      <c r="N15259">
        <v>4.2689500000000001E-7</v>
      </c>
      <c r="O15259">
        <v>125</v>
      </c>
    </row>
    <row r="15260" spans="1:15" x14ac:dyDescent="0.25">
      <c r="A15260" t="s">
        <v>15273</v>
      </c>
      <c r="B15260">
        <v>935</v>
      </c>
      <c r="C15260" s="1" t="str">
        <f>HYPERLINK("http://www.rosaceae.org/gb/gbrowse/malus_x_domestica/?name=MDP0000262620","MDP0000262620")</f>
        <v>MDP0000262620</v>
      </c>
      <c r="D15260">
        <v>79.34</v>
      </c>
      <c r="E15260">
        <v>910</v>
      </c>
      <c r="F15260">
        <v>188</v>
      </c>
      <c r="G15260">
        <v>17</v>
      </c>
      <c r="H15260">
        <v>37</v>
      </c>
      <c r="I15260">
        <v>935</v>
      </c>
      <c r="J15260">
        <v>1</v>
      </c>
      <c r="K15260">
        <v>62</v>
      </c>
      <c r="L15260">
        <v>965</v>
      </c>
      <c r="M15260">
        <v>1</v>
      </c>
      <c r="N15260">
        <v>0</v>
      </c>
      <c r="O15260">
        <v>3831</v>
      </c>
    </row>
    <row r="15261" spans="1:15" x14ac:dyDescent="0.25">
      <c r="A15261" t="s">
        <v>15274</v>
      </c>
      <c r="B15261">
        <v>796</v>
      </c>
      <c r="C15261" s="1" t="str">
        <f>HYPERLINK("http://www.rosaceae.org/gb/gbrowse/malus_x_domestica/?name=MDP0000284750","MDP0000284750")</f>
        <v>MDP0000284750</v>
      </c>
      <c r="D15261">
        <v>90.32</v>
      </c>
      <c r="E15261">
        <v>796</v>
      </c>
      <c r="F15261">
        <v>77</v>
      </c>
      <c r="G15261">
        <v>1</v>
      </c>
      <c r="H15261">
        <v>1</v>
      </c>
      <c r="I15261">
        <v>796</v>
      </c>
      <c r="J15261">
        <v>1</v>
      </c>
      <c r="K15261">
        <v>217</v>
      </c>
      <c r="L15261">
        <v>1011</v>
      </c>
      <c r="M15261">
        <v>1</v>
      </c>
      <c r="N15261">
        <v>0</v>
      </c>
      <c r="O15261">
        <v>3894</v>
      </c>
    </row>
    <row r="15262" spans="1:15" x14ac:dyDescent="0.25">
      <c r="A15262" t="s">
        <v>15275</v>
      </c>
      <c r="B15262">
        <v>597</v>
      </c>
      <c r="C15262" s="1" t="str">
        <f>HYPERLINK("http://www.rosaceae.org/gb/gbrowse/malus_x_domestica/?name=MDP0000277459","MDP0000277459")</f>
        <v>MDP0000277459</v>
      </c>
      <c r="D15262">
        <v>66.099999999999994</v>
      </c>
      <c r="E15262">
        <v>239</v>
      </c>
      <c r="F15262">
        <v>81</v>
      </c>
      <c r="G15262">
        <v>14</v>
      </c>
      <c r="H15262">
        <v>308</v>
      </c>
      <c r="I15262">
        <v>536</v>
      </c>
      <c r="J15262">
        <v>1</v>
      </c>
      <c r="K15262">
        <v>380</v>
      </c>
      <c r="L15262">
        <v>614</v>
      </c>
      <c r="M15262">
        <v>1</v>
      </c>
      <c r="N15262">
        <v>2.47385E-87</v>
      </c>
      <c r="O15262">
        <v>820</v>
      </c>
    </row>
    <row r="15263" spans="1:15" x14ac:dyDescent="0.25">
      <c r="A15263" t="s">
        <v>15276</v>
      </c>
      <c r="B15263">
        <v>327</v>
      </c>
      <c r="C15263" s="1" t="str">
        <f>HYPERLINK("http://www.rosaceae.org/gb/gbrowse/malus_x_domestica/?name=MDP0000127503","MDP0000127503")</f>
        <v>MDP0000127503</v>
      </c>
      <c r="D15263">
        <v>58.62</v>
      </c>
      <c r="E15263">
        <v>87</v>
      </c>
      <c r="F15263">
        <v>36</v>
      </c>
      <c r="G15263">
        <v>0</v>
      </c>
      <c r="H15263">
        <v>232</v>
      </c>
      <c r="I15263">
        <v>318</v>
      </c>
      <c r="J15263">
        <v>1</v>
      </c>
      <c r="K15263">
        <v>52</v>
      </c>
      <c r="L15263">
        <v>138</v>
      </c>
      <c r="M15263">
        <v>1</v>
      </c>
      <c r="N15263">
        <v>6.5361799999999996E-28</v>
      </c>
      <c r="O15263">
        <v>305</v>
      </c>
    </row>
    <row r="15264" spans="1:15" x14ac:dyDescent="0.25">
      <c r="A15264" t="s">
        <v>15277</v>
      </c>
      <c r="B15264">
        <v>430</v>
      </c>
      <c r="C15264" s="1" t="str">
        <f>HYPERLINK("http://www.rosaceae.org/gb/gbrowse/malus_x_domestica/?name=MDP0000160291","MDP0000160291")</f>
        <v>MDP0000160291</v>
      </c>
      <c r="D15264">
        <v>39.270000000000003</v>
      </c>
      <c r="E15264">
        <v>303</v>
      </c>
      <c r="F15264">
        <v>184</v>
      </c>
      <c r="G15264">
        <v>51</v>
      </c>
      <c r="H15264">
        <v>126</v>
      </c>
      <c r="I15264">
        <v>425</v>
      </c>
      <c r="J15264">
        <v>1</v>
      </c>
      <c r="K15264">
        <v>9</v>
      </c>
      <c r="L15264">
        <v>263</v>
      </c>
      <c r="M15264">
        <v>1</v>
      </c>
      <c r="N15264">
        <v>1.67764E-53</v>
      </c>
      <c r="O15264">
        <v>527</v>
      </c>
    </row>
    <row r="15265" spans="1:15" x14ac:dyDescent="0.25">
      <c r="A15265" t="s">
        <v>15278</v>
      </c>
      <c r="B15265">
        <v>369</v>
      </c>
      <c r="C15265" s="1" t="str">
        <f>HYPERLINK("http://www.rosaceae.org/gb/gbrowse/malus_x_domestica/?name=MDP0000462110","MDP0000462110")</f>
        <v>MDP0000462110</v>
      </c>
      <c r="D15265">
        <v>44.21</v>
      </c>
      <c r="E15265">
        <v>285</v>
      </c>
      <c r="F15265">
        <v>159</v>
      </c>
      <c r="G15265">
        <v>45</v>
      </c>
      <c r="H15265">
        <v>93</v>
      </c>
      <c r="I15265">
        <v>369</v>
      </c>
      <c r="J15265">
        <v>1</v>
      </c>
      <c r="K15265">
        <v>1</v>
      </c>
      <c r="L15265">
        <v>248</v>
      </c>
      <c r="M15265">
        <v>1</v>
      </c>
      <c r="N15265">
        <v>6.3921200000000001E-41</v>
      </c>
      <c r="O15265">
        <v>418</v>
      </c>
    </row>
    <row r="15266" spans="1:15" x14ac:dyDescent="0.25">
      <c r="A15266" t="s">
        <v>15279</v>
      </c>
      <c r="B15266">
        <v>141</v>
      </c>
      <c r="C15266" s="1" t="str">
        <f>HYPERLINK("http://www.rosaceae.org/gb/gbrowse/malus_x_domestica/?name=MDP0000445218","MDP0000445218")</f>
        <v>MDP0000445218</v>
      </c>
      <c r="D15266">
        <v>84.93</v>
      </c>
      <c r="E15266">
        <v>73</v>
      </c>
      <c r="F15266">
        <v>11</v>
      </c>
      <c r="G15266">
        <v>0</v>
      </c>
      <c r="H15266">
        <v>58</v>
      </c>
      <c r="I15266">
        <v>130</v>
      </c>
      <c r="J15266">
        <v>1</v>
      </c>
      <c r="K15266">
        <v>1</v>
      </c>
      <c r="L15266">
        <v>73</v>
      </c>
      <c r="M15266">
        <v>1</v>
      </c>
      <c r="N15266">
        <v>1.63092E-31</v>
      </c>
      <c r="O15266">
        <v>331</v>
      </c>
    </row>
    <row r="15267" spans="1:15" x14ac:dyDescent="0.25">
      <c r="A15267" t="s">
        <v>15280</v>
      </c>
      <c r="B15267">
        <v>590</v>
      </c>
      <c r="C15267" s="1" t="str">
        <f>HYPERLINK("http://www.rosaceae.org/gb/gbrowse/malus_x_domestica/?name=MDP0000125282","MDP0000125282")</f>
        <v>MDP0000125282</v>
      </c>
      <c r="D15267">
        <v>47.87</v>
      </c>
      <c r="E15267">
        <v>541</v>
      </c>
      <c r="F15267">
        <v>282</v>
      </c>
      <c r="G15267">
        <v>45</v>
      </c>
      <c r="H15267">
        <v>49</v>
      </c>
      <c r="I15267">
        <v>564</v>
      </c>
      <c r="J15267">
        <v>1</v>
      </c>
      <c r="K15267">
        <v>36</v>
      </c>
      <c r="L15267">
        <v>556</v>
      </c>
      <c r="M15267">
        <v>1</v>
      </c>
      <c r="N15267">
        <v>5.2128500000000001E-114</v>
      </c>
      <c r="O15267">
        <v>1050</v>
      </c>
    </row>
    <row r="15268" spans="1:15" x14ac:dyDescent="0.25">
      <c r="A15268" t="s">
        <v>15281</v>
      </c>
      <c r="B15268">
        <v>603</v>
      </c>
      <c r="C15268" s="1" t="str">
        <f>HYPERLINK("http://www.rosaceae.org/gb/gbrowse/malus_x_domestica/?name=MDP0000834828","MDP0000834828")</f>
        <v>MDP0000834828</v>
      </c>
      <c r="D15268">
        <v>71.81</v>
      </c>
      <c r="E15268">
        <v>589</v>
      </c>
      <c r="F15268">
        <v>166</v>
      </c>
      <c r="G15268">
        <v>30</v>
      </c>
      <c r="H15268">
        <v>1</v>
      </c>
      <c r="I15268">
        <v>589</v>
      </c>
      <c r="J15268">
        <v>1</v>
      </c>
      <c r="K15268">
        <v>1</v>
      </c>
      <c r="L15268">
        <v>559</v>
      </c>
      <c r="M15268">
        <v>1</v>
      </c>
      <c r="N15268">
        <v>0</v>
      </c>
      <c r="O15268">
        <v>2166</v>
      </c>
    </row>
    <row r="15269" spans="1:15" x14ac:dyDescent="0.25">
      <c r="A15269" t="s">
        <v>15282</v>
      </c>
      <c r="B15269">
        <v>2083</v>
      </c>
      <c r="C15269" s="1" t="str">
        <f>HYPERLINK("http://www.rosaceae.org/gb/gbrowse/malus_x_domestica/?name=MDP0000270088","MDP0000270088")</f>
        <v>MDP0000270088</v>
      </c>
      <c r="D15269">
        <v>76.319999999999993</v>
      </c>
      <c r="E15269">
        <v>414</v>
      </c>
      <c r="F15269">
        <v>98</v>
      </c>
      <c r="G15269">
        <v>4</v>
      </c>
      <c r="H15269">
        <v>2</v>
      </c>
      <c r="I15269">
        <v>415</v>
      </c>
      <c r="J15269">
        <v>1</v>
      </c>
      <c r="K15269">
        <v>5</v>
      </c>
      <c r="L15269">
        <v>414</v>
      </c>
      <c r="M15269">
        <v>1</v>
      </c>
      <c r="N15269">
        <v>0</v>
      </c>
      <c r="O15269">
        <v>1652</v>
      </c>
    </row>
    <row r="15270" spans="1:15" x14ac:dyDescent="0.25">
      <c r="A15270" t="s">
        <v>15283</v>
      </c>
      <c r="B15270">
        <v>137</v>
      </c>
      <c r="C15270" s="1" t="str">
        <f>HYPERLINK("http://www.rosaceae.org/gb/gbrowse/malus_x_domestica/?name=MDP0000730224","MDP0000730224")</f>
        <v>MDP0000730224</v>
      </c>
      <c r="D15270">
        <v>84.54</v>
      </c>
      <c r="E15270">
        <v>110</v>
      </c>
      <c r="F15270">
        <v>17</v>
      </c>
      <c r="G15270">
        <v>1</v>
      </c>
      <c r="H15270">
        <v>27</v>
      </c>
      <c r="I15270">
        <v>136</v>
      </c>
      <c r="J15270">
        <v>1</v>
      </c>
      <c r="K15270">
        <v>1</v>
      </c>
      <c r="L15270">
        <v>109</v>
      </c>
      <c r="M15270">
        <v>1</v>
      </c>
      <c r="N15270">
        <v>9.9057799999999996E-45</v>
      </c>
      <c r="O15270">
        <v>444</v>
      </c>
    </row>
    <row r="15271" spans="1:15" x14ac:dyDescent="0.25">
      <c r="A15271" t="s">
        <v>15284</v>
      </c>
      <c r="B15271">
        <v>498</v>
      </c>
      <c r="C15271" s="1" t="str">
        <f>HYPERLINK("http://www.rosaceae.org/gb/gbrowse/malus_x_domestica/?name=MDP0000494270","MDP0000494270")</f>
        <v>MDP0000494270</v>
      </c>
      <c r="D15271">
        <v>89.28</v>
      </c>
      <c r="E15271">
        <v>476</v>
      </c>
      <c r="F15271">
        <v>51</v>
      </c>
      <c r="G15271">
        <v>1</v>
      </c>
      <c r="H15271">
        <v>14</v>
      </c>
      <c r="I15271">
        <v>488</v>
      </c>
      <c r="J15271">
        <v>1</v>
      </c>
      <c r="K15271">
        <v>18</v>
      </c>
      <c r="L15271">
        <v>493</v>
      </c>
      <c r="M15271">
        <v>1</v>
      </c>
      <c r="N15271">
        <v>0</v>
      </c>
      <c r="O15271">
        <v>2248</v>
      </c>
    </row>
    <row r="15272" spans="1:15" x14ac:dyDescent="0.25">
      <c r="A15272" t="s">
        <v>15285</v>
      </c>
      <c r="B15272">
        <v>465</v>
      </c>
      <c r="C15272" s="1" t="str">
        <f>HYPERLINK("http://www.rosaceae.org/gb/gbrowse/malus_x_domestica/?name=MDP0000320927","MDP0000320927")</f>
        <v>MDP0000320927</v>
      </c>
      <c r="D15272">
        <v>84.71</v>
      </c>
      <c r="E15272">
        <v>399</v>
      </c>
      <c r="F15272">
        <v>61</v>
      </c>
      <c r="G15272">
        <v>1</v>
      </c>
      <c r="H15272">
        <v>1</v>
      </c>
      <c r="I15272">
        <v>398</v>
      </c>
      <c r="J15272">
        <v>1</v>
      </c>
      <c r="K15272">
        <v>1</v>
      </c>
      <c r="L15272">
        <v>399</v>
      </c>
      <c r="M15272">
        <v>1</v>
      </c>
      <c r="N15272">
        <v>0</v>
      </c>
      <c r="O15272">
        <v>1784</v>
      </c>
    </row>
    <row r="15273" spans="1:15" x14ac:dyDescent="0.25">
      <c r="A15273" t="s">
        <v>15286</v>
      </c>
      <c r="B15273">
        <v>281</v>
      </c>
      <c r="C15273" s="1" t="str">
        <f>HYPERLINK("http://www.rosaceae.org/gb/gbrowse/malus_x_domestica/?name=MDP0000221735","MDP0000221735")</f>
        <v>MDP0000221735</v>
      </c>
      <c r="D15273">
        <v>60.21</v>
      </c>
      <c r="E15273">
        <v>279</v>
      </c>
      <c r="F15273">
        <v>111</v>
      </c>
      <c r="G15273">
        <v>3</v>
      </c>
      <c r="H15273">
        <v>2</v>
      </c>
      <c r="I15273">
        <v>278</v>
      </c>
      <c r="J15273">
        <v>1</v>
      </c>
      <c r="K15273">
        <v>601</v>
      </c>
      <c r="L15273">
        <v>878</v>
      </c>
      <c r="M15273">
        <v>1</v>
      </c>
      <c r="N15273">
        <v>4.7416899999999998E-86</v>
      </c>
      <c r="O15273">
        <v>806</v>
      </c>
    </row>
    <row r="15274" spans="1:15" x14ac:dyDescent="0.25">
      <c r="A15274" t="s">
        <v>15287</v>
      </c>
      <c r="B15274">
        <v>364</v>
      </c>
      <c r="C15274" s="1" t="str">
        <f>HYPERLINK("http://www.rosaceae.org/gb/gbrowse/malus_x_domestica/?name=MDP0000259111","MDP0000259111")</f>
        <v>MDP0000259111</v>
      </c>
      <c r="D15274">
        <v>79.39</v>
      </c>
      <c r="E15274">
        <v>364</v>
      </c>
      <c r="F15274">
        <v>75</v>
      </c>
      <c r="G15274">
        <v>3</v>
      </c>
      <c r="H15274">
        <v>1</v>
      </c>
      <c r="I15274">
        <v>364</v>
      </c>
      <c r="J15274">
        <v>1</v>
      </c>
      <c r="K15274">
        <v>22</v>
      </c>
      <c r="L15274">
        <v>382</v>
      </c>
      <c r="M15274">
        <v>1</v>
      </c>
      <c r="N15274">
        <v>3.4242499999999999E-171</v>
      </c>
      <c r="O15274">
        <v>1541</v>
      </c>
    </row>
    <row r="15275" spans="1:15" x14ac:dyDescent="0.25">
      <c r="A15275" t="s">
        <v>15288</v>
      </c>
      <c r="B15275">
        <v>705</v>
      </c>
      <c r="C15275" s="1" t="str">
        <f>HYPERLINK("http://www.rosaceae.org/gb/gbrowse/malus_x_domestica/?name=MDP0000123619","MDP0000123619")</f>
        <v>MDP0000123619</v>
      </c>
      <c r="D15275">
        <v>43.67</v>
      </c>
      <c r="E15275">
        <v>403</v>
      </c>
      <c r="F15275">
        <v>227</v>
      </c>
      <c r="G15275">
        <v>121</v>
      </c>
      <c r="H15275">
        <v>185</v>
      </c>
      <c r="I15275">
        <v>496</v>
      </c>
      <c r="J15275">
        <v>1</v>
      </c>
      <c r="K15275">
        <v>20</v>
      </c>
      <c r="L15275">
        <v>392</v>
      </c>
      <c r="M15275">
        <v>1</v>
      </c>
      <c r="N15275">
        <v>5.6994899999999999E-76</v>
      </c>
      <c r="O15275">
        <v>723</v>
      </c>
    </row>
    <row r="15276" spans="1:15" x14ac:dyDescent="0.25">
      <c r="A15276" t="s">
        <v>15289</v>
      </c>
      <c r="B15276">
        <v>140</v>
      </c>
      <c r="C15276" s="1" t="str">
        <f>HYPERLINK("http://www.rosaceae.org/gb/gbrowse/malus_x_domestica/?name=MDP0000318279","MDP0000318279")</f>
        <v>MDP0000318279</v>
      </c>
      <c r="D15276">
        <v>37.270000000000003</v>
      </c>
      <c r="E15276">
        <v>110</v>
      </c>
      <c r="F15276">
        <v>69</v>
      </c>
      <c r="G15276">
        <v>0</v>
      </c>
      <c r="H15276">
        <v>1</v>
      </c>
      <c r="I15276">
        <v>110</v>
      </c>
      <c r="J15276">
        <v>1</v>
      </c>
      <c r="K15276">
        <v>203</v>
      </c>
      <c r="L15276">
        <v>312</v>
      </c>
      <c r="M15276">
        <v>1</v>
      </c>
      <c r="N15276">
        <v>1.9248400000000001E-20</v>
      </c>
      <c r="O15276">
        <v>235</v>
      </c>
    </row>
    <row r="15277" spans="1:15" x14ac:dyDescent="0.25">
      <c r="A15277" t="s">
        <v>15290</v>
      </c>
      <c r="B15277">
        <v>336</v>
      </c>
      <c r="C15277" s="1" t="str">
        <f>HYPERLINK("http://www.rosaceae.org/gb/gbrowse/malus_x_domestica/?name=MDP0000806502","MDP0000806502")</f>
        <v>MDP0000806502</v>
      </c>
      <c r="D15277">
        <v>44.78</v>
      </c>
      <c r="E15277">
        <v>163</v>
      </c>
      <c r="F15277">
        <v>90</v>
      </c>
      <c r="G15277">
        <v>36</v>
      </c>
      <c r="H15277">
        <v>38</v>
      </c>
      <c r="I15277">
        <v>165</v>
      </c>
      <c r="J15277">
        <v>1</v>
      </c>
      <c r="K15277">
        <v>216</v>
      </c>
      <c r="L15277">
        <v>377</v>
      </c>
      <c r="M15277">
        <v>1</v>
      </c>
      <c r="N15277">
        <v>1.4521300000000001E-29</v>
      </c>
      <c r="O15277">
        <v>320</v>
      </c>
    </row>
    <row r="15278" spans="1:15" x14ac:dyDescent="0.25">
      <c r="A15278" t="s">
        <v>15291</v>
      </c>
      <c r="B15278">
        <v>576</v>
      </c>
      <c r="C15278" s="1" t="str">
        <f>HYPERLINK("http://www.rosaceae.org/gb/gbrowse/malus_x_domestica/?name=MDP0000859313","MDP0000859313")</f>
        <v>MDP0000859313</v>
      </c>
      <c r="D15278">
        <v>92.03</v>
      </c>
      <c r="E15278">
        <v>565</v>
      </c>
      <c r="F15278">
        <v>45</v>
      </c>
      <c r="G15278">
        <v>2</v>
      </c>
      <c r="H15278">
        <v>1</v>
      </c>
      <c r="I15278">
        <v>563</v>
      </c>
      <c r="J15278">
        <v>1</v>
      </c>
      <c r="K15278">
        <v>1</v>
      </c>
      <c r="L15278">
        <v>565</v>
      </c>
      <c r="M15278">
        <v>1</v>
      </c>
      <c r="N15278">
        <v>0</v>
      </c>
      <c r="O15278">
        <v>2659</v>
      </c>
    </row>
    <row r="15279" spans="1:15" x14ac:dyDescent="0.25">
      <c r="A15279" t="s">
        <v>15292</v>
      </c>
      <c r="B15279">
        <v>1028</v>
      </c>
      <c r="C15279" s="1" t="str">
        <f>HYPERLINK("http://www.rosaceae.org/gb/gbrowse/malus_x_domestica/?name=MDP0000312861","MDP0000312861")</f>
        <v>MDP0000312861</v>
      </c>
      <c r="D15279">
        <v>36.119999999999997</v>
      </c>
      <c r="E15279">
        <v>382</v>
      </c>
      <c r="F15279">
        <v>244</v>
      </c>
      <c r="G15279">
        <v>28</v>
      </c>
      <c r="H15279">
        <v>673</v>
      </c>
      <c r="I15279">
        <v>1027</v>
      </c>
      <c r="J15279">
        <v>1</v>
      </c>
      <c r="K15279">
        <v>1261</v>
      </c>
      <c r="L15279">
        <v>1641</v>
      </c>
      <c r="M15279">
        <v>1</v>
      </c>
      <c r="N15279">
        <v>1.09674E-41</v>
      </c>
      <c r="O15279">
        <v>429</v>
      </c>
    </row>
    <row r="15280" spans="1:15" x14ac:dyDescent="0.25">
      <c r="A15280" t="s">
        <v>15293</v>
      </c>
      <c r="B15280">
        <v>1020</v>
      </c>
      <c r="C15280" s="1" t="str">
        <f>HYPERLINK("http://www.rosaceae.org/gb/gbrowse/malus_x_domestica/?name=MDP0000227454","MDP0000227454")</f>
        <v>MDP0000227454</v>
      </c>
      <c r="D15280">
        <v>66.959999999999994</v>
      </c>
      <c r="E15280">
        <v>1002</v>
      </c>
      <c r="F15280">
        <v>331</v>
      </c>
      <c r="G15280">
        <v>7</v>
      </c>
      <c r="H15280">
        <v>20</v>
      </c>
      <c r="I15280">
        <v>1020</v>
      </c>
      <c r="J15280">
        <v>1</v>
      </c>
      <c r="K15280">
        <v>24</v>
      </c>
      <c r="L15280">
        <v>1019</v>
      </c>
      <c r="M15280">
        <v>1</v>
      </c>
      <c r="N15280">
        <v>0</v>
      </c>
      <c r="O15280">
        <v>3471</v>
      </c>
    </row>
    <row r="15281" spans="1:15" x14ac:dyDescent="0.25">
      <c r="A15281" t="s">
        <v>15294</v>
      </c>
      <c r="B15281">
        <v>1092</v>
      </c>
      <c r="C15281" s="1" t="str">
        <f>HYPERLINK("http://www.rosaceae.org/gb/gbrowse/malus_x_domestica/?name=MDP0000164774","MDP0000164774")</f>
        <v>MDP0000164774</v>
      </c>
      <c r="D15281">
        <v>73.650000000000006</v>
      </c>
      <c r="E15281">
        <v>797</v>
      </c>
      <c r="F15281">
        <v>210</v>
      </c>
      <c r="G15281">
        <v>8</v>
      </c>
      <c r="H15281">
        <v>297</v>
      </c>
      <c r="I15281">
        <v>1092</v>
      </c>
      <c r="J15281">
        <v>1</v>
      </c>
      <c r="K15281">
        <v>326</v>
      </c>
      <c r="L15281">
        <v>1115</v>
      </c>
      <c r="M15281">
        <v>1</v>
      </c>
      <c r="N15281">
        <v>0</v>
      </c>
      <c r="O15281">
        <v>3075</v>
      </c>
    </row>
    <row r="15282" spans="1:15" x14ac:dyDescent="0.25">
      <c r="A15282" t="s">
        <v>15295</v>
      </c>
      <c r="B15282">
        <v>157</v>
      </c>
      <c r="C15282" s="1" t="str">
        <f>HYPERLINK("http://www.rosaceae.org/gb/gbrowse/malus_x_domestica/?name=MDP0000541983","MDP0000541983")</f>
        <v>MDP0000541983</v>
      </c>
      <c r="D15282">
        <v>39.32</v>
      </c>
      <c r="E15282">
        <v>89</v>
      </c>
      <c r="F15282">
        <v>54</v>
      </c>
      <c r="G15282">
        <v>2</v>
      </c>
      <c r="H15282">
        <v>1</v>
      </c>
      <c r="I15282">
        <v>89</v>
      </c>
      <c r="J15282">
        <v>1</v>
      </c>
      <c r="K15282">
        <v>45</v>
      </c>
      <c r="L15282">
        <v>131</v>
      </c>
      <c r="M15282">
        <v>1</v>
      </c>
      <c r="N15282">
        <v>1.9186500000000001E-12</v>
      </c>
      <c r="O15282">
        <v>167</v>
      </c>
    </row>
    <row r="15283" spans="1:15" x14ac:dyDescent="0.25">
      <c r="A15283" t="s">
        <v>15296</v>
      </c>
      <c r="B15283">
        <v>138</v>
      </c>
      <c r="C15283" s="1" t="str">
        <f>HYPERLINK("http://www.rosaceae.org/gb/gbrowse/malus_x_domestica/?name=MDP0000137468","MDP0000137468")</f>
        <v>MDP0000137468</v>
      </c>
      <c r="D15283">
        <v>56.25</v>
      </c>
      <c r="E15283">
        <v>144</v>
      </c>
      <c r="F15283">
        <v>63</v>
      </c>
      <c r="G15283">
        <v>36</v>
      </c>
      <c r="H15283">
        <v>1</v>
      </c>
      <c r="I15283">
        <v>108</v>
      </c>
      <c r="J15283">
        <v>1</v>
      </c>
      <c r="K15283">
        <v>1</v>
      </c>
      <c r="L15283">
        <v>144</v>
      </c>
      <c r="M15283">
        <v>1</v>
      </c>
      <c r="N15283">
        <v>2.3561500000000001E-36</v>
      </c>
      <c r="O15283">
        <v>372</v>
      </c>
    </row>
    <row r="15284" spans="1:15" x14ac:dyDescent="0.25">
      <c r="A15284" t="s">
        <v>15297</v>
      </c>
      <c r="B15284">
        <v>802</v>
      </c>
      <c r="C15284" s="1" t="str">
        <f>HYPERLINK("http://www.rosaceae.org/gb/gbrowse/malus_x_domestica/?name=MDP0000208257","MDP0000208257")</f>
        <v>MDP0000208257</v>
      </c>
      <c r="D15284">
        <v>38.200000000000003</v>
      </c>
      <c r="E15284">
        <v>390</v>
      </c>
      <c r="F15284">
        <v>241</v>
      </c>
      <c r="G15284">
        <v>22</v>
      </c>
      <c r="H15284">
        <v>4</v>
      </c>
      <c r="I15284">
        <v>383</v>
      </c>
      <c r="J15284">
        <v>1</v>
      </c>
      <c r="K15284">
        <v>1</v>
      </c>
      <c r="L15284">
        <v>378</v>
      </c>
      <c r="M15284">
        <v>1</v>
      </c>
      <c r="N15284">
        <v>1.48546E-66</v>
      </c>
      <c r="O15284">
        <v>642</v>
      </c>
    </row>
    <row r="15285" spans="1:15" x14ac:dyDescent="0.25">
      <c r="A15285" t="s">
        <v>15298</v>
      </c>
      <c r="B15285">
        <v>475</v>
      </c>
      <c r="C15285" s="1" t="str">
        <f>HYPERLINK("http://www.rosaceae.org/gb/gbrowse/malus_x_domestica/?name=MDP0000592682","MDP0000592682")</f>
        <v>MDP0000592682</v>
      </c>
      <c r="D15285">
        <v>66.58</v>
      </c>
      <c r="E15285">
        <v>404</v>
      </c>
      <c r="F15285">
        <v>135</v>
      </c>
      <c r="G15285">
        <v>14</v>
      </c>
      <c r="H15285">
        <v>83</v>
      </c>
      <c r="I15285">
        <v>475</v>
      </c>
      <c r="J15285">
        <v>1</v>
      </c>
      <c r="K15285">
        <v>102</v>
      </c>
      <c r="L15285">
        <v>502</v>
      </c>
      <c r="M15285">
        <v>1</v>
      </c>
      <c r="N15285">
        <v>9.3758300000000007E-156</v>
      </c>
      <c r="O15285">
        <v>1409</v>
      </c>
    </row>
    <row r="15286" spans="1:15" x14ac:dyDescent="0.25">
      <c r="A15286" t="s">
        <v>15299</v>
      </c>
      <c r="B15286">
        <v>580</v>
      </c>
      <c r="C15286" s="1" t="str">
        <f>HYPERLINK("http://www.rosaceae.org/gb/gbrowse/malus_x_domestica/?name=MDP0000800086","MDP0000800086")</f>
        <v>MDP0000800086</v>
      </c>
      <c r="D15286">
        <v>64.260000000000005</v>
      </c>
      <c r="E15286">
        <v>333</v>
      </c>
      <c r="F15286">
        <v>119</v>
      </c>
      <c r="G15286">
        <v>54</v>
      </c>
      <c r="H15286">
        <v>293</v>
      </c>
      <c r="I15286">
        <v>573</v>
      </c>
      <c r="J15286">
        <v>1</v>
      </c>
      <c r="K15286">
        <v>89</v>
      </c>
      <c r="L15286">
        <v>419</v>
      </c>
      <c r="M15286">
        <v>1</v>
      </c>
      <c r="N15286">
        <v>3.4475699999999999E-115</v>
      </c>
      <c r="O15286">
        <v>1061</v>
      </c>
    </row>
    <row r="15287" spans="1:15" x14ac:dyDescent="0.25">
      <c r="A15287" t="s">
        <v>15300</v>
      </c>
      <c r="B15287">
        <v>1225</v>
      </c>
      <c r="C15287" s="1" t="str">
        <f>HYPERLINK("http://www.rosaceae.org/gb/gbrowse/malus_x_domestica/?name=MDP0000177288","MDP0000177288")</f>
        <v>MDP0000177288</v>
      </c>
      <c r="D15287">
        <v>43.16</v>
      </c>
      <c r="E15287">
        <v>651</v>
      </c>
      <c r="F15287">
        <v>370</v>
      </c>
      <c r="G15287">
        <v>107</v>
      </c>
      <c r="H15287">
        <v>17</v>
      </c>
      <c r="I15287">
        <v>605</v>
      </c>
      <c r="J15287">
        <v>1</v>
      </c>
      <c r="K15287">
        <v>95</v>
      </c>
      <c r="L15287">
        <v>700</v>
      </c>
      <c r="M15287">
        <v>1</v>
      </c>
      <c r="N15287">
        <v>1.5277900000000001E-130</v>
      </c>
      <c r="O15287">
        <v>1196</v>
      </c>
    </row>
    <row r="15288" spans="1:15" x14ac:dyDescent="0.25">
      <c r="A15288" t="s">
        <v>15301</v>
      </c>
      <c r="B15288">
        <v>471</v>
      </c>
      <c r="C15288" s="1" t="str">
        <f>HYPERLINK("http://www.rosaceae.org/gb/gbrowse/malus_x_domestica/?name=MDP0000175055","MDP0000175055")</f>
        <v>MDP0000175055</v>
      </c>
      <c r="D15288">
        <v>66.33</v>
      </c>
      <c r="E15288">
        <v>499</v>
      </c>
      <c r="F15288">
        <v>168</v>
      </c>
      <c r="G15288">
        <v>32</v>
      </c>
      <c r="H15288">
        <v>1</v>
      </c>
      <c r="I15288">
        <v>467</v>
      </c>
      <c r="J15288">
        <v>1</v>
      </c>
      <c r="K15288">
        <v>1</v>
      </c>
      <c r="L15288">
        <v>499</v>
      </c>
      <c r="M15288">
        <v>1</v>
      </c>
      <c r="N15288">
        <v>0</v>
      </c>
      <c r="O15288">
        <v>1666</v>
      </c>
    </row>
    <row r="15289" spans="1:15" x14ac:dyDescent="0.25">
      <c r="A15289" t="s">
        <v>15302</v>
      </c>
      <c r="B15289">
        <v>356</v>
      </c>
      <c r="C15289" s="1" t="str">
        <f>HYPERLINK("http://www.rosaceae.org/gb/gbrowse/malus_x_domestica/?name=MDP0000284571","MDP0000284571")</f>
        <v>MDP0000284571</v>
      </c>
      <c r="D15289">
        <v>56.42</v>
      </c>
      <c r="E15289">
        <v>358</v>
      </c>
      <c r="F15289">
        <v>156</v>
      </c>
      <c r="G15289">
        <v>7</v>
      </c>
      <c r="H15289">
        <v>1</v>
      </c>
      <c r="I15289">
        <v>356</v>
      </c>
      <c r="J15289">
        <v>1</v>
      </c>
      <c r="K15289">
        <v>23</v>
      </c>
      <c r="L15289">
        <v>375</v>
      </c>
      <c r="M15289">
        <v>1</v>
      </c>
      <c r="N15289">
        <v>6.4308700000000001E-105</v>
      </c>
      <c r="O15289">
        <v>970</v>
      </c>
    </row>
    <row r="15290" spans="1:15" x14ac:dyDescent="0.25">
      <c r="A15290" t="s">
        <v>15303</v>
      </c>
      <c r="B15290">
        <v>481</v>
      </c>
      <c r="C15290" s="1" t="str">
        <f>HYPERLINK("http://www.rosaceae.org/gb/gbrowse/malus_x_domestica/?name=MDP0000137802","MDP0000137802")</f>
        <v>MDP0000137802</v>
      </c>
      <c r="D15290">
        <v>79.28</v>
      </c>
      <c r="E15290">
        <v>449</v>
      </c>
      <c r="F15290">
        <v>93</v>
      </c>
      <c r="G15290">
        <v>7</v>
      </c>
      <c r="H15290">
        <v>34</v>
      </c>
      <c r="I15290">
        <v>481</v>
      </c>
      <c r="J15290">
        <v>1</v>
      </c>
      <c r="K15290">
        <v>1</v>
      </c>
      <c r="L15290">
        <v>443</v>
      </c>
      <c r="M15290">
        <v>1</v>
      </c>
      <c r="N15290">
        <v>0</v>
      </c>
      <c r="O15290">
        <v>1854</v>
      </c>
    </row>
    <row r="15291" spans="1:15" x14ac:dyDescent="0.25">
      <c r="A15291" t="s">
        <v>15304</v>
      </c>
      <c r="B15291">
        <v>483</v>
      </c>
      <c r="C15291" s="1" t="str">
        <f>HYPERLINK("http://www.rosaceae.org/gb/gbrowse/malus_x_domestica/?name=MDP0000264165","MDP0000264165")</f>
        <v>MDP0000264165</v>
      </c>
      <c r="D15291">
        <v>53.44</v>
      </c>
      <c r="E15291">
        <v>421</v>
      </c>
      <c r="F15291">
        <v>196</v>
      </c>
      <c r="G15291">
        <v>26</v>
      </c>
      <c r="H15291">
        <v>40</v>
      </c>
      <c r="I15291">
        <v>451</v>
      </c>
      <c r="J15291">
        <v>1</v>
      </c>
      <c r="K15291">
        <v>35</v>
      </c>
      <c r="L15291">
        <v>438</v>
      </c>
      <c r="M15291">
        <v>1</v>
      </c>
      <c r="N15291">
        <v>1.3554599999999999E-109</v>
      </c>
      <c r="O15291">
        <v>1011</v>
      </c>
    </row>
    <row r="15292" spans="1:15" x14ac:dyDescent="0.25">
      <c r="A15292" t="s">
        <v>15305</v>
      </c>
      <c r="B15292">
        <v>866</v>
      </c>
      <c r="C15292" s="1" t="str">
        <f>HYPERLINK("http://www.rosaceae.org/gb/gbrowse/malus_x_domestica/?name=MDP0000313033","MDP0000313033")</f>
        <v>MDP0000313033</v>
      </c>
      <c r="D15292">
        <v>64.900000000000006</v>
      </c>
      <c r="E15292">
        <v>302</v>
      </c>
      <c r="F15292">
        <v>106</v>
      </c>
      <c r="G15292">
        <v>34</v>
      </c>
      <c r="H15292">
        <v>1</v>
      </c>
      <c r="I15292">
        <v>302</v>
      </c>
      <c r="J15292">
        <v>1</v>
      </c>
      <c r="K15292">
        <v>1</v>
      </c>
      <c r="L15292">
        <v>268</v>
      </c>
      <c r="M15292">
        <v>1</v>
      </c>
      <c r="N15292">
        <v>2.6677000000000001E-108</v>
      </c>
      <c r="O15292">
        <v>1003</v>
      </c>
    </row>
    <row r="15293" spans="1:15" x14ac:dyDescent="0.25">
      <c r="A15293" t="s">
        <v>15306</v>
      </c>
      <c r="B15293">
        <v>471</v>
      </c>
      <c r="C15293" s="1" t="str">
        <f>HYPERLINK("http://www.rosaceae.org/gb/gbrowse/malus_x_domestica/?name=MDP0000289123","MDP0000289123")</f>
        <v>MDP0000289123</v>
      </c>
      <c r="D15293">
        <v>33.72</v>
      </c>
      <c r="E15293">
        <v>255</v>
      </c>
      <c r="F15293">
        <v>169</v>
      </c>
      <c r="G15293">
        <v>65</v>
      </c>
      <c r="H15293">
        <v>212</v>
      </c>
      <c r="I15293">
        <v>432</v>
      </c>
      <c r="J15293">
        <v>1</v>
      </c>
      <c r="K15293">
        <v>205</v>
      </c>
      <c r="L15293">
        <v>428</v>
      </c>
      <c r="M15293">
        <v>1</v>
      </c>
      <c r="N15293">
        <v>1.11138E-20</v>
      </c>
      <c r="O15293">
        <v>245</v>
      </c>
    </row>
    <row r="15294" spans="1:15" x14ac:dyDescent="0.25">
      <c r="A15294" t="s">
        <v>15307</v>
      </c>
      <c r="B15294">
        <v>1247</v>
      </c>
      <c r="C15294" s="1" t="str">
        <f>HYPERLINK("http://www.rosaceae.org/gb/gbrowse/malus_x_domestica/?name=MDP0000303528","MDP0000303528")</f>
        <v>MDP0000303528</v>
      </c>
      <c r="D15294">
        <v>48.88</v>
      </c>
      <c r="E15294">
        <v>536</v>
      </c>
      <c r="F15294">
        <v>274</v>
      </c>
      <c r="G15294">
        <v>64</v>
      </c>
      <c r="H15294">
        <v>737</v>
      </c>
      <c r="I15294">
        <v>1243</v>
      </c>
      <c r="J15294">
        <v>1</v>
      </c>
      <c r="K15294">
        <v>21</v>
      </c>
      <c r="L15294">
        <v>521</v>
      </c>
      <c r="M15294">
        <v>1</v>
      </c>
      <c r="N15294">
        <v>4.7812299999999998E-119</v>
      </c>
      <c r="O15294">
        <v>1097</v>
      </c>
    </row>
    <row r="15295" spans="1:15" x14ac:dyDescent="0.25">
      <c r="A15295" t="s">
        <v>15308</v>
      </c>
      <c r="B15295">
        <v>204</v>
      </c>
      <c r="C15295" s="1" t="str">
        <f>HYPERLINK("http://www.rosaceae.org/gb/gbrowse/malus_x_domestica/?name=MDP0000465914","MDP0000465914")</f>
        <v>MDP0000465914</v>
      </c>
      <c r="D15295">
        <v>72.430000000000007</v>
      </c>
      <c r="E15295">
        <v>185</v>
      </c>
      <c r="F15295">
        <v>51</v>
      </c>
      <c r="G15295">
        <v>10</v>
      </c>
      <c r="H15295">
        <v>27</v>
      </c>
      <c r="I15295">
        <v>204</v>
      </c>
      <c r="J15295">
        <v>1</v>
      </c>
      <c r="K15295">
        <v>31</v>
      </c>
      <c r="L15295">
        <v>212</v>
      </c>
      <c r="M15295">
        <v>1</v>
      </c>
      <c r="N15295">
        <v>2.6217300000000002E-69</v>
      </c>
      <c r="O15295">
        <v>659</v>
      </c>
    </row>
    <row r="15296" spans="1:15" x14ac:dyDescent="0.25">
      <c r="A15296" t="s">
        <v>15309</v>
      </c>
      <c r="B15296">
        <v>963</v>
      </c>
      <c r="C15296" s="1" t="str">
        <f>HYPERLINK("http://www.rosaceae.org/gb/gbrowse/malus_x_domestica/?name=MDP0000170373","MDP0000170373")</f>
        <v>MDP0000170373</v>
      </c>
      <c r="D15296">
        <v>76.569999999999993</v>
      </c>
      <c r="E15296">
        <v>935</v>
      </c>
      <c r="F15296">
        <v>219</v>
      </c>
      <c r="G15296">
        <v>46</v>
      </c>
      <c r="H15296">
        <v>40</v>
      </c>
      <c r="I15296">
        <v>954</v>
      </c>
      <c r="J15296">
        <v>1</v>
      </c>
      <c r="K15296">
        <v>41</v>
      </c>
      <c r="L15296">
        <v>949</v>
      </c>
      <c r="M15296">
        <v>1</v>
      </c>
      <c r="N15296">
        <v>0</v>
      </c>
      <c r="O15296">
        <v>3734</v>
      </c>
    </row>
    <row r="15297" spans="1:15" x14ac:dyDescent="0.25">
      <c r="A15297" t="s">
        <v>15310</v>
      </c>
      <c r="B15297">
        <v>918</v>
      </c>
      <c r="C15297" s="1" t="str">
        <f>HYPERLINK("http://www.rosaceae.org/gb/gbrowse/malus_x_domestica/?name=MDP0000231147","MDP0000231147")</f>
        <v>MDP0000231147</v>
      </c>
      <c r="D15297">
        <v>79.16</v>
      </c>
      <c r="E15297">
        <v>456</v>
      </c>
      <c r="F15297">
        <v>95</v>
      </c>
      <c r="G15297">
        <v>0</v>
      </c>
      <c r="H15297">
        <v>463</v>
      </c>
      <c r="I15297">
        <v>918</v>
      </c>
      <c r="J15297">
        <v>1</v>
      </c>
      <c r="K15297">
        <v>1</v>
      </c>
      <c r="L15297">
        <v>456</v>
      </c>
      <c r="M15297">
        <v>1</v>
      </c>
      <c r="N15297">
        <v>0</v>
      </c>
      <c r="O15297">
        <v>1921</v>
      </c>
    </row>
    <row r="15298" spans="1:15" x14ac:dyDescent="0.25">
      <c r="A15298" t="s">
        <v>15311</v>
      </c>
      <c r="B15298">
        <v>1173</v>
      </c>
      <c r="C15298" s="1" t="str">
        <f>HYPERLINK("http://www.rosaceae.org/gb/gbrowse/malus_x_domestica/?name=MDP0000224754","MDP0000224754")</f>
        <v>MDP0000224754</v>
      </c>
      <c r="D15298">
        <v>83.92</v>
      </c>
      <c r="E15298">
        <v>1126</v>
      </c>
      <c r="F15298">
        <v>181</v>
      </c>
      <c r="G15298">
        <v>42</v>
      </c>
      <c r="H15298">
        <v>49</v>
      </c>
      <c r="I15298">
        <v>1163</v>
      </c>
      <c r="J15298">
        <v>1</v>
      </c>
      <c r="K15298">
        <v>13</v>
      </c>
      <c r="L15298">
        <v>1107</v>
      </c>
      <c r="M15298">
        <v>1</v>
      </c>
      <c r="N15298">
        <v>0</v>
      </c>
      <c r="O15298">
        <v>4953</v>
      </c>
    </row>
    <row r="15299" spans="1:15" x14ac:dyDescent="0.25">
      <c r="A15299" t="s">
        <v>15312</v>
      </c>
      <c r="B15299">
        <v>311</v>
      </c>
      <c r="C15299" s="1" t="str">
        <f>HYPERLINK("http://www.rosaceae.org/gb/gbrowse/malus_x_domestica/?name=MDP0000231392","MDP0000231392")</f>
        <v>MDP0000231392</v>
      </c>
      <c r="D15299">
        <v>80.489999999999995</v>
      </c>
      <c r="E15299">
        <v>282</v>
      </c>
      <c r="F15299">
        <v>55</v>
      </c>
      <c r="G15299">
        <v>2</v>
      </c>
      <c r="H15299">
        <v>19</v>
      </c>
      <c r="I15299">
        <v>300</v>
      </c>
      <c r="J15299">
        <v>1</v>
      </c>
      <c r="K15299">
        <v>24</v>
      </c>
      <c r="L15299">
        <v>303</v>
      </c>
      <c r="M15299">
        <v>1</v>
      </c>
      <c r="N15299">
        <v>5.9426600000000005E-129</v>
      </c>
      <c r="O15299">
        <v>1176</v>
      </c>
    </row>
    <row r="15300" spans="1:15" x14ac:dyDescent="0.25">
      <c r="A15300" t="s">
        <v>15313</v>
      </c>
      <c r="B15300">
        <v>401</v>
      </c>
      <c r="C15300" s="1" t="str">
        <f>HYPERLINK("http://www.rosaceae.org/gb/gbrowse/malus_x_domestica/?name=MDP0000290742","MDP0000290742")</f>
        <v>MDP0000290742</v>
      </c>
      <c r="D15300">
        <v>63.65</v>
      </c>
      <c r="E15300">
        <v>388</v>
      </c>
      <c r="F15300">
        <v>141</v>
      </c>
      <c r="G15300">
        <v>23</v>
      </c>
      <c r="H15300">
        <v>1</v>
      </c>
      <c r="I15300">
        <v>379</v>
      </c>
      <c r="J15300">
        <v>1</v>
      </c>
      <c r="K15300">
        <v>1</v>
      </c>
      <c r="L15300">
        <v>374</v>
      </c>
      <c r="M15300">
        <v>1</v>
      </c>
      <c r="N15300">
        <v>2.0910200000000001E-121</v>
      </c>
      <c r="O15300">
        <v>1112</v>
      </c>
    </row>
    <row r="15301" spans="1:15" x14ac:dyDescent="0.25">
      <c r="A15301" t="s">
        <v>15314</v>
      </c>
      <c r="B15301">
        <v>381</v>
      </c>
      <c r="C15301" s="1" t="str">
        <f>HYPERLINK("http://www.rosaceae.org/gb/gbrowse/malus_x_domestica/?name=MDP0000147640","MDP0000147640")</f>
        <v>MDP0000147640</v>
      </c>
      <c r="D15301">
        <v>73.17</v>
      </c>
      <c r="E15301">
        <v>302</v>
      </c>
      <c r="F15301">
        <v>81</v>
      </c>
      <c r="G15301">
        <v>13</v>
      </c>
      <c r="H15301">
        <v>11</v>
      </c>
      <c r="I15301">
        <v>309</v>
      </c>
      <c r="J15301">
        <v>1</v>
      </c>
      <c r="K15301">
        <v>36</v>
      </c>
      <c r="L15301">
        <v>327</v>
      </c>
      <c r="M15301">
        <v>1</v>
      </c>
      <c r="N15301">
        <v>8.8884599999999995E-122</v>
      </c>
      <c r="O15301">
        <v>1115</v>
      </c>
    </row>
    <row r="15302" spans="1:15" x14ac:dyDescent="0.25">
      <c r="A15302" t="s">
        <v>15315</v>
      </c>
      <c r="B15302">
        <v>657</v>
      </c>
      <c r="C15302" s="1" t="str">
        <f>HYPERLINK("http://www.rosaceae.org/gb/gbrowse/malus_x_domestica/?name=MDP0000253535","MDP0000253535")</f>
        <v>MDP0000253535</v>
      </c>
      <c r="D15302">
        <v>53.91</v>
      </c>
      <c r="E15302">
        <v>664</v>
      </c>
      <c r="F15302">
        <v>306</v>
      </c>
      <c r="G15302">
        <v>23</v>
      </c>
      <c r="H15302">
        <v>3</v>
      </c>
      <c r="I15302">
        <v>657</v>
      </c>
      <c r="J15302">
        <v>1</v>
      </c>
      <c r="K15302">
        <v>5</v>
      </c>
      <c r="L15302">
        <v>654</v>
      </c>
      <c r="M15302">
        <v>1</v>
      </c>
      <c r="N15302">
        <v>0</v>
      </c>
      <c r="O15302">
        <v>1798</v>
      </c>
    </row>
    <row r="15303" spans="1:15" x14ac:dyDescent="0.25">
      <c r="A15303" t="s">
        <v>15316</v>
      </c>
      <c r="B15303">
        <v>323</v>
      </c>
      <c r="C15303" s="1" t="str">
        <f>HYPERLINK("http://www.rosaceae.org/gb/gbrowse/malus_x_domestica/?name=MDP0000313879","MDP0000313879")</f>
        <v>MDP0000313879</v>
      </c>
      <c r="D15303">
        <v>70.89</v>
      </c>
      <c r="E15303">
        <v>323</v>
      </c>
      <c r="F15303">
        <v>94</v>
      </c>
      <c r="G15303">
        <v>29</v>
      </c>
      <c r="H15303">
        <v>24</v>
      </c>
      <c r="I15303">
        <v>317</v>
      </c>
      <c r="J15303">
        <v>1</v>
      </c>
      <c r="K15303">
        <v>31</v>
      </c>
      <c r="L15303">
        <v>353</v>
      </c>
      <c r="M15303">
        <v>1</v>
      </c>
      <c r="N15303">
        <v>1.3001900000000001E-125</v>
      </c>
      <c r="O15303">
        <v>1148</v>
      </c>
    </row>
    <row r="15304" spans="1:15" x14ac:dyDescent="0.25">
      <c r="A15304" t="s">
        <v>15317</v>
      </c>
      <c r="B15304">
        <v>326</v>
      </c>
      <c r="C15304" s="1" t="str">
        <f>HYPERLINK("http://www.rosaceae.org/gb/gbrowse/malus_x_domestica/?name=MDP0000196394","MDP0000196394")</f>
        <v>MDP0000196394</v>
      </c>
      <c r="D15304">
        <v>60.99</v>
      </c>
      <c r="E15304">
        <v>241</v>
      </c>
      <c r="F15304">
        <v>94</v>
      </c>
      <c r="G15304">
        <v>10</v>
      </c>
      <c r="H15304">
        <v>5</v>
      </c>
      <c r="I15304">
        <v>236</v>
      </c>
      <c r="J15304">
        <v>1</v>
      </c>
      <c r="K15304">
        <v>4</v>
      </c>
      <c r="L15304">
        <v>243</v>
      </c>
      <c r="M15304">
        <v>1</v>
      </c>
      <c r="N15304">
        <v>5.6587700000000005E-78</v>
      </c>
      <c r="O15304">
        <v>737</v>
      </c>
    </row>
    <row r="15305" spans="1:15" x14ac:dyDescent="0.25">
      <c r="A15305" t="s">
        <v>15318</v>
      </c>
      <c r="B15305">
        <v>609</v>
      </c>
      <c r="C15305" s="1" t="str">
        <f>HYPERLINK("http://www.rosaceae.org/gb/gbrowse/malus_x_domestica/?name=MDP0000146863","MDP0000146863")</f>
        <v>MDP0000146863</v>
      </c>
      <c r="D15305">
        <v>78.900000000000006</v>
      </c>
      <c r="E15305">
        <v>474</v>
      </c>
      <c r="F15305">
        <v>100</v>
      </c>
      <c r="G15305">
        <v>18</v>
      </c>
      <c r="H15305">
        <v>94</v>
      </c>
      <c r="I15305">
        <v>564</v>
      </c>
      <c r="J15305">
        <v>1</v>
      </c>
      <c r="K15305">
        <v>1</v>
      </c>
      <c r="L15305">
        <v>459</v>
      </c>
      <c r="M15305">
        <v>1</v>
      </c>
      <c r="N15305">
        <v>0</v>
      </c>
      <c r="O15305">
        <v>1961</v>
      </c>
    </row>
    <row r="15306" spans="1:15" x14ac:dyDescent="0.25">
      <c r="A15306" t="s">
        <v>15319</v>
      </c>
      <c r="B15306">
        <v>333</v>
      </c>
      <c r="C15306" s="1" t="str">
        <f>HYPERLINK("http://www.rosaceae.org/gb/gbrowse/malus_x_domestica/?name=MDP0000463584","MDP0000463584")</f>
        <v>MDP0000463584</v>
      </c>
      <c r="D15306">
        <v>71.599999999999994</v>
      </c>
      <c r="E15306">
        <v>243</v>
      </c>
      <c r="F15306">
        <v>69</v>
      </c>
      <c r="G15306">
        <v>1</v>
      </c>
      <c r="H15306">
        <v>7</v>
      </c>
      <c r="I15306">
        <v>249</v>
      </c>
      <c r="J15306">
        <v>1</v>
      </c>
      <c r="K15306">
        <v>9</v>
      </c>
      <c r="L15306">
        <v>250</v>
      </c>
      <c r="M15306">
        <v>1</v>
      </c>
      <c r="N15306">
        <v>2.27883E-99</v>
      </c>
      <c r="O15306">
        <v>921</v>
      </c>
    </row>
    <row r="15307" spans="1:15" x14ac:dyDescent="0.25">
      <c r="A15307" t="s">
        <v>15320</v>
      </c>
      <c r="B15307">
        <v>583</v>
      </c>
      <c r="C15307" s="1" t="str">
        <f>HYPERLINK("http://www.rosaceae.org/gb/gbrowse/malus_x_domestica/?name=MDP0000805368","MDP0000805368")</f>
        <v>MDP0000805368</v>
      </c>
      <c r="D15307">
        <v>63.68</v>
      </c>
      <c r="E15307">
        <v>581</v>
      </c>
      <c r="F15307">
        <v>211</v>
      </c>
      <c r="G15307">
        <v>18</v>
      </c>
      <c r="H15307">
        <v>13</v>
      </c>
      <c r="I15307">
        <v>583</v>
      </c>
      <c r="J15307">
        <v>1</v>
      </c>
      <c r="K15307">
        <v>17</v>
      </c>
      <c r="L15307">
        <v>589</v>
      </c>
      <c r="M15307">
        <v>1</v>
      </c>
      <c r="N15307">
        <v>0</v>
      </c>
      <c r="O15307">
        <v>1887</v>
      </c>
    </row>
    <row r="15308" spans="1:15" x14ac:dyDescent="0.25">
      <c r="A15308" t="s">
        <v>15321</v>
      </c>
      <c r="B15308">
        <v>225</v>
      </c>
      <c r="C15308" s="1" t="str">
        <f>HYPERLINK("http://www.rosaceae.org/gb/gbrowse/malus_x_domestica/?name=MDP0000231182","MDP0000231182")</f>
        <v>MDP0000231182</v>
      </c>
      <c r="D15308">
        <v>56.91</v>
      </c>
      <c r="E15308">
        <v>188</v>
      </c>
      <c r="F15308">
        <v>81</v>
      </c>
      <c r="G15308">
        <v>23</v>
      </c>
      <c r="H15308">
        <v>19</v>
      </c>
      <c r="I15308">
        <v>183</v>
      </c>
      <c r="J15308">
        <v>1</v>
      </c>
      <c r="K15308">
        <v>111</v>
      </c>
      <c r="L15308">
        <v>298</v>
      </c>
      <c r="M15308">
        <v>1</v>
      </c>
      <c r="N15308">
        <v>2.8493499999999999E-54</v>
      </c>
      <c r="O15308">
        <v>530</v>
      </c>
    </row>
    <row r="15309" spans="1:15" x14ac:dyDescent="0.25">
      <c r="A15309" t="s">
        <v>15322</v>
      </c>
      <c r="B15309">
        <v>212</v>
      </c>
      <c r="C15309" s="1" t="str">
        <f>HYPERLINK("http://www.rosaceae.org/gb/gbrowse/malus_x_domestica/?name=MDP0000834920","MDP0000834920")</f>
        <v>MDP0000834920</v>
      </c>
      <c r="D15309">
        <v>54.7</v>
      </c>
      <c r="E15309">
        <v>117</v>
      </c>
      <c r="F15309">
        <v>53</v>
      </c>
      <c r="G15309">
        <v>13</v>
      </c>
      <c r="H15309">
        <v>1</v>
      </c>
      <c r="I15309">
        <v>107</v>
      </c>
      <c r="J15309">
        <v>1</v>
      </c>
      <c r="K15309">
        <v>1</v>
      </c>
      <c r="L15309">
        <v>114</v>
      </c>
      <c r="M15309">
        <v>1</v>
      </c>
      <c r="N15309">
        <v>5.8566700000000004E-25</v>
      </c>
      <c r="O15309">
        <v>277</v>
      </c>
    </row>
    <row r="15310" spans="1:15" x14ac:dyDescent="0.25">
      <c r="A15310" t="s">
        <v>15323</v>
      </c>
      <c r="B15310">
        <v>794</v>
      </c>
      <c r="C15310" s="1" t="str">
        <f>HYPERLINK("http://www.rosaceae.org/gb/gbrowse/malus_x_domestica/?name=MDP0000273521","MDP0000273521")</f>
        <v>MDP0000273521</v>
      </c>
      <c r="D15310">
        <v>69.599999999999994</v>
      </c>
      <c r="E15310">
        <v>487</v>
      </c>
      <c r="F15310">
        <v>148</v>
      </c>
      <c r="G15310">
        <v>23</v>
      </c>
      <c r="H15310">
        <v>175</v>
      </c>
      <c r="I15310">
        <v>661</v>
      </c>
      <c r="J15310">
        <v>1</v>
      </c>
      <c r="K15310">
        <v>1</v>
      </c>
      <c r="L15310">
        <v>464</v>
      </c>
      <c r="M15310">
        <v>1</v>
      </c>
      <c r="N15310">
        <v>0</v>
      </c>
      <c r="O15310">
        <v>1789</v>
      </c>
    </row>
    <row r="15311" spans="1:15" x14ac:dyDescent="0.25">
      <c r="A15311" t="s">
        <v>15324</v>
      </c>
      <c r="B15311">
        <v>430</v>
      </c>
      <c r="C15311" s="1" t="str">
        <f>HYPERLINK("http://www.rosaceae.org/gb/gbrowse/malus_x_domestica/?name=MDP0000263883","MDP0000263883")</f>
        <v>MDP0000263883</v>
      </c>
      <c r="D15311">
        <v>65.11</v>
      </c>
      <c r="E15311">
        <v>407</v>
      </c>
      <c r="F15311">
        <v>142</v>
      </c>
      <c r="G15311">
        <v>25</v>
      </c>
      <c r="H15311">
        <v>19</v>
      </c>
      <c r="I15311">
        <v>400</v>
      </c>
      <c r="J15311">
        <v>1</v>
      </c>
      <c r="K15311">
        <v>19</v>
      </c>
      <c r="L15311">
        <v>425</v>
      </c>
      <c r="M15311">
        <v>1</v>
      </c>
      <c r="N15311">
        <v>3.6852700000000002E-159</v>
      </c>
      <c r="O15311">
        <v>1438</v>
      </c>
    </row>
    <row r="15312" spans="1:15" x14ac:dyDescent="0.25">
      <c r="A15312" t="s">
        <v>15325</v>
      </c>
      <c r="B15312">
        <v>398</v>
      </c>
      <c r="C15312" s="1" t="str">
        <f>HYPERLINK("http://www.rosaceae.org/gb/gbrowse/malus_x_domestica/?name=MDP0000198760","MDP0000198760")</f>
        <v>MDP0000198760</v>
      </c>
      <c r="D15312">
        <v>36.700000000000003</v>
      </c>
      <c r="E15312">
        <v>188</v>
      </c>
      <c r="F15312">
        <v>119</v>
      </c>
      <c r="G15312">
        <v>43</v>
      </c>
      <c r="H15312">
        <v>1</v>
      </c>
      <c r="I15312">
        <v>184</v>
      </c>
      <c r="J15312">
        <v>1</v>
      </c>
      <c r="K15312">
        <v>1</v>
      </c>
      <c r="L15312">
        <v>149</v>
      </c>
      <c r="M15312">
        <v>1</v>
      </c>
      <c r="N15312">
        <v>4.5147999999999999E-21</v>
      </c>
      <c r="O15312">
        <v>247</v>
      </c>
    </row>
    <row r="15313" spans="1:15" x14ac:dyDescent="0.25">
      <c r="A15313" t="s">
        <v>15326</v>
      </c>
      <c r="B15313">
        <v>83</v>
      </c>
      <c r="C15313" s="1" t="str">
        <f>HYPERLINK("http://www.rosaceae.org/gb/gbrowse/malus_x_domestica/?name=MDP0000284741","MDP0000284741")</f>
        <v>MDP0000284741</v>
      </c>
      <c r="D15313">
        <v>70.58</v>
      </c>
      <c r="E15313">
        <v>85</v>
      </c>
      <c r="F15313">
        <v>25</v>
      </c>
      <c r="G15313">
        <v>3</v>
      </c>
      <c r="H15313">
        <v>2</v>
      </c>
      <c r="I15313">
        <v>83</v>
      </c>
      <c r="J15313">
        <v>1</v>
      </c>
      <c r="K15313">
        <v>58</v>
      </c>
      <c r="L15313">
        <v>142</v>
      </c>
      <c r="M15313">
        <v>1</v>
      </c>
      <c r="N15313">
        <v>2.7913300000000002E-27</v>
      </c>
      <c r="O15313">
        <v>293</v>
      </c>
    </row>
    <row r="15314" spans="1:15" x14ac:dyDescent="0.25">
      <c r="A15314" t="s">
        <v>15327</v>
      </c>
      <c r="B15314">
        <v>1524</v>
      </c>
      <c r="C15314" s="1" t="str">
        <f>HYPERLINK("http://www.rosaceae.org/gb/gbrowse/malus_x_domestica/?name=MDP0000232228","MDP0000232228")</f>
        <v>MDP0000232228</v>
      </c>
      <c r="D15314">
        <v>47.88</v>
      </c>
      <c r="E15314">
        <v>614</v>
      </c>
      <c r="F15314">
        <v>320</v>
      </c>
      <c r="G15314">
        <v>116</v>
      </c>
      <c r="H15314">
        <v>449</v>
      </c>
      <c r="I15314">
        <v>989</v>
      </c>
      <c r="J15314">
        <v>1</v>
      </c>
      <c r="K15314">
        <v>454</v>
      </c>
      <c r="L15314">
        <v>1024</v>
      </c>
      <c r="M15314">
        <v>1</v>
      </c>
      <c r="N15314">
        <v>5.4213999999999999E-121</v>
      </c>
      <c r="O15314">
        <v>1115</v>
      </c>
    </row>
    <row r="15315" spans="1:15" x14ac:dyDescent="0.25">
      <c r="A15315" t="s">
        <v>15328</v>
      </c>
      <c r="B15315">
        <v>522</v>
      </c>
      <c r="C15315" s="1" t="str">
        <f>HYPERLINK("http://www.rosaceae.org/gb/gbrowse/malus_x_domestica/?name=MDP0000302947","MDP0000302947")</f>
        <v>MDP0000302947</v>
      </c>
      <c r="D15315">
        <v>77.05</v>
      </c>
      <c r="E15315">
        <v>523</v>
      </c>
      <c r="F15315">
        <v>120</v>
      </c>
      <c r="G15315">
        <v>6</v>
      </c>
      <c r="H15315">
        <v>1</v>
      </c>
      <c r="I15315">
        <v>522</v>
      </c>
      <c r="J15315">
        <v>1</v>
      </c>
      <c r="K15315">
        <v>1</v>
      </c>
      <c r="L15315">
        <v>518</v>
      </c>
      <c r="M15315">
        <v>1</v>
      </c>
      <c r="N15315">
        <v>0</v>
      </c>
      <c r="O15315">
        <v>2171</v>
      </c>
    </row>
    <row r="15316" spans="1:15" x14ac:dyDescent="0.25">
      <c r="A15316" t="s">
        <v>15329</v>
      </c>
      <c r="B15316">
        <v>317</v>
      </c>
      <c r="C15316" s="1" t="str">
        <f>HYPERLINK("http://www.rosaceae.org/gb/gbrowse/malus_x_domestica/?name=MDP0000314254","MDP0000314254")</f>
        <v>MDP0000314254</v>
      </c>
      <c r="D15316">
        <v>34.39</v>
      </c>
      <c r="E15316">
        <v>157</v>
      </c>
      <c r="F15316">
        <v>103</v>
      </c>
      <c r="G15316">
        <v>1</v>
      </c>
      <c r="H15316">
        <v>161</v>
      </c>
      <c r="I15316">
        <v>317</v>
      </c>
      <c r="J15316">
        <v>1</v>
      </c>
      <c r="K15316">
        <v>383</v>
      </c>
      <c r="L15316">
        <v>538</v>
      </c>
      <c r="M15316">
        <v>1</v>
      </c>
      <c r="N15316">
        <v>6.1085499999999994E-17</v>
      </c>
      <c r="O15316">
        <v>210</v>
      </c>
    </row>
    <row r="15317" spans="1:15" x14ac:dyDescent="0.25">
      <c r="A15317" t="s">
        <v>15330</v>
      </c>
      <c r="B15317">
        <v>387</v>
      </c>
      <c r="C15317" s="1" t="str">
        <f>HYPERLINK("http://www.rosaceae.org/gb/gbrowse/malus_x_domestica/?name=MDP0000233598","MDP0000233598")</f>
        <v>MDP0000233598</v>
      </c>
      <c r="D15317">
        <v>26.19</v>
      </c>
      <c r="E15317">
        <v>168</v>
      </c>
      <c r="F15317">
        <v>124</v>
      </c>
      <c r="G15317">
        <v>11</v>
      </c>
      <c r="H15317">
        <v>4</v>
      </c>
      <c r="I15317">
        <v>167</v>
      </c>
      <c r="J15317">
        <v>1</v>
      </c>
      <c r="K15317">
        <v>299</v>
      </c>
      <c r="L15317">
        <v>459</v>
      </c>
      <c r="M15317">
        <v>1</v>
      </c>
      <c r="N15317">
        <v>2.6195599999999999E-7</v>
      </c>
      <c r="O15317">
        <v>128</v>
      </c>
    </row>
    <row r="15318" spans="1:15" x14ac:dyDescent="0.25">
      <c r="A15318" t="s">
        <v>15331</v>
      </c>
      <c r="B15318">
        <v>270</v>
      </c>
      <c r="C15318" s="1" t="str">
        <f>HYPERLINK("http://www.rosaceae.org/gb/gbrowse/malus_x_domestica/?name=MDP0000292744","MDP0000292744")</f>
        <v>MDP0000292744</v>
      </c>
      <c r="D15318">
        <v>42.75</v>
      </c>
      <c r="E15318">
        <v>283</v>
      </c>
      <c r="F15318">
        <v>162</v>
      </c>
      <c r="G15318">
        <v>18</v>
      </c>
      <c r="H15318">
        <v>2</v>
      </c>
      <c r="I15318">
        <v>266</v>
      </c>
      <c r="J15318">
        <v>1</v>
      </c>
      <c r="K15318">
        <v>39</v>
      </c>
      <c r="L15318">
        <v>321</v>
      </c>
      <c r="M15318">
        <v>1</v>
      </c>
      <c r="N15318">
        <v>4.5228600000000004E-59</v>
      </c>
      <c r="O15318">
        <v>573</v>
      </c>
    </row>
    <row r="15319" spans="1:15" x14ac:dyDescent="0.25">
      <c r="A15319" t="s">
        <v>15332</v>
      </c>
      <c r="B15319">
        <v>268</v>
      </c>
      <c r="C15319" s="1" t="str">
        <f>HYPERLINK("http://www.rosaceae.org/gb/gbrowse/malus_x_domestica/?name=MDP0000178440","MDP0000178440")</f>
        <v>MDP0000178440</v>
      </c>
      <c r="D15319">
        <v>69.33</v>
      </c>
      <c r="E15319">
        <v>75</v>
      </c>
      <c r="F15319">
        <v>23</v>
      </c>
      <c r="G15319">
        <v>1</v>
      </c>
      <c r="H15319">
        <v>1</v>
      </c>
      <c r="I15319">
        <v>74</v>
      </c>
      <c r="J15319">
        <v>1</v>
      </c>
      <c r="K15319">
        <v>1</v>
      </c>
      <c r="L15319">
        <v>75</v>
      </c>
      <c r="M15319">
        <v>1</v>
      </c>
      <c r="N15319">
        <v>8.8691400000000003E-26</v>
      </c>
      <c r="O15319">
        <v>286</v>
      </c>
    </row>
    <row r="15320" spans="1:15" x14ac:dyDescent="0.25">
      <c r="A15320" t="s">
        <v>15333</v>
      </c>
      <c r="B15320">
        <v>1320</v>
      </c>
      <c r="C15320" s="1" t="str">
        <f>HYPERLINK("http://www.rosaceae.org/gb/gbrowse/malus_x_domestica/?name=MDP0000232208","MDP0000232208")</f>
        <v>MDP0000232208</v>
      </c>
      <c r="D15320">
        <v>65.61</v>
      </c>
      <c r="E15320">
        <v>1396</v>
      </c>
      <c r="F15320">
        <v>480</v>
      </c>
      <c r="G15320">
        <v>140</v>
      </c>
      <c r="H15320">
        <v>54</v>
      </c>
      <c r="I15320">
        <v>1320</v>
      </c>
      <c r="J15320">
        <v>1</v>
      </c>
      <c r="K15320">
        <v>680</v>
      </c>
      <c r="L15320">
        <v>2064</v>
      </c>
      <c r="M15320">
        <v>1</v>
      </c>
      <c r="N15320">
        <v>0</v>
      </c>
      <c r="O15320">
        <v>4482</v>
      </c>
    </row>
    <row r="15321" spans="1:15" x14ac:dyDescent="0.25">
      <c r="A15321" t="s">
        <v>15334</v>
      </c>
      <c r="B15321">
        <v>318</v>
      </c>
      <c r="C15321" s="1" t="str">
        <f>HYPERLINK("http://www.rosaceae.org/gb/gbrowse/malus_x_domestica/?name=MDP0000298804","MDP0000298804")</f>
        <v>MDP0000298804</v>
      </c>
      <c r="D15321">
        <v>63.21</v>
      </c>
      <c r="E15321">
        <v>299</v>
      </c>
      <c r="F15321">
        <v>110</v>
      </c>
      <c r="G15321">
        <v>13</v>
      </c>
      <c r="H15321">
        <v>32</v>
      </c>
      <c r="I15321">
        <v>318</v>
      </c>
      <c r="J15321">
        <v>1</v>
      </c>
      <c r="K15321">
        <v>1</v>
      </c>
      <c r="L15321">
        <v>298</v>
      </c>
      <c r="M15321">
        <v>1</v>
      </c>
      <c r="N15321">
        <v>7.6246600000000001E-103</v>
      </c>
      <c r="O15321">
        <v>951</v>
      </c>
    </row>
    <row r="15322" spans="1:15" x14ac:dyDescent="0.25">
      <c r="A15322" t="s">
        <v>15335</v>
      </c>
      <c r="B15322">
        <v>610</v>
      </c>
      <c r="C15322" s="1" t="str">
        <f>HYPERLINK("http://www.rosaceae.org/gb/gbrowse/malus_x_domestica/?name=MDP0000204511","MDP0000204511")</f>
        <v>MDP0000204511</v>
      </c>
      <c r="D15322">
        <v>46.68</v>
      </c>
      <c r="E15322">
        <v>317</v>
      </c>
      <c r="F15322">
        <v>169</v>
      </c>
      <c r="G15322">
        <v>29</v>
      </c>
      <c r="H15322">
        <v>12</v>
      </c>
      <c r="I15322">
        <v>316</v>
      </c>
      <c r="J15322">
        <v>1</v>
      </c>
      <c r="K15322">
        <v>20</v>
      </c>
      <c r="L15322">
        <v>319</v>
      </c>
      <c r="M15322">
        <v>1</v>
      </c>
      <c r="N15322">
        <v>2.1048E-73</v>
      </c>
      <c r="O15322">
        <v>700</v>
      </c>
    </row>
    <row r="15323" spans="1:15" x14ac:dyDescent="0.25">
      <c r="A15323" t="s">
        <v>15336</v>
      </c>
      <c r="B15323">
        <v>623</v>
      </c>
      <c r="C15323" s="1" t="str">
        <f>HYPERLINK("http://www.rosaceae.org/gb/gbrowse/malus_x_domestica/?name=MDP0000190736","MDP0000190736")</f>
        <v>MDP0000190736</v>
      </c>
      <c r="D15323">
        <v>57.97</v>
      </c>
      <c r="E15323">
        <v>188</v>
      </c>
      <c r="F15323">
        <v>79</v>
      </c>
      <c r="G15323">
        <v>9</v>
      </c>
      <c r="H15323">
        <v>239</v>
      </c>
      <c r="I15323">
        <v>418</v>
      </c>
      <c r="J15323">
        <v>1</v>
      </c>
      <c r="K15323">
        <v>22</v>
      </c>
      <c r="L15323">
        <v>208</v>
      </c>
      <c r="M15323">
        <v>1</v>
      </c>
      <c r="N15323">
        <v>4.2755499999999999E-57</v>
      </c>
      <c r="O15323">
        <v>560</v>
      </c>
    </row>
    <row r="15324" spans="1:15" x14ac:dyDescent="0.25">
      <c r="A15324" t="s">
        <v>15337</v>
      </c>
      <c r="B15324">
        <v>524</v>
      </c>
      <c r="C15324" s="1" t="str">
        <f>HYPERLINK("http://www.rosaceae.org/gb/gbrowse/malus_x_domestica/?name=MDP0000261748","MDP0000261748")</f>
        <v>MDP0000261748</v>
      </c>
      <c r="D15324">
        <v>76.56</v>
      </c>
      <c r="E15324">
        <v>256</v>
      </c>
      <c r="F15324">
        <v>60</v>
      </c>
      <c r="G15324">
        <v>8</v>
      </c>
      <c r="H15324">
        <v>1</v>
      </c>
      <c r="I15324">
        <v>248</v>
      </c>
      <c r="J15324">
        <v>1</v>
      </c>
      <c r="K15324">
        <v>659</v>
      </c>
      <c r="L15324">
        <v>914</v>
      </c>
      <c r="M15324">
        <v>1</v>
      </c>
      <c r="N15324">
        <v>2.6114699999999999E-111</v>
      </c>
      <c r="O15324">
        <v>1027</v>
      </c>
    </row>
    <row r="15325" spans="1:15" x14ac:dyDescent="0.25">
      <c r="A15325" t="s">
        <v>15338</v>
      </c>
      <c r="B15325">
        <v>914</v>
      </c>
      <c r="C15325" s="1" t="str">
        <f>HYPERLINK("http://www.rosaceae.org/gb/gbrowse/malus_x_domestica/?name=MDP0000715465","MDP0000715465")</f>
        <v>MDP0000715465</v>
      </c>
      <c r="D15325">
        <v>78.3</v>
      </c>
      <c r="E15325">
        <v>922</v>
      </c>
      <c r="F15325">
        <v>200</v>
      </c>
      <c r="G15325">
        <v>30</v>
      </c>
      <c r="H15325">
        <v>15</v>
      </c>
      <c r="I15325">
        <v>912</v>
      </c>
      <c r="J15325">
        <v>1</v>
      </c>
      <c r="K15325">
        <v>39</v>
      </c>
      <c r="L15325">
        <v>954</v>
      </c>
      <c r="M15325">
        <v>1</v>
      </c>
      <c r="N15325">
        <v>0</v>
      </c>
      <c r="O15325">
        <v>3792</v>
      </c>
    </row>
    <row r="15326" spans="1:15" x14ac:dyDescent="0.25">
      <c r="A15326" t="s">
        <v>15339</v>
      </c>
      <c r="B15326">
        <v>253</v>
      </c>
      <c r="C15326" s="1" t="str">
        <f>HYPERLINK("http://www.rosaceae.org/gb/gbrowse/malus_x_domestica/?name=MDP0000868587","MDP0000868587")</f>
        <v>MDP0000868587</v>
      </c>
      <c r="D15326">
        <v>59.3</v>
      </c>
      <c r="E15326">
        <v>86</v>
      </c>
      <c r="F15326">
        <v>35</v>
      </c>
      <c r="G15326">
        <v>2</v>
      </c>
      <c r="H15326">
        <v>1</v>
      </c>
      <c r="I15326">
        <v>84</v>
      </c>
      <c r="J15326">
        <v>1</v>
      </c>
      <c r="K15326">
        <v>1</v>
      </c>
      <c r="L15326">
        <v>86</v>
      </c>
      <c r="M15326">
        <v>1</v>
      </c>
      <c r="N15326">
        <v>2.8767E-21</v>
      </c>
      <c r="O15326">
        <v>246</v>
      </c>
    </row>
    <row r="15327" spans="1:15" x14ac:dyDescent="0.25">
      <c r="A15327" t="s">
        <v>15340</v>
      </c>
      <c r="B15327">
        <v>465</v>
      </c>
      <c r="C15327" s="1" t="str">
        <f>HYPERLINK("http://www.rosaceae.org/gb/gbrowse/malus_x_domestica/?name=MDP0000836141","MDP0000836141")</f>
        <v>MDP0000836141</v>
      </c>
      <c r="D15327">
        <v>85.59</v>
      </c>
      <c r="E15327">
        <v>465</v>
      </c>
      <c r="F15327">
        <v>67</v>
      </c>
      <c r="G15327">
        <v>1</v>
      </c>
      <c r="H15327">
        <v>1</v>
      </c>
      <c r="I15327">
        <v>465</v>
      </c>
      <c r="J15327">
        <v>1</v>
      </c>
      <c r="K15327">
        <v>1</v>
      </c>
      <c r="L15327">
        <v>464</v>
      </c>
      <c r="M15327">
        <v>1</v>
      </c>
      <c r="N15327">
        <v>0</v>
      </c>
      <c r="O15327">
        <v>2117</v>
      </c>
    </row>
    <row r="15328" spans="1:15" x14ac:dyDescent="0.25">
      <c r="A15328" t="s">
        <v>15341</v>
      </c>
      <c r="B15328">
        <v>828</v>
      </c>
      <c r="C15328" s="1" t="str">
        <f>HYPERLINK("http://www.rosaceae.org/gb/gbrowse/malus_x_domestica/?name=MDP0000782875","MDP0000782875")</f>
        <v>MDP0000782875</v>
      </c>
      <c r="D15328">
        <v>49.51</v>
      </c>
      <c r="E15328">
        <v>830</v>
      </c>
      <c r="F15328">
        <v>419</v>
      </c>
      <c r="G15328">
        <v>35</v>
      </c>
      <c r="H15328">
        <v>6</v>
      </c>
      <c r="I15328">
        <v>828</v>
      </c>
      <c r="J15328">
        <v>1</v>
      </c>
      <c r="K15328">
        <v>6</v>
      </c>
      <c r="L15328">
        <v>807</v>
      </c>
      <c r="M15328">
        <v>1</v>
      </c>
      <c r="N15328">
        <v>0</v>
      </c>
      <c r="O15328">
        <v>1947</v>
      </c>
    </row>
    <row r="15329" spans="1:15" x14ac:dyDescent="0.25">
      <c r="A15329" t="s">
        <v>15342</v>
      </c>
      <c r="B15329">
        <v>600</v>
      </c>
      <c r="C15329" s="1" t="str">
        <f>HYPERLINK("http://www.rosaceae.org/gb/gbrowse/malus_x_domestica/?name=MDP0000300658","MDP0000300658")</f>
        <v>MDP0000300658</v>
      </c>
      <c r="D15329">
        <v>44.05</v>
      </c>
      <c r="E15329">
        <v>429</v>
      </c>
      <c r="F15329">
        <v>240</v>
      </c>
      <c r="G15329">
        <v>65</v>
      </c>
      <c r="H15329">
        <v>1</v>
      </c>
      <c r="I15329">
        <v>366</v>
      </c>
      <c r="J15329">
        <v>1</v>
      </c>
      <c r="K15329">
        <v>72</v>
      </c>
      <c r="L15329">
        <v>498</v>
      </c>
      <c r="M15329">
        <v>1</v>
      </c>
      <c r="N15329">
        <v>5.6823000000000003E-89</v>
      </c>
      <c r="O15329">
        <v>835</v>
      </c>
    </row>
    <row r="15330" spans="1:15" x14ac:dyDescent="0.25">
      <c r="A15330" t="s">
        <v>15343</v>
      </c>
      <c r="B15330">
        <v>125</v>
      </c>
      <c r="C15330" s="1" t="str">
        <f>HYPERLINK("http://www.rosaceae.org/gb/gbrowse/malus_x_domestica/?name=MDP0000826923","MDP0000826923")</f>
        <v>MDP0000826923</v>
      </c>
      <c r="D15330">
        <v>72.05</v>
      </c>
      <c r="E15330">
        <v>68</v>
      </c>
      <c r="F15330">
        <v>19</v>
      </c>
      <c r="G15330">
        <v>3</v>
      </c>
      <c r="H15330">
        <v>61</v>
      </c>
      <c r="I15330">
        <v>125</v>
      </c>
      <c r="J15330">
        <v>1</v>
      </c>
      <c r="K15330">
        <v>61</v>
      </c>
      <c r="L15330">
        <v>128</v>
      </c>
      <c r="M15330">
        <v>1</v>
      </c>
      <c r="N15330">
        <v>9.6536100000000006E-14</v>
      </c>
      <c r="O15330">
        <v>176</v>
      </c>
    </row>
    <row r="15331" spans="1:15" x14ac:dyDescent="0.25">
      <c r="A15331" t="s">
        <v>15344</v>
      </c>
      <c r="B15331">
        <v>457</v>
      </c>
      <c r="C15331" s="1" t="str">
        <f>HYPERLINK("http://www.rosaceae.org/gb/gbrowse/malus_x_domestica/?name=MDP0000482907","MDP0000482907")</f>
        <v>MDP0000482907</v>
      </c>
      <c r="D15331">
        <v>36.020000000000003</v>
      </c>
      <c r="E15331">
        <v>186</v>
      </c>
      <c r="F15331">
        <v>119</v>
      </c>
      <c r="G15331">
        <v>18</v>
      </c>
      <c r="H15331">
        <v>261</v>
      </c>
      <c r="I15331">
        <v>436</v>
      </c>
      <c r="J15331">
        <v>1</v>
      </c>
      <c r="K15331">
        <v>228</v>
      </c>
      <c r="L15331">
        <v>405</v>
      </c>
      <c r="M15331">
        <v>1</v>
      </c>
      <c r="N15331">
        <v>1.21146E-19</v>
      </c>
      <c r="O15331">
        <v>235</v>
      </c>
    </row>
    <row r="15332" spans="1:15" x14ac:dyDescent="0.25">
      <c r="A15332" t="s">
        <v>15345</v>
      </c>
      <c r="B15332">
        <v>487</v>
      </c>
      <c r="C15332" s="1" t="str">
        <f>HYPERLINK("http://www.rosaceae.org/gb/gbrowse/malus_x_domestica/?name=MDP0000123248","MDP0000123248")</f>
        <v>MDP0000123248</v>
      </c>
      <c r="D15332">
        <v>64.11</v>
      </c>
      <c r="E15332">
        <v>496</v>
      </c>
      <c r="F15332">
        <v>178</v>
      </c>
      <c r="G15332">
        <v>13</v>
      </c>
      <c r="H15332">
        <v>1</v>
      </c>
      <c r="I15332">
        <v>486</v>
      </c>
      <c r="J15332">
        <v>1</v>
      </c>
      <c r="K15332">
        <v>1</v>
      </c>
      <c r="L15332">
        <v>493</v>
      </c>
      <c r="M15332">
        <v>1</v>
      </c>
      <c r="N15332">
        <v>0</v>
      </c>
      <c r="O15332">
        <v>1740</v>
      </c>
    </row>
    <row r="15333" spans="1:15" x14ac:dyDescent="0.25">
      <c r="A15333" t="s">
        <v>15346</v>
      </c>
      <c r="B15333">
        <v>218</v>
      </c>
      <c r="C15333" s="1" t="str">
        <f>HYPERLINK("http://www.rosaceae.org/gb/gbrowse/malus_x_domestica/?name=MDP0000280971","MDP0000280971")</f>
        <v>MDP0000280971</v>
      </c>
      <c r="D15333">
        <v>75.83</v>
      </c>
      <c r="E15333">
        <v>149</v>
      </c>
      <c r="F15333">
        <v>36</v>
      </c>
      <c r="G15333">
        <v>0</v>
      </c>
      <c r="H15333">
        <v>46</v>
      </c>
      <c r="I15333">
        <v>194</v>
      </c>
      <c r="J15333">
        <v>1</v>
      </c>
      <c r="K15333">
        <v>47</v>
      </c>
      <c r="L15333">
        <v>195</v>
      </c>
      <c r="M15333">
        <v>1</v>
      </c>
      <c r="N15333">
        <v>1.60157E-71</v>
      </c>
      <c r="O15333">
        <v>679</v>
      </c>
    </row>
    <row r="15334" spans="1:15" x14ac:dyDescent="0.25">
      <c r="A15334" t="s">
        <v>15347</v>
      </c>
      <c r="B15334">
        <v>123</v>
      </c>
      <c r="C15334" s="1" t="str">
        <f>HYPERLINK("http://www.rosaceae.org/gb/gbrowse/malus_x_domestica/?name=MDP0000518442","MDP0000518442")</f>
        <v>MDP0000518442</v>
      </c>
      <c r="D15334">
        <v>67.08</v>
      </c>
      <c r="E15334">
        <v>79</v>
      </c>
      <c r="F15334">
        <v>26</v>
      </c>
      <c r="G15334">
        <v>1</v>
      </c>
      <c r="H15334">
        <v>23</v>
      </c>
      <c r="I15334">
        <v>101</v>
      </c>
      <c r="J15334">
        <v>1</v>
      </c>
      <c r="K15334">
        <v>93</v>
      </c>
      <c r="L15334">
        <v>170</v>
      </c>
      <c r="M15334">
        <v>1</v>
      </c>
      <c r="N15334">
        <v>5.7737400000000004E-27</v>
      </c>
      <c r="O15334">
        <v>290</v>
      </c>
    </row>
    <row r="15335" spans="1:15" x14ac:dyDescent="0.25">
      <c r="A15335" t="s">
        <v>15348</v>
      </c>
      <c r="B15335">
        <v>559</v>
      </c>
      <c r="C15335" s="1" t="str">
        <f>HYPERLINK("http://www.rosaceae.org/gb/gbrowse/malus_x_domestica/?name=MDP0000311548","MDP0000311548")</f>
        <v>MDP0000311548</v>
      </c>
      <c r="D15335">
        <v>36.770000000000003</v>
      </c>
      <c r="E15335">
        <v>155</v>
      </c>
      <c r="F15335">
        <v>98</v>
      </c>
      <c r="G15335">
        <v>7</v>
      </c>
      <c r="H15335">
        <v>286</v>
      </c>
      <c r="I15335">
        <v>440</v>
      </c>
      <c r="J15335">
        <v>1</v>
      </c>
      <c r="K15335">
        <v>2</v>
      </c>
      <c r="L15335">
        <v>149</v>
      </c>
      <c r="M15335">
        <v>1</v>
      </c>
      <c r="N15335">
        <v>2.4872400000000001E-19</v>
      </c>
      <c r="O15335">
        <v>234</v>
      </c>
    </row>
    <row r="15336" spans="1:15" x14ac:dyDescent="0.25">
      <c r="A15336" t="s">
        <v>15349</v>
      </c>
      <c r="B15336">
        <v>196</v>
      </c>
      <c r="C15336" s="1" t="str">
        <f>HYPERLINK("http://www.rosaceae.org/gb/gbrowse/malus_x_domestica/?name=MDP0000125256","MDP0000125256")</f>
        <v>MDP0000125256</v>
      </c>
      <c r="D15336">
        <v>60</v>
      </c>
      <c r="E15336">
        <v>170</v>
      </c>
      <c r="F15336">
        <v>68</v>
      </c>
      <c r="G15336">
        <v>2</v>
      </c>
      <c r="H15336">
        <v>28</v>
      </c>
      <c r="I15336">
        <v>196</v>
      </c>
      <c r="J15336">
        <v>1</v>
      </c>
      <c r="K15336">
        <v>23</v>
      </c>
      <c r="L15336">
        <v>191</v>
      </c>
      <c r="M15336">
        <v>1</v>
      </c>
      <c r="N15336">
        <v>2.1416500000000001E-52</v>
      </c>
      <c r="O15336">
        <v>513</v>
      </c>
    </row>
    <row r="15337" spans="1:15" x14ac:dyDescent="0.25">
      <c r="A15337" t="s">
        <v>15350</v>
      </c>
      <c r="B15337">
        <v>504</v>
      </c>
      <c r="C15337" s="1" t="str">
        <f>HYPERLINK("http://www.rosaceae.org/gb/gbrowse/malus_x_domestica/?name=MDP0000398765","MDP0000398765")</f>
        <v>MDP0000398765</v>
      </c>
      <c r="D15337">
        <v>85.81</v>
      </c>
      <c r="E15337">
        <v>296</v>
      </c>
      <c r="F15337">
        <v>42</v>
      </c>
      <c r="G15337">
        <v>2</v>
      </c>
      <c r="H15337">
        <v>211</v>
      </c>
      <c r="I15337">
        <v>504</v>
      </c>
      <c r="J15337">
        <v>1</v>
      </c>
      <c r="K15337">
        <v>1</v>
      </c>
      <c r="L15337">
        <v>296</v>
      </c>
      <c r="M15337">
        <v>1</v>
      </c>
      <c r="N15337">
        <v>1.5645800000000001E-154</v>
      </c>
      <c r="O15337">
        <v>1399</v>
      </c>
    </row>
    <row r="15338" spans="1:15" x14ac:dyDescent="0.25">
      <c r="A15338" t="s">
        <v>15351</v>
      </c>
      <c r="B15338">
        <v>1318</v>
      </c>
      <c r="C15338" s="1" t="str">
        <f>HYPERLINK("http://www.rosaceae.org/gb/gbrowse/malus_x_domestica/?name=MDP0000247921","MDP0000247921")</f>
        <v>MDP0000247921</v>
      </c>
      <c r="D15338">
        <v>30.07</v>
      </c>
      <c r="E15338">
        <v>379</v>
      </c>
      <c r="F15338">
        <v>265</v>
      </c>
      <c r="G15338">
        <v>59</v>
      </c>
      <c r="H15338">
        <v>746</v>
      </c>
      <c r="I15338">
        <v>1084</v>
      </c>
      <c r="J15338">
        <v>1</v>
      </c>
      <c r="K15338">
        <v>730</v>
      </c>
      <c r="L15338">
        <v>1089</v>
      </c>
      <c r="M15338">
        <v>1</v>
      </c>
      <c r="N15338">
        <v>1.16924E-35</v>
      </c>
      <c r="O15338">
        <v>378</v>
      </c>
    </row>
    <row r="15339" spans="1:15" x14ac:dyDescent="0.25">
      <c r="A15339" t="s">
        <v>15352</v>
      </c>
      <c r="B15339">
        <v>1007</v>
      </c>
      <c r="C15339" s="1" t="str">
        <f>HYPERLINK("http://www.rosaceae.org/gb/gbrowse/malus_x_domestica/?name=MDP0000207573","MDP0000207573")</f>
        <v>MDP0000207573</v>
      </c>
      <c r="D15339">
        <v>70.540000000000006</v>
      </c>
      <c r="E15339">
        <v>1049</v>
      </c>
      <c r="F15339">
        <v>309</v>
      </c>
      <c r="G15339">
        <v>69</v>
      </c>
      <c r="H15339">
        <v>1</v>
      </c>
      <c r="I15339">
        <v>1004</v>
      </c>
      <c r="J15339">
        <v>1</v>
      </c>
      <c r="K15339">
        <v>1</v>
      </c>
      <c r="L15339">
        <v>1025</v>
      </c>
      <c r="M15339">
        <v>1</v>
      </c>
      <c r="N15339">
        <v>0</v>
      </c>
      <c r="O15339">
        <v>3724</v>
      </c>
    </row>
    <row r="15340" spans="1:15" x14ac:dyDescent="0.25">
      <c r="A15340" t="s">
        <v>15353</v>
      </c>
      <c r="B15340">
        <v>269</v>
      </c>
      <c r="C15340" s="1" t="str">
        <f>HYPERLINK("http://www.rosaceae.org/gb/gbrowse/malus_x_domestica/?name=MDP0000812182","MDP0000812182")</f>
        <v>MDP0000812182</v>
      </c>
      <c r="D15340">
        <v>45.56</v>
      </c>
      <c r="E15340">
        <v>237</v>
      </c>
      <c r="F15340">
        <v>129</v>
      </c>
      <c r="G15340">
        <v>28</v>
      </c>
      <c r="H15340">
        <v>7</v>
      </c>
      <c r="I15340">
        <v>223</v>
      </c>
      <c r="J15340">
        <v>1</v>
      </c>
      <c r="K15340">
        <v>6</v>
      </c>
      <c r="L15340">
        <v>234</v>
      </c>
      <c r="M15340">
        <v>1</v>
      </c>
      <c r="N15340">
        <v>1.2913300000000001E-45</v>
      </c>
      <c r="O15340">
        <v>457</v>
      </c>
    </row>
    <row r="15341" spans="1:15" x14ac:dyDescent="0.25">
      <c r="A15341" t="s">
        <v>15354</v>
      </c>
      <c r="B15341">
        <v>891</v>
      </c>
      <c r="C15341" s="1" t="str">
        <f>HYPERLINK("http://www.rosaceae.org/gb/gbrowse/malus_x_domestica/?name=MDP0000250245","MDP0000250245")</f>
        <v>MDP0000250245</v>
      </c>
      <c r="D15341">
        <v>61.73</v>
      </c>
      <c r="E15341">
        <v>865</v>
      </c>
      <c r="F15341">
        <v>331</v>
      </c>
      <c r="G15341">
        <v>11</v>
      </c>
      <c r="H15341">
        <v>34</v>
      </c>
      <c r="I15341">
        <v>891</v>
      </c>
      <c r="J15341">
        <v>1</v>
      </c>
      <c r="K15341">
        <v>41</v>
      </c>
      <c r="L15341">
        <v>901</v>
      </c>
      <c r="M15341">
        <v>1</v>
      </c>
      <c r="N15341">
        <v>0</v>
      </c>
      <c r="O15341">
        <v>2822</v>
      </c>
    </row>
    <row r="15342" spans="1:15" x14ac:dyDescent="0.25">
      <c r="A15342" t="s">
        <v>15355</v>
      </c>
      <c r="B15342">
        <v>136</v>
      </c>
      <c r="C15342" s="1" t="str">
        <f>HYPERLINK("http://www.rosaceae.org/gb/gbrowse/malus_x_domestica/?name=MDP0000340713","MDP0000340713")</f>
        <v>MDP0000340713</v>
      </c>
      <c r="D15342">
        <v>88.4</v>
      </c>
      <c r="E15342">
        <v>69</v>
      </c>
      <c r="F15342">
        <v>8</v>
      </c>
      <c r="G15342">
        <v>0</v>
      </c>
      <c r="H15342">
        <v>68</v>
      </c>
      <c r="I15342">
        <v>136</v>
      </c>
      <c r="J15342">
        <v>1</v>
      </c>
      <c r="K15342">
        <v>1</v>
      </c>
      <c r="L15342">
        <v>69</v>
      </c>
      <c r="M15342">
        <v>1</v>
      </c>
      <c r="N15342">
        <v>1.3128600000000001E-31</v>
      </c>
      <c r="O15342">
        <v>331</v>
      </c>
    </row>
    <row r="15343" spans="1:15" x14ac:dyDescent="0.25">
      <c r="A15343" t="s">
        <v>15356</v>
      </c>
      <c r="B15343">
        <v>572</v>
      </c>
      <c r="C15343" s="1" t="str">
        <f>HYPERLINK("http://www.rosaceae.org/gb/gbrowse/malus_x_domestica/?name=MDP0000330032","MDP0000330032")</f>
        <v>MDP0000330032</v>
      </c>
      <c r="D15343">
        <v>87.65</v>
      </c>
      <c r="E15343">
        <v>324</v>
      </c>
      <c r="F15343">
        <v>40</v>
      </c>
      <c r="G15343">
        <v>1</v>
      </c>
      <c r="H15343">
        <v>84</v>
      </c>
      <c r="I15343">
        <v>406</v>
      </c>
      <c r="J15343">
        <v>1</v>
      </c>
      <c r="K15343">
        <v>28</v>
      </c>
      <c r="L15343">
        <v>351</v>
      </c>
      <c r="M15343">
        <v>1</v>
      </c>
      <c r="N15343">
        <v>1.02882E-169</v>
      </c>
      <c r="O15343">
        <v>1531</v>
      </c>
    </row>
    <row r="15344" spans="1:15" x14ac:dyDescent="0.25">
      <c r="A15344" t="s">
        <v>15357</v>
      </c>
      <c r="B15344">
        <v>330</v>
      </c>
      <c r="C15344" s="1" t="str">
        <f>HYPERLINK("http://www.rosaceae.org/gb/gbrowse/malus_x_domestica/?name=MDP0000209238","MDP0000209238")</f>
        <v>MDP0000209238</v>
      </c>
      <c r="D15344">
        <v>49.7</v>
      </c>
      <c r="E15344">
        <v>340</v>
      </c>
      <c r="F15344">
        <v>171</v>
      </c>
      <c r="G15344">
        <v>32</v>
      </c>
      <c r="H15344">
        <v>1</v>
      </c>
      <c r="I15344">
        <v>327</v>
      </c>
      <c r="J15344">
        <v>1</v>
      </c>
      <c r="K15344">
        <v>1</v>
      </c>
      <c r="L15344">
        <v>321</v>
      </c>
      <c r="M15344">
        <v>1</v>
      </c>
      <c r="N15344">
        <v>6.8719100000000001E-74</v>
      </c>
      <c r="O15344">
        <v>702</v>
      </c>
    </row>
    <row r="15345" spans="1:15" x14ac:dyDescent="0.25">
      <c r="A15345" t="s">
        <v>15358</v>
      </c>
      <c r="B15345">
        <v>552</v>
      </c>
      <c r="C15345" s="1" t="str">
        <f>HYPERLINK("http://www.rosaceae.org/gb/gbrowse/malus_x_domestica/?name=MDP0000774306","MDP0000774306")</f>
        <v>MDP0000774306</v>
      </c>
      <c r="D15345">
        <v>32.53</v>
      </c>
      <c r="E15345">
        <v>418</v>
      </c>
      <c r="F15345">
        <v>282</v>
      </c>
      <c r="G15345">
        <v>105</v>
      </c>
      <c r="H15345">
        <v>4</v>
      </c>
      <c r="I15345">
        <v>413</v>
      </c>
      <c r="J15345">
        <v>1</v>
      </c>
      <c r="K15345">
        <v>16</v>
      </c>
      <c r="L15345">
        <v>336</v>
      </c>
      <c r="M15345">
        <v>1</v>
      </c>
      <c r="N15345">
        <v>3.6597700000000001E-35</v>
      </c>
      <c r="O15345">
        <v>370</v>
      </c>
    </row>
    <row r="15346" spans="1:15" x14ac:dyDescent="0.25">
      <c r="A15346" t="s">
        <v>15359</v>
      </c>
      <c r="B15346">
        <v>467</v>
      </c>
      <c r="C15346" s="1" t="str">
        <f>HYPERLINK("http://www.rosaceae.org/gb/gbrowse/malus_x_domestica/?name=MDP0000252050","MDP0000252050")</f>
        <v>MDP0000252050</v>
      </c>
      <c r="D15346">
        <v>65.63</v>
      </c>
      <c r="E15346">
        <v>419</v>
      </c>
      <c r="F15346">
        <v>144</v>
      </c>
      <c r="G15346">
        <v>14</v>
      </c>
      <c r="H15346">
        <v>60</v>
      </c>
      <c r="I15346">
        <v>467</v>
      </c>
      <c r="J15346">
        <v>1</v>
      </c>
      <c r="K15346">
        <v>77</v>
      </c>
      <c r="L15346">
        <v>492</v>
      </c>
      <c r="M15346">
        <v>1</v>
      </c>
      <c r="N15346">
        <v>2.01708E-142</v>
      </c>
      <c r="O15346">
        <v>1294</v>
      </c>
    </row>
    <row r="15347" spans="1:15" x14ac:dyDescent="0.25">
      <c r="A15347" t="s">
        <v>15360</v>
      </c>
      <c r="B15347">
        <v>170</v>
      </c>
      <c r="C15347" s="1" t="str">
        <f>HYPERLINK("http://www.rosaceae.org/gb/gbrowse/malus_x_domestica/?name=MDP0000696312","MDP0000696312")</f>
        <v>MDP0000696312</v>
      </c>
      <c r="D15347">
        <v>52.5</v>
      </c>
      <c r="E15347">
        <v>240</v>
      </c>
      <c r="F15347">
        <v>114</v>
      </c>
      <c r="G15347">
        <v>72</v>
      </c>
      <c r="H15347">
        <v>1</v>
      </c>
      <c r="I15347">
        <v>168</v>
      </c>
      <c r="J15347">
        <v>1</v>
      </c>
      <c r="K15347">
        <v>125</v>
      </c>
      <c r="L15347">
        <v>364</v>
      </c>
      <c r="M15347">
        <v>1</v>
      </c>
      <c r="N15347">
        <v>1.8583700000000001E-58</v>
      </c>
      <c r="O15347">
        <v>565</v>
      </c>
    </row>
    <row r="15348" spans="1:15" x14ac:dyDescent="0.25">
      <c r="A15348" t="s">
        <v>15361</v>
      </c>
      <c r="B15348">
        <v>426</v>
      </c>
      <c r="C15348" s="1" t="str">
        <f>HYPERLINK("http://www.rosaceae.org/gb/gbrowse/malus_x_domestica/?name=MDP0000320927","MDP0000320927")</f>
        <v>MDP0000320927</v>
      </c>
      <c r="D15348">
        <v>59.75</v>
      </c>
      <c r="E15348">
        <v>400</v>
      </c>
      <c r="F15348">
        <v>161</v>
      </c>
      <c r="G15348">
        <v>18</v>
      </c>
      <c r="H15348">
        <v>4</v>
      </c>
      <c r="I15348">
        <v>388</v>
      </c>
      <c r="J15348">
        <v>1</v>
      </c>
      <c r="K15348">
        <v>3</v>
      </c>
      <c r="L15348">
        <v>399</v>
      </c>
      <c r="M15348">
        <v>1</v>
      </c>
      <c r="N15348">
        <v>7.9841299999999997E-126</v>
      </c>
      <c r="O15348">
        <v>1151</v>
      </c>
    </row>
    <row r="15349" spans="1:15" x14ac:dyDescent="0.25">
      <c r="A15349" t="s">
        <v>15362</v>
      </c>
      <c r="B15349">
        <v>313</v>
      </c>
      <c r="C15349" s="1" t="str">
        <f>HYPERLINK("http://www.rosaceae.org/gb/gbrowse/malus_x_domestica/?name=MDP0000159259","MDP0000159259")</f>
        <v>MDP0000159259</v>
      </c>
      <c r="D15349">
        <v>71.569999999999993</v>
      </c>
      <c r="E15349">
        <v>292</v>
      </c>
      <c r="F15349">
        <v>83</v>
      </c>
      <c r="G15349">
        <v>3</v>
      </c>
      <c r="H15349">
        <v>1</v>
      </c>
      <c r="I15349">
        <v>291</v>
      </c>
      <c r="J15349">
        <v>1</v>
      </c>
      <c r="K15349">
        <v>1</v>
      </c>
      <c r="L15349">
        <v>290</v>
      </c>
      <c r="M15349">
        <v>1</v>
      </c>
      <c r="N15349">
        <v>2.2616300000000001E-127</v>
      </c>
      <c r="O15349">
        <v>1163</v>
      </c>
    </row>
    <row r="15350" spans="1:15" x14ac:dyDescent="0.25">
      <c r="A15350" t="s">
        <v>15363</v>
      </c>
      <c r="B15350">
        <v>236</v>
      </c>
      <c r="C15350" s="1" t="str">
        <f>HYPERLINK("http://www.rosaceae.org/gb/gbrowse/malus_x_domestica/?name=MDP0000221145","MDP0000221145")</f>
        <v>MDP0000221145</v>
      </c>
      <c r="D15350">
        <v>79.45</v>
      </c>
      <c r="E15350">
        <v>219</v>
      </c>
      <c r="F15350">
        <v>45</v>
      </c>
      <c r="G15350">
        <v>2</v>
      </c>
      <c r="H15350">
        <v>6</v>
      </c>
      <c r="I15350">
        <v>222</v>
      </c>
      <c r="J15350">
        <v>1</v>
      </c>
      <c r="K15350">
        <v>12</v>
      </c>
      <c r="L15350">
        <v>230</v>
      </c>
      <c r="M15350">
        <v>1</v>
      </c>
      <c r="N15350">
        <v>4.0636200000000003E-99</v>
      </c>
      <c r="O15350">
        <v>917</v>
      </c>
    </row>
    <row r="15351" spans="1:15" x14ac:dyDescent="0.25">
      <c r="A15351" t="s">
        <v>15364</v>
      </c>
      <c r="B15351">
        <v>129</v>
      </c>
      <c r="C15351" s="1" t="str">
        <f>HYPERLINK("http://www.rosaceae.org/gb/gbrowse/malus_x_domestica/?name=MDP0000277458","MDP0000277458")</f>
        <v>MDP0000277458</v>
      </c>
      <c r="D15351">
        <v>43.33</v>
      </c>
      <c r="E15351">
        <v>90</v>
      </c>
      <c r="F15351">
        <v>51</v>
      </c>
      <c r="G15351">
        <v>2</v>
      </c>
      <c r="H15351">
        <v>30</v>
      </c>
      <c r="I15351">
        <v>119</v>
      </c>
      <c r="J15351">
        <v>1</v>
      </c>
      <c r="K15351">
        <v>1101</v>
      </c>
      <c r="L15351">
        <v>1188</v>
      </c>
      <c r="M15351">
        <v>1</v>
      </c>
      <c r="N15351">
        <v>5.2569199999999998E-19</v>
      </c>
      <c r="O15351">
        <v>222</v>
      </c>
    </row>
    <row r="15352" spans="1:15" x14ac:dyDescent="0.25">
      <c r="A15352" t="s">
        <v>15365</v>
      </c>
      <c r="B15352">
        <v>190</v>
      </c>
      <c r="C15352" s="1" t="str">
        <f>HYPERLINK("http://www.rosaceae.org/gb/gbrowse/malus_x_domestica/?name=MDP0000123888","MDP0000123888")</f>
        <v>MDP0000123888</v>
      </c>
      <c r="D15352">
        <v>72.349999999999994</v>
      </c>
      <c r="E15352">
        <v>170</v>
      </c>
      <c r="F15352">
        <v>47</v>
      </c>
      <c r="G15352">
        <v>5</v>
      </c>
      <c r="H15352">
        <v>25</v>
      </c>
      <c r="I15352">
        <v>190</v>
      </c>
      <c r="J15352">
        <v>1</v>
      </c>
      <c r="K15352">
        <v>22</v>
      </c>
      <c r="L15352">
        <v>190</v>
      </c>
      <c r="M15352">
        <v>1</v>
      </c>
      <c r="N15352">
        <v>1.36573E-62</v>
      </c>
      <c r="O15352">
        <v>601</v>
      </c>
    </row>
    <row r="15353" spans="1:15" x14ac:dyDescent="0.25">
      <c r="A15353" t="s">
        <v>15366</v>
      </c>
      <c r="B15353">
        <v>547</v>
      </c>
      <c r="C15353" s="1" t="str">
        <f>HYPERLINK("http://www.rosaceae.org/gb/gbrowse/malus_x_domestica/?name=MDP0000193420","MDP0000193420")</f>
        <v>MDP0000193420</v>
      </c>
      <c r="D15353">
        <v>70.14</v>
      </c>
      <c r="E15353">
        <v>469</v>
      </c>
      <c r="F15353">
        <v>140</v>
      </c>
      <c r="G15353">
        <v>63</v>
      </c>
      <c r="H15353">
        <v>122</v>
      </c>
      <c r="I15353">
        <v>547</v>
      </c>
      <c r="J15353">
        <v>1</v>
      </c>
      <c r="K15353">
        <v>6</v>
      </c>
      <c r="L15353">
        <v>454</v>
      </c>
      <c r="M15353">
        <v>1</v>
      </c>
      <c r="N15353">
        <v>6.8773000000000004E-180</v>
      </c>
      <c r="O15353">
        <v>1618</v>
      </c>
    </row>
    <row r="15354" spans="1:15" x14ac:dyDescent="0.25">
      <c r="A15354" t="s">
        <v>15367</v>
      </c>
      <c r="B15354">
        <v>692</v>
      </c>
      <c r="C15354" s="1" t="str">
        <f>HYPERLINK("http://www.rosaceae.org/gb/gbrowse/malus_x_domestica/?name=MDP0000289642","MDP0000289642")</f>
        <v>MDP0000289642</v>
      </c>
      <c r="D15354">
        <v>44.02</v>
      </c>
      <c r="E15354">
        <v>502</v>
      </c>
      <c r="F15354">
        <v>281</v>
      </c>
      <c r="G15354">
        <v>32</v>
      </c>
      <c r="H15354">
        <v>57</v>
      </c>
      <c r="I15354">
        <v>539</v>
      </c>
      <c r="J15354">
        <v>1</v>
      </c>
      <c r="K15354">
        <v>1</v>
      </c>
      <c r="L15354">
        <v>489</v>
      </c>
      <c r="M15354">
        <v>1</v>
      </c>
      <c r="N15354">
        <v>5.4481500000000004E-88</v>
      </c>
      <c r="O15354">
        <v>827</v>
      </c>
    </row>
    <row r="15355" spans="1:15" x14ac:dyDescent="0.25">
      <c r="A15355" t="s">
        <v>15368</v>
      </c>
      <c r="B15355">
        <v>205</v>
      </c>
      <c r="C15355" s="1" t="str">
        <f>HYPERLINK("http://www.rosaceae.org/gb/gbrowse/malus_x_domestica/?name=MDP0000136398","MDP0000136398")</f>
        <v>MDP0000136398</v>
      </c>
      <c r="D15355">
        <v>78.260000000000005</v>
      </c>
      <c r="E15355">
        <v>46</v>
      </c>
      <c r="F15355">
        <v>10</v>
      </c>
      <c r="G15355">
        <v>0</v>
      </c>
      <c r="H15355">
        <v>1</v>
      </c>
      <c r="I15355">
        <v>46</v>
      </c>
      <c r="J15355">
        <v>1</v>
      </c>
      <c r="K15355">
        <v>221</v>
      </c>
      <c r="L15355">
        <v>266</v>
      </c>
      <c r="M15355">
        <v>1</v>
      </c>
      <c r="N15355">
        <v>6.7255399999999999E-18</v>
      </c>
      <c r="O15355">
        <v>216</v>
      </c>
    </row>
    <row r="15356" spans="1:15" x14ac:dyDescent="0.25">
      <c r="A15356" t="s">
        <v>15369</v>
      </c>
      <c r="B15356">
        <v>630</v>
      </c>
      <c r="C15356" s="1" t="str">
        <f>HYPERLINK("http://www.rosaceae.org/gb/gbrowse/malus_x_domestica/?name=MDP0000239826","MDP0000239826")</f>
        <v>MDP0000239826</v>
      </c>
      <c r="D15356">
        <v>51.85</v>
      </c>
      <c r="E15356">
        <v>216</v>
      </c>
      <c r="F15356">
        <v>104</v>
      </c>
      <c r="G15356">
        <v>1</v>
      </c>
      <c r="H15356">
        <v>410</v>
      </c>
      <c r="I15356">
        <v>625</v>
      </c>
      <c r="J15356">
        <v>1</v>
      </c>
      <c r="K15356">
        <v>189</v>
      </c>
      <c r="L15356">
        <v>403</v>
      </c>
      <c r="M15356">
        <v>1</v>
      </c>
      <c r="N15356">
        <v>2.4104E-66</v>
      </c>
      <c r="O15356">
        <v>640</v>
      </c>
    </row>
    <row r="15357" spans="1:15" x14ac:dyDescent="0.25">
      <c r="A15357" t="s">
        <v>15370</v>
      </c>
      <c r="B15357">
        <v>277</v>
      </c>
      <c r="C15357" s="1" t="str">
        <f>HYPERLINK("http://www.rosaceae.org/gb/gbrowse/malus_x_domestica/?name=MDP0000265114","MDP0000265114")</f>
        <v>MDP0000265114</v>
      </c>
      <c r="D15357">
        <v>66.19</v>
      </c>
      <c r="E15357">
        <v>284</v>
      </c>
      <c r="F15357">
        <v>96</v>
      </c>
      <c r="G15357">
        <v>21</v>
      </c>
      <c r="H15357">
        <v>1</v>
      </c>
      <c r="I15357">
        <v>277</v>
      </c>
      <c r="J15357">
        <v>1</v>
      </c>
      <c r="K15357">
        <v>57</v>
      </c>
      <c r="L15357">
        <v>326</v>
      </c>
      <c r="M15357">
        <v>1</v>
      </c>
      <c r="N15357">
        <v>2.2953600000000001E-93</v>
      </c>
      <c r="O15357">
        <v>869</v>
      </c>
    </row>
    <row r="15358" spans="1:15" x14ac:dyDescent="0.25">
      <c r="A15358" t="s">
        <v>15371</v>
      </c>
      <c r="B15358">
        <v>476</v>
      </c>
      <c r="C15358" s="1" t="str">
        <f>HYPERLINK("http://www.rosaceae.org/gb/gbrowse/malus_x_domestica/?name=MDP0000204755","MDP0000204755")</f>
        <v>MDP0000204755</v>
      </c>
      <c r="D15358">
        <v>79.33</v>
      </c>
      <c r="E15358">
        <v>484</v>
      </c>
      <c r="F15358">
        <v>100</v>
      </c>
      <c r="G15358">
        <v>23</v>
      </c>
      <c r="H15358">
        <v>1</v>
      </c>
      <c r="I15358">
        <v>475</v>
      </c>
      <c r="J15358">
        <v>1</v>
      </c>
      <c r="K15358">
        <v>1</v>
      </c>
      <c r="L15358">
        <v>470</v>
      </c>
      <c r="M15358">
        <v>1</v>
      </c>
      <c r="N15358">
        <v>0</v>
      </c>
      <c r="O15358">
        <v>1970</v>
      </c>
    </row>
    <row r="15359" spans="1:15" x14ac:dyDescent="0.25">
      <c r="A15359" t="s">
        <v>15372</v>
      </c>
      <c r="B15359">
        <v>2184</v>
      </c>
      <c r="C15359" s="1" t="str">
        <f>HYPERLINK("http://www.rosaceae.org/gb/gbrowse/malus_x_domestica/?name=MDP0000212172","MDP0000212172")</f>
        <v>MDP0000212172</v>
      </c>
      <c r="D15359">
        <v>85.82</v>
      </c>
      <c r="E15359">
        <v>1206</v>
      </c>
      <c r="F15359">
        <v>171</v>
      </c>
      <c r="G15359">
        <v>44</v>
      </c>
      <c r="H15359">
        <v>843</v>
      </c>
      <c r="I15359">
        <v>2048</v>
      </c>
      <c r="J15359">
        <v>1</v>
      </c>
      <c r="K15359">
        <v>96</v>
      </c>
      <c r="L15359">
        <v>1257</v>
      </c>
      <c r="M15359">
        <v>1</v>
      </c>
      <c r="N15359">
        <v>0</v>
      </c>
      <c r="O15359">
        <v>5504</v>
      </c>
    </row>
    <row r="15360" spans="1:15" x14ac:dyDescent="0.25">
      <c r="A15360" t="s">
        <v>15373</v>
      </c>
      <c r="B15360">
        <v>452</v>
      </c>
      <c r="C15360" s="1" t="str">
        <f>HYPERLINK("http://www.rosaceae.org/gb/gbrowse/malus_x_domestica/?name=MDP0000200780","MDP0000200780")</f>
        <v>MDP0000200780</v>
      </c>
      <c r="D15360">
        <v>74.42</v>
      </c>
      <c r="E15360">
        <v>438</v>
      </c>
      <c r="F15360">
        <v>112</v>
      </c>
      <c r="G15360">
        <v>33</v>
      </c>
      <c r="H15360">
        <v>17</v>
      </c>
      <c r="I15360">
        <v>452</v>
      </c>
      <c r="J15360">
        <v>1</v>
      </c>
      <c r="K15360">
        <v>17</v>
      </c>
      <c r="L15360">
        <v>423</v>
      </c>
      <c r="M15360">
        <v>1</v>
      </c>
      <c r="N15360">
        <v>0</v>
      </c>
      <c r="O15360">
        <v>1698</v>
      </c>
    </row>
    <row r="15361" spans="1:15" x14ac:dyDescent="0.25">
      <c r="A15361" t="s">
        <v>15374</v>
      </c>
      <c r="B15361">
        <v>286</v>
      </c>
      <c r="C15361" s="1" t="str">
        <f>HYPERLINK("http://www.rosaceae.org/gb/gbrowse/malus_x_domestica/?name=MDP0000390627","MDP0000390627")</f>
        <v>MDP0000390627</v>
      </c>
      <c r="D15361">
        <v>79.790000000000006</v>
      </c>
      <c r="E15361">
        <v>287</v>
      </c>
      <c r="F15361">
        <v>58</v>
      </c>
      <c r="G15361">
        <v>1</v>
      </c>
      <c r="H15361">
        <v>1</v>
      </c>
      <c r="I15361">
        <v>286</v>
      </c>
      <c r="J15361">
        <v>1</v>
      </c>
      <c r="K15361">
        <v>1</v>
      </c>
      <c r="L15361">
        <v>287</v>
      </c>
      <c r="M15361">
        <v>1</v>
      </c>
      <c r="N15361">
        <v>3.2260799999999999E-128</v>
      </c>
      <c r="O15361">
        <v>1169</v>
      </c>
    </row>
    <row r="15362" spans="1:15" x14ac:dyDescent="0.25">
      <c r="A15362" t="s">
        <v>15375</v>
      </c>
      <c r="B15362">
        <v>485</v>
      </c>
      <c r="C15362" s="1" t="str">
        <f>HYPERLINK("http://www.rosaceae.org/gb/gbrowse/malus_x_domestica/?name=MDP0000261154","MDP0000261154")</f>
        <v>MDP0000261154</v>
      </c>
      <c r="D15362">
        <v>26.85</v>
      </c>
      <c r="E15362">
        <v>283</v>
      </c>
      <c r="F15362">
        <v>207</v>
      </c>
      <c r="G15362">
        <v>58</v>
      </c>
      <c r="H15362">
        <v>152</v>
      </c>
      <c r="I15362">
        <v>433</v>
      </c>
      <c r="J15362">
        <v>1</v>
      </c>
      <c r="K15362">
        <v>4</v>
      </c>
      <c r="L15362">
        <v>229</v>
      </c>
      <c r="M15362">
        <v>1</v>
      </c>
      <c r="N15362">
        <v>8.8445100000000007E-18</v>
      </c>
      <c r="O15362">
        <v>220</v>
      </c>
    </row>
    <row r="15363" spans="1:15" x14ac:dyDescent="0.25">
      <c r="A15363" t="s">
        <v>15376</v>
      </c>
      <c r="B15363">
        <v>646</v>
      </c>
      <c r="C15363" s="1" t="str">
        <f>HYPERLINK("http://www.rosaceae.org/gb/gbrowse/malus_x_domestica/?name=MDP0000119864","MDP0000119864")</f>
        <v>MDP0000119864</v>
      </c>
      <c r="D15363">
        <v>82.36</v>
      </c>
      <c r="E15363">
        <v>635</v>
      </c>
      <c r="F15363">
        <v>112</v>
      </c>
      <c r="G15363">
        <v>16</v>
      </c>
      <c r="H15363">
        <v>1</v>
      </c>
      <c r="I15363">
        <v>625</v>
      </c>
      <c r="J15363">
        <v>1</v>
      </c>
      <c r="K15363">
        <v>1</v>
      </c>
      <c r="L15363">
        <v>629</v>
      </c>
      <c r="M15363">
        <v>1</v>
      </c>
      <c r="N15363">
        <v>0</v>
      </c>
      <c r="O15363">
        <v>2659</v>
      </c>
    </row>
    <row r="15364" spans="1:15" x14ac:dyDescent="0.25">
      <c r="A15364" t="s">
        <v>15377</v>
      </c>
      <c r="B15364">
        <v>767</v>
      </c>
      <c r="C15364" s="1" t="str">
        <f>HYPERLINK("http://www.rosaceae.org/gb/gbrowse/malus_x_domestica/?name=MDP0000262647","MDP0000262647")</f>
        <v>MDP0000262647</v>
      </c>
      <c r="D15364">
        <v>58.53</v>
      </c>
      <c r="E15364">
        <v>328</v>
      </c>
      <c r="F15364">
        <v>136</v>
      </c>
      <c r="G15364">
        <v>57</v>
      </c>
      <c r="H15364">
        <v>251</v>
      </c>
      <c r="I15364">
        <v>530</v>
      </c>
      <c r="J15364">
        <v>1</v>
      </c>
      <c r="K15364">
        <v>896</v>
      </c>
      <c r="L15364">
        <v>1214</v>
      </c>
      <c r="M15364">
        <v>1</v>
      </c>
      <c r="N15364">
        <v>1.12063E-100</v>
      </c>
      <c r="O15364">
        <v>937</v>
      </c>
    </row>
    <row r="15365" spans="1:15" x14ac:dyDescent="0.25">
      <c r="A15365" t="s">
        <v>15378</v>
      </c>
      <c r="B15365">
        <v>819</v>
      </c>
      <c r="C15365" s="1" t="str">
        <f>HYPERLINK("http://www.rosaceae.org/gb/gbrowse/malus_x_domestica/?name=MDP0000133794","MDP0000133794")</f>
        <v>MDP0000133794</v>
      </c>
      <c r="D15365">
        <v>79.84</v>
      </c>
      <c r="E15365">
        <v>779</v>
      </c>
      <c r="F15365">
        <v>157</v>
      </c>
      <c r="G15365">
        <v>8</v>
      </c>
      <c r="H15365">
        <v>17</v>
      </c>
      <c r="I15365">
        <v>787</v>
      </c>
      <c r="J15365">
        <v>1</v>
      </c>
      <c r="K15365">
        <v>17</v>
      </c>
      <c r="L15365">
        <v>795</v>
      </c>
      <c r="M15365">
        <v>1</v>
      </c>
      <c r="N15365">
        <v>0</v>
      </c>
      <c r="O15365">
        <v>3442</v>
      </c>
    </row>
    <row r="15366" spans="1:15" x14ac:dyDescent="0.25">
      <c r="A15366" t="s">
        <v>15379</v>
      </c>
      <c r="B15366">
        <v>601</v>
      </c>
      <c r="C15366" s="1" t="str">
        <f>HYPERLINK("http://www.rosaceae.org/gb/gbrowse/malus_x_domestica/?name=MDP0000016671","MDP0000016671")</f>
        <v>MDP0000016671</v>
      </c>
      <c r="D15366">
        <v>85.59</v>
      </c>
      <c r="E15366">
        <v>597</v>
      </c>
      <c r="F15366">
        <v>86</v>
      </c>
      <c r="G15366">
        <v>7</v>
      </c>
      <c r="H15366">
        <v>4</v>
      </c>
      <c r="I15366">
        <v>600</v>
      </c>
      <c r="J15366">
        <v>1</v>
      </c>
      <c r="K15366">
        <v>3</v>
      </c>
      <c r="L15366">
        <v>592</v>
      </c>
      <c r="M15366">
        <v>1</v>
      </c>
      <c r="N15366">
        <v>0</v>
      </c>
      <c r="O15366">
        <v>2812</v>
      </c>
    </row>
    <row r="15367" spans="1:15" x14ac:dyDescent="0.25">
      <c r="A15367" t="s">
        <v>15380</v>
      </c>
      <c r="B15367">
        <v>1561</v>
      </c>
      <c r="C15367" s="1" t="str">
        <f>HYPERLINK("http://www.rosaceae.org/gb/gbrowse/malus_x_domestica/?name=MDP0000061332","MDP0000061332")</f>
        <v>MDP0000061332</v>
      </c>
      <c r="D15367">
        <v>77.2</v>
      </c>
      <c r="E15367">
        <v>1443</v>
      </c>
      <c r="F15367">
        <v>329</v>
      </c>
      <c r="G15367">
        <v>124</v>
      </c>
      <c r="H15367">
        <v>1</v>
      </c>
      <c r="I15367">
        <v>1414</v>
      </c>
      <c r="J15367">
        <v>1</v>
      </c>
      <c r="K15367">
        <v>1</v>
      </c>
      <c r="L15367">
        <v>1348</v>
      </c>
      <c r="M15367">
        <v>1</v>
      </c>
      <c r="N15367">
        <v>0</v>
      </c>
      <c r="O15367">
        <v>5665</v>
      </c>
    </row>
    <row r="15368" spans="1:15" x14ac:dyDescent="0.25">
      <c r="A15368" t="s">
        <v>15381</v>
      </c>
      <c r="B15368">
        <v>201</v>
      </c>
      <c r="C15368" s="1" t="str">
        <f>HYPERLINK("http://www.rosaceae.org/gb/gbrowse/malus_x_domestica/?name=MDP0000294628","MDP0000294628")</f>
        <v>MDP0000294628</v>
      </c>
      <c r="D15368">
        <v>73.17</v>
      </c>
      <c r="E15368">
        <v>41</v>
      </c>
      <c r="F15368">
        <v>11</v>
      </c>
      <c r="G15368">
        <v>0</v>
      </c>
      <c r="H15368">
        <v>104</v>
      </c>
      <c r="I15368">
        <v>144</v>
      </c>
      <c r="J15368">
        <v>1</v>
      </c>
      <c r="K15368">
        <v>40</v>
      </c>
      <c r="L15368">
        <v>80</v>
      </c>
      <c r="M15368">
        <v>1</v>
      </c>
      <c r="N15368">
        <v>1.8336099999999999E-11</v>
      </c>
      <c r="O15368">
        <v>160</v>
      </c>
    </row>
    <row r="15369" spans="1:15" x14ac:dyDescent="0.25">
      <c r="A15369" t="s">
        <v>15382</v>
      </c>
      <c r="B15369">
        <v>307</v>
      </c>
      <c r="C15369" s="1" t="str">
        <f>HYPERLINK("http://www.rosaceae.org/gb/gbrowse/malus_x_domestica/?name=MDP0000281231","MDP0000281231")</f>
        <v>MDP0000281231</v>
      </c>
      <c r="D15369">
        <v>59.49</v>
      </c>
      <c r="E15369">
        <v>79</v>
      </c>
      <c r="F15369">
        <v>32</v>
      </c>
      <c r="G15369">
        <v>0</v>
      </c>
      <c r="H15369">
        <v>76</v>
      </c>
      <c r="I15369">
        <v>154</v>
      </c>
      <c r="J15369">
        <v>1</v>
      </c>
      <c r="K15369">
        <v>1450</v>
      </c>
      <c r="L15369">
        <v>1528</v>
      </c>
      <c r="M15369">
        <v>1</v>
      </c>
      <c r="N15369">
        <v>6.1167199999999998E-20</v>
      </c>
      <c r="O15369">
        <v>236</v>
      </c>
    </row>
    <row r="15370" spans="1:15" x14ac:dyDescent="0.25">
      <c r="A15370" t="s">
        <v>15383</v>
      </c>
      <c r="B15370">
        <v>447</v>
      </c>
      <c r="C15370" s="1" t="str">
        <f>HYPERLINK("http://www.rosaceae.org/gb/gbrowse/malus_x_domestica/?name=MDP0000313034","MDP0000313034")</f>
        <v>MDP0000313034</v>
      </c>
      <c r="D15370">
        <v>74.319999999999993</v>
      </c>
      <c r="E15370">
        <v>296</v>
      </c>
      <c r="F15370">
        <v>76</v>
      </c>
      <c r="G15370">
        <v>14</v>
      </c>
      <c r="H15370">
        <v>3</v>
      </c>
      <c r="I15370">
        <v>298</v>
      </c>
      <c r="J15370">
        <v>1</v>
      </c>
      <c r="K15370">
        <v>160</v>
      </c>
      <c r="L15370">
        <v>441</v>
      </c>
      <c r="M15370">
        <v>1</v>
      </c>
      <c r="N15370">
        <v>1.2081199999999999E-130</v>
      </c>
      <c r="O15370">
        <v>1193</v>
      </c>
    </row>
    <row r="15371" spans="1:15" x14ac:dyDescent="0.25">
      <c r="A15371" t="s">
        <v>15384</v>
      </c>
      <c r="B15371">
        <v>253</v>
      </c>
      <c r="C15371" s="1" t="str">
        <f>HYPERLINK("http://www.rosaceae.org/gb/gbrowse/malus_x_domestica/?name=MDP0000276332","MDP0000276332")</f>
        <v>MDP0000276332</v>
      </c>
      <c r="D15371">
        <v>70.16</v>
      </c>
      <c r="E15371">
        <v>248</v>
      </c>
      <c r="F15371">
        <v>74</v>
      </c>
      <c r="G15371">
        <v>12</v>
      </c>
      <c r="H15371">
        <v>1</v>
      </c>
      <c r="I15371">
        <v>248</v>
      </c>
      <c r="J15371">
        <v>1</v>
      </c>
      <c r="K15371">
        <v>250</v>
      </c>
      <c r="L15371">
        <v>485</v>
      </c>
      <c r="M15371">
        <v>1</v>
      </c>
      <c r="N15371">
        <v>1.48015E-97</v>
      </c>
      <c r="O15371">
        <v>904</v>
      </c>
    </row>
    <row r="15372" spans="1:15" x14ac:dyDescent="0.25">
      <c r="A15372" t="s">
        <v>15385</v>
      </c>
      <c r="B15372">
        <v>539</v>
      </c>
      <c r="C15372" s="1" t="str">
        <f>HYPERLINK("http://www.rosaceae.org/gb/gbrowse/malus_x_domestica/?name=MDP0000297123","MDP0000297123")</f>
        <v>MDP0000297123</v>
      </c>
      <c r="D15372">
        <v>77.56</v>
      </c>
      <c r="E15372">
        <v>526</v>
      </c>
      <c r="F15372">
        <v>118</v>
      </c>
      <c r="G15372">
        <v>13</v>
      </c>
      <c r="H15372">
        <v>12</v>
      </c>
      <c r="I15372">
        <v>526</v>
      </c>
      <c r="J15372">
        <v>1</v>
      </c>
      <c r="K15372">
        <v>19</v>
      </c>
      <c r="L15372">
        <v>542</v>
      </c>
      <c r="M15372">
        <v>1</v>
      </c>
      <c r="N15372">
        <v>0</v>
      </c>
      <c r="O15372">
        <v>2163</v>
      </c>
    </row>
    <row r="15373" spans="1:15" x14ac:dyDescent="0.25">
      <c r="A15373" t="s">
        <v>15386</v>
      </c>
      <c r="B15373">
        <v>287</v>
      </c>
      <c r="C15373" s="1" t="str">
        <f>HYPERLINK("http://www.rosaceae.org/gb/gbrowse/malus_x_domestica/?name=MDP0000726936","MDP0000726936")</f>
        <v>MDP0000726936</v>
      </c>
      <c r="D15373">
        <v>25.95</v>
      </c>
      <c r="E15373">
        <v>131</v>
      </c>
      <c r="F15373">
        <v>97</v>
      </c>
      <c r="G15373">
        <v>6</v>
      </c>
      <c r="H15373">
        <v>104</v>
      </c>
      <c r="I15373">
        <v>228</v>
      </c>
      <c r="J15373">
        <v>1</v>
      </c>
      <c r="K15373">
        <v>12</v>
      </c>
      <c r="L15373">
        <v>142</v>
      </c>
      <c r="M15373">
        <v>1</v>
      </c>
      <c r="N15373">
        <v>2.5714699999999999E-8</v>
      </c>
      <c r="O15373">
        <v>135</v>
      </c>
    </row>
    <row r="15374" spans="1:15" x14ac:dyDescent="0.25">
      <c r="A15374" t="s">
        <v>15387</v>
      </c>
      <c r="B15374">
        <v>306</v>
      </c>
      <c r="C15374" s="1" t="str">
        <f>HYPERLINK("http://www.rosaceae.org/gb/gbrowse/malus_x_domestica/?name=MDP0000450792","MDP0000450792")</f>
        <v>MDP0000450792</v>
      </c>
      <c r="D15374">
        <v>82.66</v>
      </c>
      <c r="E15374">
        <v>225</v>
      </c>
      <c r="F15374">
        <v>39</v>
      </c>
      <c r="G15374">
        <v>1</v>
      </c>
      <c r="H15374">
        <v>28</v>
      </c>
      <c r="I15374">
        <v>252</v>
      </c>
      <c r="J15374">
        <v>1</v>
      </c>
      <c r="K15374">
        <v>28</v>
      </c>
      <c r="L15374">
        <v>251</v>
      </c>
      <c r="M15374">
        <v>1</v>
      </c>
      <c r="N15374">
        <v>6.8376499999999995E-108</v>
      </c>
      <c r="O15374">
        <v>995</v>
      </c>
    </row>
    <row r="15375" spans="1:15" x14ac:dyDescent="0.25">
      <c r="A15375" t="s">
        <v>15388</v>
      </c>
      <c r="B15375">
        <v>694</v>
      </c>
      <c r="C15375" s="1" t="str">
        <f>HYPERLINK("http://www.rosaceae.org/gb/gbrowse/malus_x_domestica/?name=MDP0000628052","MDP0000628052")</f>
        <v>MDP0000628052</v>
      </c>
      <c r="D15375">
        <v>73.03</v>
      </c>
      <c r="E15375">
        <v>89</v>
      </c>
      <c r="F15375">
        <v>24</v>
      </c>
      <c r="G15375">
        <v>1</v>
      </c>
      <c r="H15375">
        <v>48</v>
      </c>
      <c r="I15375">
        <v>135</v>
      </c>
      <c r="J15375">
        <v>1</v>
      </c>
      <c r="K15375">
        <v>57</v>
      </c>
      <c r="L15375">
        <v>145</v>
      </c>
      <c r="M15375">
        <v>1</v>
      </c>
      <c r="N15375">
        <v>5.2850300000000004E-32</v>
      </c>
      <c r="O15375">
        <v>344</v>
      </c>
    </row>
    <row r="15376" spans="1:15" x14ac:dyDescent="0.25">
      <c r="A15376" t="s">
        <v>15389</v>
      </c>
      <c r="B15376">
        <v>320</v>
      </c>
      <c r="C15376" s="1" t="str">
        <f>HYPERLINK("http://www.rosaceae.org/gb/gbrowse/malus_x_domestica/?name=MDP0000209583","MDP0000209583")</f>
        <v>MDP0000209583</v>
      </c>
      <c r="D15376">
        <v>70.22</v>
      </c>
      <c r="E15376">
        <v>393</v>
      </c>
      <c r="F15376">
        <v>117</v>
      </c>
      <c r="G15376">
        <v>73</v>
      </c>
      <c r="H15376">
        <v>1</v>
      </c>
      <c r="I15376">
        <v>320</v>
      </c>
      <c r="J15376">
        <v>1</v>
      </c>
      <c r="K15376">
        <v>1</v>
      </c>
      <c r="L15376">
        <v>393</v>
      </c>
      <c r="M15376">
        <v>1</v>
      </c>
      <c r="N15376">
        <v>1.2091899999999999E-155</v>
      </c>
      <c r="O15376">
        <v>1407</v>
      </c>
    </row>
    <row r="15377" spans="1:15" x14ac:dyDescent="0.25">
      <c r="A15377" t="s">
        <v>15390</v>
      </c>
      <c r="B15377">
        <v>155</v>
      </c>
      <c r="C15377" s="1" t="str">
        <f>HYPERLINK("http://www.rosaceae.org/gb/gbrowse/malus_x_domestica/?name=MDP0000181297","MDP0000181297")</f>
        <v>MDP0000181297</v>
      </c>
      <c r="D15377">
        <v>75.349999999999994</v>
      </c>
      <c r="E15377">
        <v>142</v>
      </c>
      <c r="F15377">
        <v>35</v>
      </c>
      <c r="G15377">
        <v>3</v>
      </c>
      <c r="H15377">
        <v>1</v>
      </c>
      <c r="I15377">
        <v>140</v>
      </c>
      <c r="J15377">
        <v>1</v>
      </c>
      <c r="K15377">
        <v>70</v>
      </c>
      <c r="L15377">
        <v>210</v>
      </c>
      <c r="M15377">
        <v>1</v>
      </c>
      <c r="N15377">
        <v>6.5691099999999998E-57</v>
      </c>
      <c r="O15377">
        <v>550</v>
      </c>
    </row>
    <row r="15378" spans="1:15" x14ac:dyDescent="0.25">
      <c r="A15378" t="s">
        <v>15391</v>
      </c>
      <c r="B15378">
        <v>740</v>
      </c>
      <c r="C15378" s="1" t="str">
        <f>HYPERLINK("http://www.rosaceae.org/gb/gbrowse/malus_x_domestica/?name=MDP0000190916","MDP0000190916")</f>
        <v>MDP0000190916</v>
      </c>
      <c r="D15378">
        <v>68.19</v>
      </c>
      <c r="E15378">
        <v>742</v>
      </c>
      <c r="F15378">
        <v>236</v>
      </c>
      <c r="G15378">
        <v>14</v>
      </c>
      <c r="H15378">
        <v>8</v>
      </c>
      <c r="I15378">
        <v>740</v>
      </c>
      <c r="J15378">
        <v>1</v>
      </c>
      <c r="K15378">
        <v>8</v>
      </c>
      <c r="L15378">
        <v>744</v>
      </c>
      <c r="M15378">
        <v>1</v>
      </c>
      <c r="N15378">
        <v>0</v>
      </c>
      <c r="O15378">
        <v>2602</v>
      </c>
    </row>
    <row r="15379" spans="1:15" x14ac:dyDescent="0.25">
      <c r="A15379" t="s">
        <v>15392</v>
      </c>
      <c r="B15379">
        <v>260</v>
      </c>
      <c r="C15379" s="1" t="str">
        <f>HYPERLINK("http://www.rosaceae.org/gb/gbrowse/malus_x_domestica/?name=MDP0000169903","MDP0000169903")</f>
        <v>MDP0000169903</v>
      </c>
      <c r="D15379">
        <v>79.61</v>
      </c>
      <c r="E15379">
        <v>260</v>
      </c>
      <c r="F15379">
        <v>53</v>
      </c>
      <c r="G15379">
        <v>0</v>
      </c>
      <c r="H15379">
        <v>1</v>
      </c>
      <c r="I15379">
        <v>260</v>
      </c>
      <c r="J15379">
        <v>1</v>
      </c>
      <c r="K15379">
        <v>1</v>
      </c>
      <c r="L15379">
        <v>260</v>
      </c>
      <c r="M15379">
        <v>1</v>
      </c>
      <c r="N15379">
        <v>7.8266000000000002E-120</v>
      </c>
      <c r="O15379">
        <v>1097</v>
      </c>
    </row>
    <row r="15380" spans="1:15" x14ac:dyDescent="0.25">
      <c r="A15380" t="s">
        <v>15393</v>
      </c>
      <c r="B15380">
        <v>859</v>
      </c>
      <c r="C15380" s="1" t="str">
        <f>HYPERLINK("http://www.rosaceae.org/gb/gbrowse/malus_x_domestica/?name=MDP0000300363","MDP0000300363")</f>
        <v>MDP0000300363</v>
      </c>
      <c r="D15380">
        <v>58.49</v>
      </c>
      <c r="E15380">
        <v>889</v>
      </c>
      <c r="F15380">
        <v>369</v>
      </c>
      <c r="G15380">
        <v>98</v>
      </c>
      <c r="H15380">
        <v>12</v>
      </c>
      <c r="I15380">
        <v>856</v>
      </c>
      <c r="J15380">
        <v>1</v>
      </c>
      <c r="K15380">
        <v>34</v>
      </c>
      <c r="L15380">
        <v>868</v>
      </c>
      <c r="M15380">
        <v>1</v>
      </c>
      <c r="N15380">
        <v>0</v>
      </c>
      <c r="O15380">
        <v>2506</v>
      </c>
    </row>
    <row r="15381" spans="1:15" x14ac:dyDescent="0.25">
      <c r="A15381" t="s">
        <v>15394</v>
      </c>
      <c r="B15381">
        <v>1922</v>
      </c>
      <c r="C15381" s="1" t="str">
        <f>HYPERLINK("http://www.rosaceae.org/gb/gbrowse/malus_x_domestica/?name=MDP0000247495","MDP0000247495")</f>
        <v>MDP0000247495</v>
      </c>
      <c r="D15381">
        <v>71.75</v>
      </c>
      <c r="E15381">
        <v>1958</v>
      </c>
      <c r="F15381">
        <v>553</v>
      </c>
      <c r="G15381">
        <v>86</v>
      </c>
      <c r="H15381">
        <v>1</v>
      </c>
      <c r="I15381">
        <v>1921</v>
      </c>
      <c r="J15381">
        <v>1</v>
      </c>
      <c r="K15381">
        <v>1</v>
      </c>
      <c r="L15381">
        <v>1909</v>
      </c>
      <c r="M15381">
        <v>1</v>
      </c>
      <c r="N15381">
        <v>0</v>
      </c>
      <c r="O15381">
        <v>7130</v>
      </c>
    </row>
    <row r="15382" spans="1:15" x14ac:dyDescent="0.25">
      <c r="A15382" t="s">
        <v>15395</v>
      </c>
      <c r="B15382">
        <v>317</v>
      </c>
      <c r="C15382" s="1" t="str">
        <f>HYPERLINK("http://www.rosaceae.org/gb/gbrowse/malus_x_domestica/?name=MDP0000239688","MDP0000239688")</f>
        <v>MDP0000239688</v>
      </c>
      <c r="D15382">
        <v>78.650000000000006</v>
      </c>
      <c r="E15382">
        <v>267</v>
      </c>
      <c r="F15382">
        <v>57</v>
      </c>
      <c r="G15382">
        <v>2</v>
      </c>
      <c r="H15382">
        <v>38</v>
      </c>
      <c r="I15382">
        <v>304</v>
      </c>
      <c r="J15382">
        <v>1</v>
      </c>
      <c r="K15382">
        <v>590</v>
      </c>
      <c r="L15382">
        <v>854</v>
      </c>
      <c r="M15382">
        <v>1</v>
      </c>
      <c r="N15382">
        <v>1.0177100000000001E-126</v>
      </c>
      <c r="O15382">
        <v>1157</v>
      </c>
    </row>
    <row r="15383" spans="1:15" x14ac:dyDescent="0.25">
      <c r="A15383" t="s">
        <v>15396</v>
      </c>
      <c r="B15383">
        <v>167</v>
      </c>
      <c r="C15383" s="1" t="str">
        <f>HYPERLINK("http://www.rosaceae.org/gb/gbrowse/malus_x_domestica/?name=MDP0000837149","MDP0000837149")</f>
        <v>MDP0000837149</v>
      </c>
      <c r="D15383">
        <v>36.36</v>
      </c>
      <c r="E15383">
        <v>132</v>
      </c>
      <c r="F15383">
        <v>84</v>
      </c>
      <c r="G15383">
        <v>17</v>
      </c>
      <c r="H15383">
        <v>40</v>
      </c>
      <c r="I15383">
        <v>164</v>
      </c>
      <c r="J15383">
        <v>1</v>
      </c>
      <c r="K15383">
        <v>1</v>
      </c>
      <c r="L15383">
        <v>122</v>
      </c>
      <c r="M15383">
        <v>1</v>
      </c>
      <c r="N15383">
        <v>9.1293600000000002E-8</v>
      </c>
      <c r="O15383">
        <v>127</v>
      </c>
    </row>
    <row r="15384" spans="1:15" x14ac:dyDescent="0.25">
      <c r="A15384" t="s">
        <v>15397</v>
      </c>
      <c r="B15384">
        <v>784</v>
      </c>
      <c r="C15384" s="1" t="str">
        <f>HYPERLINK("http://www.rosaceae.org/gb/gbrowse/malus_x_domestica/?name=MDP0000282490","MDP0000282490")</f>
        <v>MDP0000282490</v>
      </c>
      <c r="D15384">
        <v>51.27</v>
      </c>
      <c r="E15384">
        <v>626</v>
      </c>
      <c r="F15384">
        <v>305</v>
      </c>
      <c r="G15384">
        <v>39</v>
      </c>
      <c r="H15384">
        <v>3</v>
      </c>
      <c r="I15384">
        <v>603</v>
      </c>
      <c r="J15384">
        <v>1</v>
      </c>
      <c r="K15384">
        <v>5</v>
      </c>
      <c r="L15384">
        <v>616</v>
      </c>
      <c r="M15384">
        <v>1</v>
      </c>
      <c r="N15384">
        <v>6.6560600000000004E-173</v>
      </c>
      <c r="O15384">
        <v>1560</v>
      </c>
    </row>
    <row r="15385" spans="1:15" x14ac:dyDescent="0.25">
      <c r="A15385" t="s">
        <v>15398</v>
      </c>
      <c r="B15385">
        <v>267</v>
      </c>
      <c r="C15385" s="1" t="str">
        <f>HYPERLINK("http://www.rosaceae.org/gb/gbrowse/malus_x_domestica/?name=MDP0000182259","MDP0000182259")</f>
        <v>MDP0000182259</v>
      </c>
      <c r="D15385">
        <v>69.73</v>
      </c>
      <c r="E15385">
        <v>76</v>
      </c>
      <c r="F15385">
        <v>23</v>
      </c>
      <c r="G15385">
        <v>1</v>
      </c>
      <c r="H15385">
        <v>1</v>
      </c>
      <c r="I15385">
        <v>75</v>
      </c>
      <c r="J15385">
        <v>1</v>
      </c>
      <c r="K15385">
        <v>1</v>
      </c>
      <c r="L15385">
        <v>76</v>
      </c>
      <c r="M15385">
        <v>1</v>
      </c>
      <c r="N15385">
        <v>1.58276E-21</v>
      </c>
      <c r="O15385">
        <v>249</v>
      </c>
    </row>
    <row r="15386" spans="1:15" x14ac:dyDescent="0.25">
      <c r="A15386" t="s">
        <v>15399</v>
      </c>
      <c r="B15386">
        <v>481</v>
      </c>
      <c r="C15386" s="1" t="str">
        <f>HYPERLINK("http://www.rosaceae.org/gb/gbrowse/malus_x_domestica/?name=MDP0000058172","MDP0000058172")</f>
        <v>MDP0000058172</v>
      </c>
      <c r="D15386">
        <v>81.84</v>
      </c>
      <c r="E15386">
        <v>413</v>
      </c>
      <c r="F15386">
        <v>75</v>
      </c>
      <c r="G15386">
        <v>23</v>
      </c>
      <c r="H15386">
        <v>62</v>
      </c>
      <c r="I15386">
        <v>474</v>
      </c>
      <c r="J15386">
        <v>1</v>
      </c>
      <c r="K15386">
        <v>1</v>
      </c>
      <c r="L15386">
        <v>390</v>
      </c>
      <c r="M15386">
        <v>1</v>
      </c>
      <c r="N15386">
        <v>0</v>
      </c>
      <c r="O15386">
        <v>1808</v>
      </c>
    </row>
    <row r="15387" spans="1:15" x14ac:dyDescent="0.25">
      <c r="A15387" t="s">
        <v>15400</v>
      </c>
      <c r="B15387">
        <v>448</v>
      </c>
      <c r="C15387" s="1" t="str">
        <f>HYPERLINK("http://www.rosaceae.org/gb/gbrowse/malus_x_domestica/?name=MDP0000313704","MDP0000313704")</f>
        <v>MDP0000313704</v>
      </c>
      <c r="D15387">
        <v>93.98</v>
      </c>
      <c r="E15387">
        <v>366</v>
      </c>
      <c r="F15387">
        <v>22</v>
      </c>
      <c r="G15387">
        <v>0</v>
      </c>
      <c r="H15387">
        <v>1</v>
      </c>
      <c r="I15387">
        <v>366</v>
      </c>
      <c r="J15387">
        <v>1</v>
      </c>
      <c r="K15387">
        <v>1</v>
      </c>
      <c r="L15387">
        <v>366</v>
      </c>
      <c r="M15387">
        <v>1</v>
      </c>
      <c r="N15387">
        <v>0</v>
      </c>
      <c r="O15387">
        <v>1885</v>
      </c>
    </row>
    <row r="15388" spans="1:15" x14ac:dyDescent="0.25">
      <c r="A15388" t="s">
        <v>15401</v>
      </c>
      <c r="B15388">
        <v>136</v>
      </c>
      <c r="C15388" s="1" t="str">
        <f>HYPERLINK("http://www.rosaceae.org/gb/gbrowse/malus_x_domestica/?name=MDP0000463584","MDP0000463584")</f>
        <v>MDP0000463584</v>
      </c>
      <c r="D15388">
        <v>67.53</v>
      </c>
      <c r="E15388">
        <v>77</v>
      </c>
      <c r="F15388">
        <v>25</v>
      </c>
      <c r="G15388">
        <v>0</v>
      </c>
      <c r="H15388">
        <v>58</v>
      </c>
      <c r="I15388">
        <v>134</v>
      </c>
      <c r="J15388">
        <v>1</v>
      </c>
      <c r="K15388">
        <v>391</v>
      </c>
      <c r="L15388">
        <v>467</v>
      </c>
      <c r="M15388">
        <v>1</v>
      </c>
      <c r="N15388">
        <v>2.5190599999999999E-28</v>
      </c>
      <c r="O15388">
        <v>303</v>
      </c>
    </row>
    <row r="15389" spans="1:15" x14ac:dyDescent="0.25">
      <c r="A15389" t="s">
        <v>15402</v>
      </c>
      <c r="B15389">
        <v>518</v>
      </c>
      <c r="C15389" s="1" t="str">
        <f>HYPERLINK("http://www.rosaceae.org/gb/gbrowse/malus_x_domestica/?name=MDP0000805369","MDP0000805369")</f>
        <v>MDP0000805369</v>
      </c>
      <c r="D15389">
        <v>53.52</v>
      </c>
      <c r="E15389">
        <v>596</v>
      </c>
      <c r="F15389">
        <v>277</v>
      </c>
      <c r="G15389">
        <v>80</v>
      </c>
      <c r="H15389">
        <v>1</v>
      </c>
      <c r="I15389">
        <v>518</v>
      </c>
      <c r="J15389">
        <v>1</v>
      </c>
      <c r="K15389">
        <v>3</v>
      </c>
      <c r="L15389">
        <v>596</v>
      </c>
      <c r="M15389">
        <v>1</v>
      </c>
      <c r="N15389">
        <v>1.2886500000000001E-166</v>
      </c>
      <c r="O15389">
        <v>1504</v>
      </c>
    </row>
    <row r="15390" spans="1:15" x14ac:dyDescent="0.25">
      <c r="A15390" t="s">
        <v>15403</v>
      </c>
      <c r="B15390">
        <v>235</v>
      </c>
      <c r="C15390" s="1" t="str">
        <f>HYPERLINK("http://www.rosaceae.org/gb/gbrowse/malus_x_domestica/?name=MDP0000319790","MDP0000319790")</f>
        <v>MDP0000319790</v>
      </c>
      <c r="D15390">
        <v>73.3</v>
      </c>
      <c r="E15390">
        <v>236</v>
      </c>
      <c r="F15390">
        <v>63</v>
      </c>
      <c r="G15390">
        <v>10</v>
      </c>
      <c r="H15390">
        <v>9</v>
      </c>
      <c r="I15390">
        <v>234</v>
      </c>
      <c r="J15390">
        <v>1</v>
      </c>
      <c r="K15390">
        <v>30</v>
      </c>
      <c r="L15390">
        <v>265</v>
      </c>
      <c r="M15390">
        <v>1</v>
      </c>
      <c r="N15390">
        <v>6.8352400000000001E-93</v>
      </c>
      <c r="O15390">
        <v>864</v>
      </c>
    </row>
    <row r="15391" spans="1:15" x14ac:dyDescent="0.25">
      <c r="A15391" t="s">
        <v>15404</v>
      </c>
      <c r="B15391">
        <v>127</v>
      </c>
      <c r="C15391" s="1" t="str">
        <f>HYPERLINK("http://www.rosaceae.org/gb/gbrowse/malus_x_domestica/?name=MDP0000300611","MDP0000300611")</f>
        <v>MDP0000300611</v>
      </c>
      <c r="D15391">
        <v>37.64</v>
      </c>
      <c r="E15391">
        <v>178</v>
      </c>
      <c r="F15391">
        <v>111</v>
      </c>
      <c r="G15391">
        <v>52</v>
      </c>
      <c r="H15391">
        <v>1</v>
      </c>
      <c r="I15391">
        <v>127</v>
      </c>
      <c r="J15391">
        <v>1</v>
      </c>
      <c r="K15391">
        <v>33</v>
      </c>
      <c r="L15391">
        <v>209</v>
      </c>
      <c r="M15391">
        <v>1</v>
      </c>
      <c r="N15391">
        <v>2.96452E-24</v>
      </c>
      <c r="O15391">
        <v>267</v>
      </c>
    </row>
    <row r="15392" spans="1:15" x14ac:dyDescent="0.25">
      <c r="A15392" t="s">
        <v>15405</v>
      </c>
      <c r="B15392">
        <v>136</v>
      </c>
      <c r="C15392" s="1" t="str">
        <f>HYPERLINK("http://www.rosaceae.org/gb/gbrowse/malus_x_domestica/?name=MDP0000139709","MDP0000139709")</f>
        <v>MDP0000139709</v>
      </c>
      <c r="D15392">
        <v>80.83</v>
      </c>
      <c r="E15392">
        <v>120</v>
      </c>
      <c r="F15392">
        <v>23</v>
      </c>
      <c r="G15392">
        <v>1</v>
      </c>
      <c r="H15392">
        <v>17</v>
      </c>
      <c r="I15392">
        <v>136</v>
      </c>
      <c r="J15392">
        <v>1</v>
      </c>
      <c r="K15392">
        <v>17</v>
      </c>
      <c r="L15392">
        <v>135</v>
      </c>
      <c r="M15392">
        <v>1</v>
      </c>
      <c r="N15392">
        <v>8.0543600000000005E-48</v>
      </c>
      <c r="O15392">
        <v>471</v>
      </c>
    </row>
    <row r="15393" spans="1:15" x14ac:dyDescent="0.25">
      <c r="A15393" t="s">
        <v>15406</v>
      </c>
      <c r="B15393">
        <v>448</v>
      </c>
      <c r="C15393" s="1" t="str">
        <f>HYPERLINK("http://www.rosaceae.org/gb/gbrowse/malus_x_domestica/?name=MDP0000154499","MDP0000154499")</f>
        <v>MDP0000154499</v>
      </c>
      <c r="D15393">
        <v>46.15</v>
      </c>
      <c r="E15393">
        <v>338</v>
      </c>
      <c r="F15393">
        <v>182</v>
      </c>
      <c r="G15393">
        <v>71</v>
      </c>
      <c r="H15393">
        <v>2</v>
      </c>
      <c r="I15393">
        <v>325</v>
      </c>
      <c r="J15393">
        <v>1</v>
      </c>
      <c r="K15393">
        <v>3</v>
      </c>
      <c r="L15393">
        <v>283</v>
      </c>
      <c r="M15393">
        <v>1</v>
      </c>
      <c r="N15393">
        <v>3.68142E-67</v>
      </c>
      <c r="O15393">
        <v>645</v>
      </c>
    </row>
    <row r="15394" spans="1:15" x14ac:dyDescent="0.25">
      <c r="A15394" t="s">
        <v>15407</v>
      </c>
      <c r="B15394">
        <v>268</v>
      </c>
      <c r="C15394" s="1" t="str">
        <f>HYPERLINK("http://www.rosaceae.org/gb/gbrowse/malus_x_domestica/?name=MDP0000297333","MDP0000297333")</f>
        <v>MDP0000297333</v>
      </c>
      <c r="D15394">
        <v>71.11</v>
      </c>
      <c r="E15394">
        <v>277</v>
      </c>
      <c r="F15394">
        <v>80</v>
      </c>
      <c r="G15394">
        <v>21</v>
      </c>
      <c r="H15394">
        <v>1</v>
      </c>
      <c r="I15394">
        <v>268</v>
      </c>
      <c r="J15394">
        <v>1</v>
      </c>
      <c r="K15394">
        <v>398</v>
      </c>
      <c r="L15394">
        <v>662</v>
      </c>
      <c r="M15394">
        <v>1</v>
      </c>
      <c r="N15394">
        <v>8.37408E-109</v>
      </c>
      <c r="O15394">
        <v>1002</v>
      </c>
    </row>
    <row r="15395" spans="1:15" x14ac:dyDescent="0.25">
      <c r="A15395" t="s">
        <v>15408</v>
      </c>
      <c r="B15395">
        <v>637</v>
      </c>
      <c r="C15395" s="1" t="str">
        <f>HYPERLINK("http://www.rosaceae.org/gb/gbrowse/malus_x_domestica/?name=MDP0000258743","MDP0000258743")</f>
        <v>MDP0000258743</v>
      </c>
      <c r="D15395">
        <v>37.74</v>
      </c>
      <c r="E15395">
        <v>151</v>
      </c>
      <c r="F15395">
        <v>94</v>
      </c>
      <c r="G15395">
        <v>7</v>
      </c>
      <c r="H15395">
        <v>88</v>
      </c>
      <c r="I15395">
        <v>238</v>
      </c>
      <c r="J15395">
        <v>1</v>
      </c>
      <c r="K15395">
        <v>61</v>
      </c>
      <c r="L15395">
        <v>204</v>
      </c>
      <c r="M15395">
        <v>1</v>
      </c>
      <c r="N15395">
        <v>1.53776E-22</v>
      </c>
      <c r="O15395">
        <v>262</v>
      </c>
    </row>
    <row r="15396" spans="1:15" x14ac:dyDescent="0.25">
      <c r="A15396" t="s">
        <v>15409</v>
      </c>
      <c r="B15396">
        <v>537</v>
      </c>
      <c r="C15396" s="1" t="str">
        <f>HYPERLINK("http://www.rosaceae.org/gb/gbrowse/malus_x_domestica/?name=MDP0000276952","MDP0000276952")</f>
        <v>MDP0000276952</v>
      </c>
      <c r="D15396">
        <v>45.26</v>
      </c>
      <c r="E15396">
        <v>95</v>
      </c>
      <c r="F15396">
        <v>52</v>
      </c>
      <c r="G15396">
        <v>2</v>
      </c>
      <c r="H15396">
        <v>322</v>
      </c>
      <c r="I15396">
        <v>416</v>
      </c>
      <c r="J15396">
        <v>1</v>
      </c>
      <c r="K15396">
        <v>522</v>
      </c>
      <c r="L15396">
        <v>614</v>
      </c>
      <c r="M15396">
        <v>1</v>
      </c>
      <c r="N15396">
        <v>3.3289599999999999E-13</v>
      </c>
      <c r="O15396">
        <v>181</v>
      </c>
    </row>
    <row r="15397" spans="1:15" x14ac:dyDescent="0.25">
      <c r="A15397" t="s">
        <v>15410</v>
      </c>
      <c r="B15397">
        <v>194</v>
      </c>
      <c r="C15397" s="1" t="str">
        <f>HYPERLINK("http://www.rosaceae.org/gb/gbrowse/malus_x_domestica/?name=MDP0000238589","MDP0000238589")</f>
        <v>MDP0000238589</v>
      </c>
      <c r="D15397">
        <v>80.55</v>
      </c>
      <c r="E15397">
        <v>36</v>
      </c>
      <c r="F15397">
        <v>7</v>
      </c>
      <c r="G15397">
        <v>0</v>
      </c>
      <c r="H15397">
        <v>159</v>
      </c>
      <c r="I15397">
        <v>194</v>
      </c>
      <c r="J15397">
        <v>1</v>
      </c>
      <c r="K15397">
        <v>68</v>
      </c>
      <c r="L15397">
        <v>103</v>
      </c>
      <c r="M15397">
        <v>1</v>
      </c>
      <c r="N15397">
        <v>1.4711E-10</v>
      </c>
      <c r="O15397">
        <v>152</v>
      </c>
    </row>
    <row r="15398" spans="1:15" x14ac:dyDescent="0.25">
      <c r="A15398" t="s">
        <v>15411</v>
      </c>
      <c r="B15398">
        <v>306</v>
      </c>
      <c r="C15398" s="1" t="str">
        <f>HYPERLINK("http://www.rosaceae.org/gb/gbrowse/malus_x_domestica/?name=MDP0000181942","MDP0000181942")</f>
        <v>MDP0000181942</v>
      </c>
      <c r="D15398">
        <v>53.35</v>
      </c>
      <c r="E15398">
        <v>283</v>
      </c>
      <c r="F15398">
        <v>132</v>
      </c>
      <c r="G15398">
        <v>0</v>
      </c>
      <c r="H15398">
        <v>1</v>
      </c>
      <c r="I15398">
        <v>283</v>
      </c>
      <c r="J15398">
        <v>1</v>
      </c>
      <c r="K15398">
        <v>1</v>
      </c>
      <c r="L15398">
        <v>283</v>
      </c>
      <c r="M15398">
        <v>1</v>
      </c>
      <c r="N15398">
        <v>6.7464000000000003E-68</v>
      </c>
      <c r="O15398">
        <v>650</v>
      </c>
    </row>
    <row r="15399" spans="1:15" x14ac:dyDescent="0.25">
      <c r="A15399" t="s">
        <v>15412</v>
      </c>
      <c r="B15399">
        <v>445</v>
      </c>
      <c r="C15399" s="1" t="str">
        <f>HYPERLINK("http://www.rosaceae.org/gb/gbrowse/malus_x_domestica/?name=MDP0000152120","MDP0000152120")</f>
        <v>MDP0000152120</v>
      </c>
      <c r="D15399">
        <v>72.41</v>
      </c>
      <c r="E15399">
        <v>406</v>
      </c>
      <c r="F15399">
        <v>112</v>
      </c>
      <c r="G15399">
        <v>3</v>
      </c>
      <c r="H15399">
        <v>1</v>
      </c>
      <c r="I15399">
        <v>404</v>
      </c>
      <c r="J15399">
        <v>1</v>
      </c>
      <c r="K15399">
        <v>1</v>
      </c>
      <c r="L15399">
        <v>405</v>
      </c>
      <c r="M15399">
        <v>1</v>
      </c>
      <c r="N15399">
        <v>4.2651800000000001E-162</v>
      </c>
      <c r="O15399">
        <v>1464</v>
      </c>
    </row>
    <row r="15400" spans="1:15" x14ac:dyDescent="0.25">
      <c r="A15400" t="s">
        <v>15413</v>
      </c>
      <c r="B15400">
        <v>139</v>
      </c>
      <c r="C15400" s="1" t="str">
        <f>HYPERLINK("http://www.rosaceae.org/gb/gbrowse/malus_x_domestica/?name=MDP0000242528","MDP0000242528")</f>
        <v>MDP0000242528</v>
      </c>
      <c r="D15400">
        <v>81.010000000000005</v>
      </c>
      <c r="E15400">
        <v>79</v>
      </c>
      <c r="F15400">
        <v>15</v>
      </c>
      <c r="G15400">
        <v>4</v>
      </c>
      <c r="H15400">
        <v>44</v>
      </c>
      <c r="I15400">
        <v>118</v>
      </c>
      <c r="J15400">
        <v>1</v>
      </c>
      <c r="K15400">
        <v>202</v>
      </c>
      <c r="L15400">
        <v>280</v>
      </c>
      <c r="M15400">
        <v>1</v>
      </c>
      <c r="N15400">
        <v>2.3141200000000001E-30</v>
      </c>
      <c r="O15400">
        <v>320</v>
      </c>
    </row>
    <row r="15401" spans="1:15" x14ac:dyDescent="0.25">
      <c r="A15401" t="s">
        <v>15414</v>
      </c>
      <c r="B15401">
        <v>106</v>
      </c>
      <c r="C15401" s="1" t="str">
        <f>HYPERLINK("http://www.rosaceae.org/gb/gbrowse/malus_x_domestica/?name=MDP0000262876","MDP0000262876")</f>
        <v>MDP0000262876</v>
      </c>
      <c r="D15401">
        <v>88.67</v>
      </c>
      <c r="E15401">
        <v>106</v>
      </c>
      <c r="F15401">
        <v>12</v>
      </c>
      <c r="G15401">
        <v>0</v>
      </c>
      <c r="H15401">
        <v>1</v>
      </c>
      <c r="I15401">
        <v>106</v>
      </c>
      <c r="J15401">
        <v>1</v>
      </c>
      <c r="K15401">
        <v>1</v>
      </c>
      <c r="L15401">
        <v>106</v>
      </c>
      <c r="M15401">
        <v>1</v>
      </c>
      <c r="N15401">
        <v>2.22668E-53</v>
      </c>
      <c r="O15401">
        <v>518</v>
      </c>
    </row>
    <row r="15402" spans="1:15" x14ac:dyDescent="0.25">
      <c r="A15402" t="s">
        <v>15415</v>
      </c>
      <c r="B15402">
        <v>946</v>
      </c>
      <c r="C15402" s="1" t="str">
        <f>HYPERLINK("http://www.rosaceae.org/gb/gbrowse/malus_x_domestica/?name=MDP0000257021","MDP0000257021")</f>
        <v>MDP0000257021</v>
      </c>
      <c r="D15402">
        <v>61.32</v>
      </c>
      <c r="E15402">
        <v>905</v>
      </c>
      <c r="F15402">
        <v>350</v>
      </c>
      <c r="G15402">
        <v>38</v>
      </c>
      <c r="H15402">
        <v>1</v>
      </c>
      <c r="I15402">
        <v>869</v>
      </c>
      <c r="J15402">
        <v>1</v>
      </c>
      <c r="K15402">
        <v>1</v>
      </c>
      <c r="L15402">
        <v>903</v>
      </c>
      <c r="M15402">
        <v>1</v>
      </c>
      <c r="N15402">
        <v>0</v>
      </c>
      <c r="O15402">
        <v>2670</v>
      </c>
    </row>
    <row r="15403" spans="1:15" x14ac:dyDescent="0.25">
      <c r="A15403" t="s">
        <v>15416</v>
      </c>
      <c r="B15403">
        <v>739</v>
      </c>
      <c r="C15403" s="1" t="str">
        <f>HYPERLINK("http://www.rosaceae.org/gb/gbrowse/malus_x_domestica/?name=MDP0000174194","MDP0000174194")</f>
        <v>MDP0000174194</v>
      </c>
      <c r="D15403">
        <v>28.98</v>
      </c>
      <c r="E15403">
        <v>207</v>
      </c>
      <c r="F15403">
        <v>147</v>
      </c>
      <c r="G15403">
        <v>13</v>
      </c>
      <c r="H15403">
        <v>540</v>
      </c>
      <c r="I15403">
        <v>738</v>
      </c>
      <c r="J15403">
        <v>1</v>
      </c>
      <c r="K15403">
        <v>521</v>
      </c>
      <c r="L15403">
        <v>722</v>
      </c>
      <c r="M15403">
        <v>1</v>
      </c>
      <c r="N15403">
        <v>1.81611E-11</v>
      </c>
      <c r="O15403">
        <v>167</v>
      </c>
    </row>
    <row r="15404" spans="1:15" x14ac:dyDescent="0.25">
      <c r="A15404" t="s">
        <v>15417</v>
      </c>
      <c r="B15404">
        <v>144</v>
      </c>
      <c r="C15404" s="1" t="str">
        <f>HYPERLINK("http://www.rosaceae.org/gb/gbrowse/malus_x_domestica/?name=MDP0000142895","MDP0000142895")</f>
        <v>MDP0000142895</v>
      </c>
      <c r="D15404">
        <v>92.74</v>
      </c>
      <c r="E15404">
        <v>124</v>
      </c>
      <c r="F15404">
        <v>9</v>
      </c>
      <c r="G15404">
        <v>0</v>
      </c>
      <c r="H15404">
        <v>1</v>
      </c>
      <c r="I15404">
        <v>124</v>
      </c>
      <c r="J15404">
        <v>1</v>
      </c>
      <c r="K15404">
        <v>118</v>
      </c>
      <c r="L15404">
        <v>241</v>
      </c>
      <c r="M15404">
        <v>1</v>
      </c>
      <c r="N15404">
        <v>2.5839900000000001E-63</v>
      </c>
      <c r="O15404">
        <v>605</v>
      </c>
    </row>
    <row r="15405" spans="1:15" x14ac:dyDescent="0.25">
      <c r="A15405" t="s">
        <v>15418</v>
      </c>
      <c r="B15405">
        <v>266</v>
      </c>
      <c r="C15405" s="1" t="str">
        <f>HYPERLINK("http://www.rosaceae.org/gb/gbrowse/malus_x_domestica/?name=MDP0000261294","MDP0000261294")</f>
        <v>MDP0000261294</v>
      </c>
      <c r="D15405">
        <v>49.6</v>
      </c>
      <c r="E15405">
        <v>250</v>
      </c>
      <c r="F15405">
        <v>126</v>
      </c>
      <c r="G15405">
        <v>24</v>
      </c>
      <c r="H15405">
        <v>2</v>
      </c>
      <c r="I15405">
        <v>230</v>
      </c>
      <c r="J15405">
        <v>1</v>
      </c>
      <c r="K15405">
        <v>140</v>
      </c>
      <c r="L15405">
        <v>386</v>
      </c>
      <c r="M15405">
        <v>1</v>
      </c>
      <c r="N15405">
        <v>1.2131400000000001E-54</v>
      </c>
      <c r="O15405">
        <v>535</v>
      </c>
    </row>
    <row r="15406" spans="1:15" x14ac:dyDescent="0.25">
      <c r="A15406" t="s">
        <v>15419</v>
      </c>
      <c r="B15406">
        <v>138</v>
      </c>
      <c r="C15406" s="1" t="str">
        <f>HYPERLINK("http://www.rosaceae.org/gb/gbrowse/malus_x_domestica/?name=MDP0000266451","MDP0000266451")</f>
        <v>MDP0000266451</v>
      </c>
      <c r="D15406">
        <v>32.35</v>
      </c>
      <c r="E15406">
        <v>136</v>
      </c>
      <c r="F15406">
        <v>92</v>
      </c>
      <c r="G15406">
        <v>22</v>
      </c>
      <c r="H15406">
        <v>2</v>
      </c>
      <c r="I15406">
        <v>121</v>
      </c>
      <c r="J15406">
        <v>1</v>
      </c>
      <c r="K15406">
        <v>408</v>
      </c>
      <c r="L15406">
        <v>537</v>
      </c>
      <c r="M15406">
        <v>1</v>
      </c>
      <c r="N15406">
        <v>1.3241800000000001E-9</v>
      </c>
      <c r="O15406">
        <v>141</v>
      </c>
    </row>
    <row r="15407" spans="1:15" x14ac:dyDescent="0.25">
      <c r="A15407" t="s">
        <v>15420</v>
      </c>
      <c r="B15407">
        <v>300</v>
      </c>
      <c r="C15407" s="1" t="str">
        <f>HYPERLINK("http://www.rosaceae.org/gb/gbrowse/malus_x_domestica/?name=MDP0000817973","MDP0000817973")</f>
        <v>MDP0000817973</v>
      </c>
      <c r="D15407">
        <v>49.62</v>
      </c>
      <c r="E15407">
        <v>133</v>
      </c>
      <c r="F15407">
        <v>67</v>
      </c>
      <c r="G15407">
        <v>6</v>
      </c>
      <c r="H15407">
        <v>86</v>
      </c>
      <c r="I15407">
        <v>212</v>
      </c>
      <c r="J15407">
        <v>1</v>
      </c>
      <c r="K15407">
        <v>99</v>
      </c>
      <c r="L15407">
        <v>231</v>
      </c>
      <c r="M15407">
        <v>1</v>
      </c>
      <c r="N15407">
        <v>2.0230999999999999E-32</v>
      </c>
      <c r="O15407">
        <v>344</v>
      </c>
    </row>
    <row r="15408" spans="1:15" x14ac:dyDescent="0.25">
      <c r="A15408" t="s">
        <v>15421</v>
      </c>
      <c r="B15408">
        <v>540</v>
      </c>
      <c r="C15408" s="1" t="str">
        <f>HYPERLINK("http://www.rosaceae.org/gb/gbrowse/malus_x_domestica/?name=MDP0000152422","MDP0000152422")</f>
        <v>MDP0000152422</v>
      </c>
      <c r="D15408">
        <v>65.34</v>
      </c>
      <c r="E15408">
        <v>531</v>
      </c>
      <c r="F15408">
        <v>184</v>
      </c>
      <c r="G15408">
        <v>25</v>
      </c>
      <c r="H15408">
        <v>4</v>
      </c>
      <c r="I15408">
        <v>509</v>
      </c>
      <c r="J15408">
        <v>1</v>
      </c>
      <c r="K15408">
        <v>2</v>
      </c>
      <c r="L15408">
        <v>532</v>
      </c>
      <c r="M15408">
        <v>1</v>
      </c>
      <c r="N15408">
        <v>0</v>
      </c>
      <c r="O15408">
        <v>1847</v>
      </c>
    </row>
    <row r="15409" spans="1:15" x14ac:dyDescent="0.25">
      <c r="A15409" t="s">
        <v>15422</v>
      </c>
      <c r="B15409">
        <v>306</v>
      </c>
      <c r="C15409" s="1" t="str">
        <f>HYPERLINK("http://www.rosaceae.org/gb/gbrowse/malus_x_domestica/?name=MDP0000199442","MDP0000199442")</f>
        <v>MDP0000199442</v>
      </c>
      <c r="D15409">
        <v>48.1</v>
      </c>
      <c r="E15409">
        <v>316</v>
      </c>
      <c r="F15409">
        <v>164</v>
      </c>
      <c r="G15409">
        <v>20</v>
      </c>
      <c r="H15409">
        <v>6</v>
      </c>
      <c r="I15409">
        <v>305</v>
      </c>
      <c r="J15409">
        <v>1</v>
      </c>
      <c r="K15409">
        <v>58</v>
      </c>
      <c r="L15409">
        <v>369</v>
      </c>
      <c r="M15409">
        <v>1</v>
      </c>
      <c r="N15409">
        <v>2.9935999999999997E-79</v>
      </c>
      <c r="O15409">
        <v>748</v>
      </c>
    </row>
    <row r="15410" spans="1:15" x14ac:dyDescent="0.25">
      <c r="A15410" t="s">
        <v>15423</v>
      </c>
      <c r="B15410">
        <v>771</v>
      </c>
      <c r="C15410" s="1" t="str">
        <f>HYPERLINK("http://www.rosaceae.org/gb/gbrowse/malus_x_domestica/?name=MDP0000250157","MDP0000250157")</f>
        <v>MDP0000250157</v>
      </c>
      <c r="D15410">
        <v>58.37</v>
      </c>
      <c r="E15410">
        <v>543</v>
      </c>
      <c r="F15410">
        <v>226</v>
      </c>
      <c r="G15410">
        <v>78</v>
      </c>
      <c r="H15410">
        <v>286</v>
      </c>
      <c r="I15410">
        <v>771</v>
      </c>
      <c r="J15410">
        <v>1</v>
      </c>
      <c r="K15410">
        <v>190</v>
      </c>
      <c r="L15410">
        <v>711</v>
      </c>
      <c r="M15410">
        <v>1</v>
      </c>
      <c r="N15410">
        <v>4.6915E-161</v>
      </c>
      <c r="O15410">
        <v>1457</v>
      </c>
    </row>
    <row r="15411" spans="1:15" x14ac:dyDescent="0.25">
      <c r="A15411" t="s">
        <v>15424</v>
      </c>
      <c r="B15411">
        <v>281</v>
      </c>
      <c r="C15411" s="1" t="str">
        <f>HYPERLINK("http://www.rosaceae.org/gb/gbrowse/malus_x_domestica/?name=MDP0000248104","MDP0000248104")</f>
        <v>MDP0000248104</v>
      </c>
      <c r="D15411">
        <v>63.69</v>
      </c>
      <c r="E15411">
        <v>292</v>
      </c>
      <c r="F15411">
        <v>106</v>
      </c>
      <c r="G15411">
        <v>14</v>
      </c>
      <c r="H15411">
        <v>4</v>
      </c>
      <c r="I15411">
        <v>281</v>
      </c>
      <c r="J15411">
        <v>1</v>
      </c>
      <c r="K15411">
        <v>2</v>
      </c>
      <c r="L15411">
        <v>293</v>
      </c>
      <c r="M15411">
        <v>1</v>
      </c>
      <c r="N15411">
        <v>4.6968400000000002E-90</v>
      </c>
      <c r="O15411">
        <v>840</v>
      </c>
    </row>
    <row r="15412" spans="1:15" x14ac:dyDescent="0.25">
      <c r="A15412" t="s">
        <v>15425</v>
      </c>
      <c r="B15412">
        <v>318</v>
      </c>
      <c r="C15412" s="1" t="str">
        <f>HYPERLINK("http://www.rosaceae.org/gb/gbrowse/malus_x_domestica/?name=MDP0000163774","MDP0000163774")</f>
        <v>MDP0000163774</v>
      </c>
      <c r="D15412">
        <v>37.5</v>
      </c>
      <c r="E15412">
        <v>88</v>
      </c>
      <c r="F15412">
        <v>55</v>
      </c>
      <c r="G15412">
        <v>5</v>
      </c>
      <c r="H15412">
        <v>226</v>
      </c>
      <c r="I15412">
        <v>313</v>
      </c>
      <c r="J15412">
        <v>1</v>
      </c>
      <c r="K15412">
        <v>83</v>
      </c>
      <c r="L15412">
        <v>165</v>
      </c>
      <c r="M15412">
        <v>1</v>
      </c>
      <c r="N15412">
        <v>9.9773600000000008E-10</v>
      </c>
      <c r="O15412">
        <v>148</v>
      </c>
    </row>
    <row r="15413" spans="1:15" x14ac:dyDescent="0.25">
      <c r="A15413" t="s">
        <v>15426</v>
      </c>
      <c r="B15413">
        <v>779</v>
      </c>
      <c r="C15413" s="1" t="str">
        <f>HYPERLINK("http://www.rosaceae.org/gb/gbrowse/malus_x_domestica/?name=MDP0000814899","MDP0000814899")</f>
        <v>MDP0000814899</v>
      </c>
      <c r="D15413">
        <v>57.35</v>
      </c>
      <c r="E15413">
        <v>809</v>
      </c>
      <c r="F15413">
        <v>345</v>
      </c>
      <c r="G15413">
        <v>61</v>
      </c>
      <c r="H15413">
        <v>13</v>
      </c>
      <c r="I15413">
        <v>779</v>
      </c>
      <c r="J15413">
        <v>1</v>
      </c>
      <c r="K15413">
        <v>19</v>
      </c>
      <c r="L15413">
        <v>808</v>
      </c>
      <c r="M15413">
        <v>1</v>
      </c>
      <c r="N15413">
        <v>0</v>
      </c>
      <c r="O15413">
        <v>2342</v>
      </c>
    </row>
    <row r="15414" spans="1:15" x14ac:dyDescent="0.25">
      <c r="A15414" t="s">
        <v>15427</v>
      </c>
      <c r="B15414">
        <v>418</v>
      </c>
      <c r="C15414" s="1" t="str">
        <f>HYPERLINK("http://www.rosaceae.org/gb/gbrowse/malus_x_domestica/?name=MDP0000298759","MDP0000298759")</f>
        <v>MDP0000298759</v>
      </c>
      <c r="D15414">
        <v>79.709999999999994</v>
      </c>
      <c r="E15414">
        <v>419</v>
      </c>
      <c r="F15414">
        <v>85</v>
      </c>
      <c r="G15414">
        <v>5</v>
      </c>
      <c r="H15414">
        <v>1</v>
      </c>
      <c r="I15414">
        <v>418</v>
      </c>
      <c r="J15414">
        <v>1</v>
      </c>
      <c r="K15414">
        <v>150</v>
      </c>
      <c r="L15414">
        <v>564</v>
      </c>
      <c r="M15414">
        <v>1</v>
      </c>
      <c r="N15414">
        <v>0</v>
      </c>
      <c r="O15414">
        <v>1765</v>
      </c>
    </row>
    <row r="15415" spans="1:15" x14ac:dyDescent="0.25">
      <c r="A15415" t="s">
        <v>15428</v>
      </c>
      <c r="B15415">
        <v>334</v>
      </c>
      <c r="C15415" s="1" t="str">
        <f>HYPERLINK("http://www.rosaceae.org/gb/gbrowse/malus_x_domestica/?name=MDP0000265911","MDP0000265911")</f>
        <v>MDP0000265911</v>
      </c>
      <c r="D15415">
        <v>75.83</v>
      </c>
      <c r="E15415">
        <v>240</v>
      </c>
      <c r="F15415">
        <v>58</v>
      </c>
      <c r="G15415">
        <v>16</v>
      </c>
      <c r="H15415">
        <v>109</v>
      </c>
      <c r="I15415">
        <v>334</v>
      </c>
      <c r="J15415">
        <v>1</v>
      </c>
      <c r="K15415">
        <v>3</v>
      </c>
      <c r="L15415">
        <v>240</v>
      </c>
      <c r="M15415">
        <v>1</v>
      </c>
      <c r="N15415">
        <v>5.0667800000000002E-92</v>
      </c>
      <c r="O15415">
        <v>858</v>
      </c>
    </row>
    <row r="15416" spans="1:15" x14ac:dyDescent="0.25">
      <c r="A15416" t="s">
        <v>15429</v>
      </c>
      <c r="B15416">
        <v>933</v>
      </c>
      <c r="C15416" s="1" t="str">
        <f>HYPERLINK("http://www.rosaceae.org/gb/gbrowse/malus_x_domestica/?name=MDP0000146874","MDP0000146874")</f>
        <v>MDP0000146874</v>
      </c>
      <c r="D15416">
        <v>74.11</v>
      </c>
      <c r="E15416">
        <v>927</v>
      </c>
      <c r="F15416">
        <v>240</v>
      </c>
      <c r="G15416">
        <v>19</v>
      </c>
      <c r="H15416">
        <v>1</v>
      </c>
      <c r="I15416">
        <v>912</v>
      </c>
      <c r="J15416">
        <v>1</v>
      </c>
      <c r="K15416">
        <v>1</v>
      </c>
      <c r="L15416">
        <v>923</v>
      </c>
      <c r="M15416">
        <v>1</v>
      </c>
      <c r="N15416">
        <v>0</v>
      </c>
      <c r="O15416">
        <v>3553</v>
      </c>
    </row>
    <row r="15417" spans="1:15" x14ac:dyDescent="0.25">
      <c r="A15417" t="s">
        <v>15430</v>
      </c>
      <c r="B15417">
        <v>377</v>
      </c>
      <c r="C15417" s="1" t="str">
        <f>HYPERLINK("http://www.rosaceae.org/gb/gbrowse/malus_x_domestica/?name=MDP0000130897","MDP0000130897")</f>
        <v>MDP0000130897</v>
      </c>
      <c r="D15417">
        <v>40</v>
      </c>
      <c r="E15417">
        <v>170</v>
      </c>
      <c r="F15417">
        <v>102</v>
      </c>
      <c r="G15417">
        <v>12</v>
      </c>
      <c r="H15417">
        <v>153</v>
      </c>
      <c r="I15417">
        <v>313</v>
      </c>
      <c r="J15417">
        <v>1</v>
      </c>
      <c r="K15417">
        <v>41</v>
      </c>
      <c r="L15417">
        <v>207</v>
      </c>
      <c r="M15417">
        <v>1</v>
      </c>
      <c r="N15417">
        <v>9.7008200000000005E-29</v>
      </c>
      <c r="O15417">
        <v>313</v>
      </c>
    </row>
    <row r="15418" spans="1:15" x14ac:dyDescent="0.25">
      <c r="A15418" t="s">
        <v>15431</v>
      </c>
      <c r="B15418">
        <v>882</v>
      </c>
      <c r="C15418" s="1" t="str">
        <f>HYPERLINK("http://www.rosaceae.org/gb/gbrowse/malus_x_domestica/?name=MDP0000185481","MDP0000185481")</f>
        <v>MDP0000185481</v>
      </c>
      <c r="D15418">
        <v>59.43</v>
      </c>
      <c r="E15418">
        <v>641</v>
      </c>
      <c r="F15418">
        <v>260</v>
      </c>
      <c r="G15418">
        <v>45</v>
      </c>
      <c r="H15418">
        <v>246</v>
      </c>
      <c r="I15418">
        <v>841</v>
      </c>
      <c r="J15418">
        <v>1</v>
      </c>
      <c r="K15418">
        <v>261</v>
      </c>
      <c r="L15418">
        <v>901</v>
      </c>
      <c r="M15418">
        <v>1</v>
      </c>
      <c r="N15418">
        <v>0</v>
      </c>
      <c r="O15418">
        <v>1967</v>
      </c>
    </row>
    <row r="15419" spans="1:15" x14ac:dyDescent="0.25">
      <c r="A15419" t="s">
        <v>15432</v>
      </c>
      <c r="B15419">
        <v>280</v>
      </c>
      <c r="C15419" s="1" t="str">
        <f>HYPERLINK("http://www.rosaceae.org/gb/gbrowse/malus_x_domestica/?name=MDP0000171846","MDP0000171846")</f>
        <v>MDP0000171846</v>
      </c>
      <c r="D15419">
        <v>51.48</v>
      </c>
      <c r="E15419">
        <v>303</v>
      </c>
      <c r="F15419">
        <v>147</v>
      </c>
      <c r="G15419">
        <v>27</v>
      </c>
      <c r="H15419">
        <v>1</v>
      </c>
      <c r="I15419">
        <v>280</v>
      </c>
      <c r="J15419">
        <v>1</v>
      </c>
      <c r="K15419">
        <v>160</v>
      </c>
      <c r="L15419">
        <v>458</v>
      </c>
      <c r="M15419">
        <v>1</v>
      </c>
      <c r="N15419">
        <v>7.3674300000000002E-72</v>
      </c>
      <c r="O15419">
        <v>683</v>
      </c>
    </row>
    <row r="15420" spans="1:15" x14ac:dyDescent="0.25">
      <c r="A15420" t="s">
        <v>15433</v>
      </c>
      <c r="B15420">
        <v>426</v>
      </c>
      <c r="C15420" s="1" t="str">
        <f>HYPERLINK("http://www.rosaceae.org/gb/gbrowse/malus_x_domestica/?name=MDP0000161222","MDP0000161222")</f>
        <v>MDP0000161222</v>
      </c>
      <c r="D15420">
        <v>27.64</v>
      </c>
      <c r="E15420">
        <v>170</v>
      </c>
      <c r="F15420">
        <v>123</v>
      </c>
      <c r="G15420">
        <v>27</v>
      </c>
      <c r="H15420">
        <v>225</v>
      </c>
      <c r="I15420">
        <v>383</v>
      </c>
      <c r="J15420">
        <v>1</v>
      </c>
      <c r="K15420">
        <v>661</v>
      </c>
      <c r="L15420">
        <v>814</v>
      </c>
      <c r="M15420">
        <v>1</v>
      </c>
      <c r="N15420">
        <v>2.2674899999999999E-7</v>
      </c>
      <c r="O15420">
        <v>129</v>
      </c>
    </row>
    <row r="15421" spans="1:15" x14ac:dyDescent="0.25">
      <c r="A15421" t="s">
        <v>15434</v>
      </c>
      <c r="B15421">
        <v>164</v>
      </c>
      <c r="C15421" s="1" t="str">
        <f>HYPERLINK("http://www.rosaceae.org/gb/gbrowse/malus_x_domestica/?name=MDP0000487229","MDP0000487229")</f>
        <v>MDP0000487229</v>
      </c>
      <c r="D15421">
        <v>86.58</v>
      </c>
      <c r="E15421">
        <v>164</v>
      </c>
      <c r="F15421">
        <v>22</v>
      </c>
      <c r="G15421">
        <v>0</v>
      </c>
      <c r="H15421">
        <v>1</v>
      </c>
      <c r="I15421">
        <v>164</v>
      </c>
      <c r="J15421">
        <v>1</v>
      </c>
      <c r="K15421">
        <v>1</v>
      </c>
      <c r="L15421">
        <v>164</v>
      </c>
      <c r="M15421">
        <v>1</v>
      </c>
      <c r="N15421">
        <v>9.8622499999999998E-82</v>
      </c>
      <c r="O15421">
        <v>765</v>
      </c>
    </row>
    <row r="15422" spans="1:15" x14ac:dyDescent="0.25">
      <c r="A15422" t="s">
        <v>15435</v>
      </c>
      <c r="B15422">
        <v>347</v>
      </c>
      <c r="C15422" s="1" t="str">
        <f>HYPERLINK("http://www.rosaceae.org/gb/gbrowse/malus_x_domestica/?name=MDP0000151581","MDP0000151581")</f>
        <v>MDP0000151581</v>
      </c>
      <c r="D15422">
        <v>76.66</v>
      </c>
      <c r="E15422">
        <v>90</v>
      </c>
      <c r="F15422">
        <v>21</v>
      </c>
      <c r="G15422">
        <v>0</v>
      </c>
      <c r="H15422">
        <v>29</v>
      </c>
      <c r="I15422">
        <v>118</v>
      </c>
      <c r="J15422">
        <v>1</v>
      </c>
      <c r="K15422">
        <v>4</v>
      </c>
      <c r="L15422">
        <v>93</v>
      </c>
      <c r="M15422">
        <v>1</v>
      </c>
      <c r="N15422">
        <v>1.3066E-35</v>
      </c>
      <c r="O15422">
        <v>372</v>
      </c>
    </row>
    <row r="15423" spans="1:15" x14ac:dyDescent="0.25">
      <c r="A15423" t="s">
        <v>15436</v>
      </c>
      <c r="B15423">
        <v>347</v>
      </c>
      <c r="C15423" s="1" t="str">
        <f>HYPERLINK("http://www.rosaceae.org/gb/gbrowse/malus_x_domestica/?name=MDP0000256936","MDP0000256936")</f>
        <v>MDP0000256936</v>
      </c>
      <c r="D15423">
        <v>67.77</v>
      </c>
      <c r="E15423">
        <v>180</v>
      </c>
      <c r="F15423">
        <v>58</v>
      </c>
      <c r="G15423">
        <v>40</v>
      </c>
      <c r="H15423">
        <v>64</v>
      </c>
      <c r="I15423">
        <v>203</v>
      </c>
      <c r="J15423">
        <v>1</v>
      </c>
      <c r="K15423">
        <v>81</v>
      </c>
      <c r="L15423">
        <v>260</v>
      </c>
      <c r="M15423">
        <v>1</v>
      </c>
      <c r="N15423">
        <v>1.07932E-61</v>
      </c>
      <c r="O15423">
        <v>597</v>
      </c>
    </row>
    <row r="15424" spans="1:15" x14ac:dyDescent="0.25">
      <c r="A15424" t="s">
        <v>15437</v>
      </c>
      <c r="B15424">
        <v>500</v>
      </c>
      <c r="C15424" s="1" t="str">
        <f>HYPERLINK("http://www.rosaceae.org/gb/gbrowse/malus_x_domestica/?name=MDP0000218910","MDP0000218910")</f>
        <v>MDP0000218910</v>
      </c>
      <c r="D15424">
        <v>63.3</v>
      </c>
      <c r="E15424">
        <v>526</v>
      </c>
      <c r="F15424">
        <v>193</v>
      </c>
      <c r="G15424">
        <v>36</v>
      </c>
      <c r="H15424">
        <v>7</v>
      </c>
      <c r="I15424">
        <v>500</v>
      </c>
      <c r="J15424">
        <v>1</v>
      </c>
      <c r="K15424">
        <v>13</v>
      </c>
      <c r="L15424">
        <v>534</v>
      </c>
      <c r="M15424">
        <v>1</v>
      </c>
      <c r="N15424">
        <v>0</v>
      </c>
      <c r="O15424">
        <v>1631</v>
      </c>
    </row>
    <row r="15425" spans="1:15" x14ac:dyDescent="0.25">
      <c r="A15425" t="s">
        <v>15438</v>
      </c>
      <c r="B15425">
        <v>102</v>
      </c>
      <c r="C15425" s="1" t="str">
        <f>HYPERLINK("http://www.rosaceae.org/gb/gbrowse/malus_x_domestica/?name=MDP0000417447","MDP0000417447")</f>
        <v>MDP0000417447</v>
      </c>
      <c r="D15425">
        <v>91.3</v>
      </c>
      <c r="E15425">
        <v>92</v>
      </c>
      <c r="F15425">
        <v>8</v>
      </c>
      <c r="G15425">
        <v>0</v>
      </c>
      <c r="H15425">
        <v>1</v>
      </c>
      <c r="I15425">
        <v>92</v>
      </c>
      <c r="J15425">
        <v>1</v>
      </c>
      <c r="K15425">
        <v>1</v>
      </c>
      <c r="L15425">
        <v>92</v>
      </c>
      <c r="M15425">
        <v>1</v>
      </c>
      <c r="N15425">
        <v>3.0790399999999999E-46</v>
      </c>
      <c r="O15425">
        <v>456</v>
      </c>
    </row>
    <row r="15426" spans="1:15" x14ac:dyDescent="0.25">
      <c r="A15426" t="s">
        <v>15439</v>
      </c>
      <c r="B15426">
        <v>264</v>
      </c>
      <c r="C15426" s="1" t="str">
        <f>HYPERLINK("http://www.rosaceae.org/gb/gbrowse/malus_x_domestica/?name=MDP0000184014","MDP0000184014")</f>
        <v>MDP0000184014</v>
      </c>
      <c r="D15426">
        <v>66.17</v>
      </c>
      <c r="E15426">
        <v>272</v>
      </c>
      <c r="F15426">
        <v>92</v>
      </c>
      <c r="G15426">
        <v>8</v>
      </c>
      <c r="H15426">
        <v>1</v>
      </c>
      <c r="I15426">
        <v>264</v>
      </c>
      <c r="J15426">
        <v>1</v>
      </c>
      <c r="K15426">
        <v>1</v>
      </c>
      <c r="L15426">
        <v>272</v>
      </c>
      <c r="M15426">
        <v>1</v>
      </c>
      <c r="N15426">
        <v>5.6467399999999998E-89</v>
      </c>
      <c r="O15426">
        <v>831</v>
      </c>
    </row>
    <row r="15427" spans="1:15" x14ac:dyDescent="0.25">
      <c r="A15427" t="s">
        <v>15440</v>
      </c>
      <c r="B15427">
        <v>894</v>
      </c>
      <c r="C15427" s="1" t="str">
        <f>HYPERLINK("http://www.rosaceae.org/gb/gbrowse/malus_x_domestica/?name=MDP0000297450","MDP0000297450")</f>
        <v>MDP0000297450</v>
      </c>
      <c r="D15427">
        <v>69.959999999999994</v>
      </c>
      <c r="E15427">
        <v>889</v>
      </c>
      <c r="F15427">
        <v>267</v>
      </c>
      <c r="G15427">
        <v>19</v>
      </c>
      <c r="H15427">
        <v>16</v>
      </c>
      <c r="I15427">
        <v>894</v>
      </c>
      <c r="J15427">
        <v>1</v>
      </c>
      <c r="K15427">
        <v>45</v>
      </c>
      <c r="L15427">
        <v>924</v>
      </c>
      <c r="M15427">
        <v>1</v>
      </c>
      <c r="N15427">
        <v>0</v>
      </c>
      <c r="O15427">
        <v>3180</v>
      </c>
    </row>
    <row r="15428" spans="1:15" x14ac:dyDescent="0.25">
      <c r="A15428" t="s">
        <v>15441</v>
      </c>
      <c r="B15428">
        <v>326</v>
      </c>
      <c r="C15428" s="1" t="str">
        <f>HYPERLINK("http://www.rosaceae.org/gb/gbrowse/malus_x_domestica/?name=MDP0000772731","MDP0000772731")</f>
        <v>MDP0000772731</v>
      </c>
      <c r="D15428">
        <v>50.84</v>
      </c>
      <c r="E15428">
        <v>177</v>
      </c>
      <c r="F15428">
        <v>87</v>
      </c>
      <c r="G15428">
        <v>7</v>
      </c>
      <c r="H15428">
        <v>6</v>
      </c>
      <c r="I15428">
        <v>179</v>
      </c>
      <c r="J15428">
        <v>1</v>
      </c>
      <c r="K15428">
        <v>5</v>
      </c>
      <c r="L15428">
        <v>177</v>
      </c>
      <c r="M15428">
        <v>1</v>
      </c>
      <c r="N15428">
        <v>3.61267E-43</v>
      </c>
      <c r="O15428">
        <v>437</v>
      </c>
    </row>
    <row r="15429" spans="1:15" x14ac:dyDescent="0.25">
      <c r="A15429" t="s">
        <v>15442</v>
      </c>
      <c r="B15429">
        <v>454</v>
      </c>
      <c r="C15429" s="1" t="str">
        <f>HYPERLINK("http://www.rosaceae.org/gb/gbrowse/malus_x_domestica/?name=MDP0000216139","MDP0000216139")</f>
        <v>MDP0000216139</v>
      </c>
      <c r="D15429">
        <v>44.84</v>
      </c>
      <c r="E15429">
        <v>446</v>
      </c>
      <c r="F15429">
        <v>246</v>
      </c>
      <c r="G15429">
        <v>37</v>
      </c>
      <c r="H15429">
        <v>1</v>
      </c>
      <c r="I15429">
        <v>418</v>
      </c>
      <c r="J15429">
        <v>1</v>
      </c>
      <c r="K15429">
        <v>43</v>
      </c>
      <c r="L15429">
        <v>479</v>
      </c>
      <c r="M15429">
        <v>1</v>
      </c>
      <c r="N15429">
        <v>8.7837200000000007E-92</v>
      </c>
      <c r="O15429">
        <v>858</v>
      </c>
    </row>
    <row r="15430" spans="1:15" x14ac:dyDescent="0.25">
      <c r="A15430" t="s">
        <v>15443</v>
      </c>
      <c r="B15430">
        <v>222</v>
      </c>
      <c r="C15430" s="1" t="str">
        <f>HYPERLINK("http://www.rosaceae.org/gb/gbrowse/malus_x_domestica/?name=MDP0000228054","MDP0000228054")</f>
        <v>MDP0000228054</v>
      </c>
      <c r="D15430">
        <v>67.34</v>
      </c>
      <c r="E15430">
        <v>49</v>
      </c>
      <c r="F15430">
        <v>16</v>
      </c>
      <c r="G15430">
        <v>0</v>
      </c>
      <c r="H15430">
        <v>164</v>
      </c>
      <c r="I15430">
        <v>212</v>
      </c>
      <c r="J15430">
        <v>1</v>
      </c>
      <c r="K15430">
        <v>22</v>
      </c>
      <c r="L15430">
        <v>70</v>
      </c>
      <c r="M15430">
        <v>1</v>
      </c>
      <c r="N15430">
        <v>1.11399E-15</v>
      </c>
      <c r="O15430">
        <v>197</v>
      </c>
    </row>
    <row r="15431" spans="1:15" x14ac:dyDescent="0.25">
      <c r="A15431" t="s">
        <v>15444</v>
      </c>
      <c r="B15431">
        <v>274</v>
      </c>
      <c r="C15431" s="1" t="str">
        <f>HYPERLINK("http://www.rosaceae.org/gb/gbrowse/malus_x_domestica/?name=MDP0000241650","MDP0000241650")</f>
        <v>MDP0000241650</v>
      </c>
      <c r="D15431">
        <v>53.21</v>
      </c>
      <c r="E15431">
        <v>109</v>
      </c>
      <c r="F15431">
        <v>51</v>
      </c>
      <c r="G15431">
        <v>9</v>
      </c>
      <c r="H15431">
        <v>45</v>
      </c>
      <c r="I15431">
        <v>153</v>
      </c>
      <c r="J15431">
        <v>1</v>
      </c>
      <c r="K15431">
        <v>259</v>
      </c>
      <c r="L15431">
        <v>358</v>
      </c>
      <c r="M15431">
        <v>1</v>
      </c>
      <c r="N15431">
        <v>1.7924399999999999E-23</v>
      </c>
      <c r="O15431">
        <v>266</v>
      </c>
    </row>
    <row r="15432" spans="1:15" x14ac:dyDescent="0.25">
      <c r="A15432" t="s">
        <v>15445</v>
      </c>
      <c r="B15432">
        <v>777</v>
      </c>
      <c r="C15432" s="1" t="str">
        <f>HYPERLINK("http://www.rosaceae.org/gb/gbrowse/malus_x_domestica/?name=MDP0000165867","MDP0000165867")</f>
        <v>MDP0000165867</v>
      </c>
      <c r="D15432">
        <v>74.14</v>
      </c>
      <c r="E15432">
        <v>785</v>
      </c>
      <c r="F15432">
        <v>203</v>
      </c>
      <c r="G15432">
        <v>29</v>
      </c>
      <c r="H15432">
        <v>5</v>
      </c>
      <c r="I15432">
        <v>768</v>
      </c>
      <c r="J15432">
        <v>1</v>
      </c>
      <c r="K15432">
        <v>88</v>
      </c>
      <c r="L15432">
        <v>864</v>
      </c>
      <c r="M15432">
        <v>1</v>
      </c>
      <c r="N15432">
        <v>0</v>
      </c>
      <c r="O15432">
        <v>3018</v>
      </c>
    </row>
    <row r="15433" spans="1:15" x14ac:dyDescent="0.25">
      <c r="A15433" t="s">
        <v>15446</v>
      </c>
      <c r="B15433">
        <v>528</v>
      </c>
      <c r="C15433" s="1" t="str">
        <f>HYPERLINK("http://www.rosaceae.org/gb/gbrowse/malus_x_domestica/?name=MDP0000224230","MDP0000224230")</f>
        <v>MDP0000224230</v>
      </c>
      <c r="D15433">
        <v>75.900000000000006</v>
      </c>
      <c r="E15433">
        <v>220</v>
      </c>
      <c r="F15433">
        <v>53</v>
      </c>
      <c r="G15433">
        <v>27</v>
      </c>
      <c r="H15433">
        <v>335</v>
      </c>
      <c r="I15433">
        <v>527</v>
      </c>
      <c r="J15433">
        <v>1</v>
      </c>
      <c r="K15433">
        <v>162</v>
      </c>
      <c r="L15433">
        <v>381</v>
      </c>
      <c r="M15433">
        <v>1</v>
      </c>
      <c r="N15433">
        <v>5.7155899999999996E-90</v>
      </c>
      <c r="O15433">
        <v>843</v>
      </c>
    </row>
    <row r="15434" spans="1:15" x14ac:dyDescent="0.25">
      <c r="A15434" t="s">
        <v>15447</v>
      </c>
      <c r="B15434">
        <v>458</v>
      </c>
      <c r="C15434" s="1" t="str">
        <f>HYPERLINK("http://www.rosaceae.org/gb/gbrowse/malus_x_domestica/?name=MDP0000244440","MDP0000244440")</f>
        <v>MDP0000244440</v>
      </c>
      <c r="D15434">
        <v>56.52</v>
      </c>
      <c r="E15434">
        <v>460</v>
      </c>
      <c r="F15434">
        <v>200</v>
      </c>
      <c r="G15434">
        <v>57</v>
      </c>
      <c r="H15434">
        <v>14</v>
      </c>
      <c r="I15434">
        <v>431</v>
      </c>
      <c r="J15434">
        <v>1</v>
      </c>
      <c r="K15434">
        <v>8</v>
      </c>
      <c r="L15434">
        <v>452</v>
      </c>
      <c r="M15434">
        <v>1</v>
      </c>
      <c r="N15434">
        <v>2.7364700000000001E-125</v>
      </c>
      <c r="O15434">
        <v>1147</v>
      </c>
    </row>
    <row r="15435" spans="1:15" x14ac:dyDescent="0.25">
      <c r="A15435" t="s">
        <v>15448</v>
      </c>
      <c r="B15435">
        <v>560</v>
      </c>
      <c r="C15435" s="1" t="str">
        <f>HYPERLINK("http://www.rosaceae.org/gb/gbrowse/malus_x_domestica/?name=MDP0000269231","MDP0000269231")</f>
        <v>MDP0000269231</v>
      </c>
      <c r="D15435">
        <v>71.91</v>
      </c>
      <c r="E15435">
        <v>591</v>
      </c>
      <c r="F15435">
        <v>166</v>
      </c>
      <c r="G15435">
        <v>32</v>
      </c>
      <c r="H15435">
        <v>1</v>
      </c>
      <c r="I15435">
        <v>559</v>
      </c>
      <c r="J15435">
        <v>1</v>
      </c>
      <c r="K15435">
        <v>1</v>
      </c>
      <c r="L15435">
        <v>591</v>
      </c>
      <c r="M15435">
        <v>1</v>
      </c>
      <c r="N15435">
        <v>0</v>
      </c>
      <c r="O15435">
        <v>2177</v>
      </c>
    </row>
    <row r="15436" spans="1:15" x14ac:dyDescent="0.25">
      <c r="A15436" t="s">
        <v>15449</v>
      </c>
      <c r="B15436">
        <v>309</v>
      </c>
      <c r="C15436" s="1" t="str">
        <f>HYPERLINK("http://www.rosaceae.org/gb/gbrowse/malus_x_domestica/?name=MDP0000257799","MDP0000257799")</f>
        <v>MDP0000257799</v>
      </c>
      <c r="D15436">
        <v>48.99</v>
      </c>
      <c r="E15436">
        <v>298</v>
      </c>
      <c r="F15436">
        <v>152</v>
      </c>
      <c r="G15436">
        <v>75</v>
      </c>
      <c r="H15436">
        <v>1</v>
      </c>
      <c r="I15436">
        <v>287</v>
      </c>
      <c r="J15436">
        <v>1</v>
      </c>
      <c r="K15436">
        <v>11</v>
      </c>
      <c r="L15436">
        <v>244</v>
      </c>
      <c r="M15436">
        <v>1</v>
      </c>
      <c r="N15436">
        <v>1.06691E-62</v>
      </c>
      <c r="O15436">
        <v>605</v>
      </c>
    </row>
    <row r="15437" spans="1:15" x14ac:dyDescent="0.25">
      <c r="A15437" t="s">
        <v>15450</v>
      </c>
      <c r="B15437">
        <v>367</v>
      </c>
      <c r="C15437" s="1" t="str">
        <f>HYPERLINK("http://www.rosaceae.org/gb/gbrowse/malus_x_domestica/?name=MDP0000393954","MDP0000393954")</f>
        <v>MDP0000393954</v>
      </c>
      <c r="D15437">
        <v>36.840000000000003</v>
      </c>
      <c r="E15437">
        <v>304</v>
      </c>
      <c r="F15437">
        <v>192</v>
      </c>
      <c r="G15437">
        <v>22</v>
      </c>
      <c r="H15437">
        <v>80</v>
      </c>
      <c r="I15437">
        <v>367</v>
      </c>
      <c r="J15437">
        <v>1</v>
      </c>
      <c r="K15437">
        <v>27</v>
      </c>
      <c r="L15437">
        <v>324</v>
      </c>
      <c r="M15437">
        <v>1</v>
      </c>
      <c r="N15437">
        <v>9.1602800000000004E-40</v>
      </c>
      <c r="O15437">
        <v>408</v>
      </c>
    </row>
    <row r="15438" spans="1:15" x14ac:dyDescent="0.25">
      <c r="A15438" t="s">
        <v>15451</v>
      </c>
      <c r="B15438">
        <v>543</v>
      </c>
      <c r="C15438" s="1" t="str">
        <f>HYPERLINK("http://www.rosaceae.org/gb/gbrowse/malus_x_domestica/?name=MDP0000143661","MDP0000143661")</f>
        <v>MDP0000143661</v>
      </c>
      <c r="D15438">
        <v>82.24</v>
      </c>
      <c r="E15438">
        <v>535</v>
      </c>
      <c r="F15438">
        <v>95</v>
      </c>
      <c r="G15438">
        <v>22</v>
      </c>
      <c r="H15438">
        <v>1</v>
      </c>
      <c r="I15438">
        <v>515</v>
      </c>
      <c r="J15438">
        <v>1</v>
      </c>
      <c r="K15438">
        <v>1</v>
      </c>
      <c r="L15438">
        <v>533</v>
      </c>
      <c r="M15438">
        <v>1</v>
      </c>
      <c r="N15438">
        <v>0</v>
      </c>
      <c r="O15438">
        <v>2332</v>
      </c>
    </row>
    <row r="15439" spans="1:15" x14ac:dyDescent="0.25">
      <c r="A15439" t="s">
        <v>15452</v>
      </c>
      <c r="B15439">
        <v>880</v>
      </c>
      <c r="C15439" s="1" t="str">
        <f>HYPERLINK("http://www.rosaceae.org/gb/gbrowse/malus_x_domestica/?name=MDP0000292636","MDP0000292636")</f>
        <v>MDP0000292636</v>
      </c>
      <c r="D15439">
        <v>75.790000000000006</v>
      </c>
      <c r="E15439">
        <v>946</v>
      </c>
      <c r="F15439">
        <v>229</v>
      </c>
      <c r="G15439">
        <v>68</v>
      </c>
      <c r="H15439">
        <v>1</v>
      </c>
      <c r="I15439">
        <v>880</v>
      </c>
      <c r="J15439">
        <v>1</v>
      </c>
      <c r="K15439">
        <v>1</v>
      </c>
      <c r="L15439">
        <v>944</v>
      </c>
      <c r="M15439">
        <v>1</v>
      </c>
      <c r="N15439">
        <v>0</v>
      </c>
      <c r="O15439">
        <v>3793</v>
      </c>
    </row>
    <row r="15440" spans="1:15" x14ac:dyDescent="0.25">
      <c r="A15440" t="s">
        <v>15453</v>
      </c>
      <c r="B15440">
        <v>706</v>
      </c>
      <c r="C15440" s="1" t="str">
        <f>HYPERLINK("http://www.rosaceae.org/gb/gbrowse/malus_x_domestica/?name=MDP0000193420","MDP0000193420")</f>
        <v>MDP0000193420</v>
      </c>
      <c r="D15440">
        <v>74.36</v>
      </c>
      <c r="E15440">
        <v>433</v>
      </c>
      <c r="F15440">
        <v>111</v>
      </c>
      <c r="G15440">
        <v>43</v>
      </c>
      <c r="H15440">
        <v>126</v>
      </c>
      <c r="I15440">
        <v>535</v>
      </c>
      <c r="J15440">
        <v>1</v>
      </c>
      <c r="K15440">
        <v>6</v>
      </c>
      <c r="L15440">
        <v>418</v>
      </c>
      <c r="M15440">
        <v>1</v>
      </c>
      <c r="N15440">
        <v>0</v>
      </c>
      <c r="O15440">
        <v>1628</v>
      </c>
    </row>
    <row r="15441" spans="1:15" x14ac:dyDescent="0.25">
      <c r="A15441" t="s">
        <v>15454</v>
      </c>
      <c r="B15441">
        <v>519</v>
      </c>
      <c r="C15441" s="1" t="str">
        <f>HYPERLINK("http://www.rosaceae.org/gb/gbrowse/malus_x_domestica/?name=MDP0000697030","MDP0000697030")</f>
        <v>MDP0000697030</v>
      </c>
      <c r="D15441">
        <v>73.17</v>
      </c>
      <c r="E15441">
        <v>287</v>
      </c>
      <c r="F15441">
        <v>77</v>
      </c>
      <c r="G15441">
        <v>32</v>
      </c>
      <c r="H15441">
        <v>5</v>
      </c>
      <c r="I15441">
        <v>282</v>
      </c>
      <c r="J15441">
        <v>1</v>
      </c>
      <c r="K15441">
        <v>53</v>
      </c>
      <c r="L15441">
        <v>316</v>
      </c>
      <c r="M15441">
        <v>1</v>
      </c>
      <c r="N15441">
        <v>6.9638299999999997E-111</v>
      </c>
      <c r="O15441">
        <v>1023</v>
      </c>
    </row>
    <row r="15442" spans="1:15" x14ac:dyDescent="0.25">
      <c r="A15442" t="s">
        <v>15455</v>
      </c>
      <c r="B15442">
        <v>290</v>
      </c>
      <c r="C15442" s="1" t="str">
        <f>HYPERLINK("http://www.rosaceae.org/gb/gbrowse/malus_x_domestica/?name=MDP0000126283","MDP0000126283")</f>
        <v>MDP0000126283</v>
      </c>
      <c r="D15442">
        <v>57.89</v>
      </c>
      <c r="E15442">
        <v>95</v>
      </c>
      <c r="F15442">
        <v>40</v>
      </c>
      <c r="G15442">
        <v>19</v>
      </c>
      <c r="H15442">
        <v>165</v>
      </c>
      <c r="I15442">
        <v>259</v>
      </c>
      <c r="J15442">
        <v>1</v>
      </c>
      <c r="K15442">
        <v>52</v>
      </c>
      <c r="L15442">
        <v>127</v>
      </c>
      <c r="M15442">
        <v>1</v>
      </c>
      <c r="N15442">
        <v>1.36878E-20</v>
      </c>
      <c r="O15442">
        <v>241</v>
      </c>
    </row>
    <row r="15443" spans="1:15" x14ac:dyDescent="0.25">
      <c r="A15443" t="s">
        <v>15456</v>
      </c>
      <c r="B15443">
        <v>1055</v>
      </c>
      <c r="C15443" s="1" t="str">
        <f>HYPERLINK("http://www.rosaceae.org/gb/gbrowse/malus_x_domestica/?name=MDP0000312861","MDP0000312861")</f>
        <v>MDP0000312861</v>
      </c>
      <c r="D15443">
        <v>31.43</v>
      </c>
      <c r="E15443">
        <v>789</v>
      </c>
      <c r="F15443">
        <v>541</v>
      </c>
      <c r="G15443">
        <v>143</v>
      </c>
      <c r="H15443">
        <v>293</v>
      </c>
      <c r="I15443">
        <v>1026</v>
      </c>
      <c r="J15443">
        <v>1</v>
      </c>
      <c r="K15443">
        <v>676</v>
      </c>
      <c r="L15443">
        <v>1376</v>
      </c>
      <c r="M15443">
        <v>1</v>
      </c>
      <c r="N15443">
        <v>4.2218800000000003E-68</v>
      </c>
      <c r="O15443">
        <v>657</v>
      </c>
    </row>
    <row r="15444" spans="1:15" x14ac:dyDescent="0.25">
      <c r="A15444" t="s">
        <v>15457</v>
      </c>
      <c r="B15444">
        <v>513</v>
      </c>
      <c r="C15444" s="1" t="str">
        <f>HYPERLINK("http://www.rosaceae.org/gb/gbrowse/malus_x_domestica/?name=MDP0000275193","MDP0000275193")</f>
        <v>MDP0000275193</v>
      </c>
      <c r="D15444">
        <v>34.65</v>
      </c>
      <c r="E15444">
        <v>404</v>
      </c>
      <c r="F15444">
        <v>264</v>
      </c>
      <c r="G15444">
        <v>56</v>
      </c>
      <c r="H15444">
        <v>8</v>
      </c>
      <c r="I15444">
        <v>374</v>
      </c>
      <c r="J15444">
        <v>1</v>
      </c>
      <c r="K15444">
        <v>60</v>
      </c>
      <c r="L15444">
        <v>444</v>
      </c>
      <c r="M15444">
        <v>1</v>
      </c>
      <c r="N15444">
        <v>1.5831099999999999E-47</v>
      </c>
      <c r="O15444">
        <v>476</v>
      </c>
    </row>
    <row r="15445" spans="1:15" x14ac:dyDescent="0.25">
      <c r="A15445" t="s">
        <v>15458</v>
      </c>
      <c r="B15445">
        <v>489</v>
      </c>
      <c r="C15445" s="1" t="str">
        <f>HYPERLINK("http://www.rosaceae.org/gb/gbrowse/malus_x_domestica/?name=MDP0000302448","MDP0000302448")</f>
        <v>MDP0000302448</v>
      </c>
      <c r="D15445">
        <v>38.36</v>
      </c>
      <c r="E15445">
        <v>417</v>
      </c>
      <c r="F15445">
        <v>257</v>
      </c>
      <c r="G15445">
        <v>66</v>
      </c>
      <c r="H15445">
        <v>27</v>
      </c>
      <c r="I15445">
        <v>426</v>
      </c>
      <c r="J15445">
        <v>1</v>
      </c>
      <c r="K15445">
        <v>23</v>
      </c>
      <c r="L15445">
        <v>390</v>
      </c>
      <c r="M15445">
        <v>1</v>
      </c>
      <c r="N15445">
        <v>1.7899199999999999E-68</v>
      </c>
      <c r="O15445">
        <v>657</v>
      </c>
    </row>
    <row r="15446" spans="1:15" x14ac:dyDescent="0.25">
      <c r="A15446" t="s">
        <v>15459</v>
      </c>
      <c r="B15446">
        <v>196</v>
      </c>
      <c r="C15446" s="1" t="str">
        <f>HYPERLINK("http://www.rosaceae.org/gb/gbrowse/malus_x_domestica/?name=MDP0000729401","MDP0000729401")</f>
        <v>MDP0000729401</v>
      </c>
      <c r="D15446">
        <v>83.72</v>
      </c>
      <c r="E15446">
        <v>86</v>
      </c>
      <c r="F15446">
        <v>14</v>
      </c>
      <c r="G15446">
        <v>0</v>
      </c>
      <c r="H15446">
        <v>2</v>
      </c>
      <c r="I15446">
        <v>87</v>
      </c>
      <c r="J15446">
        <v>1</v>
      </c>
      <c r="K15446">
        <v>41</v>
      </c>
      <c r="L15446">
        <v>126</v>
      </c>
      <c r="M15446">
        <v>1</v>
      </c>
      <c r="N15446">
        <v>5.1211899999999996E-38</v>
      </c>
      <c r="O15446">
        <v>389</v>
      </c>
    </row>
    <row r="15447" spans="1:15" x14ac:dyDescent="0.25">
      <c r="A15447" t="s">
        <v>15460</v>
      </c>
      <c r="B15447">
        <v>297</v>
      </c>
      <c r="C15447" s="1" t="str">
        <f>HYPERLINK("http://www.rosaceae.org/gb/gbrowse/malus_x_domestica/?name=MDP0000126806","MDP0000126806")</f>
        <v>MDP0000126806</v>
      </c>
      <c r="D15447">
        <v>83.96</v>
      </c>
      <c r="E15447">
        <v>212</v>
      </c>
      <c r="F15447">
        <v>34</v>
      </c>
      <c r="G15447">
        <v>1</v>
      </c>
      <c r="H15447">
        <v>82</v>
      </c>
      <c r="I15447">
        <v>293</v>
      </c>
      <c r="J15447">
        <v>1</v>
      </c>
      <c r="K15447">
        <v>1</v>
      </c>
      <c r="L15447">
        <v>211</v>
      </c>
      <c r="M15447">
        <v>1</v>
      </c>
      <c r="N15447">
        <v>2.7915999999999999E-106</v>
      </c>
      <c r="O15447">
        <v>980</v>
      </c>
    </row>
    <row r="15448" spans="1:15" x14ac:dyDescent="0.25">
      <c r="A15448" t="s">
        <v>15461</v>
      </c>
      <c r="B15448">
        <v>470</v>
      </c>
      <c r="C15448" s="1" t="str">
        <f>HYPERLINK("http://www.rosaceae.org/gb/gbrowse/malus_x_domestica/?name=MDP0000563640","MDP0000563640")</f>
        <v>MDP0000563640</v>
      </c>
      <c r="D15448">
        <v>31.96</v>
      </c>
      <c r="E15448">
        <v>122</v>
      </c>
      <c r="F15448">
        <v>83</v>
      </c>
      <c r="G15448">
        <v>3</v>
      </c>
      <c r="H15448">
        <v>3</v>
      </c>
      <c r="I15448">
        <v>124</v>
      </c>
      <c r="J15448">
        <v>1</v>
      </c>
      <c r="K15448">
        <v>91</v>
      </c>
      <c r="L15448">
        <v>209</v>
      </c>
      <c r="M15448">
        <v>1</v>
      </c>
      <c r="N15448">
        <v>8.0858299999999999E-15</v>
      </c>
      <c r="O15448">
        <v>194</v>
      </c>
    </row>
    <row r="15449" spans="1:15" x14ac:dyDescent="0.25">
      <c r="A15449" t="s">
        <v>15462</v>
      </c>
      <c r="B15449">
        <v>233</v>
      </c>
      <c r="C15449" s="1" t="str">
        <f>HYPERLINK("http://www.rosaceae.org/gb/gbrowse/malus_x_domestica/?name=MDP0000264736","MDP0000264736")</f>
        <v>MDP0000264736</v>
      </c>
      <c r="D15449">
        <v>30.62</v>
      </c>
      <c r="E15449">
        <v>160</v>
      </c>
      <c r="F15449">
        <v>111</v>
      </c>
      <c r="G15449">
        <v>18</v>
      </c>
      <c r="H15449">
        <v>13</v>
      </c>
      <c r="I15449">
        <v>157</v>
      </c>
      <c r="J15449">
        <v>1</v>
      </c>
      <c r="K15449">
        <v>189</v>
      </c>
      <c r="L15449">
        <v>345</v>
      </c>
      <c r="M15449">
        <v>1</v>
      </c>
      <c r="N15449">
        <v>8.0018700000000004E-16</v>
      </c>
      <c r="O15449">
        <v>199</v>
      </c>
    </row>
    <row r="15450" spans="1:15" x14ac:dyDescent="0.25">
      <c r="A15450" t="s">
        <v>15463</v>
      </c>
      <c r="B15450">
        <v>676</v>
      </c>
      <c r="C15450" s="1" t="str">
        <f>HYPERLINK("http://www.rosaceae.org/gb/gbrowse/malus_x_domestica/?name=MDP0000584893","MDP0000584893")</f>
        <v>MDP0000584893</v>
      </c>
      <c r="D15450">
        <v>54.95</v>
      </c>
      <c r="E15450">
        <v>373</v>
      </c>
      <c r="F15450">
        <v>168</v>
      </c>
      <c r="G15450">
        <v>28</v>
      </c>
      <c r="H15450">
        <v>14</v>
      </c>
      <c r="I15450">
        <v>359</v>
      </c>
      <c r="J15450">
        <v>1</v>
      </c>
      <c r="K15450">
        <v>1</v>
      </c>
      <c r="L15450">
        <v>372</v>
      </c>
      <c r="M15450">
        <v>1</v>
      </c>
      <c r="N15450">
        <v>1.4599499999999999E-102</v>
      </c>
      <c r="O15450">
        <v>952</v>
      </c>
    </row>
    <row r="15451" spans="1:15" x14ac:dyDescent="0.25">
      <c r="A15451" t="s">
        <v>15464</v>
      </c>
      <c r="B15451">
        <v>123</v>
      </c>
      <c r="C15451" s="1" t="str">
        <f>HYPERLINK("http://www.rosaceae.org/gb/gbrowse/malus_x_domestica/?name=MDP0000259421","MDP0000259421")</f>
        <v>MDP0000259421</v>
      </c>
      <c r="D15451">
        <v>77.67</v>
      </c>
      <c r="E15451">
        <v>112</v>
      </c>
      <c r="F15451">
        <v>25</v>
      </c>
      <c r="G15451">
        <v>0</v>
      </c>
      <c r="H15451">
        <v>1</v>
      </c>
      <c r="I15451">
        <v>112</v>
      </c>
      <c r="J15451">
        <v>1</v>
      </c>
      <c r="K15451">
        <v>753</v>
      </c>
      <c r="L15451">
        <v>864</v>
      </c>
      <c r="M15451">
        <v>1</v>
      </c>
      <c r="N15451">
        <v>1.3440800000000001E-47</v>
      </c>
      <c r="O15451">
        <v>468</v>
      </c>
    </row>
    <row r="15452" spans="1:15" x14ac:dyDescent="0.25">
      <c r="A15452" t="s">
        <v>15465</v>
      </c>
      <c r="B15452">
        <v>303</v>
      </c>
      <c r="C15452" s="1" t="str">
        <f>HYPERLINK("http://www.rosaceae.org/gb/gbrowse/malus_x_domestica/?name=MDP0000321774","MDP0000321774")</f>
        <v>MDP0000321774</v>
      </c>
      <c r="D15452">
        <v>62.5</v>
      </c>
      <c r="E15452">
        <v>120</v>
      </c>
      <c r="F15452">
        <v>45</v>
      </c>
      <c r="G15452">
        <v>5</v>
      </c>
      <c r="H15452">
        <v>185</v>
      </c>
      <c r="I15452">
        <v>299</v>
      </c>
      <c r="J15452">
        <v>1</v>
      </c>
      <c r="K15452">
        <v>1</v>
      </c>
      <c r="L15452">
        <v>120</v>
      </c>
      <c r="M15452">
        <v>1</v>
      </c>
      <c r="N15452">
        <v>5.4424200000000002E-38</v>
      </c>
      <c r="O15452">
        <v>392</v>
      </c>
    </row>
    <row r="15453" spans="1:15" x14ac:dyDescent="0.25">
      <c r="A15453" t="s">
        <v>15466</v>
      </c>
      <c r="B15453">
        <v>241</v>
      </c>
      <c r="C15453" s="1" t="str">
        <f>HYPERLINK("http://www.rosaceae.org/gb/gbrowse/malus_x_domestica/?name=MDP0000142334","MDP0000142334")</f>
        <v>MDP0000142334</v>
      </c>
      <c r="D15453">
        <v>78.09</v>
      </c>
      <c r="E15453">
        <v>242</v>
      </c>
      <c r="F15453">
        <v>53</v>
      </c>
      <c r="G15453">
        <v>11</v>
      </c>
      <c r="H15453">
        <v>5</v>
      </c>
      <c r="I15453">
        <v>241</v>
      </c>
      <c r="J15453">
        <v>1</v>
      </c>
      <c r="K15453">
        <v>9</v>
      </c>
      <c r="L15453">
        <v>244</v>
      </c>
      <c r="M15453">
        <v>1</v>
      </c>
      <c r="N15453">
        <v>8.9670899999999996E-104</v>
      </c>
      <c r="O15453">
        <v>958</v>
      </c>
    </row>
    <row r="15454" spans="1:15" x14ac:dyDescent="0.25">
      <c r="A15454" t="s">
        <v>15467</v>
      </c>
      <c r="B15454">
        <v>954</v>
      </c>
      <c r="C15454" s="1" t="str">
        <f>HYPERLINK("http://www.rosaceae.org/gb/gbrowse/malus_x_domestica/?name=MDP0000225558","MDP0000225558")</f>
        <v>MDP0000225558</v>
      </c>
      <c r="D15454">
        <v>64.069999999999993</v>
      </c>
      <c r="E15454">
        <v>398</v>
      </c>
      <c r="F15454">
        <v>143</v>
      </c>
      <c r="G15454">
        <v>2</v>
      </c>
      <c r="H15454">
        <v>552</v>
      </c>
      <c r="I15454">
        <v>947</v>
      </c>
      <c r="J15454">
        <v>1</v>
      </c>
      <c r="K15454">
        <v>2</v>
      </c>
      <c r="L15454">
        <v>399</v>
      </c>
      <c r="M15454">
        <v>1</v>
      </c>
      <c r="N15454">
        <v>5.0049300000000002E-143</v>
      </c>
      <c r="O15454">
        <v>1303</v>
      </c>
    </row>
    <row r="15455" spans="1:15" x14ac:dyDescent="0.25">
      <c r="A15455" t="s">
        <v>15468</v>
      </c>
      <c r="B15455">
        <v>532</v>
      </c>
      <c r="C15455" s="1" t="str">
        <f>HYPERLINK("http://www.rosaceae.org/gb/gbrowse/malus_x_domestica/?name=MDP0000282499","MDP0000282499")</f>
        <v>MDP0000282499</v>
      </c>
      <c r="D15455">
        <v>79.06</v>
      </c>
      <c r="E15455">
        <v>535</v>
      </c>
      <c r="F15455">
        <v>112</v>
      </c>
      <c r="G15455">
        <v>27</v>
      </c>
      <c r="H15455">
        <v>23</v>
      </c>
      <c r="I15455">
        <v>532</v>
      </c>
      <c r="J15455">
        <v>1</v>
      </c>
      <c r="K15455">
        <v>613</v>
      </c>
      <c r="L15455">
        <v>1145</v>
      </c>
      <c r="M15455">
        <v>1</v>
      </c>
      <c r="N15455">
        <v>0</v>
      </c>
      <c r="O15455">
        <v>2157</v>
      </c>
    </row>
    <row r="15456" spans="1:15" x14ac:dyDescent="0.25">
      <c r="A15456" t="s">
        <v>15469</v>
      </c>
      <c r="B15456">
        <v>847</v>
      </c>
      <c r="C15456" s="1" t="str">
        <f>HYPERLINK("http://www.rosaceae.org/gb/gbrowse/malus_x_domestica/?name=MDP0000303610","MDP0000303610")</f>
        <v>MDP0000303610</v>
      </c>
      <c r="D15456">
        <v>57.81</v>
      </c>
      <c r="E15456">
        <v>633</v>
      </c>
      <c r="F15456">
        <v>267</v>
      </c>
      <c r="G15456">
        <v>16</v>
      </c>
      <c r="H15456">
        <v>227</v>
      </c>
      <c r="I15456">
        <v>845</v>
      </c>
      <c r="J15456">
        <v>1</v>
      </c>
      <c r="K15456">
        <v>23</v>
      </c>
      <c r="L15456">
        <v>653</v>
      </c>
      <c r="M15456">
        <v>1</v>
      </c>
      <c r="N15456">
        <v>0</v>
      </c>
      <c r="O15456">
        <v>1766</v>
      </c>
    </row>
    <row r="15457" spans="1:15" x14ac:dyDescent="0.25">
      <c r="A15457" t="s">
        <v>15470</v>
      </c>
      <c r="B15457">
        <v>309</v>
      </c>
      <c r="C15457" s="1" t="str">
        <f>HYPERLINK("http://www.rosaceae.org/gb/gbrowse/malus_x_domestica/?name=MDP0000610354","MDP0000610354")</f>
        <v>MDP0000610354</v>
      </c>
      <c r="D15457">
        <v>30.69</v>
      </c>
      <c r="E15457">
        <v>303</v>
      </c>
      <c r="F15457">
        <v>210</v>
      </c>
      <c r="G15457">
        <v>47</v>
      </c>
      <c r="H15457">
        <v>20</v>
      </c>
      <c r="I15457">
        <v>279</v>
      </c>
      <c r="J15457">
        <v>1</v>
      </c>
      <c r="K15457">
        <v>406</v>
      </c>
      <c r="L15457">
        <v>704</v>
      </c>
      <c r="M15457">
        <v>1</v>
      </c>
      <c r="N15457">
        <v>1.7663799999999998E-21</v>
      </c>
      <c r="O15457">
        <v>249</v>
      </c>
    </row>
    <row r="15458" spans="1:15" x14ac:dyDescent="0.25">
      <c r="A15458" t="s">
        <v>15471</v>
      </c>
      <c r="B15458">
        <v>671</v>
      </c>
      <c r="C15458" s="1" t="str">
        <f>HYPERLINK("http://www.rosaceae.org/gb/gbrowse/malus_x_domestica/?name=MDP0000264165","MDP0000264165")</f>
        <v>MDP0000264165</v>
      </c>
      <c r="D15458">
        <v>47.85</v>
      </c>
      <c r="E15458">
        <v>583</v>
      </c>
      <c r="F15458">
        <v>304</v>
      </c>
      <c r="G15458">
        <v>54</v>
      </c>
      <c r="H15458">
        <v>27</v>
      </c>
      <c r="I15458">
        <v>573</v>
      </c>
      <c r="J15458">
        <v>1</v>
      </c>
      <c r="K15458">
        <v>35</v>
      </c>
      <c r="L15458">
        <v>599</v>
      </c>
      <c r="M15458">
        <v>1</v>
      </c>
      <c r="N15458">
        <v>6.2315300000000002E-131</v>
      </c>
      <c r="O15458">
        <v>1197</v>
      </c>
    </row>
    <row r="15459" spans="1:15" x14ac:dyDescent="0.25">
      <c r="A15459" t="s">
        <v>15472</v>
      </c>
      <c r="B15459">
        <v>500</v>
      </c>
      <c r="C15459" s="1" t="str">
        <f>HYPERLINK("http://www.rosaceae.org/gb/gbrowse/malus_x_domestica/?name=MDP0000194613","MDP0000194613")</f>
        <v>MDP0000194613</v>
      </c>
      <c r="D15459">
        <v>67.11</v>
      </c>
      <c r="E15459">
        <v>520</v>
      </c>
      <c r="F15459">
        <v>171</v>
      </c>
      <c r="G15459">
        <v>24</v>
      </c>
      <c r="H15459">
        <v>1</v>
      </c>
      <c r="I15459">
        <v>500</v>
      </c>
      <c r="J15459">
        <v>1</v>
      </c>
      <c r="K15459">
        <v>1</v>
      </c>
      <c r="L15459">
        <v>516</v>
      </c>
      <c r="M15459">
        <v>1</v>
      </c>
      <c r="N15459">
        <v>0</v>
      </c>
      <c r="O15459">
        <v>1740</v>
      </c>
    </row>
    <row r="15460" spans="1:15" x14ac:dyDescent="0.25">
      <c r="A15460" t="s">
        <v>15473</v>
      </c>
      <c r="B15460">
        <v>835</v>
      </c>
      <c r="C15460" s="1" t="str">
        <f>HYPERLINK("http://www.rosaceae.org/gb/gbrowse/malus_x_domestica/?name=MDP0000320209","MDP0000320209")</f>
        <v>MDP0000320209</v>
      </c>
      <c r="D15460">
        <v>33.29</v>
      </c>
      <c r="E15460">
        <v>925</v>
      </c>
      <c r="F15460">
        <v>617</v>
      </c>
      <c r="G15460">
        <v>240</v>
      </c>
      <c r="H15460">
        <v>1</v>
      </c>
      <c r="I15460">
        <v>823</v>
      </c>
      <c r="J15460">
        <v>1</v>
      </c>
      <c r="K15460">
        <v>202</v>
      </c>
      <c r="L15460">
        <v>988</v>
      </c>
      <c r="M15460">
        <v>1</v>
      </c>
      <c r="N15460">
        <v>3.9093799999999999E-84</v>
      </c>
      <c r="O15460">
        <v>794</v>
      </c>
    </row>
    <row r="15461" spans="1:15" x14ac:dyDescent="0.25">
      <c r="A15461" t="s">
        <v>15474</v>
      </c>
      <c r="B15461">
        <v>302</v>
      </c>
      <c r="C15461" s="1" t="str">
        <f>HYPERLINK("http://www.rosaceae.org/gb/gbrowse/malus_x_domestica/?name=MDP0000146514","MDP0000146514")</f>
        <v>MDP0000146514</v>
      </c>
      <c r="D15461">
        <v>89.07</v>
      </c>
      <c r="E15461">
        <v>302</v>
      </c>
      <c r="F15461">
        <v>33</v>
      </c>
      <c r="G15461">
        <v>0</v>
      </c>
      <c r="H15461">
        <v>1</v>
      </c>
      <c r="I15461">
        <v>302</v>
      </c>
      <c r="J15461">
        <v>1</v>
      </c>
      <c r="K15461">
        <v>1</v>
      </c>
      <c r="L15461">
        <v>302</v>
      </c>
      <c r="M15461">
        <v>1</v>
      </c>
      <c r="N15461">
        <v>3.9371000000000001E-159</v>
      </c>
      <c r="O15461">
        <v>1436</v>
      </c>
    </row>
    <row r="15462" spans="1:15" x14ac:dyDescent="0.25">
      <c r="A15462" t="s">
        <v>15475</v>
      </c>
      <c r="B15462">
        <v>358</v>
      </c>
      <c r="C15462" s="1" t="str">
        <f>HYPERLINK("http://www.rosaceae.org/gb/gbrowse/malus_x_domestica/?name=MDP0000742985","MDP0000742985")</f>
        <v>MDP0000742985</v>
      </c>
      <c r="D15462">
        <v>71.11</v>
      </c>
      <c r="E15462">
        <v>135</v>
      </c>
      <c r="F15462">
        <v>39</v>
      </c>
      <c r="G15462">
        <v>7</v>
      </c>
      <c r="H15462">
        <v>10</v>
      </c>
      <c r="I15462">
        <v>137</v>
      </c>
      <c r="J15462">
        <v>1</v>
      </c>
      <c r="K15462">
        <v>121</v>
      </c>
      <c r="L15462">
        <v>255</v>
      </c>
      <c r="M15462">
        <v>1</v>
      </c>
      <c r="N15462">
        <v>1.1440100000000001E-44</v>
      </c>
      <c r="O15462">
        <v>450</v>
      </c>
    </row>
    <row r="15463" spans="1:15" x14ac:dyDescent="0.25">
      <c r="A15463" t="s">
        <v>15476</v>
      </c>
      <c r="B15463">
        <v>705</v>
      </c>
      <c r="C15463" s="1" t="str">
        <f>HYPERLINK("http://www.rosaceae.org/gb/gbrowse/malus_x_domestica/?name=MDP0000132078","MDP0000132078")</f>
        <v>MDP0000132078</v>
      </c>
      <c r="D15463">
        <v>89.17</v>
      </c>
      <c r="E15463">
        <v>499</v>
      </c>
      <c r="F15463">
        <v>54</v>
      </c>
      <c r="G15463">
        <v>6</v>
      </c>
      <c r="H15463">
        <v>62</v>
      </c>
      <c r="I15463">
        <v>556</v>
      </c>
      <c r="J15463">
        <v>1</v>
      </c>
      <c r="K15463">
        <v>1</v>
      </c>
      <c r="L15463">
        <v>497</v>
      </c>
      <c r="M15463">
        <v>1</v>
      </c>
      <c r="N15463">
        <v>0</v>
      </c>
      <c r="O15463">
        <v>2314</v>
      </c>
    </row>
    <row r="15464" spans="1:15" x14ac:dyDescent="0.25">
      <c r="A15464" t="s">
        <v>15477</v>
      </c>
      <c r="B15464">
        <v>309</v>
      </c>
      <c r="C15464" s="1" t="str">
        <f>HYPERLINK("http://www.rosaceae.org/gb/gbrowse/malus_x_domestica/?name=MDP0000619638","MDP0000619638")</f>
        <v>MDP0000619638</v>
      </c>
      <c r="D15464">
        <v>53.43</v>
      </c>
      <c r="E15464">
        <v>320</v>
      </c>
      <c r="F15464">
        <v>149</v>
      </c>
      <c r="G15464">
        <v>21</v>
      </c>
      <c r="H15464">
        <v>1</v>
      </c>
      <c r="I15464">
        <v>309</v>
      </c>
      <c r="J15464">
        <v>1</v>
      </c>
      <c r="K15464">
        <v>1</v>
      </c>
      <c r="L15464">
        <v>310</v>
      </c>
      <c r="M15464">
        <v>1</v>
      </c>
      <c r="N15464">
        <v>8.3276399999999993E-83</v>
      </c>
      <c r="O15464">
        <v>778</v>
      </c>
    </row>
    <row r="15465" spans="1:15" x14ac:dyDescent="0.25">
      <c r="A15465" t="s">
        <v>15478</v>
      </c>
      <c r="B15465">
        <v>251</v>
      </c>
      <c r="C15465" s="1" t="str">
        <f>HYPERLINK("http://www.rosaceae.org/gb/gbrowse/malus_x_domestica/?name=MDP0000648839","MDP0000648839")</f>
        <v>MDP0000648839</v>
      </c>
      <c r="D15465">
        <v>63.71</v>
      </c>
      <c r="E15465">
        <v>237</v>
      </c>
      <c r="F15465">
        <v>86</v>
      </c>
      <c r="G15465">
        <v>3</v>
      </c>
      <c r="H15465">
        <v>14</v>
      </c>
      <c r="I15465">
        <v>247</v>
      </c>
      <c r="J15465">
        <v>1</v>
      </c>
      <c r="K15465">
        <v>134</v>
      </c>
      <c r="L15465">
        <v>370</v>
      </c>
      <c r="M15465">
        <v>1</v>
      </c>
      <c r="N15465">
        <v>1.33916E-80</v>
      </c>
      <c r="O15465">
        <v>758</v>
      </c>
    </row>
    <row r="15466" spans="1:15" x14ac:dyDescent="0.25">
      <c r="A15466" t="s">
        <v>15479</v>
      </c>
      <c r="B15466">
        <v>287</v>
      </c>
      <c r="C15466" s="1" t="str">
        <f>HYPERLINK("http://www.rosaceae.org/gb/gbrowse/malus_x_domestica/?name=MDP0000315100","MDP0000315100")</f>
        <v>MDP0000315100</v>
      </c>
      <c r="D15466">
        <v>56.58</v>
      </c>
      <c r="E15466">
        <v>281</v>
      </c>
      <c r="F15466">
        <v>122</v>
      </c>
      <c r="G15466">
        <v>19</v>
      </c>
      <c r="H15466">
        <v>1</v>
      </c>
      <c r="I15466">
        <v>270</v>
      </c>
      <c r="J15466">
        <v>1</v>
      </c>
      <c r="K15466">
        <v>1</v>
      </c>
      <c r="L15466">
        <v>273</v>
      </c>
      <c r="M15466">
        <v>1</v>
      </c>
      <c r="N15466">
        <v>1.36097E-73</v>
      </c>
      <c r="O15466">
        <v>698</v>
      </c>
    </row>
    <row r="15467" spans="1:15" x14ac:dyDescent="0.25">
      <c r="A15467" t="s">
        <v>15480</v>
      </c>
      <c r="B15467">
        <v>418</v>
      </c>
      <c r="C15467" s="1" t="str">
        <f>HYPERLINK("http://www.rosaceae.org/gb/gbrowse/malus_x_domestica/?name=MDP0000233431","MDP0000233431")</f>
        <v>MDP0000233431</v>
      </c>
      <c r="D15467">
        <v>64.87</v>
      </c>
      <c r="E15467">
        <v>316</v>
      </c>
      <c r="F15467">
        <v>111</v>
      </c>
      <c r="G15467">
        <v>3</v>
      </c>
      <c r="H15467">
        <v>32</v>
      </c>
      <c r="I15467">
        <v>347</v>
      </c>
      <c r="J15467">
        <v>1</v>
      </c>
      <c r="K15467">
        <v>34</v>
      </c>
      <c r="L15467">
        <v>346</v>
      </c>
      <c r="M15467">
        <v>1</v>
      </c>
      <c r="N15467">
        <v>3.0912999999999999E-117</v>
      </c>
      <c r="O15467">
        <v>1077</v>
      </c>
    </row>
    <row r="15468" spans="1:15" x14ac:dyDescent="0.25">
      <c r="A15468" t="s">
        <v>15481</v>
      </c>
      <c r="B15468">
        <v>609</v>
      </c>
      <c r="C15468" s="1" t="str">
        <f>HYPERLINK("http://www.rosaceae.org/gb/gbrowse/malus_x_domestica/?name=MDP0000247496","MDP0000247496")</f>
        <v>MDP0000247496</v>
      </c>
      <c r="D15468">
        <v>81.84</v>
      </c>
      <c r="E15468">
        <v>617</v>
      </c>
      <c r="F15468">
        <v>112</v>
      </c>
      <c r="G15468">
        <v>13</v>
      </c>
      <c r="H15468">
        <v>4</v>
      </c>
      <c r="I15468">
        <v>609</v>
      </c>
      <c r="J15468">
        <v>1</v>
      </c>
      <c r="K15468">
        <v>181</v>
      </c>
      <c r="L15468">
        <v>795</v>
      </c>
      <c r="M15468">
        <v>1</v>
      </c>
      <c r="N15468">
        <v>0</v>
      </c>
      <c r="O15468">
        <v>2667</v>
      </c>
    </row>
    <row r="15469" spans="1:15" x14ac:dyDescent="0.25">
      <c r="A15469" t="s">
        <v>15482</v>
      </c>
      <c r="B15469">
        <v>522</v>
      </c>
      <c r="C15469" s="1" t="str">
        <f>HYPERLINK("http://www.rosaceae.org/gb/gbrowse/malus_x_domestica/?name=MDP0000272005","MDP0000272005")</f>
        <v>MDP0000272005</v>
      </c>
      <c r="D15469">
        <v>78.8</v>
      </c>
      <c r="E15469">
        <v>500</v>
      </c>
      <c r="F15469">
        <v>106</v>
      </c>
      <c r="G15469">
        <v>5</v>
      </c>
      <c r="H15469">
        <v>24</v>
      </c>
      <c r="I15469">
        <v>518</v>
      </c>
      <c r="J15469">
        <v>1</v>
      </c>
      <c r="K15469">
        <v>65</v>
      </c>
      <c r="L15469">
        <v>564</v>
      </c>
      <c r="M15469">
        <v>1</v>
      </c>
      <c r="N15469">
        <v>0</v>
      </c>
      <c r="O15469">
        <v>2029</v>
      </c>
    </row>
    <row r="15470" spans="1:15" x14ac:dyDescent="0.25">
      <c r="A15470" t="s">
        <v>15483</v>
      </c>
      <c r="B15470">
        <v>309</v>
      </c>
      <c r="C15470" s="1" t="str">
        <f>HYPERLINK("http://www.rosaceae.org/gb/gbrowse/malus_x_domestica/?name=MDP0000895594","MDP0000895594")</f>
        <v>MDP0000895594</v>
      </c>
      <c r="D15470">
        <v>67.66</v>
      </c>
      <c r="E15470">
        <v>334</v>
      </c>
      <c r="F15470">
        <v>108</v>
      </c>
      <c r="G15470">
        <v>31</v>
      </c>
      <c r="H15470">
        <v>5</v>
      </c>
      <c r="I15470">
        <v>308</v>
      </c>
      <c r="J15470">
        <v>1</v>
      </c>
      <c r="K15470">
        <v>85</v>
      </c>
      <c r="L15470">
        <v>417</v>
      </c>
      <c r="M15470">
        <v>1</v>
      </c>
      <c r="N15470">
        <v>4.3272699999999999E-125</v>
      </c>
      <c r="O15470">
        <v>1143</v>
      </c>
    </row>
    <row r="15471" spans="1:15" x14ac:dyDescent="0.25">
      <c r="A15471" t="s">
        <v>15484</v>
      </c>
      <c r="B15471">
        <v>187</v>
      </c>
      <c r="C15471" s="1" t="str">
        <f>HYPERLINK("http://www.rosaceae.org/gb/gbrowse/malus_x_domestica/?name=MDP0000858452","MDP0000858452")</f>
        <v>MDP0000858452</v>
      </c>
      <c r="D15471">
        <v>65.77</v>
      </c>
      <c r="E15471">
        <v>187</v>
      </c>
      <c r="F15471">
        <v>64</v>
      </c>
      <c r="G15471">
        <v>27</v>
      </c>
      <c r="H15471">
        <v>13</v>
      </c>
      <c r="I15471">
        <v>172</v>
      </c>
      <c r="J15471">
        <v>1</v>
      </c>
      <c r="K15471">
        <v>47</v>
      </c>
      <c r="L15471">
        <v>233</v>
      </c>
      <c r="M15471">
        <v>1</v>
      </c>
      <c r="N15471">
        <v>9.0696600000000004E-59</v>
      </c>
      <c r="O15471">
        <v>568</v>
      </c>
    </row>
    <row r="15472" spans="1:15" x14ac:dyDescent="0.25">
      <c r="A15472" t="s">
        <v>15485</v>
      </c>
      <c r="B15472">
        <v>402</v>
      </c>
      <c r="C15472" s="1" t="str">
        <f>HYPERLINK("http://www.rosaceae.org/gb/gbrowse/malus_x_domestica/?name=MDP0000313879","MDP0000313879")</f>
        <v>MDP0000313879</v>
      </c>
      <c r="D15472">
        <v>69.959999999999994</v>
      </c>
      <c r="E15472">
        <v>323</v>
      </c>
      <c r="F15472">
        <v>97</v>
      </c>
      <c r="G15472">
        <v>30</v>
      </c>
      <c r="H15472">
        <v>24</v>
      </c>
      <c r="I15472">
        <v>316</v>
      </c>
      <c r="J15472">
        <v>1</v>
      </c>
      <c r="K15472">
        <v>31</v>
      </c>
      <c r="L15472">
        <v>353</v>
      </c>
      <c r="M15472">
        <v>1</v>
      </c>
      <c r="N15472">
        <v>6.7980599999999999E-124</v>
      </c>
      <c r="O15472">
        <v>1134</v>
      </c>
    </row>
    <row r="15473" spans="1:15" x14ac:dyDescent="0.25">
      <c r="A15473" t="s">
        <v>15486</v>
      </c>
      <c r="B15473">
        <v>288</v>
      </c>
      <c r="C15473" s="1" t="str">
        <f>HYPERLINK("http://www.rosaceae.org/gb/gbrowse/malus_x_domestica/?name=MDP0000290336","MDP0000290336")</f>
        <v>MDP0000290336</v>
      </c>
      <c r="D15473">
        <v>98.43</v>
      </c>
      <c r="E15473">
        <v>256</v>
      </c>
      <c r="F15473">
        <v>4</v>
      </c>
      <c r="G15473">
        <v>0</v>
      </c>
      <c r="H15473">
        <v>31</v>
      </c>
      <c r="I15473">
        <v>286</v>
      </c>
      <c r="J15473">
        <v>1</v>
      </c>
      <c r="K15473">
        <v>1</v>
      </c>
      <c r="L15473">
        <v>256</v>
      </c>
      <c r="M15473">
        <v>1</v>
      </c>
      <c r="N15473">
        <v>3.6451E-147</v>
      </c>
      <c r="O15473">
        <v>1333</v>
      </c>
    </row>
    <row r="15474" spans="1:15" x14ac:dyDescent="0.25">
      <c r="A15474" t="s">
        <v>15487</v>
      </c>
      <c r="B15474">
        <v>628</v>
      </c>
      <c r="C15474" s="1" t="str">
        <f>HYPERLINK("http://www.rosaceae.org/gb/gbrowse/malus_x_domestica/?name=MDP0000240772","MDP0000240772")</f>
        <v>MDP0000240772</v>
      </c>
      <c r="D15474">
        <v>81.5</v>
      </c>
      <c r="E15474">
        <v>557</v>
      </c>
      <c r="F15474">
        <v>103</v>
      </c>
      <c r="G15474">
        <v>32</v>
      </c>
      <c r="H15474">
        <v>37</v>
      </c>
      <c r="I15474">
        <v>561</v>
      </c>
      <c r="J15474">
        <v>1</v>
      </c>
      <c r="K15474">
        <v>195</v>
      </c>
      <c r="L15474">
        <v>751</v>
      </c>
      <c r="M15474">
        <v>1</v>
      </c>
      <c r="N15474">
        <v>0</v>
      </c>
      <c r="O15474">
        <v>2458</v>
      </c>
    </row>
    <row r="15475" spans="1:15" x14ac:dyDescent="0.25">
      <c r="A15475" t="s">
        <v>15488</v>
      </c>
      <c r="B15475">
        <v>169</v>
      </c>
      <c r="C15475" s="1" t="str">
        <f>HYPERLINK("http://www.rosaceae.org/gb/gbrowse/malus_x_domestica/?name=MDP0000463584","MDP0000463584")</f>
        <v>MDP0000463584</v>
      </c>
      <c r="D15475">
        <v>44</v>
      </c>
      <c r="E15475">
        <v>200</v>
      </c>
      <c r="F15475">
        <v>112</v>
      </c>
      <c r="G15475">
        <v>61</v>
      </c>
      <c r="H15475">
        <v>1</v>
      </c>
      <c r="I15475">
        <v>139</v>
      </c>
      <c r="J15475">
        <v>1</v>
      </c>
      <c r="K15475">
        <v>1</v>
      </c>
      <c r="L15475">
        <v>200</v>
      </c>
      <c r="M15475">
        <v>1</v>
      </c>
      <c r="N15475">
        <v>8.2177100000000001E-35</v>
      </c>
      <c r="O15475">
        <v>361</v>
      </c>
    </row>
    <row r="15476" spans="1:15" x14ac:dyDescent="0.25">
      <c r="A15476" t="s">
        <v>15489</v>
      </c>
      <c r="B15476">
        <v>424</v>
      </c>
      <c r="C15476" s="1" t="str">
        <f>HYPERLINK("http://www.rosaceae.org/gb/gbrowse/malus_x_domestica/?name=MDP0000251575","MDP0000251575")</f>
        <v>MDP0000251575</v>
      </c>
      <c r="D15476">
        <v>77.05</v>
      </c>
      <c r="E15476">
        <v>231</v>
      </c>
      <c r="F15476">
        <v>53</v>
      </c>
      <c r="G15476">
        <v>9</v>
      </c>
      <c r="H15476">
        <v>11</v>
      </c>
      <c r="I15476">
        <v>232</v>
      </c>
      <c r="J15476">
        <v>1</v>
      </c>
      <c r="K15476">
        <v>35</v>
      </c>
      <c r="L15476">
        <v>265</v>
      </c>
      <c r="M15476">
        <v>1</v>
      </c>
      <c r="N15476">
        <v>8.0682600000000002E-97</v>
      </c>
      <c r="O15476">
        <v>901</v>
      </c>
    </row>
    <row r="15477" spans="1:15" x14ac:dyDescent="0.25">
      <c r="A15477" t="s">
        <v>15490</v>
      </c>
      <c r="B15477">
        <v>352</v>
      </c>
      <c r="C15477" s="1" t="str">
        <f>HYPERLINK("http://www.rosaceae.org/gb/gbrowse/malus_x_domestica/?name=MDP0000095488","MDP0000095488")</f>
        <v>MDP0000095488</v>
      </c>
      <c r="D15477">
        <v>81.53</v>
      </c>
      <c r="E15477">
        <v>352</v>
      </c>
      <c r="F15477">
        <v>65</v>
      </c>
      <c r="G15477">
        <v>0</v>
      </c>
      <c r="H15477">
        <v>1</v>
      </c>
      <c r="I15477">
        <v>352</v>
      </c>
      <c r="J15477">
        <v>1</v>
      </c>
      <c r="K15477">
        <v>1</v>
      </c>
      <c r="L15477">
        <v>352</v>
      </c>
      <c r="M15477">
        <v>1</v>
      </c>
      <c r="N15477">
        <v>1.7381200000000001E-157</v>
      </c>
      <c r="O15477">
        <v>1423</v>
      </c>
    </row>
    <row r="15478" spans="1:15" x14ac:dyDescent="0.25">
      <c r="A15478" t="s">
        <v>15491</v>
      </c>
      <c r="B15478">
        <v>268</v>
      </c>
      <c r="C15478" s="1" t="str">
        <f>HYPERLINK("http://www.rosaceae.org/gb/gbrowse/malus_x_domestica/?name=MDP0000285057","MDP0000285057")</f>
        <v>MDP0000285057</v>
      </c>
      <c r="D15478">
        <v>73.45</v>
      </c>
      <c r="E15478">
        <v>226</v>
      </c>
      <c r="F15478">
        <v>60</v>
      </c>
      <c r="G15478">
        <v>3</v>
      </c>
      <c r="H15478">
        <v>33</v>
      </c>
      <c r="I15478">
        <v>255</v>
      </c>
      <c r="J15478">
        <v>1</v>
      </c>
      <c r="K15478">
        <v>9</v>
      </c>
      <c r="L15478">
        <v>234</v>
      </c>
      <c r="M15478">
        <v>1</v>
      </c>
      <c r="N15478">
        <v>4.3845900000000004E-96</v>
      </c>
      <c r="O15478">
        <v>892</v>
      </c>
    </row>
    <row r="15479" spans="1:15" x14ac:dyDescent="0.25">
      <c r="A15479" t="s">
        <v>15492</v>
      </c>
      <c r="B15479">
        <v>199</v>
      </c>
      <c r="C15479" s="1" t="str">
        <f>HYPERLINK("http://www.rosaceae.org/gb/gbrowse/malus_x_domestica/?name=MDP0000647255","MDP0000647255")</f>
        <v>MDP0000647255</v>
      </c>
      <c r="D15479">
        <v>51.5</v>
      </c>
      <c r="E15479">
        <v>200</v>
      </c>
      <c r="F15479">
        <v>97</v>
      </c>
      <c r="G15479">
        <v>60</v>
      </c>
      <c r="H15479">
        <v>1</v>
      </c>
      <c r="I15479">
        <v>140</v>
      </c>
      <c r="J15479">
        <v>1</v>
      </c>
      <c r="K15479">
        <v>175</v>
      </c>
      <c r="L15479">
        <v>374</v>
      </c>
      <c r="M15479">
        <v>1</v>
      </c>
      <c r="N15479">
        <v>1.17308E-45</v>
      </c>
      <c r="O15479">
        <v>455</v>
      </c>
    </row>
    <row r="15480" spans="1:15" x14ac:dyDescent="0.25">
      <c r="A15480" t="s">
        <v>15493</v>
      </c>
      <c r="B15480">
        <v>119</v>
      </c>
      <c r="C15480" s="1" t="str">
        <f>HYPERLINK("http://www.rosaceae.org/gb/gbrowse/malus_x_domestica/?name=MDP0000391371","MDP0000391371")</f>
        <v>MDP0000391371</v>
      </c>
      <c r="D15480">
        <v>84.34</v>
      </c>
      <c r="E15480">
        <v>115</v>
      </c>
      <c r="F15480">
        <v>18</v>
      </c>
      <c r="G15480">
        <v>0</v>
      </c>
      <c r="H15480">
        <v>5</v>
      </c>
      <c r="I15480">
        <v>119</v>
      </c>
      <c r="J15480">
        <v>1</v>
      </c>
      <c r="K15480">
        <v>472</v>
      </c>
      <c r="L15480">
        <v>586</v>
      </c>
      <c r="M15480">
        <v>1</v>
      </c>
      <c r="N15480">
        <v>5.0009799999999998E-50</v>
      </c>
      <c r="O15480">
        <v>489</v>
      </c>
    </row>
    <row r="15481" spans="1:15" x14ac:dyDescent="0.25">
      <c r="A15481" t="s">
        <v>15494</v>
      </c>
      <c r="B15481">
        <v>479</v>
      </c>
      <c r="C15481" s="1" t="str">
        <f>HYPERLINK("http://www.rosaceae.org/gb/gbrowse/malus_x_domestica/?name=MDP0000263881","MDP0000263881")</f>
        <v>MDP0000263881</v>
      </c>
      <c r="D15481">
        <v>67.430000000000007</v>
      </c>
      <c r="E15481">
        <v>436</v>
      </c>
      <c r="F15481">
        <v>142</v>
      </c>
      <c r="G15481">
        <v>4</v>
      </c>
      <c r="H15481">
        <v>43</v>
      </c>
      <c r="I15481">
        <v>478</v>
      </c>
      <c r="J15481">
        <v>1</v>
      </c>
      <c r="K15481">
        <v>659</v>
      </c>
      <c r="L15481">
        <v>1090</v>
      </c>
      <c r="M15481">
        <v>1</v>
      </c>
      <c r="N15481">
        <v>5.2636500000000001E-170</v>
      </c>
      <c r="O15481">
        <v>1532</v>
      </c>
    </row>
    <row r="15482" spans="1:15" x14ac:dyDescent="0.25">
      <c r="A15482" t="s">
        <v>15495</v>
      </c>
      <c r="B15482">
        <v>831</v>
      </c>
      <c r="C15482" s="1" t="str">
        <f>HYPERLINK("http://www.rosaceae.org/gb/gbrowse/malus_x_domestica/?name=MDP0000232591","MDP0000232591")</f>
        <v>MDP0000232591</v>
      </c>
      <c r="D15482">
        <v>84.68</v>
      </c>
      <c r="E15482">
        <v>209</v>
      </c>
      <c r="F15482">
        <v>32</v>
      </c>
      <c r="G15482">
        <v>0</v>
      </c>
      <c r="H15482">
        <v>623</v>
      </c>
      <c r="I15482">
        <v>831</v>
      </c>
      <c r="J15482">
        <v>1</v>
      </c>
      <c r="K15482">
        <v>1</v>
      </c>
      <c r="L15482">
        <v>209</v>
      </c>
      <c r="M15482">
        <v>1</v>
      </c>
      <c r="N15482">
        <v>4.5345499999999999E-100</v>
      </c>
      <c r="O15482">
        <v>932</v>
      </c>
    </row>
    <row r="15483" spans="1:15" x14ac:dyDescent="0.25">
      <c r="A15483" t="s">
        <v>15496</v>
      </c>
      <c r="B15483">
        <v>166</v>
      </c>
      <c r="C15483" s="1" t="str">
        <f>HYPERLINK("http://www.rosaceae.org/gb/gbrowse/malus_x_domestica/?name=MDP0000087507","MDP0000087507")</f>
        <v>MDP0000087507</v>
      </c>
      <c r="D15483">
        <v>62.26</v>
      </c>
      <c r="E15483">
        <v>106</v>
      </c>
      <c r="F15483">
        <v>40</v>
      </c>
      <c r="G15483">
        <v>4</v>
      </c>
      <c r="H15483">
        <v>61</v>
      </c>
      <c r="I15483">
        <v>166</v>
      </c>
      <c r="J15483">
        <v>1</v>
      </c>
      <c r="K15483">
        <v>16</v>
      </c>
      <c r="L15483">
        <v>117</v>
      </c>
      <c r="M15483">
        <v>1</v>
      </c>
      <c r="N15483">
        <v>1.89458E-30</v>
      </c>
      <c r="O15483">
        <v>323</v>
      </c>
    </row>
    <row r="15484" spans="1:15" x14ac:dyDescent="0.25">
      <c r="A15484" t="s">
        <v>15497</v>
      </c>
      <c r="B15484">
        <v>868</v>
      </c>
      <c r="C15484" s="1" t="str">
        <f>HYPERLINK("http://www.rosaceae.org/gb/gbrowse/malus_x_domestica/?name=MDP0000250685","MDP0000250685")</f>
        <v>MDP0000250685</v>
      </c>
      <c r="D15484">
        <v>77.83</v>
      </c>
      <c r="E15484">
        <v>794</v>
      </c>
      <c r="F15484">
        <v>176</v>
      </c>
      <c r="G15484">
        <v>38</v>
      </c>
      <c r="H15484">
        <v>63</v>
      </c>
      <c r="I15484">
        <v>851</v>
      </c>
      <c r="J15484">
        <v>1</v>
      </c>
      <c r="K15484">
        <v>423</v>
      </c>
      <c r="L15484">
        <v>1183</v>
      </c>
      <c r="M15484">
        <v>1</v>
      </c>
      <c r="N15484">
        <v>0</v>
      </c>
      <c r="O15484">
        <v>3121</v>
      </c>
    </row>
    <row r="15485" spans="1:15" x14ac:dyDescent="0.25">
      <c r="A15485" t="s">
        <v>15498</v>
      </c>
      <c r="B15485">
        <v>539</v>
      </c>
      <c r="C15485" s="1" t="str">
        <f>HYPERLINK("http://www.rosaceae.org/gb/gbrowse/malus_x_domestica/?name=MDP0000193853","MDP0000193853")</f>
        <v>MDP0000193853</v>
      </c>
      <c r="D15485">
        <v>63.93</v>
      </c>
      <c r="E15485">
        <v>513</v>
      </c>
      <c r="F15485">
        <v>185</v>
      </c>
      <c r="G15485">
        <v>33</v>
      </c>
      <c r="H15485">
        <v>1</v>
      </c>
      <c r="I15485">
        <v>485</v>
      </c>
      <c r="J15485">
        <v>1</v>
      </c>
      <c r="K15485">
        <v>1</v>
      </c>
      <c r="L15485">
        <v>508</v>
      </c>
      <c r="M15485">
        <v>1</v>
      </c>
      <c r="N15485">
        <v>1.02184E-160</v>
      </c>
      <c r="O15485">
        <v>1453</v>
      </c>
    </row>
    <row r="15486" spans="1:15" x14ac:dyDescent="0.25">
      <c r="A15486" t="s">
        <v>15499</v>
      </c>
      <c r="B15486">
        <v>81</v>
      </c>
      <c r="C15486" s="1" t="str">
        <f>HYPERLINK("http://www.rosaceae.org/gb/gbrowse/malus_x_domestica/?name=MDP0000885990","MDP0000885990")</f>
        <v>MDP0000885990</v>
      </c>
      <c r="D15486">
        <v>70.73</v>
      </c>
      <c r="E15486">
        <v>41</v>
      </c>
      <c r="F15486">
        <v>12</v>
      </c>
      <c r="G15486">
        <v>4</v>
      </c>
      <c r="H15486">
        <v>18</v>
      </c>
      <c r="I15486">
        <v>57</v>
      </c>
      <c r="J15486">
        <v>1</v>
      </c>
      <c r="K15486">
        <v>19</v>
      </c>
      <c r="L15486">
        <v>56</v>
      </c>
      <c r="M15486">
        <v>1</v>
      </c>
      <c r="N15486">
        <v>1.07326E-7</v>
      </c>
      <c r="O15486">
        <v>124</v>
      </c>
    </row>
    <row r="15487" spans="1:15" x14ac:dyDescent="0.25">
      <c r="A15487" t="s">
        <v>15500</v>
      </c>
      <c r="B15487">
        <v>154</v>
      </c>
      <c r="C15487" s="1" t="str">
        <f>HYPERLINK("http://www.rosaceae.org/gb/gbrowse/malus_x_domestica/?name=MDP0000242528","MDP0000242528")</f>
        <v>MDP0000242528</v>
      </c>
      <c r="D15487">
        <v>86.48</v>
      </c>
      <c r="E15487">
        <v>74</v>
      </c>
      <c r="F15487">
        <v>10</v>
      </c>
      <c r="G15487">
        <v>0</v>
      </c>
      <c r="H15487">
        <v>71</v>
      </c>
      <c r="I15487">
        <v>144</v>
      </c>
      <c r="J15487">
        <v>1</v>
      </c>
      <c r="K15487">
        <v>54</v>
      </c>
      <c r="L15487">
        <v>127</v>
      </c>
      <c r="M15487">
        <v>1</v>
      </c>
      <c r="N15487">
        <v>6.0358999999999999E-32</v>
      </c>
      <c r="O15487">
        <v>335</v>
      </c>
    </row>
    <row r="15488" spans="1:15" x14ac:dyDescent="0.25">
      <c r="A15488" t="s">
        <v>15501</v>
      </c>
      <c r="B15488">
        <v>102</v>
      </c>
      <c r="C15488" s="1" t="str">
        <f>HYPERLINK("http://www.rosaceae.org/gb/gbrowse/malus_x_domestica/?name=MDP0000725469","MDP0000725469")</f>
        <v>MDP0000725469</v>
      </c>
      <c r="D15488">
        <v>90.19</v>
      </c>
      <c r="E15488">
        <v>102</v>
      </c>
      <c r="F15488">
        <v>10</v>
      </c>
      <c r="G15488">
        <v>0</v>
      </c>
      <c r="H15488">
        <v>1</v>
      </c>
      <c r="I15488">
        <v>102</v>
      </c>
      <c r="J15488">
        <v>1</v>
      </c>
      <c r="K15488">
        <v>1</v>
      </c>
      <c r="L15488">
        <v>102</v>
      </c>
      <c r="M15488">
        <v>1</v>
      </c>
      <c r="N15488">
        <v>2.6458199999999999E-51</v>
      </c>
      <c r="O15488">
        <v>500</v>
      </c>
    </row>
    <row r="15489" spans="1:15" x14ac:dyDescent="0.25">
      <c r="A15489" t="s">
        <v>15502</v>
      </c>
      <c r="B15489">
        <v>579</v>
      </c>
      <c r="C15489" s="1" t="str">
        <f>HYPERLINK("http://www.rosaceae.org/gb/gbrowse/malus_x_domestica/?name=MDP0000240772","MDP0000240772")</f>
        <v>MDP0000240772</v>
      </c>
      <c r="D15489">
        <v>82.43</v>
      </c>
      <c r="E15489">
        <v>558</v>
      </c>
      <c r="F15489">
        <v>98</v>
      </c>
      <c r="G15489">
        <v>33</v>
      </c>
      <c r="H15489">
        <v>37</v>
      </c>
      <c r="I15489">
        <v>562</v>
      </c>
      <c r="J15489">
        <v>1</v>
      </c>
      <c r="K15489">
        <v>195</v>
      </c>
      <c r="L15489">
        <v>751</v>
      </c>
      <c r="M15489">
        <v>1</v>
      </c>
      <c r="N15489">
        <v>0</v>
      </c>
      <c r="O15489">
        <v>2458</v>
      </c>
    </row>
    <row r="15490" spans="1:15" x14ac:dyDescent="0.25">
      <c r="A15490" t="s">
        <v>15503</v>
      </c>
      <c r="B15490">
        <v>119</v>
      </c>
      <c r="C15490" s="1" t="str">
        <f>HYPERLINK("http://www.rosaceae.org/gb/gbrowse/malus_x_domestica/?name=MDP0000335450","MDP0000335450")</f>
        <v>MDP0000335450</v>
      </c>
      <c r="D15490">
        <v>81.39</v>
      </c>
      <c r="E15490">
        <v>43</v>
      </c>
      <c r="F15490">
        <v>8</v>
      </c>
      <c r="G15490">
        <v>0</v>
      </c>
      <c r="H15490">
        <v>64</v>
      </c>
      <c r="I15490">
        <v>106</v>
      </c>
      <c r="J15490">
        <v>1</v>
      </c>
      <c r="K15490">
        <v>29</v>
      </c>
      <c r="L15490">
        <v>71</v>
      </c>
      <c r="M15490">
        <v>1</v>
      </c>
      <c r="N15490">
        <v>1.0264700000000001E-15</v>
      </c>
      <c r="O15490">
        <v>193</v>
      </c>
    </row>
    <row r="15491" spans="1:15" x14ac:dyDescent="0.25">
      <c r="A15491" t="s">
        <v>15504</v>
      </c>
      <c r="B15491">
        <v>539</v>
      </c>
      <c r="C15491" s="1" t="str">
        <f>HYPERLINK("http://www.rosaceae.org/gb/gbrowse/malus_x_domestica/?name=MDP0000233239","MDP0000233239")</f>
        <v>MDP0000233239</v>
      </c>
      <c r="D15491">
        <v>76.14</v>
      </c>
      <c r="E15491">
        <v>545</v>
      </c>
      <c r="F15491">
        <v>130</v>
      </c>
      <c r="G15491">
        <v>14</v>
      </c>
      <c r="H15491">
        <v>1</v>
      </c>
      <c r="I15491">
        <v>539</v>
      </c>
      <c r="J15491">
        <v>1</v>
      </c>
      <c r="K15491">
        <v>1</v>
      </c>
      <c r="L15491">
        <v>537</v>
      </c>
      <c r="M15491">
        <v>1</v>
      </c>
      <c r="N15491">
        <v>0</v>
      </c>
      <c r="O15491">
        <v>2122</v>
      </c>
    </row>
    <row r="15492" spans="1:15" x14ac:dyDescent="0.25">
      <c r="A15492" t="s">
        <v>15505</v>
      </c>
      <c r="B15492">
        <v>593</v>
      </c>
      <c r="C15492" s="1" t="str">
        <f>HYPERLINK("http://www.rosaceae.org/gb/gbrowse/malus_x_domestica/?name=MDP0000253721","MDP0000253721")</f>
        <v>MDP0000253721</v>
      </c>
      <c r="D15492">
        <v>89.44</v>
      </c>
      <c r="E15492">
        <v>436</v>
      </c>
      <c r="F15492">
        <v>46</v>
      </c>
      <c r="G15492">
        <v>6</v>
      </c>
      <c r="H15492">
        <v>135</v>
      </c>
      <c r="I15492">
        <v>570</v>
      </c>
      <c r="J15492">
        <v>1</v>
      </c>
      <c r="K15492">
        <v>83</v>
      </c>
      <c r="L15492">
        <v>512</v>
      </c>
      <c r="M15492">
        <v>1</v>
      </c>
      <c r="N15492">
        <v>0</v>
      </c>
      <c r="O15492">
        <v>2070</v>
      </c>
    </row>
    <row r="15493" spans="1:15" x14ac:dyDescent="0.25">
      <c r="A15493" t="s">
        <v>15506</v>
      </c>
      <c r="B15493">
        <v>656</v>
      </c>
      <c r="C15493" s="1" t="str">
        <f>HYPERLINK("http://www.rosaceae.org/gb/gbrowse/malus_x_domestica/?name=MDP0000210064","MDP0000210064")</f>
        <v>MDP0000210064</v>
      </c>
      <c r="D15493">
        <v>73.650000000000006</v>
      </c>
      <c r="E15493">
        <v>391</v>
      </c>
      <c r="F15493">
        <v>103</v>
      </c>
      <c r="G15493">
        <v>3</v>
      </c>
      <c r="H15493">
        <v>1</v>
      </c>
      <c r="I15493">
        <v>388</v>
      </c>
      <c r="J15493">
        <v>1</v>
      </c>
      <c r="K15493">
        <v>5</v>
      </c>
      <c r="L15493">
        <v>395</v>
      </c>
      <c r="M15493">
        <v>1</v>
      </c>
      <c r="N15493">
        <v>1.16095E-164</v>
      </c>
      <c r="O15493">
        <v>1488</v>
      </c>
    </row>
    <row r="15494" spans="1:15" x14ac:dyDescent="0.25">
      <c r="A15494" t="s">
        <v>15507</v>
      </c>
      <c r="B15494">
        <v>622</v>
      </c>
      <c r="C15494" s="1" t="str">
        <f>HYPERLINK("http://www.rosaceae.org/gb/gbrowse/malus_x_domestica/?name=MDP0000232208","MDP0000232208")</f>
        <v>MDP0000232208</v>
      </c>
      <c r="D15494">
        <v>46.58</v>
      </c>
      <c r="E15494">
        <v>410</v>
      </c>
      <c r="F15494">
        <v>219</v>
      </c>
      <c r="G15494">
        <v>69</v>
      </c>
      <c r="H15494">
        <v>259</v>
      </c>
      <c r="I15494">
        <v>605</v>
      </c>
      <c r="J15494">
        <v>1</v>
      </c>
      <c r="K15494">
        <v>5</v>
      </c>
      <c r="L15494">
        <v>408</v>
      </c>
      <c r="M15494">
        <v>1</v>
      </c>
      <c r="N15494">
        <v>3.7476300000000002E-93</v>
      </c>
      <c r="O15494">
        <v>871</v>
      </c>
    </row>
    <row r="15495" spans="1:15" x14ac:dyDescent="0.25">
      <c r="A15495" t="s">
        <v>15508</v>
      </c>
      <c r="B15495">
        <v>1122</v>
      </c>
      <c r="C15495" s="1" t="str">
        <f>HYPERLINK("http://www.rosaceae.org/gb/gbrowse/malus_x_domestica/?name=MDP0000251125","MDP0000251125")</f>
        <v>MDP0000251125</v>
      </c>
      <c r="D15495">
        <v>59.57</v>
      </c>
      <c r="E15495">
        <v>997</v>
      </c>
      <c r="F15495">
        <v>403</v>
      </c>
      <c r="G15495">
        <v>76</v>
      </c>
      <c r="H15495">
        <v>141</v>
      </c>
      <c r="I15495">
        <v>1084</v>
      </c>
      <c r="J15495">
        <v>1</v>
      </c>
      <c r="K15495">
        <v>18</v>
      </c>
      <c r="L15495">
        <v>991</v>
      </c>
      <c r="M15495">
        <v>1</v>
      </c>
      <c r="N15495">
        <v>0</v>
      </c>
      <c r="O15495">
        <v>2804</v>
      </c>
    </row>
    <row r="15496" spans="1:15" x14ac:dyDescent="0.25">
      <c r="A15496" t="s">
        <v>15509</v>
      </c>
      <c r="B15496">
        <v>228</v>
      </c>
      <c r="C15496" s="1" t="str">
        <f>HYPERLINK("http://www.rosaceae.org/gb/gbrowse/malus_x_domestica/?name=MDP0000083546","MDP0000083546")</f>
        <v>MDP0000083546</v>
      </c>
      <c r="D15496">
        <v>75.650000000000006</v>
      </c>
      <c r="E15496">
        <v>230</v>
      </c>
      <c r="F15496">
        <v>56</v>
      </c>
      <c r="G15496">
        <v>2</v>
      </c>
      <c r="H15496">
        <v>1</v>
      </c>
      <c r="I15496">
        <v>228</v>
      </c>
      <c r="J15496">
        <v>1</v>
      </c>
      <c r="K15496">
        <v>75</v>
      </c>
      <c r="L15496">
        <v>304</v>
      </c>
      <c r="M15496">
        <v>1</v>
      </c>
      <c r="N15496">
        <v>3.6990499999999998E-99</v>
      </c>
      <c r="O15496">
        <v>918</v>
      </c>
    </row>
    <row r="15497" spans="1:15" x14ac:dyDescent="0.25">
      <c r="A15497" t="s">
        <v>15510</v>
      </c>
      <c r="B15497">
        <v>277</v>
      </c>
      <c r="C15497" s="1" t="str">
        <f>HYPERLINK("http://www.rosaceae.org/gb/gbrowse/malus_x_domestica/?name=MDP0000283976","MDP0000283976")</f>
        <v>MDP0000283976</v>
      </c>
      <c r="D15497">
        <v>80.260000000000005</v>
      </c>
      <c r="E15497">
        <v>76</v>
      </c>
      <c r="F15497">
        <v>15</v>
      </c>
      <c r="G15497">
        <v>0</v>
      </c>
      <c r="H15497">
        <v>202</v>
      </c>
      <c r="I15497">
        <v>277</v>
      </c>
      <c r="J15497">
        <v>1</v>
      </c>
      <c r="K15497">
        <v>349</v>
      </c>
      <c r="L15497">
        <v>424</v>
      </c>
      <c r="M15497">
        <v>1</v>
      </c>
      <c r="N15497">
        <v>1.08463E-31</v>
      </c>
      <c r="O15497">
        <v>337</v>
      </c>
    </row>
    <row r="15498" spans="1:15" x14ac:dyDescent="0.25">
      <c r="A15498" t="s">
        <v>15511</v>
      </c>
      <c r="B15498">
        <v>770</v>
      </c>
      <c r="C15498" s="1" t="str">
        <f>HYPERLINK("http://www.rosaceae.org/gb/gbrowse/malus_x_domestica/?name=MDP0000120592","MDP0000120592")</f>
        <v>MDP0000120592</v>
      </c>
      <c r="D15498">
        <v>55.13</v>
      </c>
      <c r="E15498">
        <v>370</v>
      </c>
      <c r="F15498">
        <v>166</v>
      </c>
      <c r="G15498">
        <v>33</v>
      </c>
      <c r="H15498">
        <v>163</v>
      </c>
      <c r="I15498">
        <v>499</v>
      </c>
      <c r="J15498">
        <v>1</v>
      </c>
      <c r="K15498">
        <v>32</v>
      </c>
      <c r="L15498">
        <v>401</v>
      </c>
      <c r="M15498">
        <v>1</v>
      </c>
      <c r="N15498">
        <v>5.2380900000000002E-121</v>
      </c>
      <c r="O15498">
        <v>1112</v>
      </c>
    </row>
    <row r="15499" spans="1:15" x14ac:dyDescent="0.25">
      <c r="A15499" t="s">
        <v>15512</v>
      </c>
      <c r="B15499">
        <v>265</v>
      </c>
      <c r="C15499" s="1" t="str">
        <f>HYPERLINK("http://www.rosaceae.org/gb/gbrowse/malus_x_domestica/?name=MDP0000386815","MDP0000386815")</f>
        <v>MDP0000386815</v>
      </c>
      <c r="D15499">
        <v>38.049999999999997</v>
      </c>
      <c r="E15499">
        <v>247</v>
      </c>
      <c r="F15499">
        <v>153</v>
      </c>
      <c r="G15499">
        <v>35</v>
      </c>
      <c r="H15499">
        <v>1</v>
      </c>
      <c r="I15499">
        <v>219</v>
      </c>
      <c r="J15499">
        <v>1</v>
      </c>
      <c r="K15499">
        <v>1</v>
      </c>
      <c r="L15499">
        <v>240</v>
      </c>
      <c r="M15499">
        <v>1</v>
      </c>
      <c r="N15499">
        <v>2.6616499999999999E-28</v>
      </c>
      <c r="O15499">
        <v>307</v>
      </c>
    </row>
    <row r="15500" spans="1:15" x14ac:dyDescent="0.25">
      <c r="A15500" t="s">
        <v>15513</v>
      </c>
      <c r="B15500">
        <v>216</v>
      </c>
      <c r="C15500" s="1" t="str">
        <f>HYPERLINK("http://www.rosaceae.org/gb/gbrowse/malus_x_domestica/?name=MDP0000141097","MDP0000141097")</f>
        <v>MDP0000141097</v>
      </c>
      <c r="D15500">
        <v>90.85</v>
      </c>
      <c r="E15500">
        <v>175</v>
      </c>
      <c r="F15500">
        <v>16</v>
      </c>
      <c r="G15500">
        <v>0</v>
      </c>
      <c r="H15500">
        <v>3</v>
      </c>
      <c r="I15500">
        <v>177</v>
      </c>
      <c r="J15500">
        <v>1</v>
      </c>
      <c r="K15500">
        <v>1</v>
      </c>
      <c r="L15500">
        <v>175</v>
      </c>
      <c r="M15500">
        <v>1</v>
      </c>
      <c r="N15500">
        <v>1.6993099999999999E-96</v>
      </c>
      <c r="O15500">
        <v>894</v>
      </c>
    </row>
    <row r="15501" spans="1:15" x14ac:dyDescent="0.25">
      <c r="A15501" t="s">
        <v>15514</v>
      </c>
      <c r="B15501">
        <v>533</v>
      </c>
      <c r="C15501" s="1" t="str">
        <f>HYPERLINK("http://www.rosaceae.org/gb/gbrowse/malus_x_domestica/?name=MDP0000121598","MDP0000121598")</f>
        <v>MDP0000121598</v>
      </c>
      <c r="D15501">
        <v>70.39</v>
      </c>
      <c r="E15501">
        <v>510</v>
      </c>
      <c r="F15501">
        <v>151</v>
      </c>
      <c r="G15501">
        <v>5</v>
      </c>
      <c r="H15501">
        <v>20</v>
      </c>
      <c r="I15501">
        <v>528</v>
      </c>
      <c r="J15501">
        <v>1</v>
      </c>
      <c r="K15501">
        <v>85</v>
      </c>
      <c r="L15501">
        <v>590</v>
      </c>
      <c r="M15501">
        <v>1</v>
      </c>
      <c r="N15501">
        <v>0</v>
      </c>
      <c r="O15501">
        <v>1912</v>
      </c>
    </row>
    <row r="15502" spans="1:15" x14ac:dyDescent="0.25">
      <c r="A15502" t="s">
        <v>15515</v>
      </c>
      <c r="B15502">
        <v>474</v>
      </c>
      <c r="C15502" s="1" t="str">
        <f>HYPERLINK("http://www.rosaceae.org/gb/gbrowse/malus_x_domestica/?name=MDP0000135761","MDP0000135761")</f>
        <v>MDP0000135761</v>
      </c>
      <c r="D15502">
        <v>66.86</v>
      </c>
      <c r="E15502">
        <v>501</v>
      </c>
      <c r="F15502">
        <v>166</v>
      </c>
      <c r="G15502">
        <v>31</v>
      </c>
      <c r="H15502">
        <v>1</v>
      </c>
      <c r="I15502">
        <v>474</v>
      </c>
      <c r="J15502">
        <v>1</v>
      </c>
      <c r="K15502">
        <v>110</v>
      </c>
      <c r="L15502">
        <v>606</v>
      </c>
      <c r="M15502">
        <v>1</v>
      </c>
      <c r="N15502">
        <v>2.5719900000000001E-176</v>
      </c>
      <c r="O15502">
        <v>1587</v>
      </c>
    </row>
    <row r="15503" spans="1:15" x14ac:dyDescent="0.25">
      <c r="A15503" t="s">
        <v>15516</v>
      </c>
      <c r="B15503">
        <v>216</v>
      </c>
      <c r="C15503" s="1" t="str">
        <f>HYPERLINK("http://www.rosaceae.org/gb/gbrowse/malus_x_domestica/?name=MDP0000249084","MDP0000249084")</f>
        <v>MDP0000249084</v>
      </c>
      <c r="D15503">
        <v>79.040000000000006</v>
      </c>
      <c r="E15503">
        <v>210</v>
      </c>
      <c r="F15503">
        <v>44</v>
      </c>
      <c r="G15503">
        <v>0</v>
      </c>
      <c r="H15503">
        <v>7</v>
      </c>
      <c r="I15503">
        <v>216</v>
      </c>
      <c r="J15503">
        <v>1</v>
      </c>
      <c r="K15503">
        <v>10</v>
      </c>
      <c r="L15503">
        <v>219</v>
      </c>
      <c r="M15503">
        <v>1</v>
      </c>
      <c r="N15503">
        <v>4.9074199999999997E-93</v>
      </c>
      <c r="O15503">
        <v>864</v>
      </c>
    </row>
    <row r="15504" spans="1:15" x14ac:dyDescent="0.25">
      <c r="A15504" t="s">
        <v>15517</v>
      </c>
      <c r="B15504">
        <v>208</v>
      </c>
      <c r="C15504" s="1" t="str">
        <f>HYPERLINK("http://www.rosaceae.org/gb/gbrowse/malus_x_domestica/?name=MDP0000396750","MDP0000396750")</f>
        <v>MDP0000396750</v>
      </c>
      <c r="D15504">
        <v>61.6</v>
      </c>
      <c r="E15504">
        <v>125</v>
      </c>
      <c r="F15504">
        <v>48</v>
      </c>
      <c r="G15504">
        <v>13</v>
      </c>
      <c r="H15504">
        <v>83</v>
      </c>
      <c r="I15504">
        <v>207</v>
      </c>
      <c r="J15504">
        <v>1</v>
      </c>
      <c r="K15504">
        <v>85</v>
      </c>
      <c r="L15504">
        <v>196</v>
      </c>
      <c r="M15504">
        <v>1</v>
      </c>
      <c r="N15504">
        <v>4.8085800000000004E-34</v>
      </c>
      <c r="O15504">
        <v>355</v>
      </c>
    </row>
    <row r="15505" spans="1:15" x14ac:dyDescent="0.25">
      <c r="A15505" t="s">
        <v>15518</v>
      </c>
      <c r="B15505">
        <v>316</v>
      </c>
      <c r="C15505" s="1" t="str">
        <f>HYPERLINK("http://www.rosaceae.org/gb/gbrowse/malus_x_domestica/?name=MDP0000179936","MDP0000179936")</f>
        <v>MDP0000179936</v>
      </c>
      <c r="D15505">
        <v>42.46</v>
      </c>
      <c r="E15505">
        <v>146</v>
      </c>
      <c r="F15505">
        <v>84</v>
      </c>
      <c r="G15505">
        <v>41</v>
      </c>
      <c r="H15505">
        <v>70</v>
      </c>
      <c r="I15505">
        <v>211</v>
      </c>
      <c r="J15505">
        <v>1</v>
      </c>
      <c r="K15505">
        <v>417</v>
      </c>
      <c r="L15505">
        <v>525</v>
      </c>
      <c r="M15505">
        <v>1</v>
      </c>
      <c r="N15505">
        <v>7.05709E-21</v>
      </c>
      <c r="O15505">
        <v>244</v>
      </c>
    </row>
    <row r="15506" spans="1:15" x14ac:dyDescent="0.25">
      <c r="A15506" t="s">
        <v>15519</v>
      </c>
      <c r="B15506">
        <v>1192</v>
      </c>
      <c r="C15506" s="1" t="str">
        <f>HYPERLINK("http://www.rosaceae.org/gb/gbrowse/malus_x_domestica/?name=MDP0000175028","MDP0000175028")</f>
        <v>MDP0000175028</v>
      </c>
      <c r="D15506">
        <v>43.47</v>
      </c>
      <c r="E15506">
        <v>713</v>
      </c>
      <c r="F15506">
        <v>403</v>
      </c>
      <c r="G15506">
        <v>98</v>
      </c>
      <c r="H15506">
        <v>79</v>
      </c>
      <c r="I15506">
        <v>718</v>
      </c>
      <c r="J15506">
        <v>1</v>
      </c>
      <c r="K15506">
        <v>4</v>
      </c>
      <c r="L15506">
        <v>691</v>
      </c>
      <c r="M15506">
        <v>1</v>
      </c>
      <c r="N15506">
        <v>2.7068200000000001E-154</v>
      </c>
      <c r="O15506">
        <v>1401</v>
      </c>
    </row>
    <row r="15507" spans="1:15" x14ac:dyDescent="0.25">
      <c r="A15507" t="s">
        <v>15520</v>
      </c>
      <c r="B15507">
        <v>364</v>
      </c>
      <c r="C15507" s="1" t="str">
        <f>HYPERLINK("http://www.rosaceae.org/gb/gbrowse/malus_x_domestica/?name=MDP0000867361","MDP0000867361")</f>
        <v>MDP0000867361</v>
      </c>
      <c r="D15507">
        <v>67.12</v>
      </c>
      <c r="E15507">
        <v>362</v>
      </c>
      <c r="F15507">
        <v>119</v>
      </c>
      <c r="G15507">
        <v>3</v>
      </c>
      <c r="H15507">
        <v>1</v>
      </c>
      <c r="I15507">
        <v>359</v>
      </c>
      <c r="J15507">
        <v>1</v>
      </c>
      <c r="K15507">
        <v>1</v>
      </c>
      <c r="L15507">
        <v>362</v>
      </c>
      <c r="M15507">
        <v>1</v>
      </c>
      <c r="N15507">
        <v>1.7925000000000001E-130</v>
      </c>
      <c r="O15507">
        <v>1190</v>
      </c>
    </row>
    <row r="15508" spans="1:15" x14ac:dyDescent="0.25">
      <c r="A15508" t="s">
        <v>15521</v>
      </c>
      <c r="B15508">
        <v>768</v>
      </c>
      <c r="C15508" s="1" t="str">
        <f>HYPERLINK("http://www.rosaceae.org/gb/gbrowse/malus_x_domestica/?name=MDP0000146133","MDP0000146133")</f>
        <v>MDP0000146133</v>
      </c>
      <c r="D15508">
        <v>71.94</v>
      </c>
      <c r="E15508">
        <v>524</v>
      </c>
      <c r="F15508">
        <v>147</v>
      </c>
      <c r="G15508">
        <v>3</v>
      </c>
      <c r="H15508">
        <v>75</v>
      </c>
      <c r="I15508">
        <v>596</v>
      </c>
      <c r="J15508">
        <v>1</v>
      </c>
      <c r="K15508">
        <v>51</v>
      </c>
      <c r="L15508">
        <v>573</v>
      </c>
      <c r="M15508">
        <v>1</v>
      </c>
      <c r="N15508">
        <v>0</v>
      </c>
      <c r="O15508">
        <v>1999</v>
      </c>
    </row>
    <row r="15509" spans="1:15" x14ac:dyDescent="0.25">
      <c r="A15509" t="s">
        <v>15522</v>
      </c>
      <c r="B15509">
        <v>224</v>
      </c>
      <c r="C15509" s="1" t="str">
        <f>HYPERLINK("http://www.rosaceae.org/gb/gbrowse/malus_x_domestica/?name=MDP0000144908","MDP0000144908")</f>
        <v>MDP0000144908</v>
      </c>
      <c r="D15509">
        <v>60.81</v>
      </c>
      <c r="E15509">
        <v>171</v>
      </c>
      <c r="F15509">
        <v>67</v>
      </c>
      <c r="G15509">
        <v>2</v>
      </c>
      <c r="H15509">
        <v>55</v>
      </c>
      <c r="I15509">
        <v>224</v>
      </c>
      <c r="J15509">
        <v>1</v>
      </c>
      <c r="K15509">
        <v>41</v>
      </c>
      <c r="L15509">
        <v>210</v>
      </c>
      <c r="M15509">
        <v>1</v>
      </c>
      <c r="N15509">
        <v>1.7771300000000001E-43</v>
      </c>
      <c r="O15509">
        <v>437</v>
      </c>
    </row>
    <row r="15510" spans="1:15" x14ac:dyDescent="0.25">
      <c r="A15510" t="s">
        <v>15523</v>
      </c>
      <c r="B15510">
        <v>482</v>
      </c>
      <c r="C15510" s="1" t="str">
        <f>HYPERLINK("http://www.rosaceae.org/gb/gbrowse/malus_x_domestica/?name=MDP0000700517","MDP0000700517")</f>
        <v>MDP0000700517</v>
      </c>
      <c r="D15510">
        <v>27.84</v>
      </c>
      <c r="E15510">
        <v>158</v>
      </c>
      <c r="F15510">
        <v>114</v>
      </c>
      <c r="G15510">
        <v>44</v>
      </c>
      <c r="H15510">
        <v>225</v>
      </c>
      <c r="I15510">
        <v>344</v>
      </c>
      <c r="J15510">
        <v>1</v>
      </c>
      <c r="K15510">
        <v>141</v>
      </c>
      <c r="L15510">
        <v>292</v>
      </c>
      <c r="M15510">
        <v>1</v>
      </c>
      <c r="N15510">
        <v>4.2568599999999997E-9</v>
      </c>
      <c r="O15510">
        <v>145</v>
      </c>
    </row>
    <row r="15511" spans="1:15" x14ac:dyDescent="0.25">
      <c r="A15511" t="s">
        <v>15524</v>
      </c>
      <c r="B15511">
        <v>172</v>
      </c>
      <c r="C15511" s="1" t="str">
        <f>HYPERLINK("http://www.rosaceae.org/gb/gbrowse/malus_x_domestica/?name=MDP0000148752","MDP0000148752")</f>
        <v>MDP0000148752</v>
      </c>
      <c r="D15511">
        <v>72.83</v>
      </c>
      <c r="E15511">
        <v>173</v>
      </c>
      <c r="F15511">
        <v>47</v>
      </c>
      <c r="G15511">
        <v>2</v>
      </c>
      <c r="H15511">
        <v>1</v>
      </c>
      <c r="I15511">
        <v>172</v>
      </c>
      <c r="J15511">
        <v>1</v>
      </c>
      <c r="K15511">
        <v>1</v>
      </c>
      <c r="L15511">
        <v>172</v>
      </c>
      <c r="M15511">
        <v>1</v>
      </c>
      <c r="N15511">
        <v>2.4011099999999999E-72</v>
      </c>
      <c r="O15511">
        <v>684</v>
      </c>
    </row>
    <row r="15512" spans="1:15" x14ac:dyDescent="0.25">
      <c r="A15512" t="s">
        <v>15525</v>
      </c>
      <c r="B15512">
        <v>220</v>
      </c>
      <c r="C15512" s="1" t="str">
        <f>HYPERLINK("http://www.rosaceae.org/gb/gbrowse/malus_x_domestica/?name=MDP0000317700","MDP0000317700")</f>
        <v>MDP0000317700</v>
      </c>
      <c r="D15512">
        <v>58.33</v>
      </c>
      <c r="E15512">
        <v>48</v>
      </c>
      <c r="F15512">
        <v>20</v>
      </c>
      <c r="G15512">
        <v>0</v>
      </c>
      <c r="H15512">
        <v>97</v>
      </c>
      <c r="I15512">
        <v>144</v>
      </c>
      <c r="J15512">
        <v>1</v>
      </c>
      <c r="K15512">
        <v>1</v>
      </c>
      <c r="L15512">
        <v>48</v>
      </c>
      <c r="M15512">
        <v>1</v>
      </c>
      <c r="N15512">
        <v>8.5029899999999997E-11</v>
      </c>
      <c r="O15512">
        <v>155</v>
      </c>
    </row>
    <row r="15513" spans="1:15" x14ac:dyDescent="0.25">
      <c r="A15513" t="s">
        <v>15526</v>
      </c>
      <c r="B15513">
        <v>732</v>
      </c>
      <c r="C15513" s="1" t="str">
        <f>HYPERLINK("http://www.rosaceae.org/gb/gbrowse/malus_x_domestica/?name=MDP0000239826","MDP0000239826")</f>
        <v>MDP0000239826</v>
      </c>
      <c r="D15513">
        <v>37.99</v>
      </c>
      <c r="E15513">
        <v>279</v>
      </c>
      <c r="F15513">
        <v>173</v>
      </c>
      <c r="G15513">
        <v>6</v>
      </c>
      <c r="H15513">
        <v>385</v>
      </c>
      <c r="I15513">
        <v>658</v>
      </c>
      <c r="J15513">
        <v>1</v>
      </c>
      <c r="K15513">
        <v>187</v>
      </c>
      <c r="L15513">
        <v>464</v>
      </c>
      <c r="M15513">
        <v>1</v>
      </c>
      <c r="N15513">
        <v>1.23748E-58</v>
      </c>
      <c r="O15513">
        <v>574</v>
      </c>
    </row>
    <row r="15514" spans="1:15" x14ac:dyDescent="0.25">
      <c r="A15514" t="s">
        <v>15527</v>
      </c>
      <c r="B15514">
        <v>190</v>
      </c>
      <c r="C15514" s="1" t="str">
        <f>HYPERLINK("http://www.rosaceae.org/gb/gbrowse/malus_x_domestica/?name=MDP0000238640","MDP0000238640")</f>
        <v>MDP0000238640</v>
      </c>
      <c r="D15514">
        <v>75.75</v>
      </c>
      <c r="E15514">
        <v>33</v>
      </c>
      <c r="F15514">
        <v>8</v>
      </c>
      <c r="G15514">
        <v>0</v>
      </c>
      <c r="H15514">
        <v>1</v>
      </c>
      <c r="I15514">
        <v>33</v>
      </c>
      <c r="J15514">
        <v>1</v>
      </c>
      <c r="K15514">
        <v>114</v>
      </c>
      <c r="L15514">
        <v>146</v>
      </c>
      <c r="M15514">
        <v>1</v>
      </c>
      <c r="N15514">
        <v>5.0941799999999999E-11</v>
      </c>
      <c r="O15514">
        <v>156</v>
      </c>
    </row>
    <row r="15515" spans="1:15" x14ac:dyDescent="0.25">
      <c r="A15515" t="s">
        <v>15528</v>
      </c>
      <c r="B15515">
        <v>332</v>
      </c>
      <c r="C15515" s="1" t="str">
        <f>HYPERLINK("http://www.rosaceae.org/gb/gbrowse/malus_x_domestica/?name=MDP0000728753","MDP0000728753")</f>
        <v>MDP0000728753</v>
      </c>
      <c r="D15515">
        <v>73.790000000000006</v>
      </c>
      <c r="E15515">
        <v>332</v>
      </c>
      <c r="F15515">
        <v>87</v>
      </c>
      <c r="G15515">
        <v>3</v>
      </c>
      <c r="H15515">
        <v>1</v>
      </c>
      <c r="I15515">
        <v>332</v>
      </c>
      <c r="J15515">
        <v>1</v>
      </c>
      <c r="K15515">
        <v>1</v>
      </c>
      <c r="L15515">
        <v>329</v>
      </c>
      <c r="M15515">
        <v>1</v>
      </c>
      <c r="N15515">
        <v>5.2497100000000001E-141</v>
      </c>
      <c r="O15515">
        <v>1281</v>
      </c>
    </row>
    <row r="15516" spans="1:15" x14ac:dyDescent="0.25">
      <c r="A15516" t="s">
        <v>15529</v>
      </c>
      <c r="B15516">
        <v>304</v>
      </c>
      <c r="C15516" s="1" t="str">
        <f>HYPERLINK("http://www.rosaceae.org/gb/gbrowse/malus_x_domestica/?name=MDP0000136096","MDP0000136096")</f>
        <v>MDP0000136096</v>
      </c>
      <c r="D15516">
        <v>64.8</v>
      </c>
      <c r="E15516">
        <v>304</v>
      </c>
      <c r="F15516">
        <v>107</v>
      </c>
      <c r="G15516">
        <v>12</v>
      </c>
      <c r="H15516">
        <v>1</v>
      </c>
      <c r="I15516">
        <v>292</v>
      </c>
      <c r="J15516">
        <v>1</v>
      </c>
      <c r="K15516">
        <v>1</v>
      </c>
      <c r="L15516">
        <v>304</v>
      </c>
      <c r="M15516">
        <v>1</v>
      </c>
      <c r="N15516">
        <v>3.6545599999999997E-105</v>
      </c>
      <c r="O15516">
        <v>971</v>
      </c>
    </row>
    <row r="15517" spans="1:15" x14ac:dyDescent="0.25">
      <c r="A15517" t="s">
        <v>15530</v>
      </c>
      <c r="B15517">
        <v>360</v>
      </c>
      <c r="C15517" s="1" t="str">
        <f>HYPERLINK("http://www.rosaceae.org/gb/gbrowse/malus_x_domestica/?name=MDP0000216602","MDP0000216602")</f>
        <v>MDP0000216602</v>
      </c>
      <c r="D15517">
        <v>82.72</v>
      </c>
      <c r="E15517">
        <v>191</v>
      </c>
      <c r="F15517">
        <v>33</v>
      </c>
      <c r="G15517">
        <v>0</v>
      </c>
      <c r="H15517">
        <v>150</v>
      </c>
      <c r="I15517">
        <v>340</v>
      </c>
      <c r="J15517">
        <v>1</v>
      </c>
      <c r="K15517">
        <v>381</v>
      </c>
      <c r="L15517">
        <v>571</v>
      </c>
      <c r="M15517">
        <v>1</v>
      </c>
      <c r="N15517">
        <v>2.40745E-95</v>
      </c>
      <c r="O15517">
        <v>887</v>
      </c>
    </row>
    <row r="15518" spans="1:15" x14ac:dyDescent="0.25">
      <c r="A15518" t="s">
        <v>15531</v>
      </c>
      <c r="B15518">
        <v>204</v>
      </c>
      <c r="C15518" s="1" t="str">
        <f>HYPERLINK("http://www.rosaceae.org/gb/gbrowse/malus_x_domestica/?name=MDP0000319123","MDP0000319123")</f>
        <v>MDP0000319123</v>
      </c>
      <c r="D15518">
        <v>95.78</v>
      </c>
      <c r="E15518">
        <v>166</v>
      </c>
      <c r="F15518">
        <v>7</v>
      </c>
      <c r="G15518">
        <v>0</v>
      </c>
      <c r="H15518">
        <v>39</v>
      </c>
      <c r="I15518">
        <v>204</v>
      </c>
      <c r="J15518">
        <v>1</v>
      </c>
      <c r="K15518">
        <v>440</v>
      </c>
      <c r="L15518">
        <v>605</v>
      </c>
      <c r="M15518">
        <v>1</v>
      </c>
      <c r="N15518">
        <v>3.40232E-91</v>
      </c>
      <c r="O15518">
        <v>848</v>
      </c>
    </row>
    <row r="15519" spans="1:15" x14ac:dyDescent="0.25">
      <c r="A15519" t="s">
        <v>15532</v>
      </c>
      <c r="B15519">
        <v>620</v>
      </c>
      <c r="C15519" s="1" t="str">
        <f>HYPERLINK("http://www.rosaceae.org/gb/gbrowse/malus_x_domestica/?name=MDP0000187703","MDP0000187703")</f>
        <v>MDP0000187703</v>
      </c>
      <c r="D15519">
        <v>66.989999999999995</v>
      </c>
      <c r="E15519">
        <v>615</v>
      </c>
      <c r="F15519">
        <v>203</v>
      </c>
      <c r="G15519">
        <v>38</v>
      </c>
      <c r="H15519">
        <v>29</v>
      </c>
      <c r="I15519">
        <v>620</v>
      </c>
      <c r="J15519">
        <v>1</v>
      </c>
      <c r="K15519">
        <v>49</v>
      </c>
      <c r="L15519">
        <v>648</v>
      </c>
      <c r="M15519">
        <v>1</v>
      </c>
      <c r="N15519">
        <v>0</v>
      </c>
      <c r="O15519">
        <v>2052</v>
      </c>
    </row>
    <row r="15520" spans="1:15" x14ac:dyDescent="0.25">
      <c r="A15520" t="s">
        <v>15533</v>
      </c>
      <c r="B15520">
        <v>112</v>
      </c>
      <c r="C15520" s="1" t="str">
        <f>HYPERLINK("http://www.rosaceae.org/gb/gbrowse/malus_x_domestica/?name=MDP0000217219","MDP0000217219")</f>
        <v>MDP0000217219</v>
      </c>
      <c r="D15520">
        <v>55.17</v>
      </c>
      <c r="E15520">
        <v>58</v>
      </c>
      <c r="F15520">
        <v>26</v>
      </c>
      <c r="G15520">
        <v>2</v>
      </c>
      <c r="H15520">
        <v>43</v>
      </c>
      <c r="I15520">
        <v>98</v>
      </c>
      <c r="J15520">
        <v>1</v>
      </c>
      <c r="K15520">
        <v>170</v>
      </c>
      <c r="L15520">
        <v>227</v>
      </c>
      <c r="M15520">
        <v>1</v>
      </c>
      <c r="N15520">
        <v>1.4328300000000001E-13</v>
      </c>
      <c r="O15520">
        <v>174</v>
      </c>
    </row>
    <row r="15521" spans="1:15" x14ac:dyDescent="0.25">
      <c r="A15521" t="s">
        <v>15534</v>
      </c>
      <c r="B15521">
        <v>1226</v>
      </c>
      <c r="C15521" s="1" t="str">
        <f>HYPERLINK("http://www.rosaceae.org/gb/gbrowse/malus_x_domestica/?name=MDP0000297449","MDP0000297449")</f>
        <v>MDP0000297449</v>
      </c>
      <c r="D15521">
        <v>74.72</v>
      </c>
      <c r="E15521">
        <v>1250</v>
      </c>
      <c r="F15521">
        <v>316</v>
      </c>
      <c r="G15521">
        <v>55</v>
      </c>
      <c r="H15521">
        <v>1</v>
      </c>
      <c r="I15521">
        <v>1218</v>
      </c>
      <c r="J15521">
        <v>1</v>
      </c>
      <c r="K15521">
        <v>1</v>
      </c>
      <c r="L15521">
        <v>1227</v>
      </c>
      <c r="M15521">
        <v>1</v>
      </c>
      <c r="N15521">
        <v>0</v>
      </c>
      <c r="O15521">
        <v>4828</v>
      </c>
    </row>
    <row r="15522" spans="1:15" x14ac:dyDescent="0.25">
      <c r="A15522" t="s">
        <v>15535</v>
      </c>
      <c r="B15522">
        <v>413</v>
      </c>
      <c r="C15522" s="1" t="str">
        <f>HYPERLINK("http://www.rosaceae.org/gb/gbrowse/malus_x_domestica/?name=MDP0000232141","MDP0000232141")</f>
        <v>MDP0000232141</v>
      </c>
      <c r="D15522">
        <v>56.62</v>
      </c>
      <c r="E15522">
        <v>445</v>
      </c>
      <c r="F15522">
        <v>193</v>
      </c>
      <c r="G15522">
        <v>56</v>
      </c>
      <c r="H15522">
        <v>1</v>
      </c>
      <c r="I15522">
        <v>413</v>
      </c>
      <c r="J15522">
        <v>1</v>
      </c>
      <c r="K15522">
        <v>1</v>
      </c>
      <c r="L15522">
        <v>421</v>
      </c>
      <c r="M15522">
        <v>1</v>
      </c>
      <c r="N15522">
        <v>3.7277699999999998E-135</v>
      </c>
      <c r="O15522">
        <v>1231</v>
      </c>
    </row>
    <row r="15523" spans="1:15" x14ac:dyDescent="0.25">
      <c r="A15523" t="s">
        <v>15536</v>
      </c>
      <c r="B15523">
        <v>588</v>
      </c>
      <c r="C15523" s="1" t="str">
        <f>HYPERLINK("http://www.rosaceae.org/gb/gbrowse/malus_x_domestica/?name=MDP0000216139","MDP0000216139")</f>
        <v>MDP0000216139</v>
      </c>
      <c r="D15523">
        <v>38.880000000000003</v>
      </c>
      <c r="E15523">
        <v>414</v>
      </c>
      <c r="F15523">
        <v>253</v>
      </c>
      <c r="G15523">
        <v>34</v>
      </c>
      <c r="H15523">
        <v>43</v>
      </c>
      <c r="I15523">
        <v>434</v>
      </c>
      <c r="J15523">
        <v>1</v>
      </c>
      <c r="K15523">
        <v>36</v>
      </c>
      <c r="L15523">
        <v>437</v>
      </c>
      <c r="M15523">
        <v>1</v>
      </c>
      <c r="N15523">
        <v>1.13386E-66</v>
      </c>
      <c r="O15523">
        <v>642</v>
      </c>
    </row>
    <row r="15524" spans="1:15" x14ac:dyDescent="0.25">
      <c r="A15524" t="s">
        <v>15537</v>
      </c>
      <c r="B15524">
        <v>702</v>
      </c>
      <c r="C15524" s="1" t="str">
        <f>HYPERLINK("http://www.rosaceae.org/gb/gbrowse/malus_x_domestica/?name=MDP0000322427","MDP0000322427")</f>
        <v>MDP0000322427</v>
      </c>
      <c r="D15524">
        <v>67.45</v>
      </c>
      <c r="E15524">
        <v>633</v>
      </c>
      <c r="F15524">
        <v>206</v>
      </c>
      <c r="G15524">
        <v>16</v>
      </c>
      <c r="H15524">
        <v>1</v>
      </c>
      <c r="I15524">
        <v>632</v>
      </c>
      <c r="J15524">
        <v>1</v>
      </c>
      <c r="K15524">
        <v>1</v>
      </c>
      <c r="L15524">
        <v>618</v>
      </c>
      <c r="M15524">
        <v>1</v>
      </c>
      <c r="N15524">
        <v>0</v>
      </c>
      <c r="O15524">
        <v>2065</v>
      </c>
    </row>
    <row r="15525" spans="1:15" x14ac:dyDescent="0.25">
      <c r="A15525" t="s">
        <v>15538</v>
      </c>
      <c r="B15525">
        <v>103</v>
      </c>
      <c r="C15525" s="1" t="str">
        <f>HYPERLINK("http://www.rosaceae.org/gb/gbrowse/malus_x_domestica/?name=MDP0000257655","MDP0000257655")</f>
        <v>MDP0000257655</v>
      </c>
      <c r="D15525">
        <v>74.150000000000006</v>
      </c>
      <c r="E15525">
        <v>89</v>
      </c>
      <c r="F15525">
        <v>23</v>
      </c>
      <c r="G15525">
        <v>1</v>
      </c>
      <c r="H15525">
        <v>2</v>
      </c>
      <c r="I15525">
        <v>89</v>
      </c>
      <c r="J15525">
        <v>1</v>
      </c>
      <c r="K15525">
        <v>11</v>
      </c>
      <c r="L15525">
        <v>99</v>
      </c>
      <c r="M15525">
        <v>1</v>
      </c>
      <c r="N15525">
        <v>6.6333400000000002E-35</v>
      </c>
      <c r="O15525">
        <v>358</v>
      </c>
    </row>
    <row r="15526" spans="1:15" x14ac:dyDescent="0.25">
      <c r="A15526" t="s">
        <v>15539</v>
      </c>
      <c r="B15526">
        <v>357</v>
      </c>
      <c r="C15526" s="1" t="str">
        <f>HYPERLINK("http://www.rosaceae.org/gb/gbrowse/malus_x_domestica/?name=MDP0000244954","MDP0000244954")</f>
        <v>MDP0000244954</v>
      </c>
      <c r="D15526">
        <v>70.47</v>
      </c>
      <c r="E15526">
        <v>359</v>
      </c>
      <c r="F15526">
        <v>106</v>
      </c>
      <c r="G15526">
        <v>5</v>
      </c>
      <c r="H15526">
        <v>1</v>
      </c>
      <c r="I15526">
        <v>356</v>
      </c>
      <c r="J15526">
        <v>1</v>
      </c>
      <c r="K15526">
        <v>460</v>
      </c>
      <c r="L15526">
        <v>816</v>
      </c>
      <c r="M15526">
        <v>1</v>
      </c>
      <c r="N15526">
        <v>7.4654199999999995E-151</v>
      </c>
      <c r="O15526">
        <v>1366</v>
      </c>
    </row>
    <row r="15527" spans="1:15" x14ac:dyDescent="0.25">
      <c r="A15527" t="s">
        <v>15540</v>
      </c>
      <c r="B15527">
        <v>780</v>
      </c>
      <c r="C15527" s="1" t="str">
        <f>HYPERLINK("http://www.rosaceae.org/gb/gbrowse/malus_x_domestica/?name=MDP0000262805","MDP0000262805")</f>
        <v>MDP0000262805</v>
      </c>
      <c r="D15527">
        <v>41.83</v>
      </c>
      <c r="E15527">
        <v>741</v>
      </c>
      <c r="F15527">
        <v>431</v>
      </c>
      <c r="G15527">
        <v>70</v>
      </c>
      <c r="H15527">
        <v>1</v>
      </c>
      <c r="I15527">
        <v>707</v>
      </c>
      <c r="J15527">
        <v>1</v>
      </c>
      <c r="K15527">
        <v>1</v>
      </c>
      <c r="L15527">
        <v>705</v>
      </c>
      <c r="M15527">
        <v>1</v>
      </c>
      <c r="N15527">
        <v>1.0533500000000001E-151</v>
      </c>
      <c r="O15527">
        <v>1377</v>
      </c>
    </row>
    <row r="15528" spans="1:15" x14ac:dyDescent="0.25">
      <c r="A15528" t="s">
        <v>15541</v>
      </c>
      <c r="B15528">
        <v>353</v>
      </c>
      <c r="C15528" s="1" t="str">
        <f>HYPERLINK("http://www.rosaceae.org/gb/gbrowse/malus_x_domestica/?name=MDP0000297059","MDP0000297059")</f>
        <v>MDP0000297059</v>
      </c>
      <c r="D15528">
        <v>50.93</v>
      </c>
      <c r="E15528">
        <v>373</v>
      </c>
      <c r="F15528">
        <v>183</v>
      </c>
      <c r="G15528">
        <v>43</v>
      </c>
      <c r="H15528">
        <v>12</v>
      </c>
      <c r="I15528">
        <v>351</v>
      </c>
      <c r="J15528">
        <v>1</v>
      </c>
      <c r="K15528">
        <v>28</v>
      </c>
      <c r="L15528">
        <v>390</v>
      </c>
      <c r="M15528">
        <v>1</v>
      </c>
      <c r="N15528">
        <v>1.9957799999999999E-97</v>
      </c>
      <c r="O15528">
        <v>905</v>
      </c>
    </row>
    <row r="15529" spans="1:15" x14ac:dyDescent="0.25">
      <c r="A15529" t="s">
        <v>15542</v>
      </c>
      <c r="B15529">
        <v>510</v>
      </c>
      <c r="C15529" s="1" t="str">
        <f>HYPERLINK("http://www.rosaceae.org/gb/gbrowse/malus_x_domestica/?name=MDP0000561738","MDP0000561738")</f>
        <v>MDP0000561738</v>
      </c>
      <c r="D15529">
        <v>72.12</v>
      </c>
      <c r="E15529">
        <v>513</v>
      </c>
      <c r="F15529">
        <v>143</v>
      </c>
      <c r="G15529">
        <v>30</v>
      </c>
      <c r="H15529">
        <v>19</v>
      </c>
      <c r="I15529">
        <v>507</v>
      </c>
      <c r="J15529">
        <v>1</v>
      </c>
      <c r="K15529">
        <v>142</v>
      </c>
      <c r="L15529">
        <v>648</v>
      </c>
      <c r="M15529">
        <v>1</v>
      </c>
      <c r="N15529">
        <v>0</v>
      </c>
      <c r="O15529">
        <v>1949</v>
      </c>
    </row>
    <row r="15530" spans="1:15" x14ac:dyDescent="0.25">
      <c r="A15530" t="s">
        <v>15543</v>
      </c>
      <c r="B15530">
        <v>385</v>
      </c>
      <c r="C15530" s="1" t="str">
        <f>HYPERLINK("http://www.rosaceae.org/gb/gbrowse/malus_x_domestica/?name=MDP0000254069","MDP0000254069")</f>
        <v>MDP0000254069</v>
      </c>
      <c r="D15530">
        <v>70.98</v>
      </c>
      <c r="E15530">
        <v>386</v>
      </c>
      <c r="F15530">
        <v>112</v>
      </c>
      <c r="G15530">
        <v>13</v>
      </c>
      <c r="H15530">
        <v>2</v>
      </c>
      <c r="I15530">
        <v>383</v>
      </c>
      <c r="J15530">
        <v>1</v>
      </c>
      <c r="K15530">
        <v>168</v>
      </c>
      <c r="L15530">
        <v>544</v>
      </c>
      <c r="M15530">
        <v>1</v>
      </c>
      <c r="N15530">
        <v>9.1897299999999992E-143</v>
      </c>
      <c r="O15530">
        <v>1296</v>
      </c>
    </row>
    <row r="15531" spans="1:15" x14ac:dyDescent="0.25">
      <c r="A15531" t="s">
        <v>15544</v>
      </c>
      <c r="B15531">
        <v>2188</v>
      </c>
      <c r="C15531" s="1" t="str">
        <f>HYPERLINK("http://www.rosaceae.org/gb/gbrowse/malus_x_domestica/?name=MDP0000145781","MDP0000145781")</f>
        <v>MDP0000145781</v>
      </c>
      <c r="D15531">
        <v>34.65</v>
      </c>
      <c r="E15531">
        <v>505</v>
      </c>
      <c r="F15531">
        <v>330</v>
      </c>
      <c r="G15531">
        <v>58</v>
      </c>
      <c r="H15531">
        <v>185</v>
      </c>
      <c r="I15531">
        <v>661</v>
      </c>
      <c r="J15531">
        <v>1</v>
      </c>
      <c r="K15531">
        <v>427</v>
      </c>
      <c r="L15531">
        <v>901</v>
      </c>
      <c r="M15531">
        <v>1</v>
      </c>
      <c r="N15531">
        <v>1.8475599999999999E-43</v>
      </c>
      <c r="O15531">
        <v>447</v>
      </c>
    </row>
    <row r="15532" spans="1:15" x14ac:dyDescent="0.25">
      <c r="A15532" t="s">
        <v>15545</v>
      </c>
      <c r="B15532">
        <v>1057</v>
      </c>
      <c r="C15532" s="1" t="str">
        <f>HYPERLINK("http://www.rosaceae.org/gb/gbrowse/malus_x_domestica/?name=MDP0000568197","MDP0000568197")</f>
        <v>MDP0000568197</v>
      </c>
      <c r="D15532">
        <v>36.06</v>
      </c>
      <c r="E15532">
        <v>330</v>
      </c>
      <c r="F15532">
        <v>211</v>
      </c>
      <c r="G15532">
        <v>31</v>
      </c>
      <c r="H15532">
        <v>3</v>
      </c>
      <c r="I15532">
        <v>309</v>
      </c>
      <c r="J15532">
        <v>1</v>
      </c>
      <c r="K15532">
        <v>2</v>
      </c>
      <c r="L15532">
        <v>323</v>
      </c>
      <c r="M15532">
        <v>1</v>
      </c>
      <c r="N15532">
        <v>1.22964E-42</v>
      </c>
      <c r="O15532">
        <v>437</v>
      </c>
    </row>
    <row r="15533" spans="1:15" x14ac:dyDescent="0.25">
      <c r="A15533" t="s">
        <v>15546</v>
      </c>
      <c r="B15533">
        <v>1105</v>
      </c>
      <c r="C15533" s="1" t="str">
        <f>HYPERLINK("http://www.rosaceae.org/gb/gbrowse/malus_x_domestica/?name=MDP0000158457","MDP0000158457")</f>
        <v>MDP0000158457</v>
      </c>
      <c r="D15533">
        <v>72.3</v>
      </c>
      <c r="E15533">
        <v>1047</v>
      </c>
      <c r="F15533">
        <v>290</v>
      </c>
      <c r="G15533">
        <v>80</v>
      </c>
      <c r="H15533">
        <v>134</v>
      </c>
      <c r="I15533">
        <v>1104</v>
      </c>
      <c r="J15533">
        <v>1</v>
      </c>
      <c r="K15533">
        <v>106</v>
      </c>
      <c r="L15533">
        <v>1148</v>
      </c>
      <c r="M15533">
        <v>1</v>
      </c>
      <c r="N15533">
        <v>0</v>
      </c>
      <c r="O15533">
        <v>3886</v>
      </c>
    </row>
    <row r="15534" spans="1:15" x14ac:dyDescent="0.25">
      <c r="A15534" t="s">
        <v>15547</v>
      </c>
      <c r="B15534">
        <v>297</v>
      </c>
      <c r="C15534" s="1" t="str">
        <f>HYPERLINK("http://www.rosaceae.org/gb/gbrowse/malus_x_domestica/?name=MDP0000139808","MDP0000139808")</f>
        <v>MDP0000139808</v>
      </c>
      <c r="D15534">
        <v>63.83</v>
      </c>
      <c r="E15534">
        <v>271</v>
      </c>
      <c r="F15534">
        <v>98</v>
      </c>
      <c r="G15534">
        <v>24</v>
      </c>
      <c r="H15534">
        <v>1</v>
      </c>
      <c r="I15534">
        <v>270</v>
      </c>
      <c r="J15534">
        <v>1</v>
      </c>
      <c r="K15534">
        <v>1</v>
      </c>
      <c r="L15534">
        <v>248</v>
      </c>
      <c r="M15534">
        <v>1</v>
      </c>
      <c r="N15534">
        <v>2.8280700000000002E-90</v>
      </c>
      <c r="O15534">
        <v>842</v>
      </c>
    </row>
    <row r="15535" spans="1:15" x14ac:dyDescent="0.25">
      <c r="A15535" t="s">
        <v>15548</v>
      </c>
      <c r="B15535">
        <v>375</v>
      </c>
      <c r="C15535" s="1" t="str">
        <f>HYPERLINK("http://www.rosaceae.org/gb/gbrowse/malus_x_domestica/?name=MDP0000312022","MDP0000312022")</f>
        <v>MDP0000312022</v>
      </c>
      <c r="D15535">
        <v>82.26</v>
      </c>
      <c r="E15535">
        <v>344</v>
      </c>
      <c r="F15535">
        <v>61</v>
      </c>
      <c r="G15535">
        <v>6</v>
      </c>
      <c r="H15535">
        <v>35</v>
      </c>
      <c r="I15535">
        <v>373</v>
      </c>
      <c r="J15535">
        <v>1</v>
      </c>
      <c r="K15535">
        <v>44</v>
      </c>
      <c r="L15535">
        <v>386</v>
      </c>
      <c r="M15535">
        <v>1</v>
      </c>
      <c r="N15535">
        <v>1.2382400000000001E-168</v>
      </c>
      <c r="O15535">
        <v>1519</v>
      </c>
    </row>
    <row r="15536" spans="1:15" x14ac:dyDescent="0.25">
      <c r="A15536" t="s">
        <v>15549</v>
      </c>
      <c r="B15536">
        <v>347</v>
      </c>
      <c r="C15536" s="1" t="str">
        <f>HYPERLINK("http://www.rosaceae.org/gb/gbrowse/malus_x_domestica/?name=MDP0000822744","MDP0000822744")</f>
        <v>MDP0000822744</v>
      </c>
      <c r="D15536">
        <v>35.94</v>
      </c>
      <c r="E15536">
        <v>281</v>
      </c>
      <c r="F15536">
        <v>180</v>
      </c>
      <c r="G15536">
        <v>14</v>
      </c>
      <c r="H15536">
        <v>56</v>
      </c>
      <c r="I15536">
        <v>329</v>
      </c>
      <c r="J15536">
        <v>1</v>
      </c>
      <c r="K15536">
        <v>40</v>
      </c>
      <c r="L15536">
        <v>313</v>
      </c>
      <c r="M15536">
        <v>1</v>
      </c>
      <c r="N15536">
        <v>1.9485E-38</v>
      </c>
      <c r="O15536">
        <v>396</v>
      </c>
    </row>
    <row r="15537" spans="1:15" x14ac:dyDescent="0.25">
      <c r="A15537" t="s">
        <v>15550</v>
      </c>
      <c r="B15537">
        <v>290</v>
      </c>
      <c r="C15537" s="1" t="str">
        <f>HYPERLINK("http://www.rosaceae.org/gb/gbrowse/malus_x_domestica/?name=MDP0000268221","MDP0000268221")</f>
        <v>MDP0000268221</v>
      </c>
      <c r="D15537">
        <v>97.46</v>
      </c>
      <c r="E15537">
        <v>197</v>
      </c>
      <c r="F15537">
        <v>5</v>
      </c>
      <c r="G15537">
        <v>0</v>
      </c>
      <c r="H15537">
        <v>94</v>
      </c>
      <c r="I15537">
        <v>290</v>
      </c>
      <c r="J15537">
        <v>1</v>
      </c>
      <c r="K15537">
        <v>145</v>
      </c>
      <c r="L15537">
        <v>341</v>
      </c>
      <c r="M15537">
        <v>1</v>
      </c>
      <c r="N15537">
        <v>3.0698400000000001E-112</v>
      </c>
      <c r="O15537">
        <v>1032</v>
      </c>
    </row>
    <row r="15538" spans="1:15" x14ac:dyDescent="0.25">
      <c r="A15538" t="s">
        <v>15551</v>
      </c>
      <c r="B15538">
        <v>200</v>
      </c>
      <c r="C15538" s="1" t="str">
        <f>HYPERLINK("http://www.rosaceae.org/gb/gbrowse/malus_x_domestica/?name=MDP0000264736","MDP0000264736")</f>
        <v>MDP0000264736</v>
      </c>
      <c r="D15538">
        <v>32.380000000000003</v>
      </c>
      <c r="E15538">
        <v>105</v>
      </c>
      <c r="F15538">
        <v>71</v>
      </c>
      <c r="G15538">
        <v>9</v>
      </c>
      <c r="H15538">
        <v>1</v>
      </c>
      <c r="I15538">
        <v>99</v>
      </c>
      <c r="J15538">
        <v>1</v>
      </c>
      <c r="K15538">
        <v>199</v>
      </c>
      <c r="L15538">
        <v>300</v>
      </c>
      <c r="M15538">
        <v>1</v>
      </c>
      <c r="N15538">
        <v>6.0936400000000006E-8</v>
      </c>
      <c r="O15538">
        <v>130</v>
      </c>
    </row>
    <row r="15539" spans="1:15" x14ac:dyDescent="0.25">
      <c r="A15539" t="s">
        <v>15552</v>
      </c>
      <c r="B15539">
        <v>479</v>
      </c>
      <c r="C15539" s="1" t="str">
        <f>HYPERLINK("http://www.rosaceae.org/gb/gbrowse/malus_x_domestica/?name=MDP0000584893","MDP0000584893")</f>
        <v>MDP0000584893</v>
      </c>
      <c r="D15539">
        <v>59.7</v>
      </c>
      <c r="E15539">
        <v>412</v>
      </c>
      <c r="F15539">
        <v>166</v>
      </c>
      <c r="G15539">
        <v>54</v>
      </c>
      <c r="H15539">
        <v>1</v>
      </c>
      <c r="I15539">
        <v>395</v>
      </c>
      <c r="J15539">
        <v>1</v>
      </c>
      <c r="K15539">
        <v>1</v>
      </c>
      <c r="L15539">
        <v>375</v>
      </c>
      <c r="M15539">
        <v>1</v>
      </c>
      <c r="N15539">
        <v>2.4942999999999998E-127</v>
      </c>
      <c r="O15539">
        <v>1164</v>
      </c>
    </row>
    <row r="15540" spans="1:15" x14ac:dyDescent="0.25">
      <c r="A15540" t="s">
        <v>15553</v>
      </c>
      <c r="B15540">
        <v>378</v>
      </c>
      <c r="C15540" s="1" t="str">
        <f>HYPERLINK("http://www.rosaceae.org/gb/gbrowse/malus_x_domestica/?name=MDP0000222170","MDP0000222170")</f>
        <v>MDP0000222170</v>
      </c>
      <c r="D15540">
        <v>73.099999999999994</v>
      </c>
      <c r="E15540">
        <v>383</v>
      </c>
      <c r="F15540">
        <v>103</v>
      </c>
      <c r="G15540">
        <v>10</v>
      </c>
      <c r="H15540">
        <v>1</v>
      </c>
      <c r="I15540">
        <v>378</v>
      </c>
      <c r="J15540">
        <v>1</v>
      </c>
      <c r="K15540">
        <v>1</v>
      </c>
      <c r="L15540">
        <v>378</v>
      </c>
      <c r="M15540">
        <v>1</v>
      </c>
      <c r="N15540">
        <v>3.8375400000000003E-161</v>
      </c>
      <c r="O15540">
        <v>1455</v>
      </c>
    </row>
    <row r="15541" spans="1:15" x14ac:dyDescent="0.25">
      <c r="A15541" t="s">
        <v>15554</v>
      </c>
      <c r="B15541">
        <v>524</v>
      </c>
      <c r="C15541" s="1" t="str">
        <f>HYPERLINK("http://www.rosaceae.org/gb/gbrowse/malus_x_domestica/?name=MDP0000257103","MDP0000257103")</f>
        <v>MDP0000257103</v>
      </c>
      <c r="D15541">
        <v>54.6</v>
      </c>
      <c r="E15541">
        <v>489</v>
      </c>
      <c r="F15541">
        <v>222</v>
      </c>
      <c r="G15541">
        <v>19</v>
      </c>
      <c r="H15541">
        <v>37</v>
      </c>
      <c r="I15541">
        <v>520</v>
      </c>
      <c r="J15541">
        <v>1</v>
      </c>
      <c r="K15541">
        <v>46</v>
      </c>
      <c r="L15541">
        <v>520</v>
      </c>
      <c r="M15541">
        <v>1</v>
      </c>
      <c r="N15541">
        <v>7.4953999999999995E-158</v>
      </c>
      <c r="O15541">
        <v>1428</v>
      </c>
    </row>
    <row r="15542" spans="1:15" x14ac:dyDescent="0.25">
      <c r="A15542" t="s">
        <v>15555</v>
      </c>
      <c r="B15542">
        <v>365</v>
      </c>
      <c r="C15542" s="1" t="str">
        <f>HYPERLINK("http://www.rosaceae.org/gb/gbrowse/malus_x_domestica/?name=MDP0000133570","MDP0000133570")</f>
        <v>MDP0000133570</v>
      </c>
      <c r="D15542">
        <v>81.260000000000005</v>
      </c>
      <c r="E15542">
        <v>411</v>
      </c>
      <c r="F15542">
        <v>77</v>
      </c>
      <c r="G15542">
        <v>46</v>
      </c>
      <c r="H15542">
        <v>1</v>
      </c>
      <c r="I15542">
        <v>365</v>
      </c>
      <c r="J15542">
        <v>1</v>
      </c>
      <c r="K15542">
        <v>1</v>
      </c>
      <c r="L15542">
        <v>411</v>
      </c>
      <c r="M15542">
        <v>1</v>
      </c>
      <c r="N15542">
        <v>0</v>
      </c>
      <c r="O15542">
        <v>1679</v>
      </c>
    </row>
    <row r="15543" spans="1:15" x14ac:dyDescent="0.25">
      <c r="A15543" t="s">
        <v>15556</v>
      </c>
      <c r="B15543">
        <v>410</v>
      </c>
      <c r="C15543" s="1" t="str">
        <f>HYPERLINK("http://www.rosaceae.org/gb/gbrowse/malus_x_domestica/?name=MDP0000635733","MDP0000635733")</f>
        <v>MDP0000635733</v>
      </c>
      <c r="D15543">
        <v>87.59</v>
      </c>
      <c r="E15543">
        <v>411</v>
      </c>
      <c r="F15543">
        <v>51</v>
      </c>
      <c r="G15543">
        <v>2</v>
      </c>
      <c r="H15543">
        <v>1</v>
      </c>
      <c r="I15543">
        <v>410</v>
      </c>
      <c r="J15543">
        <v>1</v>
      </c>
      <c r="K15543">
        <v>44</v>
      </c>
      <c r="L15543">
        <v>453</v>
      </c>
      <c r="M15543">
        <v>1</v>
      </c>
      <c r="N15543">
        <v>0</v>
      </c>
      <c r="O15543">
        <v>1931</v>
      </c>
    </row>
    <row r="15544" spans="1:15" x14ac:dyDescent="0.25">
      <c r="A15544" t="s">
        <v>15557</v>
      </c>
      <c r="B15544">
        <v>554</v>
      </c>
      <c r="C15544" s="1" t="str">
        <f>HYPERLINK("http://www.rosaceae.org/gb/gbrowse/malus_x_domestica/?name=MDP0000186402","MDP0000186402")</f>
        <v>MDP0000186402</v>
      </c>
      <c r="D15544">
        <v>31.93</v>
      </c>
      <c r="E15544">
        <v>119</v>
      </c>
      <c r="F15544">
        <v>81</v>
      </c>
      <c r="G15544">
        <v>6</v>
      </c>
      <c r="H15544">
        <v>293</v>
      </c>
      <c r="I15544">
        <v>409</v>
      </c>
      <c r="J15544">
        <v>1</v>
      </c>
      <c r="K15544">
        <v>411</v>
      </c>
      <c r="L15544">
        <v>525</v>
      </c>
      <c r="M15544">
        <v>1</v>
      </c>
      <c r="N15544">
        <v>3.8034300000000001E-12</v>
      </c>
      <c r="O15544">
        <v>172</v>
      </c>
    </row>
    <row r="15545" spans="1:15" x14ac:dyDescent="0.25">
      <c r="A15545" t="s">
        <v>15558</v>
      </c>
      <c r="B15545">
        <v>293</v>
      </c>
      <c r="C15545" s="1" t="str">
        <f>HYPERLINK("http://www.rosaceae.org/gb/gbrowse/malus_x_domestica/?name=MDP0000219792","MDP0000219792")</f>
        <v>MDP0000219792</v>
      </c>
      <c r="D15545">
        <v>51.61</v>
      </c>
      <c r="E15545">
        <v>124</v>
      </c>
      <c r="F15545">
        <v>60</v>
      </c>
      <c r="G15545">
        <v>10</v>
      </c>
      <c r="H15545">
        <v>1</v>
      </c>
      <c r="I15545">
        <v>114</v>
      </c>
      <c r="J15545">
        <v>1</v>
      </c>
      <c r="K15545">
        <v>194</v>
      </c>
      <c r="L15545">
        <v>317</v>
      </c>
      <c r="M15545">
        <v>1</v>
      </c>
      <c r="N15545">
        <v>1.3983300000000001E-30</v>
      </c>
      <c r="O15545">
        <v>328</v>
      </c>
    </row>
    <row r="15546" spans="1:15" x14ac:dyDescent="0.25">
      <c r="A15546" t="s">
        <v>15559</v>
      </c>
      <c r="B15546">
        <v>330</v>
      </c>
      <c r="C15546" s="1" t="str">
        <f>HYPERLINK("http://www.rosaceae.org/gb/gbrowse/malus_x_domestica/?name=MDP0000276970","MDP0000276970")</f>
        <v>MDP0000276970</v>
      </c>
      <c r="D15546">
        <v>55.44</v>
      </c>
      <c r="E15546">
        <v>386</v>
      </c>
      <c r="F15546">
        <v>172</v>
      </c>
      <c r="G15546">
        <v>72</v>
      </c>
      <c r="H15546">
        <v>1</v>
      </c>
      <c r="I15546">
        <v>327</v>
      </c>
      <c r="J15546">
        <v>1</v>
      </c>
      <c r="K15546">
        <v>15</v>
      </c>
      <c r="L15546">
        <v>387</v>
      </c>
      <c r="M15546">
        <v>1</v>
      </c>
      <c r="N15546">
        <v>2.30465E-101</v>
      </c>
      <c r="O15546">
        <v>939</v>
      </c>
    </row>
    <row r="15547" spans="1:15" x14ac:dyDescent="0.25">
      <c r="A15547" t="s">
        <v>15560</v>
      </c>
      <c r="B15547">
        <v>201</v>
      </c>
      <c r="C15547" s="1" t="str">
        <f>HYPERLINK("http://www.rosaceae.org/gb/gbrowse/malus_x_domestica/?name=MDP0000148815","MDP0000148815")</f>
        <v>MDP0000148815</v>
      </c>
      <c r="D15547">
        <v>75.11</v>
      </c>
      <c r="E15547">
        <v>213</v>
      </c>
      <c r="F15547">
        <v>53</v>
      </c>
      <c r="G15547">
        <v>12</v>
      </c>
      <c r="H15547">
        <v>1</v>
      </c>
      <c r="I15547">
        <v>201</v>
      </c>
      <c r="J15547">
        <v>1</v>
      </c>
      <c r="K15547">
        <v>1</v>
      </c>
      <c r="L15547">
        <v>213</v>
      </c>
      <c r="M15547">
        <v>1</v>
      </c>
      <c r="N15547">
        <v>1.2608499999999999E-94</v>
      </c>
      <c r="O15547">
        <v>878</v>
      </c>
    </row>
    <row r="15548" spans="1:15" x14ac:dyDescent="0.25">
      <c r="A15548" t="s">
        <v>15561</v>
      </c>
      <c r="B15548">
        <v>163</v>
      </c>
      <c r="C15548" s="1" t="str">
        <f>HYPERLINK("http://www.rosaceae.org/gb/gbrowse/malus_x_domestica/?name=MDP0000136726","MDP0000136726")</f>
        <v>MDP0000136726</v>
      </c>
      <c r="D15548">
        <v>44.57</v>
      </c>
      <c r="E15548">
        <v>166</v>
      </c>
      <c r="F15548">
        <v>92</v>
      </c>
      <c r="G15548">
        <v>43</v>
      </c>
      <c r="H15548">
        <v>26</v>
      </c>
      <c r="I15548">
        <v>163</v>
      </c>
      <c r="J15548">
        <v>1</v>
      </c>
      <c r="K15548">
        <v>21</v>
      </c>
      <c r="L15548">
        <v>171</v>
      </c>
      <c r="M15548">
        <v>1</v>
      </c>
      <c r="N15548">
        <v>2.0599199999999999E-28</v>
      </c>
      <c r="O15548">
        <v>305</v>
      </c>
    </row>
    <row r="15549" spans="1:15" x14ac:dyDescent="0.25">
      <c r="A15549" t="s">
        <v>15562</v>
      </c>
      <c r="B15549">
        <v>635</v>
      </c>
      <c r="C15549" s="1" t="str">
        <f>HYPERLINK("http://www.rosaceae.org/gb/gbrowse/malus_x_domestica/?name=MDP0000217516","MDP0000217516")</f>
        <v>MDP0000217516</v>
      </c>
      <c r="D15549">
        <v>64.66</v>
      </c>
      <c r="E15549">
        <v>450</v>
      </c>
      <c r="F15549">
        <v>159</v>
      </c>
      <c r="G15549">
        <v>33</v>
      </c>
      <c r="H15549">
        <v>216</v>
      </c>
      <c r="I15549">
        <v>635</v>
      </c>
      <c r="J15549">
        <v>1</v>
      </c>
      <c r="K15549">
        <v>1</v>
      </c>
      <c r="L15549">
        <v>447</v>
      </c>
      <c r="M15549">
        <v>1</v>
      </c>
      <c r="N15549">
        <v>6.9002700000000001E-155</v>
      </c>
      <c r="O15549">
        <v>1403</v>
      </c>
    </row>
    <row r="15550" spans="1:15" x14ac:dyDescent="0.25">
      <c r="A15550" t="s">
        <v>15563</v>
      </c>
      <c r="B15550">
        <v>980</v>
      </c>
      <c r="C15550" s="1" t="str">
        <f>HYPERLINK("http://www.rosaceae.org/gb/gbrowse/malus_x_domestica/?name=MDP0000304623","MDP0000304623")</f>
        <v>MDP0000304623</v>
      </c>
      <c r="D15550">
        <v>82.31</v>
      </c>
      <c r="E15550">
        <v>984</v>
      </c>
      <c r="F15550">
        <v>174</v>
      </c>
      <c r="G15550">
        <v>8</v>
      </c>
      <c r="H15550">
        <v>2</v>
      </c>
      <c r="I15550">
        <v>980</v>
      </c>
      <c r="J15550">
        <v>1</v>
      </c>
      <c r="K15550">
        <v>129</v>
      </c>
      <c r="L15550">
        <v>1109</v>
      </c>
      <c r="M15550">
        <v>1</v>
      </c>
      <c r="N15550">
        <v>0</v>
      </c>
      <c r="O15550">
        <v>4243</v>
      </c>
    </row>
    <row r="15551" spans="1:15" x14ac:dyDescent="0.25">
      <c r="A15551" t="s">
        <v>15564</v>
      </c>
      <c r="B15551">
        <v>146</v>
      </c>
      <c r="C15551" s="1" t="str">
        <f>HYPERLINK("http://www.rosaceae.org/gb/gbrowse/malus_x_domestica/?name=MDP0000714492","MDP0000714492")</f>
        <v>MDP0000714492</v>
      </c>
      <c r="D15551">
        <v>91.09</v>
      </c>
      <c r="E15551">
        <v>146</v>
      </c>
      <c r="F15551">
        <v>13</v>
      </c>
      <c r="G15551">
        <v>0</v>
      </c>
      <c r="H15551">
        <v>1</v>
      </c>
      <c r="I15551">
        <v>146</v>
      </c>
      <c r="J15551">
        <v>1</v>
      </c>
      <c r="K15551">
        <v>1</v>
      </c>
      <c r="L15551">
        <v>146</v>
      </c>
      <c r="M15551">
        <v>1</v>
      </c>
      <c r="N15551">
        <v>5.2697499999999999E-77</v>
      </c>
      <c r="O15551">
        <v>723</v>
      </c>
    </row>
    <row r="15552" spans="1:15" x14ac:dyDescent="0.25">
      <c r="A15552" t="s">
        <v>15565</v>
      </c>
      <c r="B15552">
        <v>650</v>
      </c>
      <c r="C15552" s="1" t="str">
        <f>HYPERLINK("http://www.rosaceae.org/gb/gbrowse/malus_x_domestica/?name=MDP0000270835","MDP0000270835")</f>
        <v>MDP0000270835</v>
      </c>
      <c r="D15552">
        <v>83.58</v>
      </c>
      <c r="E15552">
        <v>134</v>
      </c>
      <c r="F15552">
        <v>22</v>
      </c>
      <c r="G15552">
        <v>2</v>
      </c>
      <c r="H15552">
        <v>338</v>
      </c>
      <c r="I15552">
        <v>469</v>
      </c>
      <c r="J15552">
        <v>1</v>
      </c>
      <c r="K15552">
        <v>77</v>
      </c>
      <c r="L15552">
        <v>210</v>
      </c>
      <c r="M15552">
        <v>1</v>
      </c>
      <c r="N15552">
        <v>1.35155E-62</v>
      </c>
      <c r="O15552">
        <v>607</v>
      </c>
    </row>
    <row r="15553" spans="1:15" x14ac:dyDescent="0.25">
      <c r="A15553" t="s">
        <v>15566</v>
      </c>
      <c r="B15553">
        <v>230</v>
      </c>
      <c r="C15553" s="1" t="str">
        <f>HYPERLINK("http://www.rosaceae.org/gb/gbrowse/malus_x_domestica/?name=MDP0000164576","MDP0000164576")</f>
        <v>MDP0000164576</v>
      </c>
      <c r="D15553">
        <v>66.66</v>
      </c>
      <c r="E15553">
        <v>273</v>
      </c>
      <c r="F15553">
        <v>91</v>
      </c>
      <c r="G15553">
        <v>43</v>
      </c>
      <c r="H15553">
        <v>1</v>
      </c>
      <c r="I15553">
        <v>230</v>
      </c>
      <c r="J15553">
        <v>1</v>
      </c>
      <c r="K15553">
        <v>1</v>
      </c>
      <c r="L15553">
        <v>273</v>
      </c>
      <c r="M15553">
        <v>1</v>
      </c>
      <c r="N15553">
        <v>2.7613800000000001E-96</v>
      </c>
      <c r="O15553">
        <v>893</v>
      </c>
    </row>
    <row r="15554" spans="1:15" x14ac:dyDescent="0.25">
      <c r="A15554" t="s">
        <v>15567</v>
      </c>
      <c r="B15554">
        <v>409</v>
      </c>
      <c r="C15554" s="1" t="str">
        <f>HYPERLINK("http://www.rosaceae.org/gb/gbrowse/malus_x_domestica/?name=MDP0000690736","MDP0000690736")</f>
        <v>MDP0000690736</v>
      </c>
      <c r="D15554">
        <v>57.6</v>
      </c>
      <c r="E15554">
        <v>434</v>
      </c>
      <c r="F15554">
        <v>184</v>
      </c>
      <c r="G15554">
        <v>26</v>
      </c>
      <c r="H15554">
        <v>1</v>
      </c>
      <c r="I15554">
        <v>409</v>
      </c>
      <c r="J15554">
        <v>1</v>
      </c>
      <c r="K15554">
        <v>1</v>
      </c>
      <c r="L15554">
        <v>433</v>
      </c>
      <c r="M15554">
        <v>1</v>
      </c>
      <c r="N15554">
        <v>5.7834400000000006E-129</v>
      </c>
      <c r="O15554">
        <v>1178</v>
      </c>
    </row>
    <row r="15555" spans="1:15" x14ac:dyDescent="0.25">
      <c r="A15555" t="s">
        <v>15568</v>
      </c>
      <c r="B15555">
        <v>736</v>
      </c>
      <c r="C15555" s="1" t="str">
        <f>HYPERLINK("http://www.rosaceae.org/gb/gbrowse/malus_x_domestica/?name=MDP0000152987","MDP0000152987")</f>
        <v>MDP0000152987</v>
      </c>
      <c r="D15555">
        <v>69.010000000000005</v>
      </c>
      <c r="E15555">
        <v>710</v>
      </c>
      <c r="F15555">
        <v>220</v>
      </c>
      <c r="G15555">
        <v>54</v>
      </c>
      <c r="H15555">
        <v>1</v>
      </c>
      <c r="I15555">
        <v>671</v>
      </c>
      <c r="J15555">
        <v>1</v>
      </c>
      <c r="K15555">
        <v>52</v>
      </c>
      <c r="L15555">
        <v>746</v>
      </c>
      <c r="M15555">
        <v>1</v>
      </c>
      <c r="N15555">
        <v>0</v>
      </c>
      <c r="O15555">
        <v>2455</v>
      </c>
    </row>
    <row r="15556" spans="1:15" x14ac:dyDescent="0.25">
      <c r="A15556" t="s">
        <v>15569</v>
      </c>
      <c r="B15556">
        <v>799</v>
      </c>
      <c r="C15556" s="1" t="str">
        <f>HYPERLINK("http://www.rosaceae.org/gb/gbrowse/malus_x_domestica/?name=MDP0000159684","MDP0000159684")</f>
        <v>MDP0000159684</v>
      </c>
      <c r="D15556">
        <v>59.44</v>
      </c>
      <c r="E15556">
        <v>794</v>
      </c>
      <c r="F15556">
        <v>322</v>
      </c>
      <c r="G15556">
        <v>40</v>
      </c>
      <c r="H15556">
        <v>1</v>
      </c>
      <c r="I15556">
        <v>775</v>
      </c>
      <c r="J15556">
        <v>1</v>
      </c>
      <c r="K15556">
        <v>81</v>
      </c>
      <c r="L15556">
        <v>853</v>
      </c>
      <c r="M15556">
        <v>1</v>
      </c>
      <c r="N15556">
        <v>0</v>
      </c>
      <c r="O15556">
        <v>2200</v>
      </c>
    </row>
    <row r="15557" spans="1:15" x14ac:dyDescent="0.25">
      <c r="A15557" t="s">
        <v>15570</v>
      </c>
      <c r="B15557">
        <v>1561</v>
      </c>
      <c r="C15557" s="1" t="str">
        <f>HYPERLINK("http://www.rosaceae.org/gb/gbrowse/malus_x_domestica/?name=MDP0000160704","MDP0000160704")</f>
        <v>MDP0000160704</v>
      </c>
      <c r="D15557">
        <v>71.08</v>
      </c>
      <c r="E15557">
        <v>1110</v>
      </c>
      <c r="F15557">
        <v>321</v>
      </c>
      <c r="G15557">
        <v>42</v>
      </c>
      <c r="H15557">
        <v>382</v>
      </c>
      <c r="I15557">
        <v>1451</v>
      </c>
      <c r="J15557">
        <v>1</v>
      </c>
      <c r="K15557">
        <v>617</v>
      </c>
      <c r="L15557">
        <v>1724</v>
      </c>
      <c r="M15557">
        <v>1</v>
      </c>
      <c r="N15557">
        <v>0</v>
      </c>
      <c r="O15557">
        <v>4057</v>
      </c>
    </row>
    <row r="15558" spans="1:15" x14ac:dyDescent="0.25">
      <c r="A15558" t="s">
        <v>15571</v>
      </c>
      <c r="B15558">
        <v>216</v>
      </c>
      <c r="C15558" s="1" t="str">
        <f>HYPERLINK("http://www.rosaceae.org/gb/gbrowse/malus_x_domestica/?name=MDP0000250703","MDP0000250703")</f>
        <v>MDP0000250703</v>
      </c>
      <c r="D15558">
        <v>36.479999999999997</v>
      </c>
      <c r="E15558">
        <v>148</v>
      </c>
      <c r="F15558">
        <v>94</v>
      </c>
      <c r="G15558">
        <v>1</v>
      </c>
      <c r="H15558">
        <v>26</v>
      </c>
      <c r="I15558">
        <v>172</v>
      </c>
      <c r="J15558">
        <v>1</v>
      </c>
      <c r="K15558">
        <v>415</v>
      </c>
      <c r="L15558">
        <v>562</v>
      </c>
      <c r="M15558">
        <v>1</v>
      </c>
      <c r="N15558">
        <v>1.73767E-19</v>
      </c>
      <c r="O15558">
        <v>230</v>
      </c>
    </row>
    <row r="15559" spans="1:15" x14ac:dyDescent="0.25">
      <c r="A15559" t="s">
        <v>15572</v>
      </c>
      <c r="B15559">
        <v>312</v>
      </c>
      <c r="C15559" s="1" t="str">
        <f>HYPERLINK("http://www.rosaceae.org/gb/gbrowse/malus_x_domestica/?name=MDP0000222944","MDP0000222944")</f>
        <v>MDP0000222944</v>
      </c>
      <c r="D15559">
        <v>55.84</v>
      </c>
      <c r="E15559">
        <v>231</v>
      </c>
      <c r="F15559">
        <v>102</v>
      </c>
      <c r="G15559">
        <v>18</v>
      </c>
      <c r="H15559">
        <v>6</v>
      </c>
      <c r="I15559">
        <v>224</v>
      </c>
      <c r="J15559">
        <v>1</v>
      </c>
      <c r="K15559">
        <v>1</v>
      </c>
      <c r="L15559">
        <v>225</v>
      </c>
      <c r="M15559">
        <v>1</v>
      </c>
      <c r="N15559">
        <v>1.7128E-62</v>
      </c>
      <c r="O15559">
        <v>603</v>
      </c>
    </row>
    <row r="15560" spans="1:15" x14ac:dyDescent="0.25">
      <c r="A15560" t="s">
        <v>15573</v>
      </c>
      <c r="B15560">
        <v>111</v>
      </c>
      <c r="C15560" s="1" t="str">
        <f>HYPERLINK("http://www.rosaceae.org/gb/gbrowse/malus_x_domestica/?name=MDP0000488395","MDP0000488395")</f>
        <v>MDP0000488395</v>
      </c>
      <c r="D15560">
        <v>56.75</v>
      </c>
      <c r="E15560">
        <v>111</v>
      </c>
      <c r="F15560">
        <v>48</v>
      </c>
      <c r="G15560">
        <v>0</v>
      </c>
      <c r="H15560">
        <v>1</v>
      </c>
      <c r="I15560">
        <v>111</v>
      </c>
      <c r="J15560">
        <v>1</v>
      </c>
      <c r="K15560">
        <v>280</v>
      </c>
      <c r="L15560">
        <v>390</v>
      </c>
      <c r="M15560">
        <v>1</v>
      </c>
      <c r="N15560">
        <v>1.4439000000000001E-27</v>
      </c>
      <c r="O15560">
        <v>295</v>
      </c>
    </row>
    <row r="15561" spans="1:15" x14ac:dyDescent="0.25">
      <c r="A15561" t="s">
        <v>15574</v>
      </c>
      <c r="B15561">
        <v>427</v>
      </c>
      <c r="C15561" s="1" t="str">
        <f>HYPERLINK("http://www.rosaceae.org/gb/gbrowse/malus_x_domestica/?name=MDP0000138052","MDP0000138052")</f>
        <v>MDP0000138052</v>
      </c>
      <c r="D15561">
        <v>66.44</v>
      </c>
      <c r="E15561">
        <v>447</v>
      </c>
      <c r="F15561">
        <v>150</v>
      </c>
      <c r="G15561">
        <v>26</v>
      </c>
      <c r="H15561">
        <v>1</v>
      </c>
      <c r="I15561">
        <v>426</v>
      </c>
      <c r="J15561">
        <v>1</v>
      </c>
      <c r="K15561">
        <v>1</v>
      </c>
      <c r="L15561">
        <v>442</v>
      </c>
      <c r="M15561">
        <v>1</v>
      </c>
      <c r="N15561">
        <v>3.3013599999999998E-161</v>
      </c>
      <c r="O15561">
        <v>1456</v>
      </c>
    </row>
    <row r="15562" spans="1:15" x14ac:dyDescent="0.25">
      <c r="A15562" t="s">
        <v>15575</v>
      </c>
      <c r="B15562">
        <v>386</v>
      </c>
      <c r="C15562" s="1" t="str">
        <f>HYPERLINK("http://www.rosaceae.org/gb/gbrowse/malus_x_domestica/?name=MDP0000325672","MDP0000325672")</f>
        <v>MDP0000325672</v>
      </c>
      <c r="D15562">
        <v>72.010000000000005</v>
      </c>
      <c r="E15562">
        <v>318</v>
      </c>
      <c r="F15562">
        <v>89</v>
      </c>
      <c r="G15562">
        <v>13</v>
      </c>
      <c r="H15562">
        <v>1</v>
      </c>
      <c r="I15562">
        <v>306</v>
      </c>
      <c r="J15562">
        <v>1</v>
      </c>
      <c r="K15562">
        <v>1</v>
      </c>
      <c r="L15562">
        <v>317</v>
      </c>
      <c r="M15562">
        <v>1</v>
      </c>
      <c r="N15562">
        <v>1.02412E-126</v>
      </c>
      <c r="O15562">
        <v>1158</v>
      </c>
    </row>
    <row r="15563" spans="1:15" x14ac:dyDescent="0.25">
      <c r="A15563" t="s">
        <v>15576</v>
      </c>
      <c r="B15563">
        <v>639</v>
      </c>
      <c r="C15563" s="1" t="str">
        <f>HYPERLINK("http://www.rosaceae.org/gb/gbrowse/malus_x_domestica/?name=MDP0000776452","MDP0000776452")</f>
        <v>MDP0000776452</v>
      </c>
      <c r="D15563">
        <v>59.44</v>
      </c>
      <c r="E15563">
        <v>646</v>
      </c>
      <c r="F15563">
        <v>262</v>
      </c>
      <c r="G15563">
        <v>23</v>
      </c>
      <c r="H15563">
        <v>1</v>
      </c>
      <c r="I15563">
        <v>639</v>
      </c>
      <c r="J15563">
        <v>1</v>
      </c>
      <c r="K15563">
        <v>1</v>
      </c>
      <c r="L15563">
        <v>630</v>
      </c>
      <c r="M15563">
        <v>1</v>
      </c>
      <c r="N15563">
        <v>0</v>
      </c>
      <c r="O15563">
        <v>1804</v>
      </c>
    </row>
    <row r="15564" spans="1:15" x14ac:dyDescent="0.25">
      <c r="A15564" t="s">
        <v>15577</v>
      </c>
      <c r="B15564">
        <v>216</v>
      </c>
      <c r="C15564" s="1" t="str">
        <f>HYPERLINK("http://www.rosaceae.org/gb/gbrowse/malus_x_domestica/?name=MDP0000361899","MDP0000361899")</f>
        <v>MDP0000361899</v>
      </c>
      <c r="D15564">
        <v>38.46</v>
      </c>
      <c r="E15564">
        <v>208</v>
      </c>
      <c r="F15564">
        <v>128</v>
      </c>
      <c r="G15564">
        <v>41</v>
      </c>
      <c r="H15564">
        <v>37</v>
      </c>
      <c r="I15564">
        <v>216</v>
      </c>
      <c r="J15564">
        <v>1</v>
      </c>
      <c r="K15564">
        <v>12</v>
      </c>
      <c r="L15564">
        <v>206</v>
      </c>
      <c r="M15564">
        <v>1</v>
      </c>
      <c r="N15564">
        <v>4.0944500000000001E-27</v>
      </c>
      <c r="O15564">
        <v>296</v>
      </c>
    </row>
    <row r="15565" spans="1:15" x14ac:dyDescent="0.25">
      <c r="A15565" t="s">
        <v>15578</v>
      </c>
      <c r="B15565">
        <v>925</v>
      </c>
      <c r="C15565" s="1" t="str">
        <f>HYPERLINK("http://www.rosaceae.org/gb/gbrowse/malus_x_domestica/?name=MDP0000221374","MDP0000221374")</f>
        <v>MDP0000221374</v>
      </c>
      <c r="D15565">
        <v>67.900000000000006</v>
      </c>
      <c r="E15565">
        <v>916</v>
      </c>
      <c r="F15565">
        <v>294</v>
      </c>
      <c r="G15565">
        <v>66</v>
      </c>
      <c r="H15565">
        <v>35</v>
      </c>
      <c r="I15565">
        <v>902</v>
      </c>
      <c r="J15565">
        <v>1</v>
      </c>
      <c r="K15565">
        <v>12</v>
      </c>
      <c r="L15565">
        <v>909</v>
      </c>
      <c r="M15565">
        <v>1</v>
      </c>
      <c r="N15565">
        <v>0</v>
      </c>
      <c r="O15565">
        <v>3152</v>
      </c>
    </row>
    <row r="15566" spans="1:15" x14ac:dyDescent="0.25">
      <c r="A15566" t="s">
        <v>15579</v>
      </c>
      <c r="B15566">
        <v>967</v>
      </c>
      <c r="C15566" s="1" t="str">
        <f>HYPERLINK("http://www.rosaceae.org/gb/gbrowse/malus_x_domestica/?name=MDP0000313704","MDP0000313704")</f>
        <v>MDP0000313704</v>
      </c>
      <c r="D15566">
        <v>84.34</v>
      </c>
      <c r="E15566">
        <v>952</v>
      </c>
      <c r="F15566">
        <v>149</v>
      </c>
      <c r="G15566">
        <v>67</v>
      </c>
      <c r="H15566">
        <v>82</v>
      </c>
      <c r="I15566">
        <v>967</v>
      </c>
      <c r="J15566">
        <v>1</v>
      </c>
      <c r="K15566">
        <v>437</v>
      </c>
      <c r="L15566">
        <v>1387</v>
      </c>
      <c r="M15566">
        <v>1</v>
      </c>
      <c r="N15566">
        <v>0</v>
      </c>
      <c r="O15566">
        <v>4104</v>
      </c>
    </row>
    <row r="15567" spans="1:15" x14ac:dyDescent="0.25">
      <c r="A15567" t="s">
        <v>15580</v>
      </c>
      <c r="B15567">
        <v>769</v>
      </c>
      <c r="C15567" s="1" t="str">
        <f>HYPERLINK("http://www.rosaceae.org/gb/gbrowse/malus_x_domestica/?name=MDP0000034165","MDP0000034165")</f>
        <v>MDP0000034165</v>
      </c>
      <c r="D15567">
        <v>80.23</v>
      </c>
      <c r="E15567">
        <v>769</v>
      </c>
      <c r="F15567">
        <v>152</v>
      </c>
      <c r="G15567">
        <v>8</v>
      </c>
      <c r="H15567">
        <v>1</v>
      </c>
      <c r="I15567">
        <v>769</v>
      </c>
      <c r="J15567">
        <v>1</v>
      </c>
      <c r="K15567">
        <v>1</v>
      </c>
      <c r="L15567">
        <v>761</v>
      </c>
      <c r="M15567">
        <v>1</v>
      </c>
      <c r="N15567">
        <v>0</v>
      </c>
      <c r="O15567">
        <v>3360</v>
      </c>
    </row>
    <row r="15568" spans="1:15" x14ac:dyDescent="0.25">
      <c r="A15568" t="s">
        <v>15581</v>
      </c>
      <c r="B15568">
        <v>426</v>
      </c>
      <c r="C15568" s="1" t="str">
        <f>HYPERLINK("http://www.rosaceae.org/gb/gbrowse/malus_x_domestica/?name=MDP0000235326","MDP0000235326")</f>
        <v>MDP0000235326</v>
      </c>
      <c r="D15568">
        <v>32.67</v>
      </c>
      <c r="E15568">
        <v>202</v>
      </c>
      <c r="F15568">
        <v>136</v>
      </c>
      <c r="G15568">
        <v>29</v>
      </c>
      <c r="H15568">
        <v>72</v>
      </c>
      <c r="I15568">
        <v>267</v>
      </c>
      <c r="J15568">
        <v>1</v>
      </c>
      <c r="K15568">
        <v>6</v>
      </c>
      <c r="L15568">
        <v>184</v>
      </c>
      <c r="M15568">
        <v>1</v>
      </c>
      <c r="N15568">
        <v>1.03256E-15</v>
      </c>
      <c r="O15568">
        <v>201</v>
      </c>
    </row>
    <row r="15569" spans="1:15" x14ac:dyDescent="0.25">
      <c r="A15569" t="s">
        <v>15582</v>
      </c>
      <c r="B15569">
        <v>314</v>
      </c>
      <c r="C15569" s="1" t="str">
        <f>HYPERLINK("http://www.rosaceae.org/gb/gbrowse/malus_x_domestica/?name=MDP0000187714","MDP0000187714")</f>
        <v>MDP0000187714</v>
      </c>
      <c r="D15569">
        <v>85.25</v>
      </c>
      <c r="E15569">
        <v>217</v>
      </c>
      <c r="F15569">
        <v>32</v>
      </c>
      <c r="G15569">
        <v>4</v>
      </c>
      <c r="H15569">
        <v>101</v>
      </c>
      <c r="I15569">
        <v>313</v>
      </c>
      <c r="J15569">
        <v>1</v>
      </c>
      <c r="K15569">
        <v>333</v>
      </c>
      <c r="L15569">
        <v>549</v>
      </c>
      <c r="M15569">
        <v>1</v>
      </c>
      <c r="N15569">
        <v>3.9279200000000001E-110</v>
      </c>
      <c r="O15569">
        <v>1014</v>
      </c>
    </row>
    <row r="15570" spans="1:15" x14ac:dyDescent="0.25">
      <c r="A15570" t="s">
        <v>15583</v>
      </c>
      <c r="B15570">
        <v>197</v>
      </c>
      <c r="C15570" s="1" t="str">
        <f>HYPERLINK("http://www.rosaceae.org/gb/gbrowse/malus_x_domestica/?name=MDP0000285057","MDP0000285057")</f>
        <v>MDP0000285057</v>
      </c>
      <c r="D15570">
        <v>78.680000000000007</v>
      </c>
      <c r="E15570">
        <v>183</v>
      </c>
      <c r="F15570">
        <v>39</v>
      </c>
      <c r="G15570">
        <v>0</v>
      </c>
      <c r="H15570">
        <v>6</v>
      </c>
      <c r="I15570">
        <v>188</v>
      </c>
      <c r="J15570">
        <v>1</v>
      </c>
      <c r="K15570">
        <v>294</v>
      </c>
      <c r="L15570">
        <v>476</v>
      </c>
      <c r="M15570">
        <v>1</v>
      </c>
      <c r="N15570">
        <v>1.75352E-86</v>
      </c>
      <c r="O15570">
        <v>807</v>
      </c>
    </row>
    <row r="15571" spans="1:15" x14ac:dyDescent="0.25">
      <c r="A15571" t="s">
        <v>15584</v>
      </c>
      <c r="B15571">
        <v>518</v>
      </c>
      <c r="C15571" s="1" t="str">
        <f>HYPERLINK("http://www.rosaceae.org/gb/gbrowse/malus_x_domestica/?name=MDP0000251137","MDP0000251137")</f>
        <v>MDP0000251137</v>
      </c>
      <c r="D15571">
        <v>61.32</v>
      </c>
      <c r="E15571">
        <v>543</v>
      </c>
      <c r="F15571">
        <v>210</v>
      </c>
      <c r="G15571">
        <v>27</v>
      </c>
      <c r="H15571">
        <v>1</v>
      </c>
      <c r="I15571">
        <v>518</v>
      </c>
      <c r="J15571">
        <v>1</v>
      </c>
      <c r="K15571">
        <v>1</v>
      </c>
      <c r="L15571">
        <v>541</v>
      </c>
      <c r="M15571">
        <v>1</v>
      </c>
      <c r="N15571">
        <v>0</v>
      </c>
      <c r="O15571">
        <v>1708</v>
      </c>
    </row>
    <row r="15572" spans="1:15" x14ac:dyDescent="0.25">
      <c r="A15572" t="s">
        <v>15585</v>
      </c>
      <c r="B15572">
        <v>554</v>
      </c>
      <c r="C15572" s="1" t="str">
        <f>HYPERLINK("http://www.rosaceae.org/gb/gbrowse/malus_x_domestica/?name=MDP0000186417","MDP0000186417")</f>
        <v>MDP0000186417</v>
      </c>
      <c r="D15572">
        <v>44.42</v>
      </c>
      <c r="E15572">
        <v>619</v>
      </c>
      <c r="F15572">
        <v>344</v>
      </c>
      <c r="G15572">
        <v>108</v>
      </c>
      <c r="H15572">
        <v>1</v>
      </c>
      <c r="I15572">
        <v>550</v>
      </c>
      <c r="J15572">
        <v>1</v>
      </c>
      <c r="K15572">
        <v>12</v>
      </c>
      <c r="L15572">
        <v>591</v>
      </c>
      <c r="M15572">
        <v>1</v>
      </c>
      <c r="N15572">
        <v>1.9040600000000001E-125</v>
      </c>
      <c r="O15572">
        <v>1149</v>
      </c>
    </row>
    <row r="15573" spans="1:15" x14ac:dyDescent="0.25">
      <c r="A15573" t="s">
        <v>15586</v>
      </c>
      <c r="B15573">
        <v>672</v>
      </c>
      <c r="C15573" s="1" t="str">
        <f>HYPERLINK("http://www.rosaceae.org/gb/gbrowse/malus_x_domestica/?name=MDP0000201095","MDP0000201095")</f>
        <v>MDP0000201095</v>
      </c>
      <c r="D15573">
        <v>80.73</v>
      </c>
      <c r="E15573">
        <v>649</v>
      </c>
      <c r="F15573">
        <v>125</v>
      </c>
      <c r="G15573">
        <v>18</v>
      </c>
      <c r="H15573">
        <v>30</v>
      </c>
      <c r="I15573">
        <v>668</v>
      </c>
      <c r="J15573">
        <v>1</v>
      </c>
      <c r="K15573">
        <v>85</v>
      </c>
      <c r="L15573">
        <v>725</v>
      </c>
      <c r="M15573">
        <v>1</v>
      </c>
      <c r="N15573">
        <v>0</v>
      </c>
      <c r="O15573">
        <v>2758</v>
      </c>
    </row>
    <row r="15574" spans="1:15" x14ac:dyDescent="0.25">
      <c r="A15574" t="s">
        <v>15587</v>
      </c>
      <c r="B15574">
        <v>273</v>
      </c>
      <c r="C15574" s="1" t="str">
        <f>HYPERLINK("http://www.rosaceae.org/gb/gbrowse/malus_x_domestica/?name=MDP0000174676","MDP0000174676")</f>
        <v>MDP0000174676</v>
      </c>
      <c r="D15574">
        <v>36.799999999999997</v>
      </c>
      <c r="E15574">
        <v>250</v>
      </c>
      <c r="F15574">
        <v>158</v>
      </c>
      <c r="G15574">
        <v>22</v>
      </c>
      <c r="H15574">
        <v>8</v>
      </c>
      <c r="I15574">
        <v>250</v>
      </c>
      <c r="J15574">
        <v>1</v>
      </c>
      <c r="K15574">
        <v>753</v>
      </c>
      <c r="L15574">
        <v>987</v>
      </c>
      <c r="M15574">
        <v>1</v>
      </c>
      <c r="N15574">
        <v>1.1216300000000001E-37</v>
      </c>
      <c r="O15574">
        <v>388</v>
      </c>
    </row>
    <row r="15575" spans="1:15" x14ac:dyDescent="0.25">
      <c r="A15575" t="s">
        <v>15588</v>
      </c>
      <c r="B15575">
        <v>158</v>
      </c>
      <c r="C15575" s="1" t="str">
        <f>HYPERLINK("http://www.rosaceae.org/gb/gbrowse/malus_x_domestica/?name=MDP0000172158","MDP0000172158")</f>
        <v>MDP0000172158</v>
      </c>
      <c r="D15575">
        <v>57.31</v>
      </c>
      <c r="E15575">
        <v>164</v>
      </c>
      <c r="F15575">
        <v>70</v>
      </c>
      <c r="G15575">
        <v>6</v>
      </c>
      <c r="H15575">
        <v>1</v>
      </c>
      <c r="I15575">
        <v>158</v>
      </c>
      <c r="J15575">
        <v>1</v>
      </c>
      <c r="K15575">
        <v>1</v>
      </c>
      <c r="L15575">
        <v>164</v>
      </c>
      <c r="M15575">
        <v>1</v>
      </c>
      <c r="N15575">
        <v>1.08708E-41</v>
      </c>
      <c r="O15575">
        <v>419</v>
      </c>
    </row>
    <row r="15576" spans="1:15" x14ac:dyDescent="0.25">
      <c r="A15576" t="s">
        <v>15589</v>
      </c>
      <c r="B15576">
        <v>267</v>
      </c>
      <c r="C15576" s="1" t="str">
        <f>HYPERLINK("http://www.rosaceae.org/gb/gbrowse/malus_x_domestica/?name=MDP0000385086","MDP0000385086")</f>
        <v>MDP0000385086</v>
      </c>
      <c r="D15576">
        <v>57.04</v>
      </c>
      <c r="E15576">
        <v>142</v>
      </c>
      <c r="F15576">
        <v>61</v>
      </c>
      <c r="G15576">
        <v>12</v>
      </c>
      <c r="H15576">
        <v>30</v>
      </c>
      <c r="I15576">
        <v>163</v>
      </c>
      <c r="J15576">
        <v>1</v>
      </c>
      <c r="K15576">
        <v>217</v>
      </c>
      <c r="L15576">
        <v>354</v>
      </c>
      <c r="M15576">
        <v>1</v>
      </c>
      <c r="N15576">
        <v>1.36789E-35</v>
      </c>
      <c r="O15576">
        <v>370</v>
      </c>
    </row>
    <row r="15577" spans="1:15" x14ac:dyDescent="0.25">
      <c r="A15577" t="s">
        <v>15590</v>
      </c>
      <c r="B15577">
        <v>148</v>
      </c>
      <c r="C15577" s="1" t="str">
        <f>HYPERLINK("http://www.rosaceae.org/gb/gbrowse/malus_x_domestica/?name=MDP0000187900","MDP0000187900")</f>
        <v>MDP0000187900</v>
      </c>
      <c r="D15577">
        <v>70.73</v>
      </c>
      <c r="E15577">
        <v>41</v>
      </c>
      <c r="F15577">
        <v>12</v>
      </c>
      <c r="G15577">
        <v>4</v>
      </c>
      <c r="H15577">
        <v>94</v>
      </c>
      <c r="I15577">
        <v>133</v>
      </c>
      <c r="J15577">
        <v>1</v>
      </c>
      <c r="K15577">
        <v>19</v>
      </c>
      <c r="L15577">
        <v>56</v>
      </c>
      <c r="M15577">
        <v>1</v>
      </c>
      <c r="N15577">
        <v>2.5918999999999998E-7</v>
      </c>
      <c r="O15577">
        <v>122</v>
      </c>
    </row>
    <row r="15578" spans="1:15" x14ac:dyDescent="0.25">
      <c r="A15578" t="s">
        <v>15591</v>
      </c>
      <c r="B15578">
        <v>361</v>
      </c>
      <c r="C15578" s="1" t="str">
        <f>HYPERLINK("http://www.rosaceae.org/gb/gbrowse/malus_x_domestica/?name=MDP0000323076","MDP0000323076")</f>
        <v>MDP0000323076</v>
      </c>
      <c r="D15578">
        <v>70.989999999999995</v>
      </c>
      <c r="E15578">
        <v>262</v>
      </c>
      <c r="F15578">
        <v>76</v>
      </c>
      <c r="G15578">
        <v>6</v>
      </c>
      <c r="H15578">
        <v>82</v>
      </c>
      <c r="I15578">
        <v>343</v>
      </c>
      <c r="J15578">
        <v>1</v>
      </c>
      <c r="K15578">
        <v>72</v>
      </c>
      <c r="L15578">
        <v>327</v>
      </c>
      <c r="M15578">
        <v>1</v>
      </c>
      <c r="N15578">
        <v>1.5199100000000001E-112</v>
      </c>
      <c r="O15578">
        <v>1035</v>
      </c>
    </row>
    <row r="15579" spans="1:15" x14ac:dyDescent="0.25">
      <c r="A15579" t="s">
        <v>15592</v>
      </c>
      <c r="B15579">
        <v>102</v>
      </c>
      <c r="C15579" s="1" t="str">
        <f>HYPERLINK("http://www.rosaceae.org/gb/gbrowse/malus_x_domestica/?name=MDP0000804081","MDP0000804081")</f>
        <v>MDP0000804081</v>
      </c>
      <c r="D15579">
        <v>79.2</v>
      </c>
      <c r="E15579">
        <v>101</v>
      </c>
      <c r="F15579">
        <v>21</v>
      </c>
      <c r="G15579">
        <v>1</v>
      </c>
      <c r="H15579">
        <v>1</v>
      </c>
      <c r="I15579">
        <v>100</v>
      </c>
      <c r="J15579">
        <v>1</v>
      </c>
      <c r="K15579">
        <v>1</v>
      </c>
      <c r="L15579">
        <v>101</v>
      </c>
      <c r="M15579">
        <v>1</v>
      </c>
      <c r="N15579">
        <v>4.83722E-42</v>
      </c>
      <c r="O15579">
        <v>420</v>
      </c>
    </row>
    <row r="15580" spans="1:15" x14ac:dyDescent="0.25">
      <c r="A15580" t="s">
        <v>15593</v>
      </c>
      <c r="B15580">
        <v>79</v>
      </c>
      <c r="C15580" s="1" t="str">
        <f>HYPERLINK("http://www.rosaceae.org/gb/gbrowse/malus_x_domestica/?name=MDP0000272728","MDP0000272728")</f>
        <v>MDP0000272728</v>
      </c>
      <c r="D15580">
        <v>46.87</v>
      </c>
      <c r="E15580">
        <v>96</v>
      </c>
      <c r="F15580">
        <v>51</v>
      </c>
      <c r="G15580">
        <v>20</v>
      </c>
      <c r="H15580">
        <v>1</v>
      </c>
      <c r="I15580">
        <v>76</v>
      </c>
      <c r="J15580">
        <v>1</v>
      </c>
      <c r="K15580">
        <v>131</v>
      </c>
      <c r="L15580">
        <v>226</v>
      </c>
      <c r="M15580">
        <v>1</v>
      </c>
      <c r="N15580">
        <v>1.85273E-16</v>
      </c>
      <c r="O15580">
        <v>199</v>
      </c>
    </row>
    <row r="15581" spans="1:15" x14ac:dyDescent="0.25">
      <c r="A15581" t="s">
        <v>15594</v>
      </c>
      <c r="B15581">
        <v>56</v>
      </c>
      <c r="C15581" s="1" t="str">
        <f>HYPERLINK("http://www.rosaceae.org/gb/gbrowse/malus_x_domestica/?name=MDP0000710804","MDP0000710804")</f>
        <v>MDP0000710804</v>
      </c>
      <c r="D15581">
        <v>94.64</v>
      </c>
      <c r="E15581">
        <v>56</v>
      </c>
      <c r="F15581">
        <v>3</v>
      </c>
      <c r="G15581">
        <v>0</v>
      </c>
      <c r="H15581">
        <v>1</v>
      </c>
      <c r="I15581">
        <v>56</v>
      </c>
      <c r="J15581">
        <v>1</v>
      </c>
      <c r="K15581">
        <v>196</v>
      </c>
      <c r="L15581">
        <v>251</v>
      </c>
      <c r="M15581">
        <v>1</v>
      </c>
      <c r="N15581">
        <v>7.8173300000000002E-29</v>
      </c>
      <c r="O15581">
        <v>306</v>
      </c>
    </row>
    <row r="15582" spans="1:15" x14ac:dyDescent="0.25">
      <c r="A15582" t="s">
        <v>15595</v>
      </c>
      <c r="B15582">
        <v>421</v>
      </c>
      <c r="C15582" s="1" t="str">
        <f>HYPERLINK("http://www.rosaceae.org/gb/gbrowse/malus_x_domestica/?name=MDP0000250644","MDP0000250644")</f>
        <v>MDP0000250644</v>
      </c>
      <c r="D15582">
        <v>24.28</v>
      </c>
      <c r="E15582">
        <v>140</v>
      </c>
      <c r="F15582">
        <v>106</v>
      </c>
      <c r="G15582">
        <v>2</v>
      </c>
      <c r="H15582">
        <v>74</v>
      </c>
      <c r="I15582">
        <v>212</v>
      </c>
      <c r="J15582">
        <v>1</v>
      </c>
      <c r="K15582">
        <v>184</v>
      </c>
      <c r="L15582">
        <v>322</v>
      </c>
      <c r="M15582">
        <v>1</v>
      </c>
      <c r="N15582">
        <v>3.0896000000000001E-8</v>
      </c>
      <c r="O15582">
        <v>137</v>
      </c>
    </row>
    <row r="15583" spans="1:15" x14ac:dyDescent="0.25">
      <c r="A15583" t="s">
        <v>15596</v>
      </c>
      <c r="B15583">
        <v>582</v>
      </c>
      <c r="C15583" s="1" t="str">
        <f>HYPERLINK("http://www.rosaceae.org/gb/gbrowse/malus_x_domestica/?name=MDP0000143208","MDP0000143208")</f>
        <v>MDP0000143208</v>
      </c>
      <c r="D15583">
        <v>63.8</v>
      </c>
      <c r="E15583">
        <v>594</v>
      </c>
      <c r="F15583">
        <v>215</v>
      </c>
      <c r="G15583">
        <v>73</v>
      </c>
      <c r="H15583">
        <v>1</v>
      </c>
      <c r="I15583">
        <v>582</v>
      </c>
      <c r="J15583">
        <v>1</v>
      </c>
      <c r="K15583">
        <v>1</v>
      </c>
      <c r="L15583">
        <v>533</v>
      </c>
      <c r="M15583">
        <v>1</v>
      </c>
      <c r="N15583">
        <v>0</v>
      </c>
      <c r="O15583">
        <v>1674</v>
      </c>
    </row>
    <row r="15584" spans="1:15" x14ac:dyDescent="0.25">
      <c r="A15584" t="s">
        <v>15597</v>
      </c>
      <c r="B15584">
        <v>686</v>
      </c>
      <c r="C15584" s="1" t="str">
        <f>HYPERLINK("http://www.rosaceae.org/gb/gbrowse/malus_x_domestica/?name=MDP0000606407","MDP0000606407")</f>
        <v>MDP0000606407</v>
      </c>
      <c r="D15584">
        <v>72.44</v>
      </c>
      <c r="E15584">
        <v>715</v>
      </c>
      <c r="F15584">
        <v>197</v>
      </c>
      <c r="G15584">
        <v>61</v>
      </c>
      <c r="H15584">
        <v>32</v>
      </c>
      <c r="I15584">
        <v>685</v>
      </c>
      <c r="J15584">
        <v>1</v>
      </c>
      <c r="K15584">
        <v>27</v>
      </c>
      <c r="L15584">
        <v>741</v>
      </c>
      <c r="M15584">
        <v>1</v>
      </c>
      <c r="N15584">
        <v>0</v>
      </c>
      <c r="O15584">
        <v>2767</v>
      </c>
    </row>
    <row r="15585" spans="1:15" x14ac:dyDescent="0.25">
      <c r="A15585" t="s">
        <v>15598</v>
      </c>
      <c r="B15585">
        <v>270</v>
      </c>
      <c r="C15585" s="1" t="str">
        <f>HYPERLINK("http://www.rosaceae.org/gb/gbrowse/malus_x_domestica/?name=MDP0000680860","MDP0000680860")</f>
        <v>MDP0000680860</v>
      </c>
      <c r="D15585">
        <v>50</v>
      </c>
      <c r="E15585">
        <v>188</v>
      </c>
      <c r="F15585">
        <v>94</v>
      </c>
      <c r="G15585">
        <v>19</v>
      </c>
      <c r="H15585">
        <v>11</v>
      </c>
      <c r="I15585">
        <v>185</v>
      </c>
      <c r="J15585">
        <v>1</v>
      </c>
      <c r="K15585">
        <v>15</v>
      </c>
      <c r="L15585">
        <v>196</v>
      </c>
      <c r="M15585">
        <v>1</v>
      </c>
      <c r="N15585">
        <v>3.8811100000000001E-40</v>
      </c>
      <c r="O15585">
        <v>410</v>
      </c>
    </row>
    <row r="15586" spans="1:15" x14ac:dyDescent="0.25">
      <c r="A15586" t="s">
        <v>15599</v>
      </c>
      <c r="B15586">
        <v>341</v>
      </c>
      <c r="C15586" s="1" t="str">
        <f>HYPERLINK("http://www.rosaceae.org/gb/gbrowse/malus_x_domestica/?name=MDP0000312055","MDP0000312055")</f>
        <v>MDP0000312055</v>
      </c>
      <c r="D15586">
        <v>63.09</v>
      </c>
      <c r="E15586">
        <v>336</v>
      </c>
      <c r="F15586">
        <v>124</v>
      </c>
      <c r="G15586">
        <v>24</v>
      </c>
      <c r="H15586">
        <v>1</v>
      </c>
      <c r="I15586">
        <v>336</v>
      </c>
      <c r="J15586">
        <v>1</v>
      </c>
      <c r="K15586">
        <v>58</v>
      </c>
      <c r="L15586">
        <v>369</v>
      </c>
      <c r="M15586">
        <v>1</v>
      </c>
      <c r="N15586">
        <v>1.48186E-119</v>
      </c>
      <c r="O15586">
        <v>1096</v>
      </c>
    </row>
    <row r="15587" spans="1:15" x14ac:dyDescent="0.25">
      <c r="A15587" t="s">
        <v>15600</v>
      </c>
      <c r="B15587">
        <v>962</v>
      </c>
      <c r="C15587" s="1" t="str">
        <f>HYPERLINK("http://www.rosaceae.org/gb/gbrowse/malus_x_domestica/?name=MDP0000283975","MDP0000283975")</f>
        <v>MDP0000283975</v>
      </c>
      <c r="D15587">
        <v>55.94</v>
      </c>
      <c r="E15587">
        <v>849</v>
      </c>
      <c r="F15587">
        <v>374</v>
      </c>
      <c r="G15587">
        <v>178</v>
      </c>
      <c r="H15587">
        <v>3</v>
      </c>
      <c r="I15587">
        <v>837</v>
      </c>
      <c r="J15587">
        <v>1</v>
      </c>
      <c r="K15587">
        <v>451</v>
      </c>
      <c r="L15587">
        <v>1135</v>
      </c>
      <c r="M15587">
        <v>1</v>
      </c>
      <c r="N15587">
        <v>0</v>
      </c>
      <c r="O15587">
        <v>2218</v>
      </c>
    </row>
    <row r="15588" spans="1:15" x14ac:dyDescent="0.25">
      <c r="A15588" t="s">
        <v>15601</v>
      </c>
      <c r="B15588">
        <v>653</v>
      </c>
      <c r="C15588" s="1" t="str">
        <f>HYPERLINK("http://www.rosaceae.org/gb/gbrowse/malus_x_domestica/?name=MDP0000190538","MDP0000190538")</f>
        <v>MDP0000190538</v>
      </c>
      <c r="D15588">
        <v>39.299999999999997</v>
      </c>
      <c r="E15588">
        <v>318</v>
      </c>
      <c r="F15588">
        <v>193</v>
      </c>
      <c r="G15588">
        <v>62</v>
      </c>
      <c r="H15588">
        <v>125</v>
      </c>
      <c r="I15588">
        <v>383</v>
      </c>
      <c r="J15588">
        <v>1</v>
      </c>
      <c r="K15588">
        <v>28</v>
      </c>
      <c r="L15588">
        <v>342</v>
      </c>
      <c r="M15588">
        <v>1</v>
      </c>
      <c r="N15588">
        <v>3.5611900000000003E-49</v>
      </c>
      <c r="O15588">
        <v>492</v>
      </c>
    </row>
    <row r="15589" spans="1:15" x14ac:dyDescent="0.25">
      <c r="A15589" t="s">
        <v>15602</v>
      </c>
      <c r="B15589">
        <v>519</v>
      </c>
      <c r="C15589" s="1" t="str">
        <f>HYPERLINK("http://www.rosaceae.org/gb/gbrowse/malus_x_domestica/?name=MDP0000283213","MDP0000283213")</f>
        <v>MDP0000283213</v>
      </c>
      <c r="D15589">
        <v>34.380000000000003</v>
      </c>
      <c r="E15589">
        <v>506</v>
      </c>
      <c r="F15589">
        <v>332</v>
      </c>
      <c r="G15589">
        <v>0</v>
      </c>
      <c r="H15589">
        <v>2</v>
      </c>
      <c r="I15589">
        <v>507</v>
      </c>
      <c r="J15589">
        <v>1</v>
      </c>
      <c r="K15589">
        <v>559</v>
      </c>
      <c r="L15589">
        <v>1064</v>
      </c>
      <c r="M15589">
        <v>1</v>
      </c>
      <c r="N15589">
        <v>1.12697E-90</v>
      </c>
      <c r="O15589">
        <v>849</v>
      </c>
    </row>
    <row r="15590" spans="1:15" x14ac:dyDescent="0.25">
      <c r="A15590" t="s">
        <v>15603</v>
      </c>
      <c r="B15590">
        <v>779</v>
      </c>
      <c r="C15590" s="1" t="str">
        <f>HYPERLINK("http://www.rosaceae.org/gb/gbrowse/malus_x_domestica/?name=MDP0000937401","MDP0000937401")</f>
        <v>MDP0000937401</v>
      </c>
      <c r="D15590">
        <v>61.03</v>
      </c>
      <c r="E15590">
        <v>521</v>
      </c>
      <c r="F15590">
        <v>203</v>
      </c>
      <c r="G15590">
        <v>60</v>
      </c>
      <c r="H15590">
        <v>276</v>
      </c>
      <c r="I15590">
        <v>779</v>
      </c>
      <c r="J15590">
        <v>1</v>
      </c>
      <c r="K15590">
        <v>115</v>
      </c>
      <c r="L15590">
        <v>592</v>
      </c>
      <c r="M15590">
        <v>1</v>
      </c>
      <c r="N15590">
        <v>2.5631400000000002E-158</v>
      </c>
      <c r="O15590">
        <v>1434</v>
      </c>
    </row>
    <row r="15591" spans="1:15" x14ac:dyDescent="0.25">
      <c r="A15591" t="s">
        <v>15604</v>
      </c>
      <c r="B15591">
        <v>859</v>
      </c>
      <c r="C15591" s="1" t="str">
        <f>HYPERLINK("http://www.rosaceae.org/gb/gbrowse/malus_x_domestica/?name=MDP0000814899","MDP0000814899")</f>
        <v>MDP0000814899</v>
      </c>
      <c r="D15591">
        <v>54.26</v>
      </c>
      <c r="E15591">
        <v>820</v>
      </c>
      <c r="F15591">
        <v>375</v>
      </c>
      <c r="G15591">
        <v>42</v>
      </c>
      <c r="H15591">
        <v>50</v>
      </c>
      <c r="I15591">
        <v>859</v>
      </c>
      <c r="J15591">
        <v>1</v>
      </c>
      <c r="K15591">
        <v>21</v>
      </c>
      <c r="L15591">
        <v>808</v>
      </c>
      <c r="M15591">
        <v>1</v>
      </c>
      <c r="N15591">
        <v>0</v>
      </c>
      <c r="O15591">
        <v>2170</v>
      </c>
    </row>
    <row r="15592" spans="1:15" x14ac:dyDescent="0.25">
      <c r="A15592" t="s">
        <v>15605</v>
      </c>
      <c r="B15592">
        <v>502</v>
      </c>
      <c r="C15592" s="1" t="str">
        <f>HYPERLINK("http://www.rosaceae.org/gb/gbrowse/malus_x_domestica/?name=MDP0000251020","MDP0000251020")</f>
        <v>MDP0000251020</v>
      </c>
      <c r="D15592">
        <v>90.05</v>
      </c>
      <c r="E15592">
        <v>503</v>
      </c>
      <c r="F15592">
        <v>50</v>
      </c>
      <c r="G15592">
        <v>2</v>
      </c>
      <c r="H15592">
        <v>1</v>
      </c>
      <c r="I15592">
        <v>502</v>
      </c>
      <c r="J15592">
        <v>1</v>
      </c>
      <c r="K15592">
        <v>220</v>
      </c>
      <c r="L15592">
        <v>721</v>
      </c>
      <c r="M15592">
        <v>1</v>
      </c>
      <c r="N15592">
        <v>0</v>
      </c>
      <c r="O15592">
        <v>2443</v>
      </c>
    </row>
    <row r="15593" spans="1:15" x14ac:dyDescent="0.25">
      <c r="A15593" t="s">
        <v>15606</v>
      </c>
      <c r="B15593">
        <v>946</v>
      </c>
      <c r="C15593" s="1" t="str">
        <f>HYPERLINK("http://www.rosaceae.org/gb/gbrowse/malus_x_domestica/?name=MDP0000854432","MDP0000854432")</f>
        <v>MDP0000854432</v>
      </c>
      <c r="D15593">
        <v>42.3</v>
      </c>
      <c r="E15593">
        <v>565</v>
      </c>
      <c r="F15593">
        <v>326</v>
      </c>
      <c r="G15593">
        <v>94</v>
      </c>
      <c r="H15593">
        <v>467</v>
      </c>
      <c r="I15593">
        <v>945</v>
      </c>
      <c r="J15593">
        <v>1</v>
      </c>
      <c r="K15593">
        <v>355</v>
      </c>
      <c r="L15593">
        <v>911</v>
      </c>
      <c r="M15593">
        <v>1</v>
      </c>
      <c r="N15593">
        <v>1.66228E-113</v>
      </c>
      <c r="O15593">
        <v>1048</v>
      </c>
    </row>
    <row r="15594" spans="1:15" x14ac:dyDescent="0.25">
      <c r="A15594" t="s">
        <v>15607</v>
      </c>
      <c r="B15594">
        <v>203</v>
      </c>
      <c r="C15594" s="1" t="str">
        <f>HYPERLINK("http://www.rosaceae.org/gb/gbrowse/malus_x_domestica/?name=MDP0000270114","MDP0000270114")</f>
        <v>MDP0000270114</v>
      </c>
      <c r="D15594">
        <v>31.73</v>
      </c>
      <c r="E15594">
        <v>208</v>
      </c>
      <c r="F15594">
        <v>142</v>
      </c>
      <c r="G15594">
        <v>32</v>
      </c>
      <c r="H15594">
        <v>9</v>
      </c>
      <c r="I15594">
        <v>203</v>
      </c>
      <c r="J15594">
        <v>1</v>
      </c>
      <c r="K15594">
        <v>240</v>
      </c>
      <c r="L15594">
        <v>428</v>
      </c>
      <c r="M15594">
        <v>1</v>
      </c>
      <c r="N15594">
        <v>3.1865500000000002E-13</v>
      </c>
      <c r="O15594">
        <v>176</v>
      </c>
    </row>
    <row r="15595" spans="1:15" x14ac:dyDescent="0.25">
      <c r="A15595" t="s">
        <v>15608</v>
      </c>
      <c r="B15595">
        <v>382</v>
      </c>
      <c r="C15595" s="1" t="str">
        <f>HYPERLINK("http://www.rosaceae.org/gb/gbrowse/malus_x_domestica/?name=MDP0000279185","MDP0000279185")</f>
        <v>MDP0000279185</v>
      </c>
      <c r="D15595">
        <v>75.819999999999993</v>
      </c>
      <c r="E15595">
        <v>426</v>
      </c>
      <c r="F15595">
        <v>103</v>
      </c>
      <c r="G15595">
        <v>44</v>
      </c>
      <c r="H15595">
        <v>1</v>
      </c>
      <c r="I15595">
        <v>382</v>
      </c>
      <c r="J15595">
        <v>1</v>
      </c>
      <c r="K15595">
        <v>1</v>
      </c>
      <c r="L15595">
        <v>426</v>
      </c>
      <c r="M15595">
        <v>1</v>
      </c>
      <c r="N15595">
        <v>0</v>
      </c>
      <c r="O15595">
        <v>1697</v>
      </c>
    </row>
    <row r="15596" spans="1:15" x14ac:dyDescent="0.25">
      <c r="A15596" t="s">
        <v>15609</v>
      </c>
      <c r="B15596">
        <v>145</v>
      </c>
      <c r="C15596" s="1" t="str">
        <f>HYPERLINK("http://www.rosaceae.org/gb/gbrowse/malus_x_domestica/?name=MDP0000525602","MDP0000525602")</f>
        <v>MDP0000525602</v>
      </c>
      <c r="D15596">
        <v>62.01</v>
      </c>
      <c r="E15596">
        <v>129</v>
      </c>
      <c r="F15596">
        <v>49</v>
      </c>
      <c r="G15596">
        <v>6</v>
      </c>
      <c r="H15596">
        <v>23</v>
      </c>
      <c r="I15596">
        <v>145</v>
      </c>
      <c r="J15596">
        <v>1</v>
      </c>
      <c r="K15596">
        <v>900</v>
      </c>
      <c r="L15596">
        <v>1028</v>
      </c>
      <c r="M15596">
        <v>1</v>
      </c>
      <c r="N15596">
        <v>3.5062E-34</v>
      </c>
      <c r="O15596">
        <v>354</v>
      </c>
    </row>
    <row r="15597" spans="1:15" x14ac:dyDescent="0.25">
      <c r="A15597" t="s">
        <v>15610</v>
      </c>
      <c r="B15597">
        <v>1107</v>
      </c>
      <c r="C15597" s="1" t="str">
        <f>HYPERLINK("http://www.rosaceae.org/gb/gbrowse/malus_x_domestica/?name=MDP0000279037","MDP0000279037")</f>
        <v>MDP0000279037</v>
      </c>
      <c r="D15597">
        <v>65.209999999999994</v>
      </c>
      <c r="E15597">
        <v>1104</v>
      </c>
      <c r="F15597">
        <v>384</v>
      </c>
      <c r="G15597">
        <v>83</v>
      </c>
      <c r="H15597">
        <v>70</v>
      </c>
      <c r="I15597">
        <v>1098</v>
      </c>
      <c r="J15597">
        <v>1</v>
      </c>
      <c r="K15597">
        <v>12</v>
      </c>
      <c r="L15597">
        <v>1107</v>
      </c>
      <c r="M15597">
        <v>1</v>
      </c>
      <c r="N15597">
        <v>0</v>
      </c>
      <c r="O15597">
        <v>3414</v>
      </c>
    </row>
    <row r="15598" spans="1:15" x14ac:dyDescent="0.25">
      <c r="A15598" t="s">
        <v>15611</v>
      </c>
      <c r="B15598">
        <v>408</v>
      </c>
      <c r="C15598" s="1" t="str">
        <f>HYPERLINK("http://www.rosaceae.org/gb/gbrowse/malus_x_domestica/?name=MDP0000264417","MDP0000264417")</f>
        <v>MDP0000264417</v>
      </c>
      <c r="D15598">
        <v>41.7</v>
      </c>
      <c r="E15598">
        <v>422</v>
      </c>
      <c r="F15598">
        <v>246</v>
      </c>
      <c r="G15598">
        <v>36</v>
      </c>
      <c r="H15598">
        <v>3</v>
      </c>
      <c r="I15598">
        <v>390</v>
      </c>
      <c r="J15598">
        <v>1</v>
      </c>
      <c r="K15598">
        <v>9</v>
      </c>
      <c r="L15598">
        <v>428</v>
      </c>
      <c r="M15598">
        <v>1</v>
      </c>
      <c r="N15598">
        <v>2.3867399999999999E-91</v>
      </c>
      <c r="O15598">
        <v>853</v>
      </c>
    </row>
    <row r="15599" spans="1:15" x14ac:dyDescent="0.25">
      <c r="A15599" t="s">
        <v>15612</v>
      </c>
      <c r="B15599">
        <v>329</v>
      </c>
      <c r="C15599" s="1" t="str">
        <f>HYPERLINK("http://www.rosaceae.org/gb/gbrowse/malus_x_domestica/?name=MDP0000857608","MDP0000857608")</f>
        <v>MDP0000857608</v>
      </c>
      <c r="D15599">
        <v>75.22</v>
      </c>
      <c r="E15599">
        <v>327</v>
      </c>
      <c r="F15599">
        <v>81</v>
      </c>
      <c r="G15599">
        <v>7</v>
      </c>
      <c r="H15599">
        <v>9</v>
      </c>
      <c r="I15599">
        <v>328</v>
      </c>
      <c r="J15599">
        <v>1</v>
      </c>
      <c r="K15599">
        <v>2</v>
      </c>
      <c r="L15599">
        <v>328</v>
      </c>
      <c r="M15599">
        <v>1</v>
      </c>
      <c r="N15599">
        <v>5.86114E-147</v>
      </c>
      <c r="O15599">
        <v>1332</v>
      </c>
    </row>
    <row r="15600" spans="1:15" x14ac:dyDescent="0.25">
      <c r="A15600" t="s">
        <v>15613</v>
      </c>
      <c r="B15600">
        <v>493</v>
      </c>
      <c r="C15600" s="1" t="str">
        <f>HYPERLINK("http://www.rosaceae.org/gb/gbrowse/malus_x_domestica/?name=MDP0000238640","MDP0000238640")</f>
        <v>MDP0000238640</v>
      </c>
      <c r="D15600">
        <v>64.959999999999994</v>
      </c>
      <c r="E15600">
        <v>471</v>
      </c>
      <c r="F15600">
        <v>165</v>
      </c>
      <c r="G15600">
        <v>10</v>
      </c>
      <c r="H15600">
        <v>27</v>
      </c>
      <c r="I15600">
        <v>492</v>
      </c>
      <c r="J15600">
        <v>1</v>
      </c>
      <c r="K15600">
        <v>6</v>
      </c>
      <c r="L15600">
        <v>471</v>
      </c>
      <c r="M15600">
        <v>1</v>
      </c>
      <c r="N15600">
        <v>3.3085499999999997E-179</v>
      </c>
      <c r="O15600">
        <v>1612</v>
      </c>
    </row>
    <row r="15601" spans="1:15" x14ac:dyDescent="0.25">
      <c r="A15601" t="s">
        <v>15614</v>
      </c>
      <c r="B15601">
        <v>159</v>
      </c>
      <c r="C15601" s="1" t="str">
        <f>HYPERLINK("http://www.rosaceae.org/gb/gbrowse/malus_x_domestica/?name=MDP0000299595","MDP0000299595")</f>
        <v>MDP0000299595</v>
      </c>
      <c r="D15601">
        <v>64.23</v>
      </c>
      <c r="E15601">
        <v>151</v>
      </c>
      <c r="F15601">
        <v>54</v>
      </c>
      <c r="G15601">
        <v>17</v>
      </c>
      <c r="H15601">
        <v>22</v>
      </c>
      <c r="I15601">
        <v>159</v>
      </c>
      <c r="J15601">
        <v>1</v>
      </c>
      <c r="K15601">
        <v>18</v>
      </c>
      <c r="L15601">
        <v>164</v>
      </c>
      <c r="M15601">
        <v>1</v>
      </c>
      <c r="N15601">
        <v>6.9750699999999999E-44</v>
      </c>
      <c r="O15601">
        <v>438</v>
      </c>
    </row>
    <row r="15602" spans="1:15" x14ac:dyDescent="0.25">
      <c r="A15602" t="s">
        <v>15615</v>
      </c>
      <c r="B15602">
        <v>698</v>
      </c>
      <c r="C15602" s="1" t="str">
        <f>HYPERLINK("http://www.rosaceae.org/gb/gbrowse/malus_x_domestica/?name=MDP0000231163","MDP0000231163")</f>
        <v>MDP0000231163</v>
      </c>
      <c r="D15602">
        <v>51.9</v>
      </c>
      <c r="E15602">
        <v>289</v>
      </c>
      <c r="F15602">
        <v>139</v>
      </c>
      <c r="G15602">
        <v>18</v>
      </c>
      <c r="H15602">
        <v>411</v>
      </c>
      <c r="I15602">
        <v>685</v>
      </c>
      <c r="J15602">
        <v>1</v>
      </c>
      <c r="K15602">
        <v>185</v>
      </c>
      <c r="L15602">
        <v>469</v>
      </c>
      <c r="M15602">
        <v>1</v>
      </c>
      <c r="N15602">
        <v>2.4028700000000002E-69</v>
      </c>
      <c r="O15602">
        <v>666</v>
      </c>
    </row>
    <row r="15603" spans="1:15" x14ac:dyDescent="0.25">
      <c r="A15603" t="s">
        <v>15616</v>
      </c>
      <c r="B15603">
        <v>549</v>
      </c>
      <c r="C15603" s="1" t="str">
        <f>HYPERLINK("http://www.rosaceae.org/gb/gbrowse/malus_x_domestica/?name=MDP0000169470","MDP0000169470")</f>
        <v>MDP0000169470</v>
      </c>
      <c r="D15603">
        <v>60.86</v>
      </c>
      <c r="E15603">
        <v>621</v>
      </c>
      <c r="F15603">
        <v>243</v>
      </c>
      <c r="G15603">
        <v>110</v>
      </c>
      <c r="H15603">
        <v>1</v>
      </c>
      <c r="I15603">
        <v>549</v>
      </c>
      <c r="J15603">
        <v>1</v>
      </c>
      <c r="K15603">
        <v>1</v>
      </c>
      <c r="L15603">
        <v>583</v>
      </c>
      <c r="M15603">
        <v>1</v>
      </c>
      <c r="N15603">
        <v>0</v>
      </c>
      <c r="O15603">
        <v>1785</v>
      </c>
    </row>
    <row r="15604" spans="1:15" x14ac:dyDescent="0.25">
      <c r="A15604" t="s">
        <v>15617</v>
      </c>
      <c r="B15604">
        <v>365</v>
      </c>
      <c r="C15604" s="1" t="str">
        <f>HYPERLINK("http://www.rosaceae.org/gb/gbrowse/malus_x_domestica/?name=MDP0000812182","MDP0000812182")</f>
        <v>MDP0000812182</v>
      </c>
      <c r="D15604">
        <v>54.09</v>
      </c>
      <c r="E15604">
        <v>220</v>
      </c>
      <c r="F15604">
        <v>101</v>
      </c>
      <c r="G15604">
        <v>25</v>
      </c>
      <c r="H15604">
        <v>1</v>
      </c>
      <c r="I15604">
        <v>197</v>
      </c>
      <c r="J15604">
        <v>1</v>
      </c>
      <c r="K15604">
        <v>1</v>
      </c>
      <c r="L15604">
        <v>218</v>
      </c>
      <c r="M15604">
        <v>1</v>
      </c>
      <c r="N15604">
        <v>3.8967599999999997E-55</v>
      </c>
      <c r="O15604">
        <v>540</v>
      </c>
    </row>
    <row r="15605" spans="1:15" x14ac:dyDescent="0.25">
      <c r="A15605" t="s">
        <v>15618</v>
      </c>
      <c r="B15605">
        <v>470</v>
      </c>
      <c r="C15605" s="1" t="str">
        <f>HYPERLINK("http://www.rosaceae.org/gb/gbrowse/malus_x_domestica/?name=MDP0000216602","MDP0000216602")</f>
        <v>MDP0000216602</v>
      </c>
      <c r="D15605">
        <v>72.8</v>
      </c>
      <c r="E15605">
        <v>353</v>
      </c>
      <c r="F15605">
        <v>96</v>
      </c>
      <c r="G15605">
        <v>22</v>
      </c>
      <c r="H15605">
        <v>140</v>
      </c>
      <c r="I15605">
        <v>470</v>
      </c>
      <c r="J15605">
        <v>1</v>
      </c>
      <c r="K15605">
        <v>11</v>
      </c>
      <c r="L15605">
        <v>363</v>
      </c>
      <c r="M15605">
        <v>1</v>
      </c>
      <c r="N15605">
        <v>4.5939499999999996E-152</v>
      </c>
      <c r="O15605">
        <v>1378</v>
      </c>
    </row>
    <row r="15606" spans="1:15" x14ac:dyDescent="0.25">
      <c r="A15606" t="s">
        <v>15619</v>
      </c>
      <c r="B15606">
        <v>443</v>
      </c>
      <c r="C15606" s="1" t="str">
        <f>HYPERLINK("http://www.rosaceae.org/gb/gbrowse/malus_x_domestica/?name=MDP0000142664","MDP0000142664")</f>
        <v>MDP0000142664</v>
      </c>
      <c r="D15606">
        <v>79.239999999999995</v>
      </c>
      <c r="E15606">
        <v>448</v>
      </c>
      <c r="F15606">
        <v>93</v>
      </c>
      <c r="G15606">
        <v>11</v>
      </c>
      <c r="H15606">
        <v>6</v>
      </c>
      <c r="I15606">
        <v>442</v>
      </c>
      <c r="J15606">
        <v>1</v>
      </c>
      <c r="K15606">
        <v>102</v>
      </c>
      <c r="L15606">
        <v>549</v>
      </c>
      <c r="M15606">
        <v>1</v>
      </c>
      <c r="N15606">
        <v>0</v>
      </c>
      <c r="O15606">
        <v>1853</v>
      </c>
    </row>
    <row r="15607" spans="1:15" x14ac:dyDescent="0.25">
      <c r="A15607" t="s">
        <v>15620</v>
      </c>
      <c r="B15607">
        <v>554</v>
      </c>
      <c r="C15607" s="1" t="str">
        <f>HYPERLINK("http://www.rosaceae.org/gb/gbrowse/malus_x_domestica/?name=MDP0000607330","MDP0000607330")</f>
        <v>MDP0000607330</v>
      </c>
      <c r="D15607">
        <v>66.989999999999995</v>
      </c>
      <c r="E15607">
        <v>203</v>
      </c>
      <c r="F15607">
        <v>67</v>
      </c>
      <c r="G15607">
        <v>15</v>
      </c>
      <c r="H15607">
        <v>88</v>
      </c>
      <c r="I15607">
        <v>287</v>
      </c>
      <c r="J15607">
        <v>1</v>
      </c>
      <c r="K15607">
        <v>1</v>
      </c>
      <c r="L15607">
        <v>191</v>
      </c>
      <c r="M15607">
        <v>1</v>
      </c>
      <c r="N15607">
        <v>1.57087E-69</v>
      </c>
      <c r="O15607">
        <v>667</v>
      </c>
    </row>
    <row r="15608" spans="1:15" x14ac:dyDescent="0.25">
      <c r="A15608" t="s">
        <v>15621</v>
      </c>
      <c r="B15608">
        <v>351</v>
      </c>
      <c r="C15608" s="1" t="str">
        <f>HYPERLINK("http://www.rosaceae.org/gb/gbrowse/malus_x_domestica/?name=MDP0000774306","MDP0000774306")</f>
        <v>MDP0000774306</v>
      </c>
      <c r="D15608">
        <v>42.18</v>
      </c>
      <c r="E15608">
        <v>339</v>
      </c>
      <c r="F15608">
        <v>196</v>
      </c>
      <c r="G15608">
        <v>19</v>
      </c>
      <c r="H15608">
        <v>4</v>
      </c>
      <c r="I15608">
        <v>326</v>
      </c>
      <c r="J15608">
        <v>1</v>
      </c>
      <c r="K15608">
        <v>1</v>
      </c>
      <c r="L15608">
        <v>336</v>
      </c>
      <c r="M15608">
        <v>1</v>
      </c>
      <c r="N15608">
        <v>9.6220999999999994E-54</v>
      </c>
      <c r="O15608">
        <v>528</v>
      </c>
    </row>
    <row r="15609" spans="1:15" x14ac:dyDescent="0.25">
      <c r="A15609" t="s">
        <v>15622</v>
      </c>
      <c r="B15609">
        <v>492</v>
      </c>
      <c r="C15609" s="1" t="str">
        <f>HYPERLINK("http://www.rosaceae.org/gb/gbrowse/malus_x_domestica/?name=MDP0000291034","MDP0000291034")</f>
        <v>MDP0000291034</v>
      </c>
      <c r="D15609">
        <v>60.77</v>
      </c>
      <c r="E15609">
        <v>492</v>
      </c>
      <c r="F15609">
        <v>193</v>
      </c>
      <c r="G15609">
        <v>1</v>
      </c>
      <c r="H15609">
        <v>1</v>
      </c>
      <c r="I15609">
        <v>491</v>
      </c>
      <c r="J15609">
        <v>1</v>
      </c>
      <c r="K15609">
        <v>1</v>
      </c>
      <c r="L15609">
        <v>492</v>
      </c>
      <c r="M15609">
        <v>1</v>
      </c>
      <c r="N15609">
        <v>2.7081600000000001E-170</v>
      </c>
      <c r="O15609">
        <v>1535</v>
      </c>
    </row>
    <row r="15610" spans="1:15" x14ac:dyDescent="0.25">
      <c r="A15610" t="s">
        <v>15623</v>
      </c>
      <c r="B15610">
        <v>332</v>
      </c>
      <c r="C15610" s="1" t="str">
        <f>HYPERLINK("http://www.rosaceae.org/gb/gbrowse/malus_x_domestica/?name=MDP0000734535","MDP0000734535")</f>
        <v>MDP0000734535</v>
      </c>
      <c r="D15610">
        <v>55.97</v>
      </c>
      <c r="E15610">
        <v>343</v>
      </c>
      <c r="F15610">
        <v>151</v>
      </c>
      <c r="G15610">
        <v>46</v>
      </c>
      <c r="H15610">
        <v>23</v>
      </c>
      <c r="I15610">
        <v>332</v>
      </c>
      <c r="J15610">
        <v>1</v>
      </c>
      <c r="K15610">
        <v>31</v>
      </c>
      <c r="L15610">
        <v>360</v>
      </c>
      <c r="M15610">
        <v>1</v>
      </c>
      <c r="N15610">
        <v>8.0212300000000001E-89</v>
      </c>
      <c r="O15610">
        <v>830</v>
      </c>
    </row>
    <row r="15611" spans="1:15" x14ac:dyDescent="0.25">
      <c r="A15611" t="s">
        <v>15624</v>
      </c>
      <c r="B15611">
        <v>224</v>
      </c>
      <c r="C15611" s="1" t="str">
        <f>HYPERLINK("http://www.rosaceae.org/gb/gbrowse/malus_x_domestica/?name=MDP0000196399","MDP0000196399")</f>
        <v>MDP0000196399</v>
      </c>
      <c r="D15611">
        <v>78.12</v>
      </c>
      <c r="E15611">
        <v>224</v>
      </c>
      <c r="F15611">
        <v>49</v>
      </c>
      <c r="G15611">
        <v>11</v>
      </c>
      <c r="H15611">
        <v>12</v>
      </c>
      <c r="I15611">
        <v>224</v>
      </c>
      <c r="J15611">
        <v>1</v>
      </c>
      <c r="K15611">
        <v>78</v>
      </c>
      <c r="L15611">
        <v>301</v>
      </c>
      <c r="M15611">
        <v>1</v>
      </c>
      <c r="N15611">
        <v>1.00118E-94</v>
      </c>
      <c r="O15611">
        <v>879</v>
      </c>
    </row>
    <row r="15612" spans="1:15" x14ac:dyDescent="0.25">
      <c r="A15612" t="s">
        <v>15625</v>
      </c>
      <c r="B15612">
        <v>382</v>
      </c>
      <c r="C15612" s="1" t="str">
        <f>HYPERLINK("http://www.rosaceae.org/gb/gbrowse/malus_x_domestica/?name=MDP0000571928","MDP0000571928")</f>
        <v>MDP0000571928</v>
      </c>
      <c r="D15612">
        <v>66.94</v>
      </c>
      <c r="E15612">
        <v>239</v>
      </c>
      <c r="F15612">
        <v>79</v>
      </c>
      <c r="G15612">
        <v>41</v>
      </c>
      <c r="H15612">
        <v>44</v>
      </c>
      <c r="I15612">
        <v>282</v>
      </c>
      <c r="J15612">
        <v>1</v>
      </c>
      <c r="K15612">
        <v>98</v>
      </c>
      <c r="L15612">
        <v>295</v>
      </c>
      <c r="M15612">
        <v>1</v>
      </c>
      <c r="N15612">
        <v>8.16252E-83</v>
      </c>
      <c r="O15612">
        <v>779</v>
      </c>
    </row>
    <row r="15613" spans="1:15" x14ac:dyDescent="0.25">
      <c r="A15613" t="s">
        <v>15626</v>
      </c>
      <c r="B15613">
        <v>428</v>
      </c>
      <c r="C15613" s="1" t="str">
        <f>HYPERLINK("http://www.rosaceae.org/gb/gbrowse/malus_x_domestica/?name=MDP0000216139","MDP0000216139")</f>
        <v>MDP0000216139</v>
      </c>
      <c r="D15613">
        <v>41.62</v>
      </c>
      <c r="E15613">
        <v>418</v>
      </c>
      <c r="F15613">
        <v>244</v>
      </c>
      <c r="G15613">
        <v>48</v>
      </c>
      <c r="H15613">
        <v>21</v>
      </c>
      <c r="I15613">
        <v>396</v>
      </c>
      <c r="J15613">
        <v>1</v>
      </c>
      <c r="K15613">
        <v>39</v>
      </c>
      <c r="L15613">
        <v>450</v>
      </c>
      <c r="M15613">
        <v>1</v>
      </c>
      <c r="N15613">
        <v>3.0993000000000003E-73</v>
      </c>
      <c r="O15613">
        <v>697</v>
      </c>
    </row>
    <row r="15614" spans="1:15" x14ac:dyDescent="0.25">
      <c r="A15614" t="s">
        <v>15627</v>
      </c>
      <c r="B15614">
        <v>502</v>
      </c>
      <c r="C15614" s="1" t="str">
        <f>HYPERLINK("http://www.rosaceae.org/gb/gbrowse/malus_x_domestica/?name=MDP0000480293","MDP0000480293")</f>
        <v>MDP0000480293</v>
      </c>
      <c r="D15614">
        <v>55.4</v>
      </c>
      <c r="E15614">
        <v>500</v>
      </c>
      <c r="F15614">
        <v>223</v>
      </c>
      <c r="G15614">
        <v>75</v>
      </c>
      <c r="H15614">
        <v>4</v>
      </c>
      <c r="I15614">
        <v>473</v>
      </c>
      <c r="J15614">
        <v>1</v>
      </c>
      <c r="K15614">
        <v>2</v>
      </c>
      <c r="L15614">
        <v>456</v>
      </c>
      <c r="M15614">
        <v>1</v>
      </c>
      <c r="N15614">
        <v>2.2871299999999999E-122</v>
      </c>
      <c r="O15614">
        <v>1122</v>
      </c>
    </row>
    <row r="15615" spans="1:15" x14ac:dyDescent="0.25">
      <c r="A15615" t="s">
        <v>15628</v>
      </c>
      <c r="B15615">
        <v>314</v>
      </c>
      <c r="C15615" s="1" t="str">
        <f>HYPERLINK("http://www.rosaceae.org/gb/gbrowse/malus_x_domestica/?name=MDP0000865313","MDP0000865313")</f>
        <v>MDP0000865313</v>
      </c>
      <c r="D15615">
        <v>42.07</v>
      </c>
      <c r="E15615">
        <v>366</v>
      </c>
      <c r="F15615">
        <v>212</v>
      </c>
      <c r="G15615">
        <v>69</v>
      </c>
      <c r="H15615">
        <v>3</v>
      </c>
      <c r="I15615">
        <v>306</v>
      </c>
      <c r="J15615">
        <v>1</v>
      </c>
      <c r="K15615">
        <v>2</v>
      </c>
      <c r="L15615">
        <v>360</v>
      </c>
      <c r="M15615">
        <v>1</v>
      </c>
      <c r="N15615">
        <v>3.6305199999999999E-65</v>
      </c>
      <c r="O15615">
        <v>626</v>
      </c>
    </row>
    <row r="15616" spans="1:15" x14ac:dyDescent="0.25">
      <c r="A15616" t="s">
        <v>15629</v>
      </c>
      <c r="B15616">
        <v>210</v>
      </c>
      <c r="C15616" s="1" t="str">
        <f>HYPERLINK("http://www.rosaceae.org/gb/gbrowse/malus_x_domestica/?name=MDP0000400398","MDP0000400398")</f>
        <v>MDP0000400398</v>
      </c>
      <c r="D15616">
        <v>27.97</v>
      </c>
      <c r="E15616">
        <v>143</v>
      </c>
      <c r="F15616">
        <v>103</v>
      </c>
      <c r="G15616">
        <v>4</v>
      </c>
      <c r="H15616">
        <v>20</v>
      </c>
      <c r="I15616">
        <v>159</v>
      </c>
      <c r="J15616">
        <v>1</v>
      </c>
      <c r="K15616">
        <v>730</v>
      </c>
      <c r="L15616">
        <v>871</v>
      </c>
      <c r="M15616">
        <v>1</v>
      </c>
      <c r="N15616">
        <v>1.4334499999999999E-12</v>
      </c>
      <c r="O15616">
        <v>170</v>
      </c>
    </row>
    <row r="15617" spans="1:15" x14ac:dyDescent="0.25">
      <c r="A15617" t="s">
        <v>15630</v>
      </c>
      <c r="B15617">
        <v>332</v>
      </c>
      <c r="C15617" s="1" t="str">
        <f>HYPERLINK("http://www.rosaceae.org/gb/gbrowse/malus_x_domestica/?name=MDP0000272716","MDP0000272716")</f>
        <v>MDP0000272716</v>
      </c>
      <c r="D15617">
        <v>72.13</v>
      </c>
      <c r="E15617">
        <v>201</v>
      </c>
      <c r="F15617">
        <v>56</v>
      </c>
      <c r="G15617">
        <v>4</v>
      </c>
      <c r="H15617">
        <v>38</v>
      </c>
      <c r="I15617">
        <v>236</v>
      </c>
      <c r="J15617">
        <v>1</v>
      </c>
      <c r="K15617">
        <v>41</v>
      </c>
      <c r="L15617">
        <v>239</v>
      </c>
      <c r="M15617">
        <v>1</v>
      </c>
      <c r="N15617">
        <v>4.5286900000000001E-75</v>
      </c>
      <c r="O15617">
        <v>712</v>
      </c>
    </row>
    <row r="15618" spans="1:15" x14ac:dyDescent="0.25">
      <c r="A15618" t="s">
        <v>15631</v>
      </c>
      <c r="B15618">
        <v>901</v>
      </c>
      <c r="C15618" s="1" t="str">
        <f>HYPERLINK("http://www.rosaceae.org/gb/gbrowse/malus_x_domestica/?name=MDP0000314244","MDP0000314244")</f>
        <v>MDP0000314244</v>
      </c>
      <c r="D15618">
        <v>61.13</v>
      </c>
      <c r="E15618">
        <v>772</v>
      </c>
      <c r="F15618">
        <v>300</v>
      </c>
      <c r="G15618">
        <v>45</v>
      </c>
      <c r="H15618">
        <v>84</v>
      </c>
      <c r="I15618">
        <v>849</v>
      </c>
      <c r="J15618">
        <v>1</v>
      </c>
      <c r="K15618">
        <v>63</v>
      </c>
      <c r="L15618">
        <v>795</v>
      </c>
      <c r="M15618">
        <v>1</v>
      </c>
      <c r="N15618">
        <v>0</v>
      </c>
      <c r="O15618">
        <v>2326</v>
      </c>
    </row>
    <row r="15619" spans="1:15" x14ac:dyDescent="0.25">
      <c r="A15619" t="s">
        <v>15632</v>
      </c>
      <c r="B15619">
        <v>145</v>
      </c>
      <c r="C15619" s="1" t="str">
        <f>HYPERLINK("http://www.rosaceae.org/gb/gbrowse/malus_x_domestica/?name=MDP0000133148","MDP0000133148")</f>
        <v>MDP0000133148</v>
      </c>
      <c r="D15619">
        <v>50</v>
      </c>
      <c r="E15619">
        <v>144</v>
      </c>
      <c r="F15619">
        <v>72</v>
      </c>
      <c r="G15619">
        <v>0</v>
      </c>
      <c r="H15619">
        <v>1</v>
      </c>
      <c r="I15619">
        <v>144</v>
      </c>
      <c r="J15619">
        <v>1</v>
      </c>
      <c r="K15619">
        <v>206</v>
      </c>
      <c r="L15619">
        <v>349</v>
      </c>
      <c r="M15619">
        <v>1</v>
      </c>
      <c r="N15619">
        <v>5.7793299999999997E-37</v>
      </c>
      <c r="O15619">
        <v>378</v>
      </c>
    </row>
    <row r="15620" spans="1:15" x14ac:dyDescent="0.25">
      <c r="A15620" t="s">
        <v>15633</v>
      </c>
      <c r="B15620">
        <v>323</v>
      </c>
      <c r="C15620" s="1" t="str">
        <f>HYPERLINK("http://www.rosaceae.org/gb/gbrowse/malus_x_domestica/?name=MDP0000184140","MDP0000184140")</f>
        <v>MDP0000184140</v>
      </c>
      <c r="D15620">
        <v>82.64</v>
      </c>
      <c r="E15620">
        <v>317</v>
      </c>
      <c r="F15620">
        <v>55</v>
      </c>
      <c r="G15620">
        <v>1</v>
      </c>
      <c r="H15620">
        <v>7</v>
      </c>
      <c r="I15620">
        <v>323</v>
      </c>
      <c r="J15620">
        <v>1</v>
      </c>
      <c r="K15620">
        <v>250</v>
      </c>
      <c r="L15620">
        <v>565</v>
      </c>
      <c r="M15620">
        <v>1</v>
      </c>
      <c r="N15620">
        <v>3.9065599999999998E-158</v>
      </c>
      <c r="O15620">
        <v>1428</v>
      </c>
    </row>
    <row r="15621" spans="1:15" x14ac:dyDescent="0.25">
      <c r="A15621" t="s">
        <v>15634</v>
      </c>
      <c r="B15621">
        <v>828</v>
      </c>
      <c r="C15621" s="1" t="str">
        <f>HYPERLINK("http://www.rosaceae.org/gb/gbrowse/malus_x_domestica/?name=MDP0000292636","MDP0000292636")</f>
        <v>MDP0000292636</v>
      </c>
      <c r="D15621">
        <v>72.03</v>
      </c>
      <c r="E15621">
        <v>944</v>
      </c>
      <c r="F15621">
        <v>264</v>
      </c>
      <c r="G15621">
        <v>116</v>
      </c>
      <c r="H15621">
        <v>1</v>
      </c>
      <c r="I15621">
        <v>828</v>
      </c>
      <c r="J15621">
        <v>1</v>
      </c>
      <c r="K15621">
        <v>1</v>
      </c>
      <c r="L15621">
        <v>944</v>
      </c>
      <c r="M15621">
        <v>1</v>
      </c>
      <c r="N15621">
        <v>0</v>
      </c>
      <c r="O15621">
        <v>3525</v>
      </c>
    </row>
    <row r="15622" spans="1:15" x14ac:dyDescent="0.25">
      <c r="A15622" t="s">
        <v>15635</v>
      </c>
      <c r="B15622">
        <v>1093</v>
      </c>
      <c r="C15622" s="1" t="str">
        <f>HYPERLINK("http://www.rosaceae.org/gb/gbrowse/malus_x_domestica/?name=MDP0000792906","MDP0000792906")</f>
        <v>MDP0000792906</v>
      </c>
      <c r="D15622">
        <v>86.57</v>
      </c>
      <c r="E15622">
        <v>1095</v>
      </c>
      <c r="F15622">
        <v>147</v>
      </c>
      <c r="G15622">
        <v>2</v>
      </c>
      <c r="H15622">
        <v>1</v>
      </c>
      <c r="I15622">
        <v>1093</v>
      </c>
      <c r="J15622">
        <v>1</v>
      </c>
      <c r="K15622">
        <v>1</v>
      </c>
      <c r="L15622">
        <v>1095</v>
      </c>
      <c r="M15622">
        <v>1</v>
      </c>
      <c r="N15622">
        <v>0</v>
      </c>
      <c r="O15622">
        <v>4982</v>
      </c>
    </row>
    <row r="15623" spans="1:15" x14ac:dyDescent="0.25">
      <c r="A15623" t="s">
        <v>15636</v>
      </c>
      <c r="B15623">
        <v>483</v>
      </c>
      <c r="C15623" s="1" t="str">
        <f>HYPERLINK("http://www.rosaceae.org/gb/gbrowse/malus_x_domestica/?name=MDP0000163777","MDP0000163777")</f>
        <v>MDP0000163777</v>
      </c>
      <c r="D15623">
        <v>68.58</v>
      </c>
      <c r="E15623">
        <v>261</v>
      </c>
      <c r="F15623">
        <v>82</v>
      </c>
      <c r="G15623">
        <v>34</v>
      </c>
      <c r="H15623">
        <v>207</v>
      </c>
      <c r="I15623">
        <v>461</v>
      </c>
      <c r="J15623">
        <v>1</v>
      </c>
      <c r="K15623">
        <v>155</v>
      </c>
      <c r="L15623">
        <v>387</v>
      </c>
      <c r="M15623">
        <v>1</v>
      </c>
      <c r="N15623">
        <v>3.4351699999999999E-96</v>
      </c>
      <c r="O15623">
        <v>896</v>
      </c>
    </row>
    <row r="15624" spans="1:15" x14ac:dyDescent="0.25">
      <c r="A15624" t="s">
        <v>15637</v>
      </c>
      <c r="B15624">
        <v>651</v>
      </c>
      <c r="C15624" s="1" t="str">
        <f>HYPERLINK("http://www.rosaceae.org/gb/gbrowse/malus_x_domestica/?name=MDP0000263404","MDP0000263404")</f>
        <v>MDP0000263404</v>
      </c>
      <c r="D15624">
        <v>63.72</v>
      </c>
      <c r="E15624">
        <v>623</v>
      </c>
      <c r="F15624">
        <v>226</v>
      </c>
      <c r="G15624">
        <v>81</v>
      </c>
      <c r="H15624">
        <v>1</v>
      </c>
      <c r="I15624">
        <v>582</v>
      </c>
      <c r="J15624">
        <v>1</v>
      </c>
      <c r="K15624">
        <v>141</v>
      </c>
      <c r="L15624">
        <v>723</v>
      </c>
      <c r="M15624">
        <v>1</v>
      </c>
      <c r="N15624">
        <v>0</v>
      </c>
      <c r="O15624">
        <v>1908</v>
      </c>
    </row>
    <row r="15625" spans="1:15" x14ac:dyDescent="0.25">
      <c r="A15625" t="s">
        <v>15638</v>
      </c>
      <c r="B15625">
        <v>263</v>
      </c>
      <c r="C15625" s="1" t="str">
        <f>HYPERLINK("http://www.rosaceae.org/gb/gbrowse/malus_x_domestica/?name=MDP0000139807","MDP0000139807")</f>
        <v>MDP0000139807</v>
      </c>
      <c r="D15625">
        <v>75.75</v>
      </c>
      <c r="E15625">
        <v>99</v>
      </c>
      <c r="F15625">
        <v>24</v>
      </c>
      <c r="G15625">
        <v>3</v>
      </c>
      <c r="H15625">
        <v>74</v>
      </c>
      <c r="I15625">
        <v>169</v>
      </c>
      <c r="J15625">
        <v>1</v>
      </c>
      <c r="K15625">
        <v>61</v>
      </c>
      <c r="L15625">
        <v>159</v>
      </c>
      <c r="M15625">
        <v>1</v>
      </c>
      <c r="N15625">
        <v>2.4559000000000002E-38</v>
      </c>
      <c r="O15625">
        <v>394</v>
      </c>
    </row>
    <row r="15626" spans="1:15" x14ac:dyDescent="0.25">
      <c r="A15626" t="s">
        <v>15639</v>
      </c>
      <c r="B15626">
        <v>252</v>
      </c>
      <c r="C15626" s="1" t="str">
        <f>HYPERLINK("http://www.rosaceae.org/gb/gbrowse/malus_x_domestica/?name=MDP0000312021","MDP0000312021")</f>
        <v>MDP0000312021</v>
      </c>
      <c r="D15626">
        <v>84.92</v>
      </c>
      <c r="E15626">
        <v>252</v>
      </c>
      <c r="F15626">
        <v>38</v>
      </c>
      <c r="G15626">
        <v>0</v>
      </c>
      <c r="H15626">
        <v>1</v>
      </c>
      <c r="I15626">
        <v>252</v>
      </c>
      <c r="J15626">
        <v>1</v>
      </c>
      <c r="K15626">
        <v>2</v>
      </c>
      <c r="L15626">
        <v>253</v>
      </c>
      <c r="M15626">
        <v>1</v>
      </c>
      <c r="N15626">
        <v>2.9396700000000001E-125</v>
      </c>
      <c r="O15626">
        <v>1143</v>
      </c>
    </row>
    <row r="15627" spans="1:15" x14ac:dyDescent="0.25">
      <c r="A15627" t="s">
        <v>15640</v>
      </c>
      <c r="B15627">
        <v>280</v>
      </c>
      <c r="C15627" s="1" t="str">
        <f>HYPERLINK("http://www.rosaceae.org/gb/gbrowse/malus_x_domestica/?name=MDP0000399016","MDP0000399016")</f>
        <v>MDP0000399016</v>
      </c>
      <c r="D15627">
        <v>81.94</v>
      </c>
      <c r="E15627">
        <v>277</v>
      </c>
      <c r="F15627">
        <v>50</v>
      </c>
      <c r="G15627">
        <v>0</v>
      </c>
      <c r="H15627">
        <v>4</v>
      </c>
      <c r="I15627">
        <v>280</v>
      </c>
      <c r="J15627">
        <v>1</v>
      </c>
      <c r="K15627">
        <v>1</v>
      </c>
      <c r="L15627">
        <v>277</v>
      </c>
      <c r="M15627">
        <v>1</v>
      </c>
      <c r="N15627">
        <v>1.88954E-132</v>
      </c>
      <c r="O15627">
        <v>1206</v>
      </c>
    </row>
    <row r="15628" spans="1:15" x14ac:dyDescent="0.25">
      <c r="A15628" t="s">
        <v>15641</v>
      </c>
      <c r="B15628">
        <v>282</v>
      </c>
      <c r="C15628" s="1" t="str">
        <f>HYPERLINK("http://www.rosaceae.org/gb/gbrowse/malus_x_domestica/?name=MDP0000506266","MDP0000506266")</f>
        <v>MDP0000506266</v>
      </c>
      <c r="D15628">
        <v>48.21</v>
      </c>
      <c r="E15628">
        <v>224</v>
      </c>
      <c r="F15628">
        <v>116</v>
      </c>
      <c r="G15628">
        <v>21</v>
      </c>
      <c r="H15628">
        <v>9</v>
      </c>
      <c r="I15628">
        <v>213</v>
      </c>
      <c r="J15628">
        <v>1</v>
      </c>
      <c r="K15628">
        <v>8</v>
      </c>
      <c r="L15628">
        <v>229</v>
      </c>
      <c r="M15628">
        <v>1</v>
      </c>
      <c r="N15628">
        <v>1.7566099999999999E-48</v>
      </c>
      <c r="O15628">
        <v>482</v>
      </c>
    </row>
    <row r="15629" spans="1:15" x14ac:dyDescent="0.25">
      <c r="A15629" t="s">
        <v>15642</v>
      </c>
      <c r="B15629">
        <v>810</v>
      </c>
      <c r="C15629" s="1" t="str">
        <f>HYPERLINK("http://www.rosaceae.org/gb/gbrowse/malus_x_domestica/?name=MDP0000232990","MDP0000232990")</f>
        <v>MDP0000232990</v>
      </c>
      <c r="D15629">
        <v>65.38</v>
      </c>
      <c r="E15629">
        <v>855</v>
      </c>
      <c r="F15629">
        <v>296</v>
      </c>
      <c r="G15629">
        <v>74</v>
      </c>
      <c r="H15629">
        <v>5</v>
      </c>
      <c r="I15629">
        <v>806</v>
      </c>
      <c r="J15629">
        <v>1</v>
      </c>
      <c r="K15629">
        <v>14</v>
      </c>
      <c r="L15629">
        <v>847</v>
      </c>
      <c r="M15629">
        <v>1</v>
      </c>
      <c r="N15629">
        <v>0</v>
      </c>
      <c r="O15629">
        <v>2676</v>
      </c>
    </row>
    <row r="15630" spans="1:15" x14ac:dyDescent="0.25">
      <c r="A15630" t="s">
        <v>15643</v>
      </c>
      <c r="B15630">
        <v>692</v>
      </c>
      <c r="C15630" s="1" t="str">
        <f>HYPERLINK("http://www.rosaceae.org/gb/gbrowse/malus_x_domestica/?name=MDP0000818944","MDP0000818944")</f>
        <v>MDP0000818944</v>
      </c>
      <c r="D15630">
        <v>75.599999999999994</v>
      </c>
      <c r="E15630">
        <v>660</v>
      </c>
      <c r="F15630">
        <v>161</v>
      </c>
      <c r="G15630">
        <v>12</v>
      </c>
      <c r="H15630">
        <v>21</v>
      </c>
      <c r="I15630">
        <v>678</v>
      </c>
      <c r="J15630">
        <v>1</v>
      </c>
      <c r="K15630">
        <v>17</v>
      </c>
      <c r="L15630">
        <v>666</v>
      </c>
      <c r="M15630">
        <v>1</v>
      </c>
      <c r="N15630">
        <v>0</v>
      </c>
      <c r="O15630">
        <v>2632</v>
      </c>
    </row>
    <row r="15631" spans="1:15" x14ac:dyDescent="0.25">
      <c r="A15631" t="s">
        <v>15644</v>
      </c>
      <c r="B15631">
        <v>148</v>
      </c>
      <c r="C15631" s="1" t="str">
        <f>HYPERLINK("http://www.rosaceae.org/gb/gbrowse/malus_x_domestica/?name=MDP0000875111","MDP0000875111")</f>
        <v>MDP0000875111</v>
      </c>
      <c r="D15631">
        <v>62.74</v>
      </c>
      <c r="E15631">
        <v>153</v>
      </c>
      <c r="F15631">
        <v>57</v>
      </c>
      <c r="G15631">
        <v>9</v>
      </c>
      <c r="H15631">
        <v>1</v>
      </c>
      <c r="I15631">
        <v>148</v>
      </c>
      <c r="J15631">
        <v>1</v>
      </c>
      <c r="K15631">
        <v>1</v>
      </c>
      <c r="L15631">
        <v>149</v>
      </c>
      <c r="M15631">
        <v>1</v>
      </c>
      <c r="N15631">
        <v>1.7906799999999999E-45</v>
      </c>
      <c r="O15631">
        <v>451</v>
      </c>
    </row>
    <row r="15632" spans="1:15" x14ac:dyDescent="0.25">
      <c r="A15632" t="s">
        <v>15645</v>
      </c>
      <c r="B15632">
        <v>325</v>
      </c>
      <c r="C15632" s="1" t="str">
        <f>HYPERLINK("http://www.rosaceae.org/gb/gbrowse/malus_x_domestica/?name=MDP0000289261","MDP0000289261")</f>
        <v>MDP0000289261</v>
      </c>
      <c r="D15632">
        <v>34.18</v>
      </c>
      <c r="E15632">
        <v>313</v>
      </c>
      <c r="F15632">
        <v>206</v>
      </c>
      <c r="G15632">
        <v>71</v>
      </c>
      <c r="H15632">
        <v>2</v>
      </c>
      <c r="I15632">
        <v>298</v>
      </c>
      <c r="J15632">
        <v>1</v>
      </c>
      <c r="K15632">
        <v>3</v>
      </c>
      <c r="L15632">
        <v>260</v>
      </c>
      <c r="M15632">
        <v>1</v>
      </c>
      <c r="N15632">
        <v>2.5588999999999999E-37</v>
      </c>
      <c r="O15632">
        <v>386</v>
      </c>
    </row>
    <row r="15633" spans="1:15" x14ac:dyDescent="0.25">
      <c r="A15633" t="s">
        <v>15646</v>
      </c>
      <c r="B15633">
        <v>96</v>
      </c>
      <c r="C15633" s="1" t="str">
        <f>HYPERLINK("http://www.rosaceae.org/gb/gbrowse/malus_x_domestica/?name=MDP0000878409","MDP0000878409")</f>
        <v>MDP0000878409</v>
      </c>
      <c r="D15633">
        <v>45.37</v>
      </c>
      <c r="E15633">
        <v>108</v>
      </c>
      <c r="F15633">
        <v>59</v>
      </c>
      <c r="G15633">
        <v>23</v>
      </c>
      <c r="H15633">
        <v>1</v>
      </c>
      <c r="I15633">
        <v>88</v>
      </c>
      <c r="J15633">
        <v>1</v>
      </c>
      <c r="K15633">
        <v>1</v>
      </c>
      <c r="L15633">
        <v>105</v>
      </c>
      <c r="M15633">
        <v>1</v>
      </c>
      <c r="N15633">
        <v>3.4950499999999998E-13</v>
      </c>
      <c r="O15633">
        <v>171</v>
      </c>
    </row>
    <row r="15634" spans="1:15" x14ac:dyDescent="0.25">
      <c r="A15634" t="s">
        <v>15647</v>
      </c>
      <c r="B15634">
        <v>951</v>
      </c>
      <c r="C15634" s="1" t="str">
        <f>HYPERLINK("http://www.rosaceae.org/gb/gbrowse/malus_x_domestica/?name=MDP0000327390","MDP0000327390")</f>
        <v>MDP0000327390</v>
      </c>
      <c r="D15634">
        <v>66.37</v>
      </c>
      <c r="E15634">
        <v>232</v>
      </c>
      <c r="F15634">
        <v>78</v>
      </c>
      <c r="G15634">
        <v>31</v>
      </c>
      <c r="H15634">
        <v>18</v>
      </c>
      <c r="I15634">
        <v>220</v>
      </c>
      <c r="J15634">
        <v>1</v>
      </c>
      <c r="K15634">
        <v>34</v>
      </c>
      <c r="L15634">
        <v>263</v>
      </c>
      <c r="M15634">
        <v>1</v>
      </c>
      <c r="N15634">
        <v>1.3254700000000001E-80</v>
      </c>
      <c r="O15634">
        <v>764</v>
      </c>
    </row>
    <row r="15635" spans="1:15" x14ac:dyDescent="0.25">
      <c r="A15635" t="s">
        <v>15648</v>
      </c>
      <c r="B15635">
        <v>1161</v>
      </c>
      <c r="C15635" s="1" t="str">
        <f>HYPERLINK("http://www.rosaceae.org/gb/gbrowse/malus_x_domestica/?name=MDP0000876321","MDP0000876321")</f>
        <v>MDP0000876321</v>
      </c>
      <c r="D15635">
        <v>82.98</v>
      </c>
      <c r="E15635">
        <v>476</v>
      </c>
      <c r="F15635">
        <v>81</v>
      </c>
      <c r="G15635">
        <v>3</v>
      </c>
      <c r="H15635">
        <v>1</v>
      </c>
      <c r="I15635">
        <v>473</v>
      </c>
      <c r="J15635">
        <v>1</v>
      </c>
      <c r="K15635">
        <v>1</v>
      </c>
      <c r="L15635">
        <v>476</v>
      </c>
      <c r="M15635">
        <v>1</v>
      </c>
      <c r="N15635">
        <v>0</v>
      </c>
      <c r="O15635">
        <v>2115</v>
      </c>
    </row>
    <row r="15636" spans="1:15" x14ac:dyDescent="0.25">
      <c r="A15636" t="s">
        <v>15649</v>
      </c>
      <c r="B15636">
        <v>1520</v>
      </c>
      <c r="C15636" s="1" t="str">
        <f>HYPERLINK("http://www.rosaceae.org/gb/gbrowse/malus_x_domestica/?name=MDP0000224509","MDP0000224509")</f>
        <v>MDP0000224509</v>
      </c>
      <c r="D15636">
        <v>69.849999999999994</v>
      </c>
      <c r="E15636">
        <v>491</v>
      </c>
      <c r="F15636">
        <v>148</v>
      </c>
      <c r="G15636">
        <v>11</v>
      </c>
      <c r="H15636">
        <v>1029</v>
      </c>
      <c r="I15636">
        <v>1516</v>
      </c>
      <c r="J15636">
        <v>1</v>
      </c>
      <c r="K15636">
        <v>6</v>
      </c>
      <c r="L15636">
        <v>488</v>
      </c>
      <c r="M15636">
        <v>1</v>
      </c>
      <c r="N15636">
        <v>0</v>
      </c>
      <c r="O15636">
        <v>1797</v>
      </c>
    </row>
    <row r="15637" spans="1:15" x14ac:dyDescent="0.25">
      <c r="A15637" t="s">
        <v>15650</v>
      </c>
      <c r="B15637">
        <v>213</v>
      </c>
      <c r="C15637" s="1" t="str">
        <f>HYPERLINK("http://www.rosaceae.org/gb/gbrowse/malus_x_domestica/?name=MDP0000198955","MDP0000198955")</f>
        <v>MDP0000198955</v>
      </c>
      <c r="D15637">
        <v>84.03</v>
      </c>
      <c r="E15637">
        <v>213</v>
      </c>
      <c r="F15637">
        <v>34</v>
      </c>
      <c r="G15637">
        <v>0</v>
      </c>
      <c r="H15637">
        <v>1</v>
      </c>
      <c r="I15637">
        <v>213</v>
      </c>
      <c r="J15637">
        <v>1</v>
      </c>
      <c r="K15637">
        <v>1</v>
      </c>
      <c r="L15637">
        <v>213</v>
      </c>
      <c r="M15637">
        <v>1</v>
      </c>
      <c r="N15637">
        <v>2.8642999999999999E-105</v>
      </c>
      <c r="O15637">
        <v>970</v>
      </c>
    </row>
    <row r="15638" spans="1:15" x14ac:dyDescent="0.25">
      <c r="A15638" t="s">
        <v>15651</v>
      </c>
      <c r="B15638">
        <v>349</v>
      </c>
      <c r="C15638" s="1" t="str">
        <f>HYPERLINK("http://www.rosaceae.org/gb/gbrowse/malus_x_domestica/?name=MDP0000136726","MDP0000136726")</f>
        <v>MDP0000136726</v>
      </c>
      <c r="D15638">
        <v>56.05</v>
      </c>
      <c r="E15638">
        <v>157</v>
      </c>
      <c r="F15638">
        <v>69</v>
      </c>
      <c r="G15638">
        <v>15</v>
      </c>
      <c r="H15638">
        <v>24</v>
      </c>
      <c r="I15638">
        <v>180</v>
      </c>
      <c r="J15638">
        <v>1</v>
      </c>
      <c r="K15638">
        <v>1188</v>
      </c>
      <c r="L15638">
        <v>1329</v>
      </c>
      <c r="M15638">
        <v>1</v>
      </c>
      <c r="N15638">
        <v>9.7329699999999996E-44</v>
      </c>
      <c r="O15638">
        <v>442</v>
      </c>
    </row>
    <row r="15639" spans="1:15" x14ac:dyDescent="0.25">
      <c r="A15639" t="s">
        <v>15652</v>
      </c>
      <c r="B15639">
        <v>730</v>
      </c>
      <c r="C15639" s="1" t="str">
        <f>HYPERLINK("http://www.rosaceae.org/gb/gbrowse/malus_x_domestica/?name=MDP0000177248","MDP0000177248")</f>
        <v>MDP0000177248</v>
      </c>
      <c r="D15639">
        <v>61.88</v>
      </c>
      <c r="E15639">
        <v>635</v>
      </c>
      <c r="F15639">
        <v>242</v>
      </c>
      <c r="G15639">
        <v>95</v>
      </c>
      <c r="H15639">
        <v>1</v>
      </c>
      <c r="I15639">
        <v>634</v>
      </c>
      <c r="J15639">
        <v>1</v>
      </c>
      <c r="K15639">
        <v>1</v>
      </c>
      <c r="L15639">
        <v>541</v>
      </c>
      <c r="M15639">
        <v>1</v>
      </c>
      <c r="N15639">
        <v>0</v>
      </c>
      <c r="O15639">
        <v>1868</v>
      </c>
    </row>
    <row r="15640" spans="1:15" x14ac:dyDescent="0.25">
      <c r="A15640" t="s">
        <v>15653</v>
      </c>
      <c r="B15640">
        <v>682</v>
      </c>
      <c r="C15640" s="1" t="str">
        <f>HYPERLINK("http://www.rosaceae.org/gb/gbrowse/malus_x_domestica/?name=MDP0000252727","MDP0000252727")</f>
        <v>MDP0000252727</v>
      </c>
      <c r="D15640">
        <v>35.17</v>
      </c>
      <c r="E15640">
        <v>253</v>
      </c>
      <c r="F15640">
        <v>164</v>
      </c>
      <c r="G15640">
        <v>23</v>
      </c>
      <c r="H15640">
        <v>434</v>
      </c>
      <c r="I15640">
        <v>663</v>
      </c>
      <c r="J15640">
        <v>1</v>
      </c>
      <c r="K15640">
        <v>9</v>
      </c>
      <c r="L15640">
        <v>261</v>
      </c>
      <c r="M15640">
        <v>1</v>
      </c>
      <c r="N15640">
        <v>1.1041499999999999E-37</v>
      </c>
      <c r="O15640">
        <v>393</v>
      </c>
    </row>
    <row r="15641" spans="1:15" x14ac:dyDescent="0.25">
      <c r="A15641" t="s">
        <v>15654</v>
      </c>
      <c r="B15641">
        <v>212</v>
      </c>
      <c r="C15641" s="1" t="str">
        <f>HYPERLINK("http://www.rosaceae.org/gb/gbrowse/malus_x_domestica/?name=MDP0000270835","MDP0000270835")</f>
        <v>MDP0000270835</v>
      </c>
      <c r="D15641">
        <v>77.349999999999994</v>
      </c>
      <c r="E15641">
        <v>212</v>
      </c>
      <c r="F15641">
        <v>48</v>
      </c>
      <c r="G15641">
        <v>0</v>
      </c>
      <c r="H15641">
        <v>1</v>
      </c>
      <c r="I15641">
        <v>212</v>
      </c>
      <c r="J15641">
        <v>1</v>
      </c>
      <c r="K15641">
        <v>303</v>
      </c>
      <c r="L15641">
        <v>514</v>
      </c>
      <c r="M15641">
        <v>1</v>
      </c>
      <c r="N15641">
        <v>1.4010099999999999E-95</v>
      </c>
      <c r="O15641">
        <v>886</v>
      </c>
    </row>
    <row r="15642" spans="1:15" x14ac:dyDescent="0.25">
      <c r="A15642" t="s">
        <v>15655</v>
      </c>
      <c r="B15642">
        <v>190</v>
      </c>
      <c r="C15642" s="1" t="str">
        <f>HYPERLINK("http://www.rosaceae.org/gb/gbrowse/malus_x_domestica/?name=MDP0000477455","MDP0000477455")</f>
        <v>MDP0000477455</v>
      </c>
      <c r="D15642">
        <v>38.119999999999997</v>
      </c>
      <c r="E15642">
        <v>160</v>
      </c>
      <c r="F15642">
        <v>99</v>
      </c>
      <c r="G15642">
        <v>5</v>
      </c>
      <c r="H15642">
        <v>1</v>
      </c>
      <c r="I15642">
        <v>155</v>
      </c>
      <c r="J15642">
        <v>1</v>
      </c>
      <c r="K15642">
        <v>1</v>
      </c>
      <c r="L15642">
        <v>160</v>
      </c>
      <c r="M15642">
        <v>1</v>
      </c>
      <c r="N15642">
        <v>2.3943300000000001E-25</v>
      </c>
      <c r="O15642">
        <v>280</v>
      </c>
    </row>
    <row r="15643" spans="1:15" x14ac:dyDescent="0.25">
      <c r="A15643" t="s">
        <v>15656</v>
      </c>
      <c r="B15643">
        <v>435</v>
      </c>
      <c r="C15643" s="1" t="str">
        <f>HYPERLINK("http://www.rosaceae.org/gb/gbrowse/malus_x_domestica/?name=MDP0000731702","MDP0000731702")</f>
        <v>MDP0000731702</v>
      </c>
      <c r="D15643">
        <v>63.04</v>
      </c>
      <c r="E15643">
        <v>230</v>
      </c>
      <c r="F15643">
        <v>85</v>
      </c>
      <c r="G15643">
        <v>41</v>
      </c>
      <c r="H15643">
        <v>54</v>
      </c>
      <c r="I15643">
        <v>242</v>
      </c>
      <c r="J15643">
        <v>1</v>
      </c>
      <c r="K15643">
        <v>942</v>
      </c>
      <c r="L15643">
        <v>1171</v>
      </c>
      <c r="M15643">
        <v>1</v>
      </c>
      <c r="N15643">
        <v>2.7234900000000002E-75</v>
      </c>
      <c r="O15643">
        <v>715</v>
      </c>
    </row>
    <row r="15644" spans="1:15" x14ac:dyDescent="0.25">
      <c r="A15644" t="s">
        <v>15657</v>
      </c>
      <c r="B15644">
        <v>341</v>
      </c>
      <c r="C15644" s="1" t="str">
        <f>HYPERLINK("http://www.rosaceae.org/gb/gbrowse/malus_x_domestica/?name=MDP0000288274","MDP0000288274")</f>
        <v>MDP0000288274</v>
      </c>
      <c r="D15644">
        <v>77.349999999999994</v>
      </c>
      <c r="E15644">
        <v>340</v>
      </c>
      <c r="F15644">
        <v>77</v>
      </c>
      <c r="G15644">
        <v>5</v>
      </c>
      <c r="H15644">
        <v>6</v>
      </c>
      <c r="I15644">
        <v>341</v>
      </c>
      <c r="J15644">
        <v>1</v>
      </c>
      <c r="K15644">
        <v>1</v>
      </c>
      <c r="L15644">
        <v>339</v>
      </c>
      <c r="M15644">
        <v>1</v>
      </c>
      <c r="N15644">
        <v>8.2747200000000003E-144</v>
      </c>
      <c r="O15644">
        <v>1305</v>
      </c>
    </row>
    <row r="15645" spans="1:15" x14ac:dyDescent="0.25">
      <c r="A15645" t="s">
        <v>15658</v>
      </c>
      <c r="B15645">
        <v>957</v>
      </c>
      <c r="C15645" s="1" t="str">
        <f>HYPERLINK("http://www.rosaceae.org/gb/gbrowse/malus_x_domestica/?name=MDP0000144714","MDP0000144714")</f>
        <v>MDP0000144714</v>
      </c>
      <c r="D15645">
        <v>82.79</v>
      </c>
      <c r="E15645">
        <v>372</v>
      </c>
      <c r="F15645">
        <v>64</v>
      </c>
      <c r="G15645">
        <v>26</v>
      </c>
      <c r="H15645">
        <v>591</v>
      </c>
      <c r="I15645">
        <v>957</v>
      </c>
      <c r="J15645">
        <v>1</v>
      </c>
      <c r="K15645">
        <v>1</v>
      </c>
      <c r="L15645">
        <v>351</v>
      </c>
      <c r="M15645">
        <v>1</v>
      </c>
      <c r="N15645">
        <v>0</v>
      </c>
      <c r="O15645">
        <v>1633</v>
      </c>
    </row>
    <row r="15646" spans="1:15" x14ac:dyDescent="0.25">
      <c r="A15646" t="s">
        <v>15659</v>
      </c>
      <c r="B15646">
        <v>186</v>
      </c>
      <c r="C15646" s="1" t="str">
        <f>HYPERLINK("http://www.rosaceae.org/gb/gbrowse/malus_x_domestica/?name=MDP0000846004","MDP0000846004")</f>
        <v>MDP0000846004</v>
      </c>
      <c r="D15646">
        <v>70.05</v>
      </c>
      <c r="E15646">
        <v>167</v>
      </c>
      <c r="F15646">
        <v>50</v>
      </c>
      <c r="G15646">
        <v>0</v>
      </c>
      <c r="H15646">
        <v>1</v>
      </c>
      <c r="I15646">
        <v>167</v>
      </c>
      <c r="J15646">
        <v>1</v>
      </c>
      <c r="K15646">
        <v>1</v>
      </c>
      <c r="L15646">
        <v>167</v>
      </c>
      <c r="M15646">
        <v>1</v>
      </c>
      <c r="N15646">
        <v>4.0608600000000001E-58</v>
      </c>
      <c r="O15646">
        <v>562</v>
      </c>
    </row>
    <row r="15647" spans="1:15" x14ac:dyDescent="0.25">
      <c r="A15647" t="s">
        <v>15660</v>
      </c>
      <c r="B15647">
        <v>182</v>
      </c>
      <c r="C15647" s="1" t="str">
        <f>HYPERLINK("http://www.rosaceae.org/gb/gbrowse/malus_x_domestica/?name=MDP0000889482","MDP0000889482")</f>
        <v>MDP0000889482</v>
      </c>
      <c r="D15647">
        <v>40</v>
      </c>
      <c r="E15647">
        <v>195</v>
      </c>
      <c r="F15647">
        <v>117</v>
      </c>
      <c r="G15647">
        <v>27</v>
      </c>
      <c r="H15647">
        <v>5</v>
      </c>
      <c r="I15647">
        <v>182</v>
      </c>
      <c r="J15647">
        <v>1</v>
      </c>
      <c r="K15647">
        <v>8</v>
      </c>
      <c r="L15647">
        <v>192</v>
      </c>
      <c r="M15647">
        <v>1</v>
      </c>
      <c r="N15647">
        <v>1.34852E-18</v>
      </c>
      <c r="O15647">
        <v>221</v>
      </c>
    </row>
    <row r="15648" spans="1:15" x14ac:dyDescent="0.25">
      <c r="A15648" t="s">
        <v>15661</v>
      </c>
      <c r="B15648">
        <v>272</v>
      </c>
      <c r="C15648" s="1" t="str">
        <f>HYPERLINK("http://www.rosaceae.org/gb/gbrowse/malus_x_domestica/?name=MDP0000548950","MDP0000548950")</f>
        <v>MDP0000548950</v>
      </c>
      <c r="D15648">
        <v>77.45</v>
      </c>
      <c r="E15648">
        <v>244</v>
      </c>
      <c r="F15648">
        <v>55</v>
      </c>
      <c r="G15648">
        <v>11</v>
      </c>
      <c r="H15648">
        <v>1</v>
      </c>
      <c r="I15648">
        <v>236</v>
      </c>
      <c r="J15648">
        <v>1</v>
      </c>
      <c r="K15648">
        <v>2</v>
      </c>
      <c r="L15648">
        <v>242</v>
      </c>
      <c r="M15648">
        <v>1</v>
      </c>
      <c r="N15648">
        <v>3.3811600000000001E-96</v>
      </c>
      <c r="O15648">
        <v>893</v>
      </c>
    </row>
    <row r="15649" spans="1:15" x14ac:dyDescent="0.25">
      <c r="A15649" t="s">
        <v>15662</v>
      </c>
      <c r="B15649">
        <v>369</v>
      </c>
      <c r="C15649" s="1" t="str">
        <f>HYPERLINK("http://www.rosaceae.org/gb/gbrowse/malus_x_domestica/?name=MDP0000134380","MDP0000134380")</f>
        <v>MDP0000134380</v>
      </c>
      <c r="D15649">
        <v>80</v>
      </c>
      <c r="E15649">
        <v>375</v>
      </c>
      <c r="F15649">
        <v>75</v>
      </c>
      <c r="G15649">
        <v>7</v>
      </c>
      <c r="H15649">
        <v>1</v>
      </c>
      <c r="I15649">
        <v>369</v>
      </c>
      <c r="J15649">
        <v>1</v>
      </c>
      <c r="K15649">
        <v>21</v>
      </c>
      <c r="L15649">
        <v>394</v>
      </c>
      <c r="M15649">
        <v>1</v>
      </c>
      <c r="N15649">
        <v>7.8272200000000003E-177</v>
      </c>
      <c r="O15649">
        <v>1590</v>
      </c>
    </row>
    <row r="15650" spans="1:15" x14ac:dyDescent="0.25">
      <c r="A15650" t="s">
        <v>15663</v>
      </c>
      <c r="B15650">
        <v>1098</v>
      </c>
      <c r="C15650" s="1" t="str">
        <f>HYPERLINK("http://www.rosaceae.org/gb/gbrowse/malus_x_domestica/?name=MDP0000214001","MDP0000214001")</f>
        <v>MDP0000214001</v>
      </c>
      <c r="D15650">
        <v>57.33</v>
      </c>
      <c r="E15650">
        <v>1132</v>
      </c>
      <c r="F15650">
        <v>483</v>
      </c>
      <c r="G15650">
        <v>85</v>
      </c>
      <c r="H15650">
        <v>1</v>
      </c>
      <c r="I15650">
        <v>1098</v>
      </c>
      <c r="J15650">
        <v>1</v>
      </c>
      <c r="K15650">
        <v>32</v>
      </c>
      <c r="L15650">
        <v>1112</v>
      </c>
      <c r="M15650">
        <v>1</v>
      </c>
      <c r="N15650">
        <v>0</v>
      </c>
      <c r="O15650">
        <v>2984</v>
      </c>
    </row>
    <row r="15651" spans="1:15" x14ac:dyDescent="0.25">
      <c r="A15651" t="s">
        <v>15664</v>
      </c>
      <c r="B15651">
        <v>264</v>
      </c>
      <c r="C15651" s="1" t="str">
        <f>HYPERLINK("http://www.rosaceae.org/gb/gbrowse/malus_x_domestica/?name=MDP0000223118","MDP0000223118")</f>
        <v>MDP0000223118</v>
      </c>
      <c r="D15651">
        <v>52.08</v>
      </c>
      <c r="E15651">
        <v>144</v>
      </c>
      <c r="F15651">
        <v>69</v>
      </c>
      <c r="G15651">
        <v>5</v>
      </c>
      <c r="H15651">
        <v>123</v>
      </c>
      <c r="I15651">
        <v>264</v>
      </c>
      <c r="J15651">
        <v>1</v>
      </c>
      <c r="K15651">
        <v>180</v>
      </c>
      <c r="L15651">
        <v>320</v>
      </c>
      <c r="M15651">
        <v>1</v>
      </c>
      <c r="N15651">
        <v>2.5147000000000001E-30</v>
      </c>
      <c r="O15651">
        <v>325</v>
      </c>
    </row>
    <row r="15652" spans="1:15" x14ac:dyDescent="0.25">
      <c r="A15652" t="s">
        <v>15665</v>
      </c>
      <c r="B15652">
        <v>774</v>
      </c>
      <c r="C15652" s="1" t="str">
        <f>HYPERLINK("http://www.rosaceae.org/gb/gbrowse/malus_x_domestica/?name=MDP0000313705","MDP0000313705")</f>
        <v>MDP0000313705</v>
      </c>
      <c r="D15652">
        <v>76.39</v>
      </c>
      <c r="E15652">
        <v>449</v>
      </c>
      <c r="F15652">
        <v>106</v>
      </c>
      <c r="G15652">
        <v>12</v>
      </c>
      <c r="H15652">
        <v>257</v>
      </c>
      <c r="I15652">
        <v>700</v>
      </c>
      <c r="J15652">
        <v>1</v>
      </c>
      <c r="K15652">
        <v>287</v>
      </c>
      <c r="L15652">
        <v>728</v>
      </c>
      <c r="M15652">
        <v>1</v>
      </c>
      <c r="N15652">
        <v>0</v>
      </c>
      <c r="O15652">
        <v>1760</v>
      </c>
    </row>
    <row r="15653" spans="1:15" x14ac:dyDescent="0.25">
      <c r="A15653" t="s">
        <v>15666</v>
      </c>
      <c r="B15653">
        <v>542</v>
      </c>
      <c r="C15653" s="1" t="str">
        <f>HYPERLINK("http://www.rosaceae.org/gb/gbrowse/malus_x_domestica/?name=MDP0000284211","MDP0000284211")</f>
        <v>MDP0000284211</v>
      </c>
      <c r="D15653">
        <v>80.66</v>
      </c>
      <c r="E15653">
        <v>538</v>
      </c>
      <c r="F15653">
        <v>104</v>
      </c>
      <c r="G15653">
        <v>40</v>
      </c>
      <c r="H15653">
        <v>1</v>
      </c>
      <c r="I15653">
        <v>538</v>
      </c>
      <c r="J15653">
        <v>1</v>
      </c>
      <c r="K15653">
        <v>434</v>
      </c>
      <c r="L15653">
        <v>931</v>
      </c>
      <c r="M15653">
        <v>1</v>
      </c>
      <c r="N15653">
        <v>0</v>
      </c>
      <c r="O15653">
        <v>2163</v>
      </c>
    </row>
    <row r="15654" spans="1:15" x14ac:dyDescent="0.25">
      <c r="A15654" t="s">
        <v>15667</v>
      </c>
      <c r="B15654">
        <v>187</v>
      </c>
      <c r="C15654" s="1" t="str">
        <f>HYPERLINK("http://www.rosaceae.org/gb/gbrowse/malus_x_domestica/?name=MDP0000238860","MDP0000238860")</f>
        <v>MDP0000238860</v>
      </c>
      <c r="D15654">
        <v>57.79</v>
      </c>
      <c r="E15654">
        <v>109</v>
      </c>
      <c r="F15654">
        <v>46</v>
      </c>
      <c r="G15654">
        <v>15</v>
      </c>
      <c r="H15654">
        <v>1</v>
      </c>
      <c r="I15654">
        <v>94</v>
      </c>
      <c r="J15654">
        <v>1</v>
      </c>
      <c r="K15654">
        <v>1</v>
      </c>
      <c r="L15654">
        <v>109</v>
      </c>
      <c r="M15654">
        <v>1</v>
      </c>
      <c r="N15654">
        <v>8.7097200000000005E-26</v>
      </c>
      <c r="O15654">
        <v>283</v>
      </c>
    </row>
    <row r="15655" spans="1:15" x14ac:dyDescent="0.25">
      <c r="A15655" t="s">
        <v>15668</v>
      </c>
      <c r="B15655">
        <v>713</v>
      </c>
      <c r="C15655" s="1" t="str">
        <f>HYPERLINK("http://www.rosaceae.org/gb/gbrowse/malus_x_domestica/?name=MDP0000213980","MDP0000213980")</f>
        <v>MDP0000213980</v>
      </c>
      <c r="D15655">
        <v>59.79</v>
      </c>
      <c r="E15655">
        <v>480</v>
      </c>
      <c r="F15655">
        <v>193</v>
      </c>
      <c r="G15655">
        <v>62</v>
      </c>
      <c r="H15655">
        <v>7</v>
      </c>
      <c r="I15655">
        <v>427</v>
      </c>
      <c r="J15655">
        <v>1</v>
      </c>
      <c r="K15655">
        <v>18</v>
      </c>
      <c r="L15655">
        <v>494</v>
      </c>
      <c r="M15655">
        <v>1</v>
      </c>
      <c r="N15655">
        <v>2.5805200000000001E-150</v>
      </c>
      <c r="O15655">
        <v>1364</v>
      </c>
    </row>
    <row r="15656" spans="1:15" x14ac:dyDescent="0.25">
      <c r="A15656" t="s">
        <v>15669</v>
      </c>
      <c r="B15656">
        <v>574</v>
      </c>
      <c r="C15656" s="1" t="str">
        <f>HYPERLINK("http://www.rosaceae.org/gb/gbrowse/malus_x_domestica/?name=MDP0000409577","MDP0000409577")</f>
        <v>MDP0000409577</v>
      </c>
      <c r="D15656">
        <v>46.75</v>
      </c>
      <c r="E15656">
        <v>216</v>
      </c>
      <c r="F15656">
        <v>115</v>
      </c>
      <c r="G15656">
        <v>21</v>
      </c>
      <c r="H15656">
        <v>218</v>
      </c>
      <c r="I15656">
        <v>433</v>
      </c>
      <c r="J15656">
        <v>1</v>
      </c>
      <c r="K15656">
        <v>95</v>
      </c>
      <c r="L15656">
        <v>289</v>
      </c>
      <c r="M15656">
        <v>1</v>
      </c>
      <c r="N15656">
        <v>1.9340799999999999E-50</v>
      </c>
      <c r="O15656">
        <v>502</v>
      </c>
    </row>
    <row r="15657" spans="1:15" x14ac:dyDescent="0.25">
      <c r="A15657" t="s">
        <v>15670</v>
      </c>
      <c r="B15657">
        <v>349</v>
      </c>
      <c r="C15657" s="1" t="str">
        <f>HYPERLINK("http://www.rosaceae.org/gb/gbrowse/malus_x_domestica/?name=MDP0000605106","MDP0000605106")</f>
        <v>MDP0000605106</v>
      </c>
      <c r="D15657">
        <v>64.77</v>
      </c>
      <c r="E15657">
        <v>406</v>
      </c>
      <c r="F15657">
        <v>143</v>
      </c>
      <c r="G15657">
        <v>62</v>
      </c>
      <c r="H15657">
        <v>5</v>
      </c>
      <c r="I15657">
        <v>348</v>
      </c>
      <c r="J15657">
        <v>1</v>
      </c>
      <c r="K15657">
        <v>65</v>
      </c>
      <c r="L15657">
        <v>470</v>
      </c>
      <c r="M15657">
        <v>1</v>
      </c>
      <c r="N15657">
        <v>2.47318E-136</v>
      </c>
      <c r="O15657">
        <v>1240</v>
      </c>
    </row>
    <row r="15658" spans="1:15" x14ac:dyDescent="0.25">
      <c r="A15658" t="s">
        <v>15671</v>
      </c>
      <c r="B15658">
        <v>583</v>
      </c>
      <c r="C15658" s="1" t="str">
        <f>HYPERLINK("http://www.rosaceae.org/gb/gbrowse/malus_x_domestica/?name=MDP0000314807","MDP0000314807")</f>
        <v>MDP0000314807</v>
      </c>
      <c r="D15658">
        <v>56.7</v>
      </c>
      <c r="E15658">
        <v>589</v>
      </c>
      <c r="F15658">
        <v>255</v>
      </c>
      <c r="G15658">
        <v>18</v>
      </c>
      <c r="H15658">
        <v>1</v>
      </c>
      <c r="I15658">
        <v>579</v>
      </c>
      <c r="J15658">
        <v>1</v>
      </c>
      <c r="K15658">
        <v>19</v>
      </c>
      <c r="L15658">
        <v>599</v>
      </c>
      <c r="M15658">
        <v>1</v>
      </c>
      <c r="N15658">
        <v>0</v>
      </c>
      <c r="O15658">
        <v>1737</v>
      </c>
    </row>
    <row r="15659" spans="1:15" x14ac:dyDescent="0.25">
      <c r="A15659" t="s">
        <v>15672</v>
      </c>
      <c r="B15659">
        <v>467</v>
      </c>
      <c r="C15659" s="1" t="str">
        <f>HYPERLINK("http://www.rosaceae.org/gb/gbrowse/malus_x_domestica/?name=MDP0000250405","MDP0000250405")</f>
        <v>MDP0000250405</v>
      </c>
      <c r="D15659">
        <v>77.3</v>
      </c>
      <c r="E15659">
        <v>467</v>
      </c>
      <c r="F15659">
        <v>106</v>
      </c>
      <c r="G15659">
        <v>12</v>
      </c>
      <c r="H15659">
        <v>1</v>
      </c>
      <c r="I15659">
        <v>465</v>
      </c>
      <c r="J15659">
        <v>1</v>
      </c>
      <c r="K15659">
        <v>1</v>
      </c>
      <c r="L15659">
        <v>457</v>
      </c>
      <c r="M15659">
        <v>1</v>
      </c>
      <c r="N15659">
        <v>0</v>
      </c>
      <c r="O15659">
        <v>1865</v>
      </c>
    </row>
    <row r="15660" spans="1:15" x14ac:dyDescent="0.25">
      <c r="A15660" t="s">
        <v>15673</v>
      </c>
      <c r="B15660">
        <v>164</v>
      </c>
      <c r="C15660" s="1" t="str">
        <f>HYPERLINK("http://www.rosaceae.org/gb/gbrowse/malus_x_domestica/?name=MDP0000239264","MDP0000239264")</f>
        <v>MDP0000239264</v>
      </c>
      <c r="D15660">
        <v>50.76</v>
      </c>
      <c r="E15660">
        <v>65</v>
      </c>
      <c r="F15660">
        <v>32</v>
      </c>
      <c r="G15660">
        <v>9</v>
      </c>
      <c r="H15660">
        <v>87</v>
      </c>
      <c r="I15660">
        <v>151</v>
      </c>
      <c r="J15660">
        <v>1</v>
      </c>
      <c r="K15660">
        <v>392</v>
      </c>
      <c r="L15660">
        <v>447</v>
      </c>
      <c r="M15660">
        <v>1</v>
      </c>
      <c r="N15660">
        <v>2.1155300000000001E-10</v>
      </c>
      <c r="O15660">
        <v>150</v>
      </c>
    </row>
    <row r="15661" spans="1:15" x14ac:dyDescent="0.25">
      <c r="A15661" t="s">
        <v>15674</v>
      </c>
      <c r="B15661">
        <v>1005</v>
      </c>
      <c r="C15661" s="1" t="str">
        <f>HYPERLINK("http://www.rosaceae.org/gb/gbrowse/malus_x_domestica/?name=MDP0000296747","MDP0000296747")</f>
        <v>MDP0000296747</v>
      </c>
      <c r="D15661">
        <v>76.64</v>
      </c>
      <c r="E15661">
        <v>518</v>
      </c>
      <c r="F15661">
        <v>121</v>
      </c>
      <c r="G15661">
        <v>34</v>
      </c>
      <c r="H15661">
        <v>66</v>
      </c>
      <c r="I15661">
        <v>549</v>
      </c>
      <c r="J15661">
        <v>1</v>
      </c>
      <c r="K15661">
        <v>49</v>
      </c>
      <c r="L15661">
        <v>566</v>
      </c>
      <c r="M15661">
        <v>1</v>
      </c>
      <c r="N15661">
        <v>0</v>
      </c>
      <c r="O15661">
        <v>2150</v>
      </c>
    </row>
    <row r="15662" spans="1:15" x14ac:dyDescent="0.25">
      <c r="A15662" t="s">
        <v>15675</v>
      </c>
      <c r="B15662">
        <v>166</v>
      </c>
      <c r="C15662" s="1" t="str">
        <f>HYPERLINK("http://www.rosaceae.org/gb/gbrowse/malus_x_domestica/?name=MDP0000261648","MDP0000261648")</f>
        <v>MDP0000261648</v>
      </c>
      <c r="D15662">
        <v>55.84</v>
      </c>
      <c r="E15662">
        <v>154</v>
      </c>
      <c r="F15662">
        <v>68</v>
      </c>
      <c r="G15662">
        <v>32</v>
      </c>
      <c r="H15662">
        <v>1</v>
      </c>
      <c r="I15662">
        <v>124</v>
      </c>
      <c r="J15662">
        <v>1</v>
      </c>
      <c r="K15662">
        <v>33</v>
      </c>
      <c r="L15662">
        <v>184</v>
      </c>
      <c r="M15662">
        <v>1</v>
      </c>
      <c r="N15662">
        <v>6.3926799999999996E-37</v>
      </c>
      <c r="O15662">
        <v>379</v>
      </c>
    </row>
    <row r="15663" spans="1:15" x14ac:dyDescent="0.25">
      <c r="A15663" t="s">
        <v>15676</v>
      </c>
      <c r="B15663">
        <v>653</v>
      </c>
      <c r="C15663" s="1" t="str">
        <f>HYPERLINK("http://www.rosaceae.org/gb/gbrowse/malus_x_domestica/?name=MDP0000250605","MDP0000250605")</f>
        <v>MDP0000250605</v>
      </c>
      <c r="D15663">
        <v>61.59</v>
      </c>
      <c r="E15663">
        <v>578</v>
      </c>
      <c r="F15663">
        <v>222</v>
      </c>
      <c r="G15663">
        <v>41</v>
      </c>
      <c r="H15663">
        <v>89</v>
      </c>
      <c r="I15663">
        <v>649</v>
      </c>
      <c r="J15663">
        <v>1</v>
      </c>
      <c r="K15663">
        <v>99</v>
      </c>
      <c r="L15663">
        <v>652</v>
      </c>
      <c r="M15663">
        <v>1</v>
      </c>
      <c r="N15663">
        <v>3.7895300000000001E-180</v>
      </c>
      <c r="O15663">
        <v>1621</v>
      </c>
    </row>
    <row r="15664" spans="1:15" x14ac:dyDescent="0.25">
      <c r="A15664" t="s">
        <v>15677</v>
      </c>
      <c r="B15664">
        <v>373</v>
      </c>
      <c r="C15664" s="1" t="str">
        <f>HYPERLINK("http://www.rosaceae.org/gb/gbrowse/malus_x_domestica/?name=MDP0000321479","MDP0000321479")</f>
        <v>MDP0000321479</v>
      </c>
      <c r="D15664">
        <v>81.459999999999994</v>
      </c>
      <c r="E15664">
        <v>313</v>
      </c>
      <c r="F15664">
        <v>58</v>
      </c>
      <c r="G15664">
        <v>0</v>
      </c>
      <c r="H15664">
        <v>61</v>
      </c>
      <c r="I15664">
        <v>373</v>
      </c>
      <c r="J15664">
        <v>1</v>
      </c>
      <c r="K15664">
        <v>1</v>
      </c>
      <c r="L15664">
        <v>313</v>
      </c>
      <c r="M15664">
        <v>1</v>
      </c>
      <c r="N15664">
        <v>9.8657300000000008E-150</v>
      </c>
      <c r="O15664">
        <v>1356</v>
      </c>
    </row>
    <row r="15665" spans="1:15" x14ac:dyDescent="0.25">
      <c r="A15665" t="s">
        <v>15678</v>
      </c>
      <c r="B15665">
        <v>623</v>
      </c>
      <c r="C15665" s="1" t="str">
        <f>HYPERLINK("http://www.rosaceae.org/gb/gbrowse/malus_x_domestica/?name=MDP0000620897","MDP0000620897")</f>
        <v>MDP0000620897</v>
      </c>
      <c r="D15665">
        <v>73.709999999999994</v>
      </c>
      <c r="E15665">
        <v>624</v>
      </c>
      <c r="F15665">
        <v>164</v>
      </c>
      <c r="G15665">
        <v>13</v>
      </c>
      <c r="H15665">
        <v>1</v>
      </c>
      <c r="I15665">
        <v>623</v>
      </c>
      <c r="J15665">
        <v>1</v>
      </c>
      <c r="K15665">
        <v>46</v>
      </c>
      <c r="L15665">
        <v>657</v>
      </c>
      <c r="M15665">
        <v>1</v>
      </c>
      <c r="N15665">
        <v>0</v>
      </c>
      <c r="O15665">
        <v>2371</v>
      </c>
    </row>
    <row r="15666" spans="1:15" x14ac:dyDescent="0.25">
      <c r="A15666" t="s">
        <v>15679</v>
      </c>
      <c r="B15666">
        <v>491</v>
      </c>
      <c r="C15666" s="1" t="str">
        <f>HYPERLINK("http://www.rosaceae.org/gb/gbrowse/malus_x_domestica/?name=MDP0000174076","MDP0000174076")</f>
        <v>MDP0000174076</v>
      </c>
      <c r="D15666">
        <v>76.010000000000005</v>
      </c>
      <c r="E15666">
        <v>542</v>
      </c>
      <c r="F15666">
        <v>130</v>
      </c>
      <c r="G15666">
        <v>53</v>
      </c>
      <c r="H15666">
        <v>1</v>
      </c>
      <c r="I15666">
        <v>491</v>
      </c>
      <c r="J15666">
        <v>1</v>
      </c>
      <c r="K15666">
        <v>1</v>
      </c>
      <c r="L15666">
        <v>540</v>
      </c>
      <c r="M15666">
        <v>1</v>
      </c>
      <c r="N15666">
        <v>0</v>
      </c>
      <c r="O15666">
        <v>2132</v>
      </c>
    </row>
    <row r="15667" spans="1:15" x14ac:dyDescent="0.25">
      <c r="A15667" t="s">
        <v>15680</v>
      </c>
      <c r="B15667">
        <v>263</v>
      </c>
      <c r="C15667" s="1" t="str">
        <f>HYPERLINK("http://www.rosaceae.org/gb/gbrowse/malus_x_domestica/?name=MDP0000135067","MDP0000135067")</f>
        <v>MDP0000135067</v>
      </c>
      <c r="D15667">
        <v>79.540000000000006</v>
      </c>
      <c r="E15667">
        <v>44</v>
      </c>
      <c r="F15667">
        <v>9</v>
      </c>
      <c r="G15667">
        <v>0</v>
      </c>
      <c r="H15667">
        <v>220</v>
      </c>
      <c r="I15667">
        <v>263</v>
      </c>
      <c r="J15667">
        <v>1</v>
      </c>
      <c r="K15667">
        <v>187</v>
      </c>
      <c r="L15667">
        <v>230</v>
      </c>
      <c r="M15667">
        <v>1</v>
      </c>
      <c r="N15667">
        <v>6.5099100000000006E-14</v>
      </c>
      <c r="O15667">
        <v>183</v>
      </c>
    </row>
    <row r="15668" spans="1:15" x14ac:dyDescent="0.25">
      <c r="A15668" t="s">
        <v>15681</v>
      </c>
      <c r="B15668">
        <v>682</v>
      </c>
      <c r="C15668" s="1" t="str">
        <f>HYPERLINK("http://www.rosaceae.org/gb/gbrowse/malus_x_domestica/?name=MDP0000394762","MDP0000394762")</f>
        <v>MDP0000394762</v>
      </c>
      <c r="D15668">
        <v>33.630000000000003</v>
      </c>
      <c r="E15668">
        <v>660</v>
      </c>
      <c r="F15668">
        <v>438</v>
      </c>
      <c r="G15668">
        <v>36</v>
      </c>
      <c r="H15668">
        <v>17</v>
      </c>
      <c r="I15668">
        <v>664</v>
      </c>
      <c r="J15668">
        <v>1</v>
      </c>
      <c r="K15668">
        <v>199</v>
      </c>
      <c r="L15668">
        <v>834</v>
      </c>
      <c r="M15668">
        <v>1</v>
      </c>
      <c r="N15668">
        <v>1.7999300000000001E-107</v>
      </c>
      <c r="O15668">
        <v>995</v>
      </c>
    </row>
    <row r="15669" spans="1:15" x14ac:dyDescent="0.25">
      <c r="A15669" t="s">
        <v>15682</v>
      </c>
      <c r="B15669">
        <v>464</v>
      </c>
      <c r="C15669" s="1" t="str">
        <f>HYPERLINK("http://www.rosaceae.org/gb/gbrowse/malus_x_domestica/?name=MDP0000310179","MDP0000310179")</f>
        <v>MDP0000310179</v>
      </c>
      <c r="D15669">
        <v>68.47</v>
      </c>
      <c r="E15669">
        <v>479</v>
      </c>
      <c r="F15669">
        <v>151</v>
      </c>
      <c r="G15669">
        <v>16</v>
      </c>
      <c r="H15669">
        <v>1</v>
      </c>
      <c r="I15669">
        <v>464</v>
      </c>
      <c r="J15669">
        <v>1</v>
      </c>
      <c r="K15669">
        <v>5</v>
      </c>
      <c r="L15669">
        <v>482</v>
      </c>
      <c r="M15669">
        <v>1</v>
      </c>
      <c r="N15669">
        <v>0</v>
      </c>
      <c r="O15669">
        <v>1680</v>
      </c>
    </row>
    <row r="15670" spans="1:15" x14ac:dyDescent="0.25">
      <c r="A15670" t="s">
        <v>15683</v>
      </c>
      <c r="B15670">
        <v>1079</v>
      </c>
      <c r="C15670" s="1" t="str">
        <f>HYPERLINK("http://www.rosaceae.org/gb/gbrowse/malus_x_domestica/?name=MDP0000663564","MDP0000663564")</f>
        <v>MDP0000663564</v>
      </c>
      <c r="D15670">
        <v>51.77</v>
      </c>
      <c r="E15670">
        <v>649</v>
      </c>
      <c r="F15670">
        <v>313</v>
      </c>
      <c r="G15670">
        <v>38</v>
      </c>
      <c r="H15670">
        <v>450</v>
      </c>
      <c r="I15670">
        <v>1079</v>
      </c>
      <c r="J15670">
        <v>1</v>
      </c>
      <c r="K15670">
        <v>445</v>
      </c>
      <c r="L15670">
        <v>1074</v>
      </c>
      <c r="M15670">
        <v>1</v>
      </c>
      <c r="N15670">
        <v>4.3939200000000002E-161</v>
      </c>
      <c r="O15670">
        <v>1459</v>
      </c>
    </row>
    <row r="15671" spans="1:15" x14ac:dyDescent="0.25">
      <c r="A15671" t="s">
        <v>15684</v>
      </c>
      <c r="B15671">
        <v>630</v>
      </c>
      <c r="C15671" s="1" t="str">
        <f>HYPERLINK("http://www.rosaceae.org/gb/gbrowse/malus_x_domestica/?name=MDP0000144532","MDP0000144532")</f>
        <v>MDP0000144532</v>
      </c>
      <c r="D15671">
        <v>73.28</v>
      </c>
      <c r="E15671">
        <v>423</v>
      </c>
      <c r="F15671">
        <v>113</v>
      </c>
      <c r="G15671">
        <v>32</v>
      </c>
      <c r="H15671">
        <v>1</v>
      </c>
      <c r="I15671">
        <v>393</v>
      </c>
      <c r="J15671">
        <v>1</v>
      </c>
      <c r="K15671">
        <v>1</v>
      </c>
      <c r="L15671">
        <v>421</v>
      </c>
      <c r="M15671">
        <v>1</v>
      </c>
      <c r="N15671">
        <v>0</v>
      </c>
      <c r="O15671">
        <v>1680</v>
      </c>
    </row>
    <row r="15672" spans="1:15" x14ac:dyDescent="0.25">
      <c r="A15672" t="s">
        <v>15685</v>
      </c>
      <c r="B15672">
        <v>381</v>
      </c>
      <c r="C15672" s="1" t="str">
        <f>HYPERLINK("http://www.rosaceae.org/gb/gbrowse/malus_x_domestica/?name=MDP0000133760","MDP0000133760")</f>
        <v>MDP0000133760</v>
      </c>
      <c r="D15672">
        <v>62.82</v>
      </c>
      <c r="E15672">
        <v>269</v>
      </c>
      <c r="F15672">
        <v>100</v>
      </c>
      <c r="G15672">
        <v>20</v>
      </c>
      <c r="H15672">
        <v>124</v>
      </c>
      <c r="I15672">
        <v>381</v>
      </c>
      <c r="J15672">
        <v>1</v>
      </c>
      <c r="K15672">
        <v>301</v>
      </c>
      <c r="L15672">
        <v>560</v>
      </c>
      <c r="M15672">
        <v>1</v>
      </c>
      <c r="N15672">
        <v>4.8038100000000003E-86</v>
      </c>
      <c r="O15672">
        <v>807</v>
      </c>
    </row>
    <row r="15673" spans="1:15" x14ac:dyDescent="0.25">
      <c r="A15673" t="s">
        <v>15686</v>
      </c>
      <c r="B15673">
        <v>175</v>
      </c>
      <c r="C15673" s="1" t="str">
        <f>HYPERLINK("http://www.rosaceae.org/gb/gbrowse/malus_x_domestica/?name=MDP0000302532","MDP0000302532")</f>
        <v>MDP0000302532</v>
      </c>
      <c r="D15673">
        <v>40.21</v>
      </c>
      <c r="E15673">
        <v>184</v>
      </c>
      <c r="F15673">
        <v>110</v>
      </c>
      <c r="G15673">
        <v>18</v>
      </c>
      <c r="H15673">
        <v>1</v>
      </c>
      <c r="I15673">
        <v>171</v>
      </c>
      <c r="J15673">
        <v>1</v>
      </c>
      <c r="K15673">
        <v>116</v>
      </c>
      <c r="L15673">
        <v>294</v>
      </c>
      <c r="M15673">
        <v>1</v>
      </c>
      <c r="N15673">
        <v>5.4031100000000002E-27</v>
      </c>
      <c r="O15673">
        <v>293</v>
      </c>
    </row>
    <row r="15674" spans="1:15" x14ac:dyDescent="0.25">
      <c r="A15674" t="s">
        <v>15687</v>
      </c>
      <c r="B15674">
        <v>234</v>
      </c>
      <c r="C15674" s="1" t="str">
        <f>HYPERLINK("http://www.rosaceae.org/gb/gbrowse/malus_x_domestica/?name=MDP0000287566","MDP0000287566")</f>
        <v>MDP0000287566</v>
      </c>
      <c r="D15674">
        <v>74.38</v>
      </c>
      <c r="E15674">
        <v>203</v>
      </c>
      <c r="F15674">
        <v>52</v>
      </c>
      <c r="G15674">
        <v>12</v>
      </c>
      <c r="H15674">
        <v>3</v>
      </c>
      <c r="I15674">
        <v>199</v>
      </c>
      <c r="J15674">
        <v>1</v>
      </c>
      <c r="K15674">
        <v>74</v>
      </c>
      <c r="L15674">
        <v>270</v>
      </c>
      <c r="M15674">
        <v>1</v>
      </c>
      <c r="N15674">
        <v>1.2832399999999999E-81</v>
      </c>
      <c r="O15674">
        <v>766</v>
      </c>
    </row>
    <row r="15675" spans="1:15" x14ac:dyDescent="0.25">
      <c r="A15675" t="s">
        <v>15688</v>
      </c>
      <c r="B15675">
        <v>562</v>
      </c>
      <c r="C15675" s="1" t="str">
        <f>HYPERLINK("http://www.rosaceae.org/gb/gbrowse/malus_x_domestica/?name=MDP0000230065","MDP0000230065")</f>
        <v>MDP0000230065</v>
      </c>
      <c r="D15675">
        <v>60.45</v>
      </c>
      <c r="E15675">
        <v>569</v>
      </c>
      <c r="F15675">
        <v>225</v>
      </c>
      <c r="G15675">
        <v>74</v>
      </c>
      <c r="H15675">
        <v>30</v>
      </c>
      <c r="I15675">
        <v>562</v>
      </c>
      <c r="J15675">
        <v>1</v>
      </c>
      <c r="K15675">
        <v>10</v>
      </c>
      <c r="L15675">
        <v>540</v>
      </c>
      <c r="M15675">
        <v>1</v>
      </c>
      <c r="N15675">
        <v>1.6740699999999999E-170</v>
      </c>
      <c r="O15675">
        <v>1537</v>
      </c>
    </row>
    <row r="15676" spans="1:15" x14ac:dyDescent="0.25">
      <c r="A15676" t="s">
        <v>15689</v>
      </c>
      <c r="B15676">
        <v>379</v>
      </c>
      <c r="C15676" s="1" t="str">
        <f>HYPERLINK("http://www.rosaceae.org/gb/gbrowse/malus_x_domestica/?name=MDP0000137179","MDP0000137179")</f>
        <v>MDP0000137179</v>
      </c>
      <c r="D15676">
        <v>63.88</v>
      </c>
      <c r="E15676">
        <v>407</v>
      </c>
      <c r="F15676">
        <v>147</v>
      </c>
      <c r="G15676">
        <v>29</v>
      </c>
      <c r="H15676">
        <v>2</v>
      </c>
      <c r="I15676">
        <v>379</v>
      </c>
      <c r="J15676">
        <v>1</v>
      </c>
      <c r="K15676">
        <v>133</v>
      </c>
      <c r="L15676">
        <v>539</v>
      </c>
      <c r="M15676">
        <v>1</v>
      </c>
      <c r="N15676">
        <v>3.7749400000000002E-144</v>
      </c>
      <c r="O15676">
        <v>1308</v>
      </c>
    </row>
    <row r="15677" spans="1:15" x14ac:dyDescent="0.25">
      <c r="A15677" t="s">
        <v>15690</v>
      </c>
      <c r="B15677">
        <v>594</v>
      </c>
      <c r="C15677" s="1" t="str">
        <f>HYPERLINK("http://www.rosaceae.org/gb/gbrowse/malus_x_domestica/?name=MDP0000814899","MDP0000814899")</f>
        <v>MDP0000814899</v>
      </c>
      <c r="D15677">
        <v>62.95</v>
      </c>
      <c r="E15677">
        <v>602</v>
      </c>
      <c r="F15677">
        <v>223</v>
      </c>
      <c r="G15677">
        <v>48</v>
      </c>
      <c r="H15677">
        <v>2</v>
      </c>
      <c r="I15677">
        <v>593</v>
      </c>
      <c r="J15677">
        <v>1</v>
      </c>
      <c r="K15677">
        <v>245</v>
      </c>
      <c r="L15677">
        <v>808</v>
      </c>
      <c r="M15677">
        <v>1</v>
      </c>
      <c r="N15677">
        <v>0</v>
      </c>
      <c r="O15677">
        <v>1965</v>
      </c>
    </row>
    <row r="15678" spans="1:15" x14ac:dyDescent="0.25">
      <c r="A15678" t="s">
        <v>15691</v>
      </c>
      <c r="B15678">
        <v>774</v>
      </c>
      <c r="C15678" s="1" t="str">
        <f>HYPERLINK("http://www.rosaceae.org/gb/gbrowse/malus_x_domestica/?name=MDP0000231948","MDP0000231948")</f>
        <v>MDP0000231948</v>
      </c>
      <c r="D15678">
        <v>62.34</v>
      </c>
      <c r="E15678">
        <v>401</v>
      </c>
      <c r="F15678">
        <v>151</v>
      </c>
      <c r="G15678">
        <v>6</v>
      </c>
      <c r="H15678">
        <v>14</v>
      </c>
      <c r="I15678">
        <v>409</v>
      </c>
      <c r="J15678">
        <v>1</v>
      </c>
      <c r="K15678">
        <v>18</v>
      </c>
      <c r="L15678">
        <v>417</v>
      </c>
      <c r="M15678">
        <v>1</v>
      </c>
      <c r="N15678">
        <v>2.5178600000000001E-136</v>
      </c>
      <c r="O15678">
        <v>1244</v>
      </c>
    </row>
    <row r="15679" spans="1:15" x14ac:dyDescent="0.25">
      <c r="A15679" t="s">
        <v>15692</v>
      </c>
      <c r="B15679">
        <v>916</v>
      </c>
      <c r="C15679" s="1" t="str">
        <f>HYPERLINK("http://www.rosaceae.org/gb/gbrowse/malus_x_domestica/?name=MDP0000213445","MDP0000213445")</f>
        <v>MDP0000213445</v>
      </c>
      <c r="D15679">
        <v>51.7</v>
      </c>
      <c r="E15679">
        <v>911</v>
      </c>
      <c r="F15679">
        <v>440</v>
      </c>
      <c r="G15679">
        <v>44</v>
      </c>
      <c r="H15679">
        <v>30</v>
      </c>
      <c r="I15679">
        <v>915</v>
      </c>
      <c r="J15679">
        <v>1</v>
      </c>
      <c r="K15679">
        <v>34</v>
      </c>
      <c r="L15679">
        <v>925</v>
      </c>
      <c r="M15679">
        <v>1</v>
      </c>
      <c r="N15679">
        <v>0</v>
      </c>
      <c r="O15679">
        <v>2137</v>
      </c>
    </row>
    <row r="15680" spans="1:15" x14ac:dyDescent="0.25">
      <c r="A15680" t="s">
        <v>15693</v>
      </c>
      <c r="B15680">
        <v>239</v>
      </c>
      <c r="C15680" s="1" t="str">
        <f>HYPERLINK("http://www.rosaceae.org/gb/gbrowse/malus_x_domestica/?name=MDP0000217867","MDP0000217867")</f>
        <v>MDP0000217867</v>
      </c>
      <c r="D15680">
        <v>93.16</v>
      </c>
      <c r="E15680">
        <v>234</v>
      </c>
      <c r="F15680">
        <v>16</v>
      </c>
      <c r="G15680">
        <v>0</v>
      </c>
      <c r="H15680">
        <v>1</v>
      </c>
      <c r="I15680">
        <v>234</v>
      </c>
      <c r="J15680">
        <v>1</v>
      </c>
      <c r="K15680">
        <v>1</v>
      </c>
      <c r="L15680">
        <v>234</v>
      </c>
      <c r="M15680">
        <v>1</v>
      </c>
      <c r="N15680">
        <v>1.23861E-128</v>
      </c>
      <c r="O15680">
        <v>1172</v>
      </c>
    </row>
    <row r="15681" spans="1:15" x14ac:dyDescent="0.25">
      <c r="A15681" t="s">
        <v>15694</v>
      </c>
      <c r="B15681">
        <v>760</v>
      </c>
      <c r="C15681" s="1" t="str">
        <f>HYPERLINK("http://www.rosaceae.org/gb/gbrowse/malus_x_domestica/?name=MDP0000173809","MDP0000173809")</f>
        <v>MDP0000173809</v>
      </c>
      <c r="D15681">
        <v>70.16</v>
      </c>
      <c r="E15681">
        <v>476</v>
      </c>
      <c r="F15681">
        <v>142</v>
      </c>
      <c r="G15681">
        <v>28</v>
      </c>
      <c r="H15681">
        <v>307</v>
      </c>
      <c r="I15681">
        <v>754</v>
      </c>
      <c r="J15681">
        <v>1</v>
      </c>
      <c r="K15681">
        <v>13</v>
      </c>
      <c r="L15681">
        <v>488</v>
      </c>
      <c r="M15681">
        <v>1</v>
      </c>
      <c r="N15681">
        <v>0</v>
      </c>
      <c r="O15681">
        <v>1802</v>
      </c>
    </row>
    <row r="15682" spans="1:15" x14ac:dyDescent="0.25">
      <c r="A15682" t="s">
        <v>15695</v>
      </c>
      <c r="B15682">
        <v>158</v>
      </c>
      <c r="C15682" s="1" t="str">
        <f>HYPERLINK("http://www.rosaceae.org/gb/gbrowse/malus_x_domestica/?name=MDP0000238852","MDP0000238852")</f>
        <v>MDP0000238852</v>
      </c>
      <c r="D15682">
        <v>78.37</v>
      </c>
      <c r="E15682">
        <v>37</v>
      </c>
      <c r="F15682">
        <v>8</v>
      </c>
      <c r="G15682">
        <v>0</v>
      </c>
      <c r="H15682">
        <v>4</v>
      </c>
      <c r="I15682">
        <v>40</v>
      </c>
      <c r="J15682">
        <v>1</v>
      </c>
      <c r="K15682">
        <v>156</v>
      </c>
      <c r="L15682">
        <v>192</v>
      </c>
      <c r="M15682">
        <v>1</v>
      </c>
      <c r="N15682">
        <v>4.4919400000000001E-11</v>
      </c>
      <c r="O15682">
        <v>155</v>
      </c>
    </row>
    <row r="15683" spans="1:15" x14ac:dyDescent="0.25">
      <c r="A15683" t="s">
        <v>15696</v>
      </c>
      <c r="B15683">
        <v>208</v>
      </c>
      <c r="C15683" s="1" t="str">
        <f>HYPERLINK("http://www.rosaceae.org/gb/gbrowse/malus_x_domestica/?name=MDP0000276207","MDP0000276207")</f>
        <v>MDP0000276207</v>
      </c>
      <c r="D15683">
        <v>61.61</v>
      </c>
      <c r="E15683">
        <v>211</v>
      </c>
      <c r="F15683">
        <v>81</v>
      </c>
      <c r="G15683">
        <v>8</v>
      </c>
      <c r="H15683">
        <v>1</v>
      </c>
      <c r="I15683">
        <v>208</v>
      </c>
      <c r="J15683">
        <v>1</v>
      </c>
      <c r="K15683">
        <v>1</v>
      </c>
      <c r="L15683">
        <v>206</v>
      </c>
      <c r="M15683">
        <v>1</v>
      </c>
      <c r="N15683">
        <v>1.0613499999999999E-65</v>
      </c>
      <c r="O15683">
        <v>628</v>
      </c>
    </row>
    <row r="15684" spans="1:15" x14ac:dyDescent="0.25">
      <c r="A15684" t="s">
        <v>15697</v>
      </c>
      <c r="B15684">
        <v>838</v>
      </c>
      <c r="C15684" s="1" t="str">
        <f>HYPERLINK("http://www.rosaceae.org/gb/gbrowse/malus_x_domestica/?name=MDP0000130897","MDP0000130897")</f>
        <v>MDP0000130897</v>
      </c>
      <c r="D15684">
        <v>29.79</v>
      </c>
      <c r="E15684">
        <v>198</v>
      </c>
      <c r="F15684">
        <v>139</v>
      </c>
      <c r="G15684">
        <v>7</v>
      </c>
      <c r="H15684">
        <v>290</v>
      </c>
      <c r="I15684">
        <v>480</v>
      </c>
      <c r="J15684">
        <v>1</v>
      </c>
      <c r="K15684">
        <v>417</v>
      </c>
      <c r="L15684">
        <v>614</v>
      </c>
      <c r="M15684">
        <v>1</v>
      </c>
      <c r="N15684">
        <v>4.2689799999999998E-25</v>
      </c>
      <c r="O15684">
        <v>285</v>
      </c>
    </row>
    <row r="15685" spans="1:15" x14ac:dyDescent="0.25">
      <c r="A15685" t="s">
        <v>15698</v>
      </c>
      <c r="B15685">
        <v>101</v>
      </c>
      <c r="C15685" s="1" t="str">
        <f>HYPERLINK("http://www.rosaceae.org/gb/gbrowse/malus_x_domestica/?name=MDP0000124555","MDP0000124555")</f>
        <v>MDP0000124555</v>
      </c>
      <c r="D15685">
        <v>75</v>
      </c>
      <c r="E15685">
        <v>72</v>
      </c>
      <c r="F15685">
        <v>18</v>
      </c>
      <c r="G15685">
        <v>0</v>
      </c>
      <c r="H15685">
        <v>30</v>
      </c>
      <c r="I15685">
        <v>101</v>
      </c>
      <c r="J15685">
        <v>1</v>
      </c>
      <c r="K15685">
        <v>32</v>
      </c>
      <c r="L15685">
        <v>103</v>
      </c>
      <c r="M15685">
        <v>1</v>
      </c>
      <c r="N15685">
        <v>2.3189599999999998E-28</v>
      </c>
      <c r="O15685">
        <v>302</v>
      </c>
    </row>
    <row r="15686" spans="1:15" x14ac:dyDescent="0.25">
      <c r="A15686" t="s">
        <v>15699</v>
      </c>
      <c r="B15686">
        <v>216</v>
      </c>
      <c r="C15686" s="1" t="str">
        <f>HYPERLINK("http://www.rosaceae.org/gb/gbrowse/malus_x_domestica/?name=MDP0000469508","MDP0000469508")</f>
        <v>MDP0000469508</v>
      </c>
      <c r="D15686">
        <v>35.409999999999997</v>
      </c>
      <c r="E15686">
        <v>96</v>
      </c>
      <c r="F15686">
        <v>62</v>
      </c>
      <c r="G15686">
        <v>0</v>
      </c>
      <c r="H15686">
        <v>31</v>
      </c>
      <c r="I15686">
        <v>126</v>
      </c>
      <c r="J15686">
        <v>1</v>
      </c>
      <c r="K15686">
        <v>15</v>
      </c>
      <c r="L15686">
        <v>110</v>
      </c>
      <c r="M15686">
        <v>1</v>
      </c>
      <c r="N15686">
        <v>1.90968E-10</v>
      </c>
      <c r="O15686">
        <v>152</v>
      </c>
    </row>
    <row r="15687" spans="1:15" x14ac:dyDescent="0.25">
      <c r="A15687" t="s">
        <v>15700</v>
      </c>
      <c r="B15687">
        <v>610</v>
      </c>
      <c r="C15687" s="1" t="str">
        <f>HYPERLINK("http://www.rosaceae.org/gb/gbrowse/malus_x_domestica/?name=MDP0000238639","MDP0000238639")</f>
        <v>MDP0000238639</v>
      </c>
      <c r="D15687">
        <v>59.31</v>
      </c>
      <c r="E15687">
        <v>467</v>
      </c>
      <c r="F15687">
        <v>190</v>
      </c>
      <c r="G15687">
        <v>59</v>
      </c>
      <c r="H15687">
        <v>106</v>
      </c>
      <c r="I15687">
        <v>554</v>
      </c>
      <c r="J15687">
        <v>1</v>
      </c>
      <c r="K15687">
        <v>1</v>
      </c>
      <c r="L15687">
        <v>426</v>
      </c>
      <c r="M15687">
        <v>1</v>
      </c>
      <c r="N15687">
        <v>5.3316700000000003E-148</v>
      </c>
      <c r="O15687">
        <v>1344</v>
      </c>
    </row>
    <row r="15688" spans="1:15" x14ac:dyDescent="0.25">
      <c r="A15688" t="s">
        <v>15701</v>
      </c>
      <c r="B15688">
        <v>1163</v>
      </c>
      <c r="C15688" s="1" t="str">
        <f>HYPERLINK("http://www.rosaceae.org/gb/gbrowse/malus_x_domestica/?name=MDP0000175780","MDP0000175780")</f>
        <v>MDP0000175780</v>
      </c>
      <c r="D15688">
        <v>77.66</v>
      </c>
      <c r="E15688">
        <v>676</v>
      </c>
      <c r="F15688">
        <v>151</v>
      </c>
      <c r="G15688">
        <v>4</v>
      </c>
      <c r="H15688">
        <v>24</v>
      </c>
      <c r="I15688">
        <v>699</v>
      </c>
      <c r="J15688">
        <v>1</v>
      </c>
      <c r="K15688">
        <v>32</v>
      </c>
      <c r="L15688">
        <v>703</v>
      </c>
      <c r="M15688">
        <v>1</v>
      </c>
      <c r="N15688">
        <v>0</v>
      </c>
      <c r="O15688">
        <v>2611</v>
      </c>
    </row>
    <row r="15689" spans="1:15" x14ac:dyDescent="0.25">
      <c r="A15689" t="s">
        <v>15702</v>
      </c>
      <c r="B15689">
        <v>808</v>
      </c>
      <c r="C15689" s="1" t="str">
        <f>HYPERLINK("http://www.rosaceae.org/gb/gbrowse/malus_x_domestica/?name=MDP0000283641","MDP0000283641")</f>
        <v>MDP0000283641</v>
      </c>
      <c r="D15689">
        <v>62.32</v>
      </c>
      <c r="E15689">
        <v>422</v>
      </c>
      <c r="F15689">
        <v>159</v>
      </c>
      <c r="G15689">
        <v>35</v>
      </c>
      <c r="H15689">
        <v>406</v>
      </c>
      <c r="I15689">
        <v>808</v>
      </c>
      <c r="J15689">
        <v>1</v>
      </c>
      <c r="K15689">
        <v>1</v>
      </c>
      <c r="L15689">
        <v>406</v>
      </c>
      <c r="M15689">
        <v>1</v>
      </c>
      <c r="N15689">
        <v>4.6118600000000002E-131</v>
      </c>
      <c r="O15689">
        <v>1199</v>
      </c>
    </row>
    <row r="15690" spans="1:15" x14ac:dyDescent="0.25">
      <c r="A15690" t="s">
        <v>15703</v>
      </c>
      <c r="B15690">
        <v>195</v>
      </c>
      <c r="C15690" s="1" t="str">
        <f>HYPERLINK("http://www.rosaceae.org/gb/gbrowse/malus_x_domestica/?name=MDP0000695917","MDP0000695917")</f>
        <v>MDP0000695917</v>
      </c>
      <c r="D15690">
        <v>32</v>
      </c>
      <c r="E15690">
        <v>200</v>
      </c>
      <c r="F15690">
        <v>136</v>
      </c>
      <c r="G15690">
        <v>20</v>
      </c>
      <c r="H15690">
        <v>1</v>
      </c>
      <c r="I15690">
        <v>195</v>
      </c>
      <c r="J15690">
        <v>1</v>
      </c>
      <c r="K15690">
        <v>15</v>
      </c>
      <c r="L15690">
        <v>199</v>
      </c>
      <c r="M15690">
        <v>1</v>
      </c>
      <c r="N15690">
        <v>5.1781900000000002E-22</v>
      </c>
      <c r="O15690">
        <v>251</v>
      </c>
    </row>
    <row r="15691" spans="1:15" x14ac:dyDescent="0.25">
      <c r="A15691" t="s">
        <v>15704</v>
      </c>
      <c r="B15691">
        <v>416</v>
      </c>
      <c r="C15691" s="1" t="str">
        <f>HYPERLINK("http://www.rosaceae.org/gb/gbrowse/malus_x_domestica/?name=MDP0000391760","MDP0000391760")</f>
        <v>MDP0000391760</v>
      </c>
      <c r="D15691">
        <v>53.73</v>
      </c>
      <c r="E15691">
        <v>361</v>
      </c>
      <c r="F15691">
        <v>167</v>
      </c>
      <c r="G15691">
        <v>35</v>
      </c>
      <c r="H15691">
        <v>21</v>
      </c>
      <c r="I15691">
        <v>376</v>
      </c>
      <c r="J15691">
        <v>1</v>
      </c>
      <c r="K15691">
        <v>131</v>
      </c>
      <c r="L15691">
        <v>461</v>
      </c>
      <c r="M15691">
        <v>1</v>
      </c>
      <c r="N15691">
        <v>2.31164E-90</v>
      </c>
      <c r="O15691">
        <v>845</v>
      </c>
    </row>
    <row r="15692" spans="1:15" x14ac:dyDescent="0.25">
      <c r="A15692" t="s">
        <v>15705</v>
      </c>
      <c r="B15692">
        <v>277</v>
      </c>
      <c r="C15692" s="1" t="str">
        <f>HYPERLINK("http://www.rosaceae.org/gb/gbrowse/malus_x_domestica/?name=MDP0000212684","MDP0000212684")</f>
        <v>MDP0000212684</v>
      </c>
      <c r="D15692">
        <v>45.01</v>
      </c>
      <c r="E15692">
        <v>251</v>
      </c>
      <c r="F15692">
        <v>138</v>
      </c>
      <c r="G15692">
        <v>27</v>
      </c>
      <c r="H15692">
        <v>1</v>
      </c>
      <c r="I15692">
        <v>240</v>
      </c>
      <c r="J15692">
        <v>1</v>
      </c>
      <c r="K15692">
        <v>1</v>
      </c>
      <c r="L15692">
        <v>235</v>
      </c>
      <c r="M15692">
        <v>1</v>
      </c>
      <c r="N15692">
        <v>3.2986200000000002E-51</v>
      </c>
      <c r="O15692">
        <v>505</v>
      </c>
    </row>
    <row r="15693" spans="1:15" x14ac:dyDescent="0.25">
      <c r="A15693" t="s">
        <v>15706</v>
      </c>
      <c r="B15693">
        <v>348</v>
      </c>
      <c r="C15693" s="1" t="str">
        <f>HYPERLINK("http://www.rosaceae.org/gb/gbrowse/malus_x_domestica/?name=MDP0000774306","MDP0000774306")</f>
        <v>MDP0000774306</v>
      </c>
      <c r="D15693">
        <v>41.42</v>
      </c>
      <c r="E15693">
        <v>338</v>
      </c>
      <c r="F15693">
        <v>198</v>
      </c>
      <c r="G15693">
        <v>19</v>
      </c>
      <c r="H15693">
        <v>4</v>
      </c>
      <c r="I15693">
        <v>324</v>
      </c>
      <c r="J15693">
        <v>1</v>
      </c>
      <c r="K15693">
        <v>1</v>
      </c>
      <c r="L15693">
        <v>336</v>
      </c>
      <c r="M15693">
        <v>1</v>
      </c>
      <c r="N15693">
        <v>1.09506E-54</v>
      </c>
      <c r="O15693">
        <v>536</v>
      </c>
    </row>
    <row r="15694" spans="1:15" x14ac:dyDescent="0.25">
      <c r="A15694" t="s">
        <v>15707</v>
      </c>
      <c r="B15694">
        <v>1278</v>
      </c>
      <c r="C15694" s="1" t="str">
        <f>HYPERLINK("http://www.rosaceae.org/gb/gbrowse/malus_x_domestica/?name=MDP0000256558","MDP0000256558")</f>
        <v>MDP0000256558</v>
      </c>
      <c r="D15694">
        <v>70.11</v>
      </c>
      <c r="E15694">
        <v>900</v>
      </c>
      <c r="F15694">
        <v>269</v>
      </c>
      <c r="G15694">
        <v>82</v>
      </c>
      <c r="H15694">
        <v>100</v>
      </c>
      <c r="I15694">
        <v>917</v>
      </c>
      <c r="J15694">
        <v>1</v>
      </c>
      <c r="K15694">
        <v>204</v>
      </c>
      <c r="L15694">
        <v>1103</v>
      </c>
      <c r="M15694">
        <v>1</v>
      </c>
      <c r="N15694">
        <v>0</v>
      </c>
      <c r="O15694">
        <v>3307</v>
      </c>
    </row>
    <row r="15695" spans="1:15" x14ac:dyDescent="0.25">
      <c r="A15695" t="s">
        <v>15708</v>
      </c>
      <c r="B15695">
        <v>181</v>
      </c>
      <c r="C15695" s="1" t="str">
        <f>HYPERLINK("http://www.rosaceae.org/gb/gbrowse/malus_x_domestica/?name=MDP0000440443","MDP0000440443")</f>
        <v>MDP0000440443</v>
      </c>
      <c r="D15695">
        <v>76.709999999999994</v>
      </c>
      <c r="E15695">
        <v>189</v>
      </c>
      <c r="F15695">
        <v>44</v>
      </c>
      <c r="G15695">
        <v>8</v>
      </c>
      <c r="H15695">
        <v>1</v>
      </c>
      <c r="I15695">
        <v>181</v>
      </c>
      <c r="J15695">
        <v>1</v>
      </c>
      <c r="K15695">
        <v>1</v>
      </c>
      <c r="L15695">
        <v>189</v>
      </c>
      <c r="M15695">
        <v>1</v>
      </c>
      <c r="N15695">
        <v>9.8618600000000006E-79</v>
      </c>
      <c r="O15695">
        <v>740</v>
      </c>
    </row>
    <row r="15696" spans="1:15" x14ac:dyDescent="0.25">
      <c r="A15696" t="s">
        <v>15709</v>
      </c>
      <c r="B15696">
        <v>148</v>
      </c>
      <c r="C15696" s="1" t="str">
        <f>HYPERLINK("http://www.rosaceae.org/gb/gbrowse/malus_x_domestica/?name=MDP0000155272","MDP0000155272")</f>
        <v>MDP0000155272</v>
      </c>
      <c r="D15696">
        <v>83.48</v>
      </c>
      <c r="E15696">
        <v>109</v>
      </c>
      <c r="F15696">
        <v>18</v>
      </c>
      <c r="G15696">
        <v>3</v>
      </c>
      <c r="H15696">
        <v>43</v>
      </c>
      <c r="I15696">
        <v>148</v>
      </c>
      <c r="J15696">
        <v>1</v>
      </c>
      <c r="K15696">
        <v>1085</v>
      </c>
      <c r="L15696">
        <v>1193</v>
      </c>
      <c r="M15696">
        <v>1</v>
      </c>
      <c r="N15696">
        <v>3.0273000000000001E-47</v>
      </c>
      <c r="O15696">
        <v>467</v>
      </c>
    </row>
    <row r="15697" spans="1:15" x14ac:dyDescent="0.25">
      <c r="A15697" t="s">
        <v>15710</v>
      </c>
      <c r="B15697">
        <v>447</v>
      </c>
      <c r="C15697" s="1" t="str">
        <f>HYPERLINK("http://www.rosaceae.org/gb/gbrowse/malus_x_domestica/?name=MDP0000216139","MDP0000216139")</f>
        <v>MDP0000216139</v>
      </c>
      <c r="D15697">
        <v>36.32</v>
      </c>
      <c r="E15697">
        <v>457</v>
      </c>
      <c r="F15697">
        <v>291</v>
      </c>
      <c r="G15697">
        <v>42</v>
      </c>
      <c r="H15697">
        <v>17</v>
      </c>
      <c r="I15697">
        <v>446</v>
      </c>
      <c r="J15697">
        <v>1</v>
      </c>
      <c r="K15697">
        <v>32</v>
      </c>
      <c r="L15697">
        <v>473</v>
      </c>
      <c r="M15697">
        <v>1</v>
      </c>
      <c r="N15697">
        <v>1.1016800000000001E-74</v>
      </c>
      <c r="O15697">
        <v>710</v>
      </c>
    </row>
    <row r="15698" spans="1:15" x14ac:dyDescent="0.25">
      <c r="A15698" t="s">
        <v>15711</v>
      </c>
      <c r="B15698">
        <v>573</v>
      </c>
      <c r="C15698" s="1" t="str">
        <f>HYPERLINK("http://www.rosaceae.org/gb/gbrowse/malus_x_domestica/?name=MDP0000154272","MDP0000154272")</f>
        <v>MDP0000154272</v>
      </c>
      <c r="D15698">
        <v>73.75</v>
      </c>
      <c r="E15698">
        <v>564</v>
      </c>
      <c r="F15698">
        <v>148</v>
      </c>
      <c r="G15698">
        <v>28</v>
      </c>
      <c r="H15698">
        <v>1</v>
      </c>
      <c r="I15698">
        <v>546</v>
      </c>
      <c r="J15698">
        <v>1</v>
      </c>
      <c r="K15698">
        <v>1</v>
      </c>
      <c r="L15698">
        <v>554</v>
      </c>
      <c r="M15698">
        <v>1</v>
      </c>
      <c r="N15698">
        <v>0</v>
      </c>
      <c r="O15698">
        <v>2068</v>
      </c>
    </row>
    <row r="15699" spans="1:15" x14ac:dyDescent="0.25">
      <c r="A15699" t="s">
        <v>15712</v>
      </c>
      <c r="B15699">
        <v>213</v>
      </c>
      <c r="C15699" s="1" t="str">
        <f>HYPERLINK("http://www.rosaceae.org/gb/gbrowse/malus_x_domestica/?name=MDP0000865313","MDP0000865313")</f>
        <v>MDP0000865313</v>
      </c>
      <c r="D15699">
        <v>37</v>
      </c>
      <c r="E15699">
        <v>100</v>
      </c>
      <c r="F15699">
        <v>63</v>
      </c>
      <c r="G15699">
        <v>11</v>
      </c>
      <c r="H15699">
        <v>14</v>
      </c>
      <c r="I15699">
        <v>103</v>
      </c>
      <c r="J15699">
        <v>1</v>
      </c>
      <c r="K15699">
        <v>253</v>
      </c>
      <c r="L15699">
        <v>351</v>
      </c>
      <c r="M15699">
        <v>1</v>
      </c>
      <c r="N15699">
        <v>1.0213E-7</v>
      </c>
      <c r="O15699">
        <v>129</v>
      </c>
    </row>
    <row r="15700" spans="1:15" x14ac:dyDescent="0.25">
      <c r="A15700" t="s">
        <v>15713</v>
      </c>
      <c r="B15700">
        <v>128</v>
      </c>
      <c r="C15700" s="1" t="str">
        <f>HYPERLINK("http://www.rosaceae.org/gb/gbrowse/malus_x_domestica/?name=MDP0000596615","MDP0000596615")</f>
        <v>MDP0000596615</v>
      </c>
      <c r="D15700">
        <v>69.53</v>
      </c>
      <c r="E15700">
        <v>128</v>
      </c>
      <c r="F15700">
        <v>39</v>
      </c>
      <c r="G15700">
        <v>9</v>
      </c>
      <c r="H15700">
        <v>1</v>
      </c>
      <c r="I15700">
        <v>128</v>
      </c>
      <c r="J15700">
        <v>1</v>
      </c>
      <c r="K15700">
        <v>1</v>
      </c>
      <c r="L15700">
        <v>119</v>
      </c>
      <c r="M15700">
        <v>1</v>
      </c>
      <c r="N15700">
        <v>1.9471899999999999E-43</v>
      </c>
      <c r="O15700">
        <v>432</v>
      </c>
    </row>
    <row r="15701" spans="1:15" x14ac:dyDescent="0.25">
      <c r="A15701" t="s">
        <v>15714</v>
      </c>
      <c r="B15701">
        <v>390</v>
      </c>
      <c r="C15701" s="1" t="str">
        <f>HYPERLINK("http://www.rosaceae.org/gb/gbrowse/malus_x_domestica/?name=MDP0000267409","MDP0000267409")</f>
        <v>MDP0000267409</v>
      </c>
      <c r="D15701">
        <v>33.770000000000003</v>
      </c>
      <c r="E15701">
        <v>450</v>
      </c>
      <c r="F15701">
        <v>298</v>
      </c>
      <c r="G15701">
        <v>82</v>
      </c>
      <c r="H15701">
        <v>18</v>
      </c>
      <c r="I15701">
        <v>390</v>
      </c>
      <c r="J15701">
        <v>1</v>
      </c>
      <c r="K15701">
        <v>541</v>
      </c>
      <c r="L15701">
        <v>985</v>
      </c>
      <c r="M15701">
        <v>1</v>
      </c>
      <c r="N15701">
        <v>4.9737299999999999E-48</v>
      </c>
      <c r="O15701">
        <v>480</v>
      </c>
    </row>
    <row r="15702" spans="1:15" x14ac:dyDescent="0.25">
      <c r="A15702" t="s">
        <v>15715</v>
      </c>
      <c r="B15702">
        <v>321</v>
      </c>
      <c r="C15702" s="1" t="str">
        <f>HYPERLINK("http://www.rosaceae.org/gb/gbrowse/malus_x_domestica/?name=MDP0000272716","MDP0000272716")</f>
        <v>MDP0000272716</v>
      </c>
      <c r="D15702">
        <v>65.31</v>
      </c>
      <c r="E15702">
        <v>320</v>
      </c>
      <c r="F15702">
        <v>111</v>
      </c>
      <c r="G15702">
        <v>11</v>
      </c>
      <c r="H15702">
        <v>1</v>
      </c>
      <c r="I15702">
        <v>320</v>
      </c>
      <c r="J15702">
        <v>1</v>
      </c>
      <c r="K15702">
        <v>361</v>
      </c>
      <c r="L15702">
        <v>669</v>
      </c>
      <c r="M15702">
        <v>1</v>
      </c>
      <c r="N15702">
        <v>1.8780800000000002E-120</v>
      </c>
      <c r="O15702">
        <v>1103</v>
      </c>
    </row>
    <row r="15703" spans="1:15" x14ac:dyDescent="0.25">
      <c r="A15703" t="s">
        <v>15716</v>
      </c>
      <c r="B15703">
        <v>261</v>
      </c>
      <c r="C15703" s="1" t="str">
        <f>HYPERLINK("http://www.rosaceae.org/gb/gbrowse/malus_x_domestica/?name=MDP0000766591","MDP0000766591")</f>
        <v>MDP0000766591</v>
      </c>
      <c r="D15703">
        <v>40.21</v>
      </c>
      <c r="E15703">
        <v>281</v>
      </c>
      <c r="F15703">
        <v>168</v>
      </c>
      <c r="G15703">
        <v>23</v>
      </c>
      <c r="H15703">
        <v>1</v>
      </c>
      <c r="I15703">
        <v>260</v>
      </c>
      <c r="J15703">
        <v>1</v>
      </c>
      <c r="K15703">
        <v>1</v>
      </c>
      <c r="L15703">
        <v>279</v>
      </c>
      <c r="M15703">
        <v>1</v>
      </c>
      <c r="N15703">
        <v>1.30666E-42</v>
      </c>
      <c r="O15703">
        <v>431</v>
      </c>
    </row>
    <row r="15704" spans="1:15" x14ac:dyDescent="0.25">
      <c r="A15704" t="s">
        <v>15717</v>
      </c>
      <c r="B15704">
        <v>559</v>
      </c>
      <c r="C15704" s="1" t="str">
        <f>HYPERLINK("http://www.rosaceae.org/gb/gbrowse/malus_x_domestica/?name=MDP0000605118","MDP0000605118")</f>
        <v>MDP0000605118</v>
      </c>
      <c r="D15704">
        <v>84.84</v>
      </c>
      <c r="E15704">
        <v>495</v>
      </c>
      <c r="F15704">
        <v>75</v>
      </c>
      <c r="G15704">
        <v>13</v>
      </c>
      <c r="H15704">
        <v>50</v>
      </c>
      <c r="I15704">
        <v>534</v>
      </c>
      <c r="J15704">
        <v>1</v>
      </c>
      <c r="K15704">
        <v>23</v>
      </c>
      <c r="L15704">
        <v>514</v>
      </c>
      <c r="M15704">
        <v>1</v>
      </c>
      <c r="N15704">
        <v>0</v>
      </c>
      <c r="O15704">
        <v>2242</v>
      </c>
    </row>
    <row r="15705" spans="1:15" x14ac:dyDescent="0.25">
      <c r="A15705" t="s">
        <v>15718</v>
      </c>
      <c r="B15705">
        <v>408</v>
      </c>
      <c r="C15705" s="1" t="str">
        <f>HYPERLINK("http://www.rosaceae.org/gb/gbrowse/malus_x_domestica/?name=MDP0000171771","MDP0000171771")</f>
        <v>MDP0000171771</v>
      </c>
      <c r="D15705">
        <v>28.98</v>
      </c>
      <c r="E15705">
        <v>207</v>
      </c>
      <c r="F15705">
        <v>147</v>
      </c>
      <c r="G15705">
        <v>27</v>
      </c>
      <c r="H15705">
        <v>29</v>
      </c>
      <c r="I15705">
        <v>221</v>
      </c>
      <c r="J15705">
        <v>1</v>
      </c>
      <c r="K15705">
        <v>31</v>
      </c>
      <c r="L15705">
        <v>224</v>
      </c>
      <c r="M15705">
        <v>1</v>
      </c>
      <c r="N15705">
        <v>3.6156700000000002E-11</v>
      </c>
      <c r="O15705">
        <v>162</v>
      </c>
    </row>
    <row r="15706" spans="1:15" x14ac:dyDescent="0.25">
      <c r="A15706" t="s">
        <v>15719</v>
      </c>
      <c r="B15706">
        <v>255</v>
      </c>
      <c r="C15706" s="1" t="str">
        <f>HYPERLINK("http://www.rosaceae.org/gb/gbrowse/malus_x_domestica/?name=MDP0000197744","MDP0000197744")</f>
        <v>MDP0000197744</v>
      </c>
      <c r="D15706">
        <v>60.71</v>
      </c>
      <c r="E15706">
        <v>56</v>
      </c>
      <c r="F15706">
        <v>22</v>
      </c>
      <c r="G15706">
        <v>0</v>
      </c>
      <c r="H15706">
        <v>98</v>
      </c>
      <c r="I15706">
        <v>153</v>
      </c>
      <c r="J15706">
        <v>1</v>
      </c>
      <c r="K15706">
        <v>38</v>
      </c>
      <c r="L15706">
        <v>93</v>
      </c>
      <c r="M15706">
        <v>1</v>
      </c>
      <c r="N15706">
        <v>1.5624500000000001E-13</v>
      </c>
      <c r="O15706">
        <v>180</v>
      </c>
    </row>
    <row r="15707" spans="1:15" x14ac:dyDescent="0.25">
      <c r="A15707" t="s">
        <v>15720</v>
      </c>
      <c r="B15707">
        <v>420</v>
      </c>
      <c r="C15707" s="1" t="str">
        <f>HYPERLINK("http://www.rosaceae.org/gb/gbrowse/malus_x_domestica/?name=MDP0000262352","MDP0000262352")</f>
        <v>MDP0000262352</v>
      </c>
      <c r="D15707">
        <v>77.900000000000006</v>
      </c>
      <c r="E15707">
        <v>421</v>
      </c>
      <c r="F15707">
        <v>93</v>
      </c>
      <c r="G15707">
        <v>9</v>
      </c>
      <c r="H15707">
        <v>1</v>
      </c>
      <c r="I15707">
        <v>420</v>
      </c>
      <c r="J15707">
        <v>1</v>
      </c>
      <c r="K15707">
        <v>1</v>
      </c>
      <c r="L15707">
        <v>413</v>
      </c>
      <c r="M15707">
        <v>1</v>
      </c>
      <c r="N15707">
        <v>0</v>
      </c>
      <c r="O15707">
        <v>1670</v>
      </c>
    </row>
    <row r="15708" spans="1:15" x14ac:dyDescent="0.25">
      <c r="A15708" t="s">
        <v>15721</v>
      </c>
      <c r="B15708">
        <v>140</v>
      </c>
      <c r="C15708" s="1" t="str">
        <f>HYPERLINK("http://www.rosaceae.org/gb/gbrowse/malus_x_domestica/?name=MDP0000274031","MDP0000274031")</f>
        <v>MDP0000274031</v>
      </c>
      <c r="D15708">
        <v>85.45</v>
      </c>
      <c r="E15708">
        <v>110</v>
      </c>
      <c r="F15708">
        <v>16</v>
      </c>
      <c r="G15708">
        <v>0</v>
      </c>
      <c r="H15708">
        <v>23</v>
      </c>
      <c r="I15708">
        <v>132</v>
      </c>
      <c r="J15708">
        <v>1</v>
      </c>
      <c r="K15708">
        <v>18</v>
      </c>
      <c r="L15708">
        <v>127</v>
      </c>
      <c r="M15708">
        <v>1</v>
      </c>
      <c r="N15708">
        <v>7.5533599999999998E-53</v>
      </c>
      <c r="O15708">
        <v>514</v>
      </c>
    </row>
    <row r="15709" spans="1:15" x14ac:dyDescent="0.25">
      <c r="A15709" t="s">
        <v>15722</v>
      </c>
      <c r="B15709">
        <v>1274</v>
      </c>
      <c r="C15709" s="1" t="str">
        <f>HYPERLINK("http://www.rosaceae.org/gb/gbrowse/malus_x_domestica/?name=MDP0000158456","MDP0000158456")</f>
        <v>MDP0000158456</v>
      </c>
      <c r="D15709">
        <v>78.08</v>
      </c>
      <c r="E15709">
        <v>1246</v>
      </c>
      <c r="F15709">
        <v>273</v>
      </c>
      <c r="G15709">
        <v>91</v>
      </c>
      <c r="H15709">
        <v>103</v>
      </c>
      <c r="I15709">
        <v>1274</v>
      </c>
      <c r="J15709">
        <v>1</v>
      </c>
      <c r="K15709">
        <v>165</v>
      </c>
      <c r="L15709">
        <v>1393</v>
      </c>
      <c r="M15709">
        <v>1</v>
      </c>
      <c r="N15709">
        <v>0</v>
      </c>
      <c r="O15709">
        <v>4971</v>
      </c>
    </row>
    <row r="15710" spans="1:15" x14ac:dyDescent="0.25">
      <c r="A15710" t="s">
        <v>15723</v>
      </c>
      <c r="B15710">
        <v>527</v>
      </c>
      <c r="C15710" s="1" t="str">
        <f>HYPERLINK("http://www.rosaceae.org/gb/gbrowse/malus_x_domestica/?name=MDP0000122421","MDP0000122421")</f>
        <v>MDP0000122421</v>
      </c>
      <c r="D15710">
        <v>59.49</v>
      </c>
      <c r="E15710">
        <v>590</v>
      </c>
      <c r="F15710">
        <v>239</v>
      </c>
      <c r="G15710">
        <v>63</v>
      </c>
      <c r="H15710">
        <v>1</v>
      </c>
      <c r="I15710">
        <v>527</v>
      </c>
      <c r="J15710">
        <v>1</v>
      </c>
      <c r="K15710">
        <v>1</v>
      </c>
      <c r="L15710">
        <v>590</v>
      </c>
      <c r="M15710">
        <v>1</v>
      </c>
      <c r="N15710">
        <v>8.0192699999999998E-180</v>
      </c>
      <c r="O15710">
        <v>1617</v>
      </c>
    </row>
    <row r="15711" spans="1:15" x14ac:dyDescent="0.25">
      <c r="A15711" t="s">
        <v>15724</v>
      </c>
      <c r="B15711">
        <v>569</v>
      </c>
      <c r="C15711" s="1" t="str">
        <f>HYPERLINK("http://www.rosaceae.org/gb/gbrowse/malus_x_domestica/?name=MDP0000515096","MDP0000515096")</f>
        <v>MDP0000515096</v>
      </c>
      <c r="D15711">
        <v>48.82</v>
      </c>
      <c r="E15711">
        <v>213</v>
      </c>
      <c r="F15711">
        <v>109</v>
      </c>
      <c r="G15711">
        <v>13</v>
      </c>
      <c r="H15711">
        <v>1</v>
      </c>
      <c r="I15711">
        <v>200</v>
      </c>
      <c r="J15711">
        <v>1</v>
      </c>
      <c r="K15711">
        <v>49</v>
      </c>
      <c r="L15711">
        <v>261</v>
      </c>
      <c r="M15711">
        <v>1</v>
      </c>
      <c r="N15711">
        <v>5.53016E-44</v>
      </c>
      <c r="O15711">
        <v>446</v>
      </c>
    </row>
    <row r="15712" spans="1:15" x14ac:dyDescent="0.25">
      <c r="A15712" t="s">
        <v>15725</v>
      </c>
      <c r="B15712">
        <v>608</v>
      </c>
      <c r="C15712" s="1" t="str">
        <f>HYPERLINK("http://www.rosaceae.org/gb/gbrowse/malus_x_domestica/?name=MDP0000141102","MDP0000141102")</f>
        <v>MDP0000141102</v>
      </c>
      <c r="D15712">
        <v>78.78</v>
      </c>
      <c r="E15712">
        <v>575</v>
      </c>
      <c r="F15712">
        <v>122</v>
      </c>
      <c r="G15712">
        <v>45</v>
      </c>
      <c r="H15712">
        <v>1</v>
      </c>
      <c r="I15712">
        <v>530</v>
      </c>
      <c r="J15712">
        <v>1</v>
      </c>
      <c r="K15712">
        <v>1</v>
      </c>
      <c r="L15712">
        <v>575</v>
      </c>
      <c r="M15712">
        <v>1</v>
      </c>
      <c r="N15712">
        <v>0</v>
      </c>
      <c r="O15712">
        <v>2411</v>
      </c>
    </row>
    <row r="15713" spans="1:15" x14ac:dyDescent="0.25">
      <c r="A15713" t="s">
        <v>15726</v>
      </c>
      <c r="B15713">
        <v>313</v>
      </c>
      <c r="C15713" s="1" t="str">
        <f>HYPERLINK("http://www.rosaceae.org/gb/gbrowse/malus_x_domestica/?name=MDP0000262923","MDP0000262923")</f>
        <v>MDP0000262923</v>
      </c>
      <c r="D15713">
        <v>46.55</v>
      </c>
      <c r="E15713">
        <v>174</v>
      </c>
      <c r="F15713">
        <v>93</v>
      </c>
      <c r="G15713">
        <v>10</v>
      </c>
      <c r="H15713">
        <v>60</v>
      </c>
      <c r="I15713">
        <v>233</v>
      </c>
      <c r="J15713">
        <v>1</v>
      </c>
      <c r="K15713">
        <v>368</v>
      </c>
      <c r="L15713">
        <v>531</v>
      </c>
      <c r="M15713">
        <v>1</v>
      </c>
      <c r="N15713">
        <v>1.5168700000000001E-37</v>
      </c>
      <c r="O15713">
        <v>388</v>
      </c>
    </row>
    <row r="15714" spans="1:15" x14ac:dyDescent="0.25">
      <c r="A15714" t="s">
        <v>15727</v>
      </c>
      <c r="B15714">
        <v>439</v>
      </c>
      <c r="C15714" s="1" t="str">
        <f>HYPERLINK("http://www.rosaceae.org/gb/gbrowse/malus_x_domestica/?name=MDP0000827249","MDP0000827249")</f>
        <v>MDP0000827249</v>
      </c>
      <c r="D15714">
        <v>68.73</v>
      </c>
      <c r="E15714">
        <v>451</v>
      </c>
      <c r="F15714">
        <v>141</v>
      </c>
      <c r="G15714">
        <v>26</v>
      </c>
      <c r="H15714">
        <v>3</v>
      </c>
      <c r="I15714">
        <v>439</v>
      </c>
      <c r="J15714">
        <v>1</v>
      </c>
      <c r="K15714">
        <v>6</v>
      </c>
      <c r="L15714">
        <v>444</v>
      </c>
      <c r="M15714">
        <v>1</v>
      </c>
      <c r="N15714">
        <v>1.20657E-162</v>
      </c>
      <c r="O15714">
        <v>1469</v>
      </c>
    </row>
    <row r="15715" spans="1:15" x14ac:dyDescent="0.25">
      <c r="A15715" t="s">
        <v>15728</v>
      </c>
      <c r="B15715">
        <v>650</v>
      </c>
      <c r="C15715" s="1" t="str">
        <f>HYPERLINK("http://www.rosaceae.org/gb/gbrowse/malus_x_domestica/?name=MDP0000253455","MDP0000253455")</f>
        <v>MDP0000253455</v>
      </c>
      <c r="D15715">
        <v>60.22</v>
      </c>
      <c r="E15715">
        <v>621</v>
      </c>
      <c r="F15715">
        <v>247</v>
      </c>
      <c r="G15715">
        <v>33</v>
      </c>
      <c r="H15715">
        <v>34</v>
      </c>
      <c r="I15715">
        <v>627</v>
      </c>
      <c r="J15715">
        <v>1</v>
      </c>
      <c r="K15715">
        <v>32</v>
      </c>
      <c r="L15715">
        <v>646</v>
      </c>
      <c r="M15715">
        <v>1</v>
      </c>
      <c r="N15715">
        <v>0</v>
      </c>
      <c r="O15715">
        <v>1801</v>
      </c>
    </row>
    <row r="15716" spans="1:15" x14ac:dyDescent="0.25">
      <c r="A15716" t="s">
        <v>15729</v>
      </c>
      <c r="B15716">
        <v>500</v>
      </c>
      <c r="C15716" s="1" t="str">
        <f>HYPERLINK("http://www.rosaceae.org/gb/gbrowse/malus_x_domestica/?name=MDP0000267855","MDP0000267855")</f>
        <v>MDP0000267855</v>
      </c>
      <c r="D15716">
        <v>71.53</v>
      </c>
      <c r="E15716">
        <v>390</v>
      </c>
      <c r="F15716">
        <v>111</v>
      </c>
      <c r="G15716">
        <v>15</v>
      </c>
      <c r="H15716">
        <v>30</v>
      </c>
      <c r="I15716">
        <v>404</v>
      </c>
      <c r="J15716">
        <v>1</v>
      </c>
      <c r="K15716">
        <v>308</v>
      </c>
      <c r="L15716">
        <v>697</v>
      </c>
      <c r="M15716">
        <v>1</v>
      </c>
      <c r="N15716">
        <v>9.2937300000000006E-161</v>
      </c>
      <c r="O15716">
        <v>1453</v>
      </c>
    </row>
    <row r="15717" spans="1:15" x14ac:dyDescent="0.25">
      <c r="A15717" t="s">
        <v>15730</v>
      </c>
      <c r="B15717">
        <v>129</v>
      </c>
      <c r="C15717" s="1" t="str">
        <f>HYPERLINK("http://www.rosaceae.org/gb/gbrowse/malus_x_domestica/?name=MDP0000296095","MDP0000296095")</f>
        <v>MDP0000296095</v>
      </c>
      <c r="D15717">
        <v>60</v>
      </c>
      <c r="E15717">
        <v>130</v>
      </c>
      <c r="F15717">
        <v>52</v>
      </c>
      <c r="G15717">
        <v>9</v>
      </c>
      <c r="H15717">
        <v>1</v>
      </c>
      <c r="I15717">
        <v>127</v>
      </c>
      <c r="J15717">
        <v>1</v>
      </c>
      <c r="K15717">
        <v>1</v>
      </c>
      <c r="L15717">
        <v>124</v>
      </c>
      <c r="M15717">
        <v>1</v>
      </c>
      <c r="N15717">
        <v>4.28301E-35</v>
      </c>
      <c r="O15717">
        <v>361</v>
      </c>
    </row>
    <row r="15718" spans="1:15" x14ac:dyDescent="0.25">
      <c r="A15718" t="s">
        <v>15731</v>
      </c>
      <c r="B15718">
        <v>249</v>
      </c>
      <c r="C15718" s="1" t="str">
        <f>HYPERLINK("http://www.rosaceae.org/gb/gbrowse/malus_x_domestica/?name=MDP0000685137","MDP0000685137")</f>
        <v>MDP0000685137</v>
      </c>
      <c r="D15718">
        <v>89.68</v>
      </c>
      <c r="E15718">
        <v>252</v>
      </c>
      <c r="F15718">
        <v>26</v>
      </c>
      <c r="G15718">
        <v>3</v>
      </c>
      <c r="H15718">
        <v>1</v>
      </c>
      <c r="I15718">
        <v>249</v>
      </c>
      <c r="J15718">
        <v>1</v>
      </c>
      <c r="K15718">
        <v>1</v>
      </c>
      <c r="L15718">
        <v>252</v>
      </c>
      <c r="M15718">
        <v>1</v>
      </c>
      <c r="N15718">
        <v>3.64059E-124</v>
      </c>
      <c r="O15718">
        <v>1134</v>
      </c>
    </row>
    <row r="15719" spans="1:15" x14ac:dyDescent="0.25">
      <c r="A15719" t="s">
        <v>15732</v>
      </c>
      <c r="B15719">
        <v>283</v>
      </c>
      <c r="C15719" s="1" t="str">
        <f>HYPERLINK("http://www.rosaceae.org/gb/gbrowse/malus_x_domestica/?name=MDP0000299766","MDP0000299766")</f>
        <v>MDP0000299766</v>
      </c>
      <c r="D15719">
        <v>61.16</v>
      </c>
      <c r="E15719">
        <v>224</v>
      </c>
      <c r="F15719">
        <v>87</v>
      </c>
      <c r="G15719">
        <v>34</v>
      </c>
      <c r="H15719">
        <v>33</v>
      </c>
      <c r="I15719">
        <v>223</v>
      </c>
      <c r="J15719">
        <v>1</v>
      </c>
      <c r="K15719">
        <v>521</v>
      </c>
      <c r="L15719">
        <v>743</v>
      </c>
      <c r="M15719">
        <v>1</v>
      </c>
      <c r="N15719">
        <v>9.4824000000000005E-65</v>
      </c>
      <c r="O15719">
        <v>622</v>
      </c>
    </row>
    <row r="15720" spans="1:15" x14ac:dyDescent="0.25">
      <c r="A15720" t="s">
        <v>15733</v>
      </c>
      <c r="B15720">
        <v>684</v>
      </c>
      <c r="C15720" s="1" t="str">
        <f>HYPERLINK("http://www.rosaceae.org/gb/gbrowse/malus_x_domestica/?name=MDP0000568497","MDP0000568497")</f>
        <v>MDP0000568497</v>
      </c>
      <c r="D15720">
        <v>58.85</v>
      </c>
      <c r="E15720">
        <v>175</v>
      </c>
      <c r="F15720">
        <v>72</v>
      </c>
      <c r="G15720">
        <v>4</v>
      </c>
      <c r="H15720">
        <v>409</v>
      </c>
      <c r="I15720">
        <v>579</v>
      </c>
      <c r="J15720">
        <v>1</v>
      </c>
      <c r="K15720">
        <v>1</v>
      </c>
      <c r="L15720">
        <v>175</v>
      </c>
      <c r="M15720">
        <v>1</v>
      </c>
      <c r="N15720">
        <v>3.0795600000000003E-51</v>
      </c>
      <c r="O15720">
        <v>510</v>
      </c>
    </row>
    <row r="15721" spans="1:15" x14ac:dyDescent="0.25">
      <c r="A15721" t="s">
        <v>15734</v>
      </c>
      <c r="B15721">
        <v>196</v>
      </c>
      <c r="C15721" s="1" t="str">
        <f>HYPERLINK("http://www.rosaceae.org/gb/gbrowse/malus_x_domestica/?name=MDP0000758237","MDP0000758237")</f>
        <v>MDP0000758237</v>
      </c>
      <c r="D15721">
        <v>64.92</v>
      </c>
      <c r="E15721">
        <v>191</v>
      </c>
      <c r="F15721">
        <v>67</v>
      </c>
      <c r="G15721">
        <v>8</v>
      </c>
      <c r="H15721">
        <v>2</v>
      </c>
      <c r="I15721">
        <v>186</v>
      </c>
      <c r="J15721">
        <v>1</v>
      </c>
      <c r="K15721">
        <v>33</v>
      </c>
      <c r="L15721">
        <v>221</v>
      </c>
      <c r="M15721">
        <v>1</v>
      </c>
      <c r="N15721">
        <v>4.95709E-64</v>
      </c>
      <c r="O15721">
        <v>614</v>
      </c>
    </row>
    <row r="15722" spans="1:15" x14ac:dyDescent="0.25">
      <c r="A15722" t="s">
        <v>15735</v>
      </c>
      <c r="B15722">
        <v>147</v>
      </c>
      <c r="C15722" s="1" t="str">
        <f>HYPERLINK("http://www.rosaceae.org/gb/gbrowse/malus_x_domestica/?name=MDP0000154458","MDP0000154458")</f>
        <v>MDP0000154458</v>
      </c>
      <c r="D15722">
        <v>40</v>
      </c>
      <c r="E15722">
        <v>140</v>
      </c>
      <c r="F15722">
        <v>84</v>
      </c>
      <c r="G15722">
        <v>9</v>
      </c>
      <c r="H15722">
        <v>6</v>
      </c>
      <c r="I15722">
        <v>144</v>
      </c>
      <c r="J15722">
        <v>1</v>
      </c>
      <c r="K15722">
        <v>25</v>
      </c>
      <c r="L15722">
        <v>156</v>
      </c>
      <c r="M15722">
        <v>1</v>
      </c>
      <c r="N15722">
        <v>1.11879E-20</v>
      </c>
      <c r="O15722">
        <v>237</v>
      </c>
    </row>
    <row r="15723" spans="1:15" x14ac:dyDescent="0.25">
      <c r="A15723" t="s">
        <v>15736</v>
      </c>
      <c r="B15723">
        <v>471</v>
      </c>
      <c r="C15723" s="1" t="str">
        <f>HYPERLINK("http://www.rosaceae.org/gb/gbrowse/malus_x_domestica/?name=MDP0000167145","MDP0000167145")</f>
        <v>MDP0000167145</v>
      </c>
      <c r="D15723">
        <v>37.799999999999997</v>
      </c>
      <c r="E15723">
        <v>328</v>
      </c>
      <c r="F15723">
        <v>204</v>
      </c>
      <c r="G15723">
        <v>63</v>
      </c>
      <c r="H15723">
        <v>74</v>
      </c>
      <c r="I15723">
        <v>387</v>
      </c>
      <c r="J15723">
        <v>1</v>
      </c>
      <c r="K15723">
        <v>212</v>
      </c>
      <c r="L15723">
        <v>490</v>
      </c>
      <c r="M15723">
        <v>1</v>
      </c>
      <c r="N15723">
        <v>4.3990499999999999E-52</v>
      </c>
      <c r="O15723">
        <v>515</v>
      </c>
    </row>
    <row r="15724" spans="1:15" x14ac:dyDescent="0.25">
      <c r="A15724" t="s">
        <v>15737</v>
      </c>
      <c r="B15724">
        <v>2198</v>
      </c>
      <c r="C15724" s="1" t="str">
        <f>HYPERLINK("http://www.rosaceae.org/gb/gbrowse/malus_x_domestica/?name=MDP0000312998","MDP0000312998")</f>
        <v>MDP0000312998</v>
      </c>
      <c r="D15724">
        <v>45.88</v>
      </c>
      <c r="E15724">
        <v>1543</v>
      </c>
      <c r="F15724">
        <v>835</v>
      </c>
      <c r="G15724">
        <v>174</v>
      </c>
      <c r="H15724">
        <v>79</v>
      </c>
      <c r="I15724">
        <v>1565</v>
      </c>
      <c r="J15724">
        <v>1</v>
      </c>
      <c r="K15724">
        <v>5</v>
      </c>
      <c r="L15724">
        <v>1429</v>
      </c>
      <c r="M15724">
        <v>1</v>
      </c>
      <c r="N15724">
        <v>0</v>
      </c>
      <c r="O15724">
        <v>2853</v>
      </c>
    </row>
    <row r="15725" spans="1:15" x14ac:dyDescent="0.25">
      <c r="A15725" t="s">
        <v>15738</v>
      </c>
      <c r="B15725">
        <v>205</v>
      </c>
      <c r="C15725" s="1" t="str">
        <f>HYPERLINK("http://www.rosaceae.org/gb/gbrowse/malus_x_domestica/?name=MDP0000304623","MDP0000304623")</f>
        <v>MDP0000304623</v>
      </c>
      <c r="D15725">
        <v>68.849999999999994</v>
      </c>
      <c r="E15725">
        <v>122</v>
      </c>
      <c r="F15725">
        <v>38</v>
      </c>
      <c r="G15725">
        <v>21</v>
      </c>
      <c r="H15725">
        <v>1</v>
      </c>
      <c r="I15725">
        <v>102</v>
      </c>
      <c r="J15725">
        <v>1</v>
      </c>
      <c r="K15725">
        <v>1</v>
      </c>
      <c r="L15725">
        <v>121</v>
      </c>
      <c r="M15725">
        <v>1</v>
      </c>
      <c r="N15725">
        <v>8.1012700000000004E-38</v>
      </c>
      <c r="O15725">
        <v>388</v>
      </c>
    </row>
    <row r="15726" spans="1:15" x14ac:dyDescent="0.25">
      <c r="A15726" t="s">
        <v>15739</v>
      </c>
      <c r="B15726">
        <v>195</v>
      </c>
      <c r="C15726" s="1" t="str">
        <f>HYPERLINK("http://www.rosaceae.org/gb/gbrowse/malus_x_domestica/?name=MDP0000786073","MDP0000786073")</f>
        <v>MDP0000786073</v>
      </c>
      <c r="D15726">
        <v>41.71</v>
      </c>
      <c r="E15726">
        <v>175</v>
      </c>
      <c r="F15726">
        <v>102</v>
      </c>
      <c r="G15726">
        <v>37</v>
      </c>
      <c r="H15726">
        <v>31</v>
      </c>
      <c r="I15726">
        <v>173</v>
      </c>
      <c r="J15726">
        <v>1</v>
      </c>
      <c r="K15726">
        <v>21</v>
      </c>
      <c r="L15726">
        <v>190</v>
      </c>
      <c r="M15726">
        <v>1</v>
      </c>
      <c r="N15726">
        <v>5.91947E-21</v>
      </c>
      <c r="O15726">
        <v>242</v>
      </c>
    </row>
    <row r="15727" spans="1:15" x14ac:dyDescent="0.25">
      <c r="A15727" t="s">
        <v>15740</v>
      </c>
      <c r="B15727">
        <v>607</v>
      </c>
      <c r="C15727" s="1" t="str">
        <f>HYPERLINK("http://www.rosaceae.org/gb/gbrowse/malus_x_domestica/?name=MDP0000209313","MDP0000209313")</f>
        <v>MDP0000209313</v>
      </c>
      <c r="D15727">
        <v>48.89</v>
      </c>
      <c r="E15727">
        <v>589</v>
      </c>
      <c r="F15727">
        <v>301</v>
      </c>
      <c r="G15727">
        <v>81</v>
      </c>
      <c r="H15727">
        <v>84</v>
      </c>
      <c r="I15727">
        <v>607</v>
      </c>
      <c r="J15727">
        <v>1</v>
      </c>
      <c r="K15727">
        <v>86</v>
      </c>
      <c r="L15727">
        <v>658</v>
      </c>
      <c r="M15727">
        <v>1</v>
      </c>
      <c r="N15727">
        <v>1.11569E-112</v>
      </c>
      <c r="O15727">
        <v>1039</v>
      </c>
    </row>
    <row r="15728" spans="1:15" x14ac:dyDescent="0.25">
      <c r="A15728" t="s">
        <v>15741</v>
      </c>
      <c r="B15728">
        <v>326</v>
      </c>
      <c r="C15728" s="1" t="str">
        <f>HYPERLINK("http://www.rosaceae.org/gb/gbrowse/malus_x_domestica/?name=MDP0000301965","MDP0000301965")</f>
        <v>MDP0000301965</v>
      </c>
      <c r="D15728">
        <v>39.409999999999997</v>
      </c>
      <c r="E15728">
        <v>373</v>
      </c>
      <c r="F15728">
        <v>226</v>
      </c>
      <c r="G15728">
        <v>70</v>
      </c>
      <c r="H15728">
        <v>1</v>
      </c>
      <c r="I15728">
        <v>313</v>
      </c>
      <c r="J15728">
        <v>1</v>
      </c>
      <c r="K15728">
        <v>94</v>
      </c>
      <c r="L15728">
        <v>456</v>
      </c>
      <c r="M15728">
        <v>1</v>
      </c>
      <c r="N15728">
        <v>1.2380599999999999E-53</v>
      </c>
      <c r="O15728">
        <v>527</v>
      </c>
    </row>
    <row r="15729" spans="1:15" x14ac:dyDescent="0.25">
      <c r="A15729" t="s">
        <v>15742</v>
      </c>
      <c r="B15729">
        <v>424</v>
      </c>
      <c r="C15729" s="1" t="str">
        <f>HYPERLINK("http://www.rosaceae.org/gb/gbrowse/malus_x_domestica/?name=MDP0000213737","MDP0000213737")</f>
        <v>MDP0000213737</v>
      </c>
      <c r="D15729">
        <v>86.37</v>
      </c>
      <c r="E15729">
        <v>301</v>
      </c>
      <c r="F15729">
        <v>41</v>
      </c>
      <c r="G15729">
        <v>7</v>
      </c>
      <c r="H15729">
        <v>124</v>
      </c>
      <c r="I15729">
        <v>424</v>
      </c>
      <c r="J15729">
        <v>1</v>
      </c>
      <c r="K15729">
        <v>66</v>
      </c>
      <c r="L15729">
        <v>359</v>
      </c>
      <c r="M15729">
        <v>1</v>
      </c>
      <c r="N15729">
        <v>6.4493499999999999E-150</v>
      </c>
      <c r="O15729">
        <v>1359</v>
      </c>
    </row>
    <row r="15730" spans="1:15" x14ac:dyDescent="0.25">
      <c r="A15730" t="s">
        <v>15743</v>
      </c>
      <c r="B15730">
        <v>544</v>
      </c>
      <c r="C15730" s="1" t="str">
        <f>HYPERLINK("http://www.rosaceae.org/gb/gbrowse/malus_x_domestica/?name=MDP0000837139","MDP0000837139")</f>
        <v>MDP0000837139</v>
      </c>
      <c r="D15730">
        <v>65.569999999999993</v>
      </c>
      <c r="E15730">
        <v>581</v>
      </c>
      <c r="F15730">
        <v>200</v>
      </c>
      <c r="G15730">
        <v>50</v>
      </c>
      <c r="H15730">
        <v>1</v>
      </c>
      <c r="I15730">
        <v>544</v>
      </c>
      <c r="J15730">
        <v>1</v>
      </c>
      <c r="K15730">
        <v>1</v>
      </c>
      <c r="L15730">
        <v>568</v>
      </c>
      <c r="M15730">
        <v>1</v>
      </c>
      <c r="N15730">
        <v>0</v>
      </c>
      <c r="O15730">
        <v>1706</v>
      </c>
    </row>
    <row r="15731" spans="1:15" x14ac:dyDescent="0.25">
      <c r="A15731" t="s">
        <v>15744</v>
      </c>
      <c r="B15731">
        <v>347</v>
      </c>
      <c r="C15731" s="1" t="str">
        <f>HYPERLINK("http://www.rosaceae.org/gb/gbrowse/malus_x_domestica/?name=MDP0000230828","MDP0000230828")</f>
        <v>MDP0000230828</v>
      </c>
      <c r="D15731">
        <v>64.849999999999994</v>
      </c>
      <c r="E15731">
        <v>350</v>
      </c>
      <c r="F15731">
        <v>123</v>
      </c>
      <c r="G15731">
        <v>10</v>
      </c>
      <c r="H15731">
        <v>1</v>
      </c>
      <c r="I15731">
        <v>347</v>
      </c>
      <c r="J15731">
        <v>1</v>
      </c>
      <c r="K15731">
        <v>1</v>
      </c>
      <c r="L15731">
        <v>343</v>
      </c>
      <c r="M15731">
        <v>1</v>
      </c>
      <c r="N15731">
        <v>7.7115600000000002E-128</v>
      </c>
      <c r="O15731">
        <v>1167</v>
      </c>
    </row>
    <row r="15732" spans="1:15" x14ac:dyDescent="0.25">
      <c r="A15732" t="s">
        <v>15745</v>
      </c>
      <c r="B15732">
        <v>702</v>
      </c>
      <c r="C15732" s="1" t="str">
        <f>HYPERLINK("http://www.rosaceae.org/gb/gbrowse/malus_x_domestica/?name=MDP0000197398","MDP0000197398")</f>
        <v>MDP0000197398</v>
      </c>
      <c r="D15732">
        <v>69.930000000000007</v>
      </c>
      <c r="E15732">
        <v>715</v>
      </c>
      <c r="F15732">
        <v>215</v>
      </c>
      <c r="G15732">
        <v>22</v>
      </c>
      <c r="H15732">
        <v>1</v>
      </c>
      <c r="I15732">
        <v>701</v>
      </c>
      <c r="J15732">
        <v>1</v>
      </c>
      <c r="K15732">
        <v>1</v>
      </c>
      <c r="L15732">
        <v>707</v>
      </c>
      <c r="M15732">
        <v>1</v>
      </c>
      <c r="N15732">
        <v>0</v>
      </c>
      <c r="O15732">
        <v>2570</v>
      </c>
    </row>
    <row r="15733" spans="1:15" x14ac:dyDescent="0.25">
      <c r="A15733" t="s">
        <v>15746</v>
      </c>
      <c r="B15733">
        <v>135</v>
      </c>
      <c r="C15733" s="1" t="str">
        <f>HYPERLINK("http://www.rosaceae.org/gb/gbrowse/malus_x_domestica/?name=MDP0000935646","MDP0000935646")</f>
        <v>MDP0000935646</v>
      </c>
      <c r="D15733">
        <v>45.13</v>
      </c>
      <c r="E15733">
        <v>113</v>
      </c>
      <c r="F15733">
        <v>62</v>
      </c>
      <c r="G15733">
        <v>3</v>
      </c>
      <c r="H15733">
        <v>23</v>
      </c>
      <c r="I15733">
        <v>135</v>
      </c>
      <c r="J15733">
        <v>1</v>
      </c>
      <c r="K15733">
        <v>41</v>
      </c>
      <c r="L15733">
        <v>150</v>
      </c>
      <c r="M15733">
        <v>1</v>
      </c>
      <c r="N15733">
        <v>5.3611799999999999E-20</v>
      </c>
      <c r="O15733">
        <v>231</v>
      </c>
    </row>
    <row r="15734" spans="1:15" x14ac:dyDescent="0.25">
      <c r="A15734" t="s">
        <v>15747</v>
      </c>
      <c r="B15734">
        <v>316</v>
      </c>
      <c r="C15734" s="1" t="str">
        <f>HYPERLINK("http://www.rosaceae.org/gb/gbrowse/malus_x_domestica/?name=MDP0000436890","MDP0000436890")</f>
        <v>MDP0000436890</v>
      </c>
      <c r="D15734">
        <v>75.87</v>
      </c>
      <c r="E15734">
        <v>315</v>
      </c>
      <c r="F15734">
        <v>76</v>
      </c>
      <c r="G15734">
        <v>3</v>
      </c>
      <c r="H15734">
        <v>1</v>
      </c>
      <c r="I15734">
        <v>314</v>
      </c>
      <c r="J15734">
        <v>1</v>
      </c>
      <c r="K15734">
        <v>77</v>
      </c>
      <c r="L15734">
        <v>389</v>
      </c>
      <c r="M15734">
        <v>1</v>
      </c>
      <c r="N15734">
        <v>1.3051399999999999E-144</v>
      </c>
      <c r="O15734">
        <v>1311</v>
      </c>
    </row>
    <row r="15735" spans="1:15" x14ac:dyDescent="0.25">
      <c r="A15735" t="s">
        <v>15748</v>
      </c>
      <c r="B15735">
        <v>256</v>
      </c>
      <c r="C15735" s="1" t="str">
        <f>HYPERLINK("http://www.rosaceae.org/gb/gbrowse/malus_x_domestica/?name=MDP0000213335","MDP0000213335")</f>
        <v>MDP0000213335</v>
      </c>
      <c r="D15735">
        <v>70.44</v>
      </c>
      <c r="E15735">
        <v>291</v>
      </c>
      <c r="F15735">
        <v>86</v>
      </c>
      <c r="G15735">
        <v>39</v>
      </c>
      <c r="H15735">
        <v>1</v>
      </c>
      <c r="I15735">
        <v>252</v>
      </c>
      <c r="J15735">
        <v>1</v>
      </c>
      <c r="K15735">
        <v>1</v>
      </c>
      <c r="L15735">
        <v>291</v>
      </c>
      <c r="M15735">
        <v>1</v>
      </c>
      <c r="N15735">
        <v>2.5841300000000001E-113</v>
      </c>
      <c r="O15735">
        <v>1040</v>
      </c>
    </row>
    <row r="15736" spans="1:15" x14ac:dyDescent="0.25">
      <c r="A15736" t="s">
        <v>15749</v>
      </c>
      <c r="B15736">
        <v>705</v>
      </c>
      <c r="C15736" s="1" t="str">
        <f>HYPERLINK("http://www.rosaceae.org/gb/gbrowse/malus_x_domestica/?name=MDP0000776452","MDP0000776452")</f>
        <v>MDP0000776452</v>
      </c>
      <c r="D15736">
        <v>50.12</v>
      </c>
      <c r="E15736">
        <v>391</v>
      </c>
      <c r="F15736">
        <v>195</v>
      </c>
      <c r="G15736">
        <v>51</v>
      </c>
      <c r="H15736">
        <v>244</v>
      </c>
      <c r="I15736">
        <v>633</v>
      </c>
      <c r="J15736">
        <v>1</v>
      </c>
      <c r="K15736">
        <v>8</v>
      </c>
      <c r="L15736">
        <v>348</v>
      </c>
      <c r="M15736">
        <v>1</v>
      </c>
      <c r="N15736">
        <v>1.3352E-103</v>
      </c>
      <c r="O15736">
        <v>961</v>
      </c>
    </row>
    <row r="15737" spans="1:15" x14ac:dyDescent="0.25">
      <c r="A15737" t="s">
        <v>15750</v>
      </c>
      <c r="B15737">
        <v>287</v>
      </c>
      <c r="C15737" s="1" t="str">
        <f>HYPERLINK("http://www.rosaceae.org/gb/gbrowse/malus_x_domestica/?name=MDP0000196329","MDP0000196329")</f>
        <v>MDP0000196329</v>
      </c>
      <c r="D15737">
        <v>51.02</v>
      </c>
      <c r="E15737">
        <v>243</v>
      </c>
      <c r="F15737">
        <v>119</v>
      </c>
      <c r="G15737">
        <v>24</v>
      </c>
      <c r="H15737">
        <v>33</v>
      </c>
      <c r="I15737">
        <v>258</v>
      </c>
      <c r="J15737">
        <v>1</v>
      </c>
      <c r="K15737">
        <v>78</v>
      </c>
      <c r="L15737">
        <v>313</v>
      </c>
      <c r="M15737">
        <v>1</v>
      </c>
      <c r="N15737">
        <v>2.4121E-56</v>
      </c>
      <c r="O15737">
        <v>550</v>
      </c>
    </row>
    <row r="15738" spans="1:15" x14ac:dyDescent="0.25">
      <c r="A15738" t="s">
        <v>15751</v>
      </c>
      <c r="B15738">
        <v>237</v>
      </c>
      <c r="C15738" s="1" t="str">
        <f>HYPERLINK("http://www.rosaceae.org/gb/gbrowse/malus_x_domestica/?name=MDP0000183720","MDP0000183720")</f>
        <v>MDP0000183720</v>
      </c>
      <c r="D15738">
        <v>56.53</v>
      </c>
      <c r="E15738">
        <v>260</v>
      </c>
      <c r="F15738">
        <v>113</v>
      </c>
      <c r="G15738">
        <v>31</v>
      </c>
      <c r="H15738">
        <v>1</v>
      </c>
      <c r="I15738">
        <v>237</v>
      </c>
      <c r="J15738">
        <v>1</v>
      </c>
      <c r="K15738">
        <v>1</v>
      </c>
      <c r="L15738">
        <v>252</v>
      </c>
      <c r="M15738">
        <v>1</v>
      </c>
      <c r="N15738">
        <v>4.9129200000000003E-74</v>
      </c>
      <c r="O15738">
        <v>701</v>
      </c>
    </row>
    <row r="15739" spans="1:15" x14ac:dyDescent="0.25">
      <c r="A15739" t="s">
        <v>15752</v>
      </c>
      <c r="B15739">
        <v>426</v>
      </c>
      <c r="C15739" s="1" t="str">
        <f>HYPERLINK("http://www.rosaceae.org/gb/gbrowse/malus_x_domestica/?name=MDP0000287176","MDP0000287176")</f>
        <v>MDP0000287176</v>
      </c>
      <c r="D15739">
        <v>56.17</v>
      </c>
      <c r="E15739">
        <v>340</v>
      </c>
      <c r="F15739">
        <v>149</v>
      </c>
      <c r="G15739">
        <v>48</v>
      </c>
      <c r="H15739">
        <v>135</v>
      </c>
      <c r="I15739">
        <v>426</v>
      </c>
      <c r="J15739">
        <v>1</v>
      </c>
      <c r="K15739">
        <v>90</v>
      </c>
      <c r="L15739">
        <v>429</v>
      </c>
      <c r="M15739">
        <v>1</v>
      </c>
      <c r="N15739">
        <v>9.0986000000000001E-107</v>
      </c>
      <c r="O15739">
        <v>986</v>
      </c>
    </row>
    <row r="15740" spans="1:15" x14ac:dyDescent="0.25">
      <c r="A15740" t="s">
        <v>15753</v>
      </c>
      <c r="B15740">
        <v>412</v>
      </c>
      <c r="C15740" s="1" t="str">
        <f>HYPERLINK("http://www.rosaceae.org/gb/gbrowse/malus_x_domestica/?name=MDP0000261960","MDP0000261960")</f>
        <v>MDP0000261960</v>
      </c>
      <c r="D15740">
        <v>65.760000000000005</v>
      </c>
      <c r="E15740">
        <v>371</v>
      </c>
      <c r="F15740">
        <v>127</v>
      </c>
      <c r="G15740">
        <v>2</v>
      </c>
      <c r="H15740">
        <v>31</v>
      </c>
      <c r="I15740">
        <v>399</v>
      </c>
      <c r="J15740">
        <v>1</v>
      </c>
      <c r="K15740">
        <v>28</v>
      </c>
      <c r="L15740">
        <v>398</v>
      </c>
      <c r="M15740">
        <v>1</v>
      </c>
      <c r="N15740">
        <v>2.0311599999999998E-146</v>
      </c>
      <c r="O15740">
        <v>1328</v>
      </c>
    </row>
    <row r="15741" spans="1:15" x14ac:dyDescent="0.25">
      <c r="A15741" t="s">
        <v>15754</v>
      </c>
      <c r="B15741">
        <v>335</v>
      </c>
      <c r="C15741" s="1" t="str">
        <f>HYPERLINK("http://www.rosaceae.org/gb/gbrowse/malus_x_domestica/?name=MDP0000186417","MDP0000186417")</f>
        <v>MDP0000186417</v>
      </c>
      <c r="D15741">
        <v>54.35</v>
      </c>
      <c r="E15741">
        <v>287</v>
      </c>
      <c r="F15741">
        <v>131</v>
      </c>
      <c r="G15741">
        <v>15</v>
      </c>
      <c r="H15741">
        <v>44</v>
      </c>
      <c r="I15741">
        <v>319</v>
      </c>
      <c r="J15741">
        <v>1</v>
      </c>
      <c r="K15741">
        <v>446</v>
      </c>
      <c r="L15741">
        <v>728</v>
      </c>
      <c r="M15741">
        <v>1</v>
      </c>
      <c r="N15741">
        <v>2.2137699999999999E-85</v>
      </c>
      <c r="O15741">
        <v>801</v>
      </c>
    </row>
    <row r="15742" spans="1:15" x14ac:dyDescent="0.25">
      <c r="A15742" t="s">
        <v>15755</v>
      </c>
      <c r="B15742">
        <v>591</v>
      </c>
      <c r="C15742" s="1" t="str">
        <f>HYPERLINK("http://www.rosaceae.org/gb/gbrowse/malus_x_domestica/?name=MDP0000314807","MDP0000314807")</f>
        <v>MDP0000314807</v>
      </c>
      <c r="D15742">
        <v>69.73</v>
      </c>
      <c r="E15742">
        <v>565</v>
      </c>
      <c r="F15742">
        <v>171</v>
      </c>
      <c r="G15742">
        <v>2</v>
      </c>
      <c r="H15742">
        <v>1</v>
      </c>
      <c r="I15742">
        <v>565</v>
      </c>
      <c r="J15742">
        <v>1</v>
      </c>
      <c r="K15742">
        <v>19</v>
      </c>
      <c r="L15742">
        <v>581</v>
      </c>
      <c r="M15742">
        <v>1</v>
      </c>
      <c r="N15742">
        <v>0</v>
      </c>
      <c r="O15742">
        <v>2040</v>
      </c>
    </row>
    <row r="15743" spans="1:15" x14ac:dyDescent="0.25">
      <c r="A15743" t="s">
        <v>15756</v>
      </c>
      <c r="B15743">
        <v>460</v>
      </c>
      <c r="C15743" s="1" t="str">
        <f>HYPERLINK("http://www.rosaceae.org/gb/gbrowse/malus_x_domestica/?name=MDP0000134278","MDP0000134278")</f>
        <v>MDP0000134278</v>
      </c>
      <c r="D15743">
        <v>76.19</v>
      </c>
      <c r="E15743">
        <v>462</v>
      </c>
      <c r="F15743">
        <v>110</v>
      </c>
      <c r="G15743">
        <v>4</v>
      </c>
      <c r="H15743">
        <v>1</v>
      </c>
      <c r="I15743">
        <v>458</v>
      </c>
      <c r="J15743">
        <v>1</v>
      </c>
      <c r="K15743">
        <v>1</v>
      </c>
      <c r="L15743">
        <v>462</v>
      </c>
      <c r="M15743">
        <v>1</v>
      </c>
      <c r="N15743">
        <v>0</v>
      </c>
      <c r="O15743">
        <v>1836</v>
      </c>
    </row>
    <row r="15744" spans="1:15" x14ac:dyDescent="0.25">
      <c r="A15744" t="s">
        <v>15757</v>
      </c>
      <c r="B15744">
        <v>290</v>
      </c>
      <c r="C15744" s="1" t="str">
        <f>HYPERLINK("http://www.rosaceae.org/gb/gbrowse/malus_x_domestica/?name=MDP0000527802","MDP0000527802")</f>
        <v>MDP0000527802</v>
      </c>
      <c r="D15744">
        <v>63.66</v>
      </c>
      <c r="E15744">
        <v>300</v>
      </c>
      <c r="F15744">
        <v>109</v>
      </c>
      <c r="G15744">
        <v>16</v>
      </c>
      <c r="H15744">
        <v>1</v>
      </c>
      <c r="I15744">
        <v>290</v>
      </c>
      <c r="J15744">
        <v>1</v>
      </c>
      <c r="K15744">
        <v>1</v>
      </c>
      <c r="L15744">
        <v>294</v>
      </c>
      <c r="M15744">
        <v>1</v>
      </c>
      <c r="N15744">
        <v>2.9057699999999999E-100</v>
      </c>
      <c r="O15744">
        <v>928</v>
      </c>
    </row>
    <row r="15745" spans="1:15" x14ac:dyDescent="0.25">
      <c r="A15745" t="s">
        <v>15758</v>
      </c>
      <c r="B15745">
        <v>279</v>
      </c>
      <c r="C15745" s="1" t="str">
        <f>HYPERLINK("http://www.rosaceae.org/gb/gbrowse/malus_x_domestica/?name=MDP0000322240","MDP0000322240")</f>
        <v>MDP0000322240</v>
      </c>
      <c r="D15745">
        <v>79.25</v>
      </c>
      <c r="E15745">
        <v>135</v>
      </c>
      <c r="F15745">
        <v>28</v>
      </c>
      <c r="G15745">
        <v>0</v>
      </c>
      <c r="H15745">
        <v>145</v>
      </c>
      <c r="I15745">
        <v>279</v>
      </c>
      <c r="J15745">
        <v>1</v>
      </c>
      <c r="K15745">
        <v>1</v>
      </c>
      <c r="L15745">
        <v>135</v>
      </c>
      <c r="M15745">
        <v>1</v>
      </c>
      <c r="N15745">
        <v>1.7095100000000001E-55</v>
      </c>
      <c r="O15745">
        <v>542</v>
      </c>
    </row>
    <row r="15746" spans="1:15" x14ac:dyDescent="0.25">
      <c r="A15746" t="s">
        <v>15759</v>
      </c>
      <c r="B15746">
        <v>1176</v>
      </c>
      <c r="C15746" s="1" t="str">
        <f>HYPERLINK("http://www.rosaceae.org/gb/gbrowse/malus_x_domestica/?name=MDP0000283949","MDP0000283949")</f>
        <v>MDP0000283949</v>
      </c>
      <c r="D15746">
        <v>59.71</v>
      </c>
      <c r="E15746">
        <v>350</v>
      </c>
      <c r="F15746">
        <v>141</v>
      </c>
      <c r="G15746">
        <v>11</v>
      </c>
      <c r="H15746">
        <v>265</v>
      </c>
      <c r="I15746">
        <v>605</v>
      </c>
      <c r="J15746">
        <v>1</v>
      </c>
      <c r="K15746">
        <v>3</v>
      </c>
      <c r="L15746">
        <v>350</v>
      </c>
      <c r="M15746">
        <v>1</v>
      </c>
      <c r="N15746">
        <v>1.6221100000000001E-113</v>
      </c>
      <c r="O15746">
        <v>1049</v>
      </c>
    </row>
    <row r="15747" spans="1:15" x14ac:dyDescent="0.25">
      <c r="A15747" t="s">
        <v>15760</v>
      </c>
      <c r="B15747">
        <v>213</v>
      </c>
      <c r="C15747" s="1" t="str">
        <f>HYPERLINK("http://www.rosaceae.org/gb/gbrowse/malus_x_domestica/?name=MDP0000139025","MDP0000139025")</f>
        <v>MDP0000139025</v>
      </c>
      <c r="D15747">
        <v>60.98</v>
      </c>
      <c r="E15747">
        <v>223</v>
      </c>
      <c r="F15747">
        <v>87</v>
      </c>
      <c r="G15747">
        <v>18</v>
      </c>
      <c r="H15747">
        <v>1</v>
      </c>
      <c r="I15747">
        <v>213</v>
      </c>
      <c r="J15747">
        <v>1</v>
      </c>
      <c r="K15747">
        <v>1</v>
      </c>
      <c r="L15747">
        <v>215</v>
      </c>
      <c r="M15747">
        <v>1</v>
      </c>
      <c r="N15747">
        <v>3.3383399999999999E-66</v>
      </c>
      <c r="O15747">
        <v>633</v>
      </c>
    </row>
    <row r="15748" spans="1:15" x14ac:dyDescent="0.25">
      <c r="A15748" t="s">
        <v>15761</v>
      </c>
      <c r="B15748">
        <v>683</v>
      </c>
      <c r="C15748" s="1" t="str">
        <f>HYPERLINK("http://www.rosaceae.org/gb/gbrowse/malus_x_domestica/?name=MDP0000321479","MDP0000321479")</f>
        <v>MDP0000321479</v>
      </c>
      <c r="D15748">
        <v>84.66</v>
      </c>
      <c r="E15748">
        <v>313</v>
      </c>
      <c r="F15748">
        <v>48</v>
      </c>
      <c r="G15748">
        <v>0</v>
      </c>
      <c r="H15748">
        <v>371</v>
      </c>
      <c r="I15748">
        <v>683</v>
      </c>
      <c r="J15748">
        <v>1</v>
      </c>
      <c r="K15748">
        <v>1</v>
      </c>
      <c r="L15748">
        <v>313</v>
      </c>
      <c r="M15748">
        <v>1</v>
      </c>
      <c r="N15748">
        <v>8.2502999999999996E-157</v>
      </c>
      <c r="O15748">
        <v>1420</v>
      </c>
    </row>
    <row r="15749" spans="1:15" x14ac:dyDescent="0.25">
      <c r="A15749" t="s">
        <v>15762</v>
      </c>
      <c r="B15749">
        <v>278</v>
      </c>
      <c r="C15749" s="1" t="str">
        <f>HYPERLINK("http://www.rosaceae.org/gb/gbrowse/malus_x_domestica/?name=MDP0000500222","MDP0000500222")</f>
        <v>MDP0000500222</v>
      </c>
      <c r="D15749">
        <v>26.49</v>
      </c>
      <c r="E15749">
        <v>302</v>
      </c>
      <c r="F15749">
        <v>222</v>
      </c>
      <c r="G15749">
        <v>67</v>
      </c>
      <c r="H15749">
        <v>13</v>
      </c>
      <c r="I15749">
        <v>274</v>
      </c>
      <c r="J15749">
        <v>1</v>
      </c>
      <c r="K15749">
        <v>69</v>
      </c>
      <c r="L15749">
        <v>343</v>
      </c>
      <c r="M15749">
        <v>1</v>
      </c>
      <c r="N15749">
        <v>1.3057699999999999E-15</v>
      </c>
      <c r="O15749">
        <v>198</v>
      </c>
    </row>
    <row r="15750" spans="1:15" x14ac:dyDescent="0.25">
      <c r="A15750" t="s">
        <v>15763</v>
      </c>
      <c r="B15750">
        <v>494</v>
      </c>
      <c r="C15750" s="1" t="str">
        <f>HYPERLINK("http://www.rosaceae.org/gb/gbrowse/malus_x_domestica/?name=MDP0000292233","MDP0000292233")</f>
        <v>MDP0000292233</v>
      </c>
      <c r="D15750">
        <v>75.63</v>
      </c>
      <c r="E15750">
        <v>394</v>
      </c>
      <c r="F15750">
        <v>96</v>
      </c>
      <c r="G15750">
        <v>4</v>
      </c>
      <c r="H15750">
        <v>1</v>
      </c>
      <c r="I15750">
        <v>393</v>
      </c>
      <c r="J15750">
        <v>1</v>
      </c>
      <c r="K15750">
        <v>1</v>
      </c>
      <c r="L15750">
        <v>391</v>
      </c>
      <c r="M15750">
        <v>1</v>
      </c>
      <c r="N15750">
        <v>5.6696799999999997E-172</v>
      </c>
      <c r="O15750">
        <v>1549</v>
      </c>
    </row>
    <row r="15751" spans="1:15" x14ac:dyDescent="0.25">
      <c r="A15751" t="s">
        <v>15764</v>
      </c>
      <c r="B15751">
        <v>474</v>
      </c>
      <c r="C15751" s="1" t="str">
        <f>HYPERLINK("http://www.rosaceae.org/gb/gbrowse/malus_x_domestica/?name=MDP0000203964","MDP0000203964")</f>
        <v>MDP0000203964</v>
      </c>
      <c r="D15751">
        <v>44.46</v>
      </c>
      <c r="E15751">
        <v>524</v>
      </c>
      <c r="F15751">
        <v>291</v>
      </c>
      <c r="G15751">
        <v>92</v>
      </c>
      <c r="H15751">
        <v>3</v>
      </c>
      <c r="I15751">
        <v>438</v>
      </c>
      <c r="J15751">
        <v>1</v>
      </c>
      <c r="K15751">
        <v>23</v>
      </c>
      <c r="L15751">
        <v>542</v>
      </c>
      <c r="M15751">
        <v>1</v>
      </c>
      <c r="N15751">
        <v>4.8276299999999998E-105</v>
      </c>
      <c r="O15751">
        <v>972</v>
      </c>
    </row>
    <row r="15752" spans="1:15" x14ac:dyDescent="0.25">
      <c r="A15752" t="s">
        <v>15765</v>
      </c>
      <c r="B15752">
        <v>475</v>
      </c>
      <c r="C15752" s="1" t="str">
        <f>HYPERLINK("http://www.rosaceae.org/gb/gbrowse/malus_x_domestica/?name=MDP0000873233","MDP0000873233")</f>
        <v>MDP0000873233</v>
      </c>
      <c r="D15752">
        <v>66.959999999999994</v>
      </c>
      <c r="E15752">
        <v>454</v>
      </c>
      <c r="F15752">
        <v>150</v>
      </c>
      <c r="G15752">
        <v>15</v>
      </c>
      <c r="H15752">
        <v>1</v>
      </c>
      <c r="I15752">
        <v>447</v>
      </c>
      <c r="J15752">
        <v>1</v>
      </c>
      <c r="K15752">
        <v>1</v>
      </c>
      <c r="L15752">
        <v>446</v>
      </c>
      <c r="M15752">
        <v>1</v>
      </c>
      <c r="N15752">
        <v>4.1257999999999998E-167</v>
      </c>
      <c r="O15752">
        <v>1507</v>
      </c>
    </row>
    <row r="15753" spans="1:15" x14ac:dyDescent="0.25">
      <c r="A15753" t="s">
        <v>15766</v>
      </c>
      <c r="B15753">
        <v>413</v>
      </c>
      <c r="C15753" s="1" t="str">
        <f>HYPERLINK("http://www.rosaceae.org/gb/gbrowse/malus_x_domestica/?name=MDP0000300536","MDP0000300536")</f>
        <v>MDP0000300536</v>
      </c>
      <c r="D15753">
        <v>43.86</v>
      </c>
      <c r="E15753">
        <v>424</v>
      </c>
      <c r="F15753">
        <v>238</v>
      </c>
      <c r="G15753">
        <v>28</v>
      </c>
      <c r="H15753">
        <v>1</v>
      </c>
      <c r="I15753">
        <v>408</v>
      </c>
      <c r="J15753">
        <v>1</v>
      </c>
      <c r="K15753">
        <v>432</v>
      </c>
      <c r="L15753">
        <v>843</v>
      </c>
      <c r="M15753">
        <v>1</v>
      </c>
      <c r="N15753">
        <v>2.21605E-87</v>
      </c>
      <c r="O15753">
        <v>819</v>
      </c>
    </row>
    <row r="15754" spans="1:15" x14ac:dyDescent="0.25">
      <c r="A15754" t="s">
        <v>15767</v>
      </c>
      <c r="B15754">
        <v>390</v>
      </c>
      <c r="C15754" s="1" t="str">
        <f>HYPERLINK("http://www.rosaceae.org/gb/gbrowse/malus_x_domestica/?name=MDP0000807780","MDP0000807780")</f>
        <v>MDP0000807780</v>
      </c>
      <c r="D15754">
        <v>58.86</v>
      </c>
      <c r="E15754">
        <v>406</v>
      </c>
      <c r="F15754">
        <v>167</v>
      </c>
      <c r="G15754">
        <v>55</v>
      </c>
      <c r="H15754">
        <v>1</v>
      </c>
      <c r="I15754">
        <v>351</v>
      </c>
      <c r="J15754">
        <v>1</v>
      </c>
      <c r="K15754">
        <v>150</v>
      </c>
      <c r="L15754">
        <v>555</v>
      </c>
      <c r="M15754">
        <v>1</v>
      </c>
      <c r="N15754">
        <v>4.4590300000000003E-137</v>
      </c>
      <c r="O15754">
        <v>1247</v>
      </c>
    </row>
    <row r="15755" spans="1:15" x14ac:dyDescent="0.25">
      <c r="A15755" t="s">
        <v>15768</v>
      </c>
      <c r="B15755">
        <v>386</v>
      </c>
      <c r="C15755" s="1" t="str">
        <f>HYPERLINK("http://www.rosaceae.org/gb/gbrowse/malus_x_domestica/?name=MDP0000201653","MDP0000201653")</f>
        <v>MDP0000201653</v>
      </c>
      <c r="D15755">
        <v>81.489999999999995</v>
      </c>
      <c r="E15755">
        <v>416</v>
      </c>
      <c r="F15755">
        <v>77</v>
      </c>
      <c r="G15755">
        <v>30</v>
      </c>
      <c r="H15755">
        <v>1</v>
      </c>
      <c r="I15755">
        <v>386</v>
      </c>
      <c r="J15755">
        <v>1</v>
      </c>
      <c r="K15755">
        <v>1</v>
      </c>
      <c r="L15755">
        <v>416</v>
      </c>
      <c r="M15755">
        <v>1</v>
      </c>
      <c r="N15755">
        <v>0</v>
      </c>
      <c r="O15755">
        <v>1842</v>
      </c>
    </row>
    <row r="15756" spans="1:15" x14ac:dyDescent="0.25">
      <c r="A15756" t="s">
        <v>15769</v>
      </c>
      <c r="B15756">
        <v>223</v>
      </c>
      <c r="C15756" s="1" t="str">
        <f>HYPERLINK("http://www.rosaceae.org/gb/gbrowse/malus_x_domestica/?name=MDP0000292722","MDP0000292722")</f>
        <v>MDP0000292722</v>
      </c>
      <c r="D15756">
        <v>48.07</v>
      </c>
      <c r="E15756">
        <v>52</v>
      </c>
      <c r="F15756">
        <v>27</v>
      </c>
      <c r="G15756">
        <v>1</v>
      </c>
      <c r="H15756">
        <v>86</v>
      </c>
      <c r="I15756">
        <v>136</v>
      </c>
      <c r="J15756">
        <v>1</v>
      </c>
      <c r="K15756">
        <v>347</v>
      </c>
      <c r="L15756">
        <v>398</v>
      </c>
      <c r="M15756">
        <v>1</v>
      </c>
      <c r="N15756">
        <v>1.70851E-7</v>
      </c>
      <c r="O15756">
        <v>127</v>
      </c>
    </row>
    <row r="15757" spans="1:15" x14ac:dyDescent="0.25">
      <c r="A15757" t="s">
        <v>15770</v>
      </c>
      <c r="B15757">
        <v>127</v>
      </c>
      <c r="C15757" s="1" t="str">
        <f>HYPERLINK("http://www.rosaceae.org/gb/gbrowse/malus_x_domestica/?name=MDP0000164579","MDP0000164579")</f>
        <v>MDP0000164579</v>
      </c>
      <c r="D15757">
        <v>46.66</v>
      </c>
      <c r="E15757">
        <v>60</v>
      </c>
      <c r="F15757">
        <v>32</v>
      </c>
      <c r="G15757">
        <v>1</v>
      </c>
      <c r="H15757">
        <v>14</v>
      </c>
      <c r="I15757">
        <v>73</v>
      </c>
      <c r="J15757">
        <v>1</v>
      </c>
      <c r="K15757">
        <v>169</v>
      </c>
      <c r="L15757">
        <v>227</v>
      </c>
      <c r="M15757">
        <v>1</v>
      </c>
      <c r="N15757">
        <v>5.75754E-8</v>
      </c>
      <c r="O15757">
        <v>126</v>
      </c>
    </row>
    <row r="15758" spans="1:15" x14ac:dyDescent="0.25">
      <c r="A15758" t="s">
        <v>15771</v>
      </c>
      <c r="B15758">
        <v>177</v>
      </c>
      <c r="C15758" s="1" t="str">
        <f>HYPERLINK("http://www.rosaceae.org/gb/gbrowse/malus_x_domestica/?name=MDP0000302532","MDP0000302532")</f>
        <v>MDP0000302532</v>
      </c>
      <c r="D15758">
        <v>53.71</v>
      </c>
      <c r="E15758">
        <v>121</v>
      </c>
      <c r="F15758">
        <v>56</v>
      </c>
      <c r="G15758">
        <v>0</v>
      </c>
      <c r="H15758">
        <v>1</v>
      </c>
      <c r="I15758">
        <v>121</v>
      </c>
      <c r="J15758">
        <v>1</v>
      </c>
      <c r="K15758">
        <v>1</v>
      </c>
      <c r="L15758">
        <v>121</v>
      </c>
      <c r="M15758">
        <v>1</v>
      </c>
      <c r="N15758">
        <v>1.1156699999999999E-31</v>
      </c>
      <c r="O15758">
        <v>334</v>
      </c>
    </row>
    <row r="15759" spans="1:15" x14ac:dyDescent="0.25">
      <c r="A15759" t="s">
        <v>15772</v>
      </c>
      <c r="B15759">
        <v>98</v>
      </c>
      <c r="C15759" s="1" t="str">
        <f>HYPERLINK("http://www.rosaceae.org/gb/gbrowse/malus_x_domestica/?name=MDP0000530789","MDP0000530789")</f>
        <v>MDP0000530789</v>
      </c>
      <c r="D15759">
        <v>62.33</v>
      </c>
      <c r="E15759">
        <v>77</v>
      </c>
      <c r="F15759">
        <v>29</v>
      </c>
      <c r="G15759">
        <v>0</v>
      </c>
      <c r="H15759">
        <v>17</v>
      </c>
      <c r="I15759">
        <v>93</v>
      </c>
      <c r="J15759">
        <v>1</v>
      </c>
      <c r="K15759">
        <v>18</v>
      </c>
      <c r="L15759">
        <v>94</v>
      </c>
      <c r="M15759">
        <v>1</v>
      </c>
      <c r="N15759">
        <v>5.7612700000000002E-22</v>
      </c>
      <c r="O15759">
        <v>247</v>
      </c>
    </row>
    <row r="15760" spans="1:15" x14ac:dyDescent="0.25">
      <c r="A15760" t="s">
        <v>15773</v>
      </c>
      <c r="B15760">
        <v>383</v>
      </c>
      <c r="C15760" s="1" t="str">
        <f>HYPERLINK("http://www.rosaceae.org/gb/gbrowse/malus_x_domestica/?name=MDP0000147470","MDP0000147470")</f>
        <v>MDP0000147470</v>
      </c>
      <c r="D15760">
        <v>62.36</v>
      </c>
      <c r="E15760">
        <v>372</v>
      </c>
      <c r="F15760">
        <v>140</v>
      </c>
      <c r="G15760">
        <v>46</v>
      </c>
      <c r="H15760">
        <v>58</v>
      </c>
      <c r="I15760">
        <v>383</v>
      </c>
      <c r="J15760">
        <v>1</v>
      </c>
      <c r="K15760">
        <v>22</v>
      </c>
      <c r="L15760">
        <v>393</v>
      </c>
      <c r="M15760">
        <v>1</v>
      </c>
      <c r="N15760">
        <v>7.0979000000000004E-117</v>
      </c>
      <c r="O15760">
        <v>1073</v>
      </c>
    </row>
    <row r="15761" spans="1:15" x14ac:dyDescent="0.25">
      <c r="A15761" t="s">
        <v>15774</v>
      </c>
      <c r="B15761">
        <v>147</v>
      </c>
      <c r="C15761" s="1" t="str">
        <f>HYPERLINK("http://www.rosaceae.org/gb/gbrowse/malus_x_domestica/?name=MDP0000331298","MDP0000331298")</f>
        <v>MDP0000331298</v>
      </c>
      <c r="D15761">
        <v>75.569999999999993</v>
      </c>
      <c r="E15761">
        <v>131</v>
      </c>
      <c r="F15761">
        <v>32</v>
      </c>
      <c r="G15761">
        <v>2</v>
      </c>
      <c r="H15761">
        <v>12</v>
      </c>
      <c r="I15761">
        <v>141</v>
      </c>
      <c r="J15761">
        <v>1</v>
      </c>
      <c r="K15761">
        <v>20</v>
      </c>
      <c r="L15761">
        <v>149</v>
      </c>
      <c r="M15761">
        <v>1</v>
      </c>
      <c r="N15761">
        <v>6.6863100000000002E-41</v>
      </c>
      <c r="O15761">
        <v>412</v>
      </c>
    </row>
    <row r="15762" spans="1:15" x14ac:dyDescent="0.25">
      <c r="A15762" t="s">
        <v>15775</v>
      </c>
      <c r="B15762">
        <v>574</v>
      </c>
      <c r="C15762" s="1" t="str">
        <f>HYPERLINK("http://www.rosaceae.org/gb/gbrowse/malus_x_domestica/?name=MDP0000814899","MDP0000814899")</f>
        <v>MDP0000814899</v>
      </c>
      <c r="D15762">
        <v>64.790000000000006</v>
      </c>
      <c r="E15762">
        <v>605</v>
      </c>
      <c r="F15762">
        <v>213</v>
      </c>
      <c r="G15762">
        <v>32</v>
      </c>
      <c r="H15762">
        <v>1</v>
      </c>
      <c r="I15762">
        <v>574</v>
      </c>
      <c r="J15762">
        <v>1</v>
      </c>
      <c r="K15762">
        <v>205</v>
      </c>
      <c r="L15762">
        <v>808</v>
      </c>
      <c r="M15762">
        <v>1</v>
      </c>
      <c r="N15762">
        <v>0</v>
      </c>
      <c r="O15762">
        <v>2064</v>
      </c>
    </row>
    <row r="15763" spans="1:15" x14ac:dyDescent="0.25">
      <c r="A15763" t="s">
        <v>15776</v>
      </c>
      <c r="B15763">
        <v>262</v>
      </c>
      <c r="C15763" s="1" t="str">
        <f>HYPERLINK("http://www.rosaceae.org/gb/gbrowse/malus_x_domestica/?name=MDP0000213445","MDP0000213445")</f>
        <v>MDP0000213445</v>
      </c>
      <c r="D15763">
        <v>51.71</v>
      </c>
      <c r="E15763">
        <v>263</v>
      </c>
      <c r="F15763">
        <v>127</v>
      </c>
      <c r="G15763">
        <v>9</v>
      </c>
      <c r="H15763">
        <v>1</v>
      </c>
      <c r="I15763">
        <v>262</v>
      </c>
      <c r="J15763">
        <v>1</v>
      </c>
      <c r="K15763">
        <v>642</v>
      </c>
      <c r="L15763">
        <v>896</v>
      </c>
      <c r="M15763">
        <v>1</v>
      </c>
      <c r="N15763">
        <v>4.2709999999999997E-65</v>
      </c>
      <c r="O15763">
        <v>625</v>
      </c>
    </row>
    <row r="15764" spans="1:15" x14ac:dyDescent="0.25">
      <c r="A15764" t="s">
        <v>15777</v>
      </c>
      <c r="B15764">
        <v>716</v>
      </c>
      <c r="C15764" s="1" t="str">
        <f>HYPERLINK("http://www.rosaceae.org/gb/gbrowse/malus_x_domestica/?name=MDP0000217867","MDP0000217867")</f>
        <v>MDP0000217867</v>
      </c>
      <c r="D15764">
        <v>57.38</v>
      </c>
      <c r="E15764">
        <v>704</v>
      </c>
      <c r="F15764">
        <v>300</v>
      </c>
      <c r="G15764">
        <v>12</v>
      </c>
      <c r="H15764">
        <v>19</v>
      </c>
      <c r="I15764">
        <v>714</v>
      </c>
      <c r="J15764">
        <v>1</v>
      </c>
      <c r="K15764">
        <v>248</v>
      </c>
      <c r="L15764">
        <v>947</v>
      </c>
      <c r="M15764">
        <v>1</v>
      </c>
      <c r="N15764">
        <v>0</v>
      </c>
      <c r="O15764">
        <v>1824</v>
      </c>
    </row>
    <row r="15765" spans="1:15" x14ac:dyDescent="0.25">
      <c r="A15765" t="s">
        <v>15778</v>
      </c>
      <c r="B15765">
        <v>314</v>
      </c>
      <c r="C15765" s="1" t="str">
        <f>HYPERLINK("http://www.rosaceae.org/gb/gbrowse/malus_x_domestica/?name=MDP0000168317","MDP0000168317")</f>
        <v>MDP0000168317</v>
      </c>
      <c r="D15765">
        <v>60.46</v>
      </c>
      <c r="E15765">
        <v>301</v>
      </c>
      <c r="F15765">
        <v>119</v>
      </c>
      <c r="G15765">
        <v>3</v>
      </c>
      <c r="H15765">
        <v>14</v>
      </c>
      <c r="I15765">
        <v>314</v>
      </c>
      <c r="J15765">
        <v>1</v>
      </c>
      <c r="K15765">
        <v>100</v>
      </c>
      <c r="L15765">
        <v>397</v>
      </c>
      <c r="M15765">
        <v>1</v>
      </c>
      <c r="N15765">
        <v>1.9833599999999999E-107</v>
      </c>
      <c r="O15765">
        <v>991</v>
      </c>
    </row>
    <row r="15766" spans="1:15" x14ac:dyDescent="0.25">
      <c r="A15766" t="s">
        <v>15779</v>
      </c>
      <c r="B15766">
        <v>368</v>
      </c>
      <c r="C15766" s="1" t="str">
        <f>HYPERLINK("http://www.rosaceae.org/gb/gbrowse/malus_x_domestica/?name=MDP0000185794","MDP0000185794")</f>
        <v>MDP0000185794</v>
      </c>
      <c r="D15766">
        <v>37.950000000000003</v>
      </c>
      <c r="E15766">
        <v>303</v>
      </c>
      <c r="F15766">
        <v>188</v>
      </c>
      <c r="G15766">
        <v>35</v>
      </c>
      <c r="H15766">
        <v>85</v>
      </c>
      <c r="I15766">
        <v>361</v>
      </c>
      <c r="J15766">
        <v>1</v>
      </c>
      <c r="K15766">
        <v>93</v>
      </c>
      <c r="L15766">
        <v>386</v>
      </c>
      <c r="M15766">
        <v>1</v>
      </c>
      <c r="N15766">
        <v>3.0069100000000001E-39</v>
      </c>
      <c r="O15766">
        <v>403</v>
      </c>
    </row>
    <row r="15767" spans="1:15" x14ac:dyDescent="0.25">
      <c r="A15767" t="s">
        <v>15780</v>
      </c>
      <c r="B15767">
        <v>207</v>
      </c>
      <c r="C15767" s="1" t="str">
        <f>HYPERLINK("http://www.rosaceae.org/gb/gbrowse/malus_x_domestica/?name=MDP0000276207","MDP0000276207")</f>
        <v>MDP0000276207</v>
      </c>
      <c r="D15767">
        <v>70.14</v>
      </c>
      <c r="E15767">
        <v>211</v>
      </c>
      <c r="F15767">
        <v>63</v>
      </c>
      <c r="G15767">
        <v>9</v>
      </c>
      <c r="H15767">
        <v>1</v>
      </c>
      <c r="I15767">
        <v>207</v>
      </c>
      <c r="J15767">
        <v>1</v>
      </c>
      <c r="K15767">
        <v>1</v>
      </c>
      <c r="L15767">
        <v>206</v>
      </c>
      <c r="M15767">
        <v>1</v>
      </c>
      <c r="N15767">
        <v>2.0072899999999998E-80</v>
      </c>
      <c r="O15767">
        <v>755</v>
      </c>
    </row>
    <row r="15768" spans="1:15" x14ac:dyDescent="0.25">
      <c r="A15768" t="s">
        <v>15781</v>
      </c>
      <c r="B15768">
        <v>167</v>
      </c>
      <c r="C15768" s="1" t="str">
        <f>HYPERLINK("http://www.rosaceae.org/gb/gbrowse/malus_x_domestica/?name=MDP0000300930","MDP0000300930")</f>
        <v>MDP0000300930</v>
      </c>
      <c r="D15768">
        <v>43.87</v>
      </c>
      <c r="E15768">
        <v>155</v>
      </c>
      <c r="F15768">
        <v>87</v>
      </c>
      <c r="G15768">
        <v>30</v>
      </c>
      <c r="H15768">
        <v>10</v>
      </c>
      <c r="I15768">
        <v>153</v>
      </c>
      <c r="J15768">
        <v>1</v>
      </c>
      <c r="K15768">
        <v>7</v>
      </c>
      <c r="L15768">
        <v>142</v>
      </c>
      <c r="M15768">
        <v>1</v>
      </c>
      <c r="N15768">
        <v>5.2016999999999999E-20</v>
      </c>
      <c r="O15768">
        <v>233</v>
      </c>
    </row>
    <row r="15769" spans="1:15" x14ac:dyDescent="0.25">
      <c r="A15769" t="s">
        <v>15782</v>
      </c>
      <c r="B15769">
        <v>99</v>
      </c>
      <c r="C15769" s="1" t="str">
        <f>HYPERLINK("http://www.rosaceae.org/gb/gbrowse/malus_x_domestica/?name=MDP0000122720","MDP0000122720")</f>
        <v>MDP0000122720</v>
      </c>
      <c r="D15769">
        <v>86.48</v>
      </c>
      <c r="E15769">
        <v>74</v>
      </c>
      <c r="F15769">
        <v>10</v>
      </c>
      <c r="G15769">
        <v>0</v>
      </c>
      <c r="H15769">
        <v>25</v>
      </c>
      <c r="I15769">
        <v>98</v>
      </c>
      <c r="J15769">
        <v>1</v>
      </c>
      <c r="K15769">
        <v>473</v>
      </c>
      <c r="L15769">
        <v>546</v>
      </c>
      <c r="M15769">
        <v>1</v>
      </c>
      <c r="N15769">
        <v>2.9618500000000003E-32</v>
      </c>
      <c r="O15769">
        <v>336</v>
      </c>
    </row>
    <row r="15770" spans="1:15" x14ac:dyDescent="0.25">
      <c r="A15770" t="s">
        <v>15783</v>
      </c>
      <c r="B15770">
        <v>230</v>
      </c>
      <c r="C15770" s="1" t="str">
        <f>HYPERLINK("http://www.rosaceae.org/gb/gbrowse/malus_x_domestica/?name=MDP0000140915","MDP0000140915")</f>
        <v>MDP0000140915</v>
      </c>
      <c r="D15770">
        <v>58.44</v>
      </c>
      <c r="E15770">
        <v>219</v>
      </c>
      <c r="F15770">
        <v>91</v>
      </c>
      <c r="G15770">
        <v>0</v>
      </c>
      <c r="H15770">
        <v>1</v>
      </c>
      <c r="I15770">
        <v>219</v>
      </c>
      <c r="J15770">
        <v>1</v>
      </c>
      <c r="K15770">
        <v>225</v>
      </c>
      <c r="L15770">
        <v>443</v>
      </c>
      <c r="M15770">
        <v>1</v>
      </c>
      <c r="N15770">
        <v>1.03826E-74</v>
      </c>
      <c r="O15770">
        <v>707</v>
      </c>
    </row>
    <row r="15771" spans="1:15" x14ac:dyDescent="0.25">
      <c r="A15771" t="s">
        <v>15784</v>
      </c>
      <c r="B15771">
        <v>280</v>
      </c>
      <c r="C15771" s="1" t="str">
        <f>HYPERLINK("http://www.rosaceae.org/gb/gbrowse/malus_x_domestica/?name=MDP0000177228","MDP0000177228")</f>
        <v>MDP0000177228</v>
      </c>
      <c r="D15771">
        <v>36.700000000000003</v>
      </c>
      <c r="E15771">
        <v>79</v>
      </c>
      <c r="F15771">
        <v>50</v>
      </c>
      <c r="G15771">
        <v>3</v>
      </c>
      <c r="H15771">
        <v>3</v>
      </c>
      <c r="I15771">
        <v>79</v>
      </c>
      <c r="J15771">
        <v>1</v>
      </c>
      <c r="K15771">
        <v>158</v>
      </c>
      <c r="L15771">
        <v>235</v>
      </c>
      <c r="M15771">
        <v>1</v>
      </c>
      <c r="N15771">
        <v>7.3198700000000003E-8</v>
      </c>
      <c r="O15771">
        <v>131</v>
      </c>
    </row>
    <row r="15772" spans="1:15" x14ac:dyDescent="0.25">
      <c r="A15772" t="s">
        <v>15785</v>
      </c>
      <c r="B15772">
        <v>78</v>
      </c>
      <c r="C15772" s="1" t="str">
        <f>HYPERLINK("http://www.rosaceae.org/gb/gbrowse/malus_x_domestica/?name=MDP0000182792","MDP0000182792")</f>
        <v>MDP0000182792</v>
      </c>
      <c r="D15772">
        <v>61.11</v>
      </c>
      <c r="E15772">
        <v>72</v>
      </c>
      <c r="F15772">
        <v>28</v>
      </c>
      <c r="G15772">
        <v>1</v>
      </c>
      <c r="H15772">
        <v>7</v>
      </c>
      <c r="I15772">
        <v>78</v>
      </c>
      <c r="J15772">
        <v>1</v>
      </c>
      <c r="K15772">
        <v>504</v>
      </c>
      <c r="L15772">
        <v>574</v>
      </c>
      <c r="M15772">
        <v>1</v>
      </c>
      <c r="N15772">
        <v>3.4439399999999999E-18</v>
      </c>
      <c r="O15772">
        <v>214</v>
      </c>
    </row>
    <row r="15773" spans="1:15" x14ac:dyDescent="0.25">
      <c r="A15773" t="s">
        <v>15786</v>
      </c>
      <c r="B15773">
        <v>1638</v>
      </c>
      <c r="C15773" s="1" t="str">
        <f>HYPERLINK("http://www.rosaceae.org/gb/gbrowse/malus_x_domestica/?name=MDP0000319777","MDP0000319777")</f>
        <v>MDP0000319777</v>
      </c>
      <c r="D15773">
        <v>51.03</v>
      </c>
      <c r="E15773">
        <v>1260</v>
      </c>
      <c r="F15773">
        <v>617</v>
      </c>
      <c r="G15773">
        <v>153</v>
      </c>
      <c r="H15773">
        <v>2</v>
      </c>
      <c r="I15773">
        <v>1150</v>
      </c>
      <c r="J15773">
        <v>1</v>
      </c>
      <c r="K15773">
        <v>738</v>
      </c>
      <c r="L15773">
        <v>1955</v>
      </c>
      <c r="M15773">
        <v>1</v>
      </c>
      <c r="N15773">
        <v>0</v>
      </c>
      <c r="O15773">
        <v>3183</v>
      </c>
    </row>
    <row r="15774" spans="1:15" x14ac:dyDescent="0.25">
      <c r="A15774" t="s">
        <v>15787</v>
      </c>
      <c r="B15774">
        <v>1476</v>
      </c>
      <c r="C15774" s="1" t="str">
        <f>HYPERLINK("http://www.rosaceae.org/gb/gbrowse/malus_x_domestica/?name=MDP0000151578","MDP0000151578")</f>
        <v>MDP0000151578</v>
      </c>
      <c r="D15774">
        <v>78.09</v>
      </c>
      <c r="E15774">
        <v>1452</v>
      </c>
      <c r="F15774">
        <v>318</v>
      </c>
      <c r="G15774">
        <v>129</v>
      </c>
      <c r="H15774">
        <v>1</v>
      </c>
      <c r="I15774">
        <v>1417</v>
      </c>
      <c r="J15774">
        <v>1</v>
      </c>
      <c r="K15774">
        <v>1</v>
      </c>
      <c r="L15774">
        <v>1358</v>
      </c>
      <c r="M15774">
        <v>1</v>
      </c>
      <c r="N15774">
        <v>0</v>
      </c>
      <c r="O15774">
        <v>5742</v>
      </c>
    </row>
    <row r="15775" spans="1:15" x14ac:dyDescent="0.25">
      <c r="A15775" t="s">
        <v>15788</v>
      </c>
      <c r="B15775">
        <v>145</v>
      </c>
      <c r="C15775" s="1" t="str">
        <f>HYPERLINK("http://www.rosaceae.org/gb/gbrowse/malus_x_domestica/?name=MDP0000182955","MDP0000182955")</f>
        <v>MDP0000182955</v>
      </c>
      <c r="D15775">
        <v>99.02</v>
      </c>
      <c r="E15775">
        <v>103</v>
      </c>
      <c r="F15775">
        <v>1</v>
      </c>
      <c r="G15775">
        <v>0</v>
      </c>
      <c r="H15775">
        <v>18</v>
      </c>
      <c r="I15775">
        <v>120</v>
      </c>
      <c r="J15775">
        <v>1</v>
      </c>
      <c r="K15775">
        <v>239</v>
      </c>
      <c r="L15775">
        <v>341</v>
      </c>
      <c r="M15775">
        <v>1</v>
      </c>
      <c r="N15775">
        <v>6.5684599999999996E-56</v>
      </c>
      <c r="O15775">
        <v>541</v>
      </c>
    </row>
    <row r="15776" spans="1:15" x14ac:dyDescent="0.25">
      <c r="A15776" t="s">
        <v>15789</v>
      </c>
      <c r="B15776">
        <v>311</v>
      </c>
      <c r="C15776" s="1" t="str">
        <f>HYPERLINK("http://www.rosaceae.org/gb/gbrowse/malus_x_domestica/?name=MDP0000138717","MDP0000138717")</f>
        <v>MDP0000138717</v>
      </c>
      <c r="D15776">
        <v>97.24</v>
      </c>
      <c r="E15776">
        <v>109</v>
      </c>
      <c r="F15776">
        <v>3</v>
      </c>
      <c r="G15776">
        <v>0</v>
      </c>
      <c r="H15776">
        <v>4</v>
      </c>
      <c r="I15776">
        <v>112</v>
      </c>
      <c r="J15776">
        <v>1</v>
      </c>
      <c r="K15776">
        <v>65</v>
      </c>
      <c r="L15776">
        <v>173</v>
      </c>
      <c r="M15776">
        <v>1</v>
      </c>
      <c r="N15776">
        <v>1.0782E-59</v>
      </c>
      <c r="O15776">
        <v>579</v>
      </c>
    </row>
    <row r="15777" spans="1:15" x14ac:dyDescent="0.25">
      <c r="A15777" t="s">
        <v>15790</v>
      </c>
      <c r="B15777">
        <v>275</v>
      </c>
      <c r="C15777" s="1" t="str">
        <f>HYPERLINK("http://www.rosaceae.org/gb/gbrowse/malus_x_domestica/?name=MDP0000151939","MDP0000151939")</f>
        <v>MDP0000151939</v>
      </c>
      <c r="D15777">
        <v>76.010000000000005</v>
      </c>
      <c r="E15777">
        <v>246</v>
      </c>
      <c r="F15777">
        <v>59</v>
      </c>
      <c r="G15777">
        <v>9</v>
      </c>
      <c r="H15777">
        <v>30</v>
      </c>
      <c r="I15777">
        <v>273</v>
      </c>
      <c r="J15777">
        <v>1</v>
      </c>
      <c r="K15777">
        <v>47</v>
      </c>
      <c r="L15777">
        <v>285</v>
      </c>
      <c r="M15777">
        <v>1</v>
      </c>
      <c r="N15777">
        <v>2.48293E-99</v>
      </c>
      <c r="O15777">
        <v>920</v>
      </c>
    </row>
    <row r="15778" spans="1:15" x14ac:dyDescent="0.25">
      <c r="A15778" t="s">
        <v>15791</v>
      </c>
      <c r="B15778">
        <v>296</v>
      </c>
      <c r="C15778" s="1" t="str">
        <f>HYPERLINK("http://www.rosaceae.org/gb/gbrowse/malus_x_domestica/?name=MDP0000774306","MDP0000774306")</f>
        <v>MDP0000774306</v>
      </c>
      <c r="D15778">
        <v>40.32</v>
      </c>
      <c r="E15778">
        <v>186</v>
      </c>
      <c r="F15778">
        <v>111</v>
      </c>
      <c r="G15778">
        <v>29</v>
      </c>
      <c r="H15778">
        <v>109</v>
      </c>
      <c r="I15778">
        <v>265</v>
      </c>
      <c r="J15778">
        <v>1</v>
      </c>
      <c r="K15778">
        <v>151</v>
      </c>
      <c r="L15778">
        <v>336</v>
      </c>
      <c r="M15778">
        <v>1</v>
      </c>
      <c r="N15778">
        <v>7.1826200000000005E-23</v>
      </c>
      <c r="O15778">
        <v>261</v>
      </c>
    </row>
    <row r="15779" spans="1:15" x14ac:dyDescent="0.25">
      <c r="A15779" t="s">
        <v>15792</v>
      </c>
      <c r="B15779">
        <v>715</v>
      </c>
      <c r="C15779" s="1" t="str">
        <f>HYPERLINK("http://www.rosaceae.org/gb/gbrowse/malus_x_domestica/?name=MDP0000255245","MDP0000255245")</f>
        <v>MDP0000255245</v>
      </c>
      <c r="D15779">
        <v>59.97</v>
      </c>
      <c r="E15779">
        <v>672</v>
      </c>
      <c r="F15779">
        <v>269</v>
      </c>
      <c r="G15779">
        <v>56</v>
      </c>
      <c r="H15779">
        <v>78</v>
      </c>
      <c r="I15779">
        <v>703</v>
      </c>
      <c r="J15779">
        <v>1</v>
      </c>
      <c r="K15779">
        <v>242</v>
      </c>
      <c r="L15779">
        <v>903</v>
      </c>
      <c r="M15779">
        <v>1</v>
      </c>
      <c r="N15779">
        <v>0</v>
      </c>
      <c r="O15779">
        <v>1941</v>
      </c>
    </row>
    <row r="15780" spans="1:15" x14ac:dyDescent="0.25">
      <c r="A15780" t="s">
        <v>15793</v>
      </c>
      <c r="B15780">
        <v>1024</v>
      </c>
      <c r="C15780" s="1" t="str">
        <f>HYPERLINK("http://www.rosaceae.org/gb/gbrowse/malus_x_domestica/?name=MDP0000765919","MDP0000765919")</f>
        <v>MDP0000765919</v>
      </c>
      <c r="D15780">
        <v>77.010000000000005</v>
      </c>
      <c r="E15780">
        <v>609</v>
      </c>
      <c r="F15780">
        <v>140</v>
      </c>
      <c r="G15780">
        <v>5</v>
      </c>
      <c r="H15780">
        <v>421</v>
      </c>
      <c r="I15780">
        <v>1024</v>
      </c>
      <c r="J15780">
        <v>1</v>
      </c>
      <c r="K15780">
        <v>20</v>
      </c>
      <c r="L15780">
        <v>628</v>
      </c>
      <c r="M15780">
        <v>1</v>
      </c>
      <c r="N15780">
        <v>0</v>
      </c>
      <c r="O15780">
        <v>2542</v>
      </c>
    </row>
    <row r="15781" spans="1:15" x14ac:dyDescent="0.25">
      <c r="A15781" t="s">
        <v>15794</v>
      </c>
      <c r="B15781">
        <v>621</v>
      </c>
      <c r="C15781" s="1" t="str">
        <f>HYPERLINK("http://www.rosaceae.org/gb/gbrowse/malus_x_domestica/?name=MDP0000178402","MDP0000178402")</f>
        <v>MDP0000178402</v>
      </c>
      <c r="D15781">
        <v>73.709999999999994</v>
      </c>
      <c r="E15781">
        <v>525</v>
      </c>
      <c r="F15781">
        <v>138</v>
      </c>
      <c r="G15781">
        <v>6</v>
      </c>
      <c r="H15781">
        <v>61</v>
      </c>
      <c r="I15781">
        <v>579</v>
      </c>
      <c r="J15781">
        <v>1</v>
      </c>
      <c r="K15781">
        <v>70</v>
      </c>
      <c r="L15781">
        <v>594</v>
      </c>
      <c r="M15781">
        <v>1</v>
      </c>
      <c r="N15781">
        <v>0</v>
      </c>
      <c r="O15781">
        <v>2078</v>
      </c>
    </row>
    <row r="15782" spans="1:15" x14ac:dyDescent="0.25">
      <c r="A15782" t="s">
        <v>15795</v>
      </c>
      <c r="B15782">
        <v>458</v>
      </c>
      <c r="C15782" s="1" t="str">
        <f>HYPERLINK("http://www.rosaceae.org/gb/gbrowse/malus_x_domestica/?name=MDP0000216139","MDP0000216139")</f>
        <v>MDP0000216139</v>
      </c>
      <c r="D15782">
        <v>37.76</v>
      </c>
      <c r="E15782">
        <v>474</v>
      </c>
      <c r="F15782">
        <v>295</v>
      </c>
      <c r="G15782">
        <v>82</v>
      </c>
      <c r="H15782">
        <v>2</v>
      </c>
      <c r="I15782">
        <v>399</v>
      </c>
      <c r="J15782">
        <v>1</v>
      </c>
      <c r="K15782">
        <v>17</v>
      </c>
      <c r="L15782">
        <v>484</v>
      </c>
      <c r="M15782">
        <v>1</v>
      </c>
      <c r="N15782">
        <v>1.19605E-73</v>
      </c>
      <c r="O15782">
        <v>701</v>
      </c>
    </row>
    <row r="15783" spans="1:15" x14ac:dyDescent="0.25">
      <c r="A15783" t="s">
        <v>15796</v>
      </c>
      <c r="B15783">
        <v>591</v>
      </c>
      <c r="C15783" s="1" t="str">
        <f>HYPERLINK("http://www.rosaceae.org/gb/gbrowse/malus_x_domestica/?name=MDP0000322428","MDP0000322428")</f>
        <v>MDP0000322428</v>
      </c>
      <c r="D15783">
        <v>77.040000000000006</v>
      </c>
      <c r="E15783">
        <v>575</v>
      </c>
      <c r="F15783">
        <v>132</v>
      </c>
      <c r="G15783">
        <v>4</v>
      </c>
      <c r="H15783">
        <v>19</v>
      </c>
      <c r="I15783">
        <v>589</v>
      </c>
      <c r="J15783">
        <v>1</v>
      </c>
      <c r="K15783">
        <v>503</v>
      </c>
      <c r="L15783">
        <v>1077</v>
      </c>
      <c r="M15783">
        <v>1</v>
      </c>
      <c r="N15783">
        <v>0</v>
      </c>
      <c r="O15783">
        <v>2400</v>
      </c>
    </row>
    <row r="15784" spans="1:15" x14ac:dyDescent="0.25">
      <c r="A15784" t="s">
        <v>15797</v>
      </c>
      <c r="B15784">
        <v>260</v>
      </c>
      <c r="C15784" s="1" t="str">
        <f>HYPERLINK("http://www.rosaceae.org/gb/gbrowse/malus_x_domestica/?name=MDP0000236723","MDP0000236723")</f>
        <v>MDP0000236723</v>
      </c>
      <c r="D15784">
        <v>72.97</v>
      </c>
      <c r="E15784">
        <v>148</v>
      </c>
      <c r="F15784">
        <v>40</v>
      </c>
      <c r="G15784">
        <v>0</v>
      </c>
      <c r="H15784">
        <v>49</v>
      </c>
      <c r="I15784">
        <v>196</v>
      </c>
      <c r="J15784">
        <v>1</v>
      </c>
      <c r="K15784">
        <v>56</v>
      </c>
      <c r="L15784">
        <v>203</v>
      </c>
      <c r="M15784">
        <v>1</v>
      </c>
      <c r="N15784">
        <v>1.4656499999999999E-56</v>
      </c>
      <c r="O15784">
        <v>551</v>
      </c>
    </row>
    <row r="15785" spans="1:15" x14ac:dyDescent="0.25">
      <c r="A15785" t="s">
        <v>15798</v>
      </c>
      <c r="B15785">
        <v>714</v>
      </c>
      <c r="C15785" s="1" t="str">
        <f>HYPERLINK("http://www.rosaceae.org/gb/gbrowse/malus_x_domestica/?name=MDP0000232699","MDP0000232699")</f>
        <v>MDP0000232699</v>
      </c>
      <c r="D15785">
        <v>61.62</v>
      </c>
      <c r="E15785">
        <v>357</v>
      </c>
      <c r="F15785">
        <v>137</v>
      </c>
      <c r="G15785">
        <v>51</v>
      </c>
      <c r="H15785">
        <v>1</v>
      </c>
      <c r="I15785">
        <v>355</v>
      </c>
      <c r="J15785">
        <v>1</v>
      </c>
      <c r="K15785">
        <v>1</v>
      </c>
      <c r="L15785">
        <v>308</v>
      </c>
      <c r="M15785">
        <v>1</v>
      </c>
      <c r="N15785">
        <v>3.9265800000000001E-118</v>
      </c>
      <c r="O15785">
        <v>1087</v>
      </c>
    </row>
    <row r="15786" spans="1:15" x14ac:dyDescent="0.25">
      <c r="A15786" t="s">
        <v>15799</v>
      </c>
      <c r="B15786">
        <v>530</v>
      </c>
      <c r="C15786" s="1" t="str">
        <f>HYPERLINK("http://www.rosaceae.org/gb/gbrowse/malus_x_domestica/?name=MDP0000278580","MDP0000278580")</f>
        <v>MDP0000278580</v>
      </c>
      <c r="D15786">
        <v>69.47</v>
      </c>
      <c r="E15786">
        <v>249</v>
      </c>
      <c r="F15786">
        <v>76</v>
      </c>
      <c r="G15786">
        <v>0</v>
      </c>
      <c r="H15786">
        <v>192</v>
      </c>
      <c r="I15786">
        <v>440</v>
      </c>
      <c r="J15786">
        <v>1</v>
      </c>
      <c r="K15786">
        <v>647</v>
      </c>
      <c r="L15786">
        <v>895</v>
      </c>
      <c r="M15786">
        <v>1</v>
      </c>
      <c r="N15786">
        <v>9.6862299999999996E-100</v>
      </c>
      <c r="O15786">
        <v>927</v>
      </c>
    </row>
    <row r="15787" spans="1:15" x14ac:dyDescent="0.25">
      <c r="A15787" t="s">
        <v>15800</v>
      </c>
      <c r="B15787">
        <v>401</v>
      </c>
      <c r="C15787" s="1" t="str">
        <f>HYPERLINK("http://www.rosaceae.org/gb/gbrowse/malus_x_domestica/?name=MDP0000150027","MDP0000150027")</f>
        <v>MDP0000150027</v>
      </c>
      <c r="D15787">
        <v>26.9</v>
      </c>
      <c r="E15787">
        <v>342</v>
      </c>
      <c r="F15787">
        <v>250</v>
      </c>
      <c r="G15787">
        <v>54</v>
      </c>
      <c r="H15787">
        <v>14</v>
      </c>
      <c r="I15787">
        <v>325</v>
      </c>
      <c r="J15787">
        <v>1</v>
      </c>
      <c r="K15787">
        <v>146</v>
      </c>
      <c r="L15787">
        <v>463</v>
      </c>
      <c r="M15787">
        <v>1</v>
      </c>
      <c r="N15787">
        <v>3.13429E-20</v>
      </c>
      <c r="O15787">
        <v>240</v>
      </c>
    </row>
    <row r="15788" spans="1:15" x14ac:dyDescent="0.25">
      <c r="A15788" t="s">
        <v>15801</v>
      </c>
      <c r="B15788">
        <v>196</v>
      </c>
      <c r="C15788" s="1" t="str">
        <f>HYPERLINK("http://www.rosaceae.org/gb/gbrowse/malus_x_domestica/?name=MDP0000220868","MDP0000220868")</f>
        <v>MDP0000220868</v>
      </c>
      <c r="D15788">
        <v>79.59</v>
      </c>
      <c r="E15788">
        <v>49</v>
      </c>
      <c r="F15788">
        <v>10</v>
      </c>
      <c r="G15788">
        <v>0</v>
      </c>
      <c r="H15788">
        <v>140</v>
      </c>
      <c r="I15788">
        <v>188</v>
      </c>
      <c r="J15788">
        <v>1</v>
      </c>
      <c r="K15788">
        <v>56</v>
      </c>
      <c r="L15788">
        <v>104</v>
      </c>
      <c r="M15788">
        <v>1</v>
      </c>
      <c r="N15788">
        <v>1.0468799999999999E-17</v>
      </c>
      <c r="O15788">
        <v>214</v>
      </c>
    </row>
    <row r="15789" spans="1:15" x14ac:dyDescent="0.25">
      <c r="A15789" t="s">
        <v>15802</v>
      </c>
      <c r="B15789">
        <v>323</v>
      </c>
      <c r="C15789" s="1" t="str">
        <f>HYPERLINK("http://www.rosaceae.org/gb/gbrowse/malus_x_domestica/?name=MDP0000298505","MDP0000298505")</f>
        <v>MDP0000298505</v>
      </c>
      <c r="D15789">
        <v>54.58</v>
      </c>
      <c r="E15789">
        <v>240</v>
      </c>
      <c r="F15789">
        <v>109</v>
      </c>
      <c r="G15789">
        <v>12</v>
      </c>
      <c r="H15789">
        <v>1</v>
      </c>
      <c r="I15789">
        <v>236</v>
      </c>
      <c r="J15789">
        <v>1</v>
      </c>
      <c r="K15789">
        <v>350</v>
      </c>
      <c r="L15789">
        <v>581</v>
      </c>
      <c r="M15789">
        <v>1</v>
      </c>
      <c r="N15789">
        <v>7.0171799999999997E-66</v>
      </c>
      <c r="O15789">
        <v>632</v>
      </c>
    </row>
    <row r="15790" spans="1:15" x14ac:dyDescent="0.25">
      <c r="A15790" t="s">
        <v>15803</v>
      </c>
      <c r="B15790">
        <v>5267</v>
      </c>
      <c r="C15790" s="1" t="str">
        <f>HYPERLINK("http://www.rosaceae.org/gb/gbrowse/malus_x_domestica/?name=MDP0000217948","MDP0000217948")</f>
        <v>MDP0000217948</v>
      </c>
      <c r="D15790">
        <v>60.46</v>
      </c>
      <c r="E15790">
        <v>3933</v>
      </c>
      <c r="F15790">
        <v>1555</v>
      </c>
      <c r="G15790">
        <v>332</v>
      </c>
      <c r="H15790">
        <v>1</v>
      </c>
      <c r="I15790">
        <v>3748</v>
      </c>
      <c r="J15790">
        <v>1</v>
      </c>
      <c r="K15790">
        <v>3</v>
      </c>
      <c r="L15790">
        <v>3788</v>
      </c>
      <c r="M15790">
        <v>1</v>
      </c>
      <c r="N15790">
        <v>0</v>
      </c>
      <c r="O15790">
        <v>11559</v>
      </c>
    </row>
    <row r="15791" spans="1:15" x14ac:dyDescent="0.25">
      <c r="A15791" t="s">
        <v>15804</v>
      </c>
      <c r="B15791">
        <v>563</v>
      </c>
      <c r="C15791" s="1" t="str">
        <f>HYPERLINK("http://www.rosaceae.org/gb/gbrowse/malus_x_domestica/?name=MDP0000269172","MDP0000269172")</f>
        <v>MDP0000269172</v>
      </c>
      <c r="D15791">
        <v>61.69</v>
      </c>
      <c r="E15791">
        <v>543</v>
      </c>
      <c r="F15791">
        <v>208</v>
      </c>
      <c r="G15791">
        <v>11</v>
      </c>
      <c r="H15791">
        <v>1</v>
      </c>
      <c r="I15791">
        <v>539</v>
      </c>
      <c r="J15791">
        <v>1</v>
      </c>
      <c r="K15791">
        <v>1</v>
      </c>
      <c r="L15791">
        <v>536</v>
      </c>
      <c r="M15791">
        <v>1</v>
      </c>
      <c r="N15791">
        <v>2.0962200000000001E-179</v>
      </c>
      <c r="O15791">
        <v>1614</v>
      </c>
    </row>
    <row r="15792" spans="1:15" x14ac:dyDescent="0.25">
      <c r="A15792" t="s">
        <v>15805</v>
      </c>
      <c r="B15792">
        <v>515</v>
      </c>
      <c r="C15792" s="1" t="str">
        <f>HYPERLINK("http://www.rosaceae.org/gb/gbrowse/malus_x_domestica/?name=MDP0000274030","MDP0000274030")</f>
        <v>MDP0000274030</v>
      </c>
      <c r="D15792">
        <v>63.48</v>
      </c>
      <c r="E15792">
        <v>545</v>
      </c>
      <c r="F15792">
        <v>199</v>
      </c>
      <c r="G15792">
        <v>32</v>
      </c>
      <c r="H15792">
        <v>1</v>
      </c>
      <c r="I15792">
        <v>515</v>
      </c>
      <c r="J15792">
        <v>1</v>
      </c>
      <c r="K15792">
        <v>1</v>
      </c>
      <c r="L15792">
        <v>543</v>
      </c>
      <c r="M15792">
        <v>1</v>
      </c>
      <c r="N15792">
        <v>0</v>
      </c>
      <c r="O15792">
        <v>1652</v>
      </c>
    </row>
    <row r="15793" spans="1:15" x14ac:dyDescent="0.25">
      <c r="A15793" t="s">
        <v>15806</v>
      </c>
      <c r="B15793">
        <v>656</v>
      </c>
      <c r="C15793" s="1" t="str">
        <f>HYPERLINK("http://www.rosaceae.org/gb/gbrowse/malus_x_domestica/?name=MDP0000265111","MDP0000265111")</f>
        <v>MDP0000265111</v>
      </c>
      <c r="D15793">
        <v>84.68</v>
      </c>
      <c r="E15793">
        <v>581</v>
      </c>
      <c r="F15793">
        <v>89</v>
      </c>
      <c r="G15793">
        <v>1</v>
      </c>
      <c r="H15793">
        <v>76</v>
      </c>
      <c r="I15793">
        <v>656</v>
      </c>
      <c r="J15793">
        <v>1</v>
      </c>
      <c r="K15793">
        <v>10</v>
      </c>
      <c r="L15793">
        <v>589</v>
      </c>
      <c r="M15793">
        <v>1</v>
      </c>
      <c r="N15793">
        <v>0</v>
      </c>
      <c r="O15793">
        <v>2630</v>
      </c>
    </row>
    <row r="15794" spans="1:15" x14ac:dyDescent="0.25">
      <c r="A15794" t="s">
        <v>15807</v>
      </c>
      <c r="B15794">
        <v>708</v>
      </c>
      <c r="C15794" s="1" t="str">
        <f>HYPERLINK("http://www.rosaceae.org/gb/gbrowse/malus_x_domestica/?name=MDP0000237953","MDP0000237953")</f>
        <v>MDP0000237953</v>
      </c>
      <c r="D15794">
        <v>67.89</v>
      </c>
      <c r="E15794">
        <v>595</v>
      </c>
      <c r="F15794">
        <v>191</v>
      </c>
      <c r="G15794">
        <v>10</v>
      </c>
      <c r="H15794">
        <v>3</v>
      </c>
      <c r="I15794">
        <v>593</v>
      </c>
      <c r="J15794">
        <v>1</v>
      </c>
      <c r="K15794">
        <v>21</v>
      </c>
      <c r="L15794">
        <v>609</v>
      </c>
      <c r="M15794">
        <v>1</v>
      </c>
      <c r="N15794">
        <v>0</v>
      </c>
      <c r="O15794">
        <v>2100</v>
      </c>
    </row>
    <row r="15795" spans="1:15" x14ac:dyDescent="0.25">
      <c r="A15795" t="s">
        <v>15808</v>
      </c>
      <c r="B15795">
        <v>397</v>
      </c>
      <c r="C15795" s="1" t="str">
        <f>HYPERLINK("http://www.rosaceae.org/gb/gbrowse/malus_x_domestica/?name=MDP0000225889","MDP0000225889")</f>
        <v>MDP0000225889</v>
      </c>
      <c r="D15795">
        <v>35.64</v>
      </c>
      <c r="E15795">
        <v>303</v>
      </c>
      <c r="F15795">
        <v>195</v>
      </c>
      <c r="G15795">
        <v>79</v>
      </c>
      <c r="H15795">
        <v>134</v>
      </c>
      <c r="I15795">
        <v>377</v>
      </c>
      <c r="J15795">
        <v>1</v>
      </c>
      <c r="K15795">
        <v>413</v>
      </c>
      <c r="L15795">
        <v>695</v>
      </c>
      <c r="M15795">
        <v>1</v>
      </c>
      <c r="N15795">
        <v>1.3715299999999999E-32</v>
      </c>
      <c r="O15795">
        <v>346</v>
      </c>
    </row>
    <row r="15796" spans="1:15" x14ac:dyDescent="0.25">
      <c r="A15796" t="s">
        <v>15809</v>
      </c>
      <c r="B15796">
        <v>142</v>
      </c>
      <c r="C15796" s="1" t="str">
        <f>HYPERLINK("http://www.rosaceae.org/gb/gbrowse/malus_x_domestica/?name=MDP0000555752","MDP0000555752")</f>
        <v>MDP0000555752</v>
      </c>
      <c r="D15796">
        <v>65.95</v>
      </c>
      <c r="E15796">
        <v>94</v>
      </c>
      <c r="F15796">
        <v>32</v>
      </c>
      <c r="G15796">
        <v>0</v>
      </c>
      <c r="H15796">
        <v>31</v>
      </c>
      <c r="I15796">
        <v>124</v>
      </c>
      <c r="J15796">
        <v>1</v>
      </c>
      <c r="K15796">
        <v>538</v>
      </c>
      <c r="L15796">
        <v>631</v>
      </c>
      <c r="M15796">
        <v>1</v>
      </c>
      <c r="N15796">
        <v>5.3495799999999997E-34</v>
      </c>
      <c r="O15796">
        <v>352</v>
      </c>
    </row>
    <row r="15797" spans="1:15" x14ac:dyDescent="0.25">
      <c r="A15797" t="s">
        <v>15810</v>
      </c>
      <c r="B15797">
        <v>389</v>
      </c>
      <c r="C15797" s="1" t="str">
        <f>HYPERLINK("http://www.rosaceae.org/gb/gbrowse/malus_x_domestica/?name=MDP0000276427","MDP0000276427")</f>
        <v>MDP0000276427</v>
      </c>
      <c r="D15797">
        <v>60.99</v>
      </c>
      <c r="E15797">
        <v>323</v>
      </c>
      <c r="F15797">
        <v>126</v>
      </c>
      <c r="G15797">
        <v>36</v>
      </c>
      <c r="H15797">
        <v>34</v>
      </c>
      <c r="I15797">
        <v>332</v>
      </c>
      <c r="J15797">
        <v>1</v>
      </c>
      <c r="K15797">
        <v>133</v>
      </c>
      <c r="L15797">
        <v>443</v>
      </c>
      <c r="M15797">
        <v>1</v>
      </c>
      <c r="N15797">
        <v>4.2620999999999999E-108</v>
      </c>
      <c r="O15797">
        <v>998</v>
      </c>
    </row>
    <row r="15798" spans="1:15" x14ac:dyDescent="0.25">
      <c r="A15798" t="s">
        <v>15811</v>
      </c>
      <c r="B15798">
        <v>157</v>
      </c>
      <c r="C15798" s="1" t="str">
        <f>HYPERLINK("http://www.rosaceae.org/gb/gbrowse/malus_x_domestica/?name=MDP0000790026","MDP0000790026")</f>
        <v>MDP0000790026</v>
      </c>
      <c r="D15798">
        <v>61.32</v>
      </c>
      <c r="E15798">
        <v>181</v>
      </c>
      <c r="F15798">
        <v>70</v>
      </c>
      <c r="G15798">
        <v>32</v>
      </c>
      <c r="H15798">
        <v>3</v>
      </c>
      <c r="I15798">
        <v>151</v>
      </c>
      <c r="J15798">
        <v>1</v>
      </c>
      <c r="K15798">
        <v>2</v>
      </c>
      <c r="L15798">
        <v>182</v>
      </c>
      <c r="M15798">
        <v>1</v>
      </c>
      <c r="N15798">
        <v>1.2159000000000001E-60</v>
      </c>
      <c r="O15798">
        <v>583</v>
      </c>
    </row>
    <row r="15799" spans="1:15" x14ac:dyDescent="0.25">
      <c r="A15799" t="s">
        <v>15812</v>
      </c>
      <c r="B15799">
        <v>722</v>
      </c>
      <c r="C15799" s="1" t="str">
        <f>HYPERLINK("http://www.rosaceae.org/gb/gbrowse/malus_x_domestica/?name=MDP0000820273","MDP0000820273")</f>
        <v>MDP0000820273</v>
      </c>
      <c r="D15799">
        <v>70.86</v>
      </c>
      <c r="E15799">
        <v>690</v>
      </c>
      <c r="F15799">
        <v>201</v>
      </c>
      <c r="G15799">
        <v>6</v>
      </c>
      <c r="H15799">
        <v>38</v>
      </c>
      <c r="I15799">
        <v>722</v>
      </c>
      <c r="J15799">
        <v>1</v>
      </c>
      <c r="K15799">
        <v>5</v>
      </c>
      <c r="L15799">
        <v>693</v>
      </c>
      <c r="M15799">
        <v>1</v>
      </c>
      <c r="N15799">
        <v>0</v>
      </c>
      <c r="O15799">
        <v>2614</v>
      </c>
    </row>
    <row r="15800" spans="1:15" x14ac:dyDescent="0.25">
      <c r="A15800" t="s">
        <v>15813</v>
      </c>
      <c r="B15800">
        <v>349</v>
      </c>
      <c r="C15800" s="1" t="str">
        <f>HYPERLINK("http://www.rosaceae.org/gb/gbrowse/malus_x_domestica/?name=MDP0000537549","MDP0000537549")</f>
        <v>MDP0000537549</v>
      </c>
      <c r="D15800">
        <v>49.42</v>
      </c>
      <c r="E15800">
        <v>348</v>
      </c>
      <c r="F15800">
        <v>176</v>
      </c>
      <c r="G15800">
        <v>72</v>
      </c>
      <c r="H15800">
        <v>1</v>
      </c>
      <c r="I15800">
        <v>326</v>
      </c>
      <c r="J15800">
        <v>1</v>
      </c>
      <c r="K15800">
        <v>223</v>
      </c>
      <c r="L15800">
        <v>520</v>
      </c>
      <c r="M15800">
        <v>1</v>
      </c>
      <c r="N15800">
        <v>9.486259999999999E-75</v>
      </c>
      <c r="O15800">
        <v>709</v>
      </c>
    </row>
    <row r="15801" spans="1:15" x14ac:dyDescent="0.25">
      <c r="A15801" t="s">
        <v>15814</v>
      </c>
      <c r="B15801">
        <v>177</v>
      </c>
      <c r="C15801" s="1" t="str">
        <f>HYPERLINK("http://www.rosaceae.org/gb/gbrowse/malus_x_domestica/?name=MDP0000387146","MDP0000387146")</f>
        <v>MDP0000387146</v>
      </c>
      <c r="D15801">
        <v>75.14</v>
      </c>
      <c r="E15801">
        <v>177</v>
      </c>
      <c r="F15801">
        <v>44</v>
      </c>
      <c r="G15801">
        <v>0</v>
      </c>
      <c r="H15801">
        <v>1</v>
      </c>
      <c r="I15801">
        <v>177</v>
      </c>
      <c r="J15801">
        <v>1</v>
      </c>
      <c r="K15801">
        <v>1</v>
      </c>
      <c r="L15801">
        <v>177</v>
      </c>
      <c r="M15801">
        <v>1</v>
      </c>
      <c r="N15801">
        <v>1.67566E-67</v>
      </c>
      <c r="O15801">
        <v>643</v>
      </c>
    </row>
    <row r="15802" spans="1:15" x14ac:dyDescent="0.25">
      <c r="A15802" t="s">
        <v>15815</v>
      </c>
      <c r="B15802">
        <v>307</v>
      </c>
      <c r="C15802" s="1" t="str">
        <f>HYPERLINK("http://www.rosaceae.org/gb/gbrowse/malus_x_domestica/?name=MDP0000296347","MDP0000296347")</f>
        <v>MDP0000296347</v>
      </c>
      <c r="D15802">
        <v>86.6</v>
      </c>
      <c r="E15802">
        <v>306</v>
      </c>
      <c r="F15802">
        <v>41</v>
      </c>
      <c r="G15802">
        <v>0</v>
      </c>
      <c r="H15802">
        <v>1</v>
      </c>
      <c r="I15802">
        <v>306</v>
      </c>
      <c r="J15802">
        <v>1</v>
      </c>
      <c r="K15802">
        <v>217</v>
      </c>
      <c r="L15802">
        <v>522</v>
      </c>
      <c r="M15802">
        <v>1</v>
      </c>
      <c r="N15802">
        <v>1.05298E-160</v>
      </c>
      <c r="O15802">
        <v>1450</v>
      </c>
    </row>
    <row r="15803" spans="1:15" x14ac:dyDescent="0.25">
      <c r="A15803" t="s">
        <v>15816</v>
      </c>
      <c r="B15803">
        <v>214</v>
      </c>
      <c r="C15803" s="1" t="str">
        <f>HYPERLINK("http://www.rosaceae.org/gb/gbrowse/malus_x_domestica/?name=MDP0000704216","MDP0000704216")</f>
        <v>MDP0000704216</v>
      </c>
      <c r="D15803">
        <v>71.099999999999994</v>
      </c>
      <c r="E15803">
        <v>218</v>
      </c>
      <c r="F15803">
        <v>63</v>
      </c>
      <c r="G15803">
        <v>32</v>
      </c>
      <c r="H15803">
        <v>15</v>
      </c>
      <c r="I15803">
        <v>214</v>
      </c>
      <c r="J15803">
        <v>1</v>
      </c>
      <c r="K15803">
        <v>32</v>
      </c>
      <c r="L15803">
        <v>235</v>
      </c>
      <c r="M15803">
        <v>1</v>
      </c>
      <c r="N15803">
        <v>1.0011800000000001E-77</v>
      </c>
      <c r="O15803">
        <v>732</v>
      </c>
    </row>
    <row r="15804" spans="1:15" x14ac:dyDescent="0.25">
      <c r="A15804" t="s">
        <v>15817</v>
      </c>
      <c r="B15804">
        <v>443</v>
      </c>
      <c r="C15804" s="1" t="str">
        <f>HYPERLINK("http://www.rosaceae.org/gb/gbrowse/malus_x_domestica/?name=MDP0000239646","MDP0000239646")</f>
        <v>MDP0000239646</v>
      </c>
      <c r="D15804">
        <v>78.14</v>
      </c>
      <c r="E15804">
        <v>270</v>
      </c>
      <c r="F15804">
        <v>59</v>
      </c>
      <c r="G15804">
        <v>39</v>
      </c>
      <c r="H15804">
        <v>64</v>
      </c>
      <c r="I15804">
        <v>333</v>
      </c>
      <c r="J15804">
        <v>1</v>
      </c>
      <c r="K15804">
        <v>70</v>
      </c>
      <c r="L15804">
        <v>300</v>
      </c>
      <c r="M15804">
        <v>1</v>
      </c>
      <c r="N15804">
        <v>3.12662E-119</v>
      </c>
      <c r="O15804">
        <v>1094</v>
      </c>
    </row>
    <row r="15805" spans="1:15" x14ac:dyDescent="0.25">
      <c r="A15805" t="s">
        <v>15818</v>
      </c>
      <c r="B15805">
        <v>212</v>
      </c>
      <c r="C15805" s="1" t="str">
        <f>HYPERLINK("http://www.rosaceae.org/gb/gbrowse/malus_x_domestica/?name=MDP0000174273","MDP0000174273")</f>
        <v>MDP0000174273</v>
      </c>
      <c r="D15805">
        <v>51.42</v>
      </c>
      <c r="E15805">
        <v>210</v>
      </c>
      <c r="F15805">
        <v>102</v>
      </c>
      <c r="G15805">
        <v>16</v>
      </c>
      <c r="H15805">
        <v>15</v>
      </c>
      <c r="I15805">
        <v>211</v>
      </c>
      <c r="J15805">
        <v>1</v>
      </c>
      <c r="K15805">
        <v>19</v>
      </c>
      <c r="L15805">
        <v>225</v>
      </c>
      <c r="M15805">
        <v>1</v>
      </c>
      <c r="N15805">
        <v>3.6809400000000002E-44</v>
      </c>
      <c r="O15805">
        <v>443</v>
      </c>
    </row>
    <row r="15806" spans="1:15" x14ac:dyDescent="0.25">
      <c r="A15806" t="s">
        <v>15819</v>
      </c>
      <c r="B15806">
        <v>217</v>
      </c>
      <c r="C15806" s="1" t="str">
        <f>HYPERLINK("http://www.rosaceae.org/gb/gbrowse/malus_x_domestica/?name=MDP0000163032","MDP0000163032")</f>
        <v>MDP0000163032</v>
      </c>
      <c r="D15806">
        <v>75.64</v>
      </c>
      <c r="E15806">
        <v>193</v>
      </c>
      <c r="F15806">
        <v>47</v>
      </c>
      <c r="G15806">
        <v>0</v>
      </c>
      <c r="H15806">
        <v>24</v>
      </c>
      <c r="I15806">
        <v>216</v>
      </c>
      <c r="J15806">
        <v>1</v>
      </c>
      <c r="K15806">
        <v>47</v>
      </c>
      <c r="L15806">
        <v>239</v>
      </c>
      <c r="M15806">
        <v>1</v>
      </c>
      <c r="N15806">
        <v>4.67941E-85</v>
      </c>
      <c r="O15806">
        <v>796</v>
      </c>
    </row>
    <row r="15807" spans="1:15" x14ac:dyDescent="0.25">
      <c r="A15807" t="s">
        <v>15820</v>
      </c>
      <c r="B15807">
        <v>427</v>
      </c>
      <c r="C15807" s="1" t="str">
        <f>HYPERLINK("http://www.rosaceae.org/gb/gbrowse/malus_x_domestica/?name=MDP0000700517","MDP0000700517")</f>
        <v>MDP0000700517</v>
      </c>
      <c r="D15807">
        <v>27.14</v>
      </c>
      <c r="E15807">
        <v>210</v>
      </c>
      <c r="F15807">
        <v>153</v>
      </c>
      <c r="G15807">
        <v>13</v>
      </c>
      <c r="H15807">
        <v>185</v>
      </c>
      <c r="I15807">
        <v>389</v>
      </c>
      <c r="J15807">
        <v>1</v>
      </c>
      <c r="K15807">
        <v>172</v>
      </c>
      <c r="L15807">
        <v>373</v>
      </c>
      <c r="M15807">
        <v>1</v>
      </c>
      <c r="N15807">
        <v>2.19482E-15</v>
      </c>
      <c r="O15807">
        <v>198</v>
      </c>
    </row>
    <row r="15808" spans="1:15" x14ac:dyDescent="0.25">
      <c r="A15808" t="s">
        <v>15821</v>
      </c>
      <c r="B15808">
        <v>451</v>
      </c>
      <c r="C15808" s="1" t="str">
        <f>HYPERLINK("http://www.rosaceae.org/gb/gbrowse/malus_x_domestica/?name=MDP0000292750","MDP0000292750")</f>
        <v>MDP0000292750</v>
      </c>
      <c r="D15808">
        <v>45.87</v>
      </c>
      <c r="E15808">
        <v>473</v>
      </c>
      <c r="F15808">
        <v>256</v>
      </c>
      <c r="G15808">
        <v>83</v>
      </c>
      <c r="H15808">
        <v>3</v>
      </c>
      <c r="I15808">
        <v>448</v>
      </c>
      <c r="J15808">
        <v>1</v>
      </c>
      <c r="K15808">
        <v>16</v>
      </c>
      <c r="L15808">
        <v>432</v>
      </c>
      <c r="M15808">
        <v>1</v>
      </c>
      <c r="N15808">
        <v>3.5322400000000001E-96</v>
      </c>
      <c r="O15808">
        <v>895</v>
      </c>
    </row>
    <row r="15809" spans="1:15" x14ac:dyDescent="0.25">
      <c r="A15809" t="s">
        <v>15822</v>
      </c>
      <c r="B15809">
        <v>379</v>
      </c>
      <c r="C15809" s="1" t="str">
        <f>HYPERLINK("http://www.rosaceae.org/gb/gbrowse/malus_x_domestica/?name=MDP0000242287","MDP0000242287")</f>
        <v>MDP0000242287</v>
      </c>
      <c r="D15809">
        <v>84.38</v>
      </c>
      <c r="E15809">
        <v>269</v>
      </c>
      <c r="F15809">
        <v>42</v>
      </c>
      <c r="G15809">
        <v>0</v>
      </c>
      <c r="H15809">
        <v>1</v>
      </c>
      <c r="I15809">
        <v>269</v>
      </c>
      <c r="J15809">
        <v>1</v>
      </c>
      <c r="K15809">
        <v>99</v>
      </c>
      <c r="L15809">
        <v>367</v>
      </c>
      <c r="M15809">
        <v>1</v>
      </c>
      <c r="N15809">
        <v>1.5620199999999999E-137</v>
      </c>
      <c r="O15809">
        <v>1251</v>
      </c>
    </row>
    <row r="15810" spans="1:15" x14ac:dyDescent="0.25">
      <c r="A15810" t="s">
        <v>15823</v>
      </c>
      <c r="B15810">
        <v>203</v>
      </c>
      <c r="C15810" s="1" t="str">
        <f>HYPERLINK("http://www.rosaceae.org/gb/gbrowse/malus_x_domestica/?name=MDP0000878409","MDP0000878409")</f>
        <v>MDP0000878409</v>
      </c>
      <c r="D15810">
        <v>56.34</v>
      </c>
      <c r="E15810">
        <v>126</v>
      </c>
      <c r="F15810">
        <v>55</v>
      </c>
      <c r="G15810">
        <v>3</v>
      </c>
      <c r="H15810">
        <v>1</v>
      </c>
      <c r="I15810">
        <v>126</v>
      </c>
      <c r="J15810">
        <v>1</v>
      </c>
      <c r="K15810">
        <v>1</v>
      </c>
      <c r="L15810">
        <v>123</v>
      </c>
      <c r="M15810">
        <v>1</v>
      </c>
      <c r="N15810">
        <v>1.2035400000000001E-33</v>
      </c>
      <c r="O15810">
        <v>352</v>
      </c>
    </row>
    <row r="15811" spans="1:15" x14ac:dyDescent="0.25">
      <c r="A15811" t="s">
        <v>15824</v>
      </c>
      <c r="B15811">
        <v>456</v>
      </c>
      <c r="C15811" s="1" t="str">
        <f>HYPERLINK("http://www.rosaceae.org/gb/gbrowse/malus_x_domestica/?name=MDP0000229742","MDP0000229742")</f>
        <v>MDP0000229742</v>
      </c>
      <c r="D15811">
        <v>51.83</v>
      </c>
      <c r="E15811">
        <v>355</v>
      </c>
      <c r="F15811">
        <v>171</v>
      </c>
      <c r="G15811">
        <v>60</v>
      </c>
      <c r="H15811">
        <v>40</v>
      </c>
      <c r="I15811">
        <v>353</v>
      </c>
      <c r="J15811">
        <v>1</v>
      </c>
      <c r="K15811">
        <v>22</v>
      </c>
      <c r="L15811">
        <v>357</v>
      </c>
      <c r="M15811">
        <v>1</v>
      </c>
      <c r="N15811">
        <v>1.3046900000000001E-70</v>
      </c>
      <c r="O15811">
        <v>675</v>
      </c>
    </row>
    <row r="15812" spans="1:15" x14ac:dyDescent="0.25">
      <c r="A15812" t="s">
        <v>15825</v>
      </c>
      <c r="B15812">
        <v>455</v>
      </c>
      <c r="C15812" s="1" t="str">
        <f>HYPERLINK("http://www.rosaceae.org/gb/gbrowse/malus_x_domestica/?name=MDP0000120551","MDP0000120551")</f>
        <v>MDP0000120551</v>
      </c>
      <c r="D15812">
        <v>46.17</v>
      </c>
      <c r="E15812">
        <v>431</v>
      </c>
      <c r="F15812">
        <v>232</v>
      </c>
      <c r="G15812">
        <v>32</v>
      </c>
      <c r="H15812">
        <v>4</v>
      </c>
      <c r="I15812">
        <v>422</v>
      </c>
      <c r="J15812">
        <v>1</v>
      </c>
      <c r="K15812">
        <v>2</v>
      </c>
      <c r="L15812">
        <v>412</v>
      </c>
      <c r="M15812">
        <v>1</v>
      </c>
      <c r="N15812">
        <v>4.71282E-91</v>
      </c>
      <c r="O15812">
        <v>851</v>
      </c>
    </row>
    <row r="15813" spans="1:15" x14ac:dyDescent="0.25">
      <c r="A15813" t="s">
        <v>15826</v>
      </c>
      <c r="B15813">
        <v>632</v>
      </c>
      <c r="C15813" s="1" t="str">
        <f>HYPERLINK("http://www.rosaceae.org/gb/gbrowse/malus_x_domestica/?name=MDP0000197837","MDP0000197837")</f>
        <v>MDP0000197837</v>
      </c>
      <c r="D15813">
        <v>71.680000000000007</v>
      </c>
      <c r="E15813">
        <v>664</v>
      </c>
      <c r="F15813">
        <v>188</v>
      </c>
      <c r="G15813">
        <v>53</v>
      </c>
      <c r="H15813">
        <v>1</v>
      </c>
      <c r="I15813">
        <v>630</v>
      </c>
      <c r="J15813">
        <v>1</v>
      </c>
      <c r="K15813">
        <v>1</v>
      </c>
      <c r="L15813">
        <v>645</v>
      </c>
      <c r="M15813">
        <v>1</v>
      </c>
      <c r="N15813">
        <v>0</v>
      </c>
      <c r="O15813">
        <v>2414</v>
      </c>
    </row>
    <row r="15814" spans="1:15" x14ac:dyDescent="0.25">
      <c r="A15814" t="s">
        <v>15827</v>
      </c>
      <c r="B15814">
        <v>240</v>
      </c>
      <c r="C15814" s="1" t="str">
        <f>HYPERLINK("http://www.rosaceae.org/gb/gbrowse/malus_x_domestica/?name=MDP0000179765","MDP0000179765")</f>
        <v>MDP0000179765</v>
      </c>
      <c r="D15814">
        <v>58.33</v>
      </c>
      <c r="E15814">
        <v>156</v>
      </c>
      <c r="F15814">
        <v>65</v>
      </c>
      <c r="G15814">
        <v>10</v>
      </c>
      <c r="H15814">
        <v>1</v>
      </c>
      <c r="I15814">
        <v>156</v>
      </c>
      <c r="J15814">
        <v>1</v>
      </c>
      <c r="K15814">
        <v>1</v>
      </c>
      <c r="L15814">
        <v>146</v>
      </c>
      <c r="M15814">
        <v>1</v>
      </c>
      <c r="N15814">
        <v>1.49613E-48</v>
      </c>
      <c r="O15814">
        <v>481</v>
      </c>
    </row>
    <row r="15815" spans="1:15" x14ac:dyDescent="0.25">
      <c r="A15815" t="s">
        <v>15828</v>
      </c>
      <c r="B15815">
        <v>125</v>
      </c>
      <c r="C15815" s="1" t="str">
        <f>HYPERLINK("http://www.rosaceae.org/gb/gbrowse/malus_x_domestica/?name=MDP0000306842","MDP0000306842")</f>
        <v>MDP0000306842</v>
      </c>
      <c r="D15815">
        <v>74.75</v>
      </c>
      <c r="E15815">
        <v>103</v>
      </c>
      <c r="F15815">
        <v>26</v>
      </c>
      <c r="G15815">
        <v>1</v>
      </c>
      <c r="H15815">
        <v>7</v>
      </c>
      <c r="I15815">
        <v>108</v>
      </c>
      <c r="J15815">
        <v>1</v>
      </c>
      <c r="K15815">
        <v>101</v>
      </c>
      <c r="L15815">
        <v>203</v>
      </c>
      <c r="M15815">
        <v>1</v>
      </c>
      <c r="N15815">
        <v>1.3266000000000001E-39</v>
      </c>
      <c r="O15815">
        <v>399</v>
      </c>
    </row>
    <row r="15816" spans="1:15" x14ac:dyDescent="0.25">
      <c r="A15816" t="s">
        <v>15829</v>
      </c>
      <c r="B15816">
        <v>1069</v>
      </c>
      <c r="C15816" s="1" t="str">
        <f>HYPERLINK("http://www.rosaceae.org/gb/gbrowse/malus_x_domestica/?name=MDP0000300397","MDP0000300397")</f>
        <v>MDP0000300397</v>
      </c>
      <c r="D15816">
        <v>75.290000000000006</v>
      </c>
      <c r="E15816">
        <v>688</v>
      </c>
      <c r="F15816">
        <v>170</v>
      </c>
      <c r="G15816">
        <v>9</v>
      </c>
      <c r="H15816">
        <v>387</v>
      </c>
      <c r="I15816">
        <v>1068</v>
      </c>
      <c r="J15816">
        <v>1</v>
      </c>
      <c r="K15816">
        <v>6</v>
      </c>
      <c r="L15816">
        <v>690</v>
      </c>
      <c r="M15816">
        <v>1</v>
      </c>
      <c r="N15816">
        <v>0</v>
      </c>
      <c r="O15816">
        <v>2706</v>
      </c>
    </row>
    <row r="15817" spans="1:15" x14ac:dyDescent="0.25">
      <c r="A15817" t="s">
        <v>15830</v>
      </c>
      <c r="B15817">
        <v>799</v>
      </c>
      <c r="C15817" s="1" t="str">
        <f>HYPERLINK("http://www.rosaceae.org/gb/gbrowse/malus_x_domestica/?name=MDP0000633820","MDP0000633820")</f>
        <v>MDP0000633820</v>
      </c>
      <c r="D15817">
        <v>55.92</v>
      </c>
      <c r="E15817">
        <v>776</v>
      </c>
      <c r="F15817">
        <v>342</v>
      </c>
      <c r="G15817">
        <v>28</v>
      </c>
      <c r="H15817">
        <v>23</v>
      </c>
      <c r="I15817">
        <v>778</v>
      </c>
      <c r="J15817">
        <v>1</v>
      </c>
      <c r="K15817">
        <v>24</v>
      </c>
      <c r="L15817">
        <v>791</v>
      </c>
      <c r="M15817">
        <v>1</v>
      </c>
      <c r="N15817">
        <v>0</v>
      </c>
      <c r="O15817">
        <v>2301</v>
      </c>
    </row>
    <row r="15818" spans="1:15" x14ac:dyDescent="0.25">
      <c r="A15818" t="s">
        <v>15831</v>
      </c>
      <c r="B15818">
        <v>182</v>
      </c>
      <c r="C15818" s="1" t="str">
        <f>HYPERLINK("http://www.rosaceae.org/gb/gbrowse/malus_x_domestica/?name=MDP0000196953","MDP0000196953")</f>
        <v>MDP0000196953</v>
      </c>
      <c r="D15818">
        <v>62.19</v>
      </c>
      <c r="E15818">
        <v>82</v>
      </c>
      <c r="F15818">
        <v>31</v>
      </c>
      <c r="G15818">
        <v>4</v>
      </c>
      <c r="H15818">
        <v>43</v>
      </c>
      <c r="I15818">
        <v>124</v>
      </c>
      <c r="J15818">
        <v>1</v>
      </c>
      <c r="K15818">
        <v>35</v>
      </c>
      <c r="L15818">
        <v>112</v>
      </c>
      <c r="M15818">
        <v>1</v>
      </c>
      <c r="N15818">
        <v>2.92992E-18</v>
      </c>
      <c r="O15818">
        <v>218</v>
      </c>
    </row>
    <row r="15819" spans="1:15" x14ac:dyDescent="0.25">
      <c r="A15819" t="s">
        <v>15832</v>
      </c>
      <c r="B15819">
        <v>163</v>
      </c>
      <c r="C15819" s="1" t="str">
        <f>HYPERLINK("http://www.rosaceae.org/gb/gbrowse/malus_x_domestica/?name=MDP0000174676","MDP0000174676")</f>
        <v>MDP0000174676</v>
      </c>
      <c r="D15819">
        <v>36.979999999999997</v>
      </c>
      <c r="E15819">
        <v>73</v>
      </c>
      <c r="F15819">
        <v>46</v>
      </c>
      <c r="G15819">
        <v>0</v>
      </c>
      <c r="H15819">
        <v>3</v>
      </c>
      <c r="I15819">
        <v>75</v>
      </c>
      <c r="J15819">
        <v>1</v>
      </c>
      <c r="K15819">
        <v>918</v>
      </c>
      <c r="L15819">
        <v>990</v>
      </c>
      <c r="M15819">
        <v>1</v>
      </c>
      <c r="N15819">
        <v>2.7507200000000002E-9</v>
      </c>
      <c r="O15819">
        <v>140</v>
      </c>
    </row>
    <row r="15820" spans="1:15" x14ac:dyDescent="0.25">
      <c r="A15820" t="s">
        <v>15833</v>
      </c>
      <c r="B15820">
        <v>339</v>
      </c>
      <c r="C15820" s="1" t="str">
        <f>HYPERLINK("http://www.rosaceae.org/gb/gbrowse/malus_x_domestica/?name=MDP0000214672","MDP0000214672")</f>
        <v>MDP0000214672</v>
      </c>
      <c r="D15820">
        <v>52.26</v>
      </c>
      <c r="E15820">
        <v>331</v>
      </c>
      <c r="F15820">
        <v>158</v>
      </c>
      <c r="G15820">
        <v>20</v>
      </c>
      <c r="H15820">
        <v>7</v>
      </c>
      <c r="I15820">
        <v>336</v>
      </c>
      <c r="J15820">
        <v>1</v>
      </c>
      <c r="K15820">
        <v>1</v>
      </c>
      <c r="L15820">
        <v>312</v>
      </c>
      <c r="M15820">
        <v>1</v>
      </c>
      <c r="N15820">
        <v>2.4040799999999999E-90</v>
      </c>
      <c r="O15820">
        <v>844</v>
      </c>
    </row>
    <row r="15821" spans="1:15" x14ac:dyDescent="0.25">
      <c r="A15821" t="s">
        <v>15834</v>
      </c>
      <c r="B15821">
        <v>699</v>
      </c>
      <c r="C15821" s="1" t="str">
        <f>HYPERLINK("http://www.rosaceae.org/gb/gbrowse/malus_x_domestica/?name=MDP0000273425","MDP0000273425")</f>
        <v>MDP0000273425</v>
      </c>
      <c r="D15821">
        <v>79.540000000000006</v>
      </c>
      <c r="E15821">
        <v>352</v>
      </c>
      <c r="F15821">
        <v>72</v>
      </c>
      <c r="G15821">
        <v>12</v>
      </c>
      <c r="H15821">
        <v>17</v>
      </c>
      <c r="I15821">
        <v>368</v>
      </c>
      <c r="J15821">
        <v>1</v>
      </c>
      <c r="K15821">
        <v>21</v>
      </c>
      <c r="L15821">
        <v>360</v>
      </c>
      <c r="M15821">
        <v>1</v>
      </c>
      <c r="N15821">
        <v>6.2190800000000001E-162</v>
      </c>
      <c r="O15821">
        <v>1464</v>
      </c>
    </row>
    <row r="15822" spans="1:15" x14ac:dyDescent="0.25">
      <c r="A15822" t="s">
        <v>15835</v>
      </c>
      <c r="B15822">
        <v>367</v>
      </c>
      <c r="C15822" s="1" t="str">
        <f>HYPERLINK("http://www.rosaceae.org/gb/gbrowse/malus_x_domestica/?name=MDP0000776452","MDP0000776452")</f>
        <v>MDP0000776452</v>
      </c>
      <c r="D15822">
        <v>60.35</v>
      </c>
      <c r="E15822">
        <v>227</v>
      </c>
      <c r="F15822">
        <v>90</v>
      </c>
      <c r="G15822">
        <v>1</v>
      </c>
      <c r="H15822">
        <v>25</v>
      </c>
      <c r="I15822">
        <v>251</v>
      </c>
      <c r="J15822">
        <v>1</v>
      </c>
      <c r="K15822">
        <v>27</v>
      </c>
      <c r="L15822">
        <v>252</v>
      </c>
      <c r="M15822">
        <v>1</v>
      </c>
      <c r="N15822">
        <v>5.0476800000000003E-81</v>
      </c>
      <c r="O15822">
        <v>764</v>
      </c>
    </row>
    <row r="15823" spans="1:15" x14ac:dyDescent="0.25">
      <c r="A15823" t="s">
        <v>15836</v>
      </c>
      <c r="B15823">
        <v>736</v>
      </c>
      <c r="C15823" s="1" t="str">
        <f>HYPERLINK("http://www.rosaceae.org/gb/gbrowse/malus_x_domestica/?name=MDP0000132036","MDP0000132036")</f>
        <v>MDP0000132036</v>
      </c>
      <c r="D15823">
        <v>80.650000000000006</v>
      </c>
      <c r="E15823">
        <v>703</v>
      </c>
      <c r="F15823">
        <v>136</v>
      </c>
      <c r="G15823">
        <v>0</v>
      </c>
      <c r="H15823">
        <v>25</v>
      </c>
      <c r="I15823">
        <v>727</v>
      </c>
      <c r="J15823">
        <v>1</v>
      </c>
      <c r="K15823">
        <v>42</v>
      </c>
      <c r="L15823">
        <v>744</v>
      </c>
      <c r="M15823">
        <v>1</v>
      </c>
      <c r="N15823">
        <v>0</v>
      </c>
      <c r="O15823">
        <v>3067</v>
      </c>
    </row>
    <row r="15824" spans="1:15" x14ac:dyDescent="0.25">
      <c r="A15824" t="s">
        <v>15837</v>
      </c>
      <c r="B15824">
        <v>534</v>
      </c>
      <c r="C15824" s="1" t="str">
        <f>HYPERLINK("http://www.rosaceae.org/gb/gbrowse/malus_x_domestica/?name=MDP0000157943","MDP0000157943")</f>
        <v>MDP0000157943</v>
      </c>
      <c r="D15824">
        <v>73.33</v>
      </c>
      <c r="E15824">
        <v>495</v>
      </c>
      <c r="F15824">
        <v>132</v>
      </c>
      <c r="G15824">
        <v>6</v>
      </c>
      <c r="H15824">
        <v>30</v>
      </c>
      <c r="I15824">
        <v>519</v>
      </c>
      <c r="J15824">
        <v>1</v>
      </c>
      <c r="K15824">
        <v>30</v>
      </c>
      <c r="L15824">
        <v>523</v>
      </c>
      <c r="M15824">
        <v>1</v>
      </c>
      <c r="N15824">
        <v>0</v>
      </c>
      <c r="O15824">
        <v>1881</v>
      </c>
    </row>
    <row r="15825" spans="1:15" x14ac:dyDescent="0.25">
      <c r="A15825" t="s">
        <v>15838</v>
      </c>
      <c r="B15825">
        <v>153</v>
      </c>
      <c r="C15825" s="1" t="str">
        <f>HYPERLINK("http://www.rosaceae.org/gb/gbrowse/malus_x_domestica/?name=MDP0000268928","MDP0000268928")</f>
        <v>MDP0000268928</v>
      </c>
      <c r="D15825">
        <v>78.91</v>
      </c>
      <c r="E15825">
        <v>147</v>
      </c>
      <c r="F15825">
        <v>31</v>
      </c>
      <c r="G15825">
        <v>1</v>
      </c>
      <c r="H15825">
        <v>3</v>
      </c>
      <c r="I15825">
        <v>148</v>
      </c>
      <c r="J15825">
        <v>1</v>
      </c>
      <c r="K15825">
        <v>7</v>
      </c>
      <c r="L15825">
        <v>153</v>
      </c>
      <c r="M15825">
        <v>1</v>
      </c>
      <c r="N15825">
        <v>1.88078E-66</v>
      </c>
      <c r="O15825">
        <v>633</v>
      </c>
    </row>
    <row r="15826" spans="1:15" x14ac:dyDescent="0.25">
      <c r="A15826" t="s">
        <v>15839</v>
      </c>
      <c r="B15826">
        <v>341</v>
      </c>
      <c r="C15826" s="1" t="str">
        <f>HYPERLINK("http://www.rosaceae.org/gb/gbrowse/malus_x_domestica/?name=MDP0000155133","MDP0000155133")</f>
        <v>MDP0000155133</v>
      </c>
      <c r="D15826">
        <v>87.78</v>
      </c>
      <c r="E15826">
        <v>311</v>
      </c>
      <c r="F15826">
        <v>38</v>
      </c>
      <c r="G15826">
        <v>0</v>
      </c>
      <c r="H15826">
        <v>1</v>
      </c>
      <c r="I15826">
        <v>311</v>
      </c>
      <c r="J15826">
        <v>1</v>
      </c>
      <c r="K15826">
        <v>1</v>
      </c>
      <c r="L15826">
        <v>311</v>
      </c>
      <c r="M15826">
        <v>1</v>
      </c>
      <c r="N15826">
        <v>4.6286599999999999E-162</v>
      </c>
      <c r="O15826">
        <v>1462</v>
      </c>
    </row>
    <row r="15827" spans="1:15" x14ac:dyDescent="0.25">
      <c r="A15827" t="s">
        <v>15840</v>
      </c>
      <c r="B15827">
        <v>755</v>
      </c>
      <c r="C15827" s="1" t="str">
        <f>HYPERLINK("http://www.rosaceae.org/gb/gbrowse/malus_x_domestica/?name=MDP0000187710","MDP0000187710")</f>
        <v>MDP0000187710</v>
      </c>
      <c r="D15827">
        <v>46.14</v>
      </c>
      <c r="E15827">
        <v>583</v>
      </c>
      <c r="F15827">
        <v>314</v>
      </c>
      <c r="G15827">
        <v>68</v>
      </c>
      <c r="H15827">
        <v>97</v>
      </c>
      <c r="I15827">
        <v>660</v>
      </c>
      <c r="J15827">
        <v>1</v>
      </c>
      <c r="K15827">
        <v>33</v>
      </c>
      <c r="L15827">
        <v>566</v>
      </c>
      <c r="M15827">
        <v>1</v>
      </c>
      <c r="N15827">
        <v>4.0662500000000002E-138</v>
      </c>
      <c r="O15827">
        <v>1259</v>
      </c>
    </row>
    <row r="15828" spans="1:15" x14ac:dyDescent="0.25">
      <c r="A15828" t="s">
        <v>15841</v>
      </c>
      <c r="B15828">
        <v>395</v>
      </c>
      <c r="C15828" s="1" t="str">
        <f>HYPERLINK("http://www.rosaceae.org/gb/gbrowse/malus_x_domestica/?name=MDP0000321098","MDP0000321098")</f>
        <v>MDP0000321098</v>
      </c>
      <c r="D15828">
        <v>40.35</v>
      </c>
      <c r="E15828">
        <v>57</v>
      </c>
      <c r="F15828">
        <v>34</v>
      </c>
      <c r="G15828">
        <v>8</v>
      </c>
      <c r="H15828">
        <v>49</v>
      </c>
      <c r="I15828">
        <v>105</v>
      </c>
      <c r="J15828">
        <v>1</v>
      </c>
      <c r="K15828">
        <v>284</v>
      </c>
      <c r="L15828">
        <v>332</v>
      </c>
      <c r="M15828">
        <v>1</v>
      </c>
      <c r="N15828">
        <v>9.1949500000000002E-7</v>
      </c>
      <c r="O15828">
        <v>124</v>
      </c>
    </row>
    <row r="15829" spans="1:15" x14ac:dyDescent="0.25">
      <c r="A15829" t="s">
        <v>15842</v>
      </c>
      <c r="B15829">
        <v>804</v>
      </c>
      <c r="C15829" s="1" t="str">
        <f>HYPERLINK("http://www.rosaceae.org/gb/gbrowse/malus_x_domestica/?name=MDP0000186417","MDP0000186417")</f>
        <v>MDP0000186417</v>
      </c>
      <c r="D15829">
        <v>45.3</v>
      </c>
      <c r="E15829">
        <v>777</v>
      </c>
      <c r="F15829">
        <v>425</v>
      </c>
      <c r="G15829">
        <v>119</v>
      </c>
      <c r="H15829">
        <v>1</v>
      </c>
      <c r="I15829">
        <v>756</v>
      </c>
      <c r="J15829">
        <v>1</v>
      </c>
      <c r="K15829">
        <v>1</v>
      </c>
      <c r="L15829">
        <v>679</v>
      </c>
      <c r="M15829">
        <v>1</v>
      </c>
      <c r="N15829">
        <v>1.02732E-168</v>
      </c>
      <c r="O15829">
        <v>1524</v>
      </c>
    </row>
    <row r="15830" spans="1:15" x14ac:dyDescent="0.25">
      <c r="A15830" t="s">
        <v>15843</v>
      </c>
      <c r="B15830">
        <v>507</v>
      </c>
      <c r="C15830" s="1" t="str">
        <f>HYPERLINK("http://www.rosaceae.org/gb/gbrowse/malus_x_domestica/?name=MDP0000208065","MDP0000208065")</f>
        <v>MDP0000208065</v>
      </c>
      <c r="D15830">
        <v>77.150000000000006</v>
      </c>
      <c r="E15830">
        <v>197</v>
      </c>
      <c r="F15830">
        <v>45</v>
      </c>
      <c r="G15830">
        <v>10</v>
      </c>
      <c r="H15830">
        <v>160</v>
      </c>
      <c r="I15830">
        <v>351</v>
      </c>
      <c r="J15830">
        <v>1</v>
      </c>
      <c r="K15830">
        <v>39</v>
      </c>
      <c r="L15830">
        <v>230</v>
      </c>
      <c r="M15830">
        <v>1</v>
      </c>
      <c r="N15830">
        <v>1.0187500000000001E-77</v>
      </c>
      <c r="O15830">
        <v>737</v>
      </c>
    </row>
    <row r="15831" spans="1:15" x14ac:dyDescent="0.25">
      <c r="A15831" t="s">
        <v>15844</v>
      </c>
      <c r="B15831">
        <v>409</v>
      </c>
      <c r="C15831" s="1" t="str">
        <f>HYPERLINK("http://www.rosaceae.org/gb/gbrowse/malus_x_domestica/?name=MDP0000833759","MDP0000833759")</f>
        <v>MDP0000833759</v>
      </c>
      <c r="D15831">
        <v>71.2</v>
      </c>
      <c r="E15831">
        <v>382</v>
      </c>
      <c r="F15831">
        <v>110</v>
      </c>
      <c r="G15831">
        <v>7</v>
      </c>
      <c r="H15831">
        <v>31</v>
      </c>
      <c r="I15831">
        <v>409</v>
      </c>
      <c r="J15831">
        <v>1</v>
      </c>
      <c r="K15831">
        <v>43</v>
      </c>
      <c r="L15831">
        <v>420</v>
      </c>
      <c r="M15831">
        <v>1</v>
      </c>
      <c r="N15831">
        <v>1.2180600000000001E-149</v>
      </c>
      <c r="O15831">
        <v>1356</v>
      </c>
    </row>
    <row r="15832" spans="1:15" x14ac:dyDescent="0.25">
      <c r="A15832" t="s">
        <v>15845</v>
      </c>
      <c r="B15832">
        <v>153</v>
      </c>
      <c r="C15832" s="1" t="str">
        <f>HYPERLINK("http://www.rosaceae.org/gb/gbrowse/malus_x_domestica/?name=MDP0000127750","MDP0000127750")</f>
        <v>MDP0000127750</v>
      </c>
      <c r="D15832">
        <v>69.23</v>
      </c>
      <c r="E15832">
        <v>117</v>
      </c>
      <c r="F15832">
        <v>36</v>
      </c>
      <c r="G15832">
        <v>4</v>
      </c>
      <c r="H15832">
        <v>14</v>
      </c>
      <c r="I15832">
        <v>128</v>
      </c>
      <c r="J15832">
        <v>1</v>
      </c>
      <c r="K15832">
        <v>30</v>
      </c>
      <c r="L15832">
        <v>144</v>
      </c>
      <c r="M15832">
        <v>1</v>
      </c>
      <c r="N15832">
        <v>5.2428800000000001E-41</v>
      </c>
      <c r="O15832">
        <v>413</v>
      </c>
    </row>
    <row r="15833" spans="1:15" x14ac:dyDescent="0.25">
      <c r="A15833" t="s">
        <v>15846</v>
      </c>
      <c r="B15833">
        <v>195</v>
      </c>
      <c r="C15833" s="1" t="str">
        <f>HYPERLINK("http://www.rosaceae.org/gb/gbrowse/malus_x_domestica/?name=MDP0000281535","MDP0000281535")</f>
        <v>MDP0000281535</v>
      </c>
      <c r="D15833">
        <v>96.55</v>
      </c>
      <c r="E15833">
        <v>145</v>
      </c>
      <c r="F15833">
        <v>5</v>
      </c>
      <c r="G15833">
        <v>0</v>
      </c>
      <c r="H15833">
        <v>43</v>
      </c>
      <c r="I15833">
        <v>187</v>
      </c>
      <c r="J15833">
        <v>1</v>
      </c>
      <c r="K15833">
        <v>279</v>
      </c>
      <c r="L15833">
        <v>423</v>
      </c>
      <c r="M15833">
        <v>1</v>
      </c>
      <c r="N15833">
        <v>1.7515700000000001E-77</v>
      </c>
      <c r="O15833">
        <v>730</v>
      </c>
    </row>
    <row r="15834" spans="1:15" x14ac:dyDescent="0.25">
      <c r="A15834" t="s">
        <v>15847</v>
      </c>
      <c r="B15834">
        <v>439</v>
      </c>
      <c r="C15834" s="1" t="str">
        <f>HYPERLINK("http://www.rosaceae.org/gb/gbrowse/malus_x_domestica/?name=MDP0000269044","MDP0000269044")</f>
        <v>MDP0000269044</v>
      </c>
      <c r="D15834">
        <v>78.88</v>
      </c>
      <c r="E15834">
        <v>450</v>
      </c>
      <c r="F15834">
        <v>95</v>
      </c>
      <c r="G15834">
        <v>11</v>
      </c>
      <c r="H15834">
        <v>1</v>
      </c>
      <c r="I15834">
        <v>439</v>
      </c>
      <c r="J15834">
        <v>1</v>
      </c>
      <c r="K15834">
        <v>192</v>
      </c>
      <c r="L15834">
        <v>641</v>
      </c>
      <c r="M15834">
        <v>1</v>
      </c>
      <c r="N15834">
        <v>0</v>
      </c>
      <c r="O15834">
        <v>1842</v>
      </c>
    </row>
    <row r="15835" spans="1:15" x14ac:dyDescent="0.25">
      <c r="A15835" t="s">
        <v>15848</v>
      </c>
      <c r="B15835">
        <v>759</v>
      </c>
      <c r="C15835" s="1" t="str">
        <f>HYPERLINK("http://www.rosaceae.org/gb/gbrowse/malus_x_domestica/?name=MDP0000225515","MDP0000225515")</f>
        <v>MDP0000225515</v>
      </c>
      <c r="D15835">
        <v>82.65</v>
      </c>
      <c r="E15835">
        <v>692</v>
      </c>
      <c r="F15835">
        <v>120</v>
      </c>
      <c r="G15835">
        <v>22</v>
      </c>
      <c r="H15835">
        <v>51</v>
      </c>
      <c r="I15835">
        <v>741</v>
      </c>
      <c r="J15835">
        <v>1</v>
      </c>
      <c r="K15835">
        <v>8</v>
      </c>
      <c r="L15835">
        <v>678</v>
      </c>
      <c r="M15835">
        <v>1</v>
      </c>
      <c r="N15835">
        <v>0</v>
      </c>
      <c r="O15835">
        <v>2965</v>
      </c>
    </row>
    <row r="15836" spans="1:15" x14ac:dyDescent="0.25">
      <c r="A15836" t="s">
        <v>15849</v>
      </c>
      <c r="B15836">
        <v>478</v>
      </c>
      <c r="C15836" s="1" t="str">
        <f>HYPERLINK("http://www.rosaceae.org/gb/gbrowse/malus_x_domestica/?name=MDP0000139982","MDP0000139982")</f>
        <v>MDP0000139982</v>
      </c>
      <c r="D15836">
        <v>87.63</v>
      </c>
      <c r="E15836">
        <v>186</v>
      </c>
      <c r="F15836">
        <v>23</v>
      </c>
      <c r="G15836">
        <v>0</v>
      </c>
      <c r="H15836">
        <v>290</v>
      </c>
      <c r="I15836">
        <v>475</v>
      </c>
      <c r="J15836">
        <v>1</v>
      </c>
      <c r="K15836">
        <v>34</v>
      </c>
      <c r="L15836">
        <v>219</v>
      </c>
      <c r="M15836">
        <v>1</v>
      </c>
      <c r="N15836">
        <v>1.00308E-94</v>
      </c>
      <c r="O15836">
        <v>883</v>
      </c>
    </row>
    <row r="15837" spans="1:15" x14ac:dyDescent="0.25">
      <c r="A15837" t="s">
        <v>15850</v>
      </c>
      <c r="B15837">
        <v>436</v>
      </c>
      <c r="C15837" s="1" t="str">
        <f>HYPERLINK("http://www.rosaceae.org/gb/gbrowse/malus_x_domestica/?name=MDP0000234557","MDP0000234557")</f>
        <v>MDP0000234557</v>
      </c>
      <c r="D15837">
        <v>66.66</v>
      </c>
      <c r="E15837">
        <v>429</v>
      </c>
      <c r="F15837">
        <v>143</v>
      </c>
      <c r="G15837">
        <v>19</v>
      </c>
      <c r="H15837">
        <v>7</v>
      </c>
      <c r="I15837">
        <v>419</v>
      </c>
      <c r="J15837">
        <v>1</v>
      </c>
      <c r="K15837">
        <v>6</v>
      </c>
      <c r="L15837">
        <v>431</v>
      </c>
      <c r="M15837">
        <v>1</v>
      </c>
      <c r="N15837">
        <v>6.3969600000000004E-162</v>
      </c>
      <c r="O15837">
        <v>1462</v>
      </c>
    </row>
    <row r="15838" spans="1:15" x14ac:dyDescent="0.25">
      <c r="A15838" t="s">
        <v>15851</v>
      </c>
      <c r="B15838">
        <v>506</v>
      </c>
      <c r="C15838" s="1" t="str">
        <f>HYPERLINK("http://www.rosaceae.org/gb/gbrowse/malus_x_domestica/?name=MDP0000191620","MDP0000191620")</f>
        <v>MDP0000191620</v>
      </c>
      <c r="D15838">
        <v>68.97</v>
      </c>
      <c r="E15838">
        <v>506</v>
      </c>
      <c r="F15838">
        <v>157</v>
      </c>
      <c r="G15838">
        <v>12</v>
      </c>
      <c r="H15838">
        <v>1</v>
      </c>
      <c r="I15838">
        <v>506</v>
      </c>
      <c r="J15838">
        <v>1</v>
      </c>
      <c r="K15838">
        <v>1</v>
      </c>
      <c r="L15838">
        <v>494</v>
      </c>
      <c r="M15838">
        <v>1</v>
      </c>
      <c r="N15838">
        <v>0</v>
      </c>
      <c r="O15838">
        <v>1835</v>
      </c>
    </row>
    <row r="15839" spans="1:15" x14ac:dyDescent="0.25">
      <c r="A15839" t="s">
        <v>15852</v>
      </c>
      <c r="B15839">
        <v>304</v>
      </c>
      <c r="C15839" s="1" t="str">
        <f>HYPERLINK("http://www.rosaceae.org/gb/gbrowse/malus_x_domestica/?name=MDP0000286203","MDP0000286203")</f>
        <v>MDP0000286203</v>
      </c>
      <c r="D15839">
        <v>61.38</v>
      </c>
      <c r="E15839">
        <v>303</v>
      </c>
      <c r="F15839">
        <v>117</v>
      </c>
      <c r="G15839">
        <v>12</v>
      </c>
      <c r="H15839">
        <v>9</v>
      </c>
      <c r="I15839">
        <v>301</v>
      </c>
      <c r="J15839">
        <v>1</v>
      </c>
      <c r="K15839">
        <v>15</v>
      </c>
      <c r="L15839">
        <v>315</v>
      </c>
      <c r="M15839">
        <v>1</v>
      </c>
      <c r="N15839">
        <v>4.5478399999999997E-99</v>
      </c>
      <c r="O15839">
        <v>918</v>
      </c>
    </row>
    <row r="15840" spans="1:15" x14ac:dyDescent="0.25">
      <c r="A15840" t="s">
        <v>15853</v>
      </c>
      <c r="B15840">
        <v>512</v>
      </c>
      <c r="C15840" s="1" t="str">
        <f>HYPERLINK("http://www.rosaceae.org/gb/gbrowse/malus_x_domestica/?name=MDP0000222045","MDP0000222045")</f>
        <v>MDP0000222045</v>
      </c>
      <c r="D15840">
        <v>41.41</v>
      </c>
      <c r="E15840">
        <v>99</v>
      </c>
      <c r="F15840">
        <v>58</v>
      </c>
      <c r="G15840">
        <v>8</v>
      </c>
      <c r="H15840">
        <v>22</v>
      </c>
      <c r="I15840">
        <v>116</v>
      </c>
      <c r="J15840">
        <v>1</v>
      </c>
      <c r="K15840">
        <v>91</v>
      </c>
      <c r="L15840">
        <v>185</v>
      </c>
      <c r="M15840">
        <v>1</v>
      </c>
      <c r="N15840">
        <v>9.8355299999999998E-12</v>
      </c>
      <c r="O15840">
        <v>168</v>
      </c>
    </row>
    <row r="15841" spans="1:15" x14ac:dyDescent="0.25">
      <c r="A15841" t="s">
        <v>15854</v>
      </c>
      <c r="B15841">
        <v>891</v>
      </c>
      <c r="C15841" s="1" t="str">
        <f>HYPERLINK("http://www.rosaceae.org/gb/gbrowse/malus_x_domestica/?name=MDP0000297057","MDP0000297057")</f>
        <v>MDP0000297057</v>
      </c>
      <c r="D15841">
        <v>76.180000000000007</v>
      </c>
      <c r="E15841">
        <v>886</v>
      </c>
      <c r="F15841">
        <v>211</v>
      </c>
      <c r="G15841">
        <v>65</v>
      </c>
      <c r="H15841">
        <v>27</v>
      </c>
      <c r="I15841">
        <v>891</v>
      </c>
      <c r="J15841">
        <v>1</v>
      </c>
      <c r="K15841">
        <v>102</v>
      </c>
      <c r="L15841">
        <v>943</v>
      </c>
      <c r="M15841">
        <v>1</v>
      </c>
      <c r="N15841">
        <v>0</v>
      </c>
      <c r="O15841">
        <v>3435</v>
      </c>
    </row>
    <row r="15842" spans="1:15" x14ac:dyDescent="0.25">
      <c r="A15842" t="s">
        <v>15855</v>
      </c>
      <c r="B15842">
        <v>599</v>
      </c>
      <c r="C15842" s="1" t="str">
        <f>HYPERLINK("http://www.rosaceae.org/gb/gbrowse/malus_x_domestica/?name=MDP0000293911","MDP0000293911")</f>
        <v>MDP0000293911</v>
      </c>
      <c r="D15842">
        <v>74.08</v>
      </c>
      <c r="E15842">
        <v>548</v>
      </c>
      <c r="F15842">
        <v>142</v>
      </c>
      <c r="G15842">
        <v>4</v>
      </c>
      <c r="H15842">
        <v>1</v>
      </c>
      <c r="I15842">
        <v>546</v>
      </c>
      <c r="J15842">
        <v>1</v>
      </c>
      <c r="K15842">
        <v>127</v>
      </c>
      <c r="L15842">
        <v>672</v>
      </c>
      <c r="M15842">
        <v>1</v>
      </c>
      <c r="N15842">
        <v>0</v>
      </c>
      <c r="O15842">
        <v>2094</v>
      </c>
    </row>
    <row r="15843" spans="1:15" x14ac:dyDescent="0.25">
      <c r="A15843" t="s">
        <v>15856</v>
      </c>
      <c r="B15843">
        <v>1090</v>
      </c>
      <c r="C15843" s="1" t="str">
        <f>HYPERLINK("http://www.rosaceae.org/gb/gbrowse/malus_x_domestica/?name=MDP0000278224","MDP0000278224")</f>
        <v>MDP0000278224</v>
      </c>
      <c r="D15843">
        <v>36.04</v>
      </c>
      <c r="E15843">
        <v>577</v>
      </c>
      <c r="F15843">
        <v>369</v>
      </c>
      <c r="G15843">
        <v>76</v>
      </c>
      <c r="H15843">
        <v>162</v>
      </c>
      <c r="I15843">
        <v>700</v>
      </c>
      <c r="J15843">
        <v>1</v>
      </c>
      <c r="K15843">
        <v>392</v>
      </c>
      <c r="L15843">
        <v>930</v>
      </c>
      <c r="M15843">
        <v>1</v>
      </c>
      <c r="N15843">
        <v>2.1726000000000001E-68</v>
      </c>
      <c r="O15843">
        <v>660</v>
      </c>
    </row>
    <row r="15844" spans="1:15" x14ac:dyDescent="0.25">
      <c r="A15844" t="s">
        <v>15857</v>
      </c>
      <c r="B15844">
        <v>296</v>
      </c>
      <c r="C15844" s="1" t="str">
        <f>HYPERLINK("http://www.rosaceae.org/gb/gbrowse/malus_x_domestica/?name=MDP0000244436","MDP0000244436")</f>
        <v>MDP0000244436</v>
      </c>
      <c r="D15844">
        <v>57.91</v>
      </c>
      <c r="E15844">
        <v>297</v>
      </c>
      <c r="F15844">
        <v>125</v>
      </c>
      <c r="G15844">
        <v>25</v>
      </c>
      <c r="H15844">
        <v>4</v>
      </c>
      <c r="I15844">
        <v>296</v>
      </c>
      <c r="J15844">
        <v>1</v>
      </c>
      <c r="K15844">
        <v>186</v>
      </c>
      <c r="L15844">
        <v>461</v>
      </c>
      <c r="M15844">
        <v>1</v>
      </c>
      <c r="N15844">
        <v>6.6467200000000006E-89</v>
      </c>
      <c r="O15844">
        <v>831</v>
      </c>
    </row>
    <row r="15845" spans="1:15" x14ac:dyDescent="0.25">
      <c r="A15845" t="s">
        <v>15858</v>
      </c>
      <c r="B15845">
        <v>558</v>
      </c>
      <c r="C15845" s="1" t="str">
        <f>HYPERLINK("http://www.rosaceae.org/gb/gbrowse/malus_x_domestica/?name=MDP0000278580","MDP0000278580")</f>
        <v>MDP0000278580</v>
      </c>
      <c r="D15845">
        <v>57.22</v>
      </c>
      <c r="E15845">
        <v>367</v>
      </c>
      <c r="F15845">
        <v>157</v>
      </c>
      <c r="G15845">
        <v>37</v>
      </c>
      <c r="H15845">
        <v>186</v>
      </c>
      <c r="I15845">
        <v>548</v>
      </c>
      <c r="J15845">
        <v>1</v>
      </c>
      <c r="K15845">
        <v>562</v>
      </c>
      <c r="L15845">
        <v>895</v>
      </c>
      <c r="M15845">
        <v>1</v>
      </c>
      <c r="N15845">
        <v>7.8857699999999996E-118</v>
      </c>
      <c r="O15845">
        <v>1083</v>
      </c>
    </row>
    <row r="15846" spans="1:15" x14ac:dyDescent="0.25">
      <c r="A15846" t="s">
        <v>15859</v>
      </c>
      <c r="B15846">
        <v>1507</v>
      </c>
      <c r="C15846" s="1" t="str">
        <f>HYPERLINK("http://www.rosaceae.org/gb/gbrowse/malus_x_domestica/?name=MDP0000213445","MDP0000213445")</f>
        <v>MDP0000213445</v>
      </c>
      <c r="D15846">
        <v>42.53</v>
      </c>
      <c r="E15846">
        <v>743</v>
      </c>
      <c r="F15846">
        <v>427</v>
      </c>
      <c r="G15846">
        <v>144</v>
      </c>
      <c r="H15846">
        <v>383</v>
      </c>
      <c r="I15846">
        <v>987</v>
      </c>
      <c r="J15846">
        <v>1</v>
      </c>
      <c r="K15846">
        <v>177</v>
      </c>
      <c r="L15846">
        <v>913</v>
      </c>
      <c r="M15846">
        <v>1</v>
      </c>
      <c r="N15846">
        <v>5.8100800000000005E-144</v>
      </c>
      <c r="O15846">
        <v>1313</v>
      </c>
    </row>
    <row r="15847" spans="1:15" x14ac:dyDescent="0.25">
      <c r="A15847" t="s">
        <v>15860</v>
      </c>
      <c r="B15847">
        <v>154</v>
      </c>
      <c r="C15847" s="1" t="str">
        <f>HYPERLINK("http://www.rosaceae.org/gb/gbrowse/malus_x_domestica/?name=MDP0000676720","MDP0000676720")</f>
        <v>MDP0000676720</v>
      </c>
      <c r="D15847">
        <v>69.930000000000007</v>
      </c>
      <c r="E15847">
        <v>153</v>
      </c>
      <c r="F15847">
        <v>46</v>
      </c>
      <c r="G15847">
        <v>8</v>
      </c>
      <c r="H15847">
        <v>2</v>
      </c>
      <c r="I15847">
        <v>149</v>
      </c>
      <c r="J15847">
        <v>1</v>
      </c>
      <c r="K15847">
        <v>65</v>
      </c>
      <c r="L15847">
        <v>214</v>
      </c>
      <c r="M15847">
        <v>1</v>
      </c>
      <c r="N15847">
        <v>2.9230400000000001E-58</v>
      </c>
      <c r="O15847">
        <v>562</v>
      </c>
    </row>
    <row r="15848" spans="1:15" x14ac:dyDescent="0.25">
      <c r="A15848" t="s">
        <v>15861</v>
      </c>
      <c r="B15848">
        <v>142</v>
      </c>
      <c r="C15848" s="1" t="str">
        <f>HYPERLINK("http://www.rosaceae.org/gb/gbrowse/malus_x_domestica/?name=MDP0000250703","MDP0000250703")</f>
        <v>MDP0000250703</v>
      </c>
      <c r="D15848">
        <v>35.450000000000003</v>
      </c>
      <c r="E15848">
        <v>110</v>
      </c>
      <c r="F15848">
        <v>71</v>
      </c>
      <c r="G15848">
        <v>0</v>
      </c>
      <c r="H15848">
        <v>28</v>
      </c>
      <c r="I15848">
        <v>137</v>
      </c>
      <c r="J15848">
        <v>1</v>
      </c>
      <c r="K15848">
        <v>411</v>
      </c>
      <c r="L15848">
        <v>520</v>
      </c>
      <c r="M15848">
        <v>1</v>
      </c>
      <c r="N15848">
        <v>2.22194E-14</v>
      </c>
      <c r="O15848">
        <v>183</v>
      </c>
    </row>
    <row r="15849" spans="1:15" x14ac:dyDescent="0.25">
      <c r="A15849" t="s">
        <v>15862</v>
      </c>
      <c r="B15849">
        <v>380</v>
      </c>
      <c r="C15849" s="1" t="str">
        <f>HYPERLINK("http://www.rosaceae.org/gb/gbrowse/malus_x_domestica/?name=MDP0000296675","MDP0000296675")</f>
        <v>MDP0000296675</v>
      </c>
      <c r="D15849">
        <v>74.38</v>
      </c>
      <c r="E15849">
        <v>203</v>
      </c>
      <c r="F15849">
        <v>52</v>
      </c>
      <c r="G15849">
        <v>4</v>
      </c>
      <c r="H15849">
        <v>1</v>
      </c>
      <c r="I15849">
        <v>201</v>
      </c>
      <c r="J15849">
        <v>1</v>
      </c>
      <c r="K15849">
        <v>1</v>
      </c>
      <c r="L15849">
        <v>201</v>
      </c>
      <c r="M15849">
        <v>1</v>
      </c>
      <c r="N15849">
        <v>3.2133299999999998E-79</v>
      </c>
      <c r="O15849">
        <v>748</v>
      </c>
    </row>
    <row r="15850" spans="1:15" x14ac:dyDescent="0.25">
      <c r="A15850" t="s">
        <v>15863</v>
      </c>
      <c r="B15850">
        <v>91</v>
      </c>
      <c r="C15850" s="1" t="str">
        <f>HYPERLINK("http://www.rosaceae.org/gb/gbrowse/malus_x_domestica/?name=MDP0000327358","MDP0000327358")</f>
        <v>MDP0000327358</v>
      </c>
      <c r="D15850">
        <v>98.82</v>
      </c>
      <c r="E15850">
        <v>85</v>
      </c>
      <c r="F15850">
        <v>1</v>
      </c>
      <c r="G15850">
        <v>0</v>
      </c>
      <c r="H15850">
        <v>7</v>
      </c>
      <c r="I15850">
        <v>91</v>
      </c>
      <c r="J15850">
        <v>1</v>
      </c>
      <c r="K15850">
        <v>204</v>
      </c>
      <c r="L15850">
        <v>288</v>
      </c>
      <c r="M15850">
        <v>1</v>
      </c>
      <c r="N15850">
        <v>1.11305E-44</v>
      </c>
      <c r="O15850">
        <v>443</v>
      </c>
    </row>
    <row r="15851" spans="1:15" x14ac:dyDescent="0.25">
      <c r="A15851" t="s">
        <v>15864</v>
      </c>
      <c r="B15851">
        <v>193</v>
      </c>
      <c r="C15851" s="1" t="str">
        <f>HYPERLINK("http://www.rosaceae.org/gb/gbrowse/malus_x_domestica/?name=MDP0000140915","MDP0000140915")</f>
        <v>MDP0000140915</v>
      </c>
      <c r="D15851">
        <v>42.1</v>
      </c>
      <c r="E15851">
        <v>266</v>
      </c>
      <c r="F15851">
        <v>154</v>
      </c>
      <c r="G15851">
        <v>86</v>
      </c>
      <c r="H15851">
        <v>11</v>
      </c>
      <c r="I15851">
        <v>190</v>
      </c>
      <c r="J15851">
        <v>1</v>
      </c>
      <c r="K15851">
        <v>324</v>
      </c>
      <c r="L15851">
        <v>589</v>
      </c>
      <c r="M15851">
        <v>1</v>
      </c>
      <c r="N15851">
        <v>8.2299999999999996E-50</v>
      </c>
      <c r="O15851">
        <v>491</v>
      </c>
    </row>
    <row r="15852" spans="1:15" x14ac:dyDescent="0.25">
      <c r="A15852" t="s">
        <v>15865</v>
      </c>
      <c r="B15852">
        <v>287</v>
      </c>
      <c r="C15852" s="1" t="str">
        <f>HYPERLINK("http://www.rosaceae.org/gb/gbrowse/malus_x_domestica/?name=MDP0000853667","MDP0000853667")</f>
        <v>MDP0000853667</v>
      </c>
      <c r="D15852">
        <v>36.75</v>
      </c>
      <c r="E15852">
        <v>117</v>
      </c>
      <c r="F15852">
        <v>74</v>
      </c>
      <c r="G15852">
        <v>34</v>
      </c>
      <c r="H15852">
        <v>124</v>
      </c>
      <c r="I15852">
        <v>207</v>
      </c>
      <c r="J15852">
        <v>1</v>
      </c>
      <c r="K15852">
        <v>1</v>
      </c>
      <c r="L15852">
        <v>116</v>
      </c>
      <c r="M15852">
        <v>1</v>
      </c>
      <c r="N15852">
        <v>1.9508499999999999E-11</v>
      </c>
      <c r="O15852">
        <v>162</v>
      </c>
    </row>
    <row r="15853" spans="1:15" x14ac:dyDescent="0.25">
      <c r="A15853" t="s">
        <v>15866</v>
      </c>
      <c r="B15853">
        <v>384</v>
      </c>
      <c r="C15853" s="1" t="str">
        <f>HYPERLINK("http://www.rosaceae.org/gb/gbrowse/malus_x_domestica/?name=MDP0000204794","MDP0000204794")</f>
        <v>MDP0000204794</v>
      </c>
      <c r="D15853">
        <v>29.68</v>
      </c>
      <c r="E15853">
        <v>256</v>
      </c>
      <c r="F15853">
        <v>180</v>
      </c>
      <c r="G15853">
        <v>13</v>
      </c>
      <c r="H15853">
        <v>114</v>
      </c>
      <c r="I15853">
        <v>365</v>
      </c>
      <c r="J15853">
        <v>1</v>
      </c>
      <c r="K15853">
        <v>302</v>
      </c>
      <c r="L15853">
        <v>548</v>
      </c>
      <c r="M15853">
        <v>1</v>
      </c>
      <c r="N15853">
        <v>8.7849799999999999E-27</v>
      </c>
      <c r="O15853">
        <v>296</v>
      </c>
    </row>
    <row r="15854" spans="1:15" x14ac:dyDescent="0.25">
      <c r="A15854" t="s">
        <v>15867</v>
      </c>
      <c r="B15854">
        <v>512</v>
      </c>
      <c r="C15854" s="1" t="str">
        <f>HYPERLINK("http://www.rosaceae.org/gb/gbrowse/malus_x_domestica/?name=MDP0000316225","MDP0000316225")</f>
        <v>MDP0000316225</v>
      </c>
      <c r="D15854">
        <v>73.180000000000007</v>
      </c>
      <c r="E15854">
        <v>511</v>
      </c>
      <c r="F15854">
        <v>137</v>
      </c>
      <c r="G15854">
        <v>1</v>
      </c>
      <c r="H15854">
        <v>1</v>
      </c>
      <c r="I15854">
        <v>510</v>
      </c>
      <c r="J15854">
        <v>1</v>
      </c>
      <c r="K15854">
        <v>1</v>
      </c>
      <c r="L15854">
        <v>511</v>
      </c>
      <c r="M15854">
        <v>1</v>
      </c>
      <c r="N15854">
        <v>0</v>
      </c>
      <c r="O15854">
        <v>1963</v>
      </c>
    </row>
    <row r="15855" spans="1:15" x14ac:dyDescent="0.25">
      <c r="A15855" t="s">
        <v>15868</v>
      </c>
      <c r="B15855">
        <v>230</v>
      </c>
      <c r="C15855" s="1" t="str">
        <f>HYPERLINK("http://www.rosaceae.org/gb/gbrowse/malus_x_domestica/?name=MDP0000816743","MDP0000816743")</f>
        <v>MDP0000816743</v>
      </c>
      <c r="D15855">
        <v>57.55</v>
      </c>
      <c r="E15855">
        <v>172</v>
      </c>
      <c r="F15855">
        <v>73</v>
      </c>
      <c r="G15855">
        <v>4</v>
      </c>
      <c r="H15855">
        <v>47</v>
      </c>
      <c r="I15855">
        <v>214</v>
      </c>
      <c r="J15855">
        <v>1</v>
      </c>
      <c r="K15855">
        <v>21</v>
      </c>
      <c r="L15855">
        <v>192</v>
      </c>
      <c r="M15855">
        <v>1</v>
      </c>
      <c r="N15855">
        <v>5.2745900000000001E-51</v>
      </c>
      <c r="O15855">
        <v>502</v>
      </c>
    </row>
    <row r="15856" spans="1:15" x14ac:dyDescent="0.25">
      <c r="A15856" t="s">
        <v>15869</v>
      </c>
      <c r="B15856">
        <v>997</v>
      </c>
      <c r="C15856" s="1" t="str">
        <f>HYPERLINK("http://www.rosaceae.org/gb/gbrowse/malus_x_domestica/?name=MDP0000175783","MDP0000175783")</f>
        <v>MDP0000175783</v>
      </c>
      <c r="D15856">
        <v>72.47</v>
      </c>
      <c r="E15856">
        <v>1061</v>
      </c>
      <c r="F15856">
        <v>292</v>
      </c>
      <c r="G15856">
        <v>73</v>
      </c>
      <c r="H15856">
        <v>3</v>
      </c>
      <c r="I15856">
        <v>996</v>
      </c>
      <c r="J15856">
        <v>1</v>
      </c>
      <c r="K15856">
        <v>4</v>
      </c>
      <c r="L15856">
        <v>1058</v>
      </c>
      <c r="M15856">
        <v>1</v>
      </c>
      <c r="N15856">
        <v>0</v>
      </c>
      <c r="O15856">
        <v>3923</v>
      </c>
    </row>
    <row r="15857" spans="1:15" x14ac:dyDescent="0.25">
      <c r="A15857" t="s">
        <v>15870</v>
      </c>
      <c r="B15857">
        <v>591</v>
      </c>
      <c r="C15857" s="1" t="str">
        <f>HYPERLINK("http://www.rosaceae.org/gb/gbrowse/malus_x_domestica/?name=MDP0000123626","MDP0000123626")</f>
        <v>MDP0000123626</v>
      </c>
      <c r="D15857">
        <v>52.48</v>
      </c>
      <c r="E15857">
        <v>564</v>
      </c>
      <c r="F15857">
        <v>268</v>
      </c>
      <c r="G15857">
        <v>23</v>
      </c>
      <c r="H15857">
        <v>37</v>
      </c>
      <c r="I15857">
        <v>588</v>
      </c>
      <c r="J15857">
        <v>1</v>
      </c>
      <c r="K15857">
        <v>36</v>
      </c>
      <c r="L15857">
        <v>588</v>
      </c>
      <c r="M15857">
        <v>1</v>
      </c>
      <c r="N15857">
        <v>1.21631E-162</v>
      </c>
      <c r="O15857">
        <v>1470</v>
      </c>
    </row>
    <row r="15858" spans="1:15" x14ac:dyDescent="0.25">
      <c r="A15858" t="s">
        <v>15871</v>
      </c>
      <c r="B15858">
        <v>238</v>
      </c>
      <c r="C15858" s="1" t="str">
        <f>HYPERLINK("http://www.rosaceae.org/gb/gbrowse/malus_x_domestica/?name=MDP0000322339","MDP0000322339")</f>
        <v>MDP0000322339</v>
      </c>
      <c r="D15858">
        <v>53.05</v>
      </c>
      <c r="E15858">
        <v>213</v>
      </c>
      <c r="F15858">
        <v>100</v>
      </c>
      <c r="G15858">
        <v>25</v>
      </c>
      <c r="H15858">
        <v>29</v>
      </c>
      <c r="I15858">
        <v>217</v>
      </c>
      <c r="J15858">
        <v>1</v>
      </c>
      <c r="K15858">
        <v>7</v>
      </c>
      <c r="L15858">
        <v>218</v>
      </c>
      <c r="M15858">
        <v>1</v>
      </c>
      <c r="N15858">
        <v>3.7491999999999999E-53</v>
      </c>
      <c r="O15858">
        <v>521</v>
      </c>
    </row>
    <row r="15859" spans="1:15" x14ac:dyDescent="0.25">
      <c r="A15859" t="s">
        <v>15872</v>
      </c>
      <c r="B15859">
        <v>118</v>
      </c>
      <c r="C15859" s="1" t="str">
        <f>HYPERLINK("http://www.rosaceae.org/gb/gbrowse/malus_x_domestica/?name=MDP0000274205","MDP0000274205")</f>
        <v>MDP0000274205</v>
      </c>
      <c r="D15859">
        <v>39.630000000000003</v>
      </c>
      <c r="E15859">
        <v>111</v>
      </c>
      <c r="F15859">
        <v>67</v>
      </c>
      <c r="G15859">
        <v>3</v>
      </c>
      <c r="H15859">
        <v>8</v>
      </c>
      <c r="I15859">
        <v>117</v>
      </c>
      <c r="J15859">
        <v>1</v>
      </c>
      <c r="K15859">
        <v>6</v>
      </c>
      <c r="L15859">
        <v>114</v>
      </c>
      <c r="M15859">
        <v>1</v>
      </c>
      <c r="N15859">
        <v>1.95719E-17</v>
      </c>
      <c r="O15859">
        <v>208</v>
      </c>
    </row>
    <row r="15860" spans="1:15" x14ac:dyDescent="0.25">
      <c r="A15860" t="s">
        <v>15873</v>
      </c>
      <c r="B15860">
        <v>603</v>
      </c>
      <c r="C15860" s="1" t="str">
        <f>HYPERLINK("http://www.rosaceae.org/gb/gbrowse/malus_x_domestica/?name=MDP0000151940","MDP0000151940")</f>
        <v>MDP0000151940</v>
      </c>
      <c r="D15860">
        <v>85.86</v>
      </c>
      <c r="E15860">
        <v>375</v>
      </c>
      <c r="F15860">
        <v>53</v>
      </c>
      <c r="G15860">
        <v>17</v>
      </c>
      <c r="H15860">
        <v>225</v>
      </c>
      <c r="I15860">
        <v>582</v>
      </c>
      <c r="J15860">
        <v>1</v>
      </c>
      <c r="K15860">
        <v>75</v>
      </c>
      <c r="L15860">
        <v>449</v>
      </c>
      <c r="M15860">
        <v>1</v>
      </c>
      <c r="N15860">
        <v>0</v>
      </c>
      <c r="O15860">
        <v>1687</v>
      </c>
    </row>
    <row r="15861" spans="1:15" x14ac:dyDescent="0.25">
      <c r="A15861" t="s">
        <v>15874</v>
      </c>
      <c r="B15861">
        <v>1388</v>
      </c>
      <c r="C15861" s="1" t="str">
        <f>HYPERLINK("http://www.rosaceae.org/gb/gbrowse/malus_x_domestica/?name=MDP0000159991","MDP0000159991")</f>
        <v>MDP0000159991</v>
      </c>
      <c r="D15861">
        <v>84.28</v>
      </c>
      <c r="E15861">
        <v>280</v>
      </c>
      <c r="F15861">
        <v>44</v>
      </c>
      <c r="G15861">
        <v>1</v>
      </c>
      <c r="H15861">
        <v>1110</v>
      </c>
      <c r="I15861">
        <v>1388</v>
      </c>
      <c r="J15861">
        <v>1</v>
      </c>
      <c r="K15861">
        <v>1</v>
      </c>
      <c r="L15861">
        <v>280</v>
      </c>
      <c r="M15861">
        <v>1</v>
      </c>
      <c r="N15861">
        <v>7.1890999999999999E-137</v>
      </c>
      <c r="O15861">
        <v>1251</v>
      </c>
    </row>
    <row r="15862" spans="1:15" x14ac:dyDescent="0.25">
      <c r="A15862" t="s">
        <v>15875</v>
      </c>
      <c r="B15862">
        <v>314</v>
      </c>
      <c r="C15862" s="1" t="str">
        <f>HYPERLINK("http://www.rosaceae.org/gb/gbrowse/malus_x_domestica/?name=MDP0000196397","MDP0000196397")</f>
        <v>MDP0000196397</v>
      </c>
      <c r="D15862">
        <v>67.37</v>
      </c>
      <c r="E15862">
        <v>282</v>
      </c>
      <c r="F15862">
        <v>92</v>
      </c>
      <c r="G15862">
        <v>59</v>
      </c>
      <c r="H15862">
        <v>1</v>
      </c>
      <c r="I15862">
        <v>282</v>
      </c>
      <c r="J15862">
        <v>1</v>
      </c>
      <c r="K15862">
        <v>1</v>
      </c>
      <c r="L15862">
        <v>223</v>
      </c>
      <c r="M15862">
        <v>1</v>
      </c>
      <c r="N15862">
        <v>5.2390800000000001E-95</v>
      </c>
      <c r="O15862">
        <v>884</v>
      </c>
    </row>
    <row r="15863" spans="1:15" x14ac:dyDescent="0.25">
      <c r="A15863" t="s">
        <v>15876</v>
      </c>
      <c r="B15863">
        <v>226</v>
      </c>
      <c r="C15863" s="1" t="str">
        <f>HYPERLINK("http://www.rosaceae.org/gb/gbrowse/malus_x_domestica/?name=MDP0000245835","MDP0000245835")</f>
        <v>MDP0000245835</v>
      </c>
      <c r="D15863">
        <v>62.73</v>
      </c>
      <c r="E15863">
        <v>212</v>
      </c>
      <c r="F15863">
        <v>79</v>
      </c>
      <c r="G15863">
        <v>5</v>
      </c>
      <c r="H15863">
        <v>19</v>
      </c>
      <c r="I15863">
        <v>226</v>
      </c>
      <c r="J15863">
        <v>1</v>
      </c>
      <c r="K15863">
        <v>135</v>
      </c>
      <c r="L15863">
        <v>345</v>
      </c>
      <c r="M15863">
        <v>1</v>
      </c>
      <c r="N15863">
        <v>1.3973799999999999E-64</v>
      </c>
      <c r="O15863">
        <v>619</v>
      </c>
    </row>
    <row r="15864" spans="1:15" x14ac:dyDescent="0.25">
      <c r="A15864" t="s">
        <v>15877</v>
      </c>
      <c r="B15864">
        <v>416</v>
      </c>
      <c r="C15864" s="1" t="str">
        <f>HYPERLINK("http://www.rosaceae.org/gb/gbrowse/malus_x_domestica/?name=MDP0000259303","MDP0000259303")</f>
        <v>MDP0000259303</v>
      </c>
      <c r="D15864">
        <v>75.06</v>
      </c>
      <c r="E15864">
        <v>401</v>
      </c>
      <c r="F15864">
        <v>100</v>
      </c>
      <c r="G15864">
        <v>9</v>
      </c>
      <c r="H15864">
        <v>1</v>
      </c>
      <c r="I15864">
        <v>395</v>
      </c>
      <c r="J15864">
        <v>1</v>
      </c>
      <c r="K15864">
        <v>140</v>
      </c>
      <c r="L15864">
        <v>537</v>
      </c>
      <c r="M15864">
        <v>1</v>
      </c>
      <c r="N15864">
        <v>1.7829000000000001E-180</v>
      </c>
      <c r="O15864">
        <v>1622</v>
      </c>
    </row>
    <row r="15865" spans="1:15" x14ac:dyDescent="0.25">
      <c r="A15865" t="s">
        <v>15878</v>
      </c>
      <c r="B15865">
        <v>626</v>
      </c>
      <c r="C15865" s="1" t="str">
        <f>HYPERLINK("http://www.rosaceae.org/gb/gbrowse/malus_x_domestica/?name=MDP0000129027","MDP0000129027")</f>
        <v>MDP0000129027</v>
      </c>
      <c r="D15865">
        <v>68.819999999999993</v>
      </c>
      <c r="E15865">
        <v>555</v>
      </c>
      <c r="F15865">
        <v>173</v>
      </c>
      <c r="G15865">
        <v>26</v>
      </c>
      <c r="H15865">
        <v>81</v>
      </c>
      <c r="I15865">
        <v>623</v>
      </c>
      <c r="J15865">
        <v>1</v>
      </c>
      <c r="K15865">
        <v>180</v>
      </c>
      <c r="L15865">
        <v>720</v>
      </c>
      <c r="M15865">
        <v>1</v>
      </c>
      <c r="N15865">
        <v>0</v>
      </c>
      <c r="O15865">
        <v>1925</v>
      </c>
    </row>
    <row r="15866" spans="1:15" x14ac:dyDescent="0.25">
      <c r="A15866" t="s">
        <v>15879</v>
      </c>
      <c r="B15866">
        <v>212</v>
      </c>
      <c r="C15866" s="1" t="str">
        <f>HYPERLINK("http://www.rosaceae.org/gb/gbrowse/malus_x_domestica/?name=MDP0000165867","MDP0000165867")</f>
        <v>MDP0000165867</v>
      </c>
      <c r="D15866">
        <v>45.56</v>
      </c>
      <c r="E15866">
        <v>248</v>
      </c>
      <c r="F15866">
        <v>135</v>
      </c>
      <c r="G15866">
        <v>60</v>
      </c>
      <c r="H15866">
        <v>3</v>
      </c>
      <c r="I15866">
        <v>193</v>
      </c>
      <c r="J15866">
        <v>1</v>
      </c>
      <c r="K15866">
        <v>86</v>
      </c>
      <c r="L15866">
        <v>330</v>
      </c>
      <c r="M15866">
        <v>1</v>
      </c>
      <c r="N15866">
        <v>1.45496E-51</v>
      </c>
      <c r="O15866">
        <v>507</v>
      </c>
    </row>
    <row r="15867" spans="1:15" x14ac:dyDescent="0.25">
      <c r="A15867" t="s">
        <v>15880</v>
      </c>
      <c r="B15867">
        <v>367</v>
      </c>
      <c r="C15867" s="1" t="str">
        <f>HYPERLINK("http://www.rosaceae.org/gb/gbrowse/malus_x_domestica/?name=MDP0000823925","MDP0000823925")</f>
        <v>MDP0000823925</v>
      </c>
      <c r="D15867">
        <v>79</v>
      </c>
      <c r="E15867">
        <v>381</v>
      </c>
      <c r="F15867">
        <v>80</v>
      </c>
      <c r="G15867">
        <v>17</v>
      </c>
      <c r="H15867">
        <v>1</v>
      </c>
      <c r="I15867">
        <v>367</v>
      </c>
      <c r="J15867">
        <v>1</v>
      </c>
      <c r="K15867">
        <v>1</v>
      </c>
      <c r="L15867">
        <v>378</v>
      </c>
      <c r="M15867">
        <v>1</v>
      </c>
      <c r="N15867">
        <v>6.9754999999999996E-174</v>
      </c>
      <c r="O15867">
        <v>1565</v>
      </c>
    </row>
    <row r="15868" spans="1:15" x14ac:dyDescent="0.25">
      <c r="A15868" t="s">
        <v>15881</v>
      </c>
      <c r="B15868">
        <v>1067</v>
      </c>
      <c r="C15868" s="1" t="str">
        <f>HYPERLINK("http://www.rosaceae.org/gb/gbrowse/malus_x_domestica/?name=MDP0000186932","MDP0000186932")</f>
        <v>MDP0000186932</v>
      </c>
      <c r="D15868">
        <v>74.849999999999994</v>
      </c>
      <c r="E15868">
        <v>1070</v>
      </c>
      <c r="F15868">
        <v>269</v>
      </c>
      <c r="G15868">
        <v>5</v>
      </c>
      <c r="H15868">
        <v>1</v>
      </c>
      <c r="I15868">
        <v>1065</v>
      </c>
      <c r="J15868">
        <v>1</v>
      </c>
      <c r="K15868">
        <v>1</v>
      </c>
      <c r="L15868">
        <v>1070</v>
      </c>
      <c r="M15868">
        <v>1</v>
      </c>
      <c r="N15868">
        <v>0</v>
      </c>
      <c r="O15868">
        <v>4302</v>
      </c>
    </row>
    <row r="15869" spans="1:15" x14ac:dyDescent="0.25">
      <c r="A15869" t="s">
        <v>15882</v>
      </c>
      <c r="B15869">
        <v>421</v>
      </c>
      <c r="C15869" s="1" t="str">
        <f>HYPERLINK("http://www.rosaceae.org/gb/gbrowse/malus_x_domestica/?name=MDP0000146604","MDP0000146604")</f>
        <v>MDP0000146604</v>
      </c>
      <c r="D15869">
        <v>62.38</v>
      </c>
      <c r="E15869">
        <v>436</v>
      </c>
      <c r="F15869">
        <v>164</v>
      </c>
      <c r="G15869">
        <v>34</v>
      </c>
      <c r="H15869">
        <v>11</v>
      </c>
      <c r="I15869">
        <v>418</v>
      </c>
      <c r="J15869">
        <v>1</v>
      </c>
      <c r="K15869">
        <v>9</v>
      </c>
      <c r="L15869">
        <v>438</v>
      </c>
      <c r="M15869">
        <v>1</v>
      </c>
      <c r="N15869">
        <v>1.24679E-145</v>
      </c>
      <c r="O15869">
        <v>1322</v>
      </c>
    </row>
    <row r="15870" spans="1:15" x14ac:dyDescent="0.25">
      <c r="A15870" t="s">
        <v>15883</v>
      </c>
      <c r="B15870">
        <v>123</v>
      </c>
      <c r="C15870" s="1" t="str">
        <f>HYPERLINK("http://www.rosaceae.org/gb/gbrowse/malus_x_domestica/?name=MDP0000175314","MDP0000175314")</f>
        <v>MDP0000175314</v>
      </c>
      <c r="D15870">
        <v>54.38</v>
      </c>
      <c r="E15870">
        <v>57</v>
      </c>
      <c r="F15870">
        <v>26</v>
      </c>
      <c r="G15870">
        <v>11</v>
      </c>
      <c r="H15870">
        <v>67</v>
      </c>
      <c r="I15870">
        <v>123</v>
      </c>
      <c r="J15870">
        <v>1</v>
      </c>
      <c r="K15870">
        <v>376</v>
      </c>
      <c r="L15870">
        <v>421</v>
      </c>
      <c r="M15870">
        <v>1</v>
      </c>
      <c r="N15870">
        <v>9.57785E-8</v>
      </c>
      <c r="O15870">
        <v>124</v>
      </c>
    </row>
    <row r="15871" spans="1:15" x14ac:dyDescent="0.25">
      <c r="A15871" t="s">
        <v>15884</v>
      </c>
      <c r="B15871">
        <v>147</v>
      </c>
      <c r="C15871" s="1" t="str">
        <f>HYPERLINK("http://www.rosaceae.org/gb/gbrowse/malus_x_domestica/?name=MDP0000338473","MDP0000338473")</f>
        <v>MDP0000338473</v>
      </c>
      <c r="D15871">
        <v>81.099999999999994</v>
      </c>
      <c r="E15871">
        <v>127</v>
      </c>
      <c r="F15871">
        <v>24</v>
      </c>
      <c r="G15871">
        <v>2</v>
      </c>
      <c r="H15871">
        <v>1</v>
      </c>
      <c r="I15871">
        <v>127</v>
      </c>
      <c r="J15871">
        <v>1</v>
      </c>
      <c r="K15871">
        <v>1</v>
      </c>
      <c r="L15871">
        <v>125</v>
      </c>
      <c r="M15871">
        <v>1</v>
      </c>
      <c r="N15871">
        <v>1.02737E-55</v>
      </c>
      <c r="O15871">
        <v>540</v>
      </c>
    </row>
    <row r="15872" spans="1:15" x14ac:dyDescent="0.25">
      <c r="A15872" t="s">
        <v>15885</v>
      </c>
      <c r="B15872">
        <v>494</v>
      </c>
      <c r="C15872" s="1" t="str">
        <f>HYPERLINK("http://www.rosaceae.org/gb/gbrowse/malus_x_domestica/?name=MDP0000283918","MDP0000283918")</f>
        <v>MDP0000283918</v>
      </c>
      <c r="D15872">
        <v>36.75</v>
      </c>
      <c r="E15872">
        <v>185</v>
      </c>
      <c r="F15872">
        <v>117</v>
      </c>
      <c r="G15872">
        <v>32</v>
      </c>
      <c r="H15872">
        <v>183</v>
      </c>
      <c r="I15872">
        <v>339</v>
      </c>
      <c r="J15872">
        <v>1</v>
      </c>
      <c r="K15872">
        <v>68</v>
      </c>
      <c r="L15872">
        <v>248</v>
      </c>
      <c r="M15872">
        <v>1</v>
      </c>
      <c r="N15872">
        <v>7.2888299999999996E-25</v>
      </c>
      <c r="O15872">
        <v>281</v>
      </c>
    </row>
    <row r="15873" spans="1:15" x14ac:dyDescent="0.25">
      <c r="A15873" t="s">
        <v>15886</v>
      </c>
      <c r="B15873">
        <v>110</v>
      </c>
      <c r="C15873" s="1" t="str">
        <f>HYPERLINK("http://www.rosaceae.org/gb/gbrowse/malus_x_domestica/?name=MDP0000232589","MDP0000232589")</f>
        <v>MDP0000232589</v>
      </c>
      <c r="D15873">
        <v>63.49</v>
      </c>
      <c r="E15873">
        <v>63</v>
      </c>
      <c r="F15873">
        <v>23</v>
      </c>
      <c r="G15873">
        <v>3</v>
      </c>
      <c r="H15873">
        <v>1</v>
      </c>
      <c r="I15873">
        <v>63</v>
      </c>
      <c r="J15873">
        <v>1</v>
      </c>
      <c r="K15873">
        <v>1887</v>
      </c>
      <c r="L15873">
        <v>1946</v>
      </c>
      <c r="M15873">
        <v>1</v>
      </c>
      <c r="N15873">
        <v>9.2459800000000002E-17</v>
      </c>
      <c r="O15873">
        <v>202</v>
      </c>
    </row>
    <row r="15874" spans="1:15" x14ac:dyDescent="0.25">
      <c r="A15874" t="s">
        <v>15887</v>
      </c>
      <c r="B15874">
        <v>154</v>
      </c>
      <c r="C15874" s="1" t="str">
        <f>HYPERLINK("http://www.rosaceae.org/gb/gbrowse/malus_x_domestica/?name=MDP0000281545","MDP0000281545")</f>
        <v>MDP0000281545</v>
      </c>
      <c r="D15874">
        <v>69.900000000000006</v>
      </c>
      <c r="E15874">
        <v>103</v>
      </c>
      <c r="F15874">
        <v>31</v>
      </c>
      <c r="G15874">
        <v>1</v>
      </c>
      <c r="H15874">
        <v>20</v>
      </c>
      <c r="I15874">
        <v>122</v>
      </c>
      <c r="J15874">
        <v>1</v>
      </c>
      <c r="K15874">
        <v>20</v>
      </c>
      <c r="L15874">
        <v>121</v>
      </c>
      <c r="M15874">
        <v>1</v>
      </c>
      <c r="N15874">
        <v>6.9998100000000003E-39</v>
      </c>
      <c r="O15874">
        <v>395</v>
      </c>
    </row>
    <row r="15875" spans="1:15" x14ac:dyDescent="0.25">
      <c r="A15875" t="s">
        <v>15888</v>
      </c>
      <c r="B15875">
        <v>433</v>
      </c>
      <c r="C15875" s="1" t="str">
        <f>HYPERLINK("http://www.rosaceae.org/gb/gbrowse/malus_x_domestica/?name=MDP0000861779","MDP0000861779")</f>
        <v>MDP0000861779</v>
      </c>
      <c r="D15875">
        <v>37.82</v>
      </c>
      <c r="E15875">
        <v>468</v>
      </c>
      <c r="F15875">
        <v>291</v>
      </c>
      <c r="G15875">
        <v>69</v>
      </c>
      <c r="H15875">
        <v>1</v>
      </c>
      <c r="I15875">
        <v>429</v>
      </c>
      <c r="J15875">
        <v>1</v>
      </c>
      <c r="K15875">
        <v>1</v>
      </c>
      <c r="L15875">
        <v>438</v>
      </c>
      <c r="M15875">
        <v>1</v>
      </c>
      <c r="N15875">
        <v>1.1485500000000001E-39</v>
      </c>
      <c r="O15875">
        <v>408</v>
      </c>
    </row>
    <row r="15876" spans="1:15" x14ac:dyDescent="0.25">
      <c r="A15876" t="s">
        <v>15889</v>
      </c>
      <c r="B15876">
        <v>563</v>
      </c>
      <c r="C15876" s="1" t="str">
        <f>HYPERLINK("http://www.rosaceae.org/gb/gbrowse/malus_x_domestica/?name=MDP0000274030","MDP0000274030")</f>
        <v>MDP0000274030</v>
      </c>
      <c r="D15876">
        <v>64.430000000000007</v>
      </c>
      <c r="E15876">
        <v>568</v>
      </c>
      <c r="F15876">
        <v>202</v>
      </c>
      <c r="G15876">
        <v>30</v>
      </c>
      <c r="H15876">
        <v>1</v>
      </c>
      <c r="I15876">
        <v>563</v>
      </c>
      <c r="J15876">
        <v>1</v>
      </c>
      <c r="K15876">
        <v>1</v>
      </c>
      <c r="L15876">
        <v>543</v>
      </c>
      <c r="M15876">
        <v>1</v>
      </c>
      <c r="N15876">
        <v>0</v>
      </c>
      <c r="O15876">
        <v>1782</v>
      </c>
    </row>
    <row r="15877" spans="1:15" x14ac:dyDescent="0.25">
      <c r="A15877" t="s">
        <v>15890</v>
      </c>
      <c r="B15877">
        <v>399</v>
      </c>
      <c r="C15877" s="1" t="str">
        <f>HYPERLINK("http://www.rosaceae.org/gb/gbrowse/malus_x_domestica/?name=MDP0000790263","MDP0000790263")</f>
        <v>MDP0000790263</v>
      </c>
      <c r="D15877">
        <v>69.45</v>
      </c>
      <c r="E15877">
        <v>370</v>
      </c>
      <c r="F15877">
        <v>113</v>
      </c>
      <c r="G15877">
        <v>46</v>
      </c>
      <c r="H15877">
        <v>55</v>
      </c>
      <c r="I15877">
        <v>398</v>
      </c>
      <c r="J15877">
        <v>1</v>
      </c>
      <c r="K15877">
        <v>1</v>
      </c>
      <c r="L15877">
        <v>350</v>
      </c>
      <c r="M15877">
        <v>1</v>
      </c>
      <c r="N15877">
        <v>3.4439899999999998E-132</v>
      </c>
      <c r="O15877">
        <v>1205</v>
      </c>
    </row>
    <row r="15878" spans="1:15" x14ac:dyDescent="0.25">
      <c r="A15878" t="s">
        <v>15891</v>
      </c>
      <c r="B15878">
        <v>546</v>
      </c>
      <c r="C15878" s="1" t="str">
        <f>HYPERLINK("http://www.rosaceae.org/gb/gbrowse/malus_x_domestica/?name=MDP0000595142","MDP0000595142")</f>
        <v>MDP0000595142</v>
      </c>
      <c r="D15878">
        <v>73.069999999999993</v>
      </c>
      <c r="E15878">
        <v>546</v>
      </c>
      <c r="F15878">
        <v>147</v>
      </c>
      <c r="G15878">
        <v>2</v>
      </c>
      <c r="H15878">
        <v>1</v>
      </c>
      <c r="I15878">
        <v>546</v>
      </c>
      <c r="J15878">
        <v>1</v>
      </c>
      <c r="K15878">
        <v>1</v>
      </c>
      <c r="L15878">
        <v>544</v>
      </c>
      <c r="M15878">
        <v>1</v>
      </c>
      <c r="N15878">
        <v>0</v>
      </c>
      <c r="O15878">
        <v>2081</v>
      </c>
    </row>
    <row r="15879" spans="1:15" x14ac:dyDescent="0.25">
      <c r="A15879" t="s">
        <v>15892</v>
      </c>
      <c r="B15879">
        <v>143</v>
      </c>
      <c r="C15879" s="1" t="str">
        <f>HYPERLINK("http://www.rosaceae.org/gb/gbrowse/malus_x_domestica/?name=MDP0000599857","MDP0000599857")</f>
        <v>MDP0000599857</v>
      </c>
      <c r="D15879">
        <v>34</v>
      </c>
      <c r="E15879">
        <v>150</v>
      </c>
      <c r="F15879">
        <v>99</v>
      </c>
      <c r="G15879">
        <v>9</v>
      </c>
      <c r="H15879">
        <v>1</v>
      </c>
      <c r="I15879">
        <v>143</v>
      </c>
      <c r="J15879">
        <v>1</v>
      </c>
      <c r="K15879">
        <v>418</v>
      </c>
      <c r="L15879">
        <v>565</v>
      </c>
      <c r="M15879">
        <v>1</v>
      </c>
      <c r="N15879">
        <v>2.61281E-14</v>
      </c>
      <c r="O15879">
        <v>182</v>
      </c>
    </row>
    <row r="15880" spans="1:15" x14ac:dyDescent="0.25">
      <c r="A15880" t="s">
        <v>15893</v>
      </c>
      <c r="B15880">
        <v>189</v>
      </c>
      <c r="C15880" s="1" t="str">
        <f>HYPERLINK("http://www.rosaceae.org/gb/gbrowse/malus_x_domestica/?name=MDP0000849645","MDP0000849645")</f>
        <v>MDP0000849645</v>
      </c>
      <c r="D15880">
        <v>77.099999999999994</v>
      </c>
      <c r="E15880">
        <v>166</v>
      </c>
      <c r="F15880">
        <v>38</v>
      </c>
      <c r="G15880">
        <v>0</v>
      </c>
      <c r="H15880">
        <v>24</v>
      </c>
      <c r="I15880">
        <v>189</v>
      </c>
      <c r="J15880">
        <v>1</v>
      </c>
      <c r="K15880">
        <v>28</v>
      </c>
      <c r="L15880">
        <v>193</v>
      </c>
      <c r="M15880">
        <v>1</v>
      </c>
      <c r="N15880">
        <v>1.3140599999999999E-71</v>
      </c>
      <c r="O15880">
        <v>679</v>
      </c>
    </row>
    <row r="15881" spans="1:15" x14ac:dyDescent="0.25">
      <c r="A15881" t="s">
        <v>15894</v>
      </c>
      <c r="B15881">
        <v>444</v>
      </c>
      <c r="C15881" s="1" t="str">
        <f>HYPERLINK("http://www.rosaceae.org/gb/gbrowse/malus_x_domestica/?name=MDP0000262678","MDP0000262678")</f>
        <v>MDP0000262678</v>
      </c>
      <c r="D15881">
        <v>66.98</v>
      </c>
      <c r="E15881">
        <v>415</v>
      </c>
      <c r="F15881">
        <v>137</v>
      </c>
      <c r="G15881">
        <v>1</v>
      </c>
      <c r="H15881">
        <v>31</v>
      </c>
      <c r="I15881">
        <v>444</v>
      </c>
      <c r="J15881">
        <v>1</v>
      </c>
      <c r="K15881">
        <v>267</v>
      </c>
      <c r="L15881">
        <v>681</v>
      </c>
      <c r="M15881">
        <v>1</v>
      </c>
      <c r="N15881">
        <v>1.64316E-161</v>
      </c>
      <c r="O15881">
        <v>1459</v>
      </c>
    </row>
    <row r="15882" spans="1:15" x14ac:dyDescent="0.25">
      <c r="A15882" t="s">
        <v>15895</v>
      </c>
      <c r="B15882">
        <v>582</v>
      </c>
      <c r="C15882" s="1" t="str">
        <f>HYPERLINK("http://www.rosaceae.org/gb/gbrowse/malus_x_domestica/?name=MDP0000207761","MDP0000207761")</f>
        <v>MDP0000207761</v>
      </c>
      <c r="D15882">
        <v>75.17</v>
      </c>
      <c r="E15882">
        <v>576</v>
      </c>
      <c r="F15882">
        <v>143</v>
      </c>
      <c r="G15882">
        <v>2</v>
      </c>
      <c r="H15882">
        <v>1</v>
      </c>
      <c r="I15882">
        <v>576</v>
      </c>
      <c r="J15882">
        <v>1</v>
      </c>
      <c r="K15882">
        <v>1</v>
      </c>
      <c r="L15882">
        <v>574</v>
      </c>
      <c r="M15882">
        <v>1</v>
      </c>
      <c r="N15882">
        <v>0</v>
      </c>
      <c r="O15882">
        <v>2328</v>
      </c>
    </row>
    <row r="15883" spans="1:15" x14ac:dyDescent="0.25">
      <c r="A15883" t="s">
        <v>15896</v>
      </c>
      <c r="B15883">
        <v>581</v>
      </c>
      <c r="C15883" s="1" t="str">
        <f>HYPERLINK("http://www.rosaceae.org/gb/gbrowse/malus_x_domestica/?name=MDP0000818940","MDP0000818940")</f>
        <v>MDP0000818940</v>
      </c>
      <c r="D15883">
        <v>82.57</v>
      </c>
      <c r="E15883">
        <v>528</v>
      </c>
      <c r="F15883">
        <v>92</v>
      </c>
      <c r="G15883">
        <v>2</v>
      </c>
      <c r="H15883">
        <v>54</v>
      </c>
      <c r="I15883">
        <v>581</v>
      </c>
      <c r="J15883">
        <v>1</v>
      </c>
      <c r="K15883">
        <v>55</v>
      </c>
      <c r="L15883">
        <v>580</v>
      </c>
      <c r="M15883">
        <v>1</v>
      </c>
      <c r="N15883">
        <v>0</v>
      </c>
      <c r="O15883">
        <v>2225</v>
      </c>
    </row>
    <row r="15884" spans="1:15" x14ac:dyDescent="0.25">
      <c r="A15884" t="s">
        <v>15897</v>
      </c>
      <c r="B15884">
        <v>665</v>
      </c>
      <c r="C15884" s="1" t="str">
        <f>HYPERLINK("http://www.rosaceae.org/gb/gbrowse/malus_x_domestica/?name=MDP0000253455","MDP0000253455")</f>
        <v>MDP0000253455</v>
      </c>
      <c r="D15884">
        <v>59.17</v>
      </c>
      <c r="E15884">
        <v>627</v>
      </c>
      <c r="F15884">
        <v>256</v>
      </c>
      <c r="G15884">
        <v>33</v>
      </c>
      <c r="H15884">
        <v>23</v>
      </c>
      <c r="I15884">
        <v>622</v>
      </c>
      <c r="J15884">
        <v>1</v>
      </c>
      <c r="K15884">
        <v>27</v>
      </c>
      <c r="L15884">
        <v>647</v>
      </c>
      <c r="M15884">
        <v>1</v>
      </c>
      <c r="N15884">
        <v>0</v>
      </c>
      <c r="O15884">
        <v>1842</v>
      </c>
    </row>
    <row r="15885" spans="1:15" x14ac:dyDescent="0.25">
      <c r="A15885" t="s">
        <v>15898</v>
      </c>
      <c r="B15885">
        <v>353</v>
      </c>
      <c r="C15885" s="1" t="str">
        <f>HYPERLINK("http://www.rosaceae.org/gb/gbrowse/malus_x_domestica/?name=MDP0000244775","MDP0000244775")</f>
        <v>MDP0000244775</v>
      </c>
      <c r="D15885">
        <v>89.08</v>
      </c>
      <c r="E15885">
        <v>339</v>
      </c>
      <c r="F15885">
        <v>37</v>
      </c>
      <c r="G15885">
        <v>1</v>
      </c>
      <c r="H15885">
        <v>15</v>
      </c>
      <c r="I15885">
        <v>353</v>
      </c>
      <c r="J15885">
        <v>1</v>
      </c>
      <c r="K15885">
        <v>58</v>
      </c>
      <c r="L15885">
        <v>395</v>
      </c>
      <c r="M15885">
        <v>1</v>
      </c>
      <c r="N15885">
        <v>2.8410699999999998E-174</v>
      </c>
      <c r="O15885">
        <v>1568</v>
      </c>
    </row>
    <row r="15886" spans="1:15" x14ac:dyDescent="0.25">
      <c r="A15886" t="s">
        <v>15899</v>
      </c>
      <c r="B15886">
        <v>232</v>
      </c>
      <c r="C15886" s="1" t="str">
        <f>HYPERLINK("http://www.rosaceae.org/gb/gbrowse/malus_x_domestica/?name=MDP0000437657","MDP0000437657")</f>
        <v>MDP0000437657</v>
      </c>
      <c r="D15886">
        <v>47.96</v>
      </c>
      <c r="E15886">
        <v>221</v>
      </c>
      <c r="F15886">
        <v>115</v>
      </c>
      <c r="G15886">
        <v>15</v>
      </c>
      <c r="H15886">
        <v>4</v>
      </c>
      <c r="I15886">
        <v>214</v>
      </c>
      <c r="J15886">
        <v>1</v>
      </c>
      <c r="K15886">
        <v>3</v>
      </c>
      <c r="L15886">
        <v>218</v>
      </c>
      <c r="M15886">
        <v>1</v>
      </c>
      <c r="N15886">
        <v>1.6107E-51</v>
      </c>
      <c r="O15886">
        <v>507</v>
      </c>
    </row>
    <row r="15887" spans="1:15" x14ac:dyDescent="0.25">
      <c r="A15887" t="s">
        <v>15900</v>
      </c>
      <c r="B15887">
        <v>828</v>
      </c>
      <c r="C15887" s="1" t="str">
        <f>HYPERLINK("http://www.rosaceae.org/gb/gbrowse/malus_x_domestica/?name=MDP0000133794","MDP0000133794")</f>
        <v>MDP0000133794</v>
      </c>
      <c r="D15887">
        <v>74.58</v>
      </c>
      <c r="E15887">
        <v>783</v>
      </c>
      <c r="F15887">
        <v>199</v>
      </c>
      <c r="G15887">
        <v>19</v>
      </c>
      <c r="H15887">
        <v>23</v>
      </c>
      <c r="I15887">
        <v>796</v>
      </c>
      <c r="J15887">
        <v>1</v>
      </c>
      <c r="K15887">
        <v>23</v>
      </c>
      <c r="L15887">
        <v>795</v>
      </c>
      <c r="M15887">
        <v>1</v>
      </c>
      <c r="N15887">
        <v>0</v>
      </c>
      <c r="O15887">
        <v>3171</v>
      </c>
    </row>
    <row r="15888" spans="1:15" x14ac:dyDescent="0.25">
      <c r="A15888" t="s">
        <v>15901</v>
      </c>
      <c r="B15888">
        <v>791</v>
      </c>
      <c r="C15888" s="1" t="str">
        <f>HYPERLINK("http://www.rosaceae.org/gb/gbrowse/malus_x_domestica/?name=MDP0000250873","MDP0000250873")</f>
        <v>MDP0000250873</v>
      </c>
      <c r="D15888">
        <v>80.739999999999995</v>
      </c>
      <c r="E15888">
        <v>431</v>
      </c>
      <c r="F15888">
        <v>83</v>
      </c>
      <c r="G15888">
        <v>4</v>
      </c>
      <c r="H15888">
        <v>357</v>
      </c>
      <c r="I15888">
        <v>787</v>
      </c>
      <c r="J15888">
        <v>1</v>
      </c>
      <c r="K15888">
        <v>7</v>
      </c>
      <c r="L15888">
        <v>433</v>
      </c>
      <c r="M15888">
        <v>1</v>
      </c>
      <c r="N15888">
        <v>0</v>
      </c>
      <c r="O15888">
        <v>1863</v>
      </c>
    </row>
    <row r="15889" spans="1:15" x14ac:dyDescent="0.25">
      <c r="A15889" t="s">
        <v>15902</v>
      </c>
      <c r="B15889">
        <v>82</v>
      </c>
      <c r="C15889" s="1" t="str">
        <f>HYPERLINK("http://www.rosaceae.org/gb/gbrowse/malus_x_domestica/?name=MDP0000336462","MDP0000336462")</f>
        <v>MDP0000336462</v>
      </c>
      <c r="D15889">
        <v>86.11</v>
      </c>
      <c r="E15889">
        <v>36</v>
      </c>
      <c r="F15889">
        <v>5</v>
      </c>
      <c r="G15889">
        <v>0</v>
      </c>
      <c r="H15889">
        <v>47</v>
      </c>
      <c r="I15889">
        <v>82</v>
      </c>
      <c r="J15889">
        <v>1</v>
      </c>
      <c r="K15889">
        <v>90</v>
      </c>
      <c r="L15889">
        <v>125</v>
      </c>
      <c r="M15889">
        <v>1</v>
      </c>
      <c r="N15889">
        <v>2.56642E-11</v>
      </c>
      <c r="O15889">
        <v>155</v>
      </c>
    </row>
    <row r="15890" spans="1:15" x14ac:dyDescent="0.25">
      <c r="A15890" t="s">
        <v>15903</v>
      </c>
      <c r="B15890">
        <v>439</v>
      </c>
      <c r="C15890" s="1" t="str">
        <f>HYPERLINK("http://www.rosaceae.org/gb/gbrowse/malus_x_domestica/?name=MDP0000816743","MDP0000816743")</f>
        <v>MDP0000816743</v>
      </c>
      <c r="D15890">
        <v>57.64</v>
      </c>
      <c r="E15890">
        <v>170</v>
      </c>
      <c r="F15890">
        <v>72</v>
      </c>
      <c r="G15890">
        <v>2</v>
      </c>
      <c r="H15890">
        <v>23</v>
      </c>
      <c r="I15890">
        <v>190</v>
      </c>
      <c r="J15890">
        <v>1</v>
      </c>
      <c r="K15890">
        <v>23</v>
      </c>
      <c r="L15890">
        <v>192</v>
      </c>
      <c r="M15890">
        <v>1</v>
      </c>
      <c r="N15890">
        <v>7.5549900000000001E-51</v>
      </c>
      <c r="O15890">
        <v>504</v>
      </c>
    </row>
    <row r="15891" spans="1:15" x14ac:dyDescent="0.25">
      <c r="A15891" t="s">
        <v>15904</v>
      </c>
      <c r="B15891">
        <v>251</v>
      </c>
      <c r="C15891" s="1" t="str">
        <f>HYPERLINK("http://www.rosaceae.org/gb/gbrowse/malus_x_domestica/?name=MDP0000316217","MDP0000316217")</f>
        <v>MDP0000316217</v>
      </c>
      <c r="D15891">
        <v>71.47</v>
      </c>
      <c r="E15891">
        <v>291</v>
      </c>
      <c r="F15891">
        <v>83</v>
      </c>
      <c r="G15891">
        <v>42</v>
      </c>
      <c r="H15891">
        <v>1</v>
      </c>
      <c r="I15891">
        <v>249</v>
      </c>
      <c r="J15891">
        <v>1</v>
      </c>
      <c r="K15891">
        <v>1</v>
      </c>
      <c r="L15891">
        <v>291</v>
      </c>
      <c r="M15891">
        <v>1</v>
      </c>
      <c r="N15891">
        <v>7.7671299999999997E-118</v>
      </c>
      <c r="O15891">
        <v>1079</v>
      </c>
    </row>
    <row r="15892" spans="1:15" x14ac:dyDescent="0.25">
      <c r="A15892" t="s">
        <v>15905</v>
      </c>
      <c r="B15892">
        <v>558</v>
      </c>
      <c r="C15892" s="1" t="str">
        <f>HYPERLINK("http://www.rosaceae.org/gb/gbrowse/malus_x_domestica/?name=MDP0000843803","MDP0000843803")</f>
        <v>MDP0000843803</v>
      </c>
      <c r="D15892">
        <v>32.159999999999997</v>
      </c>
      <c r="E15892">
        <v>544</v>
      </c>
      <c r="F15892">
        <v>369</v>
      </c>
      <c r="G15892">
        <v>120</v>
      </c>
      <c r="H15892">
        <v>37</v>
      </c>
      <c r="I15892">
        <v>512</v>
      </c>
      <c r="J15892">
        <v>1</v>
      </c>
      <c r="K15892">
        <v>38</v>
      </c>
      <c r="L15892">
        <v>529</v>
      </c>
      <c r="M15892">
        <v>1</v>
      </c>
      <c r="N15892">
        <v>1.4418999999999999E-50</v>
      </c>
      <c r="O15892">
        <v>503</v>
      </c>
    </row>
    <row r="15893" spans="1:15" x14ac:dyDescent="0.25">
      <c r="A15893" t="s">
        <v>15906</v>
      </c>
      <c r="B15893">
        <v>891</v>
      </c>
      <c r="C15893" s="1" t="str">
        <f>HYPERLINK("http://www.rosaceae.org/gb/gbrowse/malus_x_domestica/?name=MDP0000561479","MDP0000561479")</f>
        <v>MDP0000561479</v>
      </c>
      <c r="D15893">
        <v>81.150000000000006</v>
      </c>
      <c r="E15893">
        <v>69</v>
      </c>
      <c r="F15893">
        <v>13</v>
      </c>
      <c r="G15893">
        <v>0</v>
      </c>
      <c r="H15893">
        <v>20</v>
      </c>
      <c r="I15893">
        <v>88</v>
      </c>
      <c r="J15893">
        <v>1</v>
      </c>
      <c r="K15893">
        <v>99</v>
      </c>
      <c r="L15893">
        <v>167</v>
      </c>
      <c r="M15893">
        <v>1</v>
      </c>
      <c r="N15893">
        <v>3.2507099999999999E-28</v>
      </c>
      <c r="O15893">
        <v>312</v>
      </c>
    </row>
    <row r="15894" spans="1:15" x14ac:dyDescent="0.25">
      <c r="A15894" t="s">
        <v>15907</v>
      </c>
      <c r="B15894">
        <v>392</v>
      </c>
      <c r="C15894" s="1" t="str">
        <f>HYPERLINK("http://www.rosaceae.org/gb/gbrowse/malus_x_domestica/?name=MDP0000810460","MDP0000810460")</f>
        <v>MDP0000810460</v>
      </c>
      <c r="D15894">
        <v>71.39</v>
      </c>
      <c r="E15894">
        <v>423</v>
      </c>
      <c r="F15894">
        <v>121</v>
      </c>
      <c r="G15894">
        <v>32</v>
      </c>
      <c r="H15894">
        <v>1</v>
      </c>
      <c r="I15894">
        <v>392</v>
      </c>
      <c r="J15894">
        <v>1</v>
      </c>
      <c r="K15894">
        <v>1</v>
      </c>
      <c r="L15894">
        <v>422</v>
      </c>
      <c r="M15894">
        <v>1</v>
      </c>
      <c r="N15894">
        <v>3.9480699999999999E-178</v>
      </c>
      <c r="O15894">
        <v>1602</v>
      </c>
    </row>
    <row r="15895" spans="1:15" x14ac:dyDescent="0.25">
      <c r="A15895" t="s">
        <v>15908</v>
      </c>
      <c r="B15895">
        <v>225</v>
      </c>
      <c r="C15895" s="1" t="str">
        <f>HYPERLINK("http://www.rosaceae.org/gb/gbrowse/malus_x_domestica/?name=MDP0000879957","MDP0000879957")</f>
        <v>MDP0000879957</v>
      </c>
      <c r="D15895">
        <v>55.07</v>
      </c>
      <c r="E15895">
        <v>207</v>
      </c>
      <c r="F15895">
        <v>93</v>
      </c>
      <c r="G15895">
        <v>17</v>
      </c>
      <c r="H15895">
        <v>1</v>
      </c>
      <c r="I15895">
        <v>191</v>
      </c>
      <c r="J15895">
        <v>1</v>
      </c>
      <c r="K15895">
        <v>1</v>
      </c>
      <c r="L15895">
        <v>206</v>
      </c>
      <c r="M15895">
        <v>1</v>
      </c>
      <c r="N15895">
        <v>4.3644600000000002E-51</v>
      </c>
      <c r="O15895">
        <v>503</v>
      </c>
    </row>
    <row r="15896" spans="1:15" x14ac:dyDescent="0.25">
      <c r="A15896" t="s">
        <v>15909</v>
      </c>
      <c r="B15896">
        <v>181</v>
      </c>
      <c r="C15896" s="1" t="str">
        <f>HYPERLINK("http://www.rosaceae.org/gb/gbrowse/malus_x_domestica/?name=MDP0000925799","MDP0000925799")</f>
        <v>MDP0000925799</v>
      </c>
      <c r="D15896">
        <v>71.05</v>
      </c>
      <c r="E15896">
        <v>38</v>
      </c>
      <c r="F15896">
        <v>11</v>
      </c>
      <c r="G15896">
        <v>0</v>
      </c>
      <c r="H15896">
        <v>141</v>
      </c>
      <c r="I15896">
        <v>178</v>
      </c>
      <c r="J15896">
        <v>1</v>
      </c>
      <c r="K15896">
        <v>416</v>
      </c>
      <c r="L15896">
        <v>453</v>
      </c>
      <c r="M15896">
        <v>1</v>
      </c>
      <c r="N15896">
        <v>1.8494699999999999E-10</v>
      </c>
      <c r="O15896">
        <v>151</v>
      </c>
    </row>
    <row r="15897" spans="1:15" x14ac:dyDescent="0.25">
      <c r="A15897" t="s">
        <v>15910</v>
      </c>
      <c r="B15897">
        <v>156</v>
      </c>
      <c r="C15897" s="1" t="str">
        <f>HYPERLINK("http://www.rosaceae.org/gb/gbrowse/malus_x_domestica/?name=MDP0000223149","MDP0000223149")</f>
        <v>MDP0000223149</v>
      </c>
      <c r="D15897">
        <v>31.03</v>
      </c>
      <c r="E15897">
        <v>116</v>
      </c>
      <c r="F15897">
        <v>80</v>
      </c>
      <c r="G15897">
        <v>2</v>
      </c>
      <c r="H15897">
        <v>4</v>
      </c>
      <c r="I15897">
        <v>118</v>
      </c>
      <c r="J15897">
        <v>1</v>
      </c>
      <c r="K15897">
        <v>318</v>
      </c>
      <c r="L15897">
        <v>432</v>
      </c>
      <c r="M15897">
        <v>1</v>
      </c>
      <c r="N15897">
        <v>1.8877000000000001E-12</v>
      </c>
      <c r="O15897">
        <v>167</v>
      </c>
    </row>
    <row r="15898" spans="1:15" x14ac:dyDescent="0.25">
      <c r="A15898" t="s">
        <v>15911</v>
      </c>
      <c r="B15898">
        <v>377</v>
      </c>
      <c r="C15898" s="1" t="str">
        <f>HYPERLINK("http://www.rosaceae.org/gb/gbrowse/malus_x_domestica/?name=MDP0000161712","MDP0000161712")</f>
        <v>MDP0000161712</v>
      </c>
      <c r="D15898">
        <v>73.87</v>
      </c>
      <c r="E15898">
        <v>379</v>
      </c>
      <c r="F15898">
        <v>99</v>
      </c>
      <c r="G15898">
        <v>2</v>
      </c>
      <c r="H15898">
        <v>1</v>
      </c>
      <c r="I15898">
        <v>377</v>
      </c>
      <c r="J15898">
        <v>1</v>
      </c>
      <c r="K15898">
        <v>84</v>
      </c>
      <c r="L15898">
        <v>462</v>
      </c>
      <c r="M15898">
        <v>1</v>
      </c>
      <c r="N15898">
        <v>4.4842099999999997E-158</v>
      </c>
      <c r="O15898">
        <v>1428</v>
      </c>
    </row>
    <row r="15899" spans="1:15" x14ac:dyDescent="0.25">
      <c r="A15899" t="s">
        <v>15912</v>
      </c>
      <c r="B15899">
        <v>313</v>
      </c>
      <c r="C15899" s="1" t="str">
        <f>HYPERLINK("http://www.rosaceae.org/gb/gbrowse/malus_x_domestica/?name=MDP0000202935","MDP0000202935")</f>
        <v>MDP0000202935</v>
      </c>
      <c r="D15899">
        <v>72.97</v>
      </c>
      <c r="E15899">
        <v>222</v>
      </c>
      <c r="F15899">
        <v>60</v>
      </c>
      <c r="G15899">
        <v>0</v>
      </c>
      <c r="H15899">
        <v>90</v>
      </c>
      <c r="I15899">
        <v>311</v>
      </c>
      <c r="J15899">
        <v>1</v>
      </c>
      <c r="K15899">
        <v>1</v>
      </c>
      <c r="L15899">
        <v>222</v>
      </c>
      <c r="M15899">
        <v>1</v>
      </c>
      <c r="N15899">
        <v>1.02704E-87</v>
      </c>
      <c r="O15899">
        <v>821</v>
      </c>
    </row>
    <row r="15900" spans="1:15" x14ac:dyDescent="0.25">
      <c r="A15900" t="s">
        <v>15913</v>
      </c>
      <c r="B15900">
        <v>732</v>
      </c>
      <c r="C15900" s="1" t="str">
        <f>HYPERLINK("http://www.rosaceae.org/gb/gbrowse/malus_x_domestica/?name=MDP0000322148","MDP0000322148")</f>
        <v>MDP0000322148</v>
      </c>
      <c r="D15900">
        <v>57.91</v>
      </c>
      <c r="E15900">
        <v>720</v>
      </c>
      <c r="F15900">
        <v>303</v>
      </c>
      <c r="G15900">
        <v>33</v>
      </c>
      <c r="H15900">
        <v>23</v>
      </c>
      <c r="I15900">
        <v>731</v>
      </c>
      <c r="J15900">
        <v>1</v>
      </c>
      <c r="K15900">
        <v>63</v>
      </c>
      <c r="L15900">
        <v>760</v>
      </c>
      <c r="M15900">
        <v>1</v>
      </c>
      <c r="N15900">
        <v>0</v>
      </c>
      <c r="O15900">
        <v>2188</v>
      </c>
    </row>
    <row r="15901" spans="1:15" x14ac:dyDescent="0.25">
      <c r="A15901" t="s">
        <v>15914</v>
      </c>
      <c r="B15901">
        <v>468</v>
      </c>
      <c r="C15901" s="1" t="str">
        <f>HYPERLINK("http://www.rosaceae.org/gb/gbrowse/malus_x_domestica/?name=MDP0000240539","MDP0000240539")</f>
        <v>MDP0000240539</v>
      </c>
      <c r="D15901">
        <v>72.099999999999994</v>
      </c>
      <c r="E15901">
        <v>423</v>
      </c>
      <c r="F15901">
        <v>118</v>
      </c>
      <c r="G15901">
        <v>37</v>
      </c>
      <c r="H15901">
        <v>83</v>
      </c>
      <c r="I15901">
        <v>468</v>
      </c>
      <c r="J15901">
        <v>1</v>
      </c>
      <c r="K15901">
        <v>1</v>
      </c>
      <c r="L15901">
        <v>423</v>
      </c>
      <c r="M15901">
        <v>1</v>
      </c>
      <c r="N15901">
        <v>2.6621300000000001E-173</v>
      </c>
      <c r="O15901">
        <v>1561</v>
      </c>
    </row>
    <row r="15902" spans="1:15" x14ac:dyDescent="0.25">
      <c r="A15902" t="s">
        <v>15915</v>
      </c>
      <c r="B15902">
        <v>290</v>
      </c>
      <c r="C15902" s="1" t="str">
        <f>HYPERLINK("http://www.rosaceae.org/gb/gbrowse/malus_x_domestica/?name=MDP0000580952","MDP0000580952")</f>
        <v>MDP0000580952</v>
      </c>
      <c r="D15902">
        <v>74.400000000000006</v>
      </c>
      <c r="E15902">
        <v>293</v>
      </c>
      <c r="F15902">
        <v>75</v>
      </c>
      <c r="G15902">
        <v>5</v>
      </c>
      <c r="H15902">
        <v>2</v>
      </c>
      <c r="I15902">
        <v>290</v>
      </c>
      <c r="J15902">
        <v>1</v>
      </c>
      <c r="K15902">
        <v>1319</v>
      </c>
      <c r="L15902">
        <v>1610</v>
      </c>
      <c r="M15902">
        <v>1</v>
      </c>
      <c r="N15902">
        <v>2.8608100000000001E-125</v>
      </c>
      <c r="O15902">
        <v>1144</v>
      </c>
    </row>
    <row r="15903" spans="1:15" x14ac:dyDescent="0.25">
      <c r="A15903" t="s">
        <v>15916</v>
      </c>
      <c r="B15903">
        <v>128</v>
      </c>
      <c r="C15903" s="1" t="str">
        <f>HYPERLINK("http://www.rosaceae.org/gb/gbrowse/malus_x_domestica/?name=MDP0000415894","MDP0000415894")</f>
        <v>MDP0000415894</v>
      </c>
      <c r="D15903">
        <v>50.87</v>
      </c>
      <c r="E15903">
        <v>114</v>
      </c>
      <c r="F15903">
        <v>56</v>
      </c>
      <c r="G15903">
        <v>2</v>
      </c>
      <c r="H15903">
        <v>1</v>
      </c>
      <c r="I15903">
        <v>112</v>
      </c>
      <c r="J15903">
        <v>1</v>
      </c>
      <c r="K15903">
        <v>910</v>
      </c>
      <c r="L15903">
        <v>1023</v>
      </c>
      <c r="M15903">
        <v>1</v>
      </c>
      <c r="N15903">
        <v>2.00758E-24</v>
      </c>
      <c r="O15903">
        <v>268</v>
      </c>
    </row>
    <row r="15904" spans="1:15" x14ac:dyDescent="0.25">
      <c r="A15904" t="s">
        <v>15917</v>
      </c>
      <c r="B15904">
        <v>334</v>
      </c>
      <c r="C15904" s="1" t="str">
        <f>HYPERLINK("http://www.rosaceae.org/gb/gbrowse/malus_x_domestica/?name=MDP0000214672","MDP0000214672")</f>
        <v>MDP0000214672</v>
      </c>
      <c r="D15904">
        <v>57.35</v>
      </c>
      <c r="E15904">
        <v>272</v>
      </c>
      <c r="F15904">
        <v>116</v>
      </c>
      <c r="G15904">
        <v>15</v>
      </c>
      <c r="H15904">
        <v>61</v>
      </c>
      <c r="I15904">
        <v>331</v>
      </c>
      <c r="J15904">
        <v>1</v>
      </c>
      <c r="K15904">
        <v>55</v>
      </c>
      <c r="L15904">
        <v>312</v>
      </c>
      <c r="M15904">
        <v>1</v>
      </c>
      <c r="N15904">
        <v>5.1640100000000003E-84</v>
      </c>
      <c r="O15904">
        <v>789</v>
      </c>
    </row>
    <row r="15905" spans="1:15" x14ac:dyDescent="0.25">
      <c r="A15905" t="s">
        <v>15918</v>
      </c>
      <c r="B15905">
        <v>917</v>
      </c>
      <c r="C15905" s="1" t="str">
        <f>HYPERLINK("http://www.rosaceae.org/gb/gbrowse/malus_x_domestica/?name=MDP0000194490","MDP0000194490")</f>
        <v>MDP0000194490</v>
      </c>
      <c r="D15905">
        <v>68.72</v>
      </c>
      <c r="E15905">
        <v>422</v>
      </c>
      <c r="F15905">
        <v>132</v>
      </c>
      <c r="G15905">
        <v>26</v>
      </c>
      <c r="H15905">
        <v>1</v>
      </c>
      <c r="I15905">
        <v>400</v>
      </c>
      <c r="J15905">
        <v>1</v>
      </c>
      <c r="K15905">
        <v>1</v>
      </c>
      <c r="L15905">
        <v>418</v>
      </c>
      <c r="M15905">
        <v>1</v>
      </c>
      <c r="N15905">
        <v>2.20782E-163</v>
      </c>
      <c r="O15905">
        <v>1478</v>
      </c>
    </row>
    <row r="15906" spans="1:15" x14ac:dyDescent="0.25">
      <c r="A15906" t="s">
        <v>15919</v>
      </c>
      <c r="B15906">
        <v>605</v>
      </c>
      <c r="C15906" s="1" t="str">
        <f>HYPERLINK("http://www.rosaceae.org/gb/gbrowse/malus_x_domestica/?name=MDP0000282490","MDP0000282490")</f>
        <v>MDP0000282490</v>
      </c>
      <c r="D15906">
        <v>68.42</v>
      </c>
      <c r="E15906">
        <v>643</v>
      </c>
      <c r="F15906">
        <v>203</v>
      </c>
      <c r="G15906">
        <v>64</v>
      </c>
      <c r="H15906">
        <v>23</v>
      </c>
      <c r="I15906">
        <v>605</v>
      </c>
      <c r="J15906">
        <v>1</v>
      </c>
      <c r="K15906">
        <v>25</v>
      </c>
      <c r="L15906">
        <v>663</v>
      </c>
      <c r="M15906">
        <v>1</v>
      </c>
      <c r="N15906">
        <v>0</v>
      </c>
      <c r="O15906">
        <v>2251</v>
      </c>
    </row>
    <row r="15907" spans="1:15" x14ac:dyDescent="0.25">
      <c r="A15907" t="s">
        <v>15920</v>
      </c>
      <c r="B15907">
        <v>290</v>
      </c>
      <c r="C15907" s="1" t="str">
        <f>HYPERLINK("http://www.rosaceae.org/gb/gbrowse/malus_x_domestica/?name=MDP0000245341","MDP0000245341")</f>
        <v>MDP0000245341</v>
      </c>
      <c r="D15907">
        <v>92.34</v>
      </c>
      <c r="E15907">
        <v>222</v>
      </c>
      <c r="F15907">
        <v>17</v>
      </c>
      <c r="G15907">
        <v>0</v>
      </c>
      <c r="H15907">
        <v>69</v>
      </c>
      <c r="I15907">
        <v>290</v>
      </c>
      <c r="J15907">
        <v>1</v>
      </c>
      <c r="K15907">
        <v>257</v>
      </c>
      <c r="L15907">
        <v>478</v>
      </c>
      <c r="M15907">
        <v>1</v>
      </c>
      <c r="N15907">
        <v>4.6069599999999999E-122</v>
      </c>
      <c r="O15907">
        <v>1116</v>
      </c>
    </row>
    <row r="15908" spans="1:15" x14ac:dyDescent="0.25">
      <c r="A15908" t="s">
        <v>15921</v>
      </c>
      <c r="B15908">
        <v>526</v>
      </c>
      <c r="C15908" s="1" t="str">
        <f>HYPERLINK("http://www.rosaceae.org/gb/gbrowse/malus_x_domestica/?name=MDP0000157943","MDP0000157943")</f>
        <v>MDP0000157943</v>
      </c>
      <c r="D15908">
        <v>72.959999999999994</v>
      </c>
      <c r="E15908">
        <v>492</v>
      </c>
      <c r="F15908">
        <v>133</v>
      </c>
      <c r="G15908">
        <v>6</v>
      </c>
      <c r="H15908">
        <v>30</v>
      </c>
      <c r="I15908">
        <v>516</v>
      </c>
      <c r="J15908">
        <v>1</v>
      </c>
      <c r="K15908">
        <v>30</v>
      </c>
      <c r="L15908">
        <v>520</v>
      </c>
      <c r="M15908">
        <v>1</v>
      </c>
      <c r="N15908">
        <v>0</v>
      </c>
      <c r="O15908">
        <v>1860</v>
      </c>
    </row>
    <row r="15909" spans="1:15" x14ac:dyDescent="0.25">
      <c r="A15909" t="s">
        <v>15922</v>
      </c>
      <c r="B15909">
        <v>206</v>
      </c>
      <c r="C15909" s="1" t="str">
        <f>HYPERLINK("http://www.rosaceae.org/gb/gbrowse/malus_x_domestica/?name=MDP0000325364","MDP0000325364")</f>
        <v>MDP0000325364</v>
      </c>
      <c r="D15909">
        <v>97.57</v>
      </c>
      <c r="E15909">
        <v>206</v>
      </c>
      <c r="F15909">
        <v>5</v>
      </c>
      <c r="G15909">
        <v>0</v>
      </c>
      <c r="H15909">
        <v>1</v>
      </c>
      <c r="I15909">
        <v>206</v>
      </c>
      <c r="J15909">
        <v>1</v>
      </c>
      <c r="K15909">
        <v>1</v>
      </c>
      <c r="L15909">
        <v>206</v>
      </c>
      <c r="M15909">
        <v>1</v>
      </c>
      <c r="N15909">
        <v>3.77077E-118</v>
      </c>
      <c r="O15909">
        <v>1081</v>
      </c>
    </row>
    <row r="15910" spans="1:15" x14ac:dyDescent="0.25">
      <c r="A15910" t="s">
        <v>15923</v>
      </c>
      <c r="B15910">
        <v>335</v>
      </c>
      <c r="C15910" s="1" t="str">
        <f>HYPERLINK("http://www.rosaceae.org/gb/gbrowse/malus_x_domestica/?name=MDP0000206106","MDP0000206106")</f>
        <v>MDP0000206106</v>
      </c>
      <c r="D15910">
        <v>47.45</v>
      </c>
      <c r="E15910">
        <v>295</v>
      </c>
      <c r="F15910">
        <v>155</v>
      </c>
      <c r="G15910">
        <v>28</v>
      </c>
      <c r="H15910">
        <v>29</v>
      </c>
      <c r="I15910">
        <v>312</v>
      </c>
      <c r="J15910">
        <v>1</v>
      </c>
      <c r="K15910">
        <v>31</v>
      </c>
      <c r="L15910">
        <v>308</v>
      </c>
      <c r="M15910">
        <v>1</v>
      </c>
      <c r="N15910">
        <v>2.0661600000000001E-64</v>
      </c>
      <c r="O15910">
        <v>620</v>
      </c>
    </row>
    <row r="15911" spans="1:15" x14ac:dyDescent="0.25">
      <c r="A15911" t="s">
        <v>15924</v>
      </c>
      <c r="B15911">
        <v>431</v>
      </c>
      <c r="C15911" s="1" t="str">
        <f>HYPERLINK("http://www.rosaceae.org/gb/gbrowse/malus_x_domestica/?name=MDP0000841170","MDP0000841170")</f>
        <v>MDP0000841170</v>
      </c>
      <c r="D15911">
        <v>84.25</v>
      </c>
      <c r="E15911">
        <v>432</v>
      </c>
      <c r="F15911">
        <v>68</v>
      </c>
      <c r="G15911">
        <v>3</v>
      </c>
      <c r="H15911">
        <v>1</v>
      </c>
      <c r="I15911">
        <v>430</v>
      </c>
      <c r="J15911">
        <v>1</v>
      </c>
      <c r="K15911">
        <v>1</v>
      </c>
      <c r="L15911">
        <v>431</v>
      </c>
      <c r="M15911">
        <v>1</v>
      </c>
      <c r="N15911">
        <v>0</v>
      </c>
      <c r="O15911">
        <v>1958</v>
      </c>
    </row>
    <row r="15912" spans="1:15" x14ac:dyDescent="0.25">
      <c r="A15912" t="s">
        <v>15925</v>
      </c>
      <c r="B15912">
        <v>162</v>
      </c>
      <c r="C15912" s="1" t="str">
        <f>HYPERLINK("http://www.rosaceae.org/gb/gbrowse/malus_x_domestica/?name=MDP0000670228","MDP0000670228")</f>
        <v>MDP0000670228</v>
      </c>
      <c r="D15912">
        <v>33.96</v>
      </c>
      <c r="E15912">
        <v>159</v>
      </c>
      <c r="F15912">
        <v>105</v>
      </c>
      <c r="G15912">
        <v>37</v>
      </c>
      <c r="H15912">
        <v>1</v>
      </c>
      <c r="I15912">
        <v>123</v>
      </c>
      <c r="J15912">
        <v>1</v>
      </c>
      <c r="K15912">
        <v>153</v>
      </c>
      <c r="L15912">
        <v>310</v>
      </c>
      <c r="M15912">
        <v>1</v>
      </c>
      <c r="N15912">
        <v>8.7060100000000002E-13</v>
      </c>
      <c r="O15912">
        <v>170</v>
      </c>
    </row>
    <row r="15913" spans="1:15" x14ac:dyDescent="0.25">
      <c r="A15913" t="s">
        <v>15926</v>
      </c>
      <c r="B15913">
        <v>766</v>
      </c>
      <c r="C15913" s="1" t="str">
        <f>HYPERLINK("http://www.rosaceae.org/gb/gbrowse/malus_x_domestica/?name=MDP0000124669","MDP0000124669")</f>
        <v>MDP0000124669</v>
      </c>
      <c r="D15913">
        <v>76.2</v>
      </c>
      <c r="E15913">
        <v>538</v>
      </c>
      <c r="F15913">
        <v>128</v>
      </c>
      <c r="G15913">
        <v>41</v>
      </c>
      <c r="H15913">
        <v>265</v>
      </c>
      <c r="I15913">
        <v>762</v>
      </c>
      <c r="J15913">
        <v>1</v>
      </c>
      <c r="K15913">
        <v>27</v>
      </c>
      <c r="L15913">
        <v>563</v>
      </c>
      <c r="M15913">
        <v>1</v>
      </c>
      <c r="N15913">
        <v>0</v>
      </c>
      <c r="O15913">
        <v>2165</v>
      </c>
    </row>
    <row r="15914" spans="1:15" x14ac:dyDescent="0.25">
      <c r="A15914" t="s">
        <v>15927</v>
      </c>
      <c r="B15914">
        <v>564</v>
      </c>
      <c r="C15914" s="1" t="str">
        <f>HYPERLINK("http://www.rosaceae.org/gb/gbrowse/malus_x_domestica/?name=MDP0000176374","MDP0000176374")</f>
        <v>MDP0000176374</v>
      </c>
      <c r="D15914">
        <v>76.73</v>
      </c>
      <c r="E15914">
        <v>533</v>
      </c>
      <c r="F15914">
        <v>124</v>
      </c>
      <c r="G15914">
        <v>2</v>
      </c>
      <c r="H15914">
        <v>31</v>
      </c>
      <c r="I15914">
        <v>563</v>
      </c>
      <c r="J15914">
        <v>1</v>
      </c>
      <c r="K15914">
        <v>1</v>
      </c>
      <c r="L15914">
        <v>531</v>
      </c>
      <c r="M15914">
        <v>1</v>
      </c>
      <c r="N15914">
        <v>0</v>
      </c>
      <c r="O15914">
        <v>2166</v>
      </c>
    </row>
    <row r="15915" spans="1:15" x14ac:dyDescent="0.25">
      <c r="A15915" t="s">
        <v>15928</v>
      </c>
      <c r="B15915">
        <v>335</v>
      </c>
      <c r="C15915" s="1" t="str">
        <f>HYPERLINK("http://www.rosaceae.org/gb/gbrowse/malus_x_domestica/?name=MDP0000305085","MDP0000305085")</f>
        <v>MDP0000305085</v>
      </c>
      <c r="D15915">
        <v>31.29</v>
      </c>
      <c r="E15915">
        <v>294</v>
      </c>
      <c r="F15915">
        <v>202</v>
      </c>
      <c r="G15915">
        <v>54</v>
      </c>
      <c r="H15915">
        <v>83</v>
      </c>
      <c r="I15915">
        <v>324</v>
      </c>
      <c r="J15915">
        <v>1</v>
      </c>
      <c r="K15915">
        <v>11</v>
      </c>
      <c r="L15915">
        <v>302</v>
      </c>
      <c r="M15915">
        <v>1</v>
      </c>
      <c r="N15915">
        <v>2.7416900000000002E-38</v>
      </c>
      <c r="O15915">
        <v>395</v>
      </c>
    </row>
    <row r="15916" spans="1:15" x14ac:dyDescent="0.25">
      <c r="A15916" t="s">
        <v>15929</v>
      </c>
      <c r="B15916">
        <v>473</v>
      </c>
      <c r="C15916" s="1" t="str">
        <f>HYPERLINK("http://www.rosaceae.org/gb/gbrowse/malus_x_domestica/?name=MDP0000204554","MDP0000204554")</f>
        <v>MDP0000204554</v>
      </c>
      <c r="D15916">
        <v>62.4</v>
      </c>
      <c r="E15916">
        <v>383</v>
      </c>
      <c r="F15916">
        <v>144</v>
      </c>
      <c r="G15916">
        <v>35</v>
      </c>
      <c r="H15916">
        <v>9</v>
      </c>
      <c r="I15916">
        <v>363</v>
      </c>
      <c r="J15916">
        <v>1</v>
      </c>
      <c r="K15916">
        <v>10</v>
      </c>
      <c r="L15916">
        <v>385</v>
      </c>
      <c r="M15916">
        <v>1</v>
      </c>
      <c r="N15916">
        <v>4.1440200000000001E-133</v>
      </c>
      <c r="O15916">
        <v>1214</v>
      </c>
    </row>
    <row r="15917" spans="1:15" x14ac:dyDescent="0.25">
      <c r="A15917" t="s">
        <v>15930</v>
      </c>
      <c r="B15917">
        <v>803</v>
      </c>
      <c r="C15917" s="1" t="str">
        <f>HYPERLINK("http://www.rosaceae.org/gb/gbrowse/malus_x_domestica/?name=MDP0000297308","MDP0000297308")</f>
        <v>MDP0000297308</v>
      </c>
      <c r="D15917">
        <v>74.459999999999994</v>
      </c>
      <c r="E15917">
        <v>799</v>
      </c>
      <c r="F15917">
        <v>204</v>
      </c>
      <c r="G15917">
        <v>2</v>
      </c>
      <c r="H15917">
        <v>7</v>
      </c>
      <c r="I15917">
        <v>803</v>
      </c>
      <c r="J15917">
        <v>1</v>
      </c>
      <c r="K15917">
        <v>9</v>
      </c>
      <c r="L15917">
        <v>807</v>
      </c>
      <c r="M15917">
        <v>1</v>
      </c>
      <c r="N15917">
        <v>0</v>
      </c>
      <c r="O15917">
        <v>3253</v>
      </c>
    </row>
    <row r="15918" spans="1:15" x14ac:dyDescent="0.25">
      <c r="A15918" t="s">
        <v>15931</v>
      </c>
      <c r="B15918">
        <v>811</v>
      </c>
      <c r="C15918" s="1" t="str">
        <f>HYPERLINK("http://www.rosaceae.org/gb/gbrowse/malus_x_domestica/?name=MDP0000521305","MDP0000521305")</f>
        <v>MDP0000521305</v>
      </c>
      <c r="D15918">
        <v>27.21</v>
      </c>
      <c r="E15918">
        <v>316</v>
      </c>
      <c r="F15918">
        <v>230</v>
      </c>
      <c r="G15918">
        <v>2</v>
      </c>
      <c r="H15918">
        <v>405</v>
      </c>
      <c r="I15918">
        <v>719</v>
      </c>
      <c r="J15918">
        <v>1</v>
      </c>
      <c r="K15918">
        <v>75</v>
      </c>
      <c r="L15918">
        <v>389</v>
      </c>
      <c r="M15918">
        <v>1</v>
      </c>
      <c r="N15918">
        <v>5.6745000000000005E-35</v>
      </c>
      <c r="O15918">
        <v>370</v>
      </c>
    </row>
    <row r="15919" spans="1:15" x14ac:dyDescent="0.25">
      <c r="A15919" t="s">
        <v>15932</v>
      </c>
      <c r="B15919">
        <v>405</v>
      </c>
      <c r="C15919" s="1" t="str">
        <f>HYPERLINK("http://www.rosaceae.org/gb/gbrowse/malus_x_domestica/?name=MDP0000144252","MDP0000144252")</f>
        <v>MDP0000144252</v>
      </c>
      <c r="D15919">
        <v>61.44</v>
      </c>
      <c r="E15919">
        <v>415</v>
      </c>
      <c r="F15919">
        <v>160</v>
      </c>
      <c r="G15919">
        <v>12</v>
      </c>
      <c r="H15919">
        <v>2</v>
      </c>
      <c r="I15919">
        <v>405</v>
      </c>
      <c r="J15919">
        <v>1</v>
      </c>
      <c r="K15919">
        <v>3</v>
      </c>
      <c r="L15919">
        <v>416</v>
      </c>
      <c r="M15919">
        <v>1</v>
      </c>
      <c r="N15919">
        <v>1.69177E-150</v>
      </c>
      <c r="O15919">
        <v>1363</v>
      </c>
    </row>
    <row r="15920" spans="1:15" x14ac:dyDescent="0.25">
      <c r="A15920" t="s">
        <v>15933</v>
      </c>
      <c r="B15920">
        <v>397</v>
      </c>
      <c r="C15920" s="1" t="str">
        <f>HYPERLINK("http://www.rosaceae.org/gb/gbrowse/malus_x_domestica/?name=MDP0000515800","MDP0000515800")</f>
        <v>MDP0000515800</v>
      </c>
      <c r="D15920">
        <v>50.1</v>
      </c>
      <c r="E15920">
        <v>469</v>
      </c>
      <c r="F15920">
        <v>234</v>
      </c>
      <c r="G15920">
        <v>107</v>
      </c>
      <c r="H15920">
        <v>11</v>
      </c>
      <c r="I15920">
        <v>392</v>
      </c>
      <c r="J15920">
        <v>1</v>
      </c>
      <c r="K15920">
        <v>125</v>
      </c>
      <c r="L15920">
        <v>573</v>
      </c>
      <c r="M15920">
        <v>1</v>
      </c>
      <c r="N15920">
        <v>7.0995799999999997E-117</v>
      </c>
      <c r="O15920">
        <v>1073</v>
      </c>
    </row>
    <row r="15921" spans="1:15" x14ac:dyDescent="0.25">
      <c r="A15921" t="s">
        <v>15934</v>
      </c>
      <c r="B15921">
        <v>1063</v>
      </c>
      <c r="C15921" s="1" t="str">
        <f>HYPERLINK("http://www.rosaceae.org/gb/gbrowse/malus_x_domestica/?name=MDP0000234851","MDP0000234851")</f>
        <v>MDP0000234851</v>
      </c>
      <c r="D15921">
        <v>42.03</v>
      </c>
      <c r="E15921">
        <v>728</v>
      </c>
      <c r="F15921">
        <v>422</v>
      </c>
      <c r="G15921">
        <v>112</v>
      </c>
      <c r="H15921">
        <v>1</v>
      </c>
      <c r="I15921">
        <v>672</v>
      </c>
      <c r="J15921">
        <v>1</v>
      </c>
      <c r="K15921">
        <v>18</v>
      </c>
      <c r="L15921">
        <v>689</v>
      </c>
      <c r="M15921">
        <v>1</v>
      </c>
      <c r="N15921">
        <v>2.6134899999999998E-111</v>
      </c>
      <c r="O15921">
        <v>1030</v>
      </c>
    </row>
    <row r="15922" spans="1:15" x14ac:dyDescent="0.25">
      <c r="A15922" t="s">
        <v>15935</v>
      </c>
      <c r="B15922">
        <v>494</v>
      </c>
      <c r="C15922" s="1" t="str">
        <f>HYPERLINK("http://www.rosaceae.org/gb/gbrowse/malus_x_domestica/?name=MDP0000060056","MDP0000060056")</f>
        <v>MDP0000060056</v>
      </c>
      <c r="D15922">
        <v>80.83</v>
      </c>
      <c r="E15922">
        <v>433</v>
      </c>
      <c r="F15922">
        <v>83</v>
      </c>
      <c r="G15922">
        <v>31</v>
      </c>
      <c r="H15922">
        <v>1</v>
      </c>
      <c r="I15922">
        <v>420</v>
      </c>
      <c r="J15922">
        <v>1</v>
      </c>
      <c r="K15922">
        <v>1</v>
      </c>
      <c r="L15922">
        <v>415</v>
      </c>
      <c r="M15922">
        <v>1</v>
      </c>
      <c r="N15922">
        <v>0</v>
      </c>
      <c r="O15922">
        <v>1777</v>
      </c>
    </row>
    <row r="15923" spans="1:15" x14ac:dyDescent="0.25">
      <c r="A15923" t="s">
        <v>15936</v>
      </c>
      <c r="B15923">
        <v>561</v>
      </c>
      <c r="C15923" s="1" t="str">
        <f>HYPERLINK("http://www.rosaceae.org/gb/gbrowse/malus_x_domestica/?name=MDP0000289009","MDP0000289009")</f>
        <v>MDP0000289009</v>
      </c>
      <c r="D15923">
        <v>36.270000000000003</v>
      </c>
      <c r="E15923">
        <v>419</v>
      </c>
      <c r="F15923">
        <v>267</v>
      </c>
      <c r="G15923">
        <v>56</v>
      </c>
      <c r="H15923">
        <v>176</v>
      </c>
      <c r="I15923">
        <v>541</v>
      </c>
      <c r="J15923">
        <v>1</v>
      </c>
      <c r="K15923">
        <v>696</v>
      </c>
      <c r="L15923">
        <v>1111</v>
      </c>
      <c r="M15923">
        <v>1</v>
      </c>
      <c r="N15923">
        <v>1.1637200000000001E-64</v>
      </c>
      <c r="O15923">
        <v>625</v>
      </c>
    </row>
    <row r="15924" spans="1:15" x14ac:dyDescent="0.25">
      <c r="A15924" t="s">
        <v>15937</v>
      </c>
      <c r="B15924">
        <v>425</v>
      </c>
      <c r="C15924" s="1" t="str">
        <f>HYPERLINK("http://www.rosaceae.org/gb/gbrowse/malus_x_domestica/?name=MDP0000181135","MDP0000181135")</f>
        <v>MDP0000181135</v>
      </c>
      <c r="D15924">
        <v>38.58</v>
      </c>
      <c r="E15924">
        <v>425</v>
      </c>
      <c r="F15924">
        <v>261</v>
      </c>
      <c r="G15924">
        <v>48</v>
      </c>
      <c r="H15924">
        <v>39</v>
      </c>
      <c r="I15924">
        <v>421</v>
      </c>
      <c r="J15924">
        <v>1</v>
      </c>
      <c r="K15924">
        <v>10</v>
      </c>
      <c r="L15924">
        <v>428</v>
      </c>
      <c r="M15924">
        <v>1</v>
      </c>
      <c r="N15924">
        <v>1.8698E-57</v>
      </c>
      <c r="O15924">
        <v>561</v>
      </c>
    </row>
    <row r="15925" spans="1:15" x14ac:dyDescent="0.25">
      <c r="A15925" t="s">
        <v>15938</v>
      </c>
      <c r="B15925">
        <v>630</v>
      </c>
      <c r="C15925" s="1" t="str">
        <f>HYPERLINK("http://www.rosaceae.org/gb/gbrowse/malus_x_domestica/?name=MDP0000165547","MDP0000165547")</f>
        <v>MDP0000165547</v>
      </c>
      <c r="D15925">
        <v>77.97</v>
      </c>
      <c r="E15925">
        <v>631</v>
      </c>
      <c r="F15925">
        <v>139</v>
      </c>
      <c r="G15925">
        <v>6</v>
      </c>
      <c r="H15925">
        <v>1</v>
      </c>
      <c r="I15925">
        <v>625</v>
      </c>
      <c r="J15925">
        <v>1</v>
      </c>
      <c r="K15925">
        <v>1</v>
      </c>
      <c r="L15925">
        <v>631</v>
      </c>
      <c r="M15925">
        <v>1</v>
      </c>
      <c r="N15925">
        <v>0</v>
      </c>
      <c r="O15925">
        <v>2591</v>
      </c>
    </row>
    <row r="15926" spans="1:15" x14ac:dyDescent="0.25">
      <c r="A15926" t="s">
        <v>15939</v>
      </c>
      <c r="B15926">
        <v>2124</v>
      </c>
      <c r="C15926" s="1" t="str">
        <f>HYPERLINK("http://www.rosaceae.org/gb/gbrowse/malus_x_domestica/?name=MDP0000236750","MDP0000236750")</f>
        <v>MDP0000236750</v>
      </c>
      <c r="D15926">
        <v>29.96</v>
      </c>
      <c r="E15926">
        <v>1008</v>
      </c>
      <c r="F15926">
        <v>706</v>
      </c>
      <c r="G15926">
        <v>193</v>
      </c>
      <c r="H15926">
        <v>1134</v>
      </c>
      <c r="I15926">
        <v>2121</v>
      </c>
      <c r="J15926">
        <v>1</v>
      </c>
      <c r="K15926">
        <v>41</v>
      </c>
      <c r="L15926">
        <v>875</v>
      </c>
      <c r="M15926">
        <v>1</v>
      </c>
      <c r="N15926">
        <v>7.9667099999999997E-103</v>
      </c>
      <c r="O15926">
        <v>959</v>
      </c>
    </row>
    <row r="15927" spans="1:15" x14ac:dyDescent="0.25">
      <c r="A15927" t="s">
        <v>15940</v>
      </c>
      <c r="B15927">
        <v>146</v>
      </c>
      <c r="C15927" s="1" t="str">
        <f>HYPERLINK("http://www.rosaceae.org/gb/gbrowse/malus_x_domestica/?name=MDP0000188209","MDP0000188209")</f>
        <v>MDP0000188209</v>
      </c>
      <c r="D15927">
        <v>62.99</v>
      </c>
      <c r="E15927">
        <v>127</v>
      </c>
      <c r="F15927">
        <v>47</v>
      </c>
      <c r="G15927">
        <v>5</v>
      </c>
      <c r="H15927">
        <v>5</v>
      </c>
      <c r="I15927">
        <v>128</v>
      </c>
      <c r="J15927">
        <v>1</v>
      </c>
      <c r="K15927">
        <v>116</v>
      </c>
      <c r="L15927">
        <v>240</v>
      </c>
      <c r="M15927">
        <v>1</v>
      </c>
      <c r="N15927">
        <v>3.2028199999999999E-39</v>
      </c>
      <c r="O15927">
        <v>397</v>
      </c>
    </row>
    <row r="15928" spans="1:15" x14ac:dyDescent="0.25">
      <c r="A15928" t="s">
        <v>15941</v>
      </c>
      <c r="B15928">
        <v>177</v>
      </c>
      <c r="C15928" s="1" t="str">
        <f>HYPERLINK("http://www.rosaceae.org/gb/gbrowse/malus_x_domestica/?name=MDP0000268890","MDP0000268890")</f>
        <v>MDP0000268890</v>
      </c>
      <c r="D15928">
        <v>74.17</v>
      </c>
      <c r="E15928">
        <v>182</v>
      </c>
      <c r="F15928">
        <v>47</v>
      </c>
      <c r="G15928">
        <v>11</v>
      </c>
      <c r="H15928">
        <v>1</v>
      </c>
      <c r="I15928">
        <v>177</v>
      </c>
      <c r="J15928">
        <v>1</v>
      </c>
      <c r="K15928">
        <v>1</v>
      </c>
      <c r="L15928">
        <v>176</v>
      </c>
      <c r="M15928">
        <v>1</v>
      </c>
      <c r="N15928">
        <v>5.8074200000000002E-68</v>
      </c>
      <c r="O15928">
        <v>647</v>
      </c>
    </row>
    <row r="15929" spans="1:15" x14ac:dyDescent="0.25">
      <c r="A15929" t="s">
        <v>15942</v>
      </c>
      <c r="B15929">
        <v>414</v>
      </c>
      <c r="C15929" s="1" t="str">
        <f>HYPERLINK("http://www.rosaceae.org/gb/gbrowse/malus_x_domestica/?name=MDP0000320360","MDP0000320360")</f>
        <v>MDP0000320360</v>
      </c>
      <c r="D15929">
        <v>65.39</v>
      </c>
      <c r="E15929">
        <v>341</v>
      </c>
      <c r="F15929">
        <v>118</v>
      </c>
      <c r="G15929">
        <v>31</v>
      </c>
      <c r="H15929">
        <v>3</v>
      </c>
      <c r="I15929">
        <v>335</v>
      </c>
      <c r="J15929">
        <v>1</v>
      </c>
      <c r="K15929">
        <v>11</v>
      </c>
      <c r="L15929">
        <v>328</v>
      </c>
      <c r="M15929">
        <v>1</v>
      </c>
      <c r="N15929">
        <v>1.97746E-117</v>
      </c>
      <c r="O15929">
        <v>1078</v>
      </c>
    </row>
    <row r="15930" spans="1:15" x14ac:dyDescent="0.25">
      <c r="A15930" t="s">
        <v>15943</v>
      </c>
      <c r="B15930">
        <v>958</v>
      </c>
      <c r="C15930" s="1" t="str">
        <f>HYPERLINK("http://www.rosaceae.org/gb/gbrowse/malus_x_domestica/?name=MDP0000213445","MDP0000213445")</f>
        <v>MDP0000213445</v>
      </c>
      <c r="D15930">
        <v>47.21</v>
      </c>
      <c r="E15930">
        <v>953</v>
      </c>
      <c r="F15930">
        <v>503</v>
      </c>
      <c r="G15930">
        <v>66</v>
      </c>
      <c r="H15930">
        <v>36</v>
      </c>
      <c r="I15930">
        <v>956</v>
      </c>
      <c r="J15930">
        <v>1</v>
      </c>
      <c r="K15930">
        <v>1</v>
      </c>
      <c r="L15930">
        <v>919</v>
      </c>
      <c r="M15930">
        <v>1</v>
      </c>
      <c r="N15930">
        <v>0</v>
      </c>
      <c r="O15930">
        <v>1946</v>
      </c>
    </row>
    <row r="15931" spans="1:15" x14ac:dyDescent="0.25">
      <c r="A15931" t="s">
        <v>15944</v>
      </c>
      <c r="B15931">
        <v>414</v>
      </c>
      <c r="C15931" s="1" t="str">
        <f>HYPERLINK("http://www.rosaceae.org/gb/gbrowse/malus_x_domestica/?name=MDP0000309906","MDP0000309906")</f>
        <v>MDP0000309906</v>
      </c>
      <c r="D15931">
        <v>82.2</v>
      </c>
      <c r="E15931">
        <v>427</v>
      </c>
      <c r="F15931">
        <v>76</v>
      </c>
      <c r="G15931">
        <v>13</v>
      </c>
      <c r="H15931">
        <v>1</v>
      </c>
      <c r="I15931">
        <v>414</v>
      </c>
      <c r="J15931">
        <v>1</v>
      </c>
      <c r="K15931">
        <v>1049</v>
      </c>
      <c r="L15931">
        <v>1475</v>
      </c>
      <c r="M15931">
        <v>1</v>
      </c>
      <c r="N15931">
        <v>0</v>
      </c>
      <c r="O15931">
        <v>1845</v>
      </c>
    </row>
    <row r="15932" spans="1:15" x14ac:dyDescent="0.25">
      <c r="A15932" t="s">
        <v>15945</v>
      </c>
      <c r="B15932">
        <v>884</v>
      </c>
      <c r="C15932" s="1" t="str">
        <f>HYPERLINK("http://www.rosaceae.org/gb/gbrowse/malus_x_domestica/?name=MDP0000864633","MDP0000864633")</f>
        <v>MDP0000864633</v>
      </c>
      <c r="D15932">
        <v>70.72</v>
      </c>
      <c r="E15932">
        <v>304</v>
      </c>
      <c r="F15932">
        <v>89</v>
      </c>
      <c r="G15932">
        <v>1</v>
      </c>
      <c r="H15932">
        <v>1</v>
      </c>
      <c r="I15932">
        <v>303</v>
      </c>
      <c r="J15932">
        <v>1</v>
      </c>
      <c r="K15932">
        <v>1</v>
      </c>
      <c r="L15932">
        <v>304</v>
      </c>
      <c r="M15932">
        <v>1</v>
      </c>
      <c r="N15932">
        <v>2.83128E-128</v>
      </c>
      <c r="O15932">
        <v>1175</v>
      </c>
    </row>
    <row r="15933" spans="1:15" x14ac:dyDescent="0.25">
      <c r="A15933" t="s">
        <v>15946</v>
      </c>
      <c r="B15933">
        <v>342</v>
      </c>
      <c r="C15933" s="1" t="str">
        <f>HYPERLINK("http://www.rosaceae.org/gb/gbrowse/malus_x_domestica/?name=MDP0000270126","MDP0000270126")</f>
        <v>MDP0000270126</v>
      </c>
      <c r="D15933">
        <v>75.8</v>
      </c>
      <c r="E15933">
        <v>248</v>
      </c>
      <c r="F15933">
        <v>60</v>
      </c>
      <c r="G15933">
        <v>13</v>
      </c>
      <c r="H15933">
        <v>104</v>
      </c>
      <c r="I15933">
        <v>340</v>
      </c>
      <c r="J15933">
        <v>1</v>
      </c>
      <c r="K15933">
        <v>56</v>
      </c>
      <c r="L15933">
        <v>301</v>
      </c>
      <c r="M15933">
        <v>1</v>
      </c>
      <c r="N15933">
        <v>4.5705299999999999E-105</v>
      </c>
      <c r="O15933">
        <v>971</v>
      </c>
    </row>
    <row r="15934" spans="1:15" x14ac:dyDescent="0.25">
      <c r="A15934" t="s">
        <v>15947</v>
      </c>
      <c r="B15934">
        <v>1049</v>
      </c>
      <c r="C15934" s="1" t="str">
        <f>HYPERLINK("http://www.rosaceae.org/gb/gbrowse/malus_x_domestica/?name=MDP0000322107","MDP0000322107")</f>
        <v>MDP0000322107</v>
      </c>
      <c r="D15934">
        <v>79.78</v>
      </c>
      <c r="E15934">
        <v>460</v>
      </c>
      <c r="F15934">
        <v>93</v>
      </c>
      <c r="G15934">
        <v>9</v>
      </c>
      <c r="H15934">
        <v>583</v>
      </c>
      <c r="I15934">
        <v>1033</v>
      </c>
      <c r="J15934">
        <v>1</v>
      </c>
      <c r="K15934">
        <v>45</v>
      </c>
      <c r="L15934">
        <v>504</v>
      </c>
      <c r="M15934">
        <v>1</v>
      </c>
      <c r="N15934">
        <v>0</v>
      </c>
      <c r="O15934">
        <v>2021</v>
      </c>
    </row>
    <row r="15935" spans="1:15" x14ac:dyDescent="0.25">
      <c r="A15935" t="s">
        <v>15948</v>
      </c>
      <c r="B15935">
        <v>116</v>
      </c>
      <c r="C15935" s="1" t="str">
        <f>HYPERLINK("http://www.rosaceae.org/gb/gbrowse/malus_x_domestica/?name=MDP0000445037","MDP0000445037")</f>
        <v>MDP0000445037</v>
      </c>
      <c r="D15935">
        <v>72</v>
      </c>
      <c r="E15935">
        <v>50</v>
      </c>
      <c r="F15935">
        <v>14</v>
      </c>
      <c r="G15935">
        <v>2</v>
      </c>
      <c r="H15935">
        <v>50</v>
      </c>
      <c r="I15935">
        <v>99</v>
      </c>
      <c r="J15935">
        <v>1</v>
      </c>
      <c r="K15935">
        <v>14</v>
      </c>
      <c r="L15935">
        <v>61</v>
      </c>
      <c r="M15935">
        <v>1</v>
      </c>
      <c r="N15935">
        <v>8.7104799999999997E-14</v>
      </c>
      <c r="O15935">
        <v>176</v>
      </c>
    </row>
    <row r="15936" spans="1:15" x14ac:dyDescent="0.25">
      <c r="A15936" t="s">
        <v>15949</v>
      </c>
      <c r="B15936">
        <v>489</v>
      </c>
      <c r="C15936" s="1" t="str">
        <f>HYPERLINK("http://www.rosaceae.org/gb/gbrowse/malus_x_domestica/?name=MDP0000317700","MDP0000317700")</f>
        <v>MDP0000317700</v>
      </c>
      <c r="D15936">
        <v>26.98</v>
      </c>
      <c r="E15936">
        <v>252</v>
      </c>
      <c r="F15936">
        <v>184</v>
      </c>
      <c r="G15936">
        <v>34</v>
      </c>
      <c r="H15936">
        <v>184</v>
      </c>
      <c r="I15936">
        <v>430</v>
      </c>
      <c r="J15936">
        <v>1</v>
      </c>
      <c r="K15936">
        <v>123</v>
      </c>
      <c r="L15936">
        <v>345</v>
      </c>
      <c r="M15936">
        <v>1</v>
      </c>
      <c r="N15936">
        <v>1.47457E-17</v>
      </c>
      <c r="O15936">
        <v>218</v>
      </c>
    </row>
    <row r="15937" spans="1:15" x14ac:dyDescent="0.25">
      <c r="A15937" t="s">
        <v>15950</v>
      </c>
      <c r="B15937">
        <v>140</v>
      </c>
      <c r="C15937" s="1" t="str">
        <f>HYPERLINK("http://www.rosaceae.org/gb/gbrowse/malus_x_domestica/?name=MDP0000314254","MDP0000314254")</f>
        <v>MDP0000314254</v>
      </c>
      <c r="D15937">
        <v>43.47</v>
      </c>
      <c r="E15937">
        <v>115</v>
      </c>
      <c r="F15937">
        <v>65</v>
      </c>
      <c r="G15937">
        <v>4</v>
      </c>
      <c r="H15937">
        <v>8</v>
      </c>
      <c r="I15937">
        <v>118</v>
      </c>
      <c r="J15937">
        <v>1</v>
      </c>
      <c r="K15937">
        <v>397</v>
      </c>
      <c r="L15937">
        <v>511</v>
      </c>
      <c r="M15937">
        <v>1</v>
      </c>
      <c r="N15937">
        <v>1.1755E-23</v>
      </c>
      <c r="O15937">
        <v>263</v>
      </c>
    </row>
    <row r="15938" spans="1:15" x14ac:dyDescent="0.25">
      <c r="A15938" t="s">
        <v>15951</v>
      </c>
      <c r="B15938">
        <v>512</v>
      </c>
      <c r="C15938" s="1" t="str">
        <f>HYPERLINK("http://www.rosaceae.org/gb/gbrowse/malus_x_domestica/?name=MDP0000316225","MDP0000316225")</f>
        <v>MDP0000316225</v>
      </c>
      <c r="D15938">
        <v>71.48</v>
      </c>
      <c r="E15938">
        <v>512</v>
      </c>
      <c r="F15938">
        <v>146</v>
      </c>
      <c r="G15938">
        <v>1</v>
      </c>
      <c r="H15938">
        <v>1</v>
      </c>
      <c r="I15938">
        <v>511</v>
      </c>
      <c r="J15938">
        <v>1</v>
      </c>
      <c r="K15938">
        <v>1</v>
      </c>
      <c r="L15938">
        <v>512</v>
      </c>
      <c r="M15938">
        <v>1</v>
      </c>
      <c r="N15938">
        <v>0</v>
      </c>
      <c r="O15938">
        <v>1930</v>
      </c>
    </row>
    <row r="15939" spans="1:15" x14ac:dyDescent="0.25">
      <c r="A15939" t="s">
        <v>15952</v>
      </c>
      <c r="B15939">
        <v>635</v>
      </c>
      <c r="C15939" s="1" t="str">
        <f>HYPERLINK("http://www.rosaceae.org/gb/gbrowse/malus_x_domestica/?name=MDP0000734561","MDP0000734561")</f>
        <v>MDP0000734561</v>
      </c>
      <c r="D15939">
        <v>45.69</v>
      </c>
      <c r="E15939">
        <v>337</v>
      </c>
      <c r="F15939">
        <v>183</v>
      </c>
      <c r="G15939">
        <v>58</v>
      </c>
      <c r="H15939">
        <v>151</v>
      </c>
      <c r="I15939">
        <v>451</v>
      </c>
      <c r="J15939">
        <v>1</v>
      </c>
      <c r="K15939">
        <v>376</v>
      </c>
      <c r="L15939">
        <v>690</v>
      </c>
      <c r="M15939">
        <v>1</v>
      </c>
      <c r="N15939">
        <v>2.1815299999999999E-69</v>
      </c>
      <c r="O15939">
        <v>666</v>
      </c>
    </row>
    <row r="15940" spans="1:15" x14ac:dyDescent="0.25">
      <c r="A15940" t="s">
        <v>15953</v>
      </c>
      <c r="B15940">
        <v>306</v>
      </c>
      <c r="C15940" s="1" t="str">
        <f>HYPERLINK("http://www.rosaceae.org/gb/gbrowse/malus_x_domestica/?name=MDP0000197472","MDP0000197472")</f>
        <v>MDP0000197472</v>
      </c>
      <c r="D15940">
        <v>58.55</v>
      </c>
      <c r="E15940">
        <v>222</v>
      </c>
      <c r="F15940">
        <v>92</v>
      </c>
      <c r="G15940">
        <v>2</v>
      </c>
      <c r="H15940">
        <v>1</v>
      </c>
      <c r="I15940">
        <v>220</v>
      </c>
      <c r="J15940">
        <v>1</v>
      </c>
      <c r="K15940">
        <v>59</v>
      </c>
      <c r="L15940">
        <v>280</v>
      </c>
      <c r="M15940">
        <v>1</v>
      </c>
      <c r="N15940">
        <v>2.2896099999999999E-54</v>
      </c>
      <c r="O15940">
        <v>533</v>
      </c>
    </row>
    <row r="15941" spans="1:15" x14ac:dyDescent="0.25">
      <c r="A15941" t="s">
        <v>15954</v>
      </c>
      <c r="B15941">
        <v>1457</v>
      </c>
      <c r="C15941" s="1" t="str">
        <f>HYPERLINK("http://www.rosaceae.org/gb/gbrowse/malus_x_domestica/?name=MDP0000153655","MDP0000153655")</f>
        <v>MDP0000153655</v>
      </c>
      <c r="D15941">
        <v>64.63</v>
      </c>
      <c r="E15941">
        <v>1097</v>
      </c>
      <c r="F15941">
        <v>388</v>
      </c>
      <c r="G15941">
        <v>22</v>
      </c>
      <c r="H15941">
        <v>4</v>
      </c>
      <c r="I15941">
        <v>1086</v>
      </c>
      <c r="J15941">
        <v>1</v>
      </c>
      <c r="K15941">
        <v>16</v>
      </c>
      <c r="L15941">
        <v>1104</v>
      </c>
      <c r="M15941">
        <v>1</v>
      </c>
      <c r="N15941">
        <v>0</v>
      </c>
      <c r="O15941">
        <v>3695</v>
      </c>
    </row>
    <row r="15942" spans="1:15" x14ac:dyDescent="0.25">
      <c r="A15942" t="s">
        <v>15955</v>
      </c>
      <c r="B15942">
        <v>394</v>
      </c>
      <c r="C15942" s="1" t="str">
        <f>HYPERLINK("http://www.rosaceae.org/gb/gbrowse/malus_x_domestica/?name=MDP0000261960","MDP0000261960")</f>
        <v>MDP0000261960</v>
      </c>
      <c r="D15942">
        <v>63.17</v>
      </c>
      <c r="E15942">
        <v>391</v>
      </c>
      <c r="F15942">
        <v>144</v>
      </c>
      <c r="G15942">
        <v>4</v>
      </c>
      <c r="H15942">
        <v>6</v>
      </c>
      <c r="I15942">
        <v>392</v>
      </c>
      <c r="J15942">
        <v>1</v>
      </c>
      <c r="K15942">
        <v>8</v>
      </c>
      <c r="L15942">
        <v>398</v>
      </c>
      <c r="M15942">
        <v>1</v>
      </c>
      <c r="N15942">
        <v>3.8210099999999998E-146</v>
      </c>
      <c r="O15942">
        <v>1326</v>
      </c>
    </row>
    <row r="15943" spans="1:15" x14ac:dyDescent="0.25">
      <c r="A15943" t="s">
        <v>15956</v>
      </c>
      <c r="B15943">
        <v>720</v>
      </c>
      <c r="C15943" s="1" t="str">
        <f>HYPERLINK("http://www.rosaceae.org/gb/gbrowse/malus_x_domestica/?name=MDP0000269889","MDP0000269889")</f>
        <v>MDP0000269889</v>
      </c>
      <c r="D15943">
        <v>50.92</v>
      </c>
      <c r="E15943">
        <v>758</v>
      </c>
      <c r="F15943">
        <v>372</v>
      </c>
      <c r="G15943">
        <v>117</v>
      </c>
      <c r="H15943">
        <v>1</v>
      </c>
      <c r="I15943">
        <v>708</v>
      </c>
      <c r="J15943">
        <v>1</v>
      </c>
      <c r="K15943">
        <v>1</v>
      </c>
      <c r="L15943">
        <v>691</v>
      </c>
      <c r="M15943">
        <v>1</v>
      </c>
      <c r="N15943">
        <v>3.7456199999999999E-171</v>
      </c>
      <c r="O15943">
        <v>1544</v>
      </c>
    </row>
    <row r="15944" spans="1:15" x14ac:dyDescent="0.25">
      <c r="A15944" t="s">
        <v>15957</v>
      </c>
      <c r="B15944">
        <v>128</v>
      </c>
      <c r="C15944" s="1" t="str">
        <f>HYPERLINK("http://www.rosaceae.org/gb/gbrowse/malus_x_domestica/?name=MDP0000885454","MDP0000885454")</f>
        <v>MDP0000885454</v>
      </c>
      <c r="D15944">
        <v>55</v>
      </c>
      <c r="E15944">
        <v>120</v>
      </c>
      <c r="F15944">
        <v>54</v>
      </c>
      <c r="G15944">
        <v>3</v>
      </c>
      <c r="H15944">
        <v>12</v>
      </c>
      <c r="I15944">
        <v>128</v>
      </c>
      <c r="J15944">
        <v>1</v>
      </c>
      <c r="K15944">
        <v>52</v>
      </c>
      <c r="L15944">
        <v>171</v>
      </c>
      <c r="M15944">
        <v>1</v>
      </c>
      <c r="N15944">
        <v>6.9456600000000001E-31</v>
      </c>
      <c r="O15944">
        <v>324</v>
      </c>
    </row>
    <row r="15945" spans="1:15" x14ac:dyDescent="0.25">
      <c r="A15945" t="s">
        <v>15958</v>
      </c>
      <c r="B15945">
        <v>562</v>
      </c>
      <c r="C15945" s="1" t="str">
        <f>HYPERLINK("http://www.rosaceae.org/gb/gbrowse/malus_x_domestica/?name=MDP0000903256","MDP0000903256")</f>
        <v>MDP0000903256</v>
      </c>
      <c r="D15945">
        <v>78.010000000000005</v>
      </c>
      <c r="E15945">
        <v>191</v>
      </c>
      <c r="F15945">
        <v>42</v>
      </c>
      <c r="G15945">
        <v>0</v>
      </c>
      <c r="H15945">
        <v>1</v>
      </c>
      <c r="I15945">
        <v>191</v>
      </c>
      <c r="J15945">
        <v>1</v>
      </c>
      <c r="K15945">
        <v>614</v>
      </c>
      <c r="L15945">
        <v>804</v>
      </c>
      <c r="M15945">
        <v>1</v>
      </c>
      <c r="N15945">
        <v>3.6927299999999997E-89</v>
      </c>
      <c r="O15945">
        <v>836</v>
      </c>
    </row>
    <row r="15946" spans="1:15" x14ac:dyDescent="0.25">
      <c r="A15946" t="s">
        <v>15959</v>
      </c>
      <c r="B15946">
        <v>127</v>
      </c>
      <c r="C15946" s="1" t="str">
        <f>HYPERLINK("http://www.rosaceae.org/gb/gbrowse/malus_x_domestica/?name=MDP0000151940","MDP0000151940")</f>
        <v>MDP0000151940</v>
      </c>
      <c r="D15946">
        <v>91.26</v>
      </c>
      <c r="E15946">
        <v>126</v>
      </c>
      <c r="F15946">
        <v>11</v>
      </c>
      <c r="G15946">
        <v>0</v>
      </c>
      <c r="H15946">
        <v>1</v>
      </c>
      <c r="I15946">
        <v>126</v>
      </c>
      <c r="J15946">
        <v>1</v>
      </c>
      <c r="K15946">
        <v>469</v>
      </c>
      <c r="L15946">
        <v>594</v>
      </c>
      <c r="M15946">
        <v>1</v>
      </c>
      <c r="N15946">
        <v>2.4593600000000002E-64</v>
      </c>
      <c r="O15946">
        <v>613</v>
      </c>
    </row>
    <row r="15947" spans="1:15" x14ac:dyDescent="0.25">
      <c r="A15947" t="s">
        <v>15960</v>
      </c>
      <c r="B15947">
        <v>361</v>
      </c>
      <c r="C15947" s="1" t="str">
        <f>HYPERLINK("http://www.rosaceae.org/gb/gbrowse/malus_x_domestica/?name=MDP0000774306","MDP0000774306")</f>
        <v>MDP0000774306</v>
      </c>
      <c r="D15947">
        <v>42.94</v>
      </c>
      <c r="E15947">
        <v>340</v>
      </c>
      <c r="F15947">
        <v>194</v>
      </c>
      <c r="G15947">
        <v>23</v>
      </c>
      <c r="H15947">
        <v>12</v>
      </c>
      <c r="I15947">
        <v>334</v>
      </c>
      <c r="J15947">
        <v>1</v>
      </c>
      <c r="K15947">
        <v>1</v>
      </c>
      <c r="L15947">
        <v>334</v>
      </c>
      <c r="M15947">
        <v>1</v>
      </c>
      <c r="N15947">
        <v>7.4150299999999996E-56</v>
      </c>
      <c r="O15947">
        <v>547</v>
      </c>
    </row>
    <row r="15948" spans="1:15" x14ac:dyDescent="0.25">
      <c r="A15948" t="s">
        <v>15961</v>
      </c>
      <c r="B15948">
        <v>424</v>
      </c>
      <c r="C15948" s="1" t="str">
        <f>HYPERLINK("http://www.rosaceae.org/gb/gbrowse/malus_x_domestica/?name=MDP0000319743","MDP0000319743")</f>
        <v>MDP0000319743</v>
      </c>
      <c r="D15948">
        <v>70.25</v>
      </c>
      <c r="E15948">
        <v>427</v>
      </c>
      <c r="F15948">
        <v>127</v>
      </c>
      <c r="G15948">
        <v>5</v>
      </c>
      <c r="H15948">
        <v>1</v>
      </c>
      <c r="I15948">
        <v>424</v>
      </c>
      <c r="J15948">
        <v>1</v>
      </c>
      <c r="K15948">
        <v>1</v>
      </c>
      <c r="L15948">
        <v>425</v>
      </c>
      <c r="M15948">
        <v>1</v>
      </c>
      <c r="N15948">
        <v>1.31297E-172</v>
      </c>
      <c r="O15948">
        <v>1554</v>
      </c>
    </row>
    <row r="15949" spans="1:15" x14ac:dyDescent="0.25">
      <c r="A15949" t="s">
        <v>15962</v>
      </c>
      <c r="B15949">
        <v>232</v>
      </c>
      <c r="C15949" s="1" t="str">
        <f>HYPERLINK("http://www.rosaceae.org/gb/gbrowse/malus_x_domestica/?name=MDP0000499050","MDP0000499050")</f>
        <v>MDP0000499050</v>
      </c>
      <c r="D15949">
        <v>40.65</v>
      </c>
      <c r="E15949">
        <v>273</v>
      </c>
      <c r="F15949">
        <v>162</v>
      </c>
      <c r="G15949">
        <v>54</v>
      </c>
      <c r="H15949">
        <v>10</v>
      </c>
      <c r="I15949">
        <v>232</v>
      </c>
      <c r="J15949">
        <v>1</v>
      </c>
      <c r="K15949">
        <v>130</v>
      </c>
      <c r="L15949">
        <v>398</v>
      </c>
      <c r="M15949">
        <v>1</v>
      </c>
      <c r="N15949">
        <v>3.74547E-47</v>
      </c>
      <c r="O15949">
        <v>469</v>
      </c>
    </row>
    <row r="15950" spans="1:15" x14ac:dyDescent="0.25">
      <c r="A15950" t="s">
        <v>15963</v>
      </c>
      <c r="B15950">
        <v>144</v>
      </c>
      <c r="C15950" s="1" t="str">
        <f>HYPERLINK("http://www.rosaceae.org/gb/gbrowse/malus_x_domestica/?name=MDP0000121177","MDP0000121177")</f>
        <v>MDP0000121177</v>
      </c>
      <c r="D15950">
        <v>40</v>
      </c>
      <c r="E15950">
        <v>95</v>
      </c>
      <c r="F15950">
        <v>57</v>
      </c>
      <c r="G15950">
        <v>22</v>
      </c>
      <c r="H15950">
        <v>1</v>
      </c>
      <c r="I15950">
        <v>81</v>
      </c>
      <c r="J15950">
        <v>1</v>
      </c>
      <c r="K15950">
        <v>1</v>
      </c>
      <c r="L15950">
        <v>87</v>
      </c>
      <c r="M15950">
        <v>1</v>
      </c>
      <c r="N15950">
        <v>1.04892E-7</v>
      </c>
      <c r="O15950">
        <v>125</v>
      </c>
    </row>
    <row r="15951" spans="1:15" x14ac:dyDescent="0.25">
      <c r="A15951" t="s">
        <v>15964</v>
      </c>
      <c r="B15951">
        <v>500</v>
      </c>
      <c r="C15951" s="1" t="str">
        <f>HYPERLINK("http://www.rosaceae.org/gb/gbrowse/malus_x_domestica/?name=MDP0000132702","MDP0000132702")</f>
        <v>MDP0000132702</v>
      </c>
      <c r="D15951">
        <v>75.599999999999994</v>
      </c>
      <c r="E15951">
        <v>541</v>
      </c>
      <c r="F15951">
        <v>132</v>
      </c>
      <c r="G15951">
        <v>41</v>
      </c>
      <c r="H15951">
        <v>1</v>
      </c>
      <c r="I15951">
        <v>500</v>
      </c>
      <c r="J15951">
        <v>1</v>
      </c>
      <c r="K15951">
        <v>1</v>
      </c>
      <c r="L15951">
        <v>541</v>
      </c>
      <c r="M15951">
        <v>1</v>
      </c>
      <c r="N15951">
        <v>0</v>
      </c>
      <c r="O15951">
        <v>2182</v>
      </c>
    </row>
    <row r="15952" spans="1:15" x14ac:dyDescent="0.25">
      <c r="A15952" t="s">
        <v>15965</v>
      </c>
      <c r="B15952">
        <v>1085</v>
      </c>
      <c r="C15952" s="1" t="str">
        <f>HYPERLINK("http://www.rosaceae.org/gb/gbrowse/malus_x_domestica/?name=MDP0000234764","MDP0000234764")</f>
        <v>MDP0000234764</v>
      </c>
      <c r="D15952">
        <v>66.010000000000005</v>
      </c>
      <c r="E15952">
        <v>1018</v>
      </c>
      <c r="F15952">
        <v>346</v>
      </c>
      <c r="G15952">
        <v>49</v>
      </c>
      <c r="H15952">
        <v>66</v>
      </c>
      <c r="I15952">
        <v>1082</v>
      </c>
      <c r="J15952">
        <v>1</v>
      </c>
      <c r="K15952">
        <v>45</v>
      </c>
      <c r="L15952">
        <v>1014</v>
      </c>
      <c r="M15952">
        <v>1</v>
      </c>
      <c r="N15952">
        <v>0</v>
      </c>
      <c r="O15952">
        <v>3399</v>
      </c>
    </row>
    <row r="15953" spans="1:15" x14ac:dyDescent="0.25">
      <c r="A15953" t="s">
        <v>15966</v>
      </c>
      <c r="B15953">
        <v>194</v>
      </c>
      <c r="C15953" s="1" t="str">
        <f>HYPERLINK("http://www.rosaceae.org/gb/gbrowse/malus_x_domestica/?name=MDP0000129026","MDP0000129026")</f>
        <v>MDP0000129026</v>
      </c>
      <c r="D15953">
        <v>62.01</v>
      </c>
      <c r="E15953">
        <v>129</v>
      </c>
      <c r="F15953">
        <v>49</v>
      </c>
      <c r="G15953">
        <v>3</v>
      </c>
      <c r="H15953">
        <v>62</v>
      </c>
      <c r="I15953">
        <v>187</v>
      </c>
      <c r="J15953">
        <v>1</v>
      </c>
      <c r="K15953">
        <v>87</v>
      </c>
      <c r="L15953">
        <v>215</v>
      </c>
      <c r="M15953">
        <v>1</v>
      </c>
      <c r="N15953">
        <v>1.3871500000000001E-40</v>
      </c>
      <c r="O15953">
        <v>411</v>
      </c>
    </row>
    <row r="15954" spans="1:15" x14ac:dyDescent="0.25">
      <c r="A15954" t="s">
        <v>15967</v>
      </c>
      <c r="B15954">
        <v>233</v>
      </c>
      <c r="C15954" s="1" t="str">
        <f>HYPERLINK("http://www.rosaceae.org/gb/gbrowse/malus_x_domestica/?name=MDP0000165867","MDP0000165867")</f>
        <v>MDP0000165867</v>
      </c>
      <c r="D15954">
        <v>56.34</v>
      </c>
      <c r="E15954">
        <v>252</v>
      </c>
      <c r="F15954">
        <v>110</v>
      </c>
      <c r="G15954">
        <v>53</v>
      </c>
      <c r="H15954">
        <v>29</v>
      </c>
      <c r="I15954">
        <v>228</v>
      </c>
      <c r="J15954">
        <v>1</v>
      </c>
      <c r="K15954">
        <v>618</v>
      </c>
      <c r="L15954">
        <v>868</v>
      </c>
      <c r="M15954">
        <v>1</v>
      </c>
      <c r="N15954">
        <v>2.5123499999999998E-69</v>
      </c>
      <c r="O15954">
        <v>660</v>
      </c>
    </row>
    <row r="15955" spans="1:15" x14ac:dyDescent="0.25">
      <c r="A15955" t="s">
        <v>15968</v>
      </c>
      <c r="B15955">
        <v>149</v>
      </c>
      <c r="C15955" s="1" t="str">
        <f>HYPERLINK("http://www.rosaceae.org/gb/gbrowse/malus_x_domestica/?name=MDP0000152564","MDP0000152564")</f>
        <v>MDP0000152564</v>
      </c>
      <c r="D15955">
        <v>66.22</v>
      </c>
      <c r="E15955">
        <v>151</v>
      </c>
      <c r="F15955">
        <v>51</v>
      </c>
      <c r="G15955">
        <v>3</v>
      </c>
      <c r="H15955">
        <v>2</v>
      </c>
      <c r="I15955">
        <v>149</v>
      </c>
      <c r="J15955">
        <v>1</v>
      </c>
      <c r="K15955">
        <v>6</v>
      </c>
      <c r="L15955">
        <v>156</v>
      </c>
      <c r="M15955">
        <v>1</v>
      </c>
      <c r="N15955">
        <v>5.3050200000000001E-46</v>
      </c>
      <c r="O15955">
        <v>456</v>
      </c>
    </row>
    <row r="15956" spans="1:15" x14ac:dyDescent="0.25">
      <c r="A15956" t="s">
        <v>15969</v>
      </c>
      <c r="B15956">
        <v>233</v>
      </c>
      <c r="C15956" s="1" t="str">
        <f>HYPERLINK("http://www.rosaceae.org/gb/gbrowse/malus_x_domestica/?name=MDP0000291710","MDP0000291710")</f>
        <v>MDP0000291710</v>
      </c>
      <c r="D15956">
        <v>36.630000000000003</v>
      </c>
      <c r="E15956">
        <v>202</v>
      </c>
      <c r="F15956">
        <v>128</v>
      </c>
      <c r="G15956">
        <v>28</v>
      </c>
      <c r="H15956">
        <v>51</v>
      </c>
      <c r="I15956">
        <v>224</v>
      </c>
      <c r="J15956">
        <v>1</v>
      </c>
      <c r="K15956">
        <v>196</v>
      </c>
      <c r="L15956">
        <v>397</v>
      </c>
      <c r="M15956">
        <v>1</v>
      </c>
      <c r="N15956">
        <v>6.26938E-23</v>
      </c>
      <c r="O15956">
        <v>260</v>
      </c>
    </row>
    <row r="15957" spans="1:15" x14ac:dyDescent="0.25">
      <c r="A15957" t="s">
        <v>15970</v>
      </c>
      <c r="B15957">
        <v>2666</v>
      </c>
      <c r="C15957" s="1" t="str">
        <f>HYPERLINK("http://www.rosaceae.org/gb/gbrowse/malus_x_domestica/?name=MDP0000286578","MDP0000286578")</f>
        <v>MDP0000286578</v>
      </c>
      <c r="D15957">
        <v>68.19</v>
      </c>
      <c r="E15957">
        <v>2767</v>
      </c>
      <c r="F15957">
        <v>880</v>
      </c>
      <c r="G15957">
        <v>165</v>
      </c>
      <c r="H15957">
        <v>7</v>
      </c>
      <c r="I15957">
        <v>2639</v>
      </c>
      <c r="J15957">
        <v>1</v>
      </c>
      <c r="K15957">
        <v>24</v>
      </c>
      <c r="L15957">
        <v>2759</v>
      </c>
      <c r="M15957">
        <v>1</v>
      </c>
      <c r="N15957">
        <v>0</v>
      </c>
      <c r="O15957">
        <v>9493</v>
      </c>
    </row>
    <row r="15958" spans="1:15" x14ac:dyDescent="0.25">
      <c r="A15958" t="s">
        <v>15971</v>
      </c>
      <c r="B15958">
        <v>175</v>
      </c>
      <c r="C15958" s="1" t="str">
        <f>HYPERLINK("http://www.rosaceae.org/gb/gbrowse/malus_x_domestica/?name=MDP0000813084","MDP0000813084")</f>
        <v>MDP0000813084</v>
      </c>
      <c r="D15958">
        <v>71.66</v>
      </c>
      <c r="E15958">
        <v>180</v>
      </c>
      <c r="F15958">
        <v>51</v>
      </c>
      <c r="G15958">
        <v>15</v>
      </c>
      <c r="H15958">
        <v>1</v>
      </c>
      <c r="I15958">
        <v>175</v>
      </c>
      <c r="J15958">
        <v>1</v>
      </c>
      <c r="K15958">
        <v>1</v>
      </c>
      <c r="L15958">
        <v>170</v>
      </c>
      <c r="M15958">
        <v>1</v>
      </c>
      <c r="N15958">
        <v>2.8879599999999998E-58</v>
      </c>
      <c r="O15958">
        <v>563</v>
      </c>
    </row>
    <row r="15959" spans="1:15" x14ac:dyDescent="0.25">
      <c r="A15959" t="s">
        <v>15972</v>
      </c>
      <c r="B15959">
        <v>280</v>
      </c>
      <c r="C15959" s="1" t="str">
        <f>HYPERLINK("http://www.rosaceae.org/gb/gbrowse/malus_x_domestica/?name=MDP0000919338","MDP0000919338")</f>
        <v>MDP0000919338</v>
      </c>
      <c r="D15959">
        <v>81.91</v>
      </c>
      <c r="E15959">
        <v>282</v>
      </c>
      <c r="F15959">
        <v>51</v>
      </c>
      <c r="G15959">
        <v>6</v>
      </c>
      <c r="H15959">
        <v>1</v>
      </c>
      <c r="I15959">
        <v>280</v>
      </c>
      <c r="J15959">
        <v>1</v>
      </c>
      <c r="K15959">
        <v>1</v>
      </c>
      <c r="L15959">
        <v>278</v>
      </c>
      <c r="M15959">
        <v>1</v>
      </c>
      <c r="N15959">
        <v>2.04103E-125</v>
      </c>
      <c r="O15959">
        <v>1145</v>
      </c>
    </row>
    <row r="15960" spans="1:15" x14ac:dyDescent="0.25">
      <c r="A15960" t="s">
        <v>15973</v>
      </c>
      <c r="B15960">
        <v>345</v>
      </c>
      <c r="C15960" s="1" t="str">
        <f>HYPERLINK("http://www.rosaceae.org/gb/gbrowse/malus_x_domestica/?name=MDP0000454694","MDP0000454694")</f>
        <v>MDP0000454694</v>
      </c>
      <c r="D15960">
        <v>74.709999999999994</v>
      </c>
      <c r="E15960">
        <v>348</v>
      </c>
      <c r="F15960">
        <v>88</v>
      </c>
      <c r="G15960">
        <v>5</v>
      </c>
      <c r="H15960">
        <v>1</v>
      </c>
      <c r="I15960">
        <v>344</v>
      </c>
      <c r="J15960">
        <v>1</v>
      </c>
      <c r="K15960">
        <v>1</v>
      </c>
      <c r="L15960">
        <v>347</v>
      </c>
      <c r="M15960">
        <v>1</v>
      </c>
      <c r="N15960">
        <v>5.9200500000000001E-148</v>
      </c>
      <c r="O15960">
        <v>1341</v>
      </c>
    </row>
    <row r="15961" spans="1:15" x14ac:dyDescent="0.25">
      <c r="A15961" t="s">
        <v>15974</v>
      </c>
      <c r="B15961">
        <v>222</v>
      </c>
      <c r="C15961" s="1" t="str">
        <f>HYPERLINK("http://www.rosaceae.org/gb/gbrowse/malus_x_domestica/?name=MDP0000147846","MDP0000147846")</f>
        <v>MDP0000147846</v>
      </c>
      <c r="D15961">
        <v>41.32</v>
      </c>
      <c r="E15961">
        <v>121</v>
      </c>
      <c r="F15961">
        <v>71</v>
      </c>
      <c r="G15961">
        <v>22</v>
      </c>
      <c r="H15961">
        <v>116</v>
      </c>
      <c r="I15961">
        <v>222</v>
      </c>
      <c r="J15961">
        <v>1</v>
      </c>
      <c r="K15961">
        <v>168</v>
      </c>
      <c r="L15961">
        <v>280</v>
      </c>
      <c r="M15961">
        <v>1</v>
      </c>
      <c r="N15961">
        <v>5.2602400000000001E-14</v>
      </c>
      <c r="O15961">
        <v>183</v>
      </c>
    </row>
    <row r="15962" spans="1:15" x14ac:dyDescent="0.25">
      <c r="A15962" t="s">
        <v>15975</v>
      </c>
      <c r="B15962">
        <v>125</v>
      </c>
      <c r="C15962" s="1" t="str">
        <f>HYPERLINK("http://www.rosaceae.org/gb/gbrowse/malus_x_domestica/?name=MDP0000407903","MDP0000407903")</f>
        <v>MDP0000407903</v>
      </c>
      <c r="D15962">
        <v>50</v>
      </c>
      <c r="E15962">
        <v>138</v>
      </c>
      <c r="F15962">
        <v>69</v>
      </c>
      <c r="G15962">
        <v>14</v>
      </c>
      <c r="H15962">
        <v>1</v>
      </c>
      <c r="I15962">
        <v>125</v>
      </c>
      <c r="J15962">
        <v>1</v>
      </c>
      <c r="K15962">
        <v>1</v>
      </c>
      <c r="L15962">
        <v>137</v>
      </c>
      <c r="M15962">
        <v>1</v>
      </c>
      <c r="N15962">
        <v>9.227E-26</v>
      </c>
      <c r="O15962">
        <v>280</v>
      </c>
    </row>
    <row r="15963" spans="1:15" x14ac:dyDescent="0.25">
      <c r="A15963" t="s">
        <v>15976</v>
      </c>
      <c r="B15963">
        <v>119</v>
      </c>
      <c r="C15963" s="1" t="str">
        <f>HYPERLINK("http://www.rosaceae.org/gb/gbrowse/malus_x_domestica/?name=MDP0000198969","MDP0000198969")</f>
        <v>MDP0000198969</v>
      </c>
      <c r="D15963">
        <v>50</v>
      </c>
      <c r="E15963">
        <v>58</v>
      </c>
      <c r="F15963">
        <v>29</v>
      </c>
      <c r="G15963">
        <v>0</v>
      </c>
      <c r="H15963">
        <v>62</v>
      </c>
      <c r="I15963">
        <v>119</v>
      </c>
      <c r="J15963">
        <v>1</v>
      </c>
      <c r="K15963">
        <v>128</v>
      </c>
      <c r="L15963">
        <v>185</v>
      </c>
      <c r="M15963">
        <v>1</v>
      </c>
      <c r="N15963">
        <v>6.2868299999999999E-9</v>
      </c>
      <c r="O15963">
        <v>134</v>
      </c>
    </row>
    <row r="15964" spans="1:15" x14ac:dyDescent="0.25">
      <c r="A15964" t="s">
        <v>15977</v>
      </c>
      <c r="B15964">
        <v>329</v>
      </c>
      <c r="C15964" s="1" t="str">
        <f>HYPERLINK("http://www.rosaceae.org/gb/gbrowse/malus_x_domestica/?name=MDP0000736683","MDP0000736683")</f>
        <v>MDP0000736683</v>
      </c>
      <c r="D15964">
        <v>68.010000000000005</v>
      </c>
      <c r="E15964">
        <v>322</v>
      </c>
      <c r="F15964">
        <v>103</v>
      </c>
      <c r="G15964">
        <v>7</v>
      </c>
      <c r="H15964">
        <v>10</v>
      </c>
      <c r="I15964">
        <v>329</v>
      </c>
      <c r="J15964">
        <v>1</v>
      </c>
      <c r="K15964">
        <v>13</v>
      </c>
      <c r="L15964">
        <v>329</v>
      </c>
      <c r="M15964">
        <v>1</v>
      </c>
      <c r="N15964">
        <v>1.0855700000000001E-121</v>
      </c>
      <c r="O15964">
        <v>1114</v>
      </c>
    </row>
    <row r="15965" spans="1:15" x14ac:dyDescent="0.25">
      <c r="A15965" t="s">
        <v>15978</v>
      </c>
      <c r="B15965">
        <v>845</v>
      </c>
      <c r="C15965" s="1" t="str">
        <f>HYPERLINK("http://www.rosaceae.org/gb/gbrowse/malus_x_domestica/?name=MDP0000181072","MDP0000181072")</f>
        <v>MDP0000181072</v>
      </c>
      <c r="D15965">
        <v>91.59</v>
      </c>
      <c r="E15965">
        <v>809</v>
      </c>
      <c r="F15965">
        <v>68</v>
      </c>
      <c r="G15965">
        <v>5</v>
      </c>
      <c r="H15965">
        <v>39</v>
      </c>
      <c r="I15965">
        <v>845</v>
      </c>
      <c r="J15965">
        <v>1</v>
      </c>
      <c r="K15965">
        <v>1</v>
      </c>
      <c r="L15965">
        <v>806</v>
      </c>
      <c r="M15965">
        <v>1</v>
      </c>
      <c r="N15965">
        <v>0</v>
      </c>
      <c r="O15965">
        <v>3919</v>
      </c>
    </row>
    <row r="15966" spans="1:15" x14ac:dyDescent="0.25">
      <c r="A15966" t="s">
        <v>15979</v>
      </c>
      <c r="B15966">
        <v>653</v>
      </c>
      <c r="C15966" s="1" t="str">
        <f>HYPERLINK("http://www.rosaceae.org/gb/gbrowse/malus_x_domestica/?name=MDP0000297534","MDP0000297534")</f>
        <v>MDP0000297534</v>
      </c>
      <c r="D15966">
        <v>73.02</v>
      </c>
      <c r="E15966">
        <v>493</v>
      </c>
      <c r="F15966">
        <v>133</v>
      </c>
      <c r="G15966">
        <v>60</v>
      </c>
      <c r="H15966">
        <v>34</v>
      </c>
      <c r="I15966">
        <v>487</v>
      </c>
      <c r="J15966">
        <v>1</v>
      </c>
      <c r="K15966">
        <v>34</v>
      </c>
      <c r="L15966">
        <v>505</v>
      </c>
      <c r="M15966">
        <v>1</v>
      </c>
      <c r="N15966">
        <v>0</v>
      </c>
      <c r="O15966">
        <v>1815</v>
      </c>
    </row>
    <row r="15967" spans="1:15" x14ac:dyDescent="0.25">
      <c r="A15967" t="s">
        <v>15980</v>
      </c>
      <c r="B15967">
        <v>802</v>
      </c>
      <c r="C15967" s="1" t="str">
        <f>HYPERLINK("http://www.rosaceae.org/gb/gbrowse/malus_x_domestica/?name=MDP0000555752","MDP0000555752")</f>
        <v>MDP0000555752</v>
      </c>
      <c r="D15967">
        <v>64.34</v>
      </c>
      <c r="E15967">
        <v>244</v>
      </c>
      <c r="F15967">
        <v>87</v>
      </c>
      <c r="G15967">
        <v>2</v>
      </c>
      <c r="H15967">
        <v>508</v>
      </c>
      <c r="I15967">
        <v>750</v>
      </c>
      <c r="J15967">
        <v>1</v>
      </c>
      <c r="K15967">
        <v>1</v>
      </c>
      <c r="L15967">
        <v>243</v>
      </c>
      <c r="M15967">
        <v>1</v>
      </c>
      <c r="N15967">
        <v>1.0310399999999999E-88</v>
      </c>
      <c r="O15967">
        <v>834</v>
      </c>
    </row>
    <row r="15968" spans="1:15" x14ac:dyDescent="0.25">
      <c r="A15968" t="s">
        <v>15981</v>
      </c>
      <c r="B15968">
        <v>658</v>
      </c>
      <c r="C15968" s="1" t="str">
        <f>HYPERLINK("http://www.rosaceae.org/gb/gbrowse/malus_x_domestica/?name=MDP0000034413","MDP0000034413")</f>
        <v>MDP0000034413</v>
      </c>
      <c r="D15968">
        <v>79.34</v>
      </c>
      <c r="E15968">
        <v>547</v>
      </c>
      <c r="F15968">
        <v>113</v>
      </c>
      <c r="G15968">
        <v>17</v>
      </c>
      <c r="H15968">
        <v>118</v>
      </c>
      <c r="I15968">
        <v>655</v>
      </c>
      <c r="J15968">
        <v>1</v>
      </c>
      <c r="K15968">
        <v>21</v>
      </c>
      <c r="L15968">
        <v>559</v>
      </c>
      <c r="M15968">
        <v>1</v>
      </c>
      <c r="N15968">
        <v>0</v>
      </c>
      <c r="O15968">
        <v>2216</v>
      </c>
    </row>
    <row r="15969" spans="1:15" x14ac:dyDescent="0.25">
      <c r="A15969" t="s">
        <v>15982</v>
      </c>
      <c r="B15969">
        <v>385</v>
      </c>
      <c r="C15969" s="1" t="str">
        <f>HYPERLINK("http://www.rosaceae.org/gb/gbrowse/malus_x_domestica/?name=MDP0000136236","MDP0000136236")</f>
        <v>MDP0000136236</v>
      </c>
      <c r="D15969">
        <v>47.61</v>
      </c>
      <c r="E15969">
        <v>273</v>
      </c>
      <c r="F15969">
        <v>143</v>
      </c>
      <c r="G15969">
        <v>9</v>
      </c>
      <c r="H15969">
        <v>114</v>
      </c>
      <c r="I15969">
        <v>385</v>
      </c>
      <c r="J15969">
        <v>1</v>
      </c>
      <c r="K15969">
        <v>115</v>
      </c>
      <c r="L15969">
        <v>379</v>
      </c>
      <c r="M15969">
        <v>1</v>
      </c>
      <c r="N15969">
        <v>1.09803E-46</v>
      </c>
      <c r="O15969">
        <v>468</v>
      </c>
    </row>
    <row r="15970" spans="1:15" x14ac:dyDescent="0.25">
      <c r="A15970" t="s">
        <v>15983</v>
      </c>
      <c r="B15970">
        <v>305</v>
      </c>
      <c r="C15970" s="1" t="str">
        <f>HYPERLINK("http://www.rosaceae.org/gb/gbrowse/malus_x_domestica/?name=MDP0000200896","MDP0000200896")</f>
        <v>MDP0000200896</v>
      </c>
      <c r="D15970">
        <v>82.17</v>
      </c>
      <c r="E15970">
        <v>303</v>
      </c>
      <c r="F15970">
        <v>54</v>
      </c>
      <c r="G15970">
        <v>0</v>
      </c>
      <c r="H15970">
        <v>1</v>
      </c>
      <c r="I15970">
        <v>303</v>
      </c>
      <c r="J15970">
        <v>1</v>
      </c>
      <c r="K15970">
        <v>44</v>
      </c>
      <c r="L15970">
        <v>346</v>
      </c>
      <c r="M15970">
        <v>1</v>
      </c>
      <c r="N15970">
        <v>8.9960100000000003E-152</v>
      </c>
      <c r="O15970">
        <v>1373</v>
      </c>
    </row>
    <row r="15971" spans="1:15" x14ac:dyDescent="0.25">
      <c r="A15971" t="s">
        <v>15984</v>
      </c>
      <c r="B15971">
        <v>1229</v>
      </c>
      <c r="C15971" s="1" t="str">
        <f>HYPERLINK("http://www.rosaceae.org/gb/gbrowse/malus_x_domestica/?name=MDP0000253455","MDP0000253455")</f>
        <v>MDP0000253455</v>
      </c>
      <c r="D15971">
        <v>59.04</v>
      </c>
      <c r="E15971">
        <v>647</v>
      </c>
      <c r="F15971">
        <v>265</v>
      </c>
      <c r="G15971">
        <v>31</v>
      </c>
      <c r="H15971">
        <v>605</v>
      </c>
      <c r="I15971">
        <v>1228</v>
      </c>
      <c r="J15971">
        <v>1</v>
      </c>
      <c r="K15971">
        <v>45</v>
      </c>
      <c r="L15971">
        <v>683</v>
      </c>
      <c r="M15971">
        <v>1</v>
      </c>
      <c r="N15971">
        <v>0</v>
      </c>
      <c r="O15971">
        <v>1818</v>
      </c>
    </row>
    <row r="15972" spans="1:15" x14ac:dyDescent="0.25">
      <c r="A15972" t="s">
        <v>15985</v>
      </c>
      <c r="B15972">
        <v>444</v>
      </c>
      <c r="C15972" s="1" t="str">
        <f>HYPERLINK("http://www.rosaceae.org/gb/gbrowse/malus_x_domestica/?name=MDP0000139087","MDP0000139087")</f>
        <v>MDP0000139087</v>
      </c>
      <c r="D15972">
        <v>55.7</v>
      </c>
      <c r="E15972">
        <v>517</v>
      </c>
      <c r="F15972">
        <v>229</v>
      </c>
      <c r="G15972">
        <v>115</v>
      </c>
      <c r="H15972">
        <v>1</v>
      </c>
      <c r="I15972">
        <v>444</v>
      </c>
      <c r="J15972">
        <v>1</v>
      </c>
      <c r="K15972">
        <v>1</v>
      </c>
      <c r="L15972">
        <v>475</v>
      </c>
      <c r="M15972">
        <v>1</v>
      </c>
      <c r="N15972">
        <v>1.25202E-149</v>
      </c>
      <c r="O15972">
        <v>1356</v>
      </c>
    </row>
    <row r="15973" spans="1:15" x14ac:dyDescent="0.25">
      <c r="A15973" t="s">
        <v>15986</v>
      </c>
      <c r="B15973">
        <v>540</v>
      </c>
      <c r="C15973" s="1" t="str">
        <f>HYPERLINK("http://www.rosaceae.org/gb/gbrowse/malus_x_domestica/?name=MDP0000225623","MDP0000225623")</f>
        <v>MDP0000225623</v>
      </c>
      <c r="D15973">
        <v>43.8</v>
      </c>
      <c r="E15973">
        <v>468</v>
      </c>
      <c r="F15973">
        <v>263</v>
      </c>
      <c r="G15973">
        <v>47</v>
      </c>
      <c r="H15973">
        <v>93</v>
      </c>
      <c r="I15973">
        <v>539</v>
      </c>
      <c r="J15973">
        <v>1</v>
      </c>
      <c r="K15973">
        <v>202</v>
      </c>
      <c r="L15973">
        <v>643</v>
      </c>
      <c r="M15973">
        <v>1</v>
      </c>
      <c r="N15973">
        <v>2.2128500000000001E-93</v>
      </c>
      <c r="O15973">
        <v>872</v>
      </c>
    </row>
    <row r="15974" spans="1:15" x14ac:dyDescent="0.25">
      <c r="A15974" t="s">
        <v>15987</v>
      </c>
      <c r="B15974">
        <v>655</v>
      </c>
      <c r="C15974" s="1" t="str">
        <f>HYPERLINK("http://www.rosaceae.org/gb/gbrowse/malus_x_domestica/?name=MDP0000157048","MDP0000157048")</f>
        <v>MDP0000157048</v>
      </c>
      <c r="D15974">
        <v>73.17</v>
      </c>
      <c r="E15974">
        <v>563</v>
      </c>
      <c r="F15974">
        <v>151</v>
      </c>
      <c r="G15974">
        <v>25</v>
      </c>
      <c r="H15974">
        <v>1</v>
      </c>
      <c r="I15974">
        <v>543</v>
      </c>
      <c r="J15974">
        <v>1</v>
      </c>
      <c r="K15974">
        <v>1</v>
      </c>
      <c r="L15974">
        <v>558</v>
      </c>
      <c r="M15974">
        <v>1</v>
      </c>
      <c r="N15974">
        <v>0</v>
      </c>
      <c r="O15974">
        <v>2100</v>
      </c>
    </row>
    <row r="15975" spans="1:15" x14ac:dyDescent="0.25">
      <c r="A15975" t="s">
        <v>15988</v>
      </c>
      <c r="B15975">
        <v>263</v>
      </c>
      <c r="C15975" s="1" t="str">
        <f>HYPERLINK("http://www.rosaceae.org/gb/gbrowse/malus_x_domestica/?name=MDP0000150438","MDP0000150438")</f>
        <v>MDP0000150438</v>
      </c>
      <c r="D15975">
        <v>51.72</v>
      </c>
      <c r="E15975">
        <v>232</v>
      </c>
      <c r="F15975">
        <v>112</v>
      </c>
      <c r="G15975">
        <v>10</v>
      </c>
      <c r="H15975">
        <v>5</v>
      </c>
      <c r="I15975">
        <v>234</v>
      </c>
      <c r="J15975">
        <v>1</v>
      </c>
      <c r="K15975">
        <v>3</v>
      </c>
      <c r="L15975">
        <v>226</v>
      </c>
      <c r="M15975">
        <v>1</v>
      </c>
      <c r="N15975">
        <v>1.0518599999999999E-56</v>
      </c>
      <c r="O15975">
        <v>552</v>
      </c>
    </row>
    <row r="15976" spans="1:15" x14ac:dyDescent="0.25">
      <c r="A15976" t="s">
        <v>15989</v>
      </c>
      <c r="B15976">
        <v>491</v>
      </c>
      <c r="C15976" s="1" t="str">
        <f>HYPERLINK("http://www.rosaceae.org/gb/gbrowse/malus_x_domestica/?name=MDP0000216967","MDP0000216967")</f>
        <v>MDP0000216967</v>
      </c>
      <c r="D15976">
        <v>70.040000000000006</v>
      </c>
      <c r="E15976">
        <v>484</v>
      </c>
      <c r="F15976">
        <v>145</v>
      </c>
      <c r="G15976">
        <v>1</v>
      </c>
      <c r="H15976">
        <v>1</v>
      </c>
      <c r="I15976">
        <v>484</v>
      </c>
      <c r="J15976">
        <v>1</v>
      </c>
      <c r="K15976">
        <v>1</v>
      </c>
      <c r="L15976">
        <v>483</v>
      </c>
      <c r="M15976">
        <v>1</v>
      </c>
      <c r="N15976">
        <v>0</v>
      </c>
      <c r="O15976">
        <v>1801</v>
      </c>
    </row>
    <row r="15977" spans="1:15" x14ac:dyDescent="0.25">
      <c r="A15977" t="s">
        <v>15990</v>
      </c>
      <c r="B15977">
        <v>507</v>
      </c>
      <c r="C15977" s="1" t="str">
        <f>HYPERLINK("http://www.rosaceae.org/gb/gbrowse/malus_x_domestica/?name=MDP0000823142","MDP0000823142")</f>
        <v>MDP0000823142</v>
      </c>
      <c r="D15977">
        <v>40.479999999999997</v>
      </c>
      <c r="E15977">
        <v>499</v>
      </c>
      <c r="F15977">
        <v>297</v>
      </c>
      <c r="G15977">
        <v>1</v>
      </c>
      <c r="H15977">
        <v>1</v>
      </c>
      <c r="I15977">
        <v>499</v>
      </c>
      <c r="J15977">
        <v>1</v>
      </c>
      <c r="K15977">
        <v>36</v>
      </c>
      <c r="L15977">
        <v>533</v>
      </c>
      <c r="M15977">
        <v>1</v>
      </c>
      <c r="N15977">
        <v>1.80902E-111</v>
      </c>
      <c r="O15977">
        <v>1028</v>
      </c>
    </row>
    <row r="15978" spans="1:15" x14ac:dyDescent="0.25">
      <c r="A15978" t="s">
        <v>15991</v>
      </c>
      <c r="B15978">
        <v>980</v>
      </c>
      <c r="C15978" s="1" t="str">
        <f>HYPERLINK("http://www.rosaceae.org/gb/gbrowse/malus_x_domestica/?name=MDP0000226451","MDP0000226451")</f>
        <v>MDP0000226451</v>
      </c>
      <c r="D15978">
        <v>60.46</v>
      </c>
      <c r="E15978">
        <v>898</v>
      </c>
      <c r="F15978">
        <v>355</v>
      </c>
      <c r="G15978">
        <v>123</v>
      </c>
      <c r="H15978">
        <v>55</v>
      </c>
      <c r="I15978">
        <v>889</v>
      </c>
      <c r="J15978">
        <v>1</v>
      </c>
      <c r="K15978">
        <v>58</v>
      </c>
      <c r="L15978">
        <v>895</v>
      </c>
      <c r="M15978">
        <v>1</v>
      </c>
      <c r="N15978">
        <v>0</v>
      </c>
      <c r="O15978">
        <v>2596</v>
      </c>
    </row>
    <row r="15979" spans="1:15" x14ac:dyDescent="0.25">
      <c r="A15979" t="s">
        <v>15992</v>
      </c>
      <c r="B15979">
        <v>269</v>
      </c>
      <c r="C15979" s="1" t="str">
        <f>HYPERLINK("http://www.rosaceae.org/gb/gbrowse/malus_x_domestica/?name=MDP0000252362","MDP0000252362")</f>
        <v>MDP0000252362</v>
      </c>
      <c r="D15979">
        <v>73.88</v>
      </c>
      <c r="E15979">
        <v>291</v>
      </c>
      <c r="F15979">
        <v>76</v>
      </c>
      <c r="G15979">
        <v>24</v>
      </c>
      <c r="H15979">
        <v>1</v>
      </c>
      <c r="I15979">
        <v>267</v>
      </c>
      <c r="J15979">
        <v>1</v>
      </c>
      <c r="K15979">
        <v>1</v>
      </c>
      <c r="L15979">
        <v>291</v>
      </c>
      <c r="M15979">
        <v>1</v>
      </c>
      <c r="N15979">
        <v>2.7882699999999999E-124</v>
      </c>
      <c r="O15979">
        <v>1135</v>
      </c>
    </row>
    <row r="15980" spans="1:15" x14ac:dyDescent="0.25">
      <c r="A15980" t="s">
        <v>15993</v>
      </c>
      <c r="B15980">
        <v>1344</v>
      </c>
      <c r="C15980" s="1" t="str">
        <f>HYPERLINK("http://www.rosaceae.org/gb/gbrowse/malus_x_domestica/?name=MDP0000712928","MDP0000712928")</f>
        <v>MDP0000712928</v>
      </c>
      <c r="D15980">
        <v>68.05</v>
      </c>
      <c r="E15980">
        <v>72</v>
      </c>
      <c r="F15980">
        <v>23</v>
      </c>
      <c r="G15980">
        <v>2</v>
      </c>
      <c r="H15980">
        <v>799</v>
      </c>
      <c r="I15980">
        <v>868</v>
      </c>
      <c r="J15980">
        <v>1</v>
      </c>
      <c r="K15980">
        <v>20</v>
      </c>
      <c r="L15980">
        <v>91</v>
      </c>
      <c r="M15980">
        <v>1</v>
      </c>
      <c r="N15980">
        <v>7.1798699999999995E-20</v>
      </c>
      <c r="O15980">
        <v>242</v>
      </c>
    </row>
    <row r="15981" spans="1:15" x14ac:dyDescent="0.25">
      <c r="A15981" t="s">
        <v>15994</v>
      </c>
      <c r="B15981">
        <v>998</v>
      </c>
      <c r="C15981" s="1" t="str">
        <f>HYPERLINK("http://www.rosaceae.org/gb/gbrowse/malus_x_domestica/?name=MDP0000222729","MDP0000222729")</f>
        <v>MDP0000222729</v>
      </c>
      <c r="D15981">
        <v>67.3</v>
      </c>
      <c r="E15981">
        <v>104</v>
      </c>
      <c r="F15981">
        <v>34</v>
      </c>
      <c r="G15981">
        <v>7</v>
      </c>
      <c r="H15981">
        <v>886</v>
      </c>
      <c r="I15981">
        <v>988</v>
      </c>
      <c r="J15981">
        <v>1</v>
      </c>
      <c r="K15981">
        <v>1</v>
      </c>
      <c r="L15981">
        <v>98</v>
      </c>
      <c r="M15981">
        <v>1</v>
      </c>
      <c r="N15981">
        <v>1.4562499999999999E-30</v>
      </c>
      <c r="O15981">
        <v>333</v>
      </c>
    </row>
    <row r="15982" spans="1:15" x14ac:dyDescent="0.25">
      <c r="A15982" t="s">
        <v>15995</v>
      </c>
      <c r="B15982">
        <v>819</v>
      </c>
      <c r="C15982" s="1" t="str">
        <f>HYPERLINK("http://www.rosaceae.org/gb/gbrowse/malus_x_domestica/?name=MDP0000229637","MDP0000229637")</f>
        <v>MDP0000229637</v>
      </c>
      <c r="D15982">
        <v>70.5</v>
      </c>
      <c r="E15982">
        <v>851</v>
      </c>
      <c r="F15982">
        <v>251</v>
      </c>
      <c r="G15982">
        <v>75</v>
      </c>
      <c r="H15982">
        <v>23</v>
      </c>
      <c r="I15982">
        <v>803</v>
      </c>
      <c r="J15982">
        <v>1</v>
      </c>
      <c r="K15982">
        <v>121</v>
      </c>
      <c r="L15982">
        <v>966</v>
      </c>
      <c r="M15982">
        <v>1</v>
      </c>
      <c r="N15982">
        <v>0</v>
      </c>
      <c r="O15982">
        <v>3000</v>
      </c>
    </row>
    <row r="15983" spans="1:15" x14ac:dyDescent="0.25">
      <c r="A15983" t="s">
        <v>15996</v>
      </c>
      <c r="B15983">
        <v>97</v>
      </c>
      <c r="C15983" s="1" t="str">
        <f>HYPERLINK("http://www.rosaceae.org/gb/gbrowse/malus_x_domestica/?name=MDP0000226188","MDP0000226188")</f>
        <v>MDP0000226188</v>
      </c>
      <c r="D15983">
        <v>79.31</v>
      </c>
      <c r="E15983">
        <v>58</v>
      </c>
      <c r="F15983">
        <v>12</v>
      </c>
      <c r="G15983">
        <v>0</v>
      </c>
      <c r="H15983">
        <v>21</v>
      </c>
      <c r="I15983">
        <v>78</v>
      </c>
      <c r="J15983">
        <v>1</v>
      </c>
      <c r="K15983">
        <v>324</v>
      </c>
      <c r="L15983">
        <v>381</v>
      </c>
      <c r="M15983">
        <v>1</v>
      </c>
      <c r="N15983">
        <v>1.44767E-20</v>
      </c>
      <c r="O15983">
        <v>235</v>
      </c>
    </row>
    <row r="15984" spans="1:15" x14ac:dyDescent="0.25">
      <c r="A15984" t="s">
        <v>15997</v>
      </c>
      <c r="B15984">
        <v>1728</v>
      </c>
      <c r="C15984" s="1" t="str">
        <f>HYPERLINK("http://www.rosaceae.org/gb/gbrowse/malus_x_domestica/?name=MDP0000185801","MDP0000185801")</f>
        <v>MDP0000185801</v>
      </c>
      <c r="D15984">
        <v>29.66</v>
      </c>
      <c r="E15984">
        <v>327</v>
      </c>
      <c r="F15984">
        <v>230</v>
      </c>
      <c r="G15984">
        <v>37</v>
      </c>
      <c r="H15984">
        <v>549</v>
      </c>
      <c r="I15984">
        <v>872</v>
      </c>
      <c r="J15984">
        <v>1</v>
      </c>
      <c r="K15984">
        <v>83</v>
      </c>
      <c r="L15984">
        <v>375</v>
      </c>
      <c r="M15984">
        <v>1</v>
      </c>
      <c r="N15984">
        <v>1.29495E-30</v>
      </c>
      <c r="O15984">
        <v>336</v>
      </c>
    </row>
    <row r="15985" spans="1:15" x14ac:dyDescent="0.25">
      <c r="A15985" t="s">
        <v>15998</v>
      </c>
      <c r="B15985">
        <v>379</v>
      </c>
      <c r="C15985" s="1" t="str">
        <f>HYPERLINK("http://www.rosaceae.org/gb/gbrowse/malus_x_domestica/?name=MDP0000658961","MDP0000658961")</f>
        <v>MDP0000658961</v>
      </c>
      <c r="D15985">
        <v>48.76</v>
      </c>
      <c r="E15985">
        <v>404</v>
      </c>
      <c r="F15985">
        <v>207</v>
      </c>
      <c r="G15985">
        <v>44</v>
      </c>
      <c r="H15985">
        <v>1</v>
      </c>
      <c r="I15985">
        <v>372</v>
      </c>
      <c r="J15985">
        <v>1</v>
      </c>
      <c r="K15985">
        <v>1</v>
      </c>
      <c r="L15985">
        <v>392</v>
      </c>
      <c r="M15985">
        <v>1</v>
      </c>
      <c r="N15985">
        <v>3.3932300000000003E-80</v>
      </c>
      <c r="O15985">
        <v>757</v>
      </c>
    </row>
    <row r="15986" spans="1:15" x14ac:dyDescent="0.25">
      <c r="A15986" t="s">
        <v>15999</v>
      </c>
      <c r="B15986">
        <v>180</v>
      </c>
      <c r="C15986" s="1" t="str">
        <f>HYPERLINK("http://www.rosaceae.org/gb/gbrowse/malus_x_domestica/?name=MDP0000296357","MDP0000296357")</f>
        <v>MDP0000296357</v>
      </c>
      <c r="D15986">
        <v>82.22</v>
      </c>
      <c r="E15986">
        <v>180</v>
      </c>
      <c r="F15986">
        <v>32</v>
      </c>
      <c r="G15986">
        <v>1</v>
      </c>
      <c r="H15986">
        <v>1</v>
      </c>
      <c r="I15986">
        <v>180</v>
      </c>
      <c r="J15986">
        <v>1</v>
      </c>
      <c r="K15986">
        <v>1</v>
      </c>
      <c r="L15986">
        <v>179</v>
      </c>
      <c r="M15986">
        <v>1</v>
      </c>
      <c r="N15986">
        <v>2.1503099999999999E-82</v>
      </c>
      <c r="O15986">
        <v>771</v>
      </c>
    </row>
    <row r="15987" spans="1:15" x14ac:dyDescent="0.25">
      <c r="A15987" t="s">
        <v>16000</v>
      </c>
      <c r="B15987">
        <v>230</v>
      </c>
      <c r="C15987" s="1" t="str">
        <f>HYPERLINK("http://www.rosaceae.org/gb/gbrowse/malus_x_domestica/?name=MDP0000285753","MDP0000285753")</f>
        <v>MDP0000285753</v>
      </c>
      <c r="D15987">
        <v>79.099999999999994</v>
      </c>
      <c r="E15987">
        <v>67</v>
      </c>
      <c r="F15987">
        <v>14</v>
      </c>
      <c r="G15987">
        <v>0</v>
      </c>
      <c r="H15987">
        <v>1</v>
      </c>
      <c r="I15987">
        <v>67</v>
      </c>
      <c r="J15987">
        <v>1</v>
      </c>
      <c r="K15987">
        <v>1</v>
      </c>
      <c r="L15987">
        <v>67</v>
      </c>
      <c r="M15987">
        <v>1</v>
      </c>
      <c r="N15987">
        <v>6.8832799999999996E-25</v>
      </c>
      <c r="O15987">
        <v>277</v>
      </c>
    </row>
    <row r="15988" spans="1:15" x14ac:dyDescent="0.25">
      <c r="A15988" t="s">
        <v>16001</v>
      </c>
      <c r="B15988">
        <v>163</v>
      </c>
      <c r="C15988" s="1" t="str">
        <f>HYPERLINK("http://www.rosaceae.org/gb/gbrowse/malus_x_domestica/?name=MDP0000231072","MDP0000231072")</f>
        <v>MDP0000231072</v>
      </c>
      <c r="D15988">
        <v>49.35</v>
      </c>
      <c r="E15988">
        <v>77</v>
      </c>
      <c r="F15988">
        <v>39</v>
      </c>
      <c r="G15988">
        <v>0</v>
      </c>
      <c r="H15988">
        <v>21</v>
      </c>
      <c r="I15988">
        <v>97</v>
      </c>
      <c r="J15988">
        <v>1</v>
      </c>
      <c r="K15988">
        <v>4</v>
      </c>
      <c r="L15988">
        <v>80</v>
      </c>
      <c r="M15988">
        <v>1</v>
      </c>
      <c r="N15988">
        <v>3.2446199999999999E-15</v>
      </c>
      <c r="O15988">
        <v>191</v>
      </c>
    </row>
    <row r="15989" spans="1:15" x14ac:dyDescent="0.25">
      <c r="A15989" t="s">
        <v>16002</v>
      </c>
      <c r="B15989">
        <v>261</v>
      </c>
      <c r="C15989" s="1" t="str">
        <f>HYPERLINK("http://www.rosaceae.org/gb/gbrowse/malus_x_domestica/?name=MDP0000919355","MDP0000919355")</f>
        <v>MDP0000919355</v>
      </c>
      <c r="D15989">
        <v>50.86</v>
      </c>
      <c r="E15989">
        <v>116</v>
      </c>
      <c r="F15989">
        <v>57</v>
      </c>
      <c r="G15989">
        <v>11</v>
      </c>
      <c r="H15989">
        <v>149</v>
      </c>
      <c r="I15989">
        <v>261</v>
      </c>
      <c r="J15989">
        <v>1</v>
      </c>
      <c r="K15989">
        <v>2</v>
      </c>
      <c r="L15989">
        <v>109</v>
      </c>
      <c r="M15989">
        <v>1</v>
      </c>
      <c r="N15989">
        <v>6.4202199999999998E-19</v>
      </c>
      <c r="O15989">
        <v>226</v>
      </c>
    </row>
    <row r="15990" spans="1:15" x14ac:dyDescent="0.25">
      <c r="A15990" t="s">
        <v>16003</v>
      </c>
      <c r="B15990">
        <v>370</v>
      </c>
      <c r="C15990" s="1" t="str">
        <f>HYPERLINK("http://www.rosaceae.org/gb/gbrowse/malus_x_domestica/?name=MDP0000214672","MDP0000214672")</f>
        <v>MDP0000214672</v>
      </c>
      <c r="D15990">
        <v>55.51</v>
      </c>
      <c r="E15990">
        <v>272</v>
      </c>
      <c r="F15990">
        <v>121</v>
      </c>
      <c r="G15990">
        <v>14</v>
      </c>
      <c r="H15990">
        <v>61</v>
      </c>
      <c r="I15990">
        <v>332</v>
      </c>
      <c r="J15990">
        <v>1</v>
      </c>
      <c r="K15990">
        <v>55</v>
      </c>
      <c r="L15990">
        <v>312</v>
      </c>
      <c r="M15990">
        <v>1</v>
      </c>
      <c r="N15990">
        <v>5.6382200000000002E-84</v>
      </c>
      <c r="O15990">
        <v>789</v>
      </c>
    </row>
    <row r="15991" spans="1:15" x14ac:dyDescent="0.25">
      <c r="A15991" t="s">
        <v>16004</v>
      </c>
      <c r="B15991">
        <v>424</v>
      </c>
      <c r="C15991" s="1" t="str">
        <f>HYPERLINK("http://www.rosaceae.org/gb/gbrowse/malus_x_domestica/?name=MDP0000194490","MDP0000194490")</f>
        <v>MDP0000194490</v>
      </c>
      <c r="D15991">
        <v>76.88</v>
      </c>
      <c r="E15991">
        <v>424</v>
      </c>
      <c r="F15991">
        <v>98</v>
      </c>
      <c r="G15991">
        <v>4</v>
      </c>
      <c r="H15991">
        <v>1</v>
      </c>
      <c r="I15991">
        <v>424</v>
      </c>
      <c r="J15991">
        <v>1</v>
      </c>
      <c r="K15991">
        <v>1</v>
      </c>
      <c r="L15991">
        <v>420</v>
      </c>
      <c r="M15991">
        <v>1</v>
      </c>
      <c r="N15991">
        <v>0</v>
      </c>
      <c r="O15991">
        <v>1735</v>
      </c>
    </row>
    <row r="15992" spans="1:15" x14ac:dyDescent="0.25">
      <c r="A15992" t="s">
        <v>16005</v>
      </c>
      <c r="B15992">
        <v>686</v>
      </c>
      <c r="C15992" s="1" t="str">
        <f>HYPERLINK("http://www.rosaceae.org/gb/gbrowse/malus_x_domestica/?name=MDP0000167408","MDP0000167408")</f>
        <v>MDP0000167408</v>
      </c>
      <c r="D15992">
        <v>63.73</v>
      </c>
      <c r="E15992">
        <v>648</v>
      </c>
      <c r="F15992">
        <v>235</v>
      </c>
      <c r="G15992">
        <v>25</v>
      </c>
      <c r="H15992">
        <v>1</v>
      </c>
      <c r="I15992">
        <v>631</v>
      </c>
      <c r="J15992">
        <v>1</v>
      </c>
      <c r="K15992">
        <v>18</v>
      </c>
      <c r="L15992">
        <v>657</v>
      </c>
      <c r="M15992">
        <v>1</v>
      </c>
      <c r="N15992">
        <v>0</v>
      </c>
      <c r="O15992">
        <v>2106</v>
      </c>
    </row>
    <row r="15993" spans="1:15" x14ac:dyDescent="0.25">
      <c r="A15993" t="s">
        <v>16006</v>
      </c>
      <c r="B15993">
        <v>120</v>
      </c>
      <c r="C15993" s="1" t="str">
        <f>HYPERLINK("http://www.rosaceae.org/gb/gbrowse/malus_x_domestica/?name=MDP0000159492","MDP0000159492")</f>
        <v>MDP0000159492</v>
      </c>
      <c r="D15993">
        <v>64.510000000000005</v>
      </c>
      <c r="E15993">
        <v>124</v>
      </c>
      <c r="F15993">
        <v>44</v>
      </c>
      <c r="G15993">
        <v>6</v>
      </c>
      <c r="H15993">
        <v>1</v>
      </c>
      <c r="I15993">
        <v>118</v>
      </c>
      <c r="J15993">
        <v>1</v>
      </c>
      <c r="K15993">
        <v>1</v>
      </c>
      <c r="L15993">
        <v>124</v>
      </c>
      <c r="M15993">
        <v>1</v>
      </c>
      <c r="N15993">
        <v>2.6296300000000001E-39</v>
      </c>
      <c r="O15993">
        <v>396</v>
      </c>
    </row>
    <row r="15994" spans="1:15" x14ac:dyDescent="0.25">
      <c r="A15994" t="s">
        <v>16007</v>
      </c>
      <c r="B15994">
        <v>1002</v>
      </c>
      <c r="C15994" s="1" t="str">
        <f>HYPERLINK("http://www.rosaceae.org/gb/gbrowse/malus_x_domestica/?name=MDP0000168595","MDP0000168595")</f>
        <v>MDP0000168595</v>
      </c>
      <c r="D15994">
        <v>65.45</v>
      </c>
      <c r="E15994">
        <v>1016</v>
      </c>
      <c r="F15994">
        <v>351</v>
      </c>
      <c r="G15994">
        <v>33</v>
      </c>
      <c r="H15994">
        <v>1</v>
      </c>
      <c r="I15994">
        <v>996</v>
      </c>
      <c r="J15994">
        <v>1</v>
      </c>
      <c r="K15994">
        <v>1</v>
      </c>
      <c r="L15994">
        <v>1003</v>
      </c>
      <c r="M15994">
        <v>1</v>
      </c>
      <c r="N15994">
        <v>0</v>
      </c>
      <c r="O15994">
        <v>3259</v>
      </c>
    </row>
    <row r="15995" spans="1:15" x14ac:dyDescent="0.25">
      <c r="A15995" t="s">
        <v>16008</v>
      </c>
      <c r="B15995">
        <v>539</v>
      </c>
      <c r="C15995" s="1" t="str">
        <f>HYPERLINK("http://www.rosaceae.org/gb/gbrowse/malus_x_domestica/?name=MDP0000168293","MDP0000168293")</f>
        <v>MDP0000168293</v>
      </c>
      <c r="D15995">
        <v>57.09</v>
      </c>
      <c r="E15995">
        <v>543</v>
      </c>
      <c r="F15995">
        <v>233</v>
      </c>
      <c r="G15995">
        <v>33</v>
      </c>
      <c r="H15995">
        <v>28</v>
      </c>
      <c r="I15995">
        <v>539</v>
      </c>
      <c r="J15995">
        <v>1</v>
      </c>
      <c r="K15995">
        <v>27</v>
      </c>
      <c r="L15995">
        <v>567</v>
      </c>
      <c r="M15995">
        <v>1</v>
      </c>
      <c r="N15995">
        <v>0</v>
      </c>
      <c r="O15995">
        <v>1666</v>
      </c>
    </row>
    <row r="15996" spans="1:15" x14ac:dyDescent="0.25">
      <c r="A15996" t="s">
        <v>16009</v>
      </c>
      <c r="B15996">
        <v>416</v>
      </c>
      <c r="C15996" s="1" t="str">
        <f>HYPERLINK("http://www.rosaceae.org/gb/gbrowse/malus_x_domestica/?name=MDP0000769656","MDP0000769656")</f>
        <v>MDP0000769656</v>
      </c>
      <c r="D15996">
        <v>46.63</v>
      </c>
      <c r="E15996">
        <v>431</v>
      </c>
      <c r="F15996">
        <v>230</v>
      </c>
      <c r="G15996">
        <v>48</v>
      </c>
      <c r="H15996">
        <v>27</v>
      </c>
      <c r="I15996">
        <v>416</v>
      </c>
      <c r="J15996">
        <v>1</v>
      </c>
      <c r="K15996">
        <v>7</v>
      </c>
      <c r="L15996">
        <v>430</v>
      </c>
      <c r="M15996">
        <v>1</v>
      </c>
      <c r="N15996">
        <v>1.5880200000000001E-90</v>
      </c>
      <c r="O15996">
        <v>846</v>
      </c>
    </row>
    <row r="15997" spans="1:15" x14ac:dyDescent="0.25">
      <c r="A15997" t="s">
        <v>16010</v>
      </c>
      <c r="B15997">
        <v>644</v>
      </c>
      <c r="C15997" s="1" t="str">
        <f>HYPERLINK("http://www.rosaceae.org/gb/gbrowse/malus_x_domestica/?name=MDP0000208825","MDP0000208825")</f>
        <v>MDP0000208825</v>
      </c>
      <c r="D15997">
        <v>60.74</v>
      </c>
      <c r="E15997">
        <v>614</v>
      </c>
      <c r="F15997">
        <v>241</v>
      </c>
      <c r="G15997">
        <v>99</v>
      </c>
      <c r="H15997">
        <v>1</v>
      </c>
      <c r="I15997">
        <v>535</v>
      </c>
      <c r="J15997">
        <v>1</v>
      </c>
      <c r="K15997">
        <v>143</v>
      </c>
      <c r="L15997">
        <v>736</v>
      </c>
      <c r="M15997">
        <v>1</v>
      </c>
      <c r="N15997">
        <v>0</v>
      </c>
      <c r="O15997">
        <v>1732</v>
      </c>
    </row>
    <row r="15998" spans="1:15" x14ac:dyDescent="0.25">
      <c r="A15998" t="s">
        <v>16011</v>
      </c>
      <c r="B15998">
        <v>501</v>
      </c>
      <c r="C15998" s="1" t="str">
        <f>HYPERLINK("http://www.rosaceae.org/gb/gbrowse/malus_x_domestica/?name=MDP0000170005","MDP0000170005")</f>
        <v>MDP0000170005</v>
      </c>
      <c r="D15998">
        <v>67.41</v>
      </c>
      <c r="E15998">
        <v>488</v>
      </c>
      <c r="F15998">
        <v>159</v>
      </c>
      <c r="G15998">
        <v>1</v>
      </c>
      <c r="H15998">
        <v>1</v>
      </c>
      <c r="I15998">
        <v>487</v>
      </c>
      <c r="J15998">
        <v>1</v>
      </c>
      <c r="K15998">
        <v>48</v>
      </c>
      <c r="L15998">
        <v>535</v>
      </c>
      <c r="M15998">
        <v>1</v>
      </c>
      <c r="N15998">
        <v>0</v>
      </c>
      <c r="O15998">
        <v>1775</v>
      </c>
    </row>
    <row r="15999" spans="1:15" x14ac:dyDescent="0.25">
      <c r="A15999" t="s">
        <v>16012</v>
      </c>
      <c r="B15999">
        <v>207</v>
      </c>
      <c r="C15999" s="1" t="str">
        <f>HYPERLINK("http://www.rosaceae.org/gb/gbrowse/malus_x_domestica/?name=MDP0000180222","MDP0000180222")</f>
        <v>MDP0000180222</v>
      </c>
      <c r="D15999">
        <v>82.48</v>
      </c>
      <c r="E15999">
        <v>137</v>
      </c>
      <c r="F15999">
        <v>24</v>
      </c>
      <c r="G15999">
        <v>0</v>
      </c>
      <c r="H15999">
        <v>1</v>
      </c>
      <c r="I15999">
        <v>137</v>
      </c>
      <c r="J15999">
        <v>1</v>
      </c>
      <c r="K15999">
        <v>552</v>
      </c>
      <c r="L15999">
        <v>688</v>
      </c>
      <c r="M15999">
        <v>1</v>
      </c>
      <c r="N15999">
        <v>2.9321400000000002E-68</v>
      </c>
      <c r="O15999">
        <v>650</v>
      </c>
    </row>
    <row r="16000" spans="1:15" x14ac:dyDescent="0.25">
      <c r="A16000" t="s">
        <v>16013</v>
      </c>
      <c r="B16000">
        <v>477</v>
      </c>
      <c r="C16000" s="1" t="str">
        <f>HYPERLINK("http://www.rosaceae.org/gb/gbrowse/malus_x_domestica/?name=MDP0000163774","MDP0000163774")</f>
        <v>MDP0000163774</v>
      </c>
      <c r="D16000">
        <v>29.66</v>
      </c>
      <c r="E16000">
        <v>327</v>
      </c>
      <c r="F16000">
        <v>230</v>
      </c>
      <c r="G16000">
        <v>94</v>
      </c>
      <c r="H16000">
        <v>3</v>
      </c>
      <c r="I16000">
        <v>238</v>
      </c>
      <c r="J16000">
        <v>1</v>
      </c>
      <c r="K16000">
        <v>297</v>
      </c>
      <c r="L16000">
        <v>620</v>
      </c>
      <c r="M16000">
        <v>1</v>
      </c>
      <c r="N16000">
        <v>9.7075099999999999E-26</v>
      </c>
      <c r="O16000">
        <v>288</v>
      </c>
    </row>
    <row r="16001" spans="1:15" x14ac:dyDescent="0.25">
      <c r="A16001" t="s">
        <v>16014</v>
      </c>
      <c r="B16001">
        <v>152</v>
      </c>
      <c r="C16001" s="1" t="str">
        <f>HYPERLINK("http://www.rosaceae.org/gb/gbrowse/malus_x_domestica/?name=MDP0000189617","MDP0000189617")</f>
        <v>MDP0000189617</v>
      </c>
      <c r="D16001">
        <v>28.67</v>
      </c>
      <c r="E16001">
        <v>143</v>
      </c>
      <c r="F16001">
        <v>102</v>
      </c>
      <c r="G16001">
        <v>11</v>
      </c>
      <c r="H16001">
        <v>3</v>
      </c>
      <c r="I16001">
        <v>144</v>
      </c>
      <c r="J16001">
        <v>1</v>
      </c>
      <c r="K16001">
        <v>507</v>
      </c>
      <c r="L16001">
        <v>639</v>
      </c>
      <c r="M16001">
        <v>1</v>
      </c>
      <c r="N16001">
        <v>2.0932400000000001E-12</v>
      </c>
      <c r="O16001">
        <v>166</v>
      </c>
    </row>
    <row r="16002" spans="1:15" x14ac:dyDescent="0.25">
      <c r="A16002" t="s">
        <v>16015</v>
      </c>
      <c r="B16002">
        <v>243</v>
      </c>
      <c r="C16002" s="1" t="str">
        <f>HYPERLINK("http://www.rosaceae.org/gb/gbrowse/malus_x_domestica/?name=MDP0000276878","MDP0000276878")</f>
        <v>MDP0000276878</v>
      </c>
      <c r="D16002">
        <v>80.900000000000006</v>
      </c>
      <c r="E16002">
        <v>220</v>
      </c>
      <c r="F16002">
        <v>42</v>
      </c>
      <c r="G16002">
        <v>1</v>
      </c>
      <c r="H16002">
        <v>1</v>
      </c>
      <c r="I16002">
        <v>220</v>
      </c>
      <c r="J16002">
        <v>1</v>
      </c>
      <c r="K16002">
        <v>660</v>
      </c>
      <c r="L16002">
        <v>878</v>
      </c>
      <c r="M16002">
        <v>1</v>
      </c>
      <c r="N16002">
        <v>9.1687400000000007E-105</v>
      </c>
      <c r="O16002">
        <v>966</v>
      </c>
    </row>
    <row r="16003" spans="1:15" x14ac:dyDescent="0.25">
      <c r="A16003" t="s">
        <v>16016</v>
      </c>
      <c r="B16003">
        <v>261</v>
      </c>
      <c r="C16003" s="1" t="str">
        <f>HYPERLINK("http://www.rosaceae.org/gb/gbrowse/malus_x_domestica/?name=MDP0000306494","MDP0000306494")</f>
        <v>MDP0000306494</v>
      </c>
      <c r="D16003">
        <v>25.38</v>
      </c>
      <c r="E16003">
        <v>197</v>
      </c>
      <c r="F16003">
        <v>147</v>
      </c>
      <c r="G16003">
        <v>21</v>
      </c>
      <c r="H16003">
        <v>27</v>
      </c>
      <c r="I16003">
        <v>223</v>
      </c>
      <c r="J16003">
        <v>1</v>
      </c>
      <c r="K16003">
        <v>457</v>
      </c>
      <c r="L16003">
        <v>632</v>
      </c>
      <c r="M16003">
        <v>1</v>
      </c>
      <c r="N16003">
        <v>6.0630099999999999E-15</v>
      </c>
      <c r="O16003">
        <v>192</v>
      </c>
    </row>
    <row r="16004" spans="1:15" x14ac:dyDescent="0.25">
      <c r="A16004" t="s">
        <v>16017</v>
      </c>
      <c r="B16004">
        <v>103</v>
      </c>
      <c r="C16004" s="1" t="str">
        <f>HYPERLINK("http://www.rosaceae.org/gb/gbrowse/malus_x_domestica/?name=MDP0000294597","MDP0000294597")</f>
        <v>MDP0000294597</v>
      </c>
      <c r="D16004">
        <v>44.14</v>
      </c>
      <c r="E16004">
        <v>111</v>
      </c>
      <c r="F16004">
        <v>62</v>
      </c>
      <c r="G16004">
        <v>18</v>
      </c>
      <c r="H16004">
        <v>1</v>
      </c>
      <c r="I16004">
        <v>94</v>
      </c>
      <c r="J16004">
        <v>1</v>
      </c>
      <c r="K16004">
        <v>299</v>
      </c>
      <c r="L16004">
        <v>408</v>
      </c>
      <c r="M16004">
        <v>1</v>
      </c>
      <c r="N16004">
        <v>6.5576999999999995E-17</v>
      </c>
      <c r="O16004">
        <v>203</v>
      </c>
    </row>
    <row r="16005" spans="1:15" x14ac:dyDescent="0.25">
      <c r="A16005" t="s">
        <v>16018</v>
      </c>
      <c r="B16005">
        <v>637</v>
      </c>
      <c r="C16005" s="1" t="str">
        <f>HYPERLINK("http://www.rosaceae.org/gb/gbrowse/malus_x_domestica/?name=MDP0000269043","MDP0000269043")</f>
        <v>MDP0000269043</v>
      </c>
      <c r="D16005">
        <v>73.37</v>
      </c>
      <c r="E16005">
        <v>323</v>
      </c>
      <c r="F16005">
        <v>86</v>
      </c>
      <c r="G16005">
        <v>6</v>
      </c>
      <c r="H16005">
        <v>317</v>
      </c>
      <c r="I16005">
        <v>634</v>
      </c>
      <c r="J16005">
        <v>1</v>
      </c>
      <c r="K16005">
        <v>633</v>
      </c>
      <c r="L16005">
        <v>954</v>
      </c>
      <c r="M16005">
        <v>1</v>
      </c>
      <c r="N16005">
        <v>2.3875399999999998E-145</v>
      </c>
      <c r="O16005">
        <v>1321</v>
      </c>
    </row>
    <row r="16006" spans="1:15" x14ac:dyDescent="0.25">
      <c r="A16006" t="s">
        <v>16019</v>
      </c>
      <c r="B16006">
        <v>536</v>
      </c>
      <c r="C16006" s="1" t="str">
        <f>HYPERLINK("http://www.rosaceae.org/gb/gbrowse/malus_x_domestica/?name=MDP0000487715","MDP0000487715")</f>
        <v>MDP0000487715</v>
      </c>
      <c r="D16006">
        <v>50.59</v>
      </c>
      <c r="E16006">
        <v>585</v>
      </c>
      <c r="F16006">
        <v>289</v>
      </c>
      <c r="G16006">
        <v>52</v>
      </c>
      <c r="H16006">
        <v>3</v>
      </c>
      <c r="I16006">
        <v>536</v>
      </c>
      <c r="J16006">
        <v>1</v>
      </c>
      <c r="K16006">
        <v>274</v>
      </c>
      <c r="L16006">
        <v>857</v>
      </c>
      <c r="M16006">
        <v>1</v>
      </c>
      <c r="N16006">
        <v>1.0188500000000001E-146</v>
      </c>
      <c r="O16006">
        <v>1332</v>
      </c>
    </row>
    <row r="16007" spans="1:15" x14ac:dyDescent="0.25">
      <c r="A16007" t="s">
        <v>16020</v>
      </c>
      <c r="B16007">
        <v>159</v>
      </c>
      <c r="C16007" s="1" t="str">
        <f>HYPERLINK("http://www.rosaceae.org/gb/gbrowse/malus_x_domestica/?name=MDP0000917513","MDP0000917513")</f>
        <v>MDP0000917513</v>
      </c>
      <c r="D16007">
        <v>46.63</v>
      </c>
      <c r="E16007">
        <v>223</v>
      </c>
      <c r="F16007">
        <v>119</v>
      </c>
      <c r="G16007">
        <v>64</v>
      </c>
      <c r="H16007">
        <v>1</v>
      </c>
      <c r="I16007">
        <v>159</v>
      </c>
      <c r="J16007">
        <v>1</v>
      </c>
      <c r="K16007">
        <v>1</v>
      </c>
      <c r="L16007">
        <v>223</v>
      </c>
      <c r="M16007">
        <v>1</v>
      </c>
      <c r="N16007">
        <v>1.9309E-42</v>
      </c>
      <c r="O16007">
        <v>426</v>
      </c>
    </row>
    <row r="16008" spans="1:15" x14ac:dyDescent="0.25">
      <c r="A16008" t="s">
        <v>16021</v>
      </c>
      <c r="B16008">
        <v>703</v>
      </c>
      <c r="C16008" s="1" t="str">
        <f>HYPERLINK("http://www.rosaceae.org/gb/gbrowse/malus_x_domestica/?name=MDP0000945111","MDP0000945111")</f>
        <v>MDP0000945111</v>
      </c>
      <c r="D16008">
        <v>70.27</v>
      </c>
      <c r="E16008">
        <v>286</v>
      </c>
      <c r="F16008">
        <v>85</v>
      </c>
      <c r="G16008">
        <v>34</v>
      </c>
      <c r="H16008">
        <v>237</v>
      </c>
      <c r="I16008">
        <v>522</v>
      </c>
      <c r="J16008">
        <v>1</v>
      </c>
      <c r="K16008">
        <v>2</v>
      </c>
      <c r="L16008">
        <v>253</v>
      </c>
      <c r="M16008">
        <v>1</v>
      </c>
      <c r="N16008">
        <v>1.17144E-111</v>
      </c>
      <c r="O16008">
        <v>1031</v>
      </c>
    </row>
    <row r="16009" spans="1:15" x14ac:dyDescent="0.25">
      <c r="A16009" t="s">
        <v>16022</v>
      </c>
      <c r="B16009">
        <v>621</v>
      </c>
      <c r="C16009" s="1" t="str">
        <f>HYPERLINK("http://www.rosaceae.org/gb/gbrowse/malus_x_domestica/?name=MDP0000726820","MDP0000726820")</f>
        <v>MDP0000726820</v>
      </c>
      <c r="D16009">
        <v>84.84</v>
      </c>
      <c r="E16009">
        <v>627</v>
      </c>
      <c r="F16009">
        <v>95</v>
      </c>
      <c r="G16009">
        <v>7</v>
      </c>
      <c r="H16009">
        <v>1</v>
      </c>
      <c r="I16009">
        <v>621</v>
      </c>
      <c r="J16009">
        <v>1</v>
      </c>
      <c r="K16009">
        <v>1</v>
      </c>
      <c r="L16009">
        <v>626</v>
      </c>
      <c r="M16009">
        <v>1</v>
      </c>
      <c r="N16009">
        <v>0</v>
      </c>
      <c r="O16009">
        <v>2785</v>
      </c>
    </row>
    <row r="16010" spans="1:15" x14ac:dyDescent="0.25">
      <c r="A16010" t="s">
        <v>16023</v>
      </c>
      <c r="B16010">
        <v>532</v>
      </c>
      <c r="C16010" s="1" t="str">
        <f>HYPERLINK("http://www.rosaceae.org/gb/gbrowse/malus_x_domestica/?name=MDP0000314158","MDP0000314158")</f>
        <v>MDP0000314158</v>
      </c>
      <c r="D16010">
        <v>29.32</v>
      </c>
      <c r="E16010">
        <v>208</v>
      </c>
      <c r="F16010">
        <v>147</v>
      </c>
      <c r="G16010">
        <v>10</v>
      </c>
      <c r="H16010">
        <v>170</v>
      </c>
      <c r="I16010">
        <v>377</v>
      </c>
      <c r="J16010">
        <v>1</v>
      </c>
      <c r="K16010">
        <v>334</v>
      </c>
      <c r="L16010">
        <v>531</v>
      </c>
      <c r="M16010">
        <v>1</v>
      </c>
      <c r="N16010">
        <v>7.3275899999999998E-14</v>
      </c>
      <c r="O16010">
        <v>186</v>
      </c>
    </row>
    <row r="16011" spans="1:15" x14ac:dyDescent="0.25">
      <c r="A16011" t="s">
        <v>16024</v>
      </c>
      <c r="B16011">
        <v>486</v>
      </c>
      <c r="C16011" s="1" t="str">
        <f>HYPERLINK("http://www.rosaceae.org/gb/gbrowse/malus_x_domestica/?name=MDP0000234849","MDP0000234849")</f>
        <v>MDP0000234849</v>
      </c>
      <c r="D16011">
        <v>63.63</v>
      </c>
      <c r="E16011">
        <v>407</v>
      </c>
      <c r="F16011">
        <v>148</v>
      </c>
      <c r="G16011">
        <v>13</v>
      </c>
      <c r="H16011">
        <v>89</v>
      </c>
      <c r="I16011">
        <v>484</v>
      </c>
      <c r="J16011">
        <v>1</v>
      </c>
      <c r="K16011">
        <v>1</v>
      </c>
      <c r="L16011">
        <v>405</v>
      </c>
      <c r="M16011">
        <v>1</v>
      </c>
      <c r="N16011">
        <v>1.4219199999999999E-144</v>
      </c>
      <c r="O16011">
        <v>1313</v>
      </c>
    </row>
    <row r="16012" spans="1:15" x14ac:dyDescent="0.25">
      <c r="A16012" t="s">
        <v>16025</v>
      </c>
      <c r="B16012">
        <v>407</v>
      </c>
      <c r="C16012" s="1" t="str">
        <f>HYPERLINK("http://www.rosaceae.org/gb/gbrowse/malus_x_domestica/?name=MDP0000314371","MDP0000314371")</f>
        <v>MDP0000314371</v>
      </c>
      <c r="D16012">
        <v>34.44</v>
      </c>
      <c r="E16012">
        <v>360</v>
      </c>
      <c r="F16012">
        <v>236</v>
      </c>
      <c r="G16012">
        <v>51</v>
      </c>
      <c r="H16012">
        <v>1</v>
      </c>
      <c r="I16012">
        <v>349</v>
      </c>
      <c r="J16012">
        <v>1</v>
      </c>
      <c r="K16012">
        <v>1</v>
      </c>
      <c r="L16012">
        <v>320</v>
      </c>
      <c r="M16012">
        <v>1</v>
      </c>
      <c r="N16012">
        <v>2.8502300000000001E-43</v>
      </c>
      <c r="O16012">
        <v>439</v>
      </c>
    </row>
    <row r="16013" spans="1:15" x14ac:dyDescent="0.25">
      <c r="A16013" t="s">
        <v>16026</v>
      </c>
      <c r="B16013">
        <v>250</v>
      </c>
      <c r="C16013" s="1" t="str">
        <f>HYPERLINK("http://www.rosaceae.org/gb/gbrowse/malus_x_domestica/?name=MDP0000302499","MDP0000302499")</f>
        <v>MDP0000302499</v>
      </c>
      <c r="D16013">
        <v>86.86</v>
      </c>
      <c r="E16013">
        <v>99</v>
      </c>
      <c r="F16013">
        <v>13</v>
      </c>
      <c r="G16013">
        <v>0</v>
      </c>
      <c r="H16013">
        <v>151</v>
      </c>
      <c r="I16013">
        <v>249</v>
      </c>
      <c r="J16013">
        <v>1</v>
      </c>
      <c r="K16013">
        <v>231</v>
      </c>
      <c r="L16013">
        <v>329</v>
      </c>
      <c r="M16013">
        <v>1</v>
      </c>
      <c r="N16013">
        <v>2.3307499999999999E-45</v>
      </c>
      <c r="O16013">
        <v>454</v>
      </c>
    </row>
    <row r="16014" spans="1:15" x14ac:dyDescent="0.25">
      <c r="A16014" t="s">
        <v>16027</v>
      </c>
      <c r="B16014">
        <v>575</v>
      </c>
      <c r="C16014" s="1" t="str">
        <f>HYPERLINK("http://www.rosaceae.org/gb/gbrowse/malus_x_domestica/?name=MDP0000226551","MDP0000226551")</f>
        <v>MDP0000226551</v>
      </c>
      <c r="D16014">
        <v>56.3</v>
      </c>
      <c r="E16014">
        <v>492</v>
      </c>
      <c r="F16014">
        <v>215</v>
      </c>
      <c r="G16014">
        <v>47</v>
      </c>
      <c r="H16014">
        <v>115</v>
      </c>
      <c r="I16014">
        <v>572</v>
      </c>
      <c r="J16014">
        <v>1</v>
      </c>
      <c r="K16014">
        <v>1</v>
      </c>
      <c r="L16014">
        <v>479</v>
      </c>
      <c r="M16014">
        <v>1</v>
      </c>
      <c r="N16014">
        <v>7.2836799999999999E-146</v>
      </c>
      <c r="O16014">
        <v>1325</v>
      </c>
    </row>
    <row r="16015" spans="1:15" x14ac:dyDescent="0.25">
      <c r="A16015" t="s">
        <v>16028</v>
      </c>
      <c r="B16015">
        <v>214</v>
      </c>
      <c r="C16015" s="1" t="str">
        <f>HYPERLINK("http://www.rosaceae.org/gb/gbrowse/malus_x_domestica/?name=MDP0000216956","MDP0000216956")</f>
        <v>MDP0000216956</v>
      </c>
      <c r="D16015">
        <v>26.02</v>
      </c>
      <c r="E16015">
        <v>219</v>
      </c>
      <c r="F16015">
        <v>162</v>
      </c>
      <c r="G16015">
        <v>31</v>
      </c>
      <c r="H16015">
        <v>22</v>
      </c>
      <c r="I16015">
        <v>210</v>
      </c>
      <c r="J16015">
        <v>1</v>
      </c>
      <c r="K16015">
        <v>24</v>
      </c>
      <c r="L16015">
        <v>241</v>
      </c>
      <c r="M16015">
        <v>1</v>
      </c>
      <c r="N16015">
        <v>2.0374100000000001E-15</v>
      </c>
      <c r="O16015">
        <v>195</v>
      </c>
    </row>
    <row r="16016" spans="1:15" x14ac:dyDescent="0.25">
      <c r="A16016" t="s">
        <v>16029</v>
      </c>
      <c r="B16016">
        <v>526</v>
      </c>
      <c r="C16016" s="1" t="str">
        <f>HYPERLINK("http://www.rosaceae.org/gb/gbrowse/malus_x_domestica/?name=MDP0000293910","MDP0000293910")</f>
        <v>MDP0000293910</v>
      </c>
      <c r="D16016">
        <v>76.69</v>
      </c>
      <c r="E16016">
        <v>532</v>
      </c>
      <c r="F16016">
        <v>124</v>
      </c>
      <c r="G16016">
        <v>7</v>
      </c>
      <c r="H16016">
        <v>1</v>
      </c>
      <c r="I16016">
        <v>526</v>
      </c>
      <c r="J16016">
        <v>1</v>
      </c>
      <c r="K16016">
        <v>1</v>
      </c>
      <c r="L16016">
        <v>531</v>
      </c>
      <c r="M16016">
        <v>1</v>
      </c>
      <c r="N16016">
        <v>0</v>
      </c>
      <c r="O16016">
        <v>2155</v>
      </c>
    </row>
    <row r="16017" spans="1:15" x14ac:dyDescent="0.25">
      <c r="A16017" t="s">
        <v>16030</v>
      </c>
      <c r="B16017">
        <v>802</v>
      </c>
      <c r="C16017" s="1" t="str">
        <f>HYPERLINK("http://www.rosaceae.org/gb/gbrowse/malus_x_domestica/?name=MDP0000225980","MDP0000225980")</f>
        <v>MDP0000225980</v>
      </c>
      <c r="D16017">
        <v>78.33</v>
      </c>
      <c r="E16017">
        <v>803</v>
      </c>
      <c r="F16017">
        <v>174</v>
      </c>
      <c r="G16017">
        <v>5</v>
      </c>
      <c r="H16017">
        <v>1</v>
      </c>
      <c r="I16017">
        <v>802</v>
      </c>
      <c r="J16017">
        <v>1</v>
      </c>
      <c r="K16017">
        <v>1</v>
      </c>
      <c r="L16017">
        <v>799</v>
      </c>
      <c r="M16017">
        <v>1</v>
      </c>
      <c r="N16017">
        <v>0</v>
      </c>
      <c r="O16017">
        <v>3272</v>
      </c>
    </row>
    <row r="16018" spans="1:15" x14ac:dyDescent="0.25">
      <c r="A16018" t="s">
        <v>16031</v>
      </c>
      <c r="B16018">
        <v>186</v>
      </c>
      <c r="C16018" s="1" t="str">
        <f>HYPERLINK("http://www.rosaceae.org/gb/gbrowse/malus_x_domestica/?name=MDP0000582139","MDP0000582139")</f>
        <v>MDP0000582139</v>
      </c>
      <c r="D16018">
        <v>55.31</v>
      </c>
      <c r="E16018">
        <v>94</v>
      </c>
      <c r="F16018">
        <v>42</v>
      </c>
      <c r="G16018">
        <v>0</v>
      </c>
      <c r="H16018">
        <v>71</v>
      </c>
      <c r="I16018">
        <v>164</v>
      </c>
      <c r="J16018">
        <v>1</v>
      </c>
      <c r="K16018">
        <v>221</v>
      </c>
      <c r="L16018">
        <v>314</v>
      </c>
      <c r="M16018">
        <v>1</v>
      </c>
      <c r="N16018">
        <v>7.47827E-24</v>
      </c>
      <c r="O16018">
        <v>267</v>
      </c>
    </row>
    <row r="16019" spans="1:15" x14ac:dyDescent="0.25">
      <c r="A16019" t="s">
        <v>16032</v>
      </c>
      <c r="B16019">
        <v>398</v>
      </c>
      <c r="C16019" s="1" t="str">
        <f>HYPERLINK("http://www.rosaceae.org/gb/gbrowse/malus_x_domestica/?name=MDP0000225862","MDP0000225862")</f>
        <v>MDP0000225862</v>
      </c>
      <c r="D16019">
        <v>65.59</v>
      </c>
      <c r="E16019">
        <v>279</v>
      </c>
      <c r="F16019">
        <v>96</v>
      </c>
      <c r="G16019">
        <v>20</v>
      </c>
      <c r="H16019">
        <v>133</v>
      </c>
      <c r="I16019">
        <v>397</v>
      </c>
      <c r="J16019">
        <v>1</v>
      </c>
      <c r="K16019">
        <v>14</v>
      </c>
      <c r="L16019">
        <v>286</v>
      </c>
      <c r="M16019">
        <v>1</v>
      </c>
      <c r="N16019">
        <v>1.8406200000000001E-94</v>
      </c>
      <c r="O16019">
        <v>880</v>
      </c>
    </row>
    <row r="16020" spans="1:15" x14ac:dyDescent="0.25">
      <c r="A16020" t="s">
        <v>16033</v>
      </c>
      <c r="B16020">
        <v>701</v>
      </c>
      <c r="C16020" s="1" t="str">
        <f>HYPERLINK("http://www.rosaceae.org/gb/gbrowse/malus_x_domestica/?name=MDP0000125949","MDP0000125949")</f>
        <v>MDP0000125949</v>
      </c>
      <c r="D16020">
        <v>28.13</v>
      </c>
      <c r="E16020">
        <v>750</v>
      </c>
      <c r="F16020">
        <v>539</v>
      </c>
      <c r="G16020">
        <v>125</v>
      </c>
      <c r="H16020">
        <v>1</v>
      </c>
      <c r="I16020">
        <v>680</v>
      </c>
      <c r="J16020">
        <v>1</v>
      </c>
      <c r="K16020">
        <v>1</v>
      </c>
      <c r="L16020">
        <v>695</v>
      </c>
      <c r="M16020">
        <v>1</v>
      </c>
      <c r="N16020">
        <v>3.80192E-58</v>
      </c>
      <c r="O16020">
        <v>569</v>
      </c>
    </row>
    <row r="16021" spans="1:15" x14ac:dyDescent="0.25">
      <c r="A16021" t="s">
        <v>16034</v>
      </c>
      <c r="B16021">
        <v>300</v>
      </c>
      <c r="C16021" s="1" t="str">
        <f>HYPERLINK("http://www.rosaceae.org/gb/gbrowse/malus_x_domestica/?name=MDP0000936748","MDP0000936748")</f>
        <v>MDP0000936748</v>
      </c>
      <c r="D16021">
        <v>70.58</v>
      </c>
      <c r="E16021">
        <v>34</v>
      </c>
      <c r="F16021">
        <v>10</v>
      </c>
      <c r="G16021">
        <v>1</v>
      </c>
      <c r="H16021">
        <v>42</v>
      </c>
      <c r="I16021">
        <v>74</v>
      </c>
      <c r="J16021">
        <v>1</v>
      </c>
      <c r="K16021">
        <v>62</v>
      </c>
      <c r="L16021">
        <v>95</v>
      </c>
      <c r="M16021">
        <v>1</v>
      </c>
      <c r="N16021">
        <v>8.1412299999999996E-7</v>
      </c>
      <c r="O16021">
        <v>123</v>
      </c>
    </row>
    <row r="16022" spans="1:15" x14ac:dyDescent="0.25">
      <c r="A16022" t="s">
        <v>16035</v>
      </c>
      <c r="B16022">
        <v>130</v>
      </c>
      <c r="C16022" s="1" t="str">
        <f>HYPERLINK("http://www.rosaceae.org/gb/gbrowse/malus_x_domestica/?name=MDP0000620193","MDP0000620193")</f>
        <v>MDP0000620193</v>
      </c>
      <c r="D16022">
        <v>53.96</v>
      </c>
      <c r="E16022">
        <v>63</v>
      </c>
      <c r="F16022">
        <v>29</v>
      </c>
      <c r="G16022">
        <v>0</v>
      </c>
      <c r="H16022">
        <v>61</v>
      </c>
      <c r="I16022">
        <v>123</v>
      </c>
      <c r="J16022">
        <v>1</v>
      </c>
      <c r="K16022">
        <v>1</v>
      </c>
      <c r="L16022">
        <v>63</v>
      </c>
      <c r="M16022">
        <v>1</v>
      </c>
      <c r="N16022">
        <v>1.8273400000000002E-12</v>
      </c>
      <c r="O16022">
        <v>166</v>
      </c>
    </row>
    <row r="16023" spans="1:15" x14ac:dyDescent="0.25">
      <c r="A16023" t="s">
        <v>16036</v>
      </c>
      <c r="B16023">
        <v>107</v>
      </c>
      <c r="C16023" s="1" t="str">
        <f>HYPERLINK("http://www.rosaceae.org/gb/gbrowse/malus_x_domestica/?name=MDP0000814899","MDP0000814899")</f>
        <v>MDP0000814899</v>
      </c>
      <c r="D16023">
        <v>69.150000000000006</v>
      </c>
      <c r="E16023">
        <v>107</v>
      </c>
      <c r="F16023">
        <v>33</v>
      </c>
      <c r="G16023">
        <v>1</v>
      </c>
      <c r="H16023">
        <v>1</v>
      </c>
      <c r="I16023">
        <v>107</v>
      </c>
      <c r="J16023">
        <v>1</v>
      </c>
      <c r="K16023">
        <v>703</v>
      </c>
      <c r="L16023">
        <v>808</v>
      </c>
      <c r="M16023">
        <v>1</v>
      </c>
      <c r="N16023">
        <v>2.48422E-38</v>
      </c>
      <c r="O16023">
        <v>388</v>
      </c>
    </row>
    <row r="16024" spans="1:15" x14ac:dyDescent="0.25">
      <c r="A16024" t="s">
        <v>16037</v>
      </c>
      <c r="B16024">
        <v>462</v>
      </c>
      <c r="C16024" s="1" t="str">
        <f>HYPERLINK("http://www.rosaceae.org/gb/gbrowse/malus_x_domestica/?name=MDP0000543445","MDP0000543445")</f>
        <v>MDP0000543445</v>
      </c>
      <c r="D16024">
        <v>46.92</v>
      </c>
      <c r="E16024">
        <v>456</v>
      </c>
      <c r="F16024">
        <v>242</v>
      </c>
      <c r="G16024">
        <v>12</v>
      </c>
      <c r="H16024">
        <v>13</v>
      </c>
      <c r="I16024">
        <v>457</v>
      </c>
      <c r="J16024">
        <v>1</v>
      </c>
      <c r="K16024">
        <v>24</v>
      </c>
      <c r="L16024">
        <v>478</v>
      </c>
      <c r="M16024">
        <v>1</v>
      </c>
      <c r="N16024">
        <v>3.6023499999999999E-108</v>
      </c>
      <c r="O16024">
        <v>999</v>
      </c>
    </row>
    <row r="16025" spans="1:15" x14ac:dyDescent="0.25">
      <c r="A16025" t="s">
        <v>16038</v>
      </c>
      <c r="B16025">
        <v>943</v>
      </c>
      <c r="C16025" s="1" t="str">
        <f>HYPERLINK("http://www.rosaceae.org/gb/gbrowse/malus_x_domestica/?name=MDP0000213445","MDP0000213445")</f>
        <v>MDP0000213445</v>
      </c>
      <c r="D16025">
        <v>45.87</v>
      </c>
      <c r="E16025">
        <v>957</v>
      </c>
      <c r="F16025">
        <v>518</v>
      </c>
      <c r="G16025">
        <v>52</v>
      </c>
      <c r="H16025">
        <v>1</v>
      </c>
      <c r="I16025">
        <v>942</v>
      </c>
      <c r="J16025">
        <v>1</v>
      </c>
      <c r="K16025">
        <v>6</v>
      </c>
      <c r="L16025">
        <v>925</v>
      </c>
      <c r="M16025">
        <v>1</v>
      </c>
      <c r="N16025">
        <v>0</v>
      </c>
      <c r="O16025">
        <v>1932</v>
      </c>
    </row>
    <row r="16026" spans="1:15" x14ac:dyDescent="0.25">
      <c r="A16026" t="s">
        <v>16039</v>
      </c>
      <c r="B16026">
        <v>1078</v>
      </c>
      <c r="C16026" s="1" t="str">
        <f>HYPERLINK("http://www.rosaceae.org/gb/gbrowse/malus_x_domestica/?name=MDP0000120325","MDP0000120325")</f>
        <v>MDP0000120325</v>
      </c>
      <c r="D16026">
        <v>40.19</v>
      </c>
      <c r="E16026">
        <v>724</v>
      </c>
      <c r="F16026">
        <v>433</v>
      </c>
      <c r="G16026">
        <v>119</v>
      </c>
      <c r="H16026">
        <v>453</v>
      </c>
      <c r="I16026">
        <v>1078</v>
      </c>
      <c r="J16026">
        <v>1</v>
      </c>
      <c r="K16026">
        <v>552</v>
      </c>
      <c r="L16026">
        <v>1254</v>
      </c>
      <c r="M16026">
        <v>1</v>
      </c>
      <c r="N16026">
        <v>2.0956100000000002E-121</v>
      </c>
      <c r="O16026">
        <v>1117</v>
      </c>
    </row>
    <row r="16027" spans="1:15" x14ac:dyDescent="0.25">
      <c r="A16027" t="s">
        <v>16040</v>
      </c>
      <c r="B16027">
        <v>425</v>
      </c>
      <c r="C16027" s="1" t="str">
        <f>HYPERLINK("http://www.rosaceae.org/gb/gbrowse/malus_x_domestica/?name=MDP0000307439","MDP0000307439")</f>
        <v>MDP0000307439</v>
      </c>
      <c r="D16027">
        <v>90.06</v>
      </c>
      <c r="E16027">
        <v>322</v>
      </c>
      <c r="F16027">
        <v>32</v>
      </c>
      <c r="G16027">
        <v>6</v>
      </c>
      <c r="H16027">
        <v>101</v>
      </c>
      <c r="I16027">
        <v>422</v>
      </c>
      <c r="J16027">
        <v>1</v>
      </c>
      <c r="K16027">
        <v>1</v>
      </c>
      <c r="L16027">
        <v>316</v>
      </c>
      <c r="M16027">
        <v>1</v>
      </c>
      <c r="N16027">
        <v>9.5894199999999995E-174</v>
      </c>
      <c r="O16027">
        <v>1564</v>
      </c>
    </row>
    <row r="16028" spans="1:15" x14ac:dyDescent="0.25">
      <c r="A16028" t="s">
        <v>16041</v>
      </c>
      <c r="B16028">
        <v>317</v>
      </c>
      <c r="C16028" s="1" t="str">
        <f>HYPERLINK("http://www.rosaceae.org/gb/gbrowse/malus_x_domestica/?name=MDP0000777771","MDP0000777771")</f>
        <v>MDP0000777771</v>
      </c>
      <c r="D16028">
        <v>68.94</v>
      </c>
      <c r="E16028">
        <v>161</v>
      </c>
      <c r="F16028">
        <v>50</v>
      </c>
      <c r="G16028">
        <v>3</v>
      </c>
      <c r="H16028">
        <v>159</v>
      </c>
      <c r="I16028">
        <v>316</v>
      </c>
      <c r="J16028">
        <v>1</v>
      </c>
      <c r="K16028">
        <v>1</v>
      </c>
      <c r="L16028">
        <v>161</v>
      </c>
      <c r="M16028">
        <v>1</v>
      </c>
      <c r="N16028">
        <v>1.0649000000000001E-56</v>
      </c>
      <c r="O16028">
        <v>553</v>
      </c>
    </row>
    <row r="16029" spans="1:15" x14ac:dyDescent="0.25">
      <c r="A16029" t="s">
        <v>16042</v>
      </c>
      <c r="B16029">
        <v>260</v>
      </c>
      <c r="C16029" s="1" t="str">
        <f>HYPERLINK("http://www.rosaceae.org/gb/gbrowse/malus_x_domestica/?name=MDP0000296018","MDP0000296018")</f>
        <v>MDP0000296018</v>
      </c>
      <c r="D16029">
        <v>71.25</v>
      </c>
      <c r="E16029">
        <v>160</v>
      </c>
      <c r="F16029">
        <v>46</v>
      </c>
      <c r="G16029">
        <v>16</v>
      </c>
      <c r="H16029">
        <v>1</v>
      </c>
      <c r="I16029">
        <v>146</v>
      </c>
      <c r="J16029">
        <v>1</v>
      </c>
      <c r="K16029">
        <v>412</v>
      </c>
      <c r="L16029">
        <v>569</v>
      </c>
      <c r="M16029">
        <v>1</v>
      </c>
      <c r="N16029">
        <v>1.3463699999999999E-61</v>
      </c>
      <c r="O16029">
        <v>594</v>
      </c>
    </row>
    <row r="16030" spans="1:15" x14ac:dyDescent="0.25">
      <c r="A16030" t="s">
        <v>16043</v>
      </c>
      <c r="B16030">
        <v>303</v>
      </c>
      <c r="C16030" s="1" t="str">
        <f>HYPERLINK("http://www.rosaceae.org/gb/gbrowse/malus_x_domestica/?name=MDP0000174796","MDP0000174796")</f>
        <v>MDP0000174796</v>
      </c>
      <c r="D16030">
        <v>61.56</v>
      </c>
      <c r="E16030">
        <v>294</v>
      </c>
      <c r="F16030">
        <v>113</v>
      </c>
      <c r="G16030">
        <v>0</v>
      </c>
      <c r="H16030">
        <v>1</v>
      </c>
      <c r="I16030">
        <v>294</v>
      </c>
      <c r="J16030">
        <v>1</v>
      </c>
      <c r="K16030">
        <v>231</v>
      </c>
      <c r="L16030">
        <v>524</v>
      </c>
      <c r="M16030">
        <v>1</v>
      </c>
      <c r="N16030">
        <v>5.16552E-103</v>
      </c>
      <c r="O16030">
        <v>952</v>
      </c>
    </row>
    <row r="16031" spans="1:15" x14ac:dyDescent="0.25">
      <c r="A16031" t="s">
        <v>16044</v>
      </c>
      <c r="B16031">
        <v>234</v>
      </c>
      <c r="C16031" s="1" t="str">
        <f>HYPERLINK("http://www.rosaceae.org/gb/gbrowse/malus_x_domestica/?name=MDP0000306435","MDP0000306435")</f>
        <v>MDP0000306435</v>
      </c>
      <c r="D16031">
        <v>64.44</v>
      </c>
      <c r="E16031">
        <v>45</v>
      </c>
      <c r="F16031">
        <v>16</v>
      </c>
      <c r="G16031">
        <v>1</v>
      </c>
      <c r="H16031">
        <v>1</v>
      </c>
      <c r="I16031">
        <v>45</v>
      </c>
      <c r="J16031">
        <v>1</v>
      </c>
      <c r="K16031">
        <v>440</v>
      </c>
      <c r="L16031">
        <v>483</v>
      </c>
      <c r="M16031">
        <v>1</v>
      </c>
      <c r="N16031">
        <v>7.3108600000000001E-8</v>
      </c>
      <c r="O16031">
        <v>130</v>
      </c>
    </row>
    <row r="16032" spans="1:15" x14ac:dyDescent="0.25">
      <c r="A16032" t="s">
        <v>16045</v>
      </c>
      <c r="B16032">
        <v>355</v>
      </c>
      <c r="C16032" s="1" t="str">
        <f>HYPERLINK("http://www.rosaceae.org/gb/gbrowse/malus_x_domestica/?name=MDP0000302984","MDP0000302984")</f>
        <v>MDP0000302984</v>
      </c>
      <c r="D16032">
        <v>32.64</v>
      </c>
      <c r="E16032">
        <v>340</v>
      </c>
      <c r="F16032">
        <v>229</v>
      </c>
      <c r="G16032">
        <v>34</v>
      </c>
      <c r="H16032">
        <v>16</v>
      </c>
      <c r="I16032">
        <v>354</v>
      </c>
      <c r="J16032">
        <v>1</v>
      </c>
      <c r="K16032">
        <v>450</v>
      </c>
      <c r="L16032">
        <v>756</v>
      </c>
      <c r="M16032">
        <v>1</v>
      </c>
      <c r="N16032">
        <v>1.0752499999999999E-44</v>
      </c>
      <c r="O16032">
        <v>450</v>
      </c>
    </row>
    <row r="16033" spans="1:15" x14ac:dyDescent="0.25">
      <c r="A16033" t="s">
        <v>16046</v>
      </c>
      <c r="B16033">
        <v>208</v>
      </c>
      <c r="C16033" s="1" t="str">
        <f>HYPERLINK("http://www.rosaceae.org/gb/gbrowse/malus_x_domestica/?name=MDP0000239826","MDP0000239826")</f>
        <v>MDP0000239826</v>
      </c>
      <c r="D16033">
        <v>32.36</v>
      </c>
      <c r="E16033">
        <v>207</v>
      </c>
      <c r="F16033">
        <v>140</v>
      </c>
      <c r="G16033">
        <v>23</v>
      </c>
      <c r="H16033">
        <v>1</v>
      </c>
      <c r="I16033">
        <v>206</v>
      </c>
      <c r="J16033">
        <v>1</v>
      </c>
      <c r="K16033">
        <v>1</v>
      </c>
      <c r="L16033">
        <v>185</v>
      </c>
      <c r="M16033">
        <v>1</v>
      </c>
      <c r="N16033">
        <v>3.9531000000000001E-19</v>
      </c>
      <c r="O16033">
        <v>227</v>
      </c>
    </row>
    <row r="16034" spans="1:15" x14ac:dyDescent="0.25">
      <c r="A16034" t="s">
        <v>16047</v>
      </c>
      <c r="B16034">
        <v>820</v>
      </c>
      <c r="C16034" s="1" t="str">
        <f>HYPERLINK("http://www.rosaceae.org/gb/gbrowse/malus_x_domestica/?name=MDP0000273622","MDP0000273622")</f>
        <v>MDP0000273622</v>
      </c>
      <c r="D16034">
        <v>35.15</v>
      </c>
      <c r="E16034">
        <v>549</v>
      </c>
      <c r="F16034">
        <v>356</v>
      </c>
      <c r="G16034">
        <v>97</v>
      </c>
      <c r="H16034">
        <v>10</v>
      </c>
      <c r="I16034">
        <v>474</v>
      </c>
      <c r="J16034">
        <v>1</v>
      </c>
      <c r="K16034">
        <v>3</v>
      </c>
      <c r="L16034">
        <v>538</v>
      </c>
      <c r="M16034">
        <v>1</v>
      </c>
      <c r="N16034">
        <v>5.3009399999999998E-55</v>
      </c>
      <c r="O16034">
        <v>543</v>
      </c>
    </row>
    <row r="16035" spans="1:15" x14ac:dyDescent="0.25">
      <c r="A16035" t="s">
        <v>16048</v>
      </c>
      <c r="B16035">
        <v>428</v>
      </c>
      <c r="C16035" s="1" t="str">
        <f>HYPERLINK("http://www.rosaceae.org/gb/gbrowse/malus_x_domestica/?name=MDP0000262982","MDP0000262982")</f>
        <v>MDP0000262982</v>
      </c>
      <c r="D16035">
        <v>72.02</v>
      </c>
      <c r="E16035">
        <v>404</v>
      </c>
      <c r="F16035">
        <v>113</v>
      </c>
      <c r="G16035">
        <v>1</v>
      </c>
      <c r="H16035">
        <v>13</v>
      </c>
      <c r="I16035">
        <v>416</v>
      </c>
      <c r="J16035">
        <v>1</v>
      </c>
      <c r="K16035">
        <v>9</v>
      </c>
      <c r="L16035">
        <v>411</v>
      </c>
      <c r="M16035">
        <v>1</v>
      </c>
      <c r="N16035">
        <v>7.8457900000000002E-179</v>
      </c>
      <c r="O16035">
        <v>1608</v>
      </c>
    </row>
    <row r="16036" spans="1:15" x14ac:dyDescent="0.25">
      <c r="A16036" t="s">
        <v>16049</v>
      </c>
      <c r="B16036">
        <v>306</v>
      </c>
      <c r="C16036" s="1" t="str">
        <f>HYPERLINK("http://www.rosaceae.org/gb/gbrowse/malus_x_domestica/?name=MDP0000311783","MDP0000311783")</f>
        <v>MDP0000311783</v>
      </c>
      <c r="D16036">
        <v>69.08</v>
      </c>
      <c r="E16036">
        <v>317</v>
      </c>
      <c r="F16036">
        <v>98</v>
      </c>
      <c r="G16036">
        <v>21</v>
      </c>
      <c r="H16036">
        <v>1</v>
      </c>
      <c r="I16036">
        <v>300</v>
      </c>
      <c r="J16036">
        <v>1</v>
      </c>
      <c r="K16036">
        <v>1</v>
      </c>
      <c r="L16036">
        <v>313</v>
      </c>
      <c r="M16036">
        <v>1</v>
      </c>
      <c r="N16036">
        <v>2.3432600000000001E-118</v>
      </c>
      <c r="O16036">
        <v>1085</v>
      </c>
    </row>
    <row r="16037" spans="1:15" x14ac:dyDescent="0.25">
      <c r="A16037" t="s">
        <v>16050</v>
      </c>
      <c r="B16037">
        <v>164</v>
      </c>
      <c r="C16037" s="1" t="str">
        <f>HYPERLINK("http://www.rosaceae.org/gb/gbrowse/malus_x_domestica/?name=MDP0000711379","MDP0000711379")</f>
        <v>MDP0000711379</v>
      </c>
      <c r="D16037">
        <v>69.290000000000006</v>
      </c>
      <c r="E16037">
        <v>114</v>
      </c>
      <c r="F16037">
        <v>35</v>
      </c>
      <c r="G16037">
        <v>0</v>
      </c>
      <c r="H16037">
        <v>29</v>
      </c>
      <c r="I16037">
        <v>142</v>
      </c>
      <c r="J16037">
        <v>1</v>
      </c>
      <c r="K16037">
        <v>26</v>
      </c>
      <c r="L16037">
        <v>139</v>
      </c>
      <c r="M16037">
        <v>1</v>
      </c>
      <c r="N16037">
        <v>2.2974700000000001E-42</v>
      </c>
      <c r="O16037">
        <v>425</v>
      </c>
    </row>
    <row r="16038" spans="1:15" x14ac:dyDescent="0.25">
      <c r="A16038" t="s">
        <v>16051</v>
      </c>
      <c r="B16038">
        <v>552</v>
      </c>
      <c r="C16038" s="1" t="str">
        <f>HYPERLINK("http://www.rosaceae.org/gb/gbrowse/malus_x_domestica/?name=MDP0000903256","MDP0000903256")</f>
        <v>MDP0000903256</v>
      </c>
      <c r="D16038">
        <v>74.63</v>
      </c>
      <c r="E16038">
        <v>552</v>
      </c>
      <c r="F16038">
        <v>140</v>
      </c>
      <c r="G16038">
        <v>7</v>
      </c>
      <c r="H16038">
        <v>1</v>
      </c>
      <c r="I16038">
        <v>545</v>
      </c>
      <c r="J16038">
        <v>1</v>
      </c>
      <c r="K16038">
        <v>35</v>
      </c>
      <c r="L16038">
        <v>586</v>
      </c>
      <c r="M16038">
        <v>1</v>
      </c>
      <c r="N16038">
        <v>0</v>
      </c>
      <c r="O16038">
        <v>2243</v>
      </c>
    </row>
    <row r="16039" spans="1:15" x14ac:dyDescent="0.25">
      <c r="A16039" t="s">
        <v>16052</v>
      </c>
      <c r="B16039">
        <v>204</v>
      </c>
      <c r="C16039" s="1" t="str">
        <f>HYPERLINK("http://www.rosaceae.org/gb/gbrowse/malus_x_domestica/?name=MDP0000734582","MDP0000734582")</f>
        <v>MDP0000734582</v>
      </c>
      <c r="D16039">
        <v>55.55</v>
      </c>
      <c r="E16039">
        <v>81</v>
      </c>
      <c r="F16039">
        <v>36</v>
      </c>
      <c r="G16039">
        <v>8</v>
      </c>
      <c r="H16039">
        <v>29</v>
      </c>
      <c r="I16039">
        <v>103</v>
      </c>
      <c r="J16039">
        <v>1</v>
      </c>
      <c r="K16039">
        <v>44</v>
      </c>
      <c r="L16039">
        <v>122</v>
      </c>
      <c r="M16039">
        <v>1</v>
      </c>
      <c r="N16039">
        <v>1.9090599999999999E-12</v>
      </c>
      <c r="O16039">
        <v>169</v>
      </c>
    </row>
    <row r="16040" spans="1:15" x14ac:dyDescent="0.25">
      <c r="A16040" t="s">
        <v>16053</v>
      </c>
      <c r="B16040">
        <v>620</v>
      </c>
      <c r="C16040" s="1" t="str">
        <f>HYPERLINK("http://www.rosaceae.org/gb/gbrowse/malus_x_domestica/?name=MDP0000231650","MDP0000231650")</f>
        <v>MDP0000231650</v>
      </c>
      <c r="D16040">
        <v>80.56</v>
      </c>
      <c r="E16040">
        <v>427</v>
      </c>
      <c r="F16040">
        <v>83</v>
      </c>
      <c r="G16040">
        <v>9</v>
      </c>
      <c r="H16040">
        <v>191</v>
      </c>
      <c r="I16040">
        <v>612</v>
      </c>
      <c r="J16040">
        <v>1</v>
      </c>
      <c r="K16040">
        <v>1</v>
      </c>
      <c r="L16040">
        <v>423</v>
      </c>
      <c r="M16040">
        <v>1</v>
      </c>
      <c r="N16040">
        <v>0</v>
      </c>
      <c r="O16040">
        <v>1775</v>
      </c>
    </row>
    <row r="16041" spans="1:15" x14ac:dyDescent="0.25">
      <c r="A16041" t="s">
        <v>16054</v>
      </c>
      <c r="B16041">
        <v>658</v>
      </c>
      <c r="C16041" s="1" t="str">
        <f>HYPERLINK("http://www.rosaceae.org/gb/gbrowse/malus_x_domestica/?name=MDP0000285589","MDP0000285589")</f>
        <v>MDP0000285589</v>
      </c>
      <c r="D16041">
        <v>74.06</v>
      </c>
      <c r="E16041">
        <v>482</v>
      </c>
      <c r="F16041">
        <v>125</v>
      </c>
      <c r="G16041">
        <v>24</v>
      </c>
      <c r="H16041">
        <v>19</v>
      </c>
      <c r="I16041">
        <v>477</v>
      </c>
      <c r="J16041">
        <v>1</v>
      </c>
      <c r="K16041">
        <v>110</v>
      </c>
      <c r="L16041">
        <v>590</v>
      </c>
      <c r="M16041">
        <v>1</v>
      </c>
      <c r="N16041">
        <v>0</v>
      </c>
      <c r="O16041">
        <v>1903</v>
      </c>
    </row>
    <row r="16042" spans="1:15" x14ac:dyDescent="0.25">
      <c r="A16042" t="s">
        <v>16055</v>
      </c>
      <c r="B16042">
        <v>752</v>
      </c>
      <c r="C16042" s="1" t="str">
        <f>HYPERLINK("http://www.rosaceae.org/gb/gbrowse/malus_x_domestica/?name=MDP0000199164","MDP0000199164")</f>
        <v>MDP0000199164</v>
      </c>
      <c r="D16042">
        <v>79.12</v>
      </c>
      <c r="E16042">
        <v>436</v>
      </c>
      <c r="F16042">
        <v>91</v>
      </c>
      <c r="G16042">
        <v>2</v>
      </c>
      <c r="H16042">
        <v>26</v>
      </c>
      <c r="I16042">
        <v>461</v>
      </c>
      <c r="J16042">
        <v>1</v>
      </c>
      <c r="K16042">
        <v>155</v>
      </c>
      <c r="L16042">
        <v>588</v>
      </c>
      <c r="M16042">
        <v>1</v>
      </c>
      <c r="N16042">
        <v>0</v>
      </c>
      <c r="O16042">
        <v>1904</v>
      </c>
    </row>
    <row r="16043" spans="1:15" x14ac:dyDescent="0.25">
      <c r="A16043" t="s">
        <v>16056</v>
      </c>
      <c r="B16043">
        <v>221</v>
      </c>
      <c r="C16043" s="1" t="str">
        <f>HYPERLINK("http://www.rosaceae.org/gb/gbrowse/malus_x_domestica/?name=MDP0000766106","MDP0000766106")</f>
        <v>MDP0000766106</v>
      </c>
      <c r="D16043">
        <v>71.81</v>
      </c>
      <c r="E16043">
        <v>220</v>
      </c>
      <c r="F16043">
        <v>62</v>
      </c>
      <c r="G16043">
        <v>0</v>
      </c>
      <c r="H16043">
        <v>1</v>
      </c>
      <c r="I16043">
        <v>220</v>
      </c>
      <c r="J16043">
        <v>1</v>
      </c>
      <c r="K16043">
        <v>1</v>
      </c>
      <c r="L16043">
        <v>220</v>
      </c>
      <c r="M16043">
        <v>1</v>
      </c>
      <c r="N16043">
        <v>6.5744900000000002E-92</v>
      </c>
      <c r="O16043">
        <v>855</v>
      </c>
    </row>
    <row r="16044" spans="1:15" x14ac:dyDescent="0.25">
      <c r="A16044" t="s">
        <v>16057</v>
      </c>
      <c r="B16044">
        <v>182</v>
      </c>
      <c r="C16044" s="1" t="str">
        <f>HYPERLINK("http://www.rosaceae.org/gb/gbrowse/malus_x_domestica/?name=MDP0000132703","MDP0000132703")</f>
        <v>MDP0000132703</v>
      </c>
      <c r="D16044">
        <v>83.33</v>
      </c>
      <c r="E16044">
        <v>168</v>
      </c>
      <c r="F16044">
        <v>28</v>
      </c>
      <c r="G16044">
        <v>0</v>
      </c>
      <c r="H16044">
        <v>15</v>
      </c>
      <c r="I16044">
        <v>182</v>
      </c>
      <c r="J16044">
        <v>1</v>
      </c>
      <c r="K16044">
        <v>15</v>
      </c>
      <c r="L16044">
        <v>182</v>
      </c>
      <c r="M16044">
        <v>1</v>
      </c>
      <c r="N16044">
        <v>3.2046399999999999E-83</v>
      </c>
      <c r="O16044">
        <v>779</v>
      </c>
    </row>
    <row r="16045" spans="1:15" x14ac:dyDescent="0.25">
      <c r="A16045" t="s">
        <v>16058</v>
      </c>
      <c r="B16045">
        <v>453</v>
      </c>
      <c r="C16045" s="1" t="str">
        <f>HYPERLINK("http://www.rosaceae.org/gb/gbrowse/malus_x_domestica/?name=MDP0000622085","MDP0000622085")</f>
        <v>MDP0000622085</v>
      </c>
      <c r="D16045">
        <v>70.67</v>
      </c>
      <c r="E16045">
        <v>457</v>
      </c>
      <c r="F16045">
        <v>134</v>
      </c>
      <c r="G16045">
        <v>8</v>
      </c>
      <c r="H16045">
        <v>1</v>
      </c>
      <c r="I16045">
        <v>449</v>
      </c>
      <c r="J16045">
        <v>1</v>
      </c>
      <c r="K16045">
        <v>1</v>
      </c>
      <c r="L16045">
        <v>457</v>
      </c>
      <c r="M16045">
        <v>1</v>
      </c>
      <c r="N16045">
        <v>1.0692000000000001E-180</v>
      </c>
      <c r="O16045">
        <v>1624</v>
      </c>
    </row>
    <row r="16046" spans="1:15" x14ac:dyDescent="0.25">
      <c r="A16046" t="s">
        <v>16059</v>
      </c>
      <c r="B16046">
        <v>846</v>
      </c>
      <c r="C16046" s="1" t="str">
        <f>HYPERLINK("http://www.rosaceae.org/gb/gbrowse/malus_x_domestica/?name=MDP0000151981","MDP0000151981")</f>
        <v>MDP0000151981</v>
      </c>
      <c r="D16046">
        <v>80.45</v>
      </c>
      <c r="E16046">
        <v>844</v>
      </c>
      <c r="F16046">
        <v>165</v>
      </c>
      <c r="G16046">
        <v>25</v>
      </c>
      <c r="H16046">
        <v>22</v>
      </c>
      <c r="I16046">
        <v>846</v>
      </c>
      <c r="J16046">
        <v>1</v>
      </c>
      <c r="K16046">
        <v>77</v>
      </c>
      <c r="L16046">
        <v>914</v>
      </c>
      <c r="M16046">
        <v>1</v>
      </c>
      <c r="N16046">
        <v>0</v>
      </c>
      <c r="O16046">
        <v>3630</v>
      </c>
    </row>
    <row r="16047" spans="1:15" x14ac:dyDescent="0.25">
      <c r="A16047" t="s">
        <v>16060</v>
      </c>
      <c r="B16047">
        <v>2450</v>
      </c>
      <c r="C16047" s="1" t="str">
        <f>HYPERLINK("http://www.rosaceae.org/gb/gbrowse/malus_x_domestica/?name=MDP0000285110","MDP0000285110")</f>
        <v>MDP0000285110</v>
      </c>
      <c r="D16047">
        <v>85.79</v>
      </c>
      <c r="E16047">
        <v>1112</v>
      </c>
      <c r="F16047">
        <v>158</v>
      </c>
      <c r="G16047">
        <v>15</v>
      </c>
      <c r="H16047">
        <v>15</v>
      </c>
      <c r="I16047">
        <v>1121</v>
      </c>
      <c r="J16047">
        <v>1</v>
      </c>
      <c r="K16047">
        <v>9</v>
      </c>
      <c r="L16047">
        <v>1110</v>
      </c>
      <c r="M16047">
        <v>1</v>
      </c>
      <c r="N16047">
        <v>0</v>
      </c>
      <c r="O16047">
        <v>5177</v>
      </c>
    </row>
    <row r="16048" spans="1:15" x14ac:dyDescent="0.25">
      <c r="A16048" t="s">
        <v>16061</v>
      </c>
      <c r="B16048">
        <v>998</v>
      </c>
      <c r="C16048" s="1" t="str">
        <f>HYPERLINK("http://www.rosaceae.org/gb/gbrowse/malus_x_domestica/?name=MDP0000152563","MDP0000152563")</f>
        <v>MDP0000152563</v>
      </c>
      <c r="D16048">
        <v>61.95</v>
      </c>
      <c r="E16048">
        <v>949</v>
      </c>
      <c r="F16048">
        <v>361</v>
      </c>
      <c r="G16048">
        <v>85</v>
      </c>
      <c r="H16048">
        <v>17</v>
      </c>
      <c r="I16048">
        <v>916</v>
      </c>
      <c r="J16048">
        <v>1</v>
      </c>
      <c r="K16048">
        <v>16</v>
      </c>
      <c r="L16048">
        <v>928</v>
      </c>
      <c r="M16048">
        <v>1</v>
      </c>
      <c r="N16048">
        <v>0</v>
      </c>
      <c r="O16048">
        <v>2765</v>
      </c>
    </row>
    <row r="16049" spans="1:15" x14ac:dyDescent="0.25">
      <c r="A16049" t="s">
        <v>16062</v>
      </c>
      <c r="B16049">
        <v>391</v>
      </c>
      <c r="C16049" s="1" t="str">
        <f>HYPERLINK("http://www.rosaceae.org/gb/gbrowse/malus_x_domestica/?name=MDP0000267409","MDP0000267409")</f>
        <v>MDP0000267409</v>
      </c>
      <c r="D16049">
        <v>34.82</v>
      </c>
      <c r="E16049">
        <v>468</v>
      </c>
      <c r="F16049">
        <v>305</v>
      </c>
      <c r="G16049">
        <v>91</v>
      </c>
      <c r="H16049">
        <v>8</v>
      </c>
      <c r="I16049">
        <v>389</v>
      </c>
      <c r="J16049">
        <v>1</v>
      </c>
      <c r="K16049">
        <v>535</v>
      </c>
      <c r="L16049">
        <v>997</v>
      </c>
      <c r="M16049">
        <v>1</v>
      </c>
      <c r="N16049">
        <v>5.5168000000000003E-48</v>
      </c>
      <c r="O16049">
        <v>479</v>
      </c>
    </row>
    <row r="16050" spans="1:15" x14ac:dyDescent="0.25">
      <c r="A16050" t="s">
        <v>16063</v>
      </c>
      <c r="B16050">
        <v>234</v>
      </c>
      <c r="C16050" s="1" t="str">
        <f>HYPERLINK("http://www.rosaceae.org/gb/gbrowse/malus_x_domestica/?name=MDP0000143442","MDP0000143442")</f>
        <v>MDP0000143442</v>
      </c>
      <c r="D16050">
        <v>83.09</v>
      </c>
      <c r="E16050">
        <v>207</v>
      </c>
      <c r="F16050">
        <v>35</v>
      </c>
      <c r="G16050">
        <v>0</v>
      </c>
      <c r="H16050">
        <v>1</v>
      </c>
      <c r="I16050">
        <v>207</v>
      </c>
      <c r="J16050">
        <v>1</v>
      </c>
      <c r="K16050">
        <v>72</v>
      </c>
      <c r="L16050">
        <v>278</v>
      </c>
      <c r="M16050">
        <v>1</v>
      </c>
      <c r="N16050">
        <v>1.00162E-101</v>
      </c>
      <c r="O16050">
        <v>940</v>
      </c>
    </row>
    <row r="16051" spans="1:15" x14ac:dyDescent="0.25">
      <c r="A16051" t="s">
        <v>16064</v>
      </c>
      <c r="B16051">
        <v>118</v>
      </c>
      <c r="C16051" s="1" t="str">
        <f>HYPERLINK("http://www.rosaceae.org/gb/gbrowse/malus_x_domestica/?name=MDP0000141136","MDP0000141136")</f>
        <v>MDP0000141136</v>
      </c>
      <c r="D16051">
        <v>59.01</v>
      </c>
      <c r="E16051">
        <v>61</v>
      </c>
      <c r="F16051">
        <v>25</v>
      </c>
      <c r="G16051">
        <v>0</v>
      </c>
      <c r="H16051">
        <v>6</v>
      </c>
      <c r="I16051">
        <v>66</v>
      </c>
      <c r="J16051">
        <v>1</v>
      </c>
      <c r="K16051">
        <v>154</v>
      </c>
      <c r="L16051">
        <v>214</v>
      </c>
      <c r="M16051">
        <v>1</v>
      </c>
      <c r="N16051">
        <v>3.4837199999999999E-14</v>
      </c>
      <c r="O16051">
        <v>180</v>
      </c>
    </row>
    <row r="16052" spans="1:15" x14ac:dyDescent="0.25">
      <c r="A16052" t="s">
        <v>16065</v>
      </c>
      <c r="B16052">
        <v>327</v>
      </c>
      <c r="C16052" s="1" t="str">
        <f>HYPERLINK("http://www.rosaceae.org/gb/gbrowse/malus_x_domestica/?name=MDP0000625291","MDP0000625291")</f>
        <v>MDP0000625291</v>
      </c>
      <c r="D16052">
        <v>70</v>
      </c>
      <c r="E16052">
        <v>260</v>
      </c>
      <c r="F16052">
        <v>78</v>
      </c>
      <c r="G16052">
        <v>17</v>
      </c>
      <c r="H16052">
        <v>15</v>
      </c>
      <c r="I16052">
        <v>273</v>
      </c>
      <c r="J16052">
        <v>1</v>
      </c>
      <c r="K16052">
        <v>12</v>
      </c>
      <c r="L16052">
        <v>255</v>
      </c>
      <c r="M16052">
        <v>1</v>
      </c>
      <c r="N16052">
        <v>4.1814500000000001E-101</v>
      </c>
      <c r="O16052">
        <v>936</v>
      </c>
    </row>
    <row r="16053" spans="1:15" x14ac:dyDescent="0.25">
      <c r="A16053" t="s">
        <v>16066</v>
      </c>
      <c r="B16053">
        <v>155</v>
      </c>
      <c r="C16053" s="1" t="str">
        <f>HYPERLINK("http://www.rosaceae.org/gb/gbrowse/malus_x_domestica/?name=MDP0000281545","MDP0000281545")</f>
        <v>MDP0000281545</v>
      </c>
      <c r="D16053">
        <v>68.930000000000007</v>
      </c>
      <c r="E16053">
        <v>103</v>
      </c>
      <c r="F16053">
        <v>32</v>
      </c>
      <c r="G16053">
        <v>1</v>
      </c>
      <c r="H16053">
        <v>20</v>
      </c>
      <c r="I16053">
        <v>122</v>
      </c>
      <c r="J16053">
        <v>1</v>
      </c>
      <c r="K16053">
        <v>20</v>
      </c>
      <c r="L16053">
        <v>121</v>
      </c>
      <c r="M16053">
        <v>1</v>
      </c>
      <c r="N16053">
        <v>1.25543E-38</v>
      </c>
      <c r="O16053">
        <v>393</v>
      </c>
    </row>
    <row r="16054" spans="1:15" x14ac:dyDescent="0.25">
      <c r="A16054" t="s">
        <v>16067</v>
      </c>
      <c r="B16054">
        <v>818</v>
      </c>
      <c r="C16054" s="1" t="str">
        <f>HYPERLINK("http://www.rosaceae.org/gb/gbrowse/malus_x_domestica/?name=MDP0000162375","MDP0000162375")</f>
        <v>MDP0000162375</v>
      </c>
      <c r="D16054">
        <v>46.27</v>
      </c>
      <c r="E16054">
        <v>832</v>
      </c>
      <c r="F16054">
        <v>447</v>
      </c>
      <c r="G16054">
        <v>84</v>
      </c>
      <c r="H16054">
        <v>21</v>
      </c>
      <c r="I16054">
        <v>815</v>
      </c>
      <c r="J16054">
        <v>1</v>
      </c>
      <c r="K16054">
        <v>19</v>
      </c>
      <c r="L16054">
        <v>803</v>
      </c>
      <c r="M16054">
        <v>1</v>
      </c>
      <c r="N16054">
        <v>5.5527000000000001E-173</v>
      </c>
      <c r="O16054">
        <v>1560</v>
      </c>
    </row>
    <row r="16055" spans="1:15" x14ac:dyDescent="0.25">
      <c r="A16055" t="s">
        <v>16068</v>
      </c>
      <c r="B16055">
        <v>2827</v>
      </c>
      <c r="C16055" s="1" t="str">
        <f>HYPERLINK("http://www.rosaceae.org/gb/gbrowse/malus_x_domestica/?name=MDP0000318346","MDP0000318346")</f>
        <v>MDP0000318346</v>
      </c>
      <c r="D16055">
        <v>62.07</v>
      </c>
      <c r="E16055">
        <v>2299</v>
      </c>
      <c r="F16055">
        <v>872</v>
      </c>
      <c r="G16055">
        <v>176</v>
      </c>
      <c r="H16055">
        <v>515</v>
      </c>
      <c r="I16055">
        <v>2737</v>
      </c>
      <c r="J16055">
        <v>1</v>
      </c>
      <c r="K16055">
        <v>497</v>
      </c>
      <c r="L16055">
        <v>2695</v>
      </c>
      <c r="M16055">
        <v>1</v>
      </c>
      <c r="N16055">
        <v>0</v>
      </c>
      <c r="O16055">
        <v>6770</v>
      </c>
    </row>
    <row r="16056" spans="1:15" x14ac:dyDescent="0.25">
      <c r="A16056" t="s">
        <v>16069</v>
      </c>
      <c r="B16056">
        <v>426</v>
      </c>
      <c r="C16056" s="1" t="str">
        <f>HYPERLINK("http://www.rosaceae.org/gb/gbrowse/malus_x_domestica/?name=MDP0000318637","MDP0000318637")</f>
        <v>MDP0000318637</v>
      </c>
      <c r="D16056">
        <v>44.39</v>
      </c>
      <c r="E16056">
        <v>410</v>
      </c>
      <c r="F16056">
        <v>228</v>
      </c>
      <c r="G16056">
        <v>27</v>
      </c>
      <c r="H16056">
        <v>26</v>
      </c>
      <c r="I16056">
        <v>425</v>
      </c>
      <c r="J16056">
        <v>1</v>
      </c>
      <c r="K16056">
        <v>24</v>
      </c>
      <c r="L16056">
        <v>416</v>
      </c>
      <c r="M16056">
        <v>1</v>
      </c>
      <c r="N16056">
        <v>2.33465E-79</v>
      </c>
      <c r="O16056">
        <v>750</v>
      </c>
    </row>
    <row r="16057" spans="1:15" x14ac:dyDescent="0.25">
      <c r="A16057" t="s">
        <v>16070</v>
      </c>
      <c r="B16057">
        <v>294</v>
      </c>
      <c r="C16057" s="1" t="str">
        <f>HYPERLINK("http://www.rosaceae.org/gb/gbrowse/malus_x_domestica/?name=MDP0000736683","MDP0000736683")</f>
        <v>MDP0000736683</v>
      </c>
      <c r="D16057">
        <v>67.400000000000006</v>
      </c>
      <c r="E16057">
        <v>181</v>
      </c>
      <c r="F16057">
        <v>59</v>
      </c>
      <c r="G16057">
        <v>3</v>
      </c>
      <c r="H16057">
        <v>1</v>
      </c>
      <c r="I16057">
        <v>180</v>
      </c>
      <c r="J16057">
        <v>1</v>
      </c>
      <c r="K16057">
        <v>132</v>
      </c>
      <c r="L16057">
        <v>310</v>
      </c>
      <c r="M16057">
        <v>1</v>
      </c>
      <c r="N16057">
        <v>3.3998999999999998E-63</v>
      </c>
      <c r="O16057">
        <v>609</v>
      </c>
    </row>
    <row r="16058" spans="1:15" x14ac:dyDescent="0.25">
      <c r="A16058" t="s">
        <v>16071</v>
      </c>
      <c r="B16058">
        <v>713</v>
      </c>
      <c r="C16058" s="1" t="str">
        <f>HYPERLINK("http://www.rosaceae.org/gb/gbrowse/malus_x_domestica/?name=MDP0000803674","MDP0000803674")</f>
        <v>MDP0000803674</v>
      </c>
      <c r="D16058">
        <v>63.88</v>
      </c>
      <c r="E16058">
        <v>479</v>
      </c>
      <c r="F16058">
        <v>173</v>
      </c>
      <c r="G16058">
        <v>2</v>
      </c>
      <c r="H16058">
        <v>224</v>
      </c>
      <c r="I16058">
        <v>701</v>
      </c>
      <c r="J16058">
        <v>1</v>
      </c>
      <c r="K16058">
        <v>1</v>
      </c>
      <c r="L16058">
        <v>478</v>
      </c>
      <c r="M16058">
        <v>1</v>
      </c>
      <c r="N16058">
        <v>0</v>
      </c>
      <c r="O16058">
        <v>1658</v>
      </c>
    </row>
    <row r="16059" spans="1:15" x14ac:dyDescent="0.25">
      <c r="A16059" t="s">
        <v>16072</v>
      </c>
      <c r="B16059">
        <v>473</v>
      </c>
      <c r="C16059" s="1" t="str">
        <f>HYPERLINK("http://www.rosaceae.org/gb/gbrowse/malus_x_domestica/?name=MDP0000158578","MDP0000158578")</f>
        <v>MDP0000158578</v>
      </c>
      <c r="D16059">
        <v>42.9</v>
      </c>
      <c r="E16059">
        <v>296</v>
      </c>
      <c r="F16059">
        <v>169</v>
      </c>
      <c r="G16059">
        <v>21</v>
      </c>
      <c r="H16059">
        <v>168</v>
      </c>
      <c r="I16059">
        <v>453</v>
      </c>
      <c r="J16059">
        <v>1</v>
      </c>
      <c r="K16059">
        <v>156</v>
      </c>
      <c r="L16059">
        <v>440</v>
      </c>
      <c r="M16059">
        <v>1</v>
      </c>
      <c r="N16059">
        <v>3.3798700000000001E-59</v>
      </c>
      <c r="O16059">
        <v>577</v>
      </c>
    </row>
    <row r="16060" spans="1:15" x14ac:dyDescent="0.25">
      <c r="A16060" t="s">
        <v>16073</v>
      </c>
      <c r="B16060">
        <v>141</v>
      </c>
      <c r="C16060" s="1" t="str">
        <f>HYPERLINK("http://www.rosaceae.org/gb/gbrowse/malus_x_domestica/?name=MDP0000839852","MDP0000839852")</f>
        <v>MDP0000839852</v>
      </c>
      <c r="D16060">
        <v>83</v>
      </c>
      <c r="E16060">
        <v>100</v>
      </c>
      <c r="F16060">
        <v>17</v>
      </c>
      <c r="G16060">
        <v>0</v>
      </c>
      <c r="H16060">
        <v>28</v>
      </c>
      <c r="I16060">
        <v>127</v>
      </c>
      <c r="J16060">
        <v>1</v>
      </c>
      <c r="K16060">
        <v>8</v>
      </c>
      <c r="L16060">
        <v>107</v>
      </c>
      <c r="M16060">
        <v>1</v>
      </c>
      <c r="N16060">
        <v>2.28818E-43</v>
      </c>
      <c r="O16060">
        <v>433</v>
      </c>
    </row>
    <row r="16061" spans="1:15" x14ac:dyDescent="0.25">
      <c r="A16061" t="s">
        <v>16074</v>
      </c>
      <c r="B16061">
        <v>274</v>
      </c>
      <c r="C16061" s="1" t="str">
        <f>HYPERLINK("http://www.rosaceae.org/gb/gbrowse/malus_x_domestica/?name=MDP0000284605","MDP0000284605")</f>
        <v>MDP0000284605</v>
      </c>
      <c r="D16061">
        <v>32.43</v>
      </c>
      <c r="E16061">
        <v>111</v>
      </c>
      <c r="F16061">
        <v>75</v>
      </c>
      <c r="G16061">
        <v>5</v>
      </c>
      <c r="H16061">
        <v>99</v>
      </c>
      <c r="I16061">
        <v>209</v>
      </c>
      <c r="J16061">
        <v>1</v>
      </c>
      <c r="K16061">
        <v>192</v>
      </c>
      <c r="L16061">
        <v>297</v>
      </c>
      <c r="M16061">
        <v>1</v>
      </c>
      <c r="N16061">
        <v>9.6257500000000006E-10</v>
      </c>
      <c r="O16061">
        <v>147</v>
      </c>
    </row>
    <row r="16062" spans="1:15" x14ac:dyDescent="0.25">
      <c r="A16062" t="s">
        <v>16075</v>
      </c>
      <c r="B16062">
        <v>389</v>
      </c>
      <c r="C16062" s="1" t="str">
        <f>HYPERLINK("http://www.rosaceae.org/gb/gbrowse/malus_x_domestica/?name=MDP0000321546","MDP0000321546")</f>
        <v>MDP0000321546</v>
      </c>
      <c r="D16062">
        <v>55.58</v>
      </c>
      <c r="E16062">
        <v>340</v>
      </c>
      <c r="F16062">
        <v>151</v>
      </c>
      <c r="G16062">
        <v>22</v>
      </c>
      <c r="H16062">
        <v>1</v>
      </c>
      <c r="I16062">
        <v>340</v>
      </c>
      <c r="J16062">
        <v>1</v>
      </c>
      <c r="K16062">
        <v>75</v>
      </c>
      <c r="L16062">
        <v>392</v>
      </c>
      <c r="M16062">
        <v>1</v>
      </c>
      <c r="N16062">
        <v>2.1397899999999998E-96</v>
      </c>
      <c r="O16062">
        <v>897</v>
      </c>
    </row>
    <row r="16063" spans="1:15" x14ac:dyDescent="0.25">
      <c r="A16063" t="s">
        <v>16076</v>
      </c>
      <c r="B16063">
        <v>578</v>
      </c>
      <c r="C16063" s="1" t="str">
        <f>HYPERLINK("http://www.rosaceae.org/gb/gbrowse/malus_x_domestica/?name=MDP0000156183","MDP0000156183")</f>
        <v>MDP0000156183</v>
      </c>
      <c r="D16063">
        <v>38.26</v>
      </c>
      <c r="E16063">
        <v>230</v>
      </c>
      <c r="F16063">
        <v>142</v>
      </c>
      <c r="G16063">
        <v>14</v>
      </c>
      <c r="H16063">
        <v>29</v>
      </c>
      <c r="I16063">
        <v>247</v>
      </c>
      <c r="J16063">
        <v>1</v>
      </c>
      <c r="K16063">
        <v>28</v>
      </c>
      <c r="L16063">
        <v>254</v>
      </c>
      <c r="M16063">
        <v>1</v>
      </c>
      <c r="N16063">
        <v>4.1863400000000002E-35</v>
      </c>
      <c r="O16063">
        <v>370</v>
      </c>
    </row>
    <row r="16064" spans="1:15" x14ac:dyDescent="0.25">
      <c r="A16064" t="s">
        <v>16077</v>
      </c>
      <c r="B16064">
        <v>767</v>
      </c>
      <c r="C16064" s="1" t="str">
        <f>HYPERLINK("http://www.rosaceae.org/gb/gbrowse/malus_x_domestica/?name=MDP0000185233","MDP0000185233")</f>
        <v>MDP0000185233</v>
      </c>
      <c r="D16064">
        <v>74.48</v>
      </c>
      <c r="E16064">
        <v>772</v>
      </c>
      <c r="F16064">
        <v>197</v>
      </c>
      <c r="G16064">
        <v>28</v>
      </c>
      <c r="H16064">
        <v>1</v>
      </c>
      <c r="I16064">
        <v>766</v>
      </c>
      <c r="J16064">
        <v>1</v>
      </c>
      <c r="K16064">
        <v>89</v>
      </c>
      <c r="L16064">
        <v>838</v>
      </c>
      <c r="M16064">
        <v>1</v>
      </c>
      <c r="N16064">
        <v>0</v>
      </c>
      <c r="O16064">
        <v>3009</v>
      </c>
    </row>
    <row r="16065" spans="1:15" x14ac:dyDescent="0.25">
      <c r="A16065" t="s">
        <v>16078</v>
      </c>
      <c r="B16065">
        <v>266</v>
      </c>
      <c r="C16065" s="1" t="str">
        <f>HYPERLINK("http://www.rosaceae.org/gb/gbrowse/malus_x_domestica/?name=MDP0000213233","MDP0000213233")</f>
        <v>MDP0000213233</v>
      </c>
      <c r="D16065">
        <v>38.42</v>
      </c>
      <c r="E16065">
        <v>203</v>
      </c>
      <c r="F16065">
        <v>125</v>
      </c>
      <c r="G16065">
        <v>15</v>
      </c>
      <c r="H16065">
        <v>9</v>
      </c>
      <c r="I16065">
        <v>207</v>
      </c>
      <c r="J16065">
        <v>1</v>
      </c>
      <c r="K16065">
        <v>17</v>
      </c>
      <c r="L16065">
        <v>208</v>
      </c>
      <c r="M16065">
        <v>1</v>
      </c>
      <c r="N16065">
        <v>3.1606600000000003E-32</v>
      </c>
      <c r="O16065">
        <v>341</v>
      </c>
    </row>
    <row r="16066" spans="1:15" x14ac:dyDescent="0.25">
      <c r="A16066" t="s">
        <v>16079</v>
      </c>
      <c r="B16066">
        <v>1301</v>
      </c>
      <c r="C16066" s="1" t="str">
        <f>HYPERLINK("http://www.rosaceae.org/gb/gbrowse/malus_x_domestica/?name=MDP0000264059","MDP0000264059")</f>
        <v>MDP0000264059</v>
      </c>
      <c r="D16066">
        <v>69.92</v>
      </c>
      <c r="E16066">
        <v>1250</v>
      </c>
      <c r="F16066">
        <v>376</v>
      </c>
      <c r="G16066">
        <v>29</v>
      </c>
      <c r="H16066">
        <v>26</v>
      </c>
      <c r="I16066">
        <v>1274</v>
      </c>
      <c r="J16066">
        <v>1</v>
      </c>
      <c r="K16066">
        <v>20</v>
      </c>
      <c r="L16066">
        <v>1241</v>
      </c>
      <c r="M16066">
        <v>1</v>
      </c>
      <c r="N16066">
        <v>0</v>
      </c>
      <c r="O16066">
        <v>4483</v>
      </c>
    </row>
    <row r="16067" spans="1:15" x14ac:dyDescent="0.25">
      <c r="A16067" t="s">
        <v>16080</v>
      </c>
      <c r="B16067">
        <v>334</v>
      </c>
      <c r="C16067" s="1" t="str">
        <f>HYPERLINK("http://www.rosaceae.org/gb/gbrowse/malus_x_domestica/?name=MDP0000150438","MDP0000150438")</f>
        <v>MDP0000150438</v>
      </c>
      <c r="D16067">
        <v>44.74</v>
      </c>
      <c r="E16067">
        <v>333</v>
      </c>
      <c r="F16067">
        <v>184</v>
      </c>
      <c r="G16067">
        <v>15</v>
      </c>
      <c r="H16067">
        <v>7</v>
      </c>
      <c r="I16067">
        <v>331</v>
      </c>
      <c r="J16067">
        <v>1</v>
      </c>
      <c r="K16067">
        <v>57</v>
      </c>
      <c r="L16067">
        <v>382</v>
      </c>
      <c r="M16067">
        <v>1</v>
      </c>
      <c r="N16067">
        <v>2.2922499999999999E-65</v>
      </c>
      <c r="O16067">
        <v>628</v>
      </c>
    </row>
    <row r="16068" spans="1:15" x14ac:dyDescent="0.25">
      <c r="A16068" t="s">
        <v>16081</v>
      </c>
      <c r="B16068">
        <v>305</v>
      </c>
      <c r="C16068" s="1" t="str">
        <f>HYPERLINK("http://www.rosaceae.org/gb/gbrowse/malus_x_domestica/?name=MDP0000492026","MDP0000492026")</f>
        <v>MDP0000492026</v>
      </c>
      <c r="D16068">
        <v>71.010000000000005</v>
      </c>
      <c r="E16068">
        <v>314</v>
      </c>
      <c r="F16068">
        <v>91</v>
      </c>
      <c r="G16068">
        <v>45</v>
      </c>
      <c r="H16068">
        <v>1</v>
      </c>
      <c r="I16068">
        <v>271</v>
      </c>
      <c r="J16068">
        <v>1</v>
      </c>
      <c r="K16068">
        <v>42</v>
      </c>
      <c r="L16068">
        <v>353</v>
      </c>
      <c r="M16068">
        <v>1</v>
      </c>
      <c r="N16068">
        <v>7.2715200000000004E-109</v>
      </c>
      <c r="O16068">
        <v>1003</v>
      </c>
    </row>
    <row r="16069" spans="1:15" x14ac:dyDescent="0.25">
      <c r="A16069" t="s">
        <v>16082</v>
      </c>
      <c r="B16069">
        <v>271</v>
      </c>
      <c r="C16069" s="1" t="str">
        <f>HYPERLINK("http://www.rosaceae.org/gb/gbrowse/malus_x_domestica/?name=MDP0000237293","MDP0000237293")</f>
        <v>MDP0000237293</v>
      </c>
      <c r="D16069">
        <v>57.35</v>
      </c>
      <c r="E16069">
        <v>265</v>
      </c>
      <c r="F16069">
        <v>113</v>
      </c>
      <c r="G16069">
        <v>11</v>
      </c>
      <c r="H16069">
        <v>18</v>
      </c>
      <c r="I16069">
        <v>271</v>
      </c>
      <c r="J16069">
        <v>1</v>
      </c>
      <c r="K16069">
        <v>35</v>
      </c>
      <c r="L16069">
        <v>299</v>
      </c>
      <c r="M16069">
        <v>1</v>
      </c>
      <c r="N16069">
        <v>3.2679500000000002E-78</v>
      </c>
      <c r="O16069">
        <v>738</v>
      </c>
    </row>
    <row r="16070" spans="1:15" x14ac:dyDescent="0.25">
      <c r="A16070" t="s">
        <v>16083</v>
      </c>
      <c r="B16070">
        <v>223</v>
      </c>
      <c r="C16070" s="1" t="str">
        <f>HYPERLINK("http://www.rosaceae.org/gb/gbrowse/malus_x_domestica/?name=MDP0000293040","MDP0000293040")</f>
        <v>MDP0000293040</v>
      </c>
      <c r="D16070">
        <v>81.89</v>
      </c>
      <c r="E16070">
        <v>116</v>
      </c>
      <c r="F16070">
        <v>21</v>
      </c>
      <c r="G16070">
        <v>0</v>
      </c>
      <c r="H16070">
        <v>42</v>
      </c>
      <c r="I16070">
        <v>157</v>
      </c>
      <c r="J16070">
        <v>1</v>
      </c>
      <c r="K16070">
        <v>28</v>
      </c>
      <c r="L16070">
        <v>143</v>
      </c>
      <c r="M16070">
        <v>1</v>
      </c>
      <c r="N16070">
        <v>6.0935000000000001E-53</v>
      </c>
      <c r="O16070">
        <v>519</v>
      </c>
    </row>
    <row r="16071" spans="1:15" x14ac:dyDescent="0.25">
      <c r="A16071" t="s">
        <v>16084</v>
      </c>
      <c r="B16071">
        <v>357</v>
      </c>
      <c r="C16071" s="1" t="str">
        <f>HYPERLINK("http://www.rosaceae.org/gb/gbrowse/malus_x_domestica/?name=MDP0000257050","MDP0000257050")</f>
        <v>MDP0000257050</v>
      </c>
      <c r="D16071">
        <v>30.31</v>
      </c>
      <c r="E16071">
        <v>376</v>
      </c>
      <c r="F16071">
        <v>262</v>
      </c>
      <c r="G16071">
        <v>54</v>
      </c>
      <c r="H16071">
        <v>11</v>
      </c>
      <c r="I16071">
        <v>357</v>
      </c>
      <c r="J16071">
        <v>1</v>
      </c>
      <c r="K16071">
        <v>5</v>
      </c>
      <c r="L16071">
        <v>355</v>
      </c>
      <c r="M16071">
        <v>1</v>
      </c>
      <c r="N16071">
        <v>2.03827E-24</v>
      </c>
      <c r="O16071">
        <v>275</v>
      </c>
    </row>
    <row r="16072" spans="1:15" x14ac:dyDescent="0.25">
      <c r="A16072" t="s">
        <v>16085</v>
      </c>
      <c r="B16072">
        <v>512</v>
      </c>
      <c r="C16072" s="1" t="str">
        <f>HYPERLINK("http://www.rosaceae.org/gb/gbrowse/malus_x_domestica/?name=MDP0000304620","MDP0000304620")</f>
        <v>MDP0000304620</v>
      </c>
      <c r="D16072">
        <v>54.49</v>
      </c>
      <c r="E16072">
        <v>512</v>
      </c>
      <c r="F16072">
        <v>233</v>
      </c>
      <c r="G16072">
        <v>60</v>
      </c>
      <c r="H16072">
        <v>20</v>
      </c>
      <c r="I16072">
        <v>507</v>
      </c>
      <c r="J16072">
        <v>1</v>
      </c>
      <c r="K16072">
        <v>14</v>
      </c>
      <c r="L16072">
        <v>489</v>
      </c>
      <c r="M16072">
        <v>1</v>
      </c>
      <c r="N16072">
        <v>7.3193899999999996E-139</v>
      </c>
      <c r="O16072">
        <v>1264</v>
      </c>
    </row>
    <row r="16073" spans="1:15" x14ac:dyDescent="0.25">
      <c r="A16073" t="s">
        <v>16086</v>
      </c>
      <c r="B16073">
        <v>266</v>
      </c>
      <c r="C16073" s="1" t="str">
        <f>HYPERLINK("http://www.rosaceae.org/gb/gbrowse/malus_x_domestica/?name=MDP0000208425","MDP0000208425")</f>
        <v>MDP0000208425</v>
      </c>
      <c r="D16073">
        <v>61.44</v>
      </c>
      <c r="E16073">
        <v>249</v>
      </c>
      <c r="F16073">
        <v>96</v>
      </c>
      <c r="G16073">
        <v>24</v>
      </c>
      <c r="H16073">
        <v>18</v>
      </c>
      <c r="I16073">
        <v>266</v>
      </c>
      <c r="J16073">
        <v>1</v>
      </c>
      <c r="K16073">
        <v>21</v>
      </c>
      <c r="L16073">
        <v>245</v>
      </c>
      <c r="M16073">
        <v>1</v>
      </c>
      <c r="N16073">
        <v>3.7471900000000002E-78</v>
      </c>
      <c r="O16073">
        <v>737</v>
      </c>
    </row>
    <row r="16074" spans="1:15" x14ac:dyDescent="0.25">
      <c r="A16074" t="s">
        <v>16087</v>
      </c>
      <c r="B16074">
        <v>561</v>
      </c>
      <c r="C16074" s="1" t="str">
        <f>HYPERLINK("http://www.rosaceae.org/gb/gbrowse/malus_x_domestica/?name=MDP0000131646","MDP0000131646")</f>
        <v>MDP0000131646</v>
      </c>
      <c r="D16074">
        <v>78.97</v>
      </c>
      <c r="E16074">
        <v>585</v>
      </c>
      <c r="F16074">
        <v>123</v>
      </c>
      <c r="G16074">
        <v>26</v>
      </c>
      <c r="H16074">
        <v>1</v>
      </c>
      <c r="I16074">
        <v>561</v>
      </c>
      <c r="J16074">
        <v>1</v>
      </c>
      <c r="K16074">
        <v>1</v>
      </c>
      <c r="L16074">
        <v>583</v>
      </c>
      <c r="M16074">
        <v>1</v>
      </c>
      <c r="N16074">
        <v>0</v>
      </c>
      <c r="O16074">
        <v>2362</v>
      </c>
    </row>
    <row r="16075" spans="1:15" x14ac:dyDescent="0.25">
      <c r="A16075" t="s">
        <v>16088</v>
      </c>
      <c r="B16075">
        <v>246</v>
      </c>
      <c r="C16075" s="1" t="str">
        <f>HYPERLINK("http://www.rosaceae.org/gb/gbrowse/malus_x_domestica/?name=MDP0000515695","MDP0000515695")</f>
        <v>MDP0000515695</v>
      </c>
      <c r="D16075">
        <v>72.239999999999995</v>
      </c>
      <c r="E16075">
        <v>227</v>
      </c>
      <c r="F16075">
        <v>63</v>
      </c>
      <c r="G16075">
        <v>1</v>
      </c>
      <c r="H16075">
        <v>20</v>
      </c>
      <c r="I16075">
        <v>246</v>
      </c>
      <c r="J16075">
        <v>1</v>
      </c>
      <c r="K16075">
        <v>45</v>
      </c>
      <c r="L16075">
        <v>270</v>
      </c>
      <c r="M16075">
        <v>1</v>
      </c>
      <c r="N16075">
        <v>6.4171999999999999E-84</v>
      </c>
      <c r="O16075">
        <v>787</v>
      </c>
    </row>
    <row r="16076" spans="1:15" x14ac:dyDescent="0.25">
      <c r="A16076" t="s">
        <v>16089</v>
      </c>
      <c r="B16076">
        <v>355</v>
      </c>
      <c r="C16076" s="1" t="str">
        <f>HYPERLINK("http://www.rosaceae.org/gb/gbrowse/malus_x_domestica/?name=MDP0000267606","MDP0000267606")</f>
        <v>MDP0000267606</v>
      </c>
      <c r="D16076">
        <v>63.71</v>
      </c>
      <c r="E16076">
        <v>328</v>
      </c>
      <c r="F16076">
        <v>119</v>
      </c>
      <c r="G16076">
        <v>52</v>
      </c>
      <c r="H16076">
        <v>29</v>
      </c>
      <c r="I16076">
        <v>355</v>
      </c>
      <c r="J16076">
        <v>1</v>
      </c>
      <c r="K16076">
        <v>245</v>
      </c>
      <c r="L16076">
        <v>521</v>
      </c>
      <c r="M16076">
        <v>1</v>
      </c>
      <c r="N16076">
        <v>1.2868800000000001E-115</v>
      </c>
      <c r="O16076">
        <v>1062</v>
      </c>
    </row>
    <row r="16077" spans="1:15" x14ac:dyDescent="0.25">
      <c r="A16077" t="s">
        <v>16090</v>
      </c>
      <c r="B16077">
        <v>696</v>
      </c>
      <c r="C16077" s="1" t="str">
        <f>HYPERLINK("http://www.rosaceae.org/gb/gbrowse/malus_x_domestica/?name=MDP0000141863","MDP0000141863")</f>
        <v>MDP0000141863</v>
      </c>
      <c r="D16077">
        <v>78.569999999999993</v>
      </c>
      <c r="E16077">
        <v>574</v>
      </c>
      <c r="F16077">
        <v>123</v>
      </c>
      <c r="G16077">
        <v>11</v>
      </c>
      <c r="H16077">
        <v>132</v>
      </c>
      <c r="I16077">
        <v>696</v>
      </c>
      <c r="J16077">
        <v>1</v>
      </c>
      <c r="K16077">
        <v>1</v>
      </c>
      <c r="L16077">
        <v>572</v>
      </c>
      <c r="M16077">
        <v>1</v>
      </c>
      <c r="N16077">
        <v>0</v>
      </c>
      <c r="O16077">
        <v>2323</v>
      </c>
    </row>
    <row r="16078" spans="1:15" x14ac:dyDescent="0.25">
      <c r="A16078" t="s">
        <v>16091</v>
      </c>
      <c r="B16078">
        <v>552</v>
      </c>
      <c r="C16078" s="1" t="str">
        <f>HYPERLINK("http://www.rosaceae.org/gb/gbrowse/malus_x_domestica/?name=MDP0000258542","MDP0000258542")</f>
        <v>MDP0000258542</v>
      </c>
      <c r="D16078">
        <v>74.150000000000006</v>
      </c>
      <c r="E16078">
        <v>534</v>
      </c>
      <c r="F16078">
        <v>138</v>
      </c>
      <c r="G16078">
        <v>76</v>
      </c>
      <c r="H16078">
        <v>43</v>
      </c>
      <c r="I16078">
        <v>552</v>
      </c>
      <c r="J16078">
        <v>1</v>
      </c>
      <c r="K16078">
        <v>54</v>
      </c>
      <c r="L16078">
        <v>535</v>
      </c>
      <c r="M16078">
        <v>1</v>
      </c>
      <c r="N16078">
        <v>0</v>
      </c>
      <c r="O16078">
        <v>2021</v>
      </c>
    </row>
    <row r="16079" spans="1:15" x14ac:dyDescent="0.25">
      <c r="A16079" t="s">
        <v>16092</v>
      </c>
      <c r="B16079">
        <v>353</v>
      </c>
      <c r="C16079" s="1" t="str">
        <f>HYPERLINK("http://www.rosaceae.org/gb/gbrowse/malus_x_domestica/?name=MDP0000244267","MDP0000244267")</f>
        <v>MDP0000244267</v>
      </c>
      <c r="D16079">
        <v>58.01</v>
      </c>
      <c r="E16079">
        <v>262</v>
      </c>
      <c r="F16079">
        <v>110</v>
      </c>
      <c r="G16079">
        <v>9</v>
      </c>
      <c r="H16079">
        <v>1</v>
      </c>
      <c r="I16079">
        <v>257</v>
      </c>
      <c r="J16079">
        <v>1</v>
      </c>
      <c r="K16079">
        <v>1</v>
      </c>
      <c r="L16079">
        <v>258</v>
      </c>
      <c r="M16079">
        <v>1</v>
      </c>
      <c r="N16079">
        <v>2.1490699999999999E-72</v>
      </c>
      <c r="O16079">
        <v>689</v>
      </c>
    </row>
    <row r="16080" spans="1:15" x14ac:dyDescent="0.25">
      <c r="A16080" t="s">
        <v>16093</v>
      </c>
      <c r="B16080">
        <v>653</v>
      </c>
      <c r="C16080" s="1" t="str">
        <f>HYPERLINK("http://www.rosaceae.org/gb/gbrowse/malus_x_domestica/?name=MDP0000152386","MDP0000152386")</f>
        <v>MDP0000152386</v>
      </c>
      <c r="D16080">
        <v>83.53</v>
      </c>
      <c r="E16080">
        <v>656</v>
      </c>
      <c r="F16080">
        <v>108</v>
      </c>
      <c r="G16080">
        <v>27</v>
      </c>
      <c r="H16080">
        <v>1</v>
      </c>
      <c r="I16080">
        <v>652</v>
      </c>
      <c r="J16080">
        <v>1</v>
      </c>
      <c r="K16080">
        <v>1</v>
      </c>
      <c r="L16080">
        <v>633</v>
      </c>
      <c r="M16080">
        <v>1</v>
      </c>
      <c r="N16080">
        <v>0</v>
      </c>
      <c r="O16080">
        <v>2914</v>
      </c>
    </row>
    <row r="16081" spans="1:15" x14ac:dyDescent="0.25">
      <c r="A16081" t="s">
        <v>16094</v>
      </c>
      <c r="B16081">
        <v>199</v>
      </c>
      <c r="C16081" s="1" t="str">
        <f>HYPERLINK("http://www.rosaceae.org/gb/gbrowse/malus_x_domestica/?name=MDP0000301020","MDP0000301020")</f>
        <v>MDP0000301020</v>
      </c>
      <c r="D16081">
        <v>64.02</v>
      </c>
      <c r="E16081">
        <v>164</v>
      </c>
      <c r="F16081">
        <v>59</v>
      </c>
      <c r="G16081">
        <v>8</v>
      </c>
      <c r="H16081">
        <v>1</v>
      </c>
      <c r="I16081">
        <v>163</v>
      </c>
      <c r="J16081">
        <v>1</v>
      </c>
      <c r="K16081">
        <v>1</v>
      </c>
      <c r="L16081">
        <v>157</v>
      </c>
      <c r="M16081">
        <v>1</v>
      </c>
      <c r="N16081">
        <v>3.7015600000000001E-53</v>
      </c>
      <c r="O16081">
        <v>520</v>
      </c>
    </row>
    <row r="16082" spans="1:15" x14ac:dyDescent="0.25">
      <c r="A16082" t="s">
        <v>16095</v>
      </c>
      <c r="B16082">
        <v>634</v>
      </c>
      <c r="C16082" s="1" t="str">
        <f>HYPERLINK("http://www.rosaceae.org/gb/gbrowse/malus_x_domestica/?name=MDP0000295452","MDP0000295452")</f>
        <v>MDP0000295452</v>
      </c>
      <c r="D16082">
        <v>54.61</v>
      </c>
      <c r="E16082">
        <v>498</v>
      </c>
      <c r="F16082">
        <v>226</v>
      </c>
      <c r="G16082">
        <v>42</v>
      </c>
      <c r="H16082">
        <v>71</v>
      </c>
      <c r="I16082">
        <v>534</v>
      </c>
      <c r="J16082">
        <v>1</v>
      </c>
      <c r="K16082">
        <v>98</v>
      </c>
      <c r="L16082">
        <v>587</v>
      </c>
      <c r="M16082">
        <v>1</v>
      </c>
      <c r="N16082">
        <v>8.3635200000000003E-147</v>
      </c>
      <c r="O16082">
        <v>1334</v>
      </c>
    </row>
    <row r="16083" spans="1:15" x14ac:dyDescent="0.25">
      <c r="A16083" t="s">
        <v>16096</v>
      </c>
      <c r="B16083">
        <v>665</v>
      </c>
      <c r="C16083" s="1" t="str">
        <f>HYPERLINK("http://www.rosaceae.org/gb/gbrowse/malus_x_domestica/?name=MDP0000266451","MDP0000266451")</f>
        <v>MDP0000266451</v>
      </c>
      <c r="D16083">
        <v>62.09</v>
      </c>
      <c r="E16083">
        <v>620</v>
      </c>
      <c r="F16083">
        <v>235</v>
      </c>
      <c r="G16083">
        <v>43</v>
      </c>
      <c r="H16083">
        <v>46</v>
      </c>
      <c r="I16083">
        <v>648</v>
      </c>
      <c r="J16083">
        <v>1</v>
      </c>
      <c r="K16083">
        <v>41</v>
      </c>
      <c r="L16083">
        <v>634</v>
      </c>
      <c r="M16083">
        <v>1</v>
      </c>
      <c r="N16083">
        <v>0</v>
      </c>
      <c r="O16083">
        <v>1880</v>
      </c>
    </row>
    <row r="16084" spans="1:15" x14ac:dyDescent="0.25">
      <c r="A16084" t="s">
        <v>16097</v>
      </c>
      <c r="B16084">
        <v>501</v>
      </c>
      <c r="C16084" s="1" t="str">
        <f>HYPERLINK("http://www.rosaceae.org/gb/gbrowse/malus_x_domestica/?name=MDP0000146242","MDP0000146242")</f>
        <v>MDP0000146242</v>
      </c>
      <c r="D16084">
        <v>63.16</v>
      </c>
      <c r="E16084">
        <v>524</v>
      </c>
      <c r="F16084">
        <v>193</v>
      </c>
      <c r="G16084">
        <v>36</v>
      </c>
      <c r="H16084">
        <v>3</v>
      </c>
      <c r="I16084">
        <v>501</v>
      </c>
      <c r="J16084">
        <v>1</v>
      </c>
      <c r="K16084">
        <v>109</v>
      </c>
      <c r="L16084">
        <v>621</v>
      </c>
      <c r="M16084">
        <v>1</v>
      </c>
      <c r="N16084">
        <v>3.2664400000000001E-179</v>
      </c>
      <c r="O16084">
        <v>1612</v>
      </c>
    </row>
    <row r="16085" spans="1:15" x14ac:dyDescent="0.25">
      <c r="A16085" t="s">
        <v>16098</v>
      </c>
      <c r="B16085">
        <v>184</v>
      </c>
      <c r="C16085" s="1" t="str">
        <f>HYPERLINK("http://www.rosaceae.org/gb/gbrowse/malus_x_domestica/?name=MDP0000159493","MDP0000159493")</f>
        <v>MDP0000159493</v>
      </c>
      <c r="D16085">
        <v>61.57</v>
      </c>
      <c r="E16085">
        <v>190</v>
      </c>
      <c r="F16085">
        <v>73</v>
      </c>
      <c r="G16085">
        <v>11</v>
      </c>
      <c r="H16085">
        <v>1</v>
      </c>
      <c r="I16085">
        <v>182</v>
      </c>
      <c r="J16085">
        <v>1</v>
      </c>
      <c r="K16085">
        <v>74</v>
      </c>
      <c r="L16085">
        <v>260</v>
      </c>
      <c r="M16085">
        <v>1</v>
      </c>
      <c r="N16085">
        <v>1.2118100000000001E-64</v>
      </c>
      <c r="O16085">
        <v>618</v>
      </c>
    </row>
    <row r="16086" spans="1:15" x14ac:dyDescent="0.25">
      <c r="A16086" t="s">
        <v>16099</v>
      </c>
      <c r="B16086">
        <v>276</v>
      </c>
      <c r="C16086" s="1" t="str">
        <f>HYPERLINK("http://www.rosaceae.org/gb/gbrowse/malus_x_domestica/?name=MDP0000326390","MDP0000326390")</f>
        <v>MDP0000326390</v>
      </c>
      <c r="D16086">
        <v>50.6</v>
      </c>
      <c r="E16086">
        <v>164</v>
      </c>
      <c r="F16086">
        <v>81</v>
      </c>
      <c r="G16086">
        <v>2</v>
      </c>
      <c r="H16086">
        <v>61</v>
      </c>
      <c r="I16086">
        <v>222</v>
      </c>
      <c r="J16086">
        <v>1</v>
      </c>
      <c r="K16086">
        <v>10</v>
      </c>
      <c r="L16086">
        <v>173</v>
      </c>
      <c r="M16086">
        <v>1</v>
      </c>
      <c r="N16086">
        <v>8.0484700000000002E-34</v>
      </c>
      <c r="O16086">
        <v>355</v>
      </c>
    </row>
    <row r="16087" spans="1:15" x14ac:dyDescent="0.25">
      <c r="A16087" t="s">
        <v>16100</v>
      </c>
      <c r="B16087">
        <v>420</v>
      </c>
      <c r="C16087" s="1" t="str">
        <f>HYPERLINK("http://www.rosaceae.org/gb/gbrowse/malus_x_domestica/?name=MDP0000557670","MDP0000557670")</f>
        <v>MDP0000557670</v>
      </c>
      <c r="D16087">
        <v>55.51</v>
      </c>
      <c r="E16087">
        <v>290</v>
      </c>
      <c r="F16087">
        <v>129</v>
      </c>
      <c r="G16087">
        <v>47</v>
      </c>
      <c r="H16087">
        <v>1</v>
      </c>
      <c r="I16087">
        <v>243</v>
      </c>
      <c r="J16087">
        <v>1</v>
      </c>
      <c r="K16087">
        <v>1</v>
      </c>
      <c r="L16087">
        <v>290</v>
      </c>
      <c r="M16087">
        <v>1</v>
      </c>
      <c r="N16087">
        <v>4.10349E-83</v>
      </c>
      <c r="O16087">
        <v>782</v>
      </c>
    </row>
    <row r="16088" spans="1:15" x14ac:dyDescent="0.25">
      <c r="A16088" t="s">
        <v>16101</v>
      </c>
      <c r="B16088">
        <v>98</v>
      </c>
      <c r="C16088" s="1" t="str">
        <f>HYPERLINK("http://www.rosaceae.org/gb/gbrowse/malus_x_domestica/?name=MDP0000161022","MDP0000161022")</f>
        <v>MDP0000161022</v>
      </c>
      <c r="D16088">
        <v>44.44</v>
      </c>
      <c r="E16088">
        <v>63</v>
      </c>
      <c r="F16088">
        <v>35</v>
      </c>
      <c r="G16088">
        <v>6</v>
      </c>
      <c r="H16088">
        <v>30</v>
      </c>
      <c r="I16088">
        <v>89</v>
      </c>
      <c r="J16088">
        <v>1</v>
      </c>
      <c r="K16088">
        <v>183</v>
      </c>
      <c r="L16088">
        <v>242</v>
      </c>
      <c r="M16088">
        <v>1</v>
      </c>
      <c r="N16088">
        <v>2.7064700000000001E-9</v>
      </c>
      <c r="O16088">
        <v>138</v>
      </c>
    </row>
    <row r="16089" spans="1:15" x14ac:dyDescent="0.25">
      <c r="A16089" t="s">
        <v>16102</v>
      </c>
      <c r="B16089">
        <v>371</v>
      </c>
      <c r="C16089" s="1" t="str">
        <f>HYPERLINK("http://www.rosaceae.org/gb/gbrowse/malus_x_domestica/?name=MDP0000500222","MDP0000500222")</f>
        <v>MDP0000500222</v>
      </c>
      <c r="D16089">
        <v>34.18</v>
      </c>
      <c r="E16089">
        <v>313</v>
      </c>
      <c r="F16089">
        <v>206</v>
      </c>
      <c r="G16089">
        <v>51</v>
      </c>
      <c r="H16089">
        <v>17</v>
      </c>
      <c r="I16089">
        <v>317</v>
      </c>
      <c r="J16089">
        <v>1</v>
      </c>
      <c r="K16089">
        <v>73</v>
      </c>
      <c r="L16089">
        <v>346</v>
      </c>
      <c r="M16089">
        <v>1</v>
      </c>
      <c r="N16089">
        <v>5.9404499999999996E-32</v>
      </c>
      <c r="O16089">
        <v>341</v>
      </c>
    </row>
    <row r="16090" spans="1:15" x14ac:dyDescent="0.25">
      <c r="A16090" t="s">
        <v>16103</v>
      </c>
      <c r="B16090">
        <v>444</v>
      </c>
      <c r="C16090" s="1" t="str">
        <f>HYPERLINK("http://www.rosaceae.org/gb/gbrowse/malus_x_domestica/?name=MDP0000312793","MDP0000312793")</f>
        <v>MDP0000312793</v>
      </c>
      <c r="D16090">
        <v>35.29</v>
      </c>
      <c r="E16090">
        <v>221</v>
      </c>
      <c r="F16090">
        <v>143</v>
      </c>
      <c r="G16090">
        <v>22</v>
      </c>
      <c r="H16090">
        <v>19</v>
      </c>
      <c r="I16090">
        <v>217</v>
      </c>
      <c r="J16090">
        <v>1</v>
      </c>
      <c r="K16090">
        <v>170</v>
      </c>
      <c r="L16090">
        <v>390</v>
      </c>
      <c r="M16090">
        <v>1</v>
      </c>
      <c r="N16090">
        <v>2.5971100000000001E-21</v>
      </c>
      <c r="O16090">
        <v>250</v>
      </c>
    </row>
    <row r="16091" spans="1:15" x14ac:dyDescent="0.25">
      <c r="A16091" t="s">
        <v>16104</v>
      </c>
      <c r="B16091">
        <v>244</v>
      </c>
      <c r="C16091" s="1" t="str">
        <f>HYPERLINK("http://www.rosaceae.org/gb/gbrowse/malus_x_domestica/?name=MDP0000300726","MDP0000300726")</f>
        <v>MDP0000300726</v>
      </c>
      <c r="D16091">
        <v>51.92</v>
      </c>
      <c r="E16091">
        <v>208</v>
      </c>
      <c r="F16091">
        <v>100</v>
      </c>
      <c r="G16091">
        <v>16</v>
      </c>
      <c r="H16091">
        <v>4</v>
      </c>
      <c r="I16091">
        <v>203</v>
      </c>
      <c r="J16091">
        <v>1</v>
      </c>
      <c r="K16091">
        <v>1624</v>
      </c>
      <c r="L16091">
        <v>1823</v>
      </c>
      <c r="M16091">
        <v>1</v>
      </c>
      <c r="N16091">
        <v>2.4554700000000002E-40</v>
      </c>
      <c r="O16091">
        <v>411</v>
      </c>
    </row>
    <row r="16092" spans="1:15" x14ac:dyDescent="0.25">
      <c r="A16092" t="s">
        <v>16105</v>
      </c>
      <c r="B16092">
        <v>608</v>
      </c>
      <c r="C16092" s="1" t="str">
        <f>HYPERLINK("http://www.rosaceae.org/gb/gbrowse/malus_x_domestica/?name=MDP0000613111","MDP0000613111")</f>
        <v>MDP0000613111</v>
      </c>
      <c r="D16092">
        <v>40.32</v>
      </c>
      <c r="E16092">
        <v>186</v>
      </c>
      <c r="F16092">
        <v>111</v>
      </c>
      <c r="G16092">
        <v>22</v>
      </c>
      <c r="H16092">
        <v>433</v>
      </c>
      <c r="I16092">
        <v>597</v>
      </c>
      <c r="J16092">
        <v>1</v>
      </c>
      <c r="K16092">
        <v>672</v>
      </c>
      <c r="L16092">
        <v>856</v>
      </c>
      <c r="M16092">
        <v>1</v>
      </c>
      <c r="N16092">
        <v>3.01881E-24</v>
      </c>
      <c r="O16092">
        <v>276</v>
      </c>
    </row>
    <row r="16093" spans="1:15" x14ac:dyDescent="0.25">
      <c r="A16093" t="s">
        <v>16106</v>
      </c>
      <c r="B16093">
        <v>728</v>
      </c>
      <c r="C16093" s="1" t="str">
        <f>HYPERLINK("http://www.rosaceae.org/gb/gbrowse/malus_x_domestica/?name=MDP0000873893","MDP0000873893")</f>
        <v>MDP0000873893</v>
      </c>
      <c r="D16093">
        <v>86.17</v>
      </c>
      <c r="E16093">
        <v>586</v>
      </c>
      <c r="F16093">
        <v>81</v>
      </c>
      <c r="G16093">
        <v>11</v>
      </c>
      <c r="H16093">
        <v>1</v>
      </c>
      <c r="I16093">
        <v>580</v>
      </c>
      <c r="J16093">
        <v>1</v>
      </c>
      <c r="K16093">
        <v>1</v>
      </c>
      <c r="L16093">
        <v>581</v>
      </c>
      <c r="M16093">
        <v>1</v>
      </c>
      <c r="N16093">
        <v>0</v>
      </c>
      <c r="O16093">
        <v>2643</v>
      </c>
    </row>
    <row r="16094" spans="1:15" x14ac:dyDescent="0.25">
      <c r="A16094" t="s">
        <v>16107</v>
      </c>
      <c r="B16094">
        <v>333</v>
      </c>
      <c r="C16094" s="1" t="str">
        <f>HYPERLINK("http://www.rosaceae.org/gb/gbrowse/malus_x_domestica/?name=MDP0000221663","MDP0000221663")</f>
        <v>MDP0000221663</v>
      </c>
      <c r="D16094">
        <v>55.39</v>
      </c>
      <c r="E16094">
        <v>352</v>
      </c>
      <c r="F16094">
        <v>157</v>
      </c>
      <c r="G16094">
        <v>29</v>
      </c>
      <c r="H16094">
        <v>5</v>
      </c>
      <c r="I16094">
        <v>329</v>
      </c>
      <c r="J16094">
        <v>1</v>
      </c>
      <c r="K16094">
        <v>11</v>
      </c>
      <c r="L16094">
        <v>360</v>
      </c>
      <c r="M16094">
        <v>1</v>
      </c>
      <c r="N16094">
        <v>3.8128100000000004E-108</v>
      </c>
      <c r="O16094">
        <v>997</v>
      </c>
    </row>
    <row r="16095" spans="1:15" x14ac:dyDescent="0.25">
      <c r="A16095" t="s">
        <v>16108</v>
      </c>
      <c r="B16095">
        <v>269</v>
      </c>
      <c r="C16095" s="1" t="str">
        <f>HYPERLINK("http://www.rosaceae.org/gb/gbrowse/malus_x_domestica/?name=MDP0000204794","MDP0000204794")</f>
        <v>MDP0000204794</v>
      </c>
      <c r="D16095">
        <v>31.84</v>
      </c>
      <c r="E16095">
        <v>201</v>
      </c>
      <c r="F16095">
        <v>137</v>
      </c>
      <c r="G16095">
        <v>3</v>
      </c>
      <c r="H16095">
        <v>6</v>
      </c>
      <c r="I16095">
        <v>205</v>
      </c>
      <c r="J16095">
        <v>1</v>
      </c>
      <c r="K16095">
        <v>351</v>
      </c>
      <c r="L16095">
        <v>549</v>
      </c>
      <c r="M16095">
        <v>1</v>
      </c>
      <c r="N16095">
        <v>1.8728E-29</v>
      </c>
      <c r="O16095">
        <v>317</v>
      </c>
    </row>
    <row r="16096" spans="1:15" x14ac:dyDescent="0.25">
      <c r="A16096" t="s">
        <v>16109</v>
      </c>
      <c r="B16096">
        <v>386</v>
      </c>
      <c r="C16096" s="1" t="str">
        <f>HYPERLINK("http://www.rosaceae.org/gb/gbrowse/malus_x_domestica/?name=MDP0000130570","MDP0000130570")</f>
        <v>MDP0000130570</v>
      </c>
      <c r="D16096">
        <v>39.880000000000003</v>
      </c>
      <c r="E16096">
        <v>356</v>
      </c>
      <c r="F16096">
        <v>214</v>
      </c>
      <c r="G16096">
        <v>36</v>
      </c>
      <c r="H16096">
        <v>20</v>
      </c>
      <c r="I16096">
        <v>372</v>
      </c>
      <c r="J16096">
        <v>1</v>
      </c>
      <c r="K16096">
        <v>46</v>
      </c>
      <c r="L16096">
        <v>368</v>
      </c>
      <c r="M16096">
        <v>1</v>
      </c>
      <c r="N16096">
        <v>5.10988E-50</v>
      </c>
      <c r="O16096">
        <v>497</v>
      </c>
    </row>
    <row r="16097" spans="1:15" x14ac:dyDescent="0.25">
      <c r="A16097" t="s">
        <v>16110</v>
      </c>
      <c r="B16097">
        <v>444</v>
      </c>
      <c r="C16097" s="1" t="str">
        <f>HYPERLINK("http://www.rosaceae.org/gb/gbrowse/malus_x_domestica/?name=MDP0000772731","MDP0000772731")</f>
        <v>MDP0000772731</v>
      </c>
      <c r="D16097">
        <v>43.31</v>
      </c>
      <c r="E16097">
        <v>217</v>
      </c>
      <c r="F16097">
        <v>123</v>
      </c>
      <c r="G16097">
        <v>17</v>
      </c>
      <c r="H16097">
        <v>1</v>
      </c>
      <c r="I16097">
        <v>211</v>
      </c>
      <c r="J16097">
        <v>1</v>
      </c>
      <c r="K16097">
        <v>1</v>
      </c>
      <c r="L16097">
        <v>206</v>
      </c>
      <c r="M16097">
        <v>1</v>
      </c>
      <c r="N16097">
        <v>3.5792900000000001E-37</v>
      </c>
      <c r="O16097">
        <v>386</v>
      </c>
    </row>
    <row r="16098" spans="1:15" x14ac:dyDescent="0.25">
      <c r="A16098" t="s">
        <v>16111</v>
      </c>
      <c r="B16098">
        <v>196</v>
      </c>
      <c r="C16098" s="1" t="str">
        <f>HYPERLINK("http://www.rosaceae.org/gb/gbrowse/malus_x_domestica/?name=MDP0000731702","MDP0000731702")</f>
        <v>MDP0000731702</v>
      </c>
      <c r="D16098">
        <v>76.53</v>
      </c>
      <c r="E16098">
        <v>196</v>
      </c>
      <c r="F16098">
        <v>46</v>
      </c>
      <c r="G16098">
        <v>2</v>
      </c>
      <c r="H16098">
        <v>1</v>
      </c>
      <c r="I16098">
        <v>196</v>
      </c>
      <c r="J16098">
        <v>1</v>
      </c>
      <c r="K16098">
        <v>970</v>
      </c>
      <c r="L16098">
        <v>1163</v>
      </c>
      <c r="M16098">
        <v>1</v>
      </c>
      <c r="N16098">
        <v>2.9847799999999998E-87</v>
      </c>
      <c r="O16098">
        <v>814</v>
      </c>
    </row>
    <row r="16099" spans="1:15" x14ac:dyDescent="0.25">
      <c r="A16099" t="s">
        <v>16112</v>
      </c>
      <c r="B16099">
        <v>335</v>
      </c>
      <c r="C16099" s="1" t="str">
        <f>HYPERLINK("http://www.rosaceae.org/gb/gbrowse/malus_x_domestica/?name=MDP0000136296","MDP0000136296")</f>
        <v>MDP0000136296</v>
      </c>
      <c r="D16099">
        <v>47.71</v>
      </c>
      <c r="E16099">
        <v>241</v>
      </c>
      <c r="F16099">
        <v>126</v>
      </c>
      <c r="G16099">
        <v>1</v>
      </c>
      <c r="H16099">
        <v>91</v>
      </c>
      <c r="I16099">
        <v>331</v>
      </c>
      <c r="J16099">
        <v>1</v>
      </c>
      <c r="K16099">
        <v>2</v>
      </c>
      <c r="L16099">
        <v>241</v>
      </c>
      <c r="M16099">
        <v>1</v>
      </c>
      <c r="N16099">
        <v>4.5726300000000001E-58</v>
      </c>
      <c r="O16099">
        <v>565</v>
      </c>
    </row>
    <row r="16100" spans="1:15" x14ac:dyDescent="0.25">
      <c r="A16100" t="s">
        <v>16113</v>
      </c>
      <c r="B16100">
        <v>329</v>
      </c>
      <c r="C16100" s="1" t="str">
        <f>HYPERLINK("http://www.rosaceae.org/gb/gbrowse/malus_x_domestica/?name=MDP0000146856","MDP0000146856")</f>
        <v>MDP0000146856</v>
      </c>
      <c r="D16100">
        <v>74.739999999999995</v>
      </c>
      <c r="E16100">
        <v>293</v>
      </c>
      <c r="F16100">
        <v>74</v>
      </c>
      <c r="G16100">
        <v>5</v>
      </c>
      <c r="H16100">
        <v>37</v>
      </c>
      <c r="I16100">
        <v>329</v>
      </c>
      <c r="J16100">
        <v>1</v>
      </c>
      <c r="K16100">
        <v>9</v>
      </c>
      <c r="L16100">
        <v>296</v>
      </c>
      <c r="M16100">
        <v>1</v>
      </c>
      <c r="N16100">
        <v>7.3276899999999996E-125</v>
      </c>
      <c r="O16100">
        <v>1141</v>
      </c>
    </row>
    <row r="16101" spans="1:15" x14ac:dyDescent="0.25">
      <c r="A16101" t="s">
        <v>16114</v>
      </c>
      <c r="B16101">
        <v>300</v>
      </c>
      <c r="C16101" s="1" t="str">
        <f>HYPERLINK("http://www.rosaceae.org/gb/gbrowse/malus_x_domestica/?name=MDP0000269421","MDP0000269421")</f>
        <v>MDP0000269421</v>
      </c>
      <c r="D16101">
        <v>62.54</v>
      </c>
      <c r="E16101">
        <v>299</v>
      </c>
      <c r="F16101">
        <v>112</v>
      </c>
      <c r="G16101">
        <v>45</v>
      </c>
      <c r="H16101">
        <v>40</v>
      </c>
      <c r="I16101">
        <v>293</v>
      </c>
      <c r="J16101">
        <v>1</v>
      </c>
      <c r="K16101">
        <v>311</v>
      </c>
      <c r="L16101">
        <v>609</v>
      </c>
      <c r="M16101">
        <v>1</v>
      </c>
      <c r="N16101">
        <v>4.3759500000000001E-105</v>
      </c>
      <c r="O16101">
        <v>970</v>
      </c>
    </row>
    <row r="16102" spans="1:15" x14ac:dyDescent="0.25">
      <c r="A16102" t="s">
        <v>16115</v>
      </c>
      <c r="B16102">
        <v>455</v>
      </c>
      <c r="C16102" s="1" t="str">
        <f>HYPERLINK("http://www.rosaceae.org/gb/gbrowse/malus_x_domestica/?name=MDP0000302499","MDP0000302499")</f>
        <v>MDP0000302499</v>
      </c>
      <c r="D16102">
        <v>84.61</v>
      </c>
      <c r="E16102">
        <v>78</v>
      </c>
      <c r="F16102">
        <v>12</v>
      </c>
      <c r="G16102">
        <v>3</v>
      </c>
      <c r="H16102">
        <v>1</v>
      </c>
      <c r="I16102">
        <v>78</v>
      </c>
      <c r="J16102">
        <v>1</v>
      </c>
      <c r="K16102">
        <v>1</v>
      </c>
      <c r="L16102">
        <v>75</v>
      </c>
      <c r="M16102">
        <v>1</v>
      </c>
      <c r="N16102">
        <v>1.6083799999999999E-29</v>
      </c>
      <c r="O16102">
        <v>321</v>
      </c>
    </row>
    <row r="16103" spans="1:15" x14ac:dyDescent="0.25">
      <c r="A16103" t="s">
        <v>16116</v>
      </c>
      <c r="B16103">
        <v>940</v>
      </c>
      <c r="C16103" s="1" t="str">
        <f>HYPERLINK("http://www.rosaceae.org/gb/gbrowse/malus_x_domestica/?name=MDP0000267875","MDP0000267875")</f>
        <v>MDP0000267875</v>
      </c>
      <c r="D16103">
        <v>82.77</v>
      </c>
      <c r="E16103">
        <v>958</v>
      </c>
      <c r="F16103">
        <v>165</v>
      </c>
      <c r="G16103">
        <v>46</v>
      </c>
      <c r="H16103">
        <v>1</v>
      </c>
      <c r="I16103">
        <v>932</v>
      </c>
      <c r="J16103">
        <v>1</v>
      </c>
      <c r="K16103">
        <v>1</v>
      </c>
      <c r="L16103">
        <v>938</v>
      </c>
      <c r="M16103">
        <v>1</v>
      </c>
      <c r="N16103">
        <v>0</v>
      </c>
      <c r="O16103">
        <v>4152</v>
      </c>
    </row>
    <row r="16104" spans="1:15" x14ac:dyDescent="0.25">
      <c r="A16104" t="s">
        <v>16117</v>
      </c>
      <c r="B16104">
        <v>231</v>
      </c>
      <c r="C16104" s="1" t="str">
        <f>HYPERLINK("http://www.rosaceae.org/gb/gbrowse/malus_x_domestica/?name=MDP0000670228","MDP0000670228")</f>
        <v>MDP0000670228</v>
      </c>
      <c r="D16104">
        <v>34.369999999999997</v>
      </c>
      <c r="E16104">
        <v>192</v>
      </c>
      <c r="F16104">
        <v>126</v>
      </c>
      <c r="G16104">
        <v>33</v>
      </c>
      <c r="H16104">
        <v>59</v>
      </c>
      <c r="I16104">
        <v>228</v>
      </c>
      <c r="J16104">
        <v>1</v>
      </c>
      <c r="K16104">
        <v>127</v>
      </c>
      <c r="L16104">
        <v>307</v>
      </c>
      <c r="M16104">
        <v>1</v>
      </c>
      <c r="N16104">
        <v>8.0742900000000003E-19</v>
      </c>
      <c r="O16104">
        <v>225</v>
      </c>
    </row>
    <row r="16105" spans="1:15" x14ac:dyDescent="0.25">
      <c r="A16105" t="s">
        <v>16118</v>
      </c>
      <c r="B16105">
        <v>182</v>
      </c>
      <c r="C16105" s="1" t="str">
        <f>HYPERLINK("http://www.rosaceae.org/gb/gbrowse/malus_x_domestica/?name=MDP0000251669","MDP0000251669")</f>
        <v>MDP0000251669</v>
      </c>
      <c r="D16105">
        <v>81.42</v>
      </c>
      <c r="E16105">
        <v>140</v>
      </c>
      <c r="F16105">
        <v>26</v>
      </c>
      <c r="G16105">
        <v>2</v>
      </c>
      <c r="H16105">
        <v>42</v>
      </c>
      <c r="I16105">
        <v>179</v>
      </c>
      <c r="J16105">
        <v>1</v>
      </c>
      <c r="K16105">
        <v>31</v>
      </c>
      <c r="L16105">
        <v>170</v>
      </c>
      <c r="M16105">
        <v>1</v>
      </c>
      <c r="N16105">
        <v>1.7096199999999999E-63</v>
      </c>
      <c r="O16105">
        <v>608</v>
      </c>
    </row>
    <row r="16106" spans="1:15" x14ac:dyDescent="0.25">
      <c r="A16106" t="s">
        <v>16119</v>
      </c>
      <c r="B16106">
        <v>441</v>
      </c>
      <c r="C16106" s="1" t="str">
        <f>HYPERLINK("http://www.rosaceae.org/gb/gbrowse/malus_x_domestica/?name=MDP0000662845","MDP0000662845")</f>
        <v>MDP0000662845</v>
      </c>
      <c r="D16106">
        <v>48.65</v>
      </c>
      <c r="E16106">
        <v>409</v>
      </c>
      <c r="F16106">
        <v>210</v>
      </c>
      <c r="G16106">
        <v>40</v>
      </c>
      <c r="H16106">
        <v>7</v>
      </c>
      <c r="I16106">
        <v>396</v>
      </c>
      <c r="J16106">
        <v>1</v>
      </c>
      <c r="K16106">
        <v>3</v>
      </c>
      <c r="L16106">
        <v>390</v>
      </c>
      <c r="M16106">
        <v>1</v>
      </c>
      <c r="N16106">
        <v>5.5642900000000003E-96</v>
      </c>
      <c r="O16106">
        <v>894</v>
      </c>
    </row>
    <row r="16107" spans="1:15" x14ac:dyDescent="0.25">
      <c r="A16107" t="s">
        <v>16120</v>
      </c>
      <c r="B16107">
        <v>440</v>
      </c>
      <c r="C16107" s="1" t="str">
        <f>HYPERLINK("http://www.rosaceae.org/gb/gbrowse/malus_x_domestica/?name=MDP0000303738","MDP0000303738")</f>
        <v>MDP0000303738</v>
      </c>
      <c r="D16107">
        <v>53.2</v>
      </c>
      <c r="E16107">
        <v>203</v>
      </c>
      <c r="F16107">
        <v>95</v>
      </c>
      <c r="G16107">
        <v>43</v>
      </c>
      <c r="H16107">
        <v>112</v>
      </c>
      <c r="I16107">
        <v>271</v>
      </c>
      <c r="J16107">
        <v>1</v>
      </c>
      <c r="K16107">
        <v>260</v>
      </c>
      <c r="L16107">
        <v>462</v>
      </c>
      <c r="M16107">
        <v>1</v>
      </c>
      <c r="N16107">
        <v>1.1622000000000001E-48</v>
      </c>
      <c r="O16107">
        <v>486</v>
      </c>
    </row>
    <row r="16108" spans="1:15" x14ac:dyDescent="0.25">
      <c r="A16108" t="s">
        <v>16121</v>
      </c>
      <c r="B16108">
        <v>509</v>
      </c>
      <c r="C16108" s="1" t="str">
        <f>HYPERLINK("http://www.rosaceae.org/gb/gbrowse/malus_x_domestica/?name=MDP0000126481","MDP0000126481")</f>
        <v>MDP0000126481</v>
      </c>
      <c r="D16108">
        <v>55.27</v>
      </c>
      <c r="E16108">
        <v>398</v>
      </c>
      <c r="F16108">
        <v>178</v>
      </c>
      <c r="G16108">
        <v>12</v>
      </c>
      <c r="H16108">
        <v>103</v>
      </c>
      <c r="I16108">
        <v>493</v>
      </c>
      <c r="J16108">
        <v>1</v>
      </c>
      <c r="K16108">
        <v>122</v>
      </c>
      <c r="L16108">
        <v>514</v>
      </c>
      <c r="M16108">
        <v>1</v>
      </c>
      <c r="N16108">
        <v>2.20897E-130</v>
      </c>
      <c r="O16108">
        <v>1191</v>
      </c>
    </row>
    <row r="16109" spans="1:15" x14ac:dyDescent="0.25">
      <c r="A16109" t="s">
        <v>16122</v>
      </c>
      <c r="B16109">
        <v>461</v>
      </c>
      <c r="C16109" s="1" t="str">
        <f>HYPERLINK("http://www.rosaceae.org/gb/gbrowse/malus_x_domestica/?name=MDP0000161022","MDP0000161022")</f>
        <v>MDP0000161022</v>
      </c>
      <c r="D16109">
        <v>35.32</v>
      </c>
      <c r="E16109">
        <v>184</v>
      </c>
      <c r="F16109">
        <v>119</v>
      </c>
      <c r="G16109">
        <v>24</v>
      </c>
      <c r="H16109">
        <v>278</v>
      </c>
      <c r="I16109">
        <v>441</v>
      </c>
      <c r="J16109">
        <v>1</v>
      </c>
      <c r="K16109">
        <v>407</v>
      </c>
      <c r="L16109">
        <v>586</v>
      </c>
      <c r="M16109">
        <v>1</v>
      </c>
      <c r="N16109">
        <v>8.4199E-19</v>
      </c>
      <c r="O16109">
        <v>228</v>
      </c>
    </row>
    <row r="16110" spans="1:15" x14ac:dyDescent="0.25">
      <c r="A16110" t="s">
        <v>16123</v>
      </c>
      <c r="B16110">
        <v>366</v>
      </c>
      <c r="C16110" s="1" t="str">
        <f>HYPERLINK("http://www.rosaceae.org/gb/gbrowse/malus_x_domestica/?name=MDP0000515855","MDP0000515855")</f>
        <v>MDP0000515855</v>
      </c>
      <c r="D16110">
        <v>81.540000000000006</v>
      </c>
      <c r="E16110">
        <v>363</v>
      </c>
      <c r="F16110">
        <v>67</v>
      </c>
      <c r="G16110">
        <v>3</v>
      </c>
      <c r="H16110">
        <v>1</v>
      </c>
      <c r="I16110">
        <v>363</v>
      </c>
      <c r="J16110">
        <v>1</v>
      </c>
      <c r="K16110">
        <v>1</v>
      </c>
      <c r="L16110">
        <v>360</v>
      </c>
      <c r="M16110">
        <v>1</v>
      </c>
      <c r="N16110">
        <v>2.1801199999999999E-172</v>
      </c>
      <c r="O16110">
        <v>1552</v>
      </c>
    </row>
    <row r="16111" spans="1:15" x14ac:dyDescent="0.25">
      <c r="A16111" t="s">
        <v>16124</v>
      </c>
      <c r="B16111">
        <v>883</v>
      </c>
      <c r="C16111" s="1" t="str">
        <f>HYPERLINK("http://www.rosaceae.org/gb/gbrowse/malus_x_domestica/?name=MDP0000263992","MDP0000263992")</f>
        <v>MDP0000263992</v>
      </c>
      <c r="D16111">
        <v>72.59</v>
      </c>
      <c r="E16111">
        <v>872</v>
      </c>
      <c r="F16111">
        <v>239</v>
      </c>
      <c r="G16111">
        <v>5</v>
      </c>
      <c r="H16111">
        <v>1</v>
      </c>
      <c r="I16111">
        <v>867</v>
      </c>
      <c r="J16111">
        <v>1</v>
      </c>
      <c r="K16111">
        <v>1</v>
      </c>
      <c r="L16111">
        <v>872</v>
      </c>
      <c r="M16111">
        <v>1</v>
      </c>
      <c r="N16111">
        <v>0</v>
      </c>
      <c r="O16111">
        <v>3319</v>
      </c>
    </row>
    <row r="16112" spans="1:15" x14ac:dyDescent="0.25">
      <c r="A16112" t="s">
        <v>16125</v>
      </c>
      <c r="B16112">
        <v>441</v>
      </c>
      <c r="C16112" s="1" t="str">
        <f>HYPERLINK("http://www.rosaceae.org/gb/gbrowse/malus_x_domestica/?name=MDP0000814899","MDP0000814899")</f>
        <v>MDP0000814899</v>
      </c>
      <c r="D16112">
        <v>69.44</v>
      </c>
      <c r="E16112">
        <v>432</v>
      </c>
      <c r="F16112">
        <v>132</v>
      </c>
      <c r="G16112">
        <v>3</v>
      </c>
      <c r="H16112">
        <v>7</v>
      </c>
      <c r="I16112">
        <v>438</v>
      </c>
      <c r="J16112">
        <v>1</v>
      </c>
      <c r="K16112">
        <v>253</v>
      </c>
      <c r="L16112">
        <v>681</v>
      </c>
      <c r="M16112">
        <v>1</v>
      </c>
      <c r="N16112">
        <v>2.4390199999999999E-178</v>
      </c>
      <c r="O16112">
        <v>1604</v>
      </c>
    </row>
    <row r="16113" spans="1:15" x14ac:dyDescent="0.25">
      <c r="A16113" t="s">
        <v>16126</v>
      </c>
      <c r="B16113">
        <v>231</v>
      </c>
      <c r="C16113" s="1" t="str">
        <f>HYPERLINK("http://www.rosaceae.org/gb/gbrowse/malus_x_domestica/?name=MDP0000203230","MDP0000203230")</f>
        <v>MDP0000203230</v>
      </c>
      <c r="D16113">
        <v>80.44</v>
      </c>
      <c r="E16113">
        <v>179</v>
      </c>
      <c r="F16113">
        <v>35</v>
      </c>
      <c r="G16113">
        <v>1</v>
      </c>
      <c r="H16113">
        <v>48</v>
      </c>
      <c r="I16113">
        <v>226</v>
      </c>
      <c r="J16113">
        <v>1</v>
      </c>
      <c r="K16113">
        <v>3</v>
      </c>
      <c r="L16113">
        <v>180</v>
      </c>
      <c r="M16113">
        <v>1</v>
      </c>
      <c r="N16113">
        <v>3.4728300000000001E-80</v>
      </c>
      <c r="O16113">
        <v>754</v>
      </c>
    </row>
    <row r="16114" spans="1:15" x14ac:dyDescent="0.25">
      <c r="A16114" t="s">
        <v>16127</v>
      </c>
      <c r="B16114">
        <v>902</v>
      </c>
      <c r="C16114" s="1" t="str">
        <f>HYPERLINK("http://www.rosaceae.org/gb/gbrowse/malus_x_domestica/?name=MDP0000309906","MDP0000309906")</f>
        <v>MDP0000309906</v>
      </c>
      <c r="D16114">
        <v>69.14</v>
      </c>
      <c r="E16114">
        <v>982</v>
      </c>
      <c r="F16114">
        <v>303</v>
      </c>
      <c r="G16114">
        <v>97</v>
      </c>
      <c r="H16114">
        <v>1</v>
      </c>
      <c r="I16114">
        <v>901</v>
      </c>
      <c r="J16114">
        <v>1</v>
      </c>
      <c r="K16114">
        <v>1</v>
      </c>
      <c r="L16114">
        <v>966</v>
      </c>
      <c r="M16114">
        <v>1</v>
      </c>
      <c r="N16114">
        <v>0</v>
      </c>
      <c r="O16114">
        <v>3271</v>
      </c>
    </row>
    <row r="16115" spans="1:15" x14ac:dyDescent="0.25">
      <c r="A16115" t="s">
        <v>16128</v>
      </c>
      <c r="B16115">
        <v>150</v>
      </c>
      <c r="C16115" s="1" t="str">
        <f>HYPERLINK("http://www.rosaceae.org/gb/gbrowse/malus_x_domestica/?name=MDP0000184262","MDP0000184262")</f>
        <v>MDP0000184262</v>
      </c>
      <c r="D16115">
        <v>41.66</v>
      </c>
      <c r="E16115">
        <v>144</v>
      </c>
      <c r="F16115">
        <v>84</v>
      </c>
      <c r="G16115">
        <v>24</v>
      </c>
      <c r="H16115">
        <v>26</v>
      </c>
      <c r="I16115">
        <v>149</v>
      </c>
      <c r="J16115">
        <v>1</v>
      </c>
      <c r="K16115">
        <v>132</v>
      </c>
      <c r="L16115">
        <v>271</v>
      </c>
      <c r="M16115">
        <v>1</v>
      </c>
      <c r="N16115">
        <v>1.69426E-16</v>
      </c>
      <c r="O16115">
        <v>202</v>
      </c>
    </row>
    <row r="16116" spans="1:15" x14ac:dyDescent="0.25">
      <c r="A16116" t="s">
        <v>16129</v>
      </c>
      <c r="B16116">
        <v>213</v>
      </c>
      <c r="C16116" s="1" t="str">
        <f>HYPERLINK("http://www.rosaceae.org/gb/gbrowse/malus_x_domestica/?name=MDP0000603638","MDP0000603638")</f>
        <v>MDP0000603638</v>
      </c>
      <c r="D16116">
        <v>49.21</v>
      </c>
      <c r="E16116">
        <v>256</v>
      </c>
      <c r="F16116">
        <v>130</v>
      </c>
      <c r="G16116">
        <v>57</v>
      </c>
      <c r="H16116">
        <v>1</v>
      </c>
      <c r="I16116">
        <v>204</v>
      </c>
      <c r="J16116">
        <v>1</v>
      </c>
      <c r="K16116">
        <v>1</v>
      </c>
      <c r="L16116">
        <v>251</v>
      </c>
      <c r="M16116">
        <v>1</v>
      </c>
      <c r="N16116">
        <v>2.9841100000000001E-50</v>
      </c>
      <c r="O16116">
        <v>495</v>
      </c>
    </row>
    <row r="16117" spans="1:15" x14ac:dyDescent="0.25">
      <c r="A16117" t="s">
        <v>16130</v>
      </c>
      <c r="B16117">
        <v>130</v>
      </c>
      <c r="C16117" s="1" t="str">
        <f>HYPERLINK("http://www.rosaceae.org/gb/gbrowse/malus_x_domestica/?name=MDP0000276205","MDP0000276205")</f>
        <v>MDP0000276205</v>
      </c>
      <c r="D16117">
        <v>88.37</v>
      </c>
      <c r="E16117">
        <v>129</v>
      </c>
      <c r="F16117">
        <v>15</v>
      </c>
      <c r="G16117">
        <v>0</v>
      </c>
      <c r="H16117">
        <v>1</v>
      </c>
      <c r="I16117">
        <v>129</v>
      </c>
      <c r="J16117">
        <v>1</v>
      </c>
      <c r="K16117">
        <v>1</v>
      </c>
      <c r="L16117">
        <v>129</v>
      </c>
      <c r="M16117">
        <v>1</v>
      </c>
      <c r="N16117">
        <v>5.8861399999999998E-64</v>
      </c>
      <c r="O16117">
        <v>610</v>
      </c>
    </row>
    <row r="16118" spans="1:15" x14ac:dyDescent="0.25">
      <c r="A16118" t="s">
        <v>16131</v>
      </c>
      <c r="B16118">
        <v>208</v>
      </c>
      <c r="C16118" s="1" t="str">
        <f>HYPERLINK("http://www.rosaceae.org/gb/gbrowse/malus_x_domestica/?name=MDP0000170251","MDP0000170251")</f>
        <v>MDP0000170251</v>
      </c>
      <c r="D16118">
        <v>34.81</v>
      </c>
      <c r="E16118">
        <v>158</v>
      </c>
      <c r="F16118">
        <v>103</v>
      </c>
      <c r="G16118">
        <v>7</v>
      </c>
      <c r="H16118">
        <v>53</v>
      </c>
      <c r="I16118">
        <v>208</v>
      </c>
      <c r="J16118">
        <v>1</v>
      </c>
      <c r="K16118">
        <v>109</v>
      </c>
      <c r="L16118">
        <v>261</v>
      </c>
      <c r="M16118">
        <v>1</v>
      </c>
      <c r="N16118">
        <v>2.69387E-18</v>
      </c>
      <c r="O16118">
        <v>220</v>
      </c>
    </row>
    <row r="16119" spans="1:15" x14ac:dyDescent="0.25">
      <c r="A16119" t="s">
        <v>16132</v>
      </c>
      <c r="B16119">
        <v>419</v>
      </c>
      <c r="C16119" s="1" t="str">
        <f>HYPERLINK("http://www.rosaceae.org/gb/gbrowse/malus_x_domestica/?name=MDP0000261311","MDP0000261311")</f>
        <v>MDP0000261311</v>
      </c>
      <c r="D16119">
        <v>29.23</v>
      </c>
      <c r="E16119">
        <v>236</v>
      </c>
      <c r="F16119">
        <v>167</v>
      </c>
      <c r="G16119">
        <v>11</v>
      </c>
      <c r="H16119">
        <v>1</v>
      </c>
      <c r="I16119">
        <v>230</v>
      </c>
      <c r="J16119">
        <v>1</v>
      </c>
      <c r="K16119">
        <v>354</v>
      </c>
      <c r="L16119">
        <v>584</v>
      </c>
      <c r="M16119">
        <v>1</v>
      </c>
      <c r="N16119">
        <v>5.90217E-27</v>
      </c>
      <c r="O16119">
        <v>298</v>
      </c>
    </row>
    <row r="16120" spans="1:15" x14ac:dyDescent="0.25">
      <c r="A16120" t="s">
        <v>16133</v>
      </c>
      <c r="B16120">
        <v>357</v>
      </c>
      <c r="C16120" s="1" t="str">
        <f>HYPERLINK("http://www.rosaceae.org/gb/gbrowse/malus_x_domestica/?name=MDP0000144730","MDP0000144730")</f>
        <v>MDP0000144730</v>
      </c>
      <c r="D16120">
        <v>70.58</v>
      </c>
      <c r="E16120">
        <v>340</v>
      </c>
      <c r="F16120">
        <v>100</v>
      </c>
      <c r="G16120">
        <v>0</v>
      </c>
      <c r="H16120">
        <v>18</v>
      </c>
      <c r="I16120">
        <v>357</v>
      </c>
      <c r="J16120">
        <v>1</v>
      </c>
      <c r="K16120">
        <v>135</v>
      </c>
      <c r="L16120">
        <v>474</v>
      </c>
      <c r="M16120">
        <v>1</v>
      </c>
      <c r="N16120">
        <v>6.8364499999999997E-138</v>
      </c>
      <c r="O16120">
        <v>1254</v>
      </c>
    </row>
    <row r="16121" spans="1:15" x14ac:dyDescent="0.25">
      <c r="A16121" t="s">
        <v>16134</v>
      </c>
      <c r="B16121">
        <v>437</v>
      </c>
      <c r="C16121" s="1" t="str">
        <f>HYPERLINK("http://www.rosaceae.org/gb/gbrowse/malus_x_domestica/?name=MDP0000775116","MDP0000775116")</f>
        <v>MDP0000775116</v>
      </c>
      <c r="D16121">
        <v>41.97</v>
      </c>
      <c r="E16121">
        <v>467</v>
      </c>
      <c r="F16121">
        <v>271</v>
      </c>
      <c r="G16121">
        <v>44</v>
      </c>
      <c r="H16121">
        <v>1</v>
      </c>
      <c r="I16121">
        <v>436</v>
      </c>
      <c r="J16121">
        <v>1</v>
      </c>
      <c r="K16121">
        <v>26</v>
      </c>
      <c r="L16121">
        <v>479</v>
      </c>
      <c r="M16121">
        <v>1</v>
      </c>
      <c r="N16121">
        <v>1.65416E-89</v>
      </c>
      <c r="O16121">
        <v>838</v>
      </c>
    </row>
    <row r="16122" spans="1:15" x14ac:dyDescent="0.25">
      <c r="A16122" t="s">
        <v>16135</v>
      </c>
      <c r="B16122">
        <v>458</v>
      </c>
      <c r="C16122" s="1" t="str">
        <f>HYPERLINK("http://www.rosaceae.org/gb/gbrowse/malus_x_domestica/?name=MDP0000278274","MDP0000278274")</f>
        <v>MDP0000278274</v>
      </c>
      <c r="D16122">
        <v>64.2</v>
      </c>
      <c r="E16122">
        <v>352</v>
      </c>
      <c r="F16122">
        <v>126</v>
      </c>
      <c r="G16122">
        <v>2</v>
      </c>
      <c r="H16122">
        <v>106</v>
      </c>
      <c r="I16122">
        <v>456</v>
      </c>
      <c r="J16122">
        <v>1</v>
      </c>
      <c r="K16122">
        <v>103</v>
      </c>
      <c r="L16122">
        <v>453</v>
      </c>
      <c r="M16122">
        <v>1</v>
      </c>
      <c r="N16122">
        <v>2.3325899999999999E-129</v>
      </c>
      <c r="O16122">
        <v>1182</v>
      </c>
    </row>
    <row r="16123" spans="1:15" x14ac:dyDescent="0.25">
      <c r="A16123" t="s">
        <v>16136</v>
      </c>
      <c r="B16123">
        <v>503</v>
      </c>
      <c r="C16123" s="1" t="str">
        <f>HYPERLINK("http://www.rosaceae.org/gb/gbrowse/malus_x_domestica/?name=MDP0000150092","MDP0000150092")</f>
        <v>MDP0000150092</v>
      </c>
      <c r="D16123">
        <v>73.010000000000005</v>
      </c>
      <c r="E16123">
        <v>467</v>
      </c>
      <c r="F16123">
        <v>126</v>
      </c>
      <c r="G16123">
        <v>8</v>
      </c>
      <c r="H16123">
        <v>21</v>
      </c>
      <c r="I16123">
        <v>479</v>
      </c>
      <c r="J16123">
        <v>1</v>
      </c>
      <c r="K16123">
        <v>21</v>
      </c>
      <c r="L16123">
        <v>487</v>
      </c>
      <c r="M16123">
        <v>1</v>
      </c>
      <c r="N16123">
        <v>0</v>
      </c>
      <c r="O16123">
        <v>1825</v>
      </c>
    </row>
    <row r="16124" spans="1:15" x14ac:dyDescent="0.25">
      <c r="A16124" t="s">
        <v>16137</v>
      </c>
      <c r="B16124">
        <v>1475</v>
      </c>
      <c r="C16124" s="1" t="str">
        <f>HYPERLINK("http://www.rosaceae.org/gb/gbrowse/malus_x_domestica/?name=MDP0000410000","MDP0000410000")</f>
        <v>MDP0000410000</v>
      </c>
      <c r="D16124">
        <v>52.4</v>
      </c>
      <c r="E16124">
        <v>1475</v>
      </c>
      <c r="F16124">
        <v>702</v>
      </c>
      <c r="G16124">
        <v>123</v>
      </c>
      <c r="H16124">
        <v>1</v>
      </c>
      <c r="I16124">
        <v>1428</v>
      </c>
      <c r="J16124">
        <v>1</v>
      </c>
      <c r="K16124">
        <v>1</v>
      </c>
      <c r="L16124">
        <v>1399</v>
      </c>
      <c r="M16124">
        <v>1</v>
      </c>
      <c r="N16124">
        <v>0</v>
      </c>
      <c r="O16124">
        <v>3160</v>
      </c>
    </row>
    <row r="16125" spans="1:15" x14ac:dyDescent="0.25">
      <c r="A16125" t="s">
        <v>16138</v>
      </c>
      <c r="B16125">
        <v>380</v>
      </c>
      <c r="C16125" s="1" t="str">
        <f>HYPERLINK("http://www.rosaceae.org/gb/gbrowse/malus_x_domestica/?name=MDP0000309960","MDP0000309960")</f>
        <v>MDP0000309960</v>
      </c>
      <c r="D16125">
        <v>57.14</v>
      </c>
      <c r="E16125">
        <v>357</v>
      </c>
      <c r="F16125">
        <v>153</v>
      </c>
      <c r="G16125">
        <v>23</v>
      </c>
      <c r="H16125">
        <v>38</v>
      </c>
      <c r="I16125">
        <v>379</v>
      </c>
      <c r="J16125">
        <v>1</v>
      </c>
      <c r="K16125">
        <v>335</v>
      </c>
      <c r="L16125">
        <v>683</v>
      </c>
      <c r="M16125">
        <v>1</v>
      </c>
      <c r="N16125">
        <v>1.14972E-113</v>
      </c>
      <c r="O16125">
        <v>1045</v>
      </c>
    </row>
    <row r="16126" spans="1:15" x14ac:dyDescent="0.25">
      <c r="A16126" t="s">
        <v>16139</v>
      </c>
      <c r="B16126">
        <v>471</v>
      </c>
      <c r="C16126" s="1" t="str">
        <f>HYPERLINK("http://www.rosaceae.org/gb/gbrowse/malus_x_domestica/?name=MDP0000256033","MDP0000256033")</f>
        <v>MDP0000256033</v>
      </c>
      <c r="D16126">
        <v>66.430000000000007</v>
      </c>
      <c r="E16126">
        <v>438</v>
      </c>
      <c r="F16126">
        <v>147</v>
      </c>
      <c r="G16126">
        <v>13</v>
      </c>
      <c r="H16126">
        <v>1</v>
      </c>
      <c r="I16126">
        <v>434</v>
      </c>
      <c r="J16126">
        <v>1</v>
      </c>
      <c r="K16126">
        <v>1</v>
      </c>
      <c r="L16126">
        <v>429</v>
      </c>
      <c r="M16126">
        <v>1</v>
      </c>
      <c r="N16126">
        <v>2.64826E-162</v>
      </c>
      <c r="O16126">
        <v>1466</v>
      </c>
    </row>
    <row r="16127" spans="1:15" x14ac:dyDescent="0.25">
      <c r="A16127" t="s">
        <v>16140</v>
      </c>
      <c r="B16127">
        <v>574</v>
      </c>
      <c r="C16127" s="1" t="str">
        <f>HYPERLINK("http://www.rosaceae.org/gb/gbrowse/malus_x_domestica/?name=MDP0000564236","MDP0000564236")</f>
        <v>MDP0000564236</v>
      </c>
      <c r="D16127">
        <v>84.94</v>
      </c>
      <c r="E16127">
        <v>578</v>
      </c>
      <c r="F16127">
        <v>87</v>
      </c>
      <c r="G16127">
        <v>9</v>
      </c>
      <c r="H16127">
        <v>3</v>
      </c>
      <c r="I16127">
        <v>572</v>
      </c>
      <c r="J16127">
        <v>1</v>
      </c>
      <c r="K16127">
        <v>1</v>
      </c>
      <c r="L16127">
        <v>577</v>
      </c>
      <c r="M16127">
        <v>1</v>
      </c>
      <c r="N16127">
        <v>0</v>
      </c>
      <c r="O16127">
        <v>2623</v>
      </c>
    </row>
    <row r="16128" spans="1:15" x14ac:dyDescent="0.25">
      <c r="A16128" t="s">
        <v>16141</v>
      </c>
      <c r="B16128">
        <v>550</v>
      </c>
      <c r="C16128" s="1" t="str">
        <f>HYPERLINK("http://www.rosaceae.org/gb/gbrowse/malus_x_domestica/?name=MDP0000675452","MDP0000675452")</f>
        <v>MDP0000675452</v>
      </c>
      <c r="D16128">
        <v>41.37</v>
      </c>
      <c r="E16128">
        <v>406</v>
      </c>
      <c r="F16128">
        <v>238</v>
      </c>
      <c r="G16128">
        <v>68</v>
      </c>
      <c r="H16128">
        <v>152</v>
      </c>
      <c r="I16128">
        <v>492</v>
      </c>
      <c r="J16128">
        <v>1</v>
      </c>
      <c r="K16128">
        <v>110</v>
      </c>
      <c r="L16128">
        <v>512</v>
      </c>
      <c r="M16128">
        <v>1</v>
      </c>
      <c r="N16128">
        <v>8.76346E-87</v>
      </c>
      <c r="O16128">
        <v>815</v>
      </c>
    </row>
    <row r="16129" spans="1:15" x14ac:dyDescent="0.25">
      <c r="A16129" t="s">
        <v>16142</v>
      </c>
      <c r="B16129">
        <v>1545</v>
      </c>
      <c r="C16129" s="1" t="str">
        <f>HYPERLINK("http://www.rosaceae.org/gb/gbrowse/malus_x_domestica/?name=MDP0000319744","MDP0000319744")</f>
        <v>MDP0000319744</v>
      </c>
      <c r="D16129">
        <v>80.81</v>
      </c>
      <c r="E16129">
        <v>1418</v>
      </c>
      <c r="F16129">
        <v>272</v>
      </c>
      <c r="G16129">
        <v>50</v>
      </c>
      <c r="H16129">
        <v>3</v>
      </c>
      <c r="I16129">
        <v>1407</v>
      </c>
      <c r="J16129">
        <v>1</v>
      </c>
      <c r="K16129">
        <v>56</v>
      </c>
      <c r="L16129">
        <v>1436</v>
      </c>
      <c r="M16129">
        <v>1</v>
      </c>
      <c r="N16129">
        <v>0</v>
      </c>
      <c r="O16129">
        <v>6108</v>
      </c>
    </row>
    <row r="16130" spans="1:15" x14ac:dyDescent="0.25">
      <c r="A16130" t="s">
        <v>16143</v>
      </c>
      <c r="B16130">
        <v>121</v>
      </c>
      <c r="C16130" s="1" t="str">
        <f>HYPERLINK("http://www.rosaceae.org/gb/gbrowse/malus_x_domestica/?name=MDP0000316899","MDP0000316899")</f>
        <v>MDP0000316899</v>
      </c>
      <c r="D16130">
        <v>31.48</v>
      </c>
      <c r="E16130">
        <v>108</v>
      </c>
      <c r="F16130">
        <v>74</v>
      </c>
      <c r="G16130">
        <v>2</v>
      </c>
      <c r="H16130">
        <v>3</v>
      </c>
      <c r="I16130">
        <v>108</v>
      </c>
      <c r="J16130">
        <v>1</v>
      </c>
      <c r="K16130">
        <v>610</v>
      </c>
      <c r="L16130">
        <v>717</v>
      </c>
      <c r="M16130">
        <v>1</v>
      </c>
      <c r="N16130">
        <v>4.3622299999999997E-11</v>
      </c>
      <c r="O16130">
        <v>153</v>
      </c>
    </row>
    <row r="16131" spans="1:15" x14ac:dyDescent="0.25">
      <c r="A16131" t="s">
        <v>16144</v>
      </c>
      <c r="B16131">
        <v>422</v>
      </c>
      <c r="C16131" s="1" t="str">
        <f>HYPERLINK("http://www.rosaceae.org/gb/gbrowse/malus_x_domestica/?name=MDP0000172055","MDP0000172055")</f>
        <v>MDP0000172055</v>
      </c>
      <c r="D16131">
        <v>41.58</v>
      </c>
      <c r="E16131">
        <v>428</v>
      </c>
      <c r="F16131">
        <v>250</v>
      </c>
      <c r="G16131">
        <v>30</v>
      </c>
      <c r="H16131">
        <v>4</v>
      </c>
      <c r="I16131">
        <v>419</v>
      </c>
      <c r="J16131">
        <v>1</v>
      </c>
      <c r="K16131">
        <v>61</v>
      </c>
      <c r="L16131">
        <v>470</v>
      </c>
      <c r="M16131">
        <v>1</v>
      </c>
      <c r="N16131">
        <v>1.97994E-86</v>
      </c>
      <c r="O16131">
        <v>811</v>
      </c>
    </row>
    <row r="16132" spans="1:15" x14ac:dyDescent="0.25">
      <c r="A16132" t="s">
        <v>16145</v>
      </c>
      <c r="B16132">
        <v>1099</v>
      </c>
      <c r="C16132" s="1" t="str">
        <f>HYPERLINK("http://www.rosaceae.org/gb/gbrowse/malus_x_domestica/?name=MDP0000234765","MDP0000234765")</f>
        <v>MDP0000234765</v>
      </c>
      <c r="D16132">
        <v>72.03</v>
      </c>
      <c r="E16132">
        <v>987</v>
      </c>
      <c r="F16132">
        <v>276</v>
      </c>
      <c r="G16132">
        <v>45</v>
      </c>
      <c r="H16132">
        <v>142</v>
      </c>
      <c r="I16132">
        <v>1098</v>
      </c>
      <c r="J16132">
        <v>1</v>
      </c>
      <c r="K16132">
        <v>1</v>
      </c>
      <c r="L16132">
        <v>972</v>
      </c>
      <c r="M16132">
        <v>1</v>
      </c>
      <c r="N16132">
        <v>0</v>
      </c>
      <c r="O16132">
        <v>3578</v>
      </c>
    </row>
    <row r="16133" spans="1:15" x14ac:dyDescent="0.25">
      <c r="A16133" t="s">
        <v>16146</v>
      </c>
      <c r="B16133">
        <v>363</v>
      </c>
      <c r="C16133" s="1" t="str">
        <f>HYPERLINK("http://www.rosaceae.org/gb/gbrowse/malus_x_domestica/?name=MDP0000888311","MDP0000888311")</f>
        <v>MDP0000888311</v>
      </c>
      <c r="D16133">
        <v>73.56</v>
      </c>
      <c r="E16133">
        <v>367</v>
      </c>
      <c r="F16133">
        <v>97</v>
      </c>
      <c r="G16133">
        <v>26</v>
      </c>
      <c r="H16133">
        <v>3</v>
      </c>
      <c r="I16133">
        <v>363</v>
      </c>
      <c r="J16133">
        <v>1</v>
      </c>
      <c r="K16133">
        <v>4</v>
      </c>
      <c r="L16133">
        <v>350</v>
      </c>
      <c r="M16133">
        <v>1</v>
      </c>
      <c r="N16133">
        <v>2.3318900000000001E-159</v>
      </c>
      <c r="O16133">
        <v>1439</v>
      </c>
    </row>
    <row r="16134" spans="1:15" x14ac:dyDescent="0.25">
      <c r="A16134" t="s">
        <v>16147</v>
      </c>
      <c r="B16134">
        <v>1073</v>
      </c>
      <c r="C16134" s="1" t="str">
        <f>HYPERLINK("http://www.rosaceae.org/gb/gbrowse/malus_x_domestica/?name=MDP0000205540","MDP0000205540")</f>
        <v>MDP0000205540</v>
      </c>
      <c r="D16134">
        <v>95.76</v>
      </c>
      <c r="E16134">
        <v>614</v>
      </c>
      <c r="F16134">
        <v>26</v>
      </c>
      <c r="G16134">
        <v>0</v>
      </c>
      <c r="H16134">
        <v>460</v>
      </c>
      <c r="I16134">
        <v>1073</v>
      </c>
      <c r="J16134">
        <v>1</v>
      </c>
      <c r="K16134">
        <v>35</v>
      </c>
      <c r="L16134">
        <v>648</v>
      </c>
      <c r="M16134">
        <v>1</v>
      </c>
      <c r="N16134">
        <v>0</v>
      </c>
      <c r="O16134">
        <v>3077</v>
      </c>
    </row>
    <row r="16135" spans="1:15" x14ac:dyDescent="0.25">
      <c r="A16135" t="s">
        <v>16148</v>
      </c>
      <c r="B16135">
        <v>331</v>
      </c>
      <c r="C16135" s="1" t="str">
        <f>HYPERLINK("http://www.rosaceae.org/gb/gbrowse/malus_x_domestica/?name=MDP0000708887","MDP0000708887")</f>
        <v>MDP0000708887</v>
      </c>
      <c r="D16135">
        <v>77.650000000000006</v>
      </c>
      <c r="E16135">
        <v>273</v>
      </c>
      <c r="F16135">
        <v>61</v>
      </c>
      <c r="G16135">
        <v>5</v>
      </c>
      <c r="H16135">
        <v>38</v>
      </c>
      <c r="I16135">
        <v>306</v>
      </c>
      <c r="J16135">
        <v>1</v>
      </c>
      <c r="K16135">
        <v>9</v>
      </c>
      <c r="L16135">
        <v>280</v>
      </c>
      <c r="M16135">
        <v>1</v>
      </c>
      <c r="N16135">
        <v>1.6921299999999999E-117</v>
      </c>
      <c r="O16135">
        <v>1078</v>
      </c>
    </row>
    <row r="16136" spans="1:15" x14ac:dyDescent="0.25">
      <c r="A16136" t="s">
        <v>16149</v>
      </c>
      <c r="B16136">
        <v>346</v>
      </c>
      <c r="C16136" s="1" t="str">
        <f>HYPERLINK("http://www.rosaceae.org/gb/gbrowse/malus_x_domestica/?name=MDP0000636632","MDP0000636632")</f>
        <v>MDP0000636632</v>
      </c>
      <c r="D16136">
        <v>82.93</v>
      </c>
      <c r="E16136">
        <v>293</v>
      </c>
      <c r="F16136">
        <v>50</v>
      </c>
      <c r="G16136">
        <v>1</v>
      </c>
      <c r="H16136">
        <v>33</v>
      </c>
      <c r="I16136">
        <v>324</v>
      </c>
      <c r="J16136">
        <v>1</v>
      </c>
      <c r="K16136">
        <v>37</v>
      </c>
      <c r="L16136">
        <v>329</v>
      </c>
      <c r="M16136">
        <v>1</v>
      </c>
      <c r="N16136">
        <v>1.32586E-143</v>
      </c>
      <c r="O16136">
        <v>1303</v>
      </c>
    </row>
    <row r="16137" spans="1:15" x14ac:dyDescent="0.25">
      <c r="A16137" t="s">
        <v>16150</v>
      </c>
      <c r="B16137">
        <v>465</v>
      </c>
      <c r="C16137" s="1" t="str">
        <f>HYPERLINK("http://www.rosaceae.org/gb/gbrowse/malus_x_domestica/?name=MDP0000266451","MDP0000266451")</f>
        <v>MDP0000266451</v>
      </c>
      <c r="D16137">
        <v>55.76</v>
      </c>
      <c r="E16137">
        <v>468</v>
      </c>
      <c r="F16137">
        <v>207</v>
      </c>
      <c r="G16137">
        <v>38</v>
      </c>
      <c r="H16137">
        <v>29</v>
      </c>
      <c r="I16137">
        <v>465</v>
      </c>
      <c r="J16137">
        <v>1</v>
      </c>
      <c r="K16137">
        <v>41</v>
      </c>
      <c r="L16137">
        <v>501</v>
      </c>
      <c r="M16137">
        <v>1</v>
      </c>
      <c r="N16137">
        <v>4.6189500000000002E-143</v>
      </c>
      <c r="O16137">
        <v>1300</v>
      </c>
    </row>
    <row r="16138" spans="1:15" x14ac:dyDescent="0.25">
      <c r="A16138" t="s">
        <v>16151</v>
      </c>
      <c r="B16138">
        <v>413</v>
      </c>
      <c r="C16138" s="1" t="str">
        <f>HYPERLINK("http://www.rosaceae.org/gb/gbrowse/malus_x_domestica/?name=MDP0000139742","MDP0000139742")</f>
        <v>MDP0000139742</v>
      </c>
      <c r="D16138">
        <v>40.520000000000003</v>
      </c>
      <c r="E16138">
        <v>306</v>
      </c>
      <c r="F16138">
        <v>182</v>
      </c>
      <c r="G16138">
        <v>15</v>
      </c>
      <c r="H16138">
        <v>105</v>
      </c>
      <c r="I16138">
        <v>410</v>
      </c>
      <c r="J16138">
        <v>1</v>
      </c>
      <c r="K16138">
        <v>269</v>
      </c>
      <c r="L16138">
        <v>559</v>
      </c>
      <c r="M16138">
        <v>1</v>
      </c>
      <c r="N16138">
        <v>9.1676200000000001E-53</v>
      </c>
      <c r="O16138">
        <v>521</v>
      </c>
    </row>
    <row r="16139" spans="1:15" x14ac:dyDescent="0.25">
      <c r="A16139" t="s">
        <v>16152</v>
      </c>
      <c r="B16139">
        <v>192</v>
      </c>
      <c r="C16139" s="1" t="str">
        <f>HYPERLINK("http://www.rosaceae.org/gb/gbrowse/malus_x_domestica/?name=MDP0000136340","MDP0000136340")</f>
        <v>MDP0000136340</v>
      </c>
      <c r="D16139">
        <v>58.69</v>
      </c>
      <c r="E16139">
        <v>46</v>
      </c>
      <c r="F16139">
        <v>19</v>
      </c>
      <c r="G16139">
        <v>0</v>
      </c>
      <c r="H16139">
        <v>102</v>
      </c>
      <c r="I16139">
        <v>147</v>
      </c>
      <c r="J16139">
        <v>1</v>
      </c>
      <c r="K16139">
        <v>45</v>
      </c>
      <c r="L16139">
        <v>90</v>
      </c>
      <c r="M16139">
        <v>1</v>
      </c>
      <c r="N16139">
        <v>2.22488E-7</v>
      </c>
      <c r="O16139">
        <v>125</v>
      </c>
    </row>
    <row r="16140" spans="1:15" x14ac:dyDescent="0.25">
      <c r="A16140" t="s">
        <v>16153</v>
      </c>
      <c r="B16140">
        <v>695</v>
      </c>
      <c r="C16140" s="1" t="str">
        <f>HYPERLINK("http://www.rosaceae.org/gb/gbrowse/malus_x_domestica/?name=MDP0000823038","MDP0000823038")</f>
        <v>MDP0000823038</v>
      </c>
      <c r="D16140">
        <v>93.72</v>
      </c>
      <c r="E16140">
        <v>446</v>
      </c>
      <c r="F16140">
        <v>28</v>
      </c>
      <c r="G16140">
        <v>0</v>
      </c>
      <c r="H16140">
        <v>250</v>
      </c>
      <c r="I16140">
        <v>695</v>
      </c>
      <c r="J16140">
        <v>1</v>
      </c>
      <c r="K16140">
        <v>1</v>
      </c>
      <c r="L16140">
        <v>446</v>
      </c>
      <c r="M16140">
        <v>1</v>
      </c>
      <c r="N16140">
        <v>0</v>
      </c>
      <c r="O16140">
        <v>2169</v>
      </c>
    </row>
    <row r="16141" spans="1:15" x14ac:dyDescent="0.25">
      <c r="A16141" t="s">
        <v>16154</v>
      </c>
      <c r="B16141">
        <v>342</v>
      </c>
      <c r="C16141" s="1" t="str">
        <f>HYPERLINK("http://www.rosaceae.org/gb/gbrowse/malus_x_domestica/?name=MDP0000185288","MDP0000185288")</f>
        <v>MDP0000185288</v>
      </c>
      <c r="D16141">
        <v>67.34</v>
      </c>
      <c r="E16141">
        <v>346</v>
      </c>
      <c r="F16141">
        <v>113</v>
      </c>
      <c r="G16141">
        <v>11</v>
      </c>
      <c r="H16141">
        <v>1</v>
      </c>
      <c r="I16141">
        <v>341</v>
      </c>
      <c r="J16141">
        <v>1</v>
      </c>
      <c r="K16141">
        <v>1</v>
      </c>
      <c r="L16141">
        <v>340</v>
      </c>
      <c r="M16141">
        <v>1</v>
      </c>
      <c r="N16141">
        <v>8.1655400000000003E-118</v>
      </c>
      <c r="O16141">
        <v>1081</v>
      </c>
    </row>
    <row r="16142" spans="1:15" x14ac:dyDescent="0.25">
      <c r="A16142" t="s">
        <v>16155</v>
      </c>
      <c r="B16142">
        <v>131</v>
      </c>
      <c r="C16142" s="1" t="str">
        <f>HYPERLINK("http://www.rosaceae.org/gb/gbrowse/malus_x_domestica/?name=MDP0000264119","MDP0000264119")</f>
        <v>MDP0000264119</v>
      </c>
      <c r="D16142">
        <v>69.28</v>
      </c>
      <c r="E16142">
        <v>153</v>
      </c>
      <c r="F16142">
        <v>47</v>
      </c>
      <c r="G16142">
        <v>22</v>
      </c>
      <c r="H16142">
        <v>1</v>
      </c>
      <c r="I16142">
        <v>131</v>
      </c>
      <c r="J16142">
        <v>1</v>
      </c>
      <c r="K16142">
        <v>1</v>
      </c>
      <c r="L16142">
        <v>153</v>
      </c>
      <c r="M16142">
        <v>1</v>
      </c>
      <c r="N16142">
        <v>2.6617800000000001E-55</v>
      </c>
      <c r="O16142">
        <v>535</v>
      </c>
    </row>
    <row r="16143" spans="1:15" x14ac:dyDescent="0.25">
      <c r="A16143" t="s">
        <v>16156</v>
      </c>
      <c r="B16143">
        <v>191</v>
      </c>
      <c r="C16143" s="1" t="str">
        <f>HYPERLINK("http://www.rosaceae.org/gb/gbrowse/malus_x_domestica/?name=MDP0000142126","MDP0000142126")</f>
        <v>MDP0000142126</v>
      </c>
      <c r="D16143">
        <v>48.69</v>
      </c>
      <c r="E16143">
        <v>191</v>
      </c>
      <c r="F16143">
        <v>98</v>
      </c>
      <c r="G16143">
        <v>35</v>
      </c>
      <c r="H16143">
        <v>2</v>
      </c>
      <c r="I16143">
        <v>191</v>
      </c>
      <c r="J16143">
        <v>1</v>
      </c>
      <c r="K16143">
        <v>4</v>
      </c>
      <c r="L16143">
        <v>160</v>
      </c>
      <c r="M16143">
        <v>1</v>
      </c>
      <c r="N16143">
        <v>1.3211799999999999E-41</v>
      </c>
      <c r="O16143">
        <v>420</v>
      </c>
    </row>
    <row r="16144" spans="1:15" x14ac:dyDescent="0.25">
      <c r="A16144" t="s">
        <v>16157</v>
      </c>
      <c r="B16144">
        <v>482</v>
      </c>
      <c r="C16144" s="1" t="str">
        <f>HYPERLINK("http://www.rosaceae.org/gb/gbrowse/malus_x_domestica/?name=MDP0000803674","MDP0000803674")</f>
        <v>MDP0000803674</v>
      </c>
      <c r="D16144">
        <v>73.849999999999994</v>
      </c>
      <c r="E16144">
        <v>482</v>
      </c>
      <c r="F16144">
        <v>126</v>
      </c>
      <c r="G16144">
        <v>5</v>
      </c>
      <c r="H16144">
        <v>1</v>
      </c>
      <c r="I16144">
        <v>481</v>
      </c>
      <c r="J16144">
        <v>1</v>
      </c>
      <c r="K16144">
        <v>1</v>
      </c>
      <c r="L16144">
        <v>478</v>
      </c>
      <c r="M16144">
        <v>1</v>
      </c>
      <c r="N16144">
        <v>0</v>
      </c>
      <c r="O16144">
        <v>1874</v>
      </c>
    </row>
    <row r="16145" spans="1:15" x14ac:dyDescent="0.25">
      <c r="A16145" t="s">
        <v>16158</v>
      </c>
      <c r="B16145">
        <v>365</v>
      </c>
      <c r="C16145" s="1" t="str">
        <f>HYPERLINK("http://www.rosaceae.org/gb/gbrowse/malus_x_domestica/?name=MDP0000225886","MDP0000225886")</f>
        <v>MDP0000225886</v>
      </c>
      <c r="D16145">
        <v>82.7</v>
      </c>
      <c r="E16145">
        <v>185</v>
      </c>
      <c r="F16145">
        <v>32</v>
      </c>
      <c r="G16145">
        <v>0</v>
      </c>
      <c r="H16145">
        <v>128</v>
      </c>
      <c r="I16145">
        <v>312</v>
      </c>
      <c r="J16145">
        <v>1</v>
      </c>
      <c r="K16145">
        <v>38</v>
      </c>
      <c r="L16145">
        <v>222</v>
      </c>
      <c r="M16145">
        <v>1</v>
      </c>
      <c r="N16145">
        <v>3.2900000000000003E-92</v>
      </c>
      <c r="O16145">
        <v>860</v>
      </c>
    </row>
    <row r="16146" spans="1:15" x14ac:dyDescent="0.25">
      <c r="A16146" t="s">
        <v>16159</v>
      </c>
      <c r="B16146">
        <v>172</v>
      </c>
      <c r="C16146" s="1" t="str">
        <f>HYPERLINK("http://www.rosaceae.org/gb/gbrowse/malus_x_domestica/?name=MDP0000317906","MDP0000317906")</f>
        <v>MDP0000317906</v>
      </c>
      <c r="D16146">
        <v>54.54</v>
      </c>
      <c r="E16146">
        <v>66</v>
      </c>
      <c r="F16146">
        <v>30</v>
      </c>
      <c r="G16146">
        <v>4</v>
      </c>
      <c r="H16146">
        <v>19</v>
      </c>
      <c r="I16146">
        <v>81</v>
      </c>
      <c r="J16146">
        <v>1</v>
      </c>
      <c r="K16146">
        <v>500</v>
      </c>
      <c r="L16146">
        <v>564</v>
      </c>
      <c r="M16146">
        <v>1</v>
      </c>
      <c r="N16146">
        <v>1.8864000000000001E-12</v>
      </c>
      <c r="O16146">
        <v>168</v>
      </c>
    </row>
    <row r="16147" spans="1:15" x14ac:dyDescent="0.25">
      <c r="A16147" t="s">
        <v>16160</v>
      </c>
      <c r="B16147">
        <v>109</v>
      </c>
      <c r="C16147" s="1" t="str">
        <f>HYPERLINK("http://www.rosaceae.org/gb/gbrowse/malus_x_domestica/?name=MDP0000191284","MDP0000191284")</f>
        <v>MDP0000191284</v>
      </c>
      <c r="D16147">
        <v>72.63</v>
      </c>
      <c r="E16147">
        <v>95</v>
      </c>
      <c r="F16147">
        <v>26</v>
      </c>
      <c r="G16147">
        <v>3</v>
      </c>
      <c r="H16147">
        <v>1</v>
      </c>
      <c r="I16147">
        <v>93</v>
      </c>
      <c r="J16147">
        <v>1</v>
      </c>
      <c r="K16147">
        <v>1</v>
      </c>
      <c r="L16147">
        <v>94</v>
      </c>
      <c r="M16147">
        <v>1</v>
      </c>
      <c r="N16147">
        <v>2.4717600000000001E-32</v>
      </c>
      <c r="O16147">
        <v>336</v>
      </c>
    </row>
    <row r="16148" spans="1:15" x14ac:dyDescent="0.25">
      <c r="A16148" t="s">
        <v>16161</v>
      </c>
      <c r="B16148">
        <v>124</v>
      </c>
      <c r="C16148" s="1" t="str">
        <f>HYPERLINK("http://www.rosaceae.org/gb/gbrowse/malus_x_domestica/?name=MDP0000152915","MDP0000152915")</f>
        <v>MDP0000152915</v>
      </c>
      <c r="D16148">
        <v>86.27</v>
      </c>
      <c r="E16148">
        <v>102</v>
      </c>
      <c r="F16148">
        <v>14</v>
      </c>
      <c r="G16148">
        <v>0</v>
      </c>
      <c r="H16148">
        <v>23</v>
      </c>
      <c r="I16148">
        <v>124</v>
      </c>
      <c r="J16148">
        <v>1</v>
      </c>
      <c r="K16148">
        <v>44</v>
      </c>
      <c r="L16148">
        <v>145</v>
      </c>
      <c r="M16148">
        <v>1</v>
      </c>
      <c r="N16148">
        <v>1.14267E-48</v>
      </c>
      <c r="O16148">
        <v>477</v>
      </c>
    </row>
    <row r="16149" spans="1:15" x14ac:dyDescent="0.25">
      <c r="A16149" t="s">
        <v>16162</v>
      </c>
      <c r="B16149">
        <v>419</v>
      </c>
      <c r="C16149" s="1" t="str">
        <f>HYPERLINK("http://www.rosaceae.org/gb/gbrowse/malus_x_domestica/?name=MDP0000317993","MDP0000317993")</f>
        <v>MDP0000317993</v>
      </c>
      <c r="D16149">
        <v>74.63</v>
      </c>
      <c r="E16149">
        <v>276</v>
      </c>
      <c r="F16149">
        <v>70</v>
      </c>
      <c r="G16149">
        <v>6</v>
      </c>
      <c r="H16149">
        <v>1</v>
      </c>
      <c r="I16149">
        <v>273</v>
      </c>
      <c r="J16149">
        <v>1</v>
      </c>
      <c r="K16149">
        <v>1</v>
      </c>
      <c r="L16149">
        <v>273</v>
      </c>
      <c r="M16149">
        <v>1</v>
      </c>
      <c r="N16149">
        <v>2.1643899999999999E-120</v>
      </c>
      <c r="O16149">
        <v>1104</v>
      </c>
    </row>
    <row r="16150" spans="1:15" x14ac:dyDescent="0.25">
      <c r="A16150" t="s">
        <v>16163</v>
      </c>
      <c r="B16150">
        <v>270</v>
      </c>
      <c r="C16150" s="1" t="str">
        <f>HYPERLINK("http://www.rosaceae.org/gb/gbrowse/malus_x_domestica/?name=MDP0000321546","MDP0000321546")</f>
        <v>MDP0000321546</v>
      </c>
      <c r="D16150">
        <v>59.32</v>
      </c>
      <c r="E16150">
        <v>59</v>
      </c>
      <c r="F16150">
        <v>24</v>
      </c>
      <c r="G16150">
        <v>1</v>
      </c>
      <c r="H16150">
        <v>209</v>
      </c>
      <c r="I16150">
        <v>266</v>
      </c>
      <c r="J16150">
        <v>1</v>
      </c>
      <c r="K16150">
        <v>1</v>
      </c>
      <c r="L16150">
        <v>59</v>
      </c>
      <c r="M16150">
        <v>1</v>
      </c>
      <c r="N16150">
        <v>4.6259999999999998E-10</v>
      </c>
      <c r="O16150">
        <v>150</v>
      </c>
    </row>
    <row r="16151" spans="1:15" x14ac:dyDescent="0.25">
      <c r="A16151" t="s">
        <v>16164</v>
      </c>
      <c r="B16151">
        <v>331</v>
      </c>
      <c r="C16151" s="1" t="str">
        <f>HYPERLINK("http://www.rosaceae.org/gb/gbrowse/malus_x_domestica/?name=MDP0000303194","MDP0000303194")</f>
        <v>MDP0000303194</v>
      </c>
      <c r="D16151">
        <v>73.92</v>
      </c>
      <c r="E16151">
        <v>303</v>
      </c>
      <c r="F16151">
        <v>79</v>
      </c>
      <c r="G16151">
        <v>0</v>
      </c>
      <c r="H16151">
        <v>5</v>
      </c>
      <c r="I16151">
        <v>307</v>
      </c>
      <c r="J16151">
        <v>1</v>
      </c>
      <c r="K16151">
        <v>61</v>
      </c>
      <c r="L16151">
        <v>363</v>
      </c>
      <c r="M16151">
        <v>1</v>
      </c>
      <c r="N16151">
        <v>2.1978399999999999E-136</v>
      </c>
      <c r="O16151">
        <v>1241</v>
      </c>
    </row>
    <row r="16152" spans="1:15" x14ac:dyDescent="0.25">
      <c r="A16152" t="s">
        <v>16165</v>
      </c>
      <c r="B16152">
        <v>293</v>
      </c>
      <c r="C16152" s="1" t="str">
        <f>HYPERLINK("http://www.rosaceae.org/gb/gbrowse/malus_x_domestica/?name=MDP0000313388","MDP0000313388")</f>
        <v>MDP0000313388</v>
      </c>
      <c r="D16152">
        <v>50.2</v>
      </c>
      <c r="E16152">
        <v>241</v>
      </c>
      <c r="F16152">
        <v>120</v>
      </c>
      <c r="G16152">
        <v>22</v>
      </c>
      <c r="H16152">
        <v>63</v>
      </c>
      <c r="I16152">
        <v>293</v>
      </c>
      <c r="J16152">
        <v>1</v>
      </c>
      <c r="K16152">
        <v>607</v>
      </c>
      <c r="L16152">
        <v>835</v>
      </c>
      <c r="M16152">
        <v>1</v>
      </c>
      <c r="N16152">
        <v>1.35627E-49</v>
      </c>
      <c r="O16152">
        <v>492</v>
      </c>
    </row>
    <row r="16153" spans="1:15" x14ac:dyDescent="0.25">
      <c r="A16153" t="s">
        <v>16166</v>
      </c>
      <c r="B16153">
        <v>893</v>
      </c>
      <c r="C16153" s="1" t="str">
        <f>HYPERLINK("http://www.rosaceae.org/gb/gbrowse/malus_x_domestica/?name=MDP0000230664","MDP0000230664")</f>
        <v>MDP0000230664</v>
      </c>
      <c r="D16153">
        <v>57.09</v>
      </c>
      <c r="E16153">
        <v>296</v>
      </c>
      <c r="F16153">
        <v>127</v>
      </c>
      <c r="G16153">
        <v>4</v>
      </c>
      <c r="H16153">
        <v>475</v>
      </c>
      <c r="I16153">
        <v>770</v>
      </c>
      <c r="J16153">
        <v>1</v>
      </c>
      <c r="K16153">
        <v>753</v>
      </c>
      <c r="L16153">
        <v>1044</v>
      </c>
      <c r="M16153">
        <v>1</v>
      </c>
      <c r="N16153">
        <v>9.5412499999999999E-93</v>
      </c>
      <c r="O16153">
        <v>869</v>
      </c>
    </row>
    <row r="16154" spans="1:15" x14ac:dyDescent="0.25">
      <c r="A16154" t="s">
        <v>16167</v>
      </c>
      <c r="B16154">
        <v>857</v>
      </c>
      <c r="C16154" s="1" t="str">
        <f>HYPERLINK("http://www.rosaceae.org/gb/gbrowse/malus_x_domestica/?name=MDP0000288977","MDP0000288977")</f>
        <v>MDP0000288977</v>
      </c>
      <c r="D16154">
        <v>41.9</v>
      </c>
      <c r="E16154">
        <v>420</v>
      </c>
      <c r="F16154">
        <v>244</v>
      </c>
      <c r="G16154">
        <v>71</v>
      </c>
      <c r="H16154">
        <v>290</v>
      </c>
      <c r="I16154">
        <v>704</v>
      </c>
      <c r="J16154">
        <v>1</v>
      </c>
      <c r="K16154">
        <v>225</v>
      </c>
      <c r="L16154">
        <v>578</v>
      </c>
      <c r="M16154">
        <v>1</v>
      </c>
      <c r="N16154">
        <v>4.2243800000000003E-64</v>
      </c>
      <c r="O16154">
        <v>622</v>
      </c>
    </row>
    <row r="16155" spans="1:15" x14ac:dyDescent="0.25">
      <c r="A16155" t="s">
        <v>16168</v>
      </c>
      <c r="B16155">
        <v>197</v>
      </c>
      <c r="C16155" s="1" t="str">
        <f>HYPERLINK("http://www.rosaceae.org/gb/gbrowse/malus_x_domestica/?name=MDP0000679993","MDP0000679993")</f>
        <v>MDP0000679993</v>
      </c>
      <c r="D16155">
        <v>65.510000000000005</v>
      </c>
      <c r="E16155">
        <v>174</v>
      </c>
      <c r="F16155">
        <v>60</v>
      </c>
      <c r="G16155">
        <v>7</v>
      </c>
      <c r="H16155">
        <v>27</v>
      </c>
      <c r="I16155">
        <v>197</v>
      </c>
      <c r="J16155">
        <v>1</v>
      </c>
      <c r="K16155">
        <v>35</v>
      </c>
      <c r="L16155">
        <v>204</v>
      </c>
      <c r="M16155">
        <v>1</v>
      </c>
      <c r="N16155">
        <v>1.35435E-56</v>
      </c>
      <c r="O16155">
        <v>550</v>
      </c>
    </row>
    <row r="16156" spans="1:15" x14ac:dyDescent="0.25">
      <c r="A16156" t="s">
        <v>16169</v>
      </c>
      <c r="B16156">
        <v>260</v>
      </c>
      <c r="C16156" s="1" t="str">
        <f>HYPERLINK("http://www.rosaceae.org/gb/gbrowse/malus_x_domestica/?name=MDP0000948530","MDP0000948530")</f>
        <v>MDP0000948530</v>
      </c>
      <c r="D16156">
        <v>64.94</v>
      </c>
      <c r="E16156">
        <v>251</v>
      </c>
      <c r="F16156">
        <v>88</v>
      </c>
      <c r="G16156">
        <v>23</v>
      </c>
      <c r="H16156">
        <v>14</v>
      </c>
      <c r="I16156">
        <v>255</v>
      </c>
      <c r="J16156">
        <v>1</v>
      </c>
      <c r="K16156">
        <v>12</v>
      </c>
      <c r="L16156">
        <v>248</v>
      </c>
      <c r="M16156">
        <v>1</v>
      </c>
      <c r="N16156">
        <v>1.0603200000000001E-79</v>
      </c>
      <c r="O16156">
        <v>751</v>
      </c>
    </row>
    <row r="16157" spans="1:15" x14ac:dyDescent="0.25">
      <c r="A16157" t="s">
        <v>16170</v>
      </c>
      <c r="B16157">
        <v>210</v>
      </c>
      <c r="C16157" s="1" t="str">
        <f>HYPERLINK("http://www.rosaceae.org/gb/gbrowse/malus_x_domestica/?name=MDP0000274240","MDP0000274240")</f>
        <v>MDP0000274240</v>
      </c>
      <c r="D16157">
        <v>61.6</v>
      </c>
      <c r="E16157">
        <v>125</v>
      </c>
      <c r="F16157">
        <v>48</v>
      </c>
      <c r="G16157">
        <v>1</v>
      </c>
      <c r="H16157">
        <v>4</v>
      </c>
      <c r="I16157">
        <v>128</v>
      </c>
      <c r="J16157">
        <v>1</v>
      </c>
      <c r="K16157">
        <v>446</v>
      </c>
      <c r="L16157">
        <v>569</v>
      </c>
      <c r="M16157">
        <v>1</v>
      </c>
      <c r="N16157">
        <v>1.3415899999999999E-39</v>
      </c>
      <c r="O16157">
        <v>403</v>
      </c>
    </row>
    <row r="16158" spans="1:15" x14ac:dyDescent="0.25">
      <c r="A16158" t="s">
        <v>16171</v>
      </c>
      <c r="B16158">
        <v>961</v>
      </c>
      <c r="C16158" s="1" t="str">
        <f>HYPERLINK("http://www.rosaceae.org/gb/gbrowse/malus_x_domestica/?name=MDP0000151903","MDP0000151903")</f>
        <v>MDP0000151903</v>
      </c>
      <c r="D16158">
        <v>77.239999999999995</v>
      </c>
      <c r="E16158">
        <v>967</v>
      </c>
      <c r="F16158">
        <v>220</v>
      </c>
      <c r="G16158">
        <v>33</v>
      </c>
      <c r="H16158">
        <v>1</v>
      </c>
      <c r="I16158">
        <v>959</v>
      </c>
      <c r="J16158">
        <v>1</v>
      </c>
      <c r="K16158">
        <v>1</v>
      </c>
      <c r="L16158">
        <v>942</v>
      </c>
      <c r="M16158">
        <v>1</v>
      </c>
      <c r="N16158">
        <v>0</v>
      </c>
      <c r="O16158">
        <v>3916</v>
      </c>
    </row>
    <row r="16159" spans="1:15" x14ac:dyDescent="0.25">
      <c r="A16159" t="s">
        <v>16172</v>
      </c>
      <c r="B16159">
        <v>279</v>
      </c>
      <c r="C16159" s="1" t="str">
        <f>HYPERLINK("http://www.rosaceae.org/gb/gbrowse/malus_x_domestica/?name=MDP0000237937","MDP0000237937")</f>
        <v>MDP0000237937</v>
      </c>
      <c r="D16159">
        <v>69.010000000000005</v>
      </c>
      <c r="E16159">
        <v>71</v>
      </c>
      <c r="F16159">
        <v>22</v>
      </c>
      <c r="G16159">
        <v>1</v>
      </c>
      <c r="H16159">
        <v>165</v>
      </c>
      <c r="I16159">
        <v>234</v>
      </c>
      <c r="J16159">
        <v>1</v>
      </c>
      <c r="K16159">
        <v>134</v>
      </c>
      <c r="L16159">
        <v>204</v>
      </c>
      <c r="M16159">
        <v>1</v>
      </c>
      <c r="N16159">
        <v>1.7999899999999998E-21</v>
      </c>
      <c r="O16159">
        <v>249</v>
      </c>
    </row>
    <row r="16160" spans="1:15" x14ac:dyDescent="0.25">
      <c r="A16160" t="s">
        <v>16173</v>
      </c>
      <c r="B16160">
        <v>1516</v>
      </c>
      <c r="C16160" s="1" t="str">
        <f>HYPERLINK("http://www.rosaceae.org/gb/gbrowse/malus_x_domestica/?name=MDP0000297368","MDP0000297368")</f>
        <v>MDP0000297368</v>
      </c>
      <c r="D16160">
        <v>83.42</v>
      </c>
      <c r="E16160">
        <v>1394</v>
      </c>
      <c r="F16160">
        <v>231</v>
      </c>
      <c r="G16160">
        <v>25</v>
      </c>
      <c r="H16160">
        <v>120</v>
      </c>
      <c r="I16160">
        <v>1496</v>
      </c>
      <c r="J16160">
        <v>1</v>
      </c>
      <c r="K16160">
        <v>126</v>
      </c>
      <c r="L16160">
        <v>1511</v>
      </c>
      <c r="M16160">
        <v>1</v>
      </c>
      <c r="N16160">
        <v>0</v>
      </c>
      <c r="O16160">
        <v>6185</v>
      </c>
    </row>
    <row r="16161" spans="1:15" x14ac:dyDescent="0.25">
      <c r="A16161" t="s">
        <v>16174</v>
      </c>
      <c r="B16161">
        <v>643</v>
      </c>
      <c r="C16161" s="1" t="str">
        <f>HYPERLINK("http://www.rosaceae.org/gb/gbrowse/malus_x_domestica/?name=MDP0000140568","MDP0000140568")</f>
        <v>MDP0000140568</v>
      </c>
      <c r="D16161">
        <v>60.36</v>
      </c>
      <c r="E16161">
        <v>651</v>
      </c>
      <c r="F16161">
        <v>258</v>
      </c>
      <c r="G16161">
        <v>36</v>
      </c>
      <c r="H16161">
        <v>1</v>
      </c>
      <c r="I16161">
        <v>643</v>
      </c>
      <c r="J16161">
        <v>1</v>
      </c>
      <c r="K16161">
        <v>1</v>
      </c>
      <c r="L16161">
        <v>623</v>
      </c>
      <c r="M16161">
        <v>1</v>
      </c>
      <c r="N16161">
        <v>0</v>
      </c>
      <c r="O16161">
        <v>1875</v>
      </c>
    </row>
    <row r="16162" spans="1:15" x14ac:dyDescent="0.25">
      <c r="A16162" t="s">
        <v>16175</v>
      </c>
      <c r="B16162">
        <v>232</v>
      </c>
      <c r="C16162" s="1" t="str">
        <f>HYPERLINK("http://www.rosaceae.org/gb/gbrowse/malus_x_domestica/?name=MDP0000136103","MDP0000136103")</f>
        <v>MDP0000136103</v>
      </c>
      <c r="D16162">
        <v>70.45</v>
      </c>
      <c r="E16162">
        <v>44</v>
      </c>
      <c r="F16162">
        <v>13</v>
      </c>
      <c r="G16162">
        <v>0</v>
      </c>
      <c r="H16162">
        <v>106</v>
      </c>
      <c r="I16162">
        <v>149</v>
      </c>
      <c r="J16162">
        <v>1</v>
      </c>
      <c r="K16162">
        <v>93</v>
      </c>
      <c r="L16162">
        <v>136</v>
      </c>
      <c r="M16162">
        <v>1</v>
      </c>
      <c r="N16162">
        <v>1.2690199999999999E-10</v>
      </c>
      <c r="O16162">
        <v>154</v>
      </c>
    </row>
    <row r="16163" spans="1:15" x14ac:dyDescent="0.25">
      <c r="A16163" t="s">
        <v>16176</v>
      </c>
      <c r="B16163">
        <v>443</v>
      </c>
      <c r="C16163" s="1" t="str">
        <f>HYPERLINK("http://www.rosaceae.org/gb/gbrowse/malus_x_domestica/?name=MDP0000230149","MDP0000230149")</f>
        <v>MDP0000230149</v>
      </c>
      <c r="D16163">
        <v>28.32</v>
      </c>
      <c r="E16163">
        <v>293</v>
      </c>
      <c r="F16163">
        <v>210</v>
      </c>
      <c r="G16163">
        <v>42</v>
      </c>
      <c r="H16163">
        <v>108</v>
      </c>
      <c r="I16163">
        <v>368</v>
      </c>
      <c r="J16163">
        <v>1</v>
      </c>
      <c r="K16163">
        <v>262</v>
      </c>
      <c r="L16163">
        <v>544</v>
      </c>
      <c r="M16163">
        <v>1</v>
      </c>
      <c r="N16163">
        <v>1.25334E-20</v>
      </c>
      <c r="O16163">
        <v>244</v>
      </c>
    </row>
    <row r="16164" spans="1:15" x14ac:dyDescent="0.25">
      <c r="A16164" t="s">
        <v>16177</v>
      </c>
      <c r="B16164">
        <v>429</v>
      </c>
      <c r="C16164" s="1" t="str">
        <f>HYPERLINK("http://www.rosaceae.org/gb/gbrowse/malus_x_domestica/?name=MDP0000188942","MDP0000188942")</f>
        <v>MDP0000188942</v>
      </c>
      <c r="D16164">
        <v>70.63</v>
      </c>
      <c r="E16164">
        <v>235</v>
      </c>
      <c r="F16164">
        <v>69</v>
      </c>
      <c r="G16164">
        <v>49</v>
      </c>
      <c r="H16164">
        <v>173</v>
      </c>
      <c r="I16164">
        <v>358</v>
      </c>
      <c r="J16164">
        <v>1</v>
      </c>
      <c r="K16164">
        <v>1</v>
      </c>
      <c r="L16164">
        <v>235</v>
      </c>
      <c r="M16164">
        <v>1</v>
      </c>
      <c r="N16164">
        <v>3.3407100000000001E-84</v>
      </c>
      <c r="O16164">
        <v>792</v>
      </c>
    </row>
    <row r="16165" spans="1:15" x14ac:dyDescent="0.25">
      <c r="A16165" t="s">
        <v>16178</v>
      </c>
      <c r="B16165">
        <v>716</v>
      </c>
      <c r="C16165" s="1" t="str">
        <f>HYPERLINK("http://www.rosaceae.org/gb/gbrowse/malus_x_domestica/?name=MDP0000219706","MDP0000219706")</f>
        <v>MDP0000219706</v>
      </c>
      <c r="D16165">
        <v>67.95</v>
      </c>
      <c r="E16165">
        <v>259</v>
      </c>
      <c r="F16165">
        <v>83</v>
      </c>
      <c r="G16165">
        <v>9</v>
      </c>
      <c r="H16165">
        <v>462</v>
      </c>
      <c r="I16165">
        <v>711</v>
      </c>
      <c r="J16165">
        <v>1</v>
      </c>
      <c r="K16165">
        <v>266</v>
      </c>
      <c r="L16165">
        <v>524</v>
      </c>
      <c r="M16165">
        <v>1</v>
      </c>
      <c r="N16165">
        <v>1.40608E-103</v>
      </c>
      <c r="O16165">
        <v>961</v>
      </c>
    </row>
    <row r="16166" spans="1:15" x14ac:dyDescent="0.25">
      <c r="A16166" t="s">
        <v>16179</v>
      </c>
      <c r="B16166">
        <v>192</v>
      </c>
      <c r="C16166" s="1" t="str">
        <f>HYPERLINK("http://www.rosaceae.org/gb/gbrowse/malus_x_domestica/?name=MDP0000309933","MDP0000309933")</f>
        <v>MDP0000309933</v>
      </c>
      <c r="D16166">
        <v>46.96</v>
      </c>
      <c r="E16166">
        <v>66</v>
      </c>
      <c r="F16166">
        <v>35</v>
      </c>
      <c r="G16166">
        <v>9</v>
      </c>
      <c r="H16166">
        <v>1</v>
      </c>
      <c r="I16166">
        <v>60</v>
      </c>
      <c r="J16166">
        <v>1</v>
      </c>
      <c r="K16166">
        <v>919</v>
      </c>
      <c r="L16166">
        <v>981</v>
      </c>
      <c r="M16166">
        <v>1</v>
      </c>
      <c r="N16166">
        <v>8.4447200000000002E-11</v>
      </c>
      <c r="O16166">
        <v>154</v>
      </c>
    </row>
    <row r="16167" spans="1:15" x14ac:dyDescent="0.25">
      <c r="A16167" t="s">
        <v>16180</v>
      </c>
      <c r="B16167">
        <v>224</v>
      </c>
      <c r="C16167" s="1" t="str">
        <f>HYPERLINK("http://www.rosaceae.org/gb/gbrowse/malus_x_domestica/?name=MDP0000192308","MDP0000192308")</f>
        <v>MDP0000192308</v>
      </c>
      <c r="D16167">
        <v>33.96</v>
      </c>
      <c r="E16167">
        <v>106</v>
      </c>
      <c r="F16167">
        <v>70</v>
      </c>
      <c r="G16167">
        <v>20</v>
      </c>
      <c r="H16167">
        <v>40</v>
      </c>
      <c r="I16167">
        <v>128</v>
      </c>
      <c r="J16167">
        <v>1</v>
      </c>
      <c r="K16167">
        <v>188</v>
      </c>
      <c r="L16167">
        <v>290</v>
      </c>
      <c r="M16167">
        <v>1</v>
      </c>
      <c r="N16167">
        <v>4.7625600000000004E-10</v>
      </c>
      <c r="O16167">
        <v>149</v>
      </c>
    </row>
    <row r="16168" spans="1:15" x14ac:dyDescent="0.25">
      <c r="A16168" t="s">
        <v>16181</v>
      </c>
      <c r="B16168">
        <v>335</v>
      </c>
      <c r="C16168" s="1" t="str">
        <f>HYPERLINK("http://www.rosaceae.org/gb/gbrowse/malus_x_domestica/?name=MDP0000213741","MDP0000213741")</f>
        <v>MDP0000213741</v>
      </c>
      <c r="D16168">
        <v>69.45</v>
      </c>
      <c r="E16168">
        <v>275</v>
      </c>
      <c r="F16168">
        <v>84</v>
      </c>
      <c r="G16168">
        <v>38</v>
      </c>
      <c r="H16168">
        <v>25</v>
      </c>
      <c r="I16168">
        <v>294</v>
      </c>
      <c r="J16168">
        <v>1</v>
      </c>
      <c r="K16168">
        <v>150</v>
      </c>
      <c r="L16168">
        <v>391</v>
      </c>
      <c r="M16168">
        <v>1</v>
      </c>
      <c r="N16168">
        <v>5.3253000000000002E-108</v>
      </c>
      <c r="O16168">
        <v>996</v>
      </c>
    </row>
    <row r="16169" spans="1:15" x14ac:dyDescent="0.25">
      <c r="A16169" t="s">
        <v>16182</v>
      </c>
      <c r="B16169">
        <v>146</v>
      </c>
      <c r="C16169" s="1" t="str">
        <f>HYPERLINK("http://www.rosaceae.org/gb/gbrowse/malus_x_domestica/?name=MDP0000252743","MDP0000252743")</f>
        <v>MDP0000252743</v>
      </c>
      <c r="D16169">
        <v>65.239999999999995</v>
      </c>
      <c r="E16169">
        <v>164</v>
      </c>
      <c r="F16169">
        <v>57</v>
      </c>
      <c r="G16169">
        <v>23</v>
      </c>
      <c r="H16169">
        <v>3</v>
      </c>
      <c r="I16169">
        <v>145</v>
      </c>
      <c r="J16169">
        <v>1</v>
      </c>
      <c r="K16169">
        <v>1</v>
      </c>
      <c r="L16169">
        <v>162</v>
      </c>
      <c r="M16169">
        <v>1</v>
      </c>
      <c r="N16169">
        <v>9.1300900000000006E-52</v>
      </c>
      <c r="O16169">
        <v>506</v>
      </c>
    </row>
    <row r="16170" spans="1:15" x14ac:dyDescent="0.25">
      <c r="A16170" t="s">
        <v>16183</v>
      </c>
      <c r="B16170">
        <v>379</v>
      </c>
      <c r="C16170" s="1" t="str">
        <f>HYPERLINK("http://www.rosaceae.org/gb/gbrowse/malus_x_domestica/?name=MDP0000482850","MDP0000482850")</f>
        <v>MDP0000482850</v>
      </c>
      <c r="D16170">
        <v>82.11</v>
      </c>
      <c r="E16170">
        <v>369</v>
      </c>
      <c r="F16170">
        <v>66</v>
      </c>
      <c r="G16170">
        <v>0</v>
      </c>
      <c r="H16170">
        <v>1</v>
      </c>
      <c r="I16170">
        <v>369</v>
      </c>
      <c r="J16170">
        <v>1</v>
      </c>
      <c r="K16170">
        <v>1</v>
      </c>
      <c r="L16170">
        <v>369</v>
      </c>
      <c r="M16170">
        <v>1</v>
      </c>
      <c r="N16170">
        <v>1.42082E-176</v>
      </c>
      <c r="O16170">
        <v>1588</v>
      </c>
    </row>
    <row r="16171" spans="1:15" x14ac:dyDescent="0.25">
      <c r="A16171" t="s">
        <v>16184</v>
      </c>
      <c r="B16171">
        <v>329</v>
      </c>
      <c r="C16171" s="1" t="str">
        <f>HYPERLINK("http://www.rosaceae.org/gb/gbrowse/malus_x_domestica/?name=MDP0000563165","MDP0000563165")</f>
        <v>MDP0000563165</v>
      </c>
      <c r="D16171">
        <v>57.18</v>
      </c>
      <c r="E16171">
        <v>383</v>
      </c>
      <c r="F16171">
        <v>164</v>
      </c>
      <c r="G16171">
        <v>68</v>
      </c>
      <c r="H16171">
        <v>3</v>
      </c>
      <c r="I16171">
        <v>329</v>
      </c>
      <c r="J16171">
        <v>1</v>
      </c>
      <c r="K16171">
        <v>4</v>
      </c>
      <c r="L16171">
        <v>374</v>
      </c>
      <c r="M16171">
        <v>1</v>
      </c>
      <c r="N16171">
        <v>7.43421E-104</v>
      </c>
      <c r="O16171">
        <v>960</v>
      </c>
    </row>
    <row r="16172" spans="1:15" x14ac:dyDescent="0.25">
      <c r="A16172" t="s">
        <v>16185</v>
      </c>
      <c r="B16172">
        <v>964</v>
      </c>
      <c r="C16172" s="1" t="str">
        <f>HYPERLINK("http://www.rosaceae.org/gb/gbrowse/malus_x_domestica/?name=MDP0000233135","MDP0000233135")</f>
        <v>MDP0000233135</v>
      </c>
      <c r="D16172">
        <v>38.72</v>
      </c>
      <c r="E16172">
        <v>625</v>
      </c>
      <c r="F16172">
        <v>383</v>
      </c>
      <c r="G16172">
        <v>106</v>
      </c>
      <c r="H16172">
        <v>352</v>
      </c>
      <c r="I16172">
        <v>949</v>
      </c>
      <c r="J16172">
        <v>1</v>
      </c>
      <c r="K16172">
        <v>21</v>
      </c>
      <c r="L16172">
        <v>566</v>
      </c>
      <c r="M16172">
        <v>1</v>
      </c>
      <c r="N16172">
        <v>7.3453699999999999E-98</v>
      </c>
      <c r="O16172">
        <v>913</v>
      </c>
    </row>
    <row r="16173" spans="1:15" x14ac:dyDescent="0.25">
      <c r="A16173" t="s">
        <v>16186</v>
      </c>
      <c r="B16173">
        <v>426</v>
      </c>
      <c r="C16173" s="1" t="str">
        <f>HYPERLINK("http://www.rosaceae.org/gb/gbrowse/malus_x_domestica/?name=MDP0000194490","MDP0000194490")</f>
        <v>MDP0000194490</v>
      </c>
      <c r="D16173">
        <v>84.39</v>
      </c>
      <c r="E16173">
        <v>423</v>
      </c>
      <c r="F16173">
        <v>66</v>
      </c>
      <c r="G16173">
        <v>4</v>
      </c>
      <c r="H16173">
        <v>4</v>
      </c>
      <c r="I16173">
        <v>426</v>
      </c>
      <c r="J16173">
        <v>1</v>
      </c>
      <c r="K16173">
        <v>2</v>
      </c>
      <c r="L16173">
        <v>420</v>
      </c>
      <c r="M16173">
        <v>1</v>
      </c>
      <c r="N16173">
        <v>0</v>
      </c>
      <c r="O16173">
        <v>1894</v>
      </c>
    </row>
    <row r="16174" spans="1:15" x14ac:dyDescent="0.25">
      <c r="A16174" t="s">
        <v>16187</v>
      </c>
      <c r="B16174">
        <v>80</v>
      </c>
      <c r="C16174" s="1" t="str">
        <f>HYPERLINK("http://www.rosaceae.org/gb/gbrowse/malus_x_domestica/?name=MDP0000949487","MDP0000949487")</f>
        <v>MDP0000949487</v>
      </c>
      <c r="D16174">
        <v>94.87</v>
      </c>
      <c r="E16174">
        <v>39</v>
      </c>
      <c r="F16174">
        <v>2</v>
      </c>
      <c r="G16174">
        <v>0</v>
      </c>
      <c r="H16174">
        <v>1</v>
      </c>
      <c r="I16174">
        <v>39</v>
      </c>
      <c r="J16174">
        <v>1</v>
      </c>
      <c r="K16174">
        <v>594</v>
      </c>
      <c r="L16174">
        <v>632</v>
      </c>
      <c r="M16174">
        <v>1</v>
      </c>
      <c r="N16174">
        <v>2.3330600000000002E-16</v>
      </c>
      <c r="O16174">
        <v>199</v>
      </c>
    </row>
    <row r="16175" spans="1:15" x14ac:dyDescent="0.25">
      <c r="A16175" t="s">
        <v>16188</v>
      </c>
      <c r="B16175">
        <v>270</v>
      </c>
      <c r="C16175" s="1" t="str">
        <f>HYPERLINK("http://www.rosaceae.org/gb/gbrowse/malus_x_domestica/?name=MDP0000252552","MDP0000252552")</f>
        <v>MDP0000252552</v>
      </c>
      <c r="D16175">
        <v>67.599999999999994</v>
      </c>
      <c r="E16175">
        <v>284</v>
      </c>
      <c r="F16175">
        <v>92</v>
      </c>
      <c r="G16175">
        <v>14</v>
      </c>
      <c r="H16175">
        <v>1</v>
      </c>
      <c r="I16175">
        <v>270</v>
      </c>
      <c r="J16175">
        <v>1</v>
      </c>
      <c r="K16175">
        <v>1</v>
      </c>
      <c r="L16175">
        <v>284</v>
      </c>
      <c r="M16175">
        <v>1</v>
      </c>
      <c r="N16175">
        <v>1.0089200000000001E-111</v>
      </c>
      <c r="O16175">
        <v>1027</v>
      </c>
    </row>
    <row r="16176" spans="1:15" x14ac:dyDescent="0.25">
      <c r="A16176" t="s">
        <v>16189</v>
      </c>
      <c r="B16176">
        <v>219</v>
      </c>
      <c r="C16176" s="1" t="str">
        <f>HYPERLINK("http://www.rosaceae.org/gb/gbrowse/malus_x_domestica/?name=MDP0000676705","MDP0000676705")</f>
        <v>MDP0000676705</v>
      </c>
      <c r="D16176">
        <v>62.62</v>
      </c>
      <c r="E16176">
        <v>206</v>
      </c>
      <c r="F16176">
        <v>77</v>
      </c>
      <c r="G16176">
        <v>3</v>
      </c>
      <c r="H16176">
        <v>6</v>
      </c>
      <c r="I16176">
        <v>208</v>
      </c>
      <c r="J16176">
        <v>1</v>
      </c>
      <c r="K16176">
        <v>9</v>
      </c>
      <c r="L16176">
        <v>214</v>
      </c>
      <c r="M16176">
        <v>1</v>
      </c>
      <c r="N16176">
        <v>5.74247E-70</v>
      </c>
      <c r="O16176">
        <v>666</v>
      </c>
    </row>
    <row r="16177" spans="1:15" x14ac:dyDescent="0.25">
      <c r="A16177" t="s">
        <v>16190</v>
      </c>
      <c r="B16177">
        <v>449</v>
      </c>
      <c r="C16177" s="1" t="str">
        <f>HYPERLINK("http://www.rosaceae.org/gb/gbrowse/malus_x_domestica/?name=MDP0000636504","MDP0000636504")</f>
        <v>MDP0000636504</v>
      </c>
      <c r="D16177">
        <v>62</v>
      </c>
      <c r="E16177">
        <v>408</v>
      </c>
      <c r="F16177">
        <v>155</v>
      </c>
      <c r="G16177">
        <v>15</v>
      </c>
      <c r="H16177">
        <v>44</v>
      </c>
      <c r="I16177">
        <v>449</v>
      </c>
      <c r="J16177">
        <v>1</v>
      </c>
      <c r="K16177">
        <v>33</v>
      </c>
      <c r="L16177">
        <v>427</v>
      </c>
      <c r="M16177">
        <v>1</v>
      </c>
      <c r="N16177">
        <v>3.0497599999999998E-122</v>
      </c>
      <c r="O16177">
        <v>1120</v>
      </c>
    </row>
    <row r="16178" spans="1:15" x14ac:dyDescent="0.25">
      <c r="A16178" t="s">
        <v>16191</v>
      </c>
      <c r="B16178">
        <v>282</v>
      </c>
      <c r="C16178" s="1" t="str">
        <f>HYPERLINK("http://www.rosaceae.org/gb/gbrowse/malus_x_domestica/?name=MDP0000148249","MDP0000148249")</f>
        <v>MDP0000148249</v>
      </c>
      <c r="D16178">
        <v>84.46</v>
      </c>
      <c r="E16178">
        <v>264</v>
      </c>
      <c r="F16178">
        <v>41</v>
      </c>
      <c r="G16178">
        <v>0</v>
      </c>
      <c r="H16178">
        <v>19</v>
      </c>
      <c r="I16178">
        <v>282</v>
      </c>
      <c r="J16178">
        <v>1</v>
      </c>
      <c r="K16178">
        <v>1</v>
      </c>
      <c r="L16178">
        <v>264</v>
      </c>
      <c r="M16178">
        <v>1</v>
      </c>
      <c r="N16178">
        <v>2.51645E-132</v>
      </c>
      <c r="O16178">
        <v>1205</v>
      </c>
    </row>
    <row r="16179" spans="1:15" x14ac:dyDescent="0.25">
      <c r="A16179" t="s">
        <v>16192</v>
      </c>
      <c r="B16179">
        <v>798</v>
      </c>
      <c r="C16179" s="1" t="str">
        <f>HYPERLINK("http://www.rosaceae.org/gb/gbrowse/malus_x_domestica/?name=MDP0000613111","MDP0000613111")</f>
        <v>MDP0000613111</v>
      </c>
      <c r="D16179">
        <v>45.85</v>
      </c>
      <c r="E16179">
        <v>181</v>
      </c>
      <c r="F16179">
        <v>98</v>
      </c>
      <c r="G16179">
        <v>2</v>
      </c>
      <c r="H16179">
        <v>620</v>
      </c>
      <c r="I16179">
        <v>798</v>
      </c>
      <c r="J16179">
        <v>1</v>
      </c>
      <c r="K16179">
        <v>688</v>
      </c>
      <c r="L16179">
        <v>868</v>
      </c>
      <c r="M16179">
        <v>1</v>
      </c>
      <c r="N16179">
        <v>1.1413200000000001E-34</v>
      </c>
      <c r="O16179">
        <v>367</v>
      </c>
    </row>
    <row r="16180" spans="1:15" x14ac:dyDescent="0.25">
      <c r="A16180" t="s">
        <v>16193</v>
      </c>
      <c r="B16180">
        <v>246</v>
      </c>
      <c r="C16180" s="1" t="str">
        <f>HYPERLINK("http://www.rosaceae.org/gb/gbrowse/malus_x_domestica/?name=MDP0000220190","MDP0000220190")</f>
        <v>MDP0000220190</v>
      </c>
      <c r="D16180">
        <v>71.239999999999995</v>
      </c>
      <c r="E16180">
        <v>233</v>
      </c>
      <c r="F16180">
        <v>67</v>
      </c>
      <c r="G16180">
        <v>0</v>
      </c>
      <c r="H16180">
        <v>14</v>
      </c>
      <c r="I16180">
        <v>246</v>
      </c>
      <c r="J16180">
        <v>1</v>
      </c>
      <c r="K16180">
        <v>27</v>
      </c>
      <c r="L16180">
        <v>259</v>
      </c>
      <c r="M16180">
        <v>1</v>
      </c>
      <c r="N16180">
        <v>1.40228E-92</v>
      </c>
      <c r="O16180">
        <v>861</v>
      </c>
    </row>
    <row r="16181" spans="1:15" x14ac:dyDescent="0.25">
      <c r="A16181" t="s">
        <v>16194</v>
      </c>
      <c r="B16181">
        <v>1237</v>
      </c>
      <c r="C16181" s="1" t="str">
        <f>HYPERLINK("http://www.rosaceae.org/gb/gbrowse/malus_x_domestica/?name=MDP0000246432","MDP0000246432")</f>
        <v>MDP0000246432</v>
      </c>
      <c r="D16181">
        <v>45.35</v>
      </c>
      <c r="E16181">
        <v>1098</v>
      </c>
      <c r="F16181">
        <v>600</v>
      </c>
      <c r="G16181">
        <v>76</v>
      </c>
      <c r="H16181">
        <v>173</v>
      </c>
      <c r="I16181">
        <v>1229</v>
      </c>
      <c r="J16181">
        <v>1</v>
      </c>
      <c r="K16181">
        <v>19</v>
      </c>
      <c r="L16181">
        <v>1081</v>
      </c>
      <c r="M16181">
        <v>1</v>
      </c>
      <c r="N16181">
        <v>0</v>
      </c>
      <c r="O16181">
        <v>1972</v>
      </c>
    </row>
    <row r="16182" spans="1:15" x14ac:dyDescent="0.25">
      <c r="A16182" t="s">
        <v>16195</v>
      </c>
      <c r="B16182">
        <v>1005</v>
      </c>
      <c r="C16182" s="1" t="str">
        <f>HYPERLINK("http://www.rosaceae.org/gb/gbrowse/malus_x_domestica/?name=MDP0000182633","MDP0000182633")</f>
        <v>MDP0000182633</v>
      </c>
      <c r="D16182">
        <v>73.3</v>
      </c>
      <c r="E16182">
        <v>618</v>
      </c>
      <c r="F16182">
        <v>165</v>
      </c>
      <c r="G16182">
        <v>52</v>
      </c>
      <c r="H16182">
        <v>1</v>
      </c>
      <c r="I16182">
        <v>596</v>
      </c>
      <c r="J16182">
        <v>1</v>
      </c>
      <c r="K16182">
        <v>1</v>
      </c>
      <c r="L16182">
        <v>588</v>
      </c>
      <c r="M16182">
        <v>1</v>
      </c>
      <c r="N16182">
        <v>0</v>
      </c>
      <c r="O16182">
        <v>2318</v>
      </c>
    </row>
    <row r="16183" spans="1:15" x14ac:dyDescent="0.25">
      <c r="A16183" t="s">
        <v>16196</v>
      </c>
      <c r="B16183">
        <v>154</v>
      </c>
      <c r="C16183" s="1" t="str">
        <f>HYPERLINK("http://www.rosaceae.org/gb/gbrowse/malus_x_domestica/?name=MDP0000909179","MDP0000909179")</f>
        <v>MDP0000909179</v>
      </c>
      <c r="D16183">
        <v>53.23</v>
      </c>
      <c r="E16183">
        <v>139</v>
      </c>
      <c r="F16183">
        <v>65</v>
      </c>
      <c r="G16183">
        <v>12</v>
      </c>
      <c r="H16183">
        <v>3</v>
      </c>
      <c r="I16183">
        <v>129</v>
      </c>
      <c r="J16183">
        <v>1</v>
      </c>
      <c r="K16183">
        <v>8</v>
      </c>
      <c r="L16183">
        <v>146</v>
      </c>
      <c r="M16183">
        <v>1</v>
      </c>
      <c r="N16183">
        <v>4.1072499999999997E-36</v>
      </c>
      <c r="O16183">
        <v>371</v>
      </c>
    </row>
    <row r="16184" spans="1:15" x14ac:dyDescent="0.25">
      <c r="A16184" t="s">
        <v>16197</v>
      </c>
      <c r="B16184">
        <v>153</v>
      </c>
      <c r="C16184" s="1" t="str">
        <f>HYPERLINK("http://www.rosaceae.org/gb/gbrowse/malus_x_domestica/?name=MDP0000648324","MDP0000648324")</f>
        <v>MDP0000648324</v>
      </c>
      <c r="D16184">
        <v>37.159999999999997</v>
      </c>
      <c r="E16184">
        <v>148</v>
      </c>
      <c r="F16184">
        <v>93</v>
      </c>
      <c r="G16184">
        <v>33</v>
      </c>
      <c r="H16184">
        <v>15</v>
      </c>
      <c r="I16184">
        <v>151</v>
      </c>
      <c r="J16184">
        <v>1</v>
      </c>
      <c r="K16184">
        <v>4</v>
      </c>
      <c r="L16184">
        <v>129</v>
      </c>
      <c r="M16184">
        <v>1</v>
      </c>
      <c r="N16184">
        <v>4.2904599999999999E-13</v>
      </c>
      <c r="O16184">
        <v>172</v>
      </c>
    </row>
    <row r="16185" spans="1:15" x14ac:dyDescent="0.25">
      <c r="A16185" t="s">
        <v>16198</v>
      </c>
      <c r="B16185">
        <v>266</v>
      </c>
      <c r="C16185" s="1" t="str">
        <f>HYPERLINK("http://www.rosaceae.org/gb/gbrowse/malus_x_domestica/?name=MDP0000328568","MDP0000328568")</f>
        <v>MDP0000328568</v>
      </c>
      <c r="D16185">
        <v>89.94</v>
      </c>
      <c r="E16185">
        <v>169</v>
      </c>
      <c r="F16185">
        <v>17</v>
      </c>
      <c r="G16185">
        <v>1</v>
      </c>
      <c r="H16185">
        <v>98</v>
      </c>
      <c r="I16185">
        <v>266</v>
      </c>
      <c r="J16185">
        <v>1</v>
      </c>
      <c r="K16185">
        <v>30</v>
      </c>
      <c r="L16185">
        <v>197</v>
      </c>
      <c r="M16185">
        <v>1</v>
      </c>
      <c r="N16185">
        <v>1.59712E-84</v>
      </c>
      <c r="O16185">
        <v>792</v>
      </c>
    </row>
    <row r="16186" spans="1:15" x14ac:dyDescent="0.25">
      <c r="A16186" t="s">
        <v>16199</v>
      </c>
      <c r="B16186">
        <v>316</v>
      </c>
      <c r="C16186" s="1" t="str">
        <f>HYPERLINK("http://www.rosaceae.org/gb/gbrowse/malus_x_domestica/?name=MDP0000500222","MDP0000500222")</f>
        <v>MDP0000500222</v>
      </c>
      <c r="D16186">
        <v>34.54</v>
      </c>
      <c r="E16186">
        <v>110</v>
      </c>
      <c r="F16186">
        <v>72</v>
      </c>
      <c r="G16186">
        <v>13</v>
      </c>
      <c r="H16186">
        <v>197</v>
      </c>
      <c r="I16186">
        <v>296</v>
      </c>
      <c r="J16186">
        <v>1</v>
      </c>
      <c r="K16186">
        <v>219</v>
      </c>
      <c r="L16186">
        <v>325</v>
      </c>
      <c r="M16186">
        <v>1</v>
      </c>
      <c r="N16186">
        <v>2.2014100000000001E-10</v>
      </c>
      <c r="O16186">
        <v>154</v>
      </c>
    </row>
    <row r="16187" spans="1:15" x14ac:dyDescent="0.25">
      <c r="A16187" t="s">
        <v>16200</v>
      </c>
      <c r="B16187">
        <v>185</v>
      </c>
      <c r="C16187" s="1" t="str">
        <f>HYPERLINK("http://www.rosaceae.org/gb/gbrowse/malus_x_domestica/?name=MDP0000264034","MDP0000264034")</f>
        <v>MDP0000264034</v>
      </c>
      <c r="D16187">
        <v>40.200000000000003</v>
      </c>
      <c r="E16187">
        <v>194</v>
      </c>
      <c r="F16187">
        <v>116</v>
      </c>
      <c r="G16187">
        <v>44</v>
      </c>
      <c r="H16187">
        <v>33</v>
      </c>
      <c r="I16187">
        <v>182</v>
      </c>
      <c r="J16187">
        <v>1</v>
      </c>
      <c r="K16187">
        <v>36</v>
      </c>
      <c r="L16187">
        <v>229</v>
      </c>
      <c r="M16187">
        <v>1</v>
      </c>
      <c r="N16187">
        <v>2.00956E-28</v>
      </c>
      <c r="O16187">
        <v>306</v>
      </c>
    </row>
    <row r="16188" spans="1:15" x14ac:dyDescent="0.25">
      <c r="A16188" t="s">
        <v>16201</v>
      </c>
      <c r="B16188">
        <v>500</v>
      </c>
      <c r="C16188" s="1" t="str">
        <f>HYPERLINK("http://www.rosaceae.org/gb/gbrowse/malus_x_domestica/?name=MDP0000219180","MDP0000219180")</f>
        <v>MDP0000219180</v>
      </c>
      <c r="D16188">
        <v>67.11</v>
      </c>
      <c r="E16188">
        <v>517</v>
      </c>
      <c r="F16188">
        <v>170</v>
      </c>
      <c r="G16188">
        <v>34</v>
      </c>
      <c r="H16188">
        <v>1</v>
      </c>
      <c r="I16188">
        <v>498</v>
      </c>
      <c r="J16188">
        <v>1</v>
      </c>
      <c r="K16188">
        <v>1</v>
      </c>
      <c r="L16188">
        <v>502</v>
      </c>
      <c r="M16188">
        <v>1</v>
      </c>
      <c r="N16188">
        <v>0</v>
      </c>
      <c r="O16188">
        <v>1718</v>
      </c>
    </row>
    <row r="16189" spans="1:15" x14ac:dyDescent="0.25">
      <c r="A16189" t="s">
        <v>16202</v>
      </c>
      <c r="B16189">
        <v>435</v>
      </c>
      <c r="C16189" s="1" t="str">
        <f>HYPERLINK("http://www.rosaceae.org/gb/gbrowse/malus_x_domestica/?name=MDP0000439540","MDP0000439540")</f>
        <v>MDP0000439540</v>
      </c>
      <c r="D16189">
        <v>53.81</v>
      </c>
      <c r="E16189">
        <v>459</v>
      </c>
      <c r="F16189">
        <v>212</v>
      </c>
      <c r="G16189">
        <v>53</v>
      </c>
      <c r="H16189">
        <v>1</v>
      </c>
      <c r="I16189">
        <v>424</v>
      </c>
      <c r="J16189">
        <v>1</v>
      </c>
      <c r="K16189">
        <v>1</v>
      </c>
      <c r="L16189">
        <v>441</v>
      </c>
      <c r="M16189">
        <v>1</v>
      </c>
      <c r="N16189">
        <v>3.9928499999999998E-108</v>
      </c>
      <c r="O16189">
        <v>998</v>
      </c>
    </row>
    <row r="16190" spans="1:15" x14ac:dyDescent="0.25">
      <c r="A16190" t="s">
        <v>16203</v>
      </c>
      <c r="B16190">
        <v>531</v>
      </c>
      <c r="C16190" s="1" t="str">
        <f>HYPERLINK("http://www.rosaceae.org/gb/gbrowse/malus_x_domestica/?name=MDP0000321476","MDP0000321476")</f>
        <v>MDP0000321476</v>
      </c>
      <c r="D16190">
        <v>68.92</v>
      </c>
      <c r="E16190">
        <v>457</v>
      </c>
      <c r="F16190">
        <v>142</v>
      </c>
      <c r="G16190">
        <v>11</v>
      </c>
      <c r="H16190">
        <v>1</v>
      </c>
      <c r="I16190">
        <v>450</v>
      </c>
      <c r="J16190">
        <v>1</v>
      </c>
      <c r="K16190">
        <v>1</v>
      </c>
      <c r="L16190">
        <v>453</v>
      </c>
      <c r="M16190">
        <v>1</v>
      </c>
      <c r="N16190">
        <v>1.4167599999999999E-177</v>
      </c>
      <c r="O16190">
        <v>1598</v>
      </c>
    </row>
    <row r="16191" spans="1:15" x14ac:dyDescent="0.25">
      <c r="A16191" t="s">
        <v>16204</v>
      </c>
      <c r="B16191">
        <v>956</v>
      </c>
      <c r="C16191" s="1" t="str">
        <f>HYPERLINK("http://www.rosaceae.org/gb/gbrowse/malus_x_domestica/?name=MDP0000917312","MDP0000917312")</f>
        <v>MDP0000917312</v>
      </c>
      <c r="D16191">
        <v>74.86</v>
      </c>
      <c r="E16191">
        <v>959</v>
      </c>
      <c r="F16191">
        <v>241</v>
      </c>
      <c r="G16191">
        <v>34</v>
      </c>
      <c r="H16191">
        <v>1</v>
      </c>
      <c r="I16191">
        <v>927</v>
      </c>
      <c r="J16191">
        <v>1</v>
      </c>
      <c r="K16191">
        <v>1</v>
      </c>
      <c r="L16191">
        <v>957</v>
      </c>
      <c r="M16191">
        <v>1</v>
      </c>
      <c r="N16191">
        <v>0</v>
      </c>
      <c r="O16191">
        <v>3729</v>
      </c>
    </row>
    <row r="16192" spans="1:15" x14ac:dyDescent="0.25">
      <c r="A16192" t="s">
        <v>16205</v>
      </c>
      <c r="B16192">
        <v>543</v>
      </c>
      <c r="C16192" s="1" t="str">
        <f>HYPERLINK("http://www.rosaceae.org/gb/gbrowse/malus_x_domestica/?name=MDP0000151539","MDP0000151539")</f>
        <v>MDP0000151539</v>
      </c>
      <c r="D16192">
        <v>61.88</v>
      </c>
      <c r="E16192">
        <v>585</v>
      </c>
      <c r="F16192">
        <v>223</v>
      </c>
      <c r="G16192">
        <v>48</v>
      </c>
      <c r="H16192">
        <v>3</v>
      </c>
      <c r="I16192">
        <v>543</v>
      </c>
      <c r="J16192">
        <v>1</v>
      </c>
      <c r="K16192">
        <v>1</v>
      </c>
      <c r="L16192">
        <v>581</v>
      </c>
      <c r="M16192">
        <v>1</v>
      </c>
      <c r="N16192">
        <v>0</v>
      </c>
      <c r="O16192">
        <v>1732</v>
      </c>
    </row>
    <row r="16193" spans="1:15" x14ac:dyDescent="0.25">
      <c r="A16193" t="s">
        <v>16206</v>
      </c>
      <c r="B16193">
        <v>373</v>
      </c>
      <c r="C16193" s="1" t="str">
        <f>HYPERLINK("http://www.rosaceae.org/gb/gbrowse/malus_x_domestica/?name=MDP0000271312","MDP0000271312")</f>
        <v>MDP0000271312</v>
      </c>
      <c r="D16193">
        <v>21.02</v>
      </c>
      <c r="E16193">
        <v>176</v>
      </c>
      <c r="F16193">
        <v>139</v>
      </c>
      <c r="G16193">
        <v>2</v>
      </c>
      <c r="H16193">
        <v>26</v>
      </c>
      <c r="I16193">
        <v>201</v>
      </c>
      <c r="J16193">
        <v>1</v>
      </c>
      <c r="K16193">
        <v>226</v>
      </c>
      <c r="L16193">
        <v>399</v>
      </c>
      <c r="M16193">
        <v>1</v>
      </c>
      <c r="N16193">
        <v>5.92717E-8</v>
      </c>
      <c r="O16193">
        <v>134</v>
      </c>
    </row>
    <row r="16194" spans="1:15" x14ac:dyDescent="0.25">
      <c r="A16194" t="s">
        <v>16207</v>
      </c>
      <c r="B16194">
        <v>514</v>
      </c>
      <c r="C16194" s="1" t="str">
        <f>HYPERLINK("http://www.rosaceae.org/gb/gbrowse/malus_x_domestica/?name=MDP0000873233","MDP0000873233")</f>
        <v>MDP0000873233</v>
      </c>
      <c r="D16194">
        <v>47.59</v>
      </c>
      <c r="E16194">
        <v>458</v>
      </c>
      <c r="F16194">
        <v>240</v>
      </c>
      <c r="G16194">
        <v>45</v>
      </c>
      <c r="H16194">
        <v>20</v>
      </c>
      <c r="I16194">
        <v>474</v>
      </c>
      <c r="J16194">
        <v>1</v>
      </c>
      <c r="K16194">
        <v>10</v>
      </c>
      <c r="L16194">
        <v>425</v>
      </c>
      <c r="M16194">
        <v>1</v>
      </c>
      <c r="N16194">
        <v>3.8008099999999999E-114</v>
      </c>
      <c r="O16194">
        <v>1051</v>
      </c>
    </row>
    <row r="16195" spans="1:15" x14ac:dyDescent="0.25">
      <c r="A16195" t="s">
        <v>16208</v>
      </c>
      <c r="B16195">
        <v>671</v>
      </c>
      <c r="C16195" s="1" t="str">
        <f>HYPERLINK("http://www.rosaceae.org/gb/gbrowse/malus_x_domestica/?name=MDP0000571528","MDP0000571528")</f>
        <v>MDP0000571528</v>
      </c>
      <c r="D16195">
        <v>90.26</v>
      </c>
      <c r="E16195">
        <v>668</v>
      </c>
      <c r="F16195">
        <v>65</v>
      </c>
      <c r="G16195">
        <v>0</v>
      </c>
      <c r="H16195">
        <v>1</v>
      </c>
      <c r="I16195">
        <v>668</v>
      </c>
      <c r="J16195">
        <v>1</v>
      </c>
      <c r="K16195">
        <v>176</v>
      </c>
      <c r="L16195">
        <v>843</v>
      </c>
      <c r="M16195">
        <v>1</v>
      </c>
      <c r="N16195">
        <v>0</v>
      </c>
      <c r="O16195">
        <v>3248</v>
      </c>
    </row>
    <row r="16196" spans="1:15" x14ac:dyDescent="0.25">
      <c r="A16196" t="s">
        <v>16209</v>
      </c>
      <c r="B16196">
        <v>94</v>
      </c>
      <c r="C16196" s="1" t="str">
        <f>HYPERLINK("http://www.rosaceae.org/gb/gbrowse/malus_x_domestica/?name=MDP0000165959","MDP0000165959")</f>
        <v>MDP0000165959</v>
      </c>
      <c r="D16196">
        <v>35.78</v>
      </c>
      <c r="E16196">
        <v>95</v>
      </c>
      <c r="F16196">
        <v>61</v>
      </c>
      <c r="G16196">
        <v>3</v>
      </c>
      <c r="H16196">
        <v>1</v>
      </c>
      <c r="I16196">
        <v>93</v>
      </c>
      <c r="J16196">
        <v>1</v>
      </c>
      <c r="K16196">
        <v>18</v>
      </c>
      <c r="L16196">
        <v>111</v>
      </c>
      <c r="M16196">
        <v>1</v>
      </c>
      <c r="N16196">
        <v>6.9230500000000004E-9</v>
      </c>
      <c r="O16196">
        <v>134</v>
      </c>
    </row>
    <row r="16197" spans="1:15" x14ac:dyDescent="0.25">
      <c r="A16197" t="s">
        <v>16210</v>
      </c>
      <c r="B16197">
        <v>628</v>
      </c>
      <c r="C16197" s="1" t="str">
        <f>HYPERLINK("http://www.rosaceae.org/gb/gbrowse/malus_x_domestica/?name=MDP0000140404","MDP0000140404")</f>
        <v>MDP0000140404</v>
      </c>
      <c r="D16197">
        <v>83.08</v>
      </c>
      <c r="E16197">
        <v>603</v>
      </c>
      <c r="F16197">
        <v>102</v>
      </c>
      <c r="G16197">
        <v>40</v>
      </c>
      <c r="H16197">
        <v>20</v>
      </c>
      <c r="I16197">
        <v>583</v>
      </c>
      <c r="J16197">
        <v>1</v>
      </c>
      <c r="K16197">
        <v>1</v>
      </c>
      <c r="L16197">
        <v>602</v>
      </c>
      <c r="M16197">
        <v>1</v>
      </c>
      <c r="N16197">
        <v>0</v>
      </c>
      <c r="O16197">
        <v>2592</v>
      </c>
    </row>
    <row r="16198" spans="1:15" x14ac:dyDescent="0.25">
      <c r="A16198" t="s">
        <v>16211</v>
      </c>
      <c r="B16198">
        <v>1021</v>
      </c>
      <c r="C16198" s="1" t="str">
        <f>HYPERLINK("http://www.rosaceae.org/gb/gbrowse/malus_x_domestica/?name=MDP0000161022","MDP0000161022")</f>
        <v>MDP0000161022</v>
      </c>
      <c r="D16198">
        <v>43.2</v>
      </c>
      <c r="E16198">
        <v>125</v>
      </c>
      <c r="F16198">
        <v>71</v>
      </c>
      <c r="G16198">
        <v>7</v>
      </c>
      <c r="H16198">
        <v>883</v>
      </c>
      <c r="I16198">
        <v>1003</v>
      </c>
      <c r="J16198">
        <v>1</v>
      </c>
      <c r="K16198">
        <v>134</v>
      </c>
      <c r="L16198">
        <v>255</v>
      </c>
      <c r="M16198">
        <v>1</v>
      </c>
      <c r="N16198">
        <v>2.6663800000000001E-18</v>
      </c>
      <c r="O16198">
        <v>227</v>
      </c>
    </row>
    <row r="16199" spans="1:15" x14ac:dyDescent="0.25">
      <c r="A16199" t="s">
        <v>16212</v>
      </c>
      <c r="B16199">
        <v>304</v>
      </c>
      <c r="C16199" s="1" t="str">
        <f>HYPERLINK("http://www.rosaceae.org/gb/gbrowse/malus_x_domestica/?name=MDP0000288190","MDP0000288190")</f>
        <v>MDP0000288190</v>
      </c>
      <c r="D16199">
        <v>67.12</v>
      </c>
      <c r="E16199">
        <v>216</v>
      </c>
      <c r="F16199">
        <v>71</v>
      </c>
      <c r="G16199">
        <v>0</v>
      </c>
      <c r="H16199">
        <v>55</v>
      </c>
      <c r="I16199">
        <v>270</v>
      </c>
      <c r="J16199">
        <v>1</v>
      </c>
      <c r="K16199">
        <v>1086</v>
      </c>
      <c r="L16199">
        <v>1301</v>
      </c>
      <c r="M16199">
        <v>1</v>
      </c>
      <c r="N16199">
        <v>9.2115299999999996E-82</v>
      </c>
      <c r="O16199">
        <v>769</v>
      </c>
    </row>
    <row r="16200" spans="1:15" x14ac:dyDescent="0.25">
      <c r="A16200" t="s">
        <v>16213</v>
      </c>
      <c r="B16200">
        <v>175</v>
      </c>
      <c r="C16200" s="1" t="str">
        <f>HYPERLINK("http://www.rosaceae.org/gb/gbrowse/malus_x_domestica/?name=MDP0000292177","MDP0000292177")</f>
        <v>MDP0000292177</v>
      </c>
      <c r="D16200">
        <v>84.72</v>
      </c>
      <c r="E16200">
        <v>72</v>
      </c>
      <c r="F16200">
        <v>11</v>
      </c>
      <c r="G16200">
        <v>0</v>
      </c>
      <c r="H16200">
        <v>104</v>
      </c>
      <c r="I16200">
        <v>175</v>
      </c>
      <c r="J16200">
        <v>1</v>
      </c>
      <c r="K16200">
        <v>62</v>
      </c>
      <c r="L16200">
        <v>133</v>
      </c>
      <c r="M16200">
        <v>1</v>
      </c>
      <c r="N16200">
        <v>3.1913599999999999E-30</v>
      </c>
      <c r="O16200">
        <v>321</v>
      </c>
    </row>
    <row r="16201" spans="1:15" x14ac:dyDescent="0.25">
      <c r="A16201" t="s">
        <v>16214</v>
      </c>
      <c r="B16201">
        <v>390</v>
      </c>
      <c r="C16201" s="1" t="str">
        <f>HYPERLINK("http://www.rosaceae.org/gb/gbrowse/malus_x_domestica/?name=MDP0000197247","MDP0000197247")</f>
        <v>MDP0000197247</v>
      </c>
      <c r="D16201">
        <v>85.93</v>
      </c>
      <c r="E16201">
        <v>64</v>
      </c>
      <c r="F16201">
        <v>9</v>
      </c>
      <c r="G16201">
        <v>0</v>
      </c>
      <c r="H16201">
        <v>15</v>
      </c>
      <c r="I16201">
        <v>78</v>
      </c>
      <c r="J16201">
        <v>1</v>
      </c>
      <c r="K16201">
        <v>19</v>
      </c>
      <c r="L16201">
        <v>82</v>
      </c>
      <c r="M16201">
        <v>1</v>
      </c>
      <c r="N16201">
        <v>3.61309E-28</v>
      </c>
      <c r="O16201">
        <v>308</v>
      </c>
    </row>
    <row r="16202" spans="1:15" x14ac:dyDescent="0.25">
      <c r="A16202" t="s">
        <v>16215</v>
      </c>
      <c r="B16202">
        <v>741</v>
      </c>
      <c r="C16202" s="1" t="str">
        <f>HYPERLINK("http://www.rosaceae.org/gb/gbrowse/malus_x_domestica/?name=MDP0000814899","MDP0000814899")</f>
        <v>MDP0000814899</v>
      </c>
      <c r="D16202">
        <v>69.83</v>
      </c>
      <c r="E16202">
        <v>557</v>
      </c>
      <c r="F16202">
        <v>168</v>
      </c>
      <c r="G16202">
        <v>4</v>
      </c>
      <c r="H16202">
        <v>186</v>
      </c>
      <c r="I16202">
        <v>741</v>
      </c>
      <c r="J16202">
        <v>1</v>
      </c>
      <c r="K16202">
        <v>255</v>
      </c>
      <c r="L16202">
        <v>808</v>
      </c>
      <c r="M16202">
        <v>1</v>
      </c>
      <c r="N16202">
        <v>0</v>
      </c>
      <c r="O16202">
        <v>2051</v>
      </c>
    </row>
    <row r="16203" spans="1:15" x14ac:dyDescent="0.25">
      <c r="A16203" t="s">
        <v>16216</v>
      </c>
      <c r="B16203">
        <v>874</v>
      </c>
      <c r="C16203" s="1" t="str">
        <f>HYPERLINK("http://www.rosaceae.org/gb/gbrowse/malus_x_domestica/?name=MDP0000268356","MDP0000268356")</f>
        <v>MDP0000268356</v>
      </c>
      <c r="D16203">
        <v>67.709999999999994</v>
      </c>
      <c r="E16203">
        <v>728</v>
      </c>
      <c r="F16203">
        <v>235</v>
      </c>
      <c r="G16203">
        <v>21</v>
      </c>
      <c r="H16203">
        <v>161</v>
      </c>
      <c r="I16203">
        <v>873</v>
      </c>
      <c r="J16203">
        <v>1</v>
      </c>
      <c r="K16203">
        <v>504</v>
      </c>
      <c r="L16203">
        <v>1225</v>
      </c>
      <c r="M16203">
        <v>1</v>
      </c>
      <c r="N16203">
        <v>0</v>
      </c>
      <c r="O16203">
        <v>2531</v>
      </c>
    </row>
    <row r="16204" spans="1:15" x14ac:dyDescent="0.25">
      <c r="A16204" t="s">
        <v>16217</v>
      </c>
      <c r="B16204">
        <v>404</v>
      </c>
      <c r="C16204" s="1" t="str">
        <f>HYPERLINK("http://www.rosaceae.org/gb/gbrowse/malus_x_domestica/?name=MDP0000300536","MDP0000300536")</f>
        <v>MDP0000300536</v>
      </c>
      <c r="D16204">
        <v>47.72</v>
      </c>
      <c r="E16204">
        <v>417</v>
      </c>
      <c r="F16204">
        <v>218</v>
      </c>
      <c r="G16204">
        <v>15</v>
      </c>
      <c r="H16204">
        <v>1</v>
      </c>
      <c r="I16204">
        <v>403</v>
      </c>
      <c r="J16204">
        <v>1</v>
      </c>
      <c r="K16204">
        <v>432</v>
      </c>
      <c r="L16204">
        <v>847</v>
      </c>
      <c r="M16204">
        <v>1</v>
      </c>
      <c r="N16204">
        <v>1.0537999999999999E-102</v>
      </c>
      <c r="O16204">
        <v>951</v>
      </c>
    </row>
    <row r="16205" spans="1:15" x14ac:dyDescent="0.25">
      <c r="A16205" t="s">
        <v>16218</v>
      </c>
      <c r="B16205">
        <v>426</v>
      </c>
      <c r="C16205" s="1" t="str">
        <f>HYPERLINK("http://www.rosaceae.org/gb/gbrowse/malus_x_domestica/?name=MDP0000172208","MDP0000172208")</f>
        <v>MDP0000172208</v>
      </c>
      <c r="D16205">
        <v>26.1</v>
      </c>
      <c r="E16205">
        <v>295</v>
      </c>
      <c r="F16205">
        <v>218</v>
      </c>
      <c r="G16205">
        <v>64</v>
      </c>
      <c r="H16205">
        <v>110</v>
      </c>
      <c r="I16205">
        <v>344</v>
      </c>
      <c r="J16205">
        <v>1</v>
      </c>
      <c r="K16205">
        <v>109</v>
      </c>
      <c r="L16205">
        <v>399</v>
      </c>
      <c r="M16205">
        <v>1</v>
      </c>
      <c r="N16205">
        <v>4.1585199999999998E-16</v>
      </c>
      <c r="O16205">
        <v>205</v>
      </c>
    </row>
    <row r="16206" spans="1:15" x14ac:dyDescent="0.25">
      <c r="A16206" t="s">
        <v>16219</v>
      </c>
      <c r="B16206">
        <v>362</v>
      </c>
      <c r="C16206" s="1" t="str">
        <f>HYPERLINK("http://www.rosaceae.org/gb/gbrowse/malus_x_domestica/?name=MDP0000507270","MDP0000507270")</f>
        <v>MDP0000507270</v>
      </c>
      <c r="D16206">
        <v>52.2</v>
      </c>
      <c r="E16206">
        <v>249</v>
      </c>
      <c r="F16206">
        <v>119</v>
      </c>
      <c r="G16206">
        <v>26</v>
      </c>
      <c r="H16206">
        <v>1</v>
      </c>
      <c r="I16206">
        <v>225</v>
      </c>
      <c r="J16206">
        <v>1</v>
      </c>
      <c r="K16206">
        <v>1</v>
      </c>
      <c r="L16206">
        <v>247</v>
      </c>
      <c r="M16206">
        <v>1</v>
      </c>
      <c r="N16206">
        <v>5.02623E-58</v>
      </c>
      <c r="O16206">
        <v>565</v>
      </c>
    </row>
    <row r="16207" spans="1:15" x14ac:dyDescent="0.25">
      <c r="A16207" t="s">
        <v>16220</v>
      </c>
      <c r="B16207">
        <v>662</v>
      </c>
      <c r="C16207" s="1" t="str">
        <f>HYPERLINK("http://www.rosaceae.org/gb/gbrowse/malus_x_domestica/?name=MDP0000188950","MDP0000188950")</f>
        <v>MDP0000188950</v>
      </c>
      <c r="D16207">
        <v>75.94</v>
      </c>
      <c r="E16207">
        <v>636</v>
      </c>
      <c r="F16207">
        <v>153</v>
      </c>
      <c r="G16207">
        <v>17</v>
      </c>
      <c r="H16207">
        <v>22</v>
      </c>
      <c r="I16207">
        <v>644</v>
      </c>
      <c r="J16207">
        <v>1</v>
      </c>
      <c r="K16207">
        <v>23</v>
      </c>
      <c r="L16207">
        <v>654</v>
      </c>
      <c r="M16207">
        <v>1</v>
      </c>
      <c r="N16207">
        <v>0</v>
      </c>
      <c r="O16207">
        <v>2524</v>
      </c>
    </row>
    <row r="16208" spans="1:15" x14ac:dyDescent="0.25">
      <c r="A16208" t="s">
        <v>16221</v>
      </c>
      <c r="B16208">
        <v>43</v>
      </c>
      <c r="C16208" s="1" t="str">
        <f>HYPERLINK("http://www.rosaceae.org/gb/gbrowse/malus_x_domestica/?name=MDP0000311504","MDP0000311504")</f>
        <v>MDP0000311504</v>
      </c>
      <c r="D16208">
        <v>79.41</v>
      </c>
      <c r="E16208">
        <v>34</v>
      </c>
      <c r="F16208">
        <v>7</v>
      </c>
      <c r="G16208">
        <v>0</v>
      </c>
      <c r="H16208">
        <v>10</v>
      </c>
      <c r="I16208">
        <v>43</v>
      </c>
      <c r="J16208">
        <v>1</v>
      </c>
      <c r="K16208">
        <v>1</v>
      </c>
      <c r="L16208">
        <v>34</v>
      </c>
      <c r="M16208">
        <v>1</v>
      </c>
      <c r="N16208">
        <v>9.6480999999999995E-11</v>
      </c>
      <c r="O16208">
        <v>150</v>
      </c>
    </row>
    <row r="16209" spans="1:15" x14ac:dyDescent="0.25">
      <c r="A16209" t="s">
        <v>16222</v>
      </c>
      <c r="B16209">
        <v>135</v>
      </c>
      <c r="C16209" s="1" t="str">
        <f>HYPERLINK("http://www.rosaceae.org/gb/gbrowse/malus_x_domestica/?name=MDP0000557621","MDP0000557621")</f>
        <v>MDP0000557621</v>
      </c>
      <c r="D16209">
        <v>50</v>
      </c>
      <c r="E16209">
        <v>50</v>
      </c>
      <c r="F16209">
        <v>25</v>
      </c>
      <c r="G16209">
        <v>0</v>
      </c>
      <c r="H16209">
        <v>12</v>
      </c>
      <c r="I16209">
        <v>61</v>
      </c>
      <c r="J16209">
        <v>1</v>
      </c>
      <c r="K16209">
        <v>36</v>
      </c>
      <c r="L16209">
        <v>85</v>
      </c>
      <c r="M16209">
        <v>1</v>
      </c>
      <c r="N16209">
        <v>1.00588E-7</v>
      </c>
      <c r="O16209">
        <v>125</v>
      </c>
    </row>
    <row r="16210" spans="1:15" x14ac:dyDescent="0.25">
      <c r="A16210" t="s">
        <v>16223</v>
      </c>
      <c r="B16210">
        <v>337</v>
      </c>
      <c r="C16210" s="1" t="str">
        <f>HYPERLINK("http://www.rosaceae.org/gb/gbrowse/malus_x_domestica/?name=MDP0000395656","MDP0000395656")</f>
        <v>MDP0000395656</v>
      </c>
      <c r="D16210">
        <v>62.73</v>
      </c>
      <c r="E16210">
        <v>322</v>
      </c>
      <c r="F16210">
        <v>120</v>
      </c>
      <c r="G16210">
        <v>3</v>
      </c>
      <c r="H16210">
        <v>16</v>
      </c>
      <c r="I16210">
        <v>337</v>
      </c>
      <c r="J16210">
        <v>1</v>
      </c>
      <c r="K16210">
        <v>14</v>
      </c>
      <c r="L16210">
        <v>332</v>
      </c>
      <c r="M16210">
        <v>1</v>
      </c>
      <c r="N16210">
        <v>2.9617600000000002E-118</v>
      </c>
      <c r="O16210">
        <v>1084</v>
      </c>
    </row>
    <row r="16211" spans="1:15" x14ac:dyDescent="0.25">
      <c r="A16211" t="s">
        <v>16224</v>
      </c>
      <c r="B16211">
        <v>224</v>
      </c>
      <c r="C16211" s="1" t="str">
        <f>HYPERLINK("http://www.rosaceae.org/gb/gbrowse/malus_x_domestica/?name=MDP0000568352","MDP0000568352")</f>
        <v>MDP0000568352</v>
      </c>
      <c r="D16211">
        <v>49.29</v>
      </c>
      <c r="E16211">
        <v>213</v>
      </c>
      <c r="F16211">
        <v>108</v>
      </c>
      <c r="G16211">
        <v>13</v>
      </c>
      <c r="H16211">
        <v>15</v>
      </c>
      <c r="I16211">
        <v>223</v>
      </c>
      <c r="J16211">
        <v>1</v>
      </c>
      <c r="K16211">
        <v>29</v>
      </c>
      <c r="L16211">
        <v>232</v>
      </c>
      <c r="M16211">
        <v>1</v>
      </c>
      <c r="N16211">
        <v>3.4029799999999999E-47</v>
      </c>
      <c r="O16211">
        <v>469</v>
      </c>
    </row>
    <row r="16212" spans="1:15" x14ac:dyDescent="0.25">
      <c r="A16212" t="s">
        <v>16225</v>
      </c>
      <c r="B16212">
        <v>239</v>
      </c>
      <c r="C16212" s="1" t="str">
        <f>HYPERLINK("http://www.rosaceae.org/gb/gbrowse/malus_x_domestica/?name=MDP0000297881","MDP0000297881")</f>
        <v>MDP0000297881</v>
      </c>
      <c r="D16212">
        <v>50.57</v>
      </c>
      <c r="E16212">
        <v>174</v>
      </c>
      <c r="F16212">
        <v>86</v>
      </c>
      <c r="G16212">
        <v>11</v>
      </c>
      <c r="H16212">
        <v>19</v>
      </c>
      <c r="I16212">
        <v>190</v>
      </c>
      <c r="J16212">
        <v>1</v>
      </c>
      <c r="K16212">
        <v>8</v>
      </c>
      <c r="L16212">
        <v>172</v>
      </c>
      <c r="M16212">
        <v>1</v>
      </c>
      <c r="N16212">
        <v>5.2499900000000001E-39</v>
      </c>
      <c r="O16212">
        <v>399</v>
      </c>
    </row>
    <row r="16213" spans="1:15" x14ac:dyDescent="0.25">
      <c r="A16213" t="s">
        <v>16226</v>
      </c>
      <c r="B16213">
        <v>1411</v>
      </c>
      <c r="C16213" s="1" t="str">
        <f>HYPERLINK("http://www.rosaceae.org/gb/gbrowse/malus_x_domestica/?name=MDP0000148586","MDP0000148586")</f>
        <v>MDP0000148586</v>
      </c>
      <c r="D16213">
        <v>72.62</v>
      </c>
      <c r="E16213">
        <v>464</v>
      </c>
      <c r="F16213">
        <v>127</v>
      </c>
      <c r="G16213">
        <v>97</v>
      </c>
      <c r="H16213">
        <v>1015</v>
      </c>
      <c r="I16213">
        <v>1411</v>
      </c>
      <c r="J16213">
        <v>1</v>
      </c>
      <c r="K16213">
        <v>38</v>
      </c>
      <c r="L16213">
        <v>471</v>
      </c>
      <c r="M16213">
        <v>1</v>
      </c>
      <c r="N16213">
        <v>0</v>
      </c>
      <c r="O16213">
        <v>1752</v>
      </c>
    </row>
    <row r="16214" spans="1:15" x14ac:dyDescent="0.25">
      <c r="A16214" t="s">
        <v>16227</v>
      </c>
      <c r="B16214">
        <v>200</v>
      </c>
      <c r="C16214" s="1" t="str">
        <f>HYPERLINK("http://www.rosaceae.org/gb/gbrowse/malus_x_domestica/?name=MDP0000261545","MDP0000261545")</f>
        <v>MDP0000261545</v>
      </c>
      <c r="D16214">
        <v>69.069999999999993</v>
      </c>
      <c r="E16214">
        <v>152</v>
      </c>
      <c r="F16214">
        <v>47</v>
      </c>
      <c r="G16214">
        <v>4</v>
      </c>
      <c r="H16214">
        <v>39</v>
      </c>
      <c r="I16214">
        <v>188</v>
      </c>
      <c r="J16214">
        <v>1</v>
      </c>
      <c r="K16214">
        <v>719</v>
      </c>
      <c r="L16214">
        <v>868</v>
      </c>
      <c r="M16214">
        <v>1</v>
      </c>
      <c r="N16214">
        <v>1.5733000000000001E-45</v>
      </c>
      <c r="O16214">
        <v>454</v>
      </c>
    </row>
    <row r="16215" spans="1:15" x14ac:dyDescent="0.25">
      <c r="A16215" t="s">
        <v>16228</v>
      </c>
      <c r="B16215">
        <v>366</v>
      </c>
      <c r="C16215" s="1" t="str">
        <f>HYPERLINK("http://www.rosaceae.org/gb/gbrowse/malus_x_domestica/?name=MDP0000150092","MDP0000150092")</f>
        <v>MDP0000150092</v>
      </c>
      <c r="D16215">
        <v>74.25</v>
      </c>
      <c r="E16215">
        <v>369</v>
      </c>
      <c r="F16215">
        <v>95</v>
      </c>
      <c r="G16215">
        <v>46</v>
      </c>
      <c r="H16215">
        <v>1</v>
      </c>
      <c r="I16215">
        <v>365</v>
      </c>
      <c r="J16215">
        <v>1</v>
      </c>
      <c r="K16215">
        <v>741</v>
      </c>
      <c r="L16215">
        <v>1067</v>
      </c>
      <c r="M16215">
        <v>1</v>
      </c>
      <c r="N16215">
        <v>2.7216699999999998E-155</v>
      </c>
      <c r="O16215">
        <v>1404</v>
      </c>
    </row>
    <row r="16216" spans="1:15" x14ac:dyDescent="0.25">
      <c r="A16216" t="s">
        <v>16229</v>
      </c>
      <c r="B16216">
        <v>494</v>
      </c>
      <c r="C16216" s="1" t="str">
        <f>HYPERLINK("http://www.rosaceae.org/gb/gbrowse/malus_x_domestica/?name=MDP0000238881","MDP0000238881")</f>
        <v>MDP0000238881</v>
      </c>
      <c r="D16216">
        <v>52.22</v>
      </c>
      <c r="E16216">
        <v>360</v>
      </c>
      <c r="F16216">
        <v>172</v>
      </c>
      <c r="G16216">
        <v>95</v>
      </c>
      <c r="H16216">
        <v>196</v>
      </c>
      <c r="I16216">
        <v>466</v>
      </c>
      <c r="J16216">
        <v>1</v>
      </c>
      <c r="K16216">
        <v>1</v>
      </c>
      <c r="L16216">
        <v>354</v>
      </c>
      <c r="M16216">
        <v>1</v>
      </c>
      <c r="N16216">
        <v>1.8043499999999998E-92</v>
      </c>
      <c r="O16216">
        <v>864</v>
      </c>
    </row>
    <row r="16217" spans="1:15" x14ac:dyDescent="0.25">
      <c r="A16217" t="s">
        <v>16230</v>
      </c>
      <c r="B16217">
        <v>119</v>
      </c>
      <c r="C16217" s="1" t="str">
        <f>HYPERLINK("http://www.rosaceae.org/gb/gbrowse/malus_x_domestica/?name=MDP0000907785","MDP0000907785")</f>
        <v>MDP0000907785</v>
      </c>
      <c r="D16217">
        <v>75.47</v>
      </c>
      <c r="E16217">
        <v>53</v>
      </c>
      <c r="F16217">
        <v>13</v>
      </c>
      <c r="G16217">
        <v>2</v>
      </c>
      <c r="H16217">
        <v>1</v>
      </c>
      <c r="I16217">
        <v>53</v>
      </c>
      <c r="J16217">
        <v>1</v>
      </c>
      <c r="K16217">
        <v>1</v>
      </c>
      <c r="L16217">
        <v>51</v>
      </c>
      <c r="M16217">
        <v>1</v>
      </c>
      <c r="N16217">
        <v>1.45684E-16</v>
      </c>
      <c r="O16217">
        <v>200</v>
      </c>
    </row>
    <row r="16218" spans="1:15" x14ac:dyDescent="0.25">
      <c r="A16218" t="s">
        <v>16231</v>
      </c>
      <c r="B16218">
        <v>217</v>
      </c>
      <c r="C16218" s="1" t="str">
        <f>HYPERLINK("http://www.rosaceae.org/gb/gbrowse/malus_x_domestica/?name=MDP0000875237","MDP0000875237")</f>
        <v>MDP0000875237</v>
      </c>
      <c r="D16218">
        <v>49.41</v>
      </c>
      <c r="E16218">
        <v>172</v>
      </c>
      <c r="F16218">
        <v>87</v>
      </c>
      <c r="G16218">
        <v>12</v>
      </c>
      <c r="H16218">
        <v>53</v>
      </c>
      <c r="I16218">
        <v>217</v>
      </c>
      <c r="J16218">
        <v>1</v>
      </c>
      <c r="K16218">
        <v>68</v>
      </c>
      <c r="L16218">
        <v>234</v>
      </c>
      <c r="M16218">
        <v>1</v>
      </c>
      <c r="N16218">
        <v>1.31431E-33</v>
      </c>
      <c r="O16218">
        <v>352</v>
      </c>
    </row>
    <row r="16219" spans="1:15" x14ac:dyDescent="0.25">
      <c r="A16219" t="s">
        <v>16232</v>
      </c>
      <c r="B16219">
        <v>738</v>
      </c>
      <c r="C16219" s="1" t="str">
        <f>HYPERLINK("http://www.rosaceae.org/gb/gbrowse/malus_x_domestica/?name=MDP0000130989","MDP0000130989")</f>
        <v>MDP0000130989</v>
      </c>
      <c r="D16219">
        <v>79.650000000000006</v>
      </c>
      <c r="E16219">
        <v>703</v>
      </c>
      <c r="F16219">
        <v>143</v>
      </c>
      <c r="G16219">
        <v>15</v>
      </c>
      <c r="H16219">
        <v>41</v>
      </c>
      <c r="I16219">
        <v>738</v>
      </c>
      <c r="J16219">
        <v>1</v>
      </c>
      <c r="K16219">
        <v>7</v>
      </c>
      <c r="L16219">
        <v>699</v>
      </c>
      <c r="M16219">
        <v>1</v>
      </c>
      <c r="N16219">
        <v>0</v>
      </c>
      <c r="O16219">
        <v>2954</v>
      </c>
    </row>
    <row r="16220" spans="1:15" x14ac:dyDescent="0.25">
      <c r="A16220" t="s">
        <v>16233</v>
      </c>
      <c r="B16220">
        <v>179</v>
      </c>
      <c r="C16220" s="1" t="str">
        <f>HYPERLINK("http://www.rosaceae.org/gb/gbrowse/malus_x_domestica/?name=MDP0000148063","MDP0000148063")</f>
        <v>MDP0000148063</v>
      </c>
      <c r="D16220">
        <v>58.2</v>
      </c>
      <c r="E16220">
        <v>134</v>
      </c>
      <c r="F16220">
        <v>56</v>
      </c>
      <c r="G16220">
        <v>1</v>
      </c>
      <c r="H16220">
        <v>16</v>
      </c>
      <c r="I16220">
        <v>149</v>
      </c>
      <c r="J16220">
        <v>1</v>
      </c>
      <c r="K16220">
        <v>1</v>
      </c>
      <c r="L16220">
        <v>133</v>
      </c>
      <c r="M16220">
        <v>1</v>
      </c>
      <c r="N16220">
        <v>1.1301200000000001E-43</v>
      </c>
      <c r="O16220">
        <v>437</v>
      </c>
    </row>
    <row r="16221" spans="1:15" x14ac:dyDescent="0.25">
      <c r="A16221" t="s">
        <v>16234</v>
      </c>
      <c r="B16221">
        <v>277</v>
      </c>
      <c r="C16221" s="1" t="str">
        <f>HYPERLINK("http://www.rosaceae.org/gb/gbrowse/malus_x_domestica/?name=MDP0000299830","MDP0000299830")</f>
        <v>MDP0000299830</v>
      </c>
      <c r="D16221">
        <v>65.34</v>
      </c>
      <c r="E16221">
        <v>303</v>
      </c>
      <c r="F16221">
        <v>105</v>
      </c>
      <c r="G16221">
        <v>27</v>
      </c>
      <c r="H16221">
        <v>1</v>
      </c>
      <c r="I16221">
        <v>276</v>
      </c>
      <c r="J16221">
        <v>1</v>
      </c>
      <c r="K16221">
        <v>1</v>
      </c>
      <c r="L16221">
        <v>303</v>
      </c>
      <c r="M16221">
        <v>1</v>
      </c>
      <c r="N16221">
        <v>3.76161E-116</v>
      </c>
      <c r="O16221">
        <v>1065</v>
      </c>
    </row>
    <row r="16222" spans="1:15" x14ac:dyDescent="0.25">
      <c r="A16222" t="s">
        <v>16235</v>
      </c>
      <c r="B16222">
        <v>288</v>
      </c>
      <c r="C16222" s="1" t="str">
        <f>HYPERLINK("http://www.rosaceae.org/gb/gbrowse/malus_x_domestica/?name=MDP0000167862","MDP0000167862")</f>
        <v>MDP0000167862</v>
      </c>
      <c r="D16222">
        <v>61.36</v>
      </c>
      <c r="E16222">
        <v>132</v>
      </c>
      <c r="F16222">
        <v>51</v>
      </c>
      <c r="G16222">
        <v>0</v>
      </c>
      <c r="H16222">
        <v>1</v>
      </c>
      <c r="I16222">
        <v>132</v>
      </c>
      <c r="J16222">
        <v>1</v>
      </c>
      <c r="K16222">
        <v>152</v>
      </c>
      <c r="L16222">
        <v>283</v>
      </c>
      <c r="M16222">
        <v>1</v>
      </c>
      <c r="N16222">
        <v>2.8279600000000002E-44</v>
      </c>
      <c r="O16222">
        <v>446</v>
      </c>
    </row>
    <row r="16223" spans="1:15" x14ac:dyDescent="0.25">
      <c r="A16223" t="s">
        <v>16236</v>
      </c>
      <c r="B16223">
        <v>472</v>
      </c>
      <c r="C16223" s="1" t="str">
        <f>HYPERLINK("http://www.rosaceae.org/gb/gbrowse/malus_x_domestica/?name=MDP0000434560","MDP0000434560")</f>
        <v>MDP0000434560</v>
      </c>
      <c r="D16223">
        <v>78.98</v>
      </c>
      <c r="E16223">
        <v>314</v>
      </c>
      <c r="F16223">
        <v>66</v>
      </c>
      <c r="G16223">
        <v>4</v>
      </c>
      <c r="H16223">
        <v>159</v>
      </c>
      <c r="I16223">
        <v>472</v>
      </c>
      <c r="J16223">
        <v>1</v>
      </c>
      <c r="K16223">
        <v>108</v>
      </c>
      <c r="L16223">
        <v>417</v>
      </c>
      <c r="M16223">
        <v>1</v>
      </c>
      <c r="N16223">
        <v>4.2544099999999997E-148</v>
      </c>
      <c r="O16223">
        <v>1343</v>
      </c>
    </row>
    <row r="16224" spans="1:15" x14ac:dyDescent="0.25">
      <c r="A16224" t="s">
        <v>16237</v>
      </c>
      <c r="B16224">
        <v>124</v>
      </c>
      <c r="C16224" s="1" t="str">
        <f>HYPERLINK("http://www.rosaceae.org/gb/gbrowse/malus_x_domestica/?name=MDP0000185125","MDP0000185125")</f>
        <v>MDP0000185125</v>
      </c>
      <c r="D16224">
        <v>37</v>
      </c>
      <c r="E16224">
        <v>100</v>
      </c>
      <c r="F16224">
        <v>63</v>
      </c>
      <c r="G16224">
        <v>0</v>
      </c>
      <c r="H16224">
        <v>23</v>
      </c>
      <c r="I16224">
        <v>122</v>
      </c>
      <c r="J16224">
        <v>1</v>
      </c>
      <c r="K16224">
        <v>101</v>
      </c>
      <c r="L16224">
        <v>200</v>
      </c>
      <c r="M16224">
        <v>1</v>
      </c>
      <c r="N16224">
        <v>5.4053900000000003E-12</v>
      </c>
      <c r="O16224">
        <v>161</v>
      </c>
    </row>
    <row r="16225" spans="1:15" x14ac:dyDescent="0.25">
      <c r="A16225" t="s">
        <v>16238</v>
      </c>
      <c r="B16225">
        <v>802</v>
      </c>
      <c r="C16225" s="1" t="str">
        <f>HYPERLINK("http://www.rosaceae.org/gb/gbrowse/malus_x_domestica/?name=MDP0000186777","MDP0000186777")</f>
        <v>MDP0000186777</v>
      </c>
      <c r="D16225">
        <v>69.19</v>
      </c>
      <c r="E16225">
        <v>831</v>
      </c>
      <c r="F16225">
        <v>256</v>
      </c>
      <c r="G16225">
        <v>96</v>
      </c>
      <c r="H16225">
        <v>44</v>
      </c>
      <c r="I16225">
        <v>802</v>
      </c>
      <c r="J16225">
        <v>1</v>
      </c>
      <c r="K16225">
        <v>10</v>
      </c>
      <c r="L16225">
        <v>816</v>
      </c>
      <c r="M16225">
        <v>1</v>
      </c>
      <c r="N16225">
        <v>0</v>
      </c>
      <c r="O16225">
        <v>2883</v>
      </c>
    </row>
    <row r="16226" spans="1:15" x14ac:dyDescent="0.25">
      <c r="A16226" t="s">
        <v>16239</v>
      </c>
      <c r="B16226">
        <v>436</v>
      </c>
      <c r="C16226" s="1" t="str">
        <f>HYPERLINK("http://www.rosaceae.org/gb/gbrowse/malus_x_domestica/?name=MDP0000247514","MDP0000247514")</f>
        <v>MDP0000247514</v>
      </c>
      <c r="D16226">
        <v>79.11</v>
      </c>
      <c r="E16226">
        <v>450</v>
      </c>
      <c r="F16226">
        <v>94</v>
      </c>
      <c r="G16226">
        <v>15</v>
      </c>
      <c r="H16226">
        <v>1</v>
      </c>
      <c r="I16226">
        <v>436</v>
      </c>
      <c r="J16226">
        <v>1</v>
      </c>
      <c r="K16226">
        <v>28</v>
      </c>
      <c r="L16226">
        <v>476</v>
      </c>
      <c r="M16226">
        <v>1</v>
      </c>
      <c r="N16226">
        <v>0</v>
      </c>
      <c r="O16226">
        <v>1858</v>
      </c>
    </row>
    <row r="16227" spans="1:15" x14ac:dyDescent="0.25">
      <c r="A16227" t="s">
        <v>16240</v>
      </c>
      <c r="B16227">
        <v>730</v>
      </c>
      <c r="C16227" s="1" t="str">
        <f>HYPERLINK("http://www.rosaceae.org/gb/gbrowse/malus_x_domestica/?name=MDP0000846861","MDP0000846861")</f>
        <v>MDP0000846861</v>
      </c>
      <c r="D16227">
        <v>71.02</v>
      </c>
      <c r="E16227">
        <v>742</v>
      </c>
      <c r="F16227">
        <v>215</v>
      </c>
      <c r="G16227">
        <v>30</v>
      </c>
      <c r="H16227">
        <v>1</v>
      </c>
      <c r="I16227">
        <v>720</v>
      </c>
      <c r="J16227">
        <v>1</v>
      </c>
      <c r="K16227">
        <v>1</v>
      </c>
      <c r="L16227">
        <v>734</v>
      </c>
      <c r="M16227">
        <v>1</v>
      </c>
      <c r="N16227">
        <v>0</v>
      </c>
      <c r="O16227">
        <v>2729</v>
      </c>
    </row>
    <row r="16228" spans="1:15" x14ac:dyDescent="0.25">
      <c r="A16228" t="s">
        <v>16241</v>
      </c>
      <c r="B16228">
        <v>426</v>
      </c>
      <c r="C16228" s="1" t="str">
        <f>HYPERLINK("http://www.rosaceae.org/gb/gbrowse/malus_x_domestica/?name=MDP0000313537","MDP0000313537")</f>
        <v>MDP0000313537</v>
      </c>
      <c r="D16228">
        <v>85.64</v>
      </c>
      <c r="E16228">
        <v>432</v>
      </c>
      <c r="F16228">
        <v>62</v>
      </c>
      <c r="G16228">
        <v>7</v>
      </c>
      <c r="H16228">
        <v>1</v>
      </c>
      <c r="I16228">
        <v>426</v>
      </c>
      <c r="J16228">
        <v>1</v>
      </c>
      <c r="K16228">
        <v>1</v>
      </c>
      <c r="L16228">
        <v>431</v>
      </c>
      <c r="M16228">
        <v>1</v>
      </c>
      <c r="N16228">
        <v>0</v>
      </c>
      <c r="O16228">
        <v>1962</v>
      </c>
    </row>
    <row r="16229" spans="1:15" x14ac:dyDescent="0.25">
      <c r="A16229" t="s">
        <v>16242</v>
      </c>
      <c r="B16229">
        <v>138</v>
      </c>
      <c r="C16229" s="1" t="str">
        <f>HYPERLINK("http://www.rosaceae.org/gb/gbrowse/malus_x_domestica/?name=MDP0000176219","MDP0000176219")</f>
        <v>MDP0000176219</v>
      </c>
      <c r="D16229">
        <v>66.66</v>
      </c>
      <c r="E16229">
        <v>123</v>
      </c>
      <c r="F16229">
        <v>41</v>
      </c>
      <c r="G16229">
        <v>1</v>
      </c>
      <c r="H16229">
        <v>1</v>
      </c>
      <c r="I16229">
        <v>123</v>
      </c>
      <c r="J16229">
        <v>1</v>
      </c>
      <c r="K16229">
        <v>305</v>
      </c>
      <c r="L16229">
        <v>426</v>
      </c>
      <c r="M16229">
        <v>1</v>
      </c>
      <c r="N16229">
        <v>5.7401899999999996E-44</v>
      </c>
      <c r="O16229">
        <v>438</v>
      </c>
    </row>
    <row r="16230" spans="1:15" x14ac:dyDescent="0.25">
      <c r="A16230" t="s">
        <v>16243</v>
      </c>
      <c r="B16230">
        <v>383</v>
      </c>
      <c r="C16230" s="1" t="str">
        <f>HYPERLINK("http://www.rosaceae.org/gb/gbrowse/malus_x_domestica/?name=MDP0000148894","MDP0000148894")</f>
        <v>MDP0000148894</v>
      </c>
      <c r="D16230">
        <v>64.569999999999993</v>
      </c>
      <c r="E16230">
        <v>350</v>
      </c>
      <c r="F16230">
        <v>124</v>
      </c>
      <c r="G16230">
        <v>22</v>
      </c>
      <c r="H16230">
        <v>1</v>
      </c>
      <c r="I16230">
        <v>339</v>
      </c>
      <c r="J16230">
        <v>1</v>
      </c>
      <c r="K16230">
        <v>1</v>
      </c>
      <c r="L16230">
        <v>339</v>
      </c>
      <c r="M16230">
        <v>1</v>
      </c>
      <c r="N16230">
        <v>7.5510299999999995E-105</v>
      </c>
      <c r="O16230">
        <v>969</v>
      </c>
    </row>
    <row r="16231" spans="1:15" x14ac:dyDescent="0.25">
      <c r="A16231" t="s">
        <v>16244</v>
      </c>
      <c r="B16231">
        <v>227</v>
      </c>
      <c r="C16231" s="1" t="str">
        <f>HYPERLINK("http://www.rosaceae.org/gb/gbrowse/malus_x_domestica/?name=MDP0000308801","MDP0000308801")</f>
        <v>MDP0000308801</v>
      </c>
      <c r="D16231">
        <v>33.67</v>
      </c>
      <c r="E16231">
        <v>193</v>
      </c>
      <c r="F16231">
        <v>128</v>
      </c>
      <c r="G16231">
        <v>35</v>
      </c>
      <c r="H16231">
        <v>41</v>
      </c>
      <c r="I16231">
        <v>202</v>
      </c>
      <c r="J16231">
        <v>1</v>
      </c>
      <c r="K16231">
        <v>51</v>
      </c>
      <c r="L16231">
        <v>239</v>
      </c>
      <c r="M16231">
        <v>1</v>
      </c>
      <c r="N16231">
        <v>6.2488299999999996E-19</v>
      </c>
      <c r="O16231">
        <v>226</v>
      </c>
    </row>
    <row r="16232" spans="1:15" x14ac:dyDescent="0.25">
      <c r="A16232" t="s">
        <v>16245</v>
      </c>
      <c r="B16232">
        <v>460</v>
      </c>
      <c r="C16232" s="1" t="str">
        <f>HYPERLINK("http://www.rosaceae.org/gb/gbrowse/malus_x_domestica/?name=MDP0000319421","MDP0000319421")</f>
        <v>MDP0000319421</v>
      </c>
      <c r="D16232">
        <v>41.55</v>
      </c>
      <c r="E16232">
        <v>77</v>
      </c>
      <c r="F16232">
        <v>45</v>
      </c>
      <c r="G16232">
        <v>1</v>
      </c>
      <c r="H16232">
        <v>199</v>
      </c>
      <c r="I16232">
        <v>275</v>
      </c>
      <c r="J16232">
        <v>1</v>
      </c>
      <c r="K16232">
        <v>221</v>
      </c>
      <c r="L16232">
        <v>296</v>
      </c>
      <c r="M16232">
        <v>1</v>
      </c>
      <c r="N16232">
        <v>9.4556299999999998E-12</v>
      </c>
      <c r="O16232">
        <v>167</v>
      </c>
    </row>
    <row r="16233" spans="1:15" x14ac:dyDescent="0.25">
      <c r="A16233" t="s">
        <v>16246</v>
      </c>
      <c r="B16233">
        <v>827</v>
      </c>
      <c r="C16233" s="1" t="str">
        <f>HYPERLINK("http://www.rosaceae.org/gb/gbrowse/malus_x_domestica/?name=MDP0000266137","MDP0000266137")</f>
        <v>MDP0000266137</v>
      </c>
      <c r="D16233">
        <v>29.51</v>
      </c>
      <c r="E16233">
        <v>393</v>
      </c>
      <c r="F16233">
        <v>277</v>
      </c>
      <c r="G16233">
        <v>76</v>
      </c>
      <c r="H16233">
        <v>257</v>
      </c>
      <c r="I16233">
        <v>583</v>
      </c>
      <c r="J16233">
        <v>1</v>
      </c>
      <c r="K16233">
        <v>192</v>
      </c>
      <c r="L16233">
        <v>574</v>
      </c>
      <c r="M16233">
        <v>1</v>
      </c>
      <c r="N16233">
        <v>7.7684200000000003E-37</v>
      </c>
      <c r="O16233">
        <v>386</v>
      </c>
    </row>
    <row r="16234" spans="1:15" x14ac:dyDescent="0.25">
      <c r="A16234" t="s">
        <v>16247</v>
      </c>
      <c r="B16234">
        <v>679</v>
      </c>
      <c r="C16234" s="1" t="str">
        <f>HYPERLINK("http://www.rosaceae.org/gb/gbrowse/malus_x_domestica/?name=MDP0000247480","MDP0000247480")</f>
        <v>MDP0000247480</v>
      </c>
      <c r="D16234">
        <v>84.09</v>
      </c>
      <c r="E16234">
        <v>679</v>
      </c>
      <c r="F16234">
        <v>108</v>
      </c>
      <c r="G16234">
        <v>2</v>
      </c>
      <c r="H16234">
        <v>1</v>
      </c>
      <c r="I16234">
        <v>679</v>
      </c>
      <c r="J16234">
        <v>1</v>
      </c>
      <c r="K16234">
        <v>1</v>
      </c>
      <c r="L16234">
        <v>677</v>
      </c>
      <c r="M16234">
        <v>1</v>
      </c>
      <c r="N16234">
        <v>0</v>
      </c>
      <c r="O16234">
        <v>3006</v>
      </c>
    </row>
    <row r="16235" spans="1:15" x14ac:dyDescent="0.25">
      <c r="A16235" t="s">
        <v>16248</v>
      </c>
      <c r="B16235">
        <v>492</v>
      </c>
      <c r="C16235" s="1" t="str">
        <f>HYPERLINK("http://www.rosaceae.org/gb/gbrowse/malus_x_domestica/?name=MDP0000264118","MDP0000264118")</f>
        <v>MDP0000264118</v>
      </c>
      <c r="D16235">
        <v>81.12</v>
      </c>
      <c r="E16235">
        <v>514</v>
      </c>
      <c r="F16235">
        <v>97</v>
      </c>
      <c r="G16235">
        <v>32</v>
      </c>
      <c r="H16235">
        <v>1</v>
      </c>
      <c r="I16235">
        <v>492</v>
      </c>
      <c r="J16235">
        <v>1</v>
      </c>
      <c r="K16235">
        <v>11</v>
      </c>
      <c r="L16235">
        <v>514</v>
      </c>
      <c r="M16235">
        <v>1</v>
      </c>
      <c r="N16235">
        <v>0</v>
      </c>
      <c r="O16235">
        <v>2210</v>
      </c>
    </row>
    <row r="16236" spans="1:15" x14ac:dyDescent="0.25">
      <c r="A16236" t="s">
        <v>16249</v>
      </c>
      <c r="B16236">
        <v>772</v>
      </c>
      <c r="C16236" s="1" t="str">
        <f>HYPERLINK("http://www.rosaceae.org/gb/gbrowse/malus_x_domestica/?name=MDP0000221510","MDP0000221510")</f>
        <v>MDP0000221510</v>
      </c>
      <c r="D16236">
        <v>65.430000000000007</v>
      </c>
      <c r="E16236">
        <v>541</v>
      </c>
      <c r="F16236">
        <v>187</v>
      </c>
      <c r="G16236">
        <v>15</v>
      </c>
      <c r="H16236">
        <v>238</v>
      </c>
      <c r="I16236">
        <v>772</v>
      </c>
      <c r="J16236">
        <v>1</v>
      </c>
      <c r="K16236">
        <v>3</v>
      </c>
      <c r="L16236">
        <v>534</v>
      </c>
      <c r="M16236">
        <v>1</v>
      </c>
      <c r="N16236">
        <v>0</v>
      </c>
      <c r="O16236">
        <v>1735</v>
      </c>
    </row>
    <row r="16237" spans="1:15" x14ac:dyDescent="0.25">
      <c r="A16237" t="s">
        <v>16250</v>
      </c>
      <c r="B16237">
        <v>1035</v>
      </c>
      <c r="C16237" s="1" t="str">
        <f>HYPERLINK("http://www.rosaceae.org/gb/gbrowse/malus_x_domestica/?name=MDP0000322510","MDP0000322510")</f>
        <v>MDP0000322510</v>
      </c>
      <c r="D16237">
        <v>91.47</v>
      </c>
      <c r="E16237">
        <v>551</v>
      </c>
      <c r="F16237">
        <v>47</v>
      </c>
      <c r="G16237">
        <v>0</v>
      </c>
      <c r="H16237">
        <v>12</v>
      </c>
      <c r="I16237">
        <v>562</v>
      </c>
      <c r="J16237">
        <v>1</v>
      </c>
      <c r="K16237">
        <v>992</v>
      </c>
      <c r="L16237">
        <v>1542</v>
      </c>
      <c r="M16237">
        <v>1</v>
      </c>
      <c r="N16237">
        <v>0</v>
      </c>
      <c r="O16237">
        <v>2755</v>
      </c>
    </row>
    <row r="16238" spans="1:15" x14ac:dyDescent="0.25">
      <c r="A16238" t="s">
        <v>16251</v>
      </c>
      <c r="B16238">
        <v>161</v>
      </c>
      <c r="C16238" s="1" t="str">
        <f>HYPERLINK("http://www.rosaceae.org/gb/gbrowse/malus_x_domestica/?name=MDP0000236750","MDP0000236750")</f>
        <v>MDP0000236750</v>
      </c>
      <c r="D16238">
        <v>45.58</v>
      </c>
      <c r="E16238">
        <v>68</v>
      </c>
      <c r="F16238">
        <v>37</v>
      </c>
      <c r="G16238">
        <v>3</v>
      </c>
      <c r="H16238">
        <v>79</v>
      </c>
      <c r="I16238">
        <v>146</v>
      </c>
      <c r="J16238">
        <v>1</v>
      </c>
      <c r="K16238">
        <v>39</v>
      </c>
      <c r="L16238">
        <v>103</v>
      </c>
      <c r="M16238">
        <v>1</v>
      </c>
      <c r="N16238">
        <v>2.31608E-10</v>
      </c>
      <c r="O16238">
        <v>149</v>
      </c>
    </row>
    <row r="16239" spans="1:15" x14ac:dyDescent="0.25">
      <c r="A16239" t="s">
        <v>16252</v>
      </c>
      <c r="B16239">
        <v>214</v>
      </c>
      <c r="C16239" s="1" t="str">
        <f>HYPERLINK("http://www.rosaceae.org/gb/gbrowse/malus_x_domestica/?name=MDP0000307634","MDP0000307634")</f>
        <v>MDP0000307634</v>
      </c>
      <c r="D16239">
        <v>51.17</v>
      </c>
      <c r="E16239">
        <v>170</v>
      </c>
      <c r="F16239">
        <v>83</v>
      </c>
      <c r="G16239">
        <v>5</v>
      </c>
      <c r="H16239">
        <v>9</v>
      </c>
      <c r="I16239">
        <v>173</v>
      </c>
      <c r="J16239">
        <v>1</v>
      </c>
      <c r="K16239">
        <v>5</v>
      </c>
      <c r="L16239">
        <v>174</v>
      </c>
      <c r="M16239">
        <v>1</v>
      </c>
      <c r="N16239">
        <v>1.4731E-40</v>
      </c>
      <c r="O16239">
        <v>412</v>
      </c>
    </row>
    <row r="16240" spans="1:15" x14ac:dyDescent="0.25">
      <c r="A16240" t="s">
        <v>16253</v>
      </c>
      <c r="B16240">
        <v>549</v>
      </c>
      <c r="C16240" s="1" t="str">
        <f>HYPERLINK("http://www.rosaceae.org/gb/gbrowse/malus_x_domestica/?name=MDP0000812621","MDP0000812621")</f>
        <v>MDP0000812621</v>
      </c>
      <c r="D16240">
        <v>66.88</v>
      </c>
      <c r="E16240">
        <v>610</v>
      </c>
      <c r="F16240">
        <v>202</v>
      </c>
      <c r="G16240">
        <v>71</v>
      </c>
      <c r="H16240">
        <v>5</v>
      </c>
      <c r="I16240">
        <v>547</v>
      </c>
      <c r="J16240">
        <v>1</v>
      </c>
      <c r="K16240">
        <v>23</v>
      </c>
      <c r="L16240">
        <v>628</v>
      </c>
      <c r="M16240">
        <v>1</v>
      </c>
      <c r="N16240">
        <v>0</v>
      </c>
      <c r="O16240">
        <v>2025</v>
      </c>
    </row>
    <row r="16241" spans="1:15" x14ac:dyDescent="0.25">
      <c r="A16241" t="s">
        <v>16254</v>
      </c>
      <c r="B16241">
        <v>469</v>
      </c>
      <c r="C16241" s="1" t="str">
        <f>HYPERLINK("http://www.rosaceae.org/gb/gbrowse/malus_x_domestica/?name=MDP0000885425","MDP0000885425")</f>
        <v>MDP0000885425</v>
      </c>
      <c r="D16241">
        <v>89.85</v>
      </c>
      <c r="E16241">
        <v>473</v>
      </c>
      <c r="F16241">
        <v>48</v>
      </c>
      <c r="G16241">
        <v>11</v>
      </c>
      <c r="H16241">
        <v>1</v>
      </c>
      <c r="I16241">
        <v>469</v>
      </c>
      <c r="J16241">
        <v>1</v>
      </c>
      <c r="K16241">
        <v>1</v>
      </c>
      <c r="L16241">
        <v>466</v>
      </c>
      <c r="M16241">
        <v>1</v>
      </c>
      <c r="N16241">
        <v>0</v>
      </c>
      <c r="O16241">
        <v>2260</v>
      </c>
    </row>
    <row r="16242" spans="1:15" x14ac:dyDescent="0.25">
      <c r="A16242" t="s">
        <v>16255</v>
      </c>
      <c r="B16242">
        <v>307</v>
      </c>
      <c r="C16242" s="1" t="str">
        <f>HYPERLINK("http://www.rosaceae.org/gb/gbrowse/malus_x_domestica/?name=MDP0000200896","MDP0000200896")</f>
        <v>MDP0000200896</v>
      </c>
      <c r="D16242">
        <v>75.16</v>
      </c>
      <c r="E16242">
        <v>306</v>
      </c>
      <c r="F16242">
        <v>76</v>
      </c>
      <c r="G16242">
        <v>4</v>
      </c>
      <c r="H16242">
        <v>1</v>
      </c>
      <c r="I16242">
        <v>305</v>
      </c>
      <c r="J16242">
        <v>1</v>
      </c>
      <c r="K16242">
        <v>44</v>
      </c>
      <c r="L16242">
        <v>346</v>
      </c>
      <c r="M16242">
        <v>1</v>
      </c>
      <c r="N16242">
        <v>4.3409699999999997E-138</v>
      </c>
      <c r="O16242">
        <v>1255</v>
      </c>
    </row>
    <row r="16243" spans="1:15" x14ac:dyDescent="0.25">
      <c r="A16243" t="s">
        <v>16256</v>
      </c>
      <c r="B16243">
        <v>687</v>
      </c>
      <c r="C16243" s="1" t="str">
        <f>HYPERLINK("http://www.rosaceae.org/gb/gbrowse/malus_x_domestica/?name=MDP0000216337","MDP0000216337")</f>
        <v>MDP0000216337</v>
      </c>
      <c r="D16243">
        <v>52.7</v>
      </c>
      <c r="E16243">
        <v>518</v>
      </c>
      <c r="F16243">
        <v>245</v>
      </c>
      <c r="G16243">
        <v>73</v>
      </c>
      <c r="H16243">
        <v>20</v>
      </c>
      <c r="I16243">
        <v>478</v>
      </c>
      <c r="J16243">
        <v>1</v>
      </c>
      <c r="K16243">
        <v>8</v>
      </c>
      <c r="L16243">
        <v>511</v>
      </c>
      <c r="M16243">
        <v>1</v>
      </c>
      <c r="N16243">
        <v>4.7449399999999997E-132</v>
      </c>
      <c r="O16243">
        <v>1207</v>
      </c>
    </row>
    <row r="16244" spans="1:15" x14ac:dyDescent="0.25">
      <c r="A16244" t="s">
        <v>16257</v>
      </c>
      <c r="B16244">
        <v>502</v>
      </c>
      <c r="C16244" s="1" t="str">
        <f>HYPERLINK("http://www.rosaceae.org/gb/gbrowse/malus_x_domestica/?name=MDP0000222486","MDP0000222486")</f>
        <v>MDP0000222486</v>
      </c>
      <c r="D16244">
        <v>82.37</v>
      </c>
      <c r="E16244">
        <v>437</v>
      </c>
      <c r="F16244">
        <v>77</v>
      </c>
      <c r="G16244">
        <v>16</v>
      </c>
      <c r="H16244">
        <v>69</v>
      </c>
      <c r="I16244">
        <v>502</v>
      </c>
      <c r="J16244">
        <v>1</v>
      </c>
      <c r="K16244">
        <v>101</v>
      </c>
      <c r="L16244">
        <v>524</v>
      </c>
      <c r="M16244">
        <v>1</v>
      </c>
      <c r="N16244">
        <v>0</v>
      </c>
      <c r="O16244">
        <v>1894</v>
      </c>
    </row>
    <row r="16245" spans="1:15" x14ac:dyDescent="0.25">
      <c r="A16245" t="s">
        <v>16258</v>
      </c>
      <c r="B16245">
        <v>418</v>
      </c>
      <c r="C16245" s="1" t="str">
        <f>HYPERLINK("http://www.rosaceae.org/gb/gbrowse/malus_x_domestica/?name=MDP0000223538","MDP0000223538")</f>
        <v>MDP0000223538</v>
      </c>
      <c r="D16245">
        <v>77.28</v>
      </c>
      <c r="E16245">
        <v>339</v>
      </c>
      <c r="F16245">
        <v>77</v>
      </c>
      <c r="G16245">
        <v>5</v>
      </c>
      <c r="H16245">
        <v>19</v>
      </c>
      <c r="I16245">
        <v>356</v>
      </c>
      <c r="J16245">
        <v>1</v>
      </c>
      <c r="K16245">
        <v>9</v>
      </c>
      <c r="L16245">
        <v>343</v>
      </c>
      <c r="M16245">
        <v>1</v>
      </c>
      <c r="N16245">
        <v>9.4144100000000004E-161</v>
      </c>
      <c r="O16245">
        <v>1452</v>
      </c>
    </row>
    <row r="16246" spans="1:15" x14ac:dyDescent="0.25">
      <c r="A16246" t="s">
        <v>16259</v>
      </c>
      <c r="B16246">
        <v>357</v>
      </c>
      <c r="C16246" s="1" t="str">
        <f>HYPERLINK("http://www.rosaceae.org/gb/gbrowse/malus_x_domestica/?name=MDP0000190038","MDP0000190038")</f>
        <v>MDP0000190038</v>
      </c>
      <c r="D16246">
        <v>49.53</v>
      </c>
      <c r="E16246">
        <v>325</v>
      </c>
      <c r="F16246">
        <v>164</v>
      </c>
      <c r="G16246">
        <v>44</v>
      </c>
      <c r="H16246">
        <v>54</v>
      </c>
      <c r="I16246">
        <v>357</v>
      </c>
      <c r="J16246">
        <v>1</v>
      </c>
      <c r="K16246">
        <v>58</v>
      </c>
      <c r="L16246">
        <v>359</v>
      </c>
      <c r="M16246">
        <v>1</v>
      </c>
      <c r="N16246">
        <v>3.9332000000000001E-59</v>
      </c>
      <c r="O16246">
        <v>575</v>
      </c>
    </row>
    <row r="16247" spans="1:15" x14ac:dyDescent="0.25">
      <c r="A16247" t="s">
        <v>16260</v>
      </c>
      <c r="B16247">
        <v>195</v>
      </c>
      <c r="C16247" s="1" t="str">
        <f>HYPERLINK("http://www.rosaceae.org/gb/gbrowse/malus_x_domestica/?name=MDP0000228670","MDP0000228670")</f>
        <v>MDP0000228670</v>
      </c>
      <c r="D16247">
        <v>42.45</v>
      </c>
      <c r="E16247">
        <v>212</v>
      </c>
      <c r="F16247">
        <v>122</v>
      </c>
      <c r="G16247">
        <v>54</v>
      </c>
      <c r="H16247">
        <v>4</v>
      </c>
      <c r="I16247">
        <v>188</v>
      </c>
      <c r="J16247">
        <v>1</v>
      </c>
      <c r="K16247">
        <v>156</v>
      </c>
      <c r="L16247">
        <v>340</v>
      </c>
      <c r="M16247">
        <v>1</v>
      </c>
      <c r="N16247">
        <v>2.58469E-30</v>
      </c>
      <c r="O16247">
        <v>323</v>
      </c>
    </row>
    <row r="16248" spans="1:15" x14ac:dyDescent="0.25">
      <c r="A16248" t="s">
        <v>16261</v>
      </c>
      <c r="B16248">
        <v>609</v>
      </c>
      <c r="C16248" s="1" t="str">
        <f>HYPERLINK("http://www.rosaceae.org/gb/gbrowse/malus_x_domestica/?name=MDP0000161139","MDP0000161139")</f>
        <v>MDP0000161139</v>
      </c>
      <c r="D16248">
        <v>66.66</v>
      </c>
      <c r="E16248">
        <v>453</v>
      </c>
      <c r="F16248">
        <v>151</v>
      </c>
      <c r="G16248">
        <v>8</v>
      </c>
      <c r="H16248">
        <v>160</v>
      </c>
      <c r="I16248">
        <v>607</v>
      </c>
      <c r="J16248">
        <v>1</v>
      </c>
      <c r="K16248">
        <v>101</v>
      </c>
      <c r="L16248">
        <v>550</v>
      </c>
      <c r="M16248">
        <v>1</v>
      </c>
      <c r="N16248">
        <v>4.5006000000000003E-150</v>
      </c>
      <c r="O16248">
        <v>1362</v>
      </c>
    </row>
    <row r="16249" spans="1:15" x14ac:dyDescent="0.25">
      <c r="A16249" t="s">
        <v>16262</v>
      </c>
      <c r="B16249">
        <v>407</v>
      </c>
      <c r="C16249" s="1" t="str">
        <f>HYPERLINK("http://www.rosaceae.org/gb/gbrowse/malus_x_domestica/?name=MDP0000261444","MDP0000261444")</f>
        <v>MDP0000261444</v>
      </c>
      <c r="D16249">
        <v>55.98</v>
      </c>
      <c r="E16249">
        <v>384</v>
      </c>
      <c r="F16249">
        <v>169</v>
      </c>
      <c r="G16249">
        <v>44</v>
      </c>
      <c r="H16249">
        <v>11</v>
      </c>
      <c r="I16249">
        <v>384</v>
      </c>
      <c r="J16249">
        <v>1</v>
      </c>
      <c r="K16249">
        <v>20</v>
      </c>
      <c r="L16249">
        <v>369</v>
      </c>
      <c r="M16249">
        <v>1</v>
      </c>
      <c r="N16249">
        <v>2.3862799999999999E-109</v>
      </c>
      <c r="O16249">
        <v>1009</v>
      </c>
    </row>
    <row r="16250" spans="1:15" x14ac:dyDescent="0.25">
      <c r="A16250" t="s">
        <v>16263</v>
      </c>
      <c r="B16250">
        <v>169</v>
      </c>
      <c r="C16250" s="1" t="str">
        <f>HYPERLINK("http://www.rosaceae.org/gb/gbrowse/malus_x_domestica/?name=MDP0000926265","MDP0000926265")</f>
        <v>MDP0000926265</v>
      </c>
      <c r="D16250">
        <v>79.16</v>
      </c>
      <c r="E16250">
        <v>120</v>
      </c>
      <c r="F16250">
        <v>25</v>
      </c>
      <c r="G16250">
        <v>3</v>
      </c>
      <c r="H16250">
        <v>4</v>
      </c>
      <c r="I16250">
        <v>123</v>
      </c>
      <c r="J16250">
        <v>1</v>
      </c>
      <c r="K16250">
        <v>3</v>
      </c>
      <c r="L16250">
        <v>119</v>
      </c>
      <c r="M16250">
        <v>1</v>
      </c>
      <c r="N16250">
        <v>7.7111499999999998E-53</v>
      </c>
      <c r="O16250">
        <v>516</v>
      </c>
    </row>
    <row r="16251" spans="1:15" x14ac:dyDescent="0.25">
      <c r="A16251" t="s">
        <v>16264</v>
      </c>
      <c r="B16251">
        <v>281</v>
      </c>
      <c r="C16251" s="1" t="str">
        <f>HYPERLINK("http://www.rosaceae.org/gb/gbrowse/malus_x_domestica/?name=MDP0000273365","MDP0000273365")</f>
        <v>MDP0000273365</v>
      </c>
      <c r="D16251">
        <v>37.840000000000003</v>
      </c>
      <c r="E16251">
        <v>288</v>
      </c>
      <c r="F16251">
        <v>179</v>
      </c>
      <c r="G16251">
        <v>67</v>
      </c>
      <c r="H16251">
        <v>43</v>
      </c>
      <c r="I16251">
        <v>276</v>
      </c>
      <c r="J16251">
        <v>1</v>
      </c>
      <c r="K16251">
        <v>61</v>
      </c>
      <c r="L16251">
        <v>335</v>
      </c>
      <c r="M16251">
        <v>1</v>
      </c>
      <c r="N16251">
        <v>1.13952E-25</v>
      </c>
      <c r="O16251">
        <v>285</v>
      </c>
    </row>
    <row r="16252" spans="1:15" x14ac:dyDescent="0.25">
      <c r="A16252" t="s">
        <v>16265</v>
      </c>
      <c r="B16252">
        <v>364</v>
      </c>
      <c r="C16252" s="1" t="str">
        <f>HYPERLINK("http://www.rosaceae.org/gb/gbrowse/malus_x_domestica/?name=MDP0000237680","MDP0000237680")</f>
        <v>MDP0000237680</v>
      </c>
      <c r="D16252">
        <v>29.52</v>
      </c>
      <c r="E16252">
        <v>403</v>
      </c>
      <c r="F16252">
        <v>284</v>
      </c>
      <c r="G16252">
        <v>72</v>
      </c>
      <c r="H16252">
        <v>12</v>
      </c>
      <c r="I16252">
        <v>363</v>
      </c>
      <c r="J16252">
        <v>1</v>
      </c>
      <c r="K16252">
        <v>134</v>
      </c>
      <c r="L16252">
        <v>515</v>
      </c>
      <c r="M16252">
        <v>1</v>
      </c>
      <c r="N16252">
        <v>3.0232499999999999E-25</v>
      </c>
      <c r="O16252">
        <v>283</v>
      </c>
    </row>
    <row r="16253" spans="1:15" x14ac:dyDescent="0.25">
      <c r="A16253" t="s">
        <v>16266</v>
      </c>
      <c r="B16253">
        <v>375</v>
      </c>
      <c r="C16253" s="1" t="str">
        <f>HYPERLINK("http://www.rosaceae.org/gb/gbrowse/malus_x_domestica/?name=MDP0000296520","MDP0000296520")</f>
        <v>MDP0000296520</v>
      </c>
      <c r="D16253">
        <v>67.959999999999994</v>
      </c>
      <c r="E16253">
        <v>359</v>
      </c>
      <c r="F16253">
        <v>115</v>
      </c>
      <c r="G16253">
        <v>5</v>
      </c>
      <c r="H16253">
        <v>21</v>
      </c>
      <c r="I16253">
        <v>375</v>
      </c>
      <c r="J16253">
        <v>1</v>
      </c>
      <c r="K16253">
        <v>27</v>
      </c>
      <c r="L16253">
        <v>384</v>
      </c>
      <c r="M16253">
        <v>1</v>
      </c>
      <c r="N16253">
        <v>3.92215E-134</v>
      </c>
      <c r="O16253">
        <v>1222</v>
      </c>
    </row>
    <row r="16254" spans="1:15" x14ac:dyDescent="0.25">
      <c r="A16254" t="s">
        <v>16267</v>
      </c>
      <c r="B16254">
        <v>486</v>
      </c>
      <c r="C16254" s="1" t="str">
        <f>HYPERLINK("http://www.rosaceae.org/gb/gbrowse/malus_x_domestica/?name=MDP0000312185","MDP0000312185")</f>
        <v>MDP0000312185</v>
      </c>
      <c r="D16254">
        <v>55.92</v>
      </c>
      <c r="E16254">
        <v>270</v>
      </c>
      <c r="F16254">
        <v>119</v>
      </c>
      <c r="G16254">
        <v>7</v>
      </c>
      <c r="H16254">
        <v>124</v>
      </c>
      <c r="I16254">
        <v>391</v>
      </c>
      <c r="J16254">
        <v>1</v>
      </c>
      <c r="K16254">
        <v>8</v>
      </c>
      <c r="L16254">
        <v>272</v>
      </c>
      <c r="M16254">
        <v>1</v>
      </c>
      <c r="N16254">
        <v>9.2364800000000005E-79</v>
      </c>
      <c r="O16254">
        <v>746</v>
      </c>
    </row>
    <row r="16255" spans="1:15" x14ac:dyDescent="0.25">
      <c r="A16255" t="s">
        <v>16268</v>
      </c>
      <c r="B16255">
        <v>1033</v>
      </c>
      <c r="C16255" s="1" t="str">
        <f>HYPERLINK("http://www.rosaceae.org/gb/gbrowse/malus_x_domestica/?name=MDP0000465174","MDP0000465174")</f>
        <v>MDP0000465174</v>
      </c>
      <c r="D16255">
        <v>35</v>
      </c>
      <c r="E16255">
        <v>760</v>
      </c>
      <c r="F16255">
        <v>494</v>
      </c>
      <c r="G16255">
        <v>166</v>
      </c>
      <c r="H16255">
        <v>369</v>
      </c>
      <c r="I16255">
        <v>968</v>
      </c>
      <c r="J16255">
        <v>1</v>
      </c>
      <c r="K16255">
        <v>550</v>
      </c>
      <c r="L16255">
        <v>1303</v>
      </c>
      <c r="M16255">
        <v>1</v>
      </c>
      <c r="N16255">
        <v>7.6885499999999996E-106</v>
      </c>
      <c r="O16255">
        <v>982</v>
      </c>
    </row>
    <row r="16256" spans="1:15" x14ac:dyDescent="0.25">
      <c r="A16256" t="s">
        <v>16269</v>
      </c>
      <c r="B16256">
        <v>225</v>
      </c>
      <c r="C16256" s="1" t="str">
        <f>HYPERLINK("http://www.rosaceae.org/gb/gbrowse/malus_x_domestica/?name=MDP0000872133","MDP0000872133")</f>
        <v>MDP0000872133</v>
      </c>
      <c r="D16256">
        <v>77.41</v>
      </c>
      <c r="E16256">
        <v>124</v>
      </c>
      <c r="F16256">
        <v>28</v>
      </c>
      <c r="G16256">
        <v>5</v>
      </c>
      <c r="H16256">
        <v>1</v>
      </c>
      <c r="I16256">
        <v>123</v>
      </c>
      <c r="J16256">
        <v>1</v>
      </c>
      <c r="K16256">
        <v>21</v>
      </c>
      <c r="L16256">
        <v>140</v>
      </c>
      <c r="M16256">
        <v>1</v>
      </c>
      <c r="N16256">
        <v>5.4704200000000003E-49</v>
      </c>
      <c r="O16256">
        <v>485</v>
      </c>
    </row>
    <row r="16257" spans="1:15" x14ac:dyDescent="0.25">
      <c r="A16257" t="s">
        <v>16270</v>
      </c>
      <c r="B16257">
        <v>426</v>
      </c>
      <c r="C16257" s="1" t="str">
        <f>HYPERLINK("http://www.rosaceae.org/gb/gbrowse/malus_x_domestica/?name=MDP0000235663","MDP0000235663")</f>
        <v>MDP0000235663</v>
      </c>
      <c r="D16257">
        <v>72.760000000000005</v>
      </c>
      <c r="E16257">
        <v>437</v>
      </c>
      <c r="F16257">
        <v>119</v>
      </c>
      <c r="G16257">
        <v>29</v>
      </c>
      <c r="H16257">
        <v>16</v>
      </c>
      <c r="I16257">
        <v>424</v>
      </c>
      <c r="J16257">
        <v>1</v>
      </c>
      <c r="K16257">
        <v>16</v>
      </c>
      <c r="L16257">
        <v>451</v>
      </c>
      <c r="M16257">
        <v>1</v>
      </c>
      <c r="N16257">
        <v>0</v>
      </c>
      <c r="O16257">
        <v>1672</v>
      </c>
    </row>
    <row r="16258" spans="1:15" x14ac:dyDescent="0.25">
      <c r="A16258" t="s">
        <v>16271</v>
      </c>
      <c r="B16258">
        <v>409</v>
      </c>
      <c r="C16258" s="1" t="str">
        <f>HYPERLINK("http://www.rosaceae.org/gb/gbrowse/malus_x_domestica/?name=MDP0000239039","MDP0000239039")</f>
        <v>MDP0000239039</v>
      </c>
      <c r="D16258">
        <v>75.52</v>
      </c>
      <c r="E16258">
        <v>331</v>
      </c>
      <c r="F16258">
        <v>81</v>
      </c>
      <c r="G16258">
        <v>7</v>
      </c>
      <c r="H16258">
        <v>79</v>
      </c>
      <c r="I16258">
        <v>409</v>
      </c>
      <c r="J16258">
        <v>1</v>
      </c>
      <c r="K16258">
        <v>350</v>
      </c>
      <c r="L16258">
        <v>673</v>
      </c>
      <c r="M16258">
        <v>1</v>
      </c>
      <c r="N16258">
        <v>1.5931499999999999E-144</v>
      </c>
      <c r="O16258">
        <v>1312</v>
      </c>
    </row>
    <row r="16259" spans="1:15" x14ac:dyDescent="0.25">
      <c r="A16259" t="s">
        <v>16272</v>
      </c>
      <c r="B16259">
        <v>301</v>
      </c>
      <c r="C16259" s="1" t="str">
        <f>HYPERLINK("http://www.rosaceae.org/gb/gbrowse/malus_x_domestica/?name=MDP0000217485","MDP0000217485")</f>
        <v>MDP0000217485</v>
      </c>
      <c r="D16259">
        <v>61.97</v>
      </c>
      <c r="E16259">
        <v>334</v>
      </c>
      <c r="F16259">
        <v>127</v>
      </c>
      <c r="G16259">
        <v>35</v>
      </c>
      <c r="H16259">
        <v>1</v>
      </c>
      <c r="I16259">
        <v>301</v>
      </c>
      <c r="J16259">
        <v>1</v>
      </c>
      <c r="K16259">
        <v>1</v>
      </c>
      <c r="L16259">
        <v>332</v>
      </c>
      <c r="M16259">
        <v>1</v>
      </c>
      <c r="N16259">
        <v>5.7275499999999998E-115</v>
      </c>
      <c r="O16259">
        <v>1055</v>
      </c>
    </row>
    <row r="16260" spans="1:15" x14ac:dyDescent="0.25">
      <c r="A16260" t="s">
        <v>16273</v>
      </c>
      <c r="B16260">
        <v>346</v>
      </c>
      <c r="C16260" s="1" t="str">
        <f>HYPERLINK("http://www.rosaceae.org/gb/gbrowse/malus_x_domestica/?name=MDP0000780896","MDP0000780896")</f>
        <v>MDP0000780896</v>
      </c>
      <c r="D16260">
        <v>30.83</v>
      </c>
      <c r="E16260">
        <v>441</v>
      </c>
      <c r="F16260">
        <v>305</v>
      </c>
      <c r="G16260">
        <v>108</v>
      </c>
      <c r="H16260">
        <v>1</v>
      </c>
      <c r="I16260">
        <v>346</v>
      </c>
      <c r="J16260">
        <v>1</v>
      </c>
      <c r="K16260">
        <v>1</v>
      </c>
      <c r="L16260">
        <v>428</v>
      </c>
      <c r="M16260">
        <v>1</v>
      </c>
      <c r="N16260">
        <v>1.23168E-23</v>
      </c>
      <c r="O16260">
        <v>269</v>
      </c>
    </row>
    <row r="16261" spans="1:15" x14ac:dyDescent="0.25">
      <c r="A16261" t="s">
        <v>16274</v>
      </c>
      <c r="B16261">
        <v>419</v>
      </c>
      <c r="C16261" s="1" t="str">
        <f>HYPERLINK("http://www.rosaceae.org/gb/gbrowse/malus_x_domestica/?name=MDP0000168681","MDP0000168681")</f>
        <v>MDP0000168681</v>
      </c>
      <c r="D16261">
        <v>57.7</v>
      </c>
      <c r="E16261">
        <v>435</v>
      </c>
      <c r="F16261">
        <v>184</v>
      </c>
      <c r="G16261">
        <v>40</v>
      </c>
      <c r="H16261">
        <v>3</v>
      </c>
      <c r="I16261">
        <v>419</v>
      </c>
      <c r="J16261">
        <v>1</v>
      </c>
      <c r="K16261">
        <v>4</v>
      </c>
      <c r="L16261">
        <v>416</v>
      </c>
      <c r="M16261">
        <v>1</v>
      </c>
      <c r="N16261">
        <v>4.9883000000000002E-118</v>
      </c>
      <c r="O16261">
        <v>1084</v>
      </c>
    </row>
    <row r="16262" spans="1:15" x14ac:dyDescent="0.25">
      <c r="A16262" t="s">
        <v>16275</v>
      </c>
      <c r="B16262">
        <v>291</v>
      </c>
      <c r="C16262" s="1" t="str">
        <f>HYPERLINK("http://www.rosaceae.org/gb/gbrowse/malus_x_domestica/?name=MDP0000304202","MDP0000304202")</f>
        <v>MDP0000304202</v>
      </c>
      <c r="D16262">
        <v>32.159999999999997</v>
      </c>
      <c r="E16262">
        <v>143</v>
      </c>
      <c r="F16262">
        <v>97</v>
      </c>
      <c r="G16262">
        <v>38</v>
      </c>
      <c r="H16262">
        <v>9</v>
      </c>
      <c r="I16262">
        <v>116</v>
      </c>
      <c r="J16262">
        <v>1</v>
      </c>
      <c r="K16262">
        <v>339</v>
      </c>
      <c r="L16262">
        <v>478</v>
      </c>
      <c r="M16262">
        <v>1</v>
      </c>
      <c r="N16262">
        <v>9.2410800000000004E-13</v>
      </c>
      <c r="O16262">
        <v>174</v>
      </c>
    </row>
    <row r="16263" spans="1:15" x14ac:dyDescent="0.25">
      <c r="A16263" t="s">
        <v>16276</v>
      </c>
      <c r="B16263">
        <v>487</v>
      </c>
      <c r="C16263" s="1" t="str">
        <f>HYPERLINK("http://www.rosaceae.org/gb/gbrowse/malus_x_domestica/?name=MDP0000930295","MDP0000930295")</f>
        <v>MDP0000930295</v>
      </c>
      <c r="D16263">
        <v>77.17</v>
      </c>
      <c r="E16263">
        <v>482</v>
      </c>
      <c r="F16263">
        <v>110</v>
      </c>
      <c r="G16263">
        <v>18</v>
      </c>
      <c r="H16263">
        <v>1</v>
      </c>
      <c r="I16263">
        <v>473</v>
      </c>
      <c r="J16263">
        <v>1</v>
      </c>
      <c r="K16263">
        <v>1</v>
      </c>
      <c r="L16263">
        <v>473</v>
      </c>
      <c r="M16263">
        <v>1</v>
      </c>
      <c r="N16263">
        <v>0</v>
      </c>
      <c r="O16263">
        <v>1897</v>
      </c>
    </row>
    <row r="16264" spans="1:15" x14ac:dyDescent="0.25">
      <c r="A16264" t="s">
        <v>16277</v>
      </c>
      <c r="B16264">
        <v>558</v>
      </c>
      <c r="C16264" s="1" t="str">
        <f>HYPERLINK("http://www.rosaceae.org/gb/gbrowse/malus_x_domestica/?name=MDP0000282490","MDP0000282490")</f>
        <v>MDP0000282490</v>
      </c>
      <c r="D16264">
        <v>52.08</v>
      </c>
      <c r="E16264">
        <v>432</v>
      </c>
      <c r="F16264">
        <v>207</v>
      </c>
      <c r="G16264">
        <v>10</v>
      </c>
      <c r="H16264">
        <v>31</v>
      </c>
      <c r="I16264">
        <v>455</v>
      </c>
      <c r="J16264">
        <v>1</v>
      </c>
      <c r="K16264">
        <v>30</v>
      </c>
      <c r="L16264">
        <v>458</v>
      </c>
      <c r="M16264">
        <v>1</v>
      </c>
      <c r="N16264">
        <v>4.3607899999999997E-118</v>
      </c>
      <c r="O16264">
        <v>1085</v>
      </c>
    </row>
    <row r="16265" spans="1:15" x14ac:dyDescent="0.25">
      <c r="A16265" t="s">
        <v>16278</v>
      </c>
      <c r="B16265">
        <v>295</v>
      </c>
      <c r="C16265" s="1" t="str">
        <f>HYPERLINK("http://www.rosaceae.org/gb/gbrowse/malus_x_domestica/?name=MDP0000176356","MDP0000176356")</f>
        <v>MDP0000176356</v>
      </c>
      <c r="D16265">
        <v>66.08</v>
      </c>
      <c r="E16265">
        <v>289</v>
      </c>
      <c r="F16265">
        <v>98</v>
      </c>
      <c r="G16265">
        <v>17</v>
      </c>
      <c r="H16265">
        <v>6</v>
      </c>
      <c r="I16265">
        <v>293</v>
      </c>
      <c r="J16265">
        <v>1</v>
      </c>
      <c r="K16265">
        <v>8</v>
      </c>
      <c r="L16265">
        <v>280</v>
      </c>
      <c r="M16265">
        <v>1</v>
      </c>
      <c r="N16265">
        <v>5.3332300000000004E-111</v>
      </c>
      <c r="O16265">
        <v>1021</v>
      </c>
    </row>
    <row r="16266" spans="1:15" x14ac:dyDescent="0.25">
      <c r="A16266" t="s">
        <v>16279</v>
      </c>
      <c r="B16266">
        <v>415</v>
      </c>
      <c r="C16266" s="1" t="str">
        <f>HYPERLINK("http://www.rosaceae.org/gb/gbrowse/malus_x_domestica/?name=MDP0000774306","MDP0000774306")</f>
        <v>MDP0000774306</v>
      </c>
      <c r="D16266">
        <v>40.1</v>
      </c>
      <c r="E16266">
        <v>384</v>
      </c>
      <c r="F16266">
        <v>230</v>
      </c>
      <c r="G16266">
        <v>35</v>
      </c>
      <c r="H16266">
        <v>14</v>
      </c>
      <c r="I16266">
        <v>385</v>
      </c>
      <c r="J16266">
        <v>1</v>
      </c>
      <c r="K16266">
        <v>2</v>
      </c>
      <c r="L16266">
        <v>362</v>
      </c>
      <c r="M16266">
        <v>1</v>
      </c>
      <c r="N16266">
        <v>3.3893299999999998E-54</v>
      </c>
      <c r="O16266">
        <v>533</v>
      </c>
    </row>
    <row r="16267" spans="1:15" x14ac:dyDescent="0.25">
      <c r="A16267" t="s">
        <v>16280</v>
      </c>
      <c r="B16267">
        <v>277</v>
      </c>
      <c r="C16267" s="1" t="str">
        <f>HYPERLINK("http://www.rosaceae.org/gb/gbrowse/malus_x_domestica/?name=MDP0000676705","MDP0000676705")</f>
        <v>MDP0000676705</v>
      </c>
      <c r="D16267">
        <v>84.55</v>
      </c>
      <c r="E16267">
        <v>246</v>
      </c>
      <c r="F16267">
        <v>38</v>
      </c>
      <c r="G16267">
        <v>0</v>
      </c>
      <c r="H16267">
        <v>1</v>
      </c>
      <c r="I16267">
        <v>246</v>
      </c>
      <c r="J16267">
        <v>1</v>
      </c>
      <c r="K16267">
        <v>252</v>
      </c>
      <c r="L16267">
        <v>497</v>
      </c>
      <c r="M16267">
        <v>1</v>
      </c>
      <c r="N16267">
        <v>1.7278000000000002E-123</v>
      </c>
      <c r="O16267">
        <v>1128</v>
      </c>
    </row>
    <row r="16268" spans="1:15" x14ac:dyDescent="0.25">
      <c r="A16268" t="s">
        <v>16281</v>
      </c>
      <c r="B16268">
        <v>273</v>
      </c>
      <c r="C16268" s="1" t="str">
        <f>HYPERLINK("http://www.rosaceae.org/gb/gbrowse/malus_x_domestica/?name=MDP0000325832","MDP0000325832")</f>
        <v>MDP0000325832</v>
      </c>
      <c r="D16268">
        <v>80.459999999999994</v>
      </c>
      <c r="E16268">
        <v>215</v>
      </c>
      <c r="F16268">
        <v>42</v>
      </c>
      <c r="G16268">
        <v>1</v>
      </c>
      <c r="H16268">
        <v>60</v>
      </c>
      <c r="I16268">
        <v>273</v>
      </c>
      <c r="J16268">
        <v>1</v>
      </c>
      <c r="K16268">
        <v>97</v>
      </c>
      <c r="L16268">
        <v>311</v>
      </c>
      <c r="M16268">
        <v>1</v>
      </c>
      <c r="N16268">
        <v>4.1181800000000003E-98</v>
      </c>
      <c r="O16268">
        <v>910</v>
      </c>
    </row>
    <row r="16269" spans="1:15" x14ac:dyDescent="0.25">
      <c r="A16269" t="s">
        <v>16282</v>
      </c>
      <c r="B16269">
        <v>404</v>
      </c>
      <c r="C16269" s="1" t="str">
        <f>HYPERLINK("http://www.rosaceae.org/gb/gbrowse/malus_x_domestica/?name=MDP0000500222","MDP0000500222")</f>
        <v>MDP0000500222</v>
      </c>
      <c r="D16269">
        <v>37.89</v>
      </c>
      <c r="E16269">
        <v>380</v>
      </c>
      <c r="F16269">
        <v>236</v>
      </c>
      <c r="G16269">
        <v>34</v>
      </c>
      <c r="H16269">
        <v>5</v>
      </c>
      <c r="I16269">
        <v>369</v>
      </c>
      <c r="J16269">
        <v>1</v>
      </c>
      <c r="K16269">
        <v>63</v>
      </c>
      <c r="L16269">
        <v>423</v>
      </c>
      <c r="M16269">
        <v>1</v>
      </c>
      <c r="N16269">
        <v>1.2827600000000001E-57</v>
      </c>
      <c r="O16269">
        <v>562</v>
      </c>
    </row>
    <row r="16270" spans="1:15" x14ac:dyDescent="0.25">
      <c r="A16270" t="s">
        <v>16283</v>
      </c>
      <c r="B16270">
        <v>405</v>
      </c>
      <c r="C16270" s="1" t="str">
        <f>HYPERLINK("http://www.rosaceae.org/gb/gbrowse/malus_x_domestica/?name=MDP0000247298","MDP0000247298")</f>
        <v>MDP0000247298</v>
      </c>
      <c r="D16270">
        <v>63.46</v>
      </c>
      <c r="E16270">
        <v>375</v>
      </c>
      <c r="F16270">
        <v>137</v>
      </c>
      <c r="G16270">
        <v>1</v>
      </c>
      <c r="H16270">
        <v>32</v>
      </c>
      <c r="I16270">
        <v>405</v>
      </c>
      <c r="J16270">
        <v>1</v>
      </c>
      <c r="K16270">
        <v>25</v>
      </c>
      <c r="L16270">
        <v>399</v>
      </c>
      <c r="M16270">
        <v>1</v>
      </c>
      <c r="N16270">
        <v>1.1552099999999999E-142</v>
      </c>
      <c r="O16270">
        <v>1296</v>
      </c>
    </row>
    <row r="16271" spans="1:15" x14ac:dyDescent="0.25">
      <c r="A16271" t="s">
        <v>16284</v>
      </c>
      <c r="B16271">
        <v>1036</v>
      </c>
      <c r="C16271" s="1" t="str">
        <f>HYPERLINK("http://www.rosaceae.org/gb/gbrowse/malus_x_domestica/?name=MDP0000197625","MDP0000197625")</f>
        <v>MDP0000197625</v>
      </c>
      <c r="D16271">
        <v>54.45</v>
      </c>
      <c r="E16271">
        <v>606</v>
      </c>
      <c r="F16271">
        <v>276</v>
      </c>
      <c r="G16271">
        <v>124</v>
      </c>
      <c r="H16271">
        <v>468</v>
      </c>
      <c r="I16271">
        <v>991</v>
      </c>
      <c r="J16271">
        <v>1</v>
      </c>
      <c r="K16271">
        <v>95</v>
      </c>
      <c r="L16271">
        <v>658</v>
      </c>
      <c r="M16271">
        <v>1</v>
      </c>
      <c r="N16271">
        <v>3.6766800000000001E-158</v>
      </c>
      <c r="O16271">
        <v>1434</v>
      </c>
    </row>
    <row r="16272" spans="1:15" x14ac:dyDescent="0.25">
      <c r="A16272" t="s">
        <v>16285</v>
      </c>
      <c r="B16272">
        <v>679</v>
      </c>
      <c r="C16272" s="1" t="str">
        <f>HYPERLINK("http://www.rosaceae.org/gb/gbrowse/malus_x_domestica/?name=MDP0000300491","MDP0000300491")</f>
        <v>MDP0000300491</v>
      </c>
      <c r="D16272">
        <v>48.12</v>
      </c>
      <c r="E16272">
        <v>133</v>
      </c>
      <c r="F16272">
        <v>69</v>
      </c>
      <c r="G16272">
        <v>5</v>
      </c>
      <c r="H16272">
        <v>527</v>
      </c>
      <c r="I16272">
        <v>656</v>
      </c>
      <c r="J16272">
        <v>1</v>
      </c>
      <c r="K16272">
        <v>731</v>
      </c>
      <c r="L16272">
        <v>861</v>
      </c>
      <c r="M16272">
        <v>1</v>
      </c>
      <c r="N16272">
        <v>7.2664699999999994E-24</v>
      </c>
      <c r="O16272">
        <v>274</v>
      </c>
    </row>
    <row r="16273" spans="1:15" x14ac:dyDescent="0.25">
      <c r="A16273" t="s">
        <v>16286</v>
      </c>
      <c r="B16273">
        <v>680</v>
      </c>
      <c r="C16273" s="1" t="str">
        <f>HYPERLINK("http://www.rosaceae.org/gb/gbrowse/malus_x_domestica/?name=MDP0000295671","MDP0000295671")</f>
        <v>MDP0000295671</v>
      </c>
      <c r="D16273">
        <v>51.91</v>
      </c>
      <c r="E16273">
        <v>678</v>
      </c>
      <c r="F16273">
        <v>326</v>
      </c>
      <c r="G16273">
        <v>134</v>
      </c>
      <c r="H16273">
        <v>1</v>
      </c>
      <c r="I16273">
        <v>546</v>
      </c>
      <c r="J16273">
        <v>1</v>
      </c>
      <c r="K16273">
        <v>28</v>
      </c>
      <c r="L16273">
        <v>703</v>
      </c>
      <c r="M16273">
        <v>1</v>
      </c>
      <c r="N16273">
        <v>0</v>
      </c>
      <c r="O16273">
        <v>1632</v>
      </c>
    </row>
    <row r="16274" spans="1:15" x14ac:dyDescent="0.25">
      <c r="A16274" t="s">
        <v>16287</v>
      </c>
      <c r="B16274">
        <v>643</v>
      </c>
      <c r="C16274" s="1" t="str">
        <f>HYPERLINK("http://www.rosaceae.org/gb/gbrowse/malus_x_domestica/?name=MDP0000256921","MDP0000256921")</f>
        <v>MDP0000256921</v>
      </c>
      <c r="D16274">
        <v>76.319999999999993</v>
      </c>
      <c r="E16274">
        <v>283</v>
      </c>
      <c r="F16274">
        <v>67</v>
      </c>
      <c r="G16274">
        <v>14</v>
      </c>
      <c r="H16274">
        <v>356</v>
      </c>
      <c r="I16274">
        <v>638</v>
      </c>
      <c r="J16274">
        <v>1</v>
      </c>
      <c r="K16274">
        <v>3</v>
      </c>
      <c r="L16274">
        <v>271</v>
      </c>
      <c r="M16274">
        <v>1</v>
      </c>
      <c r="N16274">
        <v>1.1749E-126</v>
      </c>
      <c r="O16274">
        <v>1160</v>
      </c>
    </row>
    <row r="16275" spans="1:15" x14ac:dyDescent="0.25">
      <c r="A16275" t="s">
        <v>16288</v>
      </c>
      <c r="B16275">
        <v>404</v>
      </c>
      <c r="C16275" s="1" t="str">
        <f>HYPERLINK("http://www.rosaceae.org/gb/gbrowse/malus_x_domestica/?name=MDP0000136378","MDP0000136378")</f>
        <v>MDP0000136378</v>
      </c>
      <c r="D16275">
        <v>76.47</v>
      </c>
      <c r="E16275">
        <v>119</v>
      </c>
      <c r="F16275">
        <v>28</v>
      </c>
      <c r="G16275">
        <v>0</v>
      </c>
      <c r="H16275">
        <v>286</v>
      </c>
      <c r="I16275">
        <v>404</v>
      </c>
      <c r="J16275">
        <v>1</v>
      </c>
      <c r="K16275">
        <v>26</v>
      </c>
      <c r="L16275">
        <v>144</v>
      </c>
      <c r="M16275">
        <v>1</v>
      </c>
      <c r="N16275">
        <v>2.00139E-48</v>
      </c>
      <c r="O16275">
        <v>483</v>
      </c>
    </row>
    <row r="16276" spans="1:15" x14ac:dyDescent="0.25">
      <c r="A16276" t="s">
        <v>16289</v>
      </c>
      <c r="B16276">
        <v>597</v>
      </c>
      <c r="C16276" s="1" t="str">
        <f>HYPERLINK("http://www.rosaceae.org/gb/gbrowse/malus_x_domestica/?name=MDP0000930401","MDP0000930401")</f>
        <v>MDP0000930401</v>
      </c>
      <c r="D16276">
        <v>75.040000000000006</v>
      </c>
      <c r="E16276">
        <v>593</v>
      </c>
      <c r="F16276">
        <v>148</v>
      </c>
      <c r="G16276">
        <v>10</v>
      </c>
      <c r="H16276">
        <v>9</v>
      </c>
      <c r="I16276">
        <v>597</v>
      </c>
      <c r="J16276">
        <v>1</v>
      </c>
      <c r="K16276">
        <v>12</v>
      </c>
      <c r="L16276">
        <v>598</v>
      </c>
      <c r="M16276">
        <v>1</v>
      </c>
      <c r="N16276">
        <v>0</v>
      </c>
      <c r="O16276">
        <v>2236</v>
      </c>
    </row>
    <row r="16277" spans="1:15" x14ac:dyDescent="0.25">
      <c r="A16277" t="s">
        <v>16290</v>
      </c>
      <c r="B16277">
        <v>974</v>
      </c>
      <c r="C16277" s="1" t="str">
        <f>HYPERLINK("http://www.rosaceae.org/gb/gbrowse/malus_x_domestica/?name=MDP0000254227","MDP0000254227")</f>
        <v>MDP0000254227</v>
      </c>
      <c r="D16277">
        <v>58.64</v>
      </c>
      <c r="E16277">
        <v>711</v>
      </c>
      <c r="F16277">
        <v>294</v>
      </c>
      <c r="G16277">
        <v>33</v>
      </c>
      <c r="H16277">
        <v>1</v>
      </c>
      <c r="I16277">
        <v>678</v>
      </c>
      <c r="J16277">
        <v>1</v>
      </c>
      <c r="K16277">
        <v>1</v>
      </c>
      <c r="L16277">
        <v>711</v>
      </c>
      <c r="M16277">
        <v>1</v>
      </c>
      <c r="N16277">
        <v>0</v>
      </c>
      <c r="O16277">
        <v>2100</v>
      </c>
    </row>
    <row r="16278" spans="1:15" x14ac:dyDescent="0.25">
      <c r="A16278" t="s">
        <v>16291</v>
      </c>
      <c r="B16278">
        <v>428</v>
      </c>
      <c r="C16278" s="1" t="str">
        <f>HYPERLINK("http://www.rosaceae.org/gb/gbrowse/malus_x_domestica/?name=MDP0000772731","MDP0000772731")</f>
        <v>MDP0000772731</v>
      </c>
      <c r="D16278">
        <v>47.92</v>
      </c>
      <c r="E16278">
        <v>169</v>
      </c>
      <c r="F16278">
        <v>88</v>
      </c>
      <c r="G16278">
        <v>5</v>
      </c>
      <c r="H16278">
        <v>1</v>
      </c>
      <c r="I16278">
        <v>165</v>
      </c>
      <c r="J16278">
        <v>1</v>
      </c>
      <c r="K16278">
        <v>1</v>
      </c>
      <c r="L16278">
        <v>168</v>
      </c>
      <c r="M16278">
        <v>1</v>
      </c>
      <c r="N16278">
        <v>2.09949E-35</v>
      </c>
      <c r="O16278">
        <v>371</v>
      </c>
    </row>
    <row r="16279" spans="1:15" x14ac:dyDescent="0.25">
      <c r="A16279" t="s">
        <v>16292</v>
      </c>
      <c r="B16279">
        <v>1223</v>
      </c>
      <c r="C16279" s="1" t="str">
        <f>HYPERLINK("http://www.rosaceae.org/gb/gbrowse/malus_x_domestica/?name=MDP0000144051","MDP0000144051")</f>
        <v>MDP0000144051</v>
      </c>
      <c r="D16279">
        <v>82.37</v>
      </c>
      <c r="E16279">
        <v>471</v>
      </c>
      <c r="F16279">
        <v>83</v>
      </c>
      <c r="G16279">
        <v>5</v>
      </c>
      <c r="H16279">
        <v>4</v>
      </c>
      <c r="I16279">
        <v>469</v>
      </c>
      <c r="J16279">
        <v>1</v>
      </c>
      <c r="K16279">
        <v>116</v>
      </c>
      <c r="L16279">
        <v>586</v>
      </c>
      <c r="M16279">
        <v>1</v>
      </c>
      <c r="N16279">
        <v>0</v>
      </c>
      <c r="O16279">
        <v>2096</v>
      </c>
    </row>
    <row r="16280" spans="1:15" x14ac:dyDescent="0.25">
      <c r="A16280" t="s">
        <v>16293</v>
      </c>
      <c r="B16280">
        <v>651</v>
      </c>
      <c r="C16280" s="1" t="str">
        <f>HYPERLINK("http://www.rosaceae.org/gb/gbrowse/malus_x_domestica/?name=MDP0000498419","MDP0000498419")</f>
        <v>MDP0000498419</v>
      </c>
      <c r="D16280">
        <v>89.57</v>
      </c>
      <c r="E16280">
        <v>585</v>
      </c>
      <c r="F16280">
        <v>61</v>
      </c>
      <c r="G16280">
        <v>0</v>
      </c>
      <c r="H16280">
        <v>67</v>
      </c>
      <c r="I16280">
        <v>651</v>
      </c>
      <c r="J16280">
        <v>1</v>
      </c>
      <c r="K16280">
        <v>3</v>
      </c>
      <c r="L16280">
        <v>587</v>
      </c>
      <c r="M16280">
        <v>1</v>
      </c>
      <c r="N16280">
        <v>0</v>
      </c>
      <c r="O16280">
        <v>2813</v>
      </c>
    </row>
    <row r="16281" spans="1:15" x14ac:dyDescent="0.25">
      <c r="A16281" t="s">
        <v>16294</v>
      </c>
      <c r="B16281">
        <v>236</v>
      </c>
      <c r="C16281" s="1" t="str">
        <f>HYPERLINK("http://www.rosaceae.org/gb/gbrowse/malus_x_domestica/?name=MDP0000751295","MDP0000751295")</f>
        <v>MDP0000751295</v>
      </c>
      <c r="D16281">
        <v>91.66</v>
      </c>
      <c r="E16281">
        <v>72</v>
      </c>
      <c r="F16281">
        <v>6</v>
      </c>
      <c r="G16281">
        <v>0</v>
      </c>
      <c r="H16281">
        <v>165</v>
      </c>
      <c r="I16281">
        <v>236</v>
      </c>
      <c r="J16281">
        <v>1</v>
      </c>
      <c r="K16281">
        <v>37</v>
      </c>
      <c r="L16281">
        <v>108</v>
      </c>
      <c r="M16281">
        <v>1</v>
      </c>
      <c r="N16281">
        <v>8.8480799999999997E-34</v>
      </c>
      <c r="O16281">
        <v>354</v>
      </c>
    </row>
    <row r="16282" spans="1:15" x14ac:dyDescent="0.25">
      <c r="A16282" t="s">
        <v>16295</v>
      </c>
      <c r="B16282">
        <v>237</v>
      </c>
      <c r="C16282" s="1" t="str">
        <f>HYPERLINK("http://www.rosaceae.org/gb/gbrowse/malus_x_domestica/?name=MDP0000319225","MDP0000319225")</f>
        <v>MDP0000319225</v>
      </c>
      <c r="D16282">
        <v>44.92</v>
      </c>
      <c r="E16282">
        <v>256</v>
      </c>
      <c r="F16282">
        <v>141</v>
      </c>
      <c r="G16282">
        <v>29</v>
      </c>
      <c r="H16282">
        <v>1</v>
      </c>
      <c r="I16282">
        <v>237</v>
      </c>
      <c r="J16282">
        <v>1</v>
      </c>
      <c r="K16282">
        <v>1</v>
      </c>
      <c r="L16282">
        <v>246</v>
      </c>
      <c r="M16282">
        <v>1</v>
      </c>
      <c r="N16282">
        <v>6.85585E-47</v>
      </c>
      <c r="O16282">
        <v>467</v>
      </c>
    </row>
    <row r="16283" spans="1:15" x14ac:dyDescent="0.25">
      <c r="A16283" t="s">
        <v>16296</v>
      </c>
      <c r="B16283">
        <v>316</v>
      </c>
      <c r="C16283" s="1" t="str">
        <f>HYPERLINK("http://www.rosaceae.org/gb/gbrowse/malus_x_domestica/?name=MDP0000261563","MDP0000261563")</f>
        <v>MDP0000261563</v>
      </c>
      <c r="D16283">
        <v>73.180000000000007</v>
      </c>
      <c r="E16283">
        <v>317</v>
      </c>
      <c r="F16283">
        <v>85</v>
      </c>
      <c r="G16283">
        <v>6</v>
      </c>
      <c r="H16283">
        <v>1</v>
      </c>
      <c r="I16283">
        <v>316</v>
      </c>
      <c r="J16283">
        <v>1</v>
      </c>
      <c r="K16283">
        <v>2</v>
      </c>
      <c r="L16283">
        <v>313</v>
      </c>
      <c r="M16283">
        <v>1</v>
      </c>
      <c r="N16283">
        <v>4.93404E-133</v>
      </c>
      <c r="O16283">
        <v>1212</v>
      </c>
    </row>
    <row r="16284" spans="1:15" x14ac:dyDescent="0.25">
      <c r="A16284" t="s">
        <v>16297</v>
      </c>
      <c r="B16284">
        <v>460</v>
      </c>
      <c r="C16284" s="1" t="str">
        <f>HYPERLINK("http://www.rosaceae.org/gb/gbrowse/malus_x_domestica/?name=MDP0000310231","MDP0000310231")</f>
        <v>MDP0000310231</v>
      </c>
      <c r="D16284">
        <v>50.81</v>
      </c>
      <c r="E16284">
        <v>488</v>
      </c>
      <c r="F16284">
        <v>240</v>
      </c>
      <c r="G16284">
        <v>55</v>
      </c>
      <c r="H16284">
        <v>1</v>
      </c>
      <c r="I16284">
        <v>456</v>
      </c>
      <c r="J16284">
        <v>1</v>
      </c>
      <c r="K16284">
        <v>3</v>
      </c>
      <c r="L16284">
        <v>467</v>
      </c>
      <c r="M16284">
        <v>1</v>
      </c>
      <c r="N16284">
        <v>2.26114E-112</v>
      </c>
      <c r="O16284">
        <v>1035</v>
      </c>
    </row>
    <row r="16285" spans="1:15" x14ac:dyDescent="0.25">
      <c r="A16285" t="s">
        <v>16298</v>
      </c>
      <c r="B16285">
        <v>111</v>
      </c>
      <c r="C16285" s="1" t="str">
        <f>HYPERLINK("http://www.rosaceae.org/gb/gbrowse/malus_x_domestica/?name=MDP0000122856","MDP0000122856")</f>
        <v>MDP0000122856</v>
      </c>
      <c r="D16285">
        <v>53.57</v>
      </c>
      <c r="E16285">
        <v>56</v>
      </c>
      <c r="F16285">
        <v>26</v>
      </c>
      <c r="G16285">
        <v>0</v>
      </c>
      <c r="H16285">
        <v>44</v>
      </c>
      <c r="I16285">
        <v>99</v>
      </c>
      <c r="J16285">
        <v>1</v>
      </c>
      <c r="K16285">
        <v>33</v>
      </c>
      <c r="L16285">
        <v>88</v>
      </c>
      <c r="M16285">
        <v>1</v>
      </c>
      <c r="N16285">
        <v>3.9141800000000002E-12</v>
      </c>
      <c r="O16285">
        <v>162</v>
      </c>
    </row>
    <row r="16286" spans="1:15" x14ac:dyDescent="0.25">
      <c r="A16286" t="s">
        <v>16299</v>
      </c>
      <c r="B16286">
        <v>577</v>
      </c>
      <c r="C16286" s="1" t="str">
        <f>HYPERLINK("http://www.rosaceae.org/gb/gbrowse/malus_x_domestica/?name=MDP0000239775","MDP0000239775")</f>
        <v>MDP0000239775</v>
      </c>
      <c r="D16286">
        <v>75.55</v>
      </c>
      <c r="E16286">
        <v>589</v>
      </c>
      <c r="F16286">
        <v>144</v>
      </c>
      <c r="G16286">
        <v>18</v>
      </c>
      <c r="H16286">
        <v>1</v>
      </c>
      <c r="I16286">
        <v>577</v>
      </c>
      <c r="J16286">
        <v>1</v>
      </c>
      <c r="K16286">
        <v>1</v>
      </c>
      <c r="L16286">
        <v>583</v>
      </c>
      <c r="M16286">
        <v>1</v>
      </c>
      <c r="N16286">
        <v>0</v>
      </c>
      <c r="O16286">
        <v>2240</v>
      </c>
    </row>
    <row r="16287" spans="1:15" x14ac:dyDescent="0.25">
      <c r="A16287" t="s">
        <v>16300</v>
      </c>
      <c r="B16287">
        <v>438</v>
      </c>
      <c r="C16287" s="1" t="str">
        <f>HYPERLINK("http://www.rosaceae.org/gb/gbrowse/malus_x_domestica/?name=MDP0000227375","MDP0000227375")</f>
        <v>MDP0000227375</v>
      </c>
      <c r="D16287">
        <v>68.73</v>
      </c>
      <c r="E16287">
        <v>451</v>
      </c>
      <c r="F16287">
        <v>141</v>
      </c>
      <c r="G16287">
        <v>16</v>
      </c>
      <c r="H16287">
        <v>1</v>
      </c>
      <c r="I16287">
        <v>437</v>
      </c>
      <c r="J16287">
        <v>1</v>
      </c>
      <c r="K16287">
        <v>1</v>
      </c>
      <c r="L16287">
        <v>449</v>
      </c>
      <c r="M16287">
        <v>1</v>
      </c>
      <c r="N16287">
        <v>0</v>
      </c>
      <c r="O16287">
        <v>1646</v>
      </c>
    </row>
    <row r="16288" spans="1:15" x14ac:dyDescent="0.25">
      <c r="A16288" t="s">
        <v>16301</v>
      </c>
      <c r="B16288">
        <v>354</v>
      </c>
      <c r="C16288" s="1" t="str">
        <f>HYPERLINK("http://www.rosaceae.org/gb/gbrowse/malus_x_domestica/?name=MDP0000131602","MDP0000131602")</f>
        <v>MDP0000131602</v>
      </c>
      <c r="D16288">
        <v>63.86</v>
      </c>
      <c r="E16288">
        <v>202</v>
      </c>
      <c r="F16288">
        <v>73</v>
      </c>
      <c r="G16288">
        <v>40</v>
      </c>
      <c r="H16288">
        <v>193</v>
      </c>
      <c r="I16288">
        <v>354</v>
      </c>
      <c r="J16288">
        <v>1</v>
      </c>
      <c r="K16288">
        <v>44</v>
      </c>
      <c r="L16288">
        <v>245</v>
      </c>
      <c r="M16288">
        <v>1</v>
      </c>
      <c r="N16288">
        <v>2.0248699999999999E-63</v>
      </c>
      <c r="O16288">
        <v>612</v>
      </c>
    </row>
    <row r="16289" spans="1:15" x14ac:dyDescent="0.25">
      <c r="A16289" t="s">
        <v>16302</v>
      </c>
      <c r="B16289">
        <v>516</v>
      </c>
      <c r="C16289" s="1" t="str">
        <f>HYPERLINK("http://www.rosaceae.org/gb/gbrowse/malus_x_domestica/?name=MDP0000128262","MDP0000128262")</f>
        <v>MDP0000128262</v>
      </c>
      <c r="D16289">
        <v>68.66</v>
      </c>
      <c r="E16289">
        <v>418</v>
      </c>
      <c r="F16289">
        <v>131</v>
      </c>
      <c r="G16289">
        <v>29</v>
      </c>
      <c r="H16289">
        <v>95</v>
      </c>
      <c r="I16289">
        <v>511</v>
      </c>
      <c r="J16289">
        <v>1</v>
      </c>
      <c r="K16289">
        <v>11</v>
      </c>
      <c r="L16289">
        <v>400</v>
      </c>
      <c r="M16289">
        <v>1</v>
      </c>
      <c r="N16289">
        <v>8.2239100000000002E-174</v>
      </c>
      <c r="O16289">
        <v>1566</v>
      </c>
    </row>
    <row r="16290" spans="1:15" x14ac:dyDescent="0.25">
      <c r="A16290" t="s">
        <v>16303</v>
      </c>
      <c r="B16290">
        <v>435</v>
      </c>
      <c r="C16290" s="1" t="str">
        <f>HYPERLINK("http://www.rosaceae.org/gb/gbrowse/malus_x_domestica/?name=MDP0000140406","MDP0000140406")</f>
        <v>MDP0000140406</v>
      </c>
      <c r="D16290">
        <v>85.49</v>
      </c>
      <c r="E16290">
        <v>193</v>
      </c>
      <c r="F16290">
        <v>28</v>
      </c>
      <c r="G16290">
        <v>0</v>
      </c>
      <c r="H16290">
        <v>1</v>
      </c>
      <c r="I16290">
        <v>193</v>
      </c>
      <c r="J16290">
        <v>1</v>
      </c>
      <c r="K16290">
        <v>85</v>
      </c>
      <c r="L16290">
        <v>277</v>
      </c>
      <c r="M16290">
        <v>1</v>
      </c>
      <c r="N16290">
        <v>1.6955300000000001E-98</v>
      </c>
      <c r="O16290">
        <v>915</v>
      </c>
    </row>
    <row r="16291" spans="1:15" x14ac:dyDescent="0.25">
      <c r="A16291" t="s">
        <v>16304</v>
      </c>
      <c r="B16291">
        <v>538</v>
      </c>
      <c r="C16291" s="1" t="str">
        <f>HYPERLINK("http://www.rosaceae.org/gb/gbrowse/malus_x_domestica/?name=MDP0000213283","MDP0000213283")</f>
        <v>MDP0000213283</v>
      </c>
      <c r="D16291">
        <v>64.28</v>
      </c>
      <c r="E16291">
        <v>490</v>
      </c>
      <c r="F16291">
        <v>175</v>
      </c>
      <c r="G16291">
        <v>6</v>
      </c>
      <c r="H16291">
        <v>48</v>
      </c>
      <c r="I16291">
        <v>534</v>
      </c>
      <c r="J16291">
        <v>1</v>
      </c>
      <c r="K16291">
        <v>25</v>
      </c>
      <c r="L16291">
        <v>511</v>
      </c>
      <c r="M16291">
        <v>1</v>
      </c>
      <c r="N16291">
        <v>0</v>
      </c>
      <c r="O16291">
        <v>1701</v>
      </c>
    </row>
    <row r="16292" spans="1:15" x14ac:dyDescent="0.25">
      <c r="A16292" t="s">
        <v>16305</v>
      </c>
      <c r="B16292">
        <v>290</v>
      </c>
      <c r="C16292" s="1" t="str">
        <f>HYPERLINK("http://www.rosaceae.org/gb/gbrowse/malus_x_domestica/?name=MDP0000322487","MDP0000322487")</f>
        <v>MDP0000322487</v>
      </c>
      <c r="D16292">
        <v>81.02</v>
      </c>
      <c r="E16292">
        <v>253</v>
      </c>
      <c r="F16292">
        <v>48</v>
      </c>
      <c r="G16292">
        <v>5</v>
      </c>
      <c r="H16292">
        <v>38</v>
      </c>
      <c r="I16292">
        <v>287</v>
      </c>
      <c r="J16292">
        <v>1</v>
      </c>
      <c r="K16292">
        <v>716</v>
      </c>
      <c r="L16292">
        <v>966</v>
      </c>
      <c r="M16292">
        <v>1</v>
      </c>
      <c r="N16292">
        <v>1.5235399999999999E-111</v>
      </c>
      <c r="O16292">
        <v>1026</v>
      </c>
    </row>
    <row r="16293" spans="1:15" x14ac:dyDescent="0.25">
      <c r="A16293" t="s">
        <v>16306</v>
      </c>
      <c r="B16293">
        <v>528</v>
      </c>
      <c r="C16293" s="1" t="str">
        <f>HYPERLINK("http://www.rosaceae.org/gb/gbrowse/malus_x_domestica/?name=MDP0000260121","MDP0000260121")</f>
        <v>MDP0000260121</v>
      </c>
      <c r="D16293">
        <v>69.66</v>
      </c>
      <c r="E16293">
        <v>501</v>
      </c>
      <c r="F16293">
        <v>152</v>
      </c>
      <c r="G16293">
        <v>16</v>
      </c>
      <c r="H16293">
        <v>30</v>
      </c>
      <c r="I16293">
        <v>527</v>
      </c>
      <c r="J16293">
        <v>1</v>
      </c>
      <c r="K16293">
        <v>751</v>
      </c>
      <c r="L16293">
        <v>1238</v>
      </c>
      <c r="M16293">
        <v>1</v>
      </c>
      <c r="N16293">
        <v>0</v>
      </c>
      <c r="O16293">
        <v>1831</v>
      </c>
    </row>
    <row r="16294" spans="1:15" x14ac:dyDescent="0.25">
      <c r="A16294" t="s">
        <v>16307</v>
      </c>
      <c r="B16294">
        <v>1009</v>
      </c>
      <c r="C16294" s="1" t="str">
        <f>HYPERLINK("http://www.rosaceae.org/gb/gbrowse/malus_x_domestica/?name=MDP0000288190","MDP0000288190")</f>
        <v>MDP0000288190</v>
      </c>
      <c r="D16294">
        <v>80.92</v>
      </c>
      <c r="E16294">
        <v>1017</v>
      </c>
      <c r="F16294">
        <v>194</v>
      </c>
      <c r="G16294">
        <v>21</v>
      </c>
      <c r="H16294">
        <v>1</v>
      </c>
      <c r="I16294">
        <v>1003</v>
      </c>
      <c r="J16294">
        <v>1</v>
      </c>
      <c r="K16294">
        <v>1</v>
      </c>
      <c r="L16294">
        <v>1010</v>
      </c>
      <c r="M16294">
        <v>1</v>
      </c>
      <c r="N16294">
        <v>0</v>
      </c>
      <c r="O16294">
        <v>4304</v>
      </c>
    </row>
    <row r="16295" spans="1:15" x14ac:dyDescent="0.25">
      <c r="A16295" t="s">
        <v>16308</v>
      </c>
      <c r="B16295">
        <v>729</v>
      </c>
      <c r="C16295" s="1" t="str">
        <f>HYPERLINK("http://www.rosaceae.org/gb/gbrowse/malus_x_domestica/?name=MDP0000272554","MDP0000272554")</f>
        <v>MDP0000272554</v>
      </c>
      <c r="D16295">
        <v>60</v>
      </c>
      <c r="E16295">
        <v>610</v>
      </c>
      <c r="F16295">
        <v>244</v>
      </c>
      <c r="G16295">
        <v>166</v>
      </c>
      <c r="H16295">
        <v>1</v>
      </c>
      <c r="I16295">
        <v>597</v>
      </c>
      <c r="J16295">
        <v>1</v>
      </c>
      <c r="K16295">
        <v>1</v>
      </c>
      <c r="L16295">
        <v>457</v>
      </c>
      <c r="M16295">
        <v>1</v>
      </c>
      <c r="N16295">
        <v>0</v>
      </c>
      <c r="O16295">
        <v>1740</v>
      </c>
    </row>
    <row r="16296" spans="1:15" x14ac:dyDescent="0.25">
      <c r="A16296" t="s">
        <v>16309</v>
      </c>
      <c r="B16296">
        <v>874</v>
      </c>
      <c r="C16296" s="1" t="str">
        <f>HYPERLINK("http://www.rosaceae.org/gb/gbrowse/malus_x_domestica/?name=MDP0000201316","MDP0000201316")</f>
        <v>MDP0000201316</v>
      </c>
      <c r="D16296">
        <v>60.94</v>
      </c>
      <c r="E16296">
        <v>763</v>
      </c>
      <c r="F16296">
        <v>298</v>
      </c>
      <c r="G16296">
        <v>70</v>
      </c>
      <c r="H16296">
        <v>83</v>
      </c>
      <c r="I16296">
        <v>785</v>
      </c>
      <c r="J16296">
        <v>1</v>
      </c>
      <c r="K16296">
        <v>1143</v>
      </c>
      <c r="L16296">
        <v>1895</v>
      </c>
      <c r="M16296">
        <v>1</v>
      </c>
      <c r="N16296">
        <v>0</v>
      </c>
      <c r="O16296">
        <v>2079</v>
      </c>
    </row>
    <row r="16297" spans="1:15" x14ac:dyDescent="0.25">
      <c r="A16297" t="s">
        <v>16310</v>
      </c>
      <c r="B16297">
        <v>840</v>
      </c>
      <c r="C16297" s="1" t="str">
        <f>HYPERLINK("http://www.rosaceae.org/gb/gbrowse/malus_x_domestica/?name=MDP0000144306","MDP0000144306")</f>
        <v>MDP0000144306</v>
      </c>
      <c r="D16297">
        <v>77.209999999999994</v>
      </c>
      <c r="E16297">
        <v>834</v>
      </c>
      <c r="F16297">
        <v>190</v>
      </c>
      <c r="G16297">
        <v>15</v>
      </c>
      <c r="H16297">
        <v>22</v>
      </c>
      <c r="I16297">
        <v>840</v>
      </c>
      <c r="J16297">
        <v>1</v>
      </c>
      <c r="K16297">
        <v>22</v>
      </c>
      <c r="L16297">
        <v>855</v>
      </c>
      <c r="M16297">
        <v>1</v>
      </c>
      <c r="N16297">
        <v>0</v>
      </c>
      <c r="O16297">
        <v>3456</v>
      </c>
    </row>
    <row r="16298" spans="1:15" x14ac:dyDescent="0.25">
      <c r="A16298" t="s">
        <v>16311</v>
      </c>
      <c r="B16298">
        <v>398</v>
      </c>
      <c r="C16298" s="1" t="str">
        <f>HYPERLINK("http://www.rosaceae.org/gb/gbrowse/malus_x_domestica/?name=MDP0000142739","MDP0000142739")</f>
        <v>MDP0000142739</v>
      </c>
      <c r="D16298">
        <v>70.180000000000007</v>
      </c>
      <c r="E16298">
        <v>436</v>
      </c>
      <c r="F16298">
        <v>130</v>
      </c>
      <c r="G16298">
        <v>42</v>
      </c>
      <c r="H16298">
        <v>5</v>
      </c>
      <c r="I16298">
        <v>398</v>
      </c>
      <c r="J16298">
        <v>1</v>
      </c>
      <c r="K16298">
        <v>6</v>
      </c>
      <c r="L16298">
        <v>441</v>
      </c>
      <c r="M16298">
        <v>1</v>
      </c>
      <c r="N16298">
        <v>7.13755E-168</v>
      </c>
      <c r="O16298">
        <v>1513</v>
      </c>
    </row>
    <row r="16299" spans="1:15" x14ac:dyDescent="0.25">
      <c r="A16299" t="s">
        <v>16312</v>
      </c>
      <c r="B16299">
        <v>683</v>
      </c>
      <c r="C16299" s="1" t="str">
        <f>HYPERLINK("http://www.rosaceae.org/gb/gbrowse/malus_x_domestica/?name=MDP0000302859","MDP0000302859")</f>
        <v>MDP0000302859</v>
      </c>
      <c r="D16299">
        <v>80.41</v>
      </c>
      <c r="E16299">
        <v>715</v>
      </c>
      <c r="F16299">
        <v>140</v>
      </c>
      <c r="G16299">
        <v>50</v>
      </c>
      <c r="H16299">
        <v>1</v>
      </c>
      <c r="I16299">
        <v>679</v>
      </c>
      <c r="J16299">
        <v>1</v>
      </c>
      <c r="K16299">
        <v>1</v>
      </c>
      <c r="L16299">
        <v>701</v>
      </c>
      <c r="M16299">
        <v>1</v>
      </c>
      <c r="N16299">
        <v>0</v>
      </c>
      <c r="O16299">
        <v>3062</v>
      </c>
    </row>
    <row r="16300" spans="1:15" x14ac:dyDescent="0.25">
      <c r="A16300" t="s">
        <v>16313</v>
      </c>
      <c r="B16300">
        <v>899</v>
      </c>
      <c r="C16300" s="1" t="str">
        <f>HYPERLINK("http://www.rosaceae.org/gb/gbrowse/malus_x_domestica/?name=MDP0000189008","MDP0000189008")</f>
        <v>MDP0000189008</v>
      </c>
      <c r="D16300">
        <v>58.04</v>
      </c>
      <c r="E16300">
        <v>572</v>
      </c>
      <c r="F16300">
        <v>240</v>
      </c>
      <c r="G16300">
        <v>17</v>
      </c>
      <c r="H16300">
        <v>337</v>
      </c>
      <c r="I16300">
        <v>899</v>
      </c>
      <c r="J16300">
        <v>1</v>
      </c>
      <c r="K16300">
        <v>308</v>
      </c>
      <c r="L16300">
        <v>871</v>
      </c>
      <c r="M16300">
        <v>1</v>
      </c>
      <c r="N16300">
        <v>4.1054400000000001E-179</v>
      </c>
      <c r="O16300">
        <v>1614</v>
      </c>
    </row>
    <row r="16301" spans="1:15" x14ac:dyDescent="0.25">
      <c r="A16301" t="s">
        <v>16314</v>
      </c>
      <c r="B16301">
        <v>190</v>
      </c>
      <c r="C16301" s="1" t="str">
        <f>HYPERLINK("http://www.rosaceae.org/gb/gbrowse/malus_x_domestica/?name=MDP0000188344","MDP0000188344")</f>
        <v>MDP0000188344</v>
      </c>
      <c r="D16301">
        <v>55.42</v>
      </c>
      <c r="E16301">
        <v>166</v>
      </c>
      <c r="F16301">
        <v>74</v>
      </c>
      <c r="G16301">
        <v>3</v>
      </c>
      <c r="H16301">
        <v>20</v>
      </c>
      <c r="I16301">
        <v>183</v>
      </c>
      <c r="J16301">
        <v>1</v>
      </c>
      <c r="K16301">
        <v>17</v>
      </c>
      <c r="L16301">
        <v>181</v>
      </c>
      <c r="M16301">
        <v>1</v>
      </c>
      <c r="N16301">
        <v>8.1792399999999997E-47</v>
      </c>
      <c r="O16301">
        <v>465</v>
      </c>
    </row>
    <row r="16302" spans="1:15" x14ac:dyDescent="0.25">
      <c r="A16302" t="s">
        <v>16315</v>
      </c>
      <c r="B16302">
        <v>384</v>
      </c>
      <c r="C16302" s="1" t="str">
        <f>HYPERLINK("http://www.rosaceae.org/gb/gbrowse/malus_x_domestica/?name=MDP0000175052","MDP0000175052")</f>
        <v>MDP0000175052</v>
      </c>
      <c r="D16302">
        <v>64.010000000000005</v>
      </c>
      <c r="E16302">
        <v>389</v>
      </c>
      <c r="F16302">
        <v>140</v>
      </c>
      <c r="G16302">
        <v>45</v>
      </c>
      <c r="H16302">
        <v>1</v>
      </c>
      <c r="I16302">
        <v>376</v>
      </c>
      <c r="J16302">
        <v>1</v>
      </c>
      <c r="K16302">
        <v>1</v>
      </c>
      <c r="L16302">
        <v>357</v>
      </c>
      <c r="M16302">
        <v>1</v>
      </c>
      <c r="N16302">
        <v>8.3902999999999997E-128</v>
      </c>
      <c r="O16302">
        <v>1167</v>
      </c>
    </row>
    <row r="16303" spans="1:15" x14ac:dyDescent="0.25">
      <c r="A16303" t="s">
        <v>16316</v>
      </c>
      <c r="B16303">
        <v>334</v>
      </c>
      <c r="C16303" s="1" t="str">
        <f>HYPERLINK("http://www.rosaceae.org/gb/gbrowse/malus_x_domestica/?name=MDP0000923872","MDP0000923872")</f>
        <v>MDP0000923872</v>
      </c>
      <c r="D16303">
        <v>89.22</v>
      </c>
      <c r="E16303">
        <v>334</v>
      </c>
      <c r="F16303">
        <v>36</v>
      </c>
      <c r="G16303">
        <v>0</v>
      </c>
      <c r="H16303">
        <v>1</v>
      </c>
      <c r="I16303">
        <v>334</v>
      </c>
      <c r="J16303">
        <v>1</v>
      </c>
      <c r="K16303">
        <v>37</v>
      </c>
      <c r="L16303">
        <v>370</v>
      </c>
      <c r="M16303">
        <v>1</v>
      </c>
      <c r="N16303">
        <v>8.5152400000000004E-172</v>
      </c>
      <c r="O16303">
        <v>1546</v>
      </c>
    </row>
    <row r="16304" spans="1:15" x14ac:dyDescent="0.25">
      <c r="A16304" t="s">
        <v>16317</v>
      </c>
      <c r="B16304">
        <v>416</v>
      </c>
      <c r="C16304" s="1" t="str">
        <f>HYPERLINK("http://www.rosaceae.org/gb/gbrowse/malus_x_domestica/?name=MDP0000130755","MDP0000130755")</f>
        <v>MDP0000130755</v>
      </c>
      <c r="D16304">
        <v>40.83</v>
      </c>
      <c r="E16304">
        <v>120</v>
      </c>
      <c r="F16304">
        <v>71</v>
      </c>
      <c r="G16304">
        <v>7</v>
      </c>
      <c r="H16304">
        <v>179</v>
      </c>
      <c r="I16304">
        <v>291</v>
      </c>
      <c r="J16304">
        <v>1</v>
      </c>
      <c r="K16304">
        <v>295</v>
      </c>
      <c r="L16304">
        <v>414</v>
      </c>
      <c r="M16304">
        <v>1</v>
      </c>
      <c r="N16304">
        <v>1.54278E-17</v>
      </c>
      <c r="O16304">
        <v>217</v>
      </c>
    </row>
    <row r="16305" spans="1:15" x14ac:dyDescent="0.25">
      <c r="A16305" t="s">
        <v>16318</v>
      </c>
      <c r="B16305">
        <v>311</v>
      </c>
      <c r="C16305" s="1" t="str">
        <f>HYPERLINK("http://www.rosaceae.org/gb/gbrowse/malus_x_domestica/?name=MDP0000146129","MDP0000146129")</f>
        <v>MDP0000146129</v>
      </c>
      <c r="D16305">
        <v>57.44</v>
      </c>
      <c r="E16305">
        <v>336</v>
      </c>
      <c r="F16305">
        <v>143</v>
      </c>
      <c r="G16305">
        <v>30</v>
      </c>
      <c r="H16305">
        <v>1</v>
      </c>
      <c r="I16305">
        <v>311</v>
      </c>
      <c r="J16305">
        <v>1</v>
      </c>
      <c r="K16305">
        <v>1</v>
      </c>
      <c r="L16305">
        <v>331</v>
      </c>
      <c r="M16305">
        <v>1</v>
      </c>
      <c r="N16305">
        <v>8.78141E-106</v>
      </c>
      <c r="O16305">
        <v>976</v>
      </c>
    </row>
    <row r="16306" spans="1:15" x14ac:dyDescent="0.25">
      <c r="A16306" t="s">
        <v>16319</v>
      </c>
      <c r="B16306">
        <v>353</v>
      </c>
      <c r="C16306" s="1" t="str">
        <f>HYPERLINK("http://www.rosaceae.org/gb/gbrowse/malus_x_domestica/?name=MDP0000210735","MDP0000210735")</f>
        <v>MDP0000210735</v>
      </c>
      <c r="D16306">
        <v>41.5</v>
      </c>
      <c r="E16306">
        <v>200</v>
      </c>
      <c r="F16306">
        <v>117</v>
      </c>
      <c r="G16306">
        <v>11</v>
      </c>
      <c r="H16306">
        <v>17</v>
      </c>
      <c r="I16306">
        <v>212</v>
      </c>
      <c r="J16306">
        <v>1</v>
      </c>
      <c r="K16306">
        <v>434</v>
      </c>
      <c r="L16306">
        <v>626</v>
      </c>
      <c r="M16306">
        <v>1</v>
      </c>
      <c r="N16306">
        <v>1.3167099999999999E-35</v>
      </c>
      <c r="O16306">
        <v>372</v>
      </c>
    </row>
    <row r="16307" spans="1:15" x14ac:dyDescent="0.25">
      <c r="A16307" t="s">
        <v>16320</v>
      </c>
      <c r="B16307">
        <v>620</v>
      </c>
      <c r="C16307" s="1" t="str">
        <f>HYPERLINK("http://www.rosaceae.org/gb/gbrowse/malus_x_domestica/?name=MDP0000175360","MDP0000175360")</f>
        <v>MDP0000175360</v>
      </c>
      <c r="D16307">
        <v>66.489999999999995</v>
      </c>
      <c r="E16307">
        <v>570</v>
      </c>
      <c r="F16307">
        <v>191</v>
      </c>
      <c r="G16307">
        <v>43</v>
      </c>
      <c r="H16307">
        <v>3</v>
      </c>
      <c r="I16307">
        <v>533</v>
      </c>
      <c r="J16307">
        <v>1</v>
      </c>
      <c r="K16307">
        <v>117</v>
      </c>
      <c r="L16307">
        <v>682</v>
      </c>
      <c r="M16307">
        <v>1</v>
      </c>
      <c r="N16307">
        <v>0</v>
      </c>
      <c r="O16307">
        <v>1891</v>
      </c>
    </row>
    <row r="16308" spans="1:15" x14ac:dyDescent="0.25">
      <c r="A16308" t="s">
        <v>16321</v>
      </c>
      <c r="B16308">
        <v>858</v>
      </c>
      <c r="C16308" s="1" t="str">
        <f>HYPERLINK("http://www.rosaceae.org/gb/gbrowse/malus_x_domestica/?name=MDP0000278275","MDP0000278275")</f>
        <v>MDP0000278275</v>
      </c>
      <c r="D16308">
        <v>77.47</v>
      </c>
      <c r="E16308">
        <v>857</v>
      </c>
      <c r="F16308">
        <v>193</v>
      </c>
      <c r="G16308">
        <v>50</v>
      </c>
      <c r="H16308">
        <v>4</v>
      </c>
      <c r="I16308">
        <v>819</v>
      </c>
      <c r="J16308">
        <v>1</v>
      </c>
      <c r="K16308">
        <v>3</v>
      </c>
      <c r="L16308">
        <v>850</v>
      </c>
      <c r="M16308">
        <v>1</v>
      </c>
      <c r="N16308">
        <v>0</v>
      </c>
      <c r="O16308">
        <v>3468</v>
      </c>
    </row>
    <row r="16309" spans="1:15" x14ac:dyDescent="0.25">
      <c r="A16309" t="s">
        <v>16322</v>
      </c>
      <c r="B16309">
        <v>499</v>
      </c>
      <c r="C16309" s="1" t="str">
        <f>HYPERLINK("http://www.rosaceae.org/gb/gbrowse/malus_x_domestica/?name=MDP0000150094","MDP0000150094")</f>
        <v>MDP0000150094</v>
      </c>
      <c r="D16309">
        <v>75.760000000000005</v>
      </c>
      <c r="E16309">
        <v>491</v>
      </c>
      <c r="F16309">
        <v>119</v>
      </c>
      <c r="G16309">
        <v>30</v>
      </c>
      <c r="H16309">
        <v>9</v>
      </c>
      <c r="I16309">
        <v>499</v>
      </c>
      <c r="J16309">
        <v>1</v>
      </c>
      <c r="K16309">
        <v>2</v>
      </c>
      <c r="L16309">
        <v>462</v>
      </c>
      <c r="M16309">
        <v>1</v>
      </c>
      <c r="N16309">
        <v>0</v>
      </c>
      <c r="O16309">
        <v>1980</v>
      </c>
    </row>
    <row r="16310" spans="1:15" x14ac:dyDescent="0.25">
      <c r="A16310" t="s">
        <v>16323</v>
      </c>
      <c r="B16310">
        <v>355</v>
      </c>
      <c r="C16310" s="1" t="str">
        <f>HYPERLINK("http://www.rosaceae.org/gb/gbrowse/malus_x_domestica/?name=MDP0000309469","MDP0000309469")</f>
        <v>MDP0000309469</v>
      </c>
      <c r="D16310">
        <v>65.319999999999993</v>
      </c>
      <c r="E16310">
        <v>372</v>
      </c>
      <c r="F16310">
        <v>129</v>
      </c>
      <c r="G16310">
        <v>20</v>
      </c>
      <c r="H16310">
        <v>3</v>
      </c>
      <c r="I16310">
        <v>355</v>
      </c>
      <c r="J16310">
        <v>1</v>
      </c>
      <c r="K16310">
        <v>625</v>
      </c>
      <c r="L16310">
        <v>995</v>
      </c>
      <c r="M16310">
        <v>1</v>
      </c>
      <c r="N16310">
        <v>1.10831E-141</v>
      </c>
      <c r="O16310">
        <v>1287</v>
      </c>
    </row>
    <row r="16311" spans="1:15" x14ac:dyDescent="0.25">
      <c r="A16311" t="s">
        <v>16324</v>
      </c>
      <c r="B16311">
        <v>466</v>
      </c>
      <c r="C16311" s="1" t="str">
        <f>HYPERLINK("http://www.rosaceae.org/gb/gbrowse/malus_x_domestica/?name=MDP0000498527","MDP0000498527")</f>
        <v>MDP0000498527</v>
      </c>
      <c r="D16311">
        <v>24.89</v>
      </c>
      <c r="E16311">
        <v>233</v>
      </c>
      <c r="F16311">
        <v>175</v>
      </c>
      <c r="G16311">
        <v>16</v>
      </c>
      <c r="H16311">
        <v>57</v>
      </c>
      <c r="I16311">
        <v>288</v>
      </c>
      <c r="J16311">
        <v>1</v>
      </c>
      <c r="K16311">
        <v>177</v>
      </c>
      <c r="L16311">
        <v>394</v>
      </c>
      <c r="M16311">
        <v>1</v>
      </c>
      <c r="N16311">
        <v>2.34755E-12</v>
      </c>
      <c r="O16311">
        <v>173</v>
      </c>
    </row>
    <row r="16312" spans="1:15" x14ac:dyDescent="0.25">
      <c r="A16312" t="s">
        <v>16325</v>
      </c>
      <c r="B16312">
        <v>453</v>
      </c>
      <c r="C16312" s="1" t="str">
        <f>HYPERLINK("http://www.rosaceae.org/gb/gbrowse/malus_x_domestica/?name=MDP0000290380","MDP0000290380")</f>
        <v>MDP0000290380</v>
      </c>
      <c r="D16312">
        <v>78.8</v>
      </c>
      <c r="E16312">
        <v>453</v>
      </c>
      <c r="F16312">
        <v>96</v>
      </c>
      <c r="G16312">
        <v>3</v>
      </c>
      <c r="H16312">
        <v>1</v>
      </c>
      <c r="I16312">
        <v>450</v>
      </c>
      <c r="J16312">
        <v>1</v>
      </c>
      <c r="K16312">
        <v>224</v>
      </c>
      <c r="L16312">
        <v>676</v>
      </c>
      <c r="M16312">
        <v>1</v>
      </c>
      <c r="N16312">
        <v>0</v>
      </c>
      <c r="O16312">
        <v>1815</v>
      </c>
    </row>
    <row r="16313" spans="1:15" x14ac:dyDescent="0.25">
      <c r="A16313" t="s">
        <v>16326</v>
      </c>
      <c r="B16313">
        <v>341</v>
      </c>
      <c r="C16313" s="1" t="str">
        <f>HYPERLINK("http://www.rosaceae.org/gb/gbrowse/malus_x_domestica/?name=MDP0000257326","MDP0000257326")</f>
        <v>MDP0000257326</v>
      </c>
      <c r="D16313">
        <v>74.33</v>
      </c>
      <c r="E16313">
        <v>339</v>
      </c>
      <c r="F16313">
        <v>87</v>
      </c>
      <c r="G16313">
        <v>2</v>
      </c>
      <c r="H16313">
        <v>5</v>
      </c>
      <c r="I16313">
        <v>341</v>
      </c>
      <c r="J16313">
        <v>1</v>
      </c>
      <c r="K16313">
        <v>7</v>
      </c>
      <c r="L16313">
        <v>345</v>
      </c>
      <c r="M16313">
        <v>1</v>
      </c>
      <c r="N16313">
        <v>8.7546300000000002E-151</v>
      </c>
      <c r="O16313">
        <v>1365</v>
      </c>
    </row>
    <row r="16314" spans="1:15" x14ac:dyDescent="0.25">
      <c r="A16314" t="s">
        <v>16327</v>
      </c>
      <c r="B16314">
        <v>546</v>
      </c>
      <c r="C16314" s="1" t="str">
        <f>HYPERLINK("http://www.rosaceae.org/gb/gbrowse/malus_x_domestica/?name=MDP0000162563","MDP0000162563")</f>
        <v>MDP0000162563</v>
      </c>
      <c r="D16314">
        <v>42.81</v>
      </c>
      <c r="E16314">
        <v>327</v>
      </c>
      <c r="F16314">
        <v>187</v>
      </c>
      <c r="G16314">
        <v>68</v>
      </c>
      <c r="H16314">
        <v>28</v>
      </c>
      <c r="I16314">
        <v>332</v>
      </c>
      <c r="J16314">
        <v>1</v>
      </c>
      <c r="K16314">
        <v>12</v>
      </c>
      <c r="L16314">
        <v>292</v>
      </c>
      <c r="M16314">
        <v>1</v>
      </c>
      <c r="N16314">
        <v>3.4112000000000002E-58</v>
      </c>
      <c r="O16314">
        <v>569</v>
      </c>
    </row>
    <row r="16315" spans="1:15" x14ac:dyDescent="0.25">
      <c r="A16315" t="s">
        <v>16328</v>
      </c>
      <c r="B16315">
        <v>215</v>
      </c>
      <c r="C16315" s="1" t="str">
        <f>HYPERLINK("http://www.rosaceae.org/gb/gbrowse/malus_x_domestica/?name=MDP0000503246","MDP0000503246")</f>
        <v>MDP0000503246</v>
      </c>
      <c r="D16315">
        <v>47.85</v>
      </c>
      <c r="E16315">
        <v>163</v>
      </c>
      <c r="F16315">
        <v>85</v>
      </c>
      <c r="G16315">
        <v>4</v>
      </c>
      <c r="H16315">
        <v>41</v>
      </c>
      <c r="I16315">
        <v>202</v>
      </c>
      <c r="J16315">
        <v>1</v>
      </c>
      <c r="K16315">
        <v>32</v>
      </c>
      <c r="L16315">
        <v>191</v>
      </c>
      <c r="M16315">
        <v>1</v>
      </c>
      <c r="N16315">
        <v>1.80079E-39</v>
      </c>
      <c r="O16315">
        <v>402</v>
      </c>
    </row>
    <row r="16316" spans="1:15" x14ac:dyDescent="0.25">
      <c r="A16316" t="s">
        <v>16329</v>
      </c>
      <c r="B16316">
        <v>294</v>
      </c>
      <c r="C16316" s="1" t="str">
        <f>HYPERLINK("http://www.rosaceae.org/gb/gbrowse/malus_x_domestica/?name=MDP0000197814","MDP0000197814")</f>
        <v>MDP0000197814</v>
      </c>
      <c r="D16316">
        <v>35.51</v>
      </c>
      <c r="E16316">
        <v>245</v>
      </c>
      <c r="F16316">
        <v>158</v>
      </c>
      <c r="G16316">
        <v>40</v>
      </c>
      <c r="H16316">
        <v>1</v>
      </c>
      <c r="I16316">
        <v>228</v>
      </c>
      <c r="J16316">
        <v>1</v>
      </c>
      <c r="K16316">
        <v>1</v>
      </c>
      <c r="L16316">
        <v>222</v>
      </c>
      <c r="M16316">
        <v>1</v>
      </c>
      <c r="N16316">
        <v>6.0122099999999996E-25</v>
      </c>
      <c r="O16316">
        <v>279</v>
      </c>
    </row>
    <row r="16317" spans="1:15" x14ac:dyDescent="0.25">
      <c r="A16317" t="s">
        <v>16330</v>
      </c>
      <c r="B16317">
        <v>951</v>
      </c>
      <c r="C16317" s="1" t="str">
        <f>HYPERLINK("http://www.rosaceae.org/gb/gbrowse/malus_x_domestica/?name=MDP0000209498","MDP0000209498")</f>
        <v>MDP0000209498</v>
      </c>
      <c r="D16317">
        <v>39.42</v>
      </c>
      <c r="E16317">
        <v>175</v>
      </c>
      <c r="F16317">
        <v>106</v>
      </c>
      <c r="G16317">
        <v>3</v>
      </c>
      <c r="H16317">
        <v>708</v>
      </c>
      <c r="I16317">
        <v>879</v>
      </c>
      <c r="J16317">
        <v>1</v>
      </c>
      <c r="K16317">
        <v>299</v>
      </c>
      <c r="L16317">
        <v>473</v>
      </c>
      <c r="M16317">
        <v>1</v>
      </c>
      <c r="N16317">
        <v>2.8041300000000002E-28</v>
      </c>
      <c r="O16317">
        <v>313</v>
      </c>
    </row>
    <row r="16318" spans="1:15" x14ac:dyDescent="0.25">
      <c r="A16318" t="s">
        <v>16331</v>
      </c>
      <c r="B16318">
        <v>200</v>
      </c>
      <c r="C16318" s="1" t="str">
        <f>HYPERLINK("http://www.rosaceae.org/gb/gbrowse/malus_x_domestica/?name=MDP0000882402","MDP0000882402")</f>
        <v>MDP0000882402</v>
      </c>
      <c r="D16318">
        <v>67.69</v>
      </c>
      <c r="E16318">
        <v>65</v>
      </c>
      <c r="F16318">
        <v>21</v>
      </c>
      <c r="G16318">
        <v>6</v>
      </c>
      <c r="H16318">
        <v>1</v>
      </c>
      <c r="I16318">
        <v>62</v>
      </c>
      <c r="J16318">
        <v>1</v>
      </c>
      <c r="K16318">
        <v>363</v>
      </c>
      <c r="L16318">
        <v>424</v>
      </c>
      <c r="M16318">
        <v>1</v>
      </c>
      <c r="N16318">
        <v>1.50955E-15</v>
      </c>
      <c r="O16318">
        <v>196</v>
      </c>
    </row>
    <row r="16319" spans="1:15" x14ac:dyDescent="0.25">
      <c r="A16319" t="s">
        <v>16332</v>
      </c>
      <c r="B16319">
        <v>650</v>
      </c>
      <c r="C16319" s="1" t="str">
        <f>HYPERLINK("http://www.rosaceae.org/gb/gbrowse/malus_x_domestica/?name=MDP0000846860","MDP0000846860")</f>
        <v>MDP0000846860</v>
      </c>
      <c r="D16319">
        <v>81.81</v>
      </c>
      <c r="E16319">
        <v>616</v>
      </c>
      <c r="F16319">
        <v>112</v>
      </c>
      <c r="G16319">
        <v>3</v>
      </c>
      <c r="H16319">
        <v>1</v>
      </c>
      <c r="I16319">
        <v>616</v>
      </c>
      <c r="J16319">
        <v>1</v>
      </c>
      <c r="K16319">
        <v>1</v>
      </c>
      <c r="L16319">
        <v>613</v>
      </c>
      <c r="M16319">
        <v>1</v>
      </c>
      <c r="N16319">
        <v>0</v>
      </c>
      <c r="O16319">
        <v>2743</v>
      </c>
    </row>
    <row r="16320" spans="1:15" x14ac:dyDescent="0.25">
      <c r="A16320" t="s">
        <v>16333</v>
      </c>
      <c r="B16320">
        <v>528</v>
      </c>
      <c r="C16320" s="1" t="str">
        <f>HYPERLINK("http://www.rosaceae.org/gb/gbrowse/malus_x_domestica/?name=MDP0000224266","MDP0000224266")</f>
        <v>MDP0000224266</v>
      </c>
      <c r="D16320">
        <v>73.55</v>
      </c>
      <c r="E16320">
        <v>450</v>
      </c>
      <c r="F16320">
        <v>119</v>
      </c>
      <c r="G16320">
        <v>48</v>
      </c>
      <c r="H16320">
        <v>36</v>
      </c>
      <c r="I16320">
        <v>454</v>
      </c>
      <c r="J16320">
        <v>1</v>
      </c>
      <c r="K16320">
        <v>38</v>
      </c>
      <c r="L16320">
        <v>470</v>
      </c>
      <c r="M16320">
        <v>1</v>
      </c>
      <c r="N16320">
        <v>0</v>
      </c>
      <c r="O16320">
        <v>1666</v>
      </c>
    </row>
    <row r="16321" spans="1:15" x14ac:dyDescent="0.25">
      <c r="A16321" t="s">
        <v>16334</v>
      </c>
      <c r="B16321">
        <v>430</v>
      </c>
      <c r="C16321" s="1" t="str">
        <f>HYPERLINK("http://www.rosaceae.org/gb/gbrowse/malus_x_domestica/?name=MDP0000263094","MDP0000263094")</f>
        <v>MDP0000263094</v>
      </c>
      <c r="D16321">
        <v>49.01</v>
      </c>
      <c r="E16321">
        <v>408</v>
      </c>
      <c r="F16321">
        <v>208</v>
      </c>
      <c r="G16321">
        <v>35</v>
      </c>
      <c r="H16321">
        <v>37</v>
      </c>
      <c r="I16321">
        <v>430</v>
      </c>
      <c r="J16321">
        <v>1</v>
      </c>
      <c r="K16321">
        <v>471</v>
      </c>
      <c r="L16321">
        <v>857</v>
      </c>
      <c r="M16321">
        <v>1</v>
      </c>
      <c r="N16321">
        <v>9.0315999999999999E-89</v>
      </c>
      <c r="O16321">
        <v>831</v>
      </c>
    </row>
    <row r="16322" spans="1:15" x14ac:dyDescent="0.25">
      <c r="A16322" t="s">
        <v>16335</v>
      </c>
      <c r="B16322">
        <v>874</v>
      </c>
      <c r="C16322" s="1" t="str">
        <f>HYPERLINK("http://www.rosaceae.org/gb/gbrowse/malus_x_domestica/?name=MDP0000291677","MDP0000291677")</f>
        <v>MDP0000291677</v>
      </c>
      <c r="D16322">
        <v>43.2</v>
      </c>
      <c r="E16322">
        <v>81</v>
      </c>
      <c r="F16322">
        <v>46</v>
      </c>
      <c r="G16322">
        <v>9</v>
      </c>
      <c r="H16322">
        <v>149</v>
      </c>
      <c r="I16322">
        <v>222</v>
      </c>
      <c r="J16322">
        <v>1</v>
      </c>
      <c r="K16322">
        <v>257</v>
      </c>
      <c r="L16322">
        <v>335</v>
      </c>
      <c r="M16322">
        <v>1</v>
      </c>
      <c r="N16322">
        <v>2.0552300000000001E-8</v>
      </c>
      <c r="O16322">
        <v>141</v>
      </c>
    </row>
    <row r="16323" spans="1:15" x14ac:dyDescent="0.25">
      <c r="A16323" t="s">
        <v>16336</v>
      </c>
      <c r="B16323">
        <v>415</v>
      </c>
      <c r="C16323" s="1" t="str">
        <f>HYPERLINK("http://www.rosaceae.org/gb/gbrowse/malus_x_domestica/?name=MDP0000171771","MDP0000171771")</f>
        <v>MDP0000171771</v>
      </c>
      <c r="D16323">
        <v>43.67</v>
      </c>
      <c r="E16323">
        <v>158</v>
      </c>
      <c r="F16323">
        <v>89</v>
      </c>
      <c r="G16323">
        <v>20</v>
      </c>
      <c r="H16323">
        <v>9</v>
      </c>
      <c r="I16323">
        <v>152</v>
      </c>
      <c r="J16323">
        <v>1</v>
      </c>
      <c r="K16323">
        <v>27</v>
      </c>
      <c r="L16323">
        <v>178</v>
      </c>
      <c r="M16323">
        <v>1</v>
      </c>
      <c r="N16323">
        <v>7.0048300000000004E-25</v>
      </c>
      <c r="O16323">
        <v>280</v>
      </c>
    </row>
    <row r="16324" spans="1:15" x14ac:dyDescent="0.25">
      <c r="A16324" t="s">
        <v>16337</v>
      </c>
      <c r="B16324">
        <v>1083</v>
      </c>
      <c r="C16324" s="1" t="str">
        <f>HYPERLINK("http://www.rosaceae.org/gb/gbrowse/malus_x_domestica/?name=MDP0000538670","MDP0000538670")</f>
        <v>MDP0000538670</v>
      </c>
      <c r="D16324">
        <v>89.16</v>
      </c>
      <c r="E16324">
        <v>941</v>
      </c>
      <c r="F16324">
        <v>102</v>
      </c>
      <c r="G16324">
        <v>2</v>
      </c>
      <c r="H16324">
        <v>145</v>
      </c>
      <c r="I16324">
        <v>1083</v>
      </c>
      <c r="J16324">
        <v>1</v>
      </c>
      <c r="K16324">
        <v>86</v>
      </c>
      <c r="L16324">
        <v>1026</v>
      </c>
      <c r="M16324">
        <v>1</v>
      </c>
      <c r="N16324">
        <v>0</v>
      </c>
      <c r="O16324">
        <v>4383</v>
      </c>
    </row>
    <row r="16325" spans="1:15" x14ac:dyDescent="0.25">
      <c r="A16325" t="s">
        <v>16338</v>
      </c>
      <c r="B16325">
        <v>391</v>
      </c>
      <c r="C16325" s="1" t="str">
        <f>HYPERLINK("http://www.rosaceae.org/gb/gbrowse/malus_x_domestica/?name=MDP0000276291","MDP0000276291")</f>
        <v>MDP0000276291</v>
      </c>
      <c r="D16325">
        <v>33.58</v>
      </c>
      <c r="E16325">
        <v>262</v>
      </c>
      <c r="F16325">
        <v>174</v>
      </c>
      <c r="G16325">
        <v>44</v>
      </c>
      <c r="H16325">
        <v>13</v>
      </c>
      <c r="I16325">
        <v>242</v>
      </c>
      <c r="J16325">
        <v>1</v>
      </c>
      <c r="K16325">
        <v>9</v>
      </c>
      <c r="L16325">
        <v>258</v>
      </c>
      <c r="M16325">
        <v>1</v>
      </c>
      <c r="N16325">
        <v>4.8178700000000001E-26</v>
      </c>
      <c r="O16325">
        <v>290</v>
      </c>
    </row>
    <row r="16326" spans="1:15" x14ac:dyDescent="0.25">
      <c r="A16326" t="s">
        <v>16339</v>
      </c>
      <c r="B16326">
        <v>138</v>
      </c>
      <c r="C16326" s="1" t="str">
        <f>HYPERLINK("http://www.rosaceae.org/gb/gbrowse/malus_x_domestica/?name=MDP0000157130","MDP0000157130")</f>
        <v>MDP0000157130</v>
      </c>
      <c r="D16326">
        <v>89.89</v>
      </c>
      <c r="E16326">
        <v>99</v>
      </c>
      <c r="F16326">
        <v>10</v>
      </c>
      <c r="G16326">
        <v>0</v>
      </c>
      <c r="H16326">
        <v>40</v>
      </c>
      <c r="I16326">
        <v>138</v>
      </c>
      <c r="J16326">
        <v>1</v>
      </c>
      <c r="K16326">
        <v>196</v>
      </c>
      <c r="L16326">
        <v>294</v>
      </c>
      <c r="M16326">
        <v>1</v>
      </c>
      <c r="N16326">
        <v>3.6822900000000001E-50</v>
      </c>
      <c r="O16326">
        <v>491</v>
      </c>
    </row>
    <row r="16327" spans="1:15" x14ac:dyDescent="0.25">
      <c r="A16327" t="s">
        <v>16340</v>
      </c>
      <c r="B16327">
        <v>183</v>
      </c>
      <c r="C16327" s="1" t="str">
        <f>HYPERLINK("http://www.rosaceae.org/gb/gbrowse/malus_x_domestica/?name=MDP0000142126","MDP0000142126")</f>
        <v>MDP0000142126</v>
      </c>
      <c r="D16327">
        <v>53.03</v>
      </c>
      <c r="E16327">
        <v>181</v>
      </c>
      <c r="F16327">
        <v>85</v>
      </c>
      <c r="G16327">
        <v>24</v>
      </c>
      <c r="H16327">
        <v>2</v>
      </c>
      <c r="I16327">
        <v>182</v>
      </c>
      <c r="J16327">
        <v>1</v>
      </c>
      <c r="K16327">
        <v>3</v>
      </c>
      <c r="L16327">
        <v>159</v>
      </c>
      <c r="M16327">
        <v>1</v>
      </c>
      <c r="N16327">
        <v>4.6514099999999996E-47</v>
      </c>
      <c r="O16327">
        <v>467</v>
      </c>
    </row>
    <row r="16328" spans="1:15" x14ac:dyDescent="0.25">
      <c r="A16328" t="s">
        <v>16341</v>
      </c>
      <c r="B16328">
        <v>591</v>
      </c>
      <c r="C16328" s="1" t="str">
        <f>HYPERLINK("http://www.rosaceae.org/gb/gbrowse/malus_x_domestica/?name=MDP0000189786","MDP0000189786")</f>
        <v>MDP0000189786</v>
      </c>
      <c r="D16328">
        <v>65.099999999999994</v>
      </c>
      <c r="E16328">
        <v>619</v>
      </c>
      <c r="F16328">
        <v>216</v>
      </c>
      <c r="G16328">
        <v>50</v>
      </c>
      <c r="H16328">
        <v>7</v>
      </c>
      <c r="I16328">
        <v>591</v>
      </c>
      <c r="J16328">
        <v>1</v>
      </c>
      <c r="K16328">
        <v>1</v>
      </c>
      <c r="L16328">
        <v>603</v>
      </c>
      <c r="M16328">
        <v>1</v>
      </c>
      <c r="N16328">
        <v>0</v>
      </c>
      <c r="O16328">
        <v>1998</v>
      </c>
    </row>
    <row r="16329" spans="1:15" x14ac:dyDescent="0.25">
      <c r="A16329" t="s">
        <v>16342</v>
      </c>
      <c r="B16329">
        <v>408</v>
      </c>
      <c r="C16329" s="1" t="str">
        <f>HYPERLINK("http://www.rosaceae.org/gb/gbrowse/malus_x_domestica/?name=MDP0000361567","MDP0000361567")</f>
        <v>MDP0000361567</v>
      </c>
      <c r="D16329">
        <v>95.2</v>
      </c>
      <c r="E16329">
        <v>146</v>
      </c>
      <c r="F16329">
        <v>7</v>
      </c>
      <c r="G16329">
        <v>0</v>
      </c>
      <c r="H16329">
        <v>1</v>
      </c>
      <c r="I16329">
        <v>146</v>
      </c>
      <c r="J16329">
        <v>1</v>
      </c>
      <c r="K16329">
        <v>30</v>
      </c>
      <c r="L16329">
        <v>175</v>
      </c>
      <c r="M16329">
        <v>1</v>
      </c>
      <c r="N16329">
        <v>2.1681199999999999E-77</v>
      </c>
      <c r="O16329">
        <v>733</v>
      </c>
    </row>
    <row r="16330" spans="1:15" x14ac:dyDescent="0.25">
      <c r="A16330" t="s">
        <v>16343</v>
      </c>
      <c r="B16330">
        <v>189</v>
      </c>
      <c r="C16330" s="1" t="str">
        <f>HYPERLINK("http://www.rosaceae.org/gb/gbrowse/malus_x_domestica/?name=MDP0000343535","MDP0000343535")</f>
        <v>MDP0000343535</v>
      </c>
      <c r="D16330">
        <v>46.01</v>
      </c>
      <c r="E16330">
        <v>113</v>
      </c>
      <c r="F16330">
        <v>61</v>
      </c>
      <c r="G16330">
        <v>1</v>
      </c>
      <c r="H16330">
        <v>75</v>
      </c>
      <c r="I16330">
        <v>186</v>
      </c>
      <c r="J16330">
        <v>1</v>
      </c>
      <c r="K16330">
        <v>1</v>
      </c>
      <c r="L16330">
        <v>113</v>
      </c>
      <c r="M16330">
        <v>1</v>
      </c>
      <c r="N16330">
        <v>4.46772E-23</v>
      </c>
      <c r="O16330">
        <v>260</v>
      </c>
    </row>
    <row r="16331" spans="1:15" x14ac:dyDescent="0.25">
      <c r="A16331" t="s">
        <v>16344</v>
      </c>
      <c r="B16331">
        <v>541</v>
      </c>
      <c r="C16331" s="1" t="str">
        <f>HYPERLINK("http://www.rosaceae.org/gb/gbrowse/malus_x_domestica/?name=MDP0000920921","MDP0000920921")</f>
        <v>MDP0000920921</v>
      </c>
      <c r="D16331">
        <v>76.64</v>
      </c>
      <c r="E16331">
        <v>561</v>
      </c>
      <c r="F16331">
        <v>131</v>
      </c>
      <c r="G16331">
        <v>30</v>
      </c>
      <c r="H16331">
        <v>1</v>
      </c>
      <c r="I16331">
        <v>541</v>
      </c>
      <c r="J16331">
        <v>1</v>
      </c>
      <c r="K16331">
        <v>2</v>
      </c>
      <c r="L16331">
        <v>552</v>
      </c>
      <c r="M16331">
        <v>1</v>
      </c>
      <c r="N16331">
        <v>0</v>
      </c>
      <c r="O16331">
        <v>2239</v>
      </c>
    </row>
    <row r="16332" spans="1:15" x14ac:dyDescent="0.25">
      <c r="A16332" t="s">
        <v>16345</v>
      </c>
      <c r="B16332">
        <v>203</v>
      </c>
      <c r="C16332" s="1" t="str">
        <f>HYPERLINK("http://www.rosaceae.org/gb/gbrowse/malus_x_domestica/?name=MDP0000293203","MDP0000293203")</f>
        <v>MDP0000293203</v>
      </c>
      <c r="D16332">
        <v>47.78</v>
      </c>
      <c r="E16332">
        <v>203</v>
      </c>
      <c r="F16332">
        <v>106</v>
      </c>
      <c r="G16332">
        <v>8</v>
      </c>
      <c r="H16332">
        <v>3</v>
      </c>
      <c r="I16332">
        <v>203</v>
      </c>
      <c r="J16332">
        <v>1</v>
      </c>
      <c r="K16332">
        <v>2</v>
      </c>
      <c r="L16332">
        <v>198</v>
      </c>
      <c r="M16332">
        <v>1</v>
      </c>
      <c r="N16332">
        <v>1.4792599999999999E-41</v>
      </c>
      <c r="O16332">
        <v>420</v>
      </c>
    </row>
    <row r="16333" spans="1:15" x14ac:dyDescent="0.25">
      <c r="A16333" t="s">
        <v>16346</v>
      </c>
      <c r="B16333">
        <v>280</v>
      </c>
      <c r="C16333" s="1" t="str">
        <f>HYPERLINK("http://www.rosaceae.org/gb/gbrowse/malus_x_domestica/?name=MDP0000142574","MDP0000142574")</f>
        <v>MDP0000142574</v>
      </c>
      <c r="D16333">
        <v>75.94</v>
      </c>
      <c r="E16333">
        <v>212</v>
      </c>
      <c r="F16333">
        <v>51</v>
      </c>
      <c r="G16333">
        <v>7</v>
      </c>
      <c r="H16333">
        <v>1</v>
      </c>
      <c r="I16333">
        <v>212</v>
      </c>
      <c r="J16333">
        <v>1</v>
      </c>
      <c r="K16333">
        <v>1</v>
      </c>
      <c r="L16333">
        <v>205</v>
      </c>
      <c r="M16333">
        <v>1</v>
      </c>
      <c r="N16333">
        <v>1.08451E-90</v>
      </c>
      <c r="O16333">
        <v>846</v>
      </c>
    </row>
    <row r="16334" spans="1:15" x14ac:dyDescent="0.25">
      <c r="A16334" t="s">
        <v>16347</v>
      </c>
      <c r="B16334">
        <v>676</v>
      </c>
      <c r="C16334" s="1" t="str">
        <f>HYPERLINK("http://www.rosaceae.org/gb/gbrowse/malus_x_domestica/?name=MDP0000318702","MDP0000318702")</f>
        <v>MDP0000318702</v>
      </c>
      <c r="D16334">
        <v>55.09</v>
      </c>
      <c r="E16334">
        <v>648</v>
      </c>
      <c r="F16334">
        <v>291</v>
      </c>
      <c r="G16334">
        <v>25</v>
      </c>
      <c r="H16334">
        <v>13</v>
      </c>
      <c r="I16334">
        <v>642</v>
      </c>
      <c r="J16334">
        <v>1</v>
      </c>
      <c r="K16334">
        <v>36</v>
      </c>
      <c r="L16334">
        <v>676</v>
      </c>
      <c r="M16334">
        <v>1</v>
      </c>
      <c r="N16334">
        <v>0</v>
      </c>
      <c r="O16334">
        <v>1694</v>
      </c>
    </row>
    <row r="16335" spans="1:15" x14ac:dyDescent="0.25">
      <c r="A16335" t="s">
        <v>16348</v>
      </c>
      <c r="B16335">
        <v>584</v>
      </c>
      <c r="C16335" s="1" t="str">
        <f>HYPERLINK("http://www.rosaceae.org/gb/gbrowse/malus_x_domestica/?name=MDP0000262910","MDP0000262910")</f>
        <v>MDP0000262910</v>
      </c>
      <c r="D16335">
        <v>62.63</v>
      </c>
      <c r="E16335">
        <v>455</v>
      </c>
      <c r="F16335">
        <v>170</v>
      </c>
      <c r="G16335">
        <v>8</v>
      </c>
      <c r="H16335">
        <v>101</v>
      </c>
      <c r="I16335">
        <v>553</v>
      </c>
      <c r="J16335">
        <v>1</v>
      </c>
      <c r="K16335">
        <v>95</v>
      </c>
      <c r="L16335">
        <v>543</v>
      </c>
      <c r="M16335">
        <v>1</v>
      </c>
      <c r="N16335">
        <v>7.0536299999999998E-150</v>
      </c>
      <c r="O16335">
        <v>1360</v>
      </c>
    </row>
    <row r="16336" spans="1:15" x14ac:dyDescent="0.25">
      <c r="A16336" t="s">
        <v>16349</v>
      </c>
      <c r="B16336">
        <v>1154</v>
      </c>
      <c r="C16336" s="1" t="str">
        <f>HYPERLINK("http://www.rosaceae.org/gb/gbrowse/malus_x_domestica/?name=MDP0000230664","MDP0000230664")</f>
        <v>MDP0000230664</v>
      </c>
      <c r="D16336">
        <v>75.430000000000007</v>
      </c>
      <c r="E16336">
        <v>696</v>
      </c>
      <c r="F16336">
        <v>171</v>
      </c>
      <c r="G16336">
        <v>32</v>
      </c>
      <c r="H16336">
        <v>6</v>
      </c>
      <c r="I16336">
        <v>670</v>
      </c>
      <c r="J16336">
        <v>1</v>
      </c>
      <c r="K16336">
        <v>59</v>
      </c>
      <c r="L16336">
        <v>753</v>
      </c>
      <c r="M16336">
        <v>1</v>
      </c>
      <c r="N16336">
        <v>0</v>
      </c>
      <c r="O16336">
        <v>2677</v>
      </c>
    </row>
    <row r="16337" spans="1:15" x14ac:dyDescent="0.25">
      <c r="A16337" t="s">
        <v>16350</v>
      </c>
      <c r="B16337">
        <v>212</v>
      </c>
      <c r="C16337" s="1" t="str">
        <f>HYPERLINK("http://www.rosaceae.org/gb/gbrowse/malus_x_domestica/?name=MDP0000397306","MDP0000397306")</f>
        <v>MDP0000397306</v>
      </c>
      <c r="D16337">
        <v>56.02</v>
      </c>
      <c r="E16337">
        <v>191</v>
      </c>
      <c r="F16337">
        <v>84</v>
      </c>
      <c r="G16337">
        <v>1</v>
      </c>
      <c r="H16337">
        <v>22</v>
      </c>
      <c r="I16337">
        <v>212</v>
      </c>
      <c r="J16337">
        <v>1</v>
      </c>
      <c r="K16337">
        <v>20</v>
      </c>
      <c r="L16337">
        <v>209</v>
      </c>
      <c r="M16337">
        <v>1</v>
      </c>
      <c r="N16337">
        <v>8.6482299999999996E-62</v>
      </c>
      <c r="O16337">
        <v>595</v>
      </c>
    </row>
    <row r="16338" spans="1:15" x14ac:dyDescent="0.25">
      <c r="A16338" t="s">
        <v>16351</v>
      </c>
      <c r="B16338">
        <v>513</v>
      </c>
      <c r="C16338" s="1" t="str">
        <f>HYPERLINK("http://www.rosaceae.org/gb/gbrowse/malus_x_domestica/?name=MDP0000219521","MDP0000219521")</f>
        <v>MDP0000219521</v>
      </c>
      <c r="D16338">
        <v>78.69</v>
      </c>
      <c r="E16338">
        <v>521</v>
      </c>
      <c r="F16338">
        <v>111</v>
      </c>
      <c r="G16338">
        <v>8</v>
      </c>
      <c r="H16338">
        <v>1</v>
      </c>
      <c r="I16338">
        <v>513</v>
      </c>
      <c r="J16338">
        <v>1</v>
      </c>
      <c r="K16338">
        <v>1</v>
      </c>
      <c r="L16338">
        <v>521</v>
      </c>
      <c r="M16338">
        <v>1</v>
      </c>
      <c r="N16338">
        <v>0</v>
      </c>
      <c r="O16338">
        <v>2233</v>
      </c>
    </row>
    <row r="16339" spans="1:15" x14ac:dyDescent="0.25">
      <c r="A16339" t="s">
        <v>16352</v>
      </c>
      <c r="B16339">
        <v>541</v>
      </c>
      <c r="C16339" s="1" t="str">
        <f>HYPERLINK("http://www.rosaceae.org/gb/gbrowse/malus_x_domestica/?name=MDP0000261435","MDP0000261435")</f>
        <v>MDP0000261435</v>
      </c>
      <c r="D16339">
        <v>81.02</v>
      </c>
      <c r="E16339">
        <v>548</v>
      </c>
      <c r="F16339">
        <v>104</v>
      </c>
      <c r="G16339">
        <v>10</v>
      </c>
      <c r="H16339">
        <v>1</v>
      </c>
      <c r="I16339">
        <v>541</v>
      </c>
      <c r="J16339">
        <v>1</v>
      </c>
      <c r="K16339">
        <v>3</v>
      </c>
      <c r="L16339">
        <v>547</v>
      </c>
      <c r="M16339">
        <v>1</v>
      </c>
      <c r="N16339">
        <v>0</v>
      </c>
      <c r="O16339">
        <v>2270</v>
      </c>
    </row>
    <row r="16340" spans="1:15" x14ac:dyDescent="0.25">
      <c r="A16340" t="s">
        <v>16353</v>
      </c>
      <c r="B16340">
        <v>476</v>
      </c>
      <c r="C16340" s="1" t="str">
        <f>HYPERLINK("http://www.rosaceae.org/gb/gbrowse/malus_x_domestica/?name=MDP0000339213","MDP0000339213")</f>
        <v>MDP0000339213</v>
      </c>
      <c r="D16340">
        <v>98.13</v>
      </c>
      <c r="E16340">
        <v>215</v>
      </c>
      <c r="F16340">
        <v>4</v>
      </c>
      <c r="G16340">
        <v>0</v>
      </c>
      <c r="H16340">
        <v>262</v>
      </c>
      <c r="I16340">
        <v>476</v>
      </c>
      <c r="J16340">
        <v>1</v>
      </c>
      <c r="K16340">
        <v>1</v>
      </c>
      <c r="L16340">
        <v>215</v>
      </c>
      <c r="M16340">
        <v>1</v>
      </c>
      <c r="N16340">
        <v>1.1023399999999999E-124</v>
      </c>
      <c r="O16340">
        <v>1142</v>
      </c>
    </row>
    <row r="16341" spans="1:15" x14ac:dyDescent="0.25">
      <c r="A16341" t="s">
        <v>16354</v>
      </c>
      <c r="B16341">
        <v>851</v>
      </c>
      <c r="C16341" s="1" t="str">
        <f>HYPERLINK("http://www.rosaceae.org/gb/gbrowse/malus_x_domestica/?name=MDP0000281474","MDP0000281474")</f>
        <v>MDP0000281474</v>
      </c>
      <c r="D16341">
        <v>73.180000000000007</v>
      </c>
      <c r="E16341">
        <v>772</v>
      </c>
      <c r="F16341">
        <v>207</v>
      </c>
      <c r="G16341">
        <v>90</v>
      </c>
      <c r="H16341">
        <v>50</v>
      </c>
      <c r="I16341">
        <v>805</v>
      </c>
      <c r="J16341">
        <v>1</v>
      </c>
      <c r="K16341">
        <v>117</v>
      </c>
      <c r="L16341">
        <v>814</v>
      </c>
      <c r="M16341">
        <v>1</v>
      </c>
      <c r="N16341">
        <v>0</v>
      </c>
      <c r="O16341">
        <v>2754</v>
      </c>
    </row>
    <row r="16342" spans="1:15" x14ac:dyDescent="0.25">
      <c r="A16342" t="s">
        <v>16355</v>
      </c>
      <c r="B16342">
        <v>1016</v>
      </c>
      <c r="C16342" s="1" t="str">
        <f>HYPERLINK("http://www.rosaceae.org/gb/gbrowse/malus_x_domestica/?name=MDP0000297888","MDP0000297888")</f>
        <v>MDP0000297888</v>
      </c>
      <c r="D16342">
        <v>74.11</v>
      </c>
      <c r="E16342">
        <v>985</v>
      </c>
      <c r="F16342">
        <v>255</v>
      </c>
      <c r="G16342">
        <v>0</v>
      </c>
      <c r="H16342">
        <v>32</v>
      </c>
      <c r="I16342">
        <v>1016</v>
      </c>
      <c r="J16342">
        <v>1</v>
      </c>
      <c r="K16342">
        <v>126</v>
      </c>
      <c r="L16342">
        <v>1110</v>
      </c>
      <c r="M16342">
        <v>1</v>
      </c>
      <c r="N16342">
        <v>0</v>
      </c>
      <c r="O16342">
        <v>3844</v>
      </c>
    </row>
    <row r="16343" spans="1:15" x14ac:dyDescent="0.25">
      <c r="A16343" t="s">
        <v>16356</v>
      </c>
      <c r="B16343">
        <v>291</v>
      </c>
      <c r="C16343" s="1" t="str">
        <f>HYPERLINK("http://www.rosaceae.org/gb/gbrowse/malus_x_domestica/?name=MDP0000140568","MDP0000140568")</f>
        <v>MDP0000140568</v>
      </c>
      <c r="D16343">
        <v>41.93</v>
      </c>
      <c r="E16343">
        <v>155</v>
      </c>
      <c r="F16343">
        <v>90</v>
      </c>
      <c r="G16343">
        <v>23</v>
      </c>
      <c r="H16343">
        <v>15</v>
      </c>
      <c r="I16343">
        <v>153</v>
      </c>
      <c r="J16343">
        <v>1</v>
      </c>
      <c r="K16343">
        <v>8</v>
      </c>
      <c r="L16343">
        <v>155</v>
      </c>
      <c r="M16343">
        <v>1</v>
      </c>
      <c r="N16343">
        <v>1.5844399999999999E-23</v>
      </c>
      <c r="O16343">
        <v>267</v>
      </c>
    </row>
    <row r="16344" spans="1:15" x14ac:dyDescent="0.25">
      <c r="A16344" t="s">
        <v>16357</v>
      </c>
      <c r="B16344">
        <v>555</v>
      </c>
      <c r="C16344" s="1" t="str">
        <f>HYPERLINK("http://www.rosaceae.org/gb/gbrowse/malus_x_domestica/?name=MDP0000305677","MDP0000305677")</f>
        <v>MDP0000305677</v>
      </c>
      <c r="D16344">
        <v>58.91</v>
      </c>
      <c r="E16344">
        <v>387</v>
      </c>
      <c r="F16344">
        <v>159</v>
      </c>
      <c r="G16344">
        <v>55</v>
      </c>
      <c r="H16344">
        <v>1</v>
      </c>
      <c r="I16344">
        <v>367</v>
      </c>
      <c r="J16344">
        <v>1</v>
      </c>
      <c r="K16344">
        <v>1</v>
      </c>
      <c r="L16344">
        <v>352</v>
      </c>
      <c r="M16344">
        <v>1</v>
      </c>
      <c r="N16344">
        <v>1.25093E-114</v>
      </c>
      <c r="O16344">
        <v>1055</v>
      </c>
    </row>
    <row r="16345" spans="1:15" x14ac:dyDescent="0.25">
      <c r="A16345" t="s">
        <v>16358</v>
      </c>
      <c r="B16345">
        <v>252</v>
      </c>
      <c r="C16345" s="1" t="str">
        <f>HYPERLINK("http://www.rosaceae.org/gb/gbrowse/malus_x_domestica/?name=MDP0000319671","MDP0000319671")</f>
        <v>MDP0000319671</v>
      </c>
      <c r="D16345">
        <v>53.45</v>
      </c>
      <c r="E16345">
        <v>275</v>
      </c>
      <c r="F16345">
        <v>128</v>
      </c>
      <c r="G16345">
        <v>30</v>
      </c>
      <c r="H16345">
        <v>2</v>
      </c>
      <c r="I16345">
        <v>252</v>
      </c>
      <c r="J16345">
        <v>1</v>
      </c>
      <c r="K16345">
        <v>352</v>
      </c>
      <c r="L16345">
        <v>620</v>
      </c>
      <c r="M16345">
        <v>1</v>
      </c>
      <c r="N16345">
        <v>6.9658500000000002E-56</v>
      </c>
      <c r="O16345">
        <v>545</v>
      </c>
    </row>
    <row r="16346" spans="1:15" x14ac:dyDescent="0.25">
      <c r="A16346" t="s">
        <v>16359</v>
      </c>
      <c r="B16346">
        <v>328</v>
      </c>
      <c r="C16346" s="1" t="str">
        <f>HYPERLINK("http://www.rosaceae.org/gb/gbrowse/malus_x_domestica/?name=MDP0000564897","MDP0000564897")</f>
        <v>MDP0000564897</v>
      </c>
      <c r="D16346">
        <v>71.89</v>
      </c>
      <c r="E16346">
        <v>338</v>
      </c>
      <c r="F16346">
        <v>95</v>
      </c>
      <c r="G16346">
        <v>19</v>
      </c>
      <c r="H16346">
        <v>1</v>
      </c>
      <c r="I16346">
        <v>328</v>
      </c>
      <c r="J16346">
        <v>1</v>
      </c>
      <c r="K16346">
        <v>1</v>
      </c>
      <c r="L16346">
        <v>329</v>
      </c>
      <c r="M16346">
        <v>1</v>
      </c>
      <c r="N16346">
        <v>7.9963699999999998E-125</v>
      </c>
      <c r="O16346">
        <v>1141</v>
      </c>
    </row>
    <row r="16347" spans="1:15" x14ac:dyDescent="0.25">
      <c r="A16347" t="s">
        <v>16360</v>
      </c>
      <c r="B16347">
        <v>218</v>
      </c>
      <c r="C16347" s="1" t="str">
        <f>HYPERLINK("http://www.rosaceae.org/gb/gbrowse/malus_x_domestica/?name=MDP0000515695","MDP0000515695")</f>
        <v>MDP0000515695</v>
      </c>
      <c r="D16347">
        <v>55.5</v>
      </c>
      <c r="E16347">
        <v>227</v>
      </c>
      <c r="F16347">
        <v>101</v>
      </c>
      <c r="G16347">
        <v>29</v>
      </c>
      <c r="H16347">
        <v>20</v>
      </c>
      <c r="I16347">
        <v>218</v>
      </c>
      <c r="J16347">
        <v>1</v>
      </c>
      <c r="K16347">
        <v>45</v>
      </c>
      <c r="L16347">
        <v>270</v>
      </c>
      <c r="M16347">
        <v>1</v>
      </c>
      <c r="N16347">
        <v>1.40793E-55</v>
      </c>
      <c r="O16347">
        <v>541</v>
      </c>
    </row>
    <row r="16348" spans="1:15" x14ac:dyDescent="0.25">
      <c r="A16348" t="s">
        <v>16361</v>
      </c>
      <c r="B16348">
        <v>840</v>
      </c>
      <c r="C16348" s="1" t="str">
        <f>HYPERLINK("http://www.rosaceae.org/gb/gbrowse/malus_x_domestica/?name=MDP0000555752","MDP0000555752")</f>
        <v>MDP0000555752</v>
      </c>
      <c r="D16348">
        <v>64.760000000000005</v>
      </c>
      <c r="E16348">
        <v>193</v>
      </c>
      <c r="F16348">
        <v>68</v>
      </c>
      <c r="G16348">
        <v>1</v>
      </c>
      <c r="H16348">
        <v>392</v>
      </c>
      <c r="I16348">
        <v>583</v>
      </c>
      <c r="J16348">
        <v>1</v>
      </c>
      <c r="K16348">
        <v>262</v>
      </c>
      <c r="L16348">
        <v>454</v>
      </c>
      <c r="M16348">
        <v>1</v>
      </c>
      <c r="N16348">
        <v>7.7692499999999997E-70</v>
      </c>
      <c r="O16348">
        <v>671</v>
      </c>
    </row>
    <row r="16349" spans="1:15" x14ac:dyDescent="0.25">
      <c r="A16349" t="s">
        <v>16362</v>
      </c>
      <c r="B16349">
        <v>882</v>
      </c>
      <c r="C16349" s="1" t="str">
        <f>HYPERLINK("http://www.rosaceae.org/gb/gbrowse/malus_x_domestica/?name=MDP0000220580","MDP0000220580")</f>
        <v>MDP0000220580</v>
      </c>
      <c r="D16349">
        <v>44.89</v>
      </c>
      <c r="E16349">
        <v>695</v>
      </c>
      <c r="F16349">
        <v>383</v>
      </c>
      <c r="G16349">
        <v>72</v>
      </c>
      <c r="H16349">
        <v>215</v>
      </c>
      <c r="I16349">
        <v>863</v>
      </c>
      <c r="J16349">
        <v>1</v>
      </c>
      <c r="K16349">
        <v>465</v>
      </c>
      <c r="L16349">
        <v>1133</v>
      </c>
      <c r="M16349">
        <v>1</v>
      </c>
      <c r="N16349">
        <v>1.4640899999999999E-149</v>
      </c>
      <c r="O16349">
        <v>1359</v>
      </c>
    </row>
    <row r="16350" spans="1:15" x14ac:dyDescent="0.25">
      <c r="A16350" t="s">
        <v>16363</v>
      </c>
      <c r="B16350">
        <v>562</v>
      </c>
      <c r="C16350" s="1" t="str">
        <f>HYPERLINK("http://www.rosaceae.org/gb/gbrowse/malus_x_domestica/?name=MDP0000317729","MDP0000317729")</f>
        <v>MDP0000317729</v>
      </c>
      <c r="D16350">
        <v>78.709999999999994</v>
      </c>
      <c r="E16350">
        <v>451</v>
      </c>
      <c r="F16350">
        <v>96</v>
      </c>
      <c r="G16350">
        <v>0</v>
      </c>
      <c r="H16350">
        <v>110</v>
      </c>
      <c r="I16350">
        <v>560</v>
      </c>
      <c r="J16350">
        <v>1</v>
      </c>
      <c r="K16350">
        <v>1</v>
      </c>
      <c r="L16350">
        <v>451</v>
      </c>
      <c r="M16350">
        <v>1</v>
      </c>
      <c r="N16350">
        <v>0</v>
      </c>
      <c r="O16350">
        <v>1888</v>
      </c>
    </row>
    <row r="16351" spans="1:15" x14ac:dyDescent="0.25">
      <c r="A16351" t="s">
        <v>16364</v>
      </c>
      <c r="B16351">
        <v>527</v>
      </c>
      <c r="C16351" s="1" t="str">
        <f>HYPERLINK("http://www.rosaceae.org/gb/gbrowse/malus_x_domestica/?name=MDP0000239038","MDP0000239038")</f>
        <v>MDP0000239038</v>
      </c>
      <c r="D16351">
        <v>69.94</v>
      </c>
      <c r="E16351">
        <v>549</v>
      </c>
      <c r="F16351">
        <v>165</v>
      </c>
      <c r="G16351">
        <v>25</v>
      </c>
      <c r="H16351">
        <v>4</v>
      </c>
      <c r="I16351">
        <v>527</v>
      </c>
      <c r="J16351">
        <v>1</v>
      </c>
      <c r="K16351">
        <v>8</v>
      </c>
      <c r="L16351">
        <v>556</v>
      </c>
      <c r="M16351">
        <v>1</v>
      </c>
      <c r="N16351">
        <v>0</v>
      </c>
      <c r="O16351">
        <v>2061</v>
      </c>
    </row>
    <row r="16352" spans="1:15" x14ac:dyDescent="0.25">
      <c r="A16352" t="s">
        <v>16365</v>
      </c>
      <c r="B16352">
        <v>558</v>
      </c>
      <c r="C16352" s="1" t="str">
        <f>HYPERLINK("http://www.rosaceae.org/gb/gbrowse/malus_x_domestica/?name=MDP0000293317","MDP0000293317")</f>
        <v>MDP0000293317</v>
      </c>
      <c r="D16352">
        <v>81.099999999999994</v>
      </c>
      <c r="E16352">
        <v>561</v>
      </c>
      <c r="F16352">
        <v>106</v>
      </c>
      <c r="G16352">
        <v>5</v>
      </c>
      <c r="H16352">
        <v>1</v>
      </c>
      <c r="I16352">
        <v>558</v>
      </c>
      <c r="J16352">
        <v>1</v>
      </c>
      <c r="K16352">
        <v>1</v>
      </c>
      <c r="L16352">
        <v>559</v>
      </c>
      <c r="M16352">
        <v>1</v>
      </c>
      <c r="N16352">
        <v>0</v>
      </c>
      <c r="O16352">
        <v>2401</v>
      </c>
    </row>
    <row r="16353" spans="1:15" x14ac:dyDescent="0.25">
      <c r="A16353" t="s">
        <v>16366</v>
      </c>
      <c r="B16353">
        <v>219</v>
      </c>
      <c r="C16353" s="1" t="str">
        <f>HYPERLINK("http://www.rosaceae.org/gb/gbrowse/malus_x_domestica/?name=MDP0000299530","MDP0000299530")</f>
        <v>MDP0000299530</v>
      </c>
      <c r="D16353">
        <v>69.900000000000006</v>
      </c>
      <c r="E16353">
        <v>216</v>
      </c>
      <c r="F16353">
        <v>65</v>
      </c>
      <c r="G16353">
        <v>3</v>
      </c>
      <c r="H16353">
        <v>1</v>
      </c>
      <c r="I16353">
        <v>214</v>
      </c>
      <c r="J16353">
        <v>1</v>
      </c>
      <c r="K16353">
        <v>1</v>
      </c>
      <c r="L16353">
        <v>215</v>
      </c>
      <c r="M16353">
        <v>1</v>
      </c>
      <c r="N16353">
        <v>9.9225399999999993E-83</v>
      </c>
      <c r="O16353">
        <v>776</v>
      </c>
    </row>
    <row r="16354" spans="1:15" x14ac:dyDescent="0.25">
      <c r="A16354" t="s">
        <v>16367</v>
      </c>
      <c r="B16354">
        <v>614</v>
      </c>
      <c r="C16354" s="1" t="str">
        <f>HYPERLINK("http://www.rosaceae.org/gb/gbrowse/malus_x_domestica/?name=MDP0000604285","MDP0000604285")</f>
        <v>MDP0000604285</v>
      </c>
      <c r="D16354">
        <v>68.23</v>
      </c>
      <c r="E16354">
        <v>551</v>
      </c>
      <c r="F16354">
        <v>175</v>
      </c>
      <c r="G16354">
        <v>35</v>
      </c>
      <c r="H16354">
        <v>84</v>
      </c>
      <c r="I16354">
        <v>614</v>
      </c>
      <c r="J16354">
        <v>1</v>
      </c>
      <c r="K16354">
        <v>1</v>
      </c>
      <c r="L16354">
        <v>536</v>
      </c>
      <c r="M16354">
        <v>1</v>
      </c>
      <c r="N16354">
        <v>0</v>
      </c>
      <c r="O16354">
        <v>1779</v>
      </c>
    </row>
    <row r="16355" spans="1:15" x14ac:dyDescent="0.25">
      <c r="A16355" t="s">
        <v>16368</v>
      </c>
      <c r="B16355">
        <v>469</v>
      </c>
      <c r="C16355" s="1" t="str">
        <f>HYPERLINK("http://www.rosaceae.org/gb/gbrowse/malus_x_domestica/?name=MDP0000570730","MDP0000570730")</f>
        <v>MDP0000570730</v>
      </c>
      <c r="D16355">
        <v>80.8</v>
      </c>
      <c r="E16355">
        <v>349</v>
      </c>
      <c r="F16355">
        <v>67</v>
      </c>
      <c r="G16355">
        <v>0</v>
      </c>
      <c r="H16355">
        <v>1</v>
      </c>
      <c r="I16355">
        <v>349</v>
      </c>
      <c r="J16355">
        <v>1</v>
      </c>
      <c r="K16355">
        <v>1</v>
      </c>
      <c r="L16355">
        <v>349</v>
      </c>
      <c r="M16355">
        <v>1</v>
      </c>
      <c r="N16355">
        <v>3.8282699999999997E-167</v>
      </c>
      <c r="O16355">
        <v>1508</v>
      </c>
    </row>
    <row r="16356" spans="1:15" x14ac:dyDescent="0.25">
      <c r="A16356" t="s">
        <v>16369</v>
      </c>
      <c r="B16356">
        <v>456</v>
      </c>
      <c r="C16356" s="1" t="str">
        <f>HYPERLINK("http://www.rosaceae.org/gb/gbrowse/malus_x_domestica/?name=MDP0000253535","MDP0000253535")</f>
        <v>MDP0000253535</v>
      </c>
      <c r="D16356">
        <v>50.85</v>
      </c>
      <c r="E16356">
        <v>407</v>
      </c>
      <c r="F16356">
        <v>200</v>
      </c>
      <c r="G16356">
        <v>11</v>
      </c>
      <c r="H16356">
        <v>27</v>
      </c>
      <c r="I16356">
        <v>426</v>
      </c>
      <c r="J16356">
        <v>1</v>
      </c>
      <c r="K16356">
        <v>26</v>
      </c>
      <c r="L16356">
        <v>428</v>
      </c>
      <c r="M16356">
        <v>1</v>
      </c>
      <c r="N16356">
        <v>1.19739E-107</v>
      </c>
      <c r="O16356">
        <v>994</v>
      </c>
    </row>
    <row r="16357" spans="1:15" x14ac:dyDescent="0.25">
      <c r="A16357" t="s">
        <v>16370</v>
      </c>
      <c r="B16357">
        <v>269</v>
      </c>
      <c r="C16357" s="1" t="str">
        <f>HYPERLINK("http://www.rosaceae.org/gb/gbrowse/malus_x_domestica/?name=MDP0000252552","MDP0000252552")</f>
        <v>MDP0000252552</v>
      </c>
      <c r="D16357">
        <v>75.819999999999993</v>
      </c>
      <c r="E16357">
        <v>273</v>
      </c>
      <c r="F16357">
        <v>66</v>
      </c>
      <c r="G16357">
        <v>14</v>
      </c>
      <c r="H16357">
        <v>3</v>
      </c>
      <c r="I16357">
        <v>263</v>
      </c>
      <c r="J16357">
        <v>1</v>
      </c>
      <c r="K16357">
        <v>17</v>
      </c>
      <c r="L16357">
        <v>287</v>
      </c>
      <c r="M16357">
        <v>1</v>
      </c>
      <c r="N16357">
        <v>3.1874199999999999E-123</v>
      </c>
      <c r="O16357">
        <v>1126</v>
      </c>
    </row>
    <row r="16358" spans="1:15" x14ac:dyDescent="0.25">
      <c r="A16358" t="s">
        <v>16371</v>
      </c>
      <c r="B16358">
        <v>200</v>
      </c>
      <c r="C16358" s="1" t="str">
        <f>HYPERLINK("http://www.rosaceae.org/gb/gbrowse/malus_x_domestica/?name=MDP0000265527","MDP0000265527")</f>
        <v>MDP0000265527</v>
      </c>
      <c r="D16358">
        <v>58.99</v>
      </c>
      <c r="E16358">
        <v>139</v>
      </c>
      <c r="F16358">
        <v>57</v>
      </c>
      <c r="G16358">
        <v>1</v>
      </c>
      <c r="H16358">
        <v>30</v>
      </c>
      <c r="I16358">
        <v>167</v>
      </c>
      <c r="J16358">
        <v>1</v>
      </c>
      <c r="K16358">
        <v>164</v>
      </c>
      <c r="L16358">
        <v>302</v>
      </c>
      <c r="M16358">
        <v>1</v>
      </c>
      <c r="N16358">
        <v>5.51271E-37</v>
      </c>
      <c r="O16358">
        <v>381</v>
      </c>
    </row>
    <row r="16359" spans="1:15" x14ac:dyDescent="0.25">
      <c r="A16359" t="s">
        <v>16372</v>
      </c>
      <c r="B16359">
        <v>537</v>
      </c>
      <c r="C16359" s="1" t="str">
        <f>HYPERLINK("http://www.rosaceae.org/gb/gbrowse/malus_x_domestica/?name=MDP0000254412","MDP0000254412")</f>
        <v>MDP0000254412</v>
      </c>
      <c r="D16359">
        <v>79.44</v>
      </c>
      <c r="E16359">
        <v>540</v>
      </c>
      <c r="F16359">
        <v>111</v>
      </c>
      <c r="G16359">
        <v>37</v>
      </c>
      <c r="H16359">
        <v>1</v>
      </c>
      <c r="I16359">
        <v>537</v>
      </c>
      <c r="J16359">
        <v>1</v>
      </c>
      <c r="K16359">
        <v>1</v>
      </c>
      <c r="L16359">
        <v>506</v>
      </c>
      <c r="M16359">
        <v>1</v>
      </c>
      <c r="N16359">
        <v>0</v>
      </c>
      <c r="O16359">
        <v>2195</v>
      </c>
    </row>
    <row r="16360" spans="1:15" x14ac:dyDescent="0.25">
      <c r="A16360" t="s">
        <v>16373</v>
      </c>
      <c r="B16360">
        <v>103</v>
      </c>
      <c r="C16360" s="1" t="str">
        <f>HYPERLINK("http://www.rosaceae.org/gb/gbrowse/malus_x_domestica/?name=MDP0000343219","MDP0000343219")</f>
        <v>MDP0000343219</v>
      </c>
      <c r="D16360">
        <v>56.06</v>
      </c>
      <c r="E16360">
        <v>66</v>
      </c>
      <c r="F16360">
        <v>29</v>
      </c>
      <c r="G16360">
        <v>10</v>
      </c>
      <c r="H16360">
        <v>38</v>
      </c>
      <c r="I16360">
        <v>103</v>
      </c>
      <c r="J16360">
        <v>1</v>
      </c>
      <c r="K16360">
        <v>86</v>
      </c>
      <c r="L16360">
        <v>141</v>
      </c>
      <c r="M16360">
        <v>1</v>
      </c>
      <c r="N16360">
        <v>8.7188499999999997E-13</v>
      </c>
      <c r="O16360">
        <v>168</v>
      </c>
    </row>
    <row r="16361" spans="1:15" x14ac:dyDescent="0.25">
      <c r="A16361" t="s">
        <v>16374</v>
      </c>
      <c r="B16361">
        <v>203</v>
      </c>
      <c r="C16361" s="1" t="str">
        <f>HYPERLINK("http://www.rosaceae.org/gb/gbrowse/malus_x_domestica/?name=MDP0000872167","MDP0000872167")</f>
        <v>MDP0000872167</v>
      </c>
      <c r="D16361">
        <v>29.09</v>
      </c>
      <c r="E16361">
        <v>165</v>
      </c>
      <c r="F16361">
        <v>117</v>
      </c>
      <c r="G16361">
        <v>7</v>
      </c>
      <c r="H16361">
        <v>12</v>
      </c>
      <c r="I16361">
        <v>174</v>
      </c>
      <c r="J16361">
        <v>1</v>
      </c>
      <c r="K16361">
        <v>67</v>
      </c>
      <c r="L16361">
        <v>226</v>
      </c>
      <c r="M16361">
        <v>1</v>
      </c>
      <c r="N16361">
        <v>3.52315E-12</v>
      </c>
      <c r="O16361">
        <v>167</v>
      </c>
    </row>
    <row r="16362" spans="1:15" x14ac:dyDescent="0.25">
      <c r="A16362" t="s">
        <v>16375</v>
      </c>
      <c r="B16362">
        <v>976</v>
      </c>
      <c r="C16362" s="1" t="str">
        <f>HYPERLINK("http://www.rosaceae.org/gb/gbrowse/malus_x_domestica/?name=MDP0000026514","MDP0000026514")</f>
        <v>MDP0000026514</v>
      </c>
      <c r="D16362">
        <v>82.3</v>
      </c>
      <c r="E16362">
        <v>972</v>
      </c>
      <c r="F16362">
        <v>172</v>
      </c>
      <c r="G16362">
        <v>31</v>
      </c>
      <c r="H16362">
        <v>3</v>
      </c>
      <c r="I16362">
        <v>969</v>
      </c>
      <c r="J16362">
        <v>1</v>
      </c>
      <c r="K16362">
        <v>2</v>
      </c>
      <c r="L16362">
        <v>947</v>
      </c>
      <c r="M16362">
        <v>1</v>
      </c>
      <c r="N16362">
        <v>0</v>
      </c>
      <c r="O16362">
        <v>4268</v>
      </c>
    </row>
    <row r="16363" spans="1:15" x14ac:dyDescent="0.25">
      <c r="A16363" t="s">
        <v>16376</v>
      </c>
      <c r="B16363">
        <v>189</v>
      </c>
      <c r="C16363" s="1" t="str">
        <f>HYPERLINK("http://www.rosaceae.org/gb/gbrowse/malus_x_domestica/?name=MDP0000854686","MDP0000854686")</f>
        <v>MDP0000854686</v>
      </c>
      <c r="D16363">
        <v>68.78</v>
      </c>
      <c r="E16363">
        <v>189</v>
      </c>
      <c r="F16363">
        <v>59</v>
      </c>
      <c r="G16363">
        <v>2</v>
      </c>
      <c r="H16363">
        <v>1</v>
      </c>
      <c r="I16363">
        <v>189</v>
      </c>
      <c r="J16363">
        <v>1</v>
      </c>
      <c r="K16363">
        <v>1</v>
      </c>
      <c r="L16363">
        <v>187</v>
      </c>
      <c r="M16363">
        <v>1</v>
      </c>
      <c r="N16363">
        <v>4.6723300000000003E-70</v>
      </c>
      <c r="O16363">
        <v>665</v>
      </c>
    </row>
    <row r="16364" spans="1:15" x14ac:dyDescent="0.25">
      <c r="A16364" t="s">
        <v>16377</v>
      </c>
      <c r="B16364">
        <v>154</v>
      </c>
      <c r="C16364" s="1" t="str">
        <f>HYPERLINK("http://www.rosaceae.org/gb/gbrowse/malus_x_domestica/?name=MDP0000255807","MDP0000255807")</f>
        <v>MDP0000255807</v>
      </c>
      <c r="D16364">
        <v>77.34</v>
      </c>
      <c r="E16364">
        <v>128</v>
      </c>
      <c r="F16364">
        <v>29</v>
      </c>
      <c r="G16364">
        <v>0</v>
      </c>
      <c r="H16364">
        <v>24</v>
      </c>
      <c r="I16364">
        <v>151</v>
      </c>
      <c r="J16364">
        <v>1</v>
      </c>
      <c r="K16364">
        <v>22</v>
      </c>
      <c r="L16364">
        <v>149</v>
      </c>
      <c r="M16364">
        <v>1</v>
      </c>
      <c r="N16364">
        <v>2.2393900000000002E-56</v>
      </c>
      <c r="O16364">
        <v>546</v>
      </c>
    </row>
    <row r="16365" spans="1:15" x14ac:dyDescent="0.25">
      <c r="A16365" t="s">
        <v>16378</v>
      </c>
      <c r="B16365">
        <v>150</v>
      </c>
      <c r="C16365" s="1" t="str">
        <f>HYPERLINK("http://www.rosaceae.org/gb/gbrowse/malus_x_domestica/?name=MDP0000648324","MDP0000648324")</f>
        <v>MDP0000648324</v>
      </c>
      <c r="D16365">
        <v>34.5</v>
      </c>
      <c r="E16365">
        <v>142</v>
      </c>
      <c r="F16365">
        <v>93</v>
      </c>
      <c r="G16365">
        <v>30</v>
      </c>
      <c r="H16365">
        <v>21</v>
      </c>
      <c r="I16365">
        <v>148</v>
      </c>
      <c r="J16365">
        <v>1</v>
      </c>
      <c r="K16365">
        <v>4</v>
      </c>
      <c r="L16365">
        <v>129</v>
      </c>
      <c r="M16365">
        <v>1</v>
      </c>
      <c r="N16365">
        <v>7.8815499999999995E-9</v>
      </c>
      <c r="O16365">
        <v>136</v>
      </c>
    </row>
    <row r="16366" spans="1:15" x14ac:dyDescent="0.25">
      <c r="A16366" t="s">
        <v>16379</v>
      </c>
      <c r="B16366">
        <v>171</v>
      </c>
      <c r="C16366" s="1" t="str">
        <f>HYPERLINK("http://www.rosaceae.org/gb/gbrowse/malus_x_domestica/?name=MDP0000188009","MDP0000188009")</f>
        <v>MDP0000188009</v>
      </c>
      <c r="D16366">
        <v>48.24</v>
      </c>
      <c r="E16366">
        <v>114</v>
      </c>
      <c r="F16366">
        <v>59</v>
      </c>
      <c r="G16366">
        <v>12</v>
      </c>
      <c r="H16366">
        <v>18</v>
      </c>
      <c r="I16366">
        <v>131</v>
      </c>
      <c r="J16366">
        <v>1</v>
      </c>
      <c r="K16366">
        <v>13</v>
      </c>
      <c r="L16366">
        <v>114</v>
      </c>
      <c r="M16366">
        <v>1</v>
      </c>
      <c r="N16366">
        <v>7.5447799999999994E-20</v>
      </c>
      <c r="O16366">
        <v>232</v>
      </c>
    </row>
    <row r="16367" spans="1:15" x14ac:dyDescent="0.25">
      <c r="A16367" t="s">
        <v>16380</v>
      </c>
      <c r="B16367">
        <v>1403</v>
      </c>
      <c r="C16367" s="1" t="str">
        <f>HYPERLINK("http://www.rosaceae.org/gb/gbrowse/malus_x_domestica/?name=MDP0000248082","MDP0000248082")</f>
        <v>MDP0000248082</v>
      </c>
      <c r="D16367">
        <v>58.93</v>
      </c>
      <c r="E16367">
        <v>1415</v>
      </c>
      <c r="F16367">
        <v>581</v>
      </c>
      <c r="G16367">
        <v>48</v>
      </c>
      <c r="H16367">
        <v>27</v>
      </c>
      <c r="I16367">
        <v>1403</v>
      </c>
      <c r="J16367">
        <v>1</v>
      </c>
      <c r="K16367">
        <v>1</v>
      </c>
      <c r="L16367">
        <v>1405</v>
      </c>
      <c r="M16367">
        <v>1</v>
      </c>
      <c r="N16367">
        <v>0</v>
      </c>
      <c r="O16367">
        <v>3674</v>
      </c>
    </row>
    <row r="16368" spans="1:15" x14ac:dyDescent="0.25">
      <c r="A16368" t="s">
        <v>16381</v>
      </c>
      <c r="B16368">
        <v>410</v>
      </c>
      <c r="C16368" s="1" t="str">
        <f>HYPERLINK("http://www.rosaceae.org/gb/gbrowse/malus_x_domestica/?name=MDP0000792375","MDP0000792375")</f>
        <v>MDP0000792375</v>
      </c>
      <c r="D16368">
        <v>84.5</v>
      </c>
      <c r="E16368">
        <v>200</v>
      </c>
      <c r="F16368">
        <v>31</v>
      </c>
      <c r="G16368">
        <v>0</v>
      </c>
      <c r="H16368">
        <v>211</v>
      </c>
      <c r="I16368">
        <v>410</v>
      </c>
      <c r="J16368">
        <v>1</v>
      </c>
      <c r="K16368">
        <v>2</v>
      </c>
      <c r="L16368">
        <v>201</v>
      </c>
      <c r="M16368">
        <v>1</v>
      </c>
      <c r="N16368">
        <v>8.5451000000000007E-89</v>
      </c>
      <c r="O16368">
        <v>831</v>
      </c>
    </row>
    <row r="16369" spans="1:15" x14ac:dyDescent="0.25">
      <c r="A16369" t="s">
        <v>16382</v>
      </c>
      <c r="B16369">
        <v>296</v>
      </c>
      <c r="C16369" s="1" t="str">
        <f>HYPERLINK("http://www.rosaceae.org/gb/gbrowse/malus_x_domestica/?name=MDP0000242009","MDP0000242009")</f>
        <v>MDP0000242009</v>
      </c>
      <c r="D16369">
        <v>69.23</v>
      </c>
      <c r="E16369">
        <v>39</v>
      </c>
      <c r="F16369">
        <v>12</v>
      </c>
      <c r="G16369">
        <v>0</v>
      </c>
      <c r="H16369">
        <v>207</v>
      </c>
      <c r="I16369">
        <v>245</v>
      </c>
      <c r="J16369">
        <v>1</v>
      </c>
      <c r="K16369">
        <v>154</v>
      </c>
      <c r="L16369">
        <v>192</v>
      </c>
      <c r="M16369">
        <v>1</v>
      </c>
      <c r="N16369">
        <v>4.4848699999999998E-7</v>
      </c>
      <c r="O16369">
        <v>125</v>
      </c>
    </row>
    <row r="16370" spans="1:15" x14ac:dyDescent="0.25">
      <c r="A16370" t="s">
        <v>16383</v>
      </c>
      <c r="B16370">
        <v>551</v>
      </c>
      <c r="C16370" s="1" t="str">
        <f>HYPERLINK("http://www.rosaceae.org/gb/gbrowse/malus_x_domestica/?name=MDP0000308434","MDP0000308434")</f>
        <v>MDP0000308434</v>
      </c>
      <c r="D16370">
        <v>66.42</v>
      </c>
      <c r="E16370">
        <v>554</v>
      </c>
      <c r="F16370">
        <v>186</v>
      </c>
      <c r="G16370">
        <v>21</v>
      </c>
      <c r="H16370">
        <v>2</v>
      </c>
      <c r="I16370">
        <v>544</v>
      </c>
      <c r="J16370">
        <v>1</v>
      </c>
      <c r="K16370">
        <v>1</v>
      </c>
      <c r="L16370">
        <v>544</v>
      </c>
      <c r="M16370">
        <v>1</v>
      </c>
      <c r="N16370">
        <v>0</v>
      </c>
      <c r="O16370">
        <v>1838</v>
      </c>
    </row>
    <row r="16371" spans="1:15" x14ac:dyDescent="0.25">
      <c r="A16371" t="s">
        <v>16384</v>
      </c>
      <c r="B16371">
        <v>94</v>
      </c>
      <c r="C16371" s="1" t="str">
        <f>HYPERLINK("http://www.rosaceae.org/gb/gbrowse/malus_x_domestica/?name=MDP0000756723","MDP0000756723")</f>
        <v>MDP0000756723</v>
      </c>
      <c r="D16371">
        <v>75.55</v>
      </c>
      <c r="E16371">
        <v>90</v>
      </c>
      <c r="F16371">
        <v>22</v>
      </c>
      <c r="G16371">
        <v>0</v>
      </c>
      <c r="H16371">
        <v>1</v>
      </c>
      <c r="I16371">
        <v>90</v>
      </c>
      <c r="J16371">
        <v>1</v>
      </c>
      <c r="K16371">
        <v>1</v>
      </c>
      <c r="L16371">
        <v>90</v>
      </c>
      <c r="M16371">
        <v>1</v>
      </c>
      <c r="N16371">
        <v>4.4883999999999998E-36</v>
      </c>
      <c r="O16371">
        <v>369</v>
      </c>
    </row>
    <row r="16372" spans="1:15" x14ac:dyDescent="0.25">
      <c r="A16372" t="s">
        <v>16385</v>
      </c>
      <c r="B16372">
        <v>114</v>
      </c>
      <c r="C16372" s="1" t="str">
        <f>HYPERLINK("http://www.rosaceae.org/gb/gbrowse/malus_x_domestica/?name=MDP0000905135","MDP0000905135")</f>
        <v>MDP0000905135</v>
      </c>
      <c r="D16372">
        <v>64.760000000000005</v>
      </c>
      <c r="E16372">
        <v>105</v>
      </c>
      <c r="F16372">
        <v>37</v>
      </c>
      <c r="G16372">
        <v>2</v>
      </c>
      <c r="H16372">
        <v>6</v>
      </c>
      <c r="I16372">
        <v>110</v>
      </c>
      <c r="J16372">
        <v>1</v>
      </c>
      <c r="K16372">
        <v>45</v>
      </c>
      <c r="L16372">
        <v>147</v>
      </c>
      <c r="M16372">
        <v>1</v>
      </c>
      <c r="N16372">
        <v>3.4271099999999998E-32</v>
      </c>
      <c r="O16372">
        <v>335</v>
      </c>
    </row>
    <row r="16373" spans="1:15" x14ac:dyDescent="0.25">
      <c r="A16373" t="s">
        <v>16386</v>
      </c>
      <c r="B16373">
        <v>574</v>
      </c>
      <c r="C16373" s="1" t="str">
        <f>HYPERLINK("http://www.rosaceae.org/gb/gbrowse/malus_x_domestica/?name=MDP0000281525","MDP0000281525")</f>
        <v>MDP0000281525</v>
      </c>
      <c r="D16373">
        <v>61.35</v>
      </c>
      <c r="E16373">
        <v>339</v>
      </c>
      <c r="F16373">
        <v>131</v>
      </c>
      <c r="G16373">
        <v>67</v>
      </c>
      <c r="H16373">
        <v>277</v>
      </c>
      <c r="I16373">
        <v>552</v>
      </c>
      <c r="J16373">
        <v>1</v>
      </c>
      <c r="K16373">
        <v>402</v>
      </c>
      <c r="L16373">
        <v>736</v>
      </c>
      <c r="M16373">
        <v>1</v>
      </c>
      <c r="N16373">
        <v>2.50105E-113</v>
      </c>
      <c r="O16373">
        <v>1044</v>
      </c>
    </row>
    <row r="16374" spans="1:15" x14ac:dyDescent="0.25">
      <c r="A16374" t="s">
        <v>16387</v>
      </c>
      <c r="B16374">
        <v>209</v>
      </c>
      <c r="C16374" s="1" t="str">
        <f>HYPERLINK("http://www.rosaceae.org/gb/gbrowse/malus_x_domestica/?name=MDP0000228162","MDP0000228162")</f>
        <v>MDP0000228162</v>
      </c>
      <c r="D16374">
        <v>80.95</v>
      </c>
      <c r="E16374">
        <v>84</v>
      </c>
      <c r="F16374">
        <v>16</v>
      </c>
      <c r="G16374">
        <v>0</v>
      </c>
      <c r="H16374">
        <v>125</v>
      </c>
      <c r="I16374">
        <v>208</v>
      </c>
      <c r="J16374">
        <v>1</v>
      </c>
      <c r="K16374">
        <v>29</v>
      </c>
      <c r="L16374">
        <v>112</v>
      </c>
      <c r="M16374">
        <v>1</v>
      </c>
      <c r="N16374">
        <v>1.21467E-34</v>
      </c>
      <c r="O16374">
        <v>361</v>
      </c>
    </row>
    <row r="16375" spans="1:15" x14ac:dyDescent="0.25">
      <c r="A16375" t="s">
        <v>16388</v>
      </c>
      <c r="B16375">
        <v>185</v>
      </c>
      <c r="C16375" s="1" t="str">
        <f>HYPERLINK("http://www.rosaceae.org/gb/gbrowse/malus_x_domestica/?name=MDP0000178930","MDP0000178930")</f>
        <v>MDP0000178930</v>
      </c>
      <c r="D16375">
        <v>68.81</v>
      </c>
      <c r="E16375">
        <v>186</v>
      </c>
      <c r="F16375">
        <v>58</v>
      </c>
      <c r="G16375">
        <v>6</v>
      </c>
      <c r="H16375">
        <v>1</v>
      </c>
      <c r="I16375">
        <v>185</v>
      </c>
      <c r="J16375">
        <v>1</v>
      </c>
      <c r="K16375">
        <v>48</v>
      </c>
      <c r="L16375">
        <v>228</v>
      </c>
      <c r="M16375">
        <v>1</v>
      </c>
      <c r="N16375">
        <v>2.0221600000000001E-64</v>
      </c>
      <c r="O16375">
        <v>617</v>
      </c>
    </row>
    <row r="16376" spans="1:15" x14ac:dyDescent="0.25">
      <c r="A16376" t="s">
        <v>16389</v>
      </c>
      <c r="B16376">
        <v>503</v>
      </c>
      <c r="C16376" s="1" t="str">
        <f>HYPERLINK("http://www.rosaceae.org/gb/gbrowse/malus_x_domestica/?name=MDP0000208218","MDP0000208218")</f>
        <v>MDP0000208218</v>
      </c>
      <c r="D16376">
        <v>53.47</v>
      </c>
      <c r="E16376">
        <v>460</v>
      </c>
      <c r="F16376">
        <v>214</v>
      </c>
      <c r="G16376">
        <v>56</v>
      </c>
      <c r="H16376">
        <v>1</v>
      </c>
      <c r="I16376">
        <v>410</v>
      </c>
      <c r="J16376">
        <v>1</v>
      </c>
      <c r="K16376">
        <v>1</v>
      </c>
      <c r="L16376">
        <v>454</v>
      </c>
      <c r="M16376">
        <v>1</v>
      </c>
      <c r="N16376">
        <v>7.8898500000000005E-119</v>
      </c>
      <c r="O16376">
        <v>1091</v>
      </c>
    </row>
    <row r="16377" spans="1:15" x14ac:dyDescent="0.25">
      <c r="A16377" t="s">
        <v>16390</v>
      </c>
      <c r="B16377">
        <v>231</v>
      </c>
      <c r="C16377" s="1" t="str">
        <f>HYPERLINK("http://www.rosaceae.org/gb/gbrowse/malus_x_domestica/?name=MDP0000286006","MDP0000286006")</f>
        <v>MDP0000286006</v>
      </c>
      <c r="D16377">
        <v>32.25</v>
      </c>
      <c r="E16377">
        <v>155</v>
      </c>
      <c r="F16377">
        <v>105</v>
      </c>
      <c r="G16377">
        <v>28</v>
      </c>
      <c r="H16377">
        <v>2</v>
      </c>
      <c r="I16377">
        <v>148</v>
      </c>
      <c r="J16377">
        <v>1</v>
      </c>
      <c r="K16377">
        <v>143</v>
      </c>
      <c r="L16377">
        <v>277</v>
      </c>
      <c r="M16377">
        <v>1</v>
      </c>
      <c r="N16377">
        <v>5.7964999999999997E-11</v>
      </c>
      <c r="O16377">
        <v>157</v>
      </c>
    </row>
    <row r="16378" spans="1:15" x14ac:dyDescent="0.25">
      <c r="A16378" t="s">
        <v>16391</v>
      </c>
      <c r="B16378">
        <v>366</v>
      </c>
      <c r="C16378" s="1" t="str">
        <f>HYPERLINK("http://www.rosaceae.org/gb/gbrowse/malus_x_domestica/?name=MDP0000245176","MDP0000245176")</f>
        <v>MDP0000245176</v>
      </c>
      <c r="D16378">
        <v>37.82</v>
      </c>
      <c r="E16378">
        <v>386</v>
      </c>
      <c r="F16378">
        <v>240</v>
      </c>
      <c r="G16378">
        <v>98</v>
      </c>
      <c r="H16378">
        <v>5</v>
      </c>
      <c r="I16378">
        <v>326</v>
      </c>
      <c r="J16378">
        <v>1</v>
      </c>
      <c r="K16378">
        <v>201</v>
      </c>
      <c r="L16378">
        <v>552</v>
      </c>
      <c r="M16378">
        <v>1</v>
      </c>
      <c r="N16378">
        <v>1.43767E-54</v>
      </c>
      <c r="O16378">
        <v>536</v>
      </c>
    </row>
    <row r="16379" spans="1:15" x14ac:dyDescent="0.25">
      <c r="A16379" t="s">
        <v>16392</v>
      </c>
      <c r="B16379">
        <v>1144</v>
      </c>
      <c r="C16379" s="1" t="str">
        <f>HYPERLINK("http://www.rosaceae.org/gb/gbrowse/malus_x_domestica/?name=MDP0000262145","MDP0000262145")</f>
        <v>MDP0000262145</v>
      </c>
      <c r="D16379">
        <v>59.29</v>
      </c>
      <c r="E16379">
        <v>113</v>
      </c>
      <c r="F16379">
        <v>46</v>
      </c>
      <c r="G16379">
        <v>13</v>
      </c>
      <c r="H16379">
        <v>564</v>
      </c>
      <c r="I16379">
        <v>675</v>
      </c>
      <c r="J16379">
        <v>1</v>
      </c>
      <c r="K16379">
        <v>888</v>
      </c>
      <c r="L16379">
        <v>988</v>
      </c>
      <c r="M16379">
        <v>1</v>
      </c>
      <c r="N16379">
        <v>3.7666299999999998E-25</v>
      </c>
      <c r="O16379">
        <v>287</v>
      </c>
    </row>
    <row r="16380" spans="1:15" x14ac:dyDescent="0.25">
      <c r="A16380" t="s">
        <v>16393</v>
      </c>
      <c r="B16380">
        <v>1071</v>
      </c>
      <c r="C16380" s="1" t="str">
        <f>HYPERLINK("http://www.rosaceae.org/gb/gbrowse/malus_x_domestica/?name=MDP0000149339","MDP0000149339")</f>
        <v>MDP0000149339</v>
      </c>
      <c r="D16380">
        <v>69.31</v>
      </c>
      <c r="E16380">
        <v>1082</v>
      </c>
      <c r="F16380">
        <v>332</v>
      </c>
      <c r="G16380">
        <v>81</v>
      </c>
      <c r="H16380">
        <v>1</v>
      </c>
      <c r="I16380">
        <v>1071</v>
      </c>
      <c r="J16380">
        <v>1</v>
      </c>
      <c r="K16380">
        <v>1</v>
      </c>
      <c r="L16380">
        <v>1012</v>
      </c>
      <c r="M16380">
        <v>1</v>
      </c>
      <c r="N16380">
        <v>0</v>
      </c>
      <c r="O16380">
        <v>3706</v>
      </c>
    </row>
    <row r="16381" spans="1:15" x14ac:dyDescent="0.25">
      <c r="A16381" t="s">
        <v>16394</v>
      </c>
      <c r="B16381">
        <v>460</v>
      </c>
      <c r="C16381" s="1" t="str">
        <f>HYPERLINK("http://www.rosaceae.org/gb/gbrowse/malus_x_domestica/?name=MDP0000311184","MDP0000311184")</f>
        <v>MDP0000311184</v>
      </c>
      <c r="D16381">
        <v>71.66</v>
      </c>
      <c r="E16381">
        <v>480</v>
      </c>
      <c r="F16381">
        <v>136</v>
      </c>
      <c r="G16381">
        <v>21</v>
      </c>
      <c r="H16381">
        <v>1</v>
      </c>
      <c r="I16381">
        <v>460</v>
      </c>
      <c r="J16381">
        <v>1</v>
      </c>
      <c r="K16381">
        <v>80</v>
      </c>
      <c r="L16381">
        <v>558</v>
      </c>
      <c r="M16381">
        <v>1</v>
      </c>
      <c r="N16381">
        <v>0</v>
      </c>
      <c r="O16381">
        <v>1752</v>
      </c>
    </row>
    <row r="16382" spans="1:15" x14ac:dyDescent="0.25">
      <c r="A16382" t="s">
        <v>16395</v>
      </c>
      <c r="B16382">
        <v>330</v>
      </c>
      <c r="C16382" s="1" t="str">
        <f>HYPERLINK("http://www.rosaceae.org/gb/gbrowse/malus_x_domestica/?name=MDP0000428265","MDP0000428265")</f>
        <v>MDP0000428265</v>
      </c>
      <c r="D16382">
        <v>61.78</v>
      </c>
      <c r="E16382">
        <v>314</v>
      </c>
      <c r="F16382">
        <v>120</v>
      </c>
      <c r="G16382">
        <v>24</v>
      </c>
      <c r="H16382">
        <v>24</v>
      </c>
      <c r="I16382">
        <v>328</v>
      </c>
      <c r="J16382">
        <v>1</v>
      </c>
      <c r="K16382">
        <v>24</v>
      </c>
      <c r="L16382">
        <v>322</v>
      </c>
      <c r="M16382">
        <v>1</v>
      </c>
      <c r="N16382">
        <v>1.48185E-99</v>
      </c>
      <c r="O16382">
        <v>923</v>
      </c>
    </row>
    <row r="16383" spans="1:15" x14ac:dyDescent="0.25">
      <c r="A16383" t="s">
        <v>16396</v>
      </c>
      <c r="B16383">
        <v>1185</v>
      </c>
      <c r="C16383" s="1" t="str">
        <f>HYPERLINK("http://www.rosaceae.org/gb/gbrowse/malus_x_domestica/?name=MDP0000201316","MDP0000201316")</f>
        <v>MDP0000201316</v>
      </c>
      <c r="D16383">
        <v>70.22</v>
      </c>
      <c r="E16383">
        <v>1142</v>
      </c>
      <c r="F16383">
        <v>340</v>
      </c>
      <c r="G16383">
        <v>89</v>
      </c>
      <c r="H16383">
        <v>36</v>
      </c>
      <c r="I16383">
        <v>1119</v>
      </c>
      <c r="J16383">
        <v>1</v>
      </c>
      <c r="K16383">
        <v>37</v>
      </c>
      <c r="L16383">
        <v>1147</v>
      </c>
      <c r="M16383">
        <v>1</v>
      </c>
      <c r="N16383">
        <v>0</v>
      </c>
      <c r="O16383">
        <v>4110</v>
      </c>
    </row>
    <row r="16384" spans="1:15" x14ac:dyDescent="0.25">
      <c r="A16384" t="s">
        <v>16397</v>
      </c>
      <c r="B16384">
        <v>821</v>
      </c>
      <c r="C16384" s="1" t="str">
        <f>HYPERLINK("http://www.rosaceae.org/gb/gbrowse/malus_x_domestica/?name=MDP0000144306","MDP0000144306")</f>
        <v>MDP0000144306</v>
      </c>
      <c r="D16384">
        <v>59.47</v>
      </c>
      <c r="E16384">
        <v>839</v>
      </c>
      <c r="F16384">
        <v>340</v>
      </c>
      <c r="G16384">
        <v>53</v>
      </c>
      <c r="H16384">
        <v>27</v>
      </c>
      <c r="I16384">
        <v>821</v>
      </c>
      <c r="J16384">
        <v>1</v>
      </c>
      <c r="K16384">
        <v>26</v>
      </c>
      <c r="L16384">
        <v>855</v>
      </c>
      <c r="M16384">
        <v>1</v>
      </c>
      <c r="N16384">
        <v>0</v>
      </c>
      <c r="O16384">
        <v>2573</v>
      </c>
    </row>
    <row r="16385" spans="1:15" x14ac:dyDescent="0.25">
      <c r="A16385" t="s">
        <v>16398</v>
      </c>
      <c r="B16385">
        <v>654</v>
      </c>
      <c r="C16385" s="1" t="str">
        <f>HYPERLINK("http://www.rosaceae.org/gb/gbrowse/malus_x_domestica/?name=MDP0000454660","MDP0000454660")</f>
        <v>MDP0000454660</v>
      </c>
      <c r="D16385">
        <v>76.86</v>
      </c>
      <c r="E16385">
        <v>657</v>
      </c>
      <c r="F16385">
        <v>152</v>
      </c>
      <c r="G16385">
        <v>5</v>
      </c>
      <c r="H16385">
        <v>1</v>
      </c>
      <c r="I16385">
        <v>654</v>
      </c>
      <c r="J16385">
        <v>1</v>
      </c>
      <c r="K16385">
        <v>1</v>
      </c>
      <c r="L16385">
        <v>655</v>
      </c>
      <c r="M16385">
        <v>1</v>
      </c>
      <c r="N16385">
        <v>0</v>
      </c>
      <c r="O16385">
        <v>2498</v>
      </c>
    </row>
    <row r="16386" spans="1:15" x14ac:dyDescent="0.25">
      <c r="A16386" t="s">
        <v>16399</v>
      </c>
      <c r="B16386">
        <v>722</v>
      </c>
      <c r="C16386" s="1" t="str">
        <f>HYPERLINK("http://www.rosaceae.org/gb/gbrowse/malus_x_domestica/?name=MDP0000251892","MDP0000251892")</f>
        <v>MDP0000251892</v>
      </c>
      <c r="D16386">
        <v>48.01</v>
      </c>
      <c r="E16386">
        <v>352</v>
      </c>
      <c r="F16386">
        <v>183</v>
      </c>
      <c r="G16386">
        <v>35</v>
      </c>
      <c r="H16386">
        <v>267</v>
      </c>
      <c r="I16386">
        <v>592</v>
      </c>
      <c r="J16386">
        <v>1</v>
      </c>
      <c r="K16386">
        <v>34</v>
      </c>
      <c r="L16386">
        <v>376</v>
      </c>
      <c r="M16386">
        <v>1</v>
      </c>
      <c r="N16386">
        <v>1.2025499999999999E-72</v>
      </c>
      <c r="O16386">
        <v>695</v>
      </c>
    </row>
    <row r="16387" spans="1:15" x14ac:dyDescent="0.25">
      <c r="A16387" t="s">
        <v>16400</v>
      </c>
      <c r="B16387">
        <v>195</v>
      </c>
      <c r="C16387" s="1" t="str">
        <f>HYPERLINK("http://www.rosaceae.org/gb/gbrowse/malus_x_domestica/?name=MDP0000014365","MDP0000014365")</f>
        <v>MDP0000014365</v>
      </c>
      <c r="D16387">
        <v>50.22</v>
      </c>
      <c r="E16387">
        <v>225</v>
      </c>
      <c r="F16387">
        <v>112</v>
      </c>
      <c r="G16387">
        <v>36</v>
      </c>
      <c r="H16387">
        <v>1</v>
      </c>
      <c r="I16387">
        <v>195</v>
      </c>
      <c r="J16387">
        <v>1</v>
      </c>
      <c r="K16387">
        <v>1</v>
      </c>
      <c r="L16387">
        <v>219</v>
      </c>
      <c r="M16387">
        <v>1</v>
      </c>
      <c r="N16387">
        <v>1.0269299999999999E-48</v>
      </c>
      <c r="O16387">
        <v>481</v>
      </c>
    </row>
    <row r="16388" spans="1:15" x14ac:dyDescent="0.25">
      <c r="A16388" t="s">
        <v>16401</v>
      </c>
      <c r="B16388">
        <v>1020</v>
      </c>
      <c r="C16388" s="1" t="str">
        <f>HYPERLINK("http://www.rosaceae.org/gb/gbrowse/malus_x_domestica/?name=MDP0000256558","MDP0000256558")</f>
        <v>MDP0000256558</v>
      </c>
      <c r="D16388">
        <v>79.91</v>
      </c>
      <c r="E16388">
        <v>941</v>
      </c>
      <c r="F16388">
        <v>189</v>
      </c>
      <c r="G16388">
        <v>1</v>
      </c>
      <c r="H16388">
        <v>71</v>
      </c>
      <c r="I16388">
        <v>1010</v>
      </c>
      <c r="J16388">
        <v>1</v>
      </c>
      <c r="K16388">
        <v>204</v>
      </c>
      <c r="L16388">
        <v>1144</v>
      </c>
      <c r="M16388">
        <v>1</v>
      </c>
      <c r="N16388">
        <v>0</v>
      </c>
      <c r="O16388">
        <v>4099</v>
      </c>
    </row>
    <row r="16389" spans="1:15" x14ac:dyDescent="0.25">
      <c r="A16389" t="s">
        <v>16402</v>
      </c>
      <c r="B16389">
        <v>524</v>
      </c>
      <c r="C16389" s="1" t="str">
        <f>HYPERLINK("http://www.rosaceae.org/gb/gbrowse/malus_x_domestica/?name=MDP0000615956","MDP0000615956")</f>
        <v>MDP0000615956</v>
      </c>
      <c r="D16389">
        <v>81.87</v>
      </c>
      <c r="E16389">
        <v>524</v>
      </c>
      <c r="F16389">
        <v>95</v>
      </c>
      <c r="G16389">
        <v>2</v>
      </c>
      <c r="H16389">
        <v>1</v>
      </c>
      <c r="I16389">
        <v>524</v>
      </c>
      <c r="J16389">
        <v>1</v>
      </c>
      <c r="K16389">
        <v>1</v>
      </c>
      <c r="L16389">
        <v>522</v>
      </c>
      <c r="M16389">
        <v>1</v>
      </c>
      <c r="N16389">
        <v>0</v>
      </c>
      <c r="O16389">
        <v>2268</v>
      </c>
    </row>
    <row r="16390" spans="1:15" x14ac:dyDescent="0.25">
      <c r="A16390" t="s">
        <v>16403</v>
      </c>
      <c r="B16390">
        <v>488</v>
      </c>
      <c r="C16390" s="1" t="str">
        <f>HYPERLINK("http://www.rosaceae.org/gb/gbrowse/malus_x_domestica/?name=MDP0000309902","MDP0000309902")</f>
        <v>MDP0000309902</v>
      </c>
      <c r="D16390">
        <v>66.66</v>
      </c>
      <c r="E16390">
        <v>531</v>
      </c>
      <c r="F16390">
        <v>177</v>
      </c>
      <c r="G16390">
        <v>50</v>
      </c>
      <c r="H16390">
        <v>1</v>
      </c>
      <c r="I16390">
        <v>485</v>
      </c>
      <c r="J16390">
        <v>1</v>
      </c>
      <c r="K16390">
        <v>1</v>
      </c>
      <c r="L16390">
        <v>527</v>
      </c>
      <c r="M16390">
        <v>1</v>
      </c>
      <c r="N16390">
        <v>0</v>
      </c>
      <c r="O16390">
        <v>1787</v>
      </c>
    </row>
    <row r="16391" spans="1:15" x14ac:dyDescent="0.25">
      <c r="A16391" t="s">
        <v>16404</v>
      </c>
      <c r="B16391">
        <v>672</v>
      </c>
      <c r="C16391" s="1" t="str">
        <f>HYPERLINK("http://www.rosaceae.org/gb/gbrowse/malus_x_domestica/?name=MDP0000814024","MDP0000814024")</f>
        <v>MDP0000814024</v>
      </c>
      <c r="D16391">
        <v>76.48</v>
      </c>
      <c r="E16391">
        <v>689</v>
      </c>
      <c r="F16391">
        <v>162</v>
      </c>
      <c r="G16391">
        <v>27</v>
      </c>
      <c r="H16391">
        <v>1</v>
      </c>
      <c r="I16391">
        <v>672</v>
      </c>
      <c r="J16391">
        <v>1</v>
      </c>
      <c r="K16391">
        <v>1</v>
      </c>
      <c r="L16391">
        <v>679</v>
      </c>
      <c r="M16391">
        <v>1</v>
      </c>
      <c r="N16391">
        <v>0</v>
      </c>
      <c r="O16391">
        <v>2605</v>
      </c>
    </row>
    <row r="16392" spans="1:15" x14ac:dyDescent="0.25">
      <c r="A16392" t="s">
        <v>16405</v>
      </c>
      <c r="B16392">
        <v>271</v>
      </c>
      <c r="C16392" s="1" t="str">
        <f>HYPERLINK("http://www.rosaceae.org/gb/gbrowse/malus_x_domestica/?name=MDP0000317163","MDP0000317163")</f>
        <v>MDP0000317163</v>
      </c>
      <c r="D16392">
        <v>81.98</v>
      </c>
      <c r="E16392">
        <v>272</v>
      </c>
      <c r="F16392">
        <v>49</v>
      </c>
      <c r="G16392">
        <v>2</v>
      </c>
      <c r="H16392">
        <v>1</v>
      </c>
      <c r="I16392">
        <v>271</v>
      </c>
      <c r="J16392">
        <v>1</v>
      </c>
      <c r="K16392">
        <v>1</v>
      </c>
      <c r="L16392">
        <v>271</v>
      </c>
      <c r="M16392">
        <v>1</v>
      </c>
      <c r="N16392">
        <v>6.6505899999999999E-131</v>
      </c>
      <c r="O16392">
        <v>1192</v>
      </c>
    </row>
    <row r="16393" spans="1:15" x14ac:dyDescent="0.25">
      <c r="A16393" t="s">
        <v>16406</v>
      </c>
      <c r="B16393">
        <v>354</v>
      </c>
      <c r="C16393" s="1" t="str">
        <f>HYPERLINK("http://www.rosaceae.org/gb/gbrowse/malus_x_domestica/?name=MDP0000238881","MDP0000238881")</f>
        <v>MDP0000238881</v>
      </c>
      <c r="D16393">
        <v>57.2</v>
      </c>
      <c r="E16393">
        <v>229</v>
      </c>
      <c r="F16393">
        <v>98</v>
      </c>
      <c r="G16393">
        <v>18</v>
      </c>
      <c r="H16393">
        <v>45</v>
      </c>
      <c r="I16393">
        <v>256</v>
      </c>
      <c r="J16393">
        <v>1</v>
      </c>
      <c r="K16393">
        <v>55</v>
      </c>
      <c r="L16393">
        <v>282</v>
      </c>
      <c r="M16393">
        <v>1</v>
      </c>
      <c r="N16393">
        <v>1.5755599999999999E-65</v>
      </c>
      <c r="O16393">
        <v>630</v>
      </c>
    </row>
    <row r="16394" spans="1:15" x14ac:dyDescent="0.25">
      <c r="A16394" t="s">
        <v>16407</v>
      </c>
      <c r="B16394">
        <v>305</v>
      </c>
      <c r="C16394" s="1" t="str">
        <f>HYPERLINK("http://www.rosaceae.org/gb/gbrowse/malus_x_domestica/?name=MDP0000260722","MDP0000260722")</f>
        <v>MDP0000260722</v>
      </c>
      <c r="D16394">
        <v>77.02</v>
      </c>
      <c r="E16394">
        <v>309</v>
      </c>
      <c r="F16394">
        <v>71</v>
      </c>
      <c r="G16394">
        <v>15</v>
      </c>
      <c r="H16394">
        <v>1</v>
      </c>
      <c r="I16394">
        <v>304</v>
      </c>
      <c r="J16394">
        <v>1</v>
      </c>
      <c r="K16394">
        <v>1</v>
      </c>
      <c r="L16394">
        <v>299</v>
      </c>
      <c r="M16394">
        <v>1</v>
      </c>
      <c r="N16394">
        <v>1.0615E-127</v>
      </c>
      <c r="O16394">
        <v>1165</v>
      </c>
    </row>
    <row r="16395" spans="1:15" x14ac:dyDescent="0.25">
      <c r="A16395" t="s">
        <v>16408</v>
      </c>
      <c r="B16395">
        <v>400</v>
      </c>
      <c r="C16395" s="1" t="str">
        <f>HYPERLINK("http://www.rosaceae.org/gb/gbrowse/malus_x_domestica/?name=MDP0000161050","MDP0000161050")</f>
        <v>MDP0000161050</v>
      </c>
      <c r="D16395">
        <v>66.09</v>
      </c>
      <c r="E16395">
        <v>407</v>
      </c>
      <c r="F16395">
        <v>138</v>
      </c>
      <c r="G16395">
        <v>33</v>
      </c>
      <c r="H16395">
        <v>2</v>
      </c>
      <c r="I16395">
        <v>399</v>
      </c>
      <c r="J16395">
        <v>1</v>
      </c>
      <c r="K16395">
        <v>3</v>
      </c>
      <c r="L16395">
        <v>385</v>
      </c>
      <c r="M16395">
        <v>1</v>
      </c>
      <c r="N16395">
        <v>2.8662299999999998E-144</v>
      </c>
      <c r="O16395">
        <v>1310</v>
      </c>
    </row>
    <row r="16396" spans="1:15" x14ac:dyDescent="0.25">
      <c r="A16396" t="s">
        <v>16409</v>
      </c>
      <c r="B16396">
        <v>332</v>
      </c>
      <c r="C16396" s="1" t="str">
        <f>HYPERLINK("http://www.rosaceae.org/gb/gbrowse/malus_x_domestica/?name=MDP0000774306","MDP0000774306")</f>
        <v>MDP0000774306</v>
      </c>
      <c r="D16396">
        <v>46.08</v>
      </c>
      <c r="E16396">
        <v>319</v>
      </c>
      <c r="F16396">
        <v>172</v>
      </c>
      <c r="G16396">
        <v>20</v>
      </c>
      <c r="H16396">
        <v>4</v>
      </c>
      <c r="I16396">
        <v>309</v>
      </c>
      <c r="J16396">
        <v>1</v>
      </c>
      <c r="K16396">
        <v>1</v>
      </c>
      <c r="L16396">
        <v>312</v>
      </c>
      <c r="M16396">
        <v>1</v>
      </c>
      <c r="N16396">
        <v>1.59142E-56</v>
      </c>
      <c r="O16396">
        <v>552</v>
      </c>
    </row>
    <row r="16397" spans="1:15" x14ac:dyDescent="0.25">
      <c r="A16397" t="s">
        <v>16410</v>
      </c>
      <c r="B16397">
        <v>190</v>
      </c>
      <c r="C16397" s="1" t="str">
        <f>HYPERLINK("http://www.rosaceae.org/gb/gbrowse/malus_x_domestica/?name=MDP0000142835","MDP0000142835")</f>
        <v>MDP0000142835</v>
      </c>
      <c r="D16397">
        <v>64.58</v>
      </c>
      <c r="E16397">
        <v>192</v>
      </c>
      <c r="F16397">
        <v>68</v>
      </c>
      <c r="G16397">
        <v>8</v>
      </c>
      <c r="H16397">
        <v>1</v>
      </c>
      <c r="I16397">
        <v>188</v>
      </c>
      <c r="J16397">
        <v>1</v>
      </c>
      <c r="K16397">
        <v>316</v>
      </c>
      <c r="L16397">
        <v>503</v>
      </c>
      <c r="M16397">
        <v>1</v>
      </c>
      <c r="N16397">
        <v>1.7976000000000001E-64</v>
      </c>
      <c r="O16397">
        <v>617</v>
      </c>
    </row>
    <row r="16398" spans="1:15" x14ac:dyDescent="0.25">
      <c r="A16398" t="s">
        <v>16411</v>
      </c>
      <c r="B16398">
        <v>520</v>
      </c>
      <c r="C16398" s="1" t="str">
        <f>HYPERLINK("http://www.rosaceae.org/gb/gbrowse/malus_x_domestica/?name=MDP0000308617","MDP0000308617")</f>
        <v>MDP0000308617</v>
      </c>
      <c r="D16398">
        <v>54.42</v>
      </c>
      <c r="E16398">
        <v>520</v>
      </c>
      <c r="F16398">
        <v>237</v>
      </c>
      <c r="G16398">
        <v>50</v>
      </c>
      <c r="H16398">
        <v>34</v>
      </c>
      <c r="I16398">
        <v>520</v>
      </c>
      <c r="J16398">
        <v>1</v>
      </c>
      <c r="K16398">
        <v>42</v>
      </c>
      <c r="L16398">
        <v>544</v>
      </c>
      <c r="M16398">
        <v>1</v>
      </c>
      <c r="N16398">
        <v>2.8850100000000001E-137</v>
      </c>
      <c r="O16398">
        <v>1250</v>
      </c>
    </row>
    <row r="16399" spans="1:15" x14ac:dyDescent="0.25">
      <c r="A16399" t="s">
        <v>16412</v>
      </c>
      <c r="B16399">
        <v>702</v>
      </c>
      <c r="C16399" s="1" t="str">
        <f>HYPERLINK("http://www.rosaceae.org/gb/gbrowse/malus_x_domestica/?name=MDP0000219089","MDP0000219089")</f>
        <v>MDP0000219089</v>
      </c>
      <c r="D16399">
        <v>84</v>
      </c>
      <c r="E16399">
        <v>694</v>
      </c>
      <c r="F16399">
        <v>111</v>
      </c>
      <c r="G16399">
        <v>1</v>
      </c>
      <c r="H16399">
        <v>1</v>
      </c>
      <c r="I16399">
        <v>694</v>
      </c>
      <c r="J16399">
        <v>1</v>
      </c>
      <c r="K16399">
        <v>1</v>
      </c>
      <c r="L16399">
        <v>693</v>
      </c>
      <c r="M16399">
        <v>1</v>
      </c>
      <c r="N16399">
        <v>0</v>
      </c>
      <c r="O16399">
        <v>3060</v>
      </c>
    </row>
    <row r="16400" spans="1:15" x14ac:dyDescent="0.25">
      <c r="A16400" t="s">
        <v>16413</v>
      </c>
      <c r="B16400">
        <v>779</v>
      </c>
      <c r="C16400" s="1" t="str">
        <f>HYPERLINK("http://www.rosaceae.org/gb/gbrowse/malus_x_domestica/?name=MDP0000264421","MDP0000264421")</f>
        <v>MDP0000264421</v>
      </c>
      <c r="D16400">
        <v>49.45</v>
      </c>
      <c r="E16400">
        <v>366</v>
      </c>
      <c r="F16400">
        <v>185</v>
      </c>
      <c r="G16400">
        <v>81</v>
      </c>
      <c r="H16400">
        <v>1</v>
      </c>
      <c r="I16400">
        <v>314</v>
      </c>
      <c r="J16400">
        <v>1</v>
      </c>
      <c r="K16400">
        <v>6</v>
      </c>
      <c r="L16400">
        <v>342</v>
      </c>
      <c r="M16400">
        <v>1</v>
      </c>
      <c r="N16400">
        <v>6.5624699999999996E-81</v>
      </c>
      <c r="O16400">
        <v>766</v>
      </c>
    </row>
    <row r="16401" spans="1:15" x14ac:dyDescent="0.25">
      <c r="A16401" t="s">
        <v>16414</v>
      </c>
      <c r="B16401">
        <v>367</v>
      </c>
      <c r="C16401" s="1" t="str">
        <f>HYPERLINK("http://www.rosaceae.org/gb/gbrowse/malus_x_domestica/?name=MDP0000295908","MDP0000295908")</f>
        <v>MDP0000295908</v>
      </c>
      <c r="D16401">
        <v>68.78</v>
      </c>
      <c r="E16401">
        <v>189</v>
      </c>
      <c r="F16401">
        <v>59</v>
      </c>
      <c r="G16401">
        <v>4</v>
      </c>
      <c r="H16401">
        <v>10</v>
      </c>
      <c r="I16401">
        <v>198</v>
      </c>
      <c r="J16401">
        <v>1</v>
      </c>
      <c r="K16401">
        <v>1</v>
      </c>
      <c r="L16401">
        <v>185</v>
      </c>
      <c r="M16401">
        <v>1</v>
      </c>
      <c r="N16401">
        <v>1.10212E-63</v>
      </c>
      <c r="O16401">
        <v>614</v>
      </c>
    </row>
    <row r="16402" spans="1:15" x14ac:dyDescent="0.25">
      <c r="A16402" t="s">
        <v>16415</v>
      </c>
      <c r="B16402">
        <v>828</v>
      </c>
      <c r="C16402" s="1" t="str">
        <f>HYPERLINK("http://www.rosaceae.org/gb/gbrowse/malus_x_domestica/?name=MDP0000259301","MDP0000259301")</f>
        <v>MDP0000259301</v>
      </c>
      <c r="D16402">
        <v>82.24</v>
      </c>
      <c r="E16402">
        <v>766</v>
      </c>
      <c r="F16402">
        <v>136</v>
      </c>
      <c r="G16402">
        <v>4</v>
      </c>
      <c r="H16402">
        <v>55</v>
      </c>
      <c r="I16402">
        <v>819</v>
      </c>
      <c r="J16402">
        <v>1</v>
      </c>
      <c r="K16402">
        <v>294</v>
      </c>
      <c r="L16402">
        <v>1056</v>
      </c>
      <c r="M16402">
        <v>1</v>
      </c>
      <c r="N16402">
        <v>0</v>
      </c>
      <c r="O16402">
        <v>3339</v>
      </c>
    </row>
    <row r="16403" spans="1:15" x14ac:dyDescent="0.25">
      <c r="A16403" t="s">
        <v>16416</v>
      </c>
      <c r="B16403">
        <v>475</v>
      </c>
      <c r="C16403" s="1" t="str">
        <f>HYPERLINK("http://www.rosaceae.org/gb/gbrowse/malus_x_domestica/?name=MDP0000888311","MDP0000888311")</f>
        <v>MDP0000888311</v>
      </c>
      <c r="D16403">
        <v>69.27</v>
      </c>
      <c r="E16403">
        <v>332</v>
      </c>
      <c r="F16403">
        <v>102</v>
      </c>
      <c r="G16403">
        <v>23</v>
      </c>
      <c r="H16403">
        <v>144</v>
      </c>
      <c r="I16403">
        <v>475</v>
      </c>
      <c r="J16403">
        <v>1</v>
      </c>
      <c r="K16403">
        <v>42</v>
      </c>
      <c r="L16403">
        <v>350</v>
      </c>
      <c r="M16403">
        <v>1</v>
      </c>
      <c r="N16403">
        <v>1.2018899999999999E-133</v>
      </c>
      <c r="O16403">
        <v>1219</v>
      </c>
    </row>
    <row r="16404" spans="1:15" x14ac:dyDescent="0.25">
      <c r="A16404" t="s">
        <v>16417</v>
      </c>
      <c r="B16404">
        <v>468</v>
      </c>
      <c r="C16404" s="1" t="str">
        <f>HYPERLINK("http://www.rosaceae.org/gb/gbrowse/malus_x_domestica/?name=MDP0000420368","MDP0000420368")</f>
        <v>MDP0000420368</v>
      </c>
      <c r="D16404">
        <v>53.98</v>
      </c>
      <c r="E16404">
        <v>402</v>
      </c>
      <c r="F16404">
        <v>185</v>
      </c>
      <c r="G16404">
        <v>13</v>
      </c>
      <c r="H16404">
        <v>49</v>
      </c>
      <c r="I16404">
        <v>447</v>
      </c>
      <c r="J16404">
        <v>1</v>
      </c>
      <c r="K16404">
        <v>31</v>
      </c>
      <c r="L16404">
        <v>422</v>
      </c>
      <c r="M16404">
        <v>1</v>
      </c>
      <c r="N16404">
        <v>3.29888E-124</v>
      </c>
      <c r="O16404">
        <v>1137</v>
      </c>
    </row>
    <row r="16405" spans="1:15" x14ac:dyDescent="0.25">
      <c r="A16405" t="s">
        <v>16418</v>
      </c>
      <c r="B16405">
        <v>352</v>
      </c>
      <c r="C16405" s="1" t="str">
        <f>HYPERLINK("http://www.rosaceae.org/gb/gbrowse/malus_x_domestica/?name=MDP0000258269","MDP0000258269")</f>
        <v>MDP0000258269</v>
      </c>
      <c r="D16405">
        <v>57.96</v>
      </c>
      <c r="E16405">
        <v>364</v>
      </c>
      <c r="F16405">
        <v>153</v>
      </c>
      <c r="G16405">
        <v>24</v>
      </c>
      <c r="H16405">
        <v>7</v>
      </c>
      <c r="I16405">
        <v>350</v>
      </c>
      <c r="J16405">
        <v>1</v>
      </c>
      <c r="K16405">
        <v>8</v>
      </c>
      <c r="L16405">
        <v>367</v>
      </c>
      <c r="M16405">
        <v>1</v>
      </c>
      <c r="N16405">
        <v>8.5110900000000002E-117</v>
      </c>
      <c r="O16405">
        <v>1072</v>
      </c>
    </row>
    <row r="16406" spans="1:15" x14ac:dyDescent="0.25">
      <c r="A16406" t="s">
        <v>16419</v>
      </c>
      <c r="B16406">
        <v>250</v>
      </c>
      <c r="C16406" s="1" t="str">
        <f>HYPERLINK("http://www.rosaceae.org/gb/gbrowse/malus_x_domestica/?name=MDP0000239820","MDP0000239820")</f>
        <v>MDP0000239820</v>
      </c>
      <c r="D16406">
        <v>73.92</v>
      </c>
      <c r="E16406">
        <v>257</v>
      </c>
      <c r="F16406">
        <v>67</v>
      </c>
      <c r="G16406">
        <v>14</v>
      </c>
      <c r="H16406">
        <v>1</v>
      </c>
      <c r="I16406">
        <v>250</v>
      </c>
      <c r="J16406">
        <v>1</v>
      </c>
      <c r="K16406">
        <v>26</v>
      </c>
      <c r="L16406">
        <v>275</v>
      </c>
      <c r="M16406">
        <v>1</v>
      </c>
      <c r="N16406">
        <v>6.8492799999999997E-97</v>
      </c>
      <c r="O16406">
        <v>899</v>
      </c>
    </row>
    <row r="16407" spans="1:15" x14ac:dyDescent="0.25">
      <c r="A16407" t="s">
        <v>16420</v>
      </c>
      <c r="B16407">
        <v>250</v>
      </c>
      <c r="C16407" s="1" t="str">
        <f>HYPERLINK("http://www.rosaceae.org/gb/gbrowse/malus_x_domestica/?name=MDP0000224266","MDP0000224266")</f>
        <v>MDP0000224266</v>
      </c>
      <c r="D16407">
        <v>64.23</v>
      </c>
      <c r="E16407">
        <v>260</v>
      </c>
      <c r="F16407">
        <v>93</v>
      </c>
      <c r="G16407">
        <v>47</v>
      </c>
      <c r="H16407">
        <v>30</v>
      </c>
      <c r="I16407">
        <v>245</v>
      </c>
      <c r="J16407">
        <v>1</v>
      </c>
      <c r="K16407">
        <v>613</v>
      </c>
      <c r="L16407">
        <v>869</v>
      </c>
      <c r="M16407">
        <v>1</v>
      </c>
      <c r="N16407">
        <v>4.4460199999999999E-91</v>
      </c>
      <c r="O16407">
        <v>848</v>
      </c>
    </row>
    <row r="16408" spans="1:15" x14ac:dyDescent="0.25">
      <c r="A16408" t="s">
        <v>16421</v>
      </c>
      <c r="B16408">
        <v>278</v>
      </c>
      <c r="C16408" s="1" t="str">
        <f>HYPERLINK("http://www.rosaceae.org/gb/gbrowse/malus_x_domestica/?name=MDP0000534726","MDP0000534726")</f>
        <v>MDP0000534726</v>
      </c>
      <c r="D16408">
        <v>72.680000000000007</v>
      </c>
      <c r="E16408">
        <v>227</v>
      </c>
      <c r="F16408">
        <v>62</v>
      </c>
      <c r="G16408">
        <v>36</v>
      </c>
      <c r="H16408">
        <v>50</v>
      </c>
      <c r="I16408">
        <v>272</v>
      </c>
      <c r="J16408">
        <v>1</v>
      </c>
      <c r="K16408">
        <v>93</v>
      </c>
      <c r="L16408">
        <v>287</v>
      </c>
      <c r="M16408">
        <v>1</v>
      </c>
      <c r="N16408">
        <v>6.0890499999999999E-86</v>
      </c>
      <c r="O16408">
        <v>805</v>
      </c>
    </row>
    <row r="16409" spans="1:15" x14ac:dyDescent="0.25">
      <c r="A16409" t="s">
        <v>16422</v>
      </c>
      <c r="B16409">
        <v>258</v>
      </c>
      <c r="C16409" s="1" t="str">
        <f>HYPERLINK("http://www.rosaceae.org/gb/gbrowse/malus_x_domestica/?name=MDP0000872932","MDP0000872932")</f>
        <v>MDP0000872932</v>
      </c>
      <c r="D16409">
        <v>65</v>
      </c>
      <c r="E16409">
        <v>120</v>
      </c>
      <c r="F16409">
        <v>42</v>
      </c>
      <c r="G16409">
        <v>0</v>
      </c>
      <c r="H16409">
        <v>6</v>
      </c>
      <c r="I16409">
        <v>125</v>
      </c>
      <c r="J16409">
        <v>1</v>
      </c>
      <c r="K16409">
        <v>5</v>
      </c>
      <c r="L16409">
        <v>124</v>
      </c>
      <c r="M16409">
        <v>1</v>
      </c>
      <c r="N16409">
        <v>2.9550000000000002E-40</v>
      </c>
      <c r="O16409">
        <v>410</v>
      </c>
    </row>
    <row r="16410" spans="1:15" x14ac:dyDescent="0.25">
      <c r="A16410" t="s">
        <v>16423</v>
      </c>
      <c r="B16410">
        <v>395</v>
      </c>
      <c r="C16410" s="1" t="str">
        <f>HYPERLINK("http://www.rosaceae.org/gb/gbrowse/malus_x_domestica/?name=MDP0000259323","MDP0000259323")</f>
        <v>MDP0000259323</v>
      </c>
      <c r="D16410">
        <v>81.66</v>
      </c>
      <c r="E16410">
        <v>360</v>
      </c>
      <c r="F16410">
        <v>66</v>
      </c>
      <c r="G16410">
        <v>15</v>
      </c>
      <c r="H16410">
        <v>46</v>
      </c>
      <c r="I16410">
        <v>395</v>
      </c>
      <c r="J16410">
        <v>1</v>
      </c>
      <c r="K16410">
        <v>1</v>
      </c>
      <c r="L16410">
        <v>355</v>
      </c>
      <c r="M16410">
        <v>1</v>
      </c>
      <c r="N16410">
        <v>3.7135699999999999E-170</v>
      </c>
      <c r="O16410">
        <v>1533</v>
      </c>
    </row>
    <row r="16411" spans="1:15" x14ac:dyDescent="0.25">
      <c r="A16411" t="s">
        <v>16424</v>
      </c>
      <c r="B16411">
        <v>259</v>
      </c>
      <c r="C16411" s="1" t="str">
        <f>HYPERLINK("http://www.rosaceae.org/gb/gbrowse/malus_x_domestica/?name=MDP0000434309","MDP0000434309")</f>
        <v>MDP0000434309</v>
      </c>
      <c r="D16411">
        <v>70.72</v>
      </c>
      <c r="E16411">
        <v>263</v>
      </c>
      <c r="F16411">
        <v>77</v>
      </c>
      <c r="G16411">
        <v>4</v>
      </c>
      <c r="H16411">
        <v>1</v>
      </c>
      <c r="I16411">
        <v>259</v>
      </c>
      <c r="J16411">
        <v>1</v>
      </c>
      <c r="K16411">
        <v>594</v>
      </c>
      <c r="L16411">
        <v>856</v>
      </c>
      <c r="M16411">
        <v>1</v>
      </c>
      <c r="N16411">
        <v>2.4267999999999999E-108</v>
      </c>
      <c r="O16411">
        <v>997</v>
      </c>
    </row>
    <row r="16412" spans="1:15" x14ac:dyDescent="0.25">
      <c r="A16412" t="s">
        <v>16425</v>
      </c>
      <c r="B16412">
        <v>106</v>
      </c>
      <c r="C16412" s="1" t="str">
        <f>HYPERLINK("http://www.rosaceae.org/gb/gbrowse/malus_x_domestica/?name=MDP0000933852","MDP0000933852")</f>
        <v>MDP0000933852</v>
      </c>
      <c r="D16412">
        <v>85.71</v>
      </c>
      <c r="E16412">
        <v>77</v>
      </c>
      <c r="F16412">
        <v>11</v>
      </c>
      <c r="G16412">
        <v>0</v>
      </c>
      <c r="H16412">
        <v>30</v>
      </c>
      <c r="I16412">
        <v>106</v>
      </c>
      <c r="J16412">
        <v>1</v>
      </c>
      <c r="K16412">
        <v>1</v>
      </c>
      <c r="L16412">
        <v>77</v>
      </c>
      <c r="M16412">
        <v>1</v>
      </c>
      <c r="N16412">
        <v>1.35755E-33</v>
      </c>
      <c r="O16412">
        <v>347</v>
      </c>
    </row>
    <row r="16413" spans="1:15" x14ac:dyDescent="0.25">
      <c r="A16413" t="s">
        <v>16426</v>
      </c>
      <c r="B16413">
        <v>386</v>
      </c>
      <c r="C16413" s="1" t="str">
        <f>HYPERLINK("http://www.rosaceae.org/gb/gbrowse/malus_x_domestica/?name=MDP0000276291","MDP0000276291")</f>
        <v>MDP0000276291</v>
      </c>
      <c r="D16413">
        <v>40.380000000000003</v>
      </c>
      <c r="E16413">
        <v>260</v>
      </c>
      <c r="F16413">
        <v>155</v>
      </c>
      <c r="G16413">
        <v>37</v>
      </c>
      <c r="H16413">
        <v>13</v>
      </c>
      <c r="I16413">
        <v>245</v>
      </c>
      <c r="J16413">
        <v>1</v>
      </c>
      <c r="K16413">
        <v>9</v>
      </c>
      <c r="L16413">
        <v>258</v>
      </c>
      <c r="M16413">
        <v>1</v>
      </c>
      <c r="N16413">
        <v>1.2857400000000001E-32</v>
      </c>
      <c r="O16413">
        <v>347</v>
      </c>
    </row>
    <row r="16414" spans="1:15" x14ac:dyDescent="0.25">
      <c r="A16414" t="s">
        <v>16427</v>
      </c>
      <c r="B16414">
        <v>108</v>
      </c>
      <c r="C16414" s="1" t="str">
        <f>HYPERLINK("http://www.rosaceae.org/gb/gbrowse/malus_x_domestica/?name=MDP0000090232","MDP0000090232")</f>
        <v>MDP0000090232</v>
      </c>
      <c r="D16414">
        <v>81.48</v>
      </c>
      <c r="E16414">
        <v>108</v>
      </c>
      <c r="F16414">
        <v>20</v>
      </c>
      <c r="G16414">
        <v>0</v>
      </c>
      <c r="H16414">
        <v>1</v>
      </c>
      <c r="I16414">
        <v>108</v>
      </c>
      <c r="J16414">
        <v>1</v>
      </c>
      <c r="K16414">
        <v>1</v>
      </c>
      <c r="L16414">
        <v>108</v>
      </c>
      <c r="M16414">
        <v>1</v>
      </c>
      <c r="N16414">
        <v>4.3903099999999999E-48</v>
      </c>
      <c r="O16414">
        <v>472</v>
      </c>
    </row>
    <row r="16415" spans="1:15" x14ac:dyDescent="0.25">
      <c r="A16415" t="s">
        <v>16428</v>
      </c>
      <c r="B16415">
        <v>219</v>
      </c>
      <c r="C16415" s="1" t="str">
        <f>HYPERLINK("http://www.rosaceae.org/gb/gbrowse/malus_x_domestica/?name=MDP0000213515","MDP0000213515")</f>
        <v>MDP0000213515</v>
      </c>
      <c r="D16415">
        <v>36.07</v>
      </c>
      <c r="E16415">
        <v>158</v>
      </c>
      <c r="F16415">
        <v>101</v>
      </c>
      <c r="G16415">
        <v>31</v>
      </c>
      <c r="H16415">
        <v>41</v>
      </c>
      <c r="I16415">
        <v>168</v>
      </c>
      <c r="J16415">
        <v>1</v>
      </c>
      <c r="K16415">
        <v>193</v>
      </c>
      <c r="L16415">
        <v>349</v>
      </c>
      <c r="M16415">
        <v>1</v>
      </c>
      <c r="N16415">
        <v>2.2133599999999999E-20</v>
      </c>
      <c r="O16415">
        <v>238</v>
      </c>
    </row>
    <row r="16416" spans="1:15" x14ac:dyDescent="0.25">
      <c r="A16416" t="s">
        <v>16429</v>
      </c>
      <c r="B16416">
        <v>263</v>
      </c>
      <c r="C16416" s="1" t="str">
        <f>HYPERLINK("http://www.rosaceae.org/gb/gbrowse/malus_x_domestica/?name=MDP0000205182","MDP0000205182")</f>
        <v>MDP0000205182</v>
      </c>
      <c r="D16416">
        <v>66.78</v>
      </c>
      <c r="E16416">
        <v>277</v>
      </c>
      <c r="F16416">
        <v>92</v>
      </c>
      <c r="G16416">
        <v>29</v>
      </c>
      <c r="H16416">
        <v>6</v>
      </c>
      <c r="I16416">
        <v>261</v>
      </c>
      <c r="J16416">
        <v>1</v>
      </c>
      <c r="K16416">
        <v>118</v>
      </c>
      <c r="L16416">
        <v>386</v>
      </c>
      <c r="M16416">
        <v>1</v>
      </c>
      <c r="N16416">
        <v>3.6378399999999998E-93</v>
      </c>
      <c r="O16416">
        <v>867</v>
      </c>
    </row>
    <row r="16417" spans="1:15" x14ac:dyDescent="0.25">
      <c r="A16417" t="s">
        <v>16430</v>
      </c>
      <c r="B16417">
        <v>311</v>
      </c>
      <c r="C16417" s="1" t="str">
        <f>HYPERLINK("http://www.rosaceae.org/gb/gbrowse/malus_x_domestica/?name=MDP0000854094","MDP0000854094")</f>
        <v>MDP0000854094</v>
      </c>
      <c r="D16417">
        <v>63.86</v>
      </c>
      <c r="E16417">
        <v>321</v>
      </c>
      <c r="F16417">
        <v>116</v>
      </c>
      <c r="G16417">
        <v>14</v>
      </c>
      <c r="H16417">
        <v>1</v>
      </c>
      <c r="I16417">
        <v>311</v>
      </c>
      <c r="J16417">
        <v>1</v>
      </c>
      <c r="K16417">
        <v>1</v>
      </c>
      <c r="L16417">
        <v>317</v>
      </c>
      <c r="M16417">
        <v>1</v>
      </c>
      <c r="N16417">
        <v>3.8521599999999997E-99</v>
      </c>
      <c r="O16417">
        <v>919</v>
      </c>
    </row>
    <row r="16418" spans="1:15" x14ac:dyDescent="0.25">
      <c r="A16418" t="s">
        <v>16431</v>
      </c>
      <c r="B16418">
        <v>358</v>
      </c>
      <c r="C16418" s="1" t="str">
        <f>HYPERLINK("http://www.rosaceae.org/gb/gbrowse/malus_x_domestica/?name=MDP0000234714","MDP0000234714")</f>
        <v>MDP0000234714</v>
      </c>
      <c r="D16418">
        <v>83.91</v>
      </c>
      <c r="E16418">
        <v>199</v>
      </c>
      <c r="F16418">
        <v>32</v>
      </c>
      <c r="G16418">
        <v>2</v>
      </c>
      <c r="H16418">
        <v>158</v>
      </c>
      <c r="I16418">
        <v>356</v>
      </c>
      <c r="J16418">
        <v>1</v>
      </c>
      <c r="K16418">
        <v>159</v>
      </c>
      <c r="L16418">
        <v>355</v>
      </c>
      <c r="M16418">
        <v>1</v>
      </c>
      <c r="N16418">
        <v>1.85964E-95</v>
      </c>
      <c r="O16418">
        <v>888</v>
      </c>
    </row>
    <row r="16419" spans="1:15" x14ac:dyDescent="0.25">
      <c r="A16419" t="s">
        <v>16432</v>
      </c>
      <c r="B16419">
        <v>437</v>
      </c>
      <c r="C16419" s="1" t="str">
        <f>HYPERLINK("http://www.rosaceae.org/gb/gbrowse/malus_x_domestica/?name=MDP0000321160","MDP0000321160")</f>
        <v>MDP0000321160</v>
      </c>
      <c r="D16419">
        <v>64.38</v>
      </c>
      <c r="E16419">
        <v>424</v>
      </c>
      <c r="F16419">
        <v>151</v>
      </c>
      <c r="G16419">
        <v>26</v>
      </c>
      <c r="H16419">
        <v>5</v>
      </c>
      <c r="I16419">
        <v>402</v>
      </c>
      <c r="J16419">
        <v>1</v>
      </c>
      <c r="K16419">
        <v>4</v>
      </c>
      <c r="L16419">
        <v>427</v>
      </c>
      <c r="M16419">
        <v>1</v>
      </c>
      <c r="N16419">
        <v>8.7928999999999991E-140</v>
      </c>
      <c r="O16419">
        <v>1271</v>
      </c>
    </row>
    <row r="16420" spans="1:15" x14ac:dyDescent="0.25">
      <c r="A16420" t="s">
        <v>16433</v>
      </c>
      <c r="B16420">
        <v>317</v>
      </c>
      <c r="C16420" s="1" t="str">
        <f>HYPERLINK("http://www.rosaceae.org/gb/gbrowse/malus_x_domestica/?name=MDP0000253269","MDP0000253269")</f>
        <v>MDP0000253269</v>
      </c>
      <c r="D16420">
        <v>82.38</v>
      </c>
      <c r="E16420">
        <v>318</v>
      </c>
      <c r="F16420">
        <v>56</v>
      </c>
      <c r="G16420">
        <v>5</v>
      </c>
      <c r="H16420">
        <v>1</v>
      </c>
      <c r="I16420">
        <v>316</v>
      </c>
      <c r="J16420">
        <v>1</v>
      </c>
      <c r="K16420">
        <v>1</v>
      </c>
      <c r="L16420">
        <v>315</v>
      </c>
      <c r="M16420">
        <v>1</v>
      </c>
      <c r="N16420">
        <v>6.0125199999999997E-158</v>
      </c>
      <c r="O16420">
        <v>1426</v>
      </c>
    </row>
    <row r="16421" spans="1:15" x14ac:dyDescent="0.25">
      <c r="A16421" t="s">
        <v>16434</v>
      </c>
      <c r="B16421">
        <v>483</v>
      </c>
      <c r="C16421" s="1" t="str">
        <f>HYPERLINK("http://www.rosaceae.org/gb/gbrowse/malus_x_domestica/?name=MDP0000280980","MDP0000280980")</f>
        <v>MDP0000280980</v>
      </c>
      <c r="D16421">
        <v>34.47</v>
      </c>
      <c r="E16421">
        <v>496</v>
      </c>
      <c r="F16421">
        <v>325</v>
      </c>
      <c r="G16421">
        <v>38</v>
      </c>
      <c r="H16421">
        <v>16</v>
      </c>
      <c r="I16421">
        <v>482</v>
      </c>
      <c r="J16421">
        <v>1</v>
      </c>
      <c r="K16421">
        <v>7</v>
      </c>
      <c r="L16421">
        <v>493</v>
      </c>
      <c r="M16421">
        <v>1</v>
      </c>
      <c r="N16421">
        <v>1.25639E-83</v>
      </c>
      <c r="O16421">
        <v>788</v>
      </c>
    </row>
    <row r="16422" spans="1:15" x14ac:dyDescent="0.25">
      <c r="A16422" t="s">
        <v>16435</v>
      </c>
      <c r="B16422">
        <v>718</v>
      </c>
      <c r="C16422" s="1" t="str">
        <f>HYPERLINK("http://www.rosaceae.org/gb/gbrowse/malus_x_domestica/?name=MDP0000416548","MDP0000416548")</f>
        <v>MDP0000416548</v>
      </c>
      <c r="D16422">
        <v>76.69</v>
      </c>
      <c r="E16422">
        <v>695</v>
      </c>
      <c r="F16422">
        <v>162</v>
      </c>
      <c r="G16422">
        <v>6</v>
      </c>
      <c r="H16422">
        <v>29</v>
      </c>
      <c r="I16422">
        <v>717</v>
      </c>
      <c r="J16422">
        <v>1</v>
      </c>
      <c r="K16422">
        <v>28</v>
      </c>
      <c r="L16422">
        <v>722</v>
      </c>
      <c r="M16422">
        <v>1</v>
      </c>
      <c r="N16422">
        <v>0</v>
      </c>
      <c r="O16422">
        <v>2938</v>
      </c>
    </row>
    <row r="16423" spans="1:15" x14ac:dyDescent="0.25">
      <c r="A16423" t="s">
        <v>16436</v>
      </c>
      <c r="B16423">
        <v>212</v>
      </c>
      <c r="C16423" s="1" t="str">
        <f>HYPERLINK("http://www.rosaceae.org/gb/gbrowse/malus_x_domestica/?name=MDP0000247659","MDP0000247659")</f>
        <v>MDP0000247659</v>
      </c>
      <c r="D16423">
        <v>71.62</v>
      </c>
      <c r="E16423">
        <v>215</v>
      </c>
      <c r="F16423">
        <v>61</v>
      </c>
      <c r="G16423">
        <v>3</v>
      </c>
      <c r="H16423">
        <v>1</v>
      </c>
      <c r="I16423">
        <v>212</v>
      </c>
      <c r="J16423">
        <v>1</v>
      </c>
      <c r="K16423">
        <v>1</v>
      </c>
      <c r="L16423">
        <v>215</v>
      </c>
      <c r="M16423">
        <v>1</v>
      </c>
      <c r="N16423">
        <v>1.8515399999999999E-83</v>
      </c>
      <c r="O16423">
        <v>782</v>
      </c>
    </row>
    <row r="16424" spans="1:15" x14ac:dyDescent="0.25">
      <c r="A16424" t="s">
        <v>16437</v>
      </c>
      <c r="B16424">
        <v>346</v>
      </c>
      <c r="C16424" s="1" t="str">
        <f>HYPERLINK("http://www.rosaceae.org/gb/gbrowse/malus_x_domestica/?name=MDP0000344293","MDP0000344293")</f>
        <v>MDP0000344293</v>
      </c>
      <c r="D16424">
        <v>71.59</v>
      </c>
      <c r="E16424">
        <v>264</v>
      </c>
      <c r="F16424">
        <v>75</v>
      </c>
      <c r="G16424">
        <v>0</v>
      </c>
      <c r="H16424">
        <v>1</v>
      </c>
      <c r="I16424">
        <v>264</v>
      </c>
      <c r="J16424">
        <v>1</v>
      </c>
      <c r="K16424">
        <v>1</v>
      </c>
      <c r="L16424">
        <v>264</v>
      </c>
      <c r="M16424">
        <v>1</v>
      </c>
      <c r="N16424">
        <v>3.95569E-114</v>
      </c>
      <c r="O16424">
        <v>1049</v>
      </c>
    </row>
    <row r="16425" spans="1:15" x14ac:dyDescent="0.25">
      <c r="A16425" t="s">
        <v>16438</v>
      </c>
      <c r="B16425">
        <v>367</v>
      </c>
      <c r="C16425" s="1" t="str">
        <f>HYPERLINK("http://www.rosaceae.org/gb/gbrowse/malus_x_domestica/?name=MDP0000939744","MDP0000939744")</f>
        <v>MDP0000939744</v>
      </c>
      <c r="D16425">
        <v>40.549999999999997</v>
      </c>
      <c r="E16425">
        <v>397</v>
      </c>
      <c r="F16425">
        <v>236</v>
      </c>
      <c r="G16425">
        <v>70</v>
      </c>
      <c r="H16425">
        <v>1</v>
      </c>
      <c r="I16425">
        <v>367</v>
      </c>
      <c r="J16425">
        <v>1</v>
      </c>
      <c r="K16425">
        <v>1</v>
      </c>
      <c r="L16425">
        <v>357</v>
      </c>
      <c r="M16425">
        <v>1</v>
      </c>
      <c r="N16425">
        <v>1.2315999999999999E-54</v>
      </c>
      <c r="O16425">
        <v>536</v>
      </c>
    </row>
    <row r="16426" spans="1:15" x14ac:dyDescent="0.25">
      <c r="A16426" t="s">
        <v>16439</v>
      </c>
      <c r="B16426">
        <v>266</v>
      </c>
      <c r="C16426" s="1" t="str">
        <f>HYPERLINK("http://www.rosaceae.org/gb/gbrowse/malus_x_domestica/?name=MDP0000222759","MDP0000222759")</f>
        <v>MDP0000222759</v>
      </c>
      <c r="D16426">
        <v>85.65</v>
      </c>
      <c r="E16426">
        <v>230</v>
      </c>
      <c r="F16426">
        <v>33</v>
      </c>
      <c r="G16426">
        <v>0</v>
      </c>
      <c r="H16426">
        <v>37</v>
      </c>
      <c r="I16426">
        <v>266</v>
      </c>
      <c r="J16426">
        <v>1</v>
      </c>
      <c r="K16426">
        <v>134</v>
      </c>
      <c r="L16426">
        <v>363</v>
      </c>
      <c r="M16426">
        <v>1</v>
      </c>
      <c r="N16426">
        <v>2.5053100000000001E-114</v>
      </c>
      <c r="O16426">
        <v>1049</v>
      </c>
    </row>
    <row r="16427" spans="1:15" x14ac:dyDescent="0.25">
      <c r="A16427" t="s">
        <v>16440</v>
      </c>
      <c r="B16427">
        <v>196</v>
      </c>
      <c r="C16427" s="1" t="str">
        <f>HYPERLINK("http://www.rosaceae.org/gb/gbrowse/malus_x_domestica/?name=MDP0000500222","MDP0000500222")</f>
        <v>MDP0000500222</v>
      </c>
      <c r="D16427">
        <v>31.77</v>
      </c>
      <c r="E16427">
        <v>192</v>
      </c>
      <c r="F16427">
        <v>131</v>
      </c>
      <c r="G16427">
        <v>32</v>
      </c>
      <c r="H16427">
        <v>13</v>
      </c>
      <c r="I16427">
        <v>183</v>
      </c>
      <c r="J16427">
        <v>1</v>
      </c>
      <c r="K16427">
        <v>74</v>
      </c>
      <c r="L16427">
        <v>254</v>
      </c>
      <c r="M16427">
        <v>1</v>
      </c>
      <c r="N16427">
        <v>6.84455E-16</v>
      </c>
      <c r="O16427">
        <v>198</v>
      </c>
    </row>
    <row r="16428" spans="1:15" x14ac:dyDescent="0.25">
      <c r="A16428" t="s">
        <v>16441</v>
      </c>
      <c r="B16428">
        <v>282</v>
      </c>
      <c r="C16428" s="1" t="str">
        <f>HYPERLINK("http://www.rosaceae.org/gb/gbrowse/malus_x_domestica/?name=MDP0000891859","MDP0000891859")</f>
        <v>MDP0000891859</v>
      </c>
      <c r="D16428">
        <v>44.18</v>
      </c>
      <c r="E16428">
        <v>301</v>
      </c>
      <c r="F16428">
        <v>168</v>
      </c>
      <c r="G16428">
        <v>38</v>
      </c>
      <c r="H16428">
        <v>1</v>
      </c>
      <c r="I16428">
        <v>282</v>
      </c>
      <c r="J16428">
        <v>1</v>
      </c>
      <c r="K16428">
        <v>1</v>
      </c>
      <c r="L16428">
        <v>282</v>
      </c>
      <c r="M16428">
        <v>1</v>
      </c>
      <c r="N16428">
        <v>1.8000899999999999E-50</v>
      </c>
      <c r="O16428">
        <v>499</v>
      </c>
    </row>
    <row r="16429" spans="1:15" x14ac:dyDescent="0.25">
      <c r="A16429" t="s">
        <v>16442</v>
      </c>
      <c r="B16429">
        <v>471</v>
      </c>
      <c r="C16429" s="1" t="str">
        <f>HYPERLINK("http://www.rosaceae.org/gb/gbrowse/malus_x_domestica/?name=MDP0000203318","MDP0000203318")</f>
        <v>MDP0000203318</v>
      </c>
      <c r="D16429">
        <v>84.84</v>
      </c>
      <c r="E16429">
        <v>231</v>
      </c>
      <c r="F16429">
        <v>35</v>
      </c>
      <c r="G16429">
        <v>0</v>
      </c>
      <c r="H16429">
        <v>233</v>
      </c>
      <c r="I16429">
        <v>463</v>
      </c>
      <c r="J16429">
        <v>1</v>
      </c>
      <c r="K16429">
        <v>102</v>
      </c>
      <c r="L16429">
        <v>332</v>
      </c>
      <c r="M16429">
        <v>1</v>
      </c>
      <c r="N16429">
        <v>1.29753E-119</v>
      </c>
      <c r="O16429">
        <v>1098</v>
      </c>
    </row>
    <row r="16430" spans="1:15" x14ac:dyDescent="0.25">
      <c r="A16430" t="s">
        <v>16443</v>
      </c>
      <c r="B16430">
        <v>200</v>
      </c>
      <c r="C16430" s="1" t="str">
        <f>HYPERLINK("http://www.rosaceae.org/gb/gbrowse/malus_x_domestica/?name=MDP0000305676","MDP0000305676")</f>
        <v>MDP0000305676</v>
      </c>
      <c r="D16430">
        <v>72.19</v>
      </c>
      <c r="E16430">
        <v>205</v>
      </c>
      <c r="F16430">
        <v>57</v>
      </c>
      <c r="G16430">
        <v>6</v>
      </c>
      <c r="H16430">
        <v>1</v>
      </c>
      <c r="I16430">
        <v>200</v>
      </c>
      <c r="J16430">
        <v>1</v>
      </c>
      <c r="K16430">
        <v>1</v>
      </c>
      <c r="L16430">
        <v>204</v>
      </c>
      <c r="M16430">
        <v>1</v>
      </c>
      <c r="N16430">
        <v>4.6143300000000004E-75</v>
      </c>
      <c r="O16430">
        <v>709</v>
      </c>
    </row>
    <row r="16431" spans="1:15" x14ac:dyDescent="0.25">
      <c r="A16431" t="s">
        <v>16444</v>
      </c>
      <c r="B16431">
        <v>250</v>
      </c>
      <c r="C16431" s="1" t="str">
        <f>HYPERLINK("http://www.rosaceae.org/gb/gbrowse/malus_x_domestica/?name=MDP0000231030","MDP0000231030")</f>
        <v>MDP0000231030</v>
      </c>
      <c r="D16431">
        <v>61.56</v>
      </c>
      <c r="E16431">
        <v>255</v>
      </c>
      <c r="F16431">
        <v>98</v>
      </c>
      <c r="G16431">
        <v>35</v>
      </c>
      <c r="H16431">
        <v>25</v>
      </c>
      <c r="I16431">
        <v>247</v>
      </c>
      <c r="J16431">
        <v>1</v>
      </c>
      <c r="K16431">
        <v>24</v>
      </c>
      <c r="L16431">
        <v>275</v>
      </c>
      <c r="M16431">
        <v>1</v>
      </c>
      <c r="N16431">
        <v>1.9531700000000001E-79</v>
      </c>
      <c r="O16431">
        <v>748</v>
      </c>
    </row>
    <row r="16432" spans="1:15" x14ac:dyDescent="0.25">
      <c r="A16432" t="s">
        <v>16445</v>
      </c>
      <c r="B16432">
        <v>232</v>
      </c>
      <c r="C16432" s="1" t="str">
        <f>HYPERLINK("http://www.rosaceae.org/gb/gbrowse/malus_x_domestica/?name=MDP0000731702","MDP0000731702")</f>
        <v>MDP0000731702</v>
      </c>
      <c r="D16432">
        <v>56.39</v>
      </c>
      <c r="E16432">
        <v>211</v>
      </c>
      <c r="F16432">
        <v>92</v>
      </c>
      <c r="G16432">
        <v>12</v>
      </c>
      <c r="H16432">
        <v>18</v>
      </c>
      <c r="I16432">
        <v>228</v>
      </c>
      <c r="J16432">
        <v>1</v>
      </c>
      <c r="K16432">
        <v>258</v>
      </c>
      <c r="L16432">
        <v>456</v>
      </c>
      <c r="M16432">
        <v>1</v>
      </c>
      <c r="N16432">
        <v>7.8433199999999997E-59</v>
      </c>
      <c r="O16432">
        <v>570</v>
      </c>
    </row>
    <row r="16433" spans="1:15" x14ac:dyDescent="0.25">
      <c r="A16433" t="s">
        <v>16446</v>
      </c>
      <c r="B16433">
        <v>126</v>
      </c>
      <c r="C16433" s="1" t="str">
        <f>HYPERLINK("http://www.rosaceae.org/gb/gbrowse/malus_x_domestica/?name=MDP0000173893","MDP0000173893")</f>
        <v>MDP0000173893</v>
      </c>
      <c r="D16433">
        <v>67.459999999999994</v>
      </c>
      <c r="E16433">
        <v>126</v>
      </c>
      <c r="F16433">
        <v>41</v>
      </c>
      <c r="G16433">
        <v>4</v>
      </c>
      <c r="H16433">
        <v>3</v>
      </c>
      <c r="I16433">
        <v>126</v>
      </c>
      <c r="J16433">
        <v>1</v>
      </c>
      <c r="K16433">
        <v>460</v>
      </c>
      <c r="L16433">
        <v>583</v>
      </c>
      <c r="M16433">
        <v>1</v>
      </c>
      <c r="N16433">
        <v>1.19426E-41</v>
      </c>
      <c r="O16433">
        <v>417</v>
      </c>
    </row>
    <row r="16434" spans="1:15" x14ac:dyDescent="0.25">
      <c r="A16434" t="s">
        <v>16447</v>
      </c>
      <c r="B16434">
        <v>178</v>
      </c>
      <c r="C16434" s="1" t="str">
        <f>HYPERLINK("http://www.rosaceae.org/gb/gbrowse/malus_x_domestica/?name=MDP0000865739","MDP0000865739")</f>
        <v>MDP0000865739</v>
      </c>
      <c r="D16434">
        <v>66.150000000000006</v>
      </c>
      <c r="E16434">
        <v>130</v>
      </c>
      <c r="F16434">
        <v>44</v>
      </c>
      <c r="G16434">
        <v>8</v>
      </c>
      <c r="H16434">
        <v>54</v>
      </c>
      <c r="I16434">
        <v>178</v>
      </c>
      <c r="J16434">
        <v>1</v>
      </c>
      <c r="K16434">
        <v>62</v>
      </c>
      <c r="L16434">
        <v>188</v>
      </c>
      <c r="M16434">
        <v>1</v>
      </c>
      <c r="N16434">
        <v>3.5347899999999998E-39</v>
      </c>
      <c r="O16434">
        <v>399</v>
      </c>
    </row>
    <row r="16435" spans="1:15" x14ac:dyDescent="0.25">
      <c r="A16435" t="s">
        <v>16448</v>
      </c>
      <c r="B16435">
        <v>411</v>
      </c>
      <c r="C16435" s="1" t="str">
        <f>HYPERLINK("http://www.rosaceae.org/gb/gbrowse/malus_x_domestica/?name=MDP0000188790","MDP0000188790")</f>
        <v>MDP0000188790</v>
      </c>
      <c r="D16435">
        <v>72.27</v>
      </c>
      <c r="E16435">
        <v>321</v>
      </c>
      <c r="F16435">
        <v>89</v>
      </c>
      <c r="G16435">
        <v>8</v>
      </c>
      <c r="H16435">
        <v>1</v>
      </c>
      <c r="I16435">
        <v>321</v>
      </c>
      <c r="J16435">
        <v>1</v>
      </c>
      <c r="K16435">
        <v>1</v>
      </c>
      <c r="L16435">
        <v>313</v>
      </c>
      <c r="M16435">
        <v>1</v>
      </c>
      <c r="N16435">
        <v>4.2385600000000001E-130</v>
      </c>
      <c r="O16435">
        <v>1188</v>
      </c>
    </row>
    <row r="16436" spans="1:15" x14ac:dyDescent="0.25">
      <c r="A16436" t="s">
        <v>16449</v>
      </c>
      <c r="B16436">
        <v>288</v>
      </c>
      <c r="C16436" s="1" t="str">
        <f>HYPERLINK("http://www.rosaceae.org/gb/gbrowse/malus_x_domestica/?name=MDP0000293137","MDP0000293137")</f>
        <v>MDP0000293137</v>
      </c>
      <c r="D16436">
        <v>35.32</v>
      </c>
      <c r="E16436">
        <v>184</v>
      </c>
      <c r="F16436">
        <v>119</v>
      </c>
      <c r="G16436">
        <v>32</v>
      </c>
      <c r="H16436">
        <v>12</v>
      </c>
      <c r="I16436">
        <v>185</v>
      </c>
      <c r="J16436">
        <v>1</v>
      </c>
      <c r="K16436">
        <v>114</v>
      </c>
      <c r="L16436">
        <v>275</v>
      </c>
      <c r="M16436">
        <v>1</v>
      </c>
      <c r="N16436">
        <v>1.18787E-14</v>
      </c>
      <c r="O16436">
        <v>190</v>
      </c>
    </row>
    <row r="16437" spans="1:15" x14ac:dyDescent="0.25">
      <c r="A16437" t="s">
        <v>16450</v>
      </c>
      <c r="B16437">
        <v>576</v>
      </c>
      <c r="C16437" s="1" t="str">
        <f>HYPERLINK("http://www.rosaceae.org/gb/gbrowse/malus_x_domestica/?name=MDP0000234975","MDP0000234975")</f>
        <v>MDP0000234975</v>
      </c>
      <c r="D16437">
        <v>68.08</v>
      </c>
      <c r="E16437">
        <v>495</v>
      </c>
      <c r="F16437">
        <v>158</v>
      </c>
      <c r="G16437">
        <v>51</v>
      </c>
      <c r="H16437">
        <v>81</v>
      </c>
      <c r="I16437">
        <v>575</v>
      </c>
      <c r="J16437">
        <v>1</v>
      </c>
      <c r="K16437">
        <v>1</v>
      </c>
      <c r="L16437">
        <v>444</v>
      </c>
      <c r="M16437">
        <v>1</v>
      </c>
      <c r="N16437">
        <v>0</v>
      </c>
      <c r="O16437">
        <v>1729</v>
      </c>
    </row>
    <row r="16438" spans="1:15" x14ac:dyDescent="0.25">
      <c r="A16438" t="s">
        <v>16451</v>
      </c>
      <c r="B16438">
        <v>211</v>
      </c>
      <c r="C16438" s="1" t="str">
        <f>HYPERLINK("http://www.rosaceae.org/gb/gbrowse/malus_x_domestica/?name=MDP0000371907","MDP0000371907")</f>
        <v>MDP0000371907</v>
      </c>
      <c r="D16438">
        <v>75.69</v>
      </c>
      <c r="E16438">
        <v>144</v>
      </c>
      <c r="F16438">
        <v>35</v>
      </c>
      <c r="G16438">
        <v>2</v>
      </c>
      <c r="H16438">
        <v>8</v>
      </c>
      <c r="I16438">
        <v>149</v>
      </c>
      <c r="J16438">
        <v>1</v>
      </c>
      <c r="K16438">
        <v>10</v>
      </c>
      <c r="L16438">
        <v>153</v>
      </c>
      <c r="M16438">
        <v>1</v>
      </c>
      <c r="N16438">
        <v>1.04752E-60</v>
      </c>
      <c r="O16438">
        <v>585</v>
      </c>
    </row>
    <row r="16439" spans="1:15" x14ac:dyDescent="0.25">
      <c r="A16439" t="s">
        <v>16452</v>
      </c>
      <c r="B16439">
        <v>373</v>
      </c>
      <c r="C16439" s="1" t="str">
        <f>HYPERLINK("http://www.rosaceae.org/gb/gbrowse/malus_x_domestica/?name=MDP0000321746","MDP0000321746")</f>
        <v>MDP0000321746</v>
      </c>
      <c r="D16439">
        <v>92.22</v>
      </c>
      <c r="E16439">
        <v>373</v>
      </c>
      <c r="F16439">
        <v>29</v>
      </c>
      <c r="G16439">
        <v>0</v>
      </c>
      <c r="H16439">
        <v>1</v>
      </c>
      <c r="I16439">
        <v>373</v>
      </c>
      <c r="J16439">
        <v>1</v>
      </c>
      <c r="K16439">
        <v>426</v>
      </c>
      <c r="L16439">
        <v>798</v>
      </c>
      <c r="M16439">
        <v>1</v>
      </c>
      <c r="N16439">
        <v>0</v>
      </c>
      <c r="O16439">
        <v>1892</v>
      </c>
    </row>
    <row r="16440" spans="1:15" x14ac:dyDescent="0.25">
      <c r="A16440" t="s">
        <v>16453</v>
      </c>
      <c r="B16440">
        <v>472</v>
      </c>
      <c r="C16440" s="1" t="str">
        <f>HYPERLINK("http://www.rosaceae.org/gb/gbrowse/malus_x_domestica/?name=MDP0000245344","MDP0000245344")</f>
        <v>MDP0000245344</v>
      </c>
      <c r="D16440">
        <v>40.24</v>
      </c>
      <c r="E16440">
        <v>410</v>
      </c>
      <c r="F16440">
        <v>245</v>
      </c>
      <c r="G16440">
        <v>67</v>
      </c>
      <c r="H16440">
        <v>1</v>
      </c>
      <c r="I16440">
        <v>386</v>
      </c>
      <c r="J16440">
        <v>1</v>
      </c>
      <c r="K16440">
        <v>1</v>
      </c>
      <c r="L16440">
        <v>367</v>
      </c>
      <c r="M16440">
        <v>1</v>
      </c>
      <c r="N16440">
        <v>1.74056E-65</v>
      </c>
      <c r="O16440">
        <v>631</v>
      </c>
    </row>
    <row r="16441" spans="1:15" x14ac:dyDescent="0.25">
      <c r="A16441" t="s">
        <v>16454</v>
      </c>
      <c r="B16441">
        <v>736</v>
      </c>
      <c r="C16441" s="1" t="str">
        <f>HYPERLINK("http://www.rosaceae.org/gb/gbrowse/malus_x_domestica/?name=MDP0000486205","MDP0000486205")</f>
        <v>MDP0000486205</v>
      </c>
      <c r="D16441">
        <v>42.25</v>
      </c>
      <c r="E16441">
        <v>788</v>
      </c>
      <c r="F16441">
        <v>455</v>
      </c>
      <c r="G16441">
        <v>135</v>
      </c>
      <c r="H16441">
        <v>5</v>
      </c>
      <c r="I16441">
        <v>736</v>
      </c>
      <c r="J16441">
        <v>1</v>
      </c>
      <c r="K16441">
        <v>101</v>
      </c>
      <c r="L16441">
        <v>809</v>
      </c>
      <c r="M16441">
        <v>1</v>
      </c>
      <c r="N16441">
        <v>2.73527E-136</v>
      </c>
      <c r="O16441">
        <v>1244</v>
      </c>
    </row>
    <row r="16442" spans="1:15" x14ac:dyDescent="0.25">
      <c r="A16442" t="s">
        <v>16455</v>
      </c>
      <c r="B16442">
        <v>536</v>
      </c>
      <c r="C16442" s="1" t="str">
        <f>HYPERLINK("http://www.rosaceae.org/gb/gbrowse/malus_x_domestica/?name=MDP0000836170","MDP0000836170")</f>
        <v>MDP0000836170</v>
      </c>
      <c r="D16442">
        <v>66.900000000000006</v>
      </c>
      <c r="E16442">
        <v>275</v>
      </c>
      <c r="F16442">
        <v>91</v>
      </c>
      <c r="G16442">
        <v>21</v>
      </c>
      <c r="H16442">
        <v>270</v>
      </c>
      <c r="I16442">
        <v>536</v>
      </c>
      <c r="J16442">
        <v>1</v>
      </c>
      <c r="K16442">
        <v>20</v>
      </c>
      <c r="L16442">
        <v>281</v>
      </c>
      <c r="M16442">
        <v>1</v>
      </c>
      <c r="N16442">
        <v>3.0024599999999999E-102</v>
      </c>
      <c r="O16442">
        <v>949</v>
      </c>
    </row>
    <row r="16443" spans="1:15" x14ac:dyDescent="0.25">
      <c r="A16443" t="s">
        <v>16456</v>
      </c>
      <c r="B16443">
        <v>357</v>
      </c>
      <c r="C16443" s="1" t="str">
        <f>HYPERLINK("http://www.rosaceae.org/gb/gbrowse/malus_x_domestica/?name=MDP0000176105","MDP0000176105")</f>
        <v>MDP0000176105</v>
      </c>
      <c r="D16443">
        <v>74.09</v>
      </c>
      <c r="E16443">
        <v>359</v>
      </c>
      <c r="F16443">
        <v>93</v>
      </c>
      <c r="G16443">
        <v>10</v>
      </c>
      <c r="H16443">
        <v>1</v>
      </c>
      <c r="I16443">
        <v>354</v>
      </c>
      <c r="J16443">
        <v>1</v>
      </c>
      <c r="K16443">
        <v>1</v>
      </c>
      <c r="L16443">
        <v>354</v>
      </c>
      <c r="M16443">
        <v>1</v>
      </c>
      <c r="N16443">
        <v>6.8697900000000005E-150</v>
      </c>
      <c r="O16443">
        <v>1357</v>
      </c>
    </row>
    <row r="16444" spans="1:15" x14ac:dyDescent="0.25">
      <c r="A16444" t="s">
        <v>16457</v>
      </c>
      <c r="B16444">
        <v>173</v>
      </c>
      <c r="C16444" s="1" t="str">
        <f>HYPERLINK("http://www.rosaceae.org/gb/gbrowse/malus_x_domestica/?name=MDP0000155138","MDP0000155138")</f>
        <v>MDP0000155138</v>
      </c>
      <c r="D16444">
        <v>81.650000000000006</v>
      </c>
      <c r="E16444">
        <v>169</v>
      </c>
      <c r="F16444">
        <v>31</v>
      </c>
      <c r="G16444">
        <v>3</v>
      </c>
      <c r="H16444">
        <v>6</v>
      </c>
      <c r="I16444">
        <v>173</v>
      </c>
      <c r="J16444">
        <v>1</v>
      </c>
      <c r="K16444">
        <v>3</v>
      </c>
      <c r="L16444">
        <v>169</v>
      </c>
      <c r="M16444">
        <v>1</v>
      </c>
      <c r="N16444">
        <v>3.31065E-74</v>
      </c>
      <c r="O16444">
        <v>700</v>
      </c>
    </row>
    <row r="16445" spans="1:15" x14ac:dyDescent="0.25">
      <c r="A16445" t="s">
        <v>16458</v>
      </c>
      <c r="B16445">
        <v>977</v>
      </c>
      <c r="C16445" s="1" t="str">
        <f>HYPERLINK("http://www.rosaceae.org/gb/gbrowse/malus_x_domestica/?name=MDP0000261961","MDP0000261961")</f>
        <v>MDP0000261961</v>
      </c>
      <c r="D16445">
        <v>81.540000000000006</v>
      </c>
      <c r="E16445">
        <v>661</v>
      </c>
      <c r="F16445">
        <v>122</v>
      </c>
      <c r="G16445">
        <v>53</v>
      </c>
      <c r="H16445">
        <v>26</v>
      </c>
      <c r="I16445">
        <v>640</v>
      </c>
      <c r="J16445">
        <v>1</v>
      </c>
      <c r="K16445">
        <v>26</v>
      </c>
      <c r="L16445">
        <v>679</v>
      </c>
      <c r="M16445">
        <v>1</v>
      </c>
      <c r="N16445">
        <v>0</v>
      </c>
      <c r="O16445">
        <v>2834</v>
      </c>
    </row>
    <row r="16446" spans="1:15" x14ac:dyDescent="0.25">
      <c r="A16446" t="s">
        <v>16459</v>
      </c>
      <c r="B16446">
        <v>647</v>
      </c>
      <c r="C16446" s="1" t="str">
        <f>HYPERLINK("http://www.rosaceae.org/gb/gbrowse/malus_x_domestica/?name=MDP0000535058","MDP0000535058")</f>
        <v>MDP0000535058</v>
      </c>
      <c r="D16446">
        <v>69.12</v>
      </c>
      <c r="E16446">
        <v>638</v>
      </c>
      <c r="F16446">
        <v>197</v>
      </c>
      <c r="G16446">
        <v>53</v>
      </c>
      <c r="H16446">
        <v>24</v>
      </c>
      <c r="I16446">
        <v>644</v>
      </c>
      <c r="J16446">
        <v>1</v>
      </c>
      <c r="K16446">
        <v>37</v>
      </c>
      <c r="L16446">
        <v>638</v>
      </c>
      <c r="M16446">
        <v>1</v>
      </c>
      <c r="N16446">
        <v>0</v>
      </c>
      <c r="O16446">
        <v>2183</v>
      </c>
    </row>
    <row r="16447" spans="1:15" x14ac:dyDescent="0.25">
      <c r="A16447" t="s">
        <v>16460</v>
      </c>
      <c r="B16447">
        <v>340</v>
      </c>
      <c r="C16447" s="1" t="str">
        <f>HYPERLINK("http://www.rosaceae.org/gb/gbrowse/malus_x_domestica/?name=MDP0000927262","MDP0000927262")</f>
        <v>MDP0000927262</v>
      </c>
      <c r="D16447">
        <v>80</v>
      </c>
      <c r="E16447">
        <v>75</v>
      </c>
      <c r="F16447">
        <v>15</v>
      </c>
      <c r="G16447">
        <v>7</v>
      </c>
      <c r="H16447">
        <v>264</v>
      </c>
      <c r="I16447">
        <v>331</v>
      </c>
      <c r="J16447">
        <v>1</v>
      </c>
      <c r="K16447">
        <v>1</v>
      </c>
      <c r="L16447">
        <v>75</v>
      </c>
      <c r="M16447">
        <v>1</v>
      </c>
      <c r="N16447">
        <v>1.7758400000000001E-27</v>
      </c>
      <c r="O16447">
        <v>302</v>
      </c>
    </row>
    <row r="16448" spans="1:15" x14ac:dyDescent="0.25">
      <c r="A16448" t="s">
        <v>16461</v>
      </c>
      <c r="B16448">
        <v>670</v>
      </c>
      <c r="C16448" s="1" t="str">
        <f>HYPERLINK("http://www.rosaceae.org/gb/gbrowse/malus_x_domestica/?name=MDP0000279790","MDP0000279790")</f>
        <v>MDP0000279790</v>
      </c>
      <c r="D16448">
        <v>65.92</v>
      </c>
      <c r="E16448">
        <v>584</v>
      </c>
      <c r="F16448">
        <v>199</v>
      </c>
      <c r="G16448">
        <v>76</v>
      </c>
      <c r="H16448">
        <v>1</v>
      </c>
      <c r="I16448">
        <v>571</v>
      </c>
      <c r="J16448">
        <v>1</v>
      </c>
      <c r="K16448">
        <v>1</v>
      </c>
      <c r="L16448">
        <v>521</v>
      </c>
      <c r="M16448">
        <v>1</v>
      </c>
      <c r="N16448">
        <v>0</v>
      </c>
      <c r="O16448">
        <v>1833</v>
      </c>
    </row>
    <row r="16449" spans="1:15" x14ac:dyDescent="0.25">
      <c r="A16449" t="s">
        <v>16462</v>
      </c>
      <c r="B16449">
        <v>988</v>
      </c>
      <c r="C16449" s="1" t="str">
        <f>HYPERLINK("http://www.rosaceae.org/gb/gbrowse/malus_x_domestica/?name=MDP0000459257","MDP0000459257")</f>
        <v>MDP0000459257</v>
      </c>
      <c r="D16449">
        <v>80.849999999999994</v>
      </c>
      <c r="E16449">
        <v>653</v>
      </c>
      <c r="F16449">
        <v>125</v>
      </c>
      <c r="G16449">
        <v>11</v>
      </c>
      <c r="H16449">
        <v>1</v>
      </c>
      <c r="I16449">
        <v>642</v>
      </c>
      <c r="J16449">
        <v>1</v>
      </c>
      <c r="K16449">
        <v>1</v>
      </c>
      <c r="L16449">
        <v>653</v>
      </c>
      <c r="M16449">
        <v>1</v>
      </c>
      <c r="N16449">
        <v>0</v>
      </c>
      <c r="O16449">
        <v>2663</v>
      </c>
    </row>
    <row r="16450" spans="1:15" x14ac:dyDescent="0.25">
      <c r="A16450" t="s">
        <v>16463</v>
      </c>
      <c r="B16450">
        <v>154</v>
      </c>
      <c r="C16450" s="1" t="str">
        <f>HYPERLINK("http://www.rosaceae.org/gb/gbrowse/malus_x_domestica/?name=MDP0000648324","MDP0000648324")</f>
        <v>MDP0000648324</v>
      </c>
      <c r="D16450">
        <v>37.4</v>
      </c>
      <c r="E16450">
        <v>131</v>
      </c>
      <c r="F16450">
        <v>82</v>
      </c>
      <c r="G16450">
        <v>5</v>
      </c>
      <c r="H16450">
        <v>22</v>
      </c>
      <c r="I16450">
        <v>152</v>
      </c>
      <c r="J16450">
        <v>1</v>
      </c>
      <c r="K16450">
        <v>4</v>
      </c>
      <c r="L16450">
        <v>129</v>
      </c>
      <c r="M16450">
        <v>1</v>
      </c>
      <c r="N16450">
        <v>3.6179999999999998E-13</v>
      </c>
      <c r="O16450">
        <v>173</v>
      </c>
    </row>
    <row r="16451" spans="1:15" x14ac:dyDescent="0.25">
      <c r="A16451" t="s">
        <v>16464</v>
      </c>
      <c r="B16451">
        <v>224</v>
      </c>
      <c r="C16451" s="1" t="str">
        <f>HYPERLINK("http://www.rosaceae.org/gb/gbrowse/malus_x_domestica/?name=MDP0000254227","MDP0000254227")</f>
        <v>MDP0000254227</v>
      </c>
      <c r="D16451">
        <v>40.11</v>
      </c>
      <c r="E16451">
        <v>172</v>
      </c>
      <c r="F16451">
        <v>103</v>
      </c>
      <c r="G16451">
        <v>31</v>
      </c>
      <c r="H16451">
        <v>3</v>
      </c>
      <c r="I16451">
        <v>146</v>
      </c>
      <c r="J16451">
        <v>1</v>
      </c>
      <c r="K16451">
        <v>880</v>
      </c>
      <c r="L16451">
        <v>1048</v>
      </c>
      <c r="M16451">
        <v>1</v>
      </c>
      <c r="N16451">
        <v>6.7785800000000003E-30</v>
      </c>
      <c r="O16451">
        <v>320</v>
      </c>
    </row>
    <row r="16452" spans="1:15" x14ac:dyDescent="0.25">
      <c r="A16452" t="s">
        <v>16465</v>
      </c>
      <c r="B16452">
        <v>238</v>
      </c>
      <c r="C16452" s="1" t="str">
        <f>HYPERLINK("http://www.rosaceae.org/gb/gbrowse/malus_x_domestica/?name=MDP0000362097","MDP0000362097")</f>
        <v>MDP0000362097</v>
      </c>
      <c r="D16452">
        <v>80.680000000000007</v>
      </c>
      <c r="E16452">
        <v>88</v>
      </c>
      <c r="F16452">
        <v>17</v>
      </c>
      <c r="G16452">
        <v>0</v>
      </c>
      <c r="H16452">
        <v>151</v>
      </c>
      <c r="I16452">
        <v>238</v>
      </c>
      <c r="J16452">
        <v>1</v>
      </c>
      <c r="K16452">
        <v>10</v>
      </c>
      <c r="L16452">
        <v>97</v>
      </c>
      <c r="M16452">
        <v>1</v>
      </c>
      <c r="N16452">
        <v>6.4806000000000006E-36</v>
      </c>
      <c r="O16452">
        <v>372</v>
      </c>
    </row>
    <row r="16453" spans="1:15" x14ac:dyDescent="0.25">
      <c r="A16453" t="s">
        <v>16466</v>
      </c>
      <c r="B16453">
        <v>239</v>
      </c>
      <c r="C16453" s="1" t="str">
        <f>HYPERLINK("http://www.rosaceae.org/gb/gbrowse/malus_x_domestica/?name=MDP0000126569","MDP0000126569")</f>
        <v>MDP0000126569</v>
      </c>
      <c r="D16453">
        <v>39.729999999999997</v>
      </c>
      <c r="E16453">
        <v>297</v>
      </c>
      <c r="F16453">
        <v>179</v>
      </c>
      <c r="G16453">
        <v>97</v>
      </c>
      <c r="H16453">
        <v>10</v>
      </c>
      <c r="I16453">
        <v>209</v>
      </c>
      <c r="J16453">
        <v>1</v>
      </c>
      <c r="K16453">
        <v>11</v>
      </c>
      <c r="L16453">
        <v>307</v>
      </c>
      <c r="M16453">
        <v>1</v>
      </c>
      <c r="N16453">
        <v>2.1290000000000001E-44</v>
      </c>
      <c r="O16453">
        <v>446</v>
      </c>
    </row>
    <row r="16454" spans="1:15" x14ac:dyDescent="0.25">
      <c r="A16454" t="s">
        <v>16467</v>
      </c>
      <c r="B16454">
        <v>153</v>
      </c>
      <c r="C16454" s="1" t="str">
        <f>HYPERLINK("http://www.rosaceae.org/gb/gbrowse/malus_x_domestica/?name=MDP0000222449","MDP0000222449")</f>
        <v>MDP0000222449</v>
      </c>
      <c r="D16454">
        <v>58.62</v>
      </c>
      <c r="E16454">
        <v>116</v>
      </c>
      <c r="F16454">
        <v>48</v>
      </c>
      <c r="G16454">
        <v>9</v>
      </c>
      <c r="H16454">
        <v>45</v>
      </c>
      <c r="I16454">
        <v>151</v>
      </c>
      <c r="J16454">
        <v>1</v>
      </c>
      <c r="K16454">
        <v>112</v>
      </c>
      <c r="L16454">
        <v>227</v>
      </c>
      <c r="M16454">
        <v>1</v>
      </c>
      <c r="N16454">
        <v>2.63067E-31</v>
      </c>
      <c r="O16454">
        <v>330</v>
      </c>
    </row>
    <row r="16455" spans="1:15" x14ac:dyDescent="0.25">
      <c r="A16455" t="s">
        <v>16468</v>
      </c>
      <c r="B16455">
        <v>361</v>
      </c>
      <c r="C16455" s="1" t="str">
        <f>HYPERLINK("http://www.rosaceae.org/gb/gbrowse/malus_x_domestica/?name=MDP0000239811","MDP0000239811")</f>
        <v>MDP0000239811</v>
      </c>
      <c r="D16455">
        <v>78.11</v>
      </c>
      <c r="E16455">
        <v>361</v>
      </c>
      <c r="F16455">
        <v>79</v>
      </c>
      <c r="G16455">
        <v>6</v>
      </c>
      <c r="H16455">
        <v>7</v>
      </c>
      <c r="I16455">
        <v>361</v>
      </c>
      <c r="J16455">
        <v>1</v>
      </c>
      <c r="K16455">
        <v>130</v>
      </c>
      <c r="L16455">
        <v>490</v>
      </c>
      <c r="M16455">
        <v>1</v>
      </c>
      <c r="N16455">
        <v>1.42447E-163</v>
      </c>
      <c r="O16455">
        <v>1476</v>
      </c>
    </row>
    <row r="16456" spans="1:15" x14ac:dyDescent="0.25">
      <c r="A16456" t="s">
        <v>16469</v>
      </c>
      <c r="B16456">
        <v>551</v>
      </c>
      <c r="C16456" s="1" t="str">
        <f>HYPERLINK("http://www.rosaceae.org/gb/gbrowse/malus_x_domestica/?name=MDP0000303658","MDP0000303658")</f>
        <v>MDP0000303658</v>
      </c>
      <c r="D16456">
        <v>34.96</v>
      </c>
      <c r="E16456">
        <v>286</v>
      </c>
      <c r="F16456">
        <v>186</v>
      </c>
      <c r="G16456">
        <v>49</v>
      </c>
      <c r="H16456">
        <v>217</v>
      </c>
      <c r="I16456">
        <v>480</v>
      </c>
      <c r="J16456">
        <v>1</v>
      </c>
      <c r="K16456">
        <v>88</v>
      </c>
      <c r="L16456">
        <v>346</v>
      </c>
      <c r="M16456">
        <v>1</v>
      </c>
      <c r="N16456">
        <v>9.5266799999999998E-37</v>
      </c>
      <c r="O16456">
        <v>384</v>
      </c>
    </row>
    <row r="16457" spans="1:15" x14ac:dyDescent="0.25">
      <c r="A16457" t="s">
        <v>16470</v>
      </c>
      <c r="B16457">
        <v>180</v>
      </c>
      <c r="C16457" s="1" t="str">
        <f>HYPERLINK("http://www.rosaceae.org/gb/gbrowse/malus_x_domestica/?name=MDP0000288210","MDP0000288210")</f>
        <v>MDP0000288210</v>
      </c>
      <c r="D16457">
        <v>46.21</v>
      </c>
      <c r="E16457">
        <v>132</v>
      </c>
      <c r="F16457">
        <v>71</v>
      </c>
      <c r="G16457">
        <v>36</v>
      </c>
      <c r="H16457">
        <v>22</v>
      </c>
      <c r="I16457">
        <v>122</v>
      </c>
      <c r="J16457">
        <v>1</v>
      </c>
      <c r="K16457">
        <v>25</v>
      </c>
      <c r="L16457">
        <v>151</v>
      </c>
      <c r="M16457">
        <v>1</v>
      </c>
      <c r="N16457">
        <v>5.3877600000000003E-22</v>
      </c>
      <c r="O16457">
        <v>250</v>
      </c>
    </row>
    <row r="16458" spans="1:15" x14ac:dyDescent="0.25">
      <c r="A16458" t="s">
        <v>16471</v>
      </c>
      <c r="B16458">
        <v>305</v>
      </c>
      <c r="C16458" s="1" t="str">
        <f>HYPERLINK("http://www.rosaceae.org/gb/gbrowse/malus_x_domestica/?name=MDP0000263133","MDP0000263133")</f>
        <v>MDP0000263133</v>
      </c>
      <c r="D16458">
        <v>86.85</v>
      </c>
      <c r="E16458">
        <v>312</v>
      </c>
      <c r="F16458">
        <v>41</v>
      </c>
      <c r="G16458">
        <v>7</v>
      </c>
      <c r="H16458">
        <v>1</v>
      </c>
      <c r="I16458">
        <v>305</v>
      </c>
      <c r="J16458">
        <v>1</v>
      </c>
      <c r="K16458">
        <v>1</v>
      </c>
      <c r="L16458">
        <v>312</v>
      </c>
      <c r="M16458">
        <v>1</v>
      </c>
      <c r="N16458">
        <v>2.0360499999999999E-154</v>
      </c>
      <c r="O16458">
        <v>1396</v>
      </c>
    </row>
    <row r="16459" spans="1:15" x14ac:dyDescent="0.25">
      <c r="A16459" t="s">
        <v>16472</v>
      </c>
      <c r="B16459">
        <v>324</v>
      </c>
      <c r="C16459" s="1" t="str">
        <f>HYPERLINK("http://www.rosaceae.org/gb/gbrowse/malus_x_domestica/?name=MDP0000537361","MDP0000537361")</f>
        <v>MDP0000537361</v>
      </c>
      <c r="D16459">
        <v>91.04</v>
      </c>
      <c r="E16459">
        <v>324</v>
      </c>
      <c r="F16459">
        <v>29</v>
      </c>
      <c r="G16459">
        <v>0</v>
      </c>
      <c r="H16459">
        <v>1</v>
      </c>
      <c r="I16459">
        <v>324</v>
      </c>
      <c r="J16459">
        <v>1</v>
      </c>
      <c r="K16459">
        <v>1</v>
      </c>
      <c r="L16459">
        <v>324</v>
      </c>
      <c r="M16459">
        <v>1</v>
      </c>
      <c r="N16459">
        <v>3.3605299999999998E-175</v>
      </c>
      <c r="O16459">
        <v>1575</v>
      </c>
    </row>
    <row r="16460" spans="1:15" x14ac:dyDescent="0.25">
      <c r="A16460" t="s">
        <v>16473</v>
      </c>
      <c r="B16460">
        <v>189</v>
      </c>
      <c r="C16460" s="1" t="str">
        <f>HYPERLINK("http://www.rosaceae.org/gb/gbrowse/malus_x_domestica/?name=MDP0000302584","MDP0000302584")</f>
        <v>MDP0000302584</v>
      </c>
      <c r="D16460">
        <v>36.58</v>
      </c>
      <c r="E16460">
        <v>123</v>
      </c>
      <c r="F16460">
        <v>78</v>
      </c>
      <c r="G16460">
        <v>11</v>
      </c>
      <c r="H16460">
        <v>75</v>
      </c>
      <c r="I16460">
        <v>186</v>
      </c>
      <c r="J16460">
        <v>1</v>
      </c>
      <c r="K16460">
        <v>72</v>
      </c>
      <c r="L16460">
        <v>194</v>
      </c>
      <c r="M16460">
        <v>1</v>
      </c>
      <c r="N16460">
        <v>9.3400999999999998E-12</v>
      </c>
      <c r="O16460">
        <v>163</v>
      </c>
    </row>
    <row r="16461" spans="1:15" x14ac:dyDescent="0.25">
      <c r="A16461" t="s">
        <v>16474</v>
      </c>
      <c r="B16461">
        <v>432</v>
      </c>
      <c r="C16461" s="1" t="str">
        <f>HYPERLINK("http://www.rosaceae.org/gb/gbrowse/malus_x_domestica/?name=MDP0000248567","MDP0000248567")</f>
        <v>MDP0000248567</v>
      </c>
      <c r="D16461">
        <v>71.19</v>
      </c>
      <c r="E16461">
        <v>434</v>
      </c>
      <c r="F16461">
        <v>125</v>
      </c>
      <c r="G16461">
        <v>5</v>
      </c>
      <c r="H16461">
        <v>1</v>
      </c>
      <c r="I16461">
        <v>432</v>
      </c>
      <c r="J16461">
        <v>1</v>
      </c>
      <c r="K16461">
        <v>1</v>
      </c>
      <c r="L16461">
        <v>431</v>
      </c>
      <c r="M16461">
        <v>1</v>
      </c>
      <c r="N16461">
        <v>3.0745699999999998E-172</v>
      </c>
      <c r="O16461">
        <v>1551</v>
      </c>
    </row>
    <row r="16462" spans="1:15" x14ac:dyDescent="0.25">
      <c r="A16462" t="s">
        <v>16475</v>
      </c>
      <c r="B16462">
        <v>397</v>
      </c>
      <c r="C16462" s="1" t="str">
        <f>HYPERLINK("http://www.rosaceae.org/gb/gbrowse/malus_x_domestica/?name=MDP0000225981","MDP0000225981")</f>
        <v>MDP0000225981</v>
      </c>
      <c r="D16462">
        <v>79.739999999999995</v>
      </c>
      <c r="E16462">
        <v>385</v>
      </c>
      <c r="F16462">
        <v>78</v>
      </c>
      <c r="G16462">
        <v>38</v>
      </c>
      <c r="H16462">
        <v>36</v>
      </c>
      <c r="I16462">
        <v>382</v>
      </c>
      <c r="J16462">
        <v>1</v>
      </c>
      <c r="K16462">
        <v>64</v>
      </c>
      <c r="L16462">
        <v>448</v>
      </c>
      <c r="M16462">
        <v>1</v>
      </c>
      <c r="N16462">
        <v>0</v>
      </c>
      <c r="O16462">
        <v>1632</v>
      </c>
    </row>
    <row r="16463" spans="1:15" x14ac:dyDescent="0.25">
      <c r="A16463" t="s">
        <v>16476</v>
      </c>
      <c r="B16463">
        <v>1403</v>
      </c>
      <c r="C16463" s="1" t="str">
        <f>HYPERLINK("http://www.rosaceae.org/gb/gbrowse/malus_x_domestica/?name=MDP0000246295","MDP0000246295")</f>
        <v>MDP0000246295</v>
      </c>
      <c r="D16463">
        <v>48.18</v>
      </c>
      <c r="E16463">
        <v>716</v>
      </c>
      <c r="F16463">
        <v>371</v>
      </c>
      <c r="G16463">
        <v>46</v>
      </c>
      <c r="H16463">
        <v>729</v>
      </c>
      <c r="I16463">
        <v>1402</v>
      </c>
      <c r="J16463">
        <v>1</v>
      </c>
      <c r="K16463">
        <v>637</v>
      </c>
      <c r="L16463">
        <v>1348</v>
      </c>
      <c r="M16463">
        <v>1</v>
      </c>
      <c r="N16463">
        <v>0</v>
      </c>
      <c r="O16463">
        <v>1634</v>
      </c>
    </row>
    <row r="16464" spans="1:15" x14ac:dyDescent="0.25">
      <c r="A16464" t="s">
        <v>16477</v>
      </c>
      <c r="B16464">
        <v>902</v>
      </c>
      <c r="C16464" s="1" t="str">
        <f>HYPERLINK("http://www.rosaceae.org/gb/gbrowse/malus_x_domestica/?name=MDP0000311185","MDP0000311185")</f>
        <v>MDP0000311185</v>
      </c>
      <c r="D16464">
        <v>78.87</v>
      </c>
      <c r="E16464">
        <v>904</v>
      </c>
      <c r="F16464">
        <v>191</v>
      </c>
      <c r="G16464">
        <v>30</v>
      </c>
      <c r="H16464">
        <v>1</v>
      </c>
      <c r="I16464">
        <v>889</v>
      </c>
      <c r="J16464">
        <v>1</v>
      </c>
      <c r="K16464">
        <v>1</v>
      </c>
      <c r="L16464">
        <v>889</v>
      </c>
      <c r="M16464">
        <v>1</v>
      </c>
      <c r="N16464">
        <v>0</v>
      </c>
      <c r="O16464">
        <v>3701</v>
      </c>
    </row>
    <row r="16465" spans="1:15" x14ac:dyDescent="0.25">
      <c r="A16465" t="s">
        <v>16478</v>
      </c>
      <c r="B16465">
        <v>344</v>
      </c>
      <c r="C16465" s="1" t="str">
        <f>HYPERLINK("http://www.rosaceae.org/gb/gbrowse/malus_x_domestica/?name=MDP0000290546","MDP0000290546")</f>
        <v>MDP0000290546</v>
      </c>
      <c r="D16465">
        <v>72.959999999999994</v>
      </c>
      <c r="E16465">
        <v>344</v>
      </c>
      <c r="F16465">
        <v>93</v>
      </c>
      <c r="G16465">
        <v>9</v>
      </c>
      <c r="H16465">
        <v>1</v>
      </c>
      <c r="I16465">
        <v>342</v>
      </c>
      <c r="J16465">
        <v>1</v>
      </c>
      <c r="K16465">
        <v>1</v>
      </c>
      <c r="L16465">
        <v>337</v>
      </c>
      <c r="M16465">
        <v>1</v>
      </c>
      <c r="N16465">
        <v>2.2812899999999998E-142</v>
      </c>
      <c r="O16465">
        <v>1292</v>
      </c>
    </row>
    <row r="16466" spans="1:15" x14ac:dyDescent="0.25">
      <c r="A16466" t="s">
        <v>16479</v>
      </c>
      <c r="B16466">
        <v>498</v>
      </c>
      <c r="C16466" s="1" t="str">
        <f>HYPERLINK("http://www.rosaceae.org/gb/gbrowse/malus_x_domestica/?name=MDP0000151052","MDP0000151052")</f>
        <v>MDP0000151052</v>
      </c>
      <c r="D16466">
        <v>74.19</v>
      </c>
      <c r="E16466">
        <v>341</v>
      </c>
      <c r="F16466">
        <v>88</v>
      </c>
      <c r="G16466">
        <v>27</v>
      </c>
      <c r="H16466">
        <v>178</v>
      </c>
      <c r="I16466">
        <v>491</v>
      </c>
      <c r="J16466">
        <v>1</v>
      </c>
      <c r="K16466">
        <v>1</v>
      </c>
      <c r="L16466">
        <v>341</v>
      </c>
      <c r="M16466">
        <v>1</v>
      </c>
      <c r="N16466">
        <v>6.1135999999999999E-149</v>
      </c>
      <c r="O16466">
        <v>1351</v>
      </c>
    </row>
    <row r="16467" spans="1:15" x14ac:dyDescent="0.25">
      <c r="A16467" t="s">
        <v>16480</v>
      </c>
      <c r="B16467">
        <v>728</v>
      </c>
      <c r="C16467" s="1" t="str">
        <f>HYPERLINK("http://www.rosaceae.org/gb/gbrowse/malus_x_domestica/?name=MDP0000282332","MDP0000282332")</f>
        <v>MDP0000282332</v>
      </c>
      <c r="D16467">
        <v>58.86</v>
      </c>
      <c r="E16467">
        <v>773</v>
      </c>
      <c r="F16467">
        <v>318</v>
      </c>
      <c r="G16467">
        <v>63</v>
      </c>
      <c r="H16467">
        <v>2</v>
      </c>
      <c r="I16467">
        <v>721</v>
      </c>
      <c r="J16467">
        <v>1</v>
      </c>
      <c r="K16467">
        <v>26</v>
      </c>
      <c r="L16467">
        <v>788</v>
      </c>
      <c r="M16467">
        <v>1</v>
      </c>
      <c r="N16467">
        <v>0</v>
      </c>
      <c r="O16467">
        <v>2314</v>
      </c>
    </row>
    <row r="16468" spans="1:15" x14ac:dyDescent="0.25">
      <c r="A16468" t="s">
        <v>16481</v>
      </c>
      <c r="B16468">
        <v>831</v>
      </c>
      <c r="C16468" s="1" t="str">
        <f>HYPERLINK("http://www.rosaceae.org/gb/gbrowse/malus_x_domestica/?name=MDP0000477320","MDP0000477320")</f>
        <v>MDP0000477320</v>
      </c>
      <c r="D16468">
        <v>75.45</v>
      </c>
      <c r="E16468">
        <v>831</v>
      </c>
      <c r="F16468">
        <v>204</v>
      </c>
      <c r="G16468">
        <v>1</v>
      </c>
      <c r="H16468">
        <v>1</v>
      </c>
      <c r="I16468">
        <v>830</v>
      </c>
      <c r="J16468">
        <v>1</v>
      </c>
      <c r="K16468">
        <v>58</v>
      </c>
      <c r="L16468">
        <v>888</v>
      </c>
      <c r="M16468">
        <v>1</v>
      </c>
      <c r="N16468">
        <v>0</v>
      </c>
      <c r="O16468">
        <v>3339</v>
      </c>
    </row>
    <row r="16469" spans="1:15" x14ac:dyDescent="0.25">
      <c r="A16469" t="s">
        <v>16482</v>
      </c>
      <c r="B16469">
        <v>373</v>
      </c>
      <c r="C16469" s="1" t="str">
        <f>HYPERLINK("http://www.rosaceae.org/gb/gbrowse/malus_x_domestica/?name=MDP0000314158","MDP0000314158")</f>
        <v>MDP0000314158</v>
      </c>
      <c r="D16469">
        <v>29.41</v>
      </c>
      <c r="E16469">
        <v>153</v>
      </c>
      <c r="F16469">
        <v>108</v>
      </c>
      <c r="G16469">
        <v>14</v>
      </c>
      <c r="H16469">
        <v>216</v>
      </c>
      <c r="I16469">
        <v>357</v>
      </c>
      <c r="J16469">
        <v>1</v>
      </c>
      <c r="K16469">
        <v>358</v>
      </c>
      <c r="L16469">
        <v>507</v>
      </c>
      <c r="M16469">
        <v>1</v>
      </c>
      <c r="N16469">
        <v>5.0523600000000001E-12</v>
      </c>
      <c r="O16469">
        <v>169</v>
      </c>
    </row>
    <row r="16470" spans="1:15" x14ac:dyDescent="0.25">
      <c r="A16470" t="s">
        <v>16483</v>
      </c>
      <c r="B16470">
        <v>567</v>
      </c>
      <c r="C16470" s="1" t="str">
        <f>HYPERLINK("http://www.rosaceae.org/gb/gbrowse/malus_x_domestica/?name=MDP0000232350","MDP0000232350")</f>
        <v>MDP0000232350</v>
      </c>
      <c r="D16470">
        <v>89.36</v>
      </c>
      <c r="E16470">
        <v>489</v>
      </c>
      <c r="F16470">
        <v>52</v>
      </c>
      <c r="G16470">
        <v>15</v>
      </c>
      <c r="H16470">
        <v>94</v>
      </c>
      <c r="I16470">
        <v>567</v>
      </c>
      <c r="J16470">
        <v>1</v>
      </c>
      <c r="K16470">
        <v>113</v>
      </c>
      <c r="L16470">
        <v>601</v>
      </c>
      <c r="M16470">
        <v>1</v>
      </c>
      <c r="N16470">
        <v>0</v>
      </c>
      <c r="O16470">
        <v>2288</v>
      </c>
    </row>
    <row r="16471" spans="1:15" x14ac:dyDescent="0.25">
      <c r="A16471" t="s">
        <v>16484</v>
      </c>
      <c r="B16471">
        <v>2065</v>
      </c>
      <c r="C16471" s="1" t="str">
        <f>HYPERLINK("http://www.rosaceae.org/gb/gbrowse/malus_x_domestica/?name=MDP0000196135","MDP0000196135")</f>
        <v>MDP0000196135</v>
      </c>
      <c r="D16471">
        <v>84.07</v>
      </c>
      <c r="E16471">
        <v>986</v>
      </c>
      <c r="F16471">
        <v>157</v>
      </c>
      <c r="G16471">
        <v>7</v>
      </c>
      <c r="H16471">
        <v>1</v>
      </c>
      <c r="I16471">
        <v>986</v>
      </c>
      <c r="J16471">
        <v>1</v>
      </c>
      <c r="K16471">
        <v>1</v>
      </c>
      <c r="L16471">
        <v>979</v>
      </c>
      <c r="M16471">
        <v>1</v>
      </c>
      <c r="N16471">
        <v>0</v>
      </c>
      <c r="O16471">
        <v>4417</v>
      </c>
    </row>
    <row r="16472" spans="1:15" x14ac:dyDescent="0.25">
      <c r="A16472" t="s">
        <v>16485</v>
      </c>
      <c r="B16472">
        <v>95</v>
      </c>
      <c r="C16472" s="1" t="str">
        <f>HYPERLINK("http://www.rosaceae.org/gb/gbrowse/malus_x_domestica/?name=MDP0000436958","MDP0000436958")</f>
        <v>MDP0000436958</v>
      </c>
      <c r="D16472">
        <v>88.17</v>
      </c>
      <c r="E16472">
        <v>93</v>
      </c>
      <c r="F16472">
        <v>11</v>
      </c>
      <c r="G16472">
        <v>0</v>
      </c>
      <c r="H16472">
        <v>1</v>
      </c>
      <c r="I16472">
        <v>93</v>
      </c>
      <c r="J16472">
        <v>1</v>
      </c>
      <c r="K16472">
        <v>59</v>
      </c>
      <c r="L16472">
        <v>151</v>
      </c>
      <c r="M16472">
        <v>1</v>
      </c>
      <c r="N16472">
        <v>3.0452000000000002E-39</v>
      </c>
      <c r="O16472">
        <v>396</v>
      </c>
    </row>
    <row r="16473" spans="1:15" x14ac:dyDescent="0.25">
      <c r="A16473" t="s">
        <v>16486</v>
      </c>
      <c r="B16473">
        <v>402</v>
      </c>
      <c r="C16473" s="1" t="str">
        <f>HYPERLINK("http://www.rosaceae.org/gb/gbrowse/malus_x_domestica/?name=MDP0000318279","MDP0000318279")</f>
        <v>MDP0000318279</v>
      </c>
      <c r="D16473">
        <v>29.06</v>
      </c>
      <c r="E16473">
        <v>344</v>
      </c>
      <c r="F16473">
        <v>244</v>
      </c>
      <c r="G16473">
        <v>30</v>
      </c>
      <c r="H16473">
        <v>15</v>
      </c>
      <c r="I16473">
        <v>342</v>
      </c>
      <c r="J16473">
        <v>1</v>
      </c>
      <c r="K16473">
        <v>106</v>
      </c>
      <c r="L16473">
        <v>435</v>
      </c>
      <c r="M16473">
        <v>1</v>
      </c>
      <c r="N16473">
        <v>5.3843299999999999E-36</v>
      </c>
      <c r="O16473">
        <v>376</v>
      </c>
    </row>
    <row r="16474" spans="1:15" x14ac:dyDescent="0.25">
      <c r="A16474" t="s">
        <v>16487</v>
      </c>
      <c r="B16474">
        <v>634</v>
      </c>
      <c r="C16474" s="1" t="str">
        <f>HYPERLINK("http://www.rosaceae.org/gb/gbrowse/malus_x_domestica/?name=MDP0000805575","MDP0000805575")</f>
        <v>MDP0000805575</v>
      </c>
      <c r="D16474">
        <v>67.27</v>
      </c>
      <c r="E16474">
        <v>544</v>
      </c>
      <c r="F16474">
        <v>178</v>
      </c>
      <c r="G16474">
        <v>45</v>
      </c>
      <c r="H16474">
        <v>115</v>
      </c>
      <c r="I16474">
        <v>634</v>
      </c>
      <c r="J16474">
        <v>1</v>
      </c>
      <c r="K16474">
        <v>2</v>
      </c>
      <c r="L16474">
        <v>524</v>
      </c>
      <c r="M16474">
        <v>1</v>
      </c>
      <c r="N16474">
        <v>0</v>
      </c>
      <c r="O16474">
        <v>1848</v>
      </c>
    </row>
    <row r="16475" spans="1:15" x14ac:dyDescent="0.25">
      <c r="A16475" t="s">
        <v>16488</v>
      </c>
      <c r="B16475">
        <v>250</v>
      </c>
      <c r="C16475" s="1" t="str">
        <f>HYPERLINK("http://www.rosaceae.org/gb/gbrowse/malus_x_domestica/?name=MDP0000289705","MDP0000289705")</f>
        <v>MDP0000289705</v>
      </c>
      <c r="D16475">
        <v>75.900000000000006</v>
      </c>
      <c r="E16475">
        <v>220</v>
      </c>
      <c r="F16475">
        <v>53</v>
      </c>
      <c r="G16475">
        <v>5</v>
      </c>
      <c r="H16475">
        <v>1</v>
      </c>
      <c r="I16475">
        <v>215</v>
      </c>
      <c r="J16475">
        <v>1</v>
      </c>
      <c r="K16475">
        <v>1</v>
      </c>
      <c r="L16475">
        <v>220</v>
      </c>
      <c r="M16475">
        <v>1</v>
      </c>
      <c r="N16475">
        <v>3.9855299999999998E-94</v>
      </c>
      <c r="O16475">
        <v>875</v>
      </c>
    </row>
    <row r="16476" spans="1:15" x14ac:dyDescent="0.25">
      <c r="A16476" t="s">
        <v>16489</v>
      </c>
      <c r="B16476">
        <v>1564</v>
      </c>
      <c r="C16476" s="1" t="str">
        <f>HYPERLINK("http://www.rosaceae.org/gb/gbrowse/malus_x_domestica/?name=MDP0000121074","MDP0000121074")</f>
        <v>MDP0000121074</v>
      </c>
      <c r="D16476">
        <v>52.78</v>
      </c>
      <c r="E16476">
        <v>701</v>
      </c>
      <c r="F16476">
        <v>331</v>
      </c>
      <c r="G16476">
        <v>52</v>
      </c>
      <c r="H16476">
        <v>758</v>
      </c>
      <c r="I16476">
        <v>1417</v>
      </c>
      <c r="J16476">
        <v>1</v>
      </c>
      <c r="K16476">
        <v>611</v>
      </c>
      <c r="L16476">
        <v>1300</v>
      </c>
      <c r="M16476">
        <v>1</v>
      </c>
      <c r="N16476">
        <v>0</v>
      </c>
      <c r="O16476">
        <v>1759</v>
      </c>
    </row>
    <row r="16477" spans="1:15" x14ac:dyDescent="0.25">
      <c r="A16477" t="s">
        <v>16490</v>
      </c>
      <c r="B16477">
        <v>449</v>
      </c>
      <c r="C16477" s="1" t="str">
        <f>HYPERLINK("http://www.rosaceae.org/gb/gbrowse/malus_x_domestica/?name=MDP0000195409","MDP0000195409")</f>
        <v>MDP0000195409</v>
      </c>
      <c r="D16477">
        <v>46.24</v>
      </c>
      <c r="E16477">
        <v>493</v>
      </c>
      <c r="F16477">
        <v>265</v>
      </c>
      <c r="G16477">
        <v>127</v>
      </c>
      <c r="H16477">
        <v>15</v>
      </c>
      <c r="I16477">
        <v>447</v>
      </c>
      <c r="J16477">
        <v>1</v>
      </c>
      <c r="K16477">
        <v>13</v>
      </c>
      <c r="L16477">
        <v>438</v>
      </c>
      <c r="M16477">
        <v>1</v>
      </c>
      <c r="N16477">
        <v>1.36273E-109</v>
      </c>
      <c r="O16477">
        <v>1011</v>
      </c>
    </row>
    <row r="16478" spans="1:15" x14ac:dyDescent="0.25">
      <c r="A16478" t="s">
        <v>16491</v>
      </c>
      <c r="B16478">
        <v>188</v>
      </c>
      <c r="C16478" s="1" t="str">
        <f>HYPERLINK("http://www.rosaceae.org/gb/gbrowse/malus_x_domestica/?name=MDP0000396622","MDP0000396622")</f>
        <v>MDP0000396622</v>
      </c>
      <c r="D16478">
        <v>49.2</v>
      </c>
      <c r="E16478">
        <v>189</v>
      </c>
      <c r="F16478">
        <v>96</v>
      </c>
      <c r="G16478">
        <v>1</v>
      </c>
      <c r="H16478">
        <v>1</v>
      </c>
      <c r="I16478">
        <v>188</v>
      </c>
      <c r="J16478">
        <v>1</v>
      </c>
      <c r="K16478">
        <v>1</v>
      </c>
      <c r="L16478">
        <v>189</v>
      </c>
      <c r="M16478">
        <v>1</v>
      </c>
      <c r="N16478">
        <v>1.5446099999999999E-44</v>
      </c>
      <c r="O16478">
        <v>445</v>
      </c>
    </row>
    <row r="16479" spans="1:15" x14ac:dyDescent="0.25">
      <c r="A16479" t="s">
        <v>16492</v>
      </c>
      <c r="B16479">
        <v>693</v>
      </c>
      <c r="C16479" s="1" t="str">
        <f>HYPERLINK("http://www.rosaceae.org/gb/gbrowse/malus_x_domestica/?name=MDP0000238881","MDP0000238881")</f>
        <v>MDP0000238881</v>
      </c>
      <c r="D16479">
        <v>73.510000000000005</v>
      </c>
      <c r="E16479">
        <v>370</v>
      </c>
      <c r="F16479">
        <v>98</v>
      </c>
      <c r="G16479">
        <v>18</v>
      </c>
      <c r="H16479">
        <v>1</v>
      </c>
      <c r="I16479">
        <v>353</v>
      </c>
      <c r="J16479">
        <v>1</v>
      </c>
      <c r="K16479">
        <v>1</v>
      </c>
      <c r="L16479">
        <v>369</v>
      </c>
      <c r="M16479">
        <v>1</v>
      </c>
      <c r="N16479">
        <v>3.27352E-153</v>
      </c>
      <c r="O16479">
        <v>1389</v>
      </c>
    </row>
    <row r="16480" spans="1:15" x14ac:dyDescent="0.25">
      <c r="A16480" t="s">
        <v>16493</v>
      </c>
      <c r="B16480">
        <v>191</v>
      </c>
      <c r="C16480" s="1" t="str">
        <f>HYPERLINK("http://www.rosaceae.org/gb/gbrowse/malus_x_domestica/?name=MDP0000263167","MDP0000263167")</f>
        <v>MDP0000263167</v>
      </c>
      <c r="D16480">
        <v>45.58</v>
      </c>
      <c r="E16480">
        <v>68</v>
      </c>
      <c r="F16480">
        <v>37</v>
      </c>
      <c r="G16480">
        <v>0</v>
      </c>
      <c r="H16480">
        <v>105</v>
      </c>
      <c r="I16480">
        <v>172</v>
      </c>
      <c r="J16480">
        <v>1</v>
      </c>
      <c r="K16480">
        <v>386</v>
      </c>
      <c r="L16480">
        <v>453</v>
      </c>
      <c r="M16480">
        <v>1</v>
      </c>
      <c r="N16480">
        <v>1.42554E-9</v>
      </c>
      <c r="O16480">
        <v>144</v>
      </c>
    </row>
    <row r="16481" spans="1:15" x14ac:dyDescent="0.25">
      <c r="A16481" t="s">
        <v>16494</v>
      </c>
      <c r="B16481">
        <v>406</v>
      </c>
      <c r="C16481" s="1" t="str">
        <f>HYPERLINK("http://www.rosaceae.org/gb/gbrowse/malus_x_domestica/?name=MDP0000247533","MDP0000247533")</f>
        <v>MDP0000247533</v>
      </c>
      <c r="D16481">
        <v>82.58</v>
      </c>
      <c r="E16481">
        <v>402</v>
      </c>
      <c r="F16481">
        <v>70</v>
      </c>
      <c r="G16481">
        <v>0</v>
      </c>
      <c r="H16481">
        <v>5</v>
      </c>
      <c r="I16481">
        <v>406</v>
      </c>
      <c r="J16481">
        <v>1</v>
      </c>
      <c r="K16481">
        <v>2</v>
      </c>
      <c r="L16481">
        <v>403</v>
      </c>
      <c r="M16481">
        <v>1</v>
      </c>
      <c r="N16481">
        <v>0</v>
      </c>
      <c r="O16481">
        <v>1802</v>
      </c>
    </row>
    <row r="16482" spans="1:15" x14ac:dyDescent="0.25">
      <c r="A16482" t="s">
        <v>16495</v>
      </c>
      <c r="B16482">
        <v>358</v>
      </c>
      <c r="C16482" s="1" t="str">
        <f>HYPERLINK("http://www.rosaceae.org/gb/gbrowse/malus_x_domestica/?name=MDP0000774306","MDP0000774306")</f>
        <v>MDP0000774306</v>
      </c>
      <c r="D16482">
        <v>43.76</v>
      </c>
      <c r="E16482">
        <v>345</v>
      </c>
      <c r="F16482">
        <v>194</v>
      </c>
      <c r="G16482">
        <v>23</v>
      </c>
      <c r="H16482">
        <v>4</v>
      </c>
      <c r="I16482">
        <v>334</v>
      </c>
      <c r="J16482">
        <v>1</v>
      </c>
      <c r="K16482">
        <v>1</v>
      </c>
      <c r="L16482">
        <v>336</v>
      </c>
      <c r="M16482">
        <v>1</v>
      </c>
      <c r="N16482">
        <v>1.3362699999999999E-55</v>
      </c>
      <c r="O16482">
        <v>544</v>
      </c>
    </row>
    <row r="16483" spans="1:15" x14ac:dyDescent="0.25">
      <c r="A16483" t="s">
        <v>16496</v>
      </c>
      <c r="B16483">
        <v>209</v>
      </c>
      <c r="C16483" s="1" t="str">
        <f>HYPERLINK("http://www.rosaceae.org/gb/gbrowse/malus_x_domestica/?name=MDP0000556302","MDP0000556302")</f>
        <v>MDP0000556302</v>
      </c>
      <c r="D16483">
        <v>59.9</v>
      </c>
      <c r="E16483">
        <v>207</v>
      </c>
      <c r="F16483">
        <v>83</v>
      </c>
      <c r="G16483">
        <v>11</v>
      </c>
      <c r="H16483">
        <v>1</v>
      </c>
      <c r="I16483">
        <v>207</v>
      </c>
      <c r="J16483">
        <v>1</v>
      </c>
      <c r="K16483">
        <v>1</v>
      </c>
      <c r="L16483">
        <v>196</v>
      </c>
      <c r="M16483">
        <v>1</v>
      </c>
      <c r="N16483">
        <v>1.0887899999999999E-66</v>
      </c>
      <c r="O16483">
        <v>637</v>
      </c>
    </row>
    <row r="16484" spans="1:15" x14ac:dyDescent="0.25">
      <c r="A16484" t="s">
        <v>16497</v>
      </c>
      <c r="B16484">
        <v>263</v>
      </c>
      <c r="C16484" s="1" t="str">
        <f>HYPERLINK("http://www.rosaceae.org/gb/gbrowse/malus_x_domestica/?name=MDP0000120660","MDP0000120660")</f>
        <v>MDP0000120660</v>
      </c>
      <c r="D16484">
        <v>56.58</v>
      </c>
      <c r="E16484">
        <v>129</v>
      </c>
      <c r="F16484">
        <v>56</v>
      </c>
      <c r="G16484">
        <v>5</v>
      </c>
      <c r="H16484">
        <v>23</v>
      </c>
      <c r="I16484">
        <v>151</v>
      </c>
      <c r="J16484">
        <v>1</v>
      </c>
      <c r="K16484">
        <v>21</v>
      </c>
      <c r="L16484">
        <v>144</v>
      </c>
      <c r="M16484">
        <v>1</v>
      </c>
      <c r="N16484">
        <v>5.3899900000000001E-32</v>
      </c>
      <c r="O16484">
        <v>339</v>
      </c>
    </row>
    <row r="16485" spans="1:15" x14ac:dyDescent="0.25">
      <c r="A16485" t="s">
        <v>16498</v>
      </c>
      <c r="B16485">
        <v>1167</v>
      </c>
      <c r="C16485" s="1" t="str">
        <f>HYPERLINK("http://www.rosaceae.org/gb/gbrowse/malus_x_domestica/?name=MDP0000186602","MDP0000186602")</f>
        <v>MDP0000186602</v>
      </c>
      <c r="D16485">
        <v>76.37</v>
      </c>
      <c r="E16485">
        <v>838</v>
      </c>
      <c r="F16485">
        <v>198</v>
      </c>
      <c r="G16485">
        <v>24</v>
      </c>
      <c r="H16485">
        <v>2</v>
      </c>
      <c r="I16485">
        <v>828</v>
      </c>
      <c r="J16485">
        <v>1</v>
      </c>
      <c r="K16485">
        <v>6</v>
      </c>
      <c r="L16485">
        <v>830</v>
      </c>
      <c r="M16485">
        <v>1</v>
      </c>
      <c r="N16485">
        <v>0</v>
      </c>
      <c r="O16485">
        <v>3294</v>
      </c>
    </row>
    <row r="16486" spans="1:15" x14ac:dyDescent="0.25">
      <c r="A16486" t="s">
        <v>16499</v>
      </c>
      <c r="B16486">
        <v>381</v>
      </c>
      <c r="C16486" s="1" t="str">
        <f>HYPERLINK("http://www.rosaceae.org/gb/gbrowse/malus_x_domestica/?name=MDP0000215328","MDP0000215328")</f>
        <v>MDP0000215328</v>
      </c>
      <c r="D16486">
        <v>68.08</v>
      </c>
      <c r="E16486">
        <v>376</v>
      </c>
      <c r="F16486">
        <v>120</v>
      </c>
      <c r="G16486">
        <v>30</v>
      </c>
      <c r="H16486">
        <v>1</v>
      </c>
      <c r="I16486">
        <v>366</v>
      </c>
      <c r="J16486">
        <v>1</v>
      </c>
      <c r="K16486">
        <v>1</v>
      </c>
      <c r="L16486">
        <v>356</v>
      </c>
      <c r="M16486">
        <v>1</v>
      </c>
      <c r="N16486">
        <v>2.2158400000000002E-136</v>
      </c>
      <c r="O16486">
        <v>1241</v>
      </c>
    </row>
    <row r="16487" spans="1:15" x14ac:dyDescent="0.25">
      <c r="A16487" t="s">
        <v>16500</v>
      </c>
      <c r="B16487">
        <v>190</v>
      </c>
      <c r="C16487" s="1" t="str">
        <f>HYPERLINK("http://www.rosaceae.org/gb/gbrowse/malus_x_domestica/?name=MDP0000888311","MDP0000888311")</f>
        <v>MDP0000888311</v>
      </c>
      <c r="D16487">
        <v>65.290000000000006</v>
      </c>
      <c r="E16487">
        <v>219</v>
      </c>
      <c r="F16487">
        <v>76</v>
      </c>
      <c r="G16487">
        <v>36</v>
      </c>
      <c r="H16487">
        <v>1</v>
      </c>
      <c r="I16487">
        <v>183</v>
      </c>
      <c r="J16487">
        <v>1</v>
      </c>
      <c r="K16487">
        <v>130</v>
      </c>
      <c r="L16487">
        <v>348</v>
      </c>
      <c r="M16487">
        <v>1</v>
      </c>
      <c r="N16487">
        <v>2.7415000000000001E-76</v>
      </c>
      <c r="O16487">
        <v>719</v>
      </c>
    </row>
    <row r="16488" spans="1:15" x14ac:dyDescent="0.25">
      <c r="A16488" t="s">
        <v>16501</v>
      </c>
      <c r="B16488">
        <v>160</v>
      </c>
      <c r="C16488" s="1" t="str">
        <f>HYPERLINK("http://www.rosaceae.org/gb/gbrowse/malus_x_domestica/?name=MDP0000149794","MDP0000149794")</f>
        <v>MDP0000149794</v>
      </c>
      <c r="D16488">
        <v>81.760000000000005</v>
      </c>
      <c r="E16488">
        <v>159</v>
      </c>
      <c r="F16488">
        <v>29</v>
      </c>
      <c r="G16488">
        <v>0</v>
      </c>
      <c r="H16488">
        <v>1</v>
      </c>
      <c r="I16488">
        <v>159</v>
      </c>
      <c r="J16488">
        <v>1</v>
      </c>
      <c r="K16488">
        <v>1</v>
      </c>
      <c r="L16488">
        <v>159</v>
      </c>
      <c r="M16488">
        <v>1</v>
      </c>
      <c r="N16488">
        <v>2.3751E-72</v>
      </c>
      <c r="O16488">
        <v>684</v>
      </c>
    </row>
    <row r="16489" spans="1:15" x14ac:dyDescent="0.25">
      <c r="A16489" t="s">
        <v>16502</v>
      </c>
      <c r="B16489">
        <v>108</v>
      </c>
      <c r="C16489" s="1" t="str">
        <f>HYPERLINK("http://www.rosaceae.org/gb/gbrowse/malus_x_domestica/?name=MDP0000298528","MDP0000298528")</f>
        <v>MDP0000298528</v>
      </c>
      <c r="D16489">
        <v>89.04</v>
      </c>
      <c r="E16489">
        <v>73</v>
      </c>
      <c r="F16489">
        <v>8</v>
      </c>
      <c r="G16489">
        <v>0</v>
      </c>
      <c r="H16489">
        <v>3</v>
      </c>
      <c r="I16489">
        <v>75</v>
      </c>
      <c r="J16489">
        <v>1</v>
      </c>
      <c r="K16489">
        <v>2</v>
      </c>
      <c r="L16489">
        <v>74</v>
      </c>
      <c r="M16489">
        <v>1</v>
      </c>
      <c r="N16489">
        <v>6.6346300000000002E-34</v>
      </c>
      <c r="O16489">
        <v>350</v>
      </c>
    </row>
    <row r="16490" spans="1:15" x14ac:dyDescent="0.25">
      <c r="A16490" t="s">
        <v>16503</v>
      </c>
      <c r="B16490">
        <v>492</v>
      </c>
      <c r="C16490" s="1" t="str">
        <f>HYPERLINK("http://www.rosaceae.org/gb/gbrowse/malus_x_domestica/?name=MDP0000175481","MDP0000175481")</f>
        <v>MDP0000175481</v>
      </c>
      <c r="D16490">
        <v>82.89</v>
      </c>
      <c r="E16490">
        <v>415</v>
      </c>
      <c r="F16490">
        <v>71</v>
      </c>
      <c r="G16490">
        <v>10</v>
      </c>
      <c r="H16490">
        <v>76</v>
      </c>
      <c r="I16490">
        <v>486</v>
      </c>
      <c r="J16490">
        <v>1</v>
      </c>
      <c r="K16490">
        <v>7</v>
      </c>
      <c r="L16490">
        <v>415</v>
      </c>
      <c r="M16490">
        <v>1</v>
      </c>
      <c r="N16490">
        <v>0</v>
      </c>
      <c r="O16490">
        <v>1755</v>
      </c>
    </row>
    <row r="16491" spans="1:15" x14ac:dyDescent="0.25">
      <c r="A16491" t="s">
        <v>16504</v>
      </c>
      <c r="B16491">
        <v>621</v>
      </c>
      <c r="C16491" s="1" t="str">
        <f>HYPERLINK("http://www.rosaceae.org/gb/gbrowse/malus_x_domestica/?name=MDP0000314736","MDP0000314736")</f>
        <v>MDP0000314736</v>
      </c>
      <c r="D16491">
        <v>79.459999999999994</v>
      </c>
      <c r="E16491">
        <v>594</v>
      </c>
      <c r="F16491">
        <v>122</v>
      </c>
      <c r="G16491">
        <v>1</v>
      </c>
      <c r="H16491">
        <v>28</v>
      </c>
      <c r="I16491">
        <v>621</v>
      </c>
      <c r="J16491">
        <v>1</v>
      </c>
      <c r="K16491">
        <v>31</v>
      </c>
      <c r="L16491">
        <v>623</v>
      </c>
      <c r="M16491">
        <v>1</v>
      </c>
      <c r="N16491">
        <v>0</v>
      </c>
      <c r="O16491">
        <v>2618</v>
      </c>
    </row>
    <row r="16492" spans="1:15" x14ac:dyDescent="0.25">
      <c r="A16492" t="s">
        <v>16505</v>
      </c>
      <c r="B16492">
        <v>521</v>
      </c>
      <c r="C16492" s="1" t="str">
        <f>HYPERLINK("http://www.rosaceae.org/gb/gbrowse/malus_x_domestica/?name=MDP0000695737","MDP0000695737")</f>
        <v>MDP0000695737</v>
      </c>
      <c r="D16492">
        <v>65.78</v>
      </c>
      <c r="E16492">
        <v>415</v>
      </c>
      <c r="F16492">
        <v>142</v>
      </c>
      <c r="G16492">
        <v>12</v>
      </c>
      <c r="H16492">
        <v>96</v>
      </c>
      <c r="I16492">
        <v>499</v>
      </c>
      <c r="J16492">
        <v>1</v>
      </c>
      <c r="K16492">
        <v>126</v>
      </c>
      <c r="L16492">
        <v>539</v>
      </c>
      <c r="M16492">
        <v>1</v>
      </c>
      <c r="N16492">
        <v>5.9507100000000002E-152</v>
      </c>
      <c r="O16492">
        <v>1377</v>
      </c>
    </row>
    <row r="16493" spans="1:15" x14ac:dyDescent="0.25">
      <c r="A16493" t="s">
        <v>16506</v>
      </c>
      <c r="B16493">
        <v>249</v>
      </c>
      <c r="C16493" s="1" t="str">
        <f>HYPERLINK("http://www.rosaceae.org/gb/gbrowse/malus_x_domestica/?name=MDP0000861213","MDP0000861213")</f>
        <v>MDP0000861213</v>
      </c>
      <c r="D16493">
        <v>45.63</v>
      </c>
      <c r="E16493">
        <v>252</v>
      </c>
      <c r="F16493">
        <v>137</v>
      </c>
      <c r="G16493">
        <v>25</v>
      </c>
      <c r="H16493">
        <v>1</v>
      </c>
      <c r="I16493">
        <v>246</v>
      </c>
      <c r="J16493">
        <v>1</v>
      </c>
      <c r="K16493">
        <v>1</v>
      </c>
      <c r="L16493">
        <v>233</v>
      </c>
      <c r="M16493">
        <v>1</v>
      </c>
      <c r="N16493">
        <v>4.0200799999999998E-41</v>
      </c>
      <c r="O16493">
        <v>418</v>
      </c>
    </row>
    <row r="16494" spans="1:15" x14ac:dyDescent="0.25">
      <c r="A16494" t="s">
        <v>16507</v>
      </c>
      <c r="B16494">
        <v>616</v>
      </c>
      <c r="C16494" s="1" t="str">
        <f>HYPERLINK("http://www.rosaceae.org/gb/gbrowse/malus_x_domestica/?name=MDP0000255495","MDP0000255495")</f>
        <v>MDP0000255495</v>
      </c>
      <c r="D16494">
        <v>59.52</v>
      </c>
      <c r="E16494">
        <v>667</v>
      </c>
      <c r="F16494">
        <v>270</v>
      </c>
      <c r="G16494">
        <v>63</v>
      </c>
      <c r="H16494">
        <v>1</v>
      </c>
      <c r="I16494">
        <v>616</v>
      </c>
      <c r="J16494">
        <v>1</v>
      </c>
      <c r="K16494">
        <v>65</v>
      </c>
      <c r="L16494">
        <v>719</v>
      </c>
      <c r="M16494">
        <v>1</v>
      </c>
      <c r="N16494">
        <v>0</v>
      </c>
      <c r="O16494">
        <v>1887</v>
      </c>
    </row>
    <row r="16495" spans="1:15" x14ac:dyDescent="0.25">
      <c r="A16495" t="s">
        <v>16508</v>
      </c>
      <c r="B16495">
        <v>326</v>
      </c>
      <c r="C16495" s="1" t="str">
        <f>HYPERLINK("http://www.rosaceae.org/gb/gbrowse/malus_x_domestica/?name=MDP0000139742","MDP0000139742")</f>
        <v>MDP0000139742</v>
      </c>
      <c r="D16495">
        <v>32.44</v>
      </c>
      <c r="E16495">
        <v>262</v>
      </c>
      <c r="F16495">
        <v>177</v>
      </c>
      <c r="G16495">
        <v>46</v>
      </c>
      <c r="H16495">
        <v>76</v>
      </c>
      <c r="I16495">
        <v>309</v>
      </c>
      <c r="J16495">
        <v>1</v>
      </c>
      <c r="K16495">
        <v>302</v>
      </c>
      <c r="L16495">
        <v>545</v>
      </c>
      <c r="M16495">
        <v>1</v>
      </c>
      <c r="N16495">
        <v>4.4738900000000003E-25</v>
      </c>
      <c r="O16495">
        <v>281</v>
      </c>
    </row>
    <row r="16496" spans="1:15" x14ac:dyDescent="0.25">
      <c r="A16496" t="s">
        <v>16509</v>
      </c>
      <c r="B16496">
        <v>228</v>
      </c>
      <c r="C16496" s="1" t="str">
        <f>HYPERLINK("http://www.rosaceae.org/gb/gbrowse/malus_x_domestica/?name=MDP0000782085","MDP0000782085")</f>
        <v>MDP0000782085</v>
      </c>
      <c r="D16496">
        <v>88.88</v>
      </c>
      <c r="E16496">
        <v>126</v>
      </c>
      <c r="F16496">
        <v>14</v>
      </c>
      <c r="G16496">
        <v>0</v>
      </c>
      <c r="H16496">
        <v>1</v>
      </c>
      <c r="I16496">
        <v>126</v>
      </c>
      <c r="J16496">
        <v>1</v>
      </c>
      <c r="K16496">
        <v>20</v>
      </c>
      <c r="L16496">
        <v>145</v>
      </c>
      <c r="M16496">
        <v>1</v>
      </c>
      <c r="N16496">
        <v>4.9226999999999995E-63</v>
      </c>
      <c r="O16496">
        <v>606</v>
      </c>
    </row>
    <row r="16497" spans="1:15" x14ac:dyDescent="0.25">
      <c r="A16497" t="s">
        <v>16510</v>
      </c>
      <c r="B16497">
        <v>385</v>
      </c>
      <c r="C16497" s="1" t="str">
        <f>HYPERLINK("http://www.rosaceae.org/gb/gbrowse/malus_x_domestica/?name=MDP0000312342","MDP0000312342")</f>
        <v>MDP0000312342</v>
      </c>
      <c r="D16497">
        <v>32.42</v>
      </c>
      <c r="E16497">
        <v>330</v>
      </c>
      <c r="F16497">
        <v>223</v>
      </c>
      <c r="G16497">
        <v>40</v>
      </c>
      <c r="H16497">
        <v>1</v>
      </c>
      <c r="I16497">
        <v>306</v>
      </c>
      <c r="J16497">
        <v>1</v>
      </c>
      <c r="K16497">
        <v>1</v>
      </c>
      <c r="L16497">
        <v>314</v>
      </c>
      <c r="M16497">
        <v>1</v>
      </c>
      <c r="N16497">
        <v>3.3492799999999998E-27</v>
      </c>
      <c r="O16497">
        <v>300</v>
      </c>
    </row>
    <row r="16498" spans="1:15" x14ac:dyDescent="0.25">
      <c r="A16498" t="s">
        <v>16511</v>
      </c>
      <c r="B16498">
        <v>134</v>
      </c>
      <c r="C16498" s="1" t="str">
        <f>HYPERLINK("http://www.rosaceae.org/gb/gbrowse/malus_x_domestica/?name=MDP0000620193","MDP0000620193")</f>
        <v>MDP0000620193</v>
      </c>
      <c r="D16498">
        <v>49.18</v>
      </c>
      <c r="E16498">
        <v>61</v>
      </c>
      <c r="F16498">
        <v>31</v>
      </c>
      <c r="G16498">
        <v>0</v>
      </c>
      <c r="H16498">
        <v>61</v>
      </c>
      <c r="I16498">
        <v>121</v>
      </c>
      <c r="J16498">
        <v>1</v>
      </c>
      <c r="K16498">
        <v>1</v>
      </c>
      <c r="L16498">
        <v>61</v>
      </c>
      <c r="M16498">
        <v>1</v>
      </c>
      <c r="N16498">
        <v>2.18684E-10</v>
      </c>
      <c r="O16498">
        <v>148</v>
      </c>
    </row>
    <row r="16499" spans="1:15" x14ac:dyDescent="0.25">
      <c r="A16499" t="s">
        <v>16512</v>
      </c>
      <c r="B16499">
        <v>390</v>
      </c>
      <c r="C16499" s="1" t="str">
        <f>HYPERLINK("http://www.rosaceae.org/gb/gbrowse/malus_x_domestica/?name=MDP0000127046","MDP0000127046")</f>
        <v>MDP0000127046</v>
      </c>
      <c r="D16499">
        <v>66.739999999999995</v>
      </c>
      <c r="E16499">
        <v>403</v>
      </c>
      <c r="F16499">
        <v>134</v>
      </c>
      <c r="G16499">
        <v>23</v>
      </c>
      <c r="H16499">
        <v>1</v>
      </c>
      <c r="I16499">
        <v>389</v>
      </c>
      <c r="J16499">
        <v>1</v>
      </c>
      <c r="K16499">
        <v>1</v>
      </c>
      <c r="L16499">
        <v>394</v>
      </c>
      <c r="M16499">
        <v>1</v>
      </c>
      <c r="N16499">
        <v>5.0870199999999997E-143</v>
      </c>
      <c r="O16499">
        <v>1299</v>
      </c>
    </row>
    <row r="16500" spans="1:15" x14ac:dyDescent="0.25">
      <c r="A16500" t="s">
        <v>16513</v>
      </c>
      <c r="B16500">
        <v>356</v>
      </c>
      <c r="C16500" s="1" t="str">
        <f>HYPERLINK("http://www.rosaceae.org/gb/gbrowse/malus_x_domestica/?name=MDP0000250644","MDP0000250644")</f>
        <v>MDP0000250644</v>
      </c>
      <c r="D16500">
        <v>31.12</v>
      </c>
      <c r="E16500">
        <v>151</v>
      </c>
      <c r="F16500">
        <v>104</v>
      </c>
      <c r="G16500">
        <v>2</v>
      </c>
      <c r="H16500">
        <v>25</v>
      </c>
      <c r="I16500">
        <v>175</v>
      </c>
      <c r="J16500">
        <v>1</v>
      </c>
      <c r="K16500">
        <v>166</v>
      </c>
      <c r="L16500">
        <v>314</v>
      </c>
      <c r="M16500">
        <v>1</v>
      </c>
      <c r="N16500">
        <v>5.9103400000000002E-22</v>
      </c>
      <c r="O16500">
        <v>254</v>
      </c>
    </row>
    <row r="16501" spans="1:15" x14ac:dyDescent="0.25">
      <c r="A16501" t="s">
        <v>16514</v>
      </c>
      <c r="B16501">
        <v>274</v>
      </c>
      <c r="C16501" s="1" t="str">
        <f>HYPERLINK("http://www.rosaceae.org/gb/gbrowse/malus_x_domestica/?name=MDP0000911144","MDP0000911144")</f>
        <v>MDP0000911144</v>
      </c>
      <c r="D16501">
        <v>51.01</v>
      </c>
      <c r="E16501">
        <v>198</v>
      </c>
      <c r="F16501">
        <v>97</v>
      </c>
      <c r="G16501">
        <v>0</v>
      </c>
      <c r="H16501">
        <v>7</v>
      </c>
      <c r="I16501">
        <v>204</v>
      </c>
      <c r="J16501">
        <v>1</v>
      </c>
      <c r="K16501">
        <v>117</v>
      </c>
      <c r="L16501">
        <v>314</v>
      </c>
      <c r="M16501">
        <v>1</v>
      </c>
      <c r="N16501">
        <v>1.22949E-57</v>
      </c>
      <c r="O16501">
        <v>561</v>
      </c>
    </row>
    <row r="16502" spans="1:15" x14ac:dyDescent="0.25">
      <c r="A16502" t="s">
        <v>16515</v>
      </c>
      <c r="B16502">
        <v>687</v>
      </c>
      <c r="C16502" s="1" t="str">
        <f>HYPERLINK("http://www.rosaceae.org/gb/gbrowse/malus_x_domestica/?name=MDP0000194742","MDP0000194742")</f>
        <v>MDP0000194742</v>
      </c>
      <c r="D16502">
        <v>77.89</v>
      </c>
      <c r="E16502">
        <v>674</v>
      </c>
      <c r="F16502">
        <v>149</v>
      </c>
      <c r="G16502">
        <v>1</v>
      </c>
      <c r="H16502">
        <v>4</v>
      </c>
      <c r="I16502">
        <v>677</v>
      </c>
      <c r="J16502">
        <v>1</v>
      </c>
      <c r="K16502">
        <v>34</v>
      </c>
      <c r="L16502">
        <v>706</v>
      </c>
      <c r="M16502">
        <v>1</v>
      </c>
      <c r="N16502">
        <v>0</v>
      </c>
      <c r="O16502">
        <v>2851</v>
      </c>
    </row>
    <row r="16503" spans="1:15" x14ac:dyDescent="0.25">
      <c r="A16503" t="s">
        <v>16516</v>
      </c>
      <c r="B16503">
        <v>102</v>
      </c>
      <c r="C16503" s="1" t="str">
        <f>HYPERLINK("http://www.rosaceae.org/gb/gbrowse/malus_x_domestica/?name=MDP0000220519","MDP0000220519")</f>
        <v>MDP0000220519</v>
      </c>
      <c r="D16503">
        <v>65.55</v>
      </c>
      <c r="E16503">
        <v>90</v>
      </c>
      <c r="F16503">
        <v>31</v>
      </c>
      <c r="G16503">
        <v>2</v>
      </c>
      <c r="H16503">
        <v>11</v>
      </c>
      <c r="I16503">
        <v>99</v>
      </c>
      <c r="J16503">
        <v>1</v>
      </c>
      <c r="K16503">
        <v>17</v>
      </c>
      <c r="L16503">
        <v>105</v>
      </c>
      <c r="M16503">
        <v>1</v>
      </c>
      <c r="N16503">
        <v>2.0411599999999999E-25</v>
      </c>
      <c r="O16503">
        <v>277</v>
      </c>
    </row>
    <row r="16504" spans="1:15" x14ac:dyDescent="0.25">
      <c r="A16504" t="s">
        <v>16517</v>
      </c>
      <c r="B16504">
        <v>434</v>
      </c>
      <c r="C16504" s="1" t="str">
        <f>HYPERLINK("http://www.rosaceae.org/gb/gbrowse/malus_x_domestica/?name=MDP0000183682","MDP0000183682")</f>
        <v>MDP0000183682</v>
      </c>
      <c r="D16504">
        <v>76.47</v>
      </c>
      <c r="E16504">
        <v>187</v>
      </c>
      <c r="F16504">
        <v>44</v>
      </c>
      <c r="G16504">
        <v>1</v>
      </c>
      <c r="H16504">
        <v>248</v>
      </c>
      <c r="I16504">
        <v>434</v>
      </c>
      <c r="J16504">
        <v>1</v>
      </c>
      <c r="K16504">
        <v>6</v>
      </c>
      <c r="L16504">
        <v>191</v>
      </c>
      <c r="M16504">
        <v>1</v>
      </c>
      <c r="N16504">
        <v>9.3212499999999997E-80</v>
      </c>
      <c r="O16504">
        <v>754</v>
      </c>
    </row>
    <row r="16505" spans="1:15" x14ac:dyDescent="0.25">
      <c r="A16505" t="s">
        <v>16518</v>
      </c>
      <c r="B16505">
        <v>291</v>
      </c>
      <c r="C16505" s="1" t="str">
        <f>HYPERLINK("http://www.rosaceae.org/gb/gbrowse/malus_x_domestica/?name=MDP0000736762","MDP0000736762")</f>
        <v>MDP0000736762</v>
      </c>
      <c r="D16505">
        <v>76.010000000000005</v>
      </c>
      <c r="E16505">
        <v>296</v>
      </c>
      <c r="F16505">
        <v>71</v>
      </c>
      <c r="G16505">
        <v>8</v>
      </c>
      <c r="H16505">
        <v>1</v>
      </c>
      <c r="I16505">
        <v>290</v>
      </c>
      <c r="J16505">
        <v>1</v>
      </c>
      <c r="K16505">
        <v>1</v>
      </c>
      <c r="L16505">
        <v>294</v>
      </c>
      <c r="M16505">
        <v>1</v>
      </c>
      <c r="N16505">
        <v>6.7362399999999996E-125</v>
      </c>
      <c r="O16505">
        <v>1141</v>
      </c>
    </row>
    <row r="16506" spans="1:15" x14ac:dyDescent="0.25">
      <c r="A16506" t="s">
        <v>16519</v>
      </c>
      <c r="B16506">
        <v>593</v>
      </c>
      <c r="C16506" s="1" t="str">
        <f>HYPERLINK("http://www.rosaceae.org/gb/gbrowse/malus_x_domestica/?name=MDP0000203790","MDP0000203790")</f>
        <v>MDP0000203790</v>
      </c>
      <c r="D16506">
        <v>38.729999999999997</v>
      </c>
      <c r="E16506">
        <v>475</v>
      </c>
      <c r="F16506">
        <v>291</v>
      </c>
      <c r="G16506">
        <v>100</v>
      </c>
      <c r="H16506">
        <v>144</v>
      </c>
      <c r="I16506">
        <v>587</v>
      </c>
      <c r="J16506">
        <v>1</v>
      </c>
      <c r="K16506">
        <v>26</v>
      </c>
      <c r="L16506">
        <v>431</v>
      </c>
      <c r="M16506">
        <v>1</v>
      </c>
      <c r="N16506">
        <v>1.8797300000000001E-85</v>
      </c>
      <c r="O16506">
        <v>804</v>
      </c>
    </row>
    <row r="16507" spans="1:15" x14ac:dyDescent="0.25">
      <c r="A16507" t="s">
        <v>16520</v>
      </c>
      <c r="B16507">
        <v>812</v>
      </c>
      <c r="C16507" s="1" t="str">
        <f>HYPERLINK("http://www.rosaceae.org/gb/gbrowse/malus_x_domestica/?name=MDP0000416548","MDP0000416548")</f>
        <v>MDP0000416548</v>
      </c>
      <c r="D16507">
        <v>80.48</v>
      </c>
      <c r="E16507">
        <v>697</v>
      </c>
      <c r="F16507">
        <v>136</v>
      </c>
      <c r="G16507">
        <v>6</v>
      </c>
      <c r="H16507">
        <v>100</v>
      </c>
      <c r="I16507">
        <v>790</v>
      </c>
      <c r="J16507">
        <v>1</v>
      </c>
      <c r="K16507">
        <v>26</v>
      </c>
      <c r="L16507">
        <v>722</v>
      </c>
      <c r="M16507">
        <v>1</v>
      </c>
      <c r="N16507">
        <v>0</v>
      </c>
      <c r="O16507">
        <v>3019</v>
      </c>
    </row>
    <row r="16508" spans="1:15" x14ac:dyDescent="0.25">
      <c r="A16508" t="s">
        <v>16521</v>
      </c>
      <c r="B16508">
        <v>104</v>
      </c>
      <c r="C16508" s="1" t="str">
        <f>HYPERLINK("http://www.rosaceae.org/gb/gbrowse/malus_x_domestica/?name=MDP0000854311","MDP0000854311")</f>
        <v>MDP0000854311</v>
      </c>
      <c r="D16508">
        <v>51.88</v>
      </c>
      <c r="E16508">
        <v>106</v>
      </c>
      <c r="F16508">
        <v>51</v>
      </c>
      <c r="G16508">
        <v>11</v>
      </c>
      <c r="H16508">
        <v>1</v>
      </c>
      <c r="I16508">
        <v>104</v>
      </c>
      <c r="J16508">
        <v>1</v>
      </c>
      <c r="K16508">
        <v>1</v>
      </c>
      <c r="L16508">
        <v>97</v>
      </c>
      <c r="M16508">
        <v>1</v>
      </c>
      <c r="N16508">
        <v>1.07638E-22</v>
      </c>
      <c r="O16508">
        <v>253</v>
      </c>
    </row>
    <row r="16509" spans="1:15" x14ac:dyDescent="0.25">
      <c r="A16509" t="s">
        <v>16522</v>
      </c>
      <c r="B16509">
        <v>1071</v>
      </c>
      <c r="C16509" s="1" t="str">
        <f>HYPERLINK("http://www.rosaceae.org/gb/gbrowse/malus_x_domestica/?name=MDP0000181878","MDP0000181878")</f>
        <v>MDP0000181878</v>
      </c>
      <c r="D16509">
        <v>75.36</v>
      </c>
      <c r="E16509">
        <v>881</v>
      </c>
      <c r="F16509">
        <v>217</v>
      </c>
      <c r="G16509">
        <v>7</v>
      </c>
      <c r="H16509">
        <v>194</v>
      </c>
      <c r="I16509">
        <v>1071</v>
      </c>
      <c r="J16509">
        <v>1</v>
      </c>
      <c r="K16509">
        <v>22</v>
      </c>
      <c r="L16509">
        <v>898</v>
      </c>
      <c r="M16509">
        <v>1</v>
      </c>
      <c r="N16509">
        <v>0</v>
      </c>
      <c r="O16509">
        <v>3372</v>
      </c>
    </row>
    <row r="16510" spans="1:15" x14ac:dyDescent="0.25">
      <c r="A16510" t="s">
        <v>16523</v>
      </c>
      <c r="B16510">
        <v>852</v>
      </c>
      <c r="C16510" s="1" t="str">
        <f>HYPERLINK("http://www.rosaceae.org/gb/gbrowse/malus_x_domestica/?name=MDP0000303509","MDP0000303509")</f>
        <v>MDP0000303509</v>
      </c>
      <c r="D16510">
        <v>70.930000000000007</v>
      </c>
      <c r="E16510">
        <v>640</v>
      </c>
      <c r="F16510">
        <v>186</v>
      </c>
      <c r="G16510">
        <v>70</v>
      </c>
      <c r="H16510">
        <v>242</v>
      </c>
      <c r="I16510">
        <v>834</v>
      </c>
      <c r="J16510">
        <v>1</v>
      </c>
      <c r="K16510">
        <v>1</v>
      </c>
      <c r="L16510">
        <v>617</v>
      </c>
      <c r="M16510">
        <v>1</v>
      </c>
      <c r="N16510">
        <v>0</v>
      </c>
      <c r="O16510">
        <v>2307</v>
      </c>
    </row>
    <row r="16511" spans="1:15" x14ac:dyDescent="0.25">
      <c r="A16511" t="s">
        <v>16524</v>
      </c>
      <c r="B16511">
        <v>222</v>
      </c>
      <c r="C16511" s="1" t="str">
        <f>HYPERLINK("http://www.rosaceae.org/gb/gbrowse/malus_x_domestica/?name=MDP0000631284","MDP0000631284")</f>
        <v>MDP0000631284</v>
      </c>
      <c r="D16511">
        <v>37.94</v>
      </c>
      <c r="E16511">
        <v>195</v>
      </c>
      <c r="F16511">
        <v>121</v>
      </c>
      <c r="G16511">
        <v>43</v>
      </c>
      <c r="H16511">
        <v>21</v>
      </c>
      <c r="I16511">
        <v>208</v>
      </c>
      <c r="J16511">
        <v>1</v>
      </c>
      <c r="K16511">
        <v>23</v>
      </c>
      <c r="L16511">
        <v>181</v>
      </c>
      <c r="M16511">
        <v>1</v>
      </c>
      <c r="N16511">
        <v>2.89963E-25</v>
      </c>
      <c r="O16511">
        <v>280</v>
      </c>
    </row>
    <row r="16512" spans="1:15" x14ac:dyDescent="0.25">
      <c r="A16512" t="s">
        <v>16525</v>
      </c>
      <c r="B16512">
        <v>226</v>
      </c>
      <c r="C16512" s="1" t="str">
        <f>HYPERLINK("http://www.rosaceae.org/gb/gbrowse/malus_x_domestica/?name=MDP0000122734","MDP0000122734")</f>
        <v>MDP0000122734</v>
      </c>
      <c r="D16512">
        <v>77.63</v>
      </c>
      <c r="E16512">
        <v>76</v>
      </c>
      <c r="F16512">
        <v>17</v>
      </c>
      <c r="G16512">
        <v>0</v>
      </c>
      <c r="H16512">
        <v>5</v>
      </c>
      <c r="I16512">
        <v>80</v>
      </c>
      <c r="J16512">
        <v>1</v>
      </c>
      <c r="K16512">
        <v>1</v>
      </c>
      <c r="L16512">
        <v>76</v>
      </c>
      <c r="M16512">
        <v>1</v>
      </c>
      <c r="N16512">
        <v>7.3633799999999994E-30</v>
      </c>
      <c r="O16512">
        <v>320</v>
      </c>
    </row>
    <row r="16513" spans="1:15" x14ac:dyDescent="0.25">
      <c r="A16513" t="s">
        <v>16526</v>
      </c>
      <c r="B16513">
        <v>515</v>
      </c>
      <c r="C16513" s="1" t="str">
        <f>HYPERLINK("http://www.rosaceae.org/gb/gbrowse/malus_x_domestica/?name=MDP0000318429","MDP0000318429")</f>
        <v>MDP0000318429</v>
      </c>
      <c r="D16513">
        <v>78.260000000000005</v>
      </c>
      <c r="E16513">
        <v>253</v>
      </c>
      <c r="F16513">
        <v>55</v>
      </c>
      <c r="G16513">
        <v>0</v>
      </c>
      <c r="H16513">
        <v>6</v>
      </c>
      <c r="I16513">
        <v>258</v>
      </c>
      <c r="J16513">
        <v>1</v>
      </c>
      <c r="K16513">
        <v>552</v>
      </c>
      <c r="L16513">
        <v>804</v>
      </c>
      <c r="M16513">
        <v>1</v>
      </c>
      <c r="N16513">
        <v>2.1741000000000002E-121</v>
      </c>
      <c r="O16513">
        <v>1113</v>
      </c>
    </row>
    <row r="16514" spans="1:15" x14ac:dyDescent="0.25">
      <c r="A16514" t="s">
        <v>16527</v>
      </c>
      <c r="B16514">
        <v>308</v>
      </c>
      <c r="C16514" s="1" t="str">
        <f>HYPERLINK("http://www.rosaceae.org/gb/gbrowse/malus_x_domestica/?name=MDP0000281233","MDP0000281233")</f>
        <v>MDP0000281233</v>
      </c>
      <c r="D16514">
        <v>88.42</v>
      </c>
      <c r="E16514">
        <v>216</v>
      </c>
      <c r="F16514">
        <v>25</v>
      </c>
      <c r="G16514">
        <v>2</v>
      </c>
      <c r="H16514">
        <v>93</v>
      </c>
      <c r="I16514">
        <v>308</v>
      </c>
      <c r="J16514">
        <v>1</v>
      </c>
      <c r="K16514">
        <v>1</v>
      </c>
      <c r="L16514">
        <v>214</v>
      </c>
      <c r="M16514">
        <v>1</v>
      </c>
      <c r="N16514">
        <v>2.7090199999999998E-112</v>
      </c>
      <c r="O16514">
        <v>1033</v>
      </c>
    </row>
    <row r="16515" spans="1:15" x14ac:dyDescent="0.25">
      <c r="A16515" t="s">
        <v>16528</v>
      </c>
      <c r="B16515">
        <v>235</v>
      </c>
      <c r="C16515" s="1" t="str">
        <f>HYPERLINK("http://www.rosaceae.org/gb/gbrowse/malus_x_domestica/?name=MDP0000223409","MDP0000223409")</f>
        <v>MDP0000223409</v>
      </c>
      <c r="D16515">
        <v>63.67</v>
      </c>
      <c r="E16515">
        <v>267</v>
      </c>
      <c r="F16515">
        <v>97</v>
      </c>
      <c r="G16515">
        <v>32</v>
      </c>
      <c r="H16515">
        <v>1</v>
      </c>
      <c r="I16515">
        <v>235</v>
      </c>
      <c r="J16515">
        <v>1</v>
      </c>
      <c r="K16515">
        <v>1</v>
      </c>
      <c r="L16515">
        <v>267</v>
      </c>
      <c r="M16515">
        <v>1</v>
      </c>
      <c r="N16515">
        <v>2.53171E-94</v>
      </c>
      <c r="O16515">
        <v>876</v>
      </c>
    </row>
    <row r="16516" spans="1:15" x14ac:dyDescent="0.25">
      <c r="A16516" t="s">
        <v>16529</v>
      </c>
      <c r="B16516">
        <v>139</v>
      </c>
      <c r="C16516" s="1" t="str">
        <f>HYPERLINK("http://www.rosaceae.org/gb/gbrowse/malus_x_domestica/?name=MDP0000865687","MDP0000865687")</f>
        <v>MDP0000865687</v>
      </c>
      <c r="D16516">
        <v>92.37</v>
      </c>
      <c r="E16516">
        <v>118</v>
      </c>
      <c r="F16516">
        <v>9</v>
      </c>
      <c r="G16516">
        <v>0</v>
      </c>
      <c r="H16516">
        <v>1</v>
      </c>
      <c r="I16516">
        <v>118</v>
      </c>
      <c r="J16516">
        <v>1</v>
      </c>
      <c r="K16516">
        <v>1</v>
      </c>
      <c r="L16516">
        <v>118</v>
      </c>
      <c r="M16516">
        <v>1</v>
      </c>
      <c r="N16516">
        <v>1.2899599999999999E-60</v>
      </c>
      <c r="O16516">
        <v>581</v>
      </c>
    </row>
    <row r="16517" spans="1:15" x14ac:dyDescent="0.25">
      <c r="A16517" t="s">
        <v>16530</v>
      </c>
      <c r="B16517">
        <v>380</v>
      </c>
      <c r="C16517" s="1" t="str">
        <f>HYPERLINK("http://www.rosaceae.org/gb/gbrowse/malus_x_domestica/?name=MDP0000212194","MDP0000212194")</f>
        <v>MDP0000212194</v>
      </c>
      <c r="D16517">
        <v>68.459999999999994</v>
      </c>
      <c r="E16517">
        <v>444</v>
      </c>
      <c r="F16517">
        <v>140</v>
      </c>
      <c r="G16517">
        <v>66</v>
      </c>
      <c r="H16517">
        <v>1</v>
      </c>
      <c r="I16517">
        <v>378</v>
      </c>
      <c r="J16517">
        <v>1</v>
      </c>
      <c r="K16517">
        <v>1</v>
      </c>
      <c r="L16517">
        <v>444</v>
      </c>
      <c r="M16517">
        <v>1</v>
      </c>
      <c r="N16517">
        <v>2.7886699999999998E-165</v>
      </c>
      <c r="O16517">
        <v>1491</v>
      </c>
    </row>
    <row r="16518" spans="1:15" x14ac:dyDescent="0.25">
      <c r="A16518" t="s">
        <v>16531</v>
      </c>
      <c r="B16518">
        <v>243</v>
      </c>
      <c r="C16518" s="1" t="str">
        <f>HYPERLINK("http://www.rosaceae.org/gb/gbrowse/malus_x_domestica/?name=MDP0000321414","MDP0000321414")</f>
        <v>MDP0000321414</v>
      </c>
      <c r="D16518">
        <v>82.43</v>
      </c>
      <c r="E16518">
        <v>148</v>
      </c>
      <c r="F16518">
        <v>26</v>
      </c>
      <c r="G16518">
        <v>7</v>
      </c>
      <c r="H16518">
        <v>101</v>
      </c>
      <c r="I16518">
        <v>241</v>
      </c>
      <c r="J16518">
        <v>1</v>
      </c>
      <c r="K16518">
        <v>1</v>
      </c>
      <c r="L16518">
        <v>148</v>
      </c>
      <c r="M16518">
        <v>1</v>
      </c>
      <c r="N16518">
        <v>4.5546399999999997E-72</v>
      </c>
      <c r="O16518">
        <v>684</v>
      </c>
    </row>
    <row r="16519" spans="1:15" x14ac:dyDescent="0.25">
      <c r="A16519" t="s">
        <v>16532</v>
      </c>
      <c r="B16519">
        <v>420</v>
      </c>
      <c r="C16519" s="1" t="str">
        <f>HYPERLINK("http://www.rosaceae.org/gb/gbrowse/malus_x_domestica/?name=MDP0000263256","MDP0000263256")</f>
        <v>MDP0000263256</v>
      </c>
      <c r="D16519">
        <v>32.81</v>
      </c>
      <c r="E16519">
        <v>448</v>
      </c>
      <c r="F16519">
        <v>301</v>
      </c>
      <c r="G16519">
        <v>74</v>
      </c>
      <c r="H16519">
        <v>5</v>
      </c>
      <c r="I16519">
        <v>407</v>
      </c>
      <c r="J16519">
        <v>1</v>
      </c>
      <c r="K16519">
        <v>318</v>
      </c>
      <c r="L16519">
        <v>736</v>
      </c>
      <c r="M16519">
        <v>1</v>
      </c>
      <c r="N16519">
        <v>1.2607799999999999E-38</v>
      </c>
      <c r="O16519">
        <v>399</v>
      </c>
    </row>
    <row r="16520" spans="1:15" x14ac:dyDescent="0.25">
      <c r="A16520" t="s">
        <v>16533</v>
      </c>
      <c r="B16520">
        <v>261</v>
      </c>
      <c r="C16520" s="1" t="str">
        <f>HYPERLINK("http://www.rosaceae.org/gb/gbrowse/malus_x_domestica/?name=MDP0000301965","MDP0000301965")</f>
        <v>MDP0000301965</v>
      </c>
      <c r="D16520">
        <v>46.55</v>
      </c>
      <c r="E16520">
        <v>247</v>
      </c>
      <c r="F16520">
        <v>132</v>
      </c>
      <c r="G16520">
        <v>0</v>
      </c>
      <c r="H16520">
        <v>4</v>
      </c>
      <c r="I16520">
        <v>250</v>
      </c>
      <c r="J16520">
        <v>1</v>
      </c>
      <c r="K16520">
        <v>233</v>
      </c>
      <c r="L16520">
        <v>479</v>
      </c>
      <c r="M16520">
        <v>1</v>
      </c>
      <c r="N16520">
        <v>6.9723900000000005E-51</v>
      </c>
      <c r="O16520">
        <v>502</v>
      </c>
    </row>
    <row r="16521" spans="1:15" x14ac:dyDescent="0.25">
      <c r="A16521" t="s">
        <v>16534</v>
      </c>
      <c r="B16521">
        <v>555</v>
      </c>
      <c r="C16521" s="1" t="str">
        <f>HYPERLINK("http://www.rosaceae.org/gb/gbrowse/malus_x_domestica/?name=MDP0000337368","MDP0000337368")</f>
        <v>MDP0000337368</v>
      </c>
      <c r="D16521">
        <v>62.43</v>
      </c>
      <c r="E16521">
        <v>394</v>
      </c>
      <c r="F16521">
        <v>148</v>
      </c>
      <c r="G16521">
        <v>21</v>
      </c>
      <c r="H16521">
        <v>13</v>
      </c>
      <c r="I16521">
        <v>397</v>
      </c>
      <c r="J16521">
        <v>1</v>
      </c>
      <c r="K16521">
        <v>70</v>
      </c>
      <c r="L16521">
        <v>451</v>
      </c>
      <c r="M16521">
        <v>1</v>
      </c>
      <c r="N16521">
        <v>1.29744E-132</v>
      </c>
      <c r="O16521">
        <v>1211</v>
      </c>
    </row>
    <row r="16522" spans="1:15" x14ac:dyDescent="0.25">
      <c r="A16522" t="s">
        <v>16535</v>
      </c>
      <c r="B16522">
        <v>672</v>
      </c>
      <c r="C16522" s="1" t="str">
        <f>HYPERLINK("http://www.rosaceae.org/gb/gbrowse/malus_x_domestica/?name=MDP0000635733","MDP0000635733")</f>
        <v>MDP0000635733</v>
      </c>
      <c r="D16522">
        <v>68.3</v>
      </c>
      <c r="E16522">
        <v>448</v>
      </c>
      <c r="F16522">
        <v>142</v>
      </c>
      <c r="G16522">
        <v>15</v>
      </c>
      <c r="H16522">
        <v>85</v>
      </c>
      <c r="I16522">
        <v>518</v>
      </c>
      <c r="J16522">
        <v>1</v>
      </c>
      <c r="K16522">
        <v>1</v>
      </c>
      <c r="L16522">
        <v>447</v>
      </c>
      <c r="M16522">
        <v>1</v>
      </c>
      <c r="N16522">
        <v>2.2092600000000002E-174</v>
      </c>
      <c r="O16522">
        <v>1572</v>
      </c>
    </row>
    <row r="16523" spans="1:15" x14ac:dyDescent="0.25">
      <c r="A16523" t="s">
        <v>16536</v>
      </c>
      <c r="B16523">
        <v>586</v>
      </c>
      <c r="C16523" s="1" t="str">
        <f>HYPERLINK("http://www.rosaceae.org/gb/gbrowse/malus_x_domestica/?name=MDP0000409085","MDP0000409085")</f>
        <v>MDP0000409085</v>
      </c>
      <c r="D16523">
        <v>33.54</v>
      </c>
      <c r="E16523">
        <v>161</v>
      </c>
      <c r="F16523">
        <v>107</v>
      </c>
      <c r="G16523">
        <v>15</v>
      </c>
      <c r="H16523">
        <v>416</v>
      </c>
      <c r="I16523">
        <v>568</v>
      </c>
      <c r="J16523">
        <v>1</v>
      </c>
      <c r="K16523">
        <v>115</v>
      </c>
      <c r="L16523">
        <v>268</v>
      </c>
      <c r="M16523">
        <v>1</v>
      </c>
      <c r="N16523">
        <v>7.6116300000000005E-17</v>
      </c>
      <c r="O16523">
        <v>212</v>
      </c>
    </row>
    <row r="16524" spans="1:15" x14ac:dyDescent="0.25">
      <c r="A16524" t="s">
        <v>16537</v>
      </c>
      <c r="B16524">
        <v>577</v>
      </c>
      <c r="C16524" s="1" t="str">
        <f>HYPERLINK("http://www.rosaceae.org/gb/gbrowse/malus_x_domestica/?name=MDP0000234975","MDP0000234975")</f>
        <v>MDP0000234975</v>
      </c>
      <c r="D16524">
        <v>66.8</v>
      </c>
      <c r="E16524">
        <v>494</v>
      </c>
      <c r="F16524">
        <v>164</v>
      </c>
      <c r="G16524">
        <v>51</v>
      </c>
      <c r="H16524">
        <v>82</v>
      </c>
      <c r="I16524">
        <v>575</v>
      </c>
      <c r="J16524">
        <v>1</v>
      </c>
      <c r="K16524">
        <v>1</v>
      </c>
      <c r="L16524">
        <v>443</v>
      </c>
      <c r="M16524">
        <v>1</v>
      </c>
      <c r="N16524">
        <v>0</v>
      </c>
      <c r="O16524">
        <v>1736</v>
      </c>
    </row>
    <row r="16525" spans="1:15" x14ac:dyDescent="0.25">
      <c r="A16525" t="s">
        <v>16538</v>
      </c>
      <c r="B16525">
        <v>695</v>
      </c>
      <c r="C16525" s="1" t="str">
        <f>HYPERLINK("http://www.rosaceae.org/gb/gbrowse/malus_x_domestica/?name=MDP0000167670","MDP0000167670")</f>
        <v>MDP0000167670</v>
      </c>
      <c r="D16525">
        <v>75.510000000000005</v>
      </c>
      <c r="E16525">
        <v>339</v>
      </c>
      <c r="F16525">
        <v>83</v>
      </c>
      <c r="G16525">
        <v>0</v>
      </c>
      <c r="H16525">
        <v>108</v>
      </c>
      <c r="I16525">
        <v>446</v>
      </c>
      <c r="J16525">
        <v>1</v>
      </c>
      <c r="K16525">
        <v>22</v>
      </c>
      <c r="L16525">
        <v>360</v>
      </c>
      <c r="M16525">
        <v>1</v>
      </c>
      <c r="N16525">
        <v>3.0533099999999998E-146</v>
      </c>
      <c r="O16525">
        <v>1329</v>
      </c>
    </row>
    <row r="16526" spans="1:15" x14ac:dyDescent="0.25">
      <c r="A16526" t="s">
        <v>16539</v>
      </c>
      <c r="B16526">
        <v>725</v>
      </c>
      <c r="C16526" s="1" t="str">
        <f>HYPERLINK("http://www.rosaceae.org/gb/gbrowse/malus_x_domestica/?name=MDP0000167408","MDP0000167408")</f>
        <v>MDP0000167408</v>
      </c>
      <c r="D16526">
        <v>68.069999999999993</v>
      </c>
      <c r="E16526">
        <v>661</v>
      </c>
      <c r="F16526">
        <v>211</v>
      </c>
      <c r="G16526">
        <v>8</v>
      </c>
      <c r="H16526">
        <v>2</v>
      </c>
      <c r="I16526">
        <v>661</v>
      </c>
      <c r="J16526">
        <v>1</v>
      </c>
      <c r="K16526">
        <v>4</v>
      </c>
      <c r="L16526">
        <v>657</v>
      </c>
      <c r="M16526">
        <v>1</v>
      </c>
      <c r="N16526">
        <v>0</v>
      </c>
      <c r="O16526">
        <v>2397</v>
      </c>
    </row>
    <row r="16527" spans="1:15" x14ac:dyDescent="0.25">
      <c r="A16527" t="s">
        <v>16540</v>
      </c>
      <c r="B16527">
        <v>498</v>
      </c>
      <c r="C16527" s="1" t="str">
        <f>HYPERLINK("http://www.rosaceae.org/gb/gbrowse/malus_x_domestica/?name=MDP0000774306","MDP0000774306")</f>
        <v>MDP0000774306</v>
      </c>
      <c r="D16527">
        <v>40.21</v>
      </c>
      <c r="E16527">
        <v>368</v>
      </c>
      <c r="F16527">
        <v>220</v>
      </c>
      <c r="G16527">
        <v>34</v>
      </c>
      <c r="H16527">
        <v>115</v>
      </c>
      <c r="I16527">
        <v>470</v>
      </c>
      <c r="J16527">
        <v>1</v>
      </c>
      <c r="K16527">
        <v>2</v>
      </c>
      <c r="L16527">
        <v>347</v>
      </c>
      <c r="M16527">
        <v>1</v>
      </c>
      <c r="N16527">
        <v>6.9521599999999997E-51</v>
      </c>
      <c r="O16527">
        <v>505</v>
      </c>
    </row>
    <row r="16528" spans="1:15" x14ac:dyDescent="0.25">
      <c r="A16528" t="s">
        <v>16541</v>
      </c>
      <c r="B16528">
        <v>112</v>
      </c>
      <c r="C16528" s="1" t="str">
        <f>HYPERLINK("http://www.rosaceae.org/gb/gbrowse/malus_x_domestica/?name=MDP0000310866","MDP0000310866")</f>
        <v>MDP0000310866</v>
      </c>
      <c r="D16528">
        <v>59.57</v>
      </c>
      <c r="E16528">
        <v>94</v>
      </c>
      <c r="F16528">
        <v>38</v>
      </c>
      <c r="G16528">
        <v>8</v>
      </c>
      <c r="H16528">
        <v>21</v>
      </c>
      <c r="I16528">
        <v>112</v>
      </c>
      <c r="J16528">
        <v>1</v>
      </c>
      <c r="K16528">
        <v>22</v>
      </c>
      <c r="L16528">
        <v>109</v>
      </c>
      <c r="M16528">
        <v>1</v>
      </c>
      <c r="N16528">
        <v>3.3761599999999999E-21</v>
      </c>
      <c r="O16528">
        <v>240</v>
      </c>
    </row>
    <row r="16529" spans="1:15" x14ac:dyDescent="0.25">
      <c r="A16529" t="s">
        <v>16542</v>
      </c>
      <c r="B16529">
        <v>720</v>
      </c>
      <c r="C16529" s="1" t="str">
        <f>HYPERLINK("http://www.rosaceae.org/gb/gbrowse/malus_x_domestica/?name=MDP0000302828","MDP0000302828")</f>
        <v>MDP0000302828</v>
      </c>
      <c r="D16529">
        <v>66.03</v>
      </c>
      <c r="E16529">
        <v>53</v>
      </c>
      <c r="F16529">
        <v>18</v>
      </c>
      <c r="G16529">
        <v>5</v>
      </c>
      <c r="H16529">
        <v>61</v>
      </c>
      <c r="I16529">
        <v>108</v>
      </c>
      <c r="J16529">
        <v>1</v>
      </c>
      <c r="K16529">
        <v>107</v>
      </c>
      <c r="L16529">
        <v>159</v>
      </c>
      <c r="M16529">
        <v>1</v>
      </c>
      <c r="N16529">
        <v>1.3034500000000001E-13</v>
      </c>
      <c r="O16529">
        <v>185</v>
      </c>
    </row>
    <row r="16530" spans="1:15" x14ac:dyDescent="0.25">
      <c r="A16530" t="s">
        <v>16543</v>
      </c>
      <c r="B16530">
        <v>704</v>
      </c>
      <c r="C16530" s="1" t="str">
        <f>HYPERLINK("http://www.rosaceae.org/gb/gbrowse/malus_x_domestica/?name=MDP0000167315","MDP0000167315")</f>
        <v>MDP0000167315</v>
      </c>
      <c r="D16530">
        <v>70.16</v>
      </c>
      <c r="E16530">
        <v>667</v>
      </c>
      <c r="F16530">
        <v>199</v>
      </c>
      <c r="G16530">
        <v>74</v>
      </c>
      <c r="H16530">
        <v>79</v>
      </c>
      <c r="I16530">
        <v>680</v>
      </c>
      <c r="J16530">
        <v>1</v>
      </c>
      <c r="K16530">
        <v>65</v>
      </c>
      <c r="L16530">
        <v>722</v>
      </c>
      <c r="M16530">
        <v>1</v>
      </c>
      <c r="N16530">
        <v>0</v>
      </c>
      <c r="O16530">
        <v>2305</v>
      </c>
    </row>
    <row r="16531" spans="1:15" x14ac:dyDescent="0.25">
      <c r="A16531" t="s">
        <v>16544</v>
      </c>
      <c r="B16531">
        <v>362</v>
      </c>
      <c r="C16531" s="1" t="str">
        <f>HYPERLINK("http://www.rosaceae.org/gb/gbrowse/malus_x_domestica/?name=MDP0000261962","MDP0000261962")</f>
        <v>MDP0000261962</v>
      </c>
      <c r="D16531">
        <v>78.760000000000005</v>
      </c>
      <c r="E16531">
        <v>339</v>
      </c>
      <c r="F16531">
        <v>72</v>
      </c>
      <c r="G16531">
        <v>2</v>
      </c>
      <c r="H16531">
        <v>26</v>
      </c>
      <c r="I16531">
        <v>362</v>
      </c>
      <c r="J16531">
        <v>1</v>
      </c>
      <c r="K16531">
        <v>26</v>
      </c>
      <c r="L16531">
        <v>364</v>
      </c>
      <c r="M16531">
        <v>1</v>
      </c>
      <c r="N16531">
        <v>2.96304E-154</v>
      </c>
      <c r="O16531">
        <v>1395</v>
      </c>
    </row>
    <row r="16532" spans="1:15" x14ac:dyDescent="0.25">
      <c r="A16532" t="s">
        <v>16545</v>
      </c>
      <c r="B16532">
        <v>155</v>
      </c>
      <c r="C16532" s="1" t="str">
        <f>HYPERLINK("http://www.rosaceae.org/gb/gbrowse/malus_x_domestica/?name=MDP0000518147","MDP0000518147")</f>
        <v>MDP0000518147</v>
      </c>
      <c r="D16532">
        <v>79.349999999999994</v>
      </c>
      <c r="E16532">
        <v>155</v>
      </c>
      <c r="F16532">
        <v>32</v>
      </c>
      <c r="G16532">
        <v>2</v>
      </c>
      <c r="H16532">
        <v>1</v>
      </c>
      <c r="I16532">
        <v>155</v>
      </c>
      <c r="J16532">
        <v>1</v>
      </c>
      <c r="K16532">
        <v>1</v>
      </c>
      <c r="L16532">
        <v>153</v>
      </c>
      <c r="M16532">
        <v>1</v>
      </c>
      <c r="N16532">
        <v>1.8279100000000001E-66</v>
      </c>
      <c r="O16532">
        <v>633</v>
      </c>
    </row>
    <row r="16533" spans="1:15" x14ac:dyDescent="0.25">
      <c r="A16533" t="s">
        <v>16546</v>
      </c>
      <c r="B16533">
        <v>250</v>
      </c>
      <c r="C16533" s="1" t="str">
        <f>HYPERLINK("http://www.rosaceae.org/gb/gbrowse/malus_x_domestica/?name=MDP0000782642","MDP0000782642")</f>
        <v>MDP0000782642</v>
      </c>
      <c r="D16533">
        <v>66</v>
      </c>
      <c r="E16533">
        <v>250</v>
      </c>
      <c r="F16533">
        <v>85</v>
      </c>
      <c r="G16533">
        <v>7</v>
      </c>
      <c r="H16533">
        <v>1</v>
      </c>
      <c r="I16533">
        <v>250</v>
      </c>
      <c r="J16533">
        <v>1</v>
      </c>
      <c r="K16533">
        <v>1</v>
      </c>
      <c r="L16533">
        <v>243</v>
      </c>
      <c r="M16533">
        <v>1</v>
      </c>
      <c r="N16533">
        <v>6.6359900000000002E-91</v>
      </c>
      <c r="O16533">
        <v>847</v>
      </c>
    </row>
    <row r="16534" spans="1:15" x14ac:dyDescent="0.25">
      <c r="A16534" t="s">
        <v>16547</v>
      </c>
      <c r="B16534">
        <v>927</v>
      </c>
      <c r="C16534" s="1" t="str">
        <f>HYPERLINK("http://www.rosaceae.org/gb/gbrowse/malus_x_domestica/?name=MDP0000212784","MDP0000212784")</f>
        <v>MDP0000212784</v>
      </c>
      <c r="D16534">
        <v>72.67</v>
      </c>
      <c r="E16534">
        <v>699</v>
      </c>
      <c r="F16534">
        <v>191</v>
      </c>
      <c r="G16534">
        <v>58</v>
      </c>
      <c r="H16534">
        <v>2</v>
      </c>
      <c r="I16534">
        <v>672</v>
      </c>
      <c r="J16534">
        <v>1</v>
      </c>
      <c r="K16534">
        <v>3</v>
      </c>
      <c r="L16534">
        <v>671</v>
      </c>
      <c r="M16534">
        <v>1</v>
      </c>
      <c r="N16534">
        <v>0</v>
      </c>
      <c r="O16534">
        <v>2508</v>
      </c>
    </row>
    <row r="16535" spans="1:15" x14ac:dyDescent="0.25">
      <c r="A16535" t="s">
        <v>16548</v>
      </c>
      <c r="B16535">
        <v>199</v>
      </c>
      <c r="C16535" s="1" t="str">
        <f>HYPERLINK("http://www.rosaceae.org/gb/gbrowse/malus_x_domestica/?name=MDP0000244957","MDP0000244957")</f>
        <v>MDP0000244957</v>
      </c>
      <c r="D16535">
        <v>75.78</v>
      </c>
      <c r="E16535">
        <v>190</v>
      </c>
      <c r="F16535">
        <v>46</v>
      </c>
      <c r="G16535">
        <v>8</v>
      </c>
      <c r="H16535">
        <v>1</v>
      </c>
      <c r="I16535">
        <v>190</v>
      </c>
      <c r="J16535">
        <v>1</v>
      </c>
      <c r="K16535">
        <v>215</v>
      </c>
      <c r="L16535">
        <v>396</v>
      </c>
      <c r="M16535">
        <v>1</v>
      </c>
      <c r="N16535">
        <v>5.5308999999999996E-78</v>
      </c>
      <c r="O16535">
        <v>734</v>
      </c>
    </row>
    <row r="16536" spans="1:15" x14ac:dyDescent="0.25">
      <c r="A16536" t="s">
        <v>16549</v>
      </c>
      <c r="B16536">
        <v>154</v>
      </c>
      <c r="C16536" s="1" t="str">
        <f>HYPERLINK("http://www.rosaceae.org/gb/gbrowse/malus_x_domestica/?name=MDP0000648324","MDP0000648324")</f>
        <v>MDP0000648324</v>
      </c>
      <c r="D16536">
        <v>36.69</v>
      </c>
      <c r="E16536">
        <v>139</v>
      </c>
      <c r="F16536">
        <v>88</v>
      </c>
      <c r="G16536">
        <v>22</v>
      </c>
      <c r="H16536">
        <v>24</v>
      </c>
      <c r="I16536">
        <v>153</v>
      </c>
      <c r="J16536">
        <v>1</v>
      </c>
      <c r="K16536">
        <v>4</v>
      </c>
      <c r="L16536">
        <v>129</v>
      </c>
      <c r="M16536">
        <v>1</v>
      </c>
      <c r="N16536">
        <v>1.11599E-12</v>
      </c>
      <c r="O16536">
        <v>169</v>
      </c>
    </row>
    <row r="16537" spans="1:15" x14ac:dyDescent="0.25">
      <c r="A16537" t="s">
        <v>16550</v>
      </c>
      <c r="B16537">
        <v>188</v>
      </c>
      <c r="C16537" s="1" t="str">
        <f>HYPERLINK("http://www.rosaceae.org/gb/gbrowse/malus_x_domestica/?name=MDP0000313559","MDP0000313559")</f>
        <v>MDP0000313559</v>
      </c>
      <c r="D16537">
        <v>73.45</v>
      </c>
      <c r="E16537">
        <v>162</v>
      </c>
      <c r="F16537">
        <v>43</v>
      </c>
      <c r="G16537">
        <v>19</v>
      </c>
      <c r="H16537">
        <v>18</v>
      </c>
      <c r="I16537">
        <v>179</v>
      </c>
      <c r="J16537">
        <v>1</v>
      </c>
      <c r="K16537">
        <v>20</v>
      </c>
      <c r="L16537">
        <v>162</v>
      </c>
      <c r="M16537">
        <v>1</v>
      </c>
      <c r="N16537">
        <v>1.46196E-61</v>
      </c>
      <c r="O16537">
        <v>592</v>
      </c>
    </row>
    <row r="16538" spans="1:15" x14ac:dyDescent="0.25">
      <c r="A16538" t="s">
        <v>16551</v>
      </c>
      <c r="B16538">
        <v>228</v>
      </c>
      <c r="C16538" s="1" t="str">
        <f>HYPERLINK("http://www.rosaceae.org/gb/gbrowse/malus_x_domestica/?name=MDP0000196904","MDP0000196904")</f>
        <v>MDP0000196904</v>
      </c>
      <c r="D16538">
        <v>58.14</v>
      </c>
      <c r="E16538">
        <v>227</v>
      </c>
      <c r="F16538">
        <v>95</v>
      </c>
      <c r="G16538">
        <v>1</v>
      </c>
      <c r="H16538">
        <v>1</v>
      </c>
      <c r="I16538">
        <v>227</v>
      </c>
      <c r="J16538">
        <v>1</v>
      </c>
      <c r="K16538">
        <v>1</v>
      </c>
      <c r="L16538">
        <v>226</v>
      </c>
      <c r="M16538">
        <v>1</v>
      </c>
      <c r="N16538">
        <v>1.93187E-66</v>
      </c>
      <c r="O16538">
        <v>635</v>
      </c>
    </row>
    <row r="16539" spans="1:15" x14ac:dyDescent="0.25">
      <c r="A16539" t="s">
        <v>16552</v>
      </c>
      <c r="B16539">
        <v>449</v>
      </c>
      <c r="C16539" s="1" t="str">
        <f>HYPERLINK("http://www.rosaceae.org/gb/gbrowse/malus_x_domestica/?name=MDP0000319223","MDP0000319223")</f>
        <v>MDP0000319223</v>
      </c>
      <c r="D16539">
        <v>93.11</v>
      </c>
      <c r="E16539">
        <v>334</v>
      </c>
      <c r="F16539">
        <v>23</v>
      </c>
      <c r="G16539">
        <v>0</v>
      </c>
      <c r="H16539">
        <v>1</v>
      </c>
      <c r="I16539">
        <v>334</v>
      </c>
      <c r="J16539">
        <v>1</v>
      </c>
      <c r="K16539">
        <v>1</v>
      </c>
      <c r="L16539">
        <v>334</v>
      </c>
      <c r="M16539">
        <v>1</v>
      </c>
      <c r="N16539">
        <v>0</v>
      </c>
      <c r="O16539">
        <v>1724</v>
      </c>
    </row>
    <row r="16540" spans="1:15" x14ac:dyDescent="0.25">
      <c r="A16540" t="s">
        <v>16553</v>
      </c>
      <c r="B16540">
        <v>144</v>
      </c>
      <c r="C16540" s="1" t="str">
        <f>HYPERLINK("http://www.rosaceae.org/gb/gbrowse/malus_x_domestica/?name=MDP0000303658","MDP0000303658")</f>
        <v>MDP0000303658</v>
      </c>
      <c r="D16540">
        <v>57.4</v>
      </c>
      <c r="E16540">
        <v>54</v>
      </c>
      <c r="F16540">
        <v>23</v>
      </c>
      <c r="G16540">
        <v>0</v>
      </c>
      <c r="H16540">
        <v>80</v>
      </c>
      <c r="I16540">
        <v>133</v>
      </c>
      <c r="J16540">
        <v>1</v>
      </c>
      <c r="K16540">
        <v>305</v>
      </c>
      <c r="L16540">
        <v>358</v>
      </c>
      <c r="M16540">
        <v>1</v>
      </c>
      <c r="N16540">
        <v>5.0275500000000003E-12</v>
      </c>
      <c r="O16540">
        <v>163</v>
      </c>
    </row>
    <row r="16541" spans="1:15" x14ac:dyDescent="0.25">
      <c r="A16541" t="s">
        <v>16554</v>
      </c>
      <c r="B16541">
        <v>768</v>
      </c>
      <c r="C16541" s="1" t="str">
        <f>HYPERLINK("http://www.rosaceae.org/gb/gbrowse/malus_x_domestica/?name=MDP0000917318","MDP0000917318")</f>
        <v>MDP0000917318</v>
      </c>
      <c r="D16541">
        <v>70.91</v>
      </c>
      <c r="E16541">
        <v>581</v>
      </c>
      <c r="F16541">
        <v>169</v>
      </c>
      <c r="G16541">
        <v>6</v>
      </c>
      <c r="H16541">
        <v>48</v>
      </c>
      <c r="I16541">
        <v>622</v>
      </c>
      <c r="J16541">
        <v>1</v>
      </c>
      <c r="K16541">
        <v>60</v>
      </c>
      <c r="L16541">
        <v>640</v>
      </c>
      <c r="M16541">
        <v>1</v>
      </c>
      <c r="N16541">
        <v>0</v>
      </c>
      <c r="O16541">
        <v>2149</v>
      </c>
    </row>
    <row r="16542" spans="1:15" x14ac:dyDescent="0.25">
      <c r="A16542" t="s">
        <v>16555</v>
      </c>
      <c r="B16542">
        <v>132</v>
      </c>
      <c r="C16542" s="1" t="str">
        <f>HYPERLINK("http://www.rosaceae.org/gb/gbrowse/malus_x_domestica/?name=MDP0000855406","MDP0000855406")</f>
        <v>MDP0000855406</v>
      </c>
      <c r="D16542">
        <v>33.65</v>
      </c>
      <c r="E16542">
        <v>104</v>
      </c>
      <c r="F16542">
        <v>69</v>
      </c>
      <c r="G16542">
        <v>7</v>
      </c>
      <c r="H16542">
        <v>2</v>
      </c>
      <c r="I16542">
        <v>102</v>
      </c>
      <c r="J16542">
        <v>1</v>
      </c>
      <c r="K16542">
        <v>4</v>
      </c>
      <c r="L16542">
        <v>103</v>
      </c>
      <c r="M16542">
        <v>1</v>
      </c>
      <c r="N16542">
        <v>9.0446200000000001E-10</v>
      </c>
      <c r="O16542">
        <v>142</v>
      </c>
    </row>
    <row r="16543" spans="1:15" x14ac:dyDescent="0.25">
      <c r="A16543" t="s">
        <v>16556</v>
      </c>
      <c r="B16543">
        <v>227</v>
      </c>
      <c r="C16543" s="1" t="str">
        <f>HYPERLINK("http://www.rosaceae.org/gb/gbrowse/malus_x_domestica/?name=MDP0000260400","MDP0000260400")</f>
        <v>MDP0000260400</v>
      </c>
      <c r="D16543">
        <v>41.05</v>
      </c>
      <c r="E16543">
        <v>95</v>
      </c>
      <c r="F16543">
        <v>56</v>
      </c>
      <c r="G16543">
        <v>2</v>
      </c>
      <c r="H16543">
        <v>66</v>
      </c>
      <c r="I16543">
        <v>158</v>
      </c>
      <c r="J16543">
        <v>1</v>
      </c>
      <c r="K16543">
        <v>591</v>
      </c>
      <c r="L16543">
        <v>685</v>
      </c>
      <c r="M16543">
        <v>1</v>
      </c>
      <c r="N16543">
        <v>9.9021299999999997E-14</v>
      </c>
      <c r="O16543">
        <v>181</v>
      </c>
    </row>
    <row r="16544" spans="1:15" x14ac:dyDescent="0.25">
      <c r="A16544" t="s">
        <v>16557</v>
      </c>
      <c r="B16544">
        <v>515</v>
      </c>
      <c r="C16544" s="1" t="str">
        <f>HYPERLINK("http://www.rosaceae.org/gb/gbrowse/malus_x_domestica/?name=MDP0000248555","MDP0000248555")</f>
        <v>MDP0000248555</v>
      </c>
      <c r="D16544">
        <v>62.21</v>
      </c>
      <c r="E16544">
        <v>352</v>
      </c>
      <c r="F16544">
        <v>133</v>
      </c>
      <c r="G16544">
        <v>68</v>
      </c>
      <c r="H16544">
        <v>47</v>
      </c>
      <c r="I16544">
        <v>344</v>
      </c>
      <c r="J16544">
        <v>1</v>
      </c>
      <c r="K16544">
        <v>243</v>
      </c>
      <c r="L16544">
        <v>580</v>
      </c>
      <c r="M16544">
        <v>1</v>
      </c>
      <c r="N16544">
        <v>5.1972600000000001E-108</v>
      </c>
      <c r="O16544">
        <v>998</v>
      </c>
    </row>
    <row r="16545" spans="1:15" x14ac:dyDescent="0.25">
      <c r="A16545" t="s">
        <v>16558</v>
      </c>
      <c r="B16545">
        <v>157</v>
      </c>
      <c r="C16545" s="1" t="str">
        <f>HYPERLINK("http://www.rosaceae.org/gb/gbrowse/malus_x_domestica/?name=MDP0000123571","MDP0000123571")</f>
        <v>MDP0000123571</v>
      </c>
      <c r="D16545">
        <v>96.15</v>
      </c>
      <c r="E16545">
        <v>26</v>
      </c>
      <c r="F16545">
        <v>1</v>
      </c>
      <c r="G16545">
        <v>0</v>
      </c>
      <c r="H16545">
        <v>66</v>
      </c>
      <c r="I16545">
        <v>91</v>
      </c>
      <c r="J16545">
        <v>1</v>
      </c>
      <c r="K16545">
        <v>189</v>
      </c>
      <c r="L16545">
        <v>214</v>
      </c>
      <c r="M16545">
        <v>1</v>
      </c>
      <c r="N16545">
        <v>1.4229000000000001E-7</v>
      </c>
      <c r="O16545">
        <v>125</v>
      </c>
    </row>
    <row r="16546" spans="1:15" x14ac:dyDescent="0.25">
      <c r="A16546" t="s">
        <v>16559</v>
      </c>
      <c r="B16546">
        <v>364</v>
      </c>
      <c r="C16546" s="1" t="str">
        <f>HYPERLINK("http://www.rosaceae.org/gb/gbrowse/malus_x_domestica/?name=MDP0000302583","MDP0000302583")</f>
        <v>MDP0000302583</v>
      </c>
      <c r="D16546">
        <v>87.36</v>
      </c>
      <c r="E16546">
        <v>364</v>
      </c>
      <c r="F16546">
        <v>46</v>
      </c>
      <c r="G16546">
        <v>1</v>
      </c>
      <c r="H16546">
        <v>1</v>
      </c>
      <c r="I16546">
        <v>364</v>
      </c>
      <c r="J16546">
        <v>1</v>
      </c>
      <c r="K16546">
        <v>1</v>
      </c>
      <c r="L16546">
        <v>363</v>
      </c>
      <c r="M16546">
        <v>1</v>
      </c>
      <c r="N16546">
        <v>0</v>
      </c>
      <c r="O16546">
        <v>1698</v>
      </c>
    </row>
    <row r="16547" spans="1:15" x14ac:dyDescent="0.25">
      <c r="A16547" t="s">
        <v>16560</v>
      </c>
      <c r="B16547">
        <v>582</v>
      </c>
      <c r="C16547" s="1" t="str">
        <f>HYPERLINK("http://www.rosaceae.org/gb/gbrowse/malus_x_domestica/?name=MDP0000149947","MDP0000149947")</f>
        <v>MDP0000149947</v>
      </c>
      <c r="D16547">
        <v>53.35</v>
      </c>
      <c r="E16547">
        <v>521</v>
      </c>
      <c r="F16547">
        <v>243</v>
      </c>
      <c r="G16547">
        <v>36</v>
      </c>
      <c r="H16547">
        <v>93</v>
      </c>
      <c r="I16547">
        <v>581</v>
      </c>
      <c r="J16547">
        <v>1</v>
      </c>
      <c r="K16547">
        <v>531</v>
      </c>
      <c r="L16547">
        <v>1047</v>
      </c>
      <c r="M16547">
        <v>1</v>
      </c>
      <c r="N16547">
        <v>1.8996600000000001E-142</v>
      </c>
      <c r="O16547">
        <v>1296</v>
      </c>
    </row>
    <row r="16548" spans="1:15" x14ac:dyDescent="0.25">
      <c r="A16548" t="s">
        <v>16561</v>
      </c>
      <c r="B16548">
        <v>1783</v>
      </c>
      <c r="C16548" s="1" t="str">
        <f>HYPERLINK("http://www.rosaceae.org/gb/gbrowse/malus_x_domestica/?name=MDP0000192108","MDP0000192108")</f>
        <v>MDP0000192108</v>
      </c>
      <c r="D16548">
        <v>61.86</v>
      </c>
      <c r="E16548">
        <v>1854</v>
      </c>
      <c r="F16548">
        <v>707</v>
      </c>
      <c r="G16548">
        <v>130</v>
      </c>
      <c r="H16548">
        <v>3</v>
      </c>
      <c r="I16548">
        <v>1768</v>
      </c>
      <c r="J16548">
        <v>1</v>
      </c>
      <c r="K16548">
        <v>4</v>
      </c>
      <c r="L16548">
        <v>1815</v>
      </c>
      <c r="M16548">
        <v>1</v>
      </c>
      <c r="N16548">
        <v>0</v>
      </c>
      <c r="O16548">
        <v>5465</v>
      </c>
    </row>
    <row r="16549" spans="1:15" x14ac:dyDescent="0.25">
      <c r="A16549" t="s">
        <v>16562</v>
      </c>
      <c r="B16549">
        <v>859</v>
      </c>
      <c r="C16549" s="1" t="str">
        <f>HYPERLINK("http://www.rosaceae.org/gb/gbrowse/malus_x_domestica/?name=MDP0000293608","MDP0000293608")</f>
        <v>MDP0000293608</v>
      </c>
      <c r="D16549">
        <v>94.66</v>
      </c>
      <c r="E16549">
        <v>843</v>
      </c>
      <c r="F16549">
        <v>45</v>
      </c>
      <c r="G16549">
        <v>0</v>
      </c>
      <c r="H16549">
        <v>17</v>
      </c>
      <c r="I16549">
        <v>859</v>
      </c>
      <c r="J16549">
        <v>1</v>
      </c>
      <c r="K16549">
        <v>1</v>
      </c>
      <c r="L16549">
        <v>843</v>
      </c>
      <c r="M16549">
        <v>1</v>
      </c>
      <c r="N16549">
        <v>0</v>
      </c>
      <c r="O16549">
        <v>4317</v>
      </c>
    </row>
    <row r="16550" spans="1:15" x14ac:dyDescent="0.25">
      <c r="A16550" t="s">
        <v>16563</v>
      </c>
      <c r="B16550">
        <v>797</v>
      </c>
      <c r="C16550" s="1" t="str">
        <f>HYPERLINK("http://www.rosaceae.org/gb/gbrowse/malus_x_domestica/?name=MDP0000659418","MDP0000659418")</f>
        <v>MDP0000659418</v>
      </c>
      <c r="D16550">
        <v>85</v>
      </c>
      <c r="E16550">
        <v>40</v>
      </c>
      <c r="F16550">
        <v>6</v>
      </c>
      <c r="G16550">
        <v>0</v>
      </c>
      <c r="H16550">
        <v>178</v>
      </c>
      <c r="I16550">
        <v>217</v>
      </c>
      <c r="J16550">
        <v>1</v>
      </c>
      <c r="K16550">
        <v>292</v>
      </c>
      <c r="L16550">
        <v>331</v>
      </c>
      <c r="M16550">
        <v>1</v>
      </c>
      <c r="N16550">
        <v>5.6873099999999997E-15</v>
      </c>
      <c r="O16550">
        <v>198</v>
      </c>
    </row>
    <row r="16551" spans="1:15" x14ac:dyDescent="0.25">
      <c r="A16551" t="s">
        <v>16564</v>
      </c>
      <c r="B16551">
        <v>447</v>
      </c>
      <c r="C16551" s="1" t="str">
        <f>HYPERLINK("http://www.rosaceae.org/gb/gbrowse/malus_x_domestica/?name=MDP0000298031","MDP0000298031")</f>
        <v>MDP0000298031</v>
      </c>
      <c r="D16551">
        <v>62.15</v>
      </c>
      <c r="E16551">
        <v>510</v>
      </c>
      <c r="F16551">
        <v>193</v>
      </c>
      <c r="G16551">
        <v>91</v>
      </c>
      <c r="H16551">
        <v>1</v>
      </c>
      <c r="I16551">
        <v>447</v>
      </c>
      <c r="J16551">
        <v>1</v>
      </c>
      <c r="K16551">
        <v>328</v>
      </c>
      <c r="L16551">
        <v>809</v>
      </c>
      <c r="M16551">
        <v>1</v>
      </c>
      <c r="N16551">
        <v>0</v>
      </c>
      <c r="O16551">
        <v>1637</v>
      </c>
    </row>
    <row r="16552" spans="1:15" x14ac:dyDescent="0.25">
      <c r="A16552" t="s">
        <v>16565</v>
      </c>
      <c r="B16552">
        <v>469</v>
      </c>
      <c r="C16552" s="1" t="str">
        <f>HYPERLINK("http://www.rosaceae.org/gb/gbrowse/malus_x_domestica/?name=MDP0000128135","MDP0000128135")</f>
        <v>MDP0000128135</v>
      </c>
      <c r="D16552">
        <v>61.81</v>
      </c>
      <c r="E16552">
        <v>495</v>
      </c>
      <c r="F16552">
        <v>189</v>
      </c>
      <c r="G16552">
        <v>65</v>
      </c>
      <c r="H16552">
        <v>3</v>
      </c>
      <c r="I16552">
        <v>469</v>
      </c>
      <c r="J16552">
        <v>1</v>
      </c>
      <c r="K16552">
        <v>2</v>
      </c>
      <c r="L16552">
        <v>459</v>
      </c>
      <c r="M16552">
        <v>1</v>
      </c>
      <c r="N16552">
        <v>3.56783E-151</v>
      </c>
      <c r="O16552">
        <v>1370</v>
      </c>
    </row>
    <row r="16553" spans="1:15" x14ac:dyDescent="0.25">
      <c r="A16553" t="s">
        <v>16566</v>
      </c>
      <c r="B16553">
        <v>295</v>
      </c>
      <c r="C16553" s="1" t="str">
        <f>HYPERLINK("http://www.rosaceae.org/gb/gbrowse/malus_x_domestica/?name=MDP0000025145","MDP0000025145")</f>
        <v>MDP0000025145</v>
      </c>
      <c r="D16553">
        <v>76.819999999999993</v>
      </c>
      <c r="E16553">
        <v>328</v>
      </c>
      <c r="F16553">
        <v>76</v>
      </c>
      <c r="G16553">
        <v>34</v>
      </c>
      <c r="H16553">
        <v>1</v>
      </c>
      <c r="I16553">
        <v>294</v>
      </c>
      <c r="J16553">
        <v>1</v>
      </c>
      <c r="K16553">
        <v>1</v>
      </c>
      <c r="L16553">
        <v>328</v>
      </c>
      <c r="M16553">
        <v>1</v>
      </c>
      <c r="N16553">
        <v>1.62196E-130</v>
      </c>
      <c r="O16553">
        <v>1189</v>
      </c>
    </row>
    <row r="16554" spans="1:15" x14ac:dyDescent="0.25">
      <c r="A16554" t="s">
        <v>16567</v>
      </c>
      <c r="B16554">
        <v>365</v>
      </c>
      <c r="C16554" s="1" t="str">
        <f>HYPERLINK("http://www.rosaceae.org/gb/gbrowse/malus_x_domestica/?name=MDP0000301534","MDP0000301534")</f>
        <v>MDP0000301534</v>
      </c>
      <c r="D16554">
        <v>43.57</v>
      </c>
      <c r="E16554">
        <v>358</v>
      </c>
      <c r="F16554">
        <v>202</v>
      </c>
      <c r="G16554">
        <v>12</v>
      </c>
      <c r="H16554">
        <v>3</v>
      </c>
      <c r="I16554">
        <v>359</v>
      </c>
      <c r="J16554">
        <v>1</v>
      </c>
      <c r="K16554">
        <v>10</v>
      </c>
      <c r="L16554">
        <v>356</v>
      </c>
      <c r="M16554">
        <v>1</v>
      </c>
      <c r="N16554">
        <v>1.48325E-77</v>
      </c>
      <c r="O16554">
        <v>734</v>
      </c>
    </row>
    <row r="16555" spans="1:15" x14ac:dyDescent="0.25">
      <c r="A16555" t="s">
        <v>16568</v>
      </c>
      <c r="B16555">
        <v>249</v>
      </c>
      <c r="C16555" s="1" t="str">
        <f>HYPERLINK("http://www.rosaceae.org/gb/gbrowse/malus_x_domestica/?name=MDP0000310651","MDP0000310651")</f>
        <v>MDP0000310651</v>
      </c>
      <c r="D16555">
        <v>56.54</v>
      </c>
      <c r="E16555">
        <v>313</v>
      </c>
      <c r="F16555">
        <v>136</v>
      </c>
      <c r="G16555">
        <v>64</v>
      </c>
      <c r="H16555">
        <v>1</v>
      </c>
      <c r="I16555">
        <v>249</v>
      </c>
      <c r="J16555">
        <v>1</v>
      </c>
      <c r="K16555">
        <v>1</v>
      </c>
      <c r="L16555">
        <v>313</v>
      </c>
      <c r="M16555">
        <v>1</v>
      </c>
      <c r="N16555">
        <v>2.52354E-93</v>
      </c>
      <c r="O16555">
        <v>868</v>
      </c>
    </row>
    <row r="16556" spans="1:15" x14ac:dyDescent="0.25">
      <c r="A16556" t="s">
        <v>16569</v>
      </c>
      <c r="B16556">
        <v>219</v>
      </c>
      <c r="C16556" s="1" t="str">
        <f>HYPERLINK("http://www.rosaceae.org/gb/gbrowse/malus_x_domestica/?name=MDP0000838506","MDP0000838506")</f>
        <v>MDP0000838506</v>
      </c>
      <c r="D16556">
        <v>61.66</v>
      </c>
      <c r="E16556">
        <v>120</v>
      </c>
      <c r="F16556">
        <v>46</v>
      </c>
      <c r="G16556">
        <v>13</v>
      </c>
      <c r="H16556">
        <v>84</v>
      </c>
      <c r="I16556">
        <v>190</v>
      </c>
      <c r="J16556">
        <v>1</v>
      </c>
      <c r="K16556">
        <v>159</v>
      </c>
      <c r="L16556">
        <v>278</v>
      </c>
      <c r="M16556">
        <v>1</v>
      </c>
      <c r="N16556">
        <v>1.03166E-34</v>
      </c>
      <c r="O16556">
        <v>362</v>
      </c>
    </row>
    <row r="16557" spans="1:15" x14ac:dyDescent="0.25">
      <c r="A16557" t="s">
        <v>16570</v>
      </c>
      <c r="B16557">
        <v>188</v>
      </c>
      <c r="C16557" s="1" t="str">
        <f>HYPERLINK("http://www.rosaceae.org/gb/gbrowse/malus_x_domestica/?name=MDP0000295191","MDP0000295191")</f>
        <v>MDP0000295191</v>
      </c>
      <c r="D16557">
        <v>36.03</v>
      </c>
      <c r="E16557">
        <v>111</v>
      </c>
      <c r="F16557">
        <v>71</v>
      </c>
      <c r="G16557">
        <v>0</v>
      </c>
      <c r="H16557">
        <v>4</v>
      </c>
      <c r="I16557">
        <v>114</v>
      </c>
      <c r="J16557">
        <v>1</v>
      </c>
      <c r="K16557">
        <v>155</v>
      </c>
      <c r="L16557">
        <v>265</v>
      </c>
      <c r="M16557">
        <v>1</v>
      </c>
      <c r="N16557">
        <v>4.1002699999999999E-15</v>
      </c>
      <c r="O16557">
        <v>191</v>
      </c>
    </row>
    <row r="16558" spans="1:15" x14ac:dyDescent="0.25">
      <c r="A16558" t="s">
        <v>16571</v>
      </c>
      <c r="B16558">
        <v>1242</v>
      </c>
      <c r="C16558" s="1" t="str">
        <f>HYPERLINK("http://www.rosaceae.org/gb/gbrowse/malus_x_domestica/?name=MDP0000853667","MDP0000853667")</f>
        <v>MDP0000853667</v>
      </c>
      <c r="D16558">
        <v>52.29</v>
      </c>
      <c r="E16558">
        <v>174</v>
      </c>
      <c r="F16558">
        <v>83</v>
      </c>
      <c r="G16558">
        <v>0</v>
      </c>
      <c r="H16558">
        <v>294</v>
      </c>
      <c r="I16558">
        <v>467</v>
      </c>
      <c r="J16558">
        <v>1</v>
      </c>
      <c r="K16558">
        <v>1</v>
      </c>
      <c r="L16558">
        <v>174</v>
      </c>
      <c r="M16558">
        <v>1</v>
      </c>
      <c r="N16558">
        <v>3.3074300000000003E-51</v>
      </c>
      <c r="O16558">
        <v>512</v>
      </c>
    </row>
    <row r="16559" spans="1:15" x14ac:dyDescent="0.25">
      <c r="A16559" t="s">
        <v>16572</v>
      </c>
      <c r="B16559">
        <v>248</v>
      </c>
      <c r="C16559" s="1" t="str">
        <f>HYPERLINK("http://www.rosaceae.org/gb/gbrowse/malus_x_domestica/?name=MDP0000278259","MDP0000278259")</f>
        <v>MDP0000278259</v>
      </c>
      <c r="D16559">
        <v>46.26</v>
      </c>
      <c r="E16559">
        <v>268</v>
      </c>
      <c r="F16559">
        <v>144</v>
      </c>
      <c r="G16559">
        <v>28</v>
      </c>
      <c r="H16559">
        <v>1</v>
      </c>
      <c r="I16559">
        <v>248</v>
      </c>
      <c r="J16559">
        <v>1</v>
      </c>
      <c r="K16559">
        <v>1</v>
      </c>
      <c r="L16559">
        <v>260</v>
      </c>
      <c r="M16559">
        <v>1</v>
      </c>
      <c r="N16559">
        <v>4.6319099999999998E-47</v>
      </c>
      <c r="O16559">
        <v>469</v>
      </c>
    </row>
    <row r="16560" spans="1:15" x14ac:dyDescent="0.25">
      <c r="A16560" t="s">
        <v>16573</v>
      </c>
      <c r="B16560">
        <v>523</v>
      </c>
      <c r="C16560" s="1" t="str">
        <f>HYPERLINK("http://www.rosaceae.org/gb/gbrowse/malus_x_domestica/?name=MDP0000911003","MDP0000911003")</f>
        <v>MDP0000911003</v>
      </c>
      <c r="D16560">
        <v>79.72</v>
      </c>
      <c r="E16560">
        <v>518</v>
      </c>
      <c r="F16560">
        <v>105</v>
      </c>
      <c r="G16560">
        <v>17</v>
      </c>
      <c r="H16560">
        <v>22</v>
      </c>
      <c r="I16560">
        <v>522</v>
      </c>
      <c r="J16560">
        <v>1</v>
      </c>
      <c r="K16560">
        <v>70</v>
      </c>
      <c r="L16560">
        <v>587</v>
      </c>
      <c r="M16560">
        <v>1</v>
      </c>
      <c r="N16560">
        <v>0</v>
      </c>
      <c r="O16560">
        <v>2183</v>
      </c>
    </row>
    <row r="16561" spans="1:15" x14ac:dyDescent="0.25">
      <c r="A16561" t="s">
        <v>16574</v>
      </c>
      <c r="B16561">
        <v>560</v>
      </c>
      <c r="C16561" s="1" t="str">
        <f>HYPERLINK("http://www.rosaceae.org/gb/gbrowse/malus_x_domestica/?name=MDP0000299312","MDP0000299312")</f>
        <v>MDP0000299312</v>
      </c>
      <c r="D16561">
        <v>70.64</v>
      </c>
      <c r="E16561">
        <v>562</v>
      </c>
      <c r="F16561">
        <v>165</v>
      </c>
      <c r="G16561">
        <v>31</v>
      </c>
      <c r="H16561">
        <v>1</v>
      </c>
      <c r="I16561">
        <v>560</v>
      </c>
      <c r="J16561">
        <v>1</v>
      </c>
      <c r="K16561">
        <v>927</v>
      </c>
      <c r="L16561">
        <v>1459</v>
      </c>
      <c r="M16561">
        <v>1</v>
      </c>
      <c r="N16561">
        <v>0</v>
      </c>
      <c r="O16561">
        <v>2071</v>
      </c>
    </row>
    <row r="16562" spans="1:15" x14ac:dyDescent="0.25">
      <c r="A16562" t="s">
        <v>16575</v>
      </c>
      <c r="B16562">
        <v>483</v>
      </c>
      <c r="C16562" s="1" t="str">
        <f>HYPERLINK("http://www.rosaceae.org/gb/gbrowse/malus_x_domestica/?name=MDP0000319792","MDP0000319792")</f>
        <v>MDP0000319792</v>
      </c>
      <c r="D16562">
        <v>38.15</v>
      </c>
      <c r="E16562">
        <v>304</v>
      </c>
      <c r="F16562">
        <v>188</v>
      </c>
      <c r="G16562">
        <v>22</v>
      </c>
      <c r="H16562">
        <v>153</v>
      </c>
      <c r="I16562">
        <v>436</v>
      </c>
      <c r="J16562">
        <v>1</v>
      </c>
      <c r="K16562">
        <v>259</v>
      </c>
      <c r="L16562">
        <v>560</v>
      </c>
      <c r="M16562">
        <v>1</v>
      </c>
      <c r="N16562">
        <v>6.6836499999999998E-45</v>
      </c>
      <c r="O16562">
        <v>454</v>
      </c>
    </row>
    <row r="16563" spans="1:15" x14ac:dyDescent="0.25">
      <c r="A16563" t="s">
        <v>16576</v>
      </c>
      <c r="B16563">
        <v>969</v>
      </c>
      <c r="C16563" s="1" t="str">
        <f>HYPERLINK("http://www.rosaceae.org/gb/gbrowse/malus_x_domestica/?name=MDP0000396621","MDP0000396621")</f>
        <v>MDP0000396621</v>
      </c>
      <c r="D16563">
        <v>84.27</v>
      </c>
      <c r="E16563">
        <v>922</v>
      </c>
      <c r="F16563">
        <v>145</v>
      </c>
      <c r="G16563">
        <v>19</v>
      </c>
      <c r="H16563">
        <v>65</v>
      </c>
      <c r="I16563">
        <v>969</v>
      </c>
      <c r="J16563">
        <v>1</v>
      </c>
      <c r="K16563">
        <v>71</v>
      </c>
      <c r="L16563">
        <v>990</v>
      </c>
      <c r="M16563">
        <v>1</v>
      </c>
      <c r="N16563">
        <v>0</v>
      </c>
      <c r="O16563">
        <v>4116</v>
      </c>
    </row>
    <row r="16564" spans="1:15" x14ac:dyDescent="0.25">
      <c r="A16564" t="s">
        <v>16577</v>
      </c>
      <c r="B16564">
        <v>462</v>
      </c>
      <c r="C16564" s="1" t="str">
        <f>HYPERLINK("http://www.rosaceae.org/gb/gbrowse/malus_x_domestica/?name=MDP0000238881","MDP0000238881")</f>
        <v>MDP0000238881</v>
      </c>
      <c r="D16564">
        <v>71.569999999999993</v>
      </c>
      <c r="E16564">
        <v>380</v>
      </c>
      <c r="F16564">
        <v>108</v>
      </c>
      <c r="G16564">
        <v>23</v>
      </c>
      <c r="H16564">
        <v>11</v>
      </c>
      <c r="I16564">
        <v>383</v>
      </c>
      <c r="J16564">
        <v>1</v>
      </c>
      <c r="K16564">
        <v>6</v>
      </c>
      <c r="L16564">
        <v>369</v>
      </c>
      <c r="M16564">
        <v>1</v>
      </c>
      <c r="N16564">
        <v>2.7642700000000001E-158</v>
      </c>
      <c r="O16564">
        <v>1431</v>
      </c>
    </row>
    <row r="16565" spans="1:15" x14ac:dyDescent="0.25">
      <c r="A16565" t="s">
        <v>16578</v>
      </c>
      <c r="B16565">
        <v>466</v>
      </c>
      <c r="C16565" s="1" t="str">
        <f>HYPERLINK("http://www.rosaceae.org/gb/gbrowse/malus_x_domestica/?name=MDP0000229852","MDP0000229852")</f>
        <v>MDP0000229852</v>
      </c>
      <c r="D16565">
        <v>62.65</v>
      </c>
      <c r="E16565">
        <v>407</v>
      </c>
      <c r="F16565">
        <v>152</v>
      </c>
      <c r="G16565">
        <v>50</v>
      </c>
      <c r="H16565">
        <v>33</v>
      </c>
      <c r="I16565">
        <v>416</v>
      </c>
      <c r="J16565">
        <v>1</v>
      </c>
      <c r="K16565">
        <v>39</v>
      </c>
      <c r="L16565">
        <v>418</v>
      </c>
      <c r="M16565">
        <v>1</v>
      </c>
      <c r="N16565">
        <v>1.85637E-131</v>
      </c>
      <c r="O16565">
        <v>1200</v>
      </c>
    </row>
    <row r="16566" spans="1:15" x14ac:dyDescent="0.25">
      <c r="A16566" t="s">
        <v>16579</v>
      </c>
      <c r="B16566">
        <v>345</v>
      </c>
      <c r="C16566" s="1" t="str">
        <f>HYPERLINK("http://www.rosaceae.org/gb/gbrowse/malus_x_domestica/?name=MDP0000774306","MDP0000774306")</f>
        <v>MDP0000774306</v>
      </c>
      <c r="D16566">
        <v>40.65</v>
      </c>
      <c r="E16566">
        <v>337</v>
      </c>
      <c r="F16566">
        <v>200</v>
      </c>
      <c r="G16566">
        <v>26</v>
      </c>
      <c r="H16566">
        <v>4</v>
      </c>
      <c r="I16566">
        <v>317</v>
      </c>
      <c r="J16566">
        <v>1</v>
      </c>
      <c r="K16566">
        <v>1</v>
      </c>
      <c r="L16566">
        <v>334</v>
      </c>
      <c r="M16566">
        <v>1</v>
      </c>
      <c r="N16566">
        <v>3.5675799999999998E-53</v>
      </c>
      <c r="O16566">
        <v>523</v>
      </c>
    </row>
    <row r="16567" spans="1:15" x14ac:dyDescent="0.25">
      <c r="A16567" t="s">
        <v>16580</v>
      </c>
      <c r="B16567">
        <v>197</v>
      </c>
      <c r="C16567" s="1" t="str">
        <f>HYPERLINK("http://www.rosaceae.org/gb/gbrowse/malus_x_domestica/?name=MDP0000556302","MDP0000556302")</f>
        <v>MDP0000556302</v>
      </c>
      <c r="D16567">
        <v>58.97</v>
      </c>
      <c r="E16567">
        <v>195</v>
      </c>
      <c r="F16567">
        <v>80</v>
      </c>
      <c r="G16567">
        <v>8</v>
      </c>
      <c r="H16567">
        <v>1</v>
      </c>
      <c r="I16567">
        <v>195</v>
      </c>
      <c r="J16567">
        <v>1</v>
      </c>
      <c r="K16567">
        <v>11</v>
      </c>
      <c r="L16567">
        <v>197</v>
      </c>
      <c r="M16567">
        <v>1</v>
      </c>
      <c r="N16567">
        <v>2.1411800000000002E-59</v>
      </c>
      <c r="O16567">
        <v>574</v>
      </c>
    </row>
    <row r="16568" spans="1:15" x14ac:dyDescent="0.25">
      <c r="A16568" t="s">
        <v>16581</v>
      </c>
      <c r="B16568">
        <v>504</v>
      </c>
      <c r="C16568" s="1" t="str">
        <f>HYPERLINK("http://www.rosaceae.org/gb/gbrowse/malus_x_domestica/?name=MDP0000308617","MDP0000308617")</f>
        <v>MDP0000308617</v>
      </c>
      <c r="D16568">
        <v>44.62</v>
      </c>
      <c r="E16568">
        <v>484</v>
      </c>
      <c r="F16568">
        <v>268</v>
      </c>
      <c r="G16568">
        <v>90</v>
      </c>
      <c r="H16568">
        <v>35</v>
      </c>
      <c r="I16568">
        <v>432</v>
      </c>
      <c r="J16568">
        <v>1</v>
      </c>
      <c r="K16568">
        <v>42</v>
      </c>
      <c r="L16568">
        <v>521</v>
      </c>
      <c r="M16568">
        <v>1</v>
      </c>
      <c r="N16568">
        <v>6.3019499999999997E-97</v>
      </c>
      <c r="O16568">
        <v>902</v>
      </c>
    </row>
    <row r="16569" spans="1:15" x14ac:dyDescent="0.25">
      <c r="A16569" t="s">
        <v>16582</v>
      </c>
      <c r="B16569">
        <v>59</v>
      </c>
      <c r="C16569" s="1" t="str">
        <f>HYPERLINK("http://www.rosaceae.org/gb/gbrowse/malus_x_domestica/?name=MDP0000304574","MDP0000304574")</f>
        <v>MDP0000304574</v>
      </c>
      <c r="D16569">
        <v>89.83</v>
      </c>
      <c r="E16569">
        <v>59</v>
      </c>
      <c r="F16569">
        <v>6</v>
      </c>
      <c r="G16569">
        <v>0</v>
      </c>
      <c r="H16569">
        <v>1</v>
      </c>
      <c r="I16569">
        <v>59</v>
      </c>
      <c r="J16569">
        <v>1</v>
      </c>
      <c r="K16569">
        <v>304</v>
      </c>
      <c r="L16569">
        <v>362</v>
      </c>
      <c r="M16569">
        <v>1</v>
      </c>
      <c r="N16569">
        <v>1.4614099999999999E-27</v>
      </c>
      <c r="O16569">
        <v>295</v>
      </c>
    </row>
    <row r="16570" spans="1:15" x14ac:dyDescent="0.25">
      <c r="A16570" t="s">
        <v>16583</v>
      </c>
      <c r="B16570">
        <v>553</v>
      </c>
      <c r="C16570" s="1" t="str">
        <f>HYPERLINK("http://www.rosaceae.org/gb/gbrowse/malus_x_domestica/?name=MDP0000166956","MDP0000166956")</f>
        <v>MDP0000166956</v>
      </c>
      <c r="D16570">
        <v>62.35</v>
      </c>
      <c r="E16570">
        <v>441</v>
      </c>
      <c r="F16570">
        <v>166</v>
      </c>
      <c r="G16570">
        <v>106</v>
      </c>
      <c r="H16570">
        <v>1</v>
      </c>
      <c r="I16570">
        <v>383</v>
      </c>
      <c r="J16570">
        <v>1</v>
      </c>
      <c r="K16570">
        <v>153</v>
      </c>
      <c r="L16570">
        <v>545</v>
      </c>
      <c r="M16570">
        <v>1</v>
      </c>
      <c r="N16570">
        <v>2.3242E-149</v>
      </c>
      <c r="O16570">
        <v>1355</v>
      </c>
    </row>
    <row r="16571" spans="1:15" x14ac:dyDescent="0.25">
      <c r="A16571" t="s">
        <v>16584</v>
      </c>
      <c r="B16571">
        <v>191</v>
      </c>
      <c r="C16571" s="1" t="str">
        <f>HYPERLINK("http://www.rosaceae.org/gb/gbrowse/malus_x_domestica/?name=MDP0000233547","MDP0000233547")</f>
        <v>MDP0000233547</v>
      </c>
      <c r="D16571">
        <v>62.8</v>
      </c>
      <c r="E16571">
        <v>207</v>
      </c>
      <c r="F16571">
        <v>77</v>
      </c>
      <c r="G16571">
        <v>36</v>
      </c>
      <c r="H16571">
        <v>1</v>
      </c>
      <c r="I16571">
        <v>171</v>
      </c>
      <c r="J16571">
        <v>1</v>
      </c>
      <c r="K16571">
        <v>1</v>
      </c>
      <c r="L16571">
        <v>207</v>
      </c>
      <c r="M16571">
        <v>1</v>
      </c>
      <c r="N16571">
        <v>3.1581300000000001E-57</v>
      </c>
      <c r="O16571">
        <v>555</v>
      </c>
    </row>
    <row r="16572" spans="1:15" x14ac:dyDescent="0.25">
      <c r="A16572" t="s">
        <v>16585</v>
      </c>
      <c r="B16572">
        <v>147</v>
      </c>
      <c r="C16572" s="1" t="str">
        <f>HYPERLINK("http://www.rosaceae.org/gb/gbrowse/malus_x_domestica/?name=MDP0000322433","MDP0000322433")</f>
        <v>MDP0000322433</v>
      </c>
      <c r="D16572">
        <v>43.53</v>
      </c>
      <c r="E16572">
        <v>147</v>
      </c>
      <c r="F16572">
        <v>83</v>
      </c>
      <c r="G16572">
        <v>35</v>
      </c>
      <c r="H16572">
        <v>21</v>
      </c>
      <c r="I16572">
        <v>147</v>
      </c>
      <c r="J16572">
        <v>1</v>
      </c>
      <c r="K16572">
        <v>18</v>
      </c>
      <c r="L16572">
        <v>149</v>
      </c>
      <c r="M16572">
        <v>1</v>
      </c>
      <c r="N16572">
        <v>1.4395000000000001E-14</v>
      </c>
      <c r="O16572">
        <v>185</v>
      </c>
    </row>
    <row r="16573" spans="1:15" x14ac:dyDescent="0.25">
      <c r="A16573" t="s">
        <v>16586</v>
      </c>
      <c r="B16573">
        <v>186</v>
      </c>
      <c r="C16573" s="1" t="str">
        <f>HYPERLINK("http://www.rosaceae.org/gb/gbrowse/malus_x_domestica/?name=MDP0000193544","MDP0000193544")</f>
        <v>MDP0000193544</v>
      </c>
      <c r="D16573">
        <v>50</v>
      </c>
      <c r="E16573">
        <v>66</v>
      </c>
      <c r="F16573">
        <v>33</v>
      </c>
      <c r="G16573">
        <v>0</v>
      </c>
      <c r="H16573">
        <v>108</v>
      </c>
      <c r="I16573">
        <v>173</v>
      </c>
      <c r="J16573">
        <v>1</v>
      </c>
      <c r="K16573">
        <v>42</v>
      </c>
      <c r="L16573">
        <v>107</v>
      </c>
      <c r="M16573">
        <v>1</v>
      </c>
      <c r="N16573">
        <v>1.16745E-12</v>
      </c>
      <c r="O16573">
        <v>170</v>
      </c>
    </row>
    <row r="16574" spans="1:15" x14ac:dyDescent="0.25">
      <c r="A16574" t="s">
        <v>16587</v>
      </c>
      <c r="B16574">
        <v>160</v>
      </c>
      <c r="C16574" s="1" t="str">
        <f>HYPERLINK("http://www.rosaceae.org/gb/gbrowse/malus_x_domestica/?name=MDP0000611200","MDP0000611200")</f>
        <v>MDP0000611200</v>
      </c>
      <c r="D16574">
        <v>80.62</v>
      </c>
      <c r="E16574">
        <v>160</v>
      </c>
      <c r="F16574">
        <v>31</v>
      </c>
      <c r="G16574">
        <v>1</v>
      </c>
      <c r="H16574">
        <v>1</v>
      </c>
      <c r="I16574">
        <v>160</v>
      </c>
      <c r="J16574">
        <v>1</v>
      </c>
      <c r="K16574">
        <v>1</v>
      </c>
      <c r="L16574">
        <v>159</v>
      </c>
      <c r="M16574">
        <v>1</v>
      </c>
      <c r="N16574">
        <v>7.8341099999999999E-71</v>
      </c>
      <c r="O16574">
        <v>671</v>
      </c>
    </row>
    <row r="16575" spans="1:15" x14ac:dyDescent="0.25">
      <c r="A16575" t="s">
        <v>16588</v>
      </c>
      <c r="B16575">
        <v>412</v>
      </c>
      <c r="C16575" s="1" t="str">
        <f>HYPERLINK("http://www.rosaceae.org/gb/gbrowse/malus_x_domestica/?name=MDP0000258269","MDP0000258269")</f>
        <v>MDP0000258269</v>
      </c>
      <c r="D16575">
        <v>58.88</v>
      </c>
      <c r="E16575">
        <v>377</v>
      </c>
      <c r="F16575">
        <v>155</v>
      </c>
      <c r="G16575">
        <v>14</v>
      </c>
      <c r="H16575">
        <v>40</v>
      </c>
      <c r="I16575">
        <v>411</v>
      </c>
      <c r="J16575">
        <v>1</v>
      </c>
      <c r="K16575">
        <v>1</v>
      </c>
      <c r="L16575">
        <v>368</v>
      </c>
      <c r="M16575">
        <v>1</v>
      </c>
      <c r="N16575">
        <v>3.1051000000000001E-121</v>
      </c>
      <c r="O16575">
        <v>1111</v>
      </c>
    </row>
    <row r="16576" spans="1:15" x14ac:dyDescent="0.25">
      <c r="A16576" t="s">
        <v>16589</v>
      </c>
      <c r="B16576">
        <v>451</v>
      </c>
      <c r="C16576" s="1" t="str">
        <f>HYPERLINK("http://www.rosaceae.org/gb/gbrowse/malus_x_domestica/?name=MDP0000255705","MDP0000255705")</f>
        <v>MDP0000255705</v>
      </c>
      <c r="D16576">
        <v>88.38</v>
      </c>
      <c r="E16576">
        <v>422</v>
      </c>
      <c r="F16576">
        <v>49</v>
      </c>
      <c r="G16576">
        <v>21</v>
      </c>
      <c r="H16576">
        <v>1</v>
      </c>
      <c r="I16576">
        <v>411</v>
      </c>
      <c r="J16576">
        <v>1</v>
      </c>
      <c r="K16576">
        <v>95</v>
      </c>
      <c r="L16576">
        <v>506</v>
      </c>
      <c r="M16576">
        <v>1</v>
      </c>
      <c r="N16576">
        <v>0</v>
      </c>
      <c r="O16576">
        <v>1919</v>
      </c>
    </row>
    <row r="16577" spans="1:15" x14ac:dyDescent="0.25">
      <c r="A16577" t="s">
        <v>16590</v>
      </c>
      <c r="B16577">
        <v>686</v>
      </c>
      <c r="C16577" s="1" t="str">
        <f>HYPERLINK("http://www.rosaceae.org/gb/gbrowse/malus_x_domestica/?name=MDP0000948690","MDP0000948690")</f>
        <v>MDP0000948690</v>
      </c>
      <c r="D16577">
        <v>77.650000000000006</v>
      </c>
      <c r="E16577">
        <v>649</v>
      </c>
      <c r="F16577">
        <v>145</v>
      </c>
      <c r="G16577">
        <v>41</v>
      </c>
      <c r="H16577">
        <v>43</v>
      </c>
      <c r="I16577">
        <v>684</v>
      </c>
      <c r="J16577">
        <v>1</v>
      </c>
      <c r="K16577">
        <v>1</v>
      </c>
      <c r="L16577">
        <v>615</v>
      </c>
      <c r="M16577">
        <v>1</v>
      </c>
      <c r="N16577">
        <v>0</v>
      </c>
      <c r="O16577">
        <v>2511</v>
      </c>
    </row>
    <row r="16578" spans="1:15" x14ac:dyDescent="0.25">
      <c r="A16578" t="s">
        <v>16591</v>
      </c>
      <c r="B16578">
        <v>643</v>
      </c>
      <c r="C16578" s="1" t="str">
        <f>HYPERLINK("http://www.rosaceae.org/gb/gbrowse/malus_x_domestica/?name=MDP0000631555","MDP0000631555")</f>
        <v>MDP0000631555</v>
      </c>
      <c r="D16578">
        <v>77.72</v>
      </c>
      <c r="E16578">
        <v>597</v>
      </c>
      <c r="F16578">
        <v>133</v>
      </c>
      <c r="G16578">
        <v>41</v>
      </c>
      <c r="H16578">
        <v>47</v>
      </c>
      <c r="I16578">
        <v>643</v>
      </c>
      <c r="J16578">
        <v>1</v>
      </c>
      <c r="K16578">
        <v>343</v>
      </c>
      <c r="L16578">
        <v>898</v>
      </c>
      <c r="M16578">
        <v>1</v>
      </c>
      <c r="N16578">
        <v>0</v>
      </c>
      <c r="O16578">
        <v>2518</v>
      </c>
    </row>
    <row r="16579" spans="1:15" x14ac:dyDescent="0.25">
      <c r="A16579" t="s">
        <v>16592</v>
      </c>
      <c r="B16579">
        <v>509</v>
      </c>
      <c r="C16579" s="1" t="str">
        <f>HYPERLINK("http://www.rosaceae.org/gb/gbrowse/malus_x_domestica/?name=MDP0000155691","MDP0000155691")</f>
        <v>MDP0000155691</v>
      </c>
      <c r="D16579">
        <v>66.599999999999994</v>
      </c>
      <c r="E16579">
        <v>512</v>
      </c>
      <c r="F16579">
        <v>171</v>
      </c>
      <c r="G16579">
        <v>6</v>
      </c>
      <c r="H16579">
        <v>1</v>
      </c>
      <c r="I16579">
        <v>508</v>
      </c>
      <c r="J16579">
        <v>1</v>
      </c>
      <c r="K16579">
        <v>1</v>
      </c>
      <c r="L16579">
        <v>510</v>
      </c>
      <c r="M16579">
        <v>1</v>
      </c>
      <c r="N16579">
        <v>0</v>
      </c>
      <c r="O16579">
        <v>1787</v>
      </c>
    </row>
    <row r="16580" spans="1:15" x14ac:dyDescent="0.25">
      <c r="A16580" t="s">
        <v>16593</v>
      </c>
      <c r="B16580">
        <v>402</v>
      </c>
      <c r="C16580" s="1" t="str">
        <f>HYPERLINK("http://www.rosaceae.org/gb/gbrowse/malus_x_domestica/?name=MDP0000262367","MDP0000262367")</f>
        <v>MDP0000262367</v>
      </c>
      <c r="D16580">
        <v>53.05</v>
      </c>
      <c r="E16580">
        <v>409</v>
      </c>
      <c r="F16580">
        <v>192</v>
      </c>
      <c r="G16580">
        <v>15</v>
      </c>
      <c r="H16580">
        <v>1</v>
      </c>
      <c r="I16580">
        <v>397</v>
      </c>
      <c r="J16580">
        <v>1</v>
      </c>
      <c r="K16580">
        <v>1</v>
      </c>
      <c r="L16580">
        <v>406</v>
      </c>
      <c r="M16580">
        <v>1</v>
      </c>
      <c r="N16580">
        <v>4.1708699999999999E-111</v>
      </c>
      <c r="O16580">
        <v>1024</v>
      </c>
    </row>
    <row r="16581" spans="1:15" x14ac:dyDescent="0.25">
      <c r="A16581" t="s">
        <v>16594</v>
      </c>
      <c r="B16581">
        <v>590</v>
      </c>
      <c r="C16581" s="1" t="str">
        <f>HYPERLINK("http://www.rosaceae.org/gb/gbrowse/malus_x_domestica/?name=MDP0000232843","MDP0000232843")</f>
        <v>MDP0000232843</v>
      </c>
      <c r="D16581">
        <v>54.45</v>
      </c>
      <c r="E16581">
        <v>404</v>
      </c>
      <c r="F16581">
        <v>184</v>
      </c>
      <c r="G16581">
        <v>14</v>
      </c>
      <c r="H16581">
        <v>106</v>
      </c>
      <c r="I16581">
        <v>505</v>
      </c>
      <c r="J16581">
        <v>1</v>
      </c>
      <c r="K16581">
        <v>161</v>
      </c>
      <c r="L16581">
        <v>554</v>
      </c>
      <c r="M16581">
        <v>1</v>
      </c>
      <c r="N16581">
        <v>1.44842E-128</v>
      </c>
      <c r="O16581">
        <v>1176</v>
      </c>
    </row>
    <row r="16582" spans="1:15" x14ac:dyDescent="0.25">
      <c r="A16582" t="s">
        <v>16595</v>
      </c>
      <c r="B16582">
        <v>247</v>
      </c>
      <c r="C16582" s="1" t="str">
        <f>HYPERLINK("http://www.rosaceae.org/gb/gbrowse/malus_x_domestica/?name=MDP0000301892","MDP0000301892")</f>
        <v>MDP0000301892</v>
      </c>
      <c r="D16582">
        <v>43.1</v>
      </c>
      <c r="E16582">
        <v>174</v>
      </c>
      <c r="F16582">
        <v>99</v>
      </c>
      <c r="G16582">
        <v>10</v>
      </c>
      <c r="H16582">
        <v>28</v>
      </c>
      <c r="I16582">
        <v>193</v>
      </c>
      <c r="J16582">
        <v>1</v>
      </c>
      <c r="K16582">
        <v>47</v>
      </c>
      <c r="L16582">
        <v>218</v>
      </c>
      <c r="M16582">
        <v>1</v>
      </c>
      <c r="N16582">
        <v>4.9836699999999999E-30</v>
      </c>
      <c r="O16582">
        <v>322</v>
      </c>
    </row>
    <row r="16583" spans="1:15" x14ac:dyDescent="0.25">
      <c r="A16583" t="s">
        <v>16596</v>
      </c>
      <c r="B16583">
        <v>573</v>
      </c>
      <c r="C16583" s="1" t="str">
        <f>HYPERLINK("http://www.rosaceae.org/gb/gbrowse/malus_x_domestica/?name=MDP0000321700","MDP0000321700")</f>
        <v>MDP0000321700</v>
      </c>
      <c r="D16583">
        <v>68.209999999999994</v>
      </c>
      <c r="E16583">
        <v>494</v>
      </c>
      <c r="F16583">
        <v>157</v>
      </c>
      <c r="G16583">
        <v>31</v>
      </c>
      <c r="H16583">
        <v>93</v>
      </c>
      <c r="I16583">
        <v>556</v>
      </c>
      <c r="J16583">
        <v>1</v>
      </c>
      <c r="K16583">
        <v>18</v>
      </c>
      <c r="L16583">
        <v>510</v>
      </c>
      <c r="M16583">
        <v>1</v>
      </c>
      <c r="N16583">
        <v>0</v>
      </c>
      <c r="O16583">
        <v>1655</v>
      </c>
    </row>
    <row r="16584" spans="1:15" x14ac:dyDescent="0.25">
      <c r="A16584" t="s">
        <v>16597</v>
      </c>
      <c r="B16584">
        <v>394</v>
      </c>
      <c r="C16584" s="1" t="str">
        <f>HYPERLINK("http://www.rosaceae.org/gb/gbrowse/malus_x_domestica/?name=MDP0000276291","MDP0000276291")</f>
        <v>MDP0000276291</v>
      </c>
      <c r="D16584">
        <v>37.299999999999997</v>
      </c>
      <c r="E16584">
        <v>260</v>
      </c>
      <c r="F16584">
        <v>163</v>
      </c>
      <c r="G16584">
        <v>37</v>
      </c>
      <c r="H16584">
        <v>14</v>
      </c>
      <c r="I16584">
        <v>247</v>
      </c>
      <c r="J16584">
        <v>1</v>
      </c>
      <c r="K16584">
        <v>10</v>
      </c>
      <c r="L16584">
        <v>258</v>
      </c>
      <c r="M16584">
        <v>1</v>
      </c>
      <c r="N16584">
        <v>1.75961E-29</v>
      </c>
      <c r="O16584">
        <v>320</v>
      </c>
    </row>
    <row r="16585" spans="1:15" x14ac:dyDescent="0.25">
      <c r="A16585" t="s">
        <v>16598</v>
      </c>
      <c r="B16585">
        <v>290</v>
      </c>
      <c r="C16585" s="1" t="str">
        <f>HYPERLINK("http://www.rosaceae.org/gb/gbrowse/malus_x_domestica/?name=MDP0000758582","MDP0000758582")</f>
        <v>MDP0000758582</v>
      </c>
      <c r="D16585">
        <v>58.06</v>
      </c>
      <c r="E16585">
        <v>62</v>
      </c>
      <c r="F16585">
        <v>26</v>
      </c>
      <c r="G16585">
        <v>0</v>
      </c>
      <c r="H16585">
        <v>167</v>
      </c>
      <c r="I16585">
        <v>228</v>
      </c>
      <c r="J16585">
        <v>1</v>
      </c>
      <c r="K16585">
        <v>4</v>
      </c>
      <c r="L16585">
        <v>65</v>
      </c>
      <c r="M16585">
        <v>1</v>
      </c>
      <c r="N16585">
        <v>1.6906700000000001E-11</v>
      </c>
      <c r="O16585">
        <v>163</v>
      </c>
    </row>
    <row r="16586" spans="1:15" x14ac:dyDescent="0.25">
      <c r="A16586" t="s">
        <v>16599</v>
      </c>
      <c r="B16586">
        <v>496</v>
      </c>
      <c r="C16586" s="1" t="str">
        <f>HYPERLINK("http://www.rosaceae.org/gb/gbrowse/malus_x_domestica/?name=MDP0000826293","MDP0000826293")</f>
        <v>MDP0000826293</v>
      </c>
      <c r="D16586">
        <v>64.63</v>
      </c>
      <c r="E16586">
        <v>164</v>
      </c>
      <c r="F16586">
        <v>58</v>
      </c>
      <c r="G16586">
        <v>3</v>
      </c>
      <c r="H16586">
        <v>26</v>
      </c>
      <c r="I16586">
        <v>189</v>
      </c>
      <c r="J16586">
        <v>1</v>
      </c>
      <c r="K16586">
        <v>41</v>
      </c>
      <c r="L16586">
        <v>201</v>
      </c>
      <c r="M16586">
        <v>1</v>
      </c>
      <c r="N16586">
        <v>2.7299300000000002E-63</v>
      </c>
      <c r="O16586">
        <v>612</v>
      </c>
    </row>
    <row r="16587" spans="1:15" x14ac:dyDescent="0.25">
      <c r="A16587" t="s">
        <v>16600</v>
      </c>
      <c r="B16587">
        <v>130</v>
      </c>
      <c r="C16587" s="1" t="str">
        <f>HYPERLINK("http://www.rosaceae.org/gb/gbrowse/malus_x_domestica/?name=MDP0000901164","MDP0000901164")</f>
        <v>MDP0000901164</v>
      </c>
      <c r="D16587">
        <v>76.760000000000005</v>
      </c>
      <c r="E16587">
        <v>99</v>
      </c>
      <c r="F16587">
        <v>23</v>
      </c>
      <c r="G16587">
        <v>0</v>
      </c>
      <c r="H16587">
        <v>32</v>
      </c>
      <c r="I16587">
        <v>130</v>
      </c>
      <c r="J16587">
        <v>1</v>
      </c>
      <c r="K16587">
        <v>1</v>
      </c>
      <c r="L16587">
        <v>99</v>
      </c>
      <c r="M16587">
        <v>1</v>
      </c>
      <c r="N16587">
        <v>3.4999300000000001E-44</v>
      </c>
      <c r="O16587">
        <v>439</v>
      </c>
    </row>
    <row r="16588" spans="1:15" x14ac:dyDescent="0.25">
      <c r="A16588" t="s">
        <v>16601</v>
      </c>
      <c r="B16588">
        <v>956</v>
      </c>
      <c r="C16588" s="1" t="str">
        <f>HYPERLINK("http://www.rosaceae.org/gb/gbrowse/malus_x_domestica/?name=MDP0000833407","MDP0000833407")</f>
        <v>MDP0000833407</v>
      </c>
      <c r="D16588">
        <v>59.17</v>
      </c>
      <c r="E16588">
        <v>218</v>
      </c>
      <c r="F16588">
        <v>89</v>
      </c>
      <c r="G16588">
        <v>16</v>
      </c>
      <c r="H16588">
        <v>4</v>
      </c>
      <c r="I16588">
        <v>217</v>
      </c>
      <c r="J16588">
        <v>1</v>
      </c>
      <c r="K16588">
        <v>3</v>
      </c>
      <c r="L16588">
        <v>208</v>
      </c>
      <c r="M16588">
        <v>1</v>
      </c>
      <c r="N16588">
        <v>3.4719100000000002E-60</v>
      </c>
      <c r="O16588">
        <v>588</v>
      </c>
    </row>
    <row r="16589" spans="1:15" x14ac:dyDescent="0.25">
      <c r="A16589" t="s">
        <v>16602</v>
      </c>
      <c r="B16589">
        <v>740</v>
      </c>
      <c r="C16589" s="1" t="str">
        <f>HYPERLINK("http://www.rosaceae.org/gb/gbrowse/malus_x_domestica/?name=MDP0000565397","MDP0000565397")</f>
        <v>MDP0000565397</v>
      </c>
      <c r="D16589">
        <v>82.42</v>
      </c>
      <c r="E16589">
        <v>694</v>
      </c>
      <c r="F16589">
        <v>122</v>
      </c>
      <c r="G16589">
        <v>1</v>
      </c>
      <c r="H16589">
        <v>48</v>
      </c>
      <c r="I16589">
        <v>740</v>
      </c>
      <c r="J16589">
        <v>1</v>
      </c>
      <c r="K16589">
        <v>108</v>
      </c>
      <c r="L16589">
        <v>801</v>
      </c>
      <c r="M16589">
        <v>1</v>
      </c>
      <c r="N16589">
        <v>0</v>
      </c>
      <c r="O16589">
        <v>3067</v>
      </c>
    </row>
    <row r="16590" spans="1:15" x14ac:dyDescent="0.25">
      <c r="A16590" t="s">
        <v>16603</v>
      </c>
      <c r="B16590">
        <v>559</v>
      </c>
      <c r="C16590" s="1" t="str">
        <f>HYPERLINK("http://www.rosaceae.org/gb/gbrowse/malus_x_domestica/?name=MDP0000292477","MDP0000292477")</f>
        <v>MDP0000292477</v>
      </c>
      <c r="D16590">
        <v>74.72</v>
      </c>
      <c r="E16590">
        <v>269</v>
      </c>
      <c r="F16590">
        <v>68</v>
      </c>
      <c r="G16590">
        <v>14</v>
      </c>
      <c r="H16590">
        <v>303</v>
      </c>
      <c r="I16590">
        <v>558</v>
      </c>
      <c r="J16590">
        <v>1</v>
      </c>
      <c r="K16590">
        <v>1</v>
      </c>
      <c r="L16590">
        <v>268</v>
      </c>
      <c r="M16590">
        <v>1</v>
      </c>
      <c r="N16590">
        <v>3.8943000000000001E-113</v>
      </c>
      <c r="O16590">
        <v>1043</v>
      </c>
    </row>
    <row r="16591" spans="1:15" x14ac:dyDescent="0.25">
      <c r="A16591" t="s">
        <v>16604</v>
      </c>
      <c r="B16591">
        <v>375</v>
      </c>
      <c r="C16591" s="1" t="str">
        <f>HYPERLINK("http://www.rosaceae.org/gb/gbrowse/malus_x_domestica/?name=MDP0000208349","MDP0000208349")</f>
        <v>MDP0000208349</v>
      </c>
      <c r="D16591">
        <v>45.83</v>
      </c>
      <c r="E16591">
        <v>312</v>
      </c>
      <c r="F16591">
        <v>169</v>
      </c>
      <c r="G16591">
        <v>57</v>
      </c>
      <c r="H16591">
        <v>64</v>
      </c>
      <c r="I16591">
        <v>332</v>
      </c>
      <c r="J16591">
        <v>1</v>
      </c>
      <c r="K16591">
        <v>154</v>
      </c>
      <c r="L16591">
        <v>451</v>
      </c>
      <c r="M16591">
        <v>1</v>
      </c>
      <c r="N16591">
        <v>7.1965800000000006E-55</v>
      </c>
      <c r="O16591">
        <v>538</v>
      </c>
    </row>
    <row r="16592" spans="1:15" x14ac:dyDescent="0.25">
      <c r="A16592" t="s">
        <v>16605</v>
      </c>
      <c r="B16592">
        <v>153</v>
      </c>
      <c r="C16592" s="1" t="str">
        <f>HYPERLINK("http://www.rosaceae.org/gb/gbrowse/malus_x_domestica/?name=MDP0000584893","MDP0000584893")</f>
        <v>MDP0000584893</v>
      </c>
      <c r="D16592">
        <v>59.09</v>
      </c>
      <c r="E16592">
        <v>110</v>
      </c>
      <c r="F16592">
        <v>45</v>
      </c>
      <c r="G16592">
        <v>7</v>
      </c>
      <c r="H16592">
        <v>29</v>
      </c>
      <c r="I16592">
        <v>138</v>
      </c>
      <c r="J16592">
        <v>1</v>
      </c>
      <c r="K16592">
        <v>273</v>
      </c>
      <c r="L16592">
        <v>375</v>
      </c>
      <c r="M16592">
        <v>1</v>
      </c>
      <c r="N16592">
        <v>1.2125400000000001E-26</v>
      </c>
      <c r="O16592">
        <v>289</v>
      </c>
    </row>
    <row r="16593" spans="1:15" x14ac:dyDescent="0.25">
      <c r="A16593" t="s">
        <v>16606</v>
      </c>
      <c r="B16593">
        <v>407</v>
      </c>
      <c r="C16593" s="1" t="str">
        <f>HYPERLINK("http://www.rosaceae.org/gb/gbrowse/malus_x_domestica/?name=MDP0000262982","MDP0000262982")</f>
        <v>MDP0000262982</v>
      </c>
      <c r="D16593">
        <v>58.7</v>
      </c>
      <c r="E16593">
        <v>385</v>
      </c>
      <c r="F16593">
        <v>159</v>
      </c>
      <c r="G16593">
        <v>8</v>
      </c>
      <c r="H16593">
        <v>11</v>
      </c>
      <c r="I16593">
        <v>387</v>
      </c>
      <c r="J16593">
        <v>1</v>
      </c>
      <c r="K16593">
        <v>18</v>
      </c>
      <c r="L16593">
        <v>402</v>
      </c>
      <c r="M16593">
        <v>1</v>
      </c>
      <c r="N16593">
        <v>4.8902099999999997E-138</v>
      </c>
      <c r="O16593">
        <v>1256</v>
      </c>
    </row>
    <row r="16594" spans="1:15" x14ac:dyDescent="0.25">
      <c r="A16594" t="s">
        <v>16607</v>
      </c>
      <c r="B16594">
        <v>434</v>
      </c>
      <c r="C16594" s="1" t="str">
        <f>HYPERLINK("http://www.rosaceae.org/gb/gbrowse/malus_x_domestica/?name=MDP0000121883","MDP0000121883")</f>
        <v>MDP0000121883</v>
      </c>
      <c r="D16594">
        <v>40.43</v>
      </c>
      <c r="E16594">
        <v>371</v>
      </c>
      <c r="F16594">
        <v>221</v>
      </c>
      <c r="G16594">
        <v>71</v>
      </c>
      <c r="H16594">
        <v>130</v>
      </c>
      <c r="I16594">
        <v>434</v>
      </c>
      <c r="J16594">
        <v>1</v>
      </c>
      <c r="K16594">
        <v>123</v>
      </c>
      <c r="L16594">
        <v>488</v>
      </c>
      <c r="M16594">
        <v>1</v>
      </c>
      <c r="N16594">
        <v>9.3056399999999998E-57</v>
      </c>
      <c r="O16594">
        <v>555</v>
      </c>
    </row>
    <row r="16595" spans="1:15" x14ac:dyDescent="0.25">
      <c r="A16595" t="s">
        <v>16608</v>
      </c>
      <c r="B16595">
        <v>692</v>
      </c>
      <c r="C16595" s="1" t="str">
        <f>HYPERLINK("http://www.rosaceae.org/gb/gbrowse/malus_x_domestica/?name=MDP0000127543","MDP0000127543")</f>
        <v>MDP0000127543</v>
      </c>
      <c r="D16595">
        <v>61.78</v>
      </c>
      <c r="E16595">
        <v>696</v>
      </c>
      <c r="F16595">
        <v>266</v>
      </c>
      <c r="G16595">
        <v>33</v>
      </c>
      <c r="H16595">
        <v>1</v>
      </c>
      <c r="I16595">
        <v>678</v>
      </c>
      <c r="J16595">
        <v>1</v>
      </c>
      <c r="K16595">
        <v>1</v>
      </c>
      <c r="L16595">
        <v>681</v>
      </c>
      <c r="M16595">
        <v>1</v>
      </c>
      <c r="N16595">
        <v>0</v>
      </c>
      <c r="O16595">
        <v>2095</v>
      </c>
    </row>
    <row r="16596" spans="1:15" x14ac:dyDescent="0.25">
      <c r="A16596" t="s">
        <v>16609</v>
      </c>
      <c r="B16596">
        <v>882</v>
      </c>
      <c r="C16596" s="1" t="str">
        <f>HYPERLINK("http://www.rosaceae.org/gb/gbrowse/malus_x_domestica/?name=MDP0000273819","MDP0000273819")</f>
        <v>MDP0000273819</v>
      </c>
      <c r="D16596">
        <v>75.11</v>
      </c>
      <c r="E16596">
        <v>852</v>
      </c>
      <c r="F16596">
        <v>212</v>
      </c>
      <c r="G16596">
        <v>9</v>
      </c>
      <c r="H16596">
        <v>1</v>
      </c>
      <c r="I16596">
        <v>846</v>
      </c>
      <c r="J16596">
        <v>1</v>
      </c>
      <c r="K16596">
        <v>33</v>
      </c>
      <c r="L16596">
        <v>881</v>
      </c>
      <c r="M16596">
        <v>1</v>
      </c>
      <c r="N16596">
        <v>0</v>
      </c>
      <c r="O16596">
        <v>3294</v>
      </c>
    </row>
    <row r="16597" spans="1:15" x14ac:dyDescent="0.25">
      <c r="A16597" t="s">
        <v>16610</v>
      </c>
      <c r="B16597">
        <v>113</v>
      </c>
      <c r="C16597" s="1" t="str">
        <f>HYPERLINK("http://www.rosaceae.org/gb/gbrowse/malus_x_domestica/?name=MDP0000286444","MDP0000286444")</f>
        <v>MDP0000286444</v>
      </c>
      <c r="D16597">
        <v>46.66</v>
      </c>
      <c r="E16597">
        <v>105</v>
      </c>
      <c r="F16597">
        <v>56</v>
      </c>
      <c r="G16597">
        <v>4</v>
      </c>
      <c r="H16597">
        <v>9</v>
      </c>
      <c r="I16597">
        <v>113</v>
      </c>
      <c r="J16597">
        <v>1</v>
      </c>
      <c r="K16597">
        <v>972</v>
      </c>
      <c r="L16597">
        <v>1072</v>
      </c>
      <c r="M16597">
        <v>1</v>
      </c>
      <c r="N16597">
        <v>1.84623E-19</v>
      </c>
      <c r="O16597">
        <v>225</v>
      </c>
    </row>
    <row r="16598" spans="1:15" x14ac:dyDescent="0.25">
      <c r="A16598" t="s">
        <v>16611</v>
      </c>
      <c r="B16598">
        <v>600</v>
      </c>
      <c r="C16598" s="1" t="str">
        <f>HYPERLINK("http://www.rosaceae.org/gb/gbrowse/malus_x_domestica/?name=MDP0000193902","MDP0000193902")</f>
        <v>MDP0000193902</v>
      </c>
      <c r="D16598">
        <v>44.37</v>
      </c>
      <c r="E16598">
        <v>480</v>
      </c>
      <c r="F16598">
        <v>267</v>
      </c>
      <c r="G16598">
        <v>36</v>
      </c>
      <c r="H16598">
        <v>59</v>
      </c>
      <c r="I16598">
        <v>532</v>
      </c>
      <c r="J16598">
        <v>1</v>
      </c>
      <c r="K16598">
        <v>5</v>
      </c>
      <c r="L16598">
        <v>454</v>
      </c>
      <c r="M16598">
        <v>1</v>
      </c>
      <c r="N16598">
        <v>9.8214099999999999E-101</v>
      </c>
      <c r="O16598">
        <v>936</v>
      </c>
    </row>
    <row r="16599" spans="1:15" x14ac:dyDescent="0.25">
      <c r="A16599" t="s">
        <v>16612</v>
      </c>
      <c r="B16599">
        <v>305</v>
      </c>
      <c r="C16599" s="1" t="str">
        <f>HYPERLINK("http://www.rosaceae.org/gb/gbrowse/malus_x_domestica/?name=MDP0000377115","MDP0000377115")</f>
        <v>MDP0000377115</v>
      </c>
      <c r="D16599">
        <v>86.88</v>
      </c>
      <c r="E16599">
        <v>305</v>
      </c>
      <c r="F16599">
        <v>40</v>
      </c>
      <c r="G16599">
        <v>3</v>
      </c>
      <c r="H16599">
        <v>4</v>
      </c>
      <c r="I16599">
        <v>305</v>
      </c>
      <c r="J16599">
        <v>1</v>
      </c>
      <c r="K16599">
        <v>28</v>
      </c>
      <c r="L16599">
        <v>332</v>
      </c>
      <c r="M16599">
        <v>1</v>
      </c>
      <c r="N16599">
        <v>7.5457399999999994E-154</v>
      </c>
      <c r="O16599">
        <v>1391</v>
      </c>
    </row>
    <row r="16600" spans="1:15" x14ac:dyDescent="0.25">
      <c r="A16600" t="s">
        <v>16613</v>
      </c>
      <c r="B16600">
        <v>516</v>
      </c>
      <c r="C16600" s="1" t="str">
        <f>HYPERLINK("http://www.rosaceae.org/gb/gbrowse/malus_x_domestica/?name=MDP0000164633","MDP0000164633")</f>
        <v>MDP0000164633</v>
      </c>
      <c r="D16600">
        <v>67.14</v>
      </c>
      <c r="E16600">
        <v>277</v>
      </c>
      <c r="F16600">
        <v>91</v>
      </c>
      <c r="G16600">
        <v>7</v>
      </c>
      <c r="H16600">
        <v>151</v>
      </c>
      <c r="I16600">
        <v>425</v>
      </c>
      <c r="J16600">
        <v>1</v>
      </c>
      <c r="K16600">
        <v>2</v>
      </c>
      <c r="L16600">
        <v>273</v>
      </c>
      <c r="M16600">
        <v>1</v>
      </c>
      <c r="N16600">
        <v>1.7234799999999999E-96</v>
      </c>
      <c r="O16600">
        <v>899</v>
      </c>
    </row>
    <row r="16601" spans="1:15" x14ac:dyDescent="0.25">
      <c r="A16601" t="s">
        <v>16614</v>
      </c>
      <c r="B16601">
        <v>208</v>
      </c>
      <c r="C16601" s="1" t="str">
        <f>HYPERLINK("http://www.rosaceae.org/gb/gbrowse/malus_x_domestica/?name=MDP0000236035","MDP0000236035")</f>
        <v>MDP0000236035</v>
      </c>
      <c r="D16601">
        <v>59.81</v>
      </c>
      <c r="E16601">
        <v>107</v>
      </c>
      <c r="F16601">
        <v>43</v>
      </c>
      <c r="G16601">
        <v>7</v>
      </c>
      <c r="H16601">
        <v>1</v>
      </c>
      <c r="I16601">
        <v>101</v>
      </c>
      <c r="J16601">
        <v>1</v>
      </c>
      <c r="K16601">
        <v>1</v>
      </c>
      <c r="L16601">
        <v>106</v>
      </c>
      <c r="M16601">
        <v>1</v>
      </c>
      <c r="N16601">
        <v>5.0642399999999999E-28</v>
      </c>
      <c r="O16601">
        <v>303</v>
      </c>
    </row>
    <row r="16602" spans="1:15" x14ac:dyDescent="0.25">
      <c r="A16602" t="s">
        <v>16615</v>
      </c>
      <c r="B16602">
        <v>224</v>
      </c>
      <c r="C16602" s="1" t="str">
        <f>HYPERLINK("http://www.rosaceae.org/gb/gbrowse/malus_x_domestica/?name=MDP0000235957","MDP0000235957")</f>
        <v>MDP0000235957</v>
      </c>
      <c r="D16602">
        <v>86.88</v>
      </c>
      <c r="E16602">
        <v>183</v>
      </c>
      <c r="F16602">
        <v>24</v>
      </c>
      <c r="G16602">
        <v>0</v>
      </c>
      <c r="H16602">
        <v>42</v>
      </c>
      <c r="I16602">
        <v>224</v>
      </c>
      <c r="J16602">
        <v>1</v>
      </c>
      <c r="K16602">
        <v>1</v>
      </c>
      <c r="L16602">
        <v>183</v>
      </c>
      <c r="M16602">
        <v>1</v>
      </c>
      <c r="N16602">
        <v>7.7322600000000001E-94</v>
      </c>
      <c r="O16602">
        <v>872</v>
      </c>
    </row>
    <row r="16603" spans="1:15" x14ac:dyDescent="0.25">
      <c r="A16603" t="s">
        <v>16616</v>
      </c>
      <c r="B16603">
        <v>216</v>
      </c>
      <c r="C16603" s="1" t="str">
        <f>HYPERLINK("http://www.rosaceae.org/gb/gbrowse/malus_x_domestica/?name=MDP0000223410","MDP0000223410")</f>
        <v>MDP0000223410</v>
      </c>
      <c r="D16603">
        <v>71.17</v>
      </c>
      <c r="E16603">
        <v>229</v>
      </c>
      <c r="F16603">
        <v>66</v>
      </c>
      <c r="G16603">
        <v>13</v>
      </c>
      <c r="H16603">
        <v>1</v>
      </c>
      <c r="I16603">
        <v>216</v>
      </c>
      <c r="J16603">
        <v>1</v>
      </c>
      <c r="K16603">
        <v>1</v>
      </c>
      <c r="L16603">
        <v>229</v>
      </c>
      <c r="M16603">
        <v>1</v>
      </c>
      <c r="N16603">
        <v>3.6070799999999999E-90</v>
      </c>
      <c r="O16603">
        <v>840</v>
      </c>
    </row>
    <row r="16604" spans="1:15" x14ac:dyDescent="0.25">
      <c r="A16604" t="s">
        <v>16617</v>
      </c>
      <c r="B16604">
        <v>92</v>
      </c>
      <c r="C16604" s="1" t="str">
        <f>HYPERLINK("http://www.rosaceae.org/gb/gbrowse/malus_x_domestica/?name=MDP0000154767","MDP0000154767")</f>
        <v>MDP0000154767</v>
      </c>
      <c r="D16604">
        <v>43.33</v>
      </c>
      <c r="E16604">
        <v>60</v>
      </c>
      <c r="F16604">
        <v>34</v>
      </c>
      <c r="G16604">
        <v>0</v>
      </c>
      <c r="H16604">
        <v>6</v>
      </c>
      <c r="I16604">
        <v>65</v>
      </c>
      <c r="J16604">
        <v>1</v>
      </c>
      <c r="K16604">
        <v>329</v>
      </c>
      <c r="L16604">
        <v>388</v>
      </c>
      <c r="M16604">
        <v>1</v>
      </c>
      <c r="N16604">
        <v>1.52616E-9</v>
      </c>
      <c r="O16604">
        <v>140</v>
      </c>
    </row>
    <row r="16605" spans="1:15" x14ac:dyDescent="0.25">
      <c r="A16605" t="s">
        <v>16618</v>
      </c>
      <c r="B16605">
        <v>397</v>
      </c>
      <c r="C16605" s="1" t="str">
        <f>HYPERLINK("http://www.rosaceae.org/gb/gbrowse/malus_x_domestica/?name=MDP0000682962","MDP0000682962")</f>
        <v>MDP0000682962</v>
      </c>
      <c r="D16605">
        <v>81.37</v>
      </c>
      <c r="E16605">
        <v>145</v>
      </c>
      <c r="F16605">
        <v>27</v>
      </c>
      <c r="G16605">
        <v>0</v>
      </c>
      <c r="H16605">
        <v>1</v>
      </c>
      <c r="I16605">
        <v>145</v>
      </c>
      <c r="J16605">
        <v>1</v>
      </c>
      <c r="K16605">
        <v>1</v>
      </c>
      <c r="L16605">
        <v>145</v>
      </c>
      <c r="M16605">
        <v>1</v>
      </c>
      <c r="N16605">
        <v>9.4077299999999995E-67</v>
      </c>
      <c r="O16605">
        <v>641</v>
      </c>
    </row>
    <row r="16606" spans="1:15" x14ac:dyDescent="0.25">
      <c r="A16606" t="s">
        <v>16619</v>
      </c>
      <c r="B16606">
        <v>319</v>
      </c>
      <c r="C16606" s="1" t="str">
        <f>HYPERLINK("http://www.rosaceae.org/gb/gbrowse/malus_x_domestica/?name=MDP0000177720","MDP0000177720")</f>
        <v>MDP0000177720</v>
      </c>
      <c r="D16606">
        <v>63.59</v>
      </c>
      <c r="E16606">
        <v>206</v>
      </c>
      <c r="F16606">
        <v>75</v>
      </c>
      <c r="G16606">
        <v>38</v>
      </c>
      <c r="H16606">
        <v>39</v>
      </c>
      <c r="I16606">
        <v>206</v>
      </c>
      <c r="J16606">
        <v>1</v>
      </c>
      <c r="K16606">
        <v>165</v>
      </c>
      <c r="L16606">
        <v>370</v>
      </c>
      <c r="M16606">
        <v>1</v>
      </c>
      <c r="N16606">
        <v>6.9928699999999996E-72</v>
      </c>
      <c r="O16606">
        <v>684</v>
      </c>
    </row>
    <row r="16607" spans="1:15" x14ac:dyDescent="0.25">
      <c r="A16607" t="s">
        <v>16620</v>
      </c>
      <c r="B16607">
        <v>174</v>
      </c>
      <c r="C16607" s="1" t="str">
        <f>HYPERLINK("http://www.rosaceae.org/gb/gbrowse/malus_x_domestica/?name=MDP0000811844","MDP0000811844")</f>
        <v>MDP0000811844</v>
      </c>
      <c r="D16607">
        <v>47.93</v>
      </c>
      <c r="E16607">
        <v>194</v>
      </c>
      <c r="F16607">
        <v>101</v>
      </c>
      <c r="G16607">
        <v>29</v>
      </c>
      <c r="H16607">
        <v>1</v>
      </c>
      <c r="I16607">
        <v>174</v>
      </c>
      <c r="J16607">
        <v>1</v>
      </c>
      <c r="K16607">
        <v>1</v>
      </c>
      <c r="L16607">
        <v>185</v>
      </c>
      <c r="M16607">
        <v>1</v>
      </c>
      <c r="N16607">
        <v>2.3754399999999999E-26</v>
      </c>
      <c r="O16607">
        <v>288</v>
      </c>
    </row>
    <row r="16608" spans="1:15" x14ac:dyDescent="0.25">
      <c r="A16608" t="s">
        <v>16621</v>
      </c>
      <c r="B16608">
        <v>481</v>
      </c>
      <c r="C16608" s="1" t="str">
        <f>HYPERLINK("http://www.rosaceae.org/gb/gbrowse/malus_x_domestica/?name=MDP0000181942","MDP0000181942")</f>
        <v>MDP0000181942</v>
      </c>
      <c r="D16608">
        <v>66.19</v>
      </c>
      <c r="E16608">
        <v>71</v>
      </c>
      <c r="F16608">
        <v>24</v>
      </c>
      <c r="G16608">
        <v>0</v>
      </c>
      <c r="H16608">
        <v>8</v>
      </c>
      <c r="I16608">
        <v>78</v>
      </c>
      <c r="J16608">
        <v>1</v>
      </c>
      <c r="K16608">
        <v>3</v>
      </c>
      <c r="L16608">
        <v>73</v>
      </c>
      <c r="M16608">
        <v>1</v>
      </c>
      <c r="N16608">
        <v>1.32658E-21</v>
      </c>
      <c r="O16608">
        <v>253</v>
      </c>
    </row>
    <row r="16609" spans="1:15" x14ac:dyDescent="0.25">
      <c r="A16609" t="s">
        <v>16622</v>
      </c>
      <c r="B16609">
        <v>168</v>
      </c>
      <c r="C16609" s="1" t="str">
        <f>HYPERLINK("http://www.rosaceae.org/gb/gbrowse/malus_x_domestica/?name=MDP0000731702","MDP0000731702")</f>
        <v>MDP0000731702</v>
      </c>
      <c r="D16609">
        <v>66.66</v>
      </c>
      <c r="E16609">
        <v>114</v>
      </c>
      <c r="F16609">
        <v>38</v>
      </c>
      <c r="G16609">
        <v>0</v>
      </c>
      <c r="H16609">
        <v>54</v>
      </c>
      <c r="I16609">
        <v>167</v>
      </c>
      <c r="J16609">
        <v>1</v>
      </c>
      <c r="K16609">
        <v>1140</v>
      </c>
      <c r="L16609">
        <v>1253</v>
      </c>
      <c r="M16609">
        <v>1</v>
      </c>
      <c r="N16609">
        <v>6.57533E-37</v>
      </c>
      <c r="O16609">
        <v>379</v>
      </c>
    </row>
    <row r="16610" spans="1:15" x14ac:dyDescent="0.25">
      <c r="A16610" t="s">
        <v>16623</v>
      </c>
      <c r="B16610">
        <v>709</v>
      </c>
      <c r="C16610" s="1" t="str">
        <f>HYPERLINK("http://www.rosaceae.org/gb/gbrowse/malus_x_domestica/?name=MDP0000950137","MDP0000950137")</f>
        <v>MDP0000950137</v>
      </c>
      <c r="D16610">
        <v>58.84</v>
      </c>
      <c r="E16610">
        <v>695</v>
      </c>
      <c r="F16610">
        <v>286</v>
      </c>
      <c r="G16610">
        <v>55</v>
      </c>
      <c r="H16610">
        <v>6</v>
      </c>
      <c r="I16610">
        <v>661</v>
      </c>
      <c r="J16610">
        <v>1</v>
      </c>
      <c r="K16610">
        <v>4</v>
      </c>
      <c r="L16610">
        <v>682</v>
      </c>
      <c r="M16610">
        <v>1</v>
      </c>
      <c r="N16610">
        <v>0</v>
      </c>
      <c r="O16610">
        <v>1875</v>
      </c>
    </row>
    <row r="16611" spans="1:15" x14ac:dyDescent="0.25">
      <c r="A16611" t="s">
        <v>16624</v>
      </c>
      <c r="B16611">
        <v>258</v>
      </c>
      <c r="C16611" s="1" t="str">
        <f>HYPERLINK("http://www.rosaceae.org/gb/gbrowse/malus_x_domestica/?name=MDP0000241055","MDP0000241055")</f>
        <v>MDP0000241055</v>
      </c>
      <c r="D16611">
        <v>63.6</v>
      </c>
      <c r="E16611">
        <v>250</v>
      </c>
      <c r="F16611">
        <v>91</v>
      </c>
      <c r="G16611">
        <v>14</v>
      </c>
      <c r="H16611">
        <v>9</v>
      </c>
      <c r="I16611">
        <v>253</v>
      </c>
      <c r="J16611">
        <v>1</v>
      </c>
      <c r="K16611">
        <v>310</v>
      </c>
      <c r="L16611">
        <v>550</v>
      </c>
      <c r="M16611">
        <v>1</v>
      </c>
      <c r="N16611">
        <v>9.0852599999999995E-80</v>
      </c>
      <c r="O16611">
        <v>751</v>
      </c>
    </row>
    <row r="16612" spans="1:15" x14ac:dyDescent="0.25">
      <c r="A16612" t="s">
        <v>16625</v>
      </c>
      <c r="B16612">
        <v>443</v>
      </c>
      <c r="C16612" s="1" t="str">
        <f>HYPERLINK("http://www.rosaceae.org/gb/gbrowse/malus_x_domestica/?name=MDP0000172147","MDP0000172147")</f>
        <v>MDP0000172147</v>
      </c>
      <c r="D16612">
        <v>43.17</v>
      </c>
      <c r="E16612">
        <v>454</v>
      </c>
      <c r="F16612">
        <v>258</v>
      </c>
      <c r="G16612">
        <v>49</v>
      </c>
      <c r="H16612">
        <v>14</v>
      </c>
      <c r="I16612">
        <v>433</v>
      </c>
      <c r="J16612">
        <v>1</v>
      </c>
      <c r="K16612">
        <v>7</v>
      </c>
      <c r="L16612">
        <v>445</v>
      </c>
      <c r="M16612">
        <v>1</v>
      </c>
      <c r="N16612">
        <v>1.49447E-75</v>
      </c>
      <c r="O16612">
        <v>717</v>
      </c>
    </row>
    <row r="16613" spans="1:15" x14ac:dyDescent="0.25">
      <c r="A16613" t="s">
        <v>16626</v>
      </c>
      <c r="B16613">
        <v>1161</v>
      </c>
      <c r="C16613" s="1" t="str">
        <f>HYPERLINK("http://www.rosaceae.org/gb/gbrowse/malus_x_domestica/?name=MDP0000167408","MDP0000167408")</f>
        <v>MDP0000167408</v>
      </c>
      <c r="D16613">
        <v>70.489999999999995</v>
      </c>
      <c r="E16613">
        <v>661</v>
      </c>
      <c r="F16613">
        <v>195</v>
      </c>
      <c r="G16613">
        <v>7</v>
      </c>
      <c r="H16613">
        <v>2</v>
      </c>
      <c r="I16613">
        <v>661</v>
      </c>
      <c r="J16613">
        <v>1</v>
      </c>
      <c r="K16613">
        <v>4</v>
      </c>
      <c r="L16613">
        <v>658</v>
      </c>
      <c r="M16613">
        <v>1</v>
      </c>
      <c r="N16613">
        <v>0</v>
      </c>
      <c r="O16613">
        <v>2433</v>
      </c>
    </row>
    <row r="16614" spans="1:15" x14ac:dyDescent="0.25">
      <c r="A16614" t="s">
        <v>16627</v>
      </c>
      <c r="B16614">
        <v>222</v>
      </c>
      <c r="C16614" s="1" t="str">
        <f>HYPERLINK("http://www.rosaceae.org/gb/gbrowse/malus_x_domestica/?name=MDP0000245344","MDP0000245344")</f>
        <v>MDP0000245344</v>
      </c>
      <c r="D16614">
        <v>69.31</v>
      </c>
      <c r="E16614">
        <v>176</v>
      </c>
      <c r="F16614">
        <v>54</v>
      </c>
      <c r="G16614">
        <v>31</v>
      </c>
      <c r="H16614">
        <v>5</v>
      </c>
      <c r="I16614">
        <v>149</v>
      </c>
      <c r="J16614">
        <v>1</v>
      </c>
      <c r="K16614">
        <v>399</v>
      </c>
      <c r="L16614">
        <v>574</v>
      </c>
      <c r="M16614">
        <v>1</v>
      </c>
      <c r="N16614">
        <v>7.5470099999999996E-64</v>
      </c>
      <c r="O16614">
        <v>613</v>
      </c>
    </row>
    <row r="16615" spans="1:15" x14ac:dyDescent="0.25">
      <c r="A16615" t="s">
        <v>16628</v>
      </c>
      <c r="B16615">
        <v>383</v>
      </c>
      <c r="C16615" s="1" t="str">
        <f>HYPERLINK("http://www.rosaceae.org/gb/gbrowse/malus_x_domestica/?name=MDP0000774306","MDP0000774306")</f>
        <v>MDP0000774306</v>
      </c>
      <c r="D16615">
        <v>39.24</v>
      </c>
      <c r="E16615">
        <v>237</v>
      </c>
      <c r="F16615">
        <v>144</v>
      </c>
      <c r="G16615">
        <v>8</v>
      </c>
      <c r="H16615">
        <v>118</v>
      </c>
      <c r="I16615">
        <v>349</v>
      </c>
      <c r="J16615">
        <v>1</v>
      </c>
      <c r="K16615">
        <v>110</v>
      </c>
      <c r="L16615">
        <v>343</v>
      </c>
      <c r="M16615">
        <v>1</v>
      </c>
      <c r="N16615">
        <v>2.1362899999999998E-28</v>
      </c>
      <c r="O16615">
        <v>310</v>
      </c>
    </row>
    <row r="16616" spans="1:15" x14ac:dyDescent="0.25">
      <c r="A16616" t="s">
        <v>16629</v>
      </c>
      <c r="B16616">
        <v>660</v>
      </c>
      <c r="C16616" s="1" t="str">
        <f>HYPERLINK("http://www.rosaceae.org/gb/gbrowse/malus_x_domestica/?name=MDP0000186402","MDP0000186402")</f>
        <v>MDP0000186402</v>
      </c>
      <c r="D16616">
        <v>26.96</v>
      </c>
      <c r="E16616">
        <v>204</v>
      </c>
      <c r="F16616">
        <v>149</v>
      </c>
      <c r="G16616">
        <v>13</v>
      </c>
      <c r="H16616">
        <v>20</v>
      </c>
      <c r="I16616">
        <v>222</v>
      </c>
      <c r="J16616">
        <v>1</v>
      </c>
      <c r="K16616">
        <v>120</v>
      </c>
      <c r="L16616">
        <v>311</v>
      </c>
      <c r="M16616">
        <v>1</v>
      </c>
      <c r="N16616">
        <v>2.0325300000000001E-13</v>
      </c>
      <c r="O16616">
        <v>183</v>
      </c>
    </row>
    <row r="16617" spans="1:15" x14ac:dyDescent="0.25">
      <c r="A16617" t="s">
        <v>16630</v>
      </c>
      <c r="B16617">
        <v>967</v>
      </c>
      <c r="C16617" s="1" t="str">
        <f>HYPERLINK("http://www.rosaceae.org/gb/gbrowse/malus_x_domestica/?name=MDP0000853168","MDP0000853168")</f>
        <v>MDP0000853168</v>
      </c>
      <c r="D16617">
        <v>88.61</v>
      </c>
      <c r="E16617">
        <v>782</v>
      </c>
      <c r="F16617">
        <v>89</v>
      </c>
      <c r="G16617">
        <v>2</v>
      </c>
      <c r="H16617">
        <v>1</v>
      </c>
      <c r="I16617">
        <v>781</v>
      </c>
      <c r="J16617">
        <v>1</v>
      </c>
      <c r="K16617">
        <v>1</v>
      </c>
      <c r="L16617">
        <v>781</v>
      </c>
      <c r="M16617">
        <v>1</v>
      </c>
      <c r="N16617">
        <v>0</v>
      </c>
      <c r="O16617">
        <v>3740</v>
      </c>
    </row>
    <row r="16618" spans="1:15" x14ac:dyDescent="0.25">
      <c r="A16618" t="s">
        <v>16631</v>
      </c>
      <c r="B16618">
        <v>483</v>
      </c>
      <c r="C16618" s="1" t="str">
        <f>HYPERLINK("http://www.rosaceae.org/gb/gbrowse/malus_x_domestica/?name=MDP0000320618","MDP0000320618")</f>
        <v>MDP0000320618</v>
      </c>
      <c r="D16618">
        <v>75.099999999999994</v>
      </c>
      <c r="E16618">
        <v>478</v>
      </c>
      <c r="F16618">
        <v>119</v>
      </c>
      <c r="G16618">
        <v>8</v>
      </c>
      <c r="H16618">
        <v>1</v>
      </c>
      <c r="I16618">
        <v>470</v>
      </c>
      <c r="J16618">
        <v>1</v>
      </c>
      <c r="K16618">
        <v>62</v>
      </c>
      <c r="L16618">
        <v>539</v>
      </c>
      <c r="M16618">
        <v>1</v>
      </c>
      <c r="N16618">
        <v>0</v>
      </c>
      <c r="O16618">
        <v>1763</v>
      </c>
    </row>
    <row r="16619" spans="1:15" x14ac:dyDescent="0.25">
      <c r="A16619" t="s">
        <v>16632</v>
      </c>
      <c r="B16619">
        <v>141</v>
      </c>
      <c r="C16619" s="1" t="str">
        <f>HYPERLINK("http://www.rosaceae.org/gb/gbrowse/malus_x_domestica/?name=MDP0000244957","MDP0000244957")</f>
        <v>MDP0000244957</v>
      </c>
      <c r="D16619">
        <v>88.88</v>
      </c>
      <c r="E16619">
        <v>126</v>
      </c>
      <c r="F16619">
        <v>14</v>
      </c>
      <c r="G16619">
        <v>0</v>
      </c>
      <c r="H16619">
        <v>1</v>
      </c>
      <c r="I16619">
        <v>126</v>
      </c>
      <c r="J16619">
        <v>1</v>
      </c>
      <c r="K16619">
        <v>1</v>
      </c>
      <c r="L16619">
        <v>126</v>
      </c>
      <c r="M16619">
        <v>1</v>
      </c>
      <c r="N16619">
        <v>1.18426E-70</v>
      </c>
      <c r="O16619">
        <v>668</v>
      </c>
    </row>
    <row r="16620" spans="1:15" x14ac:dyDescent="0.25">
      <c r="A16620" t="s">
        <v>16633</v>
      </c>
      <c r="B16620">
        <v>391</v>
      </c>
      <c r="C16620" s="1" t="str">
        <f>HYPERLINK("http://www.rosaceae.org/gb/gbrowse/malus_x_domestica/?name=MDP0000140655","MDP0000140655")</f>
        <v>MDP0000140655</v>
      </c>
      <c r="D16620">
        <v>63.34</v>
      </c>
      <c r="E16620">
        <v>281</v>
      </c>
      <c r="F16620">
        <v>103</v>
      </c>
      <c r="G16620">
        <v>24</v>
      </c>
      <c r="H16620">
        <v>112</v>
      </c>
      <c r="I16620">
        <v>372</v>
      </c>
      <c r="J16620">
        <v>1</v>
      </c>
      <c r="K16620">
        <v>37</v>
      </c>
      <c r="L16620">
        <v>313</v>
      </c>
      <c r="M16620">
        <v>1</v>
      </c>
      <c r="N16620">
        <v>8.9833899999999993E-93</v>
      </c>
      <c r="O16620">
        <v>865</v>
      </c>
    </row>
    <row r="16621" spans="1:15" x14ac:dyDescent="0.25">
      <c r="A16621" t="s">
        <v>16634</v>
      </c>
      <c r="B16621">
        <v>191</v>
      </c>
      <c r="C16621" s="1" t="str">
        <f>HYPERLINK("http://www.rosaceae.org/gb/gbrowse/malus_x_domestica/?name=MDP0000713652","MDP0000713652")</f>
        <v>MDP0000713652</v>
      </c>
      <c r="D16621">
        <v>65.5</v>
      </c>
      <c r="E16621">
        <v>200</v>
      </c>
      <c r="F16621">
        <v>69</v>
      </c>
      <c r="G16621">
        <v>11</v>
      </c>
      <c r="H16621">
        <v>1</v>
      </c>
      <c r="I16621">
        <v>191</v>
      </c>
      <c r="J16621">
        <v>1</v>
      </c>
      <c r="K16621">
        <v>1</v>
      </c>
      <c r="L16621">
        <v>198</v>
      </c>
      <c r="M16621">
        <v>1</v>
      </c>
      <c r="N16621">
        <v>9.8031099999999996E-64</v>
      </c>
      <c r="O16621">
        <v>611</v>
      </c>
    </row>
    <row r="16622" spans="1:15" x14ac:dyDescent="0.25">
      <c r="A16622" t="s">
        <v>16635</v>
      </c>
      <c r="B16622">
        <v>646</v>
      </c>
      <c r="C16622" s="1" t="str">
        <f>HYPERLINK("http://www.rosaceae.org/gb/gbrowse/malus_x_domestica/?name=MDP0000210534","MDP0000210534")</f>
        <v>MDP0000210534</v>
      </c>
      <c r="D16622">
        <v>54.4</v>
      </c>
      <c r="E16622">
        <v>693</v>
      </c>
      <c r="F16622">
        <v>316</v>
      </c>
      <c r="G16622">
        <v>75</v>
      </c>
      <c r="H16622">
        <v>1</v>
      </c>
      <c r="I16622">
        <v>646</v>
      </c>
      <c r="J16622">
        <v>1</v>
      </c>
      <c r="K16622">
        <v>1</v>
      </c>
      <c r="L16622">
        <v>665</v>
      </c>
      <c r="M16622">
        <v>1</v>
      </c>
      <c r="N16622">
        <v>0</v>
      </c>
      <c r="O16622">
        <v>1767</v>
      </c>
    </row>
    <row r="16623" spans="1:15" x14ac:dyDescent="0.25">
      <c r="A16623" t="s">
        <v>16636</v>
      </c>
      <c r="B16623">
        <v>305</v>
      </c>
      <c r="C16623" s="1" t="str">
        <f>HYPERLINK("http://www.rosaceae.org/gb/gbrowse/malus_x_domestica/?name=MDP0000217521","MDP0000217521")</f>
        <v>MDP0000217521</v>
      </c>
      <c r="D16623">
        <v>61.89</v>
      </c>
      <c r="E16623">
        <v>391</v>
      </c>
      <c r="F16623">
        <v>149</v>
      </c>
      <c r="G16623">
        <v>88</v>
      </c>
      <c r="H16623">
        <v>1</v>
      </c>
      <c r="I16623">
        <v>305</v>
      </c>
      <c r="J16623">
        <v>1</v>
      </c>
      <c r="K16623">
        <v>1</v>
      </c>
      <c r="L16623">
        <v>389</v>
      </c>
      <c r="M16623">
        <v>1</v>
      </c>
      <c r="N16623">
        <v>6.1839399999999996E-121</v>
      </c>
      <c r="O16623">
        <v>1107</v>
      </c>
    </row>
    <row r="16624" spans="1:15" x14ac:dyDescent="0.25">
      <c r="A16624" t="s">
        <v>16637</v>
      </c>
      <c r="B16624">
        <v>138</v>
      </c>
      <c r="C16624" s="1" t="str">
        <f>HYPERLINK("http://www.rosaceae.org/gb/gbrowse/malus_x_domestica/?name=MDP0000288980","MDP0000288980")</f>
        <v>MDP0000288980</v>
      </c>
      <c r="D16624">
        <v>33.01</v>
      </c>
      <c r="E16624">
        <v>106</v>
      </c>
      <c r="F16624">
        <v>71</v>
      </c>
      <c r="G16624">
        <v>5</v>
      </c>
      <c r="H16624">
        <v>34</v>
      </c>
      <c r="I16624">
        <v>135</v>
      </c>
      <c r="J16624">
        <v>1</v>
      </c>
      <c r="K16624">
        <v>395</v>
      </c>
      <c r="L16624">
        <v>499</v>
      </c>
      <c r="M16624">
        <v>1</v>
      </c>
      <c r="N16624">
        <v>6.9112299999999993E-8</v>
      </c>
      <c r="O16624">
        <v>127</v>
      </c>
    </row>
    <row r="16625" spans="1:15" x14ac:dyDescent="0.25">
      <c r="A16625" t="s">
        <v>16638</v>
      </c>
      <c r="B16625">
        <v>507</v>
      </c>
      <c r="C16625" s="1" t="str">
        <f>HYPERLINK("http://www.rosaceae.org/gb/gbrowse/malus_x_domestica/?name=MDP0000326344","MDP0000326344")</f>
        <v>MDP0000326344</v>
      </c>
      <c r="D16625">
        <v>79.25</v>
      </c>
      <c r="E16625">
        <v>347</v>
      </c>
      <c r="F16625">
        <v>72</v>
      </c>
      <c r="G16625">
        <v>1</v>
      </c>
      <c r="H16625">
        <v>27</v>
      </c>
      <c r="I16625">
        <v>373</v>
      </c>
      <c r="J16625">
        <v>1</v>
      </c>
      <c r="K16625">
        <v>27</v>
      </c>
      <c r="L16625">
        <v>372</v>
      </c>
      <c r="M16625">
        <v>1</v>
      </c>
      <c r="N16625">
        <v>6.2815399999999995E-163</v>
      </c>
      <c r="O16625">
        <v>1472</v>
      </c>
    </row>
    <row r="16626" spans="1:15" x14ac:dyDescent="0.25">
      <c r="A16626" t="s">
        <v>16639</v>
      </c>
      <c r="B16626">
        <v>483</v>
      </c>
      <c r="C16626" s="1" t="str">
        <f>HYPERLINK("http://www.rosaceae.org/gb/gbrowse/malus_x_domestica/?name=MDP0000240373","MDP0000240373")</f>
        <v>MDP0000240373</v>
      </c>
      <c r="D16626">
        <v>47.62</v>
      </c>
      <c r="E16626">
        <v>485</v>
      </c>
      <c r="F16626">
        <v>254</v>
      </c>
      <c r="G16626">
        <v>29</v>
      </c>
      <c r="H16626">
        <v>4</v>
      </c>
      <c r="I16626">
        <v>470</v>
      </c>
      <c r="J16626">
        <v>1</v>
      </c>
      <c r="K16626">
        <v>2</v>
      </c>
      <c r="L16626">
        <v>475</v>
      </c>
      <c r="M16626">
        <v>1</v>
      </c>
      <c r="N16626">
        <v>2.2995100000000001E-99</v>
      </c>
      <c r="O16626">
        <v>923</v>
      </c>
    </row>
    <row r="16627" spans="1:15" x14ac:dyDescent="0.25">
      <c r="A16627" t="s">
        <v>16640</v>
      </c>
      <c r="B16627">
        <v>723</v>
      </c>
      <c r="C16627" s="1" t="str">
        <f>HYPERLINK("http://www.rosaceae.org/gb/gbrowse/malus_x_domestica/?name=MDP0000436155","MDP0000436155")</f>
        <v>MDP0000436155</v>
      </c>
      <c r="D16627">
        <v>76.69</v>
      </c>
      <c r="E16627">
        <v>515</v>
      </c>
      <c r="F16627">
        <v>120</v>
      </c>
      <c r="G16627">
        <v>1</v>
      </c>
      <c r="H16627">
        <v>81</v>
      </c>
      <c r="I16627">
        <v>594</v>
      </c>
      <c r="J16627">
        <v>1</v>
      </c>
      <c r="K16627">
        <v>61</v>
      </c>
      <c r="L16627">
        <v>575</v>
      </c>
      <c r="M16627">
        <v>1</v>
      </c>
      <c r="N16627">
        <v>0</v>
      </c>
      <c r="O16627">
        <v>2130</v>
      </c>
    </row>
    <row r="16628" spans="1:15" x14ac:dyDescent="0.25">
      <c r="A16628" t="s">
        <v>16641</v>
      </c>
      <c r="B16628">
        <v>669</v>
      </c>
      <c r="C16628" s="1" t="str">
        <f>HYPERLINK("http://www.rosaceae.org/gb/gbrowse/malus_x_domestica/?name=MDP0000139654","MDP0000139654")</f>
        <v>MDP0000139654</v>
      </c>
      <c r="D16628">
        <v>65</v>
      </c>
      <c r="E16628">
        <v>700</v>
      </c>
      <c r="F16628">
        <v>245</v>
      </c>
      <c r="G16628">
        <v>35</v>
      </c>
      <c r="H16628">
        <v>1</v>
      </c>
      <c r="I16628">
        <v>668</v>
      </c>
      <c r="J16628">
        <v>1</v>
      </c>
      <c r="K16628">
        <v>1</v>
      </c>
      <c r="L16628">
        <v>697</v>
      </c>
      <c r="M16628">
        <v>1</v>
      </c>
      <c r="N16628">
        <v>0</v>
      </c>
      <c r="O16628">
        <v>2262</v>
      </c>
    </row>
    <row r="16629" spans="1:15" x14ac:dyDescent="0.25">
      <c r="A16629" t="s">
        <v>16642</v>
      </c>
      <c r="B16629">
        <v>327</v>
      </c>
      <c r="C16629" s="1" t="str">
        <f>HYPERLINK("http://www.rosaceae.org/gb/gbrowse/malus_x_domestica/?name=MDP0000233260","MDP0000233260")</f>
        <v>MDP0000233260</v>
      </c>
      <c r="D16629">
        <v>70.12</v>
      </c>
      <c r="E16629">
        <v>328</v>
      </c>
      <c r="F16629">
        <v>98</v>
      </c>
      <c r="G16629">
        <v>59</v>
      </c>
      <c r="H16629">
        <v>10</v>
      </c>
      <c r="I16629">
        <v>327</v>
      </c>
      <c r="J16629">
        <v>1</v>
      </c>
      <c r="K16629">
        <v>15</v>
      </c>
      <c r="L16629">
        <v>293</v>
      </c>
      <c r="M16629">
        <v>1</v>
      </c>
      <c r="N16629">
        <v>7.5829299999999995E-120</v>
      </c>
      <c r="O16629">
        <v>1098</v>
      </c>
    </row>
    <row r="16630" spans="1:15" x14ac:dyDescent="0.25">
      <c r="A16630" t="s">
        <v>16643</v>
      </c>
      <c r="B16630">
        <v>463</v>
      </c>
      <c r="C16630" s="1" t="str">
        <f>HYPERLINK("http://www.rosaceae.org/gb/gbrowse/malus_x_domestica/?name=MDP0000314160","MDP0000314160")</f>
        <v>MDP0000314160</v>
      </c>
      <c r="D16630">
        <v>77.650000000000006</v>
      </c>
      <c r="E16630">
        <v>470</v>
      </c>
      <c r="F16630">
        <v>105</v>
      </c>
      <c r="G16630">
        <v>15</v>
      </c>
      <c r="H16630">
        <v>1</v>
      </c>
      <c r="I16630">
        <v>463</v>
      </c>
      <c r="J16630">
        <v>1</v>
      </c>
      <c r="K16630">
        <v>1</v>
      </c>
      <c r="L16630">
        <v>462</v>
      </c>
      <c r="M16630">
        <v>1</v>
      </c>
      <c r="N16630">
        <v>0</v>
      </c>
      <c r="O16630">
        <v>1872</v>
      </c>
    </row>
    <row r="16631" spans="1:15" x14ac:dyDescent="0.25">
      <c r="A16631" t="s">
        <v>16644</v>
      </c>
      <c r="B16631">
        <v>954</v>
      </c>
      <c r="C16631" s="1" t="str">
        <f>HYPERLINK("http://www.rosaceae.org/gb/gbrowse/malus_x_domestica/?name=MDP0000435842","MDP0000435842")</f>
        <v>MDP0000435842</v>
      </c>
      <c r="D16631">
        <v>75.81</v>
      </c>
      <c r="E16631">
        <v>955</v>
      </c>
      <c r="F16631">
        <v>231</v>
      </c>
      <c r="G16631">
        <v>17</v>
      </c>
      <c r="H16631">
        <v>15</v>
      </c>
      <c r="I16631">
        <v>954</v>
      </c>
      <c r="J16631">
        <v>1</v>
      </c>
      <c r="K16631">
        <v>40</v>
      </c>
      <c r="L16631">
        <v>992</v>
      </c>
      <c r="M16631">
        <v>1</v>
      </c>
      <c r="N16631">
        <v>0</v>
      </c>
      <c r="O16631">
        <v>3669</v>
      </c>
    </row>
    <row r="16632" spans="1:15" x14ac:dyDescent="0.25">
      <c r="A16632" t="s">
        <v>16645</v>
      </c>
      <c r="B16632">
        <v>501</v>
      </c>
      <c r="C16632" s="1" t="str">
        <f>HYPERLINK("http://www.rosaceae.org/gb/gbrowse/malus_x_domestica/?name=MDP0000293966","MDP0000293966")</f>
        <v>MDP0000293966</v>
      </c>
      <c r="D16632">
        <v>81.69</v>
      </c>
      <c r="E16632">
        <v>497</v>
      </c>
      <c r="F16632">
        <v>91</v>
      </c>
      <c r="G16632">
        <v>6</v>
      </c>
      <c r="H16632">
        <v>2</v>
      </c>
      <c r="I16632">
        <v>496</v>
      </c>
      <c r="J16632">
        <v>1</v>
      </c>
      <c r="K16632">
        <v>40</v>
      </c>
      <c r="L16632">
        <v>532</v>
      </c>
      <c r="M16632">
        <v>1</v>
      </c>
      <c r="N16632">
        <v>0</v>
      </c>
      <c r="O16632">
        <v>2176</v>
      </c>
    </row>
    <row r="16633" spans="1:15" x14ac:dyDescent="0.25">
      <c r="A16633" t="s">
        <v>16646</v>
      </c>
      <c r="B16633">
        <v>387</v>
      </c>
      <c r="C16633" s="1" t="str">
        <f>HYPERLINK("http://www.rosaceae.org/gb/gbrowse/malus_x_domestica/?name=MDP0000231316","MDP0000231316")</f>
        <v>MDP0000231316</v>
      </c>
      <c r="D16633">
        <v>69</v>
      </c>
      <c r="E16633">
        <v>100</v>
      </c>
      <c r="F16633">
        <v>31</v>
      </c>
      <c r="G16633">
        <v>18</v>
      </c>
      <c r="H16633">
        <v>1</v>
      </c>
      <c r="I16633">
        <v>100</v>
      </c>
      <c r="J16633">
        <v>1</v>
      </c>
      <c r="K16633">
        <v>1</v>
      </c>
      <c r="L16633">
        <v>82</v>
      </c>
      <c r="M16633">
        <v>1</v>
      </c>
      <c r="N16633">
        <v>8.0843400000000005E-34</v>
      </c>
      <c r="O16633">
        <v>357</v>
      </c>
    </row>
    <row r="16634" spans="1:15" x14ac:dyDescent="0.25">
      <c r="A16634" t="s">
        <v>16647</v>
      </c>
      <c r="B16634">
        <v>405</v>
      </c>
      <c r="C16634" s="1" t="str">
        <f>HYPERLINK("http://www.rosaceae.org/gb/gbrowse/malus_x_domestica/?name=MDP0000309902","MDP0000309902")</f>
        <v>MDP0000309902</v>
      </c>
      <c r="D16634">
        <v>61.5</v>
      </c>
      <c r="E16634">
        <v>213</v>
      </c>
      <c r="F16634">
        <v>82</v>
      </c>
      <c r="G16634">
        <v>13</v>
      </c>
      <c r="H16634">
        <v>1</v>
      </c>
      <c r="I16634">
        <v>207</v>
      </c>
      <c r="J16634">
        <v>1</v>
      </c>
      <c r="K16634">
        <v>830</v>
      </c>
      <c r="L16634">
        <v>1035</v>
      </c>
      <c r="M16634">
        <v>1</v>
      </c>
      <c r="N16634">
        <v>1.5164000000000001E-67</v>
      </c>
      <c r="O16634">
        <v>648</v>
      </c>
    </row>
    <row r="16635" spans="1:15" x14ac:dyDescent="0.25">
      <c r="A16635" t="s">
        <v>16648</v>
      </c>
      <c r="B16635">
        <v>234</v>
      </c>
      <c r="C16635" s="1" t="str">
        <f>HYPERLINK("http://www.rosaceae.org/gb/gbrowse/malus_x_domestica/?name=MDP0000822673","MDP0000822673")</f>
        <v>MDP0000822673</v>
      </c>
      <c r="D16635">
        <v>67.52</v>
      </c>
      <c r="E16635">
        <v>234</v>
      </c>
      <c r="F16635">
        <v>76</v>
      </c>
      <c r="G16635">
        <v>8</v>
      </c>
      <c r="H16635">
        <v>1</v>
      </c>
      <c r="I16635">
        <v>234</v>
      </c>
      <c r="J16635">
        <v>1</v>
      </c>
      <c r="K16635">
        <v>1</v>
      </c>
      <c r="L16635">
        <v>226</v>
      </c>
      <c r="M16635">
        <v>1</v>
      </c>
      <c r="N16635">
        <v>1.15133E-81</v>
      </c>
      <c r="O16635">
        <v>767</v>
      </c>
    </row>
    <row r="16636" spans="1:15" x14ac:dyDescent="0.25">
      <c r="A16636" t="s">
        <v>16649</v>
      </c>
      <c r="B16636">
        <v>82</v>
      </c>
      <c r="C16636" s="1" t="str">
        <f>HYPERLINK("http://www.rosaceae.org/gb/gbrowse/malus_x_domestica/?name=MDP0000309881","MDP0000309881")</f>
        <v>MDP0000309881</v>
      </c>
      <c r="D16636">
        <v>87.8</v>
      </c>
      <c r="E16636">
        <v>82</v>
      </c>
      <c r="F16636">
        <v>10</v>
      </c>
      <c r="G16636">
        <v>0</v>
      </c>
      <c r="H16636">
        <v>1</v>
      </c>
      <c r="I16636">
        <v>82</v>
      </c>
      <c r="J16636">
        <v>1</v>
      </c>
      <c r="K16636">
        <v>33</v>
      </c>
      <c r="L16636">
        <v>114</v>
      </c>
      <c r="M16636">
        <v>1</v>
      </c>
      <c r="N16636">
        <v>2.6779099999999998E-37</v>
      </c>
      <c r="O16636">
        <v>379</v>
      </c>
    </row>
    <row r="16637" spans="1:15" x14ac:dyDescent="0.25">
      <c r="A16637" t="s">
        <v>16650</v>
      </c>
      <c r="B16637">
        <v>1871</v>
      </c>
      <c r="C16637" s="1" t="str">
        <f>HYPERLINK("http://www.rosaceae.org/gb/gbrowse/malus_x_domestica/?name=MDP0000186840","MDP0000186840")</f>
        <v>MDP0000186840</v>
      </c>
      <c r="D16637">
        <v>76.819999999999993</v>
      </c>
      <c r="E16637">
        <v>1674</v>
      </c>
      <c r="F16637">
        <v>388</v>
      </c>
      <c r="G16637">
        <v>69</v>
      </c>
      <c r="H16637">
        <v>1</v>
      </c>
      <c r="I16637">
        <v>1608</v>
      </c>
      <c r="J16637">
        <v>1</v>
      </c>
      <c r="K16637">
        <v>2</v>
      </c>
      <c r="L16637">
        <v>1672</v>
      </c>
      <c r="M16637">
        <v>1</v>
      </c>
      <c r="N16637">
        <v>0</v>
      </c>
      <c r="O16637">
        <v>6824</v>
      </c>
    </row>
    <row r="16638" spans="1:15" x14ac:dyDescent="0.25">
      <c r="A16638" t="s">
        <v>16651</v>
      </c>
      <c r="B16638">
        <v>182</v>
      </c>
      <c r="C16638" s="1" t="str">
        <f>HYPERLINK("http://www.rosaceae.org/gb/gbrowse/malus_x_domestica/?name=MDP0000297511","MDP0000297511")</f>
        <v>MDP0000297511</v>
      </c>
      <c r="D16638">
        <v>46.62</v>
      </c>
      <c r="E16638">
        <v>178</v>
      </c>
      <c r="F16638">
        <v>95</v>
      </c>
      <c r="G16638">
        <v>56</v>
      </c>
      <c r="H16638">
        <v>1</v>
      </c>
      <c r="I16638">
        <v>123</v>
      </c>
      <c r="J16638">
        <v>1</v>
      </c>
      <c r="K16638">
        <v>575</v>
      </c>
      <c r="L16638">
        <v>751</v>
      </c>
      <c r="M16638">
        <v>1</v>
      </c>
      <c r="N16638">
        <v>1.0283400000000001E-32</v>
      </c>
      <c r="O16638">
        <v>343</v>
      </c>
    </row>
    <row r="16639" spans="1:15" x14ac:dyDescent="0.25">
      <c r="A16639" t="s">
        <v>16652</v>
      </c>
      <c r="B16639">
        <v>188</v>
      </c>
      <c r="C16639" s="1" t="str">
        <f>HYPERLINK("http://www.rosaceae.org/gb/gbrowse/malus_x_domestica/?name=MDP0000225463","MDP0000225463")</f>
        <v>MDP0000225463</v>
      </c>
      <c r="D16639">
        <v>33.92</v>
      </c>
      <c r="E16639">
        <v>112</v>
      </c>
      <c r="F16639">
        <v>74</v>
      </c>
      <c r="G16639">
        <v>1</v>
      </c>
      <c r="H16639">
        <v>1</v>
      </c>
      <c r="I16639">
        <v>111</v>
      </c>
      <c r="J16639">
        <v>1</v>
      </c>
      <c r="K16639">
        <v>1</v>
      </c>
      <c r="L16639">
        <v>112</v>
      </c>
      <c r="M16639">
        <v>1</v>
      </c>
      <c r="N16639">
        <v>3.16853E-12</v>
      </c>
      <c r="O16639">
        <v>167</v>
      </c>
    </row>
    <row r="16640" spans="1:15" x14ac:dyDescent="0.25">
      <c r="A16640" t="s">
        <v>16653</v>
      </c>
      <c r="B16640">
        <v>520</v>
      </c>
      <c r="C16640" s="1" t="str">
        <f>HYPERLINK("http://www.rosaceae.org/gb/gbrowse/malus_x_domestica/?name=MDP0000278259","MDP0000278259")</f>
        <v>MDP0000278259</v>
      </c>
      <c r="D16640">
        <v>68.72</v>
      </c>
      <c r="E16640">
        <v>502</v>
      </c>
      <c r="F16640">
        <v>157</v>
      </c>
      <c r="G16640">
        <v>70</v>
      </c>
      <c r="H16640">
        <v>16</v>
      </c>
      <c r="I16640">
        <v>511</v>
      </c>
      <c r="J16640">
        <v>1</v>
      </c>
      <c r="K16640">
        <v>258</v>
      </c>
      <c r="L16640">
        <v>695</v>
      </c>
      <c r="M16640">
        <v>1</v>
      </c>
      <c r="N16640">
        <v>0</v>
      </c>
      <c r="O16640">
        <v>1761</v>
      </c>
    </row>
    <row r="16641" spans="1:15" x14ac:dyDescent="0.25">
      <c r="A16641" t="s">
        <v>16654</v>
      </c>
      <c r="B16641">
        <v>198</v>
      </c>
      <c r="C16641" s="1" t="str">
        <f>HYPERLINK("http://www.rosaceae.org/gb/gbrowse/malus_x_domestica/?name=MDP0000289705","MDP0000289705")</f>
        <v>MDP0000289705</v>
      </c>
      <c r="D16641">
        <v>80.13</v>
      </c>
      <c r="E16641">
        <v>146</v>
      </c>
      <c r="F16641">
        <v>29</v>
      </c>
      <c r="G16641">
        <v>0</v>
      </c>
      <c r="H16641">
        <v>53</v>
      </c>
      <c r="I16641">
        <v>198</v>
      </c>
      <c r="J16641">
        <v>1</v>
      </c>
      <c r="K16641">
        <v>226</v>
      </c>
      <c r="L16641">
        <v>371</v>
      </c>
      <c r="M16641">
        <v>1</v>
      </c>
      <c r="N16641">
        <v>2.26923E-66</v>
      </c>
      <c r="O16641">
        <v>634</v>
      </c>
    </row>
    <row r="16642" spans="1:15" x14ac:dyDescent="0.25">
      <c r="A16642" t="s">
        <v>16655</v>
      </c>
      <c r="B16642">
        <v>316</v>
      </c>
      <c r="C16642" s="1" t="str">
        <f>HYPERLINK("http://www.rosaceae.org/gb/gbrowse/malus_x_domestica/?name=MDP0000550058","MDP0000550058")</f>
        <v>MDP0000550058</v>
      </c>
      <c r="D16642">
        <v>50.92</v>
      </c>
      <c r="E16642">
        <v>324</v>
      </c>
      <c r="F16642">
        <v>159</v>
      </c>
      <c r="G16642">
        <v>22</v>
      </c>
      <c r="H16642">
        <v>10</v>
      </c>
      <c r="I16642">
        <v>314</v>
      </c>
      <c r="J16642">
        <v>1</v>
      </c>
      <c r="K16642">
        <v>20</v>
      </c>
      <c r="L16642">
        <v>340</v>
      </c>
      <c r="M16642">
        <v>1</v>
      </c>
      <c r="N16642">
        <v>1.31138E-70</v>
      </c>
      <c r="O16642">
        <v>673</v>
      </c>
    </row>
    <row r="16643" spans="1:15" x14ac:dyDescent="0.25">
      <c r="A16643" t="s">
        <v>16656</v>
      </c>
      <c r="B16643">
        <v>677</v>
      </c>
      <c r="C16643" s="1" t="str">
        <f>HYPERLINK("http://www.rosaceae.org/gb/gbrowse/malus_x_domestica/?name=MDP0000227554","MDP0000227554")</f>
        <v>MDP0000227554</v>
      </c>
      <c r="D16643">
        <v>66.56</v>
      </c>
      <c r="E16643">
        <v>673</v>
      </c>
      <c r="F16643">
        <v>225</v>
      </c>
      <c r="G16643">
        <v>26</v>
      </c>
      <c r="H16643">
        <v>10</v>
      </c>
      <c r="I16643">
        <v>676</v>
      </c>
      <c r="J16643">
        <v>1</v>
      </c>
      <c r="K16643">
        <v>251</v>
      </c>
      <c r="L16643">
        <v>903</v>
      </c>
      <c r="M16643">
        <v>1</v>
      </c>
      <c r="N16643">
        <v>0</v>
      </c>
      <c r="O16643">
        <v>2232</v>
      </c>
    </row>
    <row r="16644" spans="1:15" x14ac:dyDescent="0.25">
      <c r="A16644" t="s">
        <v>16657</v>
      </c>
      <c r="B16644">
        <v>573</v>
      </c>
      <c r="C16644" s="1" t="str">
        <f>HYPERLINK("http://www.rosaceae.org/gb/gbrowse/malus_x_domestica/?name=MDP0000244719","MDP0000244719")</f>
        <v>MDP0000244719</v>
      </c>
      <c r="D16644">
        <v>50.51</v>
      </c>
      <c r="E16644">
        <v>580</v>
      </c>
      <c r="F16644">
        <v>287</v>
      </c>
      <c r="G16644">
        <v>18</v>
      </c>
      <c r="H16644">
        <v>1</v>
      </c>
      <c r="I16644">
        <v>562</v>
      </c>
      <c r="J16644">
        <v>1</v>
      </c>
      <c r="K16644">
        <v>56</v>
      </c>
      <c r="L16644">
        <v>635</v>
      </c>
      <c r="M16644">
        <v>1</v>
      </c>
      <c r="N16644">
        <v>8.8198900000000006E-133</v>
      </c>
      <c r="O16644">
        <v>1212</v>
      </c>
    </row>
    <row r="16645" spans="1:15" x14ac:dyDescent="0.25">
      <c r="A16645" t="s">
        <v>16658</v>
      </c>
      <c r="B16645">
        <v>366</v>
      </c>
      <c r="C16645" s="1" t="str">
        <f>HYPERLINK("http://www.rosaceae.org/gb/gbrowse/malus_x_domestica/?name=MDP0000224586","MDP0000224586")</f>
        <v>MDP0000224586</v>
      </c>
      <c r="D16645">
        <v>44.89</v>
      </c>
      <c r="E16645">
        <v>343</v>
      </c>
      <c r="F16645">
        <v>189</v>
      </c>
      <c r="G16645">
        <v>5</v>
      </c>
      <c r="H16645">
        <v>8</v>
      </c>
      <c r="I16645">
        <v>350</v>
      </c>
      <c r="J16645">
        <v>1</v>
      </c>
      <c r="K16645">
        <v>6</v>
      </c>
      <c r="L16645">
        <v>343</v>
      </c>
      <c r="M16645">
        <v>1</v>
      </c>
      <c r="N16645">
        <v>1.1579000000000001E-81</v>
      </c>
      <c r="O16645">
        <v>769</v>
      </c>
    </row>
    <row r="16646" spans="1:15" x14ac:dyDescent="0.25">
      <c r="A16646" t="s">
        <v>16659</v>
      </c>
      <c r="B16646">
        <v>136</v>
      </c>
      <c r="C16646" s="1" t="str">
        <f>HYPERLINK("http://www.rosaceae.org/gb/gbrowse/malus_x_domestica/?name=MDP0000259301","MDP0000259301")</f>
        <v>MDP0000259301</v>
      </c>
      <c r="D16646">
        <v>74</v>
      </c>
      <c r="E16646">
        <v>50</v>
      </c>
      <c r="F16646">
        <v>13</v>
      </c>
      <c r="G16646">
        <v>1</v>
      </c>
      <c r="H16646">
        <v>2</v>
      </c>
      <c r="I16646">
        <v>50</v>
      </c>
      <c r="J16646">
        <v>1</v>
      </c>
      <c r="K16646">
        <v>851</v>
      </c>
      <c r="L16646">
        <v>900</v>
      </c>
      <c r="M16646">
        <v>1</v>
      </c>
      <c r="N16646">
        <v>3.30433E-13</v>
      </c>
      <c r="O16646">
        <v>172</v>
      </c>
    </row>
    <row r="16647" spans="1:15" x14ac:dyDescent="0.25">
      <c r="A16647" t="s">
        <v>16660</v>
      </c>
      <c r="B16647">
        <v>347</v>
      </c>
      <c r="C16647" s="1" t="str">
        <f>HYPERLINK("http://www.rosaceae.org/gb/gbrowse/malus_x_domestica/?name=MDP0000774306","MDP0000774306")</f>
        <v>MDP0000774306</v>
      </c>
      <c r="D16647">
        <v>40.86</v>
      </c>
      <c r="E16647">
        <v>345</v>
      </c>
      <c r="F16647">
        <v>204</v>
      </c>
      <c r="G16647">
        <v>39</v>
      </c>
      <c r="H16647">
        <v>6</v>
      </c>
      <c r="I16647">
        <v>321</v>
      </c>
      <c r="J16647">
        <v>1</v>
      </c>
      <c r="K16647">
        <v>2</v>
      </c>
      <c r="L16647">
        <v>336</v>
      </c>
      <c r="M16647">
        <v>1</v>
      </c>
      <c r="N16647">
        <v>2.1107E-50</v>
      </c>
      <c r="O16647">
        <v>499</v>
      </c>
    </row>
    <row r="16648" spans="1:15" x14ac:dyDescent="0.25">
      <c r="A16648" t="s">
        <v>16661</v>
      </c>
      <c r="B16648">
        <v>135</v>
      </c>
      <c r="C16648" s="1" t="str">
        <f>HYPERLINK("http://www.rosaceae.org/gb/gbrowse/malus_x_domestica/?name=MDP0000255057","MDP0000255057")</f>
        <v>MDP0000255057</v>
      </c>
      <c r="D16648">
        <v>72.22</v>
      </c>
      <c r="E16648">
        <v>54</v>
      </c>
      <c r="F16648">
        <v>15</v>
      </c>
      <c r="G16648">
        <v>0</v>
      </c>
      <c r="H16648">
        <v>82</v>
      </c>
      <c r="I16648">
        <v>135</v>
      </c>
      <c r="J16648">
        <v>1</v>
      </c>
      <c r="K16648">
        <v>663</v>
      </c>
      <c r="L16648">
        <v>716</v>
      </c>
      <c r="M16648">
        <v>1</v>
      </c>
      <c r="N16648">
        <v>1.6137399999999999E-17</v>
      </c>
      <c r="O16648">
        <v>209</v>
      </c>
    </row>
    <row r="16649" spans="1:15" x14ac:dyDescent="0.25">
      <c r="A16649" t="s">
        <v>16662</v>
      </c>
      <c r="B16649">
        <v>863</v>
      </c>
      <c r="C16649" s="1" t="str">
        <f>HYPERLINK("http://www.rosaceae.org/gb/gbrowse/malus_x_domestica/?name=MDP0000214252","MDP0000214252")</f>
        <v>MDP0000214252</v>
      </c>
      <c r="D16649">
        <v>58.28</v>
      </c>
      <c r="E16649">
        <v>966</v>
      </c>
      <c r="F16649">
        <v>403</v>
      </c>
      <c r="G16649">
        <v>113</v>
      </c>
      <c r="H16649">
        <v>1</v>
      </c>
      <c r="I16649">
        <v>863</v>
      </c>
      <c r="J16649">
        <v>1</v>
      </c>
      <c r="K16649">
        <v>1</v>
      </c>
      <c r="L16649">
        <v>956</v>
      </c>
      <c r="M16649">
        <v>1</v>
      </c>
      <c r="N16649">
        <v>0</v>
      </c>
      <c r="O16649">
        <v>2484</v>
      </c>
    </row>
    <row r="16650" spans="1:15" x14ac:dyDescent="0.25">
      <c r="A16650" t="s">
        <v>16663</v>
      </c>
      <c r="B16650">
        <v>747</v>
      </c>
      <c r="C16650" s="1" t="str">
        <f>HYPERLINK("http://www.rosaceae.org/gb/gbrowse/malus_x_domestica/?name=MDP0000267831","MDP0000267831")</f>
        <v>MDP0000267831</v>
      </c>
      <c r="D16650">
        <v>60.39</v>
      </c>
      <c r="E16650">
        <v>563</v>
      </c>
      <c r="F16650">
        <v>223</v>
      </c>
      <c r="G16650">
        <v>27</v>
      </c>
      <c r="H16650">
        <v>208</v>
      </c>
      <c r="I16650">
        <v>747</v>
      </c>
      <c r="J16650">
        <v>1</v>
      </c>
      <c r="K16650">
        <v>25</v>
      </c>
      <c r="L16650">
        <v>583</v>
      </c>
      <c r="M16650">
        <v>1</v>
      </c>
      <c r="N16650">
        <v>2.7120699999999999E-168</v>
      </c>
      <c r="O16650">
        <v>1520</v>
      </c>
    </row>
    <row r="16651" spans="1:15" x14ac:dyDescent="0.25">
      <c r="A16651" t="s">
        <v>16664</v>
      </c>
      <c r="B16651">
        <v>244</v>
      </c>
      <c r="C16651" s="1" t="str">
        <f>HYPERLINK("http://www.rosaceae.org/gb/gbrowse/malus_x_domestica/?name=MDP0000517601","MDP0000517601")</f>
        <v>MDP0000517601</v>
      </c>
      <c r="D16651">
        <v>73.680000000000007</v>
      </c>
      <c r="E16651">
        <v>190</v>
      </c>
      <c r="F16651">
        <v>50</v>
      </c>
      <c r="G16651">
        <v>0</v>
      </c>
      <c r="H16651">
        <v>35</v>
      </c>
      <c r="I16651">
        <v>224</v>
      </c>
      <c r="J16651">
        <v>1</v>
      </c>
      <c r="K16651">
        <v>105</v>
      </c>
      <c r="L16651">
        <v>294</v>
      </c>
      <c r="M16651">
        <v>1</v>
      </c>
      <c r="N16651">
        <v>1.4336099999999999E-83</v>
      </c>
      <c r="O16651">
        <v>783</v>
      </c>
    </row>
    <row r="16652" spans="1:15" x14ac:dyDescent="0.25">
      <c r="A16652" t="s">
        <v>16665</v>
      </c>
      <c r="B16652">
        <v>220</v>
      </c>
      <c r="C16652" s="1" t="str">
        <f>HYPERLINK("http://www.rosaceae.org/gb/gbrowse/malus_x_domestica/?name=MDP0000148485","MDP0000148485")</f>
        <v>MDP0000148485</v>
      </c>
      <c r="D16652">
        <v>58.01</v>
      </c>
      <c r="E16652">
        <v>212</v>
      </c>
      <c r="F16652">
        <v>89</v>
      </c>
      <c r="G16652">
        <v>5</v>
      </c>
      <c r="H16652">
        <v>11</v>
      </c>
      <c r="I16652">
        <v>220</v>
      </c>
      <c r="J16652">
        <v>1</v>
      </c>
      <c r="K16652">
        <v>8</v>
      </c>
      <c r="L16652">
        <v>216</v>
      </c>
      <c r="M16652">
        <v>1</v>
      </c>
      <c r="N16652">
        <v>4.4004799999999998E-67</v>
      </c>
      <c r="O16652">
        <v>641</v>
      </c>
    </row>
    <row r="16653" spans="1:15" x14ac:dyDescent="0.25">
      <c r="A16653" t="s">
        <v>16666</v>
      </c>
      <c r="B16653">
        <v>472</v>
      </c>
      <c r="C16653" s="1" t="str">
        <f>HYPERLINK("http://www.rosaceae.org/gb/gbrowse/malus_x_domestica/?name=MDP0000221563","MDP0000221563")</f>
        <v>MDP0000221563</v>
      </c>
      <c r="D16653">
        <v>65.599999999999994</v>
      </c>
      <c r="E16653">
        <v>471</v>
      </c>
      <c r="F16653">
        <v>162</v>
      </c>
      <c r="G16653">
        <v>10</v>
      </c>
      <c r="H16653">
        <v>10</v>
      </c>
      <c r="I16653">
        <v>472</v>
      </c>
      <c r="J16653">
        <v>1</v>
      </c>
      <c r="K16653">
        <v>5</v>
      </c>
      <c r="L16653">
        <v>473</v>
      </c>
      <c r="M16653">
        <v>1</v>
      </c>
      <c r="N16653">
        <v>4.7826499999999997E-176</v>
      </c>
      <c r="O16653">
        <v>1584</v>
      </c>
    </row>
    <row r="16654" spans="1:15" x14ac:dyDescent="0.25">
      <c r="A16654" t="s">
        <v>16667</v>
      </c>
      <c r="B16654">
        <v>387</v>
      </c>
      <c r="C16654" s="1" t="str">
        <f>HYPERLINK("http://www.rosaceae.org/gb/gbrowse/malus_x_domestica/?name=MDP0000178906","MDP0000178906")</f>
        <v>MDP0000178906</v>
      </c>
      <c r="D16654">
        <v>83.26</v>
      </c>
      <c r="E16654">
        <v>239</v>
      </c>
      <c r="F16654">
        <v>40</v>
      </c>
      <c r="G16654">
        <v>6</v>
      </c>
      <c r="H16654">
        <v>58</v>
      </c>
      <c r="I16654">
        <v>295</v>
      </c>
      <c r="J16654">
        <v>1</v>
      </c>
      <c r="K16654">
        <v>267</v>
      </c>
      <c r="L16654">
        <v>500</v>
      </c>
      <c r="M16654">
        <v>1</v>
      </c>
      <c r="N16654">
        <v>1.51519E-111</v>
      </c>
      <c r="O16654">
        <v>1027</v>
      </c>
    </row>
    <row r="16655" spans="1:15" x14ac:dyDescent="0.25">
      <c r="A16655" t="s">
        <v>16668</v>
      </c>
      <c r="B16655">
        <v>860</v>
      </c>
      <c r="C16655" s="1" t="str">
        <f>HYPERLINK("http://www.rosaceae.org/gb/gbrowse/malus_x_domestica/?name=MDP0000420368","MDP0000420368")</f>
        <v>MDP0000420368</v>
      </c>
      <c r="D16655">
        <v>72.790000000000006</v>
      </c>
      <c r="E16655">
        <v>838</v>
      </c>
      <c r="F16655">
        <v>228</v>
      </c>
      <c r="G16655">
        <v>13</v>
      </c>
      <c r="H16655">
        <v>29</v>
      </c>
      <c r="I16655">
        <v>860</v>
      </c>
      <c r="J16655">
        <v>1</v>
      </c>
      <c r="K16655">
        <v>30</v>
      </c>
      <c r="L16655">
        <v>860</v>
      </c>
      <c r="M16655">
        <v>1</v>
      </c>
      <c r="N16655">
        <v>0</v>
      </c>
      <c r="O16655">
        <v>3235</v>
      </c>
    </row>
    <row r="16656" spans="1:15" x14ac:dyDescent="0.25">
      <c r="A16656" t="s">
        <v>16669</v>
      </c>
      <c r="B16656">
        <v>327</v>
      </c>
      <c r="C16656" s="1" t="str">
        <f>HYPERLINK("http://www.rosaceae.org/gb/gbrowse/malus_x_domestica/?name=MDP0000209369","MDP0000209369")</f>
        <v>MDP0000209369</v>
      </c>
      <c r="D16656">
        <v>79.81</v>
      </c>
      <c r="E16656">
        <v>327</v>
      </c>
      <c r="F16656">
        <v>66</v>
      </c>
      <c r="G16656">
        <v>22</v>
      </c>
      <c r="H16656">
        <v>1</v>
      </c>
      <c r="I16656">
        <v>327</v>
      </c>
      <c r="J16656">
        <v>1</v>
      </c>
      <c r="K16656">
        <v>1</v>
      </c>
      <c r="L16656">
        <v>305</v>
      </c>
      <c r="M16656">
        <v>1</v>
      </c>
      <c r="N16656">
        <v>6.4170699999999999E-149</v>
      </c>
      <c r="O16656">
        <v>1349</v>
      </c>
    </row>
    <row r="16657" spans="1:15" x14ac:dyDescent="0.25">
      <c r="A16657" t="s">
        <v>16670</v>
      </c>
      <c r="B16657">
        <v>657</v>
      </c>
      <c r="C16657" s="1" t="str">
        <f>HYPERLINK("http://www.rosaceae.org/gb/gbrowse/malus_x_domestica/?name=MDP0000314736","MDP0000314736")</f>
        <v>MDP0000314736</v>
      </c>
      <c r="D16657">
        <v>78.680000000000007</v>
      </c>
      <c r="E16657">
        <v>610</v>
      </c>
      <c r="F16657">
        <v>130</v>
      </c>
      <c r="G16657">
        <v>5</v>
      </c>
      <c r="H16657">
        <v>48</v>
      </c>
      <c r="I16657">
        <v>657</v>
      </c>
      <c r="J16657">
        <v>1</v>
      </c>
      <c r="K16657">
        <v>19</v>
      </c>
      <c r="L16657">
        <v>623</v>
      </c>
      <c r="M16657">
        <v>1</v>
      </c>
      <c r="N16657">
        <v>0</v>
      </c>
      <c r="O16657">
        <v>2645</v>
      </c>
    </row>
    <row r="16658" spans="1:15" x14ac:dyDescent="0.25">
      <c r="A16658" t="s">
        <v>16671</v>
      </c>
      <c r="B16658">
        <v>1310</v>
      </c>
      <c r="C16658" s="1" t="str">
        <f>HYPERLINK("http://www.rosaceae.org/gb/gbrowse/malus_x_domestica/?name=MDP0000252164","MDP0000252164")</f>
        <v>MDP0000252164</v>
      </c>
      <c r="D16658">
        <v>64.430000000000007</v>
      </c>
      <c r="E16658">
        <v>1344</v>
      </c>
      <c r="F16658">
        <v>478</v>
      </c>
      <c r="G16658">
        <v>40</v>
      </c>
      <c r="H16658">
        <v>1</v>
      </c>
      <c r="I16658">
        <v>1305</v>
      </c>
      <c r="J16658">
        <v>1</v>
      </c>
      <c r="K16658">
        <v>1</v>
      </c>
      <c r="L16658">
        <v>1343</v>
      </c>
      <c r="M16658">
        <v>1</v>
      </c>
      <c r="N16658">
        <v>0</v>
      </c>
      <c r="O16658">
        <v>4465</v>
      </c>
    </row>
    <row r="16659" spans="1:15" x14ac:dyDescent="0.25">
      <c r="A16659" t="s">
        <v>16672</v>
      </c>
      <c r="B16659">
        <v>405</v>
      </c>
      <c r="C16659" s="1" t="str">
        <f>HYPERLINK("http://www.rosaceae.org/gb/gbrowse/malus_x_domestica/?name=MDP0000262367","MDP0000262367")</f>
        <v>MDP0000262367</v>
      </c>
      <c r="D16659">
        <v>50.12</v>
      </c>
      <c r="E16659">
        <v>407</v>
      </c>
      <c r="F16659">
        <v>203</v>
      </c>
      <c r="G16659">
        <v>13</v>
      </c>
      <c r="H16659">
        <v>1</v>
      </c>
      <c r="I16659">
        <v>396</v>
      </c>
      <c r="J16659">
        <v>1</v>
      </c>
      <c r="K16659">
        <v>1</v>
      </c>
      <c r="L16659">
        <v>405</v>
      </c>
      <c r="M16659">
        <v>1</v>
      </c>
      <c r="N16659">
        <v>1.65821E-104</v>
      </c>
      <c r="O16659">
        <v>967</v>
      </c>
    </row>
    <row r="16660" spans="1:15" x14ac:dyDescent="0.25">
      <c r="A16660" t="s">
        <v>16673</v>
      </c>
      <c r="B16660">
        <v>179</v>
      </c>
      <c r="C16660" s="1" t="str">
        <f>HYPERLINK("http://www.rosaceae.org/gb/gbrowse/malus_x_domestica/?name=MDP0000406379","MDP0000406379")</f>
        <v>MDP0000406379</v>
      </c>
      <c r="D16660">
        <v>41.58</v>
      </c>
      <c r="E16660">
        <v>101</v>
      </c>
      <c r="F16660">
        <v>59</v>
      </c>
      <c r="G16660">
        <v>5</v>
      </c>
      <c r="H16660">
        <v>23</v>
      </c>
      <c r="I16660">
        <v>122</v>
      </c>
      <c r="J16660">
        <v>1</v>
      </c>
      <c r="K16660">
        <v>286</v>
      </c>
      <c r="L16660">
        <v>382</v>
      </c>
      <c r="M16660">
        <v>1</v>
      </c>
      <c r="N16660">
        <v>4.0897599999999998E-10</v>
      </c>
      <c r="O16660">
        <v>148</v>
      </c>
    </row>
    <row r="16661" spans="1:15" x14ac:dyDescent="0.25">
      <c r="A16661" t="s">
        <v>16674</v>
      </c>
      <c r="B16661">
        <v>344</v>
      </c>
      <c r="C16661" s="1" t="str">
        <f>HYPERLINK("http://www.rosaceae.org/gb/gbrowse/malus_x_domestica/?name=MDP0000312342","MDP0000312342")</f>
        <v>MDP0000312342</v>
      </c>
      <c r="D16661">
        <v>31.27</v>
      </c>
      <c r="E16661">
        <v>227</v>
      </c>
      <c r="F16661">
        <v>156</v>
      </c>
      <c r="G16661">
        <v>51</v>
      </c>
      <c r="H16661">
        <v>11</v>
      </c>
      <c r="I16661">
        <v>222</v>
      </c>
      <c r="J16661">
        <v>1</v>
      </c>
      <c r="K16661">
        <v>5</v>
      </c>
      <c r="L16661">
        <v>195</v>
      </c>
      <c r="M16661">
        <v>1</v>
      </c>
      <c r="N16661">
        <v>1.3073399999999999E-19</v>
      </c>
      <c r="O16661">
        <v>234</v>
      </c>
    </row>
    <row r="16662" spans="1:15" x14ac:dyDescent="0.25">
      <c r="A16662" t="s">
        <v>16675</v>
      </c>
      <c r="B16662">
        <v>1057</v>
      </c>
      <c r="C16662" s="1" t="str">
        <f>HYPERLINK("http://www.rosaceae.org/gb/gbrowse/malus_x_domestica/?name=MDP0000206961","MDP0000206961")</f>
        <v>MDP0000206961</v>
      </c>
      <c r="D16662">
        <v>81.55</v>
      </c>
      <c r="E16662">
        <v>1057</v>
      </c>
      <c r="F16662">
        <v>195</v>
      </c>
      <c r="G16662">
        <v>2</v>
      </c>
      <c r="H16662">
        <v>1</v>
      </c>
      <c r="I16662">
        <v>1057</v>
      </c>
      <c r="J16662">
        <v>1</v>
      </c>
      <c r="K16662">
        <v>1</v>
      </c>
      <c r="L16662">
        <v>1055</v>
      </c>
      <c r="M16662">
        <v>1</v>
      </c>
      <c r="N16662">
        <v>0</v>
      </c>
      <c r="O16662">
        <v>4399</v>
      </c>
    </row>
    <row r="16663" spans="1:15" x14ac:dyDescent="0.25">
      <c r="A16663" t="s">
        <v>16676</v>
      </c>
      <c r="B16663">
        <v>248</v>
      </c>
      <c r="C16663" s="1" t="str">
        <f>HYPERLINK("http://www.rosaceae.org/gb/gbrowse/malus_x_domestica/?name=MDP0000945764","MDP0000945764")</f>
        <v>MDP0000945764</v>
      </c>
      <c r="D16663">
        <v>61.53</v>
      </c>
      <c r="E16663">
        <v>195</v>
      </c>
      <c r="F16663">
        <v>75</v>
      </c>
      <c r="G16663">
        <v>14</v>
      </c>
      <c r="H16663">
        <v>63</v>
      </c>
      <c r="I16663">
        <v>248</v>
      </c>
      <c r="J16663">
        <v>1</v>
      </c>
      <c r="K16663">
        <v>52</v>
      </c>
      <c r="L16663">
        <v>241</v>
      </c>
      <c r="M16663">
        <v>1</v>
      </c>
      <c r="N16663">
        <v>2.3618499999999999E-39</v>
      </c>
      <c r="O16663">
        <v>402</v>
      </c>
    </row>
    <row r="16664" spans="1:15" x14ac:dyDescent="0.25">
      <c r="A16664" t="s">
        <v>16677</v>
      </c>
      <c r="B16664">
        <v>2272</v>
      </c>
      <c r="C16664" s="1" t="str">
        <f>HYPERLINK("http://www.rosaceae.org/gb/gbrowse/malus_x_domestica/?name=MDP0000300962","MDP0000300962")</f>
        <v>MDP0000300962</v>
      </c>
      <c r="D16664">
        <v>75.06</v>
      </c>
      <c r="E16664">
        <v>1997</v>
      </c>
      <c r="F16664">
        <v>498</v>
      </c>
      <c r="G16664">
        <v>69</v>
      </c>
      <c r="H16664">
        <v>22</v>
      </c>
      <c r="I16664">
        <v>1994</v>
      </c>
      <c r="J16664">
        <v>1</v>
      </c>
      <c r="K16664">
        <v>239</v>
      </c>
      <c r="L16664">
        <v>2190</v>
      </c>
      <c r="M16664">
        <v>1</v>
      </c>
      <c r="N16664">
        <v>0</v>
      </c>
      <c r="O16664">
        <v>7754</v>
      </c>
    </row>
    <row r="16665" spans="1:15" x14ac:dyDescent="0.25">
      <c r="A16665" t="s">
        <v>16678</v>
      </c>
      <c r="B16665">
        <v>210</v>
      </c>
      <c r="C16665" s="1" t="str">
        <f>HYPERLINK("http://www.rosaceae.org/gb/gbrowse/malus_x_domestica/?name=MDP0000790705","MDP0000790705")</f>
        <v>MDP0000790705</v>
      </c>
      <c r="D16665">
        <v>60</v>
      </c>
      <c r="E16665">
        <v>195</v>
      </c>
      <c r="F16665">
        <v>78</v>
      </c>
      <c r="G16665">
        <v>18</v>
      </c>
      <c r="H16665">
        <v>1</v>
      </c>
      <c r="I16665">
        <v>190</v>
      </c>
      <c r="J16665">
        <v>1</v>
      </c>
      <c r="K16665">
        <v>1</v>
      </c>
      <c r="L16665">
        <v>182</v>
      </c>
      <c r="M16665">
        <v>1</v>
      </c>
      <c r="N16665">
        <v>1.4507400000000001E-57</v>
      </c>
      <c r="O16665">
        <v>558</v>
      </c>
    </row>
    <row r="16666" spans="1:15" x14ac:dyDescent="0.25">
      <c r="A16666" t="s">
        <v>16679</v>
      </c>
      <c r="B16666">
        <v>266</v>
      </c>
      <c r="C16666" s="1" t="str">
        <f>HYPERLINK("http://www.rosaceae.org/gb/gbrowse/malus_x_domestica/?name=MDP0000233778","MDP0000233778")</f>
        <v>MDP0000233778</v>
      </c>
      <c r="D16666">
        <v>84</v>
      </c>
      <c r="E16666">
        <v>125</v>
      </c>
      <c r="F16666">
        <v>20</v>
      </c>
      <c r="G16666">
        <v>0</v>
      </c>
      <c r="H16666">
        <v>95</v>
      </c>
      <c r="I16666">
        <v>219</v>
      </c>
      <c r="J16666">
        <v>1</v>
      </c>
      <c r="K16666">
        <v>191</v>
      </c>
      <c r="L16666">
        <v>315</v>
      </c>
      <c r="M16666">
        <v>1</v>
      </c>
      <c r="N16666">
        <v>2.3424800000000002E-58</v>
      </c>
      <c r="O16666">
        <v>567</v>
      </c>
    </row>
    <row r="16667" spans="1:15" x14ac:dyDescent="0.25">
      <c r="A16667" t="s">
        <v>16680</v>
      </c>
      <c r="B16667">
        <v>703</v>
      </c>
      <c r="C16667" s="1" t="str">
        <f>HYPERLINK("http://www.rosaceae.org/gb/gbrowse/malus_x_domestica/?name=MDP0000226559","MDP0000226559")</f>
        <v>MDP0000226559</v>
      </c>
      <c r="D16667">
        <v>31.7</v>
      </c>
      <c r="E16667">
        <v>738</v>
      </c>
      <c r="F16667">
        <v>504</v>
      </c>
      <c r="G16667">
        <v>82</v>
      </c>
      <c r="H16667">
        <v>16</v>
      </c>
      <c r="I16667">
        <v>702</v>
      </c>
      <c r="J16667">
        <v>1</v>
      </c>
      <c r="K16667">
        <v>31</v>
      </c>
      <c r="L16667">
        <v>737</v>
      </c>
      <c r="M16667">
        <v>1</v>
      </c>
      <c r="N16667">
        <v>2.43004E-98</v>
      </c>
      <c r="O16667">
        <v>916</v>
      </c>
    </row>
    <row r="16668" spans="1:15" x14ac:dyDescent="0.25">
      <c r="A16668" t="s">
        <v>16681</v>
      </c>
      <c r="B16668">
        <v>406</v>
      </c>
      <c r="C16668" s="1" t="str">
        <f>HYPERLINK("http://www.rosaceae.org/gb/gbrowse/malus_x_domestica/?name=MDP0000161022","MDP0000161022")</f>
        <v>MDP0000161022</v>
      </c>
      <c r="D16668">
        <v>35.79</v>
      </c>
      <c r="E16668">
        <v>176</v>
      </c>
      <c r="F16668">
        <v>113</v>
      </c>
      <c r="G16668">
        <v>23</v>
      </c>
      <c r="H16668">
        <v>237</v>
      </c>
      <c r="I16668">
        <v>405</v>
      </c>
      <c r="J16668">
        <v>1</v>
      </c>
      <c r="K16668">
        <v>87</v>
      </c>
      <c r="L16668">
        <v>246</v>
      </c>
      <c r="M16668">
        <v>1</v>
      </c>
      <c r="N16668">
        <v>8.9747500000000007E-18</v>
      </c>
      <c r="O16668">
        <v>219</v>
      </c>
    </row>
    <row r="16669" spans="1:15" x14ac:dyDescent="0.25">
      <c r="A16669" t="s">
        <v>16682</v>
      </c>
      <c r="B16669">
        <v>101</v>
      </c>
      <c r="C16669" s="1" t="str">
        <f>HYPERLINK("http://www.rosaceae.org/gb/gbrowse/malus_x_domestica/?name=MDP0000167655","MDP0000167655")</f>
        <v>MDP0000167655</v>
      </c>
      <c r="D16669">
        <v>70.52</v>
      </c>
      <c r="E16669">
        <v>95</v>
      </c>
      <c r="F16669">
        <v>28</v>
      </c>
      <c r="G16669">
        <v>1</v>
      </c>
      <c r="H16669">
        <v>7</v>
      </c>
      <c r="I16669">
        <v>101</v>
      </c>
      <c r="J16669">
        <v>1</v>
      </c>
      <c r="K16669">
        <v>29</v>
      </c>
      <c r="L16669">
        <v>122</v>
      </c>
      <c r="M16669">
        <v>1</v>
      </c>
      <c r="N16669">
        <v>3.18136E-31</v>
      </c>
      <c r="O16669">
        <v>327</v>
      </c>
    </row>
    <row r="16670" spans="1:15" x14ac:dyDescent="0.25">
      <c r="A16670" t="s">
        <v>16683</v>
      </c>
      <c r="B16670">
        <v>1525</v>
      </c>
      <c r="C16670" s="1" t="str">
        <f>HYPERLINK("http://www.rosaceae.org/gb/gbrowse/malus_x_domestica/?name=MDP0000250070","MDP0000250070")</f>
        <v>MDP0000250070</v>
      </c>
      <c r="D16670">
        <v>78.44</v>
      </c>
      <c r="E16670">
        <v>798</v>
      </c>
      <c r="F16670">
        <v>172</v>
      </c>
      <c r="G16670">
        <v>13</v>
      </c>
      <c r="H16670">
        <v>11</v>
      </c>
      <c r="I16670">
        <v>796</v>
      </c>
      <c r="J16670">
        <v>1</v>
      </c>
      <c r="K16670">
        <v>11</v>
      </c>
      <c r="L16670">
        <v>807</v>
      </c>
      <c r="M16670">
        <v>1</v>
      </c>
      <c r="N16670">
        <v>0</v>
      </c>
      <c r="O16670">
        <v>3371</v>
      </c>
    </row>
    <row r="16671" spans="1:15" x14ac:dyDescent="0.25">
      <c r="A16671" t="s">
        <v>16684</v>
      </c>
      <c r="B16671">
        <v>983</v>
      </c>
      <c r="C16671" s="1" t="str">
        <f>HYPERLINK("http://www.rosaceae.org/gb/gbrowse/malus_x_domestica/?name=MDP0000268356","MDP0000268356")</f>
        <v>MDP0000268356</v>
      </c>
      <c r="D16671">
        <v>56.28</v>
      </c>
      <c r="E16671">
        <v>613</v>
      </c>
      <c r="F16671">
        <v>268</v>
      </c>
      <c r="G16671">
        <v>22</v>
      </c>
      <c r="H16671">
        <v>181</v>
      </c>
      <c r="I16671">
        <v>782</v>
      </c>
      <c r="J16671">
        <v>1</v>
      </c>
      <c r="K16671">
        <v>515</v>
      </c>
      <c r="L16671">
        <v>1116</v>
      </c>
      <c r="M16671">
        <v>1</v>
      </c>
      <c r="N16671">
        <v>4.19393E-179</v>
      </c>
      <c r="O16671">
        <v>1614</v>
      </c>
    </row>
    <row r="16672" spans="1:15" x14ac:dyDescent="0.25">
      <c r="A16672" t="s">
        <v>16685</v>
      </c>
      <c r="B16672">
        <v>290</v>
      </c>
      <c r="C16672" s="1" t="str">
        <f>HYPERLINK("http://www.rosaceae.org/gb/gbrowse/malus_x_domestica/?name=MDP0000878686","MDP0000878686")</f>
        <v>MDP0000878686</v>
      </c>
      <c r="D16672">
        <v>36.64</v>
      </c>
      <c r="E16672">
        <v>292</v>
      </c>
      <c r="F16672">
        <v>185</v>
      </c>
      <c r="G16672">
        <v>64</v>
      </c>
      <c r="H16672">
        <v>6</v>
      </c>
      <c r="I16672">
        <v>290</v>
      </c>
      <c r="J16672">
        <v>1</v>
      </c>
      <c r="K16672">
        <v>142</v>
      </c>
      <c r="L16672">
        <v>376</v>
      </c>
      <c r="M16672">
        <v>1</v>
      </c>
      <c r="N16672">
        <v>9.2952599999999995E-32</v>
      </c>
      <c r="O16672">
        <v>338</v>
      </c>
    </row>
    <row r="16673" spans="1:15" x14ac:dyDescent="0.25">
      <c r="A16673" t="s">
        <v>16686</v>
      </c>
      <c r="B16673">
        <v>332</v>
      </c>
      <c r="C16673" s="1" t="str">
        <f>HYPERLINK("http://www.rosaceae.org/gb/gbrowse/malus_x_domestica/?name=MDP0000265404","MDP0000265404")</f>
        <v>MDP0000265404</v>
      </c>
      <c r="D16673">
        <v>46.15</v>
      </c>
      <c r="E16673">
        <v>65</v>
      </c>
      <c r="F16673">
        <v>35</v>
      </c>
      <c r="G16673">
        <v>1</v>
      </c>
      <c r="H16673">
        <v>191</v>
      </c>
      <c r="I16673">
        <v>254</v>
      </c>
      <c r="J16673">
        <v>1</v>
      </c>
      <c r="K16673">
        <v>37</v>
      </c>
      <c r="L16673">
        <v>101</v>
      </c>
      <c r="M16673">
        <v>1</v>
      </c>
      <c r="N16673">
        <v>4.10963E-7</v>
      </c>
      <c r="O16673">
        <v>126</v>
      </c>
    </row>
    <row r="16674" spans="1:15" x14ac:dyDescent="0.25">
      <c r="A16674" t="s">
        <v>16687</v>
      </c>
      <c r="B16674">
        <v>238</v>
      </c>
      <c r="C16674" s="1" t="str">
        <f>HYPERLINK("http://www.rosaceae.org/gb/gbrowse/malus_x_domestica/?name=MDP0000172709","MDP0000172709")</f>
        <v>MDP0000172709</v>
      </c>
      <c r="D16674">
        <v>68.5</v>
      </c>
      <c r="E16674">
        <v>200</v>
      </c>
      <c r="F16674">
        <v>63</v>
      </c>
      <c r="G16674">
        <v>26</v>
      </c>
      <c r="H16674">
        <v>1</v>
      </c>
      <c r="I16674">
        <v>200</v>
      </c>
      <c r="J16674">
        <v>1</v>
      </c>
      <c r="K16674">
        <v>60</v>
      </c>
      <c r="L16674">
        <v>233</v>
      </c>
      <c r="M16674">
        <v>1</v>
      </c>
      <c r="N16674">
        <v>2.2432700000000001E-69</v>
      </c>
      <c r="O16674">
        <v>661</v>
      </c>
    </row>
    <row r="16675" spans="1:15" x14ac:dyDescent="0.25">
      <c r="A16675" t="s">
        <v>16688</v>
      </c>
      <c r="B16675">
        <v>291</v>
      </c>
      <c r="C16675" s="1" t="str">
        <f>HYPERLINK("http://www.rosaceae.org/gb/gbrowse/malus_x_domestica/?name=MDP0000167862","MDP0000167862")</f>
        <v>MDP0000167862</v>
      </c>
      <c r="D16675">
        <v>70.31</v>
      </c>
      <c r="E16675">
        <v>283</v>
      </c>
      <c r="F16675">
        <v>84</v>
      </c>
      <c r="G16675">
        <v>0</v>
      </c>
      <c r="H16675">
        <v>8</v>
      </c>
      <c r="I16675">
        <v>290</v>
      </c>
      <c r="J16675">
        <v>1</v>
      </c>
      <c r="K16675">
        <v>30</v>
      </c>
      <c r="L16675">
        <v>312</v>
      </c>
      <c r="M16675">
        <v>1</v>
      </c>
      <c r="N16675">
        <v>8.6773200000000003E-115</v>
      </c>
      <c r="O16675">
        <v>1054</v>
      </c>
    </row>
    <row r="16676" spans="1:15" x14ac:dyDescent="0.25">
      <c r="A16676" t="s">
        <v>16689</v>
      </c>
      <c r="B16676">
        <v>488</v>
      </c>
      <c r="C16676" s="1" t="str">
        <f>HYPERLINK("http://www.rosaceae.org/gb/gbrowse/malus_x_domestica/?name=MDP0000209283","MDP0000209283")</f>
        <v>MDP0000209283</v>
      </c>
      <c r="D16676">
        <v>61.16</v>
      </c>
      <c r="E16676">
        <v>291</v>
      </c>
      <c r="F16676">
        <v>113</v>
      </c>
      <c r="G16676">
        <v>11</v>
      </c>
      <c r="H16676">
        <v>205</v>
      </c>
      <c r="I16676">
        <v>484</v>
      </c>
      <c r="J16676">
        <v>1</v>
      </c>
      <c r="K16676">
        <v>287</v>
      </c>
      <c r="L16676">
        <v>577</v>
      </c>
      <c r="M16676">
        <v>1</v>
      </c>
      <c r="N16676">
        <v>2.8929200000000002E-101</v>
      </c>
      <c r="O16676">
        <v>940</v>
      </c>
    </row>
    <row r="16677" spans="1:15" x14ac:dyDescent="0.25">
      <c r="A16677" t="s">
        <v>16690</v>
      </c>
      <c r="B16677">
        <v>1638</v>
      </c>
      <c r="C16677" s="1" t="str">
        <f>HYPERLINK("http://www.rosaceae.org/gb/gbrowse/malus_x_domestica/?name=MDP0000231342","MDP0000231342")</f>
        <v>MDP0000231342</v>
      </c>
      <c r="D16677">
        <v>49.8</v>
      </c>
      <c r="E16677">
        <v>1568</v>
      </c>
      <c r="F16677">
        <v>787</v>
      </c>
      <c r="G16677">
        <v>221</v>
      </c>
      <c r="H16677">
        <v>1</v>
      </c>
      <c r="I16677">
        <v>1421</v>
      </c>
      <c r="J16677">
        <v>1</v>
      </c>
      <c r="K16677">
        <v>1</v>
      </c>
      <c r="L16677">
        <v>1494</v>
      </c>
      <c r="M16677">
        <v>1</v>
      </c>
      <c r="N16677">
        <v>0</v>
      </c>
      <c r="O16677">
        <v>3047</v>
      </c>
    </row>
    <row r="16678" spans="1:15" x14ac:dyDescent="0.25">
      <c r="A16678" t="s">
        <v>16691</v>
      </c>
      <c r="B16678">
        <v>307</v>
      </c>
      <c r="C16678" s="1" t="str">
        <f>HYPERLINK("http://www.rosaceae.org/gb/gbrowse/malus_x_domestica/?name=MDP0000871101","MDP0000871101")</f>
        <v>MDP0000871101</v>
      </c>
      <c r="D16678">
        <v>56.63</v>
      </c>
      <c r="E16678">
        <v>279</v>
      </c>
      <c r="F16678">
        <v>121</v>
      </c>
      <c r="G16678">
        <v>19</v>
      </c>
      <c r="H16678">
        <v>14</v>
      </c>
      <c r="I16678">
        <v>274</v>
      </c>
      <c r="J16678">
        <v>1</v>
      </c>
      <c r="K16678">
        <v>14</v>
      </c>
      <c r="L16678">
        <v>291</v>
      </c>
      <c r="M16678">
        <v>1</v>
      </c>
      <c r="N16678">
        <v>1.93768E-71</v>
      </c>
      <c r="O16678">
        <v>680</v>
      </c>
    </row>
    <row r="16679" spans="1:15" x14ac:dyDescent="0.25">
      <c r="A16679" t="s">
        <v>16692</v>
      </c>
      <c r="B16679">
        <v>668</v>
      </c>
      <c r="C16679" s="1" t="str">
        <f>HYPERLINK("http://www.rosaceae.org/gb/gbrowse/malus_x_domestica/?name=MDP0000802237","MDP0000802237")</f>
        <v>MDP0000802237</v>
      </c>
      <c r="D16679">
        <v>44.65</v>
      </c>
      <c r="E16679">
        <v>262</v>
      </c>
      <c r="F16679">
        <v>145</v>
      </c>
      <c r="G16679">
        <v>17</v>
      </c>
      <c r="H16679">
        <v>54</v>
      </c>
      <c r="I16679">
        <v>306</v>
      </c>
      <c r="J16679">
        <v>1</v>
      </c>
      <c r="K16679">
        <v>28</v>
      </c>
      <c r="L16679">
        <v>281</v>
      </c>
      <c r="M16679">
        <v>1</v>
      </c>
      <c r="N16679">
        <v>2.9963199999999999E-48</v>
      </c>
      <c r="O16679">
        <v>484</v>
      </c>
    </row>
    <row r="16680" spans="1:15" x14ac:dyDescent="0.25">
      <c r="A16680" t="s">
        <v>16693</v>
      </c>
      <c r="B16680">
        <v>777</v>
      </c>
      <c r="C16680" s="1" t="str">
        <f>HYPERLINK("http://www.rosaceae.org/gb/gbrowse/malus_x_domestica/?name=MDP0000235958","MDP0000235958")</f>
        <v>MDP0000235958</v>
      </c>
      <c r="D16680">
        <v>56.96</v>
      </c>
      <c r="E16680">
        <v>804</v>
      </c>
      <c r="F16680">
        <v>346</v>
      </c>
      <c r="G16680">
        <v>70</v>
      </c>
      <c r="H16680">
        <v>10</v>
      </c>
      <c r="I16680">
        <v>777</v>
      </c>
      <c r="J16680">
        <v>1</v>
      </c>
      <c r="K16680">
        <v>294</v>
      </c>
      <c r="L16680">
        <v>1063</v>
      </c>
      <c r="M16680">
        <v>1</v>
      </c>
      <c r="N16680">
        <v>0</v>
      </c>
      <c r="O16680">
        <v>2196</v>
      </c>
    </row>
    <row r="16681" spans="1:15" x14ac:dyDescent="0.25">
      <c r="A16681" t="s">
        <v>16694</v>
      </c>
      <c r="B16681">
        <v>352</v>
      </c>
      <c r="C16681" s="1" t="str">
        <f>HYPERLINK("http://www.rosaceae.org/gb/gbrowse/malus_x_domestica/?name=MDP0000167338","MDP0000167338")</f>
        <v>MDP0000167338</v>
      </c>
      <c r="D16681">
        <v>63.72</v>
      </c>
      <c r="E16681">
        <v>317</v>
      </c>
      <c r="F16681">
        <v>115</v>
      </c>
      <c r="G16681">
        <v>14</v>
      </c>
      <c r="H16681">
        <v>41</v>
      </c>
      <c r="I16681">
        <v>352</v>
      </c>
      <c r="J16681">
        <v>1</v>
      </c>
      <c r="K16681">
        <v>37</v>
      </c>
      <c r="L16681">
        <v>344</v>
      </c>
      <c r="M16681">
        <v>1</v>
      </c>
      <c r="N16681">
        <v>3.9558500000000002E-112</v>
      </c>
      <c r="O16681">
        <v>1032</v>
      </c>
    </row>
    <row r="16682" spans="1:15" x14ac:dyDescent="0.25">
      <c r="A16682" t="s">
        <v>16695</v>
      </c>
      <c r="B16682">
        <v>285</v>
      </c>
      <c r="C16682" s="1" t="str">
        <f>HYPERLINK("http://www.rosaceae.org/gb/gbrowse/malus_x_domestica/?name=MDP0000398470","MDP0000398470")</f>
        <v>MDP0000398470</v>
      </c>
      <c r="D16682">
        <v>87.13</v>
      </c>
      <c r="E16682">
        <v>272</v>
      </c>
      <c r="F16682">
        <v>35</v>
      </c>
      <c r="G16682">
        <v>0</v>
      </c>
      <c r="H16682">
        <v>14</v>
      </c>
      <c r="I16682">
        <v>285</v>
      </c>
      <c r="J16682">
        <v>1</v>
      </c>
      <c r="K16682">
        <v>15</v>
      </c>
      <c r="L16682">
        <v>286</v>
      </c>
      <c r="M16682">
        <v>1</v>
      </c>
      <c r="N16682">
        <v>3.6868200000000002E-138</v>
      </c>
      <c r="O16682">
        <v>1255</v>
      </c>
    </row>
    <row r="16683" spans="1:15" x14ac:dyDescent="0.25">
      <c r="A16683" t="s">
        <v>16696</v>
      </c>
      <c r="B16683">
        <v>1030</v>
      </c>
      <c r="C16683" s="1" t="str">
        <f>HYPERLINK("http://www.rosaceae.org/gb/gbrowse/malus_x_domestica/?name=MDP0000846748","MDP0000846748")</f>
        <v>MDP0000846748</v>
      </c>
      <c r="D16683">
        <v>67.040000000000006</v>
      </c>
      <c r="E16683">
        <v>874</v>
      </c>
      <c r="F16683">
        <v>288</v>
      </c>
      <c r="G16683">
        <v>41</v>
      </c>
      <c r="H16683">
        <v>175</v>
      </c>
      <c r="I16683">
        <v>1030</v>
      </c>
      <c r="J16683">
        <v>1</v>
      </c>
      <c r="K16683">
        <v>66</v>
      </c>
      <c r="L16683">
        <v>916</v>
      </c>
      <c r="M16683">
        <v>1</v>
      </c>
      <c r="N16683">
        <v>0</v>
      </c>
      <c r="O16683">
        <v>2934</v>
      </c>
    </row>
    <row r="16684" spans="1:15" x14ac:dyDescent="0.25">
      <c r="A16684" t="s">
        <v>16697</v>
      </c>
      <c r="B16684">
        <v>741</v>
      </c>
      <c r="C16684" s="1" t="str">
        <f>HYPERLINK("http://www.rosaceae.org/gb/gbrowse/malus_x_domestica/?name=MDP0000092978","MDP0000092978")</f>
        <v>MDP0000092978</v>
      </c>
      <c r="D16684">
        <v>72.36</v>
      </c>
      <c r="E16684">
        <v>427</v>
      </c>
      <c r="F16684">
        <v>118</v>
      </c>
      <c r="G16684">
        <v>21</v>
      </c>
      <c r="H16684">
        <v>333</v>
      </c>
      <c r="I16684">
        <v>741</v>
      </c>
      <c r="J16684">
        <v>1</v>
      </c>
      <c r="K16684">
        <v>173</v>
      </c>
      <c r="L16684">
        <v>596</v>
      </c>
      <c r="M16684">
        <v>1</v>
      </c>
      <c r="N16684">
        <v>1.7075499999999999E-177</v>
      </c>
      <c r="O16684">
        <v>1599</v>
      </c>
    </row>
    <row r="16685" spans="1:15" x14ac:dyDescent="0.25">
      <c r="A16685" t="s">
        <v>16698</v>
      </c>
      <c r="B16685">
        <v>1246</v>
      </c>
      <c r="C16685" s="1" t="str">
        <f>HYPERLINK("http://www.rosaceae.org/gb/gbrowse/malus_x_domestica/?name=MDP0000145652","MDP0000145652")</f>
        <v>MDP0000145652</v>
      </c>
      <c r="D16685">
        <v>52.39</v>
      </c>
      <c r="E16685">
        <v>1231</v>
      </c>
      <c r="F16685">
        <v>586</v>
      </c>
      <c r="G16685">
        <v>81</v>
      </c>
      <c r="H16685">
        <v>19</v>
      </c>
      <c r="I16685">
        <v>1229</v>
      </c>
      <c r="J16685">
        <v>1</v>
      </c>
      <c r="K16685">
        <v>16</v>
      </c>
      <c r="L16685">
        <v>1185</v>
      </c>
      <c r="M16685">
        <v>1</v>
      </c>
      <c r="N16685">
        <v>0</v>
      </c>
      <c r="O16685">
        <v>2977</v>
      </c>
    </row>
    <row r="16686" spans="1:15" x14ac:dyDescent="0.25">
      <c r="A16686" t="s">
        <v>16699</v>
      </c>
      <c r="B16686">
        <v>168</v>
      </c>
      <c r="C16686" s="1" t="str">
        <f>HYPERLINK("http://www.rosaceae.org/gb/gbrowse/malus_x_domestica/?name=MDP0000138064","MDP0000138064")</f>
        <v>MDP0000138064</v>
      </c>
      <c r="D16686">
        <v>53.68</v>
      </c>
      <c r="E16686">
        <v>95</v>
      </c>
      <c r="F16686">
        <v>44</v>
      </c>
      <c r="G16686">
        <v>0</v>
      </c>
      <c r="H16686">
        <v>72</v>
      </c>
      <c r="I16686">
        <v>166</v>
      </c>
      <c r="J16686">
        <v>1</v>
      </c>
      <c r="K16686">
        <v>25</v>
      </c>
      <c r="L16686">
        <v>119</v>
      </c>
      <c r="M16686">
        <v>1</v>
      </c>
      <c r="N16686">
        <v>2.3849E-24</v>
      </c>
      <c r="O16686">
        <v>270</v>
      </c>
    </row>
    <row r="16687" spans="1:15" x14ac:dyDescent="0.25">
      <c r="A16687" t="s">
        <v>16700</v>
      </c>
      <c r="B16687">
        <v>788</v>
      </c>
      <c r="C16687" s="1" t="str">
        <f>HYPERLINK("http://www.rosaceae.org/gb/gbrowse/malus_x_domestica/?name=MDP0000289193","MDP0000289193")</f>
        <v>MDP0000289193</v>
      </c>
      <c r="D16687">
        <v>69.87</v>
      </c>
      <c r="E16687">
        <v>790</v>
      </c>
      <c r="F16687">
        <v>238</v>
      </c>
      <c r="G16687">
        <v>83</v>
      </c>
      <c r="H16687">
        <v>22</v>
      </c>
      <c r="I16687">
        <v>788</v>
      </c>
      <c r="J16687">
        <v>1</v>
      </c>
      <c r="K16687">
        <v>94</v>
      </c>
      <c r="L16687">
        <v>823</v>
      </c>
      <c r="M16687">
        <v>1</v>
      </c>
      <c r="N16687">
        <v>0</v>
      </c>
      <c r="O16687">
        <v>2783</v>
      </c>
    </row>
    <row r="16688" spans="1:15" x14ac:dyDescent="0.25">
      <c r="A16688" t="s">
        <v>16701</v>
      </c>
      <c r="B16688">
        <v>356</v>
      </c>
      <c r="C16688" s="1" t="str">
        <f>HYPERLINK("http://www.rosaceae.org/gb/gbrowse/malus_x_domestica/?name=MDP0000503940","MDP0000503940")</f>
        <v>MDP0000503940</v>
      </c>
      <c r="D16688">
        <v>78.17</v>
      </c>
      <c r="E16688">
        <v>362</v>
      </c>
      <c r="F16688">
        <v>79</v>
      </c>
      <c r="G16688">
        <v>6</v>
      </c>
      <c r="H16688">
        <v>1</v>
      </c>
      <c r="I16688">
        <v>356</v>
      </c>
      <c r="J16688">
        <v>1</v>
      </c>
      <c r="K16688">
        <v>1</v>
      </c>
      <c r="L16688">
        <v>362</v>
      </c>
      <c r="M16688">
        <v>1</v>
      </c>
      <c r="N16688">
        <v>5.5285500000000003E-166</v>
      </c>
      <c r="O16688">
        <v>1496</v>
      </c>
    </row>
    <row r="16689" spans="1:15" x14ac:dyDescent="0.25">
      <c r="A16689" t="s">
        <v>16702</v>
      </c>
      <c r="B16689">
        <v>481</v>
      </c>
      <c r="C16689" s="1" t="str">
        <f>HYPERLINK("http://www.rosaceae.org/gb/gbrowse/malus_x_domestica/?name=MDP0000186312","MDP0000186312")</f>
        <v>MDP0000186312</v>
      </c>
      <c r="D16689">
        <v>71.88</v>
      </c>
      <c r="E16689">
        <v>466</v>
      </c>
      <c r="F16689">
        <v>131</v>
      </c>
      <c r="G16689">
        <v>29</v>
      </c>
      <c r="H16689">
        <v>1</v>
      </c>
      <c r="I16689">
        <v>437</v>
      </c>
      <c r="J16689">
        <v>1</v>
      </c>
      <c r="K16689">
        <v>1</v>
      </c>
      <c r="L16689">
        <v>466</v>
      </c>
      <c r="M16689">
        <v>1</v>
      </c>
      <c r="N16689">
        <v>0</v>
      </c>
      <c r="O16689">
        <v>1627</v>
      </c>
    </row>
    <row r="16690" spans="1:15" x14ac:dyDescent="0.25">
      <c r="A16690" t="s">
        <v>16703</v>
      </c>
      <c r="B16690">
        <v>116</v>
      </c>
      <c r="C16690" s="1" t="str">
        <f>HYPERLINK("http://www.rosaceae.org/gb/gbrowse/malus_x_domestica/?name=MDP0000473823","MDP0000473823")</f>
        <v>MDP0000473823</v>
      </c>
      <c r="D16690">
        <v>42.97</v>
      </c>
      <c r="E16690">
        <v>121</v>
      </c>
      <c r="F16690">
        <v>69</v>
      </c>
      <c r="G16690">
        <v>7</v>
      </c>
      <c r="H16690">
        <v>1</v>
      </c>
      <c r="I16690">
        <v>116</v>
      </c>
      <c r="J16690">
        <v>1</v>
      </c>
      <c r="K16690">
        <v>1</v>
      </c>
      <c r="L16690">
        <v>119</v>
      </c>
      <c r="M16690">
        <v>1</v>
      </c>
      <c r="N16690">
        <v>5.8274299999999999E-19</v>
      </c>
      <c r="O16690">
        <v>221</v>
      </c>
    </row>
    <row r="16691" spans="1:15" x14ac:dyDescent="0.25">
      <c r="A16691" t="s">
        <v>16704</v>
      </c>
      <c r="B16691">
        <v>487</v>
      </c>
      <c r="C16691" s="1" t="str">
        <f>HYPERLINK("http://www.rosaceae.org/gb/gbrowse/malus_x_domestica/?name=MDP0000251956","MDP0000251956")</f>
        <v>MDP0000251956</v>
      </c>
      <c r="D16691">
        <v>87.36</v>
      </c>
      <c r="E16691">
        <v>459</v>
      </c>
      <c r="F16691">
        <v>58</v>
      </c>
      <c r="G16691">
        <v>6</v>
      </c>
      <c r="H16691">
        <v>26</v>
      </c>
      <c r="I16691">
        <v>484</v>
      </c>
      <c r="J16691">
        <v>1</v>
      </c>
      <c r="K16691">
        <v>27</v>
      </c>
      <c r="L16691">
        <v>479</v>
      </c>
      <c r="M16691">
        <v>1</v>
      </c>
      <c r="N16691">
        <v>0</v>
      </c>
      <c r="O16691">
        <v>2186</v>
      </c>
    </row>
    <row r="16692" spans="1:15" x14ac:dyDescent="0.25">
      <c r="A16692" t="s">
        <v>16705</v>
      </c>
      <c r="B16692">
        <v>670</v>
      </c>
      <c r="C16692" s="1" t="str">
        <f>HYPERLINK("http://www.rosaceae.org/gb/gbrowse/malus_x_domestica/?name=MDP0000146242","MDP0000146242")</f>
        <v>MDP0000146242</v>
      </c>
      <c r="D16692">
        <v>70.88</v>
      </c>
      <c r="E16692">
        <v>632</v>
      </c>
      <c r="F16692">
        <v>184</v>
      </c>
      <c r="G16692">
        <v>41</v>
      </c>
      <c r="H16692">
        <v>45</v>
      </c>
      <c r="I16692">
        <v>670</v>
      </c>
      <c r="J16692">
        <v>1</v>
      </c>
      <c r="K16692">
        <v>25</v>
      </c>
      <c r="L16692">
        <v>621</v>
      </c>
      <c r="M16692">
        <v>1</v>
      </c>
      <c r="N16692">
        <v>0</v>
      </c>
      <c r="O16692">
        <v>2272</v>
      </c>
    </row>
    <row r="16693" spans="1:15" x14ac:dyDescent="0.25">
      <c r="A16693" t="s">
        <v>16706</v>
      </c>
      <c r="B16693">
        <v>1689</v>
      </c>
      <c r="C16693" s="1" t="str">
        <f>HYPERLINK("http://www.rosaceae.org/gb/gbrowse/malus_x_domestica/?name=MDP0000261515","MDP0000261515")</f>
        <v>MDP0000261515</v>
      </c>
      <c r="D16693">
        <v>66.31</v>
      </c>
      <c r="E16693">
        <v>1799</v>
      </c>
      <c r="F16693">
        <v>606</v>
      </c>
      <c r="G16693">
        <v>196</v>
      </c>
      <c r="H16693">
        <v>3</v>
      </c>
      <c r="I16693">
        <v>1609</v>
      </c>
      <c r="J16693">
        <v>1</v>
      </c>
      <c r="K16693">
        <v>2</v>
      </c>
      <c r="L16693">
        <v>1796</v>
      </c>
      <c r="M16693">
        <v>1</v>
      </c>
      <c r="N16693">
        <v>0</v>
      </c>
      <c r="O16693">
        <v>5863</v>
      </c>
    </row>
    <row r="16694" spans="1:15" x14ac:dyDescent="0.25">
      <c r="A16694" t="s">
        <v>16707</v>
      </c>
      <c r="B16694">
        <v>522</v>
      </c>
      <c r="C16694" s="1" t="str">
        <f>HYPERLINK("http://www.rosaceae.org/gb/gbrowse/malus_x_domestica/?name=MDP0000122522","MDP0000122522")</f>
        <v>MDP0000122522</v>
      </c>
      <c r="D16694">
        <v>86.72</v>
      </c>
      <c r="E16694">
        <v>354</v>
      </c>
      <c r="F16694">
        <v>47</v>
      </c>
      <c r="G16694">
        <v>3</v>
      </c>
      <c r="H16694">
        <v>168</v>
      </c>
      <c r="I16694">
        <v>521</v>
      </c>
      <c r="J16694">
        <v>1</v>
      </c>
      <c r="K16694">
        <v>177</v>
      </c>
      <c r="L16694">
        <v>527</v>
      </c>
      <c r="M16694">
        <v>1</v>
      </c>
      <c r="N16694">
        <v>0</v>
      </c>
      <c r="O16694">
        <v>1662</v>
      </c>
    </row>
    <row r="16695" spans="1:15" x14ac:dyDescent="0.25">
      <c r="A16695" t="s">
        <v>16708</v>
      </c>
      <c r="B16695">
        <v>420</v>
      </c>
      <c r="C16695" s="1" t="str">
        <f>HYPERLINK("http://www.rosaceae.org/gb/gbrowse/malus_x_domestica/?name=MDP0000154589","MDP0000154589")</f>
        <v>MDP0000154589</v>
      </c>
      <c r="D16695">
        <v>63.13</v>
      </c>
      <c r="E16695">
        <v>198</v>
      </c>
      <c r="F16695">
        <v>73</v>
      </c>
      <c r="G16695">
        <v>23</v>
      </c>
      <c r="H16695">
        <v>1</v>
      </c>
      <c r="I16695">
        <v>198</v>
      </c>
      <c r="J16695">
        <v>1</v>
      </c>
      <c r="K16695">
        <v>81</v>
      </c>
      <c r="L16695">
        <v>255</v>
      </c>
      <c r="M16695">
        <v>1</v>
      </c>
      <c r="N16695">
        <v>8.5172400000000001E-68</v>
      </c>
      <c r="O16695">
        <v>650</v>
      </c>
    </row>
    <row r="16696" spans="1:15" x14ac:dyDescent="0.25">
      <c r="A16696" t="s">
        <v>16709</v>
      </c>
      <c r="B16696">
        <v>69</v>
      </c>
      <c r="C16696" s="1" t="str">
        <f>HYPERLINK("http://www.rosaceae.org/gb/gbrowse/malus_x_domestica/?name=MDP0000147702","MDP0000147702")</f>
        <v>MDP0000147702</v>
      </c>
      <c r="D16696">
        <v>76.92</v>
      </c>
      <c r="E16696">
        <v>65</v>
      </c>
      <c r="F16696">
        <v>15</v>
      </c>
      <c r="G16696">
        <v>0</v>
      </c>
      <c r="H16696">
        <v>1</v>
      </c>
      <c r="I16696">
        <v>65</v>
      </c>
      <c r="J16696">
        <v>1</v>
      </c>
      <c r="K16696">
        <v>51</v>
      </c>
      <c r="L16696">
        <v>115</v>
      </c>
      <c r="M16696">
        <v>1</v>
      </c>
      <c r="N16696">
        <v>6.4131100000000002E-24</v>
      </c>
      <c r="O16696">
        <v>264</v>
      </c>
    </row>
    <row r="16697" spans="1:15" x14ac:dyDescent="0.25">
      <c r="A16697" t="s">
        <v>16710</v>
      </c>
      <c r="B16697">
        <v>294</v>
      </c>
      <c r="C16697" s="1" t="str">
        <f>HYPERLINK("http://www.rosaceae.org/gb/gbrowse/malus_x_domestica/?name=MDP0000262642","MDP0000262642")</f>
        <v>MDP0000262642</v>
      </c>
      <c r="D16697">
        <v>53.93</v>
      </c>
      <c r="E16697">
        <v>267</v>
      </c>
      <c r="F16697">
        <v>123</v>
      </c>
      <c r="G16697">
        <v>41</v>
      </c>
      <c r="H16697">
        <v>7</v>
      </c>
      <c r="I16697">
        <v>266</v>
      </c>
      <c r="J16697">
        <v>1</v>
      </c>
      <c r="K16697">
        <v>7</v>
      </c>
      <c r="L16697">
        <v>239</v>
      </c>
      <c r="M16697">
        <v>1</v>
      </c>
      <c r="N16697">
        <v>1.0459799999999999E-71</v>
      </c>
      <c r="O16697">
        <v>682</v>
      </c>
    </row>
    <row r="16698" spans="1:15" x14ac:dyDescent="0.25">
      <c r="A16698" t="s">
        <v>16711</v>
      </c>
      <c r="B16698">
        <v>586</v>
      </c>
      <c r="C16698" s="1" t="str">
        <f>HYPERLINK("http://www.rosaceae.org/gb/gbrowse/malus_x_domestica/?name=MDP0000781314","MDP0000781314")</f>
        <v>MDP0000781314</v>
      </c>
      <c r="D16698">
        <v>78.709999999999994</v>
      </c>
      <c r="E16698">
        <v>578</v>
      </c>
      <c r="F16698">
        <v>123</v>
      </c>
      <c r="G16698">
        <v>5</v>
      </c>
      <c r="H16698">
        <v>1</v>
      </c>
      <c r="I16698">
        <v>575</v>
      </c>
      <c r="J16698">
        <v>1</v>
      </c>
      <c r="K16698">
        <v>1</v>
      </c>
      <c r="L16698">
        <v>576</v>
      </c>
      <c r="M16698">
        <v>1</v>
      </c>
      <c r="N16698">
        <v>0</v>
      </c>
      <c r="O16698">
        <v>2458</v>
      </c>
    </row>
    <row r="16699" spans="1:15" x14ac:dyDescent="0.25">
      <c r="A16699" t="s">
        <v>16712</v>
      </c>
      <c r="B16699">
        <v>433</v>
      </c>
      <c r="C16699" s="1" t="str">
        <f>HYPERLINK("http://www.rosaceae.org/gb/gbrowse/malus_x_domestica/?name=MDP0000318891","MDP0000318891")</f>
        <v>MDP0000318891</v>
      </c>
      <c r="D16699">
        <v>47.04</v>
      </c>
      <c r="E16699">
        <v>440</v>
      </c>
      <c r="F16699">
        <v>233</v>
      </c>
      <c r="G16699">
        <v>37</v>
      </c>
      <c r="H16699">
        <v>1</v>
      </c>
      <c r="I16699">
        <v>420</v>
      </c>
      <c r="J16699">
        <v>1</v>
      </c>
      <c r="K16699">
        <v>1</v>
      </c>
      <c r="L16699">
        <v>423</v>
      </c>
      <c r="M16699">
        <v>1</v>
      </c>
      <c r="N16699">
        <v>1.74697E-89</v>
      </c>
      <c r="O16699">
        <v>838</v>
      </c>
    </row>
    <row r="16700" spans="1:15" x14ac:dyDescent="0.25">
      <c r="A16700" t="s">
        <v>16713</v>
      </c>
      <c r="B16700">
        <v>61</v>
      </c>
      <c r="C16700" s="1" t="str">
        <f>HYPERLINK("http://www.rosaceae.org/gb/gbrowse/malus_x_domestica/?name=MDP0000176374","MDP0000176374")</f>
        <v>MDP0000176374</v>
      </c>
      <c r="D16700">
        <v>70.680000000000007</v>
      </c>
      <c r="E16700">
        <v>58</v>
      </c>
      <c r="F16700">
        <v>17</v>
      </c>
      <c r="G16700">
        <v>0</v>
      </c>
      <c r="H16700">
        <v>4</v>
      </c>
      <c r="I16700">
        <v>61</v>
      </c>
      <c r="J16700">
        <v>1</v>
      </c>
      <c r="K16700">
        <v>34</v>
      </c>
      <c r="L16700">
        <v>91</v>
      </c>
      <c r="M16700">
        <v>1</v>
      </c>
      <c r="N16700">
        <v>1.3166900000000001E-21</v>
      </c>
      <c r="O16700">
        <v>244</v>
      </c>
    </row>
    <row r="16701" spans="1:15" x14ac:dyDescent="0.25">
      <c r="A16701" t="s">
        <v>16714</v>
      </c>
      <c r="B16701">
        <v>297</v>
      </c>
      <c r="C16701" s="1" t="str">
        <f>HYPERLINK("http://www.rosaceae.org/gb/gbrowse/malus_x_domestica/?name=MDP0000297031","MDP0000297031")</f>
        <v>MDP0000297031</v>
      </c>
      <c r="D16701">
        <v>48.35</v>
      </c>
      <c r="E16701">
        <v>91</v>
      </c>
      <c r="F16701">
        <v>47</v>
      </c>
      <c r="G16701">
        <v>13</v>
      </c>
      <c r="H16701">
        <v>70</v>
      </c>
      <c r="I16701">
        <v>149</v>
      </c>
      <c r="J16701">
        <v>1</v>
      </c>
      <c r="K16701">
        <v>306</v>
      </c>
      <c r="L16701">
        <v>394</v>
      </c>
      <c r="M16701">
        <v>1</v>
      </c>
      <c r="N16701">
        <v>3.7769600000000001E-13</v>
      </c>
      <c r="O16701">
        <v>177</v>
      </c>
    </row>
    <row r="16702" spans="1:15" x14ac:dyDescent="0.25">
      <c r="A16702" t="s">
        <v>16715</v>
      </c>
      <c r="B16702">
        <v>157</v>
      </c>
      <c r="C16702" s="1" t="str">
        <f>HYPERLINK("http://www.rosaceae.org/gb/gbrowse/malus_x_domestica/?name=MDP0000553127","MDP0000553127")</f>
        <v>MDP0000553127</v>
      </c>
      <c r="D16702">
        <v>43.82</v>
      </c>
      <c r="E16702">
        <v>162</v>
      </c>
      <c r="F16702">
        <v>91</v>
      </c>
      <c r="G16702">
        <v>33</v>
      </c>
      <c r="H16702">
        <v>1</v>
      </c>
      <c r="I16702">
        <v>129</v>
      </c>
      <c r="J16702">
        <v>1</v>
      </c>
      <c r="K16702">
        <v>66</v>
      </c>
      <c r="L16702">
        <v>227</v>
      </c>
      <c r="M16702">
        <v>1</v>
      </c>
      <c r="N16702">
        <v>2.5173200000000002E-25</v>
      </c>
      <c r="O16702">
        <v>278</v>
      </c>
    </row>
    <row r="16703" spans="1:15" x14ac:dyDescent="0.25">
      <c r="A16703" t="s">
        <v>16716</v>
      </c>
      <c r="B16703">
        <v>423</v>
      </c>
      <c r="C16703" s="1" t="str">
        <f>HYPERLINK("http://www.rosaceae.org/gb/gbrowse/malus_x_domestica/?name=MDP0000299975","MDP0000299975")</f>
        <v>MDP0000299975</v>
      </c>
      <c r="D16703">
        <v>75.34</v>
      </c>
      <c r="E16703">
        <v>438</v>
      </c>
      <c r="F16703">
        <v>108</v>
      </c>
      <c r="G16703">
        <v>24</v>
      </c>
      <c r="H16703">
        <v>5</v>
      </c>
      <c r="I16703">
        <v>423</v>
      </c>
      <c r="J16703">
        <v>1</v>
      </c>
      <c r="K16703">
        <v>3</v>
      </c>
      <c r="L16703">
        <v>435</v>
      </c>
      <c r="M16703">
        <v>1</v>
      </c>
      <c r="N16703">
        <v>1.38474E-179</v>
      </c>
      <c r="O16703">
        <v>1614</v>
      </c>
    </row>
    <row r="16704" spans="1:15" x14ac:dyDescent="0.25">
      <c r="A16704" t="s">
        <v>16717</v>
      </c>
      <c r="B16704">
        <v>353</v>
      </c>
      <c r="C16704" s="1" t="str">
        <f>HYPERLINK("http://www.rosaceae.org/gb/gbrowse/malus_x_domestica/?name=MDP0000145246","MDP0000145246")</f>
        <v>MDP0000145246</v>
      </c>
      <c r="D16704">
        <v>66.930000000000007</v>
      </c>
      <c r="E16704">
        <v>378</v>
      </c>
      <c r="F16704">
        <v>125</v>
      </c>
      <c r="G16704">
        <v>51</v>
      </c>
      <c r="H16704">
        <v>12</v>
      </c>
      <c r="I16704">
        <v>353</v>
      </c>
      <c r="J16704">
        <v>1</v>
      </c>
      <c r="K16704">
        <v>75</v>
      </c>
      <c r="L16704">
        <v>437</v>
      </c>
      <c r="M16704">
        <v>1</v>
      </c>
      <c r="N16704">
        <v>2.7080100000000003E-138</v>
      </c>
      <c r="O16704">
        <v>1257</v>
      </c>
    </row>
    <row r="16705" spans="1:15" x14ac:dyDescent="0.25">
      <c r="A16705" t="s">
        <v>16718</v>
      </c>
      <c r="B16705">
        <v>462</v>
      </c>
      <c r="C16705" s="1" t="str">
        <f>HYPERLINK("http://www.rosaceae.org/gb/gbrowse/malus_x_domestica/?name=MDP0000201070","MDP0000201070")</f>
        <v>MDP0000201070</v>
      </c>
      <c r="D16705">
        <v>54.24</v>
      </c>
      <c r="E16705">
        <v>459</v>
      </c>
      <c r="F16705">
        <v>210</v>
      </c>
      <c r="G16705">
        <v>94</v>
      </c>
      <c r="H16705">
        <v>46</v>
      </c>
      <c r="I16705">
        <v>461</v>
      </c>
      <c r="J16705">
        <v>1</v>
      </c>
      <c r="K16705">
        <v>26</v>
      </c>
      <c r="L16705">
        <v>433</v>
      </c>
      <c r="M16705">
        <v>1</v>
      </c>
      <c r="N16705">
        <v>2.62946E-129</v>
      </c>
      <c r="O16705">
        <v>1181</v>
      </c>
    </row>
    <row r="16706" spans="1:15" x14ac:dyDescent="0.25">
      <c r="A16706" t="s">
        <v>16719</v>
      </c>
      <c r="B16706">
        <v>199</v>
      </c>
      <c r="C16706" s="1" t="str">
        <f>HYPERLINK("http://www.rosaceae.org/gb/gbrowse/malus_x_domestica/?name=MDP0000207355","MDP0000207355")</f>
        <v>MDP0000207355</v>
      </c>
      <c r="D16706">
        <v>63.26</v>
      </c>
      <c r="E16706">
        <v>49</v>
      </c>
      <c r="F16706">
        <v>18</v>
      </c>
      <c r="G16706">
        <v>0</v>
      </c>
      <c r="H16706">
        <v>41</v>
      </c>
      <c r="I16706">
        <v>89</v>
      </c>
      <c r="J16706">
        <v>1</v>
      </c>
      <c r="K16706">
        <v>239</v>
      </c>
      <c r="L16706">
        <v>287</v>
      </c>
      <c r="M16706">
        <v>1</v>
      </c>
      <c r="N16706">
        <v>1.5212200000000001E-12</v>
      </c>
      <c r="O16706">
        <v>170</v>
      </c>
    </row>
    <row r="16707" spans="1:15" x14ac:dyDescent="0.25">
      <c r="A16707" t="s">
        <v>16720</v>
      </c>
      <c r="B16707">
        <v>111</v>
      </c>
      <c r="C16707" s="1" t="str">
        <f>HYPERLINK("http://www.rosaceae.org/gb/gbrowse/malus_x_domestica/?name=MDP0000647619","MDP0000647619")</f>
        <v>MDP0000647619</v>
      </c>
      <c r="D16707">
        <v>83.67</v>
      </c>
      <c r="E16707">
        <v>49</v>
      </c>
      <c r="F16707">
        <v>8</v>
      </c>
      <c r="G16707">
        <v>0</v>
      </c>
      <c r="H16707">
        <v>61</v>
      </c>
      <c r="I16707">
        <v>109</v>
      </c>
      <c r="J16707">
        <v>1</v>
      </c>
      <c r="K16707">
        <v>278</v>
      </c>
      <c r="L16707">
        <v>326</v>
      </c>
      <c r="M16707">
        <v>1</v>
      </c>
      <c r="N16707">
        <v>4.0364699999999997E-21</v>
      </c>
      <c r="O16707">
        <v>240</v>
      </c>
    </row>
    <row r="16708" spans="1:15" x14ac:dyDescent="0.25">
      <c r="A16708" t="s">
        <v>16721</v>
      </c>
      <c r="B16708">
        <v>542</v>
      </c>
      <c r="C16708" s="1" t="str">
        <f>HYPERLINK("http://www.rosaceae.org/gb/gbrowse/malus_x_domestica/?name=MDP0000178043","MDP0000178043")</f>
        <v>MDP0000178043</v>
      </c>
      <c r="D16708">
        <v>71.78</v>
      </c>
      <c r="E16708">
        <v>528</v>
      </c>
      <c r="F16708">
        <v>149</v>
      </c>
      <c r="G16708">
        <v>4</v>
      </c>
      <c r="H16708">
        <v>11</v>
      </c>
      <c r="I16708">
        <v>537</v>
      </c>
      <c r="J16708">
        <v>1</v>
      </c>
      <c r="K16708">
        <v>17</v>
      </c>
      <c r="L16708">
        <v>541</v>
      </c>
      <c r="M16708">
        <v>1</v>
      </c>
      <c r="N16708">
        <v>0</v>
      </c>
      <c r="O16708">
        <v>1947</v>
      </c>
    </row>
    <row r="16709" spans="1:15" x14ac:dyDescent="0.25">
      <c r="A16709" t="s">
        <v>16722</v>
      </c>
      <c r="B16709">
        <v>398</v>
      </c>
      <c r="C16709" s="1" t="str">
        <f>HYPERLINK("http://www.rosaceae.org/gb/gbrowse/malus_x_domestica/?name=MDP0000305085","MDP0000305085")</f>
        <v>MDP0000305085</v>
      </c>
      <c r="D16709">
        <v>30.63</v>
      </c>
      <c r="E16709">
        <v>111</v>
      </c>
      <c r="F16709">
        <v>77</v>
      </c>
      <c r="G16709">
        <v>36</v>
      </c>
      <c r="H16709">
        <v>212</v>
      </c>
      <c r="I16709">
        <v>286</v>
      </c>
      <c r="J16709">
        <v>1</v>
      </c>
      <c r="K16709">
        <v>185</v>
      </c>
      <c r="L16709">
        <v>295</v>
      </c>
      <c r="M16709">
        <v>1</v>
      </c>
      <c r="N16709">
        <v>6.93354E-9</v>
      </c>
      <c r="O16709">
        <v>142</v>
      </c>
    </row>
    <row r="16710" spans="1:15" x14ac:dyDescent="0.25">
      <c r="A16710" t="s">
        <v>16723</v>
      </c>
      <c r="B16710">
        <v>309</v>
      </c>
      <c r="C16710" s="1" t="str">
        <f>HYPERLINK("http://www.rosaceae.org/gb/gbrowse/malus_x_domestica/?name=MDP0000289123","MDP0000289123")</f>
        <v>MDP0000289123</v>
      </c>
      <c r="D16710">
        <v>40.25</v>
      </c>
      <c r="E16710">
        <v>313</v>
      </c>
      <c r="F16710">
        <v>187</v>
      </c>
      <c r="G16710">
        <v>32</v>
      </c>
      <c r="H16710">
        <v>13</v>
      </c>
      <c r="I16710">
        <v>301</v>
      </c>
      <c r="J16710">
        <v>1</v>
      </c>
      <c r="K16710">
        <v>124</v>
      </c>
      <c r="L16710">
        <v>428</v>
      </c>
      <c r="M16710">
        <v>1</v>
      </c>
      <c r="N16710">
        <v>8.9828600000000001E-52</v>
      </c>
      <c r="O16710">
        <v>511</v>
      </c>
    </row>
    <row r="16711" spans="1:15" x14ac:dyDescent="0.25">
      <c r="A16711" t="s">
        <v>16724</v>
      </c>
      <c r="B16711">
        <v>349</v>
      </c>
      <c r="C16711" s="1" t="str">
        <f>HYPERLINK("http://www.rosaceae.org/gb/gbrowse/malus_x_domestica/?name=MDP0000501768","MDP0000501768")</f>
        <v>MDP0000501768</v>
      </c>
      <c r="D16711">
        <v>72.819999999999993</v>
      </c>
      <c r="E16711">
        <v>195</v>
      </c>
      <c r="F16711">
        <v>53</v>
      </c>
      <c r="G16711">
        <v>0</v>
      </c>
      <c r="H16711">
        <v>155</v>
      </c>
      <c r="I16711">
        <v>349</v>
      </c>
      <c r="J16711">
        <v>1</v>
      </c>
      <c r="K16711">
        <v>132</v>
      </c>
      <c r="L16711">
        <v>326</v>
      </c>
      <c r="M16711">
        <v>1</v>
      </c>
      <c r="N16711">
        <v>5.5565399999999998E-78</v>
      </c>
      <c r="O16711">
        <v>737</v>
      </c>
    </row>
    <row r="16712" spans="1:15" x14ac:dyDescent="0.25">
      <c r="A16712" t="s">
        <v>16725</v>
      </c>
      <c r="B16712">
        <v>258</v>
      </c>
      <c r="C16712" s="1" t="str">
        <f>HYPERLINK("http://www.rosaceae.org/gb/gbrowse/malus_x_domestica/?name=MDP0000245193","MDP0000245193")</f>
        <v>MDP0000245193</v>
      </c>
      <c r="D16712">
        <v>33.11</v>
      </c>
      <c r="E16712">
        <v>305</v>
      </c>
      <c r="F16712">
        <v>204</v>
      </c>
      <c r="G16712">
        <v>50</v>
      </c>
      <c r="H16712">
        <v>1</v>
      </c>
      <c r="I16712">
        <v>258</v>
      </c>
      <c r="J16712">
        <v>1</v>
      </c>
      <c r="K16712">
        <v>1</v>
      </c>
      <c r="L16712">
        <v>302</v>
      </c>
      <c r="M16712">
        <v>1</v>
      </c>
      <c r="N16712">
        <v>3.8306200000000002E-37</v>
      </c>
      <c r="O16712">
        <v>383</v>
      </c>
    </row>
    <row r="16713" spans="1:15" x14ac:dyDescent="0.25">
      <c r="A16713" t="s">
        <v>16726</v>
      </c>
      <c r="B16713">
        <v>377</v>
      </c>
      <c r="C16713" s="1" t="str">
        <f>HYPERLINK("http://www.rosaceae.org/gb/gbrowse/malus_x_domestica/?name=MDP0000780720","MDP0000780720")</f>
        <v>MDP0000780720</v>
      </c>
      <c r="D16713">
        <v>79.08</v>
      </c>
      <c r="E16713">
        <v>373</v>
      </c>
      <c r="F16713">
        <v>78</v>
      </c>
      <c r="G16713">
        <v>0</v>
      </c>
      <c r="H16713">
        <v>2</v>
      </c>
      <c r="I16713">
        <v>374</v>
      </c>
      <c r="J16713">
        <v>1</v>
      </c>
      <c r="K16713">
        <v>7</v>
      </c>
      <c r="L16713">
        <v>379</v>
      </c>
      <c r="M16713">
        <v>1</v>
      </c>
      <c r="N16713">
        <v>0</v>
      </c>
      <c r="O16713">
        <v>1633</v>
      </c>
    </row>
    <row r="16714" spans="1:15" x14ac:dyDescent="0.25">
      <c r="A16714" t="s">
        <v>16727</v>
      </c>
      <c r="B16714">
        <v>498</v>
      </c>
      <c r="C16714" s="1" t="str">
        <f>HYPERLINK("http://www.rosaceae.org/gb/gbrowse/malus_x_domestica/?name=MDP0000240373","MDP0000240373")</f>
        <v>MDP0000240373</v>
      </c>
      <c r="D16714">
        <v>44.44</v>
      </c>
      <c r="E16714">
        <v>486</v>
      </c>
      <c r="F16714">
        <v>270</v>
      </c>
      <c r="G16714">
        <v>18</v>
      </c>
      <c r="H16714">
        <v>1</v>
      </c>
      <c r="I16714">
        <v>479</v>
      </c>
      <c r="J16714">
        <v>1</v>
      </c>
      <c r="K16714">
        <v>1</v>
      </c>
      <c r="L16714">
        <v>475</v>
      </c>
      <c r="M16714">
        <v>1</v>
      </c>
      <c r="N16714">
        <v>1.21267E-88</v>
      </c>
      <c r="O16714">
        <v>831</v>
      </c>
    </row>
    <row r="16715" spans="1:15" x14ac:dyDescent="0.25">
      <c r="A16715" t="s">
        <v>16728</v>
      </c>
      <c r="B16715">
        <v>231</v>
      </c>
      <c r="C16715" s="1" t="str">
        <f>HYPERLINK("http://www.rosaceae.org/gb/gbrowse/malus_x_domestica/?name=MDP0000670228","MDP0000670228")</f>
        <v>MDP0000670228</v>
      </c>
      <c r="D16715">
        <v>34.369999999999997</v>
      </c>
      <c r="E16715">
        <v>192</v>
      </c>
      <c r="F16715">
        <v>126</v>
      </c>
      <c r="G16715">
        <v>33</v>
      </c>
      <c r="H16715">
        <v>59</v>
      </c>
      <c r="I16715">
        <v>228</v>
      </c>
      <c r="J16715">
        <v>1</v>
      </c>
      <c r="K16715">
        <v>127</v>
      </c>
      <c r="L16715">
        <v>307</v>
      </c>
      <c r="M16715">
        <v>1</v>
      </c>
      <c r="N16715">
        <v>3.44741E-19</v>
      </c>
      <c r="O16715">
        <v>228</v>
      </c>
    </row>
    <row r="16716" spans="1:15" x14ac:dyDescent="0.25">
      <c r="A16716" t="s">
        <v>16729</v>
      </c>
      <c r="B16716">
        <v>271</v>
      </c>
      <c r="C16716" s="1" t="str">
        <f>HYPERLINK("http://www.rosaceae.org/gb/gbrowse/malus_x_domestica/?name=MDP0000322244","MDP0000322244")</f>
        <v>MDP0000322244</v>
      </c>
      <c r="D16716">
        <v>43.83</v>
      </c>
      <c r="E16716">
        <v>219</v>
      </c>
      <c r="F16716">
        <v>123</v>
      </c>
      <c r="G16716">
        <v>42</v>
      </c>
      <c r="H16716">
        <v>40</v>
      </c>
      <c r="I16716">
        <v>239</v>
      </c>
      <c r="J16716">
        <v>1</v>
      </c>
      <c r="K16716">
        <v>44</v>
      </c>
      <c r="L16716">
        <v>239</v>
      </c>
      <c r="M16716">
        <v>1</v>
      </c>
      <c r="N16716">
        <v>2.33008E-36</v>
      </c>
      <c r="O16716">
        <v>377</v>
      </c>
    </row>
    <row r="16717" spans="1:15" x14ac:dyDescent="0.25">
      <c r="A16717" t="s">
        <v>16730</v>
      </c>
      <c r="B16717">
        <v>291</v>
      </c>
      <c r="C16717" s="1" t="str">
        <f>HYPERLINK("http://www.rosaceae.org/gb/gbrowse/malus_x_domestica/?name=MDP0000589422","MDP0000589422")</f>
        <v>MDP0000589422</v>
      </c>
      <c r="D16717">
        <v>38.67</v>
      </c>
      <c r="E16717">
        <v>256</v>
      </c>
      <c r="F16717">
        <v>157</v>
      </c>
      <c r="G16717">
        <v>45</v>
      </c>
      <c r="H16717">
        <v>26</v>
      </c>
      <c r="I16717">
        <v>281</v>
      </c>
      <c r="J16717">
        <v>1</v>
      </c>
      <c r="K16717">
        <v>77</v>
      </c>
      <c r="L16717">
        <v>287</v>
      </c>
      <c r="M16717">
        <v>1</v>
      </c>
      <c r="N16717">
        <v>1.2194299999999999E-34</v>
      </c>
      <c r="O16717">
        <v>363</v>
      </c>
    </row>
    <row r="16718" spans="1:15" x14ac:dyDescent="0.25">
      <c r="A16718" t="s">
        <v>16731</v>
      </c>
      <c r="B16718">
        <v>3467</v>
      </c>
      <c r="C16718" s="1" t="str">
        <f>HYPERLINK("http://www.rosaceae.org/gb/gbrowse/malus_x_domestica/?name=MDP0000219559","MDP0000219559")</f>
        <v>MDP0000219559</v>
      </c>
      <c r="D16718">
        <v>59.3</v>
      </c>
      <c r="E16718">
        <v>2644</v>
      </c>
      <c r="F16718">
        <v>1076</v>
      </c>
      <c r="G16718">
        <v>326</v>
      </c>
      <c r="H16718">
        <v>724</v>
      </c>
      <c r="I16718">
        <v>3237</v>
      </c>
      <c r="J16718">
        <v>1</v>
      </c>
      <c r="K16718">
        <v>460</v>
      </c>
      <c r="L16718">
        <v>2907</v>
      </c>
      <c r="M16718">
        <v>1</v>
      </c>
      <c r="N16718">
        <v>0</v>
      </c>
      <c r="O16718">
        <v>7573</v>
      </c>
    </row>
    <row r="16719" spans="1:15" x14ac:dyDescent="0.25">
      <c r="A16719" t="s">
        <v>16732</v>
      </c>
      <c r="B16719">
        <v>111</v>
      </c>
      <c r="C16719" s="1" t="str">
        <f>HYPERLINK("http://www.rosaceae.org/gb/gbrowse/malus_x_domestica/?name=MDP0000147719","MDP0000147719")</f>
        <v>MDP0000147719</v>
      </c>
      <c r="D16719">
        <v>44.94</v>
      </c>
      <c r="E16719">
        <v>89</v>
      </c>
      <c r="F16719">
        <v>49</v>
      </c>
      <c r="G16719">
        <v>5</v>
      </c>
      <c r="H16719">
        <v>28</v>
      </c>
      <c r="I16719">
        <v>111</v>
      </c>
      <c r="J16719">
        <v>1</v>
      </c>
      <c r="K16719">
        <v>23</v>
      </c>
      <c r="L16719">
        <v>111</v>
      </c>
      <c r="M16719">
        <v>1</v>
      </c>
      <c r="N16719">
        <v>6.6727100000000002E-14</v>
      </c>
      <c r="O16719">
        <v>177</v>
      </c>
    </row>
    <row r="16720" spans="1:15" x14ac:dyDescent="0.25">
      <c r="A16720" t="s">
        <v>16733</v>
      </c>
      <c r="B16720">
        <v>639</v>
      </c>
      <c r="C16720" s="1" t="str">
        <f>HYPERLINK("http://www.rosaceae.org/gb/gbrowse/malus_x_domestica/?name=MDP0000252378","MDP0000252378")</f>
        <v>MDP0000252378</v>
      </c>
      <c r="D16720">
        <v>42.7</v>
      </c>
      <c r="E16720">
        <v>377</v>
      </c>
      <c r="F16720">
        <v>216</v>
      </c>
      <c r="G16720">
        <v>25</v>
      </c>
      <c r="H16720">
        <v>169</v>
      </c>
      <c r="I16720">
        <v>535</v>
      </c>
      <c r="J16720">
        <v>1</v>
      </c>
      <c r="K16720">
        <v>11</v>
      </c>
      <c r="L16720">
        <v>372</v>
      </c>
      <c r="M16720">
        <v>1</v>
      </c>
      <c r="N16720">
        <v>1.87209E-76</v>
      </c>
      <c r="O16720">
        <v>727</v>
      </c>
    </row>
    <row r="16721" spans="1:15" x14ac:dyDescent="0.25">
      <c r="A16721" t="s">
        <v>16734</v>
      </c>
      <c r="B16721">
        <v>1027</v>
      </c>
      <c r="C16721" s="1" t="str">
        <f>HYPERLINK("http://www.rosaceae.org/gb/gbrowse/malus_x_domestica/?name=MDP0000262620","MDP0000262620")</f>
        <v>MDP0000262620</v>
      </c>
      <c r="D16721">
        <v>54.36</v>
      </c>
      <c r="E16721">
        <v>916</v>
      </c>
      <c r="F16721">
        <v>418</v>
      </c>
      <c r="G16721">
        <v>68</v>
      </c>
      <c r="H16721">
        <v>35</v>
      </c>
      <c r="I16721">
        <v>935</v>
      </c>
      <c r="J16721">
        <v>1</v>
      </c>
      <c r="K16721">
        <v>93</v>
      </c>
      <c r="L16721">
        <v>955</v>
      </c>
      <c r="M16721">
        <v>1</v>
      </c>
      <c r="N16721">
        <v>0</v>
      </c>
      <c r="O16721">
        <v>2486</v>
      </c>
    </row>
    <row r="16722" spans="1:15" x14ac:dyDescent="0.25">
      <c r="A16722" t="s">
        <v>16735</v>
      </c>
      <c r="B16722">
        <v>224</v>
      </c>
      <c r="C16722" s="1" t="str">
        <f>HYPERLINK("http://www.rosaceae.org/gb/gbrowse/malus_x_domestica/?name=MDP0000135652","MDP0000135652")</f>
        <v>MDP0000135652</v>
      </c>
      <c r="D16722">
        <v>45.96</v>
      </c>
      <c r="E16722">
        <v>124</v>
      </c>
      <c r="F16722">
        <v>67</v>
      </c>
      <c r="G16722">
        <v>15</v>
      </c>
      <c r="H16722">
        <v>10</v>
      </c>
      <c r="I16722">
        <v>129</v>
      </c>
      <c r="J16722">
        <v>1</v>
      </c>
      <c r="K16722">
        <v>35</v>
      </c>
      <c r="L16722">
        <v>147</v>
      </c>
      <c r="M16722">
        <v>1</v>
      </c>
      <c r="N16722">
        <v>6.8591999999999997E-18</v>
      </c>
      <c r="O16722">
        <v>217</v>
      </c>
    </row>
    <row r="16723" spans="1:15" x14ac:dyDescent="0.25">
      <c r="A16723" t="s">
        <v>16736</v>
      </c>
      <c r="B16723">
        <v>137</v>
      </c>
      <c r="C16723" s="1" t="str">
        <f>HYPERLINK("http://www.rosaceae.org/gb/gbrowse/malus_x_domestica/?name=MDP0000243843","MDP0000243843")</f>
        <v>MDP0000243843</v>
      </c>
      <c r="D16723">
        <v>83.78</v>
      </c>
      <c r="E16723">
        <v>37</v>
      </c>
      <c r="F16723">
        <v>6</v>
      </c>
      <c r="G16723">
        <v>0</v>
      </c>
      <c r="H16723">
        <v>69</v>
      </c>
      <c r="I16723">
        <v>105</v>
      </c>
      <c r="J16723">
        <v>1</v>
      </c>
      <c r="K16723">
        <v>44</v>
      </c>
      <c r="L16723">
        <v>80</v>
      </c>
      <c r="M16723">
        <v>1</v>
      </c>
      <c r="N16723">
        <v>4.3769999999999999E-13</v>
      </c>
      <c r="O16723">
        <v>171</v>
      </c>
    </row>
    <row r="16724" spans="1:15" x14ac:dyDescent="0.25">
      <c r="A16724" t="s">
        <v>16737</v>
      </c>
      <c r="B16724">
        <v>392</v>
      </c>
      <c r="C16724" s="1" t="str">
        <f>HYPERLINK("http://www.rosaceae.org/gb/gbrowse/malus_x_domestica/?name=MDP0000318429","MDP0000318429")</f>
        <v>MDP0000318429</v>
      </c>
      <c r="D16724">
        <v>81.739999999999995</v>
      </c>
      <c r="E16724">
        <v>378</v>
      </c>
      <c r="F16724">
        <v>69</v>
      </c>
      <c r="G16724">
        <v>31</v>
      </c>
      <c r="H16724">
        <v>1</v>
      </c>
      <c r="I16724">
        <v>349</v>
      </c>
      <c r="J16724">
        <v>1</v>
      </c>
      <c r="K16724">
        <v>48</v>
      </c>
      <c r="L16724">
        <v>423</v>
      </c>
      <c r="M16724">
        <v>1</v>
      </c>
      <c r="N16724">
        <v>4.6356999999999996E-171</v>
      </c>
      <c r="O16724">
        <v>1541</v>
      </c>
    </row>
    <row r="16725" spans="1:15" x14ac:dyDescent="0.25">
      <c r="A16725" t="s">
        <v>16738</v>
      </c>
      <c r="B16725">
        <v>697</v>
      </c>
      <c r="C16725" s="1" t="str">
        <f>HYPERLINK("http://www.rosaceae.org/gb/gbrowse/malus_x_domestica/?name=MDP0000708927","MDP0000708927")</f>
        <v>MDP0000708927</v>
      </c>
      <c r="D16725">
        <v>77.150000000000006</v>
      </c>
      <c r="E16725">
        <v>569</v>
      </c>
      <c r="F16725">
        <v>130</v>
      </c>
      <c r="G16725">
        <v>0</v>
      </c>
      <c r="H16725">
        <v>129</v>
      </c>
      <c r="I16725">
        <v>697</v>
      </c>
      <c r="J16725">
        <v>1</v>
      </c>
      <c r="K16725">
        <v>143</v>
      </c>
      <c r="L16725">
        <v>711</v>
      </c>
      <c r="M16725">
        <v>1</v>
      </c>
      <c r="N16725">
        <v>0</v>
      </c>
      <c r="O16725">
        <v>2380</v>
      </c>
    </row>
    <row r="16726" spans="1:15" x14ac:dyDescent="0.25">
      <c r="A16726" t="s">
        <v>16739</v>
      </c>
      <c r="B16726">
        <v>62</v>
      </c>
      <c r="C16726" s="1" t="str">
        <f>HYPERLINK("http://www.rosaceae.org/gb/gbrowse/malus_x_domestica/?name=MDP0000292132","MDP0000292132")</f>
        <v>MDP0000292132</v>
      </c>
      <c r="D16726">
        <v>59.57</v>
      </c>
      <c r="E16726">
        <v>47</v>
      </c>
      <c r="F16726">
        <v>19</v>
      </c>
      <c r="G16726">
        <v>1</v>
      </c>
      <c r="H16726">
        <v>1</v>
      </c>
      <c r="I16726">
        <v>47</v>
      </c>
      <c r="J16726">
        <v>1</v>
      </c>
      <c r="K16726">
        <v>1</v>
      </c>
      <c r="L16726">
        <v>46</v>
      </c>
      <c r="M16726">
        <v>1</v>
      </c>
      <c r="N16726">
        <v>4.5290700000000004E-9</v>
      </c>
      <c r="O16726">
        <v>136</v>
      </c>
    </row>
    <row r="16727" spans="1:15" x14ac:dyDescent="0.25">
      <c r="A16727" t="s">
        <v>16740</v>
      </c>
      <c r="B16727">
        <v>209</v>
      </c>
      <c r="C16727" s="1" t="str">
        <f>HYPERLINK("http://www.rosaceae.org/gb/gbrowse/malus_x_domestica/?name=MDP0000182061","MDP0000182061")</f>
        <v>MDP0000182061</v>
      </c>
      <c r="D16727">
        <v>85.42</v>
      </c>
      <c r="E16727">
        <v>199</v>
      </c>
      <c r="F16727">
        <v>29</v>
      </c>
      <c r="G16727">
        <v>0</v>
      </c>
      <c r="H16727">
        <v>11</v>
      </c>
      <c r="I16727">
        <v>209</v>
      </c>
      <c r="J16727">
        <v>1</v>
      </c>
      <c r="K16727">
        <v>14</v>
      </c>
      <c r="L16727">
        <v>212</v>
      </c>
      <c r="M16727">
        <v>1</v>
      </c>
      <c r="N16727">
        <v>1.43258E-98</v>
      </c>
      <c r="O16727">
        <v>912</v>
      </c>
    </row>
    <row r="16728" spans="1:15" x14ac:dyDescent="0.25">
      <c r="A16728" t="s">
        <v>16741</v>
      </c>
      <c r="B16728">
        <v>565</v>
      </c>
      <c r="C16728" s="1" t="str">
        <f>HYPERLINK("http://www.rosaceae.org/gb/gbrowse/malus_x_domestica/?name=MDP0000302295","MDP0000302295")</f>
        <v>MDP0000302295</v>
      </c>
      <c r="D16728">
        <v>70.34</v>
      </c>
      <c r="E16728">
        <v>580</v>
      </c>
      <c r="F16728">
        <v>172</v>
      </c>
      <c r="G16728">
        <v>54</v>
      </c>
      <c r="H16728">
        <v>1</v>
      </c>
      <c r="I16728">
        <v>565</v>
      </c>
      <c r="J16728">
        <v>1</v>
      </c>
      <c r="K16728">
        <v>294</v>
      </c>
      <c r="L16728">
        <v>834</v>
      </c>
      <c r="M16728">
        <v>1</v>
      </c>
      <c r="N16728">
        <v>0</v>
      </c>
      <c r="O16728">
        <v>2053</v>
      </c>
    </row>
    <row r="16729" spans="1:15" x14ac:dyDescent="0.25">
      <c r="A16729" t="s">
        <v>16742</v>
      </c>
      <c r="B16729">
        <v>636</v>
      </c>
      <c r="C16729" s="1" t="str">
        <f>HYPERLINK("http://www.rosaceae.org/gb/gbrowse/malus_x_domestica/?name=MDP0000269985","MDP0000269985")</f>
        <v>MDP0000269985</v>
      </c>
      <c r="D16729">
        <v>78.5</v>
      </c>
      <c r="E16729">
        <v>400</v>
      </c>
      <c r="F16729">
        <v>86</v>
      </c>
      <c r="G16729">
        <v>1</v>
      </c>
      <c r="H16729">
        <v>237</v>
      </c>
      <c r="I16729">
        <v>636</v>
      </c>
      <c r="J16729">
        <v>1</v>
      </c>
      <c r="K16729">
        <v>770</v>
      </c>
      <c r="L16729">
        <v>1168</v>
      </c>
      <c r="M16729">
        <v>1</v>
      </c>
      <c r="N16729">
        <v>0</v>
      </c>
      <c r="O16729">
        <v>1628</v>
      </c>
    </row>
    <row r="16730" spans="1:15" x14ac:dyDescent="0.25">
      <c r="A16730" t="s">
        <v>16743</v>
      </c>
      <c r="B16730">
        <v>224</v>
      </c>
      <c r="C16730" s="1" t="str">
        <f>HYPERLINK("http://www.rosaceae.org/gb/gbrowse/malus_x_domestica/?name=MDP0000227554","MDP0000227554")</f>
        <v>MDP0000227554</v>
      </c>
      <c r="D16730">
        <v>70.45</v>
      </c>
      <c r="E16730">
        <v>44</v>
      </c>
      <c r="F16730">
        <v>13</v>
      </c>
      <c r="G16730">
        <v>0</v>
      </c>
      <c r="H16730">
        <v>119</v>
      </c>
      <c r="I16730">
        <v>162</v>
      </c>
      <c r="J16730">
        <v>1</v>
      </c>
      <c r="K16730">
        <v>143</v>
      </c>
      <c r="L16730">
        <v>186</v>
      </c>
      <c r="M16730">
        <v>1</v>
      </c>
      <c r="N16730">
        <v>1.6491500000000001E-13</v>
      </c>
      <c r="O16730">
        <v>179</v>
      </c>
    </row>
    <row r="16731" spans="1:15" x14ac:dyDescent="0.25">
      <c r="A16731" t="s">
        <v>16744</v>
      </c>
      <c r="B16731">
        <v>511</v>
      </c>
      <c r="C16731" s="1" t="str">
        <f>HYPERLINK("http://www.rosaceae.org/gb/gbrowse/malus_x_domestica/?name=MDP0000271744","MDP0000271744")</f>
        <v>MDP0000271744</v>
      </c>
      <c r="D16731">
        <v>37.89</v>
      </c>
      <c r="E16731">
        <v>314</v>
      </c>
      <c r="F16731">
        <v>195</v>
      </c>
      <c r="G16731">
        <v>49</v>
      </c>
      <c r="H16731">
        <v>1</v>
      </c>
      <c r="I16731">
        <v>270</v>
      </c>
      <c r="J16731">
        <v>1</v>
      </c>
      <c r="K16731">
        <v>1</v>
      </c>
      <c r="L16731">
        <v>309</v>
      </c>
      <c r="M16731">
        <v>1</v>
      </c>
      <c r="N16731">
        <v>7.8248800000000001E-44</v>
      </c>
      <c r="O16731">
        <v>445</v>
      </c>
    </row>
    <row r="16732" spans="1:15" x14ac:dyDescent="0.25">
      <c r="A16732" t="s">
        <v>16745</v>
      </c>
      <c r="B16732">
        <v>424</v>
      </c>
      <c r="C16732" s="1" t="str">
        <f>HYPERLINK("http://www.rosaceae.org/gb/gbrowse/malus_x_domestica/?name=MDP0000224586","MDP0000224586")</f>
        <v>MDP0000224586</v>
      </c>
      <c r="D16732">
        <v>45.06</v>
      </c>
      <c r="E16732">
        <v>395</v>
      </c>
      <c r="F16732">
        <v>217</v>
      </c>
      <c r="G16732">
        <v>53</v>
      </c>
      <c r="H16732">
        <v>9</v>
      </c>
      <c r="I16732">
        <v>403</v>
      </c>
      <c r="J16732">
        <v>1</v>
      </c>
      <c r="K16732">
        <v>6</v>
      </c>
      <c r="L16732">
        <v>347</v>
      </c>
      <c r="M16732">
        <v>1</v>
      </c>
      <c r="N16732">
        <v>6.6787500000000001E-87</v>
      </c>
      <c r="O16732">
        <v>815</v>
      </c>
    </row>
    <row r="16733" spans="1:15" x14ac:dyDescent="0.25">
      <c r="A16733" t="s">
        <v>16746</v>
      </c>
      <c r="B16733">
        <v>354</v>
      </c>
      <c r="C16733" s="1" t="str">
        <f>HYPERLINK("http://www.rosaceae.org/gb/gbrowse/malus_x_domestica/?name=MDP0000190359","MDP0000190359")</f>
        <v>MDP0000190359</v>
      </c>
      <c r="D16733">
        <v>53.2</v>
      </c>
      <c r="E16733">
        <v>250</v>
      </c>
      <c r="F16733">
        <v>117</v>
      </c>
      <c r="G16733">
        <v>27</v>
      </c>
      <c r="H16733">
        <v>119</v>
      </c>
      <c r="I16733">
        <v>343</v>
      </c>
      <c r="J16733">
        <v>1</v>
      </c>
      <c r="K16733">
        <v>36</v>
      </c>
      <c r="L16733">
        <v>283</v>
      </c>
      <c r="M16733">
        <v>1</v>
      </c>
      <c r="N16733">
        <v>3.7019700000000001E-54</v>
      </c>
      <c r="O16733">
        <v>532</v>
      </c>
    </row>
    <row r="16734" spans="1:15" x14ac:dyDescent="0.25">
      <c r="A16734" t="s">
        <v>16747</v>
      </c>
      <c r="B16734">
        <v>218</v>
      </c>
      <c r="C16734" s="1" t="str">
        <f>HYPERLINK("http://www.rosaceae.org/gb/gbrowse/malus_x_domestica/?name=MDP0000290380","MDP0000290380")</f>
        <v>MDP0000290380</v>
      </c>
      <c r="D16734">
        <v>84.77</v>
      </c>
      <c r="E16734">
        <v>197</v>
      </c>
      <c r="F16734">
        <v>30</v>
      </c>
      <c r="G16734">
        <v>0</v>
      </c>
      <c r="H16734">
        <v>3</v>
      </c>
      <c r="I16734">
        <v>199</v>
      </c>
      <c r="J16734">
        <v>1</v>
      </c>
      <c r="K16734">
        <v>4</v>
      </c>
      <c r="L16734">
        <v>200</v>
      </c>
      <c r="M16734">
        <v>1</v>
      </c>
      <c r="N16734">
        <v>1.4635700000000001E-94</v>
      </c>
      <c r="O16734">
        <v>878</v>
      </c>
    </row>
    <row r="16735" spans="1:15" x14ac:dyDescent="0.25">
      <c r="A16735" t="s">
        <v>16748</v>
      </c>
      <c r="B16735">
        <v>283</v>
      </c>
      <c r="C16735" s="1" t="str">
        <f>HYPERLINK("http://www.rosaceae.org/gb/gbrowse/malus_x_domestica/?name=MDP0000932494","MDP0000932494")</f>
        <v>MDP0000932494</v>
      </c>
      <c r="D16735">
        <v>95.83</v>
      </c>
      <c r="E16735">
        <v>96</v>
      </c>
      <c r="F16735">
        <v>4</v>
      </c>
      <c r="G16735">
        <v>0</v>
      </c>
      <c r="H16735">
        <v>16</v>
      </c>
      <c r="I16735">
        <v>111</v>
      </c>
      <c r="J16735">
        <v>1</v>
      </c>
      <c r="K16735">
        <v>23</v>
      </c>
      <c r="L16735">
        <v>118</v>
      </c>
      <c r="M16735">
        <v>1</v>
      </c>
      <c r="N16735">
        <v>9.0560499999999994E-51</v>
      </c>
      <c r="O16735">
        <v>501</v>
      </c>
    </row>
    <row r="16736" spans="1:15" x14ac:dyDescent="0.25">
      <c r="A16736" t="s">
        <v>16749</v>
      </c>
      <c r="B16736">
        <v>277</v>
      </c>
      <c r="C16736" s="1" t="str">
        <f>HYPERLINK("http://www.rosaceae.org/gb/gbrowse/malus_x_domestica/?name=MDP0000275060","MDP0000275060")</f>
        <v>MDP0000275060</v>
      </c>
      <c r="D16736">
        <v>63.15</v>
      </c>
      <c r="E16736">
        <v>95</v>
      </c>
      <c r="F16736">
        <v>35</v>
      </c>
      <c r="G16736">
        <v>13</v>
      </c>
      <c r="H16736">
        <v>73</v>
      </c>
      <c r="I16736">
        <v>167</v>
      </c>
      <c r="J16736">
        <v>1</v>
      </c>
      <c r="K16736">
        <v>174</v>
      </c>
      <c r="L16736">
        <v>255</v>
      </c>
      <c r="M16736">
        <v>1</v>
      </c>
      <c r="N16736">
        <v>7.0975000000000003E-27</v>
      </c>
      <c r="O16736">
        <v>295</v>
      </c>
    </row>
    <row r="16737" spans="1:15" x14ac:dyDescent="0.25">
      <c r="A16737" t="s">
        <v>16750</v>
      </c>
      <c r="B16737">
        <v>323</v>
      </c>
      <c r="C16737" s="1" t="str">
        <f>HYPERLINK("http://www.rosaceae.org/gb/gbrowse/malus_x_domestica/?name=MDP0000310837","MDP0000310837")</f>
        <v>MDP0000310837</v>
      </c>
      <c r="D16737">
        <v>33.33</v>
      </c>
      <c r="E16737">
        <v>159</v>
      </c>
      <c r="F16737">
        <v>106</v>
      </c>
      <c r="G16737">
        <v>19</v>
      </c>
      <c r="H16737">
        <v>159</v>
      </c>
      <c r="I16737">
        <v>313</v>
      </c>
      <c r="J16737">
        <v>1</v>
      </c>
      <c r="K16737">
        <v>226</v>
      </c>
      <c r="L16737">
        <v>369</v>
      </c>
      <c r="M16737">
        <v>1</v>
      </c>
      <c r="N16737">
        <v>4.3996599999999998E-7</v>
      </c>
      <c r="O16737">
        <v>125</v>
      </c>
    </row>
    <row r="16738" spans="1:15" x14ac:dyDescent="0.25">
      <c r="A16738" t="s">
        <v>16751</v>
      </c>
      <c r="B16738">
        <v>265</v>
      </c>
      <c r="C16738" s="1" t="str">
        <f>HYPERLINK("http://www.rosaceae.org/gb/gbrowse/malus_x_domestica/?name=MDP0000120660","MDP0000120660")</f>
        <v>MDP0000120660</v>
      </c>
      <c r="D16738">
        <v>56.25</v>
      </c>
      <c r="E16738">
        <v>128</v>
      </c>
      <c r="F16738">
        <v>56</v>
      </c>
      <c r="G16738">
        <v>4</v>
      </c>
      <c r="H16738">
        <v>23</v>
      </c>
      <c r="I16738">
        <v>150</v>
      </c>
      <c r="J16738">
        <v>1</v>
      </c>
      <c r="K16738">
        <v>21</v>
      </c>
      <c r="L16738">
        <v>144</v>
      </c>
      <c r="M16738">
        <v>1</v>
      </c>
      <c r="N16738">
        <v>1.01842E-32</v>
      </c>
      <c r="O16738">
        <v>345</v>
      </c>
    </row>
    <row r="16739" spans="1:15" x14ac:dyDescent="0.25">
      <c r="A16739" t="s">
        <v>16752</v>
      </c>
      <c r="B16739">
        <v>125</v>
      </c>
      <c r="C16739" s="1" t="str">
        <f>HYPERLINK("http://www.rosaceae.org/gb/gbrowse/malus_x_domestica/?name=MDP0000165802","MDP0000165802")</f>
        <v>MDP0000165802</v>
      </c>
      <c r="D16739">
        <v>48.52</v>
      </c>
      <c r="E16739">
        <v>68</v>
      </c>
      <c r="F16739">
        <v>35</v>
      </c>
      <c r="G16739">
        <v>9</v>
      </c>
      <c r="H16739">
        <v>4</v>
      </c>
      <c r="I16739">
        <v>71</v>
      </c>
      <c r="J16739">
        <v>1</v>
      </c>
      <c r="K16739">
        <v>453</v>
      </c>
      <c r="L16739">
        <v>511</v>
      </c>
      <c r="M16739">
        <v>1</v>
      </c>
      <c r="N16739">
        <v>5.9074299999999999E-10</v>
      </c>
      <c r="O16739">
        <v>143</v>
      </c>
    </row>
    <row r="16740" spans="1:15" x14ac:dyDescent="0.25">
      <c r="A16740" t="s">
        <v>16753</v>
      </c>
      <c r="B16740">
        <v>472</v>
      </c>
      <c r="C16740" s="1" t="str">
        <f>HYPERLINK("http://www.rosaceae.org/gb/gbrowse/malus_x_domestica/?name=MDP0000221563","MDP0000221563")</f>
        <v>MDP0000221563</v>
      </c>
      <c r="D16740">
        <v>63.75</v>
      </c>
      <c r="E16740">
        <v>469</v>
      </c>
      <c r="F16740">
        <v>170</v>
      </c>
      <c r="G16740">
        <v>6</v>
      </c>
      <c r="H16740">
        <v>10</v>
      </c>
      <c r="I16740">
        <v>472</v>
      </c>
      <c r="J16740">
        <v>1</v>
      </c>
      <c r="K16740">
        <v>5</v>
      </c>
      <c r="L16740">
        <v>473</v>
      </c>
      <c r="M16740">
        <v>1</v>
      </c>
      <c r="N16740">
        <v>2.2460899999999998E-164</v>
      </c>
      <c r="O16740">
        <v>1484</v>
      </c>
    </row>
    <row r="16741" spans="1:15" x14ac:dyDescent="0.25">
      <c r="A16741" t="s">
        <v>16754</v>
      </c>
      <c r="B16741">
        <v>243</v>
      </c>
      <c r="C16741" s="1" t="str">
        <f>HYPERLINK("http://www.rosaceae.org/gb/gbrowse/malus_x_domestica/?name=MDP0000154458","MDP0000154458")</f>
        <v>MDP0000154458</v>
      </c>
      <c r="D16741">
        <v>36.299999999999997</v>
      </c>
      <c r="E16741">
        <v>157</v>
      </c>
      <c r="F16741">
        <v>100</v>
      </c>
      <c r="G16741">
        <v>13</v>
      </c>
      <c r="H16741">
        <v>12</v>
      </c>
      <c r="I16741">
        <v>166</v>
      </c>
      <c r="J16741">
        <v>1</v>
      </c>
      <c r="K16741">
        <v>11</v>
      </c>
      <c r="L16741">
        <v>156</v>
      </c>
      <c r="M16741">
        <v>1</v>
      </c>
      <c r="N16741">
        <v>8.7252199999999999E-17</v>
      </c>
      <c r="O16741">
        <v>208</v>
      </c>
    </row>
    <row r="16742" spans="1:15" x14ac:dyDescent="0.25">
      <c r="A16742" t="s">
        <v>16755</v>
      </c>
      <c r="B16742">
        <v>99</v>
      </c>
      <c r="C16742" s="1" t="str">
        <f>HYPERLINK("http://www.rosaceae.org/gb/gbrowse/malus_x_domestica/?name=MDP0000322989","MDP0000322989")</f>
        <v>MDP0000322989</v>
      </c>
      <c r="D16742">
        <v>55.38</v>
      </c>
      <c r="E16742">
        <v>65</v>
      </c>
      <c r="F16742">
        <v>29</v>
      </c>
      <c r="G16742">
        <v>1</v>
      </c>
      <c r="H16742">
        <v>24</v>
      </c>
      <c r="I16742">
        <v>88</v>
      </c>
      <c r="J16742">
        <v>1</v>
      </c>
      <c r="K16742">
        <v>117</v>
      </c>
      <c r="L16742">
        <v>180</v>
      </c>
      <c r="M16742">
        <v>1</v>
      </c>
      <c r="N16742">
        <v>6.0026199999999995E-13</v>
      </c>
      <c r="O16742">
        <v>169</v>
      </c>
    </row>
    <row r="16743" spans="1:15" x14ac:dyDescent="0.25">
      <c r="A16743" t="s">
        <v>16756</v>
      </c>
      <c r="B16743">
        <v>146</v>
      </c>
      <c r="C16743" s="1" t="str">
        <f>HYPERLINK("http://www.rosaceae.org/gb/gbrowse/malus_x_domestica/?name=MDP0000258269","MDP0000258269")</f>
        <v>MDP0000258269</v>
      </c>
      <c r="D16743">
        <v>63.47</v>
      </c>
      <c r="E16743">
        <v>115</v>
      </c>
      <c r="F16743">
        <v>42</v>
      </c>
      <c r="G16743">
        <v>7</v>
      </c>
      <c r="H16743">
        <v>30</v>
      </c>
      <c r="I16743">
        <v>144</v>
      </c>
      <c r="J16743">
        <v>1</v>
      </c>
      <c r="K16743">
        <v>28</v>
      </c>
      <c r="L16743">
        <v>135</v>
      </c>
      <c r="M16743">
        <v>1</v>
      </c>
      <c r="N16743">
        <v>1.2917699999999999E-34</v>
      </c>
      <c r="O16743">
        <v>358</v>
      </c>
    </row>
    <row r="16744" spans="1:15" x14ac:dyDescent="0.25">
      <c r="A16744" t="s">
        <v>16757</v>
      </c>
      <c r="B16744">
        <v>563</v>
      </c>
      <c r="C16744" s="1" t="str">
        <f>HYPERLINK("http://www.rosaceae.org/gb/gbrowse/malus_x_domestica/?name=MDP0000451570","MDP0000451570")</f>
        <v>MDP0000451570</v>
      </c>
      <c r="D16744">
        <v>39.74</v>
      </c>
      <c r="E16744">
        <v>395</v>
      </c>
      <c r="F16744">
        <v>238</v>
      </c>
      <c r="G16744">
        <v>51</v>
      </c>
      <c r="H16744">
        <v>29</v>
      </c>
      <c r="I16744">
        <v>421</v>
      </c>
      <c r="J16744">
        <v>1</v>
      </c>
      <c r="K16744">
        <v>811</v>
      </c>
      <c r="L16744">
        <v>1156</v>
      </c>
      <c r="M16744">
        <v>1</v>
      </c>
      <c r="N16744">
        <v>4.63227E-63</v>
      </c>
      <c r="O16744">
        <v>611</v>
      </c>
    </row>
    <row r="16745" spans="1:15" x14ac:dyDescent="0.25">
      <c r="A16745" t="s">
        <v>16758</v>
      </c>
      <c r="B16745">
        <v>106</v>
      </c>
      <c r="C16745" s="1" t="str">
        <f>HYPERLINK("http://www.rosaceae.org/gb/gbrowse/malus_x_domestica/?name=MDP0000309673","MDP0000309673")</f>
        <v>MDP0000309673</v>
      </c>
      <c r="D16745">
        <v>55.38</v>
      </c>
      <c r="E16745">
        <v>65</v>
      </c>
      <c r="F16745">
        <v>29</v>
      </c>
      <c r="G16745">
        <v>1</v>
      </c>
      <c r="H16745">
        <v>35</v>
      </c>
      <c r="I16745">
        <v>99</v>
      </c>
      <c r="J16745">
        <v>1</v>
      </c>
      <c r="K16745">
        <v>31</v>
      </c>
      <c r="L16745">
        <v>94</v>
      </c>
      <c r="M16745">
        <v>1</v>
      </c>
      <c r="N16745">
        <v>5.5884700000000005E-16</v>
      </c>
      <c r="O16745">
        <v>195</v>
      </c>
    </row>
    <row r="16746" spans="1:15" x14ac:dyDescent="0.25">
      <c r="A16746" t="s">
        <v>16759</v>
      </c>
      <c r="B16746">
        <v>587</v>
      </c>
      <c r="C16746" s="1" t="str">
        <f>HYPERLINK("http://www.rosaceae.org/gb/gbrowse/malus_x_domestica/?name=MDP0000311284","MDP0000311284")</f>
        <v>MDP0000311284</v>
      </c>
      <c r="D16746">
        <v>70.63</v>
      </c>
      <c r="E16746">
        <v>504</v>
      </c>
      <c r="F16746">
        <v>148</v>
      </c>
      <c r="G16746">
        <v>51</v>
      </c>
      <c r="H16746">
        <v>122</v>
      </c>
      <c r="I16746">
        <v>574</v>
      </c>
      <c r="J16746">
        <v>1</v>
      </c>
      <c r="K16746">
        <v>32</v>
      </c>
      <c r="L16746">
        <v>535</v>
      </c>
      <c r="M16746">
        <v>1</v>
      </c>
      <c r="N16746">
        <v>0</v>
      </c>
      <c r="O16746">
        <v>1910</v>
      </c>
    </row>
    <row r="16747" spans="1:15" x14ac:dyDescent="0.25">
      <c r="A16747" t="s">
        <v>16760</v>
      </c>
      <c r="B16747">
        <v>787</v>
      </c>
      <c r="C16747" s="1" t="str">
        <f>HYPERLINK("http://www.rosaceae.org/gb/gbrowse/malus_x_domestica/?name=MDP0000138661","MDP0000138661")</f>
        <v>MDP0000138661</v>
      </c>
      <c r="D16747">
        <v>85.44</v>
      </c>
      <c r="E16747">
        <v>790</v>
      </c>
      <c r="F16747">
        <v>115</v>
      </c>
      <c r="G16747">
        <v>20</v>
      </c>
      <c r="H16747">
        <v>1</v>
      </c>
      <c r="I16747">
        <v>787</v>
      </c>
      <c r="J16747">
        <v>1</v>
      </c>
      <c r="K16747">
        <v>1</v>
      </c>
      <c r="L16747">
        <v>773</v>
      </c>
      <c r="M16747">
        <v>1</v>
      </c>
      <c r="N16747">
        <v>0</v>
      </c>
      <c r="O16747">
        <v>3633</v>
      </c>
    </row>
    <row r="16748" spans="1:15" x14ac:dyDescent="0.25">
      <c r="A16748" t="s">
        <v>16761</v>
      </c>
      <c r="B16748">
        <v>154</v>
      </c>
      <c r="C16748" s="1" t="str">
        <f>HYPERLINK("http://www.rosaceae.org/gb/gbrowse/malus_x_domestica/?name=MDP0000296887","MDP0000296887")</f>
        <v>MDP0000296887</v>
      </c>
      <c r="D16748">
        <v>31.81</v>
      </c>
      <c r="E16748">
        <v>110</v>
      </c>
      <c r="F16748">
        <v>75</v>
      </c>
      <c r="G16748">
        <v>2</v>
      </c>
      <c r="H16748">
        <v>18</v>
      </c>
      <c r="I16748">
        <v>127</v>
      </c>
      <c r="J16748">
        <v>1</v>
      </c>
      <c r="K16748">
        <v>230</v>
      </c>
      <c r="L16748">
        <v>337</v>
      </c>
      <c r="M16748">
        <v>1</v>
      </c>
      <c r="N16748">
        <v>6.3351400000000001E-9</v>
      </c>
      <c r="O16748">
        <v>137</v>
      </c>
    </row>
    <row r="16749" spans="1:15" x14ac:dyDescent="0.25">
      <c r="A16749" t="s">
        <v>16762</v>
      </c>
      <c r="B16749">
        <v>523</v>
      </c>
      <c r="C16749" s="1" t="str">
        <f>HYPERLINK("http://www.rosaceae.org/gb/gbrowse/malus_x_domestica/?name=MDP0000157499","MDP0000157499")</f>
        <v>MDP0000157499</v>
      </c>
      <c r="D16749">
        <v>66.81</v>
      </c>
      <c r="E16749">
        <v>455</v>
      </c>
      <c r="F16749">
        <v>151</v>
      </c>
      <c r="G16749">
        <v>52</v>
      </c>
      <c r="H16749">
        <v>86</v>
      </c>
      <c r="I16749">
        <v>523</v>
      </c>
      <c r="J16749">
        <v>1</v>
      </c>
      <c r="K16749">
        <v>38</v>
      </c>
      <c r="L16749">
        <v>457</v>
      </c>
      <c r="M16749">
        <v>1</v>
      </c>
      <c r="N16749">
        <v>1.1115299999999999E-171</v>
      </c>
      <c r="O16749">
        <v>1547</v>
      </c>
    </row>
    <row r="16750" spans="1:15" x14ac:dyDescent="0.25">
      <c r="A16750" t="s">
        <v>16763</v>
      </c>
      <c r="B16750">
        <v>177</v>
      </c>
      <c r="C16750" s="1" t="str">
        <f>HYPERLINK("http://www.rosaceae.org/gb/gbrowse/malus_x_domestica/?name=MDP0000167378","MDP0000167378")</f>
        <v>MDP0000167378</v>
      </c>
      <c r="D16750">
        <v>83.7</v>
      </c>
      <c r="E16750">
        <v>135</v>
      </c>
      <c r="F16750">
        <v>22</v>
      </c>
      <c r="G16750">
        <v>4</v>
      </c>
      <c r="H16750">
        <v>42</v>
      </c>
      <c r="I16750">
        <v>176</v>
      </c>
      <c r="J16750">
        <v>1</v>
      </c>
      <c r="K16750">
        <v>45</v>
      </c>
      <c r="L16750">
        <v>175</v>
      </c>
      <c r="M16750">
        <v>1</v>
      </c>
      <c r="N16750">
        <v>1.1624499999999999E-62</v>
      </c>
      <c r="O16750">
        <v>601</v>
      </c>
    </row>
    <row r="16751" spans="1:15" x14ac:dyDescent="0.25">
      <c r="A16751" t="s">
        <v>16764</v>
      </c>
      <c r="B16751">
        <v>474</v>
      </c>
      <c r="C16751" s="1" t="str">
        <f>HYPERLINK("http://www.rosaceae.org/gb/gbrowse/malus_x_domestica/?name=MDP0000772731","MDP0000772731")</f>
        <v>MDP0000772731</v>
      </c>
      <c r="D16751">
        <v>41.07</v>
      </c>
      <c r="E16751">
        <v>280</v>
      </c>
      <c r="F16751">
        <v>165</v>
      </c>
      <c r="G16751">
        <v>37</v>
      </c>
      <c r="H16751">
        <v>4</v>
      </c>
      <c r="I16751">
        <v>263</v>
      </c>
      <c r="J16751">
        <v>1</v>
      </c>
      <c r="K16751">
        <v>7</v>
      </c>
      <c r="L16751">
        <v>269</v>
      </c>
      <c r="M16751">
        <v>1</v>
      </c>
      <c r="N16751">
        <v>2.0437500000000001E-48</v>
      </c>
      <c r="O16751">
        <v>484</v>
      </c>
    </row>
    <row r="16752" spans="1:15" x14ac:dyDescent="0.25">
      <c r="A16752" t="s">
        <v>16765</v>
      </c>
      <c r="B16752">
        <v>135</v>
      </c>
      <c r="C16752" s="1" t="str">
        <f>HYPERLINK("http://www.rosaceae.org/gb/gbrowse/malus_x_domestica/?name=MDP0000250525","MDP0000250525")</f>
        <v>MDP0000250525</v>
      </c>
      <c r="D16752">
        <v>87.21</v>
      </c>
      <c r="E16752">
        <v>133</v>
      </c>
      <c r="F16752">
        <v>17</v>
      </c>
      <c r="G16752">
        <v>0</v>
      </c>
      <c r="H16752">
        <v>1</v>
      </c>
      <c r="I16752">
        <v>133</v>
      </c>
      <c r="J16752">
        <v>1</v>
      </c>
      <c r="K16752">
        <v>42</v>
      </c>
      <c r="L16752">
        <v>174</v>
      </c>
      <c r="M16752">
        <v>1</v>
      </c>
      <c r="N16752">
        <v>9.7273599999999994E-66</v>
      </c>
      <c r="O16752">
        <v>625</v>
      </c>
    </row>
    <row r="16753" spans="1:15" x14ac:dyDescent="0.25">
      <c r="A16753" t="s">
        <v>16766</v>
      </c>
      <c r="B16753">
        <v>1365</v>
      </c>
      <c r="C16753" s="1" t="str">
        <f>HYPERLINK("http://www.rosaceae.org/gb/gbrowse/malus_x_domestica/?name=MDP0000264568","MDP0000264568")</f>
        <v>MDP0000264568</v>
      </c>
      <c r="D16753">
        <v>69.37</v>
      </c>
      <c r="E16753">
        <v>1257</v>
      </c>
      <c r="F16753">
        <v>385</v>
      </c>
      <c r="G16753">
        <v>19</v>
      </c>
      <c r="H16753">
        <v>43</v>
      </c>
      <c r="I16753">
        <v>1288</v>
      </c>
      <c r="J16753">
        <v>1</v>
      </c>
      <c r="K16753">
        <v>385</v>
      </c>
      <c r="L16753">
        <v>1633</v>
      </c>
      <c r="M16753">
        <v>1</v>
      </c>
      <c r="N16753">
        <v>0</v>
      </c>
      <c r="O16753">
        <v>4382</v>
      </c>
    </row>
    <row r="16754" spans="1:15" x14ac:dyDescent="0.25">
      <c r="A16754" t="s">
        <v>16767</v>
      </c>
      <c r="B16754">
        <v>579</v>
      </c>
      <c r="C16754" s="1" t="str">
        <f>HYPERLINK("http://www.rosaceae.org/gb/gbrowse/malus_x_domestica/?name=MDP0000764262","MDP0000764262")</f>
        <v>MDP0000764262</v>
      </c>
      <c r="D16754">
        <v>80.17</v>
      </c>
      <c r="E16754">
        <v>585</v>
      </c>
      <c r="F16754">
        <v>116</v>
      </c>
      <c r="G16754">
        <v>26</v>
      </c>
      <c r="H16754">
        <v>15</v>
      </c>
      <c r="I16754">
        <v>579</v>
      </c>
      <c r="J16754">
        <v>1</v>
      </c>
      <c r="K16754">
        <v>4</v>
      </c>
      <c r="L16754">
        <v>582</v>
      </c>
      <c r="M16754">
        <v>1</v>
      </c>
      <c r="N16754">
        <v>0</v>
      </c>
      <c r="O16754">
        <v>2383</v>
      </c>
    </row>
    <row r="16755" spans="1:15" x14ac:dyDescent="0.25">
      <c r="A16755" t="s">
        <v>16768</v>
      </c>
      <c r="B16755">
        <v>265</v>
      </c>
      <c r="C16755" s="1" t="str">
        <f>HYPERLINK("http://www.rosaceae.org/gb/gbrowse/malus_x_domestica/?name=MDP0000135761","MDP0000135761")</f>
        <v>MDP0000135761</v>
      </c>
      <c r="D16755">
        <v>36.090000000000003</v>
      </c>
      <c r="E16755">
        <v>241</v>
      </c>
      <c r="F16755">
        <v>154</v>
      </c>
      <c r="G16755">
        <v>24</v>
      </c>
      <c r="H16755">
        <v>4</v>
      </c>
      <c r="I16755">
        <v>237</v>
      </c>
      <c r="J16755">
        <v>1</v>
      </c>
      <c r="K16755">
        <v>33</v>
      </c>
      <c r="L16755">
        <v>256</v>
      </c>
      <c r="M16755">
        <v>1</v>
      </c>
      <c r="N16755">
        <v>7.5984299999999995E-36</v>
      </c>
      <c r="O16755">
        <v>372</v>
      </c>
    </row>
    <row r="16756" spans="1:15" x14ac:dyDescent="0.25">
      <c r="A16756" t="s">
        <v>16769</v>
      </c>
      <c r="B16756">
        <v>439</v>
      </c>
      <c r="C16756" s="1" t="str">
        <f>HYPERLINK("http://www.rosaceae.org/gb/gbrowse/malus_x_domestica/?name=MDP0000597812","MDP0000597812")</f>
        <v>MDP0000597812</v>
      </c>
      <c r="D16756">
        <v>60.7</v>
      </c>
      <c r="E16756">
        <v>453</v>
      </c>
      <c r="F16756">
        <v>178</v>
      </c>
      <c r="G16756">
        <v>15</v>
      </c>
      <c r="H16756">
        <v>1</v>
      </c>
      <c r="I16756">
        <v>439</v>
      </c>
      <c r="J16756">
        <v>1</v>
      </c>
      <c r="K16756">
        <v>3</v>
      </c>
      <c r="L16756">
        <v>454</v>
      </c>
      <c r="M16756">
        <v>1</v>
      </c>
      <c r="N16756">
        <v>8.5111399999999995E-158</v>
      </c>
      <c r="O16756">
        <v>1427</v>
      </c>
    </row>
    <row r="16757" spans="1:15" x14ac:dyDescent="0.25">
      <c r="A16757" t="s">
        <v>16770</v>
      </c>
      <c r="B16757">
        <v>434</v>
      </c>
      <c r="C16757" s="1" t="str">
        <f>HYPERLINK("http://www.rosaceae.org/gb/gbrowse/malus_x_domestica/?name=MDP0000271872","MDP0000271872")</f>
        <v>MDP0000271872</v>
      </c>
      <c r="D16757">
        <v>71.13</v>
      </c>
      <c r="E16757">
        <v>440</v>
      </c>
      <c r="F16757">
        <v>127</v>
      </c>
      <c r="G16757">
        <v>13</v>
      </c>
      <c r="H16757">
        <v>4</v>
      </c>
      <c r="I16757">
        <v>432</v>
      </c>
      <c r="J16757">
        <v>1</v>
      </c>
      <c r="K16757">
        <v>3</v>
      </c>
      <c r="L16757">
        <v>440</v>
      </c>
      <c r="M16757">
        <v>1</v>
      </c>
      <c r="N16757">
        <v>0</v>
      </c>
      <c r="O16757">
        <v>1647</v>
      </c>
    </row>
    <row r="16758" spans="1:15" x14ac:dyDescent="0.25">
      <c r="A16758" t="s">
        <v>16771</v>
      </c>
      <c r="B16758">
        <v>281</v>
      </c>
      <c r="C16758" s="1" t="str">
        <f>HYPERLINK("http://www.rosaceae.org/gb/gbrowse/malus_x_domestica/?name=MDP0000212290","MDP0000212290")</f>
        <v>MDP0000212290</v>
      </c>
      <c r="D16758">
        <v>31.15</v>
      </c>
      <c r="E16758">
        <v>260</v>
      </c>
      <c r="F16758">
        <v>179</v>
      </c>
      <c r="G16758">
        <v>33</v>
      </c>
      <c r="H16758">
        <v>15</v>
      </c>
      <c r="I16758">
        <v>249</v>
      </c>
      <c r="J16758">
        <v>1</v>
      </c>
      <c r="K16758">
        <v>190</v>
      </c>
      <c r="L16758">
        <v>441</v>
      </c>
      <c r="M16758">
        <v>1</v>
      </c>
      <c r="N16758">
        <v>5.9353900000000002E-31</v>
      </c>
      <c r="O16758">
        <v>331</v>
      </c>
    </row>
    <row r="16759" spans="1:15" x14ac:dyDescent="0.25">
      <c r="A16759" t="s">
        <v>16772</v>
      </c>
      <c r="B16759">
        <v>506</v>
      </c>
      <c r="C16759" s="1" t="str">
        <f>HYPERLINK("http://www.rosaceae.org/gb/gbrowse/malus_x_domestica/?name=MDP0000157345","MDP0000157345")</f>
        <v>MDP0000157345</v>
      </c>
      <c r="D16759">
        <v>86.77</v>
      </c>
      <c r="E16759">
        <v>499</v>
      </c>
      <c r="F16759">
        <v>66</v>
      </c>
      <c r="G16759">
        <v>0</v>
      </c>
      <c r="H16759">
        <v>1</v>
      </c>
      <c r="I16759">
        <v>499</v>
      </c>
      <c r="J16759">
        <v>1</v>
      </c>
      <c r="K16759">
        <v>1</v>
      </c>
      <c r="L16759">
        <v>499</v>
      </c>
      <c r="M16759">
        <v>1</v>
      </c>
      <c r="N16759">
        <v>0</v>
      </c>
      <c r="O16759">
        <v>2289</v>
      </c>
    </row>
    <row r="16760" spans="1:15" x14ac:dyDescent="0.25">
      <c r="A16760" t="s">
        <v>16773</v>
      </c>
      <c r="B16760">
        <v>222</v>
      </c>
      <c r="C16760" s="1" t="str">
        <f>HYPERLINK("http://www.rosaceae.org/gb/gbrowse/malus_x_domestica/?name=MDP0000279178","MDP0000279178")</f>
        <v>MDP0000279178</v>
      </c>
      <c r="D16760">
        <v>75.459999999999994</v>
      </c>
      <c r="E16760">
        <v>216</v>
      </c>
      <c r="F16760">
        <v>53</v>
      </c>
      <c r="G16760">
        <v>20</v>
      </c>
      <c r="H16760">
        <v>27</v>
      </c>
      <c r="I16760">
        <v>222</v>
      </c>
      <c r="J16760">
        <v>1</v>
      </c>
      <c r="K16760">
        <v>31</v>
      </c>
      <c r="L16760">
        <v>246</v>
      </c>
      <c r="M16760">
        <v>1</v>
      </c>
      <c r="N16760">
        <v>3.9398600000000004E-90</v>
      </c>
      <c r="O16760">
        <v>839</v>
      </c>
    </row>
    <row r="16761" spans="1:15" x14ac:dyDescent="0.25">
      <c r="A16761" t="s">
        <v>16774</v>
      </c>
      <c r="B16761">
        <v>318</v>
      </c>
      <c r="C16761" s="1" t="str">
        <f>HYPERLINK("http://www.rosaceae.org/gb/gbrowse/malus_x_domestica/?name=MDP0000156973","MDP0000156973")</f>
        <v>MDP0000156973</v>
      </c>
      <c r="D16761">
        <v>42.29</v>
      </c>
      <c r="E16761">
        <v>305</v>
      </c>
      <c r="F16761">
        <v>176</v>
      </c>
      <c r="G16761">
        <v>5</v>
      </c>
      <c r="H16761">
        <v>1</v>
      </c>
      <c r="I16761">
        <v>302</v>
      </c>
      <c r="J16761">
        <v>1</v>
      </c>
      <c r="K16761">
        <v>1</v>
      </c>
      <c r="L16761">
        <v>303</v>
      </c>
      <c r="M16761">
        <v>1</v>
      </c>
      <c r="N16761">
        <v>6.00026E-66</v>
      </c>
      <c r="O16761">
        <v>633</v>
      </c>
    </row>
    <row r="16762" spans="1:15" x14ac:dyDescent="0.25">
      <c r="A16762" t="s">
        <v>16775</v>
      </c>
      <c r="B16762">
        <v>340</v>
      </c>
      <c r="C16762" s="1" t="str">
        <f>HYPERLINK("http://www.rosaceae.org/gb/gbrowse/malus_x_domestica/?name=MDP0000944210","MDP0000944210")</f>
        <v>MDP0000944210</v>
      </c>
      <c r="D16762">
        <v>60.84</v>
      </c>
      <c r="E16762">
        <v>355</v>
      </c>
      <c r="F16762">
        <v>139</v>
      </c>
      <c r="G16762">
        <v>64</v>
      </c>
      <c r="H16762">
        <v>1</v>
      </c>
      <c r="I16762">
        <v>336</v>
      </c>
      <c r="J16762">
        <v>1</v>
      </c>
      <c r="K16762">
        <v>1</v>
      </c>
      <c r="L16762">
        <v>310</v>
      </c>
      <c r="M16762">
        <v>1</v>
      </c>
      <c r="N16762">
        <v>3.0636699999999999E-103</v>
      </c>
      <c r="O16762">
        <v>955</v>
      </c>
    </row>
    <row r="16763" spans="1:15" x14ac:dyDescent="0.25">
      <c r="A16763" t="s">
        <v>16776</v>
      </c>
      <c r="B16763">
        <v>349</v>
      </c>
      <c r="C16763" s="1" t="str">
        <f>HYPERLINK("http://www.rosaceae.org/gb/gbrowse/malus_x_domestica/?name=MDP0000162123","MDP0000162123")</f>
        <v>MDP0000162123</v>
      </c>
      <c r="D16763">
        <v>53.58</v>
      </c>
      <c r="E16763">
        <v>237</v>
      </c>
      <c r="F16763">
        <v>110</v>
      </c>
      <c r="G16763">
        <v>20</v>
      </c>
      <c r="H16763">
        <v>105</v>
      </c>
      <c r="I16763">
        <v>341</v>
      </c>
      <c r="J16763">
        <v>1</v>
      </c>
      <c r="K16763">
        <v>5</v>
      </c>
      <c r="L16763">
        <v>221</v>
      </c>
      <c r="M16763">
        <v>1</v>
      </c>
      <c r="N16763">
        <v>1.08663E-66</v>
      </c>
      <c r="O16763">
        <v>640</v>
      </c>
    </row>
    <row r="16764" spans="1:15" x14ac:dyDescent="0.25">
      <c r="A16764" t="s">
        <v>16777</v>
      </c>
      <c r="B16764">
        <v>373</v>
      </c>
      <c r="C16764" s="1" t="str">
        <f>HYPERLINK("http://www.rosaceae.org/gb/gbrowse/malus_x_domestica/?name=MDP0000172708","MDP0000172708")</f>
        <v>MDP0000172708</v>
      </c>
      <c r="D16764">
        <v>69.37</v>
      </c>
      <c r="E16764">
        <v>369</v>
      </c>
      <c r="F16764">
        <v>113</v>
      </c>
      <c r="G16764">
        <v>6</v>
      </c>
      <c r="H16764">
        <v>5</v>
      </c>
      <c r="I16764">
        <v>373</v>
      </c>
      <c r="J16764">
        <v>1</v>
      </c>
      <c r="K16764">
        <v>3</v>
      </c>
      <c r="L16764">
        <v>365</v>
      </c>
      <c r="M16764">
        <v>1</v>
      </c>
      <c r="N16764">
        <v>2.0701600000000001E-154</v>
      </c>
      <c r="O16764">
        <v>1397</v>
      </c>
    </row>
    <row r="16765" spans="1:15" x14ac:dyDescent="0.25">
      <c r="A16765" t="s">
        <v>16778</v>
      </c>
      <c r="B16765">
        <v>332</v>
      </c>
      <c r="C16765" s="1" t="str">
        <f>HYPERLINK("http://www.rosaceae.org/gb/gbrowse/malus_x_domestica/?name=MDP0000282839","MDP0000282839")</f>
        <v>MDP0000282839</v>
      </c>
      <c r="D16765">
        <v>71.94</v>
      </c>
      <c r="E16765">
        <v>335</v>
      </c>
      <c r="F16765">
        <v>94</v>
      </c>
      <c r="G16765">
        <v>33</v>
      </c>
      <c r="H16765">
        <v>1</v>
      </c>
      <c r="I16765">
        <v>302</v>
      </c>
      <c r="J16765">
        <v>1</v>
      </c>
      <c r="K16765">
        <v>8</v>
      </c>
      <c r="L16765">
        <v>342</v>
      </c>
      <c r="M16765">
        <v>1</v>
      </c>
      <c r="N16765">
        <v>7.4811E-128</v>
      </c>
      <c r="O16765">
        <v>1167</v>
      </c>
    </row>
    <row r="16766" spans="1:15" x14ac:dyDescent="0.25">
      <c r="A16766" t="s">
        <v>16779</v>
      </c>
      <c r="B16766">
        <v>154</v>
      </c>
      <c r="C16766" s="1" t="str">
        <f>HYPERLINK("http://www.rosaceae.org/gb/gbrowse/malus_x_domestica/?name=MDP0000145990","MDP0000145990")</f>
        <v>MDP0000145990</v>
      </c>
      <c r="D16766">
        <v>71.42</v>
      </c>
      <c r="E16766">
        <v>133</v>
      </c>
      <c r="F16766">
        <v>38</v>
      </c>
      <c r="G16766">
        <v>12</v>
      </c>
      <c r="H16766">
        <v>1</v>
      </c>
      <c r="I16766">
        <v>124</v>
      </c>
      <c r="J16766">
        <v>1</v>
      </c>
      <c r="K16766">
        <v>4</v>
      </c>
      <c r="L16766">
        <v>133</v>
      </c>
      <c r="M16766">
        <v>1</v>
      </c>
      <c r="N16766">
        <v>1.21127E-46</v>
      </c>
      <c r="O16766">
        <v>462</v>
      </c>
    </row>
    <row r="16767" spans="1:15" x14ac:dyDescent="0.25">
      <c r="A16767" t="s">
        <v>16780</v>
      </c>
      <c r="B16767">
        <v>189</v>
      </c>
      <c r="C16767" s="1" t="str">
        <f>HYPERLINK("http://www.rosaceae.org/gb/gbrowse/malus_x_domestica/?name=MDP0000199385","MDP0000199385")</f>
        <v>MDP0000199385</v>
      </c>
      <c r="D16767">
        <v>54.38</v>
      </c>
      <c r="E16767">
        <v>171</v>
      </c>
      <c r="F16767">
        <v>78</v>
      </c>
      <c r="G16767">
        <v>20</v>
      </c>
      <c r="H16767">
        <v>9</v>
      </c>
      <c r="I16767">
        <v>170</v>
      </c>
      <c r="J16767">
        <v>1</v>
      </c>
      <c r="K16767">
        <v>320</v>
      </c>
      <c r="L16767">
        <v>479</v>
      </c>
      <c r="M16767">
        <v>1</v>
      </c>
      <c r="N16767">
        <v>2.5639600000000001E-39</v>
      </c>
      <c r="O16767">
        <v>400</v>
      </c>
    </row>
    <row r="16768" spans="1:15" x14ac:dyDescent="0.25">
      <c r="A16768" t="s">
        <v>16781</v>
      </c>
      <c r="B16768">
        <v>374</v>
      </c>
      <c r="C16768" s="1" t="str">
        <f>HYPERLINK("http://www.rosaceae.org/gb/gbrowse/malus_x_domestica/?name=MDP0000469526","MDP0000469526")</f>
        <v>MDP0000469526</v>
      </c>
      <c r="D16768">
        <v>81.55</v>
      </c>
      <c r="E16768">
        <v>374</v>
      </c>
      <c r="F16768">
        <v>69</v>
      </c>
      <c r="G16768">
        <v>2</v>
      </c>
      <c r="H16768">
        <v>1</v>
      </c>
      <c r="I16768">
        <v>374</v>
      </c>
      <c r="J16768">
        <v>1</v>
      </c>
      <c r="K16768">
        <v>1</v>
      </c>
      <c r="L16768">
        <v>372</v>
      </c>
      <c r="M16768">
        <v>1</v>
      </c>
      <c r="N16768">
        <v>4.9955100000000002E-179</v>
      </c>
      <c r="O16768">
        <v>1609</v>
      </c>
    </row>
    <row r="16769" spans="1:15" x14ac:dyDescent="0.25">
      <c r="A16769" t="s">
        <v>16782</v>
      </c>
      <c r="B16769">
        <v>209</v>
      </c>
      <c r="C16769" s="1" t="str">
        <f>HYPERLINK("http://www.rosaceae.org/gb/gbrowse/malus_x_domestica/?name=MDP0000243375","MDP0000243375")</f>
        <v>MDP0000243375</v>
      </c>
      <c r="D16769">
        <v>56.65</v>
      </c>
      <c r="E16769">
        <v>203</v>
      </c>
      <c r="F16769">
        <v>88</v>
      </c>
      <c r="G16769">
        <v>25</v>
      </c>
      <c r="H16769">
        <v>1</v>
      </c>
      <c r="I16769">
        <v>203</v>
      </c>
      <c r="J16769">
        <v>1</v>
      </c>
      <c r="K16769">
        <v>1</v>
      </c>
      <c r="L16769">
        <v>178</v>
      </c>
      <c r="M16769">
        <v>1</v>
      </c>
      <c r="N16769">
        <v>2.18446E-53</v>
      </c>
      <c r="O16769">
        <v>522</v>
      </c>
    </row>
    <row r="16770" spans="1:15" x14ac:dyDescent="0.25">
      <c r="A16770" t="s">
        <v>16783</v>
      </c>
      <c r="B16770">
        <v>307</v>
      </c>
      <c r="C16770" s="1" t="str">
        <f>HYPERLINK("http://www.rosaceae.org/gb/gbrowse/malus_x_domestica/?name=MDP0000529471","MDP0000529471")</f>
        <v>MDP0000529471</v>
      </c>
      <c r="D16770">
        <v>39.08</v>
      </c>
      <c r="E16770">
        <v>87</v>
      </c>
      <c r="F16770">
        <v>53</v>
      </c>
      <c r="G16770">
        <v>4</v>
      </c>
      <c r="H16770">
        <v>221</v>
      </c>
      <c r="I16770">
        <v>304</v>
      </c>
      <c r="J16770">
        <v>1</v>
      </c>
      <c r="K16770">
        <v>268</v>
      </c>
      <c r="L16770">
        <v>353</v>
      </c>
      <c r="M16770">
        <v>1</v>
      </c>
      <c r="N16770">
        <v>6.7261099999999996E-9</v>
      </c>
      <c r="O16770">
        <v>141</v>
      </c>
    </row>
    <row r="16771" spans="1:15" x14ac:dyDescent="0.25">
      <c r="A16771" t="s">
        <v>16784</v>
      </c>
      <c r="B16771">
        <v>272</v>
      </c>
      <c r="C16771" s="1" t="str">
        <f>HYPERLINK("http://www.rosaceae.org/gb/gbrowse/malus_x_domestica/?name=MDP0000372941","MDP0000372941")</f>
        <v>MDP0000372941</v>
      </c>
      <c r="D16771">
        <v>38.380000000000003</v>
      </c>
      <c r="E16771">
        <v>284</v>
      </c>
      <c r="F16771">
        <v>175</v>
      </c>
      <c r="G16771">
        <v>79</v>
      </c>
      <c r="H16771">
        <v>1</v>
      </c>
      <c r="I16771">
        <v>207</v>
      </c>
      <c r="J16771">
        <v>1</v>
      </c>
      <c r="K16771">
        <v>37</v>
      </c>
      <c r="L16771">
        <v>318</v>
      </c>
      <c r="M16771">
        <v>1</v>
      </c>
      <c r="N16771">
        <v>2.0456E-45</v>
      </c>
      <c r="O16771">
        <v>455</v>
      </c>
    </row>
    <row r="16772" spans="1:15" x14ac:dyDescent="0.25">
      <c r="A16772" t="s">
        <v>16785</v>
      </c>
      <c r="B16772">
        <v>168</v>
      </c>
      <c r="C16772" s="1" t="str">
        <f>HYPERLINK("http://www.rosaceae.org/gb/gbrowse/malus_x_domestica/?name=MDP0000179765","MDP0000179765")</f>
        <v>MDP0000179765</v>
      </c>
      <c r="D16772">
        <v>51.92</v>
      </c>
      <c r="E16772">
        <v>156</v>
      </c>
      <c r="F16772">
        <v>75</v>
      </c>
      <c r="G16772">
        <v>10</v>
      </c>
      <c r="H16772">
        <v>1</v>
      </c>
      <c r="I16772">
        <v>156</v>
      </c>
      <c r="J16772">
        <v>1</v>
      </c>
      <c r="K16772">
        <v>1</v>
      </c>
      <c r="L16772">
        <v>146</v>
      </c>
      <c r="M16772">
        <v>1</v>
      </c>
      <c r="N16772">
        <v>9.5604399999999998E-41</v>
      </c>
      <c r="O16772">
        <v>412</v>
      </c>
    </row>
    <row r="16773" spans="1:15" x14ac:dyDescent="0.25">
      <c r="A16773" t="s">
        <v>16786</v>
      </c>
      <c r="B16773">
        <v>343</v>
      </c>
      <c r="C16773" s="1" t="str">
        <f>HYPERLINK("http://www.rosaceae.org/gb/gbrowse/malus_x_domestica/?name=MDP0000209385","MDP0000209385")</f>
        <v>MDP0000209385</v>
      </c>
      <c r="D16773">
        <v>85.45</v>
      </c>
      <c r="E16773">
        <v>55</v>
      </c>
      <c r="F16773">
        <v>8</v>
      </c>
      <c r="G16773">
        <v>0</v>
      </c>
      <c r="H16773">
        <v>1</v>
      </c>
      <c r="I16773">
        <v>55</v>
      </c>
      <c r="J16773">
        <v>1</v>
      </c>
      <c r="K16773">
        <v>1</v>
      </c>
      <c r="L16773">
        <v>55</v>
      </c>
      <c r="M16773">
        <v>1</v>
      </c>
      <c r="N16773">
        <v>5.5043899999999997E-25</v>
      </c>
      <c r="O16773">
        <v>280</v>
      </c>
    </row>
    <row r="16774" spans="1:15" x14ac:dyDescent="0.25">
      <c r="A16774" t="s">
        <v>16787</v>
      </c>
      <c r="B16774">
        <v>142</v>
      </c>
      <c r="C16774" s="1" t="str">
        <f>HYPERLINK("http://www.rosaceae.org/gb/gbrowse/malus_x_domestica/?name=MDP0000237977","MDP0000237977")</f>
        <v>MDP0000237977</v>
      </c>
      <c r="D16774">
        <v>56.93</v>
      </c>
      <c r="E16774">
        <v>137</v>
      </c>
      <c r="F16774">
        <v>59</v>
      </c>
      <c r="G16774">
        <v>10</v>
      </c>
      <c r="H16774">
        <v>1</v>
      </c>
      <c r="I16774">
        <v>131</v>
      </c>
      <c r="J16774">
        <v>1</v>
      </c>
      <c r="K16774">
        <v>1</v>
      </c>
      <c r="L16774">
        <v>133</v>
      </c>
      <c r="M16774">
        <v>1</v>
      </c>
      <c r="N16774">
        <v>4.1986300000000002E-35</v>
      </c>
      <c r="O16774">
        <v>362</v>
      </c>
    </row>
    <row r="16775" spans="1:15" x14ac:dyDescent="0.25">
      <c r="A16775" t="s">
        <v>16788</v>
      </c>
      <c r="B16775">
        <v>585</v>
      </c>
      <c r="C16775" s="1" t="str">
        <f>HYPERLINK("http://www.rosaceae.org/gb/gbrowse/malus_x_domestica/?name=MDP0000275383","MDP0000275383")</f>
        <v>MDP0000275383</v>
      </c>
      <c r="D16775">
        <v>84.53</v>
      </c>
      <c r="E16775">
        <v>304</v>
      </c>
      <c r="F16775">
        <v>47</v>
      </c>
      <c r="G16775">
        <v>2</v>
      </c>
      <c r="H16775">
        <v>1</v>
      </c>
      <c r="I16775">
        <v>304</v>
      </c>
      <c r="J16775">
        <v>1</v>
      </c>
      <c r="K16775">
        <v>1</v>
      </c>
      <c r="L16775">
        <v>302</v>
      </c>
      <c r="M16775">
        <v>1</v>
      </c>
      <c r="N16775">
        <v>2.1099699999999999E-147</v>
      </c>
      <c r="O16775">
        <v>1338</v>
      </c>
    </row>
    <row r="16776" spans="1:15" x14ac:dyDescent="0.25">
      <c r="A16776" t="s">
        <v>16789</v>
      </c>
      <c r="B16776">
        <v>160</v>
      </c>
      <c r="C16776" s="1" t="str">
        <f>HYPERLINK("http://www.rosaceae.org/gb/gbrowse/malus_x_domestica/?name=MDP0000119856","MDP0000119856")</f>
        <v>MDP0000119856</v>
      </c>
      <c r="D16776">
        <v>50.36</v>
      </c>
      <c r="E16776">
        <v>137</v>
      </c>
      <c r="F16776">
        <v>68</v>
      </c>
      <c r="G16776">
        <v>12</v>
      </c>
      <c r="H16776">
        <v>24</v>
      </c>
      <c r="I16776">
        <v>158</v>
      </c>
      <c r="J16776">
        <v>1</v>
      </c>
      <c r="K16776">
        <v>25</v>
      </c>
      <c r="L16776">
        <v>151</v>
      </c>
      <c r="M16776">
        <v>1</v>
      </c>
      <c r="N16776">
        <v>1.5498999999999999E-19</v>
      </c>
      <c r="O16776">
        <v>228</v>
      </c>
    </row>
    <row r="16777" spans="1:15" x14ac:dyDescent="0.25">
      <c r="A16777" t="s">
        <v>16790</v>
      </c>
      <c r="B16777">
        <v>119</v>
      </c>
      <c r="C16777" s="1" t="str">
        <f>HYPERLINK("http://www.rosaceae.org/gb/gbrowse/malus_x_domestica/?name=MDP0000473823","MDP0000473823")</f>
        <v>MDP0000473823</v>
      </c>
      <c r="D16777">
        <v>41.66</v>
      </c>
      <c r="E16777">
        <v>120</v>
      </c>
      <c r="F16777">
        <v>70</v>
      </c>
      <c r="G16777">
        <v>6</v>
      </c>
      <c r="H16777">
        <v>4</v>
      </c>
      <c r="I16777">
        <v>119</v>
      </c>
      <c r="J16777">
        <v>1</v>
      </c>
      <c r="K16777">
        <v>2</v>
      </c>
      <c r="L16777">
        <v>119</v>
      </c>
      <c r="M16777">
        <v>1</v>
      </c>
      <c r="N16777">
        <v>7.8525599999999998E-19</v>
      </c>
      <c r="O16777">
        <v>220</v>
      </c>
    </row>
    <row r="16778" spans="1:15" x14ac:dyDescent="0.25">
      <c r="A16778" t="s">
        <v>16791</v>
      </c>
      <c r="B16778">
        <v>397</v>
      </c>
      <c r="C16778" s="1" t="str">
        <f>HYPERLINK("http://www.rosaceae.org/gb/gbrowse/malus_x_domestica/?name=MDP0000204554","MDP0000204554")</f>
        <v>MDP0000204554</v>
      </c>
      <c r="D16778">
        <v>58.78</v>
      </c>
      <c r="E16778">
        <v>427</v>
      </c>
      <c r="F16778">
        <v>176</v>
      </c>
      <c r="G16778">
        <v>45</v>
      </c>
      <c r="H16778">
        <v>1</v>
      </c>
      <c r="I16778">
        <v>397</v>
      </c>
      <c r="J16778">
        <v>1</v>
      </c>
      <c r="K16778">
        <v>1</v>
      </c>
      <c r="L16778">
        <v>412</v>
      </c>
      <c r="M16778">
        <v>1</v>
      </c>
      <c r="N16778">
        <v>5.23472E-132</v>
      </c>
      <c r="O16778">
        <v>1204</v>
      </c>
    </row>
    <row r="16779" spans="1:15" x14ac:dyDescent="0.25">
      <c r="A16779" t="s">
        <v>16792</v>
      </c>
      <c r="B16779">
        <v>269</v>
      </c>
      <c r="C16779" s="1" t="str">
        <f>HYPERLINK("http://www.rosaceae.org/gb/gbrowse/malus_x_domestica/?name=MDP0000218374","MDP0000218374")</f>
        <v>MDP0000218374</v>
      </c>
      <c r="D16779">
        <v>75.459999999999994</v>
      </c>
      <c r="E16779">
        <v>269</v>
      </c>
      <c r="F16779">
        <v>66</v>
      </c>
      <c r="G16779">
        <v>15</v>
      </c>
      <c r="H16779">
        <v>15</v>
      </c>
      <c r="I16779">
        <v>268</v>
      </c>
      <c r="J16779">
        <v>1</v>
      </c>
      <c r="K16779">
        <v>112</v>
      </c>
      <c r="L16779">
        <v>380</v>
      </c>
      <c r="M16779">
        <v>1</v>
      </c>
      <c r="N16779">
        <v>5.8358599999999997E-109</v>
      </c>
      <c r="O16779">
        <v>1003</v>
      </c>
    </row>
    <row r="16780" spans="1:15" x14ac:dyDescent="0.25">
      <c r="A16780" t="s">
        <v>16793</v>
      </c>
      <c r="B16780">
        <v>226</v>
      </c>
      <c r="C16780" s="1" t="str">
        <f>HYPERLINK("http://www.rosaceae.org/gb/gbrowse/malus_x_domestica/?name=MDP0000269840","MDP0000269840")</f>
        <v>MDP0000269840</v>
      </c>
      <c r="D16780">
        <v>82.3</v>
      </c>
      <c r="E16780">
        <v>130</v>
      </c>
      <c r="F16780">
        <v>23</v>
      </c>
      <c r="G16780">
        <v>4</v>
      </c>
      <c r="H16780">
        <v>96</v>
      </c>
      <c r="I16780">
        <v>225</v>
      </c>
      <c r="J16780">
        <v>1</v>
      </c>
      <c r="K16780">
        <v>1836</v>
      </c>
      <c r="L16780">
        <v>1961</v>
      </c>
      <c r="M16780">
        <v>1</v>
      </c>
      <c r="N16780">
        <v>3.36458E-55</v>
      </c>
      <c r="O16780">
        <v>538</v>
      </c>
    </row>
    <row r="16781" spans="1:15" x14ac:dyDescent="0.25">
      <c r="A16781" t="s">
        <v>16794</v>
      </c>
      <c r="B16781">
        <v>684</v>
      </c>
      <c r="C16781" s="1" t="str">
        <f>HYPERLINK("http://www.rosaceae.org/gb/gbrowse/malus_x_domestica/?name=MDP0000216052","MDP0000216052")</f>
        <v>MDP0000216052</v>
      </c>
      <c r="D16781">
        <v>53.65</v>
      </c>
      <c r="E16781">
        <v>205</v>
      </c>
      <c r="F16781">
        <v>95</v>
      </c>
      <c r="G16781">
        <v>17</v>
      </c>
      <c r="H16781">
        <v>183</v>
      </c>
      <c r="I16781">
        <v>374</v>
      </c>
      <c r="J16781">
        <v>1</v>
      </c>
      <c r="K16781">
        <v>226</v>
      </c>
      <c r="L16781">
        <v>426</v>
      </c>
      <c r="M16781">
        <v>1</v>
      </c>
      <c r="N16781">
        <v>2.27988E-52</v>
      </c>
      <c r="O16781">
        <v>519</v>
      </c>
    </row>
    <row r="16782" spans="1:15" x14ac:dyDescent="0.25">
      <c r="A16782" t="s">
        <v>16795</v>
      </c>
      <c r="B16782">
        <v>429</v>
      </c>
      <c r="C16782" s="1" t="str">
        <f>HYPERLINK("http://www.rosaceae.org/gb/gbrowse/malus_x_domestica/?name=MDP0000262642","MDP0000262642")</f>
        <v>MDP0000262642</v>
      </c>
      <c r="D16782">
        <v>76.16</v>
      </c>
      <c r="E16782">
        <v>407</v>
      </c>
      <c r="F16782">
        <v>97</v>
      </c>
      <c r="G16782">
        <v>45</v>
      </c>
      <c r="H16782">
        <v>24</v>
      </c>
      <c r="I16782">
        <v>429</v>
      </c>
      <c r="J16782">
        <v>1</v>
      </c>
      <c r="K16782">
        <v>262</v>
      </c>
      <c r="L16782">
        <v>624</v>
      </c>
      <c r="M16782">
        <v>1</v>
      </c>
      <c r="N16782">
        <v>0</v>
      </c>
      <c r="O16782">
        <v>1647</v>
      </c>
    </row>
    <row r="16783" spans="1:15" x14ac:dyDescent="0.25">
      <c r="A16783" t="s">
        <v>16796</v>
      </c>
      <c r="B16783">
        <v>253</v>
      </c>
      <c r="C16783" s="1" t="str">
        <f>HYPERLINK("http://www.rosaceae.org/gb/gbrowse/malus_x_domestica/?name=MDP0000228494","MDP0000228494")</f>
        <v>MDP0000228494</v>
      </c>
      <c r="D16783">
        <v>83.53</v>
      </c>
      <c r="E16783">
        <v>249</v>
      </c>
      <c r="F16783">
        <v>41</v>
      </c>
      <c r="G16783">
        <v>1</v>
      </c>
      <c r="H16783">
        <v>5</v>
      </c>
      <c r="I16783">
        <v>253</v>
      </c>
      <c r="J16783">
        <v>1</v>
      </c>
      <c r="K16783">
        <v>7</v>
      </c>
      <c r="L16783">
        <v>254</v>
      </c>
      <c r="M16783">
        <v>1</v>
      </c>
      <c r="N16783">
        <v>1.07174E-117</v>
      </c>
      <c r="O16783">
        <v>1078</v>
      </c>
    </row>
    <row r="16784" spans="1:15" x14ac:dyDescent="0.25">
      <c r="A16784" t="s">
        <v>16797</v>
      </c>
      <c r="B16784">
        <v>306</v>
      </c>
      <c r="C16784" s="1" t="str">
        <f>HYPERLINK("http://www.rosaceae.org/gb/gbrowse/malus_x_domestica/?name=MDP0000642684","MDP0000642684")</f>
        <v>MDP0000642684</v>
      </c>
      <c r="D16784">
        <v>65.13</v>
      </c>
      <c r="E16784">
        <v>109</v>
      </c>
      <c r="F16784">
        <v>38</v>
      </c>
      <c r="G16784">
        <v>24</v>
      </c>
      <c r="H16784">
        <v>114</v>
      </c>
      <c r="I16784">
        <v>222</v>
      </c>
      <c r="J16784">
        <v>1</v>
      </c>
      <c r="K16784">
        <v>8</v>
      </c>
      <c r="L16784">
        <v>92</v>
      </c>
      <c r="M16784">
        <v>1</v>
      </c>
      <c r="N16784">
        <v>9.91209E-36</v>
      </c>
      <c r="O16784">
        <v>372</v>
      </c>
    </row>
    <row r="16785" spans="1:15" x14ac:dyDescent="0.25">
      <c r="A16785" t="s">
        <v>16798</v>
      </c>
      <c r="B16785">
        <v>545</v>
      </c>
      <c r="C16785" s="1" t="str">
        <f>HYPERLINK("http://www.rosaceae.org/gb/gbrowse/malus_x_domestica/?name=MDP0000176373","MDP0000176373")</f>
        <v>MDP0000176373</v>
      </c>
      <c r="D16785">
        <v>33.01</v>
      </c>
      <c r="E16785">
        <v>318</v>
      </c>
      <c r="F16785">
        <v>213</v>
      </c>
      <c r="G16785">
        <v>52</v>
      </c>
      <c r="H16785">
        <v>162</v>
      </c>
      <c r="I16785">
        <v>445</v>
      </c>
      <c r="J16785">
        <v>1</v>
      </c>
      <c r="K16785">
        <v>201</v>
      </c>
      <c r="L16785">
        <v>500</v>
      </c>
      <c r="M16785">
        <v>1</v>
      </c>
      <c r="N16785">
        <v>1.7206199999999999E-22</v>
      </c>
      <c r="O16785">
        <v>261</v>
      </c>
    </row>
    <row r="16786" spans="1:15" x14ac:dyDescent="0.25">
      <c r="A16786" t="s">
        <v>16799</v>
      </c>
      <c r="B16786">
        <v>651</v>
      </c>
      <c r="C16786" s="1" t="str">
        <f>HYPERLINK("http://www.rosaceae.org/gb/gbrowse/malus_x_domestica/?name=MDP0000144916","MDP0000144916")</f>
        <v>MDP0000144916</v>
      </c>
      <c r="D16786">
        <v>78.42</v>
      </c>
      <c r="E16786">
        <v>635</v>
      </c>
      <c r="F16786">
        <v>137</v>
      </c>
      <c r="G16786">
        <v>9</v>
      </c>
      <c r="H16786">
        <v>8</v>
      </c>
      <c r="I16786">
        <v>633</v>
      </c>
      <c r="J16786">
        <v>1</v>
      </c>
      <c r="K16786">
        <v>787</v>
      </c>
      <c r="L16786">
        <v>1421</v>
      </c>
      <c r="M16786">
        <v>1</v>
      </c>
      <c r="N16786">
        <v>0</v>
      </c>
      <c r="O16786">
        <v>2635</v>
      </c>
    </row>
    <row r="16787" spans="1:15" x14ac:dyDescent="0.25">
      <c r="A16787" t="s">
        <v>16800</v>
      </c>
      <c r="B16787">
        <v>278</v>
      </c>
      <c r="C16787" s="1" t="str">
        <f>HYPERLINK("http://www.rosaceae.org/gb/gbrowse/malus_x_domestica/?name=MDP0000278293","MDP0000278293")</f>
        <v>MDP0000278293</v>
      </c>
      <c r="D16787">
        <v>69.959999999999994</v>
      </c>
      <c r="E16787">
        <v>313</v>
      </c>
      <c r="F16787">
        <v>94</v>
      </c>
      <c r="G16787">
        <v>35</v>
      </c>
      <c r="H16787">
        <v>1</v>
      </c>
      <c r="I16787">
        <v>278</v>
      </c>
      <c r="J16787">
        <v>1</v>
      </c>
      <c r="K16787">
        <v>153</v>
      </c>
      <c r="L16787">
        <v>465</v>
      </c>
      <c r="M16787">
        <v>1</v>
      </c>
      <c r="N16787">
        <v>8.5498500000000008E-124</v>
      </c>
      <c r="O16787">
        <v>1131</v>
      </c>
    </row>
    <row r="16788" spans="1:15" x14ac:dyDescent="0.25">
      <c r="A16788" t="s">
        <v>16801</v>
      </c>
      <c r="B16788">
        <v>211</v>
      </c>
      <c r="C16788" s="1" t="str">
        <f>HYPERLINK("http://www.rosaceae.org/gb/gbrowse/malus_x_domestica/?name=MDP0000309915","MDP0000309915")</f>
        <v>MDP0000309915</v>
      </c>
      <c r="D16788">
        <v>87.11</v>
      </c>
      <c r="E16788">
        <v>194</v>
      </c>
      <c r="F16788">
        <v>25</v>
      </c>
      <c r="G16788">
        <v>2</v>
      </c>
      <c r="H16788">
        <v>19</v>
      </c>
      <c r="I16788">
        <v>211</v>
      </c>
      <c r="J16788">
        <v>1</v>
      </c>
      <c r="K16788">
        <v>762</v>
      </c>
      <c r="L16788">
        <v>954</v>
      </c>
      <c r="M16788">
        <v>1</v>
      </c>
      <c r="N16788">
        <v>4.2452000000000001E-97</v>
      </c>
      <c r="O16788">
        <v>899</v>
      </c>
    </row>
    <row r="16789" spans="1:15" x14ac:dyDescent="0.25">
      <c r="A16789" t="s">
        <v>16802</v>
      </c>
      <c r="B16789">
        <v>539</v>
      </c>
      <c r="C16789" s="1" t="str">
        <f>HYPERLINK("http://www.rosaceae.org/gb/gbrowse/malus_x_domestica/?name=MDP0000185535","MDP0000185535")</f>
        <v>MDP0000185535</v>
      </c>
      <c r="D16789">
        <v>53.71</v>
      </c>
      <c r="E16789">
        <v>471</v>
      </c>
      <c r="F16789">
        <v>218</v>
      </c>
      <c r="G16789">
        <v>7</v>
      </c>
      <c r="H16789">
        <v>42</v>
      </c>
      <c r="I16789">
        <v>511</v>
      </c>
      <c r="J16789">
        <v>1</v>
      </c>
      <c r="K16789">
        <v>24</v>
      </c>
      <c r="L16789">
        <v>488</v>
      </c>
      <c r="M16789">
        <v>1</v>
      </c>
      <c r="N16789">
        <v>3.83869E-142</v>
      </c>
      <c r="O16789">
        <v>1293</v>
      </c>
    </row>
    <row r="16790" spans="1:15" x14ac:dyDescent="0.25">
      <c r="A16790" t="s">
        <v>16803</v>
      </c>
      <c r="B16790">
        <v>188</v>
      </c>
      <c r="C16790" s="1" t="str">
        <f>HYPERLINK("http://www.rosaceae.org/gb/gbrowse/malus_x_domestica/?name=MDP0000872903","MDP0000872903")</f>
        <v>MDP0000872903</v>
      </c>
      <c r="D16790">
        <v>59.64</v>
      </c>
      <c r="E16790">
        <v>114</v>
      </c>
      <c r="F16790">
        <v>46</v>
      </c>
      <c r="G16790">
        <v>5</v>
      </c>
      <c r="H16790">
        <v>5</v>
      </c>
      <c r="I16790">
        <v>118</v>
      </c>
      <c r="J16790">
        <v>1</v>
      </c>
      <c r="K16790">
        <v>12</v>
      </c>
      <c r="L16790">
        <v>120</v>
      </c>
      <c r="M16790">
        <v>1</v>
      </c>
      <c r="N16790">
        <v>4.4736099999999997E-31</v>
      </c>
      <c r="O16790">
        <v>329</v>
      </c>
    </row>
    <row r="16791" spans="1:15" x14ac:dyDescent="0.25">
      <c r="A16791" t="s">
        <v>16804</v>
      </c>
      <c r="B16791">
        <v>500</v>
      </c>
      <c r="C16791" s="1" t="str">
        <f>HYPERLINK("http://www.rosaceae.org/gb/gbrowse/malus_x_domestica/?name=MDP0000122158","MDP0000122158")</f>
        <v>MDP0000122158</v>
      </c>
      <c r="D16791">
        <v>50</v>
      </c>
      <c r="E16791">
        <v>434</v>
      </c>
      <c r="F16791">
        <v>217</v>
      </c>
      <c r="G16791">
        <v>31</v>
      </c>
      <c r="H16791">
        <v>97</v>
      </c>
      <c r="I16791">
        <v>500</v>
      </c>
      <c r="J16791">
        <v>1</v>
      </c>
      <c r="K16791">
        <v>1</v>
      </c>
      <c r="L16791">
        <v>433</v>
      </c>
      <c r="M16791">
        <v>1</v>
      </c>
      <c r="N16791">
        <v>8.7345999999999997E-116</v>
      </c>
      <c r="O16791">
        <v>1065</v>
      </c>
    </row>
    <row r="16792" spans="1:15" x14ac:dyDescent="0.25">
      <c r="A16792" t="s">
        <v>16805</v>
      </c>
      <c r="B16792">
        <v>774</v>
      </c>
      <c r="C16792" s="1" t="str">
        <f>HYPERLINK("http://www.rosaceae.org/gb/gbrowse/malus_x_domestica/?name=MDP0000275564","MDP0000275564")</f>
        <v>MDP0000275564</v>
      </c>
      <c r="D16792">
        <v>42.14</v>
      </c>
      <c r="E16792">
        <v>579</v>
      </c>
      <c r="F16792">
        <v>335</v>
      </c>
      <c r="G16792">
        <v>120</v>
      </c>
      <c r="H16792">
        <v>204</v>
      </c>
      <c r="I16792">
        <v>664</v>
      </c>
      <c r="J16792">
        <v>1</v>
      </c>
      <c r="K16792">
        <v>718</v>
      </c>
      <c r="L16792">
        <v>1294</v>
      </c>
      <c r="M16792">
        <v>1</v>
      </c>
      <c r="N16792">
        <v>8.0767399999999999E-116</v>
      </c>
      <c r="O16792">
        <v>1067</v>
      </c>
    </row>
    <row r="16793" spans="1:15" x14ac:dyDescent="0.25">
      <c r="A16793" t="s">
        <v>16806</v>
      </c>
      <c r="B16793">
        <v>167</v>
      </c>
      <c r="C16793" s="1" t="str">
        <f>HYPERLINK("http://www.rosaceae.org/gb/gbrowse/malus_x_domestica/?name=MDP0000162031","MDP0000162031")</f>
        <v>MDP0000162031</v>
      </c>
      <c r="D16793">
        <v>52.57</v>
      </c>
      <c r="E16793">
        <v>97</v>
      </c>
      <c r="F16793">
        <v>46</v>
      </c>
      <c r="G16793">
        <v>3</v>
      </c>
      <c r="H16793">
        <v>54</v>
      </c>
      <c r="I16793">
        <v>147</v>
      </c>
      <c r="J16793">
        <v>1</v>
      </c>
      <c r="K16793">
        <v>70</v>
      </c>
      <c r="L16793">
        <v>166</v>
      </c>
      <c r="M16793">
        <v>1</v>
      </c>
      <c r="N16793">
        <v>4.3631200000000003E-22</v>
      </c>
      <c r="O16793">
        <v>251</v>
      </c>
    </row>
    <row r="16794" spans="1:15" x14ac:dyDescent="0.25">
      <c r="A16794" t="s">
        <v>16807</v>
      </c>
      <c r="B16794">
        <v>470</v>
      </c>
      <c r="C16794" s="1" t="str">
        <f>HYPERLINK("http://www.rosaceae.org/gb/gbrowse/malus_x_domestica/?name=MDP0000496288","MDP0000496288")</f>
        <v>MDP0000496288</v>
      </c>
      <c r="D16794">
        <v>49.89</v>
      </c>
      <c r="E16794">
        <v>489</v>
      </c>
      <c r="F16794">
        <v>245</v>
      </c>
      <c r="G16794">
        <v>54</v>
      </c>
      <c r="H16794">
        <v>17</v>
      </c>
      <c r="I16794">
        <v>453</v>
      </c>
      <c r="J16794">
        <v>1</v>
      </c>
      <c r="K16794">
        <v>16</v>
      </c>
      <c r="L16794">
        <v>502</v>
      </c>
      <c r="M16794">
        <v>1</v>
      </c>
      <c r="N16794">
        <v>4.7788599999999996E-131</v>
      </c>
      <c r="O16794">
        <v>1196</v>
      </c>
    </row>
    <row r="16795" spans="1:15" x14ac:dyDescent="0.25">
      <c r="A16795" t="s">
        <v>16808</v>
      </c>
      <c r="B16795">
        <v>855</v>
      </c>
      <c r="C16795" s="1" t="str">
        <f>HYPERLINK("http://www.rosaceae.org/gb/gbrowse/malus_x_domestica/?name=MDP0000659822","MDP0000659822")</f>
        <v>MDP0000659822</v>
      </c>
      <c r="D16795">
        <v>77.66</v>
      </c>
      <c r="E16795">
        <v>797</v>
      </c>
      <c r="F16795">
        <v>178</v>
      </c>
      <c r="G16795">
        <v>0</v>
      </c>
      <c r="H16795">
        <v>1</v>
      </c>
      <c r="I16795">
        <v>797</v>
      </c>
      <c r="J16795">
        <v>1</v>
      </c>
      <c r="K16795">
        <v>128</v>
      </c>
      <c r="L16795">
        <v>924</v>
      </c>
      <c r="M16795">
        <v>1</v>
      </c>
      <c r="N16795">
        <v>0</v>
      </c>
      <c r="O16795">
        <v>3388</v>
      </c>
    </row>
    <row r="16796" spans="1:15" x14ac:dyDescent="0.25">
      <c r="A16796" t="s">
        <v>16809</v>
      </c>
      <c r="B16796">
        <v>327</v>
      </c>
      <c r="C16796" s="1" t="str">
        <f>HYPERLINK("http://www.rosaceae.org/gb/gbrowse/malus_x_domestica/?name=MDP0000173280","MDP0000173280")</f>
        <v>MDP0000173280</v>
      </c>
      <c r="D16796">
        <v>61.69</v>
      </c>
      <c r="E16796">
        <v>295</v>
      </c>
      <c r="F16796">
        <v>113</v>
      </c>
      <c r="G16796">
        <v>21</v>
      </c>
      <c r="H16796">
        <v>1</v>
      </c>
      <c r="I16796">
        <v>278</v>
      </c>
      <c r="J16796">
        <v>1</v>
      </c>
      <c r="K16796">
        <v>1</v>
      </c>
      <c r="L16796">
        <v>291</v>
      </c>
      <c r="M16796">
        <v>1</v>
      </c>
      <c r="N16796">
        <v>1.8211599999999999E-90</v>
      </c>
      <c r="O16796">
        <v>845</v>
      </c>
    </row>
    <row r="16797" spans="1:15" x14ac:dyDescent="0.25">
      <c r="A16797" t="s">
        <v>16810</v>
      </c>
      <c r="B16797">
        <v>185</v>
      </c>
      <c r="C16797" s="1" t="str">
        <f>HYPERLINK("http://www.rosaceae.org/gb/gbrowse/malus_x_domestica/?name=MDP0000283466","MDP0000283466")</f>
        <v>MDP0000283466</v>
      </c>
      <c r="D16797">
        <v>72.3</v>
      </c>
      <c r="E16797">
        <v>65</v>
      </c>
      <c r="F16797">
        <v>18</v>
      </c>
      <c r="G16797">
        <v>0</v>
      </c>
      <c r="H16797">
        <v>40</v>
      </c>
      <c r="I16797">
        <v>104</v>
      </c>
      <c r="J16797">
        <v>1</v>
      </c>
      <c r="K16797">
        <v>118</v>
      </c>
      <c r="L16797">
        <v>182</v>
      </c>
      <c r="M16797">
        <v>1</v>
      </c>
      <c r="N16797">
        <v>5.03886E-23</v>
      </c>
      <c r="O16797">
        <v>260</v>
      </c>
    </row>
    <row r="16798" spans="1:15" x14ac:dyDescent="0.25">
      <c r="A16798" t="s">
        <v>16811</v>
      </c>
      <c r="B16798">
        <v>549</v>
      </c>
      <c r="C16798" s="1" t="str">
        <f>HYPERLINK("http://www.rosaceae.org/gb/gbrowse/malus_x_domestica/?name=MDP0000322244","MDP0000322244")</f>
        <v>MDP0000322244</v>
      </c>
      <c r="D16798">
        <v>72.67</v>
      </c>
      <c r="E16798">
        <v>549</v>
      </c>
      <c r="F16798">
        <v>150</v>
      </c>
      <c r="G16798">
        <v>29</v>
      </c>
      <c r="H16798">
        <v>1</v>
      </c>
      <c r="I16798">
        <v>549</v>
      </c>
      <c r="J16798">
        <v>1</v>
      </c>
      <c r="K16798">
        <v>337</v>
      </c>
      <c r="L16798">
        <v>856</v>
      </c>
      <c r="M16798">
        <v>1</v>
      </c>
      <c r="N16798">
        <v>0</v>
      </c>
      <c r="O16798">
        <v>2112</v>
      </c>
    </row>
    <row r="16799" spans="1:15" x14ac:dyDescent="0.25">
      <c r="A16799" t="s">
        <v>16812</v>
      </c>
      <c r="B16799">
        <v>129</v>
      </c>
      <c r="C16799" s="1" t="str">
        <f>HYPERLINK("http://www.rosaceae.org/gb/gbrowse/malus_x_domestica/?name=MDP0000321344","MDP0000321344")</f>
        <v>MDP0000321344</v>
      </c>
      <c r="D16799">
        <v>86.36</v>
      </c>
      <c r="E16799">
        <v>88</v>
      </c>
      <c r="F16799">
        <v>12</v>
      </c>
      <c r="G16799">
        <v>3</v>
      </c>
      <c r="H16799">
        <v>44</v>
      </c>
      <c r="I16799">
        <v>129</v>
      </c>
      <c r="J16799">
        <v>1</v>
      </c>
      <c r="K16799">
        <v>50</v>
      </c>
      <c r="L16799">
        <v>136</v>
      </c>
      <c r="M16799">
        <v>1</v>
      </c>
      <c r="N16799">
        <v>9.7805800000000002E-36</v>
      </c>
      <c r="O16799">
        <v>366</v>
      </c>
    </row>
    <row r="16800" spans="1:15" x14ac:dyDescent="0.25">
      <c r="A16800" t="s">
        <v>16813</v>
      </c>
      <c r="B16800">
        <v>359</v>
      </c>
      <c r="C16800" s="1" t="str">
        <f>HYPERLINK("http://www.rosaceae.org/gb/gbrowse/malus_x_domestica/?name=MDP0000139760","MDP0000139760")</f>
        <v>MDP0000139760</v>
      </c>
      <c r="D16800">
        <v>33.020000000000003</v>
      </c>
      <c r="E16800">
        <v>324</v>
      </c>
      <c r="F16800">
        <v>217</v>
      </c>
      <c r="G16800">
        <v>24</v>
      </c>
      <c r="H16800">
        <v>13</v>
      </c>
      <c r="I16800">
        <v>319</v>
      </c>
      <c r="J16800">
        <v>1</v>
      </c>
      <c r="K16800">
        <v>79</v>
      </c>
      <c r="L16800">
        <v>395</v>
      </c>
      <c r="M16800">
        <v>1</v>
      </c>
      <c r="N16800">
        <v>1.94508E-40</v>
      </c>
      <c r="O16800">
        <v>414</v>
      </c>
    </row>
    <row r="16801" spans="1:15" x14ac:dyDescent="0.25">
      <c r="A16801" t="s">
        <v>16814</v>
      </c>
      <c r="B16801">
        <v>208</v>
      </c>
      <c r="C16801" s="1" t="str">
        <f>HYPERLINK("http://www.rosaceae.org/gb/gbrowse/malus_x_domestica/?name=MDP0000236565","MDP0000236565")</f>
        <v>MDP0000236565</v>
      </c>
      <c r="D16801">
        <v>84.21</v>
      </c>
      <c r="E16801">
        <v>190</v>
      </c>
      <c r="F16801">
        <v>30</v>
      </c>
      <c r="G16801">
        <v>0</v>
      </c>
      <c r="H16801">
        <v>19</v>
      </c>
      <c r="I16801">
        <v>208</v>
      </c>
      <c r="J16801">
        <v>1</v>
      </c>
      <c r="K16801">
        <v>15</v>
      </c>
      <c r="L16801">
        <v>204</v>
      </c>
      <c r="M16801">
        <v>1</v>
      </c>
      <c r="N16801">
        <v>5.4962399999999997E-91</v>
      </c>
      <c r="O16801">
        <v>846</v>
      </c>
    </row>
    <row r="16802" spans="1:15" x14ac:dyDescent="0.25">
      <c r="A16802" t="s">
        <v>16815</v>
      </c>
      <c r="B16802">
        <v>944</v>
      </c>
      <c r="C16802" s="1" t="str">
        <f>HYPERLINK("http://www.rosaceae.org/gb/gbrowse/malus_x_domestica/?name=MDP0000777793","MDP0000777793")</f>
        <v>MDP0000777793</v>
      </c>
      <c r="D16802">
        <v>95.93</v>
      </c>
      <c r="E16802">
        <v>837</v>
      </c>
      <c r="F16802">
        <v>34</v>
      </c>
      <c r="G16802">
        <v>0</v>
      </c>
      <c r="H16802">
        <v>108</v>
      </c>
      <c r="I16802">
        <v>944</v>
      </c>
      <c r="J16802">
        <v>1</v>
      </c>
      <c r="K16802">
        <v>7</v>
      </c>
      <c r="L16802">
        <v>843</v>
      </c>
      <c r="M16802">
        <v>1</v>
      </c>
      <c r="N16802">
        <v>0</v>
      </c>
      <c r="O16802">
        <v>4337</v>
      </c>
    </row>
    <row r="16803" spans="1:15" x14ac:dyDescent="0.25">
      <c r="A16803" t="s">
        <v>16816</v>
      </c>
      <c r="B16803">
        <v>448</v>
      </c>
      <c r="C16803" s="1" t="str">
        <f>HYPERLINK("http://www.rosaceae.org/gb/gbrowse/malus_x_domestica/?name=MDP0000129445","MDP0000129445")</f>
        <v>MDP0000129445</v>
      </c>
      <c r="D16803">
        <v>64.09</v>
      </c>
      <c r="E16803">
        <v>454</v>
      </c>
      <c r="F16803">
        <v>163</v>
      </c>
      <c r="G16803">
        <v>19</v>
      </c>
      <c r="H16803">
        <v>1</v>
      </c>
      <c r="I16803">
        <v>446</v>
      </c>
      <c r="J16803">
        <v>1</v>
      </c>
      <c r="K16803">
        <v>1</v>
      </c>
      <c r="L16803">
        <v>443</v>
      </c>
      <c r="M16803">
        <v>1</v>
      </c>
      <c r="N16803">
        <v>4.1296000000000001E-160</v>
      </c>
      <c r="O16803">
        <v>1447</v>
      </c>
    </row>
    <row r="16804" spans="1:15" x14ac:dyDescent="0.25">
      <c r="A16804" t="s">
        <v>16817</v>
      </c>
      <c r="B16804">
        <v>695</v>
      </c>
      <c r="C16804" s="1" t="str">
        <f>HYPERLINK("http://www.rosaceae.org/gb/gbrowse/malus_x_domestica/?name=MDP0000265831","MDP0000265831")</f>
        <v>MDP0000265831</v>
      </c>
      <c r="D16804">
        <v>70.19</v>
      </c>
      <c r="E16804">
        <v>708</v>
      </c>
      <c r="F16804">
        <v>211</v>
      </c>
      <c r="G16804">
        <v>15</v>
      </c>
      <c r="H16804">
        <v>1</v>
      </c>
      <c r="I16804">
        <v>695</v>
      </c>
      <c r="J16804">
        <v>1</v>
      </c>
      <c r="K16804">
        <v>127</v>
      </c>
      <c r="L16804">
        <v>832</v>
      </c>
      <c r="M16804">
        <v>1</v>
      </c>
      <c r="N16804">
        <v>0</v>
      </c>
      <c r="O16804">
        <v>2562</v>
      </c>
    </row>
    <row r="16805" spans="1:15" x14ac:dyDescent="0.25">
      <c r="A16805" t="s">
        <v>16818</v>
      </c>
      <c r="B16805">
        <v>254</v>
      </c>
      <c r="C16805" s="1" t="str">
        <f>HYPERLINK("http://www.rosaceae.org/gb/gbrowse/malus_x_domestica/?name=MDP0000681158","MDP0000681158")</f>
        <v>MDP0000681158</v>
      </c>
      <c r="D16805">
        <v>44.5</v>
      </c>
      <c r="E16805">
        <v>191</v>
      </c>
      <c r="F16805">
        <v>106</v>
      </c>
      <c r="G16805">
        <v>18</v>
      </c>
      <c r="H16805">
        <v>68</v>
      </c>
      <c r="I16805">
        <v>249</v>
      </c>
      <c r="J16805">
        <v>1</v>
      </c>
      <c r="K16805">
        <v>198</v>
      </c>
      <c r="L16805">
        <v>379</v>
      </c>
      <c r="M16805">
        <v>1</v>
      </c>
      <c r="N16805">
        <v>1.88659E-31</v>
      </c>
      <c r="O16805">
        <v>334</v>
      </c>
    </row>
    <row r="16806" spans="1:15" x14ac:dyDescent="0.25">
      <c r="A16806" t="s">
        <v>16819</v>
      </c>
      <c r="B16806">
        <v>524</v>
      </c>
      <c r="C16806" s="1" t="str">
        <f>HYPERLINK("http://www.rosaceae.org/gb/gbrowse/malus_x_domestica/?name=MDP0000300536","MDP0000300536")</f>
        <v>MDP0000300536</v>
      </c>
      <c r="D16806">
        <v>40.869999999999997</v>
      </c>
      <c r="E16806">
        <v>137</v>
      </c>
      <c r="F16806">
        <v>81</v>
      </c>
      <c r="G16806">
        <v>12</v>
      </c>
      <c r="H16806">
        <v>80</v>
      </c>
      <c r="I16806">
        <v>210</v>
      </c>
      <c r="J16806">
        <v>1</v>
      </c>
      <c r="K16806">
        <v>679</v>
      </c>
      <c r="L16806">
        <v>809</v>
      </c>
      <c r="M16806">
        <v>1</v>
      </c>
      <c r="N16806">
        <v>1.24442E-20</v>
      </c>
      <c r="O16806">
        <v>245</v>
      </c>
    </row>
    <row r="16807" spans="1:15" x14ac:dyDescent="0.25">
      <c r="A16807" t="s">
        <v>16820</v>
      </c>
      <c r="B16807">
        <v>532</v>
      </c>
      <c r="C16807" s="1" t="str">
        <f>HYPERLINK("http://www.rosaceae.org/gb/gbrowse/malus_x_domestica/?name=MDP0000309902","MDP0000309902")</f>
        <v>MDP0000309902</v>
      </c>
      <c r="D16807">
        <v>87.21</v>
      </c>
      <c r="E16807">
        <v>532</v>
      </c>
      <c r="F16807">
        <v>68</v>
      </c>
      <c r="G16807">
        <v>8</v>
      </c>
      <c r="H16807">
        <v>1</v>
      </c>
      <c r="I16807">
        <v>529</v>
      </c>
      <c r="J16807">
        <v>1</v>
      </c>
      <c r="K16807">
        <v>1</v>
      </c>
      <c r="L16807">
        <v>527</v>
      </c>
      <c r="M16807">
        <v>1</v>
      </c>
      <c r="N16807">
        <v>0</v>
      </c>
      <c r="O16807">
        <v>2439</v>
      </c>
    </row>
    <row r="16808" spans="1:15" x14ac:dyDescent="0.25">
      <c r="A16808" t="s">
        <v>16821</v>
      </c>
      <c r="B16808">
        <v>232</v>
      </c>
      <c r="C16808" s="1" t="str">
        <f>HYPERLINK("http://www.rosaceae.org/gb/gbrowse/malus_x_domestica/?name=MDP0000184641","MDP0000184641")</f>
        <v>MDP0000184641</v>
      </c>
      <c r="D16808">
        <v>85.79</v>
      </c>
      <c r="E16808">
        <v>169</v>
      </c>
      <c r="F16808">
        <v>24</v>
      </c>
      <c r="G16808">
        <v>0</v>
      </c>
      <c r="H16808">
        <v>64</v>
      </c>
      <c r="I16808">
        <v>232</v>
      </c>
      <c r="J16808">
        <v>1</v>
      </c>
      <c r="K16808">
        <v>16</v>
      </c>
      <c r="L16808">
        <v>184</v>
      </c>
      <c r="M16808">
        <v>1</v>
      </c>
      <c r="N16808">
        <v>5.9637799999999998E-83</v>
      </c>
      <c r="O16808">
        <v>778</v>
      </c>
    </row>
    <row r="16809" spans="1:15" x14ac:dyDescent="0.25">
      <c r="A16809" t="s">
        <v>16822</v>
      </c>
      <c r="B16809">
        <v>323</v>
      </c>
      <c r="C16809" s="1" t="str">
        <f>HYPERLINK("http://www.rosaceae.org/gb/gbrowse/malus_x_domestica/?name=MDP0000219162","MDP0000219162")</f>
        <v>MDP0000219162</v>
      </c>
      <c r="D16809">
        <v>29.04</v>
      </c>
      <c r="E16809">
        <v>272</v>
      </c>
      <c r="F16809">
        <v>193</v>
      </c>
      <c r="G16809">
        <v>64</v>
      </c>
      <c r="H16809">
        <v>69</v>
      </c>
      <c r="I16809">
        <v>289</v>
      </c>
      <c r="J16809">
        <v>1</v>
      </c>
      <c r="K16809">
        <v>89</v>
      </c>
      <c r="L16809">
        <v>347</v>
      </c>
      <c r="M16809">
        <v>1</v>
      </c>
      <c r="N16809">
        <v>1.31781E-21</v>
      </c>
      <c r="O16809">
        <v>251</v>
      </c>
    </row>
    <row r="16810" spans="1:15" x14ac:dyDescent="0.25">
      <c r="A16810" t="s">
        <v>16823</v>
      </c>
      <c r="B16810">
        <v>247</v>
      </c>
      <c r="C16810" s="1" t="str">
        <f>HYPERLINK("http://www.rosaceae.org/gb/gbrowse/malus_x_domestica/?name=MDP0000708928","MDP0000708928")</f>
        <v>MDP0000708928</v>
      </c>
      <c r="D16810">
        <v>58.71</v>
      </c>
      <c r="E16810">
        <v>264</v>
      </c>
      <c r="F16810">
        <v>109</v>
      </c>
      <c r="G16810">
        <v>23</v>
      </c>
      <c r="H16810">
        <v>1</v>
      </c>
      <c r="I16810">
        <v>242</v>
      </c>
      <c r="J16810">
        <v>1</v>
      </c>
      <c r="K16810">
        <v>1</v>
      </c>
      <c r="L16810">
        <v>263</v>
      </c>
      <c r="M16810">
        <v>1</v>
      </c>
      <c r="N16810">
        <v>3.4351099999999999E-76</v>
      </c>
      <c r="O16810">
        <v>720</v>
      </c>
    </row>
    <row r="16811" spans="1:15" x14ac:dyDescent="0.25">
      <c r="A16811" t="s">
        <v>16824</v>
      </c>
      <c r="B16811">
        <v>538</v>
      </c>
      <c r="C16811" s="1" t="str">
        <f>HYPERLINK("http://www.rosaceae.org/gb/gbrowse/malus_x_domestica/?name=MDP0000213552","MDP0000213552")</f>
        <v>MDP0000213552</v>
      </c>
      <c r="D16811">
        <v>50.38</v>
      </c>
      <c r="E16811">
        <v>522</v>
      </c>
      <c r="F16811">
        <v>259</v>
      </c>
      <c r="G16811">
        <v>15</v>
      </c>
      <c r="H16811">
        <v>2</v>
      </c>
      <c r="I16811">
        <v>511</v>
      </c>
      <c r="J16811">
        <v>1</v>
      </c>
      <c r="K16811">
        <v>345</v>
      </c>
      <c r="L16811">
        <v>863</v>
      </c>
      <c r="M16811">
        <v>1</v>
      </c>
      <c r="N16811">
        <v>3.5589099999999998E-136</v>
      </c>
      <c r="O16811">
        <v>1241</v>
      </c>
    </row>
    <row r="16812" spans="1:15" x14ac:dyDescent="0.25">
      <c r="A16812" t="s">
        <v>16825</v>
      </c>
      <c r="B16812">
        <v>247</v>
      </c>
      <c r="C16812" s="1" t="str">
        <f>HYPERLINK("http://www.rosaceae.org/gb/gbrowse/malus_x_domestica/?name=MDP0000261311","MDP0000261311")</f>
        <v>MDP0000261311</v>
      </c>
      <c r="D16812">
        <v>36.58</v>
      </c>
      <c r="E16812">
        <v>164</v>
      </c>
      <c r="F16812">
        <v>104</v>
      </c>
      <c r="G16812">
        <v>7</v>
      </c>
      <c r="H16812">
        <v>35</v>
      </c>
      <c r="I16812">
        <v>192</v>
      </c>
      <c r="J16812">
        <v>1</v>
      </c>
      <c r="K16812">
        <v>74</v>
      </c>
      <c r="L16812">
        <v>236</v>
      </c>
      <c r="M16812">
        <v>1</v>
      </c>
      <c r="N16812">
        <v>1.40609E-20</v>
      </c>
      <c r="O16812">
        <v>240</v>
      </c>
    </row>
    <row r="16813" spans="1:15" x14ac:dyDescent="0.25">
      <c r="A16813" t="s">
        <v>16826</v>
      </c>
      <c r="B16813">
        <v>161</v>
      </c>
      <c r="C16813" s="1" t="str">
        <f>HYPERLINK("http://www.rosaceae.org/gb/gbrowse/malus_x_domestica/?name=MDP0000179031","MDP0000179031")</f>
        <v>MDP0000179031</v>
      </c>
      <c r="D16813">
        <v>68.09</v>
      </c>
      <c r="E16813">
        <v>163</v>
      </c>
      <c r="F16813">
        <v>52</v>
      </c>
      <c r="G16813">
        <v>3</v>
      </c>
      <c r="H16813">
        <v>2</v>
      </c>
      <c r="I16813">
        <v>161</v>
      </c>
      <c r="J16813">
        <v>1</v>
      </c>
      <c r="K16813">
        <v>3</v>
      </c>
      <c r="L16813">
        <v>165</v>
      </c>
      <c r="M16813">
        <v>1</v>
      </c>
      <c r="N16813">
        <v>9.1935100000000006E-61</v>
      </c>
      <c r="O16813">
        <v>584</v>
      </c>
    </row>
    <row r="16814" spans="1:15" x14ac:dyDescent="0.25">
      <c r="A16814" t="s">
        <v>16827</v>
      </c>
      <c r="B16814">
        <v>558</v>
      </c>
      <c r="C16814" s="1" t="str">
        <f>HYPERLINK("http://www.rosaceae.org/gb/gbrowse/malus_x_domestica/?name=MDP0000222098","MDP0000222098")</f>
        <v>MDP0000222098</v>
      </c>
      <c r="D16814">
        <v>96.91</v>
      </c>
      <c r="E16814">
        <v>162</v>
      </c>
      <c r="F16814">
        <v>5</v>
      </c>
      <c r="G16814">
        <v>0</v>
      </c>
      <c r="H16814">
        <v>352</v>
      </c>
      <c r="I16814">
        <v>513</v>
      </c>
      <c r="J16814">
        <v>1</v>
      </c>
      <c r="K16814">
        <v>1</v>
      </c>
      <c r="L16814">
        <v>162</v>
      </c>
      <c r="M16814">
        <v>1</v>
      </c>
      <c r="N16814">
        <v>3.3612799999999998E-95</v>
      </c>
      <c r="O16814">
        <v>888</v>
      </c>
    </row>
    <row r="16815" spans="1:15" x14ac:dyDescent="0.25">
      <c r="A16815" t="s">
        <v>16828</v>
      </c>
      <c r="B16815">
        <v>359</v>
      </c>
      <c r="C16815" s="1" t="str">
        <f>HYPERLINK("http://www.rosaceae.org/gb/gbrowse/malus_x_domestica/?name=MDP0000269985","MDP0000269985")</f>
        <v>MDP0000269985</v>
      </c>
      <c r="D16815">
        <v>72.09</v>
      </c>
      <c r="E16815">
        <v>344</v>
      </c>
      <c r="F16815">
        <v>96</v>
      </c>
      <c r="G16815">
        <v>17</v>
      </c>
      <c r="H16815">
        <v>6</v>
      </c>
      <c r="I16815">
        <v>337</v>
      </c>
      <c r="J16815">
        <v>1</v>
      </c>
      <c r="K16815">
        <v>7</v>
      </c>
      <c r="L16815">
        <v>345</v>
      </c>
      <c r="M16815">
        <v>1</v>
      </c>
      <c r="N16815">
        <v>4.4318899999999999E-135</v>
      </c>
      <c r="O16815">
        <v>1230</v>
      </c>
    </row>
    <row r="16816" spans="1:15" x14ac:dyDescent="0.25">
      <c r="A16816" t="s">
        <v>16829</v>
      </c>
      <c r="B16816">
        <v>323</v>
      </c>
      <c r="C16816" s="1" t="str">
        <f>HYPERLINK("http://www.rosaceae.org/gb/gbrowse/malus_x_domestica/?name=MDP0000257366","MDP0000257366")</f>
        <v>MDP0000257366</v>
      </c>
      <c r="D16816">
        <v>66.66</v>
      </c>
      <c r="E16816">
        <v>330</v>
      </c>
      <c r="F16816">
        <v>110</v>
      </c>
      <c r="G16816">
        <v>10</v>
      </c>
      <c r="H16816">
        <v>1</v>
      </c>
      <c r="I16816">
        <v>321</v>
      </c>
      <c r="J16816">
        <v>1</v>
      </c>
      <c r="K16816">
        <v>1</v>
      </c>
      <c r="L16816">
        <v>329</v>
      </c>
      <c r="M16816">
        <v>1</v>
      </c>
      <c r="N16816">
        <v>3.0009E-118</v>
      </c>
      <c r="O16816">
        <v>1084</v>
      </c>
    </row>
    <row r="16817" spans="1:15" x14ac:dyDescent="0.25">
      <c r="A16817" t="s">
        <v>16830</v>
      </c>
      <c r="B16817">
        <v>382</v>
      </c>
      <c r="C16817" s="1" t="str">
        <f>HYPERLINK("http://www.rosaceae.org/gb/gbrowse/malus_x_domestica/?name=MDP0000409824","MDP0000409824")</f>
        <v>MDP0000409824</v>
      </c>
      <c r="D16817">
        <v>78.59</v>
      </c>
      <c r="E16817">
        <v>383</v>
      </c>
      <c r="F16817">
        <v>82</v>
      </c>
      <c r="G16817">
        <v>7</v>
      </c>
      <c r="H16817">
        <v>1</v>
      </c>
      <c r="I16817">
        <v>378</v>
      </c>
      <c r="J16817">
        <v>1</v>
      </c>
      <c r="K16817">
        <v>1</v>
      </c>
      <c r="L16817">
        <v>381</v>
      </c>
      <c r="M16817">
        <v>1</v>
      </c>
      <c r="N16817">
        <v>1.77776E-160</v>
      </c>
      <c r="O16817">
        <v>1449</v>
      </c>
    </row>
    <row r="16818" spans="1:15" x14ac:dyDescent="0.25">
      <c r="A16818" t="s">
        <v>16831</v>
      </c>
      <c r="B16818">
        <v>541</v>
      </c>
      <c r="C16818" s="1" t="str">
        <f>HYPERLINK("http://www.rosaceae.org/gb/gbrowse/malus_x_domestica/?name=MDP0000413935","MDP0000413935")</f>
        <v>MDP0000413935</v>
      </c>
      <c r="D16818">
        <v>84.67</v>
      </c>
      <c r="E16818">
        <v>535</v>
      </c>
      <c r="F16818">
        <v>82</v>
      </c>
      <c r="G16818">
        <v>1</v>
      </c>
      <c r="H16818">
        <v>2</v>
      </c>
      <c r="I16818">
        <v>535</v>
      </c>
      <c r="J16818">
        <v>1</v>
      </c>
      <c r="K16818">
        <v>1</v>
      </c>
      <c r="L16818">
        <v>535</v>
      </c>
      <c r="M16818">
        <v>1</v>
      </c>
      <c r="N16818">
        <v>0</v>
      </c>
      <c r="O16818">
        <v>2369</v>
      </c>
    </row>
    <row r="16819" spans="1:15" x14ac:dyDescent="0.25">
      <c r="A16819" t="s">
        <v>16832</v>
      </c>
      <c r="B16819">
        <v>643</v>
      </c>
      <c r="C16819" s="1" t="str">
        <f>HYPERLINK("http://www.rosaceae.org/gb/gbrowse/malus_x_domestica/?name=MDP0000255245","MDP0000255245")</f>
        <v>MDP0000255245</v>
      </c>
      <c r="D16819">
        <v>62.75</v>
      </c>
      <c r="E16819">
        <v>631</v>
      </c>
      <c r="F16819">
        <v>235</v>
      </c>
      <c r="G16819">
        <v>29</v>
      </c>
      <c r="H16819">
        <v>2</v>
      </c>
      <c r="I16819">
        <v>604</v>
      </c>
      <c r="J16819">
        <v>1</v>
      </c>
      <c r="K16819">
        <v>262</v>
      </c>
      <c r="L16819">
        <v>891</v>
      </c>
      <c r="M16819">
        <v>1</v>
      </c>
      <c r="N16819">
        <v>0</v>
      </c>
      <c r="O16819">
        <v>2002</v>
      </c>
    </row>
    <row r="16820" spans="1:15" x14ac:dyDescent="0.25">
      <c r="A16820" t="s">
        <v>16833</v>
      </c>
      <c r="B16820">
        <v>639</v>
      </c>
      <c r="C16820" s="1" t="str">
        <f>HYPERLINK("http://www.rosaceae.org/gb/gbrowse/malus_x_domestica/?name=MDP0000130286","MDP0000130286")</f>
        <v>MDP0000130286</v>
      </c>
      <c r="D16820">
        <v>85.38</v>
      </c>
      <c r="E16820">
        <v>260</v>
      </c>
      <c r="F16820">
        <v>38</v>
      </c>
      <c r="G16820">
        <v>8</v>
      </c>
      <c r="H16820">
        <v>384</v>
      </c>
      <c r="I16820">
        <v>635</v>
      </c>
      <c r="J16820">
        <v>1</v>
      </c>
      <c r="K16820">
        <v>242</v>
      </c>
      <c r="L16820">
        <v>501</v>
      </c>
      <c r="M16820">
        <v>1</v>
      </c>
      <c r="N16820">
        <v>2.08812E-131</v>
      </c>
      <c r="O16820">
        <v>1201</v>
      </c>
    </row>
    <row r="16821" spans="1:15" x14ac:dyDescent="0.25">
      <c r="A16821" t="s">
        <v>16834</v>
      </c>
      <c r="B16821">
        <v>292</v>
      </c>
      <c r="C16821" s="1" t="str">
        <f>HYPERLINK("http://www.rosaceae.org/gb/gbrowse/malus_x_domestica/?name=MDP0000565336","MDP0000565336")</f>
        <v>MDP0000565336</v>
      </c>
      <c r="D16821">
        <v>78.760000000000005</v>
      </c>
      <c r="E16821">
        <v>292</v>
      </c>
      <c r="F16821">
        <v>62</v>
      </c>
      <c r="G16821">
        <v>4</v>
      </c>
      <c r="H16821">
        <v>3</v>
      </c>
      <c r="I16821">
        <v>292</v>
      </c>
      <c r="J16821">
        <v>1</v>
      </c>
      <c r="K16821">
        <v>6</v>
      </c>
      <c r="L16821">
        <v>295</v>
      </c>
      <c r="M16821">
        <v>1</v>
      </c>
      <c r="N16821">
        <v>3.5579299999999999E-129</v>
      </c>
      <c r="O16821">
        <v>1178</v>
      </c>
    </row>
    <row r="16822" spans="1:15" x14ac:dyDescent="0.25">
      <c r="A16822" t="s">
        <v>16835</v>
      </c>
      <c r="B16822">
        <v>625</v>
      </c>
      <c r="C16822" s="1" t="str">
        <f>HYPERLINK("http://www.rosaceae.org/gb/gbrowse/malus_x_domestica/?name=MDP0000653973","MDP0000653973")</f>
        <v>MDP0000653973</v>
      </c>
      <c r="D16822">
        <v>47.4</v>
      </c>
      <c r="E16822">
        <v>270</v>
      </c>
      <c r="F16822">
        <v>142</v>
      </c>
      <c r="G16822">
        <v>14</v>
      </c>
      <c r="H16822">
        <v>339</v>
      </c>
      <c r="I16822">
        <v>601</v>
      </c>
      <c r="J16822">
        <v>1</v>
      </c>
      <c r="K16822">
        <v>57</v>
      </c>
      <c r="L16822">
        <v>319</v>
      </c>
      <c r="M16822">
        <v>1</v>
      </c>
      <c r="N16822">
        <v>9.1766699999999996E-55</v>
      </c>
      <c r="O16822">
        <v>540</v>
      </c>
    </row>
    <row r="16823" spans="1:15" x14ac:dyDescent="0.25">
      <c r="A16823" t="s">
        <v>16836</v>
      </c>
      <c r="B16823">
        <v>223</v>
      </c>
      <c r="C16823" s="1" t="str">
        <f>HYPERLINK("http://www.rosaceae.org/gb/gbrowse/malus_x_domestica/?name=MDP0000148485","MDP0000148485")</f>
        <v>MDP0000148485</v>
      </c>
      <c r="D16823">
        <v>69.72</v>
      </c>
      <c r="E16823">
        <v>218</v>
      </c>
      <c r="F16823">
        <v>66</v>
      </c>
      <c r="G16823">
        <v>3</v>
      </c>
      <c r="H16823">
        <v>6</v>
      </c>
      <c r="I16823">
        <v>223</v>
      </c>
      <c r="J16823">
        <v>1</v>
      </c>
      <c r="K16823">
        <v>2</v>
      </c>
      <c r="L16823">
        <v>216</v>
      </c>
      <c r="M16823">
        <v>1</v>
      </c>
      <c r="N16823">
        <v>1.89245E-86</v>
      </c>
      <c r="O16823">
        <v>808</v>
      </c>
    </row>
    <row r="16824" spans="1:15" x14ac:dyDescent="0.25">
      <c r="A16824" t="s">
        <v>16837</v>
      </c>
      <c r="B16824">
        <v>558</v>
      </c>
      <c r="C16824" s="1" t="str">
        <f>HYPERLINK("http://www.rosaceae.org/gb/gbrowse/malus_x_domestica/?name=MDP0000309902","MDP0000309902")</f>
        <v>MDP0000309902</v>
      </c>
      <c r="D16824">
        <v>30.04</v>
      </c>
      <c r="E16824">
        <v>416</v>
      </c>
      <c r="F16824">
        <v>291</v>
      </c>
      <c r="G16824">
        <v>93</v>
      </c>
      <c r="H16824">
        <v>121</v>
      </c>
      <c r="I16824">
        <v>448</v>
      </c>
      <c r="J16824">
        <v>1</v>
      </c>
      <c r="K16824">
        <v>27</v>
      </c>
      <c r="L16824">
        <v>437</v>
      </c>
      <c r="M16824">
        <v>1</v>
      </c>
      <c r="N16824">
        <v>1.3562399999999999E-31</v>
      </c>
      <c r="O16824">
        <v>339</v>
      </c>
    </row>
    <row r="16825" spans="1:15" x14ac:dyDescent="0.25">
      <c r="A16825" t="s">
        <v>16838</v>
      </c>
      <c r="B16825">
        <v>363</v>
      </c>
      <c r="C16825" s="1" t="str">
        <f>HYPERLINK("http://www.rosaceae.org/gb/gbrowse/malus_x_domestica/?name=MDP0000219444","MDP0000219444")</f>
        <v>MDP0000219444</v>
      </c>
      <c r="D16825">
        <v>44.82</v>
      </c>
      <c r="E16825">
        <v>87</v>
      </c>
      <c r="F16825">
        <v>48</v>
      </c>
      <c r="G16825">
        <v>1</v>
      </c>
      <c r="H16825">
        <v>223</v>
      </c>
      <c r="I16825">
        <v>309</v>
      </c>
      <c r="J16825">
        <v>1</v>
      </c>
      <c r="K16825">
        <v>100</v>
      </c>
      <c r="L16825">
        <v>185</v>
      </c>
      <c r="M16825">
        <v>1</v>
      </c>
      <c r="N16825">
        <v>5.9833000000000005E-17</v>
      </c>
      <c r="O16825">
        <v>211</v>
      </c>
    </row>
    <row r="16826" spans="1:15" x14ac:dyDescent="0.25">
      <c r="A16826" t="s">
        <v>16839</v>
      </c>
      <c r="B16826">
        <v>737</v>
      </c>
      <c r="C16826" s="1" t="str">
        <f>HYPERLINK("http://www.rosaceae.org/gb/gbrowse/malus_x_domestica/?name=MDP0000277302","MDP0000277302")</f>
        <v>MDP0000277302</v>
      </c>
      <c r="D16826">
        <v>85.46</v>
      </c>
      <c r="E16826">
        <v>509</v>
      </c>
      <c r="F16826">
        <v>74</v>
      </c>
      <c r="G16826">
        <v>8</v>
      </c>
      <c r="H16826">
        <v>92</v>
      </c>
      <c r="I16826">
        <v>595</v>
      </c>
      <c r="J16826">
        <v>1</v>
      </c>
      <c r="K16826">
        <v>12</v>
      </c>
      <c r="L16826">
        <v>517</v>
      </c>
      <c r="M16826">
        <v>1</v>
      </c>
      <c r="N16826">
        <v>0</v>
      </c>
      <c r="O16826">
        <v>2322</v>
      </c>
    </row>
    <row r="16827" spans="1:15" x14ac:dyDescent="0.25">
      <c r="A16827" t="s">
        <v>16840</v>
      </c>
      <c r="B16827">
        <v>356</v>
      </c>
      <c r="C16827" s="1" t="str">
        <f>HYPERLINK("http://www.rosaceae.org/gb/gbrowse/malus_x_domestica/?name=MDP0000258269","MDP0000258269")</f>
        <v>MDP0000258269</v>
      </c>
      <c r="D16827">
        <v>61.76</v>
      </c>
      <c r="E16827">
        <v>204</v>
      </c>
      <c r="F16827">
        <v>78</v>
      </c>
      <c r="G16827">
        <v>3</v>
      </c>
      <c r="H16827">
        <v>34</v>
      </c>
      <c r="I16827">
        <v>235</v>
      </c>
      <c r="J16827">
        <v>1</v>
      </c>
      <c r="K16827">
        <v>139</v>
      </c>
      <c r="L16827">
        <v>341</v>
      </c>
      <c r="M16827">
        <v>1</v>
      </c>
      <c r="N16827">
        <v>2.6163699999999999E-70</v>
      </c>
      <c r="O16827">
        <v>671</v>
      </c>
    </row>
    <row r="16828" spans="1:15" x14ac:dyDescent="0.25">
      <c r="A16828" t="s">
        <v>16841</v>
      </c>
      <c r="B16828">
        <v>417</v>
      </c>
      <c r="C16828" s="1" t="str">
        <f>HYPERLINK("http://www.rosaceae.org/gb/gbrowse/malus_x_domestica/?name=MDP0000220038","MDP0000220038")</f>
        <v>MDP0000220038</v>
      </c>
      <c r="D16828">
        <v>64.58</v>
      </c>
      <c r="E16828">
        <v>497</v>
      </c>
      <c r="F16828">
        <v>176</v>
      </c>
      <c r="G16828">
        <v>103</v>
      </c>
      <c r="H16828">
        <v>1</v>
      </c>
      <c r="I16828">
        <v>398</v>
      </c>
      <c r="J16828">
        <v>1</v>
      </c>
      <c r="K16828">
        <v>1</v>
      </c>
      <c r="L16828">
        <v>493</v>
      </c>
      <c r="M16828">
        <v>1</v>
      </c>
      <c r="N16828">
        <v>1.7515299999999999E-166</v>
      </c>
      <c r="O16828">
        <v>1501</v>
      </c>
    </row>
    <row r="16829" spans="1:15" x14ac:dyDescent="0.25">
      <c r="A16829" t="s">
        <v>16842</v>
      </c>
      <c r="B16829">
        <v>880</v>
      </c>
      <c r="C16829" s="1" t="str">
        <f>HYPERLINK("http://www.rosaceae.org/gb/gbrowse/malus_x_domestica/?name=MDP0000145244","MDP0000145244")</f>
        <v>MDP0000145244</v>
      </c>
      <c r="D16829">
        <v>48.32</v>
      </c>
      <c r="E16829">
        <v>778</v>
      </c>
      <c r="F16829">
        <v>402</v>
      </c>
      <c r="G16829">
        <v>39</v>
      </c>
      <c r="H16829">
        <v>29</v>
      </c>
      <c r="I16829">
        <v>791</v>
      </c>
      <c r="J16829">
        <v>1</v>
      </c>
      <c r="K16829">
        <v>30</v>
      </c>
      <c r="L16829">
        <v>783</v>
      </c>
      <c r="M16829">
        <v>1</v>
      </c>
      <c r="N16829">
        <v>8.9251699999999999E-179</v>
      </c>
      <c r="O16829">
        <v>1611</v>
      </c>
    </row>
    <row r="16830" spans="1:15" x14ac:dyDescent="0.25">
      <c r="A16830" t="s">
        <v>16843</v>
      </c>
      <c r="B16830">
        <v>410</v>
      </c>
      <c r="C16830" s="1" t="str">
        <f>HYPERLINK("http://www.rosaceae.org/gb/gbrowse/malus_x_domestica/?name=MDP0000282778","MDP0000282778")</f>
        <v>MDP0000282778</v>
      </c>
      <c r="D16830">
        <v>43.3</v>
      </c>
      <c r="E16830">
        <v>284</v>
      </c>
      <c r="F16830">
        <v>161</v>
      </c>
      <c r="G16830">
        <v>3</v>
      </c>
      <c r="H16830">
        <v>128</v>
      </c>
      <c r="I16830">
        <v>409</v>
      </c>
      <c r="J16830">
        <v>1</v>
      </c>
      <c r="K16830">
        <v>222</v>
      </c>
      <c r="L16830">
        <v>504</v>
      </c>
      <c r="M16830">
        <v>1</v>
      </c>
      <c r="N16830">
        <v>8.7673300000000001E-58</v>
      </c>
      <c r="O16830">
        <v>564</v>
      </c>
    </row>
    <row r="16831" spans="1:15" x14ac:dyDescent="0.25">
      <c r="A16831" t="s">
        <v>16844</v>
      </c>
      <c r="B16831">
        <v>491</v>
      </c>
      <c r="C16831" s="1" t="str">
        <f>HYPERLINK("http://www.rosaceae.org/gb/gbrowse/malus_x_domestica/?name=MDP0000235206","MDP0000235206")</f>
        <v>MDP0000235206</v>
      </c>
      <c r="D16831">
        <v>88.36</v>
      </c>
      <c r="E16831">
        <v>421</v>
      </c>
      <c r="F16831">
        <v>49</v>
      </c>
      <c r="G16831">
        <v>1</v>
      </c>
      <c r="H16831">
        <v>67</v>
      </c>
      <c r="I16831">
        <v>487</v>
      </c>
      <c r="J16831">
        <v>1</v>
      </c>
      <c r="K16831">
        <v>68</v>
      </c>
      <c r="L16831">
        <v>487</v>
      </c>
      <c r="M16831">
        <v>1</v>
      </c>
      <c r="N16831">
        <v>0</v>
      </c>
      <c r="O16831">
        <v>1969</v>
      </c>
    </row>
    <row r="16832" spans="1:15" x14ac:dyDescent="0.25">
      <c r="A16832" t="s">
        <v>16845</v>
      </c>
      <c r="B16832">
        <v>741</v>
      </c>
      <c r="C16832" s="1" t="str">
        <f>HYPERLINK("http://www.rosaceae.org/gb/gbrowse/malus_x_domestica/?name=MDP0000195508","MDP0000195508")</f>
        <v>MDP0000195508</v>
      </c>
      <c r="D16832">
        <v>49.65</v>
      </c>
      <c r="E16832">
        <v>437</v>
      </c>
      <c r="F16832">
        <v>220</v>
      </c>
      <c r="G16832">
        <v>113</v>
      </c>
      <c r="H16832">
        <v>407</v>
      </c>
      <c r="I16832">
        <v>733</v>
      </c>
      <c r="J16832">
        <v>1</v>
      </c>
      <c r="K16832">
        <v>205</v>
      </c>
      <c r="L16832">
        <v>638</v>
      </c>
      <c r="M16832">
        <v>1</v>
      </c>
      <c r="N16832">
        <v>5.9122200000000001E-95</v>
      </c>
      <c r="O16832">
        <v>887</v>
      </c>
    </row>
    <row r="16833" spans="1:15" x14ac:dyDescent="0.25">
      <c r="A16833" t="s">
        <v>16846</v>
      </c>
      <c r="B16833">
        <v>369</v>
      </c>
      <c r="C16833" s="1" t="str">
        <f>HYPERLINK("http://www.rosaceae.org/gb/gbrowse/malus_x_domestica/?name=MDP0000526584","MDP0000526584")</f>
        <v>MDP0000526584</v>
      </c>
      <c r="D16833">
        <v>50</v>
      </c>
      <c r="E16833">
        <v>324</v>
      </c>
      <c r="F16833">
        <v>162</v>
      </c>
      <c r="G16833">
        <v>35</v>
      </c>
      <c r="H16833">
        <v>5</v>
      </c>
      <c r="I16833">
        <v>316</v>
      </c>
      <c r="J16833">
        <v>1</v>
      </c>
      <c r="K16833">
        <v>42</v>
      </c>
      <c r="L16833">
        <v>342</v>
      </c>
      <c r="M16833">
        <v>1</v>
      </c>
      <c r="N16833">
        <v>1.1344E-76</v>
      </c>
      <c r="O16833">
        <v>726</v>
      </c>
    </row>
    <row r="16834" spans="1:15" x14ac:dyDescent="0.25">
      <c r="A16834" t="s">
        <v>16847</v>
      </c>
      <c r="B16834">
        <v>739</v>
      </c>
      <c r="C16834" s="1" t="str">
        <f>HYPERLINK("http://www.rosaceae.org/gb/gbrowse/malus_x_domestica/?name=MDP0000290504","MDP0000290504")</f>
        <v>MDP0000290504</v>
      </c>
      <c r="D16834">
        <v>75.33</v>
      </c>
      <c r="E16834">
        <v>373</v>
      </c>
      <c r="F16834">
        <v>92</v>
      </c>
      <c r="G16834">
        <v>2</v>
      </c>
      <c r="H16834">
        <v>61</v>
      </c>
      <c r="I16834">
        <v>432</v>
      </c>
      <c r="J16834">
        <v>1</v>
      </c>
      <c r="K16834">
        <v>3</v>
      </c>
      <c r="L16834">
        <v>374</v>
      </c>
      <c r="M16834">
        <v>1</v>
      </c>
      <c r="N16834">
        <v>4.89313E-161</v>
      </c>
      <c r="O16834">
        <v>1457</v>
      </c>
    </row>
    <row r="16835" spans="1:15" x14ac:dyDescent="0.25">
      <c r="A16835" t="s">
        <v>16848</v>
      </c>
      <c r="B16835">
        <v>547</v>
      </c>
      <c r="C16835" s="1" t="str">
        <f>HYPERLINK("http://www.rosaceae.org/gb/gbrowse/malus_x_domestica/?name=MDP0000223196","MDP0000223196")</f>
        <v>MDP0000223196</v>
      </c>
      <c r="D16835">
        <v>74</v>
      </c>
      <c r="E16835">
        <v>400</v>
      </c>
      <c r="F16835">
        <v>104</v>
      </c>
      <c r="G16835">
        <v>42</v>
      </c>
      <c r="H16835">
        <v>188</v>
      </c>
      <c r="I16835">
        <v>545</v>
      </c>
      <c r="J16835">
        <v>1</v>
      </c>
      <c r="K16835">
        <v>62</v>
      </c>
      <c r="L16835">
        <v>461</v>
      </c>
      <c r="M16835">
        <v>1</v>
      </c>
      <c r="N16835">
        <v>2.7523199999999999E-173</v>
      </c>
      <c r="O16835">
        <v>1561</v>
      </c>
    </row>
    <row r="16836" spans="1:15" x14ac:dyDescent="0.25">
      <c r="A16836" t="s">
        <v>16849</v>
      </c>
      <c r="B16836">
        <v>72</v>
      </c>
      <c r="C16836" s="1" t="str">
        <f>HYPERLINK("http://www.rosaceae.org/gb/gbrowse/malus_x_domestica/?name=MDP0000508644","MDP0000508644")</f>
        <v>MDP0000508644</v>
      </c>
      <c r="D16836">
        <v>89.06</v>
      </c>
      <c r="E16836">
        <v>64</v>
      </c>
      <c r="F16836">
        <v>7</v>
      </c>
      <c r="G16836">
        <v>0</v>
      </c>
      <c r="H16836">
        <v>1</v>
      </c>
      <c r="I16836">
        <v>64</v>
      </c>
      <c r="J16836">
        <v>1</v>
      </c>
      <c r="K16836">
        <v>64</v>
      </c>
      <c r="L16836">
        <v>127</v>
      </c>
      <c r="M16836">
        <v>1</v>
      </c>
      <c r="N16836">
        <v>1.3551599999999999E-30</v>
      </c>
      <c r="O16836">
        <v>321</v>
      </c>
    </row>
    <row r="16837" spans="1:15" x14ac:dyDescent="0.25">
      <c r="A16837" t="s">
        <v>16850</v>
      </c>
      <c r="B16837">
        <v>559</v>
      </c>
      <c r="C16837" s="1" t="str">
        <f>HYPERLINK("http://www.rosaceae.org/gb/gbrowse/malus_x_domestica/?name=MDP0000135483","MDP0000135483")</f>
        <v>MDP0000135483</v>
      </c>
      <c r="D16837">
        <v>59.61</v>
      </c>
      <c r="E16837">
        <v>567</v>
      </c>
      <c r="F16837">
        <v>229</v>
      </c>
      <c r="G16837">
        <v>25</v>
      </c>
      <c r="H16837">
        <v>15</v>
      </c>
      <c r="I16837">
        <v>556</v>
      </c>
      <c r="J16837">
        <v>1</v>
      </c>
      <c r="K16837">
        <v>1</v>
      </c>
      <c r="L16837">
        <v>567</v>
      </c>
      <c r="M16837">
        <v>1</v>
      </c>
      <c r="N16837">
        <v>4.4755200000000002E-180</v>
      </c>
      <c r="O16837">
        <v>1620</v>
      </c>
    </row>
    <row r="16838" spans="1:15" x14ac:dyDescent="0.25">
      <c r="A16838" t="s">
        <v>16851</v>
      </c>
      <c r="B16838">
        <v>149</v>
      </c>
      <c r="C16838" s="1" t="str">
        <f>HYPERLINK("http://www.rosaceae.org/gb/gbrowse/malus_x_domestica/?name=MDP0000277474","MDP0000277474")</f>
        <v>MDP0000277474</v>
      </c>
      <c r="D16838">
        <v>95.97</v>
      </c>
      <c r="E16838">
        <v>149</v>
      </c>
      <c r="F16838">
        <v>6</v>
      </c>
      <c r="G16838">
        <v>0</v>
      </c>
      <c r="H16838">
        <v>1</v>
      </c>
      <c r="I16838">
        <v>149</v>
      </c>
      <c r="J16838">
        <v>1</v>
      </c>
      <c r="K16838">
        <v>1</v>
      </c>
      <c r="L16838">
        <v>149</v>
      </c>
      <c r="M16838">
        <v>1</v>
      </c>
      <c r="N16838">
        <v>2.4184300000000001E-79</v>
      </c>
      <c r="O16838">
        <v>744</v>
      </c>
    </row>
    <row r="16839" spans="1:15" x14ac:dyDescent="0.25">
      <c r="A16839" t="s">
        <v>16852</v>
      </c>
      <c r="B16839">
        <v>297</v>
      </c>
      <c r="C16839" s="1" t="str">
        <f>HYPERLINK("http://www.rosaceae.org/gb/gbrowse/malus_x_domestica/?name=MDP0000670228","MDP0000670228")</f>
        <v>MDP0000670228</v>
      </c>
      <c r="D16839">
        <v>34.28</v>
      </c>
      <c r="E16839">
        <v>210</v>
      </c>
      <c r="F16839">
        <v>138</v>
      </c>
      <c r="G16839">
        <v>50</v>
      </c>
      <c r="H16839">
        <v>59</v>
      </c>
      <c r="I16839">
        <v>249</v>
      </c>
      <c r="J16839">
        <v>1</v>
      </c>
      <c r="K16839">
        <v>127</v>
      </c>
      <c r="L16839">
        <v>305</v>
      </c>
      <c r="M16839">
        <v>1</v>
      </c>
      <c r="N16839">
        <v>4.9684200000000003E-17</v>
      </c>
      <c r="O16839">
        <v>211</v>
      </c>
    </row>
    <row r="16840" spans="1:15" x14ac:dyDescent="0.25">
      <c r="A16840" t="s">
        <v>16853</v>
      </c>
      <c r="B16840">
        <v>168</v>
      </c>
      <c r="C16840" s="1" t="str">
        <f>HYPERLINK("http://www.rosaceae.org/gb/gbrowse/malus_x_domestica/?name=MDP0000314254","MDP0000314254")</f>
        <v>MDP0000314254</v>
      </c>
      <c r="D16840">
        <v>39.409999999999997</v>
      </c>
      <c r="E16840">
        <v>170</v>
      </c>
      <c r="F16840">
        <v>103</v>
      </c>
      <c r="G16840">
        <v>6</v>
      </c>
      <c r="H16840">
        <v>1</v>
      </c>
      <c r="I16840">
        <v>166</v>
      </c>
      <c r="J16840">
        <v>1</v>
      </c>
      <c r="K16840">
        <v>226</v>
      </c>
      <c r="L16840">
        <v>393</v>
      </c>
      <c r="M16840">
        <v>1</v>
      </c>
      <c r="N16840">
        <v>1.00804E-30</v>
      </c>
      <c r="O16840">
        <v>325</v>
      </c>
    </row>
    <row r="16841" spans="1:15" x14ac:dyDescent="0.25">
      <c r="A16841" t="s">
        <v>16854</v>
      </c>
      <c r="B16841">
        <v>405</v>
      </c>
      <c r="C16841" s="1" t="str">
        <f>HYPERLINK("http://www.rosaceae.org/gb/gbrowse/malus_x_domestica/?name=MDP0000751862","MDP0000751862")</f>
        <v>MDP0000751862</v>
      </c>
      <c r="D16841">
        <v>39.82</v>
      </c>
      <c r="E16841">
        <v>447</v>
      </c>
      <c r="F16841">
        <v>269</v>
      </c>
      <c r="G16841">
        <v>90</v>
      </c>
      <c r="H16841">
        <v>1</v>
      </c>
      <c r="I16841">
        <v>373</v>
      </c>
      <c r="J16841">
        <v>1</v>
      </c>
      <c r="K16841">
        <v>578</v>
      </c>
      <c r="L16841">
        <v>1008</v>
      </c>
      <c r="M16841">
        <v>1</v>
      </c>
      <c r="N16841">
        <v>4.8823400000000002E-63</v>
      </c>
      <c r="O16841">
        <v>609</v>
      </c>
    </row>
    <row r="16842" spans="1:15" x14ac:dyDescent="0.25">
      <c r="A16842" t="s">
        <v>16855</v>
      </c>
      <c r="B16842">
        <v>184</v>
      </c>
      <c r="C16842" s="1" t="str">
        <f>HYPERLINK("http://www.rosaceae.org/gb/gbrowse/malus_x_domestica/?name=MDP0000214824","MDP0000214824")</f>
        <v>MDP0000214824</v>
      </c>
      <c r="D16842">
        <v>75.67</v>
      </c>
      <c r="E16842">
        <v>37</v>
      </c>
      <c r="F16842">
        <v>9</v>
      </c>
      <c r="G16842">
        <v>0</v>
      </c>
      <c r="H16842">
        <v>34</v>
      </c>
      <c r="I16842">
        <v>70</v>
      </c>
      <c r="J16842">
        <v>1</v>
      </c>
      <c r="K16842">
        <v>191</v>
      </c>
      <c r="L16842">
        <v>227</v>
      </c>
      <c r="M16842">
        <v>1</v>
      </c>
      <c r="N16842">
        <v>2.4824000000000001E-8</v>
      </c>
      <c r="O16842">
        <v>133</v>
      </c>
    </row>
    <row r="16843" spans="1:15" x14ac:dyDescent="0.25">
      <c r="A16843" t="s">
        <v>16856</v>
      </c>
      <c r="B16843">
        <v>289</v>
      </c>
      <c r="C16843" s="1" t="str">
        <f>HYPERLINK("http://www.rosaceae.org/gb/gbrowse/malus_x_domestica/?name=MDP0000681936","MDP0000681936")</f>
        <v>MDP0000681936</v>
      </c>
      <c r="D16843">
        <v>72.34</v>
      </c>
      <c r="E16843">
        <v>329</v>
      </c>
      <c r="F16843">
        <v>91</v>
      </c>
      <c r="G16843">
        <v>42</v>
      </c>
      <c r="H16843">
        <v>3</v>
      </c>
      <c r="I16843">
        <v>289</v>
      </c>
      <c r="J16843">
        <v>1</v>
      </c>
      <c r="K16843">
        <v>6</v>
      </c>
      <c r="L16843">
        <v>334</v>
      </c>
      <c r="M16843">
        <v>1</v>
      </c>
      <c r="N16843">
        <v>1.35039E-137</v>
      </c>
      <c r="O16843">
        <v>1250</v>
      </c>
    </row>
    <row r="16844" spans="1:15" x14ac:dyDescent="0.25">
      <c r="A16844" t="s">
        <v>16857</v>
      </c>
      <c r="B16844">
        <v>490</v>
      </c>
      <c r="C16844" s="1" t="str">
        <f>HYPERLINK("http://www.rosaceae.org/gb/gbrowse/malus_x_domestica/?name=MDP0000397802","MDP0000397802")</f>
        <v>MDP0000397802</v>
      </c>
      <c r="D16844">
        <v>74.39</v>
      </c>
      <c r="E16844">
        <v>492</v>
      </c>
      <c r="F16844">
        <v>126</v>
      </c>
      <c r="G16844">
        <v>3</v>
      </c>
      <c r="H16844">
        <v>1</v>
      </c>
      <c r="I16844">
        <v>489</v>
      </c>
      <c r="J16844">
        <v>1</v>
      </c>
      <c r="K16844">
        <v>1</v>
      </c>
      <c r="L16844">
        <v>492</v>
      </c>
      <c r="M16844">
        <v>1</v>
      </c>
      <c r="N16844">
        <v>0</v>
      </c>
      <c r="O16844">
        <v>1930</v>
      </c>
    </row>
    <row r="16845" spans="1:15" x14ac:dyDescent="0.25">
      <c r="A16845" t="s">
        <v>16858</v>
      </c>
      <c r="B16845">
        <v>318</v>
      </c>
      <c r="C16845" s="1" t="str">
        <f>HYPERLINK("http://www.rosaceae.org/gb/gbrowse/malus_x_domestica/?name=MDP0000156973","MDP0000156973")</f>
        <v>MDP0000156973</v>
      </c>
      <c r="D16845">
        <v>43.55</v>
      </c>
      <c r="E16845">
        <v>287</v>
      </c>
      <c r="F16845">
        <v>162</v>
      </c>
      <c r="G16845">
        <v>4</v>
      </c>
      <c r="H16845">
        <v>1</v>
      </c>
      <c r="I16845">
        <v>285</v>
      </c>
      <c r="J16845">
        <v>1</v>
      </c>
      <c r="K16845">
        <v>1</v>
      </c>
      <c r="L16845">
        <v>285</v>
      </c>
      <c r="M16845">
        <v>1</v>
      </c>
      <c r="N16845">
        <v>1.3256099999999999E-65</v>
      </c>
      <c r="O16845">
        <v>630</v>
      </c>
    </row>
    <row r="16846" spans="1:15" x14ac:dyDescent="0.25">
      <c r="A16846" t="s">
        <v>16859</v>
      </c>
      <c r="B16846">
        <v>504</v>
      </c>
      <c r="C16846" s="1" t="str">
        <f>HYPERLINK("http://www.rosaceae.org/gb/gbrowse/malus_x_domestica/?name=MDP0000848291","MDP0000848291")</f>
        <v>MDP0000848291</v>
      </c>
      <c r="D16846">
        <v>59.34</v>
      </c>
      <c r="E16846">
        <v>123</v>
      </c>
      <c r="F16846">
        <v>50</v>
      </c>
      <c r="G16846">
        <v>0</v>
      </c>
      <c r="H16846">
        <v>382</v>
      </c>
      <c r="I16846">
        <v>504</v>
      </c>
      <c r="J16846">
        <v>1</v>
      </c>
      <c r="K16846">
        <v>4</v>
      </c>
      <c r="L16846">
        <v>126</v>
      </c>
      <c r="M16846">
        <v>1</v>
      </c>
      <c r="N16846">
        <v>1.5019000000000001E-36</v>
      </c>
      <c r="O16846">
        <v>382</v>
      </c>
    </row>
    <row r="16847" spans="1:15" x14ac:dyDescent="0.25">
      <c r="A16847" t="s">
        <v>16860</v>
      </c>
      <c r="B16847">
        <v>127</v>
      </c>
      <c r="C16847" s="1" t="str">
        <f>HYPERLINK("http://www.rosaceae.org/gb/gbrowse/malus_x_domestica/?name=MDP0000411929","MDP0000411929")</f>
        <v>MDP0000411929</v>
      </c>
      <c r="D16847">
        <v>75</v>
      </c>
      <c r="E16847">
        <v>44</v>
      </c>
      <c r="F16847">
        <v>11</v>
      </c>
      <c r="G16847">
        <v>0</v>
      </c>
      <c r="H16847">
        <v>1</v>
      </c>
      <c r="I16847">
        <v>44</v>
      </c>
      <c r="J16847">
        <v>1</v>
      </c>
      <c r="K16847">
        <v>214</v>
      </c>
      <c r="L16847">
        <v>257</v>
      </c>
      <c r="M16847">
        <v>1</v>
      </c>
      <c r="N16847">
        <v>1.1197499999999999E-15</v>
      </c>
      <c r="O16847">
        <v>193</v>
      </c>
    </row>
    <row r="16848" spans="1:15" x14ac:dyDescent="0.25">
      <c r="A16848" t="s">
        <v>16861</v>
      </c>
      <c r="B16848">
        <v>124</v>
      </c>
      <c r="C16848" s="1" t="str">
        <f>HYPERLINK("http://www.rosaceae.org/gb/gbrowse/malus_x_domestica/?name=MDP0000577455","MDP0000577455")</f>
        <v>MDP0000577455</v>
      </c>
      <c r="D16848">
        <v>66.05</v>
      </c>
      <c r="E16848">
        <v>109</v>
      </c>
      <c r="F16848">
        <v>37</v>
      </c>
      <c r="G16848">
        <v>5</v>
      </c>
      <c r="H16848">
        <v>17</v>
      </c>
      <c r="I16848">
        <v>124</v>
      </c>
      <c r="J16848">
        <v>1</v>
      </c>
      <c r="K16848">
        <v>17</v>
      </c>
      <c r="L16848">
        <v>121</v>
      </c>
      <c r="M16848">
        <v>1</v>
      </c>
      <c r="N16848">
        <v>5.5565299999999997E-32</v>
      </c>
      <c r="O16848">
        <v>333</v>
      </c>
    </row>
    <row r="16849" spans="1:15" x14ac:dyDescent="0.25">
      <c r="A16849" t="s">
        <v>16862</v>
      </c>
      <c r="B16849">
        <v>257</v>
      </c>
      <c r="C16849" s="1" t="str">
        <f>HYPERLINK("http://www.rosaceae.org/gb/gbrowse/malus_x_domestica/?name=MDP0000282838","MDP0000282838")</f>
        <v>MDP0000282838</v>
      </c>
      <c r="D16849">
        <v>78.17</v>
      </c>
      <c r="E16849">
        <v>252</v>
      </c>
      <c r="F16849">
        <v>55</v>
      </c>
      <c r="G16849">
        <v>5</v>
      </c>
      <c r="H16849">
        <v>10</v>
      </c>
      <c r="I16849">
        <v>257</v>
      </c>
      <c r="J16849">
        <v>1</v>
      </c>
      <c r="K16849">
        <v>1529</v>
      </c>
      <c r="L16849">
        <v>1779</v>
      </c>
      <c r="M16849">
        <v>1</v>
      </c>
      <c r="N16849">
        <v>7.5671900000000002E-113</v>
      </c>
      <c r="O16849">
        <v>1036</v>
      </c>
    </row>
    <row r="16850" spans="1:15" x14ac:dyDescent="0.25">
      <c r="A16850" t="s">
        <v>16863</v>
      </c>
      <c r="B16850">
        <v>251</v>
      </c>
      <c r="C16850" s="1" t="str">
        <f>HYPERLINK("http://www.rosaceae.org/gb/gbrowse/malus_x_domestica/?name=MDP0000702557","MDP0000702557")</f>
        <v>MDP0000702557</v>
      </c>
      <c r="D16850">
        <v>79.31</v>
      </c>
      <c r="E16850">
        <v>58</v>
      </c>
      <c r="F16850">
        <v>12</v>
      </c>
      <c r="G16850">
        <v>0</v>
      </c>
      <c r="H16850">
        <v>77</v>
      </c>
      <c r="I16850">
        <v>134</v>
      </c>
      <c r="J16850">
        <v>1</v>
      </c>
      <c r="K16850">
        <v>126</v>
      </c>
      <c r="L16850">
        <v>183</v>
      </c>
      <c r="M16850">
        <v>1</v>
      </c>
      <c r="N16850">
        <v>1.3175500000000001E-21</v>
      </c>
      <c r="O16850">
        <v>249</v>
      </c>
    </row>
    <row r="16851" spans="1:15" x14ac:dyDescent="0.25">
      <c r="A16851" t="s">
        <v>16864</v>
      </c>
      <c r="B16851">
        <v>302</v>
      </c>
      <c r="C16851" s="1" t="str">
        <f>HYPERLINK("http://www.rosaceae.org/gb/gbrowse/malus_x_domestica/?name=MDP0000411286","MDP0000411286")</f>
        <v>MDP0000411286</v>
      </c>
      <c r="D16851">
        <v>35.130000000000003</v>
      </c>
      <c r="E16851">
        <v>185</v>
      </c>
      <c r="F16851">
        <v>120</v>
      </c>
      <c r="G16851">
        <v>17</v>
      </c>
      <c r="H16851">
        <v>121</v>
      </c>
      <c r="I16851">
        <v>289</v>
      </c>
      <c r="J16851">
        <v>1</v>
      </c>
      <c r="K16851">
        <v>504</v>
      </c>
      <c r="L16851">
        <v>687</v>
      </c>
      <c r="M16851">
        <v>1</v>
      </c>
      <c r="N16851">
        <v>4.3392400000000003E-25</v>
      </c>
      <c r="O16851">
        <v>280</v>
      </c>
    </row>
    <row r="16852" spans="1:15" x14ac:dyDescent="0.25">
      <c r="A16852" t="s">
        <v>16865</v>
      </c>
      <c r="B16852">
        <v>268</v>
      </c>
      <c r="C16852" s="1" t="str">
        <f>HYPERLINK("http://www.rosaceae.org/gb/gbrowse/malus_x_domestica/?name=MDP0000212434","MDP0000212434")</f>
        <v>MDP0000212434</v>
      </c>
      <c r="D16852">
        <v>46.61</v>
      </c>
      <c r="E16852">
        <v>266</v>
      </c>
      <c r="F16852">
        <v>142</v>
      </c>
      <c r="G16852">
        <v>15</v>
      </c>
      <c r="H16852">
        <v>5</v>
      </c>
      <c r="I16852">
        <v>262</v>
      </c>
      <c r="J16852">
        <v>1</v>
      </c>
      <c r="K16852">
        <v>13</v>
      </c>
      <c r="L16852">
        <v>271</v>
      </c>
      <c r="M16852">
        <v>1</v>
      </c>
      <c r="N16852">
        <v>1.6321400000000001E-51</v>
      </c>
      <c r="O16852">
        <v>508</v>
      </c>
    </row>
    <row r="16853" spans="1:15" x14ac:dyDescent="0.25">
      <c r="A16853" t="s">
        <v>16866</v>
      </c>
      <c r="B16853">
        <v>180</v>
      </c>
      <c r="C16853" s="1" t="str">
        <f>HYPERLINK("http://www.rosaceae.org/gb/gbrowse/malus_x_domestica/?name=MDP0000423604","MDP0000423604")</f>
        <v>MDP0000423604</v>
      </c>
      <c r="D16853">
        <v>76.819999999999993</v>
      </c>
      <c r="E16853">
        <v>164</v>
      </c>
      <c r="F16853">
        <v>38</v>
      </c>
      <c r="G16853">
        <v>5</v>
      </c>
      <c r="H16853">
        <v>21</v>
      </c>
      <c r="I16853">
        <v>179</v>
      </c>
      <c r="J16853">
        <v>1</v>
      </c>
      <c r="K16853">
        <v>21</v>
      </c>
      <c r="L16853">
        <v>184</v>
      </c>
      <c r="M16853">
        <v>1</v>
      </c>
      <c r="N16853">
        <v>5.6328800000000001E-70</v>
      </c>
      <c r="O16853">
        <v>664</v>
      </c>
    </row>
    <row r="16854" spans="1:15" x14ac:dyDescent="0.25">
      <c r="A16854" t="s">
        <v>16867</v>
      </c>
      <c r="B16854">
        <v>391</v>
      </c>
      <c r="C16854" s="1" t="str">
        <f>HYPERLINK("http://www.rosaceae.org/gb/gbrowse/malus_x_domestica/?name=MDP0000920005","MDP0000920005")</f>
        <v>MDP0000920005</v>
      </c>
      <c r="D16854">
        <v>58.26</v>
      </c>
      <c r="E16854">
        <v>381</v>
      </c>
      <c r="F16854">
        <v>159</v>
      </c>
      <c r="G16854">
        <v>32</v>
      </c>
      <c r="H16854">
        <v>16</v>
      </c>
      <c r="I16854">
        <v>386</v>
      </c>
      <c r="J16854">
        <v>1</v>
      </c>
      <c r="K16854">
        <v>21</v>
      </c>
      <c r="L16854">
        <v>379</v>
      </c>
      <c r="M16854">
        <v>1</v>
      </c>
      <c r="N16854">
        <v>6.3932900000000002E-115</v>
      </c>
      <c r="O16854">
        <v>1056</v>
      </c>
    </row>
    <row r="16855" spans="1:15" x14ac:dyDescent="0.25">
      <c r="A16855" t="s">
        <v>16868</v>
      </c>
      <c r="B16855">
        <v>231</v>
      </c>
      <c r="C16855" s="1" t="str">
        <f>HYPERLINK("http://www.rosaceae.org/gb/gbrowse/malus_x_domestica/?name=MDP0000490525","MDP0000490525")</f>
        <v>MDP0000490525</v>
      </c>
      <c r="D16855">
        <v>47.45</v>
      </c>
      <c r="E16855">
        <v>59</v>
      </c>
      <c r="F16855">
        <v>31</v>
      </c>
      <c r="G16855">
        <v>1</v>
      </c>
      <c r="H16855">
        <v>70</v>
      </c>
      <c r="I16855">
        <v>127</v>
      </c>
      <c r="J16855">
        <v>1</v>
      </c>
      <c r="K16855">
        <v>520</v>
      </c>
      <c r="L16855">
        <v>578</v>
      </c>
      <c r="M16855">
        <v>1</v>
      </c>
      <c r="N16855">
        <v>3.0253399999999998E-9</v>
      </c>
      <c r="O16855">
        <v>142</v>
      </c>
    </row>
    <row r="16856" spans="1:15" x14ac:dyDescent="0.25">
      <c r="A16856" t="s">
        <v>16869</v>
      </c>
      <c r="B16856">
        <v>269</v>
      </c>
      <c r="C16856" s="1" t="str">
        <f>HYPERLINK("http://www.rosaceae.org/gb/gbrowse/malus_x_domestica/?name=MDP0000279733","MDP0000279733")</f>
        <v>MDP0000279733</v>
      </c>
      <c r="D16856">
        <v>58.04</v>
      </c>
      <c r="E16856">
        <v>205</v>
      </c>
      <c r="F16856">
        <v>86</v>
      </c>
      <c r="G16856">
        <v>14</v>
      </c>
      <c r="H16856">
        <v>69</v>
      </c>
      <c r="I16856">
        <v>269</v>
      </c>
      <c r="J16856">
        <v>1</v>
      </c>
      <c r="K16856">
        <v>1</v>
      </c>
      <c r="L16856">
        <v>195</v>
      </c>
      <c r="M16856">
        <v>1</v>
      </c>
      <c r="N16856">
        <v>2.5063299999999999E-60</v>
      </c>
      <c r="O16856">
        <v>584</v>
      </c>
    </row>
    <row r="16857" spans="1:15" x14ac:dyDescent="0.25">
      <c r="A16857" t="s">
        <v>16870</v>
      </c>
      <c r="B16857">
        <v>1096</v>
      </c>
      <c r="C16857" s="1" t="str">
        <f>HYPERLINK("http://www.rosaceae.org/gb/gbrowse/malus_x_domestica/?name=MDP0000252393","MDP0000252393")</f>
        <v>MDP0000252393</v>
      </c>
      <c r="D16857">
        <v>79.930000000000007</v>
      </c>
      <c r="E16857">
        <v>608</v>
      </c>
      <c r="F16857">
        <v>122</v>
      </c>
      <c r="G16857">
        <v>41</v>
      </c>
      <c r="H16857">
        <v>1</v>
      </c>
      <c r="I16857">
        <v>605</v>
      </c>
      <c r="J16857">
        <v>1</v>
      </c>
      <c r="K16857">
        <v>1</v>
      </c>
      <c r="L16857">
        <v>570</v>
      </c>
      <c r="M16857">
        <v>1</v>
      </c>
      <c r="N16857">
        <v>0</v>
      </c>
      <c r="O16857">
        <v>2525</v>
      </c>
    </row>
    <row r="16858" spans="1:15" x14ac:dyDescent="0.25">
      <c r="A16858" t="s">
        <v>16871</v>
      </c>
      <c r="B16858">
        <v>194</v>
      </c>
      <c r="C16858" s="1" t="str">
        <f>HYPERLINK("http://www.rosaceae.org/gb/gbrowse/malus_x_domestica/?name=MDP0000156582","MDP0000156582")</f>
        <v>MDP0000156582</v>
      </c>
      <c r="D16858">
        <v>45.16</v>
      </c>
      <c r="E16858">
        <v>62</v>
      </c>
      <c r="F16858">
        <v>34</v>
      </c>
      <c r="G16858">
        <v>4</v>
      </c>
      <c r="H16858">
        <v>35</v>
      </c>
      <c r="I16858">
        <v>95</v>
      </c>
      <c r="J16858">
        <v>1</v>
      </c>
      <c r="K16858">
        <v>191</v>
      </c>
      <c r="L16858">
        <v>249</v>
      </c>
      <c r="M16858">
        <v>1</v>
      </c>
      <c r="N16858">
        <v>4.6957700000000002E-7</v>
      </c>
      <c r="O16858">
        <v>122</v>
      </c>
    </row>
    <row r="16859" spans="1:15" x14ac:dyDescent="0.25">
      <c r="A16859" t="s">
        <v>16872</v>
      </c>
      <c r="B16859">
        <v>237</v>
      </c>
      <c r="C16859" s="1" t="str">
        <f>HYPERLINK("http://www.rosaceae.org/gb/gbrowse/malus_x_domestica/?name=MDP0000731702","MDP0000731702")</f>
        <v>MDP0000731702</v>
      </c>
      <c r="D16859">
        <v>51.51</v>
      </c>
      <c r="E16859">
        <v>198</v>
      </c>
      <c r="F16859">
        <v>96</v>
      </c>
      <c r="G16859">
        <v>39</v>
      </c>
      <c r="H16859">
        <v>51</v>
      </c>
      <c r="I16859">
        <v>215</v>
      </c>
      <c r="J16859">
        <v>1</v>
      </c>
      <c r="K16859">
        <v>838</v>
      </c>
      <c r="L16859">
        <v>1029</v>
      </c>
      <c r="M16859">
        <v>1</v>
      </c>
      <c r="N16859">
        <v>3.7317500000000001E-44</v>
      </c>
      <c r="O16859">
        <v>443</v>
      </c>
    </row>
    <row r="16860" spans="1:15" x14ac:dyDescent="0.25">
      <c r="A16860" t="s">
        <v>16873</v>
      </c>
      <c r="B16860">
        <v>693</v>
      </c>
      <c r="C16860" s="1" t="str">
        <f>HYPERLINK("http://www.rosaceae.org/gb/gbrowse/malus_x_domestica/?name=MDP0000293960","MDP0000293960")</f>
        <v>MDP0000293960</v>
      </c>
      <c r="D16860">
        <v>85.12</v>
      </c>
      <c r="E16860">
        <v>679</v>
      </c>
      <c r="F16860">
        <v>101</v>
      </c>
      <c r="G16860">
        <v>2</v>
      </c>
      <c r="H16860">
        <v>6</v>
      </c>
      <c r="I16860">
        <v>684</v>
      </c>
      <c r="J16860">
        <v>1</v>
      </c>
      <c r="K16860">
        <v>64</v>
      </c>
      <c r="L16860">
        <v>740</v>
      </c>
      <c r="M16860">
        <v>1</v>
      </c>
      <c r="N16860">
        <v>0</v>
      </c>
      <c r="O16860">
        <v>3182</v>
      </c>
    </row>
    <row r="16861" spans="1:15" x14ac:dyDescent="0.25">
      <c r="A16861" t="s">
        <v>16874</v>
      </c>
      <c r="B16861">
        <v>379</v>
      </c>
      <c r="C16861" s="1" t="str">
        <f>HYPERLINK("http://www.rosaceae.org/gb/gbrowse/malus_x_domestica/?name=MDP0000296673","MDP0000296673")</f>
        <v>MDP0000296673</v>
      </c>
      <c r="D16861">
        <v>72.75</v>
      </c>
      <c r="E16861">
        <v>389</v>
      </c>
      <c r="F16861">
        <v>106</v>
      </c>
      <c r="G16861">
        <v>21</v>
      </c>
      <c r="H16861">
        <v>1</v>
      </c>
      <c r="I16861">
        <v>379</v>
      </c>
      <c r="J16861">
        <v>1</v>
      </c>
      <c r="K16861">
        <v>1</v>
      </c>
      <c r="L16861">
        <v>378</v>
      </c>
      <c r="M16861">
        <v>1</v>
      </c>
      <c r="N16861">
        <v>1.1297000000000001E-161</v>
      </c>
      <c r="O16861">
        <v>1459</v>
      </c>
    </row>
    <row r="16862" spans="1:15" x14ac:dyDescent="0.25">
      <c r="A16862" t="s">
        <v>16875</v>
      </c>
      <c r="B16862">
        <v>502</v>
      </c>
      <c r="C16862" s="1" t="str">
        <f>HYPERLINK("http://www.rosaceae.org/gb/gbrowse/malus_x_domestica/?name=MDP0000241557","MDP0000241557")</f>
        <v>MDP0000241557</v>
      </c>
      <c r="D16862">
        <v>46.47</v>
      </c>
      <c r="E16862">
        <v>497</v>
      </c>
      <c r="F16862">
        <v>266</v>
      </c>
      <c r="G16862">
        <v>76</v>
      </c>
      <c r="H16862">
        <v>57</v>
      </c>
      <c r="I16862">
        <v>492</v>
      </c>
      <c r="J16862">
        <v>1</v>
      </c>
      <c r="K16862">
        <v>1</v>
      </c>
      <c r="L16862">
        <v>482</v>
      </c>
      <c r="M16862">
        <v>1</v>
      </c>
      <c r="N16862">
        <v>1.47656E-106</v>
      </c>
      <c r="O16862">
        <v>985</v>
      </c>
    </row>
    <row r="16863" spans="1:15" x14ac:dyDescent="0.25">
      <c r="A16863" t="s">
        <v>16876</v>
      </c>
      <c r="B16863">
        <v>157</v>
      </c>
      <c r="C16863" s="1" t="str">
        <f>HYPERLINK("http://www.rosaceae.org/gb/gbrowse/malus_x_domestica/?name=MDP0000698897","MDP0000698897")</f>
        <v>MDP0000698897</v>
      </c>
      <c r="D16863">
        <v>46.42</v>
      </c>
      <c r="E16863">
        <v>56</v>
      </c>
      <c r="F16863">
        <v>30</v>
      </c>
      <c r="G16863">
        <v>0</v>
      </c>
      <c r="H16863">
        <v>63</v>
      </c>
      <c r="I16863">
        <v>118</v>
      </c>
      <c r="J16863">
        <v>1</v>
      </c>
      <c r="K16863">
        <v>124</v>
      </c>
      <c r="L16863">
        <v>179</v>
      </c>
      <c r="M16863">
        <v>1</v>
      </c>
      <c r="N16863">
        <v>2.3671000000000001E-7</v>
      </c>
      <c r="O16863">
        <v>123</v>
      </c>
    </row>
    <row r="16864" spans="1:15" x14ac:dyDescent="0.25">
      <c r="A16864" t="s">
        <v>16877</v>
      </c>
      <c r="B16864">
        <v>1417</v>
      </c>
      <c r="C16864" s="1" t="str">
        <f>HYPERLINK("http://www.rosaceae.org/gb/gbrowse/malus_x_domestica/?name=MDP0000207938","MDP0000207938")</f>
        <v>MDP0000207938</v>
      </c>
      <c r="D16864">
        <v>68.02</v>
      </c>
      <c r="E16864">
        <v>1395</v>
      </c>
      <c r="F16864">
        <v>446</v>
      </c>
      <c r="G16864">
        <v>167</v>
      </c>
      <c r="H16864">
        <v>1</v>
      </c>
      <c r="I16864">
        <v>1264</v>
      </c>
      <c r="J16864">
        <v>1</v>
      </c>
      <c r="K16864">
        <v>1</v>
      </c>
      <c r="L16864">
        <v>1359</v>
      </c>
      <c r="M16864">
        <v>1</v>
      </c>
      <c r="N16864">
        <v>0</v>
      </c>
      <c r="O16864">
        <v>4509</v>
      </c>
    </row>
    <row r="16865" spans="1:15" x14ac:dyDescent="0.25">
      <c r="A16865" t="s">
        <v>16878</v>
      </c>
      <c r="B16865">
        <v>318</v>
      </c>
      <c r="C16865" s="1" t="str">
        <f>HYPERLINK("http://www.rosaceae.org/gb/gbrowse/malus_x_domestica/?name=MDP0000135974","MDP0000135974")</f>
        <v>MDP0000135974</v>
      </c>
      <c r="D16865">
        <v>71.48</v>
      </c>
      <c r="E16865">
        <v>249</v>
      </c>
      <c r="F16865">
        <v>71</v>
      </c>
      <c r="G16865">
        <v>2</v>
      </c>
      <c r="H16865">
        <v>1</v>
      </c>
      <c r="I16865">
        <v>247</v>
      </c>
      <c r="J16865">
        <v>1</v>
      </c>
      <c r="K16865">
        <v>270</v>
      </c>
      <c r="L16865">
        <v>518</v>
      </c>
      <c r="M16865">
        <v>1</v>
      </c>
      <c r="N16865">
        <v>1.5222300000000001E-106</v>
      </c>
      <c r="O16865">
        <v>983</v>
      </c>
    </row>
    <row r="16866" spans="1:15" x14ac:dyDescent="0.25">
      <c r="A16866" t="s">
        <v>16879</v>
      </c>
      <c r="B16866">
        <v>563</v>
      </c>
      <c r="C16866" s="1" t="str">
        <f>HYPERLINK("http://www.rosaceae.org/gb/gbrowse/malus_x_domestica/?name=MDP0000691671","MDP0000691671")</f>
        <v>MDP0000691671</v>
      </c>
      <c r="D16866">
        <v>68.91</v>
      </c>
      <c r="E16866">
        <v>370</v>
      </c>
      <c r="F16866">
        <v>115</v>
      </c>
      <c r="G16866">
        <v>7</v>
      </c>
      <c r="H16866">
        <v>1</v>
      </c>
      <c r="I16866">
        <v>364</v>
      </c>
      <c r="J16866">
        <v>1</v>
      </c>
      <c r="K16866">
        <v>1</v>
      </c>
      <c r="L16866">
        <v>369</v>
      </c>
      <c r="M16866">
        <v>1</v>
      </c>
      <c r="N16866">
        <v>5.1815000000000001E-137</v>
      </c>
      <c r="O16866">
        <v>1249</v>
      </c>
    </row>
    <row r="16867" spans="1:15" x14ac:dyDescent="0.25">
      <c r="A16867" t="s">
        <v>16880</v>
      </c>
      <c r="B16867">
        <v>245</v>
      </c>
      <c r="C16867" s="1" t="str">
        <f>HYPERLINK("http://www.rosaceae.org/gb/gbrowse/malus_x_domestica/?name=MDP0000274737","MDP0000274737")</f>
        <v>MDP0000274737</v>
      </c>
      <c r="D16867">
        <v>63.63</v>
      </c>
      <c r="E16867">
        <v>132</v>
      </c>
      <c r="F16867">
        <v>48</v>
      </c>
      <c r="G16867">
        <v>0</v>
      </c>
      <c r="H16867">
        <v>83</v>
      </c>
      <c r="I16867">
        <v>214</v>
      </c>
      <c r="J16867">
        <v>1</v>
      </c>
      <c r="K16867">
        <v>30</v>
      </c>
      <c r="L16867">
        <v>161</v>
      </c>
      <c r="M16867">
        <v>1</v>
      </c>
      <c r="N16867">
        <v>4.1741600000000001E-47</v>
      </c>
      <c r="O16867">
        <v>469</v>
      </c>
    </row>
    <row r="16868" spans="1:15" x14ac:dyDescent="0.25">
      <c r="A16868" t="s">
        <v>16881</v>
      </c>
      <c r="B16868">
        <v>1281</v>
      </c>
      <c r="C16868" s="1" t="str">
        <f>HYPERLINK("http://www.rosaceae.org/gb/gbrowse/malus_x_domestica/?name=MDP0000269840","MDP0000269840")</f>
        <v>MDP0000269840</v>
      </c>
      <c r="D16868">
        <v>69.790000000000006</v>
      </c>
      <c r="E16868">
        <v>672</v>
      </c>
      <c r="F16868">
        <v>203</v>
      </c>
      <c r="G16868">
        <v>78</v>
      </c>
      <c r="H16868">
        <v>1</v>
      </c>
      <c r="I16868">
        <v>635</v>
      </c>
      <c r="J16868">
        <v>1</v>
      </c>
      <c r="K16868">
        <v>1962</v>
      </c>
      <c r="L16868">
        <v>2592</v>
      </c>
      <c r="M16868">
        <v>1</v>
      </c>
      <c r="N16868">
        <v>0</v>
      </c>
      <c r="O16868">
        <v>2353</v>
      </c>
    </row>
    <row r="16869" spans="1:15" x14ac:dyDescent="0.25">
      <c r="A16869" t="s">
        <v>16882</v>
      </c>
      <c r="B16869">
        <v>336</v>
      </c>
      <c r="C16869" s="1" t="str">
        <f>HYPERLINK("http://www.rosaceae.org/gb/gbrowse/malus_x_domestica/?name=MDP0000484881","MDP0000484881")</f>
        <v>MDP0000484881</v>
      </c>
      <c r="D16869">
        <v>84.32</v>
      </c>
      <c r="E16869">
        <v>134</v>
      </c>
      <c r="F16869">
        <v>21</v>
      </c>
      <c r="G16869">
        <v>0</v>
      </c>
      <c r="H16869">
        <v>134</v>
      </c>
      <c r="I16869">
        <v>267</v>
      </c>
      <c r="J16869">
        <v>1</v>
      </c>
      <c r="K16869">
        <v>155</v>
      </c>
      <c r="L16869">
        <v>288</v>
      </c>
      <c r="M16869">
        <v>1</v>
      </c>
      <c r="N16869">
        <v>4.8644100000000001E-61</v>
      </c>
      <c r="O16869">
        <v>591</v>
      </c>
    </row>
    <row r="16870" spans="1:15" x14ac:dyDescent="0.25">
      <c r="A16870" t="s">
        <v>16883</v>
      </c>
      <c r="B16870">
        <v>594</v>
      </c>
      <c r="C16870" s="1" t="str">
        <f>HYPERLINK("http://www.rosaceae.org/gb/gbrowse/malus_x_domestica/?name=MDP0000257707","MDP0000257707")</f>
        <v>MDP0000257707</v>
      </c>
      <c r="D16870">
        <v>41.84</v>
      </c>
      <c r="E16870">
        <v>521</v>
      </c>
      <c r="F16870">
        <v>303</v>
      </c>
      <c r="G16870">
        <v>105</v>
      </c>
      <c r="H16870">
        <v>133</v>
      </c>
      <c r="I16870">
        <v>592</v>
      </c>
      <c r="J16870">
        <v>1</v>
      </c>
      <c r="K16870">
        <v>15</v>
      </c>
      <c r="L16870">
        <v>491</v>
      </c>
      <c r="M16870">
        <v>1</v>
      </c>
      <c r="N16870">
        <v>1.1384499999999999E-95</v>
      </c>
      <c r="O16870">
        <v>892</v>
      </c>
    </row>
    <row r="16871" spans="1:15" x14ac:dyDescent="0.25">
      <c r="A16871" t="s">
        <v>16884</v>
      </c>
      <c r="B16871">
        <v>83</v>
      </c>
      <c r="C16871" s="1" t="str">
        <f>HYPERLINK("http://www.rosaceae.org/gb/gbrowse/malus_x_domestica/?name=MDP0000475472","MDP0000475472")</f>
        <v>MDP0000475472</v>
      </c>
      <c r="D16871">
        <v>68.62</v>
      </c>
      <c r="E16871">
        <v>51</v>
      </c>
      <c r="F16871">
        <v>16</v>
      </c>
      <c r="G16871">
        <v>3</v>
      </c>
      <c r="H16871">
        <v>1</v>
      </c>
      <c r="I16871">
        <v>48</v>
      </c>
      <c r="J16871">
        <v>1</v>
      </c>
      <c r="K16871">
        <v>117</v>
      </c>
      <c r="L16871">
        <v>167</v>
      </c>
      <c r="M16871">
        <v>1</v>
      </c>
      <c r="N16871">
        <v>7.0782299999999998E-12</v>
      </c>
      <c r="O16871">
        <v>160</v>
      </c>
    </row>
    <row r="16872" spans="1:15" x14ac:dyDescent="0.25">
      <c r="A16872" t="s">
        <v>16885</v>
      </c>
      <c r="B16872">
        <v>217</v>
      </c>
      <c r="C16872" s="1" t="str">
        <f>HYPERLINK("http://www.rosaceae.org/gb/gbrowse/malus_x_domestica/?name=MDP0000730751","MDP0000730751")</f>
        <v>MDP0000730751</v>
      </c>
      <c r="D16872">
        <v>68.05</v>
      </c>
      <c r="E16872">
        <v>216</v>
      </c>
      <c r="F16872">
        <v>69</v>
      </c>
      <c r="G16872">
        <v>15</v>
      </c>
      <c r="H16872">
        <v>1</v>
      </c>
      <c r="I16872">
        <v>216</v>
      </c>
      <c r="J16872">
        <v>1</v>
      </c>
      <c r="K16872">
        <v>1</v>
      </c>
      <c r="L16872">
        <v>201</v>
      </c>
      <c r="M16872">
        <v>1</v>
      </c>
      <c r="N16872">
        <v>1.9711400000000001E-74</v>
      </c>
      <c r="O16872">
        <v>704</v>
      </c>
    </row>
    <row r="16873" spans="1:15" x14ac:dyDescent="0.25">
      <c r="A16873" t="s">
        <v>16886</v>
      </c>
      <c r="B16873">
        <v>364</v>
      </c>
      <c r="C16873" s="1" t="str">
        <f>HYPERLINK("http://www.rosaceae.org/gb/gbrowse/malus_x_domestica/?name=MDP0000129203","MDP0000129203")</f>
        <v>MDP0000129203</v>
      </c>
      <c r="D16873">
        <v>72.17</v>
      </c>
      <c r="E16873">
        <v>345</v>
      </c>
      <c r="F16873">
        <v>96</v>
      </c>
      <c r="G16873">
        <v>4</v>
      </c>
      <c r="H16873">
        <v>21</v>
      </c>
      <c r="I16873">
        <v>364</v>
      </c>
      <c r="J16873">
        <v>1</v>
      </c>
      <c r="K16873">
        <v>20</v>
      </c>
      <c r="L16873">
        <v>361</v>
      </c>
      <c r="M16873">
        <v>1</v>
      </c>
      <c r="N16873">
        <v>7.7062299999999999E-136</v>
      </c>
      <c r="O16873">
        <v>1236</v>
      </c>
    </row>
    <row r="16874" spans="1:15" x14ac:dyDescent="0.25">
      <c r="A16874" t="s">
        <v>16887</v>
      </c>
      <c r="B16874">
        <v>320</v>
      </c>
      <c r="C16874" s="1" t="str">
        <f>HYPERLINK("http://www.rosaceae.org/gb/gbrowse/malus_x_domestica/?name=MDP0000652331","MDP0000652331")</f>
        <v>MDP0000652331</v>
      </c>
      <c r="D16874">
        <v>84.17</v>
      </c>
      <c r="E16874">
        <v>316</v>
      </c>
      <c r="F16874">
        <v>50</v>
      </c>
      <c r="G16874">
        <v>0</v>
      </c>
      <c r="H16874">
        <v>1</v>
      </c>
      <c r="I16874">
        <v>316</v>
      </c>
      <c r="J16874">
        <v>1</v>
      </c>
      <c r="K16874">
        <v>122</v>
      </c>
      <c r="L16874">
        <v>437</v>
      </c>
      <c r="M16874">
        <v>1</v>
      </c>
      <c r="N16874">
        <v>7.2539100000000002E-163</v>
      </c>
      <c r="O16874">
        <v>1469</v>
      </c>
    </row>
    <row r="16875" spans="1:15" x14ac:dyDescent="0.25">
      <c r="A16875" t="s">
        <v>16888</v>
      </c>
      <c r="B16875">
        <v>533</v>
      </c>
      <c r="C16875" s="1" t="str">
        <f>HYPERLINK("http://www.rosaceae.org/gb/gbrowse/malus_x_domestica/?name=MDP0000163119","MDP0000163119")</f>
        <v>MDP0000163119</v>
      </c>
      <c r="D16875">
        <v>70.069999999999993</v>
      </c>
      <c r="E16875">
        <v>421</v>
      </c>
      <c r="F16875">
        <v>126</v>
      </c>
      <c r="G16875">
        <v>21</v>
      </c>
      <c r="H16875">
        <v>1</v>
      </c>
      <c r="I16875">
        <v>400</v>
      </c>
      <c r="J16875">
        <v>1</v>
      </c>
      <c r="K16875">
        <v>32</v>
      </c>
      <c r="L16875">
        <v>452</v>
      </c>
      <c r="M16875">
        <v>1</v>
      </c>
      <c r="N16875">
        <v>1.9783600000000001E-164</v>
      </c>
      <c r="O16875">
        <v>1485</v>
      </c>
    </row>
    <row r="16876" spans="1:15" x14ac:dyDescent="0.25">
      <c r="A16876" t="s">
        <v>16889</v>
      </c>
      <c r="B16876">
        <v>449</v>
      </c>
      <c r="C16876" s="1" t="str">
        <f>HYPERLINK("http://www.rosaceae.org/gb/gbrowse/malus_x_domestica/?name=MDP0000257546","MDP0000257546")</f>
        <v>MDP0000257546</v>
      </c>
      <c r="D16876">
        <v>28.03</v>
      </c>
      <c r="E16876">
        <v>346</v>
      </c>
      <c r="F16876">
        <v>249</v>
      </c>
      <c r="G16876">
        <v>70</v>
      </c>
      <c r="H16876">
        <v>32</v>
      </c>
      <c r="I16876">
        <v>314</v>
      </c>
      <c r="J16876">
        <v>1</v>
      </c>
      <c r="K16876">
        <v>9</v>
      </c>
      <c r="L16876">
        <v>347</v>
      </c>
      <c r="M16876">
        <v>1</v>
      </c>
      <c r="N16876">
        <v>3.04259E-15</v>
      </c>
      <c r="O16876">
        <v>197</v>
      </c>
    </row>
    <row r="16877" spans="1:15" x14ac:dyDescent="0.25">
      <c r="A16877" t="s">
        <v>16890</v>
      </c>
      <c r="B16877">
        <v>1054</v>
      </c>
      <c r="C16877" s="1" t="str">
        <f>HYPERLINK("http://www.rosaceae.org/gb/gbrowse/malus_x_domestica/?name=MDP0000703418","MDP0000703418")</f>
        <v>MDP0000703418</v>
      </c>
      <c r="D16877">
        <v>34.39</v>
      </c>
      <c r="E16877">
        <v>1035</v>
      </c>
      <c r="F16877">
        <v>679</v>
      </c>
      <c r="G16877">
        <v>64</v>
      </c>
      <c r="H16877">
        <v>27</v>
      </c>
      <c r="I16877">
        <v>1034</v>
      </c>
      <c r="J16877">
        <v>1</v>
      </c>
      <c r="K16877">
        <v>151</v>
      </c>
      <c r="L16877">
        <v>1148</v>
      </c>
      <c r="M16877">
        <v>1</v>
      </c>
      <c r="N16877">
        <v>3.6494399999999997E-164</v>
      </c>
      <c r="O16877">
        <v>1485</v>
      </c>
    </row>
    <row r="16878" spans="1:15" x14ac:dyDescent="0.25">
      <c r="A16878" t="s">
        <v>16891</v>
      </c>
      <c r="B16878">
        <v>125</v>
      </c>
      <c r="C16878" s="1" t="str">
        <f>HYPERLINK("http://www.rosaceae.org/gb/gbrowse/malus_x_domestica/?name=MDP0000757039","MDP0000757039")</f>
        <v>MDP0000757039</v>
      </c>
      <c r="D16878">
        <v>38.409999999999997</v>
      </c>
      <c r="E16878">
        <v>164</v>
      </c>
      <c r="F16878">
        <v>101</v>
      </c>
      <c r="G16878">
        <v>40</v>
      </c>
      <c r="H16878">
        <v>2</v>
      </c>
      <c r="I16878">
        <v>125</v>
      </c>
      <c r="J16878">
        <v>1</v>
      </c>
      <c r="K16878">
        <v>22</v>
      </c>
      <c r="L16878">
        <v>185</v>
      </c>
      <c r="M16878">
        <v>1</v>
      </c>
      <c r="N16878">
        <v>9.9552300000000005E-23</v>
      </c>
      <c r="O16878">
        <v>254</v>
      </c>
    </row>
    <row r="16879" spans="1:15" x14ac:dyDescent="0.25">
      <c r="A16879" t="s">
        <v>16892</v>
      </c>
      <c r="B16879">
        <v>407</v>
      </c>
      <c r="C16879" s="1" t="str">
        <f>HYPERLINK("http://www.rosaceae.org/gb/gbrowse/malus_x_domestica/?name=MDP0000145246","MDP0000145246")</f>
        <v>MDP0000145246</v>
      </c>
      <c r="D16879">
        <v>66.58</v>
      </c>
      <c r="E16879">
        <v>401</v>
      </c>
      <c r="F16879">
        <v>134</v>
      </c>
      <c r="G16879">
        <v>37</v>
      </c>
      <c r="H16879">
        <v>9</v>
      </c>
      <c r="I16879">
        <v>407</v>
      </c>
      <c r="J16879">
        <v>1</v>
      </c>
      <c r="K16879">
        <v>72</v>
      </c>
      <c r="L16879">
        <v>437</v>
      </c>
      <c r="M16879">
        <v>1</v>
      </c>
      <c r="N16879">
        <v>6.10457E-150</v>
      </c>
      <c r="O16879">
        <v>1359</v>
      </c>
    </row>
    <row r="16880" spans="1:15" x14ac:dyDescent="0.25">
      <c r="A16880" t="s">
        <v>16893</v>
      </c>
      <c r="B16880">
        <v>558</v>
      </c>
      <c r="C16880" s="1" t="str">
        <f>HYPERLINK("http://www.rosaceae.org/gb/gbrowse/malus_x_domestica/?name=MDP0000264417","MDP0000264417")</f>
        <v>MDP0000264417</v>
      </c>
      <c r="D16880">
        <v>69.89</v>
      </c>
      <c r="E16880">
        <v>465</v>
      </c>
      <c r="F16880">
        <v>140</v>
      </c>
      <c r="G16880">
        <v>39</v>
      </c>
      <c r="H16880">
        <v>2</v>
      </c>
      <c r="I16880">
        <v>428</v>
      </c>
      <c r="J16880">
        <v>1</v>
      </c>
      <c r="K16880">
        <v>1</v>
      </c>
      <c r="L16880">
        <v>464</v>
      </c>
      <c r="M16880">
        <v>1</v>
      </c>
      <c r="N16880">
        <v>0</v>
      </c>
      <c r="O16880">
        <v>1686</v>
      </c>
    </row>
    <row r="16881" spans="1:15" x14ac:dyDescent="0.25">
      <c r="A16881" t="s">
        <v>16894</v>
      </c>
      <c r="B16881">
        <v>288</v>
      </c>
      <c r="C16881" s="1" t="str">
        <f>HYPERLINK("http://www.rosaceae.org/gb/gbrowse/malus_x_domestica/?name=MDP0000215758","MDP0000215758")</f>
        <v>MDP0000215758</v>
      </c>
      <c r="D16881">
        <v>70.23</v>
      </c>
      <c r="E16881">
        <v>168</v>
      </c>
      <c r="F16881">
        <v>50</v>
      </c>
      <c r="G16881">
        <v>0</v>
      </c>
      <c r="H16881">
        <v>2</v>
      </c>
      <c r="I16881">
        <v>169</v>
      </c>
      <c r="J16881">
        <v>1</v>
      </c>
      <c r="K16881">
        <v>15</v>
      </c>
      <c r="L16881">
        <v>182</v>
      </c>
      <c r="M16881">
        <v>1</v>
      </c>
      <c r="N16881">
        <v>1.32648E-65</v>
      </c>
      <c r="O16881">
        <v>630</v>
      </c>
    </row>
    <row r="16882" spans="1:15" x14ac:dyDescent="0.25">
      <c r="A16882" t="s">
        <v>16895</v>
      </c>
      <c r="B16882">
        <v>124</v>
      </c>
      <c r="C16882" s="1" t="str">
        <f>HYPERLINK("http://www.rosaceae.org/gb/gbrowse/malus_x_domestica/?name=MDP0000235367","MDP0000235367")</f>
        <v>MDP0000235367</v>
      </c>
      <c r="D16882">
        <v>61.33</v>
      </c>
      <c r="E16882">
        <v>75</v>
      </c>
      <c r="F16882">
        <v>29</v>
      </c>
      <c r="G16882">
        <v>0</v>
      </c>
      <c r="H16882">
        <v>1</v>
      </c>
      <c r="I16882">
        <v>75</v>
      </c>
      <c r="J16882">
        <v>1</v>
      </c>
      <c r="K16882">
        <v>557</v>
      </c>
      <c r="L16882">
        <v>631</v>
      </c>
      <c r="M16882">
        <v>1</v>
      </c>
      <c r="N16882">
        <v>4.5955900000000001E-25</v>
      </c>
      <c r="O16882">
        <v>274</v>
      </c>
    </row>
    <row r="16883" spans="1:15" x14ac:dyDescent="0.25">
      <c r="A16883" t="s">
        <v>16896</v>
      </c>
      <c r="B16883">
        <v>523</v>
      </c>
      <c r="C16883" s="1" t="str">
        <f>HYPERLINK("http://www.rosaceae.org/gb/gbrowse/malus_x_domestica/?name=MDP0000275454","MDP0000275454")</f>
        <v>MDP0000275454</v>
      </c>
      <c r="D16883">
        <v>43.16</v>
      </c>
      <c r="E16883">
        <v>373</v>
      </c>
      <c r="F16883">
        <v>212</v>
      </c>
      <c r="G16883">
        <v>66</v>
      </c>
      <c r="H16883">
        <v>30</v>
      </c>
      <c r="I16883">
        <v>346</v>
      </c>
      <c r="J16883">
        <v>1</v>
      </c>
      <c r="K16883">
        <v>19</v>
      </c>
      <c r="L16883">
        <v>381</v>
      </c>
      <c r="M16883">
        <v>1</v>
      </c>
      <c r="N16883">
        <v>1.03852E-60</v>
      </c>
      <c r="O16883">
        <v>590</v>
      </c>
    </row>
    <row r="16884" spans="1:15" x14ac:dyDescent="0.25">
      <c r="A16884" t="s">
        <v>16897</v>
      </c>
      <c r="B16884">
        <v>280</v>
      </c>
      <c r="C16884" s="1" t="str">
        <f>HYPERLINK("http://www.rosaceae.org/gb/gbrowse/malus_x_domestica/?name=MDP0000235569","MDP0000235569")</f>
        <v>MDP0000235569</v>
      </c>
      <c r="D16884">
        <v>54.64</v>
      </c>
      <c r="E16884">
        <v>183</v>
      </c>
      <c r="F16884">
        <v>83</v>
      </c>
      <c r="G16884">
        <v>4</v>
      </c>
      <c r="H16884">
        <v>1</v>
      </c>
      <c r="I16884">
        <v>179</v>
      </c>
      <c r="J16884">
        <v>1</v>
      </c>
      <c r="K16884">
        <v>28</v>
      </c>
      <c r="L16884">
        <v>210</v>
      </c>
      <c r="M16884">
        <v>1</v>
      </c>
      <c r="N16884">
        <v>4.42639E-45</v>
      </c>
      <c r="O16884">
        <v>452</v>
      </c>
    </row>
    <row r="16885" spans="1:15" x14ac:dyDescent="0.25">
      <c r="A16885" t="s">
        <v>16898</v>
      </c>
      <c r="B16885">
        <v>269</v>
      </c>
      <c r="C16885" s="1" t="str">
        <f>HYPERLINK("http://www.rosaceae.org/gb/gbrowse/malus_x_domestica/?name=MDP0000876738","MDP0000876738")</f>
        <v>MDP0000876738</v>
      </c>
      <c r="D16885">
        <v>41.97</v>
      </c>
      <c r="E16885">
        <v>355</v>
      </c>
      <c r="F16885">
        <v>206</v>
      </c>
      <c r="G16885">
        <v>100</v>
      </c>
      <c r="H16885">
        <v>1</v>
      </c>
      <c r="I16885">
        <v>265</v>
      </c>
      <c r="J16885">
        <v>1</v>
      </c>
      <c r="K16885">
        <v>1</v>
      </c>
      <c r="L16885">
        <v>345</v>
      </c>
      <c r="M16885">
        <v>1</v>
      </c>
      <c r="N16885">
        <v>1.0728999999999999E-51</v>
      </c>
      <c r="O16885">
        <v>509</v>
      </c>
    </row>
    <row r="16886" spans="1:15" x14ac:dyDescent="0.25">
      <c r="A16886" t="s">
        <v>16899</v>
      </c>
      <c r="B16886">
        <v>406</v>
      </c>
      <c r="C16886" s="1" t="str">
        <f>HYPERLINK("http://www.rosaceae.org/gb/gbrowse/malus_x_domestica/?name=MDP0000285103","MDP0000285103")</f>
        <v>MDP0000285103</v>
      </c>
      <c r="D16886">
        <v>40.869999999999997</v>
      </c>
      <c r="E16886">
        <v>389</v>
      </c>
      <c r="F16886">
        <v>230</v>
      </c>
      <c r="G16886">
        <v>43</v>
      </c>
      <c r="H16886">
        <v>11</v>
      </c>
      <c r="I16886">
        <v>383</v>
      </c>
      <c r="J16886">
        <v>1</v>
      </c>
      <c r="K16886">
        <v>12</v>
      </c>
      <c r="L16886">
        <v>373</v>
      </c>
      <c r="M16886">
        <v>1</v>
      </c>
      <c r="N16886">
        <v>4.3573300000000002E-64</v>
      </c>
      <c r="O16886">
        <v>618</v>
      </c>
    </row>
    <row r="16887" spans="1:15" x14ac:dyDescent="0.25">
      <c r="A16887" t="s">
        <v>16900</v>
      </c>
      <c r="B16887">
        <v>148</v>
      </c>
      <c r="C16887" s="1" t="str">
        <f>HYPERLINK("http://www.rosaceae.org/gb/gbrowse/malus_x_domestica/?name=MDP0000167676","MDP0000167676")</f>
        <v>MDP0000167676</v>
      </c>
      <c r="D16887">
        <v>47.69</v>
      </c>
      <c r="E16887">
        <v>130</v>
      </c>
      <c r="F16887">
        <v>68</v>
      </c>
      <c r="G16887">
        <v>16</v>
      </c>
      <c r="H16887">
        <v>26</v>
      </c>
      <c r="I16887">
        <v>139</v>
      </c>
      <c r="J16887">
        <v>1</v>
      </c>
      <c r="K16887">
        <v>32</v>
      </c>
      <c r="L16887">
        <v>161</v>
      </c>
      <c r="M16887">
        <v>1</v>
      </c>
      <c r="N16887">
        <v>2.5814099999999999E-21</v>
      </c>
      <c r="O16887">
        <v>243</v>
      </c>
    </row>
    <row r="16888" spans="1:15" x14ac:dyDescent="0.25">
      <c r="A16888" t="s">
        <v>16901</v>
      </c>
      <c r="B16888">
        <v>288</v>
      </c>
      <c r="C16888" s="1" t="str">
        <f>HYPERLINK("http://www.rosaceae.org/gb/gbrowse/malus_x_domestica/?name=MDP0000231611","MDP0000231611")</f>
        <v>MDP0000231611</v>
      </c>
      <c r="D16888">
        <v>75.8</v>
      </c>
      <c r="E16888">
        <v>62</v>
      </c>
      <c r="F16888">
        <v>15</v>
      </c>
      <c r="G16888">
        <v>1</v>
      </c>
      <c r="H16888">
        <v>214</v>
      </c>
      <c r="I16888">
        <v>274</v>
      </c>
      <c r="J16888">
        <v>1</v>
      </c>
      <c r="K16888">
        <v>1</v>
      </c>
      <c r="L16888">
        <v>62</v>
      </c>
      <c r="M16888">
        <v>1</v>
      </c>
      <c r="N16888">
        <v>7.4274000000000002E-23</v>
      </c>
      <c r="O16888">
        <v>261</v>
      </c>
    </row>
    <row r="16889" spans="1:15" x14ac:dyDescent="0.25">
      <c r="A16889" t="s">
        <v>16902</v>
      </c>
      <c r="B16889">
        <v>315</v>
      </c>
      <c r="C16889" s="1" t="str">
        <f>HYPERLINK("http://www.rosaceae.org/gb/gbrowse/malus_x_domestica/?name=MDP0000173280","MDP0000173280")</f>
        <v>MDP0000173280</v>
      </c>
      <c r="D16889">
        <v>58.42</v>
      </c>
      <c r="E16889">
        <v>279</v>
      </c>
      <c r="F16889">
        <v>116</v>
      </c>
      <c r="G16889">
        <v>18</v>
      </c>
      <c r="H16889">
        <v>5</v>
      </c>
      <c r="I16889">
        <v>266</v>
      </c>
      <c r="J16889">
        <v>1</v>
      </c>
      <c r="K16889">
        <v>14</v>
      </c>
      <c r="L16889">
        <v>291</v>
      </c>
      <c r="M16889">
        <v>1</v>
      </c>
      <c r="N16889">
        <v>3.75407E-81</v>
      </c>
      <c r="O16889">
        <v>764</v>
      </c>
    </row>
    <row r="16890" spans="1:15" x14ac:dyDescent="0.25">
      <c r="A16890" t="s">
        <v>16903</v>
      </c>
      <c r="B16890">
        <v>829</v>
      </c>
      <c r="C16890" s="1" t="str">
        <f>HYPERLINK("http://www.rosaceae.org/gb/gbrowse/malus_x_domestica/?name=MDP0000300852","MDP0000300852")</f>
        <v>MDP0000300852</v>
      </c>
      <c r="D16890">
        <v>61.15</v>
      </c>
      <c r="E16890">
        <v>798</v>
      </c>
      <c r="F16890">
        <v>310</v>
      </c>
      <c r="G16890">
        <v>48</v>
      </c>
      <c r="H16890">
        <v>76</v>
      </c>
      <c r="I16890">
        <v>829</v>
      </c>
      <c r="J16890">
        <v>1</v>
      </c>
      <c r="K16890">
        <v>41</v>
      </c>
      <c r="L16890">
        <v>834</v>
      </c>
      <c r="M16890">
        <v>1</v>
      </c>
      <c r="N16890">
        <v>0</v>
      </c>
      <c r="O16890">
        <v>2459</v>
      </c>
    </row>
    <row r="16891" spans="1:15" x14ac:dyDescent="0.25">
      <c r="A16891" t="s">
        <v>16904</v>
      </c>
      <c r="B16891">
        <v>694</v>
      </c>
      <c r="C16891" s="1" t="str">
        <f>HYPERLINK("http://www.rosaceae.org/gb/gbrowse/malus_x_domestica/?name=MDP0000459932","MDP0000459932")</f>
        <v>MDP0000459932</v>
      </c>
      <c r="D16891">
        <v>44.76</v>
      </c>
      <c r="E16891">
        <v>105</v>
      </c>
      <c r="F16891">
        <v>58</v>
      </c>
      <c r="G16891">
        <v>4</v>
      </c>
      <c r="H16891">
        <v>414</v>
      </c>
      <c r="I16891">
        <v>514</v>
      </c>
      <c r="J16891">
        <v>1</v>
      </c>
      <c r="K16891">
        <v>252</v>
      </c>
      <c r="L16891">
        <v>356</v>
      </c>
      <c r="M16891">
        <v>1</v>
      </c>
      <c r="N16891">
        <v>8.32938E-17</v>
      </c>
      <c r="O16891">
        <v>213</v>
      </c>
    </row>
    <row r="16892" spans="1:15" x14ac:dyDescent="0.25">
      <c r="A16892" t="s">
        <v>16905</v>
      </c>
      <c r="B16892">
        <v>523</v>
      </c>
      <c r="C16892" s="1" t="str">
        <f>HYPERLINK("http://www.rosaceae.org/gb/gbrowse/malus_x_domestica/?name=MDP0000692753","MDP0000692753")</f>
        <v>MDP0000692753</v>
      </c>
      <c r="D16892">
        <v>61.02</v>
      </c>
      <c r="E16892">
        <v>431</v>
      </c>
      <c r="F16892">
        <v>168</v>
      </c>
      <c r="G16892">
        <v>47</v>
      </c>
      <c r="H16892">
        <v>1</v>
      </c>
      <c r="I16892">
        <v>413</v>
      </c>
      <c r="J16892">
        <v>1</v>
      </c>
      <c r="K16892">
        <v>11</v>
      </c>
      <c r="L16892">
        <v>412</v>
      </c>
      <c r="M16892">
        <v>1</v>
      </c>
      <c r="N16892">
        <v>2.5656399999999999E-135</v>
      </c>
      <c r="O16892">
        <v>1234</v>
      </c>
    </row>
    <row r="16893" spans="1:15" x14ac:dyDescent="0.25">
      <c r="A16893" t="s">
        <v>16906</v>
      </c>
      <c r="B16893">
        <v>196</v>
      </c>
      <c r="C16893" s="1" t="str">
        <f>HYPERLINK("http://www.rosaceae.org/gb/gbrowse/malus_x_domestica/?name=MDP0000299496","MDP0000299496")</f>
        <v>MDP0000299496</v>
      </c>
      <c r="D16893">
        <v>58.27</v>
      </c>
      <c r="E16893">
        <v>139</v>
      </c>
      <c r="F16893">
        <v>58</v>
      </c>
      <c r="G16893">
        <v>0</v>
      </c>
      <c r="H16893">
        <v>2</v>
      </c>
      <c r="I16893">
        <v>140</v>
      </c>
      <c r="J16893">
        <v>1</v>
      </c>
      <c r="K16893">
        <v>506</v>
      </c>
      <c r="L16893">
        <v>644</v>
      </c>
      <c r="M16893">
        <v>1</v>
      </c>
      <c r="N16893">
        <v>4.0811000000000002E-44</v>
      </c>
      <c r="O16893">
        <v>442</v>
      </c>
    </row>
    <row r="16894" spans="1:15" x14ac:dyDescent="0.25">
      <c r="A16894" t="s">
        <v>16907</v>
      </c>
      <c r="B16894">
        <v>453</v>
      </c>
      <c r="C16894" s="1" t="str">
        <f>HYPERLINK("http://www.rosaceae.org/gb/gbrowse/malus_x_domestica/?name=MDP0000321343","MDP0000321343")</f>
        <v>MDP0000321343</v>
      </c>
      <c r="D16894">
        <v>77.92</v>
      </c>
      <c r="E16894">
        <v>231</v>
      </c>
      <c r="F16894">
        <v>51</v>
      </c>
      <c r="G16894">
        <v>18</v>
      </c>
      <c r="H16894">
        <v>58</v>
      </c>
      <c r="I16894">
        <v>283</v>
      </c>
      <c r="J16894">
        <v>1</v>
      </c>
      <c r="K16894">
        <v>1</v>
      </c>
      <c r="L16894">
        <v>218</v>
      </c>
      <c r="M16894">
        <v>1</v>
      </c>
      <c r="N16894">
        <v>6.6885999999999997E-101</v>
      </c>
      <c r="O16894">
        <v>936</v>
      </c>
    </row>
    <row r="16895" spans="1:15" x14ac:dyDescent="0.25">
      <c r="A16895" t="s">
        <v>16908</v>
      </c>
      <c r="B16895">
        <v>840</v>
      </c>
      <c r="C16895" s="1" t="str">
        <f>HYPERLINK("http://www.rosaceae.org/gb/gbrowse/malus_x_domestica/?name=MDP0000139808","MDP0000139808")</f>
        <v>MDP0000139808</v>
      </c>
      <c r="D16895">
        <v>32.85</v>
      </c>
      <c r="E16895">
        <v>140</v>
      </c>
      <c r="F16895">
        <v>94</v>
      </c>
      <c r="G16895">
        <v>4</v>
      </c>
      <c r="H16895">
        <v>276</v>
      </c>
      <c r="I16895">
        <v>412</v>
      </c>
      <c r="J16895">
        <v>1</v>
      </c>
      <c r="K16895">
        <v>165</v>
      </c>
      <c r="L16895">
        <v>303</v>
      </c>
      <c r="M16895">
        <v>1</v>
      </c>
      <c r="N16895">
        <v>9.5641800000000007E-15</v>
      </c>
      <c r="O16895">
        <v>196</v>
      </c>
    </row>
    <row r="16896" spans="1:15" x14ac:dyDescent="0.25">
      <c r="A16896" t="s">
        <v>16909</v>
      </c>
      <c r="B16896">
        <v>207</v>
      </c>
      <c r="C16896" s="1" t="str">
        <f>HYPERLINK("http://www.rosaceae.org/gb/gbrowse/malus_x_domestica/?name=MDP0000716623","MDP0000716623")</f>
        <v>MDP0000716623</v>
      </c>
      <c r="D16896">
        <v>71.42</v>
      </c>
      <c r="E16896">
        <v>210</v>
      </c>
      <c r="F16896">
        <v>60</v>
      </c>
      <c r="G16896">
        <v>3</v>
      </c>
      <c r="H16896">
        <v>1</v>
      </c>
      <c r="I16896">
        <v>207</v>
      </c>
      <c r="J16896">
        <v>1</v>
      </c>
      <c r="K16896">
        <v>131</v>
      </c>
      <c r="L16896">
        <v>340</v>
      </c>
      <c r="M16896">
        <v>1</v>
      </c>
      <c r="N16896">
        <v>7.6893800000000002E-81</v>
      </c>
      <c r="O16896">
        <v>759</v>
      </c>
    </row>
    <row r="16897" spans="1:15" x14ac:dyDescent="0.25">
      <c r="A16897" t="s">
        <v>16910</v>
      </c>
      <c r="B16897">
        <v>93</v>
      </c>
      <c r="C16897" s="1" t="str">
        <f>HYPERLINK("http://www.rosaceae.org/gb/gbrowse/malus_x_domestica/?name=MDP0000286732","MDP0000286732")</f>
        <v>MDP0000286732</v>
      </c>
      <c r="D16897">
        <v>88.6</v>
      </c>
      <c r="E16897">
        <v>79</v>
      </c>
      <c r="F16897">
        <v>9</v>
      </c>
      <c r="G16897">
        <v>0</v>
      </c>
      <c r="H16897">
        <v>15</v>
      </c>
      <c r="I16897">
        <v>93</v>
      </c>
      <c r="J16897">
        <v>1</v>
      </c>
      <c r="K16897">
        <v>977</v>
      </c>
      <c r="L16897">
        <v>1055</v>
      </c>
      <c r="M16897">
        <v>1</v>
      </c>
      <c r="N16897">
        <v>5.1816800000000003E-41</v>
      </c>
      <c r="O16897">
        <v>411</v>
      </c>
    </row>
    <row r="16898" spans="1:15" x14ac:dyDescent="0.25">
      <c r="A16898" t="s">
        <v>16911</v>
      </c>
      <c r="B16898">
        <v>227</v>
      </c>
      <c r="C16898" s="1" t="str">
        <f>HYPERLINK("http://www.rosaceae.org/gb/gbrowse/malus_x_domestica/?name=MDP0000183910","MDP0000183910")</f>
        <v>MDP0000183910</v>
      </c>
      <c r="D16898">
        <v>62.4</v>
      </c>
      <c r="E16898">
        <v>274</v>
      </c>
      <c r="F16898">
        <v>103</v>
      </c>
      <c r="G16898">
        <v>55</v>
      </c>
      <c r="H16898">
        <v>1</v>
      </c>
      <c r="I16898">
        <v>224</v>
      </c>
      <c r="J16898">
        <v>1</v>
      </c>
      <c r="K16898">
        <v>1</v>
      </c>
      <c r="L16898">
        <v>269</v>
      </c>
      <c r="M16898">
        <v>1</v>
      </c>
      <c r="N16898">
        <v>9.2878599999999997E-91</v>
      </c>
      <c r="O16898">
        <v>845</v>
      </c>
    </row>
    <row r="16899" spans="1:15" x14ac:dyDescent="0.25">
      <c r="A16899" t="s">
        <v>16912</v>
      </c>
      <c r="B16899">
        <v>796</v>
      </c>
      <c r="C16899" s="1" t="str">
        <f>HYPERLINK("http://www.rosaceae.org/gb/gbrowse/malus_x_domestica/?name=MDP0000144306","MDP0000144306")</f>
        <v>MDP0000144306</v>
      </c>
      <c r="D16899">
        <v>55.35</v>
      </c>
      <c r="E16899">
        <v>831</v>
      </c>
      <c r="F16899">
        <v>371</v>
      </c>
      <c r="G16899">
        <v>86</v>
      </c>
      <c r="H16899">
        <v>3</v>
      </c>
      <c r="I16899">
        <v>757</v>
      </c>
      <c r="J16899">
        <v>1</v>
      </c>
      <c r="K16899">
        <v>27</v>
      </c>
      <c r="L16899">
        <v>847</v>
      </c>
      <c r="M16899">
        <v>1</v>
      </c>
      <c r="N16899">
        <v>0</v>
      </c>
      <c r="O16899">
        <v>2285</v>
      </c>
    </row>
    <row r="16900" spans="1:15" x14ac:dyDescent="0.25">
      <c r="A16900" t="s">
        <v>16913</v>
      </c>
      <c r="B16900">
        <v>397</v>
      </c>
      <c r="C16900" s="1" t="str">
        <f>HYPERLINK("http://www.rosaceae.org/gb/gbrowse/malus_x_domestica/?name=MDP0000150438","MDP0000150438")</f>
        <v>MDP0000150438</v>
      </c>
      <c r="D16900">
        <v>43.28</v>
      </c>
      <c r="E16900">
        <v>402</v>
      </c>
      <c r="F16900">
        <v>228</v>
      </c>
      <c r="G16900">
        <v>33</v>
      </c>
      <c r="H16900">
        <v>5</v>
      </c>
      <c r="I16900">
        <v>393</v>
      </c>
      <c r="J16900">
        <v>1</v>
      </c>
      <c r="K16900">
        <v>1</v>
      </c>
      <c r="L16900">
        <v>382</v>
      </c>
      <c r="M16900">
        <v>1</v>
      </c>
      <c r="N16900">
        <v>1.6663E-80</v>
      </c>
      <c r="O16900">
        <v>760</v>
      </c>
    </row>
    <row r="16901" spans="1:15" x14ac:dyDescent="0.25">
      <c r="A16901" t="s">
        <v>16914</v>
      </c>
      <c r="B16901">
        <v>169</v>
      </c>
      <c r="C16901" s="1" t="str">
        <f>HYPERLINK("http://www.rosaceae.org/gb/gbrowse/malus_x_domestica/?name=MDP0000191457","MDP0000191457")</f>
        <v>MDP0000191457</v>
      </c>
      <c r="D16901">
        <v>75.14</v>
      </c>
      <c r="E16901">
        <v>169</v>
      </c>
      <c r="F16901">
        <v>42</v>
      </c>
      <c r="G16901">
        <v>6</v>
      </c>
      <c r="H16901">
        <v>1</v>
      </c>
      <c r="I16901">
        <v>169</v>
      </c>
      <c r="J16901">
        <v>1</v>
      </c>
      <c r="K16901">
        <v>1</v>
      </c>
      <c r="L16901">
        <v>163</v>
      </c>
      <c r="M16901">
        <v>1</v>
      </c>
      <c r="N16901">
        <v>9.2246600000000007E-68</v>
      </c>
      <c r="O16901">
        <v>645</v>
      </c>
    </row>
    <row r="16902" spans="1:15" x14ac:dyDescent="0.25">
      <c r="A16902" t="s">
        <v>16915</v>
      </c>
      <c r="B16902">
        <v>182</v>
      </c>
      <c r="C16902" s="1" t="str">
        <f>HYPERLINK("http://www.rosaceae.org/gb/gbrowse/malus_x_domestica/?name=MDP0000279018","MDP0000279018")</f>
        <v>MDP0000279018</v>
      </c>
      <c r="D16902">
        <v>63.74</v>
      </c>
      <c r="E16902">
        <v>171</v>
      </c>
      <c r="F16902">
        <v>62</v>
      </c>
      <c r="G16902">
        <v>1</v>
      </c>
      <c r="H16902">
        <v>1</v>
      </c>
      <c r="I16902">
        <v>170</v>
      </c>
      <c r="J16902">
        <v>1</v>
      </c>
      <c r="K16902">
        <v>1</v>
      </c>
      <c r="L16902">
        <v>171</v>
      </c>
      <c r="M16902">
        <v>1</v>
      </c>
      <c r="N16902">
        <v>1.69985E-54</v>
      </c>
      <c r="O16902">
        <v>531</v>
      </c>
    </row>
    <row r="16903" spans="1:15" x14ac:dyDescent="0.25">
      <c r="A16903" t="s">
        <v>16916</v>
      </c>
      <c r="B16903">
        <v>631</v>
      </c>
      <c r="C16903" s="1" t="str">
        <f>HYPERLINK("http://www.rosaceae.org/gb/gbrowse/malus_x_domestica/?name=MDP0000284907","MDP0000284907")</f>
        <v>MDP0000284907</v>
      </c>
      <c r="D16903">
        <v>64.89</v>
      </c>
      <c r="E16903">
        <v>621</v>
      </c>
      <c r="F16903">
        <v>218</v>
      </c>
      <c r="G16903">
        <v>24</v>
      </c>
      <c r="H16903">
        <v>1</v>
      </c>
      <c r="I16903">
        <v>615</v>
      </c>
      <c r="J16903">
        <v>1</v>
      </c>
      <c r="K16903">
        <v>1</v>
      </c>
      <c r="L16903">
        <v>603</v>
      </c>
      <c r="M16903">
        <v>1</v>
      </c>
      <c r="N16903">
        <v>0</v>
      </c>
      <c r="O16903">
        <v>2051</v>
      </c>
    </row>
    <row r="16904" spans="1:15" x14ac:dyDescent="0.25">
      <c r="A16904" t="s">
        <v>16917</v>
      </c>
      <c r="B16904">
        <v>303</v>
      </c>
      <c r="C16904" s="1" t="str">
        <f>HYPERLINK("http://www.rosaceae.org/gb/gbrowse/malus_x_domestica/?name=MDP0000302772","MDP0000302772")</f>
        <v>MDP0000302772</v>
      </c>
      <c r="D16904">
        <v>77.7</v>
      </c>
      <c r="E16904">
        <v>157</v>
      </c>
      <c r="F16904">
        <v>35</v>
      </c>
      <c r="G16904">
        <v>5</v>
      </c>
      <c r="H16904">
        <v>137</v>
      </c>
      <c r="I16904">
        <v>293</v>
      </c>
      <c r="J16904">
        <v>1</v>
      </c>
      <c r="K16904">
        <v>8</v>
      </c>
      <c r="L16904">
        <v>159</v>
      </c>
      <c r="M16904">
        <v>1</v>
      </c>
      <c r="N16904">
        <v>8.4588999999999995E-71</v>
      </c>
      <c r="O16904">
        <v>675</v>
      </c>
    </row>
    <row r="16905" spans="1:15" x14ac:dyDescent="0.25">
      <c r="A16905" t="s">
        <v>16918</v>
      </c>
      <c r="B16905">
        <v>153</v>
      </c>
      <c r="C16905" s="1" t="str">
        <f>HYPERLINK("http://www.rosaceae.org/gb/gbrowse/malus_x_domestica/?name=MDP0000276609","MDP0000276609")</f>
        <v>MDP0000276609</v>
      </c>
      <c r="D16905">
        <v>38.630000000000003</v>
      </c>
      <c r="E16905">
        <v>88</v>
      </c>
      <c r="F16905">
        <v>54</v>
      </c>
      <c r="G16905">
        <v>5</v>
      </c>
      <c r="H16905">
        <v>66</v>
      </c>
      <c r="I16905">
        <v>152</v>
      </c>
      <c r="J16905">
        <v>1</v>
      </c>
      <c r="K16905">
        <v>296</v>
      </c>
      <c r="L16905">
        <v>379</v>
      </c>
      <c r="M16905">
        <v>1</v>
      </c>
      <c r="N16905">
        <v>1.8482800000000001E-11</v>
      </c>
      <c r="O16905">
        <v>158</v>
      </c>
    </row>
    <row r="16906" spans="1:15" x14ac:dyDescent="0.25">
      <c r="A16906" t="s">
        <v>16919</v>
      </c>
      <c r="B16906">
        <v>135</v>
      </c>
      <c r="C16906" s="1" t="str">
        <f>HYPERLINK("http://www.rosaceae.org/gb/gbrowse/malus_x_domestica/?name=MDP0000309517","MDP0000309517")</f>
        <v>MDP0000309517</v>
      </c>
      <c r="D16906">
        <v>86.56</v>
      </c>
      <c r="E16906">
        <v>134</v>
      </c>
      <c r="F16906">
        <v>18</v>
      </c>
      <c r="G16906">
        <v>0</v>
      </c>
      <c r="H16906">
        <v>1</v>
      </c>
      <c r="I16906">
        <v>134</v>
      </c>
      <c r="J16906">
        <v>1</v>
      </c>
      <c r="K16906">
        <v>147</v>
      </c>
      <c r="L16906">
        <v>280</v>
      </c>
      <c r="M16906">
        <v>1</v>
      </c>
      <c r="N16906">
        <v>1.8334400000000001E-66</v>
      </c>
      <c r="O16906">
        <v>632</v>
      </c>
    </row>
    <row r="16907" spans="1:15" x14ac:dyDescent="0.25">
      <c r="A16907" t="s">
        <v>16920</v>
      </c>
      <c r="B16907">
        <v>340</v>
      </c>
      <c r="C16907" s="1" t="str">
        <f>HYPERLINK("http://www.rosaceae.org/gb/gbrowse/malus_x_domestica/?name=MDP0000708928","MDP0000708928")</f>
        <v>MDP0000708928</v>
      </c>
      <c r="D16907">
        <v>86.57</v>
      </c>
      <c r="E16907">
        <v>216</v>
      </c>
      <c r="F16907">
        <v>29</v>
      </c>
      <c r="G16907">
        <v>0</v>
      </c>
      <c r="H16907">
        <v>11</v>
      </c>
      <c r="I16907">
        <v>226</v>
      </c>
      <c r="J16907">
        <v>1</v>
      </c>
      <c r="K16907">
        <v>50</v>
      </c>
      <c r="L16907">
        <v>265</v>
      </c>
      <c r="M16907">
        <v>1</v>
      </c>
      <c r="N16907">
        <v>4.6805000000000003E-109</v>
      </c>
      <c r="O16907">
        <v>1005</v>
      </c>
    </row>
    <row r="16908" spans="1:15" x14ac:dyDescent="0.25">
      <c r="A16908" t="s">
        <v>16921</v>
      </c>
      <c r="B16908">
        <v>926</v>
      </c>
      <c r="C16908" s="1" t="str">
        <f>HYPERLINK("http://www.rosaceae.org/gb/gbrowse/malus_x_domestica/?name=MDP0000213552","MDP0000213552")</f>
        <v>MDP0000213552</v>
      </c>
      <c r="D16908">
        <v>50.74</v>
      </c>
      <c r="E16908">
        <v>873</v>
      </c>
      <c r="F16908">
        <v>430</v>
      </c>
      <c r="G16908">
        <v>30</v>
      </c>
      <c r="H16908">
        <v>2</v>
      </c>
      <c r="I16908">
        <v>856</v>
      </c>
      <c r="J16908">
        <v>1</v>
      </c>
      <c r="K16908">
        <v>3</v>
      </c>
      <c r="L16908">
        <v>863</v>
      </c>
      <c r="M16908">
        <v>1</v>
      </c>
      <c r="N16908">
        <v>0</v>
      </c>
      <c r="O16908">
        <v>2097</v>
      </c>
    </row>
    <row r="16909" spans="1:15" x14ac:dyDescent="0.25">
      <c r="A16909" t="s">
        <v>16922</v>
      </c>
      <c r="B16909">
        <v>515</v>
      </c>
      <c r="C16909" s="1" t="str">
        <f>HYPERLINK("http://www.rosaceae.org/gb/gbrowse/malus_x_domestica/?name=MDP0000236134","MDP0000236134")</f>
        <v>MDP0000236134</v>
      </c>
      <c r="D16909">
        <v>27.02</v>
      </c>
      <c r="E16909">
        <v>333</v>
      </c>
      <c r="F16909">
        <v>243</v>
      </c>
      <c r="G16909">
        <v>28</v>
      </c>
      <c r="H16909">
        <v>2</v>
      </c>
      <c r="I16909">
        <v>318</v>
      </c>
      <c r="J16909">
        <v>1</v>
      </c>
      <c r="K16909">
        <v>402</v>
      </c>
      <c r="L16909">
        <v>722</v>
      </c>
      <c r="M16909">
        <v>1</v>
      </c>
      <c r="N16909">
        <v>9.2950799999999992E-31</v>
      </c>
      <c r="O16909">
        <v>332</v>
      </c>
    </row>
    <row r="16910" spans="1:15" x14ac:dyDescent="0.25">
      <c r="A16910" t="s">
        <v>16923</v>
      </c>
      <c r="B16910">
        <v>159</v>
      </c>
      <c r="C16910" s="1" t="str">
        <f>HYPERLINK("http://www.rosaceae.org/gb/gbrowse/malus_x_domestica/?name=MDP0000179031","MDP0000179031")</f>
        <v>MDP0000179031</v>
      </c>
      <c r="D16910">
        <v>66.87</v>
      </c>
      <c r="E16910">
        <v>163</v>
      </c>
      <c r="F16910">
        <v>54</v>
      </c>
      <c r="G16910">
        <v>5</v>
      </c>
      <c r="H16910">
        <v>2</v>
      </c>
      <c r="I16910">
        <v>159</v>
      </c>
      <c r="J16910">
        <v>1</v>
      </c>
      <c r="K16910">
        <v>3</v>
      </c>
      <c r="L16910">
        <v>165</v>
      </c>
      <c r="M16910">
        <v>1</v>
      </c>
      <c r="N16910">
        <v>1.7549400000000001E-55</v>
      </c>
      <c r="O16910">
        <v>538</v>
      </c>
    </row>
    <row r="16911" spans="1:15" x14ac:dyDescent="0.25">
      <c r="A16911" t="s">
        <v>16924</v>
      </c>
      <c r="B16911">
        <v>141</v>
      </c>
      <c r="C16911" s="1" t="str">
        <f>HYPERLINK("http://www.rosaceae.org/gb/gbrowse/malus_x_domestica/?name=MDP0000139946","MDP0000139946")</f>
        <v>MDP0000139946</v>
      </c>
      <c r="D16911">
        <v>33.979999999999997</v>
      </c>
      <c r="E16911">
        <v>103</v>
      </c>
      <c r="F16911">
        <v>68</v>
      </c>
      <c r="G16911">
        <v>3</v>
      </c>
      <c r="H16911">
        <v>7</v>
      </c>
      <c r="I16911">
        <v>109</v>
      </c>
      <c r="J16911">
        <v>1</v>
      </c>
      <c r="K16911">
        <v>365</v>
      </c>
      <c r="L16911">
        <v>464</v>
      </c>
      <c r="M16911">
        <v>1</v>
      </c>
      <c r="N16911">
        <v>4.5804699999999996E-9</v>
      </c>
      <c r="O16911">
        <v>137</v>
      </c>
    </row>
    <row r="16912" spans="1:15" x14ac:dyDescent="0.25">
      <c r="A16912" t="s">
        <v>16925</v>
      </c>
      <c r="B16912">
        <v>539</v>
      </c>
      <c r="C16912" s="1" t="str">
        <f>HYPERLINK("http://www.rosaceae.org/gb/gbrowse/malus_x_domestica/?name=MDP0000227552","MDP0000227552")</f>
        <v>MDP0000227552</v>
      </c>
      <c r="D16912">
        <v>78.61</v>
      </c>
      <c r="E16912">
        <v>463</v>
      </c>
      <c r="F16912">
        <v>99</v>
      </c>
      <c r="G16912">
        <v>2</v>
      </c>
      <c r="H16912">
        <v>78</v>
      </c>
      <c r="I16912">
        <v>538</v>
      </c>
      <c r="J16912">
        <v>1</v>
      </c>
      <c r="K16912">
        <v>1</v>
      </c>
      <c r="L16912">
        <v>463</v>
      </c>
      <c r="M16912">
        <v>1</v>
      </c>
      <c r="N16912">
        <v>0</v>
      </c>
      <c r="O16912">
        <v>1848</v>
      </c>
    </row>
    <row r="16913" spans="1:15" x14ac:dyDescent="0.25">
      <c r="A16913" t="s">
        <v>16926</v>
      </c>
      <c r="B16913">
        <v>159</v>
      </c>
      <c r="C16913" s="1" t="str">
        <f>HYPERLINK("http://www.rosaceae.org/gb/gbrowse/malus_x_domestica/?name=MDP0000481097","MDP0000481097")</f>
        <v>MDP0000481097</v>
      </c>
      <c r="D16913">
        <v>89.28</v>
      </c>
      <c r="E16913">
        <v>140</v>
      </c>
      <c r="F16913">
        <v>15</v>
      </c>
      <c r="G16913">
        <v>1</v>
      </c>
      <c r="H16913">
        <v>20</v>
      </c>
      <c r="I16913">
        <v>159</v>
      </c>
      <c r="J16913">
        <v>1</v>
      </c>
      <c r="K16913">
        <v>25</v>
      </c>
      <c r="L16913">
        <v>163</v>
      </c>
      <c r="M16913">
        <v>1</v>
      </c>
      <c r="N16913">
        <v>8.9687899999999997E-69</v>
      </c>
      <c r="O16913">
        <v>653</v>
      </c>
    </row>
    <row r="16914" spans="1:15" x14ac:dyDescent="0.25">
      <c r="A16914" t="s">
        <v>16927</v>
      </c>
      <c r="B16914">
        <v>297</v>
      </c>
      <c r="C16914" s="1" t="str">
        <f>HYPERLINK("http://www.rosaceae.org/gb/gbrowse/malus_x_domestica/?name=MDP0000189871","MDP0000189871")</f>
        <v>MDP0000189871</v>
      </c>
      <c r="D16914">
        <v>65.11</v>
      </c>
      <c r="E16914">
        <v>86</v>
      </c>
      <c r="F16914">
        <v>30</v>
      </c>
      <c r="G16914">
        <v>0</v>
      </c>
      <c r="H16914">
        <v>207</v>
      </c>
      <c r="I16914">
        <v>292</v>
      </c>
      <c r="J16914">
        <v>1</v>
      </c>
      <c r="K16914">
        <v>82</v>
      </c>
      <c r="L16914">
        <v>167</v>
      </c>
      <c r="M16914">
        <v>1</v>
      </c>
      <c r="N16914">
        <v>1.92913E-28</v>
      </c>
      <c r="O16914">
        <v>309</v>
      </c>
    </row>
    <row r="16915" spans="1:15" x14ac:dyDescent="0.25">
      <c r="A16915" t="s">
        <v>16928</v>
      </c>
      <c r="B16915">
        <v>239</v>
      </c>
      <c r="C16915" s="1" t="str">
        <f>HYPERLINK("http://www.rosaceae.org/gb/gbrowse/malus_x_domestica/?name=MDP0000127659","MDP0000127659")</f>
        <v>MDP0000127659</v>
      </c>
      <c r="D16915">
        <v>72.849999999999994</v>
      </c>
      <c r="E16915">
        <v>221</v>
      </c>
      <c r="F16915">
        <v>60</v>
      </c>
      <c r="G16915">
        <v>1</v>
      </c>
      <c r="H16915">
        <v>18</v>
      </c>
      <c r="I16915">
        <v>238</v>
      </c>
      <c r="J16915">
        <v>1</v>
      </c>
      <c r="K16915">
        <v>23</v>
      </c>
      <c r="L16915">
        <v>242</v>
      </c>
      <c r="M16915">
        <v>1</v>
      </c>
      <c r="N16915">
        <v>6.5343099999999999E-90</v>
      </c>
      <c r="O16915">
        <v>838</v>
      </c>
    </row>
    <row r="16916" spans="1:15" x14ac:dyDescent="0.25">
      <c r="A16916" t="s">
        <v>16929</v>
      </c>
      <c r="B16916">
        <v>531</v>
      </c>
      <c r="C16916" s="1" t="str">
        <f>HYPERLINK("http://www.rosaceae.org/gb/gbrowse/malus_x_domestica/?name=MDP0000121607","MDP0000121607")</f>
        <v>MDP0000121607</v>
      </c>
      <c r="D16916">
        <v>53.81</v>
      </c>
      <c r="E16916">
        <v>498</v>
      </c>
      <c r="F16916">
        <v>230</v>
      </c>
      <c r="G16916">
        <v>19</v>
      </c>
      <c r="H16916">
        <v>40</v>
      </c>
      <c r="I16916">
        <v>528</v>
      </c>
      <c r="J16916">
        <v>1</v>
      </c>
      <c r="K16916">
        <v>29</v>
      </c>
      <c r="L16916">
        <v>516</v>
      </c>
      <c r="M16916">
        <v>1</v>
      </c>
      <c r="N16916">
        <v>8.0893000000000001E-154</v>
      </c>
      <c r="O16916">
        <v>1393</v>
      </c>
    </row>
    <row r="16917" spans="1:15" x14ac:dyDescent="0.25">
      <c r="A16917" t="s">
        <v>16930</v>
      </c>
      <c r="B16917">
        <v>194</v>
      </c>
      <c r="C16917" s="1" t="str">
        <f>HYPERLINK("http://www.rosaceae.org/gb/gbrowse/malus_x_domestica/?name=MDP0000384043","MDP0000384043")</f>
        <v>MDP0000384043</v>
      </c>
      <c r="D16917">
        <v>69.180000000000007</v>
      </c>
      <c r="E16917">
        <v>159</v>
      </c>
      <c r="F16917">
        <v>49</v>
      </c>
      <c r="G16917">
        <v>0</v>
      </c>
      <c r="H16917">
        <v>36</v>
      </c>
      <c r="I16917">
        <v>194</v>
      </c>
      <c r="J16917">
        <v>1</v>
      </c>
      <c r="K16917">
        <v>57</v>
      </c>
      <c r="L16917">
        <v>215</v>
      </c>
      <c r="M16917">
        <v>1</v>
      </c>
      <c r="N16917">
        <v>2.49537E-58</v>
      </c>
      <c r="O16917">
        <v>564</v>
      </c>
    </row>
    <row r="16918" spans="1:15" x14ac:dyDescent="0.25">
      <c r="A16918" t="s">
        <v>16931</v>
      </c>
      <c r="B16918">
        <v>558</v>
      </c>
      <c r="C16918" s="1" t="str">
        <f>HYPERLINK("http://www.rosaceae.org/gb/gbrowse/malus_x_domestica/?name=MDP0000565338","MDP0000565338")</f>
        <v>MDP0000565338</v>
      </c>
      <c r="D16918">
        <v>92.45</v>
      </c>
      <c r="E16918">
        <v>517</v>
      </c>
      <c r="F16918">
        <v>39</v>
      </c>
      <c r="G16918">
        <v>3</v>
      </c>
      <c r="H16918">
        <v>28</v>
      </c>
      <c r="I16918">
        <v>542</v>
      </c>
      <c r="J16918">
        <v>1</v>
      </c>
      <c r="K16918">
        <v>28</v>
      </c>
      <c r="L16918">
        <v>543</v>
      </c>
      <c r="M16918">
        <v>1</v>
      </c>
      <c r="N16918">
        <v>0</v>
      </c>
      <c r="O16918">
        <v>2433</v>
      </c>
    </row>
    <row r="16919" spans="1:15" x14ac:dyDescent="0.25">
      <c r="A16919" t="s">
        <v>16932</v>
      </c>
      <c r="B16919">
        <v>219</v>
      </c>
      <c r="C16919" s="1" t="str">
        <f>HYPERLINK("http://www.rosaceae.org/gb/gbrowse/malus_x_domestica/?name=MDP0000148325","MDP0000148325")</f>
        <v>MDP0000148325</v>
      </c>
      <c r="D16919">
        <v>44.69</v>
      </c>
      <c r="E16919">
        <v>132</v>
      </c>
      <c r="F16919">
        <v>73</v>
      </c>
      <c r="G16919">
        <v>0</v>
      </c>
      <c r="H16919">
        <v>1</v>
      </c>
      <c r="I16919">
        <v>132</v>
      </c>
      <c r="J16919">
        <v>1</v>
      </c>
      <c r="K16919">
        <v>423</v>
      </c>
      <c r="L16919">
        <v>554</v>
      </c>
      <c r="M16919">
        <v>1</v>
      </c>
      <c r="N16919">
        <v>1.8373799999999999E-29</v>
      </c>
      <c r="O16919">
        <v>316</v>
      </c>
    </row>
    <row r="16920" spans="1:15" x14ac:dyDescent="0.25">
      <c r="A16920" t="s">
        <v>16933</v>
      </c>
      <c r="B16920">
        <v>478</v>
      </c>
      <c r="C16920" s="1" t="str">
        <f>HYPERLINK("http://www.rosaceae.org/gb/gbrowse/malus_x_domestica/?name=MDP0000124428","MDP0000124428")</f>
        <v>MDP0000124428</v>
      </c>
      <c r="D16920">
        <v>79.599999999999994</v>
      </c>
      <c r="E16920">
        <v>510</v>
      </c>
      <c r="F16920">
        <v>104</v>
      </c>
      <c r="G16920">
        <v>41</v>
      </c>
      <c r="H16920">
        <v>1</v>
      </c>
      <c r="I16920">
        <v>471</v>
      </c>
      <c r="J16920">
        <v>1</v>
      </c>
      <c r="K16920">
        <v>1</v>
      </c>
      <c r="L16920">
        <v>508</v>
      </c>
      <c r="M16920">
        <v>1</v>
      </c>
      <c r="N16920">
        <v>0</v>
      </c>
      <c r="O16920">
        <v>2113</v>
      </c>
    </row>
    <row r="16921" spans="1:15" x14ac:dyDescent="0.25">
      <c r="A16921" t="s">
        <v>16934</v>
      </c>
      <c r="B16921">
        <v>418</v>
      </c>
      <c r="C16921" s="1" t="str">
        <f>HYPERLINK("http://www.rosaceae.org/gb/gbrowse/malus_x_domestica/?name=MDP0000217335","MDP0000217335")</f>
        <v>MDP0000217335</v>
      </c>
      <c r="D16921">
        <v>41.13</v>
      </c>
      <c r="E16921">
        <v>423</v>
      </c>
      <c r="F16921">
        <v>249</v>
      </c>
      <c r="G16921">
        <v>20</v>
      </c>
      <c r="H16921">
        <v>6</v>
      </c>
      <c r="I16921">
        <v>418</v>
      </c>
      <c r="J16921">
        <v>1</v>
      </c>
      <c r="K16921">
        <v>7</v>
      </c>
      <c r="L16921">
        <v>419</v>
      </c>
      <c r="M16921">
        <v>1</v>
      </c>
      <c r="N16921">
        <v>5.8540200000000004E-73</v>
      </c>
      <c r="O16921">
        <v>695</v>
      </c>
    </row>
    <row r="16922" spans="1:15" x14ac:dyDescent="0.25">
      <c r="A16922" t="s">
        <v>16935</v>
      </c>
      <c r="B16922">
        <v>436</v>
      </c>
      <c r="C16922" s="1" t="str">
        <f>HYPERLINK("http://www.rosaceae.org/gb/gbrowse/malus_x_domestica/?name=MDP0000247921","MDP0000247921")</f>
        <v>MDP0000247921</v>
      </c>
      <c r="D16922">
        <v>27.4</v>
      </c>
      <c r="E16922">
        <v>416</v>
      </c>
      <c r="F16922">
        <v>302</v>
      </c>
      <c r="G16922">
        <v>39</v>
      </c>
      <c r="H16922">
        <v>1</v>
      </c>
      <c r="I16922">
        <v>381</v>
      </c>
      <c r="J16922">
        <v>1</v>
      </c>
      <c r="K16922">
        <v>712</v>
      </c>
      <c r="L16922">
        <v>1123</v>
      </c>
      <c r="M16922">
        <v>1</v>
      </c>
      <c r="N16922">
        <v>7.0991200000000003E-33</v>
      </c>
      <c r="O16922">
        <v>349</v>
      </c>
    </row>
    <row r="16923" spans="1:15" x14ac:dyDescent="0.25">
      <c r="A16923" t="s">
        <v>16936</v>
      </c>
      <c r="B16923">
        <v>1187</v>
      </c>
      <c r="C16923" s="1" t="str">
        <f>HYPERLINK("http://www.rosaceae.org/gb/gbrowse/malus_x_domestica/?name=MDP0000265949","MDP0000265949")</f>
        <v>MDP0000265949</v>
      </c>
      <c r="D16923">
        <v>50.44</v>
      </c>
      <c r="E16923">
        <v>1225</v>
      </c>
      <c r="F16923">
        <v>607</v>
      </c>
      <c r="G16923">
        <v>106</v>
      </c>
      <c r="H16923">
        <v>1</v>
      </c>
      <c r="I16923">
        <v>1169</v>
      </c>
      <c r="J16923">
        <v>1</v>
      </c>
      <c r="K16923">
        <v>484</v>
      </c>
      <c r="L16923">
        <v>1658</v>
      </c>
      <c r="M16923">
        <v>1</v>
      </c>
      <c r="N16923">
        <v>0</v>
      </c>
      <c r="O16923">
        <v>2741</v>
      </c>
    </row>
    <row r="16924" spans="1:15" x14ac:dyDescent="0.25">
      <c r="A16924" t="s">
        <v>16937</v>
      </c>
      <c r="B16924">
        <v>566</v>
      </c>
      <c r="C16924" s="1" t="str">
        <f>HYPERLINK("http://www.rosaceae.org/gb/gbrowse/malus_x_domestica/?name=MDP0000258269","MDP0000258269")</f>
        <v>MDP0000258269</v>
      </c>
      <c r="D16924">
        <v>67.67</v>
      </c>
      <c r="E16924">
        <v>297</v>
      </c>
      <c r="F16924">
        <v>96</v>
      </c>
      <c r="G16924">
        <v>6</v>
      </c>
      <c r="H16924">
        <v>270</v>
      </c>
      <c r="I16924">
        <v>566</v>
      </c>
      <c r="J16924">
        <v>1</v>
      </c>
      <c r="K16924">
        <v>47</v>
      </c>
      <c r="L16924">
        <v>337</v>
      </c>
      <c r="M16924">
        <v>1</v>
      </c>
      <c r="N16924">
        <v>2.3192400000000001E-112</v>
      </c>
      <c r="O16924">
        <v>1036</v>
      </c>
    </row>
    <row r="16925" spans="1:15" x14ac:dyDescent="0.25">
      <c r="A16925" t="s">
        <v>16938</v>
      </c>
      <c r="B16925">
        <v>420</v>
      </c>
      <c r="C16925" s="1" t="str">
        <f>HYPERLINK("http://www.rosaceae.org/gb/gbrowse/malus_x_domestica/?name=MDP0000144252","MDP0000144252")</f>
        <v>MDP0000144252</v>
      </c>
      <c r="D16925">
        <v>76.97</v>
      </c>
      <c r="E16925">
        <v>417</v>
      </c>
      <c r="F16925">
        <v>96</v>
      </c>
      <c r="G16925">
        <v>11</v>
      </c>
      <c r="H16925">
        <v>7</v>
      </c>
      <c r="I16925">
        <v>420</v>
      </c>
      <c r="J16925">
        <v>1</v>
      </c>
      <c r="K16925">
        <v>8</v>
      </c>
      <c r="L16925">
        <v>416</v>
      </c>
      <c r="M16925">
        <v>1</v>
      </c>
      <c r="N16925">
        <v>0</v>
      </c>
      <c r="O16925">
        <v>1736</v>
      </c>
    </row>
    <row r="16926" spans="1:15" x14ac:dyDescent="0.25">
      <c r="A16926" t="s">
        <v>16939</v>
      </c>
      <c r="B16926">
        <v>151</v>
      </c>
      <c r="C16926" s="1" t="str">
        <f>HYPERLINK("http://www.rosaceae.org/gb/gbrowse/malus_x_domestica/?name=MDP0000177132","MDP0000177132")</f>
        <v>MDP0000177132</v>
      </c>
      <c r="D16926">
        <v>38.630000000000003</v>
      </c>
      <c r="E16926">
        <v>132</v>
      </c>
      <c r="F16926">
        <v>81</v>
      </c>
      <c r="G16926">
        <v>27</v>
      </c>
      <c r="H16926">
        <v>30</v>
      </c>
      <c r="I16926">
        <v>137</v>
      </c>
      <c r="J16926">
        <v>1</v>
      </c>
      <c r="K16926">
        <v>163</v>
      </c>
      <c r="L16926">
        <v>291</v>
      </c>
      <c r="M16926">
        <v>1</v>
      </c>
      <c r="N16926">
        <v>4.2857000000000001E-13</v>
      </c>
      <c r="O16926">
        <v>172</v>
      </c>
    </row>
    <row r="16927" spans="1:15" x14ac:dyDescent="0.25">
      <c r="A16927" t="s">
        <v>16940</v>
      </c>
      <c r="B16927">
        <v>133</v>
      </c>
      <c r="C16927" s="1" t="str">
        <f>HYPERLINK("http://www.rosaceae.org/gb/gbrowse/malus_x_domestica/?name=MDP0000270728","MDP0000270728")</f>
        <v>MDP0000270728</v>
      </c>
      <c r="D16927">
        <v>56.31</v>
      </c>
      <c r="E16927">
        <v>103</v>
      </c>
      <c r="F16927">
        <v>45</v>
      </c>
      <c r="G16927">
        <v>14</v>
      </c>
      <c r="H16927">
        <v>12</v>
      </c>
      <c r="I16927">
        <v>102</v>
      </c>
      <c r="J16927">
        <v>1</v>
      </c>
      <c r="K16927">
        <v>106</v>
      </c>
      <c r="L16927">
        <v>206</v>
      </c>
      <c r="M16927">
        <v>1</v>
      </c>
      <c r="N16927">
        <v>1.61627E-20</v>
      </c>
      <c r="O16927">
        <v>235</v>
      </c>
    </row>
    <row r="16928" spans="1:15" x14ac:dyDescent="0.25">
      <c r="A16928" t="s">
        <v>16941</v>
      </c>
      <c r="B16928">
        <v>747</v>
      </c>
      <c r="C16928" s="1" t="str">
        <f>HYPERLINK("http://www.rosaceae.org/gb/gbrowse/malus_x_domestica/?name=MDP0000141081","MDP0000141081")</f>
        <v>MDP0000141081</v>
      </c>
      <c r="D16928">
        <v>68.36</v>
      </c>
      <c r="E16928">
        <v>667</v>
      </c>
      <c r="F16928">
        <v>211</v>
      </c>
      <c r="G16928">
        <v>12</v>
      </c>
      <c r="H16928">
        <v>1</v>
      </c>
      <c r="I16928">
        <v>666</v>
      </c>
      <c r="J16928">
        <v>1</v>
      </c>
      <c r="K16928">
        <v>1</v>
      </c>
      <c r="L16928">
        <v>656</v>
      </c>
      <c r="M16928">
        <v>1</v>
      </c>
      <c r="N16928">
        <v>0</v>
      </c>
      <c r="O16928">
        <v>2237</v>
      </c>
    </row>
    <row r="16929" spans="1:15" x14ac:dyDescent="0.25">
      <c r="A16929" t="s">
        <v>16942</v>
      </c>
      <c r="B16929">
        <v>299</v>
      </c>
      <c r="C16929" s="1" t="str">
        <f>HYPERLINK("http://www.rosaceae.org/gb/gbrowse/malus_x_domestica/?name=MDP0000277458","MDP0000277458")</f>
        <v>MDP0000277458</v>
      </c>
      <c r="D16929">
        <v>35.590000000000003</v>
      </c>
      <c r="E16929">
        <v>118</v>
      </c>
      <c r="F16929">
        <v>76</v>
      </c>
      <c r="G16929">
        <v>12</v>
      </c>
      <c r="H16929">
        <v>178</v>
      </c>
      <c r="I16929">
        <v>291</v>
      </c>
      <c r="J16929">
        <v>1</v>
      </c>
      <c r="K16929">
        <v>1150</v>
      </c>
      <c r="L16929">
        <v>1259</v>
      </c>
      <c r="M16929">
        <v>1</v>
      </c>
      <c r="N16929">
        <v>4.6271999999999998E-10</v>
      </c>
      <c r="O16929">
        <v>151</v>
      </c>
    </row>
    <row r="16930" spans="1:15" x14ac:dyDescent="0.25">
      <c r="A16930" t="s">
        <v>16943</v>
      </c>
      <c r="B16930">
        <v>982</v>
      </c>
      <c r="C16930" s="1" t="str">
        <f>HYPERLINK("http://www.rosaceae.org/gb/gbrowse/malus_x_domestica/?name=MDP0000465174","MDP0000465174")</f>
        <v>MDP0000465174</v>
      </c>
      <c r="D16930">
        <v>34.57</v>
      </c>
      <c r="E16930">
        <v>888</v>
      </c>
      <c r="F16930">
        <v>581</v>
      </c>
      <c r="G16930">
        <v>127</v>
      </c>
      <c r="H16930">
        <v>170</v>
      </c>
      <c r="I16930">
        <v>973</v>
      </c>
      <c r="J16930">
        <v>1</v>
      </c>
      <c r="K16930">
        <v>472</v>
      </c>
      <c r="L16930">
        <v>1316</v>
      </c>
      <c r="M16930">
        <v>1</v>
      </c>
      <c r="N16930">
        <v>8.1180500000000002E-113</v>
      </c>
      <c r="O16930">
        <v>1042</v>
      </c>
    </row>
    <row r="16931" spans="1:15" x14ac:dyDescent="0.25">
      <c r="A16931" t="s">
        <v>16944</v>
      </c>
      <c r="B16931">
        <v>390</v>
      </c>
      <c r="C16931" s="1" t="str">
        <f>HYPERLINK("http://www.rosaceae.org/gb/gbrowse/malus_x_domestica/?name=MDP0000537022","MDP0000537022")</f>
        <v>MDP0000537022</v>
      </c>
      <c r="D16931">
        <v>71.5</v>
      </c>
      <c r="E16931">
        <v>379</v>
      </c>
      <c r="F16931">
        <v>108</v>
      </c>
      <c r="G16931">
        <v>17</v>
      </c>
      <c r="H16931">
        <v>24</v>
      </c>
      <c r="I16931">
        <v>390</v>
      </c>
      <c r="J16931">
        <v>1</v>
      </c>
      <c r="K16931">
        <v>23</v>
      </c>
      <c r="L16931">
        <v>396</v>
      </c>
      <c r="M16931">
        <v>1</v>
      </c>
      <c r="N16931">
        <v>9.6796999999999995E-140</v>
      </c>
      <c r="O16931">
        <v>1270</v>
      </c>
    </row>
    <row r="16932" spans="1:15" x14ac:dyDescent="0.25">
      <c r="A16932" t="s">
        <v>16945</v>
      </c>
      <c r="B16932">
        <v>230</v>
      </c>
      <c r="C16932" s="1" t="str">
        <f>HYPERLINK("http://www.rosaceae.org/gb/gbrowse/malus_x_domestica/?name=MDP0000246280","MDP0000246280")</f>
        <v>MDP0000246280</v>
      </c>
      <c r="D16932">
        <v>43</v>
      </c>
      <c r="E16932">
        <v>200</v>
      </c>
      <c r="F16932">
        <v>114</v>
      </c>
      <c r="G16932">
        <v>28</v>
      </c>
      <c r="H16932">
        <v>4</v>
      </c>
      <c r="I16932">
        <v>189</v>
      </c>
      <c r="J16932">
        <v>1</v>
      </c>
      <c r="K16932">
        <v>3</v>
      </c>
      <c r="L16932">
        <v>188</v>
      </c>
      <c r="M16932">
        <v>1</v>
      </c>
      <c r="N16932">
        <v>4.8554799999999999E-20</v>
      </c>
      <c r="O16932">
        <v>235</v>
      </c>
    </row>
    <row r="16933" spans="1:15" x14ac:dyDescent="0.25">
      <c r="A16933" t="s">
        <v>16946</v>
      </c>
      <c r="B16933">
        <v>386</v>
      </c>
      <c r="C16933" s="1" t="str">
        <f>HYPERLINK("http://www.rosaceae.org/gb/gbrowse/malus_x_domestica/?name=MDP0000301440","MDP0000301440")</f>
        <v>MDP0000301440</v>
      </c>
      <c r="D16933">
        <v>93.52</v>
      </c>
      <c r="E16933">
        <v>386</v>
      </c>
      <c r="F16933">
        <v>25</v>
      </c>
      <c r="G16933">
        <v>0</v>
      </c>
      <c r="H16933">
        <v>1</v>
      </c>
      <c r="I16933">
        <v>386</v>
      </c>
      <c r="J16933">
        <v>1</v>
      </c>
      <c r="K16933">
        <v>1</v>
      </c>
      <c r="L16933">
        <v>386</v>
      </c>
      <c r="M16933">
        <v>1</v>
      </c>
      <c r="N16933">
        <v>0</v>
      </c>
      <c r="O16933">
        <v>1901</v>
      </c>
    </row>
    <row r="16934" spans="1:15" x14ac:dyDescent="0.25">
      <c r="A16934" t="s">
        <v>16947</v>
      </c>
      <c r="B16934">
        <v>378</v>
      </c>
      <c r="C16934" s="1" t="str">
        <f>HYPERLINK("http://www.rosaceae.org/gb/gbrowse/malus_x_domestica/?name=MDP0000945767","MDP0000945767")</f>
        <v>MDP0000945767</v>
      </c>
      <c r="D16934">
        <v>71.5</v>
      </c>
      <c r="E16934">
        <v>379</v>
      </c>
      <c r="F16934">
        <v>108</v>
      </c>
      <c r="G16934">
        <v>7</v>
      </c>
      <c r="H16934">
        <v>2</v>
      </c>
      <c r="I16934">
        <v>378</v>
      </c>
      <c r="J16934">
        <v>1</v>
      </c>
      <c r="K16934">
        <v>3</v>
      </c>
      <c r="L16934">
        <v>376</v>
      </c>
      <c r="M16934">
        <v>1</v>
      </c>
      <c r="N16934">
        <v>1.4357899999999999E-156</v>
      </c>
      <c r="O16934">
        <v>1415</v>
      </c>
    </row>
    <row r="16935" spans="1:15" x14ac:dyDescent="0.25">
      <c r="A16935" t="s">
        <v>16948</v>
      </c>
      <c r="B16935">
        <v>459</v>
      </c>
      <c r="C16935" s="1" t="str">
        <f>HYPERLINK("http://www.rosaceae.org/gb/gbrowse/malus_x_domestica/?name=MDP0000254730","MDP0000254730")</f>
        <v>MDP0000254730</v>
      </c>
      <c r="D16935">
        <v>63.85</v>
      </c>
      <c r="E16935">
        <v>368</v>
      </c>
      <c r="F16935">
        <v>133</v>
      </c>
      <c r="G16935">
        <v>54</v>
      </c>
      <c r="H16935">
        <v>35</v>
      </c>
      <c r="I16935">
        <v>352</v>
      </c>
      <c r="J16935">
        <v>1</v>
      </c>
      <c r="K16935">
        <v>96</v>
      </c>
      <c r="L16935">
        <v>459</v>
      </c>
      <c r="M16935">
        <v>1</v>
      </c>
      <c r="N16935">
        <v>1.64819E-128</v>
      </c>
      <c r="O16935">
        <v>1174</v>
      </c>
    </row>
    <row r="16936" spans="1:15" x14ac:dyDescent="0.25">
      <c r="A16936" t="s">
        <v>16949</v>
      </c>
      <c r="B16936">
        <v>281</v>
      </c>
      <c r="C16936" s="1" t="str">
        <f>HYPERLINK("http://www.rosaceae.org/gb/gbrowse/malus_x_domestica/?name=MDP0000208418","MDP0000208418")</f>
        <v>MDP0000208418</v>
      </c>
      <c r="D16936">
        <v>70.42</v>
      </c>
      <c r="E16936">
        <v>257</v>
      </c>
      <c r="F16936">
        <v>76</v>
      </c>
      <c r="G16936">
        <v>3</v>
      </c>
      <c r="H16936">
        <v>1</v>
      </c>
      <c r="I16936">
        <v>257</v>
      </c>
      <c r="J16936">
        <v>1</v>
      </c>
      <c r="K16936">
        <v>1</v>
      </c>
      <c r="L16936">
        <v>254</v>
      </c>
      <c r="M16936">
        <v>1</v>
      </c>
      <c r="N16936">
        <v>6.6468199999999999E-101</v>
      </c>
      <c r="O16936">
        <v>934</v>
      </c>
    </row>
    <row r="16937" spans="1:15" x14ac:dyDescent="0.25">
      <c r="A16937" t="s">
        <v>16950</v>
      </c>
      <c r="B16937">
        <v>674</v>
      </c>
      <c r="C16937" s="1" t="str">
        <f>HYPERLINK("http://www.rosaceae.org/gb/gbrowse/malus_x_domestica/?name=MDP0000787909","MDP0000787909")</f>
        <v>MDP0000787909</v>
      </c>
      <c r="D16937">
        <v>67.87</v>
      </c>
      <c r="E16937">
        <v>632</v>
      </c>
      <c r="F16937">
        <v>203</v>
      </c>
      <c r="G16937">
        <v>22</v>
      </c>
      <c r="H16937">
        <v>43</v>
      </c>
      <c r="I16937">
        <v>670</v>
      </c>
      <c r="J16937">
        <v>1</v>
      </c>
      <c r="K16937">
        <v>1</v>
      </c>
      <c r="L16937">
        <v>614</v>
      </c>
      <c r="M16937">
        <v>1</v>
      </c>
      <c r="N16937">
        <v>0</v>
      </c>
      <c r="O16937">
        <v>2027</v>
      </c>
    </row>
    <row r="16938" spans="1:15" x14ac:dyDescent="0.25">
      <c r="A16938" t="s">
        <v>16951</v>
      </c>
      <c r="B16938">
        <v>239</v>
      </c>
      <c r="C16938" s="1" t="str">
        <f>HYPERLINK("http://www.rosaceae.org/gb/gbrowse/malus_x_domestica/?name=MDP0000197534","MDP0000197534")</f>
        <v>MDP0000197534</v>
      </c>
      <c r="D16938">
        <v>43.2</v>
      </c>
      <c r="E16938">
        <v>243</v>
      </c>
      <c r="F16938">
        <v>138</v>
      </c>
      <c r="G16938">
        <v>15</v>
      </c>
      <c r="H16938">
        <v>12</v>
      </c>
      <c r="I16938">
        <v>239</v>
      </c>
      <c r="J16938">
        <v>1</v>
      </c>
      <c r="K16938">
        <v>35</v>
      </c>
      <c r="L16938">
        <v>277</v>
      </c>
      <c r="M16938">
        <v>1</v>
      </c>
      <c r="N16938">
        <v>1.97098E-51</v>
      </c>
      <c r="O16938">
        <v>506</v>
      </c>
    </row>
    <row r="16939" spans="1:15" x14ac:dyDescent="0.25">
      <c r="A16939" t="s">
        <v>16952</v>
      </c>
      <c r="B16939">
        <v>172</v>
      </c>
      <c r="C16939" s="1" t="str">
        <f>HYPERLINK("http://www.rosaceae.org/gb/gbrowse/malus_x_domestica/?name=MDP0000710422","MDP0000710422")</f>
        <v>MDP0000710422</v>
      </c>
      <c r="D16939">
        <v>63.79</v>
      </c>
      <c r="E16939">
        <v>174</v>
      </c>
      <c r="F16939">
        <v>63</v>
      </c>
      <c r="G16939">
        <v>11</v>
      </c>
      <c r="H16939">
        <v>3</v>
      </c>
      <c r="I16939">
        <v>172</v>
      </c>
      <c r="J16939">
        <v>1</v>
      </c>
      <c r="K16939">
        <v>2</v>
      </c>
      <c r="L16939">
        <v>168</v>
      </c>
      <c r="M16939">
        <v>1</v>
      </c>
      <c r="N16939">
        <v>7.69109E-57</v>
      </c>
      <c r="O16939">
        <v>551</v>
      </c>
    </row>
    <row r="16940" spans="1:15" x14ac:dyDescent="0.25">
      <c r="A16940" t="s">
        <v>16953</v>
      </c>
      <c r="B16940">
        <v>550</v>
      </c>
      <c r="C16940" s="1" t="str">
        <f>HYPERLINK("http://www.rosaceae.org/gb/gbrowse/malus_x_domestica/?name=MDP0000203469","MDP0000203469")</f>
        <v>MDP0000203469</v>
      </c>
      <c r="D16940">
        <v>37.67</v>
      </c>
      <c r="E16940">
        <v>507</v>
      </c>
      <c r="F16940">
        <v>316</v>
      </c>
      <c r="G16940">
        <v>54</v>
      </c>
      <c r="H16940">
        <v>72</v>
      </c>
      <c r="I16940">
        <v>550</v>
      </c>
      <c r="J16940">
        <v>1</v>
      </c>
      <c r="K16940">
        <v>69</v>
      </c>
      <c r="L16940">
        <v>549</v>
      </c>
      <c r="M16940">
        <v>1</v>
      </c>
      <c r="N16940">
        <v>1.61842E-71</v>
      </c>
      <c r="O16940">
        <v>684</v>
      </c>
    </row>
    <row r="16941" spans="1:15" x14ac:dyDescent="0.25">
      <c r="A16941" t="s">
        <v>16954</v>
      </c>
      <c r="B16941">
        <v>663</v>
      </c>
      <c r="C16941" s="1" t="str">
        <f>HYPERLINK("http://www.rosaceae.org/gb/gbrowse/malus_x_domestica/?name=MDP0000270244","MDP0000270244")</f>
        <v>MDP0000270244</v>
      </c>
      <c r="D16941">
        <v>55.44</v>
      </c>
      <c r="E16941">
        <v>496</v>
      </c>
      <c r="F16941">
        <v>221</v>
      </c>
      <c r="G16941">
        <v>57</v>
      </c>
      <c r="H16941">
        <v>2</v>
      </c>
      <c r="I16941">
        <v>495</v>
      </c>
      <c r="J16941">
        <v>1</v>
      </c>
      <c r="K16941">
        <v>44</v>
      </c>
      <c r="L16941">
        <v>484</v>
      </c>
      <c r="M16941">
        <v>1</v>
      </c>
      <c r="N16941">
        <v>5.5381199999999999E-143</v>
      </c>
      <c r="O16941">
        <v>1301</v>
      </c>
    </row>
    <row r="16942" spans="1:15" x14ac:dyDescent="0.25">
      <c r="A16942" t="s">
        <v>16955</v>
      </c>
      <c r="B16942">
        <v>416</v>
      </c>
      <c r="C16942" s="1" t="str">
        <f>HYPERLINK("http://www.rosaceae.org/gb/gbrowse/malus_x_domestica/?name=MDP0000190033","MDP0000190033")</f>
        <v>MDP0000190033</v>
      </c>
      <c r="D16942">
        <v>82.05</v>
      </c>
      <c r="E16942">
        <v>418</v>
      </c>
      <c r="F16942">
        <v>75</v>
      </c>
      <c r="G16942">
        <v>7</v>
      </c>
      <c r="H16942">
        <v>1</v>
      </c>
      <c r="I16942">
        <v>416</v>
      </c>
      <c r="J16942">
        <v>1</v>
      </c>
      <c r="K16942">
        <v>1</v>
      </c>
      <c r="L16942">
        <v>413</v>
      </c>
      <c r="M16942">
        <v>1</v>
      </c>
      <c r="N16942">
        <v>0</v>
      </c>
      <c r="O16942">
        <v>1812</v>
      </c>
    </row>
    <row r="16943" spans="1:15" x14ac:dyDescent="0.25">
      <c r="A16943" t="s">
        <v>16956</v>
      </c>
      <c r="B16943">
        <v>172</v>
      </c>
      <c r="C16943" s="1" t="str">
        <f>HYPERLINK("http://www.rosaceae.org/gb/gbrowse/malus_x_domestica/?name=MDP0000672440","MDP0000672440")</f>
        <v>MDP0000672440</v>
      </c>
      <c r="D16943">
        <v>61.53</v>
      </c>
      <c r="E16943">
        <v>104</v>
      </c>
      <c r="F16943">
        <v>40</v>
      </c>
      <c r="G16943">
        <v>0</v>
      </c>
      <c r="H16943">
        <v>38</v>
      </c>
      <c r="I16943">
        <v>141</v>
      </c>
      <c r="J16943">
        <v>1</v>
      </c>
      <c r="K16943">
        <v>29</v>
      </c>
      <c r="L16943">
        <v>132</v>
      </c>
      <c r="M16943">
        <v>1</v>
      </c>
      <c r="N16943">
        <v>2.0061199999999998E-30</v>
      </c>
      <c r="O16943">
        <v>323</v>
      </c>
    </row>
    <row r="16944" spans="1:15" x14ac:dyDescent="0.25">
      <c r="A16944" t="s">
        <v>16957</v>
      </c>
      <c r="B16944">
        <v>409</v>
      </c>
      <c r="C16944" s="1" t="str">
        <f>HYPERLINK("http://www.rosaceae.org/gb/gbrowse/malus_x_domestica/?name=MDP0000178196","MDP0000178196")</f>
        <v>MDP0000178196</v>
      </c>
      <c r="D16944">
        <v>58.58</v>
      </c>
      <c r="E16944">
        <v>396</v>
      </c>
      <c r="F16944">
        <v>164</v>
      </c>
      <c r="G16944">
        <v>39</v>
      </c>
      <c r="H16944">
        <v>40</v>
      </c>
      <c r="I16944">
        <v>409</v>
      </c>
      <c r="J16944">
        <v>1</v>
      </c>
      <c r="K16944">
        <v>40</v>
      </c>
      <c r="L16944">
        <v>422</v>
      </c>
      <c r="M16944">
        <v>1</v>
      </c>
      <c r="N16944">
        <v>1.7937800000000001E-109</v>
      </c>
      <c r="O16944">
        <v>1010</v>
      </c>
    </row>
    <row r="16945" spans="1:15" x14ac:dyDescent="0.25">
      <c r="A16945" t="s">
        <v>16958</v>
      </c>
      <c r="B16945">
        <v>244</v>
      </c>
      <c r="C16945" s="1" t="str">
        <f>HYPERLINK("http://www.rosaceae.org/gb/gbrowse/malus_x_domestica/?name=MDP0000316899","MDP0000316899")</f>
        <v>MDP0000316899</v>
      </c>
      <c r="D16945">
        <v>45.97</v>
      </c>
      <c r="E16945">
        <v>87</v>
      </c>
      <c r="F16945">
        <v>47</v>
      </c>
      <c r="G16945">
        <v>0</v>
      </c>
      <c r="H16945">
        <v>158</v>
      </c>
      <c r="I16945">
        <v>244</v>
      </c>
      <c r="J16945">
        <v>1</v>
      </c>
      <c r="K16945">
        <v>620</v>
      </c>
      <c r="L16945">
        <v>706</v>
      </c>
      <c r="M16945">
        <v>1</v>
      </c>
      <c r="N16945">
        <v>1.2582500000000001E-15</v>
      </c>
      <c r="O16945">
        <v>198</v>
      </c>
    </row>
    <row r="16946" spans="1:15" x14ac:dyDescent="0.25">
      <c r="A16946" t="s">
        <v>16959</v>
      </c>
      <c r="B16946">
        <v>204</v>
      </c>
      <c r="C16946" s="1" t="str">
        <f>HYPERLINK("http://www.rosaceae.org/gb/gbrowse/malus_x_domestica/?name=MDP0000235232","MDP0000235232")</f>
        <v>MDP0000235232</v>
      </c>
      <c r="D16946">
        <v>74.31</v>
      </c>
      <c r="E16946">
        <v>218</v>
      </c>
      <c r="F16946">
        <v>56</v>
      </c>
      <c r="G16946">
        <v>29</v>
      </c>
      <c r="H16946">
        <v>1</v>
      </c>
      <c r="I16946">
        <v>189</v>
      </c>
      <c r="J16946">
        <v>1</v>
      </c>
      <c r="K16946">
        <v>425</v>
      </c>
      <c r="L16946">
        <v>642</v>
      </c>
      <c r="M16946">
        <v>1</v>
      </c>
      <c r="N16946">
        <v>7.0353300000000003E-89</v>
      </c>
      <c r="O16946">
        <v>828</v>
      </c>
    </row>
    <row r="16947" spans="1:15" x14ac:dyDescent="0.25">
      <c r="A16947" t="s">
        <v>16960</v>
      </c>
      <c r="B16947">
        <v>1762</v>
      </c>
      <c r="C16947" s="1" t="str">
        <f>HYPERLINK("http://www.rosaceae.org/gb/gbrowse/malus_x_domestica/?name=MDP0000250071","MDP0000250071")</f>
        <v>MDP0000250071</v>
      </c>
      <c r="D16947">
        <v>55.82</v>
      </c>
      <c r="E16947">
        <v>892</v>
      </c>
      <c r="F16947">
        <v>394</v>
      </c>
      <c r="G16947">
        <v>38</v>
      </c>
      <c r="H16947">
        <v>901</v>
      </c>
      <c r="I16947">
        <v>1762</v>
      </c>
      <c r="J16947">
        <v>1</v>
      </c>
      <c r="K16947">
        <v>864</v>
      </c>
      <c r="L16947">
        <v>1747</v>
      </c>
      <c r="M16947">
        <v>1</v>
      </c>
      <c r="N16947">
        <v>0</v>
      </c>
      <c r="O16947">
        <v>2355</v>
      </c>
    </row>
    <row r="16948" spans="1:15" x14ac:dyDescent="0.25">
      <c r="A16948" t="s">
        <v>16961</v>
      </c>
      <c r="B16948">
        <v>255</v>
      </c>
      <c r="C16948" s="1" t="str">
        <f>HYPERLINK("http://www.rosaceae.org/gb/gbrowse/malus_x_domestica/?name=MDP0000282838","MDP0000282838")</f>
        <v>MDP0000282838</v>
      </c>
      <c r="D16948">
        <v>52.58</v>
      </c>
      <c r="E16948">
        <v>251</v>
      </c>
      <c r="F16948">
        <v>119</v>
      </c>
      <c r="G16948">
        <v>10</v>
      </c>
      <c r="H16948">
        <v>9</v>
      </c>
      <c r="I16948">
        <v>253</v>
      </c>
      <c r="J16948">
        <v>1</v>
      </c>
      <c r="K16948">
        <v>1529</v>
      </c>
      <c r="L16948">
        <v>1775</v>
      </c>
      <c r="M16948">
        <v>1</v>
      </c>
      <c r="N16948">
        <v>1.7432500000000001E-67</v>
      </c>
      <c r="O16948">
        <v>645</v>
      </c>
    </row>
    <row r="16949" spans="1:15" x14ac:dyDescent="0.25">
      <c r="A16949" t="s">
        <v>16962</v>
      </c>
      <c r="B16949">
        <v>517</v>
      </c>
      <c r="C16949" s="1" t="str">
        <f>HYPERLINK("http://www.rosaceae.org/gb/gbrowse/malus_x_domestica/?name=MDP0000209283","MDP0000209283")</f>
        <v>MDP0000209283</v>
      </c>
      <c r="D16949">
        <v>65.97</v>
      </c>
      <c r="E16949">
        <v>291</v>
      </c>
      <c r="F16949">
        <v>99</v>
      </c>
      <c r="G16949">
        <v>10</v>
      </c>
      <c r="H16949">
        <v>236</v>
      </c>
      <c r="I16949">
        <v>516</v>
      </c>
      <c r="J16949">
        <v>1</v>
      </c>
      <c r="K16949">
        <v>287</v>
      </c>
      <c r="L16949">
        <v>577</v>
      </c>
      <c r="M16949">
        <v>1</v>
      </c>
      <c r="N16949">
        <v>1.9840899999999999E-108</v>
      </c>
      <c r="O16949">
        <v>1002</v>
      </c>
    </row>
    <row r="16950" spans="1:15" x14ac:dyDescent="0.25">
      <c r="A16950" t="s">
        <v>16963</v>
      </c>
      <c r="B16950">
        <v>384</v>
      </c>
      <c r="C16950" s="1" t="str">
        <f>HYPERLINK("http://www.rosaceae.org/gb/gbrowse/malus_x_domestica/?name=MDP0000581271","MDP0000581271")</f>
        <v>MDP0000581271</v>
      </c>
      <c r="D16950">
        <v>65</v>
      </c>
      <c r="E16950">
        <v>240</v>
      </c>
      <c r="F16950">
        <v>84</v>
      </c>
      <c r="G16950">
        <v>1</v>
      </c>
      <c r="H16950">
        <v>119</v>
      </c>
      <c r="I16950">
        <v>357</v>
      </c>
      <c r="J16950">
        <v>1</v>
      </c>
      <c r="K16950">
        <v>1622</v>
      </c>
      <c r="L16950">
        <v>1861</v>
      </c>
      <c r="M16950">
        <v>1</v>
      </c>
      <c r="N16950">
        <v>2.0017900000000002E-92</v>
      </c>
      <c r="O16950">
        <v>862</v>
      </c>
    </row>
    <row r="16951" spans="1:15" x14ac:dyDescent="0.25">
      <c r="A16951" t="s">
        <v>16964</v>
      </c>
      <c r="B16951">
        <v>454</v>
      </c>
      <c r="C16951" s="1" t="str">
        <f>HYPERLINK("http://www.rosaceae.org/gb/gbrowse/malus_x_domestica/?name=MDP0000305853","MDP0000305853")</f>
        <v>MDP0000305853</v>
      </c>
      <c r="D16951">
        <v>74.16</v>
      </c>
      <c r="E16951">
        <v>449</v>
      </c>
      <c r="F16951">
        <v>116</v>
      </c>
      <c r="G16951">
        <v>27</v>
      </c>
      <c r="H16951">
        <v>1</v>
      </c>
      <c r="I16951">
        <v>438</v>
      </c>
      <c r="J16951">
        <v>1</v>
      </c>
      <c r="K16951">
        <v>1</v>
      </c>
      <c r="L16951">
        <v>433</v>
      </c>
      <c r="M16951">
        <v>1</v>
      </c>
      <c r="N16951">
        <v>0</v>
      </c>
      <c r="O16951">
        <v>1631</v>
      </c>
    </row>
    <row r="16952" spans="1:15" x14ac:dyDescent="0.25">
      <c r="A16952" t="s">
        <v>16965</v>
      </c>
      <c r="B16952">
        <v>225</v>
      </c>
      <c r="C16952" s="1" t="str">
        <f>HYPERLINK("http://www.rosaceae.org/gb/gbrowse/malus_x_domestica/?name=MDP0000592847","MDP0000592847")</f>
        <v>MDP0000592847</v>
      </c>
      <c r="D16952">
        <v>24.21</v>
      </c>
      <c r="E16952">
        <v>223</v>
      </c>
      <c r="F16952">
        <v>169</v>
      </c>
      <c r="G16952">
        <v>1</v>
      </c>
      <c r="H16952">
        <v>3</v>
      </c>
      <c r="I16952">
        <v>224</v>
      </c>
      <c r="J16952">
        <v>1</v>
      </c>
      <c r="K16952">
        <v>128</v>
      </c>
      <c r="L16952">
        <v>350</v>
      </c>
      <c r="M16952">
        <v>1</v>
      </c>
      <c r="N16952">
        <v>2.13529E-13</v>
      </c>
      <c r="O16952">
        <v>178</v>
      </c>
    </row>
    <row r="16953" spans="1:15" x14ac:dyDescent="0.25">
      <c r="A16953" t="s">
        <v>16966</v>
      </c>
      <c r="B16953">
        <v>183</v>
      </c>
      <c r="C16953" s="1" t="str">
        <f>HYPERLINK("http://www.rosaceae.org/gb/gbrowse/malus_x_domestica/?name=MDP0000239973","MDP0000239973")</f>
        <v>MDP0000239973</v>
      </c>
      <c r="D16953">
        <v>77.12</v>
      </c>
      <c r="E16953">
        <v>188</v>
      </c>
      <c r="F16953">
        <v>43</v>
      </c>
      <c r="G16953">
        <v>15</v>
      </c>
      <c r="H16953">
        <v>1</v>
      </c>
      <c r="I16953">
        <v>174</v>
      </c>
      <c r="J16953">
        <v>1</v>
      </c>
      <c r="K16953">
        <v>1</v>
      </c>
      <c r="L16953">
        <v>187</v>
      </c>
      <c r="M16953">
        <v>1</v>
      </c>
      <c r="N16953">
        <v>9.9353399999999995E-77</v>
      </c>
      <c r="O16953">
        <v>723</v>
      </c>
    </row>
    <row r="16954" spans="1:15" x14ac:dyDescent="0.25">
      <c r="A16954" t="s">
        <v>16967</v>
      </c>
      <c r="B16954">
        <v>396</v>
      </c>
      <c r="C16954" s="1" t="str">
        <f>HYPERLINK("http://www.rosaceae.org/gb/gbrowse/malus_x_domestica/?name=MDP0000276291","MDP0000276291")</f>
        <v>MDP0000276291</v>
      </c>
      <c r="D16954">
        <v>32.19</v>
      </c>
      <c r="E16954">
        <v>264</v>
      </c>
      <c r="F16954">
        <v>179</v>
      </c>
      <c r="G16954">
        <v>37</v>
      </c>
      <c r="H16954">
        <v>15</v>
      </c>
      <c r="I16954">
        <v>256</v>
      </c>
      <c r="J16954">
        <v>1</v>
      </c>
      <c r="K16954">
        <v>10</v>
      </c>
      <c r="L16954">
        <v>258</v>
      </c>
      <c r="M16954">
        <v>1</v>
      </c>
      <c r="N16954">
        <v>1.04116E-21</v>
      </c>
      <c r="O16954">
        <v>253</v>
      </c>
    </row>
    <row r="16955" spans="1:15" x14ac:dyDescent="0.25">
      <c r="A16955" t="s">
        <v>16968</v>
      </c>
      <c r="B16955">
        <v>298</v>
      </c>
      <c r="C16955" s="1" t="str">
        <f>HYPERLINK("http://www.rosaceae.org/gb/gbrowse/malus_x_domestica/?name=MDP0000124256","MDP0000124256")</f>
        <v>MDP0000124256</v>
      </c>
      <c r="D16955">
        <v>45.69</v>
      </c>
      <c r="E16955">
        <v>151</v>
      </c>
      <c r="F16955">
        <v>82</v>
      </c>
      <c r="G16955">
        <v>2</v>
      </c>
      <c r="H16955">
        <v>128</v>
      </c>
      <c r="I16955">
        <v>278</v>
      </c>
      <c r="J16955">
        <v>1</v>
      </c>
      <c r="K16955">
        <v>47</v>
      </c>
      <c r="L16955">
        <v>195</v>
      </c>
      <c r="M16955">
        <v>1</v>
      </c>
      <c r="N16955">
        <v>8.6367999999999997E-27</v>
      </c>
      <c r="O16955">
        <v>295</v>
      </c>
    </row>
    <row r="16956" spans="1:15" x14ac:dyDescent="0.25">
      <c r="A16956" t="s">
        <v>16969</v>
      </c>
      <c r="B16956">
        <v>782</v>
      </c>
      <c r="C16956" s="1" t="str">
        <f>HYPERLINK("http://www.rosaceae.org/gb/gbrowse/malus_x_domestica/?name=MDP0000223386","MDP0000223386")</f>
        <v>MDP0000223386</v>
      </c>
      <c r="D16956">
        <v>54.54</v>
      </c>
      <c r="E16956">
        <v>715</v>
      </c>
      <c r="F16956">
        <v>325</v>
      </c>
      <c r="G16956">
        <v>55</v>
      </c>
      <c r="H16956">
        <v>89</v>
      </c>
      <c r="I16956">
        <v>764</v>
      </c>
      <c r="J16956">
        <v>1</v>
      </c>
      <c r="K16956">
        <v>255</v>
      </c>
      <c r="L16956">
        <v>953</v>
      </c>
      <c r="M16956">
        <v>1</v>
      </c>
      <c r="N16956">
        <v>0</v>
      </c>
      <c r="O16956">
        <v>1628</v>
      </c>
    </row>
    <row r="16957" spans="1:15" x14ac:dyDescent="0.25">
      <c r="A16957" t="s">
        <v>16970</v>
      </c>
      <c r="B16957">
        <v>429</v>
      </c>
      <c r="C16957" s="1" t="str">
        <f>HYPERLINK("http://www.rosaceae.org/gb/gbrowse/malus_x_domestica/?name=MDP0000263256","MDP0000263256")</f>
        <v>MDP0000263256</v>
      </c>
      <c r="D16957">
        <v>32.96</v>
      </c>
      <c r="E16957">
        <v>449</v>
      </c>
      <c r="F16957">
        <v>301</v>
      </c>
      <c r="G16957">
        <v>78</v>
      </c>
      <c r="H16957">
        <v>7</v>
      </c>
      <c r="I16957">
        <v>406</v>
      </c>
      <c r="J16957">
        <v>1</v>
      </c>
      <c r="K16957">
        <v>315</v>
      </c>
      <c r="L16957">
        <v>734</v>
      </c>
      <c r="M16957">
        <v>1</v>
      </c>
      <c r="N16957">
        <v>3.2763300000000002E-36</v>
      </c>
      <c r="O16957">
        <v>378</v>
      </c>
    </row>
    <row r="16958" spans="1:15" x14ac:dyDescent="0.25">
      <c r="A16958" t="s">
        <v>16971</v>
      </c>
      <c r="B16958">
        <v>104</v>
      </c>
      <c r="C16958" s="1" t="str">
        <f>HYPERLINK("http://www.rosaceae.org/gb/gbrowse/malus_x_domestica/?name=MDP0000273410","MDP0000273410")</f>
        <v>MDP0000273410</v>
      </c>
      <c r="D16958">
        <v>41.28</v>
      </c>
      <c r="E16958">
        <v>109</v>
      </c>
      <c r="F16958">
        <v>64</v>
      </c>
      <c r="G16958">
        <v>33</v>
      </c>
      <c r="H16958">
        <v>1</v>
      </c>
      <c r="I16958">
        <v>90</v>
      </c>
      <c r="J16958">
        <v>1</v>
      </c>
      <c r="K16958">
        <v>1</v>
      </c>
      <c r="L16958">
        <v>95</v>
      </c>
      <c r="M16958">
        <v>1</v>
      </c>
      <c r="N16958">
        <v>1.22414E-10</v>
      </c>
      <c r="O16958">
        <v>149</v>
      </c>
    </row>
    <row r="16959" spans="1:15" x14ac:dyDescent="0.25">
      <c r="A16959" t="s">
        <v>16972</v>
      </c>
      <c r="B16959">
        <v>330</v>
      </c>
      <c r="C16959" s="1" t="str">
        <f>HYPERLINK("http://www.rosaceae.org/gb/gbrowse/malus_x_domestica/?name=MDP0000239885","MDP0000239885")</f>
        <v>MDP0000239885</v>
      </c>
      <c r="D16959">
        <v>67.17</v>
      </c>
      <c r="E16959">
        <v>329</v>
      </c>
      <c r="F16959">
        <v>108</v>
      </c>
      <c r="G16959">
        <v>1</v>
      </c>
      <c r="H16959">
        <v>1</v>
      </c>
      <c r="I16959">
        <v>329</v>
      </c>
      <c r="J16959">
        <v>1</v>
      </c>
      <c r="K16959">
        <v>1</v>
      </c>
      <c r="L16959">
        <v>328</v>
      </c>
      <c r="M16959">
        <v>1</v>
      </c>
      <c r="N16959">
        <v>8.6944099999999999E-126</v>
      </c>
      <c r="O16959">
        <v>1149</v>
      </c>
    </row>
    <row r="16960" spans="1:15" x14ac:dyDescent="0.25">
      <c r="A16960" t="s">
        <v>16973</v>
      </c>
      <c r="B16960">
        <v>417</v>
      </c>
      <c r="C16960" s="1" t="str">
        <f>HYPERLINK("http://www.rosaceae.org/gb/gbrowse/malus_x_domestica/?name=MDP0000260790","MDP0000260790")</f>
        <v>MDP0000260790</v>
      </c>
      <c r="D16960">
        <v>70.88</v>
      </c>
      <c r="E16960">
        <v>419</v>
      </c>
      <c r="F16960">
        <v>122</v>
      </c>
      <c r="G16960">
        <v>5</v>
      </c>
      <c r="H16960">
        <v>2</v>
      </c>
      <c r="I16960">
        <v>417</v>
      </c>
      <c r="J16960">
        <v>1</v>
      </c>
      <c r="K16960">
        <v>165</v>
      </c>
      <c r="L16960">
        <v>581</v>
      </c>
      <c r="M16960">
        <v>1</v>
      </c>
      <c r="N16960">
        <v>3.2927199999999998E-176</v>
      </c>
      <c r="O16960">
        <v>1585</v>
      </c>
    </row>
    <row r="16961" spans="1:15" x14ac:dyDescent="0.25">
      <c r="A16961" t="s">
        <v>16974</v>
      </c>
      <c r="B16961">
        <v>264</v>
      </c>
      <c r="C16961" s="1" t="str">
        <f>HYPERLINK("http://www.rosaceae.org/gb/gbrowse/malus_x_domestica/?name=MDP0000427251","MDP0000427251")</f>
        <v>MDP0000427251</v>
      </c>
      <c r="D16961">
        <v>57.83</v>
      </c>
      <c r="E16961">
        <v>287</v>
      </c>
      <c r="F16961">
        <v>121</v>
      </c>
      <c r="G16961">
        <v>30</v>
      </c>
      <c r="H16961">
        <v>1</v>
      </c>
      <c r="I16961">
        <v>264</v>
      </c>
      <c r="J16961">
        <v>1</v>
      </c>
      <c r="K16961">
        <v>1</v>
      </c>
      <c r="L16961">
        <v>280</v>
      </c>
      <c r="M16961">
        <v>1</v>
      </c>
      <c r="N16961">
        <v>5.9573200000000001E-77</v>
      </c>
      <c r="O16961">
        <v>727</v>
      </c>
    </row>
    <row r="16962" spans="1:15" x14ac:dyDescent="0.25">
      <c r="A16962" t="s">
        <v>16975</v>
      </c>
      <c r="B16962">
        <v>358</v>
      </c>
      <c r="C16962" s="1" t="str">
        <f>HYPERLINK("http://www.rosaceae.org/gb/gbrowse/malus_x_domestica/?name=MDP0000229128","MDP0000229128")</f>
        <v>MDP0000229128</v>
      </c>
      <c r="D16962">
        <v>87.15</v>
      </c>
      <c r="E16962">
        <v>358</v>
      </c>
      <c r="F16962">
        <v>46</v>
      </c>
      <c r="G16962">
        <v>3</v>
      </c>
      <c r="H16962">
        <v>1</v>
      </c>
      <c r="I16962">
        <v>358</v>
      </c>
      <c r="J16962">
        <v>1</v>
      </c>
      <c r="K16962">
        <v>1</v>
      </c>
      <c r="L16962">
        <v>355</v>
      </c>
      <c r="M16962">
        <v>1</v>
      </c>
      <c r="N16962">
        <v>4.3698699999999997E-170</v>
      </c>
      <c r="O16962">
        <v>1532</v>
      </c>
    </row>
    <row r="16963" spans="1:15" x14ac:dyDescent="0.25">
      <c r="A16963" t="s">
        <v>16976</v>
      </c>
      <c r="B16963">
        <v>570</v>
      </c>
      <c r="C16963" s="1" t="str">
        <f>HYPERLINK("http://www.rosaceae.org/gb/gbrowse/malus_x_domestica/?name=MDP0000401322","MDP0000401322")</f>
        <v>MDP0000401322</v>
      </c>
      <c r="D16963">
        <v>74.13</v>
      </c>
      <c r="E16963">
        <v>406</v>
      </c>
      <c r="F16963">
        <v>105</v>
      </c>
      <c r="G16963">
        <v>2</v>
      </c>
      <c r="H16963">
        <v>165</v>
      </c>
      <c r="I16963">
        <v>569</v>
      </c>
      <c r="J16963">
        <v>1</v>
      </c>
      <c r="K16963">
        <v>93</v>
      </c>
      <c r="L16963">
        <v>497</v>
      </c>
      <c r="M16963">
        <v>1</v>
      </c>
      <c r="N16963">
        <v>0</v>
      </c>
      <c r="O16963">
        <v>1660</v>
      </c>
    </row>
    <row r="16964" spans="1:15" x14ac:dyDescent="0.25">
      <c r="A16964" t="s">
        <v>16977</v>
      </c>
      <c r="B16964">
        <v>554</v>
      </c>
      <c r="C16964" s="1" t="str">
        <f>HYPERLINK("http://www.rosaceae.org/gb/gbrowse/malus_x_domestica/?name=MDP0000175043","MDP0000175043")</f>
        <v>MDP0000175043</v>
      </c>
      <c r="D16964">
        <v>68.64</v>
      </c>
      <c r="E16964">
        <v>303</v>
      </c>
      <c r="F16964">
        <v>95</v>
      </c>
      <c r="G16964">
        <v>4</v>
      </c>
      <c r="H16964">
        <v>22</v>
      </c>
      <c r="I16964">
        <v>323</v>
      </c>
      <c r="J16964">
        <v>1</v>
      </c>
      <c r="K16964">
        <v>22</v>
      </c>
      <c r="L16964">
        <v>321</v>
      </c>
      <c r="M16964">
        <v>1</v>
      </c>
      <c r="N16964">
        <v>7.5611699999999996E-117</v>
      </c>
      <c r="O16964">
        <v>1075</v>
      </c>
    </row>
    <row r="16965" spans="1:15" x14ac:dyDescent="0.25">
      <c r="A16965" t="s">
        <v>16978</v>
      </c>
      <c r="B16965">
        <v>364</v>
      </c>
      <c r="C16965" s="1" t="str">
        <f>HYPERLINK("http://www.rosaceae.org/gb/gbrowse/malus_x_domestica/?name=MDP0000881479","MDP0000881479")</f>
        <v>MDP0000881479</v>
      </c>
      <c r="D16965">
        <v>78.63</v>
      </c>
      <c r="E16965">
        <v>365</v>
      </c>
      <c r="F16965">
        <v>78</v>
      </c>
      <c r="G16965">
        <v>30</v>
      </c>
      <c r="H16965">
        <v>1</v>
      </c>
      <c r="I16965">
        <v>364</v>
      </c>
      <c r="J16965">
        <v>1</v>
      </c>
      <c r="K16965">
        <v>1</v>
      </c>
      <c r="L16965">
        <v>336</v>
      </c>
      <c r="M16965">
        <v>1</v>
      </c>
      <c r="N16965">
        <v>5.1153799999999998E-168</v>
      </c>
      <c r="O16965">
        <v>1514</v>
      </c>
    </row>
    <row r="16966" spans="1:15" x14ac:dyDescent="0.25">
      <c r="A16966" t="s">
        <v>16979</v>
      </c>
      <c r="B16966">
        <v>226</v>
      </c>
      <c r="C16966" s="1" t="str">
        <f>HYPERLINK("http://www.rosaceae.org/gb/gbrowse/malus_x_domestica/?name=MDP0000247371","MDP0000247371")</f>
        <v>MDP0000247371</v>
      </c>
      <c r="D16966">
        <v>59.59</v>
      </c>
      <c r="E16966">
        <v>198</v>
      </c>
      <c r="F16966">
        <v>80</v>
      </c>
      <c r="G16966">
        <v>19</v>
      </c>
      <c r="H16966">
        <v>43</v>
      </c>
      <c r="I16966">
        <v>223</v>
      </c>
      <c r="J16966">
        <v>1</v>
      </c>
      <c r="K16966">
        <v>4</v>
      </c>
      <c r="L16966">
        <v>199</v>
      </c>
      <c r="M16966">
        <v>1</v>
      </c>
      <c r="N16966">
        <v>4.6558699999999999E-57</v>
      </c>
      <c r="O16966">
        <v>554</v>
      </c>
    </row>
    <row r="16967" spans="1:15" x14ac:dyDescent="0.25">
      <c r="A16967" t="s">
        <v>16980</v>
      </c>
      <c r="B16967">
        <v>567</v>
      </c>
      <c r="C16967" s="1" t="str">
        <f>HYPERLINK("http://www.rosaceae.org/gb/gbrowse/malus_x_domestica/?name=MDP0000642684","MDP0000642684")</f>
        <v>MDP0000642684</v>
      </c>
      <c r="D16967">
        <v>70.11</v>
      </c>
      <c r="E16967">
        <v>502</v>
      </c>
      <c r="F16967">
        <v>150</v>
      </c>
      <c r="G16967">
        <v>22</v>
      </c>
      <c r="H16967">
        <v>1</v>
      </c>
      <c r="I16967">
        <v>489</v>
      </c>
      <c r="J16967">
        <v>1</v>
      </c>
      <c r="K16967">
        <v>104</v>
      </c>
      <c r="L16967">
        <v>596</v>
      </c>
      <c r="M16967">
        <v>1</v>
      </c>
      <c r="N16967">
        <v>0</v>
      </c>
      <c r="O16967">
        <v>1664</v>
      </c>
    </row>
    <row r="16968" spans="1:15" x14ac:dyDescent="0.25">
      <c r="A16968" t="s">
        <v>16981</v>
      </c>
      <c r="B16968">
        <v>913</v>
      </c>
      <c r="C16968" s="1" t="str">
        <f>HYPERLINK("http://www.rosaceae.org/gb/gbrowse/malus_x_domestica/?name=MDP0000545006","MDP0000545006")</f>
        <v>MDP0000545006</v>
      </c>
      <c r="D16968">
        <v>70.92</v>
      </c>
      <c r="E16968">
        <v>478</v>
      </c>
      <c r="F16968">
        <v>139</v>
      </c>
      <c r="G16968">
        <v>8</v>
      </c>
      <c r="H16968">
        <v>441</v>
      </c>
      <c r="I16968">
        <v>913</v>
      </c>
      <c r="J16968">
        <v>1</v>
      </c>
      <c r="K16968">
        <v>56</v>
      </c>
      <c r="L16968">
        <v>530</v>
      </c>
      <c r="M16968">
        <v>1</v>
      </c>
      <c r="N16968">
        <v>0</v>
      </c>
      <c r="O16968">
        <v>1700</v>
      </c>
    </row>
    <row r="16969" spans="1:15" x14ac:dyDescent="0.25">
      <c r="A16969" t="s">
        <v>16982</v>
      </c>
      <c r="B16969">
        <v>102</v>
      </c>
      <c r="C16969" s="1" t="str">
        <f>HYPERLINK("http://www.rosaceae.org/gb/gbrowse/malus_x_domestica/?name=MDP0000261327","MDP0000261327")</f>
        <v>MDP0000261327</v>
      </c>
      <c r="D16969">
        <v>52.7</v>
      </c>
      <c r="E16969">
        <v>74</v>
      </c>
      <c r="F16969">
        <v>35</v>
      </c>
      <c r="G16969">
        <v>2</v>
      </c>
      <c r="H16969">
        <v>31</v>
      </c>
      <c r="I16969">
        <v>102</v>
      </c>
      <c r="J16969">
        <v>1</v>
      </c>
      <c r="K16969">
        <v>1852</v>
      </c>
      <c r="L16969">
        <v>1925</v>
      </c>
      <c r="M16969">
        <v>1</v>
      </c>
      <c r="N16969">
        <v>2.13491E-14</v>
      </c>
      <c r="O16969">
        <v>182</v>
      </c>
    </row>
    <row r="16970" spans="1:15" x14ac:dyDescent="0.25">
      <c r="A16970" t="s">
        <v>16983</v>
      </c>
      <c r="B16970">
        <v>360</v>
      </c>
      <c r="C16970" s="1" t="str">
        <f>HYPERLINK("http://www.rosaceae.org/gb/gbrowse/malus_x_domestica/?name=MDP0000332506","MDP0000332506")</f>
        <v>MDP0000332506</v>
      </c>
      <c r="D16970">
        <v>73.150000000000006</v>
      </c>
      <c r="E16970">
        <v>339</v>
      </c>
      <c r="F16970">
        <v>91</v>
      </c>
      <c r="G16970">
        <v>23</v>
      </c>
      <c r="H16970">
        <v>25</v>
      </c>
      <c r="I16970">
        <v>360</v>
      </c>
      <c r="J16970">
        <v>1</v>
      </c>
      <c r="K16970">
        <v>33</v>
      </c>
      <c r="L16970">
        <v>351</v>
      </c>
      <c r="M16970">
        <v>1</v>
      </c>
      <c r="N16970">
        <v>7.1588399999999999E-135</v>
      </c>
      <c r="O16970">
        <v>1228</v>
      </c>
    </row>
    <row r="16971" spans="1:15" x14ac:dyDescent="0.25">
      <c r="A16971" t="s">
        <v>16984</v>
      </c>
      <c r="B16971">
        <v>171</v>
      </c>
      <c r="C16971" s="1" t="str">
        <f>HYPERLINK("http://www.rosaceae.org/gb/gbrowse/malus_x_domestica/?name=MDP0000868247","MDP0000868247")</f>
        <v>MDP0000868247</v>
      </c>
      <c r="D16971">
        <v>87.65</v>
      </c>
      <c r="E16971">
        <v>81</v>
      </c>
      <c r="F16971">
        <v>10</v>
      </c>
      <c r="G16971">
        <v>0</v>
      </c>
      <c r="H16971">
        <v>90</v>
      </c>
      <c r="I16971">
        <v>170</v>
      </c>
      <c r="J16971">
        <v>1</v>
      </c>
      <c r="K16971">
        <v>1</v>
      </c>
      <c r="L16971">
        <v>81</v>
      </c>
      <c r="M16971">
        <v>1</v>
      </c>
      <c r="N16971">
        <v>7.8953999999999995E-36</v>
      </c>
      <c r="O16971">
        <v>369</v>
      </c>
    </row>
    <row r="16972" spans="1:15" x14ac:dyDescent="0.25">
      <c r="A16972" t="s">
        <v>16985</v>
      </c>
      <c r="B16972">
        <v>441</v>
      </c>
      <c r="C16972" s="1" t="str">
        <f>HYPERLINK("http://www.rosaceae.org/gb/gbrowse/malus_x_domestica/?name=MDP0000393687","MDP0000393687")</f>
        <v>MDP0000393687</v>
      </c>
      <c r="D16972">
        <v>62.92</v>
      </c>
      <c r="E16972">
        <v>445</v>
      </c>
      <c r="F16972">
        <v>165</v>
      </c>
      <c r="G16972">
        <v>29</v>
      </c>
      <c r="H16972">
        <v>1</v>
      </c>
      <c r="I16972">
        <v>441</v>
      </c>
      <c r="J16972">
        <v>1</v>
      </c>
      <c r="K16972">
        <v>1</v>
      </c>
      <c r="L16972">
        <v>420</v>
      </c>
      <c r="M16972">
        <v>1</v>
      </c>
      <c r="N16972">
        <v>5.8695800000000001E-142</v>
      </c>
      <c r="O16972">
        <v>1290</v>
      </c>
    </row>
    <row r="16973" spans="1:15" x14ac:dyDescent="0.25">
      <c r="A16973" t="s">
        <v>16986</v>
      </c>
      <c r="B16973">
        <v>478</v>
      </c>
      <c r="C16973" s="1" t="str">
        <f>HYPERLINK("http://www.rosaceae.org/gb/gbrowse/malus_x_domestica/?name=MDP0000121362","MDP0000121362")</f>
        <v>MDP0000121362</v>
      </c>
      <c r="D16973">
        <v>40.44</v>
      </c>
      <c r="E16973">
        <v>89</v>
      </c>
      <c r="F16973">
        <v>53</v>
      </c>
      <c r="G16973">
        <v>1</v>
      </c>
      <c r="H16973">
        <v>36</v>
      </c>
      <c r="I16973">
        <v>124</v>
      </c>
      <c r="J16973">
        <v>1</v>
      </c>
      <c r="K16973">
        <v>285</v>
      </c>
      <c r="L16973">
        <v>372</v>
      </c>
      <c r="M16973">
        <v>1</v>
      </c>
      <c r="N16973">
        <v>4.9277899999999999E-14</v>
      </c>
      <c r="O16973">
        <v>187</v>
      </c>
    </row>
    <row r="16974" spans="1:15" x14ac:dyDescent="0.25">
      <c r="A16974" t="s">
        <v>16987</v>
      </c>
      <c r="B16974">
        <v>448</v>
      </c>
      <c r="C16974" s="1" t="str">
        <f>HYPERLINK("http://www.rosaceae.org/gb/gbrowse/malus_x_domestica/?name=MDP0000309916","MDP0000309916")</f>
        <v>MDP0000309916</v>
      </c>
      <c r="D16974">
        <v>74.16</v>
      </c>
      <c r="E16974">
        <v>449</v>
      </c>
      <c r="F16974">
        <v>116</v>
      </c>
      <c r="G16974">
        <v>1</v>
      </c>
      <c r="H16974">
        <v>1</v>
      </c>
      <c r="I16974">
        <v>448</v>
      </c>
      <c r="J16974">
        <v>1</v>
      </c>
      <c r="K16974">
        <v>10</v>
      </c>
      <c r="L16974">
        <v>458</v>
      </c>
      <c r="M16974">
        <v>1</v>
      </c>
      <c r="N16974">
        <v>0</v>
      </c>
      <c r="O16974">
        <v>1768</v>
      </c>
    </row>
    <row r="16975" spans="1:15" x14ac:dyDescent="0.25">
      <c r="A16975" t="s">
        <v>16988</v>
      </c>
      <c r="B16975">
        <v>180</v>
      </c>
      <c r="C16975" s="1" t="str">
        <f>HYPERLINK("http://www.rosaceae.org/gb/gbrowse/malus_x_domestica/?name=MDP0000573935","MDP0000573935")</f>
        <v>MDP0000573935</v>
      </c>
      <c r="D16975">
        <v>53.88</v>
      </c>
      <c r="E16975">
        <v>193</v>
      </c>
      <c r="F16975">
        <v>89</v>
      </c>
      <c r="G16975">
        <v>22</v>
      </c>
      <c r="H16975">
        <v>2</v>
      </c>
      <c r="I16975">
        <v>180</v>
      </c>
      <c r="J16975">
        <v>1</v>
      </c>
      <c r="K16975">
        <v>3</v>
      </c>
      <c r="L16975">
        <v>187</v>
      </c>
      <c r="M16975">
        <v>1</v>
      </c>
      <c r="N16975">
        <v>1.87637E-34</v>
      </c>
      <c r="O16975">
        <v>358</v>
      </c>
    </row>
    <row r="16976" spans="1:15" x14ac:dyDescent="0.25">
      <c r="A16976" t="s">
        <v>16989</v>
      </c>
      <c r="B16976">
        <v>597</v>
      </c>
      <c r="C16976" s="1" t="str">
        <f>HYPERLINK("http://www.rosaceae.org/gb/gbrowse/malus_x_domestica/?name=MDP0000290997","MDP0000290997")</f>
        <v>MDP0000290997</v>
      </c>
      <c r="D16976">
        <v>72.319999999999993</v>
      </c>
      <c r="E16976">
        <v>607</v>
      </c>
      <c r="F16976">
        <v>168</v>
      </c>
      <c r="G16976">
        <v>15</v>
      </c>
      <c r="H16976">
        <v>1</v>
      </c>
      <c r="I16976">
        <v>597</v>
      </c>
      <c r="J16976">
        <v>1</v>
      </c>
      <c r="K16976">
        <v>1</v>
      </c>
      <c r="L16976">
        <v>602</v>
      </c>
      <c r="M16976">
        <v>1</v>
      </c>
      <c r="N16976">
        <v>0</v>
      </c>
      <c r="O16976">
        <v>2239</v>
      </c>
    </row>
    <row r="16977" spans="1:15" x14ac:dyDescent="0.25">
      <c r="A16977" t="s">
        <v>16990</v>
      </c>
      <c r="B16977">
        <v>454</v>
      </c>
      <c r="C16977" s="1" t="str">
        <f>HYPERLINK("http://www.rosaceae.org/gb/gbrowse/malus_x_domestica/?name=MDP0000208617","MDP0000208617")</f>
        <v>MDP0000208617</v>
      </c>
      <c r="D16977">
        <v>63.47</v>
      </c>
      <c r="E16977">
        <v>449</v>
      </c>
      <c r="F16977">
        <v>164</v>
      </c>
      <c r="G16977">
        <v>35</v>
      </c>
      <c r="H16977">
        <v>23</v>
      </c>
      <c r="I16977">
        <v>454</v>
      </c>
      <c r="J16977">
        <v>1</v>
      </c>
      <c r="K16977">
        <v>24</v>
      </c>
      <c r="L16977">
        <v>454</v>
      </c>
      <c r="M16977">
        <v>1</v>
      </c>
      <c r="N16977">
        <v>4.3225400000000004E-149</v>
      </c>
      <c r="O16977">
        <v>1352</v>
      </c>
    </row>
    <row r="16978" spans="1:15" x14ac:dyDescent="0.25">
      <c r="A16978" t="s">
        <v>16991</v>
      </c>
      <c r="B16978">
        <v>195</v>
      </c>
      <c r="C16978" s="1" t="str">
        <f>HYPERLINK("http://www.rosaceae.org/gb/gbrowse/malus_x_domestica/?name=MDP0000252361","MDP0000252361")</f>
        <v>MDP0000252361</v>
      </c>
      <c r="D16978">
        <v>65.64</v>
      </c>
      <c r="E16978">
        <v>163</v>
      </c>
      <c r="F16978">
        <v>56</v>
      </c>
      <c r="G16978">
        <v>3</v>
      </c>
      <c r="H16978">
        <v>14</v>
      </c>
      <c r="I16978">
        <v>176</v>
      </c>
      <c r="J16978">
        <v>1</v>
      </c>
      <c r="K16978">
        <v>15</v>
      </c>
      <c r="L16978">
        <v>174</v>
      </c>
      <c r="M16978">
        <v>1</v>
      </c>
      <c r="N16978">
        <v>1.9145E-58</v>
      </c>
      <c r="O16978">
        <v>565</v>
      </c>
    </row>
    <row r="16979" spans="1:15" x14ac:dyDescent="0.25">
      <c r="A16979" t="s">
        <v>16992</v>
      </c>
      <c r="B16979">
        <v>407</v>
      </c>
      <c r="C16979" s="1" t="str">
        <f>HYPERLINK("http://www.rosaceae.org/gb/gbrowse/malus_x_domestica/?name=MDP0000946515","MDP0000946515")</f>
        <v>MDP0000946515</v>
      </c>
      <c r="D16979">
        <v>61.49</v>
      </c>
      <c r="E16979">
        <v>374</v>
      </c>
      <c r="F16979">
        <v>144</v>
      </c>
      <c r="G16979">
        <v>50</v>
      </c>
      <c r="H16979">
        <v>1</v>
      </c>
      <c r="I16979">
        <v>336</v>
      </c>
      <c r="J16979">
        <v>1</v>
      </c>
      <c r="K16979">
        <v>1</v>
      </c>
      <c r="L16979">
        <v>362</v>
      </c>
      <c r="M16979">
        <v>1</v>
      </c>
      <c r="N16979">
        <v>5.8878500000000004E-102</v>
      </c>
      <c r="O16979">
        <v>945</v>
      </c>
    </row>
    <row r="16980" spans="1:15" x14ac:dyDescent="0.25">
      <c r="A16980" t="s">
        <v>16993</v>
      </c>
      <c r="B16980">
        <v>414</v>
      </c>
      <c r="C16980" s="1" t="str">
        <f>HYPERLINK("http://www.rosaceae.org/gb/gbrowse/malus_x_domestica/?name=MDP0000285103","MDP0000285103")</f>
        <v>MDP0000285103</v>
      </c>
      <c r="D16980">
        <v>41.7</v>
      </c>
      <c r="E16980">
        <v>386</v>
      </c>
      <c r="F16980">
        <v>225</v>
      </c>
      <c r="G16980">
        <v>44</v>
      </c>
      <c r="H16980">
        <v>15</v>
      </c>
      <c r="I16980">
        <v>384</v>
      </c>
      <c r="J16980">
        <v>1</v>
      </c>
      <c r="K16980">
        <v>16</v>
      </c>
      <c r="L16980">
        <v>373</v>
      </c>
      <c r="M16980">
        <v>1</v>
      </c>
      <c r="N16980">
        <v>3.2022299999999997E-66</v>
      </c>
      <c r="O16980">
        <v>637</v>
      </c>
    </row>
    <row r="16981" spans="1:15" x14ac:dyDescent="0.25">
      <c r="A16981" t="s">
        <v>16994</v>
      </c>
      <c r="B16981">
        <v>949</v>
      </c>
      <c r="C16981" s="1" t="str">
        <f>HYPERLINK("http://www.rosaceae.org/gb/gbrowse/malus_x_domestica/?name=MDP0000264894","MDP0000264894")</f>
        <v>MDP0000264894</v>
      </c>
      <c r="D16981">
        <v>68.010000000000005</v>
      </c>
      <c r="E16981">
        <v>691</v>
      </c>
      <c r="F16981">
        <v>221</v>
      </c>
      <c r="G16981">
        <v>65</v>
      </c>
      <c r="H16981">
        <v>261</v>
      </c>
      <c r="I16981">
        <v>949</v>
      </c>
      <c r="J16981">
        <v>1</v>
      </c>
      <c r="K16981">
        <v>150</v>
      </c>
      <c r="L16981">
        <v>777</v>
      </c>
      <c r="M16981">
        <v>1</v>
      </c>
      <c r="N16981">
        <v>0</v>
      </c>
      <c r="O16981">
        <v>2407</v>
      </c>
    </row>
    <row r="16982" spans="1:15" x14ac:dyDescent="0.25">
      <c r="A16982" t="s">
        <v>16995</v>
      </c>
      <c r="B16982">
        <v>213</v>
      </c>
      <c r="C16982" s="1" t="str">
        <f>HYPERLINK("http://www.rosaceae.org/gb/gbrowse/malus_x_domestica/?name=MDP0000133105","MDP0000133105")</f>
        <v>MDP0000133105</v>
      </c>
      <c r="D16982">
        <v>27.56</v>
      </c>
      <c r="E16982">
        <v>156</v>
      </c>
      <c r="F16982">
        <v>113</v>
      </c>
      <c r="G16982">
        <v>15</v>
      </c>
      <c r="H16982">
        <v>41</v>
      </c>
      <c r="I16982">
        <v>181</v>
      </c>
      <c r="J16982">
        <v>1</v>
      </c>
      <c r="K16982">
        <v>95</v>
      </c>
      <c r="L16982">
        <v>250</v>
      </c>
      <c r="M16982">
        <v>1</v>
      </c>
      <c r="N16982">
        <v>4.8197700000000003E-8</v>
      </c>
      <c r="O16982">
        <v>131</v>
      </c>
    </row>
    <row r="16983" spans="1:15" x14ac:dyDescent="0.25">
      <c r="A16983" t="s">
        <v>16996</v>
      </c>
      <c r="B16983">
        <v>153</v>
      </c>
      <c r="C16983" s="1" t="str">
        <f>HYPERLINK("http://www.rosaceae.org/gb/gbrowse/malus_x_domestica/?name=MDP0000492026","MDP0000492026")</f>
        <v>MDP0000492026</v>
      </c>
      <c r="D16983">
        <v>45.97</v>
      </c>
      <c r="E16983">
        <v>87</v>
      </c>
      <c r="F16983">
        <v>47</v>
      </c>
      <c r="G16983">
        <v>0</v>
      </c>
      <c r="H16983">
        <v>67</v>
      </c>
      <c r="I16983">
        <v>153</v>
      </c>
      <c r="J16983">
        <v>1</v>
      </c>
      <c r="K16983">
        <v>519</v>
      </c>
      <c r="L16983">
        <v>605</v>
      </c>
      <c r="M16983">
        <v>1</v>
      </c>
      <c r="N16983">
        <v>1.3778E-17</v>
      </c>
      <c r="O16983">
        <v>211</v>
      </c>
    </row>
    <row r="16984" spans="1:15" x14ac:dyDescent="0.25">
      <c r="A16984" t="s">
        <v>16997</v>
      </c>
      <c r="B16984">
        <v>305</v>
      </c>
      <c r="C16984" s="1" t="str">
        <f>HYPERLINK("http://www.rosaceae.org/gb/gbrowse/malus_x_domestica/?name=MDP0000216956","MDP0000216956")</f>
        <v>MDP0000216956</v>
      </c>
      <c r="D16984">
        <v>26.19</v>
      </c>
      <c r="E16984">
        <v>210</v>
      </c>
      <c r="F16984">
        <v>155</v>
      </c>
      <c r="G16984">
        <v>36</v>
      </c>
      <c r="H16984">
        <v>128</v>
      </c>
      <c r="I16984">
        <v>301</v>
      </c>
      <c r="J16984">
        <v>1</v>
      </c>
      <c r="K16984">
        <v>32</v>
      </c>
      <c r="L16984">
        <v>241</v>
      </c>
      <c r="M16984">
        <v>1</v>
      </c>
      <c r="N16984">
        <v>8.3309399999999995E-14</v>
      </c>
      <c r="O16984">
        <v>183</v>
      </c>
    </row>
    <row r="16985" spans="1:15" x14ac:dyDescent="0.25">
      <c r="A16985" t="s">
        <v>16998</v>
      </c>
      <c r="B16985">
        <v>163</v>
      </c>
      <c r="C16985" s="1" t="str">
        <f>HYPERLINK("http://www.rosaceae.org/gb/gbrowse/malus_x_domestica/?name=MDP0000676131","MDP0000676131")</f>
        <v>MDP0000676131</v>
      </c>
      <c r="D16985">
        <v>45.34</v>
      </c>
      <c r="E16985">
        <v>86</v>
      </c>
      <c r="F16985">
        <v>47</v>
      </c>
      <c r="G16985">
        <v>1</v>
      </c>
      <c r="H16985">
        <v>74</v>
      </c>
      <c r="I16985">
        <v>158</v>
      </c>
      <c r="J16985">
        <v>1</v>
      </c>
      <c r="K16985">
        <v>381</v>
      </c>
      <c r="L16985">
        <v>466</v>
      </c>
      <c r="M16985">
        <v>1</v>
      </c>
      <c r="N16985">
        <v>1.3620099999999999E-16</v>
      </c>
      <c r="O16985">
        <v>203</v>
      </c>
    </row>
    <row r="16986" spans="1:15" x14ac:dyDescent="0.25">
      <c r="A16986" t="s">
        <v>16999</v>
      </c>
      <c r="B16986">
        <v>870</v>
      </c>
      <c r="C16986" s="1" t="str">
        <f>HYPERLINK("http://www.rosaceae.org/gb/gbrowse/malus_x_domestica/?name=MDP0000320695","MDP0000320695")</f>
        <v>MDP0000320695</v>
      </c>
      <c r="D16986">
        <v>58.55</v>
      </c>
      <c r="E16986">
        <v>888</v>
      </c>
      <c r="F16986">
        <v>368</v>
      </c>
      <c r="G16986">
        <v>68</v>
      </c>
      <c r="H16986">
        <v>32</v>
      </c>
      <c r="I16986">
        <v>864</v>
      </c>
      <c r="J16986">
        <v>1</v>
      </c>
      <c r="K16986">
        <v>32</v>
      </c>
      <c r="L16986">
        <v>906</v>
      </c>
      <c r="M16986">
        <v>1</v>
      </c>
      <c r="N16986">
        <v>0</v>
      </c>
      <c r="O16986">
        <v>2634</v>
      </c>
    </row>
    <row r="16987" spans="1:15" x14ac:dyDescent="0.25">
      <c r="A16987" t="s">
        <v>17000</v>
      </c>
      <c r="B16987">
        <v>278</v>
      </c>
      <c r="C16987" s="1" t="str">
        <f>HYPERLINK("http://www.rosaceae.org/gb/gbrowse/malus_x_domestica/?name=MDP0000230524","MDP0000230524")</f>
        <v>MDP0000230524</v>
      </c>
      <c r="D16987">
        <v>33.33</v>
      </c>
      <c r="E16987">
        <v>291</v>
      </c>
      <c r="F16987">
        <v>194</v>
      </c>
      <c r="G16987">
        <v>55</v>
      </c>
      <c r="H16987">
        <v>23</v>
      </c>
      <c r="I16987">
        <v>273</v>
      </c>
      <c r="J16987">
        <v>1</v>
      </c>
      <c r="K16987">
        <v>15</v>
      </c>
      <c r="L16987">
        <v>290</v>
      </c>
      <c r="M16987">
        <v>1</v>
      </c>
      <c r="N16987">
        <v>3.0980599999999999E-28</v>
      </c>
      <c r="O16987">
        <v>307</v>
      </c>
    </row>
    <row r="16988" spans="1:15" x14ac:dyDescent="0.25">
      <c r="A16988" t="s">
        <v>17001</v>
      </c>
      <c r="B16988">
        <v>280</v>
      </c>
      <c r="C16988" s="1" t="str">
        <f>HYPERLINK("http://www.rosaceae.org/gb/gbrowse/malus_x_domestica/?name=MDP0000321343","MDP0000321343")</f>
        <v>MDP0000321343</v>
      </c>
      <c r="D16988">
        <v>91.93</v>
      </c>
      <c r="E16988">
        <v>186</v>
      </c>
      <c r="F16988">
        <v>15</v>
      </c>
      <c r="G16988">
        <v>0</v>
      </c>
      <c r="H16988">
        <v>1</v>
      </c>
      <c r="I16988">
        <v>186</v>
      </c>
      <c r="J16988">
        <v>1</v>
      </c>
      <c r="K16988">
        <v>287</v>
      </c>
      <c r="L16988">
        <v>472</v>
      </c>
      <c r="M16988">
        <v>1</v>
      </c>
      <c r="N16988">
        <v>2.8936099999999999E-101</v>
      </c>
      <c r="O16988">
        <v>937</v>
      </c>
    </row>
    <row r="16989" spans="1:15" x14ac:dyDescent="0.25">
      <c r="A16989" t="s">
        <v>17002</v>
      </c>
      <c r="B16989">
        <v>355</v>
      </c>
      <c r="C16989" s="1" t="str">
        <f>HYPERLINK("http://www.rosaceae.org/gb/gbrowse/malus_x_domestica/?name=MDP0000139760","MDP0000139760")</f>
        <v>MDP0000139760</v>
      </c>
      <c r="D16989">
        <v>32.29</v>
      </c>
      <c r="E16989">
        <v>322</v>
      </c>
      <c r="F16989">
        <v>218</v>
      </c>
      <c r="G16989">
        <v>28</v>
      </c>
      <c r="H16989">
        <v>15</v>
      </c>
      <c r="I16989">
        <v>314</v>
      </c>
      <c r="J16989">
        <v>1</v>
      </c>
      <c r="K16989">
        <v>79</v>
      </c>
      <c r="L16989">
        <v>394</v>
      </c>
      <c r="M16989">
        <v>1</v>
      </c>
      <c r="N16989">
        <v>1.98E-39</v>
      </c>
      <c r="O16989">
        <v>405</v>
      </c>
    </row>
    <row r="16990" spans="1:15" x14ac:dyDescent="0.25">
      <c r="A16990" t="s">
        <v>17003</v>
      </c>
      <c r="B16990">
        <v>566</v>
      </c>
      <c r="C16990" s="1" t="str">
        <f>HYPERLINK("http://www.rosaceae.org/gb/gbrowse/malus_x_domestica/?name=MDP0000459932","MDP0000459932")</f>
        <v>MDP0000459932</v>
      </c>
      <c r="D16990">
        <v>41.93</v>
      </c>
      <c r="E16990">
        <v>186</v>
      </c>
      <c r="F16990">
        <v>108</v>
      </c>
      <c r="G16990">
        <v>17</v>
      </c>
      <c r="H16990">
        <v>218</v>
      </c>
      <c r="I16990">
        <v>398</v>
      </c>
      <c r="J16990">
        <v>1</v>
      </c>
      <c r="K16990">
        <v>29</v>
      </c>
      <c r="L16990">
        <v>202</v>
      </c>
      <c r="M16990">
        <v>1</v>
      </c>
      <c r="N16990">
        <v>1.5363299999999999E-36</v>
      </c>
      <c r="O16990">
        <v>382</v>
      </c>
    </row>
    <row r="16991" spans="1:15" x14ac:dyDescent="0.25">
      <c r="A16991" t="s">
        <v>17004</v>
      </c>
      <c r="B16991">
        <v>390</v>
      </c>
      <c r="C16991" s="1" t="str">
        <f>HYPERLINK("http://www.rosaceae.org/gb/gbrowse/malus_x_domestica/?name=MDP0000280485","MDP0000280485")</f>
        <v>MDP0000280485</v>
      </c>
      <c r="D16991">
        <v>44.78</v>
      </c>
      <c r="E16991">
        <v>230</v>
      </c>
      <c r="F16991">
        <v>127</v>
      </c>
      <c r="G16991">
        <v>71</v>
      </c>
      <c r="H16991">
        <v>118</v>
      </c>
      <c r="I16991">
        <v>338</v>
      </c>
      <c r="J16991">
        <v>1</v>
      </c>
      <c r="K16991">
        <v>4</v>
      </c>
      <c r="L16991">
        <v>171</v>
      </c>
      <c r="M16991">
        <v>1</v>
      </c>
      <c r="N16991">
        <v>1.1975600000000001E-38</v>
      </c>
      <c r="O16991">
        <v>399</v>
      </c>
    </row>
    <row r="16992" spans="1:15" x14ac:dyDescent="0.25">
      <c r="A16992" t="s">
        <v>17005</v>
      </c>
      <c r="B16992">
        <v>833</v>
      </c>
      <c r="C16992" s="1" t="str">
        <f>HYPERLINK("http://www.rosaceae.org/gb/gbrowse/malus_x_domestica/?name=MDP0000267609","MDP0000267609")</f>
        <v>MDP0000267609</v>
      </c>
      <c r="D16992">
        <v>63.89</v>
      </c>
      <c r="E16992">
        <v>831</v>
      </c>
      <c r="F16992">
        <v>300</v>
      </c>
      <c r="G16992">
        <v>29</v>
      </c>
      <c r="H16992">
        <v>23</v>
      </c>
      <c r="I16992">
        <v>833</v>
      </c>
      <c r="J16992">
        <v>1</v>
      </c>
      <c r="K16992">
        <v>23</v>
      </c>
      <c r="L16992">
        <v>844</v>
      </c>
      <c r="M16992">
        <v>1</v>
      </c>
      <c r="N16992">
        <v>0</v>
      </c>
      <c r="O16992">
        <v>2740</v>
      </c>
    </row>
    <row r="16993" spans="1:15" x14ac:dyDescent="0.25">
      <c r="A16993" t="s">
        <v>17006</v>
      </c>
      <c r="B16993">
        <v>544</v>
      </c>
      <c r="C16993" s="1" t="str">
        <f>HYPERLINK("http://www.rosaceae.org/gb/gbrowse/malus_x_domestica/?name=MDP0000662303","MDP0000662303")</f>
        <v>MDP0000662303</v>
      </c>
      <c r="D16993">
        <v>75.709999999999994</v>
      </c>
      <c r="E16993">
        <v>523</v>
      </c>
      <c r="F16993">
        <v>127</v>
      </c>
      <c r="G16993">
        <v>17</v>
      </c>
      <c r="H16993">
        <v>30</v>
      </c>
      <c r="I16993">
        <v>542</v>
      </c>
      <c r="J16993">
        <v>1</v>
      </c>
      <c r="K16993">
        <v>28</v>
      </c>
      <c r="L16993">
        <v>543</v>
      </c>
      <c r="M16993">
        <v>1</v>
      </c>
      <c r="N16993">
        <v>0</v>
      </c>
      <c r="O16993">
        <v>2046</v>
      </c>
    </row>
    <row r="16994" spans="1:15" x14ac:dyDescent="0.25">
      <c r="A16994" t="s">
        <v>17007</v>
      </c>
      <c r="B16994">
        <v>566</v>
      </c>
      <c r="C16994" s="1" t="str">
        <f>HYPERLINK("http://www.rosaceae.org/gb/gbrowse/malus_x_domestica/?name=MDP0000217855","MDP0000217855")</f>
        <v>MDP0000217855</v>
      </c>
      <c r="D16994">
        <v>57.24</v>
      </c>
      <c r="E16994">
        <v>587</v>
      </c>
      <c r="F16994">
        <v>251</v>
      </c>
      <c r="G16994">
        <v>47</v>
      </c>
      <c r="H16994">
        <v>14</v>
      </c>
      <c r="I16994">
        <v>560</v>
      </c>
      <c r="J16994">
        <v>1</v>
      </c>
      <c r="K16994">
        <v>1122</v>
      </c>
      <c r="L16994">
        <v>1701</v>
      </c>
      <c r="M16994">
        <v>1</v>
      </c>
      <c r="N16994">
        <v>0</v>
      </c>
      <c r="O16994">
        <v>1658</v>
      </c>
    </row>
    <row r="16995" spans="1:15" x14ac:dyDescent="0.25">
      <c r="A16995" t="s">
        <v>17008</v>
      </c>
      <c r="B16995">
        <v>178</v>
      </c>
      <c r="C16995" s="1" t="str">
        <f>HYPERLINK("http://www.rosaceae.org/gb/gbrowse/malus_x_domestica/?name=MDP0000769652","MDP0000769652")</f>
        <v>MDP0000769652</v>
      </c>
      <c r="D16995">
        <v>69.099999999999994</v>
      </c>
      <c r="E16995">
        <v>191</v>
      </c>
      <c r="F16995">
        <v>59</v>
      </c>
      <c r="G16995">
        <v>13</v>
      </c>
      <c r="H16995">
        <v>1</v>
      </c>
      <c r="I16995">
        <v>178</v>
      </c>
      <c r="J16995">
        <v>1</v>
      </c>
      <c r="K16995">
        <v>1</v>
      </c>
      <c r="L16995">
        <v>191</v>
      </c>
      <c r="M16995">
        <v>1</v>
      </c>
      <c r="N16995">
        <v>3.5641800000000001E-68</v>
      </c>
      <c r="O16995">
        <v>649</v>
      </c>
    </row>
    <row r="16996" spans="1:15" x14ac:dyDescent="0.25">
      <c r="A16996" t="s">
        <v>17009</v>
      </c>
      <c r="B16996">
        <v>339</v>
      </c>
      <c r="C16996" s="1" t="str">
        <f>HYPERLINK("http://www.rosaceae.org/gb/gbrowse/malus_x_domestica/?name=MDP0000248164","MDP0000248164")</f>
        <v>MDP0000248164</v>
      </c>
      <c r="D16996">
        <v>65.36</v>
      </c>
      <c r="E16996">
        <v>257</v>
      </c>
      <c r="F16996">
        <v>89</v>
      </c>
      <c r="G16996">
        <v>13</v>
      </c>
      <c r="H16996">
        <v>92</v>
      </c>
      <c r="I16996">
        <v>339</v>
      </c>
      <c r="J16996">
        <v>1</v>
      </c>
      <c r="K16996">
        <v>756</v>
      </c>
      <c r="L16996">
        <v>1008</v>
      </c>
      <c r="M16996">
        <v>1</v>
      </c>
      <c r="N16996">
        <v>3.67921E-90</v>
      </c>
      <c r="O16996">
        <v>842</v>
      </c>
    </row>
    <row r="16997" spans="1:15" x14ac:dyDescent="0.25">
      <c r="A16997" t="s">
        <v>17010</v>
      </c>
      <c r="B16997">
        <v>168</v>
      </c>
      <c r="C16997" s="1" t="str">
        <f>HYPERLINK("http://www.rosaceae.org/gb/gbrowse/malus_x_domestica/?name=MDP0000243843","MDP0000243843")</f>
        <v>MDP0000243843</v>
      </c>
      <c r="D16997">
        <v>78.98</v>
      </c>
      <c r="E16997">
        <v>157</v>
      </c>
      <c r="F16997">
        <v>33</v>
      </c>
      <c r="G16997">
        <v>0</v>
      </c>
      <c r="H16997">
        <v>9</v>
      </c>
      <c r="I16997">
        <v>165</v>
      </c>
      <c r="J16997">
        <v>1</v>
      </c>
      <c r="K16997">
        <v>135</v>
      </c>
      <c r="L16997">
        <v>291</v>
      </c>
      <c r="M16997">
        <v>1</v>
      </c>
      <c r="N16997">
        <v>6.34804E-72</v>
      </c>
      <c r="O16997">
        <v>681</v>
      </c>
    </row>
    <row r="16998" spans="1:15" x14ac:dyDescent="0.25">
      <c r="A16998" t="s">
        <v>17011</v>
      </c>
      <c r="B16998">
        <v>123</v>
      </c>
      <c r="C16998" s="1" t="str">
        <f>HYPERLINK("http://www.rosaceae.org/gb/gbrowse/malus_x_domestica/?name=MDP0000318279","MDP0000318279")</f>
        <v>MDP0000318279</v>
      </c>
      <c r="D16998">
        <v>44.08</v>
      </c>
      <c r="E16998">
        <v>93</v>
      </c>
      <c r="F16998">
        <v>52</v>
      </c>
      <c r="G16998">
        <v>0</v>
      </c>
      <c r="H16998">
        <v>1</v>
      </c>
      <c r="I16998">
        <v>93</v>
      </c>
      <c r="J16998">
        <v>1</v>
      </c>
      <c r="K16998">
        <v>237</v>
      </c>
      <c r="L16998">
        <v>329</v>
      </c>
      <c r="M16998">
        <v>1</v>
      </c>
      <c r="N16998">
        <v>7.6765199999999996E-23</v>
      </c>
      <c r="O16998">
        <v>254</v>
      </c>
    </row>
    <row r="16999" spans="1:15" x14ac:dyDescent="0.25">
      <c r="A16999" t="s">
        <v>17012</v>
      </c>
      <c r="B16999">
        <v>1301</v>
      </c>
      <c r="C16999" s="1" t="str">
        <f>HYPERLINK("http://www.rosaceae.org/gb/gbrowse/malus_x_domestica/?name=MDP0000287346","MDP0000287346")</f>
        <v>MDP0000287346</v>
      </c>
      <c r="D16999">
        <v>41.21</v>
      </c>
      <c r="E16999">
        <v>558</v>
      </c>
      <c r="F16999">
        <v>328</v>
      </c>
      <c r="G16999">
        <v>80</v>
      </c>
      <c r="H16999">
        <v>375</v>
      </c>
      <c r="I16999">
        <v>873</v>
      </c>
      <c r="J16999">
        <v>1</v>
      </c>
      <c r="K16999">
        <v>33</v>
      </c>
      <c r="L16999">
        <v>569</v>
      </c>
      <c r="M16999">
        <v>1</v>
      </c>
      <c r="N16999">
        <v>5.2591799999999997E-95</v>
      </c>
      <c r="O16999">
        <v>890</v>
      </c>
    </row>
    <row r="17000" spans="1:15" x14ac:dyDescent="0.25">
      <c r="A17000" t="s">
        <v>17013</v>
      </c>
      <c r="B17000">
        <v>203</v>
      </c>
      <c r="C17000" s="1" t="str">
        <f>HYPERLINK("http://www.rosaceae.org/gb/gbrowse/malus_x_domestica/?name=MDP0000122350","MDP0000122350")</f>
        <v>MDP0000122350</v>
      </c>
      <c r="D17000">
        <v>68.239999999999995</v>
      </c>
      <c r="E17000">
        <v>148</v>
      </c>
      <c r="F17000">
        <v>47</v>
      </c>
      <c r="G17000">
        <v>0</v>
      </c>
      <c r="H17000">
        <v>16</v>
      </c>
      <c r="I17000">
        <v>163</v>
      </c>
      <c r="J17000">
        <v>1</v>
      </c>
      <c r="K17000">
        <v>28</v>
      </c>
      <c r="L17000">
        <v>175</v>
      </c>
      <c r="M17000">
        <v>1</v>
      </c>
      <c r="N17000">
        <v>1.17576E-56</v>
      </c>
      <c r="O17000">
        <v>550</v>
      </c>
    </row>
    <row r="17001" spans="1:15" x14ac:dyDescent="0.25">
      <c r="A17001" t="s">
        <v>17014</v>
      </c>
      <c r="B17001">
        <v>418</v>
      </c>
      <c r="C17001" s="1" t="str">
        <f>HYPERLINK("http://www.rosaceae.org/gb/gbrowse/malus_x_domestica/?name=MDP0000754371","MDP0000754371")</f>
        <v>MDP0000754371</v>
      </c>
      <c r="D17001">
        <v>58.92</v>
      </c>
      <c r="E17001">
        <v>426</v>
      </c>
      <c r="F17001">
        <v>175</v>
      </c>
      <c r="G17001">
        <v>19</v>
      </c>
      <c r="H17001">
        <v>1</v>
      </c>
      <c r="I17001">
        <v>418</v>
      </c>
      <c r="J17001">
        <v>1</v>
      </c>
      <c r="K17001">
        <v>1</v>
      </c>
      <c r="L17001">
        <v>415</v>
      </c>
      <c r="M17001">
        <v>1</v>
      </c>
      <c r="N17001">
        <v>2.6350399999999999E-121</v>
      </c>
      <c r="O17001">
        <v>1112</v>
      </c>
    </row>
    <row r="17002" spans="1:15" x14ac:dyDescent="0.25">
      <c r="A17002" t="s">
        <v>17015</v>
      </c>
      <c r="B17002">
        <v>419</v>
      </c>
      <c r="C17002" s="1" t="str">
        <f>HYPERLINK("http://www.rosaceae.org/gb/gbrowse/malus_x_domestica/?name=MDP0000191915","MDP0000191915")</f>
        <v>MDP0000191915</v>
      </c>
      <c r="D17002">
        <v>77.209999999999994</v>
      </c>
      <c r="E17002">
        <v>294</v>
      </c>
      <c r="F17002">
        <v>67</v>
      </c>
      <c r="G17002">
        <v>0</v>
      </c>
      <c r="H17002">
        <v>39</v>
      </c>
      <c r="I17002">
        <v>332</v>
      </c>
      <c r="J17002">
        <v>1</v>
      </c>
      <c r="K17002">
        <v>128</v>
      </c>
      <c r="L17002">
        <v>421</v>
      </c>
      <c r="M17002">
        <v>1</v>
      </c>
      <c r="N17002">
        <v>8.6815299999999998E-135</v>
      </c>
      <c r="O17002">
        <v>1228</v>
      </c>
    </row>
    <row r="17003" spans="1:15" x14ac:dyDescent="0.25">
      <c r="A17003" t="s">
        <v>17016</v>
      </c>
      <c r="B17003">
        <v>294</v>
      </c>
      <c r="C17003" s="1" t="str">
        <f>HYPERLINK("http://www.rosaceae.org/gb/gbrowse/malus_x_domestica/?name=MDP0000317158","MDP0000317158")</f>
        <v>MDP0000317158</v>
      </c>
      <c r="D17003">
        <v>83.62</v>
      </c>
      <c r="E17003">
        <v>287</v>
      </c>
      <c r="F17003">
        <v>47</v>
      </c>
      <c r="G17003">
        <v>0</v>
      </c>
      <c r="H17003">
        <v>1</v>
      </c>
      <c r="I17003">
        <v>287</v>
      </c>
      <c r="J17003">
        <v>1</v>
      </c>
      <c r="K17003">
        <v>1</v>
      </c>
      <c r="L17003">
        <v>287</v>
      </c>
      <c r="M17003">
        <v>1</v>
      </c>
      <c r="N17003">
        <v>1.4783400000000001E-144</v>
      </c>
      <c r="O17003">
        <v>1310</v>
      </c>
    </row>
    <row r="17004" spans="1:15" x14ac:dyDescent="0.25">
      <c r="A17004" t="s">
        <v>17017</v>
      </c>
      <c r="B17004">
        <v>1140</v>
      </c>
      <c r="C17004" s="1" t="str">
        <f>HYPERLINK("http://www.rosaceae.org/gb/gbrowse/malus_x_domestica/?name=MDP0000770904","MDP0000770904")</f>
        <v>MDP0000770904</v>
      </c>
      <c r="D17004">
        <v>88.23</v>
      </c>
      <c r="E17004">
        <v>442</v>
      </c>
      <c r="F17004">
        <v>52</v>
      </c>
      <c r="G17004">
        <v>0</v>
      </c>
      <c r="H17004">
        <v>699</v>
      </c>
      <c r="I17004">
        <v>1140</v>
      </c>
      <c r="J17004">
        <v>1</v>
      </c>
      <c r="K17004">
        <v>1</v>
      </c>
      <c r="L17004">
        <v>442</v>
      </c>
      <c r="M17004">
        <v>1</v>
      </c>
      <c r="N17004">
        <v>0</v>
      </c>
      <c r="O17004">
        <v>2132</v>
      </c>
    </row>
    <row r="17005" spans="1:15" x14ac:dyDescent="0.25">
      <c r="A17005" t="s">
        <v>17018</v>
      </c>
      <c r="B17005">
        <v>242</v>
      </c>
      <c r="C17005" s="1" t="str">
        <f>HYPERLINK("http://www.rosaceae.org/gb/gbrowse/malus_x_domestica/?name=MDP0000012693","MDP0000012693")</f>
        <v>MDP0000012693</v>
      </c>
      <c r="D17005">
        <v>54.48</v>
      </c>
      <c r="E17005">
        <v>156</v>
      </c>
      <c r="F17005">
        <v>71</v>
      </c>
      <c r="G17005">
        <v>22</v>
      </c>
      <c r="H17005">
        <v>9</v>
      </c>
      <c r="I17005">
        <v>162</v>
      </c>
      <c r="J17005">
        <v>1</v>
      </c>
      <c r="K17005">
        <v>1</v>
      </c>
      <c r="L17005">
        <v>136</v>
      </c>
      <c r="M17005">
        <v>1</v>
      </c>
      <c r="N17005">
        <v>2.8159200000000001E-37</v>
      </c>
      <c r="O17005">
        <v>384</v>
      </c>
    </row>
    <row r="17006" spans="1:15" x14ac:dyDescent="0.25">
      <c r="A17006" t="s">
        <v>17019</v>
      </c>
      <c r="B17006">
        <v>187</v>
      </c>
      <c r="C17006" s="1" t="str">
        <f>HYPERLINK("http://www.rosaceae.org/gb/gbrowse/malus_x_domestica/?name=MDP0000124256","MDP0000124256")</f>
        <v>MDP0000124256</v>
      </c>
      <c r="D17006">
        <v>36.909999999999997</v>
      </c>
      <c r="E17006">
        <v>149</v>
      </c>
      <c r="F17006">
        <v>94</v>
      </c>
      <c r="G17006">
        <v>0</v>
      </c>
      <c r="H17006">
        <v>26</v>
      </c>
      <c r="I17006">
        <v>174</v>
      </c>
      <c r="J17006">
        <v>1</v>
      </c>
      <c r="K17006">
        <v>55</v>
      </c>
      <c r="L17006">
        <v>203</v>
      </c>
      <c r="M17006">
        <v>1</v>
      </c>
      <c r="N17006">
        <v>8.4335999999999998E-22</v>
      </c>
      <c r="O17006">
        <v>249</v>
      </c>
    </row>
    <row r="17007" spans="1:15" x14ac:dyDescent="0.25">
      <c r="A17007" t="s">
        <v>17020</v>
      </c>
      <c r="B17007">
        <v>342</v>
      </c>
      <c r="C17007" s="1" t="str">
        <f>HYPERLINK("http://www.rosaceae.org/gb/gbrowse/malus_x_domestica/?name=MDP0000155814","MDP0000155814")</f>
        <v>MDP0000155814</v>
      </c>
      <c r="D17007">
        <v>69.38</v>
      </c>
      <c r="E17007">
        <v>343</v>
      </c>
      <c r="F17007">
        <v>105</v>
      </c>
      <c r="G17007">
        <v>43</v>
      </c>
      <c r="H17007">
        <v>16</v>
      </c>
      <c r="I17007">
        <v>335</v>
      </c>
      <c r="J17007">
        <v>1</v>
      </c>
      <c r="K17007">
        <v>16</v>
      </c>
      <c r="L17007">
        <v>338</v>
      </c>
      <c r="M17007">
        <v>1</v>
      </c>
      <c r="N17007">
        <v>3.72378E-121</v>
      </c>
      <c r="O17007">
        <v>1109</v>
      </c>
    </row>
    <row r="17008" spans="1:15" x14ac:dyDescent="0.25">
      <c r="A17008" t="s">
        <v>17021</v>
      </c>
      <c r="B17008">
        <v>459</v>
      </c>
      <c r="C17008" s="1" t="str">
        <f>HYPERLINK("http://www.rosaceae.org/gb/gbrowse/malus_x_domestica/?name=MDP0000413933","MDP0000413933")</f>
        <v>MDP0000413933</v>
      </c>
      <c r="D17008">
        <v>76.08</v>
      </c>
      <c r="E17008">
        <v>460</v>
      </c>
      <c r="F17008">
        <v>110</v>
      </c>
      <c r="G17008">
        <v>1</v>
      </c>
      <c r="H17008">
        <v>1</v>
      </c>
      <c r="I17008">
        <v>459</v>
      </c>
      <c r="J17008">
        <v>1</v>
      </c>
      <c r="K17008">
        <v>204</v>
      </c>
      <c r="L17008">
        <v>663</v>
      </c>
      <c r="M17008">
        <v>1</v>
      </c>
      <c r="N17008">
        <v>0</v>
      </c>
      <c r="O17008">
        <v>1916</v>
      </c>
    </row>
    <row r="17009" spans="1:15" x14ac:dyDescent="0.25">
      <c r="A17009" t="s">
        <v>17022</v>
      </c>
      <c r="B17009">
        <v>521</v>
      </c>
      <c r="C17009" s="1" t="str">
        <f>HYPERLINK("http://www.rosaceae.org/gb/gbrowse/malus_x_domestica/?name=MDP0000121607","MDP0000121607")</f>
        <v>MDP0000121607</v>
      </c>
      <c r="D17009">
        <v>56.04</v>
      </c>
      <c r="E17009">
        <v>496</v>
      </c>
      <c r="F17009">
        <v>218</v>
      </c>
      <c r="G17009">
        <v>23</v>
      </c>
      <c r="H17009">
        <v>36</v>
      </c>
      <c r="I17009">
        <v>516</v>
      </c>
      <c r="J17009">
        <v>1</v>
      </c>
      <c r="K17009">
        <v>29</v>
      </c>
      <c r="L17009">
        <v>516</v>
      </c>
      <c r="M17009">
        <v>1</v>
      </c>
      <c r="N17009">
        <v>2.5145000000000001E-159</v>
      </c>
      <c r="O17009">
        <v>1441</v>
      </c>
    </row>
    <row r="17010" spans="1:15" x14ac:dyDescent="0.25">
      <c r="A17010" t="s">
        <v>17023</v>
      </c>
      <c r="B17010">
        <v>724</v>
      </c>
      <c r="C17010" s="1" t="str">
        <f>HYPERLINK("http://www.rosaceae.org/gb/gbrowse/malus_x_domestica/?name=MDP0000141786","MDP0000141786")</f>
        <v>MDP0000141786</v>
      </c>
      <c r="D17010">
        <v>70.569999999999993</v>
      </c>
      <c r="E17010">
        <v>734</v>
      </c>
      <c r="F17010">
        <v>216</v>
      </c>
      <c r="G17010">
        <v>54</v>
      </c>
      <c r="H17010">
        <v>1</v>
      </c>
      <c r="I17010">
        <v>724</v>
      </c>
      <c r="J17010">
        <v>1</v>
      </c>
      <c r="K17010">
        <v>1</v>
      </c>
      <c r="L17010">
        <v>690</v>
      </c>
      <c r="M17010">
        <v>1</v>
      </c>
      <c r="N17010">
        <v>0</v>
      </c>
      <c r="O17010">
        <v>2547</v>
      </c>
    </row>
    <row r="17011" spans="1:15" x14ac:dyDescent="0.25">
      <c r="A17011" t="s">
        <v>17024</v>
      </c>
      <c r="B17011">
        <v>481</v>
      </c>
      <c r="C17011" s="1" t="str">
        <f>HYPERLINK("http://www.rosaceae.org/gb/gbrowse/malus_x_domestica/?name=MDP0000144925","MDP0000144925")</f>
        <v>MDP0000144925</v>
      </c>
      <c r="D17011">
        <v>34.69</v>
      </c>
      <c r="E17011">
        <v>490</v>
      </c>
      <c r="F17011">
        <v>320</v>
      </c>
      <c r="G17011">
        <v>63</v>
      </c>
      <c r="H17011">
        <v>1</v>
      </c>
      <c r="I17011">
        <v>478</v>
      </c>
      <c r="J17011">
        <v>1</v>
      </c>
      <c r="K17011">
        <v>1</v>
      </c>
      <c r="L17011">
        <v>439</v>
      </c>
      <c r="M17011">
        <v>1</v>
      </c>
      <c r="N17011">
        <v>1.1470799999999999E-62</v>
      </c>
      <c r="O17011">
        <v>607</v>
      </c>
    </row>
    <row r="17012" spans="1:15" x14ac:dyDescent="0.25">
      <c r="A17012" t="s">
        <v>17025</v>
      </c>
      <c r="B17012">
        <v>338</v>
      </c>
      <c r="C17012" s="1" t="str">
        <f>HYPERLINK("http://www.rosaceae.org/gb/gbrowse/malus_x_domestica/?name=MDP0000212712","MDP0000212712")</f>
        <v>MDP0000212712</v>
      </c>
      <c r="D17012">
        <v>65.42</v>
      </c>
      <c r="E17012">
        <v>107</v>
      </c>
      <c r="F17012">
        <v>37</v>
      </c>
      <c r="G17012">
        <v>0</v>
      </c>
      <c r="H17012">
        <v>116</v>
      </c>
      <c r="I17012">
        <v>222</v>
      </c>
      <c r="J17012">
        <v>1</v>
      </c>
      <c r="K17012">
        <v>3</v>
      </c>
      <c r="L17012">
        <v>109</v>
      </c>
      <c r="M17012">
        <v>1</v>
      </c>
      <c r="N17012">
        <v>1.0657599999999999E-32</v>
      </c>
      <c r="O17012">
        <v>347</v>
      </c>
    </row>
    <row r="17013" spans="1:15" x14ac:dyDescent="0.25">
      <c r="A17013" t="s">
        <v>17026</v>
      </c>
      <c r="B17013">
        <v>257</v>
      </c>
      <c r="C17013" s="1" t="str">
        <f>HYPERLINK("http://www.rosaceae.org/gb/gbrowse/malus_x_domestica/?name=MDP0000013331","MDP0000013331")</f>
        <v>MDP0000013331</v>
      </c>
      <c r="D17013">
        <v>69.69</v>
      </c>
      <c r="E17013">
        <v>165</v>
      </c>
      <c r="F17013">
        <v>50</v>
      </c>
      <c r="G17013">
        <v>1</v>
      </c>
      <c r="H17013">
        <v>1</v>
      </c>
      <c r="I17013">
        <v>165</v>
      </c>
      <c r="J17013">
        <v>1</v>
      </c>
      <c r="K17013">
        <v>1</v>
      </c>
      <c r="L17013">
        <v>164</v>
      </c>
      <c r="M17013">
        <v>1</v>
      </c>
      <c r="N17013">
        <v>5.27278E-64</v>
      </c>
      <c r="O17013">
        <v>615</v>
      </c>
    </row>
    <row r="17014" spans="1:15" x14ac:dyDescent="0.25">
      <c r="A17014" t="s">
        <v>17027</v>
      </c>
      <c r="B17014">
        <v>827</v>
      </c>
      <c r="C17014" s="1" t="str">
        <f>HYPERLINK("http://www.rosaceae.org/gb/gbrowse/malus_x_domestica/?name=MDP0000153313","MDP0000153313")</f>
        <v>MDP0000153313</v>
      </c>
      <c r="D17014">
        <v>67.95</v>
      </c>
      <c r="E17014">
        <v>805</v>
      </c>
      <c r="F17014">
        <v>258</v>
      </c>
      <c r="G17014">
        <v>34</v>
      </c>
      <c r="H17014">
        <v>1</v>
      </c>
      <c r="I17014">
        <v>797</v>
      </c>
      <c r="J17014">
        <v>1</v>
      </c>
      <c r="K17014">
        <v>1</v>
      </c>
      <c r="L17014">
        <v>779</v>
      </c>
      <c r="M17014">
        <v>1</v>
      </c>
      <c r="N17014">
        <v>0</v>
      </c>
      <c r="O17014">
        <v>2807</v>
      </c>
    </row>
    <row r="17015" spans="1:15" x14ac:dyDescent="0.25">
      <c r="A17015" t="s">
        <v>17028</v>
      </c>
      <c r="B17015">
        <v>196</v>
      </c>
      <c r="C17015" s="1" t="str">
        <f>HYPERLINK("http://www.rosaceae.org/gb/gbrowse/malus_x_domestica/?name=MDP0000296691","MDP0000296691")</f>
        <v>MDP0000296691</v>
      </c>
      <c r="D17015">
        <v>32.979999999999997</v>
      </c>
      <c r="E17015">
        <v>97</v>
      </c>
      <c r="F17015">
        <v>65</v>
      </c>
      <c r="G17015">
        <v>3</v>
      </c>
      <c r="H17015">
        <v>62</v>
      </c>
      <c r="I17015">
        <v>158</v>
      </c>
      <c r="J17015">
        <v>1</v>
      </c>
      <c r="K17015">
        <v>523</v>
      </c>
      <c r="L17015">
        <v>616</v>
      </c>
      <c r="M17015">
        <v>1</v>
      </c>
      <c r="N17015">
        <v>2.8102699999999999E-7</v>
      </c>
      <c r="O17015">
        <v>124</v>
      </c>
    </row>
    <row r="17016" spans="1:15" x14ac:dyDescent="0.25">
      <c r="A17016" t="s">
        <v>17029</v>
      </c>
      <c r="B17016">
        <v>864</v>
      </c>
      <c r="C17016" s="1" t="str">
        <f>HYPERLINK("http://www.rosaceae.org/gb/gbrowse/malus_x_domestica/?name=MDP0000545221","MDP0000545221")</f>
        <v>MDP0000545221</v>
      </c>
      <c r="D17016">
        <v>48.16</v>
      </c>
      <c r="E17016">
        <v>872</v>
      </c>
      <c r="F17016">
        <v>452</v>
      </c>
      <c r="G17016">
        <v>192</v>
      </c>
      <c r="H17016">
        <v>1</v>
      </c>
      <c r="I17016">
        <v>861</v>
      </c>
      <c r="J17016">
        <v>1</v>
      </c>
      <c r="K17016">
        <v>1</v>
      </c>
      <c r="L17016">
        <v>691</v>
      </c>
      <c r="M17016">
        <v>1</v>
      </c>
      <c r="N17016">
        <v>0</v>
      </c>
      <c r="O17016">
        <v>1719</v>
      </c>
    </row>
    <row r="17017" spans="1:15" x14ac:dyDescent="0.25">
      <c r="A17017" t="s">
        <v>17030</v>
      </c>
      <c r="B17017">
        <v>340</v>
      </c>
      <c r="C17017" s="1" t="str">
        <f>HYPERLINK("http://www.rosaceae.org/gb/gbrowse/malus_x_domestica/?name=MDP0000258269","MDP0000258269")</f>
        <v>MDP0000258269</v>
      </c>
      <c r="D17017">
        <v>58.11</v>
      </c>
      <c r="E17017">
        <v>351</v>
      </c>
      <c r="F17017">
        <v>147</v>
      </c>
      <c r="G17017">
        <v>45</v>
      </c>
      <c r="H17017">
        <v>25</v>
      </c>
      <c r="I17017">
        <v>338</v>
      </c>
      <c r="J17017">
        <v>1</v>
      </c>
      <c r="K17017">
        <v>25</v>
      </c>
      <c r="L17017">
        <v>367</v>
      </c>
      <c r="M17017">
        <v>1</v>
      </c>
      <c r="N17017">
        <v>3.6200499999999999E-103</v>
      </c>
      <c r="O17017">
        <v>954</v>
      </c>
    </row>
    <row r="17018" spans="1:15" x14ac:dyDescent="0.25">
      <c r="A17018" t="s">
        <v>17031</v>
      </c>
      <c r="B17018">
        <v>781</v>
      </c>
      <c r="C17018" s="1" t="str">
        <f>HYPERLINK("http://www.rosaceae.org/gb/gbrowse/malus_x_domestica/?name=MDP0000374252","MDP0000374252")</f>
        <v>MDP0000374252</v>
      </c>
      <c r="D17018">
        <v>77.900000000000006</v>
      </c>
      <c r="E17018">
        <v>620</v>
      </c>
      <c r="F17018">
        <v>137</v>
      </c>
      <c r="G17018">
        <v>9</v>
      </c>
      <c r="H17018">
        <v>92</v>
      </c>
      <c r="I17018">
        <v>706</v>
      </c>
      <c r="J17018">
        <v>1</v>
      </c>
      <c r="K17018">
        <v>1</v>
      </c>
      <c r="L17018">
        <v>616</v>
      </c>
      <c r="M17018">
        <v>1</v>
      </c>
      <c r="N17018">
        <v>0</v>
      </c>
      <c r="O17018">
        <v>2478</v>
      </c>
    </row>
    <row r="17019" spans="1:15" x14ac:dyDescent="0.25">
      <c r="A17019" t="s">
        <v>17032</v>
      </c>
      <c r="B17019">
        <v>321</v>
      </c>
      <c r="C17019" s="1" t="str">
        <f>HYPERLINK("http://www.rosaceae.org/gb/gbrowse/malus_x_domestica/?name=MDP0000145244","MDP0000145244")</f>
        <v>MDP0000145244</v>
      </c>
      <c r="D17019">
        <v>71.56</v>
      </c>
      <c r="E17019">
        <v>320</v>
      </c>
      <c r="F17019">
        <v>91</v>
      </c>
      <c r="G17019">
        <v>3</v>
      </c>
      <c r="H17019">
        <v>2</v>
      </c>
      <c r="I17019">
        <v>318</v>
      </c>
      <c r="J17019">
        <v>1</v>
      </c>
      <c r="K17019">
        <v>778</v>
      </c>
      <c r="L17019">
        <v>1097</v>
      </c>
      <c r="M17019">
        <v>1</v>
      </c>
      <c r="N17019">
        <v>4.5308899999999999E-133</v>
      </c>
      <c r="O17019">
        <v>1212</v>
      </c>
    </row>
    <row r="17020" spans="1:15" x14ac:dyDescent="0.25">
      <c r="A17020" t="s">
        <v>17033</v>
      </c>
      <c r="B17020">
        <v>566</v>
      </c>
      <c r="C17020" s="1" t="str">
        <f>HYPERLINK("http://www.rosaceae.org/gb/gbrowse/malus_x_domestica/?name=MDP0000175388","MDP0000175388")</f>
        <v>MDP0000175388</v>
      </c>
      <c r="D17020">
        <v>74.819999999999993</v>
      </c>
      <c r="E17020">
        <v>568</v>
      </c>
      <c r="F17020">
        <v>143</v>
      </c>
      <c r="G17020">
        <v>3</v>
      </c>
      <c r="H17020">
        <v>1</v>
      </c>
      <c r="I17020">
        <v>566</v>
      </c>
      <c r="J17020">
        <v>1</v>
      </c>
      <c r="K17020">
        <v>1</v>
      </c>
      <c r="L17020">
        <v>567</v>
      </c>
      <c r="M17020">
        <v>1</v>
      </c>
      <c r="N17020">
        <v>0</v>
      </c>
      <c r="O17020">
        <v>2172</v>
      </c>
    </row>
    <row r="17021" spans="1:15" x14ac:dyDescent="0.25">
      <c r="A17021" t="s">
        <v>17034</v>
      </c>
      <c r="B17021">
        <v>195</v>
      </c>
      <c r="C17021" s="1" t="str">
        <f>HYPERLINK("http://www.rosaceae.org/gb/gbrowse/malus_x_domestica/?name=MDP0000314244","MDP0000314244")</f>
        <v>MDP0000314244</v>
      </c>
      <c r="D17021">
        <v>42.7</v>
      </c>
      <c r="E17021">
        <v>185</v>
      </c>
      <c r="F17021">
        <v>106</v>
      </c>
      <c r="G17021">
        <v>32</v>
      </c>
      <c r="H17021">
        <v>24</v>
      </c>
      <c r="I17021">
        <v>195</v>
      </c>
      <c r="J17021">
        <v>1</v>
      </c>
      <c r="K17021">
        <v>843</v>
      </c>
      <c r="L17021">
        <v>1008</v>
      </c>
      <c r="M17021">
        <v>1</v>
      </c>
      <c r="N17021">
        <v>1.9784499999999999E-31</v>
      </c>
      <c r="O17021">
        <v>332</v>
      </c>
    </row>
    <row r="17022" spans="1:15" x14ac:dyDescent="0.25">
      <c r="A17022" t="s">
        <v>17035</v>
      </c>
      <c r="B17022">
        <v>131</v>
      </c>
      <c r="C17022" s="1" t="str">
        <f>HYPERLINK("http://www.rosaceae.org/gb/gbrowse/malus_x_domestica/?name=MDP0000949412","MDP0000949412")</f>
        <v>MDP0000949412</v>
      </c>
      <c r="D17022">
        <v>79.16</v>
      </c>
      <c r="E17022">
        <v>48</v>
      </c>
      <c r="F17022">
        <v>10</v>
      </c>
      <c r="G17022">
        <v>0</v>
      </c>
      <c r="H17022">
        <v>3</v>
      </c>
      <c r="I17022">
        <v>50</v>
      </c>
      <c r="J17022">
        <v>1</v>
      </c>
      <c r="K17022">
        <v>184</v>
      </c>
      <c r="L17022">
        <v>231</v>
      </c>
      <c r="M17022">
        <v>1</v>
      </c>
      <c r="N17022">
        <v>8.1663199999999995E-16</v>
      </c>
      <c r="O17022">
        <v>194</v>
      </c>
    </row>
    <row r="17023" spans="1:15" x14ac:dyDescent="0.25">
      <c r="A17023" t="s">
        <v>17036</v>
      </c>
      <c r="B17023">
        <v>261</v>
      </c>
      <c r="C17023" s="1" t="str">
        <f>HYPERLINK("http://www.rosaceae.org/gb/gbrowse/malus_x_domestica/?name=MDP0000644476","MDP0000644476")</f>
        <v>MDP0000644476</v>
      </c>
      <c r="D17023">
        <v>82.5</v>
      </c>
      <c r="E17023">
        <v>200</v>
      </c>
      <c r="F17023">
        <v>35</v>
      </c>
      <c r="G17023">
        <v>2</v>
      </c>
      <c r="H17023">
        <v>61</v>
      </c>
      <c r="I17023">
        <v>260</v>
      </c>
      <c r="J17023">
        <v>1</v>
      </c>
      <c r="K17023">
        <v>16</v>
      </c>
      <c r="L17023">
        <v>213</v>
      </c>
      <c r="M17023">
        <v>1</v>
      </c>
      <c r="N17023">
        <v>1.6651200000000001E-98</v>
      </c>
      <c r="O17023">
        <v>913</v>
      </c>
    </row>
    <row r="17024" spans="1:15" x14ac:dyDescent="0.25">
      <c r="A17024" t="s">
        <v>17037</v>
      </c>
      <c r="B17024">
        <v>406</v>
      </c>
      <c r="C17024" s="1" t="str">
        <f>HYPERLINK("http://www.rosaceae.org/gb/gbrowse/malus_x_domestica/?name=MDP0000284374","MDP0000284374")</f>
        <v>MDP0000284374</v>
      </c>
      <c r="D17024">
        <v>46.77</v>
      </c>
      <c r="E17024">
        <v>248</v>
      </c>
      <c r="F17024">
        <v>132</v>
      </c>
      <c r="G17024">
        <v>49</v>
      </c>
      <c r="H17024">
        <v>51</v>
      </c>
      <c r="I17024">
        <v>271</v>
      </c>
      <c r="J17024">
        <v>1</v>
      </c>
      <c r="K17024">
        <v>26</v>
      </c>
      <c r="L17024">
        <v>251</v>
      </c>
      <c r="M17024">
        <v>1</v>
      </c>
      <c r="N17024">
        <v>5.5248400000000001E-51</v>
      </c>
      <c r="O17024">
        <v>505</v>
      </c>
    </row>
    <row r="17025" spans="1:15" x14ac:dyDescent="0.25">
      <c r="A17025" t="s">
        <v>17038</v>
      </c>
      <c r="B17025">
        <v>799</v>
      </c>
      <c r="C17025" s="1" t="str">
        <f>HYPERLINK("http://www.rosaceae.org/gb/gbrowse/malus_x_domestica/?name=MDP0000284531","MDP0000284531")</f>
        <v>MDP0000284531</v>
      </c>
      <c r="D17025">
        <v>76.959999999999994</v>
      </c>
      <c r="E17025">
        <v>508</v>
      </c>
      <c r="F17025">
        <v>117</v>
      </c>
      <c r="G17025">
        <v>12</v>
      </c>
      <c r="H17025">
        <v>1</v>
      </c>
      <c r="I17025">
        <v>496</v>
      </c>
      <c r="J17025">
        <v>1</v>
      </c>
      <c r="K17025">
        <v>1</v>
      </c>
      <c r="L17025">
        <v>508</v>
      </c>
      <c r="M17025">
        <v>1</v>
      </c>
      <c r="N17025">
        <v>0</v>
      </c>
      <c r="O17025">
        <v>2102</v>
      </c>
    </row>
    <row r="17026" spans="1:15" x14ac:dyDescent="0.25">
      <c r="A17026" t="s">
        <v>17039</v>
      </c>
      <c r="B17026">
        <v>885</v>
      </c>
      <c r="C17026" s="1" t="str">
        <f>HYPERLINK("http://www.rosaceae.org/gb/gbrowse/malus_x_domestica/?name=MDP0000126328","MDP0000126328")</f>
        <v>MDP0000126328</v>
      </c>
      <c r="D17026">
        <v>43.7</v>
      </c>
      <c r="E17026">
        <v>977</v>
      </c>
      <c r="F17026">
        <v>550</v>
      </c>
      <c r="G17026">
        <v>213</v>
      </c>
      <c r="H17026">
        <v>30</v>
      </c>
      <c r="I17026">
        <v>883</v>
      </c>
      <c r="J17026">
        <v>1</v>
      </c>
      <c r="K17026">
        <v>12</v>
      </c>
      <c r="L17026">
        <v>898</v>
      </c>
      <c r="M17026">
        <v>1</v>
      </c>
      <c r="N17026">
        <v>3.3437599999999997E-163</v>
      </c>
      <c r="O17026">
        <v>1476</v>
      </c>
    </row>
    <row r="17027" spans="1:15" x14ac:dyDescent="0.25">
      <c r="A17027" t="s">
        <v>17040</v>
      </c>
      <c r="B17027">
        <v>471</v>
      </c>
      <c r="C17027" s="1" t="str">
        <f>HYPERLINK("http://www.rosaceae.org/gb/gbrowse/malus_x_domestica/?name=MDP0000199234","MDP0000199234")</f>
        <v>MDP0000199234</v>
      </c>
      <c r="D17027">
        <v>67.64</v>
      </c>
      <c r="E17027">
        <v>408</v>
      </c>
      <c r="F17027">
        <v>132</v>
      </c>
      <c r="G17027">
        <v>65</v>
      </c>
      <c r="H17027">
        <v>124</v>
      </c>
      <c r="I17027">
        <v>471</v>
      </c>
      <c r="J17027">
        <v>1</v>
      </c>
      <c r="K17027">
        <v>125</v>
      </c>
      <c r="L17027">
        <v>527</v>
      </c>
      <c r="M17027">
        <v>1</v>
      </c>
      <c r="N17027">
        <v>8.4606399999999998E-156</v>
      </c>
      <c r="O17027">
        <v>1410</v>
      </c>
    </row>
    <row r="17028" spans="1:15" x14ac:dyDescent="0.25">
      <c r="A17028" t="s">
        <v>17041</v>
      </c>
      <c r="B17028">
        <v>309</v>
      </c>
      <c r="C17028" s="1" t="str">
        <f>HYPERLINK("http://www.rosaceae.org/gb/gbrowse/malus_x_domestica/?name=MDP0000174501","MDP0000174501")</f>
        <v>MDP0000174501</v>
      </c>
      <c r="D17028">
        <v>54.32</v>
      </c>
      <c r="E17028">
        <v>324</v>
      </c>
      <c r="F17028">
        <v>148</v>
      </c>
      <c r="G17028">
        <v>33</v>
      </c>
      <c r="H17028">
        <v>1</v>
      </c>
      <c r="I17028">
        <v>306</v>
      </c>
      <c r="J17028">
        <v>1</v>
      </c>
      <c r="K17028">
        <v>1</v>
      </c>
      <c r="L17028">
        <v>309</v>
      </c>
      <c r="M17028">
        <v>1</v>
      </c>
      <c r="N17028">
        <v>6.5926499999999998E-83</v>
      </c>
      <c r="O17028">
        <v>779</v>
      </c>
    </row>
    <row r="17029" spans="1:15" x14ac:dyDescent="0.25">
      <c r="A17029" t="s">
        <v>17042</v>
      </c>
      <c r="B17029">
        <v>663</v>
      </c>
      <c r="C17029" s="1" t="str">
        <f>HYPERLINK("http://www.rosaceae.org/gb/gbrowse/malus_x_domestica/?name=MDP0000271039","MDP0000271039")</f>
        <v>MDP0000271039</v>
      </c>
      <c r="D17029">
        <v>74.2</v>
      </c>
      <c r="E17029">
        <v>601</v>
      </c>
      <c r="F17029">
        <v>155</v>
      </c>
      <c r="G17029">
        <v>0</v>
      </c>
      <c r="H17029">
        <v>23</v>
      </c>
      <c r="I17029">
        <v>623</v>
      </c>
      <c r="J17029">
        <v>1</v>
      </c>
      <c r="K17029">
        <v>55</v>
      </c>
      <c r="L17029">
        <v>655</v>
      </c>
      <c r="M17029">
        <v>1</v>
      </c>
      <c r="N17029">
        <v>0</v>
      </c>
      <c r="O17029">
        <v>2449</v>
      </c>
    </row>
    <row r="17030" spans="1:15" x14ac:dyDescent="0.25">
      <c r="A17030" t="s">
        <v>17043</v>
      </c>
      <c r="B17030">
        <v>140</v>
      </c>
      <c r="C17030" s="1" t="str">
        <f>HYPERLINK("http://www.rosaceae.org/gb/gbrowse/malus_x_domestica/?name=MDP0000146240","MDP0000146240")</f>
        <v>MDP0000146240</v>
      </c>
      <c r="D17030">
        <v>42.64</v>
      </c>
      <c r="E17030">
        <v>136</v>
      </c>
      <c r="F17030">
        <v>78</v>
      </c>
      <c r="G17030">
        <v>63</v>
      </c>
      <c r="H17030">
        <v>67</v>
      </c>
      <c r="I17030">
        <v>139</v>
      </c>
      <c r="J17030">
        <v>1</v>
      </c>
      <c r="K17030">
        <v>150</v>
      </c>
      <c r="L17030">
        <v>285</v>
      </c>
      <c r="M17030">
        <v>1</v>
      </c>
      <c r="N17030">
        <v>8.7881499999999997E-20</v>
      </c>
      <c r="O17030">
        <v>229</v>
      </c>
    </row>
    <row r="17031" spans="1:15" x14ac:dyDescent="0.25">
      <c r="A17031" t="s">
        <v>17044</v>
      </c>
      <c r="B17031">
        <v>518</v>
      </c>
      <c r="C17031" s="1" t="str">
        <f>HYPERLINK("http://www.rosaceae.org/gb/gbrowse/malus_x_domestica/?name=MDP0000265028","MDP0000265028")</f>
        <v>MDP0000265028</v>
      </c>
      <c r="D17031">
        <v>80</v>
      </c>
      <c r="E17031">
        <v>240</v>
      </c>
      <c r="F17031">
        <v>48</v>
      </c>
      <c r="G17031">
        <v>0</v>
      </c>
      <c r="H17031">
        <v>279</v>
      </c>
      <c r="I17031">
        <v>518</v>
      </c>
      <c r="J17031">
        <v>1</v>
      </c>
      <c r="K17031">
        <v>211</v>
      </c>
      <c r="L17031">
        <v>450</v>
      </c>
      <c r="M17031">
        <v>1</v>
      </c>
      <c r="N17031">
        <v>2.96175E-116</v>
      </c>
      <c r="O17031">
        <v>1069</v>
      </c>
    </row>
    <row r="17032" spans="1:15" x14ac:dyDescent="0.25">
      <c r="A17032" t="s">
        <v>17045</v>
      </c>
      <c r="B17032">
        <v>209</v>
      </c>
      <c r="C17032" s="1" t="str">
        <f>HYPERLINK("http://www.rosaceae.org/gb/gbrowse/malus_x_domestica/?name=MDP0000132523","MDP0000132523")</f>
        <v>MDP0000132523</v>
      </c>
      <c r="D17032">
        <v>89.47</v>
      </c>
      <c r="E17032">
        <v>209</v>
      </c>
      <c r="F17032">
        <v>22</v>
      </c>
      <c r="G17032">
        <v>1</v>
      </c>
      <c r="H17032">
        <v>1</v>
      </c>
      <c r="I17032">
        <v>209</v>
      </c>
      <c r="J17032">
        <v>1</v>
      </c>
      <c r="K17032">
        <v>403</v>
      </c>
      <c r="L17032">
        <v>610</v>
      </c>
      <c r="M17032">
        <v>1</v>
      </c>
      <c r="N17032">
        <v>3.13138E-106</v>
      </c>
      <c r="O17032">
        <v>978</v>
      </c>
    </row>
    <row r="17033" spans="1:15" x14ac:dyDescent="0.25">
      <c r="A17033" t="s">
        <v>17046</v>
      </c>
      <c r="B17033">
        <v>541</v>
      </c>
      <c r="C17033" s="1" t="str">
        <f>HYPERLINK("http://www.rosaceae.org/gb/gbrowse/malus_x_domestica/?name=MDP0000288977","MDP0000288977")</f>
        <v>MDP0000288977</v>
      </c>
      <c r="D17033">
        <v>84.07</v>
      </c>
      <c r="E17033">
        <v>314</v>
      </c>
      <c r="F17033">
        <v>50</v>
      </c>
      <c r="G17033">
        <v>4</v>
      </c>
      <c r="H17033">
        <v>230</v>
      </c>
      <c r="I17033">
        <v>539</v>
      </c>
      <c r="J17033">
        <v>1</v>
      </c>
      <c r="K17033">
        <v>796</v>
      </c>
      <c r="L17033">
        <v>1109</v>
      </c>
      <c r="M17033">
        <v>1</v>
      </c>
      <c r="N17033">
        <v>8.4174400000000007E-155</v>
      </c>
      <c r="O17033">
        <v>1402</v>
      </c>
    </row>
    <row r="17034" spans="1:15" x14ac:dyDescent="0.25">
      <c r="A17034" t="s">
        <v>17047</v>
      </c>
      <c r="B17034">
        <v>72</v>
      </c>
      <c r="C17034" s="1" t="str">
        <f>HYPERLINK("http://www.rosaceae.org/gb/gbrowse/malus_x_domestica/?name=MDP0000212688","MDP0000212688")</f>
        <v>MDP0000212688</v>
      </c>
      <c r="D17034">
        <v>71.42</v>
      </c>
      <c r="E17034">
        <v>70</v>
      </c>
      <c r="F17034">
        <v>20</v>
      </c>
      <c r="G17034">
        <v>1</v>
      </c>
      <c r="H17034">
        <v>1</v>
      </c>
      <c r="I17034">
        <v>70</v>
      </c>
      <c r="J17034">
        <v>1</v>
      </c>
      <c r="K17034">
        <v>1</v>
      </c>
      <c r="L17034">
        <v>69</v>
      </c>
      <c r="M17034">
        <v>1</v>
      </c>
      <c r="N17034">
        <v>2.2395699999999999E-24</v>
      </c>
      <c r="O17034">
        <v>268</v>
      </c>
    </row>
    <row r="17035" spans="1:15" x14ac:dyDescent="0.25">
      <c r="A17035" t="s">
        <v>17048</v>
      </c>
      <c r="B17035">
        <v>354</v>
      </c>
      <c r="C17035" s="1" t="str">
        <f>HYPERLINK("http://www.rosaceae.org/gb/gbrowse/malus_x_domestica/?name=MDP0000306576","MDP0000306576")</f>
        <v>MDP0000306576</v>
      </c>
      <c r="D17035">
        <v>56.36</v>
      </c>
      <c r="E17035">
        <v>330</v>
      </c>
      <c r="F17035">
        <v>144</v>
      </c>
      <c r="G17035">
        <v>12</v>
      </c>
      <c r="H17035">
        <v>4</v>
      </c>
      <c r="I17035">
        <v>327</v>
      </c>
      <c r="J17035">
        <v>1</v>
      </c>
      <c r="K17035">
        <v>3</v>
      </c>
      <c r="L17035">
        <v>326</v>
      </c>
      <c r="M17035">
        <v>1</v>
      </c>
      <c r="N17035">
        <v>6.0141999999999995E-107</v>
      </c>
      <c r="O17035">
        <v>987</v>
      </c>
    </row>
    <row r="17036" spans="1:15" x14ac:dyDescent="0.25">
      <c r="A17036" t="s">
        <v>17049</v>
      </c>
      <c r="B17036">
        <v>1183</v>
      </c>
      <c r="C17036" s="1" t="str">
        <f>HYPERLINK("http://www.rosaceae.org/gb/gbrowse/malus_x_domestica/?name=MDP0000309676","MDP0000309676")</f>
        <v>MDP0000309676</v>
      </c>
      <c r="D17036">
        <v>60.83</v>
      </c>
      <c r="E17036">
        <v>909</v>
      </c>
      <c r="F17036">
        <v>356</v>
      </c>
      <c r="G17036">
        <v>8</v>
      </c>
      <c r="H17036">
        <v>76</v>
      </c>
      <c r="I17036">
        <v>980</v>
      </c>
      <c r="J17036">
        <v>1</v>
      </c>
      <c r="K17036">
        <v>66</v>
      </c>
      <c r="L17036">
        <v>970</v>
      </c>
      <c r="M17036">
        <v>1</v>
      </c>
      <c r="N17036">
        <v>0</v>
      </c>
      <c r="O17036">
        <v>2681</v>
      </c>
    </row>
    <row r="17037" spans="1:15" x14ac:dyDescent="0.25">
      <c r="A17037" t="s">
        <v>17050</v>
      </c>
      <c r="B17037">
        <v>297</v>
      </c>
      <c r="C17037" s="1" t="str">
        <f>HYPERLINK("http://www.rosaceae.org/gb/gbrowse/malus_x_domestica/?name=MDP0000378862","MDP0000378862")</f>
        <v>MDP0000378862</v>
      </c>
      <c r="D17037">
        <v>39.880000000000003</v>
      </c>
      <c r="E17037">
        <v>336</v>
      </c>
      <c r="F17037">
        <v>202</v>
      </c>
      <c r="G17037">
        <v>89</v>
      </c>
      <c r="H17037">
        <v>4</v>
      </c>
      <c r="I17037">
        <v>250</v>
      </c>
      <c r="J17037">
        <v>1</v>
      </c>
      <c r="K17037">
        <v>186</v>
      </c>
      <c r="L17037">
        <v>521</v>
      </c>
      <c r="M17037">
        <v>1</v>
      </c>
      <c r="N17037">
        <v>2.2695799999999999E-43</v>
      </c>
      <c r="O17037">
        <v>438</v>
      </c>
    </row>
    <row r="17038" spans="1:15" x14ac:dyDescent="0.25">
      <c r="A17038" t="s">
        <v>17051</v>
      </c>
      <c r="B17038">
        <v>700</v>
      </c>
      <c r="C17038" s="1" t="str">
        <f>HYPERLINK("http://www.rosaceae.org/gb/gbrowse/malus_x_domestica/?name=MDP0000282838","MDP0000282838")</f>
        <v>MDP0000282838</v>
      </c>
      <c r="D17038">
        <v>60.65</v>
      </c>
      <c r="E17038">
        <v>704</v>
      </c>
      <c r="F17038">
        <v>277</v>
      </c>
      <c r="G17038">
        <v>62</v>
      </c>
      <c r="H17038">
        <v>56</v>
      </c>
      <c r="I17038">
        <v>699</v>
      </c>
      <c r="J17038">
        <v>1</v>
      </c>
      <c r="K17038">
        <v>825</v>
      </c>
      <c r="L17038">
        <v>1526</v>
      </c>
      <c r="M17038">
        <v>1</v>
      </c>
      <c r="N17038">
        <v>0</v>
      </c>
      <c r="O17038">
        <v>1988</v>
      </c>
    </row>
    <row r="17039" spans="1:15" x14ac:dyDescent="0.25">
      <c r="A17039" t="s">
        <v>17052</v>
      </c>
      <c r="B17039">
        <v>285</v>
      </c>
      <c r="C17039" s="1" t="str">
        <f>HYPERLINK("http://www.rosaceae.org/gb/gbrowse/malus_x_domestica/?name=MDP0000141293","MDP0000141293")</f>
        <v>MDP0000141293</v>
      </c>
      <c r="D17039">
        <v>61.66</v>
      </c>
      <c r="E17039">
        <v>313</v>
      </c>
      <c r="F17039">
        <v>120</v>
      </c>
      <c r="G17039">
        <v>48</v>
      </c>
      <c r="H17039">
        <v>1</v>
      </c>
      <c r="I17039">
        <v>265</v>
      </c>
      <c r="J17039">
        <v>1</v>
      </c>
      <c r="K17039">
        <v>1</v>
      </c>
      <c r="L17039">
        <v>313</v>
      </c>
      <c r="M17039">
        <v>1</v>
      </c>
      <c r="N17039">
        <v>1.7161800000000001E-99</v>
      </c>
      <c r="O17039">
        <v>922</v>
      </c>
    </row>
    <row r="17040" spans="1:15" x14ac:dyDescent="0.25">
      <c r="A17040" t="s">
        <v>17053</v>
      </c>
      <c r="B17040">
        <v>101</v>
      </c>
      <c r="C17040" s="1" t="str">
        <f>HYPERLINK("http://www.rosaceae.org/gb/gbrowse/malus_x_domestica/?name=MDP0000137159","MDP0000137159")</f>
        <v>MDP0000137159</v>
      </c>
      <c r="D17040">
        <v>85.05</v>
      </c>
      <c r="E17040">
        <v>87</v>
      </c>
      <c r="F17040">
        <v>13</v>
      </c>
      <c r="G17040">
        <v>0</v>
      </c>
      <c r="H17040">
        <v>15</v>
      </c>
      <c r="I17040">
        <v>101</v>
      </c>
      <c r="J17040">
        <v>1</v>
      </c>
      <c r="K17040">
        <v>71</v>
      </c>
      <c r="L17040">
        <v>157</v>
      </c>
      <c r="M17040">
        <v>1</v>
      </c>
      <c r="N17040">
        <v>1.5478200000000001E-41</v>
      </c>
      <c r="O17040">
        <v>416</v>
      </c>
    </row>
    <row r="17041" spans="1:15" x14ac:dyDescent="0.25">
      <c r="A17041" t="s">
        <v>17054</v>
      </c>
      <c r="B17041">
        <v>378</v>
      </c>
      <c r="C17041" s="1" t="str">
        <f>HYPERLINK("http://www.rosaceae.org/gb/gbrowse/malus_x_domestica/?name=MDP0000816743","MDP0000816743")</f>
        <v>MDP0000816743</v>
      </c>
      <c r="D17041">
        <v>51.79</v>
      </c>
      <c r="E17041">
        <v>195</v>
      </c>
      <c r="F17041">
        <v>94</v>
      </c>
      <c r="G17041">
        <v>8</v>
      </c>
      <c r="H17041">
        <v>23</v>
      </c>
      <c r="I17041">
        <v>209</v>
      </c>
      <c r="J17041">
        <v>1</v>
      </c>
      <c r="K17041">
        <v>21</v>
      </c>
      <c r="L17041">
        <v>215</v>
      </c>
      <c r="M17041">
        <v>1</v>
      </c>
      <c r="N17041">
        <v>2.9610999999999999E-48</v>
      </c>
      <c r="O17041">
        <v>481</v>
      </c>
    </row>
    <row r="17042" spans="1:15" x14ac:dyDescent="0.25">
      <c r="A17042" t="s">
        <v>17055</v>
      </c>
      <c r="B17042">
        <v>324</v>
      </c>
      <c r="C17042" s="1" t="str">
        <f>HYPERLINK("http://www.rosaceae.org/gb/gbrowse/malus_x_domestica/?name=MDP0000298567","MDP0000298567")</f>
        <v>MDP0000298567</v>
      </c>
      <c r="D17042">
        <v>44.68</v>
      </c>
      <c r="E17042">
        <v>320</v>
      </c>
      <c r="F17042">
        <v>177</v>
      </c>
      <c r="G17042">
        <v>46</v>
      </c>
      <c r="H17042">
        <v>45</v>
      </c>
      <c r="I17042">
        <v>320</v>
      </c>
      <c r="J17042">
        <v>1</v>
      </c>
      <c r="K17042">
        <v>58</v>
      </c>
      <c r="L17042">
        <v>375</v>
      </c>
      <c r="M17042">
        <v>1</v>
      </c>
      <c r="N17042">
        <v>1.2425000000000001E-67</v>
      </c>
      <c r="O17042">
        <v>648</v>
      </c>
    </row>
    <row r="17043" spans="1:15" x14ac:dyDescent="0.25">
      <c r="A17043" t="s">
        <v>17056</v>
      </c>
      <c r="B17043">
        <v>301</v>
      </c>
      <c r="C17043" s="1" t="str">
        <f>HYPERLINK("http://www.rosaceae.org/gb/gbrowse/malus_x_domestica/?name=MDP0000907752","MDP0000907752")</f>
        <v>MDP0000907752</v>
      </c>
      <c r="D17043">
        <v>79.33</v>
      </c>
      <c r="E17043">
        <v>300</v>
      </c>
      <c r="F17043">
        <v>62</v>
      </c>
      <c r="G17043">
        <v>1</v>
      </c>
      <c r="H17043">
        <v>1</v>
      </c>
      <c r="I17043">
        <v>300</v>
      </c>
      <c r="J17043">
        <v>1</v>
      </c>
      <c r="K17043">
        <v>1</v>
      </c>
      <c r="L17043">
        <v>299</v>
      </c>
      <c r="M17043">
        <v>1</v>
      </c>
      <c r="N17043">
        <v>1.4733100000000001E-136</v>
      </c>
      <c r="O17043">
        <v>1242</v>
      </c>
    </row>
    <row r="17044" spans="1:15" x14ac:dyDescent="0.25">
      <c r="A17044" t="s">
        <v>17057</v>
      </c>
      <c r="B17044">
        <v>566</v>
      </c>
      <c r="C17044" s="1" t="str">
        <f>HYPERLINK("http://www.rosaceae.org/gb/gbrowse/malus_x_domestica/?name=MDP0000243374","MDP0000243374")</f>
        <v>MDP0000243374</v>
      </c>
      <c r="D17044">
        <v>75.180000000000007</v>
      </c>
      <c r="E17044">
        <v>266</v>
      </c>
      <c r="F17044">
        <v>66</v>
      </c>
      <c r="G17044">
        <v>22</v>
      </c>
      <c r="H17044">
        <v>206</v>
      </c>
      <c r="I17044">
        <v>469</v>
      </c>
      <c r="J17044">
        <v>1</v>
      </c>
      <c r="K17044">
        <v>83</v>
      </c>
      <c r="L17044">
        <v>328</v>
      </c>
      <c r="M17044">
        <v>1</v>
      </c>
      <c r="N17044">
        <v>7.3372800000000003E-111</v>
      </c>
      <c r="O17044">
        <v>1023</v>
      </c>
    </row>
    <row r="17045" spans="1:15" x14ac:dyDescent="0.25">
      <c r="A17045" t="s">
        <v>17058</v>
      </c>
      <c r="B17045">
        <v>211</v>
      </c>
      <c r="C17045" s="1" t="str">
        <f>HYPERLINK("http://www.rosaceae.org/gb/gbrowse/malus_x_domestica/?name=MDP0000297656","MDP0000297656")</f>
        <v>MDP0000297656</v>
      </c>
      <c r="D17045">
        <v>54.76</v>
      </c>
      <c r="E17045">
        <v>42</v>
      </c>
      <c r="F17045">
        <v>19</v>
      </c>
      <c r="G17045">
        <v>0</v>
      </c>
      <c r="H17045">
        <v>14</v>
      </c>
      <c r="I17045">
        <v>55</v>
      </c>
      <c r="J17045">
        <v>1</v>
      </c>
      <c r="K17045">
        <v>27</v>
      </c>
      <c r="L17045">
        <v>68</v>
      </c>
      <c r="M17045">
        <v>1</v>
      </c>
      <c r="N17045">
        <v>3.28114E-7</v>
      </c>
      <c r="O17045">
        <v>124</v>
      </c>
    </row>
    <row r="17046" spans="1:15" x14ac:dyDescent="0.25">
      <c r="A17046" t="s">
        <v>17059</v>
      </c>
      <c r="B17046">
        <v>518</v>
      </c>
      <c r="C17046" s="1" t="str">
        <f>HYPERLINK("http://www.rosaceae.org/gb/gbrowse/malus_x_domestica/?name=MDP0000458965","MDP0000458965")</f>
        <v>MDP0000458965</v>
      </c>
      <c r="D17046">
        <v>79.44</v>
      </c>
      <c r="E17046">
        <v>433</v>
      </c>
      <c r="F17046">
        <v>89</v>
      </c>
      <c r="G17046">
        <v>28</v>
      </c>
      <c r="H17046">
        <v>16</v>
      </c>
      <c r="I17046">
        <v>444</v>
      </c>
      <c r="J17046">
        <v>1</v>
      </c>
      <c r="K17046">
        <v>610</v>
      </c>
      <c r="L17046">
        <v>1018</v>
      </c>
      <c r="M17046">
        <v>1</v>
      </c>
      <c r="N17046">
        <v>0</v>
      </c>
      <c r="O17046">
        <v>1796</v>
      </c>
    </row>
    <row r="17047" spans="1:15" x14ac:dyDescent="0.25">
      <c r="A17047" t="s">
        <v>17060</v>
      </c>
      <c r="B17047">
        <v>205</v>
      </c>
      <c r="C17047" s="1" t="str">
        <f>HYPERLINK("http://www.rosaceae.org/gb/gbrowse/malus_x_domestica/?name=MDP0000160662","MDP0000160662")</f>
        <v>MDP0000160662</v>
      </c>
      <c r="D17047">
        <v>62.76</v>
      </c>
      <c r="E17047">
        <v>188</v>
      </c>
      <c r="F17047">
        <v>70</v>
      </c>
      <c r="G17047">
        <v>4</v>
      </c>
      <c r="H17047">
        <v>19</v>
      </c>
      <c r="I17047">
        <v>205</v>
      </c>
      <c r="J17047">
        <v>1</v>
      </c>
      <c r="K17047">
        <v>25</v>
      </c>
      <c r="L17047">
        <v>209</v>
      </c>
      <c r="M17047">
        <v>1</v>
      </c>
      <c r="N17047">
        <v>6.2079200000000004E-64</v>
      </c>
      <c r="O17047">
        <v>613</v>
      </c>
    </row>
    <row r="17048" spans="1:15" x14ac:dyDescent="0.25">
      <c r="A17048" t="s">
        <v>17061</v>
      </c>
      <c r="B17048">
        <v>1090</v>
      </c>
      <c r="C17048" s="1" t="str">
        <f>HYPERLINK("http://www.rosaceae.org/gb/gbrowse/malus_x_domestica/?name=MDP0000750392","MDP0000750392")</f>
        <v>MDP0000750392</v>
      </c>
      <c r="D17048">
        <v>60.11</v>
      </c>
      <c r="E17048">
        <v>677</v>
      </c>
      <c r="F17048">
        <v>270</v>
      </c>
      <c r="G17048">
        <v>23</v>
      </c>
      <c r="H17048">
        <v>204</v>
      </c>
      <c r="I17048">
        <v>867</v>
      </c>
      <c r="J17048">
        <v>1</v>
      </c>
      <c r="K17048">
        <v>147</v>
      </c>
      <c r="L17048">
        <v>813</v>
      </c>
      <c r="M17048">
        <v>1</v>
      </c>
      <c r="N17048">
        <v>0</v>
      </c>
      <c r="O17048">
        <v>2016</v>
      </c>
    </row>
    <row r="17049" spans="1:15" x14ac:dyDescent="0.25">
      <c r="A17049" t="s">
        <v>17062</v>
      </c>
      <c r="B17049">
        <v>548</v>
      </c>
      <c r="C17049" s="1" t="str">
        <f>HYPERLINK("http://www.rosaceae.org/gb/gbrowse/malus_x_domestica/?name=MDP0000122371","MDP0000122371")</f>
        <v>MDP0000122371</v>
      </c>
      <c r="D17049">
        <v>73.92</v>
      </c>
      <c r="E17049">
        <v>418</v>
      </c>
      <c r="F17049">
        <v>109</v>
      </c>
      <c r="G17049">
        <v>42</v>
      </c>
      <c r="H17049">
        <v>88</v>
      </c>
      <c r="I17049">
        <v>473</v>
      </c>
      <c r="J17049">
        <v>1</v>
      </c>
      <c r="K17049">
        <v>170</v>
      </c>
      <c r="L17049">
        <v>577</v>
      </c>
      <c r="M17049">
        <v>1</v>
      </c>
      <c r="N17049">
        <v>0</v>
      </c>
      <c r="O17049">
        <v>1676</v>
      </c>
    </row>
    <row r="17050" spans="1:15" x14ac:dyDescent="0.25">
      <c r="A17050" t="s">
        <v>17063</v>
      </c>
      <c r="B17050">
        <v>148</v>
      </c>
      <c r="C17050" s="1" t="str">
        <f>HYPERLINK("http://www.rosaceae.org/gb/gbrowse/malus_x_domestica/?name=MDP0000163922","MDP0000163922")</f>
        <v>MDP0000163922</v>
      </c>
      <c r="D17050">
        <v>53.38</v>
      </c>
      <c r="E17050">
        <v>133</v>
      </c>
      <c r="F17050">
        <v>62</v>
      </c>
      <c r="G17050">
        <v>4</v>
      </c>
      <c r="H17050">
        <v>1</v>
      </c>
      <c r="I17050">
        <v>129</v>
      </c>
      <c r="J17050">
        <v>1</v>
      </c>
      <c r="K17050">
        <v>1</v>
      </c>
      <c r="L17050">
        <v>133</v>
      </c>
      <c r="M17050">
        <v>1</v>
      </c>
      <c r="N17050">
        <v>4.5017500000000001E-31</v>
      </c>
      <c r="O17050">
        <v>327</v>
      </c>
    </row>
    <row r="17051" spans="1:15" x14ac:dyDescent="0.25">
      <c r="A17051" t="s">
        <v>17064</v>
      </c>
      <c r="B17051">
        <v>404</v>
      </c>
      <c r="C17051" s="1" t="str">
        <f>HYPERLINK("http://www.rosaceae.org/gb/gbrowse/malus_x_domestica/?name=MDP0000124971","MDP0000124971")</f>
        <v>MDP0000124971</v>
      </c>
      <c r="D17051">
        <v>69.75</v>
      </c>
      <c r="E17051">
        <v>324</v>
      </c>
      <c r="F17051">
        <v>98</v>
      </c>
      <c r="G17051">
        <v>52</v>
      </c>
      <c r="H17051">
        <v>97</v>
      </c>
      <c r="I17051">
        <v>368</v>
      </c>
      <c r="J17051">
        <v>1</v>
      </c>
      <c r="K17051">
        <v>15</v>
      </c>
      <c r="L17051">
        <v>338</v>
      </c>
      <c r="M17051">
        <v>1</v>
      </c>
      <c r="N17051">
        <v>2.7762099999999997E-128</v>
      </c>
      <c r="O17051">
        <v>1172</v>
      </c>
    </row>
    <row r="17052" spans="1:15" x14ac:dyDescent="0.25">
      <c r="A17052" t="s">
        <v>17065</v>
      </c>
      <c r="B17052">
        <v>536</v>
      </c>
      <c r="C17052" s="1" t="str">
        <f>HYPERLINK("http://www.rosaceae.org/gb/gbrowse/malus_x_domestica/?name=MDP0000135974","MDP0000135974")</f>
        <v>MDP0000135974</v>
      </c>
      <c r="D17052">
        <v>79.69</v>
      </c>
      <c r="E17052">
        <v>532</v>
      </c>
      <c r="F17052">
        <v>108</v>
      </c>
      <c r="G17052">
        <v>2</v>
      </c>
      <c r="H17052">
        <v>4</v>
      </c>
      <c r="I17052">
        <v>535</v>
      </c>
      <c r="J17052">
        <v>1</v>
      </c>
      <c r="K17052">
        <v>14</v>
      </c>
      <c r="L17052">
        <v>543</v>
      </c>
      <c r="M17052">
        <v>1</v>
      </c>
      <c r="N17052">
        <v>0</v>
      </c>
      <c r="O17052">
        <v>2329</v>
      </c>
    </row>
    <row r="17053" spans="1:15" x14ac:dyDescent="0.25">
      <c r="A17053" t="s">
        <v>17066</v>
      </c>
      <c r="B17053">
        <v>276</v>
      </c>
      <c r="C17053" s="1" t="str">
        <f>HYPERLINK("http://www.rosaceae.org/gb/gbrowse/malus_x_domestica/?name=MDP0000500262","MDP0000500262")</f>
        <v>MDP0000500262</v>
      </c>
      <c r="D17053">
        <v>25.14</v>
      </c>
      <c r="E17053">
        <v>167</v>
      </c>
      <c r="F17053">
        <v>125</v>
      </c>
      <c r="G17053">
        <v>1</v>
      </c>
      <c r="H17053">
        <v>49</v>
      </c>
      <c r="I17053">
        <v>215</v>
      </c>
      <c r="J17053">
        <v>1</v>
      </c>
      <c r="K17053">
        <v>30</v>
      </c>
      <c r="L17053">
        <v>195</v>
      </c>
      <c r="M17053">
        <v>1</v>
      </c>
      <c r="N17053">
        <v>1.5672200000000001E-8</v>
      </c>
      <c r="O17053">
        <v>137</v>
      </c>
    </row>
    <row r="17054" spans="1:15" x14ac:dyDescent="0.25">
      <c r="A17054" t="s">
        <v>17067</v>
      </c>
      <c r="B17054">
        <v>295</v>
      </c>
      <c r="C17054" s="1" t="str">
        <f>HYPERLINK("http://www.rosaceae.org/gb/gbrowse/malus_x_domestica/?name=MDP0000848867","MDP0000848867")</f>
        <v>MDP0000848867</v>
      </c>
      <c r="D17054">
        <v>34.86</v>
      </c>
      <c r="E17054">
        <v>218</v>
      </c>
      <c r="F17054">
        <v>142</v>
      </c>
      <c r="G17054">
        <v>38</v>
      </c>
      <c r="H17054">
        <v>2</v>
      </c>
      <c r="I17054">
        <v>190</v>
      </c>
      <c r="J17054">
        <v>1</v>
      </c>
      <c r="K17054">
        <v>1</v>
      </c>
      <c r="L17054">
        <v>209</v>
      </c>
      <c r="M17054">
        <v>1</v>
      </c>
      <c r="N17054">
        <v>2.2598999999999999E-22</v>
      </c>
      <c r="O17054">
        <v>257</v>
      </c>
    </row>
    <row r="17055" spans="1:15" x14ac:dyDescent="0.25">
      <c r="A17055" t="s">
        <v>17068</v>
      </c>
      <c r="B17055">
        <v>202</v>
      </c>
      <c r="C17055" s="1" t="str">
        <f>HYPERLINK("http://www.rosaceae.org/gb/gbrowse/malus_x_domestica/?name=MDP0000270759","MDP0000270759")</f>
        <v>MDP0000270759</v>
      </c>
      <c r="D17055">
        <v>68.290000000000006</v>
      </c>
      <c r="E17055">
        <v>205</v>
      </c>
      <c r="F17055">
        <v>65</v>
      </c>
      <c r="G17055">
        <v>6</v>
      </c>
      <c r="H17055">
        <v>1</v>
      </c>
      <c r="I17055">
        <v>202</v>
      </c>
      <c r="J17055">
        <v>1</v>
      </c>
      <c r="K17055">
        <v>1</v>
      </c>
      <c r="L17055">
        <v>202</v>
      </c>
      <c r="M17055">
        <v>1</v>
      </c>
      <c r="N17055">
        <v>2.75981E-73</v>
      </c>
      <c r="O17055">
        <v>694</v>
      </c>
    </row>
    <row r="17056" spans="1:15" x14ac:dyDescent="0.25">
      <c r="A17056" t="s">
        <v>17069</v>
      </c>
      <c r="B17056">
        <v>383</v>
      </c>
      <c r="C17056" s="1" t="str">
        <f>HYPERLINK("http://www.rosaceae.org/gb/gbrowse/malus_x_domestica/?name=MDP0000125007","MDP0000125007")</f>
        <v>MDP0000125007</v>
      </c>
      <c r="D17056">
        <v>47.48</v>
      </c>
      <c r="E17056">
        <v>358</v>
      </c>
      <c r="F17056">
        <v>188</v>
      </c>
      <c r="G17056">
        <v>46</v>
      </c>
      <c r="H17056">
        <v>26</v>
      </c>
      <c r="I17056">
        <v>375</v>
      </c>
      <c r="J17056">
        <v>1</v>
      </c>
      <c r="K17056">
        <v>10</v>
      </c>
      <c r="L17056">
        <v>329</v>
      </c>
      <c r="M17056">
        <v>1</v>
      </c>
      <c r="N17056">
        <v>5.1121499999999996E-69</v>
      </c>
      <c r="O17056">
        <v>660</v>
      </c>
    </row>
    <row r="17057" spans="1:15" x14ac:dyDescent="0.25">
      <c r="A17057" t="s">
        <v>17070</v>
      </c>
      <c r="B17057">
        <v>395</v>
      </c>
      <c r="C17057" s="1" t="str">
        <f>HYPERLINK("http://www.rosaceae.org/gb/gbrowse/malus_x_domestica/?name=MDP0000216052","MDP0000216052")</f>
        <v>MDP0000216052</v>
      </c>
      <c r="D17057">
        <v>48.75</v>
      </c>
      <c r="E17057">
        <v>443</v>
      </c>
      <c r="F17057">
        <v>227</v>
      </c>
      <c r="G17057">
        <v>67</v>
      </c>
      <c r="H17057">
        <v>7</v>
      </c>
      <c r="I17057">
        <v>395</v>
      </c>
      <c r="J17057">
        <v>1</v>
      </c>
      <c r="K17057">
        <v>4</v>
      </c>
      <c r="L17057">
        <v>433</v>
      </c>
      <c r="M17057">
        <v>1</v>
      </c>
      <c r="N17057">
        <v>1.5766800000000001E-103</v>
      </c>
      <c r="O17057">
        <v>958</v>
      </c>
    </row>
    <row r="17058" spans="1:15" x14ac:dyDescent="0.25">
      <c r="A17058" t="s">
        <v>17071</v>
      </c>
      <c r="B17058">
        <v>137</v>
      </c>
      <c r="C17058" s="1" t="str">
        <f>HYPERLINK("http://www.rosaceae.org/gb/gbrowse/malus_x_domestica/?name=MDP0000250663","MDP0000250663")</f>
        <v>MDP0000250663</v>
      </c>
      <c r="D17058">
        <v>34.65</v>
      </c>
      <c r="E17058">
        <v>101</v>
      </c>
      <c r="F17058">
        <v>66</v>
      </c>
      <c r="G17058">
        <v>10</v>
      </c>
      <c r="H17058">
        <v>31</v>
      </c>
      <c r="I17058">
        <v>127</v>
      </c>
      <c r="J17058">
        <v>1</v>
      </c>
      <c r="K17058">
        <v>34</v>
      </c>
      <c r="L17058">
        <v>128</v>
      </c>
      <c r="M17058">
        <v>1</v>
      </c>
      <c r="N17058">
        <v>2.38455E-7</v>
      </c>
      <c r="O17058">
        <v>122</v>
      </c>
    </row>
    <row r="17059" spans="1:15" x14ac:dyDescent="0.25">
      <c r="A17059" t="s">
        <v>17072</v>
      </c>
      <c r="B17059">
        <v>247</v>
      </c>
      <c r="C17059" s="1" t="str">
        <f>HYPERLINK("http://www.rosaceae.org/gb/gbrowse/malus_x_domestica/?name=MDP0000134791","MDP0000134791")</f>
        <v>MDP0000134791</v>
      </c>
      <c r="D17059">
        <v>84.28</v>
      </c>
      <c r="E17059">
        <v>210</v>
      </c>
      <c r="F17059">
        <v>33</v>
      </c>
      <c r="G17059">
        <v>0</v>
      </c>
      <c r="H17059">
        <v>38</v>
      </c>
      <c r="I17059">
        <v>247</v>
      </c>
      <c r="J17059">
        <v>1</v>
      </c>
      <c r="K17059">
        <v>36</v>
      </c>
      <c r="L17059">
        <v>245</v>
      </c>
      <c r="M17059">
        <v>1</v>
      </c>
      <c r="N17059">
        <v>3.8362000000000003E-98</v>
      </c>
      <c r="O17059">
        <v>909</v>
      </c>
    </row>
    <row r="17060" spans="1:15" x14ac:dyDescent="0.25">
      <c r="A17060" t="s">
        <v>17073</v>
      </c>
      <c r="B17060">
        <v>938</v>
      </c>
      <c r="C17060" s="1" t="str">
        <f>HYPERLINK("http://www.rosaceae.org/gb/gbrowse/malus_x_domestica/?name=MDP0000613111","MDP0000613111")</f>
        <v>MDP0000613111</v>
      </c>
      <c r="D17060">
        <v>35.92</v>
      </c>
      <c r="E17060">
        <v>899</v>
      </c>
      <c r="F17060">
        <v>576</v>
      </c>
      <c r="G17060">
        <v>124</v>
      </c>
      <c r="H17060">
        <v>39</v>
      </c>
      <c r="I17060">
        <v>923</v>
      </c>
      <c r="J17060">
        <v>1</v>
      </c>
      <c r="K17060">
        <v>72</v>
      </c>
      <c r="L17060">
        <v>860</v>
      </c>
      <c r="M17060">
        <v>1</v>
      </c>
      <c r="N17060">
        <v>1.34638E-116</v>
      </c>
      <c r="O17060">
        <v>1075</v>
      </c>
    </row>
    <row r="17061" spans="1:15" x14ac:dyDescent="0.25">
      <c r="A17061" t="s">
        <v>17074</v>
      </c>
      <c r="B17061">
        <v>807</v>
      </c>
      <c r="C17061" s="1" t="str">
        <f>HYPERLINK("http://www.rosaceae.org/gb/gbrowse/malus_x_domestica/?name=MDP0000151974","MDP0000151974")</f>
        <v>MDP0000151974</v>
      </c>
      <c r="D17061">
        <v>65.09</v>
      </c>
      <c r="E17061">
        <v>765</v>
      </c>
      <c r="F17061">
        <v>267</v>
      </c>
      <c r="G17061">
        <v>70</v>
      </c>
      <c r="H17061">
        <v>52</v>
      </c>
      <c r="I17061">
        <v>804</v>
      </c>
      <c r="J17061">
        <v>1</v>
      </c>
      <c r="K17061">
        <v>5</v>
      </c>
      <c r="L17061">
        <v>711</v>
      </c>
      <c r="M17061">
        <v>1</v>
      </c>
      <c r="N17061">
        <v>0</v>
      </c>
      <c r="O17061">
        <v>2329</v>
      </c>
    </row>
    <row r="17062" spans="1:15" x14ac:dyDescent="0.25">
      <c r="A17062" t="s">
        <v>17075</v>
      </c>
      <c r="B17062">
        <v>140</v>
      </c>
      <c r="C17062" s="1" t="str">
        <f>HYPERLINK("http://www.rosaceae.org/gb/gbrowse/malus_x_domestica/?name=MDP0000867730","MDP0000867730")</f>
        <v>MDP0000867730</v>
      </c>
      <c r="D17062">
        <v>83.33</v>
      </c>
      <c r="E17062">
        <v>72</v>
      </c>
      <c r="F17062">
        <v>12</v>
      </c>
      <c r="G17062">
        <v>0</v>
      </c>
      <c r="H17062">
        <v>1</v>
      </c>
      <c r="I17062">
        <v>72</v>
      </c>
      <c r="J17062">
        <v>1</v>
      </c>
      <c r="K17062">
        <v>1</v>
      </c>
      <c r="L17062">
        <v>72</v>
      </c>
      <c r="M17062">
        <v>1</v>
      </c>
      <c r="N17062">
        <v>1.3518899999999999E-30</v>
      </c>
      <c r="O17062">
        <v>323</v>
      </c>
    </row>
    <row r="17063" spans="1:15" x14ac:dyDescent="0.25">
      <c r="A17063" t="s">
        <v>17076</v>
      </c>
      <c r="B17063">
        <v>398</v>
      </c>
      <c r="C17063" s="1" t="str">
        <f>HYPERLINK("http://www.rosaceae.org/gb/gbrowse/malus_x_domestica/?name=MDP0000296620","MDP0000296620")</f>
        <v>MDP0000296620</v>
      </c>
      <c r="D17063">
        <v>32.03</v>
      </c>
      <c r="E17063">
        <v>103</v>
      </c>
      <c r="F17063">
        <v>70</v>
      </c>
      <c r="G17063">
        <v>0</v>
      </c>
      <c r="H17063">
        <v>48</v>
      </c>
      <c r="I17063">
        <v>150</v>
      </c>
      <c r="J17063">
        <v>1</v>
      </c>
      <c r="K17063">
        <v>434</v>
      </c>
      <c r="L17063">
        <v>536</v>
      </c>
      <c r="M17063">
        <v>1</v>
      </c>
      <c r="N17063">
        <v>1.67953E-7</v>
      </c>
      <c r="O17063">
        <v>130</v>
      </c>
    </row>
    <row r="17064" spans="1:15" x14ac:dyDescent="0.25">
      <c r="A17064" t="s">
        <v>17077</v>
      </c>
      <c r="B17064">
        <v>2015</v>
      </c>
      <c r="C17064" s="1" t="str">
        <f>HYPERLINK("http://www.rosaceae.org/gb/gbrowse/malus_x_domestica/?name=MDP0000290663","MDP0000290663")</f>
        <v>MDP0000290663</v>
      </c>
      <c r="D17064">
        <v>77.08</v>
      </c>
      <c r="E17064">
        <v>899</v>
      </c>
      <c r="F17064">
        <v>206</v>
      </c>
      <c r="G17064">
        <v>69</v>
      </c>
      <c r="H17064">
        <v>1131</v>
      </c>
      <c r="I17064">
        <v>2015</v>
      </c>
      <c r="J17064">
        <v>1</v>
      </c>
      <c r="K17064">
        <v>1625</v>
      </c>
      <c r="L17064">
        <v>2468</v>
      </c>
      <c r="M17064">
        <v>1</v>
      </c>
      <c r="N17064">
        <v>0</v>
      </c>
      <c r="O17064">
        <v>3616</v>
      </c>
    </row>
    <row r="17065" spans="1:15" x14ac:dyDescent="0.25">
      <c r="A17065" t="s">
        <v>17078</v>
      </c>
      <c r="B17065">
        <v>611</v>
      </c>
      <c r="C17065" s="1" t="str">
        <f>HYPERLINK("http://www.rosaceae.org/gb/gbrowse/malus_x_domestica/?name=MDP0000241811","MDP0000241811")</f>
        <v>MDP0000241811</v>
      </c>
      <c r="D17065">
        <v>87.58</v>
      </c>
      <c r="E17065">
        <v>596</v>
      </c>
      <c r="F17065">
        <v>74</v>
      </c>
      <c r="G17065">
        <v>10</v>
      </c>
      <c r="H17065">
        <v>1</v>
      </c>
      <c r="I17065">
        <v>592</v>
      </c>
      <c r="J17065">
        <v>1</v>
      </c>
      <c r="K17065">
        <v>1</v>
      </c>
      <c r="L17065">
        <v>590</v>
      </c>
      <c r="M17065">
        <v>1</v>
      </c>
      <c r="N17065">
        <v>0</v>
      </c>
      <c r="O17065">
        <v>2733</v>
      </c>
    </row>
    <row r="17066" spans="1:15" x14ac:dyDescent="0.25">
      <c r="A17066" t="s">
        <v>17079</v>
      </c>
      <c r="B17066">
        <v>245</v>
      </c>
      <c r="C17066" s="1" t="str">
        <f>HYPERLINK("http://www.rosaceae.org/gb/gbrowse/malus_x_domestica/?name=MDP0000323291","MDP0000323291")</f>
        <v>MDP0000323291</v>
      </c>
      <c r="D17066">
        <v>74.38</v>
      </c>
      <c r="E17066">
        <v>242</v>
      </c>
      <c r="F17066">
        <v>62</v>
      </c>
      <c r="G17066">
        <v>8</v>
      </c>
      <c r="H17066">
        <v>6</v>
      </c>
      <c r="I17066">
        <v>245</v>
      </c>
      <c r="J17066">
        <v>1</v>
      </c>
      <c r="K17066">
        <v>3</v>
      </c>
      <c r="L17066">
        <v>238</v>
      </c>
      <c r="M17066">
        <v>1</v>
      </c>
      <c r="N17066">
        <v>6.5080100000000003E-98</v>
      </c>
      <c r="O17066">
        <v>907</v>
      </c>
    </row>
    <row r="17067" spans="1:15" x14ac:dyDescent="0.25">
      <c r="A17067" t="s">
        <v>17080</v>
      </c>
      <c r="B17067">
        <v>846</v>
      </c>
      <c r="C17067" s="1" t="str">
        <f>HYPERLINK("http://www.rosaceae.org/gb/gbrowse/malus_x_domestica/?name=MDP0000143596","MDP0000143596")</f>
        <v>MDP0000143596</v>
      </c>
      <c r="D17067">
        <v>66.34</v>
      </c>
      <c r="E17067">
        <v>835</v>
      </c>
      <c r="F17067">
        <v>281</v>
      </c>
      <c r="G17067">
        <v>35</v>
      </c>
      <c r="H17067">
        <v>1</v>
      </c>
      <c r="I17067">
        <v>801</v>
      </c>
      <c r="J17067">
        <v>1</v>
      </c>
      <c r="K17067">
        <v>1</v>
      </c>
      <c r="L17067">
        <v>834</v>
      </c>
      <c r="M17067">
        <v>1</v>
      </c>
      <c r="N17067">
        <v>0</v>
      </c>
      <c r="O17067">
        <v>2833</v>
      </c>
    </row>
    <row r="17068" spans="1:15" x14ac:dyDescent="0.25">
      <c r="A17068" t="s">
        <v>17081</v>
      </c>
      <c r="B17068">
        <v>631</v>
      </c>
      <c r="C17068" s="1" t="str">
        <f>HYPERLINK("http://www.rosaceae.org/gb/gbrowse/malus_x_domestica/?name=MDP0000191311","MDP0000191311")</f>
        <v>MDP0000191311</v>
      </c>
      <c r="D17068">
        <v>78.95</v>
      </c>
      <c r="E17068">
        <v>613</v>
      </c>
      <c r="F17068">
        <v>129</v>
      </c>
      <c r="G17068">
        <v>60</v>
      </c>
      <c r="H17068">
        <v>31</v>
      </c>
      <c r="I17068">
        <v>600</v>
      </c>
      <c r="J17068">
        <v>1</v>
      </c>
      <c r="K17068">
        <v>1</v>
      </c>
      <c r="L17068">
        <v>596</v>
      </c>
      <c r="M17068">
        <v>1</v>
      </c>
      <c r="N17068">
        <v>0</v>
      </c>
      <c r="O17068">
        <v>2589</v>
      </c>
    </row>
    <row r="17069" spans="1:15" x14ac:dyDescent="0.25">
      <c r="A17069" t="s">
        <v>17082</v>
      </c>
      <c r="B17069">
        <v>331</v>
      </c>
      <c r="C17069" s="1" t="str">
        <f>HYPERLINK("http://www.rosaceae.org/gb/gbrowse/malus_x_domestica/?name=MDP0000552310","MDP0000552310")</f>
        <v>MDP0000552310</v>
      </c>
      <c r="D17069">
        <v>61.42</v>
      </c>
      <c r="E17069">
        <v>267</v>
      </c>
      <c r="F17069">
        <v>103</v>
      </c>
      <c r="G17069">
        <v>35</v>
      </c>
      <c r="H17069">
        <v>4</v>
      </c>
      <c r="I17069">
        <v>269</v>
      </c>
      <c r="J17069">
        <v>1</v>
      </c>
      <c r="K17069">
        <v>8</v>
      </c>
      <c r="L17069">
        <v>240</v>
      </c>
      <c r="M17069">
        <v>1</v>
      </c>
      <c r="N17069">
        <v>9.0508000000000007E-89</v>
      </c>
      <c r="O17069">
        <v>830</v>
      </c>
    </row>
    <row r="17070" spans="1:15" x14ac:dyDescent="0.25">
      <c r="A17070" t="s">
        <v>17083</v>
      </c>
      <c r="B17070">
        <v>143</v>
      </c>
      <c r="C17070" s="1" t="str">
        <f>HYPERLINK("http://www.rosaceae.org/gb/gbrowse/malus_x_domestica/?name=MDP0000757192","MDP0000757192")</f>
        <v>MDP0000757192</v>
      </c>
      <c r="D17070">
        <v>75.430000000000007</v>
      </c>
      <c r="E17070">
        <v>57</v>
      </c>
      <c r="F17070">
        <v>14</v>
      </c>
      <c r="G17070">
        <v>0</v>
      </c>
      <c r="H17070">
        <v>27</v>
      </c>
      <c r="I17070">
        <v>83</v>
      </c>
      <c r="J17070">
        <v>1</v>
      </c>
      <c r="K17070">
        <v>19</v>
      </c>
      <c r="L17070">
        <v>75</v>
      </c>
      <c r="M17070">
        <v>1</v>
      </c>
      <c r="N17070">
        <v>4.1629599999999998E-19</v>
      </c>
      <c r="O17070">
        <v>224</v>
      </c>
    </row>
    <row r="17071" spans="1:15" x14ac:dyDescent="0.25">
      <c r="A17071" t="s">
        <v>17084</v>
      </c>
      <c r="B17071">
        <v>158</v>
      </c>
      <c r="C17071" s="1" t="str">
        <f>HYPERLINK("http://www.rosaceae.org/gb/gbrowse/malus_x_domestica/?name=MDP0000164633","MDP0000164633")</f>
        <v>MDP0000164633</v>
      </c>
      <c r="D17071">
        <v>68.88</v>
      </c>
      <c r="E17071">
        <v>135</v>
      </c>
      <c r="F17071">
        <v>42</v>
      </c>
      <c r="G17071">
        <v>10</v>
      </c>
      <c r="H17071">
        <v>1</v>
      </c>
      <c r="I17071">
        <v>134</v>
      </c>
      <c r="J17071">
        <v>1</v>
      </c>
      <c r="K17071">
        <v>155</v>
      </c>
      <c r="L17071">
        <v>280</v>
      </c>
      <c r="M17071">
        <v>1</v>
      </c>
      <c r="N17071">
        <v>9.1077100000000003E-48</v>
      </c>
      <c r="O17071">
        <v>472</v>
      </c>
    </row>
    <row r="17072" spans="1:15" x14ac:dyDescent="0.25">
      <c r="A17072" t="s">
        <v>17085</v>
      </c>
      <c r="B17072">
        <v>224</v>
      </c>
      <c r="C17072" s="1" t="str">
        <f>HYPERLINK("http://www.rosaceae.org/gb/gbrowse/malus_x_domestica/?name=MDP0000256195","MDP0000256195")</f>
        <v>MDP0000256195</v>
      </c>
      <c r="D17072">
        <v>65.02</v>
      </c>
      <c r="E17072">
        <v>223</v>
      </c>
      <c r="F17072">
        <v>78</v>
      </c>
      <c r="G17072">
        <v>6</v>
      </c>
      <c r="H17072">
        <v>8</v>
      </c>
      <c r="I17072">
        <v>224</v>
      </c>
      <c r="J17072">
        <v>1</v>
      </c>
      <c r="K17072">
        <v>9</v>
      </c>
      <c r="L17072">
        <v>231</v>
      </c>
      <c r="M17072">
        <v>1</v>
      </c>
      <c r="N17072">
        <v>8.36431E-82</v>
      </c>
      <c r="O17072">
        <v>768</v>
      </c>
    </row>
    <row r="17073" spans="1:15" x14ac:dyDescent="0.25">
      <c r="A17073" t="s">
        <v>17086</v>
      </c>
      <c r="B17073">
        <v>510</v>
      </c>
      <c r="C17073" s="1" t="str">
        <f>HYPERLINK("http://www.rosaceae.org/gb/gbrowse/malus_x_domestica/?name=MDP0000263333","MDP0000263333")</f>
        <v>MDP0000263333</v>
      </c>
      <c r="D17073">
        <v>63.02</v>
      </c>
      <c r="E17073">
        <v>568</v>
      </c>
      <c r="F17073">
        <v>210</v>
      </c>
      <c r="G17073">
        <v>73</v>
      </c>
      <c r="H17073">
        <v>1</v>
      </c>
      <c r="I17073">
        <v>502</v>
      </c>
      <c r="J17073">
        <v>1</v>
      </c>
      <c r="K17073">
        <v>1</v>
      </c>
      <c r="L17073">
        <v>561</v>
      </c>
      <c r="M17073">
        <v>1</v>
      </c>
      <c r="N17073">
        <v>0</v>
      </c>
      <c r="O17073">
        <v>1739</v>
      </c>
    </row>
    <row r="17074" spans="1:15" x14ac:dyDescent="0.25">
      <c r="A17074" t="s">
        <v>17087</v>
      </c>
      <c r="B17074">
        <v>445</v>
      </c>
      <c r="C17074" s="1" t="str">
        <f>HYPERLINK("http://www.rosaceae.org/gb/gbrowse/malus_x_domestica/?name=MDP0000802237","MDP0000802237")</f>
        <v>MDP0000802237</v>
      </c>
      <c r="D17074">
        <v>54.3</v>
      </c>
      <c r="E17074">
        <v>302</v>
      </c>
      <c r="F17074">
        <v>138</v>
      </c>
      <c r="G17074">
        <v>16</v>
      </c>
      <c r="H17074">
        <v>138</v>
      </c>
      <c r="I17074">
        <v>439</v>
      </c>
      <c r="J17074">
        <v>1</v>
      </c>
      <c r="K17074">
        <v>89</v>
      </c>
      <c r="L17074">
        <v>374</v>
      </c>
      <c r="M17074">
        <v>1</v>
      </c>
      <c r="N17074">
        <v>6.7190199999999999E-91</v>
      </c>
      <c r="O17074">
        <v>850</v>
      </c>
    </row>
    <row r="17075" spans="1:15" x14ac:dyDescent="0.25">
      <c r="A17075" t="s">
        <v>17088</v>
      </c>
      <c r="B17075">
        <v>266</v>
      </c>
      <c r="C17075" s="1" t="str">
        <f>HYPERLINK("http://www.rosaceae.org/gb/gbrowse/malus_x_domestica/?name=MDP0000296620","MDP0000296620")</f>
        <v>MDP0000296620</v>
      </c>
      <c r="D17075">
        <v>63.75</v>
      </c>
      <c r="E17075">
        <v>160</v>
      </c>
      <c r="F17075">
        <v>58</v>
      </c>
      <c r="G17075">
        <v>0</v>
      </c>
      <c r="H17075">
        <v>102</v>
      </c>
      <c r="I17075">
        <v>261</v>
      </c>
      <c r="J17075">
        <v>1</v>
      </c>
      <c r="K17075">
        <v>425</v>
      </c>
      <c r="L17075">
        <v>584</v>
      </c>
      <c r="M17075">
        <v>1</v>
      </c>
      <c r="N17075">
        <v>3.0894800000000001E-53</v>
      </c>
      <c r="O17075">
        <v>522</v>
      </c>
    </row>
    <row r="17076" spans="1:15" x14ac:dyDescent="0.25">
      <c r="A17076" t="s">
        <v>17089</v>
      </c>
      <c r="B17076">
        <v>111</v>
      </c>
      <c r="C17076" s="1" t="str">
        <f>HYPERLINK("http://www.rosaceae.org/gb/gbrowse/malus_x_domestica/?name=MDP0000128910","MDP0000128910")</f>
        <v>MDP0000128910</v>
      </c>
      <c r="D17076">
        <v>51.26</v>
      </c>
      <c r="E17076">
        <v>119</v>
      </c>
      <c r="F17076">
        <v>58</v>
      </c>
      <c r="G17076">
        <v>15</v>
      </c>
      <c r="H17076">
        <v>1</v>
      </c>
      <c r="I17076">
        <v>111</v>
      </c>
      <c r="J17076">
        <v>1</v>
      </c>
      <c r="K17076">
        <v>1</v>
      </c>
      <c r="L17076">
        <v>112</v>
      </c>
      <c r="M17076">
        <v>1</v>
      </c>
      <c r="N17076">
        <v>2.2148900000000001E-19</v>
      </c>
      <c r="O17076">
        <v>225</v>
      </c>
    </row>
    <row r="17077" spans="1:15" x14ac:dyDescent="0.25">
      <c r="A17077" t="s">
        <v>17090</v>
      </c>
      <c r="B17077">
        <v>412</v>
      </c>
      <c r="C17077" s="1" t="str">
        <f>HYPERLINK("http://www.rosaceae.org/gb/gbrowse/malus_x_domestica/?name=MDP0000289009","MDP0000289009")</f>
        <v>MDP0000289009</v>
      </c>
      <c r="D17077">
        <v>30.71</v>
      </c>
      <c r="E17077">
        <v>521</v>
      </c>
      <c r="F17077">
        <v>361</v>
      </c>
      <c r="G17077">
        <v>147</v>
      </c>
      <c r="H17077">
        <v>4</v>
      </c>
      <c r="I17077">
        <v>386</v>
      </c>
      <c r="J17077">
        <v>1</v>
      </c>
      <c r="K17077">
        <v>590</v>
      </c>
      <c r="L17077">
        <v>1101</v>
      </c>
      <c r="M17077">
        <v>1</v>
      </c>
      <c r="N17077">
        <v>6.6548900000000001E-53</v>
      </c>
      <c r="O17077">
        <v>522</v>
      </c>
    </row>
    <row r="17078" spans="1:15" x14ac:dyDescent="0.25">
      <c r="A17078" t="s">
        <v>17091</v>
      </c>
      <c r="B17078">
        <v>538</v>
      </c>
      <c r="C17078" s="1" t="str">
        <f>HYPERLINK("http://www.rosaceae.org/gb/gbrowse/malus_x_domestica/?name=MDP0000237591","MDP0000237591")</f>
        <v>MDP0000237591</v>
      </c>
      <c r="D17078">
        <v>57.81</v>
      </c>
      <c r="E17078">
        <v>339</v>
      </c>
      <c r="F17078">
        <v>143</v>
      </c>
      <c r="G17078">
        <v>35</v>
      </c>
      <c r="H17078">
        <v>67</v>
      </c>
      <c r="I17078">
        <v>380</v>
      </c>
      <c r="J17078">
        <v>1</v>
      </c>
      <c r="K17078">
        <v>1</v>
      </c>
      <c r="L17078">
        <v>329</v>
      </c>
      <c r="M17078">
        <v>1</v>
      </c>
      <c r="N17078">
        <v>1.6031900000000001E-95</v>
      </c>
      <c r="O17078">
        <v>891</v>
      </c>
    </row>
    <row r="17079" spans="1:15" x14ac:dyDescent="0.25">
      <c r="A17079" t="s">
        <v>17092</v>
      </c>
      <c r="B17079">
        <v>502</v>
      </c>
      <c r="C17079" s="1" t="str">
        <f>HYPERLINK("http://www.rosaceae.org/gb/gbrowse/malus_x_domestica/?name=MDP0000917324","MDP0000917324")</f>
        <v>MDP0000917324</v>
      </c>
      <c r="D17079">
        <v>60.88</v>
      </c>
      <c r="E17079">
        <v>450</v>
      </c>
      <c r="F17079">
        <v>176</v>
      </c>
      <c r="G17079">
        <v>15</v>
      </c>
      <c r="H17079">
        <v>5</v>
      </c>
      <c r="I17079">
        <v>443</v>
      </c>
      <c r="J17079">
        <v>1</v>
      </c>
      <c r="K17079">
        <v>2</v>
      </c>
      <c r="L17079">
        <v>447</v>
      </c>
      <c r="M17079">
        <v>1</v>
      </c>
      <c r="N17079">
        <v>1.46463E-134</v>
      </c>
      <c r="O17079">
        <v>1227</v>
      </c>
    </row>
    <row r="17080" spans="1:15" x14ac:dyDescent="0.25">
      <c r="A17080" t="s">
        <v>17093</v>
      </c>
      <c r="B17080">
        <v>742</v>
      </c>
      <c r="C17080" s="1" t="str">
        <f>HYPERLINK("http://www.rosaceae.org/gb/gbrowse/malus_x_domestica/?name=MDP0000275440","MDP0000275440")</f>
        <v>MDP0000275440</v>
      </c>
      <c r="D17080">
        <v>55.81</v>
      </c>
      <c r="E17080">
        <v>783</v>
      </c>
      <c r="F17080">
        <v>346</v>
      </c>
      <c r="G17080">
        <v>104</v>
      </c>
      <c r="H17080">
        <v>25</v>
      </c>
      <c r="I17080">
        <v>713</v>
      </c>
      <c r="J17080">
        <v>1</v>
      </c>
      <c r="K17080">
        <v>150</v>
      </c>
      <c r="L17080">
        <v>922</v>
      </c>
      <c r="M17080">
        <v>1</v>
      </c>
      <c r="N17080">
        <v>0</v>
      </c>
      <c r="O17080">
        <v>2148</v>
      </c>
    </row>
    <row r="17081" spans="1:15" x14ac:dyDescent="0.25">
      <c r="A17081" t="s">
        <v>17094</v>
      </c>
      <c r="B17081">
        <v>966</v>
      </c>
      <c r="C17081" s="1" t="str">
        <f>HYPERLINK("http://www.rosaceae.org/gb/gbrowse/malus_x_domestica/?name=MDP0000707092","MDP0000707092")</f>
        <v>MDP0000707092</v>
      </c>
      <c r="D17081">
        <v>52.09</v>
      </c>
      <c r="E17081">
        <v>622</v>
      </c>
      <c r="F17081">
        <v>298</v>
      </c>
      <c r="G17081">
        <v>60</v>
      </c>
      <c r="H17081">
        <v>1</v>
      </c>
      <c r="I17081">
        <v>604</v>
      </c>
      <c r="J17081">
        <v>1</v>
      </c>
      <c r="K17081">
        <v>1</v>
      </c>
      <c r="L17081">
        <v>580</v>
      </c>
      <c r="M17081">
        <v>1</v>
      </c>
      <c r="N17081">
        <v>1.5182899999999999E-162</v>
      </c>
      <c r="O17081">
        <v>1471</v>
      </c>
    </row>
    <row r="17082" spans="1:15" x14ac:dyDescent="0.25">
      <c r="A17082" t="s">
        <v>17095</v>
      </c>
      <c r="B17082">
        <v>549</v>
      </c>
      <c r="C17082" s="1" t="str">
        <f>HYPERLINK("http://www.rosaceae.org/gb/gbrowse/malus_x_domestica/?name=MDP0000290600","MDP0000290600")</f>
        <v>MDP0000290600</v>
      </c>
      <c r="D17082">
        <v>67</v>
      </c>
      <c r="E17082">
        <v>497</v>
      </c>
      <c r="F17082">
        <v>164</v>
      </c>
      <c r="G17082">
        <v>12</v>
      </c>
      <c r="H17082">
        <v>10</v>
      </c>
      <c r="I17082">
        <v>495</v>
      </c>
      <c r="J17082">
        <v>1</v>
      </c>
      <c r="K17082">
        <v>14</v>
      </c>
      <c r="L17082">
        <v>509</v>
      </c>
      <c r="M17082">
        <v>1</v>
      </c>
      <c r="N17082">
        <v>0</v>
      </c>
      <c r="O17082">
        <v>1705</v>
      </c>
    </row>
    <row r="17083" spans="1:15" x14ac:dyDescent="0.25">
      <c r="A17083" t="s">
        <v>17096</v>
      </c>
      <c r="B17083">
        <v>211</v>
      </c>
      <c r="C17083" s="1" t="str">
        <f>HYPERLINK("http://www.rosaceae.org/gb/gbrowse/malus_x_domestica/?name=MDP0000137468","MDP0000137468")</f>
        <v>MDP0000137468</v>
      </c>
      <c r="D17083">
        <v>70.61</v>
      </c>
      <c r="E17083">
        <v>211</v>
      </c>
      <c r="F17083">
        <v>62</v>
      </c>
      <c r="G17083">
        <v>1</v>
      </c>
      <c r="H17083">
        <v>1</v>
      </c>
      <c r="I17083">
        <v>211</v>
      </c>
      <c r="J17083">
        <v>1</v>
      </c>
      <c r="K17083">
        <v>1</v>
      </c>
      <c r="L17083">
        <v>210</v>
      </c>
      <c r="M17083">
        <v>1</v>
      </c>
      <c r="N17083">
        <v>4.6055400000000005E-75</v>
      </c>
      <c r="O17083">
        <v>709</v>
      </c>
    </row>
    <row r="17084" spans="1:15" x14ac:dyDescent="0.25">
      <c r="A17084" t="s">
        <v>17097</v>
      </c>
      <c r="B17084">
        <v>1136</v>
      </c>
      <c r="C17084" s="1" t="str">
        <f>HYPERLINK("http://www.rosaceae.org/gb/gbrowse/malus_x_domestica/?name=MDP0000242926","MDP0000242926")</f>
        <v>MDP0000242926</v>
      </c>
      <c r="D17084">
        <v>76.569999999999993</v>
      </c>
      <c r="E17084">
        <v>1076</v>
      </c>
      <c r="F17084">
        <v>252</v>
      </c>
      <c r="G17084">
        <v>1</v>
      </c>
      <c r="H17084">
        <v>8</v>
      </c>
      <c r="I17084">
        <v>1082</v>
      </c>
      <c r="J17084">
        <v>1</v>
      </c>
      <c r="K17084">
        <v>339</v>
      </c>
      <c r="L17084">
        <v>1414</v>
      </c>
      <c r="M17084">
        <v>1</v>
      </c>
      <c r="N17084">
        <v>0</v>
      </c>
      <c r="O17084">
        <v>4431</v>
      </c>
    </row>
    <row r="17085" spans="1:15" x14ac:dyDescent="0.25">
      <c r="A17085" t="s">
        <v>17098</v>
      </c>
      <c r="B17085">
        <v>335</v>
      </c>
      <c r="C17085" s="1" t="str">
        <f>HYPERLINK("http://www.rosaceae.org/gb/gbrowse/malus_x_domestica/?name=MDP0000694976","MDP0000694976")</f>
        <v>MDP0000694976</v>
      </c>
      <c r="D17085">
        <v>38.36</v>
      </c>
      <c r="E17085">
        <v>318</v>
      </c>
      <c r="F17085">
        <v>196</v>
      </c>
      <c r="G17085">
        <v>43</v>
      </c>
      <c r="H17085">
        <v>37</v>
      </c>
      <c r="I17085">
        <v>335</v>
      </c>
      <c r="J17085">
        <v>1</v>
      </c>
      <c r="K17085">
        <v>67</v>
      </c>
      <c r="L17085">
        <v>360</v>
      </c>
      <c r="M17085">
        <v>1</v>
      </c>
      <c r="N17085">
        <v>8.5767799999999995E-47</v>
      </c>
      <c r="O17085">
        <v>468</v>
      </c>
    </row>
    <row r="17086" spans="1:15" x14ac:dyDescent="0.25">
      <c r="A17086" t="s">
        <v>17099</v>
      </c>
      <c r="B17086">
        <v>110</v>
      </c>
      <c r="C17086" s="1" t="str">
        <f>HYPERLINK("http://www.rosaceae.org/gb/gbrowse/malus_x_domestica/?name=MDP0000178612","MDP0000178612")</f>
        <v>MDP0000178612</v>
      </c>
      <c r="D17086">
        <v>85.71</v>
      </c>
      <c r="E17086">
        <v>63</v>
      </c>
      <c r="F17086">
        <v>9</v>
      </c>
      <c r="G17086">
        <v>0</v>
      </c>
      <c r="H17086">
        <v>1</v>
      </c>
      <c r="I17086">
        <v>63</v>
      </c>
      <c r="J17086">
        <v>1</v>
      </c>
      <c r="K17086">
        <v>294</v>
      </c>
      <c r="L17086">
        <v>356</v>
      </c>
      <c r="M17086">
        <v>1</v>
      </c>
      <c r="N17086">
        <v>8.8425099999999994E-27</v>
      </c>
      <c r="O17086">
        <v>288</v>
      </c>
    </row>
    <row r="17087" spans="1:15" x14ac:dyDescent="0.25">
      <c r="A17087" t="s">
        <v>17100</v>
      </c>
      <c r="B17087">
        <v>102</v>
      </c>
      <c r="C17087" s="1" t="str">
        <f>HYPERLINK("http://www.rosaceae.org/gb/gbrowse/malus_x_domestica/?name=MDP0000737134","MDP0000737134")</f>
        <v>MDP0000737134</v>
      </c>
      <c r="D17087">
        <v>87.25</v>
      </c>
      <c r="E17087">
        <v>102</v>
      </c>
      <c r="F17087">
        <v>13</v>
      </c>
      <c r="G17087">
        <v>1</v>
      </c>
      <c r="H17087">
        <v>1</v>
      </c>
      <c r="I17087">
        <v>102</v>
      </c>
      <c r="J17087">
        <v>1</v>
      </c>
      <c r="K17087">
        <v>492</v>
      </c>
      <c r="L17087">
        <v>592</v>
      </c>
      <c r="M17087">
        <v>1</v>
      </c>
      <c r="N17087">
        <v>3.8961299999999996E-40</v>
      </c>
      <c r="O17087">
        <v>404</v>
      </c>
    </row>
    <row r="17088" spans="1:15" x14ac:dyDescent="0.25">
      <c r="A17088" t="s">
        <v>17101</v>
      </c>
      <c r="B17088">
        <v>207</v>
      </c>
      <c r="C17088" s="1" t="str">
        <f>HYPERLINK("http://www.rosaceae.org/gb/gbrowse/malus_x_domestica/?name=MDP0000708928","MDP0000708928")</f>
        <v>MDP0000708928</v>
      </c>
      <c r="D17088">
        <v>68.63</v>
      </c>
      <c r="E17088">
        <v>220</v>
      </c>
      <c r="F17088">
        <v>69</v>
      </c>
      <c r="G17088">
        <v>42</v>
      </c>
      <c r="H17088">
        <v>30</v>
      </c>
      <c r="I17088">
        <v>207</v>
      </c>
      <c r="J17088">
        <v>1</v>
      </c>
      <c r="K17088">
        <v>46</v>
      </c>
      <c r="L17088">
        <v>265</v>
      </c>
      <c r="M17088">
        <v>1</v>
      </c>
      <c r="N17088">
        <v>1.7865099999999999E-79</v>
      </c>
      <c r="O17088">
        <v>747</v>
      </c>
    </row>
    <row r="17089" spans="1:15" x14ac:dyDescent="0.25">
      <c r="A17089" t="s">
        <v>17102</v>
      </c>
      <c r="B17089">
        <v>383</v>
      </c>
      <c r="C17089" s="1" t="str">
        <f>HYPERLINK("http://www.rosaceae.org/gb/gbrowse/malus_x_domestica/?name=MDP0000213552","MDP0000213552")</f>
        <v>MDP0000213552</v>
      </c>
      <c r="D17089">
        <v>48.61</v>
      </c>
      <c r="E17089">
        <v>360</v>
      </c>
      <c r="F17089">
        <v>185</v>
      </c>
      <c r="G17089">
        <v>7</v>
      </c>
      <c r="H17089">
        <v>1</v>
      </c>
      <c r="I17089">
        <v>356</v>
      </c>
      <c r="J17089">
        <v>1</v>
      </c>
      <c r="K17089">
        <v>507</v>
      </c>
      <c r="L17089">
        <v>863</v>
      </c>
      <c r="M17089">
        <v>1</v>
      </c>
      <c r="N17089">
        <v>2.6788400000000002E-82</v>
      </c>
      <c r="O17089">
        <v>775</v>
      </c>
    </row>
    <row r="17090" spans="1:15" x14ac:dyDescent="0.25">
      <c r="A17090" t="s">
        <v>17103</v>
      </c>
      <c r="B17090">
        <v>834</v>
      </c>
      <c r="C17090" s="1" t="str">
        <f>HYPERLINK("http://www.rosaceae.org/gb/gbrowse/malus_x_domestica/?name=MDP0000237182","MDP0000237182")</f>
        <v>MDP0000237182</v>
      </c>
      <c r="D17090">
        <v>30.79</v>
      </c>
      <c r="E17090">
        <v>315</v>
      </c>
      <c r="F17090">
        <v>218</v>
      </c>
      <c r="G17090">
        <v>32</v>
      </c>
      <c r="H17090">
        <v>189</v>
      </c>
      <c r="I17090">
        <v>493</v>
      </c>
      <c r="J17090">
        <v>1</v>
      </c>
      <c r="K17090">
        <v>228</v>
      </c>
      <c r="L17090">
        <v>520</v>
      </c>
      <c r="M17090">
        <v>1</v>
      </c>
      <c r="N17090">
        <v>4.4569400000000001E-30</v>
      </c>
      <c r="O17090">
        <v>328</v>
      </c>
    </row>
    <row r="17091" spans="1:15" x14ac:dyDescent="0.25">
      <c r="A17091" t="s">
        <v>17104</v>
      </c>
      <c r="B17091">
        <v>322</v>
      </c>
      <c r="C17091" s="1" t="str">
        <f>HYPERLINK("http://www.rosaceae.org/gb/gbrowse/malus_x_domestica/?name=MDP0000946552","MDP0000946552")</f>
        <v>MDP0000946552</v>
      </c>
      <c r="D17091">
        <v>64.53</v>
      </c>
      <c r="E17091">
        <v>313</v>
      </c>
      <c r="F17091">
        <v>111</v>
      </c>
      <c r="G17091">
        <v>3</v>
      </c>
      <c r="H17091">
        <v>3</v>
      </c>
      <c r="I17091">
        <v>312</v>
      </c>
      <c r="J17091">
        <v>1</v>
      </c>
      <c r="K17091">
        <v>1</v>
      </c>
      <c r="L17091">
        <v>313</v>
      </c>
      <c r="M17091">
        <v>1</v>
      </c>
      <c r="N17091">
        <v>4.2408799999999999E-118</v>
      </c>
      <c r="O17091">
        <v>1083</v>
      </c>
    </row>
    <row r="17092" spans="1:15" x14ac:dyDescent="0.25">
      <c r="A17092" t="s">
        <v>17105</v>
      </c>
      <c r="B17092">
        <v>925</v>
      </c>
      <c r="C17092" s="1" t="str">
        <f>HYPERLINK("http://www.rosaceae.org/gb/gbrowse/malus_x_domestica/?name=MDP0000235902","MDP0000235902")</f>
        <v>MDP0000235902</v>
      </c>
      <c r="D17092">
        <v>30.92</v>
      </c>
      <c r="E17092">
        <v>291</v>
      </c>
      <c r="F17092">
        <v>201</v>
      </c>
      <c r="G17092">
        <v>22</v>
      </c>
      <c r="H17092">
        <v>586</v>
      </c>
      <c r="I17092">
        <v>873</v>
      </c>
      <c r="J17092">
        <v>1</v>
      </c>
      <c r="K17092">
        <v>230</v>
      </c>
      <c r="L17092">
        <v>501</v>
      </c>
      <c r="M17092">
        <v>1</v>
      </c>
      <c r="N17092">
        <v>2.3208099999999998E-25</v>
      </c>
      <c r="O17092">
        <v>288</v>
      </c>
    </row>
    <row r="17093" spans="1:15" x14ac:dyDescent="0.25">
      <c r="A17093" t="s">
        <v>17106</v>
      </c>
      <c r="B17093">
        <v>493</v>
      </c>
      <c r="C17093" s="1" t="str">
        <f>HYPERLINK("http://www.rosaceae.org/gb/gbrowse/malus_x_domestica/?name=MDP0000251499","MDP0000251499")</f>
        <v>MDP0000251499</v>
      </c>
      <c r="D17093">
        <v>28.32</v>
      </c>
      <c r="E17093">
        <v>346</v>
      </c>
      <c r="F17093">
        <v>248</v>
      </c>
      <c r="G17093">
        <v>65</v>
      </c>
      <c r="H17093">
        <v>210</v>
      </c>
      <c r="I17093">
        <v>491</v>
      </c>
      <c r="J17093">
        <v>1</v>
      </c>
      <c r="K17093">
        <v>84</v>
      </c>
      <c r="L17093">
        <v>428</v>
      </c>
      <c r="M17093">
        <v>1</v>
      </c>
      <c r="N17093">
        <v>7.9048500000000003E-24</v>
      </c>
      <c r="O17093">
        <v>272</v>
      </c>
    </row>
    <row r="17094" spans="1:15" x14ac:dyDescent="0.25">
      <c r="A17094" t="s">
        <v>17107</v>
      </c>
      <c r="B17094">
        <v>350</v>
      </c>
      <c r="C17094" s="1" t="str">
        <f>HYPERLINK("http://www.rosaceae.org/gb/gbrowse/malus_x_domestica/?name=MDP0000317158","MDP0000317158")</f>
        <v>MDP0000317158</v>
      </c>
      <c r="D17094">
        <v>76.28</v>
      </c>
      <c r="E17094">
        <v>350</v>
      </c>
      <c r="F17094">
        <v>83</v>
      </c>
      <c r="G17094">
        <v>0</v>
      </c>
      <c r="H17094">
        <v>1</v>
      </c>
      <c r="I17094">
        <v>350</v>
      </c>
      <c r="J17094">
        <v>1</v>
      </c>
      <c r="K17094">
        <v>1</v>
      </c>
      <c r="L17094">
        <v>350</v>
      </c>
      <c r="M17094">
        <v>1</v>
      </c>
      <c r="N17094">
        <v>5.8191600000000004E-163</v>
      </c>
      <c r="O17094">
        <v>1470</v>
      </c>
    </row>
    <row r="17095" spans="1:15" x14ac:dyDescent="0.25">
      <c r="A17095" t="s">
        <v>17108</v>
      </c>
      <c r="B17095">
        <v>444</v>
      </c>
      <c r="C17095" s="1" t="str">
        <f>HYPERLINK("http://www.rosaceae.org/gb/gbrowse/malus_x_domestica/?name=MDP0000121023","MDP0000121023")</f>
        <v>MDP0000121023</v>
      </c>
      <c r="D17095">
        <v>69.67</v>
      </c>
      <c r="E17095">
        <v>277</v>
      </c>
      <c r="F17095">
        <v>84</v>
      </c>
      <c r="G17095">
        <v>26</v>
      </c>
      <c r="H17095">
        <v>35</v>
      </c>
      <c r="I17095">
        <v>286</v>
      </c>
      <c r="J17095">
        <v>1</v>
      </c>
      <c r="K17095">
        <v>39</v>
      </c>
      <c r="L17095">
        <v>314</v>
      </c>
      <c r="M17095">
        <v>1</v>
      </c>
      <c r="N17095">
        <v>8.6987600000000006E-111</v>
      </c>
      <c r="O17095">
        <v>1021</v>
      </c>
    </row>
    <row r="17096" spans="1:15" x14ac:dyDescent="0.25">
      <c r="A17096" t="s">
        <v>17109</v>
      </c>
      <c r="B17096">
        <v>407</v>
      </c>
      <c r="C17096" s="1" t="str">
        <f>HYPERLINK("http://www.rosaceae.org/gb/gbrowse/malus_x_domestica/?name=MDP0000012693","MDP0000012693")</f>
        <v>MDP0000012693</v>
      </c>
      <c r="D17096">
        <v>71.97</v>
      </c>
      <c r="E17096">
        <v>364</v>
      </c>
      <c r="F17096">
        <v>102</v>
      </c>
      <c r="G17096">
        <v>42</v>
      </c>
      <c r="H17096">
        <v>14</v>
      </c>
      <c r="I17096">
        <v>335</v>
      </c>
      <c r="J17096">
        <v>1</v>
      </c>
      <c r="K17096">
        <v>168</v>
      </c>
      <c r="L17096">
        <v>531</v>
      </c>
      <c r="M17096">
        <v>1</v>
      </c>
      <c r="N17096">
        <v>8.0303000000000004E-154</v>
      </c>
      <c r="O17096">
        <v>1392</v>
      </c>
    </row>
    <row r="17097" spans="1:15" x14ac:dyDescent="0.25">
      <c r="A17097" t="s">
        <v>17110</v>
      </c>
      <c r="B17097">
        <v>385</v>
      </c>
      <c r="C17097" s="1" t="str">
        <f>HYPERLINK("http://www.rosaceae.org/gb/gbrowse/malus_x_domestica/?name=MDP0000172852","MDP0000172852")</f>
        <v>MDP0000172852</v>
      </c>
      <c r="D17097">
        <v>73.55</v>
      </c>
      <c r="E17097">
        <v>397</v>
      </c>
      <c r="F17097">
        <v>105</v>
      </c>
      <c r="G17097">
        <v>45</v>
      </c>
      <c r="H17097">
        <v>1</v>
      </c>
      <c r="I17097">
        <v>358</v>
      </c>
      <c r="J17097">
        <v>1</v>
      </c>
      <c r="K17097">
        <v>1</v>
      </c>
      <c r="L17097">
        <v>391</v>
      </c>
      <c r="M17097">
        <v>1</v>
      </c>
      <c r="N17097">
        <v>2.1038899999999999E-163</v>
      </c>
      <c r="O17097">
        <v>1474</v>
      </c>
    </row>
    <row r="17098" spans="1:15" x14ac:dyDescent="0.25">
      <c r="A17098" t="s">
        <v>17111</v>
      </c>
      <c r="B17098">
        <v>409</v>
      </c>
      <c r="C17098" s="1" t="str">
        <f>HYPERLINK("http://www.rosaceae.org/gb/gbrowse/malus_x_domestica/?name=MDP0000263137","MDP0000263137")</f>
        <v>MDP0000263137</v>
      </c>
      <c r="D17098">
        <v>57.5</v>
      </c>
      <c r="E17098">
        <v>400</v>
      </c>
      <c r="F17098">
        <v>170</v>
      </c>
      <c r="G17098">
        <v>12</v>
      </c>
      <c r="H17098">
        <v>11</v>
      </c>
      <c r="I17098">
        <v>409</v>
      </c>
      <c r="J17098">
        <v>1</v>
      </c>
      <c r="K17098">
        <v>12</v>
      </c>
      <c r="L17098">
        <v>400</v>
      </c>
      <c r="M17098">
        <v>1</v>
      </c>
      <c r="N17098">
        <v>2.2288600000000002E-137</v>
      </c>
      <c r="O17098">
        <v>1250</v>
      </c>
    </row>
    <row r="17099" spans="1:15" x14ac:dyDescent="0.25">
      <c r="A17099" t="s">
        <v>17112</v>
      </c>
      <c r="B17099">
        <v>870</v>
      </c>
      <c r="C17099" s="1" t="str">
        <f>HYPERLINK("http://www.rosaceae.org/gb/gbrowse/malus_x_domestica/?name=MDP0000909874","MDP0000909874")</f>
        <v>MDP0000909874</v>
      </c>
      <c r="D17099">
        <v>67.040000000000006</v>
      </c>
      <c r="E17099">
        <v>528</v>
      </c>
      <c r="F17099">
        <v>174</v>
      </c>
      <c r="G17099">
        <v>14</v>
      </c>
      <c r="H17099">
        <v>355</v>
      </c>
      <c r="I17099">
        <v>870</v>
      </c>
      <c r="J17099">
        <v>1</v>
      </c>
      <c r="K17099">
        <v>3</v>
      </c>
      <c r="L17099">
        <v>528</v>
      </c>
      <c r="M17099">
        <v>1</v>
      </c>
      <c r="N17099">
        <v>0</v>
      </c>
      <c r="O17099">
        <v>1859</v>
      </c>
    </row>
    <row r="17100" spans="1:15" x14ac:dyDescent="0.25">
      <c r="A17100" t="s">
        <v>17113</v>
      </c>
      <c r="B17100">
        <v>303</v>
      </c>
      <c r="C17100" s="1" t="str">
        <f>HYPERLINK("http://www.rosaceae.org/gb/gbrowse/malus_x_domestica/?name=MDP0000255134","MDP0000255134")</f>
        <v>MDP0000255134</v>
      </c>
      <c r="D17100">
        <v>41.46</v>
      </c>
      <c r="E17100">
        <v>205</v>
      </c>
      <c r="F17100">
        <v>120</v>
      </c>
      <c r="G17100">
        <v>25</v>
      </c>
      <c r="H17100">
        <v>122</v>
      </c>
      <c r="I17100">
        <v>303</v>
      </c>
      <c r="J17100">
        <v>1</v>
      </c>
      <c r="K17100">
        <v>224</v>
      </c>
      <c r="L17100">
        <v>426</v>
      </c>
      <c r="M17100">
        <v>1</v>
      </c>
      <c r="N17100">
        <v>1.4347099999999999E-32</v>
      </c>
      <c r="O17100">
        <v>345</v>
      </c>
    </row>
    <row r="17101" spans="1:15" x14ac:dyDescent="0.25">
      <c r="A17101" t="s">
        <v>17114</v>
      </c>
      <c r="B17101">
        <v>508</v>
      </c>
      <c r="C17101" s="1" t="str">
        <f>HYPERLINK("http://www.rosaceae.org/gb/gbrowse/malus_x_domestica/?name=MDP0000639167","MDP0000639167")</f>
        <v>MDP0000639167</v>
      </c>
      <c r="D17101">
        <v>73.66</v>
      </c>
      <c r="E17101">
        <v>505</v>
      </c>
      <c r="F17101">
        <v>133</v>
      </c>
      <c r="G17101">
        <v>5</v>
      </c>
      <c r="H17101">
        <v>1</v>
      </c>
      <c r="I17101">
        <v>501</v>
      </c>
      <c r="J17101">
        <v>1</v>
      </c>
      <c r="K17101">
        <v>1</v>
      </c>
      <c r="L17101">
        <v>504</v>
      </c>
      <c r="M17101">
        <v>1</v>
      </c>
      <c r="N17101">
        <v>0</v>
      </c>
      <c r="O17101">
        <v>1960</v>
      </c>
    </row>
    <row r="17102" spans="1:15" x14ac:dyDescent="0.25">
      <c r="A17102" t="s">
        <v>17115</v>
      </c>
      <c r="B17102">
        <v>249</v>
      </c>
      <c r="C17102" s="1" t="str">
        <f>HYPERLINK("http://www.rosaceae.org/gb/gbrowse/malus_x_domestica/?name=MDP0000366022","MDP0000366022")</f>
        <v>MDP0000366022</v>
      </c>
      <c r="D17102">
        <v>75</v>
      </c>
      <c r="E17102">
        <v>252</v>
      </c>
      <c r="F17102">
        <v>63</v>
      </c>
      <c r="G17102">
        <v>9</v>
      </c>
      <c r="H17102">
        <v>1</v>
      </c>
      <c r="I17102">
        <v>249</v>
      </c>
      <c r="J17102">
        <v>1</v>
      </c>
      <c r="K17102">
        <v>7</v>
      </c>
      <c r="L17102">
        <v>252</v>
      </c>
      <c r="M17102">
        <v>1</v>
      </c>
      <c r="N17102">
        <v>6.1994999999999994E-101</v>
      </c>
      <c r="O17102">
        <v>933</v>
      </c>
    </row>
    <row r="17103" spans="1:15" x14ac:dyDescent="0.25">
      <c r="A17103" t="s">
        <v>17116</v>
      </c>
      <c r="B17103">
        <v>108</v>
      </c>
      <c r="C17103" s="1" t="str">
        <f>HYPERLINK("http://www.rosaceae.org/gb/gbrowse/malus_x_domestica/?name=MDP0000186550","MDP0000186550")</f>
        <v>MDP0000186550</v>
      </c>
      <c r="D17103">
        <v>78.260000000000005</v>
      </c>
      <c r="E17103">
        <v>69</v>
      </c>
      <c r="F17103">
        <v>15</v>
      </c>
      <c r="G17103">
        <v>1</v>
      </c>
      <c r="H17103">
        <v>40</v>
      </c>
      <c r="I17103">
        <v>107</v>
      </c>
      <c r="J17103">
        <v>1</v>
      </c>
      <c r="K17103">
        <v>1</v>
      </c>
      <c r="L17103">
        <v>69</v>
      </c>
      <c r="M17103">
        <v>1</v>
      </c>
      <c r="N17103">
        <v>4.5710100000000002E-24</v>
      </c>
      <c r="O17103">
        <v>265</v>
      </c>
    </row>
    <row r="17104" spans="1:15" x14ac:dyDescent="0.25">
      <c r="A17104" t="s">
        <v>17117</v>
      </c>
      <c r="B17104">
        <v>404</v>
      </c>
      <c r="C17104" s="1" t="str">
        <f>HYPERLINK("http://www.rosaceae.org/gb/gbrowse/malus_x_domestica/?name=MDP0000216212","MDP0000216212")</f>
        <v>MDP0000216212</v>
      </c>
      <c r="D17104">
        <v>69.19</v>
      </c>
      <c r="E17104">
        <v>422</v>
      </c>
      <c r="F17104">
        <v>130</v>
      </c>
      <c r="G17104">
        <v>24</v>
      </c>
      <c r="H17104">
        <v>1</v>
      </c>
      <c r="I17104">
        <v>404</v>
      </c>
      <c r="J17104">
        <v>1</v>
      </c>
      <c r="K17104">
        <v>45</v>
      </c>
      <c r="L17104">
        <v>460</v>
      </c>
      <c r="M17104">
        <v>1</v>
      </c>
      <c r="N17104">
        <v>7.6781599999999998E-159</v>
      </c>
      <c r="O17104">
        <v>1435</v>
      </c>
    </row>
    <row r="17105" spans="1:15" x14ac:dyDescent="0.25">
      <c r="A17105" t="s">
        <v>17118</v>
      </c>
      <c r="B17105">
        <v>585</v>
      </c>
      <c r="C17105" s="1" t="str">
        <f>HYPERLINK("http://www.rosaceae.org/gb/gbrowse/malus_x_domestica/?name=MDP0000225033","MDP0000225033")</f>
        <v>MDP0000225033</v>
      </c>
      <c r="D17105">
        <v>63.87</v>
      </c>
      <c r="E17105">
        <v>382</v>
      </c>
      <c r="F17105">
        <v>138</v>
      </c>
      <c r="G17105">
        <v>10</v>
      </c>
      <c r="H17105">
        <v>19</v>
      </c>
      <c r="I17105">
        <v>397</v>
      </c>
      <c r="J17105">
        <v>1</v>
      </c>
      <c r="K17105">
        <v>55</v>
      </c>
      <c r="L17105">
        <v>429</v>
      </c>
      <c r="M17105">
        <v>1</v>
      </c>
      <c r="N17105">
        <v>1.2106E-135</v>
      </c>
      <c r="O17105">
        <v>1237</v>
      </c>
    </row>
    <row r="17106" spans="1:15" x14ac:dyDescent="0.25">
      <c r="A17106" t="s">
        <v>17119</v>
      </c>
      <c r="B17106">
        <v>489</v>
      </c>
      <c r="C17106" s="1" t="str">
        <f>HYPERLINK("http://www.rosaceae.org/gb/gbrowse/malus_x_domestica/?name=MDP0000318606","MDP0000318606")</f>
        <v>MDP0000318606</v>
      </c>
      <c r="D17106">
        <v>50.51</v>
      </c>
      <c r="E17106">
        <v>487</v>
      </c>
      <c r="F17106">
        <v>241</v>
      </c>
      <c r="G17106">
        <v>41</v>
      </c>
      <c r="H17106">
        <v>1</v>
      </c>
      <c r="I17106">
        <v>472</v>
      </c>
      <c r="J17106">
        <v>1</v>
      </c>
      <c r="K17106">
        <v>58</v>
      </c>
      <c r="L17106">
        <v>518</v>
      </c>
      <c r="M17106">
        <v>1</v>
      </c>
      <c r="N17106">
        <v>1.92424E-135</v>
      </c>
      <c r="O17106">
        <v>1234</v>
      </c>
    </row>
    <row r="17107" spans="1:15" x14ac:dyDescent="0.25">
      <c r="A17107" t="s">
        <v>17120</v>
      </c>
      <c r="B17107">
        <v>94</v>
      </c>
      <c r="C17107" s="1" t="str">
        <f>HYPERLINK("http://www.rosaceae.org/gb/gbrowse/malus_x_domestica/?name=MDP0000344968","MDP0000344968")</f>
        <v>MDP0000344968</v>
      </c>
      <c r="D17107">
        <v>67.849999999999994</v>
      </c>
      <c r="E17107">
        <v>56</v>
      </c>
      <c r="F17107">
        <v>18</v>
      </c>
      <c r="G17107">
        <v>0</v>
      </c>
      <c r="H17107">
        <v>1</v>
      </c>
      <c r="I17107">
        <v>56</v>
      </c>
      <c r="J17107">
        <v>1</v>
      </c>
      <c r="K17107">
        <v>15</v>
      </c>
      <c r="L17107">
        <v>70</v>
      </c>
      <c r="M17107">
        <v>1</v>
      </c>
      <c r="N17107">
        <v>1.52682E-14</v>
      </c>
      <c r="O17107">
        <v>183</v>
      </c>
    </row>
    <row r="17108" spans="1:15" x14ac:dyDescent="0.25">
      <c r="A17108" t="s">
        <v>17121</v>
      </c>
      <c r="B17108">
        <v>329</v>
      </c>
      <c r="C17108" s="1" t="str">
        <f>HYPERLINK("http://www.rosaceae.org/gb/gbrowse/malus_x_domestica/?name=MDP0000835812","MDP0000835812")</f>
        <v>MDP0000835812</v>
      </c>
      <c r="D17108">
        <v>84.85</v>
      </c>
      <c r="E17108">
        <v>317</v>
      </c>
      <c r="F17108">
        <v>48</v>
      </c>
      <c r="G17108">
        <v>3</v>
      </c>
      <c r="H17108">
        <v>12</v>
      </c>
      <c r="I17108">
        <v>328</v>
      </c>
      <c r="J17108">
        <v>1</v>
      </c>
      <c r="K17108">
        <v>62</v>
      </c>
      <c r="L17108">
        <v>375</v>
      </c>
      <c r="M17108">
        <v>1</v>
      </c>
      <c r="N17108">
        <v>1.37985E-157</v>
      </c>
      <c r="O17108">
        <v>1423</v>
      </c>
    </row>
    <row r="17109" spans="1:15" x14ac:dyDescent="0.25">
      <c r="A17109" t="s">
        <v>17122</v>
      </c>
      <c r="B17109">
        <v>620</v>
      </c>
      <c r="C17109" s="1" t="str">
        <f>HYPERLINK("http://www.rosaceae.org/gb/gbrowse/malus_x_domestica/?name=MDP0000314736","MDP0000314736")</f>
        <v>MDP0000314736</v>
      </c>
      <c r="D17109">
        <v>78.94</v>
      </c>
      <c r="E17109">
        <v>608</v>
      </c>
      <c r="F17109">
        <v>128</v>
      </c>
      <c r="G17109">
        <v>13</v>
      </c>
      <c r="H17109">
        <v>19</v>
      </c>
      <c r="I17109">
        <v>619</v>
      </c>
      <c r="J17109">
        <v>1</v>
      </c>
      <c r="K17109">
        <v>21</v>
      </c>
      <c r="L17109">
        <v>622</v>
      </c>
      <c r="M17109">
        <v>1</v>
      </c>
      <c r="N17109">
        <v>0</v>
      </c>
      <c r="O17109">
        <v>2590</v>
      </c>
    </row>
    <row r="17110" spans="1:15" x14ac:dyDescent="0.25">
      <c r="A17110" t="s">
        <v>17123</v>
      </c>
      <c r="B17110">
        <v>506</v>
      </c>
      <c r="C17110" s="1" t="str">
        <f>HYPERLINK("http://www.rosaceae.org/gb/gbrowse/malus_x_domestica/?name=MDP0000303666","MDP0000303666")</f>
        <v>MDP0000303666</v>
      </c>
      <c r="D17110">
        <v>63.86</v>
      </c>
      <c r="E17110">
        <v>321</v>
      </c>
      <c r="F17110">
        <v>116</v>
      </c>
      <c r="G17110">
        <v>6</v>
      </c>
      <c r="H17110">
        <v>186</v>
      </c>
      <c r="I17110">
        <v>506</v>
      </c>
      <c r="J17110">
        <v>1</v>
      </c>
      <c r="K17110">
        <v>403</v>
      </c>
      <c r="L17110">
        <v>717</v>
      </c>
      <c r="M17110">
        <v>1</v>
      </c>
      <c r="N17110">
        <v>2.1278700000000001E-118</v>
      </c>
      <c r="O17110">
        <v>1088</v>
      </c>
    </row>
    <row r="17111" spans="1:15" x14ac:dyDescent="0.25">
      <c r="A17111" t="s">
        <v>17124</v>
      </c>
      <c r="B17111">
        <v>388</v>
      </c>
      <c r="C17111" s="1" t="str">
        <f>HYPERLINK("http://www.rosaceae.org/gb/gbrowse/malus_x_domestica/?name=MDP0000301237","MDP0000301237")</f>
        <v>MDP0000301237</v>
      </c>
      <c r="D17111">
        <v>68.260000000000005</v>
      </c>
      <c r="E17111">
        <v>312</v>
      </c>
      <c r="F17111">
        <v>99</v>
      </c>
      <c r="G17111">
        <v>5</v>
      </c>
      <c r="H17111">
        <v>75</v>
      </c>
      <c r="I17111">
        <v>384</v>
      </c>
      <c r="J17111">
        <v>1</v>
      </c>
      <c r="K17111">
        <v>6</v>
      </c>
      <c r="L17111">
        <v>314</v>
      </c>
      <c r="M17111">
        <v>1</v>
      </c>
      <c r="N17111">
        <v>1.60456E-127</v>
      </c>
      <c r="O17111">
        <v>1165</v>
      </c>
    </row>
    <row r="17112" spans="1:15" x14ac:dyDescent="0.25">
      <c r="A17112" t="s">
        <v>17125</v>
      </c>
      <c r="B17112">
        <v>267</v>
      </c>
      <c r="C17112" s="1" t="str">
        <f>HYPERLINK("http://www.rosaceae.org/gb/gbrowse/malus_x_domestica/?name=MDP0000703640","MDP0000703640")</f>
        <v>MDP0000703640</v>
      </c>
      <c r="D17112">
        <v>64.88</v>
      </c>
      <c r="E17112">
        <v>262</v>
      </c>
      <c r="F17112">
        <v>92</v>
      </c>
      <c r="G17112">
        <v>15</v>
      </c>
      <c r="H17112">
        <v>18</v>
      </c>
      <c r="I17112">
        <v>267</v>
      </c>
      <c r="J17112">
        <v>1</v>
      </c>
      <c r="K17112">
        <v>8</v>
      </c>
      <c r="L17112">
        <v>266</v>
      </c>
      <c r="M17112">
        <v>1</v>
      </c>
      <c r="N17112">
        <v>2.5587100000000002E-91</v>
      </c>
      <c r="O17112">
        <v>851</v>
      </c>
    </row>
    <row r="17113" spans="1:15" x14ac:dyDescent="0.25">
      <c r="A17113" t="s">
        <v>17126</v>
      </c>
      <c r="B17113">
        <v>381</v>
      </c>
      <c r="C17113" s="1" t="str">
        <f>HYPERLINK("http://www.rosaceae.org/gb/gbrowse/malus_x_domestica/?name=MDP0000890198","MDP0000890198")</f>
        <v>MDP0000890198</v>
      </c>
      <c r="D17113">
        <v>33.83</v>
      </c>
      <c r="E17113">
        <v>396</v>
      </c>
      <c r="F17113">
        <v>262</v>
      </c>
      <c r="G17113">
        <v>56</v>
      </c>
      <c r="H17113">
        <v>6</v>
      </c>
      <c r="I17113">
        <v>381</v>
      </c>
      <c r="J17113">
        <v>1</v>
      </c>
      <c r="K17113">
        <v>12</v>
      </c>
      <c r="L17113">
        <v>371</v>
      </c>
      <c r="M17113">
        <v>1</v>
      </c>
      <c r="N17113">
        <v>7.2515599999999999E-47</v>
      </c>
      <c r="O17113">
        <v>469</v>
      </c>
    </row>
    <row r="17114" spans="1:15" x14ac:dyDescent="0.25">
      <c r="A17114" t="s">
        <v>17127</v>
      </c>
      <c r="B17114">
        <v>265</v>
      </c>
      <c r="C17114" s="1" t="str">
        <f>HYPERLINK("http://www.rosaceae.org/gb/gbrowse/malus_x_domestica/?name=MDP0000212290","MDP0000212290")</f>
        <v>MDP0000212290</v>
      </c>
      <c r="D17114">
        <v>21.45</v>
      </c>
      <c r="E17114">
        <v>247</v>
      </c>
      <c r="F17114">
        <v>194</v>
      </c>
      <c r="G17114">
        <v>61</v>
      </c>
      <c r="H17114">
        <v>10</v>
      </c>
      <c r="I17114">
        <v>221</v>
      </c>
      <c r="J17114">
        <v>1</v>
      </c>
      <c r="K17114">
        <v>201</v>
      </c>
      <c r="L17114">
        <v>421</v>
      </c>
      <c r="M17114">
        <v>1</v>
      </c>
      <c r="N17114">
        <v>1.94972E-8</v>
      </c>
      <c r="O17114">
        <v>136</v>
      </c>
    </row>
    <row r="17115" spans="1:15" x14ac:dyDescent="0.25">
      <c r="A17115" t="s">
        <v>17128</v>
      </c>
      <c r="B17115">
        <v>369</v>
      </c>
      <c r="C17115" s="1" t="str">
        <f>HYPERLINK("http://www.rosaceae.org/gb/gbrowse/malus_x_domestica/?name=MDP0000322510","MDP0000322510")</f>
        <v>MDP0000322510</v>
      </c>
      <c r="D17115">
        <v>60.8</v>
      </c>
      <c r="E17115">
        <v>250</v>
      </c>
      <c r="F17115">
        <v>98</v>
      </c>
      <c r="G17115">
        <v>25</v>
      </c>
      <c r="H17115">
        <v>142</v>
      </c>
      <c r="I17115">
        <v>367</v>
      </c>
      <c r="J17115">
        <v>1</v>
      </c>
      <c r="K17115">
        <v>139</v>
      </c>
      <c r="L17115">
        <v>387</v>
      </c>
      <c r="M17115">
        <v>1</v>
      </c>
      <c r="N17115">
        <v>1.7658199999999999E-75</v>
      </c>
      <c r="O17115">
        <v>716</v>
      </c>
    </row>
    <row r="17116" spans="1:15" x14ac:dyDescent="0.25">
      <c r="A17116" t="s">
        <v>17129</v>
      </c>
      <c r="B17116">
        <v>693</v>
      </c>
      <c r="C17116" s="1" t="str">
        <f>HYPERLINK("http://www.rosaceae.org/gb/gbrowse/malus_x_domestica/?name=MDP0000289536","MDP0000289536")</f>
        <v>MDP0000289536</v>
      </c>
      <c r="D17116">
        <v>79.84</v>
      </c>
      <c r="E17116">
        <v>397</v>
      </c>
      <c r="F17116">
        <v>80</v>
      </c>
      <c r="G17116">
        <v>1</v>
      </c>
      <c r="H17116">
        <v>1</v>
      </c>
      <c r="I17116">
        <v>397</v>
      </c>
      <c r="J17116">
        <v>1</v>
      </c>
      <c r="K17116">
        <v>1</v>
      </c>
      <c r="L17116">
        <v>396</v>
      </c>
      <c r="M17116">
        <v>1</v>
      </c>
      <c r="N17116">
        <v>0</v>
      </c>
      <c r="O17116">
        <v>1733</v>
      </c>
    </row>
    <row r="17117" spans="1:15" x14ac:dyDescent="0.25">
      <c r="A17117" t="s">
        <v>17130</v>
      </c>
      <c r="B17117">
        <v>967</v>
      </c>
      <c r="C17117" s="1" t="str">
        <f>HYPERLINK("http://www.rosaceae.org/gb/gbrowse/malus_x_domestica/?name=MDP0000240913","MDP0000240913")</f>
        <v>MDP0000240913</v>
      </c>
      <c r="D17117">
        <v>76.95</v>
      </c>
      <c r="E17117">
        <v>794</v>
      </c>
      <c r="F17117">
        <v>183</v>
      </c>
      <c r="G17117">
        <v>18</v>
      </c>
      <c r="H17117">
        <v>4</v>
      </c>
      <c r="I17117">
        <v>788</v>
      </c>
      <c r="J17117">
        <v>1</v>
      </c>
      <c r="K17117">
        <v>3</v>
      </c>
      <c r="L17117">
        <v>787</v>
      </c>
      <c r="M17117">
        <v>1</v>
      </c>
      <c r="N17117">
        <v>0</v>
      </c>
      <c r="O17117">
        <v>3172</v>
      </c>
    </row>
    <row r="17118" spans="1:15" x14ac:dyDescent="0.25">
      <c r="A17118" t="s">
        <v>17131</v>
      </c>
      <c r="B17118">
        <v>471</v>
      </c>
      <c r="C17118" s="1" t="str">
        <f>HYPERLINK("http://www.rosaceae.org/gb/gbrowse/malus_x_domestica/?name=MDP0000253782","MDP0000253782")</f>
        <v>MDP0000253782</v>
      </c>
      <c r="D17118">
        <v>43.96</v>
      </c>
      <c r="E17118">
        <v>373</v>
      </c>
      <c r="F17118">
        <v>209</v>
      </c>
      <c r="G17118">
        <v>70</v>
      </c>
      <c r="H17118">
        <v>9</v>
      </c>
      <c r="I17118">
        <v>343</v>
      </c>
      <c r="J17118">
        <v>1</v>
      </c>
      <c r="K17118">
        <v>20</v>
      </c>
      <c r="L17118">
        <v>360</v>
      </c>
      <c r="M17118">
        <v>1</v>
      </c>
      <c r="N17118">
        <v>6.3998599999999998E-54</v>
      </c>
      <c r="O17118">
        <v>531</v>
      </c>
    </row>
    <row r="17119" spans="1:15" x14ac:dyDescent="0.25">
      <c r="A17119" t="s">
        <v>17132</v>
      </c>
      <c r="B17119">
        <v>201</v>
      </c>
      <c r="C17119" s="1" t="str">
        <f>HYPERLINK("http://www.rosaceae.org/gb/gbrowse/malus_x_domestica/?name=MDP0000764227","MDP0000764227")</f>
        <v>MDP0000764227</v>
      </c>
      <c r="D17119">
        <v>64.7</v>
      </c>
      <c r="E17119">
        <v>204</v>
      </c>
      <c r="F17119">
        <v>72</v>
      </c>
      <c r="G17119">
        <v>5</v>
      </c>
      <c r="H17119">
        <v>1</v>
      </c>
      <c r="I17119">
        <v>200</v>
      </c>
      <c r="J17119">
        <v>1</v>
      </c>
      <c r="K17119">
        <v>1</v>
      </c>
      <c r="L17119">
        <v>203</v>
      </c>
      <c r="M17119">
        <v>1</v>
      </c>
      <c r="N17119">
        <v>6.6304900000000005E-67</v>
      </c>
      <c r="O17119">
        <v>639</v>
      </c>
    </row>
    <row r="17120" spans="1:15" x14ac:dyDescent="0.25">
      <c r="A17120" t="s">
        <v>17133</v>
      </c>
      <c r="B17120">
        <v>201</v>
      </c>
      <c r="C17120" s="1" t="str">
        <f>HYPERLINK("http://www.rosaceae.org/gb/gbrowse/malus_x_domestica/?name=MDP0000166302","MDP0000166302")</f>
        <v>MDP0000166302</v>
      </c>
      <c r="D17120">
        <v>52.31</v>
      </c>
      <c r="E17120">
        <v>216</v>
      </c>
      <c r="F17120">
        <v>103</v>
      </c>
      <c r="G17120">
        <v>36</v>
      </c>
      <c r="H17120">
        <v>10</v>
      </c>
      <c r="I17120">
        <v>191</v>
      </c>
      <c r="J17120">
        <v>1</v>
      </c>
      <c r="K17120">
        <v>6</v>
      </c>
      <c r="L17120">
        <v>219</v>
      </c>
      <c r="M17120">
        <v>1</v>
      </c>
      <c r="N17120">
        <v>1.14544E-51</v>
      </c>
      <c r="O17120">
        <v>507</v>
      </c>
    </row>
    <row r="17121" spans="1:15" x14ac:dyDescent="0.25">
      <c r="A17121" t="s">
        <v>17134</v>
      </c>
      <c r="B17121">
        <v>622</v>
      </c>
      <c r="C17121" s="1" t="str">
        <f>HYPERLINK("http://www.rosaceae.org/gb/gbrowse/malus_x_domestica/?name=MDP0000044356","MDP0000044356")</f>
        <v>MDP0000044356</v>
      </c>
      <c r="D17121">
        <v>74.59</v>
      </c>
      <c r="E17121">
        <v>622</v>
      </c>
      <c r="F17121">
        <v>158</v>
      </c>
      <c r="G17121">
        <v>9</v>
      </c>
      <c r="H17121">
        <v>1</v>
      </c>
      <c r="I17121">
        <v>622</v>
      </c>
      <c r="J17121">
        <v>1</v>
      </c>
      <c r="K17121">
        <v>1</v>
      </c>
      <c r="L17121">
        <v>613</v>
      </c>
      <c r="M17121">
        <v>1</v>
      </c>
      <c r="N17121">
        <v>0</v>
      </c>
      <c r="O17121">
        <v>2438</v>
      </c>
    </row>
    <row r="17122" spans="1:15" x14ac:dyDescent="0.25">
      <c r="A17122" t="s">
        <v>17135</v>
      </c>
      <c r="B17122">
        <v>399</v>
      </c>
      <c r="C17122" s="1" t="str">
        <f>HYPERLINK("http://www.rosaceae.org/gb/gbrowse/malus_x_domestica/?name=MDP0000392325","MDP0000392325")</f>
        <v>MDP0000392325</v>
      </c>
      <c r="D17122">
        <v>70.31</v>
      </c>
      <c r="E17122">
        <v>347</v>
      </c>
      <c r="F17122">
        <v>103</v>
      </c>
      <c r="G17122">
        <v>37</v>
      </c>
      <c r="H17122">
        <v>66</v>
      </c>
      <c r="I17122">
        <v>399</v>
      </c>
      <c r="J17122">
        <v>1</v>
      </c>
      <c r="K17122">
        <v>1</v>
      </c>
      <c r="L17122">
        <v>323</v>
      </c>
      <c r="M17122">
        <v>1</v>
      </c>
      <c r="N17122">
        <v>2.7248799999999998E-134</v>
      </c>
      <c r="O17122">
        <v>1224</v>
      </c>
    </row>
    <row r="17123" spans="1:15" x14ac:dyDescent="0.25">
      <c r="A17123" t="s">
        <v>17136</v>
      </c>
      <c r="B17123">
        <v>1106</v>
      </c>
      <c r="C17123" s="1" t="str">
        <f>HYPERLINK("http://www.rosaceae.org/gb/gbrowse/malus_x_domestica/?name=MDP0000249558","MDP0000249558")</f>
        <v>MDP0000249558</v>
      </c>
      <c r="D17123">
        <v>72.709999999999994</v>
      </c>
      <c r="E17123">
        <v>942</v>
      </c>
      <c r="F17123">
        <v>257</v>
      </c>
      <c r="G17123">
        <v>7</v>
      </c>
      <c r="H17123">
        <v>165</v>
      </c>
      <c r="I17123">
        <v>1101</v>
      </c>
      <c r="J17123">
        <v>1</v>
      </c>
      <c r="K17123">
        <v>99</v>
      </c>
      <c r="L17123">
        <v>1038</v>
      </c>
      <c r="M17123">
        <v>1</v>
      </c>
      <c r="N17123">
        <v>0</v>
      </c>
      <c r="O17123">
        <v>3560</v>
      </c>
    </row>
    <row r="17124" spans="1:15" x14ac:dyDescent="0.25">
      <c r="A17124" t="s">
        <v>17137</v>
      </c>
      <c r="B17124">
        <v>335</v>
      </c>
      <c r="C17124" s="1" t="str">
        <f>HYPERLINK("http://www.rosaceae.org/gb/gbrowse/malus_x_domestica/?name=MDP0000218652","MDP0000218652")</f>
        <v>MDP0000218652</v>
      </c>
      <c r="D17124">
        <v>35.479999999999997</v>
      </c>
      <c r="E17124">
        <v>341</v>
      </c>
      <c r="F17124">
        <v>220</v>
      </c>
      <c r="G17124">
        <v>29</v>
      </c>
      <c r="H17124">
        <v>3</v>
      </c>
      <c r="I17124">
        <v>326</v>
      </c>
      <c r="J17124">
        <v>1</v>
      </c>
      <c r="K17124">
        <v>2</v>
      </c>
      <c r="L17124">
        <v>330</v>
      </c>
      <c r="M17124">
        <v>1</v>
      </c>
      <c r="N17124">
        <v>7.9217899999999994E-62</v>
      </c>
      <c r="O17124">
        <v>598</v>
      </c>
    </row>
    <row r="17125" spans="1:15" x14ac:dyDescent="0.25">
      <c r="A17125" t="s">
        <v>17138</v>
      </c>
      <c r="B17125">
        <v>554</v>
      </c>
      <c r="C17125" s="1" t="str">
        <f>HYPERLINK("http://www.rosaceae.org/gb/gbrowse/malus_x_domestica/?name=MDP0000478473","MDP0000478473")</f>
        <v>MDP0000478473</v>
      </c>
      <c r="D17125">
        <v>50.22</v>
      </c>
      <c r="E17125">
        <v>436</v>
      </c>
      <c r="F17125">
        <v>217</v>
      </c>
      <c r="G17125">
        <v>23</v>
      </c>
      <c r="H17125">
        <v>56</v>
      </c>
      <c r="I17125">
        <v>491</v>
      </c>
      <c r="J17125">
        <v>1</v>
      </c>
      <c r="K17125">
        <v>52</v>
      </c>
      <c r="L17125">
        <v>464</v>
      </c>
      <c r="M17125">
        <v>1</v>
      </c>
      <c r="N17125">
        <v>4.0661199999999999E-127</v>
      </c>
      <c r="O17125">
        <v>1163</v>
      </c>
    </row>
    <row r="17126" spans="1:15" x14ac:dyDescent="0.25">
      <c r="A17126" t="s">
        <v>17139</v>
      </c>
      <c r="B17126">
        <v>505</v>
      </c>
      <c r="C17126" s="1" t="str">
        <f>HYPERLINK("http://www.rosaceae.org/gb/gbrowse/malus_x_domestica/?name=MDP0000800451","MDP0000800451")</f>
        <v>MDP0000800451</v>
      </c>
      <c r="D17126">
        <v>60.2</v>
      </c>
      <c r="E17126">
        <v>485</v>
      </c>
      <c r="F17126">
        <v>193</v>
      </c>
      <c r="G17126">
        <v>30</v>
      </c>
      <c r="H17126">
        <v>1</v>
      </c>
      <c r="I17126">
        <v>463</v>
      </c>
      <c r="J17126">
        <v>1</v>
      </c>
      <c r="K17126">
        <v>1</v>
      </c>
      <c r="L17126">
        <v>477</v>
      </c>
      <c r="M17126">
        <v>1</v>
      </c>
      <c r="N17126">
        <v>3.2639499999999998E-159</v>
      </c>
      <c r="O17126">
        <v>1440</v>
      </c>
    </row>
    <row r="17127" spans="1:15" x14ac:dyDescent="0.25">
      <c r="A17127" t="s">
        <v>17140</v>
      </c>
      <c r="B17127">
        <v>839</v>
      </c>
      <c r="C17127" s="1" t="str">
        <f>HYPERLINK("http://www.rosaceae.org/gb/gbrowse/malus_x_domestica/?name=MDP0000214396","MDP0000214396")</f>
        <v>MDP0000214396</v>
      </c>
      <c r="D17127">
        <v>51.59</v>
      </c>
      <c r="E17127">
        <v>845</v>
      </c>
      <c r="F17127">
        <v>409</v>
      </c>
      <c r="G17127">
        <v>68</v>
      </c>
      <c r="H17127">
        <v>18</v>
      </c>
      <c r="I17127">
        <v>801</v>
      </c>
      <c r="J17127">
        <v>1</v>
      </c>
      <c r="K17127">
        <v>11</v>
      </c>
      <c r="L17127">
        <v>848</v>
      </c>
      <c r="M17127">
        <v>1</v>
      </c>
      <c r="N17127">
        <v>0</v>
      </c>
      <c r="O17127">
        <v>2077</v>
      </c>
    </row>
    <row r="17128" spans="1:15" x14ac:dyDescent="0.25">
      <c r="A17128" t="s">
        <v>17141</v>
      </c>
      <c r="B17128">
        <v>757</v>
      </c>
      <c r="C17128" s="1" t="str">
        <f>HYPERLINK("http://www.rosaceae.org/gb/gbrowse/malus_x_domestica/?name=MDP0000128931","MDP0000128931")</f>
        <v>MDP0000128931</v>
      </c>
      <c r="D17128">
        <v>57.94</v>
      </c>
      <c r="E17128">
        <v>642</v>
      </c>
      <c r="F17128">
        <v>270</v>
      </c>
      <c r="G17128">
        <v>47</v>
      </c>
      <c r="H17128">
        <v>18</v>
      </c>
      <c r="I17128">
        <v>632</v>
      </c>
      <c r="J17128">
        <v>1</v>
      </c>
      <c r="K17128">
        <v>27</v>
      </c>
      <c r="L17128">
        <v>648</v>
      </c>
      <c r="M17128">
        <v>1</v>
      </c>
      <c r="N17128">
        <v>0</v>
      </c>
      <c r="O17128">
        <v>1858</v>
      </c>
    </row>
    <row r="17129" spans="1:15" x14ac:dyDescent="0.25">
      <c r="A17129" t="s">
        <v>17142</v>
      </c>
      <c r="B17129">
        <v>420</v>
      </c>
      <c r="C17129" s="1" t="str">
        <f>HYPERLINK("http://www.rosaceae.org/gb/gbrowse/malus_x_domestica/?name=MDP0000129335","MDP0000129335")</f>
        <v>MDP0000129335</v>
      </c>
      <c r="D17129">
        <v>29.28</v>
      </c>
      <c r="E17129">
        <v>140</v>
      </c>
      <c r="F17129">
        <v>99</v>
      </c>
      <c r="G17129">
        <v>18</v>
      </c>
      <c r="H17129">
        <v>4</v>
      </c>
      <c r="I17129">
        <v>128</v>
      </c>
      <c r="J17129">
        <v>1</v>
      </c>
      <c r="K17129">
        <v>10</v>
      </c>
      <c r="L17129">
        <v>146</v>
      </c>
      <c r="M17129">
        <v>1</v>
      </c>
      <c r="N17129">
        <v>2.3785600000000001E-7</v>
      </c>
      <c r="O17129">
        <v>129</v>
      </c>
    </row>
    <row r="17130" spans="1:15" x14ac:dyDescent="0.25">
      <c r="A17130" t="s">
        <v>17143</v>
      </c>
      <c r="B17130">
        <v>379</v>
      </c>
      <c r="C17130" s="1" t="str">
        <f>HYPERLINK("http://www.rosaceae.org/gb/gbrowse/malus_x_domestica/?name=MDP0000774306","MDP0000774306")</f>
        <v>MDP0000774306</v>
      </c>
      <c r="D17130">
        <v>39.659999999999997</v>
      </c>
      <c r="E17130">
        <v>358</v>
      </c>
      <c r="F17130">
        <v>216</v>
      </c>
      <c r="G17130">
        <v>36</v>
      </c>
      <c r="H17130">
        <v>8</v>
      </c>
      <c r="I17130">
        <v>345</v>
      </c>
      <c r="J17130">
        <v>1</v>
      </c>
      <c r="K17130">
        <v>2</v>
      </c>
      <c r="L17130">
        <v>343</v>
      </c>
      <c r="M17130">
        <v>1</v>
      </c>
      <c r="N17130">
        <v>2.4721099999999999E-50</v>
      </c>
      <c r="O17130">
        <v>499</v>
      </c>
    </row>
    <row r="17131" spans="1:15" x14ac:dyDescent="0.25">
      <c r="A17131" t="s">
        <v>17144</v>
      </c>
      <c r="B17131">
        <v>251</v>
      </c>
      <c r="C17131" s="1" t="str">
        <f>HYPERLINK("http://www.rosaceae.org/gb/gbrowse/malus_x_domestica/?name=MDP0000194249","MDP0000194249")</f>
        <v>MDP0000194249</v>
      </c>
      <c r="D17131">
        <v>67.48</v>
      </c>
      <c r="E17131">
        <v>203</v>
      </c>
      <c r="F17131">
        <v>66</v>
      </c>
      <c r="G17131">
        <v>0</v>
      </c>
      <c r="H17131">
        <v>42</v>
      </c>
      <c r="I17131">
        <v>244</v>
      </c>
      <c r="J17131">
        <v>1</v>
      </c>
      <c r="K17131">
        <v>42</v>
      </c>
      <c r="L17131">
        <v>244</v>
      </c>
      <c r="M17131">
        <v>1</v>
      </c>
      <c r="N17131">
        <v>1.1236E-81</v>
      </c>
      <c r="O17131">
        <v>767</v>
      </c>
    </row>
    <row r="17132" spans="1:15" x14ac:dyDescent="0.25">
      <c r="A17132" t="s">
        <v>17145</v>
      </c>
      <c r="B17132">
        <v>184</v>
      </c>
      <c r="C17132" s="1" t="str">
        <f>HYPERLINK("http://www.rosaceae.org/gb/gbrowse/malus_x_domestica/?name=MDP0000520051","MDP0000520051")</f>
        <v>MDP0000520051</v>
      </c>
      <c r="D17132">
        <v>75.67</v>
      </c>
      <c r="E17132">
        <v>185</v>
      </c>
      <c r="F17132">
        <v>45</v>
      </c>
      <c r="G17132">
        <v>1</v>
      </c>
      <c r="H17132">
        <v>1</v>
      </c>
      <c r="I17132">
        <v>184</v>
      </c>
      <c r="J17132">
        <v>1</v>
      </c>
      <c r="K17132">
        <v>1</v>
      </c>
      <c r="L17132">
        <v>185</v>
      </c>
      <c r="M17132">
        <v>1</v>
      </c>
      <c r="N17132">
        <v>9.2436000000000007E-78</v>
      </c>
      <c r="O17132">
        <v>732</v>
      </c>
    </row>
    <row r="17133" spans="1:15" x14ac:dyDescent="0.25">
      <c r="A17133" t="s">
        <v>17146</v>
      </c>
      <c r="B17133">
        <v>312</v>
      </c>
      <c r="C17133" s="1" t="str">
        <f>HYPERLINK("http://www.rosaceae.org/gb/gbrowse/malus_x_domestica/?name=MDP0000340652","MDP0000340652")</f>
        <v>MDP0000340652</v>
      </c>
      <c r="D17133">
        <v>81.42</v>
      </c>
      <c r="E17133">
        <v>323</v>
      </c>
      <c r="F17133">
        <v>60</v>
      </c>
      <c r="G17133">
        <v>11</v>
      </c>
      <c r="H17133">
        <v>1</v>
      </c>
      <c r="I17133">
        <v>312</v>
      </c>
      <c r="J17133">
        <v>1</v>
      </c>
      <c r="K17133">
        <v>14</v>
      </c>
      <c r="L17133">
        <v>336</v>
      </c>
      <c r="M17133">
        <v>1</v>
      </c>
      <c r="N17133">
        <v>2.6373699999999998E-156</v>
      </c>
      <c r="O17133">
        <v>1412</v>
      </c>
    </row>
    <row r="17134" spans="1:15" x14ac:dyDescent="0.25">
      <c r="A17134" t="s">
        <v>17147</v>
      </c>
      <c r="B17134">
        <v>511</v>
      </c>
      <c r="C17134" s="1" t="str">
        <f>HYPERLINK("http://www.rosaceae.org/gb/gbrowse/malus_x_domestica/?name=MDP0000243374","MDP0000243374")</f>
        <v>MDP0000243374</v>
      </c>
      <c r="D17134">
        <v>77.87</v>
      </c>
      <c r="E17134">
        <v>470</v>
      </c>
      <c r="F17134">
        <v>104</v>
      </c>
      <c r="G17134">
        <v>22</v>
      </c>
      <c r="H17134">
        <v>15</v>
      </c>
      <c r="I17134">
        <v>463</v>
      </c>
      <c r="J17134">
        <v>1</v>
      </c>
      <c r="K17134">
        <v>439</v>
      </c>
      <c r="L17134">
        <v>907</v>
      </c>
      <c r="M17134">
        <v>1</v>
      </c>
      <c r="N17134">
        <v>0</v>
      </c>
      <c r="O17134">
        <v>1905</v>
      </c>
    </row>
    <row r="17135" spans="1:15" x14ac:dyDescent="0.25">
      <c r="A17135" t="s">
        <v>17148</v>
      </c>
      <c r="B17135">
        <v>278</v>
      </c>
      <c r="C17135" s="1" t="str">
        <f>HYPERLINK("http://www.rosaceae.org/gb/gbrowse/malus_x_domestica/?name=MDP0000214250","MDP0000214250")</f>
        <v>MDP0000214250</v>
      </c>
      <c r="D17135">
        <v>77.27</v>
      </c>
      <c r="E17135">
        <v>264</v>
      </c>
      <c r="F17135">
        <v>60</v>
      </c>
      <c r="G17135">
        <v>1</v>
      </c>
      <c r="H17135">
        <v>12</v>
      </c>
      <c r="I17135">
        <v>275</v>
      </c>
      <c r="J17135">
        <v>1</v>
      </c>
      <c r="K17135">
        <v>13</v>
      </c>
      <c r="L17135">
        <v>275</v>
      </c>
      <c r="M17135">
        <v>1</v>
      </c>
      <c r="N17135">
        <v>1.7422100000000001E-114</v>
      </c>
      <c r="O17135">
        <v>1051</v>
      </c>
    </row>
    <row r="17136" spans="1:15" x14ac:dyDescent="0.25">
      <c r="A17136" t="s">
        <v>17149</v>
      </c>
      <c r="B17136">
        <v>531</v>
      </c>
      <c r="C17136" s="1" t="str">
        <f>HYPERLINK("http://www.rosaceae.org/gb/gbrowse/malus_x_domestica/?name=MDP0000297386","MDP0000297386")</f>
        <v>MDP0000297386</v>
      </c>
      <c r="D17136">
        <v>96.44</v>
      </c>
      <c r="E17136">
        <v>225</v>
      </c>
      <c r="F17136">
        <v>8</v>
      </c>
      <c r="G17136">
        <v>0</v>
      </c>
      <c r="H17136">
        <v>173</v>
      </c>
      <c r="I17136">
        <v>397</v>
      </c>
      <c r="J17136">
        <v>1</v>
      </c>
      <c r="K17136">
        <v>1</v>
      </c>
      <c r="L17136">
        <v>225</v>
      </c>
      <c r="M17136">
        <v>1</v>
      </c>
      <c r="N17136">
        <v>2.21766E-128</v>
      </c>
      <c r="O17136">
        <v>1174</v>
      </c>
    </row>
    <row r="17137" spans="1:15" x14ac:dyDescent="0.25">
      <c r="A17137" t="s">
        <v>17150</v>
      </c>
      <c r="B17137">
        <v>954</v>
      </c>
      <c r="C17137" s="1" t="str">
        <f>HYPERLINK("http://www.rosaceae.org/gb/gbrowse/malus_x_domestica/?name=MDP0000181085","MDP0000181085")</f>
        <v>MDP0000181085</v>
      </c>
      <c r="D17137">
        <v>81.86</v>
      </c>
      <c r="E17137">
        <v>954</v>
      </c>
      <c r="F17137">
        <v>173</v>
      </c>
      <c r="G17137">
        <v>0</v>
      </c>
      <c r="H17137">
        <v>1</v>
      </c>
      <c r="I17137">
        <v>954</v>
      </c>
      <c r="J17137">
        <v>1</v>
      </c>
      <c r="K17137">
        <v>52</v>
      </c>
      <c r="L17137">
        <v>1005</v>
      </c>
      <c r="M17137">
        <v>1</v>
      </c>
      <c r="N17137">
        <v>0</v>
      </c>
      <c r="O17137">
        <v>4145</v>
      </c>
    </row>
    <row r="17138" spans="1:15" x14ac:dyDescent="0.25">
      <c r="A17138" t="s">
        <v>17151</v>
      </c>
      <c r="B17138">
        <v>337</v>
      </c>
      <c r="C17138" s="1" t="str">
        <f>HYPERLINK("http://www.rosaceae.org/gb/gbrowse/malus_x_domestica/?name=MDP0000816297","MDP0000816297")</f>
        <v>MDP0000816297</v>
      </c>
      <c r="D17138">
        <v>76.11</v>
      </c>
      <c r="E17138">
        <v>335</v>
      </c>
      <c r="F17138">
        <v>80</v>
      </c>
      <c r="G17138">
        <v>4</v>
      </c>
      <c r="H17138">
        <v>1</v>
      </c>
      <c r="I17138">
        <v>334</v>
      </c>
      <c r="J17138">
        <v>1</v>
      </c>
      <c r="K17138">
        <v>1</v>
      </c>
      <c r="L17138">
        <v>332</v>
      </c>
      <c r="M17138">
        <v>1</v>
      </c>
      <c r="N17138">
        <v>7.1738900000000002E-146</v>
      </c>
      <c r="O17138">
        <v>1323</v>
      </c>
    </row>
    <row r="17139" spans="1:15" x14ac:dyDescent="0.25">
      <c r="A17139" t="s">
        <v>17152</v>
      </c>
      <c r="B17139">
        <v>198</v>
      </c>
      <c r="C17139" s="1" t="str">
        <f>HYPERLINK("http://www.rosaceae.org/gb/gbrowse/malus_x_domestica/?name=MDP0000160662","MDP0000160662")</f>
        <v>MDP0000160662</v>
      </c>
      <c r="D17139">
        <v>61.7</v>
      </c>
      <c r="E17139">
        <v>188</v>
      </c>
      <c r="F17139">
        <v>72</v>
      </c>
      <c r="G17139">
        <v>4</v>
      </c>
      <c r="H17139">
        <v>1</v>
      </c>
      <c r="I17139">
        <v>185</v>
      </c>
      <c r="J17139">
        <v>1</v>
      </c>
      <c r="K17139">
        <v>1</v>
      </c>
      <c r="L17139">
        <v>187</v>
      </c>
      <c r="M17139">
        <v>1</v>
      </c>
      <c r="N17139">
        <v>2.1276299999999999E-58</v>
      </c>
      <c r="O17139">
        <v>565</v>
      </c>
    </row>
    <row r="17140" spans="1:15" x14ac:dyDescent="0.25">
      <c r="A17140" t="s">
        <v>17153</v>
      </c>
      <c r="B17140">
        <v>1304</v>
      </c>
      <c r="C17140" s="1" t="str">
        <f>HYPERLINK("http://www.rosaceae.org/gb/gbrowse/malus_x_domestica/?name=MDP0000317572","MDP0000317572")</f>
        <v>MDP0000317572</v>
      </c>
      <c r="D17140">
        <v>75.790000000000006</v>
      </c>
      <c r="E17140">
        <v>847</v>
      </c>
      <c r="F17140">
        <v>205</v>
      </c>
      <c r="G17140">
        <v>12</v>
      </c>
      <c r="H17140">
        <v>133</v>
      </c>
      <c r="I17140">
        <v>975</v>
      </c>
      <c r="J17140">
        <v>1</v>
      </c>
      <c r="K17140">
        <v>12</v>
      </c>
      <c r="L17140">
        <v>850</v>
      </c>
      <c r="M17140">
        <v>1</v>
      </c>
      <c r="N17140">
        <v>0</v>
      </c>
      <c r="O17140">
        <v>3269</v>
      </c>
    </row>
    <row r="17141" spans="1:15" x14ac:dyDescent="0.25">
      <c r="A17141" t="s">
        <v>17154</v>
      </c>
      <c r="B17141">
        <v>968</v>
      </c>
      <c r="C17141" s="1" t="str">
        <f>HYPERLINK("http://www.rosaceae.org/gb/gbrowse/malus_x_domestica/?name=MDP0000211527","MDP0000211527")</f>
        <v>MDP0000211527</v>
      </c>
      <c r="D17141">
        <v>82.84</v>
      </c>
      <c r="E17141">
        <v>711</v>
      </c>
      <c r="F17141">
        <v>122</v>
      </c>
      <c r="G17141">
        <v>31</v>
      </c>
      <c r="H17141">
        <v>1</v>
      </c>
      <c r="I17141">
        <v>702</v>
      </c>
      <c r="J17141">
        <v>1</v>
      </c>
      <c r="K17141">
        <v>122</v>
      </c>
      <c r="L17141">
        <v>810</v>
      </c>
      <c r="M17141">
        <v>1</v>
      </c>
      <c r="N17141">
        <v>0</v>
      </c>
      <c r="O17141">
        <v>3111</v>
      </c>
    </row>
    <row r="17142" spans="1:15" x14ac:dyDescent="0.25">
      <c r="A17142" t="s">
        <v>17155</v>
      </c>
      <c r="B17142">
        <v>844</v>
      </c>
      <c r="C17142" s="1" t="str">
        <f>HYPERLINK("http://www.rosaceae.org/gb/gbrowse/malus_x_domestica/?name=MDP0000163774","MDP0000163774")</f>
        <v>MDP0000163774</v>
      </c>
      <c r="D17142">
        <v>28.66</v>
      </c>
      <c r="E17142">
        <v>450</v>
      </c>
      <c r="F17142">
        <v>321</v>
      </c>
      <c r="G17142">
        <v>108</v>
      </c>
      <c r="H17142">
        <v>396</v>
      </c>
      <c r="I17142">
        <v>742</v>
      </c>
      <c r="J17142">
        <v>1</v>
      </c>
      <c r="K17142">
        <v>70</v>
      </c>
      <c r="L17142">
        <v>514</v>
      </c>
      <c r="M17142">
        <v>1</v>
      </c>
      <c r="N17142">
        <v>9.8741700000000001E-39</v>
      </c>
      <c r="O17142">
        <v>403</v>
      </c>
    </row>
    <row r="17143" spans="1:15" x14ac:dyDescent="0.25">
      <c r="A17143" t="s">
        <v>17156</v>
      </c>
      <c r="B17143">
        <v>434</v>
      </c>
      <c r="C17143" s="1" t="str">
        <f>HYPERLINK("http://www.rosaceae.org/gb/gbrowse/malus_x_domestica/?name=MDP0000201574","MDP0000201574")</f>
        <v>MDP0000201574</v>
      </c>
      <c r="D17143">
        <v>51.36</v>
      </c>
      <c r="E17143">
        <v>438</v>
      </c>
      <c r="F17143">
        <v>213</v>
      </c>
      <c r="G17143">
        <v>65</v>
      </c>
      <c r="H17143">
        <v>8</v>
      </c>
      <c r="I17143">
        <v>431</v>
      </c>
      <c r="J17143">
        <v>1</v>
      </c>
      <c r="K17143">
        <v>13</v>
      </c>
      <c r="L17143">
        <v>399</v>
      </c>
      <c r="M17143">
        <v>1</v>
      </c>
      <c r="N17143">
        <v>3.49638E-95</v>
      </c>
      <c r="O17143">
        <v>887</v>
      </c>
    </row>
    <row r="17144" spans="1:15" x14ac:dyDescent="0.25">
      <c r="A17144" t="s">
        <v>17157</v>
      </c>
      <c r="B17144">
        <v>300</v>
      </c>
      <c r="C17144" s="1" t="str">
        <f>HYPERLINK("http://www.rosaceae.org/gb/gbrowse/malus_x_domestica/?name=MDP0000189932","MDP0000189932")</f>
        <v>MDP0000189932</v>
      </c>
      <c r="D17144">
        <v>82.88</v>
      </c>
      <c r="E17144">
        <v>111</v>
      </c>
      <c r="F17144">
        <v>19</v>
      </c>
      <c r="G17144">
        <v>0</v>
      </c>
      <c r="H17144">
        <v>1</v>
      </c>
      <c r="I17144">
        <v>111</v>
      </c>
      <c r="J17144">
        <v>1</v>
      </c>
      <c r="K17144">
        <v>1</v>
      </c>
      <c r="L17144">
        <v>111</v>
      </c>
      <c r="M17144">
        <v>1</v>
      </c>
      <c r="N17144">
        <v>1.9320199999999999E-47</v>
      </c>
      <c r="O17144">
        <v>473</v>
      </c>
    </row>
    <row r="17145" spans="1:15" x14ac:dyDescent="0.25">
      <c r="A17145" t="s">
        <v>17158</v>
      </c>
      <c r="B17145">
        <v>292</v>
      </c>
      <c r="C17145" s="1" t="str">
        <f>HYPERLINK("http://www.rosaceae.org/gb/gbrowse/malus_x_domestica/?name=MDP0000773976","MDP0000773976")</f>
        <v>MDP0000773976</v>
      </c>
      <c r="D17145">
        <v>69.02</v>
      </c>
      <c r="E17145">
        <v>297</v>
      </c>
      <c r="F17145">
        <v>92</v>
      </c>
      <c r="G17145">
        <v>10</v>
      </c>
      <c r="H17145">
        <v>1</v>
      </c>
      <c r="I17145">
        <v>291</v>
      </c>
      <c r="J17145">
        <v>1</v>
      </c>
      <c r="K17145">
        <v>4</v>
      </c>
      <c r="L17145">
        <v>296</v>
      </c>
      <c r="M17145">
        <v>1</v>
      </c>
      <c r="N17145">
        <v>1.1396500000000001E-113</v>
      </c>
      <c r="O17145">
        <v>1044</v>
      </c>
    </row>
    <row r="17146" spans="1:15" x14ac:dyDescent="0.25">
      <c r="A17146" t="s">
        <v>17159</v>
      </c>
      <c r="B17146">
        <v>448</v>
      </c>
      <c r="C17146" s="1" t="str">
        <f>HYPERLINK("http://www.rosaceae.org/gb/gbrowse/malus_x_domestica/?name=MDP0000300274","MDP0000300274")</f>
        <v>MDP0000300274</v>
      </c>
      <c r="D17146">
        <v>86.57</v>
      </c>
      <c r="E17146">
        <v>432</v>
      </c>
      <c r="F17146">
        <v>58</v>
      </c>
      <c r="G17146">
        <v>14</v>
      </c>
      <c r="H17146">
        <v>31</v>
      </c>
      <c r="I17146">
        <v>448</v>
      </c>
      <c r="J17146">
        <v>1</v>
      </c>
      <c r="K17146">
        <v>4</v>
      </c>
      <c r="L17146">
        <v>435</v>
      </c>
      <c r="M17146">
        <v>1</v>
      </c>
      <c r="N17146">
        <v>0</v>
      </c>
      <c r="O17146">
        <v>2024</v>
      </c>
    </row>
    <row r="17147" spans="1:15" x14ac:dyDescent="0.25">
      <c r="A17147" t="s">
        <v>17160</v>
      </c>
      <c r="B17147">
        <v>566</v>
      </c>
      <c r="C17147" s="1" t="str">
        <f>HYPERLINK("http://www.rosaceae.org/gb/gbrowse/malus_x_domestica/?name=MDP0000134641","MDP0000134641")</f>
        <v>MDP0000134641</v>
      </c>
      <c r="D17147">
        <v>65.040000000000006</v>
      </c>
      <c r="E17147">
        <v>618</v>
      </c>
      <c r="F17147">
        <v>216</v>
      </c>
      <c r="G17147">
        <v>77</v>
      </c>
      <c r="H17147">
        <v>2</v>
      </c>
      <c r="I17147">
        <v>566</v>
      </c>
      <c r="J17147">
        <v>1</v>
      </c>
      <c r="K17147">
        <v>3</v>
      </c>
      <c r="L17147">
        <v>596</v>
      </c>
      <c r="M17147">
        <v>1</v>
      </c>
      <c r="N17147">
        <v>0</v>
      </c>
      <c r="O17147">
        <v>1968</v>
      </c>
    </row>
    <row r="17148" spans="1:15" x14ac:dyDescent="0.25">
      <c r="A17148" t="s">
        <v>17161</v>
      </c>
      <c r="B17148">
        <v>458</v>
      </c>
      <c r="C17148" s="1" t="str">
        <f>HYPERLINK("http://www.rosaceae.org/gb/gbrowse/malus_x_domestica/?name=MDP0000226891","MDP0000226891")</f>
        <v>MDP0000226891</v>
      </c>
      <c r="D17148">
        <v>67.81</v>
      </c>
      <c r="E17148">
        <v>435</v>
      </c>
      <c r="F17148">
        <v>140</v>
      </c>
      <c r="G17148">
        <v>8</v>
      </c>
      <c r="H17148">
        <v>27</v>
      </c>
      <c r="I17148">
        <v>456</v>
      </c>
      <c r="J17148">
        <v>1</v>
      </c>
      <c r="K17148">
        <v>568</v>
      </c>
      <c r="L17148">
        <v>999</v>
      </c>
      <c r="M17148">
        <v>1</v>
      </c>
      <c r="N17148">
        <v>3.7452199999999999E-165</v>
      </c>
      <c r="O17148">
        <v>1490</v>
      </c>
    </row>
    <row r="17149" spans="1:15" x14ac:dyDescent="0.25">
      <c r="A17149" t="s">
        <v>17162</v>
      </c>
      <c r="B17149">
        <v>389</v>
      </c>
      <c r="C17149" s="1" t="str">
        <f>HYPERLINK("http://www.rosaceae.org/gb/gbrowse/malus_x_domestica/?name=MDP0000281005","MDP0000281005")</f>
        <v>MDP0000281005</v>
      </c>
      <c r="D17149">
        <v>76.349999999999994</v>
      </c>
      <c r="E17149">
        <v>368</v>
      </c>
      <c r="F17149">
        <v>87</v>
      </c>
      <c r="G17149">
        <v>6</v>
      </c>
      <c r="H17149">
        <v>28</v>
      </c>
      <c r="I17149">
        <v>389</v>
      </c>
      <c r="J17149">
        <v>1</v>
      </c>
      <c r="K17149">
        <v>39</v>
      </c>
      <c r="L17149">
        <v>406</v>
      </c>
      <c r="M17149">
        <v>1</v>
      </c>
      <c r="N17149">
        <v>1.80545E-164</v>
      </c>
      <c r="O17149">
        <v>1484</v>
      </c>
    </row>
    <row r="17150" spans="1:15" x14ac:dyDescent="0.25">
      <c r="A17150" t="s">
        <v>17163</v>
      </c>
      <c r="B17150">
        <v>612</v>
      </c>
      <c r="C17150" s="1" t="str">
        <f>HYPERLINK("http://www.rosaceae.org/gb/gbrowse/malus_x_domestica/?name=MDP0000893433","MDP0000893433")</f>
        <v>MDP0000893433</v>
      </c>
      <c r="D17150">
        <v>78.38</v>
      </c>
      <c r="E17150">
        <v>620</v>
      </c>
      <c r="F17150">
        <v>134</v>
      </c>
      <c r="G17150">
        <v>21</v>
      </c>
      <c r="H17150">
        <v>1</v>
      </c>
      <c r="I17150">
        <v>612</v>
      </c>
      <c r="J17150">
        <v>1</v>
      </c>
      <c r="K17150">
        <v>1</v>
      </c>
      <c r="L17150">
        <v>607</v>
      </c>
      <c r="M17150">
        <v>1</v>
      </c>
      <c r="N17150">
        <v>0</v>
      </c>
      <c r="O17150">
        <v>2530</v>
      </c>
    </row>
    <row r="17151" spans="1:15" x14ac:dyDescent="0.25">
      <c r="A17151" t="s">
        <v>17164</v>
      </c>
      <c r="B17151">
        <v>286</v>
      </c>
      <c r="C17151" s="1" t="str">
        <f>HYPERLINK("http://www.rosaceae.org/gb/gbrowse/malus_x_domestica/?name=MDP0000791364","MDP0000791364")</f>
        <v>MDP0000791364</v>
      </c>
      <c r="D17151">
        <v>46.41</v>
      </c>
      <c r="E17151">
        <v>209</v>
      </c>
      <c r="F17151">
        <v>112</v>
      </c>
      <c r="G17151">
        <v>27</v>
      </c>
      <c r="H17151">
        <v>89</v>
      </c>
      <c r="I17151">
        <v>286</v>
      </c>
      <c r="J17151">
        <v>1</v>
      </c>
      <c r="K17151">
        <v>112</v>
      </c>
      <c r="L17151">
        <v>304</v>
      </c>
      <c r="M17151">
        <v>1</v>
      </c>
      <c r="N17151">
        <v>1.19653E-38</v>
      </c>
      <c r="O17151">
        <v>397</v>
      </c>
    </row>
    <row r="17152" spans="1:15" x14ac:dyDescent="0.25">
      <c r="A17152" t="s">
        <v>17165</v>
      </c>
      <c r="B17152">
        <v>165</v>
      </c>
      <c r="C17152" s="1" t="str">
        <f>HYPERLINK("http://www.rosaceae.org/gb/gbrowse/malus_x_domestica/?name=MDP0000238866","MDP0000238866")</f>
        <v>MDP0000238866</v>
      </c>
      <c r="D17152">
        <v>68.290000000000006</v>
      </c>
      <c r="E17152">
        <v>164</v>
      </c>
      <c r="F17152">
        <v>52</v>
      </c>
      <c r="G17152">
        <v>0</v>
      </c>
      <c r="H17152">
        <v>1</v>
      </c>
      <c r="I17152">
        <v>164</v>
      </c>
      <c r="J17152">
        <v>1</v>
      </c>
      <c r="K17152">
        <v>1</v>
      </c>
      <c r="L17152">
        <v>164</v>
      </c>
      <c r="M17152">
        <v>1</v>
      </c>
      <c r="N17152">
        <v>1.32714E-57</v>
      </c>
      <c r="O17152">
        <v>557</v>
      </c>
    </row>
    <row r="17153" spans="1:15" x14ac:dyDescent="0.25">
      <c r="A17153" t="s">
        <v>17166</v>
      </c>
      <c r="B17153">
        <v>127</v>
      </c>
      <c r="C17153" s="1" t="str">
        <f>HYPERLINK("http://www.rosaceae.org/gb/gbrowse/malus_x_domestica/?name=MDP0000878470","MDP0000878470")</f>
        <v>MDP0000878470</v>
      </c>
      <c r="D17153">
        <v>39.68</v>
      </c>
      <c r="E17153">
        <v>126</v>
      </c>
      <c r="F17153">
        <v>76</v>
      </c>
      <c r="G17153">
        <v>8</v>
      </c>
      <c r="H17153">
        <v>9</v>
      </c>
      <c r="I17153">
        <v>126</v>
      </c>
      <c r="J17153">
        <v>1</v>
      </c>
      <c r="K17153">
        <v>8</v>
      </c>
      <c r="L17153">
        <v>133</v>
      </c>
      <c r="M17153">
        <v>1</v>
      </c>
      <c r="N17153">
        <v>3.2494900000000001E-24</v>
      </c>
      <c r="O17153">
        <v>267</v>
      </c>
    </row>
    <row r="17154" spans="1:15" x14ac:dyDescent="0.25">
      <c r="A17154" t="s">
        <v>17167</v>
      </c>
      <c r="B17154">
        <v>378</v>
      </c>
      <c r="C17154" s="1" t="str">
        <f>HYPERLINK("http://www.rosaceae.org/gb/gbrowse/malus_x_domestica/?name=MDP0000446783","MDP0000446783")</f>
        <v>MDP0000446783</v>
      </c>
      <c r="D17154">
        <v>39.19</v>
      </c>
      <c r="E17154">
        <v>398</v>
      </c>
      <c r="F17154">
        <v>242</v>
      </c>
      <c r="G17154">
        <v>38</v>
      </c>
      <c r="H17154">
        <v>1</v>
      </c>
      <c r="I17154">
        <v>375</v>
      </c>
      <c r="J17154">
        <v>1</v>
      </c>
      <c r="K17154">
        <v>1</v>
      </c>
      <c r="L17154">
        <v>383</v>
      </c>
      <c r="M17154">
        <v>1</v>
      </c>
      <c r="N17154">
        <v>4.0892300000000003E-57</v>
      </c>
      <c r="O17154">
        <v>558</v>
      </c>
    </row>
    <row r="17155" spans="1:15" x14ac:dyDescent="0.25">
      <c r="A17155" t="s">
        <v>17168</v>
      </c>
      <c r="B17155">
        <v>385</v>
      </c>
      <c r="C17155" s="1" t="str">
        <f>HYPERLINK("http://www.rosaceae.org/gb/gbrowse/malus_x_domestica/?name=MDP0000271764","MDP0000271764")</f>
        <v>MDP0000271764</v>
      </c>
      <c r="D17155">
        <v>26.17</v>
      </c>
      <c r="E17155">
        <v>363</v>
      </c>
      <c r="F17155">
        <v>268</v>
      </c>
      <c r="G17155">
        <v>45</v>
      </c>
      <c r="H17155">
        <v>30</v>
      </c>
      <c r="I17155">
        <v>365</v>
      </c>
      <c r="J17155">
        <v>1</v>
      </c>
      <c r="K17155">
        <v>598</v>
      </c>
      <c r="L17155">
        <v>942</v>
      </c>
      <c r="M17155">
        <v>1</v>
      </c>
      <c r="N17155">
        <v>1.48284E-17</v>
      </c>
      <c r="O17155">
        <v>217</v>
      </c>
    </row>
    <row r="17156" spans="1:15" x14ac:dyDescent="0.25">
      <c r="A17156" t="s">
        <v>17169</v>
      </c>
      <c r="B17156">
        <v>370</v>
      </c>
      <c r="C17156" s="1" t="str">
        <f>HYPERLINK("http://www.rosaceae.org/gb/gbrowse/malus_x_domestica/?name=MDP0000869524","MDP0000869524")</f>
        <v>MDP0000869524</v>
      </c>
      <c r="D17156">
        <v>72.63</v>
      </c>
      <c r="E17156">
        <v>380</v>
      </c>
      <c r="F17156">
        <v>104</v>
      </c>
      <c r="G17156">
        <v>22</v>
      </c>
      <c r="H17156">
        <v>1</v>
      </c>
      <c r="I17156">
        <v>369</v>
      </c>
      <c r="J17156">
        <v>1</v>
      </c>
      <c r="K17156">
        <v>1</v>
      </c>
      <c r="L17156">
        <v>369</v>
      </c>
      <c r="M17156">
        <v>1</v>
      </c>
      <c r="N17156">
        <v>2.1764000000000001E-144</v>
      </c>
      <c r="O17156">
        <v>1310</v>
      </c>
    </row>
    <row r="17157" spans="1:15" x14ac:dyDescent="0.25">
      <c r="A17157" t="s">
        <v>17170</v>
      </c>
      <c r="B17157">
        <v>1605</v>
      </c>
      <c r="C17157" s="1" t="str">
        <f>HYPERLINK("http://www.rosaceae.org/gb/gbrowse/malus_x_domestica/?name=MDP0000314223","MDP0000314223")</f>
        <v>MDP0000314223</v>
      </c>
      <c r="D17157">
        <v>62.89</v>
      </c>
      <c r="E17157">
        <v>927</v>
      </c>
      <c r="F17157">
        <v>344</v>
      </c>
      <c r="G17157">
        <v>31</v>
      </c>
      <c r="H17157">
        <v>1</v>
      </c>
      <c r="I17157">
        <v>901</v>
      </c>
      <c r="J17157">
        <v>1</v>
      </c>
      <c r="K17157">
        <v>65</v>
      </c>
      <c r="L17157">
        <v>986</v>
      </c>
      <c r="M17157">
        <v>1</v>
      </c>
      <c r="N17157">
        <v>0</v>
      </c>
      <c r="O17157">
        <v>2935</v>
      </c>
    </row>
    <row r="17158" spans="1:15" x14ac:dyDescent="0.25">
      <c r="A17158" t="s">
        <v>17171</v>
      </c>
      <c r="B17158">
        <v>2320</v>
      </c>
      <c r="C17158" s="1" t="str">
        <f>HYPERLINK("http://www.rosaceae.org/gb/gbrowse/malus_x_domestica/?name=MDP0000258417","MDP0000258417")</f>
        <v>MDP0000258417</v>
      </c>
      <c r="D17158">
        <v>68.34</v>
      </c>
      <c r="E17158">
        <v>458</v>
      </c>
      <c r="F17158">
        <v>145</v>
      </c>
      <c r="G17158">
        <v>15</v>
      </c>
      <c r="H17158">
        <v>1878</v>
      </c>
      <c r="I17158">
        <v>2320</v>
      </c>
      <c r="J17158">
        <v>1</v>
      </c>
      <c r="K17158">
        <v>37</v>
      </c>
      <c r="L17158">
        <v>494</v>
      </c>
      <c r="M17158">
        <v>1</v>
      </c>
      <c r="N17158">
        <v>2.5615100000000001E-179</v>
      </c>
      <c r="O17158">
        <v>1619</v>
      </c>
    </row>
    <row r="17159" spans="1:15" x14ac:dyDescent="0.25">
      <c r="A17159" t="s">
        <v>17172</v>
      </c>
      <c r="B17159">
        <v>1218</v>
      </c>
      <c r="C17159" s="1" t="str">
        <f>HYPERLINK("http://www.rosaceae.org/gb/gbrowse/malus_x_domestica/?name=MDP0000290998","MDP0000290998")</f>
        <v>MDP0000290998</v>
      </c>
      <c r="D17159">
        <v>85.08</v>
      </c>
      <c r="E17159">
        <v>1220</v>
      </c>
      <c r="F17159">
        <v>182</v>
      </c>
      <c r="G17159">
        <v>6</v>
      </c>
      <c r="H17159">
        <v>1</v>
      </c>
      <c r="I17159">
        <v>1218</v>
      </c>
      <c r="J17159">
        <v>1</v>
      </c>
      <c r="K17159">
        <v>556</v>
      </c>
      <c r="L17159">
        <v>1771</v>
      </c>
      <c r="M17159">
        <v>1</v>
      </c>
      <c r="N17159">
        <v>0</v>
      </c>
      <c r="O17159">
        <v>5611</v>
      </c>
    </row>
    <row r="17160" spans="1:15" x14ac:dyDescent="0.25">
      <c r="A17160" t="s">
        <v>17173</v>
      </c>
      <c r="B17160">
        <v>128</v>
      </c>
      <c r="C17160" s="1" t="str">
        <f>HYPERLINK("http://www.rosaceae.org/gb/gbrowse/malus_x_domestica/?name=MDP0000562620","MDP0000562620")</f>
        <v>MDP0000562620</v>
      </c>
      <c r="D17160">
        <v>69.42</v>
      </c>
      <c r="E17160">
        <v>121</v>
      </c>
      <c r="F17160">
        <v>37</v>
      </c>
      <c r="G17160">
        <v>0</v>
      </c>
      <c r="H17160">
        <v>8</v>
      </c>
      <c r="I17160">
        <v>128</v>
      </c>
      <c r="J17160">
        <v>1</v>
      </c>
      <c r="K17160">
        <v>774</v>
      </c>
      <c r="L17160">
        <v>894</v>
      </c>
      <c r="M17160">
        <v>1</v>
      </c>
      <c r="N17160">
        <v>3.3453500000000001E-47</v>
      </c>
      <c r="O17160">
        <v>465</v>
      </c>
    </row>
    <row r="17161" spans="1:15" x14ac:dyDescent="0.25">
      <c r="A17161" t="s">
        <v>17174</v>
      </c>
      <c r="B17161">
        <v>267</v>
      </c>
      <c r="C17161" s="1" t="str">
        <f>HYPERLINK("http://www.rosaceae.org/gb/gbrowse/malus_x_domestica/?name=MDP0000239946","MDP0000239946")</f>
        <v>MDP0000239946</v>
      </c>
      <c r="D17161">
        <v>71.900000000000006</v>
      </c>
      <c r="E17161">
        <v>242</v>
      </c>
      <c r="F17161">
        <v>68</v>
      </c>
      <c r="G17161">
        <v>19</v>
      </c>
      <c r="H17161">
        <v>39</v>
      </c>
      <c r="I17161">
        <v>267</v>
      </c>
      <c r="J17161">
        <v>1</v>
      </c>
      <c r="K17161">
        <v>108</v>
      </c>
      <c r="L17161">
        <v>343</v>
      </c>
      <c r="M17161">
        <v>1</v>
      </c>
      <c r="N17161">
        <v>4.1441700000000001E-97</v>
      </c>
      <c r="O17161">
        <v>901</v>
      </c>
    </row>
    <row r="17162" spans="1:15" x14ac:dyDescent="0.25">
      <c r="A17162" t="s">
        <v>17175</v>
      </c>
      <c r="B17162">
        <v>595</v>
      </c>
      <c r="C17162" s="1" t="str">
        <f>HYPERLINK("http://www.rosaceae.org/gb/gbrowse/malus_x_domestica/?name=MDP0000254432","MDP0000254432")</f>
        <v>MDP0000254432</v>
      </c>
      <c r="D17162">
        <v>29.64</v>
      </c>
      <c r="E17162">
        <v>371</v>
      </c>
      <c r="F17162">
        <v>261</v>
      </c>
      <c r="G17162">
        <v>46</v>
      </c>
      <c r="H17162">
        <v>258</v>
      </c>
      <c r="I17162">
        <v>586</v>
      </c>
      <c r="J17162">
        <v>1</v>
      </c>
      <c r="K17162">
        <v>336</v>
      </c>
      <c r="L17162">
        <v>702</v>
      </c>
      <c r="M17162">
        <v>1</v>
      </c>
      <c r="N17162">
        <v>1.4185799999999999E-34</v>
      </c>
      <c r="O17162">
        <v>365</v>
      </c>
    </row>
    <row r="17163" spans="1:15" x14ac:dyDescent="0.25">
      <c r="A17163" t="s">
        <v>17176</v>
      </c>
      <c r="B17163">
        <v>200</v>
      </c>
      <c r="C17163" s="1" t="str">
        <f>HYPERLINK("http://www.rosaceae.org/gb/gbrowse/malus_x_domestica/?name=MDP0000171423","MDP0000171423")</f>
        <v>MDP0000171423</v>
      </c>
      <c r="D17163">
        <v>74.5</v>
      </c>
      <c r="E17163">
        <v>200</v>
      </c>
      <c r="F17163">
        <v>51</v>
      </c>
      <c r="G17163">
        <v>17</v>
      </c>
      <c r="H17163">
        <v>1</v>
      </c>
      <c r="I17163">
        <v>184</v>
      </c>
      <c r="J17163">
        <v>1</v>
      </c>
      <c r="K17163">
        <v>1</v>
      </c>
      <c r="L17163">
        <v>199</v>
      </c>
      <c r="M17163">
        <v>1</v>
      </c>
      <c r="N17163">
        <v>4.00063E-78</v>
      </c>
      <c r="O17163">
        <v>735</v>
      </c>
    </row>
    <row r="17164" spans="1:15" x14ac:dyDescent="0.25">
      <c r="A17164" t="s">
        <v>17177</v>
      </c>
      <c r="B17164">
        <v>196</v>
      </c>
      <c r="C17164" s="1" t="str">
        <f>HYPERLINK("http://www.rosaceae.org/gb/gbrowse/malus_x_domestica/?name=MDP0000124256","MDP0000124256")</f>
        <v>MDP0000124256</v>
      </c>
      <c r="D17164">
        <v>43.24</v>
      </c>
      <c r="E17164">
        <v>74</v>
      </c>
      <c r="F17164">
        <v>42</v>
      </c>
      <c r="G17164">
        <v>1</v>
      </c>
      <c r="H17164">
        <v>2</v>
      </c>
      <c r="I17164">
        <v>75</v>
      </c>
      <c r="J17164">
        <v>1</v>
      </c>
      <c r="K17164">
        <v>58</v>
      </c>
      <c r="L17164">
        <v>130</v>
      </c>
      <c r="M17164">
        <v>1</v>
      </c>
      <c r="N17164">
        <v>1.9630500000000001E-7</v>
      </c>
      <c r="O17164">
        <v>126</v>
      </c>
    </row>
    <row r="17165" spans="1:15" x14ac:dyDescent="0.25">
      <c r="A17165" t="s">
        <v>17178</v>
      </c>
      <c r="B17165">
        <v>348</v>
      </c>
      <c r="C17165" s="1" t="str">
        <f>HYPERLINK("http://www.rosaceae.org/gb/gbrowse/malus_x_domestica/?name=MDP0000269239","MDP0000269239")</f>
        <v>MDP0000269239</v>
      </c>
      <c r="D17165">
        <v>45.45</v>
      </c>
      <c r="E17165">
        <v>385</v>
      </c>
      <c r="F17165">
        <v>210</v>
      </c>
      <c r="G17165">
        <v>67</v>
      </c>
      <c r="H17165">
        <v>26</v>
      </c>
      <c r="I17165">
        <v>343</v>
      </c>
      <c r="J17165">
        <v>1</v>
      </c>
      <c r="K17165">
        <v>90</v>
      </c>
      <c r="L17165">
        <v>474</v>
      </c>
      <c r="M17165">
        <v>1</v>
      </c>
      <c r="N17165">
        <v>9.0405200000000001E-83</v>
      </c>
      <c r="O17165">
        <v>779</v>
      </c>
    </row>
    <row r="17166" spans="1:15" x14ac:dyDescent="0.25">
      <c r="A17166" t="s">
        <v>17179</v>
      </c>
      <c r="B17166">
        <v>969</v>
      </c>
      <c r="C17166" s="1" t="str">
        <f>HYPERLINK("http://www.rosaceae.org/gb/gbrowse/malus_x_domestica/?name=MDP0000258495","MDP0000258495")</f>
        <v>MDP0000258495</v>
      </c>
      <c r="D17166">
        <v>82.83</v>
      </c>
      <c r="E17166">
        <v>437</v>
      </c>
      <c r="F17166">
        <v>75</v>
      </c>
      <c r="G17166">
        <v>1</v>
      </c>
      <c r="H17166">
        <v>533</v>
      </c>
      <c r="I17166">
        <v>969</v>
      </c>
      <c r="J17166">
        <v>1</v>
      </c>
      <c r="K17166">
        <v>522</v>
      </c>
      <c r="L17166">
        <v>957</v>
      </c>
      <c r="M17166">
        <v>1</v>
      </c>
      <c r="N17166">
        <v>0</v>
      </c>
      <c r="O17166">
        <v>1929</v>
      </c>
    </row>
    <row r="17167" spans="1:15" x14ac:dyDescent="0.25">
      <c r="A17167" t="s">
        <v>17180</v>
      </c>
      <c r="B17167">
        <v>549</v>
      </c>
      <c r="C17167" s="1" t="str">
        <f>HYPERLINK("http://www.rosaceae.org/gb/gbrowse/malus_x_domestica/?name=MDP0000189613","MDP0000189613")</f>
        <v>MDP0000189613</v>
      </c>
      <c r="D17167">
        <v>67.27</v>
      </c>
      <c r="E17167">
        <v>55</v>
      </c>
      <c r="F17167">
        <v>18</v>
      </c>
      <c r="G17167">
        <v>4</v>
      </c>
      <c r="H17167">
        <v>168</v>
      </c>
      <c r="I17167">
        <v>218</v>
      </c>
      <c r="J17167">
        <v>1</v>
      </c>
      <c r="K17167">
        <v>82</v>
      </c>
      <c r="L17167">
        <v>136</v>
      </c>
      <c r="M17167">
        <v>1</v>
      </c>
      <c r="N17167">
        <v>2.3911099999999999E-12</v>
      </c>
      <c r="O17167">
        <v>173</v>
      </c>
    </row>
    <row r="17168" spans="1:15" x14ac:dyDescent="0.25">
      <c r="A17168" t="s">
        <v>17181</v>
      </c>
      <c r="B17168">
        <v>602</v>
      </c>
      <c r="C17168" s="1" t="str">
        <f>HYPERLINK("http://www.rosaceae.org/gb/gbrowse/malus_x_domestica/?name=MDP0000138646","MDP0000138646")</f>
        <v>MDP0000138646</v>
      </c>
      <c r="D17168">
        <v>36.43</v>
      </c>
      <c r="E17168">
        <v>527</v>
      </c>
      <c r="F17168">
        <v>335</v>
      </c>
      <c r="G17168">
        <v>68</v>
      </c>
      <c r="H17168">
        <v>28</v>
      </c>
      <c r="I17168">
        <v>498</v>
      </c>
      <c r="J17168">
        <v>1</v>
      </c>
      <c r="K17168">
        <v>28</v>
      </c>
      <c r="L17168">
        <v>542</v>
      </c>
      <c r="M17168">
        <v>1</v>
      </c>
      <c r="N17168">
        <v>3.4485800000000001E-70</v>
      </c>
      <c r="O17168">
        <v>673</v>
      </c>
    </row>
    <row r="17169" spans="1:15" x14ac:dyDescent="0.25">
      <c r="A17169" t="s">
        <v>17182</v>
      </c>
      <c r="B17169">
        <v>844</v>
      </c>
      <c r="C17169" s="1" t="str">
        <f>HYPERLINK("http://www.rosaceae.org/gb/gbrowse/malus_x_domestica/?name=MDP0000320695","MDP0000320695")</f>
        <v>MDP0000320695</v>
      </c>
      <c r="D17169">
        <v>57.1</v>
      </c>
      <c r="E17169">
        <v>851</v>
      </c>
      <c r="F17169">
        <v>365</v>
      </c>
      <c r="G17169">
        <v>35</v>
      </c>
      <c r="H17169">
        <v>3</v>
      </c>
      <c r="I17169">
        <v>842</v>
      </c>
      <c r="J17169">
        <v>1</v>
      </c>
      <c r="K17169">
        <v>4</v>
      </c>
      <c r="L17169">
        <v>830</v>
      </c>
      <c r="M17169">
        <v>1</v>
      </c>
      <c r="N17169">
        <v>0</v>
      </c>
      <c r="O17169">
        <v>2380</v>
      </c>
    </row>
    <row r="17170" spans="1:15" x14ac:dyDescent="0.25">
      <c r="A17170" t="s">
        <v>17183</v>
      </c>
      <c r="B17170">
        <v>148</v>
      </c>
      <c r="C17170" s="1" t="str">
        <f>HYPERLINK("http://www.rosaceae.org/gb/gbrowse/malus_x_domestica/?name=MDP0000313949","MDP0000313949")</f>
        <v>MDP0000313949</v>
      </c>
      <c r="D17170">
        <v>51.51</v>
      </c>
      <c r="E17170">
        <v>66</v>
      </c>
      <c r="F17170">
        <v>32</v>
      </c>
      <c r="G17170">
        <v>4</v>
      </c>
      <c r="H17170">
        <v>35</v>
      </c>
      <c r="I17170">
        <v>97</v>
      </c>
      <c r="J17170">
        <v>1</v>
      </c>
      <c r="K17170">
        <v>440</v>
      </c>
      <c r="L17170">
        <v>504</v>
      </c>
      <c r="M17170">
        <v>1</v>
      </c>
      <c r="N17170">
        <v>8.5343500000000007E-12</v>
      </c>
      <c r="O17170">
        <v>161</v>
      </c>
    </row>
    <row r="17171" spans="1:15" x14ac:dyDescent="0.25">
      <c r="A17171" t="s">
        <v>17184</v>
      </c>
      <c r="B17171">
        <v>181</v>
      </c>
      <c r="C17171" s="1" t="str">
        <f>HYPERLINK("http://www.rosaceae.org/gb/gbrowse/malus_x_domestica/?name=MDP0000242945","MDP0000242945")</f>
        <v>MDP0000242945</v>
      </c>
      <c r="D17171">
        <v>58.68</v>
      </c>
      <c r="E17171">
        <v>167</v>
      </c>
      <c r="F17171">
        <v>69</v>
      </c>
      <c r="G17171">
        <v>3</v>
      </c>
      <c r="H17171">
        <v>1</v>
      </c>
      <c r="I17171">
        <v>165</v>
      </c>
      <c r="J17171">
        <v>1</v>
      </c>
      <c r="K17171">
        <v>1</v>
      </c>
      <c r="L17171">
        <v>166</v>
      </c>
      <c r="M17171">
        <v>1</v>
      </c>
      <c r="N17171">
        <v>3.6646400000000002E-40</v>
      </c>
      <c r="O17171">
        <v>407</v>
      </c>
    </row>
    <row r="17172" spans="1:15" x14ac:dyDescent="0.25">
      <c r="A17172" t="s">
        <v>17185</v>
      </c>
      <c r="B17172">
        <v>449</v>
      </c>
      <c r="C17172" s="1" t="str">
        <f>HYPERLINK("http://www.rosaceae.org/gb/gbrowse/malus_x_domestica/?name=MDP0000321440","MDP0000321440")</f>
        <v>MDP0000321440</v>
      </c>
      <c r="D17172">
        <v>80.98</v>
      </c>
      <c r="E17172">
        <v>405</v>
      </c>
      <c r="F17172">
        <v>77</v>
      </c>
      <c r="G17172">
        <v>7</v>
      </c>
      <c r="H17172">
        <v>42</v>
      </c>
      <c r="I17172">
        <v>444</v>
      </c>
      <c r="J17172">
        <v>1</v>
      </c>
      <c r="K17172">
        <v>434</v>
      </c>
      <c r="L17172">
        <v>833</v>
      </c>
      <c r="M17172">
        <v>1</v>
      </c>
      <c r="N17172">
        <v>0</v>
      </c>
      <c r="O17172">
        <v>1683</v>
      </c>
    </row>
    <row r="17173" spans="1:15" x14ac:dyDescent="0.25">
      <c r="A17173" t="s">
        <v>17186</v>
      </c>
      <c r="B17173">
        <v>877</v>
      </c>
      <c r="C17173" s="1" t="str">
        <f>HYPERLINK("http://www.rosaceae.org/gb/gbrowse/malus_x_domestica/?name=MDP0000261851","MDP0000261851")</f>
        <v>MDP0000261851</v>
      </c>
      <c r="D17173">
        <v>70.849999999999994</v>
      </c>
      <c r="E17173">
        <v>827</v>
      </c>
      <c r="F17173">
        <v>241</v>
      </c>
      <c r="G17173">
        <v>28</v>
      </c>
      <c r="H17173">
        <v>54</v>
      </c>
      <c r="I17173">
        <v>877</v>
      </c>
      <c r="J17173">
        <v>1</v>
      </c>
      <c r="K17173">
        <v>109</v>
      </c>
      <c r="L17173">
        <v>910</v>
      </c>
      <c r="M17173">
        <v>1</v>
      </c>
      <c r="N17173">
        <v>0</v>
      </c>
      <c r="O17173">
        <v>3023</v>
      </c>
    </row>
    <row r="17174" spans="1:15" x14ac:dyDescent="0.25">
      <c r="A17174" t="s">
        <v>17187</v>
      </c>
      <c r="B17174">
        <v>382</v>
      </c>
      <c r="C17174" s="1" t="str">
        <f>HYPERLINK("http://www.rosaceae.org/gb/gbrowse/malus_x_domestica/?name=MDP0000779376","MDP0000779376")</f>
        <v>MDP0000779376</v>
      </c>
      <c r="D17174">
        <v>45.91</v>
      </c>
      <c r="E17174">
        <v>257</v>
      </c>
      <c r="F17174">
        <v>139</v>
      </c>
      <c r="G17174">
        <v>33</v>
      </c>
      <c r="H17174">
        <v>1</v>
      </c>
      <c r="I17174">
        <v>244</v>
      </c>
      <c r="J17174">
        <v>1</v>
      </c>
      <c r="K17174">
        <v>1</v>
      </c>
      <c r="L17174">
        <v>237</v>
      </c>
      <c r="M17174">
        <v>1</v>
      </c>
      <c r="N17174">
        <v>1.6778200000000001E-43</v>
      </c>
      <c r="O17174">
        <v>440</v>
      </c>
    </row>
    <row r="17175" spans="1:15" x14ac:dyDescent="0.25">
      <c r="A17175" t="s">
        <v>17188</v>
      </c>
      <c r="B17175">
        <v>883</v>
      </c>
      <c r="C17175" s="1" t="str">
        <f>HYPERLINK("http://www.rosaceae.org/gb/gbrowse/malus_x_domestica/?name=MDP0000165711","MDP0000165711")</f>
        <v>MDP0000165711</v>
      </c>
      <c r="D17175">
        <v>60.02</v>
      </c>
      <c r="E17175">
        <v>878</v>
      </c>
      <c r="F17175">
        <v>351</v>
      </c>
      <c r="G17175">
        <v>48</v>
      </c>
      <c r="H17175">
        <v>4</v>
      </c>
      <c r="I17175">
        <v>842</v>
      </c>
      <c r="J17175">
        <v>1</v>
      </c>
      <c r="K17175">
        <v>12</v>
      </c>
      <c r="L17175">
        <v>880</v>
      </c>
      <c r="M17175">
        <v>1</v>
      </c>
      <c r="N17175">
        <v>0</v>
      </c>
      <c r="O17175">
        <v>2705</v>
      </c>
    </row>
    <row r="17176" spans="1:15" x14ac:dyDescent="0.25">
      <c r="A17176" t="s">
        <v>17189</v>
      </c>
      <c r="B17176">
        <v>320</v>
      </c>
      <c r="C17176" s="1" t="str">
        <f>HYPERLINK("http://www.rosaceae.org/gb/gbrowse/malus_x_domestica/?name=MDP0000468056","MDP0000468056")</f>
        <v>MDP0000468056</v>
      </c>
      <c r="D17176">
        <v>48.11</v>
      </c>
      <c r="E17176">
        <v>106</v>
      </c>
      <c r="F17176">
        <v>55</v>
      </c>
      <c r="G17176">
        <v>15</v>
      </c>
      <c r="H17176">
        <v>90</v>
      </c>
      <c r="I17176">
        <v>182</v>
      </c>
      <c r="J17176">
        <v>1</v>
      </c>
      <c r="K17176">
        <v>940</v>
      </c>
      <c r="L17176">
        <v>1043</v>
      </c>
      <c r="M17176">
        <v>1</v>
      </c>
      <c r="N17176">
        <v>8.3668899999999998E-16</v>
      </c>
      <c r="O17176">
        <v>201</v>
      </c>
    </row>
    <row r="17177" spans="1:15" x14ac:dyDescent="0.25">
      <c r="A17177" t="s">
        <v>17190</v>
      </c>
      <c r="B17177">
        <v>261</v>
      </c>
      <c r="C17177" s="1" t="str">
        <f>HYPERLINK("http://www.rosaceae.org/gb/gbrowse/malus_x_domestica/?name=MDP0000290600","MDP0000290600")</f>
        <v>MDP0000290600</v>
      </c>
      <c r="D17177">
        <v>57</v>
      </c>
      <c r="E17177">
        <v>300</v>
      </c>
      <c r="F17177">
        <v>129</v>
      </c>
      <c r="G17177">
        <v>57</v>
      </c>
      <c r="H17177">
        <v>2</v>
      </c>
      <c r="I17177">
        <v>244</v>
      </c>
      <c r="J17177">
        <v>1</v>
      </c>
      <c r="K17177">
        <v>150</v>
      </c>
      <c r="L17177">
        <v>449</v>
      </c>
      <c r="M17177">
        <v>1</v>
      </c>
      <c r="N17177">
        <v>6.4656900000000004E-81</v>
      </c>
      <c r="O17177">
        <v>761</v>
      </c>
    </row>
    <row r="17178" spans="1:15" x14ac:dyDescent="0.25">
      <c r="A17178" t="s">
        <v>17191</v>
      </c>
      <c r="B17178">
        <v>366</v>
      </c>
      <c r="C17178" s="1" t="str">
        <f>HYPERLINK("http://www.rosaceae.org/gb/gbrowse/malus_x_domestica/?name=MDP0000137468","MDP0000137468")</f>
        <v>MDP0000137468</v>
      </c>
      <c r="D17178">
        <v>64.349999999999994</v>
      </c>
      <c r="E17178">
        <v>202</v>
      </c>
      <c r="F17178">
        <v>72</v>
      </c>
      <c r="G17178">
        <v>6</v>
      </c>
      <c r="H17178">
        <v>1</v>
      </c>
      <c r="I17178">
        <v>200</v>
      </c>
      <c r="J17178">
        <v>1</v>
      </c>
      <c r="K17178">
        <v>1</v>
      </c>
      <c r="L17178">
        <v>198</v>
      </c>
      <c r="M17178">
        <v>1</v>
      </c>
      <c r="N17178">
        <v>2.4494500000000001E-58</v>
      </c>
      <c r="O17178">
        <v>568</v>
      </c>
    </row>
    <row r="17179" spans="1:15" x14ac:dyDescent="0.25">
      <c r="A17179" t="s">
        <v>17192</v>
      </c>
      <c r="B17179">
        <v>139</v>
      </c>
      <c r="C17179" s="1" t="str">
        <f>HYPERLINK("http://www.rosaceae.org/gb/gbrowse/malus_x_domestica/?name=MDP0000147398","MDP0000147398")</f>
        <v>MDP0000147398</v>
      </c>
      <c r="D17179">
        <v>65.75</v>
      </c>
      <c r="E17179">
        <v>146</v>
      </c>
      <c r="F17179">
        <v>50</v>
      </c>
      <c r="G17179">
        <v>13</v>
      </c>
      <c r="H17179">
        <v>1</v>
      </c>
      <c r="I17179">
        <v>138</v>
      </c>
      <c r="J17179">
        <v>1</v>
      </c>
      <c r="K17179">
        <v>374</v>
      </c>
      <c r="L17179">
        <v>514</v>
      </c>
      <c r="M17179">
        <v>1</v>
      </c>
      <c r="N17179">
        <v>2.2855999999999999E-44</v>
      </c>
      <c r="O17179">
        <v>441</v>
      </c>
    </row>
    <row r="17180" spans="1:15" x14ac:dyDescent="0.25">
      <c r="A17180" t="s">
        <v>17193</v>
      </c>
      <c r="B17180">
        <v>400</v>
      </c>
      <c r="C17180" s="1" t="str">
        <f>HYPERLINK("http://www.rosaceae.org/gb/gbrowse/malus_x_domestica/?name=MDP0000822921","MDP0000822921")</f>
        <v>MDP0000822921</v>
      </c>
      <c r="D17180">
        <v>47</v>
      </c>
      <c r="E17180">
        <v>400</v>
      </c>
      <c r="F17180">
        <v>212</v>
      </c>
      <c r="G17180">
        <v>4</v>
      </c>
      <c r="H17180">
        <v>2</v>
      </c>
      <c r="I17180">
        <v>397</v>
      </c>
      <c r="J17180">
        <v>1</v>
      </c>
      <c r="K17180">
        <v>30</v>
      </c>
      <c r="L17180">
        <v>429</v>
      </c>
      <c r="M17180">
        <v>1</v>
      </c>
      <c r="N17180">
        <v>2.6038599999999999E-101</v>
      </c>
      <c r="O17180">
        <v>939</v>
      </c>
    </row>
    <row r="17181" spans="1:15" x14ac:dyDescent="0.25">
      <c r="A17181" t="s">
        <v>17194</v>
      </c>
      <c r="B17181">
        <v>150</v>
      </c>
      <c r="C17181" s="1" t="str">
        <f>HYPERLINK("http://www.rosaceae.org/gb/gbrowse/malus_x_domestica/?name=MDP0000691215","MDP0000691215")</f>
        <v>MDP0000691215</v>
      </c>
      <c r="D17181">
        <v>46.66</v>
      </c>
      <c r="E17181">
        <v>105</v>
      </c>
      <c r="F17181">
        <v>56</v>
      </c>
      <c r="G17181">
        <v>3</v>
      </c>
      <c r="H17181">
        <v>32</v>
      </c>
      <c r="I17181">
        <v>134</v>
      </c>
      <c r="J17181">
        <v>1</v>
      </c>
      <c r="K17181">
        <v>8</v>
      </c>
      <c r="L17181">
        <v>111</v>
      </c>
      <c r="M17181">
        <v>1</v>
      </c>
      <c r="N17181">
        <v>7.9291700000000005E-17</v>
      </c>
      <c r="O17181">
        <v>204</v>
      </c>
    </row>
    <row r="17182" spans="1:15" x14ac:dyDescent="0.25">
      <c r="A17182" t="s">
        <v>17195</v>
      </c>
      <c r="B17182">
        <v>151</v>
      </c>
      <c r="C17182" s="1" t="str">
        <f>HYPERLINK("http://www.rosaceae.org/gb/gbrowse/malus_x_domestica/?name=MDP0000708928","MDP0000708928")</f>
        <v>MDP0000708928</v>
      </c>
      <c r="D17182">
        <v>65.3</v>
      </c>
      <c r="E17182">
        <v>49</v>
      </c>
      <c r="F17182">
        <v>17</v>
      </c>
      <c r="G17182">
        <v>0</v>
      </c>
      <c r="H17182">
        <v>103</v>
      </c>
      <c r="I17182">
        <v>151</v>
      </c>
      <c r="J17182">
        <v>1</v>
      </c>
      <c r="K17182">
        <v>1</v>
      </c>
      <c r="L17182">
        <v>49</v>
      </c>
      <c r="M17182">
        <v>1</v>
      </c>
      <c r="N17182">
        <v>1.8161999999999999E-10</v>
      </c>
      <c r="O17182">
        <v>150</v>
      </c>
    </row>
    <row r="17183" spans="1:15" x14ac:dyDescent="0.25">
      <c r="A17183" t="s">
        <v>17196</v>
      </c>
      <c r="B17183">
        <v>188</v>
      </c>
      <c r="C17183" s="1" t="str">
        <f>HYPERLINK("http://www.rosaceae.org/gb/gbrowse/malus_x_domestica/?name=MDP0000638634","MDP0000638634")</f>
        <v>MDP0000638634</v>
      </c>
      <c r="D17183">
        <v>27.77</v>
      </c>
      <c r="E17183">
        <v>198</v>
      </c>
      <c r="F17183">
        <v>143</v>
      </c>
      <c r="G17183">
        <v>28</v>
      </c>
      <c r="H17183">
        <v>1</v>
      </c>
      <c r="I17183">
        <v>187</v>
      </c>
      <c r="J17183">
        <v>1</v>
      </c>
      <c r="K17183">
        <v>23</v>
      </c>
      <c r="L17183">
        <v>203</v>
      </c>
      <c r="M17183">
        <v>1</v>
      </c>
      <c r="N17183">
        <v>3.1422000000000001E-12</v>
      </c>
      <c r="O17183">
        <v>167</v>
      </c>
    </row>
    <row r="17184" spans="1:15" x14ac:dyDescent="0.25">
      <c r="A17184" t="s">
        <v>17197</v>
      </c>
      <c r="B17184">
        <v>608</v>
      </c>
      <c r="C17184" s="1" t="str">
        <f>HYPERLINK("http://www.rosaceae.org/gb/gbrowse/malus_x_domestica/?name=MDP0000122168","MDP0000122168")</f>
        <v>MDP0000122168</v>
      </c>
      <c r="D17184">
        <v>73.650000000000006</v>
      </c>
      <c r="E17184">
        <v>539</v>
      </c>
      <c r="F17184">
        <v>142</v>
      </c>
      <c r="G17184">
        <v>20</v>
      </c>
      <c r="H17184">
        <v>70</v>
      </c>
      <c r="I17184">
        <v>608</v>
      </c>
      <c r="J17184">
        <v>1</v>
      </c>
      <c r="K17184">
        <v>1</v>
      </c>
      <c r="L17184">
        <v>519</v>
      </c>
      <c r="M17184">
        <v>1</v>
      </c>
      <c r="N17184">
        <v>0</v>
      </c>
      <c r="O17184">
        <v>2184</v>
      </c>
    </row>
    <row r="17185" spans="1:15" x14ac:dyDescent="0.25">
      <c r="A17185" t="s">
        <v>17198</v>
      </c>
      <c r="B17185">
        <v>221</v>
      </c>
      <c r="C17185" s="1" t="str">
        <f>HYPERLINK("http://www.rosaceae.org/gb/gbrowse/malus_x_domestica/?name=MDP0000125288","MDP0000125288")</f>
        <v>MDP0000125288</v>
      </c>
      <c r="D17185">
        <v>74.37</v>
      </c>
      <c r="E17185">
        <v>160</v>
      </c>
      <c r="F17185">
        <v>41</v>
      </c>
      <c r="G17185">
        <v>0</v>
      </c>
      <c r="H17185">
        <v>4</v>
      </c>
      <c r="I17185">
        <v>163</v>
      </c>
      <c r="J17185">
        <v>1</v>
      </c>
      <c r="K17185">
        <v>19</v>
      </c>
      <c r="L17185">
        <v>178</v>
      </c>
      <c r="M17185">
        <v>1</v>
      </c>
      <c r="N17185">
        <v>5.0646500000000002E-71</v>
      </c>
      <c r="O17185">
        <v>675</v>
      </c>
    </row>
    <row r="17186" spans="1:15" x14ac:dyDescent="0.25">
      <c r="A17186" t="s">
        <v>17199</v>
      </c>
      <c r="B17186">
        <v>537</v>
      </c>
      <c r="C17186" s="1" t="str">
        <f>HYPERLINK("http://www.rosaceae.org/gb/gbrowse/malus_x_domestica/?name=MDP0000164883","MDP0000164883")</f>
        <v>MDP0000164883</v>
      </c>
      <c r="D17186">
        <v>54.98</v>
      </c>
      <c r="E17186">
        <v>271</v>
      </c>
      <c r="F17186">
        <v>122</v>
      </c>
      <c r="G17186">
        <v>52</v>
      </c>
      <c r="H17186">
        <v>1</v>
      </c>
      <c r="I17186">
        <v>220</v>
      </c>
      <c r="J17186">
        <v>1</v>
      </c>
      <c r="K17186">
        <v>1</v>
      </c>
      <c r="L17186">
        <v>270</v>
      </c>
      <c r="M17186">
        <v>1</v>
      </c>
      <c r="N17186">
        <v>7.3471999999999999E-74</v>
      </c>
      <c r="O17186">
        <v>704</v>
      </c>
    </row>
    <row r="17187" spans="1:15" x14ac:dyDescent="0.25">
      <c r="A17187" t="s">
        <v>17200</v>
      </c>
      <c r="B17187">
        <v>394</v>
      </c>
      <c r="C17187" s="1" t="str">
        <f>HYPERLINK("http://www.rosaceae.org/gb/gbrowse/malus_x_domestica/?name=MDP0000243818","MDP0000243818")</f>
        <v>MDP0000243818</v>
      </c>
      <c r="D17187">
        <v>79.27</v>
      </c>
      <c r="E17187">
        <v>333</v>
      </c>
      <c r="F17187">
        <v>69</v>
      </c>
      <c r="G17187">
        <v>3</v>
      </c>
      <c r="H17187">
        <v>62</v>
      </c>
      <c r="I17187">
        <v>394</v>
      </c>
      <c r="J17187">
        <v>1</v>
      </c>
      <c r="K17187">
        <v>20</v>
      </c>
      <c r="L17187">
        <v>349</v>
      </c>
      <c r="M17187">
        <v>1</v>
      </c>
      <c r="N17187">
        <v>6.4410599999999996E-158</v>
      </c>
      <c r="O17187">
        <v>1427</v>
      </c>
    </row>
    <row r="17188" spans="1:15" x14ac:dyDescent="0.25">
      <c r="A17188" t="s">
        <v>17201</v>
      </c>
      <c r="B17188">
        <v>539</v>
      </c>
      <c r="C17188" s="1" t="str">
        <f>HYPERLINK("http://www.rosaceae.org/gb/gbrowse/malus_x_domestica/?name=MDP0000240291","MDP0000240291")</f>
        <v>MDP0000240291</v>
      </c>
      <c r="D17188">
        <v>70.97</v>
      </c>
      <c r="E17188">
        <v>541</v>
      </c>
      <c r="F17188">
        <v>157</v>
      </c>
      <c r="G17188">
        <v>25</v>
      </c>
      <c r="H17188">
        <v>1</v>
      </c>
      <c r="I17188">
        <v>537</v>
      </c>
      <c r="J17188">
        <v>1</v>
      </c>
      <c r="K17188">
        <v>1</v>
      </c>
      <c r="L17188">
        <v>520</v>
      </c>
      <c r="M17188">
        <v>1</v>
      </c>
      <c r="N17188">
        <v>0</v>
      </c>
      <c r="O17188">
        <v>2008</v>
      </c>
    </row>
    <row r="17189" spans="1:15" x14ac:dyDescent="0.25">
      <c r="A17189" t="s">
        <v>17202</v>
      </c>
      <c r="B17189">
        <v>226</v>
      </c>
      <c r="C17189" s="1" t="str">
        <f>HYPERLINK("http://www.rosaceae.org/gb/gbrowse/malus_x_domestica/?name=MDP0000262701","MDP0000262701")</f>
        <v>MDP0000262701</v>
      </c>
      <c r="D17189">
        <v>84.23</v>
      </c>
      <c r="E17189">
        <v>222</v>
      </c>
      <c r="F17189">
        <v>35</v>
      </c>
      <c r="G17189">
        <v>0</v>
      </c>
      <c r="H17189">
        <v>1</v>
      </c>
      <c r="I17189">
        <v>222</v>
      </c>
      <c r="J17189">
        <v>1</v>
      </c>
      <c r="K17189">
        <v>302</v>
      </c>
      <c r="L17189">
        <v>523</v>
      </c>
      <c r="M17189">
        <v>1</v>
      </c>
      <c r="N17189">
        <v>3.1751299999999998E-111</v>
      </c>
      <c r="O17189">
        <v>1022</v>
      </c>
    </row>
    <row r="17190" spans="1:15" x14ac:dyDescent="0.25">
      <c r="A17190" t="s">
        <v>17203</v>
      </c>
      <c r="B17190">
        <v>152</v>
      </c>
      <c r="C17190" s="1" t="str">
        <f>HYPERLINK("http://www.rosaceae.org/gb/gbrowse/malus_x_domestica/?name=MDP0000233439","MDP0000233439")</f>
        <v>MDP0000233439</v>
      </c>
      <c r="D17190">
        <v>80</v>
      </c>
      <c r="E17190">
        <v>95</v>
      </c>
      <c r="F17190">
        <v>19</v>
      </c>
      <c r="G17190">
        <v>17</v>
      </c>
      <c r="H17190">
        <v>1</v>
      </c>
      <c r="I17190">
        <v>95</v>
      </c>
      <c r="J17190">
        <v>1</v>
      </c>
      <c r="K17190">
        <v>339</v>
      </c>
      <c r="L17190">
        <v>416</v>
      </c>
      <c r="M17190">
        <v>1</v>
      </c>
      <c r="N17190">
        <v>1.2702100000000001E-37</v>
      </c>
      <c r="O17190">
        <v>384</v>
      </c>
    </row>
    <row r="17191" spans="1:15" x14ac:dyDescent="0.25">
      <c r="A17191" t="s">
        <v>17204</v>
      </c>
      <c r="B17191">
        <v>138</v>
      </c>
      <c r="C17191" s="1" t="str">
        <f>HYPERLINK("http://www.rosaceae.org/gb/gbrowse/malus_x_domestica/?name=MDP0000379697","MDP0000379697")</f>
        <v>MDP0000379697</v>
      </c>
      <c r="D17191">
        <v>59.21</v>
      </c>
      <c r="E17191">
        <v>76</v>
      </c>
      <c r="F17191">
        <v>31</v>
      </c>
      <c r="G17191">
        <v>7</v>
      </c>
      <c r="H17191">
        <v>1</v>
      </c>
      <c r="I17191">
        <v>76</v>
      </c>
      <c r="J17191">
        <v>1</v>
      </c>
      <c r="K17191">
        <v>381</v>
      </c>
      <c r="L17191">
        <v>449</v>
      </c>
      <c r="M17191">
        <v>1</v>
      </c>
      <c r="N17191">
        <v>4.1068099999999999E-19</v>
      </c>
      <c r="O17191">
        <v>223</v>
      </c>
    </row>
    <row r="17192" spans="1:15" x14ac:dyDescent="0.25">
      <c r="A17192" t="s">
        <v>17205</v>
      </c>
      <c r="B17192">
        <v>578</v>
      </c>
      <c r="C17192" s="1" t="str">
        <f>HYPERLINK("http://www.rosaceae.org/gb/gbrowse/malus_x_domestica/?name=MDP0000262512","MDP0000262512")</f>
        <v>MDP0000262512</v>
      </c>
      <c r="D17192">
        <v>66.5</v>
      </c>
      <c r="E17192">
        <v>400</v>
      </c>
      <c r="F17192">
        <v>134</v>
      </c>
      <c r="G17192">
        <v>8</v>
      </c>
      <c r="H17192">
        <v>94</v>
      </c>
      <c r="I17192">
        <v>491</v>
      </c>
      <c r="J17192">
        <v>1</v>
      </c>
      <c r="K17192">
        <v>1</v>
      </c>
      <c r="L17192">
        <v>394</v>
      </c>
      <c r="M17192">
        <v>1</v>
      </c>
      <c r="N17192">
        <v>6.9584800000000002E-153</v>
      </c>
      <c r="O17192">
        <v>1386</v>
      </c>
    </row>
    <row r="17193" spans="1:15" x14ac:dyDescent="0.25">
      <c r="A17193" t="s">
        <v>17206</v>
      </c>
      <c r="B17193">
        <v>124</v>
      </c>
      <c r="C17193" s="1" t="str">
        <f>HYPERLINK("http://www.rosaceae.org/gb/gbrowse/malus_x_domestica/?name=MDP0000320366","MDP0000320366")</f>
        <v>MDP0000320366</v>
      </c>
      <c r="D17193">
        <v>55.26</v>
      </c>
      <c r="E17193">
        <v>76</v>
      </c>
      <c r="F17193">
        <v>34</v>
      </c>
      <c r="G17193">
        <v>0</v>
      </c>
      <c r="H17193">
        <v>49</v>
      </c>
      <c r="I17193">
        <v>124</v>
      </c>
      <c r="J17193">
        <v>1</v>
      </c>
      <c r="K17193">
        <v>76</v>
      </c>
      <c r="L17193">
        <v>151</v>
      </c>
      <c r="M17193">
        <v>1</v>
      </c>
      <c r="N17193">
        <v>2.5901000000000001E-17</v>
      </c>
      <c r="O17193">
        <v>207</v>
      </c>
    </row>
    <row r="17194" spans="1:15" x14ac:dyDescent="0.25">
      <c r="A17194" t="s">
        <v>17207</v>
      </c>
      <c r="B17194">
        <v>408</v>
      </c>
      <c r="C17194" s="1" t="str">
        <f>HYPERLINK("http://www.rosaceae.org/gb/gbrowse/malus_x_domestica/?name=MDP0000563698","MDP0000563698")</f>
        <v>MDP0000563698</v>
      </c>
      <c r="D17194">
        <v>37.61</v>
      </c>
      <c r="E17194">
        <v>436</v>
      </c>
      <c r="F17194">
        <v>272</v>
      </c>
      <c r="G17194">
        <v>43</v>
      </c>
      <c r="H17194">
        <v>1</v>
      </c>
      <c r="I17194">
        <v>408</v>
      </c>
      <c r="J17194">
        <v>1</v>
      </c>
      <c r="K17194">
        <v>21</v>
      </c>
      <c r="L17194">
        <v>441</v>
      </c>
      <c r="M17194">
        <v>1</v>
      </c>
      <c r="N17194">
        <v>9.6906499999999994E-64</v>
      </c>
      <c r="O17194">
        <v>615</v>
      </c>
    </row>
    <row r="17195" spans="1:15" x14ac:dyDescent="0.25">
      <c r="A17195" t="s">
        <v>17208</v>
      </c>
      <c r="B17195">
        <v>254</v>
      </c>
      <c r="C17195" s="1" t="str">
        <f>HYPERLINK("http://www.rosaceae.org/gb/gbrowse/malus_x_domestica/?name=MDP0000631227","MDP0000631227")</f>
        <v>MDP0000631227</v>
      </c>
      <c r="D17195">
        <v>72.44</v>
      </c>
      <c r="E17195">
        <v>254</v>
      </c>
      <c r="F17195">
        <v>70</v>
      </c>
      <c r="G17195">
        <v>4</v>
      </c>
      <c r="H17195">
        <v>1</v>
      </c>
      <c r="I17195">
        <v>251</v>
      </c>
      <c r="J17195">
        <v>1</v>
      </c>
      <c r="K17195">
        <v>3</v>
      </c>
      <c r="L17195">
        <v>255</v>
      </c>
      <c r="M17195">
        <v>1</v>
      </c>
      <c r="N17195">
        <v>5.3341700000000003E-101</v>
      </c>
      <c r="O17195">
        <v>934</v>
      </c>
    </row>
    <row r="17196" spans="1:15" x14ac:dyDescent="0.25">
      <c r="A17196" t="s">
        <v>17209</v>
      </c>
      <c r="B17196">
        <v>829</v>
      </c>
      <c r="C17196" s="1" t="str">
        <f>HYPERLINK("http://www.rosaceae.org/gb/gbrowse/malus_x_domestica/?name=MDP0000259047","MDP0000259047")</f>
        <v>MDP0000259047</v>
      </c>
      <c r="D17196">
        <v>59.18</v>
      </c>
      <c r="E17196">
        <v>490</v>
      </c>
      <c r="F17196">
        <v>200</v>
      </c>
      <c r="G17196">
        <v>23</v>
      </c>
      <c r="H17196">
        <v>354</v>
      </c>
      <c r="I17196">
        <v>825</v>
      </c>
      <c r="J17196">
        <v>1</v>
      </c>
      <c r="K17196">
        <v>30</v>
      </c>
      <c r="L17196">
        <v>514</v>
      </c>
      <c r="M17196">
        <v>1</v>
      </c>
      <c r="N17196">
        <v>1.9243000000000001E-169</v>
      </c>
      <c r="O17196">
        <v>1530</v>
      </c>
    </row>
    <row r="17197" spans="1:15" x14ac:dyDescent="0.25">
      <c r="A17197" t="s">
        <v>17210</v>
      </c>
      <c r="B17197">
        <v>1084</v>
      </c>
      <c r="C17197" s="1" t="str">
        <f>HYPERLINK("http://www.rosaceae.org/gb/gbrowse/malus_x_domestica/?name=MDP0000139304","MDP0000139304")</f>
        <v>MDP0000139304</v>
      </c>
      <c r="D17197">
        <v>72.680000000000007</v>
      </c>
      <c r="E17197">
        <v>1091</v>
      </c>
      <c r="F17197">
        <v>298</v>
      </c>
      <c r="G17197">
        <v>33</v>
      </c>
      <c r="H17197">
        <v>9</v>
      </c>
      <c r="I17197">
        <v>1084</v>
      </c>
      <c r="J17197">
        <v>1</v>
      </c>
      <c r="K17197">
        <v>1</v>
      </c>
      <c r="L17197">
        <v>1073</v>
      </c>
      <c r="M17197">
        <v>1</v>
      </c>
      <c r="N17197">
        <v>0</v>
      </c>
      <c r="O17197">
        <v>4055</v>
      </c>
    </row>
    <row r="17198" spans="1:15" x14ac:dyDescent="0.25">
      <c r="A17198" t="s">
        <v>17211</v>
      </c>
      <c r="B17198">
        <v>479</v>
      </c>
      <c r="C17198" s="1" t="str">
        <f>HYPERLINK("http://www.rosaceae.org/gb/gbrowse/malus_x_domestica/?name=MDP0000280105","MDP0000280105")</f>
        <v>MDP0000280105</v>
      </c>
      <c r="D17198">
        <v>65.739999999999995</v>
      </c>
      <c r="E17198">
        <v>470</v>
      </c>
      <c r="F17198">
        <v>161</v>
      </c>
      <c r="G17198">
        <v>21</v>
      </c>
      <c r="H17198">
        <v>6</v>
      </c>
      <c r="I17198">
        <v>473</v>
      </c>
      <c r="J17198">
        <v>1</v>
      </c>
      <c r="K17198">
        <v>5</v>
      </c>
      <c r="L17198">
        <v>455</v>
      </c>
      <c r="M17198">
        <v>1</v>
      </c>
      <c r="N17198">
        <v>3.2648100000000002E-177</v>
      </c>
      <c r="O17198">
        <v>1595</v>
      </c>
    </row>
    <row r="17199" spans="1:15" x14ac:dyDescent="0.25">
      <c r="A17199" t="s">
        <v>17212</v>
      </c>
      <c r="B17199">
        <v>1206</v>
      </c>
      <c r="C17199" s="1" t="str">
        <f>HYPERLINK("http://www.rosaceae.org/gb/gbrowse/malus_x_domestica/?name=MDP0000311284","MDP0000311284")</f>
        <v>MDP0000311284</v>
      </c>
      <c r="D17199">
        <v>77</v>
      </c>
      <c r="E17199">
        <v>635</v>
      </c>
      <c r="F17199">
        <v>146</v>
      </c>
      <c r="G17199">
        <v>19</v>
      </c>
      <c r="H17199">
        <v>591</v>
      </c>
      <c r="I17199">
        <v>1206</v>
      </c>
      <c r="J17199">
        <v>1</v>
      </c>
      <c r="K17199">
        <v>1</v>
      </c>
      <c r="L17199">
        <v>635</v>
      </c>
      <c r="M17199">
        <v>1</v>
      </c>
      <c r="N17199">
        <v>0</v>
      </c>
      <c r="O17199">
        <v>2642</v>
      </c>
    </row>
    <row r="17200" spans="1:15" x14ac:dyDescent="0.25">
      <c r="A17200" t="s">
        <v>17213</v>
      </c>
      <c r="B17200">
        <v>607</v>
      </c>
      <c r="C17200" s="1" t="str">
        <f>HYPERLINK("http://www.rosaceae.org/gb/gbrowse/malus_x_domestica/?name=MDP0000652388","MDP0000652388")</f>
        <v>MDP0000652388</v>
      </c>
      <c r="D17200">
        <v>65.77</v>
      </c>
      <c r="E17200">
        <v>225</v>
      </c>
      <c r="F17200">
        <v>77</v>
      </c>
      <c r="G17200">
        <v>2</v>
      </c>
      <c r="H17200">
        <v>370</v>
      </c>
      <c r="I17200">
        <v>594</v>
      </c>
      <c r="J17200">
        <v>1</v>
      </c>
      <c r="K17200">
        <v>345</v>
      </c>
      <c r="L17200">
        <v>567</v>
      </c>
      <c r="M17200">
        <v>1</v>
      </c>
      <c r="N17200">
        <v>1.1375E-74</v>
      </c>
      <c r="O17200">
        <v>711</v>
      </c>
    </row>
    <row r="17201" spans="1:15" x14ac:dyDescent="0.25">
      <c r="A17201" t="s">
        <v>17214</v>
      </c>
      <c r="B17201">
        <v>470</v>
      </c>
      <c r="C17201" s="1" t="str">
        <f>HYPERLINK("http://www.rosaceae.org/gb/gbrowse/malus_x_domestica/?name=MDP0000206236","MDP0000206236")</f>
        <v>MDP0000206236</v>
      </c>
      <c r="D17201">
        <v>64.12</v>
      </c>
      <c r="E17201">
        <v>446</v>
      </c>
      <c r="F17201">
        <v>160</v>
      </c>
      <c r="G17201">
        <v>57</v>
      </c>
      <c r="H17201">
        <v>1</v>
      </c>
      <c r="I17201">
        <v>444</v>
      </c>
      <c r="J17201">
        <v>1</v>
      </c>
      <c r="K17201">
        <v>71</v>
      </c>
      <c r="L17201">
        <v>461</v>
      </c>
      <c r="M17201">
        <v>1</v>
      </c>
      <c r="N17201">
        <v>5.3260400000000003E-160</v>
      </c>
      <c r="O17201">
        <v>1446</v>
      </c>
    </row>
    <row r="17202" spans="1:15" x14ac:dyDescent="0.25">
      <c r="A17202" t="s">
        <v>17215</v>
      </c>
      <c r="B17202">
        <v>299</v>
      </c>
      <c r="C17202" s="1" t="str">
        <f>HYPERLINK("http://www.rosaceae.org/gb/gbrowse/malus_x_domestica/?name=MDP0000293367","MDP0000293367")</f>
        <v>MDP0000293367</v>
      </c>
      <c r="D17202">
        <v>67.17</v>
      </c>
      <c r="E17202">
        <v>195</v>
      </c>
      <c r="F17202">
        <v>64</v>
      </c>
      <c r="G17202">
        <v>52</v>
      </c>
      <c r="H17202">
        <v>54</v>
      </c>
      <c r="I17202">
        <v>248</v>
      </c>
      <c r="J17202">
        <v>1</v>
      </c>
      <c r="K17202">
        <v>98</v>
      </c>
      <c r="L17202">
        <v>240</v>
      </c>
      <c r="M17202">
        <v>1</v>
      </c>
      <c r="N17202">
        <v>1.8319399999999999E-69</v>
      </c>
      <c r="O17202">
        <v>663</v>
      </c>
    </row>
    <row r="17203" spans="1:15" x14ac:dyDescent="0.25">
      <c r="A17203" t="s">
        <v>17216</v>
      </c>
      <c r="B17203">
        <v>515</v>
      </c>
      <c r="C17203" s="1" t="str">
        <f>HYPERLINK("http://www.rosaceae.org/gb/gbrowse/malus_x_domestica/?name=MDP0000172879","MDP0000172879")</f>
        <v>MDP0000172879</v>
      </c>
      <c r="D17203">
        <v>62.81</v>
      </c>
      <c r="E17203">
        <v>476</v>
      </c>
      <c r="F17203">
        <v>177</v>
      </c>
      <c r="G17203">
        <v>56</v>
      </c>
      <c r="H17203">
        <v>17</v>
      </c>
      <c r="I17203">
        <v>488</v>
      </c>
      <c r="J17203">
        <v>1</v>
      </c>
      <c r="K17203">
        <v>35</v>
      </c>
      <c r="L17203">
        <v>458</v>
      </c>
      <c r="M17203">
        <v>1</v>
      </c>
      <c r="N17203">
        <v>1.20114E-153</v>
      </c>
      <c r="O17203">
        <v>1392</v>
      </c>
    </row>
    <row r="17204" spans="1:15" x14ac:dyDescent="0.25">
      <c r="A17204" t="s">
        <v>17217</v>
      </c>
      <c r="B17204">
        <v>660</v>
      </c>
      <c r="C17204" s="1" t="str">
        <f>HYPERLINK("http://www.rosaceae.org/gb/gbrowse/malus_x_domestica/?name=MDP0000864010","MDP0000864010")</f>
        <v>MDP0000864010</v>
      </c>
      <c r="D17204">
        <v>84.39</v>
      </c>
      <c r="E17204">
        <v>660</v>
      </c>
      <c r="F17204">
        <v>103</v>
      </c>
      <c r="G17204">
        <v>0</v>
      </c>
      <c r="H17204">
        <v>1</v>
      </c>
      <c r="I17204">
        <v>660</v>
      </c>
      <c r="J17204">
        <v>1</v>
      </c>
      <c r="K17204">
        <v>1</v>
      </c>
      <c r="L17204">
        <v>660</v>
      </c>
      <c r="M17204">
        <v>1</v>
      </c>
      <c r="N17204">
        <v>0</v>
      </c>
      <c r="O17204">
        <v>3056</v>
      </c>
    </row>
    <row r="17205" spans="1:15" x14ac:dyDescent="0.25">
      <c r="A17205" t="s">
        <v>17218</v>
      </c>
      <c r="B17205">
        <v>477</v>
      </c>
      <c r="C17205" s="1" t="str">
        <f>HYPERLINK("http://www.rosaceae.org/gb/gbrowse/malus_x_domestica/?name=MDP0000562934","MDP0000562934")</f>
        <v>MDP0000562934</v>
      </c>
      <c r="D17205">
        <v>57.18</v>
      </c>
      <c r="E17205">
        <v>327</v>
      </c>
      <c r="F17205">
        <v>140</v>
      </c>
      <c r="G17205">
        <v>10</v>
      </c>
      <c r="H17205">
        <v>25</v>
      </c>
      <c r="I17205">
        <v>343</v>
      </c>
      <c r="J17205">
        <v>1</v>
      </c>
      <c r="K17205">
        <v>44</v>
      </c>
      <c r="L17205">
        <v>368</v>
      </c>
      <c r="M17205">
        <v>1</v>
      </c>
      <c r="N17205">
        <v>1.7867099999999999E-108</v>
      </c>
      <c r="O17205">
        <v>1002</v>
      </c>
    </row>
    <row r="17206" spans="1:15" x14ac:dyDescent="0.25">
      <c r="A17206" t="s">
        <v>17219</v>
      </c>
      <c r="B17206">
        <v>516</v>
      </c>
      <c r="C17206" s="1" t="str">
        <f>HYPERLINK("http://www.rosaceae.org/gb/gbrowse/malus_x_domestica/?name=MDP0000207964","MDP0000207964")</f>
        <v>MDP0000207964</v>
      </c>
      <c r="D17206">
        <v>76.959999999999994</v>
      </c>
      <c r="E17206">
        <v>521</v>
      </c>
      <c r="F17206">
        <v>120</v>
      </c>
      <c r="G17206">
        <v>7</v>
      </c>
      <c r="H17206">
        <v>1</v>
      </c>
      <c r="I17206">
        <v>516</v>
      </c>
      <c r="J17206">
        <v>1</v>
      </c>
      <c r="K17206">
        <v>1</v>
      </c>
      <c r="L17206">
        <v>519</v>
      </c>
      <c r="M17206">
        <v>1</v>
      </c>
      <c r="N17206">
        <v>0</v>
      </c>
      <c r="O17206">
        <v>2194</v>
      </c>
    </row>
    <row r="17207" spans="1:15" x14ac:dyDescent="0.25">
      <c r="A17207" t="s">
        <v>17220</v>
      </c>
      <c r="B17207">
        <v>309</v>
      </c>
      <c r="C17207" s="1" t="str">
        <f>HYPERLINK("http://www.rosaceae.org/gb/gbrowse/malus_x_domestica/?name=MDP0000296691","MDP0000296691")</f>
        <v>MDP0000296691</v>
      </c>
      <c r="D17207">
        <v>38.380000000000003</v>
      </c>
      <c r="E17207">
        <v>99</v>
      </c>
      <c r="F17207">
        <v>61</v>
      </c>
      <c r="G17207">
        <v>23</v>
      </c>
      <c r="H17207">
        <v>139</v>
      </c>
      <c r="I17207">
        <v>233</v>
      </c>
      <c r="J17207">
        <v>1</v>
      </c>
      <c r="K17207">
        <v>374</v>
      </c>
      <c r="L17207">
        <v>453</v>
      </c>
      <c r="M17207">
        <v>1</v>
      </c>
      <c r="N17207">
        <v>2.3532699999999998E-10</v>
      </c>
      <c r="O17207">
        <v>153</v>
      </c>
    </row>
    <row r="17208" spans="1:15" x14ac:dyDescent="0.25">
      <c r="A17208" t="s">
        <v>17221</v>
      </c>
      <c r="B17208">
        <v>354</v>
      </c>
      <c r="C17208" s="1" t="str">
        <f>HYPERLINK("http://www.rosaceae.org/gb/gbrowse/malus_x_domestica/?name=MDP0000203895","MDP0000203895")</f>
        <v>MDP0000203895</v>
      </c>
      <c r="D17208">
        <v>34.729999999999997</v>
      </c>
      <c r="E17208">
        <v>167</v>
      </c>
      <c r="F17208">
        <v>109</v>
      </c>
      <c r="G17208">
        <v>29</v>
      </c>
      <c r="H17208">
        <v>215</v>
      </c>
      <c r="I17208">
        <v>352</v>
      </c>
      <c r="J17208">
        <v>1</v>
      </c>
      <c r="K17208">
        <v>24</v>
      </c>
      <c r="L17208">
        <v>190</v>
      </c>
      <c r="M17208">
        <v>1</v>
      </c>
      <c r="N17208">
        <v>1.26515E-16</v>
      </c>
      <c r="O17208">
        <v>208</v>
      </c>
    </row>
    <row r="17209" spans="1:15" x14ac:dyDescent="0.25">
      <c r="A17209" t="s">
        <v>17222</v>
      </c>
      <c r="B17209">
        <v>254</v>
      </c>
      <c r="C17209" s="1" t="str">
        <f>HYPERLINK("http://www.rosaceae.org/gb/gbrowse/malus_x_domestica/?name=MDP0000485280","MDP0000485280")</f>
        <v>MDP0000485280</v>
      </c>
      <c r="D17209">
        <v>31.5</v>
      </c>
      <c r="E17209">
        <v>200</v>
      </c>
      <c r="F17209">
        <v>137</v>
      </c>
      <c r="G17209">
        <v>19</v>
      </c>
      <c r="H17209">
        <v>5</v>
      </c>
      <c r="I17209">
        <v>186</v>
      </c>
      <c r="J17209">
        <v>1</v>
      </c>
      <c r="K17209">
        <v>1</v>
      </c>
      <c r="L17209">
        <v>199</v>
      </c>
      <c r="M17209">
        <v>1</v>
      </c>
      <c r="N17209">
        <v>2.33633E-13</v>
      </c>
      <c r="O17209">
        <v>178</v>
      </c>
    </row>
    <row r="17210" spans="1:15" x14ac:dyDescent="0.25">
      <c r="A17210" t="s">
        <v>17223</v>
      </c>
      <c r="B17210">
        <v>685</v>
      </c>
      <c r="C17210" s="1" t="str">
        <f>HYPERLINK("http://www.rosaceae.org/gb/gbrowse/malus_x_domestica/?name=MDP0000249558","MDP0000249558")</f>
        <v>MDP0000249558</v>
      </c>
      <c r="D17210">
        <v>59.84</v>
      </c>
      <c r="E17210">
        <v>391</v>
      </c>
      <c r="F17210">
        <v>157</v>
      </c>
      <c r="G17210">
        <v>42</v>
      </c>
      <c r="H17210">
        <v>36</v>
      </c>
      <c r="I17210">
        <v>387</v>
      </c>
      <c r="J17210">
        <v>1</v>
      </c>
      <c r="K17210">
        <v>1128</v>
      </c>
      <c r="L17210">
        <v>1515</v>
      </c>
      <c r="M17210">
        <v>1</v>
      </c>
      <c r="N17210">
        <v>1.42536E-124</v>
      </c>
      <c r="O17210">
        <v>1142</v>
      </c>
    </row>
    <row r="17211" spans="1:15" x14ac:dyDescent="0.25">
      <c r="A17211" t="s">
        <v>17224</v>
      </c>
      <c r="B17211">
        <v>466</v>
      </c>
      <c r="C17211" s="1" t="str">
        <f>HYPERLINK("http://www.rosaceae.org/gb/gbrowse/malus_x_domestica/?name=MDP0000286135","MDP0000286135")</f>
        <v>MDP0000286135</v>
      </c>
      <c r="D17211">
        <v>63.4</v>
      </c>
      <c r="E17211">
        <v>481</v>
      </c>
      <c r="F17211">
        <v>176</v>
      </c>
      <c r="G17211">
        <v>25</v>
      </c>
      <c r="H17211">
        <v>10</v>
      </c>
      <c r="I17211">
        <v>465</v>
      </c>
      <c r="J17211">
        <v>1</v>
      </c>
      <c r="K17211">
        <v>12</v>
      </c>
      <c r="L17211">
        <v>492</v>
      </c>
      <c r="M17211">
        <v>1</v>
      </c>
      <c r="N17211">
        <v>3.6069800000000001E-171</v>
      </c>
      <c r="O17211">
        <v>1542</v>
      </c>
    </row>
    <row r="17212" spans="1:15" x14ac:dyDescent="0.25">
      <c r="A17212" t="s">
        <v>17225</v>
      </c>
      <c r="B17212">
        <v>640</v>
      </c>
      <c r="C17212" s="1" t="str">
        <f>HYPERLINK("http://www.rosaceae.org/gb/gbrowse/malus_x_domestica/?name=MDP0000245173","MDP0000245173")</f>
        <v>MDP0000245173</v>
      </c>
      <c r="D17212">
        <v>84.24</v>
      </c>
      <c r="E17212">
        <v>476</v>
      </c>
      <c r="F17212">
        <v>75</v>
      </c>
      <c r="G17212">
        <v>3</v>
      </c>
      <c r="H17212">
        <v>4</v>
      </c>
      <c r="I17212">
        <v>477</v>
      </c>
      <c r="J17212">
        <v>1</v>
      </c>
      <c r="K17212">
        <v>12</v>
      </c>
      <c r="L17212">
        <v>486</v>
      </c>
      <c r="M17212">
        <v>1</v>
      </c>
      <c r="N17212">
        <v>0</v>
      </c>
      <c r="O17212">
        <v>2092</v>
      </c>
    </row>
    <row r="17213" spans="1:15" x14ac:dyDescent="0.25">
      <c r="A17213" t="s">
        <v>17226</v>
      </c>
      <c r="B17213">
        <v>634</v>
      </c>
      <c r="C17213" s="1" t="str">
        <f>HYPERLINK("http://www.rosaceae.org/gb/gbrowse/malus_x_domestica/?name=MDP0000128931","MDP0000128931")</f>
        <v>MDP0000128931</v>
      </c>
      <c r="D17213">
        <v>63.08</v>
      </c>
      <c r="E17213">
        <v>615</v>
      </c>
      <c r="F17213">
        <v>227</v>
      </c>
      <c r="G17213">
        <v>8</v>
      </c>
      <c r="H17213">
        <v>23</v>
      </c>
      <c r="I17213">
        <v>634</v>
      </c>
      <c r="J17213">
        <v>1</v>
      </c>
      <c r="K17213">
        <v>52</v>
      </c>
      <c r="L17213">
        <v>661</v>
      </c>
      <c r="M17213">
        <v>1</v>
      </c>
      <c r="N17213">
        <v>0</v>
      </c>
      <c r="O17213">
        <v>1991</v>
      </c>
    </row>
    <row r="17214" spans="1:15" x14ac:dyDescent="0.25">
      <c r="A17214" t="s">
        <v>17227</v>
      </c>
      <c r="B17214">
        <v>475</v>
      </c>
      <c r="C17214" s="1" t="str">
        <f>HYPERLINK("http://www.rosaceae.org/gb/gbrowse/malus_x_domestica/?name=MDP0000181135","MDP0000181135")</f>
        <v>MDP0000181135</v>
      </c>
      <c r="D17214">
        <v>34.090000000000003</v>
      </c>
      <c r="E17214">
        <v>440</v>
      </c>
      <c r="F17214">
        <v>290</v>
      </c>
      <c r="G17214">
        <v>40</v>
      </c>
      <c r="H17214">
        <v>36</v>
      </c>
      <c r="I17214">
        <v>456</v>
      </c>
      <c r="J17214">
        <v>1</v>
      </c>
      <c r="K17214">
        <v>10</v>
      </c>
      <c r="L17214">
        <v>428</v>
      </c>
      <c r="M17214">
        <v>1</v>
      </c>
      <c r="N17214">
        <v>5.2733800000000002E-40</v>
      </c>
      <c r="O17214">
        <v>411</v>
      </c>
    </row>
    <row r="17215" spans="1:15" x14ac:dyDescent="0.25">
      <c r="A17215" t="s">
        <v>17228</v>
      </c>
      <c r="B17215">
        <v>728</v>
      </c>
      <c r="C17215" s="1" t="str">
        <f>HYPERLINK("http://www.rosaceae.org/gb/gbrowse/malus_x_domestica/?name=MDP0000282838","MDP0000282838")</f>
        <v>MDP0000282838</v>
      </c>
      <c r="D17215">
        <v>66.28</v>
      </c>
      <c r="E17215">
        <v>777</v>
      </c>
      <c r="F17215">
        <v>262</v>
      </c>
      <c r="G17215">
        <v>70</v>
      </c>
      <c r="H17215">
        <v>1</v>
      </c>
      <c r="I17215">
        <v>724</v>
      </c>
      <c r="J17215">
        <v>1</v>
      </c>
      <c r="K17215">
        <v>4</v>
      </c>
      <c r="L17215">
        <v>763</v>
      </c>
      <c r="M17215">
        <v>1</v>
      </c>
      <c r="N17215">
        <v>0</v>
      </c>
      <c r="O17215">
        <v>2562</v>
      </c>
    </row>
    <row r="17216" spans="1:15" x14ac:dyDescent="0.25">
      <c r="A17216" t="s">
        <v>17229</v>
      </c>
      <c r="B17216">
        <v>451</v>
      </c>
      <c r="C17216" s="1" t="str">
        <f>HYPERLINK("http://www.rosaceae.org/gb/gbrowse/malus_x_domestica/?name=MDP0000445563","MDP0000445563")</f>
        <v>MDP0000445563</v>
      </c>
      <c r="D17216">
        <v>28.14</v>
      </c>
      <c r="E17216">
        <v>167</v>
      </c>
      <c r="F17216">
        <v>120</v>
      </c>
      <c r="G17216">
        <v>18</v>
      </c>
      <c r="H17216">
        <v>272</v>
      </c>
      <c r="I17216">
        <v>427</v>
      </c>
      <c r="J17216">
        <v>1</v>
      </c>
      <c r="K17216">
        <v>21</v>
      </c>
      <c r="L17216">
        <v>180</v>
      </c>
      <c r="M17216">
        <v>1</v>
      </c>
      <c r="N17216">
        <v>2.0693899999999999E-12</v>
      </c>
      <c r="O17216">
        <v>173</v>
      </c>
    </row>
    <row r="17217" spans="1:15" x14ac:dyDescent="0.25">
      <c r="A17217" t="s">
        <v>17230</v>
      </c>
      <c r="B17217">
        <v>470</v>
      </c>
      <c r="C17217" s="1" t="str">
        <f>HYPERLINK("http://www.rosaceae.org/gb/gbrowse/malus_x_domestica/?name=MDP0000266986","MDP0000266986")</f>
        <v>MDP0000266986</v>
      </c>
      <c r="D17217">
        <v>77.91</v>
      </c>
      <c r="E17217">
        <v>471</v>
      </c>
      <c r="F17217">
        <v>104</v>
      </c>
      <c r="G17217">
        <v>14</v>
      </c>
      <c r="H17217">
        <v>1</v>
      </c>
      <c r="I17217">
        <v>470</v>
      </c>
      <c r="J17217">
        <v>1</v>
      </c>
      <c r="K17217">
        <v>1</v>
      </c>
      <c r="L17217">
        <v>458</v>
      </c>
      <c r="M17217">
        <v>1</v>
      </c>
      <c r="N17217">
        <v>0</v>
      </c>
      <c r="O17217">
        <v>1937</v>
      </c>
    </row>
    <row r="17218" spans="1:15" x14ac:dyDescent="0.25">
      <c r="A17218" t="s">
        <v>17231</v>
      </c>
      <c r="B17218">
        <v>176</v>
      </c>
      <c r="C17218" s="1" t="str">
        <f>HYPERLINK("http://www.rosaceae.org/gb/gbrowse/malus_x_domestica/?name=MDP0000912059","MDP0000912059")</f>
        <v>MDP0000912059</v>
      </c>
      <c r="D17218">
        <v>73.58</v>
      </c>
      <c r="E17218">
        <v>159</v>
      </c>
      <c r="F17218">
        <v>42</v>
      </c>
      <c r="G17218">
        <v>5</v>
      </c>
      <c r="H17218">
        <v>1</v>
      </c>
      <c r="I17218">
        <v>159</v>
      </c>
      <c r="J17218">
        <v>1</v>
      </c>
      <c r="K17218">
        <v>1</v>
      </c>
      <c r="L17218">
        <v>154</v>
      </c>
      <c r="M17218">
        <v>1</v>
      </c>
      <c r="N17218">
        <v>4.14429E-66</v>
      </c>
      <c r="O17218">
        <v>631</v>
      </c>
    </row>
    <row r="17219" spans="1:15" x14ac:dyDescent="0.25">
      <c r="A17219" t="s">
        <v>17232</v>
      </c>
      <c r="B17219">
        <v>525</v>
      </c>
      <c r="C17219" s="1" t="str">
        <f>HYPERLINK("http://www.rosaceae.org/gb/gbrowse/malus_x_domestica/?name=MDP0000147596","MDP0000147596")</f>
        <v>MDP0000147596</v>
      </c>
      <c r="D17219">
        <v>86.86</v>
      </c>
      <c r="E17219">
        <v>335</v>
      </c>
      <c r="F17219">
        <v>44</v>
      </c>
      <c r="G17219">
        <v>1</v>
      </c>
      <c r="H17219">
        <v>1</v>
      </c>
      <c r="I17219">
        <v>334</v>
      </c>
      <c r="J17219">
        <v>1</v>
      </c>
      <c r="K17219">
        <v>1</v>
      </c>
      <c r="L17219">
        <v>335</v>
      </c>
      <c r="M17219">
        <v>1</v>
      </c>
      <c r="N17219">
        <v>7.5413100000000003E-174</v>
      </c>
      <c r="O17219">
        <v>1566</v>
      </c>
    </row>
    <row r="17220" spans="1:15" x14ac:dyDescent="0.25">
      <c r="A17220" t="s">
        <v>17233</v>
      </c>
      <c r="B17220">
        <v>230</v>
      </c>
      <c r="C17220" s="1" t="str">
        <f>HYPERLINK("http://www.rosaceae.org/gb/gbrowse/malus_x_domestica/?name=MDP0000249644","MDP0000249644")</f>
        <v>MDP0000249644</v>
      </c>
      <c r="D17220">
        <v>64.92</v>
      </c>
      <c r="E17220">
        <v>134</v>
      </c>
      <c r="F17220">
        <v>47</v>
      </c>
      <c r="G17220">
        <v>3</v>
      </c>
      <c r="H17220">
        <v>1</v>
      </c>
      <c r="I17220">
        <v>131</v>
      </c>
      <c r="J17220">
        <v>1</v>
      </c>
      <c r="K17220">
        <v>1</v>
      </c>
      <c r="L17220">
        <v>134</v>
      </c>
      <c r="M17220">
        <v>1</v>
      </c>
      <c r="N17220">
        <v>1.47367E-46</v>
      </c>
      <c r="O17220">
        <v>464</v>
      </c>
    </row>
    <row r="17221" spans="1:15" x14ac:dyDescent="0.25">
      <c r="A17221" t="s">
        <v>17234</v>
      </c>
      <c r="B17221">
        <v>221</v>
      </c>
      <c r="C17221" s="1" t="str">
        <f>HYPERLINK("http://www.rosaceae.org/gb/gbrowse/malus_x_domestica/?name=MDP0000180449","MDP0000180449")</f>
        <v>MDP0000180449</v>
      </c>
      <c r="D17221">
        <v>67.27</v>
      </c>
      <c r="E17221">
        <v>110</v>
      </c>
      <c r="F17221">
        <v>36</v>
      </c>
      <c r="G17221">
        <v>4</v>
      </c>
      <c r="H17221">
        <v>37</v>
      </c>
      <c r="I17221">
        <v>143</v>
      </c>
      <c r="J17221">
        <v>1</v>
      </c>
      <c r="K17221">
        <v>177</v>
      </c>
      <c r="L17221">
        <v>285</v>
      </c>
      <c r="M17221">
        <v>1</v>
      </c>
      <c r="N17221">
        <v>1.12223E-31</v>
      </c>
      <c r="O17221">
        <v>335</v>
      </c>
    </row>
    <row r="17222" spans="1:15" x14ac:dyDescent="0.25">
      <c r="A17222" t="s">
        <v>17235</v>
      </c>
      <c r="B17222">
        <v>271</v>
      </c>
      <c r="C17222" s="1" t="str">
        <f>HYPERLINK("http://www.rosaceae.org/gb/gbrowse/malus_x_domestica/?name=MDP0000293164","MDP0000293164")</f>
        <v>MDP0000293164</v>
      </c>
      <c r="D17222">
        <v>84.64</v>
      </c>
      <c r="E17222">
        <v>280</v>
      </c>
      <c r="F17222">
        <v>43</v>
      </c>
      <c r="G17222">
        <v>10</v>
      </c>
      <c r="H17222">
        <v>2</v>
      </c>
      <c r="I17222">
        <v>271</v>
      </c>
      <c r="J17222">
        <v>1</v>
      </c>
      <c r="K17222">
        <v>3</v>
      </c>
      <c r="L17222">
        <v>282</v>
      </c>
      <c r="M17222">
        <v>1</v>
      </c>
      <c r="N17222">
        <v>8.9729099999999998E-134</v>
      </c>
      <c r="O17222">
        <v>1217</v>
      </c>
    </row>
    <row r="17223" spans="1:15" x14ac:dyDescent="0.25">
      <c r="A17223" t="s">
        <v>17236</v>
      </c>
      <c r="B17223">
        <v>268</v>
      </c>
      <c r="C17223" s="1" t="str">
        <f>HYPERLINK("http://www.rosaceae.org/gb/gbrowse/malus_x_domestica/?name=MDP0000207132","MDP0000207132")</f>
        <v>MDP0000207132</v>
      </c>
      <c r="D17223">
        <v>40.090000000000003</v>
      </c>
      <c r="E17223">
        <v>202</v>
      </c>
      <c r="F17223">
        <v>121</v>
      </c>
      <c r="G17223">
        <v>0</v>
      </c>
      <c r="H17223">
        <v>9</v>
      </c>
      <c r="I17223">
        <v>210</v>
      </c>
      <c r="J17223">
        <v>1</v>
      </c>
      <c r="K17223">
        <v>10</v>
      </c>
      <c r="L17223">
        <v>211</v>
      </c>
      <c r="M17223">
        <v>1</v>
      </c>
      <c r="N17223">
        <v>2.1024499999999999E-41</v>
      </c>
      <c r="O17223">
        <v>420</v>
      </c>
    </row>
    <row r="17224" spans="1:15" x14ac:dyDescent="0.25">
      <c r="A17224" t="s">
        <v>17237</v>
      </c>
      <c r="B17224">
        <v>291</v>
      </c>
      <c r="C17224" s="1" t="str">
        <f>HYPERLINK("http://www.rosaceae.org/gb/gbrowse/malus_x_domestica/?name=MDP0000315402","MDP0000315402")</f>
        <v>MDP0000315402</v>
      </c>
      <c r="D17224">
        <v>51.07</v>
      </c>
      <c r="E17224">
        <v>186</v>
      </c>
      <c r="F17224">
        <v>91</v>
      </c>
      <c r="G17224">
        <v>14</v>
      </c>
      <c r="H17224">
        <v>105</v>
      </c>
      <c r="I17224">
        <v>290</v>
      </c>
      <c r="J17224">
        <v>1</v>
      </c>
      <c r="K17224">
        <v>82</v>
      </c>
      <c r="L17224">
        <v>253</v>
      </c>
      <c r="M17224">
        <v>1</v>
      </c>
      <c r="N17224">
        <v>2.55951E-38</v>
      </c>
      <c r="O17224">
        <v>394</v>
      </c>
    </row>
    <row r="17225" spans="1:15" x14ac:dyDescent="0.25">
      <c r="A17225" t="s">
        <v>17238</v>
      </c>
      <c r="B17225">
        <v>227</v>
      </c>
      <c r="C17225" s="1" t="str">
        <f>HYPERLINK("http://www.rosaceae.org/gb/gbrowse/malus_x_domestica/?name=MDP0000171111","MDP0000171111")</f>
        <v>MDP0000171111</v>
      </c>
      <c r="D17225">
        <v>43.72</v>
      </c>
      <c r="E17225">
        <v>215</v>
      </c>
      <c r="F17225">
        <v>121</v>
      </c>
      <c r="G17225">
        <v>11</v>
      </c>
      <c r="H17225">
        <v>14</v>
      </c>
      <c r="I17225">
        <v>226</v>
      </c>
      <c r="J17225">
        <v>1</v>
      </c>
      <c r="K17225">
        <v>81</v>
      </c>
      <c r="L17225">
        <v>286</v>
      </c>
      <c r="M17225">
        <v>1</v>
      </c>
      <c r="N17225">
        <v>5.1308399999999996E-37</v>
      </c>
      <c r="O17225">
        <v>382</v>
      </c>
    </row>
    <row r="17226" spans="1:15" x14ac:dyDescent="0.25">
      <c r="A17226" t="s">
        <v>17239</v>
      </c>
      <c r="B17226">
        <v>342</v>
      </c>
      <c r="C17226" s="1" t="str">
        <f>HYPERLINK("http://www.rosaceae.org/gb/gbrowse/malus_x_domestica/?name=MDP0000265593","MDP0000265593")</f>
        <v>MDP0000265593</v>
      </c>
      <c r="D17226">
        <v>78.260000000000005</v>
      </c>
      <c r="E17226">
        <v>345</v>
      </c>
      <c r="F17226">
        <v>75</v>
      </c>
      <c r="G17226">
        <v>4</v>
      </c>
      <c r="H17226">
        <v>1</v>
      </c>
      <c r="I17226">
        <v>342</v>
      </c>
      <c r="J17226">
        <v>1</v>
      </c>
      <c r="K17226">
        <v>1</v>
      </c>
      <c r="L17226">
        <v>344</v>
      </c>
      <c r="M17226">
        <v>1</v>
      </c>
      <c r="N17226">
        <v>1.43709E-153</v>
      </c>
      <c r="O17226">
        <v>1389</v>
      </c>
    </row>
    <row r="17227" spans="1:15" x14ac:dyDescent="0.25">
      <c r="A17227" t="s">
        <v>17240</v>
      </c>
      <c r="B17227">
        <v>731</v>
      </c>
      <c r="C17227" s="1" t="str">
        <f>HYPERLINK("http://www.rosaceae.org/gb/gbrowse/malus_x_domestica/?name=MDP0000226559","MDP0000226559")</f>
        <v>MDP0000226559</v>
      </c>
      <c r="D17227">
        <v>63.59</v>
      </c>
      <c r="E17227">
        <v>706</v>
      </c>
      <c r="F17227">
        <v>257</v>
      </c>
      <c r="G17227">
        <v>26</v>
      </c>
      <c r="H17227">
        <v>15</v>
      </c>
      <c r="I17227">
        <v>697</v>
      </c>
      <c r="J17227">
        <v>1</v>
      </c>
      <c r="K17227">
        <v>14</v>
      </c>
      <c r="L17227">
        <v>716</v>
      </c>
      <c r="M17227">
        <v>1</v>
      </c>
      <c r="N17227">
        <v>0</v>
      </c>
      <c r="O17227">
        <v>2288</v>
      </c>
    </row>
    <row r="17228" spans="1:15" x14ac:dyDescent="0.25">
      <c r="A17228" t="s">
        <v>17241</v>
      </c>
      <c r="B17228">
        <v>301</v>
      </c>
      <c r="C17228" s="1" t="str">
        <f>HYPERLINK("http://www.rosaceae.org/gb/gbrowse/malus_x_domestica/?name=MDP0000299401","MDP0000299401")</f>
        <v>MDP0000299401</v>
      </c>
      <c r="D17228">
        <v>64.81</v>
      </c>
      <c r="E17228">
        <v>216</v>
      </c>
      <c r="F17228">
        <v>76</v>
      </c>
      <c r="G17228">
        <v>44</v>
      </c>
      <c r="H17228">
        <v>84</v>
      </c>
      <c r="I17228">
        <v>299</v>
      </c>
      <c r="J17228">
        <v>1</v>
      </c>
      <c r="K17228">
        <v>116</v>
      </c>
      <c r="L17228">
        <v>287</v>
      </c>
      <c r="M17228">
        <v>1</v>
      </c>
      <c r="N17228">
        <v>2.8322199999999998E-69</v>
      </c>
      <c r="O17228">
        <v>661</v>
      </c>
    </row>
    <row r="17229" spans="1:15" x14ac:dyDescent="0.25">
      <c r="A17229" t="s">
        <v>17242</v>
      </c>
      <c r="B17229">
        <v>536</v>
      </c>
      <c r="C17229" s="1" t="str">
        <f>HYPERLINK("http://www.rosaceae.org/gb/gbrowse/malus_x_domestica/?name=MDP0000216054","MDP0000216054")</f>
        <v>MDP0000216054</v>
      </c>
      <c r="D17229">
        <v>69.14</v>
      </c>
      <c r="E17229">
        <v>538</v>
      </c>
      <c r="F17229">
        <v>166</v>
      </c>
      <c r="G17229">
        <v>9</v>
      </c>
      <c r="H17229">
        <v>1</v>
      </c>
      <c r="I17229">
        <v>536</v>
      </c>
      <c r="J17229">
        <v>1</v>
      </c>
      <c r="K17229">
        <v>1</v>
      </c>
      <c r="L17229">
        <v>531</v>
      </c>
      <c r="M17229">
        <v>1</v>
      </c>
      <c r="N17229">
        <v>0</v>
      </c>
      <c r="O17229">
        <v>2000</v>
      </c>
    </row>
    <row r="17230" spans="1:15" x14ac:dyDescent="0.25">
      <c r="A17230" t="s">
        <v>17243</v>
      </c>
      <c r="B17230">
        <v>253</v>
      </c>
      <c r="C17230" s="1" t="str">
        <f>HYPERLINK("http://www.rosaceae.org/gb/gbrowse/malus_x_domestica/?name=MDP0000807780","MDP0000807780")</f>
        <v>MDP0000807780</v>
      </c>
      <c r="D17230">
        <v>45.63</v>
      </c>
      <c r="E17230">
        <v>252</v>
      </c>
      <c r="F17230">
        <v>137</v>
      </c>
      <c r="G17230">
        <v>49</v>
      </c>
      <c r="H17230">
        <v>22</v>
      </c>
      <c r="I17230">
        <v>248</v>
      </c>
      <c r="J17230">
        <v>1</v>
      </c>
      <c r="K17230">
        <v>281</v>
      </c>
      <c r="L17230">
        <v>508</v>
      </c>
      <c r="M17230">
        <v>1</v>
      </c>
      <c r="N17230">
        <v>1.8315199999999999E-53</v>
      </c>
      <c r="O17230">
        <v>524</v>
      </c>
    </row>
    <row r="17231" spans="1:15" x14ac:dyDescent="0.25">
      <c r="A17231" t="s">
        <v>17244</v>
      </c>
      <c r="B17231">
        <v>452</v>
      </c>
      <c r="C17231" s="1" t="str">
        <f>HYPERLINK("http://www.rosaceae.org/gb/gbrowse/malus_x_domestica/?name=MDP0000296620","MDP0000296620")</f>
        <v>MDP0000296620</v>
      </c>
      <c r="D17231">
        <v>38.270000000000003</v>
      </c>
      <c r="E17231">
        <v>162</v>
      </c>
      <c r="F17231">
        <v>100</v>
      </c>
      <c r="G17231">
        <v>1</v>
      </c>
      <c r="H17231">
        <v>36</v>
      </c>
      <c r="I17231">
        <v>196</v>
      </c>
      <c r="J17231">
        <v>1</v>
      </c>
      <c r="K17231">
        <v>423</v>
      </c>
      <c r="L17231">
        <v>584</v>
      </c>
      <c r="M17231">
        <v>1</v>
      </c>
      <c r="N17231">
        <v>7.1103500000000006E-24</v>
      </c>
      <c r="O17231">
        <v>272</v>
      </c>
    </row>
    <row r="17232" spans="1:15" x14ac:dyDescent="0.25">
      <c r="A17232" t="s">
        <v>17245</v>
      </c>
      <c r="B17232">
        <v>480</v>
      </c>
      <c r="C17232" s="1" t="str">
        <f>HYPERLINK("http://www.rosaceae.org/gb/gbrowse/malus_x_domestica/?name=MDP0000247369","MDP0000247369")</f>
        <v>MDP0000247369</v>
      </c>
      <c r="D17232">
        <v>66.81</v>
      </c>
      <c r="E17232">
        <v>458</v>
      </c>
      <c r="F17232">
        <v>152</v>
      </c>
      <c r="G17232">
        <v>5</v>
      </c>
      <c r="H17232">
        <v>8</v>
      </c>
      <c r="I17232">
        <v>461</v>
      </c>
      <c r="J17232">
        <v>1</v>
      </c>
      <c r="K17232">
        <v>32</v>
      </c>
      <c r="L17232">
        <v>488</v>
      </c>
      <c r="M17232">
        <v>1</v>
      </c>
      <c r="N17232">
        <v>0</v>
      </c>
      <c r="O17232">
        <v>1626</v>
      </c>
    </row>
    <row r="17233" spans="1:15" x14ac:dyDescent="0.25">
      <c r="A17233" t="s">
        <v>17246</v>
      </c>
      <c r="B17233">
        <v>378</v>
      </c>
      <c r="C17233" s="1" t="str">
        <f>HYPERLINK("http://www.rosaceae.org/gb/gbrowse/malus_x_domestica/?name=MDP0000228923","MDP0000228923")</f>
        <v>MDP0000228923</v>
      </c>
      <c r="D17233">
        <v>78.69</v>
      </c>
      <c r="E17233">
        <v>291</v>
      </c>
      <c r="F17233">
        <v>62</v>
      </c>
      <c r="G17233">
        <v>2</v>
      </c>
      <c r="H17233">
        <v>18</v>
      </c>
      <c r="I17233">
        <v>308</v>
      </c>
      <c r="J17233">
        <v>1</v>
      </c>
      <c r="K17233">
        <v>31</v>
      </c>
      <c r="L17233">
        <v>319</v>
      </c>
      <c r="M17233">
        <v>1</v>
      </c>
      <c r="N17233">
        <v>4.5714199999999997E-133</v>
      </c>
      <c r="O17233">
        <v>1213</v>
      </c>
    </row>
    <row r="17234" spans="1:15" x14ac:dyDescent="0.25">
      <c r="A17234" t="s">
        <v>17247</v>
      </c>
      <c r="B17234">
        <v>758</v>
      </c>
      <c r="C17234" s="1" t="str">
        <f>HYPERLINK("http://www.rosaceae.org/gb/gbrowse/malus_x_domestica/?name=MDP0000212784","MDP0000212784")</f>
        <v>MDP0000212784</v>
      </c>
      <c r="D17234">
        <v>72.569999999999993</v>
      </c>
      <c r="E17234">
        <v>671</v>
      </c>
      <c r="F17234">
        <v>184</v>
      </c>
      <c r="G17234">
        <v>81</v>
      </c>
      <c r="H17234">
        <v>2</v>
      </c>
      <c r="I17234">
        <v>593</v>
      </c>
      <c r="J17234">
        <v>1</v>
      </c>
      <c r="K17234">
        <v>3</v>
      </c>
      <c r="L17234">
        <v>671</v>
      </c>
      <c r="M17234">
        <v>1</v>
      </c>
      <c r="N17234">
        <v>0</v>
      </c>
      <c r="O17234">
        <v>2401</v>
      </c>
    </row>
    <row r="17235" spans="1:15" x14ac:dyDescent="0.25">
      <c r="A17235" t="s">
        <v>17248</v>
      </c>
      <c r="B17235">
        <v>158</v>
      </c>
      <c r="C17235" s="1" t="str">
        <f>HYPERLINK("http://www.rosaceae.org/gb/gbrowse/malus_x_domestica/?name=MDP0000338832","MDP0000338832")</f>
        <v>MDP0000338832</v>
      </c>
      <c r="D17235">
        <v>45.21</v>
      </c>
      <c r="E17235">
        <v>115</v>
      </c>
      <c r="F17235">
        <v>63</v>
      </c>
      <c r="G17235">
        <v>43</v>
      </c>
      <c r="H17235">
        <v>44</v>
      </c>
      <c r="I17235">
        <v>158</v>
      </c>
      <c r="J17235">
        <v>1</v>
      </c>
      <c r="K17235">
        <v>22</v>
      </c>
      <c r="L17235">
        <v>93</v>
      </c>
      <c r="M17235">
        <v>1</v>
      </c>
      <c r="N17235">
        <v>3.79385E-18</v>
      </c>
      <c r="O17235">
        <v>216</v>
      </c>
    </row>
    <row r="17236" spans="1:15" x14ac:dyDescent="0.25">
      <c r="A17236" t="s">
        <v>17249</v>
      </c>
      <c r="B17236">
        <v>188</v>
      </c>
      <c r="C17236" s="1" t="str">
        <f>HYPERLINK("http://www.rosaceae.org/gb/gbrowse/malus_x_domestica/?name=MDP0000279783","MDP0000279783")</f>
        <v>MDP0000279783</v>
      </c>
      <c r="D17236">
        <v>39.47</v>
      </c>
      <c r="E17236">
        <v>76</v>
      </c>
      <c r="F17236">
        <v>46</v>
      </c>
      <c r="G17236">
        <v>5</v>
      </c>
      <c r="H17236">
        <v>100</v>
      </c>
      <c r="I17236">
        <v>172</v>
      </c>
      <c r="J17236">
        <v>1</v>
      </c>
      <c r="K17236">
        <v>209</v>
      </c>
      <c r="L17236">
        <v>282</v>
      </c>
      <c r="M17236">
        <v>1</v>
      </c>
      <c r="N17236">
        <v>3.5940999999999998E-9</v>
      </c>
      <c r="O17236">
        <v>140</v>
      </c>
    </row>
    <row r="17237" spans="1:15" x14ac:dyDescent="0.25">
      <c r="A17237" t="s">
        <v>17250</v>
      </c>
      <c r="B17237">
        <v>633</v>
      </c>
      <c r="C17237" s="1" t="str">
        <f>HYPERLINK("http://www.rosaceae.org/gb/gbrowse/malus_x_domestica/?name=MDP0000125520","MDP0000125520")</f>
        <v>MDP0000125520</v>
      </c>
      <c r="D17237">
        <v>83.33</v>
      </c>
      <c r="E17237">
        <v>618</v>
      </c>
      <c r="F17237">
        <v>103</v>
      </c>
      <c r="G17237">
        <v>1</v>
      </c>
      <c r="H17237">
        <v>3</v>
      </c>
      <c r="I17237">
        <v>619</v>
      </c>
      <c r="J17237">
        <v>1</v>
      </c>
      <c r="K17237">
        <v>14</v>
      </c>
      <c r="L17237">
        <v>631</v>
      </c>
      <c r="M17237">
        <v>1</v>
      </c>
      <c r="N17237">
        <v>0</v>
      </c>
      <c r="O17237">
        <v>2604</v>
      </c>
    </row>
    <row r="17238" spans="1:15" x14ac:dyDescent="0.25">
      <c r="A17238" t="s">
        <v>17251</v>
      </c>
      <c r="B17238">
        <v>535</v>
      </c>
      <c r="C17238" s="1" t="str">
        <f>HYPERLINK("http://www.rosaceae.org/gb/gbrowse/malus_x_domestica/?name=MDP0000294597","MDP0000294597")</f>
        <v>MDP0000294597</v>
      </c>
      <c r="D17238">
        <v>65.64</v>
      </c>
      <c r="E17238">
        <v>585</v>
      </c>
      <c r="F17238">
        <v>201</v>
      </c>
      <c r="G17238">
        <v>57</v>
      </c>
      <c r="H17238">
        <v>8</v>
      </c>
      <c r="I17238">
        <v>535</v>
      </c>
      <c r="J17238">
        <v>1</v>
      </c>
      <c r="K17238">
        <v>18</v>
      </c>
      <c r="L17238">
        <v>602</v>
      </c>
      <c r="M17238">
        <v>1</v>
      </c>
      <c r="N17238">
        <v>0</v>
      </c>
      <c r="O17238">
        <v>1924</v>
      </c>
    </row>
    <row r="17239" spans="1:15" x14ac:dyDescent="0.25">
      <c r="A17239" t="s">
        <v>17252</v>
      </c>
      <c r="B17239">
        <v>791</v>
      </c>
      <c r="C17239" s="1" t="str">
        <f>HYPERLINK("http://www.rosaceae.org/gb/gbrowse/malus_x_domestica/?name=MDP0000208620","MDP0000208620")</f>
        <v>MDP0000208620</v>
      </c>
      <c r="D17239">
        <v>65.239999999999995</v>
      </c>
      <c r="E17239">
        <v>820</v>
      </c>
      <c r="F17239">
        <v>285</v>
      </c>
      <c r="G17239">
        <v>49</v>
      </c>
      <c r="H17239">
        <v>1</v>
      </c>
      <c r="I17239">
        <v>791</v>
      </c>
      <c r="J17239">
        <v>1</v>
      </c>
      <c r="K17239">
        <v>1</v>
      </c>
      <c r="L17239">
        <v>800</v>
      </c>
      <c r="M17239">
        <v>1</v>
      </c>
      <c r="N17239">
        <v>0</v>
      </c>
      <c r="O17239">
        <v>2675</v>
      </c>
    </row>
    <row r="17240" spans="1:15" x14ac:dyDescent="0.25">
      <c r="A17240" t="s">
        <v>17253</v>
      </c>
      <c r="B17240">
        <v>580</v>
      </c>
      <c r="C17240" s="1" t="str">
        <f>HYPERLINK("http://www.rosaceae.org/gb/gbrowse/malus_x_domestica/?name=MDP0000239946","MDP0000239946")</f>
        <v>MDP0000239946</v>
      </c>
      <c r="D17240">
        <v>87.9</v>
      </c>
      <c r="E17240">
        <v>306</v>
      </c>
      <c r="F17240">
        <v>37</v>
      </c>
      <c r="G17240">
        <v>0</v>
      </c>
      <c r="H17240">
        <v>275</v>
      </c>
      <c r="I17240">
        <v>580</v>
      </c>
      <c r="J17240">
        <v>1</v>
      </c>
      <c r="K17240">
        <v>38</v>
      </c>
      <c r="L17240">
        <v>343</v>
      </c>
      <c r="M17240">
        <v>1</v>
      </c>
      <c r="N17240">
        <v>6.69097E-159</v>
      </c>
      <c r="O17240">
        <v>1437</v>
      </c>
    </row>
    <row r="17241" spans="1:15" x14ac:dyDescent="0.25">
      <c r="A17241" t="s">
        <v>17254</v>
      </c>
      <c r="B17241">
        <v>1295</v>
      </c>
      <c r="C17241" s="1" t="str">
        <f>HYPERLINK("http://www.rosaceae.org/gb/gbrowse/malus_x_domestica/?name=MDP0000086882","MDP0000086882")</f>
        <v>MDP0000086882</v>
      </c>
      <c r="D17241">
        <v>85.5</v>
      </c>
      <c r="E17241">
        <v>752</v>
      </c>
      <c r="F17241">
        <v>109</v>
      </c>
      <c r="G17241">
        <v>5</v>
      </c>
      <c r="H17241">
        <v>2</v>
      </c>
      <c r="I17241">
        <v>748</v>
      </c>
      <c r="J17241">
        <v>1</v>
      </c>
      <c r="K17241">
        <v>13</v>
      </c>
      <c r="L17241">
        <v>764</v>
      </c>
      <c r="M17241">
        <v>1</v>
      </c>
      <c r="N17241">
        <v>0</v>
      </c>
      <c r="O17241">
        <v>3565</v>
      </c>
    </row>
    <row r="17242" spans="1:15" x14ac:dyDescent="0.25">
      <c r="A17242" t="s">
        <v>17255</v>
      </c>
      <c r="B17242">
        <v>271</v>
      </c>
      <c r="C17242" s="1" t="str">
        <f>HYPERLINK("http://www.rosaceae.org/gb/gbrowse/malus_x_domestica/?name=MDP0000256723","MDP0000256723")</f>
        <v>MDP0000256723</v>
      </c>
      <c r="D17242">
        <v>49.57</v>
      </c>
      <c r="E17242">
        <v>236</v>
      </c>
      <c r="F17242">
        <v>119</v>
      </c>
      <c r="G17242">
        <v>8</v>
      </c>
      <c r="H17242">
        <v>41</v>
      </c>
      <c r="I17242">
        <v>271</v>
      </c>
      <c r="J17242">
        <v>1</v>
      </c>
      <c r="K17242">
        <v>410</v>
      </c>
      <c r="L17242">
        <v>642</v>
      </c>
      <c r="M17242">
        <v>1</v>
      </c>
      <c r="N17242">
        <v>6.0945799999999997E-58</v>
      </c>
      <c r="O17242">
        <v>563</v>
      </c>
    </row>
    <row r="17243" spans="1:15" x14ac:dyDescent="0.25">
      <c r="A17243" t="s">
        <v>17256</v>
      </c>
      <c r="B17243">
        <v>221</v>
      </c>
      <c r="C17243" s="1" t="str">
        <f>HYPERLINK("http://www.rosaceae.org/gb/gbrowse/malus_x_domestica/?name=MDP0000269381","MDP0000269381")</f>
        <v>MDP0000269381</v>
      </c>
      <c r="D17243">
        <v>47.98</v>
      </c>
      <c r="E17243">
        <v>223</v>
      </c>
      <c r="F17243">
        <v>116</v>
      </c>
      <c r="G17243">
        <v>47</v>
      </c>
      <c r="H17243">
        <v>46</v>
      </c>
      <c r="I17243">
        <v>221</v>
      </c>
      <c r="J17243">
        <v>1</v>
      </c>
      <c r="K17243">
        <v>266</v>
      </c>
      <c r="L17243">
        <v>488</v>
      </c>
      <c r="M17243">
        <v>1</v>
      </c>
      <c r="N17243">
        <v>4.5338000000000003E-50</v>
      </c>
      <c r="O17243">
        <v>494</v>
      </c>
    </row>
    <row r="17244" spans="1:15" x14ac:dyDescent="0.25">
      <c r="A17244" t="s">
        <v>17257</v>
      </c>
      <c r="B17244">
        <v>202</v>
      </c>
      <c r="C17244" s="1" t="str">
        <f>HYPERLINK("http://www.rosaceae.org/gb/gbrowse/malus_x_domestica/?name=MDP0000326576","MDP0000326576")</f>
        <v>MDP0000326576</v>
      </c>
      <c r="D17244">
        <v>74.03</v>
      </c>
      <c r="E17244">
        <v>208</v>
      </c>
      <c r="F17244">
        <v>54</v>
      </c>
      <c r="G17244">
        <v>6</v>
      </c>
      <c r="H17244">
        <v>1</v>
      </c>
      <c r="I17244">
        <v>202</v>
      </c>
      <c r="J17244">
        <v>1</v>
      </c>
      <c r="K17244">
        <v>1</v>
      </c>
      <c r="L17244">
        <v>208</v>
      </c>
      <c r="M17244">
        <v>1</v>
      </c>
      <c r="N17244">
        <v>3.6209600000000002E-86</v>
      </c>
      <c r="O17244">
        <v>805</v>
      </c>
    </row>
    <row r="17245" spans="1:15" x14ac:dyDescent="0.25">
      <c r="A17245" t="s">
        <v>17258</v>
      </c>
      <c r="B17245">
        <v>365</v>
      </c>
      <c r="C17245" s="1" t="str">
        <f>HYPERLINK("http://www.rosaceae.org/gb/gbrowse/malus_x_domestica/?name=MDP0000133423","MDP0000133423")</f>
        <v>MDP0000133423</v>
      </c>
      <c r="D17245">
        <v>71.98</v>
      </c>
      <c r="E17245">
        <v>332</v>
      </c>
      <c r="F17245">
        <v>93</v>
      </c>
      <c r="G17245">
        <v>11</v>
      </c>
      <c r="H17245">
        <v>36</v>
      </c>
      <c r="I17245">
        <v>365</v>
      </c>
      <c r="J17245">
        <v>1</v>
      </c>
      <c r="K17245">
        <v>32</v>
      </c>
      <c r="L17245">
        <v>354</v>
      </c>
      <c r="M17245">
        <v>1</v>
      </c>
      <c r="N17245">
        <v>1.9706800000000001E-133</v>
      </c>
      <c r="O17245">
        <v>1216</v>
      </c>
    </row>
    <row r="17246" spans="1:15" x14ac:dyDescent="0.25">
      <c r="A17246" t="s">
        <v>17259</v>
      </c>
      <c r="B17246">
        <v>478</v>
      </c>
      <c r="C17246" s="1" t="str">
        <f>HYPERLINK("http://www.rosaceae.org/gb/gbrowse/malus_x_domestica/?name=MDP0000227375","MDP0000227375")</f>
        <v>MDP0000227375</v>
      </c>
      <c r="D17246">
        <v>52.89</v>
      </c>
      <c r="E17246">
        <v>414</v>
      </c>
      <c r="F17246">
        <v>195</v>
      </c>
      <c r="G17246">
        <v>3</v>
      </c>
      <c r="H17246">
        <v>28</v>
      </c>
      <c r="I17246">
        <v>441</v>
      </c>
      <c r="J17246">
        <v>1</v>
      </c>
      <c r="K17246">
        <v>14</v>
      </c>
      <c r="L17246">
        <v>424</v>
      </c>
      <c r="M17246">
        <v>1</v>
      </c>
      <c r="N17246">
        <v>9.5320700000000008E-127</v>
      </c>
      <c r="O17246">
        <v>1159</v>
      </c>
    </row>
    <row r="17247" spans="1:15" x14ac:dyDescent="0.25">
      <c r="A17247" t="s">
        <v>17260</v>
      </c>
      <c r="B17247">
        <v>494</v>
      </c>
      <c r="C17247" s="1" t="str">
        <f>HYPERLINK("http://www.rosaceae.org/gb/gbrowse/malus_x_domestica/?name=MDP0000188760","MDP0000188760")</f>
        <v>MDP0000188760</v>
      </c>
      <c r="D17247">
        <v>84.25</v>
      </c>
      <c r="E17247">
        <v>324</v>
      </c>
      <c r="F17247">
        <v>51</v>
      </c>
      <c r="G17247">
        <v>0</v>
      </c>
      <c r="H17247">
        <v>114</v>
      </c>
      <c r="I17247">
        <v>437</v>
      </c>
      <c r="J17247">
        <v>1</v>
      </c>
      <c r="K17247">
        <v>26</v>
      </c>
      <c r="L17247">
        <v>349</v>
      </c>
      <c r="M17247">
        <v>1</v>
      </c>
      <c r="N17247">
        <v>1.0995399999999999E-160</v>
      </c>
      <c r="O17247">
        <v>1452</v>
      </c>
    </row>
    <row r="17248" spans="1:15" x14ac:dyDescent="0.25">
      <c r="A17248" t="s">
        <v>17261</v>
      </c>
      <c r="B17248">
        <v>194</v>
      </c>
      <c r="C17248" s="1" t="str">
        <f>HYPERLINK("http://www.rosaceae.org/gb/gbrowse/malus_x_domestica/?name=MDP0000300272","MDP0000300272")</f>
        <v>MDP0000300272</v>
      </c>
      <c r="D17248">
        <v>59.25</v>
      </c>
      <c r="E17248">
        <v>54</v>
      </c>
      <c r="F17248">
        <v>22</v>
      </c>
      <c r="G17248">
        <v>1</v>
      </c>
      <c r="H17248">
        <v>1</v>
      </c>
      <c r="I17248">
        <v>54</v>
      </c>
      <c r="J17248">
        <v>1</v>
      </c>
      <c r="K17248">
        <v>327</v>
      </c>
      <c r="L17248">
        <v>379</v>
      </c>
      <c r="M17248">
        <v>1</v>
      </c>
      <c r="N17248">
        <v>7.3009899999999998E-10</v>
      </c>
      <c r="O17248">
        <v>146</v>
      </c>
    </row>
    <row r="17249" spans="1:15" x14ac:dyDescent="0.25">
      <c r="A17249" t="s">
        <v>17262</v>
      </c>
      <c r="B17249">
        <v>320</v>
      </c>
      <c r="C17249" s="1" t="str">
        <f>HYPERLINK("http://www.rosaceae.org/gb/gbrowse/malus_x_domestica/?name=MDP0000321343","MDP0000321343")</f>
        <v>MDP0000321343</v>
      </c>
      <c r="D17249">
        <v>34.78</v>
      </c>
      <c r="E17249">
        <v>161</v>
      </c>
      <c r="F17249">
        <v>105</v>
      </c>
      <c r="G17249">
        <v>21</v>
      </c>
      <c r="H17249">
        <v>10</v>
      </c>
      <c r="I17249">
        <v>160</v>
      </c>
      <c r="J17249">
        <v>1</v>
      </c>
      <c r="K17249">
        <v>690</v>
      </c>
      <c r="L17249">
        <v>839</v>
      </c>
      <c r="M17249">
        <v>1</v>
      </c>
      <c r="N17249">
        <v>1.16049E-9</v>
      </c>
      <c r="O17249">
        <v>148</v>
      </c>
    </row>
    <row r="17250" spans="1:15" x14ac:dyDescent="0.25">
      <c r="A17250" t="s">
        <v>17263</v>
      </c>
      <c r="B17250">
        <v>490</v>
      </c>
      <c r="C17250" s="1" t="str">
        <f>HYPERLINK("http://www.rosaceae.org/gb/gbrowse/malus_x_domestica/?name=MDP0000185820","MDP0000185820")</f>
        <v>MDP0000185820</v>
      </c>
      <c r="D17250">
        <v>64.39</v>
      </c>
      <c r="E17250">
        <v>323</v>
      </c>
      <c r="F17250">
        <v>115</v>
      </c>
      <c r="G17250">
        <v>14</v>
      </c>
      <c r="H17250">
        <v>16</v>
      </c>
      <c r="I17250">
        <v>328</v>
      </c>
      <c r="J17250">
        <v>1</v>
      </c>
      <c r="K17250">
        <v>27</v>
      </c>
      <c r="L17250">
        <v>345</v>
      </c>
      <c r="M17250">
        <v>1</v>
      </c>
      <c r="N17250">
        <v>4.2148800000000002E-116</v>
      </c>
      <c r="O17250">
        <v>1068</v>
      </c>
    </row>
    <row r="17251" spans="1:15" x14ac:dyDescent="0.25">
      <c r="A17251" t="s">
        <v>17264</v>
      </c>
      <c r="B17251">
        <v>476</v>
      </c>
      <c r="C17251" s="1" t="str">
        <f>HYPERLINK("http://www.rosaceae.org/gb/gbrowse/malus_x_domestica/?name=MDP0000795160","MDP0000795160")</f>
        <v>MDP0000795160</v>
      </c>
      <c r="D17251">
        <v>81.93</v>
      </c>
      <c r="E17251">
        <v>476</v>
      </c>
      <c r="F17251">
        <v>86</v>
      </c>
      <c r="G17251">
        <v>0</v>
      </c>
      <c r="H17251">
        <v>1</v>
      </c>
      <c r="I17251">
        <v>476</v>
      </c>
      <c r="J17251">
        <v>1</v>
      </c>
      <c r="K17251">
        <v>1</v>
      </c>
      <c r="L17251">
        <v>476</v>
      </c>
      <c r="M17251">
        <v>1</v>
      </c>
      <c r="N17251">
        <v>0</v>
      </c>
      <c r="O17251">
        <v>2144</v>
      </c>
    </row>
    <row r="17252" spans="1:15" x14ac:dyDescent="0.25">
      <c r="A17252" t="s">
        <v>17265</v>
      </c>
      <c r="B17252">
        <v>157</v>
      </c>
      <c r="C17252" s="1" t="str">
        <f>HYPERLINK("http://www.rosaceae.org/gb/gbrowse/malus_x_domestica/?name=MDP0000182029","MDP0000182029")</f>
        <v>MDP0000182029</v>
      </c>
      <c r="D17252">
        <v>60.63</v>
      </c>
      <c r="E17252">
        <v>94</v>
      </c>
      <c r="F17252">
        <v>37</v>
      </c>
      <c r="G17252">
        <v>0</v>
      </c>
      <c r="H17252">
        <v>41</v>
      </c>
      <c r="I17252">
        <v>134</v>
      </c>
      <c r="J17252">
        <v>1</v>
      </c>
      <c r="K17252">
        <v>49</v>
      </c>
      <c r="L17252">
        <v>142</v>
      </c>
      <c r="M17252">
        <v>1</v>
      </c>
      <c r="N17252">
        <v>3.9173399999999999E-25</v>
      </c>
      <c r="O17252">
        <v>276</v>
      </c>
    </row>
    <row r="17253" spans="1:15" x14ac:dyDescent="0.25">
      <c r="A17253" t="s">
        <v>17266</v>
      </c>
      <c r="B17253">
        <v>860</v>
      </c>
      <c r="C17253" s="1" t="str">
        <f>HYPERLINK("http://www.rosaceae.org/gb/gbrowse/malus_x_domestica/?name=MDP0000267609","MDP0000267609")</f>
        <v>MDP0000267609</v>
      </c>
      <c r="D17253">
        <v>62.05</v>
      </c>
      <c r="E17253">
        <v>867</v>
      </c>
      <c r="F17253">
        <v>329</v>
      </c>
      <c r="G17253">
        <v>45</v>
      </c>
      <c r="H17253">
        <v>6</v>
      </c>
      <c r="I17253">
        <v>860</v>
      </c>
      <c r="J17253">
        <v>1</v>
      </c>
      <c r="K17253">
        <v>11</v>
      </c>
      <c r="L17253">
        <v>844</v>
      </c>
      <c r="M17253">
        <v>1</v>
      </c>
      <c r="N17253">
        <v>0</v>
      </c>
      <c r="O17253">
        <v>2819</v>
      </c>
    </row>
    <row r="17254" spans="1:15" x14ac:dyDescent="0.25">
      <c r="A17254" t="s">
        <v>17267</v>
      </c>
      <c r="B17254">
        <v>289</v>
      </c>
      <c r="C17254" s="1" t="str">
        <f>HYPERLINK("http://www.rosaceae.org/gb/gbrowse/malus_x_domestica/?name=MDP0000771195","MDP0000771195")</f>
        <v>MDP0000771195</v>
      </c>
      <c r="D17254">
        <v>47.29</v>
      </c>
      <c r="E17254">
        <v>296</v>
      </c>
      <c r="F17254">
        <v>156</v>
      </c>
      <c r="G17254">
        <v>20</v>
      </c>
      <c r="H17254">
        <v>4</v>
      </c>
      <c r="I17254">
        <v>289</v>
      </c>
      <c r="J17254">
        <v>1</v>
      </c>
      <c r="K17254">
        <v>130</v>
      </c>
      <c r="L17254">
        <v>415</v>
      </c>
      <c r="M17254">
        <v>1</v>
      </c>
      <c r="N17254">
        <v>3.3171299999999999E-59</v>
      </c>
      <c r="O17254">
        <v>574</v>
      </c>
    </row>
    <row r="17255" spans="1:15" x14ac:dyDescent="0.25">
      <c r="A17255" t="s">
        <v>17268</v>
      </c>
      <c r="B17255">
        <v>562</v>
      </c>
      <c r="C17255" s="1" t="str">
        <f>HYPERLINK("http://www.rosaceae.org/gb/gbrowse/malus_x_domestica/?name=MDP0000250781","MDP0000250781")</f>
        <v>MDP0000250781</v>
      </c>
      <c r="D17255">
        <v>79.349999999999994</v>
      </c>
      <c r="E17255">
        <v>562</v>
      </c>
      <c r="F17255">
        <v>116</v>
      </c>
      <c r="G17255">
        <v>6</v>
      </c>
      <c r="H17255">
        <v>1</v>
      </c>
      <c r="I17255">
        <v>562</v>
      </c>
      <c r="J17255">
        <v>1</v>
      </c>
      <c r="K17255">
        <v>1</v>
      </c>
      <c r="L17255">
        <v>556</v>
      </c>
      <c r="M17255">
        <v>1</v>
      </c>
      <c r="N17255">
        <v>0</v>
      </c>
      <c r="O17255">
        <v>2352</v>
      </c>
    </row>
    <row r="17256" spans="1:15" x14ac:dyDescent="0.25">
      <c r="A17256" t="s">
        <v>17269</v>
      </c>
      <c r="B17256">
        <v>211</v>
      </c>
      <c r="C17256" s="1" t="str">
        <f>HYPERLINK("http://www.rosaceae.org/gb/gbrowse/malus_x_domestica/?name=MDP0000137468","MDP0000137468")</f>
        <v>MDP0000137468</v>
      </c>
      <c r="D17256">
        <v>63.98</v>
      </c>
      <c r="E17256">
        <v>211</v>
      </c>
      <c r="F17256">
        <v>76</v>
      </c>
      <c r="G17256">
        <v>1</v>
      </c>
      <c r="H17256">
        <v>1</v>
      </c>
      <c r="I17256">
        <v>211</v>
      </c>
      <c r="J17256">
        <v>1</v>
      </c>
      <c r="K17256">
        <v>1</v>
      </c>
      <c r="L17256">
        <v>210</v>
      </c>
      <c r="M17256">
        <v>1</v>
      </c>
      <c r="N17256">
        <v>1.6527300000000001E-70</v>
      </c>
      <c r="O17256">
        <v>670</v>
      </c>
    </row>
    <row r="17257" spans="1:15" x14ac:dyDescent="0.25">
      <c r="A17257" t="s">
        <v>17270</v>
      </c>
      <c r="B17257">
        <v>185</v>
      </c>
      <c r="C17257" s="1" t="str">
        <f>HYPERLINK("http://www.rosaceae.org/gb/gbrowse/malus_x_domestica/?name=MDP0000128896","MDP0000128896")</f>
        <v>MDP0000128896</v>
      </c>
      <c r="D17257">
        <v>71.89</v>
      </c>
      <c r="E17257">
        <v>185</v>
      </c>
      <c r="F17257">
        <v>52</v>
      </c>
      <c r="G17257">
        <v>0</v>
      </c>
      <c r="H17257">
        <v>1</v>
      </c>
      <c r="I17257">
        <v>185</v>
      </c>
      <c r="J17257">
        <v>1</v>
      </c>
      <c r="K17257">
        <v>1</v>
      </c>
      <c r="L17257">
        <v>185</v>
      </c>
      <c r="M17257">
        <v>1</v>
      </c>
      <c r="N17257">
        <v>3.0355799999999997E-73</v>
      </c>
      <c r="O17257">
        <v>693</v>
      </c>
    </row>
    <row r="17258" spans="1:15" x14ac:dyDescent="0.25">
      <c r="A17258" t="s">
        <v>17271</v>
      </c>
      <c r="B17258">
        <v>374</v>
      </c>
      <c r="C17258" s="1" t="str">
        <f>HYPERLINK("http://www.rosaceae.org/gb/gbrowse/malus_x_domestica/?name=MDP0000537302","MDP0000537302")</f>
        <v>MDP0000537302</v>
      </c>
      <c r="D17258">
        <v>61.53</v>
      </c>
      <c r="E17258">
        <v>351</v>
      </c>
      <c r="F17258">
        <v>135</v>
      </c>
      <c r="G17258">
        <v>19</v>
      </c>
      <c r="H17258">
        <v>1</v>
      </c>
      <c r="I17258">
        <v>344</v>
      </c>
      <c r="J17258">
        <v>1</v>
      </c>
      <c r="K17258">
        <v>7</v>
      </c>
      <c r="L17258">
        <v>345</v>
      </c>
      <c r="M17258">
        <v>1</v>
      </c>
      <c r="N17258">
        <v>2.10517E-109</v>
      </c>
      <c r="O17258">
        <v>1009</v>
      </c>
    </row>
    <row r="17259" spans="1:15" x14ac:dyDescent="0.25">
      <c r="A17259" t="s">
        <v>17272</v>
      </c>
      <c r="B17259">
        <v>185</v>
      </c>
      <c r="C17259" s="1" t="str">
        <f>HYPERLINK("http://www.rosaceae.org/gb/gbrowse/malus_x_domestica/?name=MDP0000708928","MDP0000708928")</f>
        <v>MDP0000708928</v>
      </c>
      <c r="D17259">
        <v>86.95</v>
      </c>
      <c r="E17259">
        <v>184</v>
      </c>
      <c r="F17259">
        <v>24</v>
      </c>
      <c r="G17259">
        <v>0</v>
      </c>
      <c r="H17259">
        <v>1</v>
      </c>
      <c r="I17259">
        <v>184</v>
      </c>
      <c r="J17259">
        <v>1</v>
      </c>
      <c r="K17259">
        <v>1</v>
      </c>
      <c r="L17259">
        <v>184</v>
      </c>
      <c r="M17259">
        <v>1</v>
      </c>
      <c r="N17259">
        <v>3.0706000000000001E-91</v>
      </c>
      <c r="O17259">
        <v>848</v>
      </c>
    </row>
    <row r="17260" spans="1:15" x14ac:dyDescent="0.25">
      <c r="A17260" t="s">
        <v>17273</v>
      </c>
      <c r="B17260">
        <v>599</v>
      </c>
      <c r="C17260" s="1" t="str">
        <f>HYPERLINK("http://www.rosaceae.org/gb/gbrowse/malus_x_domestica/?name=MDP0000319550","MDP0000319550")</f>
        <v>MDP0000319550</v>
      </c>
      <c r="D17260">
        <v>57.34</v>
      </c>
      <c r="E17260">
        <v>572</v>
      </c>
      <c r="F17260">
        <v>244</v>
      </c>
      <c r="G17260">
        <v>16</v>
      </c>
      <c r="H17260">
        <v>22</v>
      </c>
      <c r="I17260">
        <v>580</v>
      </c>
      <c r="J17260">
        <v>1</v>
      </c>
      <c r="K17260">
        <v>20</v>
      </c>
      <c r="L17260">
        <v>588</v>
      </c>
      <c r="M17260">
        <v>1</v>
      </c>
      <c r="N17260">
        <v>0</v>
      </c>
      <c r="O17260">
        <v>1684</v>
      </c>
    </row>
    <row r="17261" spans="1:15" x14ac:dyDescent="0.25">
      <c r="A17261" t="s">
        <v>17274</v>
      </c>
      <c r="B17261">
        <v>649</v>
      </c>
      <c r="C17261" s="1" t="str">
        <f>HYPERLINK("http://www.rosaceae.org/gb/gbrowse/malus_x_domestica/?name=MDP0000278263","MDP0000278263")</f>
        <v>MDP0000278263</v>
      </c>
      <c r="D17261">
        <v>61.72</v>
      </c>
      <c r="E17261">
        <v>648</v>
      </c>
      <c r="F17261">
        <v>248</v>
      </c>
      <c r="G17261">
        <v>23</v>
      </c>
      <c r="H17261">
        <v>3</v>
      </c>
      <c r="I17261">
        <v>646</v>
      </c>
      <c r="J17261">
        <v>1</v>
      </c>
      <c r="K17261">
        <v>135</v>
      </c>
      <c r="L17261">
        <v>763</v>
      </c>
      <c r="M17261">
        <v>1</v>
      </c>
      <c r="N17261">
        <v>0</v>
      </c>
      <c r="O17261">
        <v>1933</v>
      </c>
    </row>
    <row r="17262" spans="1:15" x14ac:dyDescent="0.25">
      <c r="A17262" t="s">
        <v>17275</v>
      </c>
      <c r="B17262">
        <v>525</v>
      </c>
      <c r="C17262" s="1" t="str">
        <f>HYPERLINK("http://www.rosaceae.org/gb/gbrowse/malus_x_domestica/?name=MDP0000125288","MDP0000125288")</f>
        <v>MDP0000125288</v>
      </c>
      <c r="D17262">
        <v>66.349999999999994</v>
      </c>
      <c r="E17262">
        <v>324</v>
      </c>
      <c r="F17262">
        <v>109</v>
      </c>
      <c r="G17262">
        <v>26</v>
      </c>
      <c r="H17262">
        <v>88</v>
      </c>
      <c r="I17262">
        <v>388</v>
      </c>
      <c r="J17262">
        <v>1</v>
      </c>
      <c r="K17262">
        <v>319</v>
      </c>
      <c r="L17262">
        <v>639</v>
      </c>
      <c r="M17262">
        <v>1</v>
      </c>
      <c r="N17262">
        <v>1.3062699999999999E-120</v>
      </c>
      <c r="O17262">
        <v>1107</v>
      </c>
    </row>
    <row r="17263" spans="1:15" x14ac:dyDescent="0.25">
      <c r="A17263" t="s">
        <v>17276</v>
      </c>
      <c r="B17263">
        <v>777</v>
      </c>
      <c r="C17263" s="1" t="str">
        <f>HYPERLINK("http://www.rosaceae.org/gb/gbrowse/malus_x_domestica/?name=MDP0000164884","MDP0000164884")</f>
        <v>MDP0000164884</v>
      </c>
      <c r="D17263">
        <v>66.47</v>
      </c>
      <c r="E17263">
        <v>853</v>
      </c>
      <c r="F17263">
        <v>286</v>
      </c>
      <c r="G17263">
        <v>94</v>
      </c>
      <c r="H17263">
        <v>19</v>
      </c>
      <c r="I17263">
        <v>777</v>
      </c>
      <c r="J17263">
        <v>1</v>
      </c>
      <c r="K17263">
        <v>3</v>
      </c>
      <c r="L17263">
        <v>855</v>
      </c>
      <c r="M17263">
        <v>1</v>
      </c>
      <c r="N17263">
        <v>0</v>
      </c>
      <c r="O17263">
        <v>2849</v>
      </c>
    </row>
    <row r="17264" spans="1:15" x14ac:dyDescent="0.25">
      <c r="A17264" t="s">
        <v>17277</v>
      </c>
      <c r="B17264">
        <v>698</v>
      </c>
      <c r="C17264" s="1" t="str">
        <f>HYPERLINK("http://www.rosaceae.org/gb/gbrowse/malus_x_domestica/?name=MDP0000160719","MDP0000160719")</f>
        <v>MDP0000160719</v>
      </c>
      <c r="D17264">
        <v>68.790000000000006</v>
      </c>
      <c r="E17264">
        <v>516</v>
      </c>
      <c r="F17264">
        <v>161</v>
      </c>
      <c r="G17264">
        <v>56</v>
      </c>
      <c r="H17264">
        <v>187</v>
      </c>
      <c r="I17264">
        <v>647</v>
      </c>
      <c r="J17264">
        <v>1</v>
      </c>
      <c r="K17264">
        <v>187</v>
      </c>
      <c r="L17264">
        <v>701</v>
      </c>
      <c r="M17264">
        <v>1</v>
      </c>
      <c r="N17264">
        <v>0</v>
      </c>
      <c r="O17264">
        <v>1763</v>
      </c>
    </row>
    <row r="17265" spans="1:15" x14ac:dyDescent="0.25">
      <c r="A17265" t="s">
        <v>17278</v>
      </c>
      <c r="B17265">
        <v>174</v>
      </c>
      <c r="C17265" s="1" t="str">
        <f>HYPERLINK("http://www.rosaceae.org/gb/gbrowse/malus_x_domestica/?name=MDP0000135455","MDP0000135455")</f>
        <v>MDP0000135455</v>
      </c>
      <c r="D17265">
        <v>79.599999999999994</v>
      </c>
      <c r="E17265">
        <v>152</v>
      </c>
      <c r="F17265">
        <v>31</v>
      </c>
      <c r="G17265">
        <v>2</v>
      </c>
      <c r="H17265">
        <v>1</v>
      </c>
      <c r="I17265">
        <v>151</v>
      </c>
      <c r="J17265">
        <v>1</v>
      </c>
      <c r="K17265">
        <v>1</v>
      </c>
      <c r="L17265">
        <v>151</v>
      </c>
      <c r="M17265">
        <v>1</v>
      </c>
      <c r="N17265">
        <v>1.75339E-66</v>
      </c>
      <c r="O17265">
        <v>634</v>
      </c>
    </row>
    <row r="17266" spans="1:15" x14ac:dyDescent="0.25">
      <c r="A17266" t="s">
        <v>17279</v>
      </c>
      <c r="B17266">
        <v>263</v>
      </c>
      <c r="C17266" s="1" t="str">
        <f>HYPERLINK("http://www.rosaceae.org/gb/gbrowse/malus_x_domestica/?name=MDP0000233439","MDP0000233439")</f>
        <v>MDP0000233439</v>
      </c>
      <c r="D17266">
        <v>85.04</v>
      </c>
      <c r="E17266">
        <v>234</v>
      </c>
      <c r="F17266">
        <v>35</v>
      </c>
      <c r="G17266">
        <v>3</v>
      </c>
      <c r="H17266">
        <v>28</v>
      </c>
      <c r="I17266">
        <v>258</v>
      </c>
      <c r="J17266">
        <v>1</v>
      </c>
      <c r="K17266">
        <v>73</v>
      </c>
      <c r="L17266">
        <v>306</v>
      </c>
      <c r="M17266">
        <v>1</v>
      </c>
      <c r="N17266">
        <v>1.7491100000000001E-115</v>
      </c>
      <c r="O17266">
        <v>1059</v>
      </c>
    </row>
    <row r="17267" spans="1:15" x14ac:dyDescent="0.25">
      <c r="A17267" t="s">
        <v>17280</v>
      </c>
      <c r="B17267">
        <v>225</v>
      </c>
      <c r="C17267" s="1" t="str">
        <f>HYPERLINK("http://www.rosaceae.org/gb/gbrowse/malus_x_domestica/?name=MDP0000278502","MDP0000278502")</f>
        <v>MDP0000278502</v>
      </c>
      <c r="D17267">
        <v>58.19</v>
      </c>
      <c r="E17267">
        <v>122</v>
      </c>
      <c r="F17267">
        <v>51</v>
      </c>
      <c r="G17267">
        <v>5</v>
      </c>
      <c r="H17267">
        <v>1</v>
      </c>
      <c r="I17267">
        <v>122</v>
      </c>
      <c r="J17267">
        <v>1</v>
      </c>
      <c r="K17267">
        <v>272</v>
      </c>
      <c r="L17267">
        <v>388</v>
      </c>
      <c r="M17267">
        <v>1</v>
      </c>
      <c r="N17267">
        <v>2.6616800000000001E-30</v>
      </c>
      <c r="O17267">
        <v>324</v>
      </c>
    </row>
    <row r="17268" spans="1:15" x14ac:dyDescent="0.25">
      <c r="A17268" t="s">
        <v>17281</v>
      </c>
      <c r="B17268">
        <v>653</v>
      </c>
      <c r="C17268" s="1" t="str">
        <f>HYPERLINK("http://www.rosaceae.org/gb/gbrowse/malus_x_domestica/?name=MDP0000124992","MDP0000124992")</f>
        <v>MDP0000124992</v>
      </c>
      <c r="D17268">
        <v>52.29</v>
      </c>
      <c r="E17268">
        <v>436</v>
      </c>
      <c r="F17268">
        <v>208</v>
      </c>
      <c r="G17268">
        <v>64</v>
      </c>
      <c r="H17268">
        <v>1</v>
      </c>
      <c r="I17268">
        <v>406</v>
      </c>
      <c r="J17268">
        <v>1</v>
      </c>
      <c r="K17268">
        <v>1</v>
      </c>
      <c r="L17268">
        <v>402</v>
      </c>
      <c r="M17268">
        <v>1</v>
      </c>
      <c r="N17268">
        <v>1.2454899999999999E-104</v>
      </c>
      <c r="O17268">
        <v>970</v>
      </c>
    </row>
    <row r="17269" spans="1:15" x14ac:dyDescent="0.25">
      <c r="A17269" t="s">
        <v>17282</v>
      </c>
      <c r="B17269">
        <v>256</v>
      </c>
      <c r="C17269" s="1" t="str">
        <f>HYPERLINK("http://www.rosaceae.org/gb/gbrowse/malus_x_domestica/?name=MDP0000095375","MDP0000095375")</f>
        <v>MDP0000095375</v>
      </c>
      <c r="D17269">
        <v>78.7</v>
      </c>
      <c r="E17269">
        <v>263</v>
      </c>
      <c r="F17269">
        <v>56</v>
      </c>
      <c r="G17269">
        <v>17</v>
      </c>
      <c r="H17269">
        <v>1</v>
      </c>
      <c r="I17269">
        <v>246</v>
      </c>
      <c r="J17269">
        <v>1</v>
      </c>
      <c r="K17269">
        <v>1</v>
      </c>
      <c r="L17269">
        <v>263</v>
      </c>
      <c r="M17269">
        <v>1</v>
      </c>
      <c r="N17269">
        <v>3.7964700000000002E-110</v>
      </c>
      <c r="O17269">
        <v>1013</v>
      </c>
    </row>
    <row r="17270" spans="1:15" x14ac:dyDescent="0.25">
      <c r="A17270" t="s">
        <v>17283</v>
      </c>
      <c r="B17270">
        <v>798</v>
      </c>
      <c r="C17270" s="1" t="str">
        <f>HYPERLINK("http://www.rosaceae.org/gb/gbrowse/malus_x_domestica/?name=MDP0000854457","MDP0000854457")</f>
        <v>MDP0000854457</v>
      </c>
      <c r="D17270">
        <v>48.64</v>
      </c>
      <c r="E17270">
        <v>812</v>
      </c>
      <c r="F17270">
        <v>417</v>
      </c>
      <c r="G17270">
        <v>59</v>
      </c>
      <c r="H17270">
        <v>16</v>
      </c>
      <c r="I17270">
        <v>798</v>
      </c>
      <c r="J17270">
        <v>1</v>
      </c>
      <c r="K17270">
        <v>21</v>
      </c>
      <c r="L17270">
        <v>802</v>
      </c>
      <c r="M17270">
        <v>1</v>
      </c>
      <c r="N17270">
        <v>0</v>
      </c>
      <c r="O17270">
        <v>1911</v>
      </c>
    </row>
    <row r="17271" spans="1:15" x14ac:dyDescent="0.25">
      <c r="A17271" t="s">
        <v>17284</v>
      </c>
      <c r="B17271">
        <v>207</v>
      </c>
      <c r="C17271" s="1" t="str">
        <f>HYPERLINK("http://www.rosaceae.org/gb/gbrowse/malus_x_domestica/?name=MDP0000310071","MDP0000310071")</f>
        <v>MDP0000310071</v>
      </c>
      <c r="D17271">
        <v>78.64</v>
      </c>
      <c r="E17271">
        <v>206</v>
      </c>
      <c r="F17271">
        <v>44</v>
      </c>
      <c r="G17271">
        <v>4</v>
      </c>
      <c r="H17271">
        <v>1</v>
      </c>
      <c r="I17271">
        <v>205</v>
      </c>
      <c r="J17271">
        <v>1</v>
      </c>
      <c r="K17271">
        <v>51</v>
      </c>
      <c r="L17271">
        <v>253</v>
      </c>
      <c r="M17271">
        <v>1</v>
      </c>
      <c r="N17271">
        <v>4.57716E-86</v>
      </c>
      <c r="O17271">
        <v>804</v>
      </c>
    </row>
    <row r="17272" spans="1:15" x14ac:dyDescent="0.25">
      <c r="A17272" t="s">
        <v>17285</v>
      </c>
      <c r="B17272">
        <v>110</v>
      </c>
      <c r="C17272" s="1" t="str">
        <f>HYPERLINK("http://www.rosaceae.org/gb/gbrowse/malus_x_domestica/?name=MDP0000250031","MDP0000250031")</f>
        <v>MDP0000250031</v>
      </c>
      <c r="D17272">
        <v>77.45</v>
      </c>
      <c r="E17272">
        <v>102</v>
      </c>
      <c r="F17272">
        <v>23</v>
      </c>
      <c r="G17272">
        <v>0</v>
      </c>
      <c r="H17272">
        <v>1</v>
      </c>
      <c r="I17272">
        <v>102</v>
      </c>
      <c r="J17272">
        <v>1</v>
      </c>
      <c r="K17272">
        <v>161</v>
      </c>
      <c r="L17272">
        <v>262</v>
      </c>
      <c r="M17272">
        <v>1</v>
      </c>
      <c r="N17272">
        <v>2.22221E-42</v>
      </c>
      <c r="O17272">
        <v>423</v>
      </c>
    </row>
    <row r="17273" spans="1:15" x14ac:dyDescent="0.25">
      <c r="A17273" t="s">
        <v>17286</v>
      </c>
      <c r="B17273">
        <v>637</v>
      </c>
      <c r="C17273" s="1" t="str">
        <f>HYPERLINK("http://www.rosaceae.org/gb/gbrowse/malus_x_domestica/?name=MDP0000261291","MDP0000261291")</f>
        <v>MDP0000261291</v>
      </c>
      <c r="D17273">
        <v>82.75</v>
      </c>
      <c r="E17273">
        <v>638</v>
      </c>
      <c r="F17273">
        <v>110</v>
      </c>
      <c r="G17273">
        <v>4</v>
      </c>
      <c r="H17273">
        <v>4</v>
      </c>
      <c r="I17273">
        <v>637</v>
      </c>
      <c r="J17273">
        <v>1</v>
      </c>
      <c r="K17273">
        <v>140</v>
      </c>
      <c r="L17273">
        <v>777</v>
      </c>
      <c r="M17273">
        <v>1</v>
      </c>
      <c r="N17273">
        <v>0</v>
      </c>
      <c r="O17273">
        <v>2793</v>
      </c>
    </row>
    <row r="17274" spans="1:15" x14ac:dyDescent="0.25">
      <c r="A17274" t="s">
        <v>17287</v>
      </c>
      <c r="B17274">
        <v>455</v>
      </c>
      <c r="C17274" s="1" t="str">
        <f>HYPERLINK("http://www.rosaceae.org/gb/gbrowse/malus_x_domestica/?name=MDP0000320892","MDP0000320892")</f>
        <v>MDP0000320892</v>
      </c>
      <c r="D17274">
        <v>89.35</v>
      </c>
      <c r="E17274">
        <v>216</v>
      </c>
      <c r="F17274">
        <v>23</v>
      </c>
      <c r="G17274">
        <v>3</v>
      </c>
      <c r="H17274">
        <v>176</v>
      </c>
      <c r="I17274">
        <v>391</v>
      </c>
      <c r="J17274">
        <v>1</v>
      </c>
      <c r="K17274">
        <v>1</v>
      </c>
      <c r="L17274">
        <v>213</v>
      </c>
      <c r="M17274">
        <v>1</v>
      </c>
      <c r="N17274">
        <v>4.5697400000000002E-111</v>
      </c>
      <c r="O17274">
        <v>1024</v>
      </c>
    </row>
    <row r="17275" spans="1:15" x14ac:dyDescent="0.25">
      <c r="A17275" t="s">
        <v>17288</v>
      </c>
      <c r="B17275">
        <v>370</v>
      </c>
      <c r="C17275" s="1" t="str">
        <f>HYPERLINK("http://www.rosaceae.org/gb/gbrowse/malus_x_domestica/?name=MDP0000683890","MDP0000683890")</f>
        <v>MDP0000683890</v>
      </c>
      <c r="D17275">
        <v>30.65</v>
      </c>
      <c r="E17275">
        <v>398</v>
      </c>
      <c r="F17275">
        <v>276</v>
      </c>
      <c r="G17275">
        <v>42</v>
      </c>
      <c r="H17275">
        <v>8</v>
      </c>
      <c r="I17275">
        <v>370</v>
      </c>
      <c r="J17275">
        <v>1</v>
      </c>
      <c r="K17275">
        <v>109</v>
      </c>
      <c r="L17275">
        <v>499</v>
      </c>
      <c r="M17275">
        <v>1</v>
      </c>
      <c r="N17275">
        <v>4.18529E-47</v>
      </c>
      <c r="O17275">
        <v>471</v>
      </c>
    </row>
    <row r="17276" spans="1:15" x14ac:dyDescent="0.25">
      <c r="A17276" t="s">
        <v>17289</v>
      </c>
      <c r="B17276">
        <v>377</v>
      </c>
      <c r="C17276" s="1" t="str">
        <f>HYPERLINK("http://www.rosaceae.org/gb/gbrowse/malus_x_domestica/?name=MDP0000211252","MDP0000211252")</f>
        <v>MDP0000211252</v>
      </c>
      <c r="D17276">
        <v>64.05</v>
      </c>
      <c r="E17276">
        <v>370</v>
      </c>
      <c r="F17276">
        <v>133</v>
      </c>
      <c r="G17276">
        <v>20</v>
      </c>
      <c r="H17276">
        <v>12</v>
      </c>
      <c r="I17276">
        <v>377</v>
      </c>
      <c r="J17276">
        <v>1</v>
      </c>
      <c r="K17276">
        <v>1</v>
      </c>
      <c r="L17276">
        <v>354</v>
      </c>
      <c r="M17276">
        <v>1</v>
      </c>
      <c r="N17276">
        <v>1.7337899999999999E-126</v>
      </c>
      <c r="O17276">
        <v>1156</v>
      </c>
    </row>
    <row r="17277" spans="1:15" x14ac:dyDescent="0.25">
      <c r="A17277" t="s">
        <v>17290</v>
      </c>
      <c r="B17277">
        <v>814</v>
      </c>
      <c r="C17277" s="1" t="str">
        <f>HYPERLINK("http://www.rosaceae.org/gb/gbrowse/malus_x_domestica/?name=MDP0000157225","MDP0000157225")</f>
        <v>MDP0000157225</v>
      </c>
      <c r="D17277">
        <v>46.78</v>
      </c>
      <c r="E17277">
        <v>840</v>
      </c>
      <c r="F17277">
        <v>447</v>
      </c>
      <c r="G17277">
        <v>85</v>
      </c>
      <c r="H17277">
        <v>2</v>
      </c>
      <c r="I17277">
        <v>807</v>
      </c>
      <c r="J17277">
        <v>1</v>
      </c>
      <c r="K17277">
        <v>3</v>
      </c>
      <c r="L17277">
        <v>791</v>
      </c>
      <c r="M17277">
        <v>1</v>
      </c>
      <c r="N17277">
        <v>0</v>
      </c>
      <c r="O17277">
        <v>1749</v>
      </c>
    </row>
    <row r="17278" spans="1:15" x14ac:dyDescent="0.25">
      <c r="A17278" t="s">
        <v>17291</v>
      </c>
      <c r="B17278">
        <v>1310</v>
      </c>
      <c r="C17278" s="1" t="str">
        <f>HYPERLINK("http://www.rosaceae.org/gb/gbrowse/malus_x_domestica/?name=MDP0000171453","MDP0000171453")</f>
        <v>MDP0000171453</v>
      </c>
      <c r="D17278">
        <v>82.88</v>
      </c>
      <c r="E17278">
        <v>631</v>
      </c>
      <c r="F17278">
        <v>108</v>
      </c>
      <c r="G17278">
        <v>16</v>
      </c>
      <c r="H17278">
        <v>25</v>
      </c>
      <c r="I17278">
        <v>644</v>
      </c>
      <c r="J17278">
        <v>1</v>
      </c>
      <c r="K17278">
        <v>3</v>
      </c>
      <c r="L17278">
        <v>628</v>
      </c>
      <c r="M17278">
        <v>1</v>
      </c>
      <c r="N17278">
        <v>0</v>
      </c>
      <c r="O17278">
        <v>2768</v>
      </c>
    </row>
    <row r="17279" spans="1:15" x14ac:dyDescent="0.25">
      <c r="A17279" t="s">
        <v>17292</v>
      </c>
      <c r="B17279">
        <v>409</v>
      </c>
      <c r="C17279" s="1" t="str">
        <f>HYPERLINK("http://www.rosaceae.org/gb/gbrowse/malus_x_domestica/?name=MDP0000894933","MDP0000894933")</f>
        <v>MDP0000894933</v>
      </c>
      <c r="D17279">
        <v>75.06</v>
      </c>
      <c r="E17279">
        <v>413</v>
      </c>
      <c r="F17279">
        <v>103</v>
      </c>
      <c r="G17279">
        <v>8</v>
      </c>
      <c r="H17279">
        <v>1</v>
      </c>
      <c r="I17279">
        <v>405</v>
      </c>
      <c r="J17279">
        <v>1</v>
      </c>
      <c r="K17279">
        <v>1</v>
      </c>
      <c r="L17279">
        <v>413</v>
      </c>
      <c r="M17279">
        <v>1</v>
      </c>
      <c r="N17279">
        <v>3.7235599999999999E-180</v>
      </c>
      <c r="O17279">
        <v>1619</v>
      </c>
    </row>
    <row r="17280" spans="1:15" x14ac:dyDescent="0.25">
      <c r="A17280" t="s">
        <v>17293</v>
      </c>
      <c r="B17280">
        <v>363</v>
      </c>
      <c r="C17280" s="1" t="str">
        <f>HYPERLINK("http://www.rosaceae.org/gb/gbrowse/malus_x_domestica/?name=MDP0000173906","MDP0000173906")</f>
        <v>MDP0000173906</v>
      </c>
      <c r="D17280">
        <v>62</v>
      </c>
      <c r="E17280">
        <v>300</v>
      </c>
      <c r="F17280">
        <v>114</v>
      </c>
      <c r="G17280">
        <v>32</v>
      </c>
      <c r="H17280">
        <v>5</v>
      </c>
      <c r="I17280">
        <v>288</v>
      </c>
      <c r="J17280">
        <v>1</v>
      </c>
      <c r="K17280">
        <v>13</v>
      </c>
      <c r="L17280">
        <v>296</v>
      </c>
      <c r="M17280">
        <v>1</v>
      </c>
      <c r="N17280">
        <v>5.3765800000000002E-98</v>
      </c>
      <c r="O17280">
        <v>910</v>
      </c>
    </row>
    <row r="17281" spans="1:15" x14ac:dyDescent="0.25">
      <c r="A17281" t="s">
        <v>17294</v>
      </c>
      <c r="B17281">
        <v>141</v>
      </c>
      <c r="C17281" s="1" t="str">
        <f>HYPERLINK("http://www.rosaceae.org/gb/gbrowse/malus_x_domestica/?name=MDP0000277675","MDP0000277675")</f>
        <v>MDP0000277675</v>
      </c>
      <c r="D17281">
        <v>60.86</v>
      </c>
      <c r="E17281">
        <v>69</v>
      </c>
      <c r="F17281">
        <v>27</v>
      </c>
      <c r="G17281">
        <v>7</v>
      </c>
      <c r="H17281">
        <v>71</v>
      </c>
      <c r="I17281">
        <v>138</v>
      </c>
      <c r="J17281">
        <v>1</v>
      </c>
      <c r="K17281">
        <v>14</v>
      </c>
      <c r="L17281">
        <v>76</v>
      </c>
      <c r="M17281">
        <v>1</v>
      </c>
      <c r="N17281">
        <v>2.7708300000000001E-16</v>
      </c>
      <c r="O17281">
        <v>199</v>
      </c>
    </row>
    <row r="17282" spans="1:15" x14ac:dyDescent="0.25">
      <c r="A17282" t="s">
        <v>17295</v>
      </c>
      <c r="B17282">
        <v>217</v>
      </c>
      <c r="C17282" s="1" t="str">
        <f>HYPERLINK("http://www.rosaceae.org/gb/gbrowse/malus_x_domestica/?name=MDP0000218802","MDP0000218802")</f>
        <v>MDP0000218802</v>
      </c>
      <c r="D17282">
        <v>49.72</v>
      </c>
      <c r="E17282">
        <v>185</v>
      </c>
      <c r="F17282">
        <v>93</v>
      </c>
      <c r="G17282">
        <v>53</v>
      </c>
      <c r="H17282">
        <v>85</v>
      </c>
      <c r="I17282">
        <v>217</v>
      </c>
      <c r="J17282">
        <v>1</v>
      </c>
      <c r="K17282">
        <v>191</v>
      </c>
      <c r="L17282">
        <v>374</v>
      </c>
      <c r="M17282">
        <v>1</v>
      </c>
      <c r="N17282">
        <v>1.6852000000000001E-39</v>
      </c>
      <c r="O17282">
        <v>403</v>
      </c>
    </row>
    <row r="17283" spans="1:15" x14ac:dyDescent="0.25">
      <c r="A17283" t="s">
        <v>17296</v>
      </c>
      <c r="B17283">
        <v>477</v>
      </c>
      <c r="C17283" s="1" t="str">
        <f>HYPERLINK("http://www.rosaceae.org/gb/gbrowse/malus_x_domestica/?name=MDP0000605612","MDP0000605612")</f>
        <v>MDP0000605612</v>
      </c>
      <c r="D17283">
        <v>44.73</v>
      </c>
      <c r="E17283">
        <v>76</v>
      </c>
      <c r="F17283">
        <v>42</v>
      </c>
      <c r="G17283">
        <v>13</v>
      </c>
      <c r="H17283">
        <v>204</v>
      </c>
      <c r="I17283">
        <v>279</v>
      </c>
      <c r="J17283">
        <v>1</v>
      </c>
      <c r="K17283">
        <v>30</v>
      </c>
      <c r="L17283">
        <v>92</v>
      </c>
      <c r="M17283">
        <v>1</v>
      </c>
      <c r="N17283">
        <v>2.98499E-7</v>
      </c>
      <c r="O17283">
        <v>129</v>
      </c>
    </row>
    <row r="17284" spans="1:15" x14ac:dyDescent="0.25">
      <c r="A17284" t="s">
        <v>17297</v>
      </c>
      <c r="B17284">
        <v>197</v>
      </c>
      <c r="C17284" s="1" t="str">
        <f>HYPERLINK("http://www.rosaceae.org/gb/gbrowse/malus_x_domestica/?name=MDP0000263495","MDP0000263495")</f>
        <v>MDP0000263495</v>
      </c>
      <c r="D17284">
        <v>48.87</v>
      </c>
      <c r="E17284">
        <v>178</v>
      </c>
      <c r="F17284">
        <v>91</v>
      </c>
      <c r="G17284">
        <v>9</v>
      </c>
      <c r="H17284">
        <v>25</v>
      </c>
      <c r="I17284">
        <v>197</v>
      </c>
      <c r="J17284">
        <v>1</v>
      </c>
      <c r="K17284">
        <v>68</v>
      </c>
      <c r="L17284">
        <v>241</v>
      </c>
      <c r="M17284">
        <v>1</v>
      </c>
      <c r="N17284">
        <v>2.15238E-41</v>
      </c>
      <c r="O17284">
        <v>418</v>
      </c>
    </row>
    <row r="17285" spans="1:15" x14ac:dyDescent="0.25">
      <c r="A17285" t="s">
        <v>17298</v>
      </c>
      <c r="B17285">
        <v>219</v>
      </c>
      <c r="C17285" s="1" t="str">
        <f>HYPERLINK("http://www.rosaceae.org/gb/gbrowse/malus_x_domestica/?name=MDP0000122536","MDP0000122536")</f>
        <v>MDP0000122536</v>
      </c>
      <c r="D17285">
        <v>58.88</v>
      </c>
      <c r="E17285">
        <v>197</v>
      </c>
      <c r="F17285">
        <v>81</v>
      </c>
      <c r="G17285">
        <v>2</v>
      </c>
      <c r="H17285">
        <v>23</v>
      </c>
      <c r="I17285">
        <v>219</v>
      </c>
      <c r="J17285">
        <v>1</v>
      </c>
      <c r="K17285">
        <v>27</v>
      </c>
      <c r="L17285">
        <v>221</v>
      </c>
      <c r="M17285">
        <v>1</v>
      </c>
      <c r="N17285">
        <v>3.54554E-64</v>
      </c>
      <c r="O17285">
        <v>616</v>
      </c>
    </row>
    <row r="17286" spans="1:15" x14ac:dyDescent="0.25">
      <c r="A17286" t="s">
        <v>17299</v>
      </c>
      <c r="B17286">
        <v>324</v>
      </c>
      <c r="C17286" s="1" t="str">
        <f>HYPERLINK("http://www.rosaceae.org/gb/gbrowse/malus_x_domestica/?name=MDP0000400776","MDP0000400776")</f>
        <v>MDP0000400776</v>
      </c>
      <c r="D17286">
        <v>61.74</v>
      </c>
      <c r="E17286">
        <v>183</v>
      </c>
      <c r="F17286">
        <v>70</v>
      </c>
      <c r="G17286">
        <v>9</v>
      </c>
      <c r="H17286">
        <v>147</v>
      </c>
      <c r="I17286">
        <v>323</v>
      </c>
      <c r="J17286">
        <v>1</v>
      </c>
      <c r="K17286">
        <v>18</v>
      </c>
      <c r="L17286">
        <v>197</v>
      </c>
      <c r="M17286">
        <v>1</v>
      </c>
      <c r="N17286">
        <v>6.2023299999999996E-47</v>
      </c>
      <c r="O17286">
        <v>469</v>
      </c>
    </row>
    <row r="17287" spans="1:15" x14ac:dyDescent="0.25">
      <c r="A17287" t="s">
        <v>17300</v>
      </c>
      <c r="B17287">
        <v>675</v>
      </c>
      <c r="C17287" s="1" t="str">
        <f>HYPERLINK("http://www.rosaceae.org/gb/gbrowse/malus_x_domestica/?name=MDP0000203647","MDP0000203647")</f>
        <v>MDP0000203647</v>
      </c>
      <c r="D17287">
        <v>68.900000000000006</v>
      </c>
      <c r="E17287">
        <v>476</v>
      </c>
      <c r="F17287">
        <v>148</v>
      </c>
      <c r="G17287">
        <v>6</v>
      </c>
      <c r="H17287">
        <v>1</v>
      </c>
      <c r="I17287">
        <v>476</v>
      </c>
      <c r="J17287">
        <v>1</v>
      </c>
      <c r="K17287">
        <v>1</v>
      </c>
      <c r="L17287">
        <v>470</v>
      </c>
      <c r="M17287">
        <v>1</v>
      </c>
      <c r="N17287">
        <v>0</v>
      </c>
      <c r="O17287">
        <v>1673</v>
      </c>
    </row>
    <row r="17288" spans="1:15" x14ac:dyDescent="0.25">
      <c r="A17288" t="s">
        <v>17301</v>
      </c>
      <c r="B17288">
        <v>338</v>
      </c>
      <c r="C17288" s="1" t="str">
        <f>HYPERLINK("http://www.rosaceae.org/gb/gbrowse/malus_x_domestica/?name=MDP0000239998","MDP0000239998")</f>
        <v>MDP0000239998</v>
      </c>
      <c r="D17288">
        <v>62.6</v>
      </c>
      <c r="E17288">
        <v>345</v>
      </c>
      <c r="F17288">
        <v>129</v>
      </c>
      <c r="G17288">
        <v>17</v>
      </c>
      <c r="H17288">
        <v>2</v>
      </c>
      <c r="I17288">
        <v>338</v>
      </c>
      <c r="J17288">
        <v>1</v>
      </c>
      <c r="K17288">
        <v>6</v>
      </c>
      <c r="L17288">
        <v>341</v>
      </c>
      <c r="M17288">
        <v>1</v>
      </c>
      <c r="N17288">
        <v>1.18695E-121</v>
      </c>
      <c r="O17288">
        <v>1114</v>
      </c>
    </row>
    <row r="17289" spans="1:15" x14ac:dyDescent="0.25">
      <c r="A17289" t="s">
        <v>17302</v>
      </c>
      <c r="B17289">
        <v>127</v>
      </c>
      <c r="C17289" s="1" t="str">
        <f>HYPERLINK("http://www.rosaceae.org/gb/gbrowse/malus_x_domestica/?name=MDP0000136455","MDP0000136455")</f>
        <v>MDP0000136455</v>
      </c>
      <c r="D17289">
        <v>78.400000000000006</v>
      </c>
      <c r="E17289">
        <v>88</v>
      </c>
      <c r="F17289">
        <v>19</v>
      </c>
      <c r="G17289">
        <v>2</v>
      </c>
      <c r="H17289">
        <v>42</v>
      </c>
      <c r="I17289">
        <v>127</v>
      </c>
      <c r="J17289">
        <v>1</v>
      </c>
      <c r="K17289">
        <v>67</v>
      </c>
      <c r="L17289">
        <v>154</v>
      </c>
      <c r="M17289">
        <v>1</v>
      </c>
      <c r="N17289">
        <v>7.7096999999999992E-37</v>
      </c>
      <c r="O17289">
        <v>375</v>
      </c>
    </row>
    <row r="17290" spans="1:15" x14ac:dyDescent="0.25">
      <c r="A17290" t="s">
        <v>17303</v>
      </c>
      <c r="B17290">
        <v>469</v>
      </c>
      <c r="C17290" s="1" t="str">
        <f>HYPERLINK("http://www.rosaceae.org/gb/gbrowse/malus_x_domestica/?name=MDP0000253114","MDP0000253114")</f>
        <v>MDP0000253114</v>
      </c>
      <c r="D17290">
        <v>57.48</v>
      </c>
      <c r="E17290">
        <v>461</v>
      </c>
      <c r="F17290">
        <v>196</v>
      </c>
      <c r="G17290">
        <v>32</v>
      </c>
      <c r="H17290">
        <v>1</v>
      </c>
      <c r="I17290">
        <v>436</v>
      </c>
      <c r="J17290">
        <v>1</v>
      </c>
      <c r="K17290">
        <v>1</v>
      </c>
      <c r="L17290">
        <v>454</v>
      </c>
      <c r="M17290">
        <v>1</v>
      </c>
      <c r="N17290">
        <v>8.7477699999999995E-137</v>
      </c>
      <c r="O17290">
        <v>1246</v>
      </c>
    </row>
    <row r="17291" spans="1:15" x14ac:dyDescent="0.25">
      <c r="A17291" t="s">
        <v>17304</v>
      </c>
      <c r="B17291">
        <v>231</v>
      </c>
      <c r="C17291" s="1" t="str">
        <f>HYPERLINK("http://www.rosaceae.org/gb/gbrowse/malus_x_domestica/?name=MDP0000281900","MDP0000281900")</f>
        <v>MDP0000281900</v>
      </c>
      <c r="D17291">
        <v>61.63</v>
      </c>
      <c r="E17291">
        <v>232</v>
      </c>
      <c r="F17291">
        <v>89</v>
      </c>
      <c r="G17291">
        <v>12</v>
      </c>
      <c r="H17291">
        <v>1</v>
      </c>
      <c r="I17291">
        <v>229</v>
      </c>
      <c r="J17291">
        <v>1</v>
      </c>
      <c r="K17291">
        <v>1</v>
      </c>
      <c r="L17291">
        <v>223</v>
      </c>
      <c r="M17291">
        <v>1</v>
      </c>
      <c r="N17291">
        <v>5.3240799999999999E-74</v>
      </c>
      <c r="O17291">
        <v>701</v>
      </c>
    </row>
    <row r="17292" spans="1:15" x14ac:dyDescent="0.25">
      <c r="A17292" t="s">
        <v>17305</v>
      </c>
      <c r="B17292">
        <v>289</v>
      </c>
      <c r="C17292" s="1" t="str">
        <f>HYPERLINK("http://www.rosaceae.org/gb/gbrowse/malus_x_domestica/?name=MDP0000225791","MDP0000225791")</f>
        <v>MDP0000225791</v>
      </c>
      <c r="D17292">
        <v>56.16</v>
      </c>
      <c r="E17292">
        <v>146</v>
      </c>
      <c r="F17292">
        <v>64</v>
      </c>
      <c r="G17292">
        <v>18</v>
      </c>
      <c r="H17292">
        <v>1</v>
      </c>
      <c r="I17292">
        <v>144</v>
      </c>
      <c r="J17292">
        <v>1</v>
      </c>
      <c r="K17292">
        <v>1</v>
      </c>
      <c r="L17292">
        <v>130</v>
      </c>
      <c r="M17292">
        <v>1</v>
      </c>
      <c r="N17292">
        <v>2.4145700000000001E-32</v>
      </c>
      <c r="O17292">
        <v>343</v>
      </c>
    </row>
    <row r="17293" spans="1:15" x14ac:dyDescent="0.25">
      <c r="A17293" t="s">
        <v>17306</v>
      </c>
      <c r="B17293">
        <v>163</v>
      </c>
      <c r="C17293" s="1" t="str">
        <f>HYPERLINK("http://www.rosaceae.org/gb/gbrowse/malus_x_domestica/?name=MDP0000142111","MDP0000142111")</f>
        <v>MDP0000142111</v>
      </c>
      <c r="D17293">
        <v>48.79</v>
      </c>
      <c r="E17293">
        <v>166</v>
      </c>
      <c r="F17293">
        <v>85</v>
      </c>
      <c r="G17293">
        <v>29</v>
      </c>
      <c r="H17293">
        <v>1</v>
      </c>
      <c r="I17293">
        <v>163</v>
      </c>
      <c r="J17293">
        <v>1</v>
      </c>
      <c r="K17293">
        <v>1</v>
      </c>
      <c r="L17293">
        <v>140</v>
      </c>
      <c r="M17293">
        <v>1</v>
      </c>
      <c r="N17293">
        <v>4.1756800000000001E-37</v>
      </c>
      <c r="O17293">
        <v>380</v>
      </c>
    </row>
    <row r="17294" spans="1:15" x14ac:dyDescent="0.25">
      <c r="A17294" t="s">
        <v>17307</v>
      </c>
      <c r="B17294">
        <v>231</v>
      </c>
      <c r="C17294" s="1" t="str">
        <f>HYPERLINK("http://www.rosaceae.org/gb/gbrowse/malus_x_domestica/?name=MDP0000825749","MDP0000825749")</f>
        <v>MDP0000825749</v>
      </c>
      <c r="D17294">
        <v>68.75</v>
      </c>
      <c r="E17294">
        <v>224</v>
      </c>
      <c r="F17294">
        <v>70</v>
      </c>
      <c r="G17294">
        <v>3</v>
      </c>
      <c r="H17294">
        <v>9</v>
      </c>
      <c r="I17294">
        <v>231</v>
      </c>
      <c r="J17294">
        <v>1</v>
      </c>
      <c r="K17294">
        <v>3</v>
      </c>
      <c r="L17294">
        <v>224</v>
      </c>
      <c r="M17294">
        <v>1</v>
      </c>
      <c r="N17294">
        <v>1.5997900000000001E-77</v>
      </c>
      <c r="O17294">
        <v>731</v>
      </c>
    </row>
    <row r="17295" spans="1:15" x14ac:dyDescent="0.25">
      <c r="A17295" t="s">
        <v>17308</v>
      </c>
      <c r="B17295">
        <v>132</v>
      </c>
      <c r="C17295" s="1" t="str">
        <f>HYPERLINK("http://www.rosaceae.org/gb/gbrowse/malus_x_domestica/?name=MDP0000305080","MDP0000305080")</f>
        <v>MDP0000305080</v>
      </c>
      <c r="D17295">
        <v>59.4</v>
      </c>
      <c r="E17295">
        <v>101</v>
      </c>
      <c r="F17295">
        <v>41</v>
      </c>
      <c r="G17295">
        <v>6</v>
      </c>
      <c r="H17295">
        <v>1</v>
      </c>
      <c r="I17295">
        <v>99</v>
      </c>
      <c r="J17295">
        <v>1</v>
      </c>
      <c r="K17295">
        <v>634</v>
      </c>
      <c r="L17295">
        <v>730</v>
      </c>
      <c r="M17295">
        <v>1</v>
      </c>
      <c r="N17295">
        <v>9.85957E-29</v>
      </c>
      <c r="O17295">
        <v>306</v>
      </c>
    </row>
    <row r="17296" spans="1:15" x14ac:dyDescent="0.25">
      <c r="A17296" t="s">
        <v>17309</v>
      </c>
      <c r="B17296">
        <v>704</v>
      </c>
      <c r="C17296" s="1" t="str">
        <f>HYPERLINK("http://www.rosaceae.org/gb/gbrowse/malus_x_domestica/?name=MDP0000757613","MDP0000757613")</f>
        <v>MDP0000757613</v>
      </c>
      <c r="D17296">
        <v>75</v>
      </c>
      <c r="E17296">
        <v>396</v>
      </c>
      <c r="F17296">
        <v>99</v>
      </c>
      <c r="G17296">
        <v>0</v>
      </c>
      <c r="H17296">
        <v>1</v>
      </c>
      <c r="I17296">
        <v>396</v>
      </c>
      <c r="J17296">
        <v>1</v>
      </c>
      <c r="K17296">
        <v>5</v>
      </c>
      <c r="L17296">
        <v>400</v>
      </c>
      <c r="M17296">
        <v>1</v>
      </c>
      <c r="N17296">
        <v>4.02429E-177</v>
      </c>
      <c r="O17296">
        <v>1595</v>
      </c>
    </row>
    <row r="17297" spans="1:15" x14ac:dyDescent="0.25">
      <c r="A17297" t="s">
        <v>17310</v>
      </c>
      <c r="B17297">
        <v>1455</v>
      </c>
      <c r="C17297" s="1" t="str">
        <f>HYPERLINK("http://www.rosaceae.org/gb/gbrowse/malus_x_domestica/?name=MDP0000911385","MDP0000911385")</f>
        <v>MDP0000911385</v>
      </c>
      <c r="D17297">
        <v>62.09</v>
      </c>
      <c r="E17297">
        <v>620</v>
      </c>
      <c r="F17297">
        <v>235</v>
      </c>
      <c r="G17297">
        <v>23</v>
      </c>
      <c r="H17297">
        <v>31</v>
      </c>
      <c r="I17297">
        <v>649</v>
      </c>
      <c r="J17297">
        <v>1</v>
      </c>
      <c r="K17297">
        <v>76</v>
      </c>
      <c r="L17297">
        <v>673</v>
      </c>
      <c r="M17297">
        <v>1</v>
      </c>
      <c r="N17297">
        <v>0</v>
      </c>
      <c r="O17297">
        <v>1993</v>
      </c>
    </row>
    <row r="17298" spans="1:15" x14ac:dyDescent="0.25">
      <c r="A17298" t="s">
        <v>17311</v>
      </c>
      <c r="B17298">
        <v>523</v>
      </c>
      <c r="C17298" s="1" t="str">
        <f>HYPERLINK("http://www.rosaceae.org/gb/gbrowse/malus_x_domestica/?name=MDP0000266049","MDP0000266049")</f>
        <v>MDP0000266049</v>
      </c>
      <c r="D17298">
        <v>54.04</v>
      </c>
      <c r="E17298">
        <v>531</v>
      </c>
      <c r="F17298">
        <v>244</v>
      </c>
      <c r="G17298">
        <v>18</v>
      </c>
      <c r="H17298">
        <v>4</v>
      </c>
      <c r="I17298">
        <v>523</v>
      </c>
      <c r="J17298">
        <v>1</v>
      </c>
      <c r="K17298">
        <v>10</v>
      </c>
      <c r="L17298">
        <v>533</v>
      </c>
      <c r="M17298">
        <v>1</v>
      </c>
      <c r="N17298">
        <v>5.6846099999999996E-125</v>
      </c>
      <c r="O17298">
        <v>1144</v>
      </c>
    </row>
    <row r="17299" spans="1:15" x14ac:dyDescent="0.25">
      <c r="A17299" t="s">
        <v>17312</v>
      </c>
      <c r="B17299">
        <v>353</v>
      </c>
      <c r="C17299" s="1" t="str">
        <f>HYPERLINK("http://www.rosaceae.org/gb/gbrowse/malus_x_domestica/?name=MDP0000144888","MDP0000144888")</f>
        <v>MDP0000144888</v>
      </c>
      <c r="D17299">
        <v>51.59</v>
      </c>
      <c r="E17299">
        <v>283</v>
      </c>
      <c r="F17299">
        <v>137</v>
      </c>
      <c r="G17299">
        <v>21</v>
      </c>
      <c r="H17299">
        <v>26</v>
      </c>
      <c r="I17299">
        <v>303</v>
      </c>
      <c r="J17299">
        <v>1</v>
      </c>
      <c r="K17299">
        <v>49</v>
      </c>
      <c r="L17299">
        <v>315</v>
      </c>
      <c r="M17299">
        <v>1</v>
      </c>
      <c r="N17299">
        <v>3.1041500000000003E-70</v>
      </c>
      <c r="O17299">
        <v>671</v>
      </c>
    </row>
    <row r="17300" spans="1:15" x14ac:dyDescent="0.25">
      <c r="A17300" t="s">
        <v>17313</v>
      </c>
      <c r="B17300">
        <v>315</v>
      </c>
      <c r="C17300" s="1" t="str">
        <f>HYPERLINK("http://www.rosaceae.org/gb/gbrowse/malus_x_domestica/?name=MDP0000209189","MDP0000209189")</f>
        <v>MDP0000209189</v>
      </c>
      <c r="D17300">
        <v>82.29</v>
      </c>
      <c r="E17300">
        <v>322</v>
      </c>
      <c r="F17300">
        <v>57</v>
      </c>
      <c r="G17300">
        <v>9</v>
      </c>
      <c r="H17300">
        <v>3</v>
      </c>
      <c r="I17300">
        <v>315</v>
      </c>
      <c r="J17300">
        <v>1</v>
      </c>
      <c r="K17300">
        <v>10</v>
      </c>
      <c r="L17300">
        <v>331</v>
      </c>
      <c r="M17300">
        <v>1</v>
      </c>
      <c r="N17300">
        <v>8.6109000000000004E-153</v>
      </c>
      <c r="O17300">
        <v>1382</v>
      </c>
    </row>
    <row r="17301" spans="1:15" x14ac:dyDescent="0.25">
      <c r="A17301" t="s">
        <v>17314</v>
      </c>
      <c r="B17301">
        <v>314</v>
      </c>
      <c r="C17301" s="1" t="str">
        <f>HYPERLINK("http://www.rosaceae.org/gb/gbrowse/malus_x_domestica/?name=MDP0000469508","MDP0000469508")</f>
        <v>MDP0000469508</v>
      </c>
      <c r="D17301">
        <v>44.29</v>
      </c>
      <c r="E17301">
        <v>149</v>
      </c>
      <c r="F17301">
        <v>83</v>
      </c>
      <c r="G17301">
        <v>0</v>
      </c>
      <c r="H17301">
        <v>150</v>
      </c>
      <c r="I17301">
        <v>298</v>
      </c>
      <c r="J17301">
        <v>1</v>
      </c>
      <c r="K17301">
        <v>15</v>
      </c>
      <c r="L17301">
        <v>163</v>
      </c>
      <c r="M17301">
        <v>1</v>
      </c>
      <c r="N17301">
        <v>1.34948E-25</v>
      </c>
      <c r="O17301">
        <v>285</v>
      </c>
    </row>
    <row r="17302" spans="1:15" x14ac:dyDescent="0.25">
      <c r="A17302" t="s">
        <v>17315</v>
      </c>
      <c r="B17302">
        <v>453</v>
      </c>
      <c r="C17302" s="1" t="str">
        <f>HYPERLINK("http://www.rosaceae.org/gb/gbrowse/malus_x_domestica/?name=MDP0000118848","MDP0000118848")</f>
        <v>MDP0000118848</v>
      </c>
      <c r="D17302">
        <v>61.46</v>
      </c>
      <c r="E17302">
        <v>218</v>
      </c>
      <c r="F17302">
        <v>84</v>
      </c>
      <c r="G17302">
        <v>12</v>
      </c>
      <c r="H17302">
        <v>78</v>
      </c>
      <c r="I17302">
        <v>291</v>
      </c>
      <c r="J17302">
        <v>1</v>
      </c>
      <c r="K17302">
        <v>4</v>
      </c>
      <c r="L17302">
        <v>213</v>
      </c>
      <c r="M17302">
        <v>1</v>
      </c>
      <c r="N17302">
        <v>3.5879700000000001E-62</v>
      </c>
      <c r="O17302">
        <v>602</v>
      </c>
    </row>
    <row r="17303" spans="1:15" x14ac:dyDescent="0.25">
      <c r="A17303" t="s">
        <v>17316</v>
      </c>
      <c r="B17303">
        <v>195</v>
      </c>
      <c r="C17303" s="1" t="str">
        <f>HYPERLINK("http://www.rosaceae.org/gb/gbrowse/malus_x_domestica/?name=MDP0000771803","MDP0000771803")</f>
        <v>MDP0000771803</v>
      </c>
      <c r="D17303">
        <v>80.33</v>
      </c>
      <c r="E17303">
        <v>178</v>
      </c>
      <c r="F17303">
        <v>35</v>
      </c>
      <c r="G17303">
        <v>3</v>
      </c>
      <c r="H17303">
        <v>20</v>
      </c>
      <c r="I17303">
        <v>194</v>
      </c>
      <c r="J17303">
        <v>1</v>
      </c>
      <c r="K17303">
        <v>45</v>
      </c>
      <c r="L17303">
        <v>222</v>
      </c>
      <c r="M17303">
        <v>1</v>
      </c>
      <c r="N17303">
        <v>1.03547E-77</v>
      </c>
      <c r="O17303">
        <v>732</v>
      </c>
    </row>
    <row r="17304" spans="1:15" x14ac:dyDescent="0.25">
      <c r="A17304" t="s">
        <v>17317</v>
      </c>
      <c r="B17304">
        <v>1449</v>
      </c>
      <c r="C17304" s="1" t="str">
        <f>HYPERLINK("http://www.rosaceae.org/gb/gbrowse/malus_x_domestica/?name=MDP0000220181","MDP0000220181")</f>
        <v>MDP0000220181</v>
      </c>
      <c r="D17304">
        <v>74.63</v>
      </c>
      <c r="E17304">
        <v>966</v>
      </c>
      <c r="F17304">
        <v>245</v>
      </c>
      <c r="G17304">
        <v>48</v>
      </c>
      <c r="H17304">
        <v>526</v>
      </c>
      <c r="I17304">
        <v>1449</v>
      </c>
      <c r="J17304">
        <v>1</v>
      </c>
      <c r="K17304">
        <v>1</v>
      </c>
      <c r="L17304">
        <v>960</v>
      </c>
      <c r="M17304">
        <v>1</v>
      </c>
      <c r="N17304">
        <v>0</v>
      </c>
      <c r="O17304">
        <v>3702</v>
      </c>
    </row>
    <row r="17305" spans="1:15" x14ac:dyDescent="0.25">
      <c r="A17305" t="s">
        <v>17318</v>
      </c>
      <c r="B17305">
        <v>294</v>
      </c>
      <c r="C17305" s="1" t="str">
        <f>HYPERLINK("http://www.rosaceae.org/gb/gbrowse/malus_x_domestica/?name=MDP0000206212","MDP0000206212")</f>
        <v>MDP0000206212</v>
      </c>
      <c r="D17305">
        <v>55.06</v>
      </c>
      <c r="E17305">
        <v>296</v>
      </c>
      <c r="F17305">
        <v>133</v>
      </c>
      <c r="G17305">
        <v>28</v>
      </c>
      <c r="H17305">
        <v>1</v>
      </c>
      <c r="I17305">
        <v>289</v>
      </c>
      <c r="J17305">
        <v>1</v>
      </c>
      <c r="K17305">
        <v>1</v>
      </c>
      <c r="L17305">
        <v>275</v>
      </c>
      <c r="M17305">
        <v>1</v>
      </c>
      <c r="N17305">
        <v>1.5331399999999999E-76</v>
      </c>
      <c r="O17305">
        <v>724</v>
      </c>
    </row>
    <row r="17306" spans="1:15" x14ac:dyDescent="0.25">
      <c r="A17306" t="s">
        <v>17319</v>
      </c>
      <c r="B17306">
        <v>444</v>
      </c>
      <c r="C17306" s="1" t="str">
        <f>HYPERLINK("http://www.rosaceae.org/gb/gbrowse/malus_x_domestica/?name=MDP0000249643","MDP0000249643")</f>
        <v>MDP0000249643</v>
      </c>
      <c r="D17306">
        <v>76.3</v>
      </c>
      <c r="E17306">
        <v>439</v>
      </c>
      <c r="F17306">
        <v>104</v>
      </c>
      <c r="G17306">
        <v>2</v>
      </c>
      <c r="H17306">
        <v>1</v>
      </c>
      <c r="I17306">
        <v>437</v>
      </c>
      <c r="J17306">
        <v>1</v>
      </c>
      <c r="K17306">
        <v>10</v>
      </c>
      <c r="L17306">
        <v>448</v>
      </c>
      <c r="M17306">
        <v>1</v>
      </c>
      <c r="N17306">
        <v>0</v>
      </c>
      <c r="O17306">
        <v>1716</v>
      </c>
    </row>
    <row r="17307" spans="1:15" x14ac:dyDescent="0.25">
      <c r="A17307" t="s">
        <v>17320</v>
      </c>
      <c r="B17307">
        <v>475</v>
      </c>
      <c r="C17307" s="1" t="str">
        <f>HYPERLINK("http://www.rosaceae.org/gb/gbrowse/malus_x_domestica/?name=MDP0000791571","MDP0000791571")</f>
        <v>MDP0000791571</v>
      </c>
      <c r="D17307">
        <v>78.52</v>
      </c>
      <c r="E17307">
        <v>461</v>
      </c>
      <c r="F17307">
        <v>99</v>
      </c>
      <c r="G17307">
        <v>32</v>
      </c>
      <c r="H17307">
        <v>42</v>
      </c>
      <c r="I17307">
        <v>475</v>
      </c>
      <c r="J17307">
        <v>1</v>
      </c>
      <c r="K17307">
        <v>104</v>
      </c>
      <c r="L17307">
        <v>559</v>
      </c>
      <c r="M17307">
        <v>1</v>
      </c>
      <c r="N17307">
        <v>0</v>
      </c>
      <c r="O17307">
        <v>1857</v>
      </c>
    </row>
    <row r="17308" spans="1:15" x14ac:dyDescent="0.25">
      <c r="A17308" t="s">
        <v>17321</v>
      </c>
      <c r="B17308">
        <v>801</v>
      </c>
      <c r="C17308" s="1" t="str">
        <f>HYPERLINK("http://www.rosaceae.org/gb/gbrowse/malus_x_domestica/?name=MDP0000265671","MDP0000265671")</f>
        <v>MDP0000265671</v>
      </c>
      <c r="D17308">
        <v>82.02</v>
      </c>
      <c r="E17308">
        <v>534</v>
      </c>
      <c r="F17308">
        <v>96</v>
      </c>
      <c r="G17308">
        <v>22</v>
      </c>
      <c r="H17308">
        <v>29</v>
      </c>
      <c r="I17308">
        <v>561</v>
      </c>
      <c r="J17308">
        <v>1</v>
      </c>
      <c r="K17308">
        <v>30</v>
      </c>
      <c r="L17308">
        <v>542</v>
      </c>
      <c r="M17308">
        <v>1</v>
      </c>
      <c r="N17308">
        <v>0</v>
      </c>
      <c r="O17308">
        <v>2353</v>
      </c>
    </row>
    <row r="17309" spans="1:15" x14ac:dyDescent="0.25">
      <c r="A17309" t="s">
        <v>17322</v>
      </c>
      <c r="B17309">
        <v>379</v>
      </c>
      <c r="C17309" s="1" t="str">
        <f>HYPERLINK("http://www.rosaceae.org/gb/gbrowse/malus_x_domestica/?name=MDP0000284409","MDP0000284409")</f>
        <v>MDP0000284409</v>
      </c>
      <c r="D17309">
        <v>38.020000000000003</v>
      </c>
      <c r="E17309">
        <v>71</v>
      </c>
      <c r="F17309">
        <v>44</v>
      </c>
      <c r="G17309">
        <v>1</v>
      </c>
      <c r="H17309">
        <v>1</v>
      </c>
      <c r="I17309">
        <v>71</v>
      </c>
      <c r="J17309">
        <v>1</v>
      </c>
      <c r="K17309">
        <v>1</v>
      </c>
      <c r="L17309">
        <v>70</v>
      </c>
      <c r="M17309">
        <v>1</v>
      </c>
      <c r="N17309">
        <v>1.4674700000000001E-7</v>
      </c>
      <c r="O17309">
        <v>130</v>
      </c>
    </row>
    <row r="17310" spans="1:15" x14ac:dyDescent="0.25">
      <c r="A17310" t="s">
        <v>17323</v>
      </c>
      <c r="B17310">
        <v>178</v>
      </c>
      <c r="C17310" s="1" t="str">
        <f>HYPERLINK("http://www.rosaceae.org/gb/gbrowse/malus_x_domestica/?name=MDP0000430706","MDP0000430706")</f>
        <v>MDP0000430706</v>
      </c>
      <c r="D17310">
        <v>49.36</v>
      </c>
      <c r="E17310">
        <v>158</v>
      </c>
      <c r="F17310">
        <v>80</v>
      </c>
      <c r="G17310">
        <v>24</v>
      </c>
      <c r="H17310">
        <v>21</v>
      </c>
      <c r="I17310">
        <v>172</v>
      </c>
      <c r="J17310">
        <v>1</v>
      </c>
      <c r="K17310">
        <v>13</v>
      </c>
      <c r="L17310">
        <v>152</v>
      </c>
      <c r="M17310">
        <v>1</v>
      </c>
      <c r="N17310">
        <v>2.1862699999999999E-27</v>
      </c>
      <c r="O17310">
        <v>297</v>
      </c>
    </row>
    <row r="17311" spans="1:15" x14ac:dyDescent="0.25">
      <c r="A17311" t="s">
        <v>17324</v>
      </c>
      <c r="B17311">
        <v>833</v>
      </c>
      <c r="C17311" s="1" t="str">
        <f>HYPERLINK("http://www.rosaceae.org/gb/gbrowse/malus_x_domestica/?name=MDP0000328601","MDP0000328601")</f>
        <v>MDP0000328601</v>
      </c>
      <c r="D17311">
        <v>73.34</v>
      </c>
      <c r="E17311">
        <v>893</v>
      </c>
      <c r="F17311">
        <v>238</v>
      </c>
      <c r="G17311">
        <v>60</v>
      </c>
      <c r="H17311">
        <v>1</v>
      </c>
      <c r="I17311">
        <v>833</v>
      </c>
      <c r="J17311">
        <v>1</v>
      </c>
      <c r="K17311">
        <v>1</v>
      </c>
      <c r="L17311">
        <v>893</v>
      </c>
      <c r="M17311">
        <v>1</v>
      </c>
      <c r="N17311">
        <v>0</v>
      </c>
      <c r="O17311">
        <v>3293</v>
      </c>
    </row>
    <row r="17312" spans="1:15" x14ac:dyDescent="0.25">
      <c r="A17312" t="s">
        <v>17325</v>
      </c>
      <c r="B17312">
        <v>165</v>
      </c>
      <c r="C17312" s="1" t="str">
        <f>HYPERLINK("http://www.rosaceae.org/gb/gbrowse/malus_x_domestica/?name=MDP0000252012","MDP0000252012")</f>
        <v>MDP0000252012</v>
      </c>
      <c r="D17312">
        <v>52.47</v>
      </c>
      <c r="E17312">
        <v>202</v>
      </c>
      <c r="F17312">
        <v>96</v>
      </c>
      <c r="G17312">
        <v>57</v>
      </c>
      <c r="H17312">
        <v>1</v>
      </c>
      <c r="I17312">
        <v>165</v>
      </c>
      <c r="J17312">
        <v>1</v>
      </c>
      <c r="K17312">
        <v>1</v>
      </c>
      <c r="L17312">
        <v>182</v>
      </c>
      <c r="M17312">
        <v>1</v>
      </c>
      <c r="N17312">
        <v>3.16799E-49</v>
      </c>
      <c r="O17312">
        <v>485</v>
      </c>
    </row>
    <row r="17313" spans="1:15" x14ac:dyDescent="0.25">
      <c r="A17313" t="s">
        <v>17326</v>
      </c>
      <c r="B17313">
        <v>239</v>
      </c>
      <c r="C17313" s="1" t="str">
        <f>HYPERLINK("http://www.rosaceae.org/gb/gbrowse/malus_x_domestica/?name=MDP0000241055","MDP0000241055")</f>
        <v>MDP0000241055</v>
      </c>
      <c r="D17313">
        <v>74.58</v>
      </c>
      <c r="E17313">
        <v>240</v>
      </c>
      <c r="F17313">
        <v>61</v>
      </c>
      <c r="G17313">
        <v>1</v>
      </c>
      <c r="H17313">
        <v>1</v>
      </c>
      <c r="I17313">
        <v>239</v>
      </c>
      <c r="J17313">
        <v>1</v>
      </c>
      <c r="K17313">
        <v>1</v>
      </c>
      <c r="L17313">
        <v>240</v>
      </c>
      <c r="M17313">
        <v>1</v>
      </c>
      <c r="N17313">
        <v>2.2194100000000001E-102</v>
      </c>
      <c r="O17313">
        <v>946</v>
      </c>
    </row>
    <row r="17314" spans="1:15" x14ac:dyDescent="0.25">
      <c r="A17314" t="s">
        <v>17327</v>
      </c>
      <c r="B17314">
        <v>237</v>
      </c>
      <c r="C17314" s="1" t="str">
        <f>HYPERLINK("http://www.rosaceae.org/gb/gbrowse/malus_x_domestica/?name=MDP0000136794","MDP0000136794")</f>
        <v>MDP0000136794</v>
      </c>
      <c r="D17314">
        <v>44.63</v>
      </c>
      <c r="E17314">
        <v>177</v>
      </c>
      <c r="F17314">
        <v>98</v>
      </c>
      <c r="G17314">
        <v>10</v>
      </c>
      <c r="H17314">
        <v>1</v>
      </c>
      <c r="I17314">
        <v>177</v>
      </c>
      <c r="J17314">
        <v>1</v>
      </c>
      <c r="K17314">
        <v>1</v>
      </c>
      <c r="L17314">
        <v>167</v>
      </c>
      <c r="M17314">
        <v>1</v>
      </c>
      <c r="N17314">
        <v>6.3764899999999997E-38</v>
      </c>
      <c r="O17314">
        <v>390</v>
      </c>
    </row>
    <row r="17315" spans="1:15" x14ac:dyDescent="0.25">
      <c r="A17315" t="s">
        <v>17328</v>
      </c>
      <c r="B17315">
        <v>538</v>
      </c>
      <c r="C17315" s="1" t="str">
        <f>HYPERLINK("http://www.rosaceae.org/gb/gbrowse/malus_x_domestica/?name=MDP0000266451","MDP0000266451")</f>
        <v>MDP0000266451</v>
      </c>
      <c r="D17315">
        <v>57.25</v>
      </c>
      <c r="E17315">
        <v>517</v>
      </c>
      <c r="F17315">
        <v>221</v>
      </c>
      <c r="G17315">
        <v>44</v>
      </c>
      <c r="H17315">
        <v>46</v>
      </c>
      <c r="I17315">
        <v>523</v>
      </c>
      <c r="J17315">
        <v>1</v>
      </c>
      <c r="K17315">
        <v>42</v>
      </c>
      <c r="L17315">
        <v>553</v>
      </c>
      <c r="M17315">
        <v>1</v>
      </c>
      <c r="N17315">
        <v>3.62907E-155</v>
      </c>
      <c r="O17315">
        <v>1405</v>
      </c>
    </row>
    <row r="17316" spans="1:15" x14ac:dyDescent="0.25">
      <c r="A17316" t="s">
        <v>17329</v>
      </c>
      <c r="B17316">
        <v>176</v>
      </c>
      <c r="C17316" s="1" t="str">
        <f>HYPERLINK("http://www.rosaceae.org/gb/gbrowse/malus_x_domestica/?name=MDP0000177939","MDP0000177939")</f>
        <v>MDP0000177939</v>
      </c>
      <c r="D17316">
        <v>62.73</v>
      </c>
      <c r="E17316">
        <v>161</v>
      </c>
      <c r="F17316">
        <v>60</v>
      </c>
      <c r="G17316">
        <v>5</v>
      </c>
      <c r="H17316">
        <v>1</v>
      </c>
      <c r="I17316">
        <v>161</v>
      </c>
      <c r="J17316">
        <v>1</v>
      </c>
      <c r="K17316">
        <v>1</v>
      </c>
      <c r="L17316">
        <v>156</v>
      </c>
      <c r="M17316">
        <v>1</v>
      </c>
      <c r="N17316">
        <v>9.5791100000000004E-54</v>
      </c>
      <c r="O17316">
        <v>524</v>
      </c>
    </row>
    <row r="17317" spans="1:15" x14ac:dyDescent="0.25">
      <c r="A17317" t="s">
        <v>17330</v>
      </c>
      <c r="B17317">
        <v>342</v>
      </c>
      <c r="C17317" s="1" t="str">
        <f>HYPERLINK("http://www.rosaceae.org/gb/gbrowse/malus_x_domestica/?name=MDP0000924612","MDP0000924612")</f>
        <v>MDP0000924612</v>
      </c>
      <c r="D17317">
        <v>88.88</v>
      </c>
      <c r="E17317">
        <v>342</v>
      </c>
      <c r="F17317">
        <v>38</v>
      </c>
      <c r="G17317">
        <v>0</v>
      </c>
      <c r="H17317">
        <v>1</v>
      </c>
      <c r="I17317">
        <v>342</v>
      </c>
      <c r="J17317">
        <v>1</v>
      </c>
      <c r="K17317">
        <v>1</v>
      </c>
      <c r="L17317">
        <v>342</v>
      </c>
      <c r="M17317">
        <v>1</v>
      </c>
      <c r="N17317">
        <v>0</v>
      </c>
      <c r="O17317">
        <v>1655</v>
      </c>
    </row>
    <row r="17318" spans="1:15" x14ac:dyDescent="0.25">
      <c r="A17318" t="s">
        <v>17331</v>
      </c>
      <c r="B17318">
        <v>235</v>
      </c>
      <c r="C17318" s="1" t="str">
        <f>HYPERLINK("http://www.rosaceae.org/gb/gbrowse/malus_x_domestica/?name=MDP0000155474","MDP0000155474")</f>
        <v>MDP0000155474</v>
      </c>
      <c r="D17318">
        <v>67.239999999999995</v>
      </c>
      <c r="E17318">
        <v>287</v>
      </c>
      <c r="F17318">
        <v>94</v>
      </c>
      <c r="G17318">
        <v>61</v>
      </c>
      <c r="H17318">
        <v>1</v>
      </c>
      <c r="I17318">
        <v>235</v>
      </c>
      <c r="J17318">
        <v>1</v>
      </c>
      <c r="K17318">
        <v>82</v>
      </c>
      <c r="L17318">
        <v>359</v>
      </c>
      <c r="M17318">
        <v>1</v>
      </c>
      <c r="N17318">
        <v>4.0267300000000002E-105</v>
      </c>
      <c r="O17318">
        <v>969</v>
      </c>
    </row>
    <row r="17319" spans="1:15" x14ac:dyDescent="0.25">
      <c r="A17319" t="s">
        <v>17332</v>
      </c>
      <c r="B17319">
        <v>447</v>
      </c>
      <c r="C17319" s="1" t="str">
        <f>HYPERLINK("http://www.rosaceae.org/gb/gbrowse/malus_x_domestica/?name=MDP0000179399","MDP0000179399")</f>
        <v>MDP0000179399</v>
      </c>
      <c r="D17319">
        <v>41.43</v>
      </c>
      <c r="E17319">
        <v>461</v>
      </c>
      <c r="F17319">
        <v>270</v>
      </c>
      <c r="G17319">
        <v>126</v>
      </c>
      <c r="H17319">
        <v>1</v>
      </c>
      <c r="I17319">
        <v>344</v>
      </c>
      <c r="J17319">
        <v>1</v>
      </c>
      <c r="K17319">
        <v>70</v>
      </c>
      <c r="L17319">
        <v>521</v>
      </c>
      <c r="M17319">
        <v>1</v>
      </c>
      <c r="N17319">
        <v>1.8279400000000002E-83</v>
      </c>
      <c r="O17319">
        <v>786</v>
      </c>
    </row>
    <row r="17320" spans="1:15" x14ac:dyDescent="0.25">
      <c r="A17320" t="s">
        <v>17333</v>
      </c>
      <c r="B17320">
        <v>724</v>
      </c>
      <c r="C17320" s="1" t="str">
        <f>HYPERLINK("http://www.rosaceae.org/gb/gbrowse/malus_x_domestica/?name=MDP0000444438","MDP0000444438")</f>
        <v>MDP0000444438</v>
      </c>
      <c r="D17320">
        <v>47.55</v>
      </c>
      <c r="E17320">
        <v>776</v>
      </c>
      <c r="F17320">
        <v>407</v>
      </c>
      <c r="G17320">
        <v>65</v>
      </c>
      <c r="H17320">
        <v>8</v>
      </c>
      <c r="I17320">
        <v>720</v>
      </c>
      <c r="J17320">
        <v>1</v>
      </c>
      <c r="K17320">
        <v>16</v>
      </c>
      <c r="L17320">
        <v>789</v>
      </c>
      <c r="M17320">
        <v>1</v>
      </c>
      <c r="N17320">
        <v>0</v>
      </c>
      <c r="O17320">
        <v>1796</v>
      </c>
    </row>
    <row r="17321" spans="1:15" x14ac:dyDescent="0.25">
      <c r="A17321" t="s">
        <v>17334</v>
      </c>
      <c r="B17321">
        <v>259</v>
      </c>
      <c r="C17321" s="1" t="str">
        <f>HYPERLINK("http://www.rosaceae.org/gb/gbrowse/malus_x_domestica/?name=MDP0000640601","MDP0000640601")</f>
        <v>MDP0000640601</v>
      </c>
      <c r="D17321">
        <v>63.58</v>
      </c>
      <c r="E17321">
        <v>162</v>
      </c>
      <c r="F17321">
        <v>59</v>
      </c>
      <c r="G17321">
        <v>6</v>
      </c>
      <c r="H17321">
        <v>90</v>
      </c>
      <c r="I17321">
        <v>250</v>
      </c>
      <c r="J17321">
        <v>1</v>
      </c>
      <c r="K17321">
        <v>188</v>
      </c>
      <c r="L17321">
        <v>344</v>
      </c>
      <c r="M17321">
        <v>1</v>
      </c>
      <c r="N17321">
        <v>2.5938900000000001E-51</v>
      </c>
      <c r="O17321">
        <v>506</v>
      </c>
    </row>
    <row r="17322" spans="1:15" x14ac:dyDescent="0.25">
      <c r="A17322" t="s">
        <v>17335</v>
      </c>
      <c r="B17322">
        <v>418</v>
      </c>
      <c r="C17322" s="1" t="str">
        <f>HYPERLINK("http://www.rosaceae.org/gb/gbrowse/malus_x_domestica/?name=MDP0000299240","MDP0000299240")</f>
        <v>MDP0000299240</v>
      </c>
      <c r="D17322">
        <v>45.92</v>
      </c>
      <c r="E17322">
        <v>307</v>
      </c>
      <c r="F17322">
        <v>166</v>
      </c>
      <c r="G17322">
        <v>28</v>
      </c>
      <c r="H17322">
        <v>1</v>
      </c>
      <c r="I17322">
        <v>280</v>
      </c>
      <c r="J17322">
        <v>1</v>
      </c>
      <c r="K17322">
        <v>1</v>
      </c>
      <c r="L17322">
        <v>306</v>
      </c>
      <c r="M17322">
        <v>1</v>
      </c>
      <c r="N17322">
        <v>1.81357E-57</v>
      </c>
      <c r="O17322">
        <v>561</v>
      </c>
    </row>
    <row r="17323" spans="1:15" x14ac:dyDescent="0.25">
      <c r="A17323" t="s">
        <v>17336</v>
      </c>
      <c r="B17323">
        <v>142</v>
      </c>
      <c r="C17323" s="1" t="str">
        <f>HYPERLINK("http://www.rosaceae.org/gb/gbrowse/malus_x_domestica/?name=MDP0000411286","MDP0000411286")</f>
        <v>MDP0000411286</v>
      </c>
      <c r="D17323">
        <v>46.77</v>
      </c>
      <c r="E17323">
        <v>62</v>
      </c>
      <c r="F17323">
        <v>33</v>
      </c>
      <c r="G17323">
        <v>1</v>
      </c>
      <c r="H17323">
        <v>71</v>
      </c>
      <c r="I17323">
        <v>131</v>
      </c>
      <c r="J17323">
        <v>1</v>
      </c>
      <c r="K17323">
        <v>36</v>
      </c>
      <c r="L17323">
        <v>97</v>
      </c>
      <c r="M17323">
        <v>1</v>
      </c>
      <c r="N17323">
        <v>8.6648900000000004E-11</v>
      </c>
      <c r="O17323">
        <v>152</v>
      </c>
    </row>
    <row r="17324" spans="1:15" x14ac:dyDescent="0.25">
      <c r="A17324" t="s">
        <v>17337</v>
      </c>
      <c r="B17324">
        <v>595</v>
      </c>
      <c r="C17324" s="1" t="str">
        <f>HYPERLINK("http://www.rosaceae.org/gb/gbrowse/malus_x_domestica/?name=MDP0000125644","MDP0000125644")</f>
        <v>MDP0000125644</v>
      </c>
      <c r="D17324">
        <v>31.88</v>
      </c>
      <c r="E17324">
        <v>276</v>
      </c>
      <c r="F17324">
        <v>188</v>
      </c>
      <c r="G17324">
        <v>57</v>
      </c>
      <c r="H17324">
        <v>87</v>
      </c>
      <c r="I17324">
        <v>349</v>
      </c>
      <c r="J17324">
        <v>1</v>
      </c>
      <c r="K17324">
        <v>2</v>
      </c>
      <c r="L17324">
        <v>233</v>
      </c>
      <c r="M17324">
        <v>1</v>
      </c>
      <c r="N17324">
        <v>3.2265300000000001E-20</v>
      </c>
      <c r="O17324">
        <v>242</v>
      </c>
    </row>
    <row r="17325" spans="1:15" x14ac:dyDescent="0.25">
      <c r="A17325" t="s">
        <v>17338</v>
      </c>
      <c r="B17325">
        <v>506</v>
      </c>
      <c r="C17325" s="1" t="str">
        <f>HYPERLINK("http://www.rosaceae.org/gb/gbrowse/malus_x_domestica/?name=MDP0000216583","MDP0000216583")</f>
        <v>MDP0000216583</v>
      </c>
      <c r="D17325">
        <v>46.09</v>
      </c>
      <c r="E17325">
        <v>384</v>
      </c>
      <c r="F17325">
        <v>207</v>
      </c>
      <c r="G17325">
        <v>32</v>
      </c>
      <c r="H17325">
        <v>13</v>
      </c>
      <c r="I17325">
        <v>392</v>
      </c>
      <c r="J17325">
        <v>1</v>
      </c>
      <c r="K17325">
        <v>20</v>
      </c>
      <c r="L17325">
        <v>375</v>
      </c>
      <c r="M17325">
        <v>1</v>
      </c>
      <c r="N17325">
        <v>5.9969999999999998E-84</v>
      </c>
      <c r="O17325">
        <v>790</v>
      </c>
    </row>
    <row r="17326" spans="1:15" x14ac:dyDescent="0.25">
      <c r="A17326" t="s">
        <v>17339</v>
      </c>
      <c r="B17326">
        <v>108</v>
      </c>
      <c r="C17326" s="1" t="str">
        <f>HYPERLINK("http://www.rosaceae.org/gb/gbrowse/malus_x_domestica/?name=MDP0000239495","MDP0000239495")</f>
        <v>MDP0000239495</v>
      </c>
      <c r="D17326">
        <v>60.18</v>
      </c>
      <c r="E17326">
        <v>108</v>
      </c>
      <c r="F17326">
        <v>43</v>
      </c>
      <c r="G17326">
        <v>17</v>
      </c>
      <c r="H17326">
        <v>1</v>
      </c>
      <c r="I17326">
        <v>91</v>
      </c>
      <c r="J17326">
        <v>1</v>
      </c>
      <c r="K17326">
        <v>725</v>
      </c>
      <c r="L17326">
        <v>832</v>
      </c>
      <c r="M17326">
        <v>1</v>
      </c>
      <c r="N17326">
        <v>5.0421299999999998E-31</v>
      </c>
      <c r="O17326">
        <v>325</v>
      </c>
    </row>
    <row r="17327" spans="1:15" x14ac:dyDescent="0.25">
      <c r="A17327" t="s">
        <v>17340</v>
      </c>
      <c r="B17327">
        <v>255</v>
      </c>
      <c r="C17327" s="1" t="str">
        <f>HYPERLINK("http://www.rosaceae.org/gb/gbrowse/malus_x_domestica/?name=MDP0000467244","MDP0000467244")</f>
        <v>MDP0000467244</v>
      </c>
      <c r="D17327">
        <v>42.77</v>
      </c>
      <c r="E17327">
        <v>166</v>
      </c>
      <c r="F17327">
        <v>95</v>
      </c>
      <c r="G17327">
        <v>20</v>
      </c>
      <c r="H17327">
        <v>69</v>
      </c>
      <c r="I17327">
        <v>222</v>
      </c>
      <c r="J17327">
        <v>1</v>
      </c>
      <c r="K17327">
        <v>93</v>
      </c>
      <c r="L17327">
        <v>250</v>
      </c>
      <c r="M17327">
        <v>1</v>
      </c>
      <c r="N17327">
        <v>2.50302E-28</v>
      </c>
      <c r="O17327">
        <v>307</v>
      </c>
    </row>
    <row r="17328" spans="1:15" x14ac:dyDescent="0.25">
      <c r="A17328" t="s">
        <v>17341</v>
      </c>
      <c r="B17328">
        <v>725</v>
      </c>
      <c r="C17328" s="1" t="str">
        <f>HYPERLINK("http://www.rosaceae.org/gb/gbrowse/malus_x_domestica/?name=MDP0000250591","MDP0000250591")</f>
        <v>MDP0000250591</v>
      </c>
      <c r="D17328">
        <v>75.89</v>
      </c>
      <c r="E17328">
        <v>726</v>
      </c>
      <c r="F17328">
        <v>175</v>
      </c>
      <c r="G17328">
        <v>9</v>
      </c>
      <c r="H17328">
        <v>1</v>
      </c>
      <c r="I17328">
        <v>722</v>
      </c>
      <c r="J17328">
        <v>1</v>
      </c>
      <c r="K17328">
        <v>1</v>
      </c>
      <c r="L17328">
        <v>721</v>
      </c>
      <c r="M17328">
        <v>1</v>
      </c>
      <c r="N17328">
        <v>0</v>
      </c>
      <c r="O17328">
        <v>2830</v>
      </c>
    </row>
    <row r="17329" spans="1:15" x14ac:dyDescent="0.25">
      <c r="A17329" t="s">
        <v>17342</v>
      </c>
      <c r="B17329">
        <v>233</v>
      </c>
      <c r="C17329" s="1" t="str">
        <f>HYPERLINK("http://www.rosaceae.org/gb/gbrowse/malus_x_domestica/?name=MDP0000208621","MDP0000208621")</f>
        <v>MDP0000208621</v>
      </c>
      <c r="D17329">
        <v>67.38</v>
      </c>
      <c r="E17329">
        <v>233</v>
      </c>
      <c r="F17329">
        <v>76</v>
      </c>
      <c r="G17329">
        <v>1</v>
      </c>
      <c r="H17329">
        <v>1</v>
      </c>
      <c r="I17329">
        <v>233</v>
      </c>
      <c r="J17329">
        <v>1</v>
      </c>
      <c r="K17329">
        <v>34</v>
      </c>
      <c r="L17329">
        <v>265</v>
      </c>
      <c r="M17329">
        <v>1</v>
      </c>
      <c r="N17329">
        <v>3.40616E-84</v>
      </c>
      <c r="O17329">
        <v>789</v>
      </c>
    </row>
    <row r="17330" spans="1:15" x14ac:dyDescent="0.25">
      <c r="A17330" t="s">
        <v>17343</v>
      </c>
      <c r="B17330">
        <v>393</v>
      </c>
      <c r="C17330" s="1" t="str">
        <f>HYPERLINK("http://www.rosaceae.org/gb/gbrowse/malus_x_domestica/?name=MDP0000939108","MDP0000939108")</f>
        <v>MDP0000939108</v>
      </c>
      <c r="D17330">
        <v>54.2</v>
      </c>
      <c r="E17330">
        <v>214</v>
      </c>
      <c r="F17330">
        <v>98</v>
      </c>
      <c r="G17330">
        <v>75</v>
      </c>
      <c r="H17330">
        <v>82</v>
      </c>
      <c r="I17330">
        <v>220</v>
      </c>
      <c r="J17330">
        <v>1</v>
      </c>
      <c r="K17330">
        <v>124</v>
      </c>
      <c r="L17330">
        <v>337</v>
      </c>
      <c r="M17330">
        <v>1</v>
      </c>
      <c r="N17330">
        <v>1.68376E-50</v>
      </c>
      <c r="O17330">
        <v>501</v>
      </c>
    </row>
    <row r="17331" spans="1:15" x14ac:dyDescent="0.25">
      <c r="A17331" t="s">
        <v>17344</v>
      </c>
      <c r="B17331">
        <v>1586</v>
      </c>
      <c r="C17331" s="1" t="str">
        <f>HYPERLINK("http://www.rosaceae.org/gb/gbrowse/malus_x_domestica/?name=MDP0000312812","MDP0000312812")</f>
        <v>MDP0000312812</v>
      </c>
      <c r="D17331">
        <v>40.68</v>
      </c>
      <c r="E17331">
        <v>1610</v>
      </c>
      <c r="F17331">
        <v>955</v>
      </c>
      <c r="G17331">
        <v>167</v>
      </c>
      <c r="H17331">
        <v>5</v>
      </c>
      <c r="I17331">
        <v>1572</v>
      </c>
      <c r="J17331">
        <v>1</v>
      </c>
      <c r="K17331">
        <v>1</v>
      </c>
      <c r="L17331">
        <v>1485</v>
      </c>
      <c r="M17331">
        <v>1</v>
      </c>
      <c r="N17331">
        <v>0</v>
      </c>
      <c r="O17331">
        <v>2597</v>
      </c>
    </row>
    <row r="17332" spans="1:15" x14ac:dyDescent="0.25">
      <c r="A17332" t="s">
        <v>17345</v>
      </c>
      <c r="B17332">
        <v>179</v>
      </c>
      <c r="C17332" s="1" t="str">
        <f>HYPERLINK("http://www.rosaceae.org/gb/gbrowse/malus_x_domestica/?name=MDP0000320631","MDP0000320631")</f>
        <v>MDP0000320631</v>
      </c>
      <c r="D17332">
        <v>61.25</v>
      </c>
      <c r="E17332">
        <v>80</v>
      </c>
      <c r="F17332">
        <v>31</v>
      </c>
      <c r="G17332">
        <v>3</v>
      </c>
      <c r="H17332">
        <v>1</v>
      </c>
      <c r="I17332">
        <v>80</v>
      </c>
      <c r="J17332">
        <v>1</v>
      </c>
      <c r="K17332">
        <v>394</v>
      </c>
      <c r="L17332">
        <v>470</v>
      </c>
      <c r="M17332">
        <v>1</v>
      </c>
      <c r="N17332">
        <v>1.1766400000000001E-19</v>
      </c>
      <c r="O17332">
        <v>230</v>
      </c>
    </row>
    <row r="17333" spans="1:15" x14ac:dyDescent="0.25">
      <c r="A17333" t="s">
        <v>17346</v>
      </c>
      <c r="B17333">
        <v>467</v>
      </c>
      <c r="C17333" s="1" t="str">
        <f>HYPERLINK("http://www.rosaceae.org/gb/gbrowse/malus_x_domestica/?name=MDP0000496288","MDP0000496288")</f>
        <v>MDP0000496288</v>
      </c>
      <c r="D17333">
        <v>54.9</v>
      </c>
      <c r="E17333">
        <v>428</v>
      </c>
      <c r="F17333">
        <v>193</v>
      </c>
      <c r="G17333">
        <v>28</v>
      </c>
      <c r="H17333">
        <v>59</v>
      </c>
      <c r="I17333">
        <v>461</v>
      </c>
      <c r="J17333">
        <v>1</v>
      </c>
      <c r="K17333">
        <v>78</v>
      </c>
      <c r="L17333">
        <v>502</v>
      </c>
      <c r="M17333">
        <v>1</v>
      </c>
      <c r="N17333">
        <v>1.7574600000000001E-128</v>
      </c>
      <c r="O17333">
        <v>1174</v>
      </c>
    </row>
    <row r="17334" spans="1:15" x14ac:dyDescent="0.25">
      <c r="A17334" t="s">
        <v>17347</v>
      </c>
      <c r="B17334">
        <v>362</v>
      </c>
      <c r="C17334" s="1" t="str">
        <f>HYPERLINK("http://www.rosaceae.org/gb/gbrowse/malus_x_domestica/?name=MDP0000440005","MDP0000440005")</f>
        <v>MDP0000440005</v>
      </c>
      <c r="D17334">
        <v>75.97</v>
      </c>
      <c r="E17334">
        <v>333</v>
      </c>
      <c r="F17334">
        <v>80</v>
      </c>
      <c r="G17334">
        <v>2</v>
      </c>
      <c r="H17334">
        <v>28</v>
      </c>
      <c r="I17334">
        <v>360</v>
      </c>
      <c r="J17334">
        <v>1</v>
      </c>
      <c r="K17334">
        <v>31</v>
      </c>
      <c r="L17334">
        <v>361</v>
      </c>
      <c r="M17334">
        <v>1</v>
      </c>
      <c r="N17334">
        <v>8.8473300000000007E-151</v>
      </c>
      <c r="O17334">
        <v>1365</v>
      </c>
    </row>
    <row r="17335" spans="1:15" x14ac:dyDescent="0.25">
      <c r="A17335" t="s">
        <v>17348</v>
      </c>
      <c r="B17335">
        <v>207</v>
      </c>
      <c r="C17335" s="1" t="str">
        <f>HYPERLINK("http://www.rosaceae.org/gb/gbrowse/malus_x_domestica/?name=MDP0000326576","MDP0000326576")</f>
        <v>MDP0000326576</v>
      </c>
      <c r="D17335">
        <v>72.459999999999994</v>
      </c>
      <c r="E17335">
        <v>207</v>
      </c>
      <c r="F17335">
        <v>57</v>
      </c>
      <c r="G17335">
        <v>3</v>
      </c>
      <c r="H17335">
        <v>4</v>
      </c>
      <c r="I17335">
        <v>207</v>
      </c>
      <c r="J17335">
        <v>1</v>
      </c>
      <c r="K17335">
        <v>2</v>
      </c>
      <c r="L17335">
        <v>208</v>
      </c>
      <c r="M17335">
        <v>1</v>
      </c>
      <c r="N17335">
        <v>1.1754200000000001E-84</v>
      </c>
      <c r="O17335">
        <v>792</v>
      </c>
    </row>
    <row r="17336" spans="1:15" x14ac:dyDescent="0.25">
      <c r="A17336" t="s">
        <v>17349</v>
      </c>
      <c r="B17336">
        <v>479</v>
      </c>
      <c r="C17336" s="1" t="str">
        <f>HYPERLINK("http://www.rosaceae.org/gb/gbrowse/malus_x_domestica/?name=MDP0000226551","MDP0000226551")</f>
        <v>MDP0000226551</v>
      </c>
      <c r="D17336">
        <v>66.099999999999994</v>
      </c>
      <c r="E17336">
        <v>478</v>
      </c>
      <c r="F17336">
        <v>162</v>
      </c>
      <c r="G17336">
        <v>25</v>
      </c>
      <c r="H17336">
        <v>9</v>
      </c>
      <c r="I17336">
        <v>472</v>
      </c>
      <c r="J17336">
        <v>1</v>
      </c>
      <c r="K17336">
        <v>10</v>
      </c>
      <c r="L17336">
        <v>476</v>
      </c>
      <c r="M17336">
        <v>1</v>
      </c>
      <c r="N17336">
        <v>9.5759599999999997E-178</v>
      </c>
      <c r="O17336">
        <v>1599</v>
      </c>
    </row>
    <row r="17337" spans="1:15" x14ac:dyDescent="0.25">
      <c r="A17337" t="s">
        <v>17350</v>
      </c>
      <c r="B17337">
        <v>582</v>
      </c>
      <c r="C17337" s="1" t="str">
        <f>HYPERLINK("http://www.rosaceae.org/gb/gbrowse/malus_x_domestica/?name=MDP0000722117","MDP0000722117")</f>
        <v>MDP0000722117</v>
      </c>
      <c r="D17337">
        <v>84.21</v>
      </c>
      <c r="E17337">
        <v>589</v>
      </c>
      <c r="F17337">
        <v>93</v>
      </c>
      <c r="G17337">
        <v>10</v>
      </c>
      <c r="H17337">
        <v>3</v>
      </c>
      <c r="I17337">
        <v>582</v>
      </c>
      <c r="J17337">
        <v>1</v>
      </c>
      <c r="K17337">
        <v>6</v>
      </c>
      <c r="L17337">
        <v>593</v>
      </c>
      <c r="M17337">
        <v>1</v>
      </c>
      <c r="N17337">
        <v>0</v>
      </c>
      <c r="O17337">
        <v>2675</v>
      </c>
    </row>
    <row r="17338" spans="1:15" x14ac:dyDescent="0.25">
      <c r="A17338" t="s">
        <v>17351</v>
      </c>
      <c r="B17338">
        <v>915</v>
      </c>
      <c r="C17338" s="1" t="str">
        <f>HYPERLINK("http://www.rosaceae.org/gb/gbrowse/malus_x_domestica/?name=MDP0000125173","MDP0000125173")</f>
        <v>MDP0000125173</v>
      </c>
      <c r="D17338">
        <v>73.790000000000006</v>
      </c>
      <c r="E17338">
        <v>893</v>
      </c>
      <c r="F17338">
        <v>234</v>
      </c>
      <c r="G17338">
        <v>63</v>
      </c>
      <c r="H17338">
        <v>19</v>
      </c>
      <c r="I17338">
        <v>864</v>
      </c>
      <c r="J17338">
        <v>1</v>
      </c>
      <c r="K17338">
        <v>30</v>
      </c>
      <c r="L17338">
        <v>906</v>
      </c>
      <c r="M17338">
        <v>1</v>
      </c>
      <c r="N17338">
        <v>0</v>
      </c>
      <c r="O17338">
        <v>3392</v>
      </c>
    </row>
    <row r="17339" spans="1:15" x14ac:dyDescent="0.25">
      <c r="A17339" t="s">
        <v>17352</v>
      </c>
      <c r="B17339">
        <v>332</v>
      </c>
      <c r="C17339" s="1" t="str">
        <f>HYPERLINK("http://www.rosaceae.org/gb/gbrowse/malus_x_domestica/?name=MDP0000196672","MDP0000196672")</f>
        <v>MDP0000196672</v>
      </c>
      <c r="D17339">
        <v>44.78</v>
      </c>
      <c r="E17339">
        <v>297</v>
      </c>
      <c r="F17339">
        <v>164</v>
      </c>
      <c r="G17339">
        <v>54</v>
      </c>
      <c r="H17339">
        <v>28</v>
      </c>
      <c r="I17339">
        <v>277</v>
      </c>
      <c r="J17339">
        <v>1</v>
      </c>
      <c r="K17339">
        <v>37</v>
      </c>
      <c r="L17339">
        <v>326</v>
      </c>
      <c r="M17339">
        <v>1</v>
      </c>
      <c r="N17339">
        <v>9.8708899999999997E-64</v>
      </c>
      <c r="O17339">
        <v>614</v>
      </c>
    </row>
    <row r="17340" spans="1:15" x14ac:dyDescent="0.25">
      <c r="A17340" t="s">
        <v>17353</v>
      </c>
      <c r="B17340">
        <v>215</v>
      </c>
      <c r="C17340" s="1" t="str">
        <f>HYPERLINK("http://www.rosaceae.org/gb/gbrowse/malus_x_domestica/?name=MDP0000926540","MDP0000926540")</f>
        <v>MDP0000926540</v>
      </c>
      <c r="D17340">
        <v>52.75</v>
      </c>
      <c r="E17340">
        <v>218</v>
      </c>
      <c r="F17340">
        <v>103</v>
      </c>
      <c r="G17340">
        <v>3</v>
      </c>
      <c r="H17340">
        <v>1</v>
      </c>
      <c r="I17340">
        <v>215</v>
      </c>
      <c r="J17340">
        <v>1</v>
      </c>
      <c r="K17340">
        <v>1</v>
      </c>
      <c r="L17340">
        <v>218</v>
      </c>
      <c r="M17340">
        <v>1</v>
      </c>
      <c r="N17340">
        <v>7.04045E-56</v>
      </c>
      <c r="O17340">
        <v>544</v>
      </c>
    </row>
    <row r="17341" spans="1:15" x14ac:dyDescent="0.25">
      <c r="A17341" t="s">
        <v>17354</v>
      </c>
      <c r="B17341">
        <v>212</v>
      </c>
      <c r="C17341" s="1" t="str">
        <f>HYPERLINK("http://www.rosaceae.org/gb/gbrowse/malus_x_domestica/?name=MDP0000189006","MDP0000189006")</f>
        <v>MDP0000189006</v>
      </c>
      <c r="D17341">
        <v>78.77</v>
      </c>
      <c r="E17341">
        <v>212</v>
      </c>
      <c r="F17341">
        <v>45</v>
      </c>
      <c r="G17341">
        <v>0</v>
      </c>
      <c r="H17341">
        <v>1</v>
      </c>
      <c r="I17341">
        <v>212</v>
      </c>
      <c r="J17341">
        <v>1</v>
      </c>
      <c r="K17341">
        <v>3</v>
      </c>
      <c r="L17341">
        <v>214</v>
      </c>
      <c r="M17341">
        <v>1</v>
      </c>
      <c r="N17341">
        <v>3.6573000000000002E-95</v>
      </c>
      <c r="O17341">
        <v>883</v>
      </c>
    </row>
    <row r="17342" spans="1:15" x14ac:dyDescent="0.25">
      <c r="A17342" t="s">
        <v>17355</v>
      </c>
      <c r="B17342">
        <v>158</v>
      </c>
      <c r="C17342" s="1" t="str">
        <f>HYPERLINK("http://www.rosaceae.org/gb/gbrowse/malus_x_domestica/?name=MDP0000182029","MDP0000182029")</f>
        <v>MDP0000182029</v>
      </c>
      <c r="D17342">
        <v>84.45</v>
      </c>
      <c r="E17342">
        <v>148</v>
      </c>
      <c r="F17342">
        <v>23</v>
      </c>
      <c r="G17342">
        <v>0</v>
      </c>
      <c r="H17342">
        <v>1</v>
      </c>
      <c r="I17342">
        <v>148</v>
      </c>
      <c r="J17342">
        <v>1</v>
      </c>
      <c r="K17342">
        <v>180</v>
      </c>
      <c r="L17342">
        <v>327</v>
      </c>
      <c r="M17342">
        <v>1</v>
      </c>
      <c r="N17342">
        <v>1.5561499999999999E-70</v>
      </c>
      <c r="O17342">
        <v>668</v>
      </c>
    </row>
    <row r="17343" spans="1:15" x14ac:dyDescent="0.25">
      <c r="A17343" t="s">
        <v>17356</v>
      </c>
      <c r="B17343">
        <v>800</v>
      </c>
      <c r="C17343" s="1" t="str">
        <f>HYPERLINK("http://www.rosaceae.org/gb/gbrowse/malus_x_domestica/?name=MDP0000267609","MDP0000267609")</f>
        <v>MDP0000267609</v>
      </c>
      <c r="D17343">
        <v>70.36</v>
      </c>
      <c r="E17343">
        <v>847</v>
      </c>
      <c r="F17343">
        <v>251</v>
      </c>
      <c r="G17343">
        <v>50</v>
      </c>
      <c r="H17343">
        <v>1</v>
      </c>
      <c r="I17343">
        <v>800</v>
      </c>
      <c r="J17343">
        <v>1</v>
      </c>
      <c r="K17343">
        <v>1</v>
      </c>
      <c r="L17343">
        <v>844</v>
      </c>
      <c r="M17343">
        <v>1</v>
      </c>
      <c r="N17343">
        <v>0</v>
      </c>
      <c r="O17343">
        <v>3112</v>
      </c>
    </row>
    <row r="17344" spans="1:15" x14ac:dyDescent="0.25">
      <c r="A17344" t="s">
        <v>17357</v>
      </c>
      <c r="B17344">
        <v>463</v>
      </c>
      <c r="C17344" s="1" t="str">
        <f>HYPERLINK("http://www.rosaceae.org/gb/gbrowse/malus_x_domestica/?name=MDP0000145420","MDP0000145420")</f>
        <v>MDP0000145420</v>
      </c>
      <c r="D17344">
        <v>77.150000000000006</v>
      </c>
      <c r="E17344">
        <v>394</v>
      </c>
      <c r="F17344">
        <v>90</v>
      </c>
      <c r="G17344">
        <v>23</v>
      </c>
      <c r="H17344">
        <v>73</v>
      </c>
      <c r="I17344">
        <v>449</v>
      </c>
      <c r="J17344">
        <v>1</v>
      </c>
      <c r="K17344">
        <v>1</v>
      </c>
      <c r="L17344">
        <v>388</v>
      </c>
      <c r="M17344">
        <v>1</v>
      </c>
      <c r="N17344">
        <v>4.2913100000000003E-176</v>
      </c>
      <c r="O17344">
        <v>1585</v>
      </c>
    </row>
    <row r="17345" spans="1:15" x14ac:dyDescent="0.25">
      <c r="A17345" t="s">
        <v>17358</v>
      </c>
      <c r="B17345">
        <v>287</v>
      </c>
      <c r="C17345" s="1" t="str">
        <f>HYPERLINK("http://www.rosaceae.org/gb/gbrowse/malus_x_domestica/?name=MDP0000139248","MDP0000139248")</f>
        <v>MDP0000139248</v>
      </c>
      <c r="D17345">
        <v>48</v>
      </c>
      <c r="E17345">
        <v>125</v>
      </c>
      <c r="F17345">
        <v>65</v>
      </c>
      <c r="G17345">
        <v>14</v>
      </c>
      <c r="H17345">
        <v>2</v>
      </c>
      <c r="I17345">
        <v>124</v>
      </c>
      <c r="J17345">
        <v>1</v>
      </c>
      <c r="K17345">
        <v>1</v>
      </c>
      <c r="L17345">
        <v>113</v>
      </c>
      <c r="M17345">
        <v>1</v>
      </c>
      <c r="N17345">
        <v>6.74939E-18</v>
      </c>
      <c r="O17345">
        <v>218</v>
      </c>
    </row>
    <row r="17346" spans="1:15" x14ac:dyDescent="0.25">
      <c r="A17346" t="s">
        <v>17359</v>
      </c>
      <c r="B17346">
        <v>212</v>
      </c>
      <c r="C17346" s="1" t="str">
        <f>HYPERLINK("http://www.rosaceae.org/gb/gbrowse/malus_x_domestica/?name=MDP0000137468","MDP0000137468")</f>
        <v>MDP0000137468</v>
      </c>
      <c r="D17346">
        <v>67.28</v>
      </c>
      <c r="E17346">
        <v>214</v>
      </c>
      <c r="F17346">
        <v>70</v>
      </c>
      <c r="G17346">
        <v>6</v>
      </c>
      <c r="H17346">
        <v>1</v>
      </c>
      <c r="I17346">
        <v>212</v>
      </c>
      <c r="J17346">
        <v>1</v>
      </c>
      <c r="K17346">
        <v>1</v>
      </c>
      <c r="L17346">
        <v>210</v>
      </c>
      <c r="M17346">
        <v>1</v>
      </c>
      <c r="N17346">
        <v>1.7112399999999999E-67</v>
      </c>
      <c r="O17346">
        <v>644</v>
      </c>
    </row>
    <row r="17347" spans="1:15" x14ac:dyDescent="0.25">
      <c r="A17347" t="s">
        <v>17360</v>
      </c>
      <c r="B17347">
        <v>863</v>
      </c>
      <c r="C17347" s="1" t="str">
        <f>HYPERLINK("http://www.rosaceae.org/gb/gbrowse/malus_x_domestica/?name=MDP0000135837","MDP0000135837")</f>
        <v>MDP0000135837</v>
      </c>
      <c r="D17347">
        <v>86.58</v>
      </c>
      <c r="E17347">
        <v>857</v>
      </c>
      <c r="F17347">
        <v>115</v>
      </c>
      <c r="G17347">
        <v>4</v>
      </c>
      <c r="H17347">
        <v>1</v>
      </c>
      <c r="I17347">
        <v>854</v>
      </c>
      <c r="J17347">
        <v>1</v>
      </c>
      <c r="K17347">
        <v>1</v>
      </c>
      <c r="L17347">
        <v>856</v>
      </c>
      <c r="M17347">
        <v>1</v>
      </c>
      <c r="N17347">
        <v>0</v>
      </c>
      <c r="O17347">
        <v>4008</v>
      </c>
    </row>
    <row r="17348" spans="1:15" x14ac:dyDescent="0.25">
      <c r="A17348" t="s">
        <v>17361</v>
      </c>
      <c r="B17348">
        <v>484</v>
      </c>
      <c r="C17348" s="1" t="str">
        <f>HYPERLINK("http://www.rosaceae.org/gb/gbrowse/malus_x_domestica/?name=MDP0000176465","MDP0000176465")</f>
        <v>MDP0000176465</v>
      </c>
      <c r="D17348">
        <v>42.68</v>
      </c>
      <c r="E17348">
        <v>499</v>
      </c>
      <c r="F17348">
        <v>286</v>
      </c>
      <c r="G17348">
        <v>35</v>
      </c>
      <c r="H17348">
        <v>1</v>
      </c>
      <c r="I17348">
        <v>480</v>
      </c>
      <c r="J17348">
        <v>1</v>
      </c>
      <c r="K17348">
        <v>1</v>
      </c>
      <c r="L17348">
        <v>483</v>
      </c>
      <c r="M17348">
        <v>1</v>
      </c>
      <c r="N17348">
        <v>1.97447E-87</v>
      </c>
      <c r="O17348">
        <v>820</v>
      </c>
    </row>
    <row r="17349" spans="1:15" x14ac:dyDescent="0.25">
      <c r="A17349" t="s">
        <v>17362</v>
      </c>
      <c r="B17349">
        <v>93</v>
      </c>
      <c r="C17349" s="1" t="str">
        <f>HYPERLINK("http://www.rosaceae.org/gb/gbrowse/malus_x_domestica/?name=MDP0000150000","MDP0000150000")</f>
        <v>MDP0000150000</v>
      </c>
      <c r="D17349">
        <v>42.85</v>
      </c>
      <c r="E17349">
        <v>91</v>
      </c>
      <c r="F17349">
        <v>52</v>
      </c>
      <c r="G17349">
        <v>15</v>
      </c>
      <c r="H17349">
        <v>4</v>
      </c>
      <c r="I17349">
        <v>87</v>
      </c>
      <c r="J17349">
        <v>1</v>
      </c>
      <c r="K17349">
        <v>207</v>
      </c>
      <c r="L17349">
        <v>289</v>
      </c>
      <c r="M17349">
        <v>1</v>
      </c>
      <c r="N17349">
        <v>6.9976E-12</v>
      </c>
      <c r="O17349">
        <v>160</v>
      </c>
    </row>
    <row r="17350" spans="1:15" x14ac:dyDescent="0.25">
      <c r="A17350" t="s">
        <v>17363</v>
      </c>
      <c r="B17350">
        <v>147</v>
      </c>
      <c r="C17350" s="1" t="str">
        <f>HYPERLINK("http://www.rosaceae.org/gb/gbrowse/malus_x_domestica/?name=MDP0000411286","MDP0000411286")</f>
        <v>MDP0000411286</v>
      </c>
      <c r="D17350">
        <v>39.78</v>
      </c>
      <c r="E17350">
        <v>93</v>
      </c>
      <c r="F17350">
        <v>56</v>
      </c>
      <c r="G17350">
        <v>13</v>
      </c>
      <c r="H17350">
        <v>18</v>
      </c>
      <c r="I17350">
        <v>110</v>
      </c>
      <c r="J17350">
        <v>1</v>
      </c>
      <c r="K17350">
        <v>38</v>
      </c>
      <c r="L17350">
        <v>117</v>
      </c>
      <c r="M17350">
        <v>1</v>
      </c>
      <c r="N17350">
        <v>1.6882599999999999E-11</v>
      </c>
      <c r="O17350">
        <v>158</v>
      </c>
    </row>
    <row r="17351" spans="1:15" x14ac:dyDescent="0.25">
      <c r="A17351" t="s">
        <v>17364</v>
      </c>
      <c r="B17351">
        <v>1174</v>
      </c>
      <c r="C17351" s="1" t="str">
        <f>HYPERLINK("http://www.rosaceae.org/gb/gbrowse/malus_x_domestica/?name=MDP0000287346","MDP0000287346")</f>
        <v>MDP0000287346</v>
      </c>
      <c r="D17351">
        <v>45.82</v>
      </c>
      <c r="E17351">
        <v>587</v>
      </c>
      <c r="F17351">
        <v>318</v>
      </c>
      <c r="G17351">
        <v>50</v>
      </c>
      <c r="H17351">
        <v>593</v>
      </c>
      <c r="I17351">
        <v>1152</v>
      </c>
      <c r="J17351">
        <v>1</v>
      </c>
      <c r="K17351">
        <v>6</v>
      </c>
      <c r="L17351">
        <v>569</v>
      </c>
      <c r="M17351">
        <v>1</v>
      </c>
      <c r="N17351">
        <v>1.5386499999999999E-116</v>
      </c>
      <c r="O17351">
        <v>1075</v>
      </c>
    </row>
    <row r="17352" spans="1:15" x14ac:dyDescent="0.25">
      <c r="A17352" t="s">
        <v>17365</v>
      </c>
      <c r="B17352">
        <v>748</v>
      </c>
      <c r="C17352" s="1" t="str">
        <f>HYPERLINK("http://www.rosaceae.org/gb/gbrowse/malus_x_domestica/?name=MDP0000201897","MDP0000201897")</f>
        <v>MDP0000201897</v>
      </c>
      <c r="D17352">
        <v>29.36</v>
      </c>
      <c r="E17352">
        <v>126</v>
      </c>
      <c r="F17352">
        <v>89</v>
      </c>
      <c r="G17352">
        <v>3</v>
      </c>
      <c r="H17352">
        <v>190</v>
      </c>
      <c r="I17352">
        <v>314</v>
      </c>
      <c r="J17352">
        <v>1</v>
      </c>
      <c r="K17352">
        <v>702</v>
      </c>
      <c r="L17352">
        <v>825</v>
      </c>
      <c r="M17352">
        <v>1</v>
      </c>
      <c r="N17352">
        <v>1.3637800000000001E-12</v>
      </c>
      <c r="O17352">
        <v>177</v>
      </c>
    </row>
    <row r="17353" spans="1:15" x14ac:dyDescent="0.25">
      <c r="A17353" t="s">
        <v>17366</v>
      </c>
      <c r="B17353">
        <v>653</v>
      </c>
      <c r="C17353" s="1" t="str">
        <f>HYPERLINK("http://www.rosaceae.org/gb/gbrowse/malus_x_domestica/?name=MDP0000652278","MDP0000652278")</f>
        <v>MDP0000652278</v>
      </c>
      <c r="D17353">
        <v>82.42</v>
      </c>
      <c r="E17353">
        <v>660</v>
      </c>
      <c r="F17353">
        <v>116</v>
      </c>
      <c r="G17353">
        <v>9</v>
      </c>
      <c r="H17353">
        <v>1</v>
      </c>
      <c r="I17353">
        <v>653</v>
      </c>
      <c r="J17353">
        <v>1</v>
      </c>
      <c r="K17353">
        <v>8</v>
      </c>
      <c r="L17353">
        <v>665</v>
      </c>
      <c r="M17353">
        <v>1</v>
      </c>
      <c r="N17353">
        <v>0</v>
      </c>
      <c r="O17353">
        <v>2907</v>
      </c>
    </row>
    <row r="17354" spans="1:15" x14ac:dyDescent="0.25">
      <c r="A17354" t="s">
        <v>17367</v>
      </c>
      <c r="B17354">
        <v>236</v>
      </c>
      <c r="C17354" s="1" t="str">
        <f>HYPERLINK("http://www.rosaceae.org/gb/gbrowse/malus_x_domestica/?name=MDP0000269988","MDP0000269988")</f>
        <v>MDP0000269988</v>
      </c>
      <c r="D17354">
        <v>78.180000000000007</v>
      </c>
      <c r="E17354">
        <v>165</v>
      </c>
      <c r="F17354">
        <v>36</v>
      </c>
      <c r="G17354">
        <v>4</v>
      </c>
      <c r="H17354">
        <v>75</v>
      </c>
      <c r="I17354">
        <v>235</v>
      </c>
      <c r="J17354">
        <v>1</v>
      </c>
      <c r="K17354">
        <v>16</v>
      </c>
      <c r="L17354">
        <v>180</v>
      </c>
      <c r="M17354">
        <v>1</v>
      </c>
      <c r="N17354">
        <v>8.6212999999999996E-66</v>
      </c>
      <c r="O17354">
        <v>630</v>
      </c>
    </row>
    <row r="17355" spans="1:15" x14ac:dyDescent="0.25">
      <c r="A17355" t="s">
        <v>17368</v>
      </c>
      <c r="B17355">
        <v>540</v>
      </c>
      <c r="C17355" s="1" t="str">
        <f>HYPERLINK("http://www.rosaceae.org/gb/gbrowse/malus_x_domestica/?name=MDP0000319792","MDP0000319792")</f>
        <v>MDP0000319792</v>
      </c>
      <c r="D17355">
        <v>41.58</v>
      </c>
      <c r="E17355">
        <v>303</v>
      </c>
      <c r="F17355">
        <v>177</v>
      </c>
      <c r="G17355">
        <v>24</v>
      </c>
      <c r="H17355">
        <v>141</v>
      </c>
      <c r="I17355">
        <v>423</v>
      </c>
      <c r="J17355">
        <v>1</v>
      </c>
      <c r="K17355">
        <v>262</v>
      </c>
      <c r="L17355">
        <v>560</v>
      </c>
      <c r="M17355">
        <v>1</v>
      </c>
      <c r="N17355">
        <v>4.7436800000000001E-53</v>
      </c>
      <c r="O17355">
        <v>524</v>
      </c>
    </row>
    <row r="17356" spans="1:15" x14ac:dyDescent="0.25">
      <c r="A17356" t="s">
        <v>17369</v>
      </c>
      <c r="B17356">
        <v>685</v>
      </c>
      <c r="C17356" s="1" t="str">
        <f>HYPERLINK("http://www.rosaceae.org/gb/gbrowse/malus_x_domestica/?name=MDP0000290540","MDP0000290540")</f>
        <v>MDP0000290540</v>
      </c>
      <c r="D17356">
        <v>77.92</v>
      </c>
      <c r="E17356">
        <v>625</v>
      </c>
      <c r="F17356">
        <v>138</v>
      </c>
      <c r="G17356">
        <v>20</v>
      </c>
      <c r="H17356">
        <v>72</v>
      </c>
      <c r="I17356">
        <v>683</v>
      </c>
      <c r="J17356">
        <v>1</v>
      </c>
      <c r="K17356">
        <v>11</v>
      </c>
      <c r="L17356">
        <v>628</v>
      </c>
      <c r="M17356">
        <v>1</v>
      </c>
      <c r="N17356">
        <v>0</v>
      </c>
      <c r="O17356">
        <v>2490</v>
      </c>
    </row>
    <row r="17357" spans="1:15" x14ac:dyDescent="0.25">
      <c r="A17357" t="s">
        <v>17370</v>
      </c>
      <c r="B17357">
        <v>307</v>
      </c>
      <c r="C17357" s="1" t="str">
        <f>HYPERLINK("http://www.rosaceae.org/gb/gbrowse/malus_x_domestica/?name=MDP0000505840","MDP0000505840")</f>
        <v>MDP0000505840</v>
      </c>
      <c r="D17357">
        <v>74.540000000000006</v>
      </c>
      <c r="E17357">
        <v>165</v>
      </c>
      <c r="F17357">
        <v>42</v>
      </c>
      <c r="G17357">
        <v>8</v>
      </c>
      <c r="H17357">
        <v>1</v>
      </c>
      <c r="I17357">
        <v>159</v>
      </c>
      <c r="J17357">
        <v>1</v>
      </c>
      <c r="K17357">
        <v>1</v>
      </c>
      <c r="L17357">
        <v>163</v>
      </c>
      <c r="M17357">
        <v>1</v>
      </c>
      <c r="N17357">
        <v>9.1682600000000004E-63</v>
      </c>
      <c r="O17357">
        <v>605</v>
      </c>
    </row>
    <row r="17358" spans="1:15" x14ac:dyDescent="0.25">
      <c r="A17358" t="s">
        <v>17371</v>
      </c>
      <c r="B17358">
        <v>350</v>
      </c>
      <c r="C17358" s="1" t="str">
        <f>HYPERLINK("http://www.rosaceae.org/gb/gbrowse/malus_x_domestica/?name=MDP0000251865","MDP0000251865")</f>
        <v>MDP0000251865</v>
      </c>
      <c r="D17358">
        <v>50.71</v>
      </c>
      <c r="E17358">
        <v>280</v>
      </c>
      <c r="F17358">
        <v>138</v>
      </c>
      <c r="G17358">
        <v>21</v>
      </c>
      <c r="H17358">
        <v>1</v>
      </c>
      <c r="I17358">
        <v>271</v>
      </c>
      <c r="J17358">
        <v>1</v>
      </c>
      <c r="K17358">
        <v>183</v>
      </c>
      <c r="L17358">
        <v>450</v>
      </c>
      <c r="M17358">
        <v>1</v>
      </c>
      <c r="N17358">
        <v>1.00256E-70</v>
      </c>
      <c r="O17358">
        <v>675</v>
      </c>
    </row>
    <row r="17359" spans="1:15" x14ac:dyDescent="0.25">
      <c r="A17359" t="s">
        <v>17372</v>
      </c>
      <c r="B17359">
        <v>363</v>
      </c>
      <c r="C17359" s="1" t="str">
        <f>HYPERLINK("http://www.rosaceae.org/gb/gbrowse/malus_x_domestica/?name=MDP0000309960","MDP0000309960")</f>
        <v>MDP0000309960</v>
      </c>
      <c r="D17359">
        <v>63</v>
      </c>
      <c r="E17359">
        <v>273</v>
      </c>
      <c r="F17359">
        <v>101</v>
      </c>
      <c r="G17359">
        <v>12</v>
      </c>
      <c r="H17359">
        <v>99</v>
      </c>
      <c r="I17359">
        <v>359</v>
      </c>
      <c r="J17359">
        <v>1</v>
      </c>
      <c r="K17359">
        <v>271</v>
      </c>
      <c r="L17359">
        <v>543</v>
      </c>
      <c r="M17359">
        <v>1</v>
      </c>
      <c r="N17359">
        <v>1.0489999999999999E-94</v>
      </c>
      <c r="O17359">
        <v>882</v>
      </c>
    </row>
    <row r="17360" spans="1:15" x14ac:dyDescent="0.25">
      <c r="A17360" t="s">
        <v>17373</v>
      </c>
      <c r="B17360">
        <v>259</v>
      </c>
      <c r="C17360" s="1" t="str">
        <f>HYPERLINK("http://www.rosaceae.org/gb/gbrowse/malus_x_domestica/?name=MDP0000128281","MDP0000128281")</f>
        <v>MDP0000128281</v>
      </c>
      <c r="D17360">
        <v>62.65</v>
      </c>
      <c r="E17360">
        <v>158</v>
      </c>
      <c r="F17360">
        <v>59</v>
      </c>
      <c r="G17360">
        <v>0</v>
      </c>
      <c r="H17360">
        <v>69</v>
      </c>
      <c r="I17360">
        <v>226</v>
      </c>
      <c r="J17360">
        <v>1</v>
      </c>
      <c r="K17360">
        <v>60</v>
      </c>
      <c r="L17360">
        <v>217</v>
      </c>
      <c r="M17360">
        <v>1</v>
      </c>
      <c r="N17360">
        <v>5.31601E-51</v>
      </c>
      <c r="O17360">
        <v>503</v>
      </c>
    </row>
    <row r="17361" spans="1:15" x14ac:dyDescent="0.25">
      <c r="A17361" t="s">
        <v>17374</v>
      </c>
      <c r="B17361">
        <v>474</v>
      </c>
      <c r="C17361" s="1" t="str">
        <f>HYPERLINK("http://www.rosaceae.org/gb/gbrowse/malus_x_domestica/?name=MDP0000237360","MDP0000237360")</f>
        <v>MDP0000237360</v>
      </c>
      <c r="D17361">
        <v>71.290000000000006</v>
      </c>
      <c r="E17361">
        <v>317</v>
      </c>
      <c r="F17361">
        <v>91</v>
      </c>
      <c r="G17361">
        <v>32</v>
      </c>
      <c r="H17361">
        <v>106</v>
      </c>
      <c r="I17361">
        <v>422</v>
      </c>
      <c r="J17361">
        <v>1</v>
      </c>
      <c r="K17361">
        <v>14</v>
      </c>
      <c r="L17361">
        <v>298</v>
      </c>
      <c r="M17361">
        <v>1</v>
      </c>
      <c r="N17361">
        <v>1.77674E-128</v>
      </c>
      <c r="O17361">
        <v>1174</v>
      </c>
    </row>
    <row r="17362" spans="1:15" x14ac:dyDescent="0.25">
      <c r="A17362" t="s">
        <v>17375</v>
      </c>
      <c r="B17362">
        <v>458</v>
      </c>
      <c r="C17362" s="1" t="str">
        <f>HYPERLINK("http://www.rosaceae.org/gb/gbrowse/malus_x_domestica/?name=MDP0000286143","MDP0000286143")</f>
        <v>MDP0000286143</v>
      </c>
      <c r="D17362">
        <v>53.88</v>
      </c>
      <c r="E17362">
        <v>206</v>
      </c>
      <c r="F17362">
        <v>95</v>
      </c>
      <c r="G17362">
        <v>37</v>
      </c>
      <c r="H17362">
        <v>116</v>
      </c>
      <c r="I17362">
        <v>321</v>
      </c>
      <c r="J17362">
        <v>1</v>
      </c>
      <c r="K17362">
        <v>17</v>
      </c>
      <c r="L17362">
        <v>185</v>
      </c>
      <c r="M17362">
        <v>1</v>
      </c>
      <c r="N17362">
        <v>3.8377799999999999E-52</v>
      </c>
      <c r="O17362">
        <v>516</v>
      </c>
    </row>
    <row r="17363" spans="1:15" x14ac:dyDescent="0.25">
      <c r="A17363" t="s">
        <v>17376</v>
      </c>
      <c r="B17363">
        <v>1277</v>
      </c>
      <c r="C17363" s="1" t="str">
        <f>HYPERLINK("http://www.rosaceae.org/gb/gbrowse/malus_x_domestica/?name=MDP0000192231","MDP0000192231")</f>
        <v>MDP0000192231</v>
      </c>
      <c r="D17363">
        <v>61.32</v>
      </c>
      <c r="E17363">
        <v>905</v>
      </c>
      <c r="F17363">
        <v>350</v>
      </c>
      <c r="G17363">
        <v>81</v>
      </c>
      <c r="H17363">
        <v>354</v>
      </c>
      <c r="I17363">
        <v>1182</v>
      </c>
      <c r="J17363">
        <v>1</v>
      </c>
      <c r="K17363">
        <v>1</v>
      </c>
      <c r="L17363">
        <v>900</v>
      </c>
      <c r="M17363">
        <v>1</v>
      </c>
      <c r="N17363">
        <v>0</v>
      </c>
      <c r="O17363">
        <v>2648</v>
      </c>
    </row>
    <row r="17364" spans="1:15" x14ac:dyDescent="0.25">
      <c r="A17364" t="s">
        <v>17377</v>
      </c>
      <c r="B17364">
        <v>598</v>
      </c>
      <c r="C17364" s="1" t="str">
        <f>HYPERLINK("http://www.rosaceae.org/gb/gbrowse/malus_x_domestica/?name=MDP0000283106","MDP0000283106")</f>
        <v>MDP0000283106</v>
      </c>
      <c r="D17364">
        <v>90.3</v>
      </c>
      <c r="E17364">
        <v>598</v>
      </c>
      <c r="F17364">
        <v>58</v>
      </c>
      <c r="G17364">
        <v>2</v>
      </c>
      <c r="H17364">
        <v>1</v>
      </c>
      <c r="I17364">
        <v>598</v>
      </c>
      <c r="J17364">
        <v>1</v>
      </c>
      <c r="K17364">
        <v>1</v>
      </c>
      <c r="L17364">
        <v>596</v>
      </c>
      <c r="M17364">
        <v>1</v>
      </c>
      <c r="N17364">
        <v>0</v>
      </c>
      <c r="O17364">
        <v>2931</v>
      </c>
    </row>
    <row r="17365" spans="1:15" x14ac:dyDescent="0.25">
      <c r="A17365" t="s">
        <v>17378</v>
      </c>
      <c r="B17365">
        <v>138</v>
      </c>
      <c r="C17365" s="1" t="str">
        <f>HYPERLINK("http://www.rosaceae.org/gb/gbrowse/malus_x_domestica/?name=MDP0000476508","MDP0000476508")</f>
        <v>MDP0000476508</v>
      </c>
      <c r="D17365">
        <v>47.42</v>
      </c>
      <c r="E17365">
        <v>97</v>
      </c>
      <c r="F17365">
        <v>51</v>
      </c>
      <c r="G17365">
        <v>3</v>
      </c>
      <c r="H17365">
        <v>1</v>
      </c>
      <c r="I17365">
        <v>94</v>
      </c>
      <c r="J17365">
        <v>1</v>
      </c>
      <c r="K17365">
        <v>189</v>
      </c>
      <c r="L17365">
        <v>285</v>
      </c>
      <c r="M17365">
        <v>1</v>
      </c>
      <c r="N17365">
        <v>3.33457E-18</v>
      </c>
      <c r="O17365">
        <v>216</v>
      </c>
    </row>
    <row r="17366" spans="1:15" x14ac:dyDescent="0.25">
      <c r="A17366" t="s">
        <v>17379</v>
      </c>
      <c r="B17366">
        <v>195</v>
      </c>
      <c r="C17366" s="1" t="str">
        <f>HYPERLINK("http://www.rosaceae.org/gb/gbrowse/malus_x_domestica/?name=MDP0000319753","MDP0000319753")</f>
        <v>MDP0000319753</v>
      </c>
      <c r="D17366">
        <v>78.040000000000006</v>
      </c>
      <c r="E17366">
        <v>41</v>
      </c>
      <c r="F17366">
        <v>9</v>
      </c>
      <c r="G17366">
        <v>1</v>
      </c>
      <c r="H17366">
        <v>145</v>
      </c>
      <c r="I17366">
        <v>184</v>
      </c>
      <c r="J17366">
        <v>1</v>
      </c>
      <c r="K17366">
        <v>36</v>
      </c>
      <c r="L17366">
        <v>76</v>
      </c>
      <c r="M17366">
        <v>1</v>
      </c>
      <c r="N17366">
        <v>6.5073099999999994E-11</v>
      </c>
      <c r="O17366">
        <v>155</v>
      </c>
    </row>
    <row r="17367" spans="1:15" x14ac:dyDescent="0.25">
      <c r="A17367" t="s">
        <v>17380</v>
      </c>
      <c r="B17367">
        <v>531</v>
      </c>
      <c r="C17367" s="1" t="str">
        <f>HYPERLINK("http://www.rosaceae.org/gb/gbrowse/malus_x_domestica/?name=MDP0000225313","MDP0000225313")</f>
        <v>MDP0000225313</v>
      </c>
      <c r="D17367">
        <v>61.32</v>
      </c>
      <c r="E17367">
        <v>256</v>
      </c>
      <c r="F17367">
        <v>99</v>
      </c>
      <c r="G17367">
        <v>17</v>
      </c>
      <c r="H17367">
        <v>3</v>
      </c>
      <c r="I17367">
        <v>243</v>
      </c>
      <c r="J17367">
        <v>1</v>
      </c>
      <c r="K17367">
        <v>12</v>
      </c>
      <c r="L17367">
        <v>265</v>
      </c>
      <c r="M17367">
        <v>1</v>
      </c>
      <c r="N17367">
        <v>1.3876199999999999E-76</v>
      </c>
      <c r="O17367">
        <v>727</v>
      </c>
    </row>
    <row r="17368" spans="1:15" x14ac:dyDescent="0.25">
      <c r="A17368" t="s">
        <v>17381</v>
      </c>
      <c r="B17368">
        <v>198</v>
      </c>
      <c r="C17368" s="1" t="str">
        <f>HYPERLINK("http://www.rosaceae.org/gb/gbrowse/malus_x_domestica/?name=MDP0000219686","MDP0000219686")</f>
        <v>MDP0000219686</v>
      </c>
      <c r="D17368">
        <v>70.650000000000006</v>
      </c>
      <c r="E17368">
        <v>184</v>
      </c>
      <c r="F17368">
        <v>54</v>
      </c>
      <c r="G17368">
        <v>1</v>
      </c>
      <c r="H17368">
        <v>1</v>
      </c>
      <c r="I17368">
        <v>183</v>
      </c>
      <c r="J17368">
        <v>1</v>
      </c>
      <c r="K17368">
        <v>1</v>
      </c>
      <c r="L17368">
        <v>184</v>
      </c>
      <c r="M17368">
        <v>1</v>
      </c>
      <c r="N17368">
        <v>1.90285E-69</v>
      </c>
      <c r="O17368">
        <v>660</v>
      </c>
    </row>
    <row r="17369" spans="1:15" x14ac:dyDescent="0.25">
      <c r="A17369" t="s">
        <v>17382</v>
      </c>
      <c r="B17369">
        <v>284</v>
      </c>
      <c r="C17369" s="1" t="str">
        <f>HYPERLINK("http://www.rosaceae.org/gb/gbrowse/malus_x_domestica/?name=MDP0000915743","MDP0000915743")</f>
        <v>MDP0000915743</v>
      </c>
      <c r="D17369">
        <v>68</v>
      </c>
      <c r="E17369">
        <v>125</v>
      </c>
      <c r="F17369">
        <v>40</v>
      </c>
      <c r="G17369">
        <v>5</v>
      </c>
      <c r="H17369">
        <v>10</v>
      </c>
      <c r="I17369">
        <v>134</v>
      </c>
      <c r="J17369">
        <v>1</v>
      </c>
      <c r="K17369">
        <v>3</v>
      </c>
      <c r="L17369">
        <v>122</v>
      </c>
      <c r="M17369">
        <v>1</v>
      </c>
      <c r="N17369">
        <v>1.49282E-43</v>
      </c>
      <c r="O17369">
        <v>439</v>
      </c>
    </row>
    <row r="17370" spans="1:15" x14ac:dyDescent="0.25">
      <c r="A17370" t="s">
        <v>17383</v>
      </c>
      <c r="B17370">
        <v>281</v>
      </c>
      <c r="C17370" s="1" t="str">
        <f>HYPERLINK("http://www.rosaceae.org/gb/gbrowse/malus_x_domestica/?name=MDP0000153053","MDP0000153053")</f>
        <v>MDP0000153053</v>
      </c>
      <c r="D17370">
        <v>62.65</v>
      </c>
      <c r="E17370">
        <v>316</v>
      </c>
      <c r="F17370">
        <v>118</v>
      </c>
      <c r="G17370">
        <v>48</v>
      </c>
      <c r="H17370">
        <v>6</v>
      </c>
      <c r="I17370">
        <v>277</v>
      </c>
      <c r="J17370">
        <v>1</v>
      </c>
      <c r="K17370">
        <v>1</v>
      </c>
      <c r="L17370">
        <v>312</v>
      </c>
      <c r="M17370">
        <v>1</v>
      </c>
      <c r="N17370">
        <v>1.0608699999999999E-99</v>
      </c>
      <c r="O17370">
        <v>923</v>
      </c>
    </row>
    <row r="17371" spans="1:15" x14ac:dyDescent="0.25">
      <c r="A17371" t="s">
        <v>17384</v>
      </c>
      <c r="B17371">
        <v>1672</v>
      </c>
      <c r="C17371" s="1" t="str">
        <f>HYPERLINK("http://www.rosaceae.org/gb/gbrowse/malus_x_domestica/?name=MDP0000143560","MDP0000143560")</f>
        <v>MDP0000143560</v>
      </c>
      <c r="D17371">
        <v>61.7</v>
      </c>
      <c r="E17371">
        <v>1598</v>
      </c>
      <c r="F17371">
        <v>612</v>
      </c>
      <c r="G17371">
        <v>56</v>
      </c>
      <c r="H17371">
        <v>91</v>
      </c>
      <c r="I17371">
        <v>1672</v>
      </c>
      <c r="J17371">
        <v>1</v>
      </c>
      <c r="K17371">
        <v>25</v>
      </c>
      <c r="L17371">
        <v>1582</v>
      </c>
      <c r="M17371">
        <v>1</v>
      </c>
      <c r="N17371">
        <v>0</v>
      </c>
      <c r="O17371">
        <v>4800</v>
      </c>
    </row>
    <row r="17372" spans="1:15" x14ac:dyDescent="0.25">
      <c r="A17372" t="s">
        <v>17385</v>
      </c>
      <c r="B17372">
        <v>423</v>
      </c>
      <c r="C17372" s="1" t="str">
        <f>HYPERLINK("http://www.rosaceae.org/gb/gbrowse/malus_x_domestica/?name=MDP0000134662","MDP0000134662")</f>
        <v>MDP0000134662</v>
      </c>
      <c r="D17372">
        <v>83.38</v>
      </c>
      <c r="E17372">
        <v>343</v>
      </c>
      <c r="F17372">
        <v>57</v>
      </c>
      <c r="G17372">
        <v>3</v>
      </c>
      <c r="H17372">
        <v>54</v>
      </c>
      <c r="I17372">
        <v>394</v>
      </c>
      <c r="J17372">
        <v>1</v>
      </c>
      <c r="K17372">
        <v>1</v>
      </c>
      <c r="L17372">
        <v>342</v>
      </c>
      <c r="M17372">
        <v>1</v>
      </c>
      <c r="N17372">
        <v>1.98986E-166</v>
      </c>
      <c r="O17372">
        <v>1501</v>
      </c>
    </row>
    <row r="17373" spans="1:15" x14ac:dyDescent="0.25">
      <c r="A17373" t="s">
        <v>17386</v>
      </c>
      <c r="B17373">
        <v>234</v>
      </c>
      <c r="C17373" s="1" t="str">
        <f>HYPERLINK("http://www.rosaceae.org/gb/gbrowse/malus_x_domestica/?name=MDP0000124256","MDP0000124256")</f>
        <v>MDP0000124256</v>
      </c>
      <c r="D17373">
        <v>50</v>
      </c>
      <c r="E17373">
        <v>84</v>
      </c>
      <c r="F17373">
        <v>42</v>
      </c>
      <c r="G17373">
        <v>0</v>
      </c>
      <c r="H17373">
        <v>151</v>
      </c>
      <c r="I17373">
        <v>234</v>
      </c>
      <c r="J17373">
        <v>1</v>
      </c>
      <c r="K17373">
        <v>47</v>
      </c>
      <c r="L17373">
        <v>130</v>
      </c>
      <c r="M17373">
        <v>1</v>
      </c>
      <c r="N17373">
        <v>6.7100300000000001E-16</v>
      </c>
      <c r="O17373">
        <v>200</v>
      </c>
    </row>
    <row r="17374" spans="1:15" x14ac:dyDescent="0.25">
      <c r="A17374" t="s">
        <v>17387</v>
      </c>
      <c r="B17374">
        <v>220</v>
      </c>
      <c r="C17374" s="1" t="str">
        <f>HYPERLINK("http://www.rosaceae.org/gb/gbrowse/malus_x_domestica/?name=MDP0000489995","MDP0000489995")</f>
        <v>MDP0000489995</v>
      </c>
      <c r="D17374">
        <v>86.8</v>
      </c>
      <c r="E17374">
        <v>197</v>
      </c>
      <c r="F17374">
        <v>26</v>
      </c>
      <c r="G17374">
        <v>4</v>
      </c>
      <c r="H17374">
        <v>24</v>
      </c>
      <c r="I17374">
        <v>220</v>
      </c>
      <c r="J17374">
        <v>1</v>
      </c>
      <c r="K17374">
        <v>241</v>
      </c>
      <c r="L17374">
        <v>433</v>
      </c>
      <c r="M17374">
        <v>1</v>
      </c>
      <c r="N17374">
        <v>5.1546100000000001E-97</v>
      </c>
      <c r="O17374">
        <v>899</v>
      </c>
    </row>
    <row r="17375" spans="1:15" x14ac:dyDescent="0.25">
      <c r="A17375" t="s">
        <v>17388</v>
      </c>
      <c r="B17375">
        <v>211</v>
      </c>
      <c r="C17375" s="1" t="str">
        <f>HYPERLINK("http://www.rosaceae.org/gb/gbrowse/malus_x_domestica/?name=MDP0000921224","MDP0000921224")</f>
        <v>MDP0000921224</v>
      </c>
      <c r="D17375">
        <v>59.52</v>
      </c>
      <c r="E17375">
        <v>168</v>
      </c>
      <c r="F17375">
        <v>68</v>
      </c>
      <c r="G17375">
        <v>3</v>
      </c>
      <c r="H17375">
        <v>17</v>
      </c>
      <c r="I17375">
        <v>184</v>
      </c>
      <c r="J17375">
        <v>1</v>
      </c>
      <c r="K17375">
        <v>18</v>
      </c>
      <c r="L17375">
        <v>182</v>
      </c>
      <c r="M17375">
        <v>1</v>
      </c>
      <c r="N17375">
        <v>1.7217499999999999E-44</v>
      </c>
      <c r="O17375">
        <v>446</v>
      </c>
    </row>
    <row r="17376" spans="1:15" x14ac:dyDescent="0.25">
      <c r="A17376" t="s">
        <v>17389</v>
      </c>
      <c r="B17376">
        <v>723</v>
      </c>
      <c r="C17376" s="1" t="str">
        <f>HYPERLINK("http://www.rosaceae.org/gb/gbrowse/malus_x_domestica/?name=MDP0000201429","MDP0000201429")</f>
        <v>MDP0000201429</v>
      </c>
      <c r="D17376">
        <v>81.400000000000006</v>
      </c>
      <c r="E17376">
        <v>742</v>
      </c>
      <c r="F17376">
        <v>138</v>
      </c>
      <c r="G17376">
        <v>27</v>
      </c>
      <c r="H17376">
        <v>6</v>
      </c>
      <c r="I17376">
        <v>723</v>
      </c>
      <c r="J17376">
        <v>1</v>
      </c>
      <c r="K17376">
        <v>9</v>
      </c>
      <c r="L17376">
        <v>747</v>
      </c>
      <c r="M17376">
        <v>1</v>
      </c>
      <c r="N17376">
        <v>0</v>
      </c>
      <c r="O17376">
        <v>3200</v>
      </c>
    </row>
    <row r="17377" spans="1:15" x14ac:dyDescent="0.25">
      <c r="A17377" t="s">
        <v>17390</v>
      </c>
      <c r="B17377">
        <v>375</v>
      </c>
      <c r="C17377" s="1" t="str">
        <f>HYPERLINK("http://www.rosaceae.org/gb/gbrowse/malus_x_domestica/?name=MDP0000136905","MDP0000136905")</f>
        <v>MDP0000136905</v>
      </c>
      <c r="D17377">
        <v>64.099999999999994</v>
      </c>
      <c r="E17377">
        <v>404</v>
      </c>
      <c r="F17377">
        <v>145</v>
      </c>
      <c r="G17377">
        <v>56</v>
      </c>
      <c r="H17377">
        <v>4</v>
      </c>
      <c r="I17377">
        <v>375</v>
      </c>
      <c r="J17377">
        <v>1</v>
      </c>
      <c r="K17377">
        <v>7</v>
      </c>
      <c r="L17377">
        <v>386</v>
      </c>
      <c r="M17377">
        <v>1</v>
      </c>
      <c r="N17377">
        <v>1.8616000000000001E-143</v>
      </c>
      <c r="O17377">
        <v>1302</v>
      </c>
    </row>
    <row r="17378" spans="1:15" x14ac:dyDescent="0.25">
      <c r="A17378" t="s">
        <v>17391</v>
      </c>
      <c r="B17378">
        <v>413</v>
      </c>
      <c r="C17378" s="1" t="str">
        <f>HYPERLINK("http://www.rosaceae.org/gb/gbrowse/malus_x_domestica/?name=MDP0000257140","MDP0000257140")</f>
        <v>MDP0000257140</v>
      </c>
      <c r="D17378">
        <v>70.27</v>
      </c>
      <c r="E17378">
        <v>434</v>
      </c>
      <c r="F17378">
        <v>129</v>
      </c>
      <c r="G17378">
        <v>24</v>
      </c>
      <c r="H17378">
        <v>1</v>
      </c>
      <c r="I17378">
        <v>413</v>
      </c>
      <c r="J17378">
        <v>1</v>
      </c>
      <c r="K17378">
        <v>1</v>
      </c>
      <c r="L17378">
        <v>431</v>
      </c>
      <c r="M17378">
        <v>1</v>
      </c>
      <c r="N17378">
        <v>5.0742399999999996E-165</v>
      </c>
      <c r="O17378">
        <v>1489</v>
      </c>
    </row>
    <row r="17379" spans="1:15" x14ac:dyDescent="0.25">
      <c r="A17379" t="s">
        <v>17392</v>
      </c>
      <c r="B17379">
        <v>333</v>
      </c>
      <c r="C17379" s="1" t="str">
        <f>HYPERLINK("http://www.rosaceae.org/gb/gbrowse/malus_x_domestica/?name=MDP0000252508","MDP0000252508")</f>
        <v>MDP0000252508</v>
      </c>
      <c r="D17379">
        <v>56.97</v>
      </c>
      <c r="E17379">
        <v>337</v>
      </c>
      <c r="F17379">
        <v>145</v>
      </c>
      <c r="G17379">
        <v>8</v>
      </c>
      <c r="H17379">
        <v>1</v>
      </c>
      <c r="I17379">
        <v>332</v>
      </c>
      <c r="J17379">
        <v>1</v>
      </c>
      <c r="K17379">
        <v>1</v>
      </c>
      <c r="L17379">
        <v>334</v>
      </c>
      <c r="M17379">
        <v>1</v>
      </c>
      <c r="N17379">
        <v>3.4515400000000001E-106</v>
      </c>
      <c r="O17379">
        <v>980</v>
      </c>
    </row>
    <row r="17380" spans="1:15" x14ac:dyDescent="0.25">
      <c r="A17380" t="s">
        <v>17393</v>
      </c>
      <c r="B17380">
        <v>581</v>
      </c>
      <c r="C17380" s="1" t="str">
        <f>HYPERLINK("http://www.rosaceae.org/gb/gbrowse/malus_x_domestica/?name=MDP0000247921","MDP0000247921")</f>
        <v>MDP0000247921</v>
      </c>
      <c r="D17380">
        <v>25.91</v>
      </c>
      <c r="E17380">
        <v>544</v>
      </c>
      <c r="F17380">
        <v>403</v>
      </c>
      <c r="G17380">
        <v>104</v>
      </c>
      <c r="H17380">
        <v>23</v>
      </c>
      <c r="I17380">
        <v>512</v>
      </c>
      <c r="J17380">
        <v>1</v>
      </c>
      <c r="K17380">
        <v>630</v>
      </c>
      <c r="L17380">
        <v>1123</v>
      </c>
      <c r="M17380">
        <v>1</v>
      </c>
      <c r="N17380">
        <v>1.1649599999999999E-37</v>
      </c>
      <c r="O17380">
        <v>392</v>
      </c>
    </row>
    <row r="17381" spans="1:15" x14ac:dyDescent="0.25">
      <c r="A17381" t="s">
        <v>17394</v>
      </c>
      <c r="B17381">
        <v>987</v>
      </c>
      <c r="C17381" s="1" t="str">
        <f>HYPERLINK("http://www.rosaceae.org/gb/gbrowse/malus_x_domestica/?name=MDP0000216084","MDP0000216084")</f>
        <v>MDP0000216084</v>
      </c>
      <c r="D17381">
        <v>86.32</v>
      </c>
      <c r="E17381">
        <v>731</v>
      </c>
      <c r="F17381">
        <v>100</v>
      </c>
      <c r="G17381">
        <v>6</v>
      </c>
      <c r="H17381">
        <v>1</v>
      </c>
      <c r="I17381">
        <v>725</v>
      </c>
      <c r="J17381">
        <v>1</v>
      </c>
      <c r="K17381">
        <v>81</v>
      </c>
      <c r="L17381">
        <v>811</v>
      </c>
      <c r="M17381">
        <v>1</v>
      </c>
      <c r="N17381">
        <v>0</v>
      </c>
      <c r="O17381">
        <v>3436</v>
      </c>
    </row>
    <row r="17382" spans="1:15" x14ac:dyDescent="0.25">
      <c r="A17382" t="s">
        <v>17395</v>
      </c>
      <c r="B17382">
        <v>233</v>
      </c>
      <c r="C17382" s="1" t="str">
        <f>HYPERLINK("http://www.rosaceae.org/gb/gbrowse/malus_x_domestica/?name=MDP0000151031","MDP0000151031")</f>
        <v>MDP0000151031</v>
      </c>
      <c r="D17382">
        <v>74.319999999999993</v>
      </c>
      <c r="E17382">
        <v>261</v>
      </c>
      <c r="F17382">
        <v>67</v>
      </c>
      <c r="G17382">
        <v>28</v>
      </c>
      <c r="H17382">
        <v>1</v>
      </c>
      <c r="I17382">
        <v>233</v>
      </c>
      <c r="J17382">
        <v>1</v>
      </c>
      <c r="K17382">
        <v>1</v>
      </c>
      <c r="L17382">
        <v>261</v>
      </c>
      <c r="M17382">
        <v>1</v>
      </c>
      <c r="N17382">
        <v>1.12506E-106</v>
      </c>
      <c r="O17382">
        <v>982</v>
      </c>
    </row>
    <row r="17383" spans="1:15" x14ac:dyDescent="0.25">
      <c r="A17383" t="s">
        <v>17396</v>
      </c>
      <c r="B17383">
        <v>141</v>
      </c>
      <c r="C17383" s="1" t="str">
        <f>HYPERLINK("http://www.rosaceae.org/gb/gbrowse/malus_x_domestica/?name=MDP0000373103","MDP0000373103")</f>
        <v>MDP0000373103</v>
      </c>
      <c r="D17383">
        <v>74.819999999999993</v>
      </c>
      <c r="E17383">
        <v>139</v>
      </c>
      <c r="F17383">
        <v>35</v>
      </c>
      <c r="G17383">
        <v>1</v>
      </c>
      <c r="H17383">
        <v>1</v>
      </c>
      <c r="I17383">
        <v>139</v>
      </c>
      <c r="J17383">
        <v>1</v>
      </c>
      <c r="K17383">
        <v>1</v>
      </c>
      <c r="L17383">
        <v>138</v>
      </c>
      <c r="M17383">
        <v>1</v>
      </c>
      <c r="N17383">
        <v>1.52905E-52</v>
      </c>
      <c r="O17383">
        <v>512</v>
      </c>
    </row>
    <row r="17384" spans="1:15" x14ac:dyDescent="0.25">
      <c r="A17384" t="s">
        <v>17397</v>
      </c>
      <c r="B17384">
        <v>276</v>
      </c>
      <c r="C17384" s="1" t="str">
        <f>HYPERLINK("http://www.rosaceae.org/gb/gbrowse/malus_x_domestica/?name=MDP0000264913","MDP0000264913")</f>
        <v>MDP0000264913</v>
      </c>
      <c r="D17384">
        <v>76.27</v>
      </c>
      <c r="E17384">
        <v>295</v>
      </c>
      <c r="F17384">
        <v>70</v>
      </c>
      <c r="G17384">
        <v>51</v>
      </c>
      <c r="H17384">
        <v>1</v>
      </c>
      <c r="I17384">
        <v>274</v>
      </c>
      <c r="J17384">
        <v>1</v>
      </c>
      <c r="K17384">
        <v>1</v>
      </c>
      <c r="L17384">
        <v>265</v>
      </c>
      <c r="M17384">
        <v>1</v>
      </c>
      <c r="N17384">
        <v>4.4129400000000002E-121</v>
      </c>
      <c r="O17384">
        <v>1108</v>
      </c>
    </row>
    <row r="17385" spans="1:15" x14ac:dyDescent="0.25">
      <c r="A17385" t="s">
        <v>17398</v>
      </c>
      <c r="B17385">
        <v>525</v>
      </c>
      <c r="C17385" s="1" t="str">
        <f>HYPERLINK("http://www.rosaceae.org/gb/gbrowse/malus_x_domestica/?name=MDP0000203189","MDP0000203189")</f>
        <v>MDP0000203189</v>
      </c>
      <c r="D17385">
        <v>79.13</v>
      </c>
      <c r="E17385">
        <v>484</v>
      </c>
      <c r="F17385">
        <v>101</v>
      </c>
      <c r="G17385">
        <v>0</v>
      </c>
      <c r="H17385">
        <v>37</v>
      </c>
      <c r="I17385">
        <v>520</v>
      </c>
      <c r="J17385">
        <v>1</v>
      </c>
      <c r="K17385">
        <v>37</v>
      </c>
      <c r="L17385">
        <v>520</v>
      </c>
      <c r="M17385">
        <v>1</v>
      </c>
      <c r="N17385">
        <v>0</v>
      </c>
      <c r="O17385">
        <v>2101</v>
      </c>
    </row>
    <row r="17386" spans="1:15" x14ac:dyDescent="0.25">
      <c r="A17386" t="s">
        <v>17399</v>
      </c>
      <c r="B17386">
        <v>1013</v>
      </c>
      <c r="C17386" s="1" t="str">
        <f>HYPERLINK("http://www.rosaceae.org/gb/gbrowse/malus_x_domestica/?name=MDP0000286135","MDP0000286135")</f>
        <v>MDP0000286135</v>
      </c>
      <c r="D17386">
        <v>71.150000000000006</v>
      </c>
      <c r="E17386">
        <v>475</v>
      </c>
      <c r="F17386">
        <v>137</v>
      </c>
      <c r="G17386">
        <v>8</v>
      </c>
      <c r="H17386">
        <v>535</v>
      </c>
      <c r="I17386">
        <v>1009</v>
      </c>
      <c r="J17386">
        <v>1</v>
      </c>
      <c r="K17386">
        <v>25</v>
      </c>
      <c r="L17386">
        <v>491</v>
      </c>
      <c r="M17386">
        <v>1</v>
      </c>
      <c r="N17386">
        <v>0</v>
      </c>
      <c r="O17386">
        <v>1778</v>
      </c>
    </row>
    <row r="17387" spans="1:15" x14ac:dyDescent="0.25">
      <c r="A17387" t="s">
        <v>17400</v>
      </c>
      <c r="B17387">
        <v>727</v>
      </c>
      <c r="C17387" s="1" t="str">
        <f>HYPERLINK("http://www.rosaceae.org/gb/gbrowse/malus_x_domestica/?name=MDP0000131814","MDP0000131814")</f>
        <v>MDP0000131814</v>
      </c>
      <c r="D17387">
        <v>71.040000000000006</v>
      </c>
      <c r="E17387">
        <v>639</v>
      </c>
      <c r="F17387">
        <v>185</v>
      </c>
      <c r="G17387">
        <v>88</v>
      </c>
      <c r="H17387">
        <v>1</v>
      </c>
      <c r="I17387">
        <v>609</v>
      </c>
      <c r="J17387">
        <v>1</v>
      </c>
      <c r="K17387">
        <v>1</v>
      </c>
      <c r="L17387">
        <v>581</v>
      </c>
      <c r="M17387">
        <v>1</v>
      </c>
      <c r="N17387">
        <v>0</v>
      </c>
      <c r="O17387">
        <v>2209</v>
      </c>
    </row>
    <row r="17388" spans="1:15" x14ac:dyDescent="0.25">
      <c r="A17388" t="s">
        <v>17401</v>
      </c>
      <c r="B17388">
        <v>730</v>
      </c>
      <c r="C17388" s="1" t="str">
        <f>HYPERLINK("http://www.rosaceae.org/gb/gbrowse/malus_x_domestica/?name=MDP0000911385","MDP0000911385")</f>
        <v>MDP0000911385</v>
      </c>
      <c r="D17388">
        <v>64.239999999999995</v>
      </c>
      <c r="E17388">
        <v>593</v>
      </c>
      <c r="F17388">
        <v>212</v>
      </c>
      <c r="G17388">
        <v>7</v>
      </c>
      <c r="H17388">
        <v>30</v>
      </c>
      <c r="I17388">
        <v>616</v>
      </c>
      <c r="J17388">
        <v>1</v>
      </c>
      <c r="K17388">
        <v>73</v>
      </c>
      <c r="L17388">
        <v>664</v>
      </c>
      <c r="M17388">
        <v>1</v>
      </c>
      <c r="N17388">
        <v>0</v>
      </c>
      <c r="O17388">
        <v>2020</v>
      </c>
    </row>
    <row r="17389" spans="1:15" x14ac:dyDescent="0.25">
      <c r="A17389" t="s">
        <v>17402</v>
      </c>
      <c r="B17389">
        <v>312</v>
      </c>
      <c r="C17389" s="1" t="str">
        <f>HYPERLINK("http://www.rosaceae.org/gb/gbrowse/malus_x_domestica/?name=MDP0000449759","MDP0000449759")</f>
        <v>MDP0000449759</v>
      </c>
      <c r="D17389">
        <v>38.61</v>
      </c>
      <c r="E17389">
        <v>246</v>
      </c>
      <c r="F17389">
        <v>151</v>
      </c>
      <c r="G17389">
        <v>22</v>
      </c>
      <c r="H17389">
        <v>8</v>
      </c>
      <c r="I17389">
        <v>247</v>
      </c>
      <c r="J17389">
        <v>1</v>
      </c>
      <c r="K17389">
        <v>50</v>
      </c>
      <c r="L17389">
        <v>279</v>
      </c>
      <c r="M17389">
        <v>1</v>
      </c>
      <c r="N17389">
        <v>2.1309699999999999E-28</v>
      </c>
      <c r="O17389">
        <v>309</v>
      </c>
    </row>
    <row r="17390" spans="1:15" x14ac:dyDescent="0.25">
      <c r="A17390" t="s">
        <v>17403</v>
      </c>
      <c r="B17390">
        <v>382</v>
      </c>
      <c r="C17390" s="1" t="str">
        <f>HYPERLINK("http://www.rosaceae.org/gb/gbrowse/malus_x_domestica/?name=MDP0000335223","MDP0000335223")</f>
        <v>MDP0000335223</v>
      </c>
      <c r="D17390">
        <v>75</v>
      </c>
      <c r="E17390">
        <v>164</v>
      </c>
      <c r="F17390">
        <v>41</v>
      </c>
      <c r="G17390">
        <v>0</v>
      </c>
      <c r="H17390">
        <v>1</v>
      </c>
      <c r="I17390">
        <v>164</v>
      </c>
      <c r="J17390">
        <v>1</v>
      </c>
      <c r="K17390">
        <v>1</v>
      </c>
      <c r="L17390">
        <v>164</v>
      </c>
      <c r="M17390">
        <v>1</v>
      </c>
      <c r="N17390">
        <v>2.5062799999999999E-69</v>
      </c>
      <c r="O17390">
        <v>663</v>
      </c>
    </row>
    <row r="17391" spans="1:15" x14ac:dyDescent="0.25">
      <c r="A17391" t="s">
        <v>17404</v>
      </c>
      <c r="B17391">
        <v>191</v>
      </c>
      <c r="C17391" s="1" t="str">
        <f>HYPERLINK("http://www.rosaceae.org/gb/gbrowse/malus_x_domestica/?name=MDP0000212216","MDP0000212216")</f>
        <v>MDP0000212216</v>
      </c>
      <c r="D17391">
        <v>43.81</v>
      </c>
      <c r="E17391">
        <v>194</v>
      </c>
      <c r="F17391">
        <v>109</v>
      </c>
      <c r="G17391">
        <v>6</v>
      </c>
      <c r="H17391">
        <v>1</v>
      </c>
      <c r="I17391">
        <v>191</v>
      </c>
      <c r="J17391">
        <v>1</v>
      </c>
      <c r="K17391">
        <v>57</v>
      </c>
      <c r="L17391">
        <v>247</v>
      </c>
      <c r="M17391">
        <v>1</v>
      </c>
      <c r="N17391">
        <v>1.6896999999999999E-27</v>
      </c>
      <c r="O17391">
        <v>298</v>
      </c>
    </row>
    <row r="17392" spans="1:15" x14ac:dyDescent="0.25">
      <c r="A17392" t="s">
        <v>17405</v>
      </c>
      <c r="B17392">
        <v>294</v>
      </c>
      <c r="C17392" s="1" t="str">
        <f>HYPERLINK("http://www.rosaceae.org/gb/gbrowse/malus_x_domestica/?name=MDP0000329063","MDP0000329063")</f>
        <v>MDP0000329063</v>
      </c>
      <c r="D17392">
        <v>80.8</v>
      </c>
      <c r="E17392">
        <v>224</v>
      </c>
      <c r="F17392">
        <v>43</v>
      </c>
      <c r="G17392">
        <v>2</v>
      </c>
      <c r="H17392">
        <v>22</v>
      </c>
      <c r="I17392">
        <v>243</v>
      </c>
      <c r="J17392">
        <v>1</v>
      </c>
      <c r="K17392">
        <v>52</v>
      </c>
      <c r="L17392">
        <v>275</v>
      </c>
      <c r="M17392">
        <v>1</v>
      </c>
      <c r="N17392">
        <v>2.2509600000000001E-104</v>
      </c>
      <c r="O17392">
        <v>964</v>
      </c>
    </row>
    <row r="17393" spans="1:15" x14ac:dyDescent="0.25">
      <c r="A17393" t="s">
        <v>17406</v>
      </c>
      <c r="B17393">
        <v>59</v>
      </c>
      <c r="C17393" s="1" t="str">
        <f>HYPERLINK("http://www.rosaceae.org/gb/gbrowse/malus_x_domestica/?name=MDP0000340652","MDP0000340652")</f>
        <v>MDP0000340652</v>
      </c>
      <c r="D17393">
        <v>67.56</v>
      </c>
      <c r="E17393">
        <v>37</v>
      </c>
      <c r="F17393">
        <v>12</v>
      </c>
      <c r="G17393">
        <v>0</v>
      </c>
      <c r="H17393">
        <v>6</v>
      </c>
      <c r="I17393">
        <v>42</v>
      </c>
      <c r="J17393">
        <v>1</v>
      </c>
      <c r="K17393">
        <v>58</v>
      </c>
      <c r="L17393">
        <v>94</v>
      </c>
      <c r="M17393">
        <v>1</v>
      </c>
      <c r="N17393">
        <v>1.7224199999999999E-7</v>
      </c>
      <c r="O17393">
        <v>122</v>
      </c>
    </row>
    <row r="17394" spans="1:15" x14ac:dyDescent="0.25">
      <c r="A17394" t="s">
        <v>17407</v>
      </c>
      <c r="B17394">
        <v>317</v>
      </c>
      <c r="C17394" s="1" t="str">
        <f>HYPERLINK("http://www.rosaceae.org/gb/gbrowse/malus_x_domestica/?name=MDP0000220176","MDP0000220176")</f>
        <v>MDP0000220176</v>
      </c>
      <c r="D17394">
        <v>45.13</v>
      </c>
      <c r="E17394">
        <v>288</v>
      </c>
      <c r="F17394">
        <v>158</v>
      </c>
      <c r="G17394">
        <v>54</v>
      </c>
      <c r="H17394">
        <v>78</v>
      </c>
      <c r="I17394">
        <v>317</v>
      </c>
      <c r="J17394">
        <v>1</v>
      </c>
      <c r="K17394">
        <v>1</v>
      </c>
      <c r="L17394">
        <v>282</v>
      </c>
      <c r="M17394">
        <v>1</v>
      </c>
      <c r="N17394">
        <v>6.4624100000000003E-53</v>
      </c>
      <c r="O17394">
        <v>521</v>
      </c>
    </row>
    <row r="17395" spans="1:15" x14ac:dyDescent="0.25">
      <c r="A17395" t="s">
        <v>17408</v>
      </c>
      <c r="B17395">
        <v>496</v>
      </c>
      <c r="C17395" s="1" t="str">
        <f>HYPERLINK("http://www.rosaceae.org/gb/gbrowse/malus_x_domestica/?name=MDP0000247921","MDP0000247921")</f>
        <v>MDP0000247921</v>
      </c>
      <c r="D17395">
        <v>21.76</v>
      </c>
      <c r="E17395">
        <v>510</v>
      </c>
      <c r="F17395">
        <v>399</v>
      </c>
      <c r="G17395">
        <v>108</v>
      </c>
      <c r="H17395">
        <v>4</v>
      </c>
      <c r="I17395">
        <v>453</v>
      </c>
      <c r="J17395">
        <v>1</v>
      </c>
      <c r="K17395">
        <v>662</v>
      </c>
      <c r="L17395">
        <v>1123</v>
      </c>
      <c r="M17395">
        <v>1</v>
      </c>
      <c r="N17395">
        <v>9.2789200000000001E-16</v>
      </c>
      <c r="O17395">
        <v>202</v>
      </c>
    </row>
    <row r="17396" spans="1:15" x14ac:dyDescent="0.25">
      <c r="A17396" t="s">
        <v>17409</v>
      </c>
      <c r="B17396">
        <v>144</v>
      </c>
      <c r="C17396" s="1" t="str">
        <f>HYPERLINK("http://www.rosaceae.org/gb/gbrowse/malus_x_domestica/?name=MDP0000302554","MDP0000302554")</f>
        <v>MDP0000302554</v>
      </c>
      <c r="D17396">
        <v>42.25</v>
      </c>
      <c r="E17396">
        <v>142</v>
      </c>
      <c r="F17396">
        <v>82</v>
      </c>
      <c r="G17396">
        <v>10</v>
      </c>
      <c r="H17396">
        <v>1</v>
      </c>
      <c r="I17396">
        <v>142</v>
      </c>
      <c r="J17396">
        <v>1</v>
      </c>
      <c r="K17396">
        <v>630</v>
      </c>
      <c r="L17396">
        <v>761</v>
      </c>
      <c r="M17396">
        <v>1</v>
      </c>
      <c r="N17396">
        <v>3.0596600000000001E-27</v>
      </c>
      <c r="O17396">
        <v>294</v>
      </c>
    </row>
    <row r="17397" spans="1:15" x14ac:dyDescent="0.25">
      <c r="A17397" t="s">
        <v>17410</v>
      </c>
      <c r="B17397">
        <v>343</v>
      </c>
      <c r="C17397" s="1" t="str">
        <f>HYPERLINK("http://www.rosaceae.org/gb/gbrowse/malus_x_domestica/?name=MDP0000174950","MDP0000174950")</f>
        <v>MDP0000174950</v>
      </c>
      <c r="D17397">
        <v>53.33</v>
      </c>
      <c r="E17397">
        <v>150</v>
      </c>
      <c r="F17397">
        <v>70</v>
      </c>
      <c r="G17397">
        <v>8</v>
      </c>
      <c r="H17397">
        <v>189</v>
      </c>
      <c r="I17397">
        <v>337</v>
      </c>
      <c r="J17397">
        <v>1</v>
      </c>
      <c r="K17397">
        <v>208</v>
      </c>
      <c r="L17397">
        <v>350</v>
      </c>
      <c r="M17397">
        <v>1</v>
      </c>
      <c r="N17397">
        <v>2.4228800000000003E-35</v>
      </c>
      <c r="O17397">
        <v>369</v>
      </c>
    </row>
    <row r="17398" spans="1:15" x14ac:dyDescent="0.25">
      <c r="A17398" t="s">
        <v>17411</v>
      </c>
      <c r="B17398">
        <v>842</v>
      </c>
      <c r="C17398" s="1" t="str">
        <f>HYPERLINK("http://www.rosaceae.org/gb/gbrowse/malus_x_domestica/?name=MDP0000239686","MDP0000239686")</f>
        <v>MDP0000239686</v>
      </c>
      <c r="D17398">
        <v>74.22</v>
      </c>
      <c r="E17398">
        <v>578</v>
      </c>
      <c r="F17398">
        <v>149</v>
      </c>
      <c r="G17398">
        <v>22</v>
      </c>
      <c r="H17398">
        <v>280</v>
      </c>
      <c r="I17398">
        <v>842</v>
      </c>
      <c r="J17398">
        <v>1</v>
      </c>
      <c r="K17398">
        <v>339</v>
      </c>
      <c r="L17398">
        <v>909</v>
      </c>
      <c r="M17398">
        <v>1</v>
      </c>
      <c r="N17398">
        <v>0</v>
      </c>
      <c r="O17398">
        <v>2198</v>
      </c>
    </row>
    <row r="17399" spans="1:15" x14ac:dyDescent="0.25">
      <c r="A17399" t="s">
        <v>17412</v>
      </c>
      <c r="B17399">
        <v>271</v>
      </c>
      <c r="C17399" s="1" t="str">
        <f>HYPERLINK("http://www.rosaceae.org/gb/gbrowse/malus_x_domestica/?name=MDP0000885773","MDP0000885773")</f>
        <v>MDP0000885773</v>
      </c>
      <c r="D17399">
        <v>32.83</v>
      </c>
      <c r="E17399">
        <v>335</v>
      </c>
      <c r="F17399">
        <v>225</v>
      </c>
      <c r="G17399">
        <v>104</v>
      </c>
      <c r="H17399">
        <v>1</v>
      </c>
      <c r="I17399">
        <v>271</v>
      </c>
      <c r="J17399">
        <v>1</v>
      </c>
      <c r="K17399">
        <v>1</v>
      </c>
      <c r="L17399">
        <v>295</v>
      </c>
      <c r="M17399">
        <v>1</v>
      </c>
      <c r="N17399">
        <v>3.4629400000000002E-22</v>
      </c>
      <c r="O17399">
        <v>255</v>
      </c>
    </row>
    <row r="17400" spans="1:15" x14ac:dyDescent="0.25">
      <c r="A17400" t="s">
        <v>17413</v>
      </c>
      <c r="B17400">
        <v>396</v>
      </c>
      <c r="C17400" s="1" t="str">
        <f>HYPERLINK("http://www.rosaceae.org/gb/gbrowse/malus_x_domestica/?name=MDP0000487229","MDP0000487229")</f>
        <v>MDP0000487229</v>
      </c>
      <c r="D17400">
        <v>95.73</v>
      </c>
      <c r="E17400">
        <v>164</v>
      </c>
      <c r="F17400">
        <v>7</v>
      </c>
      <c r="G17400">
        <v>0</v>
      </c>
      <c r="H17400">
        <v>233</v>
      </c>
      <c r="I17400">
        <v>396</v>
      </c>
      <c r="J17400">
        <v>1</v>
      </c>
      <c r="K17400">
        <v>1</v>
      </c>
      <c r="L17400">
        <v>164</v>
      </c>
      <c r="M17400">
        <v>1</v>
      </c>
      <c r="N17400">
        <v>1.4138500000000001E-88</v>
      </c>
      <c r="O17400">
        <v>829</v>
      </c>
    </row>
    <row r="17401" spans="1:15" x14ac:dyDescent="0.25">
      <c r="A17401" t="s">
        <v>17414</v>
      </c>
      <c r="B17401">
        <v>262</v>
      </c>
      <c r="C17401" s="1" t="str">
        <f>HYPERLINK("http://www.rosaceae.org/gb/gbrowse/malus_x_domestica/?name=MDP0000169903","MDP0000169903")</f>
        <v>MDP0000169903</v>
      </c>
      <c r="D17401">
        <v>82.17</v>
      </c>
      <c r="E17401">
        <v>258</v>
      </c>
      <c r="F17401">
        <v>46</v>
      </c>
      <c r="G17401">
        <v>0</v>
      </c>
      <c r="H17401">
        <v>5</v>
      </c>
      <c r="I17401">
        <v>262</v>
      </c>
      <c r="J17401">
        <v>1</v>
      </c>
      <c r="K17401">
        <v>3</v>
      </c>
      <c r="L17401">
        <v>260</v>
      </c>
      <c r="M17401">
        <v>1</v>
      </c>
      <c r="N17401">
        <v>4.75421E-127</v>
      </c>
      <c r="O17401">
        <v>1159</v>
      </c>
    </row>
    <row r="17402" spans="1:15" x14ac:dyDescent="0.25">
      <c r="A17402" t="s">
        <v>17415</v>
      </c>
      <c r="B17402">
        <v>198</v>
      </c>
      <c r="C17402" s="1" t="str">
        <f>HYPERLINK("http://www.rosaceae.org/gb/gbrowse/malus_x_domestica/?name=MDP0000297641","MDP0000297641")</f>
        <v>MDP0000297641</v>
      </c>
      <c r="D17402">
        <v>42.3</v>
      </c>
      <c r="E17402">
        <v>208</v>
      </c>
      <c r="F17402">
        <v>120</v>
      </c>
      <c r="G17402">
        <v>28</v>
      </c>
      <c r="H17402">
        <v>12</v>
      </c>
      <c r="I17402">
        <v>197</v>
      </c>
      <c r="J17402">
        <v>1</v>
      </c>
      <c r="K17402">
        <v>11</v>
      </c>
      <c r="L17402">
        <v>212</v>
      </c>
      <c r="M17402">
        <v>1</v>
      </c>
      <c r="N17402">
        <v>6.3459400000000007E-30</v>
      </c>
      <c r="O17402">
        <v>320</v>
      </c>
    </row>
    <row r="17403" spans="1:15" x14ac:dyDescent="0.25">
      <c r="A17403" t="s">
        <v>17416</v>
      </c>
      <c r="B17403">
        <v>903</v>
      </c>
      <c r="C17403" s="1" t="str">
        <f>HYPERLINK("http://www.rosaceae.org/gb/gbrowse/malus_x_domestica/?name=MDP0000231565","MDP0000231565")</f>
        <v>MDP0000231565</v>
      </c>
      <c r="D17403">
        <v>73.739999999999995</v>
      </c>
      <c r="E17403">
        <v>716</v>
      </c>
      <c r="F17403">
        <v>188</v>
      </c>
      <c r="G17403">
        <v>40</v>
      </c>
      <c r="H17403">
        <v>1</v>
      </c>
      <c r="I17403">
        <v>711</v>
      </c>
      <c r="J17403">
        <v>1</v>
      </c>
      <c r="K17403">
        <v>1</v>
      </c>
      <c r="L17403">
        <v>681</v>
      </c>
      <c r="M17403">
        <v>1</v>
      </c>
      <c r="N17403">
        <v>0</v>
      </c>
      <c r="O17403">
        <v>2713</v>
      </c>
    </row>
    <row r="17404" spans="1:15" x14ac:dyDescent="0.25">
      <c r="A17404" t="s">
        <v>17417</v>
      </c>
      <c r="B17404">
        <v>571</v>
      </c>
      <c r="C17404" s="1" t="str">
        <f>HYPERLINK("http://www.rosaceae.org/gb/gbrowse/malus_x_domestica/?name=MDP0000646524","MDP0000646524")</f>
        <v>MDP0000646524</v>
      </c>
      <c r="D17404">
        <v>64.7</v>
      </c>
      <c r="E17404">
        <v>255</v>
      </c>
      <c r="F17404">
        <v>90</v>
      </c>
      <c r="G17404">
        <v>26</v>
      </c>
      <c r="H17404">
        <v>263</v>
      </c>
      <c r="I17404">
        <v>517</v>
      </c>
      <c r="J17404">
        <v>1</v>
      </c>
      <c r="K17404">
        <v>1</v>
      </c>
      <c r="L17404">
        <v>229</v>
      </c>
      <c r="M17404">
        <v>1</v>
      </c>
      <c r="N17404">
        <v>1.0860300000000001E-90</v>
      </c>
      <c r="O17404">
        <v>849</v>
      </c>
    </row>
    <row r="17405" spans="1:15" x14ac:dyDescent="0.25">
      <c r="A17405" t="s">
        <v>17418</v>
      </c>
      <c r="B17405">
        <v>1066</v>
      </c>
      <c r="C17405" s="1" t="str">
        <f>HYPERLINK("http://www.rosaceae.org/gb/gbrowse/malus_x_domestica/?name=MDP0000299403","MDP0000299403")</f>
        <v>MDP0000299403</v>
      </c>
      <c r="D17405">
        <v>79.599999999999994</v>
      </c>
      <c r="E17405">
        <v>966</v>
      </c>
      <c r="F17405">
        <v>197</v>
      </c>
      <c r="G17405">
        <v>24</v>
      </c>
      <c r="H17405">
        <v>1</v>
      </c>
      <c r="I17405">
        <v>952</v>
      </c>
      <c r="J17405">
        <v>1</v>
      </c>
      <c r="K17405">
        <v>1</v>
      </c>
      <c r="L17405">
        <v>956</v>
      </c>
      <c r="M17405">
        <v>1</v>
      </c>
      <c r="N17405">
        <v>0</v>
      </c>
      <c r="O17405">
        <v>4110</v>
      </c>
    </row>
    <row r="17406" spans="1:15" x14ac:dyDescent="0.25">
      <c r="A17406" t="s">
        <v>17419</v>
      </c>
      <c r="B17406">
        <v>888</v>
      </c>
      <c r="C17406" s="1" t="str">
        <f>HYPERLINK("http://www.rosaceae.org/gb/gbrowse/malus_x_domestica/?name=MDP0000372941","MDP0000372941")</f>
        <v>MDP0000372941</v>
      </c>
      <c r="D17406">
        <v>77.66</v>
      </c>
      <c r="E17406">
        <v>761</v>
      </c>
      <c r="F17406">
        <v>170</v>
      </c>
      <c r="G17406">
        <v>1</v>
      </c>
      <c r="H17406">
        <v>2</v>
      </c>
      <c r="I17406">
        <v>761</v>
      </c>
      <c r="J17406">
        <v>1</v>
      </c>
      <c r="K17406">
        <v>5</v>
      </c>
      <c r="L17406">
        <v>765</v>
      </c>
      <c r="M17406">
        <v>1</v>
      </c>
      <c r="N17406">
        <v>0</v>
      </c>
      <c r="O17406">
        <v>3208</v>
      </c>
    </row>
    <row r="17407" spans="1:15" x14ac:dyDescent="0.25">
      <c r="A17407" t="s">
        <v>17420</v>
      </c>
      <c r="B17407">
        <v>142</v>
      </c>
      <c r="C17407" s="1" t="str">
        <f>HYPERLINK("http://www.rosaceae.org/gb/gbrowse/malus_x_domestica/?name=MDP0000241355","MDP0000241355")</f>
        <v>MDP0000241355</v>
      </c>
      <c r="D17407">
        <v>73.91</v>
      </c>
      <c r="E17407">
        <v>115</v>
      </c>
      <c r="F17407">
        <v>30</v>
      </c>
      <c r="G17407">
        <v>4</v>
      </c>
      <c r="H17407">
        <v>20</v>
      </c>
      <c r="I17407">
        <v>130</v>
      </c>
      <c r="J17407">
        <v>1</v>
      </c>
      <c r="K17407">
        <v>89</v>
      </c>
      <c r="L17407">
        <v>203</v>
      </c>
      <c r="M17407">
        <v>1</v>
      </c>
      <c r="N17407">
        <v>1.15961E-41</v>
      </c>
      <c r="O17407">
        <v>418</v>
      </c>
    </row>
    <row r="17408" spans="1:15" x14ac:dyDescent="0.25">
      <c r="A17408" t="s">
        <v>17421</v>
      </c>
      <c r="B17408">
        <v>238</v>
      </c>
      <c r="C17408" s="1" t="str">
        <f>HYPERLINK("http://www.rosaceae.org/gb/gbrowse/malus_x_domestica/?name=MDP0000319447","MDP0000319447")</f>
        <v>MDP0000319447</v>
      </c>
      <c r="D17408">
        <v>24.84</v>
      </c>
      <c r="E17408">
        <v>161</v>
      </c>
      <c r="F17408">
        <v>121</v>
      </c>
      <c r="G17408">
        <v>11</v>
      </c>
      <c r="H17408">
        <v>21</v>
      </c>
      <c r="I17408">
        <v>181</v>
      </c>
      <c r="J17408">
        <v>1</v>
      </c>
      <c r="K17408">
        <v>1029</v>
      </c>
      <c r="L17408">
        <v>1178</v>
      </c>
      <c r="M17408">
        <v>1</v>
      </c>
      <c r="N17408">
        <v>3.3217999999999998E-10</v>
      </c>
      <c r="O17408">
        <v>151</v>
      </c>
    </row>
    <row r="17409" spans="1:15" x14ac:dyDescent="0.25">
      <c r="A17409" t="s">
        <v>17422</v>
      </c>
      <c r="B17409">
        <v>195</v>
      </c>
      <c r="C17409" s="1" t="str">
        <f>HYPERLINK("http://www.rosaceae.org/gb/gbrowse/malus_x_domestica/?name=MDP0000210534","MDP0000210534")</f>
        <v>MDP0000210534</v>
      </c>
      <c r="D17409">
        <v>59.18</v>
      </c>
      <c r="E17409">
        <v>49</v>
      </c>
      <c r="F17409">
        <v>20</v>
      </c>
      <c r="G17409">
        <v>0</v>
      </c>
      <c r="H17409">
        <v>2</v>
      </c>
      <c r="I17409">
        <v>50</v>
      </c>
      <c r="J17409">
        <v>1</v>
      </c>
      <c r="K17409">
        <v>110</v>
      </c>
      <c r="L17409">
        <v>158</v>
      </c>
      <c r="M17409">
        <v>1</v>
      </c>
      <c r="N17409">
        <v>1.37849E-11</v>
      </c>
      <c r="O17409">
        <v>161</v>
      </c>
    </row>
    <row r="17410" spans="1:15" x14ac:dyDescent="0.25">
      <c r="A17410" t="s">
        <v>17423</v>
      </c>
      <c r="B17410">
        <v>246</v>
      </c>
      <c r="C17410" s="1" t="str">
        <f>HYPERLINK("http://www.rosaceae.org/gb/gbrowse/malus_x_domestica/?name=MDP0000147702","MDP0000147702")</f>
        <v>MDP0000147702</v>
      </c>
      <c r="D17410">
        <v>83.84</v>
      </c>
      <c r="E17410">
        <v>229</v>
      </c>
      <c r="F17410">
        <v>37</v>
      </c>
      <c r="G17410">
        <v>9</v>
      </c>
      <c r="H17410">
        <v>26</v>
      </c>
      <c r="I17410">
        <v>245</v>
      </c>
      <c r="J17410">
        <v>1</v>
      </c>
      <c r="K17410">
        <v>26</v>
      </c>
      <c r="L17410">
        <v>254</v>
      </c>
      <c r="M17410">
        <v>1</v>
      </c>
      <c r="N17410">
        <v>2.9568000000000002E-109</v>
      </c>
      <c r="O17410">
        <v>1005</v>
      </c>
    </row>
    <row r="17411" spans="1:15" x14ac:dyDescent="0.25">
      <c r="A17411" t="s">
        <v>17424</v>
      </c>
      <c r="B17411">
        <v>252</v>
      </c>
      <c r="C17411" s="1" t="str">
        <f>HYPERLINK("http://www.rosaceae.org/gb/gbrowse/malus_x_domestica/?name=MDP0000187064","MDP0000187064")</f>
        <v>MDP0000187064</v>
      </c>
      <c r="D17411">
        <v>58.04</v>
      </c>
      <c r="E17411">
        <v>143</v>
      </c>
      <c r="F17411">
        <v>60</v>
      </c>
      <c r="G17411">
        <v>0</v>
      </c>
      <c r="H17411">
        <v>16</v>
      </c>
      <c r="I17411">
        <v>158</v>
      </c>
      <c r="J17411">
        <v>1</v>
      </c>
      <c r="K17411">
        <v>314</v>
      </c>
      <c r="L17411">
        <v>456</v>
      </c>
      <c r="M17411">
        <v>1</v>
      </c>
      <c r="N17411">
        <v>2.3236099999999998E-44</v>
      </c>
      <c r="O17411">
        <v>446</v>
      </c>
    </row>
    <row r="17412" spans="1:15" x14ac:dyDescent="0.25">
      <c r="A17412" t="s">
        <v>17425</v>
      </c>
      <c r="B17412">
        <v>422</v>
      </c>
      <c r="C17412" s="1" t="str">
        <f>HYPERLINK("http://www.rosaceae.org/gb/gbrowse/malus_x_domestica/?name=MDP0000228499","MDP0000228499")</f>
        <v>MDP0000228499</v>
      </c>
      <c r="D17412">
        <v>90.9</v>
      </c>
      <c r="E17412">
        <v>341</v>
      </c>
      <c r="F17412">
        <v>31</v>
      </c>
      <c r="G17412">
        <v>3</v>
      </c>
      <c r="H17412">
        <v>81</v>
      </c>
      <c r="I17412">
        <v>418</v>
      </c>
      <c r="J17412">
        <v>1</v>
      </c>
      <c r="K17412">
        <v>1</v>
      </c>
      <c r="L17412">
        <v>341</v>
      </c>
      <c r="M17412">
        <v>1</v>
      </c>
      <c r="N17412">
        <v>0</v>
      </c>
      <c r="O17412">
        <v>1663</v>
      </c>
    </row>
    <row r="17413" spans="1:15" x14ac:dyDescent="0.25">
      <c r="A17413" t="s">
        <v>17426</v>
      </c>
      <c r="B17413">
        <v>643</v>
      </c>
      <c r="C17413" s="1" t="str">
        <f>HYPERLINK("http://www.rosaceae.org/gb/gbrowse/malus_x_domestica/?name=MDP0000295783","MDP0000295783")</f>
        <v>MDP0000295783</v>
      </c>
      <c r="D17413">
        <v>67.760000000000005</v>
      </c>
      <c r="E17413">
        <v>577</v>
      </c>
      <c r="F17413">
        <v>186</v>
      </c>
      <c r="G17413">
        <v>48</v>
      </c>
      <c r="H17413">
        <v>98</v>
      </c>
      <c r="I17413">
        <v>643</v>
      </c>
      <c r="J17413">
        <v>1</v>
      </c>
      <c r="K17413">
        <v>215</v>
      </c>
      <c r="L17413">
        <v>774</v>
      </c>
      <c r="M17413">
        <v>1</v>
      </c>
      <c r="N17413">
        <v>0</v>
      </c>
      <c r="O17413">
        <v>1899</v>
      </c>
    </row>
    <row r="17414" spans="1:15" x14ac:dyDescent="0.25">
      <c r="A17414" t="s">
        <v>17427</v>
      </c>
      <c r="B17414">
        <v>1322</v>
      </c>
      <c r="C17414" s="1" t="str">
        <f>HYPERLINK("http://www.rosaceae.org/gb/gbrowse/malus_x_domestica/?name=MDP0000391678","MDP0000391678")</f>
        <v>MDP0000391678</v>
      </c>
      <c r="D17414">
        <v>73.25</v>
      </c>
      <c r="E17414">
        <v>516</v>
      </c>
      <c r="F17414">
        <v>138</v>
      </c>
      <c r="G17414">
        <v>27</v>
      </c>
      <c r="H17414">
        <v>147</v>
      </c>
      <c r="I17414">
        <v>655</v>
      </c>
      <c r="J17414">
        <v>1</v>
      </c>
      <c r="K17414">
        <v>25</v>
      </c>
      <c r="L17414">
        <v>520</v>
      </c>
      <c r="M17414">
        <v>1</v>
      </c>
      <c r="N17414">
        <v>0</v>
      </c>
      <c r="O17414">
        <v>1933</v>
      </c>
    </row>
    <row r="17415" spans="1:15" x14ac:dyDescent="0.25">
      <c r="A17415" t="s">
        <v>17428</v>
      </c>
      <c r="B17415">
        <v>671</v>
      </c>
      <c r="C17415" s="1" t="str">
        <f>HYPERLINK("http://www.rosaceae.org/gb/gbrowse/malus_x_domestica/?name=MDP0000410714","MDP0000410714")</f>
        <v>MDP0000410714</v>
      </c>
      <c r="D17415">
        <v>69.739999999999995</v>
      </c>
      <c r="E17415">
        <v>195</v>
      </c>
      <c r="F17415">
        <v>59</v>
      </c>
      <c r="G17415">
        <v>0</v>
      </c>
      <c r="H17415">
        <v>1</v>
      </c>
      <c r="I17415">
        <v>195</v>
      </c>
      <c r="J17415">
        <v>1</v>
      </c>
      <c r="K17415">
        <v>1</v>
      </c>
      <c r="L17415">
        <v>195</v>
      </c>
      <c r="M17415">
        <v>1</v>
      </c>
      <c r="N17415">
        <v>4.1743500000000002E-74</v>
      </c>
      <c r="O17415">
        <v>707</v>
      </c>
    </row>
    <row r="17416" spans="1:15" x14ac:dyDescent="0.25">
      <c r="A17416" t="s">
        <v>17429</v>
      </c>
      <c r="B17416">
        <v>493</v>
      </c>
      <c r="C17416" s="1" t="str">
        <f>HYPERLINK("http://www.rosaceae.org/gb/gbrowse/malus_x_domestica/?name=MDP0000666670","MDP0000666670")</f>
        <v>MDP0000666670</v>
      </c>
      <c r="D17416">
        <v>77.319999999999993</v>
      </c>
      <c r="E17416">
        <v>419</v>
      </c>
      <c r="F17416">
        <v>95</v>
      </c>
      <c r="G17416">
        <v>15</v>
      </c>
      <c r="H17416">
        <v>1</v>
      </c>
      <c r="I17416">
        <v>412</v>
      </c>
      <c r="J17416">
        <v>1</v>
      </c>
      <c r="K17416">
        <v>1</v>
      </c>
      <c r="L17416">
        <v>411</v>
      </c>
      <c r="M17416">
        <v>1</v>
      </c>
      <c r="N17416">
        <v>0</v>
      </c>
      <c r="O17416">
        <v>1654</v>
      </c>
    </row>
    <row r="17417" spans="1:15" x14ac:dyDescent="0.25">
      <c r="A17417" t="s">
        <v>17430</v>
      </c>
      <c r="B17417">
        <v>397</v>
      </c>
      <c r="C17417" s="1" t="str">
        <f>HYPERLINK("http://www.rosaceae.org/gb/gbrowse/malus_x_domestica/?name=MDP0000311934","MDP0000311934")</f>
        <v>MDP0000311934</v>
      </c>
      <c r="D17417">
        <v>64.680000000000007</v>
      </c>
      <c r="E17417">
        <v>235</v>
      </c>
      <c r="F17417">
        <v>83</v>
      </c>
      <c r="G17417">
        <v>16</v>
      </c>
      <c r="H17417">
        <v>171</v>
      </c>
      <c r="I17417">
        <v>397</v>
      </c>
      <c r="J17417">
        <v>1</v>
      </c>
      <c r="K17417">
        <v>160</v>
      </c>
      <c r="L17417">
        <v>386</v>
      </c>
      <c r="M17417">
        <v>1</v>
      </c>
      <c r="N17417">
        <v>4.3913700000000002E-76</v>
      </c>
      <c r="O17417">
        <v>722</v>
      </c>
    </row>
    <row r="17418" spans="1:15" x14ac:dyDescent="0.25">
      <c r="A17418" t="s">
        <v>17431</v>
      </c>
      <c r="B17418">
        <v>363</v>
      </c>
      <c r="C17418" s="1" t="str">
        <f>HYPERLINK("http://www.rosaceae.org/gb/gbrowse/malus_x_domestica/?name=MDP0000269225","MDP0000269225")</f>
        <v>MDP0000269225</v>
      </c>
      <c r="D17418">
        <v>40</v>
      </c>
      <c r="E17418">
        <v>110</v>
      </c>
      <c r="F17418">
        <v>66</v>
      </c>
      <c r="G17418">
        <v>1</v>
      </c>
      <c r="H17418">
        <v>79</v>
      </c>
      <c r="I17418">
        <v>188</v>
      </c>
      <c r="J17418">
        <v>1</v>
      </c>
      <c r="K17418">
        <v>229</v>
      </c>
      <c r="L17418">
        <v>337</v>
      </c>
      <c r="M17418">
        <v>1</v>
      </c>
      <c r="N17418">
        <v>2.33263E-14</v>
      </c>
      <c r="O17418">
        <v>189</v>
      </c>
    </row>
    <row r="17419" spans="1:15" x14ac:dyDescent="0.25">
      <c r="A17419" t="s">
        <v>17432</v>
      </c>
      <c r="B17419">
        <v>309</v>
      </c>
      <c r="C17419" s="1" t="str">
        <f>HYPERLINK("http://www.rosaceae.org/gb/gbrowse/malus_x_domestica/?name=MDP0000239946","MDP0000239946")</f>
        <v>MDP0000239946</v>
      </c>
      <c r="D17419">
        <v>78.430000000000007</v>
      </c>
      <c r="E17419">
        <v>306</v>
      </c>
      <c r="F17419">
        <v>66</v>
      </c>
      <c r="G17419">
        <v>0</v>
      </c>
      <c r="H17419">
        <v>4</v>
      </c>
      <c r="I17419">
        <v>309</v>
      </c>
      <c r="J17419">
        <v>1</v>
      </c>
      <c r="K17419">
        <v>38</v>
      </c>
      <c r="L17419">
        <v>343</v>
      </c>
      <c r="M17419">
        <v>1</v>
      </c>
      <c r="N17419">
        <v>4.26774E-144</v>
      </c>
      <c r="O17419">
        <v>1307</v>
      </c>
    </row>
    <row r="17420" spans="1:15" x14ac:dyDescent="0.25">
      <c r="A17420" t="s">
        <v>17433</v>
      </c>
      <c r="B17420">
        <v>135</v>
      </c>
      <c r="C17420" s="1" t="str">
        <f>HYPERLINK("http://www.rosaceae.org/gb/gbrowse/malus_x_domestica/?name=MDP0000306704","MDP0000306704")</f>
        <v>MDP0000306704</v>
      </c>
      <c r="D17420">
        <v>33.33</v>
      </c>
      <c r="E17420">
        <v>138</v>
      </c>
      <c r="F17420">
        <v>92</v>
      </c>
      <c r="G17420">
        <v>14</v>
      </c>
      <c r="H17420">
        <v>2</v>
      </c>
      <c r="I17420">
        <v>126</v>
      </c>
      <c r="J17420">
        <v>1</v>
      </c>
      <c r="K17420">
        <v>273</v>
      </c>
      <c r="L17420">
        <v>409</v>
      </c>
      <c r="M17420">
        <v>1</v>
      </c>
      <c r="N17420">
        <v>2.9956199999999998E-13</v>
      </c>
      <c r="O17420">
        <v>173</v>
      </c>
    </row>
    <row r="17421" spans="1:15" x14ac:dyDescent="0.25">
      <c r="A17421" t="s">
        <v>17434</v>
      </c>
      <c r="B17421">
        <v>384</v>
      </c>
      <c r="C17421" s="1" t="str">
        <f>HYPERLINK("http://www.rosaceae.org/gb/gbrowse/malus_x_domestica/?name=MDP0000143705","MDP0000143705")</f>
        <v>MDP0000143705</v>
      </c>
      <c r="D17421">
        <v>52.94</v>
      </c>
      <c r="E17421">
        <v>51</v>
      </c>
      <c r="F17421">
        <v>24</v>
      </c>
      <c r="G17421">
        <v>1</v>
      </c>
      <c r="H17421">
        <v>249</v>
      </c>
      <c r="I17421">
        <v>299</v>
      </c>
      <c r="J17421">
        <v>1</v>
      </c>
      <c r="K17421">
        <v>10</v>
      </c>
      <c r="L17421">
        <v>59</v>
      </c>
      <c r="M17421">
        <v>1</v>
      </c>
      <c r="N17421">
        <v>7.7250800000000004E-10</v>
      </c>
      <c r="O17421">
        <v>150</v>
      </c>
    </row>
    <row r="17422" spans="1:15" x14ac:dyDescent="0.25">
      <c r="A17422" t="s">
        <v>17435</v>
      </c>
      <c r="B17422">
        <v>350</v>
      </c>
      <c r="C17422" s="1" t="str">
        <f>HYPERLINK("http://www.rosaceae.org/gb/gbrowse/malus_x_domestica/?name=MDP0000345606","MDP0000345606")</f>
        <v>MDP0000345606</v>
      </c>
      <c r="D17422">
        <v>78.510000000000005</v>
      </c>
      <c r="E17422">
        <v>363</v>
      </c>
      <c r="F17422">
        <v>78</v>
      </c>
      <c r="G17422">
        <v>15</v>
      </c>
      <c r="H17422">
        <v>1</v>
      </c>
      <c r="I17422">
        <v>350</v>
      </c>
      <c r="J17422">
        <v>1</v>
      </c>
      <c r="K17422">
        <v>18</v>
      </c>
      <c r="L17422">
        <v>378</v>
      </c>
      <c r="M17422">
        <v>1</v>
      </c>
      <c r="N17422">
        <v>4.5711599999999998E-161</v>
      </c>
      <c r="O17422">
        <v>1454</v>
      </c>
    </row>
    <row r="17423" spans="1:15" x14ac:dyDescent="0.25">
      <c r="A17423" t="s">
        <v>17436</v>
      </c>
      <c r="B17423">
        <v>979</v>
      </c>
      <c r="C17423" s="1" t="str">
        <f>HYPERLINK("http://www.rosaceae.org/gb/gbrowse/malus_x_domestica/?name=MDP0000248511","MDP0000248511")</f>
        <v>MDP0000248511</v>
      </c>
      <c r="D17423">
        <v>52.9</v>
      </c>
      <c r="E17423">
        <v>344</v>
      </c>
      <c r="F17423">
        <v>162</v>
      </c>
      <c r="G17423">
        <v>69</v>
      </c>
      <c r="H17423">
        <v>16</v>
      </c>
      <c r="I17423">
        <v>323</v>
      </c>
      <c r="J17423">
        <v>1</v>
      </c>
      <c r="K17423">
        <v>2</v>
      </c>
      <c r="L17423">
        <v>312</v>
      </c>
      <c r="M17423">
        <v>1</v>
      </c>
      <c r="N17423">
        <v>1.0784299999999999E-99</v>
      </c>
      <c r="O17423">
        <v>929</v>
      </c>
    </row>
    <row r="17424" spans="1:15" x14ac:dyDescent="0.25">
      <c r="A17424" t="s">
        <v>17437</v>
      </c>
      <c r="B17424">
        <v>482</v>
      </c>
      <c r="C17424" s="1" t="str">
        <f>HYPERLINK("http://www.rosaceae.org/gb/gbrowse/malus_x_domestica/?name=MDP0000417211","MDP0000417211")</f>
        <v>MDP0000417211</v>
      </c>
      <c r="D17424">
        <v>39.28</v>
      </c>
      <c r="E17424">
        <v>112</v>
      </c>
      <c r="F17424">
        <v>68</v>
      </c>
      <c r="G17424">
        <v>2</v>
      </c>
      <c r="H17424">
        <v>85</v>
      </c>
      <c r="I17424">
        <v>195</v>
      </c>
      <c r="J17424">
        <v>1</v>
      </c>
      <c r="K17424">
        <v>50</v>
      </c>
      <c r="L17424">
        <v>160</v>
      </c>
      <c r="M17424">
        <v>1</v>
      </c>
      <c r="N17424">
        <v>2.0544700000000001E-18</v>
      </c>
      <c r="O17424">
        <v>225</v>
      </c>
    </row>
    <row r="17425" spans="1:15" x14ac:dyDescent="0.25">
      <c r="A17425" t="s">
        <v>17438</v>
      </c>
      <c r="B17425">
        <v>494</v>
      </c>
      <c r="C17425" s="1" t="str">
        <f>HYPERLINK("http://www.rosaceae.org/gb/gbrowse/malus_x_domestica/?name=MDP0000155770","MDP0000155770")</f>
        <v>MDP0000155770</v>
      </c>
      <c r="D17425">
        <v>91.73</v>
      </c>
      <c r="E17425">
        <v>242</v>
      </c>
      <c r="F17425">
        <v>20</v>
      </c>
      <c r="G17425">
        <v>0</v>
      </c>
      <c r="H17425">
        <v>253</v>
      </c>
      <c r="I17425">
        <v>494</v>
      </c>
      <c r="J17425">
        <v>1</v>
      </c>
      <c r="K17425">
        <v>1</v>
      </c>
      <c r="L17425">
        <v>242</v>
      </c>
      <c r="M17425">
        <v>1</v>
      </c>
      <c r="N17425">
        <v>5.1019700000000002E-133</v>
      </c>
      <c r="O17425">
        <v>1214</v>
      </c>
    </row>
    <row r="17426" spans="1:15" x14ac:dyDescent="0.25">
      <c r="A17426" t="s">
        <v>17439</v>
      </c>
      <c r="B17426">
        <v>532</v>
      </c>
      <c r="C17426" s="1" t="str">
        <f>HYPERLINK("http://www.rosaceae.org/gb/gbrowse/malus_x_domestica/?name=MDP0000251865","MDP0000251865")</f>
        <v>MDP0000251865</v>
      </c>
      <c r="D17426">
        <v>45.92</v>
      </c>
      <c r="E17426">
        <v>540</v>
      </c>
      <c r="F17426">
        <v>292</v>
      </c>
      <c r="G17426">
        <v>53</v>
      </c>
      <c r="H17426">
        <v>4</v>
      </c>
      <c r="I17426">
        <v>528</v>
      </c>
      <c r="J17426">
        <v>1</v>
      </c>
      <c r="K17426">
        <v>100</v>
      </c>
      <c r="L17426">
        <v>601</v>
      </c>
      <c r="M17426">
        <v>1</v>
      </c>
      <c r="N17426">
        <v>3.4742699999999999E-113</v>
      </c>
      <c r="O17426">
        <v>1043</v>
      </c>
    </row>
    <row r="17427" spans="1:15" x14ac:dyDescent="0.25">
      <c r="A17427" t="s">
        <v>17440</v>
      </c>
      <c r="B17427">
        <v>144</v>
      </c>
      <c r="C17427" s="1" t="str">
        <f>HYPERLINK("http://www.rosaceae.org/gb/gbrowse/malus_x_domestica/?name=MDP0000868205","MDP0000868205")</f>
        <v>MDP0000868205</v>
      </c>
      <c r="D17427">
        <v>56.36</v>
      </c>
      <c r="E17427">
        <v>55</v>
      </c>
      <c r="F17427">
        <v>24</v>
      </c>
      <c r="G17427">
        <v>0</v>
      </c>
      <c r="H17427">
        <v>52</v>
      </c>
      <c r="I17427">
        <v>106</v>
      </c>
      <c r="J17427">
        <v>1</v>
      </c>
      <c r="K17427">
        <v>92</v>
      </c>
      <c r="L17427">
        <v>146</v>
      </c>
      <c r="M17427">
        <v>1</v>
      </c>
      <c r="N17427">
        <v>9.7948100000000003E-14</v>
      </c>
      <c r="O17427">
        <v>177</v>
      </c>
    </row>
    <row r="17428" spans="1:15" x14ac:dyDescent="0.25">
      <c r="A17428" t="s">
        <v>17441</v>
      </c>
      <c r="B17428">
        <v>259</v>
      </c>
      <c r="C17428" s="1" t="str">
        <f>HYPERLINK("http://www.rosaceae.org/gb/gbrowse/malus_x_domestica/?name=MDP0000279928","MDP0000279928")</f>
        <v>MDP0000279928</v>
      </c>
      <c r="D17428">
        <v>71.77</v>
      </c>
      <c r="E17428">
        <v>248</v>
      </c>
      <c r="F17428">
        <v>70</v>
      </c>
      <c r="G17428">
        <v>1</v>
      </c>
      <c r="H17428">
        <v>1</v>
      </c>
      <c r="I17428">
        <v>248</v>
      </c>
      <c r="J17428">
        <v>1</v>
      </c>
      <c r="K17428">
        <v>1</v>
      </c>
      <c r="L17428">
        <v>247</v>
      </c>
      <c r="M17428">
        <v>1</v>
      </c>
      <c r="N17428">
        <v>1.1773600000000001E-99</v>
      </c>
      <c r="O17428">
        <v>923</v>
      </c>
    </row>
    <row r="17429" spans="1:15" x14ac:dyDescent="0.25">
      <c r="A17429" t="s">
        <v>17442</v>
      </c>
      <c r="B17429">
        <v>528</v>
      </c>
      <c r="C17429" s="1" t="str">
        <f>HYPERLINK("http://www.rosaceae.org/gb/gbrowse/malus_x_domestica/?name=MDP0000301072","MDP0000301072")</f>
        <v>MDP0000301072</v>
      </c>
      <c r="D17429">
        <v>70.83</v>
      </c>
      <c r="E17429">
        <v>120</v>
      </c>
      <c r="F17429">
        <v>35</v>
      </c>
      <c r="G17429">
        <v>11</v>
      </c>
      <c r="H17429">
        <v>408</v>
      </c>
      <c r="I17429">
        <v>527</v>
      </c>
      <c r="J17429">
        <v>1</v>
      </c>
      <c r="K17429">
        <v>37</v>
      </c>
      <c r="L17429">
        <v>145</v>
      </c>
      <c r="M17429">
        <v>1</v>
      </c>
      <c r="N17429">
        <v>5.4214499999999999E-42</v>
      </c>
      <c r="O17429">
        <v>429</v>
      </c>
    </row>
    <row r="17430" spans="1:15" x14ac:dyDescent="0.25">
      <c r="A17430" t="s">
        <v>17443</v>
      </c>
      <c r="B17430">
        <v>366</v>
      </c>
      <c r="C17430" s="1" t="str">
        <f>HYPERLINK("http://www.rosaceae.org/gb/gbrowse/malus_x_domestica/?name=MDP0000245234","MDP0000245234")</f>
        <v>MDP0000245234</v>
      </c>
      <c r="D17430">
        <v>66.47</v>
      </c>
      <c r="E17430">
        <v>355</v>
      </c>
      <c r="F17430">
        <v>119</v>
      </c>
      <c r="G17430">
        <v>9</v>
      </c>
      <c r="H17430">
        <v>1</v>
      </c>
      <c r="I17430">
        <v>347</v>
      </c>
      <c r="J17430">
        <v>1</v>
      </c>
      <c r="K17430">
        <v>1</v>
      </c>
      <c r="L17430">
        <v>354</v>
      </c>
      <c r="M17430">
        <v>1</v>
      </c>
      <c r="N17430">
        <v>7.5913500000000004E-128</v>
      </c>
      <c r="O17430">
        <v>1168</v>
      </c>
    </row>
    <row r="17431" spans="1:15" x14ac:dyDescent="0.25">
      <c r="A17431" t="s">
        <v>17444</v>
      </c>
      <c r="B17431">
        <v>515</v>
      </c>
      <c r="C17431" s="1" t="str">
        <f>HYPERLINK("http://www.rosaceae.org/gb/gbrowse/malus_x_domestica/?name=MDP0000692433","MDP0000692433")</f>
        <v>MDP0000692433</v>
      </c>
      <c r="D17431">
        <v>92.85</v>
      </c>
      <c r="E17431">
        <v>518</v>
      </c>
      <c r="F17431">
        <v>37</v>
      </c>
      <c r="G17431">
        <v>3</v>
      </c>
      <c r="H17431">
        <v>1</v>
      </c>
      <c r="I17431">
        <v>515</v>
      </c>
      <c r="J17431">
        <v>1</v>
      </c>
      <c r="K17431">
        <v>277</v>
      </c>
      <c r="L17431">
        <v>794</v>
      </c>
      <c r="M17431">
        <v>1</v>
      </c>
      <c r="N17431">
        <v>0</v>
      </c>
      <c r="O17431">
        <v>2593</v>
      </c>
    </row>
    <row r="17432" spans="1:15" x14ac:dyDescent="0.25">
      <c r="A17432" t="s">
        <v>17445</v>
      </c>
      <c r="B17432">
        <v>536</v>
      </c>
      <c r="C17432" s="1" t="str">
        <f>HYPERLINK("http://www.rosaceae.org/gb/gbrowse/malus_x_domestica/?name=MDP0000319223","MDP0000319223")</f>
        <v>MDP0000319223</v>
      </c>
      <c r="D17432">
        <v>62.71</v>
      </c>
      <c r="E17432">
        <v>59</v>
      </c>
      <c r="F17432">
        <v>22</v>
      </c>
      <c r="G17432">
        <v>0</v>
      </c>
      <c r="H17432">
        <v>287</v>
      </c>
      <c r="I17432">
        <v>345</v>
      </c>
      <c r="J17432">
        <v>1</v>
      </c>
      <c r="K17432">
        <v>39</v>
      </c>
      <c r="L17432">
        <v>97</v>
      </c>
      <c r="M17432">
        <v>1</v>
      </c>
      <c r="N17432">
        <v>4.0879800000000002E-16</v>
      </c>
      <c r="O17432">
        <v>206</v>
      </c>
    </row>
    <row r="17433" spans="1:15" x14ac:dyDescent="0.25">
      <c r="A17433" t="s">
        <v>17446</v>
      </c>
      <c r="B17433">
        <v>211</v>
      </c>
      <c r="C17433" s="1" t="str">
        <f>HYPERLINK("http://www.rosaceae.org/gb/gbrowse/malus_x_domestica/?name=MDP0000137468","MDP0000137468")</f>
        <v>MDP0000137468</v>
      </c>
      <c r="D17433">
        <v>63.38</v>
      </c>
      <c r="E17433">
        <v>213</v>
      </c>
      <c r="F17433">
        <v>78</v>
      </c>
      <c r="G17433">
        <v>5</v>
      </c>
      <c r="H17433">
        <v>1</v>
      </c>
      <c r="I17433">
        <v>211</v>
      </c>
      <c r="J17433">
        <v>1</v>
      </c>
      <c r="K17433">
        <v>1</v>
      </c>
      <c r="L17433">
        <v>210</v>
      </c>
      <c r="M17433">
        <v>1</v>
      </c>
      <c r="N17433">
        <v>1.2563900000000001E-66</v>
      </c>
      <c r="O17433">
        <v>636</v>
      </c>
    </row>
    <row r="17434" spans="1:15" x14ac:dyDescent="0.25">
      <c r="A17434" t="s">
        <v>17447</v>
      </c>
      <c r="B17434">
        <v>201</v>
      </c>
      <c r="C17434" s="1" t="str">
        <f>HYPERLINK("http://www.rosaceae.org/gb/gbrowse/malus_x_domestica/?name=MDP0000133444","MDP0000133444")</f>
        <v>MDP0000133444</v>
      </c>
      <c r="D17434">
        <v>68.75</v>
      </c>
      <c r="E17434">
        <v>208</v>
      </c>
      <c r="F17434">
        <v>65</v>
      </c>
      <c r="G17434">
        <v>15</v>
      </c>
      <c r="H17434">
        <v>1</v>
      </c>
      <c r="I17434">
        <v>196</v>
      </c>
      <c r="J17434">
        <v>1</v>
      </c>
      <c r="K17434">
        <v>1</v>
      </c>
      <c r="L17434">
        <v>205</v>
      </c>
      <c r="M17434">
        <v>1</v>
      </c>
      <c r="N17434">
        <v>1.7865000000000001E-72</v>
      </c>
      <c r="O17434">
        <v>687</v>
      </c>
    </row>
    <row r="17435" spans="1:15" x14ac:dyDescent="0.25">
      <c r="A17435" t="s">
        <v>17448</v>
      </c>
      <c r="B17435">
        <v>477</v>
      </c>
      <c r="C17435" s="1" t="str">
        <f>HYPERLINK("http://www.rosaceae.org/gb/gbrowse/malus_x_domestica/?name=MDP0000176465","MDP0000176465")</f>
        <v>MDP0000176465</v>
      </c>
      <c r="D17435">
        <v>42.51</v>
      </c>
      <c r="E17435">
        <v>494</v>
      </c>
      <c r="F17435">
        <v>284</v>
      </c>
      <c r="G17435">
        <v>38</v>
      </c>
      <c r="H17435">
        <v>3</v>
      </c>
      <c r="I17435">
        <v>473</v>
      </c>
      <c r="J17435">
        <v>1</v>
      </c>
      <c r="K17435">
        <v>5</v>
      </c>
      <c r="L17435">
        <v>483</v>
      </c>
      <c r="M17435">
        <v>1</v>
      </c>
      <c r="N17435">
        <v>1.25423E-91</v>
      </c>
      <c r="O17435">
        <v>856</v>
      </c>
    </row>
    <row r="17436" spans="1:15" x14ac:dyDescent="0.25">
      <c r="A17436" t="s">
        <v>17449</v>
      </c>
      <c r="B17436">
        <v>129</v>
      </c>
      <c r="C17436" s="1" t="str">
        <f>HYPERLINK("http://www.rosaceae.org/gb/gbrowse/malus_x_domestica/?name=MDP0000290966","MDP0000290966")</f>
        <v>MDP0000290966</v>
      </c>
      <c r="D17436">
        <v>34.479999999999997</v>
      </c>
      <c r="E17436">
        <v>87</v>
      </c>
      <c r="F17436">
        <v>57</v>
      </c>
      <c r="G17436">
        <v>3</v>
      </c>
      <c r="H17436">
        <v>4</v>
      </c>
      <c r="I17436">
        <v>87</v>
      </c>
      <c r="J17436">
        <v>1</v>
      </c>
      <c r="K17436">
        <v>131</v>
      </c>
      <c r="L17436">
        <v>217</v>
      </c>
      <c r="M17436">
        <v>1</v>
      </c>
      <c r="N17436">
        <v>7.9373400000000001E-8</v>
      </c>
      <c r="O17436">
        <v>125</v>
      </c>
    </row>
    <row r="17437" spans="1:15" x14ac:dyDescent="0.25">
      <c r="A17437" t="s">
        <v>17450</v>
      </c>
      <c r="B17437">
        <v>508</v>
      </c>
      <c r="C17437" s="1" t="str">
        <f>HYPERLINK("http://www.rosaceae.org/gb/gbrowse/malus_x_domestica/?name=MDP0000295191","MDP0000295191")</f>
        <v>MDP0000295191</v>
      </c>
      <c r="D17437">
        <v>34.93</v>
      </c>
      <c r="E17437">
        <v>395</v>
      </c>
      <c r="F17437">
        <v>257</v>
      </c>
      <c r="G17437">
        <v>52</v>
      </c>
      <c r="H17437">
        <v>89</v>
      </c>
      <c r="I17437">
        <v>479</v>
      </c>
      <c r="J17437">
        <v>1</v>
      </c>
      <c r="K17437">
        <v>26</v>
      </c>
      <c r="L17437">
        <v>372</v>
      </c>
      <c r="M17437">
        <v>1</v>
      </c>
      <c r="N17437">
        <v>7.9335400000000004E-57</v>
      </c>
      <c r="O17437">
        <v>557</v>
      </c>
    </row>
    <row r="17438" spans="1:15" x14ac:dyDescent="0.25">
      <c r="A17438" t="s">
        <v>17451</v>
      </c>
      <c r="B17438">
        <v>100</v>
      </c>
      <c r="C17438" s="1" t="str">
        <f>HYPERLINK("http://www.rosaceae.org/gb/gbrowse/malus_x_domestica/?name=MDP0000287519","MDP0000287519")</f>
        <v>MDP0000287519</v>
      </c>
      <c r="D17438">
        <v>52.54</v>
      </c>
      <c r="E17438">
        <v>59</v>
      </c>
      <c r="F17438">
        <v>28</v>
      </c>
      <c r="G17438">
        <v>1</v>
      </c>
      <c r="H17438">
        <v>33</v>
      </c>
      <c r="I17438">
        <v>91</v>
      </c>
      <c r="J17438">
        <v>1</v>
      </c>
      <c r="K17438">
        <v>640</v>
      </c>
      <c r="L17438">
        <v>697</v>
      </c>
      <c r="M17438">
        <v>1</v>
      </c>
      <c r="N17438">
        <v>2.9280499999999998E-12</v>
      </c>
      <c r="O17438">
        <v>163</v>
      </c>
    </row>
    <row r="17439" spans="1:15" x14ac:dyDescent="0.25">
      <c r="A17439" t="s">
        <v>17452</v>
      </c>
      <c r="B17439">
        <v>300</v>
      </c>
      <c r="C17439" s="1" t="str">
        <f>HYPERLINK("http://www.rosaceae.org/gb/gbrowse/malus_x_domestica/?name=MDP0000175772","MDP0000175772")</f>
        <v>MDP0000175772</v>
      </c>
      <c r="D17439">
        <v>67.36</v>
      </c>
      <c r="E17439">
        <v>334</v>
      </c>
      <c r="F17439">
        <v>109</v>
      </c>
      <c r="G17439">
        <v>37</v>
      </c>
      <c r="H17439">
        <v>1</v>
      </c>
      <c r="I17439">
        <v>299</v>
      </c>
      <c r="J17439">
        <v>1</v>
      </c>
      <c r="K17439">
        <v>1</v>
      </c>
      <c r="L17439">
        <v>332</v>
      </c>
      <c r="M17439">
        <v>1</v>
      </c>
      <c r="N17439">
        <v>8.2168800000000001E-119</v>
      </c>
      <c r="O17439">
        <v>1089</v>
      </c>
    </row>
    <row r="17440" spans="1:15" x14ac:dyDescent="0.25">
      <c r="A17440" t="s">
        <v>17453</v>
      </c>
      <c r="B17440">
        <v>590</v>
      </c>
      <c r="C17440" s="1" t="str">
        <f>HYPERLINK("http://www.rosaceae.org/gb/gbrowse/malus_x_domestica/?name=MDP0000269989","MDP0000269989")</f>
        <v>MDP0000269989</v>
      </c>
      <c r="D17440">
        <v>54.14</v>
      </c>
      <c r="E17440">
        <v>495</v>
      </c>
      <c r="F17440">
        <v>227</v>
      </c>
      <c r="G17440">
        <v>25</v>
      </c>
      <c r="H17440">
        <v>1</v>
      </c>
      <c r="I17440">
        <v>477</v>
      </c>
      <c r="J17440">
        <v>1</v>
      </c>
      <c r="K17440">
        <v>1</v>
      </c>
      <c r="L17440">
        <v>488</v>
      </c>
      <c r="M17440">
        <v>1</v>
      </c>
      <c r="N17440">
        <v>6.9484499999999996E-130</v>
      </c>
      <c r="O17440">
        <v>1187</v>
      </c>
    </row>
    <row r="17441" spans="1:15" x14ac:dyDescent="0.25">
      <c r="A17441" t="s">
        <v>17454</v>
      </c>
      <c r="B17441">
        <v>501</v>
      </c>
      <c r="C17441" s="1" t="str">
        <f>HYPERLINK("http://www.rosaceae.org/gb/gbrowse/malus_x_domestica/?name=MDP0000195409","MDP0000195409")</f>
        <v>MDP0000195409</v>
      </c>
      <c r="D17441">
        <v>53.54</v>
      </c>
      <c r="E17441">
        <v>493</v>
      </c>
      <c r="F17441">
        <v>229</v>
      </c>
      <c r="G17441">
        <v>75</v>
      </c>
      <c r="H17441">
        <v>15</v>
      </c>
      <c r="I17441">
        <v>499</v>
      </c>
      <c r="J17441">
        <v>1</v>
      </c>
      <c r="K17441">
        <v>13</v>
      </c>
      <c r="L17441">
        <v>438</v>
      </c>
      <c r="M17441">
        <v>1</v>
      </c>
      <c r="N17441">
        <v>2.1046600000000001E-141</v>
      </c>
      <c r="O17441">
        <v>1286</v>
      </c>
    </row>
    <row r="17442" spans="1:15" x14ac:dyDescent="0.25">
      <c r="A17442" t="s">
        <v>17455</v>
      </c>
      <c r="B17442">
        <v>444</v>
      </c>
      <c r="C17442" s="1" t="str">
        <f>HYPERLINK("http://www.rosaceae.org/gb/gbrowse/malus_x_domestica/?name=MDP0000247298","MDP0000247298")</f>
        <v>MDP0000247298</v>
      </c>
      <c r="D17442">
        <v>56.17</v>
      </c>
      <c r="E17442">
        <v>397</v>
      </c>
      <c r="F17442">
        <v>174</v>
      </c>
      <c r="G17442">
        <v>17</v>
      </c>
      <c r="H17442">
        <v>4</v>
      </c>
      <c r="I17442">
        <v>386</v>
      </c>
      <c r="J17442">
        <v>1</v>
      </c>
      <c r="K17442">
        <v>3</v>
      </c>
      <c r="L17442">
        <v>396</v>
      </c>
      <c r="M17442">
        <v>1</v>
      </c>
      <c r="N17442">
        <v>2.35384E-130</v>
      </c>
      <c r="O17442">
        <v>1190</v>
      </c>
    </row>
    <row r="17443" spans="1:15" x14ac:dyDescent="0.25">
      <c r="A17443" t="s">
        <v>17456</v>
      </c>
      <c r="B17443">
        <v>362</v>
      </c>
      <c r="C17443" s="1" t="str">
        <f>HYPERLINK("http://www.rosaceae.org/gb/gbrowse/malus_x_domestica/?name=MDP0000246270","MDP0000246270")</f>
        <v>MDP0000246270</v>
      </c>
      <c r="D17443">
        <v>70.37</v>
      </c>
      <c r="E17443">
        <v>351</v>
      </c>
      <c r="F17443">
        <v>104</v>
      </c>
      <c r="G17443">
        <v>6</v>
      </c>
      <c r="H17443">
        <v>1</v>
      </c>
      <c r="I17443">
        <v>349</v>
      </c>
      <c r="J17443">
        <v>1</v>
      </c>
      <c r="K17443">
        <v>1</v>
      </c>
      <c r="L17443">
        <v>347</v>
      </c>
      <c r="M17443">
        <v>1</v>
      </c>
      <c r="N17443">
        <v>2.5853999999999999E-135</v>
      </c>
      <c r="O17443">
        <v>1232</v>
      </c>
    </row>
    <row r="17444" spans="1:15" x14ac:dyDescent="0.25">
      <c r="A17444" t="s">
        <v>17457</v>
      </c>
      <c r="B17444">
        <v>192</v>
      </c>
      <c r="C17444" s="1" t="str">
        <f>HYPERLINK("http://www.rosaceae.org/gb/gbrowse/malus_x_domestica/?name=MDP0000247006","MDP0000247006")</f>
        <v>MDP0000247006</v>
      </c>
      <c r="D17444">
        <v>67.83</v>
      </c>
      <c r="E17444">
        <v>199</v>
      </c>
      <c r="F17444">
        <v>64</v>
      </c>
      <c r="G17444">
        <v>11</v>
      </c>
      <c r="H17444">
        <v>1</v>
      </c>
      <c r="I17444">
        <v>188</v>
      </c>
      <c r="J17444">
        <v>1</v>
      </c>
      <c r="K17444">
        <v>1</v>
      </c>
      <c r="L17444">
        <v>199</v>
      </c>
      <c r="M17444">
        <v>1</v>
      </c>
      <c r="N17444">
        <v>8.8033599999999999E-69</v>
      </c>
      <c r="O17444">
        <v>654</v>
      </c>
    </row>
    <row r="17445" spans="1:15" x14ac:dyDescent="0.25">
      <c r="A17445" t="s">
        <v>17458</v>
      </c>
      <c r="B17445">
        <v>135</v>
      </c>
      <c r="C17445" s="1" t="str">
        <f>HYPERLINK("http://www.rosaceae.org/gb/gbrowse/malus_x_domestica/?name=MDP0000292205","MDP0000292205")</f>
        <v>MDP0000292205</v>
      </c>
      <c r="D17445">
        <v>66.03</v>
      </c>
      <c r="E17445">
        <v>53</v>
      </c>
      <c r="F17445">
        <v>18</v>
      </c>
      <c r="G17445">
        <v>1</v>
      </c>
      <c r="H17445">
        <v>53</v>
      </c>
      <c r="I17445">
        <v>105</v>
      </c>
      <c r="J17445">
        <v>1</v>
      </c>
      <c r="K17445">
        <v>501</v>
      </c>
      <c r="L17445">
        <v>552</v>
      </c>
      <c r="M17445">
        <v>1</v>
      </c>
      <c r="N17445">
        <v>6.3458399999999999E-14</v>
      </c>
      <c r="O17445">
        <v>178</v>
      </c>
    </row>
    <row r="17446" spans="1:15" x14ac:dyDescent="0.25">
      <c r="A17446" t="s">
        <v>17459</v>
      </c>
      <c r="B17446">
        <v>565</v>
      </c>
      <c r="C17446" s="1" t="str">
        <f>HYPERLINK("http://www.rosaceae.org/gb/gbrowse/malus_x_domestica/?name=MDP0000322776","MDP0000322776")</f>
        <v>MDP0000322776</v>
      </c>
      <c r="D17446">
        <v>62.35</v>
      </c>
      <c r="E17446">
        <v>356</v>
      </c>
      <c r="F17446">
        <v>134</v>
      </c>
      <c r="G17446">
        <v>15</v>
      </c>
      <c r="H17446">
        <v>42</v>
      </c>
      <c r="I17446">
        <v>397</v>
      </c>
      <c r="J17446">
        <v>1</v>
      </c>
      <c r="K17446">
        <v>77</v>
      </c>
      <c r="L17446">
        <v>417</v>
      </c>
      <c r="M17446">
        <v>1</v>
      </c>
      <c r="N17446">
        <v>1.2101999999999999E-132</v>
      </c>
      <c r="O17446">
        <v>1211</v>
      </c>
    </row>
    <row r="17447" spans="1:15" x14ac:dyDescent="0.25">
      <c r="A17447" t="s">
        <v>17460</v>
      </c>
      <c r="B17447">
        <v>711</v>
      </c>
      <c r="C17447" s="1" t="str">
        <f>HYPERLINK("http://www.rosaceae.org/gb/gbrowse/malus_x_domestica/?name=MDP0000270677","MDP0000270677")</f>
        <v>MDP0000270677</v>
      </c>
      <c r="D17447">
        <v>52.34</v>
      </c>
      <c r="E17447">
        <v>747</v>
      </c>
      <c r="F17447">
        <v>356</v>
      </c>
      <c r="G17447">
        <v>80</v>
      </c>
      <c r="H17447">
        <v>27</v>
      </c>
      <c r="I17447">
        <v>711</v>
      </c>
      <c r="J17447">
        <v>1</v>
      </c>
      <c r="K17447">
        <v>27</v>
      </c>
      <c r="L17447">
        <v>755</v>
      </c>
      <c r="M17447">
        <v>1</v>
      </c>
      <c r="N17447">
        <v>2.7508999999999998E-177</v>
      </c>
      <c r="O17447">
        <v>1597</v>
      </c>
    </row>
    <row r="17448" spans="1:15" x14ac:dyDescent="0.25">
      <c r="A17448" t="s">
        <v>17461</v>
      </c>
      <c r="B17448">
        <v>309</v>
      </c>
      <c r="C17448" s="1" t="str">
        <f>HYPERLINK("http://www.rosaceae.org/gb/gbrowse/malus_x_domestica/?name=MDP0000224949","MDP0000224949")</f>
        <v>MDP0000224949</v>
      </c>
      <c r="D17448">
        <v>56.31</v>
      </c>
      <c r="E17448">
        <v>309</v>
      </c>
      <c r="F17448">
        <v>135</v>
      </c>
      <c r="G17448">
        <v>13</v>
      </c>
      <c r="H17448">
        <v>8</v>
      </c>
      <c r="I17448">
        <v>308</v>
      </c>
      <c r="J17448">
        <v>1</v>
      </c>
      <c r="K17448">
        <v>2</v>
      </c>
      <c r="L17448">
        <v>305</v>
      </c>
      <c r="M17448">
        <v>1</v>
      </c>
      <c r="N17448">
        <v>2.7247800000000001E-80</v>
      </c>
      <c r="O17448">
        <v>757</v>
      </c>
    </row>
    <row r="17449" spans="1:15" x14ac:dyDescent="0.25">
      <c r="A17449" t="s">
        <v>17462</v>
      </c>
      <c r="B17449">
        <v>619</v>
      </c>
      <c r="C17449" s="1" t="str">
        <f>HYPERLINK("http://www.rosaceae.org/gb/gbrowse/malus_x_domestica/?name=MDP0000186353","MDP0000186353")</f>
        <v>MDP0000186353</v>
      </c>
      <c r="D17449">
        <v>80.03</v>
      </c>
      <c r="E17449">
        <v>611</v>
      </c>
      <c r="F17449">
        <v>122</v>
      </c>
      <c r="G17449">
        <v>38</v>
      </c>
      <c r="H17449">
        <v>1</v>
      </c>
      <c r="I17449">
        <v>610</v>
      </c>
      <c r="J17449">
        <v>1</v>
      </c>
      <c r="K17449">
        <v>1</v>
      </c>
      <c r="L17449">
        <v>574</v>
      </c>
      <c r="M17449">
        <v>1</v>
      </c>
      <c r="N17449">
        <v>0</v>
      </c>
      <c r="O17449">
        <v>2587</v>
      </c>
    </row>
    <row r="17450" spans="1:15" x14ac:dyDescent="0.25">
      <c r="A17450" t="s">
        <v>17463</v>
      </c>
      <c r="B17450">
        <v>496</v>
      </c>
      <c r="C17450" s="1" t="str">
        <f>HYPERLINK("http://www.rosaceae.org/gb/gbrowse/malus_x_domestica/?name=MDP0000309120","MDP0000309120")</f>
        <v>MDP0000309120</v>
      </c>
      <c r="D17450">
        <v>61.4</v>
      </c>
      <c r="E17450">
        <v>355</v>
      </c>
      <c r="F17450">
        <v>137</v>
      </c>
      <c r="G17450">
        <v>28</v>
      </c>
      <c r="H17450">
        <v>152</v>
      </c>
      <c r="I17450">
        <v>492</v>
      </c>
      <c r="J17450">
        <v>1</v>
      </c>
      <c r="K17450">
        <v>899</v>
      </c>
      <c r="L17450">
        <v>1239</v>
      </c>
      <c r="M17450">
        <v>1</v>
      </c>
      <c r="N17450">
        <v>1.11748E-122</v>
      </c>
      <c r="O17450">
        <v>1124</v>
      </c>
    </row>
    <row r="17451" spans="1:15" x14ac:dyDescent="0.25">
      <c r="A17451" t="s">
        <v>17464</v>
      </c>
      <c r="B17451">
        <v>443</v>
      </c>
      <c r="C17451" s="1" t="str">
        <f>HYPERLINK("http://www.rosaceae.org/gb/gbrowse/malus_x_domestica/?name=MDP0000283684","MDP0000283684")</f>
        <v>MDP0000283684</v>
      </c>
      <c r="D17451">
        <v>32.08</v>
      </c>
      <c r="E17451">
        <v>455</v>
      </c>
      <c r="F17451">
        <v>309</v>
      </c>
      <c r="G17451">
        <v>56</v>
      </c>
      <c r="H17451">
        <v>37</v>
      </c>
      <c r="I17451">
        <v>443</v>
      </c>
      <c r="J17451">
        <v>1</v>
      </c>
      <c r="K17451">
        <v>73</v>
      </c>
      <c r="L17451">
        <v>519</v>
      </c>
      <c r="M17451">
        <v>1</v>
      </c>
      <c r="N17451">
        <v>1.2117700000000001E-50</v>
      </c>
      <c r="O17451">
        <v>503</v>
      </c>
    </row>
    <row r="17452" spans="1:15" x14ac:dyDescent="0.25">
      <c r="A17452" t="s">
        <v>17465</v>
      </c>
      <c r="B17452">
        <v>238</v>
      </c>
      <c r="C17452" s="1" t="str">
        <f>HYPERLINK("http://www.rosaceae.org/gb/gbrowse/malus_x_domestica/?name=MDP0000138035","MDP0000138035")</f>
        <v>MDP0000138035</v>
      </c>
      <c r="D17452">
        <v>69.81</v>
      </c>
      <c r="E17452">
        <v>106</v>
      </c>
      <c r="F17452">
        <v>32</v>
      </c>
      <c r="G17452">
        <v>9</v>
      </c>
      <c r="H17452">
        <v>98</v>
      </c>
      <c r="I17452">
        <v>194</v>
      </c>
      <c r="J17452">
        <v>1</v>
      </c>
      <c r="K17452">
        <v>517</v>
      </c>
      <c r="L17452">
        <v>622</v>
      </c>
      <c r="M17452">
        <v>1</v>
      </c>
      <c r="N17452">
        <v>3.7396599999999997E-33</v>
      </c>
      <c r="O17452">
        <v>349</v>
      </c>
    </row>
    <row r="17453" spans="1:15" x14ac:dyDescent="0.25">
      <c r="A17453" t="s">
        <v>17466</v>
      </c>
      <c r="B17453">
        <v>400</v>
      </c>
      <c r="C17453" s="1" t="str">
        <f>HYPERLINK("http://www.rosaceae.org/gb/gbrowse/malus_x_domestica/?name=MDP0000171994","MDP0000171994")</f>
        <v>MDP0000171994</v>
      </c>
      <c r="D17453">
        <v>49.48</v>
      </c>
      <c r="E17453">
        <v>390</v>
      </c>
      <c r="F17453">
        <v>197</v>
      </c>
      <c r="G17453">
        <v>64</v>
      </c>
      <c r="H17453">
        <v>45</v>
      </c>
      <c r="I17453">
        <v>391</v>
      </c>
      <c r="J17453">
        <v>1</v>
      </c>
      <c r="K17453">
        <v>28</v>
      </c>
      <c r="L17453">
        <v>396</v>
      </c>
      <c r="M17453">
        <v>1</v>
      </c>
      <c r="N17453">
        <v>5.6804000000000004E-87</v>
      </c>
      <c r="O17453">
        <v>815</v>
      </c>
    </row>
    <row r="17454" spans="1:15" x14ac:dyDescent="0.25">
      <c r="A17454" t="s">
        <v>17467</v>
      </c>
      <c r="B17454">
        <v>197</v>
      </c>
      <c r="C17454" s="1" t="str">
        <f>HYPERLINK("http://www.rosaceae.org/gb/gbrowse/malus_x_domestica/?name=MDP0000164610","MDP0000164610")</f>
        <v>MDP0000164610</v>
      </c>
      <c r="D17454">
        <v>63.15</v>
      </c>
      <c r="E17454">
        <v>95</v>
      </c>
      <c r="F17454">
        <v>35</v>
      </c>
      <c r="G17454">
        <v>0</v>
      </c>
      <c r="H17454">
        <v>88</v>
      </c>
      <c r="I17454">
        <v>182</v>
      </c>
      <c r="J17454">
        <v>1</v>
      </c>
      <c r="K17454">
        <v>404</v>
      </c>
      <c r="L17454">
        <v>498</v>
      </c>
      <c r="M17454">
        <v>1</v>
      </c>
      <c r="N17454">
        <v>1.9541000000000001E-29</v>
      </c>
      <c r="O17454">
        <v>315</v>
      </c>
    </row>
    <row r="17455" spans="1:15" x14ac:dyDescent="0.25">
      <c r="A17455" t="s">
        <v>17468</v>
      </c>
      <c r="B17455">
        <v>650</v>
      </c>
      <c r="C17455" s="1" t="str">
        <f>HYPERLINK("http://www.rosaceae.org/gb/gbrowse/malus_x_domestica/?name=MDP0000311287","MDP0000311287")</f>
        <v>MDP0000311287</v>
      </c>
      <c r="D17455">
        <v>82.6</v>
      </c>
      <c r="E17455">
        <v>638</v>
      </c>
      <c r="F17455">
        <v>111</v>
      </c>
      <c r="G17455">
        <v>10</v>
      </c>
      <c r="H17455">
        <v>18</v>
      </c>
      <c r="I17455">
        <v>648</v>
      </c>
      <c r="J17455">
        <v>1</v>
      </c>
      <c r="K17455">
        <v>13</v>
      </c>
      <c r="L17455">
        <v>647</v>
      </c>
      <c r="M17455">
        <v>1</v>
      </c>
      <c r="N17455">
        <v>0</v>
      </c>
      <c r="O17455">
        <v>2722</v>
      </c>
    </row>
    <row r="17456" spans="1:15" x14ac:dyDescent="0.25">
      <c r="A17456" t="s">
        <v>17469</v>
      </c>
      <c r="B17456">
        <v>123</v>
      </c>
      <c r="C17456" s="1" t="str">
        <f>HYPERLINK("http://www.rosaceae.org/gb/gbrowse/malus_x_domestica/?name=MDP0000222195","MDP0000222195")</f>
        <v>MDP0000222195</v>
      </c>
      <c r="D17456">
        <v>69.14</v>
      </c>
      <c r="E17456">
        <v>94</v>
      </c>
      <c r="F17456">
        <v>29</v>
      </c>
      <c r="G17456">
        <v>2</v>
      </c>
      <c r="H17456">
        <v>25</v>
      </c>
      <c r="I17456">
        <v>116</v>
      </c>
      <c r="J17456">
        <v>1</v>
      </c>
      <c r="K17456">
        <v>1</v>
      </c>
      <c r="L17456">
        <v>94</v>
      </c>
      <c r="M17456">
        <v>1</v>
      </c>
      <c r="N17456">
        <v>4.71774E-33</v>
      </c>
      <c r="O17456">
        <v>342</v>
      </c>
    </row>
    <row r="17457" spans="1:15" x14ac:dyDescent="0.25">
      <c r="A17457" t="s">
        <v>17470</v>
      </c>
      <c r="B17457">
        <v>2166</v>
      </c>
      <c r="C17457" s="1" t="str">
        <f>HYPERLINK("http://www.rosaceae.org/gb/gbrowse/malus_x_domestica/?name=MDP0000302604","MDP0000302604")</f>
        <v>MDP0000302604</v>
      </c>
      <c r="D17457">
        <v>59.92</v>
      </c>
      <c r="E17457">
        <v>1400</v>
      </c>
      <c r="F17457">
        <v>561</v>
      </c>
      <c r="G17457">
        <v>89</v>
      </c>
      <c r="H17457">
        <v>795</v>
      </c>
      <c r="I17457">
        <v>2135</v>
      </c>
      <c r="J17457">
        <v>1</v>
      </c>
      <c r="K17457">
        <v>724</v>
      </c>
      <c r="L17457">
        <v>2093</v>
      </c>
      <c r="M17457">
        <v>1</v>
      </c>
      <c r="N17457">
        <v>0</v>
      </c>
      <c r="O17457">
        <v>3693</v>
      </c>
    </row>
    <row r="17458" spans="1:15" x14ac:dyDescent="0.25">
      <c r="A17458" t="s">
        <v>17471</v>
      </c>
      <c r="B17458">
        <v>295</v>
      </c>
      <c r="C17458" s="1" t="str">
        <f>HYPERLINK("http://www.rosaceae.org/gb/gbrowse/malus_x_domestica/?name=MDP0000153978","MDP0000153978")</f>
        <v>MDP0000153978</v>
      </c>
      <c r="D17458">
        <v>56.7</v>
      </c>
      <c r="E17458">
        <v>194</v>
      </c>
      <c r="F17458">
        <v>84</v>
      </c>
      <c r="G17458">
        <v>21</v>
      </c>
      <c r="H17458">
        <v>1</v>
      </c>
      <c r="I17458">
        <v>190</v>
      </c>
      <c r="J17458">
        <v>1</v>
      </c>
      <c r="K17458">
        <v>1</v>
      </c>
      <c r="L17458">
        <v>177</v>
      </c>
      <c r="M17458">
        <v>1</v>
      </c>
      <c r="N17458">
        <v>7.9088299999999998E-47</v>
      </c>
      <c r="O17458">
        <v>468</v>
      </c>
    </row>
    <row r="17459" spans="1:15" x14ac:dyDescent="0.25">
      <c r="A17459" t="s">
        <v>17472</v>
      </c>
      <c r="B17459">
        <v>118</v>
      </c>
      <c r="C17459" s="1" t="str">
        <f>HYPERLINK("http://www.rosaceae.org/gb/gbrowse/malus_x_domestica/?name=MDP0000202814","MDP0000202814")</f>
        <v>MDP0000202814</v>
      </c>
      <c r="D17459">
        <v>60.71</v>
      </c>
      <c r="E17459">
        <v>112</v>
      </c>
      <c r="F17459">
        <v>44</v>
      </c>
      <c r="G17459">
        <v>34</v>
      </c>
      <c r="H17459">
        <v>2</v>
      </c>
      <c r="I17459">
        <v>79</v>
      </c>
      <c r="J17459">
        <v>1</v>
      </c>
      <c r="K17459">
        <v>405</v>
      </c>
      <c r="L17459">
        <v>516</v>
      </c>
      <c r="M17459">
        <v>1</v>
      </c>
      <c r="N17459">
        <v>6.5829299999999997E-35</v>
      </c>
      <c r="O17459">
        <v>358</v>
      </c>
    </row>
    <row r="17460" spans="1:15" x14ac:dyDescent="0.25">
      <c r="A17460" t="s">
        <v>17473</v>
      </c>
      <c r="B17460">
        <v>243</v>
      </c>
      <c r="C17460" s="1" t="str">
        <f>HYPERLINK("http://www.rosaceae.org/gb/gbrowse/malus_x_domestica/?name=MDP0000322159","MDP0000322159")</f>
        <v>MDP0000322159</v>
      </c>
      <c r="D17460">
        <v>69.599999999999994</v>
      </c>
      <c r="E17460">
        <v>102</v>
      </c>
      <c r="F17460">
        <v>31</v>
      </c>
      <c r="G17460">
        <v>0</v>
      </c>
      <c r="H17460">
        <v>1</v>
      </c>
      <c r="I17460">
        <v>102</v>
      </c>
      <c r="J17460">
        <v>1</v>
      </c>
      <c r="K17460">
        <v>180</v>
      </c>
      <c r="L17460">
        <v>281</v>
      </c>
      <c r="M17460">
        <v>1</v>
      </c>
      <c r="N17460">
        <v>1.00864E-34</v>
      </c>
      <c r="O17460">
        <v>362</v>
      </c>
    </row>
    <row r="17461" spans="1:15" x14ac:dyDescent="0.25">
      <c r="A17461" t="s">
        <v>17474</v>
      </c>
      <c r="B17461">
        <v>346</v>
      </c>
      <c r="C17461" s="1" t="str">
        <f>HYPERLINK("http://www.rosaceae.org/gb/gbrowse/malus_x_domestica/?name=MDP0000590116","MDP0000590116")</f>
        <v>MDP0000590116</v>
      </c>
      <c r="D17461">
        <v>80.06</v>
      </c>
      <c r="E17461">
        <v>291</v>
      </c>
      <c r="F17461">
        <v>58</v>
      </c>
      <c r="G17461">
        <v>11</v>
      </c>
      <c r="H17461">
        <v>1</v>
      </c>
      <c r="I17461">
        <v>283</v>
      </c>
      <c r="J17461">
        <v>1</v>
      </c>
      <c r="K17461">
        <v>42</v>
      </c>
      <c r="L17461">
        <v>329</v>
      </c>
      <c r="M17461">
        <v>1</v>
      </c>
      <c r="N17461">
        <v>4.2006400000000002E-137</v>
      </c>
      <c r="O17461">
        <v>1247</v>
      </c>
    </row>
    <row r="17462" spans="1:15" x14ac:dyDescent="0.25">
      <c r="A17462" t="s">
        <v>17475</v>
      </c>
      <c r="B17462">
        <v>695</v>
      </c>
      <c r="C17462" s="1" t="str">
        <f>HYPERLINK("http://www.rosaceae.org/gb/gbrowse/malus_x_domestica/?name=MDP0000270189","MDP0000270189")</f>
        <v>MDP0000270189</v>
      </c>
      <c r="D17462">
        <v>81.87</v>
      </c>
      <c r="E17462">
        <v>695</v>
      </c>
      <c r="F17462">
        <v>126</v>
      </c>
      <c r="G17462">
        <v>14</v>
      </c>
      <c r="H17462">
        <v>1</v>
      </c>
      <c r="I17462">
        <v>695</v>
      </c>
      <c r="J17462">
        <v>1</v>
      </c>
      <c r="K17462">
        <v>1</v>
      </c>
      <c r="L17462">
        <v>681</v>
      </c>
      <c r="M17462">
        <v>1</v>
      </c>
      <c r="N17462">
        <v>0</v>
      </c>
      <c r="O17462">
        <v>3007</v>
      </c>
    </row>
    <row r="17463" spans="1:15" x14ac:dyDescent="0.25">
      <c r="A17463" t="s">
        <v>17476</v>
      </c>
      <c r="B17463">
        <v>295</v>
      </c>
      <c r="C17463" s="1" t="str">
        <f>HYPERLINK("http://www.rosaceae.org/gb/gbrowse/malus_x_domestica/?name=MDP0000164794","MDP0000164794")</f>
        <v>MDP0000164794</v>
      </c>
      <c r="D17463">
        <v>45.1</v>
      </c>
      <c r="E17463">
        <v>235</v>
      </c>
      <c r="F17463">
        <v>129</v>
      </c>
      <c r="G17463">
        <v>62</v>
      </c>
      <c r="H17463">
        <v>109</v>
      </c>
      <c r="I17463">
        <v>295</v>
      </c>
      <c r="J17463">
        <v>1</v>
      </c>
      <c r="K17463">
        <v>97</v>
      </c>
      <c r="L17463">
        <v>317</v>
      </c>
      <c r="M17463">
        <v>1</v>
      </c>
      <c r="N17463">
        <v>2.3278100000000001E-35</v>
      </c>
      <c r="O17463">
        <v>369</v>
      </c>
    </row>
    <row r="17464" spans="1:15" x14ac:dyDescent="0.25">
      <c r="A17464" t="s">
        <v>17477</v>
      </c>
      <c r="B17464">
        <v>215</v>
      </c>
      <c r="C17464" s="1" t="str">
        <f>HYPERLINK("http://www.rosaceae.org/gb/gbrowse/malus_x_domestica/?name=MDP0000278105","MDP0000278105")</f>
        <v>MDP0000278105</v>
      </c>
      <c r="D17464">
        <v>63.6</v>
      </c>
      <c r="E17464">
        <v>261</v>
      </c>
      <c r="F17464">
        <v>95</v>
      </c>
      <c r="G17464">
        <v>60</v>
      </c>
      <c r="H17464">
        <v>1</v>
      </c>
      <c r="I17464">
        <v>203</v>
      </c>
      <c r="J17464">
        <v>1</v>
      </c>
      <c r="K17464">
        <v>1</v>
      </c>
      <c r="L17464">
        <v>259</v>
      </c>
      <c r="M17464">
        <v>1</v>
      </c>
      <c r="N17464">
        <v>2.5212299999999999E-87</v>
      </c>
      <c r="O17464">
        <v>815</v>
      </c>
    </row>
    <row r="17465" spans="1:15" x14ac:dyDescent="0.25">
      <c r="A17465" t="s">
        <v>17478</v>
      </c>
      <c r="B17465">
        <v>821</v>
      </c>
      <c r="C17465" s="1" t="str">
        <f>HYPERLINK("http://www.rosaceae.org/gb/gbrowse/malus_x_domestica/?name=MDP0000455073","MDP0000455073")</f>
        <v>MDP0000455073</v>
      </c>
      <c r="D17465">
        <v>67.44</v>
      </c>
      <c r="E17465">
        <v>473</v>
      </c>
      <c r="F17465">
        <v>154</v>
      </c>
      <c r="G17465">
        <v>12</v>
      </c>
      <c r="H17465">
        <v>343</v>
      </c>
      <c r="I17465">
        <v>807</v>
      </c>
      <c r="J17465">
        <v>1</v>
      </c>
      <c r="K17465">
        <v>1</v>
      </c>
      <c r="L17465">
        <v>469</v>
      </c>
      <c r="M17465">
        <v>1</v>
      </c>
      <c r="N17465">
        <v>1.29594E-170</v>
      </c>
      <c r="O17465">
        <v>1540</v>
      </c>
    </row>
    <row r="17466" spans="1:15" x14ac:dyDescent="0.25">
      <c r="A17466" t="s">
        <v>17479</v>
      </c>
      <c r="B17466">
        <v>1125</v>
      </c>
      <c r="C17466" s="1" t="str">
        <f>HYPERLINK("http://www.rosaceae.org/gb/gbrowse/malus_x_domestica/?name=MDP0000247921","MDP0000247921")</f>
        <v>MDP0000247921</v>
      </c>
      <c r="D17466">
        <v>26.71</v>
      </c>
      <c r="E17466">
        <v>423</v>
      </c>
      <c r="F17466">
        <v>310</v>
      </c>
      <c r="G17466">
        <v>57</v>
      </c>
      <c r="H17466">
        <v>657</v>
      </c>
      <c r="I17466">
        <v>1063</v>
      </c>
      <c r="J17466">
        <v>1</v>
      </c>
      <c r="K17466">
        <v>742</v>
      </c>
      <c r="L17466">
        <v>1123</v>
      </c>
      <c r="M17466">
        <v>1</v>
      </c>
      <c r="N17466">
        <v>7.5551100000000001E-35</v>
      </c>
      <c r="O17466">
        <v>370</v>
      </c>
    </row>
    <row r="17467" spans="1:15" x14ac:dyDescent="0.25">
      <c r="A17467" t="s">
        <v>17480</v>
      </c>
      <c r="B17467">
        <v>195</v>
      </c>
      <c r="C17467" s="1" t="str">
        <f>HYPERLINK("http://www.rosaceae.org/gb/gbrowse/malus_x_domestica/?name=MDP0000281875","MDP0000281875")</f>
        <v>MDP0000281875</v>
      </c>
      <c r="D17467">
        <v>37.15</v>
      </c>
      <c r="E17467">
        <v>253</v>
      </c>
      <c r="F17467">
        <v>159</v>
      </c>
      <c r="G17467">
        <v>89</v>
      </c>
      <c r="H17467">
        <v>25</v>
      </c>
      <c r="I17467">
        <v>188</v>
      </c>
      <c r="J17467">
        <v>1</v>
      </c>
      <c r="K17467">
        <v>38</v>
      </c>
      <c r="L17467">
        <v>290</v>
      </c>
      <c r="M17467">
        <v>1</v>
      </c>
      <c r="N17467">
        <v>8.5918699999999996E-31</v>
      </c>
      <c r="O17467">
        <v>327</v>
      </c>
    </row>
    <row r="17468" spans="1:15" x14ac:dyDescent="0.25">
      <c r="A17468" t="s">
        <v>17481</v>
      </c>
      <c r="B17468">
        <v>502</v>
      </c>
      <c r="C17468" s="1" t="str">
        <f>HYPERLINK("http://www.rosaceae.org/gb/gbrowse/malus_x_domestica/?name=MDP0000319342","MDP0000319342")</f>
        <v>MDP0000319342</v>
      </c>
      <c r="D17468">
        <v>79.87</v>
      </c>
      <c r="E17468">
        <v>477</v>
      </c>
      <c r="F17468">
        <v>96</v>
      </c>
      <c r="G17468">
        <v>6</v>
      </c>
      <c r="H17468">
        <v>30</v>
      </c>
      <c r="I17468">
        <v>502</v>
      </c>
      <c r="J17468">
        <v>1</v>
      </c>
      <c r="K17468">
        <v>30</v>
      </c>
      <c r="L17468">
        <v>504</v>
      </c>
      <c r="M17468">
        <v>1</v>
      </c>
      <c r="N17468">
        <v>0</v>
      </c>
      <c r="O17468">
        <v>1972</v>
      </c>
    </row>
    <row r="17469" spans="1:15" x14ac:dyDescent="0.25">
      <c r="A17469" t="s">
        <v>17482</v>
      </c>
      <c r="B17469">
        <v>398</v>
      </c>
      <c r="C17469" s="1" t="str">
        <f>HYPERLINK("http://www.rosaceae.org/gb/gbrowse/malus_x_domestica/?name=MDP0000192786","MDP0000192786")</f>
        <v>MDP0000192786</v>
      </c>
      <c r="D17469">
        <v>69.7</v>
      </c>
      <c r="E17469">
        <v>340</v>
      </c>
      <c r="F17469">
        <v>103</v>
      </c>
      <c r="G17469">
        <v>16</v>
      </c>
      <c r="H17469">
        <v>1</v>
      </c>
      <c r="I17469">
        <v>335</v>
      </c>
      <c r="J17469">
        <v>1</v>
      </c>
      <c r="K17469">
        <v>1</v>
      </c>
      <c r="L17469">
        <v>329</v>
      </c>
      <c r="M17469">
        <v>1</v>
      </c>
      <c r="N17469">
        <v>3.9736899999999999E-116</v>
      </c>
      <c r="O17469">
        <v>1067</v>
      </c>
    </row>
    <row r="17470" spans="1:15" x14ac:dyDescent="0.25">
      <c r="A17470" t="s">
        <v>17483</v>
      </c>
      <c r="B17470">
        <v>209</v>
      </c>
      <c r="C17470" s="1" t="str">
        <f>HYPERLINK("http://www.rosaceae.org/gb/gbrowse/malus_x_domestica/?name=MDP0000313214","MDP0000313214")</f>
        <v>MDP0000313214</v>
      </c>
      <c r="D17470">
        <v>72.38</v>
      </c>
      <c r="E17470">
        <v>210</v>
      </c>
      <c r="F17470">
        <v>58</v>
      </c>
      <c r="G17470">
        <v>18</v>
      </c>
      <c r="H17470">
        <v>18</v>
      </c>
      <c r="I17470">
        <v>209</v>
      </c>
      <c r="J17470">
        <v>1</v>
      </c>
      <c r="K17470">
        <v>23</v>
      </c>
      <c r="L17470">
        <v>232</v>
      </c>
      <c r="M17470">
        <v>1</v>
      </c>
      <c r="N17470">
        <v>1.9916100000000001E-84</v>
      </c>
      <c r="O17470">
        <v>790</v>
      </c>
    </row>
    <row r="17471" spans="1:15" x14ac:dyDescent="0.25">
      <c r="A17471" t="s">
        <v>17484</v>
      </c>
      <c r="B17471">
        <v>500</v>
      </c>
      <c r="C17471" s="1" t="str">
        <f>HYPERLINK("http://www.rosaceae.org/gb/gbrowse/malus_x_domestica/?name=MDP0000251796","MDP0000251796")</f>
        <v>MDP0000251796</v>
      </c>
      <c r="D17471">
        <v>75.75</v>
      </c>
      <c r="E17471">
        <v>532</v>
      </c>
      <c r="F17471">
        <v>129</v>
      </c>
      <c r="G17471">
        <v>44</v>
      </c>
      <c r="H17471">
        <v>1</v>
      </c>
      <c r="I17471">
        <v>498</v>
      </c>
      <c r="J17471">
        <v>1</v>
      </c>
      <c r="K17471">
        <v>1</v>
      </c>
      <c r="L17471">
        <v>522</v>
      </c>
      <c r="M17471">
        <v>1</v>
      </c>
      <c r="N17471">
        <v>0</v>
      </c>
      <c r="O17471">
        <v>2010</v>
      </c>
    </row>
    <row r="17472" spans="1:15" x14ac:dyDescent="0.25">
      <c r="A17472" t="s">
        <v>17485</v>
      </c>
      <c r="B17472">
        <v>156</v>
      </c>
      <c r="C17472" s="1" t="str">
        <f>HYPERLINK("http://www.rosaceae.org/gb/gbrowse/malus_x_domestica/?name=MDP0000692845","MDP0000692845")</f>
        <v>MDP0000692845</v>
      </c>
      <c r="D17472">
        <v>58.73</v>
      </c>
      <c r="E17472">
        <v>126</v>
      </c>
      <c r="F17472">
        <v>52</v>
      </c>
      <c r="G17472">
        <v>6</v>
      </c>
      <c r="H17472">
        <v>31</v>
      </c>
      <c r="I17472">
        <v>156</v>
      </c>
      <c r="J17472">
        <v>1</v>
      </c>
      <c r="K17472">
        <v>127</v>
      </c>
      <c r="L17472">
        <v>246</v>
      </c>
      <c r="M17472">
        <v>1</v>
      </c>
      <c r="N17472">
        <v>3.7783099999999999E-36</v>
      </c>
      <c r="O17472">
        <v>371</v>
      </c>
    </row>
    <row r="17473" spans="1:15" x14ac:dyDescent="0.25">
      <c r="A17473" t="s">
        <v>17486</v>
      </c>
      <c r="B17473">
        <v>143</v>
      </c>
      <c r="C17473" s="1" t="str">
        <f>HYPERLINK("http://www.rosaceae.org/gb/gbrowse/malus_x_domestica/?name=MDP0000300536","MDP0000300536")</f>
        <v>MDP0000300536</v>
      </c>
      <c r="D17473">
        <v>62.26</v>
      </c>
      <c r="E17473">
        <v>106</v>
      </c>
      <c r="F17473">
        <v>40</v>
      </c>
      <c r="G17473">
        <v>5</v>
      </c>
      <c r="H17473">
        <v>1</v>
      </c>
      <c r="I17473">
        <v>101</v>
      </c>
      <c r="J17473">
        <v>1</v>
      </c>
      <c r="K17473">
        <v>432</v>
      </c>
      <c r="L17473">
        <v>537</v>
      </c>
      <c r="M17473">
        <v>1</v>
      </c>
      <c r="N17473">
        <v>6.5116900000000001E-30</v>
      </c>
      <c r="O17473">
        <v>317</v>
      </c>
    </row>
    <row r="17474" spans="1:15" x14ac:dyDescent="0.25">
      <c r="A17474" t="s">
        <v>17487</v>
      </c>
      <c r="B17474">
        <v>557</v>
      </c>
      <c r="C17474" s="1" t="str">
        <f>HYPERLINK("http://www.rosaceae.org/gb/gbrowse/malus_x_domestica/?name=MDP0000933791","MDP0000933791")</f>
        <v>MDP0000933791</v>
      </c>
      <c r="D17474">
        <v>70.77</v>
      </c>
      <c r="E17474">
        <v>544</v>
      </c>
      <c r="F17474">
        <v>159</v>
      </c>
      <c r="G17474">
        <v>5</v>
      </c>
      <c r="H17474">
        <v>18</v>
      </c>
      <c r="I17474">
        <v>557</v>
      </c>
      <c r="J17474">
        <v>1</v>
      </c>
      <c r="K17474">
        <v>23</v>
      </c>
      <c r="L17474">
        <v>565</v>
      </c>
      <c r="M17474">
        <v>1</v>
      </c>
      <c r="N17474">
        <v>0</v>
      </c>
      <c r="O17474">
        <v>1862</v>
      </c>
    </row>
    <row r="17475" spans="1:15" x14ac:dyDescent="0.25">
      <c r="A17475" t="s">
        <v>17488</v>
      </c>
      <c r="B17475">
        <v>820</v>
      </c>
      <c r="C17475" s="1" t="str">
        <f>HYPERLINK("http://www.rosaceae.org/gb/gbrowse/malus_x_domestica/?name=MDP0000190871","MDP0000190871")</f>
        <v>MDP0000190871</v>
      </c>
      <c r="D17475">
        <v>65.290000000000006</v>
      </c>
      <c r="E17475">
        <v>827</v>
      </c>
      <c r="F17475">
        <v>287</v>
      </c>
      <c r="G17475">
        <v>10</v>
      </c>
      <c r="H17475">
        <v>1</v>
      </c>
      <c r="I17475">
        <v>820</v>
      </c>
      <c r="J17475">
        <v>1</v>
      </c>
      <c r="K17475">
        <v>1</v>
      </c>
      <c r="L17475">
        <v>824</v>
      </c>
      <c r="M17475">
        <v>1</v>
      </c>
      <c r="N17475">
        <v>0</v>
      </c>
      <c r="O17475">
        <v>2771</v>
      </c>
    </row>
    <row r="17476" spans="1:15" x14ac:dyDescent="0.25">
      <c r="A17476" t="s">
        <v>17489</v>
      </c>
      <c r="B17476">
        <v>230</v>
      </c>
      <c r="C17476" s="1" t="str">
        <f>HYPERLINK("http://www.rosaceae.org/gb/gbrowse/malus_x_domestica/?name=MDP0000254676","MDP0000254676")</f>
        <v>MDP0000254676</v>
      </c>
      <c r="D17476">
        <v>70.14</v>
      </c>
      <c r="E17476">
        <v>201</v>
      </c>
      <c r="F17476">
        <v>60</v>
      </c>
      <c r="G17476">
        <v>6</v>
      </c>
      <c r="H17476">
        <v>6</v>
      </c>
      <c r="I17476">
        <v>200</v>
      </c>
      <c r="J17476">
        <v>1</v>
      </c>
      <c r="K17476">
        <v>20</v>
      </c>
      <c r="L17476">
        <v>220</v>
      </c>
      <c r="M17476">
        <v>1</v>
      </c>
      <c r="N17476">
        <v>5.1085400000000002E-75</v>
      </c>
      <c r="O17476">
        <v>709</v>
      </c>
    </row>
    <row r="17477" spans="1:15" x14ac:dyDescent="0.25">
      <c r="A17477" t="s">
        <v>17490</v>
      </c>
      <c r="B17477">
        <v>125</v>
      </c>
      <c r="C17477" s="1" t="str">
        <f>HYPERLINK("http://www.rosaceae.org/gb/gbrowse/malus_x_domestica/?name=MDP0000134903","MDP0000134903")</f>
        <v>MDP0000134903</v>
      </c>
      <c r="D17477">
        <v>45.04</v>
      </c>
      <c r="E17477">
        <v>111</v>
      </c>
      <c r="F17477">
        <v>61</v>
      </c>
      <c r="G17477">
        <v>26</v>
      </c>
      <c r="H17477">
        <v>24</v>
      </c>
      <c r="I17477">
        <v>108</v>
      </c>
      <c r="J17477">
        <v>1</v>
      </c>
      <c r="K17477">
        <v>25</v>
      </c>
      <c r="L17477">
        <v>135</v>
      </c>
      <c r="M17477">
        <v>1</v>
      </c>
      <c r="N17477">
        <v>8.2192699999999996E-22</v>
      </c>
      <c r="O17477">
        <v>246</v>
      </c>
    </row>
    <row r="17478" spans="1:15" x14ac:dyDescent="0.25">
      <c r="A17478" t="s">
        <v>17491</v>
      </c>
      <c r="B17478">
        <v>302</v>
      </c>
      <c r="C17478" s="1" t="str">
        <f>HYPERLINK("http://www.rosaceae.org/gb/gbrowse/malus_x_domestica/?name=MDP0000872301","MDP0000872301")</f>
        <v>MDP0000872301</v>
      </c>
      <c r="D17478">
        <v>77.819999999999993</v>
      </c>
      <c r="E17478">
        <v>248</v>
      </c>
      <c r="F17478">
        <v>55</v>
      </c>
      <c r="G17478">
        <v>0</v>
      </c>
      <c r="H17478">
        <v>55</v>
      </c>
      <c r="I17478">
        <v>302</v>
      </c>
      <c r="J17478">
        <v>1</v>
      </c>
      <c r="K17478">
        <v>1</v>
      </c>
      <c r="L17478">
        <v>248</v>
      </c>
      <c r="M17478">
        <v>1</v>
      </c>
      <c r="N17478">
        <v>1.4322399999999999E-107</v>
      </c>
      <c r="O17478">
        <v>992</v>
      </c>
    </row>
    <row r="17479" spans="1:15" x14ac:dyDescent="0.25">
      <c r="A17479" t="s">
        <v>17492</v>
      </c>
      <c r="B17479">
        <v>195</v>
      </c>
      <c r="C17479" s="1" t="str">
        <f>HYPERLINK("http://www.rosaceae.org/gb/gbrowse/malus_x_domestica/?name=MDP0000160664","MDP0000160664")</f>
        <v>MDP0000160664</v>
      </c>
      <c r="D17479">
        <v>89.26</v>
      </c>
      <c r="E17479">
        <v>177</v>
      </c>
      <c r="F17479">
        <v>19</v>
      </c>
      <c r="G17479">
        <v>0</v>
      </c>
      <c r="H17479">
        <v>19</v>
      </c>
      <c r="I17479">
        <v>195</v>
      </c>
      <c r="J17479">
        <v>1</v>
      </c>
      <c r="K17479">
        <v>1</v>
      </c>
      <c r="L17479">
        <v>177</v>
      </c>
      <c r="M17479">
        <v>1</v>
      </c>
      <c r="N17479">
        <v>5.3346600000000002E-92</v>
      </c>
      <c r="O17479">
        <v>855</v>
      </c>
    </row>
    <row r="17480" spans="1:15" x14ac:dyDescent="0.25">
      <c r="A17480" t="s">
        <v>17493</v>
      </c>
      <c r="B17480">
        <v>419</v>
      </c>
      <c r="C17480" s="1" t="str">
        <f>HYPERLINK("http://www.rosaceae.org/gb/gbrowse/malus_x_domestica/?name=MDP0000239687","MDP0000239687")</f>
        <v>MDP0000239687</v>
      </c>
      <c r="D17480">
        <v>82.18</v>
      </c>
      <c r="E17480">
        <v>421</v>
      </c>
      <c r="F17480">
        <v>75</v>
      </c>
      <c r="G17480">
        <v>3</v>
      </c>
      <c r="H17480">
        <v>1</v>
      </c>
      <c r="I17480">
        <v>419</v>
      </c>
      <c r="J17480">
        <v>1</v>
      </c>
      <c r="K17480">
        <v>1</v>
      </c>
      <c r="L17480">
        <v>420</v>
      </c>
      <c r="M17480">
        <v>1</v>
      </c>
      <c r="N17480">
        <v>0</v>
      </c>
      <c r="O17480">
        <v>1852</v>
      </c>
    </row>
    <row r="17481" spans="1:15" x14ac:dyDescent="0.25">
      <c r="A17481" t="s">
        <v>17494</v>
      </c>
      <c r="B17481">
        <v>1343</v>
      </c>
      <c r="C17481" s="1" t="str">
        <f>HYPERLINK("http://www.rosaceae.org/gb/gbrowse/malus_x_domestica/?name=MDP0000163222","MDP0000163222")</f>
        <v>MDP0000163222</v>
      </c>
      <c r="D17481">
        <v>91.91</v>
      </c>
      <c r="E17481">
        <v>668</v>
      </c>
      <c r="F17481">
        <v>54</v>
      </c>
      <c r="G17481">
        <v>4</v>
      </c>
      <c r="H17481">
        <v>677</v>
      </c>
      <c r="I17481">
        <v>1343</v>
      </c>
      <c r="J17481">
        <v>1</v>
      </c>
      <c r="K17481">
        <v>1</v>
      </c>
      <c r="L17481">
        <v>665</v>
      </c>
      <c r="M17481">
        <v>1</v>
      </c>
      <c r="N17481">
        <v>0</v>
      </c>
      <c r="O17481">
        <v>3215</v>
      </c>
    </row>
    <row r="17482" spans="1:15" x14ac:dyDescent="0.25">
      <c r="A17482" t="s">
        <v>17495</v>
      </c>
      <c r="B17482">
        <v>585</v>
      </c>
      <c r="C17482" s="1" t="str">
        <f>HYPERLINK("http://www.rosaceae.org/gb/gbrowse/malus_x_domestica/?name=MDP0000225179","MDP0000225179")</f>
        <v>MDP0000225179</v>
      </c>
      <c r="D17482">
        <v>42.7</v>
      </c>
      <c r="E17482">
        <v>576</v>
      </c>
      <c r="F17482">
        <v>330</v>
      </c>
      <c r="G17482">
        <v>94</v>
      </c>
      <c r="H17482">
        <v>1</v>
      </c>
      <c r="I17482">
        <v>496</v>
      </c>
      <c r="J17482">
        <v>1</v>
      </c>
      <c r="K17482">
        <v>117</v>
      </c>
      <c r="L17482">
        <v>678</v>
      </c>
      <c r="M17482">
        <v>1</v>
      </c>
      <c r="N17482">
        <v>3.12713E-85</v>
      </c>
      <c r="O17482">
        <v>802</v>
      </c>
    </row>
    <row r="17483" spans="1:15" x14ac:dyDescent="0.25">
      <c r="A17483" t="s">
        <v>17496</v>
      </c>
      <c r="B17483">
        <v>328</v>
      </c>
      <c r="C17483" s="1" t="str">
        <f>HYPERLINK("http://www.rosaceae.org/gb/gbrowse/malus_x_domestica/?name=MDP0000129321","MDP0000129321")</f>
        <v>MDP0000129321</v>
      </c>
      <c r="D17483">
        <v>88.88</v>
      </c>
      <c r="E17483">
        <v>108</v>
      </c>
      <c r="F17483">
        <v>12</v>
      </c>
      <c r="G17483">
        <v>0</v>
      </c>
      <c r="H17483">
        <v>1</v>
      </c>
      <c r="I17483">
        <v>108</v>
      </c>
      <c r="J17483">
        <v>1</v>
      </c>
      <c r="K17483">
        <v>1</v>
      </c>
      <c r="L17483">
        <v>108</v>
      </c>
      <c r="M17483">
        <v>1</v>
      </c>
      <c r="N17483">
        <v>3.8844299999999998E-54</v>
      </c>
      <c r="O17483">
        <v>531</v>
      </c>
    </row>
    <row r="17484" spans="1:15" x14ac:dyDescent="0.25">
      <c r="A17484" t="s">
        <v>17497</v>
      </c>
      <c r="B17484">
        <v>276</v>
      </c>
      <c r="C17484" s="1" t="str">
        <f>HYPERLINK("http://www.rosaceae.org/gb/gbrowse/malus_x_domestica/?name=MDP0000169903","MDP0000169903")</f>
        <v>MDP0000169903</v>
      </c>
      <c r="D17484">
        <v>72.72</v>
      </c>
      <c r="E17484">
        <v>209</v>
      </c>
      <c r="F17484">
        <v>57</v>
      </c>
      <c r="G17484">
        <v>22</v>
      </c>
      <c r="H17484">
        <v>90</v>
      </c>
      <c r="I17484">
        <v>276</v>
      </c>
      <c r="J17484">
        <v>1</v>
      </c>
      <c r="K17484">
        <v>52</v>
      </c>
      <c r="L17484">
        <v>260</v>
      </c>
      <c r="M17484">
        <v>1</v>
      </c>
      <c r="N17484">
        <v>8.0708099999999999E-82</v>
      </c>
      <c r="O17484">
        <v>769</v>
      </c>
    </row>
    <row r="17485" spans="1:15" x14ac:dyDescent="0.25">
      <c r="A17485" t="s">
        <v>17498</v>
      </c>
      <c r="B17485">
        <v>301</v>
      </c>
      <c r="C17485" s="1" t="str">
        <f>HYPERLINK("http://www.rosaceae.org/gb/gbrowse/malus_x_domestica/?name=MDP0000390429","MDP0000390429")</f>
        <v>MDP0000390429</v>
      </c>
      <c r="D17485">
        <v>68.7</v>
      </c>
      <c r="E17485">
        <v>294</v>
      </c>
      <c r="F17485">
        <v>92</v>
      </c>
      <c r="G17485">
        <v>2</v>
      </c>
      <c r="H17485">
        <v>10</v>
      </c>
      <c r="I17485">
        <v>301</v>
      </c>
      <c r="J17485">
        <v>1</v>
      </c>
      <c r="K17485">
        <v>28</v>
      </c>
      <c r="L17485">
        <v>321</v>
      </c>
      <c r="M17485">
        <v>1</v>
      </c>
      <c r="N17485">
        <v>4.3141099999999998E-114</v>
      </c>
      <c r="O17485">
        <v>1048</v>
      </c>
    </row>
    <row r="17486" spans="1:15" x14ac:dyDescent="0.25">
      <c r="A17486" t="s">
        <v>17499</v>
      </c>
      <c r="B17486">
        <v>354</v>
      </c>
      <c r="C17486" s="1" t="str">
        <f>HYPERLINK("http://www.rosaceae.org/gb/gbrowse/malus_x_domestica/?name=MDP0000812195","MDP0000812195")</f>
        <v>MDP0000812195</v>
      </c>
      <c r="D17486">
        <v>85.99</v>
      </c>
      <c r="E17486">
        <v>357</v>
      </c>
      <c r="F17486">
        <v>50</v>
      </c>
      <c r="G17486">
        <v>4</v>
      </c>
      <c r="H17486">
        <v>2</v>
      </c>
      <c r="I17486">
        <v>354</v>
      </c>
      <c r="J17486">
        <v>1</v>
      </c>
      <c r="K17486">
        <v>3</v>
      </c>
      <c r="L17486">
        <v>359</v>
      </c>
      <c r="M17486">
        <v>1</v>
      </c>
      <c r="N17486">
        <v>6.7875800000000006E-179</v>
      </c>
      <c r="O17486">
        <v>1608</v>
      </c>
    </row>
    <row r="17487" spans="1:15" x14ac:dyDescent="0.25">
      <c r="A17487" t="s">
        <v>17500</v>
      </c>
      <c r="B17487">
        <v>641</v>
      </c>
      <c r="C17487" s="1" t="str">
        <f>HYPERLINK("http://www.rosaceae.org/gb/gbrowse/malus_x_domestica/?name=MDP0000266451","MDP0000266451")</f>
        <v>MDP0000266451</v>
      </c>
      <c r="D17487">
        <v>64.48</v>
      </c>
      <c r="E17487">
        <v>597</v>
      </c>
      <c r="F17487">
        <v>212</v>
      </c>
      <c r="G17487">
        <v>20</v>
      </c>
      <c r="H17487">
        <v>45</v>
      </c>
      <c r="I17487">
        <v>627</v>
      </c>
      <c r="J17487">
        <v>1</v>
      </c>
      <c r="K17487">
        <v>41</v>
      </c>
      <c r="L17487">
        <v>631</v>
      </c>
      <c r="M17487">
        <v>1</v>
      </c>
      <c r="N17487">
        <v>0</v>
      </c>
      <c r="O17487">
        <v>1947</v>
      </c>
    </row>
    <row r="17488" spans="1:15" x14ac:dyDescent="0.25">
      <c r="A17488" t="s">
        <v>17501</v>
      </c>
      <c r="B17488">
        <v>613</v>
      </c>
      <c r="C17488" s="1" t="str">
        <f>HYPERLINK("http://www.rosaceae.org/gb/gbrowse/malus_x_domestica/?name=MDP0000130674","MDP0000130674")</f>
        <v>MDP0000130674</v>
      </c>
      <c r="D17488">
        <v>66.900000000000006</v>
      </c>
      <c r="E17488">
        <v>710</v>
      </c>
      <c r="F17488">
        <v>235</v>
      </c>
      <c r="G17488">
        <v>102</v>
      </c>
      <c r="H17488">
        <v>1</v>
      </c>
      <c r="I17488">
        <v>613</v>
      </c>
      <c r="J17488">
        <v>1</v>
      </c>
      <c r="K17488">
        <v>1</v>
      </c>
      <c r="L17488">
        <v>705</v>
      </c>
      <c r="M17488">
        <v>1</v>
      </c>
      <c r="N17488">
        <v>0</v>
      </c>
      <c r="O17488">
        <v>2410</v>
      </c>
    </row>
    <row r="17489" spans="1:15" x14ac:dyDescent="0.25">
      <c r="A17489" t="s">
        <v>17502</v>
      </c>
      <c r="B17489">
        <v>628</v>
      </c>
      <c r="C17489" s="1" t="str">
        <f>HYPERLINK("http://www.rosaceae.org/gb/gbrowse/malus_x_domestica/?name=MDP0000126909","MDP0000126909")</f>
        <v>MDP0000126909</v>
      </c>
      <c r="D17489">
        <v>67.900000000000006</v>
      </c>
      <c r="E17489">
        <v>648</v>
      </c>
      <c r="F17489">
        <v>208</v>
      </c>
      <c r="G17489">
        <v>44</v>
      </c>
      <c r="H17489">
        <v>1</v>
      </c>
      <c r="I17489">
        <v>628</v>
      </c>
      <c r="J17489">
        <v>1</v>
      </c>
      <c r="K17489">
        <v>1</v>
      </c>
      <c r="L17489">
        <v>624</v>
      </c>
      <c r="M17489">
        <v>1</v>
      </c>
      <c r="N17489">
        <v>0</v>
      </c>
      <c r="O17489">
        <v>2122</v>
      </c>
    </row>
    <row r="17490" spans="1:15" x14ac:dyDescent="0.25">
      <c r="A17490" t="s">
        <v>17503</v>
      </c>
      <c r="B17490">
        <v>267</v>
      </c>
      <c r="C17490" s="1" t="str">
        <f>HYPERLINK("http://www.rosaceae.org/gb/gbrowse/malus_x_domestica/?name=MDP0000155476","MDP0000155476")</f>
        <v>MDP0000155476</v>
      </c>
      <c r="D17490">
        <v>81.09</v>
      </c>
      <c r="E17490">
        <v>238</v>
      </c>
      <c r="F17490">
        <v>45</v>
      </c>
      <c r="G17490">
        <v>14</v>
      </c>
      <c r="H17490">
        <v>44</v>
      </c>
      <c r="I17490">
        <v>267</v>
      </c>
      <c r="J17490">
        <v>1</v>
      </c>
      <c r="K17490">
        <v>132</v>
      </c>
      <c r="L17490">
        <v>369</v>
      </c>
      <c r="M17490">
        <v>1</v>
      </c>
      <c r="N17490">
        <v>8.6807400000000006E-108</v>
      </c>
      <c r="O17490">
        <v>993</v>
      </c>
    </row>
    <row r="17491" spans="1:15" x14ac:dyDescent="0.25">
      <c r="A17491" t="s">
        <v>17504</v>
      </c>
      <c r="B17491">
        <v>1304</v>
      </c>
      <c r="C17491" s="1" t="str">
        <f>HYPERLINK("http://www.rosaceae.org/gb/gbrowse/malus_x_domestica/?name=MDP0000127029","MDP0000127029")</f>
        <v>MDP0000127029</v>
      </c>
      <c r="D17491">
        <v>64.040000000000006</v>
      </c>
      <c r="E17491">
        <v>1118</v>
      </c>
      <c r="F17491">
        <v>402</v>
      </c>
      <c r="G17491">
        <v>79</v>
      </c>
      <c r="H17491">
        <v>61</v>
      </c>
      <c r="I17491">
        <v>1141</v>
      </c>
      <c r="J17491">
        <v>1</v>
      </c>
      <c r="K17491">
        <v>1</v>
      </c>
      <c r="L17491">
        <v>1076</v>
      </c>
      <c r="M17491">
        <v>1</v>
      </c>
      <c r="N17491">
        <v>0</v>
      </c>
      <c r="O17491">
        <v>3462</v>
      </c>
    </row>
    <row r="17492" spans="1:15" x14ac:dyDescent="0.25">
      <c r="A17492" t="s">
        <v>17505</v>
      </c>
      <c r="B17492">
        <v>1121</v>
      </c>
      <c r="C17492" s="1" t="str">
        <f>HYPERLINK("http://www.rosaceae.org/gb/gbrowse/malus_x_domestica/?name=MDP0000184590","MDP0000184590")</f>
        <v>MDP0000184590</v>
      </c>
      <c r="D17492">
        <v>77.64</v>
      </c>
      <c r="E17492">
        <v>1096</v>
      </c>
      <c r="F17492">
        <v>245</v>
      </c>
      <c r="G17492">
        <v>0</v>
      </c>
      <c r="H17492">
        <v>1</v>
      </c>
      <c r="I17492">
        <v>1096</v>
      </c>
      <c r="J17492">
        <v>1</v>
      </c>
      <c r="K17492">
        <v>1</v>
      </c>
      <c r="L17492">
        <v>1096</v>
      </c>
      <c r="M17492">
        <v>1</v>
      </c>
      <c r="N17492">
        <v>0</v>
      </c>
      <c r="O17492">
        <v>4358</v>
      </c>
    </row>
    <row r="17493" spans="1:15" x14ac:dyDescent="0.25">
      <c r="A17493" t="s">
        <v>17506</v>
      </c>
      <c r="B17493">
        <v>668</v>
      </c>
      <c r="C17493" s="1" t="str">
        <f>HYPERLINK("http://www.rosaceae.org/gb/gbrowse/malus_x_domestica/?name=MDP0000278601","MDP0000278601")</f>
        <v>MDP0000278601</v>
      </c>
      <c r="D17493">
        <v>82.7</v>
      </c>
      <c r="E17493">
        <v>665</v>
      </c>
      <c r="F17493">
        <v>115</v>
      </c>
      <c r="G17493">
        <v>5</v>
      </c>
      <c r="H17493">
        <v>1</v>
      </c>
      <c r="I17493">
        <v>665</v>
      </c>
      <c r="J17493">
        <v>1</v>
      </c>
      <c r="K17493">
        <v>1</v>
      </c>
      <c r="L17493">
        <v>660</v>
      </c>
      <c r="M17493">
        <v>1</v>
      </c>
      <c r="N17493">
        <v>0</v>
      </c>
      <c r="O17493">
        <v>2886</v>
      </c>
    </row>
    <row r="17494" spans="1:15" x14ac:dyDescent="0.25">
      <c r="A17494" t="s">
        <v>17507</v>
      </c>
      <c r="B17494">
        <v>278</v>
      </c>
      <c r="C17494" s="1" t="str">
        <f>HYPERLINK("http://www.rosaceae.org/gb/gbrowse/malus_x_domestica/?name=MDP0000187064","MDP0000187064")</f>
        <v>MDP0000187064</v>
      </c>
      <c r="D17494">
        <v>38.619999999999997</v>
      </c>
      <c r="E17494">
        <v>290</v>
      </c>
      <c r="F17494">
        <v>178</v>
      </c>
      <c r="G17494">
        <v>51</v>
      </c>
      <c r="H17494">
        <v>1</v>
      </c>
      <c r="I17494">
        <v>252</v>
      </c>
      <c r="J17494">
        <v>1</v>
      </c>
      <c r="K17494">
        <v>1</v>
      </c>
      <c r="L17494">
        <v>277</v>
      </c>
      <c r="M17494">
        <v>1</v>
      </c>
      <c r="N17494">
        <v>3.9009199999999999E-39</v>
      </c>
      <c r="O17494">
        <v>401</v>
      </c>
    </row>
    <row r="17495" spans="1:15" x14ac:dyDescent="0.25">
      <c r="A17495" t="s">
        <v>17508</v>
      </c>
      <c r="B17495">
        <v>173</v>
      </c>
      <c r="C17495" s="1" t="str">
        <f>HYPERLINK("http://www.rosaceae.org/gb/gbrowse/malus_x_domestica/?name=MDP0000319123","MDP0000319123")</f>
        <v>MDP0000319123</v>
      </c>
      <c r="D17495">
        <v>55.55</v>
      </c>
      <c r="E17495">
        <v>162</v>
      </c>
      <c r="F17495">
        <v>72</v>
      </c>
      <c r="G17495">
        <v>34</v>
      </c>
      <c r="H17495">
        <v>46</v>
      </c>
      <c r="I17495">
        <v>173</v>
      </c>
      <c r="J17495">
        <v>1</v>
      </c>
      <c r="K17495">
        <v>444</v>
      </c>
      <c r="L17495">
        <v>605</v>
      </c>
      <c r="M17495">
        <v>1</v>
      </c>
      <c r="N17495">
        <v>4.70584E-41</v>
      </c>
      <c r="O17495">
        <v>415</v>
      </c>
    </row>
    <row r="17496" spans="1:15" x14ac:dyDescent="0.25">
      <c r="A17496" t="s">
        <v>17509</v>
      </c>
      <c r="B17496">
        <v>685</v>
      </c>
      <c r="C17496" s="1" t="str">
        <f>HYPERLINK("http://www.rosaceae.org/gb/gbrowse/malus_x_domestica/?name=MDP0000759375","MDP0000759375")</f>
        <v>MDP0000759375</v>
      </c>
      <c r="D17496">
        <v>65.77</v>
      </c>
      <c r="E17496">
        <v>336</v>
      </c>
      <c r="F17496">
        <v>115</v>
      </c>
      <c r="G17496">
        <v>6</v>
      </c>
      <c r="H17496">
        <v>350</v>
      </c>
      <c r="I17496">
        <v>685</v>
      </c>
      <c r="J17496">
        <v>1</v>
      </c>
      <c r="K17496">
        <v>261</v>
      </c>
      <c r="L17496">
        <v>590</v>
      </c>
      <c r="M17496">
        <v>1</v>
      </c>
      <c r="N17496">
        <v>6.9448399999999998E-130</v>
      </c>
      <c r="O17496">
        <v>1188</v>
      </c>
    </row>
    <row r="17497" spans="1:15" x14ac:dyDescent="0.25">
      <c r="A17497" t="s">
        <v>17510</v>
      </c>
      <c r="B17497">
        <v>462</v>
      </c>
      <c r="C17497" s="1" t="str">
        <f>HYPERLINK("http://www.rosaceae.org/gb/gbrowse/malus_x_domestica/?name=MDP0000237182","MDP0000237182")</f>
        <v>MDP0000237182</v>
      </c>
      <c r="D17497">
        <v>28.57</v>
      </c>
      <c r="E17497">
        <v>175</v>
      </c>
      <c r="F17497">
        <v>125</v>
      </c>
      <c r="G17497">
        <v>12</v>
      </c>
      <c r="H17497">
        <v>1</v>
      </c>
      <c r="I17497">
        <v>173</v>
      </c>
      <c r="J17497">
        <v>1</v>
      </c>
      <c r="K17497">
        <v>347</v>
      </c>
      <c r="L17497">
        <v>511</v>
      </c>
      <c r="M17497">
        <v>1</v>
      </c>
      <c r="N17497">
        <v>3.3782099999999999E-13</v>
      </c>
      <c r="O17497">
        <v>180</v>
      </c>
    </row>
    <row r="17498" spans="1:15" x14ac:dyDescent="0.25">
      <c r="A17498" t="s">
        <v>17511</v>
      </c>
      <c r="B17498">
        <v>329</v>
      </c>
      <c r="C17498" s="1" t="str">
        <f>HYPERLINK("http://www.rosaceae.org/gb/gbrowse/malus_x_domestica/?name=MDP0000123580","MDP0000123580")</f>
        <v>MDP0000123580</v>
      </c>
      <c r="D17498">
        <v>87.97</v>
      </c>
      <c r="E17498">
        <v>316</v>
      </c>
      <c r="F17498">
        <v>38</v>
      </c>
      <c r="G17498">
        <v>21</v>
      </c>
      <c r="H17498">
        <v>1</v>
      </c>
      <c r="I17498">
        <v>303</v>
      </c>
      <c r="J17498">
        <v>1</v>
      </c>
      <c r="K17498">
        <v>1</v>
      </c>
      <c r="L17498">
        <v>308</v>
      </c>
      <c r="M17498">
        <v>1</v>
      </c>
      <c r="N17498">
        <v>2.95095E-154</v>
      </c>
      <c r="O17498">
        <v>1395</v>
      </c>
    </row>
    <row r="17499" spans="1:15" x14ac:dyDescent="0.25">
      <c r="A17499" t="s">
        <v>17512</v>
      </c>
      <c r="B17499">
        <v>554</v>
      </c>
      <c r="C17499" s="1" t="str">
        <f>HYPERLINK("http://www.rosaceae.org/gb/gbrowse/malus_x_domestica/?name=MDP0000239496","MDP0000239496")</f>
        <v>MDP0000239496</v>
      </c>
      <c r="D17499">
        <v>84.75</v>
      </c>
      <c r="E17499">
        <v>492</v>
      </c>
      <c r="F17499">
        <v>75</v>
      </c>
      <c r="G17499">
        <v>6</v>
      </c>
      <c r="H17499">
        <v>20</v>
      </c>
      <c r="I17499">
        <v>509</v>
      </c>
      <c r="J17499">
        <v>1</v>
      </c>
      <c r="K17499">
        <v>28</v>
      </c>
      <c r="L17499">
        <v>515</v>
      </c>
      <c r="M17499">
        <v>1</v>
      </c>
      <c r="N17499">
        <v>0</v>
      </c>
      <c r="O17499">
        <v>2282</v>
      </c>
    </row>
    <row r="17500" spans="1:15" x14ac:dyDescent="0.25">
      <c r="A17500" t="s">
        <v>17513</v>
      </c>
      <c r="B17500">
        <v>618</v>
      </c>
      <c r="C17500" s="1" t="str">
        <f>HYPERLINK("http://www.rosaceae.org/gb/gbrowse/malus_x_domestica/?name=MDP0000223570","MDP0000223570")</f>
        <v>MDP0000223570</v>
      </c>
      <c r="D17500">
        <v>85.35</v>
      </c>
      <c r="E17500">
        <v>553</v>
      </c>
      <c r="F17500">
        <v>81</v>
      </c>
      <c r="G17500">
        <v>9</v>
      </c>
      <c r="H17500">
        <v>49</v>
      </c>
      <c r="I17500">
        <v>595</v>
      </c>
      <c r="J17500">
        <v>1</v>
      </c>
      <c r="K17500">
        <v>64</v>
      </c>
      <c r="L17500">
        <v>613</v>
      </c>
      <c r="M17500">
        <v>1</v>
      </c>
      <c r="N17500">
        <v>0</v>
      </c>
      <c r="O17500">
        <v>2477</v>
      </c>
    </row>
    <row r="17501" spans="1:15" x14ac:dyDescent="0.25">
      <c r="A17501" t="s">
        <v>17514</v>
      </c>
      <c r="B17501">
        <v>208</v>
      </c>
      <c r="C17501" s="1" t="str">
        <f>HYPERLINK("http://www.rosaceae.org/gb/gbrowse/malus_x_domestica/?name=MDP0000258414","MDP0000258414")</f>
        <v>MDP0000258414</v>
      </c>
      <c r="D17501">
        <v>42.24</v>
      </c>
      <c r="E17501">
        <v>116</v>
      </c>
      <c r="F17501">
        <v>67</v>
      </c>
      <c r="G17501">
        <v>12</v>
      </c>
      <c r="H17501">
        <v>99</v>
      </c>
      <c r="I17501">
        <v>208</v>
      </c>
      <c r="J17501">
        <v>1</v>
      </c>
      <c r="K17501">
        <v>88</v>
      </c>
      <c r="L17501">
        <v>197</v>
      </c>
      <c r="M17501">
        <v>1</v>
      </c>
      <c r="N17501">
        <v>2.6977700000000002E-13</v>
      </c>
      <c r="O17501">
        <v>176</v>
      </c>
    </row>
    <row r="17502" spans="1:15" x14ac:dyDescent="0.25">
      <c r="A17502" t="s">
        <v>17515</v>
      </c>
      <c r="B17502">
        <v>2122</v>
      </c>
      <c r="C17502" s="1" t="str">
        <f>HYPERLINK("http://www.rosaceae.org/gb/gbrowse/malus_x_domestica/?name=MDP0000524742","MDP0000524742")</f>
        <v>MDP0000524742</v>
      </c>
      <c r="D17502">
        <v>36.82</v>
      </c>
      <c r="E17502">
        <v>1385</v>
      </c>
      <c r="F17502">
        <v>875</v>
      </c>
      <c r="G17502">
        <v>209</v>
      </c>
      <c r="H17502">
        <v>844</v>
      </c>
      <c r="I17502">
        <v>2122</v>
      </c>
      <c r="J17502">
        <v>1</v>
      </c>
      <c r="K17502">
        <v>121</v>
      </c>
      <c r="L17502">
        <v>1402</v>
      </c>
      <c r="M17502">
        <v>1</v>
      </c>
      <c r="N17502">
        <v>1.9077299999999999E-166</v>
      </c>
      <c r="O17502">
        <v>1508</v>
      </c>
    </row>
    <row r="17503" spans="1:15" x14ac:dyDescent="0.25">
      <c r="A17503" t="s">
        <v>17516</v>
      </c>
      <c r="B17503">
        <v>86</v>
      </c>
      <c r="C17503" s="1" t="str">
        <f>HYPERLINK("http://www.rosaceae.org/gb/gbrowse/malus_x_domestica/?name=MDP0000271556","MDP0000271556")</f>
        <v>MDP0000271556</v>
      </c>
      <c r="D17503">
        <v>84.05</v>
      </c>
      <c r="E17503">
        <v>69</v>
      </c>
      <c r="F17503">
        <v>11</v>
      </c>
      <c r="G17503">
        <v>2</v>
      </c>
      <c r="H17503">
        <v>19</v>
      </c>
      <c r="I17503">
        <v>85</v>
      </c>
      <c r="J17503">
        <v>1</v>
      </c>
      <c r="K17503">
        <v>598</v>
      </c>
      <c r="L17503">
        <v>666</v>
      </c>
      <c r="M17503">
        <v>1</v>
      </c>
      <c r="N17503">
        <v>6.3670599999999996E-28</v>
      </c>
      <c r="O17503">
        <v>298</v>
      </c>
    </row>
    <row r="17504" spans="1:15" x14ac:dyDescent="0.25">
      <c r="A17504" t="s">
        <v>17517</v>
      </c>
      <c r="B17504">
        <v>456</v>
      </c>
      <c r="C17504" s="1" t="str">
        <f>HYPERLINK("http://www.rosaceae.org/gb/gbrowse/malus_x_domestica/?name=MDP0000316701","MDP0000316701")</f>
        <v>MDP0000316701</v>
      </c>
      <c r="D17504">
        <v>41.34</v>
      </c>
      <c r="E17504">
        <v>462</v>
      </c>
      <c r="F17504">
        <v>271</v>
      </c>
      <c r="G17504">
        <v>60</v>
      </c>
      <c r="H17504">
        <v>2</v>
      </c>
      <c r="I17504">
        <v>454</v>
      </c>
      <c r="J17504">
        <v>1</v>
      </c>
      <c r="K17504">
        <v>45</v>
      </c>
      <c r="L17504">
        <v>455</v>
      </c>
      <c r="M17504">
        <v>1</v>
      </c>
      <c r="N17504">
        <v>1.4145199999999999E-79</v>
      </c>
      <c r="O17504">
        <v>752</v>
      </c>
    </row>
    <row r="17505" spans="1:15" x14ac:dyDescent="0.25">
      <c r="A17505" t="s">
        <v>17518</v>
      </c>
      <c r="B17505">
        <v>308</v>
      </c>
      <c r="C17505" s="1" t="str">
        <f>HYPERLINK("http://www.rosaceae.org/gb/gbrowse/malus_x_domestica/?name=MDP0000239946","MDP0000239946")</f>
        <v>MDP0000239946</v>
      </c>
      <c r="D17505">
        <v>50.97</v>
      </c>
      <c r="E17505">
        <v>308</v>
      </c>
      <c r="F17505">
        <v>151</v>
      </c>
      <c r="G17505">
        <v>0</v>
      </c>
      <c r="H17505">
        <v>1</v>
      </c>
      <c r="I17505">
        <v>308</v>
      </c>
      <c r="J17505">
        <v>1</v>
      </c>
      <c r="K17505">
        <v>36</v>
      </c>
      <c r="L17505">
        <v>343</v>
      </c>
      <c r="M17505">
        <v>1</v>
      </c>
      <c r="N17505">
        <v>2.0021999999999999E-90</v>
      </c>
      <c r="O17505">
        <v>844</v>
      </c>
    </row>
    <row r="17506" spans="1:15" x14ac:dyDescent="0.25">
      <c r="A17506" t="s">
        <v>17519</v>
      </c>
      <c r="B17506">
        <v>499</v>
      </c>
      <c r="C17506" s="1" t="str">
        <f>HYPERLINK("http://www.rosaceae.org/gb/gbrowse/malus_x_domestica/?name=MDP0000923640","MDP0000923640")</f>
        <v>MDP0000923640</v>
      </c>
      <c r="D17506">
        <v>37.39</v>
      </c>
      <c r="E17506">
        <v>123</v>
      </c>
      <c r="F17506">
        <v>77</v>
      </c>
      <c r="G17506">
        <v>15</v>
      </c>
      <c r="H17506">
        <v>221</v>
      </c>
      <c r="I17506">
        <v>334</v>
      </c>
      <c r="J17506">
        <v>1</v>
      </c>
      <c r="K17506">
        <v>1</v>
      </c>
      <c r="L17506">
        <v>117</v>
      </c>
      <c r="M17506">
        <v>1</v>
      </c>
      <c r="N17506">
        <v>3.1670099999999998E-9</v>
      </c>
      <c r="O17506">
        <v>146</v>
      </c>
    </row>
    <row r="17507" spans="1:15" x14ac:dyDescent="0.25">
      <c r="A17507" t="s">
        <v>17520</v>
      </c>
      <c r="B17507">
        <v>483</v>
      </c>
      <c r="C17507" s="1" t="str">
        <f>HYPERLINK("http://www.rosaceae.org/gb/gbrowse/malus_x_domestica/?name=MDP0000285103","MDP0000285103")</f>
        <v>MDP0000285103</v>
      </c>
      <c r="D17507">
        <v>42.02</v>
      </c>
      <c r="E17507">
        <v>376</v>
      </c>
      <c r="F17507">
        <v>218</v>
      </c>
      <c r="G17507">
        <v>43</v>
      </c>
      <c r="H17507">
        <v>93</v>
      </c>
      <c r="I17507">
        <v>452</v>
      </c>
      <c r="J17507">
        <v>1</v>
      </c>
      <c r="K17507">
        <v>23</v>
      </c>
      <c r="L17507">
        <v>371</v>
      </c>
      <c r="M17507">
        <v>1</v>
      </c>
      <c r="N17507">
        <v>1.9824100000000001E-64</v>
      </c>
      <c r="O17507">
        <v>622</v>
      </c>
    </row>
    <row r="17508" spans="1:15" x14ac:dyDescent="0.25">
      <c r="A17508" t="s">
        <v>17521</v>
      </c>
      <c r="B17508">
        <v>448</v>
      </c>
      <c r="C17508" s="1" t="str">
        <f>HYPERLINK("http://www.rosaceae.org/gb/gbrowse/malus_x_domestica/?name=MDP0000195139","MDP0000195139")</f>
        <v>MDP0000195139</v>
      </c>
      <c r="D17508">
        <v>36.36</v>
      </c>
      <c r="E17508">
        <v>275</v>
      </c>
      <c r="F17508">
        <v>175</v>
      </c>
      <c r="G17508">
        <v>72</v>
      </c>
      <c r="H17508">
        <v>210</v>
      </c>
      <c r="I17508">
        <v>412</v>
      </c>
      <c r="J17508">
        <v>1</v>
      </c>
      <c r="K17508">
        <v>624</v>
      </c>
      <c r="L17508">
        <v>898</v>
      </c>
      <c r="M17508">
        <v>1</v>
      </c>
      <c r="N17508">
        <v>3.0970900000000001E-30</v>
      </c>
      <c r="O17508">
        <v>327</v>
      </c>
    </row>
    <row r="17509" spans="1:15" x14ac:dyDescent="0.25">
      <c r="A17509" t="s">
        <v>17522</v>
      </c>
      <c r="B17509">
        <v>165</v>
      </c>
      <c r="C17509" s="1" t="str">
        <f>HYPERLINK("http://www.rosaceae.org/gb/gbrowse/malus_x_domestica/?name=MDP0000932292","MDP0000932292")</f>
        <v>MDP0000932292</v>
      </c>
      <c r="D17509">
        <v>55.73</v>
      </c>
      <c r="E17509">
        <v>183</v>
      </c>
      <c r="F17509">
        <v>81</v>
      </c>
      <c r="G17509">
        <v>30</v>
      </c>
      <c r="H17509">
        <v>1</v>
      </c>
      <c r="I17509">
        <v>164</v>
      </c>
      <c r="J17509">
        <v>1</v>
      </c>
      <c r="K17509">
        <v>1</v>
      </c>
      <c r="L17509">
        <v>172</v>
      </c>
      <c r="M17509">
        <v>1</v>
      </c>
      <c r="N17509">
        <v>9.7047000000000007E-44</v>
      </c>
      <c r="O17509">
        <v>437</v>
      </c>
    </row>
    <row r="17510" spans="1:15" x14ac:dyDescent="0.25">
      <c r="A17510" t="s">
        <v>17523</v>
      </c>
      <c r="B17510">
        <v>375</v>
      </c>
      <c r="C17510" s="1" t="str">
        <f>HYPERLINK("http://www.rosaceae.org/gb/gbrowse/malus_x_domestica/?name=MDP0000273274","MDP0000273274")</f>
        <v>MDP0000273274</v>
      </c>
      <c r="D17510">
        <v>66.94</v>
      </c>
      <c r="E17510">
        <v>360</v>
      </c>
      <c r="F17510">
        <v>119</v>
      </c>
      <c r="G17510">
        <v>7</v>
      </c>
      <c r="H17510">
        <v>16</v>
      </c>
      <c r="I17510">
        <v>375</v>
      </c>
      <c r="J17510">
        <v>1</v>
      </c>
      <c r="K17510">
        <v>23</v>
      </c>
      <c r="L17510">
        <v>375</v>
      </c>
      <c r="M17510">
        <v>1</v>
      </c>
      <c r="N17510">
        <v>1.8005E-143</v>
      </c>
      <c r="O17510">
        <v>1302</v>
      </c>
    </row>
    <row r="17511" spans="1:15" x14ac:dyDescent="0.25">
      <c r="A17511" t="s">
        <v>17524</v>
      </c>
      <c r="B17511">
        <v>155</v>
      </c>
      <c r="C17511" s="1" t="str">
        <f>HYPERLINK("http://www.rosaceae.org/gb/gbrowse/malus_x_domestica/?name=MDP0000236726","MDP0000236726")</f>
        <v>MDP0000236726</v>
      </c>
      <c r="D17511">
        <v>32.25</v>
      </c>
      <c r="E17511">
        <v>124</v>
      </c>
      <c r="F17511">
        <v>84</v>
      </c>
      <c r="G17511">
        <v>14</v>
      </c>
      <c r="H17511">
        <v>1</v>
      </c>
      <c r="I17511">
        <v>123</v>
      </c>
      <c r="J17511">
        <v>1</v>
      </c>
      <c r="K17511">
        <v>169</v>
      </c>
      <c r="L17511">
        <v>279</v>
      </c>
      <c r="M17511">
        <v>1</v>
      </c>
      <c r="N17511">
        <v>6.4927299999999995E-11</v>
      </c>
      <c r="O17511">
        <v>154</v>
      </c>
    </row>
    <row r="17512" spans="1:15" x14ac:dyDescent="0.25">
      <c r="A17512" t="s">
        <v>17525</v>
      </c>
      <c r="B17512">
        <v>262</v>
      </c>
      <c r="C17512" s="1" t="str">
        <f>HYPERLINK("http://www.rosaceae.org/gb/gbrowse/malus_x_domestica/?name=MDP0000251865","MDP0000251865")</f>
        <v>MDP0000251865</v>
      </c>
      <c r="D17512">
        <v>48.52</v>
      </c>
      <c r="E17512">
        <v>272</v>
      </c>
      <c r="F17512">
        <v>140</v>
      </c>
      <c r="G17512">
        <v>50</v>
      </c>
      <c r="H17512">
        <v>30</v>
      </c>
      <c r="I17512">
        <v>260</v>
      </c>
      <c r="J17512">
        <v>1</v>
      </c>
      <c r="K17512">
        <v>134</v>
      </c>
      <c r="L17512">
        <v>396</v>
      </c>
      <c r="M17512">
        <v>1</v>
      </c>
      <c r="N17512">
        <v>3.4688899999999998E-63</v>
      </c>
      <c r="O17512">
        <v>608</v>
      </c>
    </row>
    <row r="17513" spans="1:15" x14ac:dyDescent="0.25">
      <c r="A17513" t="s">
        <v>17526</v>
      </c>
      <c r="B17513">
        <v>475</v>
      </c>
      <c r="C17513" s="1" t="str">
        <f>HYPERLINK("http://www.rosaceae.org/gb/gbrowse/malus_x_domestica/?name=MDP0000222340","MDP0000222340")</f>
        <v>MDP0000222340</v>
      </c>
      <c r="D17513">
        <v>46.59</v>
      </c>
      <c r="E17513">
        <v>485</v>
      </c>
      <c r="F17513">
        <v>259</v>
      </c>
      <c r="G17513">
        <v>16</v>
      </c>
      <c r="H17513">
        <v>1</v>
      </c>
      <c r="I17513">
        <v>471</v>
      </c>
      <c r="J17513">
        <v>1</v>
      </c>
      <c r="K17513">
        <v>1</v>
      </c>
      <c r="L17513">
        <v>483</v>
      </c>
      <c r="M17513">
        <v>1</v>
      </c>
      <c r="N17513">
        <v>6.6641899999999996E-96</v>
      </c>
      <c r="O17513">
        <v>893</v>
      </c>
    </row>
    <row r="17514" spans="1:15" x14ac:dyDescent="0.25">
      <c r="A17514" t="s">
        <v>17527</v>
      </c>
      <c r="B17514">
        <v>153</v>
      </c>
      <c r="C17514" s="1" t="str">
        <f>HYPERLINK("http://www.rosaceae.org/gb/gbrowse/malus_x_domestica/?name=MDP0000149922","MDP0000149922")</f>
        <v>MDP0000149922</v>
      </c>
      <c r="D17514">
        <v>50.78</v>
      </c>
      <c r="E17514">
        <v>128</v>
      </c>
      <c r="F17514">
        <v>63</v>
      </c>
      <c r="G17514">
        <v>18</v>
      </c>
      <c r="H17514">
        <v>1</v>
      </c>
      <c r="I17514">
        <v>117</v>
      </c>
      <c r="J17514">
        <v>1</v>
      </c>
      <c r="K17514">
        <v>1</v>
      </c>
      <c r="L17514">
        <v>121</v>
      </c>
      <c r="M17514">
        <v>1</v>
      </c>
      <c r="N17514">
        <v>6.2274300000000005E-23</v>
      </c>
      <c r="O17514">
        <v>257</v>
      </c>
    </row>
    <row r="17515" spans="1:15" x14ac:dyDescent="0.25">
      <c r="A17515" t="s">
        <v>17528</v>
      </c>
      <c r="B17515">
        <v>176</v>
      </c>
      <c r="C17515" s="1" t="str">
        <f>HYPERLINK("http://www.rosaceae.org/gb/gbrowse/malus_x_domestica/?name=MDP0000200513","MDP0000200513")</f>
        <v>MDP0000200513</v>
      </c>
      <c r="D17515">
        <v>50.81</v>
      </c>
      <c r="E17515">
        <v>61</v>
      </c>
      <c r="F17515">
        <v>30</v>
      </c>
      <c r="G17515">
        <v>10</v>
      </c>
      <c r="H17515">
        <v>6</v>
      </c>
      <c r="I17515">
        <v>57</v>
      </c>
      <c r="J17515">
        <v>1</v>
      </c>
      <c r="K17515">
        <v>298</v>
      </c>
      <c r="L17515">
        <v>357</v>
      </c>
      <c r="M17515">
        <v>1</v>
      </c>
      <c r="N17515">
        <v>3.4497299999999997E-8</v>
      </c>
      <c r="O17515">
        <v>131</v>
      </c>
    </row>
    <row r="17516" spans="1:15" x14ac:dyDescent="0.25">
      <c r="A17516" t="s">
        <v>17529</v>
      </c>
      <c r="B17516">
        <v>204</v>
      </c>
      <c r="C17516" s="1" t="str">
        <f>HYPERLINK("http://www.rosaceae.org/gb/gbrowse/malus_x_domestica/?name=MDP0000393227","MDP0000393227")</f>
        <v>MDP0000393227</v>
      </c>
      <c r="D17516">
        <v>78.209999999999994</v>
      </c>
      <c r="E17516">
        <v>202</v>
      </c>
      <c r="F17516">
        <v>44</v>
      </c>
      <c r="G17516">
        <v>0</v>
      </c>
      <c r="H17516">
        <v>1</v>
      </c>
      <c r="I17516">
        <v>202</v>
      </c>
      <c r="J17516">
        <v>1</v>
      </c>
      <c r="K17516">
        <v>1</v>
      </c>
      <c r="L17516">
        <v>202</v>
      </c>
      <c r="M17516">
        <v>1</v>
      </c>
      <c r="N17516">
        <v>3.3760100000000001E-89</v>
      </c>
      <c r="O17516">
        <v>831</v>
      </c>
    </row>
    <row r="17517" spans="1:15" x14ac:dyDescent="0.25">
      <c r="A17517" t="s">
        <v>17530</v>
      </c>
      <c r="B17517">
        <v>134</v>
      </c>
      <c r="C17517" s="1" t="str">
        <f>HYPERLINK("http://www.rosaceae.org/gb/gbrowse/malus_x_domestica/?name=MDP0000527966","MDP0000527966")</f>
        <v>MDP0000527966</v>
      </c>
      <c r="D17517">
        <v>92.64</v>
      </c>
      <c r="E17517">
        <v>136</v>
      </c>
      <c r="F17517">
        <v>10</v>
      </c>
      <c r="G17517">
        <v>2</v>
      </c>
      <c r="H17517">
        <v>1</v>
      </c>
      <c r="I17517">
        <v>134</v>
      </c>
      <c r="J17517">
        <v>1</v>
      </c>
      <c r="K17517">
        <v>1</v>
      </c>
      <c r="L17517">
        <v>136</v>
      </c>
      <c r="M17517">
        <v>1</v>
      </c>
      <c r="N17517">
        <v>3.0327799999999999E-62</v>
      </c>
      <c r="O17517">
        <v>595</v>
      </c>
    </row>
    <row r="17518" spans="1:15" x14ac:dyDescent="0.25">
      <c r="A17518" t="s">
        <v>17531</v>
      </c>
      <c r="B17518">
        <v>567</v>
      </c>
      <c r="C17518" s="1" t="str">
        <f>HYPERLINK("http://www.rosaceae.org/gb/gbrowse/malus_x_domestica/?name=MDP0000196373","MDP0000196373")</f>
        <v>MDP0000196373</v>
      </c>
      <c r="D17518">
        <v>78.34</v>
      </c>
      <c r="E17518">
        <v>508</v>
      </c>
      <c r="F17518">
        <v>110</v>
      </c>
      <c r="G17518">
        <v>56</v>
      </c>
      <c r="H17518">
        <v>75</v>
      </c>
      <c r="I17518">
        <v>532</v>
      </c>
      <c r="J17518">
        <v>1</v>
      </c>
      <c r="K17518">
        <v>1</v>
      </c>
      <c r="L17518">
        <v>502</v>
      </c>
      <c r="M17518">
        <v>1</v>
      </c>
      <c r="N17518">
        <v>0</v>
      </c>
      <c r="O17518">
        <v>2003</v>
      </c>
    </row>
    <row r="17519" spans="1:15" x14ac:dyDescent="0.25">
      <c r="A17519" t="s">
        <v>17532</v>
      </c>
      <c r="B17519">
        <v>196</v>
      </c>
      <c r="C17519" s="1" t="str">
        <f>HYPERLINK("http://www.rosaceae.org/gb/gbrowse/malus_x_domestica/?name=MDP0000137468","MDP0000137468")</f>
        <v>MDP0000137468</v>
      </c>
      <c r="D17519">
        <v>55.71</v>
      </c>
      <c r="E17519">
        <v>210</v>
      </c>
      <c r="F17519">
        <v>93</v>
      </c>
      <c r="G17519">
        <v>14</v>
      </c>
      <c r="H17519">
        <v>1</v>
      </c>
      <c r="I17519">
        <v>196</v>
      </c>
      <c r="J17519">
        <v>1</v>
      </c>
      <c r="K17519">
        <v>1</v>
      </c>
      <c r="L17519">
        <v>210</v>
      </c>
      <c r="M17519">
        <v>1</v>
      </c>
      <c r="N17519">
        <v>2.2698099999999998E-53</v>
      </c>
      <c r="O17519">
        <v>522</v>
      </c>
    </row>
    <row r="17520" spans="1:15" x14ac:dyDescent="0.25">
      <c r="A17520" t="s">
        <v>17533</v>
      </c>
      <c r="B17520">
        <v>393</v>
      </c>
      <c r="C17520" s="1" t="str">
        <f>HYPERLINK("http://www.rosaceae.org/gb/gbrowse/malus_x_domestica/?name=MDP0000924905","MDP0000924905")</f>
        <v>MDP0000924905</v>
      </c>
      <c r="D17520">
        <v>62.89</v>
      </c>
      <c r="E17520">
        <v>283</v>
      </c>
      <c r="F17520">
        <v>105</v>
      </c>
      <c r="G17520">
        <v>33</v>
      </c>
      <c r="H17520">
        <v>103</v>
      </c>
      <c r="I17520">
        <v>385</v>
      </c>
      <c r="J17520">
        <v>1</v>
      </c>
      <c r="K17520">
        <v>2</v>
      </c>
      <c r="L17520">
        <v>251</v>
      </c>
      <c r="M17520">
        <v>1</v>
      </c>
      <c r="N17520">
        <v>6.2989100000000001E-104</v>
      </c>
      <c r="O17520">
        <v>962</v>
      </c>
    </row>
    <row r="17521" spans="1:15" x14ac:dyDescent="0.25">
      <c r="A17521" t="s">
        <v>17534</v>
      </c>
      <c r="B17521">
        <v>487</v>
      </c>
      <c r="C17521" s="1" t="str">
        <f>HYPERLINK("http://www.rosaceae.org/gb/gbrowse/malus_x_domestica/?name=MDP0000176465","MDP0000176465")</f>
        <v>MDP0000176465</v>
      </c>
      <c r="D17521">
        <v>43.08</v>
      </c>
      <c r="E17521">
        <v>506</v>
      </c>
      <c r="F17521">
        <v>288</v>
      </c>
      <c r="G17521">
        <v>46</v>
      </c>
      <c r="H17521">
        <v>1</v>
      </c>
      <c r="I17521">
        <v>483</v>
      </c>
      <c r="J17521">
        <v>1</v>
      </c>
      <c r="K17521">
        <v>1</v>
      </c>
      <c r="L17521">
        <v>483</v>
      </c>
      <c r="M17521">
        <v>1</v>
      </c>
      <c r="N17521">
        <v>2.2156299999999999E-91</v>
      </c>
      <c r="O17521">
        <v>854</v>
      </c>
    </row>
    <row r="17522" spans="1:15" x14ac:dyDescent="0.25">
      <c r="A17522" t="s">
        <v>17535</v>
      </c>
      <c r="B17522">
        <v>602</v>
      </c>
      <c r="C17522" s="1" t="str">
        <f>HYPERLINK("http://www.rosaceae.org/gb/gbrowse/malus_x_domestica/?name=MDP0000140915","MDP0000140915")</f>
        <v>MDP0000140915</v>
      </c>
      <c r="D17522">
        <v>59.24</v>
      </c>
      <c r="E17522">
        <v>584</v>
      </c>
      <c r="F17522">
        <v>238</v>
      </c>
      <c r="G17522">
        <v>8</v>
      </c>
      <c r="H17522">
        <v>19</v>
      </c>
      <c r="I17522">
        <v>602</v>
      </c>
      <c r="J17522">
        <v>1</v>
      </c>
      <c r="K17522">
        <v>36</v>
      </c>
      <c r="L17522">
        <v>611</v>
      </c>
      <c r="M17522">
        <v>1</v>
      </c>
      <c r="N17522">
        <v>0</v>
      </c>
      <c r="O17522">
        <v>1839</v>
      </c>
    </row>
    <row r="17523" spans="1:15" x14ac:dyDescent="0.25">
      <c r="A17523" t="s">
        <v>17536</v>
      </c>
      <c r="B17523">
        <v>417</v>
      </c>
      <c r="C17523" s="1" t="str">
        <f>HYPERLINK("http://www.rosaceae.org/gb/gbrowse/malus_x_domestica/?name=MDP0000130897","MDP0000130897")</f>
        <v>MDP0000130897</v>
      </c>
      <c r="D17523">
        <v>43.92</v>
      </c>
      <c r="E17523">
        <v>107</v>
      </c>
      <c r="F17523">
        <v>60</v>
      </c>
      <c r="G17523">
        <v>0</v>
      </c>
      <c r="H17523">
        <v>1</v>
      </c>
      <c r="I17523">
        <v>107</v>
      </c>
      <c r="J17523">
        <v>1</v>
      </c>
      <c r="K17523">
        <v>98</v>
      </c>
      <c r="L17523">
        <v>204</v>
      </c>
      <c r="M17523">
        <v>1</v>
      </c>
      <c r="N17523">
        <v>3.71479E-19</v>
      </c>
      <c r="O17523">
        <v>231</v>
      </c>
    </row>
    <row r="17524" spans="1:15" x14ac:dyDescent="0.25">
      <c r="A17524" t="s">
        <v>17537</v>
      </c>
      <c r="B17524">
        <v>401</v>
      </c>
      <c r="C17524" s="1" t="str">
        <f>HYPERLINK("http://www.rosaceae.org/gb/gbrowse/malus_x_domestica/?name=MDP0000024218","MDP0000024218")</f>
        <v>MDP0000024218</v>
      </c>
      <c r="D17524">
        <v>88.77</v>
      </c>
      <c r="E17524">
        <v>401</v>
      </c>
      <c r="F17524">
        <v>45</v>
      </c>
      <c r="G17524">
        <v>0</v>
      </c>
      <c r="H17524">
        <v>1</v>
      </c>
      <c r="I17524">
        <v>401</v>
      </c>
      <c r="J17524">
        <v>1</v>
      </c>
      <c r="K17524">
        <v>15</v>
      </c>
      <c r="L17524">
        <v>415</v>
      </c>
      <c r="M17524">
        <v>1</v>
      </c>
      <c r="N17524">
        <v>0</v>
      </c>
      <c r="O17524">
        <v>1937</v>
      </c>
    </row>
    <row r="17525" spans="1:15" x14ac:dyDescent="0.25">
      <c r="A17525" t="s">
        <v>17538</v>
      </c>
      <c r="B17525">
        <v>411</v>
      </c>
      <c r="C17525" s="1" t="str">
        <f>HYPERLINK("http://www.rosaceae.org/gb/gbrowse/malus_x_domestica/?name=MDP0000180376","MDP0000180376")</f>
        <v>MDP0000180376</v>
      </c>
      <c r="D17525">
        <v>73.83</v>
      </c>
      <c r="E17525">
        <v>321</v>
      </c>
      <c r="F17525">
        <v>84</v>
      </c>
      <c r="G17525">
        <v>21</v>
      </c>
      <c r="H17525">
        <v>93</v>
      </c>
      <c r="I17525">
        <v>404</v>
      </c>
      <c r="J17525">
        <v>1</v>
      </c>
      <c r="K17525">
        <v>1</v>
      </c>
      <c r="L17525">
        <v>309</v>
      </c>
      <c r="M17525">
        <v>1</v>
      </c>
      <c r="N17525">
        <v>1.5840000000000001E-129</v>
      </c>
      <c r="O17525">
        <v>1183</v>
      </c>
    </row>
    <row r="17526" spans="1:15" x14ac:dyDescent="0.25">
      <c r="A17526" t="s">
        <v>17539</v>
      </c>
      <c r="B17526">
        <v>142</v>
      </c>
      <c r="C17526" s="1" t="str">
        <f>HYPERLINK("http://www.rosaceae.org/gb/gbrowse/malus_x_domestica/?name=MDP0000464702","MDP0000464702")</f>
        <v>MDP0000464702</v>
      </c>
      <c r="D17526">
        <v>72.25</v>
      </c>
      <c r="E17526">
        <v>155</v>
      </c>
      <c r="F17526">
        <v>43</v>
      </c>
      <c r="G17526">
        <v>20</v>
      </c>
      <c r="H17526">
        <v>1</v>
      </c>
      <c r="I17526">
        <v>142</v>
      </c>
      <c r="J17526">
        <v>1</v>
      </c>
      <c r="K17526">
        <v>45</v>
      </c>
      <c r="L17526">
        <v>192</v>
      </c>
      <c r="M17526">
        <v>1</v>
      </c>
      <c r="N17526">
        <v>9.1376600000000006E-58</v>
      </c>
      <c r="O17526">
        <v>557</v>
      </c>
    </row>
    <row r="17527" spans="1:15" x14ac:dyDescent="0.25">
      <c r="A17527" t="s">
        <v>17540</v>
      </c>
      <c r="B17527">
        <v>146</v>
      </c>
      <c r="C17527" s="1" t="str">
        <f>HYPERLINK("http://www.rosaceae.org/gb/gbrowse/malus_x_domestica/?name=MDP0000308680","MDP0000308680")</f>
        <v>MDP0000308680</v>
      </c>
      <c r="D17527">
        <v>29.44</v>
      </c>
      <c r="E17527">
        <v>163</v>
      </c>
      <c r="F17527">
        <v>115</v>
      </c>
      <c r="G17527">
        <v>35</v>
      </c>
      <c r="H17527">
        <v>5</v>
      </c>
      <c r="I17527">
        <v>134</v>
      </c>
      <c r="J17527">
        <v>1</v>
      </c>
      <c r="K17527">
        <v>137</v>
      </c>
      <c r="L17527">
        <v>297</v>
      </c>
      <c r="M17527">
        <v>1</v>
      </c>
      <c r="N17527">
        <v>1.14643E-14</v>
      </c>
      <c r="O17527">
        <v>186</v>
      </c>
    </row>
    <row r="17528" spans="1:15" x14ac:dyDescent="0.25">
      <c r="A17528" t="s">
        <v>17541</v>
      </c>
      <c r="B17528">
        <v>122</v>
      </c>
      <c r="C17528" s="1" t="str">
        <f>HYPERLINK("http://www.rosaceae.org/gb/gbrowse/malus_x_domestica/?name=MDP0000186304","MDP0000186304")</f>
        <v>MDP0000186304</v>
      </c>
      <c r="D17528">
        <v>63.33</v>
      </c>
      <c r="E17528">
        <v>120</v>
      </c>
      <c r="F17528">
        <v>44</v>
      </c>
      <c r="G17528">
        <v>5</v>
      </c>
      <c r="H17528">
        <v>3</v>
      </c>
      <c r="I17528">
        <v>122</v>
      </c>
      <c r="J17528">
        <v>1</v>
      </c>
      <c r="K17528">
        <v>334</v>
      </c>
      <c r="L17528">
        <v>448</v>
      </c>
      <c r="M17528">
        <v>1</v>
      </c>
      <c r="N17528">
        <v>3.9711900000000002E-35</v>
      </c>
      <c r="O17528">
        <v>360</v>
      </c>
    </row>
    <row r="17529" spans="1:15" x14ac:dyDescent="0.25">
      <c r="A17529" t="s">
        <v>17542</v>
      </c>
      <c r="B17529">
        <v>253</v>
      </c>
      <c r="C17529" s="1" t="str">
        <f>HYPERLINK("http://www.rosaceae.org/gb/gbrowse/malus_x_domestica/?name=MDP0000172744","MDP0000172744")</f>
        <v>MDP0000172744</v>
      </c>
      <c r="D17529">
        <v>50.16</v>
      </c>
      <c r="E17529">
        <v>305</v>
      </c>
      <c r="F17529">
        <v>152</v>
      </c>
      <c r="G17529">
        <v>56</v>
      </c>
      <c r="H17529">
        <v>1</v>
      </c>
      <c r="I17529">
        <v>253</v>
      </c>
      <c r="J17529">
        <v>1</v>
      </c>
      <c r="K17529">
        <v>1</v>
      </c>
      <c r="L17529">
        <v>301</v>
      </c>
      <c r="M17529">
        <v>1</v>
      </c>
      <c r="N17529">
        <v>2.1584999999999999E-62</v>
      </c>
      <c r="O17529">
        <v>601</v>
      </c>
    </row>
    <row r="17530" spans="1:15" x14ac:dyDescent="0.25">
      <c r="A17530" t="s">
        <v>17543</v>
      </c>
      <c r="B17530">
        <v>294</v>
      </c>
      <c r="C17530" s="1" t="str">
        <f>HYPERLINK("http://www.rosaceae.org/gb/gbrowse/malus_x_domestica/?name=MDP0000148325","MDP0000148325")</f>
        <v>MDP0000148325</v>
      </c>
      <c r="D17530">
        <v>31.5</v>
      </c>
      <c r="E17530">
        <v>146</v>
      </c>
      <c r="F17530">
        <v>100</v>
      </c>
      <c r="G17530">
        <v>30</v>
      </c>
      <c r="H17530">
        <v>3</v>
      </c>
      <c r="I17530">
        <v>118</v>
      </c>
      <c r="J17530">
        <v>1</v>
      </c>
      <c r="K17530">
        <v>388</v>
      </c>
      <c r="L17530">
        <v>533</v>
      </c>
      <c r="M17530">
        <v>1</v>
      </c>
      <c r="N17530">
        <v>1.90647E-15</v>
      </c>
      <c r="O17530">
        <v>197</v>
      </c>
    </row>
    <row r="17531" spans="1:15" x14ac:dyDescent="0.25">
      <c r="A17531" t="s">
        <v>17544</v>
      </c>
      <c r="B17531">
        <v>476</v>
      </c>
      <c r="C17531" s="1" t="str">
        <f>HYPERLINK("http://www.rosaceae.org/gb/gbrowse/malus_x_domestica/?name=MDP0000310842","MDP0000310842")</f>
        <v>MDP0000310842</v>
      </c>
      <c r="D17531">
        <v>70.680000000000007</v>
      </c>
      <c r="E17531">
        <v>464</v>
      </c>
      <c r="F17531">
        <v>136</v>
      </c>
      <c r="G17531">
        <v>11</v>
      </c>
      <c r="H17531">
        <v>21</v>
      </c>
      <c r="I17531">
        <v>476</v>
      </c>
      <c r="J17531">
        <v>1</v>
      </c>
      <c r="K17531">
        <v>27</v>
      </c>
      <c r="L17531">
        <v>487</v>
      </c>
      <c r="M17531">
        <v>1</v>
      </c>
      <c r="N17531">
        <v>0</v>
      </c>
      <c r="O17531">
        <v>1677</v>
      </c>
    </row>
    <row r="17532" spans="1:15" x14ac:dyDescent="0.25">
      <c r="A17532" t="s">
        <v>17545</v>
      </c>
      <c r="B17532">
        <v>217</v>
      </c>
      <c r="C17532" s="1" t="str">
        <f>HYPERLINK("http://www.rosaceae.org/gb/gbrowse/malus_x_domestica/?name=MDP0000286477","MDP0000286477")</f>
        <v>MDP0000286477</v>
      </c>
      <c r="D17532">
        <v>56.06</v>
      </c>
      <c r="E17532">
        <v>132</v>
      </c>
      <c r="F17532">
        <v>58</v>
      </c>
      <c r="G17532">
        <v>16</v>
      </c>
      <c r="H17532">
        <v>85</v>
      </c>
      <c r="I17532">
        <v>214</v>
      </c>
      <c r="J17532">
        <v>1</v>
      </c>
      <c r="K17532">
        <v>22</v>
      </c>
      <c r="L17532">
        <v>139</v>
      </c>
      <c r="M17532">
        <v>1</v>
      </c>
      <c r="N17532">
        <v>6.3560600000000001E-36</v>
      </c>
      <c r="O17532">
        <v>372</v>
      </c>
    </row>
    <row r="17533" spans="1:15" x14ac:dyDescent="0.25">
      <c r="A17533" t="s">
        <v>17546</v>
      </c>
      <c r="B17533">
        <v>448</v>
      </c>
      <c r="C17533" s="1" t="str">
        <f>HYPERLINK("http://www.rosaceae.org/gb/gbrowse/malus_x_domestica/?name=MDP0000120592","MDP0000120592")</f>
        <v>MDP0000120592</v>
      </c>
      <c r="D17533">
        <v>77.180000000000007</v>
      </c>
      <c r="E17533">
        <v>434</v>
      </c>
      <c r="F17533">
        <v>99</v>
      </c>
      <c r="G17533">
        <v>2</v>
      </c>
      <c r="H17533">
        <v>17</v>
      </c>
      <c r="I17533">
        <v>448</v>
      </c>
      <c r="J17533">
        <v>1</v>
      </c>
      <c r="K17533">
        <v>24</v>
      </c>
      <c r="L17533">
        <v>457</v>
      </c>
      <c r="M17533">
        <v>1</v>
      </c>
      <c r="N17533">
        <v>0</v>
      </c>
      <c r="O17533">
        <v>1857</v>
      </c>
    </row>
    <row r="17534" spans="1:15" x14ac:dyDescent="0.25">
      <c r="A17534" t="s">
        <v>17547</v>
      </c>
      <c r="B17534">
        <v>368</v>
      </c>
      <c r="C17534" s="1" t="str">
        <f>HYPERLINK("http://www.rosaceae.org/gb/gbrowse/malus_x_domestica/?name=MDP0000149222","MDP0000149222")</f>
        <v>MDP0000149222</v>
      </c>
      <c r="D17534">
        <v>67.180000000000007</v>
      </c>
      <c r="E17534">
        <v>384</v>
      </c>
      <c r="F17534">
        <v>126</v>
      </c>
      <c r="G17534">
        <v>57</v>
      </c>
      <c r="H17534">
        <v>1</v>
      </c>
      <c r="I17534">
        <v>368</v>
      </c>
      <c r="J17534">
        <v>1</v>
      </c>
      <c r="K17534">
        <v>1</v>
      </c>
      <c r="L17534">
        <v>343</v>
      </c>
      <c r="M17534">
        <v>1</v>
      </c>
      <c r="N17534">
        <v>1.2184400000000001E-133</v>
      </c>
      <c r="O17534">
        <v>1218</v>
      </c>
    </row>
    <row r="17535" spans="1:15" x14ac:dyDescent="0.25">
      <c r="A17535" t="s">
        <v>17548</v>
      </c>
      <c r="B17535">
        <v>400</v>
      </c>
      <c r="C17535" s="1" t="str">
        <f>HYPERLINK("http://www.rosaceae.org/gb/gbrowse/malus_x_domestica/?name=MDP0000415257","MDP0000415257")</f>
        <v>MDP0000415257</v>
      </c>
      <c r="D17535">
        <v>77.41</v>
      </c>
      <c r="E17535">
        <v>155</v>
      </c>
      <c r="F17535">
        <v>35</v>
      </c>
      <c r="G17535">
        <v>1</v>
      </c>
      <c r="H17535">
        <v>4</v>
      </c>
      <c r="I17535">
        <v>158</v>
      </c>
      <c r="J17535">
        <v>1</v>
      </c>
      <c r="K17535">
        <v>3</v>
      </c>
      <c r="L17535">
        <v>156</v>
      </c>
      <c r="M17535">
        <v>1</v>
      </c>
      <c r="N17535">
        <v>1.73267E-67</v>
      </c>
      <c r="O17535">
        <v>647</v>
      </c>
    </row>
    <row r="17536" spans="1:15" x14ac:dyDescent="0.25">
      <c r="A17536" t="s">
        <v>17549</v>
      </c>
      <c r="B17536">
        <v>371</v>
      </c>
      <c r="C17536" s="1" t="str">
        <f>HYPERLINK("http://www.rosaceae.org/gb/gbrowse/malus_x_domestica/?name=MDP0000311221","MDP0000311221")</f>
        <v>MDP0000311221</v>
      </c>
      <c r="D17536">
        <v>69.78</v>
      </c>
      <c r="E17536">
        <v>364</v>
      </c>
      <c r="F17536">
        <v>110</v>
      </c>
      <c r="G17536">
        <v>4</v>
      </c>
      <c r="H17536">
        <v>6</v>
      </c>
      <c r="I17536">
        <v>369</v>
      </c>
      <c r="J17536">
        <v>1</v>
      </c>
      <c r="K17536">
        <v>5</v>
      </c>
      <c r="L17536">
        <v>364</v>
      </c>
      <c r="M17536">
        <v>1</v>
      </c>
      <c r="N17536">
        <v>1.52469E-147</v>
      </c>
      <c r="O17536">
        <v>1337</v>
      </c>
    </row>
    <row r="17537" spans="1:15" x14ac:dyDescent="0.25">
      <c r="A17537" t="s">
        <v>17550</v>
      </c>
      <c r="B17537">
        <v>876</v>
      </c>
      <c r="C17537" s="1" t="str">
        <f>HYPERLINK("http://www.rosaceae.org/gb/gbrowse/malus_x_domestica/?name=MDP0000228862","MDP0000228862")</f>
        <v>MDP0000228862</v>
      </c>
      <c r="D17537">
        <v>65.430000000000007</v>
      </c>
      <c r="E17537">
        <v>813</v>
      </c>
      <c r="F17537">
        <v>281</v>
      </c>
      <c r="G17537">
        <v>31</v>
      </c>
      <c r="H17537">
        <v>65</v>
      </c>
      <c r="I17537">
        <v>862</v>
      </c>
      <c r="J17537">
        <v>1</v>
      </c>
      <c r="K17537">
        <v>78</v>
      </c>
      <c r="L17537">
        <v>874</v>
      </c>
      <c r="M17537">
        <v>1</v>
      </c>
      <c r="N17537">
        <v>0</v>
      </c>
      <c r="O17537">
        <v>2518</v>
      </c>
    </row>
    <row r="17538" spans="1:15" x14ac:dyDescent="0.25">
      <c r="A17538" t="s">
        <v>17551</v>
      </c>
      <c r="B17538">
        <v>1175</v>
      </c>
      <c r="C17538" s="1" t="str">
        <f>HYPERLINK("http://www.rosaceae.org/gb/gbrowse/malus_x_domestica/?name=MDP0000922120","MDP0000922120")</f>
        <v>MDP0000922120</v>
      </c>
      <c r="D17538">
        <v>74.510000000000005</v>
      </c>
      <c r="E17538">
        <v>675</v>
      </c>
      <c r="F17538">
        <v>172</v>
      </c>
      <c r="G17538">
        <v>41</v>
      </c>
      <c r="H17538">
        <v>540</v>
      </c>
      <c r="I17538">
        <v>1175</v>
      </c>
      <c r="J17538">
        <v>1</v>
      </c>
      <c r="K17538">
        <v>1</v>
      </c>
      <c r="L17538">
        <v>673</v>
      </c>
      <c r="M17538">
        <v>1</v>
      </c>
      <c r="N17538">
        <v>0</v>
      </c>
      <c r="O17538">
        <v>2629</v>
      </c>
    </row>
    <row r="17539" spans="1:15" x14ac:dyDescent="0.25">
      <c r="A17539" t="s">
        <v>17552</v>
      </c>
      <c r="B17539">
        <v>432</v>
      </c>
      <c r="C17539" s="1" t="str">
        <f>HYPERLINK("http://www.rosaceae.org/gb/gbrowse/malus_x_domestica/?name=MDP0000267664","MDP0000267664")</f>
        <v>MDP0000267664</v>
      </c>
      <c r="D17539">
        <v>78.75</v>
      </c>
      <c r="E17539">
        <v>433</v>
      </c>
      <c r="F17539">
        <v>92</v>
      </c>
      <c r="G17539">
        <v>8</v>
      </c>
      <c r="H17539">
        <v>1</v>
      </c>
      <c r="I17539">
        <v>432</v>
      </c>
      <c r="J17539">
        <v>1</v>
      </c>
      <c r="K17539">
        <v>1</v>
      </c>
      <c r="L17539">
        <v>426</v>
      </c>
      <c r="M17539">
        <v>1</v>
      </c>
      <c r="N17539">
        <v>0</v>
      </c>
      <c r="O17539">
        <v>1762</v>
      </c>
    </row>
    <row r="17540" spans="1:15" x14ac:dyDescent="0.25">
      <c r="A17540" t="s">
        <v>17553</v>
      </c>
      <c r="B17540">
        <v>474</v>
      </c>
      <c r="C17540" s="1" t="str">
        <f>HYPERLINK("http://www.rosaceae.org/gb/gbrowse/malus_x_domestica/?name=MDP0000251161","MDP0000251161")</f>
        <v>MDP0000251161</v>
      </c>
      <c r="D17540">
        <v>75</v>
      </c>
      <c r="E17540">
        <v>488</v>
      </c>
      <c r="F17540">
        <v>122</v>
      </c>
      <c r="G17540">
        <v>19</v>
      </c>
      <c r="H17540">
        <v>1</v>
      </c>
      <c r="I17540">
        <v>474</v>
      </c>
      <c r="J17540">
        <v>1</v>
      </c>
      <c r="K17540">
        <v>1</v>
      </c>
      <c r="L17540">
        <v>483</v>
      </c>
      <c r="M17540">
        <v>1</v>
      </c>
      <c r="N17540">
        <v>0</v>
      </c>
      <c r="O17540">
        <v>1926</v>
      </c>
    </row>
    <row r="17541" spans="1:15" x14ac:dyDescent="0.25">
      <c r="A17541" t="s">
        <v>17554</v>
      </c>
      <c r="B17541">
        <v>149</v>
      </c>
      <c r="C17541" s="1" t="str">
        <f>HYPERLINK("http://www.rosaceae.org/gb/gbrowse/malus_x_domestica/?name=MDP0000201769","MDP0000201769")</f>
        <v>MDP0000201769</v>
      </c>
      <c r="D17541">
        <v>34.450000000000003</v>
      </c>
      <c r="E17541">
        <v>148</v>
      </c>
      <c r="F17541">
        <v>97</v>
      </c>
      <c r="G17541">
        <v>4</v>
      </c>
      <c r="H17541">
        <v>1</v>
      </c>
      <c r="I17541">
        <v>148</v>
      </c>
      <c r="J17541">
        <v>1</v>
      </c>
      <c r="K17541">
        <v>1</v>
      </c>
      <c r="L17541">
        <v>144</v>
      </c>
      <c r="M17541">
        <v>1</v>
      </c>
      <c r="N17541">
        <v>5.0900599999999999E-16</v>
      </c>
      <c r="O17541">
        <v>197</v>
      </c>
    </row>
    <row r="17542" spans="1:15" x14ac:dyDescent="0.25">
      <c r="A17542" t="s">
        <v>17555</v>
      </c>
      <c r="B17542">
        <v>472</v>
      </c>
      <c r="C17542" s="1" t="str">
        <f>HYPERLINK("http://www.rosaceae.org/gb/gbrowse/malus_x_domestica/?name=MDP0000197117","MDP0000197117")</f>
        <v>MDP0000197117</v>
      </c>
      <c r="D17542">
        <v>78.98</v>
      </c>
      <c r="E17542">
        <v>471</v>
      </c>
      <c r="F17542">
        <v>99</v>
      </c>
      <c r="G17542">
        <v>39</v>
      </c>
      <c r="H17542">
        <v>14</v>
      </c>
      <c r="I17542">
        <v>445</v>
      </c>
      <c r="J17542">
        <v>1</v>
      </c>
      <c r="K17542">
        <v>14</v>
      </c>
      <c r="L17542">
        <v>484</v>
      </c>
      <c r="M17542">
        <v>1</v>
      </c>
      <c r="N17542">
        <v>0</v>
      </c>
      <c r="O17542">
        <v>1966</v>
      </c>
    </row>
    <row r="17543" spans="1:15" x14ac:dyDescent="0.25">
      <c r="A17543" t="s">
        <v>17556</v>
      </c>
      <c r="B17543">
        <v>177</v>
      </c>
      <c r="C17543" s="1" t="str">
        <f>HYPERLINK("http://www.rosaceae.org/gb/gbrowse/malus_x_domestica/?name=MDP0000878409","MDP0000878409")</f>
        <v>MDP0000878409</v>
      </c>
      <c r="D17543">
        <v>69.790000000000006</v>
      </c>
      <c r="E17543">
        <v>96</v>
      </c>
      <c r="F17543">
        <v>29</v>
      </c>
      <c r="G17543">
        <v>0</v>
      </c>
      <c r="H17543">
        <v>36</v>
      </c>
      <c r="I17543">
        <v>131</v>
      </c>
      <c r="J17543">
        <v>1</v>
      </c>
      <c r="K17543">
        <v>28</v>
      </c>
      <c r="L17543">
        <v>123</v>
      </c>
      <c r="M17543">
        <v>1</v>
      </c>
      <c r="N17543">
        <v>1.29572E-33</v>
      </c>
      <c r="O17543">
        <v>351</v>
      </c>
    </row>
    <row r="17544" spans="1:15" x14ac:dyDescent="0.25">
      <c r="A17544" t="s">
        <v>17557</v>
      </c>
      <c r="B17544">
        <v>747</v>
      </c>
      <c r="C17544" s="1" t="str">
        <f>HYPERLINK("http://www.rosaceae.org/gb/gbrowse/malus_x_domestica/?name=MDP0000688873","MDP0000688873")</f>
        <v>MDP0000688873</v>
      </c>
      <c r="D17544">
        <v>63.6</v>
      </c>
      <c r="E17544">
        <v>750</v>
      </c>
      <c r="F17544">
        <v>273</v>
      </c>
      <c r="G17544">
        <v>76</v>
      </c>
      <c r="H17544">
        <v>1</v>
      </c>
      <c r="I17544">
        <v>731</v>
      </c>
      <c r="J17544">
        <v>1</v>
      </c>
      <c r="K17544">
        <v>4</v>
      </c>
      <c r="L17544">
        <v>696</v>
      </c>
      <c r="M17544">
        <v>1</v>
      </c>
      <c r="N17544">
        <v>0</v>
      </c>
      <c r="O17544">
        <v>2459</v>
      </c>
    </row>
    <row r="17545" spans="1:15" x14ac:dyDescent="0.25">
      <c r="A17545" t="s">
        <v>17558</v>
      </c>
      <c r="B17545">
        <v>136</v>
      </c>
      <c r="C17545" s="1" t="str">
        <f>HYPERLINK("http://www.rosaceae.org/gb/gbrowse/malus_x_domestica/?name=MDP0000317700","MDP0000317700")</f>
        <v>MDP0000317700</v>
      </c>
      <c r="D17545">
        <v>63.88</v>
      </c>
      <c r="E17545">
        <v>36</v>
      </c>
      <c r="F17545">
        <v>13</v>
      </c>
      <c r="G17545">
        <v>0</v>
      </c>
      <c r="H17545">
        <v>8</v>
      </c>
      <c r="I17545">
        <v>43</v>
      </c>
      <c r="J17545">
        <v>1</v>
      </c>
      <c r="K17545">
        <v>5</v>
      </c>
      <c r="L17545">
        <v>40</v>
      </c>
      <c r="M17545">
        <v>1</v>
      </c>
      <c r="N17545">
        <v>9.3093499999999999E-9</v>
      </c>
      <c r="O17545">
        <v>134</v>
      </c>
    </row>
    <row r="17546" spans="1:15" x14ac:dyDescent="0.25">
      <c r="A17546" t="s">
        <v>17559</v>
      </c>
      <c r="B17546">
        <v>469</v>
      </c>
      <c r="C17546" s="1" t="str">
        <f>HYPERLINK("http://www.rosaceae.org/gb/gbrowse/malus_x_domestica/?name=MDP0000133765","MDP0000133765")</f>
        <v>MDP0000133765</v>
      </c>
      <c r="D17546">
        <v>52.08</v>
      </c>
      <c r="E17546">
        <v>576</v>
      </c>
      <c r="F17546">
        <v>276</v>
      </c>
      <c r="G17546">
        <v>107</v>
      </c>
      <c r="H17546">
        <v>1</v>
      </c>
      <c r="I17546">
        <v>469</v>
      </c>
      <c r="J17546">
        <v>1</v>
      </c>
      <c r="K17546">
        <v>1</v>
      </c>
      <c r="L17546">
        <v>576</v>
      </c>
      <c r="M17546">
        <v>1</v>
      </c>
      <c r="N17546">
        <v>1.93037E-140</v>
      </c>
      <c r="O17546">
        <v>1277</v>
      </c>
    </row>
    <row r="17547" spans="1:15" x14ac:dyDescent="0.25">
      <c r="A17547" t="s">
        <v>17560</v>
      </c>
      <c r="B17547">
        <v>324</v>
      </c>
      <c r="C17547" s="1" t="str">
        <f>HYPERLINK("http://www.rosaceae.org/gb/gbrowse/malus_x_domestica/?name=MDP0000276538","MDP0000276538")</f>
        <v>MDP0000276538</v>
      </c>
      <c r="D17547">
        <v>79.86</v>
      </c>
      <c r="E17547">
        <v>303</v>
      </c>
      <c r="F17547">
        <v>61</v>
      </c>
      <c r="G17547">
        <v>0</v>
      </c>
      <c r="H17547">
        <v>22</v>
      </c>
      <c r="I17547">
        <v>324</v>
      </c>
      <c r="J17547">
        <v>1</v>
      </c>
      <c r="K17547">
        <v>23</v>
      </c>
      <c r="L17547">
        <v>325</v>
      </c>
      <c r="M17547">
        <v>1</v>
      </c>
      <c r="N17547">
        <v>6.3000200000000004E-137</v>
      </c>
      <c r="O17547">
        <v>1245</v>
      </c>
    </row>
    <row r="17548" spans="1:15" x14ac:dyDescent="0.25">
      <c r="A17548" t="s">
        <v>17561</v>
      </c>
      <c r="B17548">
        <v>854</v>
      </c>
      <c r="C17548" s="1" t="str">
        <f>HYPERLINK("http://www.rosaceae.org/gb/gbrowse/malus_x_domestica/?name=MDP0000268271","MDP0000268271")</f>
        <v>MDP0000268271</v>
      </c>
      <c r="D17548">
        <v>74.94</v>
      </c>
      <c r="E17548">
        <v>890</v>
      </c>
      <c r="F17548">
        <v>223</v>
      </c>
      <c r="G17548">
        <v>54</v>
      </c>
      <c r="H17548">
        <v>5</v>
      </c>
      <c r="I17548">
        <v>854</v>
      </c>
      <c r="J17548">
        <v>1</v>
      </c>
      <c r="K17548">
        <v>281</v>
      </c>
      <c r="L17548">
        <v>1156</v>
      </c>
      <c r="M17548">
        <v>1</v>
      </c>
      <c r="N17548">
        <v>0</v>
      </c>
      <c r="O17548">
        <v>3436</v>
      </c>
    </row>
    <row r="17549" spans="1:15" x14ac:dyDescent="0.25">
      <c r="A17549" t="s">
        <v>17562</v>
      </c>
      <c r="B17549">
        <v>757</v>
      </c>
      <c r="C17549" s="1" t="str">
        <f>HYPERLINK("http://www.rosaceae.org/gb/gbrowse/malus_x_domestica/?name=MDP0000434799","MDP0000434799")</f>
        <v>MDP0000434799</v>
      </c>
      <c r="D17549">
        <v>77.540000000000006</v>
      </c>
      <c r="E17549">
        <v>757</v>
      </c>
      <c r="F17549">
        <v>170</v>
      </c>
      <c r="G17549">
        <v>2</v>
      </c>
      <c r="H17549">
        <v>2</v>
      </c>
      <c r="I17549">
        <v>756</v>
      </c>
      <c r="J17549">
        <v>1</v>
      </c>
      <c r="K17549">
        <v>1</v>
      </c>
      <c r="L17549">
        <v>757</v>
      </c>
      <c r="M17549">
        <v>1</v>
      </c>
      <c r="N17549">
        <v>0</v>
      </c>
      <c r="O17549">
        <v>3199</v>
      </c>
    </row>
    <row r="17550" spans="1:15" x14ac:dyDescent="0.25">
      <c r="A17550" t="s">
        <v>17563</v>
      </c>
      <c r="B17550">
        <v>335</v>
      </c>
      <c r="C17550" s="1" t="str">
        <f>HYPERLINK("http://www.rosaceae.org/gb/gbrowse/malus_x_domestica/?name=MDP0000687864","MDP0000687864")</f>
        <v>MDP0000687864</v>
      </c>
      <c r="D17550">
        <v>84.86</v>
      </c>
      <c r="E17550">
        <v>251</v>
      </c>
      <c r="F17550">
        <v>38</v>
      </c>
      <c r="G17550">
        <v>1</v>
      </c>
      <c r="H17550">
        <v>83</v>
      </c>
      <c r="I17550">
        <v>332</v>
      </c>
      <c r="J17550">
        <v>1</v>
      </c>
      <c r="K17550">
        <v>5</v>
      </c>
      <c r="L17550">
        <v>255</v>
      </c>
      <c r="M17550">
        <v>1</v>
      </c>
      <c r="N17550">
        <v>1.26457E-117</v>
      </c>
      <c r="O17550">
        <v>1079</v>
      </c>
    </row>
    <row r="17551" spans="1:15" x14ac:dyDescent="0.25">
      <c r="A17551" t="s">
        <v>17564</v>
      </c>
      <c r="B17551">
        <v>436</v>
      </c>
      <c r="C17551" s="1" t="str">
        <f>HYPERLINK("http://www.rosaceae.org/gb/gbrowse/malus_x_domestica/?name=MDP0000208546","MDP0000208546")</f>
        <v>MDP0000208546</v>
      </c>
      <c r="D17551">
        <v>64.63</v>
      </c>
      <c r="E17551">
        <v>526</v>
      </c>
      <c r="F17551">
        <v>186</v>
      </c>
      <c r="G17551">
        <v>95</v>
      </c>
      <c r="H17551">
        <v>1</v>
      </c>
      <c r="I17551">
        <v>434</v>
      </c>
      <c r="J17551">
        <v>1</v>
      </c>
      <c r="K17551">
        <v>1</v>
      </c>
      <c r="L17551">
        <v>523</v>
      </c>
      <c r="M17551">
        <v>1</v>
      </c>
      <c r="N17551">
        <v>2.52121E-179</v>
      </c>
      <c r="O17551">
        <v>1612</v>
      </c>
    </row>
    <row r="17552" spans="1:15" x14ac:dyDescent="0.25">
      <c r="A17552" t="s">
        <v>17565</v>
      </c>
      <c r="B17552">
        <v>254</v>
      </c>
      <c r="C17552" s="1" t="str">
        <f>HYPERLINK("http://www.rosaceae.org/gb/gbrowse/malus_x_domestica/?name=MDP0000319051","MDP0000319051")</f>
        <v>MDP0000319051</v>
      </c>
      <c r="D17552">
        <v>62.5</v>
      </c>
      <c r="E17552">
        <v>256</v>
      </c>
      <c r="F17552">
        <v>96</v>
      </c>
      <c r="G17552">
        <v>5</v>
      </c>
      <c r="H17552">
        <v>1</v>
      </c>
      <c r="I17552">
        <v>254</v>
      </c>
      <c r="J17552">
        <v>1</v>
      </c>
      <c r="K17552">
        <v>1</v>
      </c>
      <c r="L17552">
        <v>253</v>
      </c>
      <c r="M17552">
        <v>1</v>
      </c>
      <c r="N17552">
        <v>7.9183900000000001E-91</v>
      </c>
      <c r="O17552">
        <v>846</v>
      </c>
    </row>
    <row r="17553" spans="1:15" x14ac:dyDescent="0.25">
      <c r="A17553" t="s">
        <v>17566</v>
      </c>
      <c r="B17553">
        <v>408</v>
      </c>
      <c r="C17553" s="1" t="str">
        <f>HYPERLINK("http://www.rosaceae.org/gb/gbrowse/malus_x_domestica/?name=MDP0000672454","MDP0000672454")</f>
        <v>MDP0000672454</v>
      </c>
      <c r="D17553">
        <v>92.38</v>
      </c>
      <c r="E17553">
        <v>407</v>
      </c>
      <c r="F17553">
        <v>31</v>
      </c>
      <c r="G17553">
        <v>0</v>
      </c>
      <c r="H17553">
        <v>1</v>
      </c>
      <c r="I17553">
        <v>407</v>
      </c>
      <c r="J17553">
        <v>1</v>
      </c>
      <c r="K17553">
        <v>132</v>
      </c>
      <c r="L17553">
        <v>538</v>
      </c>
      <c r="M17553">
        <v>1</v>
      </c>
      <c r="N17553">
        <v>0</v>
      </c>
      <c r="O17553">
        <v>2034</v>
      </c>
    </row>
    <row r="17554" spans="1:15" x14ac:dyDescent="0.25">
      <c r="A17554" t="s">
        <v>17567</v>
      </c>
      <c r="B17554">
        <v>152</v>
      </c>
      <c r="C17554" s="1" t="str">
        <f>HYPERLINK("http://www.rosaceae.org/gb/gbrowse/malus_x_domestica/?name=MDP0000144321","MDP0000144321")</f>
        <v>MDP0000144321</v>
      </c>
      <c r="D17554">
        <v>55.81</v>
      </c>
      <c r="E17554">
        <v>43</v>
      </c>
      <c r="F17554">
        <v>19</v>
      </c>
      <c r="G17554">
        <v>0</v>
      </c>
      <c r="H17554">
        <v>1</v>
      </c>
      <c r="I17554">
        <v>43</v>
      </c>
      <c r="J17554">
        <v>1</v>
      </c>
      <c r="K17554">
        <v>1</v>
      </c>
      <c r="L17554">
        <v>43</v>
      </c>
      <c r="M17554">
        <v>1</v>
      </c>
      <c r="N17554">
        <v>6.4660799999999999E-7</v>
      </c>
      <c r="O17554">
        <v>119</v>
      </c>
    </row>
    <row r="17555" spans="1:15" x14ac:dyDescent="0.25">
      <c r="A17555" t="s">
        <v>17568</v>
      </c>
      <c r="B17555">
        <v>296</v>
      </c>
      <c r="C17555" s="1" t="str">
        <f>HYPERLINK("http://www.rosaceae.org/gb/gbrowse/malus_x_domestica/?name=MDP0000417211","MDP0000417211")</f>
        <v>MDP0000417211</v>
      </c>
      <c r="D17555">
        <v>44.76</v>
      </c>
      <c r="E17555">
        <v>172</v>
      </c>
      <c r="F17555">
        <v>95</v>
      </c>
      <c r="G17555">
        <v>7</v>
      </c>
      <c r="H17555">
        <v>23</v>
      </c>
      <c r="I17555">
        <v>193</v>
      </c>
      <c r="J17555">
        <v>1</v>
      </c>
      <c r="K17555">
        <v>31</v>
      </c>
      <c r="L17555">
        <v>196</v>
      </c>
      <c r="M17555">
        <v>1</v>
      </c>
      <c r="N17555">
        <v>4.4142000000000002E-33</v>
      </c>
      <c r="O17555">
        <v>349</v>
      </c>
    </row>
    <row r="17556" spans="1:15" x14ac:dyDescent="0.25">
      <c r="A17556" t="s">
        <v>17569</v>
      </c>
      <c r="B17556">
        <v>116</v>
      </c>
      <c r="C17556" s="1" t="str">
        <f>HYPERLINK("http://www.rosaceae.org/gb/gbrowse/malus_x_domestica/?name=MDP0000339955","MDP0000339955")</f>
        <v>MDP0000339955</v>
      </c>
      <c r="D17556">
        <v>76.27</v>
      </c>
      <c r="E17556">
        <v>59</v>
      </c>
      <c r="F17556">
        <v>14</v>
      </c>
      <c r="G17556">
        <v>0</v>
      </c>
      <c r="H17556">
        <v>37</v>
      </c>
      <c r="I17556">
        <v>95</v>
      </c>
      <c r="J17556">
        <v>1</v>
      </c>
      <c r="K17556">
        <v>32</v>
      </c>
      <c r="L17556">
        <v>90</v>
      </c>
      <c r="M17556">
        <v>1</v>
      </c>
      <c r="N17556">
        <v>3.7447599999999998E-19</v>
      </c>
      <c r="O17556">
        <v>223</v>
      </c>
    </row>
    <row r="17557" spans="1:15" x14ac:dyDescent="0.25">
      <c r="A17557" t="s">
        <v>17570</v>
      </c>
      <c r="B17557">
        <v>753</v>
      </c>
      <c r="C17557" s="1" t="str">
        <f>HYPERLINK("http://www.rosaceae.org/gb/gbrowse/malus_x_domestica/?name=MDP0000282836","MDP0000282836")</f>
        <v>MDP0000282836</v>
      </c>
      <c r="D17557">
        <v>53.12</v>
      </c>
      <c r="E17557">
        <v>768</v>
      </c>
      <c r="F17557">
        <v>360</v>
      </c>
      <c r="G17557">
        <v>129</v>
      </c>
      <c r="H17557">
        <v>1</v>
      </c>
      <c r="I17557">
        <v>740</v>
      </c>
      <c r="J17557">
        <v>1</v>
      </c>
      <c r="K17557">
        <v>1</v>
      </c>
      <c r="L17557">
        <v>667</v>
      </c>
      <c r="M17557">
        <v>1</v>
      </c>
      <c r="N17557">
        <v>0</v>
      </c>
      <c r="O17557">
        <v>1731</v>
      </c>
    </row>
    <row r="17558" spans="1:15" x14ac:dyDescent="0.25">
      <c r="A17558" t="s">
        <v>17571</v>
      </c>
      <c r="B17558">
        <v>806</v>
      </c>
      <c r="C17558" s="1" t="str">
        <f>HYPERLINK("http://www.rosaceae.org/gb/gbrowse/malus_x_domestica/?name=MDP0000601559","MDP0000601559")</f>
        <v>MDP0000601559</v>
      </c>
      <c r="D17558">
        <v>76.849999999999994</v>
      </c>
      <c r="E17558">
        <v>350</v>
      </c>
      <c r="F17558">
        <v>81</v>
      </c>
      <c r="G17558">
        <v>42</v>
      </c>
      <c r="H17558">
        <v>497</v>
      </c>
      <c r="I17558">
        <v>806</v>
      </c>
      <c r="J17558">
        <v>1</v>
      </c>
      <c r="K17558">
        <v>5</v>
      </c>
      <c r="L17558">
        <v>352</v>
      </c>
      <c r="M17558">
        <v>1</v>
      </c>
      <c r="N17558">
        <v>4.4193900000000001E-153</v>
      </c>
      <c r="O17558">
        <v>1389</v>
      </c>
    </row>
    <row r="17559" spans="1:15" x14ac:dyDescent="0.25">
      <c r="A17559" t="s">
        <v>17572</v>
      </c>
      <c r="B17559">
        <v>252</v>
      </c>
      <c r="C17559" s="1" t="str">
        <f>HYPERLINK("http://www.rosaceae.org/gb/gbrowse/malus_x_domestica/?name=MDP0000325082","MDP0000325082")</f>
        <v>MDP0000325082</v>
      </c>
      <c r="D17559">
        <v>87.2</v>
      </c>
      <c r="E17559">
        <v>125</v>
      </c>
      <c r="F17559">
        <v>16</v>
      </c>
      <c r="G17559">
        <v>0</v>
      </c>
      <c r="H17559">
        <v>18</v>
      </c>
      <c r="I17559">
        <v>142</v>
      </c>
      <c r="J17559">
        <v>1</v>
      </c>
      <c r="K17559">
        <v>18</v>
      </c>
      <c r="L17559">
        <v>142</v>
      </c>
      <c r="M17559">
        <v>1</v>
      </c>
      <c r="N17559">
        <v>1.21619E-61</v>
      </c>
      <c r="O17559">
        <v>595</v>
      </c>
    </row>
    <row r="17560" spans="1:15" x14ac:dyDescent="0.25">
      <c r="A17560" t="s">
        <v>17573</v>
      </c>
      <c r="B17560">
        <v>203</v>
      </c>
      <c r="C17560" s="1" t="str">
        <f>HYPERLINK("http://www.rosaceae.org/gb/gbrowse/malus_x_domestica/?name=MDP0000400108","MDP0000400108")</f>
        <v>MDP0000400108</v>
      </c>
      <c r="D17560">
        <v>40.130000000000003</v>
      </c>
      <c r="E17560">
        <v>152</v>
      </c>
      <c r="F17560">
        <v>91</v>
      </c>
      <c r="G17560">
        <v>9</v>
      </c>
      <c r="H17560">
        <v>22</v>
      </c>
      <c r="I17560">
        <v>173</v>
      </c>
      <c r="J17560">
        <v>1</v>
      </c>
      <c r="K17560">
        <v>102</v>
      </c>
      <c r="L17560">
        <v>244</v>
      </c>
      <c r="M17560">
        <v>1</v>
      </c>
      <c r="N17560">
        <v>5.6538699999999998E-21</v>
      </c>
      <c r="O17560">
        <v>243</v>
      </c>
    </row>
    <row r="17561" spans="1:15" x14ac:dyDescent="0.25">
      <c r="A17561" t="s">
        <v>17574</v>
      </c>
      <c r="B17561">
        <v>475</v>
      </c>
      <c r="C17561" s="1" t="str">
        <f>HYPERLINK("http://www.rosaceae.org/gb/gbrowse/malus_x_domestica/?name=MDP0000221451","MDP0000221451")</f>
        <v>MDP0000221451</v>
      </c>
      <c r="D17561">
        <v>77.84</v>
      </c>
      <c r="E17561">
        <v>465</v>
      </c>
      <c r="F17561">
        <v>103</v>
      </c>
      <c r="G17561">
        <v>15</v>
      </c>
      <c r="H17561">
        <v>11</v>
      </c>
      <c r="I17561">
        <v>475</v>
      </c>
      <c r="J17561">
        <v>1</v>
      </c>
      <c r="K17561">
        <v>188</v>
      </c>
      <c r="L17561">
        <v>637</v>
      </c>
      <c r="M17561">
        <v>1</v>
      </c>
      <c r="N17561">
        <v>0</v>
      </c>
      <c r="O17561">
        <v>1912</v>
      </c>
    </row>
    <row r="17562" spans="1:15" x14ac:dyDescent="0.25">
      <c r="A17562" t="s">
        <v>17575</v>
      </c>
      <c r="B17562">
        <v>423</v>
      </c>
      <c r="C17562" s="1" t="str">
        <f>HYPERLINK("http://www.rosaceae.org/gb/gbrowse/malus_x_domestica/?name=MDP0000828443","MDP0000828443")</f>
        <v>MDP0000828443</v>
      </c>
      <c r="D17562">
        <v>39</v>
      </c>
      <c r="E17562">
        <v>400</v>
      </c>
      <c r="F17562">
        <v>244</v>
      </c>
      <c r="G17562">
        <v>34</v>
      </c>
      <c r="H17562">
        <v>25</v>
      </c>
      <c r="I17562">
        <v>423</v>
      </c>
      <c r="J17562">
        <v>1</v>
      </c>
      <c r="K17562">
        <v>44</v>
      </c>
      <c r="L17562">
        <v>410</v>
      </c>
      <c r="M17562">
        <v>1</v>
      </c>
      <c r="N17562">
        <v>2.67529E-66</v>
      </c>
      <c r="O17562">
        <v>637</v>
      </c>
    </row>
    <row r="17563" spans="1:15" x14ac:dyDescent="0.25">
      <c r="A17563" t="s">
        <v>17576</v>
      </c>
      <c r="B17563">
        <v>320</v>
      </c>
      <c r="C17563" s="1" t="str">
        <f>HYPERLINK("http://www.rosaceae.org/gb/gbrowse/malus_x_domestica/?name=MDP0000660229","MDP0000660229")</f>
        <v>MDP0000660229</v>
      </c>
      <c r="D17563">
        <v>50.23</v>
      </c>
      <c r="E17563">
        <v>209</v>
      </c>
      <c r="F17563">
        <v>104</v>
      </c>
      <c r="G17563">
        <v>21</v>
      </c>
      <c r="H17563">
        <v>1</v>
      </c>
      <c r="I17563">
        <v>206</v>
      </c>
      <c r="J17563">
        <v>1</v>
      </c>
      <c r="K17563">
        <v>1</v>
      </c>
      <c r="L17563">
        <v>191</v>
      </c>
      <c r="M17563">
        <v>1</v>
      </c>
      <c r="N17563">
        <v>3.9222899999999999E-39</v>
      </c>
      <c r="O17563">
        <v>402</v>
      </c>
    </row>
    <row r="17564" spans="1:15" x14ac:dyDescent="0.25">
      <c r="A17564" t="s">
        <v>17577</v>
      </c>
      <c r="B17564">
        <v>402</v>
      </c>
      <c r="C17564" s="1" t="str">
        <f>HYPERLINK("http://www.rosaceae.org/gb/gbrowse/malus_x_domestica/?name=MDP0000142240","MDP0000142240")</f>
        <v>MDP0000142240</v>
      </c>
      <c r="D17564">
        <v>35.72</v>
      </c>
      <c r="E17564">
        <v>459</v>
      </c>
      <c r="F17564">
        <v>295</v>
      </c>
      <c r="G17564">
        <v>91</v>
      </c>
      <c r="H17564">
        <v>1</v>
      </c>
      <c r="I17564">
        <v>368</v>
      </c>
      <c r="J17564">
        <v>1</v>
      </c>
      <c r="K17564">
        <v>39</v>
      </c>
      <c r="L17564">
        <v>497</v>
      </c>
      <c r="M17564">
        <v>1</v>
      </c>
      <c r="N17564">
        <v>5.0494899999999996E-56</v>
      </c>
      <c r="O17564">
        <v>549</v>
      </c>
    </row>
    <row r="17565" spans="1:15" x14ac:dyDescent="0.25">
      <c r="A17565" t="s">
        <v>17578</v>
      </c>
      <c r="B17565">
        <v>320</v>
      </c>
      <c r="C17565" s="1" t="str">
        <f>HYPERLINK("http://www.rosaceae.org/gb/gbrowse/malus_x_domestica/?name=MDP0000312095","MDP0000312095")</f>
        <v>MDP0000312095</v>
      </c>
      <c r="D17565">
        <v>46.25</v>
      </c>
      <c r="E17565">
        <v>294</v>
      </c>
      <c r="F17565">
        <v>158</v>
      </c>
      <c r="G17565">
        <v>4</v>
      </c>
      <c r="H17565">
        <v>24</v>
      </c>
      <c r="I17565">
        <v>313</v>
      </c>
      <c r="J17565">
        <v>1</v>
      </c>
      <c r="K17565">
        <v>34</v>
      </c>
      <c r="L17565">
        <v>327</v>
      </c>
      <c r="M17565">
        <v>1</v>
      </c>
      <c r="N17565">
        <v>6.6267200000000003E-72</v>
      </c>
      <c r="O17565">
        <v>684</v>
      </c>
    </row>
    <row r="17566" spans="1:15" x14ac:dyDescent="0.25">
      <c r="A17566" t="s">
        <v>17579</v>
      </c>
      <c r="B17566">
        <v>699</v>
      </c>
      <c r="C17566" s="1" t="str">
        <f>HYPERLINK("http://www.rosaceae.org/gb/gbrowse/malus_x_domestica/?name=MDP0000160665","MDP0000160665")</f>
        <v>MDP0000160665</v>
      </c>
      <c r="D17566">
        <v>73.599999999999994</v>
      </c>
      <c r="E17566">
        <v>538</v>
      </c>
      <c r="F17566">
        <v>142</v>
      </c>
      <c r="G17566">
        <v>12</v>
      </c>
      <c r="H17566">
        <v>1</v>
      </c>
      <c r="I17566">
        <v>535</v>
      </c>
      <c r="J17566">
        <v>1</v>
      </c>
      <c r="K17566">
        <v>1</v>
      </c>
      <c r="L17566">
        <v>529</v>
      </c>
      <c r="M17566">
        <v>1</v>
      </c>
      <c r="N17566">
        <v>0</v>
      </c>
      <c r="O17566">
        <v>2090</v>
      </c>
    </row>
    <row r="17567" spans="1:15" x14ac:dyDescent="0.25">
      <c r="A17567" t="s">
        <v>17580</v>
      </c>
      <c r="B17567">
        <v>260</v>
      </c>
      <c r="C17567" s="1" t="str">
        <f>HYPERLINK("http://www.rosaceae.org/gb/gbrowse/malus_x_domestica/?name=MDP0000169903","MDP0000169903")</f>
        <v>MDP0000169903</v>
      </c>
      <c r="D17567">
        <v>84.61</v>
      </c>
      <c r="E17567">
        <v>260</v>
      </c>
      <c r="F17567">
        <v>40</v>
      </c>
      <c r="G17567">
        <v>0</v>
      </c>
      <c r="H17567">
        <v>1</v>
      </c>
      <c r="I17567">
        <v>260</v>
      </c>
      <c r="J17567">
        <v>1</v>
      </c>
      <c r="K17567">
        <v>1</v>
      </c>
      <c r="L17567">
        <v>260</v>
      </c>
      <c r="M17567">
        <v>1</v>
      </c>
      <c r="N17567">
        <v>4.4633E-129</v>
      </c>
      <c r="O17567">
        <v>1176</v>
      </c>
    </row>
    <row r="17568" spans="1:15" x14ac:dyDescent="0.25">
      <c r="A17568" t="s">
        <v>17581</v>
      </c>
      <c r="B17568">
        <v>491</v>
      </c>
      <c r="C17568" s="1" t="str">
        <f>HYPERLINK("http://www.rosaceae.org/gb/gbrowse/malus_x_domestica/?name=MDP0000900024","MDP0000900024")</f>
        <v>MDP0000900024</v>
      </c>
      <c r="D17568">
        <v>61.09</v>
      </c>
      <c r="E17568">
        <v>491</v>
      </c>
      <c r="F17568">
        <v>191</v>
      </c>
      <c r="G17568">
        <v>41</v>
      </c>
      <c r="H17568">
        <v>23</v>
      </c>
      <c r="I17568">
        <v>490</v>
      </c>
      <c r="J17568">
        <v>1</v>
      </c>
      <c r="K17568">
        <v>24</v>
      </c>
      <c r="L17568">
        <v>496</v>
      </c>
      <c r="M17568">
        <v>1</v>
      </c>
      <c r="N17568">
        <v>1.1849800000000001E-156</v>
      </c>
      <c r="O17568">
        <v>1417</v>
      </c>
    </row>
    <row r="17569" spans="1:15" x14ac:dyDescent="0.25">
      <c r="A17569" t="s">
        <v>17582</v>
      </c>
      <c r="B17569">
        <v>254</v>
      </c>
      <c r="C17569" s="1" t="str">
        <f>HYPERLINK("http://www.rosaceae.org/gb/gbrowse/malus_x_domestica/?name=MDP0000393956","MDP0000393956")</f>
        <v>MDP0000393956</v>
      </c>
      <c r="D17569">
        <v>48.33</v>
      </c>
      <c r="E17569">
        <v>120</v>
      </c>
      <c r="F17569">
        <v>62</v>
      </c>
      <c r="G17569">
        <v>5</v>
      </c>
      <c r="H17569">
        <v>124</v>
      </c>
      <c r="I17569">
        <v>238</v>
      </c>
      <c r="J17569">
        <v>1</v>
      </c>
      <c r="K17569">
        <v>53</v>
      </c>
      <c r="L17569">
        <v>172</v>
      </c>
      <c r="M17569">
        <v>1</v>
      </c>
      <c r="N17569">
        <v>3.30822E-22</v>
      </c>
      <c r="O17569">
        <v>255</v>
      </c>
    </row>
    <row r="17570" spans="1:15" x14ac:dyDescent="0.25">
      <c r="A17570" t="s">
        <v>17583</v>
      </c>
      <c r="B17570">
        <v>617</v>
      </c>
      <c r="C17570" s="1" t="str">
        <f>HYPERLINK("http://www.rosaceae.org/gb/gbrowse/malus_x_domestica/?name=MDP0000646524","MDP0000646524")</f>
        <v>MDP0000646524</v>
      </c>
      <c r="D17570">
        <v>68.430000000000007</v>
      </c>
      <c r="E17570">
        <v>659</v>
      </c>
      <c r="F17570">
        <v>208</v>
      </c>
      <c r="G17570">
        <v>102</v>
      </c>
      <c r="H17570">
        <v>5</v>
      </c>
      <c r="I17570">
        <v>617</v>
      </c>
      <c r="J17570">
        <v>1</v>
      </c>
      <c r="K17570">
        <v>242</v>
      </c>
      <c r="L17570">
        <v>844</v>
      </c>
      <c r="M17570">
        <v>1</v>
      </c>
      <c r="N17570">
        <v>0</v>
      </c>
      <c r="O17570">
        <v>2103</v>
      </c>
    </row>
    <row r="17571" spans="1:15" x14ac:dyDescent="0.25">
      <c r="A17571" t="s">
        <v>17584</v>
      </c>
      <c r="B17571">
        <v>370</v>
      </c>
      <c r="C17571" s="1" t="str">
        <f>HYPERLINK("http://www.rosaceae.org/gb/gbrowse/malus_x_domestica/?name=MDP0000146115","MDP0000146115")</f>
        <v>MDP0000146115</v>
      </c>
      <c r="D17571">
        <v>62.99</v>
      </c>
      <c r="E17571">
        <v>427</v>
      </c>
      <c r="F17571">
        <v>158</v>
      </c>
      <c r="G17571">
        <v>60</v>
      </c>
      <c r="H17571">
        <v>1</v>
      </c>
      <c r="I17571">
        <v>370</v>
      </c>
      <c r="J17571">
        <v>1</v>
      </c>
      <c r="K17571">
        <v>93</v>
      </c>
      <c r="L17571">
        <v>516</v>
      </c>
      <c r="M17571">
        <v>1</v>
      </c>
      <c r="N17571">
        <v>5.2811300000000004E-137</v>
      </c>
      <c r="O17571">
        <v>1247</v>
      </c>
    </row>
    <row r="17572" spans="1:15" x14ac:dyDescent="0.25">
      <c r="A17572" t="s">
        <v>17585</v>
      </c>
      <c r="B17572">
        <v>655</v>
      </c>
      <c r="C17572" s="1" t="str">
        <f>HYPERLINK("http://www.rosaceae.org/gb/gbrowse/malus_x_domestica/?name=MDP0000566760","MDP0000566760")</f>
        <v>MDP0000566760</v>
      </c>
      <c r="D17572">
        <v>30.5</v>
      </c>
      <c r="E17572">
        <v>200</v>
      </c>
      <c r="F17572">
        <v>139</v>
      </c>
      <c r="G17572">
        <v>54</v>
      </c>
      <c r="H17572">
        <v>501</v>
      </c>
      <c r="I17572">
        <v>649</v>
      </c>
      <c r="J17572">
        <v>1</v>
      </c>
      <c r="K17572">
        <v>99</v>
      </c>
      <c r="L17572">
        <v>295</v>
      </c>
      <c r="M17572">
        <v>1</v>
      </c>
      <c r="N17572">
        <v>1.2310500000000001E-13</v>
      </c>
      <c r="O17572">
        <v>185</v>
      </c>
    </row>
    <row r="17573" spans="1:15" x14ac:dyDescent="0.25">
      <c r="A17573" t="s">
        <v>17586</v>
      </c>
      <c r="B17573">
        <v>936</v>
      </c>
      <c r="C17573" s="1" t="str">
        <f>HYPERLINK("http://www.rosaceae.org/gb/gbrowse/malus_x_domestica/?name=MDP0000444438","MDP0000444438")</f>
        <v>MDP0000444438</v>
      </c>
      <c r="D17573">
        <v>51.6</v>
      </c>
      <c r="E17573">
        <v>717</v>
      </c>
      <c r="F17573">
        <v>347</v>
      </c>
      <c r="G17573">
        <v>11</v>
      </c>
      <c r="H17573">
        <v>38</v>
      </c>
      <c r="I17573">
        <v>746</v>
      </c>
      <c r="J17573">
        <v>1</v>
      </c>
      <c r="K17573">
        <v>76</v>
      </c>
      <c r="L17573">
        <v>789</v>
      </c>
      <c r="M17573">
        <v>1</v>
      </c>
      <c r="N17573">
        <v>0</v>
      </c>
      <c r="O17573">
        <v>1871</v>
      </c>
    </row>
    <row r="17574" spans="1:15" x14ac:dyDescent="0.25">
      <c r="A17574" t="s">
        <v>17587</v>
      </c>
      <c r="B17574">
        <v>296</v>
      </c>
      <c r="C17574" s="1" t="str">
        <f>HYPERLINK("http://www.rosaceae.org/gb/gbrowse/malus_x_domestica/?name=MDP0000261968","MDP0000261968")</f>
        <v>MDP0000261968</v>
      </c>
      <c r="D17574">
        <v>74.91</v>
      </c>
      <c r="E17574">
        <v>287</v>
      </c>
      <c r="F17574">
        <v>72</v>
      </c>
      <c r="G17574">
        <v>0</v>
      </c>
      <c r="H17574">
        <v>1</v>
      </c>
      <c r="I17574">
        <v>287</v>
      </c>
      <c r="J17574">
        <v>1</v>
      </c>
      <c r="K17574">
        <v>581</v>
      </c>
      <c r="L17574">
        <v>867</v>
      </c>
      <c r="M17574">
        <v>1</v>
      </c>
      <c r="N17574">
        <v>9.3112699999999997E-135</v>
      </c>
      <c r="O17574">
        <v>1226</v>
      </c>
    </row>
    <row r="17575" spans="1:15" x14ac:dyDescent="0.25">
      <c r="A17575" t="s">
        <v>17588</v>
      </c>
      <c r="B17575">
        <v>292</v>
      </c>
      <c r="C17575" s="1" t="str">
        <f>HYPERLINK("http://www.rosaceae.org/gb/gbrowse/malus_x_domestica/?name=MDP0000162311","MDP0000162311")</f>
        <v>MDP0000162311</v>
      </c>
      <c r="D17575">
        <v>49.33</v>
      </c>
      <c r="E17575">
        <v>150</v>
      </c>
      <c r="F17575">
        <v>76</v>
      </c>
      <c r="G17575">
        <v>12</v>
      </c>
      <c r="H17575">
        <v>1</v>
      </c>
      <c r="I17575">
        <v>144</v>
      </c>
      <c r="J17575">
        <v>1</v>
      </c>
      <c r="K17575">
        <v>5</v>
      </c>
      <c r="L17575">
        <v>148</v>
      </c>
      <c r="M17575">
        <v>1</v>
      </c>
      <c r="N17575">
        <v>1.01332E-29</v>
      </c>
      <c r="O17575">
        <v>320</v>
      </c>
    </row>
    <row r="17576" spans="1:15" x14ac:dyDescent="0.25">
      <c r="A17576" t="s">
        <v>17589</v>
      </c>
      <c r="B17576">
        <v>228</v>
      </c>
      <c r="C17576" s="1" t="str">
        <f>HYPERLINK("http://www.rosaceae.org/gb/gbrowse/malus_x_domestica/?name=MDP0000893879","MDP0000893879")</f>
        <v>MDP0000893879</v>
      </c>
      <c r="D17576">
        <v>54.4</v>
      </c>
      <c r="E17576">
        <v>193</v>
      </c>
      <c r="F17576">
        <v>88</v>
      </c>
      <c r="G17576">
        <v>2</v>
      </c>
      <c r="H17576">
        <v>5</v>
      </c>
      <c r="I17576">
        <v>196</v>
      </c>
      <c r="J17576">
        <v>1</v>
      </c>
      <c r="K17576">
        <v>13</v>
      </c>
      <c r="L17576">
        <v>204</v>
      </c>
      <c r="M17576">
        <v>1</v>
      </c>
      <c r="N17576">
        <v>1.44806E-53</v>
      </c>
      <c r="O17576">
        <v>524</v>
      </c>
    </row>
    <row r="17577" spans="1:15" x14ac:dyDescent="0.25">
      <c r="A17577" t="s">
        <v>17590</v>
      </c>
      <c r="B17577">
        <v>470</v>
      </c>
      <c r="C17577" s="1" t="str">
        <f>HYPERLINK("http://www.rosaceae.org/gb/gbrowse/malus_x_domestica/?name=MDP0000261327","MDP0000261327")</f>
        <v>MDP0000261327</v>
      </c>
      <c r="D17577">
        <v>34.31</v>
      </c>
      <c r="E17577">
        <v>306</v>
      </c>
      <c r="F17577">
        <v>201</v>
      </c>
      <c r="G17577">
        <v>45</v>
      </c>
      <c r="H17577">
        <v>181</v>
      </c>
      <c r="I17577">
        <v>449</v>
      </c>
      <c r="J17577">
        <v>1</v>
      </c>
      <c r="K17577">
        <v>1657</v>
      </c>
      <c r="L17577">
        <v>1954</v>
      </c>
      <c r="M17577">
        <v>1</v>
      </c>
      <c r="N17577">
        <v>1.86559E-37</v>
      </c>
      <c r="O17577">
        <v>389</v>
      </c>
    </row>
    <row r="17578" spans="1:15" x14ac:dyDescent="0.25">
      <c r="A17578" t="s">
        <v>17591</v>
      </c>
      <c r="B17578">
        <v>109</v>
      </c>
      <c r="C17578" s="1" t="str">
        <f>HYPERLINK("http://www.rosaceae.org/gb/gbrowse/malus_x_domestica/?name=MDP0000143318","MDP0000143318")</f>
        <v>MDP0000143318</v>
      </c>
      <c r="D17578">
        <v>40.56</v>
      </c>
      <c r="E17578">
        <v>106</v>
      </c>
      <c r="F17578">
        <v>63</v>
      </c>
      <c r="G17578">
        <v>10</v>
      </c>
      <c r="H17578">
        <v>10</v>
      </c>
      <c r="I17578">
        <v>109</v>
      </c>
      <c r="J17578">
        <v>1</v>
      </c>
      <c r="K17578">
        <v>251</v>
      </c>
      <c r="L17578">
        <v>352</v>
      </c>
      <c r="M17578">
        <v>1</v>
      </c>
      <c r="N17578">
        <v>8.2690399999999999E-11</v>
      </c>
      <c r="O17578">
        <v>151</v>
      </c>
    </row>
    <row r="17579" spans="1:15" x14ac:dyDescent="0.25">
      <c r="A17579" t="s">
        <v>17592</v>
      </c>
      <c r="B17579">
        <v>988</v>
      </c>
      <c r="C17579" s="1" t="str">
        <f>HYPERLINK("http://www.rosaceae.org/gb/gbrowse/malus_x_domestica/?name=MDP0000155652","MDP0000155652")</f>
        <v>MDP0000155652</v>
      </c>
      <c r="D17579">
        <v>70.760000000000005</v>
      </c>
      <c r="E17579">
        <v>650</v>
      </c>
      <c r="F17579">
        <v>190</v>
      </c>
      <c r="G17579">
        <v>6</v>
      </c>
      <c r="H17579">
        <v>13</v>
      </c>
      <c r="I17579">
        <v>656</v>
      </c>
      <c r="J17579">
        <v>1</v>
      </c>
      <c r="K17579">
        <v>18</v>
      </c>
      <c r="L17579">
        <v>667</v>
      </c>
      <c r="M17579">
        <v>1</v>
      </c>
      <c r="N17579">
        <v>0</v>
      </c>
      <c r="O17579">
        <v>2412</v>
      </c>
    </row>
    <row r="17580" spans="1:15" x14ac:dyDescent="0.25">
      <c r="A17580" t="s">
        <v>17593</v>
      </c>
      <c r="B17580">
        <v>162</v>
      </c>
      <c r="C17580" s="1" t="str">
        <f>HYPERLINK("http://www.rosaceae.org/gb/gbrowse/malus_x_domestica/?name=MDP0000166979","MDP0000166979")</f>
        <v>MDP0000166979</v>
      </c>
      <c r="D17580">
        <v>66.66</v>
      </c>
      <c r="E17580">
        <v>156</v>
      </c>
      <c r="F17580">
        <v>52</v>
      </c>
      <c r="G17580">
        <v>1</v>
      </c>
      <c r="H17580">
        <v>1</v>
      </c>
      <c r="I17580">
        <v>155</v>
      </c>
      <c r="J17580">
        <v>1</v>
      </c>
      <c r="K17580">
        <v>16</v>
      </c>
      <c r="L17580">
        <v>171</v>
      </c>
      <c r="M17580">
        <v>1</v>
      </c>
      <c r="N17580">
        <v>2.88042E-58</v>
      </c>
      <c r="O17580">
        <v>563</v>
      </c>
    </row>
    <row r="17581" spans="1:15" x14ac:dyDescent="0.25">
      <c r="A17581" t="s">
        <v>17594</v>
      </c>
      <c r="B17581">
        <v>605</v>
      </c>
      <c r="C17581" s="1" t="str">
        <f>HYPERLINK("http://www.rosaceae.org/gb/gbrowse/malus_x_domestica/?name=MDP0000226962","MDP0000226962")</f>
        <v>MDP0000226962</v>
      </c>
      <c r="D17581">
        <v>46.89</v>
      </c>
      <c r="E17581">
        <v>612</v>
      </c>
      <c r="F17581">
        <v>325</v>
      </c>
      <c r="G17581">
        <v>37</v>
      </c>
      <c r="H17581">
        <v>10</v>
      </c>
      <c r="I17581">
        <v>590</v>
      </c>
      <c r="J17581">
        <v>1</v>
      </c>
      <c r="K17581">
        <v>37</v>
      </c>
      <c r="L17581">
        <v>642</v>
      </c>
      <c r="M17581">
        <v>1</v>
      </c>
      <c r="N17581">
        <v>6.2172E-159</v>
      </c>
      <c r="O17581">
        <v>1438</v>
      </c>
    </row>
    <row r="17582" spans="1:15" x14ac:dyDescent="0.25">
      <c r="A17582" t="s">
        <v>17595</v>
      </c>
      <c r="B17582">
        <v>201</v>
      </c>
      <c r="C17582" s="1" t="str">
        <f>HYPERLINK("http://www.rosaceae.org/gb/gbrowse/malus_x_domestica/?name=MDP0000136185","MDP0000136185")</f>
        <v>MDP0000136185</v>
      </c>
      <c r="D17582">
        <v>76.87</v>
      </c>
      <c r="E17582">
        <v>173</v>
      </c>
      <c r="F17582">
        <v>40</v>
      </c>
      <c r="G17582">
        <v>4</v>
      </c>
      <c r="H17582">
        <v>6</v>
      </c>
      <c r="I17582">
        <v>178</v>
      </c>
      <c r="J17582">
        <v>1</v>
      </c>
      <c r="K17582">
        <v>41</v>
      </c>
      <c r="L17582">
        <v>209</v>
      </c>
      <c r="M17582">
        <v>1</v>
      </c>
      <c r="N17582">
        <v>3.78448E-73</v>
      </c>
      <c r="O17582">
        <v>692</v>
      </c>
    </row>
    <row r="17583" spans="1:15" x14ac:dyDescent="0.25">
      <c r="A17583" t="s">
        <v>17596</v>
      </c>
      <c r="B17583">
        <v>188</v>
      </c>
      <c r="C17583" s="1" t="str">
        <f>HYPERLINK("http://www.rosaceae.org/gb/gbrowse/malus_x_domestica/?name=MDP0000162031","MDP0000162031")</f>
        <v>MDP0000162031</v>
      </c>
      <c r="D17583">
        <v>46.36</v>
      </c>
      <c r="E17583">
        <v>110</v>
      </c>
      <c r="F17583">
        <v>59</v>
      </c>
      <c r="G17583">
        <v>3</v>
      </c>
      <c r="H17583">
        <v>58</v>
      </c>
      <c r="I17583">
        <v>164</v>
      </c>
      <c r="J17583">
        <v>1</v>
      </c>
      <c r="K17583">
        <v>70</v>
      </c>
      <c r="L17583">
        <v>179</v>
      </c>
      <c r="M17583">
        <v>1</v>
      </c>
      <c r="N17583">
        <v>7.5241500000000002E-22</v>
      </c>
      <c r="O17583">
        <v>250</v>
      </c>
    </row>
    <row r="17584" spans="1:15" x14ac:dyDescent="0.25">
      <c r="A17584" t="s">
        <v>17597</v>
      </c>
      <c r="B17584">
        <v>460</v>
      </c>
      <c r="C17584" s="1" t="str">
        <f>HYPERLINK("http://www.rosaceae.org/gb/gbrowse/malus_x_domestica/?name=MDP0000234427","MDP0000234427")</f>
        <v>MDP0000234427</v>
      </c>
      <c r="D17584">
        <v>29.49</v>
      </c>
      <c r="E17584">
        <v>495</v>
      </c>
      <c r="F17584">
        <v>349</v>
      </c>
      <c r="G17584">
        <v>122</v>
      </c>
      <c r="H17584">
        <v>52</v>
      </c>
      <c r="I17584">
        <v>435</v>
      </c>
      <c r="J17584">
        <v>1</v>
      </c>
      <c r="K17584">
        <v>1446</v>
      </c>
      <c r="L17584">
        <v>1929</v>
      </c>
      <c r="M17584">
        <v>1</v>
      </c>
      <c r="N17584">
        <v>4.32561E-33</v>
      </c>
      <c r="O17584">
        <v>351</v>
      </c>
    </row>
    <row r="17585" spans="1:15" x14ac:dyDescent="0.25">
      <c r="A17585" t="s">
        <v>17598</v>
      </c>
      <c r="B17585">
        <v>565</v>
      </c>
      <c r="C17585" s="1" t="str">
        <f>HYPERLINK("http://www.rosaceae.org/gb/gbrowse/malus_x_domestica/?name=MDP0000152368","MDP0000152368")</f>
        <v>MDP0000152368</v>
      </c>
      <c r="D17585">
        <v>62.5</v>
      </c>
      <c r="E17585">
        <v>376</v>
      </c>
      <c r="F17585">
        <v>141</v>
      </c>
      <c r="G17585">
        <v>8</v>
      </c>
      <c r="H17585">
        <v>11</v>
      </c>
      <c r="I17585">
        <v>381</v>
      </c>
      <c r="J17585">
        <v>1</v>
      </c>
      <c r="K17585">
        <v>25</v>
      </c>
      <c r="L17585">
        <v>397</v>
      </c>
      <c r="M17585">
        <v>1</v>
      </c>
      <c r="N17585">
        <v>6.1213899999999999E-124</v>
      </c>
      <c r="O17585">
        <v>1136</v>
      </c>
    </row>
    <row r="17586" spans="1:15" x14ac:dyDescent="0.25">
      <c r="A17586" t="s">
        <v>17599</v>
      </c>
      <c r="B17586">
        <v>342</v>
      </c>
      <c r="C17586" s="1" t="str">
        <f>HYPERLINK("http://www.rosaceae.org/gb/gbrowse/malus_x_domestica/?name=MDP0000315759","MDP0000315759")</f>
        <v>MDP0000315759</v>
      </c>
      <c r="D17586">
        <v>84.38</v>
      </c>
      <c r="E17586">
        <v>333</v>
      </c>
      <c r="F17586">
        <v>52</v>
      </c>
      <c r="G17586">
        <v>3</v>
      </c>
      <c r="H17586">
        <v>1</v>
      </c>
      <c r="I17586">
        <v>333</v>
      </c>
      <c r="J17586">
        <v>1</v>
      </c>
      <c r="K17586">
        <v>19</v>
      </c>
      <c r="L17586">
        <v>348</v>
      </c>
      <c r="M17586">
        <v>1</v>
      </c>
      <c r="N17586">
        <v>4.6871400000000001E-162</v>
      </c>
      <c r="O17586">
        <v>1462</v>
      </c>
    </row>
    <row r="17587" spans="1:15" x14ac:dyDescent="0.25">
      <c r="A17587" t="s">
        <v>17600</v>
      </c>
      <c r="B17587">
        <v>482</v>
      </c>
      <c r="C17587" s="1" t="str">
        <f>HYPERLINK("http://www.rosaceae.org/gb/gbrowse/malus_x_domestica/?name=MDP0000653877","MDP0000653877")</f>
        <v>MDP0000653877</v>
      </c>
      <c r="D17587">
        <v>84.76</v>
      </c>
      <c r="E17587">
        <v>420</v>
      </c>
      <c r="F17587">
        <v>64</v>
      </c>
      <c r="G17587">
        <v>0</v>
      </c>
      <c r="H17587">
        <v>61</v>
      </c>
      <c r="I17587">
        <v>480</v>
      </c>
      <c r="J17587">
        <v>1</v>
      </c>
      <c r="K17587">
        <v>75</v>
      </c>
      <c r="L17587">
        <v>494</v>
      </c>
      <c r="M17587">
        <v>1</v>
      </c>
      <c r="N17587">
        <v>0</v>
      </c>
      <c r="O17587">
        <v>1813</v>
      </c>
    </row>
    <row r="17588" spans="1:15" x14ac:dyDescent="0.25">
      <c r="A17588" t="s">
        <v>17601</v>
      </c>
      <c r="B17588">
        <v>711</v>
      </c>
      <c r="C17588" s="1" t="str">
        <f>HYPERLINK("http://www.rosaceae.org/gb/gbrowse/malus_x_domestica/?name=MDP0000291677","MDP0000291677")</f>
        <v>MDP0000291677</v>
      </c>
      <c r="D17588">
        <v>55.83</v>
      </c>
      <c r="E17588">
        <v>197</v>
      </c>
      <c r="F17588">
        <v>87</v>
      </c>
      <c r="G17588">
        <v>2</v>
      </c>
      <c r="H17588">
        <v>3</v>
      </c>
      <c r="I17588">
        <v>199</v>
      </c>
      <c r="J17588">
        <v>1</v>
      </c>
      <c r="K17588">
        <v>5</v>
      </c>
      <c r="L17588">
        <v>199</v>
      </c>
      <c r="M17588">
        <v>1</v>
      </c>
      <c r="N17588">
        <v>1.6974300000000001E-58</v>
      </c>
      <c r="O17588">
        <v>572</v>
      </c>
    </row>
    <row r="17589" spans="1:15" x14ac:dyDescent="0.25">
      <c r="A17589" t="s">
        <v>17602</v>
      </c>
      <c r="B17589">
        <v>237</v>
      </c>
      <c r="C17589" s="1" t="str">
        <f>HYPERLINK("http://www.rosaceae.org/gb/gbrowse/malus_x_domestica/?name=MDP0000230524","MDP0000230524")</f>
        <v>MDP0000230524</v>
      </c>
      <c r="D17589">
        <v>57.36</v>
      </c>
      <c r="E17589">
        <v>197</v>
      </c>
      <c r="F17589">
        <v>84</v>
      </c>
      <c r="G17589">
        <v>6</v>
      </c>
      <c r="H17589">
        <v>28</v>
      </c>
      <c r="I17589">
        <v>219</v>
      </c>
      <c r="J17589">
        <v>1</v>
      </c>
      <c r="K17589">
        <v>22</v>
      </c>
      <c r="L17589">
        <v>217</v>
      </c>
      <c r="M17589">
        <v>1</v>
      </c>
      <c r="N17589">
        <v>7.9391799999999999E-59</v>
      </c>
      <c r="O17589">
        <v>570</v>
      </c>
    </row>
    <row r="17590" spans="1:15" x14ac:dyDescent="0.25">
      <c r="A17590" t="s">
        <v>17603</v>
      </c>
      <c r="B17590">
        <v>504</v>
      </c>
      <c r="C17590" s="1" t="str">
        <f>HYPERLINK("http://www.rosaceae.org/gb/gbrowse/malus_x_domestica/?name=MDP0000222340","MDP0000222340")</f>
        <v>MDP0000222340</v>
      </c>
      <c r="D17590">
        <v>37.659999999999997</v>
      </c>
      <c r="E17590">
        <v>462</v>
      </c>
      <c r="F17590">
        <v>288</v>
      </c>
      <c r="G17590">
        <v>106</v>
      </c>
      <c r="H17590">
        <v>1</v>
      </c>
      <c r="I17590">
        <v>364</v>
      </c>
      <c r="J17590">
        <v>1</v>
      </c>
      <c r="K17590">
        <v>1</v>
      </c>
      <c r="L17590">
        <v>454</v>
      </c>
      <c r="M17590">
        <v>1</v>
      </c>
      <c r="N17590">
        <v>9.5103000000000001E-59</v>
      </c>
      <c r="O17590">
        <v>573</v>
      </c>
    </row>
    <row r="17591" spans="1:15" x14ac:dyDescent="0.25">
      <c r="A17591" t="s">
        <v>17604</v>
      </c>
      <c r="B17591">
        <v>496</v>
      </c>
      <c r="C17591" s="1" t="str">
        <f>HYPERLINK("http://www.rosaceae.org/gb/gbrowse/malus_x_domestica/?name=MDP0000321880","MDP0000321880")</f>
        <v>MDP0000321880</v>
      </c>
      <c r="D17591">
        <v>65.150000000000006</v>
      </c>
      <c r="E17591">
        <v>462</v>
      </c>
      <c r="F17591">
        <v>161</v>
      </c>
      <c r="G17591">
        <v>33</v>
      </c>
      <c r="H17591">
        <v>38</v>
      </c>
      <c r="I17591">
        <v>495</v>
      </c>
      <c r="J17591">
        <v>1</v>
      </c>
      <c r="K17591">
        <v>45</v>
      </c>
      <c r="L17591">
        <v>477</v>
      </c>
      <c r="M17591">
        <v>1</v>
      </c>
      <c r="N17591">
        <v>3.47257E-154</v>
      </c>
      <c r="O17591">
        <v>1396</v>
      </c>
    </row>
    <row r="17592" spans="1:15" x14ac:dyDescent="0.25">
      <c r="A17592" t="s">
        <v>17605</v>
      </c>
      <c r="B17592">
        <v>1147</v>
      </c>
      <c r="C17592" s="1" t="str">
        <f>HYPERLINK("http://www.rosaceae.org/gb/gbrowse/malus_x_domestica/?name=MDP0000665406","MDP0000665406")</f>
        <v>MDP0000665406</v>
      </c>
      <c r="D17592">
        <v>77</v>
      </c>
      <c r="E17592">
        <v>974</v>
      </c>
      <c r="F17592">
        <v>224</v>
      </c>
      <c r="G17592">
        <v>5</v>
      </c>
      <c r="H17592">
        <v>25</v>
      </c>
      <c r="I17592">
        <v>993</v>
      </c>
      <c r="J17592">
        <v>1</v>
      </c>
      <c r="K17592">
        <v>44</v>
      </c>
      <c r="L17592">
        <v>1017</v>
      </c>
      <c r="M17592">
        <v>1</v>
      </c>
      <c r="N17592">
        <v>0</v>
      </c>
      <c r="O17592">
        <v>3942</v>
      </c>
    </row>
    <row r="17593" spans="1:15" x14ac:dyDescent="0.25">
      <c r="A17593" t="s">
        <v>17606</v>
      </c>
      <c r="B17593">
        <v>275</v>
      </c>
      <c r="C17593" s="1" t="str">
        <f>HYPERLINK("http://www.rosaceae.org/gb/gbrowse/malus_x_domestica/?name=MDP0000269690","MDP0000269690")</f>
        <v>MDP0000269690</v>
      </c>
      <c r="D17593">
        <v>62.04</v>
      </c>
      <c r="E17593">
        <v>137</v>
      </c>
      <c r="F17593">
        <v>52</v>
      </c>
      <c r="G17593">
        <v>16</v>
      </c>
      <c r="H17593">
        <v>1</v>
      </c>
      <c r="I17593">
        <v>137</v>
      </c>
      <c r="J17593">
        <v>1</v>
      </c>
      <c r="K17593">
        <v>1</v>
      </c>
      <c r="L17593">
        <v>121</v>
      </c>
      <c r="M17593">
        <v>1</v>
      </c>
      <c r="N17593">
        <v>5.8177700000000002E-40</v>
      </c>
      <c r="O17593">
        <v>408</v>
      </c>
    </row>
    <row r="17594" spans="1:15" x14ac:dyDescent="0.25">
      <c r="A17594" t="s">
        <v>17607</v>
      </c>
      <c r="B17594">
        <v>430</v>
      </c>
      <c r="C17594" s="1" t="str">
        <f>HYPERLINK("http://www.rosaceae.org/gb/gbrowse/malus_x_domestica/?name=MDP0000322036","MDP0000322036")</f>
        <v>MDP0000322036</v>
      </c>
      <c r="D17594">
        <v>37.299999999999997</v>
      </c>
      <c r="E17594">
        <v>260</v>
      </c>
      <c r="F17594">
        <v>163</v>
      </c>
      <c r="G17594">
        <v>29</v>
      </c>
      <c r="H17594">
        <v>23</v>
      </c>
      <c r="I17594">
        <v>264</v>
      </c>
      <c r="J17594">
        <v>1</v>
      </c>
      <c r="K17594">
        <v>89</v>
      </c>
      <c r="L17594">
        <v>337</v>
      </c>
      <c r="M17594">
        <v>1</v>
      </c>
      <c r="N17594">
        <v>4.9820499999999998E-40</v>
      </c>
      <c r="O17594">
        <v>411</v>
      </c>
    </row>
    <row r="17595" spans="1:15" x14ac:dyDescent="0.25">
      <c r="A17595" t="s">
        <v>17608</v>
      </c>
      <c r="B17595">
        <v>484</v>
      </c>
      <c r="C17595" s="1" t="str">
        <f>HYPERLINK("http://www.rosaceae.org/gb/gbrowse/malus_x_domestica/?name=MDP0000301999","MDP0000301999")</f>
        <v>MDP0000301999</v>
      </c>
      <c r="D17595">
        <v>56.83</v>
      </c>
      <c r="E17595">
        <v>512</v>
      </c>
      <c r="F17595">
        <v>221</v>
      </c>
      <c r="G17595">
        <v>60</v>
      </c>
      <c r="H17595">
        <v>1</v>
      </c>
      <c r="I17595">
        <v>484</v>
      </c>
      <c r="J17595">
        <v>1</v>
      </c>
      <c r="K17595">
        <v>1</v>
      </c>
      <c r="L17595">
        <v>480</v>
      </c>
      <c r="M17595">
        <v>1</v>
      </c>
      <c r="N17595">
        <v>6.9855899999999995E-132</v>
      </c>
      <c r="O17595">
        <v>1204</v>
      </c>
    </row>
    <row r="17596" spans="1:15" x14ac:dyDescent="0.25">
      <c r="A17596" t="s">
        <v>17609</v>
      </c>
      <c r="B17596">
        <v>561</v>
      </c>
      <c r="C17596" s="1" t="str">
        <f>HYPERLINK("http://www.rosaceae.org/gb/gbrowse/malus_x_domestica/?name=MDP0000120176","MDP0000120176")</f>
        <v>MDP0000120176</v>
      </c>
      <c r="D17596">
        <v>60.52</v>
      </c>
      <c r="E17596">
        <v>570</v>
      </c>
      <c r="F17596">
        <v>225</v>
      </c>
      <c r="G17596">
        <v>28</v>
      </c>
      <c r="H17596">
        <v>14</v>
      </c>
      <c r="I17596">
        <v>561</v>
      </c>
      <c r="J17596">
        <v>1</v>
      </c>
      <c r="K17596">
        <v>10</v>
      </c>
      <c r="L17596">
        <v>573</v>
      </c>
      <c r="M17596">
        <v>1</v>
      </c>
      <c r="N17596">
        <v>0</v>
      </c>
      <c r="O17596">
        <v>1777</v>
      </c>
    </row>
    <row r="17597" spans="1:15" x14ac:dyDescent="0.25">
      <c r="A17597" t="s">
        <v>17610</v>
      </c>
      <c r="B17597">
        <v>684</v>
      </c>
      <c r="C17597" s="1" t="str">
        <f>HYPERLINK("http://www.rosaceae.org/gb/gbrowse/malus_x_domestica/?name=MDP0000147341","MDP0000147341")</f>
        <v>MDP0000147341</v>
      </c>
      <c r="D17597">
        <v>83.61</v>
      </c>
      <c r="E17597">
        <v>238</v>
      </c>
      <c r="F17597">
        <v>39</v>
      </c>
      <c r="G17597">
        <v>0</v>
      </c>
      <c r="H17597">
        <v>1</v>
      </c>
      <c r="I17597">
        <v>238</v>
      </c>
      <c r="J17597">
        <v>1</v>
      </c>
      <c r="K17597">
        <v>1</v>
      </c>
      <c r="L17597">
        <v>238</v>
      </c>
      <c r="M17597">
        <v>1</v>
      </c>
      <c r="N17597">
        <v>7.8348299999999998E-111</v>
      </c>
      <c r="O17597">
        <v>1024</v>
      </c>
    </row>
    <row r="17598" spans="1:15" x14ac:dyDescent="0.25">
      <c r="A17598" t="s">
        <v>17611</v>
      </c>
      <c r="B17598">
        <v>899</v>
      </c>
      <c r="C17598" s="1" t="str">
        <f>HYPERLINK("http://www.rosaceae.org/gb/gbrowse/malus_x_domestica/?name=MDP0000273148","MDP0000273148")</f>
        <v>MDP0000273148</v>
      </c>
      <c r="D17598">
        <v>59.1</v>
      </c>
      <c r="E17598">
        <v>917</v>
      </c>
      <c r="F17598">
        <v>375</v>
      </c>
      <c r="G17598">
        <v>25</v>
      </c>
      <c r="H17598">
        <v>1</v>
      </c>
      <c r="I17598">
        <v>899</v>
      </c>
      <c r="J17598">
        <v>1</v>
      </c>
      <c r="K17598">
        <v>1</v>
      </c>
      <c r="L17598">
        <v>910</v>
      </c>
      <c r="M17598">
        <v>1</v>
      </c>
      <c r="N17598">
        <v>0</v>
      </c>
      <c r="O17598">
        <v>2640</v>
      </c>
    </row>
    <row r="17599" spans="1:15" x14ac:dyDescent="0.25">
      <c r="A17599" t="s">
        <v>17612</v>
      </c>
      <c r="B17599">
        <v>128</v>
      </c>
      <c r="C17599" s="1" t="str">
        <f>HYPERLINK("http://www.rosaceae.org/gb/gbrowse/malus_x_domestica/?name=MDP0000183110","MDP0000183110")</f>
        <v>MDP0000183110</v>
      </c>
      <c r="D17599">
        <v>37.17</v>
      </c>
      <c r="E17599">
        <v>78</v>
      </c>
      <c r="F17599">
        <v>49</v>
      </c>
      <c r="G17599">
        <v>1</v>
      </c>
      <c r="H17599">
        <v>48</v>
      </c>
      <c r="I17599">
        <v>124</v>
      </c>
      <c r="J17599">
        <v>1</v>
      </c>
      <c r="K17599">
        <v>160</v>
      </c>
      <c r="L17599">
        <v>237</v>
      </c>
      <c r="M17599">
        <v>1</v>
      </c>
      <c r="N17599">
        <v>6.8784099999999997E-7</v>
      </c>
      <c r="O17599">
        <v>117</v>
      </c>
    </row>
    <row r="17600" spans="1:15" x14ac:dyDescent="0.25">
      <c r="A17600" t="s">
        <v>17613</v>
      </c>
      <c r="B17600">
        <v>476</v>
      </c>
      <c r="C17600" s="1" t="str">
        <f>HYPERLINK("http://www.rosaceae.org/gb/gbrowse/malus_x_domestica/?name=MDP0000176465","MDP0000176465")</f>
        <v>MDP0000176465</v>
      </c>
      <c r="D17600">
        <v>44.23</v>
      </c>
      <c r="E17600">
        <v>486</v>
      </c>
      <c r="F17600">
        <v>271</v>
      </c>
      <c r="G17600">
        <v>43</v>
      </c>
      <c r="H17600">
        <v>13</v>
      </c>
      <c r="I17600">
        <v>472</v>
      </c>
      <c r="J17600">
        <v>1</v>
      </c>
      <c r="K17600">
        <v>15</v>
      </c>
      <c r="L17600">
        <v>483</v>
      </c>
      <c r="M17600">
        <v>1</v>
      </c>
      <c r="N17600">
        <v>4.06342E-85</v>
      </c>
      <c r="O17600">
        <v>800</v>
      </c>
    </row>
    <row r="17601" spans="1:15" x14ac:dyDescent="0.25">
      <c r="A17601" t="s">
        <v>17614</v>
      </c>
      <c r="B17601">
        <v>169</v>
      </c>
      <c r="C17601" s="1" t="str">
        <f>HYPERLINK("http://www.rosaceae.org/gb/gbrowse/malus_x_domestica/?name=MDP0000317700","MDP0000317700")</f>
        <v>MDP0000317700</v>
      </c>
      <c r="D17601">
        <v>58.22</v>
      </c>
      <c r="E17601">
        <v>79</v>
      </c>
      <c r="F17601">
        <v>33</v>
      </c>
      <c r="G17601">
        <v>3</v>
      </c>
      <c r="H17601">
        <v>25</v>
      </c>
      <c r="I17601">
        <v>100</v>
      </c>
      <c r="J17601">
        <v>1</v>
      </c>
      <c r="K17601">
        <v>88</v>
      </c>
      <c r="L17601">
        <v>166</v>
      </c>
      <c r="M17601">
        <v>1</v>
      </c>
      <c r="N17601">
        <v>7.1558200000000004E-23</v>
      </c>
      <c r="O17601">
        <v>258</v>
      </c>
    </row>
    <row r="17602" spans="1:15" x14ac:dyDescent="0.25">
      <c r="A17602" t="s">
        <v>17615</v>
      </c>
      <c r="B17602">
        <v>185</v>
      </c>
      <c r="C17602" s="1" t="str">
        <f>HYPERLINK("http://www.rosaceae.org/gb/gbrowse/malus_x_domestica/?name=MDP0000317700","MDP0000317700")</f>
        <v>MDP0000317700</v>
      </c>
      <c r="D17602">
        <v>57.44</v>
      </c>
      <c r="E17602">
        <v>47</v>
      </c>
      <c r="F17602">
        <v>20</v>
      </c>
      <c r="G17602">
        <v>0</v>
      </c>
      <c r="H17602">
        <v>61</v>
      </c>
      <c r="I17602">
        <v>107</v>
      </c>
      <c r="J17602">
        <v>1</v>
      </c>
      <c r="K17602">
        <v>2</v>
      </c>
      <c r="L17602">
        <v>48</v>
      </c>
      <c r="M17602">
        <v>1</v>
      </c>
      <c r="N17602">
        <v>4.0714999999999998E-10</v>
      </c>
      <c r="O17602">
        <v>148</v>
      </c>
    </row>
    <row r="17603" spans="1:15" x14ac:dyDescent="0.25">
      <c r="A17603" t="s">
        <v>17616</v>
      </c>
      <c r="B17603">
        <v>381</v>
      </c>
      <c r="C17603" s="1" t="str">
        <f>HYPERLINK("http://www.rosaceae.org/gb/gbrowse/malus_x_domestica/?name=MDP0000838506","MDP0000838506")</f>
        <v>MDP0000838506</v>
      </c>
      <c r="D17603">
        <v>76.430000000000007</v>
      </c>
      <c r="E17603">
        <v>382</v>
      </c>
      <c r="F17603">
        <v>90</v>
      </c>
      <c r="G17603">
        <v>55</v>
      </c>
      <c r="H17603">
        <v>53</v>
      </c>
      <c r="I17603">
        <v>379</v>
      </c>
      <c r="J17603">
        <v>1</v>
      </c>
      <c r="K17603">
        <v>1</v>
      </c>
      <c r="L17603">
        <v>382</v>
      </c>
      <c r="M17603">
        <v>1</v>
      </c>
      <c r="N17603">
        <v>4.5803100000000004E-164</v>
      </c>
      <c r="O17603">
        <v>1480</v>
      </c>
    </row>
    <row r="17604" spans="1:15" x14ac:dyDescent="0.25">
      <c r="A17604" t="s">
        <v>17617</v>
      </c>
      <c r="B17604">
        <v>758</v>
      </c>
      <c r="C17604" s="1" t="str">
        <f>HYPERLINK("http://www.rosaceae.org/gb/gbrowse/malus_x_domestica/?name=MDP0000383738","MDP0000383738")</f>
        <v>MDP0000383738</v>
      </c>
      <c r="D17604">
        <v>68.28</v>
      </c>
      <c r="E17604">
        <v>637</v>
      </c>
      <c r="F17604">
        <v>202</v>
      </c>
      <c r="G17604">
        <v>7</v>
      </c>
      <c r="H17604">
        <v>127</v>
      </c>
      <c r="I17604">
        <v>757</v>
      </c>
      <c r="J17604">
        <v>1</v>
      </c>
      <c r="K17604">
        <v>14</v>
      </c>
      <c r="L17604">
        <v>649</v>
      </c>
      <c r="M17604">
        <v>1</v>
      </c>
      <c r="N17604">
        <v>0</v>
      </c>
      <c r="O17604">
        <v>2146</v>
      </c>
    </row>
    <row r="17605" spans="1:15" x14ac:dyDescent="0.25">
      <c r="A17605" t="s">
        <v>17618</v>
      </c>
      <c r="B17605">
        <v>136</v>
      </c>
      <c r="C17605" s="1" t="str">
        <f>HYPERLINK("http://www.rosaceae.org/gb/gbrowse/malus_x_domestica/?name=MDP0000147719","MDP0000147719")</f>
        <v>MDP0000147719</v>
      </c>
      <c r="D17605">
        <v>36.36</v>
      </c>
      <c r="E17605">
        <v>165</v>
      </c>
      <c r="F17605">
        <v>105</v>
      </c>
      <c r="G17605">
        <v>59</v>
      </c>
      <c r="H17605">
        <v>27</v>
      </c>
      <c r="I17605">
        <v>133</v>
      </c>
      <c r="J17605">
        <v>1</v>
      </c>
      <c r="K17605">
        <v>23</v>
      </c>
      <c r="L17605">
        <v>186</v>
      </c>
      <c r="M17605">
        <v>1</v>
      </c>
      <c r="N17605">
        <v>1.4218200000000001E-15</v>
      </c>
      <c r="O17605">
        <v>193</v>
      </c>
    </row>
    <row r="17606" spans="1:15" x14ac:dyDescent="0.25">
      <c r="A17606" t="s">
        <v>17619</v>
      </c>
      <c r="B17606">
        <v>435</v>
      </c>
      <c r="C17606" s="1" t="str">
        <f>HYPERLINK("http://www.rosaceae.org/gb/gbrowse/malus_x_domestica/?name=MDP0000789750","MDP0000789750")</f>
        <v>MDP0000789750</v>
      </c>
      <c r="D17606">
        <v>85.05</v>
      </c>
      <c r="E17606">
        <v>435</v>
      </c>
      <c r="F17606">
        <v>65</v>
      </c>
      <c r="G17606">
        <v>1</v>
      </c>
      <c r="H17606">
        <v>1</v>
      </c>
      <c r="I17606">
        <v>434</v>
      </c>
      <c r="J17606">
        <v>1</v>
      </c>
      <c r="K17606">
        <v>1</v>
      </c>
      <c r="L17606">
        <v>435</v>
      </c>
      <c r="M17606">
        <v>1</v>
      </c>
      <c r="N17606">
        <v>0</v>
      </c>
      <c r="O17606">
        <v>1954</v>
      </c>
    </row>
    <row r="17607" spans="1:15" x14ac:dyDescent="0.25">
      <c r="A17607" t="s">
        <v>17620</v>
      </c>
      <c r="B17607">
        <v>228</v>
      </c>
      <c r="C17607" s="1" t="str">
        <f>HYPERLINK("http://www.rosaceae.org/gb/gbrowse/malus_x_domestica/?name=MDP0000306089","MDP0000306089")</f>
        <v>MDP0000306089</v>
      </c>
      <c r="D17607">
        <v>85.77</v>
      </c>
      <c r="E17607">
        <v>218</v>
      </c>
      <c r="F17607">
        <v>31</v>
      </c>
      <c r="G17607">
        <v>0</v>
      </c>
      <c r="H17607">
        <v>1</v>
      </c>
      <c r="I17607">
        <v>218</v>
      </c>
      <c r="J17607">
        <v>1</v>
      </c>
      <c r="K17607">
        <v>1</v>
      </c>
      <c r="L17607">
        <v>218</v>
      </c>
      <c r="M17607">
        <v>1</v>
      </c>
      <c r="N17607">
        <v>3.0216299999999998E-106</v>
      </c>
      <c r="O17607">
        <v>979</v>
      </c>
    </row>
    <row r="17608" spans="1:15" x14ac:dyDescent="0.25">
      <c r="A17608" t="s">
        <v>17621</v>
      </c>
      <c r="B17608">
        <v>402</v>
      </c>
      <c r="C17608" s="1" t="str">
        <f>HYPERLINK("http://www.rosaceae.org/gb/gbrowse/malus_x_domestica/?name=MDP0000615173","MDP0000615173")</f>
        <v>MDP0000615173</v>
      </c>
      <c r="D17608">
        <v>68.56</v>
      </c>
      <c r="E17608">
        <v>299</v>
      </c>
      <c r="F17608">
        <v>94</v>
      </c>
      <c r="G17608">
        <v>0</v>
      </c>
      <c r="H17608">
        <v>104</v>
      </c>
      <c r="I17608">
        <v>402</v>
      </c>
      <c r="J17608">
        <v>1</v>
      </c>
      <c r="K17608">
        <v>30</v>
      </c>
      <c r="L17608">
        <v>328</v>
      </c>
      <c r="M17608">
        <v>1</v>
      </c>
      <c r="N17608">
        <v>8.96591E-119</v>
      </c>
      <c r="O17608">
        <v>1090</v>
      </c>
    </row>
    <row r="17609" spans="1:15" x14ac:dyDescent="0.25">
      <c r="A17609" t="s">
        <v>17622</v>
      </c>
      <c r="B17609">
        <v>1408</v>
      </c>
      <c r="C17609" s="1" t="str">
        <f>HYPERLINK("http://www.rosaceae.org/gb/gbrowse/malus_x_domestica/?name=MDP0000231657","MDP0000231657")</f>
        <v>MDP0000231657</v>
      </c>
      <c r="D17609">
        <v>55.13</v>
      </c>
      <c r="E17609">
        <v>827</v>
      </c>
      <c r="F17609">
        <v>371</v>
      </c>
      <c r="G17609">
        <v>76</v>
      </c>
      <c r="H17609">
        <v>278</v>
      </c>
      <c r="I17609">
        <v>1056</v>
      </c>
      <c r="J17609">
        <v>1</v>
      </c>
      <c r="K17609">
        <v>194</v>
      </c>
      <c r="L17609">
        <v>992</v>
      </c>
      <c r="M17609">
        <v>1</v>
      </c>
      <c r="N17609">
        <v>0</v>
      </c>
      <c r="O17609">
        <v>2104</v>
      </c>
    </row>
    <row r="17610" spans="1:15" x14ac:dyDescent="0.25">
      <c r="A17610" t="s">
        <v>17623</v>
      </c>
      <c r="B17610">
        <v>169</v>
      </c>
      <c r="C17610" s="1" t="str">
        <f>HYPERLINK("http://www.rosaceae.org/gb/gbrowse/malus_x_domestica/?name=MDP0000230524","MDP0000230524")</f>
        <v>MDP0000230524</v>
      </c>
      <c r="D17610">
        <v>69.739999999999995</v>
      </c>
      <c r="E17610">
        <v>119</v>
      </c>
      <c r="F17610">
        <v>36</v>
      </c>
      <c r="G17610">
        <v>5</v>
      </c>
      <c r="H17610">
        <v>30</v>
      </c>
      <c r="I17610">
        <v>143</v>
      </c>
      <c r="J17610">
        <v>1</v>
      </c>
      <c r="K17610">
        <v>662</v>
      </c>
      <c r="L17610">
        <v>780</v>
      </c>
      <c r="M17610">
        <v>1</v>
      </c>
      <c r="N17610">
        <v>3.5025399999999999E-41</v>
      </c>
      <c r="O17610">
        <v>415</v>
      </c>
    </row>
    <row r="17611" spans="1:15" x14ac:dyDescent="0.25">
      <c r="A17611" t="s">
        <v>17624</v>
      </c>
      <c r="B17611">
        <v>477</v>
      </c>
      <c r="C17611" s="1" t="str">
        <f>HYPERLINK("http://www.rosaceae.org/gb/gbrowse/malus_x_domestica/?name=MDP0000599531","MDP0000599531")</f>
        <v>MDP0000599531</v>
      </c>
      <c r="D17611">
        <v>64.33</v>
      </c>
      <c r="E17611">
        <v>443</v>
      </c>
      <c r="F17611">
        <v>158</v>
      </c>
      <c r="G17611">
        <v>73</v>
      </c>
      <c r="H17611">
        <v>1</v>
      </c>
      <c r="I17611">
        <v>418</v>
      </c>
      <c r="J17611">
        <v>1</v>
      </c>
      <c r="K17611">
        <v>1</v>
      </c>
      <c r="L17611">
        <v>395</v>
      </c>
      <c r="M17611">
        <v>1</v>
      </c>
      <c r="N17611">
        <v>9.1624100000000007E-139</v>
      </c>
      <c r="O17611">
        <v>1263</v>
      </c>
    </row>
    <row r="17612" spans="1:15" x14ac:dyDescent="0.25">
      <c r="A17612" t="s">
        <v>17625</v>
      </c>
      <c r="B17612">
        <v>524</v>
      </c>
      <c r="C17612" s="1" t="str">
        <f>HYPERLINK("http://www.rosaceae.org/gb/gbrowse/malus_x_domestica/?name=MDP0000286665","MDP0000286665")</f>
        <v>MDP0000286665</v>
      </c>
      <c r="D17612">
        <v>63.73</v>
      </c>
      <c r="E17612">
        <v>455</v>
      </c>
      <c r="F17612">
        <v>165</v>
      </c>
      <c r="G17612">
        <v>25</v>
      </c>
      <c r="H17612">
        <v>74</v>
      </c>
      <c r="I17612">
        <v>524</v>
      </c>
      <c r="J17612">
        <v>1</v>
      </c>
      <c r="K17612">
        <v>52</v>
      </c>
      <c r="L17612">
        <v>485</v>
      </c>
      <c r="M17612">
        <v>1</v>
      </c>
      <c r="N17612">
        <v>3.4538199999999997E-154</v>
      </c>
      <c r="O17612">
        <v>1396</v>
      </c>
    </row>
    <row r="17613" spans="1:15" x14ac:dyDescent="0.25">
      <c r="A17613" t="s">
        <v>17626</v>
      </c>
      <c r="B17613">
        <v>457</v>
      </c>
      <c r="C17613" s="1" t="str">
        <f>HYPERLINK("http://www.rosaceae.org/gb/gbrowse/malus_x_domestica/?name=MDP0000203543","MDP0000203543")</f>
        <v>MDP0000203543</v>
      </c>
      <c r="D17613">
        <v>75.86</v>
      </c>
      <c r="E17613">
        <v>464</v>
      </c>
      <c r="F17613">
        <v>112</v>
      </c>
      <c r="G17613">
        <v>7</v>
      </c>
      <c r="H17613">
        <v>1</v>
      </c>
      <c r="I17613">
        <v>457</v>
      </c>
      <c r="J17613">
        <v>1</v>
      </c>
      <c r="K17613">
        <v>1</v>
      </c>
      <c r="L17613">
        <v>464</v>
      </c>
      <c r="M17613">
        <v>1</v>
      </c>
      <c r="N17613">
        <v>0</v>
      </c>
      <c r="O17613">
        <v>1761</v>
      </c>
    </row>
    <row r="17614" spans="1:15" x14ac:dyDescent="0.25">
      <c r="A17614" t="s">
        <v>17627</v>
      </c>
      <c r="B17614">
        <v>1035</v>
      </c>
      <c r="C17614" s="1" t="str">
        <f>HYPERLINK("http://www.rosaceae.org/gb/gbrowse/malus_x_domestica/?name=MDP0000277246","MDP0000277246")</f>
        <v>MDP0000277246</v>
      </c>
      <c r="D17614">
        <v>53.01</v>
      </c>
      <c r="E17614">
        <v>813</v>
      </c>
      <c r="F17614">
        <v>382</v>
      </c>
      <c r="G17614">
        <v>124</v>
      </c>
      <c r="H17614">
        <v>93</v>
      </c>
      <c r="I17614">
        <v>817</v>
      </c>
      <c r="J17614">
        <v>1</v>
      </c>
      <c r="K17614">
        <v>1</v>
      </c>
      <c r="L17614">
        <v>777</v>
      </c>
      <c r="M17614">
        <v>1</v>
      </c>
      <c r="N17614">
        <v>0</v>
      </c>
      <c r="O17614">
        <v>2006</v>
      </c>
    </row>
    <row r="17615" spans="1:15" x14ac:dyDescent="0.25">
      <c r="A17615" t="s">
        <v>17628</v>
      </c>
      <c r="B17615">
        <v>167</v>
      </c>
      <c r="C17615" s="1" t="str">
        <f>HYPERLINK("http://www.rosaceae.org/gb/gbrowse/malus_x_domestica/?name=MDP0000807487","MDP0000807487")</f>
        <v>MDP0000807487</v>
      </c>
      <c r="D17615">
        <v>77.38</v>
      </c>
      <c r="E17615">
        <v>168</v>
      </c>
      <c r="F17615">
        <v>38</v>
      </c>
      <c r="G17615">
        <v>3</v>
      </c>
      <c r="H17615">
        <v>1</v>
      </c>
      <c r="I17615">
        <v>167</v>
      </c>
      <c r="J17615">
        <v>1</v>
      </c>
      <c r="K17615">
        <v>1</v>
      </c>
      <c r="L17615">
        <v>166</v>
      </c>
      <c r="M17615">
        <v>1</v>
      </c>
      <c r="N17615">
        <v>5.6147800000000001E-73</v>
      </c>
      <c r="O17615">
        <v>690</v>
      </c>
    </row>
    <row r="17616" spans="1:15" x14ac:dyDescent="0.25">
      <c r="A17616" t="s">
        <v>17629</v>
      </c>
      <c r="B17616">
        <v>180</v>
      </c>
      <c r="C17616" s="1" t="str">
        <f>HYPERLINK("http://www.rosaceae.org/gb/gbrowse/malus_x_domestica/?name=MDP0000883782","MDP0000883782")</f>
        <v>MDP0000883782</v>
      </c>
      <c r="D17616">
        <v>79.48</v>
      </c>
      <c r="E17616">
        <v>156</v>
      </c>
      <c r="F17616">
        <v>32</v>
      </c>
      <c r="G17616">
        <v>0</v>
      </c>
      <c r="H17616">
        <v>2</v>
      </c>
      <c r="I17616">
        <v>157</v>
      </c>
      <c r="J17616">
        <v>1</v>
      </c>
      <c r="K17616">
        <v>277</v>
      </c>
      <c r="L17616">
        <v>432</v>
      </c>
      <c r="M17616">
        <v>1</v>
      </c>
      <c r="N17616">
        <v>4.5986400000000002E-79</v>
      </c>
      <c r="O17616">
        <v>743</v>
      </c>
    </row>
    <row r="17617" spans="1:15" x14ac:dyDescent="0.25">
      <c r="A17617" t="s">
        <v>17630</v>
      </c>
      <c r="B17617">
        <v>479</v>
      </c>
      <c r="C17617" s="1" t="str">
        <f>HYPERLINK("http://www.rosaceae.org/gb/gbrowse/malus_x_domestica/?name=MDP0000418193","MDP0000418193")</f>
        <v>MDP0000418193</v>
      </c>
      <c r="D17617">
        <v>70.5</v>
      </c>
      <c r="E17617">
        <v>400</v>
      </c>
      <c r="F17617">
        <v>118</v>
      </c>
      <c r="G17617">
        <v>11</v>
      </c>
      <c r="H17617">
        <v>83</v>
      </c>
      <c r="I17617">
        <v>471</v>
      </c>
      <c r="J17617">
        <v>1</v>
      </c>
      <c r="K17617">
        <v>109</v>
      </c>
      <c r="L17617">
        <v>508</v>
      </c>
      <c r="M17617">
        <v>1</v>
      </c>
      <c r="N17617">
        <v>2.2287000000000001E-170</v>
      </c>
      <c r="O17617">
        <v>1536</v>
      </c>
    </row>
    <row r="17618" spans="1:15" x14ac:dyDescent="0.25">
      <c r="A17618" t="s">
        <v>17631</v>
      </c>
      <c r="B17618">
        <v>472</v>
      </c>
      <c r="C17618" s="1" t="str">
        <f>HYPERLINK("http://www.rosaceae.org/gb/gbrowse/malus_x_domestica/?name=MDP0000883220","MDP0000883220")</f>
        <v>MDP0000883220</v>
      </c>
      <c r="D17618">
        <v>44.46</v>
      </c>
      <c r="E17618">
        <v>461</v>
      </c>
      <c r="F17618">
        <v>256</v>
      </c>
      <c r="G17618">
        <v>65</v>
      </c>
      <c r="H17618">
        <v>25</v>
      </c>
      <c r="I17618">
        <v>472</v>
      </c>
      <c r="J17618">
        <v>1</v>
      </c>
      <c r="K17618">
        <v>25</v>
      </c>
      <c r="L17618">
        <v>433</v>
      </c>
      <c r="M17618">
        <v>1</v>
      </c>
      <c r="N17618">
        <v>2.67752E-76</v>
      </c>
      <c r="O17618">
        <v>724</v>
      </c>
    </row>
    <row r="17619" spans="1:15" x14ac:dyDescent="0.25">
      <c r="A17619" t="s">
        <v>17632</v>
      </c>
      <c r="B17619">
        <v>127</v>
      </c>
      <c r="C17619" s="1" t="str">
        <f>HYPERLINK("http://www.rosaceae.org/gb/gbrowse/malus_x_domestica/?name=MDP0000825602","MDP0000825602")</f>
        <v>MDP0000825602</v>
      </c>
      <c r="D17619">
        <v>58.25</v>
      </c>
      <c r="E17619">
        <v>103</v>
      </c>
      <c r="F17619">
        <v>43</v>
      </c>
      <c r="G17619">
        <v>1</v>
      </c>
      <c r="H17619">
        <v>25</v>
      </c>
      <c r="I17619">
        <v>127</v>
      </c>
      <c r="J17619">
        <v>1</v>
      </c>
      <c r="K17619">
        <v>44</v>
      </c>
      <c r="L17619">
        <v>145</v>
      </c>
      <c r="M17619">
        <v>1</v>
      </c>
      <c r="N17619">
        <v>1.16239E-30</v>
      </c>
      <c r="O17619">
        <v>322</v>
      </c>
    </row>
    <row r="17620" spans="1:15" x14ac:dyDescent="0.25">
      <c r="A17620" t="s">
        <v>17633</v>
      </c>
      <c r="B17620">
        <v>513</v>
      </c>
      <c r="C17620" s="1" t="str">
        <f>HYPERLINK("http://www.rosaceae.org/gb/gbrowse/malus_x_domestica/?name=MDP0000286567","MDP0000286567")</f>
        <v>MDP0000286567</v>
      </c>
      <c r="D17620">
        <v>65.38</v>
      </c>
      <c r="E17620">
        <v>416</v>
      </c>
      <c r="F17620">
        <v>144</v>
      </c>
      <c r="G17620">
        <v>33</v>
      </c>
      <c r="H17620">
        <v>131</v>
      </c>
      <c r="I17620">
        <v>513</v>
      </c>
      <c r="J17620">
        <v>1</v>
      </c>
      <c r="K17620">
        <v>1</v>
      </c>
      <c r="L17620">
        <v>416</v>
      </c>
      <c r="M17620">
        <v>1</v>
      </c>
      <c r="N17620">
        <v>3.3595699999999998E-157</v>
      </c>
      <c r="O17620">
        <v>1422</v>
      </c>
    </row>
    <row r="17621" spans="1:15" x14ac:dyDescent="0.25">
      <c r="A17621" t="s">
        <v>17634</v>
      </c>
      <c r="B17621">
        <v>303</v>
      </c>
      <c r="C17621" s="1" t="str">
        <f>HYPERLINK("http://www.rosaceae.org/gb/gbrowse/malus_x_domestica/?name=MDP0000258161","MDP0000258161")</f>
        <v>MDP0000258161</v>
      </c>
      <c r="D17621">
        <v>81.84</v>
      </c>
      <c r="E17621">
        <v>303</v>
      </c>
      <c r="F17621">
        <v>55</v>
      </c>
      <c r="G17621">
        <v>0</v>
      </c>
      <c r="H17621">
        <v>1</v>
      </c>
      <c r="I17621">
        <v>303</v>
      </c>
      <c r="J17621">
        <v>1</v>
      </c>
      <c r="K17621">
        <v>1</v>
      </c>
      <c r="L17621">
        <v>303</v>
      </c>
      <c r="M17621">
        <v>1</v>
      </c>
      <c r="N17621">
        <v>4.14944E-139</v>
      </c>
      <c r="O17621">
        <v>1264</v>
      </c>
    </row>
    <row r="17622" spans="1:15" x14ac:dyDescent="0.25">
      <c r="A17622" t="s">
        <v>17635</v>
      </c>
      <c r="B17622">
        <v>168</v>
      </c>
      <c r="C17622" s="1" t="str">
        <f>HYPERLINK("http://www.rosaceae.org/gb/gbrowse/malus_x_domestica/?name=MDP0000219690","MDP0000219690")</f>
        <v>MDP0000219690</v>
      </c>
      <c r="D17622">
        <v>53.09</v>
      </c>
      <c r="E17622">
        <v>194</v>
      </c>
      <c r="F17622">
        <v>91</v>
      </c>
      <c r="G17622">
        <v>45</v>
      </c>
      <c r="H17622">
        <v>1</v>
      </c>
      <c r="I17622">
        <v>155</v>
      </c>
      <c r="J17622">
        <v>1</v>
      </c>
      <c r="K17622">
        <v>1</v>
      </c>
      <c r="L17622">
        <v>188</v>
      </c>
      <c r="M17622">
        <v>1</v>
      </c>
      <c r="N17622">
        <v>9.4131300000000003E-37</v>
      </c>
      <c r="O17622">
        <v>377</v>
      </c>
    </row>
    <row r="17623" spans="1:15" x14ac:dyDescent="0.25">
      <c r="A17623" t="s">
        <v>17636</v>
      </c>
      <c r="B17623">
        <v>135</v>
      </c>
      <c r="C17623" s="1" t="str">
        <f>HYPERLINK("http://www.rosaceae.org/gb/gbrowse/malus_x_domestica/?name=MDP0000344717","MDP0000344717")</f>
        <v>MDP0000344717</v>
      </c>
      <c r="D17623">
        <v>59.83</v>
      </c>
      <c r="E17623">
        <v>122</v>
      </c>
      <c r="F17623">
        <v>49</v>
      </c>
      <c r="G17623">
        <v>25</v>
      </c>
      <c r="H17623">
        <v>32</v>
      </c>
      <c r="I17623">
        <v>128</v>
      </c>
      <c r="J17623">
        <v>1</v>
      </c>
      <c r="K17623">
        <v>23</v>
      </c>
      <c r="L17623">
        <v>144</v>
      </c>
      <c r="M17623">
        <v>1</v>
      </c>
      <c r="N17623">
        <v>3.0793800000000001E-33</v>
      </c>
      <c r="O17623">
        <v>345</v>
      </c>
    </row>
    <row r="17624" spans="1:15" x14ac:dyDescent="0.25">
      <c r="A17624" t="s">
        <v>17637</v>
      </c>
      <c r="B17624">
        <v>194</v>
      </c>
      <c r="C17624" s="1" t="str">
        <f>HYPERLINK("http://www.rosaceae.org/gb/gbrowse/malus_x_domestica/?name=MDP0000252228","MDP0000252228")</f>
        <v>MDP0000252228</v>
      </c>
      <c r="D17624">
        <v>45.63</v>
      </c>
      <c r="E17624">
        <v>103</v>
      </c>
      <c r="F17624">
        <v>56</v>
      </c>
      <c r="G17624">
        <v>8</v>
      </c>
      <c r="H17624">
        <v>92</v>
      </c>
      <c r="I17624">
        <v>191</v>
      </c>
      <c r="J17624">
        <v>1</v>
      </c>
      <c r="K17624">
        <v>90</v>
      </c>
      <c r="L17624">
        <v>187</v>
      </c>
      <c r="M17624">
        <v>1</v>
      </c>
      <c r="N17624">
        <v>1.1821499999999999E-16</v>
      </c>
      <c r="O17624">
        <v>205</v>
      </c>
    </row>
    <row r="17625" spans="1:15" x14ac:dyDescent="0.25">
      <c r="A17625" t="s">
        <v>17638</v>
      </c>
      <c r="B17625">
        <v>439</v>
      </c>
      <c r="C17625" s="1" t="str">
        <f>HYPERLINK("http://www.rosaceae.org/gb/gbrowse/malus_x_domestica/?name=MDP0000213808","MDP0000213808")</f>
        <v>MDP0000213808</v>
      </c>
      <c r="D17625">
        <v>79.86</v>
      </c>
      <c r="E17625">
        <v>437</v>
      </c>
      <c r="F17625">
        <v>88</v>
      </c>
      <c r="G17625">
        <v>2</v>
      </c>
      <c r="H17625">
        <v>1</v>
      </c>
      <c r="I17625">
        <v>436</v>
      </c>
      <c r="J17625">
        <v>1</v>
      </c>
      <c r="K17625">
        <v>600</v>
      </c>
      <c r="L17625">
        <v>1035</v>
      </c>
      <c r="M17625">
        <v>1</v>
      </c>
      <c r="N17625">
        <v>0</v>
      </c>
      <c r="O17625">
        <v>1873</v>
      </c>
    </row>
    <row r="17626" spans="1:15" x14ac:dyDescent="0.25">
      <c r="A17626" t="s">
        <v>17639</v>
      </c>
      <c r="B17626">
        <v>650</v>
      </c>
      <c r="C17626" s="1" t="str">
        <f>HYPERLINK("http://www.rosaceae.org/gb/gbrowse/malus_x_domestica/?name=MDP0000201428","MDP0000201428")</f>
        <v>MDP0000201428</v>
      </c>
      <c r="D17626">
        <v>68.03</v>
      </c>
      <c r="E17626">
        <v>585</v>
      </c>
      <c r="F17626">
        <v>187</v>
      </c>
      <c r="G17626">
        <v>69</v>
      </c>
      <c r="H17626">
        <v>123</v>
      </c>
      <c r="I17626">
        <v>640</v>
      </c>
      <c r="J17626">
        <v>1</v>
      </c>
      <c r="K17626">
        <v>126</v>
      </c>
      <c r="L17626">
        <v>708</v>
      </c>
      <c r="M17626">
        <v>1</v>
      </c>
      <c r="N17626">
        <v>0</v>
      </c>
      <c r="O17626">
        <v>1892</v>
      </c>
    </row>
    <row r="17627" spans="1:15" x14ac:dyDescent="0.25">
      <c r="A17627" t="s">
        <v>17640</v>
      </c>
      <c r="B17627">
        <v>119</v>
      </c>
      <c r="C17627" s="1" t="str">
        <f>HYPERLINK("http://www.rosaceae.org/gb/gbrowse/malus_x_domestica/?name=MDP0000894465","MDP0000894465")</f>
        <v>MDP0000894465</v>
      </c>
      <c r="D17627">
        <v>46.66</v>
      </c>
      <c r="E17627">
        <v>105</v>
      </c>
      <c r="F17627">
        <v>56</v>
      </c>
      <c r="G17627">
        <v>3</v>
      </c>
      <c r="H17627">
        <v>1</v>
      </c>
      <c r="I17627">
        <v>104</v>
      </c>
      <c r="J17627">
        <v>1</v>
      </c>
      <c r="K17627">
        <v>1</v>
      </c>
      <c r="L17627">
        <v>103</v>
      </c>
      <c r="M17627">
        <v>1</v>
      </c>
      <c r="N17627">
        <v>5.7668200000000001E-19</v>
      </c>
      <c r="O17627">
        <v>221</v>
      </c>
    </row>
    <row r="17628" spans="1:15" x14ac:dyDescent="0.25">
      <c r="A17628" t="s">
        <v>17641</v>
      </c>
      <c r="B17628">
        <v>451</v>
      </c>
      <c r="C17628" s="1" t="str">
        <f>HYPERLINK("http://www.rosaceae.org/gb/gbrowse/malus_x_domestica/?name=MDP0000162592","MDP0000162592")</f>
        <v>MDP0000162592</v>
      </c>
      <c r="D17628">
        <v>72.62</v>
      </c>
      <c r="E17628">
        <v>431</v>
      </c>
      <c r="F17628">
        <v>118</v>
      </c>
      <c r="G17628">
        <v>9</v>
      </c>
      <c r="H17628">
        <v>25</v>
      </c>
      <c r="I17628">
        <v>451</v>
      </c>
      <c r="J17628">
        <v>1</v>
      </c>
      <c r="K17628">
        <v>19</v>
      </c>
      <c r="L17628">
        <v>444</v>
      </c>
      <c r="M17628">
        <v>1</v>
      </c>
      <c r="N17628">
        <v>3.5941200000000002E-180</v>
      </c>
      <c r="O17628">
        <v>1620</v>
      </c>
    </row>
    <row r="17629" spans="1:15" x14ac:dyDescent="0.25">
      <c r="A17629" t="s">
        <v>17642</v>
      </c>
      <c r="B17629">
        <v>553</v>
      </c>
      <c r="C17629" s="1" t="str">
        <f>HYPERLINK("http://www.rosaceae.org/gb/gbrowse/malus_x_domestica/?name=MDP0000186402","MDP0000186402")</f>
        <v>MDP0000186402</v>
      </c>
      <c r="D17629">
        <v>47.57</v>
      </c>
      <c r="E17629">
        <v>103</v>
      </c>
      <c r="F17629">
        <v>54</v>
      </c>
      <c r="G17629">
        <v>0</v>
      </c>
      <c r="H17629">
        <v>373</v>
      </c>
      <c r="I17629">
        <v>475</v>
      </c>
      <c r="J17629">
        <v>1</v>
      </c>
      <c r="K17629">
        <v>424</v>
      </c>
      <c r="L17629">
        <v>526</v>
      </c>
      <c r="M17629">
        <v>1</v>
      </c>
      <c r="N17629">
        <v>7.8876199999999999E-21</v>
      </c>
      <c r="O17629">
        <v>247</v>
      </c>
    </row>
    <row r="17630" spans="1:15" x14ac:dyDescent="0.25">
      <c r="A17630" t="s">
        <v>17643</v>
      </c>
      <c r="B17630">
        <v>292</v>
      </c>
      <c r="C17630" s="1" t="str">
        <f>HYPERLINK("http://www.rosaceae.org/gb/gbrowse/malus_x_domestica/?name=MDP0000162311","MDP0000162311")</f>
        <v>MDP0000162311</v>
      </c>
      <c r="D17630">
        <v>50</v>
      </c>
      <c r="E17630">
        <v>150</v>
      </c>
      <c r="F17630">
        <v>75</v>
      </c>
      <c r="G17630">
        <v>12</v>
      </c>
      <c r="H17630">
        <v>1</v>
      </c>
      <c r="I17630">
        <v>144</v>
      </c>
      <c r="J17630">
        <v>1</v>
      </c>
      <c r="K17630">
        <v>5</v>
      </c>
      <c r="L17630">
        <v>148</v>
      </c>
      <c r="M17630">
        <v>1</v>
      </c>
      <c r="N17630">
        <v>3.0730200000000001E-30</v>
      </c>
      <c r="O17630">
        <v>325</v>
      </c>
    </row>
    <row r="17631" spans="1:15" x14ac:dyDescent="0.25">
      <c r="A17631" t="s">
        <v>17644</v>
      </c>
      <c r="B17631">
        <v>851</v>
      </c>
      <c r="C17631" s="1" t="str">
        <f>HYPERLINK("http://www.rosaceae.org/gb/gbrowse/malus_x_domestica/?name=MDP0000201190","MDP0000201190")</f>
        <v>MDP0000201190</v>
      </c>
      <c r="D17631">
        <v>54.38</v>
      </c>
      <c r="E17631">
        <v>581</v>
      </c>
      <c r="F17631">
        <v>265</v>
      </c>
      <c r="G17631">
        <v>70</v>
      </c>
      <c r="H17631">
        <v>65</v>
      </c>
      <c r="I17631">
        <v>577</v>
      </c>
      <c r="J17631">
        <v>1</v>
      </c>
      <c r="K17631">
        <v>1</v>
      </c>
      <c r="L17631">
        <v>579</v>
      </c>
      <c r="M17631">
        <v>1</v>
      </c>
      <c r="N17631">
        <v>3.4332399999999998E-147</v>
      </c>
      <c r="O17631">
        <v>1338</v>
      </c>
    </row>
    <row r="17632" spans="1:15" x14ac:dyDescent="0.25">
      <c r="A17632" t="s">
        <v>17645</v>
      </c>
      <c r="B17632">
        <v>337</v>
      </c>
      <c r="C17632" s="1" t="str">
        <f>HYPERLINK("http://www.rosaceae.org/gb/gbrowse/malus_x_domestica/?name=MDP0000304769","MDP0000304769")</f>
        <v>MDP0000304769</v>
      </c>
      <c r="D17632">
        <v>44.73</v>
      </c>
      <c r="E17632">
        <v>152</v>
      </c>
      <c r="F17632">
        <v>84</v>
      </c>
      <c r="G17632">
        <v>36</v>
      </c>
      <c r="H17632">
        <v>54</v>
      </c>
      <c r="I17632">
        <v>179</v>
      </c>
      <c r="J17632">
        <v>1</v>
      </c>
      <c r="K17632">
        <v>267</v>
      </c>
      <c r="L17632">
        <v>408</v>
      </c>
      <c r="M17632">
        <v>1</v>
      </c>
      <c r="N17632">
        <v>1.4592400000000001E-27</v>
      </c>
      <c r="O17632">
        <v>302</v>
      </c>
    </row>
    <row r="17633" spans="1:15" x14ac:dyDescent="0.25">
      <c r="A17633" t="s">
        <v>17646</v>
      </c>
      <c r="B17633">
        <v>538</v>
      </c>
      <c r="C17633" s="1" t="str">
        <f>HYPERLINK("http://www.rosaceae.org/gb/gbrowse/malus_x_domestica/?name=MDP0000298304","MDP0000298304")</f>
        <v>MDP0000298304</v>
      </c>
      <c r="D17633">
        <v>77.319999999999993</v>
      </c>
      <c r="E17633">
        <v>516</v>
      </c>
      <c r="F17633">
        <v>117</v>
      </c>
      <c r="G17633">
        <v>2</v>
      </c>
      <c r="H17633">
        <v>9</v>
      </c>
      <c r="I17633">
        <v>524</v>
      </c>
      <c r="J17633">
        <v>1</v>
      </c>
      <c r="K17633">
        <v>17</v>
      </c>
      <c r="L17633">
        <v>530</v>
      </c>
      <c r="M17633">
        <v>1</v>
      </c>
      <c r="N17633">
        <v>0</v>
      </c>
      <c r="O17633">
        <v>2125</v>
      </c>
    </row>
    <row r="17634" spans="1:15" x14ac:dyDescent="0.25">
      <c r="A17634" t="s">
        <v>17647</v>
      </c>
      <c r="B17634">
        <v>137</v>
      </c>
      <c r="C17634" s="1" t="str">
        <f>HYPERLINK("http://www.rosaceae.org/gb/gbrowse/malus_x_domestica/?name=MDP0000155543","MDP0000155543")</f>
        <v>MDP0000155543</v>
      </c>
      <c r="D17634">
        <v>71.05</v>
      </c>
      <c r="E17634">
        <v>76</v>
      </c>
      <c r="F17634">
        <v>22</v>
      </c>
      <c r="G17634">
        <v>0</v>
      </c>
      <c r="H17634">
        <v>9</v>
      </c>
      <c r="I17634">
        <v>84</v>
      </c>
      <c r="J17634">
        <v>1</v>
      </c>
      <c r="K17634">
        <v>4</v>
      </c>
      <c r="L17634">
        <v>79</v>
      </c>
      <c r="M17634">
        <v>1</v>
      </c>
      <c r="N17634">
        <v>3.8475599999999999E-26</v>
      </c>
      <c r="O17634">
        <v>284</v>
      </c>
    </row>
    <row r="17635" spans="1:15" x14ac:dyDescent="0.25">
      <c r="A17635" t="s">
        <v>17648</v>
      </c>
      <c r="B17635">
        <v>147</v>
      </c>
      <c r="C17635" s="1" t="str">
        <f>HYPERLINK("http://www.rosaceae.org/gb/gbrowse/malus_x_domestica/?name=MDP0000787176","MDP0000787176")</f>
        <v>MDP0000787176</v>
      </c>
      <c r="D17635">
        <v>65.3</v>
      </c>
      <c r="E17635">
        <v>147</v>
      </c>
      <c r="F17635">
        <v>51</v>
      </c>
      <c r="G17635">
        <v>0</v>
      </c>
      <c r="H17635">
        <v>1</v>
      </c>
      <c r="I17635">
        <v>147</v>
      </c>
      <c r="J17635">
        <v>1</v>
      </c>
      <c r="K17635">
        <v>1</v>
      </c>
      <c r="L17635">
        <v>147</v>
      </c>
      <c r="M17635">
        <v>1</v>
      </c>
      <c r="N17635">
        <v>1.20631E-48</v>
      </c>
      <c r="O17635">
        <v>479</v>
      </c>
    </row>
    <row r="17636" spans="1:15" x14ac:dyDescent="0.25">
      <c r="A17636" t="s">
        <v>17649</v>
      </c>
      <c r="B17636">
        <v>304</v>
      </c>
      <c r="C17636" s="1" t="str">
        <f>HYPERLINK("http://www.rosaceae.org/gb/gbrowse/malus_x_domestica/?name=MDP0000594364","MDP0000594364")</f>
        <v>MDP0000594364</v>
      </c>
      <c r="D17636">
        <v>26.92</v>
      </c>
      <c r="E17636">
        <v>156</v>
      </c>
      <c r="F17636">
        <v>114</v>
      </c>
      <c r="G17636">
        <v>6</v>
      </c>
      <c r="H17636">
        <v>37</v>
      </c>
      <c r="I17636">
        <v>192</v>
      </c>
      <c r="J17636">
        <v>1</v>
      </c>
      <c r="K17636">
        <v>179</v>
      </c>
      <c r="L17636">
        <v>328</v>
      </c>
      <c r="M17636">
        <v>1</v>
      </c>
      <c r="N17636">
        <v>8.5834599999999992E-9</v>
      </c>
      <c r="O17636">
        <v>140</v>
      </c>
    </row>
    <row r="17637" spans="1:15" x14ac:dyDescent="0.25">
      <c r="A17637" t="s">
        <v>17650</v>
      </c>
      <c r="B17637">
        <v>551</v>
      </c>
      <c r="C17637" s="1" t="str">
        <f>HYPERLINK("http://www.rosaceae.org/gb/gbrowse/malus_x_domestica/?name=MDP0000299896","MDP0000299896")</f>
        <v>MDP0000299896</v>
      </c>
      <c r="D17637">
        <v>71.84</v>
      </c>
      <c r="E17637">
        <v>277</v>
      </c>
      <c r="F17637">
        <v>78</v>
      </c>
      <c r="G17637">
        <v>30</v>
      </c>
      <c r="H17637">
        <v>156</v>
      </c>
      <c r="I17637">
        <v>430</v>
      </c>
      <c r="J17637">
        <v>1</v>
      </c>
      <c r="K17637">
        <v>72</v>
      </c>
      <c r="L17637">
        <v>320</v>
      </c>
      <c r="M17637">
        <v>1</v>
      </c>
      <c r="N17637">
        <v>1.8648299999999999E-108</v>
      </c>
      <c r="O17637">
        <v>1002</v>
      </c>
    </row>
    <row r="17638" spans="1:15" x14ac:dyDescent="0.25">
      <c r="A17638" t="s">
        <v>17651</v>
      </c>
      <c r="B17638">
        <v>806</v>
      </c>
      <c r="C17638" s="1" t="str">
        <f>HYPERLINK("http://www.rosaceae.org/gb/gbrowse/malus_x_domestica/?name=MDP0000250070","MDP0000250070")</f>
        <v>MDP0000250070</v>
      </c>
      <c r="D17638">
        <v>87.29</v>
      </c>
      <c r="E17638">
        <v>803</v>
      </c>
      <c r="F17638">
        <v>102</v>
      </c>
      <c r="G17638">
        <v>1</v>
      </c>
      <c r="H17638">
        <v>5</v>
      </c>
      <c r="I17638">
        <v>806</v>
      </c>
      <c r="J17638">
        <v>1</v>
      </c>
      <c r="K17638">
        <v>4</v>
      </c>
      <c r="L17638">
        <v>806</v>
      </c>
      <c r="M17638">
        <v>1</v>
      </c>
      <c r="N17638">
        <v>0</v>
      </c>
      <c r="O17638">
        <v>3812</v>
      </c>
    </row>
    <row r="17639" spans="1:15" x14ac:dyDescent="0.25">
      <c r="A17639" t="s">
        <v>17652</v>
      </c>
      <c r="B17639">
        <v>421</v>
      </c>
      <c r="C17639" s="1" t="str">
        <f>HYPERLINK("http://www.rosaceae.org/gb/gbrowse/malus_x_domestica/?name=MDP0000601559","MDP0000601559")</f>
        <v>MDP0000601559</v>
      </c>
      <c r="D17639">
        <v>70.290000000000006</v>
      </c>
      <c r="E17639">
        <v>340</v>
      </c>
      <c r="F17639">
        <v>101</v>
      </c>
      <c r="G17639">
        <v>42</v>
      </c>
      <c r="H17639">
        <v>5</v>
      </c>
      <c r="I17639">
        <v>304</v>
      </c>
      <c r="J17639">
        <v>1</v>
      </c>
      <c r="K17639">
        <v>3</v>
      </c>
      <c r="L17639">
        <v>340</v>
      </c>
      <c r="M17639">
        <v>1</v>
      </c>
      <c r="N17639">
        <v>3.0560499999999998E-132</v>
      </c>
      <c r="O17639">
        <v>1206</v>
      </c>
    </row>
    <row r="17640" spans="1:15" x14ac:dyDescent="0.25">
      <c r="A17640" t="s">
        <v>17653</v>
      </c>
      <c r="B17640">
        <v>471</v>
      </c>
      <c r="C17640" s="1" t="str">
        <f>HYPERLINK("http://www.rosaceae.org/gb/gbrowse/malus_x_domestica/?name=MDP0000747045","MDP0000747045")</f>
        <v>MDP0000747045</v>
      </c>
      <c r="D17640">
        <v>85.35</v>
      </c>
      <c r="E17640">
        <v>437</v>
      </c>
      <c r="F17640">
        <v>64</v>
      </c>
      <c r="G17640">
        <v>1</v>
      </c>
      <c r="H17640">
        <v>1</v>
      </c>
      <c r="I17640">
        <v>437</v>
      </c>
      <c r="J17640">
        <v>1</v>
      </c>
      <c r="K17640">
        <v>1</v>
      </c>
      <c r="L17640">
        <v>436</v>
      </c>
      <c r="M17640">
        <v>1</v>
      </c>
      <c r="N17640">
        <v>0</v>
      </c>
      <c r="O17640">
        <v>1995</v>
      </c>
    </row>
    <row r="17641" spans="1:15" x14ac:dyDescent="0.25">
      <c r="A17641" t="s">
        <v>17654</v>
      </c>
      <c r="B17641">
        <v>462</v>
      </c>
      <c r="C17641" s="1" t="str">
        <f>HYPERLINK("http://www.rosaceae.org/gb/gbrowse/malus_x_domestica/?name=MDP0000316178","MDP0000316178")</f>
        <v>MDP0000316178</v>
      </c>
      <c r="D17641">
        <v>48.16</v>
      </c>
      <c r="E17641">
        <v>218</v>
      </c>
      <c r="F17641">
        <v>113</v>
      </c>
      <c r="G17641">
        <v>29</v>
      </c>
      <c r="H17641">
        <v>34</v>
      </c>
      <c r="I17641">
        <v>222</v>
      </c>
      <c r="J17641">
        <v>1</v>
      </c>
      <c r="K17641">
        <v>233</v>
      </c>
      <c r="L17641">
        <v>450</v>
      </c>
      <c r="M17641">
        <v>1</v>
      </c>
      <c r="N17641">
        <v>1.13782E-54</v>
      </c>
      <c r="O17641">
        <v>538</v>
      </c>
    </row>
    <row r="17642" spans="1:15" x14ac:dyDescent="0.25">
      <c r="A17642" t="s">
        <v>17655</v>
      </c>
      <c r="B17642">
        <v>642</v>
      </c>
      <c r="C17642" s="1" t="str">
        <f>HYPERLINK("http://www.rosaceae.org/gb/gbrowse/malus_x_domestica/?name=MDP0000226193","MDP0000226193")</f>
        <v>MDP0000226193</v>
      </c>
      <c r="D17642">
        <v>78.23</v>
      </c>
      <c r="E17642">
        <v>611</v>
      </c>
      <c r="F17642">
        <v>133</v>
      </c>
      <c r="G17642">
        <v>15</v>
      </c>
      <c r="H17642">
        <v>40</v>
      </c>
      <c r="I17642">
        <v>638</v>
      </c>
      <c r="J17642">
        <v>1</v>
      </c>
      <c r="K17642">
        <v>37</v>
      </c>
      <c r="L17642">
        <v>644</v>
      </c>
      <c r="M17642">
        <v>1</v>
      </c>
      <c r="N17642">
        <v>0</v>
      </c>
      <c r="O17642">
        <v>2609</v>
      </c>
    </row>
    <row r="17643" spans="1:15" x14ac:dyDescent="0.25">
      <c r="A17643" t="s">
        <v>17656</v>
      </c>
      <c r="B17643">
        <v>440</v>
      </c>
      <c r="C17643" s="1" t="str">
        <f>HYPERLINK("http://www.rosaceae.org/gb/gbrowse/malus_x_domestica/?name=MDP0000771803","MDP0000771803")</f>
        <v>MDP0000771803</v>
      </c>
      <c r="D17643">
        <v>78.290000000000006</v>
      </c>
      <c r="E17643">
        <v>447</v>
      </c>
      <c r="F17643">
        <v>97</v>
      </c>
      <c r="G17643">
        <v>14</v>
      </c>
      <c r="H17643">
        <v>3</v>
      </c>
      <c r="I17643">
        <v>440</v>
      </c>
      <c r="J17643">
        <v>1</v>
      </c>
      <c r="K17643">
        <v>4</v>
      </c>
      <c r="L17643">
        <v>445</v>
      </c>
      <c r="M17643">
        <v>1</v>
      </c>
      <c r="N17643">
        <v>0</v>
      </c>
      <c r="O17643">
        <v>1780</v>
      </c>
    </row>
    <row r="17644" spans="1:15" x14ac:dyDescent="0.25">
      <c r="A17644" t="s">
        <v>17657</v>
      </c>
      <c r="B17644">
        <v>393</v>
      </c>
      <c r="C17644" s="1" t="str">
        <f>HYPERLINK("http://www.rosaceae.org/gb/gbrowse/malus_x_domestica/?name=MDP0000095336","MDP0000095336")</f>
        <v>MDP0000095336</v>
      </c>
      <c r="D17644">
        <v>73.56</v>
      </c>
      <c r="E17644">
        <v>382</v>
      </c>
      <c r="F17644">
        <v>101</v>
      </c>
      <c r="G17644">
        <v>2</v>
      </c>
      <c r="H17644">
        <v>1</v>
      </c>
      <c r="I17644">
        <v>382</v>
      </c>
      <c r="J17644">
        <v>1</v>
      </c>
      <c r="K17644">
        <v>1</v>
      </c>
      <c r="L17644">
        <v>380</v>
      </c>
      <c r="M17644">
        <v>1</v>
      </c>
      <c r="N17644">
        <v>8.2160499999999995E-166</v>
      </c>
      <c r="O17644">
        <v>1495</v>
      </c>
    </row>
    <row r="17645" spans="1:15" x14ac:dyDescent="0.25">
      <c r="A17645" t="s">
        <v>17658</v>
      </c>
      <c r="B17645">
        <v>427</v>
      </c>
      <c r="C17645" s="1" t="str">
        <f>HYPERLINK("http://www.rosaceae.org/gb/gbrowse/malus_x_domestica/?name=MDP0000142241","MDP0000142241")</f>
        <v>MDP0000142241</v>
      </c>
      <c r="D17645">
        <v>66.03</v>
      </c>
      <c r="E17645">
        <v>159</v>
      </c>
      <c r="F17645">
        <v>54</v>
      </c>
      <c r="G17645">
        <v>8</v>
      </c>
      <c r="H17645">
        <v>275</v>
      </c>
      <c r="I17645">
        <v>427</v>
      </c>
      <c r="J17645">
        <v>1</v>
      </c>
      <c r="K17645">
        <v>395</v>
      </c>
      <c r="L17645">
        <v>551</v>
      </c>
      <c r="M17645">
        <v>1</v>
      </c>
      <c r="N17645">
        <v>5.5282600000000002E-52</v>
      </c>
      <c r="O17645">
        <v>514</v>
      </c>
    </row>
    <row r="17646" spans="1:15" x14ac:dyDescent="0.25">
      <c r="A17646" t="s">
        <v>17659</v>
      </c>
      <c r="B17646">
        <v>329</v>
      </c>
      <c r="C17646" s="1" t="str">
        <f>HYPERLINK("http://www.rosaceae.org/gb/gbrowse/malus_x_domestica/?name=MDP0000312095","MDP0000312095")</f>
        <v>MDP0000312095</v>
      </c>
      <c r="D17646">
        <v>47.61</v>
      </c>
      <c r="E17646">
        <v>294</v>
      </c>
      <c r="F17646">
        <v>154</v>
      </c>
      <c r="G17646">
        <v>4</v>
      </c>
      <c r="H17646">
        <v>27</v>
      </c>
      <c r="I17646">
        <v>316</v>
      </c>
      <c r="J17646">
        <v>1</v>
      </c>
      <c r="K17646">
        <v>34</v>
      </c>
      <c r="L17646">
        <v>327</v>
      </c>
      <c r="M17646">
        <v>1</v>
      </c>
      <c r="N17646">
        <v>2.2179899999999998E-74</v>
      </c>
      <c r="O17646">
        <v>706</v>
      </c>
    </row>
    <row r="17647" spans="1:15" x14ac:dyDescent="0.25">
      <c r="A17647" t="s">
        <v>17660</v>
      </c>
      <c r="B17647">
        <v>409</v>
      </c>
      <c r="C17647" s="1" t="str">
        <f>HYPERLINK("http://www.rosaceae.org/gb/gbrowse/malus_x_domestica/?name=MDP0000242697","MDP0000242697")</f>
        <v>MDP0000242697</v>
      </c>
      <c r="D17647">
        <v>64.349999999999994</v>
      </c>
      <c r="E17647">
        <v>317</v>
      </c>
      <c r="F17647">
        <v>113</v>
      </c>
      <c r="G17647">
        <v>17</v>
      </c>
      <c r="H17647">
        <v>8</v>
      </c>
      <c r="I17647">
        <v>320</v>
      </c>
      <c r="J17647">
        <v>1</v>
      </c>
      <c r="K17647">
        <v>41</v>
      </c>
      <c r="L17647">
        <v>344</v>
      </c>
      <c r="M17647">
        <v>1</v>
      </c>
      <c r="N17647">
        <v>6.1669399999999999E-109</v>
      </c>
      <c r="O17647">
        <v>1005</v>
      </c>
    </row>
    <row r="17648" spans="1:15" x14ac:dyDescent="0.25">
      <c r="A17648" t="s">
        <v>17661</v>
      </c>
      <c r="B17648">
        <v>122</v>
      </c>
      <c r="C17648" s="1" t="str">
        <f>HYPERLINK("http://www.rosaceae.org/gb/gbrowse/malus_x_domestica/?name=MDP0000323561","MDP0000323561")</f>
        <v>MDP0000323561</v>
      </c>
      <c r="D17648">
        <v>72.58</v>
      </c>
      <c r="E17648">
        <v>62</v>
      </c>
      <c r="F17648">
        <v>17</v>
      </c>
      <c r="G17648">
        <v>0</v>
      </c>
      <c r="H17648">
        <v>1</v>
      </c>
      <c r="I17648">
        <v>62</v>
      </c>
      <c r="J17648">
        <v>1</v>
      </c>
      <c r="K17648">
        <v>27</v>
      </c>
      <c r="L17648">
        <v>88</v>
      </c>
      <c r="M17648">
        <v>1</v>
      </c>
      <c r="N17648">
        <v>4.8713700000000003E-21</v>
      </c>
      <c r="O17648">
        <v>239</v>
      </c>
    </row>
    <row r="17649" spans="1:15" x14ac:dyDescent="0.25">
      <c r="A17649" t="s">
        <v>17662</v>
      </c>
      <c r="B17649">
        <v>181</v>
      </c>
      <c r="C17649" s="1" t="str">
        <f>HYPERLINK("http://www.rosaceae.org/gb/gbrowse/malus_x_domestica/?name=MDP0000838695","MDP0000838695")</f>
        <v>MDP0000838695</v>
      </c>
      <c r="D17649">
        <v>36.57</v>
      </c>
      <c r="E17649">
        <v>175</v>
      </c>
      <c r="F17649">
        <v>111</v>
      </c>
      <c r="G17649">
        <v>24</v>
      </c>
      <c r="H17649">
        <v>1</v>
      </c>
      <c r="I17649">
        <v>152</v>
      </c>
      <c r="J17649">
        <v>1</v>
      </c>
      <c r="K17649">
        <v>1</v>
      </c>
      <c r="L17649">
        <v>174</v>
      </c>
      <c r="M17649">
        <v>1</v>
      </c>
      <c r="N17649">
        <v>1.34577E-13</v>
      </c>
      <c r="O17649">
        <v>178</v>
      </c>
    </row>
    <row r="17650" spans="1:15" x14ac:dyDescent="0.25">
      <c r="A17650" t="s">
        <v>17663</v>
      </c>
      <c r="B17650">
        <v>344</v>
      </c>
      <c r="C17650" s="1" t="str">
        <f>HYPERLINK("http://www.rosaceae.org/gb/gbrowse/malus_x_domestica/?name=MDP0000318346","MDP0000318346")</f>
        <v>MDP0000318346</v>
      </c>
      <c r="D17650">
        <v>46.61</v>
      </c>
      <c r="E17650">
        <v>133</v>
      </c>
      <c r="F17650">
        <v>71</v>
      </c>
      <c r="G17650">
        <v>0</v>
      </c>
      <c r="H17650">
        <v>203</v>
      </c>
      <c r="I17650">
        <v>335</v>
      </c>
      <c r="J17650">
        <v>1</v>
      </c>
      <c r="K17650">
        <v>1</v>
      </c>
      <c r="L17650">
        <v>133</v>
      </c>
      <c r="M17650">
        <v>1</v>
      </c>
      <c r="N17650">
        <v>2.2668499999999999E-20</v>
      </c>
      <c r="O17650">
        <v>240</v>
      </c>
    </row>
    <row r="17651" spans="1:15" x14ac:dyDescent="0.25">
      <c r="A17651" t="s">
        <v>17664</v>
      </c>
      <c r="B17651">
        <v>260</v>
      </c>
      <c r="C17651" s="1" t="str">
        <f>HYPERLINK("http://www.rosaceae.org/gb/gbrowse/malus_x_domestica/?name=MDP0000169903","MDP0000169903")</f>
        <v>MDP0000169903</v>
      </c>
      <c r="D17651">
        <v>83.07</v>
      </c>
      <c r="E17651">
        <v>260</v>
      </c>
      <c r="F17651">
        <v>44</v>
      </c>
      <c r="G17651">
        <v>0</v>
      </c>
      <c r="H17651">
        <v>1</v>
      </c>
      <c r="I17651">
        <v>260</v>
      </c>
      <c r="J17651">
        <v>1</v>
      </c>
      <c r="K17651">
        <v>1</v>
      </c>
      <c r="L17651">
        <v>260</v>
      </c>
      <c r="M17651">
        <v>1</v>
      </c>
      <c r="N17651">
        <v>1.66847E-127</v>
      </c>
      <c r="O17651">
        <v>1163</v>
      </c>
    </row>
    <row r="17652" spans="1:15" x14ac:dyDescent="0.25">
      <c r="A17652" t="s">
        <v>17665</v>
      </c>
      <c r="B17652">
        <v>591</v>
      </c>
      <c r="C17652" s="1" t="str">
        <f>HYPERLINK("http://www.rosaceae.org/gb/gbrowse/malus_x_domestica/?name=MDP0000266451","MDP0000266451")</f>
        <v>MDP0000266451</v>
      </c>
      <c r="D17652">
        <v>62</v>
      </c>
      <c r="E17652">
        <v>600</v>
      </c>
      <c r="F17652">
        <v>228</v>
      </c>
      <c r="G17652">
        <v>14</v>
      </c>
      <c r="H17652">
        <v>2</v>
      </c>
      <c r="I17652">
        <v>590</v>
      </c>
      <c r="J17652">
        <v>1</v>
      </c>
      <c r="K17652">
        <v>47</v>
      </c>
      <c r="L17652">
        <v>643</v>
      </c>
      <c r="M17652">
        <v>1</v>
      </c>
      <c r="N17652">
        <v>0</v>
      </c>
      <c r="O17652">
        <v>1930</v>
      </c>
    </row>
    <row r="17653" spans="1:15" x14ac:dyDescent="0.25">
      <c r="A17653" t="s">
        <v>17666</v>
      </c>
      <c r="B17653">
        <v>118</v>
      </c>
      <c r="C17653" s="1" t="str">
        <f>HYPERLINK("http://www.rosaceae.org/gb/gbrowse/malus_x_domestica/?name=MDP0000165001","MDP0000165001")</f>
        <v>MDP0000165001</v>
      </c>
      <c r="D17653">
        <v>76.27</v>
      </c>
      <c r="E17653">
        <v>118</v>
      </c>
      <c r="F17653">
        <v>28</v>
      </c>
      <c r="G17653">
        <v>22</v>
      </c>
      <c r="H17653">
        <v>1</v>
      </c>
      <c r="I17653">
        <v>118</v>
      </c>
      <c r="J17653">
        <v>1</v>
      </c>
      <c r="K17653">
        <v>1</v>
      </c>
      <c r="L17653">
        <v>96</v>
      </c>
      <c r="M17653">
        <v>1</v>
      </c>
      <c r="N17653">
        <v>1.08319E-43</v>
      </c>
      <c r="O17653">
        <v>434</v>
      </c>
    </row>
    <row r="17654" spans="1:15" x14ac:dyDescent="0.25">
      <c r="A17654" t="s">
        <v>17667</v>
      </c>
      <c r="B17654">
        <v>184</v>
      </c>
      <c r="C17654" s="1" t="str">
        <f>HYPERLINK("http://www.rosaceae.org/gb/gbrowse/malus_x_domestica/?name=MDP0000327628","MDP0000327628")</f>
        <v>MDP0000327628</v>
      </c>
      <c r="D17654">
        <v>46.66</v>
      </c>
      <c r="E17654">
        <v>225</v>
      </c>
      <c r="F17654">
        <v>120</v>
      </c>
      <c r="G17654">
        <v>50</v>
      </c>
      <c r="H17654">
        <v>1</v>
      </c>
      <c r="I17654">
        <v>183</v>
      </c>
      <c r="J17654">
        <v>1</v>
      </c>
      <c r="K17654">
        <v>1</v>
      </c>
      <c r="L17654">
        <v>217</v>
      </c>
      <c r="M17654">
        <v>1</v>
      </c>
      <c r="N17654">
        <v>1.9929499999999998E-46</v>
      </c>
      <c r="O17654">
        <v>461</v>
      </c>
    </row>
    <row r="17655" spans="1:15" x14ac:dyDescent="0.25">
      <c r="A17655" t="s">
        <v>17668</v>
      </c>
      <c r="B17655">
        <v>492</v>
      </c>
      <c r="C17655" s="1" t="str">
        <f>HYPERLINK("http://www.rosaceae.org/gb/gbrowse/malus_x_domestica/?name=MDP0000168871","MDP0000168871")</f>
        <v>MDP0000168871</v>
      </c>
      <c r="D17655">
        <v>57.25</v>
      </c>
      <c r="E17655">
        <v>517</v>
      </c>
      <c r="F17655">
        <v>221</v>
      </c>
      <c r="G17655">
        <v>64</v>
      </c>
      <c r="H17655">
        <v>5</v>
      </c>
      <c r="I17655">
        <v>492</v>
      </c>
      <c r="J17655">
        <v>1</v>
      </c>
      <c r="K17655">
        <v>1</v>
      </c>
      <c r="L17655">
        <v>482</v>
      </c>
      <c r="M17655">
        <v>1</v>
      </c>
      <c r="N17655">
        <v>8.6425000000000003E-139</v>
      </c>
      <c r="O17655">
        <v>1263</v>
      </c>
    </row>
    <row r="17656" spans="1:15" x14ac:dyDescent="0.25">
      <c r="A17656" t="s">
        <v>17669</v>
      </c>
      <c r="B17656">
        <v>364</v>
      </c>
      <c r="C17656" s="1" t="str">
        <f>HYPERLINK("http://www.rosaceae.org/gb/gbrowse/malus_x_domestica/?name=MDP0000243958","MDP0000243958")</f>
        <v>MDP0000243958</v>
      </c>
      <c r="D17656">
        <v>75.92</v>
      </c>
      <c r="E17656">
        <v>270</v>
      </c>
      <c r="F17656">
        <v>65</v>
      </c>
      <c r="G17656">
        <v>2</v>
      </c>
      <c r="H17656">
        <v>77</v>
      </c>
      <c r="I17656">
        <v>344</v>
      </c>
      <c r="J17656">
        <v>1</v>
      </c>
      <c r="K17656">
        <v>9</v>
      </c>
      <c r="L17656">
        <v>278</v>
      </c>
      <c r="M17656">
        <v>1</v>
      </c>
      <c r="N17656">
        <v>4.2469799999999998E-119</v>
      </c>
      <c r="O17656">
        <v>1092</v>
      </c>
    </row>
    <row r="17657" spans="1:15" x14ac:dyDescent="0.25">
      <c r="A17657" t="s">
        <v>17670</v>
      </c>
      <c r="B17657">
        <v>753</v>
      </c>
      <c r="C17657" s="1" t="str">
        <f>HYPERLINK("http://www.rosaceae.org/gb/gbrowse/malus_x_domestica/?name=MDP0000247369","MDP0000247369")</f>
        <v>MDP0000247369</v>
      </c>
      <c r="D17657">
        <v>46.49</v>
      </c>
      <c r="E17657">
        <v>557</v>
      </c>
      <c r="F17657">
        <v>298</v>
      </c>
      <c r="G17657">
        <v>79</v>
      </c>
      <c r="H17657">
        <v>207</v>
      </c>
      <c r="I17657">
        <v>749</v>
      </c>
      <c r="J17657">
        <v>1</v>
      </c>
      <c r="K17657">
        <v>912</v>
      </c>
      <c r="L17657">
        <v>1403</v>
      </c>
      <c r="M17657">
        <v>1</v>
      </c>
      <c r="N17657">
        <v>1.35335E-123</v>
      </c>
      <c r="O17657">
        <v>1134</v>
      </c>
    </row>
    <row r="17658" spans="1:15" x14ac:dyDescent="0.25">
      <c r="A17658" t="s">
        <v>17671</v>
      </c>
      <c r="B17658">
        <v>498</v>
      </c>
      <c r="C17658" s="1" t="str">
        <f>HYPERLINK("http://www.rosaceae.org/gb/gbrowse/malus_x_domestica/?name=MDP0000261968","MDP0000261968")</f>
        <v>MDP0000261968</v>
      </c>
      <c r="D17658">
        <v>70.77</v>
      </c>
      <c r="E17658">
        <v>462</v>
      </c>
      <c r="F17658">
        <v>135</v>
      </c>
      <c r="G17658">
        <v>12</v>
      </c>
      <c r="H17658">
        <v>47</v>
      </c>
      <c r="I17658">
        <v>498</v>
      </c>
      <c r="J17658">
        <v>1</v>
      </c>
      <c r="K17658">
        <v>42</v>
      </c>
      <c r="L17658">
        <v>501</v>
      </c>
      <c r="M17658">
        <v>1</v>
      </c>
      <c r="N17658">
        <v>1.1423300000000001E-179</v>
      </c>
      <c r="O17658">
        <v>1616</v>
      </c>
    </row>
    <row r="17659" spans="1:15" x14ac:dyDescent="0.25">
      <c r="A17659" t="s">
        <v>17672</v>
      </c>
      <c r="B17659">
        <v>290</v>
      </c>
      <c r="C17659" s="1" t="str">
        <f>HYPERLINK("http://www.rosaceae.org/gb/gbrowse/malus_x_domestica/?name=MDP0000918948","MDP0000918948")</f>
        <v>MDP0000918948</v>
      </c>
      <c r="D17659">
        <v>42.94</v>
      </c>
      <c r="E17659">
        <v>319</v>
      </c>
      <c r="F17659">
        <v>182</v>
      </c>
      <c r="G17659">
        <v>44</v>
      </c>
      <c r="H17659">
        <v>8</v>
      </c>
      <c r="I17659">
        <v>287</v>
      </c>
      <c r="J17659">
        <v>1</v>
      </c>
      <c r="K17659">
        <v>26</v>
      </c>
      <c r="L17659">
        <v>339</v>
      </c>
      <c r="M17659">
        <v>1</v>
      </c>
      <c r="N17659">
        <v>2.2308199999999999E-62</v>
      </c>
      <c r="O17659">
        <v>602</v>
      </c>
    </row>
    <row r="17660" spans="1:15" x14ac:dyDescent="0.25">
      <c r="A17660" t="s">
        <v>17673</v>
      </c>
      <c r="B17660">
        <v>271</v>
      </c>
      <c r="C17660" s="1" t="str">
        <f>HYPERLINK("http://www.rosaceae.org/gb/gbrowse/malus_x_domestica/?name=MDP0000594490","MDP0000594490")</f>
        <v>MDP0000594490</v>
      </c>
      <c r="D17660">
        <v>58.6</v>
      </c>
      <c r="E17660">
        <v>244</v>
      </c>
      <c r="F17660">
        <v>101</v>
      </c>
      <c r="G17660">
        <v>9</v>
      </c>
      <c r="H17660">
        <v>24</v>
      </c>
      <c r="I17660">
        <v>258</v>
      </c>
      <c r="J17660">
        <v>1</v>
      </c>
      <c r="K17660">
        <v>3</v>
      </c>
      <c r="L17660">
        <v>246</v>
      </c>
      <c r="M17660">
        <v>1</v>
      </c>
      <c r="N17660">
        <v>7.6917999999999994E-61</v>
      </c>
      <c r="O17660">
        <v>588</v>
      </c>
    </row>
    <row r="17661" spans="1:15" x14ac:dyDescent="0.25">
      <c r="A17661" t="s">
        <v>17674</v>
      </c>
      <c r="B17661">
        <v>649</v>
      </c>
      <c r="C17661" s="1" t="str">
        <f>HYPERLINK("http://www.rosaceae.org/gb/gbrowse/malus_x_domestica/?name=MDP0000216772","MDP0000216772")</f>
        <v>MDP0000216772</v>
      </c>
      <c r="D17661">
        <v>86.52</v>
      </c>
      <c r="E17661">
        <v>512</v>
      </c>
      <c r="F17661">
        <v>69</v>
      </c>
      <c r="G17661">
        <v>6</v>
      </c>
      <c r="H17661">
        <v>1</v>
      </c>
      <c r="I17661">
        <v>512</v>
      </c>
      <c r="J17661">
        <v>1</v>
      </c>
      <c r="K17661">
        <v>125</v>
      </c>
      <c r="L17661">
        <v>630</v>
      </c>
      <c r="M17661">
        <v>1</v>
      </c>
      <c r="N17661">
        <v>0</v>
      </c>
      <c r="O17661">
        <v>2359</v>
      </c>
    </row>
    <row r="17662" spans="1:15" x14ac:dyDescent="0.25">
      <c r="A17662" t="s">
        <v>17675</v>
      </c>
      <c r="B17662">
        <v>585</v>
      </c>
      <c r="C17662" s="1" t="str">
        <f>HYPERLINK("http://www.rosaceae.org/gb/gbrowse/malus_x_domestica/?name=MDP0000233582","MDP0000233582")</f>
        <v>MDP0000233582</v>
      </c>
      <c r="D17662">
        <v>70.03</v>
      </c>
      <c r="E17662">
        <v>604</v>
      </c>
      <c r="F17662">
        <v>181</v>
      </c>
      <c r="G17662">
        <v>28</v>
      </c>
      <c r="H17662">
        <v>4</v>
      </c>
      <c r="I17662">
        <v>585</v>
      </c>
      <c r="J17662">
        <v>1</v>
      </c>
      <c r="K17662">
        <v>3</v>
      </c>
      <c r="L17662">
        <v>600</v>
      </c>
      <c r="M17662">
        <v>1</v>
      </c>
      <c r="N17662">
        <v>0</v>
      </c>
      <c r="O17662">
        <v>2184</v>
      </c>
    </row>
    <row r="17663" spans="1:15" x14ac:dyDescent="0.25">
      <c r="A17663" t="s">
        <v>17676</v>
      </c>
      <c r="B17663">
        <v>346</v>
      </c>
      <c r="C17663" s="1" t="str">
        <f>HYPERLINK("http://www.rosaceae.org/gb/gbrowse/malus_x_domestica/?name=MDP0000239496","MDP0000239496")</f>
        <v>MDP0000239496</v>
      </c>
      <c r="D17663">
        <v>51.2</v>
      </c>
      <c r="E17663">
        <v>248</v>
      </c>
      <c r="F17663">
        <v>121</v>
      </c>
      <c r="G17663">
        <v>51</v>
      </c>
      <c r="H17663">
        <v>2</v>
      </c>
      <c r="I17663">
        <v>199</v>
      </c>
      <c r="J17663">
        <v>1</v>
      </c>
      <c r="K17663">
        <v>506</v>
      </c>
      <c r="L17663">
        <v>752</v>
      </c>
      <c r="M17663">
        <v>1</v>
      </c>
      <c r="N17663">
        <v>1.9022999999999998E-49</v>
      </c>
      <c r="O17663">
        <v>491</v>
      </c>
    </row>
    <row r="17664" spans="1:15" x14ac:dyDescent="0.25">
      <c r="A17664" t="s">
        <v>17677</v>
      </c>
      <c r="B17664">
        <v>430</v>
      </c>
      <c r="C17664" s="1" t="str">
        <f>HYPERLINK("http://www.rosaceae.org/gb/gbrowse/malus_x_domestica/?name=MDP0000266490","MDP0000266490")</f>
        <v>MDP0000266490</v>
      </c>
      <c r="D17664">
        <v>75.39</v>
      </c>
      <c r="E17664">
        <v>382</v>
      </c>
      <c r="F17664">
        <v>94</v>
      </c>
      <c r="G17664">
        <v>15</v>
      </c>
      <c r="H17664">
        <v>4</v>
      </c>
      <c r="I17664">
        <v>378</v>
      </c>
      <c r="J17664">
        <v>1</v>
      </c>
      <c r="K17664">
        <v>140</v>
      </c>
      <c r="L17664">
        <v>513</v>
      </c>
      <c r="M17664">
        <v>1</v>
      </c>
      <c r="N17664">
        <v>5.0108800000000001E-164</v>
      </c>
      <c r="O17664">
        <v>1480</v>
      </c>
    </row>
    <row r="17665" spans="1:15" x14ac:dyDescent="0.25">
      <c r="A17665" t="s">
        <v>17678</v>
      </c>
      <c r="B17665">
        <v>437</v>
      </c>
      <c r="C17665" s="1" t="str">
        <f>HYPERLINK("http://www.rosaceae.org/gb/gbrowse/malus_x_domestica/?name=MDP0000271554","MDP0000271554")</f>
        <v>MDP0000271554</v>
      </c>
      <c r="D17665">
        <v>88.19</v>
      </c>
      <c r="E17665">
        <v>271</v>
      </c>
      <c r="F17665">
        <v>32</v>
      </c>
      <c r="G17665">
        <v>0</v>
      </c>
      <c r="H17665">
        <v>153</v>
      </c>
      <c r="I17665">
        <v>423</v>
      </c>
      <c r="J17665">
        <v>1</v>
      </c>
      <c r="K17665">
        <v>1</v>
      </c>
      <c r="L17665">
        <v>271</v>
      </c>
      <c r="M17665">
        <v>1</v>
      </c>
      <c r="N17665">
        <v>4.5093600000000003E-141</v>
      </c>
      <c r="O17665">
        <v>1282</v>
      </c>
    </row>
    <row r="17666" spans="1:15" x14ac:dyDescent="0.25">
      <c r="A17666" t="s">
        <v>17679</v>
      </c>
      <c r="B17666">
        <v>688</v>
      </c>
      <c r="C17666" s="1" t="str">
        <f>HYPERLINK("http://www.rosaceae.org/gb/gbrowse/malus_x_domestica/?name=MDP0000226962","MDP0000226962")</f>
        <v>MDP0000226962</v>
      </c>
      <c r="D17666">
        <v>70.13</v>
      </c>
      <c r="E17666">
        <v>663</v>
      </c>
      <c r="F17666">
        <v>198</v>
      </c>
      <c r="G17666">
        <v>5</v>
      </c>
      <c r="H17666">
        <v>1</v>
      </c>
      <c r="I17666">
        <v>660</v>
      </c>
      <c r="J17666">
        <v>1</v>
      </c>
      <c r="K17666">
        <v>1</v>
      </c>
      <c r="L17666">
        <v>661</v>
      </c>
      <c r="M17666">
        <v>1</v>
      </c>
      <c r="N17666">
        <v>0</v>
      </c>
      <c r="O17666">
        <v>2434</v>
      </c>
    </row>
    <row r="17667" spans="1:15" x14ac:dyDescent="0.25">
      <c r="A17667" t="s">
        <v>17680</v>
      </c>
      <c r="B17667">
        <v>360</v>
      </c>
      <c r="C17667" s="1" t="str">
        <f>HYPERLINK("http://www.rosaceae.org/gb/gbrowse/malus_x_domestica/?name=MDP0000157380","MDP0000157380")</f>
        <v>MDP0000157380</v>
      </c>
      <c r="D17667">
        <v>32.07</v>
      </c>
      <c r="E17667">
        <v>371</v>
      </c>
      <c r="F17667">
        <v>252</v>
      </c>
      <c r="G17667">
        <v>27</v>
      </c>
      <c r="H17667">
        <v>3</v>
      </c>
      <c r="I17667">
        <v>356</v>
      </c>
      <c r="J17667">
        <v>1</v>
      </c>
      <c r="K17667">
        <v>50</v>
      </c>
      <c r="L17667">
        <v>410</v>
      </c>
      <c r="M17667">
        <v>1</v>
      </c>
      <c r="N17667">
        <v>1.45482E-48</v>
      </c>
      <c r="O17667">
        <v>484</v>
      </c>
    </row>
    <row r="17668" spans="1:15" x14ac:dyDescent="0.25">
      <c r="A17668" t="s">
        <v>17681</v>
      </c>
      <c r="B17668">
        <v>793</v>
      </c>
      <c r="C17668" s="1" t="str">
        <f>HYPERLINK("http://www.rosaceae.org/gb/gbrowse/malus_x_domestica/?name=MDP0000608429","MDP0000608429")</f>
        <v>MDP0000608429</v>
      </c>
      <c r="D17668">
        <v>77.47</v>
      </c>
      <c r="E17668">
        <v>777</v>
      </c>
      <c r="F17668">
        <v>175</v>
      </c>
      <c r="G17668">
        <v>8</v>
      </c>
      <c r="H17668">
        <v>17</v>
      </c>
      <c r="I17668">
        <v>787</v>
      </c>
      <c r="J17668">
        <v>1</v>
      </c>
      <c r="K17668">
        <v>24</v>
      </c>
      <c r="L17668">
        <v>798</v>
      </c>
      <c r="M17668">
        <v>1</v>
      </c>
      <c r="N17668">
        <v>0</v>
      </c>
      <c r="O17668">
        <v>3179</v>
      </c>
    </row>
    <row r="17669" spans="1:15" x14ac:dyDescent="0.25">
      <c r="A17669" t="s">
        <v>17682</v>
      </c>
      <c r="B17669">
        <v>329</v>
      </c>
      <c r="C17669" s="1" t="str">
        <f>HYPERLINK("http://www.rosaceae.org/gb/gbrowse/malus_x_domestica/?name=MDP0000939379","MDP0000939379")</f>
        <v>MDP0000939379</v>
      </c>
      <c r="D17669">
        <v>90.88</v>
      </c>
      <c r="E17669">
        <v>329</v>
      </c>
      <c r="F17669">
        <v>30</v>
      </c>
      <c r="G17669">
        <v>0</v>
      </c>
      <c r="H17669">
        <v>1</v>
      </c>
      <c r="I17669">
        <v>329</v>
      </c>
      <c r="J17669">
        <v>1</v>
      </c>
      <c r="K17669">
        <v>1</v>
      </c>
      <c r="L17669">
        <v>329</v>
      </c>
      <c r="M17669">
        <v>1</v>
      </c>
      <c r="N17669">
        <v>0</v>
      </c>
      <c r="O17669">
        <v>1631</v>
      </c>
    </row>
    <row r="17670" spans="1:15" x14ac:dyDescent="0.25">
      <c r="A17670" t="s">
        <v>17683</v>
      </c>
      <c r="B17670">
        <v>424</v>
      </c>
      <c r="C17670" s="1" t="str">
        <f>HYPERLINK("http://www.rosaceae.org/gb/gbrowse/malus_x_domestica/?name=MDP0000312042","MDP0000312042")</f>
        <v>MDP0000312042</v>
      </c>
      <c r="D17670">
        <v>59.24</v>
      </c>
      <c r="E17670">
        <v>503</v>
      </c>
      <c r="F17670">
        <v>205</v>
      </c>
      <c r="G17670">
        <v>97</v>
      </c>
      <c r="H17670">
        <v>15</v>
      </c>
      <c r="I17670">
        <v>422</v>
      </c>
      <c r="J17670">
        <v>1</v>
      </c>
      <c r="K17670">
        <v>59</v>
      </c>
      <c r="L17670">
        <v>559</v>
      </c>
      <c r="M17670">
        <v>1</v>
      </c>
      <c r="N17670">
        <v>2.03917E-150</v>
      </c>
      <c r="O17670">
        <v>1363</v>
      </c>
    </row>
    <row r="17671" spans="1:15" x14ac:dyDescent="0.25">
      <c r="A17671" t="s">
        <v>17684</v>
      </c>
      <c r="B17671">
        <v>286</v>
      </c>
      <c r="C17671" s="1" t="str">
        <f>HYPERLINK("http://www.rosaceae.org/gb/gbrowse/malus_x_domestica/?name=MDP0000871361","MDP0000871361")</f>
        <v>MDP0000871361</v>
      </c>
      <c r="D17671">
        <v>74.91</v>
      </c>
      <c r="E17671">
        <v>287</v>
      </c>
      <c r="F17671">
        <v>72</v>
      </c>
      <c r="G17671">
        <v>3</v>
      </c>
      <c r="H17671">
        <v>1</v>
      </c>
      <c r="I17671">
        <v>286</v>
      </c>
      <c r="J17671">
        <v>1</v>
      </c>
      <c r="K17671">
        <v>1</v>
      </c>
      <c r="L17671">
        <v>285</v>
      </c>
      <c r="M17671">
        <v>1</v>
      </c>
      <c r="N17671">
        <v>9.3327800000000004E-119</v>
      </c>
      <c r="O17671">
        <v>1088</v>
      </c>
    </row>
    <row r="17672" spans="1:15" x14ac:dyDescent="0.25">
      <c r="A17672" t="s">
        <v>17685</v>
      </c>
      <c r="B17672">
        <v>317</v>
      </c>
      <c r="C17672" s="1" t="str">
        <f>HYPERLINK("http://www.rosaceae.org/gb/gbrowse/malus_x_domestica/?name=MDP0000322036","MDP0000322036")</f>
        <v>MDP0000322036</v>
      </c>
      <c r="D17672">
        <v>43.82</v>
      </c>
      <c r="E17672">
        <v>267</v>
      </c>
      <c r="F17672">
        <v>150</v>
      </c>
      <c r="G17672">
        <v>9</v>
      </c>
      <c r="H17672">
        <v>1</v>
      </c>
      <c r="I17672">
        <v>267</v>
      </c>
      <c r="J17672">
        <v>1</v>
      </c>
      <c r="K17672">
        <v>92</v>
      </c>
      <c r="L17672">
        <v>349</v>
      </c>
      <c r="M17672">
        <v>1</v>
      </c>
      <c r="N17672">
        <v>2.51358E-58</v>
      </c>
      <c r="O17672">
        <v>567</v>
      </c>
    </row>
    <row r="17673" spans="1:15" x14ac:dyDescent="0.25">
      <c r="A17673" t="s">
        <v>17686</v>
      </c>
      <c r="B17673">
        <v>515</v>
      </c>
      <c r="C17673" s="1" t="str">
        <f>HYPERLINK("http://www.rosaceae.org/gb/gbrowse/malus_x_domestica/?name=MDP0000641793","MDP0000641793")</f>
        <v>MDP0000641793</v>
      </c>
      <c r="D17673">
        <v>66.95</v>
      </c>
      <c r="E17673">
        <v>460</v>
      </c>
      <c r="F17673">
        <v>152</v>
      </c>
      <c r="G17673">
        <v>4</v>
      </c>
      <c r="H17673">
        <v>60</v>
      </c>
      <c r="I17673">
        <v>515</v>
      </c>
      <c r="J17673">
        <v>1</v>
      </c>
      <c r="K17673">
        <v>60</v>
      </c>
      <c r="L17673">
        <v>519</v>
      </c>
      <c r="M17673">
        <v>1</v>
      </c>
      <c r="N17673">
        <v>0</v>
      </c>
      <c r="O17673">
        <v>1680</v>
      </c>
    </row>
    <row r="17674" spans="1:15" x14ac:dyDescent="0.25">
      <c r="A17674" t="s">
        <v>17687</v>
      </c>
      <c r="B17674">
        <v>219</v>
      </c>
      <c r="C17674" s="1" t="str">
        <f>HYPERLINK("http://www.rosaceae.org/gb/gbrowse/malus_x_domestica/?name=MDP0000599857","MDP0000599857")</f>
        <v>MDP0000599857</v>
      </c>
      <c r="D17674">
        <v>61.33</v>
      </c>
      <c r="E17674">
        <v>75</v>
      </c>
      <c r="F17674">
        <v>29</v>
      </c>
      <c r="G17674">
        <v>0</v>
      </c>
      <c r="H17674">
        <v>116</v>
      </c>
      <c r="I17674">
        <v>190</v>
      </c>
      <c r="J17674">
        <v>1</v>
      </c>
      <c r="K17674">
        <v>533</v>
      </c>
      <c r="L17674">
        <v>607</v>
      </c>
      <c r="M17674">
        <v>1</v>
      </c>
      <c r="N17674">
        <v>1.8411100000000001E-22</v>
      </c>
      <c r="O17674">
        <v>256</v>
      </c>
    </row>
    <row r="17675" spans="1:15" x14ac:dyDescent="0.25">
      <c r="A17675" t="s">
        <v>17688</v>
      </c>
      <c r="B17675">
        <v>386</v>
      </c>
      <c r="C17675" s="1" t="str">
        <f>HYPERLINK("http://www.rosaceae.org/gb/gbrowse/malus_x_domestica/?name=MDP0000173732","MDP0000173732")</f>
        <v>MDP0000173732</v>
      </c>
      <c r="D17675">
        <v>80.41</v>
      </c>
      <c r="E17675">
        <v>383</v>
      </c>
      <c r="F17675">
        <v>75</v>
      </c>
      <c r="G17675">
        <v>3</v>
      </c>
      <c r="H17675">
        <v>4</v>
      </c>
      <c r="I17675">
        <v>385</v>
      </c>
      <c r="J17675">
        <v>1</v>
      </c>
      <c r="K17675">
        <v>1</v>
      </c>
      <c r="L17675">
        <v>381</v>
      </c>
      <c r="M17675">
        <v>1</v>
      </c>
      <c r="N17675">
        <v>0</v>
      </c>
      <c r="O17675">
        <v>1680</v>
      </c>
    </row>
    <row r="17676" spans="1:15" x14ac:dyDescent="0.25">
      <c r="A17676" t="s">
        <v>17689</v>
      </c>
      <c r="B17676">
        <v>97</v>
      </c>
      <c r="C17676" s="1" t="str">
        <f>HYPERLINK("http://www.rosaceae.org/gb/gbrowse/malus_x_domestica/?name=MDP0000128174","MDP0000128174")</f>
        <v>MDP0000128174</v>
      </c>
      <c r="D17676">
        <v>59</v>
      </c>
      <c r="E17676">
        <v>100</v>
      </c>
      <c r="F17676">
        <v>41</v>
      </c>
      <c r="G17676">
        <v>5</v>
      </c>
      <c r="H17676">
        <v>1</v>
      </c>
      <c r="I17676">
        <v>97</v>
      </c>
      <c r="J17676">
        <v>1</v>
      </c>
      <c r="K17676">
        <v>1</v>
      </c>
      <c r="L17676">
        <v>98</v>
      </c>
      <c r="M17676">
        <v>1</v>
      </c>
      <c r="N17676">
        <v>1.0188200000000001E-23</v>
      </c>
      <c r="O17676">
        <v>262</v>
      </c>
    </row>
    <row r="17677" spans="1:15" x14ac:dyDescent="0.25">
      <c r="A17677" t="s">
        <v>17690</v>
      </c>
      <c r="B17677">
        <v>229</v>
      </c>
      <c r="C17677" s="1" t="str">
        <f>HYPERLINK("http://www.rosaceae.org/gb/gbrowse/malus_x_domestica/?name=MDP0000240828","MDP0000240828")</f>
        <v>MDP0000240828</v>
      </c>
      <c r="D17677">
        <v>85.29</v>
      </c>
      <c r="E17677">
        <v>34</v>
      </c>
      <c r="F17677">
        <v>5</v>
      </c>
      <c r="G17677">
        <v>0</v>
      </c>
      <c r="H17677">
        <v>100</v>
      </c>
      <c r="I17677">
        <v>133</v>
      </c>
      <c r="J17677">
        <v>1</v>
      </c>
      <c r="K17677">
        <v>194</v>
      </c>
      <c r="L17677">
        <v>227</v>
      </c>
      <c r="M17677">
        <v>1</v>
      </c>
      <c r="N17677">
        <v>3.6987499999999998E-11</v>
      </c>
      <c r="O17677">
        <v>159</v>
      </c>
    </row>
    <row r="17678" spans="1:15" x14ac:dyDescent="0.25">
      <c r="A17678" t="s">
        <v>17691</v>
      </c>
      <c r="B17678">
        <v>748</v>
      </c>
      <c r="C17678" s="1" t="str">
        <f>HYPERLINK("http://www.rosaceae.org/gb/gbrowse/malus_x_domestica/?name=MDP0000713403","MDP0000713403")</f>
        <v>MDP0000713403</v>
      </c>
      <c r="D17678">
        <v>69.62</v>
      </c>
      <c r="E17678">
        <v>675</v>
      </c>
      <c r="F17678">
        <v>205</v>
      </c>
      <c r="G17678">
        <v>38</v>
      </c>
      <c r="H17678">
        <v>85</v>
      </c>
      <c r="I17678">
        <v>740</v>
      </c>
      <c r="J17678">
        <v>1</v>
      </c>
      <c r="K17678">
        <v>11</v>
      </c>
      <c r="L17678">
        <v>666</v>
      </c>
      <c r="M17678">
        <v>1</v>
      </c>
      <c r="N17678">
        <v>0</v>
      </c>
      <c r="O17678">
        <v>2347</v>
      </c>
    </row>
    <row r="17679" spans="1:15" x14ac:dyDescent="0.25">
      <c r="A17679" t="s">
        <v>17692</v>
      </c>
      <c r="B17679">
        <v>338</v>
      </c>
      <c r="C17679" s="1" t="str">
        <f>HYPERLINK("http://www.rosaceae.org/gb/gbrowse/malus_x_domestica/?name=MDP0000309351","MDP0000309351")</f>
        <v>MDP0000309351</v>
      </c>
      <c r="D17679">
        <v>69.72</v>
      </c>
      <c r="E17679">
        <v>327</v>
      </c>
      <c r="F17679">
        <v>99</v>
      </c>
      <c r="G17679">
        <v>11</v>
      </c>
      <c r="H17679">
        <v>1</v>
      </c>
      <c r="I17679">
        <v>322</v>
      </c>
      <c r="J17679">
        <v>1</v>
      </c>
      <c r="K17679">
        <v>2</v>
      </c>
      <c r="L17679">
        <v>322</v>
      </c>
      <c r="M17679">
        <v>1</v>
      </c>
      <c r="N17679">
        <v>1.5105599999999999E-124</v>
      </c>
      <c r="O17679">
        <v>1139</v>
      </c>
    </row>
    <row r="17680" spans="1:15" x14ac:dyDescent="0.25">
      <c r="A17680" t="s">
        <v>17693</v>
      </c>
      <c r="B17680">
        <v>337</v>
      </c>
      <c r="C17680" s="1" t="str">
        <f>HYPERLINK("http://www.rosaceae.org/gb/gbrowse/malus_x_domestica/?name=MDP0000322036","MDP0000322036")</f>
        <v>MDP0000322036</v>
      </c>
      <c r="D17680">
        <v>34</v>
      </c>
      <c r="E17680">
        <v>297</v>
      </c>
      <c r="F17680">
        <v>196</v>
      </c>
      <c r="G17680">
        <v>56</v>
      </c>
      <c r="H17680">
        <v>11</v>
      </c>
      <c r="I17680">
        <v>301</v>
      </c>
      <c r="J17680">
        <v>1</v>
      </c>
      <c r="K17680">
        <v>90</v>
      </c>
      <c r="L17680">
        <v>336</v>
      </c>
      <c r="M17680">
        <v>1</v>
      </c>
      <c r="N17680">
        <v>1.7466700000000001E-40</v>
      </c>
      <c r="O17680">
        <v>414</v>
      </c>
    </row>
    <row r="17681" spans="1:15" x14ac:dyDescent="0.25">
      <c r="A17681" t="s">
        <v>17694</v>
      </c>
      <c r="B17681">
        <v>492</v>
      </c>
      <c r="C17681" s="1" t="str">
        <f>HYPERLINK("http://www.rosaceae.org/gb/gbrowse/malus_x_domestica/?name=MDP0000905593","MDP0000905593")</f>
        <v>MDP0000905593</v>
      </c>
      <c r="D17681">
        <v>77.77</v>
      </c>
      <c r="E17681">
        <v>135</v>
      </c>
      <c r="F17681">
        <v>30</v>
      </c>
      <c r="G17681">
        <v>2</v>
      </c>
      <c r="H17681">
        <v>360</v>
      </c>
      <c r="I17681">
        <v>492</v>
      </c>
      <c r="J17681">
        <v>1</v>
      </c>
      <c r="K17681">
        <v>27</v>
      </c>
      <c r="L17681">
        <v>161</v>
      </c>
      <c r="M17681">
        <v>1</v>
      </c>
      <c r="N17681">
        <v>6.6147600000000003E-54</v>
      </c>
      <c r="O17681">
        <v>531</v>
      </c>
    </row>
    <row r="17682" spans="1:15" x14ac:dyDescent="0.25">
      <c r="A17682" t="s">
        <v>17695</v>
      </c>
      <c r="B17682">
        <v>366</v>
      </c>
      <c r="C17682" s="1" t="str">
        <f>HYPERLINK("http://www.rosaceae.org/gb/gbrowse/malus_x_domestica/?name=MDP0000280567","MDP0000280567")</f>
        <v>MDP0000280567</v>
      </c>
      <c r="D17682">
        <v>94.49</v>
      </c>
      <c r="E17682">
        <v>345</v>
      </c>
      <c r="F17682">
        <v>19</v>
      </c>
      <c r="G17682">
        <v>1</v>
      </c>
      <c r="H17682">
        <v>12</v>
      </c>
      <c r="I17682">
        <v>356</v>
      </c>
      <c r="J17682">
        <v>1</v>
      </c>
      <c r="K17682">
        <v>4</v>
      </c>
      <c r="L17682">
        <v>347</v>
      </c>
      <c r="M17682">
        <v>1</v>
      </c>
      <c r="N17682">
        <v>0</v>
      </c>
      <c r="O17682">
        <v>1751</v>
      </c>
    </row>
    <row r="17683" spans="1:15" x14ac:dyDescent="0.25">
      <c r="A17683" t="s">
        <v>17696</v>
      </c>
      <c r="B17683">
        <v>392</v>
      </c>
      <c r="C17683" s="1" t="str">
        <f>HYPERLINK("http://www.rosaceae.org/gb/gbrowse/malus_x_domestica/?name=MDP0000492198","MDP0000492198")</f>
        <v>MDP0000492198</v>
      </c>
      <c r="D17683">
        <v>53.06</v>
      </c>
      <c r="E17683">
        <v>424</v>
      </c>
      <c r="F17683">
        <v>199</v>
      </c>
      <c r="G17683">
        <v>38</v>
      </c>
      <c r="H17683">
        <v>1</v>
      </c>
      <c r="I17683">
        <v>392</v>
      </c>
      <c r="J17683">
        <v>1</v>
      </c>
      <c r="K17683">
        <v>1</v>
      </c>
      <c r="L17683">
        <v>418</v>
      </c>
      <c r="M17683">
        <v>1</v>
      </c>
      <c r="N17683">
        <v>4.7731399999999998E-99</v>
      </c>
      <c r="O17683">
        <v>920</v>
      </c>
    </row>
    <row r="17684" spans="1:15" x14ac:dyDescent="0.25">
      <c r="A17684" t="s">
        <v>17697</v>
      </c>
      <c r="B17684">
        <v>211</v>
      </c>
      <c r="C17684" s="1" t="str">
        <f>HYPERLINK("http://www.rosaceae.org/gb/gbrowse/malus_x_domestica/?name=MDP0000137468","MDP0000137468")</f>
        <v>MDP0000137468</v>
      </c>
      <c r="D17684">
        <v>66.66</v>
      </c>
      <c r="E17684">
        <v>213</v>
      </c>
      <c r="F17684">
        <v>71</v>
      </c>
      <c r="G17684">
        <v>5</v>
      </c>
      <c r="H17684">
        <v>1</v>
      </c>
      <c r="I17684">
        <v>211</v>
      </c>
      <c r="J17684">
        <v>1</v>
      </c>
      <c r="K17684">
        <v>1</v>
      </c>
      <c r="L17684">
        <v>210</v>
      </c>
      <c r="M17684">
        <v>1</v>
      </c>
      <c r="N17684">
        <v>5.8816499999999997E-66</v>
      </c>
      <c r="O17684">
        <v>631</v>
      </c>
    </row>
    <row r="17685" spans="1:15" x14ac:dyDescent="0.25">
      <c r="A17685" t="s">
        <v>17698</v>
      </c>
      <c r="B17685">
        <v>532</v>
      </c>
      <c r="C17685" s="1" t="str">
        <f>HYPERLINK("http://www.rosaceae.org/gb/gbrowse/malus_x_domestica/?name=MDP0000140980","MDP0000140980")</f>
        <v>MDP0000140980</v>
      </c>
      <c r="D17685">
        <v>91.03</v>
      </c>
      <c r="E17685">
        <v>502</v>
      </c>
      <c r="F17685">
        <v>45</v>
      </c>
      <c r="G17685">
        <v>1</v>
      </c>
      <c r="H17685">
        <v>31</v>
      </c>
      <c r="I17685">
        <v>532</v>
      </c>
      <c r="J17685">
        <v>1</v>
      </c>
      <c r="K17685">
        <v>39</v>
      </c>
      <c r="L17685">
        <v>539</v>
      </c>
      <c r="M17685">
        <v>1</v>
      </c>
      <c r="N17685">
        <v>0</v>
      </c>
      <c r="O17685">
        <v>2473</v>
      </c>
    </row>
    <row r="17686" spans="1:15" x14ac:dyDescent="0.25">
      <c r="A17686" t="s">
        <v>17699</v>
      </c>
      <c r="B17686">
        <v>357</v>
      </c>
      <c r="C17686" s="1" t="str">
        <f>HYPERLINK("http://www.rosaceae.org/gb/gbrowse/malus_x_domestica/?name=MDP0000278750","MDP0000278750")</f>
        <v>MDP0000278750</v>
      </c>
      <c r="D17686">
        <v>46.34</v>
      </c>
      <c r="E17686">
        <v>82</v>
      </c>
      <c r="F17686">
        <v>44</v>
      </c>
      <c r="G17686">
        <v>2</v>
      </c>
      <c r="H17686">
        <v>247</v>
      </c>
      <c r="I17686">
        <v>326</v>
      </c>
      <c r="J17686">
        <v>1</v>
      </c>
      <c r="K17686">
        <v>769</v>
      </c>
      <c r="L17686">
        <v>850</v>
      </c>
      <c r="M17686">
        <v>1</v>
      </c>
      <c r="N17686">
        <v>5.4229399999999995E-16</v>
      </c>
      <c r="O17686">
        <v>203</v>
      </c>
    </row>
    <row r="17687" spans="1:15" x14ac:dyDescent="0.25">
      <c r="A17687" t="s">
        <v>17700</v>
      </c>
      <c r="B17687">
        <v>72</v>
      </c>
      <c r="C17687" s="1" t="str">
        <f>HYPERLINK("http://www.rosaceae.org/gb/gbrowse/malus_x_domestica/?name=MDP0000261705","MDP0000261705")</f>
        <v>MDP0000261705</v>
      </c>
      <c r="D17687">
        <v>86.36</v>
      </c>
      <c r="E17687">
        <v>44</v>
      </c>
      <c r="F17687">
        <v>6</v>
      </c>
      <c r="G17687">
        <v>0</v>
      </c>
      <c r="H17687">
        <v>18</v>
      </c>
      <c r="I17687">
        <v>61</v>
      </c>
      <c r="J17687">
        <v>1</v>
      </c>
      <c r="K17687">
        <v>415</v>
      </c>
      <c r="L17687">
        <v>458</v>
      </c>
      <c r="M17687">
        <v>1</v>
      </c>
      <c r="N17687">
        <v>2.2996600000000002E-19</v>
      </c>
      <c r="O17687">
        <v>224</v>
      </c>
    </row>
    <row r="17688" spans="1:15" x14ac:dyDescent="0.25">
      <c r="A17688" t="s">
        <v>17701</v>
      </c>
      <c r="B17688">
        <v>339</v>
      </c>
      <c r="C17688" s="1" t="str">
        <f>HYPERLINK("http://www.rosaceae.org/gb/gbrowse/malus_x_domestica/?name=MDP0000208137","MDP0000208137")</f>
        <v>MDP0000208137</v>
      </c>
      <c r="D17688">
        <v>76.849999999999994</v>
      </c>
      <c r="E17688">
        <v>324</v>
      </c>
      <c r="F17688">
        <v>75</v>
      </c>
      <c r="G17688">
        <v>7</v>
      </c>
      <c r="H17688">
        <v>16</v>
      </c>
      <c r="I17688">
        <v>339</v>
      </c>
      <c r="J17688">
        <v>1</v>
      </c>
      <c r="K17688">
        <v>16</v>
      </c>
      <c r="L17688">
        <v>332</v>
      </c>
      <c r="M17688">
        <v>1</v>
      </c>
      <c r="N17688">
        <v>3.1376099999999997E-150</v>
      </c>
      <c r="O17688">
        <v>1360</v>
      </c>
    </row>
    <row r="17689" spans="1:15" x14ac:dyDescent="0.25">
      <c r="A17689" t="s">
        <v>17702</v>
      </c>
      <c r="B17689">
        <v>388</v>
      </c>
      <c r="C17689" s="1" t="str">
        <f>HYPERLINK("http://www.rosaceae.org/gb/gbrowse/malus_x_domestica/?name=MDP0000139427","MDP0000139427")</f>
        <v>MDP0000139427</v>
      </c>
      <c r="D17689">
        <v>75.36</v>
      </c>
      <c r="E17689">
        <v>341</v>
      </c>
      <c r="F17689">
        <v>84</v>
      </c>
      <c r="G17689">
        <v>9</v>
      </c>
      <c r="H17689">
        <v>1</v>
      </c>
      <c r="I17689">
        <v>340</v>
      </c>
      <c r="J17689">
        <v>1</v>
      </c>
      <c r="K17689">
        <v>349</v>
      </c>
      <c r="L17689">
        <v>681</v>
      </c>
      <c r="M17689">
        <v>1</v>
      </c>
      <c r="N17689">
        <v>2.6538799999999999E-147</v>
      </c>
      <c r="O17689">
        <v>1336</v>
      </c>
    </row>
    <row r="17690" spans="1:15" x14ac:dyDescent="0.25">
      <c r="A17690" t="s">
        <v>17703</v>
      </c>
      <c r="B17690">
        <v>862</v>
      </c>
      <c r="C17690" s="1" t="str">
        <f>HYPERLINK("http://www.rosaceae.org/gb/gbrowse/malus_x_domestica/?name=MDP0000296466","MDP0000296466")</f>
        <v>MDP0000296466</v>
      </c>
      <c r="D17690">
        <v>62.11</v>
      </c>
      <c r="E17690">
        <v>681</v>
      </c>
      <c r="F17690">
        <v>258</v>
      </c>
      <c r="G17690">
        <v>116</v>
      </c>
      <c r="H17690">
        <v>255</v>
      </c>
      <c r="I17690">
        <v>852</v>
      </c>
      <c r="J17690">
        <v>1</v>
      </c>
      <c r="K17690">
        <v>12</v>
      </c>
      <c r="L17690">
        <v>659</v>
      </c>
      <c r="M17690">
        <v>1</v>
      </c>
      <c r="N17690">
        <v>0</v>
      </c>
      <c r="O17690">
        <v>1920</v>
      </c>
    </row>
    <row r="17691" spans="1:15" x14ac:dyDescent="0.25">
      <c r="A17691" t="s">
        <v>17704</v>
      </c>
      <c r="B17691">
        <v>179</v>
      </c>
      <c r="C17691" s="1" t="str">
        <f>HYPERLINK("http://www.rosaceae.org/gb/gbrowse/malus_x_domestica/?name=MDP0000265817","MDP0000265817")</f>
        <v>MDP0000265817</v>
      </c>
      <c r="D17691">
        <v>57.14</v>
      </c>
      <c r="E17691">
        <v>77</v>
      </c>
      <c r="F17691">
        <v>33</v>
      </c>
      <c r="G17691">
        <v>0</v>
      </c>
      <c r="H17691">
        <v>35</v>
      </c>
      <c r="I17691">
        <v>111</v>
      </c>
      <c r="J17691">
        <v>1</v>
      </c>
      <c r="K17691">
        <v>44</v>
      </c>
      <c r="L17691">
        <v>120</v>
      </c>
      <c r="M17691">
        <v>1</v>
      </c>
      <c r="N17691">
        <v>3.5662300000000001E-22</v>
      </c>
      <c r="O17691">
        <v>252</v>
      </c>
    </row>
    <row r="17692" spans="1:15" x14ac:dyDescent="0.25">
      <c r="A17692" t="s">
        <v>17705</v>
      </c>
      <c r="B17692">
        <v>64</v>
      </c>
      <c r="C17692" s="1" t="str">
        <f>HYPERLINK("http://www.rosaceae.org/gb/gbrowse/malus_x_domestica/?name=MDP0000697771","MDP0000697771")</f>
        <v>MDP0000697771</v>
      </c>
      <c r="D17692">
        <v>95.31</v>
      </c>
      <c r="E17692">
        <v>64</v>
      </c>
      <c r="F17692">
        <v>3</v>
      </c>
      <c r="G17692">
        <v>0</v>
      </c>
      <c r="H17692">
        <v>1</v>
      </c>
      <c r="I17692">
        <v>64</v>
      </c>
      <c r="J17692">
        <v>1</v>
      </c>
      <c r="K17692">
        <v>29</v>
      </c>
      <c r="L17692">
        <v>92</v>
      </c>
      <c r="M17692">
        <v>1</v>
      </c>
      <c r="N17692">
        <v>3.5627699999999999E-31</v>
      </c>
      <c r="O17692">
        <v>326</v>
      </c>
    </row>
    <row r="17693" spans="1:15" x14ac:dyDescent="0.25">
      <c r="A17693" t="s">
        <v>17706</v>
      </c>
      <c r="B17693">
        <v>428</v>
      </c>
      <c r="C17693" s="1" t="str">
        <f>HYPERLINK("http://www.rosaceae.org/gb/gbrowse/malus_x_domestica/?name=MDP0000149759","MDP0000149759")</f>
        <v>MDP0000149759</v>
      </c>
      <c r="D17693">
        <v>61.25</v>
      </c>
      <c r="E17693">
        <v>413</v>
      </c>
      <c r="F17693">
        <v>160</v>
      </c>
      <c r="G17693">
        <v>10</v>
      </c>
      <c r="H17693">
        <v>19</v>
      </c>
      <c r="I17693">
        <v>428</v>
      </c>
      <c r="J17693">
        <v>1</v>
      </c>
      <c r="K17693">
        <v>20</v>
      </c>
      <c r="L17693">
        <v>425</v>
      </c>
      <c r="M17693">
        <v>1</v>
      </c>
      <c r="N17693">
        <v>2.9518600000000001E-126</v>
      </c>
      <c r="O17693">
        <v>1155</v>
      </c>
    </row>
    <row r="17694" spans="1:15" x14ac:dyDescent="0.25">
      <c r="A17694" t="s">
        <v>17707</v>
      </c>
      <c r="B17694">
        <v>852</v>
      </c>
      <c r="C17694" s="1" t="str">
        <f>HYPERLINK("http://www.rosaceae.org/gb/gbrowse/malus_x_domestica/?name=MDP0000310842","MDP0000310842")</f>
        <v>MDP0000310842</v>
      </c>
      <c r="D17694">
        <v>75.099999999999994</v>
      </c>
      <c r="E17694">
        <v>482</v>
      </c>
      <c r="F17694">
        <v>120</v>
      </c>
      <c r="G17694">
        <v>9</v>
      </c>
      <c r="H17694">
        <v>369</v>
      </c>
      <c r="I17694">
        <v>841</v>
      </c>
      <c r="J17694">
        <v>1</v>
      </c>
      <c r="K17694">
        <v>1</v>
      </c>
      <c r="L17694">
        <v>482</v>
      </c>
      <c r="M17694">
        <v>1</v>
      </c>
      <c r="N17694">
        <v>0</v>
      </c>
      <c r="O17694">
        <v>1841</v>
      </c>
    </row>
    <row r="17695" spans="1:15" x14ac:dyDescent="0.25">
      <c r="A17695" t="s">
        <v>17708</v>
      </c>
      <c r="B17695">
        <v>247</v>
      </c>
      <c r="C17695" s="1" t="str">
        <f>HYPERLINK("http://www.rosaceae.org/gb/gbrowse/malus_x_domestica/?name=MDP0000262738","MDP0000262738")</f>
        <v>MDP0000262738</v>
      </c>
      <c r="D17695">
        <v>81.3</v>
      </c>
      <c r="E17695">
        <v>246</v>
      </c>
      <c r="F17695">
        <v>46</v>
      </c>
      <c r="G17695">
        <v>5</v>
      </c>
      <c r="H17695">
        <v>1</v>
      </c>
      <c r="I17695">
        <v>245</v>
      </c>
      <c r="J17695">
        <v>1</v>
      </c>
      <c r="K17695">
        <v>1</v>
      </c>
      <c r="L17695">
        <v>242</v>
      </c>
      <c r="M17695">
        <v>1</v>
      </c>
      <c r="N17695">
        <v>1.2818E-109</v>
      </c>
      <c r="O17695">
        <v>1008</v>
      </c>
    </row>
    <row r="17696" spans="1:15" x14ac:dyDescent="0.25">
      <c r="A17696" t="s">
        <v>17709</v>
      </c>
      <c r="B17696">
        <v>208</v>
      </c>
      <c r="C17696" s="1" t="str">
        <f>HYPERLINK("http://www.rosaceae.org/gb/gbrowse/malus_x_domestica/?name=MDP0000922681","MDP0000922681")</f>
        <v>MDP0000922681</v>
      </c>
      <c r="D17696">
        <v>81.96</v>
      </c>
      <c r="E17696">
        <v>183</v>
      </c>
      <c r="F17696">
        <v>33</v>
      </c>
      <c r="G17696">
        <v>0</v>
      </c>
      <c r="H17696">
        <v>19</v>
      </c>
      <c r="I17696">
        <v>201</v>
      </c>
      <c r="J17696">
        <v>1</v>
      </c>
      <c r="K17696">
        <v>18</v>
      </c>
      <c r="L17696">
        <v>200</v>
      </c>
      <c r="M17696">
        <v>1</v>
      </c>
      <c r="N17696">
        <v>1.2135600000000001E-92</v>
      </c>
      <c r="O17696">
        <v>861</v>
      </c>
    </row>
    <row r="17697" spans="1:15" x14ac:dyDescent="0.25">
      <c r="A17697" t="s">
        <v>17710</v>
      </c>
      <c r="B17697">
        <v>514</v>
      </c>
      <c r="C17697" s="1" t="str">
        <f>HYPERLINK("http://www.rosaceae.org/gb/gbrowse/malus_x_domestica/?name=MDP0000418193","MDP0000418193")</f>
        <v>MDP0000418193</v>
      </c>
      <c r="D17697">
        <v>72.12</v>
      </c>
      <c r="E17697">
        <v>409</v>
      </c>
      <c r="F17697">
        <v>114</v>
      </c>
      <c r="G17697">
        <v>1</v>
      </c>
      <c r="H17697">
        <v>101</v>
      </c>
      <c r="I17697">
        <v>509</v>
      </c>
      <c r="J17697">
        <v>1</v>
      </c>
      <c r="K17697">
        <v>105</v>
      </c>
      <c r="L17697">
        <v>512</v>
      </c>
      <c r="M17697">
        <v>1</v>
      </c>
      <c r="N17697">
        <v>0</v>
      </c>
      <c r="O17697">
        <v>1632</v>
      </c>
    </row>
    <row r="17698" spans="1:15" x14ac:dyDescent="0.25">
      <c r="A17698" t="s">
        <v>17711</v>
      </c>
      <c r="B17698">
        <v>146</v>
      </c>
      <c r="C17698" s="1" t="str">
        <f>HYPERLINK("http://www.rosaceae.org/gb/gbrowse/malus_x_domestica/?name=MDP0000933400","MDP0000933400")</f>
        <v>MDP0000933400</v>
      </c>
      <c r="D17698">
        <v>76.709999999999994</v>
      </c>
      <c r="E17698">
        <v>146</v>
      </c>
      <c r="F17698">
        <v>34</v>
      </c>
      <c r="G17698">
        <v>1</v>
      </c>
      <c r="H17698">
        <v>1</v>
      </c>
      <c r="I17698">
        <v>145</v>
      </c>
      <c r="J17698">
        <v>1</v>
      </c>
      <c r="K17698">
        <v>1</v>
      </c>
      <c r="L17698">
        <v>146</v>
      </c>
      <c r="M17698">
        <v>1</v>
      </c>
      <c r="N17698">
        <v>5.3339700000000003E-64</v>
      </c>
      <c r="O17698">
        <v>611</v>
      </c>
    </row>
    <row r="17699" spans="1:15" x14ac:dyDescent="0.25">
      <c r="A17699" t="s">
        <v>17712</v>
      </c>
      <c r="B17699">
        <v>303</v>
      </c>
      <c r="C17699" s="1" t="str">
        <f>HYPERLINK("http://www.rosaceae.org/gb/gbrowse/malus_x_domestica/?name=MDP0000897736","MDP0000897736")</f>
        <v>MDP0000897736</v>
      </c>
      <c r="D17699">
        <v>80.13</v>
      </c>
      <c r="E17699">
        <v>307</v>
      </c>
      <c r="F17699">
        <v>61</v>
      </c>
      <c r="G17699">
        <v>4</v>
      </c>
      <c r="H17699">
        <v>1</v>
      </c>
      <c r="I17699">
        <v>303</v>
      </c>
      <c r="J17699">
        <v>1</v>
      </c>
      <c r="K17699">
        <v>60</v>
      </c>
      <c r="L17699">
        <v>366</v>
      </c>
      <c r="M17699">
        <v>1</v>
      </c>
      <c r="N17699">
        <v>2.6177899999999999E-145</v>
      </c>
      <c r="O17699">
        <v>1317</v>
      </c>
    </row>
    <row r="17700" spans="1:15" x14ac:dyDescent="0.25">
      <c r="A17700" t="s">
        <v>17713</v>
      </c>
      <c r="B17700">
        <v>748</v>
      </c>
      <c r="C17700" s="1" t="str">
        <f>HYPERLINK("http://www.rosaceae.org/gb/gbrowse/malus_x_domestica/?name=MDP0000655780","MDP0000655780")</f>
        <v>MDP0000655780</v>
      </c>
      <c r="D17700">
        <v>70.75</v>
      </c>
      <c r="E17700">
        <v>725</v>
      </c>
      <c r="F17700">
        <v>212</v>
      </c>
      <c r="G17700">
        <v>9</v>
      </c>
      <c r="H17700">
        <v>1</v>
      </c>
      <c r="I17700">
        <v>717</v>
      </c>
      <c r="J17700">
        <v>1</v>
      </c>
      <c r="K17700">
        <v>1</v>
      </c>
      <c r="L17700">
        <v>724</v>
      </c>
      <c r="M17700">
        <v>1</v>
      </c>
      <c r="N17700">
        <v>0</v>
      </c>
      <c r="O17700">
        <v>2629</v>
      </c>
    </row>
    <row r="17701" spans="1:15" x14ac:dyDescent="0.25">
      <c r="A17701" t="s">
        <v>17714</v>
      </c>
      <c r="B17701">
        <v>475</v>
      </c>
      <c r="C17701" s="1" t="str">
        <f>HYPERLINK("http://www.rosaceae.org/gb/gbrowse/malus_x_domestica/?name=MDP0000292545","MDP0000292545")</f>
        <v>MDP0000292545</v>
      </c>
      <c r="D17701">
        <v>75.23</v>
      </c>
      <c r="E17701">
        <v>428</v>
      </c>
      <c r="F17701">
        <v>106</v>
      </c>
      <c r="G17701">
        <v>38</v>
      </c>
      <c r="H17701">
        <v>56</v>
      </c>
      <c r="I17701">
        <v>475</v>
      </c>
      <c r="J17701">
        <v>1</v>
      </c>
      <c r="K17701">
        <v>240</v>
      </c>
      <c r="L17701">
        <v>637</v>
      </c>
      <c r="M17701">
        <v>1</v>
      </c>
      <c r="N17701">
        <v>1.89453E-175</v>
      </c>
      <c r="O17701">
        <v>1579</v>
      </c>
    </row>
    <row r="17702" spans="1:15" x14ac:dyDescent="0.25">
      <c r="A17702" t="s">
        <v>17715</v>
      </c>
      <c r="B17702">
        <v>562</v>
      </c>
      <c r="C17702" s="1" t="str">
        <f>HYPERLINK("http://www.rosaceae.org/gb/gbrowse/malus_x_domestica/?name=MDP0000247881","MDP0000247881")</f>
        <v>MDP0000247881</v>
      </c>
      <c r="D17702">
        <v>78.97</v>
      </c>
      <c r="E17702">
        <v>428</v>
      </c>
      <c r="F17702">
        <v>90</v>
      </c>
      <c r="G17702">
        <v>9</v>
      </c>
      <c r="H17702">
        <v>141</v>
      </c>
      <c r="I17702">
        <v>562</v>
      </c>
      <c r="J17702">
        <v>1</v>
      </c>
      <c r="K17702">
        <v>89</v>
      </c>
      <c r="L17702">
        <v>513</v>
      </c>
      <c r="M17702">
        <v>1</v>
      </c>
      <c r="N17702">
        <v>0</v>
      </c>
      <c r="O17702">
        <v>1772</v>
      </c>
    </row>
    <row r="17703" spans="1:15" x14ac:dyDescent="0.25">
      <c r="A17703" t="s">
        <v>17716</v>
      </c>
      <c r="B17703">
        <v>171</v>
      </c>
      <c r="C17703" s="1" t="str">
        <f>HYPERLINK("http://www.rosaceae.org/gb/gbrowse/malus_x_domestica/?name=MDP0000138111","MDP0000138111")</f>
        <v>MDP0000138111</v>
      </c>
      <c r="D17703">
        <v>68.290000000000006</v>
      </c>
      <c r="E17703">
        <v>164</v>
      </c>
      <c r="F17703">
        <v>52</v>
      </c>
      <c r="G17703">
        <v>12</v>
      </c>
      <c r="H17703">
        <v>8</v>
      </c>
      <c r="I17703">
        <v>171</v>
      </c>
      <c r="J17703">
        <v>1</v>
      </c>
      <c r="K17703">
        <v>2</v>
      </c>
      <c r="L17703">
        <v>153</v>
      </c>
      <c r="M17703">
        <v>1</v>
      </c>
      <c r="N17703">
        <v>6.9222900000000002E-58</v>
      </c>
      <c r="O17703">
        <v>560</v>
      </c>
    </row>
    <row r="17704" spans="1:15" x14ac:dyDescent="0.25">
      <c r="A17704" t="s">
        <v>17717</v>
      </c>
      <c r="B17704">
        <v>915</v>
      </c>
      <c r="C17704" s="1" t="str">
        <f>HYPERLINK("http://www.rosaceae.org/gb/gbrowse/malus_x_domestica/?name=MDP0000155548","MDP0000155548")</f>
        <v>MDP0000155548</v>
      </c>
      <c r="D17704">
        <v>66.81</v>
      </c>
      <c r="E17704">
        <v>919</v>
      </c>
      <c r="F17704">
        <v>305</v>
      </c>
      <c r="G17704">
        <v>77</v>
      </c>
      <c r="H17704">
        <v>1</v>
      </c>
      <c r="I17704">
        <v>878</v>
      </c>
      <c r="J17704">
        <v>1</v>
      </c>
      <c r="K17704">
        <v>1</v>
      </c>
      <c r="L17704">
        <v>883</v>
      </c>
      <c r="M17704">
        <v>1</v>
      </c>
      <c r="N17704">
        <v>0</v>
      </c>
      <c r="O17704">
        <v>2814</v>
      </c>
    </row>
    <row r="17705" spans="1:15" x14ac:dyDescent="0.25">
      <c r="A17705" t="s">
        <v>17718</v>
      </c>
      <c r="B17705">
        <v>153</v>
      </c>
      <c r="C17705" s="1" t="str">
        <f>HYPERLINK("http://www.rosaceae.org/gb/gbrowse/malus_x_domestica/?name=MDP0000378826","MDP0000378826")</f>
        <v>MDP0000378826</v>
      </c>
      <c r="D17705">
        <v>59.18</v>
      </c>
      <c r="E17705">
        <v>49</v>
      </c>
      <c r="F17705">
        <v>20</v>
      </c>
      <c r="G17705">
        <v>0</v>
      </c>
      <c r="H17705">
        <v>39</v>
      </c>
      <c r="I17705">
        <v>87</v>
      </c>
      <c r="J17705">
        <v>1</v>
      </c>
      <c r="K17705">
        <v>130</v>
      </c>
      <c r="L17705">
        <v>178</v>
      </c>
      <c r="M17705">
        <v>1</v>
      </c>
      <c r="N17705">
        <v>3.7230800000000001E-13</v>
      </c>
      <c r="O17705">
        <v>173</v>
      </c>
    </row>
    <row r="17706" spans="1:15" x14ac:dyDescent="0.25">
      <c r="A17706" t="s">
        <v>17719</v>
      </c>
      <c r="B17706">
        <v>189</v>
      </c>
      <c r="C17706" s="1" t="str">
        <f>HYPERLINK("http://www.rosaceae.org/gb/gbrowse/malus_x_domestica/?name=MDP0000489995","MDP0000489995")</f>
        <v>MDP0000489995</v>
      </c>
      <c r="D17706">
        <v>74.22</v>
      </c>
      <c r="E17706">
        <v>194</v>
      </c>
      <c r="F17706">
        <v>50</v>
      </c>
      <c r="G17706">
        <v>31</v>
      </c>
      <c r="H17706">
        <v>24</v>
      </c>
      <c r="I17706">
        <v>189</v>
      </c>
      <c r="J17706">
        <v>1</v>
      </c>
      <c r="K17706">
        <v>243</v>
      </c>
      <c r="L17706">
        <v>433</v>
      </c>
      <c r="M17706">
        <v>1</v>
      </c>
      <c r="N17706">
        <v>2.2569499999999999E-76</v>
      </c>
      <c r="O17706">
        <v>720</v>
      </c>
    </row>
    <row r="17707" spans="1:15" x14ac:dyDescent="0.25">
      <c r="A17707" t="s">
        <v>17720</v>
      </c>
      <c r="B17707">
        <v>292</v>
      </c>
      <c r="C17707" s="1" t="str">
        <f>HYPERLINK("http://www.rosaceae.org/gb/gbrowse/malus_x_domestica/?name=MDP0000253199","MDP0000253199")</f>
        <v>MDP0000253199</v>
      </c>
      <c r="D17707">
        <v>81.25</v>
      </c>
      <c r="E17707">
        <v>144</v>
      </c>
      <c r="F17707">
        <v>27</v>
      </c>
      <c r="G17707">
        <v>2</v>
      </c>
      <c r="H17707">
        <v>7</v>
      </c>
      <c r="I17707">
        <v>150</v>
      </c>
      <c r="J17707">
        <v>1</v>
      </c>
      <c r="K17707">
        <v>96</v>
      </c>
      <c r="L17707">
        <v>237</v>
      </c>
      <c r="M17707">
        <v>1</v>
      </c>
      <c r="N17707">
        <v>6.7166500000000003E-67</v>
      </c>
      <c r="O17707">
        <v>641</v>
      </c>
    </row>
    <row r="17708" spans="1:15" x14ac:dyDescent="0.25">
      <c r="A17708" t="s">
        <v>17721</v>
      </c>
      <c r="B17708">
        <v>1232</v>
      </c>
      <c r="C17708" s="1" t="str">
        <f>HYPERLINK("http://www.rosaceae.org/gb/gbrowse/malus_x_domestica/?name=MDP0000201427","MDP0000201427")</f>
        <v>MDP0000201427</v>
      </c>
      <c r="D17708">
        <v>65.36</v>
      </c>
      <c r="E17708">
        <v>1201</v>
      </c>
      <c r="F17708">
        <v>416</v>
      </c>
      <c r="G17708">
        <v>54</v>
      </c>
      <c r="H17708">
        <v>60</v>
      </c>
      <c r="I17708">
        <v>1211</v>
      </c>
      <c r="J17708">
        <v>1</v>
      </c>
      <c r="K17708">
        <v>2</v>
      </c>
      <c r="L17708">
        <v>1197</v>
      </c>
      <c r="M17708">
        <v>1</v>
      </c>
      <c r="N17708">
        <v>0</v>
      </c>
      <c r="O17708">
        <v>3990</v>
      </c>
    </row>
    <row r="17709" spans="1:15" x14ac:dyDescent="0.25">
      <c r="A17709" t="s">
        <v>17722</v>
      </c>
      <c r="B17709">
        <v>145</v>
      </c>
      <c r="C17709" s="1" t="str">
        <f>HYPERLINK("http://www.rosaceae.org/gb/gbrowse/malus_x_domestica/?name=MDP0000894464","MDP0000894464")</f>
        <v>MDP0000894464</v>
      </c>
      <c r="D17709">
        <v>72.72</v>
      </c>
      <c r="E17709">
        <v>143</v>
      </c>
      <c r="F17709">
        <v>39</v>
      </c>
      <c r="G17709">
        <v>0</v>
      </c>
      <c r="H17709">
        <v>3</v>
      </c>
      <c r="I17709">
        <v>145</v>
      </c>
      <c r="J17709">
        <v>1</v>
      </c>
      <c r="K17709">
        <v>2</v>
      </c>
      <c r="L17709">
        <v>144</v>
      </c>
      <c r="M17709">
        <v>1</v>
      </c>
      <c r="N17709">
        <v>8.71544E-59</v>
      </c>
      <c r="O17709">
        <v>566</v>
      </c>
    </row>
    <row r="17710" spans="1:15" x14ac:dyDescent="0.25">
      <c r="A17710" t="s">
        <v>17723</v>
      </c>
      <c r="B17710">
        <v>129</v>
      </c>
      <c r="C17710" s="1" t="str">
        <f>HYPERLINK("http://www.rosaceae.org/gb/gbrowse/malus_x_domestica/?name=MDP0000175555","MDP0000175555")</f>
        <v>MDP0000175555</v>
      </c>
      <c r="D17710">
        <v>70.540000000000006</v>
      </c>
      <c r="E17710">
        <v>129</v>
      </c>
      <c r="F17710">
        <v>38</v>
      </c>
      <c r="G17710">
        <v>0</v>
      </c>
      <c r="H17710">
        <v>1</v>
      </c>
      <c r="I17710">
        <v>129</v>
      </c>
      <c r="J17710">
        <v>1</v>
      </c>
      <c r="K17710">
        <v>1</v>
      </c>
      <c r="L17710">
        <v>129</v>
      </c>
      <c r="M17710">
        <v>1</v>
      </c>
      <c r="N17710">
        <v>2.8106399999999999E-49</v>
      </c>
      <c r="O17710">
        <v>483</v>
      </c>
    </row>
    <row r="17711" spans="1:15" x14ac:dyDescent="0.25">
      <c r="A17711" t="s">
        <v>17724</v>
      </c>
      <c r="B17711">
        <v>474</v>
      </c>
      <c r="C17711" s="1" t="str">
        <f>HYPERLINK("http://www.rosaceae.org/gb/gbrowse/malus_x_domestica/?name=MDP0000260728","MDP0000260728")</f>
        <v>MDP0000260728</v>
      </c>
      <c r="D17711">
        <v>82.64</v>
      </c>
      <c r="E17711">
        <v>461</v>
      </c>
      <c r="F17711">
        <v>80</v>
      </c>
      <c r="G17711">
        <v>0</v>
      </c>
      <c r="H17711">
        <v>1</v>
      </c>
      <c r="I17711">
        <v>461</v>
      </c>
      <c r="J17711">
        <v>1</v>
      </c>
      <c r="K17711">
        <v>75</v>
      </c>
      <c r="L17711">
        <v>535</v>
      </c>
      <c r="M17711">
        <v>1</v>
      </c>
      <c r="N17711">
        <v>0</v>
      </c>
      <c r="O17711">
        <v>1991</v>
      </c>
    </row>
    <row r="17712" spans="1:15" x14ac:dyDescent="0.25">
      <c r="A17712" t="s">
        <v>17725</v>
      </c>
      <c r="B17712">
        <v>224</v>
      </c>
      <c r="C17712" s="1" t="str">
        <f>HYPERLINK("http://www.rosaceae.org/gb/gbrowse/malus_x_domestica/?name=MDP0000205389","MDP0000205389")</f>
        <v>MDP0000205389</v>
      </c>
      <c r="D17712">
        <v>62.13</v>
      </c>
      <c r="E17712">
        <v>169</v>
      </c>
      <c r="F17712">
        <v>64</v>
      </c>
      <c r="G17712">
        <v>5</v>
      </c>
      <c r="H17712">
        <v>2</v>
      </c>
      <c r="I17712">
        <v>170</v>
      </c>
      <c r="J17712">
        <v>1</v>
      </c>
      <c r="K17712">
        <v>38</v>
      </c>
      <c r="L17712">
        <v>201</v>
      </c>
      <c r="M17712">
        <v>1</v>
      </c>
      <c r="N17712">
        <v>4.11574E-53</v>
      </c>
      <c r="O17712">
        <v>520</v>
      </c>
    </row>
    <row r="17713" spans="1:15" x14ac:dyDescent="0.25">
      <c r="A17713" t="s">
        <v>17726</v>
      </c>
      <c r="B17713">
        <v>553</v>
      </c>
      <c r="C17713" s="1" t="str">
        <f>HYPERLINK("http://www.rosaceae.org/gb/gbrowse/malus_x_domestica/?name=MDP0000006479","MDP0000006479")</f>
        <v>MDP0000006479</v>
      </c>
      <c r="D17713">
        <v>54.45</v>
      </c>
      <c r="E17713">
        <v>404</v>
      </c>
      <c r="F17713">
        <v>184</v>
      </c>
      <c r="G17713">
        <v>52</v>
      </c>
      <c r="H17713">
        <v>1</v>
      </c>
      <c r="I17713">
        <v>399</v>
      </c>
      <c r="J17713">
        <v>1</v>
      </c>
      <c r="K17713">
        <v>5</v>
      </c>
      <c r="L17713">
        <v>361</v>
      </c>
      <c r="M17713">
        <v>1</v>
      </c>
      <c r="N17713">
        <v>3.4894199999999999E-100</v>
      </c>
      <c r="O17713">
        <v>931</v>
      </c>
    </row>
    <row r="17714" spans="1:15" x14ac:dyDescent="0.25">
      <c r="A17714" t="s">
        <v>17727</v>
      </c>
      <c r="B17714">
        <v>454</v>
      </c>
      <c r="C17714" s="1" t="str">
        <f>HYPERLINK("http://www.rosaceae.org/gb/gbrowse/malus_x_domestica/?name=MDP0000574641","MDP0000574641")</f>
        <v>MDP0000574641</v>
      </c>
      <c r="D17714">
        <v>59.95</v>
      </c>
      <c r="E17714">
        <v>457</v>
      </c>
      <c r="F17714">
        <v>183</v>
      </c>
      <c r="G17714">
        <v>21</v>
      </c>
      <c r="H17714">
        <v>1</v>
      </c>
      <c r="I17714">
        <v>454</v>
      </c>
      <c r="J17714">
        <v>1</v>
      </c>
      <c r="K17714">
        <v>1</v>
      </c>
      <c r="L17714">
        <v>439</v>
      </c>
      <c r="M17714">
        <v>1</v>
      </c>
      <c r="N17714">
        <v>1.6303300000000001E-145</v>
      </c>
      <c r="O17714">
        <v>1321</v>
      </c>
    </row>
    <row r="17715" spans="1:15" x14ac:dyDescent="0.25">
      <c r="A17715" t="s">
        <v>17728</v>
      </c>
      <c r="B17715">
        <v>157</v>
      </c>
      <c r="C17715" s="1" t="str">
        <f>HYPERLINK("http://www.rosaceae.org/gb/gbrowse/malus_x_domestica/?name=MDP0000830129","MDP0000830129")</f>
        <v>MDP0000830129</v>
      </c>
      <c r="D17715">
        <v>56.02</v>
      </c>
      <c r="E17715">
        <v>141</v>
      </c>
      <c r="F17715">
        <v>62</v>
      </c>
      <c r="G17715">
        <v>7</v>
      </c>
      <c r="H17715">
        <v>17</v>
      </c>
      <c r="I17715">
        <v>157</v>
      </c>
      <c r="J17715">
        <v>1</v>
      </c>
      <c r="K17715">
        <v>23</v>
      </c>
      <c r="L17715">
        <v>156</v>
      </c>
      <c r="M17715">
        <v>1</v>
      </c>
      <c r="N17715">
        <v>8.7694900000000001E-37</v>
      </c>
      <c r="O17715">
        <v>377</v>
      </c>
    </row>
    <row r="17716" spans="1:15" x14ac:dyDescent="0.25">
      <c r="A17716" t="s">
        <v>17729</v>
      </c>
      <c r="B17716">
        <v>628</v>
      </c>
      <c r="C17716" s="1" t="str">
        <f>HYPERLINK("http://www.rosaceae.org/gb/gbrowse/malus_x_domestica/?name=MDP0000299479","MDP0000299479")</f>
        <v>MDP0000299479</v>
      </c>
      <c r="D17716">
        <v>80.78</v>
      </c>
      <c r="E17716">
        <v>406</v>
      </c>
      <c r="F17716">
        <v>78</v>
      </c>
      <c r="G17716">
        <v>0</v>
      </c>
      <c r="H17716">
        <v>1</v>
      </c>
      <c r="I17716">
        <v>406</v>
      </c>
      <c r="J17716">
        <v>1</v>
      </c>
      <c r="K17716">
        <v>1</v>
      </c>
      <c r="L17716">
        <v>406</v>
      </c>
      <c r="M17716">
        <v>1</v>
      </c>
      <c r="N17716">
        <v>0</v>
      </c>
      <c r="O17716">
        <v>1766</v>
      </c>
    </row>
    <row r="17717" spans="1:15" x14ac:dyDescent="0.25">
      <c r="A17717" t="s">
        <v>17730</v>
      </c>
      <c r="B17717">
        <v>1270</v>
      </c>
      <c r="C17717" s="1" t="str">
        <f>HYPERLINK("http://www.rosaceae.org/gb/gbrowse/malus_x_domestica/?name=MDP0000244506","MDP0000244506")</f>
        <v>MDP0000244506</v>
      </c>
      <c r="D17717">
        <v>65.930000000000007</v>
      </c>
      <c r="E17717">
        <v>866</v>
      </c>
      <c r="F17717">
        <v>295</v>
      </c>
      <c r="G17717">
        <v>87</v>
      </c>
      <c r="H17717">
        <v>437</v>
      </c>
      <c r="I17717">
        <v>1270</v>
      </c>
      <c r="J17717">
        <v>1</v>
      </c>
      <c r="K17717">
        <v>190</v>
      </c>
      <c r="L17717">
        <v>1000</v>
      </c>
      <c r="M17717">
        <v>1</v>
      </c>
      <c r="N17717">
        <v>0</v>
      </c>
      <c r="O17717">
        <v>2708</v>
      </c>
    </row>
    <row r="17718" spans="1:15" x14ac:dyDescent="0.25">
      <c r="A17718" t="s">
        <v>17731</v>
      </c>
      <c r="B17718">
        <v>213</v>
      </c>
      <c r="C17718" s="1" t="str">
        <f>HYPERLINK("http://www.rosaceae.org/gb/gbrowse/malus_x_domestica/?name=MDP0000875481","MDP0000875481")</f>
        <v>MDP0000875481</v>
      </c>
      <c r="D17718">
        <v>51.7</v>
      </c>
      <c r="E17718">
        <v>147</v>
      </c>
      <c r="F17718">
        <v>71</v>
      </c>
      <c r="G17718">
        <v>1</v>
      </c>
      <c r="H17718">
        <v>43</v>
      </c>
      <c r="I17718">
        <v>188</v>
      </c>
      <c r="J17718">
        <v>1</v>
      </c>
      <c r="K17718">
        <v>44</v>
      </c>
      <c r="L17718">
        <v>190</v>
      </c>
      <c r="M17718">
        <v>1</v>
      </c>
      <c r="N17718">
        <v>2.1257100000000001E-40</v>
      </c>
      <c r="O17718">
        <v>410</v>
      </c>
    </row>
    <row r="17719" spans="1:15" x14ac:dyDescent="0.25">
      <c r="A17719" t="s">
        <v>17732</v>
      </c>
      <c r="B17719">
        <v>312</v>
      </c>
      <c r="C17719" s="1" t="str">
        <f>HYPERLINK("http://www.rosaceae.org/gb/gbrowse/malus_x_domestica/?name=MDP0000193145","MDP0000193145")</f>
        <v>MDP0000193145</v>
      </c>
      <c r="D17719">
        <v>73.260000000000005</v>
      </c>
      <c r="E17719">
        <v>288</v>
      </c>
      <c r="F17719">
        <v>77</v>
      </c>
      <c r="G17719">
        <v>4</v>
      </c>
      <c r="H17719">
        <v>25</v>
      </c>
      <c r="I17719">
        <v>312</v>
      </c>
      <c r="J17719">
        <v>1</v>
      </c>
      <c r="K17719">
        <v>465</v>
      </c>
      <c r="L17719">
        <v>748</v>
      </c>
      <c r="M17719">
        <v>1</v>
      </c>
      <c r="N17719">
        <v>2.7286300000000001E-125</v>
      </c>
      <c r="O17719">
        <v>1145</v>
      </c>
    </row>
    <row r="17720" spans="1:15" x14ac:dyDescent="0.25">
      <c r="A17720" t="s">
        <v>17733</v>
      </c>
      <c r="B17720">
        <v>390</v>
      </c>
      <c r="C17720" s="1" t="str">
        <f>HYPERLINK("http://www.rosaceae.org/gb/gbrowse/malus_x_domestica/?name=MDP0000233598","MDP0000233598")</f>
        <v>MDP0000233598</v>
      </c>
      <c r="D17720">
        <v>25.13</v>
      </c>
      <c r="E17720">
        <v>183</v>
      </c>
      <c r="F17720">
        <v>137</v>
      </c>
      <c r="G17720">
        <v>3</v>
      </c>
      <c r="H17720">
        <v>46</v>
      </c>
      <c r="I17720">
        <v>225</v>
      </c>
      <c r="J17720">
        <v>1</v>
      </c>
      <c r="K17720">
        <v>276</v>
      </c>
      <c r="L17720">
        <v>458</v>
      </c>
      <c r="M17720">
        <v>1</v>
      </c>
      <c r="N17720">
        <v>5.6049799999999996E-10</v>
      </c>
      <c r="O17720">
        <v>151</v>
      </c>
    </row>
    <row r="17721" spans="1:15" x14ac:dyDescent="0.25">
      <c r="A17721" t="s">
        <v>17734</v>
      </c>
      <c r="B17721">
        <v>479</v>
      </c>
      <c r="C17721" s="1" t="str">
        <f>HYPERLINK("http://www.rosaceae.org/gb/gbrowse/malus_x_domestica/?name=MDP0000405003","MDP0000405003")</f>
        <v>MDP0000405003</v>
      </c>
      <c r="D17721">
        <v>64.95</v>
      </c>
      <c r="E17721">
        <v>488</v>
      </c>
      <c r="F17721">
        <v>171</v>
      </c>
      <c r="G17721">
        <v>18</v>
      </c>
      <c r="H17721">
        <v>1</v>
      </c>
      <c r="I17721">
        <v>470</v>
      </c>
      <c r="J17721">
        <v>1</v>
      </c>
      <c r="K17721">
        <v>1</v>
      </c>
      <c r="L17721">
        <v>488</v>
      </c>
      <c r="M17721">
        <v>1</v>
      </c>
      <c r="N17721">
        <v>1.98127E-173</v>
      </c>
      <c r="O17721">
        <v>1562</v>
      </c>
    </row>
    <row r="17722" spans="1:15" x14ac:dyDescent="0.25">
      <c r="A17722" t="s">
        <v>17735</v>
      </c>
      <c r="B17722">
        <v>186</v>
      </c>
      <c r="C17722" s="1" t="str">
        <f>HYPERLINK("http://www.rosaceae.org/gb/gbrowse/malus_x_domestica/?name=MDP0000144730","MDP0000144730")</f>
        <v>MDP0000144730</v>
      </c>
      <c r="D17722">
        <v>63.26</v>
      </c>
      <c r="E17722">
        <v>98</v>
      </c>
      <c r="F17722">
        <v>36</v>
      </c>
      <c r="G17722">
        <v>0</v>
      </c>
      <c r="H17722">
        <v>1</v>
      </c>
      <c r="I17722">
        <v>98</v>
      </c>
      <c r="J17722">
        <v>1</v>
      </c>
      <c r="K17722">
        <v>564</v>
      </c>
      <c r="L17722">
        <v>661</v>
      </c>
      <c r="M17722">
        <v>1</v>
      </c>
      <c r="N17722">
        <v>9.6689400000000002E-30</v>
      </c>
      <c r="O17722">
        <v>318</v>
      </c>
    </row>
    <row r="17723" spans="1:15" x14ac:dyDescent="0.25">
      <c r="A17723" t="s">
        <v>17736</v>
      </c>
      <c r="B17723">
        <v>671</v>
      </c>
      <c r="C17723" s="1" t="str">
        <f>HYPERLINK("http://www.rosaceae.org/gb/gbrowse/malus_x_domestica/?name=MDP0000134185","MDP0000134185")</f>
        <v>MDP0000134185</v>
      </c>
      <c r="D17723">
        <v>61.13</v>
      </c>
      <c r="E17723">
        <v>651</v>
      </c>
      <c r="F17723">
        <v>253</v>
      </c>
      <c r="G17723">
        <v>55</v>
      </c>
      <c r="H17723">
        <v>1</v>
      </c>
      <c r="I17723">
        <v>650</v>
      </c>
      <c r="J17723">
        <v>1</v>
      </c>
      <c r="K17723">
        <v>1</v>
      </c>
      <c r="L17723">
        <v>597</v>
      </c>
      <c r="M17723">
        <v>1</v>
      </c>
      <c r="N17723">
        <v>0</v>
      </c>
      <c r="O17723">
        <v>1956</v>
      </c>
    </row>
    <row r="17724" spans="1:15" x14ac:dyDescent="0.25">
      <c r="A17724" t="s">
        <v>17737</v>
      </c>
      <c r="B17724">
        <v>566</v>
      </c>
      <c r="C17724" s="1" t="str">
        <f>HYPERLINK("http://www.rosaceae.org/gb/gbrowse/malus_x_domestica/?name=MDP0000240772","MDP0000240772")</f>
        <v>MDP0000240772</v>
      </c>
      <c r="D17724">
        <v>78.489999999999995</v>
      </c>
      <c r="E17724">
        <v>558</v>
      </c>
      <c r="F17724">
        <v>120</v>
      </c>
      <c r="G17724">
        <v>32</v>
      </c>
      <c r="H17724">
        <v>41</v>
      </c>
      <c r="I17724">
        <v>566</v>
      </c>
      <c r="J17724">
        <v>1</v>
      </c>
      <c r="K17724">
        <v>195</v>
      </c>
      <c r="L17724">
        <v>752</v>
      </c>
      <c r="M17724">
        <v>1</v>
      </c>
      <c r="N17724">
        <v>0</v>
      </c>
      <c r="O17724">
        <v>2401</v>
      </c>
    </row>
    <row r="17725" spans="1:15" x14ac:dyDescent="0.25">
      <c r="A17725" t="s">
        <v>17738</v>
      </c>
      <c r="B17725">
        <v>583</v>
      </c>
      <c r="C17725" s="1" t="str">
        <f>HYPERLINK("http://www.rosaceae.org/gb/gbrowse/malus_x_domestica/?name=MDP0000208410","MDP0000208410")</f>
        <v>MDP0000208410</v>
      </c>
      <c r="D17725">
        <v>66.599999999999994</v>
      </c>
      <c r="E17725">
        <v>581</v>
      </c>
      <c r="F17725">
        <v>194</v>
      </c>
      <c r="G17725">
        <v>45</v>
      </c>
      <c r="H17725">
        <v>7</v>
      </c>
      <c r="I17725">
        <v>583</v>
      </c>
      <c r="J17725">
        <v>1</v>
      </c>
      <c r="K17725">
        <v>72</v>
      </c>
      <c r="L17725">
        <v>611</v>
      </c>
      <c r="M17725">
        <v>1</v>
      </c>
      <c r="N17725">
        <v>0</v>
      </c>
      <c r="O17725">
        <v>1936</v>
      </c>
    </row>
    <row r="17726" spans="1:15" x14ac:dyDescent="0.25">
      <c r="A17726" t="s">
        <v>17739</v>
      </c>
      <c r="B17726">
        <v>838</v>
      </c>
      <c r="C17726" s="1" t="str">
        <f>HYPERLINK("http://www.rosaceae.org/gb/gbrowse/malus_x_domestica/?name=MDP0000311145","MDP0000311145")</f>
        <v>MDP0000311145</v>
      </c>
      <c r="D17726">
        <v>75.67</v>
      </c>
      <c r="E17726">
        <v>818</v>
      </c>
      <c r="F17726">
        <v>199</v>
      </c>
      <c r="G17726">
        <v>24</v>
      </c>
      <c r="H17726">
        <v>14</v>
      </c>
      <c r="I17726">
        <v>812</v>
      </c>
      <c r="J17726">
        <v>1</v>
      </c>
      <c r="K17726">
        <v>74</v>
      </c>
      <c r="L17726">
        <v>886</v>
      </c>
      <c r="M17726">
        <v>1</v>
      </c>
      <c r="N17726">
        <v>0</v>
      </c>
      <c r="O17726">
        <v>3165</v>
      </c>
    </row>
    <row r="17727" spans="1:15" x14ac:dyDescent="0.25">
      <c r="A17727" t="s">
        <v>17740</v>
      </c>
      <c r="B17727">
        <v>859</v>
      </c>
      <c r="C17727" s="1" t="str">
        <f>HYPERLINK("http://www.rosaceae.org/gb/gbrowse/malus_x_domestica/?name=MDP0000287459","MDP0000287459")</f>
        <v>MDP0000287459</v>
      </c>
      <c r="D17727">
        <v>73.09</v>
      </c>
      <c r="E17727">
        <v>342</v>
      </c>
      <c r="F17727">
        <v>92</v>
      </c>
      <c r="G17727">
        <v>13</v>
      </c>
      <c r="H17727">
        <v>6</v>
      </c>
      <c r="I17727">
        <v>337</v>
      </c>
      <c r="J17727">
        <v>1</v>
      </c>
      <c r="K17727">
        <v>93</v>
      </c>
      <c r="L17727">
        <v>431</v>
      </c>
      <c r="M17727">
        <v>1</v>
      </c>
      <c r="N17727">
        <v>9.4508199999999996E-145</v>
      </c>
      <c r="O17727">
        <v>1317</v>
      </c>
    </row>
    <row r="17728" spans="1:15" x14ac:dyDescent="0.25">
      <c r="A17728" t="s">
        <v>17741</v>
      </c>
      <c r="B17728">
        <v>610</v>
      </c>
      <c r="C17728" s="1" t="str">
        <f>HYPERLINK("http://www.rosaceae.org/gb/gbrowse/malus_x_domestica/?name=MDP0000131693","MDP0000131693")</f>
        <v>MDP0000131693</v>
      </c>
      <c r="D17728">
        <v>54.8</v>
      </c>
      <c r="E17728">
        <v>604</v>
      </c>
      <c r="F17728">
        <v>273</v>
      </c>
      <c r="G17728">
        <v>23</v>
      </c>
      <c r="H17728">
        <v>1</v>
      </c>
      <c r="I17728">
        <v>590</v>
      </c>
      <c r="J17728">
        <v>1</v>
      </c>
      <c r="K17728">
        <v>1</v>
      </c>
      <c r="L17728">
        <v>595</v>
      </c>
      <c r="M17728">
        <v>1</v>
      </c>
      <c r="N17728">
        <v>1.1707500000000001E-168</v>
      </c>
      <c r="O17728">
        <v>1522</v>
      </c>
    </row>
    <row r="17729" spans="1:15" x14ac:dyDescent="0.25">
      <c r="A17729" t="s">
        <v>17742</v>
      </c>
      <c r="B17729">
        <v>477</v>
      </c>
      <c r="C17729" s="1" t="str">
        <f>HYPERLINK("http://www.rosaceae.org/gb/gbrowse/malus_x_domestica/?name=MDP0000213948","MDP0000213948")</f>
        <v>MDP0000213948</v>
      </c>
      <c r="D17729">
        <v>69.41</v>
      </c>
      <c r="E17729">
        <v>497</v>
      </c>
      <c r="F17729">
        <v>152</v>
      </c>
      <c r="G17729">
        <v>23</v>
      </c>
      <c r="H17729">
        <v>1</v>
      </c>
      <c r="I17729">
        <v>476</v>
      </c>
      <c r="J17729">
        <v>1</v>
      </c>
      <c r="K17729">
        <v>1</v>
      </c>
      <c r="L17729">
        <v>495</v>
      </c>
      <c r="M17729">
        <v>1</v>
      </c>
      <c r="N17729">
        <v>0</v>
      </c>
      <c r="O17729">
        <v>1761</v>
      </c>
    </row>
    <row r="17730" spans="1:15" x14ac:dyDescent="0.25">
      <c r="A17730" t="s">
        <v>17743</v>
      </c>
      <c r="B17730">
        <v>477</v>
      </c>
      <c r="C17730" s="1" t="str">
        <f>HYPERLINK("http://www.rosaceae.org/gb/gbrowse/malus_x_domestica/?name=MDP0000279052","MDP0000279052")</f>
        <v>MDP0000279052</v>
      </c>
      <c r="D17730">
        <v>70.180000000000007</v>
      </c>
      <c r="E17730">
        <v>265</v>
      </c>
      <c r="F17730">
        <v>79</v>
      </c>
      <c r="G17730">
        <v>5</v>
      </c>
      <c r="H17730">
        <v>79</v>
      </c>
      <c r="I17730">
        <v>338</v>
      </c>
      <c r="J17730">
        <v>1</v>
      </c>
      <c r="K17730">
        <v>74</v>
      </c>
      <c r="L17730">
        <v>338</v>
      </c>
      <c r="M17730">
        <v>1</v>
      </c>
      <c r="N17730">
        <v>1.16714E-109</v>
      </c>
      <c r="O17730">
        <v>1012</v>
      </c>
    </row>
    <row r="17731" spans="1:15" x14ac:dyDescent="0.25">
      <c r="A17731" t="s">
        <v>17744</v>
      </c>
      <c r="B17731">
        <v>429</v>
      </c>
      <c r="C17731" s="1" t="str">
        <f>HYPERLINK("http://www.rosaceae.org/gb/gbrowse/malus_x_domestica/?name=MDP0000299496","MDP0000299496")</f>
        <v>MDP0000299496</v>
      </c>
      <c r="D17731">
        <v>42.38</v>
      </c>
      <c r="E17731">
        <v>210</v>
      </c>
      <c r="F17731">
        <v>121</v>
      </c>
      <c r="G17731">
        <v>14</v>
      </c>
      <c r="H17731">
        <v>25</v>
      </c>
      <c r="I17731">
        <v>224</v>
      </c>
      <c r="J17731">
        <v>1</v>
      </c>
      <c r="K17731">
        <v>552</v>
      </c>
      <c r="L17731">
        <v>757</v>
      </c>
      <c r="M17731">
        <v>1</v>
      </c>
      <c r="N17731">
        <v>3.8623599999999999E-44</v>
      </c>
      <c r="O17731">
        <v>446</v>
      </c>
    </row>
    <row r="17732" spans="1:15" x14ac:dyDescent="0.25">
      <c r="A17732" t="s">
        <v>17745</v>
      </c>
      <c r="B17732">
        <v>294</v>
      </c>
      <c r="C17732" s="1" t="str">
        <f>HYPERLINK("http://www.rosaceae.org/gb/gbrowse/malus_x_domestica/?name=MDP0000181544","MDP0000181544")</f>
        <v>MDP0000181544</v>
      </c>
      <c r="D17732">
        <v>84.13</v>
      </c>
      <c r="E17732">
        <v>290</v>
      </c>
      <c r="F17732">
        <v>46</v>
      </c>
      <c r="G17732">
        <v>0</v>
      </c>
      <c r="H17732">
        <v>5</v>
      </c>
      <c r="I17732">
        <v>294</v>
      </c>
      <c r="J17732">
        <v>1</v>
      </c>
      <c r="K17732">
        <v>11</v>
      </c>
      <c r="L17732">
        <v>300</v>
      </c>
      <c r="M17732">
        <v>1</v>
      </c>
      <c r="N17732">
        <v>4.9882099999999999E-151</v>
      </c>
      <c r="O17732">
        <v>1366</v>
      </c>
    </row>
    <row r="17733" spans="1:15" x14ac:dyDescent="0.25">
      <c r="A17733" t="s">
        <v>17746</v>
      </c>
      <c r="B17733">
        <v>237</v>
      </c>
      <c r="C17733" s="1" t="str">
        <f>HYPERLINK("http://www.rosaceae.org/gb/gbrowse/malus_x_domestica/?name=MDP0000499104","MDP0000499104")</f>
        <v>MDP0000499104</v>
      </c>
      <c r="D17733">
        <v>80.78</v>
      </c>
      <c r="E17733">
        <v>203</v>
      </c>
      <c r="F17733">
        <v>39</v>
      </c>
      <c r="G17733">
        <v>2</v>
      </c>
      <c r="H17733">
        <v>35</v>
      </c>
      <c r="I17733">
        <v>236</v>
      </c>
      <c r="J17733">
        <v>1</v>
      </c>
      <c r="K17733">
        <v>34</v>
      </c>
      <c r="L17733">
        <v>235</v>
      </c>
      <c r="M17733">
        <v>1</v>
      </c>
      <c r="N17733">
        <v>1.15294E-95</v>
      </c>
      <c r="O17733">
        <v>888</v>
      </c>
    </row>
    <row r="17734" spans="1:15" x14ac:dyDescent="0.25">
      <c r="A17734" t="s">
        <v>17747</v>
      </c>
      <c r="B17734">
        <v>849</v>
      </c>
      <c r="C17734" s="1" t="str">
        <f>HYPERLINK("http://www.rosaceae.org/gb/gbrowse/malus_x_domestica/?name=MDP0000250124","MDP0000250124")</f>
        <v>MDP0000250124</v>
      </c>
      <c r="D17734">
        <v>81.569999999999993</v>
      </c>
      <c r="E17734">
        <v>304</v>
      </c>
      <c r="F17734">
        <v>56</v>
      </c>
      <c r="G17734">
        <v>6</v>
      </c>
      <c r="H17734">
        <v>537</v>
      </c>
      <c r="I17734">
        <v>837</v>
      </c>
      <c r="J17734">
        <v>1</v>
      </c>
      <c r="K17734">
        <v>265</v>
      </c>
      <c r="L17734">
        <v>565</v>
      </c>
      <c r="M17734">
        <v>1</v>
      </c>
      <c r="N17734">
        <v>4.9413099999999998E-148</v>
      </c>
      <c r="O17734">
        <v>1345</v>
      </c>
    </row>
    <row r="17735" spans="1:15" x14ac:dyDescent="0.25">
      <c r="A17735" t="s">
        <v>17748</v>
      </c>
      <c r="B17735">
        <v>482</v>
      </c>
      <c r="C17735" s="1" t="str">
        <f>HYPERLINK("http://www.rosaceae.org/gb/gbrowse/malus_x_domestica/?name=MDP0000224540","MDP0000224540")</f>
        <v>MDP0000224540</v>
      </c>
      <c r="D17735">
        <v>73.61</v>
      </c>
      <c r="E17735">
        <v>72</v>
      </c>
      <c r="F17735">
        <v>19</v>
      </c>
      <c r="G17735">
        <v>0</v>
      </c>
      <c r="H17735">
        <v>168</v>
      </c>
      <c r="I17735">
        <v>239</v>
      </c>
      <c r="J17735">
        <v>1</v>
      </c>
      <c r="K17735">
        <v>117</v>
      </c>
      <c r="L17735">
        <v>188</v>
      </c>
      <c r="M17735">
        <v>1</v>
      </c>
      <c r="N17735">
        <v>1.1144000000000001E-27</v>
      </c>
      <c r="O17735">
        <v>305</v>
      </c>
    </row>
    <row r="17736" spans="1:15" x14ac:dyDescent="0.25">
      <c r="A17736" t="s">
        <v>17749</v>
      </c>
      <c r="B17736">
        <v>433</v>
      </c>
      <c r="C17736" s="1" t="str">
        <f>HYPERLINK("http://www.rosaceae.org/gb/gbrowse/malus_x_domestica/?name=MDP0000247368","MDP0000247368")</f>
        <v>MDP0000247368</v>
      </c>
      <c r="D17736">
        <v>69.66</v>
      </c>
      <c r="E17736">
        <v>445</v>
      </c>
      <c r="F17736">
        <v>135</v>
      </c>
      <c r="G17736">
        <v>20</v>
      </c>
      <c r="H17736">
        <v>1</v>
      </c>
      <c r="I17736">
        <v>433</v>
      </c>
      <c r="J17736">
        <v>1</v>
      </c>
      <c r="K17736">
        <v>1</v>
      </c>
      <c r="L17736">
        <v>437</v>
      </c>
      <c r="M17736">
        <v>1</v>
      </c>
      <c r="N17736">
        <v>4.4971199999999997E-166</v>
      </c>
      <c r="O17736">
        <v>1498</v>
      </c>
    </row>
    <row r="17737" spans="1:15" x14ac:dyDescent="0.25">
      <c r="A17737" t="s">
        <v>17750</v>
      </c>
      <c r="B17737">
        <v>249</v>
      </c>
      <c r="C17737" s="1" t="str">
        <f>HYPERLINK("http://www.rosaceae.org/gb/gbrowse/malus_x_domestica/?name=MDP0000916930","MDP0000916930")</f>
        <v>MDP0000916930</v>
      </c>
      <c r="D17737">
        <v>66</v>
      </c>
      <c r="E17737">
        <v>250</v>
      </c>
      <c r="F17737">
        <v>85</v>
      </c>
      <c r="G17737">
        <v>5</v>
      </c>
      <c r="H17737">
        <v>1</v>
      </c>
      <c r="I17737">
        <v>249</v>
      </c>
      <c r="J17737">
        <v>1</v>
      </c>
      <c r="K17737">
        <v>3</v>
      </c>
      <c r="L17737">
        <v>248</v>
      </c>
      <c r="M17737">
        <v>1</v>
      </c>
      <c r="N17737">
        <v>2.1387899999999999E-88</v>
      </c>
      <c r="O17737">
        <v>825</v>
      </c>
    </row>
    <row r="17738" spans="1:15" x14ac:dyDescent="0.25">
      <c r="A17738" t="s">
        <v>17751</v>
      </c>
      <c r="B17738">
        <v>318</v>
      </c>
      <c r="C17738" s="1" t="str">
        <f>HYPERLINK("http://www.rosaceae.org/gb/gbrowse/malus_x_domestica/?name=MDP0000238262","MDP0000238262")</f>
        <v>MDP0000238262</v>
      </c>
      <c r="D17738">
        <v>79.739999999999995</v>
      </c>
      <c r="E17738">
        <v>316</v>
      </c>
      <c r="F17738">
        <v>64</v>
      </c>
      <c r="G17738">
        <v>2</v>
      </c>
      <c r="H17738">
        <v>1</v>
      </c>
      <c r="I17738">
        <v>316</v>
      </c>
      <c r="J17738">
        <v>1</v>
      </c>
      <c r="K17738">
        <v>5</v>
      </c>
      <c r="L17738">
        <v>318</v>
      </c>
      <c r="M17738">
        <v>1</v>
      </c>
      <c r="N17738">
        <v>1.9393800000000001E-134</v>
      </c>
      <c r="O17738">
        <v>1224</v>
      </c>
    </row>
    <row r="17739" spans="1:15" x14ac:dyDescent="0.25">
      <c r="A17739" t="s">
        <v>17752</v>
      </c>
      <c r="B17739">
        <v>388</v>
      </c>
      <c r="C17739" s="1" t="str">
        <f>HYPERLINK("http://www.rosaceae.org/gb/gbrowse/malus_x_domestica/?name=MDP0000299496","MDP0000299496")</f>
        <v>MDP0000299496</v>
      </c>
      <c r="D17739">
        <v>31.45</v>
      </c>
      <c r="E17739">
        <v>124</v>
      </c>
      <c r="F17739">
        <v>85</v>
      </c>
      <c r="G17739">
        <v>2</v>
      </c>
      <c r="H17739">
        <v>52</v>
      </c>
      <c r="I17739">
        <v>175</v>
      </c>
      <c r="J17739">
        <v>1</v>
      </c>
      <c r="K17739">
        <v>433</v>
      </c>
      <c r="L17739">
        <v>554</v>
      </c>
      <c r="M17739">
        <v>1</v>
      </c>
      <c r="N17739">
        <v>6.7391900000000001E-12</v>
      </c>
      <c r="O17739">
        <v>168</v>
      </c>
    </row>
    <row r="17740" spans="1:15" x14ac:dyDescent="0.25">
      <c r="A17740" t="s">
        <v>17753</v>
      </c>
      <c r="B17740">
        <v>743</v>
      </c>
      <c r="C17740" s="1" t="str">
        <f>HYPERLINK("http://www.rosaceae.org/gb/gbrowse/malus_x_domestica/?name=MDP0000517028","MDP0000517028")</f>
        <v>MDP0000517028</v>
      </c>
      <c r="D17740">
        <v>62.6</v>
      </c>
      <c r="E17740">
        <v>714</v>
      </c>
      <c r="F17740">
        <v>267</v>
      </c>
      <c r="G17740">
        <v>35</v>
      </c>
      <c r="H17740">
        <v>5</v>
      </c>
      <c r="I17740">
        <v>710</v>
      </c>
      <c r="J17740">
        <v>1</v>
      </c>
      <c r="K17740">
        <v>3</v>
      </c>
      <c r="L17740">
        <v>689</v>
      </c>
      <c r="M17740">
        <v>1</v>
      </c>
      <c r="N17740">
        <v>0</v>
      </c>
      <c r="O17740">
        <v>2300</v>
      </c>
    </row>
    <row r="17741" spans="1:15" x14ac:dyDescent="0.25">
      <c r="A17741" t="s">
        <v>17754</v>
      </c>
      <c r="B17741">
        <v>377</v>
      </c>
      <c r="C17741" s="1" t="str">
        <f>HYPERLINK("http://www.rosaceae.org/gb/gbrowse/malus_x_domestica/?name=MDP0000272603","MDP0000272603")</f>
        <v>MDP0000272603</v>
      </c>
      <c r="D17741">
        <v>42.66</v>
      </c>
      <c r="E17741">
        <v>300</v>
      </c>
      <c r="F17741">
        <v>172</v>
      </c>
      <c r="G17741">
        <v>18</v>
      </c>
      <c r="H17741">
        <v>2</v>
      </c>
      <c r="I17741">
        <v>292</v>
      </c>
      <c r="J17741">
        <v>1</v>
      </c>
      <c r="K17741">
        <v>468</v>
      </c>
      <c r="L17741">
        <v>758</v>
      </c>
      <c r="M17741">
        <v>1</v>
      </c>
      <c r="N17741">
        <v>1.3747299999999999E-63</v>
      </c>
      <c r="O17741">
        <v>614</v>
      </c>
    </row>
    <row r="17742" spans="1:15" x14ac:dyDescent="0.25">
      <c r="A17742" t="s">
        <v>17755</v>
      </c>
      <c r="B17742">
        <v>329</v>
      </c>
      <c r="C17742" s="1" t="str">
        <f>HYPERLINK("http://www.rosaceae.org/gb/gbrowse/malus_x_domestica/?name=MDP0000264412","MDP0000264412")</f>
        <v>MDP0000264412</v>
      </c>
      <c r="D17742">
        <v>74.92</v>
      </c>
      <c r="E17742">
        <v>331</v>
      </c>
      <c r="F17742">
        <v>83</v>
      </c>
      <c r="G17742">
        <v>4</v>
      </c>
      <c r="H17742">
        <v>2</v>
      </c>
      <c r="I17742">
        <v>328</v>
      </c>
      <c r="J17742">
        <v>1</v>
      </c>
      <c r="K17742">
        <v>3</v>
      </c>
      <c r="L17742">
        <v>333</v>
      </c>
      <c r="M17742">
        <v>1</v>
      </c>
      <c r="N17742">
        <v>6.5440299999999997E-141</v>
      </c>
      <c r="O17742">
        <v>1280</v>
      </c>
    </row>
    <row r="17743" spans="1:15" x14ac:dyDescent="0.25">
      <c r="A17743" t="s">
        <v>17756</v>
      </c>
      <c r="B17743">
        <v>710</v>
      </c>
      <c r="C17743" s="1" t="str">
        <f>HYPERLINK("http://www.rosaceae.org/gb/gbrowse/malus_x_domestica/?name=MDP0000247850","MDP0000247850")</f>
        <v>MDP0000247850</v>
      </c>
      <c r="D17743">
        <v>73.11</v>
      </c>
      <c r="E17743">
        <v>729</v>
      </c>
      <c r="F17743">
        <v>196</v>
      </c>
      <c r="G17743">
        <v>20</v>
      </c>
      <c r="H17743">
        <v>1</v>
      </c>
      <c r="I17743">
        <v>710</v>
      </c>
      <c r="J17743">
        <v>1</v>
      </c>
      <c r="K17743">
        <v>1</v>
      </c>
      <c r="L17743">
        <v>728</v>
      </c>
      <c r="M17743">
        <v>1</v>
      </c>
      <c r="N17743">
        <v>0</v>
      </c>
      <c r="O17743">
        <v>2592</v>
      </c>
    </row>
    <row r="17744" spans="1:15" x14ac:dyDescent="0.25">
      <c r="A17744" t="s">
        <v>17757</v>
      </c>
      <c r="B17744">
        <v>1338</v>
      </c>
      <c r="C17744" s="1" t="str">
        <f>HYPERLINK("http://www.rosaceae.org/gb/gbrowse/malus_x_domestica/?name=MDP0000125671","MDP0000125671")</f>
        <v>MDP0000125671</v>
      </c>
      <c r="D17744">
        <v>50.46</v>
      </c>
      <c r="E17744">
        <v>214</v>
      </c>
      <c r="F17744">
        <v>106</v>
      </c>
      <c r="G17744">
        <v>24</v>
      </c>
      <c r="H17744">
        <v>3</v>
      </c>
      <c r="I17744">
        <v>216</v>
      </c>
      <c r="J17744">
        <v>1</v>
      </c>
      <c r="K17744">
        <v>263</v>
      </c>
      <c r="L17744">
        <v>452</v>
      </c>
      <c r="M17744">
        <v>1</v>
      </c>
      <c r="N17744">
        <v>4.9948599999999999E-46</v>
      </c>
      <c r="O17744">
        <v>468</v>
      </c>
    </row>
    <row r="17745" spans="1:15" x14ac:dyDescent="0.25">
      <c r="A17745" t="s">
        <v>17758</v>
      </c>
      <c r="B17745">
        <v>316</v>
      </c>
      <c r="C17745" s="1" t="str">
        <f>HYPERLINK("http://www.rosaceae.org/gb/gbrowse/malus_x_domestica/?name=MDP0000427068","MDP0000427068")</f>
        <v>MDP0000427068</v>
      </c>
      <c r="D17745">
        <v>28.51</v>
      </c>
      <c r="E17745">
        <v>242</v>
      </c>
      <c r="F17745">
        <v>173</v>
      </c>
      <c r="G17745">
        <v>62</v>
      </c>
      <c r="H17745">
        <v>101</v>
      </c>
      <c r="I17745">
        <v>315</v>
      </c>
      <c r="J17745">
        <v>1</v>
      </c>
      <c r="K17745">
        <v>235</v>
      </c>
      <c r="L17745">
        <v>441</v>
      </c>
      <c r="M17745">
        <v>1</v>
      </c>
      <c r="N17745">
        <v>2.8234500000000002E-15</v>
      </c>
      <c r="O17745">
        <v>196</v>
      </c>
    </row>
    <row r="17746" spans="1:15" x14ac:dyDescent="0.25">
      <c r="A17746" t="s">
        <v>17759</v>
      </c>
      <c r="B17746">
        <v>535</v>
      </c>
      <c r="C17746" s="1" t="str">
        <f>HYPERLINK("http://www.rosaceae.org/gb/gbrowse/malus_x_domestica/?name=MDP0000170251","MDP0000170251")</f>
        <v>MDP0000170251</v>
      </c>
      <c r="D17746">
        <v>44.59</v>
      </c>
      <c r="E17746">
        <v>305</v>
      </c>
      <c r="F17746">
        <v>169</v>
      </c>
      <c r="G17746">
        <v>36</v>
      </c>
      <c r="H17746">
        <v>36</v>
      </c>
      <c r="I17746">
        <v>338</v>
      </c>
      <c r="J17746">
        <v>1</v>
      </c>
      <c r="K17746">
        <v>403</v>
      </c>
      <c r="L17746">
        <v>673</v>
      </c>
      <c r="M17746">
        <v>1</v>
      </c>
      <c r="N17746">
        <v>9.2804500000000004E-58</v>
      </c>
      <c r="O17746">
        <v>565</v>
      </c>
    </row>
    <row r="17747" spans="1:15" x14ac:dyDescent="0.25">
      <c r="A17747" t="s">
        <v>17760</v>
      </c>
      <c r="B17747">
        <v>296</v>
      </c>
      <c r="C17747" s="1" t="str">
        <f>HYPERLINK("http://www.rosaceae.org/gb/gbrowse/malus_x_domestica/?name=MDP0000907752","MDP0000907752")</f>
        <v>MDP0000907752</v>
      </c>
      <c r="D17747">
        <v>61.66</v>
      </c>
      <c r="E17747">
        <v>300</v>
      </c>
      <c r="F17747">
        <v>115</v>
      </c>
      <c r="G17747">
        <v>6</v>
      </c>
      <c r="H17747">
        <v>1</v>
      </c>
      <c r="I17747">
        <v>295</v>
      </c>
      <c r="J17747">
        <v>1</v>
      </c>
      <c r="K17747">
        <v>1</v>
      </c>
      <c r="L17747">
        <v>299</v>
      </c>
      <c r="M17747">
        <v>1</v>
      </c>
      <c r="N17747">
        <v>2.5373299999999999E-101</v>
      </c>
      <c r="O17747">
        <v>938</v>
      </c>
    </row>
    <row r="17748" spans="1:15" x14ac:dyDescent="0.25">
      <c r="A17748" t="s">
        <v>17761</v>
      </c>
      <c r="B17748">
        <v>194</v>
      </c>
      <c r="C17748" s="1" t="str">
        <f>HYPERLINK("http://www.rosaceae.org/gb/gbrowse/malus_x_domestica/?name=MDP0000613561","MDP0000613561")</f>
        <v>MDP0000613561</v>
      </c>
      <c r="D17748">
        <v>53.21</v>
      </c>
      <c r="E17748">
        <v>109</v>
      </c>
      <c r="F17748">
        <v>51</v>
      </c>
      <c r="G17748">
        <v>18</v>
      </c>
      <c r="H17748">
        <v>82</v>
      </c>
      <c r="I17748">
        <v>190</v>
      </c>
      <c r="J17748">
        <v>1</v>
      </c>
      <c r="K17748">
        <v>1</v>
      </c>
      <c r="L17748">
        <v>91</v>
      </c>
      <c r="M17748">
        <v>1</v>
      </c>
      <c r="N17748">
        <v>3.8578699999999998E-23</v>
      </c>
      <c r="O17748">
        <v>261</v>
      </c>
    </row>
    <row r="17749" spans="1:15" x14ac:dyDescent="0.25">
      <c r="A17749" t="s">
        <v>17762</v>
      </c>
      <c r="B17749">
        <v>765</v>
      </c>
      <c r="C17749" s="1" t="str">
        <f>HYPERLINK("http://www.rosaceae.org/gb/gbrowse/malus_x_domestica/?name=MDP0000288212","MDP0000288212")</f>
        <v>MDP0000288212</v>
      </c>
      <c r="D17749">
        <v>73</v>
      </c>
      <c r="E17749">
        <v>700</v>
      </c>
      <c r="F17749">
        <v>189</v>
      </c>
      <c r="G17749">
        <v>26</v>
      </c>
      <c r="H17749">
        <v>1</v>
      </c>
      <c r="I17749">
        <v>676</v>
      </c>
      <c r="J17749">
        <v>1</v>
      </c>
      <c r="K17749">
        <v>1</v>
      </c>
      <c r="L17749">
        <v>698</v>
      </c>
      <c r="M17749">
        <v>1</v>
      </c>
      <c r="N17749">
        <v>0</v>
      </c>
      <c r="O17749">
        <v>2623</v>
      </c>
    </row>
    <row r="17750" spans="1:15" x14ac:dyDescent="0.25">
      <c r="A17750" t="s">
        <v>17763</v>
      </c>
      <c r="B17750">
        <v>1044</v>
      </c>
      <c r="C17750" s="1" t="str">
        <f>HYPERLINK("http://www.rosaceae.org/gb/gbrowse/malus_x_domestica/?name=MDP0000219662","MDP0000219662")</f>
        <v>MDP0000219662</v>
      </c>
      <c r="D17750">
        <v>47.36</v>
      </c>
      <c r="E17750">
        <v>1083</v>
      </c>
      <c r="F17750">
        <v>570</v>
      </c>
      <c r="G17750">
        <v>111</v>
      </c>
      <c r="H17750">
        <v>41</v>
      </c>
      <c r="I17750">
        <v>1041</v>
      </c>
      <c r="J17750">
        <v>1</v>
      </c>
      <c r="K17750">
        <v>1</v>
      </c>
      <c r="L17750">
        <v>1054</v>
      </c>
      <c r="M17750">
        <v>1</v>
      </c>
      <c r="N17750">
        <v>0</v>
      </c>
      <c r="O17750">
        <v>2100</v>
      </c>
    </row>
    <row r="17751" spans="1:15" x14ac:dyDescent="0.25">
      <c r="A17751" t="s">
        <v>17764</v>
      </c>
      <c r="B17751">
        <v>202</v>
      </c>
      <c r="C17751" s="1" t="str">
        <f>HYPERLINK("http://www.rosaceae.org/gb/gbrowse/malus_x_domestica/?name=MDP0000184787","MDP0000184787")</f>
        <v>MDP0000184787</v>
      </c>
      <c r="D17751">
        <v>62.96</v>
      </c>
      <c r="E17751">
        <v>162</v>
      </c>
      <c r="F17751">
        <v>60</v>
      </c>
      <c r="G17751">
        <v>36</v>
      </c>
      <c r="H17751">
        <v>22</v>
      </c>
      <c r="I17751">
        <v>183</v>
      </c>
      <c r="J17751">
        <v>1</v>
      </c>
      <c r="K17751">
        <v>2</v>
      </c>
      <c r="L17751">
        <v>127</v>
      </c>
      <c r="M17751">
        <v>1</v>
      </c>
      <c r="N17751">
        <v>4.9041200000000004E-47</v>
      </c>
      <c r="O17751">
        <v>467</v>
      </c>
    </row>
    <row r="17752" spans="1:15" x14ac:dyDescent="0.25">
      <c r="A17752" t="s">
        <v>17765</v>
      </c>
      <c r="B17752">
        <v>630</v>
      </c>
      <c r="C17752" s="1" t="str">
        <f>HYPERLINK("http://www.rosaceae.org/gb/gbrowse/malus_x_domestica/?name=MDP0000315763","MDP0000315763")</f>
        <v>MDP0000315763</v>
      </c>
      <c r="D17752">
        <v>69.81</v>
      </c>
      <c r="E17752">
        <v>636</v>
      </c>
      <c r="F17752">
        <v>192</v>
      </c>
      <c r="G17752">
        <v>30</v>
      </c>
      <c r="H17752">
        <v>1</v>
      </c>
      <c r="I17752">
        <v>624</v>
      </c>
      <c r="J17752">
        <v>1</v>
      </c>
      <c r="K17752">
        <v>1</v>
      </c>
      <c r="L17752">
        <v>618</v>
      </c>
      <c r="M17752">
        <v>1</v>
      </c>
      <c r="N17752">
        <v>0</v>
      </c>
      <c r="O17752">
        <v>2258</v>
      </c>
    </row>
    <row r="17753" spans="1:15" x14ac:dyDescent="0.25">
      <c r="A17753" t="s">
        <v>17766</v>
      </c>
      <c r="B17753">
        <v>577</v>
      </c>
      <c r="C17753" s="1" t="str">
        <f>HYPERLINK("http://www.rosaceae.org/gb/gbrowse/malus_x_domestica/?name=MDP0000121116","MDP0000121116")</f>
        <v>MDP0000121116</v>
      </c>
      <c r="D17753">
        <v>83.58</v>
      </c>
      <c r="E17753">
        <v>597</v>
      </c>
      <c r="F17753">
        <v>98</v>
      </c>
      <c r="G17753">
        <v>22</v>
      </c>
      <c r="H17753">
        <v>1</v>
      </c>
      <c r="I17753">
        <v>577</v>
      </c>
      <c r="J17753">
        <v>1</v>
      </c>
      <c r="K17753">
        <v>14</v>
      </c>
      <c r="L17753">
        <v>608</v>
      </c>
      <c r="M17753">
        <v>1</v>
      </c>
      <c r="N17753">
        <v>0</v>
      </c>
      <c r="O17753">
        <v>2586</v>
      </c>
    </row>
    <row r="17754" spans="1:15" x14ac:dyDescent="0.25">
      <c r="A17754" t="s">
        <v>17767</v>
      </c>
      <c r="B17754">
        <v>390</v>
      </c>
      <c r="C17754" s="1" t="str">
        <f>HYPERLINK("http://www.rosaceae.org/gb/gbrowse/malus_x_domestica/?name=MDP0000771647","MDP0000771647")</f>
        <v>MDP0000771647</v>
      </c>
      <c r="D17754">
        <v>70.099999999999994</v>
      </c>
      <c r="E17754">
        <v>388</v>
      </c>
      <c r="F17754">
        <v>116</v>
      </c>
      <c r="G17754">
        <v>7</v>
      </c>
      <c r="H17754">
        <v>4</v>
      </c>
      <c r="I17754">
        <v>390</v>
      </c>
      <c r="J17754">
        <v>1</v>
      </c>
      <c r="K17754">
        <v>1</v>
      </c>
      <c r="L17754">
        <v>382</v>
      </c>
      <c r="M17754">
        <v>1</v>
      </c>
      <c r="N17754">
        <v>1.66628E-165</v>
      </c>
      <c r="O17754">
        <v>1493</v>
      </c>
    </row>
    <row r="17755" spans="1:15" x14ac:dyDescent="0.25">
      <c r="A17755" t="s">
        <v>17768</v>
      </c>
      <c r="B17755">
        <v>319</v>
      </c>
      <c r="C17755" s="1" t="str">
        <f>HYPERLINK("http://www.rosaceae.org/gb/gbrowse/malus_x_domestica/?name=MDP0000181135","MDP0000181135")</f>
        <v>MDP0000181135</v>
      </c>
      <c r="D17755">
        <v>35.840000000000003</v>
      </c>
      <c r="E17755">
        <v>159</v>
      </c>
      <c r="F17755">
        <v>102</v>
      </c>
      <c r="G17755">
        <v>16</v>
      </c>
      <c r="H17755">
        <v>34</v>
      </c>
      <c r="I17755">
        <v>179</v>
      </c>
      <c r="J17755">
        <v>1</v>
      </c>
      <c r="K17755">
        <v>275</v>
      </c>
      <c r="L17755">
        <v>430</v>
      </c>
      <c r="M17755">
        <v>1</v>
      </c>
      <c r="N17755">
        <v>3.9325900000000001E-14</v>
      </c>
      <c r="O17755">
        <v>186</v>
      </c>
    </row>
    <row r="17756" spans="1:15" x14ac:dyDescent="0.25">
      <c r="A17756" t="s">
        <v>17769</v>
      </c>
      <c r="B17756">
        <v>1083</v>
      </c>
      <c r="C17756" s="1" t="str">
        <f>HYPERLINK("http://www.rosaceae.org/gb/gbrowse/malus_x_domestica/?name=MDP0000230524","MDP0000230524")</f>
        <v>MDP0000230524</v>
      </c>
      <c r="D17756">
        <v>51.27</v>
      </c>
      <c r="E17756">
        <v>275</v>
      </c>
      <c r="F17756">
        <v>134</v>
      </c>
      <c r="G17756">
        <v>9</v>
      </c>
      <c r="H17756">
        <v>27</v>
      </c>
      <c r="I17756">
        <v>298</v>
      </c>
      <c r="J17756">
        <v>1</v>
      </c>
      <c r="K17756">
        <v>21</v>
      </c>
      <c r="L17756">
        <v>289</v>
      </c>
      <c r="M17756">
        <v>1</v>
      </c>
      <c r="N17756">
        <v>1.59412E-75</v>
      </c>
      <c r="O17756">
        <v>721</v>
      </c>
    </row>
    <row r="17757" spans="1:15" x14ac:dyDescent="0.25">
      <c r="A17757" t="s">
        <v>17770</v>
      </c>
      <c r="B17757">
        <v>647</v>
      </c>
      <c r="C17757" s="1" t="str">
        <f>HYPERLINK("http://www.rosaceae.org/gb/gbrowse/malus_x_domestica/?name=MDP0000321341","MDP0000321341")</f>
        <v>MDP0000321341</v>
      </c>
      <c r="D17757">
        <v>70.239999999999995</v>
      </c>
      <c r="E17757">
        <v>578</v>
      </c>
      <c r="F17757">
        <v>172</v>
      </c>
      <c r="G17757">
        <v>101</v>
      </c>
      <c r="H17757">
        <v>59</v>
      </c>
      <c r="I17757">
        <v>636</v>
      </c>
      <c r="J17757">
        <v>1</v>
      </c>
      <c r="K17757">
        <v>191</v>
      </c>
      <c r="L17757">
        <v>667</v>
      </c>
      <c r="M17757">
        <v>1</v>
      </c>
      <c r="N17757">
        <v>0</v>
      </c>
      <c r="O17757">
        <v>2040</v>
      </c>
    </row>
    <row r="17758" spans="1:15" x14ac:dyDescent="0.25">
      <c r="A17758" t="s">
        <v>17771</v>
      </c>
      <c r="B17758">
        <v>178</v>
      </c>
      <c r="C17758" s="1" t="str">
        <f>HYPERLINK("http://www.rosaceae.org/gb/gbrowse/malus_x_domestica/?name=MDP0000212980","MDP0000212980")</f>
        <v>MDP0000212980</v>
      </c>
      <c r="D17758">
        <v>51.78</v>
      </c>
      <c r="E17758">
        <v>56</v>
      </c>
      <c r="F17758">
        <v>27</v>
      </c>
      <c r="G17758">
        <v>1</v>
      </c>
      <c r="H17758">
        <v>5</v>
      </c>
      <c r="I17758">
        <v>60</v>
      </c>
      <c r="J17758">
        <v>1</v>
      </c>
      <c r="K17758">
        <v>6</v>
      </c>
      <c r="L17758">
        <v>60</v>
      </c>
      <c r="M17758">
        <v>1</v>
      </c>
      <c r="N17758">
        <v>2.6201E-7</v>
      </c>
      <c r="O17758">
        <v>124</v>
      </c>
    </row>
    <row r="17759" spans="1:15" x14ac:dyDescent="0.25">
      <c r="A17759" t="s">
        <v>17772</v>
      </c>
      <c r="B17759">
        <v>483</v>
      </c>
      <c r="C17759" s="1" t="str">
        <f>HYPERLINK("http://www.rosaceae.org/gb/gbrowse/malus_x_domestica/?name=MDP0000276278","MDP0000276278")</f>
        <v>MDP0000276278</v>
      </c>
      <c r="D17759">
        <v>70.5</v>
      </c>
      <c r="E17759">
        <v>373</v>
      </c>
      <c r="F17759">
        <v>110</v>
      </c>
      <c r="G17759">
        <v>39</v>
      </c>
      <c r="H17759">
        <v>121</v>
      </c>
      <c r="I17759">
        <v>482</v>
      </c>
      <c r="J17759">
        <v>1</v>
      </c>
      <c r="K17759">
        <v>273</v>
      </c>
      <c r="L17759">
        <v>617</v>
      </c>
      <c r="M17759">
        <v>1</v>
      </c>
      <c r="N17759">
        <v>1.01418E-131</v>
      </c>
      <c r="O17759">
        <v>1202</v>
      </c>
    </row>
    <row r="17760" spans="1:15" x14ac:dyDescent="0.25">
      <c r="A17760" t="s">
        <v>17773</v>
      </c>
      <c r="B17760">
        <v>430</v>
      </c>
      <c r="C17760" s="1" t="str">
        <f>HYPERLINK("http://www.rosaceae.org/gb/gbrowse/malus_x_domestica/?name=MDP0000581417","MDP0000581417")</f>
        <v>MDP0000581417</v>
      </c>
      <c r="D17760">
        <v>45.47</v>
      </c>
      <c r="E17760">
        <v>453</v>
      </c>
      <c r="F17760">
        <v>247</v>
      </c>
      <c r="G17760">
        <v>77</v>
      </c>
      <c r="H17760">
        <v>10</v>
      </c>
      <c r="I17760">
        <v>392</v>
      </c>
      <c r="J17760">
        <v>1</v>
      </c>
      <c r="K17760">
        <v>14</v>
      </c>
      <c r="L17760">
        <v>459</v>
      </c>
      <c r="M17760">
        <v>1</v>
      </c>
      <c r="N17760">
        <v>2.62703E-89</v>
      </c>
      <c r="O17760">
        <v>836</v>
      </c>
    </row>
    <row r="17761" spans="1:15" x14ac:dyDescent="0.25">
      <c r="A17761" t="s">
        <v>17774</v>
      </c>
      <c r="B17761">
        <v>633</v>
      </c>
      <c r="C17761" s="1" t="str">
        <f>HYPERLINK("http://www.rosaceae.org/gb/gbrowse/malus_x_domestica/?name=MDP0000384450","MDP0000384450")</f>
        <v>MDP0000384450</v>
      </c>
      <c r="D17761">
        <v>69.33</v>
      </c>
      <c r="E17761">
        <v>636</v>
      </c>
      <c r="F17761">
        <v>195</v>
      </c>
      <c r="G17761">
        <v>13</v>
      </c>
      <c r="H17761">
        <v>1</v>
      </c>
      <c r="I17761">
        <v>633</v>
      </c>
      <c r="J17761">
        <v>1</v>
      </c>
      <c r="K17761">
        <v>1</v>
      </c>
      <c r="L17761">
        <v>626</v>
      </c>
      <c r="M17761">
        <v>1</v>
      </c>
      <c r="N17761">
        <v>0</v>
      </c>
      <c r="O17761">
        <v>2114</v>
      </c>
    </row>
    <row r="17762" spans="1:15" x14ac:dyDescent="0.25">
      <c r="A17762" t="s">
        <v>17775</v>
      </c>
      <c r="B17762">
        <v>263</v>
      </c>
      <c r="C17762" s="1" t="str">
        <f>HYPERLINK("http://www.rosaceae.org/gb/gbrowse/malus_x_domestica/?name=MDP0000285780","MDP0000285780")</f>
        <v>MDP0000285780</v>
      </c>
      <c r="D17762">
        <v>62.32</v>
      </c>
      <c r="E17762">
        <v>146</v>
      </c>
      <c r="F17762">
        <v>55</v>
      </c>
      <c r="G17762">
        <v>1</v>
      </c>
      <c r="H17762">
        <v>42</v>
      </c>
      <c r="I17762">
        <v>187</v>
      </c>
      <c r="J17762">
        <v>1</v>
      </c>
      <c r="K17762">
        <v>34</v>
      </c>
      <c r="L17762">
        <v>178</v>
      </c>
      <c r="M17762">
        <v>1</v>
      </c>
      <c r="N17762">
        <v>2.33259E-43</v>
      </c>
      <c r="O17762">
        <v>437</v>
      </c>
    </row>
    <row r="17763" spans="1:15" x14ac:dyDescent="0.25">
      <c r="A17763" t="s">
        <v>17776</v>
      </c>
      <c r="B17763">
        <v>419</v>
      </c>
      <c r="C17763" s="1" t="str">
        <f>HYPERLINK("http://www.rosaceae.org/gb/gbrowse/malus_x_domestica/?name=MDP0000219632","MDP0000219632")</f>
        <v>MDP0000219632</v>
      </c>
      <c r="D17763">
        <v>91.16</v>
      </c>
      <c r="E17763">
        <v>419</v>
      </c>
      <c r="F17763">
        <v>37</v>
      </c>
      <c r="G17763">
        <v>2</v>
      </c>
      <c r="H17763">
        <v>1</v>
      </c>
      <c r="I17763">
        <v>419</v>
      </c>
      <c r="J17763">
        <v>1</v>
      </c>
      <c r="K17763">
        <v>1</v>
      </c>
      <c r="L17763">
        <v>417</v>
      </c>
      <c r="M17763">
        <v>1</v>
      </c>
      <c r="N17763">
        <v>0</v>
      </c>
      <c r="O17763">
        <v>1991</v>
      </c>
    </row>
    <row r="17764" spans="1:15" x14ac:dyDescent="0.25">
      <c r="A17764" t="s">
        <v>17777</v>
      </c>
      <c r="B17764">
        <v>262</v>
      </c>
      <c r="C17764" s="1" t="str">
        <f>HYPERLINK("http://www.rosaceae.org/gb/gbrowse/malus_x_domestica/?name=MDP0000265100","MDP0000265100")</f>
        <v>MDP0000265100</v>
      </c>
      <c r="D17764">
        <v>41.79</v>
      </c>
      <c r="E17764">
        <v>189</v>
      </c>
      <c r="F17764">
        <v>110</v>
      </c>
      <c r="G17764">
        <v>35</v>
      </c>
      <c r="H17764">
        <v>81</v>
      </c>
      <c r="I17764">
        <v>240</v>
      </c>
      <c r="J17764">
        <v>1</v>
      </c>
      <c r="K17764">
        <v>719</v>
      </c>
      <c r="L17764">
        <v>901</v>
      </c>
      <c r="M17764">
        <v>1</v>
      </c>
      <c r="N17764">
        <v>1.2459999999999999E-26</v>
      </c>
      <c r="O17764">
        <v>293</v>
      </c>
    </row>
    <row r="17765" spans="1:15" x14ac:dyDescent="0.25">
      <c r="A17765" t="s">
        <v>17778</v>
      </c>
      <c r="B17765">
        <v>362</v>
      </c>
      <c r="C17765" s="1" t="str">
        <f>HYPERLINK("http://www.rosaceae.org/gb/gbrowse/malus_x_domestica/?name=MDP0000924844","MDP0000924844")</f>
        <v>MDP0000924844</v>
      </c>
      <c r="D17765">
        <v>83.97</v>
      </c>
      <c r="E17765">
        <v>362</v>
      </c>
      <c r="F17765">
        <v>58</v>
      </c>
      <c r="G17765">
        <v>1</v>
      </c>
      <c r="H17765">
        <v>1</v>
      </c>
      <c r="I17765">
        <v>362</v>
      </c>
      <c r="J17765">
        <v>1</v>
      </c>
      <c r="K17765">
        <v>1</v>
      </c>
      <c r="L17765">
        <v>361</v>
      </c>
      <c r="M17765">
        <v>1</v>
      </c>
      <c r="N17765">
        <v>2.2731800000000001E-176</v>
      </c>
      <c r="O17765">
        <v>1586</v>
      </c>
    </row>
    <row r="17766" spans="1:15" x14ac:dyDescent="0.25">
      <c r="A17766" t="s">
        <v>17779</v>
      </c>
      <c r="B17766">
        <v>200</v>
      </c>
      <c r="C17766" s="1" t="str">
        <f>HYPERLINK("http://www.rosaceae.org/gb/gbrowse/malus_x_domestica/?name=MDP0000137468","MDP0000137468")</f>
        <v>MDP0000137468</v>
      </c>
      <c r="D17766">
        <v>52.38</v>
      </c>
      <c r="E17766">
        <v>210</v>
      </c>
      <c r="F17766">
        <v>100</v>
      </c>
      <c r="G17766">
        <v>10</v>
      </c>
      <c r="H17766">
        <v>1</v>
      </c>
      <c r="I17766">
        <v>200</v>
      </c>
      <c r="J17766">
        <v>1</v>
      </c>
      <c r="K17766">
        <v>1</v>
      </c>
      <c r="L17766">
        <v>210</v>
      </c>
      <c r="M17766">
        <v>1</v>
      </c>
      <c r="N17766">
        <v>7.1152099999999994E-49</v>
      </c>
      <c r="O17766">
        <v>483</v>
      </c>
    </row>
    <row r="17767" spans="1:15" x14ac:dyDescent="0.25">
      <c r="A17767" t="s">
        <v>17780</v>
      </c>
      <c r="B17767">
        <v>789</v>
      </c>
      <c r="C17767" s="1" t="str">
        <f>HYPERLINK("http://www.rosaceae.org/gb/gbrowse/malus_x_domestica/?name=MDP0000252099","MDP0000252099")</f>
        <v>MDP0000252099</v>
      </c>
      <c r="D17767">
        <v>56.51</v>
      </c>
      <c r="E17767">
        <v>791</v>
      </c>
      <c r="F17767">
        <v>344</v>
      </c>
      <c r="G17767">
        <v>48</v>
      </c>
      <c r="H17767">
        <v>1</v>
      </c>
      <c r="I17767">
        <v>787</v>
      </c>
      <c r="J17767">
        <v>1</v>
      </c>
      <c r="K17767">
        <v>1</v>
      </c>
      <c r="L17767">
        <v>747</v>
      </c>
      <c r="M17767">
        <v>1</v>
      </c>
      <c r="N17767">
        <v>0</v>
      </c>
      <c r="O17767">
        <v>2104</v>
      </c>
    </row>
    <row r="17768" spans="1:15" x14ac:dyDescent="0.25">
      <c r="A17768" t="s">
        <v>17781</v>
      </c>
      <c r="B17768">
        <v>544</v>
      </c>
      <c r="C17768" s="1" t="str">
        <f>HYPERLINK("http://www.rosaceae.org/gb/gbrowse/malus_x_domestica/?name=MDP0000319550","MDP0000319550")</f>
        <v>MDP0000319550</v>
      </c>
      <c r="D17768">
        <v>55.79</v>
      </c>
      <c r="E17768">
        <v>552</v>
      </c>
      <c r="F17768">
        <v>244</v>
      </c>
      <c r="G17768">
        <v>49</v>
      </c>
      <c r="H17768">
        <v>8</v>
      </c>
      <c r="I17768">
        <v>519</v>
      </c>
      <c r="J17768">
        <v>1</v>
      </c>
      <c r="K17768">
        <v>46</v>
      </c>
      <c r="L17768">
        <v>588</v>
      </c>
      <c r="M17768">
        <v>1</v>
      </c>
      <c r="N17768">
        <v>1.6693499999999999E-176</v>
      </c>
      <c r="O17768">
        <v>1589</v>
      </c>
    </row>
    <row r="17769" spans="1:15" x14ac:dyDescent="0.25">
      <c r="A17769" t="s">
        <v>17782</v>
      </c>
      <c r="B17769">
        <v>755</v>
      </c>
      <c r="C17769" s="1" t="str">
        <f>HYPERLINK("http://www.rosaceae.org/gb/gbrowse/malus_x_domestica/?name=MDP0000691953","MDP0000691953")</f>
        <v>MDP0000691953</v>
      </c>
      <c r="D17769">
        <v>50.06</v>
      </c>
      <c r="E17769">
        <v>715</v>
      </c>
      <c r="F17769">
        <v>357</v>
      </c>
      <c r="G17769">
        <v>23</v>
      </c>
      <c r="H17769">
        <v>53</v>
      </c>
      <c r="I17769">
        <v>750</v>
      </c>
      <c r="J17769">
        <v>1</v>
      </c>
      <c r="K17769">
        <v>260</v>
      </c>
      <c r="L17769">
        <v>968</v>
      </c>
      <c r="M17769">
        <v>1</v>
      </c>
      <c r="N17769">
        <v>7.2662599999999995E-179</v>
      </c>
      <c r="O17769">
        <v>1611</v>
      </c>
    </row>
    <row r="17770" spans="1:15" x14ac:dyDescent="0.25">
      <c r="A17770" t="s">
        <v>17783</v>
      </c>
      <c r="B17770">
        <v>337</v>
      </c>
      <c r="C17770" s="1" t="str">
        <f>HYPERLINK("http://www.rosaceae.org/gb/gbrowse/malus_x_domestica/?name=MDP0000208137","MDP0000208137")</f>
        <v>MDP0000208137</v>
      </c>
      <c r="D17770">
        <v>76.849999999999994</v>
      </c>
      <c r="E17770">
        <v>324</v>
      </c>
      <c r="F17770">
        <v>75</v>
      </c>
      <c r="G17770">
        <v>8</v>
      </c>
      <c r="H17770">
        <v>15</v>
      </c>
      <c r="I17770">
        <v>337</v>
      </c>
      <c r="J17770">
        <v>1</v>
      </c>
      <c r="K17770">
        <v>16</v>
      </c>
      <c r="L17770">
        <v>332</v>
      </c>
      <c r="M17770">
        <v>1</v>
      </c>
      <c r="N17770">
        <v>7.5378000000000001E-148</v>
      </c>
      <c r="O17770">
        <v>1340</v>
      </c>
    </row>
    <row r="17771" spans="1:15" x14ac:dyDescent="0.25">
      <c r="A17771" t="s">
        <v>17784</v>
      </c>
      <c r="B17771">
        <v>655</v>
      </c>
      <c r="C17771" s="1" t="str">
        <f>HYPERLINK("http://www.rosaceae.org/gb/gbrowse/malus_x_domestica/?name=MDP0000241632","MDP0000241632")</f>
        <v>MDP0000241632</v>
      </c>
      <c r="D17771">
        <v>90.26</v>
      </c>
      <c r="E17771">
        <v>298</v>
      </c>
      <c r="F17771">
        <v>29</v>
      </c>
      <c r="G17771">
        <v>1</v>
      </c>
      <c r="H17771">
        <v>1</v>
      </c>
      <c r="I17771">
        <v>297</v>
      </c>
      <c r="J17771">
        <v>1</v>
      </c>
      <c r="K17771">
        <v>1</v>
      </c>
      <c r="L17771">
        <v>298</v>
      </c>
      <c r="M17771">
        <v>1</v>
      </c>
      <c r="N17771">
        <v>8.8016000000000007E-164</v>
      </c>
      <c r="O17771">
        <v>1480</v>
      </c>
    </row>
    <row r="17772" spans="1:15" x14ac:dyDescent="0.25">
      <c r="A17772" t="s">
        <v>17785</v>
      </c>
      <c r="B17772">
        <v>402</v>
      </c>
      <c r="C17772" s="1" t="str">
        <f>HYPERLINK("http://www.rosaceae.org/gb/gbrowse/malus_x_domestica/?name=MDP0000224586","MDP0000224586")</f>
        <v>MDP0000224586</v>
      </c>
      <c r="D17772">
        <v>50.57</v>
      </c>
      <c r="E17772">
        <v>348</v>
      </c>
      <c r="F17772">
        <v>172</v>
      </c>
      <c r="G17772">
        <v>28</v>
      </c>
      <c r="H17772">
        <v>14</v>
      </c>
      <c r="I17772">
        <v>358</v>
      </c>
      <c r="J17772">
        <v>1</v>
      </c>
      <c r="K17772">
        <v>5</v>
      </c>
      <c r="L17772">
        <v>327</v>
      </c>
      <c r="M17772">
        <v>1</v>
      </c>
      <c r="N17772">
        <v>3.6687199999999998E-93</v>
      </c>
      <c r="O17772">
        <v>869</v>
      </c>
    </row>
    <row r="17773" spans="1:15" x14ac:dyDescent="0.25">
      <c r="A17773" t="s">
        <v>17786</v>
      </c>
      <c r="B17773">
        <v>938</v>
      </c>
      <c r="C17773" s="1" t="str">
        <f>HYPERLINK("http://www.rosaceae.org/gb/gbrowse/malus_x_domestica/?name=MDP0000212739","MDP0000212739")</f>
        <v>MDP0000212739</v>
      </c>
      <c r="D17773">
        <v>82.26</v>
      </c>
      <c r="E17773">
        <v>902</v>
      </c>
      <c r="F17773">
        <v>160</v>
      </c>
      <c r="G17773">
        <v>6</v>
      </c>
      <c r="H17773">
        <v>41</v>
      </c>
      <c r="I17773">
        <v>938</v>
      </c>
      <c r="J17773">
        <v>1</v>
      </c>
      <c r="K17773">
        <v>209</v>
      </c>
      <c r="L17773">
        <v>1108</v>
      </c>
      <c r="M17773">
        <v>1</v>
      </c>
      <c r="N17773">
        <v>0</v>
      </c>
      <c r="O17773">
        <v>4019</v>
      </c>
    </row>
    <row r="17774" spans="1:15" x14ac:dyDescent="0.25">
      <c r="A17774" t="s">
        <v>17787</v>
      </c>
      <c r="B17774">
        <v>894</v>
      </c>
      <c r="C17774" s="1" t="str">
        <f>HYPERLINK("http://www.rosaceae.org/gb/gbrowse/malus_x_domestica/?name=MDP0000273682","MDP0000273682")</f>
        <v>MDP0000273682</v>
      </c>
      <c r="D17774">
        <v>59.64</v>
      </c>
      <c r="E17774">
        <v>612</v>
      </c>
      <c r="F17774">
        <v>247</v>
      </c>
      <c r="G17774">
        <v>44</v>
      </c>
      <c r="H17774">
        <v>292</v>
      </c>
      <c r="I17774">
        <v>894</v>
      </c>
      <c r="J17774">
        <v>1</v>
      </c>
      <c r="K17774">
        <v>6</v>
      </c>
      <c r="L17774">
        <v>582</v>
      </c>
      <c r="M17774">
        <v>1</v>
      </c>
      <c r="N17774">
        <v>0</v>
      </c>
      <c r="O17774">
        <v>1785</v>
      </c>
    </row>
    <row r="17775" spans="1:15" x14ac:dyDescent="0.25">
      <c r="A17775" t="s">
        <v>17788</v>
      </c>
      <c r="B17775">
        <v>135</v>
      </c>
      <c r="C17775" s="1" t="str">
        <f>HYPERLINK("http://www.rosaceae.org/gb/gbrowse/malus_x_domestica/?name=MDP0000223149","MDP0000223149")</f>
        <v>MDP0000223149</v>
      </c>
      <c r="D17775">
        <v>35.64</v>
      </c>
      <c r="E17775">
        <v>101</v>
      </c>
      <c r="F17775">
        <v>65</v>
      </c>
      <c r="G17775">
        <v>0</v>
      </c>
      <c r="H17775">
        <v>7</v>
      </c>
      <c r="I17775">
        <v>107</v>
      </c>
      <c r="J17775">
        <v>1</v>
      </c>
      <c r="K17775">
        <v>315</v>
      </c>
      <c r="L17775">
        <v>415</v>
      </c>
      <c r="M17775">
        <v>1</v>
      </c>
      <c r="N17775">
        <v>3.1767199999999998E-12</v>
      </c>
      <c r="O17775">
        <v>164</v>
      </c>
    </row>
    <row r="17776" spans="1:15" x14ac:dyDescent="0.25">
      <c r="A17776" t="s">
        <v>17789</v>
      </c>
      <c r="B17776">
        <v>655</v>
      </c>
      <c r="C17776" s="1" t="str">
        <f>HYPERLINK("http://www.rosaceae.org/gb/gbrowse/malus_x_domestica/?name=MDP0000245969","MDP0000245969")</f>
        <v>MDP0000245969</v>
      </c>
      <c r="D17776">
        <v>80.45</v>
      </c>
      <c r="E17776">
        <v>307</v>
      </c>
      <c r="F17776">
        <v>60</v>
      </c>
      <c r="G17776">
        <v>0</v>
      </c>
      <c r="H17776">
        <v>311</v>
      </c>
      <c r="I17776">
        <v>617</v>
      </c>
      <c r="J17776">
        <v>1</v>
      </c>
      <c r="K17776">
        <v>20</v>
      </c>
      <c r="L17776">
        <v>326</v>
      </c>
      <c r="M17776">
        <v>1</v>
      </c>
      <c r="N17776">
        <v>8.8322699999999996E-152</v>
      </c>
      <c r="O17776">
        <v>1377</v>
      </c>
    </row>
    <row r="17777" spans="1:15" x14ac:dyDescent="0.25">
      <c r="A17777" t="s">
        <v>17790</v>
      </c>
      <c r="B17777">
        <v>659</v>
      </c>
      <c r="C17777" s="1" t="str">
        <f>HYPERLINK("http://www.rosaceae.org/gb/gbrowse/malus_x_domestica/?name=MDP0000258215","MDP0000258215")</f>
        <v>MDP0000258215</v>
      </c>
      <c r="D17777">
        <v>71.36</v>
      </c>
      <c r="E17777">
        <v>625</v>
      </c>
      <c r="F17777">
        <v>179</v>
      </c>
      <c r="G17777">
        <v>33</v>
      </c>
      <c r="H17777">
        <v>66</v>
      </c>
      <c r="I17777">
        <v>659</v>
      </c>
      <c r="J17777">
        <v>1</v>
      </c>
      <c r="K17777">
        <v>287</v>
      </c>
      <c r="L17777">
        <v>909</v>
      </c>
      <c r="M17777">
        <v>1</v>
      </c>
      <c r="N17777">
        <v>0</v>
      </c>
      <c r="O17777">
        <v>2398</v>
      </c>
    </row>
    <row r="17778" spans="1:15" x14ac:dyDescent="0.25">
      <c r="A17778" t="s">
        <v>17791</v>
      </c>
      <c r="B17778">
        <v>387</v>
      </c>
      <c r="C17778" s="1" t="str">
        <f>HYPERLINK("http://www.rosaceae.org/gb/gbrowse/malus_x_domestica/?name=MDP0000267622","MDP0000267622")</f>
        <v>MDP0000267622</v>
      </c>
      <c r="D17778">
        <v>75.19</v>
      </c>
      <c r="E17778">
        <v>391</v>
      </c>
      <c r="F17778">
        <v>97</v>
      </c>
      <c r="G17778">
        <v>42</v>
      </c>
      <c r="H17778">
        <v>9</v>
      </c>
      <c r="I17778">
        <v>387</v>
      </c>
      <c r="J17778">
        <v>1</v>
      </c>
      <c r="K17778">
        <v>843</v>
      </c>
      <c r="L17778">
        <v>1203</v>
      </c>
      <c r="M17778">
        <v>1</v>
      </c>
      <c r="N17778">
        <v>6.5397E-161</v>
      </c>
      <c r="O17778">
        <v>1453</v>
      </c>
    </row>
    <row r="17779" spans="1:15" x14ac:dyDescent="0.25">
      <c r="A17779" t="s">
        <v>17792</v>
      </c>
      <c r="B17779">
        <v>228</v>
      </c>
      <c r="C17779" s="1" t="str">
        <f>HYPERLINK("http://www.rosaceae.org/gb/gbrowse/malus_x_domestica/?name=MDP0000279690","MDP0000279690")</f>
        <v>MDP0000279690</v>
      </c>
      <c r="D17779">
        <v>69.52</v>
      </c>
      <c r="E17779">
        <v>233</v>
      </c>
      <c r="F17779">
        <v>71</v>
      </c>
      <c r="G17779">
        <v>12</v>
      </c>
      <c r="H17779">
        <v>6</v>
      </c>
      <c r="I17779">
        <v>226</v>
      </c>
      <c r="J17779">
        <v>1</v>
      </c>
      <c r="K17779">
        <v>5</v>
      </c>
      <c r="L17779">
        <v>237</v>
      </c>
      <c r="M17779">
        <v>1</v>
      </c>
      <c r="N17779">
        <v>2.8363700000000001E-94</v>
      </c>
      <c r="O17779">
        <v>875</v>
      </c>
    </row>
    <row r="17780" spans="1:15" x14ac:dyDescent="0.25">
      <c r="A17780" t="s">
        <v>17793</v>
      </c>
      <c r="B17780">
        <v>505</v>
      </c>
      <c r="C17780" s="1" t="str">
        <f>HYPERLINK("http://www.rosaceae.org/gb/gbrowse/malus_x_domestica/?name=MDP0000311221","MDP0000311221")</f>
        <v>MDP0000311221</v>
      </c>
      <c r="D17780">
        <v>63.23</v>
      </c>
      <c r="E17780">
        <v>291</v>
      </c>
      <c r="F17780">
        <v>107</v>
      </c>
      <c r="G17780">
        <v>5</v>
      </c>
      <c r="H17780">
        <v>1</v>
      </c>
      <c r="I17780">
        <v>290</v>
      </c>
      <c r="J17780">
        <v>1</v>
      </c>
      <c r="K17780">
        <v>1</v>
      </c>
      <c r="L17780">
        <v>287</v>
      </c>
      <c r="M17780">
        <v>1</v>
      </c>
      <c r="N17780">
        <v>4.0587399999999999E-98</v>
      </c>
      <c r="O17780">
        <v>913</v>
      </c>
    </row>
    <row r="17781" spans="1:15" x14ac:dyDescent="0.25">
      <c r="A17781" t="s">
        <v>17794</v>
      </c>
      <c r="B17781">
        <v>885</v>
      </c>
      <c r="C17781" s="1" t="str">
        <f>HYPERLINK("http://www.rosaceae.org/gb/gbrowse/malus_x_domestica/?name=MDP0000176677","MDP0000176677")</f>
        <v>MDP0000176677</v>
      </c>
      <c r="D17781">
        <v>81.8</v>
      </c>
      <c r="E17781">
        <v>533</v>
      </c>
      <c r="F17781">
        <v>97</v>
      </c>
      <c r="G17781">
        <v>9</v>
      </c>
      <c r="H17781">
        <v>9</v>
      </c>
      <c r="I17781">
        <v>532</v>
      </c>
      <c r="J17781">
        <v>1</v>
      </c>
      <c r="K17781">
        <v>82</v>
      </c>
      <c r="L17781">
        <v>614</v>
      </c>
      <c r="M17781">
        <v>1</v>
      </c>
      <c r="N17781">
        <v>0</v>
      </c>
      <c r="O17781">
        <v>2234</v>
      </c>
    </row>
    <row r="17782" spans="1:15" x14ac:dyDescent="0.25">
      <c r="A17782" t="s">
        <v>17795</v>
      </c>
      <c r="B17782">
        <v>851</v>
      </c>
      <c r="C17782" s="1" t="str">
        <f>HYPERLINK("http://www.rosaceae.org/gb/gbrowse/malus_x_domestica/?name=MDP0000226294","MDP0000226294")</f>
        <v>MDP0000226294</v>
      </c>
      <c r="D17782">
        <v>43.64</v>
      </c>
      <c r="E17782">
        <v>818</v>
      </c>
      <c r="F17782">
        <v>461</v>
      </c>
      <c r="G17782">
        <v>62</v>
      </c>
      <c r="H17782">
        <v>46</v>
      </c>
      <c r="I17782">
        <v>821</v>
      </c>
      <c r="J17782">
        <v>1</v>
      </c>
      <c r="K17782">
        <v>2</v>
      </c>
      <c r="L17782">
        <v>799</v>
      </c>
      <c r="M17782">
        <v>1</v>
      </c>
      <c r="N17782">
        <v>0</v>
      </c>
      <c r="O17782">
        <v>1692</v>
      </c>
    </row>
    <row r="17783" spans="1:15" x14ac:dyDescent="0.25">
      <c r="A17783" t="s">
        <v>17796</v>
      </c>
      <c r="B17783">
        <v>169</v>
      </c>
      <c r="C17783" s="1" t="str">
        <f>HYPERLINK("http://www.rosaceae.org/gb/gbrowse/malus_x_domestica/?name=MDP0000153231","MDP0000153231")</f>
        <v>MDP0000153231</v>
      </c>
      <c r="D17783">
        <v>30.34</v>
      </c>
      <c r="E17783">
        <v>145</v>
      </c>
      <c r="F17783">
        <v>101</v>
      </c>
      <c r="G17783">
        <v>3</v>
      </c>
      <c r="H17783">
        <v>21</v>
      </c>
      <c r="I17783">
        <v>165</v>
      </c>
      <c r="J17783">
        <v>1</v>
      </c>
      <c r="K17783">
        <v>40</v>
      </c>
      <c r="L17783">
        <v>181</v>
      </c>
      <c r="M17783">
        <v>1</v>
      </c>
      <c r="N17783">
        <v>1.52203E-9</v>
      </c>
      <c r="O17783">
        <v>143</v>
      </c>
    </row>
    <row r="17784" spans="1:15" x14ac:dyDescent="0.25">
      <c r="A17784" t="s">
        <v>17797</v>
      </c>
      <c r="B17784">
        <v>519</v>
      </c>
      <c r="C17784" s="1" t="str">
        <f>HYPERLINK("http://www.rosaceae.org/gb/gbrowse/malus_x_domestica/?name=MDP0000135865","MDP0000135865")</f>
        <v>MDP0000135865</v>
      </c>
      <c r="D17784">
        <v>46.62</v>
      </c>
      <c r="E17784">
        <v>474</v>
      </c>
      <c r="F17784">
        <v>253</v>
      </c>
      <c r="G17784">
        <v>93</v>
      </c>
      <c r="H17784">
        <v>1</v>
      </c>
      <c r="I17784">
        <v>391</v>
      </c>
      <c r="J17784">
        <v>1</v>
      </c>
      <c r="K17784">
        <v>1</v>
      </c>
      <c r="L17784">
        <v>464</v>
      </c>
      <c r="M17784">
        <v>1</v>
      </c>
      <c r="N17784">
        <v>8.3505399999999998E-89</v>
      </c>
      <c r="O17784">
        <v>832</v>
      </c>
    </row>
    <row r="17785" spans="1:15" x14ac:dyDescent="0.25">
      <c r="A17785" t="s">
        <v>17798</v>
      </c>
      <c r="B17785">
        <v>692</v>
      </c>
      <c r="C17785" s="1" t="str">
        <f>HYPERLINK("http://www.rosaceae.org/gb/gbrowse/malus_x_domestica/?name=MDP0000272790","MDP0000272790")</f>
        <v>MDP0000272790</v>
      </c>
      <c r="D17785">
        <v>54.11</v>
      </c>
      <c r="E17785">
        <v>680</v>
      </c>
      <c r="F17785">
        <v>312</v>
      </c>
      <c r="G17785">
        <v>54</v>
      </c>
      <c r="H17785">
        <v>28</v>
      </c>
      <c r="I17785">
        <v>682</v>
      </c>
      <c r="J17785">
        <v>1</v>
      </c>
      <c r="K17785">
        <v>28</v>
      </c>
      <c r="L17785">
        <v>678</v>
      </c>
      <c r="M17785">
        <v>1</v>
      </c>
      <c r="N17785">
        <v>0</v>
      </c>
      <c r="O17785">
        <v>1785</v>
      </c>
    </row>
    <row r="17786" spans="1:15" x14ac:dyDescent="0.25">
      <c r="A17786" t="s">
        <v>17799</v>
      </c>
      <c r="B17786">
        <v>619</v>
      </c>
      <c r="C17786" s="1" t="str">
        <f>HYPERLINK("http://www.rosaceae.org/gb/gbrowse/malus_x_domestica/?name=MDP0000304996","MDP0000304996")</f>
        <v>MDP0000304996</v>
      </c>
      <c r="D17786">
        <v>80.81</v>
      </c>
      <c r="E17786">
        <v>636</v>
      </c>
      <c r="F17786">
        <v>122</v>
      </c>
      <c r="G17786">
        <v>31</v>
      </c>
      <c r="H17786">
        <v>1</v>
      </c>
      <c r="I17786">
        <v>618</v>
      </c>
      <c r="J17786">
        <v>1</v>
      </c>
      <c r="K17786">
        <v>1</v>
      </c>
      <c r="L17786">
        <v>623</v>
      </c>
      <c r="M17786">
        <v>1</v>
      </c>
      <c r="N17786">
        <v>0</v>
      </c>
      <c r="O17786">
        <v>2666</v>
      </c>
    </row>
    <row r="17787" spans="1:15" x14ac:dyDescent="0.25">
      <c r="A17787" t="s">
        <v>17800</v>
      </c>
      <c r="B17787">
        <v>132</v>
      </c>
      <c r="C17787" s="1" t="str">
        <f>HYPERLINK("http://www.rosaceae.org/gb/gbrowse/malus_x_domestica/?name=MDP0000430422","MDP0000430422")</f>
        <v>MDP0000430422</v>
      </c>
      <c r="D17787">
        <v>61.11</v>
      </c>
      <c r="E17787">
        <v>36</v>
      </c>
      <c r="F17787">
        <v>14</v>
      </c>
      <c r="G17787">
        <v>0</v>
      </c>
      <c r="H17787">
        <v>58</v>
      </c>
      <c r="I17787">
        <v>93</v>
      </c>
      <c r="J17787">
        <v>1</v>
      </c>
      <c r="K17787">
        <v>268</v>
      </c>
      <c r="L17787">
        <v>303</v>
      </c>
      <c r="M17787">
        <v>1</v>
      </c>
      <c r="N17787">
        <v>2.48372E-7</v>
      </c>
      <c r="O17787">
        <v>121</v>
      </c>
    </row>
    <row r="17788" spans="1:15" x14ac:dyDescent="0.25">
      <c r="A17788" t="s">
        <v>17801</v>
      </c>
      <c r="B17788">
        <v>407</v>
      </c>
      <c r="C17788" s="1" t="str">
        <f>HYPERLINK("http://www.rosaceae.org/gb/gbrowse/malus_x_domestica/?name=MDP0000231846","MDP0000231846")</f>
        <v>MDP0000231846</v>
      </c>
      <c r="D17788">
        <v>83.07</v>
      </c>
      <c r="E17788">
        <v>390</v>
      </c>
      <c r="F17788">
        <v>66</v>
      </c>
      <c r="G17788">
        <v>5</v>
      </c>
      <c r="H17788">
        <v>22</v>
      </c>
      <c r="I17788">
        <v>406</v>
      </c>
      <c r="J17788">
        <v>1</v>
      </c>
      <c r="K17788">
        <v>29</v>
      </c>
      <c r="L17788">
        <v>418</v>
      </c>
      <c r="M17788">
        <v>1</v>
      </c>
      <c r="N17788">
        <v>0</v>
      </c>
      <c r="O17788">
        <v>1737</v>
      </c>
    </row>
    <row r="17789" spans="1:15" x14ac:dyDescent="0.25">
      <c r="A17789" t="s">
        <v>17802</v>
      </c>
      <c r="B17789">
        <v>246</v>
      </c>
      <c r="C17789" s="1" t="str">
        <f>HYPERLINK("http://www.rosaceae.org/gb/gbrowse/malus_x_domestica/?name=MDP0000894463","MDP0000894463")</f>
        <v>MDP0000894463</v>
      </c>
      <c r="D17789">
        <v>63.07</v>
      </c>
      <c r="E17789">
        <v>241</v>
      </c>
      <c r="F17789">
        <v>89</v>
      </c>
      <c r="G17789">
        <v>4</v>
      </c>
      <c r="H17789">
        <v>6</v>
      </c>
      <c r="I17789">
        <v>246</v>
      </c>
      <c r="J17789">
        <v>1</v>
      </c>
      <c r="K17789">
        <v>3</v>
      </c>
      <c r="L17789">
        <v>239</v>
      </c>
      <c r="M17789">
        <v>1</v>
      </c>
      <c r="N17789">
        <v>1.0269E-73</v>
      </c>
      <c r="O17789">
        <v>699</v>
      </c>
    </row>
    <row r="17790" spans="1:15" x14ac:dyDescent="0.25">
      <c r="A17790" t="s">
        <v>17803</v>
      </c>
      <c r="B17790">
        <v>498</v>
      </c>
      <c r="C17790" s="1" t="str">
        <f>HYPERLINK("http://www.rosaceae.org/gb/gbrowse/malus_x_domestica/?name=MDP0000568858","MDP0000568858")</f>
        <v>MDP0000568858</v>
      </c>
      <c r="D17790">
        <v>34.25</v>
      </c>
      <c r="E17790">
        <v>505</v>
      </c>
      <c r="F17790">
        <v>332</v>
      </c>
      <c r="G17790">
        <v>43</v>
      </c>
      <c r="H17790">
        <v>18</v>
      </c>
      <c r="I17790">
        <v>493</v>
      </c>
      <c r="J17790">
        <v>1</v>
      </c>
      <c r="K17790">
        <v>4</v>
      </c>
      <c r="L17790">
        <v>494</v>
      </c>
      <c r="M17790">
        <v>1</v>
      </c>
      <c r="N17790">
        <v>1.8095899999999999E-60</v>
      </c>
      <c r="O17790">
        <v>588</v>
      </c>
    </row>
    <row r="17791" spans="1:15" x14ac:dyDescent="0.25">
      <c r="A17791" t="s">
        <v>17804</v>
      </c>
      <c r="B17791">
        <v>126</v>
      </c>
      <c r="C17791" s="1" t="str">
        <f>HYPERLINK("http://www.rosaceae.org/gb/gbrowse/malus_x_domestica/?name=MDP0000316607","MDP0000316607")</f>
        <v>MDP0000316607</v>
      </c>
      <c r="D17791">
        <v>69.91</v>
      </c>
      <c r="E17791">
        <v>113</v>
      </c>
      <c r="F17791">
        <v>34</v>
      </c>
      <c r="G17791">
        <v>3</v>
      </c>
      <c r="H17791">
        <v>1</v>
      </c>
      <c r="I17791">
        <v>113</v>
      </c>
      <c r="J17791">
        <v>1</v>
      </c>
      <c r="K17791">
        <v>77</v>
      </c>
      <c r="L17791">
        <v>186</v>
      </c>
      <c r="M17791">
        <v>1</v>
      </c>
      <c r="N17791">
        <v>4.3178200000000002E-40</v>
      </c>
      <c r="O17791">
        <v>403</v>
      </c>
    </row>
    <row r="17792" spans="1:15" x14ac:dyDescent="0.25">
      <c r="A17792" t="s">
        <v>17805</v>
      </c>
      <c r="B17792">
        <v>296</v>
      </c>
      <c r="C17792" s="1" t="str">
        <f>HYPERLINK("http://www.rosaceae.org/gb/gbrowse/malus_x_domestica/?name=MDP0000665685","MDP0000665685")</f>
        <v>MDP0000665685</v>
      </c>
      <c r="D17792">
        <v>51.01</v>
      </c>
      <c r="E17792">
        <v>296</v>
      </c>
      <c r="F17792">
        <v>145</v>
      </c>
      <c r="G17792">
        <v>20</v>
      </c>
      <c r="H17792">
        <v>1</v>
      </c>
      <c r="I17792">
        <v>296</v>
      </c>
      <c r="J17792">
        <v>1</v>
      </c>
      <c r="K17792">
        <v>1</v>
      </c>
      <c r="L17792">
        <v>276</v>
      </c>
      <c r="M17792">
        <v>1</v>
      </c>
      <c r="N17792">
        <v>1.86621E-67</v>
      </c>
      <c r="O17792">
        <v>646</v>
      </c>
    </row>
    <row r="17793" spans="1:15" x14ac:dyDescent="0.25">
      <c r="A17793" t="s">
        <v>17806</v>
      </c>
      <c r="B17793">
        <v>323</v>
      </c>
      <c r="C17793" s="1" t="str">
        <f>HYPERLINK("http://www.rosaceae.org/gb/gbrowse/malus_x_domestica/?name=MDP0000173565","MDP0000173565")</f>
        <v>MDP0000173565</v>
      </c>
      <c r="D17793">
        <v>53.68</v>
      </c>
      <c r="E17793">
        <v>326</v>
      </c>
      <c r="F17793">
        <v>151</v>
      </c>
      <c r="G17793">
        <v>29</v>
      </c>
      <c r="H17793">
        <v>19</v>
      </c>
      <c r="I17793">
        <v>320</v>
      </c>
      <c r="J17793">
        <v>1</v>
      </c>
      <c r="K17793">
        <v>21</v>
      </c>
      <c r="L17793">
        <v>341</v>
      </c>
      <c r="M17793">
        <v>1</v>
      </c>
      <c r="N17793">
        <v>2.4006100000000001E-82</v>
      </c>
      <c r="O17793">
        <v>774</v>
      </c>
    </row>
    <row r="17794" spans="1:15" x14ac:dyDescent="0.25">
      <c r="A17794" t="s">
        <v>17807</v>
      </c>
      <c r="B17794">
        <v>340</v>
      </c>
      <c r="C17794" s="1" t="str">
        <f>HYPERLINK("http://www.rosaceae.org/gb/gbrowse/malus_x_domestica/?name=MDP0000127134","MDP0000127134")</f>
        <v>MDP0000127134</v>
      </c>
      <c r="D17794">
        <v>61.53</v>
      </c>
      <c r="E17794">
        <v>260</v>
      </c>
      <c r="F17794">
        <v>100</v>
      </c>
      <c r="G17794">
        <v>22</v>
      </c>
      <c r="H17794">
        <v>12</v>
      </c>
      <c r="I17794">
        <v>263</v>
      </c>
      <c r="J17794">
        <v>1</v>
      </c>
      <c r="K17794">
        <v>6</v>
      </c>
      <c r="L17794">
        <v>251</v>
      </c>
      <c r="M17794">
        <v>1</v>
      </c>
      <c r="N17794">
        <v>1.55686E-78</v>
      </c>
      <c r="O17794">
        <v>742</v>
      </c>
    </row>
    <row r="17795" spans="1:15" x14ac:dyDescent="0.25">
      <c r="A17795" t="s">
        <v>17808</v>
      </c>
      <c r="B17795">
        <v>457</v>
      </c>
      <c r="C17795" s="1" t="str">
        <f>HYPERLINK("http://www.rosaceae.org/gb/gbrowse/malus_x_domestica/?name=MDP0000164866","MDP0000164866")</f>
        <v>MDP0000164866</v>
      </c>
      <c r="D17795">
        <v>69.66</v>
      </c>
      <c r="E17795">
        <v>356</v>
      </c>
      <c r="F17795">
        <v>108</v>
      </c>
      <c r="G17795">
        <v>9</v>
      </c>
      <c r="H17795">
        <v>1</v>
      </c>
      <c r="I17795">
        <v>356</v>
      </c>
      <c r="J17795">
        <v>1</v>
      </c>
      <c r="K17795">
        <v>1</v>
      </c>
      <c r="L17795">
        <v>347</v>
      </c>
      <c r="M17795">
        <v>1</v>
      </c>
      <c r="N17795">
        <v>2.5671599999999999E-134</v>
      </c>
      <c r="O17795">
        <v>1224</v>
      </c>
    </row>
    <row r="17796" spans="1:15" x14ac:dyDescent="0.25">
      <c r="A17796" t="s">
        <v>17809</v>
      </c>
      <c r="B17796">
        <v>304</v>
      </c>
      <c r="C17796" s="1" t="str">
        <f>HYPERLINK("http://www.rosaceae.org/gb/gbrowse/malus_x_domestica/?name=MDP0000417211","MDP0000417211")</f>
        <v>MDP0000417211</v>
      </c>
      <c r="D17796">
        <v>49.7</v>
      </c>
      <c r="E17796">
        <v>169</v>
      </c>
      <c r="F17796">
        <v>85</v>
      </c>
      <c r="G17796">
        <v>18</v>
      </c>
      <c r="H17796">
        <v>154</v>
      </c>
      <c r="I17796">
        <v>304</v>
      </c>
      <c r="J17796">
        <v>1</v>
      </c>
      <c r="K17796">
        <v>1</v>
      </c>
      <c r="L17796">
        <v>169</v>
      </c>
      <c r="M17796">
        <v>1</v>
      </c>
      <c r="N17796">
        <v>6.5152199999999997E-39</v>
      </c>
      <c r="O17796">
        <v>400</v>
      </c>
    </row>
    <row r="17797" spans="1:15" x14ac:dyDescent="0.25">
      <c r="A17797" t="s">
        <v>17810</v>
      </c>
      <c r="B17797">
        <v>555</v>
      </c>
      <c r="C17797" s="1" t="str">
        <f>HYPERLINK("http://www.rosaceae.org/gb/gbrowse/malus_x_domestica/?name=MDP0000181259","MDP0000181259")</f>
        <v>MDP0000181259</v>
      </c>
      <c r="D17797">
        <v>73.37</v>
      </c>
      <c r="E17797">
        <v>586</v>
      </c>
      <c r="F17797">
        <v>156</v>
      </c>
      <c r="G17797">
        <v>47</v>
      </c>
      <c r="H17797">
        <v>1</v>
      </c>
      <c r="I17797">
        <v>541</v>
      </c>
      <c r="J17797">
        <v>1</v>
      </c>
      <c r="K17797">
        <v>1</v>
      </c>
      <c r="L17797">
        <v>584</v>
      </c>
      <c r="M17797">
        <v>1</v>
      </c>
      <c r="N17797">
        <v>0</v>
      </c>
      <c r="O17797">
        <v>2248</v>
      </c>
    </row>
    <row r="17798" spans="1:15" x14ac:dyDescent="0.25">
      <c r="A17798" t="s">
        <v>17811</v>
      </c>
      <c r="B17798">
        <v>166</v>
      </c>
      <c r="C17798" s="1" t="str">
        <f>HYPERLINK("http://www.rosaceae.org/gb/gbrowse/malus_x_domestica/?name=MDP0000152170","MDP0000152170")</f>
        <v>MDP0000152170</v>
      </c>
      <c r="D17798">
        <v>77.099999999999994</v>
      </c>
      <c r="E17798">
        <v>166</v>
      </c>
      <c r="F17798">
        <v>38</v>
      </c>
      <c r="G17798">
        <v>0</v>
      </c>
      <c r="H17798">
        <v>1</v>
      </c>
      <c r="I17798">
        <v>166</v>
      </c>
      <c r="J17798">
        <v>1</v>
      </c>
      <c r="K17798">
        <v>276</v>
      </c>
      <c r="L17798">
        <v>441</v>
      </c>
      <c r="M17798">
        <v>1</v>
      </c>
      <c r="N17798">
        <v>5.0955100000000001E-71</v>
      </c>
      <c r="O17798">
        <v>673</v>
      </c>
    </row>
    <row r="17799" spans="1:15" x14ac:dyDescent="0.25">
      <c r="A17799" t="s">
        <v>17812</v>
      </c>
      <c r="B17799">
        <v>240</v>
      </c>
      <c r="C17799" s="1" t="str">
        <f>HYPERLINK("http://www.rosaceae.org/gb/gbrowse/malus_x_domestica/?name=MDP0000192775","MDP0000192775")</f>
        <v>MDP0000192775</v>
      </c>
      <c r="D17799">
        <v>70.88</v>
      </c>
      <c r="E17799">
        <v>79</v>
      </c>
      <c r="F17799">
        <v>23</v>
      </c>
      <c r="G17799">
        <v>0</v>
      </c>
      <c r="H17799">
        <v>160</v>
      </c>
      <c r="I17799">
        <v>238</v>
      </c>
      <c r="J17799">
        <v>1</v>
      </c>
      <c r="K17799">
        <v>503</v>
      </c>
      <c r="L17799">
        <v>581</v>
      </c>
      <c r="M17799">
        <v>1</v>
      </c>
      <c r="N17799">
        <v>3.1107799999999998E-27</v>
      </c>
      <c r="O17799">
        <v>298</v>
      </c>
    </row>
    <row r="17800" spans="1:15" x14ac:dyDescent="0.25">
      <c r="A17800" t="s">
        <v>17813</v>
      </c>
      <c r="B17800">
        <v>115</v>
      </c>
      <c r="C17800" s="1" t="str">
        <f>HYPERLINK("http://www.rosaceae.org/gb/gbrowse/malus_x_domestica/?name=MDP0000147301","MDP0000147301")</f>
        <v>MDP0000147301</v>
      </c>
      <c r="D17800">
        <v>45.13</v>
      </c>
      <c r="E17800">
        <v>113</v>
      </c>
      <c r="F17800">
        <v>62</v>
      </c>
      <c r="G17800">
        <v>4</v>
      </c>
      <c r="H17800">
        <v>3</v>
      </c>
      <c r="I17800">
        <v>113</v>
      </c>
      <c r="J17800">
        <v>1</v>
      </c>
      <c r="K17800">
        <v>1</v>
      </c>
      <c r="L17800">
        <v>111</v>
      </c>
      <c r="M17800">
        <v>1</v>
      </c>
      <c r="N17800">
        <v>1.4755500000000001E-20</v>
      </c>
      <c r="O17800">
        <v>235</v>
      </c>
    </row>
    <row r="17801" spans="1:15" x14ac:dyDescent="0.25">
      <c r="A17801" t="s">
        <v>17814</v>
      </c>
      <c r="B17801">
        <v>499</v>
      </c>
      <c r="C17801" s="1" t="str">
        <f>HYPERLINK("http://www.rosaceae.org/gb/gbrowse/malus_x_domestica/?name=MDP0000237033","MDP0000237033")</f>
        <v>MDP0000237033</v>
      </c>
      <c r="D17801">
        <v>53.47</v>
      </c>
      <c r="E17801">
        <v>389</v>
      </c>
      <c r="F17801">
        <v>181</v>
      </c>
      <c r="G17801">
        <v>51</v>
      </c>
      <c r="H17801">
        <v>118</v>
      </c>
      <c r="I17801">
        <v>499</v>
      </c>
      <c r="J17801">
        <v>1</v>
      </c>
      <c r="K17801">
        <v>1</v>
      </c>
      <c r="L17801">
        <v>345</v>
      </c>
      <c r="M17801">
        <v>1</v>
      </c>
      <c r="N17801">
        <v>3.1563299999999998E-107</v>
      </c>
      <c r="O17801">
        <v>991</v>
      </c>
    </row>
    <row r="17802" spans="1:15" x14ac:dyDescent="0.25">
      <c r="A17802" t="s">
        <v>17815</v>
      </c>
      <c r="B17802">
        <v>773</v>
      </c>
      <c r="C17802" s="1" t="str">
        <f>HYPERLINK("http://www.rosaceae.org/gb/gbrowse/malus_x_domestica/?name=MDP0000881805","MDP0000881805")</f>
        <v>MDP0000881805</v>
      </c>
      <c r="D17802">
        <v>68.819999999999993</v>
      </c>
      <c r="E17802">
        <v>356</v>
      </c>
      <c r="F17802">
        <v>111</v>
      </c>
      <c r="G17802">
        <v>17</v>
      </c>
      <c r="H17802">
        <v>1</v>
      </c>
      <c r="I17802">
        <v>349</v>
      </c>
      <c r="J17802">
        <v>1</v>
      </c>
      <c r="K17802">
        <v>1</v>
      </c>
      <c r="L17802">
        <v>346</v>
      </c>
      <c r="M17802">
        <v>1</v>
      </c>
      <c r="N17802">
        <v>2.11121E-134</v>
      </c>
      <c r="O17802">
        <v>1227</v>
      </c>
    </row>
    <row r="17803" spans="1:15" x14ac:dyDescent="0.25">
      <c r="A17803" t="s">
        <v>17816</v>
      </c>
      <c r="B17803">
        <v>329</v>
      </c>
      <c r="C17803" s="1" t="str">
        <f>HYPERLINK("http://www.rosaceae.org/gb/gbrowse/malus_x_domestica/?name=MDP0000144765","MDP0000144765")</f>
        <v>MDP0000144765</v>
      </c>
      <c r="D17803">
        <v>39.81</v>
      </c>
      <c r="E17803">
        <v>211</v>
      </c>
      <c r="F17803">
        <v>127</v>
      </c>
      <c r="G17803">
        <v>35</v>
      </c>
      <c r="H17803">
        <v>74</v>
      </c>
      <c r="I17803">
        <v>253</v>
      </c>
      <c r="J17803">
        <v>1</v>
      </c>
      <c r="K17803">
        <v>59</v>
      </c>
      <c r="L17803">
        <v>265</v>
      </c>
      <c r="M17803">
        <v>1</v>
      </c>
      <c r="N17803">
        <v>1.2105199999999999E-33</v>
      </c>
      <c r="O17803">
        <v>355</v>
      </c>
    </row>
    <row r="17804" spans="1:15" x14ac:dyDescent="0.25">
      <c r="A17804" t="s">
        <v>17817</v>
      </c>
      <c r="B17804">
        <v>178</v>
      </c>
      <c r="C17804" s="1" t="str">
        <f>HYPERLINK("http://www.rosaceae.org/gb/gbrowse/malus_x_domestica/?name=MDP0000190082","MDP0000190082")</f>
        <v>MDP0000190082</v>
      </c>
      <c r="D17804">
        <v>59.25</v>
      </c>
      <c r="E17804">
        <v>54</v>
      </c>
      <c r="F17804">
        <v>22</v>
      </c>
      <c r="G17804">
        <v>0</v>
      </c>
      <c r="H17804">
        <v>1</v>
      </c>
      <c r="I17804">
        <v>54</v>
      </c>
      <c r="J17804">
        <v>1</v>
      </c>
      <c r="K17804">
        <v>1</v>
      </c>
      <c r="L17804">
        <v>54</v>
      </c>
      <c r="M17804">
        <v>1</v>
      </c>
      <c r="N17804">
        <v>1.3195399999999999E-13</v>
      </c>
      <c r="O17804">
        <v>178</v>
      </c>
    </row>
    <row r="17805" spans="1:15" x14ac:dyDescent="0.25">
      <c r="A17805" t="s">
        <v>17818</v>
      </c>
      <c r="B17805">
        <v>319</v>
      </c>
      <c r="C17805" s="1" t="str">
        <f>HYPERLINK("http://www.rosaceae.org/gb/gbrowse/malus_x_domestica/?name=MDP0000466790","MDP0000466790")</f>
        <v>MDP0000466790</v>
      </c>
      <c r="D17805">
        <v>94.59</v>
      </c>
      <c r="E17805">
        <v>222</v>
      </c>
      <c r="F17805">
        <v>12</v>
      </c>
      <c r="G17805">
        <v>1</v>
      </c>
      <c r="H17805">
        <v>98</v>
      </c>
      <c r="I17805">
        <v>318</v>
      </c>
      <c r="J17805">
        <v>1</v>
      </c>
      <c r="K17805">
        <v>1</v>
      </c>
      <c r="L17805">
        <v>222</v>
      </c>
      <c r="M17805">
        <v>1</v>
      </c>
      <c r="N17805">
        <v>1.6971199999999999E-121</v>
      </c>
      <c r="O17805">
        <v>1112</v>
      </c>
    </row>
    <row r="17806" spans="1:15" x14ac:dyDescent="0.25">
      <c r="A17806" t="s">
        <v>17819</v>
      </c>
      <c r="B17806">
        <v>182</v>
      </c>
      <c r="C17806" s="1" t="str">
        <f>HYPERLINK("http://www.rosaceae.org/gb/gbrowse/malus_x_domestica/?name=MDP0000300444","MDP0000300444")</f>
        <v>MDP0000300444</v>
      </c>
      <c r="D17806">
        <v>65.709999999999994</v>
      </c>
      <c r="E17806">
        <v>105</v>
      </c>
      <c r="F17806">
        <v>36</v>
      </c>
      <c r="G17806">
        <v>1</v>
      </c>
      <c r="H17806">
        <v>74</v>
      </c>
      <c r="I17806">
        <v>178</v>
      </c>
      <c r="J17806">
        <v>1</v>
      </c>
      <c r="K17806">
        <v>278</v>
      </c>
      <c r="L17806">
        <v>381</v>
      </c>
      <c r="M17806">
        <v>1</v>
      </c>
      <c r="N17806">
        <v>5.82744E-35</v>
      </c>
      <c r="O17806">
        <v>362</v>
      </c>
    </row>
    <row r="17807" spans="1:15" x14ac:dyDescent="0.25">
      <c r="A17807" t="s">
        <v>17820</v>
      </c>
      <c r="B17807">
        <v>201</v>
      </c>
      <c r="C17807" s="1" t="str">
        <f>HYPERLINK("http://www.rosaceae.org/gb/gbrowse/malus_x_domestica/?name=MDP0000543964","MDP0000543964")</f>
        <v>MDP0000543964</v>
      </c>
      <c r="D17807">
        <v>72.72</v>
      </c>
      <c r="E17807">
        <v>77</v>
      </c>
      <c r="F17807">
        <v>21</v>
      </c>
      <c r="G17807">
        <v>0</v>
      </c>
      <c r="H17807">
        <v>51</v>
      </c>
      <c r="I17807">
        <v>127</v>
      </c>
      <c r="J17807">
        <v>1</v>
      </c>
      <c r="K17807">
        <v>366</v>
      </c>
      <c r="L17807">
        <v>442</v>
      </c>
      <c r="M17807">
        <v>1</v>
      </c>
      <c r="N17807">
        <v>9.5972500000000001E-29</v>
      </c>
      <c r="O17807">
        <v>309</v>
      </c>
    </row>
    <row r="17808" spans="1:15" x14ac:dyDescent="0.25">
      <c r="A17808" t="s">
        <v>17821</v>
      </c>
      <c r="B17808">
        <v>648</v>
      </c>
      <c r="C17808" s="1" t="str">
        <f>HYPERLINK("http://www.rosaceae.org/gb/gbrowse/malus_x_domestica/?name=MDP0000942994","MDP0000942994")</f>
        <v>MDP0000942994</v>
      </c>
      <c r="D17808">
        <v>50.14</v>
      </c>
      <c r="E17808">
        <v>676</v>
      </c>
      <c r="F17808">
        <v>337</v>
      </c>
      <c r="G17808">
        <v>49</v>
      </c>
      <c r="H17808">
        <v>3</v>
      </c>
      <c r="I17808">
        <v>647</v>
      </c>
      <c r="J17808">
        <v>1</v>
      </c>
      <c r="K17808">
        <v>15</v>
      </c>
      <c r="L17808">
        <v>672</v>
      </c>
      <c r="M17808">
        <v>1</v>
      </c>
      <c r="N17808">
        <v>3.6660700000000001E-176</v>
      </c>
      <c r="O17808">
        <v>1587</v>
      </c>
    </row>
    <row r="17809" spans="1:15" x14ac:dyDescent="0.25">
      <c r="A17809" t="s">
        <v>17822</v>
      </c>
      <c r="B17809">
        <v>103</v>
      </c>
      <c r="C17809" s="1" t="str">
        <f>HYPERLINK("http://www.rosaceae.org/gb/gbrowse/malus_x_domestica/?name=MDP0000727860","MDP0000727860")</f>
        <v>MDP0000727860</v>
      </c>
      <c r="D17809">
        <v>60.49</v>
      </c>
      <c r="E17809">
        <v>81</v>
      </c>
      <c r="F17809">
        <v>32</v>
      </c>
      <c r="G17809">
        <v>0</v>
      </c>
      <c r="H17809">
        <v>23</v>
      </c>
      <c r="I17809">
        <v>103</v>
      </c>
      <c r="J17809">
        <v>1</v>
      </c>
      <c r="K17809">
        <v>80</v>
      </c>
      <c r="L17809">
        <v>160</v>
      </c>
      <c r="M17809">
        <v>1</v>
      </c>
      <c r="N17809">
        <v>6.8883599999999995E-20</v>
      </c>
      <c r="O17809">
        <v>229</v>
      </c>
    </row>
    <row r="17810" spans="1:15" x14ac:dyDescent="0.25">
      <c r="A17810" t="s">
        <v>17823</v>
      </c>
      <c r="B17810">
        <v>737</v>
      </c>
      <c r="C17810" s="1" t="str">
        <f>HYPERLINK("http://www.rosaceae.org/gb/gbrowse/malus_x_domestica/?name=MDP0000244231","MDP0000244231")</f>
        <v>MDP0000244231</v>
      </c>
      <c r="D17810">
        <v>63.97</v>
      </c>
      <c r="E17810">
        <v>719</v>
      </c>
      <c r="F17810">
        <v>259</v>
      </c>
      <c r="G17810">
        <v>24</v>
      </c>
      <c r="H17810">
        <v>23</v>
      </c>
      <c r="I17810">
        <v>721</v>
      </c>
      <c r="J17810">
        <v>1</v>
      </c>
      <c r="K17810">
        <v>118</v>
      </c>
      <c r="L17810">
        <v>832</v>
      </c>
      <c r="M17810">
        <v>1</v>
      </c>
      <c r="N17810">
        <v>0</v>
      </c>
      <c r="O17810">
        <v>2338</v>
      </c>
    </row>
    <row r="17811" spans="1:15" x14ac:dyDescent="0.25">
      <c r="A17811" t="s">
        <v>17824</v>
      </c>
      <c r="B17811">
        <v>608</v>
      </c>
      <c r="C17811" s="1" t="str">
        <f>HYPERLINK("http://www.rosaceae.org/gb/gbrowse/malus_x_domestica/?name=MDP0000201271","MDP0000201271")</f>
        <v>MDP0000201271</v>
      </c>
      <c r="D17811">
        <v>76.849999999999994</v>
      </c>
      <c r="E17811">
        <v>674</v>
      </c>
      <c r="F17811">
        <v>156</v>
      </c>
      <c r="G17811">
        <v>76</v>
      </c>
      <c r="H17811">
        <v>1</v>
      </c>
      <c r="I17811">
        <v>608</v>
      </c>
      <c r="J17811">
        <v>1</v>
      </c>
      <c r="K17811">
        <v>1</v>
      </c>
      <c r="L17811">
        <v>664</v>
      </c>
      <c r="M17811">
        <v>1</v>
      </c>
      <c r="N17811">
        <v>0</v>
      </c>
      <c r="O17811">
        <v>2569</v>
      </c>
    </row>
    <row r="17812" spans="1:15" x14ac:dyDescent="0.25">
      <c r="A17812" t="s">
        <v>17825</v>
      </c>
      <c r="B17812">
        <v>482</v>
      </c>
      <c r="C17812" s="1" t="str">
        <f>HYPERLINK("http://www.rosaceae.org/gb/gbrowse/malus_x_domestica/?name=MDP0000139990","MDP0000139990")</f>
        <v>MDP0000139990</v>
      </c>
      <c r="D17812">
        <v>79.83</v>
      </c>
      <c r="E17812">
        <v>491</v>
      </c>
      <c r="F17812">
        <v>99</v>
      </c>
      <c r="G17812">
        <v>18</v>
      </c>
      <c r="H17812">
        <v>4</v>
      </c>
      <c r="I17812">
        <v>482</v>
      </c>
      <c r="J17812">
        <v>1</v>
      </c>
      <c r="K17812">
        <v>14</v>
      </c>
      <c r="L17812">
        <v>498</v>
      </c>
      <c r="M17812">
        <v>1</v>
      </c>
      <c r="N17812">
        <v>0</v>
      </c>
      <c r="O17812">
        <v>2041</v>
      </c>
    </row>
    <row r="17813" spans="1:15" x14ac:dyDescent="0.25">
      <c r="A17813" t="s">
        <v>17826</v>
      </c>
      <c r="B17813">
        <v>250</v>
      </c>
      <c r="C17813" s="1" t="str">
        <f>HYPERLINK("http://www.rosaceae.org/gb/gbrowse/malus_x_domestica/?name=MDP0000242500","MDP0000242500")</f>
        <v>MDP0000242500</v>
      </c>
      <c r="D17813">
        <v>62.94</v>
      </c>
      <c r="E17813">
        <v>224</v>
      </c>
      <c r="F17813">
        <v>83</v>
      </c>
      <c r="G17813">
        <v>23</v>
      </c>
      <c r="H17813">
        <v>28</v>
      </c>
      <c r="I17813">
        <v>248</v>
      </c>
      <c r="J17813">
        <v>1</v>
      </c>
      <c r="K17813">
        <v>25</v>
      </c>
      <c r="L17813">
        <v>228</v>
      </c>
      <c r="M17813">
        <v>1</v>
      </c>
      <c r="N17813">
        <v>1.6851899999999999E-70</v>
      </c>
      <c r="O17813">
        <v>671</v>
      </c>
    </row>
    <row r="17814" spans="1:15" x14ac:dyDescent="0.25">
      <c r="A17814" t="s">
        <v>17827</v>
      </c>
      <c r="B17814">
        <v>960</v>
      </c>
      <c r="C17814" s="1" t="str">
        <f>HYPERLINK("http://www.rosaceae.org/gb/gbrowse/malus_x_domestica/?name=MDP0000922388","MDP0000922388")</f>
        <v>MDP0000922388</v>
      </c>
      <c r="D17814">
        <v>76.569999999999993</v>
      </c>
      <c r="E17814">
        <v>952</v>
      </c>
      <c r="F17814">
        <v>223</v>
      </c>
      <c r="G17814">
        <v>2</v>
      </c>
      <c r="H17814">
        <v>8</v>
      </c>
      <c r="I17814">
        <v>958</v>
      </c>
      <c r="J17814">
        <v>1</v>
      </c>
      <c r="K17814">
        <v>22</v>
      </c>
      <c r="L17814">
        <v>972</v>
      </c>
      <c r="M17814">
        <v>1</v>
      </c>
      <c r="N17814">
        <v>0</v>
      </c>
      <c r="O17814">
        <v>3779</v>
      </c>
    </row>
    <row r="17815" spans="1:15" x14ac:dyDescent="0.25">
      <c r="A17815" t="s">
        <v>17828</v>
      </c>
      <c r="B17815">
        <v>212</v>
      </c>
      <c r="C17815" s="1" t="str">
        <f>HYPERLINK("http://www.rosaceae.org/gb/gbrowse/malus_x_domestica/?name=MDP0000782642","MDP0000782642")</f>
        <v>MDP0000782642</v>
      </c>
      <c r="D17815">
        <v>56.14</v>
      </c>
      <c r="E17815">
        <v>228</v>
      </c>
      <c r="F17815">
        <v>100</v>
      </c>
      <c r="G17815">
        <v>28</v>
      </c>
      <c r="H17815">
        <v>4</v>
      </c>
      <c r="I17815">
        <v>207</v>
      </c>
      <c r="J17815">
        <v>1</v>
      </c>
      <c r="K17815">
        <v>6</v>
      </c>
      <c r="L17815">
        <v>229</v>
      </c>
      <c r="M17815">
        <v>1</v>
      </c>
      <c r="N17815">
        <v>1.9089599999999999E-64</v>
      </c>
      <c r="O17815">
        <v>618</v>
      </c>
    </row>
    <row r="17816" spans="1:15" x14ac:dyDescent="0.25">
      <c r="A17816" t="s">
        <v>17829</v>
      </c>
      <c r="B17816">
        <v>490</v>
      </c>
      <c r="C17816" s="1" t="str">
        <f>HYPERLINK("http://www.rosaceae.org/gb/gbrowse/malus_x_domestica/?name=MDP0000237931","MDP0000237931")</f>
        <v>MDP0000237931</v>
      </c>
      <c r="D17816">
        <v>80.900000000000006</v>
      </c>
      <c r="E17816">
        <v>487</v>
      </c>
      <c r="F17816">
        <v>93</v>
      </c>
      <c r="G17816">
        <v>0</v>
      </c>
      <c r="H17816">
        <v>4</v>
      </c>
      <c r="I17816">
        <v>490</v>
      </c>
      <c r="J17816">
        <v>1</v>
      </c>
      <c r="K17816">
        <v>3</v>
      </c>
      <c r="L17816">
        <v>489</v>
      </c>
      <c r="M17816">
        <v>1</v>
      </c>
      <c r="N17816">
        <v>0</v>
      </c>
      <c r="O17816">
        <v>2125</v>
      </c>
    </row>
    <row r="17817" spans="1:15" x14ac:dyDescent="0.25">
      <c r="A17817" t="s">
        <v>17830</v>
      </c>
      <c r="B17817">
        <v>279</v>
      </c>
      <c r="C17817" s="1" t="str">
        <f>HYPERLINK("http://www.rosaceae.org/gb/gbrowse/malus_x_domestica/?name=MDP0000252371","MDP0000252371")</f>
        <v>MDP0000252371</v>
      </c>
      <c r="D17817">
        <v>84.22</v>
      </c>
      <c r="E17817">
        <v>279</v>
      </c>
      <c r="F17817">
        <v>44</v>
      </c>
      <c r="G17817">
        <v>0</v>
      </c>
      <c r="H17817">
        <v>1</v>
      </c>
      <c r="I17817">
        <v>279</v>
      </c>
      <c r="J17817">
        <v>1</v>
      </c>
      <c r="K17817">
        <v>345</v>
      </c>
      <c r="L17817">
        <v>623</v>
      </c>
      <c r="M17817">
        <v>1</v>
      </c>
      <c r="N17817">
        <v>1.03723E-138</v>
      </c>
      <c r="O17817">
        <v>1260</v>
      </c>
    </row>
    <row r="17818" spans="1:15" x14ac:dyDescent="0.25">
      <c r="A17818" t="s">
        <v>17831</v>
      </c>
      <c r="B17818">
        <v>655</v>
      </c>
      <c r="C17818" s="1" t="str">
        <f>HYPERLINK("http://www.rosaceae.org/gb/gbrowse/malus_x_domestica/?name=MDP0000923640","MDP0000923640")</f>
        <v>MDP0000923640</v>
      </c>
      <c r="D17818">
        <v>44.8</v>
      </c>
      <c r="E17818">
        <v>125</v>
      </c>
      <c r="F17818">
        <v>69</v>
      </c>
      <c r="G17818">
        <v>11</v>
      </c>
      <c r="H17818">
        <v>352</v>
      </c>
      <c r="I17818">
        <v>474</v>
      </c>
      <c r="J17818">
        <v>1</v>
      </c>
      <c r="K17818">
        <v>2</v>
      </c>
      <c r="L17818">
        <v>117</v>
      </c>
      <c r="M17818">
        <v>1</v>
      </c>
      <c r="N17818">
        <v>2.6266199999999998E-18</v>
      </c>
      <c r="O17818">
        <v>226</v>
      </c>
    </row>
    <row r="17819" spans="1:15" x14ac:dyDescent="0.25">
      <c r="A17819" t="s">
        <v>17832</v>
      </c>
      <c r="B17819">
        <v>955</v>
      </c>
      <c r="C17819" s="1" t="str">
        <f>HYPERLINK("http://www.rosaceae.org/gb/gbrowse/malus_x_domestica/?name=MDP0000248934","MDP0000248934")</f>
        <v>MDP0000248934</v>
      </c>
      <c r="D17819">
        <v>50.92</v>
      </c>
      <c r="E17819">
        <v>760</v>
      </c>
      <c r="F17819">
        <v>373</v>
      </c>
      <c r="G17819">
        <v>116</v>
      </c>
      <c r="H17819">
        <v>192</v>
      </c>
      <c r="I17819">
        <v>893</v>
      </c>
      <c r="J17819">
        <v>1</v>
      </c>
      <c r="K17819">
        <v>16</v>
      </c>
      <c r="L17819">
        <v>717</v>
      </c>
      <c r="M17819">
        <v>1</v>
      </c>
      <c r="N17819">
        <v>0</v>
      </c>
      <c r="O17819">
        <v>1757</v>
      </c>
    </row>
    <row r="17820" spans="1:15" x14ac:dyDescent="0.25">
      <c r="A17820" t="s">
        <v>17833</v>
      </c>
      <c r="B17820">
        <v>283</v>
      </c>
      <c r="C17820" s="1" t="str">
        <f>HYPERLINK("http://www.rosaceae.org/gb/gbrowse/malus_x_domestica/?name=MDP0000259191","MDP0000259191")</f>
        <v>MDP0000259191</v>
      </c>
      <c r="D17820">
        <v>83.89</v>
      </c>
      <c r="E17820">
        <v>149</v>
      </c>
      <c r="F17820">
        <v>24</v>
      </c>
      <c r="G17820">
        <v>0</v>
      </c>
      <c r="H17820">
        <v>1</v>
      </c>
      <c r="I17820">
        <v>149</v>
      </c>
      <c r="J17820">
        <v>1</v>
      </c>
      <c r="K17820">
        <v>4</v>
      </c>
      <c r="L17820">
        <v>152</v>
      </c>
      <c r="M17820">
        <v>1</v>
      </c>
      <c r="N17820">
        <v>8.3523400000000005E-71</v>
      </c>
      <c r="O17820">
        <v>674</v>
      </c>
    </row>
    <row r="17821" spans="1:15" x14ac:dyDescent="0.25">
      <c r="A17821" t="s">
        <v>17834</v>
      </c>
      <c r="B17821">
        <v>119</v>
      </c>
      <c r="C17821" s="1" t="str">
        <f>HYPERLINK("http://www.rosaceae.org/gb/gbrowse/malus_x_domestica/?name=MDP0000320196","MDP0000320196")</f>
        <v>MDP0000320196</v>
      </c>
      <c r="D17821">
        <v>77.41</v>
      </c>
      <c r="E17821">
        <v>31</v>
      </c>
      <c r="F17821">
        <v>7</v>
      </c>
      <c r="G17821">
        <v>0</v>
      </c>
      <c r="H17821">
        <v>1</v>
      </c>
      <c r="I17821">
        <v>31</v>
      </c>
      <c r="J17821">
        <v>1</v>
      </c>
      <c r="K17821">
        <v>1</v>
      </c>
      <c r="L17821">
        <v>31</v>
      </c>
      <c r="M17821">
        <v>1</v>
      </c>
      <c r="N17821">
        <v>1.7403700000000001E-7</v>
      </c>
      <c r="O17821">
        <v>122</v>
      </c>
    </row>
    <row r="17822" spans="1:15" x14ac:dyDescent="0.25">
      <c r="A17822" t="s">
        <v>17835</v>
      </c>
      <c r="B17822">
        <v>294</v>
      </c>
      <c r="C17822" s="1" t="str">
        <f>HYPERLINK("http://www.rosaceae.org/gb/gbrowse/malus_x_domestica/?name=MDP0000156410","MDP0000156410")</f>
        <v>MDP0000156410</v>
      </c>
      <c r="D17822">
        <v>64.39</v>
      </c>
      <c r="E17822">
        <v>205</v>
      </c>
      <c r="F17822">
        <v>73</v>
      </c>
      <c r="G17822">
        <v>6</v>
      </c>
      <c r="H17822">
        <v>62</v>
      </c>
      <c r="I17822">
        <v>262</v>
      </c>
      <c r="J17822">
        <v>1</v>
      </c>
      <c r="K17822">
        <v>588</v>
      </c>
      <c r="L17822">
        <v>790</v>
      </c>
      <c r="M17822">
        <v>1</v>
      </c>
      <c r="N17822">
        <v>3.9485700000000003E-65</v>
      </c>
      <c r="O17822">
        <v>626</v>
      </c>
    </row>
    <row r="17823" spans="1:15" x14ac:dyDescent="0.25">
      <c r="A17823" t="s">
        <v>17836</v>
      </c>
      <c r="B17823">
        <v>185</v>
      </c>
      <c r="C17823" s="1" t="str">
        <f>HYPERLINK("http://www.rosaceae.org/gb/gbrowse/malus_x_domestica/?name=MDP0000240772","MDP0000240772")</f>
        <v>MDP0000240772</v>
      </c>
      <c r="D17823">
        <v>83.33</v>
      </c>
      <c r="E17823">
        <v>168</v>
      </c>
      <c r="F17823">
        <v>28</v>
      </c>
      <c r="G17823">
        <v>0</v>
      </c>
      <c r="H17823">
        <v>18</v>
      </c>
      <c r="I17823">
        <v>185</v>
      </c>
      <c r="J17823">
        <v>1</v>
      </c>
      <c r="K17823">
        <v>585</v>
      </c>
      <c r="L17823">
        <v>752</v>
      </c>
      <c r="M17823">
        <v>1</v>
      </c>
      <c r="N17823">
        <v>1.3262299999999999E-80</v>
      </c>
      <c r="O17823">
        <v>756</v>
      </c>
    </row>
    <row r="17824" spans="1:15" x14ac:dyDescent="0.25">
      <c r="A17824" t="s">
        <v>17837</v>
      </c>
      <c r="B17824">
        <v>141</v>
      </c>
      <c r="C17824" s="1" t="str">
        <f>HYPERLINK("http://www.rosaceae.org/gb/gbrowse/malus_x_domestica/?name=MDP0000613561","MDP0000613561")</f>
        <v>MDP0000613561</v>
      </c>
      <c r="D17824">
        <v>46.39</v>
      </c>
      <c r="E17824">
        <v>97</v>
      </c>
      <c r="F17824">
        <v>52</v>
      </c>
      <c r="G17824">
        <v>23</v>
      </c>
      <c r="H17824">
        <v>6</v>
      </c>
      <c r="I17824">
        <v>100</v>
      </c>
      <c r="J17824">
        <v>1</v>
      </c>
      <c r="K17824">
        <v>1</v>
      </c>
      <c r="L17824">
        <v>76</v>
      </c>
      <c r="M17824">
        <v>1</v>
      </c>
      <c r="N17824">
        <v>6.7215899999999997E-10</v>
      </c>
      <c r="O17824">
        <v>144</v>
      </c>
    </row>
    <row r="17825" spans="1:15" x14ac:dyDescent="0.25">
      <c r="A17825" t="s">
        <v>17838</v>
      </c>
      <c r="B17825">
        <v>354</v>
      </c>
      <c r="C17825" s="1" t="str">
        <f>HYPERLINK("http://www.rosaceae.org/gb/gbrowse/malus_x_domestica/?name=MDP0000222925","MDP0000222925")</f>
        <v>MDP0000222925</v>
      </c>
      <c r="D17825">
        <v>53.52</v>
      </c>
      <c r="E17825">
        <v>340</v>
      </c>
      <c r="F17825">
        <v>158</v>
      </c>
      <c r="G17825">
        <v>33</v>
      </c>
      <c r="H17825">
        <v>35</v>
      </c>
      <c r="I17825">
        <v>354</v>
      </c>
      <c r="J17825">
        <v>1</v>
      </c>
      <c r="K17825">
        <v>36</v>
      </c>
      <c r="L17825">
        <v>362</v>
      </c>
      <c r="M17825">
        <v>1</v>
      </c>
      <c r="N17825">
        <v>3.63309E-90</v>
      </c>
      <c r="O17825">
        <v>842</v>
      </c>
    </row>
    <row r="17826" spans="1:15" x14ac:dyDescent="0.25">
      <c r="A17826" t="s">
        <v>17839</v>
      </c>
      <c r="B17826">
        <v>703</v>
      </c>
      <c r="C17826" s="1" t="str">
        <f>HYPERLINK("http://www.rosaceae.org/gb/gbrowse/malus_x_domestica/?name=MDP0000153450","MDP0000153450")</f>
        <v>MDP0000153450</v>
      </c>
      <c r="D17826">
        <v>55</v>
      </c>
      <c r="E17826">
        <v>40</v>
      </c>
      <c r="F17826">
        <v>18</v>
      </c>
      <c r="G17826">
        <v>0</v>
      </c>
      <c r="H17826">
        <v>555</v>
      </c>
      <c r="I17826">
        <v>594</v>
      </c>
      <c r="J17826">
        <v>1</v>
      </c>
      <c r="K17826">
        <v>135</v>
      </c>
      <c r="L17826">
        <v>174</v>
      </c>
      <c r="M17826">
        <v>1</v>
      </c>
      <c r="N17826">
        <v>1.9419399999999999E-8</v>
      </c>
      <c r="O17826">
        <v>141</v>
      </c>
    </row>
    <row r="17827" spans="1:15" x14ac:dyDescent="0.25">
      <c r="A17827" t="s">
        <v>17840</v>
      </c>
      <c r="B17827">
        <v>323</v>
      </c>
      <c r="C17827" s="1" t="str">
        <f>HYPERLINK("http://www.rosaceae.org/gb/gbrowse/malus_x_domestica/?name=MDP0000500222","MDP0000500222")</f>
        <v>MDP0000500222</v>
      </c>
      <c r="D17827">
        <v>34.68</v>
      </c>
      <c r="E17827">
        <v>369</v>
      </c>
      <c r="F17827">
        <v>241</v>
      </c>
      <c r="G17827">
        <v>71</v>
      </c>
      <c r="H17827">
        <v>13</v>
      </c>
      <c r="I17827">
        <v>323</v>
      </c>
      <c r="J17827">
        <v>1</v>
      </c>
      <c r="K17827">
        <v>74</v>
      </c>
      <c r="L17827">
        <v>429</v>
      </c>
      <c r="M17827">
        <v>1</v>
      </c>
      <c r="N17827">
        <v>4.6894500000000003E-46</v>
      </c>
      <c r="O17827">
        <v>462</v>
      </c>
    </row>
    <row r="17828" spans="1:15" x14ac:dyDescent="0.25">
      <c r="A17828" t="s">
        <v>17841</v>
      </c>
      <c r="B17828">
        <v>504</v>
      </c>
      <c r="C17828" s="1" t="str">
        <f>HYPERLINK("http://www.rosaceae.org/gb/gbrowse/malus_x_domestica/?name=MDP0000277205","MDP0000277205")</f>
        <v>MDP0000277205</v>
      </c>
      <c r="D17828">
        <v>33.46</v>
      </c>
      <c r="E17828">
        <v>496</v>
      </c>
      <c r="F17828">
        <v>330</v>
      </c>
      <c r="G17828">
        <v>51</v>
      </c>
      <c r="H17828">
        <v>33</v>
      </c>
      <c r="I17828">
        <v>491</v>
      </c>
      <c r="J17828">
        <v>1</v>
      </c>
      <c r="K17828">
        <v>69</v>
      </c>
      <c r="L17828">
        <v>550</v>
      </c>
      <c r="M17828">
        <v>1</v>
      </c>
      <c r="N17828">
        <v>5.9310199999999994E-76</v>
      </c>
      <c r="O17828">
        <v>722</v>
      </c>
    </row>
    <row r="17829" spans="1:15" x14ac:dyDescent="0.25">
      <c r="A17829" t="s">
        <v>17842</v>
      </c>
      <c r="B17829">
        <v>569</v>
      </c>
      <c r="C17829" s="1" t="str">
        <f>HYPERLINK("http://www.rosaceae.org/gb/gbrowse/malus_x_domestica/?name=MDP0000746671","MDP0000746671")</f>
        <v>MDP0000746671</v>
      </c>
      <c r="D17829">
        <v>79.69</v>
      </c>
      <c r="E17829">
        <v>581</v>
      </c>
      <c r="F17829">
        <v>118</v>
      </c>
      <c r="G17829">
        <v>12</v>
      </c>
      <c r="H17829">
        <v>1</v>
      </c>
      <c r="I17829">
        <v>569</v>
      </c>
      <c r="J17829">
        <v>1</v>
      </c>
      <c r="K17829">
        <v>1</v>
      </c>
      <c r="L17829">
        <v>581</v>
      </c>
      <c r="M17829">
        <v>1</v>
      </c>
      <c r="N17829">
        <v>0</v>
      </c>
      <c r="O17829">
        <v>2472</v>
      </c>
    </row>
    <row r="17830" spans="1:15" x14ac:dyDescent="0.25">
      <c r="A17830" t="s">
        <v>17843</v>
      </c>
      <c r="B17830">
        <v>388</v>
      </c>
      <c r="C17830" s="1" t="str">
        <f>HYPERLINK("http://www.rosaceae.org/gb/gbrowse/malus_x_domestica/?name=MDP0000771647","MDP0000771647")</f>
        <v>MDP0000771647</v>
      </c>
      <c r="D17830">
        <v>59.94</v>
      </c>
      <c r="E17830">
        <v>387</v>
      </c>
      <c r="F17830">
        <v>155</v>
      </c>
      <c r="G17830">
        <v>8</v>
      </c>
      <c r="H17830">
        <v>1</v>
      </c>
      <c r="I17830">
        <v>386</v>
      </c>
      <c r="J17830">
        <v>1</v>
      </c>
      <c r="K17830">
        <v>1</v>
      </c>
      <c r="L17830">
        <v>380</v>
      </c>
      <c r="M17830">
        <v>1</v>
      </c>
      <c r="N17830">
        <v>1.7098599999999999E-138</v>
      </c>
      <c r="O17830">
        <v>1260</v>
      </c>
    </row>
    <row r="17831" spans="1:15" x14ac:dyDescent="0.25">
      <c r="A17831" t="s">
        <v>17844</v>
      </c>
      <c r="B17831">
        <v>124</v>
      </c>
      <c r="C17831" s="1" t="str">
        <f>HYPERLINK("http://www.rosaceae.org/gb/gbrowse/malus_x_domestica/?name=MDP0000164135","MDP0000164135")</f>
        <v>MDP0000164135</v>
      </c>
      <c r="D17831">
        <v>43.42</v>
      </c>
      <c r="E17831">
        <v>76</v>
      </c>
      <c r="F17831">
        <v>43</v>
      </c>
      <c r="G17831">
        <v>0</v>
      </c>
      <c r="H17831">
        <v>21</v>
      </c>
      <c r="I17831">
        <v>96</v>
      </c>
      <c r="J17831">
        <v>1</v>
      </c>
      <c r="K17831">
        <v>167</v>
      </c>
      <c r="L17831">
        <v>242</v>
      </c>
      <c r="M17831">
        <v>1</v>
      </c>
      <c r="N17831">
        <v>2.5730499999999999E-11</v>
      </c>
      <c r="O17831">
        <v>155</v>
      </c>
    </row>
    <row r="17832" spans="1:15" x14ac:dyDescent="0.25">
      <c r="A17832" t="s">
        <v>17845</v>
      </c>
      <c r="B17832">
        <v>765</v>
      </c>
      <c r="C17832" s="1" t="str">
        <f>HYPERLINK("http://www.rosaceae.org/gb/gbrowse/malus_x_domestica/?name=MDP0000722905","MDP0000722905")</f>
        <v>MDP0000722905</v>
      </c>
      <c r="D17832">
        <v>84.34</v>
      </c>
      <c r="E17832">
        <v>773</v>
      </c>
      <c r="F17832">
        <v>121</v>
      </c>
      <c r="G17832">
        <v>15</v>
      </c>
      <c r="H17832">
        <v>1</v>
      </c>
      <c r="I17832">
        <v>765</v>
      </c>
      <c r="J17832">
        <v>1</v>
      </c>
      <c r="K17832">
        <v>1</v>
      </c>
      <c r="L17832">
        <v>766</v>
      </c>
      <c r="M17832">
        <v>1</v>
      </c>
      <c r="N17832">
        <v>0</v>
      </c>
      <c r="O17832">
        <v>3487</v>
      </c>
    </row>
    <row r="17833" spans="1:15" x14ac:dyDescent="0.25">
      <c r="A17833" t="s">
        <v>17846</v>
      </c>
      <c r="B17833">
        <v>312</v>
      </c>
      <c r="C17833" s="1" t="str">
        <f>HYPERLINK("http://www.rosaceae.org/gb/gbrowse/malus_x_domestica/?name=MDP0000695917","MDP0000695917")</f>
        <v>MDP0000695917</v>
      </c>
      <c r="D17833">
        <v>36.49</v>
      </c>
      <c r="E17833">
        <v>211</v>
      </c>
      <c r="F17833">
        <v>134</v>
      </c>
      <c r="G17833">
        <v>24</v>
      </c>
      <c r="H17833">
        <v>1</v>
      </c>
      <c r="I17833">
        <v>205</v>
      </c>
      <c r="J17833">
        <v>1</v>
      </c>
      <c r="K17833">
        <v>11</v>
      </c>
      <c r="L17833">
        <v>203</v>
      </c>
      <c r="M17833">
        <v>1</v>
      </c>
      <c r="N17833">
        <v>2.0280900000000001E-26</v>
      </c>
      <c r="O17833">
        <v>292</v>
      </c>
    </row>
    <row r="17834" spans="1:15" x14ac:dyDescent="0.25">
      <c r="A17834" t="s">
        <v>17847</v>
      </c>
      <c r="B17834">
        <v>1040</v>
      </c>
      <c r="C17834" s="1" t="str">
        <f>HYPERLINK("http://www.rosaceae.org/gb/gbrowse/malus_x_domestica/?name=MDP0000173149","MDP0000173149")</f>
        <v>MDP0000173149</v>
      </c>
      <c r="D17834">
        <v>66.66</v>
      </c>
      <c r="E17834">
        <v>1035</v>
      </c>
      <c r="F17834">
        <v>345</v>
      </c>
      <c r="G17834">
        <v>36</v>
      </c>
      <c r="H17834">
        <v>40</v>
      </c>
      <c r="I17834">
        <v>1039</v>
      </c>
      <c r="J17834">
        <v>1</v>
      </c>
      <c r="K17834">
        <v>30</v>
      </c>
      <c r="L17834">
        <v>1063</v>
      </c>
      <c r="M17834">
        <v>1</v>
      </c>
      <c r="N17834">
        <v>0</v>
      </c>
      <c r="O17834">
        <v>3463</v>
      </c>
    </row>
    <row r="17835" spans="1:15" x14ac:dyDescent="0.25">
      <c r="A17835" t="s">
        <v>17848</v>
      </c>
      <c r="B17835">
        <v>380</v>
      </c>
      <c r="C17835" s="1" t="str">
        <f>HYPERLINK("http://www.rosaceae.org/gb/gbrowse/malus_x_domestica/?name=MDP0000680997","MDP0000680997")</f>
        <v>MDP0000680997</v>
      </c>
      <c r="D17835">
        <v>87.56</v>
      </c>
      <c r="E17835">
        <v>386</v>
      </c>
      <c r="F17835">
        <v>48</v>
      </c>
      <c r="G17835">
        <v>7</v>
      </c>
      <c r="H17835">
        <v>2</v>
      </c>
      <c r="I17835">
        <v>380</v>
      </c>
      <c r="J17835">
        <v>1</v>
      </c>
      <c r="K17835">
        <v>1</v>
      </c>
      <c r="L17835">
        <v>386</v>
      </c>
      <c r="M17835">
        <v>1</v>
      </c>
      <c r="N17835">
        <v>0</v>
      </c>
      <c r="O17835">
        <v>1818</v>
      </c>
    </row>
    <row r="17836" spans="1:15" x14ac:dyDescent="0.25">
      <c r="A17836" t="s">
        <v>17849</v>
      </c>
      <c r="B17836">
        <v>484</v>
      </c>
      <c r="C17836" s="1" t="str">
        <f>HYPERLINK("http://www.rosaceae.org/gb/gbrowse/malus_x_domestica/?name=MDP0000212911","MDP0000212911")</f>
        <v>MDP0000212911</v>
      </c>
      <c r="D17836">
        <v>82.16</v>
      </c>
      <c r="E17836">
        <v>499</v>
      </c>
      <c r="F17836">
        <v>89</v>
      </c>
      <c r="G17836">
        <v>26</v>
      </c>
      <c r="H17836">
        <v>3</v>
      </c>
      <c r="I17836">
        <v>481</v>
      </c>
      <c r="J17836">
        <v>1</v>
      </c>
      <c r="K17836">
        <v>2</v>
      </c>
      <c r="L17836">
        <v>494</v>
      </c>
      <c r="M17836">
        <v>1</v>
      </c>
      <c r="N17836">
        <v>0</v>
      </c>
      <c r="O17836">
        <v>2180</v>
      </c>
    </row>
    <row r="17837" spans="1:15" x14ac:dyDescent="0.25">
      <c r="A17837" t="s">
        <v>17850</v>
      </c>
      <c r="B17837">
        <v>378</v>
      </c>
      <c r="C17837" s="1" t="str">
        <f>HYPERLINK("http://www.rosaceae.org/gb/gbrowse/malus_x_domestica/?name=MDP0000185846","MDP0000185846")</f>
        <v>MDP0000185846</v>
      </c>
      <c r="D17837">
        <v>66.31</v>
      </c>
      <c r="E17837">
        <v>380</v>
      </c>
      <c r="F17837">
        <v>128</v>
      </c>
      <c r="G17837">
        <v>3</v>
      </c>
      <c r="H17837">
        <v>1</v>
      </c>
      <c r="I17837">
        <v>377</v>
      </c>
      <c r="J17837">
        <v>1</v>
      </c>
      <c r="K17837">
        <v>1</v>
      </c>
      <c r="L17837">
        <v>380</v>
      </c>
      <c r="M17837">
        <v>1</v>
      </c>
      <c r="N17837">
        <v>3.9793E-151</v>
      </c>
      <c r="O17837">
        <v>1368</v>
      </c>
    </row>
    <row r="17838" spans="1:15" x14ac:dyDescent="0.25">
      <c r="A17838" t="s">
        <v>17851</v>
      </c>
      <c r="B17838">
        <v>182</v>
      </c>
      <c r="C17838" s="1" t="str">
        <f>HYPERLINK("http://www.rosaceae.org/gb/gbrowse/malus_x_domestica/?name=MDP0000296110","MDP0000296110")</f>
        <v>MDP0000296110</v>
      </c>
      <c r="D17838">
        <v>78.33</v>
      </c>
      <c r="E17838">
        <v>120</v>
      </c>
      <c r="F17838">
        <v>26</v>
      </c>
      <c r="G17838">
        <v>1</v>
      </c>
      <c r="H17838">
        <v>26</v>
      </c>
      <c r="I17838">
        <v>145</v>
      </c>
      <c r="J17838">
        <v>1</v>
      </c>
      <c r="K17838">
        <v>26</v>
      </c>
      <c r="L17838">
        <v>144</v>
      </c>
      <c r="M17838">
        <v>1</v>
      </c>
      <c r="N17838">
        <v>1.00577E-51</v>
      </c>
      <c r="O17838">
        <v>507</v>
      </c>
    </row>
    <row r="17839" spans="1:15" x14ac:dyDescent="0.25">
      <c r="A17839" t="s">
        <v>17852</v>
      </c>
      <c r="B17839">
        <v>243</v>
      </c>
      <c r="C17839" s="1" t="str">
        <f>HYPERLINK("http://www.rosaceae.org/gb/gbrowse/malus_x_domestica/?name=MDP0000924843","MDP0000924843")</f>
        <v>MDP0000924843</v>
      </c>
      <c r="D17839">
        <v>62.88</v>
      </c>
      <c r="E17839">
        <v>194</v>
      </c>
      <c r="F17839">
        <v>72</v>
      </c>
      <c r="G17839">
        <v>1</v>
      </c>
      <c r="H17839">
        <v>51</v>
      </c>
      <c r="I17839">
        <v>243</v>
      </c>
      <c r="J17839">
        <v>1</v>
      </c>
      <c r="K17839">
        <v>9</v>
      </c>
      <c r="L17839">
        <v>202</v>
      </c>
      <c r="M17839">
        <v>1</v>
      </c>
      <c r="N17839">
        <v>1.25401E-60</v>
      </c>
      <c r="O17839">
        <v>586</v>
      </c>
    </row>
    <row r="17840" spans="1:15" x14ac:dyDescent="0.25">
      <c r="A17840" t="s">
        <v>17853</v>
      </c>
      <c r="B17840">
        <v>211</v>
      </c>
      <c r="C17840" s="1" t="str">
        <f>HYPERLINK("http://www.rosaceae.org/gb/gbrowse/malus_x_domestica/?name=MDP0000137468","MDP0000137468")</f>
        <v>MDP0000137468</v>
      </c>
      <c r="D17840">
        <v>51.9</v>
      </c>
      <c r="E17840">
        <v>210</v>
      </c>
      <c r="F17840">
        <v>101</v>
      </c>
      <c r="G17840">
        <v>4</v>
      </c>
      <c r="H17840">
        <v>5</v>
      </c>
      <c r="I17840">
        <v>211</v>
      </c>
      <c r="J17840">
        <v>1</v>
      </c>
      <c r="K17840">
        <v>2</v>
      </c>
      <c r="L17840">
        <v>210</v>
      </c>
      <c r="M17840">
        <v>1</v>
      </c>
      <c r="N17840">
        <v>1.43052E-50</v>
      </c>
      <c r="O17840">
        <v>498</v>
      </c>
    </row>
    <row r="17841" spans="1:15" x14ac:dyDescent="0.25">
      <c r="A17841" t="s">
        <v>17854</v>
      </c>
      <c r="B17841">
        <v>145</v>
      </c>
      <c r="C17841" s="1" t="str">
        <f>HYPERLINK("http://www.rosaceae.org/gb/gbrowse/malus_x_domestica/?name=MDP0000252100","MDP0000252100")</f>
        <v>MDP0000252100</v>
      </c>
      <c r="D17841">
        <v>74.489999999999995</v>
      </c>
      <c r="E17841">
        <v>149</v>
      </c>
      <c r="F17841">
        <v>38</v>
      </c>
      <c r="G17841">
        <v>6</v>
      </c>
      <c r="H17841">
        <v>1</v>
      </c>
      <c r="I17841">
        <v>145</v>
      </c>
      <c r="J17841">
        <v>1</v>
      </c>
      <c r="K17841">
        <v>154</v>
      </c>
      <c r="L17841">
        <v>300</v>
      </c>
      <c r="M17841">
        <v>1</v>
      </c>
      <c r="N17841">
        <v>4.9446300000000003E-57</v>
      </c>
      <c r="O17841">
        <v>551</v>
      </c>
    </row>
    <row r="17842" spans="1:15" x14ac:dyDescent="0.25">
      <c r="A17842" t="s">
        <v>17855</v>
      </c>
      <c r="B17842">
        <v>115</v>
      </c>
      <c r="C17842" s="1" t="str">
        <f>HYPERLINK("http://www.rosaceae.org/gb/gbrowse/malus_x_domestica/?name=MDP0000800086","MDP0000800086")</f>
        <v>MDP0000800086</v>
      </c>
      <c r="D17842">
        <v>85.29</v>
      </c>
      <c r="E17842">
        <v>102</v>
      </c>
      <c r="F17842">
        <v>15</v>
      </c>
      <c r="G17842">
        <v>1</v>
      </c>
      <c r="H17842">
        <v>5</v>
      </c>
      <c r="I17842">
        <v>106</v>
      </c>
      <c r="J17842">
        <v>1</v>
      </c>
      <c r="K17842">
        <v>319</v>
      </c>
      <c r="L17842">
        <v>419</v>
      </c>
      <c r="M17842">
        <v>1</v>
      </c>
      <c r="N17842">
        <v>9.8117100000000004E-47</v>
      </c>
      <c r="O17842">
        <v>460</v>
      </c>
    </row>
    <row r="17843" spans="1:15" x14ac:dyDescent="0.25">
      <c r="A17843" t="s">
        <v>17856</v>
      </c>
      <c r="B17843">
        <v>743</v>
      </c>
      <c r="C17843" s="1" t="str">
        <f>HYPERLINK("http://www.rosaceae.org/gb/gbrowse/malus_x_domestica/?name=MDP0000482564","MDP0000482564")</f>
        <v>MDP0000482564</v>
      </c>
      <c r="D17843">
        <v>57.51</v>
      </c>
      <c r="E17843">
        <v>739</v>
      </c>
      <c r="F17843">
        <v>314</v>
      </c>
      <c r="G17843">
        <v>17</v>
      </c>
      <c r="H17843">
        <v>13</v>
      </c>
      <c r="I17843">
        <v>742</v>
      </c>
      <c r="J17843">
        <v>1</v>
      </c>
      <c r="K17843">
        <v>6</v>
      </c>
      <c r="L17843">
        <v>736</v>
      </c>
      <c r="M17843">
        <v>1</v>
      </c>
      <c r="N17843">
        <v>0</v>
      </c>
      <c r="O17843">
        <v>1992</v>
      </c>
    </row>
    <row r="17844" spans="1:15" x14ac:dyDescent="0.25">
      <c r="A17844" t="s">
        <v>17857</v>
      </c>
      <c r="B17844">
        <v>1245</v>
      </c>
      <c r="C17844" s="1" t="str">
        <f>HYPERLINK("http://www.rosaceae.org/gb/gbrowse/malus_x_domestica/?name=MDP0000734561","MDP0000734561")</f>
        <v>MDP0000734561</v>
      </c>
      <c r="D17844">
        <v>48.26</v>
      </c>
      <c r="E17844">
        <v>982</v>
      </c>
      <c r="F17844">
        <v>508</v>
      </c>
      <c r="G17844">
        <v>72</v>
      </c>
      <c r="H17844">
        <v>173</v>
      </c>
      <c r="I17844">
        <v>1129</v>
      </c>
      <c r="J17844">
        <v>1</v>
      </c>
      <c r="K17844">
        <v>195</v>
      </c>
      <c r="L17844">
        <v>1129</v>
      </c>
      <c r="M17844">
        <v>1</v>
      </c>
      <c r="N17844">
        <v>0</v>
      </c>
      <c r="O17844">
        <v>2033</v>
      </c>
    </row>
    <row r="17845" spans="1:15" x14ac:dyDescent="0.25">
      <c r="A17845" t="s">
        <v>17858</v>
      </c>
      <c r="B17845">
        <v>389</v>
      </c>
      <c r="C17845" s="1" t="str">
        <f>HYPERLINK("http://www.rosaceae.org/gb/gbrowse/malus_x_domestica/?name=MDP0000191585","MDP0000191585")</f>
        <v>MDP0000191585</v>
      </c>
      <c r="D17845">
        <v>24.21</v>
      </c>
      <c r="E17845">
        <v>128</v>
      </c>
      <c r="F17845">
        <v>97</v>
      </c>
      <c r="G17845">
        <v>9</v>
      </c>
      <c r="H17845">
        <v>63</v>
      </c>
      <c r="I17845">
        <v>189</v>
      </c>
      <c r="J17845">
        <v>1</v>
      </c>
      <c r="K17845">
        <v>88</v>
      </c>
      <c r="L17845">
        <v>207</v>
      </c>
      <c r="M17845">
        <v>1</v>
      </c>
      <c r="N17845">
        <v>3.6822800000000001E-8</v>
      </c>
      <c r="O17845">
        <v>136</v>
      </c>
    </row>
    <row r="17846" spans="1:15" x14ac:dyDescent="0.25">
      <c r="A17846" t="s">
        <v>17859</v>
      </c>
      <c r="B17846">
        <v>148</v>
      </c>
      <c r="C17846" s="1" t="str">
        <f>HYPERLINK("http://www.rosaceae.org/gb/gbrowse/malus_x_domestica/?name=MDP0000242297","MDP0000242297")</f>
        <v>MDP0000242297</v>
      </c>
      <c r="D17846">
        <v>49.27</v>
      </c>
      <c r="E17846">
        <v>69</v>
      </c>
      <c r="F17846">
        <v>35</v>
      </c>
      <c r="G17846">
        <v>4</v>
      </c>
      <c r="H17846">
        <v>6</v>
      </c>
      <c r="I17846">
        <v>74</v>
      </c>
      <c r="J17846">
        <v>1</v>
      </c>
      <c r="K17846">
        <v>245</v>
      </c>
      <c r="L17846">
        <v>309</v>
      </c>
      <c r="M17846">
        <v>1</v>
      </c>
      <c r="N17846">
        <v>3.3841499999999999E-8</v>
      </c>
      <c r="O17846">
        <v>130</v>
      </c>
    </row>
    <row r="17847" spans="1:15" x14ac:dyDescent="0.25">
      <c r="A17847" t="s">
        <v>17860</v>
      </c>
      <c r="B17847">
        <v>116</v>
      </c>
      <c r="C17847" s="1" t="str">
        <f>HYPERLINK("http://www.rosaceae.org/gb/gbrowse/malus_x_domestica/?name=MDP0000147719","MDP0000147719")</f>
        <v>MDP0000147719</v>
      </c>
      <c r="D17847">
        <v>69.66</v>
      </c>
      <c r="E17847">
        <v>89</v>
      </c>
      <c r="F17847">
        <v>27</v>
      </c>
      <c r="G17847">
        <v>0</v>
      </c>
      <c r="H17847">
        <v>28</v>
      </c>
      <c r="I17847">
        <v>116</v>
      </c>
      <c r="J17847">
        <v>1</v>
      </c>
      <c r="K17847">
        <v>23</v>
      </c>
      <c r="L17847">
        <v>111</v>
      </c>
      <c r="M17847">
        <v>1</v>
      </c>
      <c r="N17847">
        <v>1.60666E-31</v>
      </c>
      <c r="O17847">
        <v>329</v>
      </c>
    </row>
    <row r="17848" spans="1:15" x14ac:dyDescent="0.25">
      <c r="A17848" t="s">
        <v>17861</v>
      </c>
      <c r="B17848">
        <v>1146</v>
      </c>
      <c r="C17848" s="1" t="str">
        <f>HYPERLINK("http://www.rosaceae.org/gb/gbrowse/malus_x_domestica/?name=MDP0000255203","MDP0000255203")</f>
        <v>MDP0000255203</v>
      </c>
      <c r="D17848">
        <v>67.319999999999993</v>
      </c>
      <c r="E17848">
        <v>404</v>
      </c>
      <c r="F17848">
        <v>132</v>
      </c>
      <c r="G17848">
        <v>39</v>
      </c>
      <c r="H17848">
        <v>3</v>
      </c>
      <c r="I17848">
        <v>402</v>
      </c>
      <c r="J17848">
        <v>1</v>
      </c>
      <c r="K17848">
        <v>174</v>
      </c>
      <c r="L17848">
        <v>542</v>
      </c>
      <c r="M17848">
        <v>1</v>
      </c>
      <c r="N17848">
        <v>2.13004E-156</v>
      </c>
      <c r="O17848">
        <v>1419</v>
      </c>
    </row>
    <row r="17849" spans="1:15" x14ac:dyDescent="0.25">
      <c r="A17849" t="s">
        <v>17862</v>
      </c>
      <c r="B17849">
        <v>263</v>
      </c>
      <c r="C17849" s="1" t="str">
        <f>HYPERLINK("http://www.rosaceae.org/gb/gbrowse/malus_x_domestica/?name=MDP0000122064","MDP0000122064")</f>
        <v>MDP0000122064</v>
      </c>
      <c r="D17849">
        <v>27.62</v>
      </c>
      <c r="E17849">
        <v>181</v>
      </c>
      <c r="F17849">
        <v>131</v>
      </c>
      <c r="G17849">
        <v>24</v>
      </c>
      <c r="H17849">
        <v>7</v>
      </c>
      <c r="I17849">
        <v>163</v>
      </c>
      <c r="J17849">
        <v>1</v>
      </c>
      <c r="K17849">
        <v>8</v>
      </c>
      <c r="L17849">
        <v>188</v>
      </c>
      <c r="M17849">
        <v>1</v>
      </c>
      <c r="N17849">
        <v>4.4811800000000002E-7</v>
      </c>
      <c r="O17849">
        <v>124</v>
      </c>
    </row>
    <row r="17850" spans="1:15" x14ac:dyDescent="0.25">
      <c r="A17850" t="s">
        <v>17863</v>
      </c>
      <c r="B17850">
        <v>394</v>
      </c>
      <c r="C17850" s="1" t="str">
        <f>HYPERLINK("http://www.rosaceae.org/gb/gbrowse/malus_x_domestica/?name=MDP0000303738","MDP0000303738")</f>
        <v>MDP0000303738</v>
      </c>
      <c r="D17850">
        <v>57.14</v>
      </c>
      <c r="E17850">
        <v>98</v>
      </c>
      <c r="F17850">
        <v>42</v>
      </c>
      <c r="G17850">
        <v>4</v>
      </c>
      <c r="H17850">
        <v>154</v>
      </c>
      <c r="I17850">
        <v>251</v>
      </c>
      <c r="J17850">
        <v>1</v>
      </c>
      <c r="K17850">
        <v>260</v>
      </c>
      <c r="L17850">
        <v>353</v>
      </c>
      <c r="M17850">
        <v>1</v>
      </c>
      <c r="N17850">
        <v>2.13372E-26</v>
      </c>
      <c r="O17850">
        <v>293</v>
      </c>
    </row>
    <row r="17851" spans="1:15" x14ac:dyDescent="0.25">
      <c r="A17851" t="s">
        <v>17864</v>
      </c>
      <c r="B17851">
        <v>432</v>
      </c>
      <c r="C17851" s="1" t="str">
        <f>HYPERLINK("http://www.rosaceae.org/gb/gbrowse/malus_x_domestica/?name=MDP0000259835","MDP0000259835")</f>
        <v>MDP0000259835</v>
      </c>
      <c r="D17851">
        <v>37.950000000000003</v>
      </c>
      <c r="E17851">
        <v>166</v>
      </c>
      <c r="F17851">
        <v>103</v>
      </c>
      <c r="G17851">
        <v>45</v>
      </c>
      <c r="H17851">
        <v>44</v>
      </c>
      <c r="I17851">
        <v>164</v>
      </c>
      <c r="J17851">
        <v>1</v>
      </c>
      <c r="K17851">
        <v>460</v>
      </c>
      <c r="L17851">
        <v>625</v>
      </c>
      <c r="M17851">
        <v>1</v>
      </c>
      <c r="N17851">
        <v>4.7204900000000001E-17</v>
      </c>
      <c r="O17851">
        <v>213</v>
      </c>
    </row>
    <row r="17852" spans="1:15" x14ac:dyDescent="0.25">
      <c r="A17852" t="s">
        <v>17865</v>
      </c>
      <c r="B17852">
        <v>263</v>
      </c>
      <c r="C17852" s="1" t="str">
        <f>HYPERLINK("http://www.rosaceae.org/gb/gbrowse/malus_x_domestica/?name=MDP0000278929","MDP0000278929")</f>
        <v>MDP0000278929</v>
      </c>
      <c r="D17852">
        <v>48.95</v>
      </c>
      <c r="E17852">
        <v>288</v>
      </c>
      <c r="F17852">
        <v>147</v>
      </c>
      <c r="G17852">
        <v>30</v>
      </c>
      <c r="H17852">
        <v>1</v>
      </c>
      <c r="I17852">
        <v>263</v>
      </c>
      <c r="J17852">
        <v>1</v>
      </c>
      <c r="K17852">
        <v>283</v>
      </c>
      <c r="L17852">
        <v>565</v>
      </c>
      <c r="M17852">
        <v>1</v>
      </c>
      <c r="N17852">
        <v>1.2894600000000001E-73</v>
      </c>
      <c r="O17852">
        <v>698</v>
      </c>
    </row>
    <row r="17853" spans="1:15" x14ac:dyDescent="0.25">
      <c r="A17853" t="s">
        <v>17866</v>
      </c>
      <c r="B17853">
        <v>339</v>
      </c>
      <c r="C17853" s="1" t="str">
        <f>HYPERLINK("http://www.rosaceae.org/gb/gbrowse/malus_x_domestica/?name=MDP0000501598","MDP0000501598")</f>
        <v>MDP0000501598</v>
      </c>
      <c r="D17853">
        <v>59.83</v>
      </c>
      <c r="E17853">
        <v>371</v>
      </c>
      <c r="F17853">
        <v>149</v>
      </c>
      <c r="G17853">
        <v>37</v>
      </c>
      <c r="H17853">
        <v>1</v>
      </c>
      <c r="I17853">
        <v>336</v>
      </c>
      <c r="J17853">
        <v>1</v>
      </c>
      <c r="K17853">
        <v>1</v>
      </c>
      <c r="L17853">
        <v>369</v>
      </c>
      <c r="M17853">
        <v>1</v>
      </c>
      <c r="N17853">
        <v>1.74225E-107</v>
      </c>
      <c r="O17853">
        <v>992</v>
      </c>
    </row>
    <row r="17854" spans="1:15" x14ac:dyDescent="0.25">
      <c r="A17854" t="s">
        <v>17867</v>
      </c>
      <c r="B17854">
        <v>984</v>
      </c>
      <c r="C17854" s="1" t="str">
        <f>HYPERLINK("http://www.rosaceae.org/gb/gbrowse/malus_x_domestica/?name=MDP0000914598","MDP0000914598")</f>
        <v>MDP0000914598</v>
      </c>
      <c r="D17854">
        <v>60.44</v>
      </c>
      <c r="E17854">
        <v>407</v>
      </c>
      <c r="F17854">
        <v>161</v>
      </c>
      <c r="G17854">
        <v>24</v>
      </c>
      <c r="H17854">
        <v>325</v>
      </c>
      <c r="I17854">
        <v>716</v>
      </c>
      <c r="J17854">
        <v>1</v>
      </c>
      <c r="K17854">
        <v>683</v>
      </c>
      <c r="L17854">
        <v>1080</v>
      </c>
      <c r="M17854">
        <v>1</v>
      </c>
      <c r="N17854">
        <v>4.5856200000000003E-134</v>
      </c>
      <c r="O17854">
        <v>1226</v>
      </c>
    </row>
    <row r="17855" spans="1:15" x14ac:dyDescent="0.25">
      <c r="A17855" t="s">
        <v>17868</v>
      </c>
      <c r="B17855">
        <v>620</v>
      </c>
      <c r="C17855" s="1" t="str">
        <f>HYPERLINK("http://www.rosaceae.org/gb/gbrowse/malus_x_domestica/?name=MDP0000280945","MDP0000280945")</f>
        <v>MDP0000280945</v>
      </c>
      <c r="D17855">
        <v>66.78</v>
      </c>
      <c r="E17855">
        <v>271</v>
      </c>
      <c r="F17855">
        <v>90</v>
      </c>
      <c r="G17855">
        <v>2</v>
      </c>
      <c r="H17855">
        <v>37</v>
      </c>
      <c r="I17855">
        <v>307</v>
      </c>
      <c r="J17855">
        <v>1</v>
      </c>
      <c r="K17855">
        <v>87</v>
      </c>
      <c r="L17855">
        <v>355</v>
      </c>
      <c r="M17855">
        <v>1</v>
      </c>
      <c r="N17855">
        <v>5.2920399999999999E-98</v>
      </c>
      <c r="O17855">
        <v>913</v>
      </c>
    </row>
    <row r="17856" spans="1:15" x14ac:dyDescent="0.25">
      <c r="A17856" t="s">
        <v>17869</v>
      </c>
      <c r="B17856">
        <v>347</v>
      </c>
      <c r="C17856" s="1" t="str">
        <f>HYPERLINK("http://www.rosaceae.org/gb/gbrowse/malus_x_domestica/?name=MDP0000273683","MDP0000273683")</f>
        <v>MDP0000273683</v>
      </c>
      <c r="D17856">
        <v>66.94</v>
      </c>
      <c r="E17856">
        <v>354</v>
      </c>
      <c r="F17856">
        <v>117</v>
      </c>
      <c r="G17856">
        <v>7</v>
      </c>
      <c r="H17856">
        <v>1</v>
      </c>
      <c r="I17856">
        <v>347</v>
      </c>
      <c r="J17856">
        <v>1</v>
      </c>
      <c r="K17856">
        <v>56</v>
      </c>
      <c r="L17856">
        <v>409</v>
      </c>
      <c r="M17856">
        <v>1</v>
      </c>
      <c r="N17856">
        <v>1.16166E-124</v>
      </c>
      <c r="O17856">
        <v>1140</v>
      </c>
    </row>
    <row r="17857" spans="1:15" x14ac:dyDescent="0.25">
      <c r="A17857" t="s">
        <v>17870</v>
      </c>
      <c r="B17857">
        <v>218</v>
      </c>
      <c r="C17857" s="1" t="str">
        <f>HYPERLINK("http://www.rosaceae.org/gb/gbrowse/malus_x_domestica/?name=MDP0000366291","MDP0000366291")</f>
        <v>MDP0000366291</v>
      </c>
      <c r="D17857">
        <v>69.91</v>
      </c>
      <c r="E17857">
        <v>236</v>
      </c>
      <c r="F17857">
        <v>71</v>
      </c>
      <c r="G17857">
        <v>21</v>
      </c>
      <c r="H17857">
        <v>1</v>
      </c>
      <c r="I17857">
        <v>218</v>
      </c>
      <c r="J17857">
        <v>1</v>
      </c>
      <c r="K17857">
        <v>62</v>
      </c>
      <c r="L17857">
        <v>294</v>
      </c>
      <c r="M17857">
        <v>1</v>
      </c>
      <c r="N17857">
        <v>2.3046199999999999E-82</v>
      </c>
      <c r="O17857">
        <v>772</v>
      </c>
    </row>
    <row r="17858" spans="1:15" x14ac:dyDescent="0.25">
      <c r="A17858" t="s">
        <v>17871</v>
      </c>
      <c r="B17858">
        <v>712</v>
      </c>
      <c r="C17858" s="1" t="str">
        <f>HYPERLINK("http://www.rosaceae.org/gb/gbrowse/malus_x_domestica/?name=MDP0000307964","MDP0000307964")</f>
        <v>MDP0000307964</v>
      </c>
      <c r="D17858">
        <v>76.17</v>
      </c>
      <c r="E17858">
        <v>512</v>
      </c>
      <c r="F17858">
        <v>122</v>
      </c>
      <c r="G17858">
        <v>69</v>
      </c>
      <c r="H17858">
        <v>19</v>
      </c>
      <c r="I17858">
        <v>463</v>
      </c>
      <c r="J17858">
        <v>1</v>
      </c>
      <c r="K17858">
        <v>19</v>
      </c>
      <c r="L17858">
        <v>528</v>
      </c>
      <c r="M17858">
        <v>1</v>
      </c>
      <c r="N17858">
        <v>0</v>
      </c>
      <c r="O17858">
        <v>2002</v>
      </c>
    </row>
    <row r="17859" spans="1:15" x14ac:dyDescent="0.25">
      <c r="A17859" t="s">
        <v>17872</v>
      </c>
      <c r="B17859">
        <v>294</v>
      </c>
      <c r="C17859" s="1" t="str">
        <f>HYPERLINK("http://www.rosaceae.org/gb/gbrowse/malus_x_domestica/?name=MDP0000261294","MDP0000261294")</f>
        <v>MDP0000261294</v>
      </c>
      <c r="D17859">
        <v>71.42</v>
      </c>
      <c r="E17859">
        <v>231</v>
      </c>
      <c r="F17859">
        <v>66</v>
      </c>
      <c r="G17859">
        <v>2</v>
      </c>
      <c r="H17859">
        <v>33</v>
      </c>
      <c r="I17859">
        <v>261</v>
      </c>
      <c r="J17859">
        <v>1</v>
      </c>
      <c r="K17859">
        <v>167</v>
      </c>
      <c r="L17859">
        <v>397</v>
      </c>
      <c r="M17859">
        <v>1</v>
      </c>
      <c r="N17859">
        <v>1.56654E-88</v>
      </c>
      <c r="O17859">
        <v>827</v>
      </c>
    </row>
    <row r="17860" spans="1:15" x14ac:dyDescent="0.25">
      <c r="A17860" t="s">
        <v>17873</v>
      </c>
      <c r="B17860">
        <v>736</v>
      </c>
      <c r="C17860" s="1" t="str">
        <f>HYPERLINK("http://www.rosaceae.org/gb/gbrowse/malus_x_domestica/?name=MDP0000267622","MDP0000267622")</f>
        <v>MDP0000267622</v>
      </c>
      <c r="D17860">
        <v>61.55</v>
      </c>
      <c r="E17860">
        <v>757</v>
      </c>
      <c r="F17860">
        <v>291</v>
      </c>
      <c r="G17860">
        <v>46</v>
      </c>
      <c r="H17860">
        <v>1</v>
      </c>
      <c r="I17860">
        <v>729</v>
      </c>
      <c r="J17860">
        <v>1</v>
      </c>
      <c r="K17860">
        <v>1</v>
      </c>
      <c r="L17860">
        <v>739</v>
      </c>
      <c r="M17860">
        <v>1</v>
      </c>
      <c r="N17860">
        <v>0</v>
      </c>
      <c r="O17860">
        <v>2378</v>
      </c>
    </row>
    <row r="17861" spans="1:15" x14ac:dyDescent="0.25">
      <c r="A17861" t="s">
        <v>17874</v>
      </c>
      <c r="B17861">
        <v>360</v>
      </c>
      <c r="C17861" s="1" t="str">
        <f>HYPERLINK("http://www.rosaceae.org/gb/gbrowse/malus_x_domestica/?name=MDP0000311221","MDP0000311221")</f>
        <v>MDP0000311221</v>
      </c>
      <c r="D17861">
        <v>62.22</v>
      </c>
      <c r="E17861">
        <v>360</v>
      </c>
      <c r="F17861">
        <v>136</v>
      </c>
      <c r="G17861">
        <v>7</v>
      </c>
      <c r="H17861">
        <v>5</v>
      </c>
      <c r="I17861">
        <v>360</v>
      </c>
      <c r="J17861">
        <v>1</v>
      </c>
      <c r="K17861">
        <v>4</v>
      </c>
      <c r="L17861">
        <v>360</v>
      </c>
      <c r="M17861">
        <v>1</v>
      </c>
      <c r="N17861">
        <v>1.3995699999999999E-124</v>
      </c>
      <c r="O17861">
        <v>1139</v>
      </c>
    </row>
    <row r="17862" spans="1:15" x14ac:dyDescent="0.25">
      <c r="A17862" t="s">
        <v>17875</v>
      </c>
      <c r="B17862">
        <v>382</v>
      </c>
      <c r="C17862" s="1" t="str">
        <f>HYPERLINK("http://www.rosaceae.org/gb/gbrowse/malus_x_domestica/?name=MDP0000305427","MDP0000305427")</f>
        <v>MDP0000305427</v>
      </c>
      <c r="D17862">
        <v>60.47</v>
      </c>
      <c r="E17862">
        <v>339</v>
      </c>
      <c r="F17862">
        <v>134</v>
      </c>
      <c r="G17862">
        <v>32</v>
      </c>
      <c r="H17862">
        <v>7</v>
      </c>
      <c r="I17862">
        <v>343</v>
      </c>
      <c r="J17862">
        <v>1</v>
      </c>
      <c r="K17862">
        <v>12</v>
      </c>
      <c r="L17862">
        <v>320</v>
      </c>
      <c r="M17862">
        <v>1</v>
      </c>
      <c r="N17862">
        <v>1.0611200000000001E-98</v>
      </c>
      <c r="O17862">
        <v>916</v>
      </c>
    </row>
    <row r="17863" spans="1:15" x14ac:dyDescent="0.25">
      <c r="A17863" t="s">
        <v>17876</v>
      </c>
      <c r="B17863">
        <v>228</v>
      </c>
      <c r="C17863" s="1" t="str">
        <f>HYPERLINK("http://www.rosaceae.org/gb/gbrowse/malus_x_domestica/?name=MDP0000305218","MDP0000305218")</f>
        <v>MDP0000305218</v>
      </c>
      <c r="D17863">
        <v>87.35</v>
      </c>
      <c r="E17863">
        <v>174</v>
      </c>
      <c r="F17863">
        <v>22</v>
      </c>
      <c r="G17863">
        <v>0</v>
      </c>
      <c r="H17863">
        <v>50</v>
      </c>
      <c r="I17863">
        <v>223</v>
      </c>
      <c r="J17863">
        <v>1</v>
      </c>
      <c r="K17863">
        <v>23</v>
      </c>
      <c r="L17863">
        <v>196</v>
      </c>
      <c r="M17863">
        <v>1</v>
      </c>
      <c r="N17863">
        <v>1.87213E-88</v>
      </c>
      <c r="O17863">
        <v>825</v>
      </c>
    </row>
    <row r="17864" spans="1:15" x14ac:dyDescent="0.25">
      <c r="A17864" t="s">
        <v>17877</v>
      </c>
      <c r="B17864">
        <v>888</v>
      </c>
      <c r="C17864" s="1" t="str">
        <f>HYPERLINK("http://www.rosaceae.org/gb/gbrowse/malus_x_domestica/?name=MDP0000890302","MDP0000890302")</f>
        <v>MDP0000890302</v>
      </c>
      <c r="D17864">
        <v>37.700000000000003</v>
      </c>
      <c r="E17864">
        <v>809</v>
      </c>
      <c r="F17864">
        <v>504</v>
      </c>
      <c r="G17864">
        <v>42</v>
      </c>
      <c r="H17864">
        <v>100</v>
      </c>
      <c r="I17864">
        <v>886</v>
      </c>
      <c r="J17864">
        <v>1</v>
      </c>
      <c r="K17864">
        <v>60</v>
      </c>
      <c r="L17864">
        <v>848</v>
      </c>
      <c r="M17864">
        <v>1</v>
      </c>
      <c r="N17864">
        <v>2.21381E-131</v>
      </c>
      <c r="O17864">
        <v>1202</v>
      </c>
    </row>
    <row r="17865" spans="1:15" x14ac:dyDescent="0.25">
      <c r="A17865" t="s">
        <v>17878</v>
      </c>
      <c r="B17865">
        <v>271</v>
      </c>
      <c r="C17865" s="1" t="str">
        <f>HYPERLINK("http://www.rosaceae.org/gb/gbrowse/malus_x_domestica/?name=MDP0000302604","MDP0000302604")</f>
        <v>MDP0000302604</v>
      </c>
      <c r="D17865">
        <v>77.06</v>
      </c>
      <c r="E17865">
        <v>266</v>
      </c>
      <c r="F17865">
        <v>61</v>
      </c>
      <c r="G17865">
        <v>21</v>
      </c>
      <c r="H17865">
        <v>1</v>
      </c>
      <c r="I17865">
        <v>263</v>
      </c>
      <c r="J17865">
        <v>1</v>
      </c>
      <c r="K17865">
        <v>1</v>
      </c>
      <c r="L17865">
        <v>248</v>
      </c>
      <c r="M17865">
        <v>1</v>
      </c>
      <c r="N17865">
        <v>6.5519100000000003E-125</v>
      </c>
      <c r="O17865">
        <v>1141</v>
      </c>
    </row>
    <row r="17866" spans="1:15" x14ac:dyDescent="0.25">
      <c r="A17866" t="s">
        <v>17879</v>
      </c>
      <c r="B17866">
        <v>786</v>
      </c>
      <c r="C17866" s="1" t="str">
        <f>HYPERLINK("http://www.rosaceae.org/gb/gbrowse/malus_x_domestica/?name=MDP0000185978","MDP0000185978")</f>
        <v>MDP0000185978</v>
      </c>
      <c r="D17866">
        <v>60.52</v>
      </c>
      <c r="E17866">
        <v>760</v>
      </c>
      <c r="F17866">
        <v>300</v>
      </c>
      <c r="G17866">
        <v>67</v>
      </c>
      <c r="H17866">
        <v>46</v>
      </c>
      <c r="I17866">
        <v>766</v>
      </c>
      <c r="J17866">
        <v>1</v>
      </c>
      <c r="K17866">
        <v>50</v>
      </c>
      <c r="L17866">
        <v>781</v>
      </c>
      <c r="M17866">
        <v>1</v>
      </c>
      <c r="N17866">
        <v>0</v>
      </c>
      <c r="O17866">
        <v>2248</v>
      </c>
    </row>
    <row r="17867" spans="1:15" x14ac:dyDescent="0.25">
      <c r="A17867" t="s">
        <v>17880</v>
      </c>
      <c r="B17867">
        <v>179</v>
      </c>
      <c r="C17867" s="1" t="str">
        <f>HYPERLINK("http://www.rosaceae.org/gb/gbrowse/malus_x_domestica/?name=MDP0000489889","MDP0000489889")</f>
        <v>MDP0000489889</v>
      </c>
      <c r="D17867">
        <v>73.88</v>
      </c>
      <c r="E17867">
        <v>180</v>
      </c>
      <c r="F17867">
        <v>47</v>
      </c>
      <c r="G17867">
        <v>2</v>
      </c>
      <c r="H17867">
        <v>1</v>
      </c>
      <c r="I17867">
        <v>178</v>
      </c>
      <c r="J17867">
        <v>1</v>
      </c>
      <c r="K17867">
        <v>16</v>
      </c>
      <c r="L17867">
        <v>195</v>
      </c>
      <c r="M17867">
        <v>1</v>
      </c>
      <c r="N17867">
        <v>1.07487E-72</v>
      </c>
      <c r="O17867">
        <v>688</v>
      </c>
    </row>
    <row r="17868" spans="1:15" x14ac:dyDescent="0.25">
      <c r="A17868" t="s">
        <v>17881</v>
      </c>
      <c r="B17868">
        <v>240</v>
      </c>
      <c r="C17868" s="1" t="str">
        <f>HYPERLINK("http://www.rosaceae.org/gb/gbrowse/malus_x_domestica/?name=MDP0000265620","MDP0000265620")</f>
        <v>MDP0000265620</v>
      </c>
      <c r="D17868">
        <v>34.97</v>
      </c>
      <c r="E17868">
        <v>183</v>
      </c>
      <c r="F17868">
        <v>119</v>
      </c>
      <c r="G17868">
        <v>50</v>
      </c>
      <c r="H17868">
        <v>107</v>
      </c>
      <c r="I17868">
        <v>240</v>
      </c>
      <c r="J17868">
        <v>1</v>
      </c>
      <c r="K17868">
        <v>989</v>
      </c>
      <c r="L17868">
        <v>1170</v>
      </c>
      <c r="M17868">
        <v>1</v>
      </c>
      <c r="N17868">
        <v>2.8734000000000002E-13</v>
      </c>
      <c r="O17868">
        <v>177</v>
      </c>
    </row>
    <row r="17869" spans="1:15" x14ac:dyDescent="0.25">
      <c r="A17869" t="s">
        <v>17882</v>
      </c>
      <c r="B17869">
        <v>772</v>
      </c>
      <c r="C17869" s="1" t="str">
        <f>HYPERLINK("http://www.rosaceae.org/gb/gbrowse/malus_x_domestica/?name=MDP0000167752","MDP0000167752")</f>
        <v>MDP0000167752</v>
      </c>
      <c r="D17869">
        <v>72.17</v>
      </c>
      <c r="E17869">
        <v>780</v>
      </c>
      <c r="F17869">
        <v>217</v>
      </c>
      <c r="G17869">
        <v>12</v>
      </c>
      <c r="H17869">
        <v>1</v>
      </c>
      <c r="I17869">
        <v>771</v>
      </c>
      <c r="J17869">
        <v>1</v>
      </c>
      <c r="K17869">
        <v>226</v>
      </c>
      <c r="L17869">
        <v>1002</v>
      </c>
      <c r="M17869">
        <v>1</v>
      </c>
      <c r="N17869">
        <v>0</v>
      </c>
      <c r="O17869">
        <v>2938</v>
      </c>
    </row>
    <row r="17870" spans="1:15" x14ac:dyDescent="0.25">
      <c r="A17870" t="s">
        <v>17883</v>
      </c>
      <c r="B17870">
        <v>359</v>
      </c>
      <c r="C17870" s="1" t="str">
        <f>HYPERLINK("http://www.rosaceae.org/gb/gbrowse/malus_x_domestica/?name=MDP0000774306","MDP0000774306")</f>
        <v>MDP0000774306</v>
      </c>
      <c r="D17870">
        <v>48.1</v>
      </c>
      <c r="E17870">
        <v>343</v>
      </c>
      <c r="F17870">
        <v>178</v>
      </c>
      <c r="G17870">
        <v>15</v>
      </c>
      <c r="H17870">
        <v>11</v>
      </c>
      <c r="I17870">
        <v>340</v>
      </c>
      <c r="J17870">
        <v>1</v>
      </c>
      <c r="K17870">
        <v>4</v>
      </c>
      <c r="L17870">
        <v>344</v>
      </c>
      <c r="M17870">
        <v>1</v>
      </c>
      <c r="N17870">
        <v>6.2476500000000005E-73</v>
      </c>
      <c r="O17870">
        <v>694</v>
      </c>
    </row>
    <row r="17871" spans="1:15" x14ac:dyDescent="0.25">
      <c r="A17871" t="s">
        <v>17884</v>
      </c>
      <c r="B17871">
        <v>770</v>
      </c>
      <c r="C17871" s="1" t="str">
        <f>HYPERLINK("http://www.rosaceae.org/gb/gbrowse/malus_x_domestica/?name=MDP0000142193","MDP0000142193")</f>
        <v>MDP0000142193</v>
      </c>
      <c r="D17871">
        <v>70.3</v>
      </c>
      <c r="E17871">
        <v>862</v>
      </c>
      <c r="F17871">
        <v>256</v>
      </c>
      <c r="G17871">
        <v>108</v>
      </c>
      <c r="H17871">
        <v>1</v>
      </c>
      <c r="I17871">
        <v>767</v>
      </c>
      <c r="J17871">
        <v>1</v>
      </c>
      <c r="K17871">
        <v>1</v>
      </c>
      <c r="L17871">
        <v>849</v>
      </c>
      <c r="M17871">
        <v>1</v>
      </c>
      <c r="N17871">
        <v>0</v>
      </c>
      <c r="O17871">
        <v>2997</v>
      </c>
    </row>
    <row r="17872" spans="1:15" x14ac:dyDescent="0.25">
      <c r="A17872" t="s">
        <v>17885</v>
      </c>
      <c r="B17872">
        <v>220</v>
      </c>
      <c r="C17872" s="1" t="str">
        <f>HYPERLINK("http://www.rosaceae.org/gb/gbrowse/malus_x_domestica/?name=MDP0000643739","MDP0000643739")</f>
        <v>MDP0000643739</v>
      </c>
      <c r="D17872">
        <v>84.18</v>
      </c>
      <c r="E17872">
        <v>215</v>
      </c>
      <c r="F17872">
        <v>34</v>
      </c>
      <c r="G17872">
        <v>0</v>
      </c>
      <c r="H17872">
        <v>5</v>
      </c>
      <c r="I17872">
        <v>219</v>
      </c>
      <c r="J17872">
        <v>1</v>
      </c>
      <c r="K17872">
        <v>140</v>
      </c>
      <c r="L17872">
        <v>354</v>
      </c>
      <c r="M17872">
        <v>1</v>
      </c>
      <c r="N17872">
        <v>2.8900500000000001E-107</v>
      </c>
      <c r="O17872">
        <v>987</v>
      </c>
    </row>
    <row r="17873" spans="1:15" x14ac:dyDescent="0.25">
      <c r="A17873" t="s">
        <v>17886</v>
      </c>
      <c r="B17873">
        <v>244</v>
      </c>
      <c r="C17873" s="1" t="str">
        <f>HYPERLINK("http://www.rosaceae.org/gb/gbrowse/malus_x_domestica/?name=MDP0000782642","MDP0000782642")</f>
        <v>MDP0000782642</v>
      </c>
      <c r="D17873">
        <v>66.819999999999993</v>
      </c>
      <c r="E17873">
        <v>211</v>
      </c>
      <c r="F17873">
        <v>70</v>
      </c>
      <c r="G17873">
        <v>3</v>
      </c>
      <c r="H17873">
        <v>34</v>
      </c>
      <c r="I17873">
        <v>244</v>
      </c>
      <c r="J17873">
        <v>1</v>
      </c>
      <c r="K17873">
        <v>36</v>
      </c>
      <c r="L17873">
        <v>243</v>
      </c>
      <c r="M17873">
        <v>1</v>
      </c>
      <c r="N17873">
        <v>1.16505E-79</v>
      </c>
      <c r="O17873">
        <v>750</v>
      </c>
    </row>
    <row r="17874" spans="1:15" x14ac:dyDescent="0.25">
      <c r="A17874" t="s">
        <v>17887</v>
      </c>
      <c r="B17874">
        <v>275</v>
      </c>
      <c r="C17874" s="1" t="str">
        <f>HYPERLINK("http://www.rosaceae.org/gb/gbrowse/malus_x_domestica/?name=MDP0000465174","MDP0000465174")</f>
        <v>MDP0000465174</v>
      </c>
      <c r="D17874">
        <v>45.82</v>
      </c>
      <c r="E17874">
        <v>323</v>
      </c>
      <c r="F17874">
        <v>175</v>
      </c>
      <c r="G17874">
        <v>51</v>
      </c>
      <c r="H17874">
        <v>1</v>
      </c>
      <c r="I17874">
        <v>274</v>
      </c>
      <c r="J17874">
        <v>1</v>
      </c>
      <c r="K17874">
        <v>1</v>
      </c>
      <c r="L17874">
        <v>321</v>
      </c>
      <c r="M17874">
        <v>1</v>
      </c>
      <c r="N17874">
        <v>1.9006799999999998E-71</v>
      </c>
      <c r="O17874">
        <v>680</v>
      </c>
    </row>
    <row r="17875" spans="1:15" x14ac:dyDescent="0.25">
      <c r="A17875" t="s">
        <v>17888</v>
      </c>
      <c r="B17875">
        <v>854</v>
      </c>
      <c r="C17875" s="1" t="str">
        <f>HYPERLINK("http://www.rosaceae.org/gb/gbrowse/malus_x_domestica/?name=MDP0000872932","MDP0000872932")</f>
        <v>MDP0000872932</v>
      </c>
      <c r="D17875">
        <v>64.12</v>
      </c>
      <c r="E17875">
        <v>499</v>
      </c>
      <c r="F17875">
        <v>179</v>
      </c>
      <c r="G17875">
        <v>39</v>
      </c>
      <c r="H17875">
        <v>6</v>
      </c>
      <c r="I17875">
        <v>495</v>
      </c>
      <c r="J17875">
        <v>1</v>
      </c>
      <c r="K17875">
        <v>67</v>
      </c>
      <c r="L17875">
        <v>535</v>
      </c>
      <c r="M17875">
        <v>1</v>
      </c>
      <c r="N17875">
        <v>4.6519499999999998E-178</v>
      </c>
      <c r="O17875">
        <v>1604</v>
      </c>
    </row>
    <row r="17876" spans="1:15" x14ac:dyDescent="0.25">
      <c r="A17876" t="s">
        <v>17889</v>
      </c>
      <c r="B17876">
        <v>268</v>
      </c>
      <c r="C17876" s="1" t="str">
        <f>HYPERLINK("http://www.rosaceae.org/gb/gbrowse/malus_x_domestica/?name=MDP0000158665","MDP0000158665")</f>
        <v>MDP0000158665</v>
      </c>
      <c r="D17876">
        <v>42.97</v>
      </c>
      <c r="E17876">
        <v>249</v>
      </c>
      <c r="F17876">
        <v>142</v>
      </c>
      <c r="G17876">
        <v>64</v>
      </c>
      <c r="H17876">
        <v>67</v>
      </c>
      <c r="I17876">
        <v>260</v>
      </c>
      <c r="J17876">
        <v>1</v>
      </c>
      <c r="K17876">
        <v>122</v>
      </c>
      <c r="L17876">
        <v>361</v>
      </c>
      <c r="M17876">
        <v>1</v>
      </c>
      <c r="N17876">
        <v>5.3205699999999999E-33</v>
      </c>
      <c r="O17876">
        <v>348</v>
      </c>
    </row>
    <row r="17877" spans="1:15" x14ac:dyDescent="0.25">
      <c r="A17877" t="s">
        <v>17890</v>
      </c>
      <c r="B17877">
        <v>950</v>
      </c>
      <c r="C17877" s="1" t="str">
        <f>HYPERLINK("http://www.rosaceae.org/gb/gbrowse/malus_x_domestica/?name=MDP0000067021","MDP0000067021")</f>
        <v>MDP0000067021</v>
      </c>
      <c r="D17877">
        <v>80.84</v>
      </c>
      <c r="E17877">
        <v>971</v>
      </c>
      <c r="F17877">
        <v>186</v>
      </c>
      <c r="G17877">
        <v>39</v>
      </c>
      <c r="H17877">
        <v>1</v>
      </c>
      <c r="I17877">
        <v>950</v>
      </c>
      <c r="J17877">
        <v>1</v>
      </c>
      <c r="K17877">
        <v>2</v>
      </c>
      <c r="L17877">
        <v>954</v>
      </c>
      <c r="M17877">
        <v>1</v>
      </c>
      <c r="N17877">
        <v>0</v>
      </c>
      <c r="O17877">
        <v>4186</v>
      </c>
    </row>
    <row r="17878" spans="1:15" x14ac:dyDescent="0.25">
      <c r="A17878" t="s">
        <v>17891</v>
      </c>
      <c r="B17878">
        <v>281</v>
      </c>
      <c r="C17878" s="1" t="str">
        <f>HYPERLINK("http://www.rosaceae.org/gb/gbrowse/malus_x_domestica/?name=MDP0000193145","MDP0000193145")</f>
        <v>MDP0000193145</v>
      </c>
      <c r="D17878">
        <v>87.34</v>
      </c>
      <c r="E17878">
        <v>237</v>
      </c>
      <c r="F17878">
        <v>30</v>
      </c>
      <c r="G17878">
        <v>0</v>
      </c>
      <c r="H17878">
        <v>1</v>
      </c>
      <c r="I17878">
        <v>237</v>
      </c>
      <c r="J17878">
        <v>1</v>
      </c>
      <c r="K17878">
        <v>1</v>
      </c>
      <c r="L17878">
        <v>237</v>
      </c>
      <c r="M17878">
        <v>1</v>
      </c>
      <c r="N17878">
        <v>4.1715E-125</v>
      </c>
      <c r="O17878">
        <v>1143</v>
      </c>
    </row>
    <row r="17879" spans="1:15" x14ac:dyDescent="0.25">
      <c r="A17879" t="s">
        <v>17892</v>
      </c>
      <c r="B17879">
        <v>249</v>
      </c>
      <c r="C17879" s="1" t="str">
        <f>HYPERLINK("http://www.rosaceae.org/gb/gbrowse/malus_x_domestica/?name=MDP0000291481","MDP0000291481")</f>
        <v>MDP0000291481</v>
      </c>
      <c r="D17879">
        <v>95.17</v>
      </c>
      <c r="E17879">
        <v>228</v>
      </c>
      <c r="F17879">
        <v>11</v>
      </c>
      <c r="G17879">
        <v>0</v>
      </c>
      <c r="H17879">
        <v>1</v>
      </c>
      <c r="I17879">
        <v>228</v>
      </c>
      <c r="J17879">
        <v>1</v>
      </c>
      <c r="K17879">
        <v>1</v>
      </c>
      <c r="L17879">
        <v>228</v>
      </c>
      <c r="M17879">
        <v>1</v>
      </c>
      <c r="N17879">
        <v>3.20858E-128</v>
      </c>
      <c r="O17879">
        <v>1169</v>
      </c>
    </row>
    <row r="17880" spans="1:15" x14ac:dyDescent="0.25">
      <c r="A17880" t="s">
        <v>17893</v>
      </c>
      <c r="B17880">
        <v>201</v>
      </c>
      <c r="C17880" s="1" t="str">
        <f>HYPERLINK("http://www.rosaceae.org/gb/gbrowse/malus_x_domestica/?name=MDP0000774306","MDP0000774306")</f>
        <v>MDP0000774306</v>
      </c>
      <c r="D17880">
        <v>40.090000000000003</v>
      </c>
      <c r="E17880">
        <v>212</v>
      </c>
      <c r="F17880">
        <v>127</v>
      </c>
      <c r="G17880">
        <v>15</v>
      </c>
      <c r="H17880">
        <v>1</v>
      </c>
      <c r="I17880">
        <v>199</v>
      </c>
      <c r="J17880">
        <v>1</v>
      </c>
      <c r="K17880">
        <v>1</v>
      </c>
      <c r="L17880">
        <v>210</v>
      </c>
      <c r="M17880">
        <v>1</v>
      </c>
      <c r="N17880">
        <v>2.2265399999999999E-32</v>
      </c>
      <c r="O17880">
        <v>341</v>
      </c>
    </row>
    <row r="17881" spans="1:15" x14ac:dyDescent="0.25">
      <c r="A17881" t="s">
        <v>17894</v>
      </c>
      <c r="B17881">
        <v>141</v>
      </c>
      <c r="C17881" s="1" t="str">
        <f>HYPERLINK("http://www.rosaceae.org/gb/gbrowse/malus_x_domestica/?name=MDP0000491810","MDP0000491810")</f>
        <v>MDP0000491810</v>
      </c>
      <c r="D17881">
        <v>78.72</v>
      </c>
      <c r="E17881">
        <v>141</v>
      </c>
      <c r="F17881">
        <v>30</v>
      </c>
      <c r="G17881">
        <v>1</v>
      </c>
      <c r="H17881">
        <v>1</v>
      </c>
      <c r="I17881">
        <v>140</v>
      </c>
      <c r="J17881">
        <v>1</v>
      </c>
      <c r="K17881">
        <v>3</v>
      </c>
      <c r="L17881">
        <v>143</v>
      </c>
      <c r="M17881">
        <v>1</v>
      </c>
      <c r="N17881">
        <v>9.3243899999999997E-61</v>
      </c>
      <c r="O17881">
        <v>583</v>
      </c>
    </row>
    <row r="17882" spans="1:15" x14ac:dyDescent="0.25">
      <c r="A17882" t="s">
        <v>17895</v>
      </c>
      <c r="B17882">
        <v>191</v>
      </c>
      <c r="C17882" s="1" t="str">
        <f>HYPERLINK("http://www.rosaceae.org/gb/gbrowse/malus_x_domestica/?name=MDP0000256732","MDP0000256732")</f>
        <v>MDP0000256732</v>
      </c>
      <c r="D17882">
        <v>75.55</v>
      </c>
      <c r="E17882">
        <v>135</v>
      </c>
      <c r="F17882">
        <v>33</v>
      </c>
      <c r="G17882">
        <v>0</v>
      </c>
      <c r="H17882">
        <v>3</v>
      </c>
      <c r="I17882">
        <v>137</v>
      </c>
      <c r="J17882">
        <v>1</v>
      </c>
      <c r="K17882">
        <v>4</v>
      </c>
      <c r="L17882">
        <v>138</v>
      </c>
      <c r="M17882">
        <v>1</v>
      </c>
      <c r="N17882">
        <v>3.55151E-55</v>
      </c>
      <c r="O17882">
        <v>537</v>
      </c>
    </row>
    <row r="17883" spans="1:15" x14ac:dyDescent="0.25">
      <c r="A17883" t="s">
        <v>17896</v>
      </c>
      <c r="B17883">
        <v>410</v>
      </c>
      <c r="C17883" s="1" t="str">
        <f>HYPERLINK("http://www.rosaceae.org/gb/gbrowse/malus_x_domestica/?name=MDP0000120572","MDP0000120572")</f>
        <v>MDP0000120572</v>
      </c>
      <c r="D17883">
        <v>86.36</v>
      </c>
      <c r="E17883">
        <v>418</v>
      </c>
      <c r="F17883">
        <v>57</v>
      </c>
      <c r="G17883">
        <v>30</v>
      </c>
      <c r="H17883">
        <v>22</v>
      </c>
      <c r="I17883">
        <v>409</v>
      </c>
      <c r="J17883">
        <v>1</v>
      </c>
      <c r="K17883">
        <v>22</v>
      </c>
      <c r="L17883">
        <v>439</v>
      </c>
      <c r="M17883">
        <v>1</v>
      </c>
      <c r="N17883">
        <v>0</v>
      </c>
      <c r="O17883">
        <v>1879</v>
      </c>
    </row>
    <row r="17884" spans="1:15" x14ac:dyDescent="0.25">
      <c r="A17884" t="s">
        <v>17897</v>
      </c>
      <c r="B17884">
        <v>470</v>
      </c>
      <c r="C17884" s="1" t="str">
        <f>HYPERLINK("http://www.rosaceae.org/gb/gbrowse/malus_x_domestica/?name=MDP0000145323","MDP0000145323")</f>
        <v>MDP0000145323</v>
      </c>
      <c r="D17884">
        <v>34.159999999999997</v>
      </c>
      <c r="E17884">
        <v>281</v>
      </c>
      <c r="F17884">
        <v>185</v>
      </c>
      <c r="G17884">
        <v>64</v>
      </c>
      <c r="H17884">
        <v>220</v>
      </c>
      <c r="I17884">
        <v>467</v>
      </c>
      <c r="J17884">
        <v>1</v>
      </c>
      <c r="K17884">
        <v>156</v>
      </c>
      <c r="L17884">
        <v>405</v>
      </c>
      <c r="M17884">
        <v>1</v>
      </c>
      <c r="N17884">
        <v>2.7040799999999998E-23</v>
      </c>
      <c r="O17884">
        <v>267</v>
      </c>
    </row>
    <row r="17885" spans="1:15" x14ac:dyDescent="0.25">
      <c r="A17885" t="s">
        <v>17898</v>
      </c>
      <c r="B17885">
        <v>207</v>
      </c>
      <c r="C17885" s="1" t="str">
        <f>HYPERLINK("http://www.rosaceae.org/gb/gbrowse/malus_x_domestica/?name=MDP0000266172","MDP0000266172")</f>
        <v>MDP0000266172</v>
      </c>
      <c r="D17885">
        <v>43.41</v>
      </c>
      <c r="E17885">
        <v>129</v>
      </c>
      <c r="F17885">
        <v>73</v>
      </c>
      <c r="G17885">
        <v>5</v>
      </c>
      <c r="H17885">
        <v>20</v>
      </c>
      <c r="I17885">
        <v>148</v>
      </c>
      <c r="J17885">
        <v>1</v>
      </c>
      <c r="K17885">
        <v>640</v>
      </c>
      <c r="L17885">
        <v>763</v>
      </c>
      <c r="M17885">
        <v>1</v>
      </c>
      <c r="N17885">
        <v>1.00381E-24</v>
      </c>
      <c r="O17885">
        <v>275</v>
      </c>
    </row>
    <row r="17886" spans="1:15" x14ac:dyDescent="0.25">
      <c r="A17886" t="s">
        <v>17899</v>
      </c>
      <c r="B17886">
        <v>363</v>
      </c>
      <c r="C17886" s="1" t="str">
        <f>HYPERLINK("http://www.rosaceae.org/gb/gbrowse/malus_x_domestica/?name=MDP0000237182","MDP0000237182")</f>
        <v>MDP0000237182</v>
      </c>
      <c r="D17886">
        <v>24.19</v>
      </c>
      <c r="E17886">
        <v>281</v>
      </c>
      <c r="F17886">
        <v>213</v>
      </c>
      <c r="G17886">
        <v>83</v>
      </c>
      <c r="H17886">
        <v>4</v>
      </c>
      <c r="I17886">
        <v>216</v>
      </c>
      <c r="J17886">
        <v>1</v>
      </c>
      <c r="K17886">
        <v>231</v>
      </c>
      <c r="L17886">
        <v>496</v>
      </c>
      <c r="M17886">
        <v>1</v>
      </c>
      <c r="N17886">
        <v>7.1972200000000003E-13</v>
      </c>
      <c r="O17886">
        <v>176</v>
      </c>
    </row>
    <row r="17887" spans="1:15" x14ac:dyDescent="0.25">
      <c r="A17887" t="s">
        <v>17900</v>
      </c>
      <c r="B17887">
        <v>418</v>
      </c>
      <c r="C17887" s="1" t="str">
        <f>HYPERLINK("http://www.rosaceae.org/gb/gbrowse/malus_x_domestica/?name=MDP0000251098","MDP0000251098")</f>
        <v>MDP0000251098</v>
      </c>
      <c r="D17887">
        <v>53.9</v>
      </c>
      <c r="E17887">
        <v>397</v>
      </c>
      <c r="F17887">
        <v>183</v>
      </c>
      <c r="G17887">
        <v>13</v>
      </c>
      <c r="H17887">
        <v>21</v>
      </c>
      <c r="I17887">
        <v>415</v>
      </c>
      <c r="J17887">
        <v>1</v>
      </c>
      <c r="K17887">
        <v>18</v>
      </c>
      <c r="L17887">
        <v>403</v>
      </c>
      <c r="M17887">
        <v>1</v>
      </c>
      <c r="N17887">
        <v>1.5609200000000001E-114</v>
      </c>
      <c r="O17887">
        <v>1053</v>
      </c>
    </row>
    <row r="17888" spans="1:15" x14ac:dyDescent="0.25">
      <c r="A17888" t="s">
        <v>17901</v>
      </c>
      <c r="B17888">
        <v>102</v>
      </c>
      <c r="C17888" s="1" t="str">
        <f>HYPERLINK("http://www.rosaceae.org/gb/gbrowse/malus_x_domestica/?name=MDP0000310247","MDP0000310247")</f>
        <v>MDP0000310247</v>
      </c>
      <c r="D17888">
        <v>51.8</v>
      </c>
      <c r="E17888">
        <v>83</v>
      </c>
      <c r="F17888">
        <v>40</v>
      </c>
      <c r="G17888">
        <v>0</v>
      </c>
      <c r="H17888">
        <v>19</v>
      </c>
      <c r="I17888">
        <v>101</v>
      </c>
      <c r="J17888">
        <v>1</v>
      </c>
      <c r="K17888">
        <v>26</v>
      </c>
      <c r="L17888">
        <v>108</v>
      </c>
      <c r="M17888">
        <v>1</v>
      </c>
      <c r="N17888">
        <v>3.00225E-18</v>
      </c>
      <c r="O17888">
        <v>215</v>
      </c>
    </row>
    <row r="17889" spans="1:15" x14ac:dyDescent="0.25">
      <c r="A17889" t="s">
        <v>17902</v>
      </c>
      <c r="B17889">
        <v>326</v>
      </c>
      <c r="C17889" s="1" t="str">
        <f>HYPERLINK("http://www.rosaceae.org/gb/gbrowse/malus_x_domestica/?name=MDP0000290546","MDP0000290546")</f>
        <v>MDP0000290546</v>
      </c>
      <c r="D17889">
        <v>67.650000000000006</v>
      </c>
      <c r="E17889">
        <v>337</v>
      </c>
      <c r="F17889">
        <v>109</v>
      </c>
      <c r="G17889">
        <v>13</v>
      </c>
      <c r="H17889">
        <v>1</v>
      </c>
      <c r="I17889">
        <v>324</v>
      </c>
      <c r="J17889">
        <v>1</v>
      </c>
      <c r="K17889">
        <v>1</v>
      </c>
      <c r="L17889">
        <v>337</v>
      </c>
      <c r="M17889">
        <v>1</v>
      </c>
      <c r="N17889">
        <v>1.6788000000000001E-125</v>
      </c>
      <c r="O17889">
        <v>1147</v>
      </c>
    </row>
    <row r="17890" spans="1:15" x14ac:dyDescent="0.25">
      <c r="A17890" t="s">
        <v>17903</v>
      </c>
      <c r="B17890">
        <v>196</v>
      </c>
      <c r="C17890" s="1" t="str">
        <f>HYPERLINK("http://www.rosaceae.org/gb/gbrowse/malus_x_domestica/?name=MDP0000588068","MDP0000588068")</f>
        <v>MDP0000588068</v>
      </c>
      <c r="D17890">
        <v>41.83</v>
      </c>
      <c r="E17890">
        <v>98</v>
      </c>
      <c r="F17890">
        <v>57</v>
      </c>
      <c r="G17890">
        <v>13</v>
      </c>
      <c r="H17890">
        <v>8</v>
      </c>
      <c r="I17890">
        <v>104</v>
      </c>
      <c r="J17890">
        <v>1</v>
      </c>
      <c r="K17890">
        <v>12</v>
      </c>
      <c r="L17890">
        <v>97</v>
      </c>
      <c r="M17890">
        <v>1</v>
      </c>
      <c r="N17890">
        <v>1.2923199999999999E-10</v>
      </c>
      <c r="O17890">
        <v>153</v>
      </c>
    </row>
    <row r="17891" spans="1:15" x14ac:dyDescent="0.25">
      <c r="A17891" t="s">
        <v>17904</v>
      </c>
      <c r="B17891">
        <v>749</v>
      </c>
      <c r="C17891" s="1" t="str">
        <f>HYPERLINK("http://www.rosaceae.org/gb/gbrowse/malus_x_domestica/?name=MDP0000318673","MDP0000318673")</f>
        <v>MDP0000318673</v>
      </c>
      <c r="D17891">
        <v>63.09</v>
      </c>
      <c r="E17891">
        <v>626</v>
      </c>
      <c r="F17891">
        <v>231</v>
      </c>
      <c r="G17891">
        <v>27</v>
      </c>
      <c r="H17891">
        <v>137</v>
      </c>
      <c r="I17891">
        <v>747</v>
      </c>
      <c r="J17891">
        <v>1</v>
      </c>
      <c r="K17891">
        <v>5</v>
      </c>
      <c r="L17891">
        <v>618</v>
      </c>
      <c r="M17891">
        <v>1</v>
      </c>
      <c r="N17891">
        <v>0</v>
      </c>
      <c r="O17891">
        <v>2006</v>
      </c>
    </row>
    <row r="17892" spans="1:15" x14ac:dyDescent="0.25">
      <c r="A17892" t="s">
        <v>17905</v>
      </c>
      <c r="B17892">
        <v>196</v>
      </c>
      <c r="C17892" s="1" t="str">
        <f>HYPERLINK("http://www.rosaceae.org/gb/gbrowse/malus_x_domestica/?name=MDP0000203890","MDP0000203890")</f>
        <v>MDP0000203890</v>
      </c>
      <c r="D17892">
        <v>91.89</v>
      </c>
      <c r="E17892">
        <v>74</v>
      </c>
      <c r="F17892">
        <v>6</v>
      </c>
      <c r="G17892">
        <v>0</v>
      </c>
      <c r="H17892">
        <v>28</v>
      </c>
      <c r="I17892">
        <v>101</v>
      </c>
      <c r="J17892">
        <v>1</v>
      </c>
      <c r="K17892">
        <v>66</v>
      </c>
      <c r="L17892">
        <v>139</v>
      </c>
      <c r="M17892">
        <v>1</v>
      </c>
      <c r="N17892">
        <v>3.2664199999999999E-35</v>
      </c>
      <c r="O17892">
        <v>365</v>
      </c>
    </row>
    <row r="17893" spans="1:15" x14ac:dyDescent="0.25">
      <c r="A17893" t="s">
        <v>17906</v>
      </c>
      <c r="B17893">
        <v>221</v>
      </c>
      <c r="C17893" s="1" t="str">
        <f>HYPERLINK("http://www.rosaceae.org/gb/gbrowse/malus_x_domestica/?name=MDP0000240375","MDP0000240375")</f>
        <v>MDP0000240375</v>
      </c>
      <c r="D17893">
        <v>30.34</v>
      </c>
      <c r="E17893">
        <v>145</v>
      </c>
      <c r="F17893">
        <v>101</v>
      </c>
      <c r="G17893">
        <v>14</v>
      </c>
      <c r="H17893">
        <v>12</v>
      </c>
      <c r="I17893">
        <v>154</v>
      </c>
      <c r="J17893">
        <v>1</v>
      </c>
      <c r="K17893">
        <v>554</v>
      </c>
      <c r="L17893">
        <v>686</v>
      </c>
      <c r="M17893">
        <v>1</v>
      </c>
      <c r="N17893">
        <v>3.0212799999999999E-11</v>
      </c>
      <c r="O17893">
        <v>159</v>
      </c>
    </row>
    <row r="17894" spans="1:15" x14ac:dyDescent="0.25">
      <c r="A17894" t="s">
        <v>17907</v>
      </c>
      <c r="B17894">
        <v>439</v>
      </c>
      <c r="C17894" s="1" t="str">
        <f>HYPERLINK("http://www.rosaceae.org/gb/gbrowse/malus_x_domestica/?name=MDP0000394183","MDP0000394183")</f>
        <v>MDP0000394183</v>
      </c>
      <c r="D17894">
        <v>68.959999999999994</v>
      </c>
      <c r="E17894">
        <v>435</v>
      </c>
      <c r="F17894">
        <v>135</v>
      </c>
      <c r="G17894">
        <v>2</v>
      </c>
      <c r="H17894">
        <v>6</v>
      </c>
      <c r="I17894">
        <v>438</v>
      </c>
      <c r="J17894">
        <v>1</v>
      </c>
      <c r="K17894">
        <v>128</v>
      </c>
      <c r="L17894">
        <v>562</v>
      </c>
      <c r="M17894">
        <v>1</v>
      </c>
      <c r="N17894">
        <v>1.6372500000000001E-174</v>
      </c>
      <c r="O17894">
        <v>1571</v>
      </c>
    </row>
    <row r="17895" spans="1:15" x14ac:dyDescent="0.25">
      <c r="A17895" t="s">
        <v>17908</v>
      </c>
      <c r="B17895">
        <v>477</v>
      </c>
      <c r="C17895" s="1" t="str">
        <f>HYPERLINK("http://www.rosaceae.org/gb/gbrowse/malus_x_domestica/?name=MDP0000251480","MDP0000251480")</f>
        <v>MDP0000251480</v>
      </c>
      <c r="D17895">
        <v>73.33</v>
      </c>
      <c r="E17895">
        <v>495</v>
      </c>
      <c r="F17895">
        <v>132</v>
      </c>
      <c r="G17895">
        <v>53</v>
      </c>
      <c r="H17895">
        <v>34</v>
      </c>
      <c r="I17895">
        <v>475</v>
      </c>
      <c r="J17895">
        <v>1</v>
      </c>
      <c r="K17895">
        <v>35</v>
      </c>
      <c r="L17895">
        <v>529</v>
      </c>
      <c r="M17895">
        <v>1</v>
      </c>
      <c r="N17895">
        <v>0</v>
      </c>
      <c r="O17895">
        <v>1855</v>
      </c>
    </row>
    <row r="17896" spans="1:15" x14ac:dyDescent="0.25">
      <c r="A17896" t="s">
        <v>17909</v>
      </c>
      <c r="B17896">
        <v>788</v>
      </c>
      <c r="C17896" s="1" t="str">
        <f>HYPERLINK("http://www.rosaceae.org/gb/gbrowse/malus_x_domestica/?name=MDP0000312546","MDP0000312546")</f>
        <v>MDP0000312546</v>
      </c>
      <c r="D17896">
        <v>72.03</v>
      </c>
      <c r="E17896">
        <v>819</v>
      </c>
      <c r="F17896">
        <v>229</v>
      </c>
      <c r="G17896">
        <v>48</v>
      </c>
      <c r="H17896">
        <v>3</v>
      </c>
      <c r="I17896">
        <v>788</v>
      </c>
      <c r="J17896">
        <v>1</v>
      </c>
      <c r="K17896">
        <v>92</v>
      </c>
      <c r="L17896">
        <v>895</v>
      </c>
      <c r="M17896">
        <v>1</v>
      </c>
      <c r="N17896">
        <v>0</v>
      </c>
      <c r="O17896">
        <v>2952</v>
      </c>
    </row>
    <row r="17897" spans="1:15" x14ac:dyDescent="0.25">
      <c r="A17897" t="s">
        <v>17910</v>
      </c>
      <c r="B17897">
        <v>785</v>
      </c>
      <c r="C17897" s="1" t="str">
        <f>HYPERLINK("http://www.rosaceae.org/gb/gbrowse/malus_x_domestica/?name=MDP0000321771","MDP0000321771")</f>
        <v>MDP0000321771</v>
      </c>
      <c r="D17897">
        <v>59.17</v>
      </c>
      <c r="E17897">
        <v>169</v>
      </c>
      <c r="F17897">
        <v>69</v>
      </c>
      <c r="G17897">
        <v>20</v>
      </c>
      <c r="H17897">
        <v>33</v>
      </c>
      <c r="I17897">
        <v>193</v>
      </c>
      <c r="J17897">
        <v>1</v>
      </c>
      <c r="K17897">
        <v>80</v>
      </c>
      <c r="L17897">
        <v>236</v>
      </c>
      <c r="M17897">
        <v>1</v>
      </c>
      <c r="N17897">
        <v>1.9641999999999999E-42</v>
      </c>
      <c r="O17897">
        <v>434</v>
      </c>
    </row>
    <row r="17898" spans="1:15" x14ac:dyDescent="0.25">
      <c r="A17898" t="s">
        <v>17911</v>
      </c>
      <c r="B17898">
        <v>227</v>
      </c>
      <c r="C17898" s="1" t="str">
        <f>HYPERLINK("http://www.rosaceae.org/gb/gbrowse/malus_x_domestica/?name=MDP0000224540","MDP0000224540")</f>
        <v>MDP0000224540</v>
      </c>
      <c r="D17898">
        <v>55.73</v>
      </c>
      <c r="E17898">
        <v>183</v>
      </c>
      <c r="F17898">
        <v>81</v>
      </c>
      <c r="G17898">
        <v>11</v>
      </c>
      <c r="H17898">
        <v>47</v>
      </c>
      <c r="I17898">
        <v>219</v>
      </c>
      <c r="J17898">
        <v>1</v>
      </c>
      <c r="K17898">
        <v>10</v>
      </c>
      <c r="L17898">
        <v>191</v>
      </c>
      <c r="M17898">
        <v>1</v>
      </c>
      <c r="N17898">
        <v>3.7248200000000002E-48</v>
      </c>
      <c r="O17898">
        <v>478</v>
      </c>
    </row>
    <row r="17899" spans="1:15" x14ac:dyDescent="0.25">
      <c r="A17899" t="s">
        <v>17912</v>
      </c>
      <c r="B17899">
        <v>280</v>
      </c>
      <c r="C17899" s="1" t="str">
        <f>HYPERLINK("http://www.rosaceae.org/gb/gbrowse/malus_x_domestica/?name=MDP0000259556","MDP0000259556")</f>
        <v>MDP0000259556</v>
      </c>
      <c r="D17899">
        <v>40.869999999999997</v>
      </c>
      <c r="E17899">
        <v>137</v>
      </c>
      <c r="F17899">
        <v>81</v>
      </c>
      <c r="G17899">
        <v>7</v>
      </c>
      <c r="H17899">
        <v>5</v>
      </c>
      <c r="I17899">
        <v>139</v>
      </c>
      <c r="J17899">
        <v>1</v>
      </c>
      <c r="K17899">
        <v>11</v>
      </c>
      <c r="L17899">
        <v>142</v>
      </c>
      <c r="M17899">
        <v>1</v>
      </c>
      <c r="N17899">
        <v>3.5286599999999998E-21</v>
      </c>
      <c r="O17899">
        <v>246</v>
      </c>
    </row>
    <row r="17900" spans="1:15" x14ac:dyDescent="0.25">
      <c r="A17900" t="s">
        <v>17913</v>
      </c>
      <c r="B17900">
        <v>362</v>
      </c>
      <c r="C17900" s="1" t="str">
        <f>HYPERLINK("http://www.rosaceae.org/gb/gbrowse/malus_x_domestica/?name=MDP0000281535","MDP0000281535")</f>
        <v>MDP0000281535</v>
      </c>
      <c r="D17900">
        <v>98.24</v>
      </c>
      <c r="E17900">
        <v>57</v>
      </c>
      <c r="F17900">
        <v>1</v>
      </c>
      <c r="G17900">
        <v>0</v>
      </c>
      <c r="H17900">
        <v>64</v>
      </c>
      <c r="I17900">
        <v>120</v>
      </c>
      <c r="J17900">
        <v>1</v>
      </c>
      <c r="K17900">
        <v>294</v>
      </c>
      <c r="L17900">
        <v>350</v>
      </c>
      <c r="M17900">
        <v>1</v>
      </c>
      <c r="N17900">
        <v>9.0220100000000004E-26</v>
      </c>
      <c r="O17900">
        <v>287</v>
      </c>
    </row>
    <row r="17901" spans="1:15" x14ac:dyDescent="0.25">
      <c r="A17901" t="s">
        <v>17914</v>
      </c>
      <c r="B17901">
        <v>928</v>
      </c>
      <c r="C17901" s="1" t="str">
        <f>HYPERLINK("http://www.rosaceae.org/gb/gbrowse/malus_x_domestica/?name=MDP0000245331","MDP0000245331")</f>
        <v>MDP0000245331</v>
      </c>
      <c r="D17901">
        <v>85.55</v>
      </c>
      <c r="E17901">
        <v>886</v>
      </c>
      <c r="F17901">
        <v>128</v>
      </c>
      <c r="G17901">
        <v>54</v>
      </c>
      <c r="H17901">
        <v>8</v>
      </c>
      <c r="I17901">
        <v>842</v>
      </c>
      <c r="J17901">
        <v>1</v>
      </c>
      <c r="K17901">
        <v>144</v>
      </c>
      <c r="L17901">
        <v>1026</v>
      </c>
      <c r="M17901">
        <v>1</v>
      </c>
      <c r="N17901">
        <v>0</v>
      </c>
      <c r="O17901">
        <v>3832</v>
      </c>
    </row>
    <row r="17902" spans="1:15" x14ac:dyDescent="0.25">
      <c r="A17902" t="s">
        <v>17915</v>
      </c>
      <c r="B17902">
        <v>256</v>
      </c>
      <c r="C17902" s="1" t="str">
        <f>HYPERLINK("http://www.rosaceae.org/gb/gbrowse/malus_x_domestica/?name=MDP0000186614","MDP0000186614")</f>
        <v>MDP0000186614</v>
      </c>
      <c r="D17902">
        <v>63.22</v>
      </c>
      <c r="E17902">
        <v>223</v>
      </c>
      <c r="F17902">
        <v>82</v>
      </c>
      <c r="G17902">
        <v>4</v>
      </c>
      <c r="H17902">
        <v>5</v>
      </c>
      <c r="I17902">
        <v>225</v>
      </c>
      <c r="J17902">
        <v>1</v>
      </c>
      <c r="K17902">
        <v>122</v>
      </c>
      <c r="L17902">
        <v>342</v>
      </c>
      <c r="M17902">
        <v>1</v>
      </c>
      <c r="N17902">
        <v>2.6150299999999998E-72</v>
      </c>
      <c r="O17902">
        <v>687</v>
      </c>
    </row>
    <row r="17903" spans="1:15" x14ac:dyDescent="0.25">
      <c r="A17903" t="s">
        <v>17916</v>
      </c>
      <c r="B17903">
        <v>521</v>
      </c>
      <c r="C17903" s="1" t="str">
        <f>HYPERLINK("http://www.rosaceae.org/gb/gbrowse/malus_x_domestica/?name=MDP0000211634","MDP0000211634")</f>
        <v>MDP0000211634</v>
      </c>
      <c r="D17903">
        <v>76.150000000000006</v>
      </c>
      <c r="E17903">
        <v>520</v>
      </c>
      <c r="F17903">
        <v>124</v>
      </c>
      <c r="G17903">
        <v>3</v>
      </c>
      <c r="H17903">
        <v>1</v>
      </c>
      <c r="I17903">
        <v>520</v>
      </c>
      <c r="J17903">
        <v>1</v>
      </c>
      <c r="K17903">
        <v>1</v>
      </c>
      <c r="L17903">
        <v>517</v>
      </c>
      <c r="M17903">
        <v>1</v>
      </c>
      <c r="N17903">
        <v>0</v>
      </c>
      <c r="O17903">
        <v>2137</v>
      </c>
    </row>
    <row r="17904" spans="1:15" x14ac:dyDescent="0.25">
      <c r="A17904" t="s">
        <v>17917</v>
      </c>
      <c r="B17904">
        <v>407</v>
      </c>
      <c r="C17904" s="1" t="str">
        <f>HYPERLINK("http://www.rosaceae.org/gb/gbrowse/malus_x_domestica/?name=MDP0000236864","MDP0000236864")</f>
        <v>MDP0000236864</v>
      </c>
      <c r="D17904">
        <v>70.150000000000006</v>
      </c>
      <c r="E17904">
        <v>382</v>
      </c>
      <c r="F17904">
        <v>114</v>
      </c>
      <c r="G17904">
        <v>11</v>
      </c>
      <c r="H17904">
        <v>15</v>
      </c>
      <c r="I17904">
        <v>385</v>
      </c>
      <c r="J17904">
        <v>1</v>
      </c>
      <c r="K17904">
        <v>8</v>
      </c>
      <c r="L17904">
        <v>389</v>
      </c>
      <c r="M17904">
        <v>1</v>
      </c>
      <c r="N17904">
        <v>8.8579699999999994E-161</v>
      </c>
      <c r="O17904">
        <v>1452</v>
      </c>
    </row>
    <row r="17905" spans="1:15" x14ac:dyDescent="0.25">
      <c r="A17905" t="s">
        <v>17918</v>
      </c>
      <c r="B17905">
        <v>1444</v>
      </c>
      <c r="C17905" s="1" t="str">
        <f>HYPERLINK("http://www.rosaceae.org/gb/gbrowse/malus_x_domestica/?name=MDP0000144890","MDP0000144890")</f>
        <v>MDP0000144890</v>
      </c>
      <c r="D17905">
        <v>66.61</v>
      </c>
      <c r="E17905">
        <v>635</v>
      </c>
      <c r="F17905">
        <v>212</v>
      </c>
      <c r="G17905">
        <v>11</v>
      </c>
      <c r="H17905">
        <v>811</v>
      </c>
      <c r="I17905">
        <v>1440</v>
      </c>
      <c r="J17905">
        <v>1</v>
      </c>
      <c r="K17905">
        <v>99</v>
      </c>
      <c r="L17905">
        <v>727</v>
      </c>
      <c r="M17905">
        <v>1</v>
      </c>
      <c r="N17905">
        <v>0</v>
      </c>
      <c r="O17905">
        <v>2276</v>
      </c>
    </row>
    <row r="17906" spans="1:15" x14ac:dyDescent="0.25">
      <c r="A17906" t="s">
        <v>17919</v>
      </c>
      <c r="B17906">
        <v>384</v>
      </c>
      <c r="C17906" s="1" t="str">
        <f>HYPERLINK("http://www.rosaceae.org/gb/gbrowse/malus_x_domestica/?name=MDP0000240772","MDP0000240772")</f>
        <v>MDP0000240772</v>
      </c>
      <c r="D17906">
        <v>74.33</v>
      </c>
      <c r="E17906">
        <v>413</v>
      </c>
      <c r="F17906">
        <v>106</v>
      </c>
      <c r="G17906">
        <v>42</v>
      </c>
      <c r="H17906">
        <v>7</v>
      </c>
      <c r="I17906">
        <v>377</v>
      </c>
      <c r="J17906">
        <v>1</v>
      </c>
      <c r="K17906">
        <v>155</v>
      </c>
      <c r="L17906">
        <v>567</v>
      </c>
      <c r="M17906">
        <v>1</v>
      </c>
      <c r="N17906">
        <v>1.2335700000000001E-179</v>
      </c>
      <c r="O17906">
        <v>1614</v>
      </c>
    </row>
    <row r="17907" spans="1:15" x14ac:dyDescent="0.25">
      <c r="A17907" t="s">
        <v>17920</v>
      </c>
      <c r="B17907">
        <v>705</v>
      </c>
      <c r="C17907" s="1" t="str">
        <f>HYPERLINK("http://www.rosaceae.org/gb/gbrowse/malus_x_domestica/?name=MDP0000254199","MDP0000254199")</f>
        <v>MDP0000254199</v>
      </c>
      <c r="D17907">
        <v>75.63</v>
      </c>
      <c r="E17907">
        <v>431</v>
      </c>
      <c r="F17907">
        <v>105</v>
      </c>
      <c r="G17907">
        <v>7</v>
      </c>
      <c r="H17907">
        <v>3</v>
      </c>
      <c r="I17907">
        <v>428</v>
      </c>
      <c r="J17907">
        <v>1</v>
      </c>
      <c r="K17907">
        <v>34</v>
      </c>
      <c r="L17907">
        <v>462</v>
      </c>
      <c r="M17907">
        <v>1</v>
      </c>
      <c r="N17907">
        <v>0</v>
      </c>
      <c r="O17907">
        <v>1709</v>
      </c>
    </row>
    <row r="17908" spans="1:15" x14ac:dyDescent="0.25">
      <c r="A17908" t="s">
        <v>17921</v>
      </c>
      <c r="B17908">
        <v>1097</v>
      </c>
      <c r="C17908" s="1" t="str">
        <f>HYPERLINK("http://www.rosaceae.org/gb/gbrowse/malus_x_domestica/?name=MDP0000314910","MDP0000314910")</f>
        <v>MDP0000314910</v>
      </c>
      <c r="D17908">
        <v>31.02</v>
      </c>
      <c r="E17908">
        <v>519</v>
      </c>
      <c r="F17908">
        <v>358</v>
      </c>
      <c r="G17908">
        <v>47</v>
      </c>
      <c r="H17908">
        <v>31</v>
      </c>
      <c r="I17908">
        <v>538</v>
      </c>
      <c r="J17908">
        <v>1</v>
      </c>
      <c r="K17908">
        <v>28</v>
      </c>
      <c r="L17908">
        <v>510</v>
      </c>
      <c r="M17908">
        <v>1</v>
      </c>
      <c r="N17908">
        <v>8.67435E-66</v>
      </c>
      <c r="O17908">
        <v>637</v>
      </c>
    </row>
    <row r="17909" spans="1:15" x14ac:dyDescent="0.25">
      <c r="A17909" t="s">
        <v>17922</v>
      </c>
      <c r="B17909">
        <v>680</v>
      </c>
      <c r="C17909" s="1" t="str">
        <f>HYPERLINK("http://www.rosaceae.org/gb/gbrowse/malus_x_domestica/?name=MDP0000239896","MDP0000239896")</f>
        <v>MDP0000239896</v>
      </c>
      <c r="D17909">
        <v>39.299999999999997</v>
      </c>
      <c r="E17909">
        <v>402</v>
      </c>
      <c r="F17909">
        <v>244</v>
      </c>
      <c r="G17909">
        <v>57</v>
      </c>
      <c r="H17909">
        <v>23</v>
      </c>
      <c r="I17909">
        <v>414</v>
      </c>
      <c r="J17909">
        <v>1</v>
      </c>
      <c r="K17909">
        <v>80</v>
      </c>
      <c r="L17909">
        <v>434</v>
      </c>
      <c r="M17909">
        <v>1</v>
      </c>
      <c r="N17909">
        <v>2.85318E-60</v>
      </c>
      <c r="O17909">
        <v>588</v>
      </c>
    </row>
    <row r="17910" spans="1:15" x14ac:dyDescent="0.25">
      <c r="A17910" t="s">
        <v>17923</v>
      </c>
      <c r="B17910">
        <v>563</v>
      </c>
      <c r="C17910" s="1" t="str">
        <f>HYPERLINK("http://www.rosaceae.org/gb/gbrowse/malus_x_domestica/?name=MDP0000256917","MDP0000256917")</f>
        <v>MDP0000256917</v>
      </c>
      <c r="D17910">
        <v>86.88</v>
      </c>
      <c r="E17910">
        <v>305</v>
      </c>
      <c r="F17910">
        <v>40</v>
      </c>
      <c r="G17910">
        <v>0</v>
      </c>
      <c r="H17910">
        <v>256</v>
      </c>
      <c r="I17910">
        <v>560</v>
      </c>
      <c r="J17910">
        <v>1</v>
      </c>
      <c r="K17910">
        <v>811</v>
      </c>
      <c r="L17910">
        <v>1115</v>
      </c>
      <c r="M17910">
        <v>1</v>
      </c>
      <c r="N17910">
        <v>1.6996899999999998E-154</v>
      </c>
      <c r="O17910">
        <v>1399</v>
      </c>
    </row>
    <row r="17911" spans="1:15" x14ac:dyDescent="0.25">
      <c r="A17911" t="s">
        <v>17924</v>
      </c>
      <c r="B17911">
        <v>160</v>
      </c>
      <c r="C17911" s="1" t="str">
        <f>HYPERLINK("http://www.rosaceae.org/gb/gbrowse/malus_x_domestica/?name=MDP0000299496","MDP0000299496")</f>
        <v>MDP0000299496</v>
      </c>
      <c r="D17911">
        <v>53.2</v>
      </c>
      <c r="E17911">
        <v>156</v>
      </c>
      <c r="F17911">
        <v>73</v>
      </c>
      <c r="G17911">
        <v>0</v>
      </c>
      <c r="H17911">
        <v>2</v>
      </c>
      <c r="I17911">
        <v>157</v>
      </c>
      <c r="J17911">
        <v>1</v>
      </c>
      <c r="K17911">
        <v>506</v>
      </c>
      <c r="L17911">
        <v>661</v>
      </c>
      <c r="M17911">
        <v>1</v>
      </c>
      <c r="N17911">
        <v>3.8492699999999998E-47</v>
      </c>
      <c r="O17911">
        <v>466</v>
      </c>
    </row>
    <row r="17912" spans="1:15" x14ac:dyDescent="0.25">
      <c r="A17912" t="s">
        <v>17925</v>
      </c>
      <c r="B17912">
        <v>263</v>
      </c>
      <c r="C17912" s="1" t="str">
        <f>HYPERLINK("http://www.rosaceae.org/gb/gbrowse/malus_x_domestica/?name=MDP0000241086","MDP0000241086")</f>
        <v>MDP0000241086</v>
      </c>
      <c r="D17912">
        <v>49.21</v>
      </c>
      <c r="E17912">
        <v>254</v>
      </c>
      <c r="F17912">
        <v>129</v>
      </c>
      <c r="G17912">
        <v>7</v>
      </c>
      <c r="H17912">
        <v>11</v>
      </c>
      <c r="I17912">
        <v>263</v>
      </c>
      <c r="J17912">
        <v>1</v>
      </c>
      <c r="K17912">
        <v>15</v>
      </c>
      <c r="L17912">
        <v>262</v>
      </c>
      <c r="M17912">
        <v>1</v>
      </c>
      <c r="N17912">
        <v>2.5501499999999998E-52</v>
      </c>
      <c r="O17912">
        <v>514</v>
      </c>
    </row>
    <row r="17913" spans="1:15" x14ac:dyDescent="0.25">
      <c r="A17913" t="s">
        <v>17926</v>
      </c>
      <c r="B17913">
        <v>385</v>
      </c>
      <c r="C17913" s="1" t="str">
        <f>HYPERLINK("http://www.rosaceae.org/gb/gbrowse/malus_x_domestica/?name=MDP0000449759","MDP0000449759")</f>
        <v>MDP0000449759</v>
      </c>
      <c r="D17913">
        <v>27.98</v>
      </c>
      <c r="E17913">
        <v>368</v>
      </c>
      <c r="F17913">
        <v>265</v>
      </c>
      <c r="G17913">
        <v>108</v>
      </c>
      <c r="H17913">
        <v>13</v>
      </c>
      <c r="I17913">
        <v>299</v>
      </c>
      <c r="J17913">
        <v>1</v>
      </c>
      <c r="K17913">
        <v>35</v>
      </c>
      <c r="L17913">
        <v>375</v>
      </c>
      <c r="M17913">
        <v>1</v>
      </c>
      <c r="N17913">
        <v>1.31783E-21</v>
      </c>
      <c r="O17913">
        <v>252</v>
      </c>
    </row>
    <row r="17914" spans="1:15" x14ac:dyDescent="0.25">
      <c r="A17914" t="s">
        <v>17927</v>
      </c>
      <c r="B17914">
        <v>314</v>
      </c>
      <c r="C17914" s="1" t="str">
        <f>HYPERLINK("http://www.rosaceae.org/gb/gbrowse/malus_x_domestica/?name=MDP0000928643","MDP0000928643")</f>
        <v>MDP0000928643</v>
      </c>
      <c r="D17914">
        <v>86.73</v>
      </c>
      <c r="E17914">
        <v>309</v>
      </c>
      <c r="F17914">
        <v>41</v>
      </c>
      <c r="G17914">
        <v>0</v>
      </c>
      <c r="H17914">
        <v>6</v>
      </c>
      <c r="I17914">
        <v>314</v>
      </c>
      <c r="J17914">
        <v>1</v>
      </c>
      <c r="K17914">
        <v>7</v>
      </c>
      <c r="L17914">
        <v>315</v>
      </c>
      <c r="M17914">
        <v>1</v>
      </c>
      <c r="N17914">
        <v>5.2262800000000003E-161</v>
      </c>
      <c r="O17914">
        <v>1453</v>
      </c>
    </row>
    <row r="17915" spans="1:15" x14ac:dyDescent="0.25">
      <c r="A17915" t="s">
        <v>17928</v>
      </c>
      <c r="B17915">
        <v>555</v>
      </c>
      <c r="C17915" s="1" t="str">
        <f>HYPERLINK("http://www.rosaceae.org/gb/gbrowse/malus_x_domestica/?name=MDP0000487877","MDP0000487877")</f>
        <v>MDP0000487877</v>
      </c>
      <c r="D17915">
        <v>79.010000000000005</v>
      </c>
      <c r="E17915">
        <v>448</v>
      </c>
      <c r="F17915">
        <v>94</v>
      </c>
      <c r="G17915">
        <v>11</v>
      </c>
      <c r="H17915">
        <v>14</v>
      </c>
      <c r="I17915">
        <v>458</v>
      </c>
      <c r="J17915">
        <v>1</v>
      </c>
      <c r="K17915">
        <v>27</v>
      </c>
      <c r="L17915">
        <v>466</v>
      </c>
      <c r="M17915">
        <v>1</v>
      </c>
      <c r="N17915">
        <v>0</v>
      </c>
      <c r="O17915">
        <v>1908</v>
      </c>
    </row>
    <row r="17916" spans="1:15" x14ac:dyDescent="0.25">
      <c r="A17916" t="s">
        <v>17929</v>
      </c>
      <c r="B17916">
        <v>142</v>
      </c>
      <c r="C17916" s="1" t="str">
        <f>HYPERLINK("http://www.rosaceae.org/gb/gbrowse/malus_x_domestica/?name=MDP0000459919","MDP0000459919")</f>
        <v>MDP0000459919</v>
      </c>
      <c r="D17916">
        <v>97.88</v>
      </c>
      <c r="E17916">
        <v>142</v>
      </c>
      <c r="F17916">
        <v>3</v>
      </c>
      <c r="G17916">
        <v>0</v>
      </c>
      <c r="H17916">
        <v>1</v>
      </c>
      <c r="I17916">
        <v>142</v>
      </c>
      <c r="J17916">
        <v>1</v>
      </c>
      <c r="K17916">
        <v>1</v>
      </c>
      <c r="L17916">
        <v>142</v>
      </c>
      <c r="M17916">
        <v>1</v>
      </c>
      <c r="N17916">
        <v>1.1561800000000001E-80</v>
      </c>
      <c r="O17916">
        <v>755</v>
      </c>
    </row>
    <row r="17917" spans="1:15" x14ac:dyDescent="0.25">
      <c r="A17917" t="s">
        <v>17930</v>
      </c>
      <c r="B17917">
        <v>380</v>
      </c>
      <c r="C17917" s="1" t="str">
        <f>HYPERLINK("http://www.rosaceae.org/gb/gbrowse/malus_x_domestica/?name=MDP0000272901","MDP0000272901")</f>
        <v>MDP0000272901</v>
      </c>
      <c r="D17917">
        <v>85.52</v>
      </c>
      <c r="E17917">
        <v>380</v>
      </c>
      <c r="F17917">
        <v>55</v>
      </c>
      <c r="G17917">
        <v>0</v>
      </c>
      <c r="H17917">
        <v>1</v>
      </c>
      <c r="I17917">
        <v>380</v>
      </c>
      <c r="J17917">
        <v>1</v>
      </c>
      <c r="K17917">
        <v>1</v>
      </c>
      <c r="L17917">
        <v>380</v>
      </c>
      <c r="M17917">
        <v>1</v>
      </c>
      <c r="N17917">
        <v>0</v>
      </c>
      <c r="O17917">
        <v>1751</v>
      </c>
    </row>
    <row r="17918" spans="1:15" x14ac:dyDescent="0.25">
      <c r="A17918" t="s">
        <v>17931</v>
      </c>
      <c r="B17918">
        <v>402</v>
      </c>
      <c r="C17918" s="1" t="str">
        <f>HYPERLINK("http://www.rosaceae.org/gb/gbrowse/malus_x_domestica/?name=MDP0000187580","MDP0000187580")</f>
        <v>MDP0000187580</v>
      </c>
      <c r="D17918">
        <v>75.819999999999993</v>
      </c>
      <c r="E17918">
        <v>393</v>
      </c>
      <c r="F17918">
        <v>95</v>
      </c>
      <c r="G17918">
        <v>21</v>
      </c>
      <c r="H17918">
        <v>28</v>
      </c>
      <c r="I17918">
        <v>402</v>
      </c>
      <c r="J17918">
        <v>1</v>
      </c>
      <c r="K17918">
        <v>13</v>
      </c>
      <c r="L17918">
        <v>402</v>
      </c>
      <c r="M17918">
        <v>1</v>
      </c>
      <c r="N17918">
        <v>1.0562799999999999E-157</v>
      </c>
      <c r="O17918">
        <v>1425</v>
      </c>
    </row>
    <row r="17919" spans="1:15" x14ac:dyDescent="0.25">
      <c r="A17919" t="s">
        <v>17932</v>
      </c>
      <c r="B17919">
        <v>537</v>
      </c>
      <c r="C17919" s="1" t="str">
        <f>HYPERLINK("http://www.rosaceae.org/gb/gbrowse/malus_x_domestica/?name=MDP0000651689","MDP0000651689")</f>
        <v>MDP0000651689</v>
      </c>
      <c r="D17919">
        <v>69.58</v>
      </c>
      <c r="E17919">
        <v>536</v>
      </c>
      <c r="F17919">
        <v>163</v>
      </c>
      <c r="G17919">
        <v>30</v>
      </c>
      <c r="H17919">
        <v>14</v>
      </c>
      <c r="I17919">
        <v>532</v>
      </c>
      <c r="J17919">
        <v>1</v>
      </c>
      <c r="K17919">
        <v>54</v>
      </c>
      <c r="L17919">
        <v>576</v>
      </c>
      <c r="M17919">
        <v>1</v>
      </c>
      <c r="N17919">
        <v>0</v>
      </c>
      <c r="O17919">
        <v>1972</v>
      </c>
    </row>
    <row r="17920" spans="1:15" x14ac:dyDescent="0.25">
      <c r="A17920" t="s">
        <v>17933</v>
      </c>
      <c r="B17920">
        <v>315</v>
      </c>
      <c r="C17920" s="1" t="str">
        <f>HYPERLINK("http://www.rosaceae.org/gb/gbrowse/malus_x_domestica/?name=MDP0000151697","MDP0000151697")</f>
        <v>MDP0000151697</v>
      </c>
      <c r="D17920">
        <v>71.739999999999995</v>
      </c>
      <c r="E17920">
        <v>315</v>
      </c>
      <c r="F17920">
        <v>89</v>
      </c>
      <c r="G17920">
        <v>7</v>
      </c>
      <c r="H17920">
        <v>1</v>
      </c>
      <c r="I17920">
        <v>315</v>
      </c>
      <c r="J17920">
        <v>1</v>
      </c>
      <c r="K17920">
        <v>1</v>
      </c>
      <c r="L17920">
        <v>308</v>
      </c>
      <c r="M17920">
        <v>1</v>
      </c>
      <c r="N17920">
        <v>4.3033800000000002E-128</v>
      </c>
      <c r="O17920">
        <v>1169</v>
      </c>
    </row>
    <row r="17921" spans="1:15" x14ac:dyDescent="0.25">
      <c r="A17921" t="s">
        <v>17934</v>
      </c>
      <c r="B17921">
        <v>492</v>
      </c>
      <c r="C17921" s="1" t="str">
        <f>HYPERLINK("http://www.rosaceae.org/gb/gbrowse/malus_x_domestica/?name=MDP0000195048","MDP0000195048")</f>
        <v>MDP0000195048</v>
      </c>
      <c r="D17921">
        <v>78.069999999999993</v>
      </c>
      <c r="E17921">
        <v>520</v>
      </c>
      <c r="F17921">
        <v>114</v>
      </c>
      <c r="G17921">
        <v>31</v>
      </c>
      <c r="H17921">
        <v>3</v>
      </c>
      <c r="I17921">
        <v>492</v>
      </c>
      <c r="J17921">
        <v>1</v>
      </c>
      <c r="K17921">
        <v>395</v>
      </c>
      <c r="L17921">
        <v>913</v>
      </c>
      <c r="M17921">
        <v>1</v>
      </c>
      <c r="N17921">
        <v>0</v>
      </c>
      <c r="O17921">
        <v>2168</v>
      </c>
    </row>
    <row r="17922" spans="1:15" x14ac:dyDescent="0.25">
      <c r="A17922" t="s">
        <v>17935</v>
      </c>
      <c r="B17922">
        <v>230</v>
      </c>
      <c r="C17922" s="1" t="str">
        <f>HYPERLINK("http://www.rosaceae.org/gb/gbrowse/malus_x_domestica/?name=MDP0000273144","MDP0000273144")</f>
        <v>MDP0000273144</v>
      </c>
      <c r="D17922">
        <v>48.85</v>
      </c>
      <c r="E17922">
        <v>131</v>
      </c>
      <c r="F17922">
        <v>67</v>
      </c>
      <c r="G17922">
        <v>34</v>
      </c>
      <c r="H17922">
        <v>27</v>
      </c>
      <c r="I17922">
        <v>123</v>
      </c>
      <c r="J17922">
        <v>1</v>
      </c>
      <c r="K17922">
        <v>211</v>
      </c>
      <c r="L17922">
        <v>341</v>
      </c>
      <c r="M17922">
        <v>1</v>
      </c>
      <c r="N17922">
        <v>3.27086E-30</v>
      </c>
      <c r="O17922">
        <v>323</v>
      </c>
    </row>
    <row r="17923" spans="1:15" x14ac:dyDescent="0.25">
      <c r="A17923" t="s">
        <v>17936</v>
      </c>
      <c r="B17923">
        <v>207</v>
      </c>
      <c r="C17923" s="1" t="str">
        <f>HYPERLINK("http://www.rosaceae.org/gb/gbrowse/malus_x_domestica/?name=MDP0000140984","MDP0000140984")</f>
        <v>MDP0000140984</v>
      </c>
      <c r="D17923">
        <v>73.3</v>
      </c>
      <c r="E17923">
        <v>206</v>
      </c>
      <c r="F17923">
        <v>55</v>
      </c>
      <c r="G17923">
        <v>1</v>
      </c>
      <c r="H17923">
        <v>2</v>
      </c>
      <c r="I17923">
        <v>207</v>
      </c>
      <c r="J17923">
        <v>1</v>
      </c>
      <c r="K17923">
        <v>32</v>
      </c>
      <c r="L17923">
        <v>236</v>
      </c>
      <c r="M17923">
        <v>1</v>
      </c>
      <c r="N17923">
        <v>8.1471400000000005E-83</v>
      </c>
      <c r="O17923">
        <v>776</v>
      </c>
    </row>
    <row r="17924" spans="1:15" x14ac:dyDescent="0.25">
      <c r="A17924" t="s">
        <v>17937</v>
      </c>
      <c r="B17924">
        <v>379</v>
      </c>
      <c r="C17924" s="1" t="str">
        <f>HYPERLINK("http://www.rosaceae.org/gb/gbrowse/malus_x_domestica/?name=MDP0000136726","MDP0000136726")</f>
        <v>MDP0000136726</v>
      </c>
      <c r="D17924">
        <v>66.900000000000006</v>
      </c>
      <c r="E17924">
        <v>142</v>
      </c>
      <c r="F17924">
        <v>47</v>
      </c>
      <c r="G17924">
        <v>0</v>
      </c>
      <c r="H17924">
        <v>130</v>
      </c>
      <c r="I17924">
        <v>271</v>
      </c>
      <c r="J17924">
        <v>1</v>
      </c>
      <c r="K17924">
        <v>32</v>
      </c>
      <c r="L17924">
        <v>173</v>
      </c>
      <c r="M17924">
        <v>1</v>
      </c>
      <c r="N17924">
        <v>5.5453900000000001E-55</v>
      </c>
      <c r="O17924">
        <v>539</v>
      </c>
    </row>
    <row r="17925" spans="1:15" x14ac:dyDescent="0.25">
      <c r="A17925" t="s">
        <v>17938</v>
      </c>
      <c r="B17925">
        <v>92</v>
      </c>
      <c r="C17925" s="1" t="str">
        <f>HYPERLINK("http://www.rosaceae.org/gb/gbrowse/malus_x_domestica/?name=MDP0000239496","MDP0000239496")</f>
        <v>MDP0000239496</v>
      </c>
      <c r="D17925">
        <v>41.57</v>
      </c>
      <c r="E17925">
        <v>89</v>
      </c>
      <c r="F17925">
        <v>52</v>
      </c>
      <c r="G17925">
        <v>20</v>
      </c>
      <c r="H17925">
        <v>20</v>
      </c>
      <c r="I17925">
        <v>91</v>
      </c>
      <c r="J17925">
        <v>1</v>
      </c>
      <c r="K17925">
        <v>28</v>
      </c>
      <c r="L17925">
        <v>113</v>
      </c>
      <c r="M17925">
        <v>1</v>
      </c>
      <c r="N17925">
        <v>4.3682400000000002E-8</v>
      </c>
      <c r="O17925">
        <v>127</v>
      </c>
    </row>
    <row r="17926" spans="1:15" x14ac:dyDescent="0.25">
      <c r="A17926" t="s">
        <v>17939</v>
      </c>
      <c r="B17926">
        <v>723</v>
      </c>
      <c r="C17926" s="1" t="str">
        <f>HYPERLINK("http://www.rosaceae.org/gb/gbrowse/malus_x_domestica/?name=MDP0000482565","MDP0000482565")</f>
        <v>MDP0000482565</v>
      </c>
      <c r="D17926">
        <v>64.73</v>
      </c>
      <c r="E17926">
        <v>726</v>
      </c>
      <c r="F17926">
        <v>256</v>
      </c>
      <c r="G17926">
        <v>5</v>
      </c>
      <c r="H17926">
        <v>2</v>
      </c>
      <c r="I17926">
        <v>723</v>
      </c>
      <c r="J17926">
        <v>1</v>
      </c>
      <c r="K17926">
        <v>4</v>
      </c>
      <c r="L17926">
        <v>728</v>
      </c>
      <c r="M17926">
        <v>1</v>
      </c>
      <c r="N17926">
        <v>0</v>
      </c>
      <c r="O17926">
        <v>2164</v>
      </c>
    </row>
    <row r="17927" spans="1:15" x14ac:dyDescent="0.25">
      <c r="A17927" t="s">
        <v>17940</v>
      </c>
      <c r="B17927">
        <v>1166</v>
      </c>
      <c r="C17927" s="1" t="str">
        <f>HYPERLINK("http://www.rosaceae.org/gb/gbrowse/malus_x_domestica/?name=MDP0000734561","MDP0000734561")</f>
        <v>MDP0000734561</v>
      </c>
      <c r="D17927">
        <v>47.7</v>
      </c>
      <c r="E17927">
        <v>960</v>
      </c>
      <c r="F17927">
        <v>502</v>
      </c>
      <c r="G17927">
        <v>68</v>
      </c>
      <c r="H17927">
        <v>219</v>
      </c>
      <c r="I17927">
        <v>1165</v>
      </c>
      <c r="J17927">
        <v>1</v>
      </c>
      <c r="K17927">
        <v>209</v>
      </c>
      <c r="L17927">
        <v>1113</v>
      </c>
      <c r="M17927">
        <v>1</v>
      </c>
      <c r="N17927">
        <v>0</v>
      </c>
      <c r="O17927">
        <v>2002</v>
      </c>
    </row>
    <row r="17928" spans="1:15" x14ac:dyDescent="0.25">
      <c r="A17928" t="s">
        <v>17941</v>
      </c>
      <c r="B17928">
        <v>315</v>
      </c>
      <c r="C17928" s="1" t="str">
        <f>HYPERLINK("http://www.rosaceae.org/gb/gbrowse/malus_x_domestica/?name=MDP0000239797","MDP0000239797")</f>
        <v>MDP0000239797</v>
      </c>
      <c r="D17928">
        <v>70.34</v>
      </c>
      <c r="E17928">
        <v>290</v>
      </c>
      <c r="F17928">
        <v>86</v>
      </c>
      <c r="G17928">
        <v>12</v>
      </c>
      <c r="H17928">
        <v>28</v>
      </c>
      <c r="I17928">
        <v>311</v>
      </c>
      <c r="J17928">
        <v>1</v>
      </c>
      <c r="K17928">
        <v>185</v>
      </c>
      <c r="L17928">
        <v>468</v>
      </c>
      <c r="M17928">
        <v>1</v>
      </c>
      <c r="N17928">
        <v>2.7354400000000002E-108</v>
      </c>
      <c r="O17928">
        <v>998</v>
      </c>
    </row>
    <row r="17929" spans="1:15" x14ac:dyDescent="0.25">
      <c r="A17929" t="s">
        <v>17942</v>
      </c>
      <c r="B17929">
        <v>490</v>
      </c>
      <c r="C17929" s="1" t="str">
        <f>HYPERLINK("http://www.rosaceae.org/gb/gbrowse/malus_x_domestica/?name=MDP0000612456","MDP0000612456")</f>
        <v>MDP0000612456</v>
      </c>
      <c r="D17929">
        <v>78.739999999999995</v>
      </c>
      <c r="E17929">
        <v>461</v>
      </c>
      <c r="F17929">
        <v>98</v>
      </c>
      <c r="G17929">
        <v>15</v>
      </c>
      <c r="H17929">
        <v>1</v>
      </c>
      <c r="I17929">
        <v>451</v>
      </c>
      <c r="J17929">
        <v>1</v>
      </c>
      <c r="K17929">
        <v>1</v>
      </c>
      <c r="L17929">
        <v>456</v>
      </c>
      <c r="M17929">
        <v>1</v>
      </c>
      <c r="N17929">
        <v>0</v>
      </c>
      <c r="O17929">
        <v>1881</v>
      </c>
    </row>
    <row r="17930" spans="1:15" x14ac:dyDescent="0.25">
      <c r="A17930" t="s">
        <v>17943</v>
      </c>
      <c r="B17930">
        <v>408</v>
      </c>
      <c r="C17930" s="1" t="str">
        <f>HYPERLINK("http://www.rosaceae.org/gb/gbrowse/malus_x_domestica/?name=MDP0000255203","MDP0000255203")</f>
        <v>MDP0000255203</v>
      </c>
      <c r="D17930">
        <v>65.44</v>
      </c>
      <c r="E17930">
        <v>408</v>
      </c>
      <c r="F17930">
        <v>141</v>
      </c>
      <c r="G17930">
        <v>36</v>
      </c>
      <c r="H17930">
        <v>3</v>
      </c>
      <c r="I17930">
        <v>408</v>
      </c>
      <c r="J17930">
        <v>1</v>
      </c>
      <c r="K17930">
        <v>174</v>
      </c>
      <c r="L17930">
        <v>547</v>
      </c>
      <c r="M17930">
        <v>1</v>
      </c>
      <c r="N17930">
        <v>7.9946599999999996E-152</v>
      </c>
      <c r="O17930">
        <v>1375</v>
      </c>
    </row>
    <row r="17931" spans="1:15" x14ac:dyDescent="0.25">
      <c r="A17931" t="s">
        <v>17944</v>
      </c>
      <c r="B17931">
        <v>514</v>
      </c>
      <c r="C17931" s="1" t="str">
        <f>HYPERLINK("http://www.rosaceae.org/gb/gbrowse/malus_x_domestica/?name=MDP0000224586","MDP0000224586")</f>
        <v>MDP0000224586</v>
      </c>
      <c r="D17931">
        <v>45.31</v>
      </c>
      <c r="E17931">
        <v>256</v>
      </c>
      <c r="F17931">
        <v>140</v>
      </c>
      <c r="G17931">
        <v>35</v>
      </c>
      <c r="H17931">
        <v>255</v>
      </c>
      <c r="I17931">
        <v>478</v>
      </c>
      <c r="J17931">
        <v>1</v>
      </c>
      <c r="K17931">
        <v>66</v>
      </c>
      <c r="L17931">
        <v>318</v>
      </c>
      <c r="M17931">
        <v>1</v>
      </c>
      <c r="N17931">
        <v>4.4981399999999999E-51</v>
      </c>
      <c r="O17931">
        <v>507</v>
      </c>
    </row>
    <row r="17932" spans="1:15" x14ac:dyDescent="0.25">
      <c r="A17932" t="s">
        <v>17945</v>
      </c>
      <c r="B17932">
        <v>1201</v>
      </c>
      <c r="C17932" s="1" t="str">
        <f>HYPERLINK("http://www.rosaceae.org/gb/gbrowse/malus_x_domestica/?name=MDP0000281352","MDP0000281352")</f>
        <v>MDP0000281352</v>
      </c>
      <c r="D17932">
        <v>83.33</v>
      </c>
      <c r="E17932">
        <v>186</v>
      </c>
      <c r="F17932">
        <v>31</v>
      </c>
      <c r="G17932">
        <v>0</v>
      </c>
      <c r="H17932">
        <v>2</v>
      </c>
      <c r="I17932">
        <v>187</v>
      </c>
      <c r="J17932">
        <v>1</v>
      </c>
      <c r="K17932">
        <v>1</v>
      </c>
      <c r="L17932">
        <v>186</v>
      </c>
      <c r="M17932">
        <v>1</v>
      </c>
      <c r="N17932">
        <v>2.7837800000000001E-86</v>
      </c>
      <c r="O17932">
        <v>814</v>
      </c>
    </row>
    <row r="17933" spans="1:15" x14ac:dyDescent="0.25">
      <c r="A17933" t="s">
        <v>17946</v>
      </c>
      <c r="B17933">
        <v>335</v>
      </c>
      <c r="C17933" s="1" t="str">
        <f>HYPERLINK("http://www.rosaceae.org/gb/gbrowse/malus_x_domestica/?name=MDP0000169727","MDP0000169727")</f>
        <v>MDP0000169727</v>
      </c>
      <c r="D17933">
        <v>43.86</v>
      </c>
      <c r="E17933">
        <v>424</v>
      </c>
      <c r="F17933">
        <v>238</v>
      </c>
      <c r="G17933">
        <v>160</v>
      </c>
      <c r="H17933">
        <v>1</v>
      </c>
      <c r="I17933">
        <v>324</v>
      </c>
      <c r="J17933">
        <v>1</v>
      </c>
      <c r="K17933">
        <v>1</v>
      </c>
      <c r="L17933">
        <v>364</v>
      </c>
      <c r="M17933">
        <v>1</v>
      </c>
      <c r="N17933">
        <v>5.9375199999999996E-78</v>
      </c>
      <c r="O17933">
        <v>737</v>
      </c>
    </row>
    <row r="17934" spans="1:15" x14ac:dyDescent="0.25">
      <c r="A17934" t="s">
        <v>17947</v>
      </c>
      <c r="B17934">
        <v>447</v>
      </c>
      <c r="C17934" s="1" t="str">
        <f>HYPERLINK("http://www.rosaceae.org/gb/gbrowse/malus_x_domestica/?name=MDP0000120592","MDP0000120592")</f>
        <v>MDP0000120592</v>
      </c>
      <c r="D17934">
        <v>76.14</v>
      </c>
      <c r="E17934">
        <v>457</v>
      </c>
      <c r="F17934">
        <v>109</v>
      </c>
      <c r="G17934">
        <v>10</v>
      </c>
      <c r="H17934">
        <v>1</v>
      </c>
      <c r="I17934">
        <v>447</v>
      </c>
      <c r="J17934">
        <v>1</v>
      </c>
      <c r="K17934">
        <v>1</v>
      </c>
      <c r="L17934">
        <v>457</v>
      </c>
      <c r="M17934">
        <v>1</v>
      </c>
      <c r="N17934">
        <v>0</v>
      </c>
      <c r="O17934">
        <v>1906</v>
      </c>
    </row>
    <row r="17935" spans="1:15" x14ac:dyDescent="0.25">
      <c r="A17935" t="s">
        <v>17948</v>
      </c>
      <c r="B17935">
        <v>1110</v>
      </c>
      <c r="C17935" s="1" t="str">
        <f>HYPERLINK("http://www.rosaceae.org/gb/gbrowse/malus_x_domestica/?name=MDP0000121948","MDP0000121948")</f>
        <v>MDP0000121948</v>
      </c>
      <c r="D17935">
        <v>64.3</v>
      </c>
      <c r="E17935">
        <v>353</v>
      </c>
      <c r="F17935">
        <v>126</v>
      </c>
      <c r="G17935">
        <v>50</v>
      </c>
      <c r="H17935">
        <v>1</v>
      </c>
      <c r="I17935">
        <v>303</v>
      </c>
      <c r="J17935">
        <v>1</v>
      </c>
      <c r="K17935">
        <v>1</v>
      </c>
      <c r="L17935">
        <v>353</v>
      </c>
      <c r="M17935">
        <v>1</v>
      </c>
      <c r="N17935">
        <v>2.4139399999999999E-120</v>
      </c>
      <c r="O17935">
        <v>1108</v>
      </c>
    </row>
    <row r="17936" spans="1:15" x14ac:dyDescent="0.25">
      <c r="A17936" t="s">
        <v>17949</v>
      </c>
      <c r="B17936">
        <v>316</v>
      </c>
      <c r="C17936" s="1" t="str">
        <f>HYPERLINK("http://www.rosaceae.org/gb/gbrowse/malus_x_domestica/?name=MDP0000154458","MDP0000154458")</f>
        <v>MDP0000154458</v>
      </c>
      <c r="D17936">
        <v>37.31</v>
      </c>
      <c r="E17936">
        <v>134</v>
      </c>
      <c r="F17936">
        <v>84</v>
      </c>
      <c r="G17936">
        <v>10</v>
      </c>
      <c r="H17936">
        <v>26</v>
      </c>
      <c r="I17936">
        <v>158</v>
      </c>
      <c r="J17936">
        <v>1</v>
      </c>
      <c r="K17936">
        <v>32</v>
      </c>
      <c r="L17936">
        <v>156</v>
      </c>
      <c r="M17936">
        <v>1</v>
      </c>
      <c r="N17936">
        <v>6.6702400000000006E-14</v>
      </c>
      <c r="O17936">
        <v>184</v>
      </c>
    </row>
    <row r="17937" spans="1:15" x14ac:dyDescent="0.25">
      <c r="A17937" t="s">
        <v>17950</v>
      </c>
      <c r="B17937">
        <v>307</v>
      </c>
      <c r="C17937" s="1" t="str">
        <f>HYPERLINK("http://www.rosaceae.org/gb/gbrowse/malus_x_domestica/?name=MDP0000311221","MDP0000311221")</f>
        <v>MDP0000311221</v>
      </c>
      <c r="D17937">
        <v>57.8</v>
      </c>
      <c r="E17937">
        <v>282</v>
      </c>
      <c r="F17937">
        <v>119</v>
      </c>
      <c r="G17937">
        <v>5</v>
      </c>
      <c r="H17937">
        <v>24</v>
      </c>
      <c r="I17937">
        <v>304</v>
      </c>
      <c r="J17937">
        <v>1</v>
      </c>
      <c r="K17937">
        <v>87</v>
      </c>
      <c r="L17937">
        <v>364</v>
      </c>
      <c r="M17937">
        <v>1</v>
      </c>
      <c r="N17937">
        <v>2.0411599999999998E-93</v>
      </c>
      <c r="O17937">
        <v>870</v>
      </c>
    </row>
    <row r="17938" spans="1:15" x14ac:dyDescent="0.25">
      <c r="A17938" t="s">
        <v>17951</v>
      </c>
      <c r="B17938">
        <v>951</v>
      </c>
      <c r="C17938" s="1" t="str">
        <f>HYPERLINK("http://www.rosaceae.org/gb/gbrowse/malus_x_domestica/?name=MDP0000312342","MDP0000312342")</f>
        <v>MDP0000312342</v>
      </c>
      <c r="D17938">
        <v>34.76</v>
      </c>
      <c r="E17938">
        <v>302</v>
      </c>
      <c r="F17938">
        <v>197</v>
      </c>
      <c r="G17938">
        <v>31</v>
      </c>
      <c r="H17938">
        <v>7</v>
      </c>
      <c r="I17938">
        <v>295</v>
      </c>
      <c r="J17938">
        <v>1</v>
      </c>
      <c r="K17938">
        <v>5</v>
      </c>
      <c r="L17938">
        <v>288</v>
      </c>
      <c r="M17938">
        <v>1</v>
      </c>
      <c r="N17938">
        <v>1.22583E-33</v>
      </c>
      <c r="O17938">
        <v>359</v>
      </c>
    </row>
    <row r="17939" spans="1:15" x14ac:dyDescent="0.25">
      <c r="A17939" t="s">
        <v>17952</v>
      </c>
      <c r="B17939">
        <v>177</v>
      </c>
      <c r="C17939" s="1" t="str">
        <f>HYPERLINK("http://www.rosaceae.org/gb/gbrowse/malus_x_domestica/?name=MDP0000670228","MDP0000670228")</f>
        <v>MDP0000670228</v>
      </c>
      <c r="D17939">
        <v>34.19</v>
      </c>
      <c r="E17939">
        <v>155</v>
      </c>
      <c r="F17939">
        <v>102</v>
      </c>
      <c r="G17939">
        <v>28</v>
      </c>
      <c r="H17939">
        <v>1</v>
      </c>
      <c r="I17939">
        <v>127</v>
      </c>
      <c r="J17939">
        <v>1</v>
      </c>
      <c r="K17939">
        <v>153</v>
      </c>
      <c r="L17939">
        <v>307</v>
      </c>
      <c r="M17939">
        <v>1</v>
      </c>
      <c r="N17939">
        <v>8.1654199999999993E-15</v>
      </c>
      <c r="O17939">
        <v>188</v>
      </c>
    </row>
    <row r="17940" spans="1:15" x14ac:dyDescent="0.25">
      <c r="A17940" t="s">
        <v>17953</v>
      </c>
      <c r="B17940">
        <v>1443</v>
      </c>
      <c r="C17940" s="1" t="str">
        <f>HYPERLINK("http://www.rosaceae.org/gb/gbrowse/malus_x_domestica/?name=MDP0000789992","MDP0000789992")</f>
        <v>MDP0000789992</v>
      </c>
      <c r="D17940">
        <v>83.48</v>
      </c>
      <c r="E17940">
        <v>969</v>
      </c>
      <c r="F17940">
        <v>160</v>
      </c>
      <c r="G17940">
        <v>23</v>
      </c>
      <c r="H17940">
        <v>1</v>
      </c>
      <c r="I17940">
        <v>960</v>
      </c>
      <c r="J17940">
        <v>1</v>
      </c>
      <c r="K17940">
        <v>1</v>
      </c>
      <c r="L17940">
        <v>955</v>
      </c>
      <c r="M17940">
        <v>1</v>
      </c>
      <c r="N17940">
        <v>0</v>
      </c>
      <c r="O17940">
        <v>4306</v>
      </c>
    </row>
    <row r="17941" spans="1:15" x14ac:dyDescent="0.25">
      <c r="A17941" t="s">
        <v>17954</v>
      </c>
      <c r="B17941">
        <v>931</v>
      </c>
      <c r="C17941" s="1" t="str">
        <f>HYPERLINK("http://www.rosaceae.org/gb/gbrowse/malus_x_domestica/?name=MDP0000891518","MDP0000891518")</f>
        <v>MDP0000891518</v>
      </c>
      <c r="D17941">
        <v>80.55</v>
      </c>
      <c r="E17941">
        <v>905</v>
      </c>
      <c r="F17941">
        <v>176</v>
      </c>
      <c r="G17941">
        <v>4</v>
      </c>
      <c r="H17941">
        <v>28</v>
      </c>
      <c r="I17941">
        <v>931</v>
      </c>
      <c r="J17941">
        <v>1</v>
      </c>
      <c r="K17941">
        <v>29</v>
      </c>
      <c r="L17941">
        <v>930</v>
      </c>
      <c r="M17941">
        <v>1</v>
      </c>
      <c r="N17941">
        <v>0</v>
      </c>
      <c r="O17941">
        <v>3898</v>
      </c>
    </row>
    <row r="17942" spans="1:15" x14ac:dyDescent="0.25">
      <c r="A17942" t="s">
        <v>17955</v>
      </c>
      <c r="B17942">
        <v>289</v>
      </c>
      <c r="C17942" s="1" t="str">
        <f>HYPERLINK("http://www.rosaceae.org/gb/gbrowse/malus_x_domestica/?name=MDP0000124256","MDP0000124256")</f>
        <v>MDP0000124256</v>
      </c>
      <c r="D17942">
        <v>34.25</v>
      </c>
      <c r="E17942">
        <v>108</v>
      </c>
      <c r="F17942">
        <v>71</v>
      </c>
      <c r="G17942">
        <v>0</v>
      </c>
      <c r="H17942">
        <v>155</v>
      </c>
      <c r="I17942">
        <v>262</v>
      </c>
      <c r="J17942">
        <v>1</v>
      </c>
      <c r="K17942">
        <v>82</v>
      </c>
      <c r="L17942">
        <v>189</v>
      </c>
      <c r="M17942">
        <v>1</v>
      </c>
      <c r="N17942">
        <v>5.5443099999999999E-14</v>
      </c>
      <c r="O17942">
        <v>184</v>
      </c>
    </row>
    <row r="17943" spans="1:15" x14ac:dyDescent="0.25">
      <c r="A17943" t="s">
        <v>17956</v>
      </c>
      <c r="B17943">
        <v>470</v>
      </c>
      <c r="C17943" s="1" t="str">
        <f>HYPERLINK("http://www.rosaceae.org/gb/gbrowse/malus_x_domestica/?name=MDP0000318255","MDP0000318255")</f>
        <v>MDP0000318255</v>
      </c>
      <c r="D17943">
        <v>40</v>
      </c>
      <c r="E17943">
        <v>245</v>
      </c>
      <c r="F17943">
        <v>147</v>
      </c>
      <c r="G17943">
        <v>39</v>
      </c>
      <c r="H17943">
        <v>84</v>
      </c>
      <c r="I17943">
        <v>289</v>
      </c>
      <c r="J17943">
        <v>1</v>
      </c>
      <c r="K17943">
        <v>531</v>
      </c>
      <c r="L17943">
        <v>775</v>
      </c>
      <c r="M17943">
        <v>1</v>
      </c>
      <c r="N17943">
        <v>2.7432199999999999E-31</v>
      </c>
      <c r="O17943">
        <v>336</v>
      </c>
    </row>
    <row r="17944" spans="1:15" x14ac:dyDescent="0.25">
      <c r="A17944" t="s">
        <v>17957</v>
      </c>
      <c r="B17944">
        <v>606</v>
      </c>
      <c r="C17944" s="1" t="str">
        <f>HYPERLINK("http://www.rosaceae.org/gb/gbrowse/malus_x_domestica/?name=MDP0000236150","MDP0000236150")</f>
        <v>MDP0000236150</v>
      </c>
      <c r="D17944">
        <v>61.49</v>
      </c>
      <c r="E17944">
        <v>548</v>
      </c>
      <c r="F17944">
        <v>211</v>
      </c>
      <c r="G17944">
        <v>50</v>
      </c>
      <c r="H17944">
        <v>71</v>
      </c>
      <c r="I17944">
        <v>603</v>
      </c>
      <c r="J17944">
        <v>1</v>
      </c>
      <c r="K17944">
        <v>10</v>
      </c>
      <c r="L17944">
        <v>522</v>
      </c>
      <c r="M17944">
        <v>1</v>
      </c>
      <c r="N17944">
        <v>0</v>
      </c>
      <c r="O17944">
        <v>1714</v>
      </c>
    </row>
    <row r="17945" spans="1:15" x14ac:dyDescent="0.25">
      <c r="A17945" t="s">
        <v>17958</v>
      </c>
      <c r="B17945">
        <v>358</v>
      </c>
      <c r="C17945" s="1" t="str">
        <f>HYPERLINK("http://www.rosaceae.org/gb/gbrowse/malus_x_domestica/?name=MDP0000774306","MDP0000774306")</f>
        <v>MDP0000774306</v>
      </c>
      <c r="D17945">
        <v>51.17</v>
      </c>
      <c r="E17945">
        <v>340</v>
      </c>
      <c r="F17945">
        <v>166</v>
      </c>
      <c r="G17945">
        <v>18</v>
      </c>
      <c r="H17945">
        <v>8</v>
      </c>
      <c r="I17945">
        <v>333</v>
      </c>
      <c r="J17945">
        <v>1</v>
      </c>
      <c r="K17945">
        <v>1</v>
      </c>
      <c r="L17945">
        <v>336</v>
      </c>
      <c r="M17945">
        <v>1</v>
      </c>
      <c r="N17945">
        <v>1.5815999999999999E-78</v>
      </c>
      <c r="O17945">
        <v>742</v>
      </c>
    </row>
    <row r="17946" spans="1:15" x14ac:dyDescent="0.25">
      <c r="A17946" t="s">
        <v>17959</v>
      </c>
      <c r="B17946">
        <v>405</v>
      </c>
      <c r="C17946" s="1" t="str">
        <f>HYPERLINK("http://www.rosaceae.org/gb/gbrowse/malus_x_domestica/?name=MDP0000252992","MDP0000252992")</f>
        <v>MDP0000252992</v>
      </c>
      <c r="D17946">
        <v>76.87</v>
      </c>
      <c r="E17946">
        <v>320</v>
      </c>
      <c r="F17946">
        <v>74</v>
      </c>
      <c r="G17946">
        <v>7</v>
      </c>
      <c r="H17946">
        <v>1</v>
      </c>
      <c r="I17946">
        <v>320</v>
      </c>
      <c r="J17946">
        <v>1</v>
      </c>
      <c r="K17946">
        <v>1</v>
      </c>
      <c r="L17946">
        <v>313</v>
      </c>
      <c r="M17946">
        <v>1</v>
      </c>
      <c r="N17946">
        <v>3.16771E-145</v>
      </c>
      <c r="O17946">
        <v>1318</v>
      </c>
    </row>
    <row r="17947" spans="1:15" x14ac:dyDescent="0.25">
      <c r="A17947" t="s">
        <v>17960</v>
      </c>
      <c r="B17947">
        <v>406</v>
      </c>
      <c r="C17947" s="1" t="str">
        <f>HYPERLINK("http://www.rosaceae.org/gb/gbrowse/malus_x_domestica/?name=MDP0000319574","MDP0000319574")</f>
        <v>MDP0000319574</v>
      </c>
      <c r="D17947">
        <v>52.31</v>
      </c>
      <c r="E17947">
        <v>346</v>
      </c>
      <c r="F17947">
        <v>165</v>
      </c>
      <c r="G17947">
        <v>47</v>
      </c>
      <c r="H17947">
        <v>57</v>
      </c>
      <c r="I17947">
        <v>359</v>
      </c>
      <c r="J17947">
        <v>1</v>
      </c>
      <c r="K17947">
        <v>60</v>
      </c>
      <c r="L17947">
        <v>401</v>
      </c>
      <c r="M17947">
        <v>1</v>
      </c>
      <c r="N17947">
        <v>1.74472E-84</v>
      </c>
      <c r="O17947">
        <v>794</v>
      </c>
    </row>
    <row r="17948" spans="1:15" x14ac:dyDescent="0.25">
      <c r="A17948" t="s">
        <v>17961</v>
      </c>
      <c r="B17948">
        <v>337</v>
      </c>
      <c r="C17948" s="1" t="str">
        <f>HYPERLINK("http://www.rosaceae.org/gb/gbrowse/malus_x_domestica/?name=MDP0000300696","MDP0000300696")</f>
        <v>MDP0000300696</v>
      </c>
      <c r="D17948">
        <v>53.14</v>
      </c>
      <c r="E17948">
        <v>318</v>
      </c>
      <c r="F17948">
        <v>149</v>
      </c>
      <c r="G17948">
        <v>54</v>
      </c>
      <c r="H17948">
        <v>2</v>
      </c>
      <c r="I17948">
        <v>308</v>
      </c>
      <c r="J17948">
        <v>1</v>
      </c>
      <c r="K17948">
        <v>3</v>
      </c>
      <c r="L17948">
        <v>277</v>
      </c>
      <c r="M17948">
        <v>1</v>
      </c>
      <c r="N17948">
        <v>1.5133900000000001E-74</v>
      </c>
      <c r="O17948">
        <v>707</v>
      </c>
    </row>
    <row r="17949" spans="1:15" x14ac:dyDescent="0.25">
      <c r="A17949" t="s">
        <v>17962</v>
      </c>
      <c r="B17949">
        <v>1073</v>
      </c>
      <c r="C17949" s="1" t="str">
        <f>HYPERLINK("http://www.rosaceae.org/gb/gbrowse/malus_x_domestica/?name=MDP0000295321","MDP0000295321")</f>
        <v>MDP0000295321</v>
      </c>
      <c r="D17949">
        <v>37.36</v>
      </c>
      <c r="E17949">
        <v>380</v>
      </c>
      <c r="F17949">
        <v>238</v>
      </c>
      <c r="G17949">
        <v>55</v>
      </c>
      <c r="H17949">
        <v>654</v>
      </c>
      <c r="I17949">
        <v>1031</v>
      </c>
      <c r="J17949">
        <v>1</v>
      </c>
      <c r="K17949">
        <v>152</v>
      </c>
      <c r="L17949">
        <v>478</v>
      </c>
      <c r="M17949">
        <v>1</v>
      </c>
      <c r="N17949">
        <v>3.8327200000000003E-64</v>
      </c>
      <c r="O17949">
        <v>623</v>
      </c>
    </row>
    <row r="17950" spans="1:15" x14ac:dyDescent="0.25">
      <c r="A17950" t="s">
        <v>17963</v>
      </c>
      <c r="B17950">
        <v>117</v>
      </c>
      <c r="C17950" s="1" t="str">
        <f>HYPERLINK("http://www.rosaceae.org/gb/gbrowse/malus_x_domestica/?name=MDP0000197918","MDP0000197918")</f>
        <v>MDP0000197918</v>
      </c>
      <c r="D17950">
        <v>54.41</v>
      </c>
      <c r="E17950">
        <v>68</v>
      </c>
      <c r="F17950">
        <v>31</v>
      </c>
      <c r="G17950">
        <v>2</v>
      </c>
      <c r="H17950">
        <v>39</v>
      </c>
      <c r="I17950">
        <v>105</v>
      </c>
      <c r="J17950">
        <v>1</v>
      </c>
      <c r="K17950">
        <v>201</v>
      </c>
      <c r="L17950">
        <v>267</v>
      </c>
      <c r="M17950">
        <v>1</v>
      </c>
      <c r="N17950">
        <v>9.1996900000000002E-15</v>
      </c>
      <c r="O17950">
        <v>185</v>
      </c>
    </row>
    <row r="17951" spans="1:15" x14ac:dyDescent="0.25">
      <c r="A17951" t="s">
        <v>17964</v>
      </c>
      <c r="B17951">
        <v>320</v>
      </c>
      <c r="C17951" s="1" t="str">
        <f>HYPERLINK("http://www.rosaceae.org/gb/gbrowse/malus_x_domestica/?name=MDP0000296765","MDP0000296765")</f>
        <v>MDP0000296765</v>
      </c>
      <c r="D17951">
        <v>32.450000000000003</v>
      </c>
      <c r="E17951">
        <v>302</v>
      </c>
      <c r="F17951">
        <v>204</v>
      </c>
      <c r="G17951">
        <v>44</v>
      </c>
      <c r="H17951">
        <v>34</v>
      </c>
      <c r="I17951">
        <v>315</v>
      </c>
      <c r="J17951">
        <v>1</v>
      </c>
      <c r="K17951">
        <v>157</v>
      </c>
      <c r="L17951">
        <v>434</v>
      </c>
      <c r="M17951">
        <v>1</v>
      </c>
      <c r="N17951">
        <v>3.5303500000000002E-28</v>
      </c>
      <c r="O17951">
        <v>307</v>
      </c>
    </row>
    <row r="17952" spans="1:15" x14ac:dyDescent="0.25">
      <c r="A17952" t="s">
        <v>17965</v>
      </c>
      <c r="B17952">
        <v>654</v>
      </c>
      <c r="C17952" s="1" t="str">
        <f>HYPERLINK("http://www.rosaceae.org/gb/gbrowse/malus_x_domestica/?name=MDP0000282912","MDP0000282912")</f>
        <v>MDP0000282912</v>
      </c>
      <c r="D17952">
        <v>52.75</v>
      </c>
      <c r="E17952">
        <v>599</v>
      </c>
      <c r="F17952">
        <v>283</v>
      </c>
      <c r="G17952">
        <v>65</v>
      </c>
      <c r="H17952">
        <v>73</v>
      </c>
      <c r="I17952">
        <v>646</v>
      </c>
      <c r="J17952">
        <v>1</v>
      </c>
      <c r="K17952">
        <v>127</v>
      </c>
      <c r="L17952">
        <v>685</v>
      </c>
      <c r="M17952">
        <v>1</v>
      </c>
      <c r="N17952">
        <v>7.62805E-162</v>
      </c>
      <c r="O17952">
        <v>1463</v>
      </c>
    </row>
    <row r="17953" spans="1:15" x14ac:dyDescent="0.25">
      <c r="A17953" t="s">
        <v>17966</v>
      </c>
      <c r="B17953">
        <v>232</v>
      </c>
      <c r="C17953" s="1" t="str">
        <f>HYPERLINK("http://www.rosaceae.org/gb/gbrowse/malus_x_domestica/?name=MDP0000571038","MDP0000571038")</f>
        <v>MDP0000571038</v>
      </c>
      <c r="D17953">
        <v>91.36</v>
      </c>
      <c r="E17953">
        <v>220</v>
      </c>
      <c r="F17953">
        <v>19</v>
      </c>
      <c r="G17953">
        <v>0</v>
      </c>
      <c r="H17953">
        <v>13</v>
      </c>
      <c r="I17953">
        <v>232</v>
      </c>
      <c r="J17953">
        <v>1</v>
      </c>
      <c r="K17953">
        <v>14</v>
      </c>
      <c r="L17953">
        <v>233</v>
      </c>
      <c r="M17953">
        <v>1</v>
      </c>
      <c r="N17953">
        <v>7.0910300000000004E-119</v>
      </c>
      <c r="O17953">
        <v>1088</v>
      </c>
    </row>
    <row r="17954" spans="1:15" x14ac:dyDescent="0.25">
      <c r="A17954" t="s">
        <v>17967</v>
      </c>
      <c r="B17954">
        <v>146</v>
      </c>
      <c r="C17954" s="1" t="str">
        <f>HYPERLINK("http://www.rosaceae.org/gb/gbrowse/malus_x_domestica/?name=MDP0000156587","MDP0000156587")</f>
        <v>MDP0000156587</v>
      </c>
      <c r="D17954">
        <v>93.26</v>
      </c>
      <c r="E17954">
        <v>104</v>
      </c>
      <c r="F17954">
        <v>7</v>
      </c>
      <c r="G17954">
        <v>0</v>
      </c>
      <c r="H17954">
        <v>36</v>
      </c>
      <c r="I17954">
        <v>139</v>
      </c>
      <c r="J17954">
        <v>1</v>
      </c>
      <c r="K17954">
        <v>32</v>
      </c>
      <c r="L17954">
        <v>135</v>
      </c>
      <c r="M17954">
        <v>1</v>
      </c>
      <c r="N17954">
        <v>9.7631500000000003E-51</v>
      </c>
      <c r="O17954">
        <v>497</v>
      </c>
    </row>
    <row r="17955" spans="1:15" x14ac:dyDescent="0.25">
      <c r="A17955" t="s">
        <v>17968</v>
      </c>
      <c r="B17955">
        <v>290</v>
      </c>
      <c r="C17955" s="1" t="str">
        <f>HYPERLINK("http://www.rosaceae.org/gb/gbrowse/malus_x_domestica/?name=MDP0000920870","MDP0000920870")</f>
        <v>MDP0000920870</v>
      </c>
      <c r="D17955">
        <v>71.760000000000005</v>
      </c>
      <c r="E17955">
        <v>294</v>
      </c>
      <c r="F17955">
        <v>83</v>
      </c>
      <c r="G17955">
        <v>10</v>
      </c>
      <c r="H17955">
        <v>1</v>
      </c>
      <c r="I17955">
        <v>290</v>
      </c>
      <c r="J17955">
        <v>1</v>
      </c>
      <c r="K17955">
        <v>1</v>
      </c>
      <c r="L17955">
        <v>288</v>
      </c>
      <c r="M17955">
        <v>1</v>
      </c>
      <c r="N17955">
        <v>4.143E-114</v>
      </c>
      <c r="O17955">
        <v>1048</v>
      </c>
    </row>
    <row r="17956" spans="1:15" x14ac:dyDescent="0.25">
      <c r="A17956" t="s">
        <v>17969</v>
      </c>
      <c r="B17956">
        <v>474</v>
      </c>
      <c r="C17956" s="1" t="str">
        <f>HYPERLINK("http://www.rosaceae.org/gb/gbrowse/malus_x_domestica/?name=MDP0000135280","MDP0000135280")</f>
        <v>MDP0000135280</v>
      </c>
      <c r="D17956">
        <v>69.599999999999994</v>
      </c>
      <c r="E17956">
        <v>454</v>
      </c>
      <c r="F17956">
        <v>138</v>
      </c>
      <c r="G17956">
        <v>12</v>
      </c>
      <c r="H17956">
        <v>11</v>
      </c>
      <c r="I17956">
        <v>457</v>
      </c>
      <c r="J17956">
        <v>1</v>
      </c>
      <c r="K17956">
        <v>9</v>
      </c>
      <c r="L17956">
        <v>457</v>
      </c>
      <c r="M17956">
        <v>1</v>
      </c>
      <c r="N17956">
        <v>0</v>
      </c>
      <c r="O17956">
        <v>1689</v>
      </c>
    </row>
    <row r="17957" spans="1:15" x14ac:dyDescent="0.25">
      <c r="A17957" t="s">
        <v>17970</v>
      </c>
      <c r="B17957">
        <v>500</v>
      </c>
      <c r="C17957" s="1" t="str">
        <f>HYPERLINK("http://www.rosaceae.org/gb/gbrowse/malus_x_domestica/?name=MDP0000544996","MDP0000544996")</f>
        <v>MDP0000544996</v>
      </c>
      <c r="D17957">
        <v>75.14</v>
      </c>
      <c r="E17957">
        <v>515</v>
      </c>
      <c r="F17957">
        <v>128</v>
      </c>
      <c r="G17957">
        <v>60</v>
      </c>
      <c r="H17957">
        <v>1</v>
      </c>
      <c r="I17957">
        <v>491</v>
      </c>
      <c r="J17957">
        <v>1</v>
      </c>
      <c r="K17957">
        <v>1</v>
      </c>
      <c r="L17957">
        <v>479</v>
      </c>
      <c r="M17957">
        <v>1</v>
      </c>
      <c r="N17957">
        <v>0</v>
      </c>
      <c r="O17957">
        <v>2012</v>
      </c>
    </row>
    <row r="17958" spans="1:15" x14ac:dyDescent="0.25">
      <c r="A17958" t="s">
        <v>17971</v>
      </c>
      <c r="B17958">
        <v>769</v>
      </c>
      <c r="C17958" s="1" t="str">
        <f>HYPERLINK("http://www.rosaceae.org/gb/gbrowse/malus_x_domestica/?name=MDP0000225094","MDP0000225094")</f>
        <v>MDP0000225094</v>
      </c>
      <c r="D17958">
        <v>65.069999999999993</v>
      </c>
      <c r="E17958">
        <v>756</v>
      </c>
      <c r="F17958">
        <v>264</v>
      </c>
      <c r="G17958">
        <v>20</v>
      </c>
      <c r="H17958">
        <v>1</v>
      </c>
      <c r="I17958">
        <v>751</v>
      </c>
      <c r="J17958">
        <v>1</v>
      </c>
      <c r="K17958">
        <v>1</v>
      </c>
      <c r="L17958">
        <v>741</v>
      </c>
      <c r="M17958">
        <v>1</v>
      </c>
      <c r="N17958">
        <v>0</v>
      </c>
      <c r="O17958">
        <v>2606</v>
      </c>
    </row>
    <row r="17959" spans="1:15" x14ac:dyDescent="0.25">
      <c r="A17959" t="s">
        <v>17972</v>
      </c>
      <c r="B17959">
        <v>522</v>
      </c>
      <c r="C17959" s="1" t="str">
        <f>HYPERLINK("http://www.rosaceae.org/gb/gbrowse/malus_x_domestica/?name=MDP0000126791","MDP0000126791")</f>
        <v>MDP0000126791</v>
      </c>
      <c r="D17959">
        <v>63.17</v>
      </c>
      <c r="E17959">
        <v>296</v>
      </c>
      <c r="F17959">
        <v>109</v>
      </c>
      <c r="G17959">
        <v>5</v>
      </c>
      <c r="H17959">
        <v>24</v>
      </c>
      <c r="I17959">
        <v>319</v>
      </c>
      <c r="J17959">
        <v>1</v>
      </c>
      <c r="K17959">
        <v>36</v>
      </c>
      <c r="L17959">
        <v>326</v>
      </c>
      <c r="M17959">
        <v>1</v>
      </c>
      <c r="N17959">
        <v>2.4720099999999999E-111</v>
      </c>
      <c r="O17959">
        <v>1027</v>
      </c>
    </row>
    <row r="17960" spans="1:15" x14ac:dyDescent="0.25">
      <c r="A17960" t="s">
        <v>17973</v>
      </c>
      <c r="B17960">
        <v>335</v>
      </c>
      <c r="C17960" s="1" t="str">
        <f>HYPERLINK("http://www.rosaceae.org/gb/gbrowse/malus_x_domestica/?name=MDP0000264187","MDP0000264187")</f>
        <v>MDP0000264187</v>
      </c>
      <c r="D17960">
        <v>41.12</v>
      </c>
      <c r="E17960">
        <v>338</v>
      </c>
      <c r="F17960">
        <v>199</v>
      </c>
      <c r="G17960">
        <v>21</v>
      </c>
      <c r="H17960">
        <v>1</v>
      </c>
      <c r="I17960">
        <v>327</v>
      </c>
      <c r="J17960">
        <v>1</v>
      </c>
      <c r="K17960">
        <v>1</v>
      </c>
      <c r="L17960">
        <v>328</v>
      </c>
      <c r="M17960">
        <v>1</v>
      </c>
      <c r="N17960">
        <v>3.361E-55</v>
      </c>
      <c r="O17960">
        <v>541</v>
      </c>
    </row>
    <row r="17961" spans="1:15" x14ac:dyDescent="0.25">
      <c r="A17961" t="s">
        <v>17974</v>
      </c>
      <c r="B17961">
        <v>795</v>
      </c>
      <c r="C17961" s="1" t="str">
        <f>HYPERLINK("http://www.rosaceae.org/gb/gbrowse/malus_x_domestica/?name=MDP0000279620","MDP0000279620")</f>
        <v>MDP0000279620</v>
      </c>
      <c r="D17961">
        <v>76</v>
      </c>
      <c r="E17961">
        <v>696</v>
      </c>
      <c r="F17961">
        <v>167</v>
      </c>
      <c r="G17961">
        <v>20</v>
      </c>
      <c r="H17961">
        <v>118</v>
      </c>
      <c r="I17961">
        <v>793</v>
      </c>
      <c r="J17961">
        <v>1</v>
      </c>
      <c r="K17961">
        <v>35</v>
      </c>
      <c r="L17961">
        <v>730</v>
      </c>
      <c r="M17961">
        <v>1</v>
      </c>
      <c r="N17961">
        <v>0</v>
      </c>
      <c r="O17961">
        <v>2768</v>
      </c>
    </row>
    <row r="17962" spans="1:15" x14ac:dyDescent="0.25">
      <c r="A17962" t="s">
        <v>17975</v>
      </c>
      <c r="B17962">
        <v>218</v>
      </c>
      <c r="C17962" s="1" t="str">
        <f>HYPERLINK("http://www.rosaceae.org/gb/gbrowse/malus_x_domestica/?name=MDP0000323561","MDP0000323561")</f>
        <v>MDP0000323561</v>
      </c>
      <c r="D17962">
        <v>70.760000000000005</v>
      </c>
      <c r="E17962">
        <v>65</v>
      </c>
      <c r="F17962">
        <v>19</v>
      </c>
      <c r="G17962">
        <v>0</v>
      </c>
      <c r="H17962">
        <v>94</v>
      </c>
      <c r="I17962">
        <v>158</v>
      </c>
      <c r="J17962">
        <v>1</v>
      </c>
      <c r="K17962">
        <v>24</v>
      </c>
      <c r="L17962">
        <v>88</v>
      </c>
      <c r="M17962">
        <v>1</v>
      </c>
      <c r="N17962">
        <v>6.1748000000000004E-21</v>
      </c>
      <c r="O17962">
        <v>243</v>
      </c>
    </row>
    <row r="17963" spans="1:15" x14ac:dyDescent="0.25">
      <c r="A17963" t="s">
        <v>17976</v>
      </c>
      <c r="B17963">
        <v>150</v>
      </c>
      <c r="C17963" s="1" t="str">
        <f>HYPERLINK("http://www.rosaceae.org/gb/gbrowse/malus_x_domestica/?name=MDP0000680695","MDP0000680695")</f>
        <v>MDP0000680695</v>
      </c>
      <c r="D17963">
        <v>43.58</v>
      </c>
      <c r="E17963">
        <v>78</v>
      </c>
      <c r="F17963">
        <v>44</v>
      </c>
      <c r="G17963">
        <v>4</v>
      </c>
      <c r="H17963">
        <v>3</v>
      </c>
      <c r="I17963">
        <v>77</v>
      </c>
      <c r="J17963">
        <v>1</v>
      </c>
      <c r="K17963">
        <v>4</v>
      </c>
      <c r="L17963">
        <v>80</v>
      </c>
      <c r="M17963">
        <v>1</v>
      </c>
      <c r="N17963">
        <v>1.3658199999999999E-11</v>
      </c>
      <c r="O17963">
        <v>159</v>
      </c>
    </row>
    <row r="17964" spans="1:15" x14ac:dyDescent="0.25">
      <c r="A17964" t="s">
        <v>17977</v>
      </c>
      <c r="B17964">
        <v>1695</v>
      </c>
      <c r="C17964" s="1" t="str">
        <f>HYPERLINK("http://www.rosaceae.org/gb/gbrowse/malus_x_domestica/?name=MDP0000192108","MDP0000192108")</f>
        <v>MDP0000192108</v>
      </c>
      <c r="D17964">
        <v>45.2</v>
      </c>
      <c r="E17964">
        <v>1409</v>
      </c>
      <c r="F17964">
        <v>772</v>
      </c>
      <c r="G17964">
        <v>123</v>
      </c>
      <c r="H17964">
        <v>130</v>
      </c>
      <c r="I17964">
        <v>1468</v>
      </c>
      <c r="J17964">
        <v>1</v>
      </c>
      <c r="K17964">
        <v>248</v>
      </c>
      <c r="L17964">
        <v>1603</v>
      </c>
      <c r="M17964">
        <v>1</v>
      </c>
      <c r="N17964">
        <v>0</v>
      </c>
      <c r="O17964">
        <v>2802</v>
      </c>
    </row>
    <row r="17965" spans="1:15" x14ac:dyDescent="0.25">
      <c r="A17965" t="s">
        <v>17978</v>
      </c>
      <c r="B17965">
        <v>196</v>
      </c>
      <c r="C17965" s="1" t="str">
        <f>HYPERLINK("http://www.rosaceae.org/gb/gbrowse/malus_x_domestica/?name=MDP0000055896","MDP0000055896")</f>
        <v>MDP0000055896</v>
      </c>
      <c r="D17965">
        <v>61.43</v>
      </c>
      <c r="E17965">
        <v>153</v>
      </c>
      <c r="F17965">
        <v>59</v>
      </c>
      <c r="G17965">
        <v>0</v>
      </c>
      <c r="H17965">
        <v>42</v>
      </c>
      <c r="I17965">
        <v>194</v>
      </c>
      <c r="J17965">
        <v>1</v>
      </c>
      <c r="K17965">
        <v>1</v>
      </c>
      <c r="L17965">
        <v>153</v>
      </c>
      <c r="M17965">
        <v>1</v>
      </c>
      <c r="N17965">
        <v>1.11778E-50</v>
      </c>
      <c r="O17965">
        <v>498</v>
      </c>
    </row>
    <row r="17966" spans="1:15" x14ac:dyDescent="0.25">
      <c r="A17966" t="s">
        <v>17979</v>
      </c>
      <c r="B17966">
        <v>243</v>
      </c>
      <c r="C17966" s="1" t="str">
        <f>HYPERLINK("http://www.rosaceae.org/gb/gbrowse/malus_x_domestica/?name=MDP0000316497","MDP0000316497")</f>
        <v>MDP0000316497</v>
      </c>
      <c r="D17966">
        <v>68.69</v>
      </c>
      <c r="E17966">
        <v>246</v>
      </c>
      <c r="F17966">
        <v>77</v>
      </c>
      <c r="G17966">
        <v>14</v>
      </c>
      <c r="H17966">
        <v>5</v>
      </c>
      <c r="I17966">
        <v>242</v>
      </c>
      <c r="J17966">
        <v>1</v>
      </c>
      <c r="K17966">
        <v>3</v>
      </c>
      <c r="L17966">
        <v>242</v>
      </c>
      <c r="M17966">
        <v>1</v>
      </c>
      <c r="N17966">
        <v>2.0562500000000001E-81</v>
      </c>
      <c r="O17966">
        <v>765</v>
      </c>
    </row>
    <row r="17967" spans="1:15" x14ac:dyDescent="0.25">
      <c r="A17967" t="s">
        <v>17980</v>
      </c>
      <c r="B17967">
        <v>169</v>
      </c>
      <c r="C17967" s="1" t="str">
        <f>HYPERLINK("http://www.rosaceae.org/gb/gbrowse/malus_x_domestica/?name=MDP0000545310","MDP0000545310")</f>
        <v>MDP0000545310</v>
      </c>
      <c r="D17967">
        <v>69.59</v>
      </c>
      <c r="E17967">
        <v>171</v>
      </c>
      <c r="F17967">
        <v>52</v>
      </c>
      <c r="G17967">
        <v>12</v>
      </c>
      <c r="H17967">
        <v>1</v>
      </c>
      <c r="I17967">
        <v>169</v>
      </c>
      <c r="J17967">
        <v>1</v>
      </c>
      <c r="K17967">
        <v>1</v>
      </c>
      <c r="L17967">
        <v>161</v>
      </c>
      <c r="M17967">
        <v>1</v>
      </c>
      <c r="N17967">
        <v>2.1643E-61</v>
      </c>
      <c r="O17967">
        <v>590</v>
      </c>
    </row>
    <row r="17968" spans="1:15" x14ac:dyDescent="0.25">
      <c r="A17968" t="s">
        <v>17981</v>
      </c>
      <c r="B17968">
        <v>339</v>
      </c>
      <c r="C17968" s="1" t="str">
        <f>HYPERLINK("http://www.rosaceae.org/gb/gbrowse/malus_x_domestica/?name=MDP0000282973","MDP0000282973")</f>
        <v>MDP0000282973</v>
      </c>
      <c r="D17968">
        <v>77.33</v>
      </c>
      <c r="E17968">
        <v>300</v>
      </c>
      <c r="F17968">
        <v>68</v>
      </c>
      <c r="G17968">
        <v>2</v>
      </c>
      <c r="H17968">
        <v>29</v>
      </c>
      <c r="I17968">
        <v>326</v>
      </c>
      <c r="J17968">
        <v>1</v>
      </c>
      <c r="K17968">
        <v>33</v>
      </c>
      <c r="L17968">
        <v>332</v>
      </c>
      <c r="M17968">
        <v>1</v>
      </c>
      <c r="N17968">
        <v>1.6017500000000001E-138</v>
      </c>
      <c r="O17968">
        <v>1259</v>
      </c>
    </row>
    <row r="17969" spans="1:15" x14ac:dyDescent="0.25">
      <c r="A17969" t="s">
        <v>17982</v>
      </c>
      <c r="B17969">
        <v>1099</v>
      </c>
      <c r="C17969" s="1" t="str">
        <f>HYPERLINK("http://www.rosaceae.org/gb/gbrowse/malus_x_domestica/?name=MDP0000270499","MDP0000270499")</f>
        <v>MDP0000270499</v>
      </c>
      <c r="D17969">
        <v>53.68</v>
      </c>
      <c r="E17969">
        <v>732</v>
      </c>
      <c r="F17969">
        <v>339</v>
      </c>
      <c r="G17969">
        <v>74</v>
      </c>
      <c r="H17969">
        <v>11</v>
      </c>
      <c r="I17969">
        <v>716</v>
      </c>
      <c r="J17969">
        <v>1</v>
      </c>
      <c r="K17969">
        <v>18</v>
      </c>
      <c r="L17969">
        <v>701</v>
      </c>
      <c r="M17969">
        <v>1</v>
      </c>
      <c r="N17969">
        <v>0</v>
      </c>
      <c r="O17969">
        <v>1921</v>
      </c>
    </row>
    <row r="17970" spans="1:15" x14ac:dyDescent="0.25">
      <c r="A17970" t="s">
        <v>17983</v>
      </c>
      <c r="B17970">
        <v>533</v>
      </c>
      <c r="C17970" s="1" t="str">
        <f>HYPERLINK("http://www.rosaceae.org/gb/gbrowse/malus_x_domestica/?name=MDP0000157943","MDP0000157943")</f>
        <v>MDP0000157943</v>
      </c>
      <c r="D17970">
        <v>50.67</v>
      </c>
      <c r="E17970">
        <v>521</v>
      </c>
      <c r="F17970">
        <v>257</v>
      </c>
      <c r="G17970">
        <v>10</v>
      </c>
      <c r="H17970">
        <v>2</v>
      </c>
      <c r="I17970">
        <v>514</v>
      </c>
      <c r="J17970">
        <v>1</v>
      </c>
      <c r="K17970">
        <v>5</v>
      </c>
      <c r="L17970">
        <v>523</v>
      </c>
      <c r="M17970">
        <v>1</v>
      </c>
      <c r="N17970">
        <v>3.2742200000000002E-153</v>
      </c>
      <c r="O17970">
        <v>1388</v>
      </c>
    </row>
    <row r="17971" spans="1:15" x14ac:dyDescent="0.25">
      <c r="A17971" t="s">
        <v>17984</v>
      </c>
      <c r="B17971">
        <v>276</v>
      </c>
      <c r="C17971" s="1" t="str">
        <f>HYPERLINK("http://www.rosaceae.org/gb/gbrowse/malus_x_domestica/?name=MDP0000191282","MDP0000191282")</f>
        <v>MDP0000191282</v>
      </c>
      <c r="D17971">
        <v>71.3</v>
      </c>
      <c r="E17971">
        <v>237</v>
      </c>
      <c r="F17971">
        <v>68</v>
      </c>
      <c r="G17971">
        <v>35</v>
      </c>
      <c r="H17971">
        <v>75</v>
      </c>
      <c r="I17971">
        <v>276</v>
      </c>
      <c r="J17971">
        <v>1</v>
      </c>
      <c r="K17971">
        <v>64</v>
      </c>
      <c r="L17971">
        <v>300</v>
      </c>
      <c r="M17971">
        <v>1</v>
      </c>
      <c r="N17971">
        <v>4.6038999999999999E-90</v>
      </c>
      <c r="O17971">
        <v>840</v>
      </c>
    </row>
    <row r="17972" spans="1:15" x14ac:dyDescent="0.25">
      <c r="A17972" t="s">
        <v>17985</v>
      </c>
      <c r="B17972">
        <v>351</v>
      </c>
      <c r="C17972" s="1" t="str">
        <f>HYPERLINK("http://www.rosaceae.org/gb/gbrowse/malus_x_domestica/?name=MDP0000161903","MDP0000161903")</f>
        <v>MDP0000161903</v>
      </c>
      <c r="D17972">
        <v>68.599999999999994</v>
      </c>
      <c r="E17972">
        <v>344</v>
      </c>
      <c r="F17972">
        <v>108</v>
      </c>
      <c r="G17972">
        <v>25</v>
      </c>
      <c r="H17972">
        <v>3</v>
      </c>
      <c r="I17972">
        <v>330</v>
      </c>
      <c r="J17972">
        <v>1</v>
      </c>
      <c r="K17972">
        <v>5</v>
      </c>
      <c r="L17972">
        <v>339</v>
      </c>
      <c r="M17972">
        <v>1</v>
      </c>
      <c r="N17972">
        <v>3.43555E-124</v>
      </c>
      <c r="O17972">
        <v>1136</v>
      </c>
    </row>
    <row r="17973" spans="1:15" x14ac:dyDescent="0.25">
      <c r="A17973" t="s">
        <v>17986</v>
      </c>
      <c r="B17973">
        <v>405</v>
      </c>
      <c r="C17973" s="1" t="str">
        <f>HYPERLINK("http://www.rosaceae.org/gb/gbrowse/malus_x_domestica/?name=MDP0000199919","MDP0000199919")</f>
        <v>MDP0000199919</v>
      </c>
      <c r="D17973">
        <v>57.44</v>
      </c>
      <c r="E17973">
        <v>470</v>
      </c>
      <c r="F17973">
        <v>200</v>
      </c>
      <c r="G17973">
        <v>65</v>
      </c>
      <c r="H17973">
        <v>1</v>
      </c>
      <c r="I17973">
        <v>405</v>
      </c>
      <c r="J17973">
        <v>1</v>
      </c>
      <c r="K17973">
        <v>1</v>
      </c>
      <c r="L17973">
        <v>470</v>
      </c>
      <c r="M17973">
        <v>1</v>
      </c>
      <c r="N17973">
        <v>1.38798E-142</v>
      </c>
      <c r="O17973">
        <v>1295</v>
      </c>
    </row>
    <row r="17974" spans="1:15" x14ac:dyDescent="0.25">
      <c r="A17974" t="s">
        <v>17987</v>
      </c>
      <c r="B17974">
        <v>163</v>
      </c>
      <c r="C17974" s="1" t="str">
        <f>HYPERLINK("http://www.rosaceae.org/gb/gbrowse/malus_x_domestica/?name=MDP0000303781","MDP0000303781")</f>
        <v>MDP0000303781</v>
      </c>
      <c r="D17974">
        <v>62.5</v>
      </c>
      <c r="E17974">
        <v>48</v>
      </c>
      <c r="F17974">
        <v>18</v>
      </c>
      <c r="G17974">
        <v>0</v>
      </c>
      <c r="H17974">
        <v>116</v>
      </c>
      <c r="I17974">
        <v>163</v>
      </c>
      <c r="J17974">
        <v>1</v>
      </c>
      <c r="K17974">
        <v>347</v>
      </c>
      <c r="L17974">
        <v>394</v>
      </c>
      <c r="M17974">
        <v>1</v>
      </c>
      <c r="N17974">
        <v>2.50804E-11</v>
      </c>
      <c r="O17974">
        <v>158</v>
      </c>
    </row>
    <row r="17975" spans="1:15" x14ac:dyDescent="0.25">
      <c r="A17975" t="s">
        <v>17988</v>
      </c>
      <c r="B17975">
        <v>353</v>
      </c>
      <c r="C17975" s="1" t="str">
        <f>HYPERLINK("http://www.rosaceae.org/gb/gbrowse/malus_x_domestica/?name=MDP0000285555","MDP0000285555")</f>
        <v>MDP0000285555</v>
      </c>
      <c r="D17975">
        <v>32.159999999999997</v>
      </c>
      <c r="E17975">
        <v>199</v>
      </c>
      <c r="F17975">
        <v>135</v>
      </c>
      <c r="G17975">
        <v>24</v>
      </c>
      <c r="H17975">
        <v>10</v>
      </c>
      <c r="I17975">
        <v>191</v>
      </c>
      <c r="J17975">
        <v>1</v>
      </c>
      <c r="K17975">
        <v>10</v>
      </c>
      <c r="L17975">
        <v>201</v>
      </c>
      <c r="M17975">
        <v>1</v>
      </c>
      <c r="N17975">
        <v>1.0744000000000001E-17</v>
      </c>
      <c r="O17975">
        <v>217</v>
      </c>
    </row>
    <row r="17976" spans="1:15" x14ac:dyDescent="0.25">
      <c r="A17976" t="s">
        <v>17989</v>
      </c>
      <c r="B17976">
        <v>272</v>
      </c>
      <c r="C17976" s="1" t="str">
        <f>HYPERLINK("http://www.rosaceae.org/gb/gbrowse/malus_x_domestica/?name=MDP0000147232","MDP0000147232")</f>
        <v>MDP0000147232</v>
      </c>
      <c r="D17976">
        <v>46.23</v>
      </c>
      <c r="E17976">
        <v>279</v>
      </c>
      <c r="F17976">
        <v>150</v>
      </c>
      <c r="G17976">
        <v>26</v>
      </c>
      <c r="H17976">
        <v>1</v>
      </c>
      <c r="I17976">
        <v>272</v>
      </c>
      <c r="J17976">
        <v>1</v>
      </c>
      <c r="K17976">
        <v>1</v>
      </c>
      <c r="L17976">
        <v>260</v>
      </c>
      <c r="M17976">
        <v>1</v>
      </c>
      <c r="N17976">
        <v>1.37881E-53</v>
      </c>
      <c r="O17976">
        <v>526</v>
      </c>
    </row>
    <row r="17977" spans="1:15" x14ac:dyDescent="0.25">
      <c r="A17977" t="s">
        <v>17990</v>
      </c>
      <c r="B17977">
        <v>263</v>
      </c>
      <c r="C17977" s="1" t="str">
        <f>HYPERLINK("http://www.rosaceae.org/gb/gbrowse/malus_x_domestica/?name=MDP0000186613","MDP0000186613")</f>
        <v>MDP0000186613</v>
      </c>
      <c r="D17977">
        <v>64.5</v>
      </c>
      <c r="E17977">
        <v>262</v>
      </c>
      <c r="F17977">
        <v>93</v>
      </c>
      <c r="G17977">
        <v>1</v>
      </c>
      <c r="H17977">
        <v>1</v>
      </c>
      <c r="I17977">
        <v>262</v>
      </c>
      <c r="J17977">
        <v>1</v>
      </c>
      <c r="K17977">
        <v>55</v>
      </c>
      <c r="L17977">
        <v>315</v>
      </c>
      <c r="M17977">
        <v>1</v>
      </c>
      <c r="N17977">
        <v>8.7337499999999996E-94</v>
      </c>
      <c r="O17977">
        <v>872</v>
      </c>
    </row>
    <row r="17978" spans="1:15" x14ac:dyDescent="0.25">
      <c r="A17978" t="s">
        <v>17991</v>
      </c>
      <c r="B17978">
        <v>360</v>
      </c>
      <c r="C17978" s="1" t="str">
        <f>HYPERLINK("http://www.rosaceae.org/gb/gbrowse/malus_x_domestica/?name=MDP0000143318","MDP0000143318")</f>
        <v>MDP0000143318</v>
      </c>
      <c r="D17978">
        <v>73.39</v>
      </c>
      <c r="E17978">
        <v>342</v>
      </c>
      <c r="F17978">
        <v>91</v>
      </c>
      <c r="G17978">
        <v>5</v>
      </c>
      <c r="H17978">
        <v>18</v>
      </c>
      <c r="I17978">
        <v>359</v>
      </c>
      <c r="J17978">
        <v>1</v>
      </c>
      <c r="K17978">
        <v>23</v>
      </c>
      <c r="L17978">
        <v>359</v>
      </c>
      <c r="M17978">
        <v>1</v>
      </c>
      <c r="N17978">
        <v>1.7576700000000001E-144</v>
      </c>
      <c r="O17978">
        <v>1311</v>
      </c>
    </row>
    <row r="17979" spans="1:15" x14ac:dyDescent="0.25">
      <c r="A17979" t="s">
        <v>17992</v>
      </c>
      <c r="B17979">
        <v>341</v>
      </c>
      <c r="C17979" s="1" t="str">
        <f>HYPERLINK("http://www.rosaceae.org/gb/gbrowse/malus_x_domestica/?name=MDP0000243196","MDP0000243196")</f>
        <v>MDP0000243196</v>
      </c>
      <c r="D17979">
        <v>76.77</v>
      </c>
      <c r="E17979">
        <v>353</v>
      </c>
      <c r="F17979">
        <v>82</v>
      </c>
      <c r="G17979">
        <v>15</v>
      </c>
      <c r="H17979">
        <v>1</v>
      </c>
      <c r="I17979">
        <v>339</v>
      </c>
      <c r="J17979">
        <v>1</v>
      </c>
      <c r="K17979">
        <v>1</v>
      </c>
      <c r="L17979">
        <v>352</v>
      </c>
      <c r="M17979">
        <v>1</v>
      </c>
      <c r="N17979">
        <v>1.7317899999999999E-157</v>
      </c>
      <c r="O17979">
        <v>1423</v>
      </c>
    </row>
    <row r="17980" spans="1:15" x14ac:dyDescent="0.25">
      <c r="A17980" t="s">
        <v>17993</v>
      </c>
      <c r="B17980">
        <v>388</v>
      </c>
      <c r="C17980" s="1" t="str">
        <f>HYPERLINK("http://www.rosaceae.org/gb/gbrowse/malus_x_domestica/?name=MDP0000274423","MDP0000274423")</f>
        <v>MDP0000274423</v>
      </c>
      <c r="D17980">
        <v>82.77</v>
      </c>
      <c r="E17980">
        <v>360</v>
      </c>
      <c r="F17980">
        <v>62</v>
      </c>
      <c r="G17980">
        <v>0</v>
      </c>
      <c r="H17980">
        <v>28</v>
      </c>
      <c r="I17980">
        <v>387</v>
      </c>
      <c r="J17980">
        <v>1</v>
      </c>
      <c r="K17980">
        <v>1</v>
      </c>
      <c r="L17980">
        <v>360</v>
      </c>
      <c r="M17980">
        <v>1</v>
      </c>
      <c r="N17980">
        <v>1.1232900000000001E-177</v>
      </c>
      <c r="O17980">
        <v>1598</v>
      </c>
    </row>
    <row r="17981" spans="1:15" x14ac:dyDescent="0.25">
      <c r="A17981" t="s">
        <v>17994</v>
      </c>
      <c r="B17981">
        <v>180</v>
      </c>
      <c r="C17981" s="1" t="str">
        <f>HYPERLINK("http://www.rosaceae.org/gb/gbrowse/malus_x_domestica/?name=MDP0000943643","MDP0000943643")</f>
        <v>MDP0000943643</v>
      </c>
      <c r="D17981">
        <v>79.45</v>
      </c>
      <c r="E17981">
        <v>73</v>
      </c>
      <c r="F17981">
        <v>15</v>
      </c>
      <c r="G17981">
        <v>1</v>
      </c>
      <c r="H17981">
        <v>1</v>
      </c>
      <c r="I17981">
        <v>73</v>
      </c>
      <c r="J17981">
        <v>1</v>
      </c>
      <c r="K17981">
        <v>315</v>
      </c>
      <c r="L17981">
        <v>386</v>
      </c>
      <c r="M17981">
        <v>1</v>
      </c>
      <c r="N17981">
        <v>1.47567E-28</v>
      </c>
      <c r="O17981">
        <v>307</v>
      </c>
    </row>
    <row r="17982" spans="1:15" x14ac:dyDescent="0.25">
      <c r="A17982" t="s">
        <v>17995</v>
      </c>
      <c r="B17982">
        <v>295</v>
      </c>
      <c r="C17982" s="1" t="str">
        <f>HYPERLINK("http://www.rosaceae.org/gb/gbrowse/malus_x_domestica/?name=MDP0000771727","MDP0000771727")</f>
        <v>MDP0000771727</v>
      </c>
      <c r="D17982">
        <v>71.37</v>
      </c>
      <c r="E17982">
        <v>276</v>
      </c>
      <c r="F17982">
        <v>79</v>
      </c>
      <c r="G17982">
        <v>33</v>
      </c>
      <c r="H17982">
        <v>38</v>
      </c>
      <c r="I17982">
        <v>284</v>
      </c>
      <c r="J17982">
        <v>1</v>
      </c>
      <c r="K17982">
        <v>37</v>
      </c>
      <c r="L17982">
        <v>308</v>
      </c>
      <c r="M17982">
        <v>1</v>
      </c>
      <c r="N17982">
        <v>2.3348E-111</v>
      </c>
      <c r="O17982">
        <v>1024</v>
      </c>
    </row>
    <row r="17983" spans="1:15" x14ac:dyDescent="0.25">
      <c r="A17983" t="s">
        <v>17996</v>
      </c>
      <c r="B17983">
        <v>412</v>
      </c>
      <c r="C17983" s="1" t="str">
        <f>HYPERLINK("http://www.rosaceae.org/gb/gbrowse/malus_x_domestica/?name=MDP0000292722","MDP0000292722")</f>
        <v>MDP0000292722</v>
      </c>
      <c r="D17983">
        <v>57.94</v>
      </c>
      <c r="E17983">
        <v>107</v>
      </c>
      <c r="F17983">
        <v>45</v>
      </c>
      <c r="G17983">
        <v>1</v>
      </c>
      <c r="H17983">
        <v>214</v>
      </c>
      <c r="I17983">
        <v>319</v>
      </c>
      <c r="J17983">
        <v>1</v>
      </c>
      <c r="K17983">
        <v>291</v>
      </c>
      <c r="L17983">
        <v>397</v>
      </c>
      <c r="M17983">
        <v>1</v>
      </c>
      <c r="N17983">
        <v>7.2218699999999997E-30</v>
      </c>
      <c r="O17983">
        <v>323</v>
      </c>
    </row>
    <row r="17984" spans="1:15" x14ac:dyDescent="0.25">
      <c r="A17984" t="s">
        <v>17997</v>
      </c>
      <c r="B17984">
        <v>209</v>
      </c>
      <c r="C17984" s="1" t="str">
        <f>HYPERLINK("http://www.rosaceae.org/gb/gbrowse/malus_x_domestica/?name=MDP0000278575","MDP0000278575")</f>
        <v>MDP0000278575</v>
      </c>
      <c r="D17984">
        <v>41.05</v>
      </c>
      <c r="E17984">
        <v>151</v>
      </c>
      <c r="F17984">
        <v>89</v>
      </c>
      <c r="G17984">
        <v>14</v>
      </c>
      <c r="H17984">
        <v>1</v>
      </c>
      <c r="I17984">
        <v>144</v>
      </c>
      <c r="J17984">
        <v>1</v>
      </c>
      <c r="K17984">
        <v>745</v>
      </c>
      <c r="L17984">
        <v>888</v>
      </c>
      <c r="M17984">
        <v>1</v>
      </c>
      <c r="N17984">
        <v>6.6980400000000003E-16</v>
      </c>
      <c r="O17984">
        <v>199</v>
      </c>
    </row>
    <row r="17985" spans="1:15" x14ac:dyDescent="0.25">
      <c r="A17985" t="s">
        <v>17998</v>
      </c>
      <c r="B17985">
        <v>1086</v>
      </c>
      <c r="C17985" s="1" t="str">
        <f>HYPERLINK("http://www.rosaceae.org/gb/gbrowse/malus_x_domestica/?name=MDP0000240766","MDP0000240766")</f>
        <v>MDP0000240766</v>
      </c>
      <c r="D17985">
        <v>73.72</v>
      </c>
      <c r="E17985">
        <v>1115</v>
      </c>
      <c r="F17985">
        <v>293</v>
      </c>
      <c r="G17985">
        <v>36</v>
      </c>
      <c r="H17985">
        <v>1</v>
      </c>
      <c r="I17985">
        <v>1084</v>
      </c>
      <c r="J17985">
        <v>1</v>
      </c>
      <c r="K17985">
        <v>1</v>
      </c>
      <c r="L17985">
        <v>1110</v>
      </c>
      <c r="M17985">
        <v>1</v>
      </c>
      <c r="N17985">
        <v>0</v>
      </c>
      <c r="O17985">
        <v>4214</v>
      </c>
    </row>
    <row r="17986" spans="1:15" x14ac:dyDescent="0.25">
      <c r="A17986" t="s">
        <v>17999</v>
      </c>
      <c r="B17986">
        <v>249</v>
      </c>
      <c r="C17986" s="1" t="str">
        <f>HYPERLINK("http://www.rosaceae.org/gb/gbrowse/malus_x_domestica/?name=MDP0000285539","MDP0000285539")</f>
        <v>MDP0000285539</v>
      </c>
      <c r="D17986">
        <v>39.840000000000003</v>
      </c>
      <c r="E17986">
        <v>256</v>
      </c>
      <c r="F17986">
        <v>154</v>
      </c>
      <c r="G17986">
        <v>50</v>
      </c>
      <c r="H17986">
        <v>11</v>
      </c>
      <c r="I17986">
        <v>232</v>
      </c>
      <c r="J17986">
        <v>1</v>
      </c>
      <c r="K17986">
        <v>25</v>
      </c>
      <c r="L17986">
        <v>264</v>
      </c>
      <c r="M17986">
        <v>1</v>
      </c>
      <c r="N17986">
        <v>2.36569E-28</v>
      </c>
      <c r="O17986">
        <v>307</v>
      </c>
    </row>
    <row r="17987" spans="1:15" x14ac:dyDescent="0.25">
      <c r="A17987" t="s">
        <v>18000</v>
      </c>
      <c r="B17987">
        <v>541</v>
      </c>
      <c r="C17987" s="1" t="str">
        <f>HYPERLINK("http://www.rosaceae.org/gb/gbrowse/malus_x_domestica/?name=MDP0000208960","MDP0000208960")</f>
        <v>MDP0000208960</v>
      </c>
      <c r="D17987">
        <v>78.67</v>
      </c>
      <c r="E17987">
        <v>272</v>
      </c>
      <c r="F17987">
        <v>58</v>
      </c>
      <c r="G17987">
        <v>0</v>
      </c>
      <c r="H17987">
        <v>1</v>
      </c>
      <c r="I17987">
        <v>272</v>
      </c>
      <c r="J17987">
        <v>1</v>
      </c>
      <c r="K17987">
        <v>189</v>
      </c>
      <c r="L17987">
        <v>460</v>
      </c>
      <c r="M17987">
        <v>1</v>
      </c>
      <c r="N17987">
        <v>3.3679200000000002E-120</v>
      </c>
      <c r="O17987">
        <v>1103</v>
      </c>
    </row>
    <row r="17988" spans="1:15" x14ac:dyDescent="0.25">
      <c r="A17988" t="s">
        <v>18001</v>
      </c>
      <c r="B17988">
        <v>479</v>
      </c>
      <c r="C17988" s="1" t="str">
        <f>HYPERLINK("http://www.rosaceae.org/gb/gbrowse/malus_x_domestica/?name=MDP0000251865","MDP0000251865")</f>
        <v>MDP0000251865</v>
      </c>
      <c r="D17988">
        <v>49.36</v>
      </c>
      <c r="E17988">
        <v>314</v>
      </c>
      <c r="F17988">
        <v>159</v>
      </c>
      <c r="G17988">
        <v>21</v>
      </c>
      <c r="H17988">
        <v>39</v>
      </c>
      <c r="I17988">
        <v>348</v>
      </c>
      <c r="J17988">
        <v>1</v>
      </c>
      <c r="K17988">
        <v>131</v>
      </c>
      <c r="L17988">
        <v>427</v>
      </c>
      <c r="M17988">
        <v>1</v>
      </c>
      <c r="N17988">
        <v>2.1784400000000001E-76</v>
      </c>
      <c r="O17988">
        <v>725</v>
      </c>
    </row>
    <row r="17989" spans="1:15" x14ac:dyDescent="0.25">
      <c r="A17989" t="s">
        <v>18002</v>
      </c>
      <c r="B17989">
        <v>413</v>
      </c>
      <c r="C17989" s="1" t="str">
        <f>HYPERLINK("http://www.rosaceae.org/gb/gbrowse/malus_x_domestica/?name=MDP0000225382","MDP0000225382")</f>
        <v>MDP0000225382</v>
      </c>
      <c r="D17989">
        <v>39.42</v>
      </c>
      <c r="E17989">
        <v>416</v>
      </c>
      <c r="F17989">
        <v>252</v>
      </c>
      <c r="G17989">
        <v>9</v>
      </c>
      <c r="H17989">
        <v>1</v>
      </c>
      <c r="I17989">
        <v>411</v>
      </c>
      <c r="J17989">
        <v>1</v>
      </c>
      <c r="K17989">
        <v>1</v>
      </c>
      <c r="L17989">
        <v>412</v>
      </c>
      <c r="M17989">
        <v>1</v>
      </c>
      <c r="N17989">
        <v>1.7849099999999999E-85</v>
      </c>
      <c r="O17989">
        <v>803</v>
      </c>
    </row>
    <row r="17990" spans="1:15" x14ac:dyDescent="0.25">
      <c r="A17990" t="s">
        <v>18003</v>
      </c>
      <c r="B17990">
        <v>551</v>
      </c>
      <c r="C17990" s="1" t="str">
        <f>HYPERLINK("http://www.rosaceae.org/gb/gbrowse/malus_x_domestica/?name=MDP0000158853","MDP0000158853")</f>
        <v>MDP0000158853</v>
      </c>
      <c r="D17990">
        <v>71.25</v>
      </c>
      <c r="E17990">
        <v>574</v>
      </c>
      <c r="F17990">
        <v>165</v>
      </c>
      <c r="G17990">
        <v>39</v>
      </c>
      <c r="H17990">
        <v>1</v>
      </c>
      <c r="I17990">
        <v>551</v>
      </c>
      <c r="J17990">
        <v>1</v>
      </c>
      <c r="K17990">
        <v>1</v>
      </c>
      <c r="L17990">
        <v>558</v>
      </c>
      <c r="M17990">
        <v>1</v>
      </c>
      <c r="N17990">
        <v>0</v>
      </c>
      <c r="O17990">
        <v>2015</v>
      </c>
    </row>
    <row r="17991" spans="1:15" x14ac:dyDescent="0.25">
      <c r="A17991" t="s">
        <v>18004</v>
      </c>
      <c r="B17991">
        <v>143</v>
      </c>
      <c r="C17991" s="1" t="str">
        <f>HYPERLINK("http://www.rosaceae.org/gb/gbrowse/malus_x_domestica/?name=MDP0000135807","MDP0000135807")</f>
        <v>MDP0000135807</v>
      </c>
      <c r="D17991">
        <v>50.66</v>
      </c>
      <c r="E17991">
        <v>150</v>
      </c>
      <c r="F17991">
        <v>74</v>
      </c>
      <c r="G17991">
        <v>21</v>
      </c>
      <c r="H17991">
        <v>2</v>
      </c>
      <c r="I17991">
        <v>143</v>
      </c>
      <c r="J17991">
        <v>1</v>
      </c>
      <c r="K17991">
        <v>4</v>
      </c>
      <c r="L17991">
        <v>140</v>
      </c>
      <c r="M17991">
        <v>1</v>
      </c>
      <c r="N17991">
        <v>1.0647200000000001E-31</v>
      </c>
      <c r="O17991">
        <v>332</v>
      </c>
    </row>
    <row r="17992" spans="1:15" x14ac:dyDescent="0.25">
      <c r="A17992" t="s">
        <v>18005</v>
      </c>
      <c r="B17992">
        <v>1015</v>
      </c>
      <c r="C17992" s="1" t="str">
        <f>HYPERLINK("http://www.rosaceae.org/gb/gbrowse/malus_x_domestica/?name=MDP0000210345","MDP0000210345")</f>
        <v>MDP0000210345</v>
      </c>
      <c r="D17992">
        <v>73.489999999999995</v>
      </c>
      <c r="E17992">
        <v>962</v>
      </c>
      <c r="F17992">
        <v>255</v>
      </c>
      <c r="G17992">
        <v>70</v>
      </c>
      <c r="H17992">
        <v>124</v>
      </c>
      <c r="I17992">
        <v>1015</v>
      </c>
      <c r="J17992">
        <v>1</v>
      </c>
      <c r="K17992">
        <v>124</v>
      </c>
      <c r="L17992">
        <v>1085</v>
      </c>
      <c r="M17992">
        <v>1</v>
      </c>
      <c r="N17992">
        <v>0</v>
      </c>
      <c r="O17992">
        <v>3616</v>
      </c>
    </row>
    <row r="17993" spans="1:15" x14ac:dyDescent="0.25">
      <c r="A17993" t="s">
        <v>18006</v>
      </c>
      <c r="B17993">
        <v>460</v>
      </c>
      <c r="C17993" s="1" t="str">
        <f>HYPERLINK("http://www.rosaceae.org/gb/gbrowse/malus_x_domestica/?name=MDP0000927314","MDP0000927314")</f>
        <v>MDP0000927314</v>
      </c>
      <c r="D17993">
        <v>48.22</v>
      </c>
      <c r="E17993">
        <v>506</v>
      </c>
      <c r="F17993">
        <v>262</v>
      </c>
      <c r="G17993">
        <v>66</v>
      </c>
      <c r="H17993">
        <v>1</v>
      </c>
      <c r="I17993">
        <v>460</v>
      </c>
      <c r="J17993">
        <v>1</v>
      </c>
      <c r="K17993">
        <v>1</v>
      </c>
      <c r="L17993">
        <v>486</v>
      </c>
      <c r="M17993">
        <v>1</v>
      </c>
      <c r="N17993">
        <v>2.6013699999999999E-89</v>
      </c>
      <c r="O17993">
        <v>836</v>
      </c>
    </row>
    <row r="17994" spans="1:15" x14ac:dyDescent="0.25">
      <c r="A17994" t="s">
        <v>18007</v>
      </c>
      <c r="B17994">
        <v>355</v>
      </c>
      <c r="C17994" s="1" t="str">
        <f>HYPERLINK("http://www.rosaceae.org/gb/gbrowse/malus_x_domestica/?name=MDP0000292448","MDP0000292448")</f>
        <v>MDP0000292448</v>
      </c>
      <c r="D17994">
        <v>79.23</v>
      </c>
      <c r="E17994">
        <v>342</v>
      </c>
      <c r="F17994">
        <v>71</v>
      </c>
      <c r="G17994">
        <v>2</v>
      </c>
      <c r="H17994">
        <v>14</v>
      </c>
      <c r="I17994">
        <v>355</v>
      </c>
      <c r="J17994">
        <v>1</v>
      </c>
      <c r="K17994">
        <v>25</v>
      </c>
      <c r="L17994">
        <v>364</v>
      </c>
      <c r="M17994">
        <v>1</v>
      </c>
      <c r="N17994">
        <v>2.8789899999999999E-158</v>
      </c>
      <c r="O17994">
        <v>1430</v>
      </c>
    </row>
    <row r="17995" spans="1:15" x14ac:dyDescent="0.25">
      <c r="A17995" t="s">
        <v>18008</v>
      </c>
      <c r="B17995">
        <v>893</v>
      </c>
      <c r="C17995" s="1" t="str">
        <f>HYPERLINK("http://www.rosaceae.org/gb/gbrowse/malus_x_domestica/?name=MDP0000297583","MDP0000297583")</f>
        <v>MDP0000297583</v>
      </c>
      <c r="D17995">
        <v>79.650000000000006</v>
      </c>
      <c r="E17995">
        <v>865</v>
      </c>
      <c r="F17995">
        <v>176</v>
      </c>
      <c r="G17995">
        <v>22</v>
      </c>
      <c r="H17995">
        <v>6</v>
      </c>
      <c r="I17995">
        <v>870</v>
      </c>
      <c r="J17995">
        <v>1</v>
      </c>
      <c r="K17995">
        <v>13</v>
      </c>
      <c r="L17995">
        <v>855</v>
      </c>
      <c r="M17995">
        <v>1</v>
      </c>
      <c r="N17995">
        <v>0</v>
      </c>
      <c r="O17995">
        <v>3614</v>
      </c>
    </row>
    <row r="17996" spans="1:15" x14ac:dyDescent="0.25">
      <c r="A17996" t="s">
        <v>18009</v>
      </c>
      <c r="B17996">
        <v>403</v>
      </c>
      <c r="C17996" s="1" t="str">
        <f>HYPERLINK("http://www.rosaceae.org/gb/gbrowse/malus_x_domestica/?name=MDP0000850193","MDP0000850193")</f>
        <v>MDP0000850193</v>
      </c>
      <c r="D17996">
        <v>70.53</v>
      </c>
      <c r="E17996">
        <v>414</v>
      </c>
      <c r="F17996">
        <v>122</v>
      </c>
      <c r="G17996">
        <v>14</v>
      </c>
      <c r="H17996">
        <v>1</v>
      </c>
      <c r="I17996">
        <v>403</v>
      </c>
      <c r="J17996">
        <v>1</v>
      </c>
      <c r="K17996">
        <v>1</v>
      </c>
      <c r="L17996">
        <v>411</v>
      </c>
      <c r="M17996">
        <v>1</v>
      </c>
      <c r="N17996">
        <v>1.39379E-162</v>
      </c>
      <c r="O17996">
        <v>1468</v>
      </c>
    </row>
    <row r="17997" spans="1:15" x14ac:dyDescent="0.25">
      <c r="A17997" t="s">
        <v>18010</v>
      </c>
      <c r="B17997">
        <v>279</v>
      </c>
      <c r="C17997" s="1" t="str">
        <f>HYPERLINK("http://www.rosaceae.org/gb/gbrowse/malus_x_domestica/?name=MDP0000492194","MDP0000492194")</f>
        <v>MDP0000492194</v>
      </c>
      <c r="D17997">
        <v>91.19</v>
      </c>
      <c r="E17997">
        <v>193</v>
      </c>
      <c r="F17997">
        <v>17</v>
      </c>
      <c r="G17997">
        <v>0</v>
      </c>
      <c r="H17997">
        <v>87</v>
      </c>
      <c r="I17997">
        <v>279</v>
      </c>
      <c r="J17997">
        <v>1</v>
      </c>
      <c r="K17997">
        <v>1</v>
      </c>
      <c r="L17997">
        <v>193</v>
      </c>
      <c r="M17997">
        <v>1</v>
      </c>
      <c r="N17997">
        <v>4.9920600000000004E-100</v>
      </c>
      <c r="O17997">
        <v>926</v>
      </c>
    </row>
    <row r="17998" spans="1:15" x14ac:dyDescent="0.25">
      <c r="A17998" t="s">
        <v>18011</v>
      </c>
      <c r="B17998">
        <v>215</v>
      </c>
      <c r="C17998" s="1" t="str">
        <f>HYPERLINK("http://www.rosaceae.org/gb/gbrowse/malus_x_domestica/?name=MDP0000137468","MDP0000137468")</f>
        <v>MDP0000137468</v>
      </c>
      <c r="D17998">
        <v>62.61</v>
      </c>
      <c r="E17998">
        <v>214</v>
      </c>
      <c r="F17998">
        <v>80</v>
      </c>
      <c r="G17998">
        <v>4</v>
      </c>
      <c r="H17998">
        <v>1</v>
      </c>
      <c r="I17998">
        <v>214</v>
      </c>
      <c r="J17998">
        <v>1</v>
      </c>
      <c r="K17998">
        <v>1</v>
      </c>
      <c r="L17998">
        <v>210</v>
      </c>
      <c r="M17998">
        <v>1</v>
      </c>
      <c r="N17998">
        <v>6.4562299999999995E-67</v>
      </c>
      <c r="O17998">
        <v>639</v>
      </c>
    </row>
    <row r="17999" spans="1:15" x14ac:dyDescent="0.25">
      <c r="A17999" t="s">
        <v>18012</v>
      </c>
      <c r="B17999">
        <v>404</v>
      </c>
      <c r="C17999" s="1" t="str">
        <f>HYPERLINK("http://www.rosaceae.org/gb/gbrowse/malus_x_domestica/?name=MDP0000513685","MDP0000513685")</f>
        <v>MDP0000513685</v>
      </c>
      <c r="D17999">
        <v>85.43</v>
      </c>
      <c r="E17999">
        <v>405</v>
      </c>
      <c r="F17999">
        <v>59</v>
      </c>
      <c r="G17999">
        <v>10</v>
      </c>
      <c r="H17999">
        <v>1</v>
      </c>
      <c r="I17999">
        <v>404</v>
      </c>
      <c r="J17999">
        <v>1</v>
      </c>
      <c r="K17999">
        <v>1</v>
      </c>
      <c r="L17999">
        <v>396</v>
      </c>
      <c r="M17999">
        <v>1</v>
      </c>
      <c r="N17999">
        <v>0</v>
      </c>
      <c r="O17999">
        <v>1820</v>
      </c>
    </row>
    <row r="18000" spans="1:15" x14ac:dyDescent="0.25">
      <c r="A18000" t="s">
        <v>18013</v>
      </c>
      <c r="B18000">
        <v>140</v>
      </c>
      <c r="C18000" s="1" t="str">
        <f>HYPERLINK("http://www.rosaceae.org/gb/gbrowse/malus_x_domestica/?name=MDP0000584223","MDP0000584223")</f>
        <v>MDP0000584223</v>
      </c>
      <c r="D18000">
        <v>33.33</v>
      </c>
      <c r="E18000">
        <v>150</v>
      </c>
      <c r="F18000">
        <v>100</v>
      </c>
      <c r="G18000">
        <v>24</v>
      </c>
      <c r="H18000">
        <v>1</v>
      </c>
      <c r="I18000">
        <v>131</v>
      </c>
      <c r="J18000">
        <v>1</v>
      </c>
      <c r="K18000">
        <v>70</v>
      </c>
      <c r="L18000">
        <v>214</v>
      </c>
      <c r="M18000">
        <v>1</v>
      </c>
      <c r="N18000">
        <v>1.5683399999999999E-7</v>
      </c>
      <c r="O18000">
        <v>124</v>
      </c>
    </row>
    <row r="18001" spans="1:15" x14ac:dyDescent="0.25">
      <c r="A18001" t="s">
        <v>18014</v>
      </c>
      <c r="B18001">
        <v>467</v>
      </c>
      <c r="C18001" s="1" t="str">
        <f>HYPERLINK("http://www.rosaceae.org/gb/gbrowse/malus_x_domestica/?name=MDP0000173497","MDP0000173497")</f>
        <v>MDP0000173497</v>
      </c>
      <c r="D18001">
        <v>80</v>
      </c>
      <c r="E18001">
        <v>35</v>
      </c>
      <c r="F18001">
        <v>7</v>
      </c>
      <c r="G18001">
        <v>0</v>
      </c>
      <c r="H18001">
        <v>1</v>
      </c>
      <c r="I18001">
        <v>35</v>
      </c>
      <c r="J18001">
        <v>1</v>
      </c>
      <c r="K18001">
        <v>445</v>
      </c>
      <c r="L18001">
        <v>479</v>
      </c>
      <c r="M18001">
        <v>1</v>
      </c>
      <c r="N18001">
        <v>1.14043E-8</v>
      </c>
      <c r="O18001">
        <v>141</v>
      </c>
    </row>
    <row r="18002" spans="1:15" x14ac:dyDescent="0.25">
      <c r="A18002" t="s">
        <v>18015</v>
      </c>
      <c r="B18002">
        <v>99</v>
      </c>
      <c r="C18002" s="1" t="str">
        <f>HYPERLINK("http://www.rosaceae.org/gb/gbrowse/malus_x_domestica/?name=MDP0000232410","MDP0000232410")</f>
        <v>MDP0000232410</v>
      </c>
      <c r="D18002">
        <v>90.19</v>
      </c>
      <c r="E18002">
        <v>51</v>
      </c>
      <c r="F18002">
        <v>5</v>
      </c>
      <c r="G18002">
        <v>0</v>
      </c>
      <c r="H18002">
        <v>23</v>
      </c>
      <c r="I18002">
        <v>73</v>
      </c>
      <c r="J18002">
        <v>1</v>
      </c>
      <c r="K18002">
        <v>242</v>
      </c>
      <c r="L18002">
        <v>292</v>
      </c>
      <c r="M18002">
        <v>1</v>
      </c>
      <c r="N18002">
        <v>1.07334E-22</v>
      </c>
      <c r="O18002">
        <v>253</v>
      </c>
    </row>
    <row r="18003" spans="1:15" x14ac:dyDescent="0.25">
      <c r="A18003" t="s">
        <v>18016</v>
      </c>
      <c r="B18003">
        <v>1249</v>
      </c>
      <c r="C18003" s="1" t="str">
        <f>HYPERLINK("http://www.rosaceae.org/gb/gbrowse/malus_x_domestica/?name=MDP0000734561","MDP0000734561")</f>
        <v>MDP0000734561</v>
      </c>
      <c r="D18003">
        <v>48.47</v>
      </c>
      <c r="E18003">
        <v>984</v>
      </c>
      <c r="F18003">
        <v>507</v>
      </c>
      <c r="G18003">
        <v>59</v>
      </c>
      <c r="H18003">
        <v>141</v>
      </c>
      <c r="I18003">
        <v>1103</v>
      </c>
      <c r="J18003">
        <v>1</v>
      </c>
      <c r="K18003">
        <v>166</v>
      </c>
      <c r="L18003">
        <v>1111</v>
      </c>
      <c r="M18003">
        <v>1</v>
      </c>
      <c r="N18003">
        <v>0</v>
      </c>
      <c r="O18003">
        <v>2046</v>
      </c>
    </row>
    <row r="18004" spans="1:15" x14ac:dyDescent="0.25">
      <c r="A18004" t="s">
        <v>18017</v>
      </c>
      <c r="B18004">
        <v>152</v>
      </c>
      <c r="C18004" s="1" t="str">
        <f>HYPERLINK("http://www.rosaceae.org/gb/gbrowse/malus_x_domestica/?name=MDP0000335758","MDP0000335758")</f>
        <v>MDP0000335758</v>
      </c>
      <c r="D18004">
        <v>88.13</v>
      </c>
      <c r="E18004">
        <v>118</v>
      </c>
      <c r="F18004">
        <v>14</v>
      </c>
      <c r="G18004">
        <v>0</v>
      </c>
      <c r="H18004">
        <v>1</v>
      </c>
      <c r="I18004">
        <v>118</v>
      </c>
      <c r="J18004">
        <v>1</v>
      </c>
      <c r="K18004">
        <v>21</v>
      </c>
      <c r="L18004">
        <v>138</v>
      </c>
      <c r="M18004">
        <v>1</v>
      </c>
      <c r="N18004">
        <v>3.3243100000000001E-57</v>
      </c>
      <c r="O18004">
        <v>553</v>
      </c>
    </row>
    <row r="18005" spans="1:15" x14ac:dyDescent="0.25">
      <c r="A18005" t="s">
        <v>18018</v>
      </c>
      <c r="B18005">
        <v>520</v>
      </c>
      <c r="C18005" s="1" t="str">
        <f>HYPERLINK("http://www.rosaceae.org/gb/gbrowse/malus_x_domestica/?name=MDP0000251499","MDP0000251499")</f>
        <v>MDP0000251499</v>
      </c>
      <c r="D18005">
        <v>29.23</v>
      </c>
      <c r="E18005">
        <v>195</v>
      </c>
      <c r="F18005">
        <v>138</v>
      </c>
      <c r="G18005">
        <v>12</v>
      </c>
      <c r="H18005">
        <v>247</v>
      </c>
      <c r="I18005">
        <v>435</v>
      </c>
      <c r="J18005">
        <v>1</v>
      </c>
      <c r="K18005">
        <v>144</v>
      </c>
      <c r="L18005">
        <v>332</v>
      </c>
      <c r="M18005">
        <v>1</v>
      </c>
      <c r="N18005">
        <v>3.5316700000000001E-15</v>
      </c>
      <c r="O18005">
        <v>198</v>
      </c>
    </row>
    <row r="18006" spans="1:15" x14ac:dyDescent="0.25">
      <c r="A18006" t="s">
        <v>18019</v>
      </c>
      <c r="B18006">
        <v>215</v>
      </c>
      <c r="C18006" s="1" t="str">
        <f>HYPERLINK("http://www.rosaceae.org/gb/gbrowse/malus_x_domestica/?name=MDP0000285251","MDP0000285251")</f>
        <v>MDP0000285251</v>
      </c>
      <c r="D18006">
        <v>62.5</v>
      </c>
      <c r="E18006">
        <v>208</v>
      </c>
      <c r="F18006">
        <v>78</v>
      </c>
      <c r="G18006">
        <v>4</v>
      </c>
      <c r="H18006">
        <v>1</v>
      </c>
      <c r="I18006">
        <v>208</v>
      </c>
      <c r="J18006">
        <v>1</v>
      </c>
      <c r="K18006">
        <v>1491</v>
      </c>
      <c r="L18006">
        <v>1694</v>
      </c>
      <c r="M18006">
        <v>1</v>
      </c>
      <c r="N18006">
        <v>1.12722E-72</v>
      </c>
      <c r="O18006">
        <v>689</v>
      </c>
    </row>
    <row r="18007" spans="1:15" x14ac:dyDescent="0.25">
      <c r="A18007" t="s">
        <v>18020</v>
      </c>
      <c r="B18007">
        <v>317</v>
      </c>
      <c r="C18007" s="1" t="str">
        <f>HYPERLINK("http://www.rosaceae.org/gb/gbrowse/malus_x_domestica/?name=MDP0000199956","MDP0000199956")</f>
        <v>MDP0000199956</v>
      </c>
      <c r="D18007">
        <v>71.2</v>
      </c>
      <c r="E18007">
        <v>316</v>
      </c>
      <c r="F18007">
        <v>91</v>
      </c>
      <c r="G18007">
        <v>13</v>
      </c>
      <c r="H18007">
        <v>6</v>
      </c>
      <c r="I18007">
        <v>316</v>
      </c>
      <c r="J18007">
        <v>1</v>
      </c>
      <c r="K18007">
        <v>10</v>
      </c>
      <c r="L18007">
        <v>317</v>
      </c>
      <c r="M18007">
        <v>1</v>
      </c>
      <c r="N18007">
        <v>7.8485400000000001E-131</v>
      </c>
      <c r="O18007">
        <v>1193</v>
      </c>
    </row>
    <row r="18008" spans="1:15" x14ac:dyDescent="0.25">
      <c r="A18008" t="s">
        <v>18021</v>
      </c>
      <c r="B18008">
        <v>125</v>
      </c>
      <c r="C18008" s="1" t="str">
        <f>HYPERLINK("http://www.rosaceae.org/gb/gbrowse/malus_x_domestica/?name=MDP0000340025","MDP0000340025")</f>
        <v>MDP0000340025</v>
      </c>
      <c r="D18008">
        <v>51.18</v>
      </c>
      <c r="E18008">
        <v>127</v>
      </c>
      <c r="F18008">
        <v>62</v>
      </c>
      <c r="G18008">
        <v>16</v>
      </c>
      <c r="H18008">
        <v>1</v>
      </c>
      <c r="I18008">
        <v>123</v>
      </c>
      <c r="J18008">
        <v>1</v>
      </c>
      <c r="K18008">
        <v>23</v>
      </c>
      <c r="L18008">
        <v>137</v>
      </c>
      <c r="M18008">
        <v>1</v>
      </c>
      <c r="N18008">
        <v>3.0181700000000001E-24</v>
      </c>
      <c r="O18008">
        <v>267</v>
      </c>
    </row>
    <row r="18009" spans="1:15" x14ac:dyDescent="0.25">
      <c r="A18009" t="s">
        <v>18022</v>
      </c>
      <c r="B18009">
        <v>277</v>
      </c>
      <c r="C18009" s="1" t="str">
        <f>HYPERLINK("http://www.rosaceae.org/gb/gbrowse/malus_x_domestica/?name=MDP0000266156","MDP0000266156")</f>
        <v>MDP0000266156</v>
      </c>
      <c r="D18009">
        <v>51.98</v>
      </c>
      <c r="E18009">
        <v>302</v>
      </c>
      <c r="F18009">
        <v>145</v>
      </c>
      <c r="G18009">
        <v>32</v>
      </c>
      <c r="H18009">
        <v>1</v>
      </c>
      <c r="I18009">
        <v>275</v>
      </c>
      <c r="J18009">
        <v>1</v>
      </c>
      <c r="K18009">
        <v>1</v>
      </c>
      <c r="L18009">
        <v>297</v>
      </c>
      <c r="M18009">
        <v>1</v>
      </c>
      <c r="N18009">
        <v>1.8011099999999999E-66</v>
      </c>
      <c r="O18009">
        <v>637</v>
      </c>
    </row>
    <row r="18010" spans="1:15" x14ac:dyDescent="0.25">
      <c r="A18010" t="s">
        <v>18023</v>
      </c>
      <c r="B18010">
        <v>257</v>
      </c>
      <c r="C18010" s="1" t="str">
        <f>HYPERLINK("http://www.rosaceae.org/gb/gbrowse/malus_x_domestica/?name=MDP0000265831","MDP0000265831")</f>
        <v>MDP0000265831</v>
      </c>
      <c r="D18010">
        <v>38.43</v>
      </c>
      <c r="E18010">
        <v>281</v>
      </c>
      <c r="F18010">
        <v>173</v>
      </c>
      <c r="G18010">
        <v>69</v>
      </c>
      <c r="H18010">
        <v>12</v>
      </c>
      <c r="I18010">
        <v>251</v>
      </c>
      <c r="J18010">
        <v>1</v>
      </c>
      <c r="K18010">
        <v>202</v>
      </c>
      <c r="L18010">
        <v>454</v>
      </c>
      <c r="M18010">
        <v>1</v>
      </c>
      <c r="N18010">
        <v>5.87556E-36</v>
      </c>
      <c r="O18010">
        <v>373</v>
      </c>
    </row>
    <row r="18011" spans="1:15" x14ac:dyDescent="0.25">
      <c r="A18011" t="s">
        <v>18024</v>
      </c>
      <c r="B18011">
        <v>422</v>
      </c>
      <c r="C18011" s="1" t="str">
        <f>HYPERLINK("http://www.rosaceae.org/gb/gbrowse/malus_x_domestica/?name=MDP0000279955","MDP0000279955")</f>
        <v>MDP0000279955</v>
      </c>
      <c r="D18011">
        <v>29.2</v>
      </c>
      <c r="E18011">
        <v>404</v>
      </c>
      <c r="F18011">
        <v>286</v>
      </c>
      <c r="G18011">
        <v>68</v>
      </c>
      <c r="H18011">
        <v>1</v>
      </c>
      <c r="I18011">
        <v>385</v>
      </c>
      <c r="J18011">
        <v>1</v>
      </c>
      <c r="K18011">
        <v>1</v>
      </c>
      <c r="L18011">
        <v>355</v>
      </c>
      <c r="M18011">
        <v>1</v>
      </c>
      <c r="N18011">
        <v>2.5434099999999999E-28</v>
      </c>
      <c r="O18011">
        <v>310</v>
      </c>
    </row>
    <row r="18012" spans="1:15" x14ac:dyDescent="0.25">
      <c r="A18012" t="s">
        <v>18025</v>
      </c>
      <c r="B18012">
        <v>710</v>
      </c>
      <c r="C18012" s="1" t="str">
        <f>HYPERLINK("http://www.rosaceae.org/gb/gbrowse/malus_x_domestica/?name=MDP0000169727","MDP0000169727")</f>
        <v>MDP0000169727</v>
      </c>
      <c r="D18012">
        <v>67.91</v>
      </c>
      <c r="E18012">
        <v>670</v>
      </c>
      <c r="F18012">
        <v>215</v>
      </c>
      <c r="G18012">
        <v>2</v>
      </c>
      <c r="H18012">
        <v>34</v>
      </c>
      <c r="I18012">
        <v>703</v>
      </c>
      <c r="J18012">
        <v>1</v>
      </c>
      <c r="K18012">
        <v>472</v>
      </c>
      <c r="L18012">
        <v>1139</v>
      </c>
      <c r="M18012">
        <v>1</v>
      </c>
      <c r="N18012">
        <v>0</v>
      </c>
      <c r="O18012">
        <v>2484</v>
      </c>
    </row>
    <row r="18013" spans="1:15" x14ac:dyDescent="0.25">
      <c r="A18013" t="s">
        <v>18026</v>
      </c>
      <c r="B18013">
        <v>323</v>
      </c>
      <c r="C18013" s="1" t="str">
        <f>HYPERLINK("http://www.rosaceae.org/gb/gbrowse/malus_x_domestica/?name=MDP0000221809","MDP0000221809")</f>
        <v>MDP0000221809</v>
      </c>
      <c r="D18013">
        <v>75.540000000000006</v>
      </c>
      <c r="E18013">
        <v>319</v>
      </c>
      <c r="F18013">
        <v>78</v>
      </c>
      <c r="G18013">
        <v>8</v>
      </c>
      <c r="H18013">
        <v>8</v>
      </c>
      <c r="I18013">
        <v>323</v>
      </c>
      <c r="J18013">
        <v>1</v>
      </c>
      <c r="K18013">
        <v>5</v>
      </c>
      <c r="L18013">
        <v>318</v>
      </c>
      <c r="M18013">
        <v>1</v>
      </c>
      <c r="N18013">
        <v>1.49226E-139</v>
      </c>
      <c r="O18013">
        <v>1268</v>
      </c>
    </row>
    <row r="18014" spans="1:15" x14ac:dyDescent="0.25">
      <c r="A18014" t="s">
        <v>18027</v>
      </c>
      <c r="B18014">
        <v>869</v>
      </c>
      <c r="C18014" s="1" t="str">
        <f>HYPERLINK("http://www.rosaceae.org/gb/gbrowse/malus_x_domestica/?name=MDP0000235689","MDP0000235689")</f>
        <v>MDP0000235689</v>
      </c>
      <c r="D18014">
        <v>61.64</v>
      </c>
      <c r="E18014">
        <v>73</v>
      </c>
      <c r="F18014">
        <v>28</v>
      </c>
      <c r="G18014">
        <v>0</v>
      </c>
      <c r="H18014">
        <v>519</v>
      </c>
      <c r="I18014">
        <v>591</v>
      </c>
      <c r="J18014">
        <v>1</v>
      </c>
      <c r="K18014">
        <v>182</v>
      </c>
      <c r="L18014">
        <v>254</v>
      </c>
      <c r="M18014">
        <v>1</v>
      </c>
      <c r="N18014">
        <v>3.0386300000000001E-18</v>
      </c>
      <c r="O18014">
        <v>226</v>
      </c>
    </row>
    <row r="18015" spans="1:15" x14ac:dyDescent="0.25">
      <c r="A18015" t="s">
        <v>18028</v>
      </c>
      <c r="B18015">
        <v>149</v>
      </c>
      <c r="C18015" s="1" t="str">
        <f>HYPERLINK("http://www.rosaceae.org/gb/gbrowse/malus_x_domestica/?name=MDP0000261025","MDP0000261025")</f>
        <v>MDP0000261025</v>
      </c>
      <c r="D18015">
        <v>42.94</v>
      </c>
      <c r="E18015">
        <v>156</v>
      </c>
      <c r="F18015">
        <v>89</v>
      </c>
      <c r="G18015">
        <v>34</v>
      </c>
      <c r="H18015">
        <v>16</v>
      </c>
      <c r="I18015">
        <v>137</v>
      </c>
      <c r="J18015">
        <v>1</v>
      </c>
      <c r="K18015">
        <v>1197</v>
      </c>
      <c r="L18015">
        <v>1352</v>
      </c>
      <c r="M18015">
        <v>1</v>
      </c>
      <c r="N18015">
        <v>9.4783600000000001E-30</v>
      </c>
      <c r="O18015">
        <v>316</v>
      </c>
    </row>
    <row r="18016" spans="1:15" x14ac:dyDescent="0.25">
      <c r="A18016" t="s">
        <v>18029</v>
      </c>
      <c r="B18016">
        <v>366</v>
      </c>
      <c r="C18016" s="1" t="str">
        <f>HYPERLINK("http://www.rosaceae.org/gb/gbrowse/malus_x_domestica/?name=MDP0000249059","MDP0000249059")</f>
        <v>MDP0000249059</v>
      </c>
      <c r="D18016">
        <v>62.65</v>
      </c>
      <c r="E18016">
        <v>332</v>
      </c>
      <c r="F18016">
        <v>124</v>
      </c>
      <c r="G18016">
        <v>3</v>
      </c>
      <c r="H18016">
        <v>38</v>
      </c>
      <c r="I18016">
        <v>366</v>
      </c>
      <c r="J18016">
        <v>1</v>
      </c>
      <c r="K18016">
        <v>325</v>
      </c>
      <c r="L18016">
        <v>656</v>
      </c>
      <c r="M18016">
        <v>1</v>
      </c>
      <c r="N18016">
        <v>1.48197E-122</v>
      </c>
      <c r="O18016">
        <v>1122</v>
      </c>
    </row>
    <row r="18017" spans="1:15" x14ac:dyDescent="0.25">
      <c r="A18017" t="s">
        <v>18030</v>
      </c>
      <c r="B18017">
        <v>352</v>
      </c>
      <c r="C18017" s="1" t="str">
        <f>HYPERLINK("http://www.rosaceae.org/gb/gbrowse/malus_x_domestica/?name=MDP0000500222","MDP0000500222")</f>
        <v>MDP0000500222</v>
      </c>
      <c r="D18017">
        <v>32.979999999999997</v>
      </c>
      <c r="E18017">
        <v>291</v>
      </c>
      <c r="F18017">
        <v>195</v>
      </c>
      <c r="G18017">
        <v>26</v>
      </c>
      <c r="H18017">
        <v>9</v>
      </c>
      <c r="I18017">
        <v>285</v>
      </c>
      <c r="J18017">
        <v>1</v>
      </c>
      <c r="K18017">
        <v>73</v>
      </c>
      <c r="L18017">
        <v>351</v>
      </c>
      <c r="M18017">
        <v>1</v>
      </c>
      <c r="N18017">
        <v>1.2285199999999999E-30</v>
      </c>
      <c r="O18017">
        <v>329</v>
      </c>
    </row>
    <row r="18018" spans="1:15" x14ac:dyDescent="0.25">
      <c r="A18018" t="s">
        <v>18031</v>
      </c>
      <c r="B18018">
        <v>368</v>
      </c>
      <c r="C18018" s="1" t="str">
        <f>HYPERLINK("http://www.rosaceae.org/gb/gbrowse/malus_x_domestica/?name=MDP0000303908","MDP0000303908")</f>
        <v>MDP0000303908</v>
      </c>
      <c r="D18018">
        <v>47.41</v>
      </c>
      <c r="E18018">
        <v>348</v>
      </c>
      <c r="F18018">
        <v>183</v>
      </c>
      <c r="G18018">
        <v>40</v>
      </c>
      <c r="H18018">
        <v>34</v>
      </c>
      <c r="I18018">
        <v>364</v>
      </c>
      <c r="J18018">
        <v>1</v>
      </c>
      <c r="K18018">
        <v>1</v>
      </c>
      <c r="L18018">
        <v>325</v>
      </c>
      <c r="M18018">
        <v>1</v>
      </c>
      <c r="N18018">
        <v>6.4690299999999996E-73</v>
      </c>
      <c r="O18018">
        <v>694</v>
      </c>
    </row>
    <row r="18019" spans="1:15" x14ac:dyDescent="0.25">
      <c r="A18019" t="s">
        <v>18032</v>
      </c>
      <c r="B18019">
        <v>120</v>
      </c>
      <c r="C18019" s="1" t="str">
        <f>HYPERLINK("http://www.rosaceae.org/gb/gbrowse/malus_x_domestica/?name=MDP0000308131","MDP0000308131")</f>
        <v>MDP0000308131</v>
      </c>
      <c r="D18019">
        <v>79.16</v>
      </c>
      <c r="E18019">
        <v>72</v>
      </c>
      <c r="F18019">
        <v>15</v>
      </c>
      <c r="G18019">
        <v>0</v>
      </c>
      <c r="H18019">
        <v>7</v>
      </c>
      <c r="I18019">
        <v>78</v>
      </c>
      <c r="J18019">
        <v>1</v>
      </c>
      <c r="K18019">
        <v>49</v>
      </c>
      <c r="L18019">
        <v>120</v>
      </c>
      <c r="M18019">
        <v>1</v>
      </c>
      <c r="N18019">
        <v>2.5720700000000001E-29</v>
      </c>
      <c r="O18019">
        <v>310</v>
      </c>
    </row>
    <row r="18020" spans="1:15" x14ac:dyDescent="0.25">
      <c r="A18020" t="s">
        <v>18033</v>
      </c>
      <c r="B18020">
        <v>118</v>
      </c>
      <c r="C18020" s="1" t="str">
        <f>HYPERLINK("http://www.rosaceae.org/gb/gbrowse/malus_x_domestica/?name=MDP0000191980","MDP0000191980")</f>
        <v>MDP0000191980</v>
      </c>
      <c r="D18020">
        <v>38.880000000000003</v>
      </c>
      <c r="E18020">
        <v>72</v>
      </c>
      <c r="F18020">
        <v>44</v>
      </c>
      <c r="G18020">
        <v>0</v>
      </c>
      <c r="H18020">
        <v>5</v>
      </c>
      <c r="I18020">
        <v>76</v>
      </c>
      <c r="J18020">
        <v>1</v>
      </c>
      <c r="K18020">
        <v>142</v>
      </c>
      <c r="L18020">
        <v>213</v>
      </c>
      <c r="M18020">
        <v>1</v>
      </c>
      <c r="N18020">
        <v>2.78586E-8</v>
      </c>
      <c r="O18020">
        <v>129</v>
      </c>
    </row>
    <row r="18021" spans="1:15" x14ac:dyDescent="0.25">
      <c r="A18021" t="s">
        <v>18034</v>
      </c>
      <c r="B18021">
        <v>127</v>
      </c>
      <c r="C18021" s="1" t="str">
        <f>HYPERLINK("http://www.rosaceae.org/gb/gbrowse/malus_x_domestica/?name=MDP0000213610","MDP0000213610")</f>
        <v>MDP0000213610</v>
      </c>
      <c r="D18021">
        <v>55.7</v>
      </c>
      <c r="E18021">
        <v>149</v>
      </c>
      <c r="F18021">
        <v>66</v>
      </c>
      <c r="G18021">
        <v>41</v>
      </c>
      <c r="H18021">
        <v>18</v>
      </c>
      <c r="I18021">
        <v>127</v>
      </c>
      <c r="J18021">
        <v>1</v>
      </c>
      <c r="K18021">
        <v>18</v>
      </c>
      <c r="L18021">
        <v>164</v>
      </c>
      <c r="M18021">
        <v>1</v>
      </c>
      <c r="N18021">
        <v>7.4523099999999999E-39</v>
      </c>
      <c r="O18021">
        <v>393</v>
      </c>
    </row>
    <row r="18022" spans="1:15" x14ac:dyDescent="0.25">
      <c r="A18022" t="s">
        <v>18035</v>
      </c>
      <c r="B18022">
        <v>130</v>
      </c>
      <c r="C18022" s="1" t="str">
        <f>HYPERLINK("http://www.rosaceae.org/gb/gbrowse/malus_x_domestica/?name=MDP0000432422","MDP0000432422")</f>
        <v>MDP0000432422</v>
      </c>
      <c r="D18022">
        <v>93.38</v>
      </c>
      <c r="E18022">
        <v>121</v>
      </c>
      <c r="F18022">
        <v>8</v>
      </c>
      <c r="G18022">
        <v>1</v>
      </c>
      <c r="H18022">
        <v>10</v>
      </c>
      <c r="I18022">
        <v>130</v>
      </c>
      <c r="J18022">
        <v>1</v>
      </c>
      <c r="K18022">
        <v>92</v>
      </c>
      <c r="L18022">
        <v>211</v>
      </c>
      <c r="M18022">
        <v>1</v>
      </c>
      <c r="N18022">
        <v>1.8318800000000001E-61</v>
      </c>
      <c r="O18022">
        <v>588</v>
      </c>
    </row>
    <row r="18023" spans="1:15" x14ac:dyDescent="0.25">
      <c r="A18023" t="s">
        <v>18036</v>
      </c>
      <c r="B18023">
        <v>109</v>
      </c>
      <c r="C18023" s="1" t="str">
        <f>HYPERLINK("http://www.rosaceae.org/gb/gbrowse/malus_x_domestica/?name=MDP0000322220","MDP0000322220")</f>
        <v>MDP0000322220</v>
      </c>
      <c r="D18023">
        <v>89.09</v>
      </c>
      <c r="E18023">
        <v>55</v>
      </c>
      <c r="F18023">
        <v>6</v>
      </c>
      <c r="G18023">
        <v>0</v>
      </c>
      <c r="H18023">
        <v>11</v>
      </c>
      <c r="I18023">
        <v>65</v>
      </c>
      <c r="J18023">
        <v>1</v>
      </c>
      <c r="K18023">
        <v>450</v>
      </c>
      <c r="L18023">
        <v>504</v>
      </c>
      <c r="M18023">
        <v>1</v>
      </c>
      <c r="N18023">
        <v>1.6737900000000001E-24</v>
      </c>
      <c r="O18023">
        <v>269</v>
      </c>
    </row>
    <row r="18024" spans="1:15" x14ac:dyDescent="0.25">
      <c r="A18024" t="s">
        <v>18037</v>
      </c>
      <c r="B18024">
        <v>316</v>
      </c>
      <c r="C18024" s="1" t="str">
        <f>HYPERLINK("http://www.rosaceae.org/gb/gbrowse/malus_x_domestica/?name=MDP0000167422","MDP0000167422")</f>
        <v>MDP0000167422</v>
      </c>
      <c r="D18024">
        <v>55.94</v>
      </c>
      <c r="E18024">
        <v>370</v>
      </c>
      <c r="F18024">
        <v>163</v>
      </c>
      <c r="G18024">
        <v>56</v>
      </c>
      <c r="H18024">
        <v>1</v>
      </c>
      <c r="I18024">
        <v>316</v>
      </c>
      <c r="J18024">
        <v>1</v>
      </c>
      <c r="K18024">
        <v>1</v>
      </c>
      <c r="L18024">
        <v>368</v>
      </c>
      <c r="M18024">
        <v>1</v>
      </c>
      <c r="N18024">
        <v>8.0243300000000006E-96</v>
      </c>
      <c r="O18024">
        <v>891</v>
      </c>
    </row>
    <row r="18025" spans="1:15" x14ac:dyDescent="0.25">
      <c r="A18025" t="s">
        <v>18038</v>
      </c>
      <c r="B18025">
        <v>108</v>
      </c>
      <c r="C18025" s="1" t="str">
        <f>HYPERLINK("http://www.rosaceae.org/gb/gbrowse/malus_x_domestica/?name=MDP0000718689","MDP0000718689")</f>
        <v>MDP0000718689</v>
      </c>
      <c r="D18025">
        <v>62.03</v>
      </c>
      <c r="E18025">
        <v>108</v>
      </c>
      <c r="F18025">
        <v>41</v>
      </c>
      <c r="G18025">
        <v>5</v>
      </c>
      <c r="H18025">
        <v>1</v>
      </c>
      <c r="I18025">
        <v>108</v>
      </c>
      <c r="J18025">
        <v>1</v>
      </c>
      <c r="K18025">
        <v>135</v>
      </c>
      <c r="L18025">
        <v>237</v>
      </c>
      <c r="M18025">
        <v>1</v>
      </c>
      <c r="N18025">
        <v>1.4197E-28</v>
      </c>
      <c r="O18025">
        <v>304</v>
      </c>
    </row>
    <row r="18026" spans="1:15" x14ac:dyDescent="0.25">
      <c r="A18026" t="s">
        <v>18039</v>
      </c>
      <c r="B18026">
        <v>648</v>
      </c>
      <c r="C18026" s="1" t="str">
        <f>HYPERLINK("http://www.rosaceae.org/gb/gbrowse/malus_x_domestica/?name=MDP0000322045","MDP0000322045")</f>
        <v>MDP0000322045</v>
      </c>
      <c r="D18026">
        <v>61.56</v>
      </c>
      <c r="E18026">
        <v>653</v>
      </c>
      <c r="F18026">
        <v>251</v>
      </c>
      <c r="G18026">
        <v>21</v>
      </c>
      <c r="H18026">
        <v>4</v>
      </c>
      <c r="I18026">
        <v>648</v>
      </c>
      <c r="J18026">
        <v>1</v>
      </c>
      <c r="K18026">
        <v>5</v>
      </c>
      <c r="L18026">
        <v>644</v>
      </c>
      <c r="M18026">
        <v>1</v>
      </c>
      <c r="N18026">
        <v>0</v>
      </c>
      <c r="O18026">
        <v>1971</v>
      </c>
    </row>
    <row r="18027" spans="1:15" x14ac:dyDescent="0.25">
      <c r="A18027" t="s">
        <v>18040</v>
      </c>
      <c r="B18027">
        <v>367</v>
      </c>
      <c r="C18027" s="1" t="str">
        <f>HYPERLINK("http://www.rosaceae.org/gb/gbrowse/malus_x_domestica/?name=MDP0000774306","MDP0000774306")</f>
        <v>MDP0000774306</v>
      </c>
      <c r="D18027">
        <v>46.7</v>
      </c>
      <c r="E18027">
        <v>334</v>
      </c>
      <c r="F18027">
        <v>178</v>
      </c>
      <c r="G18027">
        <v>13</v>
      </c>
      <c r="H18027">
        <v>11</v>
      </c>
      <c r="I18027">
        <v>332</v>
      </c>
      <c r="J18027">
        <v>1</v>
      </c>
      <c r="K18027">
        <v>4</v>
      </c>
      <c r="L18027">
        <v>336</v>
      </c>
      <c r="M18027">
        <v>1</v>
      </c>
      <c r="N18027">
        <v>9.4623299999999991E-72</v>
      </c>
      <c r="O18027">
        <v>684</v>
      </c>
    </row>
    <row r="18028" spans="1:15" x14ac:dyDescent="0.25">
      <c r="A18028" t="s">
        <v>18041</v>
      </c>
      <c r="B18028">
        <v>136</v>
      </c>
      <c r="C18028" s="1" t="str">
        <f>HYPERLINK("http://www.rosaceae.org/gb/gbrowse/malus_x_domestica/?name=MDP0000278726","MDP0000278726")</f>
        <v>MDP0000278726</v>
      </c>
      <c r="D18028">
        <v>76.31</v>
      </c>
      <c r="E18028">
        <v>38</v>
      </c>
      <c r="F18028">
        <v>9</v>
      </c>
      <c r="G18028">
        <v>1</v>
      </c>
      <c r="H18028">
        <v>78</v>
      </c>
      <c r="I18028">
        <v>114</v>
      </c>
      <c r="J18028">
        <v>1</v>
      </c>
      <c r="K18028">
        <v>97</v>
      </c>
      <c r="L18028">
        <v>134</v>
      </c>
      <c r="M18028">
        <v>1</v>
      </c>
      <c r="N18028">
        <v>2.2164200000000001E-9</v>
      </c>
      <c r="O18028">
        <v>139</v>
      </c>
    </row>
    <row r="18029" spans="1:15" x14ac:dyDescent="0.25">
      <c r="A18029" t="s">
        <v>18042</v>
      </c>
      <c r="B18029">
        <v>340</v>
      </c>
      <c r="C18029" s="1" t="str">
        <f>HYPERLINK("http://www.rosaceae.org/gb/gbrowse/malus_x_domestica/?name=MDP0000298170","MDP0000298170")</f>
        <v>MDP0000298170</v>
      </c>
      <c r="D18029">
        <v>56.02</v>
      </c>
      <c r="E18029">
        <v>332</v>
      </c>
      <c r="F18029">
        <v>146</v>
      </c>
      <c r="G18029">
        <v>33</v>
      </c>
      <c r="H18029">
        <v>1</v>
      </c>
      <c r="I18029">
        <v>328</v>
      </c>
      <c r="J18029">
        <v>1</v>
      </c>
      <c r="K18029">
        <v>388</v>
      </c>
      <c r="L18029">
        <v>690</v>
      </c>
      <c r="M18029">
        <v>1</v>
      </c>
      <c r="N18029">
        <v>3.7366399999999997E-80</v>
      </c>
      <c r="O18029">
        <v>756</v>
      </c>
    </row>
    <row r="18030" spans="1:15" x14ac:dyDescent="0.25">
      <c r="A18030" t="s">
        <v>18043</v>
      </c>
      <c r="B18030">
        <v>402</v>
      </c>
      <c r="C18030" s="1" t="str">
        <f>HYPERLINK("http://www.rosaceae.org/gb/gbrowse/malus_x_domestica/?name=MDP0000235326","MDP0000235326")</f>
        <v>MDP0000235326</v>
      </c>
      <c r="D18030">
        <v>31.81</v>
      </c>
      <c r="E18030">
        <v>198</v>
      </c>
      <c r="F18030">
        <v>135</v>
      </c>
      <c r="G18030">
        <v>33</v>
      </c>
      <c r="H18030">
        <v>25</v>
      </c>
      <c r="I18030">
        <v>212</v>
      </c>
      <c r="J18030">
        <v>1</v>
      </c>
      <c r="K18030">
        <v>11</v>
      </c>
      <c r="L18030">
        <v>185</v>
      </c>
      <c r="M18030">
        <v>1</v>
      </c>
      <c r="N18030">
        <v>5.4721099999999996E-9</v>
      </c>
      <c r="O18030">
        <v>143</v>
      </c>
    </row>
    <row r="18031" spans="1:15" x14ac:dyDescent="0.25">
      <c r="A18031" t="s">
        <v>18044</v>
      </c>
      <c r="B18031">
        <v>150</v>
      </c>
      <c r="C18031" s="1" t="str">
        <f>HYPERLINK("http://www.rosaceae.org/gb/gbrowse/malus_x_domestica/?name=MDP0000215219","MDP0000215219")</f>
        <v>MDP0000215219</v>
      </c>
      <c r="D18031">
        <v>54.54</v>
      </c>
      <c r="E18031">
        <v>44</v>
      </c>
      <c r="F18031">
        <v>20</v>
      </c>
      <c r="G18031">
        <v>2</v>
      </c>
      <c r="H18031">
        <v>10</v>
      </c>
      <c r="I18031">
        <v>53</v>
      </c>
      <c r="J18031">
        <v>1</v>
      </c>
      <c r="K18031">
        <v>18</v>
      </c>
      <c r="L18031">
        <v>59</v>
      </c>
      <c r="M18031">
        <v>1</v>
      </c>
      <c r="N18031">
        <v>7.13476E-7</v>
      </c>
      <c r="O18031">
        <v>119</v>
      </c>
    </row>
    <row r="18032" spans="1:15" x14ac:dyDescent="0.25">
      <c r="A18032" t="s">
        <v>18045</v>
      </c>
      <c r="B18032">
        <v>107</v>
      </c>
      <c r="C18032" s="1" t="str">
        <f>HYPERLINK("http://www.rosaceae.org/gb/gbrowse/malus_x_domestica/?name=MDP0000530789","MDP0000530789")</f>
        <v>MDP0000530789</v>
      </c>
      <c r="D18032">
        <v>65.11</v>
      </c>
      <c r="E18032">
        <v>43</v>
      </c>
      <c r="F18032">
        <v>15</v>
      </c>
      <c r="G18032">
        <v>0</v>
      </c>
      <c r="H18032">
        <v>65</v>
      </c>
      <c r="I18032">
        <v>107</v>
      </c>
      <c r="J18032">
        <v>1</v>
      </c>
      <c r="K18032">
        <v>39</v>
      </c>
      <c r="L18032">
        <v>81</v>
      </c>
      <c r="M18032">
        <v>1</v>
      </c>
      <c r="N18032">
        <v>1.67844E-9</v>
      </c>
      <c r="O18032">
        <v>139</v>
      </c>
    </row>
    <row r="18033" spans="1:15" x14ac:dyDescent="0.25">
      <c r="A18033" t="s">
        <v>18046</v>
      </c>
      <c r="B18033">
        <v>428</v>
      </c>
      <c r="C18033" s="1" t="str">
        <f>HYPERLINK("http://www.rosaceae.org/gb/gbrowse/malus_x_domestica/?name=MDP0000254701","MDP0000254701")</f>
        <v>MDP0000254701</v>
      </c>
      <c r="D18033">
        <v>44.89</v>
      </c>
      <c r="E18033">
        <v>147</v>
      </c>
      <c r="F18033">
        <v>81</v>
      </c>
      <c r="G18033">
        <v>1</v>
      </c>
      <c r="H18033">
        <v>241</v>
      </c>
      <c r="I18033">
        <v>387</v>
      </c>
      <c r="J18033">
        <v>1</v>
      </c>
      <c r="K18033">
        <v>58</v>
      </c>
      <c r="L18033">
        <v>203</v>
      </c>
      <c r="M18033">
        <v>1</v>
      </c>
      <c r="N18033">
        <v>1.8207900000000001E-37</v>
      </c>
      <c r="O18033">
        <v>389</v>
      </c>
    </row>
    <row r="18034" spans="1:15" x14ac:dyDescent="0.25">
      <c r="A18034" t="s">
        <v>18047</v>
      </c>
      <c r="B18034">
        <v>583</v>
      </c>
      <c r="C18034" s="1" t="str">
        <f>HYPERLINK("http://www.rosaceae.org/gb/gbrowse/malus_x_domestica/?name=MDP0000509949","MDP0000509949")</f>
        <v>MDP0000509949</v>
      </c>
      <c r="D18034">
        <v>53.72</v>
      </c>
      <c r="E18034">
        <v>309</v>
      </c>
      <c r="F18034">
        <v>143</v>
      </c>
      <c r="G18034">
        <v>4</v>
      </c>
      <c r="H18034">
        <v>22</v>
      </c>
      <c r="I18034">
        <v>327</v>
      </c>
      <c r="J18034">
        <v>1</v>
      </c>
      <c r="K18034">
        <v>19</v>
      </c>
      <c r="L18034">
        <v>326</v>
      </c>
      <c r="M18034">
        <v>1</v>
      </c>
      <c r="N18034">
        <v>3.5473999999999998E-96</v>
      </c>
      <c r="O18034">
        <v>897</v>
      </c>
    </row>
    <row r="18035" spans="1:15" x14ac:dyDescent="0.25">
      <c r="A18035" t="s">
        <v>18048</v>
      </c>
      <c r="B18035">
        <v>126</v>
      </c>
      <c r="C18035" s="1" t="str">
        <f>HYPERLINK("http://www.rosaceae.org/gb/gbrowse/malus_x_domestica/?name=MDP0000234814","MDP0000234814")</f>
        <v>MDP0000234814</v>
      </c>
      <c r="D18035">
        <v>73.61</v>
      </c>
      <c r="E18035">
        <v>72</v>
      </c>
      <c r="F18035">
        <v>19</v>
      </c>
      <c r="G18035">
        <v>1</v>
      </c>
      <c r="H18035">
        <v>53</v>
      </c>
      <c r="I18035">
        <v>123</v>
      </c>
      <c r="J18035">
        <v>1</v>
      </c>
      <c r="K18035">
        <v>818</v>
      </c>
      <c r="L18035">
        <v>889</v>
      </c>
      <c r="M18035">
        <v>1</v>
      </c>
      <c r="N18035">
        <v>7.7100799999999995E-26</v>
      </c>
      <c r="O18035">
        <v>280</v>
      </c>
    </row>
    <row r="18036" spans="1:15" x14ac:dyDescent="0.25">
      <c r="A18036" t="s">
        <v>18049</v>
      </c>
      <c r="B18036">
        <v>588</v>
      </c>
      <c r="C18036" s="1" t="str">
        <f>HYPERLINK("http://www.rosaceae.org/gb/gbrowse/malus_x_domestica/?name=MDP0000232797","MDP0000232797")</f>
        <v>MDP0000232797</v>
      </c>
      <c r="D18036">
        <v>82.6</v>
      </c>
      <c r="E18036">
        <v>592</v>
      </c>
      <c r="F18036">
        <v>103</v>
      </c>
      <c r="G18036">
        <v>24</v>
      </c>
      <c r="H18036">
        <v>18</v>
      </c>
      <c r="I18036">
        <v>588</v>
      </c>
      <c r="J18036">
        <v>1</v>
      </c>
      <c r="K18036">
        <v>34</v>
      </c>
      <c r="L18036">
        <v>622</v>
      </c>
      <c r="M18036">
        <v>1</v>
      </c>
      <c r="N18036">
        <v>0</v>
      </c>
      <c r="O18036">
        <v>2569</v>
      </c>
    </row>
    <row r="18037" spans="1:15" x14ac:dyDescent="0.25">
      <c r="A18037" t="s">
        <v>18050</v>
      </c>
      <c r="B18037">
        <v>852</v>
      </c>
      <c r="C18037" s="1" t="str">
        <f>HYPERLINK("http://www.rosaceae.org/gb/gbrowse/malus_x_domestica/?name=MDP0000228175","MDP0000228175")</f>
        <v>MDP0000228175</v>
      </c>
      <c r="D18037">
        <v>63.23</v>
      </c>
      <c r="E18037">
        <v>748</v>
      </c>
      <c r="F18037">
        <v>275</v>
      </c>
      <c r="G18037">
        <v>32</v>
      </c>
      <c r="H18037">
        <v>118</v>
      </c>
      <c r="I18037">
        <v>852</v>
      </c>
      <c r="J18037">
        <v>1</v>
      </c>
      <c r="K18037">
        <v>8</v>
      </c>
      <c r="L18037">
        <v>736</v>
      </c>
      <c r="M18037">
        <v>1</v>
      </c>
      <c r="N18037">
        <v>0</v>
      </c>
      <c r="O18037">
        <v>2379</v>
      </c>
    </row>
    <row r="18038" spans="1:15" x14ac:dyDescent="0.25">
      <c r="A18038" t="s">
        <v>18051</v>
      </c>
      <c r="B18038">
        <v>1149</v>
      </c>
      <c r="C18038" s="1" t="str">
        <f>HYPERLINK("http://www.rosaceae.org/gb/gbrowse/malus_x_domestica/?name=MDP0000138306","MDP0000138306")</f>
        <v>MDP0000138306</v>
      </c>
      <c r="D18038">
        <v>75.33</v>
      </c>
      <c r="E18038">
        <v>888</v>
      </c>
      <c r="F18038">
        <v>219</v>
      </c>
      <c r="G18038">
        <v>72</v>
      </c>
      <c r="H18038">
        <v>330</v>
      </c>
      <c r="I18038">
        <v>1149</v>
      </c>
      <c r="J18038">
        <v>1</v>
      </c>
      <c r="K18038">
        <v>14</v>
      </c>
      <c r="L18038">
        <v>897</v>
      </c>
      <c r="M18038">
        <v>1</v>
      </c>
      <c r="N18038">
        <v>0</v>
      </c>
      <c r="O18038">
        <v>3476</v>
      </c>
    </row>
    <row r="18039" spans="1:15" x14ac:dyDescent="0.25">
      <c r="A18039" t="s">
        <v>18052</v>
      </c>
      <c r="B18039">
        <v>1467</v>
      </c>
      <c r="C18039" s="1" t="str">
        <f>HYPERLINK("http://www.rosaceae.org/gb/gbrowse/malus_x_domestica/?name=MDP0000291320","MDP0000291320")</f>
        <v>MDP0000291320</v>
      </c>
      <c r="D18039">
        <v>61.72</v>
      </c>
      <c r="E18039">
        <v>1011</v>
      </c>
      <c r="F18039">
        <v>387</v>
      </c>
      <c r="G18039">
        <v>67</v>
      </c>
      <c r="H18039">
        <v>492</v>
      </c>
      <c r="I18039">
        <v>1466</v>
      </c>
      <c r="J18039">
        <v>1</v>
      </c>
      <c r="K18039">
        <v>1</v>
      </c>
      <c r="L18039">
        <v>980</v>
      </c>
      <c r="M18039">
        <v>1</v>
      </c>
      <c r="N18039">
        <v>0</v>
      </c>
      <c r="O18039">
        <v>2913</v>
      </c>
    </row>
    <row r="18040" spans="1:15" x14ac:dyDescent="0.25">
      <c r="A18040" t="s">
        <v>18053</v>
      </c>
      <c r="B18040">
        <v>447</v>
      </c>
      <c r="C18040" s="1" t="str">
        <f>HYPERLINK("http://www.rosaceae.org/gb/gbrowse/malus_x_domestica/?name=MDP0000754989","MDP0000754989")</f>
        <v>MDP0000754989</v>
      </c>
      <c r="D18040">
        <v>49.07</v>
      </c>
      <c r="E18040">
        <v>326</v>
      </c>
      <c r="F18040">
        <v>166</v>
      </c>
      <c r="G18040">
        <v>34</v>
      </c>
      <c r="H18040">
        <v>1</v>
      </c>
      <c r="I18040">
        <v>310</v>
      </c>
      <c r="J18040">
        <v>1</v>
      </c>
      <c r="K18040">
        <v>2</v>
      </c>
      <c r="L18040">
        <v>309</v>
      </c>
      <c r="M18040">
        <v>1</v>
      </c>
      <c r="N18040">
        <v>1.3359E-71</v>
      </c>
      <c r="O18040">
        <v>683</v>
      </c>
    </row>
    <row r="18041" spans="1:15" x14ac:dyDescent="0.25">
      <c r="A18041" t="s">
        <v>18054</v>
      </c>
      <c r="B18041">
        <v>866</v>
      </c>
      <c r="C18041" s="1" t="str">
        <f>HYPERLINK("http://www.rosaceae.org/gb/gbrowse/malus_x_domestica/?name=MDP0000320206","MDP0000320206")</f>
        <v>MDP0000320206</v>
      </c>
      <c r="D18041">
        <v>69.69</v>
      </c>
      <c r="E18041">
        <v>871</v>
      </c>
      <c r="F18041">
        <v>264</v>
      </c>
      <c r="G18041">
        <v>23</v>
      </c>
      <c r="H18041">
        <v>1</v>
      </c>
      <c r="I18041">
        <v>855</v>
      </c>
      <c r="J18041">
        <v>1</v>
      </c>
      <c r="K18041">
        <v>124</v>
      </c>
      <c r="L18041">
        <v>987</v>
      </c>
      <c r="M18041">
        <v>1</v>
      </c>
      <c r="N18041">
        <v>0</v>
      </c>
      <c r="O18041">
        <v>3060</v>
      </c>
    </row>
    <row r="18042" spans="1:15" x14ac:dyDescent="0.25">
      <c r="A18042" t="s">
        <v>18055</v>
      </c>
      <c r="B18042">
        <v>811</v>
      </c>
      <c r="C18042" s="1" t="str">
        <f>HYPERLINK("http://www.rosaceae.org/gb/gbrowse/malus_x_domestica/?name=MDP0000247737","MDP0000247737")</f>
        <v>MDP0000247737</v>
      </c>
      <c r="D18042">
        <v>64.540000000000006</v>
      </c>
      <c r="E18042">
        <v>770</v>
      </c>
      <c r="F18042">
        <v>273</v>
      </c>
      <c r="G18042">
        <v>24</v>
      </c>
      <c r="H18042">
        <v>1</v>
      </c>
      <c r="I18042">
        <v>763</v>
      </c>
      <c r="J18042">
        <v>1</v>
      </c>
      <c r="K18042">
        <v>1</v>
      </c>
      <c r="L18042">
        <v>753</v>
      </c>
      <c r="M18042">
        <v>1</v>
      </c>
      <c r="N18042">
        <v>0</v>
      </c>
      <c r="O18042">
        <v>2454</v>
      </c>
    </row>
    <row r="18043" spans="1:15" x14ac:dyDescent="0.25">
      <c r="A18043" t="s">
        <v>18056</v>
      </c>
      <c r="B18043">
        <v>207</v>
      </c>
      <c r="C18043" s="1" t="str">
        <f>HYPERLINK("http://www.rosaceae.org/gb/gbrowse/malus_x_domestica/?name=MDP0000336695","MDP0000336695")</f>
        <v>MDP0000336695</v>
      </c>
      <c r="D18043">
        <v>75.75</v>
      </c>
      <c r="E18043">
        <v>66</v>
      </c>
      <c r="F18043">
        <v>16</v>
      </c>
      <c r="G18043">
        <v>0</v>
      </c>
      <c r="H18043">
        <v>141</v>
      </c>
      <c r="I18043">
        <v>206</v>
      </c>
      <c r="J18043">
        <v>1</v>
      </c>
      <c r="K18043">
        <v>55</v>
      </c>
      <c r="L18043">
        <v>120</v>
      </c>
      <c r="M18043">
        <v>1</v>
      </c>
      <c r="N18043">
        <v>1.0201100000000001E-26</v>
      </c>
      <c r="O18043">
        <v>292</v>
      </c>
    </row>
    <row r="18044" spans="1:15" x14ac:dyDescent="0.25">
      <c r="A18044" t="s">
        <v>18057</v>
      </c>
      <c r="B18044">
        <v>906</v>
      </c>
      <c r="C18044" s="1" t="str">
        <f>HYPERLINK("http://www.rosaceae.org/gb/gbrowse/malus_x_domestica/?name=MDP0000750097","MDP0000750097")</f>
        <v>MDP0000750097</v>
      </c>
      <c r="D18044">
        <v>74.69</v>
      </c>
      <c r="E18044">
        <v>415</v>
      </c>
      <c r="F18044">
        <v>105</v>
      </c>
      <c r="G18044">
        <v>3</v>
      </c>
      <c r="H18044">
        <v>150</v>
      </c>
      <c r="I18044">
        <v>561</v>
      </c>
      <c r="J18044">
        <v>1</v>
      </c>
      <c r="K18044">
        <v>409</v>
      </c>
      <c r="L18044">
        <v>823</v>
      </c>
      <c r="M18044">
        <v>1</v>
      </c>
      <c r="N18044">
        <v>1.7458399999999999E-177</v>
      </c>
      <c r="O18044">
        <v>1600</v>
      </c>
    </row>
    <row r="18045" spans="1:15" x14ac:dyDescent="0.25">
      <c r="A18045" t="s">
        <v>18058</v>
      </c>
      <c r="B18045">
        <v>293</v>
      </c>
      <c r="C18045" s="1" t="str">
        <f>HYPERLINK("http://www.rosaceae.org/gb/gbrowse/malus_x_domestica/?name=MDP0000282778","MDP0000282778")</f>
        <v>MDP0000282778</v>
      </c>
      <c r="D18045">
        <v>36.93</v>
      </c>
      <c r="E18045">
        <v>222</v>
      </c>
      <c r="F18045">
        <v>140</v>
      </c>
      <c r="G18045">
        <v>15</v>
      </c>
      <c r="H18045">
        <v>73</v>
      </c>
      <c r="I18045">
        <v>288</v>
      </c>
      <c r="J18045">
        <v>1</v>
      </c>
      <c r="K18045">
        <v>284</v>
      </c>
      <c r="L18045">
        <v>496</v>
      </c>
      <c r="M18045">
        <v>1</v>
      </c>
      <c r="N18045">
        <v>5.6903400000000001E-24</v>
      </c>
      <c r="O18045">
        <v>271</v>
      </c>
    </row>
    <row r="18046" spans="1:15" x14ac:dyDescent="0.25">
      <c r="A18046" t="s">
        <v>18059</v>
      </c>
      <c r="B18046">
        <v>452</v>
      </c>
      <c r="C18046" s="1" t="str">
        <f>HYPERLINK("http://www.rosaceae.org/gb/gbrowse/malus_x_domestica/?name=MDP0000836141","MDP0000836141")</f>
        <v>MDP0000836141</v>
      </c>
      <c r="D18046">
        <v>72.58</v>
      </c>
      <c r="E18046">
        <v>434</v>
      </c>
      <c r="F18046">
        <v>119</v>
      </c>
      <c r="G18046">
        <v>1</v>
      </c>
      <c r="H18046">
        <v>16</v>
      </c>
      <c r="I18046">
        <v>449</v>
      </c>
      <c r="J18046">
        <v>1</v>
      </c>
      <c r="K18046">
        <v>27</v>
      </c>
      <c r="L18046">
        <v>459</v>
      </c>
      <c r="M18046">
        <v>1</v>
      </c>
      <c r="N18046">
        <v>0</v>
      </c>
      <c r="O18046">
        <v>1712</v>
      </c>
    </row>
    <row r="18047" spans="1:15" x14ac:dyDescent="0.25">
      <c r="A18047" t="s">
        <v>18060</v>
      </c>
      <c r="B18047">
        <v>226</v>
      </c>
      <c r="C18047" s="1" t="str">
        <f>HYPERLINK("http://www.rosaceae.org/gb/gbrowse/malus_x_domestica/?name=MDP0000300444","MDP0000300444")</f>
        <v>MDP0000300444</v>
      </c>
      <c r="D18047">
        <v>66.239999999999995</v>
      </c>
      <c r="E18047">
        <v>157</v>
      </c>
      <c r="F18047">
        <v>53</v>
      </c>
      <c r="G18047">
        <v>1</v>
      </c>
      <c r="H18047">
        <v>66</v>
      </c>
      <c r="I18047">
        <v>222</v>
      </c>
      <c r="J18047">
        <v>1</v>
      </c>
      <c r="K18047">
        <v>226</v>
      </c>
      <c r="L18047">
        <v>381</v>
      </c>
      <c r="M18047">
        <v>1</v>
      </c>
      <c r="N18047">
        <v>9.7080800000000005E-55</v>
      </c>
      <c r="O18047">
        <v>534</v>
      </c>
    </row>
    <row r="18048" spans="1:15" x14ac:dyDescent="0.25">
      <c r="A18048" t="s">
        <v>18061</v>
      </c>
      <c r="B18048">
        <v>377</v>
      </c>
      <c r="C18048" s="1" t="str">
        <f>HYPERLINK("http://www.rosaceae.org/gb/gbrowse/malus_x_domestica/?name=MDP0000308312","MDP0000308312")</f>
        <v>MDP0000308312</v>
      </c>
      <c r="D18048">
        <v>56.41</v>
      </c>
      <c r="E18048">
        <v>39</v>
      </c>
      <c r="F18048">
        <v>17</v>
      </c>
      <c r="G18048">
        <v>0</v>
      </c>
      <c r="H18048">
        <v>176</v>
      </c>
      <c r="I18048">
        <v>214</v>
      </c>
      <c r="J18048">
        <v>1</v>
      </c>
      <c r="K18048">
        <v>259</v>
      </c>
      <c r="L18048">
        <v>297</v>
      </c>
      <c r="M18048">
        <v>1</v>
      </c>
      <c r="N18048">
        <v>3.3275800000000002E-7</v>
      </c>
      <c r="O18048">
        <v>127</v>
      </c>
    </row>
    <row r="18049" spans="1:15" x14ac:dyDescent="0.25">
      <c r="A18049" t="s">
        <v>18062</v>
      </c>
      <c r="B18049">
        <v>294</v>
      </c>
      <c r="C18049" s="1" t="str">
        <f>HYPERLINK("http://www.rosaceae.org/gb/gbrowse/malus_x_domestica/?name=MDP0000290336","MDP0000290336")</f>
        <v>MDP0000290336</v>
      </c>
      <c r="D18049">
        <v>98.43</v>
      </c>
      <c r="E18049">
        <v>256</v>
      </c>
      <c r="F18049">
        <v>4</v>
      </c>
      <c r="G18049">
        <v>0</v>
      </c>
      <c r="H18049">
        <v>37</v>
      </c>
      <c r="I18049">
        <v>292</v>
      </c>
      <c r="J18049">
        <v>1</v>
      </c>
      <c r="K18049">
        <v>1</v>
      </c>
      <c r="L18049">
        <v>256</v>
      </c>
      <c r="M18049">
        <v>1</v>
      </c>
      <c r="N18049">
        <v>1.8977200000000001E-146</v>
      </c>
      <c r="O18049">
        <v>1327</v>
      </c>
    </row>
    <row r="18050" spans="1:15" x14ac:dyDescent="0.25">
      <c r="A18050" t="s">
        <v>18063</v>
      </c>
      <c r="B18050">
        <v>296</v>
      </c>
      <c r="C18050" s="1" t="str">
        <f>HYPERLINK("http://www.rosaceae.org/gb/gbrowse/malus_x_domestica/?name=MDP0000311522","MDP0000311522")</f>
        <v>MDP0000311522</v>
      </c>
      <c r="D18050">
        <v>58.33</v>
      </c>
      <c r="E18050">
        <v>228</v>
      </c>
      <c r="F18050">
        <v>95</v>
      </c>
      <c r="G18050">
        <v>32</v>
      </c>
      <c r="H18050">
        <v>101</v>
      </c>
      <c r="I18050">
        <v>296</v>
      </c>
      <c r="J18050">
        <v>1</v>
      </c>
      <c r="K18050">
        <v>430</v>
      </c>
      <c r="L18050">
        <v>657</v>
      </c>
      <c r="M18050">
        <v>1</v>
      </c>
      <c r="N18050">
        <v>1.04907E-68</v>
      </c>
      <c r="O18050">
        <v>656</v>
      </c>
    </row>
    <row r="18051" spans="1:15" x14ac:dyDescent="0.25">
      <c r="A18051" t="s">
        <v>18064</v>
      </c>
      <c r="B18051">
        <v>374</v>
      </c>
      <c r="C18051" s="1" t="str">
        <f>HYPERLINK("http://www.rosaceae.org/gb/gbrowse/malus_x_domestica/?name=MDP0000231567","MDP0000231567")</f>
        <v>MDP0000231567</v>
      </c>
      <c r="D18051">
        <v>76.849999999999994</v>
      </c>
      <c r="E18051">
        <v>108</v>
      </c>
      <c r="F18051">
        <v>25</v>
      </c>
      <c r="G18051">
        <v>0</v>
      </c>
      <c r="H18051">
        <v>124</v>
      </c>
      <c r="I18051">
        <v>231</v>
      </c>
      <c r="J18051">
        <v>1</v>
      </c>
      <c r="K18051">
        <v>226</v>
      </c>
      <c r="L18051">
        <v>333</v>
      </c>
      <c r="M18051">
        <v>1</v>
      </c>
      <c r="N18051">
        <v>2.0416499999999999E-42</v>
      </c>
      <c r="O18051">
        <v>431</v>
      </c>
    </row>
    <row r="18052" spans="1:15" x14ac:dyDescent="0.25">
      <c r="A18052" t="s">
        <v>18065</v>
      </c>
      <c r="B18052">
        <v>351</v>
      </c>
      <c r="C18052" s="1" t="str">
        <f>HYPERLINK("http://www.rosaceae.org/gb/gbrowse/malus_x_domestica/?name=MDP0000906726","MDP0000906726")</f>
        <v>MDP0000906726</v>
      </c>
      <c r="D18052">
        <v>50.93</v>
      </c>
      <c r="E18052">
        <v>214</v>
      </c>
      <c r="F18052">
        <v>105</v>
      </c>
      <c r="G18052">
        <v>22</v>
      </c>
      <c r="H18052">
        <v>1</v>
      </c>
      <c r="I18052">
        <v>209</v>
      </c>
      <c r="J18052">
        <v>1</v>
      </c>
      <c r="K18052">
        <v>1</v>
      </c>
      <c r="L18052">
        <v>197</v>
      </c>
      <c r="M18052">
        <v>1</v>
      </c>
      <c r="N18052">
        <v>3.9472600000000001E-48</v>
      </c>
      <c r="O18052">
        <v>480</v>
      </c>
    </row>
    <row r="18053" spans="1:15" x14ac:dyDescent="0.25">
      <c r="A18053" t="s">
        <v>18066</v>
      </c>
      <c r="B18053">
        <v>311</v>
      </c>
      <c r="C18053" s="1" t="str">
        <f>HYPERLINK("http://www.rosaceae.org/gb/gbrowse/malus_x_domestica/?name=MDP0000201190","MDP0000201190")</f>
        <v>MDP0000201190</v>
      </c>
      <c r="D18053">
        <v>59.48</v>
      </c>
      <c r="E18053">
        <v>232</v>
      </c>
      <c r="F18053">
        <v>94</v>
      </c>
      <c r="G18053">
        <v>11</v>
      </c>
      <c r="H18053">
        <v>39</v>
      </c>
      <c r="I18053">
        <v>261</v>
      </c>
      <c r="J18053">
        <v>1</v>
      </c>
      <c r="K18053">
        <v>747</v>
      </c>
      <c r="L18053">
        <v>976</v>
      </c>
      <c r="M18053">
        <v>1</v>
      </c>
      <c r="N18053">
        <v>3.1020100000000001E-69</v>
      </c>
      <c r="O18053">
        <v>661</v>
      </c>
    </row>
    <row r="18054" spans="1:15" x14ac:dyDescent="0.25">
      <c r="A18054" t="s">
        <v>18067</v>
      </c>
      <c r="B18054">
        <v>460</v>
      </c>
      <c r="C18054" s="1" t="str">
        <f>HYPERLINK("http://www.rosaceae.org/gb/gbrowse/malus_x_domestica/?name=MDP0000201281","MDP0000201281")</f>
        <v>MDP0000201281</v>
      </c>
      <c r="D18054">
        <v>54.54</v>
      </c>
      <c r="E18054">
        <v>451</v>
      </c>
      <c r="F18054">
        <v>205</v>
      </c>
      <c r="G18054">
        <v>67</v>
      </c>
      <c r="H18054">
        <v>66</v>
      </c>
      <c r="I18054">
        <v>451</v>
      </c>
      <c r="J18054">
        <v>1</v>
      </c>
      <c r="K18054">
        <v>336</v>
      </c>
      <c r="L18054">
        <v>784</v>
      </c>
      <c r="M18054">
        <v>1</v>
      </c>
      <c r="N18054">
        <v>1.72328E-128</v>
      </c>
      <c r="O18054">
        <v>1174</v>
      </c>
    </row>
    <row r="18055" spans="1:15" x14ac:dyDescent="0.25">
      <c r="A18055" t="s">
        <v>18068</v>
      </c>
      <c r="B18055">
        <v>305</v>
      </c>
      <c r="C18055" s="1" t="str">
        <f>HYPERLINK("http://www.rosaceae.org/gb/gbrowse/malus_x_domestica/?name=MDP0000196329","MDP0000196329")</f>
        <v>MDP0000196329</v>
      </c>
      <c r="D18055">
        <v>45.65</v>
      </c>
      <c r="E18055">
        <v>276</v>
      </c>
      <c r="F18055">
        <v>150</v>
      </c>
      <c r="G18055">
        <v>34</v>
      </c>
      <c r="H18055">
        <v>23</v>
      </c>
      <c r="I18055">
        <v>276</v>
      </c>
      <c r="J18055">
        <v>1</v>
      </c>
      <c r="K18055">
        <v>50</v>
      </c>
      <c r="L18055">
        <v>313</v>
      </c>
      <c r="M18055">
        <v>1</v>
      </c>
      <c r="N18055">
        <v>8.9566499999999993E-52</v>
      </c>
      <c r="O18055">
        <v>511</v>
      </c>
    </row>
    <row r="18056" spans="1:15" x14ac:dyDescent="0.25">
      <c r="A18056" t="s">
        <v>18069</v>
      </c>
      <c r="B18056">
        <v>493</v>
      </c>
      <c r="C18056" s="1" t="str">
        <f>HYPERLINK("http://www.rosaceae.org/gb/gbrowse/malus_x_domestica/?name=MDP0000289923","MDP0000289923")</f>
        <v>MDP0000289923</v>
      </c>
      <c r="D18056">
        <v>59.8</v>
      </c>
      <c r="E18056">
        <v>510</v>
      </c>
      <c r="F18056">
        <v>205</v>
      </c>
      <c r="G18056">
        <v>30</v>
      </c>
      <c r="H18056">
        <v>5</v>
      </c>
      <c r="I18056">
        <v>485</v>
      </c>
      <c r="J18056">
        <v>1</v>
      </c>
      <c r="K18056">
        <v>15</v>
      </c>
      <c r="L18056">
        <v>523</v>
      </c>
      <c r="M18056">
        <v>1</v>
      </c>
      <c r="N18056">
        <v>0</v>
      </c>
      <c r="O18056">
        <v>1635</v>
      </c>
    </row>
    <row r="18057" spans="1:15" x14ac:dyDescent="0.25">
      <c r="A18057" t="s">
        <v>18070</v>
      </c>
      <c r="B18057">
        <v>149</v>
      </c>
      <c r="C18057" s="1" t="str">
        <f>HYPERLINK("http://www.rosaceae.org/gb/gbrowse/malus_x_domestica/?name=MDP0000922391","MDP0000922391")</f>
        <v>MDP0000922391</v>
      </c>
      <c r="D18057">
        <v>83.33</v>
      </c>
      <c r="E18057">
        <v>144</v>
      </c>
      <c r="F18057">
        <v>24</v>
      </c>
      <c r="G18057">
        <v>4</v>
      </c>
      <c r="H18057">
        <v>10</v>
      </c>
      <c r="I18057">
        <v>149</v>
      </c>
      <c r="J18057">
        <v>1</v>
      </c>
      <c r="K18057">
        <v>9</v>
      </c>
      <c r="L18057">
        <v>152</v>
      </c>
      <c r="M18057">
        <v>1</v>
      </c>
      <c r="N18057">
        <v>4.6192199999999998E-63</v>
      </c>
      <c r="O18057">
        <v>603</v>
      </c>
    </row>
    <row r="18058" spans="1:15" x14ac:dyDescent="0.25">
      <c r="A18058" t="s">
        <v>18071</v>
      </c>
      <c r="B18058">
        <v>349</v>
      </c>
      <c r="C18058" s="1" t="str">
        <f>HYPERLINK("http://www.rosaceae.org/gb/gbrowse/malus_x_domestica/?name=MDP0000320742","MDP0000320742")</f>
        <v>MDP0000320742</v>
      </c>
      <c r="D18058">
        <v>73.13</v>
      </c>
      <c r="E18058">
        <v>268</v>
      </c>
      <c r="F18058">
        <v>72</v>
      </c>
      <c r="G18058">
        <v>38</v>
      </c>
      <c r="H18058">
        <v>29</v>
      </c>
      <c r="I18058">
        <v>296</v>
      </c>
      <c r="J18058">
        <v>1</v>
      </c>
      <c r="K18058">
        <v>686</v>
      </c>
      <c r="L18058">
        <v>915</v>
      </c>
      <c r="M18058">
        <v>1</v>
      </c>
      <c r="N18058">
        <v>1.7391399999999999E-113</v>
      </c>
      <c r="O18058">
        <v>1043</v>
      </c>
    </row>
    <row r="18059" spans="1:15" x14ac:dyDescent="0.25">
      <c r="A18059" t="s">
        <v>18072</v>
      </c>
      <c r="B18059">
        <v>346</v>
      </c>
      <c r="C18059" s="1" t="str">
        <f>HYPERLINK("http://www.rosaceae.org/gb/gbrowse/malus_x_domestica/?name=MDP0000563788","MDP0000563788")</f>
        <v>MDP0000563788</v>
      </c>
      <c r="D18059">
        <v>78.75</v>
      </c>
      <c r="E18059">
        <v>320</v>
      </c>
      <c r="F18059">
        <v>68</v>
      </c>
      <c r="G18059">
        <v>1</v>
      </c>
      <c r="H18059">
        <v>28</v>
      </c>
      <c r="I18059">
        <v>346</v>
      </c>
      <c r="J18059">
        <v>1</v>
      </c>
      <c r="K18059">
        <v>87</v>
      </c>
      <c r="L18059">
        <v>406</v>
      </c>
      <c r="M18059">
        <v>1</v>
      </c>
      <c r="N18059">
        <v>5.8479300000000001E-147</v>
      </c>
      <c r="O18059">
        <v>1332</v>
      </c>
    </row>
    <row r="18060" spans="1:15" x14ac:dyDescent="0.25">
      <c r="A18060" t="s">
        <v>18073</v>
      </c>
      <c r="B18060">
        <v>518</v>
      </c>
      <c r="C18060" s="1" t="str">
        <f>HYPERLINK("http://www.rosaceae.org/gb/gbrowse/malus_x_domestica/?name=MDP0000229812","MDP0000229812")</f>
        <v>MDP0000229812</v>
      </c>
      <c r="D18060">
        <v>44.68</v>
      </c>
      <c r="E18060">
        <v>282</v>
      </c>
      <c r="F18060">
        <v>156</v>
      </c>
      <c r="G18060">
        <v>29</v>
      </c>
      <c r="H18060">
        <v>239</v>
      </c>
      <c r="I18060">
        <v>518</v>
      </c>
      <c r="J18060">
        <v>1</v>
      </c>
      <c r="K18060">
        <v>153</v>
      </c>
      <c r="L18060">
        <v>407</v>
      </c>
      <c r="M18060">
        <v>1</v>
      </c>
      <c r="N18060">
        <v>3.4501400000000001E-50</v>
      </c>
      <c r="O18060">
        <v>499</v>
      </c>
    </row>
    <row r="18061" spans="1:15" x14ac:dyDescent="0.25">
      <c r="A18061" t="s">
        <v>18074</v>
      </c>
      <c r="B18061">
        <v>111</v>
      </c>
      <c r="C18061" s="1" t="str">
        <f>HYPERLINK("http://www.rosaceae.org/gb/gbrowse/malus_x_domestica/?name=MDP0000120287","MDP0000120287")</f>
        <v>MDP0000120287</v>
      </c>
      <c r="D18061">
        <v>58.75</v>
      </c>
      <c r="E18061">
        <v>80</v>
      </c>
      <c r="F18061">
        <v>33</v>
      </c>
      <c r="G18061">
        <v>9</v>
      </c>
      <c r="H18061">
        <v>1</v>
      </c>
      <c r="I18061">
        <v>78</v>
      </c>
      <c r="J18061">
        <v>1</v>
      </c>
      <c r="K18061">
        <v>1</v>
      </c>
      <c r="L18061">
        <v>73</v>
      </c>
      <c r="M18061">
        <v>1</v>
      </c>
      <c r="N18061">
        <v>2.9677699999999997E-17</v>
      </c>
      <c r="O18061">
        <v>206</v>
      </c>
    </row>
    <row r="18062" spans="1:15" x14ac:dyDescent="0.25">
      <c r="A18062" t="s">
        <v>18075</v>
      </c>
      <c r="B18062">
        <v>250</v>
      </c>
      <c r="C18062" s="1" t="str">
        <f>HYPERLINK("http://www.rosaceae.org/gb/gbrowse/malus_x_domestica/?name=MDP0000149857","MDP0000149857")</f>
        <v>MDP0000149857</v>
      </c>
      <c r="D18062">
        <v>48</v>
      </c>
      <c r="E18062">
        <v>75</v>
      </c>
      <c r="F18062">
        <v>39</v>
      </c>
      <c r="G18062">
        <v>6</v>
      </c>
      <c r="H18062">
        <v>119</v>
      </c>
      <c r="I18062">
        <v>189</v>
      </c>
      <c r="J18062">
        <v>1</v>
      </c>
      <c r="K18062">
        <v>52</v>
      </c>
      <c r="L18062">
        <v>124</v>
      </c>
      <c r="M18062">
        <v>1</v>
      </c>
      <c r="N18062">
        <v>8.8650899999999995E-13</v>
      </c>
      <c r="O18062">
        <v>173</v>
      </c>
    </row>
    <row r="18063" spans="1:15" x14ac:dyDescent="0.25">
      <c r="A18063" t="s">
        <v>18076</v>
      </c>
      <c r="B18063">
        <v>537</v>
      </c>
      <c r="C18063" s="1" t="str">
        <f>HYPERLINK("http://www.rosaceae.org/gb/gbrowse/malus_x_domestica/?name=MDP0000220009","MDP0000220009")</f>
        <v>MDP0000220009</v>
      </c>
      <c r="D18063">
        <v>46.94</v>
      </c>
      <c r="E18063">
        <v>311</v>
      </c>
      <c r="F18063">
        <v>165</v>
      </c>
      <c r="G18063">
        <v>18</v>
      </c>
      <c r="H18063">
        <v>3</v>
      </c>
      <c r="I18063">
        <v>310</v>
      </c>
      <c r="J18063">
        <v>1</v>
      </c>
      <c r="K18063">
        <v>20</v>
      </c>
      <c r="L18063">
        <v>315</v>
      </c>
      <c r="M18063">
        <v>1</v>
      </c>
      <c r="N18063">
        <v>4.0409E-64</v>
      </c>
      <c r="O18063">
        <v>620</v>
      </c>
    </row>
    <row r="18064" spans="1:15" x14ac:dyDescent="0.25">
      <c r="A18064" t="s">
        <v>18077</v>
      </c>
      <c r="B18064">
        <v>1125</v>
      </c>
      <c r="C18064" s="1" t="str">
        <f>HYPERLINK("http://www.rosaceae.org/gb/gbrowse/malus_x_domestica/?name=MDP0000283451","MDP0000283451")</f>
        <v>MDP0000283451</v>
      </c>
      <c r="D18064">
        <v>54.12</v>
      </c>
      <c r="E18064">
        <v>678</v>
      </c>
      <c r="F18064">
        <v>311</v>
      </c>
      <c r="G18064">
        <v>33</v>
      </c>
      <c r="H18064">
        <v>194</v>
      </c>
      <c r="I18064">
        <v>864</v>
      </c>
      <c r="J18064">
        <v>1</v>
      </c>
      <c r="K18064">
        <v>123</v>
      </c>
      <c r="L18064">
        <v>774</v>
      </c>
      <c r="M18064">
        <v>1</v>
      </c>
      <c r="N18064">
        <v>0</v>
      </c>
      <c r="O18064">
        <v>1853</v>
      </c>
    </row>
    <row r="18065" spans="1:15" x14ac:dyDescent="0.25">
      <c r="A18065" t="s">
        <v>18078</v>
      </c>
      <c r="B18065">
        <v>104</v>
      </c>
      <c r="C18065" s="1" t="str">
        <f>HYPERLINK("http://www.rosaceae.org/gb/gbrowse/malus_x_domestica/?name=MDP0000249769","MDP0000249769")</f>
        <v>MDP0000249769</v>
      </c>
      <c r="D18065">
        <v>77.77</v>
      </c>
      <c r="E18065">
        <v>72</v>
      </c>
      <c r="F18065">
        <v>16</v>
      </c>
      <c r="G18065">
        <v>0</v>
      </c>
      <c r="H18065">
        <v>23</v>
      </c>
      <c r="I18065">
        <v>94</v>
      </c>
      <c r="J18065">
        <v>1</v>
      </c>
      <c r="K18065">
        <v>461</v>
      </c>
      <c r="L18065">
        <v>532</v>
      </c>
      <c r="M18065">
        <v>1</v>
      </c>
      <c r="N18065">
        <v>5.4224800000000003E-28</v>
      </c>
      <c r="O18065">
        <v>299</v>
      </c>
    </row>
    <row r="18066" spans="1:15" x14ac:dyDescent="0.25">
      <c r="A18066" t="s">
        <v>18079</v>
      </c>
      <c r="B18066">
        <v>335</v>
      </c>
      <c r="C18066" s="1" t="str">
        <f>HYPERLINK("http://www.rosaceae.org/gb/gbrowse/malus_x_domestica/?name=MDP0000262005","MDP0000262005")</f>
        <v>MDP0000262005</v>
      </c>
      <c r="D18066">
        <v>65.16</v>
      </c>
      <c r="E18066">
        <v>333</v>
      </c>
      <c r="F18066">
        <v>116</v>
      </c>
      <c r="G18066">
        <v>16</v>
      </c>
      <c r="H18066">
        <v>19</v>
      </c>
      <c r="I18066">
        <v>335</v>
      </c>
      <c r="J18066">
        <v>1</v>
      </c>
      <c r="K18066">
        <v>1079</v>
      </c>
      <c r="L18066">
        <v>1411</v>
      </c>
      <c r="M18066">
        <v>1</v>
      </c>
      <c r="N18066">
        <v>1.86799E-124</v>
      </c>
      <c r="O18066">
        <v>1138</v>
      </c>
    </row>
    <row r="18067" spans="1:15" x14ac:dyDescent="0.25">
      <c r="A18067" t="s">
        <v>18080</v>
      </c>
      <c r="B18067">
        <v>1147</v>
      </c>
      <c r="C18067" s="1" t="str">
        <f>HYPERLINK("http://www.rosaceae.org/gb/gbrowse/malus_x_domestica/?name=MDP0000229275","MDP0000229275")</f>
        <v>MDP0000229275</v>
      </c>
      <c r="D18067">
        <v>80.209999999999994</v>
      </c>
      <c r="E18067">
        <v>1041</v>
      </c>
      <c r="F18067">
        <v>206</v>
      </c>
      <c r="G18067">
        <v>2</v>
      </c>
      <c r="H18067">
        <v>66</v>
      </c>
      <c r="I18067">
        <v>1106</v>
      </c>
      <c r="J18067">
        <v>1</v>
      </c>
      <c r="K18067">
        <v>67</v>
      </c>
      <c r="L18067">
        <v>1105</v>
      </c>
      <c r="M18067">
        <v>1</v>
      </c>
      <c r="N18067">
        <v>0</v>
      </c>
      <c r="O18067">
        <v>4241</v>
      </c>
    </row>
    <row r="18068" spans="1:15" x14ac:dyDescent="0.25">
      <c r="A18068" t="s">
        <v>18081</v>
      </c>
      <c r="B18068">
        <v>433</v>
      </c>
      <c r="C18068" s="1" t="str">
        <f>HYPERLINK("http://www.rosaceae.org/gb/gbrowse/malus_x_domestica/?name=MDP0000320263","MDP0000320263")</f>
        <v>MDP0000320263</v>
      </c>
      <c r="D18068">
        <v>58.89</v>
      </c>
      <c r="E18068">
        <v>433</v>
      </c>
      <c r="F18068">
        <v>178</v>
      </c>
      <c r="G18068">
        <v>26</v>
      </c>
      <c r="H18068">
        <v>25</v>
      </c>
      <c r="I18068">
        <v>433</v>
      </c>
      <c r="J18068">
        <v>1</v>
      </c>
      <c r="K18068">
        <v>1</v>
      </c>
      <c r="L18068">
        <v>431</v>
      </c>
      <c r="M18068">
        <v>1</v>
      </c>
      <c r="N18068">
        <v>3.5808800000000002E-146</v>
      </c>
      <c r="O18068">
        <v>1326</v>
      </c>
    </row>
    <row r="18069" spans="1:15" x14ac:dyDescent="0.25">
      <c r="A18069" t="s">
        <v>18082</v>
      </c>
      <c r="B18069">
        <v>224</v>
      </c>
      <c r="C18069" s="1" t="str">
        <f>HYPERLINK("http://www.rosaceae.org/gb/gbrowse/malus_x_domestica/?name=MDP0000274423","MDP0000274423")</f>
        <v>MDP0000274423</v>
      </c>
      <c r="D18069">
        <v>68.849999999999994</v>
      </c>
      <c r="E18069">
        <v>228</v>
      </c>
      <c r="F18069">
        <v>71</v>
      </c>
      <c r="G18069">
        <v>37</v>
      </c>
      <c r="H18069">
        <v>30</v>
      </c>
      <c r="I18069">
        <v>220</v>
      </c>
      <c r="J18069">
        <v>1</v>
      </c>
      <c r="K18069">
        <v>130</v>
      </c>
      <c r="L18069">
        <v>357</v>
      </c>
      <c r="M18069">
        <v>1</v>
      </c>
      <c r="N18069">
        <v>5.9375699999999999E-84</v>
      </c>
      <c r="O18069">
        <v>786</v>
      </c>
    </row>
    <row r="18070" spans="1:15" x14ac:dyDescent="0.25">
      <c r="A18070" t="s">
        <v>18083</v>
      </c>
      <c r="B18070">
        <v>556</v>
      </c>
      <c r="C18070" s="1" t="str">
        <f>HYPERLINK("http://www.rosaceae.org/gb/gbrowse/malus_x_domestica/?name=MDP0000500159","MDP0000500159")</f>
        <v>MDP0000500159</v>
      </c>
      <c r="D18070">
        <v>41.53</v>
      </c>
      <c r="E18070">
        <v>508</v>
      </c>
      <c r="F18070">
        <v>297</v>
      </c>
      <c r="G18070">
        <v>21</v>
      </c>
      <c r="H18070">
        <v>54</v>
      </c>
      <c r="I18070">
        <v>549</v>
      </c>
      <c r="J18070">
        <v>1</v>
      </c>
      <c r="K18070">
        <v>50</v>
      </c>
      <c r="L18070">
        <v>548</v>
      </c>
      <c r="M18070">
        <v>1</v>
      </c>
      <c r="N18070">
        <v>1.8145999999999999E-105</v>
      </c>
      <c r="O18070">
        <v>976</v>
      </c>
    </row>
    <row r="18071" spans="1:15" x14ac:dyDescent="0.25">
      <c r="A18071" t="s">
        <v>18084</v>
      </c>
      <c r="B18071">
        <v>477</v>
      </c>
      <c r="C18071" s="1" t="str">
        <f>HYPERLINK("http://www.rosaceae.org/gb/gbrowse/malus_x_domestica/?name=MDP0000143844","MDP0000143844")</f>
        <v>MDP0000143844</v>
      </c>
      <c r="D18071">
        <v>59.01</v>
      </c>
      <c r="E18071">
        <v>466</v>
      </c>
      <c r="F18071">
        <v>191</v>
      </c>
      <c r="G18071">
        <v>21</v>
      </c>
      <c r="H18071">
        <v>30</v>
      </c>
      <c r="I18071">
        <v>477</v>
      </c>
      <c r="J18071">
        <v>1</v>
      </c>
      <c r="K18071">
        <v>2</v>
      </c>
      <c r="L18071">
        <v>464</v>
      </c>
      <c r="M18071">
        <v>1</v>
      </c>
      <c r="N18071">
        <v>1.6511199999999999E-150</v>
      </c>
      <c r="O18071">
        <v>1364</v>
      </c>
    </row>
    <row r="18072" spans="1:15" x14ac:dyDescent="0.25">
      <c r="A18072" t="s">
        <v>18085</v>
      </c>
      <c r="B18072">
        <v>213</v>
      </c>
      <c r="C18072" s="1" t="str">
        <f>HYPERLINK("http://www.rosaceae.org/gb/gbrowse/malus_x_domestica/?name=MDP0000188813","MDP0000188813")</f>
        <v>MDP0000188813</v>
      </c>
      <c r="D18072">
        <v>43.38</v>
      </c>
      <c r="E18072">
        <v>242</v>
      </c>
      <c r="F18072">
        <v>137</v>
      </c>
      <c r="G18072">
        <v>45</v>
      </c>
      <c r="H18072">
        <v>4</v>
      </c>
      <c r="I18072">
        <v>211</v>
      </c>
      <c r="J18072">
        <v>1</v>
      </c>
      <c r="K18072">
        <v>5</v>
      </c>
      <c r="L18072">
        <v>235</v>
      </c>
      <c r="M18072">
        <v>1</v>
      </c>
      <c r="N18072">
        <v>7.7386500000000001E-44</v>
      </c>
      <c r="O18072">
        <v>440</v>
      </c>
    </row>
    <row r="18073" spans="1:15" x14ac:dyDescent="0.25">
      <c r="A18073" t="s">
        <v>18086</v>
      </c>
      <c r="B18073">
        <v>207</v>
      </c>
      <c r="C18073" s="1" t="str">
        <f>HYPERLINK("http://www.rosaceae.org/gb/gbrowse/malus_x_domestica/?name=MDP0000124297","MDP0000124297")</f>
        <v>MDP0000124297</v>
      </c>
      <c r="D18073">
        <v>58.91</v>
      </c>
      <c r="E18073">
        <v>129</v>
      </c>
      <c r="F18073">
        <v>53</v>
      </c>
      <c r="G18073">
        <v>14</v>
      </c>
      <c r="H18073">
        <v>62</v>
      </c>
      <c r="I18073">
        <v>176</v>
      </c>
      <c r="J18073">
        <v>1</v>
      </c>
      <c r="K18073">
        <v>20</v>
      </c>
      <c r="L18073">
        <v>148</v>
      </c>
      <c r="M18073">
        <v>1</v>
      </c>
      <c r="N18073">
        <v>5.3903000000000004E-40</v>
      </c>
      <c r="O18073">
        <v>407</v>
      </c>
    </row>
    <row r="18074" spans="1:15" x14ac:dyDescent="0.25">
      <c r="A18074" t="s">
        <v>18087</v>
      </c>
      <c r="B18074">
        <v>303</v>
      </c>
      <c r="C18074" s="1" t="str">
        <f>HYPERLINK("http://www.rosaceae.org/gb/gbrowse/malus_x_domestica/?name=MDP0000270785","MDP0000270785")</f>
        <v>MDP0000270785</v>
      </c>
      <c r="D18074">
        <v>41.34</v>
      </c>
      <c r="E18074">
        <v>104</v>
      </c>
      <c r="F18074">
        <v>61</v>
      </c>
      <c r="G18074">
        <v>11</v>
      </c>
      <c r="H18074">
        <v>114</v>
      </c>
      <c r="I18074">
        <v>210</v>
      </c>
      <c r="J18074">
        <v>1</v>
      </c>
      <c r="K18074">
        <v>20</v>
      </c>
      <c r="L18074">
        <v>119</v>
      </c>
      <c r="M18074">
        <v>1</v>
      </c>
      <c r="N18074">
        <v>1.09636E-10</v>
      </c>
      <c r="O18074">
        <v>156</v>
      </c>
    </row>
    <row r="18075" spans="1:15" x14ac:dyDescent="0.25">
      <c r="A18075" t="s">
        <v>18088</v>
      </c>
      <c r="B18075">
        <v>478</v>
      </c>
      <c r="C18075" s="1" t="str">
        <f>HYPERLINK("http://www.rosaceae.org/gb/gbrowse/malus_x_domestica/?name=MDP0000143844","MDP0000143844")</f>
        <v>MDP0000143844</v>
      </c>
      <c r="D18075">
        <v>46.17</v>
      </c>
      <c r="E18075">
        <v>431</v>
      </c>
      <c r="F18075">
        <v>232</v>
      </c>
      <c r="G18075">
        <v>51</v>
      </c>
      <c r="H18075">
        <v>83</v>
      </c>
      <c r="I18075">
        <v>478</v>
      </c>
      <c r="J18075">
        <v>1</v>
      </c>
      <c r="K18075">
        <v>50</v>
      </c>
      <c r="L18075">
        <v>464</v>
      </c>
      <c r="M18075">
        <v>1</v>
      </c>
      <c r="N18075">
        <v>4.1768800000000001E-95</v>
      </c>
      <c r="O18075">
        <v>886</v>
      </c>
    </row>
    <row r="18076" spans="1:15" x14ac:dyDescent="0.25">
      <c r="A18076" t="s">
        <v>18089</v>
      </c>
      <c r="B18076">
        <v>295</v>
      </c>
      <c r="C18076" s="1" t="str">
        <f>HYPERLINK("http://www.rosaceae.org/gb/gbrowse/malus_x_domestica/?name=MDP0000219792","MDP0000219792")</f>
        <v>MDP0000219792</v>
      </c>
      <c r="D18076">
        <v>54.9</v>
      </c>
      <c r="E18076">
        <v>102</v>
      </c>
      <c r="F18076">
        <v>46</v>
      </c>
      <c r="G18076">
        <v>4</v>
      </c>
      <c r="H18076">
        <v>69</v>
      </c>
      <c r="I18076">
        <v>166</v>
      </c>
      <c r="J18076">
        <v>1</v>
      </c>
      <c r="K18076">
        <v>216</v>
      </c>
      <c r="L18076">
        <v>317</v>
      </c>
      <c r="M18076">
        <v>1</v>
      </c>
      <c r="N18076">
        <v>2.6887899999999999E-27</v>
      </c>
      <c r="O18076">
        <v>299</v>
      </c>
    </row>
    <row r="18077" spans="1:15" x14ac:dyDescent="0.25">
      <c r="A18077" t="s">
        <v>18090</v>
      </c>
      <c r="B18077">
        <v>463</v>
      </c>
      <c r="C18077" s="1" t="str">
        <f>HYPERLINK("http://www.rosaceae.org/gb/gbrowse/malus_x_domestica/?name=MDP0000253341","MDP0000253341")</f>
        <v>MDP0000253341</v>
      </c>
      <c r="D18077">
        <v>73.05</v>
      </c>
      <c r="E18077">
        <v>438</v>
      </c>
      <c r="F18077">
        <v>118</v>
      </c>
      <c r="G18077">
        <v>13</v>
      </c>
      <c r="H18077">
        <v>35</v>
      </c>
      <c r="I18077">
        <v>459</v>
      </c>
      <c r="J18077">
        <v>1</v>
      </c>
      <c r="K18077">
        <v>65</v>
      </c>
      <c r="L18077">
        <v>502</v>
      </c>
      <c r="M18077">
        <v>1</v>
      </c>
      <c r="N18077">
        <v>0</v>
      </c>
      <c r="O18077">
        <v>1740</v>
      </c>
    </row>
    <row r="18078" spans="1:15" x14ac:dyDescent="0.25">
      <c r="A18078" t="s">
        <v>18091</v>
      </c>
      <c r="B18078">
        <v>82</v>
      </c>
      <c r="C18078" s="1" t="str">
        <f>HYPERLINK("http://www.rosaceae.org/gb/gbrowse/malus_x_domestica/?name=MDP0000242913","MDP0000242913")</f>
        <v>MDP0000242913</v>
      </c>
      <c r="D18078">
        <v>86.79</v>
      </c>
      <c r="E18078">
        <v>53</v>
      </c>
      <c r="F18078">
        <v>7</v>
      </c>
      <c r="G18078">
        <v>0</v>
      </c>
      <c r="H18078">
        <v>29</v>
      </c>
      <c r="I18078">
        <v>81</v>
      </c>
      <c r="J18078">
        <v>1</v>
      </c>
      <c r="K18078">
        <v>30</v>
      </c>
      <c r="L18078">
        <v>82</v>
      </c>
      <c r="M18078">
        <v>1</v>
      </c>
      <c r="N18078">
        <v>1.6856200000000001E-22</v>
      </c>
      <c r="O18078">
        <v>251</v>
      </c>
    </row>
    <row r="18079" spans="1:15" x14ac:dyDescent="0.25">
      <c r="A18079" t="s">
        <v>18092</v>
      </c>
      <c r="B18079">
        <v>450</v>
      </c>
      <c r="C18079" s="1" t="str">
        <f>HYPERLINK("http://www.rosaceae.org/gb/gbrowse/malus_x_domestica/?name=MDP0000037814","MDP0000037814")</f>
        <v>MDP0000037814</v>
      </c>
      <c r="D18079">
        <v>85.01</v>
      </c>
      <c r="E18079">
        <v>427</v>
      </c>
      <c r="F18079">
        <v>64</v>
      </c>
      <c r="G18079">
        <v>0</v>
      </c>
      <c r="H18079">
        <v>1</v>
      </c>
      <c r="I18079">
        <v>427</v>
      </c>
      <c r="J18079">
        <v>1</v>
      </c>
      <c r="K18079">
        <v>41</v>
      </c>
      <c r="L18079">
        <v>467</v>
      </c>
      <c r="M18079">
        <v>1</v>
      </c>
      <c r="N18079">
        <v>0</v>
      </c>
      <c r="O18079">
        <v>1993</v>
      </c>
    </row>
    <row r="18080" spans="1:15" x14ac:dyDescent="0.25">
      <c r="A18080" t="s">
        <v>18093</v>
      </c>
      <c r="B18080">
        <v>1729</v>
      </c>
      <c r="C18080" s="1" t="str">
        <f>HYPERLINK("http://www.rosaceae.org/gb/gbrowse/malus_x_domestica/?name=MDP0000258298","MDP0000258298")</f>
        <v>MDP0000258298</v>
      </c>
      <c r="D18080">
        <v>88.43</v>
      </c>
      <c r="E18080">
        <v>1219</v>
      </c>
      <c r="F18080">
        <v>141</v>
      </c>
      <c r="G18080">
        <v>2</v>
      </c>
      <c r="H18080">
        <v>511</v>
      </c>
      <c r="I18080">
        <v>1729</v>
      </c>
      <c r="J18080">
        <v>1</v>
      </c>
      <c r="K18080">
        <v>1</v>
      </c>
      <c r="L18080">
        <v>1217</v>
      </c>
      <c r="M18080">
        <v>1</v>
      </c>
      <c r="N18080">
        <v>0</v>
      </c>
      <c r="O18080">
        <v>5831</v>
      </c>
    </row>
    <row r="18081" spans="1:15" x14ac:dyDescent="0.25">
      <c r="A18081" t="s">
        <v>18094</v>
      </c>
      <c r="B18081">
        <v>201</v>
      </c>
      <c r="C18081" s="1" t="str">
        <f>HYPERLINK("http://www.rosaceae.org/gb/gbrowse/malus_x_domestica/?name=MDP0000268169","MDP0000268169")</f>
        <v>MDP0000268169</v>
      </c>
      <c r="D18081">
        <v>58.73</v>
      </c>
      <c r="E18081">
        <v>206</v>
      </c>
      <c r="F18081">
        <v>85</v>
      </c>
      <c r="G18081">
        <v>10</v>
      </c>
      <c r="H18081">
        <v>2</v>
      </c>
      <c r="I18081">
        <v>199</v>
      </c>
      <c r="J18081">
        <v>1</v>
      </c>
      <c r="K18081">
        <v>3</v>
      </c>
      <c r="L18081">
        <v>206</v>
      </c>
      <c r="M18081">
        <v>1</v>
      </c>
      <c r="N18081">
        <v>2.79787E-50</v>
      </c>
      <c r="O18081">
        <v>495</v>
      </c>
    </row>
    <row r="18082" spans="1:15" x14ac:dyDescent="0.25">
      <c r="A18082" t="s">
        <v>18095</v>
      </c>
      <c r="B18082">
        <v>304</v>
      </c>
      <c r="C18082" s="1" t="str">
        <f>HYPERLINK("http://www.rosaceae.org/gb/gbrowse/malus_x_domestica/?name=MDP0000416548","MDP0000416548")</f>
        <v>MDP0000416548</v>
      </c>
      <c r="D18082">
        <v>54.54</v>
      </c>
      <c r="E18082">
        <v>110</v>
      </c>
      <c r="F18082">
        <v>50</v>
      </c>
      <c r="G18082">
        <v>27</v>
      </c>
      <c r="H18082">
        <v>219</v>
      </c>
      <c r="I18082">
        <v>303</v>
      </c>
      <c r="J18082">
        <v>1</v>
      </c>
      <c r="K18082">
        <v>613</v>
      </c>
      <c r="L18082">
        <v>720</v>
      </c>
      <c r="M18082">
        <v>1</v>
      </c>
      <c r="N18082">
        <v>3.5545799999999999E-28</v>
      </c>
      <c r="O18082">
        <v>307</v>
      </c>
    </row>
    <row r="18083" spans="1:15" x14ac:dyDescent="0.25">
      <c r="A18083" t="s">
        <v>18096</v>
      </c>
      <c r="B18083">
        <v>538</v>
      </c>
      <c r="C18083" s="1" t="str">
        <f>HYPERLINK("http://www.rosaceae.org/gb/gbrowse/malus_x_domestica/?name=MDP0000928368","MDP0000928368")</f>
        <v>MDP0000928368</v>
      </c>
      <c r="D18083">
        <v>71.73</v>
      </c>
      <c r="E18083">
        <v>506</v>
      </c>
      <c r="F18083">
        <v>143</v>
      </c>
      <c r="G18083">
        <v>28</v>
      </c>
      <c r="H18083">
        <v>19</v>
      </c>
      <c r="I18083">
        <v>518</v>
      </c>
      <c r="J18083">
        <v>1</v>
      </c>
      <c r="K18083">
        <v>17</v>
      </c>
      <c r="L18083">
        <v>500</v>
      </c>
      <c r="M18083">
        <v>1</v>
      </c>
      <c r="N18083">
        <v>0</v>
      </c>
      <c r="O18083">
        <v>1825</v>
      </c>
    </row>
    <row r="18084" spans="1:15" x14ac:dyDescent="0.25">
      <c r="A18084" t="s">
        <v>18097</v>
      </c>
      <c r="B18084">
        <v>278</v>
      </c>
      <c r="C18084" s="1" t="str">
        <f>HYPERLINK("http://www.rosaceae.org/gb/gbrowse/malus_x_domestica/?name=MDP0000124256","MDP0000124256")</f>
        <v>MDP0000124256</v>
      </c>
      <c r="D18084">
        <v>34.89</v>
      </c>
      <c r="E18084">
        <v>192</v>
      </c>
      <c r="F18084">
        <v>125</v>
      </c>
      <c r="G18084">
        <v>4</v>
      </c>
      <c r="H18084">
        <v>20</v>
      </c>
      <c r="I18084">
        <v>211</v>
      </c>
      <c r="J18084">
        <v>1</v>
      </c>
      <c r="K18084">
        <v>7</v>
      </c>
      <c r="L18084">
        <v>194</v>
      </c>
      <c r="M18084">
        <v>1</v>
      </c>
      <c r="N18084">
        <v>1.0746400000000001E-25</v>
      </c>
      <c r="O18084">
        <v>285</v>
      </c>
    </row>
    <row r="18085" spans="1:15" x14ac:dyDescent="0.25">
      <c r="A18085" t="s">
        <v>18098</v>
      </c>
      <c r="B18085">
        <v>514</v>
      </c>
      <c r="C18085" s="1" t="str">
        <f>HYPERLINK("http://www.rosaceae.org/gb/gbrowse/malus_x_domestica/?name=MDP0000394762","MDP0000394762")</f>
        <v>MDP0000394762</v>
      </c>
      <c r="D18085">
        <v>47.66</v>
      </c>
      <c r="E18085">
        <v>107</v>
      </c>
      <c r="F18085">
        <v>56</v>
      </c>
      <c r="G18085">
        <v>3</v>
      </c>
      <c r="H18085">
        <v>36</v>
      </c>
      <c r="I18085">
        <v>142</v>
      </c>
      <c r="J18085">
        <v>1</v>
      </c>
      <c r="K18085">
        <v>730</v>
      </c>
      <c r="L18085">
        <v>833</v>
      </c>
      <c r="M18085">
        <v>1</v>
      </c>
      <c r="N18085">
        <v>1.3186599999999999E-24</v>
      </c>
      <c r="O18085">
        <v>279</v>
      </c>
    </row>
    <row r="18086" spans="1:15" x14ac:dyDescent="0.25">
      <c r="A18086" t="s">
        <v>18099</v>
      </c>
      <c r="B18086">
        <v>117</v>
      </c>
      <c r="C18086" s="1" t="str">
        <f>HYPERLINK("http://www.rosaceae.org/gb/gbrowse/malus_x_domestica/?name=MDP0000253547","MDP0000253547")</f>
        <v>MDP0000253547</v>
      </c>
      <c r="D18086">
        <v>65.540000000000006</v>
      </c>
      <c r="E18086">
        <v>119</v>
      </c>
      <c r="F18086">
        <v>41</v>
      </c>
      <c r="G18086">
        <v>4</v>
      </c>
      <c r="H18086">
        <v>1</v>
      </c>
      <c r="I18086">
        <v>115</v>
      </c>
      <c r="J18086">
        <v>1</v>
      </c>
      <c r="K18086">
        <v>1</v>
      </c>
      <c r="L18086">
        <v>119</v>
      </c>
      <c r="M18086">
        <v>1</v>
      </c>
      <c r="N18086">
        <v>2.72315E-41</v>
      </c>
      <c r="O18086">
        <v>413</v>
      </c>
    </row>
    <row r="18087" spans="1:15" x14ac:dyDescent="0.25">
      <c r="A18087" t="s">
        <v>18100</v>
      </c>
      <c r="B18087">
        <v>167</v>
      </c>
      <c r="C18087" s="1" t="str">
        <f>HYPERLINK("http://www.rosaceae.org/gb/gbrowse/malus_x_domestica/?name=MDP0000688187","MDP0000688187")</f>
        <v>MDP0000688187</v>
      </c>
      <c r="D18087">
        <v>62.5</v>
      </c>
      <c r="E18087">
        <v>184</v>
      </c>
      <c r="F18087">
        <v>69</v>
      </c>
      <c r="G18087">
        <v>17</v>
      </c>
      <c r="H18087">
        <v>1</v>
      </c>
      <c r="I18087">
        <v>167</v>
      </c>
      <c r="J18087">
        <v>1</v>
      </c>
      <c r="K18087">
        <v>1</v>
      </c>
      <c r="L18087">
        <v>184</v>
      </c>
      <c r="M18087">
        <v>1</v>
      </c>
      <c r="N18087">
        <v>2.0529700000000001E-61</v>
      </c>
      <c r="O18087">
        <v>590</v>
      </c>
    </row>
    <row r="18088" spans="1:15" x14ac:dyDescent="0.25">
      <c r="A18088" t="s">
        <v>18101</v>
      </c>
      <c r="B18088">
        <v>212</v>
      </c>
      <c r="C18088" s="1" t="str">
        <f>HYPERLINK("http://www.rosaceae.org/gb/gbrowse/malus_x_domestica/?name=MDP0000137468","MDP0000137468")</f>
        <v>MDP0000137468</v>
      </c>
      <c r="D18088">
        <v>65.88</v>
      </c>
      <c r="E18088">
        <v>214</v>
      </c>
      <c r="F18088">
        <v>73</v>
      </c>
      <c r="G18088">
        <v>6</v>
      </c>
      <c r="H18088">
        <v>1</v>
      </c>
      <c r="I18088">
        <v>212</v>
      </c>
      <c r="J18088">
        <v>1</v>
      </c>
      <c r="K18088">
        <v>1</v>
      </c>
      <c r="L18088">
        <v>210</v>
      </c>
      <c r="M18088">
        <v>1</v>
      </c>
      <c r="N18088">
        <v>1.2885700000000001E-67</v>
      </c>
      <c r="O18088">
        <v>645</v>
      </c>
    </row>
    <row r="18089" spans="1:15" x14ac:dyDescent="0.25">
      <c r="A18089" t="s">
        <v>18102</v>
      </c>
      <c r="B18089">
        <v>187</v>
      </c>
      <c r="C18089" s="1" t="str">
        <f>HYPERLINK("http://www.rosaceae.org/gb/gbrowse/malus_x_domestica/?name=MDP0000287358","MDP0000287358")</f>
        <v>MDP0000287358</v>
      </c>
      <c r="D18089">
        <v>37.979999999999997</v>
      </c>
      <c r="E18089">
        <v>179</v>
      </c>
      <c r="F18089">
        <v>111</v>
      </c>
      <c r="G18089">
        <v>14</v>
      </c>
      <c r="H18089">
        <v>1</v>
      </c>
      <c r="I18089">
        <v>172</v>
      </c>
      <c r="J18089">
        <v>1</v>
      </c>
      <c r="K18089">
        <v>73</v>
      </c>
      <c r="L18089">
        <v>244</v>
      </c>
      <c r="M18089">
        <v>1</v>
      </c>
      <c r="N18089">
        <v>4.5471300000000002E-23</v>
      </c>
      <c r="O18089">
        <v>260</v>
      </c>
    </row>
    <row r="18090" spans="1:15" x14ac:dyDescent="0.25">
      <c r="A18090" t="s">
        <v>18103</v>
      </c>
      <c r="B18090">
        <v>1106</v>
      </c>
      <c r="C18090" s="1" t="str">
        <f>HYPERLINK("http://www.rosaceae.org/gb/gbrowse/malus_x_domestica/?name=MDP0000176465","MDP0000176465")</f>
        <v>MDP0000176465</v>
      </c>
      <c r="D18090">
        <v>42.07</v>
      </c>
      <c r="E18090">
        <v>473</v>
      </c>
      <c r="F18090">
        <v>274</v>
      </c>
      <c r="G18090">
        <v>50</v>
      </c>
      <c r="H18090">
        <v>12</v>
      </c>
      <c r="I18090">
        <v>457</v>
      </c>
      <c r="J18090">
        <v>1</v>
      </c>
      <c r="K18090">
        <v>3</v>
      </c>
      <c r="L18090">
        <v>452</v>
      </c>
      <c r="M18090">
        <v>1</v>
      </c>
      <c r="N18090">
        <v>4.0196499999999999E-74</v>
      </c>
      <c r="O18090">
        <v>709</v>
      </c>
    </row>
    <row r="18091" spans="1:15" x14ac:dyDescent="0.25">
      <c r="A18091" t="s">
        <v>18104</v>
      </c>
      <c r="B18091">
        <v>1181</v>
      </c>
      <c r="C18091" s="1" t="str">
        <f>HYPERLINK("http://www.rosaceae.org/gb/gbrowse/malus_x_domestica/?name=MDP0000734561","MDP0000734561")</f>
        <v>MDP0000734561</v>
      </c>
      <c r="D18091">
        <v>48.96</v>
      </c>
      <c r="E18091">
        <v>919</v>
      </c>
      <c r="F18091">
        <v>469</v>
      </c>
      <c r="G18091">
        <v>46</v>
      </c>
      <c r="H18091">
        <v>186</v>
      </c>
      <c r="I18091">
        <v>1082</v>
      </c>
      <c r="J18091">
        <v>1</v>
      </c>
      <c r="K18091">
        <v>209</v>
      </c>
      <c r="L18091">
        <v>1103</v>
      </c>
      <c r="M18091">
        <v>1</v>
      </c>
      <c r="N18091">
        <v>0</v>
      </c>
      <c r="O18091">
        <v>1949</v>
      </c>
    </row>
    <row r="18092" spans="1:15" x14ac:dyDescent="0.25">
      <c r="A18092" t="s">
        <v>18105</v>
      </c>
      <c r="B18092">
        <v>123</v>
      </c>
      <c r="C18092" s="1" t="str">
        <f>HYPERLINK("http://www.rosaceae.org/gb/gbrowse/malus_x_domestica/?name=MDP0000219706","MDP0000219706")</f>
        <v>MDP0000219706</v>
      </c>
      <c r="D18092">
        <v>39.020000000000003</v>
      </c>
      <c r="E18092">
        <v>82</v>
      </c>
      <c r="F18092">
        <v>50</v>
      </c>
      <c r="G18092">
        <v>2</v>
      </c>
      <c r="H18092">
        <v>34</v>
      </c>
      <c r="I18092">
        <v>115</v>
      </c>
      <c r="J18092">
        <v>1</v>
      </c>
      <c r="K18092">
        <v>443</v>
      </c>
      <c r="L18092">
        <v>522</v>
      </c>
      <c r="M18092">
        <v>1</v>
      </c>
      <c r="N18092">
        <v>8.7328500000000005E-10</v>
      </c>
      <c r="O18092">
        <v>142</v>
      </c>
    </row>
    <row r="18093" spans="1:15" x14ac:dyDescent="0.25">
      <c r="A18093" t="s">
        <v>18106</v>
      </c>
      <c r="B18093">
        <v>184</v>
      </c>
      <c r="C18093" s="1" t="str">
        <f>HYPERLINK("http://www.rosaceae.org/gb/gbrowse/malus_x_domestica/?name=MDP0000227654","MDP0000227654")</f>
        <v>MDP0000227654</v>
      </c>
      <c r="D18093">
        <v>50.9</v>
      </c>
      <c r="E18093">
        <v>110</v>
      </c>
      <c r="F18093">
        <v>54</v>
      </c>
      <c r="G18093">
        <v>3</v>
      </c>
      <c r="H18093">
        <v>60</v>
      </c>
      <c r="I18093">
        <v>169</v>
      </c>
      <c r="J18093">
        <v>1</v>
      </c>
      <c r="K18093">
        <v>125</v>
      </c>
      <c r="L18093">
        <v>231</v>
      </c>
      <c r="M18093">
        <v>1</v>
      </c>
      <c r="N18093">
        <v>9.45988E-27</v>
      </c>
      <c r="O18093">
        <v>292</v>
      </c>
    </row>
    <row r="18094" spans="1:15" x14ac:dyDescent="0.25">
      <c r="A18094" t="s">
        <v>18107</v>
      </c>
      <c r="B18094">
        <v>122</v>
      </c>
      <c r="C18094" s="1" t="str">
        <f>HYPERLINK("http://www.rosaceae.org/gb/gbrowse/malus_x_domestica/?name=MDP0000263187","MDP0000263187")</f>
        <v>MDP0000263187</v>
      </c>
      <c r="D18094">
        <v>63.29</v>
      </c>
      <c r="E18094">
        <v>79</v>
      </c>
      <c r="F18094">
        <v>29</v>
      </c>
      <c r="G18094">
        <v>0</v>
      </c>
      <c r="H18094">
        <v>44</v>
      </c>
      <c r="I18094">
        <v>122</v>
      </c>
      <c r="J18094">
        <v>1</v>
      </c>
      <c r="K18094">
        <v>312</v>
      </c>
      <c r="L18094">
        <v>390</v>
      </c>
      <c r="M18094">
        <v>1</v>
      </c>
      <c r="N18094">
        <v>7.8265299999999997E-26</v>
      </c>
      <c r="O18094">
        <v>280</v>
      </c>
    </row>
    <row r="18095" spans="1:15" x14ac:dyDescent="0.25">
      <c r="A18095" t="s">
        <v>18108</v>
      </c>
      <c r="B18095">
        <v>687</v>
      </c>
      <c r="C18095" s="1" t="str">
        <f>HYPERLINK("http://www.rosaceae.org/gb/gbrowse/malus_x_domestica/?name=MDP0000269990","MDP0000269990")</f>
        <v>MDP0000269990</v>
      </c>
      <c r="D18095">
        <v>71.23</v>
      </c>
      <c r="E18095">
        <v>299</v>
      </c>
      <c r="F18095">
        <v>86</v>
      </c>
      <c r="G18095">
        <v>4</v>
      </c>
      <c r="H18095">
        <v>389</v>
      </c>
      <c r="I18095">
        <v>687</v>
      </c>
      <c r="J18095">
        <v>1</v>
      </c>
      <c r="K18095">
        <v>40</v>
      </c>
      <c r="L18095">
        <v>334</v>
      </c>
      <c r="M18095">
        <v>1</v>
      </c>
      <c r="N18095">
        <v>5.5632900000000003E-130</v>
      </c>
      <c r="O18095">
        <v>1189</v>
      </c>
    </row>
    <row r="18096" spans="1:15" x14ac:dyDescent="0.25">
      <c r="A18096" t="s">
        <v>18109</v>
      </c>
      <c r="B18096">
        <v>227</v>
      </c>
      <c r="C18096" s="1" t="str">
        <f>HYPERLINK("http://www.rosaceae.org/gb/gbrowse/malus_x_domestica/?name=MDP0000839828","MDP0000839828")</f>
        <v>MDP0000839828</v>
      </c>
      <c r="D18096">
        <v>45.54</v>
      </c>
      <c r="E18096">
        <v>202</v>
      </c>
      <c r="F18096">
        <v>110</v>
      </c>
      <c r="G18096">
        <v>22</v>
      </c>
      <c r="H18096">
        <v>41</v>
      </c>
      <c r="I18096">
        <v>227</v>
      </c>
      <c r="J18096">
        <v>1</v>
      </c>
      <c r="K18096">
        <v>33</v>
      </c>
      <c r="L18096">
        <v>227</v>
      </c>
      <c r="M18096">
        <v>1</v>
      </c>
      <c r="N18096">
        <v>9.13532E-33</v>
      </c>
      <c r="O18096">
        <v>345</v>
      </c>
    </row>
    <row r="18097" spans="1:15" x14ac:dyDescent="0.25">
      <c r="A18097" t="s">
        <v>18110</v>
      </c>
      <c r="B18097">
        <v>298</v>
      </c>
      <c r="C18097" s="1" t="str">
        <f>HYPERLINK("http://www.rosaceae.org/gb/gbrowse/malus_x_domestica/?name=MDP0000296468","MDP0000296468")</f>
        <v>MDP0000296468</v>
      </c>
      <c r="D18097">
        <v>72.48</v>
      </c>
      <c r="E18097">
        <v>229</v>
      </c>
      <c r="F18097">
        <v>63</v>
      </c>
      <c r="G18097">
        <v>7</v>
      </c>
      <c r="H18097">
        <v>1</v>
      </c>
      <c r="I18097">
        <v>228</v>
      </c>
      <c r="J18097">
        <v>1</v>
      </c>
      <c r="K18097">
        <v>1</v>
      </c>
      <c r="L18097">
        <v>223</v>
      </c>
      <c r="M18097">
        <v>1</v>
      </c>
      <c r="N18097">
        <v>1.12622E-89</v>
      </c>
      <c r="O18097">
        <v>837</v>
      </c>
    </row>
    <row r="18098" spans="1:15" x14ac:dyDescent="0.25">
      <c r="A18098" t="s">
        <v>18111</v>
      </c>
      <c r="B18098">
        <v>369</v>
      </c>
      <c r="C18098" s="1" t="str">
        <f>HYPERLINK("http://www.rosaceae.org/gb/gbrowse/malus_x_domestica/?name=MDP0000190580","MDP0000190580")</f>
        <v>MDP0000190580</v>
      </c>
      <c r="D18098">
        <v>57.65</v>
      </c>
      <c r="E18098">
        <v>281</v>
      </c>
      <c r="F18098">
        <v>119</v>
      </c>
      <c r="G18098">
        <v>51</v>
      </c>
      <c r="H18098">
        <v>1</v>
      </c>
      <c r="I18098">
        <v>237</v>
      </c>
      <c r="J18098">
        <v>1</v>
      </c>
      <c r="K18098">
        <v>1</v>
      </c>
      <c r="L18098">
        <v>274</v>
      </c>
      <c r="M18098">
        <v>1</v>
      </c>
      <c r="N18098">
        <v>4.6056200000000004E-78</v>
      </c>
      <c r="O18098">
        <v>738</v>
      </c>
    </row>
    <row r="18099" spans="1:15" x14ac:dyDescent="0.25">
      <c r="A18099" t="s">
        <v>18112</v>
      </c>
      <c r="B18099">
        <v>321</v>
      </c>
      <c r="C18099" s="1" t="str">
        <f>HYPERLINK("http://www.rosaceae.org/gb/gbrowse/malus_x_domestica/?name=MDP0000128119","MDP0000128119")</f>
        <v>MDP0000128119</v>
      </c>
      <c r="D18099">
        <v>65.430000000000007</v>
      </c>
      <c r="E18099">
        <v>324</v>
      </c>
      <c r="F18099">
        <v>112</v>
      </c>
      <c r="G18099">
        <v>7</v>
      </c>
      <c r="H18099">
        <v>1</v>
      </c>
      <c r="I18099">
        <v>321</v>
      </c>
      <c r="J18099">
        <v>1</v>
      </c>
      <c r="K18099">
        <v>125</v>
      </c>
      <c r="L18099">
        <v>444</v>
      </c>
      <c r="M18099">
        <v>1</v>
      </c>
      <c r="N18099">
        <v>1.3848500000000001E-106</v>
      </c>
      <c r="O18099">
        <v>983</v>
      </c>
    </row>
    <row r="18100" spans="1:15" x14ac:dyDescent="0.25">
      <c r="A18100" t="s">
        <v>18113</v>
      </c>
      <c r="B18100">
        <v>220</v>
      </c>
      <c r="C18100" s="1" t="str">
        <f>HYPERLINK("http://www.rosaceae.org/gb/gbrowse/malus_x_domestica/?name=MDP0000716576","MDP0000716576")</f>
        <v>MDP0000716576</v>
      </c>
      <c r="D18100">
        <v>73.83</v>
      </c>
      <c r="E18100">
        <v>172</v>
      </c>
      <c r="F18100">
        <v>45</v>
      </c>
      <c r="G18100">
        <v>0</v>
      </c>
      <c r="H18100">
        <v>49</v>
      </c>
      <c r="I18100">
        <v>220</v>
      </c>
      <c r="J18100">
        <v>1</v>
      </c>
      <c r="K18100">
        <v>127</v>
      </c>
      <c r="L18100">
        <v>298</v>
      </c>
      <c r="M18100">
        <v>1</v>
      </c>
      <c r="N18100">
        <v>7.50609E-67</v>
      </c>
      <c r="O18100">
        <v>639</v>
      </c>
    </row>
    <row r="18101" spans="1:15" x14ac:dyDescent="0.25">
      <c r="A18101" t="s">
        <v>18114</v>
      </c>
      <c r="B18101">
        <v>282</v>
      </c>
      <c r="C18101" s="1" t="str">
        <f>HYPERLINK("http://www.rosaceae.org/gb/gbrowse/malus_x_domestica/?name=MDP0000265831","MDP0000265831")</f>
        <v>MDP0000265831</v>
      </c>
      <c r="D18101">
        <v>44.09</v>
      </c>
      <c r="E18101">
        <v>127</v>
      </c>
      <c r="F18101">
        <v>71</v>
      </c>
      <c r="G18101">
        <v>19</v>
      </c>
      <c r="H18101">
        <v>125</v>
      </c>
      <c r="I18101">
        <v>251</v>
      </c>
      <c r="J18101">
        <v>1</v>
      </c>
      <c r="K18101">
        <v>485</v>
      </c>
      <c r="L18101">
        <v>592</v>
      </c>
      <c r="M18101">
        <v>1</v>
      </c>
      <c r="N18101">
        <v>5.28322E-20</v>
      </c>
      <c r="O18101">
        <v>236</v>
      </c>
    </row>
    <row r="18102" spans="1:15" x14ac:dyDescent="0.25">
      <c r="A18102" t="s">
        <v>18115</v>
      </c>
      <c r="B18102">
        <v>209</v>
      </c>
      <c r="C18102" s="1" t="str">
        <f>HYPERLINK("http://www.rosaceae.org/gb/gbrowse/malus_x_domestica/?name=MDP0000311301","MDP0000311301")</f>
        <v>MDP0000311301</v>
      </c>
      <c r="D18102">
        <v>27.67</v>
      </c>
      <c r="E18102">
        <v>159</v>
      </c>
      <c r="F18102">
        <v>115</v>
      </c>
      <c r="G18102">
        <v>14</v>
      </c>
      <c r="H18102">
        <v>11</v>
      </c>
      <c r="I18102">
        <v>158</v>
      </c>
      <c r="J18102">
        <v>1</v>
      </c>
      <c r="K18102">
        <v>784</v>
      </c>
      <c r="L18102">
        <v>939</v>
      </c>
      <c r="M18102">
        <v>1</v>
      </c>
      <c r="N18102">
        <v>6.5986599999999998E-10</v>
      </c>
      <c r="O18102">
        <v>147</v>
      </c>
    </row>
    <row r="18103" spans="1:15" x14ac:dyDescent="0.25">
      <c r="A18103" t="s">
        <v>18116</v>
      </c>
      <c r="B18103">
        <v>448</v>
      </c>
      <c r="C18103" s="1" t="str">
        <f>HYPERLINK("http://www.rosaceae.org/gb/gbrowse/malus_x_domestica/?name=MDP0000819112","MDP0000819112")</f>
        <v>MDP0000819112</v>
      </c>
      <c r="D18103">
        <v>75.89</v>
      </c>
      <c r="E18103">
        <v>390</v>
      </c>
      <c r="F18103">
        <v>94</v>
      </c>
      <c r="G18103">
        <v>8</v>
      </c>
      <c r="H18103">
        <v>1</v>
      </c>
      <c r="I18103">
        <v>389</v>
      </c>
      <c r="J18103">
        <v>1</v>
      </c>
      <c r="K18103">
        <v>1</v>
      </c>
      <c r="L18103">
        <v>383</v>
      </c>
      <c r="M18103">
        <v>1</v>
      </c>
      <c r="N18103">
        <v>8.7856000000000004E-175</v>
      </c>
      <c r="O18103">
        <v>1573</v>
      </c>
    </row>
    <row r="18104" spans="1:15" x14ac:dyDescent="0.25">
      <c r="A18104" t="s">
        <v>18117</v>
      </c>
      <c r="B18104">
        <v>507</v>
      </c>
      <c r="C18104" s="1" t="str">
        <f>HYPERLINK("http://www.rosaceae.org/gb/gbrowse/malus_x_domestica/?name=MDP0000476668","MDP0000476668")</f>
        <v>MDP0000476668</v>
      </c>
      <c r="D18104">
        <v>71.13</v>
      </c>
      <c r="E18104">
        <v>485</v>
      </c>
      <c r="F18104">
        <v>140</v>
      </c>
      <c r="G18104">
        <v>3</v>
      </c>
      <c r="H18104">
        <v>5</v>
      </c>
      <c r="I18104">
        <v>487</v>
      </c>
      <c r="J18104">
        <v>1</v>
      </c>
      <c r="K18104">
        <v>3</v>
      </c>
      <c r="L18104">
        <v>486</v>
      </c>
      <c r="M18104">
        <v>1</v>
      </c>
      <c r="N18104">
        <v>0</v>
      </c>
      <c r="O18104">
        <v>1774</v>
      </c>
    </row>
    <row r="18105" spans="1:15" x14ac:dyDescent="0.25">
      <c r="A18105" t="s">
        <v>18118</v>
      </c>
      <c r="B18105">
        <v>469</v>
      </c>
      <c r="C18105" s="1" t="str">
        <f>HYPERLINK("http://www.rosaceae.org/gb/gbrowse/malus_x_domestica/?name=MDP0000152704","MDP0000152704")</f>
        <v>MDP0000152704</v>
      </c>
      <c r="D18105">
        <v>72.489999999999995</v>
      </c>
      <c r="E18105">
        <v>469</v>
      </c>
      <c r="F18105">
        <v>129</v>
      </c>
      <c r="G18105">
        <v>47</v>
      </c>
      <c r="H18105">
        <v>1</v>
      </c>
      <c r="I18105">
        <v>469</v>
      </c>
      <c r="J18105">
        <v>1</v>
      </c>
      <c r="K18105">
        <v>389</v>
      </c>
      <c r="L18105">
        <v>810</v>
      </c>
      <c r="M18105">
        <v>1</v>
      </c>
      <c r="N18105">
        <v>0</v>
      </c>
      <c r="O18105">
        <v>1739</v>
      </c>
    </row>
    <row r="18106" spans="1:15" x14ac:dyDescent="0.25">
      <c r="A18106" t="s">
        <v>18119</v>
      </c>
      <c r="B18106">
        <v>454</v>
      </c>
      <c r="C18106" s="1" t="str">
        <f>HYPERLINK("http://www.rosaceae.org/gb/gbrowse/malus_x_domestica/?name=MDP0000148024","MDP0000148024")</f>
        <v>MDP0000148024</v>
      </c>
      <c r="D18106">
        <v>56.43</v>
      </c>
      <c r="E18106">
        <v>241</v>
      </c>
      <c r="F18106">
        <v>105</v>
      </c>
      <c r="G18106">
        <v>20</v>
      </c>
      <c r="H18106">
        <v>207</v>
      </c>
      <c r="I18106">
        <v>447</v>
      </c>
      <c r="J18106">
        <v>1</v>
      </c>
      <c r="K18106">
        <v>473</v>
      </c>
      <c r="L18106">
        <v>693</v>
      </c>
      <c r="M18106">
        <v>1</v>
      </c>
      <c r="N18106">
        <v>9.1558399999999995E-64</v>
      </c>
      <c r="O18106">
        <v>616</v>
      </c>
    </row>
    <row r="18107" spans="1:15" x14ac:dyDescent="0.25">
      <c r="A18107" t="s">
        <v>18120</v>
      </c>
      <c r="B18107">
        <v>361</v>
      </c>
      <c r="C18107" s="1" t="str">
        <f>HYPERLINK("http://www.rosaceae.org/gb/gbrowse/malus_x_domestica/?name=MDP0000289009","MDP0000289009")</f>
        <v>MDP0000289009</v>
      </c>
      <c r="D18107">
        <v>49.17</v>
      </c>
      <c r="E18107">
        <v>181</v>
      </c>
      <c r="F18107">
        <v>92</v>
      </c>
      <c r="G18107">
        <v>23</v>
      </c>
      <c r="H18107">
        <v>132</v>
      </c>
      <c r="I18107">
        <v>293</v>
      </c>
      <c r="J18107">
        <v>1</v>
      </c>
      <c r="K18107">
        <v>930</v>
      </c>
      <c r="L18107">
        <v>1106</v>
      </c>
      <c r="M18107">
        <v>1</v>
      </c>
      <c r="N18107">
        <v>1.11254E-37</v>
      </c>
      <c r="O18107">
        <v>390</v>
      </c>
    </row>
    <row r="18108" spans="1:15" x14ac:dyDescent="0.25">
      <c r="A18108" t="s">
        <v>18121</v>
      </c>
      <c r="B18108">
        <v>368</v>
      </c>
      <c r="C18108" s="1" t="str">
        <f>HYPERLINK("http://www.rosaceae.org/gb/gbrowse/malus_x_domestica/?name=MDP0000249059","MDP0000249059")</f>
        <v>MDP0000249059</v>
      </c>
      <c r="D18108">
        <v>62.56</v>
      </c>
      <c r="E18108">
        <v>374</v>
      </c>
      <c r="F18108">
        <v>140</v>
      </c>
      <c r="G18108">
        <v>7</v>
      </c>
      <c r="H18108">
        <v>1</v>
      </c>
      <c r="I18108">
        <v>368</v>
      </c>
      <c r="J18108">
        <v>1</v>
      </c>
      <c r="K18108">
        <v>283</v>
      </c>
      <c r="L18108">
        <v>655</v>
      </c>
      <c r="M18108">
        <v>1</v>
      </c>
      <c r="N18108">
        <v>5.4238700000000003E-134</v>
      </c>
      <c r="O18108">
        <v>1221</v>
      </c>
    </row>
    <row r="18109" spans="1:15" x14ac:dyDescent="0.25">
      <c r="A18109" t="s">
        <v>18122</v>
      </c>
      <c r="B18109">
        <v>383</v>
      </c>
      <c r="C18109" s="1" t="str">
        <f>HYPERLINK("http://www.rosaceae.org/gb/gbrowse/malus_x_domestica/?name=MDP0000500222","MDP0000500222")</f>
        <v>MDP0000500222</v>
      </c>
      <c r="D18109">
        <v>27.57</v>
      </c>
      <c r="E18109">
        <v>359</v>
      </c>
      <c r="F18109">
        <v>260</v>
      </c>
      <c r="G18109">
        <v>22</v>
      </c>
      <c r="H18109">
        <v>9</v>
      </c>
      <c r="I18109">
        <v>357</v>
      </c>
      <c r="J18109">
        <v>1</v>
      </c>
      <c r="K18109">
        <v>73</v>
      </c>
      <c r="L18109">
        <v>419</v>
      </c>
      <c r="M18109">
        <v>1</v>
      </c>
      <c r="N18109">
        <v>3.1106399999999999E-27</v>
      </c>
      <c r="O18109">
        <v>300</v>
      </c>
    </row>
    <row r="18110" spans="1:15" x14ac:dyDescent="0.25">
      <c r="A18110" t="s">
        <v>18123</v>
      </c>
      <c r="B18110">
        <v>372</v>
      </c>
      <c r="C18110" s="1" t="str">
        <f>HYPERLINK("http://www.rosaceae.org/gb/gbrowse/malus_x_domestica/?name=MDP0000235326","MDP0000235326")</f>
        <v>MDP0000235326</v>
      </c>
      <c r="D18110">
        <v>31.55</v>
      </c>
      <c r="E18110">
        <v>187</v>
      </c>
      <c r="F18110">
        <v>128</v>
      </c>
      <c r="G18110">
        <v>21</v>
      </c>
      <c r="H18110">
        <v>21</v>
      </c>
      <c r="I18110">
        <v>195</v>
      </c>
      <c r="J18110">
        <v>1</v>
      </c>
      <c r="K18110">
        <v>3</v>
      </c>
      <c r="L18110">
        <v>180</v>
      </c>
      <c r="M18110">
        <v>1</v>
      </c>
      <c r="N18110">
        <v>3.5741699999999999E-13</v>
      </c>
      <c r="O18110">
        <v>179</v>
      </c>
    </row>
    <row r="18111" spans="1:15" x14ac:dyDescent="0.25">
      <c r="A18111" t="s">
        <v>18124</v>
      </c>
      <c r="B18111">
        <v>1000</v>
      </c>
      <c r="C18111" s="1" t="str">
        <f>HYPERLINK("http://www.rosaceae.org/gb/gbrowse/malus_x_domestica/?name=MDP0000218445","MDP0000218445")</f>
        <v>MDP0000218445</v>
      </c>
      <c r="D18111">
        <v>40.270000000000003</v>
      </c>
      <c r="E18111">
        <v>1023</v>
      </c>
      <c r="F18111">
        <v>611</v>
      </c>
      <c r="G18111">
        <v>74</v>
      </c>
      <c r="H18111">
        <v>1</v>
      </c>
      <c r="I18111">
        <v>987</v>
      </c>
      <c r="J18111">
        <v>1</v>
      </c>
      <c r="K18111">
        <v>1</v>
      </c>
      <c r="L18111">
        <v>985</v>
      </c>
      <c r="M18111">
        <v>1</v>
      </c>
      <c r="N18111">
        <v>0</v>
      </c>
      <c r="O18111">
        <v>1758</v>
      </c>
    </row>
    <row r="18112" spans="1:15" x14ac:dyDescent="0.25">
      <c r="A18112" t="s">
        <v>18125</v>
      </c>
      <c r="B18112">
        <v>246</v>
      </c>
      <c r="C18112" s="1" t="str">
        <f>HYPERLINK("http://www.rosaceae.org/gb/gbrowse/malus_x_domestica/?name=MDP0000248096","MDP0000248096")</f>
        <v>MDP0000248096</v>
      </c>
      <c r="D18112">
        <v>76.13</v>
      </c>
      <c r="E18112">
        <v>243</v>
      </c>
      <c r="F18112">
        <v>58</v>
      </c>
      <c r="G18112">
        <v>10</v>
      </c>
      <c r="H18112">
        <v>14</v>
      </c>
      <c r="I18112">
        <v>246</v>
      </c>
      <c r="J18112">
        <v>1</v>
      </c>
      <c r="K18112">
        <v>28</v>
      </c>
      <c r="L18112">
        <v>270</v>
      </c>
      <c r="M18112">
        <v>1</v>
      </c>
      <c r="N18112">
        <v>3.7071400000000001E-106</v>
      </c>
      <c r="O18112">
        <v>978</v>
      </c>
    </row>
    <row r="18113" spans="1:15" x14ac:dyDescent="0.25">
      <c r="A18113" t="s">
        <v>18126</v>
      </c>
      <c r="B18113">
        <v>653</v>
      </c>
      <c r="C18113" s="1" t="str">
        <f>HYPERLINK("http://www.rosaceae.org/gb/gbrowse/malus_x_domestica/?name=MDP0000297059","MDP0000297059")</f>
        <v>MDP0000297059</v>
      </c>
      <c r="D18113">
        <v>37.58</v>
      </c>
      <c r="E18113">
        <v>282</v>
      </c>
      <c r="F18113">
        <v>176</v>
      </c>
      <c r="G18113">
        <v>51</v>
      </c>
      <c r="H18113">
        <v>68</v>
      </c>
      <c r="I18113">
        <v>310</v>
      </c>
      <c r="J18113">
        <v>1</v>
      </c>
      <c r="K18113">
        <v>40</v>
      </c>
      <c r="L18113">
        <v>309</v>
      </c>
      <c r="M18113">
        <v>1</v>
      </c>
      <c r="N18113">
        <v>1.33433E-39</v>
      </c>
      <c r="O18113">
        <v>409</v>
      </c>
    </row>
    <row r="18114" spans="1:15" x14ac:dyDescent="0.25">
      <c r="A18114" t="s">
        <v>18127</v>
      </c>
      <c r="B18114">
        <v>310</v>
      </c>
      <c r="C18114" s="1" t="str">
        <f>HYPERLINK("http://www.rosaceae.org/gb/gbrowse/malus_x_domestica/?name=MDP0000250644","MDP0000250644")</f>
        <v>MDP0000250644</v>
      </c>
      <c r="D18114">
        <v>34.729999999999997</v>
      </c>
      <c r="E18114">
        <v>167</v>
      </c>
      <c r="F18114">
        <v>109</v>
      </c>
      <c r="G18114">
        <v>4</v>
      </c>
      <c r="H18114">
        <v>8</v>
      </c>
      <c r="I18114">
        <v>173</v>
      </c>
      <c r="J18114">
        <v>1</v>
      </c>
      <c r="K18114">
        <v>169</v>
      </c>
      <c r="L18114">
        <v>332</v>
      </c>
      <c r="M18114">
        <v>1</v>
      </c>
      <c r="N18114">
        <v>1.71172E-31</v>
      </c>
      <c r="O18114">
        <v>336</v>
      </c>
    </row>
    <row r="18115" spans="1:15" x14ac:dyDescent="0.25">
      <c r="A18115" t="s">
        <v>18128</v>
      </c>
      <c r="B18115">
        <v>247</v>
      </c>
      <c r="C18115" s="1" t="str">
        <f>HYPERLINK("http://www.rosaceae.org/gb/gbrowse/malus_x_domestica/?name=MDP0000212933","MDP0000212933")</f>
        <v>MDP0000212933</v>
      </c>
      <c r="D18115">
        <v>81.319999999999993</v>
      </c>
      <c r="E18115">
        <v>166</v>
      </c>
      <c r="F18115">
        <v>31</v>
      </c>
      <c r="G18115">
        <v>0</v>
      </c>
      <c r="H18115">
        <v>1</v>
      </c>
      <c r="I18115">
        <v>166</v>
      </c>
      <c r="J18115">
        <v>1</v>
      </c>
      <c r="K18115">
        <v>1</v>
      </c>
      <c r="L18115">
        <v>166</v>
      </c>
      <c r="M18115">
        <v>1</v>
      </c>
      <c r="N18115">
        <v>2.7194299999999999E-76</v>
      </c>
      <c r="O18115">
        <v>721</v>
      </c>
    </row>
    <row r="18116" spans="1:15" x14ac:dyDescent="0.25">
      <c r="A18116" t="s">
        <v>18129</v>
      </c>
      <c r="B18116">
        <v>258</v>
      </c>
      <c r="C18116" s="1" t="str">
        <f>HYPERLINK("http://www.rosaceae.org/gb/gbrowse/malus_x_domestica/?name=MDP0000322045","MDP0000322045")</f>
        <v>MDP0000322045</v>
      </c>
      <c r="D18116">
        <v>52.28</v>
      </c>
      <c r="E18116">
        <v>241</v>
      </c>
      <c r="F18116">
        <v>115</v>
      </c>
      <c r="G18116">
        <v>9</v>
      </c>
      <c r="H18116">
        <v>9</v>
      </c>
      <c r="I18116">
        <v>245</v>
      </c>
      <c r="J18116">
        <v>1</v>
      </c>
      <c r="K18116">
        <v>11</v>
      </c>
      <c r="L18116">
        <v>246</v>
      </c>
      <c r="M18116">
        <v>1</v>
      </c>
      <c r="N18116">
        <v>7.8569200000000001E-63</v>
      </c>
      <c r="O18116">
        <v>605</v>
      </c>
    </row>
    <row r="18117" spans="1:15" x14ac:dyDescent="0.25">
      <c r="A18117" t="s">
        <v>18130</v>
      </c>
      <c r="B18117">
        <v>241</v>
      </c>
      <c r="C18117" s="1" t="str">
        <f>HYPERLINK("http://www.rosaceae.org/gb/gbrowse/malus_x_domestica/?name=MDP0000905109","MDP0000905109")</f>
        <v>MDP0000905109</v>
      </c>
      <c r="D18117">
        <v>83.05</v>
      </c>
      <c r="E18117">
        <v>242</v>
      </c>
      <c r="F18117">
        <v>41</v>
      </c>
      <c r="G18117">
        <v>9</v>
      </c>
      <c r="H18117">
        <v>1</v>
      </c>
      <c r="I18117">
        <v>241</v>
      </c>
      <c r="J18117">
        <v>1</v>
      </c>
      <c r="K18117">
        <v>1</v>
      </c>
      <c r="L18117">
        <v>234</v>
      </c>
      <c r="M18117">
        <v>1</v>
      </c>
      <c r="N18117">
        <v>1.7424400000000001E-114</v>
      </c>
      <c r="O18117">
        <v>1050</v>
      </c>
    </row>
    <row r="18118" spans="1:15" x14ac:dyDescent="0.25">
      <c r="A18118" t="s">
        <v>18131</v>
      </c>
      <c r="B18118">
        <v>431</v>
      </c>
      <c r="C18118" s="1" t="str">
        <f>HYPERLINK("http://www.rosaceae.org/gb/gbrowse/malus_x_domestica/?name=MDP0000128231","MDP0000128231")</f>
        <v>MDP0000128231</v>
      </c>
      <c r="D18118">
        <v>85.07</v>
      </c>
      <c r="E18118">
        <v>449</v>
      </c>
      <c r="F18118">
        <v>67</v>
      </c>
      <c r="G18118">
        <v>25</v>
      </c>
      <c r="H18118">
        <v>1</v>
      </c>
      <c r="I18118">
        <v>431</v>
      </c>
      <c r="J18118">
        <v>1</v>
      </c>
      <c r="K18118">
        <v>1</v>
      </c>
      <c r="L18118">
        <v>442</v>
      </c>
      <c r="M18118">
        <v>1</v>
      </c>
      <c r="N18118">
        <v>0</v>
      </c>
      <c r="O18118">
        <v>2037</v>
      </c>
    </row>
    <row r="18119" spans="1:15" x14ac:dyDescent="0.25">
      <c r="A18119" t="s">
        <v>18132</v>
      </c>
      <c r="B18119">
        <v>120</v>
      </c>
      <c r="C18119" s="1" t="str">
        <f>HYPERLINK("http://www.rosaceae.org/gb/gbrowse/malus_x_domestica/?name=MDP0000166304","MDP0000166304")</f>
        <v>MDP0000166304</v>
      </c>
      <c r="D18119">
        <v>61.11</v>
      </c>
      <c r="E18119">
        <v>108</v>
      </c>
      <c r="F18119">
        <v>42</v>
      </c>
      <c r="G18119">
        <v>0</v>
      </c>
      <c r="H18119">
        <v>13</v>
      </c>
      <c r="I18119">
        <v>120</v>
      </c>
      <c r="J18119">
        <v>1</v>
      </c>
      <c r="K18119">
        <v>32</v>
      </c>
      <c r="L18119">
        <v>139</v>
      </c>
      <c r="M18119">
        <v>1</v>
      </c>
      <c r="N18119">
        <v>1.26443E-32</v>
      </c>
      <c r="O18119">
        <v>339</v>
      </c>
    </row>
    <row r="18120" spans="1:15" x14ac:dyDescent="0.25">
      <c r="A18120" t="s">
        <v>18133</v>
      </c>
      <c r="B18120">
        <v>163</v>
      </c>
      <c r="C18120" s="1" t="str">
        <f>HYPERLINK("http://www.rosaceae.org/gb/gbrowse/malus_x_domestica/?name=MDP0000203895","MDP0000203895")</f>
        <v>MDP0000203895</v>
      </c>
      <c r="D18120">
        <v>59.75</v>
      </c>
      <c r="E18120">
        <v>164</v>
      </c>
      <c r="F18120">
        <v>66</v>
      </c>
      <c r="G18120">
        <v>4</v>
      </c>
      <c r="H18120">
        <v>1</v>
      </c>
      <c r="I18120">
        <v>160</v>
      </c>
      <c r="J18120">
        <v>1</v>
      </c>
      <c r="K18120">
        <v>27</v>
      </c>
      <c r="L18120">
        <v>190</v>
      </c>
      <c r="M18120">
        <v>1</v>
      </c>
      <c r="N18120">
        <v>1.2946700000000001E-47</v>
      </c>
      <c r="O18120">
        <v>471</v>
      </c>
    </row>
    <row r="18121" spans="1:15" x14ac:dyDescent="0.25">
      <c r="A18121" t="s">
        <v>18134</v>
      </c>
      <c r="B18121">
        <v>348</v>
      </c>
      <c r="C18121" s="1" t="str">
        <f>HYPERLINK("http://www.rosaceae.org/gb/gbrowse/malus_x_domestica/?name=MDP0000923579","MDP0000923579")</f>
        <v>MDP0000923579</v>
      </c>
      <c r="D18121">
        <v>50.28</v>
      </c>
      <c r="E18121">
        <v>356</v>
      </c>
      <c r="F18121">
        <v>177</v>
      </c>
      <c r="G18121">
        <v>36</v>
      </c>
      <c r="H18121">
        <v>4</v>
      </c>
      <c r="I18121">
        <v>348</v>
      </c>
      <c r="J18121">
        <v>1</v>
      </c>
      <c r="K18121">
        <v>2</v>
      </c>
      <c r="L18121">
        <v>332</v>
      </c>
      <c r="M18121">
        <v>1</v>
      </c>
      <c r="N18121">
        <v>1.2120599999999999E-78</v>
      </c>
      <c r="O18121">
        <v>743</v>
      </c>
    </row>
    <row r="18122" spans="1:15" x14ac:dyDescent="0.25">
      <c r="A18122" t="s">
        <v>18135</v>
      </c>
      <c r="B18122">
        <v>234</v>
      </c>
      <c r="C18122" s="1" t="str">
        <f>HYPERLINK("http://www.rosaceae.org/gb/gbrowse/malus_x_domestica/?name=MDP0000923690","MDP0000923690")</f>
        <v>MDP0000923690</v>
      </c>
      <c r="D18122">
        <v>52.71</v>
      </c>
      <c r="E18122">
        <v>239</v>
      </c>
      <c r="F18122">
        <v>113</v>
      </c>
      <c r="G18122">
        <v>8</v>
      </c>
      <c r="H18122">
        <v>1</v>
      </c>
      <c r="I18122">
        <v>234</v>
      </c>
      <c r="J18122">
        <v>1</v>
      </c>
      <c r="K18122">
        <v>1</v>
      </c>
      <c r="L18122">
        <v>236</v>
      </c>
      <c r="M18122">
        <v>1</v>
      </c>
      <c r="N18122">
        <v>5.7572099999999997E-55</v>
      </c>
      <c r="O18122">
        <v>537</v>
      </c>
    </row>
    <row r="18123" spans="1:15" x14ac:dyDescent="0.25">
      <c r="A18123" t="s">
        <v>18136</v>
      </c>
      <c r="B18123">
        <v>327</v>
      </c>
      <c r="C18123" s="1" t="str">
        <f>HYPERLINK("http://www.rosaceae.org/gb/gbrowse/malus_x_domestica/?name=MDP0000298601","MDP0000298601")</f>
        <v>MDP0000298601</v>
      </c>
      <c r="D18123">
        <v>50</v>
      </c>
      <c r="E18123">
        <v>240</v>
      </c>
      <c r="F18123">
        <v>120</v>
      </c>
      <c r="G18123">
        <v>26</v>
      </c>
      <c r="H18123">
        <v>97</v>
      </c>
      <c r="I18123">
        <v>321</v>
      </c>
      <c r="J18123">
        <v>1</v>
      </c>
      <c r="K18123">
        <v>63</v>
      </c>
      <c r="L18123">
        <v>291</v>
      </c>
      <c r="M18123">
        <v>1</v>
      </c>
      <c r="N18123">
        <v>2.7028299999999999E-52</v>
      </c>
      <c r="O18123">
        <v>515</v>
      </c>
    </row>
    <row r="18124" spans="1:15" x14ac:dyDescent="0.25">
      <c r="A18124" t="s">
        <v>18137</v>
      </c>
      <c r="B18124">
        <v>638</v>
      </c>
      <c r="C18124" s="1" t="str">
        <f>HYPERLINK("http://www.rosaceae.org/gb/gbrowse/malus_x_domestica/?name=MDP0000321007","MDP0000321007")</f>
        <v>MDP0000321007</v>
      </c>
      <c r="D18124">
        <v>74.44</v>
      </c>
      <c r="E18124">
        <v>583</v>
      </c>
      <c r="F18124">
        <v>149</v>
      </c>
      <c r="G18124">
        <v>44</v>
      </c>
      <c r="H18124">
        <v>88</v>
      </c>
      <c r="I18124">
        <v>630</v>
      </c>
      <c r="J18124">
        <v>1</v>
      </c>
      <c r="K18124">
        <v>32</v>
      </c>
      <c r="L18124">
        <v>610</v>
      </c>
      <c r="M18124">
        <v>1</v>
      </c>
      <c r="N18124">
        <v>0</v>
      </c>
      <c r="O18124">
        <v>2281</v>
      </c>
    </row>
    <row r="18125" spans="1:15" x14ac:dyDescent="0.25">
      <c r="A18125" t="s">
        <v>18138</v>
      </c>
      <c r="B18125">
        <v>213</v>
      </c>
      <c r="C18125" s="1" t="str">
        <f>HYPERLINK("http://www.rosaceae.org/gb/gbrowse/malus_x_domestica/?name=MDP0000281973","MDP0000281973")</f>
        <v>MDP0000281973</v>
      </c>
      <c r="D18125">
        <v>42.94</v>
      </c>
      <c r="E18125">
        <v>163</v>
      </c>
      <c r="F18125">
        <v>93</v>
      </c>
      <c r="G18125">
        <v>8</v>
      </c>
      <c r="H18125">
        <v>15</v>
      </c>
      <c r="I18125">
        <v>173</v>
      </c>
      <c r="J18125">
        <v>1</v>
      </c>
      <c r="K18125">
        <v>79</v>
      </c>
      <c r="L18125">
        <v>237</v>
      </c>
      <c r="M18125">
        <v>1</v>
      </c>
      <c r="N18125">
        <v>9.4790800000000003E-35</v>
      </c>
      <c r="O18125">
        <v>362</v>
      </c>
    </row>
    <row r="18126" spans="1:15" x14ac:dyDescent="0.25">
      <c r="A18126" t="s">
        <v>18139</v>
      </c>
      <c r="B18126">
        <v>113</v>
      </c>
      <c r="C18126" s="1" t="str">
        <f>HYPERLINK("http://www.rosaceae.org/gb/gbrowse/malus_x_domestica/?name=MDP0000217867","MDP0000217867")</f>
        <v>MDP0000217867</v>
      </c>
      <c r="D18126">
        <v>52.94</v>
      </c>
      <c r="E18126">
        <v>51</v>
      </c>
      <c r="F18126">
        <v>24</v>
      </c>
      <c r="G18126">
        <v>0</v>
      </c>
      <c r="H18126">
        <v>4</v>
      </c>
      <c r="I18126">
        <v>54</v>
      </c>
      <c r="J18126">
        <v>1</v>
      </c>
      <c r="K18126">
        <v>515</v>
      </c>
      <c r="L18126">
        <v>565</v>
      </c>
      <c r="M18126">
        <v>1</v>
      </c>
      <c r="N18126">
        <v>7.1544199999999998E-9</v>
      </c>
      <c r="O18126">
        <v>134</v>
      </c>
    </row>
    <row r="18127" spans="1:15" x14ac:dyDescent="0.25">
      <c r="A18127" t="s">
        <v>18140</v>
      </c>
      <c r="B18127">
        <v>344</v>
      </c>
      <c r="C18127" s="1" t="str">
        <f>HYPERLINK("http://www.rosaceae.org/gb/gbrowse/malus_x_domestica/?name=MDP0000754989","MDP0000754989")</f>
        <v>MDP0000754989</v>
      </c>
      <c r="D18127">
        <v>49.69</v>
      </c>
      <c r="E18127">
        <v>328</v>
      </c>
      <c r="F18127">
        <v>165</v>
      </c>
      <c r="G18127">
        <v>32</v>
      </c>
      <c r="H18127">
        <v>16</v>
      </c>
      <c r="I18127">
        <v>331</v>
      </c>
      <c r="J18127">
        <v>1</v>
      </c>
      <c r="K18127">
        <v>1</v>
      </c>
      <c r="L18127">
        <v>308</v>
      </c>
      <c r="M18127">
        <v>1</v>
      </c>
      <c r="N18127">
        <v>2.0887500000000001E-72</v>
      </c>
      <c r="O18127">
        <v>689</v>
      </c>
    </row>
    <row r="18128" spans="1:15" x14ac:dyDescent="0.25">
      <c r="A18128" t="s">
        <v>18141</v>
      </c>
      <c r="B18128">
        <v>123</v>
      </c>
      <c r="C18128" s="1" t="str">
        <f>HYPERLINK("http://www.rosaceae.org/gb/gbrowse/malus_x_domestica/?name=MDP0000491810","MDP0000491810")</f>
        <v>MDP0000491810</v>
      </c>
      <c r="D18128">
        <v>67.37</v>
      </c>
      <c r="E18128">
        <v>141</v>
      </c>
      <c r="F18128">
        <v>46</v>
      </c>
      <c r="G18128">
        <v>19</v>
      </c>
      <c r="H18128">
        <v>1</v>
      </c>
      <c r="I18128">
        <v>122</v>
      </c>
      <c r="J18128">
        <v>1</v>
      </c>
      <c r="K18128">
        <v>3</v>
      </c>
      <c r="L18128">
        <v>143</v>
      </c>
      <c r="M18128">
        <v>1</v>
      </c>
      <c r="N18128">
        <v>1.2906600000000001E-43</v>
      </c>
      <c r="O18128">
        <v>434</v>
      </c>
    </row>
    <row r="18129" spans="1:15" x14ac:dyDescent="0.25">
      <c r="A18129" t="s">
        <v>18142</v>
      </c>
      <c r="B18129">
        <v>173</v>
      </c>
      <c r="C18129" s="1" t="str">
        <f>HYPERLINK("http://www.rosaceae.org/gb/gbrowse/malus_x_domestica/?name=MDP0000302984","MDP0000302984")</f>
        <v>MDP0000302984</v>
      </c>
      <c r="D18129">
        <v>52.04</v>
      </c>
      <c r="E18129">
        <v>98</v>
      </c>
      <c r="F18129">
        <v>47</v>
      </c>
      <c r="G18129">
        <v>0</v>
      </c>
      <c r="H18129">
        <v>1</v>
      </c>
      <c r="I18129">
        <v>98</v>
      </c>
      <c r="J18129">
        <v>1</v>
      </c>
      <c r="K18129">
        <v>564</v>
      </c>
      <c r="L18129">
        <v>661</v>
      </c>
      <c r="M18129">
        <v>1</v>
      </c>
      <c r="N18129">
        <v>1.6660800000000001E-25</v>
      </c>
      <c r="O18129">
        <v>280</v>
      </c>
    </row>
    <row r="18130" spans="1:15" x14ac:dyDescent="0.25">
      <c r="A18130" t="s">
        <v>18143</v>
      </c>
      <c r="B18130">
        <v>626</v>
      </c>
      <c r="C18130" s="1" t="str">
        <f>HYPERLINK("http://www.rosaceae.org/gb/gbrowse/malus_x_domestica/?name=MDP0000293499","MDP0000293499")</f>
        <v>MDP0000293499</v>
      </c>
      <c r="D18130">
        <v>66.02</v>
      </c>
      <c r="E18130">
        <v>624</v>
      </c>
      <c r="F18130">
        <v>212</v>
      </c>
      <c r="G18130">
        <v>6</v>
      </c>
      <c r="H18130">
        <v>1</v>
      </c>
      <c r="I18130">
        <v>619</v>
      </c>
      <c r="J18130">
        <v>1</v>
      </c>
      <c r="K18130">
        <v>2</v>
      </c>
      <c r="L18130">
        <v>624</v>
      </c>
      <c r="M18130">
        <v>1</v>
      </c>
      <c r="N18130">
        <v>0</v>
      </c>
      <c r="O18130">
        <v>2115</v>
      </c>
    </row>
    <row r="18131" spans="1:15" x14ac:dyDescent="0.25">
      <c r="A18131" t="s">
        <v>18144</v>
      </c>
      <c r="B18131">
        <v>410</v>
      </c>
      <c r="C18131" s="1" t="str">
        <f>HYPERLINK("http://www.rosaceae.org/gb/gbrowse/malus_x_domestica/?name=MDP0000221442","MDP0000221442")</f>
        <v>MDP0000221442</v>
      </c>
      <c r="D18131">
        <v>84.06</v>
      </c>
      <c r="E18131">
        <v>295</v>
      </c>
      <c r="F18131">
        <v>47</v>
      </c>
      <c r="G18131">
        <v>0</v>
      </c>
      <c r="H18131">
        <v>107</v>
      </c>
      <c r="I18131">
        <v>401</v>
      </c>
      <c r="J18131">
        <v>1</v>
      </c>
      <c r="K18131">
        <v>314</v>
      </c>
      <c r="L18131">
        <v>608</v>
      </c>
      <c r="M18131">
        <v>1</v>
      </c>
      <c r="N18131">
        <v>5.16697E-155</v>
      </c>
      <c r="O18131">
        <v>1402</v>
      </c>
    </row>
    <row r="18132" spans="1:15" x14ac:dyDescent="0.25">
      <c r="A18132" t="s">
        <v>18145</v>
      </c>
      <c r="B18132">
        <v>86</v>
      </c>
      <c r="C18132" s="1" t="str">
        <f>HYPERLINK("http://www.rosaceae.org/gb/gbrowse/malus_x_domestica/?name=MDP0000215916","MDP0000215916")</f>
        <v>MDP0000215916</v>
      </c>
      <c r="D18132">
        <v>53.48</v>
      </c>
      <c r="E18132">
        <v>43</v>
      </c>
      <c r="F18132">
        <v>20</v>
      </c>
      <c r="G18132">
        <v>4</v>
      </c>
      <c r="H18132">
        <v>16</v>
      </c>
      <c r="I18132">
        <v>54</v>
      </c>
      <c r="J18132">
        <v>1</v>
      </c>
      <c r="K18132">
        <v>82</v>
      </c>
      <c r="L18132">
        <v>124</v>
      </c>
      <c r="M18132">
        <v>1</v>
      </c>
      <c r="N18132">
        <v>2.4745000000000001E-7</v>
      </c>
      <c r="O18132">
        <v>121</v>
      </c>
    </row>
    <row r="18133" spans="1:15" x14ac:dyDescent="0.25">
      <c r="A18133" t="s">
        <v>18146</v>
      </c>
      <c r="B18133">
        <v>117</v>
      </c>
      <c r="C18133" s="1" t="str">
        <f>HYPERLINK("http://www.rosaceae.org/gb/gbrowse/malus_x_domestica/?name=MDP0000257503","MDP0000257503")</f>
        <v>MDP0000257503</v>
      </c>
      <c r="D18133">
        <v>83.48</v>
      </c>
      <c r="E18133">
        <v>109</v>
      </c>
      <c r="F18133">
        <v>18</v>
      </c>
      <c r="G18133">
        <v>0</v>
      </c>
      <c r="H18133">
        <v>8</v>
      </c>
      <c r="I18133">
        <v>116</v>
      </c>
      <c r="J18133">
        <v>1</v>
      </c>
      <c r="K18133">
        <v>1034</v>
      </c>
      <c r="L18133">
        <v>1142</v>
      </c>
      <c r="M18133">
        <v>1</v>
      </c>
      <c r="N18133">
        <v>2.3406800000000001E-45</v>
      </c>
      <c r="O18133">
        <v>449</v>
      </c>
    </row>
    <row r="18134" spans="1:15" x14ac:dyDescent="0.25">
      <c r="A18134" t="s">
        <v>18147</v>
      </c>
      <c r="B18134">
        <v>1037</v>
      </c>
      <c r="C18134" s="1" t="str">
        <f>HYPERLINK("http://www.rosaceae.org/gb/gbrowse/malus_x_domestica/?name=MDP0000279620","MDP0000279620")</f>
        <v>MDP0000279620</v>
      </c>
      <c r="D18134">
        <v>64.94</v>
      </c>
      <c r="E18134">
        <v>699</v>
      </c>
      <c r="F18134">
        <v>245</v>
      </c>
      <c r="G18134">
        <v>58</v>
      </c>
      <c r="H18134">
        <v>3</v>
      </c>
      <c r="I18134">
        <v>647</v>
      </c>
      <c r="J18134">
        <v>1</v>
      </c>
      <c r="K18134">
        <v>4</v>
      </c>
      <c r="L18134">
        <v>698</v>
      </c>
      <c r="M18134">
        <v>1</v>
      </c>
      <c r="N18134">
        <v>0</v>
      </c>
      <c r="O18134">
        <v>2346</v>
      </c>
    </row>
    <row r="18135" spans="1:15" x14ac:dyDescent="0.25">
      <c r="A18135" t="s">
        <v>18148</v>
      </c>
      <c r="B18135">
        <v>347</v>
      </c>
      <c r="C18135" s="1" t="str">
        <f>HYPERLINK("http://www.rosaceae.org/gb/gbrowse/malus_x_domestica/?name=MDP0000251656","MDP0000251656")</f>
        <v>MDP0000251656</v>
      </c>
      <c r="D18135">
        <v>66.47</v>
      </c>
      <c r="E18135">
        <v>346</v>
      </c>
      <c r="F18135">
        <v>116</v>
      </c>
      <c r="G18135">
        <v>23</v>
      </c>
      <c r="H18135">
        <v>1</v>
      </c>
      <c r="I18135">
        <v>324</v>
      </c>
      <c r="J18135">
        <v>1</v>
      </c>
      <c r="K18135">
        <v>1</v>
      </c>
      <c r="L18135">
        <v>345</v>
      </c>
      <c r="M18135">
        <v>1</v>
      </c>
      <c r="N18135">
        <v>2.49716E-132</v>
      </c>
      <c r="O18135">
        <v>1206</v>
      </c>
    </row>
    <row r="18136" spans="1:15" x14ac:dyDescent="0.25">
      <c r="A18136" t="s">
        <v>18149</v>
      </c>
      <c r="B18136">
        <v>241</v>
      </c>
      <c r="C18136" s="1" t="str">
        <f>HYPERLINK("http://www.rosaceae.org/gb/gbrowse/malus_x_domestica/?name=MDP0000154322","MDP0000154322")</f>
        <v>MDP0000154322</v>
      </c>
      <c r="D18136">
        <v>66.92</v>
      </c>
      <c r="E18136">
        <v>127</v>
      </c>
      <c r="F18136">
        <v>42</v>
      </c>
      <c r="G18136">
        <v>3</v>
      </c>
      <c r="H18136">
        <v>104</v>
      </c>
      <c r="I18136">
        <v>230</v>
      </c>
      <c r="J18136">
        <v>1</v>
      </c>
      <c r="K18136">
        <v>41</v>
      </c>
      <c r="L18136">
        <v>164</v>
      </c>
      <c r="M18136">
        <v>1</v>
      </c>
      <c r="N18136">
        <v>3.8335300000000003E-42</v>
      </c>
      <c r="O18136">
        <v>426</v>
      </c>
    </row>
    <row r="18137" spans="1:15" x14ac:dyDescent="0.25">
      <c r="A18137" t="s">
        <v>18150</v>
      </c>
      <c r="B18137">
        <v>226</v>
      </c>
      <c r="C18137" s="1" t="str">
        <f>HYPERLINK("http://www.rosaceae.org/gb/gbrowse/malus_x_domestica/?name=MDP0000189006","MDP0000189006")</f>
        <v>MDP0000189006</v>
      </c>
      <c r="D18137">
        <v>63.42</v>
      </c>
      <c r="E18137">
        <v>175</v>
      </c>
      <c r="F18137">
        <v>64</v>
      </c>
      <c r="G18137">
        <v>1</v>
      </c>
      <c r="H18137">
        <v>50</v>
      </c>
      <c r="I18137">
        <v>224</v>
      </c>
      <c r="J18137">
        <v>1</v>
      </c>
      <c r="K18137">
        <v>39</v>
      </c>
      <c r="L18137">
        <v>212</v>
      </c>
      <c r="M18137">
        <v>1</v>
      </c>
      <c r="N18137">
        <v>2.42368E-64</v>
      </c>
      <c r="O18137">
        <v>617</v>
      </c>
    </row>
    <row r="18138" spans="1:15" x14ac:dyDescent="0.25">
      <c r="A18138" t="s">
        <v>18151</v>
      </c>
      <c r="B18138">
        <v>912</v>
      </c>
      <c r="C18138" s="1" t="str">
        <f>HYPERLINK("http://www.rosaceae.org/gb/gbrowse/malus_x_domestica/?name=MDP0000909081","MDP0000909081")</f>
        <v>MDP0000909081</v>
      </c>
      <c r="D18138">
        <v>77.14</v>
      </c>
      <c r="E18138">
        <v>315</v>
      </c>
      <c r="F18138">
        <v>72</v>
      </c>
      <c r="G18138">
        <v>19</v>
      </c>
      <c r="H18138">
        <v>1</v>
      </c>
      <c r="I18138">
        <v>296</v>
      </c>
      <c r="J18138">
        <v>1</v>
      </c>
      <c r="K18138">
        <v>1</v>
      </c>
      <c r="L18138">
        <v>315</v>
      </c>
      <c r="M18138">
        <v>1</v>
      </c>
      <c r="N18138">
        <v>3.2778999999999999E-131</v>
      </c>
      <c r="O18138">
        <v>1201</v>
      </c>
    </row>
    <row r="18139" spans="1:15" x14ac:dyDescent="0.25">
      <c r="A18139" t="s">
        <v>18152</v>
      </c>
      <c r="B18139">
        <v>346</v>
      </c>
      <c r="C18139" s="1" t="str">
        <f>HYPERLINK("http://www.rosaceae.org/gb/gbrowse/malus_x_domestica/?name=MDP0000132406","MDP0000132406")</f>
        <v>MDP0000132406</v>
      </c>
      <c r="D18139">
        <v>36.020000000000003</v>
      </c>
      <c r="E18139">
        <v>347</v>
      </c>
      <c r="F18139">
        <v>222</v>
      </c>
      <c r="G18139">
        <v>49</v>
      </c>
      <c r="H18139">
        <v>19</v>
      </c>
      <c r="I18139">
        <v>336</v>
      </c>
      <c r="J18139">
        <v>1</v>
      </c>
      <c r="K18139">
        <v>120</v>
      </c>
      <c r="L18139">
        <v>446</v>
      </c>
      <c r="M18139">
        <v>1</v>
      </c>
      <c r="N18139">
        <v>3.8110800000000001E-41</v>
      </c>
      <c r="O18139">
        <v>420</v>
      </c>
    </row>
    <row r="18140" spans="1:15" x14ac:dyDescent="0.25">
      <c r="A18140" t="s">
        <v>18153</v>
      </c>
      <c r="B18140">
        <v>315</v>
      </c>
      <c r="C18140" s="1" t="str">
        <f>HYPERLINK("http://www.rosaceae.org/gb/gbrowse/malus_x_domestica/?name=MDP0000848867","MDP0000848867")</f>
        <v>MDP0000848867</v>
      </c>
      <c r="D18140">
        <v>41.33</v>
      </c>
      <c r="E18140">
        <v>150</v>
      </c>
      <c r="F18140">
        <v>88</v>
      </c>
      <c r="G18140">
        <v>20</v>
      </c>
      <c r="H18140">
        <v>2</v>
      </c>
      <c r="I18140">
        <v>134</v>
      </c>
      <c r="J18140">
        <v>1</v>
      </c>
      <c r="K18140">
        <v>1</v>
      </c>
      <c r="L18140">
        <v>147</v>
      </c>
      <c r="M18140">
        <v>1</v>
      </c>
      <c r="N18140">
        <v>1.21827E-20</v>
      </c>
      <c r="O18140">
        <v>242</v>
      </c>
    </row>
    <row r="18141" spans="1:15" x14ac:dyDescent="0.25">
      <c r="A18141" t="s">
        <v>18154</v>
      </c>
      <c r="B18141">
        <v>853</v>
      </c>
      <c r="C18141" s="1" t="str">
        <f>HYPERLINK("http://www.rosaceae.org/gb/gbrowse/malus_x_domestica/?name=MDP0000310683","MDP0000310683")</f>
        <v>MDP0000310683</v>
      </c>
      <c r="D18141">
        <v>76.459999999999994</v>
      </c>
      <c r="E18141">
        <v>752</v>
      </c>
      <c r="F18141">
        <v>177</v>
      </c>
      <c r="G18141">
        <v>27</v>
      </c>
      <c r="H18141">
        <v>105</v>
      </c>
      <c r="I18141">
        <v>853</v>
      </c>
      <c r="J18141">
        <v>1</v>
      </c>
      <c r="K18141">
        <v>55</v>
      </c>
      <c r="L18141">
        <v>782</v>
      </c>
      <c r="M18141">
        <v>1</v>
      </c>
      <c r="N18141">
        <v>0</v>
      </c>
      <c r="O18141">
        <v>2969</v>
      </c>
    </row>
    <row r="18142" spans="1:15" x14ac:dyDescent="0.25">
      <c r="A18142" t="s">
        <v>18155</v>
      </c>
      <c r="B18142">
        <v>458</v>
      </c>
      <c r="C18142" s="1" t="str">
        <f>HYPERLINK("http://www.rosaceae.org/gb/gbrowse/malus_x_domestica/?name=MDP0000199487","MDP0000199487")</f>
        <v>MDP0000199487</v>
      </c>
      <c r="D18142">
        <v>51.04</v>
      </c>
      <c r="E18142">
        <v>96</v>
      </c>
      <c r="F18142">
        <v>47</v>
      </c>
      <c r="G18142">
        <v>8</v>
      </c>
      <c r="H18142">
        <v>338</v>
      </c>
      <c r="I18142">
        <v>425</v>
      </c>
      <c r="J18142">
        <v>1</v>
      </c>
      <c r="K18142">
        <v>9</v>
      </c>
      <c r="L18142">
        <v>104</v>
      </c>
      <c r="M18142">
        <v>1</v>
      </c>
      <c r="N18142">
        <v>5.1842400000000002E-22</v>
      </c>
      <c r="O18142">
        <v>256</v>
      </c>
    </row>
    <row r="18143" spans="1:15" x14ac:dyDescent="0.25">
      <c r="A18143" t="s">
        <v>18156</v>
      </c>
      <c r="B18143">
        <v>843</v>
      </c>
      <c r="C18143" s="1" t="str">
        <f>HYPERLINK("http://www.rosaceae.org/gb/gbrowse/malus_x_domestica/?name=MDP0000199779","MDP0000199779")</f>
        <v>MDP0000199779</v>
      </c>
      <c r="D18143">
        <v>63.78</v>
      </c>
      <c r="E18143">
        <v>856</v>
      </c>
      <c r="F18143">
        <v>310</v>
      </c>
      <c r="G18143">
        <v>28</v>
      </c>
      <c r="H18143">
        <v>1</v>
      </c>
      <c r="I18143">
        <v>843</v>
      </c>
      <c r="J18143">
        <v>1</v>
      </c>
      <c r="K18143">
        <v>1</v>
      </c>
      <c r="L18143">
        <v>841</v>
      </c>
      <c r="M18143">
        <v>1</v>
      </c>
      <c r="N18143">
        <v>0</v>
      </c>
      <c r="O18143">
        <v>2775</v>
      </c>
    </row>
    <row r="18144" spans="1:15" x14ac:dyDescent="0.25">
      <c r="A18144" t="s">
        <v>18157</v>
      </c>
      <c r="B18144">
        <v>458</v>
      </c>
      <c r="C18144" s="1" t="str">
        <f>HYPERLINK("http://www.rosaceae.org/gb/gbrowse/malus_x_domestica/?name=MDP0000267752","MDP0000267752")</f>
        <v>MDP0000267752</v>
      </c>
      <c r="D18144">
        <v>73.849999999999994</v>
      </c>
      <c r="E18144">
        <v>394</v>
      </c>
      <c r="F18144">
        <v>103</v>
      </c>
      <c r="G18144">
        <v>25</v>
      </c>
      <c r="H18144">
        <v>88</v>
      </c>
      <c r="I18144">
        <v>456</v>
      </c>
      <c r="J18144">
        <v>1</v>
      </c>
      <c r="K18144">
        <v>92</v>
      </c>
      <c r="L18144">
        <v>485</v>
      </c>
      <c r="M18144">
        <v>1</v>
      </c>
      <c r="N18144">
        <v>1.38518E-171</v>
      </c>
      <c r="O18144">
        <v>1546</v>
      </c>
    </row>
    <row r="18145" spans="1:15" x14ac:dyDescent="0.25">
      <c r="A18145" t="s">
        <v>18158</v>
      </c>
      <c r="B18145">
        <v>313</v>
      </c>
      <c r="C18145" s="1" t="str">
        <f>HYPERLINK("http://www.rosaceae.org/gb/gbrowse/malus_x_domestica/?name=MDP0000270182","MDP0000270182")</f>
        <v>MDP0000270182</v>
      </c>
      <c r="D18145">
        <v>81.06</v>
      </c>
      <c r="E18145">
        <v>301</v>
      </c>
      <c r="F18145">
        <v>57</v>
      </c>
      <c r="G18145">
        <v>1</v>
      </c>
      <c r="H18145">
        <v>4</v>
      </c>
      <c r="I18145">
        <v>303</v>
      </c>
      <c r="J18145">
        <v>1</v>
      </c>
      <c r="K18145">
        <v>83</v>
      </c>
      <c r="L18145">
        <v>383</v>
      </c>
      <c r="M18145">
        <v>1</v>
      </c>
      <c r="N18145">
        <v>9.2988099999999996E-143</v>
      </c>
      <c r="O18145">
        <v>1295</v>
      </c>
    </row>
    <row r="18146" spans="1:15" x14ac:dyDescent="0.25">
      <c r="A18146" t="s">
        <v>18159</v>
      </c>
      <c r="B18146">
        <v>372</v>
      </c>
      <c r="C18146" s="1" t="str">
        <f>HYPERLINK("http://www.rosaceae.org/gb/gbrowse/malus_x_domestica/?name=MDP0000146662","MDP0000146662")</f>
        <v>MDP0000146662</v>
      </c>
      <c r="D18146">
        <v>71.77</v>
      </c>
      <c r="E18146">
        <v>372</v>
      </c>
      <c r="F18146">
        <v>105</v>
      </c>
      <c r="G18146">
        <v>10</v>
      </c>
      <c r="H18146">
        <v>4</v>
      </c>
      <c r="I18146">
        <v>367</v>
      </c>
      <c r="J18146">
        <v>1</v>
      </c>
      <c r="K18146">
        <v>9</v>
      </c>
      <c r="L18146">
        <v>378</v>
      </c>
      <c r="M18146">
        <v>1</v>
      </c>
      <c r="N18146">
        <v>2.5650699999999998E-150</v>
      </c>
      <c r="O18146">
        <v>1361</v>
      </c>
    </row>
    <row r="18147" spans="1:15" x14ac:dyDescent="0.25">
      <c r="A18147" t="s">
        <v>18160</v>
      </c>
      <c r="B18147">
        <v>367</v>
      </c>
      <c r="C18147" s="1" t="str">
        <f>HYPERLINK("http://www.rosaceae.org/gb/gbrowse/malus_x_domestica/?name=MDP0000146350","MDP0000146350")</f>
        <v>MDP0000146350</v>
      </c>
      <c r="D18147">
        <v>69</v>
      </c>
      <c r="E18147">
        <v>200</v>
      </c>
      <c r="F18147">
        <v>62</v>
      </c>
      <c r="G18147">
        <v>0</v>
      </c>
      <c r="H18147">
        <v>1</v>
      </c>
      <c r="I18147">
        <v>200</v>
      </c>
      <c r="J18147">
        <v>1</v>
      </c>
      <c r="K18147">
        <v>279</v>
      </c>
      <c r="L18147">
        <v>478</v>
      </c>
      <c r="M18147">
        <v>1</v>
      </c>
      <c r="N18147">
        <v>6.7713400000000005E-75</v>
      </c>
      <c r="O18147">
        <v>711</v>
      </c>
    </row>
    <row r="18148" spans="1:15" x14ac:dyDescent="0.25">
      <c r="A18148" t="s">
        <v>18161</v>
      </c>
      <c r="B18148">
        <v>496</v>
      </c>
      <c r="C18148" s="1" t="str">
        <f>HYPERLINK("http://www.rosaceae.org/gb/gbrowse/malus_x_domestica/?name=MDP0000299519","MDP0000299519")</f>
        <v>MDP0000299519</v>
      </c>
      <c r="D18148">
        <v>86.14</v>
      </c>
      <c r="E18148">
        <v>469</v>
      </c>
      <c r="F18148">
        <v>65</v>
      </c>
      <c r="G18148">
        <v>14</v>
      </c>
      <c r="H18148">
        <v>28</v>
      </c>
      <c r="I18148">
        <v>496</v>
      </c>
      <c r="J18148">
        <v>1</v>
      </c>
      <c r="K18148">
        <v>1133</v>
      </c>
      <c r="L18148">
        <v>1587</v>
      </c>
      <c r="M18148">
        <v>1</v>
      </c>
      <c r="N18148">
        <v>0</v>
      </c>
      <c r="O18148">
        <v>2190</v>
      </c>
    </row>
    <row r="18149" spans="1:15" x14ac:dyDescent="0.25">
      <c r="A18149" t="s">
        <v>18162</v>
      </c>
      <c r="B18149">
        <v>364</v>
      </c>
      <c r="C18149" s="1" t="str">
        <f>HYPERLINK("http://www.rosaceae.org/gb/gbrowse/malus_x_domestica/?name=MDP0000147719","MDP0000147719")</f>
        <v>MDP0000147719</v>
      </c>
      <c r="D18149">
        <v>45.19</v>
      </c>
      <c r="E18149">
        <v>177</v>
      </c>
      <c r="F18149">
        <v>97</v>
      </c>
      <c r="G18149">
        <v>27</v>
      </c>
      <c r="H18149">
        <v>107</v>
      </c>
      <c r="I18149">
        <v>266</v>
      </c>
      <c r="J18149">
        <v>1</v>
      </c>
      <c r="K18149">
        <v>37</v>
      </c>
      <c r="L18149">
        <v>203</v>
      </c>
      <c r="M18149">
        <v>1</v>
      </c>
      <c r="N18149">
        <v>1.51344E-23</v>
      </c>
      <c r="O18149">
        <v>268</v>
      </c>
    </row>
    <row r="18150" spans="1:15" x14ac:dyDescent="0.25">
      <c r="A18150" t="s">
        <v>18163</v>
      </c>
      <c r="B18150">
        <v>1051</v>
      </c>
      <c r="C18150" s="1" t="str">
        <f>HYPERLINK("http://www.rosaceae.org/gb/gbrowse/malus_x_domestica/?name=MDP0000320954","MDP0000320954")</f>
        <v>MDP0000320954</v>
      </c>
      <c r="D18150">
        <v>71.709999999999994</v>
      </c>
      <c r="E18150">
        <v>693</v>
      </c>
      <c r="F18150">
        <v>196</v>
      </c>
      <c r="G18150">
        <v>66</v>
      </c>
      <c r="H18150">
        <v>1</v>
      </c>
      <c r="I18150">
        <v>691</v>
      </c>
      <c r="J18150">
        <v>1</v>
      </c>
      <c r="K18150">
        <v>1</v>
      </c>
      <c r="L18150">
        <v>629</v>
      </c>
      <c r="M18150">
        <v>1</v>
      </c>
      <c r="N18150">
        <v>0</v>
      </c>
      <c r="O18150">
        <v>2509</v>
      </c>
    </row>
    <row r="18151" spans="1:15" x14ac:dyDescent="0.25">
      <c r="A18151" t="s">
        <v>18164</v>
      </c>
      <c r="B18151">
        <v>172</v>
      </c>
      <c r="C18151" s="1" t="str">
        <f>HYPERLINK("http://www.rosaceae.org/gb/gbrowse/malus_x_domestica/?name=MDP0000143318","MDP0000143318")</f>
        <v>MDP0000143318</v>
      </c>
      <c r="D18151">
        <v>32.9</v>
      </c>
      <c r="E18151">
        <v>234</v>
      </c>
      <c r="F18151">
        <v>157</v>
      </c>
      <c r="G18151">
        <v>93</v>
      </c>
      <c r="H18151">
        <v>23</v>
      </c>
      <c r="I18151">
        <v>170</v>
      </c>
      <c r="J18151">
        <v>1</v>
      </c>
      <c r="K18151">
        <v>28</v>
      </c>
      <c r="L18151">
        <v>254</v>
      </c>
      <c r="M18151">
        <v>1</v>
      </c>
      <c r="N18151">
        <v>6.5226500000000004E-21</v>
      </c>
      <c r="O18151">
        <v>241</v>
      </c>
    </row>
    <row r="18152" spans="1:15" x14ac:dyDescent="0.25">
      <c r="A18152" t="s">
        <v>18165</v>
      </c>
      <c r="B18152">
        <v>109</v>
      </c>
      <c r="C18152" s="1" t="str">
        <f>HYPERLINK("http://www.rosaceae.org/gb/gbrowse/malus_x_domestica/?name=MDP0000213875","MDP0000213875")</f>
        <v>MDP0000213875</v>
      </c>
      <c r="D18152">
        <v>39.340000000000003</v>
      </c>
      <c r="E18152">
        <v>122</v>
      </c>
      <c r="F18152">
        <v>74</v>
      </c>
      <c r="G18152">
        <v>16</v>
      </c>
      <c r="H18152">
        <v>1</v>
      </c>
      <c r="I18152">
        <v>109</v>
      </c>
      <c r="J18152">
        <v>1</v>
      </c>
      <c r="K18152">
        <v>1</v>
      </c>
      <c r="L18152">
        <v>119</v>
      </c>
      <c r="M18152">
        <v>1</v>
      </c>
      <c r="N18152">
        <v>2.54767E-14</v>
      </c>
      <c r="O18152">
        <v>181</v>
      </c>
    </row>
    <row r="18153" spans="1:15" x14ac:dyDescent="0.25">
      <c r="A18153" t="s">
        <v>18166</v>
      </c>
      <c r="B18153">
        <v>404</v>
      </c>
      <c r="C18153" s="1" t="str">
        <f>HYPERLINK("http://www.rosaceae.org/gb/gbrowse/malus_x_domestica/?name=MDP0000191585","MDP0000191585")</f>
        <v>MDP0000191585</v>
      </c>
      <c r="D18153">
        <v>22.38</v>
      </c>
      <c r="E18153">
        <v>210</v>
      </c>
      <c r="F18153">
        <v>163</v>
      </c>
      <c r="G18153">
        <v>11</v>
      </c>
      <c r="H18153">
        <v>56</v>
      </c>
      <c r="I18153">
        <v>263</v>
      </c>
      <c r="J18153">
        <v>1</v>
      </c>
      <c r="K18153">
        <v>45</v>
      </c>
      <c r="L18153">
        <v>245</v>
      </c>
      <c r="M18153">
        <v>1</v>
      </c>
      <c r="N18153">
        <v>3.5391600000000002E-10</v>
      </c>
      <c r="O18153">
        <v>153</v>
      </c>
    </row>
    <row r="18154" spans="1:15" x14ac:dyDescent="0.25">
      <c r="A18154" t="s">
        <v>18167</v>
      </c>
      <c r="B18154">
        <v>583</v>
      </c>
      <c r="C18154" s="1" t="str">
        <f>HYPERLINK("http://www.rosaceae.org/gb/gbrowse/malus_x_domestica/?name=MDP0000199152","MDP0000199152")</f>
        <v>MDP0000199152</v>
      </c>
      <c r="D18154">
        <v>63.76</v>
      </c>
      <c r="E18154">
        <v>483</v>
      </c>
      <c r="F18154">
        <v>175</v>
      </c>
      <c r="G18154">
        <v>15</v>
      </c>
      <c r="H18154">
        <v>105</v>
      </c>
      <c r="I18154">
        <v>582</v>
      </c>
      <c r="J18154">
        <v>1</v>
      </c>
      <c r="K18154">
        <v>1</v>
      </c>
      <c r="L18154">
        <v>473</v>
      </c>
      <c r="M18154">
        <v>1</v>
      </c>
      <c r="N18154">
        <v>2.0692E-171</v>
      </c>
      <c r="O18154">
        <v>1545</v>
      </c>
    </row>
    <row r="18155" spans="1:15" x14ac:dyDescent="0.25">
      <c r="A18155" t="s">
        <v>18168</v>
      </c>
      <c r="B18155">
        <v>325</v>
      </c>
      <c r="C18155" s="1" t="str">
        <f>HYPERLINK("http://www.rosaceae.org/gb/gbrowse/malus_x_domestica/?name=MDP0000230906","MDP0000230906")</f>
        <v>MDP0000230906</v>
      </c>
      <c r="D18155">
        <v>60.67</v>
      </c>
      <c r="E18155">
        <v>328</v>
      </c>
      <c r="F18155">
        <v>129</v>
      </c>
      <c r="G18155">
        <v>26</v>
      </c>
      <c r="H18155">
        <v>20</v>
      </c>
      <c r="I18155">
        <v>325</v>
      </c>
      <c r="J18155">
        <v>1</v>
      </c>
      <c r="K18155">
        <v>177</v>
      </c>
      <c r="L18155">
        <v>500</v>
      </c>
      <c r="M18155">
        <v>1</v>
      </c>
      <c r="N18155">
        <v>5.79415E-96</v>
      </c>
      <c r="O18155">
        <v>892</v>
      </c>
    </row>
    <row r="18156" spans="1:15" x14ac:dyDescent="0.25">
      <c r="A18156" t="s">
        <v>18169</v>
      </c>
      <c r="B18156">
        <v>300</v>
      </c>
      <c r="C18156" s="1" t="str">
        <f>HYPERLINK("http://www.rosaceae.org/gb/gbrowse/malus_x_domestica/?name=MDP0000175052","MDP0000175052")</f>
        <v>MDP0000175052</v>
      </c>
      <c r="D18156">
        <v>83.67</v>
      </c>
      <c r="E18156">
        <v>147</v>
      </c>
      <c r="F18156">
        <v>24</v>
      </c>
      <c r="G18156">
        <v>0</v>
      </c>
      <c r="H18156">
        <v>146</v>
      </c>
      <c r="I18156">
        <v>292</v>
      </c>
      <c r="J18156">
        <v>1</v>
      </c>
      <c r="K18156">
        <v>206</v>
      </c>
      <c r="L18156">
        <v>352</v>
      </c>
      <c r="M18156">
        <v>1</v>
      </c>
      <c r="N18156">
        <v>2.6087599999999999E-76</v>
      </c>
      <c r="O18156">
        <v>722</v>
      </c>
    </row>
    <row r="18157" spans="1:15" x14ac:dyDescent="0.25">
      <c r="A18157" t="s">
        <v>18170</v>
      </c>
      <c r="B18157">
        <v>676</v>
      </c>
      <c r="C18157" s="1" t="str">
        <f>HYPERLINK("http://www.rosaceae.org/gb/gbrowse/malus_x_domestica/?name=MDP0000316029","MDP0000316029")</f>
        <v>MDP0000316029</v>
      </c>
      <c r="D18157">
        <v>75.73</v>
      </c>
      <c r="E18157">
        <v>643</v>
      </c>
      <c r="F18157">
        <v>156</v>
      </c>
      <c r="G18157">
        <v>72</v>
      </c>
      <c r="H18157">
        <v>28</v>
      </c>
      <c r="I18157">
        <v>602</v>
      </c>
      <c r="J18157">
        <v>1</v>
      </c>
      <c r="K18157">
        <v>1</v>
      </c>
      <c r="L18157">
        <v>639</v>
      </c>
      <c r="M18157">
        <v>1</v>
      </c>
      <c r="N18157">
        <v>0</v>
      </c>
      <c r="O18157">
        <v>2517</v>
      </c>
    </row>
    <row r="18158" spans="1:15" x14ac:dyDescent="0.25">
      <c r="A18158" t="s">
        <v>18171</v>
      </c>
      <c r="B18158">
        <v>184</v>
      </c>
      <c r="C18158" s="1" t="str">
        <f>HYPERLINK("http://www.rosaceae.org/gb/gbrowse/malus_x_domestica/?name=MDP0000680869","MDP0000680869")</f>
        <v>MDP0000680869</v>
      </c>
      <c r="D18158">
        <v>54.76</v>
      </c>
      <c r="E18158">
        <v>126</v>
      </c>
      <c r="F18158">
        <v>57</v>
      </c>
      <c r="G18158">
        <v>20</v>
      </c>
      <c r="H18158">
        <v>55</v>
      </c>
      <c r="I18158">
        <v>165</v>
      </c>
      <c r="J18158">
        <v>1</v>
      </c>
      <c r="K18158">
        <v>29</v>
      </c>
      <c r="L18158">
        <v>149</v>
      </c>
      <c r="M18158">
        <v>1</v>
      </c>
      <c r="N18158">
        <v>7.4911699999999999E-26</v>
      </c>
      <c r="O18158">
        <v>284</v>
      </c>
    </row>
    <row r="18159" spans="1:15" x14ac:dyDescent="0.25">
      <c r="A18159" t="s">
        <v>18172</v>
      </c>
      <c r="B18159">
        <v>179</v>
      </c>
      <c r="C18159" s="1" t="str">
        <f>HYPERLINK("http://www.rosaceae.org/gb/gbrowse/malus_x_domestica/?name=MDP0000763453","MDP0000763453")</f>
        <v>MDP0000763453</v>
      </c>
      <c r="D18159">
        <v>74.069999999999993</v>
      </c>
      <c r="E18159">
        <v>189</v>
      </c>
      <c r="F18159">
        <v>49</v>
      </c>
      <c r="G18159">
        <v>14</v>
      </c>
      <c r="H18159">
        <v>1</v>
      </c>
      <c r="I18159">
        <v>176</v>
      </c>
      <c r="J18159">
        <v>1</v>
      </c>
      <c r="K18159">
        <v>1</v>
      </c>
      <c r="L18159">
        <v>188</v>
      </c>
      <c r="M18159">
        <v>1</v>
      </c>
      <c r="N18159">
        <v>1.8605200000000001E-79</v>
      </c>
      <c r="O18159">
        <v>746</v>
      </c>
    </row>
    <row r="18160" spans="1:15" x14ac:dyDescent="0.25">
      <c r="A18160" t="s">
        <v>18173</v>
      </c>
      <c r="B18160">
        <v>855</v>
      </c>
      <c r="C18160" s="1" t="str">
        <f>HYPERLINK("http://www.rosaceae.org/gb/gbrowse/malus_x_domestica/?name=MDP0000925426","MDP0000925426")</f>
        <v>MDP0000925426</v>
      </c>
      <c r="D18160">
        <v>79.900000000000006</v>
      </c>
      <c r="E18160">
        <v>617</v>
      </c>
      <c r="F18160">
        <v>124</v>
      </c>
      <c r="G18160">
        <v>21</v>
      </c>
      <c r="H18160">
        <v>260</v>
      </c>
      <c r="I18160">
        <v>855</v>
      </c>
      <c r="J18160">
        <v>1</v>
      </c>
      <c r="K18160">
        <v>1</v>
      </c>
      <c r="L18160">
        <v>617</v>
      </c>
      <c r="M18160">
        <v>1</v>
      </c>
      <c r="N18160">
        <v>0</v>
      </c>
      <c r="O18160">
        <v>2589</v>
      </c>
    </row>
    <row r="18161" spans="1:15" x14ac:dyDescent="0.25">
      <c r="A18161" t="s">
        <v>18174</v>
      </c>
      <c r="B18161">
        <v>804</v>
      </c>
      <c r="C18161" s="1" t="str">
        <f>HYPERLINK("http://www.rosaceae.org/gb/gbrowse/malus_x_domestica/?name=MDP0000298815","MDP0000298815")</f>
        <v>MDP0000298815</v>
      </c>
      <c r="D18161">
        <v>64.930000000000007</v>
      </c>
      <c r="E18161">
        <v>656</v>
      </c>
      <c r="F18161">
        <v>230</v>
      </c>
      <c r="G18161">
        <v>81</v>
      </c>
      <c r="H18161">
        <v>143</v>
      </c>
      <c r="I18161">
        <v>777</v>
      </c>
      <c r="J18161">
        <v>1</v>
      </c>
      <c r="K18161">
        <v>41</v>
      </c>
      <c r="L18161">
        <v>636</v>
      </c>
      <c r="M18161">
        <v>1</v>
      </c>
      <c r="N18161">
        <v>0</v>
      </c>
      <c r="O18161">
        <v>2135</v>
      </c>
    </row>
    <row r="18162" spans="1:15" x14ac:dyDescent="0.25">
      <c r="A18162" t="s">
        <v>18175</v>
      </c>
      <c r="B18162">
        <v>673</v>
      </c>
      <c r="C18162" s="1" t="str">
        <f>HYPERLINK("http://www.rosaceae.org/gb/gbrowse/malus_x_domestica/?name=MDP0000421675","MDP0000421675")</f>
        <v>MDP0000421675</v>
      </c>
      <c r="D18162">
        <v>55.52</v>
      </c>
      <c r="E18162">
        <v>652</v>
      </c>
      <c r="F18162">
        <v>290</v>
      </c>
      <c r="G18162">
        <v>88</v>
      </c>
      <c r="H18162">
        <v>30</v>
      </c>
      <c r="I18162">
        <v>660</v>
      </c>
      <c r="J18162">
        <v>1</v>
      </c>
      <c r="K18162">
        <v>92</v>
      </c>
      <c r="L18162">
        <v>676</v>
      </c>
      <c r="M18162">
        <v>1</v>
      </c>
      <c r="N18162">
        <v>4.1416099999999996E-171</v>
      </c>
      <c r="O18162">
        <v>1543</v>
      </c>
    </row>
    <row r="18163" spans="1:15" x14ac:dyDescent="0.25">
      <c r="A18163" t="s">
        <v>18176</v>
      </c>
      <c r="B18163">
        <v>638</v>
      </c>
      <c r="C18163" s="1" t="str">
        <f>HYPERLINK("http://www.rosaceae.org/gb/gbrowse/malus_x_domestica/?name=MDP0000288128","MDP0000288128")</f>
        <v>MDP0000288128</v>
      </c>
      <c r="D18163">
        <v>31.73</v>
      </c>
      <c r="E18163">
        <v>208</v>
      </c>
      <c r="F18163">
        <v>142</v>
      </c>
      <c r="G18163">
        <v>10</v>
      </c>
      <c r="H18163">
        <v>440</v>
      </c>
      <c r="I18163">
        <v>638</v>
      </c>
      <c r="J18163">
        <v>1</v>
      </c>
      <c r="K18163">
        <v>58</v>
      </c>
      <c r="L18163">
        <v>264</v>
      </c>
      <c r="M18163">
        <v>1</v>
      </c>
      <c r="N18163">
        <v>2.43717E-23</v>
      </c>
      <c r="O18163">
        <v>269</v>
      </c>
    </row>
    <row r="18164" spans="1:15" x14ac:dyDescent="0.25">
      <c r="A18164" t="s">
        <v>18177</v>
      </c>
      <c r="B18164">
        <v>758</v>
      </c>
      <c r="C18164" s="1" t="str">
        <f>HYPERLINK("http://www.rosaceae.org/gb/gbrowse/malus_x_domestica/?name=MDP0000179650","MDP0000179650")</f>
        <v>MDP0000179650</v>
      </c>
      <c r="D18164">
        <v>73.61</v>
      </c>
      <c r="E18164">
        <v>667</v>
      </c>
      <c r="F18164">
        <v>176</v>
      </c>
      <c r="G18164">
        <v>27</v>
      </c>
      <c r="H18164">
        <v>37</v>
      </c>
      <c r="I18164">
        <v>694</v>
      </c>
      <c r="J18164">
        <v>1</v>
      </c>
      <c r="K18164">
        <v>38</v>
      </c>
      <c r="L18164">
        <v>686</v>
      </c>
      <c r="M18164">
        <v>1</v>
      </c>
      <c r="N18164">
        <v>0</v>
      </c>
      <c r="O18164">
        <v>2536</v>
      </c>
    </row>
    <row r="18165" spans="1:15" x14ac:dyDescent="0.25">
      <c r="A18165" t="s">
        <v>18178</v>
      </c>
      <c r="B18165">
        <v>723</v>
      </c>
      <c r="C18165" s="1" t="str">
        <f>HYPERLINK("http://www.rosaceae.org/gb/gbrowse/malus_x_domestica/?name=MDP0000237182","MDP0000237182")</f>
        <v>MDP0000237182</v>
      </c>
      <c r="D18165">
        <v>26.06</v>
      </c>
      <c r="E18165">
        <v>234</v>
      </c>
      <c r="F18165">
        <v>173</v>
      </c>
      <c r="G18165">
        <v>6</v>
      </c>
      <c r="H18165">
        <v>325</v>
      </c>
      <c r="I18165">
        <v>555</v>
      </c>
      <c r="J18165">
        <v>1</v>
      </c>
      <c r="K18165">
        <v>221</v>
      </c>
      <c r="L18165">
        <v>451</v>
      </c>
      <c r="M18165">
        <v>1</v>
      </c>
      <c r="N18165">
        <v>2.9382800000000001E-18</v>
      </c>
      <c r="O18165">
        <v>226</v>
      </c>
    </row>
    <row r="18166" spans="1:15" x14ac:dyDescent="0.25">
      <c r="A18166" t="s">
        <v>18179</v>
      </c>
      <c r="B18166">
        <v>272</v>
      </c>
      <c r="C18166" s="1" t="str">
        <f>HYPERLINK("http://www.rosaceae.org/gb/gbrowse/malus_x_domestica/?name=MDP0000311319","MDP0000311319")</f>
        <v>MDP0000311319</v>
      </c>
      <c r="D18166">
        <v>59.05</v>
      </c>
      <c r="E18166">
        <v>276</v>
      </c>
      <c r="F18166">
        <v>113</v>
      </c>
      <c r="G18166">
        <v>13</v>
      </c>
      <c r="H18166">
        <v>1</v>
      </c>
      <c r="I18166">
        <v>272</v>
      </c>
      <c r="J18166">
        <v>1</v>
      </c>
      <c r="K18166">
        <v>358</v>
      </c>
      <c r="L18166">
        <v>624</v>
      </c>
      <c r="M18166">
        <v>1</v>
      </c>
      <c r="N18166">
        <v>1.1691900000000001E-75</v>
      </c>
      <c r="O18166">
        <v>716</v>
      </c>
    </row>
    <row r="18167" spans="1:15" x14ac:dyDescent="0.25">
      <c r="A18167" t="s">
        <v>18180</v>
      </c>
      <c r="B18167">
        <v>99</v>
      </c>
      <c r="C18167" s="1" t="str">
        <f>HYPERLINK("http://www.rosaceae.org/gb/gbrowse/malus_x_domestica/?name=MDP0000344936","MDP0000344936")</f>
        <v>MDP0000344936</v>
      </c>
      <c r="D18167">
        <v>73.97</v>
      </c>
      <c r="E18167">
        <v>73</v>
      </c>
      <c r="F18167">
        <v>19</v>
      </c>
      <c r="G18167">
        <v>1</v>
      </c>
      <c r="H18167">
        <v>1</v>
      </c>
      <c r="I18167">
        <v>72</v>
      </c>
      <c r="J18167">
        <v>1</v>
      </c>
      <c r="K18167">
        <v>29</v>
      </c>
      <c r="L18167">
        <v>101</v>
      </c>
      <c r="M18167">
        <v>1</v>
      </c>
      <c r="N18167">
        <v>8.0104599999999997E-25</v>
      </c>
      <c r="O18167">
        <v>271</v>
      </c>
    </row>
    <row r="18168" spans="1:15" x14ac:dyDescent="0.25">
      <c r="A18168" t="s">
        <v>18181</v>
      </c>
      <c r="B18168">
        <v>515</v>
      </c>
      <c r="C18168" s="1" t="str">
        <f>HYPERLINK("http://www.rosaceae.org/gb/gbrowse/malus_x_domestica/?name=MDP0000850193","MDP0000850193")</f>
        <v>MDP0000850193</v>
      </c>
      <c r="D18168">
        <v>72.88</v>
      </c>
      <c r="E18168">
        <v>413</v>
      </c>
      <c r="F18168">
        <v>112</v>
      </c>
      <c r="G18168">
        <v>12</v>
      </c>
      <c r="H18168">
        <v>111</v>
      </c>
      <c r="I18168">
        <v>514</v>
      </c>
      <c r="J18168">
        <v>1</v>
      </c>
      <c r="K18168">
        <v>1</v>
      </c>
      <c r="L18168">
        <v>410</v>
      </c>
      <c r="M18168">
        <v>1</v>
      </c>
      <c r="N18168">
        <v>4.11155E-168</v>
      </c>
      <c r="O18168">
        <v>1516</v>
      </c>
    </row>
    <row r="18169" spans="1:15" x14ac:dyDescent="0.25">
      <c r="A18169" t="s">
        <v>18182</v>
      </c>
      <c r="B18169">
        <v>193</v>
      </c>
      <c r="C18169" s="1" t="str">
        <f>HYPERLINK("http://www.rosaceae.org/gb/gbrowse/malus_x_domestica/?name=MDP0000309030","MDP0000309030")</f>
        <v>MDP0000309030</v>
      </c>
      <c r="D18169">
        <v>40.93</v>
      </c>
      <c r="E18169">
        <v>193</v>
      </c>
      <c r="F18169">
        <v>114</v>
      </c>
      <c r="G18169">
        <v>3</v>
      </c>
      <c r="H18169">
        <v>2</v>
      </c>
      <c r="I18169">
        <v>191</v>
      </c>
      <c r="J18169">
        <v>1</v>
      </c>
      <c r="K18169">
        <v>116</v>
      </c>
      <c r="L18169">
        <v>308</v>
      </c>
      <c r="M18169">
        <v>1</v>
      </c>
      <c r="N18169">
        <v>8.9773299999999997E-38</v>
      </c>
      <c r="O18169">
        <v>387</v>
      </c>
    </row>
    <row r="18170" spans="1:15" x14ac:dyDescent="0.25">
      <c r="A18170" t="s">
        <v>18183</v>
      </c>
      <c r="B18170">
        <v>199</v>
      </c>
      <c r="C18170" s="1" t="str">
        <f>HYPERLINK("http://www.rosaceae.org/gb/gbrowse/malus_x_domestica/?name=MDP0000137468","MDP0000137468")</f>
        <v>MDP0000137468</v>
      </c>
      <c r="D18170">
        <v>67.72</v>
      </c>
      <c r="E18170">
        <v>189</v>
      </c>
      <c r="F18170">
        <v>61</v>
      </c>
      <c r="G18170">
        <v>2</v>
      </c>
      <c r="H18170">
        <v>1</v>
      </c>
      <c r="I18170">
        <v>189</v>
      </c>
      <c r="J18170">
        <v>1</v>
      </c>
      <c r="K18170">
        <v>1</v>
      </c>
      <c r="L18170">
        <v>187</v>
      </c>
      <c r="M18170">
        <v>1</v>
      </c>
      <c r="N18170">
        <v>2.57666E-65</v>
      </c>
      <c r="O18170">
        <v>625</v>
      </c>
    </row>
    <row r="18171" spans="1:15" x14ac:dyDescent="0.25">
      <c r="A18171" t="s">
        <v>18184</v>
      </c>
      <c r="B18171">
        <v>516</v>
      </c>
      <c r="C18171" s="1" t="str">
        <f>HYPERLINK("http://www.rosaceae.org/gb/gbrowse/malus_x_domestica/?name=MDP0000176465","MDP0000176465")</f>
        <v>MDP0000176465</v>
      </c>
      <c r="D18171">
        <v>42.61</v>
      </c>
      <c r="E18171">
        <v>528</v>
      </c>
      <c r="F18171">
        <v>303</v>
      </c>
      <c r="G18171">
        <v>61</v>
      </c>
      <c r="H18171">
        <v>1</v>
      </c>
      <c r="I18171">
        <v>512</v>
      </c>
      <c r="J18171">
        <v>1</v>
      </c>
      <c r="K18171">
        <v>1</v>
      </c>
      <c r="L18171">
        <v>483</v>
      </c>
      <c r="M18171">
        <v>1</v>
      </c>
      <c r="N18171">
        <v>8.0823200000000005E-90</v>
      </c>
      <c r="O18171">
        <v>841</v>
      </c>
    </row>
    <row r="18172" spans="1:15" x14ac:dyDescent="0.25">
      <c r="A18172" t="s">
        <v>18185</v>
      </c>
      <c r="B18172">
        <v>267</v>
      </c>
      <c r="C18172" s="1" t="str">
        <f>HYPERLINK("http://www.rosaceae.org/gb/gbrowse/malus_x_domestica/?name=MDP0000180950","MDP0000180950")</f>
        <v>MDP0000180950</v>
      </c>
      <c r="D18172">
        <v>59.14</v>
      </c>
      <c r="E18172">
        <v>257</v>
      </c>
      <c r="F18172">
        <v>105</v>
      </c>
      <c r="G18172">
        <v>12</v>
      </c>
      <c r="H18172">
        <v>1</v>
      </c>
      <c r="I18172">
        <v>253</v>
      </c>
      <c r="J18172">
        <v>1</v>
      </c>
      <c r="K18172">
        <v>1</v>
      </c>
      <c r="L18172">
        <v>249</v>
      </c>
      <c r="M18172">
        <v>1</v>
      </c>
      <c r="N18172">
        <v>1.2033999999999999E-74</v>
      </c>
      <c r="O18172">
        <v>707</v>
      </c>
    </row>
    <row r="18173" spans="1:15" x14ac:dyDescent="0.25">
      <c r="A18173" t="s">
        <v>18186</v>
      </c>
      <c r="B18173">
        <v>465</v>
      </c>
      <c r="C18173" s="1" t="str">
        <f>HYPERLINK("http://www.rosaceae.org/gb/gbrowse/malus_x_domestica/?name=MDP0000186260","MDP0000186260")</f>
        <v>MDP0000186260</v>
      </c>
      <c r="D18173">
        <v>36.130000000000003</v>
      </c>
      <c r="E18173">
        <v>119</v>
      </c>
      <c r="F18173">
        <v>76</v>
      </c>
      <c r="G18173">
        <v>0</v>
      </c>
      <c r="H18173">
        <v>343</v>
      </c>
      <c r="I18173">
        <v>461</v>
      </c>
      <c r="J18173">
        <v>1</v>
      </c>
      <c r="K18173">
        <v>25</v>
      </c>
      <c r="L18173">
        <v>143</v>
      </c>
      <c r="M18173">
        <v>1</v>
      </c>
      <c r="N18173">
        <v>2.8534000000000002E-20</v>
      </c>
      <c r="O18173">
        <v>241</v>
      </c>
    </row>
    <row r="18174" spans="1:15" x14ac:dyDescent="0.25">
      <c r="A18174" t="s">
        <v>18187</v>
      </c>
      <c r="B18174">
        <v>140</v>
      </c>
      <c r="C18174" s="1" t="str">
        <f>HYPERLINK("http://www.rosaceae.org/gb/gbrowse/malus_x_domestica/?name=MDP0000167012","MDP0000167012")</f>
        <v>MDP0000167012</v>
      </c>
      <c r="D18174">
        <v>44.27</v>
      </c>
      <c r="E18174">
        <v>131</v>
      </c>
      <c r="F18174">
        <v>73</v>
      </c>
      <c r="G18174">
        <v>3</v>
      </c>
      <c r="H18174">
        <v>1</v>
      </c>
      <c r="I18174">
        <v>129</v>
      </c>
      <c r="J18174">
        <v>1</v>
      </c>
      <c r="K18174">
        <v>256</v>
      </c>
      <c r="L18174">
        <v>385</v>
      </c>
      <c r="M18174">
        <v>1</v>
      </c>
      <c r="N18174">
        <v>7.0763399999999996E-19</v>
      </c>
      <c r="O18174">
        <v>222</v>
      </c>
    </row>
    <row r="18175" spans="1:15" x14ac:dyDescent="0.25">
      <c r="A18175" t="s">
        <v>18188</v>
      </c>
      <c r="B18175">
        <v>714</v>
      </c>
      <c r="C18175" s="1" t="str">
        <f>HYPERLINK("http://www.rosaceae.org/gb/gbrowse/malus_x_domestica/?name=MDP0000466668","MDP0000466668")</f>
        <v>MDP0000466668</v>
      </c>
      <c r="D18175">
        <v>36.549999999999997</v>
      </c>
      <c r="E18175">
        <v>93</v>
      </c>
      <c r="F18175">
        <v>59</v>
      </c>
      <c r="G18175">
        <v>3</v>
      </c>
      <c r="H18175">
        <v>7</v>
      </c>
      <c r="I18175">
        <v>97</v>
      </c>
      <c r="J18175">
        <v>1</v>
      </c>
      <c r="K18175">
        <v>577</v>
      </c>
      <c r="L18175">
        <v>668</v>
      </c>
      <c r="M18175">
        <v>1</v>
      </c>
      <c r="N18175">
        <v>4.2216199999999999E-12</v>
      </c>
      <c r="O18175">
        <v>172</v>
      </c>
    </row>
    <row r="18176" spans="1:15" x14ac:dyDescent="0.25">
      <c r="A18176" t="s">
        <v>18189</v>
      </c>
      <c r="B18176">
        <v>376</v>
      </c>
      <c r="C18176" s="1" t="str">
        <f>HYPERLINK("http://www.rosaceae.org/gb/gbrowse/malus_x_domestica/?name=MDP0000147190","MDP0000147190")</f>
        <v>MDP0000147190</v>
      </c>
      <c r="D18176">
        <v>33.92</v>
      </c>
      <c r="E18176">
        <v>280</v>
      </c>
      <c r="F18176">
        <v>185</v>
      </c>
      <c r="G18176">
        <v>36</v>
      </c>
      <c r="H18176">
        <v>1</v>
      </c>
      <c r="I18176">
        <v>244</v>
      </c>
      <c r="J18176">
        <v>1</v>
      </c>
      <c r="K18176">
        <v>181</v>
      </c>
      <c r="L18176">
        <v>460</v>
      </c>
      <c r="M18176">
        <v>1</v>
      </c>
      <c r="N18176">
        <v>1.7853399999999999E-41</v>
      </c>
      <c r="O18176">
        <v>423</v>
      </c>
    </row>
    <row r="18177" spans="1:15" x14ac:dyDescent="0.25">
      <c r="A18177" t="s">
        <v>18190</v>
      </c>
      <c r="B18177">
        <v>212</v>
      </c>
      <c r="C18177" s="1" t="str">
        <f>HYPERLINK("http://www.rosaceae.org/gb/gbrowse/malus_x_domestica/?name=MDP0000319447","MDP0000319447")</f>
        <v>MDP0000319447</v>
      </c>
      <c r="D18177">
        <v>25.48</v>
      </c>
      <c r="E18177">
        <v>208</v>
      </c>
      <c r="F18177">
        <v>155</v>
      </c>
      <c r="G18177">
        <v>19</v>
      </c>
      <c r="H18177">
        <v>2</v>
      </c>
      <c r="I18177">
        <v>209</v>
      </c>
      <c r="J18177">
        <v>1</v>
      </c>
      <c r="K18177">
        <v>1057</v>
      </c>
      <c r="L18177">
        <v>1245</v>
      </c>
      <c r="M18177">
        <v>1</v>
      </c>
      <c r="N18177">
        <v>9.8645999999999995E-11</v>
      </c>
      <c r="O18177">
        <v>154</v>
      </c>
    </row>
    <row r="18178" spans="1:15" x14ac:dyDescent="0.25">
      <c r="A18178" t="s">
        <v>18191</v>
      </c>
      <c r="B18178">
        <v>809</v>
      </c>
      <c r="C18178" s="1" t="str">
        <f>HYPERLINK("http://www.rosaceae.org/gb/gbrowse/malus_x_domestica/?name=MDP0000267609","MDP0000267609")</f>
        <v>MDP0000267609</v>
      </c>
      <c r="D18178">
        <v>58.97</v>
      </c>
      <c r="E18178">
        <v>819</v>
      </c>
      <c r="F18178">
        <v>336</v>
      </c>
      <c r="G18178">
        <v>93</v>
      </c>
      <c r="H18178">
        <v>80</v>
      </c>
      <c r="I18178">
        <v>809</v>
      </c>
      <c r="J18178">
        <v>1</v>
      </c>
      <c r="K18178">
        <v>30</v>
      </c>
      <c r="L18178">
        <v>844</v>
      </c>
      <c r="M18178">
        <v>1</v>
      </c>
      <c r="N18178">
        <v>0</v>
      </c>
      <c r="O18178">
        <v>2418</v>
      </c>
    </row>
    <row r="18179" spans="1:15" x14ac:dyDescent="0.25">
      <c r="A18179" t="s">
        <v>18192</v>
      </c>
      <c r="B18179">
        <v>396</v>
      </c>
      <c r="C18179" s="1" t="str">
        <f>HYPERLINK("http://www.rosaceae.org/gb/gbrowse/malus_x_domestica/?name=MDP0000185125","MDP0000185125")</f>
        <v>MDP0000185125</v>
      </c>
      <c r="D18179">
        <v>24</v>
      </c>
      <c r="E18179">
        <v>175</v>
      </c>
      <c r="F18179">
        <v>133</v>
      </c>
      <c r="G18179">
        <v>40</v>
      </c>
      <c r="H18179">
        <v>239</v>
      </c>
      <c r="I18179">
        <v>373</v>
      </c>
      <c r="J18179">
        <v>1</v>
      </c>
      <c r="K18179">
        <v>44</v>
      </c>
      <c r="L18179">
        <v>218</v>
      </c>
      <c r="M18179">
        <v>1</v>
      </c>
      <c r="N18179">
        <v>9.6114700000000001E-10</v>
      </c>
      <c r="O18179">
        <v>149</v>
      </c>
    </row>
    <row r="18180" spans="1:15" x14ac:dyDescent="0.25">
      <c r="A18180" t="s">
        <v>18193</v>
      </c>
      <c r="B18180">
        <v>441</v>
      </c>
      <c r="C18180" s="1" t="str">
        <f>HYPERLINK("http://www.rosaceae.org/gb/gbrowse/malus_x_domestica/?name=MDP0000623276","MDP0000623276")</f>
        <v>MDP0000623276</v>
      </c>
      <c r="D18180">
        <v>52.71</v>
      </c>
      <c r="E18180">
        <v>387</v>
      </c>
      <c r="F18180">
        <v>183</v>
      </c>
      <c r="G18180">
        <v>34</v>
      </c>
      <c r="H18180">
        <v>66</v>
      </c>
      <c r="I18180">
        <v>441</v>
      </c>
      <c r="J18180">
        <v>1</v>
      </c>
      <c r="K18180">
        <v>60</v>
      </c>
      <c r="L18180">
        <v>423</v>
      </c>
      <c r="M18180">
        <v>1</v>
      </c>
      <c r="N18180">
        <v>2.8339900000000002E-92</v>
      </c>
      <c r="O18180">
        <v>862</v>
      </c>
    </row>
    <row r="18181" spans="1:15" x14ac:dyDescent="0.25">
      <c r="A18181" t="s">
        <v>18194</v>
      </c>
      <c r="B18181">
        <v>507</v>
      </c>
      <c r="C18181" s="1" t="str">
        <f>HYPERLINK("http://www.rosaceae.org/gb/gbrowse/malus_x_domestica/?name=MDP0000285251","MDP0000285251")</f>
        <v>MDP0000285251</v>
      </c>
      <c r="D18181">
        <v>76.3</v>
      </c>
      <c r="E18181">
        <v>439</v>
      </c>
      <c r="F18181">
        <v>104</v>
      </c>
      <c r="G18181">
        <v>9</v>
      </c>
      <c r="H18181">
        <v>1</v>
      </c>
      <c r="I18181">
        <v>436</v>
      </c>
      <c r="J18181">
        <v>1</v>
      </c>
      <c r="K18181">
        <v>1047</v>
      </c>
      <c r="L18181">
        <v>1479</v>
      </c>
      <c r="M18181">
        <v>1</v>
      </c>
      <c r="N18181">
        <v>0</v>
      </c>
      <c r="O18181">
        <v>1803</v>
      </c>
    </row>
    <row r="18182" spans="1:15" x14ac:dyDescent="0.25">
      <c r="A18182" t="s">
        <v>18195</v>
      </c>
      <c r="B18182">
        <v>333</v>
      </c>
      <c r="C18182" s="1" t="str">
        <f>HYPERLINK("http://www.rosaceae.org/gb/gbrowse/malus_x_domestica/?name=MDP0000224586","MDP0000224586")</f>
        <v>MDP0000224586</v>
      </c>
      <c r="D18182">
        <v>42.28</v>
      </c>
      <c r="E18182">
        <v>350</v>
      </c>
      <c r="F18182">
        <v>202</v>
      </c>
      <c r="G18182">
        <v>61</v>
      </c>
      <c r="H18182">
        <v>28</v>
      </c>
      <c r="I18182">
        <v>323</v>
      </c>
      <c r="J18182">
        <v>1</v>
      </c>
      <c r="K18182">
        <v>12</v>
      </c>
      <c r="L18182">
        <v>354</v>
      </c>
      <c r="M18182">
        <v>1</v>
      </c>
      <c r="N18182">
        <v>6.7482599999999995E-67</v>
      </c>
      <c r="O18182">
        <v>641</v>
      </c>
    </row>
    <row r="18183" spans="1:15" x14ac:dyDescent="0.25">
      <c r="A18183" t="s">
        <v>18196</v>
      </c>
      <c r="B18183">
        <v>380</v>
      </c>
      <c r="C18183" s="1" t="str">
        <f>HYPERLINK("http://www.rosaceae.org/gb/gbrowse/malus_x_domestica/?name=MDP0000378990","MDP0000378990")</f>
        <v>MDP0000378990</v>
      </c>
      <c r="D18183">
        <v>68.349999999999994</v>
      </c>
      <c r="E18183">
        <v>376</v>
      </c>
      <c r="F18183">
        <v>119</v>
      </c>
      <c r="G18183">
        <v>11</v>
      </c>
      <c r="H18183">
        <v>10</v>
      </c>
      <c r="I18183">
        <v>380</v>
      </c>
      <c r="J18183">
        <v>1</v>
      </c>
      <c r="K18183">
        <v>1</v>
      </c>
      <c r="L18183">
        <v>370</v>
      </c>
      <c r="M18183">
        <v>1</v>
      </c>
      <c r="N18183">
        <v>1.15098E-138</v>
      </c>
      <c r="O18183">
        <v>1261</v>
      </c>
    </row>
    <row r="18184" spans="1:15" x14ac:dyDescent="0.25">
      <c r="A18184" t="s">
        <v>18197</v>
      </c>
      <c r="B18184">
        <v>569</v>
      </c>
      <c r="C18184" s="1" t="str">
        <f>HYPERLINK("http://www.rosaceae.org/gb/gbrowse/malus_x_domestica/?name=MDP0000159850","MDP0000159850")</f>
        <v>MDP0000159850</v>
      </c>
      <c r="D18184">
        <v>66.540000000000006</v>
      </c>
      <c r="E18184">
        <v>568</v>
      </c>
      <c r="F18184">
        <v>190</v>
      </c>
      <c r="G18184">
        <v>25</v>
      </c>
      <c r="H18184">
        <v>1</v>
      </c>
      <c r="I18184">
        <v>548</v>
      </c>
      <c r="J18184">
        <v>1</v>
      </c>
      <c r="K18184">
        <v>1</v>
      </c>
      <c r="L18184">
        <v>563</v>
      </c>
      <c r="M18184">
        <v>1</v>
      </c>
      <c r="N18184">
        <v>0</v>
      </c>
      <c r="O18184">
        <v>1762</v>
      </c>
    </row>
    <row r="18185" spans="1:15" x14ac:dyDescent="0.25">
      <c r="A18185" t="s">
        <v>18198</v>
      </c>
      <c r="B18185">
        <v>114</v>
      </c>
      <c r="C18185" s="1" t="str">
        <f>HYPERLINK("http://www.rosaceae.org/gb/gbrowse/malus_x_domestica/?name=MDP0000139742","MDP0000139742")</f>
        <v>MDP0000139742</v>
      </c>
      <c r="D18185">
        <v>55.42</v>
      </c>
      <c r="E18185">
        <v>83</v>
      </c>
      <c r="F18185">
        <v>37</v>
      </c>
      <c r="G18185">
        <v>3</v>
      </c>
      <c r="H18185">
        <v>34</v>
      </c>
      <c r="I18185">
        <v>114</v>
      </c>
      <c r="J18185">
        <v>1</v>
      </c>
      <c r="K18185">
        <v>470</v>
      </c>
      <c r="L18185">
        <v>551</v>
      </c>
      <c r="M18185">
        <v>1</v>
      </c>
      <c r="N18185">
        <v>9.7644299999999994E-18</v>
      </c>
      <c r="O18185">
        <v>210</v>
      </c>
    </row>
    <row r="18186" spans="1:15" x14ac:dyDescent="0.25">
      <c r="A18186" t="s">
        <v>18199</v>
      </c>
      <c r="B18186">
        <v>175</v>
      </c>
      <c r="C18186" s="1" t="str">
        <f>HYPERLINK("http://www.rosaceae.org/gb/gbrowse/malus_x_domestica/?name=MDP0000199262","MDP0000199262")</f>
        <v>MDP0000199262</v>
      </c>
      <c r="D18186">
        <v>62.16</v>
      </c>
      <c r="E18186">
        <v>37</v>
      </c>
      <c r="F18186">
        <v>14</v>
      </c>
      <c r="G18186">
        <v>0</v>
      </c>
      <c r="H18186">
        <v>71</v>
      </c>
      <c r="I18186">
        <v>107</v>
      </c>
      <c r="J18186">
        <v>1</v>
      </c>
      <c r="K18186">
        <v>1</v>
      </c>
      <c r="L18186">
        <v>37</v>
      </c>
      <c r="M18186">
        <v>1</v>
      </c>
      <c r="N18186">
        <v>4.4855700000000001E-7</v>
      </c>
      <c r="O18186">
        <v>122</v>
      </c>
    </row>
    <row r="18187" spans="1:15" x14ac:dyDescent="0.25">
      <c r="A18187" t="s">
        <v>18200</v>
      </c>
      <c r="B18187">
        <v>1361</v>
      </c>
      <c r="C18187" s="1" t="str">
        <f>HYPERLINK("http://www.rosaceae.org/gb/gbrowse/malus_x_domestica/?name=MDP0000686778","MDP0000686778")</f>
        <v>MDP0000686778</v>
      </c>
      <c r="D18187">
        <v>47.33</v>
      </c>
      <c r="E18187">
        <v>357</v>
      </c>
      <c r="F18187">
        <v>188</v>
      </c>
      <c r="G18187">
        <v>13</v>
      </c>
      <c r="H18187">
        <v>718</v>
      </c>
      <c r="I18187">
        <v>1061</v>
      </c>
      <c r="J18187">
        <v>1</v>
      </c>
      <c r="K18187">
        <v>132</v>
      </c>
      <c r="L18187">
        <v>488</v>
      </c>
      <c r="M18187">
        <v>1</v>
      </c>
      <c r="N18187">
        <v>1.9723400000000001E-92</v>
      </c>
      <c r="O18187">
        <v>868</v>
      </c>
    </row>
    <row r="18188" spans="1:15" x14ac:dyDescent="0.25">
      <c r="A18188" t="s">
        <v>18201</v>
      </c>
      <c r="B18188">
        <v>170</v>
      </c>
      <c r="C18188" s="1" t="str">
        <f>HYPERLINK("http://www.rosaceae.org/gb/gbrowse/malus_x_domestica/?name=MDP0000520462","MDP0000520462")</f>
        <v>MDP0000520462</v>
      </c>
      <c r="D18188">
        <v>36.409999999999997</v>
      </c>
      <c r="E18188">
        <v>173</v>
      </c>
      <c r="F18188">
        <v>110</v>
      </c>
      <c r="G18188">
        <v>43</v>
      </c>
      <c r="H18188">
        <v>1</v>
      </c>
      <c r="I18188">
        <v>167</v>
      </c>
      <c r="J18188">
        <v>1</v>
      </c>
      <c r="K18188">
        <v>1</v>
      </c>
      <c r="L18188">
        <v>136</v>
      </c>
      <c r="M18188">
        <v>1</v>
      </c>
      <c r="N18188">
        <v>7.7035200000000004E-17</v>
      </c>
      <c r="O18188">
        <v>206</v>
      </c>
    </row>
    <row r="18189" spans="1:15" x14ac:dyDescent="0.25">
      <c r="A18189" t="s">
        <v>18202</v>
      </c>
      <c r="B18189">
        <v>272</v>
      </c>
      <c r="C18189" s="1" t="str">
        <f>HYPERLINK("http://www.rosaceae.org/gb/gbrowse/malus_x_domestica/?name=MDP0000312871","MDP0000312871")</f>
        <v>MDP0000312871</v>
      </c>
      <c r="D18189">
        <v>71.83</v>
      </c>
      <c r="E18189">
        <v>174</v>
      </c>
      <c r="F18189">
        <v>49</v>
      </c>
      <c r="G18189">
        <v>18</v>
      </c>
      <c r="H18189">
        <v>76</v>
      </c>
      <c r="I18189">
        <v>231</v>
      </c>
      <c r="J18189">
        <v>1</v>
      </c>
      <c r="K18189">
        <v>1</v>
      </c>
      <c r="L18189">
        <v>174</v>
      </c>
      <c r="M18189">
        <v>1</v>
      </c>
      <c r="N18189">
        <v>2.6341199999999998E-65</v>
      </c>
      <c r="O18189">
        <v>627</v>
      </c>
    </row>
    <row r="18190" spans="1:15" x14ac:dyDescent="0.25">
      <c r="A18190" t="s">
        <v>18203</v>
      </c>
      <c r="B18190">
        <v>552</v>
      </c>
      <c r="C18190" s="1" t="str">
        <f>HYPERLINK("http://www.rosaceae.org/gb/gbrowse/malus_x_domestica/?name=MDP0000146129","MDP0000146129")</f>
        <v>MDP0000146129</v>
      </c>
      <c r="D18190">
        <v>51.11</v>
      </c>
      <c r="E18190">
        <v>45</v>
      </c>
      <c r="F18190">
        <v>22</v>
      </c>
      <c r="G18190">
        <v>0</v>
      </c>
      <c r="H18190">
        <v>478</v>
      </c>
      <c r="I18190">
        <v>522</v>
      </c>
      <c r="J18190">
        <v>1</v>
      </c>
      <c r="K18190">
        <v>1</v>
      </c>
      <c r="L18190">
        <v>45</v>
      </c>
      <c r="M18190">
        <v>1</v>
      </c>
      <c r="N18190">
        <v>5.32313E-9</v>
      </c>
      <c r="O18190">
        <v>145</v>
      </c>
    </row>
    <row r="18191" spans="1:15" x14ac:dyDescent="0.25">
      <c r="A18191" t="s">
        <v>18204</v>
      </c>
      <c r="B18191">
        <v>683</v>
      </c>
      <c r="C18191" s="1" t="str">
        <f>HYPERLINK("http://www.rosaceae.org/gb/gbrowse/malus_x_domestica/?name=MDP0000121625","MDP0000121625")</f>
        <v>MDP0000121625</v>
      </c>
      <c r="D18191">
        <v>76.86</v>
      </c>
      <c r="E18191">
        <v>683</v>
      </c>
      <c r="F18191">
        <v>158</v>
      </c>
      <c r="G18191">
        <v>4</v>
      </c>
      <c r="H18191">
        <v>1</v>
      </c>
      <c r="I18191">
        <v>682</v>
      </c>
      <c r="J18191">
        <v>1</v>
      </c>
      <c r="K18191">
        <v>1</v>
      </c>
      <c r="L18191">
        <v>680</v>
      </c>
      <c r="M18191">
        <v>1</v>
      </c>
      <c r="N18191">
        <v>0</v>
      </c>
      <c r="O18191">
        <v>2861</v>
      </c>
    </row>
    <row r="18192" spans="1:15" x14ac:dyDescent="0.25">
      <c r="A18192" t="s">
        <v>18205</v>
      </c>
      <c r="B18192">
        <v>145</v>
      </c>
      <c r="C18192" s="1" t="str">
        <f>HYPERLINK("http://www.rosaceae.org/gb/gbrowse/malus_x_domestica/?name=MDP0000264673","MDP0000264673")</f>
        <v>MDP0000264673</v>
      </c>
      <c r="D18192">
        <v>45.89</v>
      </c>
      <c r="E18192">
        <v>146</v>
      </c>
      <c r="F18192">
        <v>79</v>
      </c>
      <c r="G18192">
        <v>16</v>
      </c>
      <c r="H18192">
        <v>6</v>
      </c>
      <c r="I18192">
        <v>135</v>
      </c>
      <c r="J18192">
        <v>1</v>
      </c>
      <c r="K18192">
        <v>181</v>
      </c>
      <c r="L18192">
        <v>326</v>
      </c>
      <c r="M18192">
        <v>1</v>
      </c>
      <c r="N18192">
        <v>9.4311900000000001E-17</v>
      </c>
      <c r="O18192">
        <v>203</v>
      </c>
    </row>
    <row r="18193" spans="1:15" x14ac:dyDescent="0.25">
      <c r="A18193" t="s">
        <v>18206</v>
      </c>
      <c r="B18193">
        <v>335</v>
      </c>
      <c r="C18193" s="1" t="str">
        <f>HYPERLINK("http://www.rosaceae.org/gb/gbrowse/malus_x_domestica/?name=MDP0000249059","MDP0000249059")</f>
        <v>MDP0000249059</v>
      </c>
      <c r="D18193">
        <v>59.7</v>
      </c>
      <c r="E18193">
        <v>335</v>
      </c>
      <c r="F18193">
        <v>135</v>
      </c>
      <c r="G18193">
        <v>26</v>
      </c>
      <c r="H18193">
        <v>24</v>
      </c>
      <c r="I18193">
        <v>333</v>
      </c>
      <c r="J18193">
        <v>1</v>
      </c>
      <c r="K18193">
        <v>323</v>
      </c>
      <c r="L18193">
        <v>656</v>
      </c>
      <c r="M18193">
        <v>1</v>
      </c>
      <c r="N18193">
        <v>2.30727E-115</v>
      </c>
      <c r="O18193">
        <v>1059</v>
      </c>
    </row>
    <row r="18194" spans="1:15" x14ac:dyDescent="0.25">
      <c r="A18194" t="s">
        <v>18207</v>
      </c>
      <c r="B18194">
        <v>139</v>
      </c>
      <c r="C18194" s="1" t="str">
        <f>HYPERLINK("http://www.rosaceae.org/gb/gbrowse/malus_x_domestica/?name=MDP0000304623","MDP0000304623")</f>
        <v>MDP0000304623</v>
      </c>
      <c r="D18194">
        <v>58.87</v>
      </c>
      <c r="E18194">
        <v>124</v>
      </c>
      <c r="F18194">
        <v>51</v>
      </c>
      <c r="G18194">
        <v>21</v>
      </c>
      <c r="H18194">
        <v>35</v>
      </c>
      <c r="I18194">
        <v>139</v>
      </c>
      <c r="J18194">
        <v>1</v>
      </c>
      <c r="K18194">
        <v>195</v>
      </c>
      <c r="L18194">
        <v>316</v>
      </c>
      <c r="M18194">
        <v>1</v>
      </c>
      <c r="N18194">
        <v>1.4742900000000001E-31</v>
      </c>
      <c r="O18194">
        <v>331</v>
      </c>
    </row>
    <row r="18195" spans="1:15" x14ac:dyDescent="0.25">
      <c r="A18195" t="s">
        <v>18208</v>
      </c>
      <c r="B18195">
        <v>445</v>
      </c>
      <c r="C18195" s="1" t="str">
        <f>HYPERLINK("http://www.rosaceae.org/gb/gbrowse/malus_x_domestica/?name=MDP0000630874","MDP0000630874")</f>
        <v>MDP0000630874</v>
      </c>
      <c r="D18195">
        <v>82.92</v>
      </c>
      <c r="E18195">
        <v>328</v>
      </c>
      <c r="F18195">
        <v>56</v>
      </c>
      <c r="G18195">
        <v>0</v>
      </c>
      <c r="H18195">
        <v>1</v>
      </c>
      <c r="I18195">
        <v>328</v>
      </c>
      <c r="J18195">
        <v>1</v>
      </c>
      <c r="K18195">
        <v>90</v>
      </c>
      <c r="L18195">
        <v>417</v>
      </c>
      <c r="M18195">
        <v>1</v>
      </c>
      <c r="N18195">
        <v>3.2329699999999999E-168</v>
      </c>
      <c r="O18195">
        <v>1517</v>
      </c>
    </row>
    <row r="18196" spans="1:15" x14ac:dyDescent="0.25">
      <c r="A18196" t="s">
        <v>18209</v>
      </c>
      <c r="B18196">
        <v>74</v>
      </c>
      <c r="C18196" s="1" t="str">
        <f>HYPERLINK("http://www.rosaceae.org/gb/gbrowse/malus_x_domestica/?name=MDP0000867775","MDP0000867775")</f>
        <v>MDP0000867775</v>
      </c>
      <c r="D18196">
        <v>77.61</v>
      </c>
      <c r="E18196">
        <v>67</v>
      </c>
      <c r="F18196">
        <v>15</v>
      </c>
      <c r="G18196">
        <v>0</v>
      </c>
      <c r="H18196">
        <v>1</v>
      </c>
      <c r="I18196">
        <v>67</v>
      </c>
      <c r="J18196">
        <v>1</v>
      </c>
      <c r="K18196">
        <v>90</v>
      </c>
      <c r="L18196">
        <v>156</v>
      </c>
      <c r="M18196">
        <v>1</v>
      </c>
      <c r="N18196">
        <v>4.60011E-24</v>
      </c>
      <c r="O18196">
        <v>265</v>
      </c>
    </row>
    <row r="18197" spans="1:15" x14ac:dyDescent="0.25">
      <c r="A18197" t="s">
        <v>18210</v>
      </c>
      <c r="B18197">
        <v>219</v>
      </c>
      <c r="C18197" s="1" t="str">
        <f>HYPERLINK("http://www.rosaceae.org/gb/gbrowse/malus_x_domestica/?name=MDP0000206858","MDP0000206858")</f>
        <v>MDP0000206858</v>
      </c>
      <c r="D18197">
        <v>90.41</v>
      </c>
      <c r="E18197">
        <v>219</v>
      </c>
      <c r="F18197">
        <v>21</v>
      </c>
      <c r="G18197">
        <v>0</v>
      </c>
      <c r="H18197">
        <v>1</v>
      </c>
      <c r="I18197">
        <v>219</v>
      </c>
      <c r="J18197">
        <v>1</v>
      </c>
      <c r="K18197">
        <v>1</v>
      </c>
      <c r="L18197">
        <v>219</v>
      </c>
      <c r="M18197">
        <v>1</v>
      </c>
      <c r="N18197">
        <v>8.8178000000000002E-116</v>
      </c>
      <c r="O18197">
        <v>1061</v>
      </c>
    </row>
    <row r="18198" spans="1:15" x14ac:dyDescent="0.25">
      <c r="A18198" t="s">
        <v>18211</v>
      </c>
      <c r="B18198">
        <v>602</v>
      </c>
      <c r="C18198" s="1" t="str">
        <f>HYPERLINK("http://www.rosaceae.org/gb/gbrowse/malus_x_domestica/?name=MDP0000320381","MDP0000320381")</f>
        <v>MDP0000320381</v>
      </c>
      <c r="D18198">
        <v>66.45</v>
      </c>
      <c r="E18198">
        <v>632</v>
      </c>
      <c r="F18198">
        <v>212</v>
      </c>
      <c r="G18198">
        <v>47</v>
      </c>
      <c r="H18198">
        <v>1</v>
      </c>
      <c r="I18198">
        <v>588</v>
      </c>
      <c r="J18198">
        <v>1</v>
      </c>
      <c r="K18198">
        <v>1</v>
      </c>
      <c r="L18198">
        <v>629</v>
      </c>
      <c r="M18198">
        <v>1</v>
      </c>
      <c r="N18198">
        <v>0</v>
      </c>
      <c r="O18198">
        <v>2095</v>
      </c>
    </row>
    <row r="18199" spans="1:15" x14ac:dyDescent="0.25">
      <c r="A18199" t="s">
        <v>18212</v>
      </c>
      <c r="B18199">
        <v>267</v>
      </c>
      <c r="C18199" s="1" t="str">
        <f>HYPERLINK("http://www.rosaceae.org/gb/gbrowse/malus_x_domestica/?name=MDP0000625459","MDP0000625459")</f>
        <v>MDP0000625459</v>
      </c>
      <c r="D18199">
        <v>53.7</v>
      </c>
      <c r="E18199">
        <v>54</v>
      </c>
      <c r="F18199">
        <v>25</v>
      </c>
      <c r="G18199">
        <v>4</v>
      </c>
      <c r="H18199">
        <v>200</v>
      </c>
      <c r="I18199">
        <v>253</v>
      </c>
      <c r="J18199">
        <v>1</v>
      </c>
      <c r="K18199">
        <v>54</v>
      </c>
      <c r="L18199">
        <v>103</v>
      </c>
      <c r="M18199">
        <v>1</v>
      </c>
      <c r="N18199">
        <v>1.83086E-8</v>
      </c>
      <c r="O18199">
        <v>136</v>
      </c>
    </row>
    <row r="18200" spans="1:15" x14ac:dyDescent="0.25">
      <c r="A18200" t="s">
        <v>18213</v>
      </c>
      <c r="B18200">
        <v>324</v>
      </c>
      <c r="C18200" s="1" t="str">
        <f>HYPERLINK("http://www.rosaceae.org/gb/gbrowse/malus_x_domestica/?name=MDP0000301399","MDP0000301399")</f>
        <v>MDP0000301399</v>
      </c>
      <c r="D18200">
        <v>50</v>
      </c>
      <c r="E18200">
        <v>114</v>
      </c>
      <c r="F18200">
        <v>57</v>
      </c>
      <c r="G18200">
        <v>1</v>
      </c>
      <c r="H18200">
        <v>134</v>
      </c>
      <c r="I18200">
        <v>247</v>
      </c>
      <c r="J18200">
        <v>1</v>
      </c>
      <c r="K18200">
        <v>98</v>
      </c>
      <c r="L18200">
        <v>210</v>
      </c>
      <c r="M18200">
        <v>1</v>
      </c>
      <c r="N18200">
        <v>1.7570399999999999E-23</v>
      </c>
      <c r="O18200">
        <v>267</v>
      </c>
    </row>
    <row r="18201" spans="1:15" x14ac:dyDescent="0.25">
      <c r="A18201" t="s">
        <v>18214</v>
      </c>
      <c r="B18201">
        <v>535</v>
      </c>
      <c r="C18201" s="1" t="str">
        <f>HYPERLINK("http://www.rosaceae.org/gb/gbrowse/malus_x_domestica/?name=MDP0000297419","MDP0000297419")</f>
        <v>MDP0000297419</v>
      </c>
      <c r="D18201">
        <v>30.61</v>
      </c>
      <c r="E18201">
        <v>196</v>
      </c>
      <c r="F18201">
        <v>136</v>
      </c>
      <c r="G18201">
        <v>11</v>
      </c>
      <c r="H18201">
        <v>343</v>
      </c>
      <c r="I18201">
        <v>530</v>
      </c>
      <c r="J18201">
        <v>1</v>
      </c>
      <c r="K18201">
        <v>1</v>
      </c>
      <c r="L18201">
        <v>193</v>
      </c>
      <c r="M18201">
        <v>1</v>
      </c>
      <c r="N18201">
        <v>1.9263800000000001E-13</v>
      </c>
      <c r="O18201">
        <v>183</v>
      </c>
    </row>
    <row r="18202" spans="1:15" x14ac:dyDescent="0.25">
      <c r="A18202" t="s">
        <v>18215</v>
      </c>
      <c r="B18202">
        <v>437</v>
      </c>
      <c r="C18202" s="1" t="str">
        <f>HYPERLINK("http://www.rosaceae.org/gb/gbrowse/malus_x_domestica/?name=MDP0000238444","MDP0000238444")</f>
        <v>MDP0000238444</v>
      </c>
      <c r="D18202">
        <v>80.650000000000006</v>
      </c>
      <c r="E18202">
        <v>336</v>
      </c>
      <c r="F18202">
        <v>65</v>
      </c>
      <c r="G18202">
        <v>8</v>
      </c>
      <c r="H18202">
        <v>1</v>
      </c>
      <c r="I18202">
        <v>328</v>
      </c>
      <c r="J18202">
        <v>1</v>
      </c>
      <c r="K18202">
        <v>51</v>
      </c>
      <c r="L18202">
        <v>386</v>
      </c>
      <c r="M18202">
        <v>1</v>
      </c>
      <c r="N18202">
        <v>3.9685000000000001E-150</v>
      </c>
      <c r="O18202">
        <v>1361</v>
      </c>
    </row>
    <row r="18203" spans="1:15" x14ac:dyDescent="0.25">
      <c r="A18203" t="s">
        <v>18216</v>
      </c>
      <c r="B18203">
        <v>390</v>
      </c>
      <c r="C18203" s="1" t="str">
        <f>HYPERLINK("http://www.rosaceae.org/gb/gbrowse/malus_x_domestica/?name=MDP0000321492","MDP0000321492")</f>
        <v>MDP0000321492</v>
      </c>
      <c r="D18203">
        <v>61.64</v>
      </c>
      <c r="E18203">
        <v>352</v>
      </c>
      <c r="F18203">
        <v>135</v>
      </c>
      <c r="G18203">
        <v>57</v>
      </c>
      <c r="H18203">
        <v>39</v>
      </c>
      <c r="I18203">
        <v>388</v>
      </c>
      <c r="J18203">
        <v>1</v>
      </c>
      <c r="K18203">
        <v>324</v>
      </c>
      <c r="L18203">
        <v>620</v>
      </c>
      <c r="M18203">
        <v>1</v>
      </c>
      <c r="N18203">
        <v>3.3549500000000003E-111</v>
      </c>
      <c r="O18203">
        <v>1024</v>
      </c>
    </row>
    <row r="18204" spans="1:15" x14ac:dyDescent="0.25">
      <c r="A18204" t="s">
        <v>18217</v>
      </c>
      <c r="B18204">
        <v>721</v>
      </c>
      <c r="C18204" s="1" t="str">
        <f>HYPERLINK("http://www.rosaceae.org/gb/gbrowse/malus_x_domestica/?name=MDP0000251803","MDP0000251803")</f>
        <v>MDP0000251803</v>
      </c>
      <c r="D18204">
        <v>83.9</v>
      </c>
      <c r="E18204">
        <v>702</v>
      </c>
      <c r="F18204">
        <v>113</v>
      </c>
      <c r="G18204">
        <v>5</v>
      </c>
      <c r="H18204">
        <v>23</v>
      </c>
      <c r="I18204">
        <v>721</v>
      </c>
      <c r="J18204">
        <v>1</v>
      </c>
      <c r="K18204">
        <v>18</v>
      </c>
      <c r="L18204">
        <v>717</v>
      </c>
      <c r="M18204">
        <v>1</v>
      </c>
      <c r="N18204">
        <v>0</v>
      </c>
      <c r="O18204">
        <v>3175</v>
      </c>
    </row>
    <row r="18205" spans="1:15" x14ac:dyDescent="0.25">
      <c r="A18205" t="s">
        <v>18218</v>
      </c>
      <c r="B18205">
        <v>318</v>
      </c>
      <c r="C18205" s="1" t="str">
        <f>HYPERLINK("http://www.rosaceae.org/gb/gbrowse/malus_x_domestica/?name=MDP0000242411","MDP0000242411")</f>
        <v>MDP0000242411</v>
      </c>
      <c r="D18205">
        <v>56.93</v>
      </c>
      <c r="E18205">
        <v>137</v>
      </c>
      <c r="F18205">
        <v>59</v>
      </c>
      <c r="G18205">
        <v>7</v>
      </c>
      <c r="H18205">
        <v>1</v>
      </c>
      <c r="I18205">
        <v>134</v>
      </c>
      <c r="J18205">
        <v>1</v>
      </c>
      <c r="K18205">
        <v>40</v>
      </c>
      <c r="L18205">
        <v>172</v>
      </c>
      <c r="M18205">
        <v>1</v>
      </c>
      <c r="N18205">
        <v>1.0958000000000001E-31</v>
      </c>
      <c r="O18205">
        <v>338</v>
      </c>
    </row>
    <row r="18206" spans="1:15" x14ac:dyDescent="0.25">
      <c r="A18206" t="s">
        <v>18219</v>
      </c>
      <c r="B18206">
        <v>958</v>
      </c>
      <c r="C18206" s="1" t="str">
        <f>HYPERLINK("http://www.rosaceae.org/gb/gbrowse/malus_x_domestica/?name=MDP0000166305","MDP0000166305")</f>
        <v>MDP0000166305</v>
      </c>
      <c r="D18206">
        <v>64.650000000000006</v>
      </c>
      <c r="E18206">
        <v>1027</v>
      </c>
      <c r="F18206">
        <v>363</v>
      </c>
      <c r="G18206">
        <v>72</v>
      </c>
      <c r="H18206">
        <v>1</v>
      </c>
      <c r="I18206">
        <v>958</v>
      </c>
      <c r="J18206">
        <v>1</v>
      </c>
      <c r="K18206">
        <v>1</v>
      </c>
      <c r="L18206">
        <v>1024</v>
      </c>
      <c r="M18206">
        <v>1</v>
      </c>
      <c r="N18206">
        <v>0</v>
      </c>
      <c r="O18206">
        <v>3365</v>
      </c>
    </row>
    <row r="18207" spans="1:15" x14ac:dyDescent="0.25">
      <c r="A18207" t="s">
        <v>18220</v>
      </c>
      <c r="B18207">
        <v>411</v>
      </c>
      <c r="C18207" s="1" t="str">
        <f>HYPERLINK("http://www.rosaceae.org/gb/gbrowse/malus_x_domestica/?name=MDP0000297049","MDP0000297049")</f>
        <v>MDP0000297049</v>
      </c>
      <c r="D18207">
        <v>44.55</v>
      </c>
      <c r="E18207">
        <v>413</v>
      </c>
      <c r="F18207">
        <v>229</v>
      </c>
      <c r="G18207">
        <v>17</v>
      </c>
      <c r="H18207">
        <v>1</v>
      </c>
      <c r="I18207">
        <v>407</v>
      </c>
      <c r="J18207">
        <v>1</v>
      </c>
      <c r="K18207">
        <v>204</v>
      </c>
      <c r="L18207">
        <v>605</v>
      </c>
      <c r="M18207">
        <v>1</v>
      </c>
      <c r="N18207">
        <v>7.68303E-93</v>
      </c>
      <c r="O18207">
        <v>866</v>
      </c>
    </row>
    <row r="18208" spans="1:15" x14ac:dyDescent="0.25">
      <c r="A18208" t="s">
        <v>18221</v>
      </c>
      <c r="B18208">
        <v>156</v>
      </c>
      <c r="C18208" s="1" t="str">
        <f>HYPERLINK("http://www.rosaceae.org/gb/gbrowse/malus_x_domestica/?name=MDP0000203895","MDP0000203895")</f>
        <v>MDP0000203895</v>
      </c>
      <c r="D18208">
        <v>43.12</v>
      </c>
      <c r="E18208">
        <v>160</v>
      </c>
      <c r="F18208">
        <v>91</v>
      </c>
      <c r="G18208">
        <v>8</v>
      </c>
      <c r="H18208">
        <v>2</v>
      </c>
      <c r="I18208">
        <v>153</v>
      </c>
      <c r="J18208">
        <v>1</v>
      </c>
      <c r="K18208">
        <v>29</v>
      </c>
      <c r="L18208">
        <v>188</v>
      </c>
      <c r="M18208">
        <v>1</v>
      </c>
      <c r="N18208">
        <v>6.4079699999999998E-27</v>
      </c>
      <c r="O18208">
        <v>292</v>
      </c>
    </row>
    <row r="18209" spans="1:15" x14ac:dyDescent="0.25">
      <c r="A18209" t="s">
        <v>18222</v>
      </c>
      <c r="B18209">
        <v>1079</v>
      </c>
      <c r="C18209" s="1" t="str">
        <f>HYPERLINK("http://www.rosaceae.org/gb/gbrowse/malus_x_domestica/?name=MDP0000277881","MDP0000277881")</f>
        <v>MDP0000277881</v>
      </c>
      <c r="D18209">
        <v>76.22</v>
      </c>
      <c r="E18209">
        <v>976</v>
      </c>
      <c r="F18209">
        <v>232</v>
      </c>
      <c r="G18209">
        <v>51</v>
      </c>
      <c r="H18209">
        <v>133</v>
      </c>
      <c r="I18209">
        <v>1079</v>
      </c>
      <c r="J18209">
        <v>1</v>
      </c>
      <c r="K18209">
        <v>13</v>
      </c>
      <c r="L18209">
        <v>966</v>
      </c>
      <c r="M18209">
        <v>1</v>
      </c>
      <c r="N18209">
        <v>0</v>
      </c>
      <c r="O18209">
        <v>3858</v>
      </c>
    </row>
    <row r="18210" spans="1:15" x14ac:dyDescent="0.25">
      <c r="A18210" t="s">
        <v>18223</v>
      </c>
      <c r="B18210">
        <v>435</v>
      </c>
      <c r="C18210" s="1" t="str">
        <f>HYPERLINK("http://www.rosaceae.org/gb/gbrowse/malus_x_domestica/?name=MDP0000420172","MDP0000420172")</f>
        <v>MDP0000420172</v>
      </c>
      <c r="D18210">
        <v>78.62</v>
      </c>
      <c r="E18210">
        <v>379</v>
      </c>
      <c r="F18210">
        <v>81</v>
      </c>
      <c r="G18210">
        <v>3</v>
      </c>
      <c r="H18210">
        <v>33</v>
      </c>
      <c r="I18210">
        <v>411</v>
      </c>
      <c r="J18210">
        <v>1</v>
      </c>
      <c r="K18210">
        <v>29</v>
      </c>
      <c r="L18210">
        <v>404</v>
      </c>
      <c r="M18210">
        <v>1</v>
      </c>
      <c r="N18210">
        <v>1.0041900000000001E-178</v>
      </c>
      <c r="O18210">
        <v>1607</v>
      </c>
    </row>
    <row r="18211" spans="1:15" x14ac:dyDescent="0.25">
      <c r="A18211" t="s">
        <v>18224</v>
      </c>
      <c r="B18211">
        <v>470</v>
      </c>
      <c r="C18211" s="1" t="str">
        <f>HYPERLINK("http://www.rosaceae.org/gb/gbrowse/malus_x_domestica/?name=MDP0000464286","MDP0000464286")</f>
        <v>MDP0000464286</v>
      </c>
      <c r="D18211">
        <v>43.47</v>
      </c>
      <c r="E18211">
        <v>69</v>
      </c>
      <c r="F18211">
        <v>39</v>
      </c>
      <c r="G18211">
        <v>0</v>
      </c>
      <c r="H18211">
        <v>230</v>
      </c>
      <c r="I18211">
        <v>298</v>
      </c>
      <c r="J18211">
        <v>1</v>
      </c>
      <c r="K18211">
        <v>546</v>
      </c>
      <c r="L18211">
        <v>614</v>
      </c>
      <c r="M18211">
        <v>1</v>
      </c>
      <c r="N18211">
        <v>4.01645E-11</v>
      </c>
      <c r="O18211">
        <v>162</v>
      </c>
    </row>
    <row r="18212" spans="1:15" x14ac:dyDescent="0.25">
      <c r="A18212" t="s">
        <v>18225</v>
      </c>
      <c r="B18212">
        <v>190</v>
      </c>
      <c r="C18212" s="1" t="str">
        <f>HYPERLINK("http://www.rosaceae.org/gb/gbrowse/malus_x_domestica/?name=MDP0000204265","MDP0000204265")</f>
        <v>MDP0000204265</v>
      </c>
      <c r="D18212">
        <v>83.42</v>
      </c>
      <c r="E18212">
        <v>175</v>
      </c>
      <c r="F18212">
        <v>29</v>
      </c>
      <c r="G18212">
        <v>1</v>
      </c>
      <c r="H18212">
        <v>1</v>
      </c>
      <c r="I18212">
        <v>175</v>
      </c>
      <c r="J18212">
        <v>1</v>
      </c>
      <c r="K18212">
        <v>1</v>
      </c>
      <c r="L18212">
        <v>174</v>
      </c>
      <c r="M18212">
        <v>1</v>
      </c>
      <c r="N18212">
        <v>1.38188E-79</v>
      </c>
      <c r="O18212">
        <v>748</v>
      </c>
    </row>
    <row r="18213" spans="1:15" x14ac:dyDescent="0.25">
      <c r="A18213" t="s">
        <v>18226</v>
      </c>
      <c r="B18213">
        <v>325</v>
      </c>
      <c r="C18213" s="1" t="str">
        <f>HYPERLINK("http://www.rosaceae.org/gb/gbrowse/malus_x_domestica/?name=MDP0000286589","MDP0000286589")</f>
        <v>MDP0000286589</v>
      </c>
      <c r="D18213">
        <v>51.85</v>
      </c>
      <c r="E18213">
        <v>189</v>
      </c>
      <c r="F18213">
        <v>91</v>
      </c>
      <c r="G18213">
        <v>7</v>
      </c>
      <c r="H18213">
        <v>95</v>
      </c>
      <c r="I18213">
        <v>282</v>
      </c>
      <c r="J18213">
        <v>1</v>
      </c>
      <c r="K18213">
        <v>88</v>
      </c>
      <c r="L18213">
        <v>270</v>
      </c>
      <c r="M18213">
        <v>1</v>
      </c>
      <c r="N18213">
        <v>8.6889399999999997E-51</v>
      </c>
      <c r="O18213">
        <v>502</v>
      </c>
    </row>
    <row r="18214" spans="1:15" x14ac:dyDescent="0.25">
      <c r="A18214" t="s">
        <v>18227</v>
      </c>
      <c r="B18214">
        <v>175</v>
      </c>
      <c r="C18214" s="1" t="str">
        <f>HYPERLINK("http://www.rosaceae.org/gb/gbrowse/malus_x_domestica/?name=MDP0000335223","MDP0000335223")</f>
        <v>MDP0000335223</v>
      </c>
      <c r="D18214">
        <v>70.67</v>
      </c>
      <c r="E18214">
        <v>133</v>
      </c>
      <c r="F18214">
        <v>39</v>
      </c>
      <c r="G18214">
        <v>0</v>
      </c>
      <c r="H18214">
        <v>1</v>
      </c>
      <c r="I18214">
        <v>133</v>
      </c>
      <c r="J18214">
        <v>1</v>
      </c>
      <c r="K18214">
        <v>1</v>
      </c>
      <c r="L18214">
        <v>133</v>
      </c>
      <c r="M18214">
        <v>1</v>
      </c>
      <c r="N18214">
        <v>3.8133300000000002E-49</v>
      </c>
      <c r="O18214">
        <v>484</v>
      </c>
    </row>
    <row r="18215" spans="1:15" x14ac:dyDescent="0.25">
      <c r="A18215" t="s">
        <v>18228</v>
      </c>
      <c r="B18215">
        <v>299</v>
      </c>
      <c r="C18215" s="1" t="str">
        <f>HYPERLINK("http://www.rosaceae.org/gb/gbrowse/malus_x_domestica/?name=MDP0000257517","MDP0000257517")</f>
        <v>MDP0000257517</v>
      </c>
      <c r="D18215">
        <v>37.770000000000003</v>
      </c>
      <c r="E18215">
        <v>90</v>
      </c>
      <c r="F18215">
        <v>56</v>
      </c>
      <c r="G18215">
        <v>1</v>
      </c>
      <c r="H18215">
        <v>1</v>
      </c>
      <c r="I18215">
        <v>89</v>
      </c>
      <c r="J18215">
        <v>1</v>
      </c>
      <c r="K18215">
        <v>115</v>
      </c>
      <c r="L18215">
        <v>204</v>
      </c>
      <c r="M18215">
        <v>1</v>
      </c>
      <c r="N18215">
        <v>8.0881699999999999E-12</v>
      </c>
      <c r="O18215">
        <v>166</v>
      </c>
    </row>
    <row r="18216" spans="1:15" x14ac:dyDescent="0.25">
      <c r="A18216" t="s">
        <v>18229</v>
      </c>
      <c r="B18216">
        <v>241</v>
      </c>
      <c r="C18216" s="1" t="str">
        <f>HYPERLINK("http://www.rosaceae.org/gb/gbrowse/malus_x_domestica/?name=MDP0000158556","MDP0000158556")</f>
        <v>MDP0000158556</v>
      </c>
      <c r="D18216">
        <v>48.27</v>
      </c>
      <c r="E18216">
        <v>145</v>
      </c>
      <c r="F18216">
        <v>75</v>
      </c>
      <c r="G18216">
        <v>6</v>
      </c>
      <c r="H18216">
        <v>94</v>
      </c>
      <c r="I18216">
        <v>237</v>
      </c>
      <c r="J18216">
        <v>1</v>
      </c>
      <c r="K18216">
        <v>318</v>
      </c>
      <c r="L18216">
        <v>457</v>
      </c>
      <c r="M18216">
        <v>1</v>
      </c>
      <c r="N18216">
        <v>1.0467E-30</v>
      </c>
      <c r="O18216">
        <v>328</v>
      </c>
    </row>
    <row r="18217" spans="1:15" x14ac:dyDescent="0.25">
      <c r="A18217" t="s">
        <v>18230</v>
      </c>
      <c r="B18217">
        <v>490</v>
      </c>
      <c r="C18217" s="1" t="str">
        <f>HYPERLINK("http://www.rosaceae.org/gb/gbrowse/malus_x_domestica/?name=MDP0000123407","MDP0000123407")</f>
        <v>MDP0000123407</v>
      </c>
      <c r="D18217">
        <v>56.12</v>
      </c>
      <c r="E18217">
        <v>588</v>
      </c>
      <c r="F18217">
        <v>258</v>
      </c>
      <c r="G18217">
        <v>103</v>
      </c>
      <c r="H18217">
        <v>1</v>
      </c>
      <c r="I18217">
        <v>490</v>
      </c>
      <c r="J18217">
        <v>1</v>
      </c>
      <c r="K18217">
        <v>1</v>
      </c>
      <c r="L18217">
        <v>583</v>
      </c>
      <c r="M18217">
        <v>1</v>
      </c>
      <c r="N18217">
        <v>4.6581500000000002E-174</v>
      </c>
      <c r="O18217">
        <v>1567</v>
      </c>
    </row>
    <row r="18218" spans="1:15" x14ac:dyDescent="0.25">
      <c r="A18218" t="s">
        <v>18231</v>
      </c>
      <c r="B18218">
        <v>793</v>
      </c>
      <c r="C18218" s="1" t="str">
        <f>HYPERLINK("http://www.rosaceae.org/gb/gbrowse/malus_x_domestica/?name=MDP0000281042","MDP0000281042")</f>
        <v>MDP0000281042</v>
      </c>
      <c r="D18218">
        <v>85.86</v>
      </c>
      <c r="E18218">
        <v>290</v>
      </c>
      <c r="F18218">
        <v>41</v>
      </c>
      <c r="G18218">
        <v>0</v>
      </c>
      <c r="H18218">
        <v>208</v>
      </c>
      <c r="I18218">
        <v>497</v>
      </c>
      <c r="J18218">
        <v>1</v>
      </c>
      <c r="K18218">
        <v>568</v>
      </c>
      <c r="L18218">
        <v>857</v>
      </c>
      <c r="M18218">
        <v>1</v>
      </c>
      <c r="N18218">
        <v>4.6420099999999998E-138</v>
      </c>
      <c r="O18218">
        <v>1259</v>
      </c>
    </row>
    <row r="18219" spans="1:15" x14ac:dyDescent="0.25">
      <c r="A18219" t="s">
        <v>18232</v>
      </c>
      <c r="B18219">
        <v>412</v>
      </c>
      <c r="C18219" s="1" t="str">
        <f>HYPERLINK("http://www.rosaceae.org/gb/gbrowse/malus_x_domestica/?name=MDP0000906921","MDP0000906921")</f>
        <v>MDP0000906921</v>
      </c>
      <c r="D18219">
        <v>33.46</v>
      </c>
      <c r="E18219">
        <v>505</v>
      </c>
      <c r="F18219">
        <v>336</v>
      </c>
      <c r="G18219">
        <v>128</v>
      </c>
      <c r="H18219">
        <v>13</v>
      </c>
      <c r="I18219">
        <v>402</v>
      </c>
      <c r="J18219">
        <v>1</v>
      </c>
      <c r="K18219">
        <v>29</v>
      </c>
      <c r="L18219">
        <v>520</v>
      </c>
      <c r="M18219">
        <v>1</v>
      </c>
      <c r="N18219">
        <v>7.1759500000000002E-52</v>
      </c>
      <c r="O18219">
        <v>513</v>
      </c>
    </row>
    <row r="18220" spans="1:15" x14ac:dyDescent="0.25">
      <c r="A18220" t="s">
        <v>18233</v>
      </c>
      <c r="B18220">
        <v>467</v>
      </c>
      <c r="C18220" s="1" t="str">
        <f>HYPERLINK("http://www.rosaceae.org/gb/gbrowse/malus_x_domestica/?name=MDP0000191872","MDP0000191872")</f>
        <v>MDP0000191872</v>
      </c>
      <c r="D18220">
        <v>81.99</v>
      </c>
      <c r="E18220">
        <v>461</v>
      </c>
      <c r="F18220">
        <v>83</v>
      </c>
      <c r="G18220">
        <v>0</v>
      </c>
      <c r="H18220">
        <v>7</v>
      </c>
      <c r="I18220">
        <v>467</v>
      </c>
      <c r="J18220">
        <v>1</v>
      </c>
      <c r="K18220">
        <v>603</v>
      </c>
      <c r="L18220">
        <v>1063</v>
      </c>
      <c r="M18220">
        <v>1</v>
      </c>
      <c r="N18220">
        <v>0</v>
      </c>
      <c r="O18220">
        <v>2044</v>
      </c>
    </row>
    <row r="18221" spans="1:15" x14ac:dyDescent="0.25">
      <c r="A18221" t="s">
        <v>18234</v>
      </c>
      <c r="B18221">
        <v>708</v>
      </c>
      <c r="C18221" s="1" t="str">
        <f>HYPERLINK("http://www.rosaceae.org/gb/gbrowse/malus_x_domestica/?name=MDP0000279620","MDP0000279620")</f>
        <v>MDP0000279620</v>
      </c>
      <c r="D18221">
        <v>68.650000000000006</v>
      </c>
      <c r="E18221">
        <v>721</v>
      </c>
      <c r="F18221">
        <v>226</v>
      </c>
      <c r="G18221">
        <v>19</v>
      </c>
      <c r="H18221">
        <v>3</v>
      </c>
      <c r="I18221">
        <v>708</v>
      </c>
      <c r="J18221">
        <v>1</v>
      </c>
      <c r="K18221">
        <v>4</v>
      </c>
      <c r="L18221">
        <v>720</v>
      </c>
      <c r="M18221">
        <v>1</v>
      </c>
      <c r="N18221">
        <v>0</v>
      </c>
      <c r="O18221">
        <v>2599</v>
      </c>
    </row>
    <row r="18222" spans="1:15" x14ac:dyDescent="0.25">
      <c r="A18222" t="s">
        <v>18235</v>
      </c>
      <c r="B18222">
        <v>150</v>
      </c>
      <c r="C18222" s="1" t="str">
        <f>HYPERLINK("http://www.rosaceae.org/gb/gbrowse/malus_x_domestica/?name=MDP0000221350","MDP0000221350")</f>
        <v>MDP0000221350</v>
      </c>
      <c r="D18222">
        <v>89.11</v>
      </c>
      <c r="E18222">
        <v>147</v>
      </c>
      <c r="F18222">
        <v>16</v>
      </c>
      <c r="G18222">
        <v>0</v>
      </c>
      <c r="H18222">
        <v>1</v>
      </c>
      <c r="I18222">
        <v>147</v>
      </c>
      <c r="J18222">
        <v>1</v>
      </c>
      <c r="K18222">
        <v>137</v>
      </c>
      <c r="L18222">
        <v>283</v>
      </c>
      <c r="M18222">
        <v>1</v>
      </c>
      <c r="N18222">
        <v>7.1152699999999998E-74</v>
      </c>
      <c r="O18222">
        <v>696</v>
      </c>
    </row>
    <row r="18223" spans="1:15" x14ac:dyDescent="0.25">
      <c r="A18223" t="s">
        <v>18236</v>
      </c>
      <c r="B18223">
        <v>243</v>
      </c>
      <c r="C18223" s="1" t="str">
        <f>HYPERLINK("http://www.rosaceae.org/gb/gbrowse/malus_x_domestica/?name=MDP0000154322","MDP0000154322")</f>
        <v>MDP0000154322</v>
      </c>
      <c r="D18223">
        <v>80.290000000000006</v>
      </c>
      <c r="E18223">
        <v>137</v>
      </c>
      <c r="F18223">
        <v>27</v>
      </c>
      <c r="G18223">
        <v>0</v>
      </c>
      <c r="H18223">
        <v>17</v>
      </c>
      <c r="I18223">
        <v>153</v>
      </c>
      <c r="J18223">
        <v>1</v>
      </c>
      <c r="K18223">
        <v>187</v>
      </c>
      <c r="L18223">
        <v>323</v>
      </c>
      <c r="M18223">
        <v>1</v>
      </c>
      <c r="N18223">
        <v>7.1103799999999999E-61</v>
      </c>
      <c r="O18223">
        <v>588</v>
      </c>
    </row>
    <row r="18224" spans="1:15" x14ac:dyDescent="0.25">
      <c r="A18224" t="s">
        <v>18237</v>
      </c>
      <c r="B18224">
        <v>616</v>
      </c>
      <c r="C18224" s="1" t="str">
        <f>HYPERLINK("http://www.rosaceae.org/gb/gbrowse/malus_x_domestica/?name=MDP0000201510","MDP0000201510")</f>
        <v>MDP0000201510</v>
      </c>
      <c r="D18224">
        <v>90.13</v>
      </c>
      <c r="E18224">
        <v>517</v>
      </c>
      <c r="F18224">
        <v>51</v>
      </c>
      <c r="G18224">
        <v>1</v>
      </c>
      <c r="H18224">
        <v>1</v>
      </c>
      <c r="I18224">
        <v>516</v>
      </c>
      <c r="J18224">
        <v>1</v>
      </c>
      <c r="K18224">
        <v>1</v>
      </c>
      <c r="L18224">
        <v>517</v>
      </c>
      <c r="M18224">
        <v>1</v>
      </c>
      <c r="N18224">
        <v>0</v>
      </c>
      <c r="O18224">
        <v>2492</v>
      </c>
    </row>
    <row r="18225" spans="1:15" x14ac:dyDescent="0.25">
      <c r="A18225" t="s">
        <v>18238</v>
      </c>
      <c r="B18225">
        <v>417</v>
      </c>
      <c r="C18225" s="1" t="str">
        <f>HYPERLINK("http://www.rosaceae.org/gb/gbrowse/malus_x_domestica/?name=MDP0000323702","MDP0000323702")</f>
        <v>MDP0000323702</v>
      </c>
      <c r="D18225">
        <v>67.53</v>
      </c>
      <c r="E18225">
        <v>154</v>
      </c>
      <c r="F18225">
        <v>50</v>
      </c>
      <c r="G18225">
        <v>12</v>
      </c>
      <c r="H18225">
        <v>1</v>
      </c>
      <c r="I18225">
        <v>142</v>
      </c>
      <c r="J18225">
        <v>1</v>
      </c>
      <c r="K18225">
        <v>9</v>
      </c>
      <c r="L18225">
        <v>162</v>
      </c>
      <c r="M18225">
        <v>1</v>
      </c>
      <c r="N18225">
        <v>1.09673E-54</v>
      </c>
      <c r="O18225">
        <v>537</v>
      </c>
    </row>
    <row r="18226" spans="1:15" x14ac:dyDescent="0.25">
      <c r="A18226" t="s">
        <v>18239</v>
      </c>
      <c r="B18226">
        <v>531</v>
      </c>
      <c r="C18226" s="1" t="str">
        <f>HYPERLINK("http://www.rosaceae.org/gb/gbrowse/malus_x_domestica/?name=MDP0000140803","MDP0000140803")</f>
        <v>MDP0000140803</v>
      </c>
      <c r="D18226">
        <v>77.400000000000006</v>
      </c>
      <c r="E18226">
        <v>531</v>
      </c>
      <c r="F18226">
        <v>120</v>
      </c>
      <c r="G18226">
        <v>6</v>
      </c>
      <c r="H18226">
        <v>1</v>
      </c>
      <c r="I18226">
        <v>525</v>
      </c>
      <c r="J18226">
        <v>1</v>
      </c>
      <c r="K18226">
        <v>1</v>
      </c>
      <c r="L18226">
        <v>531</v>
      </c>
      <c r="M18226">
        <v>1</v>
      </c>
      <c r="N18226">
        <v>0</v>
      </c>
      <c r="O18226">
        <v>2166</v>
      </c>
    </row>
    <row r="18227" spans="1:15" x14ac:dyDescent="0.25">
      <c r="A18227" t="s">
        <v>18240</v>
      </c>
      <c r="B18227">
        <v>762</v>
      </c>
      <c r="C18227" s="1" t="str">
        <f>HYPERLINK("http://www.rosaceae.org/gb/gbrowse/malus_x_domestica/?name=MDP0000124127","MDP0000124127")</f>
        <v>MDP0000124127</v>
      </c>
      <c r="D18227">
        <v>78.11</v>
      </c>
      <c r="E18227">
        <v>361</v>
      </c>
      <c r="F18227">
        <v>79</v>
      </c>
      <c r="G18227">
        <v>0</v>
      </c>
      <c r="H18227">
        <v>1</v>
      </c>
      <c r="I18227">
        <v>361</v>
      </c>
      <c r="J18227">
        <v>1</v>
      </c>
      <c r="K18227">
        <v>1</v>
      </c>
      <c r="L18227">
        <v>361</v>
      </c>
      <c r="M18227">
        <v>1</v>
      </c>
      <c r="N18227">
        <v>5.6876400000000005E-169</v>
      </c>
      <c r="O18227">
        <v>1526</v>
      </c>
    </row>
    <row r="18228" spans="1:15" x14ac:dyDescent="0.25">
      <c r="A18228" t="s">
        <v>18241</v>
      </c>
      <c r="B18228">
        <v>286</v>
      </c>
      <c r="C18228" s="1" t="str">
        <f>HYPERLINK("http://www.rosaceae.org/gb/gbrowse/malus_x_domestica/?name=MDP0000848867","MDP0000848867")</f>
        <v>MDP0000848867</v>
      </c>
      <c r="D18228">
        <v>29.84</v>
      </c>
      <c r="E18228">
        <v>315</v>
      </c>
      <c r="F18228">
        <v>221</v>
      </c>
      <c r="G18228">
        <v>43</v>
      </c>
      <c r="H18228">
        <v>2</v>
      </c>
      <c r="I18228">
        <v>286</v>
      </c>
      <c r="J18228">
        <v>1</v>
      </c>
      <c r="K18228">
        <v>1</v>
      </c>
      <c r="L18228">
        <v>302</v>
      </c>
      <c r="M18228">
        <v>1</v>
      </c>
      <c r="N18228">
        <v>6.8140100000000003E-24</v>
      </c>
      <c r="O18228">
        <v>270</v>
      </c>
    </row>
    <row r="18229" spans="1:15" x14ac:dyDescent="0.25">
      <c r="A18229" t="s">
        <v>18242</v>
      </c>
      <c r="B18229">
        <v>556</v>
      </c>
      <c r="C18229" s="1" t="str">
        <f>HYPERLINK("http://www.rosaceae.org/gb/gbrowse/malus_x_domestica/?name=MDP0000181135","MDP0000181135")</f>
        <v>MDP0000181135</v>
      </c>
      <c r="D18229">
        <v>46.25</v>
      </c>
      <c r="E18229">
        <v>454</v>
      </c>
      <c r="F18229">
        <v>244</v>
      </c>
      <c r="G18229">
        <v>35</v>
      </c>
      <c r="H18229">
        <v>1</v>
      </c>
      <c r="I18229">
        <v>447</v>
      </c>
      <c r="J18229">
        <v>1</v>
      </c>
      <c r="K18229">
        <v>1</v>
      </c>
      <c r="L18229">
        <v>426</v>
      </c>
      <c r="M18229">
        <v>1</v>
      </c>
      <c r="N18229">
        <v>7.32505E-98</v>
      </c>
      <c r="O18229">
        <v>911</v>
      </c>
    </row>
    <row r="18230" spans="1:15" x14ac:dyDescent="0.25">
      <c r="A18230" t="s">
        <v>18243</v>
      </c>
      <c r="B18230">
        <v>403</v>
      </c>
      <c r="C18230" s="1" t="str">
        <f>HYPERLINK("http://www.rosaceae.org/gb/gbrowse/malus_x_domestica/?name=MDP0000774306","MDP0000774306")</f>
        <v>MDP0000774306</v>
      </c>
      <c r="D18230">
        <v>40.270000000000003</v>
      </c>
      <c r="E18230">
        <v>370</v>
      </c>
      <c r="F18230">
        <v>221</v>
      </c>
      <c r="G18230">
        <v>42</v>
      </c>
      <c r="H18230">
        <v>14</v>
      </c>
      <c r="I18230">
        <v>369</v>
      </c>
      <c r="J18230">
        <v>1</v>
      </c>
      <c r="K18230">
        <v>2</v>
      </c>
      <c r="L18230">
        <v>343</v>
      </c>
      <c r="M18230">
        <v>1</v>
      </c>
      <c r="N18230">
        <v>6.2435199999999999E-55</v>
      </c>
      <c r="O18230">
        <v>539</v>
      </c>
    </row>
    <row r="18231" spans="1:15" x14ac:dyDescent="0.25">
      <c r="A18231" t="s">
        <v>18244</v>
      </c>
      <c r="B18231">
        <v>451</v>
      </c>
      <c r="C18231" s="1" t="str">
        <f>HYPERLINK("http://www.rosaceae.org/gb/gbrowse/malus_x_domestica/?name=MDP0000290560","MDP0000290560")</f>
        <v>MDP0000290560</v>
      </c>
      <c r="D18231">
        <v>49.03</v>
      </c>
      <c r="E18231">
        <v>104</v>
      </c>
      <c r="F18231">
        <v>53</v>
      </c>
      <c r="G18231">
        <v>4</v>
      </c>
      <c r="H18231">
        <v>342</v>
      </c>
      <c r="I18231">
        <v>441</v>
      </c>
      <c r="J18231">
        <v>1</v>
      </c>
      <c r="K18231">
        <v>9</v>
      </c>
      <c r="L18231">
        <v>112</v>
      </c>
      <c r="M18231">
        <v>1</v>
      </c>
      <c r="N18231">
        <v>2.4367100000000001E-24</v>
      </c>
      <c r="O18231">
        <v>276</v>
      </c>
    </row>
    <row r="18232" spans="1:15" x14ac:dyDescent="0.25">
      <c r="A18232" t="s">
        <v>18245</v>
      </c>
      <c r="B18232">
        <v>1332</v>
      </c>
      <c r="C18232" s="1" t="str">
        <f>HYPERLINK("http://www.rosaceae.org/gb/gbrowse/malus_x_domestica/?name=MDP0000199780","MDP0000199780")</f>
        <v>MDP0000199780</v>
      </c>
      <c r="D18232">
        <v>75.63</v>
      </c>
      <c r="E18232">
        <v>1149</v>
      </c>
      <c r="F18232">
        <v>280</v>
      </c>
      <c r="G18232">
        <v>36</v>
      </c>
      <c r="H18232">
        <v>80</v>
      </c>
      <c r="I18232">
        <v>1194</v>
      </c>
      <c r="J18232">
        <v>1</v>
      </c>
      <c r="K18232">
        <v>162</v>
      </c>
      <c r="L18232">
        <v>1308</v>
      </c>
      <c r="M18232">
        <v>1</v>
      </c>
      <c r="N18232">
        <v>0</v>
      </c>
      <c r="O18232">
        <v>4544</v>
      </c>
    </row>
    <row r="18233" spans="1:15" x14ac:dyDescent="0.25">
      <c r="A18233" t="s">
        <v>18246</v>
      </c>
      <c r="B18233">
        <v>127</v>
      </c>
      <c r="C18233" s="1" t="str">
        <f>HYPERLINK("http://www.rosaceae.org/gb/gbrowse/malus_x_domestica/?name=MDP0000148227","MDP0000148227")</f>
        <v>MDP0000148227</v>
      </c>
      <c r="D18233">
        <v>66.92</v>
      </c>
      <c r="E18233">
        <v>127</v>
      </c>
      <c r="F18233">
        <v>42</v>
      </c>
      <c r="G18233">
        <v>4</v>
      </c>
      <c r="H18233">
        <v>1</v>
      </c>
      <c r="I18233">
        <v>123</v>
      </c>
      <c r="J18233">
        <v>1</v>
      </c>
      <c r="K18233">
        <v>226</v>
      </c>
      <c r="L18233">
        <v>352</v>
      </c>
      <c r="M18233">
        <v>1</v>
      </c>
      <c r="N18233">
        <v>6.6688400000000002E-48</v>
      </c>
      <c r="O18233">
        <v>471</v>
      </c>
    </row>
    <row r="18234" spans="1:15" x14ac:dyDescent="0.25">
      <c r="A18234" t="s">
        <v>18247</v>
      </c>
      <c r="B18234">
        <v>955</v>
      </c>
      <c r="C18234" s="1" t="str">
        <f>HYPERLINK("http://www.rosaceae.org/gb/gbrowse/malus_x_domestica/?name=MDP0000538670","MDP0000538670")</f>
        <v>MDP0000538670</v>
      </c>
      <c r="D18234">
        <v>56.85</v>
      </c>
      <c r="E18234">
        <v>1006</v>
      </c>
      <c r="F18234">
        <v>434</v>
      </c>
      <c r="G18234">
        <v>92</v>
      </c>
      <c r="H18234">
        <v>29</v>
      </c>
      <c r="I18234">
        <v>953</v>
      </c>
      <c r="J18234">
        <v>1</v>
      </c>
      <c r="K18234">
        <v>29</v>
      </c>
      <c r="L18234">
        <v>1023</v>
      </c>
      <c r="M18234">
        <v>1</v>
      </c>
      <c r="N18234">
        <v>0</v>
      </c>
      <c r="O18234">
        <v>2787</v>
      </c>
    </row>
    <row r="18235" spans="1:15" x14ac:dyDescent="0.25">
      <c r="A18235" t="s">
        <v>18248</v>
      </c>
      <c r="B18235">
        <v>126</v>
      </c>
      <c r="C18235" s="1" t="str">
        <f>HYPERLINK("http://www.rosaceae.org/gb/gbrowse/malus_x_domestica/?name=MDP0000233650","MDP0000233650")</f>
        <v>MDP0000233650</v>
      </c>
      <c r="D18235">
        <v>42.64</v>
      </c>
      <c r="E18235">
        <v>68</v>
      </c>
      <c r="F18235">
        <v>39</v>
      </c>
      <c r="G18235">
        <v>1</v>
      </c>
      <c r="H18235">
        <v>2</v>
      </c>
      <c r="I18235">
        <v>68</v>
      </c>
      <c r="J18235">
        <v>1</v>
      </c>
      <c r="K18235">
        <v>191</v>
      </c>
      <c r="L18235">
        <v>258</v>
      </c>
      <c r="M18235">
        <v>1</v>
      </c>
      <c r="N18235">
        <v>3.5661500000000001E-9</v>
      </c>
      <c r="O18235">
        <v>137</v>
      </c>
    </row>
    <row r="18236" spans="1:15" x14ac:dyDescent="0.25">
      <c r="A18236" t="s">
        <v>18249</v>
      </c>
      <c r="B18236">
        <v>623</v>
      </c>
      <c r="C18236" s="1" t="str">
        <f>HYPERLINK("http://www.rosaceae.org/gb/gbrowse/malus_x_domestica/?name=MDP0000318353","MDP0000318353")</f>
        <v>MDP0000318353</v>
      </c>
      <c r="D18236">
        <v>77.680000000000007</v>
      </c>
      <c r="E18236">
        <v>354</v>
      </c>
      <c r="F18236">
        <v>79</v>
      </c>
      <c r="G18236">
        <v>5</v>
      </c>
      <c r="H18236">
        <v>1</v>
      </c>
      <c r="I18236">
        <v>352</v>
      </c>
      <c r="J18236">
        <v>1</v>
      </c>
      <c r="K18236">
        <v>1</v>
      </c>
      <c r="L18236">
        <v>351</v>
      </c>
      <c r="M18236">
        <v>1</v>
      </c>
      <c r="N18236">
        <v>1.6164100000000002E-160</v>
      </c>
      <c r="O18236">
        <v>1452</v>
      </c>
    </row>
    <row r="18237" spans="1:15" x14ac:dyDescent="0.25">
      <c r="A18237" t="s">
        <v>18250</v>
      </c>
      <c r="B18237">
        <v>519</v>
      </c>
      <c r="C18237" s="1" t="str">
        <f>HYPERLINK("http://www.rosaceae.org/gb/gbrowse/malus_x_domestica/?name=MDP0000380205","MDP0000380205")</f>
        <v>MDP0000380205</v>
      </c>
      <c r="D18237">
        <v>31.41</v>
      </c>
      <c r="E18237">
        <v>522</v>
      </c>
      <c r="F18237">
        <v>358</v>
      </c>
      <c r="G18237">
        <v>60</v>
      </c>
      <c r="H18237">
        <v>5</v>
      </c>
      <c r="I18237">
        <v>490</v>
      </c>
      <c r="J18237">
        <v>1</v>
      </c>
      <c r="K18237">
        <v>1</v>
      </c>
      <c r="L18237">
        <v>498</v>
      </c>
      <c r="M18237">
        <v>1</v>
      </c>
      <c r="N18237">
        <v>2.6080800000000001E-45</v>
      </c>
      <c r="O18237">
        <v>457</v>
      </c>
    </row>
    <row r="18238" spans="1:15" x14ac:dyDescent="0.25">
      <c r="A18238" t="s">
        <v>18251</v>
      </c>
      <c r="B18238">
        <v>292</v>
      </c>
      <c r="C18238" s="1" t="str">
        <f>HYPERLINK("http://www.rosaceae.org/gb/gbrowse/malus_x_domestica/?name=MDP0000256965","MDP0000256965")</f>
        <v>MDP0000256965</v>
      </c>
      <c r="D18238">
        <v>74.19</v>
      </c>
      <c r="E18238">
        <v>93</v>
      </c>
      <c r="F18238">
        <v>24</v>
      </c>
      <c r="G18238">
        <v>0</v>
      </c>
      <c r="H18238">
        <v>195</v>
      </c>
      <c r="I18238">
        <v>287</v>
      </c>
      <c r="J18238">
        <v>1</v>
      </c>
      <c r="K18238">
        <v>756</v>
      </c>
      <c r="L18238">
        <v>848</v>
      </c>
      <c r="M18238">
        <v>1</v>
      </c>
      <c r="N18238">
        <v>3.9402099999999998E-36</v>
      </c>
      <c r="O18238">
        <v>375</v>
      </c>
    </row>
    <row r="18239" spans="1:15" x14ac:dyDescent="0.25">
      <c r="A18239" t="s">
        <v>18252</v>
      </c>
      <c r="B18239">
        <v>227</v>
      </c>
      <c r="C18239" s="1" t="str">
        <f>HYPERLINK("http://www.rosaceae.org/gb/gbrowse/malus_x_domestica/?name=MDP0000886456","MDP0000886456")</f>
        <v>MDP0000886456</v>
      </c>
      <c r="D18239">
        <v>40.57</v>
      </c>
      <c r="E18239">
        <v>138</v>
      </c>
      <c r="F18239">
        <v>82</v>
      </c>
      <c r="G18239">
        <v>13</v>
      </c>
      <c r="H18239">
        <v>1</v>
      </c>
      <c r="I18239">
        <v>137</v>
      </c>
      <c r="J18239">
        <v>1</v>
      </c>
      <c r="K18239">
        <v>1</v>
      </c>
      <c r="L18239">
        <v>126</v>
      </c>
      <c r="M18239">
        <v>1</v>
      </c>
      <c r="N18239">
        <v>4.7067400000000003E-18</v>
      </c>
      <c r="O18239">
        <v>218</v>
      </c>
    </row>
    <row r="18240" spans="1:15" x14ac:dyDescent="0.25">
      <c r="A18240" t="s">
        <v>18253</v>
      </c>
      <c r="B18240">
        <v>285</v>
      </c>
      <c r="C18240" s="1" t="str">
        <f>HYPERLINK("http://www.rosaceae.org/gb/gbrowse/malus_x_domestica/?name=MDP0000286589","MDP0000286589")</f>
        <v>MDP0000286589</v>
      </c>
      <c r="D18240">
        <v>61.25</v>
      </c>
      <c r="E18240">
        <v>240</v>
      </c>
      <c r="F18240">
        <v>93</v>
      </c>
      <c r="G18240">
        <v>6</v>
      </c>
      <c r="H18240">
        <v>50</v>
      </c>
      <c r="I18240">
        <v>284</v>
      </c>
      <c r="J18240">
        <v>1</v>
      </c>
      <c r="K18240">
        <v>66</v>
      </c>
      <c r="L18240">
        <v>304</v>
      </c>
      <c r="M18240">
        <v>1</v>
      </c>
      <c r="N18240">
        <v>1.31899E-86</v>
      </c>
      <c r="O18240">
        <v>811</v>
      </c>
    </row>
    <row r="18241" spans="1:15" x14ac:dyDescent="0.25">
      <c r="A18241" t="s">
        <v>18254</v>
      </c>
      <c r="B18241">
        <v>364</v>
      </c>
      <c r="C18241" s="1" t="str">
        <f>HYPERLINK("http://www.rosaceae.org/gb/gbrowse/malus_x_domestica/?name=MDP0000274423","MDP0000274423")</f>
        <v>MDP0000274423</v>
      </c>
      <c r="D18241">
        <v>80.489999999999995</v>
      </c>
      <c r="E18241">
        <v>364</v>
      </c>
      <c r="F18241">
        <v>71</v>
      </c>
      <c r="G18241">
        <v>4</v>
      </c>
      <c r="H18241">
        <v>1</v>
      </c>
      <c r="I18241">
        <v>364</v>
      </c>
      <c r="J18241">
        <v>1</v>
      </c>
      <c r="K18241">
        <v>1</v>
      </c>
      <c r="L18241">
        <v>360</v>
      </c>
      <c r="M18241">
        <v>1</v>
      </c>
      <c r="N18241">
        <v>8.1573700000000005E-170</v>
      </c>
      <c r="O18241">
        <v>1529</v>
      </c>
    </row>
    <row r="18242" spans="1:15" x14ac:dyDescent="0.25">
      <c r="A18242" t="s">
        <v>18255</v>
      </c>
      <c r="B18242">
        <v>133</v>
      </c>
      <c r="C18242" s="1" t="str">
        <f>HYPERLINK("http://www.rosaceae.org/gb/gbrowse/malus_x_domestica/?name=MDP0000284856","MDP0000284856")</f>
        <v>MDP0000284856</v>
      </c>
      <c r="D18242">
        <v>87.03</v>
      </c>
      <c r="E18242">
        <v>54</v>
      </c>
      <c r="F18242">
        <v>7</v>
      </c>
      <c r="G18242">
        <v>0</v>
      </c>
      <c r="H18242">
        <v>38</v>
      </c>
      <c r="I18242">
        <v>91</v>
      </c>
      <c r="J18242">
        <v>1</v>
      </c>
      <c r="K18242">
        <v>1</v>
      </c>
      <c r="L18242">
        <v>54</v>
      </c>
      <c r="M18242">
        <v>1</v>
      </c>
      <c r="N18242">
        <v>1.2895E-22</v>
      </c>
      <c r="O18242">
        <v>253</v>
      </c>
    </row>
    <row r="18243" spans="1:15" x14ac:dyDescent="0.25">
      <c r="A18243" t="s">
        <v>18256</v>
      </c>
      <c r="B18243">
        <v>464</v>
      </c>
      <c r="C18243" s="1" t="str">
        <f>HYPERLINK("http://www.rosaceae.org/gb/gbrowse/malus_x_domestica/?name=MDP0000230260","MDP0000230260")</f>
        <v>MDP0000230260</v>
      </c>
      <c r="D18243">
        <v>52.63</v>
      </c>
      <c r="E18243">
        <v>342</v>
      </c>
      <c r="F18243">
        <v>162</v>
      </c>
      <c r="G18243">
        <v>6</v>
      </c>
      <c r="H18243">
        <v>6</v>
      </c>
      <c r="I18243">
        <v>343</v>
      </c>
      <c r="J18243">
        <v>1</v>
      </c>
      <c r="K18243">
        <v>7</v>
      </c>
      <c r="L18243">
        <v>346</v>
      </c>
      <c r="M18243">
        <v>1</v>
      </c>
      <c r="N18243">
        <v>1.51287E-98</v>
      </c>
      <c r="O18243">
        <v>916</v>
      </c>
    </row>
    <row r="18244" spans="1:15" x14ac:dyDescent="0.25">
      <c r="A18244" t="s">
        <v>18257</v>
      </c>
      <c r="B18244">
        <v>657</v>
      </c>
      <c r="C18244" s="1" t="str">
        <f>HYPERLINK("http://www.rosaceae.org/gb/gbrowse/malus_x_domestica/?name=MDP0000263091","MDP0000263091")</f>
        <v>MDP0000263091</v>
      </c>
      <c r="D18244">
        <v>85.66</v>
      </c>
      <c r="E18244">
        <v>635</v>
      </c>
      <c r="F18244">
        <v>91</v>
      </c>
      <c r="G18244">
        <v>4</v>
      </c>
      <c r="H18244">
        <v>1</v>
      </c>
      <c r="I18244">
        <v>631</v>
      </c>
      <c r="J18244">
        <v>1</v>
      </c>
      <c r="K18244">
        <v>1</v>
      </c>
      <c r="L18244">
        <v>635</v>
      </c>
      <c r="M18244">
        <v>1</v>
      </c>
      <c r="N18244">
        <v>0</v>
      </c>
      <c r="O18244">
        <v>2929</v>
      </c>
    </row>
    <row r="18245" spans="1:15" x14ac:dyDescent="0.25">
      <c r="A18245" t="s">
        <v>18258</v>
      </c>
      <c r="B18245">
        <v>596</v>
      </c>
      <c r="C18245" s="1" t="str">
        <f>HYPERLINK("http://www.rosaceae.org/gb/gbrowse/malus_x_domestica/?name=MDP0000293970","MDP0000293970")</f>
        <v>MDP0000293970</v>
      </c>
      <c r="D18245">
        <v>32.979999999999997</v>
      </c>
      <c r="E18245">
        <v>97</v>
      </c>
      <c r="F18245">
        <v>65</v>
      </c>
      <c r="G18245">
        <v>2</v>
      </c>
      <c r="H18245">
        <v>290</v>
      </c>
      <c r="I18245">
        <v>386</v>
      </c>
      <c r="J18245">
        <v>1</v>
      </c>
      <c r="K18245">
        <v>22</v>
      </c>
      <c r="L18245">
        <v>116</v>
      </c>
      <c r="M18245">
        <v>1</v>
      </c>
      <c r="N18245">
        <v>5.08672E-11</v>
      </c>
      <c r="O18245">
        <v>162</v>
      </c>
    </row>
    <row r="18246" spans="1:15" x14ac:dyDescent="0.25">
      <c r="A18246" t="s">
        <v>18259</v>
      </c>
      <c r="B18246">
        <v>128</v>
      </c>
      <c r="C18246" s="1" t="str">
        <f>HYPERLINK("http://www.rosaceae.org/gb/gbrowse/malus_x_domestica/?name=MDP0000160232","MDP0000160232")</f>
        <v>MDP0000160232</v>
      </c>
      <c r="D18246">
        <v>36.020000000000003</v>
      </c>
      <c r="E18246">
        <v>136</v>
      </c>
      <c r="F18246">
        <v>87</v>
      </c>
      <c r="G18246">
        <v>18</v>
      </c>
      <c r="H18246">
        <v>1</v>
      </c>
      <c r="I18246">
        <v>122</v>
      </c>
      <c r="J18246">
        <v>1</v>
      </c>
      <c r="K18246">
        <v>831</v>
      </c>
      <c r="L18246">
        <v>962</v>
      </c>
      <c r="M18246">
        <v>1</v>
      </c>
      <c r="N18246">
        <v>1.6480200000000001E-14</v>
      </c>
      <c r="O18246">
        <v>183</v>
      </c>
    </row>
    <row r="18247" spans="1:15" x14ac:dyDescent="0.25">
      <c r="A18247" t="s">
        <v>18260</v>
      </c>
      <c r="B18247">
        <v>497</v>
      </c>
      <c r="C18247" s="1" t="str">
        <f>HYPERLINK("http://www.rosaceae.org/gb/gbrowse/malus_x_domestica/?name=MDP0000241084","MDP0000241084")</f>
        <v>MDP0000241084</v>
      </c>
      <c r="D18247">
        <v>71.489999999999995</v>
      </c>
      <c r="E18247">
        <v>407</v>
      </c>
      <c r="F18247">
        <v>116</v>
      </c>
      <c r="G18247">
        <v>22</v>
      </c>
      <c r="H18247">
        <v>85</v>
      </c>
      <c r="I18247">
        <v>480</v>
      </c>
      <c r="J18247">
        <v>1</v>
      </c>
      <c r="K18247">
        <v>75</v>
      </c>
      <c r="L18247">
        <v>470</v>
      </c>
      <c r="M18247">
        <v>1</v>
      </c>
      <c r="N18247">
        <v>5.01711E-160</v>
      </c>
      <c r="O18247">
        <v>1446</v>
      </c>
    </row>
    <row r="18248" spans="1:15" x14ac:dyDescent="0.25">
      <c r="A18248" t="s">
        <v>18261</v>
      </c>
      <c r="B18248">
        <v>410</v>
      </c>
      <c r="C18248" s="1" t="str">
        <f>HYPERLINK("http://www.rosaceae.org/gb/gbrowse/malus_x_domestica/?name=MDP0000298815","MDP0000298815")</f>
        <v>MDP0000298815</v>
      </c>
      <c r="D18248">
        <v>75.510000000000005</v>
      </c>
      <c r="E18248">
        <v>388</v>
      </c>
      <c r="F18248">
        <v>95</v>
      </c>
      <c r="G18248">
        <v>14</v>
      </c>
      <c r="H18248">
        <v>37</v>
      </c>
      <c r="I18248">
        <v>410</v>
      </c>
      <c r="J18248">
        <v>1</v>
      </c>
      <c r="K18248">
        <v>636</v>
      </c>
      <c r="L18248">
        <v>1023</v>
      </c>
      <c r="M18248">
        <v>1</v>
      </c>
      <c r="N18248">
        <v>3.4437799999999998E-173</v>
      </c>
      <c r="O18248">
        <v>1559</v>
      </c>
    </row>
    <row r="18249" spans="1:15" x14ac:dyDescent="0.25">
      <c r="A18249" t="s">
        <v>18262</v>
      </c>
      <c r="B18249">
        <v>387</v>
      </c>
      <c r="C18249" s="1" t="str">
        <f>HYPERLINK("http://www.rosaceae.org/gb/gbrowse/malus_x_domestica/?name=MDP0000225382","MDP0000225382")</f>
        <v>MDP0000225382</v>
      </c>
      <c r="D18249">
        <v>30.09</v>
      </c>
      <c r="E18249">
        <v>422</v>
      </c>
      <c r="F18249">
        <v>295</v>
      </c>
      <c r="G18249">
        <v>45</v>
      </c>
      <c r="H18249">
        <v>1</v>
      </c>
      <c r="I18249">
        <v>387</v>
      </c>
      <c r="J18249">
        <v>1</v>
      </c>
      <c r="K18249">
        <v>1</v>
      </c>
      <c r="L18249">
        <v>412</v>
      </c>
      <c r="M18249">
        <v>1</v>
      </c>
      <c r="N18249">
        <v>7.2802500000000004E-50</v>
      </c>
      <c r="O18249">
        <v>495</v>
      </c>
    </row>
    <row r="18250" spans="1:15" x14ac:dyDescent="0.25">
      <c r="A18250" t="s">
        <v>18263</v>
      </c>
      <c r="B18250">
        <v>666</v>
      </c>
      <c r="C18250" s="1" t="str">
        <f>HYPERLINK("http://www.rosaceae.org/gb/gbrowse/malus_x_domestica/?name=MDP0000261625","MDP0000261625")</f>
        <v>MDP0000261625</v>
      </c>
      <c r="D18250">
        <v>75.44</v>
      </c>
      <c r="E18250">
        <v>281</v>
      </c>
      <c r="F18250">
        <v>69</v>
      </c>
      <c r="G18250">
        <v>2</v>
      </c>
      <c r="H18250">
        <v>208</v>
      </c>
      <c r="I18250">
        <v>486</v>
      </c>
      <c r="J18250">
        <v>1</v>
      </c>
      <c r="K18250">
        <v>262</v>
      </c>
      <c r="L18250">
        <v>542</v>
      </c>
      <c r="M18250">
        <v>1</v>
      </c>
      <c r="N18250">
        <v>1.4729800000000001E-125</v>
      </c>
      <c r="O18250">
        <v>1151</v>
      </c>
    </row>
    <row r="18251" spans="1:15" x14ac:dyDescent="0.25">
      <c r="A18251" t="s">
        <v>18264</v>
      </c>
      <c r="B18251">
        <v>226</v>
      </c>
      <c r="C18251" s="1" t="str">
        <f>HYPERLINK("http://www.rosaceae.org/gb/gbrowse/malus_x_domestica/?name=MDP0000311497","MDP0000311497")</f>
        <v>MDP0000311497</v>
      </c>
      <c r="D18251">
        <v>49.77</v>
      </c>
      <c r="E18251">
        <v>223</v>
      </c>
      <c r="F18251">
        <v>112</v>
      </c>
      <c r="G18251">
        <v>7</v>
      </c>
      <c r="H18251">
        <v>2</v>
      </c>
      <c r="I18251">
        <v>218</v>
      </c>
      <c r="J18251">
        <v>1</v>
      </c>
      <c r="K18251">
        <v>4</v>
      </c>
      <c r="L18251">
        <v>225</v>
      </c>
      <c r="M18251">
        <v>1</v>
      </c>
      <c r="N18251">
        <v>2.4894400000000001E-58</v>
      </c>
      <c r="O18251">
        <v>565</v>
      </c>
    </row>
    <row r="18252" spans="1:15" x14ac:dyDescent="0.25">
      <c r="A18252" t="s">
        <v>18265</v>
      </c>
      <c r="B18252">
        <v>529</v>
      </c>
      <c r="C18252" s="1" t="str">
        <f>HYPERLINK("http://www.rosaceae.org/gb/gbrowse/malus_x_domestica/?name=MDP0000136709","MDP0000136709")</f>
        <v>MDP0000136709</v>
      </c>
      <c r="D18252">
        <v>69.069999999999993</v>
      </c>
      <c r="E18252">
        <v>194</v>
      </c>
      <c r="F18252">
        <v>60</v>
      </c>
      <c r="G18252">
        <v>35</v>
      </c>
      <c r="H18252">
        <v>371</v>
      </c>
      <c r="I18252">
        <v>529</v>
      </c>
      <c r="J18252">
        <v>1</v>
      </c>
      <c r="K18252">
        <v>341</v>
      </c>
      <c r="L18252">
        <v>534</v>
      </c>
      <c r="M18252">
        <v>1</v>
      </c>
      <c r="N18252">
        <v>7.70566E-75</v>
      </c>
      <c r="O18252">
        <v>712</v>
      </c>
    </row>
    <row r="18253" spans="1:15" x14ac:dyDescent="0.25">
      <c r="A18253" t="s">
        <v>18266</v>
      </c>
      <c r="B18253">
        <v>489</v>
      </c>
      <c r="C18253" s="1" t="str">
        <f>HYPERLINK("http://www.rosaceae.org/gb/gbrowse/malus_x_domestica/?name=MDP0000232941","MDP0000232941")</f>
        <v>MDP0000232941</v>
      </c>
      <c r="D18253">
        <v>83.13</v>
      </c>
      <c r="E18253">
        <v>492</v>
      </c>
      <c r="F18253">
        <v>83</v>
      </c>
      <c r="G18253">
        <v>5</v>
      </c>
      <c r="H18253">
        <v>1</v>
      </c>
      <c r="I18253">
        <v>487</v>
      </c>
      <c r="J18253">
        <v>1</v>
      </c>
      <c r="K18253">
        <v>1</v>
      </c>
      <c r="L18253">
        <v>492</v>
      </c>
      <c r="M18253">
        <v>1</v>
      </c>
      <c r="N18253">
        <v>0</v>
      </c>
      <c r="O18253">
        <v>2170</v>
      </c>
    </row>
    <row r="18254" spans="1:15" x14ac:dyDescent="0.25">
      <c r="A18254" t="s">
        <v>18267</v>
      </c>
      <c r="B18254">
        <v>235</v>
      </c>
      <c r="C18254" s="1" t="str">
        <f>HYPERLINK("http://www.rosaceae.org/gb/gbrowse/malus_x_domestica/?name=MDP0000314448","MDP0000314448")</f>
        <v>MDP0000314448</v>
      </c>
      <c r="D18254">
        <v>58.24</v>
      </c>
      <c r="E18254">
        <v>182</v>
      </c>
      <c r="F18254">
        <v>76</v>
      </c>
      <c r="G18254">
        <v>0</v>
      </c>
      <c r="H18254">
        <v>12</v>
      </c>
      <c r="I18254">
        <v>193</v>
      </c>
      <c r="J18254">
        <v>1</v>
      </c>
      <c r="K18254">
        <v>2</v>
      </c>
      <c r="L18254">
        <v>183</v>
      </c>
      <c r="M18254">
        <v>1</v>
      </c>
      <c r="N18254">
        <v>3.8837799999999997E-57</v>
      </c>
      <c r="O18254">
        <v>555</v>
      </c>
    </row>
    <row r="18255" spans="1:15" x14ac:dyDescent="0.25">
      <c r="A18255" t="s">
        <v>18268</v>
      </c>
      <c r="B18255">
        <v>298</v>
      </c>
      <c r="C18255" s="1" t="str">
        <f>HYPERLINK("http://www.rosaceae.org/gb/gbrowse/malus_x_domestica/?name=MDP0000272050","MDP0000272050")</f>
        <v>MDP0000272050</v>
      </c>
      <c r="D18255">
        <v>98.52</v>
      </c>
      <c r="E18255">
        <v>203</v>
      </c>
      <c r="F18255">
        <v>3</v>
      </c>
      <c r="G18255">
        <v>0</v>
      </c>
      <c r="H18255">
        <v>78</v>
      </c>
      <c r="I18255">
        <v>280</v>
      </c>
      <c r="J18255">
        <v>1</v>
      </c>
      <c r="K18255">
        <v>211</v>
      </c>
      <c r="L18255">
        <v>413</v>
      </c>
      <c r="M18255">
        <v>1</v>
      </c>
      <c r="N18255">
        <v>9.2896999999999992E-121</v>
      </c>
      <c r="O18255">
        <v>1105</v>
      </c>
    </row>
    <row r="18256" spans="1:15" x14ac:dyDescent="0.25">
      <c r="A18256" t="s">
        <v>18269</v>
      </c>
      <c r="B18256">
        <v>255</v>
      </c>
      <c r="C18256" s="1" t="str">
        <f>HYPERLINK("http://www.rosaceae.org/gb/gbrowse/malus_x_domestica/?name=MDP0000809488","MDP0000809488")</f>
        <v>MDP0000809488</v>
      </c>
      <c r="D18256">
        <v>85.15</v>
      </c>
      <c r="E18256">
        <v>256</v>
      </c>
      <c r="F18256">
        <v>38</v>
      </c>
      <c r="G18256">
        <v>2</v>
      </c>
      <c r="H18256">
        <v>1</v>
      </c>
      <c r="I18256">
        <v>255</v>
      </c>
      <c r="J18256">
        <v>1</v>
      </c>
      <c r="K18256">
        <v>1</v>
      </c>
      <c r="L18256">
        <v>255</v>
      </c>
      <c r="M18256">
        <v>1</v>
      </c>
      <c r="N18256">
        <v>3.7244100000000001E-125</v>
      </c>
      <c r="O18256">
        <v>1142</v>
      </c>
    </row>
    <row r="18257" spans="1:15" x14ac:dyDescent="0.25">
      <c r="A18257" t="s">
        <v>18270</v>
      </c>
      <c r="B18257">
        <v>407</v>
      </c>
      <c r="C18257" s="1" t="str">
        <f>HYPERLINK("http://www.rosaceae.org/gb/gbrowse/malus_x_domestica/?name=MDP0000309030","MDP0000309030")</f>
        <v>MDP0000309030</v>
      </c>
      <c r="D18257">
        <v>46.32</v>
      </c>
      <c r="E18257">
        <v>177</v>
      </c>
      <c r="F18257">
        <v>95</v>
      </c>
      <c r="G18257">
        <v>12</v>
      </c>
      <c r="H18257">
        <v>230</v>
      </c>
      <c r="I18257">
        <v>399</v>
      </c>
      <c r="J18257">
        <v>1</v>
      </c>
      <c r="K18257">
        <v>131</v>
      </c>
      <c r="L18257">
        <v>302</v>
      </c>
      <c r="M18257">
        <v>1</v>
      </c>
      <c r="N18257">
        <v>1.17802E-40</v>
      </c>
      <c r="O18257">
        <v>416</v>
      </c>
    </row>
    <row r="18258" spans="1:15" x14ac:dyDescent="0.25">
      <c r="A18258" t="s">
        <v>18271</v>
      </c>
      <c r="B18258">
        <v>211</v>
      </c>
      <c r="C18258" s="1" t="str">
        <f>HYPERLINK("http://www.rosaceae.org/gb/gbrowse/malus_x_domestica/?name=MDP0000137468","MDP0000137468")</f>
        <v>MDP0000137468</v>
      </c>
      <c r="D18258">
        <v>69.66</v>
      </c>
      <c r="E18258">
        <v>211</v>
      </c>
      <c r="F18258">
        <v>64</v>
      </c>
      <c r="G18258">
        <v>1</v>
      </c>
      <c r="H18258">
        <v>1</v>
      </c>
      <c r="I18258">
        <v>211</v>
      </c>
      <c r="J18258">
        <v>1</v>
      </c>
      <c r="K18258">
        <v>1</v>
      </c>
      <c r="L18258">
        <v>210</v>
      </c>
      <c r="M18258">
        <v>1</v>
      </c>
      <c r="N18258">
        <v>1.2001700000000001E-80</v>
      </c>
      <c r="O18258">
        <v>757</v>
      </c>
    </row>
    <row r="18259" spans="1:15" x14ac:dyDescent="0.25">
      <c r="A18259" t="s">
        <v>18272</v>
      </c>
      <c r="B18259">
        <v>634</v>
      </c>
      <c r="C18259" s="1" t="str">
        <f>HYPERLINK("http://www.rosaceae.org/gb/gbrowse/malus_x_domestica/?name=MDP0000223580","MDP0000223580")</f>
        <v>MDP0000223580</v>
      </c>
      <c r="D18259">
        <v>72.52</v>
      </c>
      <c r="E18259">
        <v>615</v>
      </c>
      <c r="F18259">
        <v>169</v>
      </c>
      <c r="G18259">
        <v>6</v>
      </c>
      <c r="H18259">
        <v>21</v>
      </c>
      <c r="I18259">
        <v>633</v>
      </c>
      <c r="J18259">
        <v>1</v>
      </c>
      <c r="K18259">
        <v>20</v>
      </c>
      <c r="L18259">
        <v>630</v>
      </c>
      <c r="M18259">
        <v>1</v>
      </c>
      <c r="N18259">
        <v>0</v>
      </c>
      <c r="O18259">
        <v>2393</v>
      </c>
    </row>
    <row r="18260" spans="1:15" x14ac:dyDescent="0.25">
      <c r="A18260" t="s">
        <v>18273</v>
      </c>
      <c r="B18260">
        <v>180</v>
      </c>
      <c r="C18260" s="1" t="str">
        <f>HYPERLINK("http://www.rosaceae.org/gb/gbrowse/malus_x_domestica/?name=MDP0000673264","MDP0000673264")</f>
        <v>MDP0000673264</v>
      </c>
      <c r="D18260">
        <v>59.09</v>
      </c>
      <c r="E18260">
        <v>154</v>
      </c>
      <c r="F18260">
        <v>63</v>
      </c>
      <c r="G18260">
        <v>1</v>
      </c>
      <c r="H18260">
        <v>1</v>
      </c>
      <c r="I18260">
        <v>154</v>
      </c>
      <c r="J18260">
        <v>1</v>
      </c>
      <c r="K18260">
        <v>1</v>
      </c>
      <c r="L18260">
        <v>153</v>
      </c>
      <c r="M18260">
        <v>1</v>
      </c>
      <c r="N18260">
        <v>6.2300799999999994E-39</v>
      </c>
      <c r="O18260">
        <v>397</v>
      </c>
    </row>
    <row r="18261" spans="1:15" x14ac:dyDescent="0.25">
      <c r="A18261" t="s">
        <v>18274</v>
      </c>
      <c r="B18261">
        <v>183</v>
      </c>
      <c r="C18261" s="1" t="str">
        <f>HYPERLINK("http://www.rosaceae.org/gb/gbrowse/malus_x_domestica/?name=MDP0000223875","MDP0000223875")</f>
        <v>MDP0000223875</v>
      </c>
      <c r="D18261">
        <v>63.3</v>
      </c>
      <c r="E18261">
        <v>109</v>
      </c>
      <c r="F18261">
        <v>40</v>
      </c>
      <c r="G18261">
        <v>15</v>
      </c>
      <c r="H18261">
        <v>90</v>
      </c>
      <c r="I18261">
        <v>183</v>
      </c>
      <c r="J18261">
        <v>1</v>
      </c>
      <c r="K18261">
        <v>6</v>
      </c>
      <c r="L18261">
        <v>114</v>
      </c>
      <c r="M18261">
        <v>1</v>
      </c>
      <c r="N18261">
        <v>1.1049399999999999E-26</v>
      </c>
      <c r="O18261">
        <v>291</v>
      </c>
    </row>
    <row r="18262" spans="1:15" x14ac:dyDescent="0.25">
      <c r="A18262" t="s">
        <v>18275</v>
      </c>
      <c r="B18262">
        <v>324</v>
      </c>
      <c r="C18262" s="1" t="str">
        <f>HYPERLINK("http://www.rosaceae.org/gb/gbrowse/malus_x_domestica/?name=MDP0000169010","MDP0000169010")</f>
        <v>MDP0000169010</v>
      </c>
      <c r="D18262">
        <v>58.62</v>
      </c>
      <c r="E18262">
        <v>319</v>
      </c>
      <c r="F18262">
        <v>132</v>
      </c>
      <c r="G18262">
        <v>2</v>
      </c>
      <c r="H18262">
        <v>1</v>
      </c>
      <c r="I18262">
        <v>318</v>
      </c>
      <c r="J18262">
        <v>1</v>
      </c>
      <c r="K18262">
        <v>165</v>
      </c>
      <c r="L18262">
        <v>482</v>
      </c>
      <c r="M18262">
        <v>1</v>
      </c>
      <c r="N18262">
        <v>2.1468100000000002E-109</v>
      </c>
      <c r="O18262">
        <v>1008</v>
      </c>
    </row>
    <row r="18263" spans="1:15" x14ac:dyDescent="0.25">
      <c r="A18263" t="s">
        <v>18276</v>
      </c>
      <c r="B18263">
        <v>1340</v>
      </c>
      <c r="C18263" s="1" t="str">
        <f>HYPERLINK("http://www.rosaceae.org/gb/gbrowse/malus_x_domestica/?name=MDP0000316899","MDP0000316899")</f>
        <v>MDP0000316899</v>
      </c>
      <c r="D18263">
        <v>31.28</v>
      </c>
      <c r="E18263">
        <v>342</v>
      </c>
      <c r="F18263">
        <v>235</v>
      </c>
      <c r="G18263">
        <v>14</v>
      </c>
      <c r="H18263">
        <v>907</v>
      </c>
      <c r="I18263">
        <v>1242</v>
      </c>
      <c r="J18263">
        <v>1</v>
      </c>
      <c r="K18263">
        <v>380</v>
      </c>
      <c r="L18263">
        <v>713</v>
      </c>
      <c r="M18263">
        <v>1</v>
      </c>
      <c r="N18263">
        <v>2.76906E-43</v>
      </c>
      <c r="O18263">
        <v>444</v>
      </c>
    </row>
    <row r="18264" spans="1:15" x14ac:dyDescent="0.25">
      <c r="A18264" t="s">
        <v>18277</v>
      </c>
      <c r="B18264">
        <v>78</v>
      </c>
      <c r="C18264" s="1" t="str">
        <f>HYPERLINK("http://www.rosaceae.org/gb/gbrowse/malus_x_domestica/?name=MDP0000287519","MDP0000287519")</f>
        <v>MDP0000287519</v>
      </c>
      <c r="D18264">
        <v>43.33</v>
      </c>
      <c r="E18264">
        <v>60</v>
      </c>
      <c r="F18264">
        <v>34</v>
      </c>
      <c r="G18264">
        <v>1</v>
      </c>
      <c r="H18264">
        <v>11</v>
      </c>
      <c r="I18264">
        <v>70</v>
      </c>
      <c r="J18264">
        <v>1</v>
      </c>
      <c r="K18264">
        <v>640</v>
      </c>
      <c r="L18264">
        <v>698</v>
      </c>
      <c r="M18264">
        <v>1</v>
      </c>
      <c r="N18264">
        <v>1.5638500000000001E-7</v>
      </c>
      <c r="O18264">
        <v>122</v>
      </c>
    </row>
    <row r="18265" spans="1:15" x14ac:dyDescent="0.25">
      <c r="A18265" t="s">
        <v>18278</v>
      </c>
      <c r="B18265">
        <v>181</v>
      </c>
      <c r="C18265" s="1" t="str">
        <f>HYPERLINK("http://www.rosaceae.org/gb/gbrowse/malus_x_domestica/?name=MDP0000613377","MDP0000613377")</f>
        <v>MDP0000613377</v>
      </c>
      <c r="D18265">
        <v>46.42</v>
      </c>
      <c r="E18265">
        <v>84</v>
      </c>
      <c r="F18265">
        <v>45</v>
      </c>
      <c r="G18265">
        <v>16</v>
      </c>
      <c r="H18265">
        <v>4</v>
      </c>
      <c r="I18265">
        <v>73</v>
      </c>
      <c r="J18265">
        <v>1</v>
      </c>
      <c r="K18265">
        <v>6</v>
      </c>
      <c r="L18265">
        <v>87</v>
      </c>
      <c r="M18265">
        <v>1</v>
      </c>
      <c r="N18265">
        <v>1.8032200000000001E-11</v>
      </c>
      <c r="O18265">
        <v>160</v>
      </c>
    </row>
    <row r="18266" spans="1:15" x14ac:dyDescent="0.25">
      <c r="A18266" t="s">
        <v>18279</v>
      </c>
      <c r="B18266">
        <v>285</v>
      </c>
      <c r="C18266" s="1" t="str">
        <f>HYPERLINK("http://www.rosaceae.org/gb/gbrowse/malus_x_domestica/?name=MDP0000617223","MDP0000617223")</f>
        <v>MDP0000617223</v>
      </c>
      <c r="D18266">
        <v>33.53</v>
      </c>
      <c r="E18266">
        <v>164</v>
      </c>
      <c r="F18266">
        <v>109</v>
      </c>
      <c r="G18266">
        <v>18</v>
      </c>
      <c r="H18266">
        <v>5</v>
      </c>
      <c r="I18266">
        <v>152</v>
      </c>
      <c r="J18266">
        <v>1</v>
      </c>
      <c r="K18266">
        <v>50</v>
      </c>
      <c r="L18266">
        <v>211</v>
      </c>
      <c r="M18266">
        <v>1</v>
      </c>
      <c r="N18266">
        <v>4.0480999999999999E-17</v>
      </c>
      <c r="O18266">
        <v>211</v>
      </c>
    </row>
    <row r="18267" spans="1:15" x14ac:dyDescent="0.25">
      <c r="A18267" t="s">
        <v>18280</v>
      </c>
      <c r="B18267">
        <v>411</v>
      </c>
      <c r="C18267" s="1" t="str">
        <f>HYPERLINK("http://www.rosaceae.org/gb/gbrowse/malus_x_domestica/?name=MDP0000183819","MDP0000183819")</f>
        <v>MDP0000183819</v>
      </c>
      <c r="D18267">
        <v>60.32</v>
      </c>
      <c r="E18267">
        <v>310</v>
      </c>
      <c r="F18267">
        <v>123</v>
      </c>
      <c r="G18267">
        <v>37</v>
      </c>
      <c r="H18267">
        <v>1</v>
      </c>
      <c r="I18267">
        <v>299</v>
      </c>
      <c r="J18267">
        <v>1</v>
      </c>
      <c r="K18267">
        <v>1</v>
      </c>
      <c r="L18267">
        <v>284</v>
      </c>
      <c r="M18267">
        <v>1</v>
      </c>
      <c r="N18267">
        <v>1.499E-89</v>
      </c>
      <c r="O18267">
        <v>838</v>
      </c>
    </row>
    <row r="18268" spans="1:15" x14ac:dyDescent="0.25">
      <c r="A18268" t="s">
        <v>18281</v>
      </c>
      <c r="B18268">
        <v>137</v>
      </c>
      <c r="C18268" s="1" t="str">
        <f>HYPERLINK("http://www.rosaceae.org/gb/gbrowse/malus_x_domestica/?name=MDP0000174182","MDP0000174182")</f>
        <v>MDP0000174182</v>
      </c>
      <c r="D18268">
        <v>73.209999999999994</v>
      </c>
      <c r="E18268">
        <v>112</v>
      </c>
      <c r="F18268">
        <v>30</v>
      </c>
      <c r="G18268">
        <v>0</v>
      </c>
      <c r="H18268">
        <v>6</v>
      </c>
      <c r="I18268">
        <v>117</v>
      </c>
      <c r="J18268">
        <v>1</v>
      </c>
      <c r="K18268">
        <v>117</v>
      </c>
      <c r="L18268">
        <v>228</v>
      </c>
      <c r="M18268">
        <v>1</v>
      </c>
      <c r="N18268">
        <v>7.6459200000000007E-46</v>
      </c>
      <c r="O18268">
        <v>454</v>
      </c>
    </row>
    <row r="18269" spans="1:15" x14ac:dyDescent="0.25">
      <c r="A18269" t="s">
        <v>18282</v>
      </c>
      <c r="B18269">
        <v>216</v>
      </c>
      <c r="C18269" s="1" t="str">
        <f>HYPERLINK("http://www.rosaceae.org/gb/gbrowse/malus_x_domestica/?name=MDP0000179176","MDP0000179176")</f>
        <v>MDP0000179176</v>
      </c>
      <c r="D18269">
        <v>59.42</v>
      </c>
      <c r="E18269">
        <v>69</v>
      </c>
      <c r="F18269">
        <v>28</v>
      </c>
      <c r="G18269">
        <v>0</v>
      </c>
      <c r="H18269">
        <v>3</v>
      </c>
      <c r="I18269">
        <v>71</v>
      </c>
      <c r="J18269">
        <v>1</v>
      </c>
      <c r="K18269">
        <v>438</v>
      </c>
      <c r="L18269">
        <v>506</v>
      </c>
      <c r="M18269">
        <v>1</v>
      </c>
      <c r="N18269">
        <v>1.02725E-19</v>
      </c>
      <c r="O18269">
        <v>232</v>
      </c>
    </row>
    <row r="18270" spans="1:15" x14ac:dyDescent="0.25">
      <c r="A18270" t="s">
        <v>18283</v>
      </c>
      <c r="B18270">
        <v>949</v>
      </c>
      <c r="C18270" s="1" t="str">
        <f>HYPERLINK("http://www.rosaceae.org/gb/gbrowse/malus_x_domestica/?name=MDP0000159170","MDP0000159170")</f>
        <v>MDP0000159170</v>
      </c>
      <c r="D18270">
        <v>69.88</v>
      </c>
      <c r="E18270">
        <v>425</v>
      </c>
      <c r="F18270">
        <v>128</v>
      </c>
      <c r="G18270">
        <v>18</v>
      </c>
      <c r="H18270">
        <v>1</v>
      </c>
      <c r="I18270">
        <v>424</v>
      </c>
      <c r="J18270">
        <v>1</v>
      </c>
      <c r="K18270">
        <v>531</v>
      </c>
      <c r="L18270">
        <v>938</v>
      </c>
      <c r="M18270">
        <v>1</v>
      </c>
      <c r="N18270">
        <v>2.8006099999999998E-168</v>
      </c>
      <c r="O18270">
        <v>1520</v>
      </c>
    </row>
    <row r="18271" spans="1:15" x14ac:dyDescent="0.25">
      <c r="A18271" t="s">
        <v>18284</v>
      </c>
      <c r="B18271">
        <v>378</v>
      </c>
      <c r="C18271" s="1" t="str">
        <f>HYPERLINK("http://www.rosaceae.org/gb/gbrowse/malus_x_domestica/?name=MDP0000299712","MDP0000299712")</f>
        <v>MDP0000299712</v>
      </c>
      <c r="D18271">
        <v>77.13</v>
      </c>
      <c r="E18271">
        <v>363</v>
      </c>
      <c r="F18271">
        <v>83</v>
      </c>
      <c r="G18271">
        <v>41</v>
      </c>
      <c r="H18271">
        <v>56</v>
      </c>
      <c r="I18271">
        <v>377</v>
      </c>
      <c r="J18271">
        <v>1</v>
      </c>
      <c r="K18271">
        <v>19</v>
      </c>
      <c r="L18271">
        <v>381</v>
      </c>
      <c r="M18271">
        <v>1</v>
      </c>
      <c r="N18271">
        <v>1.30836E-160</v>
      </c>
      <c r="O18271">
        <v>1450</v>
      </c>
    </row>
    <row r="18272" spans="1:15" x14ac:dyDescent="0.25">
      <c r="A18272" t="s">
        <v>18285</v>
      </c>
      <c r="B18272">
        <v>150</v>
      </c>
      <c r="C18272" s="1" t="str">
        <f>HYPERLINK("http://www.rosaceae.org/gb/gbrowse/malus_x_domestica/?name=MDP0000322220","MDP0000322220")</f>
        <v>MDP0000322220</v>
      </c>
      <c r="D18272">
        <v>60.93</v>
      </c>
      <c r="E18272">
        <v>128</v>
      </c>
      <c r="F18272">
        <v>50</v>
      </c>
      <c r="G18272">
        <v>14</v>
      </c>
      <c r="H18272">
        <v>6</v>
      </c>
      <c r="I18272">
        <v>119</v>
      </c>
      <c r="J18272">
        <v>1</v>
      </c>
      <c r="K18272">
        <v>440</v>
      </c>
      <c r="L18272">
        <v>567</v>
      </c>
      <c r="M18272">
        <v>1</v>
      </c>
      <c r="N18272">
        <v>2.6885099999999998E-35</v>
      </c>
      <c r="O18272">
        <v>364</v>
      </c>
    </row>
    <row r="18273" spans="1:15" x14ac:dyDescent="0.25">
      <c r="A18273" t="s">
        <v>18286</v>
      </c>
      <c r="B18273">
        <v>305</v>
      </c>
      <c r="C18273" s="1" t="str">
        <f>HYPERLINK("http://www.rosaceae.org/gb/gbrowse/malus_x_domestica/?name=MDP0000255400","MDP0000255400")</f>
        <v>MDP0000255400</v>
      </c>
      <c r="D18273">
        <v>72.45</v>
      </c>
      <c r="E18273">
        <v>305</v>
      </c>
      <c r="F18273">
        <v>84</v>
      </c>
      <c r="G18273">
        <v>1</v>
      </c>
      <c r="H18273">
        <v>1</v>
      </c>
      <c r="I18273">
        <v>305</v>
      </c>
      <c r="J18273">
        <v>1</v>
      </c>
      <c r="K18273">
        <v>67</v>
      </c>
      <c r="L18273">
        <v>370</v>
      </c>
      <c r="M18273">
        <v>1</v>
      </c>
      <c r="N18273">
        <v>1.3544499999999999E-121</v>
      </c>
      <c r="O18273">
        <v>1113</v>
      </c>
    </row>
    <row r="18274" spans="1:15" x14ac:dyDescent="0.25">
      <c r="A18274" t="s">
        <v>18287</v>
      </c>
      <c r="B18274">
        <v>1165</v>
      </c>
      <c r="C18274" s="1" t="str">
        <f>HYPERLINK("http://www.rosaceae.org/gb/gbrowse/malus_x_domestica/?name=MDP0000273688","MDP0000273688")</f>
        <v>MDP0000273688</v>
      </c>
      <c r="D18274">
        <v>90.46</v>
      </c>
      <c r="E18274">
        <v>388</v>
      </c>
      <c r="F18274">
        <v>37</v>
      </c>
      <c r="G18274">
        <v>8</v>
      </c>
      <c r="H18274">
        <v>773</v>
      </c>
      <c r="I18274">
        <v>1156</v>
      </c>
      <c r="J18274">
        <v>1</v>
      </c>
      <c r="K18274">
        <v>1</v>
      </c>
      <c r="L18274">
        <v>384</v>
      </c>
      <c r="M18274">
        <v>1</v>
      </c>
      <c r="N18274">
        <v>0</v>
      </c>
      <c r="O18274">
        <v>1843</v>
      </c>
    </row>
    <row r="18275" spans="1:15" x14ac:dyDescent="0.25">
      <c r="A18275" t="s">
        <v>18288</v>
      </c>
      <c r="B18275">
        <v>231</v>
      </c>
      <c r="C18275" s="1" t="str">
        <f>HYPERLINK("http://www.rosaceae.org/gb/gbrowse/malus_x_domestica/?name=MDP0000383450","MDP0000383450")</f>
        <v>MDP0000383450</v>
      </c>
      <c r="D18275">
        <v>30.43</v>
      </c>
      <c r="E18275">
        <v>161</v>
      </c>
      <c r="F18275">
        <v>112</v>
      </c>
      <c r="G18275">
        <v>2</v>
      </c>
      <c r="H18275">
        <v>1</v>
      </c>
      <c r="I18275">
        <v>161</v>
      </c>
      <c r="J18275">
        <v>1</v>
      </c>
      <c r="K18275">
        <v>427</v>
      </c>
      <c r="L18275">
        <v>585</v>
      </c>
      <c r="M18275">
        <v>1</v>
      </c>
      <c r="N18275">
        <v>4.81465E-18</v>
      </c>
      <c r="O18275">
        <v>218</v>
      </c>
    </row>
    <row r="18276" spans="1:15" x14ac:dyDescent="0.25">
      <c r="A18276" t="s">
        <v>18289</v>
      </c>
      <c r="B18276">
        <v>444</v>
      </c>
      <c r="C18276" s="1" t="str">
        <f>HYPERLINK("http://www.rosaceae.org/gb/gbrowse/malus_x_domestica/?name=MDP0000166320","MDP0000166320")</f>
        <v>MDP0000166320</v>
      </c>
      <c r="D18276">
        <v>88.51</v>
      </c>
      <c r="E18276">
        <v>444</v>
      </c>
      <c r="F18276">
        <v>51</v>
      </c>
      <c r="G18276">
        <v>1</v>
      </c>
      <c r="H18276">
        <v>1</v>
      </c>
      <c r="I18276">
        <v>444</v>
      </c>
      <c r="J18276">
        <v>1</v>
      </c>
      <c r="K18276">
        <v>5</v>
      </c>
      <c r="L18276">
        <v>447</v>
      </c>
      <c r="M18276">
        <v>1</v>
      </c>
      <c r="N18276">
        <v>0</v>
      </c>
      <c r="O18276">
        <v>2108</v>
      </c>
    </row>
    <row r="18277" spans="1:15" x14ac:dyDescent="0.25">
      <c r="A18277" t="s">
        <v>18290</v>
      </c>
      <c r="B18277">
        <v>110</v>
      </c>
      <c r="C18277" s="1" t="str">
        <f>HYPERLINK("http://www.rosaceae.org/gb/gbrowse/malus_x_domestica/?name=MDP0000179513","MDP0000179513")</f>
        <v>MDP0000179513</v>
      </c>
      <c r="D18277">
        <v>69.44</v>
      </c>
      <c r="E18277">
        <v>36</v>
      </c>
      <c r="F18277">
        <v>11</v>
      </c>
      <c r="G18277">
        <v>0</v>
      </c>
      <c r="H18277">
        <v>71</v>
      </c>
      <c r="I18277">
        <v>106</v>
      </c>
      <c r="J18277">
        <v>1</v>
      </c>
      <c r="K18277">
        <v>28</v>
      </c>
      <c r="L18277">
        <v>63</v>
      </c>
      <c r="M18277">
        <v>1</v>
      </c>
      <c r="N18277">
        <v>1.4791400000000001E-7</v>
      </c>
      <c r="O18277">
        <v>123</v>
      </c>
    </row>
    <row r="18278" spans="1:15" x14ac:dyDescent="0.25">
      <c r="A18278" t="s">
        <v>18291</v>
      </c>
      <c r="B18278">
        <v>426</v>
      </c>
      <c r="C18278" s="1" t="str">
        <f>HYPERLINK("http://www.rosaceae.org/gb/gbrowse/malus_x_domestica/?name=MDP0000244607","MDP0000244607")</f>
        <v>MDP0000244607</v>
      </c>
      <c r="D18278">
        <v>77.05</v>
      </c>
      <c r="E18278">
        <v>340</v>
      </c>
      <c r="F18278">
        <v>78</v>
      </c>
      <c r="G18278">
        <v>2</v>
      </c>
      <c r="H18278">
        <v>89</v>
      </c>
      <c r="I18278">
        <v>426</v>
      </c>
      <c r="J18278">
        <v>1</v>
      </c>
      <c r="K18278">
        <v>34</v>
      </c>
      <c r="L18278">
        <v>373</v>
      </c>
      <c r="M18278">
        <v>1</v>
      </c>
      <c r="N18278">
        <v>1.21131E-155</v>
      </c>
      <c r="O18278">
        <v>1408</v>
      </c>
    </row>
    <row r="18279" spans="1:15" x14ac:dyDescent="0.25">
      <c r="A18279" t="s">
        <v>18292</v>
      </c>
      <c r="B18279">
        <v>357</v>
      </c>
      <c r="C18279" s="1" t="str">
        <f>HYPERLINK("http://www.rosaceae.org/gb/gbrowse/malus_x_domestica/?name=MDP0000276291","MDP0000276291")</f>
        <v>MDP0000276291</v>
      </c>
      <c r="D18279">
        <v>31.5</v>
      </c>
      <c r="E18279">
        <v>273</v>
      </c>
      <c r="F18279">
        <v>187</v>
      </c>
      <c r="G18279">
        <v>60</v>
      </c>
      <c r="H18279">
        <v>29</v>
      </c>
      <c r="I18279">
        <v>255</v>
      </c>
      <c r="J18279">
        <v>1</v>
      </c>
      <c r="K18279">
        <v>9</v>
      </c>
      <c r="L18279">
        <v>267</v>
      </c>
      <c r="M18279">
        <v>1</v>
      </c>
      <c r="N18279">
        <v>4.9402099999999998E-21</v>
      </c>
      <c r="O18279">
        <v>246</v>
      </c>
    </row>
    <row r="18280" spans="1:15" x14ac:dyDescent="0.25">
      <c r="A18280" t="s">
        <v>18293</v>
      </c>
      <c r="B18280">
        <v>548</v>
      </c>
      <c r="C18280" s="1" t="str">
        <f>HYPERLINK("http://www.rosaceae.org/gb/gbrowse/malus_x_domestica/?name=MDP0000174367","MDP0000174367")</f>
        <v>MDP0000174367</v>
      </c>
      <c r="D18280">
        <v>76.459999999999994</v>
      </c>
      <c r="E18280">
        <v>565</v>
      </c>
      <c r="F18280">
        <v>133</v>
      </c>
      <c r="G18280">
        <v>20</v>
      </c>
      <c r="H18280">
        <v>1</v>
      </c>
      <c r="I18280">
        <v>545</v>
      </c>
      <c r="J18280">
        <v>1</v>
      </c>
      <c r="K18280">
        <v>1</v>
      </c>
      <c r="L18280">
        <v>565</v>
      </c>
      <c r="M18280">
        <v>1</v>
      </c>
      <c r="N18280">
        <v>0</v>
      </c>
      <c r="O18280">
        <v>2292</v>
      </c>
    </row>
    <row r="18281" spans="1:15" x14ac:dyDescent="0.25">
      <c r="A18281" t="s">
        <v>18294</v>
      </c>
      <c r="B18281">
        <v>201</v>
      </c>
      <c r="C18281" s="1" t="str">
        <f>HYPERLINK("http://www.rosaceae.org/gb/gbrowse/malus_x_domestica/?name=MDP0000623836","MDP0000623836")</f>
        <v>MDP0000623836</v>
      </c>
      <c r="D18281">
        <v>77.709999999999994</v>
      </c>
      <c r="E18281">
        <v>166</v>
      </c>
      <c r="F18281">
        <v>37</v>
      </c>
      <c r="G18281">
        <v>1</v>
      </c>
      <c r="H18281">
        <v>23</v>
      </c>
      <c r="I18281">
        <v>188</v>
      </c>
      <c r="J18281">
        <v>1</v>
      </c>
      <c r="K18281">
        <v>23</v>
      </c>
      <c r="L18281">
        <v>187</v>
      </c>
      <c r="M18281">
        <v>1</v>
      </c>
      <c r="N18281">
        <v>1.43977E-68</v>
      </c>
      <c r="O18281">
        <v>653</v>
      </c>
    </row>
    <row r="18282" spans="1:15" x14ac:dyDescent="0.25">
      <c r="A18282" t="s">
        <v>18295</v>
      </c>
      <c r="B18282">
        <v>833</v>
      </c>
      <c r="C18282" s="1" t="str">
        <f>HYPERLINK("http://www.rosaceae.org/gb/gbrowse/malus_x_domestica/?name=MDP0000214384","MDP0000214384")</f>
        <v>MDP0000214384</v>
      </c>
      <c r="D18282">
        <v>46.48</v>
      </c>
      <c r="E18282">
        <v>626</v>
      </c>
      <c r="F18282">
        <v>335</v>
      </c>
      <c r="G18282">
        <v>119</v>
      </c>
      <c r="H18282">
        <v>259</v>
      </c>
      <c r="I18282">
        <v>833</v>
      </c>
      <c r="J18282">
        <v>1</v>
      </c>
      <c r="K18282">
        <v>1</v>
      </c>
      <c r="L18282">
        <v>558</v>
      </c>
      <c r="M18282">
        <v>1</v>
      </c>
      <c r="N18282">
        <v>6.5413799999999998E-112</v>
      </c>
      <c r="O18282">
        <v>1034</v>
      </c>
    </row>
    <row r="18283" spans="1:15" x14ac:dyDescent="0.25">
      <c r="A18283" t="s">
        <v>18296</v>
      </c>
      <c r="B18283">
        <v>673</v>
      </c>
      <c r="C18283" s="1" t="str">
        <f>HYPERLINK("http://www.rosaceae.org/gb/gbrowse/malus_x_domestica/?name=MDP0000189205","MDP0000189205")</f>
        <v>MDP0000189205</v>
      </c>
      <c r="D18283">
        <v>68.12</v>
      </c>
      <c r="E18283">
        <v>684</v>
      </c>
      <c r="F18283">
        <v>218</v>
      </c>
      <c r="G18283">
        <v>23</v>
      </c>
      <c r="H18283">
        <v>1</v>
      </c>
      <c r="I18283">
        <v>673</v>
      </c>
      <c r="J18283">
        <v>1</v>
      </c>
      <c r="K18283">
        <v>1</v>
      </c>
      <c r="L18283">
        <v>672</v>
      </c>
      <c r="M18283">
        <v>1</v>
      </c>
      <c r="N18283">
        <v>0</v>
      </c>
      <c r="O18283">
        <v>2423</v>
      </c>
    </row>
    <row r="18284" spans="1:15" x14ac:dyDescent="0.25">
      <c r="A18284" t="s">
        <v>18297</v>
      </c>
      <c r="B18284">
        <v>340</v>
      </c>
      <c r="C18284" s="1" t="str">
        <f>HYPERLINK("http://www.rosaceae.org/gb/gbrowse/malus_x_domestica/?name=MDP0000299496","MDP0000299496")</f>
        <v>MDP0000299496</v>
      </c>
      <c r="D18284">
        <v>46.28</v>
      </c>
      <c r="E18284">
        <v>121</v>
      </c>
      <c r="F18284">
        <v>65</v>
      </c>
      <c r="G18284">
        <v>1</v>
      </c>
      <c r="H18284">
        <v>27</v>
      </c>
      <c r="I18284">
        <v>146</v>
      </c>
      <c r="J18284">
        <v>1</v>
      </c>
      <c r="K18284">
        <v>445</v>
      </c>
      <c r="L18284">
        <v>565</v>
      </c>
      <c r="M18284">
        <v>1</v>
      </c>
      <c r="N18284">
        <v>2.5842899999999998E-28</v>
      </c>
      <c r="O18284">
        <v>309</v>
      </c>
    </row>
    <row r="18285" spans="1:15" x14ac:dyDescent="0.25">
      <c r="A18285" t="s">
        <v>18298</v>
      </c>
      <c r="B18285">
        <v>241</v>
      </c>
      <c r="C18285" s="1" t="str">
        <f>HYPERLINK("http://www.rosaceae.org/gb/gbrowse/malus_x_domestica/?name=MDP0000293970","MDP0000293970")</f>
        <v>MDP0000293970</v>
      </c>
      <c r="D18285">
        <v>30.09</v>
      </c>
      <c r="E18285">
        <v>103</v>
      </c>
      <c r="F18285">
        <v>72</v>
      </c>
      <c r="G18285">
        <v>3</v>
      </c>
      <c r="H18285">
        <v>119</v>
      </c>
      <c r="I18285">
        <v>221</v>
      </c>
      <c r="J18285">
        <v>1</v>
      </c>
      <c r="K18285">
        <v>22</v>
      </c>
      <c r="L18285">
        <v>121</v>
      </c>
      <c r="M18285">
        <v>1</v>
      </c>
      <c r="N18285">
        <v>1.00225E-7</v>
      </c>
      <c r="O18285">
        <v>129</v>
      </c>
    </row>
    <row r="18286" spans="1:15" x14ac:dyDescent="0.25">
      <c r="A18286" t="s">
        <v>18299</v>
      </c>
      <c r="B18286">
        <v>103</v>
      </c>
      <c r="C18286" s="1" t="str">
        <f>HYPERLINK("http://www.rosaceae.org/gb/gbrowse/malus_x_domestica/?name=MDP0000305210","MDP0000305210")</f>
        <v>MDP0000305210</v>
      </c>
      <c r="D18286">
        <v>60</v>
      </c>
      <c r="E18286">
        <v>100</v>
      </c>
      <c r="F18286">
        <v>40</v>
      </c>
      <c r="G18286">
        <v>0</v>
      </c>
      <c r="H18286">
        <v>2</v>
      </c>
      <c r="I18286">
        <v>101</v>
      </c>
      <c r="J18286">
        <v>1</v>
      </c>
      <c r="K18286">
        <v>223</v>
      </c>
      <c r="L18286">
        <v>322</v>
      </c>
      <c r="M18286">
        <v>1</v>
      </c>
      <c r="N18286">
        <v>1.7069099999999999E-26</v>
      </c>
      <c r="O18286">
        <v>286</v>
      </c>
    </row>
    <row r="18287" spans="1:15" x14ac:dyDescent="0.25">
      <c r="A18287" t="s">
        <v>18300</v>
      </c>
      <c r="B18287">
        <v>712</v>
      </c>
      <c r="C18287" s="1" t="str">
        <f>HYPERLINK("http://www.rosaceae.org/gb/gbrowse/malus_x_domestica/?name=MDP0000211874","MDP0000211874")</f>
        <v>MDP0000211874</v>
      </c>
      <c r="D18287">
        <v>78.89</v>
      </c>
      <c r="E18287">
        <v>668</v>
      </c>
      <c r="F18287">
        <v>141</v>
      </c>
      <c r="G18287">
        <v>13</v>
      </c>
      <c r="H18287">
        <v>54</v>
      </c>
      <c r="I18287">
        <v>711</v>
      </c>
      <c r="J18287">
        <v>1</v>
      </c>
      <c r="K18287">
        <v>70</v>
      </c>
      <c r="L18287">
        <v>734</v>
      </c>
      <c r="M18287">
        <v>1</v>
      </c>
      <c r="N18287">
        <v>0</v>
      </c>
      <c r="O18287">
        <v>2854</v>
      </c>
    </row>
    <row r="18288" spans="1:15" x14ac:dyDescent="0.25">
      <c r="A18288" t="s">
        <v>18301</v>
      </c>
      <c r="B18288">
        <v>98</v>
      </c>
      <c r="C18288" s="1" t="str">
        <f>HYPERLINK("http://www.rosaceae.org/gb/gbrowse/malus_x_domestica/?name=MDP0000197338","MDP0000197338")</f>
        <v>MDP0000197338</v>
      </c>
      <c r="D18288">
        <v>50</v>
      </c>
      <c r="E18288">
        <v>62</v>
      </c>
      <c r="F18288">
        <v>31</v>
      </c>
      <c r="G18288">
        <v>3</v>
      </c>
      <c r="H18288">
        <v>38</v>
      </c>
      <c r="I18288">
        <v>98</v>
      </c>
      <c r="J18288">
        <v>1</v>
      </c>
      <c r="K18288">
        <v>34</v>
      </c>
      <c r="L18288">
        <v>93</v>
      </c>
      <c r="M18288">
        <v>1</v>
      </c>
      <c r="N18288">
        <v>5.2350799999999995E-7</v>
      </c>
      <c r="O18288">
        <v>118</v>
      </c>
    </row>
    <row r="18289" spans="1:15" x14ac:dyDescent="0.25">
      <c r="A18289" t="s">
        <v>18302</v>
      </c>
      <c r="B18289">
        <v>774</v>
      </c>
      <c r="C18289" s="1" t="str">
        <f>HYPERLINK("http://www.rosaceae.org/gb/gbrowse/malus_x_domestica/?name=MDP0000245842","MDP0000245842")</f>
        <v>MDP0000245842</v>
      </c>
      <c r="D18289">
        <v>59.1</v>
      </c>
      <c r="E18289">
        <v>824</v>
      </c>
      <c r="F18289">
        <v>337</v>
      </c>
      <c r="G18289">
        <v>74</v>
      </c>
      <c r="H18289">
        <v>5</v>
      </c>
      <c r="I18289">
        <v>774</v>
      </c>
      <c r="J18289">
        <v>1</v>
      </c>
      <c r="K18289">
        <v>6</v>
      </c>
      <c r="L18289">
        <v>809</v>
      </c>
      <c r="M18289">
        <v>1</v>
      </c>
      <c r="N18289">
        <v>0</v>
      </c>
      <c r="O18289">
        <v>2310</v>
      </c>
    </row>
    <row r="18290" spans="1:15" x14ac:dyDescent="0.25">
      <c r="A18290" t="s">
        <v>18303</v>
      </c>
      <c r="B18290">
        <v>91</v>
      </c>
      <c r="C18290" s="1" t="str">
        <f>HYPERLINK("http://www.rosaceae.org/gb/gbrowse/malus_x_domestica/?name=MDP0000653934","MDP0000653934")</f>
        <v>MDP0000653934</v>
      </c>
      <c r="D18290">
        <v>52.77</v>
      </c>
      <c r="E18290">
        <v>72</v>
      </c>
      <c r="F18290">
        <v>34</v>
      </c>
      <c r="G18290">
        <v>2</v>
      </c>
      <c r="H18290">
        <v>22</v>
      </c>
      <c r="I18290">
        <v>91</v>
      </c>
      <c r="J18290">
        <v>1</v>
      </c>
      <c r="K18290">
        <v>24</v>
      </c>
      <c r="L18290">
        <v>95</v>
      </c>
      <c r="M18290">
        <v>1</v>
      </c>
      <c r="N18290">
        <v>1.41785E-15</v>
      </c>
      <c r="O18290">
        <v>192</v>
      </c>
    </row>
    <row r="18291" spans="1:15" x14ac:dyDescent="0.25">
      <c r="A18291" t="s">
        <v>18304</v>
      </c>
      <c r="B18291">
        <v>372</v>
      </c>
      <c r="C18291" s="1" t="str">
        <f>HYPERLINK("http://www.rosaceae.org/gb/gbrowse/malus_x_domestica/?name=MDP0000124256","MDP0000124256")</f>
        <v>MDP0000124256</v>
      </c>
      <c r="D18291">
        <v>81.64</v>
      </c>
      <c r="E18291">
        <v>376</v>
      </c>
      <c r="F18291">
        <v>69</v>
      </c>
      <c r="G18291">
        <v>4</v>
      </c>
      <c r="H18291">
        <v>1</v>
      </c>
      <c r="I18291">
        <v>372</v>
      </c>
      <c r="J18291">
        <v>1</v>
      </c>
      <c r="K18291">
        <v>246</v>
      </c>
      <c r="L18291">
        <v>621</v>
      </c>
      <c r="M18291">
        <v>1</v>
      </c>
      <c r="N18291">
        <v>3.02983E-180</v>
      </c>
      <c r="O18291">
        <v>1619</v>
      </c>
    </row>
    <row r="18292" spans="1:15" x14ac:dyDescent="0.25">
      <c r="A18292" t="s">
        <v>18305</v>
      </c>
      <c r="B18292">
        <v>485</v>
      </c>
      <c r="C18292" s="1" t="str">
        <f>HYPERLINK("http://www.rosaceae.org/gb/gbrowse/malus_x_domestica/?name=MDP0000199164","MDP0000199164")</f>
        <v>MDP0000199164</v>
      </c>
      <c r="D18292">
        <v>60.69</v>
      </c>
      <c r="E18292">
        <v>458</v>
      </c>
      <c r="F18292">
        <v>180</v>
      </c>
      <c r="G18292">
        <v>8</v>
      </c>
      <c r="H18292">
        <v>24</v>
      </c>
      <c r="I18292">
        <v>479</v>
      </c>
      <c r="J18292">
        <v>1</v>
      </c>
      <c r="K18292">
        <v>153</v>
      </c>
      <c r="L18292">
        <v>604</v>
      </c>
      <c r="M18292">
        <v>1</v>
      </c>
      <c r="N18292">
        <v>4.79736E-171</v>
      </c>
      <c r="O18292">
        <v>1541</v>
      </c>
    </row>
    <row r="18293" spans="1:15" x14ac:dyDescent="0.25">
      <c r="A18293" t="s">
        <v>18306</v>
      </c>
      <c r="B18293">
        <v>609</v>
      </c>
      <c r="C18293" s="1" t="str">
        <f>HYPERLINK("http://www.rosaceae.org/gb/gbrowse/malus_x_domestica/?name=MDP0000251363","MDP0000251363")</f>
        <v>MDP0000251363</v>
      </c>
      <c r="D18293">
        <v>73.09</v>
      </c>
      <c r="E18293">
        <v>513</v>
      </c>
      <c r="F18293">
        <v>138</v>
      </c>
      <c r="G18293">
        <v>12</v>
      </c>
      <c r="H18293">
        <v>84</v>
      </c>
      <c r="I18293">
        <v>595</v>
      </c>
      <c r="J18293">
        <v>1</v>
      </c>
      <c r="K18293">
        <v>1</v>
      </c>
      <c r="L18293">
        <v>502</v>
      </c>
      <c r="M18293">
        <v>1</v>
      </c>
      <c r="N18293">
        <v>0</v>
      </c>
      <c r="O18293">
        <v>1931</v>
      </c>
    </row>
    <row r="18294" spans="1:15" x14ac:dyDescent="0.25">
      <c r="A18294" t="s">
        <v>18307</v>
      </c>
      <c r="B18294">
        <v>223</v>
      </c>
      <c r="C18294" s="1" t="str">
        <f>HYPERLINK("http://www.rosaceae.org/gb/gbrowse/malus_x_domestica/?name=MDP0000320733","MDP0000320733")</f>
        <v>MDP0000320733</v>
      </c>
      <c r="D18294">
        <v>52.03</v>
      </c>
      <c r="E18294">
        <v>123</v>
      </c>
      <c r="F18294">
        <v>59</v>
      </c>
      <c r="G18294">
        <v>39</v>
      </c>
      <c r="H18294">
        <v>140</v>
      </c>
      <c r="I18294">
        <v>223</v>
      </c>
      <c r="J18294">
        <v>1</v>
      </c>
      <c r="K18294">
        <v>1049</v>
      </c>
      <c r="L18294">
        <v>1171</v>
      </c>
      <c r="M18294">
        <v>1</v>
      </c>
      <c r="N18294">
        <v>1.5519199999999999E-22</v>
      </c>
      <c r="O18294">
        <v>257</v>
      </c>
    </row>
    <row r="18295" spans="1:15" x14ac:dyDescent="0.25">
      <c r="A18295" t="s">
        <v>18308</v>
      </c>
      <c r="B18295">
        <v>514</v>
      </c>
      <c r="C18295" s="1" t="str">
        <f>HYPERLINK("http://www.rosaceae.org/gb/gbrowse/malus_x_domestica/?name=MDP0000213431","MDP0000213431")</f>
        <v>MDP0000213431</v>
      </c>
      <c r="D18295">
        <v>67.900000000000006</v>
      </c>
      <c r="E18295">
        <v>483</v>
      </c>
      <c r="F18295">
        <v>155</v>
      </c>
      <c r="G18295">
        <v>9</v>
      </c>
      <c r="H18295">
        <v>35</v>
      </c>
      <c r="I18295">
        <v>514</v>
      </c>
      <c r="J18295">
        <v>1</v>
      </c>
      <c r="K18295">
        <v>37</v>
      </c>
      <c r="L18295">
        <v>513</v>
      </c>
      <c r="M18295">
        <v>1</v>
      </c>
      <c r="N18295">
        <v>0</v>
      </c>
      <c r="O18295">
        <v>1824</v>
      </c>
    </row>
    <row r="18296" spans="1:15" x14ac:dyDescent="0.25">
      <c r="A18296" t="s">
        <v>18309</v>
      </c>
      <c r="B18296">
        <v>401</v>
      </c>
      <c r="C18296" s="1" t="str">
        <f>HYPERLINK("http://www.rosaceae.org/gb/gbrowse/malus_x_domestica/?name=MDP0000304808","MDP0000304808")</f>
        <v>MDP0000304808</v>
      </c>
      <c r="D18296">
        <v>70.55</v>
      </c>
      <c r="E18296">
        <v>394</v>
      </c>
      <c r="F18296">
        <v>116</v>
      </c>
      <c r="G18296">
        <v>8</v>
      </c>
      <c r="H18296">
        <v>1</v>
      </c>
      <c r="I18296">
        <v>390</v>
      </c>
      <c r="J18296">
        <v>1</v>
      </c>
      <c r="K18296">
        <v>1</v>
      </c>
      <c r="L18296">
        <v>390</v>
      </c>
      <c r="M18296">
        <v>1</v>
      </c>
      <c r="N18296">
        <v>3.5839100000000002E-162</v>
      </c>
      <c r="O18296">
        <v>1464</v>
      </c>
    </row>
    <row r="18297" spans="1:15" x14ac:dyDescent="0.25">
      <c r="A18297" t="s">
        <v>18310</v>
      </c>
      <c r="B18297">
        <v>231</v>
      </c>
      <c r="C18297" s="1" t="str">
        <f>HYPERLINK("http://www.rosaceae.org/gb/gbrowse/malus_x_domestica/?name=MDP0000754989","MDP0000754989")</f>
        <v>MDP0000754989</v>
      </c>
      <c r="D18297">
        <v>43.8</v>
      </c>
      <c r="E18297">
        <v>210</v>
      </c>
      <c r="F18297">
        <v>118</v>
      </c>
      <c r="G18297">
        <v>28</v>
      </c>
      <c r="H18297">
        <v>17</v>
      </c>
      <c r="I18297">
        <v>201</v>
      </c>
      <c r="J18297">
        <v>1</v>
      </c>
      <c r="K18297">
        <v>3</v>
      </c>
      <c r="L18297">
        <v>209</v>
      </c>
      <c r="M18297">
        <v>1</v>
      </c>
      <c r="N18297">
        <v>1.9789900000000001E-34</v>
      </c>
      <c r="O18297">
        <v>359</v>
      </c>
    </row>
    <row r="18298" spans="1:15" x14ac:dyDescent="0.25">
      <c r="A18298" t="s">
        <v>18311</v>
      </c>
      <c r="B18298">
        <v>439</v>
      </c>
      <c r="C18298" s="1" t="str">
        <f>HYPERLINK("http://www.rosaceae.org/gb/gbrowse/malus_x_domestica/?name=MDP0000256347","MDP0000256347")</f>
        <v>MDP0000256347</v>
      </c>
      <c r="D18298">
        <v>80.91</v>
      </c>
      <c r="E18298">
        <v>435</v>
      </c>
      <c r="F18298">
        <v>83</v>
      </c>
      <c r="G18298">
        <v>8</v>
      </c>
      <c r="H18298">
        <v>1</v>
      </c>
      <c r="I18298">
        <v>433</v>
      </c>
      <c r="J18298">
        <v>1</v>
      </c>
      <c r="K18298">
        <v>1</v>
      </c>
      <c r="L18298">
        <v>429</v>
      </c>
      <c r="M18298">
        <v>1</v>
      </c>
      <c r="N18298">
        <v>0</v>
      </c>
      <c r="O18298">
        <v>1851</v>
      </c>
    </row>
    <row r="18299" spans="1:15" x14ac:dyDescent="0.25">
      <c r="A18299" t="s">
        <v>18312</v>
      </c>
      <c r="B18299">
        <v>1039</v>
      </c>
      <c r="C18299" s="1" t="str">
        <f>HYPERLINK("http://www.rosaceae.org/gb/gbrowse/malus_x_domestica/?name=MDP0000247737","MDP0000247737")</f>
        <v>MDP0000247737</v>
      </c>
      <c r="D18299">
        <v>81.069999999999993</v>
      </c>
      <c r="E18299">
        <v>576</v>
      </c>
      <c r="F18299">
        <v>109</v>
      </c>
      <c r="G18299">
        <v>15</v>
      </c>
      <c r="H18299">
        <v>459</v>
      </c>
      <c r="I18299">
        <v>1034</v>
      </c>
      <c r="J18299">
        <v>1</v>
      </c>
      <c r="K18299">
        <v>540</v>
      </c>
      <c r="L18299">
        <v>1100</v>
      </c>
      <c r="M18299">
        <v>1</v>
      </c>
      <c r="N18299">
        <v>0</v>
      </c>
      <c r="O18299">
        <v>2475</v>
      </c>
    </row>
    <row r="18300" spans="1:15" x14ac:dyDescent="0.25">
      <c r="A18300" t="s">
        <v>18313</v>
      </c>
      <c r="B18300">
        <v>221</v>
      </c>
      <c r="C18300" s="1" t="str">
        <f>HYPERLINK("http://www.rosaceae.org/gb/gbrowse/malus_x_domestica/?name=MDP0000340082","MDP0000340082")</f>
        <v>MDP0000340082</v>
      </c>
      <c r="D18300">
        <v>89.06</v>
      </c>
      <c r="E18300">
        <v>128</v>
      </c>
      <c r="F18300">
        <v>14</v>
      </c>
      <c r="G18300">
        <v>0</v>
      </c>
      <c r="H18300">
        <v>27</v>
      </c>
      <c r="I18300">
        <v>154</v>
      </c>
      <c r="J18300">
        <v>1</v>
      </c>
      <c r="K18300">
        <v>60</v>
      </c>
      <c r="L18300">
        <v>187</v>
      </c>
      <c r="M18300">
        <v>1</v>
      </c>
      <c r="N18300">
        <v>8.51328E-64</v>
      </c>
      <c r="O18300">
        <v>612</v>
      </c>
    </row>
    <row r="18301" spans="1:15" x14ac:dyDescent="0.25">
      <c r="A18301" t="s">
        <v>18314</v>
      </c>
      <c r="B18301">
        <v>586</v>
      </c>
      <c r="C18301" s="1" t="str">
        <f>HYPERLINK("http://www.rosaceae.org/gb/gbrowse/malus_x_domestica/?name=MDP0000178885","MDP0000178885")</f>
        <v>MDP0000178885</v>
      </c>
      <c r="D18301">
        <v>51.28</v>
      </c>
      <c r="E18301">
        <v>351</v>
      </c>
      <c r="F18301">
        <v>171</v>
      </c>
      <c r="G18301">
        <v>59</v>
      </c>
      <c r="H18301">
        <v>280</v>
      </c>
      <c r="I18301">
        <v>586</v>
      </c>
      <c r="J18301">
        <v>1</v>
      </c>
      <c r="K18301">
        <v>74</v>
      </c>
      <c r="L18301">
        <v>409</v>
      </c>
      <c r="M18301">
        <v>1</v>
      </c>
      <c r="N18301">
        <v>9.4325700000000006E-83</v>
      </c>
      <c r="O18301">
        <v>781</v>
      </c>
    </row>
    <row r="18302" spans="1:15" x14ac:dyDescent="0.25">
      <c r="A18302" t="s">
        <v>18315</v>
      </c>
      <c r="B18302">
        <v>195</v>
      </c>
      <c r="C18302" s="1" t="str">
        <f>HYPERLINK("http://www.rosaceae.org/gb/gbrowse/malus_x_domestica/?name=MDP0000506495","MDP0000506495")</f>
        <v>MDP0000506495</v>
      </c>
      <c r="D18302">
        <v>68.040000000000006</v>
      </c>
      <c r="E18302">
        <v>194</v>
      </c>
      <c r="F18302">
        <v>62</v>
      </c>
      <c r="G18302">
        <v>16</v>
      </c>
      <c r="H18302">
        <v>16</v>
      </c>
      <c r="I18302">
        <v>195</v>
      </c>
      <c r="J18302">
        <v>1</v>
      </c>
      <c r="K18302">
        <v>88</v>
      </c>
      <c r="L18302">
        <v>279</v>
      </c>
      <c r="M18302">
        <v>1</v>
      </c>
      <c r="N18302">
        <v>6.4580399999999999E-66</v>
      </c>
      <c r="O18302">
        <v>630</v>
      </c>
    </row>
    <row r="18303" spans="1:15" x14ac:dyDescent="0.25">
      <c r="A18303" t="s">
        <v>18316</v>
      </c>
      <c r="B18303">
        <v>523</v>
      </c>
      <c r="C18303" s="1" t="str">
        <f>HYPERLINK("http://www.rosaceae.org/gb/gbrowse/malus_x_domestica/?name=MDP0000191872","MDP0000191872")</f>
        <v>MDP0000191872</v>
      </c>
      <c r="D18303">
        <v>89.67</v>
      </c>
      <c r="E18303">
        <v>184</v>
      </c>
      <c r="F18303">
        <v>19</v>
      </c>
      <c r="G18303">
        <v>4</v>
      </c>
      <c r="H18303">
        <v>72</v>
      </c>
      <c r="I18303">
        <v>251</v>
      </c>
      <c r="J18303">
        <v>1</v>
      </c>
      <c r="K18303">
        <v>89</v>
      </c>
      <c r="L18303">
        <v>272</v>
      </c>
      <c r="M18303">
        <v>1</v>
      </c>
      <c r="N18303">
        <v>4.8921800000000003E-96</v>
      </c>
      <c r="O18303">
        <v>895</v>
      </c>
    </row>
    <row r="18304" spans="1:15" x14ac:dyDescent="0.25">
      <c r="A18304" t="s">
        <v>18317</v>
      </c>
      <c r="B18304">
        <v>324</v>
      </c>
      <c r="C18304" s="1" t="str">
        <f>HYPERLINK("http://www.rosaceae.org/gb/gbrowse/malus_x_domestica/?name=MDP0000867150","MDP0000867150")</f>
        <v>MDP0000867150</v>
      </c>
      <c r="D18304">
        <v>83.26</v>
      </c>
      <c r="E18304">
        <v>233</v>
      </c>
      <c r="F18304">
        <v>39</v>
      </c>
      <c r="G18304">
        <v>1</v>
      </c>
      <c r="H18304">
        <v>10</v>
      </c>
      <c r="I18304">
        <v>242</v>
      </c>
      <c r="J18304">
        <v>1</v>
      </c>
      <c r="K18304">
        <v>24</v>
      </c>
      <c r="L18304">
        <v>255</v>
      </c>
      <c r="M18304">
        <v>1</v>
      </c>
      <c r="N18304">
        <v>6.7878199999999996E-110</v>
      </c>
      <c r="O18304">
        <v>1012</v>
      </c>
    </row>
    <row r="18305" spans="1:15" x14ac:dyDescent="0.25">
      <c r="A18305" t="s">
        <v>18318</v>
      </c>
      <c r="B18305">
        <v>324</v>
      </c>
      <c r="C18305" s="1" t="str">
        <f>HYPERLINK("http://www.rosaceae.org/gb/gbrowse/malus_x_domestica/?name=MDP0000216491","MDP0000216491")</f>
        <v>MDP0000216491</v>
      </c>
      <c r="D18305">
        <v>69.53</v>
      </c>
      <c r="E18305">
        <v>325</v>
      </c>
      <c r="F18305">
        <v>99</v>
      </c>
      <c r="G18305">
        <v>4</v>
      </c>
      <c r="H18305">
        <v>1</v>
      </c>
      <c r="I18305">
        <v>322</v>
      </c>
      <c r="J18305">
        <v>1</v>
      </c>
      <c r="K18305">
        <v>1</v>
      </c>
      <c r="L18305">
        <v>324</v>
      </c>
      <c r="M18305">
        <v>1</v>
      </c>
      <c r="N18305">
        <v>1.7800700000000001E-122</v>
      </c>
      <c r="O18305">
        <v>1121</v>
      </c>
    </row>
    <row r="18306" spans="1:15" x14ac:dyDescent="0.25">
      <c r="A18306" t="s">
        <v>18319</v>
      </c>
      <c r="B18306">
        <v>202</v>
      </c>
      <c r="C18306" s="1" t="str">
        <f>HYPERLINK("http://www.rosaceae.org/gb/gbrowse/malus_x_domestica/?name=MDP0000133633","MDP0000133633")</f>
        <v>MDP0000133633</v>
      </c>
      <c r="D18306">
        <v>69.739999999999995</v>
      </c>
      <c r="E18306">
        <v>119</v>
      </c>
      <c r="F18306">
        <v>36</v>
      </c>
      <c r="G18306">
        <v>2</v>
      </c>
      <c r="H18306">
        <v>38</v>
      </c>
      <c r="I18306">
        <v>154</v>
      </c>
      <c r="J18306">
        <v>1</v>
      </c>
      <c r="K18306">
        <v>90</v>
      </c>
      <c r="L18306">
        <v>208</v>
      </c>
      <c r="M18306">
        <v>1</v>
      </c>
      <c r="N18306">
        <v>7.5139900000000007E-43</v>
      </c>
      <c r="O18306">
        <v>431</v>
      </c>
    </row>
    <row r="18307" spans="1:15" x14ac:dyDescent="0.25">
      <c r="A18307" t="s">
        <v>18320</v>
      </c>
      <c r="B18307">
        <v>308</v>
      </c>
      <c r="C18307" s="1" t="str">
        <f>HYPERLINK("http://www.rosaceae.org/gb/gbrowse/malus_x_domestica/?name=MDP0000476097","MDP0000476097")</f>
        <v>MDP0000476097</v>
      </c>
      <c r="D18307">
        <v>72.64</v>
      </c>
      <c r="E18307">
        <v>212</v>
      </c>
      <c r="F18307">
        <v>58</v>
      </c>
      <c r="G18307">
        <v>13</v>
      </c>
      <c r="H18307">
        <v>1</v>
      </c>
      <c r="I18307">
        <v>210</v>
      </c>
      <c r="J18307">
        <v>1</v>
      </c>
      <c r="K18307">
        <v>1</v>
      </c>
      <c r="L18307">
        <v>201</v>
      </c>
      <c r="M18307">
        <v>1</v>
      </c>
      <c r="N18307">
        <v>7.4932999999999997E-85</v>
      </c>
      <c r="O18307">
        <v>796</v>
      </c>
    </row>
    <row r="18308" spans="1:15" x14ac:dyDescent="0.25">
      <c r="A18308" t="s">
        <v>18321</v>
      </c>
      <c r="B18308">
        <v>137</v>
      </c>
      <c r="C18308" s="1" t="str">
        <f>HYPERLINK("http://www.rosaceae.org/gb/gbrowse/malus_x_domestica/?name=MDP0000323702","MDP0000323702")</f>
        <v>MDP0000323702</v>
      </c>
      <c r="D18308">
        <v>83.18</v>
      </c>
      <c r="E18308">
        <v>113</v>
      </c>
      <c r="F18308">
        <v>19</v>
      </c>
      <c r="G18308">
        <v>0</v>
      </c>
      <c r="H18308">
        <v>1</v>
      </c>
      <c r="I18308">
        <v>113</v>
      </c>
      <c r="J18308">
        <v>1</v>
      </c>
      <c r="K18308">
        <v>9</v>
      </c>
      <c r="L18308">
        <v>121</v>
      </c>
      <c r="M18308">
        <v>1</v>
      </c>
      <c r="N18308">
        <v>7.2557200000000004E-54</v>
      </c>
      <c r="O18308">
        <v>523</v>
      </c>
    </row>
    <row r="18309" spans="1:15" x14ac:dyDescent="0.25">
      <c r="A18309" t="s">
        <v>18322</v>
      </c>
      <c r="B18309">
        <v>134</v>
      </c>
      <c r="C18309" s="1" t="str">
        <f>HYPERLINK("http://www.rosaceae.org/gb/gbrowse/malus_x_domestica/?name=MDP0000420812","MDP0000420812")</f>
        <v>MDP0000420812</v>
      </c>
      <c r="D18309">
        <v>58.64</v>
      </c>
      <c r="E18309">
        <v>133</v>
      </c>
      <c r="F18309">
        <v>55</v>
      </c>
      <c r="G18309">
        <v>0</v>
      </c>
      <c r="H18309">
        <v>1</v>
      </c>
      <c r="I18309">
        <v>133</v>
      </c>
      <c r="J18309">
        <v>1</v>
      </c>
      <c r="K18309">
        <v>1</v>
      </c>
      <c r="L18309">
        <v>133</v>
      </c>
      <c r="M18309">
        <v>1</v>
      </c>
      <c r="N18309">
        <v>1.80435E-40</v>
      </c>
      <c r="O18309">
        <v>407</v>
      </c>
    </row>
    <row r="18310" spans="1:15" x14ac:dyDescent="0.25">
      <c r="A18310" t="s">
        <v>18323</v>
      </c>
      <c r="B18310">
        <v>117</v>
      </c>
      <c r="C18310" s="1" t="str">
        <f>HYPERLINK("http://www.rosaceae.org/gb/gbrowse/malus_x_domestica/?name=MDP0000124128","MDP0000124128")</f>
        <v>MDP0000124128</v>
      </c>
      <c r="D18310">
        <v>99.14</v>
      </c>
      <c r="E18310">
        <v>117</v>
      </c>
      <c r="F18310">
        <v>1</v>
      </c>
      <c r="G18310">
        <v>0</v>
      </c>
      <c r="H18310">
        <v>1</v>
      </c>
      <c r="I18310">
        <v>117</v>
      </c>
      <c r="J18310">
        <v>1</v>
      </c>
      <c r="K18310">
        <v>1</v>
      </c>
      <c r="L18310">
        <v>117</v>
      </c>
      <c r="M18310">
        <v>1</v>
      </c>
      <c r="N18310">
        <v>1.23432E-65</v>
      </c>
      <c r="O18310">
        <v>623</v>
      </c>
    </row>
    <row r="18311" spans="1:15" x14ac:dyDescent="0.25">
      <c r="A18311" t="s">
        <v>18324</v>
      </c>
      <c r="B18311">
        <v>305</v>
      </c>
      <c r="C18311" s="1" t="str">
        <f>HYPERLINK("http://www.rosaceae.org/gb/gbrowse/malus_x_domestica/?name=MDP0000219580","MDP0000219580")</f>
        <v>MDP0000219580</v>
      </c>
      <c r="D18311">
        <v>52.34</v>
      </c>
      <c r="E18311">
        <v>256</v>
      </c>
      <c r="F18311">
        <v>122</v>
      </c>
      <c r="G18311">
        <v>46</v>
      </c>
      <c r="H18311">
        <v>1</v>
      </c>
      <c r="I18311">
        <v>211</v>
      </c>
      <c r="J18311">
        <v>1</v>
      </c>
      <c r="K18311">
        <v>1</v>
      </c>
      <c r="L18311">
        <v>255</v>
      </c>
      <c r="M18311">
        <v>1</v>
      </c>
      <c r="N18311">
        <v>9.6188200000000006E-65</v>
      </c>
      <c r="O18311">
        <v>622</v>
      </c>
    </row>
    <row r="18312" spans="1:15" x14ac:dyDescent="0.25">
      <c r="A18312" t="s">
        <v>18325</v>
      </c>
      <c r="B18312">
        <v>221</v>
      </c>
      <c r="C18312" s="1" t="str">
        <f>HYPERLINK("http://www.rosaceae.org/gb/gbrowse/malus_x_domestica/?name=MDP0000914416","MDP0000914416")</f>
        <v>MDP0000914416</v>
      </c>
      <c r="D18312">
        <v>91.32</v>
      </c>
      <c r="E18312">
        <v>196</v>
      </c>
      <c r="F18312">
        <v>17</v>
      </c>
      <c r="G18312">
        <v>0</v>
      </c>
      <c r="H18312">
        <v>26</v>
      </c>
      <c r="I18312">
        <v>221</v>
      </c>
      <c r="J18312">
        <v>1</v>
      </c>
      <c r="K18312">
        <v>16</v>
      </c>
      <c r="L18312">
        <v>211</v>
      </c>
      <c r="M18312">
        <v>1</v>
      </c>
      <c r="N18312">
        <v>2.23436E-102</v>
      </c>
      <c r="O18312">
        <v>945</v>
      </c>
    </row>
    <row r="18313" spans="1:15" x14ac:dyDescent="0.25">
      <c r="A18313" t="s">
        <v>18326</v>
      </c>
      <c r="B18313">
        <v>529</v>
      </c>
      <c r="C18313" s="1" t="str">
        <f>HYPERLINK("http://www.rosaceae.org/gb/gbrowse/malus_x_domestica/?name=MDP0000157943","MDP0000157943")</f>
        <v>MDP0000157943</v>
      </c>
      <c r="D18313">
        <v>53.35</v>
      </c>
      <c r="E18313">
        <v>506</v>
      </c>
      <c r="F18313">
        <v>236</v>
      </c>
      <c r="G18313">
        <v>16</v>
      </c>
      <c r="H18313">
        <v>19</v>
      </c>
      <c r="I18313">
        <v>516</v>
      </c>
      <c r="J18313">
        <v>1</v>
      </c>
      <c r="K18313">
        <v>26</v>
      </c>
      <c r="L18313">
        <v>523</v>
      </c>
      <c r="M18313">
        <v>1</v>
      </c>
      <c r="N18313">
        <v>7.0046100000000001E-145</v>
      </c>
      <c r="O18313">
        <v>1316</v>
      </c>
    </row>
    <row r="18314" spans="1:15" x14ac:dyDescent="0.25">
      <c r="A18314" t="s">
        <v>18327</v>
      </c>
      <c r="B18314">
        <v>870</v>
      </c>
      <c r="C18314" s="1" t="str">
        <f>HYPERLINK("http://www.rosaceae.org/gb/gbrowse/malus_x_domestica/?name=MDP0000292954","MDP0000292954")</f>
        <v>MDP0000292954</v>
      </c>
      <c r="D18314">
        <v>80.08</v>
      </c>
      <c r="E18314">
        <v>889</v>
      </c>
      <c r="F18314">
        <v>177</v>
      </c>
      <c r="G18314">
        <v>40</v>
      </c>
      <c r="H18314">
        <v>1</v>
      </c>
      <c r="I18314">
        <v>870</v>
      </c>
      <c r="J18314">
        <v>1</v>
      </c>
      <c r="K18314">
        <v>1</v>
      </c>
      <c r="L18314">
        <v>868</v>
      </c>
      <c r="M18314">
        <v>1</v>
      </c>
      <c r="N18314">
        <v>0</v>
      </c>
      <c r="O18314">
        <v>3727</v>
      </c>
    </row>
    <row r="18315" spans="1:15" x14ac:dyDescent="0.25">
      <c r="A18315" t="s">
        <v>18328</v>
      </c>
      <c r="B18315">
        <v>525</v>
      </c>
      <c r="C18315" s="1" t="str">
        <f>HYPERLINK("http://www.rosaceae.org/gb/gbrowse/malus_x_domestica/?name=MDP0000184117","MDP0000184117")</f>
        <v>MDP0000184117</v>
      </c>
      <c r="D18315">
        <v>49.91</v>
      </c>
      <c r="E18315">
        <v>565</v>
      </c>
      <c r="F18315">
        <v>283</v>
      </c>
      <c r="G18315">
        <v>56</v>
      </c>
      <c r="H18315">
        <v>1</v>
      </c>
      <c r="I18315">
        <v>517</v>
      </c>
      <c r="J18315">
        <v>1</v>
      </c>
      <c r="K18315">
        <v>1</v>
      </c>
      <c r="L18315">
        <v>557</v>
      </c>
      <c r="M18315">
        <v>1</v>
      </c>
      <c r="N18315">
        <v>1.28056E-131</v>
      </c>
      <c r="O18315">
        <v>1202</v>
      </c>
    </row>
    <row r="18316" spans="1:15" x14ac:dyDescent="0.25">
      <c r="A18316" t="s">
        <v>18329</v>
      </c>
      <c r="B18316">
        <v>436</v>
      </c>
      <c r="C18316" s="1" t="str">
        <f>HYPERLINK("http://www.rosaceae.org/gb/gbrowse/malus_x_domestica/?name=MDP0000199921","MDP0000199921")</f>
        <v>MDP0000199921</v>
      </c>
      <c r="D18316">
        <v>69.75</v>
      </c>
      <c r="E18316">
        <v>443</v>
      </c>
      <c r="F18316">
        <v>134</v>
      </c>
      <c r="G18316">
        <v>47</v>
      </c>
      <c r="H18316">
        <v>29</v>
      </c>
      <c r="I18316">
        <v>432</v>
      </c>
      <c r="J18316">
        <v>1</v>
      </c>
      <c r="K18316">
        <v>28</v>
      </c>
      <c r="L18316">
        <v>462</v>
      </c>
      <c r="M18316">
        <v>1</v>
      </c>
      <c r="N18316">
        <v>5.5606699999999995E-156</v>
      </c>
      <c r="O18316">
        <v>1411</v>
      </c>
    </row>
    <row r="18317" spans="1:15" x14ac:dyDescent="0.25">
      <c r="A18317" t="s">
        <v>18330</v>
      </c>
      <c r="B18317">
        <v>118</v>
      </c>
      <c r="C18317" s="1" t="str">
        <f>HYPERLINK("http://www.rosaceae.org/gb/gbrowse/malus_x_domestica/?name=MDP0000243120","MDP0000243120")</f>
        <v>MDP0000243120</v>
      </c>
      <c r="D18317">
        <v>73.78</v>
      </c>
      <c r="E18317">
        <v>103</v>
      </c>
      <c r="F18317">
        <v>27</v>
      </c>
      <c r="G18317">
        <v>3</v>
      </c>
      <c r="H18317">
        <v>19</v>
      </c>
      <c r="I18317">
        <v>118</v>
      </c>
      <c r="J18317">
        <v>1</v>
      </c>
      <c r="K18317">
        <v>35</v>
      </c>
      <c r="L18317">
        <v>137</v>
      </c>
      <c r="M18317">
        <v>1</v>
      </c>
      <c r="N18317">
        <v>5.2505300000000004E-38</v>
      </c>
      <c r="O18317">
        <v>385</v>
      </c>
    </row>
    <row r="18318" spans="1:15" x14ac:dyDescent="0.25">
      <c r="A18318" t="s">
        <v>18331</v>
      </c>
      <c r="B18318">
        <v>219</v>
      </c>
      <c r="C18318" s="1" t="str">
        <f>HYPERLINK("http://www.rosaceae.org/gb/gbrowse/malus_x_domestica/?name=MDP0000225852","MDP0000225852")</f>
        <v>MDP0000225852</v>
      </c>
      <c r="D18318">
        <v>50.3</v>
      </c>
      <c r="E18318">
        <v>165</v>
      </c>
      <c r="F18318">
        <v>82</v>
      </c>
      <c r="G18318">
        <v>9</v>
      </c>
      <c r="H18318">
        <v>1</v>
      </c>
      <c r="I18318">
        <v>158</v>
      </c>
      <c r="J18318">
        <v>1</v>
      </c>
      <c r="K18318">
        <v>1</v>
      </c>
      <c r="L18318">
        <v>163</v>
      </c>
      <c r="M18318">
        <v>1</v>
      </c>
      <c r="N18318">
        <v>2.7148999999999998E-35</v>
      </c>
      <c r="O18318">
        <v>367</v>
      </c>
    </row>
    <row r="18319" spans="1:15" x14ac:dyDescent="0.25">
      <c r="A18319" t="s">
        <v>18332</v>
      </c>
      <c r="B18319">
        <v>597</v>
      </c>
      <c r="C18319" s="1" t="str">
        <f>HYPERLINK("http://www.rosaceae.org/gb/gbrowse/malus_x_domestica/?name=MDP0000395397","MDP0000395397")</f>
        <v>MDP0000395397</v>
      </c>
      <c r="D18319">
        <v>43.96</v>
      </c>
      <c r="E18319">
        <v>116</v>
      </c>
      <c r="F18319">
        <v>65</v>
      </c>
      <c r="G18319">
        <v>32</v>
      </c>
      <c r="H18319">
        <v>179</v>
      </c>
      <c r="I18319">
        <v>274</v>
      </c>
      <c r="J18319">
        <v>1</v>
      </c>
      <c r="K18319">
        <v>449</v>
      </c>
      <c r="L18319">
        <v>552</v>
      </c>
      <c r="M18319">
        <v>1</v>
      </c>
      <c r="N18319">
        <v>1.4941699999999999E-13</v>
      </c>
      <c r="O18319">
        <v>184</v>
      </c>
    </row>
    <row r="18320" spans="1:15" x14ac:dyDescent="0.25">
      <c r="A18320" t="s">
        <v>18333</v>
      </c>
      <c r="B18320">
        <v>328</v>
      </c>
      <c r="C18320" s="1" t="str">
        <f>HYPERLINK("http://www.rosaceae.org/gb/gbrowse/malus_x_domestica/?name=MDP0000244350","MDP0000244350")</f>
        <v>MDP0000244350</v>
      </c>
      <c r="D18320">
        <v>61.14</v>
      </c>
      <c r="E18320">
        <v>175</v>
      </c>
      <c r="F18320">
        <v>68</v>
      </c>
      <c r="G18320">
        <v>11</v>
      </c>
      <c r="H18320">
        <v>124</v>
      </c>
      <c r="I18320">
        <v>287</v>
      </c>
      <c r="J18320">
        <v>1</v>
      </c>
      <c r="K18320">
        <v>1</v>
      </c>
      <c r="L18320">
        <v>175</v>
      </c>
      <c r="M18320">
        <v>1</v>
      </c>
      <c r="N18320">
        <v>2.2799099999999999E-50</v>
      </c>
      <c r="O18320">
        <v>499</v>
      </c>
    </row>
    <row r="18321" spans="1:15" x14ac:dyDescent="0.25">
      <c r="A18321" t="s">
        <v>18334</v>
      </c>
      <c r="B18321">
        <v>974</v>
      </c>
      <c r="C18321" s="1" t="str">
        <f>HYPERLINK("http://www.rosaceae.org/gb/gbrowse/malus_x_domestica/?name=MDP0000234834","MDP0000234834")</f>
        <v>MDP0000234834</v>
      </c>
      <c r="D18321">
        <v>70.260000000000005</v>
      </c>
      <c r="E18321">
        <v>1019</v>
      </c>
      <c r="F18321">
        <v>303</v>
      </c>
      <c r="G18321">
        <v>102</v>
      </c>
      <c r="H18321">
        <v>57</v>
      </c>
      <c r="I18321">
        <v>974</v>
      </c>
      <c r="J18321">
        <v>1</v>
      </c>
      <c r="K18321">
        <v>83</v>
      </c>
      <c r="L18321">
        <v>1100</v>
      </c>
      <c r="M18321">
        <v>1</v>
      </c>
      <c r="N18321">
        <v>0</v>
      </c>
      <c r="O18321">
        <v>3614</v>
      </c>
    </row>
    <row r="18322" spans="1:15" x14ac:dyDescent="0.25">
      <c r="A18322" t="s">
        <v>18335</v>
      </c>
      <c r="B18322">
        <v>134</v>
      </c>
      <c r="C18322" s="1" t="str">
        <f>HYPERLINK("http://www.rosaceae.org/gb/gbrowse/malus_x_domestica/?name=MDP0000133655","MDP0000133655")</f>
        <v>MDP0000133655</v>
      </c>
      <c r="D18322">
        <v>74.349999999999994</v>
      </c>
      <c r="E18322">
        <v>39</v>
      </c>
      <c r="F18322">
        <v>10</v>
      </c>
      <c r="G18322">
        <v>0</v>
      </c>
      <c r="H18322">
        <v>92</v>
      </c>
      <c r="I18322">
        <v>130</v>
      </c>
      <c r="J18322">
        <v>1</v>
      </c>
      <c r="K18322">
        <v>3</v>
      </c>
      <c r="L18322">
        <v>41</v>
      </c>
      <c r="M18322">
        <v>1</v>
      </c>
      <c r="N18322">
        <v>1.6884399999999999E-10</v>
      </c>
      <c r="O18322">
        <v>149</v>
      </c>
    </row>
    <row r="18323" spans="1:15" x14ac:dyDescent="0.25">
      <c r="A18323" t="s">
        <v>18336</v>
      </c>
      <c r="B18323">
        <v>406</v>
      </c>
      <c r="C18323" s="1" t="str">
        <f>HYPERLINK("http://www.rosaceae.org/gb/gbrowse/malus_x_domestica/?name=MDP0000927927","MDP0000927927")</f>
        <v>MDP0000927927</v>
      </c>
      <c r="D18323">
        <v>35.65</v>
      </c>
      <c r="E18323">
        <v>373</v>
      </c>
      <c r="F18323">
        <v>240</v>
      </c>
      <c r="G18323">
        <v>59</v>
      </c>
      <c r="H18323">
        <v>39</v>
      </c>
      <c r="I18323">
        <v>395</v>
      </c>
      <c r="J18323">
        <v>1</v>
      </c>
      <c r="K18323">
        <v>31</v>
      </c>
      <c r="L18323">
        <v>360</v>
      </c>
      <c r="M18323">
        <v>1</v>
      </c>
      <c r="N18323">
        <v>1.16233E-46</v>
      </c>
      <c r="O18323">
        <v>468</v>
      </c>
    </row>
    <row r="18324" spans="1:15" x14ac:dyDescent="0.25">
      <c r="A18324" t="s">
        <v>18337</v>
      </c>
      <c r="B18324">
        <v>661</v>
      </c>
      <c r="C18324" s="1" t="str">
        <f>HYPERLINK("http://www.rosaceae.org/gb/gbrowse/malus_x_domestica/?name=MDP0000231821","MDP0000231821")</f>
        <v>MDP0000231821</v>
      </c>
      <c r="D18324">
        <v>64.09</v>
      </c>
      <c r="E18324">
        <v>674</v>
      </c>
      <c r="F18324">
        <v>242</v>
      </c>
      <c r="G18324">
        <v>64</v>
      </c>
      <c r="H18324">
        <v>1</v>
      </c>
      <c r="I18324">
        <v>661</v>
      </c>
      <c r="J18324">
        <v>1</v>
      </c>
      <c r="K18324">
        <v>1</v>
      </c>
      <c r="L18324">
        <v>623</v>
      </c>
      <c r="M18324">
        <v>1</v>
      </c>
      <c r="N18324">
        <v>0</v>
      </c>
      <c r="O18324">
        <v>2038</v>
      </c>
    </row>
    <row r="18325" spans="1:15" x14ac:dyDescent="0.25">
      <c r="A18325" t="s">
        <v>18338</v>
      </c>
      <c r="B18325">
        <v>431</v>
      </c>
      <c r="C18325" s="1" t="str">
        <f>HYPERLINK("http://www.rosaceae.org/gb/gbrowse/malus_x_domestica/?name=MDP0000296123","MDP0000296123")</f>
        <v>MDP0000296123</v>
      </c>
      <c r="D18325">
        <v>34.33</v>
      </c>
      <c r="E18325">
        <v>300</v>
      </c>
      <c r="F18325">
        <v>197</v>
      </c>
      <c r="G18325">
        <v>42</v>
      </c>
      <c r="H18325">
        <v>129</v>
      </c>
      <c r="I18325">
        <v>425</v>
      </c>
      <c r="J18325">
        <v>1</v>
      </c>
      <c r="K18325">
        <v>1</v>
      </c>
      <c r="L18325">
        <v>261</v>
      </c>
      <c r="M18325">
        <v>1</v>
      </c>
      <c r="N18325">
        <v>1.21229E-33</v>
      </c>
      <c r="O18325">
        <v>356</v>
      </c>
    </row>
    <row r="18326" spans="1:15" x14ac:dyDescent="0.25">
      <c r="A18326" t="s">
        <v>18339</v>
      </c>
      <c r="B18326">
        <v>158</v>
      </c>
      <c r="C18326" s="1" t="str">
        <f>HYPERLINK("http://www.rosaceae.org/gb/gbrowse/malus_x_domestica/?name=MDP0000427753","MDP0000427753")</f>
        <v>MDP0000427753</v>
      </c>
      <c r="D18326">
        <v>82.91</v>
      </c>
      <c r="E18326">
        <v>158</v>
      </c>
      <c r="F18326">
        <v>27</v>
      </c>
      <c r="G18326">
        <v>1</v>
      </c>
      <c r="H18326">
        <v>1</v>
      </c>
      <c r="I18326">
        <v>158</v>
      </c>
      <c r="J18326">
        <v>1</v>
      </c>
      <c r="K18326">
        <v>1</v>
      </c>
      <c r="L18326">
        <v>157</v>
      </c>
      <c r="M18326">
        <v>1</v>
      </c>
      <c r="N18326">
        <v>1.3841800000000001E-71</v>
      </c>
      <c r="O18326">
        <v>677</v>
      </c>
    </row>
    <row r="18327" spans="1:15" x14ac:dyDescent="0.25">
      <c r="A18327" t="s">
        <v>18340</v>
      </c>
      <c r="B18327">
        <v>905</v>
      </c>
      <c r="C18327" s="1" t="str">
        <f>HYPERLINK("http://www.rosaceae.org/gb/gbrowse/malus_x_domestica/?name=MDP0000299496","MDP0000299496")</f>
        <v>MDP0000299496</v>
      </c>
      <c r="D18327">
        <v>26.01</v>
      </c>
      <c r="E18327">
        <v>296</v>
      </c>
      <c r="F18327">
        <v>219</v>
      </c>
      <c r="G18327">
        <v>51</v>
      </c>
      <c r="H18327">
        <v>451</v>
      </c>
      <c r="I18327">
        <v>699</v>
      </c>
      <c r="J18327">
        <v>1</v>
      </c>
      <c r="K18327">
        <v>515</v>
      </c>
      <c r="L18327">
        <v>806</v>
      </c>
      <c r="M18327">
        <v>1</v>
      </c>
      <c r="N18327">
        <v>3.95907E-25</v>
      </c>
      <c r="O18327">
        <v>286</v>
      </c>
    </row>
    <row r="18328" spans="1:15" x14ac:dyDescent="0.25">
      <c r="A18328" t="s">
        <v>18341</v>
      </c>
      <c r="B18328">
        <v>835</v>
      </c>
      <c r="C18328" s="1" t="str">
        <f>HYPERLINK("http://www.rosaceae.org/gb/gbrowse/malus_x_domestica/?name=MDP0000124975","MDP0000124975")</f>
        <v>MDP0000124975</v>
      </c>
      <c r="D18328">
        <v>73.03</v>
      </c>
      <c r="E18328">
        <v>534</v>
      </c>
      <c r="F18328">
        <v>144</v>
      </c>
      <c r="G18328">
        <v>4</v>
      </c>
      <c r="H18328">
        <v>1</v>
      </c>
      <c r="I18328">
        <v>531</v>
      </c>
      <c r="J18328">
        <v>1</v>
      </c>
      <c r="K18328">
        <v>1</v>
      </c>
      <c r="L18328">
        <v>533</v>
      </c>
      <c r="M18328">
        <v>1</v>
      </c>
      <c r="N18328">
        <v>0</v>
      </c>
      <c r="O18328">
        <v>2070</v>
      </c>
    </row>
    <row r="18329" spans="1:15" x14ac:dyDescent="0.25">
      <c r="A18329" t="s">
        <v>18342</v>
      </c>
      <c r="B18329">
        <v>172</v>
      </c>
      <c r="C18329" s="1" t="str">
        <f>HYPERLINK("http://www.rosaceae.org/gb/gbrowse/malus_x_domestica/?name=MDP0000237180","MDP0000237180")</f>
        <v>MDP0000237180</v>
      </c>
      <c r="D18329">
        <v>71.790000000000006</v>
      </c>
      <c r="E18329">
        <v>39</v>
      </c>
      <c r="F18329">
        <v>11</v>
      </c>
      <c r="G18329">
        <v>0</v>
      </c>
      <c r="H18329">
        <v>100</v>
      </c>
      <c r="I18329">
        <v>138</v>
      </c>
      <c r="J18329">
        <v>1</v>
      </c>
      <c r="K18329">
        <v>87</v>
      </c>
      <c r="L18329">
        <v>125</v>
      </c>
      <c r="M18329">
        <v>1</v>
      </c>
      <c r="N18329">
        <v>3.5270200000000001E-12</v>
      </c>
      <c r="O18329">
        <v>166</v>
      </c>
    </row>
    <row r="18330" spans="1:15" x14ac:dyDescent="0.25">
      <c r="A18330" t="s">
        <v>18343</v>
      </c>
      <c r="B18330">
        <v>1169</v>
      </c>
      <c r="C18330" s="1" t="str">
        <f>HYPERLINK("http://www.rosaceae.org/gb/gbrowse/malus_x_domestica/?name=MDP0000154407","MDP0000154407")</f>
        <v>MDP0000154407</v>
      </c>
      <c r="D18330">
        <v>65.94</v>
      </c>
      <c r="E18330">
        <v>975</v>
      </c>
      <c r="F18330">
        <v>332</v>
      </c>
      <c r="G18330">
        <v>36</v>
      </c>
      <c r="H18330">
        <v>1</v>
      </c>
      <c r="I18330">
        <v>961</v>
      </c>
      <c r="J18330">
        <v>1</v>
      </c>
      <c r="K18330">
        <v>1</v>
      </c>
      <c r="L18330">
        <v>953</v>
      </c>
      <c r="M18330">
        <v>1</v>
      </c>
      <c r="N18330">
        <v>0</v>
      </c>
      <c r="O18330">
        <v>3258</v>
      </c>
    </row>
    <row r="18331" spans="1:15" x14ac:dyDescent="0.25">
      <c r="A18331" t="s">
        <v>18344</v>
      </c>
      <c r="B18331">
        <v>233</v>
      </c>
      <c r="C18331" s="1" t="str">
        <f>HYPERLINK("http://www.rosaceae.org/gb/gbrowse/malus_x_domestica/?name=MDP0000311497","MDP0000311497")</f>
        <v>MDP0000311497</v>
      </c>
      <c r="D18331">
        <v>50</v>
      </c>
      <c r="E18331">
        <v>224</v>
      </c>
      <c r="F18331">
        <v>112</v>
      </c>
      <c r="G18331">
        <v>5</v>
      </c>
      <c r="H18331">
        <v>1</v>
      </c>
      <c r="I18331">
        <v>224</v>
      </c>
      <c r="J18331">
        <v>1</v>
      </c>
      <c r="K18331">
        <v>4</v>
      </c>
      <c r="L18331">
        <v>222</v>
      </c>
      <c r="M18331">
        <v>1</v>
      </c>
      <c r="N18331">
        <v>1.3487899999999999E-56</v>
      </c>
      <c r="O18331">
        <v>551</v>
      </c>
    </row>
    <row r="18332" spans="1:15" x14ac:dyDescent="0.25">
      <c r="A18332" t="s">
        <v>18345</v>
      </c>
      <c r="B18332">
        <v>710</v>
      </c>
      <c r="C18332" s="1" t="str">
        <f>HYPERLINK("http://www.rosaceae.org/gb/gbrowse/malus_x_domestica/?name=MDP0000293822","MDP0000293822")</f>
        <v>MDP0000293822</v>
      </c>
      <c r="D18332">
        <v>42.12</v>
      </c>
      <c r="E18332">
        <v>565</v>
      </c>
      <c r="F18332">
        <v>327</v>
      </c>
      <c r="G18332">
        <v>52</v>
      </c>
      <c r="H18332">
        <v>154</v>
      </c>
      <c r="I18332">
        <v>704</v>
      </c>
      <c r="J18332">
        <v>1</v>
      </c>
      <c r="K18332">
        <v>174</v>
      </c>
      <c r="L18332">
        <v>700</v>
      </c>
      <c r="M18332">
        <v>1</v>
      </c>
      <c r="N18332">
        <v>5.8319600000000003E-112</v>
      </c>
      <c r="O18332">
        <v>1034</v>
      </c>
    </row>
    <row r="18333" spans="1:15" x14ac:dyDescent="0.25">
      <c r="A18333" t="s">
        <v>18346</v>
      </c>
      <c r="B18333">
        <v>558</v>
      </c>
      <c r="C18333" s="1" t="str">
        <f>HYPERLINK("http://www.rosaceae.org/gb/gbrowse/malus_x_domestica/?name=MDP0000154776","MDP0000154776")</f>
        <v>MDP0000154776</v>
      </c>
      <c r="D18333">
        <v>79.680000000000007</v>
      </c>
      <c r="E18333">
        <v>507</v>
      </c>
      <c r="F18333">
        <v>103</v>
      </c>
      <c r="G18333">
        <v>9</v>
      </c>
      <c r="H18333">
        <v>53</v>
      </c>
      <c r="I18333">
        <v>556</v>
      </c>
      <c r="J18333">
        <v>1</v>
      </c>
      <c r="K18333">
        <v>3</v>
      </c>
      <c r="L18333">
        <v>503</v>
      </c>
      <c r="M18333">
        <v>1</v>
      </c>
      <c r="N18333">
        <v>0</v>
      </c>
      <c r="O18333">
        <v>2170</v>
      </c>
    </row>
    <row r="18334" spans="1:15" x14ac:dyDescent="0.25">
      <c r="A18334" t="s">
        <v>18347</v>
      </c>
      <c r="B18334">
        <v>282</v>
      </c>
      <c r="C18334" s="1" t="str">
        <f>HYPERLINK("http://www.rosaceae.org/gb/gbrowse/malus_x_domestica/?name=MDP0000044157","MDP0000044157")</f>
        <v>MDP0000044157</v>
      </c>
      <c r="D18334">
        <v>68.38</v>
      </c>
      <c r="E18334">
        <v>329</v>
      </c>
      <c r="F18334">
        <v>104</v>
      </c>
      <c r="G18334">
        <v>47</v>
      </c>
      <c r="H18334">
        <v>1</v>
      </c>
      <c r="I18334">
        <v>282</v>
      </c>
      <c r="J18334">
        <v>1</v>
      </c>
      <c r="K18334">
        <v>1</v>
      </c>
      <c r="L18334">
        <v>329</v>
      </c>
      <c r="M18334">
        <v>1</v>
      </c>
      <c r="N18334">
        <v>5.1647699999999997E-127</v>
      </c>
      <c r="O18334">
        <v>1159</v>
      </c>
    </row>
    <row r="18335" spans="1:15" x14ac:dyDescent="0.25">
      <c r="A18335" t="s">
        <v>18348</v>
      </c>
      <c r="B18335">
        <v>211</v>
      </c>
      <c r="C18335" s="1" t="str">
        <f>HYPERLINK("http://www.rosaceae.org/gb/gbrowse/malus_x_domestica/?name=MDP0000137468","MDP0000137468")</f>
        <v>MDP0000137468</v>
      </c>
      <c r="D18335">
        <v>74.400000000000006</v>
      </c>
      <c r="E18335">
        <v>211</v>
      </c>
      <c r="F18335">
        <v>54</v>
      </c>
      <c r="G18335">
        <v>1</v>
      </c>
      <c r="H18335">
        <v>1</v>
      </c>
      <c r="I18335">
        <v>211</v>
      </c>
      <c r="J18335">
        <v>1</v>
      </c>
      <c r="K18335">
        <v>1</v>
      </c>
      <c r="L18335">
        <v>210</v>
      </c>
      <c r="M18335">
        <v>1</v>
      </c>
      <c r="N18335">
        <v>2.6968899999999999E-79</v>
      </c>
      <c r="O18335">
        <v>746</v>
      </c>
    </row>
    <row r="18336" spans="1:15" x14ac:dyDescent="0.25">
      <c r="A18336" t="s">
        <v>18349</v>
      </c>
      <c r="B18336">
        <v>1306</v>
      </c>
      <c r="C18336" s="1" t="str">
        <f>HYPERLINK("http://www.rosaceae.org/gb/gbrowse/malus_x_domestica/?name=MDP0000215990","MDP0000215990")</f>
        <v>MDP0000215990</v>
      </c>
      <c r="D18336">
        <v>77.61</v>
      </c>
      <c r="E18336">
        <v>554</v>
      </c>
      <c r="F18336">
        <v>124</v>
      </c>
      <c r="G18336">
        <v>5</v>
      </c>
      <c r="H18336">
        <v>757</v>
      </c>
      <c r="I18336">
        <v>1306</v>
      </c>
      <c r="J18336">
        <v>1</v>
      </c>
      <c r="K18336">
        <v>198</v>
      </c>
      <c r="L18336">
        <v>750</v>
      </c>
      <c r="M18336">
        <v>1</v>
      </c>
      <c r="N18336">
        <v>0</v>
      </c>
      <c r="O18336">
        <v>2278</v>
      </c>
    </row>
    <row r="18337" spans="1:15" x14ac:dyDescent="0.25">
      <c r="A18337" t="s">
        <v>18350</v>
      </c>
      <c r="B18337">
        <v>1842</v>
      </c>
      <c r="C18337" s="1" t="str">
        <f>HYPERLINK("http://www.rosaceae.org/gb/gbrowse/malus_x_domestica/?name=MDP0000287313","MDP0000287313")</f>
        <v>MDP0000287313</v>
      </c>
      <c r="D18337">
        <v>67.42</v>
      </c>
      <c r="E18337">
        <v>1928</v>
      </c>
      <c r="F18337">
        <v>628</v>
      </c>
      <c r="G18337">
        <v>131</v>
      </c>
      <c r="H18337">
        <v>1</v>
      </c>
      <c r="I18337">
        <v>1841</v>
      </c>
      <c r="J18337">
        <v>1</v>
      </c>
      <c r="K18337">
        <v>1</v>
      </c>
      <c r="L18337">
        <v>1884</v>
      </c>
      <c r="M18337">
        <v>1</v>
      </c>
      <c r="N18337">
        <v>0</v>
      </c>
      <c r="O18337">
        <v>6665</v>
      </c>
    </row>
    <row r="18338" spans="1:15" x14ac:dyDescent="0.25">
      <c r="A18338" t="s">
        <v>18351</v>
      </c>
      <c r="B18338">
        <v>173</v>
      </c>
      <c r="C18338" s="1" t="str">
        <f>HYPERLINK("http://www.rosaceae.org/gb/gbrowse/malus_x_domestica/?name=MDP0000077683","MDP0000077683")</f>
        <v>MDP0000077683</v>
      </c>
      <c r="D18338">
        <v>96.1</v>
      </c>
      <c r="E18338">
        <v>154</v>
      </c>
      <c r="F18338">
        <v>6</v>
      </c>
      <c r="G18338">
        <v>0</v>
      </c>
      <c r="H18338">
        <v>1</v>
      </c>
      <c r="I18338">
        <v>154</v>
      </c>
      <c r="J18338">
        <v>1</v>
      </c>
      <c r="K18338">
        <v>1736</v>
      </c>
      <c r="L18338">
        <v>1889</v>
      </c>
      <c r="M18338">
        <v>1</v>
      </c>
      <c r="N18338">
        <v>1.8254700000000001E-84</v>
      </c>
      <c r="O18338">
        <v>789</v>
      </c>
    </row>
    <row r="18339" spans="1:15" x14ac:dyDescent="0.25">
      <c r="A18339" t="s">
        <v>18352</v>
      </c>
      <c r="B18339">
        <v>1270</v>
      </c>
      <c r="C18339" s="1" t="str">
        <f>HYPERLINK("http://www.rosaceae.org/gb/gbrowse/malus_x_domestica/?name=MDP0000853667","MDP0000853667")</f>
        <v>MDP0000853667</v>
      </c>
      <c r="D18339">
        <v>52.87</v>
      </c>
      <c r="E18339">
        <v>174</v>
      </c>
      <c r="F18339">
        <v>82</v>
      </c>
      <c r="G18339">
        <v>0</v>
      </c>
      <c r="H18339">
        <v>353</v>
      </c>
      <c r="I18339">
        <v>526</v>
      </c>
      <c r="J18339">
        <v>1</v>
      </c>
      <c r="K18339">
        <v>1</v>
      </c>
      <c r="L18339">
        <v>174</v>
      </c>
      <c r="M18339">
        <v>1</v>
      </c>
      <c r="N18339">
        <v>8.6272299999999995E-52</v>
      </c>
      <c r="O18339">
        <v>517</v>
      </c>
    </row>
    <row r="18340" spans="1:15" x14ac:dyDescent="0.25">
      <c r="A18340" t="s">
        <v>18353</v>
      </c>
      <c r="B18340">
        <v>325</v>
      </c>
      <c r="C18340" s="1" t="str">
        <f>HYPERLINK("http://www.rosaceae.org/gb/gbrowse/malus_x_domestica/?name=MDP0000169010","MDP0000169010")</f>
        <v>MDP0000169010</v>
      </c>
      <c r="D18340">
        <v>53.64</v>
      </c>
      <c r="E18340">
        <v>274</v>
      </c>
      <c r="F18340">
        <v>127</v>
      </c>
      <c r="G18340">
        <v>2</v>
      </c>
      <c r="H18340">
        <v>42</v>
      </c>
      <c r="I18340">
        <v>315</v>
      </c>
      <c r="J18340">
        <v>1</v>
      </c>
      <c r="K18340">
        <v>59</v>
      </c>
      <c r="L18340">
        <v>330</v>
      </c>
      <c r="M18340">
        <v>1</v>
      </c>
      <c r="N18340">
        <v>2.7884799999999999E-86</v>
      </c>
      <c r="O18340">
        <v>808</v>
      </c>
    </row>
    <row r="18341" spans="1:15" x14ac:dyDescent="0.25">
      <c r="A18341" t="s">
        <v>18354</v>
      </c>
      <c r="B18341">
        <v>260</v>
      </c>
      <c r="C18341" s="1" t="str">
        <f>HYPERLINK("http://www.rosaceae.org/gb/gbrowse/malus_x_domestica/?name=MDP0000700517","MDP0000700517")</f>
        <v>MDP0000700517</v>
      </c>
      <c r="D18341">
        <v>27.58</v>
      </c>
      <c r="E18341">
        <v>232</v>
      </c>
      <c r="F18341">
        <v>168</v>
      </c>
      <c r="G18341">
        <v>21</v>
      </c>
      <c r="H18341">
        <v>1</v>
      </c>
      <c r="I18341">
        <v>215</v>
      </c>
      <c r="J18341">
        <v>1</v>
      </c>
      <c r="K18341">
        <v>135</v>
      </c>
      <c r="L18341">
        <v>362</v>
      </c>
      <c r="M18341">
        <v>1</v>
      </c>
      <c r="N18341">
        <v>1.8713399999999999E-19</v>
      </c>
      <c r="O18341">
        <v>231</v>
      </c>
    </row>
    <row r="18342" spans="1:15" x14ac:dyDescent="0.25">
      <c r="A18342" t="s">
        <v>18355</v>
      </c>
      <c r="B18342">
        <v>139</v>
      </c>
      <c r="C18342" s="1" t="str">
        <f>HYPERLINK("http://www.rosaceae.org/gb/gbrowse/malus_x_domestica/?name=MDP0000260960","MDP0000260960")</f>
        <v>MDP0000260960</v>
      </c>
      <c r="D18342">
        <v>45.87</v>
      </c>
      <c r="E18342">
        <v>109</v>
      </c>
      <c r="F18342">
        <v>59</v>
      </c>
      <c r="G18342">
        <v>5</v>
      </c>
      <c r="H18342">
        <v>30</v>
      </c>
      <c r="I18342">
        <v>135</v>
      </c>
      <c r="J18342">
        <v>1</v>
      </c>
      <c r="K18342">
        <v>416</v>
      </c>
      <c r="L18342">
        <v>522</v>
      </c>
      <c r="M18342">
        <v>1</v>
      </c>
      <c r="N18342">
        <v>3.0573900000000002E-19</v>
      </c>
      <c r="O18342">
        <v>225</v>
      </c>
    </row>
    <row r="18343" spans="1:15" x14ac:dyDescent="0.25">
      <c r="A18343" t="s">
        <v>18356</v>
      </c>
      <c r="B18343">
        <v>180</v>
      </c>
      <c r="C18343" s="1" t="str">
        <f>HYPERLINK("http://www.rosaceae.org/gb/gbrowse/malus_x_domestica/?name=MDP0000142436","MDP0000142436")</f>
        <v>MDP0000142436</v>
      </c>
      <c r="D18343">
        <v>47.92</v>
      </c>
      <c r="E18343">
        <v>217</v>
      </c>
      <c r="F18343">
        <v>113</v>
      </c>
      <c r="G18343">
        <v>49</v>
      </c>
      <c r="H18343">
        <v>7</v>
      </c>
      <c r="I18343">
        <v>174</v>
      </c>
      <c r="J18343">
        <v>1</v>
      </c>
      <c r="K18343">
        <v>98</v>
      </c>
      <c r="L18343">
        <v>314</v>
      </c>
      <c r="M18343">
        <v>1</v>
      </c>
      <c r="N18343">
        <v>1.82151E-50</v>
      </c>
      <c r="O18343">
        <v>496</v>
      </c>
    </row>
    <row r="18344" spans="1:15" x14ac:dyDescent="0.25">
      <c r="A18344" t="s">
        <v>18357</v>
      </c>
      <c r="B18344">
        <v>294</v>
      </c>
      <c r="C18344" s="1" t="str">
        <f>HYPERLINK("http://www.rosaceae.org/gb/gbrowse/malus_x_domestica/?name=MDP0000184131","MDP0000184131")</f>
        <v>MDP0000184131</v>
      </c>
      <c r="D18344">
        <v>73.459999999999994</v>
      </c>
      <c r="E18344">
        <v>294</v>
      </c>
      <c r="F18344">
        <v>78</v>
      </c>
      <c r="G18344">
        <v>17</v>
      </c>
      <c r="H18344">
        <v>1</v>
      </c>
      <c r="I18344">
        <v>294</v>
      </c>
      <c r="J18344">
        <v>1</v>
      </c>
      <c r="K18344">
        <v>1</v>
      </c>
      <c r="L18344">
        <v>277</v>
      </c>
      <c r="M18344">
        <v>1</v>
      </c>
      <c r="N18344">
        <v>2.0659700000000001E-112</v>
      </c>
      <c r="O18344">
        <v>1033</v>
      </c>
    </row>
    <row r="18345" spans="1:15" x14ac:dyDescent="0.25">
      <c r="A18345" t="s">
        <v>18358</v>
      </c>
      <c r="B18345">
        <v>88</v>
      </c>
      <c r="C18345" s="1" t="str">
        <f>HYPERLINK("http://www.rosaceae.org/gb/gbrowse/malus_x_domestica/?name=MDP0000904324","MDP0000904324")</f>
        <v>MDP0000904324</v>
      </c>
      <c r="D18345">
        <v>54.11</v>
      </c>
      <c r="E18345">
        <v>85</v>
      </c>
      <c r="F18345">
        <v>39</v>
      </c>
      <c r="G18345">
        <v>5</v>
      </c>
      <c r="H18345">
        <v>6</v>
      </c>
      <c r="I18345">
        <v>88</v>
      </c>
      <c r="J18345">
        <v>1</v>
      </c>
      <c r="K18345">
        <v>69</v>
      </c>
      <c r="L18345">
        <v>150</v>
      </c>
      <c r="M18345">
        <v>1</v>
      </c>
      <c r="N18345">
        <v>8.1474000000000001E-19</v>
      </c>
      <c r="O18345">
        <v>220</v>
      </c>
    </row>
    <row r="18346" spans="1:15" x14ac:dyDescent="0.25">
      <c r="A18346" t="s">
        <v>18359</v>
      </c>
      <c r="B18346">
        <v>1764</v>
      </c>
      <c r="C18346" s="1" t="str">
        <f>HYPERLINK("http://www.rosaceae.org/gb/gbrowse/malus_x_domestica/?name=MDP0000300483","MDP0000300483")</f>
        <v>MDP0000300483</v>
      </c>
      <c r="D18346">
        <v>76.55</v>
      </c>
      <c r="E18346">
        <v>1834</v>
      </c>
      <c r="F18346">
        <v>430</v>
      </c>
      <c r="G18346">
        <v>94</v>
      </c>
      <c r="H18346">
        <v>1</v>
      </c>
      <c r="I18346">
        <v>1764</v>
      </c>
      <c r="J18346">
        <v>1</v>
      </c>
      <c r="K18346">
        <v>1</v>
      </c>
      <c r="L18346">
        <v>1810</v>
      </c>
      <c r="M18346">
        <v>1</v>
      </c>
      <c r="N18346">
        <v>0</v>
      </c>
      <c r="O18346">
        <v>7158</v>
      </c>
    </row>
    <row r="18347" spans="1:15" x14ac:dyDescent="0.25">
      <c r="A18347" t="s">
        <v>18360</v>
      </c>
      <c r="B18347">
        <v>501</v>
      </c>
      <c r="C18347" s="1" t="str">
        <f>HYPERLINK("http://www.rosaceae.org/gb/gbrowse/malus_x_domestica/?name=MDP0000159220","MDP0000159220")</f>
        <v>MDP0000159220</v>
      </c>
      <c r="D18347">
        <v>77.66</v>
      </c>
      <c r="E18347">
        <v>515</v>
      </c>
      <c r="F18347">
        <v>115</v>
      </c>
      <c r="G18347">
        <v>49</v>
      </c>
      <c r="H18347">
        <v>5</v>
      </c>
      <c r="I18347">
        <v>473</v>
      </c>
      <c r="J18347">
        <v>1</v>
      </c>
      <c r="K18347">
        <v>17</v>
      </c>
      <c r="L18347">
        <v>528</v>
      </c>
      <c r="M18347">
        <v>1</v>
      </c>
      <c r="N18347">
        <v>0</v>
      </c>
      <c r="O18347">
        <v>2033</v>
      </c>
    </row>
    <row r="18348" spans="1:15" x14ac:dyDescent="0.25">
      <c r="A18348" t="s">
        <v>18361</v>
      </c>
      <c r="B18348">
        <v>769</v>
      </c>
      <c r="C18348" s="1" t="str">
        <f>HYPERLINK("http://www.rosaceae.org/gb/gbrowse/malus_x_domestica/?name=MDP0000129641","MDP0000129641")</f>
        <v>MDP0000129641</v>
      </c>
      <c r="D18348">
        <v>57.46</v>
      </c>
      <c r="E18348">
        <v>790</v>
      </c>
      <c r="F18348">
        <v>336</v>
      </c>
      <c r="G18348">
        <v>73</v>
      </c>
      <c r="H18348">
        <v>1</v>
      </c>
      <c r="I18348">
        <v>767</v>
      </c>
      <c r="J18348">
        <v>1</v>
      </c>
      <c r="K18348">
        <v>1</v>
      </c>
      <c r="L18348">
        <v>740</v>
      </c>
      <c r="M18348">
        <v>1</v>
      </c>
      <c r="N18348">
        <v>0</v>
      </c>
      <c r="O18348">
        <v>2028</v>
      </c>
    </row>
    <row r="18349" spans="1:15" x14ac:dyDescent="0.25">
      <c r="A18349" t="s">
        <v>18362</v>
      </c>
      <c r="B18349">
        <v>592</v>
      </c>
      <c r="C18349" s="1" t="str">
        <f>HYPERLINK("http://www.rosaceae.org/gb/gbrowse/malus_x_domestica/?name=MDP0000266137","MDP0000266137")</f>
        <v>MDP0000266137</v>
      </c>
      <c r="D18349">
        <v>27.31</v>
      </c>
      <c r="E18349">
        <v>604</v>
      </c>
      <c r="F18349">
        <v>439</v>
      </c>
      <c r="G18349">
        <v>150</v>
      </c>
      <c r="H18349">
        <v>13</v>
      </c>
      <c r="I18349">
        <v>514</v>
      </c>
      <c r="J18349">
        <v>1</v>
      </c>
      <c r="K18349">
        <v>19</v>
      </c>
      <c r="L18349">
        <v>574</v>
      </c>
      <c r="M18349">
        <v>1</v>
      </c>
      <c r="N18349">
        <v>4.3660999999999999E-49</v>
      </c>
      <c r="O18349">
        <v>491</v>
      </c>
    </row>
    <row r="18350" spans="1:15" x14ac:dyDescent="0.25">
      <c r="A18350" t="s">
        <v>18363</v>
      </c>
      <c r="B18350">
        <v>228</v>
      </c>
      <c r="C18350" s="1" t="str">
        <f>HYPERLINK("http://www.rosaceae.org/gb/gbrowse/malus_x_domestica/?name=MDP0000123611","MDP0000123611")</f>
        <v>MDP0000123611</v>
      </c>
      <c r="D18350">
        <v>49.65</v>
      </c>
      <c r="E18350">
        <v>145</v>
      </c>
      <c r="F18350">
        <v>73</v>
      </c>
      <c r="G18350">
        <v>21</v>
      </c>
      <c r="H18350">
        <v>82</v>
      </c>
      <c r="I18350">
        <v>226</v>
      </c>
      <c r="J18350">
        <v>1</v>
      </c>
      <c r="K18350">
        <v>53</v>
      </c>
      <c r="L18350">
        <v>176</v>
      </c>
      <c r="M18350">
        <v>1</v>
      </c>
      <c r="N18350">
        <v>5.8373299999999996E-22</v>
      </c>
      <c r="O18350">
        <v>252</v>
      </c>
    </row>
    <row r="18351" spans="1:15" x14ac:dyDescent="0.25">
      <c r="A18351" t="s">
        <v>18364</v>
      </c>
      <c r="B18351">
        <v>185</v>
      </c>
      <c r="C18351" s="1" t="str">
        <f>HYPERLINK("http://www.rosaceae.org/gb/gbrowse/malus_x_domestica/?name=MDP0000521460","MDP0000521460")</f>
        <v>MDP0000521460</v>
      </c>
      <c r="D18351">
        <v>40</v>
      </c>
      <c r="E18351">
        <v>105</v>
      </c>
      <c r="F18351">
        <v>63</v>
      </c>
      <c r="G18351">
        <v>0</v>
      </c>
      <c r="H18351">
        <v>80</v>
      </c>
      <c r="I18351">
        <v>184</v>
      </c>
      <c r="J18351">
        <v>1</v>
      </c>
      <c r="K18351">
        <v>1245</v>
      </c>
      <c r="L18351">
        <v>1349</v>
      </c>
      <c r="M18351">
        <v>1</v>
      </c>
      <c r="N18351">
        <v>2.1725699999999999E-18</v>
      </c>
      <c r="O18351">
        <v>220</v>
      </c>
    </row>
    <row r="18352" spans="1:15" x14ac:dyDescent="0.25">
      <c r="A18352" t="s">
        <v>18365</v>
      </c>
      <c r="B18352">
        <v>245</v>
      </c>
      <c r="C18352" s="1" t="str">
        <f>HYPERLINK("http://www.rosaceae.org/gb/gbrowse/malus_x_domestica/?name=MDP0000520462","MDP0000520462")</f>
        <v>MDP0000520462</v>
      </c>
      <c r="D18352">
        <v>64.63</v>
      </c>
      <c r="E18352">
        <v>246</v>
      </c>
      <c r="F18352">
        <v>87</v>
      </c>
      <c r="G18352">
        <v>34</v>
      </c>
      <c r="H18352">
        <v>5</v>
      </c>
      <c r="I18352">
        <v>245</v>
      </c>
      <c r="J18352">
        <v>1</v>
      </c>
      <c r="K18352">
        <v>202</v>
      </c>
      <c r="L18352">
        <v>418</v>
      </c>
      <c r="M18352">
        <v>1</v>
      </c>
      <c r="N18352">
        <v>3.8652100000000002E-82</v>
      </c>
      <c r="O18352">
        <v>771</v>
      </c>
    </row>
    <row r="18353" spans="1:15" x14ac:dyDescent="0.25">
      <c r="A18353" t="s">
        <v>18366</v>
      </c>
      <c r="B18353">
        <v>885</v>
      </c>
      <c r="C18353" s="1" t="str">
        <f>HYPERLINK("http://www.rosaceae.org/gb/gbrowse/malus_x_domestica/?name=MDP0000465341","MDP0000465341")</f>
        <v>MDP0000465341</v>
      </c>
      <c r="D18353">
        <v>62.35</v>
      </c>
      <c r="E18353">
        <v>874</v>
      </c>
      <c r="F18353">
        <v>329</v>
      </c>
      <c r="G18353">
        <v>25</v>
      </c>
      <c r="H18353">
        <v>27</v>
      </c>
      <c r="I18353">
        <v>885</v>
      </c>
      <c r="J18353">
        <v>1</v>
      </c>
      <c r="K18353">
        <v>29</v>
      </c>
      <c r="L18353">
        <v>892</v>
      </c>
      <c r="M18353">
        <v>1</v>
      </c>
      <c r="N18353">
        <v>0</v>
      </c>
      <c r="O18353">
        <v>2638</v>
      </c>
    </row>
    <row r="18354" spans="1:15" x14ac:dyDescent="0.25">
      <c r="A18354" t="s">
        <v>18367</v>
      </c>
      <c r="B18354">
        <v>736</v>
      </c>
      <c r="C18354" s="1" t="str">
        <f>HYPERLINK("http://www.rosaceae.org/gb/gbrowse/malus_x_domestica/?name=MDP0000510763","MDP0000510763")</f>
        <v>MDP0000510763</v>
      </c>
      <c r="D18354">
        <v>45.04</v>
      </c>
      <c r="E18354">
        <v>706</v>
      </c>
      <c r="F18354">
        <v>388</v>
      </c>
      <c r="G18354">
        <v>94</v>
      </c>
      <c r="H18354">
        <v>78</v>
      </c>
      <c r="I18354">
        <v>736</v>
      </c>
      <c r="J18354">
        <v>1</v>
      </c>
      <c r="K18354">
        <v>1</v>
      </c>
      <c r="L18354">
        <v>659</v>
      </c>
      <c r="M18354">
        <v>1</v>
      </c>
      <c r="N18354">
        <v>2.2286699999999999E-123</v>
      </c>
      <c r="O18354">
        <v>1132</v>
      </c>
    </row>
    <row r="18355" spans="1:15" x14ac:dyDescent="0.25">
      <c r="A18355" t="s">
        <v>18368</v>
      </c>
      <c r="B18355">
        <v>402</v>
      </c>
      <c r="C18355" s="1" t="str">
        <f>HYPERLINK("http://www.rosaceae.org/gb/gbrowse/malus_x_domestica/?name=MDP0000278575","MDP0000278575")</f>
        <v>MDP0000278575</v>
      </c>
      <c r="D18355">
        <v>44.08</v>
      </c>
      <c r="E18355">
        <v>397</v>
      </c>
      <c r="F18355">
        <v>222</v>
      </c>
      <c r="G18355">
        <v>32</v>
      </c>
      <c r="H18355">
        <v>2</v>
      </c>
      <c r="I18355">
        <v>392</v>
      </c>
      <c r="J18355">
        <v>1</v>
      </c>
      <c r="K18355">
        <v>758</v>
      </c>
      <c r="L18355">
        <v>1128</v>
      </c>
      <c r="M18355">
        <v>1</v>
      </c>
      <c r="N18355">
        <v>6.5548100000000002E-77</v>
      </c>
      <c r="O18355">
        <v>729</v>
      </c>
    </row>
    <row r="18356" spans="1:15" x14ac:dyDescent="0.25">
      <c r="A18356" t="s">
        <v>18369</v>
      </c>
      <c r="B18356">
        <v>580</v>
      </c>
      <c r="C18356" s="1" t="str">
        <f>HYPERLINK("http://www.rosaceae.org/gb/gbrowse/malus_x_domestica/?name=MDP0000174108","MDP0000174108")</f>
        <v>MDP0000174108</v>
      </c>
      <c r="D18356">
        <v>87.66</v>
      </c>
      <c r="E18356">
        <v>462</v>
      </c>
      <c r="F18356">
        <v>57</v>
      </c>
      <c r="G18356">
        <v>1</v>
      </c>
      <c r="H18356">
        <v>119</v>
      </c>
      <c r="I18356">
        <v>579</v>
      </c>
      <c r="J18356">
        <v>1</v>
      </c>
      <c r="K18356">
        <v>1</v>
      </c>
      <c r="L18356">
        <v>462</v>
      </c>
      <c r="M18356">
        <v>1</v>
      </c>
      <c r="N18356">
        <v>0</v>
      </c>
      <c r="O18356">
        <v>2111</v>
      </c>
    </row>
    <row r="18357" spans="1:15" x14ac:dyDescent="0.25">
      <c r="A18357" t="s">
        <v>18370</v>
      </c>
      <c r="B18357">
        <v>163</v>
      </c>
      <c r="C18357" s="1" t="str">
        <f>HYPERLINK("http://www.rosaceae.org/gb/gbrowse/malus_x_domestica/?name=MDP0000174827","MDP0000174827")</f>
        <v>MDP0000174827</v>
      </c>
      <c r="D18357">
        <v>67.58</v>
      </c>
      <c r="E18357">
        <v>145</v>
      </c>
      <c r="F18357">
        <v>47</v>
      </c>
      <c r="G18357">
        <v>26</v>
      </c>
      <c r="H18357">
        <v>45</v>
      </c>
      <c r="I18357">
        <v>163</v>
      </c>
      <c r="J18357">
        <v>1</v>
      </c>
      <c r="K18357">
        <v>47</v>
      </c>
      <c r="L18357">
        <v>191</v>
      </c>
      <c r="M18357">
        <v>1</v>
      </c>
      <c r="N18357">
        <v>2.0321700000000001E-46</v>
      </c>
      <c r="O18357">
        <v>460</v>
      </c>
    </row>
    <row r="18358" spans="1:15" x14ac:dyDescent="0.25">
      <c r="A18358" t="s">
        <v>18371</v>
      </c>
      <c r="B18358">
        <v>271</v>
      </c>
      <c r="C18358" s="1" t="str">
        <f>HYPERLINK("http://www.rosaceae.org/gb/gbrowse/malus_x_domestica/?name=MDP0000247881","MDP0000247881")</f>
        <v>MDP0000247881</v>
      </c>
      <c r="D18358">
        <v>79.760000000000005</v>
      </c>
      <c r="E18358">
        <v>173</v>
      </c>
      <c r="F18358">
        <v>35</v>
      </c>
      <c r="G18358">
        <v>0</v>
      </c>
      <c r="H18358">
        <v>91</v>
      </c>
      <c r="I18358">
        <v>263</v>
      </c>
      <c r="J18358">
        <v>1</v>
      </c>
      <c r="K18358">
        <v>89</v>
      </c>
      <c r="L18358">
        <v>261</v>
      </c>
      <c r="M18358">
        <v>1</v>
      </c>
      <c r="N18358">
        <v>7.0371899999999998E-80</v>
      </c>
      <c r="O18358">
        <v>752</v>
      </c>
    </row>
    <row r="18359" spans="1:15" x14ac:dyDescent="0.25">
      <c r="A18359" t="s">
        <v>18372</v>
      </c>
      <c r="B18359">
        <v>471</v>
      </c>
      <c r="C18359" s="1" t="str">
        <f>HYPERLINK("http://www.rosaceae.org/gb/gbrowse/malus_x_domestica/?name=MDP0000691261","MDP0000691261")</f>
        <v>MDP0000691261</v>
      </c>
      <c r="D18359">
        <v>86.44</v>
      </c>
      <c r="E18359">
        <v>472</v>
      </c>
      <c r="F18359">
        <v>64</v>
      </c>
      <c r="G18359">
        <v>10</v>
      </c>
      <c r="H18359">
        <v>1</v>
      </c>
      <c r="I18359">
        <v>471</v>
      </c>
      <c r="J18359">
        <v>1</v>
      </c>
      <c r="K18359">
        <v>1</v>
      </c>
      <c r="L18359">
        <v>463</v>
      </c>
      <c r="M18359">
        <v>1</v>
      </c>
      <c r="N18359">
        <v>0</v>
      </c>
      <c r="O18359">
        <v>2094</v>
      </c>
    </row>
    <row r="18360" spans="1:15" x14ac:dyDescent="0.25">
      <c r="A18360" t="s">
        <v>18373</v>
      </c>
      <c r="B18360">
        <v>476</v>
      </c>
      <c r="C18360" s="1" t="str">
        <f>HYPERLINK("http://www.rosaceae.org/gb/gbrowse/malus_x_domestica/?name=MDP0000198739","MDP0000198739")</f>
        <v>MDP0000198739</v>
      </c>
      <c r="D18360">
        <v>46.29</v>
      </c>
      <c r="E18360">
        <v>108</v>
      </c>
      <c r="F18360">
        <v>58</v>
      </c>
      <c r="G18360">
        <v>6</v>
      </c>
      <c r="H18360">
        <v>202</v>
      </c>
      <c r="I18360">
        <v>304</v>
      </c>
      <c r="J18360">
        <v>1</v>
      </c>
      <c r="K18360">
        <v>22</v>
      </c>
      <c r="L18360">
        <v>128</v>
      </c>
      <c r="M18360">
        <v>1</v>
      </c>
      <c r="N18360">
        <v>6.4510900000000003E-16</v>
      </c>
      <c r="O18360">
        <v>204</v>
      </c>
    </row>
    <row r="18361" spans="1:15" x14ac:dyDescent="0.25">
      <c r="A18361" t="s">
        <v>18374</v>
      </c>
      <c r="B18361">
        <v>153</v>
      </c>
      <c r="C18361" s="1" t="str">
        <f>HYPERLINK("http://www.rosaceae.org/gb/gbrowse/malus_x_domestica/?name=MDP0000229638","MDP0000229638")</f>
        <v>MDP0000229638</v>
      </c>
      <c r="D18361">
        <v>64.150000000000006</v>
      </c>
      <c r="E18361">
        <v>53</v>
      </c>
      <c r="F18361">
        <v>19</v>
      </c>
      <c r="G18361">
        <v>0</v>
      </c>
      <c r="H18361">
        <v>99</v>
      </c>
      <c r="I18361">
        <v>151</v>
      </c>
      <c r="J18361">
        <v>1</v>
      </c>
      <c r="K18361">
        <v>70</v>
      </c>
      <c r="L18361">
        <v>122</v>
      </c>
      <c r="M18361">
        <v>1</v>
      </c>
      <c r="N18361">
        <v>1.8777499999999999E-14</v>
      </c>
      <c r="O18361">
        <v>184</v>
      </c>
    </row>
    <row r="18362" spans="1:15" x14ac:dyDescent="0.25">
      <c r="A18362" t="s">
        <v>18375</v>
      </c>
      <c r="B18362">
        <v>401</v>
      </c>
      <c r="C18362" s="1" t="str">
        <f>HYPERLINK("http://www.rosaceae.org/gb/gbrowse/malus_x_domestica/?name=MDP0000519909","MDP0000519909")</f>
        <v>MDP0000519909</v>
      </c>
      <c r="D18362">
        <v>49.09</v>
      </c>
      <c r="E18362">
        <v>220</v>
      </c>
      <c r="F18362">
        <v>112</v>
      </c>
      <c r="G18362">
        <v>9</v>
      </c>
      <c r="H18362">
        <v>1</v>
      </c>
      <c r="I18362">
        <v>212</v>
      </c>
      <c r="J18362">
        <v>1</v>
      </c>
      <c r="K18362">
        <v>1</v>
      </c>
      <c r="L18362">
        <v>219</v>
      </c>
      <c r="M18362">
        <v>1</v>
      </c>
      <c r="N18362">
        <v>1.47991E-47</v>
      </c>
      <c r="O18362">
        <v>476</v>
      </c>
    </row>
    <row r="18363" spans="1:15" x14ac:dyDescent="0.25">
      <c r="A18363" t="s">
        <v>18376</v>
      </c>
      <c r="B18363">
        <v>348</v>
      </c>
      <c r="C18363" s="1" t="str">
        <f>HYPERLINK("http://www.rosaceae.org/gb/gbrowse/malus_x_domestica/?name=MDP0000228456","MDP0000228456")</f>
        <v>MDP0000228456</v>
      </c>
      <c r="D18363">
        <v>57.22</v>
      </c>
      <c r="E18363">
        <v>367</v>
      </c>
      <c r="F18363">
        <v>157</v>
      </c>
      <c r="G18363">
        <v>42</v>
      </c>
      <c r="H18363">
        <v>1</v>
      </c>
      <c r="I18363">
        <v>347</v>
      </c>
      <c r="J18363">
        <v>1</v>
      </c>
      <c r="K18363">
        <v>1</v>
      </c>
      <c r="L18363">
        <v>345</v>
      </c>
      <c r="M18363">
        <v>1</v>
      </c>
      <c r="N18363">
        <v>1.9123399999999999E-88</v>
      </c>
      <c r="O18363">
        <v>827</v>
      </c>
    </row>
    <row r="18364" spans="1:15" x14ac:dyDescent="0.25">
      <c r="A18364" t="s">
        <v>18377</v>
      </c>
      <c r="B18364">
        <v>2146</v>
      </c>
      <c r="C18364" s="1" t="str">
        <f>HYPERLINK("http://www.rosaceae.org/gb/gbrowse/malus_x_domestica/?name=MDP0000603846","MDP0000603846")</f>
        <v>MDP0000603846</v>
      </c>
      <c r="D18364">
        <v>70.23</v>
      </c>
      <c r="E18364">
        <v>1213</v>
      </c>
      <c r="F18364">
        <v>361</v>
      </c>
      <c r="G18364">
        <v>101</v>
      </c>
      <c r="H18364">
        <v>117</v>
      </c>
      <c r="I18364">
        <v>1310</v>
      </c>
      <c r="J18364">
        <v>1</v>
      </c>
      <c r="K18364">
        <v>52</v>
      </c>
      <c r="L18364">
        <v>1182</v>
      </c>
      <c r="M18364">
        <v>1</v>
      </c>
      <c r="N18364">
        <v>0</v>
      </c>
      <c r="O18364">
        <v>4395</v>
      </c>
    </row>
    <row r="18365" spans="1:15" x14ac:dyDescent="0.25">
      <c r="A18365" t="s">
        <v>18378</v>
      </c>
      <c r="B18365">
        <v>249</v>
      </c>
      <c r="C18365" s="1" t="str">
        <f>HYPERLINK("http://www.rosaceae.org/gb/gbrowse/malus_x_domestica/?name=MDP0000329147","MDP0000329147")</f>
        <v>MDP0000329147</v>
      </c>
      <c r="D18365">
        <v>68.14</v>
      </c>
      <c r="E18365">
        <v>248</v>
      </c>
      <c r="F18365">
        <v>79</v>
      </c>
      <c r="G18365">
        <v>8</v>
      </c>
      <c r="H18365">
        <v>4</v>
      </c>
      <c r="I18365">
        <v>249</v>
      </c>
      <c r="J18365">
        <v>1</v>
      </c>
      <c r="K18365">
        <v>5</v>
      </c>
      <c r="L18365">
        <v>246</v>
      </c>
      <c r="M18365">
        <v>1</v>
      </c>
      <c r="N18365">
        <v>1.0608499999999999E-89</v>
      </c>
      <c r="O18365">
        <v>836</v>
      </c>
    </row>
    <row r="18366" spans="1:15" x14ac:dyDescent="0.25">
      <c r="A18366" t="s">
        <v>18379</v>
      </c>
      <c r="B18366">
        <v>350</v>
      </c>
      <c r="C18366" s="1" t="str">
        <f>HYPERLINK("http://www.rosaceae.org/gb/gbrowse/malus_x_domestica/?name=MDP0000329851","MDP0000329851")</f>
        <v>MDP0000329851</v>
      </c>
      <c r="D18366">
        <v>90.34</v>
      </c>
      <c r="E18366">
        <v>352</v>
      </c>
      <c r="F18366">
        <v>34</v>
      </c>
      <c r="G18366">
        <v>2</v>
      </c>
      <c r="H18366">
        <v>1</v>
      </c>
      <c r="I18366">
        <v>350</v>
      </c>
      <c r="J18366">
        <v>1</v>
      </c>
      <c r="K18366">
        <v>1</v>
      </c>
      <c r="L18366">
        <v>352</v>
      </c>
      <c r="M18366">
        <v>1</v>
      </c>
      <c r="N18366">
        <v>0</v>
      </c>
      <c r="O18366">
        <v>1732</v>
      </c>
    </row>
    <row r="18367" spans="1:15" x14ac:dyDescent="0.25">
      <c r="A18367" t="s">
        <v>18380</v>
      </c>
      <c r="B18367">
        <v>1019</v>
      </c>
      <c r="C18367" s="1" t="str">
        <f>HYPERLINK("http://www.rosaceae.org/gb/gbrowse/malus_x_domestica/?name=MDP0000199049","MDP0000199049")</f>
        <v>MDP0000199049</v>
      </c>
      <c r="D18367">
        <v>82.35</v>
      </c>
      <c r="E18367">
        <v>873</v>
      </c>
      <c r="F18367">
        <v>154</v>
      </c>
      <c r="G18367">
        <v>90</v>
      </c>
      <c r="H18367">
        <v>187</v>
      </c>
      <c r="I18367">
        <v>1019</v>
      </c>
      <c r="J18367">
        <v>1</v>
      </c>
      <c r="K18367">
        <v>1</v>
      </c>
      <c r="L18367">
        <v>823</v>
      </c>
      <c r="M18367">
        <v>1</v>
      </c>
      <c r="N18367">
        <v>0</v>
      </c>
      <c r="O18367">
        <v>3749</v>
      </c>
    </row>
    <row r="18368" spans="1:15" x14ac:dyDescent="0.25">
      <c r="A18368" t="s">
        <v>18381</v>
      </c>
      <c r="B18368">
        <v>232</v>
      </c>
      <c r="C18368" s="1" t="str">
        <f>HYPERLINK("http://www.rosaceae.org/gb/gbrowse/malus_x_domestica/?name=MDP0000145600","MDP0000145600")</f>
        <v>MDP0000145600</v>
      </c>
      <c r="D18368">
        <v>72.94</v>
      </c>
      <c r="E18368">
        <v>207</v>
      </c>
      <c r="F18368">
        <v>56</v>
      </c>
      <c r="G18368">
        <v>28</v>
      </c>
      <c r="H18368">
        <v>1</v>
      </c>
      <c r="I18368">
        <v>181</v>
      </c>
      <c r="J18368">
        <v>1</v>
      </c>
      <c r="K18368">
        <v>1</v>
      </c>
      <c r="L18368">
        <v>205</v>
      </c>
      <c r="M18368">
        <v>1</v>
      </c>
      <c r="N18368">
        <v>3.2154799999999999E-84</v>
      </c>
      <c r="O18368">
        <v>789</v>
      </c>
    </row>
    <row r="18369" spans="1:15" x14ac:dyDescent="0.25">
      <c r="A18369" t="s">
        <v>18382</v>
      </c>
      <c r="B18369">
        <v>452</v>
      </c>
      <c r="C18369" s="1" t="str">
        <f>HYPERLINK("http://www.rosaceae.org/gb/gbrowse/malus_x_domestica/?name=MDP0000256732","MDP0000256732")</f>
        <v>MDP0000256732</v>
      </c>
      <c r="D18369">
        <v>69.010000000000005</v>
      </c>
      <c r="E18369">
        <v>142</v>
      </c>
      <c r="F18369">
        <v>44</v>
      </c>
      <c r="G18369">
        <v>0</v>
      </c>
      <c r="H18369">
        <v>136</v>
      </c>
      <c r="I18369">
        <v>277</v>
      </c>
      <c r="J18369">
        <v>1</v>
      </c>
      <c r="K18369">
        <v>4</v>
      </c>
      <c r="L18369">
        <v>145</v>
      </c>
      <c r="M18369">
        <v>1</v>
      </c>
      <c r="N18369">
        <v>3.9013299999999998E-51</v>
      </c>
      <c r="O18369">
        <v>507</v>
      </c>
    </row>
    <row r="18370" spans="1:15" x14ac:dyDescent="0.25">
      <c r="A18370" t="s">
        <v>18383</v>
      </c>
      <c r="B18370">
        <v>413</v>
      </c>
      <c r="C18370" s="1" t="str">
        <f>HYPERLINK("http://www.rosaceae.org/gb/gbrowse/malus_x_domestica/?name=MDP0000296211","MDP0000296211")</f>
        <v>MDP0000296211</v>
      </c>
      <c r="D18370">
        <v>76.290000000000006</v>
      </c>
      <c r="E18370">
        <v>405</v>
      </c>
      <c r="F18370">
        <v>96</v>
      </c>
      <c r="G18370">
        <v>0</v>
      </c>
      <c r="H18370">
        <v>9</v>
      </c>
      <c r="I18370">
        <v>413</v>
      </c>
      <c r="J18370">
        <v>1</v>
      </c>
      <c r="K18370">
        <v>8</v>
      </c>
      <c r="L18370">
        <v>412</v>
      </c>
      <c r="M18370">
        <v>1</v>
      </c>
      <c r="N18370">
        <v>0</v>
      </c>
      <c r="O18370">
        <v>1736</v>
      </c>
    </row>
    <row r="18371" spans="1:15" x14ac:dyDescent="0.25">
      <c r="A18371" t="s">
        <v>18384</v>
      </c>
      <c r="B18371">
        <v>517</v>
      </c>
      <c r="C18371" s="1" t="str">
        <f>HYPERLINK("http://www.rosaceae.org/gb/gbrowse/malus_x_domestica/?name=MDP0000271354","MDP0000271354")</f>
        <v>MDP0000271354</v>
      </c>
      <c r="D18371">
        <v>67.23</v>
      </c>
      <c r="E18371">
        <v>467</v>
      </c>
      <c r="F18371">
        <v>153</v>
      </c>
      <c r="G18371">
        <v>45</v>
      </c>
      <c r="H18371">
        <v>19</v>
      </c>
      <c r="I18371">
        <v>481</v>
      </c>
      <c r="J18371">
        <v>1</v>
      </c>
      <c r="K18371">
        <v>20</v>
      </c>
      <c r="L18371">
        <v>445</v>
      </c>
      <c r="M18371">
        <v>1</v>
      </c>
      <c r="N18371">
        <v>0</v>
      </c>
      <c r="O18371">
        <v>1651</v>
      </c>
    </row>
    <row r="18372" spans="1:15" x14ac:dyDescent="0.25">
      <c r="A18372" t="s">
        <v>18385</v>
      </c>
      <c r="B18372">
        <v>569</v>
      </c>
      <c r="C18372" s="1" t="str">
        <f>HYPERLINK("http://www.rosaceae.org/gb/gbrowse/malus_x_domestica/?name=MDP0000137890","MDP0000137890")</f>
        <v>MDP0000137890</v>
      </c>
      <c r="D18372">
        <v>73.39</v>
      </c>
      <c r="E18372">
        <v>575</v>
      </c>
      <c r="F18372">
        <v>153</v>
      </c>
      <c r="G18372">
        <v>9</v>
      </c>
      <c r="H18372">
        <v>1</v>
      </c>
      <c r="I18372">
        <v>569</v>
      </c>
      <c r="J18372">
        <v>1</v>
      </c>
      <c r="K18372">
        <v>1</v>
      </c>
      <c r="L18372">
        <v>572</v>
      </c>
      <c r="M18372">
        <v>1</v>
      </c>
      <c r="N18372">
        <v>0</v>
      </c>
      <c r="O18372">
        <v>2142</v>
      </c>
    </row>
    <row r="18373" spans="1:15" x14ac:dyDescent="0.25">
      <c r="A18373" t="s">
        <v>18386</v>
      </c>
      <c r="B18373">
        <v>503</v>
      </c>
      <c r="C18373" s="1" t="str">
        <f>HYPERLINK("http://www.rosaceae.org/gb/gbrowse/malus_x_domestica/?name=MDP0000298646","MDP0000298646")</f>
        <v>MDP0000298646</v>
      </c>
      <c r="D18373">
        <v>69.62</v>
      </c>
      <c r="E18373">
        <v>474</v>
      </c>
      <c r="F18373">
        <v>144</v>
      </c>
      <c r="G18373">
        <v>12</v>
      </c>
      <c r="H18373">
        <v>40</v>
      </c>
      <c r="I18373">
        <v>501</v>
      </c>
      <c r="J18373">
        <v>1</v>
      </c>
      <c r="K18373">
        <v>46</v>
      </c>
      <c r="L18373">
        <v>519</v>
      </c>
      <c r="M18373">
        <v>1</v>
      </c>
      <c r="N18373">
        <v>0</v>
      </c>
      <c r="O18373">
        <v>1747</v>
      </c>
    </row>
    <row r="18374" spans="1:15" x14ac:dyDescent="0.25">
      <c r="A18374" t="s">
        <v>18387</v>
      </c>
      <c r="B18374">
        <v>384</v>
      </c>
      <c r="C18374" s="1" t="str">
        <f>HYPERLINK("http://www.rosaceae.org/gb/gbrowse/malus_x_domestica/?name=MDP0000687597","MDP0000687597")</f>
        <v>MDP0000687597</v>
      </c>
      <c r="D18374">
        <v>52.31</v>
      </c>
      <c r="E18374">
        <v>151</v>
      </c>
      <c r="F18374">
        <v>72</v>
      </c>
      <c r="G18374">
        <v>4</v>
      </c>
      <c r="H18374">
        <v>142</v>
      </c>
      <c r="I18374">
        <v>291</v>
      </c>
      <c r="J18374">
        <v>1</v>
      </c>
      <c r="K18374">
        <v>15</v>
      </c>
      <c r="L18374">
        <v>162</v>
      </c>
      <c r="M18374">
        <v>1</v>
      </c>
      <c r="N18374">
        <v>5.8267600000000001E-33</v>
      </c>
      <c r="O18374">
        <v>349</v>
      </c>
    </row>
    <row r="18375" spans="1:15" x14ac:dyDescent="0.25">
      <c r="A18375" t="s">
        <v>18388</v>
      </c>
      <c r="B18375">
        <v>464</v>
      </c>
      <c r="C18375" s="1" t="str">
        <f>HYPERLINK("http://www.rosaceae.org/gb/gbrowse/malus_x_domestica/?name=MDP0000161378","MDP0000161378")</f>
        <v>MDP0000161378</v>
      </c>
      <c r="D18375">
        <v>28.57</v>
      </c>
      <c r="E18375">
        <v>203</v>
      </c>
      <c r="F18375">
        <v>145</v>
      </c>
      <c r="G18375">
        <v>34</v>
      </c>
      <c r="H18375">
        <v>280</v>
      </c>
      <c r="I18375">
        <v>455</v>
      </c>
      <c r="J18375">
        <v>1</v>
      </c>
      <c r="K18375">
        <v>94</v>
      </c>
      <c r="L18375">
        <v>289</v>
      </c>
      <c r="M18375">
        <v>1</v>
      </c>
      <c r="N18375">
        <v>8.7819800000000005E-18</v>
      </c>
      <c r="O18375">
        <v>219</v>
      </c>
    </row>
    <row r="18376" spans="1:15" x14ac:dyDescent="0.25">
      <c r="A18376" t="s">
        <v>18389</v>
      </c>
      <c r="B18376">
        <v>497</v>
      </c>
      <c r="C18376" s="1" t="str">
        <f>HYPERLINK("http://www.rosaceae.org/gb/gbrowse/malus_x_domestica/?name=MDP0000293966","MDP0000293966")</f>
        <v>MDP0000293966</v>
      </c>
      <c r="D18376">
        <v>83.9</v>
      </c>
      <c r="E18376">
        <v>497</v>
      </c>
      <c r="F18376">
        <v>80</v>
      </c>
      <c r="G18376">
        <v>1</v>
      </c>
      <c r="H18376">
        <v>2</v>
      </c>
      <c r="I18376">
        <v>497</v>
      </c>
      <c r="J18376">
        <v>1</v>
      </c>
      <c r="K18376">
        <v>40</v>
      </c>
      <c r="L18376">
        <v>536</v>
      </c>
      <c r="M18376">
        <v>1</v>
      </c>
      <c r="N18376">
        <v>0</v>
      </c>
      <c r="O18376">
        <v>2280</v>
      </c>
    </row>
    <row r="18377" spans="1:15" x14ac:dyDescent="0.25">
      <c r="A18377" t="s">
        <v>18390</v>
      </c>
      <c r="B18377">
        <v>542</v>
      </c>
      <c r="C18377" s="1" t="str">
        <f>HYPERLINK("http://www.rosaceae.org/gb/gbrowse/malus_x_domestica/?name=MDP0000306631","MDP0000306631")</f>
        <v>MDP0000306631</v>
      </c>
      <c r="D18377">
        <v>38.61</v>
      </c>
      <c r="E18377">
        <v>391</v>
      </c>
      <c r="F18377">
        <v>240</v>
      </c>
      <c r="G18377">
        <v>70</v>
      </c>
      <c r="H18377">
        <v>206</v>
      </c>
      <c r="I18377">
        <v>542</v>
      </c>
      <c r="J18377">
        <v>1</v>
      </c>
      <c r="K18377">
        <v>25</v>
      </c>
      <c r="L18377">
        <v>399</v>
      </c>
      <c r="M18377">
        <v>1</v>
      </c>
      <c r="N18377">
        <v>4.8500500000000002E-50</v>
      </c>
      <c r="O18377">
        <v>498</v>
      </c>
    </row>
    <row r="18378" spans="1:15" x14ac:dyDescent="0.25">
      <c r="A18378" t="s">
        <v>18391</v>
      </c>
      <c r="B18378">
        <v>1107</v>
      </c>
      <c r="C18378" s="1" t="str">
        <f>HYPERLINK("http://www.rosaceae.org/gb/gbrowse/malus_x_domestica/?name=MDP0000187812","MDP0000187812")</f>
        <v>MDP0000187812</v>
      </c>
      <c r="D18378">
        <v>56.45</v>
      </c>
      <c r="E18378">
        <v>333</v>
      </c>
      <c r="F18378">
        <v>145</v>
      </c>
      <c r="G18378">
        <v>42</v>
      </c>
      <c r="H18378">
        <v>1</v>
      </c>
      <c r="I18378">
        <v>308</v>
      </c>
      <c r="J18378">
        <v>1</v>
      </c>
      <c r="K18378">
        <v>2</v>
      </c>
      <c r="L18378">
        <v>317</v>
      </c>
      <c r="M18378">
        <v>1</v>
      </c>
      <c r="N18378">
        <v>1.31235E-82</v>
      </c>
      <c r="O18378">
        <v>782</v>
      </c>
    </row>
    <row r="18379" spans="1:15" x14ac:dyDescent="0.25">
      <c r="A18379" t="s">
        <v>18392</v>
      </c>
      <c r="B18379">
        <v>680</v>
      </c>
      <c r="C18379" s="1" t="str">
        <f>HYPERLINK("http://www.rosaceae.org/gb/gbrowse/malus_x_domestica/?name=MDP0000138436","MDP0000138436")</f>
        <v>MDP0000138436</v>
      </c>
      <c r="D18379">
        <v>86.07</v>
      </c>
      <c r="E18379">
        <v>474</v>
      </c>
      <c r="F18379">
        <v>66</v>
      </c>
      <c r="G18379">
        <v>11</v>
      </c>
      <c r="H18379">
        <v>1</v>
      </c>
      <c r="I18379">
        <v>467</v>
      </c>
      <c r="J18379">
        <v>1</v>
      </c>
      <c r="K18379">
        <v>1</v>
      </c>
      <c r="L18379">
        <v>470</v>
      </c>
      <c r="M18379">
        <v>1</v>
      </c>
      <c r="N18379">
        <v>0</v>
      </c>
      <c r="O18379">
        <v>2131</v>
      </c>
    </row>
    <row r="18380" spans="1:15" x14ac:dyDescent="0.25">
      <c r="A18380" t="s">
        <v>18393</v>
      </c>
      <c r="B18380">
        <v>1199</v>
      </c>
      <c r="C18380" s="1" t="str">
        <f>HYPERLINK("http://www.rosaceae.org/gb/gbrowse/malus_x_domestica/?name=MDP0000437365","MDP0000437365")</f>
        <v>MDP0000437365</v>
      </c>
      <c r="D18380">
        <v>71.42</v>
      </c>
      <c r="E18380">
        <v>56</v>
      </c>
      <c r="F18380">
        <v>16</v>
      </c>
      <c r="G18380">
        <v>1</v>
      </c>
      <c r="H18380">
        <v>32</v>
      </c>
      <c r="I18380">
        <v>86</v>
      </c>
      <c r="J18380">
        <v>1</v>
      </c>
      <c r="K18380">
        <v>33</v>
      </c>
      <c r="L18380">
        <v>88</v>
      </c>
      <c r="M18380">
        <v>1</v>
      </c>
      <c r="N18380">
        <v>9.5846099999999994E-17</v>
      </c>
      <c r="O18380">
        <v>215</v>
      </c>
    </row>
    <row r="18381" spans="1:15" x14ac:dyDescent="0.25">
      <c r="A18381" t="s">
        <v>18394</v>
      </c>
      <c r="B18381">
        <v>610</v>
      </c>
      <c r="C18381" s="1" t="str">
        <f>HYPERLINK("http://www.rosaceae.org/gb/gbrowse/malus_x_domestica/?name=MDP0000607144","MDP0000607144")</f>
        <v>MDP0000607144</v>
      </c>
      <c r="D18381">
        <v>46.22</v>
      </c>
      <c r="E18381">
        <v>344</v>
      </c>
      <c r="F18381">
        <v>185</v>
      </c>
      <c r="G18381">
        <v>13</v>
      </c>
      <c r="H18381">
        <v>19</v>
      </c>
      <c r="I18381">
        <v>353</v>
      </c>
      <c r="J18381">
        <v>1</v>
      </c>
      <c r="K18381">
        <v>12</v>
      </c>
      <c r="L18381">
        <v>351</v>
      </c>
      <c r="M18381">
        <v>1</v>
      </c>
      <c r="N18381">
        <v>2.2527000000000001E-69</v>
      </c>
      <c r="O18381">
        <v>666</v>
      </c>
    </row>
    <row r="18382" spans="1:15" x14ac:dyDescent="0.25">
      <c r="A18382" t="s">
        <v>18395</v>
      </c>
      <c r="B18382">
        <v>242</v>
      </c>
      <c r="C18382" s="1" t="str">
        <f>HYPERLINK("http://www.rosaceae.org/gb/gbrowse/malus_x_domestica/?name=MDP0000123472","MDP0000123472")</f>
        <v>MDP0000123472</v>
      </c>
      <c r="D18382">
        <v>57.43</v>
      </c>
      <c r="E18382">
        <v>289</v>
      </c>
      <c r="F18382">
        <v>123</v>
      </c>
      <c r="G18382">
        <v>47</v>
      </c>
      <c r="H18382">
        <v>1</v>
      </c>
      <c r="I18382">
        <v>242</v>
      </c>
      <c r="J18382">
        <v>1</v>
      </c>
      <c r="K18382">
        <v>1</v>
      </c>
      <c r="L18382">
        <v>289</v>
      </c>
      <c r="M18382">
        <v>1</v>
      </c>
      <c r="N18382">
        <v>1.51245E-80</v>
      </c>
      <c r="O18382">
        <v>757</v>
      </c>
    </row>
    <row r="18383" spans="1:15" x14ac:dyDescent="0.25">
      <c r="A18383" t="s">
        <v>18396</v>
      </c>
      <c r="B18383">
        <v>376</v>
      </c>
      <c r="C18383" s="1" t="str">
        <f>HYPERLINK("http://www.rosaceae.org/gb/gbrowse/malus_x_domestica/?name=MDP0000951479","MDP0000951479")</f>
        <v>MDP0000951479</v>
      </c>
      <c r="D18383">
        <v>95.47</v>
      </c>
      <c r="E18383">
        <v>376</v>
      </c>
      <c r="F18383">
        <v>17</v>
      </c>
      <c r="G18383">
        <v>0</v>
      </c>
      <c r="H18383">
        <v>1</v>
      </c>
      <c r="I18383">
        <v>376</v>
      </c>
      <c r="J18383">
        <v>1</v>
      </c>
      <c r="K18383">
        <v>1</v>
      </c>
      <c r="L18383">
        <v>376</v>
      </c>
      <c r="M18383">
        <v>1</v>
      </c>
      <c r="N18383">
        <v>0</v>
      </c>
      <c r="O18383">
        <v>1952</v>
      </c>
    </row>
    <row r="18384" spans="1:15" x14ac:dyDescent="0.25">
      <c r="A18384" t="s">
        <v>18397</v>
      </c>
      <c r="B18384">
        <v>155</v>
      </c>
      <c r="C18384" s="1" t="str">
        <f>HYPERLINK("http://www.rosaceae.org/gb/gbrowse/malus_x_domestica/?name=MDP0000124699","MDP0000124699")</f>
        <v>MDP0000124699</v>
      </c>
      <c r="D18384">
        <v>61.29</v>
      </c>
      <c r="E18384">
        <v>155</v>
      </c>
      <c r="F18384">
        <v>60</v>
      </c>
      <c r="G18384">
        <v>5</v>
      </c>
      <c r="H18384">
        <v>1</v>
      </c>
      <c r="I18384">
        <v>155</v>
      </c>
      <c r="J18384">
        <v>1</v>
      </c>
      <c r="K18384">
        <v>1</v>
      </c>
      <c r="L18384">
        <v>150</v>
      </c>
      <c r="M18384">
        <v>1</v>
      </c>
      <c r="N18384">
        <v>2.1736899999999999E-44</v>
      </c>
      <c r="O18384">
        <v>442</v>
      </c>
    </row>
    <row r="18385" spans="1:15" x14ac:dyDescent="0.25">
      <c r="A18385" t="s">
        <v>18398</v>
      </c>
      <c r="B18385">
        <v>351</v>
      </c>
      <c r="C18385" s="1" t="str">
        <f>HYPERLINK("http://www.rosaceae.org/gb/gbrowse/malus_x_domestica/?name=MDP0000319695","MDP0000319695")</f>
        <v>MDP0000319695</v>
      </c>
      <c r="D18385">
        <v>68.73</v>
      </c>
      <c r="E18385">
        <v>371</v>
      </c>
      <c r="F18385">
        <v>116</v>
      </c>
      <c r="G18385">
        <v>31</v>
      </c>
      <c r="H18385">
        <v>7</v>
      </c>
      <c r="I18385">
        <v>348</v>
      </c>
      <c r="J18385">
        <v>1</v>
      </c>
      <c r="K18385">
        <v>168</v>
      </c>
      <c r="L18385">
        <v>536</v>
      </c>
      <c r="M18385">
        <v>1</v>
      </c>
      <c r="N18385">
        <v>8.9294799999999999E-139</v>
      </c>
      <c r="O18385">
        <v>1262</v>
      </c>
    </row>
    <row r="18386" spans="1:15" x14ac:dyDescent="0.25">
      <c r="A18386" t="s">
        <v>18399</v>
      </c>
      <c r="B18386">
        <v>468</v>
      </c>
      <c r="C18386" s="1" t="str">
        <f>HYPERLINK("http://www.rosaceae.org/gb/gbrowse/malus_x_domestica/?name=MDP0000259047","MDP0000259047")</f>
        <v>MDP0000259047</v>
      </c>
      <c r="D18386">
        <v>64.319999999999993</v>
      </c>
      <c r="E18386">
        <v>485</v>
      </c>
      <c r="F18386">
        <v>173</v>
      </c>
      <c r="G18386">
        <v>46</v>
      </c>
      <c r="H18386">
        <v>26</v>
      </c>
      <c r="I18386">
        <v>464</v>
      </c>
      <c r="J18386">
        <v>1</v>
      </c>
      <c r="K18386">
        <v>30</v>
      </c>
      <c r="L18386">
        <v>514</v>
      </c>
      <c r="M18386">
        <v>1</v>
      </c>
      <c r="N18386">
        <v>0</v>
      </c>
      <c r="O18386">
        <v>1670</v>
      </c>
    </row>
    <row r="18387" spans="1:15" x14ac:dyDescent="0.25">
      <c r="A18387" t="s">
        <v>18400</v>
      </c>
      <c r="B18387">
        <v>197</v>
      </c>
      <c r="C18387" s="1" t="str">
        <f>HYPERLINK("http://www.rosaceae.org/gb/gbrowse/malus_x_domestica/?name=MDP0000909081","MDP0000909081")</f>
        <v>MDP0000909081</v>
      </c>
      <c r="D18387">
        <v>76.64</v>
      </c>
      <c r="E18387">
        <v>197</v>
      </c>
      <c r="F18387">
        <v>46</v>
      </c>
      <c r="G18387">
        <v>0</v>
      </c>
      <c r="H18387">
        <v>1</v>
      </c>
      <c r="I18387">
        <v>197</v>
      </c>
      <c r="J18387">
        <v>1</v>
      </c>
      <c r="K18387">
        <v>119</v>
      </c>
      <c r="L18387">
        <v>315</v>
      </c>
      <c r="M18387">
        <v>1</v>
      </c>
      <c r="N18387">
        <v>2.4482499999999998E-86</v>
      </c>
      <c r="O18387">
        <v>806</v>
      </c>
    </row>
    <row r="18388" spans="1:15" x14ac:dyDescent="0.25">
      <c r="A18388" t="s">
        <v>18401</v>
      </c>
      <c r="B18388">
        <v>289</v>
      </c>
      <c r="C18388" s="1" t="str">
        <f>HYPERLINK("http://www.rosaceae.org/gb/gbrowse/malus_x_domestica/?name=MDP0000262789","MDP0000262789")</f>
        <v>MDP0000262789</v>
      </c>
      <c r="D18388">
        <v>55.63</v>
      </c>
      <c r="E18388">
        <v>293</v>
      </c>
      <c r="F18388">
        <v>130</v>
      </c>
      <c r="G18388">
        <v>33</v>
      </c>
      <c r="H18388">
        <v>17</v>
      </c>
      <c r="I18388">
        <v>280</v>
      </c>
      <c r="J18388">
        <v>1</v>
      </c>
      <c r="K18388">
        <v>61</v>
      </c>
      <c r="L18388">
        <v>349</v>
      </c>
      <c r="M18388">
        <v>1</v>
      </c>
      <c r="N18388">
        <v>4.5064100000000001E-67</v>
      </c>
      <c r="O18388">
        <v>642</v>
      </c>
    </row>
    <row r="18389" spans="1:15" x14ac:dyDescent="0.25">
      <c r="A18389" t="s">
        <v>18402</v>
      </c>
      <c r="B18389">
        <v>398</v>
      </c>
      <c r="C18389" s="1" t="str">
        <f>HYPERLINK("http://www.rosaceae.org/gb/gbrowse/malus_x_domestica/?name=MDP0000535805","MDP0000535805")</f>
        <v>MDP0000535805</v>
      </c>
      <c r="D18389">
        <v>52.02</v>
      </c>
      <c r="E18389">
        <v>271</v>
      </c>
      <c r="F18389">
        <v>130</v>
      </c>
      <c r="G18389">
        <v>44</v>
      </c>
      <c r="H18389">
        <v>37</v>
      </c>
      <c r="I18389">
        <v>285</v>
      </c>
      <c r="J18389">
        <v>1</v>
      </c>
      <c r="K18389">
        <v>49</v>
      </c>
      <c r="L18389">
        <v>297</v>
      </c>
      <c r="M18389">
        <v>1</v>
      </c>
      <c r="N18389">
        <v>7.8683599999999995E-62</v>
      </c>
      <c r="O18389">
        <v>599</v>
      </c>
    </row>
    <row r="18390" spans="1:15" x14ac:dyDescent="0.25">
      <c r="A18390" t="s">
        <v>18403</v>
      </c>
      <c r="B18390">
        <v>808</v>
      </c>
      <c r="C18390" s="1" t="str">
        <f>HYPERLINK("http://www.rosaceae.org/gb/gbrowse/malus_x_domestica/?name=MDP0000317476","MDP0000317476")</f>
        <v>MDP0000317476</v>
      </c>
      <c r="D18390">
        <v>59.62</v>
      </c>
      <c r="E18390">
        <v>795</v>
      </c>
      <c r="F18390">
        <v>321</v>
      </c>
      <c r="G18390">
        <v>101</v>
      </c>
      <c r="H18390">
        <v>32</v>
      </c>
      <c r="I18390">
        <v>807</v>
      </c>
      <c r="J18390">
        <v>1</v>
      </c>
      <c r="K18390">
        <v>70</v>
      </c>
      <c r="L18390">
        <v>782</v>
      </c>
      <c r="M18390">
        <v>1</v>
      </c>
      <c r="N18390">
        <v>0</v>
      </c>
      <c r="O18390">
        <v>2386</v>
      </c>
    </row>
    <row r="18391" spans="1:15" x14ac:dyDescent="0.25">
      <c r="A18391" t="s">
        <v>18404</v>
      </c>
      <c r="B18391">
        <v>94</v>
      </c>
      <c r="C18391" s="1" t="str">
        <f>HYPERLINK("http://www.rosaceae.org/gb/gbrowse/malus_x_domestica/?name=MDP0000250254","MDP0000250254")</f>
        <v>MDP0000250254</v>
      </c>
      <c r="D18391">
        <v>79.48</v>
      </c>
      <c r="E18391">
        <v>39</v>
      </c>
      <c r="F18391">
        <v>8</v>
      </c>
      <c r="G18391">
        <v>4</v>
      </c>
      <c r="H18391">
        <v>1</v>
      </c>
      <c r="I18391">
        <v>35</v>
      </c>
      <c r="J18391">
        <v>1</v>
      </c>
      <c r="K18391">
        <v>28</v>
      </c>
      <c r="L18391">
        <v>66</v>
      </c>
      <c r="M18391">
        <v>1</v>
      </c>
      <c r="N18391">
        <v>4.7929699999999998E-11</v>
      </c>
      <c r="O18391">
        <v>153</v>
      </c>
    </row>
    <row r="18392" spans="1:15" x14ac:dyDescent="0.25">
      <c r="A18392" t="s">
        <v>18405</v>
      </c>
      <c r="B18392">
        <v>610</v>
      </c>
      <c r="C18392" s="1" t="str">
        <f>HYPERLINK("http://www.rosaceae.org/gb/gbrowse/malus_x_domestica/?name=MDP0000911947","MDP0000911947")</f>
        <v>MDP0000911947</v>
      </c>
      <c r="D18392">
        <v>72.010000000000005</v>
      </c>
      <c r="E18392">
        <v>393</v>
      </c>
      <c r="F18392">
        <v>110</v>
      </c>
      <c r="G18392">
        <v>34</v>
      </c>
      <c r="H18392">
        <v>1</v>
      </c>
      <c r="I18392">
        <v>361</v>
      </c>
      <c r="J18392">
        <v>1</v>
      </c>
      <c r="K18392">
        <v>7</v>
      </c>
      <c r="L18392">
        <v>397</v>
      </c>
      <c r="M18392">
        <v>1</v>
      </c>
      <c r="N18392">
        <v>1.38819E-156</v>
      </c>
      <c r="O18392">
        <v>1418</v>
      </c>
    </row>
    <row r="18393" spans="1:15" x14ac:dyDescent="0.25">
      <c r="A18393" t="s">
        <v>18406</v>
      </c>
      <c r="B18393">
        <v>392</v>
      </c>
      <c r="C18393" s="1" t="str">
        <f>HYPERLINK("http://www.rosaceae.org/gb/gbrowse/malus_x_domestica/?name=MDP0000157943","MDP0000157943")</f>
        <v>MDP0000157943</v>
      </c>
      <c r="D18393">
        <v>48.05</v>
      </c>
      <c r="E18393">
        <v>437</v>
      </c>
      <c r="F18393">
        <v>227</v>
      </c>
      <c r="G18393">
        <v>56</v>
      </c>
      <c r="H18393">
        <v>1</v>
      </c>
      <c r="I18393">
        <v>391</v>
      </c>
      <c r="J18393">
        <v>1</v>
      </c>
      <c r="K18393">
        <v>106</v>
      </c>
      <c r="L18393">
        <v>532</v>
      </c>
      <c r="M18393">
        <v>1</v>
      </c>
      <c r="N18393">
        <v>1.6932299999999999E-105</v>
      </c>
      <c r="O18393">
        <v>975</v>
      </c>
    </row>
    <row r="18394" spans="1:15" x14ac:dyDescent="0.25">
      <c r="A18394" t="s">
        <v>18407</v>
      </c>
      <c r="B18394">
        <v>380</v>
      </c>
      <c r="C18394" s="1" t="str">
        <f>HYPERLINK("http://www.rosaceae.org/gb/gbrowse/malus_x_domestica/?name=MDP0000216956","MDP0000216956")</f>
        <v>MDP0000216956</v>
      </c>
      <c r="D18394">
        <v>30.12</v>
      </c>
      <c r="E18394">
        <v>249</v>
      </c>
      <c r="F18394">
        <v>174</v>
      </c>
      <c r="G18394">
        <v>52</v>
      </c>
      <c r="H18394">
        <v>141</v>
      </c>
      <c r="I18394">
        <v>371</v>
      </c>
      <c r="J18394">
        <v>1</v>
      </c>
      <c r="K18394">
        <v>27</v>
      </c>
      <c r="L18394">
        <v>241</v>
      </c>
      <c r="M18394">
        <v>1</v>
      </c>
      <c r="N18394">
        <v>1.05972E-20</v>
      </c>
      <c r="O18394">
        <v>244</v>
      </c>
    </row>
    <row r="18395" spans="1:15" x14ac:dyDescent="0.25">
      <c r="A18395" t="s">
        <v>18408</v>
      </c>
      <c r="B18395">
        <v>500</v>
      </c>
      <c r="C18395" s="1" t="str">
        <f>HYPERLINK("http://www.rosaceae.org/gb/gbrowse/malus_x_domestica/?name=MDP0000436064","MDP0000436064")</f>
        <v>MDP0000436064</v>
      </c>
      <c r="D18395">
        <v>60.28</v>
      </c>
      <c r="E18395">
        <v>423</v>
      </c>
      <c r="F18395">
        <v>168</v>
      </c>
      <c r="G18395">
        <v>7</v>
      </c>
      <c r="H18395">
        <v>74</v>
      </c>
      <c r="I18395">
        <v>495</v>
      </c>
      <c r="J18395">
        <v>1</v>
      </c>
      <c r="K18395">
        <v>2</v>
      </c>
      <c r="L18395">
        <v>418</v>
      </c>
      <c r="M18395">
        <v>1</v>
      </c>
      <c r="N18395">
        <v>2.82417E-154</v>
      </c>
      <c r="O18395">
        <v>1397</v>
      </c>
    </row>
    <row r="18396" spans="1:15" x14ac:dyDescent="0.25">
      <c r="A18396" t="s">
        <v>18409</v>
      </c>
      <c r="B18396">
        <v>222</v>
      </c>
      <c r="C18396" s="1" t="str">
        <f>HYPERLINK("http://www.rosaceae.org/gb/gbrowse/malus_x_domestica/?name=MDP0000659191","MDP0000659191")</f>
        <v>MDP0000659191</v>
      </c>
      <c r="D18396">
        <v>65.78</v>
      </c>
      <c r="E18396">
        <v>38</v>
      </c>
      <c r="F18396">
        <v>13</v>
      </c>
      <c r="G18396">
        <v>1</v>
      </c>
      <c r="H18396">
        <v>103</v>
      </c>
      <c r="I18396">
        <v>139</v>
      </c>
      <c r="J18396">
        <v>1</v>
      </c>
      <c r="K18396">
        <v>261</v>
      </c>
      <c r="L18396">
        <v>298</v>
      </c>
      <c r="M18396">
        <v>1</v>
      </c>
      <c r="N18396">
        <v>6.0237300000000004E-7</v>
      </c>
      <c r="O18396">
        <v>122</v>
      </c>
    </row>
    <row r="18397" spans="1:15" x14ac:dyDescent="0.25">
      <c r="A18397" t="s">
        <v>18410</v>
      </c>
      <c r="B18397">
        <v>1280</v>
      </c>
      <c r="C18397" s="1" t="str">
        <f>HYPERLINK("http://www.rosaceae.org/gb/gbrowse/malus_x_domestica/?name=MDP0000275564","MDP0000275564")</f>
        <v>MDP0000275564</v>
      </c>
      <c r="D18397">
        <v>43.2</v>
      </c>
      <c r="E18397">
        <v>972</v>
      </c>
      <c r="F18397">
        <v>552</v>
      </c>
      <c r="G18397">
        <v>108</v>
      </c>
      <c r="H18397">
        <v>381</v>
      </c>
      <c r="I18397">
        <v>1275</v>
      </c>
      <c r="J18397">
        <v>1</v>
      </c>
      <c r="K18397">
        <v>366</v>
      </c>
      <c r="L18397">
        <v>1306</v>
      </c>
      <c r="M18397">
        <v>1</v>
      </c>
      <c r="N18397">
        <v>0</v>
      </c>
      <c r="O18397">
        <v>1742</v>
      </c>
    </row>
    <row r="18398" spans="1:15" x14ac:dyDescent="0.25">
      <c r="A18398" t="s">
        <v>18411</v>
      </c>
      <c r="B18398">
        <v>303</v>
      </c>
      <c r="C18398" s="1" t="str">
        <f>HYPERLINK("http://www.rosaceae.org/gb/gbrowse/malus_x_domestica/?name=MDP0000885802","MDP0000885802")</f>
        <v>MDP0000885802</v>
      </c>
      <c r="D18398">
        <v>85.04</v>
      </c>
      <c r="E18398">
        <v>301</v>
      </c>
      <c r="F18398">
        <v>45</v>
      </c>
      <c r="G18398">
        <v>1</v>
      </c>
      <c r="H18398">
        <v>1</v>
      </c>
      <c r="I18398">
        <v>300</v>
      </c>
      <c r="J18398">
        <v>1</v>
      </c>
      <c r="K18398">
        <v>1</v>
      </c>
      <c r="L18398">
        <v>301</v>
      </c>
      <c r="M18398">
        <v>1</v>
      </c>
      <c r="N18398">
        <v>2.2507700000000001E-148</v>
      </c>
      <c r="O18398">
        <v>1344</v>
      </c>
    </row>
    <row r="18399" spans="1:15" x14ac:dyDescent="0.25">
      <c r="A18399" t="s">
        <v>18412</v>
      </c>
      <c r="B18399">
        <v>729</v>
      </c>
      <c r="C18399" s="1" t="str">
        <f>HYPERLINK("http://www.rosaceae.org/gb/gbrowse/malus_x_domestica/?name=MDP0000135368","MDP0000135368")</f>
        <v>MDP0000135368</v>
      </c>
      <c r="D18399">
        <v>62.59</v>
      </c>
      <c r="E18399">
        <v>385</v>
      </c>
      <c r="F18399">
        <v>144</v>
      </c>
      <c r="G18399">
        <v>35</v>
      </c>
      <c r="H18399">
        <v>378</v>
      </c>
      <c r="I18399">
        <v>729</v>
      </c>
      <c r="J18399">
        <v>1</v>
      </c>
      <c r="K18399">
        <v>20</v>
      </c>
      <c r="L18399">
        <v>402</v>
      </c>
      <c r="M18399">
        <v>1</v>
      </c>
      <c r="N18399">
        <v>5.98043E-133</v>
      </c>
      <c r="O18399">
        <v>1215</v>
      </c>
    </row>
    <row r="18400" spans="1:15" x14ac:dyDescent="0.25">
      <c r="A18400" t="s">
        <v>18413</v>
      </c>
      <c r="B18400">
        <v>397</v>
      </c>
      <c r="C18400" s="1" t="str">
        <f>HYPERLINK("http://www.rosaceae.org/gb/gbrowse/malus_x_domestica/?name=MDP0000293614","MDP0000293614")</f>
        <v>MDP0000293614</v>
      </c>
      <c r="D18400">
        <v>74.239999999999995</v>
      </c>
      <c r="E18400">
        <v>365</v>
      </c>
      <c r="F18400">
        <v>94</v>
      </c>
      <c r="G18400">
        <v>13</v>
      </c>
      <c r="H18400">
        <v>25</v>
      </c>
      <c r="I18400">
        <v>383</v>
      </c>
      <c r="J18400">
        <v>1</v>
      </c>
      <c r="K18400">
        <v>28</v>
      </c>
      <c r="L18400">
        <v>385</v>
      </c>
      <c r="M18400">
        <v>1</v>
      </c>
      <c r="N18400">
        <v>1.0946E-148</v>
      </c>
      <c r="O18400">
        <v>1348</v>
      </c>
    </row>
    <row r="18401" spans="1:15" x14ac:dyDescent="0.25">
      <c r="A18401" t="s">
        <v>18414</v>
      </c>
      <c r="B18401">
        <v>103</v>
      </c>
      <c r="C18401" s="1" t="str">
        <f>HYPERLINK("http://www.rosaceae.org/gb/gbrowse/malus_x_domestica/?name=MDP0000246606","MDP0000246606")</f>
        <v>MDP0000246606</v>
      </c>
      <c r="D18401">
        <v>46.57</v>
      </c>
      <c r="E18401">
        <v>73</v>
      </c>
      <c r="F18401">
        <v>39</v>
      </c>
      <c r="G18401">
        <v>9</v>
      </c>
      <c r="H18401">
        <v>26</v>
      </c>
      <c r="I18401">
        <v>92</v>
      </c>
      <c r="J18401">
        <v>1</v>
      </c>
      <c r="K18401">
        <v>23</v>
      </c>
      <c r="L18401">
        <v>92</v>
      </c>
      <c r="M18401">
        <v>1</v>
      </c>
      <c r="N18401">
        <v>1.63111E-10</v>
      </c>
      <c r="O18401">
        <v>148</v>
      </c>
    </row>
    <row r="18402" spans="1:15" x14ac:dyDescent="0.25">
      <c r="A18402" t="s">
        <v>18415</v>
      </c>
      <c r="B18402">
        <v>189</v>
      </c>
      <c r="C18402" s="1" t="str">
        <f>HYPERLINK("http://www.rosaceae.org/gb/gbrowse/malus_x_domestica/?name=MDP0000185457","MDP0000185457")</f>
        <v>MDP0000185457</v>
      </c>
      <c r="D18402">
        <v>77.77</v>
      </c>
      <c r="E18402">
        <v>117</v>
      </c>
      <c r="F18402">
        <v>26</v>
      </c>
      <c r="G18402">
        <v>0</v>
      </c>
      <c r="H18402">
        <v>73</v>
      </c>
      <c r="I18402">
        <v>189</v>
      </c>
      <c r="J18402">
        <v>1</v>
      </c>
      <c r="K18402">
        <v>250</v>
      </c>
      <c r="L18402">
        <v>366</v>
      </c>
      <c r="M18402">
        <v>1</v>
      </c>
      <c r="N18402">
        <v>1.80025E-50</v>
      </c>
      <c r="O18402">
        <v>496</v>
      </c>
    </row>
    <row r="18403" spans="1:15" x14ac:dyDescent="0.25">
      <c r="A18403" t="s">
        <v>18416</v>
      </c>
      <c r="B18403">
        <v>522</v>
      </c>
      <c r="C18403" s="1" t="str">
        <f>HYPERLINK("http://www.rosaceae.org/gb/gbrowse/malus_x_domestica/?name=MDP0000293843","MDP0000293843")</f>
        <v>MDP0000293843</v>
      </c>
      <c r="D18403">
        <v>54.91</v>
      </c>
      <c r="E18403">
        <v>539</v>
      </c>
      <c r="F18403">
        <v>243</v>
      </c>
      <c r="G18403">
        <v>32</v>
      </c>
      <c r="H18403">
        <v>1</v>
      </c>
      <c r="I18403">
        <v>512</v>
      </c>
      <c r="J18403">
        <v>1</v>
      </c>
      <c r="K18403">
        <v>1</v>
      </c>
      <c r="L18403">
        <v>534</v>
      </c>
      <c r="M18403">
        <v>1</v>
      </c>
      <c r="N18403">
        <v>3.0085300000000001E-153</v>
      </c>
      <c r="O18403">
        <v>1388</v>
      </c>
    </row>
    <row r="18404" spans="1:15" x14ac:dyDescent="0.25">
      <c r="A18404" t="s">
        <v>18417</v>
      </c>
      <c r="B18404">
        <v>180</v>
      </c>
      <c r="C18404" s="1" t="str">
        <f>HYPERLINK("http://www.rosaceae.org/gb/gbrowse/malus_x_domestica/?name=MDP0000126158","MDP0000126158")</f>
        <v>MDP0000126158</v>
      </c>
      <c r="D18404">
        <v>67.19</v>
      </c>
      <c r="E18404">
        <v>189</v>
      </c>
      <c r="F18404">
        <v>62</v>
      </c>
      <c r="G18404">
        <v>15</v>
      </c>
      <c r="H18404">
        <v>1</v>
      </c>
      <c r="I18404">
        <v>180</v>
      </c>
      <c r="J18404">
        <v>1</v>
      </c>
      <c r="K18404">
        <v>1</v>
      </c>
      <c r="L18404">
        <v>183</v>
      </c>
      <c r="M18404">
        <v>1</v>
      </c>
      <c r="N18404">
        <v>1.59933E-67</v>
      </c>
      <c r="O18404">
        <v>643</v>
      </c>
    </row>
    <row r="18405" spans="1:15" x14ac:dyDescent="0.25">
      <c r="A18405" t="s">
        <v>18418</v>
      </c>
      <c r="B18405">
        <v>865</v>
      </c>
      <c r="C18405" s="1" t="str">
        <f>HYPERLINK("http://www.rosaceae.org/gb/gbrowse/malus_x_domestica/?name=MDP0000220630","MDP0000220630")</f>
        <v>MDP0000220630</v>
      </c>
      <c r="D18405">
        <v>66.05</v>
      </c>
      <c r="E18405">
        <v>931</v>
      </c>
      <c r="F18405">
        <v>316</v>
      </c>
      <c r="G18405">
        <v>90</v>
      </c>
      <c r="H18405">
        <v>1</v>
      </c>
      <c r="I18405">
        <v>864</v>
      </c>
      <c r="J18405">
        <v>1</v>
      </c>
      <c r="K18405">
        <v>1</v>
      </c>
      <c r="L18405">
        <v>908</v>
      </c>
      <c r="M18405">
        <v>1</v>
      </c>
      <c r="N18405">
        <v>0</v>
      </c>
      <c r="O18405">
        <v>3088</v>
      </c>
    </row>
    <row r="18406" spans="1:15" x14ac:dyDescent="0.25">
      <c r="A18406" t="s">
        <v>18419</v>
      </c>
      <c r="B18406">
        <v>282</v>
      </c>
      <c r="C18406" s="1" t="str">
        <f>HYPERLINK("http://www.rosaceae.org/gb/gbrowse/malus_x_domestica/?name=MDP0000241776","MDP0000241776")</f>
        <v>MDP0000241776</v>
      </c>
      <c r="D18406">
        <v>90.22</v>
      </c>
      <c r="E18406">
        <v>266</v>
      </c>
      <c r="F18406">
        <v>26</v>
      </c>
      <c r="G18406">
        <v>0</v>
      </c>
      <c r="H18406">
        <v>17</v>
      </c>
      <c r="I18406">
        <v>282</v>
      </c>
      <c r="J18406">
        <v>1</v>
      </c>
      <c r="K18406">
        <v>109</v>
      </c>
      <c r="L18406">
        <v>374</v>
      </c>
      <c r="M18406">
        <v>1</v>
      </c>
      <c r="N18406">
        <v>7.1221400000000005E-141</v>
      </c>
      <c r="O18406">
        <v>1279</v>
      </c>
    </row>
    <row r="18407" spans="1:15" x14ac:dyDescent="0.25">
      <c r="A18407" t="s">
        <v>18420</v>
      </c>
      <c r="B18407">
        <v>535</v>
      </c>
      <c r="C18407" s="1" t="str">
        <f>HYPERLINK("http://www.rosaceae.org/gb/gbrowse/malus_x_domestica/?name=MDP0000263089","MDP0000263089")</f>
        <v>MDP0000263089</v>
      </c>
      <c r="D18407">
        <v>57.63</v>
      </c>
      <c r="E18407">
        <v>635</v>
      </c>
      <c r="F18407">
        <v>269</v>
      </c>
      <c r="G18407">
        <v>119</v>
      </c>
      <c r="H18407">
        <v>1</v>
      </c>
      <c r="I18407">
        <v>535</v>
      </c>
      <c r="J18407">
        <v>1</v>
      </c>
      <c r="K18407">
        <v>1</v>
      </c>
      <c r="L18407">
        <v>616</v>
      </c>
      <c r="M18407">
        <v>1</v>
      </c>
      <c r="N18407">
        <v>0</v>
      </c>
      <c r="O18407">
        <v>1697</v>
      </c>
    </row>
    <row r="18408" spans="1:15" x14ac:dyDescent="0.25">
      <c r="A18408" t="s">
        <v>18421</v>
      </c>
      <c r="B18408">
        <v>351</v>
      </c>
      <c r="C18408" s="1" t="str">
        <f>HYPERLINK("http://www.rosaceae.org/gb/gbrowse/malus_x_domestica/?name=MDP0000315764","MDP0000315764")</f>
        <v>MDP0000315764</v>
      </c>
      <c r="D18408">
        <v>78.67</v>
      </c>
      <c r="E18408">
        <v>272</v>
      </c>
      <c r="F18408">
        <v>58</v>
      </c>
      <c r="G18408">
        <v>10</v>
      </c>
      <c r="H18408">
        <v>90</v>
      </c>
      <c r="I18408">
        <v>351</v>
      </c>
      <c r="J18408">
        <v>1</v>
      </c>
      <c r="K18408">
        <v>369</v>
      </c>
      <c r="L18408">
        <v>640</v>
      </c>
      <c r="M18408">
        <v>1</v>
      </c>
      <c r="N18408">
        <v>2.4032999999999999E-119</v>
      </c>
      <c r="O18408">
        <v>1094</v>
      </c>
    </row>
    <row r="18409" spans="1:15" x14ac:dyDescent="0.25">
      <c r="A18409" t="s">
        <v>18422</v>
      </c>
      <c r="B18409">
        <v>274</v>
      </c>
      <c r="C18409" s="1" t="str">
        <f>HYPERLINK("http://www.rosaceae.org/gb/gbrowse/malus_x_domestica/?name=MDP0000665501","MDP0000665501")</f>
        <v>MDP0000665501</v>
      </c>
      <c r="D18409">
        <v>66.05</v>
      </c>
      <c r="E18409">
        <v>274</v>
      </c>
      <c r="F18409">
        <v>93</v>
      </c>
      <c r="G18409">
        <v>9</v>
      </c>
      <c r="H18409">
        <v>1</v>
      </c>
      <c r="I18409">
        <v>273</v>
      </c>
      <c r="J18409">
        <v>1</v>
      </c>
      <c r="K18409">
        <v>49</v>
      </c>
      <c r="L18409">
        <v>314</v>
      </c>
      <c r="M18409">
        <v>1</v>
      </c>
      <c r="N18409">
        <v>3.1954099999999998E-101</v>
      </c>
      <c r="O18409">
        <v>936</v>
      </c>
    </row>
    <row r="18410" spans="1:15" x14ac:dyDescent="0.25">
      <c r="A18410" t="s">
        <v>18423</v>
      </c>
      <c r="B18410">
        <v>449</v>
      </c>
      <c r="C18410" s="1" t="str">
        <f>HYPERLINK("http://www.rosaceae.org/gb/gbrowse/malus_x_domestica/?name=MDP0000145016","MDP0000145016")</f>
        <v>MDP0000145016</v>
      </c>
      <c r="D18410">
        <v>66.38</v>
      </c>
      <c r="E18410">
        <v>473</v>
      </c>
      <c r="F18410">
        <v>159</v>
      </c>
      <c r="G18410">
        <v>41</v>
      </c>
      <c r="H18410">
        <v>1</v>
      </c>
      <c r="I18410">
        <v>439</v>
      </c>
      <c r="J18410">
        <v>1</v>
      </c>
      <c r="K18410">
        <v>51</v>
      </c>
      <c r="L18410">
        <v>516</v>
      </c>
      <c r="M18410">
        <v>1</v>
      </c>
      <c r="N18410">
        <v>0</v>
      </c>
      <c r="O18410">
        <v>1667</v>
      </c>
    </row>
    <row r="18411" spans="1:15" x14ac:dyDescent="0.25">
      <c r="A18411" t="s">
        <v>18424</v>
      </c>
      <c r="B18411">
        <v>320</v>
      </c>
      <c r="C18411" s="1" t="str">
        <f>HYPERLINK("http://www.rosaceae.org/gb/gbrowse/malus_x_domestica/?name=MDP0000167997","MDP0000167997")</f>
        <v>MDP0000167997</v>
      </c>
      <c r="D18411">
        <v>75.91</v>
      </c>
      <c r="E18411">
        <v>274</v>
      </c>
      <c r="F18411">
        <v>66</v>
      </c>
      <c r="G18411">
        <v>21</v>
      </c>
      <c r="H18411">
        <v>1</v>
      </c>
      <c r="I18411">
        <v>274</v>
      </c>
      <c r="J18411">
        <v>1</v>
      </c>
      <c r="K18411">
        <v>57</v>
      </c>
      <c r="L18411">
        <v>309</v>
      </c>
      <c r="M18411">
        <v>1</v>
      </c>
      <c r="N18411">
        <v>6.1697500000000003E-117</v>
      </c>
      <c r="O18411">
        <v>1073</v>
      </c>
    </row>
    <row r="18412" spans="1:15" x14ac:dyDescent="0.25">
      <c r="A18412" t="s">
        <v>18425</v>
      </c>
      <c r="B18412">
        <v>251</v>
      </c>
      <c r="C18412" s="1" t="str">
        <f>HYPERLINK("http://www.rosaceae.org/gb/gbrowse/malus_x_domestica/?name=MDP0000783061","MDP0000783061")</f>
        <v>MDP0000783061</v>
      </c>
      <c r="D18412">
        <v>66</v>
      </c>
      <c r="E18412">
        <v>250</v>
      </c>
      <c r="F18412">
        <v>85</v>
      </c>
      <c r="G18412">
        <v>1</v>
      </c>
      <c r="H18412">
        <v>1</v>
      </c>
      <c r="I18412">
        <v>249</v>
      </c>
      <c r="J18412">
        <v>1</v>
      </c>
      <c r="K18412">
        <v>1</v>
      </c>
      <c r="L18412">
        <v>250</v>
      </c>
      <c r="M18412">
        <v>1</v>
      </c>
      <c r="N18412">
        <v>4.98432E-94</v>
      </c>
      <c r="O18412">
        <v>874</v>
      </c>
    </row>
    <row r="18413" spans="1:15" x14ac:dyDescent="0.25">
      <c r="A18413" t="s">
        <v>18426</v>
      </c>
      <c r="B18413">
        <v>343</v>
      </c>
      <c r="C18413" s="1" t="str">
        <f>HYPERLINK("http://www.rosaceae.org/gb/gbrowse/malus_x_domestica/?name=MDP0000187572","MDP0000187572")</f>
        <v>MDP0000187572</v>
      </c>
      <c r="D18413">
        <v>73.790000000000006</v>
      </c>
      <c r="E18413">
        <v>332</v>
      </c>
      <c r="F18413">
        <v>87</v>
      </c>
      <c r="G18413">
        <v>1</v>
      </c>
      <c r="H18413">
        <v>1</v>
      </c>
      <c r="I18413">
        <v>332</v>
      </c>
      <c r="J18413">
        <v>1</v>
      </c>
      <c r="K18413">
        <v>1</v>
      </c>
      <c r="L18413">
        <v>331</v>
      </c>
      <c r="M18413">
        <v>1</v>
      </c>
      <c r="N18413">
        <v>8.92315E-143</v>
      </c>
      <c r="O18413">
        <v>1296</v>
      </c>
    </row>
    <row r="18414" spans="1:15" x14ac:dyDescent="0.25">
      <c r="A18414" t="s">
        <v>18427</v>
      </c>
      <c r="B18414">
        <v>181</v>
      </c>
      <c r="C18414" s="1" t="str">
        <f>HYPERLINK("http://www.rosaceae.org/gb/gbrowse/malus_x_domestica/?name=MDP0000343801","MDP0000343801")</f>
        <v>MDP0000343801</v>
      </c>
      <c r="D18414">
        <v>84.21</v>
      </c>
      <c r="E18414">
        <v>95</v>
      </c>
      <c r="F18414">
        <v>15</v>
      </c>
      <c r="G18414">
        <v>1</v>
      </c>
      <c r="H18414">
        <v>87</v>
      </c>
      <c r="I18414">
        <v>181</v>
      </c>
      <c r="J18414">
        <v>1</v>
      </c>
      <c r="K18414">
        <v>201</v>
      </c>
      <c r="L18414">
        <v>294</v>
      </c>
      <c r="M18414">
        <v>1</v>
      </c>
      <c r="N18414">
        <v>7.2575999999999993E-43</v>
      </c>
      <c r="O18414">
        <v>431</v>
      </c>
    </row>
    <row r="18415" spans="1:15" x14ac:dyDescent="0.25">
      <c r="A18415" t="s">
        <v>18428</v>
      </c>
      <c r="B18415">
        <v>413</v>
      </c>
      <c r="C18415" s="1" t="str">
        <f>HYPERLINK("http://www.rosaceae.org/gb/gbrowse/malus_x_domestica/?name=MDP0000126098","MDP0000126098")</f>
        <v>MDP0000126098</v>
      </c>
      <c r="D18415">
        <v>62.97</v>
      </c>
      <c r="E18415">
        <v>370</v>
      </c>
      <c r="F18415">
        <v>137</v>
      </c>
      <c r="G18415">
        <v>9</v>
      </c>
      <c r="H18415">
        <v>1</v>
      </c>
      <c r="I18415">
        <v>361</v>
      </c>
      <c r="J18415">
        <v>1</v>
      </c>
      <c r="K18415">
        <v>1</v>
      </c>
      <c r="L18415">
        <v>370</v>
      </c>
      <c r="M18415">
        <v>1</v>
      </c>
      <c r="N18415">
        <v>1.8511500000000001E-132</v>
      </c>
      <c r="O18415">
        <v>1208</v>
      </c>
    </row>
    <row r="18416" spans="1:15" x14ac:dyDescent="0.25">
      <c r="A18416" t="s">
        <v>18429</v>
      </c>
      <c r="B18416">
        <v>643</v>
      </c>
      <c r="C18416" s="1" t="str">
        <f>HYPERLINK("http://www.rosaceae.org/gb/gbrowse/malus_x_domestica/?name=MDP0000320742","MDP0000320742")</f>
        <v>MDP0000320742</v>
      </c>
      <c r="D18416">
        <v>76.92</v>
      </c>
      <c r="E18416">
        <v>611</v>
      </c>
      <c r="F18416">
        <v>141</v>
      </c>
      <c r="G18416">
        <v>5</v>
      </c>
      <c r="H18416">
        <v>1</v>
      </c>
      <c r="I18416">
        <v>610</v>
      </c>
      <c r="J18416">
        <v>1</v>
      </c>
      <c r="K18416">
        <v>1</v>
      </c>
      <c r="L18416">
        <v>607</v>
      </c>
      <c r="M18416">
        <v>1</v>
      </c>
      <c r="N18416">
        <v>0</v>
      </c>
      <c r="O18416">
        <v>2468</v>
      </c>
    </row>
    <row r="18417" spans="1:15" x14ac:dyDescent="0.25">
      <c r="A18417" t="s">
        <v>18430</v>
      </c>
      <c r="B18417">
        <v>184</v>
      </c>
      <c r="C18417" s="1" t="str">
        <f>HYPERLINK("http://www.rosaceae.org/gb/gbrowse/malus_x_domestica/?name=MDP0000309030","MDP0000309030")</f>
        <v>MDP0000309030</v>
      </c>
      <c r="D18417">
        <v>37.69</v>
      </c>
      <c r="E18417">
        <v>191</v>
      </c>
      <c r="F18417">
        <v>119</v>
      </c>
      <c r="G18417">
        <v>12</v>
      </c>
      <c r="H18417">
        <v>3</v>
      </c>
      <c r="I18417">
        <v>181</v>
      </c>
      <c r="J18417">
        <v>1</v>
      </c>
      <c r="K18417">
        <v>120</v>
      </c>
      <c r="L18417">
        <v>310</v>
      </c>
      <c r="M18417">
        <v>1</v>
      </c>
      <c r="N18417">
        <v>5.31005E-33</v>
      </c>
      <c r="O18417">
        <v>346</v>
      </c>
    </row>
    <row r="18418" spans="1:15" x14ac:dyDescent="0.25">
      <c r="A18418" t="s">
        <v>18431</v>
      </c>
      <c r="B18418">
        <v>237</v>
      </c>
      <c r="C18418" s="1" t="str">
        <f>HYPERLINK("http://www.rosaceae.org/gb/gbrowse/malus_x_domestica/?name=MDP0000137468","MDP0000137468")</f>
        <v>MDP0000137468</v>
      </c>
      <c r="D18418">
        <v>54.77</v>
      </c>
      <c r="E18418">
        <v>199</v>
      </c>
      <c r="F18418">
        <v>90</v>
      </c>
      <c r="G18418">
        <v>4</v>
      </c>
      <c r="H18418">
        <v>39</v>
      </c>
      <c r="I18418">
        <v>237</v>
      </c>
      <c r="J18418">
        <v>1</v>
      </c>
      <c r="K18418">
        <v>16</v>
      </c>
      <c r="L18418">
        <v>210</v>
      </c>
      <c r="M18418">
        <v>1</v>
      </c>
      <c r="N18418">
        <v>1.01478E-46</v>
      </c>
      <c r="O18418">
        <v>466</v>
      </c>
    </row>
    <row r="18419" spans="1:15" x14ac:dyDescent="0.25">
      <c r="A18419" t="s">
        <v>18432</v>
      </c>
      <c r="B18419">
        <v>297</v>
      </c>
      <c r="C18419" s="1" t="str">
        <f>HYPERLINK("http://www.rosaceae.org/gb/gbrowse/malus_x_domestica/?name=MDP0000142966","MDP0000142966")</f>
        <v>MDP0000142966</v>
      </c>
      <c r="D18419">
        <v>51.83</v>
      </c>
      <c r="E18419">
        <v>299</v>
      </c>
      <c r="F18419">
        <v>144</v>
      </c>
      <c r="G18419">
        <v>33</v>
      </c>
      <c r="H18419">
        <v>26</v>
      </c>
      <c r="I18419">
        <v>296</v>
      </c>
      <c r="J18419">
        <v>1</v>
      </c>
      <c r="K18419">
        <v>34</v>
      </c>
      <c r="L18419">
        <v>327</v>
      </c>
      <c r="M18419">
        <v>1</v>
      </c>
      <c r="N18419">
        <v>3.6546399999999997E-69</v>
      </c>
      <c r="O18419">
        <v>660</v>
      </c>
    </row>
    <row r="18420" spans="1:15" x14ac:dyDescent="0.25">
      <c r="A18420" t="s">
        <v>18433</v>
      </c>
      <c r="B18420">
        <v>488</v>
      </c>
      <c r="C18420" s="1" t="str">
        <f>HYPERLINK("http://www.rosaceae.org/gb/gbrowse/malus_x_domestica/?name=MDP0000270591","MDP0000270591")</f>
        <v>MDP0000270591</v>
      </c>
      <c r="D18420">
        <v>78.209999999999994</v>
      </c>
      <c r="E18420">
        <v>459</v>
      </c>
      <c r="F18420">
        <v>100</v>
      </c>
      <c r="G18420">
        <v>3</v>
      </c>
      <c r="H18420">
        <v>28</v>
      </c>
      <c r="I18420">
        <v>485</v>
      </c>
      <c r="J18420">
        <v>1</v>
      </c>
      <c r="K18420">
        <v>298</v>
      </c>
      <c r="L18420">
        <v>754</v>
      </c>
      <c r="M18420">
        <v>1</v>
      </c>
      <c r="N18420">
        <v>0</v>
      </c>
      <c r="O18420">
        <v>2000</v>
      </c>
    </row>
    <row r="18421" spans="1:15" x14ac:dyDescent="0.25">
      <c r="A18421" t="s">
        <v>18434</v>
      </c>
      <c r="B18421">
        <v>123</v>
      </c>
      <c r="C18421" s="1" t="str">
        <f>HYPERLINK("http://www.rosaceae.org/gb/gbrowse/malus_x_domestica/?name=MDP0000727169","MDP0000727169")</f>
        <v>MDP0000727169</v>
      </c>
      <c r="D18421">
        <v>46.87</v>
      </c>
      <c r="E18421">
        <v>64</v>
      </c>
      <c r="F18421">
        <v>34</v>
      </c>
      <c r="G18421">
        <v>0</v>
      </c>
      <c r="H18421">
        <v>60</v>
      </c>
      <c r="I18421">
        <v>123</v>
      </c>
      <c r="J18421">
        <v>1</v>
      </c>
      <c r="K18421">
        <v>7</v>
      </c>
      <c r="L18421">
        <v>70</v>
      </c>
      <c r="M18421">
        <v>1</v>
      </c>
      <c r="N18421">
        <v>4.9473299999999997E-13</v>
      </c>
      <c r="O18421">
        <v>170</v>
      </c>
    </row>
    <row r="18422" spans="1:15" x14ac:dyDescent="0.25">
      <c r="A18422" t="s">
        <v>18435</v>
      </c>
      <c r="B18422">
        <v>256</v>
      </c>
      <c r="C18422" s="1" t="str">
        <f>HYPERLINK("http://www.rosaceae.org/gb/gbrowse/malus_x_domestica/?name=MDP0000432072","MDP0000432072")</f>
        <v>MDP0000432072</v>
      </c>
      <c r="D18422">
        <v>47.36</v>
      </c>
      <c r="E18422">
        <v>266</v>
      </c>
      <c r="F18422">
        <v>140</v>
      </c>
      <c r="G18422">
        <v>51</v>
      </c>
      <c r="H18422">
        <v>8</v>
      </c>
      <c r="I18422">
        <v>231</v>
      </c>
      <c r="J18422">
        <v>1</v>
      </c>
      <c r="K18422">
        <v>580</v>
      </c>
      <c r="L18422">
        <v>836</v>
      </c>
      <c r="M18422">
        <v>1</v>
      </c>
      <c r="N18422">
        <v>1.7166700000000001E-56</v>
      </c>
      <c r="O18422">
        <v>550</v>
      </c>
    </row>
    <row r="18423" spans="1:15" x14ac:dyDescent="0.25">
      <c r="A18423" t="s">
        <v>18436</v>
      </c>
      <c r="B18423">
        <v>138</v>
      </c>
      <c r="C18423" s="1" t="str">
        <f>HYPERLINK("http://www.rosaceae.org/gb/gbrowse/malus_x_domestica/?name=MDP0000400398","MDP0000400398")</f>
        <v>MDP0000400398</v>
      </c>
      <c r="D18423">
        <v>35.36</v>
      </c>
      <c r="E18423">
        <v>82</v>
      </c>
      <c r="F18423">
        <v>53</v>
      </c>
      <c r="G18423">
        <v>0</v>
      </c>
      <c r="H18423">
        <v>7</v>
      </c>
      <c r="I18423">
        <v>88</v>
      </c>
      <c r="J18423">
        <v>1</v>
      </c>
      <c r="K18423">
        <v>744</v>
      </c>
      <c r="L18423">
        <v>825</v>
      </c>
      <c r="M18423">
        <v>1</v>
      </c>
      <c r="N18423">
        <v>3.4857000000000001E-9</v>
      </c>
      <c r="O18423">
        <v>138</v>
      </c>
    </row>
    <row r="18424" spans="1:15" x14ac:dyDescent="0.25">
      <c r="A18424" t="s">
        <v>18437</v>
      </c>
      <c r="B18424">
        <v>256</v>
      </c>
      <c r="C18424" s="1" t="str">
        <f>HYPERLINK("http://www.rosaceae.org/gb/gbrowse/malus_x_domestica/?name=MDP0000201897","MDP0000201897")</f>
        <v>MDP0000201897</v>
      </c>
      <c r="D18424">
        <v>28.74</v>
      </c>
      <c r="E18424">
        <v>247</v>
      </c>
      <c r="F18424">
        <v>176</v>
      </c>
      <c r="G18424">
        <v>23</v>
      </c>
      <c r="H18424">
        <v>1</v>
      </c>
      <c r="I18424">
        <v>244</v>
      </c>
      <c r="J18424">
        <v>1</v>
      </c>
      <c r="K18424">
        <v>595</v>
      </c>
      <c r="L18424">
        <v>821</v>
      </c>
      <c r="M18424">
        <v>1</v>
      </c>
      <c r="N18424">
        <v>8.1744899999999998E-26</v>
      </c>
      <c r="O18424">
        <v>286</v>
      </c>
    </row>
    <row r="18425" spans="1:15" x14ac:dyDescent="0.25">
      <c r="A18425" t="s">
        <v>18438</v>
      </c>
      <c r="B18425">
        <v>1335</v>
      </c>
      <c r="C18425" s="1" t="str">
        <f>HYPERLINK("http://www.rosaceae.org/gb/gbrowse/malus_x_domestica/?name=MDP0000165669","MDP0000165669")</f>
        <v>MDP0000165669</v>
      </c>
      <c r="D18425">
        <v>50.17</v>
      </c>
      <c r="E18425">
        <v>1423</v>
      </c>
      <c r="F18425">
        <v>709</v>
      </c>
      <c r="G18425">
        <v>112</v>
      </c>
      <c r="H18425">
        <v>4</v>
      </c>
      <c r="I18425">
        <v>1332</v>
      </c>
      <c r="J18425">
        <v>1</v>
      </c>
      <c r="K18425">
        <v>5</v>
      </c>
      <c r="L18425">
        <v>1409</v>
      </c>
      <c r="M18425">
        <v>1</v>
      </c>
      <c r="N18425">
        <v>0</v>
      </c>
      <c r="O18425">
        <v>3176</v>
      </c>
    </row>
    <row r="18426" spans="1:15" x14ac:dyDescent="0.25">
      <c r="A18426" t="s">
        <v>18439</v>
      </c>
      <c r="B18426">
        <v>291</v>
      </c>
      <c r="C18426" s="1" t="str">
        <f>HYPERLINK("http://www.rosaceae.org/gb/gbrowse/malus_x_domestica/?name=MDP0000146969","MDP0000146969")</f>
        <v>MDP0000146969</v>
      </c>
      <c r="D18426">
        <v>59.1</v>
      </c>
      <c r="E18426">
        <v>247</v>
      </c>
      <c r="F18426">
        <v>101</v>
      </c>
      <c r="G18426">
        <v>15</v>
      </c>
      <c r="H18426">
        <v>1</v>
      </c>
      <c r="I18426">
        <v>238</v>
      </c>
      <c r="J18426">
        <v>1</v>
      </c>
      <c r="K18426">
        <v>1</v>
      </c>
      <c r="L18426">
        <v>241</v>
      </c>
      <c r="M18426">
        <v>1</v>
      </c>
      <c r="N18426">
        <v>3.3647600000000001E-73</v>
      </c>
      <c r="O18426">
        <v>695</v>
      </c>
    </row>
    <row r="18427" spans="1:15" x14ac:dyDescent="0.25">
      <c r="A18427" t="s">
        <v>18440</v>
      </c>
      <c r="B18427">
        <v>138</v>
      </c>
      <c r="C18427" s="1" t="str">
        <f>HYPERLINK("http://www.rosaceae.org/gb/gbrowse/malus_x_domestica/?name=MDP0000277070","MDP0000277070")</f>
        <v>MDP0000277070</v>
      </c>
      <c r="D18427">
        <v>70.63</v>
      </c>
      <c r="E18427">
        <v>126</v>
      </c>
      <c r="F18427">
        <v>37</v>
      </c>
      <c r="G18427">
        <v>16</v>
      </c>
      <c r="H18427">
        <v>13</v>
      </c>
      <c r="I18427">
        <v>138</v>
      </c>
      <c r="J18427">
        <v>1</v>
      </c>
      <c r="K18427">
        <v>738</v>
      </c>
      <c r="L18427">
        <v>847</v>
      </c>
      <c r="M18427">
        <v>1</v>
      </c>
      <c r="N18427">
        <v>1.5140899999999999E-36</v>
      </c>
      <c r="O18427">
        <v>374</v>
      </c>
    </row>
    <row r="18428" spans="1:15" x14ac:dyDescent="0.25">
      <c r="A18428" t="s">
        <v>18441</v>
      </c>
      <c r="B18428">
        <v>485</v>
      </c>
      <c r="C18428" s="1" t="str">
        <f>HYPERLINK("http://www.rosaceae.org/gb/gbrowse/malus_x_domestica/?name=MDP0000217095","MDP0000217095")</f>
        <v>MDP0000217095</v>
      </c>
      <c r="D18428">
        <v>66.790000000000006</v>
      </c>
      <c r="E18428">
        <v>503</v>
      </c>
      <c r="F18428">
        <v>167</v>
      </c>
      <c r="G18428">
        <v>37</v>
      </c>
      <c r="H18428">
        <v>13</v>
      </c>
      <c r="I18428">
        <v>478</v>
      </c>
      <c r="J18428">
        <v>1</v>
      </c>
      <c r="K18428">
        <v>11</v>
      </c>
      <c r="L18428">
        <v>513</v>
      </c>
      <c r="M18428">
        <v>1</v>
      </c>
      <c r="N18428">
        <v>0</v>
      </c>
      <c r="O18428">
        <v>1737</v>
      </c>
    </row>
    <row r="18429" spans="1:15" x14ac:dyDescent="0.25">
      <c r="A18429" t="s">
        <v>18442</v>
      </c>
      <c r="B18429">
        <v>326</v>
      </c>
      <c r="C18429" s="1" t="str">
        <f>HYPERLINK("http://www.rosaceae.org/gb/gbrowse/malus_x_domestica/?name=MDP0000896551","MDP0000896551")</f>
        <v>MDP0000896551</v>
      </c>
      <c r="D18429">
        <v>74.86</v>
      </c>
      <c r="E18429">
        <v>362</v>
      </c>
      <c r="F18429">
        <v>91</v>
      </c>
      <c r="G18429">
        <v>38</v>
      </c>
      <c r="H18429">
        <v>1</v>
      </c>
      <c r="I18429">
        <v>326</v>
      </c>
      <c r="J18429">
        <v>1</v>
      </c>
      <c r="K18429">
        <v>1</v>
      </c>
      <c r="L18429">
        <v>360</v>
      </c>
      <c r="M18429">
        <v>1</v>
      </c>
      <c r="N18429">
        <v>5.5022099999999999E-146</v>
      </c>
      <c r="O18429">
        <v>1323</v>
      </c>
    </row>
    <row r="18430" spans="1:15" x14ac:dyDescent="0.25">
      <c r="A18430" t="s">
        <v>18443</v>
      </c>
      <c r="B18430">
        <v>277</v>
      </c>
      <c r="C18430" s="1" t="str">
        <f>HYPERLINK("http://www.rosaceae.org/gb/gbrowse/malus_x_domestica/?name=MDP0000175382","MDP0000175382")</f>
        <v>MDP0000175382</v>
      </c>
      <c r="D18430">
        <v>66.33</v>
      </c>
      <c r="E18430">
        <v>202</v>
      </c>
      <c r="F18430">
        <v>68</v>
      </c>
      <c r="G18430">
        <v>1</v>
      </c>
      <c r="H18430">
        <v>1</v>
      </c>
      <c r="I18430">
        <v>201</v>
      </c>
      <c r="J18430">
        <v>1</v>
      </c>
      <c r="K18430">
        <v>1</v>
      </c>
      <c r="L18430">
        <v>202</v>
      </c>
      <c r="M18430">
        <v>1</v>
      </c>
      <c r="N18430">
        <v>5.0321399999999998E-62</v>
      </c>
      <c r="O18430">
        <v>598</v>
      </c>
    </row>
    <row r="18431" spans="1:15" x14ac:dyDescent="0.25">
      <c r="A18431" t="s">
        <v>18444</v>
      </c>
      <c r="B18431">
        <v>427</v>
      </c>
      <c r="C18431" s="1" t="str">
        <f>HYPERLINK("http://www.rosaceae.org/gb/gbrowse/malus_x_domestica/?name=MDP0000122158","MDP0000122158")</f>
        <v>MDP0000122158</v>
      </c>
      <c r="D18431">
        <v>83.86</v>
      </c>
      <c r="E18431">
        <v>440</v>
      </c>
      <c r="F18431">
        <v>71</v>
      </c>
      <c r="G18431">
        <v>20</v>
      </c>
      <c r="H18431">
        <v>1</v>
      </c>
      <c r="I18431">
        <v>427</v>
      </c>
      <c r="J18431">
        <v>1</v>
      </c>
      <c r="K18431">
        <v>1</v>
      </c>
      <c r="L18431">
        <v>433</v>
      </c>
      <c r="M18431">
        <v>1</v>
      </c>
      <c r="N18431">
        <v>0</v>
      </c>
      <c r="O18431">
        <v>1902</v>
      </c>
    </row>
    <row r="18432" spans="1:15" x14ac:dyDescent="0.25">
      <c r="A18432" t="s">
        <v>18445</v>
      </c>
      <c r="B18432">
        <v>429</v>
      </c>
      <c r="C18432" s="1" t="str">
        <f>HYPERLINK("http://www.rosaceae.org/gb/gbrowse/malus_x_domestica/?name=MDP0000241749","MDP0000241749")</f>
        <v>MDP0000241749</v>
      </c>
      <c r="D18432">
        <v>68.73</v>
      </c>
      <c r="E18432">
        <v>435</v>
      </c>
      <c r="F18432">
        <v>136</v>
      </c>
      <c r="G18432">
        <v>14</v>
      </c>
      <c r="H18432">
        <v>1</v>
      </c>
      <c r="I18432">
        <v>422</v>
      </c>
      <c r="J18432">
        <v>1</v>
      </c>
      <c r="K18432">
        <v>361</v>
      </c>
      <c r="L18432">
        <v>794</v>
      </c>
      <c r="M18432">
        <v>1</v>
      </c>
      <c r="N18432">
        <v>1.5114100000000001E-172</v>
      </c>
      <c r="O18432">
        <v>1554</v>
      </c>
    </row>
    <row r="18433" spans="1:15" x14ac:dyDescent="0.25">
      <c r="A18433" t="s">
        <v>18446</v>
      </c>
      <c r="B18433">
        <v>360</v>
      </c>
      <c r="C18433" s="1" t="str">
        <f>HYPERLINK("http://www.rosaceae.org/gb/gbrowse/malus_x_domestica/?name=MDP0000130570","MDP0000130570")</f>
        <v>MDP0000130570</v>
      </c>
      <c r="D18433">
        <v>40.11</v>
      </c>
      <c r="E18433">
        <v>344</v>
      </c>
      <c r="F18433">
        <v>206</v>
      </c>
      <c r="G18433">
        <v>40</v>
      </c>
      <c r="H18433">
        <v>17</v>
      </c>
      <c r="I18433">
        <v>335</v>
      </c>
      <c r="J18433">
        <v>1</v>
      </c>
      <c r="K18433">
        <v>35</v>
      </c>
      <c r="L18433">
        <v>363</v>
      </c>
      <c r="M18433">
        <v>1</v>
      </c>
      <c r="N18433">
        <v>2.2193700000000002E-59</v>
      </c>
      <c r="O18433">
        <v>577</v>
      </c>
    </row>
    <row r="18434" spans="1:15" x14ac:dyDescent="0.25">
      <c r="A18434" t="s">
        <v>18447</v>
      </c>
      <c r="B18434">
        <v>404</v>
      </c>
      <c r="C18434" s="1" t="str">
        <f>HYPERLINK("http://www.rosaceae.org/gb/gbrowse/malus_x_domestica/?name=MDP0000035633","MDP0000035633")</f>
        <v>MDP0000035633</v>
      </c>
      <c r="D18434">
        <v>80.099999999999994</v>
      </c>
      <c r="E18434">
        <v>397</v>
      </c>
      <c r="F18434">
        <v>79</v>
      </c>
      <c r="G18434">
        <v>5</v>
      </c>
      <c r="H18434">
        <v>12</v>
      </c>
      <c r="I18434">
        <v>404</v>
      </c>
      <c r="J18434">
        <v>1</v>
      </c>
      <c r="K18434">
        <v>5</v>
      </c>
      <c r="L18434">
        <v>400</v>
      </c>
      <c r="M18434">
        <v>1</v>
      </c>
      <c r="N18434">
        <v>0</v>
      </c>
      <c r="O18434">
        <v>1743</v>
      </c>
    </row>
    <row r="18435" spans="1:15" x14ac:dyDescent="0.25">
      <c r="A18435" t="s">
        <v>18448</v>
      </c>
      <c r="B18435">
        <v>193</v>
      </c>
      <c r="C18435" s="1" t="str">
        <f>HYPERLINK("http://www.rosaceae.org/gb/gbrowse/malus_x_domestica/?name=MDP0000253320","MDP0000253320")</f>
        <v>MDP0000253320</v>
      </c>
      <c r="D18435">
        <v>35.92</v>
      </c>
      <c r="E18435">
        <v>167</v>
      </c>
      <c r="F18435">
        <v>107</v>
      </c>
      <c r="G18435">
        <v>6</v>
      </c>
      <c r="H18435">
        <v>31</v>
      </c>
      <c r="I18435">
        <v>192</v>
      </c>
      <c r="J18435">
        <v>1</v>
      </c>
      <c r="K18435">
        <v>265</v>
      </c>
      <c r="L18435">
        <v>430</v>
      </c>
      <c r="M18435">
        <v>1</v>
      </c>
      <c r="N18435">
        <v>6.4560100000000002E-24</v>
      </c>
      <c r="O18435">
        <v>268</v>
      </c>
    </row>
    <row r="18436" spans="1:15" x14ac:dyDescent="0.25">
      <c r="A18436" t="s">
        <v>18449</v>
      </c>
      <c r="B18436">
        <v>1955</v>
      </c>
      <c r="C18436" s="1" t="str">
        <f>HYPERLINK("http://www.rosaceae.org/gb/gbrowse/malus_x_domestica/?name=MDP0000465341","MDP0000465341")</f>
        <v>MDP0000465341</v>
      </c>
      <c r="D18436">
        <v>60.7</v>
      </c>
      <c r="E18436">
        <v>911</v>
      </c>
      <c r="F18436">
        <v>358</v>
      </c>
      <c r="G18436">
        <v>54</v>
      </c>
      <c r="H18436">
        <v>1</v>
      </c>
      <c r="I18436">
        <v>880</v>
      </c>
      <c r="J18436">
        <v>1</v>
      </c>
      <c r="K18436">
        <v>1</v>
      </c>
      <c r="L18436">
        <v>888</v>
      </c>
      <c r="M18436">
        <v>1</v>
      </c>
      <c r="N18436">
        <v>0</v>
      </c>
      <c r="O18436">
        <v>2659</v>
      </c>
    </row>
    <row r="18437" spans="1:15" x14ac:dyDescent="0.25">
      <c r="A18437" t="s">
        <v>18450</v>
      </c>
      <c r="B18437">
        <v>581</v>
      </c>
      <c r="C18437" s="1" t="str">
        <f>HYPERLINK("http://www.rosaceae.org/gb/gbrowse/malus_x_domestica/?name=MDP0000199337","MDP0000199337")</f>
        <v>MDP0000199337</v>
      </c>
      <c r="D18437">
        <v>54.97</v>
      </c>
      <c r="E18437">
        <v>573</v>
      </c>
      <c r="F18437">
        <v>258</v>
      </c>
      <c r="G18437">
        <v>34</v>
      </c>
      <c r="H18437">
        <v>27</v>
      </c>
      <c r="I18437">
        <v>574</v>
      </c>
      <c r="J18437">
        <v>1</v>
      </c>
      <c r="K18437">
        <v>26</v>
      </c>
      <c r="L18437">
        <v>589</v>
      </c>
      <c r="M18437">
        <v>1</v>
      </c>
      <c r="N18437">
        <v>0</v>
      </c>
      <c r="O18437">
        <v>1658</v>
      </c>
    </row>
    <row r="18438" spans="1:15" x14ac:dyDescent="0.25">
      <c r="A18438" t="s">
        <v>18451</v>
      </c>
      <c r="B18438">
        <v>82</v>
      </c>
      <c r="C18438" s="1" t="str">
        <f>HYPERLINK("http://www.rosaceae.org/gb/gbrowse/malus_x_domestica/?name=MDP0000920434","MDP0000920434")</f>
        <v>MDP0000920434</v>
      </c>
      <c r="D18438">
        <v>63.38</v>
      </c>
      <c r="E18438">
        <v>71</v>
      </c>
      <c r="F18438">
        <v>26</v>
      </c>
      <c r="G18438">
        <v>0</v>
      </c>
      <c r="H18438">
        <v>6</v>
      </c>
      <c r="I18438">
        <v>76</v>
      </c>
      <c r="J18438">
        <v>1</v>
      </c>
      <c r="K18438">
        <v>9</v>
      </c>
      <c r="L18438">
        <v>79</v>
      </c>
      <c r="M18438">
        <v>1</v>
      </c>
      <c r="N18438">
        <v>1.0573399999999999E-19</v>
      </c>
      <c r="O18438">
        <v>227</v>
      </c>
    </row>
    <row r="18439" spans="1:15" x14ac:dyDescent="0.25">
      <c r="A18439" t="s">
        <v>18452</v>
      </c>
      <c r="B18439">
        <v>390</v>
      </c>
      <c r="C18439" s="1" t="str">
        <f>HYPERLINK("http://www.rosaceae.org/gb/gbrowse/malus_x_domestica/?name=MDP0000327191","MDP0000327191")</f>
        <v>MDP0000327191</v>
      </c>
      <c r="D18439">
        <v>58.61</v>
      </c>
      <c r="E18439">
        <v>331</v>
      </c>
      <c r="F18439">
        <v>137</v>
      </c>
      <c r="G18439">
        <v>7</v>
      </c>
      <c r="H18439">
        <v>28</v>
      </c>
      <c r="I18439">
        <v>358</v>
      </c>
      <c r="J18439">
        <v>1</v>
      </c>
      <c r="K18439">
        <v>14</v>
      </c>
      <c r="L18439">
        <v>337</v>
      </c>
      <c r="M18439">
        <v>1</v>
      </c>
      <c r="N18439">
        <v>5.2676300000000004E-109</v>
      </c>
      <c r="O18439">
        <v>1005</v>
      </c>
    </row>
    <row r="18440" spans="1:15" x14ac:dyDescent="0.25">
      <c r="A18440" t="s">
        <v>18453</v>
      </c>
      <c r="B18440">
        <v>179</v>
      </c>
      <c r="C18440" s="1" t="str">
        <f>HYPERLINK("http://www.rosaceae.org/gb/gbrowse/malus_x_domestica/?name=MDP0000282151","MDP0000282151")</f>
        <v>MDP0000282151</v>
      </c>
      <c r="D18440">
        <v>30.43</v>
      </c>
      <c r="E18440">
        <v>161</v>
      </c>
      <c r="F18440">
        <v>112</v>
      </c>
      <c r="G18440">
        <v>19</v>
      </c>
      <c r="H18440">
        <v>2</v>
      </c>
      <c r="I18440">
        <v>148</v>
      </c>
      <c r="J18440">
        <v>1</v>
      </c>
      <c r="K18440">
        <v>97</v>
      </c>
      <c r="L18440">
        <v>252</v>
      </c>
      <c r="M18440">
        <v>1</v>
      </c>
      <c r="N18440">
        <v>2.4555699999999999E-14</v>
      </c>
      <c r="O18440">
        <v>184</v>
      </c>
    </row>
    <row r="18441" spans="1:15" x14ac:dyDescent="0.25">
      <c r="A18441" t="s">
        <v>18454</v>
      </c>
      <c r="B18441">
        <v>372</v>
      </c>
      <c r="C18441" s="1" t="str">
        <f>HYPERLINK("http://www.rosaceae.org/gb/gbrowse/malus_x_domestica/?name=MDP0000319861","MDP0000319861")</f>
        <v>MDP0000319861</v>
      </c>
      <c r="D18441">
        <v>57.14</v>
      </c>
      <c r="E18441">
        <v>77</v>
      </c>
      <c r="F18441">
        <v>33</v>
      </c>
      <c r="G18441">
        <v>0</v>
      </c>
      <c r="H18441">
        <v>167</v>
      </c>
      <c r="I18441">
        <v>243</v>
      </c>
      <c r="J18441">
        <v>1</v>
      </c>
      <c r="K18441">
        <v>347</v>
      </c>
      <c r="L18441">
        <v>423</v>
      </c>
      <c r="M18441">
        <v>1</v>
      </c>
      <c r="N18441">
        <v>4.2881100000000001E-18</v>
      </c>
      <c r="O18441">
        <v>221</v>
      </c>
    </row>
    <row r="18442" spans="1:15" x14ac:dyDescent="0.25">
      <c r="A18442" t="s">
        <v>18455</v>
      </c>
      <c r="B18442">
        <v>275</v>
      </c>
      <c r="C18442" s="1" t="str">
        <f>HYPERLINK("http://www.rosaceae.org/gb/gbrowse/malus_x_domestica/?name=MDP0000296128","MDP0000296128")</f>
        <v>MDP0000296128</v>
      </c>
      <c r="D18442">
        <v>29.83</v>
      </c>
      <c r="E18442">
        <v>295</v>
      </c>
      <c r="F18442">
        <v>207</v>
      </c>
      <c r="G18442">
        <v>56</v>
      </c>
      <c r="H18442">
        <v>33</v>
      </c>
      <c r="I18442">
        <v>273</v>
      </c>
      <c r="J18442">
        <v>1</v>
      </c>
      <c r="K18442">
        <v>136</v>
      </c>
      <c r="L18442">
        <v>428</v>
      </c>
      <c r="M18442">
        <v>1</v>
      </c>
      <c r="N18442">
        <v>1.5279899999999999E-18</v>
      </c>
      <c r="O18442">
        <v>223</v>
      </c>
    </row>
    <row r="18443" spans="1:15" x14ac:dyDescent="0.25">
      <c r="A18443" t="s">
        <v>18456</v>
      </c>
      <c r="B18443">
        <v>154</v>
      </c>
      <c r="C18443" s="1" t="str">
        <f>HYPERLINK("http://www.rosaceae.org/gb/gbrowse/malus_x_domestica/?name=MDP0000170922","MDP0000170922")</f>
        <v>MDP0000170922</v>
      </c>
      <c r="D18443">
        <v>75.97</v>
      </c>
      <c r="E18443">
        <v>154</v>
      </c>
      <c r="F18443">
        <v>37</v>
      </c>
      <c r="G18443">
        <v>0</v>
      </c>
      <c r="H18443">
        <v>1</v>
      </c>
      <c r="I18443">
        <v>154</v>
      </c>
      <c r="J18443">
        <v>1</v>
      </c>
      <c r="K18443">
        <v>1</v>
      </c>
      <c r="L18443">
        <v>154</v>
      </c>
      <c r="M18443">
        <v>1</v>
      </c>
      <c r="N18443">
        <v>6.8322799999999997E-65</v>
      </c>
      <c r="O18443">
        <v>619</v>
      </c>
    </row>
    <row r="18444" spans="1:15" x14ac:dyDescent="0.25">
      <c r="A18444" t="s">
        <v>18457</v>
      </c>
      <c r="B18444">
        <v>169</v>
      </c>
      <c r="C18444" s="1" t="str">
        <f>HYPERLINK("http://www.rosaceae.org/gb/gbrowse/malus_x_domestica/?name=MDP0000339664","MDP0000339664")</f>
        <v>MDP0000339664</v>
      </c>
      <c r="D18444">
        <v>81.06</v>
      </c>
      <c r="E18444">
        <v>169</v>
      </c>
      <c r="F18444">
        <v>32</v>
      </c>
      <c r="G18444">
        <v>4</v>
      </c>
      <c r="H18444">
        <v>1</v>
      </c>
      <c r="I18444">
        <v>165</v>
      </c>
      <c r="J18444">
        <v>1</v>
      </c>
      <c r="K18444">
        <v>1</v>
      </c>
      <c r="L18444">
        <v>169</v>
      </c>
      <c r="M18444">
        <v>1</v>
      </c>
      <c r="N18444">
        <v>2.2493199999999999E-72</v>
      </c>
      <c r="O18444">
        <v>684</v>
      </c>
    </row>
    <row r="18445" spans="1:15" x14ac:dyDescent="0.25">
      <c r="A18445" t="s">
        <v>18458</v>
      </c>
      <c r="B18445">
        <v>276</v>
      </c>
      <c r="C18445" s="1" t="str">
        <f>HYPERLINK("http://www.rosaceae.org/gb/gbrowse/malus_x_domestica/?name=MDP0000283081","MDP0000283081")</f>
        <v>MDP0000283081</v>
      </c>
      <c r="D18445">
        <v>66.66</v>
      </c>
      <c r="E18445">
        <v>240</v>
      </c>
      <c r="F18445">
        <v>80</v>
      </c>
      <c r="G18445">
        <v>16</v>
      </c>
      <c r="H18445">
        <v>3</v>
      </c>
      <c r="I18445">
        <v>226</v>
      </c>
      <c r="J18445">
        <v>1</v>
      </c>
      <c r="K18445">
        <v>19</v>
      </c>
      <c r="L18445">
        <v>258</v>
      </c>
      <c r="M18445">
        <v>1</v>
      </c>
      <c r="N18445">
        <v>1.7505000000000001E-87</v>
      </c>
      <c r="O18445">
        <v>818</v>
      </c>
    </row>
    <row r="18446" spans="1:15" x14ac:dyDescent="0.25">
      <c r="A18446" t="s">
        <v>18459</v>
      </c>
      <c r="B18446">
        <v>405</v>
      </c>
      <c r="C18446" s="1" t="str">
        <f>HYPERLINK("http://www.rosaceae.org/gb/gbrowse/malus_x_domestica/?name=MDP0000321160","MDP0000321160")</f>
        <v>MDP0000321160</v>
      </c>
      <c r="D18446">
        <v>61.08</v>
      </c>
      <c r="E18446">
        <v>388</v>
      </c>
      <c r="F18446">
        <v>151</v>
      </c>
      <c r="G18446">
        <v>1</v>
      </c>
      <c r="H18446">
        <v>5</v>
      </c>
      <c r="I18446">
        <v>392</v>
      </c>
      <c r="J18446">
        <v>1</v>
      </c>
      <c r="K18446">
        <v>4</v>
      </c>
      <c r="L18446">
        <v>390</v>
      </c>
      <c r="M18446">
        <v>1</v>
      </c>
      <c r="N18446">
        <v>4.0852300000000002E-131</v>
      </c>
      <c r="O18446">
        <v>1196</v>
      </c>
    </row>
    <row r="18447" spans="1:15" x14ac:dyDescent="0.25">
      <c r="A18447" t="s">
        <v>18460</v>
      </c>
      <c r="B18447">
        <v>571</v>
      </c>
      <c r="C18447" s="1" t="str">
        <f>HYPERLINK("http://www.rosaceae.org/gb/gbrowse/malus_x_domestica/?name=MDP0000143129","MDP0000143129")</f>
        <v>MDP0000143129</v>
      </c>
      <c r="D18447">
        <v>37.47</v>
      </c>
      <c r="E18447">
        <v>555</v>
      </c>
      <c r="F18447">
        <v>347</v>
      </c>
      <c r="G18447">
        <v>57</v>
      </c>
      <c r="H18447">
        <v>4</v>
      </c>
      <c r="I18447">
        <v>526</v>
      </c>
      <c r="J18447">
        <v>1</v>
      </c>
      <c r="K18447">
        <v>34</v>
      </c>
      <c r="L18447">
        <v>563</v>
      </c>
      <c r="M18447">
        <v>1</v>
      </c>
      <c r="N18447">
        <v>1.7865000000000001E-100</v>
      </c>
      <c r="O18447">
        <v>934</v>
      </c>
    </row>
    <row r="18448" spans="1:15" x14ac:dyDescent="0.25">
      <c r="A18448" t="s">
        <v>18461</v>
      </c>
      <c r="B18448">
        <v>563</v>
      </c>
      <c r="C18448" s="1" t="str">
        <f>HYPERLINK("http://www.rosaceae.org/gb/gbrowse/malus_x_domestica/?name=MDP0000228457","MDP0000228457")</f>
        <v>MDP0000228457</v>
      </c>
      <c r="D18448">
        <v>59.4</v>
      </c>
      <c r="E18448">
        <v>569</v>
      </c>
      <c r="F18448">
        <v>231</v>
      </c>
      <c r="G18448">
        <v>24</v>
      </c>
      <c r="H18448">
        <v>1</v>
      </c>
      <c r="I18448">
        <v>560</v>
      </c>
      <c r="J18448">
        <v>1</v>
      </c>
      <c r="K18448">
        <v>1</v>
      </c>
      <c r="L18448">
        <v>554</v>
      </c>
      <c r="M18448">
        <v>1</v>
      </c>
      <c r="N18448">
        <v>1.6457E-179</v>
      </c>
      <c r="O18448">
        <v>1615</v>
      </c>
    </row>
    <row r="18449" spans="1:15" x14ac:dyDescent="0.25">
      <c r="A18449" t="s">
        <v>18462</v>
      </c>
      <c r="B18449">
        <v>356</v>
      </c>
      <c r="C18449" s="1" t="str">
        <f>HYPERLINK("http://www.rosaceae.org/gb/gbrowse/malus_x_domestica/?name=MDP0000151581","MDP0000151581")</f>
        <v>MDP0000151581</v>
      </c>
      <c r="D18449">
        <v>82.1</v>
      </c>
      <c r="E18449">
        <v>95</v>
      </c>
      <c r="F18449">
        <v>17</v>
      </c>
      <c r="G18449">
        <v>2</v>
      </c>
      <c r="H18449">
        <v>31</v>
      </c>
      <c r="I18449">
        <v>125</v>
      </c>
      <c r="J18449">
        <v>1</v>
      </c>
      <c r="K18449">
        <v>1</v>
      </c>
      <c r="L18449">
        <v>93</v>
      </c>
      <c r="M18449">
        <v>1</v>
      </c>
      <c r="N18449">
        <v>2.1608999999999998E-39</v>
      </c>
      <c r="O18449">
        <v>405</v>
      </c>
    </row>
    <row r="18450" spans="1:15" x14ac:dyDescent="0.25">
      <c r="A18450" t="s">
        <v>18463</v>
      </c>
      <c r="B18450">
        <v>123</v>
      </c>
      <c r="C18450" s="1" t="str">
        <f>HYPERLINK("http://www.rosaceae.org/gb/gbrowse/malus_x_domestica/?name=MDP0000316461","MDP0000316461")</f>
        <v>MDP0000316461</v>
      </c>
      <c r="D18450">
        <v>53.22</v>
      </c>
      <c r="E18450">
        <v>124</v>
      </c>
      <c r="F18450">
        <v>58</v>
      </c>
      <c r="G18450">
        <v>4</v>
      </c>
      <c r="H18450">
        <v>1</v>
      </c>
      <c r="I18450">
        <v>123</v>
      </c>
      <c r="J18450">
        <v>1</v>
      </c>
      <c r="K18450">
        <v>1</v>
      </c>
      <c r="L18450">
        <v>121</v>
      </c>
      <c r="M18450">
        <v>1</v>
      </c>
      <c r="N18450">
        <v>5.9166499999999995E-29</v>
      </c>
      <c r="O18450">
        <v>307</v>
      </c>
    </row>
    <row r="18451" spans="1:15" x14ac:dyDescent="0.25">
      <c r="A18451" t="s">
        <v>18464</v>
      </c>
      <c r="B18451">
        <v>430</v>
      </c>
      <c r="C18451" s="1" t="str">
        <f>HYPERLINK("http://www.rosaceae.org/gb/gbrowse/malus_x_domestica/?name=MDP0000912081","MDP0000912081")</f>
        <v>MDP0000912081</v>
      </c>
      <c r="D18451">
        <v>63.81</v>
      </c>
      <c r="E18451">
        <v>467</v>
      </c>
      <c r="F18451">
        <v>169</v>
      </c>
      <c r="G18451">
        <v>45</v>
      </c>
      <c r="H18451">
        <v>1</v>
      </c>
      <c r="I18451">
        <v>430</v>
      </c>
      <c r="J18451">
        <v>1</v>
      </c>
      <c r="K18451">
        <v>1</v>
      </c>
      <c r="L18451">
        <v>459</v>
      </c>
      <c r="M18451">
        <v>1</v>
      </c>
      <c r="N18451">
        <v>1.8544899999999999E-139</v>
      </c>
      <c r="O18451">
        <v>1268</v>
      </c>
    </row>
    <row r="18452" spans="1:15" x14ac:dyDescent="0.25">
      <c r="A18452" t="s">
        <v>18465</v>
      </c>
      <c r="B18452">
        <v>1205</v>
      </c>
      <c r="C18452" s="1" t="str">
        <f>HYPERLINK("http://www.rosaceae.org/gb/gbrowse/malus_x_domestica/?name=MDP0000822541","MDP0000822541")</f>
        <v>MDP0000822541</v>
      </c>
      <c r="D18452">
        <v>83.75</v>
      </c>
      <c r="E18452">
        <v>320</v>
      </c>
      <c r="F18452">
        <v>52</v>
      </c>
      <c r="G18452">
        <v>0</v>
      </c>
      <c r="H18452">
        <v>644</v>
      </c>
      <c r="I18452">
        <v>963</v>
      </c>
      <c r="J18452">
        <v>1</v>
      </c>
      <c r="K18452">
        <v>78</v>
      </c>
      <c r="L18452">
        <v>397</v>
      </c>
      <c r="M18452">
        <v>1</v>
      </c>
      <c r="N18452">
        <v>1.78849E-157</v>
      </c>
      <c r="O18452">
        <v>1428</v>
      </c>
    </row>
    <row r="18453" spans="1:15" x14ac:dyDescent="0.25">
      <c r="A18453" t="s">
        <v>18466</v>
      </c>
      <c r="B18453">
        <v>392</v>
      </c>
      <c r="C18453" s="1" t="str">
        <f>HYPERLINK("http://www.rosaceae.org/gb/gbrowse/malus_x_domestica/?name=MDP0000217462","MDP0000217462")</f>
        <v>MDP0000217462</v>
      </c>
      <c r="D18453">
        <v>57.17</v>
      </c>
      <c r="E18453">
        <v>390</v>
      </c>
      <c r="F18453">
        <v>167</v>
      </c>
      <c r="G18453">
        <v>14</v>
      </c>
      <c r="H18453">
        <v>1</v>
      </c>
      <c r="I18453">
        <v>389</v>
      </c>
      <c r="J18453">
        <v>1</v>
      </c>
      <c r="K18453">
        <v>1</v>
      </c>
      <c r="L18453">
        <v>377</v>
      </c>
      <c r="M18453">
        <v>1</v>
      </c>
      <c r="N18453">
        <v>3.7202399999999998E-124</v>
      </c>
      <c r="O18453">
        <v>1136</v>
      </c>
    </row>
    <row r="18454" spans="1:15" x14ac:dyDescent="0.25">
      <c r="A18454" t="s">
        <v>18467</v>
      </c>
      <c r="B18454">
        <v>300</v>
      </c>
      <c r="C18454" s="1" t="str">
        <f>HYPERLINK("http://www.rosaceae.org/gb/gbrowse/malus_x_domestica/?name=MDP0000126569","MDP0000126569")</f>
        <v>MDP0000126569</v>
      </c>
      <c r="D18454">
        <v>37.049999999999997</v>
      </c>
      <c r="E18454">
        <v>170</v>
      </c>
      <c r="F18454">
        <v>107</v>
      </c>
      <c r="G18454">
        <v>66</v>
      </c>
      <c r="H18454">
        <v>1</v>
      </c>
      <c r="I18454">
        <v>104</v>
      </c>
      <c r="J18454">
        <v>1</v>
      </c>
      <c r="K18454">
        <v>138</v>
      </c>
      <c r="L18454">
        <v>307</v>
      </c>
      <c r="M18454">
        <v>1</v>
      </c>
      <c r="N18454">
        <v>9.6610400000000003E-21</v>
      </c>
      <c r="O18454">
        <v>243</v>
      </c>
    </row>
    <row r="18455" spans="1:15" x14ac:dyDescent="0.25">
      <c r="A18455" t="s">
        <v>18468</v>
      </c>
      <c r="B18455">
        <v>258</v>
      </c>
      <c r="C18455" s="1" t="str">
        <f>HYPERLINK("http://www.rosaceae.org/gb/gbrowse/malus_x_domestica/?name=MDP0000228546","MDP0000228546")</f>
        <v>MDP0000228546</v>
      </c>
      <c r="D18455">
        <v>29.78</v>
      </c>
      <c r="E18455">
        <v>141</v>
      </c>
      <c r="F18455">
        <v>99</v>
      </c>
      <c r="G18455">
        <v>2</v>
      </c>
      <c r="H18455">
        <v>104</v>
      </c>
      <c r="I18455">
        <v>244</v>
      </c>
      <c r="J18455">
        <v>1</v>
      </c>
      <c r="K18455">
        <v>126</v>
      </c>
      <c r="L18455">
        <v>264</v>
      </c>
      <c r="M18455">
        <v>1</v>
      </c>
      <c r="N18455">
        <v>8.8900999999999994E-11</v>
      </c>
      <c r="O18455">
        <v>156</v>
      </c>
    </row>
    <row r="18456" spans="1:15" x14ac:dyDescent="0.25">
      <c r="A18456" t="s">
        <v>18469</v>
      </c>
      <c r="B18456">
        <v>474</v>
      </c>
      <c r="C18456" s="1" t="str">
        <f>HYPERLINK("http://www.rosaceae.org/gb/gbrowse/malus_x_domestica/?name=MDP0000249524","MDP0000249524")</f>
        <v>MDP0000249524</v>
      </c>
      <c r="D18456">
        <v>86.95</v>
      </c>
      <c r="E18456">
        <v>46</v>
      </c>
      <c r="F18456">
        <v>6</v>
      </c>
      <c r="G18456">
        <v>1</v>
      </c>
      <c r="H18456">
        <v>354</v>
      </c>
      <c r="I18456">
        <v>399</v>
      </c>
      <c r="J18456">
        <v>1</v>
      </c>
      <c r="K18456">
        <v>85</v>
      </c>
      <c r="L18456">
        <v>129</v>
      </c>
      <c r="M18456">
        <v>1</v>
      </c>
      <c r="N18456">
        <v>8.66913E-14</v>
      </c>
      <c r="O18456">
        <v>185</v>
      </c>
    </row>
    <row r="18457" spans="1:15" x14ac:dyDescent="0.25">
      <c r="A18457" t="s">
        <v>18470</v>
      </c>
      <c r="B18457">
        <v>615</v>
      </c>
      <c r="C18457" s="1" t="str">
        <f>HYPERLINK("http://www.rosaceae.org/gb/gbrowse/malus_x_domestica/?name=MDP0000782742","MDP0000782742")</f>
        <v>MDP0000782742</v>
      </c>
      <c r="D18457">
        <v>79.55</v>
      </c>
      <c r="E18457">
        <v>489</v>
      </c>
      <c r="F18457">
        <v>100</v>
      </c>
      <c r="G18457">
        <v>9</v>
      </c>
      <c r="H18457">
        <v>130</v>
      </c>
      <c r="I18457">
        <v>614</v>
      </c>
      <c r="J18457">
        <v>1</v>
      </c>
      <c r="K18457">
        <v>1</v>
      </c>
      <c r="L18457">
        <v>484</v>
      </c>
      <c r="M18457">
        <v>1</v>
      </c>
      <c r="N18457">
        <v>0</v>
      </c>
      <c r="O18457">
        <v>2041</v>
      </c>
    </row>
    <row r="18458" spans="1:15" x14ac:dyDescent="0.25">
      <c r="A18458" t="s">
        <v>18471</v>
      </c>
      <c r="B18458">
        <v>131</v>
      </c>
      <c r="C18458" s="1" t="str">
        <f>HYPERLINK("http://www.rosaceae.org/gb/gbrowse/malus_x_domestica/?name=MDP0000546593","MDP0000546593")</f>
        <v>MDP0000546593</v>
      </c>
      <c r="D18458">
        <v>77.459999999999994</v>
      </c>
      <c r="E18458">
        <v>71</v>
      </c>
      <c r="F18458">
        <v>16</v>
      </c>
      <c r="G18458">
        <v>0</v>
      </c>
      <c r="H18458">
        <v>60</v>
      </c>
      <c r="I18458">
        <v>130</v>
      </c>
      <c r="J18458">
        <v>1</v>
      </c>
      <c r="K18458">
        <v>462</v>
      </c>
      <c r="L18458">
        <v>532</v>
      </c>
      <c r="M18458">
        <v>1</v>
      </c>
      <c r="N18458">
        <v>8.2013899999999998E-30</v>
      </c>
      <c r="O18458">
        <v>315</v>
      </c>
    </row>
    <row r="18459" spans="1:15" x14ac:dyDescent="0.25">
      <c r="A18459" t="s">
        <v>18472</v>
      </c>
      <c r="B18459">
        <v>384</v>
      </c>
      <c r="C18459" s="1" t="str">
        <f>HYPERLINK("http://www.rosaceae.org/gb/gbrowse/malus_x_domestica/?name=MDP0000332436","MDP0000332436")</f>
        <v>MDP0000332436</v>
      </c>
      <c r="D18459">
        <v>42.09</v>
      </c>
      <c r="E18459">
        <v>411</v>
      </c>
      <c r="F18459">
        <v>238</v>
      </c>
      <c r="G18459">
        <v>63</v>
      </c>
      <c r="H18459">
        <v>1</v>
      </c>
      <c r="I18459">
        <v>384</v>
      </c>
      <c r="J18459">
        <v>1</v>
      </c>
      <c r="K18459">
        <v>11</v>
      </c>
      <c r="L18459">
        <v>385</v>
      </c>
      <c r="M18459">
        <v>1</v>
      </c>
      <c r="N18459">
        <v>8.3385400000000003E-63</v>
      </c>
      <c r="O18459">
        <v>607</v>
      </c>
    </row>
    <row r="18460" spans="1:15" x14ac:dyDescent="0.25">
      <c r="A18460" t="s">
        <v>18473</v>
      </c>
      <c r="B18460">
        <v>103</v>
      </c>
      <c r="C18460" s="1" t="str">
        <f>HYPERLINK("http://www.rosaceae.org/gb/gbrowse/malus_x_domestica/?name=MDP0000336462","MDP0000336462")</f>
        <v>MDP0000336462</v>
      </c>
      <c r="D18460">
        <v>100</v>
      </c>
      <c r="E18460">
        <v>82</v>
      </c>
      <c r="F18460">
        <v>0</v>
      </c>
      <c r="G18460">
        <v>0</v>
      </c>
      <c r="H18460">
        <v>22</v>
      </c>
      <c r="I18460">
        <v>103</v>
      </c>
      <c r="J18460">
        <v>1</v>
      </c>
      <c r="K18460">
        <v>44</v>
      </c>
      <c r="L18460">
        <v>125</v>
      </c>
      <c r="M18460">
        <v>1</v>
      </c>
      <c r="N18460">
        <v>5.1126299999999996E-41</v>
      </c>
      <c r="O18460">
        <v>411</v>
      </c>
    </row>
    <row r="18461" spans="1:15" x14ac:dyDescent="0.25">
      <c r="A18461" t="s">
        <v>18474</v>
      </c>
      <c r="B18461">
        <v>358</v>
      </c>
      <c r="C18461" s="1" t="str">
        <f>HYPERLINK("http://www.rosaceae.org/gb/gbrowse/malus_x_domestica/?name=MDP0000804580","MDP0000804580")</f>
        <v>MDP0000804580</v>
      </c>
      <c r="D18461">
        <v>40.869999999999997</v>
      </c>
      <c r="E18461">
        <v>367</v>
      </c>
      <c r="F18461">
        <v>217</v>
      </c>
      <c r="G18461">
        <v>65</v>
      </c>
      <c r="H18461">
        <v>1</v>
      </c>
      <c r="I18461">
        <v>358</v>
      </c>
      <c r="J18461">
        <v>1</v>
      </c>
      <c r="K18461">
        <v>1</v>
      </c>
      <c r="L18461">
        <v>311</v>
      </c>
      <c r="M18461">
        <v>1</v>
      </c>
      <c r="N18461">
        <v>2.2558199999999998E-62</v>
      </c>
      <c r="O18461">
        <v>603</v>
      </c>
    </row>
    <row r="18462" spans="1:15" x14ac:dyDescent="0.25">
      <c r="A18462" t="s">
        <v>18475</v>
      </c>
      <c r="B18462">
        <v>153</v>
      </c>
      <c r="C18462" s="1" t="str">
        <f>HYPERLINK("http://www.rosaceae.org/gb/gbrowse/malus_x_domestica/?name=MDP0000280105","MDP0000280105")</f>
        <v>MDP0000280105</v>
      </c>
      <c r="D18462">
        <v>43.75</v>
      </c>
      <c r="E18462">
        <v>176</v>
      </c>
      <c r="F18462">
        <v>99</v>
      </c>
      <c r="G18462">
        <v>41</v>
      </c>
      <c r="H18462">
        <v>7</v>
      </c>
      <c r="I18462">
        <v>151</v>
      </c>
      <c r="J18462">
        <v>1</v>
      </c>
      <c r="K18462">
        <v>144</v>
      </c>
      <c r="L18462">
        <v>309</v>
      </c>
      <c r="M18462">
        <v>1</v>
      </c>
      <c r="N18462">
        <v>4.5235299999999999E-32</v>
      </c>
      <c r="O18462">
        <v>336</v>
      </c>
    </row>
    <row r="18463" spans="1:15" x14ac:dyDescent="0.25">
      <c r="A18463" t="s">
        <v>18476</v>
      </c>
      <c r="B18463">
        <v>395</v>
      </c>
      <c r="C18463" s="1" t="str">
        <f>HYPERLINK("http://www.rosaceae.org/gb/gbrowse/malus_x_domestica/?name=MDP0000241557","MDP0000241557")</f>
        <v>MDP0000241557</v>
      </c>
      <c r="D18463">
        <v>50.76</v>
      </c>
      <c r="E18463">
        <v>325</v>
      </c>
      <c r="F18463">
        <v>160</v>
      </c>
      <c r="G18463">
        <v>37</v>
      </c>
      <c r="H18463">
        <v>88</v>
      </c>
      <c r="I18463">
        <v>385</v>
      </c>
      <c r="J18463">
        <v>1</v>
      </c>
      <c r="K18463">
        <v>168</v>
      </c>
      <c r="L18463">
        <v>482</v>
      </c>
      <c r="M18463">
        <v>1</v>
      </c>
      <c r="N18463">
        <v>1.2181199999999999E-72</v>
      </c>
      <c r="O18463">
        <v>692</v>
      </c>
    </row>
    <row r="18464" spans="1:15" x14ac:dyDescent="0.25">
      <c r="A18464" t="s">
        <v>18477</v>
      </c>
      <c r="B18464">
        <v>150</v>
      </c>
      <c r="C18464" s="1" t="str">
        <f>HYPERLINK("http://www.rosaceae.org/gb/gbrowse/malus_x_domestica/?name=MDP0000289279","MDP0000289279")</f>
        <v>MDP0000289279</v>
      </c>
      <c r="D18464">
        <v>40.47</v>
      </c>
      <c r="E18464">
        <v>84</v>
      </c>
      <c r="F18464">
        <v>50</v>
      </c>
      <c r="G18464">
        <v>8</v>
      </c>
      <c r="H18464">
        <v>23</v>
      </c>
      <c r="I18464">
        <v>98</v>
      </c>
      <c r="J18464">
        <v>1</v>
      </c>
      <c r="K18464">
        <v>83</v>
      </c>
      <c r="L18464">
        <v>166</v>
      </c>
      <c r="M18464">
        <v>1</v>
      </c>
      <c r="N18464">
        <v>1.5876199999999999E-10</v>
      </c>
      <c r="O18464">
        <v>150</v>
      </c>
    </row>
    <row r="18465" spans="1:15" x14ac:dyDescent="0.25">
      <c r="A18465" t="s">
        <v>18478</v>
      </c>
      <c r="B18465">
        <v>475</v>
      </c>
      <c r="C18465" s="1" t="str">
        <f>HYPERLINK("http://www.rosaceae.org/gb/gbrowse/malus_x_domestica/?name=MDP0000298646","MDP0000298646")</f>
        <v>MDP0000298646</v>
      </c>
      <c r="D18465">
        <v>48.95</v>
      </c>
      <c r="E18465">
        <v>478</v>
      </c>
      <c r="F18465">
        <v>244</v>
      </c>
      <c r="G18465">
        <v>57</v>
      </c>
      <c r="H18465">
        <v>49</v>
      </c>
      <c r="I18465">
        <v>473</v>
      </c>
      <c r="J18465">
        <v>1</v>
      </c>
      <c r="K18465">
        <v>46</v>
      </c>
      <c r="L18465">
        <v>519</v>
      </c>
      <c r="M18465">
        <v>1</v>
      </c>
      <c r="N18465">
        <v>1.2672600000000001E-123</v>
      </c>
      <c r="O18465">
        <v>1132</v>
      </c>
    </row>
    <row r="18466" spans="1:15" x14ac:dyDescent="0.25">
      <c r="A18466" t="s">
        <v>18479</v>
      </c>
      <c r="B18466">
        <v>350</v>
      </c>
      <c r="C18466" s="1" t="str">
        <f>HYPERLINK("http://www.rosaceae.org/gb/gbrowse/malus_x_domestica/?name=MDP0000258062","MDP0000258062")</f>
        <v>MDP0000258062</v>
      </c>
      <c r="D18466">
        <v>94.26</v>
      </c>
      <c r="E18466">
        <v>122</v>
      </c>
      <c r="F18466">
        <v>7</v>
      </c>
      <c r="G18466">
        <v>0</v>
      </c>
      <c r="H18466">
        <v>229</v>
      </c>
      <c r="I18466">
        <v>350</v>
      </c>
      <c r="J18466">
        <v>1</v>
      </c>
      <c r="K18466">
        <v>1</v>
      </c>
      <c r="L18466">
        <v>122</v>
      </c>
      <c r="M18466">
        <v>1</v>
      </c>
      <c r="N18466">
        <v>5.3268200000000004E-65</v>
      </c>
      <c r="O18466">
        <v>625</v>
      </c>
    </row>
    <row r="18467" spans="1:15" x14ac:dyDescent="0.25">
      <c r="A18467" t="s">
        <v>18480</v>
      </c>
      <c r="B18467">
        <v>130</v>
      </c>
      <c r="C18467" s="1" t="str">
        <f>HYPERLINK("http://www.rosaceae.org/gb/gbrowse/malus_x_domestica/?name=MDP0000200264","MDP0000200264")</f>
        <v>MDP0000200264</v>
      </c>
      <c r="D18467">
        <v>85.1</v>
      </c>
      <c r="E18467">
        <v>141</v>
      </c>
      <c r="F18467">
        <v>21</v>
      </c>
      <c r="G18467">
        <v>11</v>
      </c>
      <c r="H18467">
        <v>1</v>
      </c>
      <c r="I18467">
        <v>130</v>
      </c>
      <c r="J18467">
        <v>1</v>
      </c>
      <c r="K18467">
        <v>1</v>
      </c>
      <c r="L18467">
        <v>141</v>
      </c>
      <c r="M18467">
        <v>1</v>
      </c>
      <c r="N18467">
        <v>3.0203999999999998E-63</v>
      </c>
      <c r="O18467">
        <v>603</v>
      </c>
    </row>
    <row r="18468" spans="1:15" x14ac:dyDescent="0.25">
      <c r="A18468" t="s">
        <v>18481</v>
      </c>
      <c r="B18468">
        <v>224</v>
      </c>
      <c r="C18468" s="1" t="str">
        <f>HYPERLINK("http://www.rosaceae.org/gb/gbrowse/malus_x_domestica/?name=MDP0000557282","MDP0000557282")</f>
        <v>MDP0000557282</v>
      </c>
      <c r="D18468">
        <v>81.81</v>
      </c>
      <c r="E18468">
        <v>33</v>
      </c>
      <c r="F18468">
        <v>6</v>
      </c>
      <c r="G18468">
        <v>0</v>
      </c>
      <c r="H18468">
        <v>190</v>
      </c>
      <c r="I18468">
        <v>222</v>
      </c>
      <c r="J18468">
        <v>1</v>
      </c>
      <c r="K18468">
        <v>280</v>
      </c>
      <c r="L18468">
        <v>312</v>
      </c>
      <c r="M18468">
        <v>1</v>
      </c>
      <c r="N18468">
        <v>4.3825800000000004E-9</v>
      </c>
      <c r="O18468">
        <v>141</v>
      </c>
    </row>
    <row r="18469" spans="1:15" x14ac:dyDescent="0.25">
      <c r="A18469" t="s">
        <v>18482</v>
      </c>
      <c r="B18469">
        <v>833</v>
      </c>
      <c r="C18469" s="1" t="str">
        <f>HYPERLINK("http://www.rosaceae.org/gb/gbrowse/malus_x_domestica/?name=MDP0000226967","MDP0000226967")</f>
        <v>MDP0000226967</v>
      </c>
      <c r="D18469">
        <v>78.16</v>
      </c>
      <c r="E18469">
        <v>838</v>
      </c>
      <c r="F18469">
        <v>183</v>
      </c>
      <c r="G18469">
        <v>44</v>
      </c>
      <c r="H18469">
        <v>15</v>
      </c>
      <c r="I18469">
        <v>833</v>
      </c>
      <c r="J18469">
        <v>1</v>
      </c>
      <c r="K18469">
        <v>20</v>
      </c>
      <c r="L18469">
        <v>832</v>
      </c>
      <c r="M18469">
        <v>1</v>
      </c>
      <c r="N18469">
        <v>0</v>
      </c>
      <c r="O18469">
        <v>3413</v>
      </c>
    </row>
    <row r="18470" spans="1:15" x14ac:dyDescent="0.25">
      <c r="A18470" t="s">
        <v>18483</v>
      </c>
      <c r="B18470">
        <v>573</v>
      </c>
      <c r="C18470" s="1" t="str">
        <f>HYPERLINK("http://www.rosaceae.org/gb/gbrowse/malus_x_domestica/?name=MDP0000197586","MDP0000197586")</f>
        <v>MDP0000197586</v>
      </c>
      <c r="D18470">
        <v>38.68</v>
      </c>
      <c r="E18470">
        <v>517</v>
      </c>
      <c r="F18470">
        <v>317</v>
      </c>
      <c r="G18470">
        <v>127</v>
      </c>
      <c r="H18470">
        <v>32</v>
      </c>
      <c r="I18470">
        <v>448</v>
      </c>
      <c r="J18470">
        <v>1</v>
      </c>
      <c r="K18470">
        <v>21</v>
      </c>
      <c r="L18470">
        <v>510</v>
      </c>
      <c r="M18470">
        <v>1</v>
      </c>
      <c r="N18470">
        <v>3.7706000000000002E-71</v>
      </c>
      <c r="O18470">
        <v>681</v>
      </c>
    </row>
    <row r="18471" spans="1:15" x14ac:dyDescent="0.25">
      <c r="A18471" t="s">
        <v>18484</v>
      </c>
      <c r="B18471">
        <v>293</v>
      </c>
      <c r="C18471" s="1" t="str">
        <f>HYPERLINK("http://www.rosaceae.org/gb/gbrowse/malus_x_domestica/?name=MDP0000309351","MDP0000309351")</f>
        <v>MDP0000309351</v>
      </c>
      <c r="D18471">
        <v>59.38</v>
      </c>
      <c r="E18471">
        <v>325</v>
      </c>
      <c r="F18471">
        <v>132</v>
      </c>
      <c r="G18471">
        <v>46</v>
      </c>
      <c r="H18471">
        <v>1</v>
      </c>
      <c r="I18471">
        <v>292</v>
      </c>
      <c r="J18471">
        <v>1</v>
      </c>
      <c r="K18471">
        <v>338</v>
      </c>
      <c r="L18471">
        <v>649</v>
      </c>
      <c r="M18471">
        <v>1</v>
      </c>
      <c r="N18471">
        <v>1.2616499999999999E-97</v>
      </c>
      <c r="O18471">
        <v>906</v>
      </c>
    </row>
    <row r="18472" spans="1:15" x14ac:dyDescent="0.25">
      <c r="A18472" t="s">
        <v>18485</v>
      </c>
      <c r="B18472">
        <v>592</v>
      </c>
      <c r="C18472" s="1" t="str">
        <f>HYPERLINK("http://www.rosaceae.org/gb/gbrowse/malus_x_domestica/?name=MDP0000573665","MDP0000573665")</f>
        <v>MDP0000573665</v>
      </c>
      <c r="D18472">
        <v>94.59</v>
      </c>
      <c r="E18472">
        <v>37</v>
      </c>
      <c r="F18472">
        <v>2</v>
      </c>
      <c r="G18472">
        <v>0</v>
      </c>
      <c r="H18472">
        <v>6</v>
      </c>
      <c r="I18472">
        <v>42</v>
      </c>
      <c r="J18472">
        <v>1</v>
      </c>
      <c r="K18472">
        <v>17</v>
      </c>
      <c r="L18472">
        <v>53</v>
      </c>
      <c r="M18472">
        <v>1</v>
      </c>
      <c r="N18472">
        <v>8.3132499999999999E-15</v>
      </c>
      <c r="O18472">
        <v>195</v>
      </c>
    </row>
    <row r="18473" spans="1:15" x14ac:dyDescent="0.25">
      <c r="A18473" t="s">
        <v>18486</v>
      </c>
      <c r="B18473">
        <v>209</v>
      </c>
      <c r="C18473" s="1" t="str">
        <f>HYPERLINK("http://www.rosaceae.org/gb/gbrowse/malus_x_domestica/?name=MDP0000222441","MDP0000222441")</f>
        <v>MDP0000222441</v>
      </c>
      <c r="D18473">
        <v>72.849999999999994</v>
      </c>
      <c r="E18473">
        <v>210</v>
      </c>
      <c r="F18473">
        <v>57</v>
      </c>
      <c r="G18473">
        <v>2</v>
      </c>
      <c r="H18473">
        <v>1</v>
      </c>
      <c r="I18473">
        <v>209</v>
      </c>
      <c r="J18473">
        <v>1</v>
      </c>
      <c r="K18473">
        <v>29</v>
      </c>
      <c r="L18473">
        <v>237</v>
      </c>
      <c r="M18473">
        <v>1</v>
      </c>
      <c r="N18473">
        <v>2.7806800000000002E-84</v>
      </c>
      <c r="O18473">
        <v>789</v>
      </c>
    </row>
    <row r="18474" spans="1:15" x14ac:dyDescent="0.25">
      <c r="A18474" t="s">
        <v>18487</v>
      </c>
      <c r="B18474">
        <v>442</v>
      </c>
      <c r="C18474" s="1" t="str">
        <f>HYPERLINK("http://www.rosaceae.org/gb/gbrowse/malus_x_domestica/?name=MDP0000317475","MDP0000317475")</f>
        <v>MDP0000317475</v>
      </c>
      <c r="D18474">
        <v>64</v>
      </c>
      <c r="E18474">
        <v>450</v>
      </c>
      <c r="F18474">
        <v>162</v>
      </c>
      <c r="G18474">
        <v>28</v>
      </c>
      <c r="H18474">
        <v>1</v>
      </c>
      <c r="I18474">
        <v>426</v>
      </c>
      <c r="J18474">
        <v>1</v>
      </c>
      <c r="K18474">
        <v>683</v>
      </c>
      <c r="L18474">
        <v>1128</v>
      </c>
      <c r="M18474">
        <v>1</v>
      </c>
      <c r="N18474">
        <v>5.4017700000000003E-151</v>
      </c>
      <c r="O18474">
        <v>1368</v>
      </c>
    </row>
    <row r="18475" spans="1:15" x14ac:dyDescent="0.25">
      <c r="A18475" t="s">
        <v>18488</v>
      </c>
      <c r="B18475">
        <v>520</v>
      </c>
      <c r="C18475" s="1" t="str">
        <f>HYPERLINK("http://www.rosaceae.org/gb/gbrowse/malus_x_domestica/?name=MDP0000181135","MDP0000181135")</f>
        <v>MDP0000181135</v>
      </c>
      <c r="D18475">
        <v>46.47</v>
      </c>
      <c r="E18475">
        <v>454</v>
      </c>
      <c r="F18475">
        <v>243</v>
      </c>
      <c r="G18475">
        <v>39</v>
      </c>
      <c r="H18475">
        <v>1</v>
      </c>
      <c r="I18475">
        <v>443</v>
      </c>
      <c r="J18475">
        <v>1</v>
      </c>
      <c r="K18475">
        <v>1</v>
      </c>
      <c r="L18475">
        <v>426</v>
      </c>
      <c r="M18475">
        <v>1</v>
      </c>
      <c r="N18475">
        <v>2.9422600000000001E-98</v>
      </c>
      <c r="O18475">
        <v>914</v>
      </c>
    </row>
    <row r="18476" spans="1:15" x14ac:dyDescent="0.25">
      <c r="A18476" t="s">
        <v>18489</v>
      </c>
      <c r="B18476">
        <v>679</v>
      </c>
      <c r="C18476" s="1" t="str">
        <f>HYPERLINK("http://www.rosaceae.org/gb/gbrowse/malus_x_domestica/?name=MDP0000210431","MDP0000210431")</f>
        <v>MDP0000210431</v>
      </c>
      <c r="D18476">
        <v>76.010000000000005</v>
      </c>
      <c r="E18476">
        <v>692</v>
      </c>
      <c r="F18476">
        <v>166</v>
      </c>
      <c r="G18476">
        <v>54</v>
      </c>
      <c r="H18476">
        <v>11</v>
      </c>
      <c r="I18476">
        <v>679</v>
      </c>
      <c r="J18476">
        <v>1</v>
      </c>
      <c r="K18476">
        <v>11</v>
      </c>
      <c r="L18476">
        <v>671</v>
      </c>
      <c r="M18476">
        <v>1</v>
      </c>
      <c r="N18476">
        <v>0</v>
      </c>
      <c r="O18476">
        <v>2715</v>
      </c>
    </row>
    <row r="18477" spans="1:15" x14ac:dyDescent="0.25">
      <c r="A18477" t="s">
        <v>18490</v>
      </c>
      <c r="B18477">
        <v>485</v>
      </c>
      <c r="C18477" s="1" t="str">
        <f>HYPERLINK("http://www.rosaceae.org/gb/gbrowse/malus_x_domestica/?name=MDP0000157943","MDP0000157943")</f>
        <v>MDP0000157943</v>
      </c>
      <c r="D18477">
        <v>45.81</v>
      </c>
      <c r="E18477">
        <v>502</v>
      </c>
      <c r="F18477">
        <v>272</v>
      </c>
      <c r="G18477">
        <v>53</v>
      </c>
      <c r="H18477">
        <v>24</v>
      </c>
      <c r="I18477">
        <v>480</v>
      </c>
      <c r="J18477">
        <v>1</v>
      </c>
      <c r="K18477">
        <v>22</v>
      </c>
      <c r="L18477">
        <v>515</v>
      </c>
      <c r="M18477">
        <v>1</v>
      </c>
      <c r="N18477">
        <v>5.8147000000000004E-112</v>
      </c>
      <c r="O18477">
        <v>1032</v>
      </c>
    </row>
    <row r="18478" spans="1:15" x14ac:dyDescent="0.25">
      <c r="A18478" t="s">
        <v>18491</v>
      </c>
      <c r="B18478">
        <v>591</v>
      </c>
      <c r="C18478" s="1" t="str">
        <f>HYPERLINK("http://www.rosaceae.org/gb/gbrowse/malus_x_domestica/?name=MDP0000314752","MDP0000314752")</f>
        <v>MDP0000314752</v>
      </c>
      <c r="D18478">
        <v>41.04</v>
      </c>
      <c r="E18478">
        <v>363</v>
      </c>
      <c r="F18478">
        <v>214</v>
      </c>
      <c r="G18478">
        <v>80</v>
      </c>
      <c r="H18478">
        <v>182</v>
      </c>
      <c r="I18478">
        <v>544</v>
      </c>
      <c r="J18478">
        <v>1</v>
      </c>
      <c r="K18478">
        <v>1</v>
      </c>
      <c r="L18478">
        <v>283</v>
      </c>
      <c r="M18478">
        <v>1</v>
      </c>
      <c r="N18478">
        <v>6.4712400000000003E-66</v>
      </c>
      <c r="O18478">
        <v>636</v>
      </c>
    </row>
    <row r="18479" spans="1:15" x14ac:dyDescent="0.25">
      <c r="A18479" t="s">
        <v>18492</v>
      </c>
      <c r="B18479">
        <v>812</v>
      </c>
      <c r="C18479" s="1" t="str">
        <f>HYPERLINK("http://www.rosaceae.org/gb/gbrowse/malus_x_domestica/?name=MDP0000287403","MDP0000287403")</f>
        <v>MDP0000287403</v>
      </c>
      <c r="D18479">
        <v>87.92</v>
      </c>
      <c r="E18479">
        <v>505</v>
      </c>
      <c r="F18479">
        <v>61</v>
      </c>
      <c r="G18479">
        <v>4</v>
      </c>
      <c r="H18479">
        <v>311</v>
      </c>
      <c r="I18479">
        <v>812</v>
      </c>
      <c r="J18479">
        <v>1</v>
      </c>
      <c r="K18479">
        <v>29</v>
      </c>
      <c r="L18479">
        <v>532</v>
      </c>
      <c r="M18479">
        <v>1</v>
      </c>
      <c r="N18479">
        <v>0</v>
      </c>
      <c r="O18479">
        <v>2342</v>
      </c>
    </row>
    <row r="18480" spans="1:15" x14ac:dyDescent="0.25">
      <c r="A18480" t="s">
        <v>18493</v>
      </c>
      <c r="B18480">
        <v>287</v>
      </c>
      <c r="C18480" s="1" t="str">
        <f>HYPERLINK("http://www.rosaceae.org/gb/gbrowse/malus_x_domestica/?name=MDP0000159326","MDP0000159326")</f>
        <v>MDP0000159326</v>
      </c>
      <c r="D18480">
        <v>41.63</v>
      </c>
      <c r="E18480">
        <v>281</v>
      </c>
      <c r="F18480">
        <v>164</v>
      </c>
      <c r="G18480">
        <v>45</v>
      </c>
      <c r="H18480">
        <v>2</v>
      </c>
      <c r="I18480">
        <v>237</v>
      </c>
      <c r="J18480">
        <v>1</v>
      </c>
      <c r="K18480">
        <v>27</v>
      </c>
      <c r="L18480">
        <v>307</v>
      </c>
      <c r="M18480">
        <v>1</v>
      </c>
      <c r="N18480">
        <v>5.2407699999999997E-56</v>
      </c>
      <c r="O18480">
        <v>547</v>
      </c>
    </row>
    <row r="18481" spans="1:15" x14ac:dyDescent="0.25">
      <c r="A18481" t="s">
        <v>18494</v>
      </c>
      <c r="B18481">
        <v>377</v>
      </c>
      <c r="C18481" s="1" t="str">
        <f>HYPERLINK("http://www.rosaceae.org/gb/gbrowse/malus_x_domestica/?name=MDP0000282687","MDP0000282687")</f>
        <v>MDP0000282687</v>
      </c>
      <c r="D18481">
        <v>27.41</v>
      </c>
      <c r="E18481">
        <v>383</v>
      </c>
      <c r="F18481">
        <v>278</v>
      </c>
      <c r="G18481">
        <v>67</v>
      </c>
      <c r="H18481">
        <v>6</v>
      </c>
      <c r="I18481">
        <v>375</v>
      </c>
      <c r="J18481">
        <v>1</v>
      </c>
      <c r="K18481">
        <v>439</v>
      </c>
      <c r="L18481">
        <v>767</v>
      </c>
      <c r="M18481">
        <v>1</v>
      </c>
      <c r="N18481">
        <v>1.1400300000000001E-18</v>
      </c>
      <c r="O18481">
        <v>226</v>
      </c>
    </row>
    <row r="18482" spans="1:15" x14ac:dyDescent="0.25">
      <c r="A18482" t="s">
        <v>18495</v>
      </c>
      <c r="B18482">
        <v>715</v>
      </c>
      <c r="C18482" s="1" t="str">
        <f>HYPERLINK("http://www.rosaceae.org/gb/gbrowse/malus_x_domestica/?name=MDP0000293613","MDP0000293613")</f>
        <v>MDP0000293613</v>
      </c>
      <c r="D18482">
        <v>83.47</v>
      </c>
      <c r="E18482">
        <v>605</v>
      </c>
      <c r="F18482">
        <v>100</v>
      </c>
      <c r="G18482">
        <v>1</v>
      </c>
      <c r="H18482">
        <v>24</v>
      </c>
      <c r="I18482">
        <v>627</v>
      </c>
      <c r="J18482">
        <v>1</v>
      </c>
      <c r="K18482">
        <v>24</v>
      </c>
      <c r="L18482">
        <v>628</v>
      </c>
      <c r="M18482">
        <v>1</v>
      </c>
      <c r="N18482">
        <v>0</v>
      </c>
      <c r="O18482">
        <v>2740</v>
      </c>
    </row>
    <row r="18483" spans="1:15" x14ac:dyDescent="0.25">
      <c r="A18483" t="s">
        <v>18496</v>
      </c>
      <c r="B18483">
        <v>168</v>
      </c>
      <c r="C18483" s="1" t="str">
        <f>HYPERLINK("http://www.rosaceae.org/gb/gbrowse/malus_x_domestica/?name=MDP0000207132","MDP0000207132")</f>
        <v>MDP0000207132</v>
      </c>
      <c r="D18483">
        <v>30.45</v>
      </c>
      <c r="E18483">
        <v>174</v>
      </c>
      <c r="F18483">
        <v>121</v>
      </c>
      <c r="G18483">
        <v>8</v>
      </c>
      <c r="H18483">
        <v>1</v>
      </c>
      <c r="I18483">
        <v>166</v>
      </c>
      <c r="J18483">
        <v>1</v>
      </c>
      <c r="K18483">
        <v>9</v>
      </c>
      <c r="L18483">
        <v>182</v>
      </c>
      <c r="M18483">
        <v>1</v>
      </c>
      <c r="N18483">
        <v>3.41517E-23</v>
      </c>
      <c r="O18483">
        <v>260</v>
      </c>
    </row>
    <row r="18484" spans="1:15" x14ac:dyDescent="0.25">
      <c r="A18484" t="s">
        <v>18497</v>
      </c>
      <c r="B18484">
        <v>1429</v>
      </c>
      <c r="C18484" s="1" t="str">
        <f>HYPERLINK("http://www.rosaceae.org/gb/gbrowse/malus_x_domestica/?name=MDP0000715244","MDP0000715244")</f>
        <v>MDP0000715244</v>
      </c>
      <c r="D18484">
        <v>70.09</v>
      </c>
      <c r="E18484">
        <v>943</v>
      </c>
      <c r="F18484">
        <v>282</v>
      </c>
      <c r="G18484">
        <v>12</v>
      </c>
      <c r="H18484">
        <v>190</v>
      </c>
      <c r="I18484">
        <v>1128</v>
      </c>
      <c r="J18484">
        <v>1</v>
      </c>
      <c r="K18484">
        <v>1</v>
      </c>
      <c r="L18484">
        <v>935</v>
      </c>
      <c r="M18484">
        <v>1</v>
      </c>
      <c r="N18484">
        <v>0</v>
      </c>
      <c r="O18484">
        <v>3395</v>
      </c>
    </row>
    <row r="18485" spans="1:15" x14ac:dyDescent="0.25">
      <c r="A18485" t="s">
        <v>18498</v>
      </c>
      <c r="B18485">
        <v>479</v>
      </c>
      <c r="C18485" s="1" t="str">
        <f>HYPERLINK("http://www.rosaceae.org/gb/gbrowse/malus_x_domestica/?name=MDP0000145734","MDP0000145734")</f>
        <v>MDP0000145734</v>
      </c>
      <c r="D18485">
        <v>84.93</v>
      </c>
      <c r="E18485">
        <v>438</v>
      </c>
      <c r="F18485">
        <v>66</v>
      </c>
      <c r="G18485">
        <v>7</v>
      </c>
      <c r="H18485">
        <v>29</v>
      </c>
      <c r="I18485">
        <v>465</v>
      </c>
      <c r="J18485">
        <v>1</v>
      </c>
      <c r="K18485">
        <v>1</v>
      </c>
      <c r="L18485">
        <v>432</v>
      </c>
      <c r="M18485">
        <v>1</v>
      </c>
      <c r="N18485">
        <v>0</v>
      </c>
      <c r="O18485">
        <v>1919</v>
      </c>
    </row>
    <row r="18486" spans="1:15" x14ac:dyDescent="0.25">
      <c r="A18486" t="s">
        <v>18499</v>
      </c>
      <c r="B18486">
        <v>1186</v>
      </c>
      <c r="C18486" s="1" t="str">
        <f>HYPERLINK("http://www.rosaceae.org/gb/gbrowse/malus_x_domestica/?name=MDP0000667398","MDP0000667398")</f>
        <v>MDP0000667398</v>
      </c>
      <c r="D18486">
        <v>52</v>
      </c>
      <c r="E18486">
        <v>1298</v>
      </c>
      <c r="F18486">
        <v>623</v>
      </c>
      <c r="G18486">
        <v>150</v>
      </c>
      <c r="H18486">
        <v>1</v>
      </c>
      <c r="I18486">
        <v>1184</v>
      </c>
      <c r="J18486">
        <v>1</v>
      </c>
      <c r="K18486">
        <v>1</v>
      </c>
      <c r="L18486">
        <v>1262</v>
      </c>
      <c r="M18486">
        <v>1</v>
      </c>
      <c r="N18486">
        <v>0</v>
      </c>
      <c r="O18486">
        <v>2880</v>
      </c>
    </row>
    <row r="18487" spans="1:15" x14ac:dyDescent="0.25">
      <c r="A18487" t="s">
        <v>18500</v>
      </c>
      <c r="B18487">
        <v>332</v>
      </c>
      <c r="C18487" s="1" t="str">
        <f>HYPERLINK("http://www.rosaceae.org/gb/gbrowse/malus_x_domestica/?name=MDP0000200355","MDP0000200355")</f>
        <v>MDP0000200355</v>
      </c>
      <c r="D18487">
        <v>76.78</v>
      </c>
      <c r="E18487">
        <v>224</v>
      </c>
      <c r="F18487">
        <v>52</v>
      </c>
      <c r="G18487">
        <v>10</v>
      </c>
      <c r="H18487">
        <v>78</v>
      </c>
      <c r="I18487">
        <v>293</v>
      </c>
      <c r="J18487">
        <v>1</v>
      </c>
      <c r="K18487">
        <v>273</v>
      </c>
      <c r="L18487">
        <v>494</v>
      </c>
      <c r="M18487">
        <v>1</v>
      </c>
      <c r="N18487">
        <v>1.47321E-92</v>
      </c>
      <c r="O18487">
        <v>863</v>
      </c>
    </row>
    <row r="18488" spans="1:15" x14ac:dyDescent="0.25">
      <c r="A18488" t="s">
        <v>18501</v>
      </c>
      <c r="B18488">
        <v>138</v>
      </c>
      <c r="C18488" s="1" t="str">
        <f>HYPERLINK("http://www.rosaceae.org/gb/gbrowse/malus_x_domestica/?name=MDP0000322220","MDP0000322220")</f>
        <v>MDP0000322220</v>
      </c>
      <c r="D18488">
        <v>88.13</v>
      </c>
      <c r="E18488">
        <v>59</v>
      </c>
      <c r="F18488">
        <v>7</v>
      </c>
      <c r="G18488">
        <v>0</v>
      </c>
      <c r="H18488">
        <v>3</v>
      </c>
      <c r="I18488">
        <v>61</v>
      </c>
      <c r="J18488">
        <v>1</v>
      </c>
      <c r="K18488">
        <v>437</v>
      </c>
      <c r="L18488">
        <v>495</v>
      </c>
      <c r="M18488">
        <v>1</v>
      </c>
      <c r="N18488">
        <v>3.8983499999999999E-26</v>
      </c>
      <c r="O18488">
        <v>284</v>
      </c>
    </row>
    <row r="18489" spans="1:15" x14ac:dyDescent="0.25">
      <c r="A18489" t="s">
        <v>18502</v>
      </c>
      <c r="B18489">
        <v>485</v>
      </c>
      <c r="C18489" s="1" t="str">
        <f>HYPERLINK("http://www.rosaceae.org/gb/gbrowse/malus_x_domestica/?name=MDP0000131897","MDP0000131897")</f>
        <v>MDP0000131897</v>
      </c>
      <c r="D18489">
        <v>34.92</v>
      </c>
      <c r="E18489">
        <v>209</v>
      </c>
      <c r="F18489">
        <v>136</v>
      </c>
      <c r="G18489">
        <v>41</v>
      </c>
      <c r="H18489">
        <v>216</v>
      </c>
      <c r="I18489">
        <v>397</v>
      </c>
      <c r="J18489">
        <v>1</v>
      </c>
      <c r="K18489">
        <v>61</v>
      </c>
      <c r="L18489">
        <v>255</v>
      </c>
      <c r="M18489">
        <v>1</v>
      </c>
      <c r="N18489">
        <v>1.3323299999999999E-14</v>
      </c>
      <c r="O18489">
        <v>192</v>
      </c>
    </row>
    <row r="18490" spans="1:15" x14ac:dyDescent="0.25">
      <c r="A18490" t="s">
        <v>18503</v>
      </c>
      <c r="B18490">
        <v>284</v>
      </c>
      <c r="C18490" s="1" t="str">
        <f>HYPERLINK("http://www.rosaceae.org/gb/gbrowse/malus_x_domestica/?name=MDP0000427750","MDP0000427750")</f>
        <v>MDP0000427750</v>
      </c>
      <c r="D18490">
        <v>55.72</v>
      </c>
      <c r="E18490">
        <v>192</v>
      </c>
      <c r="F18490">
        <v>85</v>
      </c>
      <c r="G18490">
        <v>14</v>
      </c>
      <c r="H18490">
        <v>1</v>
      </c>
      <c r="I18490">
        <v>180</v>
      </c>
      <c r="J18490">
        <v>1</v>
      </c>
      <c r="K18490">
        <v>1</v>
      </c>
      <c r="L18490">
        <v>190</v>
      </c>
      <c r="M18490">
        <v>1</v>
      </c>
      <c r="N18490">
        <v>1.3812199999999999E-52</v>
      </c>
      <c r="O18490">
        <v>517</v>
      </c>
    </row>
    <row r="18491" spans="1:15" x14ac:dyDescent="0.25">
      <c r="A18491" t="s">
        <v>18504</v>
      </c>
      <c r="B18491">
        <v>559</v>
      </c>
      <c r="C18491" s="1" t="str">
        <f>HYPERLINK("http://www.rosaceae.org/gb/gbrowse/malus_x_domestica/?name=MDP0000279507","MDP0000279507")</f>
        <v>MDP0000279507</v>
      </c>
      <c r="D18491">
        <v>64.42</v>
      </c>
      <c r="E18491">
        <v>371</v>
      </c>
      <c r="F18491">
        <v>132</v>
      </c>
      <c r="G18491">
        <v>19</v>
      </c>
      <c r="H18491">
        <v>9</v>
      </c>
      <c r="I18491">
        <v>360</v>
      </c>
      <c r="J18491">
        <v>1</v>
      </c>
      <c r="K18491">
        <v>312</v>
      </c>
      <c r="L18491">
        <v>682</v>
      </c>
      <c r="M18491">
        <v>1</v>
      </c>
      <c r="N18491">
        <v>3.9506600000000003E-121</v>
      </c>
      <c r="O18491">
        <v>1112</v>
      </c>
    </row>
    <row r="18492" spans="1:15" x14ac:dyDescent="0.25">
      <c r="A18492" t="s">
        <v>18505</v>
      </c>
      <c r="B18492">
        <v>142</v>
      </c>
      <c r="C18492" s="1" t="str">
        <f>HYPERLINK("http://www.rosaceae.org/gb/gbrowse/malus_x_domestica/?name=MDP0000896035","MDP0000896035")</f>
        <v>MDP0000896035</v>
      </c>
      <c r="D18492">
        <v>81.69</v>
      </c>
      <c r="E18492">
        <v>142</v>
      </c>
      <c r="F18492">
        <v>26</v>
      </c>
      <c r="G18492">
        <v>2</v>
      </c>
      <c r="H18492">
        <v>1</v>
      </c>
      <c r="I18492">
        <v>140</v>
      </c>
      <c r="J18492">
        <v>1</v>
      </c>
      <c r="K18492">
        <v>1</v>
      </c>
      <c r="L18492">
        <v>142</v>
      </c>
      <c r="M18492">
        <v>1</v>
      </c>
      <c r="N18492">
        <v>6.7569999999999997E-63</v>
      </c>
      <c r="O18492">
        <v>601</v>
      </c>
    </row>
    <row r="18493" spans="1:15" x14ac:dyDescent="0.25">
      <c r="A18493" t="s">
        <v>18506</v>
      </c>
      <c r="B18493">
        <v>534</v>
      </c>
      <c r="C18493" s="1" t="str">
        <f>HYPERLINK("http://www.rosaceae.org/gb/gbrowse/malus_x_domestica/?name=MDP0000793166","MDP0000793166")</f>
        <v>MDP0000793166</v>
      </c>
      <c r="D18493">
        <v>71.13</v>
      </c>
      <c r="E18493">
        <v>336</v>
      </c>
      <c r="F18493">
        <v>97</v>
      </c>
      <c r="G18493">
        <v>16</v>
      </c>
      <c r="H18493">
        <v>1</v>
      </c>
      <c r="I18493">
        <v>320</v>
      </c>
      <c r="J18493">
        <v>1</v>
      </c>
      <c r="K18493">
        <v>1</v>
      </c>
      <c r="L18493">
        <v>336</v>
      </c>
      <c r="M18493">
        <v>1</v>
      </c>
      <c r="N18493">
        <v>5.6679799999999999E-139</v>
      </c>
      <c r="O18493">
        <v>1265</v>
      </c>
    </row>
    <row r="18494" spans="1:15" x14ac:dyDescent="0.25">
      <c r="A18494" t="s">
        <v>18507</v>
      </c>
      <c r="B18494">
        <v>265</v>
      </c>
      <c r="C18494" s="1" t="str">
        <f>HYPERLINK("http://www.rosaceae.org/gb/gbrowse/malus_x_domestica/?name=MDP0000320742","MDP0000320742")</f>
        <v>MDP0000320742</v>
      </c>
      <c r="D18494">
        <v>68.150000000000006</v>
      </c>
      <c r="E18494">
        <v>179</v>
      </c>
      <c r="F18494">
        <v>57</v>
      </c>
      <c r="G18494">
        <v>8</v>
      </c>
      <c r="H18494">
        <v>86</v>
      </c>
      <c r="I18494">
        <v>264</v>
      </c>
      <c r="J18494">
        <v>1</v>
      </c>
      <c r="K18494">
        <v>72</v>
      </c>
      <c r="L18494">
        <v>242</v>
      </c>
      <c r="M18494">
        <v>1</v>
      </c>
      <c r="N18494">
        <v>6.2694099999999998E-66</v>
      </c>
      <c r="O18494">
        <v>632</v>
      </c>
    </row>
    <row r="18495" spans="1:15" x14ac:dyDescent="0.25">
      <c r="A18495" t="s">
        <v>18508</v>
      </c>
      <c r="B18495">
        <v>629</v>
      </c>
      <c r="C18495" s="1" t="str">
        <f>HYPERLINK("http://www.rosaceae.org/gb/gbrowse/malus_x_domestica/?name=MDP0000175375","MDP0000175375")</f>
        <v>MDP0000175375</v>
      </c>
      <c r="D18495">
        <v>50</v>
      </c>
      <c r="E18495">
        <v>258</v>
      </c>
      <c r="F18495">
        <v>129</v>
      </c>
      <c r="G18495">
        <v>28</v>
      </c>
      <c r="H18495">
        <v>80</v>
      </c>
      <c r="I18495">
        <v>311</v>
      </c>
      <c r="J18495">
        <v>1</v>
      </c>
      <c r="K18495">
        <v>1</v>
      </c>
      <c r="L18495">
        <v>256</v>
      </c>
      <c r="M18495">
        <v>1</v>
      </c>
      <c r="N18495">
        <v>1.43954E-53</v>
      </c>
      <c r="O18495">
        <v>529</v>
      </c>
    </row>
    <row r="18496" spans="1:15" x14ac:dyDescent="0.25">
      <c r="A18496" t="s">
        <v>18509</v>
      </c>
      <c r="B18496">
        <v>1049</v>
      </c>
      <c r="C18496" s="1" t="str">
        <f>HYPERLINK("http://www.rosaceae.org/gb/gbrowse/malus_x_domestica/?name=MDP0000820483","MDP0000820483")</f>
        <v>MDP0000820483</v>
      </c>
      <c r="D18496">
        <v>72.959999999999994</v>
      </c>
      <c r="E18496">
        <v>1054</v>
      </c>
      <c r="F18496">
        <v>285</v>
      </c>
      <c r="G18496">
        <v>6</v>
      </c>
      <c r="H18496">
        <v>1</v>
      </c>
      <c r="I18496">
        <v>1049</v>
      </c>
      <c r="J18496">
        <v>1</v>
      </c>
      <c r="K18496">
        <v>1</v>
      </c>
      <c r="L18496">
        <v>1053</v>
      </c>
      <c r="M18496">
        <v>1</v>
      </c>
      <c r="N18496">
        <v>0</v>
      </c>
      <c r="O18496">
        <v>3912</v>
      </c>
    </row>
    <row r="18497" spans="1:15" x14ac:dyDescent="0.25">
      <c r="A18497" t="s">
        <v>18510</v>
      </c>
      <c r="B18497">
        <v>646</v>
      </c>
      <c r="C18497" s="1" t="str">
        <f>HYPERLINK("http://www.rosaceae.org/gb/gbrowse/malus_x_domestica/?name=MDP0000243770","MDP0000243770")</f>
        <v>MDP0000243770</v>
      </c>
      <c r="D18497">
        <v>66.83</v>
      </c>
      <c r="E18497">
        <v>193</v>
      </c>
      <c r="F18497">
        <v>64</v>
      </c>
      <c r="G18497">
        <v>2</v>
      </c>
      <c r="H18497">
        <v>3</v>
      </c>
      <c r="I18497">
        <v>195</v>
      </c>
      <c r="J18497">
        <v>1</v>
      </c>
      <c r="K18497">
        <v>1</v>
      </c>
      <c r="L18497">
        <v>191</v>
      </c>
      <c r="M18497">
        <v>1</v>
      </c>
      <c r="N18497">
        <v>1.86872E-70</v>
      </c>
      <c r="O18497">
        <v>675</v>
      </c>
    </row>
    <row r="18498" spans="1:15" x14ac:dyDescent="0.25">
      <c r="A18498" t="s">
        <v>18511</v>
      </c>
      <c r="B18498">
        <v>761</v>
      </c>
      <c r="C18498" s="1" t="str">
        <f>HYPERLINK("http://www.rosaceae.org/gb/gbrowse/malus_x_domestica/?name=MDP0000694227","MDP0000694227")</f>
        <v>MDP0000694227</v>
      </c>
      <c r="D18498">
        <v>76.650000000000006</v>
      </c>
      <c r="E18498">
        <v>681</v>
      </c>
      <c r="F18498">
        <v>159</v>
      </c>
      <c r="G18498">
        <v>26</v>
      </c>
      <c r="H18498">
        <v>106</v>
      </c>
      <c r="I18498">
        <v>761</v>
      </c>
      <c r="J18498">
        <v>1</v>
      </c>
      <c r="K18498">
        <v>234</v>
      </c>
      <c r="L18498">
        <v>913</v>
      </c>
      <c r="M18498">
        <v>1</v>
      </c>
      <c r="N18498">
        <v>0</v>
      </c>
      <c r="O18498">
        <v>2769</v>
      </c>
    </row>
    <row r="18499" spans="1:15" x14ac:dyDescent="0.25">
      <c r="A18499" t="s">
        <v>18512</v>
      </c>
      <c r="B18499">
        <v>355</v>
      </c>
      <c r="C18499" s="1" t="str">
        <f>HYPERLINK("http://www.rosaceae.org/gb/gbrowse/malus_x_domestica/?name=MDP0000283649","MDP0000283649")</f>
        <v>MDP0000283649</v>
      </c>
      <c r="D18499">
        <v>73.94</v>
      </c>
      <c r="E18499">
        <v>357</v>
      </c>
      <c r="F18499">
        <v>93</v>
      </c>
      <c r="G18499">
        <v>3</v>
      </c>
      <c r="H18499">
        <v>1</v>
      </c>
      <c r="I18499">
        <v>354</v>
      </c>
      <c r="J18499">
        <v>1</v>
      </c>
      <c r="K18499">
        <v>1</v>
      </c>
      <c r="L18499">
        <v>357</v>
      </c>
      <c r="M18499">
        <v>1</v>
      </c>
      <c r="N18499">
        <v>6.8604299999999996E-156</v>
      </c>
      <c r="O18499">
        <v>1409</v>
      </c>
    </row>
    <row r="18500" spans="1:15" x14ac:dyDescent="0.25">
      <c r="A18500" t="s">
        <v>18513</v>
      </c>
      <c r="B18500">
        <v>202</v>
      </c>
      <c r="C18500" s="1" t="str">
        <f>HYPERLINK("http://www.rosaceae.org/gb/gbrowse/malus_x_domestica/?name=MDP0000274056","MDP0000274056")</f>
        <v>MDP0000274056</v>
      </c>
      <c r="D18500">
        <v>54.12</v>
      </c>
      <c r="E18500">
        <v>194</v>
      </c>
      <c r="F18500">
        <v>89</v>
      </c>
      <c r="G18500">
        <v>1</v>
      </c>
      <c r="H18500">
        <v>2</v>
      </c>
      <c r="I18500">
        <v>194</v>
      </c>
      <c r="J18500">
        <v>1</v>
      </c>
      <c r="K18500">
        <v>105</v>
      </c>
      <c r="L18500">
        <v>298</v>
      </c>
      <c r="M18500">
        <v>1</v>
      </c>
      <c r="N18500">
        <v>3.8115100000000001E-53</v>
      </c>
      <c r="O18500">
        <v>520</v>
      </c>
    </row>
    <row r="18501" spans="1:15" x14ac:dyDescent="0.25">
      <c r="A18501" t="s">
        <v>18514</v>
      </c>
      <c r="B18501">
        <v>669</v>
      </c>
      <c r="C18501" s="1" t="str">
        <f>HYPERLINK("http://www.rosaceae.org/gb/gbrowse/malus_x_domestica/?name=MDP0000531847","MDP0000531847")</f>
        <v>MDP0000531847</v>
      </c>
      <c r="D18501">
        <v>69.66</v>
      </c>
      <c r="E18501">
        <v>689</v>
      </c>
      <c r="F18501">
        <v>209</v>
      </c>
      <c r="G18501">
        <v>31</v>
      </c>
      <c r="H18501">
        <v>2</v>
      </c>
      <c r="I18501">
        <v>663</v>
      </c>
      <c r="J18501">
        <v>1</v>
      </c>
      <c r="K18501">
        <v>13</v>
      </c>
      <c r="L18501">
        <v>697</v>
      </c>
      <c r="M18501">
        <v>1</v>
      </c>
      <c r="N18501">
        <v>0</v>
      </c>
      <c r="O18501">
        <v>2504</v>
      </c>
    </row>
    <row r="18502" spans="1:15" x14ac:dyDescent="0.25">
      <c r="A18502" t="s">
        <v>18515</v>
      </c>
      <c r="B18502">
        <v>565</v>
      </c>
      <c r="C18502" s="1" t="str">
        <f>HYPERLINK("http://www.rosaceae.org/gb/gbrowse/malus_x_domestica/?name=MDP0000244230","MDP0000244230")</f>
        <v>MDP0000244230</v>
      </c>
      <c r="D18502">
        <v>72.42</v>
      </c>
      <c r="E18502">
        <v>504</v>
      </c>
      <c r="F18502">
        <v>139</v>
      </c>
      <c r="G18502">
        <v>30</v>
      </c>
      <c r="H18502">
        <v>68</v>
      </c>
      <c r="I18502">
        <v>565</v>
      </c>
      <c r="J18502">
        <v>1</v>
      </c>
      <c r="K18502">
        <v>1</v>
      </c>
      <c r="L18502">
        <v>480</v>
      </c>
      <c r="M18502">
        <v>1</v>
      </c>
      <c r="N18502">
        <v>0</v>
      </c>
      <c r="O18502">
        <v>1858</v>
      </c>
    </row>
    <row r="18503" spans="1:15" x14ac:dyDescent="0.25">
      <c r="A18503" t="s">
        <v>18516</v>
      </c>
      <c r="B18503">
        <v>218</v>
      </c>
      <c r="C18503" s="1" t="str">
        <f>HYPERLINK("http://www.rosaceae.org/gb/gbrowse/malus_x_domestica/?name=MDP0000137468","MDP0000137468")</f>
        <v>MDP0000137468</v>
      </c>
      <c r="D18503">
        <v>42.35</v>
      </c>
      <c r="E18503">
        <v>229</v>
      </c>
      <c r="F18503">
        <v>132</v>
      </c>
      <c r="G18503">
        <v>17</v>
      </c>
      <c r="H18503">
        <v>1</v>
      </c>
      <c r="I18503">
        <v>218</v>
      </c>
      <c r="J18503">
        <v>1</v>
      </c>
      <c r="K18503">
        <v>1</v>
      </c>
      <c r="L18503">
        <v>223</v>
      </c>
      <c r="M18503">
        <v>1</v>
      </c>
      <c r="N18503">
        <v>2.00811E-39</v>
      </c>
      <c r="O18503">
        <v>402</v>
      </c>
    </row>
    <row r="18504" spans="1:15" x14ac:dyDescent="0.25">
      <c r="A18504" t="s">
        <v>18517</v>
      </c>
      <c r="B18504">
        <v>369</v>
      </c>
      <c r="C18504" s="1" t="str">
        <f>HYPERLINK("http://www.rosaceae.org/gb/gbrowse/malus_x_domestica/?name=MDP0000291710","MDP0000291710")</f>
        <v>MDP0000291710</v>
      </c>
      <c r="D18504">
        <v>37.93</v>
      </c>
      <c r="E18504">
        <v>261</v>
      </c>
      <c r="F18504">
        <v>162</v>
      </c>
      <c r="G18504">
        <v>41</v>
      </c>
      <c r="H18504">
        <v>31</v>
      </c>
      <c r="I18504">
        <v>255</v>
      </c>
      <c r="J18504">
        <v>1</v>
      </c>
      <c r="K18504">
        <v>104</v>
      </c>
      <c r="L18504">
        <v>359</v>
      </c>
      <c r="M18504">
        <v>1</v>
      </c>
      <c r="N18504">
        <v>2.3758399999999998E-30</v>
      </c>
      <c r="O18504">
        <v>327</v>
      </c>
    </row>
    <row r="18505" spans="1:15" x14ac:dyDescent="0.25">
      <c r="A18505" t="s">
        <v>18518</v>
      </c>
      <c r="B18505">
        <v>181</v>
      </c>
      <c r="C18505" s="1" t="str">
        <f>HYPERLINK("http://www.rosaceae.org/gb/gbrowse/malus_x_domestica/?name=MDP0000822752","MDP0000822752")</f>
        <v>MDP0000822752</v>
      </c>
      <c r="D18505">
        <v>77.930000000000007</v>
      </c>
      <c r="E18505">
        <v>145</v>
      </c>
      <c r="F18505">
        <v>32</v>
      </c>
      <c r="G18505">
        <v>0</v>
      </c>
      <c r="H18505">
        <v>8</v>
      </c>
      <c r="I18505">
        <v>152</v>
      </c>
      <c r="J18505">
        <v>1</v>
      </c>
      <c r="K18505">
        <v>21</v>
      </c>
      <c r="L18505">
        <v>165</v>
      </c>
      <c r="M18505">
        <v>1</v>
      </c>
      <c r="N18505">
        <v>1.7026799999999999E-65</v>
      </c>
      <c r="O18505">
        <v>626</v>
      </c>
    </row>
    <row r="18506" spans="1:15" x14ac:dyDescent="0.25">
      <c r="A18506" t="s">
        <v>18519</v>
      </c>
      <c r="B18506">
        <v>309</v>
      </c>
      <c r="C18506" s="1" t="str">
        <f>HYPERLINK("http://www.rosaceae.org/gb/gbrowse/malus_x_domestica/?name=MDP0000169010","MDP0000169010")</f>
        <v>MDP0000169010</v>
      </c>
      <c r="D18506">
        <v>49.83</v>
      </c>
      <c r="E18506">
        <v>309</v>
      </c>
      <c r="F18506">
        <v>155</v>
      </c>
      <c r="G18506">
        <v>7</v>
      </c>
      <c r="H18506">
        <v>5</v>
      </c>
      <c r="I18506">
        <v>306</v>
      </c>
      <c r="J18506">
        <v>1</v>
      </c>
      <c r="K18506">
        <v>89</v>
      </c>
      <c r="L18506">
        <v>397</v>
      </c>
      <c r="M18506">
        <v>1</v>
      </c>
      <c r="N18506">
        <v>2.8375699999999999E-84</v>
      </c>
      <c r="O18506">
        <v>791</v>
      </c>
    </row>
    <row r="18507" spans="1:15" x14ac:dyDescent="0.25">
      <c r="A18507" t="s">
        <v>18520</v>
      </c>
      <c r="B18507">
        <v>94</v>
      </c>
      <c r="C18507" s="1" t="str">
        <f>HYPERLINK("http://www.rosaceae.org/gb/gbrowse/malus_x_domestica/?name=MDP0000184265","MDP0000184265")</f>
        <v>MDP0000184265</v>
      </c>
      <c r="D18507">
        <v>67.849999999999994</v>
      </c>
      <c r="E18507">
        <v>56</v>
      </c>
      <c r="F18507">
        <v>18</v>
      </c>
      <c r="G18507">
        <v>1</v>
      </c>
      <c r="H18507">
        <v>30</v>
      </c>
      <c r="I18507">
        <v>84</v>
      </c>
      <c r="J18507">
        <v>1</v>
      </c>
      <c r="K18507">
        <v>707</v>
      </c>
      <c r="L18507">
        <v>762</v>
      </c>
      <c r="M18507">
        <v>1</v>
      </c>
      <c r="N18507">
        <v>2.62542E-15</v>
      </c>
      <c r="O18507">
        <v>189</v>
      </c>
    </row>
    <row r="18508" spans="1:15" x14ac:dyDescent="0.25">
      <c r="A18508" t="s">
        <v>18521</v>
      </c>
      <c r="B18508">
        <v>668</v>
      </c>
      <c r="C18508" s="1" t="str">
        <f>HYPERLINK("http://www.rosaceae.org/gb/gbrowse/malus_x_domestica/?name=MDP0000184133","MDP0000184133")</f>
        <v>MDP0000184133</v>
      </c>
      <c r="D18508">
        <v>74.34</v>
      </c>
      <c r="E18508">
        <v>647</v>
      </c>
      <c r="F18508">
        <v>166</v>
      </c>
      <c r="G18508">
        <v>10</v>
      </c>
      <c r="H18508">
        <v>28</v>
      </c>
      <c r="I18508">
        <v>668</v>
      </c>
      <c r="J18508">
        <v>1</v>
      </c>
      <c r="K18508">
        <v>26</v>
      </c>
      <c r="L18508">
        <v>668</v>
      </c>
      <c r="M18508">
        <v>1</v>
      </c>
      <c r="N18508">
        <v>0</v>
      </c>
      <c r="O18508">
        <v>2478</v>
      </c>
    </row>
    <row r="18509" spans="1:15" x14ac:dyDescent="0.25">
      <c r="A18509" t="s">
        <v>18522</v>
      </c>
      <c r="B18509">
        <v>1065</v>
      </c>
      <c r="C18509" s="1" t="str">
        <f>HYPERLINK("http://www.rosaceae.org/gb/gbrowse/malus_x_domestica/?name=MDP0000285251","MDP0000285251")</f>
        <v>MDP0000285251</v>
      </c>
      <c r="D18509">
        <v>66.400000000000006</v>
      </c>
      <c r="E18509">
        <v>899</v>
      </c>
      <c r="F18509">
        <v>302</v>
      </c>
      <c r="G18509">
        <v>106</v>
      </c>
      <c r="H18509">
        <v>199</v>
      </c>
      <c r="I18509">
        <v>1062</v>
      </c>
      <c r="J18509">
        <v>1</v>
      </c>
      <c r="K18509">
        <v>27</v>
      </c>
      <c r="L18509">
        <v>854</v>
      </c>
      <c r="M18509">
        <v>1</v>
      </c>
      <c r="N18509">
        <v>0</v>
      </c>
      <c r="O18509">
        <v>2973</v>
      </c>
    </row>
    <row r="18510" spans="1:15" x14ac:dyDescent="0.25">
      <c r="A18510" t="s">
        <v>18523</v>
      </c>
      <c r="B18510">
        <v>594</v>
      </c>
      <c r="C18510" s="1" t="str">
        <f>HYPERLINK("http://www.rosaceae.org/gb/gbrowse/malus_x_domestica/?name=MDP0000191097","MDP0000191097")</f>
        <v>MDP0000191097</v>
      </c>
      <c r="D18510">
        <v>75.510000000000005</v>
      </c>
      <c r="E18510">
        <v>441</v>
      </c>
      <c r="F18510">
        <v>108</v>
      </c>
      <c r="G18510">
        <v>3</v>
      </c>
      <c r="H18510">
        <v>125</v>
      </c>
      <c r="I18510">
        <v>562</v>
      </c>
      <c r="J18510">
        <v>1</v>
      </c>
      <c r="K18510">
        <v>143</v>
      </c>
      <c r="L18510">
        <v>583</v>
      </c>
      <c r="M18510">
        <v>1</v>
      </c>
      <c r="N18510">
        <v>0</v>
      </c>
      <c r="O18510">
        <v>1814</v>
      </c>
    </row>
    <row r="18511" spans="1:15" x14ac:dyDescent="0.25">
      <c r="A18511" t="s">
        <v>18524</v>
      </c>
      <c r="B18511">
        <v>468</v>
      </c>
      <c r="C18511" s="1" t="str">
        <f>HYPERLINK("http://www.rosaceae.org/gb/gbrowse/malus_x_domestica/?name=MDP0000249494","MDP0000249494")</f>
        <v>MDP0000249494</v>
      </c>
      <c r="D18511">
        <v>61.33</v>
      </c>
      <c r="E18511">
        <v>150</v>
      </c>
      <c r="F18511">
        <v>58</v>
      </c>
      <c r="G18511">
        <v>31</v>
      </c>
      <c r="H18511">
        <v>317</v>
      </c>
      <c r="I18511">
        <v>456</v>
      </c>
      <c r="J18511">
        <v>1</v>
      </c>
      <c r="K18511">
        <v>70</v>
      </c>
      <c r="L18511">
        <v>198</v>
      </c>
      <c r="M18511">
        <v>1</v>
      </c>
      <c r="N18511">
        <v>5.1745700000000003E-39</v>
      </c>
      <c r="O18511">
        <v>403</v>
      </c>
    </row>
    <row r="18512" spans="1:15" x14ac:dyDescent="0.25">
      <c r="A18512" t="s">
        <v>18525</v>
      </c>
      <c r="B18512">
        <v>435</v>
      </c>
      <c r="C18512" s="1" t="str">
        <f>HYPERLINK("http://www.rosaceae.org/gb/gbrowse/malus_x_domestica/?name=MDP0000129640","MDP0000129640")</f>
        <v>MDP0000129640</v>
      </c>
      <c r="D18512">
        <v>67.05</v>
      </c>
      <c r="E18512">
        <v>434</v>
      </c>
      <c r="F18512">
        <v>143</v>
      </c>
      <c r="G18512">
        <v>15</v>
      </c>
      <c r="H18512">
        <v>1</v>
      </c>
      <c r="I18512">
        <v>428</v>
      </c>
      <c r="J18512">
        <v>1</v>
      </c>
      <c r="K18512">
        <v>1</v>
      </c>
      <c r="L18512">
        <v>425</v>
      </c>
      <c r="M18512">
        <v>1</v>
      </c>
      <c r="N18512">
        <v>1.3187599999999999E-159</v>
      </c>
      <c r="O18512">
        <v>1442</v>
      </c>
    </row>
    <row r="18513" spans="1:15" x14ac:dyDescent="0.25">
      <c r="A18513" t="s">
        <v>18526</v>
      </c>
      <c r="B18513">
        <v>494</v>
      </c>
      <c r="C18513" s="1" t="str">
        <f>HYPERLINK("http://www.rosaceae.org/gb/gbrowse/malus_x_domestica/?name=MDP0000187037","MDP0000187037")</f>
        <v>MDP0000187037</v>
      </c>
      <c r="D18513">
        <v>67.41</v>
      </c>
      <c r="E18513">
        <v>402</v>
      </c>
      <c r="F18513">
        <v>131</v>
      </c>
      <c r="G18513">
        <v>29</v>
      </c>
      <c r="H18513">
        <v>114</v>
      </c>
      <c r="I18513">
        <v>494</v>
      </c>
      <c r="J18513">
        <v>1</v>
      </c>
      <c r="K18513">
        <v>1</v>
      </c>
      <c r="L18513">
        <v>394</v>
      </c>
      <c r="M18513">
        <v>1</v>
      </c>
      <c r="N18513">
        <v>1.4767199999999999E-150</v>
      </c>
      <c r="O18513">
        <v>1365</v>
      </c>
    </row>
    <row r="18514" spans="1:15" x14ac:dyDescent="0.25">
      <c r="A18514" t="s">
        <v>18527</v>
      </c>
      <c r="B18514">
        <v>185</v>
      </c>
      <c r="C18514" s="1" t="str">
        <f>HYPERLINK("http://www.rosaceae.org/gb/gbrowse/malus_x_domestica/?name=MDP0000261248","MDP0000261248")</f>
        <v>MDP0000261248</v>
      </c>
      <c r="D18514">
        <v>81.81</v>
      </c>
      <c r="E18514">
        <v>88</v>
      </c>
      <c r="F18514">
        <v>16</v>
      </c>
      <c r="G18514">
        <v>1</v>
      </c>
      <c r="H18514">
        <v>97</v>
      </c>
      <c r="I18514">
        <v>184</v>
      </c>
      <c r="J18514">
        <v>1</v>
      </c>
      <c r="K18514">
        <v>632</v>
      </c>
      <c r="L18514">
        <v>718</v>
      </c>
      <c r="M18514">
        <v>1</v>
      </c>
      <c r="N18514">
        <v>3.62975E-32</v>
      </c>
      <c r="O18514">
        <v>338</v>
      </c>
    </row>
    <row r="18515" spans="1:15" x14ac:dyDescent="0.25">
      <c r="A18515" t="s">
        <v>18528</v>
      </c>
      <c r="B18515">
        <v>363</v>
      </c>
      <c r="C18515" s="1" t="str">
        <f>HYPERLINK("http://www.rosaceae.org/gb/gbrowse/malus_x_domestica/?name=MDP0000912144","MDP0000912144")</f>
        <v>MDP0000912144</v>
      </c>
      <c r="D18515">
        <v>73.72</v>
      </c>
      <c r="E18515">
        <v>293</v>
      </c>
      <c r="F18515">
        <v>77</v>
      </c>
      <c r="G18515">
        <v>2</v>
      </c>
      <c r="H18515">
        <v>2</v>
      </c>
      <c r="I18515">
        <v>292</v>
      </c>
      <c r="J18515">
        <v>1</v>
      </c>
      <c r="K18515">
        <v>4</v>
      </c>
      <c r="L18515">
        <v>296</v>
      </c>
      <c r="M18515">
        <v>1</v>
      </c>
      <c r="N18515">
        <v>2.4118900000000002E-129</v>
      </c>
      <c r="O18515">
        <v>1180</v>
      </c>
    </row>
    <row r="18516" spans="1:15" x14ac:dyDescent="0.25">
      <c r="A18516" t="s">
        <v>18529</v>
      </c>
      <c r="B18516">
        <v>841</v>
      </c>
      <c r="C18516" s="1" t="str">
        <f>HYPERLINK("http://www.rosaceae.org/gb/gbrowse/malus_x_domestica/?name=MDP0000297735","MDP0000297735")</f>
        <v>MDP0000297735</v>
      </c>
      <c r="D18516">
        <v>58.76</v>
      </c>
      <c r="E18516">
        <v>856</v>
      </c>
      <c r="F18516">
        <v>353</v>
      </c>
      <c r="G18516">
        <v>60</v>
      </c>
      <c r="H18516">
        <v>1</v>
      </c>
      <c r="I18516">
        <v>841</v>
      </c>
      <c r="J18516">
        <v>1</v>
      </c>
      <c r="K18516">
        <v>1</v>
      </c>
      <c r="L18516">
        <v>811</v>
      </c>
      <c r="M18516">
        <v>1</v>
      </c>
      <c r="N18516">
        <v>0</v>
      </c>
      <c r="O18516">
        <v>2450</v>
      </c>
    </row>
    <row r="18517" spans="1:15" x14ac:dyDescent="0.25">
      <c r="A18517" t="s">
        <v>18530</v>
      </c>
      <c r="B18517">
        <v>315</v>
      </c>
      <c r="C18517" s="1" t="str">
        <f>HYPERLINK("http://www.rosaceae.org/gb/gbrowse/malus_x_domestica/?name=MDP0000213283","MDP0000213283")</f>
        <v>MDP0000213283</v>
      </c>
      <c r="D18517">
        <v>66.66</v>
      </c>
      <c r="E18517">
        <v>264</v>
      </c>
      <c r="F18517">
        <v>88</v>
      </c>
      <c r="G18517">
        <v>9</v>
      </c>
      <c r="H18517">
        <v>55</v>
      </c>
      <c r="I18517">
        <v>310</v>
      </c>
      <c r="J18517">
        <v>1</v>
      </c>
      <c r="K18517">
        <v>248</v>
      </c>
      <c r="L18517">
        <v>510</v>
      </c>
      <c r="M18517">
        <v>1</v>
      </c>
      <c r="N18517">
        <v>2.6297599999999999E-100</v>
      </c>
      <c r="O18517">
        <v>929</v>
      </c>
    </row>
    <row r="18518" spans="1:15" x14ac:dyDescent="0.25">
      <c r="A18518" t="s">
        <v>18531</v>
      </c>
      <c r="B18518">
        <v>1015</v>
      </c>
      <c r="C18518" s="1" t="str">
        <f>HYPERLINK("http://www.rosaceae.org/gb/gbrowse/malus_x_domestica/?name=MDP0000319861","MDP0000319861")</f>
        <v>MDP0000319861</v>
      </c>
      <c r="D18518">
        <v>60.22</v>
      </c>
      <c r="E18518">
        <v>973</v>
      </c>
      <c r="F18518">
        <v>387</v>
      </c>
      <c r="G18518">
        <v>22</v>
      </c>
      <c r="H18518">
        <v>59</v>
      </c>
      <c r="I18518">
        <v>1015</v>
      </c>
      <c r="J18518">
        <v>1</v>
      </c>
      <c r="K18518">
        <v>138</v>
      </c>
      <c r="L18518">
        <v>1104</v>
      </c>
      <c r="M18518">
        <v>1</v>
      </c>
      <c r="N18518">
        <v>0</v>
      </c>
      <c r="O18518">
        <v>3007</v>
      </c>
    </row>
    <row r="18519" spans="1:15" x14ac:dyDescent="0.25">
      <c r="A18519" t="s">
        <v>18532</v>
      </c>
      <c r="B18519">
        <v>753</v>
      </c>
      <c r="C18519" s="1" t="str">
        <f>HYPERLINK("http://www.rosaceae.org/gb/gbrowse/malus_x_domestica/?name=MDP0000296459","MDP0000296459")</f>
        <v>MDP0000296459</v>
      </c>
      <c r="D18519">
        <v>57.34</v>
      </c>
      <c r="E18519">
        <v>633</v>
      </c>
      <c r="F18519">
        <v>270</v>
      </c>
      <c r="G18519">
        <v>78</v>
      </c>
      <c r="H18519">
        <v>102</v>
      </c>
      <c r="I18519">
        <v>686</v>
      </c>
      <c r="J18519">
        <v>1</v>
      </c>
      <c r="K18519">
        <v>160</v>
      </c>
      <c r="L18519">
        <v>762</v>
      </c>
      <c r="M18519">
        <v>1</v>
      </c>
      <c r="N18519">
        <v>0</v>
      </c>
      <c r="O18519">
        <v>1785</v>
      </c>
    </row>
    <row r="18520" spans="1:15" x14ac:dyDescent="0.25">
      <c r="A18520" t="s">
        <v>18533</v>
      </c>
      <c r="B18520">
        <v>125</v>
      </c>
      <c r="C18520" s="1" t="str">
        <f>HYPERLINK("http://www.rosaceae.org/gb/gbrowse/malus_x_domestica/?name=MDP0000279981","MDP0000279981")</f>
        <v>MDP0000279981</v>
      </c>
      <c r="D18520">
        <v>71.95</v>
      </c>
      <c r="E18520">
        <v>82</v>
      </c>
      <c r="F18520">
        <v>23</v>
      </c>
      <c r="G18520">
        <v>0</v>
      </c>
      <c r="H18520">
        <v>5</v>
      </c>
      <c r="I18520">
        <v>86</v>
      </c>
      <c r="J18520">
        <v>1</v>
      </c>
      <c r="K18520">
        <v>12</v>
      </c>
      <c r="L18520">
        <v>93</v>
      </c>
      <c r="M18520">
        <v>1</v>
      </c>
      <c r="N18520">
        <v>5.8749800000000004E-29</v>
      </c>
      <c r="O18520">
        <v>307</v>
      </c>
    </row>
    <row r="18521" spans="1:15" x14ac:dyDescent="0.25">
      <c r="A18521" t="s">
        <v>18534</v>
      </c>
      <c r="B18521">
        <v>954</v>
      </c>
      <c r="C18521" s="1" t="str">
        <f>HYPERLINK("http://www.rosaceae.org/gb/gbrowse/malus_x_domestica/?name=MDP0000518155","MDP0000518155")</f>
        <v>MDP0000518155</v>
      </c>
      <c r="D18521">
        <v>72.47</v>
      </c>
      <c r="E18521">
        <v>803</v>
      </c>
      <c r="F18521">
        <v>221</v>
      </c>
      <c r="G18521">
        <v>12</v>
      </c>
      <c r="H18521">
        <v>55</v>
      </c>
      <c r="I18521">
        <v>856</v>
      </c>
      <c r="J18521">
        <v>1</v>
      </c>
      <c r="K18521">
        <v>62</v>
      </c>
      <c r="L18521">
        <v>853</v>
      </c>
      <c r="M18521">
        <v>1</v>
      </c>
      <c r="N18521">
        <v>0</v>
      </c>
      <c r="O18521">
        <v>3083</v>
      </c>
    </row>
    <row r="18522" spans="1:15" x14ac:dyDescent="0.25">
      <c r="A18522" t="s">
        <v>18535</v>
      </c>
      <c r="B18522">
        <v>507</v>
      </c>
      <c r="C18522" s="1" t="str">
        <f>HYPERLINK("http://www.rosaceae.org/gb/gbrowse/malus_x_domestica/?name=MDP0000464809","MDP0000464809")</f>
        <v>MDP0000464809</v>
      </c>
      <c r="D18522">
        <v>67.3</v>
      </c>
      <c r="E18522">
        <v>523</v>
      </c>
      <c r="F18522">
        <v>171</v>
      </c>
      <c r="G18522">
        <v>19</v>
      </c>
      <c r="H18522">
        <v>1</v>
      </c>
      <c r="I18522">
        <v>505</v>
      </c>
      <c r="J18522">
        <v>1</v>
      </c>
      <c r="K18522">
        <v>430</v>
      </c>
      <c r="L18522">
        <v>951</v>
      </c>
      <c r="M18522">
        <v>1</v>
      </c>
      <c r="N18522">
        <v>0</v>
      </c>
      <c r="O18522">
        <v>1810</v>
      </c>
    </row>
    <row r="18523" spans="1:15" x14ac:dyDescent="0.25">
      <c r="A18523" t="s">
        <v>18536</v>
      </c>
      <c r="B18523">
        <v>275</v>
      </c>
      <c r="C18523" s="1" t="str">
        <f>HYPERLINK("http://www.rosaceae.org/gb/gbrowse/malus_x_domestica/?name=MDP0000233842","MDP0000233842")</f>
        <v>MDP0000233842</v>
      </c>
      <c r="D18523">
        <v>78.900000000000006</v>
      </c>
      <c r="E18523">
        <v>275</v>
      </c>
      <c r="F18523">
        <v>58</v>
      </c>
      <c r="G18523">
        <v>0</v>
      </c>
      <c r="H18523">
        <v>1</v>
      </c>
      <c r="I18523">
        <v>275</v>
      </c>
      <c r="J18523">
        <v>1</v>
      </c>
      <c r="K18523">
        <v>1</v>
      </c>
      <c r="L18523">
        <v>275</v>
      </c>
      <c r="M18523">
        <v>1</v>
      </c>
      <c r="N18523">
        <v>9.2039499999999996E-127</v>
      </c>
      <c r="O18523">
        <v>1157</v>
      </c>
    </row>
    <row r="18524" spans="1:15" x14ac:dyDescent="0.25">
      <c r="A18524" t="s">
        <v>18537</v>
      </c>
      <c r="B18524">
        <v>107</v>
      </c>
      <c r="C18524" s="1" t="str">
        <f>HYPERLINK("http://www.rosaceae.org/gb/gbrowse/malus_x_domestica/?name=MDP0000322220","MDP0000322220")</f>
        <v>MDP0000322220</v>
      </c>
      <c r="D18524">
        <v>65.38</v>
      </c>
      <c r="E18524">
        <v>104</v>
      </c>
      <c r="F18524">
        <v>36</v>
      </c>
      <c r="G18524">
        <v>2</v>
      </c>
      <c r="H18524">
        <v>1</v>
      </c>
      <c r="I18524">
        <v>102</v>
      </c>
      <c r="J18524">
        <v>1</v>
      </c>
      <c r="K18524">
        <v>605</v>
      </c>
      <c r="L18524">
        <v>708</v>
      </c>
      <c r="M18524">
        <v>1</v>
      </c>
      <c r="N18524">
        <v>6.2794099999999999E-34</v>
      </c>
      <c r="O18524">
        <v>350</v>
      </c>
    </row>
    <row r="18525" spans="1:15" x14ac:dyDescent="0.25">
      <c r="A18525" t="s">
        <v>18538</v>
      </c>
      <c r="B18525">
        <v>141</v>
      </c>
      <c r="C18525" s="1" t="str">
        <f>HYPERLINK("http://www.rosaceae.org/gb/gbrowse/malus_x_domestica/?name=MDP0000198739","MDP0000198739")</f>
        <v>MDP0000198739</v>
      </c>
      <c r="D18525">
        <v>42.95</v>
      </c>
      <c r="E18525">
        <v>142</v>
      </c>
      <c r="F18525">
        <v>81</v>
      </c>
      <c r="G18525">
        <v>22</v>
      </c>
      <c r="H18525">
        <v>2</v>
      </c>
      <c r="I18525">
        <v>141</v>
      </c>
      <c r="J18525">
        <v>1</v>
      </c>
      <c r="K18525">
        <v>583</v>
      </c>
      <c r="L18525">
        <v>704</v>
      </c>
      <c r="M18525">
        <v>1</v>
      </c>
      <c r="N18525">
        <v>1.6785700000000001E-18</v>
      </c>
      <c r="O18525">
        <v>218</v>
      </c>
    </row>
    <row r="18526" spans="1:15" x14ac:dyDescent="0.25">
      <c r="A18526" t="s">
        <v>18539</v>
      </c>
      <c r="B18526">
        <v>810</v>
      </c>
      <c r="C18526" s="1" t="str">
        <f>HYPERLINK("http://www.rosaceae.org/gb/gbrowse/malus_x_domestica/?name=MDP0000243097","MDP0000243097")</f>
        <v>MDP0000243097</v>
      </c>
      <c r="D18526">
        <v>85.2</v>
      </c>
      <c r="E18526">
        <v>534</v>
      </c>
      <c r="F18526">
        <v>79</v>
      </c>
      <c r="G18526">
        <v>0</v>
      </c>
      <c r="H18526">
        <v>259</v>
      </c>
      <c r="I18526">
        <v>792</v>
      </c>
      <c r="J18526">
        <v>1</v>
      </c>
      <c r="K18526">
        <v>3</v>
      </c>
      <c r="L18526">
        <v>536</v>
      </c>
      <c r="M18526">
        <v>1</v>
      </c>
      <c r="N18526">
        <v>0</v>
      </c>
      <c r="O18526">
        <v>2527</v>
      </c>
    </row>
    <row r="18527" spans="1:15" x14ac:dyDescent="0.25">
      <c r="A18527" t="s">
        <v>18540</v>
      </c>
      <c r="B18527">
        <v>485</v>
      </c>
      <c r="C18527" s="1" t="str">
        <f>HYPERLINK("http://www.rosaceae.org/gb/gbrowse/malus_x_domestica/?name=MDP0000133636","MDP0000133636")</f>
        <v>MDP0000133636</v>
      </c>
      <c r="D18527">
        <v>68.66</v>
      </c>
      <c r="E18527">
        <v>300</v>
      </c>
      <c r="F18527">
        <v>94</v>
      </c>
      <c r="G18527">
        <v>7</v>
      </c>
      <c r="H18527">
        <v>7</v>
      </c>
      <c r="I18527">
        <v>300</v>
      </c>
      <c r="J18527">
        <v>1</v>
      </c>
      <c r="K18527">
        <v>3</v>
      </c>
      <c r="L18527">
        <v>301</v>
      </c>
      <c r="M18527">
        <v>1</v>
      </c>
      <c r="N18527">
        <v>2.0134799999999999E-115</v>
      </c>
      <c r="O18527">
        <v>1062</v>
      </c>
    </row>
    <row r="18528" spans="1:15" x14ac:dyDescent="0.25">
      <c r="A18528" t="s">
        <v>18541</v>
      </c>
      <c r="B18528">
        <v>224</v>
      </c>
      <c r="C18528" s="1" t="str">
        <f>HYPERLINK("http://www.rosaceae.org/gb/gbrowse/malus_x_domestica/?name=MDP0000551192","MDP0000551192")</f>
        <v>MDP0000551192</v>
      </c>
      <c r="D18528">
        <v>87.11</v>
      </c>
      <c r="E18528">
        <v>225</v>
      </c>
      <c r="F18528">
        <v>29</v>
      </c>
      <c r="G18528">
        <v>1</v>
      </c>
      <c r="H18528">
        <v>1</v>
      </c>
      <c r="I18528">
        <v>224</v>
      </c>
      <c r="J18528">
        <v>1</v>
      </c>
      <c r="K18528">
        <v>1</v>
      </c>
      <c r="L18528">
        <v>225</v>
      </c>
      <c r="M18528">
        <v>1</v>
      </c>
      <c r="N18528">
        <v>2.5746199999999999E-117</v>
      </c>
      <c r="O18528">
        <v>1074</v>
      </c>
    </row>
    <row r="18529" spans="1:15" x14ac:dyDescent="0.25">
      <c r="A18529" t="s">
        <v>18542</v>
      </c>
      <c r="B18529">
        <v>363</v>
      </c>
      <c r="C18529" s="1" t="str">
        <f>HYPERLINK("http://www.rosaceae.org/gb/gbrowse/malus_x_domestica/?name=MDP0000308745","MDP0000308745")</f>
        <v>MDP0000308745</v>
      </c>
      <c r="D18529">
        <v>53.21</v>
      </c>
      <c r="E18529">
        <v>327</v>
      </c>
      <c r="F18529">
        <v>153</v>
      </c>
      <c r="G18529">
        <v>70</v>
      </c>
      <c r="H18529">
        <v>9</v>
      </c>
      <c r="I18529">
        <v>265</v>
      </c>
      <c r="J18529">
        <v>1</v>
      </c>
      <c r="K18529">
        <v>50</v>
      </c>
      <c r="L18529">
        <v>376</v>
      </c>
      <c r="M18529">
        <v>1</v>
      </c>
      <c r="N18529">
        <v>2.3242400000000002E-84</v>
      </c>
      <c r="O18529">
        <v>792</v>
      </c>
    </row>
    <row r="18530" spans="1:15" x14ac:dyDescent="0.25">
      <c r="A18530" t="s">
        <v>18543</v>
      </c>
      <c r="B18530">
        <v>109</v>
      </c>
      <c r="C18530" s="1" t="str">
        <f>HYPERLINK("http://www.rosaceae.org/gb/gbrowse/malus_x_domestica/?name=MDP0000222176","MDP0000222176")</f>
        <v>MDP0000222176</v>
      </c>
      <c r="D18530">
        <v>77.92</v>
      </c>
      <c r="E18530">
        <v>77</v>
      </c>
      <c r="F18530">
        <v>17</v>
      </c>
      <c r="G18530">
        <v>6</v>
      </c>
      <c r="H18530">
        <v>1</v>
      </c>
      <c r="I18530">
        <v>75</v>
      </c>
      <c r="J18530">
        <v>1</v>
      </c>
      <c r="K18530">
        <v>1</v>
      </c>
      <c r="L18530">
        <v>73</v>
      </c>
      <c r="M18530">
        <v>1</v>
      </c>
      <c r="N18530">
        <v>5.9479900000000001E-25</v>
      </c>
      <c r="O18530">
        <v>273</v>
      </c>
    </row>
    <row r="18531" spans="1:15" x14ac:dyDescent="0.25">
      <c r="A18531" t="s">
        <v>18544</v>
      </c>
      <c r="B18531">
        <v>721</v>
      </c>
      <c r="C18531" s="1" t="str">
        <f>HYPERLINK("http://www.rosaceae.org/gb/gbrowse/malus_x_domestica/?name=MDP0000438931","MDP0000438931")</f>
        <v>MDP0000438931</v>
      </c>
      <c r="D18531">
        <v>82.42</v>
      </c>
      <c r="E18531">
        <v>404</v>
      </c>
      <c r="F18531">
        <v>71</v>
      </c>
      <c r="G18531">
        <v>0</v>
      </c>
      <c r="H18531">
        <v>318</v>
      </c>
      <c r="I18531">
        <v>721</v>
      </c>
      <c r="J18531">
        <v>1</v>
      </c>
      <c r="K18531">
        <v>313</v>
      </c>
      <c r="L18531">
        <v>716</v>
      </c>
      <c r="M18531">
        <v>1</v>
      </c>
      <c r="N18531">
        <v>0</v>
      </c>
      <c r="O18531">
        <v>1756</v>
      </c>
    </row>
    <row r="18532" spans="1:15" x14ac:dyDescent="0.25">
      <c r="A18532" t="s">
        <v>18545</v>
      </c>
      <c r="B18532">
        <v>143</v>
      </c>
      <c r="C18532" s="1" t="str">
        <f>HYPERLINK("http://www.rosaceae.org/gb/gbrowse/malus_x_domestica/?name=MDP0000421777","MDP0000421777")</f>
        <v>MDP0000421777</v>
      </c>
      <c r="D18532">
        <v>66.89</v>
      </c>
      <c r="E18532">
        <v>145</v>
      </c>
      <c r="F18532">
        <v>48</v>
      </c>
      <c r="G18532">
        <v>5</v>
      </c>
      <c r="H18532">
        <v>1</v>
      </c>
      <c r="I18532">
        <v>143</v>
      </c>
      <c r="J18532">
        <v>1</v>
      </c>
      <c r="K18532">
        <v>1</v>
      </c>
      <c r="L18532">
        <v>142</v>
      </c>
      <c r="M18532">
        <v>1</v>
      </c>
      <c r="N18532">
        <v>2.1558100000000001E-44</v>
      </c>
      <c r="O18532">
        <v>442</v>
      </c>
    </row>
    <row r="18533" spans="1:15" x14ac:dyDescent="0.25">
      <c r="A18533" t="s">
        <v>18546</v>
      </c>
      <c r="B18533">
        <v>345</v>
      </c>
      <c r="C18533" s="1" t="str">
        <f>HYPERLINK("http://www.rosaceae.org/gb/gbrowse/malus_x_domestica/?name=MDP0000274056","MDP0000274056")</f>
        <v>MDP0000274056</v>
      </c>
      <c r="D18533">
        <v>45.61</v>
      </c>
      <c r="E18533">
        <v>331</v>
      </c>
      <c r="F18533">
        <v>180</v>
      </c>
      <c r="G18533">
        <v>18</v>
      </c>
      <c r="H18533">
        <v>1</v>
      </c>
      <c r="I18533">
        <v>323</v>
      </c>
      <c r="J18533">
        <v>1</v>
      </c>
      <c r="K18533">
        <v>62</v>
      </c>
      <c r="L18533">
        <v>382</v>
      </c>
      <c r="M18533">
        <v>1</v>
      </c>
      <c r="N18533">
        <v>2.5824400000000001E-74</v>
      </c>
      <c r="O18533">
        <v>706</v>
      </c>
    </row>
    <row r="18534" spans="1:15" x14ac:dyDescent="0.25">
      <c r="A18534" t="s">
        <v>18547</v>
      </c>
      <c r="B18534">
        <v>201</v>
      </c>
      <c r="C18534" s="1" t="str">
        <f>HYPERLINK("http://www.rosaceae.org/gb/gbrowse/malus_x_domestica/?name=MDP0000096349","MDP0000096349")</f>
        <v>MDP0000096349</v>
      </c>
      <c r="D18534">
        <v>76.209999999999994</v>
      </c>
      <c r="E18534">
        <v>164</v>
      </c>
      <c r="F18534">
        <v>39</v>
      </c>
      <c r="G18534">
        <v>0</v>
      </c>
      <c r="H18534">
        <v>36</v>
      </c>
      <c r="I18534">
        <v>199</v>
      </c>
      <c r="J18534">
        <v>1</v>
      </c>
      <c r="K18534">
        <v>49</v>
      </c>
      <c r="L18534">
        <v>212</v>
      </c>
      <c r="M18534">
        <v>1</v>
      </c>
      <c r="N18534">
        <v>9.9649399999999994E-72</v>
      </c>
      <c r="O18534">
        <v>680</v>
      </c>
    </row>
    <row r="18535" spans="1:15" x14ac:dyDescent="0.25">
      <c r="A18535" t="s">
        <v>18548</v>
      </c>
      <c r="B18535">
        <v>125</v>
      </c>
      <c r="C18535" s="1" t="str">
        <f>HYPERLINK("http://www.rosaceae.org/gb/gbrowse/malus_x_domestica/?name=MDP0000207132","MDP0000207132")</f>
        <v>MDP0000207132</v>
      </c>
      <c r="D18535">
        <v>32.049999999999997</v>
      </c>
      <c r="E18535">
        <v>78</v>
      </c>
      <c r="F18535">
        <v>53</v>
      </c>
      <c r="G18535">
        <v>0</v>
      </c>
      <c r="H18535">
        <v>1</v>
      </c>
      <c r="I18535">
        <v>78</v>
      </c>
      <c r="J18535">
        <v>1</v>
      </c>
      <c r="K18535">
        <v>71</v>
      </c>
      <c r="L18535">
        <v>148</v>
      </c>
      <c r="M18535">
        <v>1</v>
      </c>
      <c r="N18535">
        <v>1.11442E-7</v>
      </c>
      <c r="O18535">
        <v>124</v>
      </c>
    </row>
    <row r="18536" spans="1:15" x14ac:dyDescent="0.25">
      <c r="A18536" t="s">
        <v>18549</v>
      </c>
      <c r="B18536">
        <v>364</v>
      </c>
      <c r="C18536" s="1" t="str">
        <f>HYPERLINK("http://www.rosaceae.org/gb/gbrowse/malus_x_domestica/?name=MDP0000235326","MDP0000235326")</f>
        <v>MDP0000235326</v>
      </c>
      <c r="D18536">
        <v>30.85</v>
      </c>
      <c r="E18536">
        <v>188</v>
      </c>
      <c r="F18536">
        <v>130</v>
      </c>
      <c r="G18536">
        <v>16</v>
      </c>
      <c r="H18536">
        <v>35</v>
      </c>
      <c r="I18536">
        <v>212</v>
      </c>
      <c r="J18536">
        <v>1</v>
      </c>
      <c r="K18536">
        <v>3</v>
      </c>
      <c r="L18536">
        <v>184</v>
      </c>
      <c r="M18536">
        <v>1</v>
      </c>
      <c r="N18536">
        <v>1.46843E-12</v>
      </c>
      <c r="O18536">
        <v>173</v>
      </c>
    </row>
    <row r="18537" spans="1:15" x14ac:dyDescent="0.25">
      <c r="A18537" t="s">
        <v>18550</v>
      </c>
      <c r="B18537">
        <v>371</v>
      </c>
      <c r="C18537" s="1" t="str">
        <f>HYPERLINK("http://www.rosaceae.org/gb/gbrowse/malus_x_domestica/?name=MDP0000154190","MDP0000154190")</f>
        <v>MDP0000154190</v>
      </c>
      <c r="D18537">
        <v>69.38</v>
      </c>
      <c r="E18537">
        <v>343</v>
      </c>
      <c r="F18537">
        <v>105</v>
      </c>
      <c r="G18537">
        <v>5</v>
      </c>
      <c r="H18537">
        <v>29</v>
      </c>
      <c r="I18537">
        <v>371</v>
      </c>
      <c r="J18537">
        <v>1</v>
      </c>
      <c r="K18537">
        <v>28</v>
      </c>
      <c r="L18537">
        <v>365</v>
      </c>
      <c r="M18537">
        <v>1</v>
      </c>
      <c r="N18537">
        <v>2.6743899999999999E-137</v>
      </c>
      <c r="O18537">
        <v>1249</v>
      </c>
    </row>
    <row r="18538" spans="1:15" x14ac:dyDescent="0.25">
      <c r="A18538" t="s">
        <v>18551</v>
      </c>
      <c r="B18538">
        <v>641</v>
      </c>
      <c r="C18538" s="1" t="str">
        <f>HYPERLINK("http://www.rosaceae.org/gb/gbrowse/malus_x_domestica/?name=MDP0000232800","MDP0000232800")</f>
        <v>MDP0000232800</v>
      </c>
      <c r="D18538">
        <v>46.2</v>
      </c>
      <c r="E18538">
        <v>435</v>
      </c>
      <c r="F18538">
        <v>234</v>
      </c>
      <c r="G18538">
        <v>82</v>
      </c>
      <c r="H18538">
        <v>284</v>
      </c>
      <c r="I18538">
        <v>637</v>
      </c>
      <c r="J18538">
        <v>1</v>
      </c>
      <c r="K18538">
        <v>205</v>
      </c>
      <c r="L18538">
        <v>638</v>
      </c>
      <c r="M18538">
        <v>1</v>
      </c>
      <c r="N18538">
        <v>1.2124E-91</v>
      </c>
      <c r="O18538">
        <v>858</v>
      </c>
    </row>
    <row r="18539" spans="1:15" x14ac:dyDescent="0.25">
      <c r="A18539" t="s">
        <v>18552</v>
      </c>
      <c r="B18539">
        <v>989</v>
      </c>
      <c r="C18539" s="1" t="str">
        <f>HYPERLINK("http://www.rosaceae.org/gb/gbrowse/malus_x_domestica/?name=MDP0000242357","MDP0000242357")</f>
        <v>MDP0000242357</v>
      </c>
      <c r="D18539">
        <v>61.18</v>
      </c>
      <c r="E18539">
        <v>961</v>
      </c>
      <c r="F18539">
        <v>373</v>
      </c>
      <c r="G18539">
        <v>64</v>
      </c>
      <c r="H18539">
        <v>24</v>
      </c>
      <c r="I18539">
        <v>950</v>
      </c>
      <c r="J18539">
        <v>1</v>
      </c>
      <c r="K18539">
        <v>42</v>
      </c>
      <c r="L18539">
        <v>972</v>
      </c>
      <c r="M18539">
        <v>1</v>
      </c>
      <c r="N18539">
        <v>0</v>
      </c>
      <c r="O18539">
        <v>2742</v>
      </c>
    </row>
    <row r="18540" spans="1:15" x14ac:dyDescent="0.25">
      <c r="A18540" t="s">
        <v>18553</v>
      </c>
      <c r="B18540">
        <v>395</v>
      </c>
      <c r="C18540" s="1" t="str">
        <f>HYPERLINK("http://www.rosaceae.org/gb/gbrowse/malus_x_domestica/?name=MDP0000249752","MDP0000249752")</f>
        <v>MDP0000249752</v>
      </c>
      <c r="D18540">
        <v>61.16</v>
      </c>
      <c r="E18540">
        <v>291</v>
      </c>
      <c r="F18540">
        <v>113</v>
      </c>
      <c r="G18540">
        <v>10</v>
      </c>
      <c r="H18540">
        <v>85</v>
      </c>
      <c r="I18540">
        <v>374</v>
      </c>
      <c r="J18540">
        <v>1</v>
      </c>
      <c r="K18540">
        <v>65</v>
      </c>
      <c r="L18540">
        <v>346</v>
      </c>
      <c r="M18540">
        <v>1</v>
      </c>
      <c r="N18540">
        <v>2.5142999999999999E-105</v>
      </c>
      <c r="O18540">
        <v>974</v>
      </c>
    </row>
    <row r="18541" spans="1:15" x14ac:dyDescent="0.25">
      <c r="A18541" t="s">
        <v>18554</v>
      </c>
      <c r="B18541">
        <v>283</v>
      </c>
      <c r="C18541" s="1" t="str">
        <f>HYPERLINK("http://www.rosaceae.org/gb/gbrowse/malus_x_domestica/?name=MDP0000262768","MDP0000262768")</f>
        <v>MDP0000262768</v>
      </c>
      <c r="D18541">
        <v>60.75</v>
      </c>
      <c r="E18541">
        <v>79</v>
      </c>
      <c r="F18541">
        <v>31</v>
      </c>
      <c r="G18541">
        <v>0</v>
      </c>
      <c r="H18541">
        <v>133</v>
      </c>
      <c r="I18541">
        <v>211</v>
      </c>
      <c r="J18541">
        <v>1</v>
      </c>
      <c r="K18541">
        <v>108</v>
      </c>
      <c r="L18541">
        <v>186</v>
      </c>
      <c r="M18541">
        <v>1</v>
      </c>
      <c r="N18541">
        <v>3.5881299999999999E-21</v>
      </c>
      <c r="O18541">
        <v>246</v>
      </c>
    </row>
    <row r="18542" spans="1:15" x14ac:dyDescent="0.25">
      <c r="A18542" t="s">
        <v>18555</v>
      </c>
      <c r="B18542">
        <v>300</v>
      </c>
      <c r="C18542" s="1" t="str">
        <f>HYPERLINK("http://www.rosaceae.org/gb/gbrowse/malus_x_domestica/?name=MDP0000754989","MDP0000754989")</f>
        <v>MDP0000754989</v>
      </c>
      <c r="D18542">
        <v>40.06</v>
      </c>
      <c r="E18542">
        <v>317</v>
      </c>
      <c r="F18542">
        <v>190</v>
      </c>
      <c r="G18542">
        <v>54</v>
      </c>
      <c r="H18542">
        <v>17</v>
      </c>
      <c r="I18542">
        <v>288</v>
      </c>
      <c r="J18542">
        <v>1</v>
      </c>
      <c r="K18542">
        <v>2</v>
      </c>
      <c r="L18542">
        <v>309</v>
      </c>
      <c r="M18542">
        <v>1</v>
      </c>
      <c r="N18542">
        <v>1.39496E-48</v>
      </c>
      <c r="O18542">
        <v>483</v>
      </c>
    </row>
    <row r="18543" spans="1:15" x14ac:dyDescent="0.25">
      <c r="A18543" t="s">
        <v>18556</v>
      </c>
      <c r="B18543">
        <v>103</v>
      </c>
      <c r="C18543" s="1" t="str">
        <f>HYPERLINK("http://www.rosaceae.org/gb/gbrowse/malus_x_domestica/?name=MDP0000336462","MDP0000336462")</f>
        <v>MDP0000336462</v>
      </c>
      <c r="D18543">
        <v>100</v>
      </c>
      <c r="E18543">
        <v>82</v>
      </c>
      <c r="F18543">
        <v>0</v>
      </c>
      <c r="G18543">
        <v>0</v>
      </c>
      <c r="H18543">
        <v>22</v>
      </c>
      <c r="I18543">
        <v>103</v>
      </c>
      <c r="J18543">
        <v>1</v>
      </c>
      <c r="K18543">
        <v>44</v>
      </c>
      <c r="L18543">
        <v>125</v>
      </c>
      <c r="M18543">
        <v>1</v>
      </c>
      <c r="N18543">
        <v>5.1126299999999996E-41</v>
      </c>
      <c r="O18543">
        <v>411</v>
      </c>
    </row>
    <row r="18544" spans="1:15" x14ac:dyDescent="0.25">
      <c r="A18544" t="s">
        <v>18557</v>
      </c>
      <c r="B18544">
        <v>1105</v>
      </c>
      <c r="C18544" s="1" t="str">
        <f>HYPERLINK("http://www.rosaceae.org/gb/gbrowse/malus_x_domestica/?name=MDP0000558837","MDP0000558837")</f>
        <v>MDP0000558837</v>
      </c>
      <c r="D18544">
        <v>45.16</v>
      </c>
      <c r="E18544">
        <v>983</v>
      </c>
      <c r="F18544">
        <v>539</v>
      </c>
      <c r="G18544">
        <v>47</v>
      </c>
      <c r="H18544">
        <v>156</v>
      </c>
      <c r="I18544">
        <v>1105</v>
      </c>
      <c r="J18544">
        <v>1</v>
      </c>
      <c r="K18544">
        <v>91</v>
      </c>
      <c r="L18544">
        <v>1059</v>
      </c>
      <c r="M18544">
        <v>1</v>
      </c>
      <c r="N18544">
        <v>0</v>
      </c>
      <c r="O18544">
        <v>2230</v>
      </c>
    </row>
    <row r="18545" spans="1:15" x14ac:dyDescent="0.25">
      <c r="A18545" t="s">
        <v>18558</v>
      </c>
      <c r="B18545">
        <v>562</v>
      </c>
      <c r="C18545" s="1" t="str">
        <f>HYPERLINK("http://www.rosaceae.org/gb/gbrowse/malus_x_domestica/?name=MDP0000248504","MDP0000248504")</f>
        <v>MDP0000248504</v>
      </c>
      <c r="D18545">
        <v>70.58</v>
      </c>
      <c r="E18545">
        <v>544</v>
      </c>
      <c r="F18545">
        <v>160</v>
      </c>
      <c r="G18545">
        <v>94</v>
      </c>
      <c r="H18545">
        <v>27</v>
      </c>
      <c r="I18545">
        <v>476</v>
      </c>
      <c r="J18545">
        <v>1</v>
      </c>
      <c r="K18545">
        <v>25</v>
      </c>
      <c r="L18545">
        <v>568</v>
      </c>
      <c r="M18545">
        <v>1</v>
      </c>
      <c r="N18545">
        <v>0</v>
      </c>
      <c r="O18545">
        <v>1942</v>
      </c>
    </row>
    <row r="18546" spans="1:15" x14ac:dyDescent="0.25">
      <c r="A18546" t="s">
        <v>18559</v>
      </c>
      <c r="B18546">
        <v>1114</v>
      </c>
      <c r="C18546" s="1" t="str">
        <f>HYPERLINK("http://www.rosaceae.org/gb/gbrowse/malus_x_domestica/?name=MDP0000437365","MDP0000437365")</f>
        <v>MDP0000437365</v>
      </c>
      <c r="D18546">
        <v>55.55</v>
      </c>
      <c r="E18546">
        <v>81</v>
      </c>
      <c r="F18546">
        <v>36</v>
      </c>
      <c r="G18546">
        <v>1</v>
      </c>
      <c r="H18546">
        <v>11</v>
      </c>
      <c r="I18546">
        <v>90</v>
      </c>
      <c r="J18546">
        <v>1</v>
      </c>
      <c r="K18546">
        <v>8</v>
      </c>
      <c r="L18546">
        <v>88</v>
      </c>
      <c r="M18546">
        <v>1</v>
      </c>
      <c r="N18546">
        <v>1.00568E-17</v>
      </c>
      <c r="O18546">
        <v>223</v>
      </c>
    </row>
    <row r="18547" spans="1:15" x14ac:dyDescent="0.25">
      <c r="A18547" t="s">
        <v>18560</v>
      </c>
      <c r="B18547">
        <v>557</v>
      </c>
      <c r="C18547" s="1" t="str">
        <f>HYPERLINK("http://www.rosaceae.org/gb/gbrowse/malus_x_domestica/?name=MDP0000464150","MDP0000464150")</f>
        <v>MDP0000464150</v>
      </c>
      <c r="D18547">
        <v>75.08</v>
      </c>
      <c r="E18547">
        <v>566</v>
      </c>
      <c r="F18547">
        <v>141</v>
      </c>
      <c r="G18547">
        <v>12</v>
      </c>
      <c r="H18547">
        <v>1</v>
      </c>
      <c r="I18547">
        <v>557</v>
      </c>
      <c r="J18547">
        <v>1</v>
      </c>
      <c r="K18547">
        <v>1</v>
      </c>
      <c r="L18547">
        <v>563</v>
      </c>
      <c r="M18547">
        <v>1</v>
      </c>
      <c r="N18547">
        <v>0</v>
      </c>
      <c r="O18547">
        <v>2212</v>
      </c>
    </row>
    <row r="18548" spans="1:15" x14ac:dyDescent="0.25">
      <c r="A18548" t="s">
        <v>18561</v>
      </c>
      <c r="B18548">
        <v>534</v>
      </c>
      <c r="C18548" s="1" t="str">
        <f>HYPERLINK("http://www.rosaceae.org/gb/gbrowse/malus_x_domestica/?name=MDP0000300043","MDP0000300043")</f>
        <v>MDP0000300043</v>
      </c>
      <c r="D18548">
        <v>84.17</v>
      </c>
      <c r="E18548">
        <v>537</v>
      </c>
      <c r="F18548">
        <v>85</v>
      </c>
      <c r="G18548">
        <v>9</v>
      </c>
      <c r="H18548">
        <v>1</v>
      </c>
      <c r="I18548">
        <v>534</v>
      </c>
      <c r="J18548">
        <v>1</v>
      </c>
      <c r="K18548">
        <v>1</v>
      </c>
      <c r="L18548">
        <v>531</v>
      </c>
      <c r="M18548">
        <v>1</v>
      </c>
      <c r="N18548">
        <v>0</v>
      </c>
      <c r="O18548">
        <v>2423</v>
      </c>
    </row>
    <row r="18549" spans="1:15" x14ac:dyDescent="0.25">
      <c r="A18549" t="s">
        <v>18562</v>
      </c>
      <c r="B18549">
        <v>426</v>
      </c>
      <c r="C18549" s="1" t="str">
        <f>HYPERLINK("http://www.rosaceae.org/gb/gbrowse/malus_x_domestica/?name=MDP0000270365","MDP0000270365")</f>
        <v>MDP0000270365</v>
      </c>
      <c r="D18549">
        <v>61.95</v>
      </c>
      <c r="E18549">
        <v>439</v>
      </c>
      <c r="F18549">
        <v>167</v>
      </c>
      <c r="G18549">
        <v>24</v>
      </c>
      <c r="H18549">
        <v>1</v>
      </c>
      <c r="I18549">
        <v>424</v>
      </c>
      <c r="J18549">
        <v>1</v>
      </c>
      <c r="K18549">
        <v>1</v>
      </c>
      <c r="L18549">
        <v>430</v>
      </c>
      <c r="M18549">
        <v>1</v>
      </c>
      <c r="N18549">
        <v>6.0849399999999997E-142</v>
      </c>
      <c r="O18549">
        <v>1290</v>
      </c>
    </row>
    <row r="18550" spans="1:15" x14ac:dyDescent="0.25">
      <c r="A18550" t="s">
        <v>18563</v>
      </c>
      <c r="B18550">
        <v>975</v>
      </c>
      <c r="C18550" s="1" t="str">
        <f>HYPERLINK("http://www.rosaceae.org/gb/gbrowse/malus_x_domestica/?name=MDP0000197586","MDP0000197586")</f>
        <v>MDP0000197586</v>
      </c>
      <c r="D18550">
        <v>39.11</v>
      </c>
      <c r="E18550">
        <v>519</v>
      </c>
      <c r="F18550">
        <v>316</v>
      </c>
      <c r="G18550">
        <v>129</v>
      </c>
      <c r="H18550">
        <v>466</v>
      </c>
      <c r="I18550">
        <v>883</v>
      </c>
      <c r="J18550">
        <v>1</v>
      </c>
      <c r="K18550">
        <v>21</v>
      </c>
      <c r="L18550">
        <v>511</v>
      </c>
      <c r="M18550">
        <v>1</v>
      </c>
      <c r="N18550">
        <v>2.31103E-73</v>
      </c>
      <c r="O18550">
        <v>702</v>
      </c>
    </row>
    <row r="18551" spans="1:15" x14ac:dyDescent="0.25">
      <c r="A18551" t="s">
        <v>18564</v>
      </c>
      <c r="B18551">
        <v>265</v>
      </c>
      <c r="C18551" s="1" t="str">
        <f>HYPERLINK("http://www.rosaceae.org/gb/gbrowse/malus_x_domestica/?name=MDP0000314371","MDP0000314371")</f>
        <v>MDP0000314371</v>
      </c>
      <c r="D18551">
        <v>38.65</v>
      </c>
      <c r="E18551">
        <v>194</v>
      </c>
      <c r="F18551">
        <v>119</v>
      </c>
      <c r="G18551">
        <v>13</v>
      </c>
      <c r="H18551">
        <v>12</v>
      </c>
      <c r="I18551">
        <v>200</v>
      </c>
      <c r="J18551">
        <v>1</v>
      </c>
      <c r="K18551">
        <v>67</v>
      </c>
      <c r="L18551">
        <v>252</v>
      </c>
      <c r="M18551">
        <v>1</v>
      </c>
      <c r="N18551">
        <v>1.7837900000000002E-27</v>
      </c>
      <c r="O18551">
        <v>300</v>
      </c>
    </row>
    <row r="18552" spans="1:15" x14ac:dyDescent="0.25">
      <c r="A18552" t="s">
        <v>18565</v>
      </c>
      <c r="B18552">
        <v>319</v>
      </c>
      <c r="C18552" s="1" t="str">
        <f>HYPERLINK("http://www.rosaceae.org/gb/gbrowse/malus_x_domestica/?name=MDP0000309521","MDP0000309521")</f>
        <v>MDP0000309521</v>
      </c>
      <c r="D18552">
        <v>67.34</v>
      </c>
      <c r="E18552">
        <v>294</v>
      </c>
      <c r="F18552">
        <v>96</v>
      </c>
      <c r="G18552">
        <v>11</v>
      </c>
      <c r="H18552">
        <v>1</v>
      </c>
      <c r="I18552">
        <v>293</v>
      </c>
      <c r="J18552">
        <v>1</v>
      </c>
      <c r="K18552">
        <v>6</v>
      </c>
      <c r="L18552">
        <v>289</v>
      </c>
      <c r="M18552">
        <v>1</v>
      </c>
      <c r="N18552">
        <v>2.95383E-109</v>
      </c>
      <c r="O18552">
        <v>1007</v>
      </c>
    </row>
    <row r="18553" spans="1:15" x14ac:dyDescent="0.25">
      <c r="A18553" t="s">
        <v>18566</v>
      </c>
      <c r="B18553">
        <v>472</v>
      </c>
      <c r="C18553" s="1" t="str">
        <f>HYPERLINK("http://www.rosaceae.org/gb/gbrowse/malus_x_domestica/?name=MDP0000155332","MDP0000155332")</f>
        <v>MDP0000155332</v>
      </c>
      <c r="D18553">
        <v>43.69</v>
      </c>
      <c r="E18553">
        <v>357</v>
      </c>
      <c r="F18553">
        <v>201</v>
      </c>
      <c r="G18553">
        <v>62</v>
      </c>
      <c r="H18553">
        <v>151</v>
      </c>
      <c r="I18553">
        <v>466</v>
      </c>
      <c r="J18553">
        <v>1</v>
      </c>
      <c r="K18553">
        <v>141</v>
      </c>
      <c r="L18553">
        <v>476</v>
      </c>
      <c r="M18553">
        <v>1</v>
      </c>
      <c r="N18553">
        <v>3.9259499999999998E-51</v>
      </c>
      <c r="O18553">
        <v>507</v>
      </c>
    </row>
    <row r="18554" spans="1:15" x14ac:dyDescent="0.25">
      <c r="A18554" t="s">
        <v>18567</v>
      </c>
      <c r="B18554">
        <v>309</v>
      </c>
      <c r="C18554" s="1" t="str">
        <f>HYPERLINK("http://www.rosaceae.org/gb/gbrowse/malus_x_domestica/?name=MDP0000169104","MDP0000169104")</f>
        <v>MDP0000169104</v>
      </c>
      <c r="D18554">
        <v>69.67</v>
      </c>
      <c r="E18554">
        <v>343</v>
      </c>
      <c r="F18554">
        <v>104</v>
      </c>
      <c r="G18554">
        <v>34</v>
      </c>
      <c r="H18554">
        <v>1</v>
      </c>
      <c r="I18554">
        <v>309</v>
      </c>
      <c r="J18554">
        <v>1</v>
      </c>
      <c r="K18554">
        <v>1</v>
      </c>
      <c r="L18554">
        <v>343</v>
      </c>
      <c r="M18554">
        <v>1</v>
      </c>
      <c r="N18554">
        <v>7.7421500000000002E-133</v>
      </c>
      <c r="O18554">
        <v>1210</v>
      </c>
    </row>
    <row r="18555" spans="1:15" x14ac:dyDescent="0.25">
      <c r="A18555" t="s">
        <v>18568</v>
      </c>
      <c r="B18555">
        <v>880</v>
      </c>
      <c r="C18555" s="1" t="str">
        <f>HYPERLINK("http://www.rosaceae.org/gb/gbrowse/malus_x_domestica/?name=MDP0000317475","MDP0000317475")</f>
        <v>MDP0000317475</v>
      </c>
      <c r="D18555">
        <v>63.18</v>
      </c>
      <c r="E18555">
        <v>345</v>
      </c>
      <c r="F18555">
        <v>127</v>
      </c>
      <c r="G18555">
        <v>25</v>
      </c>
      <c r="H18555">
        <v>399</v>
      </c>
      <c r="I18555">
        <v>720</v>
      </c>
      <c r="J18555">
        <v>1</v>
      </c>
      <c r="K18555">
        <v>774</v>
      </c>
      <c r="L18555">
        <v>1116</v>
      </c>
      <c r="M18555">
        <v>1</v>
      </c>
      <c r="N18555">
        <v>6.0341000000000001E-119</v>
      </c>
      <c r="O18555">
        <v>1095</v>
      </c>
    </row>
    <row r="18556" spans="1:15" x14ac:dyDescent="0.25">
      <c r="A18556" t="s">
        <v>18569</v>
      </c>
      <c r="B18556">
        <v>218</v>
      </c>
      <c r="C18556" s="1" t="str">
        <f>HYPERLINK("http://www.rosaceae.org/gb/gbrowse/malus_x_domestica/?name=MDP0000186834","MDP0000186834")</f>
        <v>MDP0000186834</v>
      </c>
      <c r="D18556">
        <v>30.06</v>
      </c>
      <c r="E18556">
        <v>163</v>
      </c>
      <c r="F18556">
        <v>114</v>
      </c>
      <c r="G18556">
        <v>10</v>
      </c>
      <c r="H18556">
        <v>43</v>
      </c>
      <c r="I18556">
        <v>202</v>
      </c>
      <c r="J18556">
        <v>1</v>
      </c>
      <c r="K18556">
        <v>9</v>
      </c>
      <c r="L18556">
        <v>164</v>
      </c>
      <c r="M18556">
        <v>1</v>
      </c>
      <c r="N18556">
        <v>4.6672000000000003E-8</v>
      </c>
      <c r="O18556">
        <v>132</v>
      </c>
    </row>
    <row r="18557" spans="1:15" x14ac:dyDescent="0.25">
      <c r="A18557" t="s">
        <v>18570</v>
      </c>
      <c r="B18557">
        <v>534</v>
      </c>
      <c r="C18557" s="1" t="str">
        <f>HYPERLINK("http://www.rosaceae.org/gb/gbrowse/malus_x_domestica/?name=MDP0000157943","MDP0000157943")</f>
        <v>MDP0000157943</v>
      </c>
      <c r="D18557">
        <v>52.69</v>
      </c>
      <c r="E18557">
        <v>520</v>
      </c>
      <c r="F18557">
        <v>246</v>
      </c>
      <c r="G18557">
        <v>11</v>
      </c>
      <c r="H18557">
        <v>6</v>
      </c>
      <c r="I18557">
        <v>516</v>
      </c>
      <c r="J18557">
        <v>1</v>
      </c>
      <c r="K18557">
        <v>6</v>
      </c>
      <c r="L18557">
        <v>523</v>
      </c>
      <c r="M18557">
        <v>1</v>
      </c>
      <c r="N18557">
        <v>5.2789899999999997E-154</v>
      </c>
      <c r="O18557">
        <v>1395</v>
      </c>
    </row>
    <row r="18558" spans="1:15" x14ac:dyDescent="0.25">
      <c r="A18558" t="s">
        <v>18571</v>
      </c>
      <c r="B18558">
        <v>543</v>
      </c>
      <c r="C18558" s="1" t="str">
        <f>HYPERLINK("http://www.rosaceae.org/gb/gbrowse/malus_x_domestica/?name=MDP0000197948","MDP0000197948")</f>
        <v>MDP0000197948</v>
      </c>
      <c r="D18558">
        <v>34.24</v>
      </c>
      <c r="E18558">
        <v>511</v>
      </c>
      <c r="F18558">
        <v>336</v>
      </c>
      <c r="G18558">
        <v>69</v>
      </c>
      <c r="H18558">
        <v>10</v>
      </c>
      <c r="I18558">
        <v>452</v>
      </c>
      <c r="J18558">
        <v>1</v>
      </c>
      <c r="K18558">
        <v>31</v>
      </c>
      <c r="L18558">
        <v>540</v>
      </c>
      <c r="M18558">
        <v>1</v>
      </c>
      <c r="N18558">
        <v>5.6552000000000001E-75</v>
      </c>
      <c r="O18558">
        <v>713</v>
      </c>
    </row>
    <row r="18559" spans="1:15" x14ac:dyDescent="0.25">
      <c r="A18559" t="s">
        <v>18572</v>
      </c>
      <c r="B18559">
        <v>166</v>
      </c>
      <c r="C18559" s="1" t="str">
        <f>HYPERLINK("http://www.rosaceae.org/gb/gbrowse/malus_x_domestica/?name=MDP0000911947","MDP0000911947")</f>
        <v>MDP0000911947</v>
      </c>
      <c r="D18559">
        <v>68.75</v>
      </c>
      <c r="E18559">
        <v>112</v>
      </c>
      <c r="F18559">
        <v>35</v>
      </c>
      <c r="G18559">
        <v>9</v>
      </c>
      <c r="H18559">
        <v>1</v>
      </c>
      <c r="I18559">
        <v>112</v>
      </c>
      <c r="J18559">
        <v>1</v>
      </c>
      <c r="K18559">
        <v>491</v>
      </c>
      <c r="L18559">
        <v>593</v>
      </c>
      <c r="M18559">
        <v>1</v>
      </c>
      <c r="N18559">
        <v>1.8744799999999999E-38</v>
      </c>
      <c r="O18559">
        <v>392</v>
      </c>
    </row>
    <row r="18560" spans="1:15" x14ac:dyDescent="0.25">
      <c r="A18560" t="s">
        <v>18573</v>
      </c>
      <c r="B18560">
        <v>1156</v>
      </c>
      <c r="C18560" s="1" t="str">
        <f>HYPERLINK("http://www.rosaceae.org/gb/gbrowse/malus_x_domestica/?name=MDP0000307150","MDP0000307150")</f>
        <v>MDP0000307150</v>
      </c>
      <c r="D18560">
        <v>79.31</v>
      </c>
      <c r="E18560">
        <v>87</v>
      </c>
      <c r="F18560">
        <v>18</v>
      </c>
      <c r="G18560">
        <v>0</v>
      </c>
      <c r="H18560">
        <v>1048</v>
      </c>
      <c r="I18560">
        <v>1134</v>
      </c>
      <c r="J18560">
        <v>1</v>
      </c>
      <c r="K18560">
        <v>121</v>
      </c>
      <c r="L18560">
        <v>207</v>
      </c>
      <c r="M18560">
        <v>1</v>
      </c>
      <c r="N18560">
        <v>5.7168499999999997E-36</v>
      </c>
      <c r="O18560">
        <v>380</v>
      </c>
    </row>
    <row r="18561" spans="1:15" x14ac:dyDescent="0.25">
      <c r="A18561" t="s">
        <v>18574</v>
      </c>
      <c r="B18561">
        <v>345</v>
      </c>
      <c r="C18561" s="1" t="str">
        <f>HYPERLINK("http://www.rosaceae.org/gb/gbrowse/malus_x_domestica/?name=MDP0000460139","MDP0000460139")</f>
        <v>MDP0000460139</v>
      </c>
      <c r="D18561">
        <v>48.14</v>
      </c>
      <c r="E18561">
        <v>324</v>
      </c>
      <c r="F18561">
        <v>168</v>
      </c>
      <c r="G18561">
        <v>19</v>
      </c>
      <c r="H18561">
        <v>7</v>
      </c>
      <c r="I18561">
        <v>322</v>
      </c>
      <c r="J18561">
        <v>1</v>
      </c>
      <c r="K18561">
        <v>3</v>
      </c>
      <c r="L18561">
        <v>315</v>
      </c>
      <c r="M18561">
        <v>1</v>
      </c>
      <c r="N18561">
        <v>5.2034500000000002E-75</v>
      </c>
      <c r="O18561">
        <v>712</v>
      </c>
    </row>
    <row r="18562" spans="1:15" x14ac:dyDescent="0.25">
      <c r="A18562" t="s">
        <v>18575</v>
      </c>
      <c r="B18562">
        <v>347</v>
      </c>
      <c r="C18562" s="1" t="str">
        <f>HYPERLINK("http://www.rosaceae.org/gb/gbrowse/malus_x_domestica/?name=MDP0000664576","MDP0000664576")</f>
        <v>MDP0000664576</v>
      </c>
      <c r="D18562">
        <v>77.040000000000006</v>
      </c>
      <c r="E18562">
        <v>244</v>
      </c>
      <c r="F18562">
        <v>56</v>
      </c>
      <c r="G18562">
        <v>9</v>
      </c>
      <c r="H18562">
        <v>110</v>
      </c>
      <c r="I18562">
        <v>345</v>
      </c>
      <c r="J18562">
        <v>1</v>
      </c>
      <c r="K18562">
        <v>1</v>
      </c>
      <c r="L18562">
        <v>243</v>
      </c>
      <c r="M18562">
        <v>1</v>
      </c>
      <c r="N18562">
        <v>1.8350599999999999E-101</v>
      </c>
      <c r="O18562">
        <v>940</v>
      </c>
    </row>
    <row r="18563" spans="1:15" x14ac:dyDescent="0.25">
      <c r="A18563" t="s">
        <v>18576</v>
      </c>
      <c r="B18563">
        <v>909</v>
      </c>
      <c r="C18563" s="1" t="str">
        <f>HYPERLINK("http://www.rosaceae.org/gb/gbrowse/malus_x_domestica/?name=MDP0000268401","MDP0000268401")</f>
        <v>MDP0000268401</v>
      </c>
      <c r="D18563">
        <v>55.79</v>
      </c>
      <c r="E18563">
        <v>733</v>
      </c>
      <c r="F18563">
        <v>324</v>
      </c>
      <c r="G18563">
        <v>48</v>
      </c>
      <c r="H18563">
        <v>175</v>
      </c>
      <c r="I18563">
        <v>885</v>
      </c>
      <c r="J18563">
        <v>1</v>
      </c>
      <c r="K18563">
        <v>277</v>
      </c>
      <c r="L18563">
        <v>983</v>
      </c>
      <c r="M18563">
        <v>1</v>
      </c>
      <c r="N18563">
        <v>0</v>
      </c>
      <c r="O18563">
        <v>1791</v>
      </c>
    </row>
    <row r="18564" spans="1:15" x14ac:dyDescent="0.25">
      <c r="A18564" t="s">
        <v>18577</v>
      </c>
      <c r="B18564">
        <v>1614</v>
      </c>
      <c r="C18564" s="1" t="str">
        <f>HYPERLINK("http://www.rosaceae.org/gb/gbrowse/malus_x_domestica/?name=MDP0000436829","MDP0000436829")</f>
        <v>MDP0000436829</v>
      </c>
      <c r="D18564">
        <v>78.64</v>
      </c>
      <c r="E18564">
        <v>1466</v>
      </c>
      <c r="F18564">
        <v>313</v>
      </c>
      <c r="G18564">
        <v>34</v>
      </c>
      <c r="H18564">
        <v>103</v>
      </c>
      <c r="I18564">
        <v>1536</v>
      </c>
      <c r="J18564">
        <v>1</v>
      </c>
      <c r="K18564">
        <v>140</v>
      </c>
      <c r="L18564">
        <v>1603</v>
      </c>
      <c r="M18564">
        <v>1</v>
      </c>
      <c r="N18564">
        <v>0</v>
      </c>
      <c r="O18564">
        <v>6035</v>
      </c>
    </row>
    <row r="18565" spans="1:15" x14ac:dyDescent="0.25">
      <c r="A18565" t="s">
        <v>18578</v>
      </c>
      <c r="B18565">
        <v>365</v>
      </c>
      <c r="C18565" s="1" t="str">
        <f>HYPERLINK("http://www.rosaceae.org/gb/gbrowse/malus_x_domestica/?name=MDP0000233598","MDP0000233598")</f>
        <v>MDP0000233598</v>
      </c>
      <c r="D18565">
        <v>24.35</v>
      </c>
      <c r="E18565">
        <v>193</v>
      </c>
      <c r="F18565">
        <v>146</v>
      </c>
      <c r="G18565">
        <v>15</v>
      </c>
      <c r="H18565">
        <v>1</v>
      </c>
      <c r="I18565">
        <v>189</v>
      </c>
      <c r="J18565">
        <v>1</v>
      </c>
      <c r="K18565">
        <v>237</v>
      </c>
      <c r="L18565">
        <v>418</v>
      </c>
      <c r="M18565">
        <v>1</v>
      </c>
      <c r="N18565">
        <v>2.6895699999999999E-10</v>
      </c>
      <c r="O18565">
        <v>154</v>
      </c>
    </row>
    <row r="18566" spans="1:15" x14ac:dyDescent="0.25">
      <c r="A18566" t="s">
        <v>18579</v>
      </c>
      <c r="B18566">
        <v>285</v>
      </c>
      <c r="C18566" s="1" t="str">
        <f>HYPERLINK("http://www.rosaceae.org/gb/gbrowse/malus_x_domestica/?name=MDP0000296128","MDP0000296128")</f>
        <v>MDP0000296128</v>
      </c>
      <c r="D18566">
        <v>46.61</v>
      </c>
      <c r="E18566">
        <v>118</v>
      </c>
      <c r="F18566">
        <v>63</v>
      </c>
      <c r="G18566">
        <v>9</v>
      </c>
      <c r="H18566">
        <v>163</v>
      </c>
      <c r="I18566">
        <v>280</v>
      </c>
      <c r="J18566">
        <v>1</v>
      </c>
      <c r="K18566">
        <v>236</v>
      </c>
      <c r="L18566">
        <v>344</v>
      </c>
      <c r="M18566">
        <v>1</v>
      </c>
      <c r="N18566">
        <v>1.166E-22</v>
      </c>
      <c r="O18566">
        <v>259</v>
      </c>
    </row>
    <row r="18567" spans="1:15" x14ac:dyDescent="0.25">
      <c r="A18567" t="s">
        <v>18580</v>
      </c>
      <c r="B18567">
        <v>600</v>
      </c>
      <c r="C18567" s="1" t="str">
        <f>HYPERLINK("http://www.rosaceae.org/gb/gbrowse/malus_x_domestica/?name=MDP0000952010","MDP0000952010")</f>
        <v>MDP0000952010</v>
      </c>
      <c r="D18567">
        <v>66.069999999999993</v>
      </c>
      <c r="E18567">
        <v>622</v>
      </c>
      <c r="F18567">
        <v>211</v>
      </c>
      <c r="G18567">
        <v>44</v>
      </c>
      <c r="H18567">
        <v>1</v>
      </c>
      <c r="I18567">
        <v>600</v>
      </c>
      <c r="J18567">
        <v>1</v>
      </c>
      <c r="K18567">
        <v>1</v>
      </c>
      <c r="L18567">
        <v>600</v>
      </c>
      <c r="M18567">
        <v>1</v>
      </c>
      <c r="N18567">
        <v>0</v>
      </c>
      <c r="O18567">
        <v>1972</v>
      </c>
    </row>
    <row r="18568" spans="1:15" x14ac:dyDescent="0.25">
      <c r="A18568" t="s">
        <v>18581</v>
      </c>
      <c r="B18568">
        <v>348</v>
      </c>
      <c r="C18568" s="1" t="str">
        <f>HYPERLINK("http://www.rosaceae.org/gb/gbrowse/malus_x_domestica/?name=MDP0000726012","MDP0000726012")</f>
        <v>MDP0000726012</v>
      </c>
      <c r="D18568">
        <v>56.45</v>
      </c>
      <c r="E18568">
        <v>209</v>
      </c>
      <c r="F18568">
        <v>91</v>
      </c>
      <c r="G18568">
        <v>13</v>
      </c>
      <c r="H18568">
        <v>31</v>
      </c>
      <c r="I18568">
        <v>230</v>
      </c>
      <c r="J18568">
        <v>1</v>
      </c>
      <c r="K18568">
        <v>47</v>
      </c>
      <c r="L18568">
        <v>251</v>
      </c>
      <c r="M18568">
        <v>1</v>
      </c>
      <c r="N18568">
        <v>8.4548500000000003E-55</v>
      </c>
      <c r="O18568">
        <v>537</v>
      </c>
    </row>
    <row r="18569" spans="1:15" x14ac:dyDescent="0.25">
      <c r="A18569" t="s">
        <v>18582</v>
      </c>
      <c r="B18569">
        <v>429</v>
      </c>
      <c r="C18569" s="1" t="str">
        <f>HYPERLINK("http://www.rosaceae.org/gb/gbrowse/malus_x_domestica/?name=MDP0000258767","MDP0000258767")</f>
        <v>MDP0000258767</v>
      </c>
      <c r="D18569">
        <v>79.77</v>
      </c>
      <c r="E18569">
        <v>89</v>
      </c>
      <c r="F18569">
        <v>18</v>
      </c>
      <c r="G18569">
        <v>4</v>
      </c>
      <c r="H18569">
        <v>225</v>
      </c>
      <c r="I18569">
        <v>313</v>
      </c>
      <c r="J18569">
        <v>1</v>
      </c>
      <c r="K18569">
        <v>153</v>
      </c>
      <c r="L18569">
        <v>237</v>
      </c>
      <c r="M18569">
        <v>1</v>
      </c>
      <c r="N18569">
        <v>1.89117E-32</v>
      </c>
      <c r="O18569">
        <v>346</v>
      </c>
    </row>
    <row r="18570" spans="1:15" x14ac:dyDescent="0.25">
      <c r="A18570" t="s">
        <v>18583</v>
      </c>
      <c r="B18570">
        <v>103</v>
      </c>
      <c r="C18570" s="1" t="str">
        <f>HYPERLINK("http://www.rosaceae.org/gb/gbrowse/malus_x_domestica/?name=MDP0000241776","MDP0000241776")</f>
        <v>MDP0000241776</v>
      </c>
      <c r="D18570">
        <v>49.07</v>
      </c>
      <c r="E18570">
        <v>108</v>
      </c>
      <c r="F18570">
        <v>55</v>
      </c>
      <c r="G18570">
        <v>12</v>
      </c>
      <c r="H18570">
        <v>1</v>
      </c>
      <c r="I18570">
        <v>103</v>
      </c>
      <c r="J18570">
        <v>1</v>
      </c>
      <c r="K18570">
        <v>31</v>
      </c>
      <c r="L18570">
        <v>131</v>
      </c>
      <c r="M18570">
        <v>1</v>
      </c>
      <c r="N18570">
        <v>4.2201500000000003E-12</v>
      </c>
      <c r="O18570">
        <v>162</v>
      </c>
    </row>
    <row r="18571" spans="1:15" x14ac:dyDescent="0.25">
      <c r="A18571" t="s">
        <v>18584</v>
      </c>
      <c r="B18571">
        <v>247</v>
      </c>
      <c r="C18571" s="1" t="str">
        <f>HYPERLINK("http://www.rosaceae.org/gb/gbrowse/malus_x_domestica/?name=MDP0000320319","MDP0000320319")</f>
        <v>MDP0000320319</v>
      </c>
      <c r="D18571">
        <v>79.11</v>
      </c>
      <c r="E18571">
        <v>249</v>
      </c>
      <c r="F18571">
        <v>52</v>
      </c>
      <c r="G18571">
        <v>3</v>
      </c>
      <c r="H18571">
        <v>1</v>
      </c>
      <c r="I18571">
        <v>246</v>
      </c>
      <c r="J18571">
        <v>1</v>
      </c>
      <c r="K18571">
        <v>1</v>
      </c>
      <c r="L18571">
        <v>249</v>
      </c>
      <c r="M18571">
        <v>1</v>
      </c>
      <c r="N18571">
        <v>8.0935900000000002E-113</v>
      </c>
      <c r="O18571">
        <v>1036</v>
      </c>
    </row>
    <row r="18572" spans="1:15" x14ac:dyDescent="0.25">
      <c r="A18572" t="s">
        <v>18585</v>
      </c>
      <c r="B18572">
        <v>310</v>
      </c>
      <c r="C18572" s="1" t="str">
        <f>HYPERLINK("http://www.rosaceae.org/gb/gbrowse/malus_x_domestica/?name=MDP0000296691","MDP0000296691")</f>
        <v>MDP0000296691</v>
      </c>
      <c r="D18572">
        <v>29.1</v>
      </c>
      <c r="E18572">
        <v>213</v>
      </c>
      <c r="F18572">
        <v>151</v>
      </c>
      <c r="G18572">
        <v>40</v>
      </c>
      <c r="H18572">
        <v>102</v>
      </c>
      <c r="I18572">
        <v>296</v>
      </c>
      <c r="J18572">
        <v>1</v>
      </c>
      <c r="K18572">
        <v>426</v>
      </c>
      <c r="L18572">
        <v>616</v>
      </c>
      <c r="M18572">
        <v>1</v>
      </c>
      <c r="N18572">
        <v>7.9195400000000001E-14</v>
      </c>
      <c r="O18572">
        <v>183</v>
      </c>
    </row>
    <row r="18573" spans="1:15" x14ac:dyDescent="0.25">
      <c r="A18573" t="s">
        <v>18586</v>
      </c>
      <c r="B18573">
        <v>443</v>
      </c>
      <c r="C18573" s="1" t="str">
        <f>HYPERLINK("http://www.rosaceae.org/gb/gbrowse/malus_x_domestica/?name=MDP0000152557","MDP0000152557")</f>
        <v>MDP0000152557</v>
      </c>
      <c r="D18573">
        <v>61.62</v>
      </c>
      <c r="E18573">
        <v>443</v>
      </c>
      <c r="F18573">
        <v>170</v>
      </c>
      <c r="G18573">
        <v>1</v>
      </c>
      <c r="H18573">
        <v>2</v>
      </c>
      <c r="I18573">
        <v>443</v>
      </c>
      <c r="J18573">
        <v>1</v>
      </c>
      <c r="K18573">
        <v>30</v>
      </c>
      <c r="L18573">
        <v>472</v>
      </c>
      <c r="M18573">
        <v>1</v>
      </c>
      <c r="N18573">
        <v>6.7129299999999995E-160</v>
      </c>
      <c r="O18573">
        <v>1445</v>
      </c>
    </row>
    <row r="18574" spans="1:15" x14ac:dyDescent="0.25">
      <c r="A18574" t="s">
        <v>18587</v>
      </c>
      <c r="B18574">
        <v>175</v>
      </c>
      <c r="C18574" s="1" t="str">
        <f>HYPERLINK("http://www.rosaceae.org/gb/gbrowse/malus_x_domestica/?name=MDP0000224106","MDP0000224106")</f>
        <v>MDP0000224106</v>
      </c>
      <c r="D18574">
        <v>63.38</v>
      </c>
      <c r="E18574">
        <v>71</v>
      </c>
      <c r="F18574">
        <v>26</v>
      </c>
      <c r="G18574">
        <v>2</v>
      </c>
      <c r="H18574">
        <v>1</v>
      </c>
      <c r="I18574">
        <v>71</v>
      </c>
      <c r="J18574">
        <v>1</v>
      </c>
      <c r="K18574">
        <v>1</v>
      </c>
      <c r="L18574">
        <v>69</v>
      </c>
      <c r="M18574">
        <v>1</v>
      </c>
      <c r="N18574">
        <v>2.5345400000000001E-19</v>
      </c>
      <c r="O18574">
        <v>227</v>
      </c>
    </row>
    <row r="18575" spans="1:15" x14ac:dyDescent="0.25">
      <c r="A18575" t="s">
        <v>18588</v>
      </c>
      <c r="B18575">
        <v>239</v>
      </c>
      <c r="C18575" s="1" t="str">
        <f>HYPERLINK("http://www.rosaceae.org/gb/gbrowse/malus_x_domestica/?name=MDP0000400831","MDP0000400831")</f>
        <v>MDP0000400831</v>
      </c>
      <c r="D18575">
        <v>39.799999999999997</v>
      </c>
      <c r="E18575">
        <v>201</v>
      </c>
      <c r="F18575">
        <v>121</v>
      </c>
      <c r="G18575">
        <v>9</v>
      </c>
      <c r="H18575">
        <v>36</v>
      </c>
      <c r="I18575">
        <v>236</v>
      </c>
      <c r="J18575">
        <v>1</v>
      </c>
      <c r="K18575">
        <v>109</v>
      </c>
      <c r="L18575">
        <v>300</v>
      </c>
      <c r="M18575">
        <v>1</v>
      </c>
      <c r="N18575">
        <v>3.8544100000000004E-40</v>
      </c>
      <c r="O18575">
        <v>409</v>
      </c>
    </row>
    <row r="18576" spans="1:15" x14ac:dyDescent="0.25">
      <c r="A18576" t="s">
        <v>18589</v>
      </c>
      <c r="B18576">
        <v>236</v>
      </c>
      <c r="C18576" s="1" t="str">
        <f>HYPERLINK("http://www.rosaceae.org/gb/gbrowse/malus_x_domestica/?name=MDP0000249742","MDP0000249742")</f>
        <v>MDP0000249742</v>
      </c>
      <c r="D18576">
        <v>64.209999999999994</v>
      </c>
      <c r="E18576">
        <v>204</v>
      </c>
      <c r="F18576">
        <v>73</v>
      </c>
      <c r="G18576">
        <v>3</v>
      </c>
      <c r="H18576">
        <v>16</v>
      </c>
      <c r="I18576">
        <v>218</v>
      </c>
      <c r="J18576">
        <v>1</v>
      </c>
      <c r="K18576">
        <v>556</v>
      </c>
      <c r="L18576">
        <v>757</v>
      </c>
      <c r="M18576">
        <v>1</v>
      </c>
      <c r="N18576">
        <v>2.2635100000000001E-74</v>
      </c>
      <c r="O18576">
        <v>704</v>
      </c>
    </row>
    <row r="18577" spans="1:15" x14ac:dyDescent="0.25">
      <c r="A18577" t="s">
        <v>18590</v>
      </c>
      <c r="B18577">
        <v>372</v>
      </c>
      <c r="C18577" s="1" t="str">
        <f>HYPERLINK("http://www.rosaceae.org/gb/gbrowse/malus_x_domestica/?name=MDP0000320742","MDP0000320742")</f>
        <v>MDP0000320742</v>
      </c>
      <c r="D18577">
        <v>82.28</v>
      </c>
      <c r="E18577">
        <v>350</v>
      </c>
      <c r="F18577">
        <v>62</v>
      </c>
      <c r="G18577">
        <v>4</v>
      </c>
      <c r="H18577">
        <v>1</v>
      </c>
      <c r="I18577">
        <v>350</v>
      </c>
      <c r="J18577">
        <v>1</v>
      </c>
      <c r="K18577">
        <v>262</v>
      </c>
      <c r="L18577">
        <v>607</v>
      </c>
      <c r="M18577">
        <v>1</v>
      </c>
      <c r="N18577">
        <v>1.6808300000000001E-169</v>
      </c>
      <c r="O18577">
        <v>1527</v>
      </c>
    </row>
    <row r="18578" spans="1:15" x14ac:dyDescent="0.25">
      <c r="A18578" t="s">
        <v>18591</v>
      </c>
      <c r="B18578">
        <v>603</v>
      </c>
      <c r="C18578" s="1" t="str">
        <f>HYPERLINK("http://www.rosaceae.org/gb/gbrowse/malus_x_domestica/?name=MDP0000181135","MDP0000181135")</f>
        <v>MDP0000181135</v>
      </c>
      <c r="D18578">
        <v>29.27</v>
      </c>
      <c r="E18578">
        <v>427</v>
      </c>
      <c r="F18578">
        <v>302</v>
      </c>
      <c r="G18578">
        <v>30</v>
      </c>
      <c r="H18578">
        <v>37</v>
      </c>
      <c r="I18578">
        <v>439</v>
      </c>
      <c r="J18578">
        <v>1</v>
      </c>
      <c r="K18578">
        <v>10</v>
      </c>
      <c r="L18578">
        <v>430</v>
      </c>
      <c r="M18578">
        <v>1</v>
      </c>
      <c r="N18578">
        <v>1.05166E-29</v>
      </c>
      <c r="O18578">
        <v>323</v>
      </c>
    </row>
    <row r="18579" spans="1:15" x14ac:dyDescent="0.25">
      <c r="A18579" t="s">
        <v>18592</v>
      </c>
      <c r="B18579">
        <v>404</v>
      </c>
      <c r="C18579" s="1" t="str">
        <f>HYPERLINK("http://www.rosaceae.org/gb/gbrowse/malus_x_domestica/?name=MDP0000245047","MDP0000245047")</f>
        <v>MDP0000245047</v>
      </c>
      <c r="D18579">
        <v>90.34</v>
      </c>
      <c r="E18579">
        <v>404</v>
      </c>
      <c r="F18579">
        <v>39</v>
      </c>
      <c r="G18579">
        <v>10</v>
      </c>
      <c r="H18579">
        <v>1</v>
      </c>
      <c r="I18579">
        <v>404</v>
      </c>
      <c r="J18579">
        <v>1</v>
      </c>
      <c r="K18579">
        <v>1</v>
      </c>
      <c r="L18579">
        <v>394</v>
      </c>
      <c r="M18579">
        <v>1</v>
      </c>
      <c r="N18579">
        <v>0</v>
      </c>
      <c r="O18579">
        <v>1953</v>
      </c>
    </row>
    <row r="18580" spans="1:15" x14ac:dyDescent="0.25">
      <c r="A18580" t="s">
        <v>18593</v>
      </c>
      <c r="B18580">
        <v>397</v>
      </c>
      <c r="C18580" s="1" t="str">
        <f>HYPERLINK("http://www.rosaceae.org/gb/gbrowse/malus_x_domestica/?name=MDP0000130874","MDP0000130874")</f>
        <v>MDP0000130874</v>
      </c>
      <c r="D18580">
        <v>73.709999999999994</v>
      </c>
      <c r="E18580">
        <v>156</v>
      </c>
      <c r="F18580">
        <v>41</v>
      </c>
      <c r="G18580">
        <v>17</v>
      </c>
      <c r="H18580">
        <v>25</v>
      </c>
      <c r="I18580">
        <v>179</v>
      </c>
      <c r="J18580">
        <v>1</v>
      </c>
      <c r="K18580">
        <v>113</v>
      </c>
      <c r="L18580">
        <v>252</v>
      </c>
      <c r="M18580">
        <v>1</v>
      </c>
      <c r="N18580">
        <v>2.50081E-61</v>
      </c>
      <c r="O18580">
        <v>594</v>
      </c>
    </row>
    <row r="18581" spans="1:15" x14ac:dyDescent="0.25">
      <c r="A18581" t="s">
        <v>18594</v>
      </c>
      <c r="B18581">
        <v>764</v>
      </c>
      <c r="C18581" s="1" t="str">
        <f>HYPERLINK("http://www.rosaceae.org/gb/gbrowse/malus_x_domestica/?name=MDP0000220242","MDP0000220242")</f>
        <v>MDP0000220242</v>
      </c>
      <c r="D18581">
        <v>51.28</v>
      </c>
      <c r="E18581">
        <v>815</v>
      </c>
      <c r="F18581">
        <v>397</v>
      </c>
      <c r="G18581">
        <v>96</v>
      </c>
      <c r="H18581">
        <v>8</v>
      </c>
      <c r="I18581">
        <v>764</v>
      </c>
      <c r="J18581">
        <v>1</v>
      </c>
      <c r="K18581">
        <v>12</v>
      </c>
      <c r="L18581">
        <v>788</v>
      </c>
      <c r="M18581">
        <v>1</v>
      </c>
      <c r="N18581">
        <v>0</v>
      </c>
      <c r="O18581">
        <v>2070</v>
      </c>
    </row>
    <row r="18582" spans="1:15" x14ac:dyDescent="0.25">
      <c r="A18582" t="s">
        <v>18595</v>
      </c>
      <c r="B18582">
        <v>136</v>
      </c>
      <c r="C18582" s="1" t="str">
        <f>HYPERLINK("http://www.rosaceae.org/gb/gbrowse/malus_x_domestica/?name=MDP0000322229","MDP0000322229")</f>
        <v>MDP0000322229</v>
      </c>
      <c r="D18582">
        <v>87.5</v>
      </c>
      <c r="E18582">
        <v>136</v>
      </c>
      <c r="F18582">
        <v>17</v>
      </c>
      <c r="G18582">
        <v>0</v>
      </c>
      <c r="H18582">
        <v>1</v>
      </c>
      <c r="I18582">
        <v>136</v>
      </c>
      <c r="J18582">
        <v>1</v>
      </c>
      <c r="K18582">
        <v>37</v>
      </c>
      <c r="L18582">
        <v>172</v>
      </c>
      <c r="M18582">
        <v>1</v>
      </c>
      <c r="N18582">
        <v>3.0720100000000002E-63</v>
      </c>
      <c r="O18582">
        <v>604</v>
      </c>
    </row>
    <row r="18583" spans="1:15" x14ac:dyDescent="0.25">
      <c r="A18583" t="s">
        <v>18596</v>
      </c>
      <c r="B18583">
        <v>633</v>
      </c>
      <c r="C18583" s="1" t="str">
        <f>HYPERLINK("http://www.rosaceae.org/gb/gbrowse/malus_x_domestica/?name=MDP0000462047","MDP0000462047")</f>
        <v>MDP0000462047</v>
      </c>
      <c r="D18583">
        <v>83.46</v>
      </c>
      <c r="E18583">
        <v>611</v>
      </c>
      <c r="F18583">
        <v>101</v>
      </c>
      <c r="G18583">
        <v>2</v>
      </c>
      <c r="H18583">
        <v>24</v>
      </c>
      <c r="I18583">
        <v>633</v>
      </c>
      <c r="J18583">
        <v>1</v>
      </c>
      <c r="K18583">
        <v>24</v>
      </c>
      <c r="L18583">
        <v>633</v>
      </c>
      <c r="M18583">
        <v>1</v>
      </c>
      <c r="N18583">
        <v>0</v>
      </c>
      <c r="O18583">
        <v>2749</v>
      </c>
    </row>
    <row r="18584" spans="1:15" x14ac:dyDescent="0.25">
      <c r="A18584" t="s">
        <v>18597</v>
      </c>
      <c r="B18584">
        <v>308</v>
      </c>
      <c r="C18584" s="1" t="str">
        <f>HYPERLINK("http://www.rosaceae.org/gb/gbrowse/malus_x_domestica/?name=MDP0000187572","MDP0000187572")</f>
        <v>MDP0000187572</v>
      </c>
      <c r="D18584">
        <v>55.82</v>
      </c>
      <c r="E18584">
        <v>326</v>
      </c>
      <c r="F18584">
        <v>144</v>
      </c>
      <c r="G18584">
        <v>43</v>
      </c>
      <c r="H18584">
        <v>1</v>
      </c>
      <c r="I18584">
        <v>285</v>
      </c>
      <c r="J18584">
        <v>1</v>
      </c>
      <c r="K18584">
        <v>393</v>
      </c>
      <c r="L18584">
        <v>716</v>
      </c>
      <c r="M18584">
        <v>1</v>
      </c>
      <c r="N18584">
        <v>4.4913E-95</v>
      </c>
      <c r="O18584">
        <v>884</v>
      </c>
    </row>
    <row r="18585" spans="1:15" x14ac:dyDescent="0.25">
      <c r="A18585" t="s">
        <v>18598</v>
      </c>
      <c r="B18585">
        <v>690</v>
      </c>
      <c r="C18585" s="1" t="str">
        <f>HYPERLINK("http://www.rosaceae.org/gb/gbrowse/malus_x_domestica/?name=MDP0000309505","MDP0000309505")</f>
        <v>MDP0000309505</v>
      </c>
      <c r="D18585">
        <v>64.94</v>
      </c>
      <c r="E18585">
        <v>756</v>
      </c>
      <c r="F18585">
        <v>265</v>
      </c>
      <c r="G18585">
        <v>76</v>
      </c>
      <c r="H18585">
        <v>1</v>
      </c>
      <c r="I18585">
        <v>690</v>
      </c>
      <c r="J18585">
        <v>1</v>
      </c>
      <c r="K18585">
        <v>1</v>
      </c>
      <c r="L18585">
        <v>746</v>
      </c>
      <c r="M18585">
        <v>1</v>
      </c>
      <c r="N18585">
        <v>0</v>
      </c>
      <c r="O18585">
        <v>2430</v>
      </c>
    </row>
    <row r="18586" spans="1:15" x14ac:dyDescent="0.25">
      <c r="A18586" t="s">
        <v>18599</v>
      </c>
      <c r="B18586">
        <v>408</v>
      </c>
      <c r="C18586" s="1" t="str">
        <f>HYPERLINK("http://www.rosaceae.org/gb/gbrowse/malus_x_domestica/?name=MDP0000473182","MDP0000473182")</f>
        <v>MDP0000473182</v>
      </c>
      <c r="D18586">
        <v>77.62</v>
      </c>
      <c r="E18586">
        <v>429</v>
      </c>
      <c r="F18586">
        <v>96</v>
      </c>
      <c r="G18586">
        <v>21</v>
      </c>
      <c r="H18586">
        <v>1</v>
      </c>
      <c r="I18586">
        <v>408</v>
      </c>
      <c r="J18586">
        <v>1</v>
      </c>
      <c r="K18586">
        <v>1</v>
      </c>
      <c r="L18586">
        <v>429</v>
      </c>
      <c r="M18586">
        <v>1</v>
      </c>
      <c r="N18586">
        <v>0</v>
      </c>
      <c r="O18586">
        <v>1700</v>
      </c>
    </row>
    <row r="18587" spans="1:15" x14ac:dyDescent="0.25">
      <c r="A18587" t="s">
        <v>18600</v>
      </c>
      <c r="B18587">
        <v>365</v>
      </c>
      <c r="C18587" s="1" t="str">
        <f>HYPERLINK("http://www.rosaceae.org/gb/gbrowse/malus_x_domestica/?name=MDP0000774306","MDP0000774306")</f>
        <v>MDP0000774306</v>
      </c>
      <c r="D18587">
        <v>45.45</v>
      </c>
      <c r="E18587">
        <v>341</v>
      </c>
      <c r="F18587">
        <v>186</v>
      </c>
      <c r="G18587">
        <v>12</v>
      </c>
      <c r="H18587">
        <v>1</v>
      </c>
      <c r="I18587">
        <v>334</v>
      </c>
      <c r="J18587">
        <v>1</v>
      </c>
      <c r="K18587">
        <v>1</v>
      </c>
      <c r="L18587">
        <v>336</v>
      </c>
      <c r="M18587">
        <v>1</v>
      </c>
      <c r="N18587">
        <v>3.0512999999999999E-64</v>
      </c>
      <c r="O18587">
        <v>619</v>
      </c>
    </row>
    <row r="18588" spans="1:15" x14ac:dyDescent="0.25">
      <c r="A18588" t="s">
        <v>18601</v>
      </c>
      <c r="B18588">
        <v>347</v>
      </c>
      <c r="C18588" s="1" t="str">
        <f>HYPERLINK("http://www.rosaceae.org/gb/gbrowse/malus_x_domestica/?name=MDP0000280463","MDP0000280463")</f>
        <v>MDP0000280463</v>
      </c>
      <c r="D18588">
        <v>83.81</v>
      </c>
      <c r="E18588">
        <v>346</v>
      </c>
      <c r="F18588">
        <v>56</v>
      </c>
      <c r="G18588">
        <v>0</v>
      </c>
      <c r="H18588">
        <v>1</v>
      </c>
      <c r="I18588">
        <v>346</v>
      </c>
      <c r="J18588">
        <v>1</v>
      </c>
      <c r="K18588">
        <v>1</v>
      </c>
      <c r="L18588">
        <v>346</v>
      </c>
      <c r="M18588">
        <v>1</v>
      </c>
      <c r="N18588">
        <v>2.68238E-173</v>
      </c>
      <c r="O18588">
        <v>1559</v>
      </c>
    </row>
    <row r="18589" spans="1:15" x14ac:dyDescent="0.25">
      <c r="A18589" t="s">
        <v>18602</v>
      </c>
      <c r="B18589">
        <v>444</v>
      </c>
      <c r="C18589" s="1" t="str">
        <f>HYPERLINK("http://www.rosaceae.org/gb/gbrowse/malus_x_domestica/?name=MDP0000749824","MDP0000749824")</f>
        <v>MDP0000749824</v>
      </c>
      <c r="D18589">
        <v>94.04</v>
      </c>
      <c r="E18589">
        <v>420</v>
      </c>
      <c r="F18589">
        <v>25</v>
      </c>
      <c r="G18589">
        <v>0</v>
      </c>
      <c r="H18589">
        <v>1</v>
      </c>
      <c r="I18589">
        <v>420</v>
      </c>
      <c r="J18589">
        <v>1</v>
      </c>
      <c r="K18589">
        <v>1</v>
      </c>
      <c r="L18589">
        <v>420</v>
      </c>
      <c r="M18589">
        <v>1</v>
      </c>
      <c r="N18589">
        <v>0</v>
      </c>
      <c r="O18589">
        <v>2154</v>
      </c>
    </row>
    <row r="18590" spans="1:15" x14ac:dyDescent="0.25">
      <c r="A18590" t="s">
        <v>18603</v>
      </c>
      <c r="B18590">
        <v>238</v>
      </c>
      <c r="C18590" s="1" t="str">
        <f>HYPERLINK("http://www.rosaceae.org/gb/gbrowse/malus_x_domestica/?name=MDP0000700517","MDP0000700517")</f>
        <v>MDP0000700517</v>
      </c>
      <c r="D18590">
        <v>28</v>
      </c>
      <c r="E18590">
        <v>175</v>
      </c>
      <c r="F18590">
        <v>126</v>
      </c>
      <c r="G18590">
        <v>11</v>
      </c>
      <c r="H18590">
        <v>1</v>
      </c>
      <c r="I18590">
        <v>164</v>
      </c>
      <c r="J18590">
        <v>1</v>
      </c>
      <c r="K18590">
        <v>150</v>
      </c>
      <c r="L18590">
        <v>324</v>
      </c>
      <c r="M18590">
        <v>1</v>
      </c>
      <c r="N18590">
        <v>3.5449300000000002E-16</v>
      </c>
      <c r="O18590">
        <v>202</v>
      </c>
    </row>
    <row r="18591" spans="1:15" x14ac:dyDescent="0.25">
      <c r="A18591" t="s">
        <v>18604</v>
      </c>
      <c r="B18591">
        <v>253</v>
      </c>
      <c r="C18591" s="1" t="str">
        <f>HYPERLINK("http://www.rosaceae.org/gb/gbrowse/malus_x_domestica/?name=MDP0000700517","MDP0000700517")</f>
        <v>MDP0000700517</v>
      </c>
      <c r="D18591">
        <v>27.02</v>
      </c>
      <c r="E18591">
        <v>222</v>
      </c>
      <c r="F18591">
        <v>162</v>
      </c>
      <c r="G18591">
        <v>43</v>
      </c>
      <c r="H18591">
        <v>60</v>
      </c>
      <c r="I18591">
        <v>238</v>
      </c>
      <c r="J18591">
        <v>1</v>
      </c>
      <c r="K18591">
        <v>86</v>
      </c>
      <c r="L18591">
        <v>307</v>
      </c>
      <c r="M18591">
        <v>1</v>
      </c>
      <c r="N18591">
        <v>4.3709899999999999E-17</v>
      </c>
      <c r="O18591">
        <v>210</v>
      </c>
    </row>
    <row r="18592" spans="1:15" x14ac:dyDescent="0.25">
      <c r="A18592" t="s">
        <v>18605</v>
      </c>
      <c r="B18592">
        <v>801</v>
      </c>
      <c r="C18592" s="1" t="str">
        <f>HYPERLINK("http://www.rosaceae.org/gb/gbrowse/malus_x_domestica/?name=MDP0000204794","MDP0000204794")</f>
        <v>MDP0000204794</v>
      </c>
      <c r="D18592">
        <v>27.42</v>
      </c>
      <c r="E18592">
        <v>299</v>
      </c>
      <c r="F18592">
        <v>217</v>
      </c>
      <c r="G18592">
        <v>27</v>
      </c>
      <c r="H18592">
        <v>1</v>
      </c>
      <c r="I18592">
        <v>282</v>
      </c>
      <c r="J18592">
        <v>1</v>
      </c>
      <c r="K18592">
        <v>314</v>
      </c>
      <c r="L18592">
        <v>602</v>
      </c>
      <c r="M18592">
        <v>1</v>
      </c>
      <c r="N18592">
        <v>6.2954999999999997E-30</v>
      </c>
      <c r="O18592">
        <v>327</v>
      </c>
    </row>
    <row r="18593" spans="1:15" x14ac:dyDescent="0.25">
      <c r="A18593" t="s">
        <v>18606</v>
      </c>
      <c r="B18593">
        <v>681</v>
      </c>
      <c r="C18593" s="1" t="str">
        <f>HYPERLINK("http://www.rosaceae.org/gb/gbrowse/malus_x_domestica/?name=MDP0000180389","MDP0000180389")</f>
        <v>MDP0000180389</v>
      </c>
      <c r="D18593">
        <v>53.72</v>
      </c>
      <c r="E18593">
        <v>711</v>
      </c>
      <c r="F18593">
        <v>329</v>
      </c>
      <c r="G18593">
        <v>46</v>
      </c>
      <c r="H18593">
        <v>3</v>
      </c>
      <c r="I18593">
        <v>674</v>
      </c>
      <c r="J18593">
        <v>1</v>
      </c>
      <c r="K18593">
        <v>2</v>
      </c>
      <c r="L18593">
        <v>705</v>
      </c>
      <c r="M18593">
        <v>1</v>
      </c>
      <c r="N18593">
        <v>0</v>
      </c>
      <c r="O18593">
        <v>1847</v>
      </c>
    </row>
    <row r="18594" spans="1:15" x14ac:dyDescent="0.25">
      <c r="A18594" t="s">
        <v>18607</v>
      </c>
      <c r="B18594">
        <v>275</v>
      </c>
      <c r="C18594" s="1" t="str">
        <f>HYPERLINK("http://www.rosaceae.org/gb/gbrowse/malus_x_domestica/?name=MDP0000797064","MDP0000797064")</f>
        <v>MDP0000797064</v>
      </c>
      <c r="D18594">
        <v>82.39</v>
      </c>
      <c r="E18594">
        <v>142</v>
      </c>
      <c r="F18594">
        <v>25</v>
      </c>
      <c r="G18594">
        <v>0</v>
      </c>
      <c r="H18594">
        <v>1</v>
      </c>
      <c r="I18594">
        <v>142</v>
      </c>
      <c r="J18594">
        <v>1</v>
      </c>
      <c r="K18594">
        <v>1</v>
      </c>
      <c r="L18594">
        <v>142</v>
      </c>
      <c r="M18594">
        <v>1</v>
      </c>
      <c r="N18594">
        <v>1.3535400000000001E-62</v>
      </c>
      <c r="O18594">
        <v>603</v>
      </c>
    </row>
    <row r="18595" spans="1:15" x14ac:dyDescent="0.25">
      <c r="A18595" t="s">
        <v>18608</v>
      </c>
      <c r="B18595">
        <v>547</v>
      </c>
      <c r="C18595" s="1" t="str">
        <f>HYPERLINK("http://www.rosaceae.org/gb/gbrowse/malus_x_domestica/?name=MDP0000248311","MDP0000248311")</f>
        <v>MDP0000248311</v>
      </c>
      <c r="D18595">
        <v>75.56</v>
      </c>
      <c r="E18595">
        <v>442</v>
      </c>
      <c r="F18595">
        <v>108</v>
      </c>
      <c r="G18595">
        <v>2</v>
      </c>
      <c r="H18595">
        <v>106</v>
      </c>
      <c r="I18595">
        <v>547</v>
      </c>
      <c r="J18595">
        <v>1</v>
      </c>
      <c r="K18595">
        <v>40</v>
      </c>
      <c r="L18595">
        <v>479</v>
      </c>
      <c r="M18595">
        <v>1</v>
      </c>
      <c r="N18595">
        <v>0</v>
      </c>
      <c r="O18595">
        <v>1763</v>
      </c>
    </row>
    <row r="18596" spans="1:15" x14ac:dyDescent="0.25">
      <c r="A18596" t="s">
        <v>18609</v>
      </c>
      <c r="B18596">
        <v>565</v>
      </c>
      <c r="C18596" s="1" t="str">
        <f>HYPERLINK("http://www.rosaceae.org/gb/gbrowse/malus_x_domestica/?name=MDP0000261642","MDP0000261642")</f>
        <v>MDP0000261642</v>
      </c>
      <c r="D18596">
        <v>57.71</v>
      </c>
      <c r="E18596">
        <v>350</v>
      </c>
      <c r="F18596">
        <v>148</v>
      </c>
      <c r="G18596">
        <v>1</v>
      </c>
      <c r="H18596">
        <v>214</v>
      </c>
      <c r="I18596">
        <v>563</v>
      </c>
      <c r="J18596">
        <v>1</v>
      </c>
      <c r="K18596">
        <v>126</v>
      </c>
      <c r="L18596">
        <v>474</v>
      </c>
      <c r="M18596">
        <v>1</v>
      </c>
      <c r="N18596">
        <v>3.4164300000000001E-121</v>
      </c>
      <c r="O18596">
        <v>1112</v>
      </c>
    </row>
    <row r="18597" spans="1:15" x14ac:dyDescent="0.25">
      <c r="A18597" t="s">
        <v>18610</v>
      </c>
      <c r="B18597">
        <v>107</v>
      </c>
      <c r="C18597" s="1" t="str">
        <f>HYPERLINK("http://www.rosaceae.org/gb/gbrowse/malus_x_domestica/?name=MDP0000285251","MDP0000285251")</f>
        <v>MDP0000285251</v>
      </c>
      <c r="D18597">
        <v>70.430000000000007</v>
      </c>
      <c r="E18597">
        <v>115</v>
      </c>
      <c r="F18597">
        <v>34</v>
      </c>
      <c r="G18597">
        <v>8</v>
      </c>
      <c r="H18597">
        <v>1</v>
      </c>
      <c r="I18597">
        <v>107</v>
      </c>
      <c r="J18597">
        <v>1</v>
      </c>
      <c r="K18597">
        <v>356</v>
      </c>
      <c r="L18597">
        <v>470</v>
      </c>
      <c r="M18597">
        <v>1</v>
      </c>
      <c r="N18597">
        <v>1.08755E-38</v>
      </c>
      <c r="O18597">
        <v>391</v>
      </c>
    </row>
    <row r="18598" spans="1:15" x14ac:dyDescent="0.25">
      <c r="A18598" t="s">
        <v>18611</v>
      </c>
      <c r="B18598">
        <v>456</v>
      </c>
      <c r="C18598" s="1" t="str">
        <f>HYPERLINK("http://www.rosaceae.org/gb/gbrowse/malus_x_domestica/?name=MDP0000500222","MDP0000500222")</f>
        <v>MDP0000500222</v>
      </c>
      <c r="D18598">
        <v>28.49</v>
      </c>
      <c r="E18598">
        <v>358</v>
      </c>
      <c r="F18598">
        <v>256</v>
      </c>
      <c r="G18598">
        <v>74</v>
      </c>
      <c r="H18598">
        <v>14</v>
      </c>
      <c r="I18598">
        <v>366</v>
      </c>
      <c r="J18598">
        <v>1</v>
      </c>
      <c r="K18598">
        <v>73</v>
      </c>
      <c r="L18598">
        <v>361</v>
      </c>
      <c r="M18598">
        <v>1</v>
      </c>
      <c r="N18598">
        <v>4.8176699999999997E-25</v>
      </c>
      <c r="O18598">
        <v>282</v>
      </c>
    </row>
    <row r="18599" spans="1:15" x14ac:dyDescent="0.25">
      <c r="A18599" t="s">
        <v>18612</v>
      </c>
      <c r="B18599">
        <v>259</v>
      </c>
      <c r="C18599" s="1" t="str">
        <f>HYPERLINK("http://www.rosaceae.org/gb/gbrowse/malus_x_domestica/?name=MDP0000312944","MDP0000312944")</f>
        <v>MDP0000312944</v>
      </c>
      <c r="D18599">
        <v>47.09</v>
      </c>
      <c r="E18599">
        <v>155</v>
      </c>
      <c r="F18599">
        <v>82</v>
      </c>
      <c r="G18599">
        <v>27</v>
      </c>
      <c r="H18599">
        <v>101</v>
      </c>
      <c r="I18599">
        <v>234</v>
      </c>
      <c r="J18599">
        <v>1</v>
      </c>
      <c r="K18599">
        <v>24</v>
      </c>
      <c r="L18599">
        <v>172</v>
      </c>
      <c r="M18599">
        <v>1</v>
      </c>
      <c r="N18599">
        <v>5.26759E-25</v>
      </c>
      <c r="O18599">
        <v>279</v>
      </c>
    </row>
    <row r="18600" spans="1:15" x14ac:dyDescent="0.25">
      <c r="A18600" t="s">
        <v>18613</v>
      </c>
      <c r="B18600">
        <v>178</v>
      </c>
      <c r="C18600" s="1" t="str">
        <f>HYPERLINK("http://www.rosaceae.org/gb/gbrowse/malus_x_domestica/?name=MDP0000129639","MDP0000129639")</f>
        <v>MDP0000129639</v>
      </c>
      <c r="D18600">
        <v>68.34</v>
      </c>
      <c r="E18600">
        <v>139</v>
      </c>
      <c r="F18600">
        <v>44</v>
      </c>
      <c r="G18600">
        <v>4</v>
      </c>
      <c r="H18600">
        <v>12</v>
      </c>
      <c r="I18600">
        <v>146</v>
      </c>
      <c r="J18600">
        <v>1</v>
      </c>
      <c r="K18600">
        <v>1</v>
      </c>
      <c r="L18600">
        <v>139</v>
      </c>
      <c r="M18600">
        <v>1</v>
      </c>
      <c r="N18600">
        <v>1.5026699999999999E-54</v>
      </c>
      <c r="O18600">
        <v>531</v>
      </c>
    </row>
    <row r="18601" spans="1:15" x14ac:dyDescent="0.25">
      <c r="A18601" t="s">
        <v>18614</v>
      </c>
      <c r="B18601">
        <v>1889</v>
      </c>
      <c r="C18601" s="1" t="str">
        <f>HYPERLINK("http://www.rosaceae.org/gb/gbrowse/malus_x_domestica/?name=MDP0000395030","MDP0000395030")</f>
        <v>MDP0000395030</v>
      </c>
      <c r="D18601">
        <v>59.34</v>
      </c>
      <c r="E18601">
        <v>1872</v>
      </c>
      <c r="F18601">
        <v>761</v>
      </c>
      <c r="G18601">
        <v>80</v>
      </c>
      <c r="H18601">
        <v>76</v>
      </c>
      <c r="I18601">
        <v>1889</v>
      </c>
      <c r="J18601">
        <v>1</v>
      </c>
      <c r="K18601">
        <v>274</v>
      </c>
      <c r="L18601">
        <v>2123</v>
      </c>
      <c r="M18601">
        <v>1</v>
      </c>
      <c r="N18601">
        <v>0</v>
      </c>
      <c r="O18601">
        <v>5256</v>
      </c>
    </row>
    <row r="18602" spans="1:15" x14ac:dyDescent="0.25">
      <c r="A18602" t="s">
        <v>18615</v>
      </c>
      <c r="B18602">
        <v>119</v>
      </c>
      <c r="C18602" s="1" t="str">
        <f>HYPERLINK("http://www.rosaceae.org/gb/gbrowse/malus_x_domestica/?name=MDP0000655948","MDP0000655948")</f>
        <v>MDP0000655948</v>
      </c>
      <c r="D18602">
        <v>89.65</v>
      </c>
      <c r="E18602">
        <v>116</v>
      </c>
      <c r="F18602">
        <v>12</v>
      </c>
      <c r="G18602">
        <v>0</v>
      </c>
      <c r="H18602">
        <v>1</v>
      </c>
      <c r="I18602">
        <v>116</v>
      </c>
      <c r="J18602">
        <v>1</v>
      </c>
      <c r="K18602">
        <v>1</v>
      </c>
      <c r="L18602">
        <v>116</v>
      </c>
      <c r="M18602">
        <v>1</v>
      </c>
      <c r="N18602">
        <v>1.34745E-55</v>
      </c>
      <c r="O18602">
        <v>537</v>
      </c>
    </row>
    <row r="18603" spans="1:15" x14ac:dyDescent="0.25">
      <c r="A18603" t="s">
        <v>18616</v>
      </c>
      <c r="B18603">
        <v>170</v>
      </c>
      <c r="C18603" s="1" t="str">
        <f>HYPERLINK("http://www.rosaceae.org/gb/gbrowse/malus_x_domestica/?name=MDP0000206052","MDP0000206052")</f>
        <v>MDP0000206052</v>
      </c>
      <c r="D18603">
        <v>58.4</v>
      </c>
      <c r="E18603">
        <v>113</v>
      </c>
      <c r="F18603">
        <v>47</v>
      </c>
      <c r="G18603">
        <v>9</v>
      </c>
      <c r="H18603">
        <v>60</v>
      </c>
      <c r="I18603">
        <v>167</v>
      </c>
      <c r="J18603">
        <v>1</v>
      </c>
      <c r="K18603">
        <v>61</v>
      </c>
      <c r="L18603">
        <v>169</v>
      </c>
      <c r="M18603">
        <v>1</v>
      </c>
      <c r="N18603">
        <v>2.6361800000000002E-32</v>
      </c>
      <c r="O18603">
        <v>339</v>
      </c>
    </row>
    <row r="18604" spans="1:15" x14ac:dyDescent="0.25">
      <c r="A18604" t="s">
        <v>18617</v>
      </c>
      <c r="B18604">
        <v>237</v>
      </c>
      <c r="C18604" s="1" t="str">
        <f>HYPERLINK("http://www.rosaceae.org/gb/gbrowse/malus_x_domestica/?name=MDP0000316698","MDP0000316698")</f>
        <v>MDP0000316698</v>
      </c>
      <c r="D18604">
        <v>91.54</v>
      </c>
      <c r="E18604">
        <v>201</v>
      </c>
      <c r="F18604">
        <v>17</v>
      </c>
      <c r="G18604">
        <v>1</v>
      </c>
      <c r="H18604">
        <v>1</v>
      </c>
      <c r="I18604">
        <v>200</v>
      </c>
      <c r="J18604">
        <v>1</v>
      </c>
      <c r="K18604">
        <v>1</v>
      </c>
      <c r="L18604">
        <v>201</v>
      </c>
      <c r="M18604">
        <v>1</v>
      </c>
      <c r="N18604">
        <v>7.4514699999999997E-105</v>
      </c>
      <c r="O18604">
        <v>967</v>
      </c>
    </row>
    <row r="18605" spans="1:15" x14ac:dyDescent="0.25">
      <c r="A18605" t="s">
        <v>18618</v>
      </c>
      <c r="B18605">
        <v>833</v>
      </c>
      <c r="C18605" s="1" t="str">
        <f>HYPERLINK("http://www.rosaceae.org/gb/gbrowse/malus_x_domestica/?name=MDP0000465335","MDP0000465335")</f>
        <v>MDP0000465335</v>
      </c>
      <c r="D18605">
        <v>52.3</v>
      </c>
      <c r="E18605">
        <v>889</v>
      </c>
      <c r="F18605">
        <v>424</v>
      </c>
      <c r="G18605">
        <v>93</v>
      </c>
      <c r="H18605">
        <v>21</v>
      </c>
      <c r="I18605">
        <v>833</v>
      </c>
      <c r="J18605">
        <v>1</v>
      </c>
      <c r="K18605">
        <v>21</v>
      </c>
      <c r="L18605">
        <v>892</v>
      </c>
      <c r="M18605">
        <v>1</v>
      </c>
      <c r="N18605">
        <v>0</v>
      </c>
      <c r="O18605">
        <v>2185</v>
      </c>
    </row>
    <row r="18606" spans="1:15" x14ac:dyDescent="0.25">
      <c r="A18606" t="s">
        <v>18619</v>
      </c>
      <c r="B18606">
        <v>1004</v>
      </c>
      <c r="C18606" s="1" t="str">
        <f>HYPERLINK("http://www.rosaceae.org/gb/gbrowse/malus_x_domestica/?name=MDP0000598126","MDP0000598126")</f>
        <v>MDP0000598126</v>
      </c>
      <c r="D18606">
        <v>61.75</v>
      </c>
      <c r="E18606">
        <v>570</v>
      </c>
      <c r="F18606">
        <v>218</v>
      </c>
      <c r="G18606">
        <v>42</v>
      </c>
      <c r="H18606">
        <v>362</v>
      </c>
      <c r="I18606">
        <v>895</v>
      </c>
      <c r="J18606">
        <v>1</v>
      </c>
      <c r="K18606">
        <v>30</v>
      </c>
      <c r="L18606">
        <v>593</v>
      </c>
      <c r="M18606">
        <v>1</v>
      </c>
      <c r="N18606">
        <v>0</v>
      </c>
      <c r="O18606">
        <v>1909</v>
      </c>
    </row>
    <row r="18607" spans="1:15" x14ac:dyDescent="0.25">
      <c r="A18607" t="s">
        <v>18620</v>
      </c>
      <c r="B18607">
        <v>166</v>
      </c>
      <c r="C18607" s="1" t="str">
        <f>HYPERLINK("http://www.rosaceae.org/gb/gbrowse/malus_x_domestica/?name=MDP0000190983","MDP0000190983")</f>
        <v>MDP0000190983</v>
      </c>
      <c r="D18607">
        <v>86.74</v>
      </c>
      <c r="E18607">
        <v>166</v>
      </c>
      <c r="F18607">
        <v>22</v>
      </c>
      <c r="G18607">
        <v>0</v>
      </c>
      <c r="H18607">
        <v>1</v>
      </c>
      <c r="I18607">
        <v>166</v>
      </c>
      <c r="J18607">
        <v>1</v>
      </c>
      <c r="K18607">
        <v>1</v>
      </c>
      <c r="L18607">
        <v>166</v>
      </c>
      <c r="M18607">
        <v>1</v>
      </c>
      <c r="N18607">
        <v>2.62669E-83</v>
      </c>
      <c r="O18607">
        <v>779</v>
      </c>
    </row>
    <row r="18608" spans="1:15" x14ac:dyDescent="0.25">
      <c r="A18608" t="s">
        <v>18621</v>
      </c>
      <c r="B18608">
        <v>1755</v>
      </c>
      <c r="C18608" s="1" t="str">
        <f>HYPERLINK("http://www.rosaceae.org/gb/gbrowse/malus_x_domestica/?name=MDP0000231796","MDP0000231796")</f>
        <v>MDP0000231796</v>
      </c>
      <c r="D18608">
        <v>66.53</v>
      </c>
      <c r="E18608">
        <v>1829</v>
      </c>
      <c r="F18608">
        <v>612</v>
      </c>
      <c r="G18608">
        <v>121</v>
      </c>
      <c r="H18608">
        <v>1</v>
      </c>
      <c r="I18608">
        <v>1755</v>
      </c>
      <c r="J18608">
        <v>1</v>
      </c>
      <c r="K18608">
        <v>108</v>
      </c>
      <c r="L18608">
        <v>1889</v>
      </c>
      <c r="M18608">
        <v>1</v>
      </c>
      <c r="N18608">
        <v>0</v>
      </c>
      <c r="O18608">
        <v>6047</v>
      </c>
    </row>
    <row r="18609" spans="1:15" x14ac:dyDescent="0.25">
      <c r="A18609" t="s">
        <v>18622</v>
      </c>
      <c r="B18609">
        <v>391</v>
      </c>
      <c r="C18609" s="1" t="str">
        <f>HYPERLINK("http://www.rosaceae.org/gb/gbrowse/malus_x_domestica/?name=MDP0000308922","MDP0000308922")</f>
        <v>MDP0000308922</v>
      </c>
      <c r="D18609">
        <v>65.56</v>
      </c>
      <c r="E18609">
        <v>392</v>
      </c>
      <c r="F18609">
        <v>135</v>
      </c>
      <c r="G18609">
        <v>6</v>
      </c>
      <c r="H18609">
        <v>1</v>
      </c>
      <c r="I18609">
        <v>391</v>
      </c>
      <c r="J18609">
        <v>1</v>
      </c>
      <c r="K18609">
        <v>1</v>
      </c>
      <c r="L18609">
        <v>387</v>
      </c>
      <c r="M18609">
        <v>1</v>
      </c>
      <c r="N18609">
        <v>1.7264800000000001E-141</v>
      </c>
      <c r="O18609">
        <v>1286</v>
      </c>
    </row>
    <row r="18610" spans="1:15" x14ac:dyDescent="0.25">
      <c r="A18610" t="s">
        <v>18623</v>
      </c>
      <c r="B18610">
        <v>614</v>
      </c>
      <c r="C18610" s="1" t="str">
        <f>HYPERLINK("http://www.rosaceae.org/gb/gbrowse/malus_x_domestica/?name=MDP0000296691","MDP0000296691")</f>
        <v>MDP0000296691</v>
      </c>
      <c r="D18610">
        <v>22.76</v>
      </c>
      <c r="E18610">
        <v>369</v>
      </c>
      <c r="F18610">
        <v>285</v>
      </c>
      <c r="G18610">
        <v>72</v>
      </c>
      <c r="H18610">
        <v>60</v>
      </c>
      <c r="I18610">
        <v>418</v>
      </c>
      <c r="J18610">
        <v>1</v>
      </c>
      <c r="K18610">
        <v>374</v>
      </c>
      <c r="L18610">
        <v>680</v>
      </c>
      <c r="M18610">
        <v>1</v>
      </c>
      <c r="N18610">
        <v>2.48494E-17</v>
      </c>
      <c r="O18610">
        <v>217</v>
      </c>
    </row>
    <row r="18611" spans="1:15" x14ac:dyDescent="0.25">
      <c r="A18611" t="s">
        <v>18624</v>
      </c>
      <c r="B18611">
        <v>251</v>
      </c>
      <c r="C18611" s="1" t="str">
        <f>HYPERLINK("http://www.rosaceae.org/gb/gbrowse/malus_x_domestica/?name=MDP0000177779","MDP0000177779")</f>
        <v>MDP0000177779</v>
      </c>
      <c r="D18611">
        <v>40.47</v>
      </c>
      <c r="E18611">
        <v>84</v>
      </c>
      <c r="F18611">
        <v>50</v>
      </c>
      <c r="G18611">
        <v>13</v>
      </c>
      <c r="H18611">
        <v>40</v>
      </c>
      <c r="I18611">
        <v>123</v>
      </c>
      <c r="J18611">
        <v>1</v>
      </c>
      <c r="K18611">
        <v>35</v>
      </c>
      <c r="L18611">
        <v>105</v>
      </c>
      <c r="M18611">
        <v>1</v>
      </c>
      <c r="N18611">
        <v>1.4731900000000001E-10</v>
      </c>
      <c r="O18611">
        <v>154</v>
      </c>
    </row>
    <row r="18612" spans="1:15" x14ac:dyDescent="0.25">
      <c r="A18612" t="s">
        <v>18625</v>
      </c>
      <c r="B18612">
        <v>1239</v>
      </c>
      <c r="C18612" s="1" t="str">
        <f>HYPERLINK("http://www.rosaceae.org/gb/gbrowse/malus_x_domestica/?name=MDP0000892426","MDP0000892426")</f>
        <v>MDP0000892426</v>
      </c>
      <c r="D18612">
        <v>56.85</v>
      </c>
      <c r="E18612">
        <v>1124</v>
      </c>
      <c r="F18612">
        <v>485</v>
      </c>
      <c r="G18612">
        <v>62</v>
      </c>
      <c r="H18612">
        <v>149</v>
      </c>
      <c r="I18612">
        <v>1239</v>
      </c>
      <c r="J18612">
        <v>1</v>
      </c>
      <c r="K18612">
        <v>5</v>
      </c>
      <c r="L18612">
        <v>1099</v>
      </c>
      <c r="M18612">
        <v>1</v>
      </c>
      <c r="N18612">
        <v>0</v>
      </c>
      <c r="O18612">
        <v>3018</v>
      </c>
    </row>
    <row r="18613" spans="1:15" x14ac:dyDescent="0.25">
      <c r="A18613" t="s">
        <v>18626</v>
      </c>
      <c r="B18613">
        <v>390</v>
      </c>
      <c r="C18613" s="1" t="str">
        <f>HYPERLINK("http://www.rosaceae.org/gb/gbrowse/malus_x_domestica/?name=MDP0000464809","MDP0000464809")</f>
        <v>MDP0000464809</v>
      </c>
      <c r="D18613">
        <v>71.98</v>
      </c>
      <c r="E18613">
        <v>414</v>
      </c>
      <c r="F18613">
        <v>116</v>
      </c>
      <c r="G18613">
        <v>31</v>
      </c>
      <c r="H18613">
        <v>1</v>
      </c>
      <c r="I18613">
        <v>390</v>
      </c>
      <c r="J18613">
        <v>1</v>
      </c>
      <c r="K18613">
        <v>1</v>
      </c>
      <c r="L18613">
        <v>407</v>
      </c>
      <c r="M18613">
        <v>1</v>
      </c>
      <c r="N18613">
        <v>5.1367599999999997E-167</v>
      </c>
      <c r="O18613">
        <v>1506</v>
      </c>
    </row>
    <row r="18614" spans="1:15" x14ac:dyDescent="0.25">
      <c r="A18614" t="s">
        <v>18627</v>
      </c>
      <c r="B18614">
        <v>349</v>
      </c>
      <c r="C18614" s="1" t="str">
        <f>HYPERLINK("http://www.rosaceae.org/gb/gbrowse/malus_x_domestica/?name=MDP0000827665","MDP0000827665")</f>
        <v>MDP0000827665</v>
      </c>
      <c r="D18614">
        <v>73.459999999999994</v>
      </c>
      <c r="E18614">
        <v>343</v>
      </c>
      <c r="F18614">
        <v>91</v>
      </c>
      <c r="G18614">
        <v>3</v>
      </c>
      <c r="H18614">
        <v>4</v>
      </c>
      <c r="I18614">
        <v>346</v>
      </c>
      <c r="J18614">
        <v>1</v>
      </c>
      <c r="K18614">
        <v>2</v>
      </c>
      <c r="L18614">
        <v>341</v>
      </c>
      <c r="M18614">
        <v>1</v>
      </c>
      <c r="N18614">
        <v>1.93434E-149</v>
      </c>
      <c r="O18614">
        <v>1354</v>
      </c>
    </row>
    <row r="18615" spans="1:15" x14ac:dyDescent="0.25">
      <c r="A18615" t="s">
        <v>18628</v>
      </c>
      <c r="B18615">
        <v>681</v>
      </c>
      <c r="C18615" s="1" t="str">
        <f>HYPERLINK("http://www.rosaceae.org/gb/gbrowse/malus_x_domestica/?name=MDP0000266029","MDP0000266029")</f>
        <v>MDP0000266029</v>
      </c>
      <c r="D18615">
        <v>64.2</v>
      </c>
      <c r="E18615">
        <v>676</v>
      </c>
      <c r="F18615">
        <v>242</v>
      </c>
      <c r="G18615">
        <v>15</v>
      </c>
      <c r="H18615">
        <v>20</v>
      </c>
      <c r="I18615">
        <v>681</v>
      </c>
      <c r="J18615">
        <v>1</v>
      </c>
      <c r="K18615">
        <v>21</v>
      </c>
      <c r="L18615">
        <v>695</v>
      </c>
      <c r="M18615">
        <v>1</v>
      </c>
      <c r="N18615">
        <v>0</v>
      </c>
      <c r="O18615">
        <v>2080</v>
      </c>
    </row>
    <row r="18616" spans="1:15" x14ac:dyDescent="0.25">
      <c r="A18616" t="s">
        <v>18629</v>
      </c>
      <c r="B18616">
        <v>168</v>
      </c>
      <c r="C18616" s="1" t="str">
        <f>HYPERLINK("http://www.rosaceae.org/gb/gbrowse/malus_x_domestica/?name=MDP0000188581","MDP0000188581")</f>
        <v>MDP0000188581</v>
      </c>
      <c r="D18616">
        <v>65.41</v>
      </c>
      <c r="E18616">
        <v>133</v>
      </c>
      <c r="F18616">
        <v>46</v>
      </c>
      <c r="G18616">
        <v>30</v>
      </c>
      <c r="H18616">
        <v>1</v>
      </c>
      <c r="I18616">
        <v>104</v>
      </c>
      <c r="J18616">
        <v>1</v>
      </c>
      <c r="K18616">
        <v>1</v>
      </c>
      <c r="L18616">
        <v>132</v>
      </c>
      <c r="M18616">
        <v>1</v>
      </c>
      <c r="N18616">
        <v>4.2204699999999999E-41</v>
      </c>
      <c r="O18616">
        <v>415</v>
      </c>
    </row>
    <row r="18617" spans="1:15" x14ac:dyDescent="0.25">
      <c r="A18617" t="s">
        <v>18630</v>
      </c>
      <c r="B18617">
        <v>279</v>
      </c>
      <c r="C18617" s="1" t="str">
        <f>HYPERLINK("http://www.rosaceae.org/gb/gbrowse/malus_x_domestica/?name=MDP0000319486","MDP0000319486")</f>
        <v>MDP0000319486</v>
      </c>
      <c r="D18617">
        <v>68.819999999999993</v>
      </c>
      <c r="E18617">
        <v>247</v>
      </c>
      <c r="F18617">
        <v>77</v>
      </c>
      <c r="G18617">
        <v>49</v>
      </c>
      <c r="H18617">
        <v>40</v>
      </c>
      <c r="I18617">
        <v>239</v>
      </c>
      <c r="J18617">
        <v>1</v>
      </c>
      <c r="K18617">
        <v>1</v>
      </c>
      <c r="L18617">
        <v>245</v>
      </c>
      <c r="M18617">
        <v>1</v>
      </c>
      <c r="N18617">
        <v>9.1293900000000005E-90</v>
      </c>
      <c r="O18617">
        <v>838</v>
      </c>
    </row>
    <row r="18618" spans="1:15" x14ac:dyDescent="0.25">
      <c r="A18618" t="s">
        <v>18631</v>
      </c>
      <c r="B18618">
        <v>497</v>
      </c>
      <c r="C18618" s="1" t="str">
        <f>HYPERLINK("http://www.rosaceae.org/gb/gbrowse/malus_x_domestica/?name=MDP0000278124","MDP0000278124")</f>
        <v>MDP0000278124</v>
      </c>
      <c r="D18618">
        <v>63.84</v>
      </c>
      <c r="E18618">
        <v>484</v>
      </c>
      <c r="F18618">
        <v>175</v>
      </c>
      <c r="G18618">
        <v>43</v>
      </c>
      <c r="H18618">
        <v>15</v>
      </c>
      <c r="I18618">
        <v>489</v>
      </c>
      <c r="J18618">
        <v>1</v>
      </c>
      <c r="K18618">
        <v>15</v>
      </c>
      <c r="L18618">
        <v>464</v>
      </c>
      <c r="M18618">
        <v>1</v>
      </c>
      <c r="N18618">
        <v>4.8383799999999997E-170</v>
      </c>
      <c r="O18618">
        <v>1533</v>
      </c>
    </row>
    <row r="18619" spans="1:15" x14ac:dyDescent="0.25">
      <c r="A18619" t="s">
        <v>18632</v>
      </c>
      <c r="B18619">
        <v>178</v>
      </c>
      <c r="C18619" s="1" t="str">
        <f>HYPERLINK("http://www.rosaceae.org/gb/gbrowse/malus_x_domestica/?name=MDP0000289822","MDP0000289822")</f>
        <v>MDP0000289822</v>
      </c>
      <c r="D18619">
        <v>74.150000000000006</v>
      </c>
      <c r="E18619">
        <v>178</v>
      </c>
      <c r="F18619">
        <v>46</v>
      </c>
      <c r="G18619">
        <v>2</v>
      </c>
      <c r="H18619">
        <v>1</v>
      </c>
      <c r="I18619">
        <v>178</v>
      </c>
      <c r="J18619">
        <v>1</v>
      </c>
      <c r="K18619">
        <v>33</v>
      </c>
      <c r="L18619">
        <v>208</v>
      </c>
      <c r="M18619">
        <v>1</v>
      </c>
      <c r="N18619">
        <v>2.6363599999999998E-72</v>
      </c>
      <c r="O18619">
        <v>684</v>
      </c>
    </row>
    <row r="18620" spans="1:15" x14ac:dyDescent="0.25">
      <c r="A18620" t="s">
        <v>18633</v>
      </c>
      <c r="B18620">
        <v>403</v>
      </c>
      <c r="C18620" s="1" t="str">
        <f>HYPERLINK("http://www.rosaceae.org/gb/gbrowse/malus_x_domestica/?name=MDP0000303101","MDP0000303101")</f>
        <v>MDP0000303101</v>
      </c>
      <c r="D18620">
        <v>80.55</v>
      </c>
      <c r="E18620">
        <v>324</v>
      </c>
      <c r="F18620">
        <v>63</v>
      </c>
      <c r="G18620">
        <v>0</v>
      </c>
      <c r="H18620">
        <v>75</v>
      </c>
      <c r="I18620">
        <v>398</v>
      </c>
      <c r="J18620">
        <v>1</v>
      </c>
      <c r="K18620">
        <v>4</v>
      </c>
      <c r="L18620">
        <v>327</v>
      </c>
      <c r="M18620">
        <v>1</v>
      </c>
      <c r="N18620">
        <v>7.4119500000000004E-154</v>
      </c>
      <c r="O18620">
        <v>1392</v>
      </c>
    </row>
    <row r="18621" spans="1:15" x14ac:dyDescent="0.25">
      <c r="A18621" t="s">
        <v>18634</v>
      </c>
      <c r="B18621">
        <v>459</v>
      </c>
      <c r="C18621" s="1" t="str">
        <f>HYPERLINK("http://www.rosaceae.org/gb/gbrowse/malus_x_domestica/?name=MDP0000184656","MDP0000184656")</f>
        <v>MDP0000184656</v>
      </c>
      <c r="D18621">
        <v>86.71</v>
      </c>
      <c r="E18621">
        <v>459</v>
      </c>
      <c r="F18621">
        <v>61</v>
      </c>
      <c r="G18621">
        <v>2</v>
      </c>
      <c r="H18621">
        <v>1</v>
      </c>
      <c r="I18621">
        <v>459</v>
      </c>
      <c r="J18621">
        <v>1</v>
      </c>
      <c r="K18621">
        <v>1</v>
      </c>
      <c r="L18621">
        <v>457</v>
      </c>
      <c r="M18621">
        <v>1</v>
      </c>
      <c r="N18621">
        <v>0</v>
      </c>
      <c r="O18621">
        <v>2111</v>
      </c>
    </row>
    <row r="18622" spans="1:15" x14ac:dyDescent="0.25">
      <c r="A18622" t="s">
        <v>18635</v>
      </c>
      <c r="B18622">
        <v>374</v>
      </c>
      <c r="C18622" s="1" t="str">
        <f>HYPERLINK("http://www.rosaceae.org/gb/gbrowse/malus_x_domestica/?name=MDP0000292132","MDP0000292132")</f>
        <v>MDP0000292132</v>
      </c>
      <c r="D18622">
        <v>39.08</v>
      </c>
      <c r="E18622">
        <v>197</v>
      </c>
      <c r="F18622">
        <v>120</v>
      </c>
      <c r="G18622">
        <v>24</v>
      </c>
      <c r="H18622">
        <v>110</v>
      </c>
      <c r="I18622">
        <v>295</v>
      </c>
      <c r="J18622">
        <v>1</v>
      </c>
      <c r="K18622">
        <v>1</v>
      </c>
      <c r="L18622">
        <v>184</v>
      </c>
      <c r="M18622">
        <v>1</v>
      </c>
      <c r="N18622">
        <v>2.52396E-30</v>
      </c>
      <c r="O18622">
        <v>327</v>
      </c>
    </row>
    <row r="18623" spans="1:15" x14ac:dyDescent="0.25">
      <c r="A18623" t="s">
        <v>18636</v>
      </c>
      <c r="B18623">
        <v>214</v>
      </c>
      <c r="C18623" s="1" t="str">
        <f>HYPERLINK("http://www.rosaceae.org/gb/gbrowse/malus_x_domestica/?name=MDP0000266097","MDP0000266097")</f>
        <v>MDP0000266097</v>
      </c>
      <c r="D18623">
        <v>77.83</v>
      </c>
      <c r="E18623">
        <v>212</v>
      </c>
      <c r="F18623">
        <v>47</v>
      </c>
      <c r="G18623">
        <v>0</v>
      </c>
      <c r="H18623">
        <v>1</v>
      </c>
      <c r="I18623">
        <v>212</v>
      </c>
      <c r="J18623">
        <v>1</v>
      </c>
      <c r="K18623">
        <v>1</v>
      </c>
      <c r="L18623">
        <v>212</v>
      </c>
      <c r="M18623">
        <v>1</v>
      </c>
      <c r="N18623">
        <v>1.47377E-96</v>
      </c>
      <c r="O18623">
        <v>895</v>
      </c>
    </row>
    <row r="18624" spans="1:15" x14ac:dyDescent="0.25">
      <c r="A18624" t="s">
        <v>18637</v>
      </c>
      <c r="B18624">
        <v>379</v>
      </c>
      <c r="C18624" s="1" t="str">
        <f>HYPERLINK("http://www.rosaceae.org/gb/gbrowse/malus_x_domestica/?name=MDP0000237182","MDP0000237182")</f>
        <v>MDP0000237182</v>
      </c>
      <c r="D18624">
        <v>28.57</v>
      </c>
      <c r="E18624">
        <v>217</v>
      </c>
      <c r="F18624">
        <v>155</v>
      </c>
      <c r="G18624">
        <v>4</v>
      </c>
      <c r="H18624">
        <v>57</v>
      </c>
      <c r="I18624">
        <v>273</v>
      </c>
      <c r="J18624">
        <v>1</v>
      </c>
      <c r="K18624">
        <v>263</v>
      </c>
      <c r="L18624">
        <v>475</v>
      </c>
      <c r="M18624">
        <v>1</v>
      </c>
      <c r="N18624">
        <v>1.94206E-19</v>
      </c>
      <c r="O18624">
        <v>233</v>
      </c>
    </row>
    <row r="18625" spans="1:15" x14ac:dyDescent="0.25">
      <c r="A18625" t="s">
        <v>18638</v>
      </c>
      <c r="B18625">
        <v>404</v>
      </c>
      <c r="C18625" s="1" t="str">
        <f>HYPERLINK("http://www.rosaceae.org/gb/gbrowse/malus_x_domestica/?name=MDP0000235326","MDP0000235326")</f>
        <v>MDP0000235326</v>
      </c>
      <c r="D18625">
        <v>35.29</v>
      </c>
      <c r="E18625">
        <v>187</v>
      </c>
      <c r="F18625">
        <v>121</v>
      </c>
      <c r="G18625">
        <v>14</v>
      </c>
      <c r="H18625">
        <v>66</v>
      </c>
      <c r="I18625">
        <v>244</v>
      </c>
      <c r="J18625">
        <v>1</v>
      </c>
      <c r="K18625">
        <v>5</v>
      </c>
      <c r="L18625">
        <v>185</v>
      </c>
      <c r="M18625">
        <v>1</v>
      </c>
      <c r="N18625">
        <v>2.42495E-19</v>
      </c>
      <c r="O18625">
        <v>232</v>
      </c>
    </row>
    <row r="18626" spans="1:15" x14ac:dyDescent="0.25">
      <c r="A18626" t="s">
        <v>18639</v>
      </c>
      <c r="B18626">
        <v>1361</v>
      </c>
      <c r="C18626" s="1" t="str">
        <f>HYPERLINK("http://www.rosaceae.org/gb/gbrowse/malus_x_domestica/?name=MDP0000868854","MDP0000868854")</f>
        <v>MDP0000868854</v>
      </c>
      <c r="D18626">
        <v>67.94</v>
      </c>
      <c r="E18626">
        <v>209</v>
      </c>
      <c r="F18626">
        <v>67</v>
      </c>
      <c r="G18626">
        <v>15</v>
      </c>
      <c r="H18626">
        <v>947</v>
      </c>
      <c r="I18626">
        <v>1140</v>
      </c>
      <c r="J18626">
        <v>1</v>
      </c>
      <c r="K18626">
        <v>1</v>
      </c>
      <c r="L18626">
        <v>209</v>
      </c>
      <c r="M18626">
        <v>1</v>
      </c>
      <c r="N18626">
        <v>1.9504100000000001E-73</v>
      </c>
      <c r="O18626">
        <v>704</v>
      </c>
    </row>
    <row r="18627" spans="1:15" x14ac:dyDescent="0.25">
      <c r="A18627" t="s">
        <v>18640</v>
      </c>
      <c r="B18627">
        <v>269</v>
      </c>
      <c r="C18627" s="1" t="str">
        <f>HYPERLINK("http://www.rosaceae.org/gb/gbrowse/malus_x_domestica/?name=MDP0000211549","MDP0000211549")</f>
        <v>MDP0000211549</v>
      </c>
      <c r="D18627">
        <v>66.290000000000006</v>
      </c>
      <c r="E18627">
        <v>270</v>
      </c>
      <c r="F18627">
        <v>91</v>
      </c>
      <c r="G18627">
        <v>1</v>
      </c>
      <c r="H18627">
        <v>1</v>
      </c>
      <c r="I18627">
        <v>269</v>
      </c>
      <c r="J18627">
        <v>1</v>
      </c>
      <c r="K18627">
        <v>1</v>
      </c>
      <c r="L18627">
        <v>270</v>
      </c>
      <c r="M18627">
        <v>1</v>
      </c>
      <c r="N18627">
        <v>7.8965499999999997E-102</v>
      </c>
      <c r="O18627">
        <v>942</v>
      </c>
    </row>
    <row r="18628" spans="1:15" x14ac:dyDescent="0.25">
      <c r="A18628" t="s">
        <v>18641</v>
      </c>
      <c r="B18628">
        <v>526</v>
      </c>
      <c r="C18628" s="1" t="str">
        <f>HYPERLINK("http://www.rosaceae.org/gb/gbrowse/malus_x_domestica/?name=MDP0000249752","MDP0000249752")</f>
        <v>MDP0000249752</v>
      </c>
      <c r="D18628">
        <v>51.86</v>
      </c>
      <c r="E18628">
        <v>295</v>
      </c>
      <c r="F18628">
        <v>142</v>
      </c>
      <c r="G18628">
        <v>16</v>
      </c>
      <c r="H18628">
        <v>214</v>
      </c>
      <c r="I18628">
        <v>504</v>
      </c>
      <c r="J18628">
        <v>1</v>
      </c>
      <c r="K18628">
        <v>65</v>
      </c>
      <c r="L18628">
        <v>347</v>
      </c>
      <c r="M18628">
        <v>1</v>
      </c>
      <c r="N18628">
        <v>1.75664E-85</v>
      </c>
      <c r="O18628">
        <v>804</v>
      </c>
    </row>
    <row r="18629" spans="1:15" x14ac:dyDescent="0.25">
      <c r="A18629" t="s">
        <v>18642</v>
      </c>
      <c r="B18629">
        <v>643</v>
      </c>
      <c r="C18629" s="1" t="str">
        <f>HYPERLINK("http://www.rosaceae.org/gb/gbrowse/malus_x_domestica/?name=MDP0000298646","MDP0000298646")</f>
        <v>MDP0000298646</v>
      </c>
      <c r="D18629">
        <v>68.62</v>
      </c>
      <c r="E18629">
        <v>459</v>
      </c>
      <c r="F18629">
        <v>144</v>
      </c>
      <c r="G18629">
        <v>11</v>
      </c>
      <c r="H18629">
        <v>46</v>
      </c>
      <c r="I18629">
        <v>493</v>
      </c>
      <c r="J18629">
        <v>1</v>
      </c>
      <c r="K18629">
        <v>47</v>
      </c>
      <c r="L18629">
        <v>505</v>
      </c>
      <c r="M18629">
        <v>1</v>
      </c>
      <c r="N18629">
        <v>0</v>
      </c>
      <c r="O18629">
        <v>1671</v>
      </c>
    </row>
    <row r="18630" spans="1:15" x14ac:dyDescent="0.25">
      <c r="A18630" t="s">
        <v>18643</v>
      </c>
      <c r="B18630">
        <v>433</v>
      </c>
      <c r="C18630" s="1" t="str">
        <f>HYPERLINK("http://www.rosaceae.org/gb/gbrowse/malus_x_domestica/?name=MDP0000196421","MDP0000196421")</f>
        <v>MDP0000196421</v>
      </c>
      <c r="D18630">
        <v>50.81</v>
      </c>
      <c r="E18630">
        <v>183</v>
      </c>
      <c r="F18630">
        <v>90</v>
      </c>
      <c r="G18630">
        <v>8</v>
      </c>
      <c r="H18630">
        <v>56</v>
      </c>
      <c r="I18630">
        <v>234</v>
      </c>
      <c r="J18630">
        <v>1</v>
      </c>
      <c r="K18630">
        <v>70</v>
      </c>
      <c r="L18630">
        <v>248</v>
      </c>
      <c r="M18630">
        <v>1</v>
      </c>
      <c r="N18630">
        <v>2.9015399999999998E-37</v>
      </c>
      <c r="O18630">
        <v>387</v>
      </c>
    </row>
    <row r="18631" spans="1:15" x14ac:dyDescent="0.25">
      <c r="A18631" t="s">
        <v>18644</v>
      </c>
      <c r="B18631">
        <v>469</v>
      </c>
      <c r="C18631" s="1" t="str">
        <f>HYPERLINK("http://www.rosaceae.org/gb/gbrowse/malus_x_domestica/?name=MDP0000216139","MDP0000216139")</f>
        <v>MDP0000216139</v>
      </c>
      <c r="D18631">
        <v>40.36</v>
      </c>
      <c r="E18631">
        <v>441</v>
      </c>
      <c r="F18631">
        <v>263</v>
      </c>
      <c r="G18631">
        <v>49</v>
      </c>
      <c r="H18631">
        <v>26</v>
      </c>
      <c r="I18631">
        <v>429</v>
      </c>
      <c r="J18631">
        <v>1</v>
      </c>
      <c r="K18631">
        <v>31</v>
      </c>
      <c r="L18631">
        <v>459</v>
      </c>
      <c r="M18631">
        <v>1</v>
      </c>
      <c r="N18631">
        <v>2.06567E-79</v>
      </c>
      <c r="O18631">
        <v>751</v>
      </c>
    </row>
    <row r="18632" spans="1:15" x14ac:dyDescent="0.25">
      <c r="A18632" t="s">
        <v>18645</v>
      </c>
      <c r="B18632">
        <v>89</v>
      </c>
      <c r="C18632" s="1" t="str">
        <f>HYPERLINK("http://www.rosaceae.org/gb/gbrowse/malus_x_domestica/?name=MDP0000565238","MDP0000565238")</f>
        <v>MDP0000565238</v>
      </c>
      <c r="D18632">
        <v>71.42</v>
      </c>
      <c r="E18632">
        <v>70</v>
      </c>
      <c r="F18632">
        <v>20</v>
      </c>
      <c r="G18632">
        <v>0</v>
      </c>
      <c r="H18632">
        <v>8</v>
      </c>
      <c r="I18632">
        <v>77</v>
      </c>
      <c r="J18632">
        <v>1</v>
      </c>
      <c r="K18632">
        <v>10</v>
      </c>
      <c r="L18632">
        <v>79</v>
      </c>
      <c r="M18632">
        <v>1</v>
      </c>
      <c r="N18632">
        <v>3.7163899999999997E-23</v>
      </c>
      <c r="O18632">
        <v>257</v>
      </c>
    </row>
    <row r="18633" spans="1:15" x14ac:dyDescent="0.25">
      <c r="A18633" t="s">
        <v>18646</v>
      </c>
      <c r="B18633">
        <v>261</v>
      </c>
      <c r="C18633" s="1" t="str">
        <f>HYPERLINK("http://www.rosaceae.org/gb/gbrowse/malus_x_domestica/?name=MDP0000407301","MDP0000407301")</f>
        <v>MDP0000407301</v>
      </c>
      <c r="D18633">
        <v>57.47</v>
      </c>
      <c r="E18633">
        <v>214</v>
      </c>
      <c r="F18633">
        <v>91</v>
      </c>
      <c r="G18633">
        <v>1</v>
      </c>
      <c r="H18633">
        <v>48</v>
      </c>
      <c r="I18633">
        <v>260</v>
      </c>
      <c r="J18633">
        <v>1</v>
      </c>
      <c r="K18633">
        <v>113</v>
      </c>
      <c r="L18633">
        <v>326</v>
      </c>
      <c r="M18633">
        <v>1</v>
      </c>
      <c r="N18633">
        <v>7.4127299999999994E-70</v>
      </c>
      <c r="O18633">
        <v>666</v>
      </c>
    </row>
    <row r="18634" spans="1:15" x14ac:dyDescent="0.25">
      <c r="A18634" t="s">
        <v>18647</v>
      </c>
      <c r="B18634">
        <v>1412</v>
      </c>
      <c r="C18634" s="1" t="str">
        <f>HYPERLINK("http://www.rosaceae.org/gb/gbrowse/malus_x_domestica/?name=MDP0000558837","MDP0000558837")</f>
        <v>MDP0000558837</v>
      </c>
      <c r="D18634">
        <v>45.9</v>
      </c>
      <c r="E18634">
        <v>928</v>
      </c>
      <c r="F18634">
        <v>502</v>
      </c>
      <c r="G18634">
        <v>29</v>
      </c>
      <c r="H18634">
        <v>1</v>
      </c>
      <c r="I18634">
        <v>912</v>
      </c>
      <c r="J18634">
        <v>1</v>
      </c>
      <c r="K18634">
        <v>97</v>
      </c>
      <c r="L18634">
        <v>1011</v>
      </c>
      <c r="M18634">
        <v>1</v>
      </c>
      <c r="N18634">
        <v>0</v>
      </c>
      <c r="O18634">
        <v>2145</v>
      </c>
    </row>
    <row r="18635" spans="1:15" x14ac:dyDescent="0.25">
      <c r="A18635" t="s">
        <v>18648</v>
      </c>
      <c r="B18635">
        <v>359</v>
      </c>
      <c r="C18635" s="1" t="str">
        <f>HYPERLINK("http://www.rosaceae.org/gb/gbrowse/malus_x_domestica/?name=MDP0000603846","MDP0000603846")</f>
        <v>MDP0000603846</v>
      </c>
      <c r="D18635">
        <v>76.08</v>
      </c>
      <c r="E18635">
        <v>46</v>
      </c>
      <c r="F18635">
        <v>11</v>
      </c>
      <c r="G18635">
        <v>6</v>
      </c>
      <c r="H18635">
        <v>222</v>
      </c>
      <c r="I18635">
        <v>261</v>
      </c>
      <c r="J18635">
        <v>1</v>
      </c>
      <c r="K18635">
        <v>1020</v>
      </c>
      <c r="L18635">
        <v>1065</v>
      </c>
      <c r="M18635">
        <v>1</v>
      </c>
      <c r="N18635">
        <v>1.7900100000000001E-10</v>
      </c>
      <c r="O18635">
        <v>155</v>
      </c>
    </row>
    <row r="18636" spans="1:15" x14ac:dyDescent="0.25">
      <c r="A18636" t="s">
        <v>18649</v>
      </c>
      <c r="B18636">
        <v>315</v>
      </c>
      <c r="C18636" s="1" t="str">
        <f>HYPERLINK("http://www.rosaceae.org/gb/gbrowse/malus_x_domestica/?name=MDP0000144583","MDP0000144583")</f>
        <v>MDP0000144583</v>
      </c>
      <c r="D18636">
        <v>88.84</v>
      </c>
      <c r="E18636">
        <v>251</v>
      </c>
      <c r="F18636">
        <v>28</v>
      </c>
      <c r="G18636">
        <v>0</v>
      </c>
      <c r="H18636">
        <v>65</v>
      </c>
      <c r="I18636">
        <v>315</v>
      </c>
      <c r="J18636">
        <v>1</v>
      </c>
      <c r="K18636">
        <v>26</v>
      </c>
      <c r="L18636">
        <v>276</v>
      </c>
      <c r="M18636">
        <v>1</v>
      </c>
      <c r="N18636">
        <v>2.01224E-131</v>
      </c>
      <c r="O18636">
        <v>1198</v>
      </c>
    </row>
    <row r="18637" spans="1:15" x14ac:dyDescent="0.25">
      <c r="A18637" t="s">
        <v>18650</v>
      </c>
      <c r="B18637">
        <v>205</v>
      </c>
      <c r="C18637" s="1" t="str">
        <f>HYPERLINK("http://www.rosaceae.org/gb/gbrowse/malus_x_domestica/?name=MDP0000287289","MDP0000287289")</f>
        <v>MDP0000287289</v>
      </c>
      <c r="D18637">
        <v>48.93</v>
      </c>
      <c r="E18637">
        <v>141</v>
      </c>
      <c r="F18637">
        <v>72</v>
      </c>
      <c r="G18637">
        <v>17</v>
      </c>
      <c r="H18637">
        <v>57</v>
      </c>
      <c r="I18637">
        <v>197</v>
      </c>
      <c r="J18637">
        <v>1</v>
      </c>
      <c r="K18637">
        <v>63</v>
      </c>
      <c r="L18637">
        <v>186</v>
      </c>
      <c r="M18637">
        <v>1</v>
      </c>
      <c r="N18637">
        <v>8.6831100000000005E-29</v>
      </c>
      <c r="O18637">
        <v>310</v>
      </c>
    </row>
    <row r="18638" spans="1:15" x14ac:dyDescent="0.25">
      <c r="A18638" t="s">
        <v>18651</v>
      </c>
      <c r="B18638">
        <v>704</v>
      </c>
      <c r="C18638" s="1" t="str">
        <f>HYPERLINK("http://www.rosaceae.org/gb/gbrowse/malus_x_domestica/?name=MDP0000129343","MDP0000129343")</f>
        <v>MDP0000129343</v>
      </c>
      <c r="D18638">
        <v>71.290000000000006</v>
      </c>
      <c r="E18638">
        <v>554</v>
      </c>
      <c r="F18638">
        <v>159</v>
      </c>
      <c r="G18638">
        <v>33</v>
      </c>
      <c r="H18638">
        <v>176</v>
      </c>
      <c r="I18638">
        <v>697</v>
      </c>
      <c r="J18638">
        <v>1</v>
      </c>
      <c r="K18638">
        <v>96</v>
      </c>
      <c r="L18638">
        <v>648</v>
      </c>
      <c r="M18638">
        <v>1</v>
      </c>
      <c r="N18638">
        <v>0</v>
      </c>
      <c r="O18638">
        <v>2033</v>
      </c>
    </row>
    <row r="18639" spans="1:15" x14ac:dyDescent="0.25">
      <c r="A18639" t="s">
        <v>18652</v>
      </c>
      <c r="B18639">
        <v>473</v>
      </c>
      <c r="C18639" s="1" t="str">
        <f>HYPERLINK("http://www.rosaceae.org/gb/gbrowse/malus_x_domestica/?name=MDP0000165387","MDP0000165387")</f>
        <v>MDP0000165387</v>
      </c>
      <c r="D18639">
        <v>75.75</v>
      </c>
      <c r="E18639">
        <v>433</v>
      </c>
      <c r="F18639">
        <v>105</v>
      </c>
      <c r="G18639">
        <v>0</v>
      </c>
      <c r="H18639">
        <v>20</v>
      </c>
      <c r="I18639">
        <v>452</v>
      </c>
      <c r="J18639">
        <v>1</v>
      </c>
      <c r="K18639">
        <v>22</v>
      </c>
      <c r="L18639">
        <v>454</v>
      </c>
      <c r="M18639">
        <v>1</v>
      </c>
      <c r="N18639">
        <v>0</v>
      </c>
      <c r="O18639">
        <v>1803</v>
      </c>
    </row>
    <row r="18640" spans="1:15" x14ac:dyDescent="0.25">
      <c r="A18640" t="s">
        <v>18653</v>
      </c>
      <c r="B18640">
        <v>479</v>
      </c>
      <c r="C18640" s="1" t="str">
        <f>HYPERLINK("http://www.rosaceae.org/gb/gbrowse/malus_x_domestica/?name=MDP0000249769","MDP0000249769")</f>
        <v>MDP0000249769</v>
      </c>
      <c r="D18640">
        <v>63.61</v>
      </c>
      <c r="E18640">
        <v>492</v>
      </c>
      <c r="F18640">
        <v>179</v>
      </c>
      <c r="G18640">
        <v>63</v>
      </c>
      <c r="H18640">
        <v>51</v>
      </c>
      <c r="I18640">
        <v>479</v>
      </c>
      <c r="J18640">
        <v>1</v>
      </c>
      <c r="K18640">
        <v>54</v>
      </c>
      <c r="L18640">
        <v>545</v>
      </c>
      <c r="M18640">
        <v>1</v>
      </c>
      <c r="N18640">
        <v>4.1240099999999997E-177</v>
      </c>
      <c r="O18640">
        <v>1594</v>
      </c>
    </row>
    <row r="18641" spans="1:15" x14ac:dyDescent="0.25">
      <c r="A18641" t="s">
        <v>18654</v>
      </c>
      <c r="B18641">
        <v>145</v>
      </c>
      <c r="C18641" s="1" t="str">
        <f>HYPERLINK("http://www.rosaceae.org/gb/gbrowse/malus_x_domestica/?name=MDP0000145229","MDP0000145229")</f>
        <v>MDP0000145229</v>
      </c>
      <c r="D18641">
        <v>73.040000000000006</v>
      </c>
      <c r="E18641">
        <v>115</v>
      </c>
      <c r="F18641">
        <v>31</v>
      </c>
      <c r="G18641">
        <v>0</v>
      </c>
      <c r="H18641">
        <v>1</v>
      </c>
      <c r="I18641">
        <v>115</v>
      </c>
      <c r="J18641">
        <v>1</v>
      </c>
      <c r="K18641">
        <v>1</v>
      </c>
      <c r="L18641">
        <v>115</v>
      </c>
      <c r="M18641">
        <v>1</v>
      </c>
      <c r="N18641">
        <v>1.9183400000000001E-42</v>
      </c>
      <c r="O18641">
        <v>425</v>
      </c>
    </row>
    <row r="18642" spans="1:15" x14ac:dyDescent="0.25">
      <c r="A18642" t="s">
        <v>18655</v>
      </c>
      <c r="B18642">
        <v>224</v>
      </c>
      <c r="C18642" s="1" t="str">
        <f>HYPERLINK("http://www.rosaceae.org/gb/gbrowse/malus_x_domestica/?name=MDP0000687597","MDP0000687597")</f>
        <v>MDP0000687597</v>
      </c>
      <c r="D18642">
        <v>83.4</v>
      </c>
      <c r="E18642">
        <v>223</v>
      </c>
      <c r="F18642">
        <v>37</v>
      </c>
      <c r="G18642">
        <v>3</v>
      </c>
      <c r="H18642">
        <v>1</v>
      </c>
      <c r="I18642">
        <v>222</v>
      </c>
      <c r="J18642">
        <v>1</v>
      </c>
      <c r="K18642">
        <v>1</v>
      </c>
      <c r="L18642">
        <v>221</v>
      </c>
      <c r="M18642">
        <v>1</v>
      </c>
      <c r="N18642">
        <v>6.4206500000000001E-102</v>
      </c>
      <c r="O18642">
        <v>941</v>
      </c>
    </row>
    <row r="18643" spans="1:15" x14ac:dyDescent="0.25">
      <c r="A18643" t="s">
        <v>18656</v>
      </c>
      <c r="B18643">
        <v>246</v>
      </c>
      <c r="C18643" s="1" t="str">
        <f>HYPERLINK("http://www.rosaceae.org/gb/gbrowse/malus_x_domestica/?name=MDP0000435717","MDP0000435717")</f>
        <v>MDP0000435717</v>
      </c>
      <c r="D18643">
        <v>67.739999999999995</v>
      </c>
      <c r="E18643">
        <v>124</v>
      </c>
      <c r="F18643">
        <v>40</v>
      </c>
      <c r="G18643">
        <v>6</v>
      </c>
      <c r="H18643">
        <v>66</v>
      </c>
      <c r="I18643">
        <v>189</v>
      </c>
      <c r="J18643">
        <v>1</v>
      </c>
      <c r="K18643">
        <v>130</v>
      </c>
      <c r="L18643">
        <v>247</v>
      </c>
      <c r="M18643">
        <v>1</v>
      </c>
      <c r="N18643">
        <v>1.4842299999999999E-40</v>
      </c>
      <c r="O18643">
        <v>413</v>
      </c>
    </row>
    <row r="18644" spans="1:15" x14ac:dyDescent="0.25">
      <c r="A18644" t="s">
        <v>18657</v>
      </c>
      <c r="B18644">
        <v>276</v>
      </c>
      <c r="C18644" s="1" t="str">
        <f>HYPERLINK("http://www.rosaceae.org/gb/gbrowse/malus_x_domestica/?name=MDP0000121380","MDP0000121380")</f>
        <v>MDP0000121380</v>
      </c>
      <c r="D18644">
        <v>60.41</v>
      </c>
      <c r="E18644">
        <v>288</v>
      </c>
      <c r="F18644">
        <v>114</v>
      </c>
      <c r="G18644">
        <v>17</v>
      </c>
      <c r="H18644">
        <v>1</v>
      </c>
      <c r="I18644">
        <v>276</v>
      </c>
      <c r="J18644">
        <v>1</v>
      </c>
      <c r="K18644">
        <v>1</v>
      </c>
      <c r="L18644">
        <v>283</v>
      </c>
      <c r="M18644">
        <v>1</v>
      </c>
      <c r="N18644">
        <v>1.06014E-90</v>
      </c>
      <c r="O18644">
        <v>846</v>
      </c>
    </row>
    <row r="18645" spans="1:15" x14ac:dyDescent="0.25">
      <c r="A18645" t="s">
        <v>18658</v>
      </c>
      <c r="B18645">
        <v>117</v>
      </c>
      <c r="C18645" s="1" t="str">
        <f>HYPERLINK("http://www.rosaceae.org/gb/gbrowse/malus_x_domestica/?name=MDP0000124128","MDP0000124128")</f>
        <v>MDP0000124128</v>
      </c>
      <c r="D18645">
        <v>88.03</v>
      </c>
      <c r="E18645">
        <v>117</v>
      </c>
      <c r="F18645">
        <v>14</v>
      </c>
      <c r="G18645">
        <v>0</v>
      </c>
      <c r="H18645">
        <v>1</v>
      </c>
      <c r="I18645">
        <v>117</v>
      </c>
      <c r="J18645">
        <v>1</v>
      </c>
      <c r="K18645">
        <v>1</v>
      </c>
      <c r="L18645">
        <v>117</v>
      </c>
      <c r="M18645">
        <v>1</v>
      </c>
      <c r="N18645">
        <v>1.4376700000000001E-57</v>
      </c>
      <c r="O18645">
        <v>554</v>
      </c>
    </row>
    <row r="18646" spans="1:15" x14ac:dyDescent="0.25">
      <c r="A18646" t="s">
        <v>18659</v>
      </c>
      <c r="B18646">
        <v>585</v>
      </c>
      <c r="C18646" s="1" t="str">
        <f>HYPERLINK("http://www.rosaceae.org/gb/gbrowse/malus_x_domestica/?name=MDP0000317475","MDP0000317475")</f>
        <v>MDP0000317475</v>
      </c>
      <c r="D18646">
        <v>73.459999999999994</v>
      </c>
      <c r="E18646">
        <v>520</v>
      </c>
      <c r="F18646">
        <v>138</v>
      </c>
      <c r="G18646">
        <v>0</v>
      </c>
      <c r="H18646">
        <v>20</v>
      </c>
      <c r="I18646">
        <v>539</v>
      </c>
      <c r="J18646">
        <v>1</v>
      </c>
      <c r="K18646">
        <v>80</v>
      </c>
      <c r="L18646">
        <v>599</v>
      </c>
      <c r="M18646">
        <v>1</v>
      </c>
      <c r="N18646">
        <v>0</v>
      </c>
      <c r="O18646">
        <v>2090</v>
      </c>
    </row>
    <row r="18647" spans="1:15" x14ac:dyDescent="0.25">
      <c r="A18647" t="s">
        <v>18660</v>
      </c>
      <c r="B18647">
        <v>653</v>
      </c>
      <c r="C18647" s="1" t="str">
        <f>HYPERLINK("http://www.rosaceae.org/gb/gbrowse/malus_x_domestica/?name=MDP0000274039","MDP0000274039")</f>
        <v>MDP0000274039</v>
      </c>
      <c r="D18647">
        <v>41.36</v>
      </c>
      <c r="E18647">
        <v>585</v>
      </c>
      <c r="F18647">
        <v>343</v>
      </c>
      <c r="G18647">
        <v>5</v>
      </c>
      <c r="H18647">
        <v>50</v>
      </c>
      <c r="I18647">
        <v>630</v>
      </c>
      <c r="J18647">
        <v>1</v>
      </c>
      <c r="K18647">
        <v>131</v>
      </c>
      <c r="L18647">
        <v>714</v>
      </c>
      <c r="M18647">
        <v>1</v>
      </c>
      <c r="N18647">
        <v>1.1280599999999999E-129</v>
      </c>
      <c r="O18647">
        <v>1186</v>
      </c>
    </row>
    <row r="18648" spans="1:15" x14ac:dyDescent="0.25">
      <c r="A18648" t="s">
        <v>18661</v>
      </c>
      <c r="B18648">
        <v>253</v>
      </c>
      <c r="C18648" s="1" t="str">
        <f>HYPERLINK("http://www.rosaceae.org/gb/gbrowse/malus_x_domestica/?name=MDP0000608268","MDP0000608268")</f>
        <v>MDP0000608268</v>
      </c>
      <c r="D18648">
        <v>62.03</v>
      </c>
      <c r="E18648">
        <v>108</v>
      </c>
      <c r="F18648">
        <v>41</v>
      </c>
      <c r="G18648">
        <v>0</v>
      </c>
      <c r="H18648">
        <v>109</v>
      </c>
      <c r="I18648">
        <v>216</v>
      </c>
      <c r="J18648">
        <v>1</v>
      </c>
      <c r="K18648">
        <v>42</v>
      </c>
      <c r="L18648">
        <v>149</v>
      </c>
      <c r="M18648">
        <v>1</v>
      </c>
      <c r="N18648">
        <v>1.6811100000000001E-32</v>
      </c>
      <c r="O18648">
        <v>343</v>
      </c>
    </row>
    <row r="18649" spans="1:15" x14ac:dyDescent="0.25">
      <c r="A18649" t="s">
        <v>18662</v>
      </c>
      <c r="B18649">
        <v>141</v>
      </c>
      <c r="C18649" s="1" t="str">
        <f>HYPERLINK("http://www.rosaceae.org/gb/gbrowse/malus_x_domestica/?name=MDP0000227352","MDP0000227352")</f>
        <v>MDP0000227352</v>
      </c>
      <c r="D18649">
        <v>37.11</v>
      </c>
      <c r="E18649">
        <v>97</v>
      </c>
      <c r="F18649">
        <v>61</v>
      </c>
      <c r="G18649">
        <v>0</v>
      </c>
      <c r="H18649">
        <v>45</v>
      </c>
      <c r="I18649">
        <v>141</v>
      </c>
      <c r="J18649">
        <v>1</v>
      </c>
      <c r="K18649">
        <v>149</v>
      </c>
      <c r="L18649">
        <v>245</v>
      </c>
      <c r="M18649">
        <v>1</v>
      </c>
      <c r="N18649">
        <v>6.0776599999999998E-12</v>
      </c>
      <c r="O18649">
        <v>162</v>
      </c>
    </row>
    <row r="18650" spans="1:15" x14ac:dyDescent="0.25">
      <c r="A18650" t="s">
        <v>18663</v>
      </c>
      <c r="B18650">
        <v>283</v>
      </c>
      <c r="C18650" s="1" t="str">
        <f>HYPERLINK("http://www.rosaceae.org/gb/gbrowse/malus_x_domestica/?name=MDP0000225882","MDP0000225882")</f>
        <v>MDP0000225882</v>
      </c>
      <c r="D18650">
        <v>80.099999999999994</v>
      </c>
      <c r="E18650">
        <v>191</v>
      </c>
      <c r="F18650">
        <v>38</v>
      </c>
      <c r="G18650">
        <v>0</v>
      </c>
      <c r="H18650">
        <v>93</v>
      </c>
      <c r="I18650">
        <v>283</v>
      </c>
      <c r="J18650">
        <v>1</v>
      </c>
      <c r="K18650">
        <v>102</v>
      </c>
      <c r="L18650">
        <v>292</v>
      </c>
      <c r="M18650">
        <v>1</v>
      </c>
      <c r="N18650">
        <v>4.7098599999999999E-90</v>
      </c>
      <c r="O18650">
        <v>840</v>
      </c>
    </row>
    <row r="18651" spans="1:15" x14ac:dyDescent="0.25">
      <c r="A18651" t="s">
        <v>18664</v>
      </c>
      <c r="B18651">
        <v>340</v>
      </c>
      <c r="C18651" s="1" t="str">
        <f>HYPERLINK("http://www.rosaceae.org/gb/gbrowse/malus_x_domestica/?name=MDP0000175240","MDP0000175240")</f>
        <v>MDP0000175240</v>
      </c>
      <c r="D18651">
        <v>47.27</v>
      </c>
      <c r="E18651">
        <v>330</v>
      </c>
      <c r="F18651">
        <v>174</v>
      </c>
      <c r="G18651">
        <v>39</v>
      </c>
      <c r="H18651">
        <v>13</v>
      </c>
      <c r="I18651">
        <v>337</v>
      </c>
      <c r="J18651">
        <v>1</v>
      </c>
      <c r="K18651">
        <v>5</v>
      </c>
      <c r="L18651">
        <v>300</v>
      </c>
      <c r="M18651">
        <v>1</v>
      </c>
      <c r="N18651">
        <v>5.2038100000000001E-60</v>
      </c>
      <c r="O18651">
        <v>582</v>
      </c>
    </row>
    <row r="18652" spans="1:15" x14ac:dyDescent="0.25">
      <c r="A18652" t="s">
        <v>18665</v>
      </c>
      <c r="B18652">
        <v>406</v>
      </c>
      <c r="C18652" s="1" t="str">
        <f>HYPERLINK("http://www.rosaceae.org/gb/gbrowse/malus_x_domestica/?name=MDP0000167358","MDP0000167358")</f>
        <v>MDP0000167358</v>
      </c>
      <c r="D18652">
        <v>37.03</v>
      </c>
      <c r="E18652">
        <v>378</v>
      </c>
      <c r="F18652">
        <v>238</v>
      </c>
      <c r="G18652">
        <v>30</v>
      </c>
      <c r="H18652">
        <v>24</v>
      </c>
      <c r="I18652">
        <v>398</v>
      </c>
      <c r="J18652">
        <v>1</v>
      </c>
      <c r="K18652">
        <v>52</v>
      </c>
      <c r="L18652">
        <v>402</v>
      </c>
      <c r="M18652">
        <v>1</v>
      </c>
      <c r="N18652">
        <v>9.2572500000000005E-55</v>
      </c>
      <c r="O18652">
        <v>538</v>
      </c>
    </row>
    <row r="18653" spans="1:15" x14ac:dyDescent="0.25">
      <c r="A18653" t="s">
        <v>18666</v>
      </c>
      <c r="B18653">
        <v>456</v>
      </c>
      <c r="C18653" s="1" t="str">
        <f>HYPERLINK("http://www.rosaceae.org/gb/gbrowse/malus_x_domestica/?name=MDP0000927575","MDP0000927575")</f>
        <v>MDP0000927575</v>
      </c>
      <c r="D18653">
        <v>89.25</v>
      </c>
      <c r="E18653">
        <v>456</v>
      </c>
      <c r="F18653">
        <v>49</v>
      </c>
      <c r="G18653">
        <v>19</v>
      </c>
      <c r="H18653">
        <v>1</v>
      </c>
      <c r="I18653">
        <v>456</v>
      </c>
      <c r="J18653">
        <v>1</v>
      </c>
      <c r="K18653">
        <v>1</v>
      </c>
      <c r="L18653">
        <v>437</v>
      </c>
      <c r="M18653">
        <v>1</v>
      </c>
      <c r="N18653">
        <v>0</v>
      </c>
      <c r="O18653">
        <v>2176</v>
      </c>
    </row>
    <row r="18654" spans="1:15" x14ac:dyDescent="0.25">
      <c r="A18654" t="s">
        <v>18667</v>
      </c>
      <c r="B18654">
        <v>1457</v>
      </c>
      <c r="C18654" s="1" t="str">
        <f>HYPERLINK("http://www.rosaceae.org/gb/gbrowse/malus_x_domestica/?name=MDP0000234257","MDP0000234257")</f>
        <v>MDP0000234257</v>
      </c>
      <c r="D18654">
        <v>74.680000000000007</v>
      </c>
      <c r="E18654">
        <v>1450</v>
      </c>
      <c r="F18654">
        <v>367</v>
      </c>
      <c r="G18654">
        <v>79</v>
      </c>
      <c r="H18654">
        <v>1</v>
      </c>
      <c r="I18654">
        <v>1435</v>
      </c>
      <c r="J18654">
        <v>1</v>
      </c>
      <c r="K18654">
        <v>1</v>
      </c>
      <c r="L18654">
        <v>1386</v>
      </c>
      <c r="M18654">
        <v>1</v>
      </c>
      <c r="N18654">
        <v>0</v>
      </c>
      <c r="O18654">
        <v>5505</v>
      </c>
    </row>
    <row r="18655" spans="1:15" x14ac:dyDescent="0.25">
      <c r="A18655" t="s">
        <v>18668</v>
      </c>
      <c r="B18655">
        <v>411</v>
      </c>
      <c r="C18655" s="1" t="str">
        <f>HYPERLINK("http://www.rosaceae.org/gb/gbrowse/malus_x_domestica/?name=MDP0000696314","MDP0000696314")</f>
        <v>MDP0000696314</v>
      </c>
      <c r="D18655">
        <v>58.03</v>
      </c>
      <c r="E18655">
        <v>193</v>
      </c>
      <c r="F18655">
        <v>81</v>
      </c>
      <c r="G18655">
        <v>1</v>
      </c>
      <c r="H18655">
        <v>219</v>
      </c>
      <c r="I18655">
        <v>411</v>
      </c>
      <c r="J18655">
        <v>1</v>
      </c>
      <c r="K18655">
        <v>1</v>
      </c>
      <c r="L18655">
        <v>192</v>
      </c>
      <c r="M18655">
        <v>1</v>
      </c>
      <c r="N18655">
        <v>1.5897199999999999E-59</v>
      </c>
      <c r="O18655">
        <v>579</v>
      </c>
    </row>
    <row r="18656" spans="1:15" x14ac:dyDescent="0.25">
      <c r="A18656" t="s">
        <v>18669</v>
      </c>
      <c r="B18656">
        <v>497</v>
      </c>
      <c r="C18656" s="1" t="str">
        <f>HYPERLINK("http://www.rosaceae.org/gb/gbrowse/malus_x_domestica/?name=MDP0000288684","MDP0000288684")</f>
        <v>MDP0000288684</v>
      </c>
      <c r="D18656">
        <v>79.06</v>
      </c>
      <c r="E18656">
        <v>43</v>
      </c>
      <c r="F18656">
        <v>9</v>
      </c>
      <c r="G18656">
        <v>0</v>
      </c>
      <c r="H18656">
        <v>451</v>
      </c>
      <c r="I18656">
        <v>493</v>
      </c>
      <c r="J18656">
        <v>1</v>
      </c>
      <c r="K18656">
        <v>570</v>
      </c>
      <c r="L18656">
        <v>612</v>
      </c>
      <c r="M18656">
        <v>1</v>
      </c>
      <c r="N18656">
        <v>3.8140699999999997E-12</v>
      </c>
      <c r="O18656">
        <v>171</v>
      </c>
    </row>
    <row r="18657" spans="1:15" x14ac:dyDescent="0.25">
      <c r="A18657" t="s">
        <v>18670</v>
      </c>
      <c r="B18657">
        <v>212</v>
      </c>
      <c r="C18657" s="1" t="str">
        <f>HYPERLINK("http://www.rosaceae.org/gb/gbrowse/malus_x_domestica/?name=MDP0000292463","MDP0000292463")</f>
        <v>MDP0000292463</v>
      </c>
      <c r="D18657">
        <v>77.58</v>
      </c>
      <c r="E18657">
        <v>58</v>
      </c>
      <c r="F18657">
        <v>13</v>
      </c>
      <c r="G18657">
        <v>2</v>
      </c>
      <c r="H18657">
        <v>149</v>
      </c>
      <c r="I18657">
        <v>204</v>
      </c>
      <c r="J18657">
        <v>1</v>
      </c>
      <c r="K18657">
        <v>71</v>
      </c>
      <c r="L18657">
        <v>128</v>
      </c>
      <c r="M18657">
        <v>1</v>
      </c>
      <c r="N18657">
        <v>1.7217999999999999E-17</v>
      </c>
      <c r="O18657">
        <v>213</v>
      </c>
    </row>
    <row r="18658" spans="1:15" x14ac:dyDescent="0.25">
      <c r="A18658" t="s">
        <v>18671</v>
      </c>
      <c r="B18658">
        <v>550</v>
      </c>
      <c r="C18658" s="1" t="str">
        <f>HYPERLINK("http://www.rosaceae.org/gb/gbrowse/malus_x_domestica/?name=MDP0000912183","MDP0000912183")</f>
        <v>MDP0000912183</v>
      </c>
      <c r="D18658">
        <v>76.569999999999993</v>
      </c>
      <c r="E18658">
        <v>602</v>
      </c>
      <c r="F18658">
        <v>141</v>
      </c>
      <c r="G18658">
        <v>57</v>
      </c>
      <c r="H18658">
        <v>1</v>
      </c>
      <c r="I18658">
        <v>545</v>
      </c>
      <c r="J18658">
        <v>1</v>
      </c>
      <c r="K18658">
        <v>1</v>
      </c>
      <c r="L18658">
        <v>602</v>
      </c>
      <c r="M18658">
        <v>1</v>
      </c>
      <c r="N18658">
        <v>0</v>
      </c>
      <c r="O18658">
        <v>2383</v>
      </c>
    </row>
    <row r="18659" spans="1:15" x14ac:dyDescent="0.25">
      <c r="A18659" t="s">
        <v>18672</v>
      </c>
      <c r="B18659">
        <v>329</v>
      </c>
      <c r="C18659" s="1" t="str">
        <f>HYPERLINK("http://www.rosaceae.org/gb/gbrowse/malus_x_domestica/?name=MDP0000153419","MDP0000153419")</f>
        <v>MDP0000153419</v>
      </c>
      <c r="D18659">
        <v>37.57</v>
      </c>
      <c r="E18659">
        <v>165</v>
      </c>
      <c r="F18659">
        <v>103</v>
      </c>
      <c r="G18659">
        <v>9</v>
      </c>
      <c r="H18659">
        <v>137</v>
      </c>
      <c r="I18659">
        <v>297</v>
      </c>
      <c r="J18659">
        <v>1</v>
      </c>
      <c r="K18659">
        <v>64</v>
      </c>
      <c r="L18659">
        <v>223</v>
      </c>
      <c r="M18659">
        <v>1</v>
      </c>
      <c r="N18659">
        <v>6.4448399999999998E-21</v>
      </c>
      <c r="O18659">
        <v>245</v>
      </c>
    </row>
    <row r="18660" spans="1:15" x14ac:dyDescent="0.25">
      <c r="A18660" t="s">
        <v>18673</v>
      </c>
      <c r="B18660">
        <v>1535</v>
      </c>
      <c r="C18660" s="1" t="str">
        <f>HYPERLINK("http://www.rosaceae.org/gb/gbrowse/malus_x_domestica/?name=MDP0000294816","MDP0000294816")</f>
        <v>MDP0000294816</v>
      </c>
      <c r="D18660">
        <v>78.959999999999994</v>
      </c>
      <c r="E18660">
        <v>1588</v>
      </c>
      <c r="F18660">
        <v>334</v>
      </c>
      <c r="G18660">
        <v>86</v>
      </c>
      <c r="H18660">
        <v>1</v>
      </c>
      <c r="I18660">
        <v>1535</v>
      </c>
      <c r="J18660">
        <v>1</v>
      </c>
      <c r="K18660">
        <v>1</v>
      </c>
      <c r="L18660">
        <v>1555</v>
      </c>
      <c r="M18660">
        <v>1</v>
      </c>
      <c r="N18660">
        <v>0</v>
      </c>
      <c r="O18660">
        <v>6477</v>
      </c>
    </row>
    <row r="18661" spans="1:15" x14ac:dyDescent="0.25">
      <c r="A18661" t="s">
        <v>18674</v>
      </c>
      <c r="B18661">
        <v>246</v>
      </c>
      <c r="C18661" s="1" t="str">
        <f>HYPERLINK("http://www.rosaceae.org/gb/gbrowse/malus_x_domestica/?name=MDP0000185846","MDP0000185846")</f>
        <v>MDP0000185846</v>
      </c>
      <c r="D18661">
        <v>51.86</v>
      </c>
      <c r="E18661">
        <v>268</v>
      </c>
      <c r="F18661">
        <v>129</v>
      </c>
      <c r="G18661">
        <v>55</v>
      </c>
      <c r="H18661">
        <v>2</v>
      </c>
      <c r="I18661">
        <v>246</v>
      </c>
      <c r="J18661">
        <v>1</v>
      </c>
      <c r="K18661">
        <v>89</v>
      </c>
      <c r="L18661">
        <v>324</v>
      </c>
      <c r="M18661">
        <v>1</v>
      </c>
      <c r="N18661">
        <v>2.21453E-70</v>
      </c>
      <c r="O18661">
        <v>670</v>
      </c>
    </row>
    <row r="18662" spans="1:15" x14ac:dyDescent="0.25">
      <c r="A18662" t="s">
        <v>18675</v>
      </c>
      <c r="B18662">
        <v>291</v>
      </c>
      <c r="C18662" s="1" t="str">
        <f>HYPERLINK("http://www.rosaceae.org/gb/gbrowse/malus_x_domestica/?name=MDP0000169367","MDP0000169367")</f>
        <v>MDP0000169367</v>
      </c>
      <c r="D18662">
        <v>47.56</v>
      </c>
      <c r="E18662">
        <v>164</v>
      </c>
      <c r="F18662">
        <v>86</v>
      </c>
      <c r="G18662">
        <v>12</v>
      </c>
      <c r="H18662">
        <v>1</v>
      </c>
      <c r="I18662">
        <v>156</v>
      </c>
      <c r="J18662">
        <v>1</v>
      </c>
      <c r="K18662">
        <v>1</v>
      </c>
      <c r="L18662">
        <v>160</v>
      </c>
      <c r="M18662">
        <v>1</v>
      </c>
      <c r="N18662">
        <v>2.7393700000000001E-34</v>
      </c>
      <c r="O18662">
        <v>359</v>
      </c>
    </row>
    <row r="18663" spans="1:15" x14ac:dyDescent="0.25">
      <c r="A18663" t="s">
        <v>18676</v>
      </c>
      <c r="B18663">
        <v>215</v>
      </c>
      <c r="C18663" s="1" t="str">
        <f>HYPERLINK("http://www.rosaceae.org/gb/gbrowse/malus_x_domestica/?name=MDP0000253269","MDP0000253269")</f>
        <v>MDP0000253269</v>
      </c>
      <c r="D18663">
        <v>83.79</v>
      </c>
      <c r="E18663">
        <v>179</v>
      </c>
      <c r="F18663">
        <v>29</v>
      </c>
      <c r="G18663">
        <v>4</v>
      </c>
      <c r="H18663">
        <v>25</v>
      </c>
      <c r="I18663">
        <v>203</v>
      </c>
      <c r="J18663">
        <v>1</v>
      </c>
      <c r="K18663">
        <v>118</v>
      </c>
      <c r="L18663">
        <v>292</v>
      </c>
      <c r="M18663">
        <v>1</v>
      </c>
      <c r="N18663">
        <v>4.5632E-84</v>
      </c>
      <c r="O18663">
        <v>787</v>
      </c>
    </row>
    <row r="18664" spans="1:15" x14ac:dyDescent="0.25">
      <c r="A18664" t="s">
        <v>18677</v>
      </c>
      <c r="B18664">
        <v>386</v>
      </c>
      <c r="C18664" s="1" t="str">
        <f>HYPERLINK("http://www.rosaceae.org/gb/gbrowse/malus_x_domestica/?name=MDP0000315893","MDP0000315893")</f>
        <v>MDP0000315893</v>
      </c>
      <c r="D18664">
        <v>88.71</v>
      </c>
      <c r="E18664">
        <v>319</v>
      </c>
      <c r="F18664">
        <v>36</v>
      </c>
      <c r="G18664">
        <v>6</v>
      </c>
      <c r="H18664">
        <v>67</v>
      </c>
      <c r="I18664">
        <v>385</v>
      </c>
      <c r="J18664">
        <v>1</v>
      </c>
      <c r="K18664">
        <v>153</v>
      </c>
      <c r="L18664">
        <v>465</v>
      </c>
      <c r="M18664">
        <v>1</v>
      </c>
      <c r="N18664">
        <v>4.3923499999999998E-169</v>
      </c>
      <c r="O18664">
        <v>1523</v>
      </c>
    </row>
    <row r="18665" spans="1:15" x14ac:dyDescent="0.25">
      <c r="A18665" t="s">
        <v>18678</v>
      </c>
      <c r="B18665">
        <v>602</v>
      </c>
      <c r="C18665" s="1" t="str">
        <f>HYPERLINK("http://www.rosaceae.org/gb/gbrowse/malus_x_domestica/?name=MDP0000155746","MDP0000155746")</f>
        <v>MDP0000155746</v>
      </c>
      <c r="D18665">
        <v>78.430000000000007</v>
      </c>
      <c r="E18665">
        <v>524</v>
      </c>
      <c r="F18665">
        <v>113</v>
      </c>
      <c r="G18665">
        <v>23</v>
      </c>
      <c r="H18665">
        <v>95</v>
      </c>
      <c r="I18665">
        <v>602</v>
      </c>
      <c r="J18665">
        <v>1</v>
      </c>
      <c r="K18665">
        <v>1</v>
      </c>
      <c r="L18665">
        <v>517</v>
      </c>
      <c r="M18665">
        <v>1</v>
      </c>
      <c r="N18665">
        <v>0</v>
      </c>
      <c r="O18665">
        <v>2064</v>
      </c>
    </row>
    <row r="18666" spans="1:15" x14ac:dyDescent="0.25">
      <c r="A18666" t="s">
        <v>18679</v>
      </c>
      <c r="B18666">
        <v>195</v>
      </c>
      <c r="C18666" s="1" t="str">
        <f>HYPERLINK("http://www.rosaceae.org/gb/gbrowse/malus_x_domestica/?name=MDP0000299496","MDP0000299496")</f>
        <v>MDP0000299496</v>
      </c>
      <c r="D18666">
        <v>48.18</v>
      </c>
      <c r="E18666">
        <v>193</v>
      </c>
      <c r="F18666">
        <v>100</v>
      </c>
      <c r="G18666">
        <v>0</v>
      </c>
      <c r="H18666">
        <v>3</v>
      </c>
      <c r="I18666">
        <v>195</v>
      </c>
      <c r="J18666">
        <v>1</v>
      </c>
      <c r="K18666">
        <v>502</v>
      </c>
      <c r="L18666">
        <v>694</v>
      </c>
      <c r="M18666">
        <v>1</v>
      </c>
      <c r="N18666">
        <v>2.8633300000000002E-51</v>
      </c>
      <c r="O18666">
        <v>504</v>
      </c>
    </row>
    <row r="18667" spans="1:15" x14ac:dyDescent="0.25">
      <c r="A18667" t="s">
        <v>18680</v>
      </c>
      <c r="B18667">
        <v>221</v>
      </c>
      <c r="C18667" s="1" t="str">
        <f>HYPERLINK("http://www.rosaceae.org/gb/gbrowse/malus_x_domestica/?name=MDP0000337041","MDP0000337041")</f>
        <v>MDP0000337041</v>
      </c>
      <c r="D18667">
        <v>72.91</v>
      </c>
      <c r="E18667">
        <v>240</v>
      </c>
      <c r="F18667">
        <v>65</v>
      </c>
      <c r="G18667">
        <v>19</v>
      </c>
      <c r="H18667">
        <v>1</v>
      </c>
      <c r="I18667">
        <v>221</v>
      </c>
      <c r="J18667">
        <v>1</v>
      </c>
      <c r="K18667">
        <v>54</v>
      </c>
      <c r="L18667">
        <v>293</v>
      </c>
      <c r="M18667">
        <v>1</v>
      </c>
      <c r="N18667">
        <v>1.1032E-90</v>
      </c>
      <c r="O18667">
        <v>844</v>
      </c>
    </row>
    <row r="18668" spans="1:15" x14ac:dyDescent="0.25">
      <c r="A18668" t="s">
        <v>18681</v>
      </c>
      <c r="B18668">
        <v>343</v>
      </c>
      <c r="C18668" s="1" t="str">
        <f>HYPERLINK("http://www.rosaceae.org/gb/gbrowse/malus_x_domestica/?name=MDP0000312110","MDP0000312110")</f>
        <v>MDP0000312110</v>
      </c>
      <c r="D18668">
        <v>83.38</v>
      </c>
      <c r="E18668">
        <v>343</v>
      </c>
      <c r="F18668">
        <v>57</v>
      </c>
      <c r="G18668">
        <v>5</v>
      </c>
      <c r="H18668">
        <v>5</v>
      </c>
      <c r="I18668">
        <v>342</v>
      </c>
      <c r="J18668">
        <v>1</v>
      </c>
      <c r="K18668">
        <v>2</v>
      </c>
      <c r="L18668">
        <v>344</v>
      </c>
      <c r="M18668">
        <v>1</v>
      </c>
      <c r="N18668">
        <v>1.4151400000000001E-163</v>
      </c>
      <c r="O18668">
        <v>1475</v>
      </c>
    </row>
    <row r="18669" spans="1:15" x14ac:dyDescent="0.25">
      <c r="A18669" t="s">
        <v>18682</v>
      </c>
      <c r="B18669">
        <v>250</v>
      </c>
      <c r="C18669" s="1" t="str">
        <f>HYPERLINK("http://www.rosaceae.org/gb/gbrowse/malus_x_domestica/?name=MDP0000271764","MDP0000271764")</f>
        <v>MDP0000271764</v>
      </c>
      <c r="D18669">
        <v>80.39</v>
      </c>
      <c r="E18669">
        <v>51</v>
      </c>
      <c r="F18669">
        <v>10</v>
      </c>
      <c r="G18669">
        <v>0</v>
      </c>
      <c r="H18669">
        <v>149</v>
      </c>
      <c r="I18669">
        <v>199</v>
      </c>
      <c r="J18669">
        <v>1</v>
      </c>
      <c r="K18669">
        <v>64</v>
      </c>
      <c r="L18669">
        <v>114</v>
      </c>
      <c r="M18669">
        <v>1</v>
      </c>
      <c r="N18669">
        <v>1.8607300000000001E-16</v>
      </c>
      <c r="O18669">
        <v>205</v>
      </c>
    </row>
    <row r="18670" spans="1:15" x14ac:dyDescent="0.25">
      <c r="A18670" t="s">
        <v>18683</v>
      </c>
      <c r="B18670">
        <v>270</v>
      </c>
      <c r="C18670" s="1" t="str">
        <f>HYPERLINK("http://www.rosaceae.org/gb/gbrowse/malus_x_domestica/?name=MDP0000310461","MDP0000310461")</f>
        <v>MDP0000310461</v>
      </c>
      <c r="D18670">
        <v>93.83</v>
      </c>
      <c r="E18670">
        <v>211</v>
      </c>
      <c r="F18670">
        <v>13</v>
      </c>
      <c r="G18670">
        <v>1</v>
      </c>
      <c r="H18670">
        <v>60</v>
      </c>
      <c r="I18670">
        <v>270</v>
      </c>
      <c r="J18670">
        <v>1</v>
      </c>
      <c r="K18670">
        <v>1</v>
      </c>
      <c r="L18670">
        <v>210</v>
      </c>
      <c r="M18670">
        <v>1</v>
      </c>
      <c r="N18670">
        <v>4.9999699999999998E-116</v>
      </c>
      <c r="O18670">
        <v>1064</v>
      </c>
    </row>
    <row r="18671" spans="1:15" x14ac:dyDescent="0.25">
      <c r="A18671" t="s">
        <v>18684</v>
      </c>
      <c r="B18671">
        <v>104</v>
      </c>
      <c r="C18671" s="1" t="str">
        <f>HYPERLINK("http://www.rosaceae.org/gb/gbrowse/malus_x_domestica/?name=MDP0000167857","MDP0000167857")</f>
        <v>MDP0000167857</v>
      </c>
      <c r="D18671">
        <v>62.5</v>
      </c>
      <c r="E18671">
        <v>80</v>
      </c>
      <c r="F18671">
        <v>30</v>
      </c>
      <c r="G18671">
        <v>4</v>
      </c>
      <c r="H18671">
        <v>12</v>
      </c>
      <c r="I18671">
        <v>87</v>
      </c>
      <c r="J18671">
        <v>1</v>
      </c>
      <c r="K18671">
        <v>222</v>
      </c>
      <c r="L18671">
        <v>301</v>
      </c>
      <c r="M18671">
        <v>1</v>
      </c>
      <c r="N18671">
        <v>3.55243E-19</v>
      </c>
      <c r="O18671">
        <v>223</v>
      </c>
    </row>
    <row r="18672" spans="1:15" x14ac:dyDescent="0.25">
      <c r="A18672" t="s">
        <v>18685</v>
      </c>
      <c r="B18672">
        <v>494</v>
      </c>
      <c r="C18672" s="1" t="str">
        <f>HYPERLINK("http://www.rosaceae.org/gb/gbrowse/malus_x_domestica/?name=MDP0000181135","MDP0000181135")</f>
        <v>MDP0000181135</v>
      </c>
      <c r="D18672">
        <v>29.81</v>
      </c>
      <c r="E18672">
        <v>369</v>
      </c>
      <c r="F18672">
        <v>259</v>
      </c>
      <c r="G18672">
        <v>30</v>
      </c>
      <c r="H18672">
        <v>134</v>
      </c>
      <c r="I18672">
        <v>483</v>
      </c>
      <c r="J18672">
        <v>1</v>
      </c>
      <c r="K18672">
        <v>73</v>
      </c>
      <c r="L18672">
        <v>430</v>
      </c>
      <c r="M18672">
        <v>1</v>
      </c>
      <c r="N18672">
        <v>6.0594600000000002E-29</v>
      </c>
      <c r="O18672">
        <v>316</v>
      </c>
    </row>
    <row r="18673" spans="1:15" x14ac:dyDescent="0.25">
      <c r="A18673" t="s">
        <v>18686</v>
      </c>
      <c r="B18673">
        <v>374</v>
      </c>
      <c r="C18673" s="1" t="str">
        <f>HYPERLINK("http://www.rosaceae.org/gb/gbrowse/malus_x_domestica/?name=MDP0000191488","MDP0000191488")</f>
        <v>MDP0000191488</v>
      </c>
      <c r="D18673">
        <v>61.09</v>
      </c>
      <c r="E18673">
        <v>365</v>
      </c>
      <c r="F18673">
        <v>142</v>
      </c>
      <c r="G18673">
        <v>23</v>
      </c>
      <c r="H18673">
        <v>32</v>
      </c>
      <c r="I18673">
        <v>373</v>
      </c>
      <c r="J18673">
        <v>1</v>
      </c>
      <c r="K18673">
        <v>21</v>
      </c>
      <c r="L18673">
        <v>385</v>
      </c>
      <c r="M18673">
        <v>1</v>
      </c>
      <c r="N18673">
        <v>2.8566100000000002E-121</v>
      </c>
      <c r="O18673">
        <v>1111</v>
      </c>
    </row>
    <row r="18674" spans="1:15" x14ac:dyDescent="0.25">
      <c r="A18674" t="s">
        <v>18687</v>
      </c>
      <c r="B18674">
        <v>434</v>
      </c>
      <c r="C18674" s="1" t="str">
        <f>HYPERLINK("http://www.rosaceae.org/gb/gbrowse/malus_x_domestica/?name=MDP0000158451","MDP0000158451")</f>
        <v>MDP0000158451</v>
      </c>
      <c r="D18674">
        <v>66.510000000000005</v>
      </c>
      <c r="E18674">
        <v>430</v>
      </c>
      <c r="F18674">
        <v>144</v>
      </c>
      <c r="G18674">
        <v>6</v>
      </c>
      <c r="H18674">
        <v>1</v>
      </c>
      <c r="I18674">
        <v>430</v>
      </c>
      <c r="J18674">
        <v>1</v>
      </c>
      <c r="K18674">
        <v>1</v>
      </c>
      <c r="L18674">
        <v>424</v>
      </c>
      <c r="M18674">
        <v>1</v>
      </c>
      <c r="N18674">
        <v>7.1216600000000005E-145</v>
      </c>
      <c r="O18674">
        <v>1315</v>
      </c>
    </row>
    <row r="18675" spans="1:15" x14ac:dyDescent="0.25">
      <c r="A18675" t="s">
        <v>18688</v>
      </c>
      <c r="B18675">
        <v>511</v>
      </c>
      <c r="C18675" s="1" t="str">
        <f>HYPERLINK("http://www.rosaceae.org/gb/gbrowse/malus_x_domestica/?name=MDP0000198698","MDP0000198698")</f>
        <v>MDP0000198698</v>
      </c>
      <c r="D18675">
        <v>82.79</v>
      </c>
      <c r="E18675">
        <v>465</v>
      </c>
      <c r="F18675">
        <v>80</v>
      </c>
      <c r="G18675">
        <v>3</v>
      </c>
      <c r="H18675">
        <v>1</v>
      </c>
      <c r="I18675">
        <v>463</v>
      </c>
      <c r="J18675">
        <v>1</v>
      </c>
      <c r="K18675">
        <v>1</v>
      </c>
      <c r="L18675">
        <v>464</v>
      </c>
      <c r="M18675">
        <v>1</v>
      </c>
      <c r="N18675">
        <v>0</v>
      </c>
      <c r="O18675">
        <v>2074</v>
      </c>
    </row>
    <row r="18676" spans="1:15" x14ac:dyDescent="0.25">
      <c r="A18676" t="s">
        <v>18689</v>
      </c>
      <c r="B18676">
        <v>333</v>
      </c>
      <c r="C18676" s="1" t="str">
        <f>HYPERLINK("http://www.rosaceae.org/gb/gbrowse/malus_x_domestica/?name=MDP0000136937","MDP0000136937")</f>
        <v>MDP0000136937</v>
      </c>
      <c r="D18676">
        <v>83.66</v>
      </c>
      <c r="E18676">
        <v>202</v>
      </c>
      <c r="F18676">
        <v>33</v>
      </c>
      <c r="G18676">
        <v>1</v>
      </c>
      <c r="H18676">
        <v>24</v>
      </c>
      <c r="I18676">
        <v>225</v>
      </c>
      <c r="J18676">
        <v>1</v>
      </c>
      <c r="K18676">
        <v>30</v>
      </c>
      <c r="L18676">
        <v>230</v>
      </c>
      <c r="M18676">
        <v>1</v>
      </c>
      <c r="N18676">
        <v>2.15391E-92</v>
      </c>
      <c r="O18676">
        <v>861</v>
      </c>
    </row>
    <row r="18677" spans="1:15" x14ac:dyDescent="0.25">
      <c r="A18677" t="s">
        <v>18690</v>
      </c>
      <c r="B18677">
        <v>156</v>
      </c>
      <c r="C18677" s="1" t="str">
        <f>HYPERLINK("http://www.rosaceae.org/gb/gbrowse/malus_x_domestica/?name=MDP0000579197","MDP0000579197")</f>
        <v>MDP0000579197</v>
      </c>
      <c r="D18677">
        <v>46.09</v>
      </c>
      <c r="E18677">
        <v>141</v>
      </c>
      <c r="F18677">
        <v>76</v>
      </c>
      <c r="G18677">
        <v>19</v>
      </c>
      <c r="H18677">
        <v>4</v>
      </c>
      <c r="I18677">
        <v>143</v>
      </c>
      <c r="J18677">
        <v>1</v>
      </c>
      <c r="K18677">
        <v>1</v>
      </c>
      <c r="L18677">
        <v>123</v>
      </c>
      <c r="M18677">
        <v>1</v>
      </c>
      <c r="N18677">
        <v>2.3544200000000001E-27</v>
      </c>
      <c r="O18677">
        <v>296</v>
      </c>
    </row>
    <row r="18678" spans="1:15" x14ac:dyDescent="0.25">
      <c r="A18678" t="s">
        <v>18691</v>
      </c>
      <c r="B18678">
        <v>222</v>
      </c>
      <c r="C18678" s="1" t="str">
        <f>HYPERLINK("http://www.rosaceae.org/gb/gbrowse/malus_x_domestica/?name=MDP0000343801","MDP0000343801")</f>
        <v>MDP0000343801</v>
      </c>
      <c r="D18678">
        <v>74.09</v>
      </c>
      <c r="E18678">
        <v>166</v>
      </c>
      <c r="F18678">
        <v>43</v>
      </c>
      <c r="G18678">
        <v>4</v>
      </c>
      <c r="H18678">
        <v>1</v>
      </c>
      <c r="I18678">
        <v>166</v>
      </c>
      <c r="J18678">
        <v>1</v>
      </c>
      <c r="K18678">
        <v>1</v>
      </c>
      <c r="L18678">
        <v>162</v>
      </c>
      <c r="M18678">
        <v>1</v>
      </c>
      <c r="N18678">
        <v>6.1278699999999996E-63</v>
      </c>
      <c r="O18678">
        <v>605</v>
      </c>
    </row>
    <row r="18679" spans="1:15" x14ac:dyDescent="0.25">
      <c r="A18679" t="s">
        <v>18692</v>
      </c>
      <c r="B18679">
        <v>226</v>
      </c>
      <c r="C18679" s="1" t="str">
        <f>HYPERLINK("http://www.rosaceae.org/gb/gbrowse/malus_x_domestica/?name=MDP0000217331","MDP0000217331")</f>
        <v>MDP0000217331</v>
      </c>
      <c r="D18679">
        <v>82.37</v>
      </c>
      <c r="E18679">
        <v>227</v>
      </c>
      <c r="F18679">
        <v>40</v>
      </c>
      <c r="G18679">
        <v>2</v>
      </c>
      <c r="H18679">
        <v>1</v>
      </c>
      <c r="I18679">
        <v>225</v>
      </c>
      <c r="J18679">
        <v>1</v>
      </c>
      <c r="K18679">
        <v>1</v>
      </c>
      <c r="L18679">
        <v>227</v>
      </c>
      <c r="M18679">
        <v>1</v>
      </c>
      <c r="N18679">
        <v>1.30026E-111</v>
      </c>
      <c r="O18679">
        <v>1025</v>
      </c>
    </row>
    <row r="18680" spans="1:15" x14ac:dyDescent="0.25">
      <c r="A18680" t="s">
        <v>18693</v>
      </c>
      <c r="B18680">
        <v>395</v>
      </c>
      <c r="C18680" s="1" t="str">
        <f>HYPERLINK("http://www.rosaceae.org/gb/gbrowse/malus_x_domestica/?name=MDP0000831656","MDP0000831656")</f>
        <v>MDP0000831656</v>
      </c>
      <c r="D18680">
        <v>88.35</v>
      </c>
      <c r="E18680">
        <v>395</v>
      </c>
      <c r="F18680">
        <v>46</v>
      </c>
      <c r="G18680">
        <v>0</v>
      </c>
      <c r="H18680">
        <v>1</v>
      </c>
      <c r="I18680">
        <v>395</v>
      </c>
      <c r="J18680">
        <v>1</v>
      </c>
      <c r="K18680">
        <v>1</v>
      </c>
      <c r="L18680">
        <v>395</v>
      </c>
      <c r="M18680">
        <v>1</v>
      </c>
      <c r="N18680">
        <v>0</v>
      </c>
      <c r="O18680">
        <v>1897</v>
      </c>
    </row>
    <row r="18681" spans="1:15" x14ac:dyDescent="0.25">
      <c r="A18681" t="s">
        <v>18694</v>
      </c>
      <c r="B18681">
        <v>99</v>
      </c>
      <c r="C18681" s="1" t="str">
        <f>HYPERLINK("http://www.rosaceae.org/gb/gbrowse/malus_x_domestica/?name=MDP0000635740","MDP0000635740")</f>
        <v>MDP0000635740</v>
      </c>
      <c r="D18681">
        <v>43.43</v>
      </c>
      <c r="E18681">
        <v>99</v>
      </c>
      <c r="F18681">
        <v>56</v>
      </c>
      <c r="G18681">
        <v>7</v>
      </c>
      <c r="H18681">
        <v>2</v>
      </c>
      <c r="I18681">
        <v>99</v>
      </c>
      <c r="J18681">
        <v>1</v>
      </c>
      <c r="K18681">
        <v>515</v>
      </c>
      <c r="L18681">
        <v>607</v>
      </c>
      <c r="M18681">
        <v>1</v>
      </c>
      <c r="N18681">
        <v>1.3597499999999999E-12</v>
      </c>
      <c r="O18681">
        <v>166</v>
      </c>
    </row>
    <row r="18682" spans="1:15" x14ac:dyDescent="0.25">
      <c r="A18682" t="s">
        <v>18695</v>
      </c>
      <c r="B18682">
        <v>516</v>
      </c>
      <c r="C18682" s="1" t="str">
        <f>HYPERLINK("http://www.rosaceae.org/gb/gbrowse/malus_x_domestica/?name=MDP0000175853","MDP0000175853")</f>
        <v>MDP0000175853</v>
      </c>
      <c r="D18682">
        <v>85.94</v>
      </c>
      <c r="E18682">
        <v>555</v>
      </c>
      <c r="F18682">
        <v>78</v>
      </c>
      <c r="G18682">
        <v>39</v>
      </c>
      <c r="H18682">
        <v>1</v>
      </c>
      <c r="I18682">
        <v>516</v>
      </c>
      <c r="J18682">
        <v>1</v>
      </c>
      <c r="K18682">
        <v>1</v>
      </c>
      <c r="L18682">
        <v>555</v>
      </c>
      <c r="M18682">
        <v>1</v>
      </c>
      <c r="N18682">
        <v>0</v>
      </c>
      <c r="O18682">
        <v>2490</v>
      </c>
    </row>
    <row r="18683" spans="1:15" x14ac:dyDescent="0.25">
      <c r="A18683" t="s">
        <v>18696</v>
      </c>
      <c r="B18683">
        <v>337</v>
      </c>
      <c r="C18683" s="1" t="str">
        <f>HYPERLINK("http://www.rosaceae.org/gb/gbrowse/malus_x_domestica/?name=MDP0000212290","MDP0000212290")</f>
        <v>MDP0000212290</v>
      </c>
      <c r="D18683">
        <v>35.619999999999997</v>
      </c>
      <c r="E18683">
        <v>334</v>
      </c>
      <c r="F18683">
        <v>215</v>
      </c>
      <c r="G18683">
        <v>23</v>
      </c>
      <c r="H18683">
        <v>3</v>
      </c>
      <c r="I18683">
        <v>318</v>
      </c>
      <c r="J18683">
        <v>1</v>
      </c>
      <c r="K18683">
        <v>1</v>
      </c>
      <c r="L18683">
        <v>329</v>
      </c>
      <c r="M18683">
        <v>1</v>
      </c>
      <c r="N18683">
        <v>1.1000199999999999E-52</v>
      </c>
      <c r="O18683">
        <v>519</v>
      </c>
    </row>
    <row r="18684" spans="1:15" x14ac:dyDescent="0.25">
      <c r="A18684" t="s">
        <v>18697</v>
      </c>
      <c r="B18684">
        <v>204</v>
      </c>
      <c r="C18684" s="1" t="str">
        <f>HYPERLINK("http://www.rosaceae.org/gb/gbrowse/malus_x_domestica/?name=MDP0000150000","MDP0000150000")</f>
        <v>MDP0000150000</v>
      </c>
      <c r="D18684">
        <v>41.77</v>
      </c>
      <c r="E18684">
        <v>79</v>
      </c>
      <c r="F18684">
        <v>46</v>
      </c>
      <c r="G18684">
        <v>2</v>
      </c>
      <c r="H18684">
        <v>69</v>
      </c>
      <c r="I18684">
        <v>147</v>
      </c>
      <c r="J18684">
        <v>1</v>
      </c>
      <c r="K18684">
        <v>335</v>
      </c>
      <c r="L18684">
        <v>411</v>
      </c>
      <c r="M18684">
        <v>1</v>
      </c>
      <c r="N18684">
        <v>1.04784E-9</v>
      </c>
      <c r="O18684">
        <v>145</v>
      </c>
    </row>
    <row r="18685" spans="1:15" x14ac:dyDescent="0.25">
      <c r="A18685" t="s">
        <v>18698</v>
      </c>
      <c r="B18685">
        <v>188</v>
      </c>
      <c r="C18685" s="1" t="str">
        <f>HYPERLINK("http://www.rosaceae.org/gb/gbrowse/malus_x_domestica/?name=MDP0000239826","MDP0000239826")</f>
        <v>MDP0000239826</v>
      </c>
      <c r="D18685">
        <v>41.02</v>
      </c>
      <c r="E18685">
        <v>156</v>
      </c>
      <c r="F18685">
        <v>92</v>
      </c>
      <c r="G18685">
        <v>6</v>
      </c>
      <c r="H18685">
        <v>35</v>
      </c>
      <c r="I18685">
        <v>188</v>
      </c>
      <c r="J18685">
        <v>1</v>
      </c>
      <c r="K18685">
        <v>187</v>
      </c>
      <c r="L18685">
        <v>338</v>
      </c>
      <c r="M18685">
        <v>1</v>
      </c>
      <c r="N18685">
        <v>7.4551400000000004E-25</v>
      </c>
      <c r="O18685">
        <v>275</v>
      </c>
    </row>
    <row r="18686" spans="1:15" x14ac:dyDescent="0.25">
      <c r="A18686" t="s">
        <v>18699</v>
      </c>
      <c r="B18686">
        <v>1257</v>
      </c>
      <c r="C18686" s="1" t="str">
        <f>HYPERLINK("http://www.rosaceae.org/gb/gbrowse/malus_x_domestica/?name=MDP0000561556","MDP0000561556")</f>
        <v>MDP0000561556</v>
      </c>
      <c r="D18686">
        <v>47.08</v>
      </c>
      <c r="E18686">
        <v>1423</v>
      </c>
      <c r="F18686">
        <v>753</v>
      </c>
      <c r="G18686">
        <v>208</v>
      </c>
      <c r="H18686">
        <v>2</v>
      </c>
      <c r="I18686">
        <v>1245</v>
      </c>
      <c r="J18686">
        <v>1</v>
      </c>
      <c r="K18686">
        <v>3</v>
      </c>
      <c r="L18686">
        <v>1396</v>
      </c>
      <c r="M18686">
        <v>1</v>
      </c>
      <c r="N18686">
        <v>0</v>
      </c>
      <c r="O18686">
        <v>2728</v>
      </c>
    </row>
    <row r="18687" spans="1:15" x14ac:dyDescent="0.25">
      <c r="A18687" t="s">
        <v>18700</v>
      </c>
      <c r="B18687">
        <v>449</v>
      </c>
      <c r="C18687" s="1" t="str">
        <f>HYPERLINK("http://www.rosaceae.org/gb/gbrowse/malus_x_domestica/?name=MDP0000183819","MDP0000183819")</f>
        <v>MDP0000183819</v>
      </c>
      <c r="D18687">
        <v>87.84</v>
      </c>
      <c r="E18687">
        <v>395</v>
      </c>
      <c r="F18687">
        <v>48</v>
      </c>
      <c r="G18687">
        <v>0</v>
      </c>
      <c r="H18687">
        <v>1</v>
      </c>
      <c r="I18687">
        <v>395</v>
      </c>
      <c r="J18687">
        <v>1</v>
      </c>
      <c r="K18687">
        <v>453</v>
      </c>
      <c r="L18687">
        <v>847</v>
      </c>
      <c r="M18687">
        <v>1</v>
      </c>
      <c r="N18687">
        <v>0</v>
      </c>
      <c r="O18687">
        <v>1889</v>
      </c>
    </row>
    <row r="18688" spans="1:15" x14ac:dyDescent="0.25">
      <c r="A18688" t="s">
        <v>18701</v>
      </c>
      <c r="B18688">
        <v>191</v>
      </c>
      <c r="C18688" s="1" t="str">
        <f>HYPERLINK("http://www.rosaceae.org/gb/gbrowse/malus_x_domestica/?name=MDP0000285251","MDP0000285251")</f>
        <v>MDP0000285251</v>
      </c>
      <c r="D18688">
        <v>71.42</v>
      </c>
      <c r="E18688">
        <v>35</v>
      </c>
      <c r="F18688">
        <v>10</v>
      </c>
      <c r="G18688">
        <v>0</v>
      </c>
      <c r="H18688">
        <v>157</v>
      </c>
      <c r="I18688">
        <v>191</v>
      </c>
      <c r="J18688">
        <v>1</v>
      </c>
      <c r="K18688">
        <v>206</v>
      </c>
      <c r="L18688">
        <v>240</v>
      </c>
      <c r="M18688">
        <v>1</v>
      </c>
      <c r="N18688">
        <v>1.3118E-8</v>
      </c>
      <c r="O18688">
        <v>135</v>
      </c>
    </row>
    <row r="18689" spans="1:15" x14ac:dyDescent="0.25">
      <c r="A18689" t="s">
        <v>18702</v>
      </c>
      <c r="B18689">
        <v>216</v>
      </c>
      <c r="C18689" s="1" t="str">
        <f>HYPERLINK("http://www.rosaceae.org/gb/gbrowse/malus_x_domestica/?name=MDP0000230446","MDP0000230446")</f>
        <v>MDP0000230446</v>
      </c>
      <c r="D18689">
        <v>41.08</v>
      </c>
      <c r="E18689">
        <v>202</v>
      </c>
      <c r="F18689">
        <v>119</v>
      </c>
      <c r="G18689">
        <v>40</v>
      </c>
      <c r="H18689">
        <v>51</v>
      </c>
      <c r="I18689">
        <v>216</v>
      </c>
      <c r="J18689">
        <v>1</v>
      </c>
      <c r="K18689">
        <v>71</v>
      </c>
      <c r="L18689">
        <v>268</v>
      </c>
      <c r="M18689">
        <v>1</v>
      </c>
      <c r="N18689">
        <v>2.9300299999999999E-30</v>
      </c>
      <c r="O18689">
        <v>323</v>
      </c>
    </row>
    <row r="18690" spans="1:15" x14ac:dyDescent="0.25">
      <c r="A18690" t="s">
        <v>18703</v>
      </c>
      <c r="B18690">
        <v>586</v>
      </c>
      <c r="C18690" s="1" t="str">
        <f>HYPERLINK("http://www.rosaceae.org/gb/gbrowse/malus_x_domestica/?name=MDP0000765891","MDP0000765891")</f>
        <v>MDP0000765891</v>
      </c>
      <c r="D18690">
        <v>78.459999999999994</v>
      </c>
      <c r="E18690">
        <v>599</v>
      </c>
      <c r="F18690">
        <v>129</v>
      </c>
      <c r="G18690">
        <v>13</v>
      </c>
      <c r="H18690">
        <v>1</v>
      </c>
      <c r="I18690">
        <v>586</v>
      </c>
      <c r="J18690">
        <v>1</v>
      </c>
      <c r="K18690">
        <v>1</v>
      </c>
      <c r="L18690">
        <v>599</v>
      </c>
      <c r="M18690">
        <v>1</v>
      </c>
      <c r="N18690">
        <v>0</v>
      </c>
      <c r="O18690">
        <v>2478</v>
      </c>
    </row>
    <row r="18691" spans="1:15" x14ac:dyDescent="0.25">
      <c r="A18691" t="s">
        <v>18704</v>
      </c>
      <c r="B18691">
        <v>225</v>
      </c>
      <c r="C18691" s="1" t="str">
        <f>HYPERLINK("http://www.rosaceae.org/gb/gbrowse/malus_x_domestica/?name=MDP0000316658","MDP0000316658")</f>
        <v>MDP0000316658</v>
      </c>
      <c r="D18691">
        <v>40.19</v>
      </c>
      <c r="E18691">
        <v>209</v>
      </c>
      <c r="F18691">
        <v>125</v>
      </c>
      <c r="G18691">
        <v>11</v>
      </c>
      <c r="H18691">
        <v>18</v>
      </c>
      <c r="I18691">
        <v>225</v>
      </c>
      <c r="J18691">
        <v>1</v>
      </c>
      <c r="K18691">
        <v>12</v>
      </c>
      <c r="L18691">
        <v>210</v>
      </c>
      <c r="M18691">
        <v>1</v>
      </c>
      <c r="N18691">
        <v>2.5928699999999999E-34</v>
      </c>
      <c r="O18691">
        <v>358</v>
      </c>
    </row>
    <row r="18692" spans="1:15" x14ac:dyDescent="0.25">
      <c r="A18692" t="s">
        <v>18705</v>
      </c>
      <c r="B18692">
        <v>392</v>
      </c>
      <c r="C18692" s="1" t="str">
        <f>HYPERLINK("http://www.rosaceae.org/gb/gbrowse/malus_x_domestica/?name=MDP0000119265","MDP0000119265")</f>
        <v>MDP0000119265</v>
      </c>
      <c r="D18692">
        <v>32.78</v>
      </c>
      <c r="E18692">
        <v>366</v>
      </c>
      <c r="F18692">
        <v>246</v>
      </c>
      <c r="G18692">
        <v>81</v>
      </c>
      <c r="H18692">
        <v>5</v>
      </c>
      <c r="I18692">
        <v>317</v>
      </c>
      <c r="J18692">
        <v>1</v>
      </c>
      <c r="K18692">
        <v>7</v>
      </c>
      <c r="L18692">
        <v>344</v>
      </c>
      <c r="M18692">
        <v>1</v>
      </c>
      <c r="N18692">
        <v>2.07731E-33</v>
      </c>
      <c r="O18692">
        <v>353</v>
      </c>
    </row>
    <row r="18693" spans="1:15" x14ac:dyDescent="0.25">
      <c r="A18693" t="s">
        <v>18706</v>
      </c>
      <c r="B18693">
        <v>445</v>
      </c>
      <c r="C18693" s="1" t="str">
        <f>HYPERLINK("http://www.rosaceae.org/gb/gbrowse/malus_x_domestica/?name=MDP0000143844","MDP0000143844")</f>
        <v>MDP0000143844</v>
      </c>
      <c r="D18693">
        <v>38.39</v>
      </c>
      <c r="E18693">
        <v>435</v>
      </c>
      <c r="F18693">
        <v>268</v>
      </c>
      <c r="G18693">
        <v>80</v>
      </c>
      <c r="H18693">
        <v>86</v>
      </c>
      <c r="I18693">
        <v>445</v>
      </c>
      <c r="J18693">
        <v>1</v>
      </c>
      <c r="K18693">
        <v>35</v>
      </c>
      <c r="L18693">
        <v>464</v>
      </c>
      <c r="M18693">
        <v>1</v>
      </c>
      <c r="N18693">
        <v>1.7662299999999999E-66</v>
      </c>
      <c r="O18693">
        <v>639</v>
      </c>
    </row>
    <row r="18694" spans="1:15" x14ac:dyDescent="0.25">
      <c r="A18694" t="s">
        <v>18707</v>
      </c>
      <c r="B18694">
        <v>477</v>
      </c>
      <c r="C18694" s="1" t="str">
        <f>HYPERLINK("http://www.rosaceae.org/gb/gbrowse/malus_x_domestica/?name=MDP0000247921","MDP0000247921")</f>
        <v>MDP0000247921</v>
      </c>
      <c r="D18694">
        <v>23.68</v>
      </c>
      <c r="E18694">
        <v>456</v>
      </c>
      <c r="F18694">
        <v>348</v>
      </c>
      <c r="G18694">
        <v>56</v>
      </c>
      <c r="H18694">
        <v>24</v>
      </c>
      <c r="I18694">
        <v>451</v>
      </c>
      <c r="J18694">
        <v>1</v>
      </c>
      <c r="K18694">
        <v>700</v>
      </c>
      <c r="L18694">
        <v>1127</v>
      </c>
      <c r="M18694">
        <v>1</v>
      </c>
      <c r="N18694">
        <v>1.07267E-26</v>
      </c>
      <c r="O18694">
        <v>296</v>
      </c>
    </row>
    <row r="18695" spans="1:15" x14ac:dyDescent="0.25">
      <c r="A18695" t="s">
        <v>18708</v>
      </c>
      <c r="B18695">
        <v>323</v>
      </c>
      <c r="C18695" s="1" t="str">
        <f>HYPERLINK("http://www.rosaceae.org/gb/gbrowse/malus_x_domestica/?name=MDP0000265213","MDP0000265213")</f>
        <v>MDP0000265213</v>
      </c>
      <c r="D18695">
        <v>57.19</v>
      </c>
      <c r="E18695">
        <v>257</v>
      </c>
      <c r="F18695">
        <v>110</v>
      </c>
      <c r="G18695">
        <v>15</v>
      </c>
      <c r="H18695">
        <v>25</v>
      </c>
      <c r="I18695">
        <v>280</v>
      </c>
      <c r="J18695">
        <v>1</v>
      </c>
      <c r="K18695">
        <v>19</v>
      </c>
      <c r="L18695">
        <v>261</v>
      </c>
      <c r="M18695">
        <v>1</v>
      </c>
      <c r="N18695">
        <v>1.15665E-68</v>
      </c>
      <c r="O18695">
        <v>656</v>
      </c>
    </row>
    <row r="18696" spans="1:15" x14ac:dyDescent="0.25">
      <c r="A18696" t="s">
        <v>18709</v>
      </c>
      <c r="B18696">
        <v>131</v>
      </c>
      <c r="C18696" s="1" t="str">
        <f>HYPERLINK("http://www.rosaceae.org/gb/gbrowse/malus_x_domestica/?name=MDP0000267513","MDP0000267513")</f>
        <v>MDP0000267513</v>
      </c>
      <c r="D18696">
        <v>64.12</v>
      </c>
      <c r="E18696">
        <v>131</v>
      </c>
      <c r="F18696">
        <v>47</v>
      </c>
      <c r="G18696">
        <v>0</v>
      </c>
      <c r="H18696">
        <v>1</v>
      </c>
      <c r="I18696">
        <v>131</v>
      </c>
      <c r="J18696">
        <v>1</v>
      </c>
      <c r="K18696">
        <v>1</v>
      </c>
      <c r="L18696">
        <v>131</v>
      </c>
      <c r="M18696">
        <v>1</v>
      </c>
      <c r="N18696">
        <v>2.1700499999999998E-40</v>
      </c>
      <c r="O18696">
        <v>406</v>
      </c>
    </row>
    <row r="18697" spans="1:15" x14ac:dyDescent="0.25">
      <c r="A18697" t="s">
        <v>18710</v>
      </c>
      <c r="B18697">
        <v>236</v>
      </c>
      <c r="C18697" s="1" t="str">
        <f>HYPERLINK("http://www.rosaceae.org/gb/gbrowse/malus_x_domestica/?name=MDP0000769222","MDP0000769222")</f>
        <v>MDP0000769222</v>
      </c>
      <c r="D18697">
        <v>38.700000000000003</v>
      </c>
      <c r="E18697">
        <v>279</v>
      </c>
      <c r="F18697">
        <v>171</v>
      </c>
      <c r="G18697">
        <v>73</v>
      </c>
      <c r="H18697">
        <v>18</v>
      </c>
      <c r="I18697">
        <v>225</v>
      </c>
      <c r="J18697">
        <v>1</v>
      </c>
      <c r="K18697">
        <v>374</v>
      </c>
      <c r="L18697">
        <v>650</v>
      </c>
      <c r="M18697">
        <v>1</v>
      </c>
      <c r="N18697">
        <v>2.10599E-35</v>
      </c>
      <c r="O18697">
        <v>368</v>
      </c>
    </row>
    <row r="18698" spans="1:15" x14ac:dyDescent="0.25">
      <c r="A18698" t="s">
        <v>18711</v>
      </c>
      <c r="B18698">
        <v>114</v>
      </c>
      <c r="C18698" s="1" t="str">
        <f>HYPERLINK("http://www.rosaceae.org/gb/gbrowse/malus_x_domestica/?name=MDP0000286732","MDP0000286732")</f>
        <v>MDP0000286732</v>
      </c>
      <c r="D18698">
        <v>90.38</v>
      </c>
      <c r="E18698">
        <v>104</v>
      </c>
      <c r="F18698">
        <v>10</v>
      </c>
      <c r="G18698">
        <v>0</v>
      </c>
      <c r="H18698">
        <v>11</v>
      </c>
      <c r="I18698">
        <v>114</v>
      </c>
      <c r="J18698">
        <v>1</v>
      </c>
      <c r="K18698">
        <v>952</v>
      </c>
      <c r="L18698">
        <v>1055</v>
      </c>
      <c r="M18698">
        <v>1</v>
      </c>
      <c r="N18698">
        <v>2.2053499999999998E-56</v>
      </c>
      <c r="O18698">
        <v>544</v>
      </c>
    </row>
    <row r="18699" spans="1:15" x14ac:dyDescent="0.25">
      <c r="A18699" t="s">
        <v>18712</v>
      </c>
      <c r="B18699">
        <v>108</v>
      </c>
      <c r="C18699" s="1" t="str">
        <f>HYPERLINK("http://www.rosaceae.org/gb/gbrowse/malus_x_domestica/?name=MDP0000417211","MDP0000417211")</f>
        <v>MDP0000417211</v>
      </c>
      <c r="D18699">
        <v>59.18</v>
      </c>
      <c r="E18699">
        <v>98</v>
      </c>
      <c r="F18699">
        <v>40</v>
      </c>
      <c r="G18699">
        <v>0</v>
      </c>
      <c r="H18699">
        <v>4</v>
      </c>
      <c r="I18699">
        <v>101</v>
      </c>
      <c r="J18699">
        <v>1</v>
      </c>
      <c r="K18699">
        <v>42</v>
      </c>
      <c r="L18699">
        <v>139</v>
      </c>
      <c r="M18699">
        <v>1</v>
      </c>
      <c r="N18699">
        <v>2.7445200000000002E-28</v>
      </c>
      <c r="O18699">
        <v>301</v>
      </c>
    </row>
    <row r="18700" spans="1:15" x14ac:dyDescent="0.25">
      <c r="A18700" t="s">
        <v>18713</v>
      </c>
      <c r="B18700">
        <v>792</v>
      </c>
      <c r="C18700" s="1" t="str">
        <f>HYPERLINK("http://www.rosaceae.org/gb/gbrowse/malus_x_domestica/?name=MDP0000278944","MDP0000278944")</f>
        <v>MDP0000278944</v>
      </c>
      <c r="D18700">
        <v>75.599999999999994</v>
      </c>
      <c r="E18700">
        <v>779</v>
      </c>
      <c r="F18700">
        <v>190</v>
      </c>
      <c r="G18700">
        <v>32</v>
      </c>
      <c r="H18700">
        <v>32</v>
      </c>
      <c r="I18700">
        <v>792</v>
      </c>
      <c r="J18700">
        <v>1</v>
      </c>
      <c r="K18700">
        <v>1</v>
      </c>
      <c r="L18700">
        <v>765</v>
      </c>
      <c r="M18700">
        <v>1</v>
      </c>
      <c r="N18700">
        <v>0</v>
      </c>
      <c r="O18700">
        <v>3040</v>
      </c>
    </row>
    <row r="18701" spans="1:15" x14ac:dyDescent="0.25">
      <c r="A18701" t="s">
        <v>18714</v>
      </c>
      <c r="B18701">
        <v>879</v>
      </c>
      <c r="C18701" s="1" t="str">
        <f>HYPERLINK("http://www.rosaceae.org/gb/gbrowse/malus_x_domestica/?name=MDP0000518155","MDP0000518155")</f>
        <v>MDP0000518155</v>
      </c>
      <c r="D18701">
        <v>71.78</v>
      </c>
      <c r="E18701">
        <v>886</v>
      </c>
      <c r="F18701">
        <v>250</v>
      </c>
      <c r="G18701">
        <v>19</v>
      </c>
      <c r="H18701">
        <v>1</v>
      </c>
      <c r="I18701">
        <v>878</v>
      </c>
      <c r="J18701">
        <v>1</v>
      </c>
      <c r="K18701">
        <v>1</v>
      </c>
      <c r="L18701">
        <v>875</v>
      </c>
      <c r="M18701">
        <v>1</v>
      </c>
      <c r="N18701">
        <v>0</v>
      </c>
      <c r="O18701">
        <v>3278</v>
      </c>
    </row>
    <row r="18702" spans="1:15" x14ac:dyDescent="0.25">
      <c r="A18702" t="s">
        <v>18715</v>
      </c>
      <c r="B18702">
        <v>342</v>
      </c>
      <c r="C18702" s="1" t="str">
        <f>HYPERLINK("http://www.rosaceae.org/gb/gbrowse/malus_x_domestica/?name=MDP0000907735","MDP0000907735")</f>
        <v>MDP0000907735</v>
      </c>
      <c r="D18702">
        <v>65.78</v>
      </c>
      <c r="E18702">
        <v>342</v>
      </c>
      <c r="F18702">
        <v>117</v>
      </c>
      <c r="G18702">
        <v>1</v>
      </c>
      <c r="H18702">
        <v>1</v>
      </c>
      <c r="I18702">
        <v>342</v>
      </c>
      <c r="J18702">
        <v>1</v>
      </c>
      <c r="K18702">
        <v>1</v>
      </c>
      <c r="L18702">
        <v>341</v>
      </c>
      <c r="M18702">
        <v>1</v>
      </c>
      <c r="N18702">
        <v>2.1247999999999999E-128</v>
      </c>
      <c r="O18702">
        <v>1172</v>
      </c>
    </row>
    <row r="18703" spans="1:15" x14ac:dyDescent="0.25">
      <c r="A18703" t="s">
        <v>18716</v>
      </c>
      <c r="B18703">
        <v>116</v>
      </c>
      <c r="C18703" s="1" t="str">
        <f>HYPERLINK("http://www.rosaceae.org/gb/gbrowse/malus_x_domestica/?name=MDP0000237182","MDP0000237182")</f>
        <v>MDP0000237182</v>
      </c>
      <c r="D18703">
        <v>40.47</v>
      </c>
      <c r="E18703">
        <v>84</v>
      </c>
      <c r="F18703">
        <v>50</v>
      </c>
      <c r="G18703">
        <v>1</v>
      </c>
      <c r="H18703">
        <v>26</v>
      </c>
      <c r="I18703">
        <v>109</v>
      </c>
      <c r="J18703">
        <v>1</v>
      </c>
      <c r="K18703">
        <v>7</v>
      </c>
      <c r="L18703">
        <v>89</v>
      </c>
      <c r="M18703">
        <v>1</v>
      </c>
      <c r="N18703">
        <v>5.55414E-12</v>
      </c>
      <c r="O18703">
        <v>161</v>
      </c>
    </row>
    <row r="18704" spans="1:15" x14ac:dyDescent="0.25">
      <c r="A18704" t="s">
        <v>18717</v>
      </c>
      <c r="B18704">
        <v>374</v>
      </c>
      <c r="C18704" s="1" t="str">
        <f>HYPERLINK("http://www.rosaceae.org/gb/gbrowse/malus_x_domestica/?name=MDP0000752092","MDP0000752092")</f>
        <v>MDP0000752092</v>
      </c>
      <c r="D18704">
        <v>55.88</v>
      </c>
      <c r="E18704">
        <v>374</v>
      </c>
      <c r="F18704">
        <v>165</v>
      </c>
      <c r="G18704">
        <v>16</v>
      </c>
      <c r="H18704">
        <v>1</v>
      </c>
      <c r="I18704">
        <v>374</v>
      </c>
      <c r="J18704">
        <v>1</v>
      </c>
      <c r="K18704">
        <v>31</v>
      </c>
      <c r="L18704">
        <v>388</v>
      </c>
      <c r="M18704">
        <v>1</v>
      </c>
      <c r="N18704">
        <v>2.2298499999999998E-112</v>
      </c>
      <c r="O18704">
        <v>1034</v>
      </c>
    </row>
    <row r="18705" spans="1:15" x14ac:dyDescent="0.25">
      <c r="A18705" t="s">
        <v>18718</v>
      </c>
      <c r="B18705">
        <v>200</v>
      </c>
      <c r="C18705" s="1" t="str">
        <f>HYPERLINK("http://www.rosaceae.org/gb/gbrowse/malus_x_domestica/?name=MDP0000118786","MDP0000118786")</f>
        <v>MDP0000118786</v>
      </c>
      <c r="D18705">
        <v>57.3</v>
      </c>
      <c r="E18705">
        <v>178</v>
      </c>
      <c r="F18705">
        <v>76</v>
      </c>
      <c r="G18705">
        <v>0</v>
      </c>
      <c r="H18705">
        <v>1</v>
      </c>
      <c r="I18705">
        <v>178</v>
      </c>
      <c r="J18705">
        <v>1</v>
      </c>
      <c r="K18705">
        <v>1</v>
      </c>
      <c r="L18705">
        <v>178</v>
      </c>
      <c r="M18705">
        <v>1</v>
      </c>
      <c r="N18705">
        <v>5.0538000000000001E-49</v>
      </c>
      <c r="O18705">
        <v>484</v>
      </c>
    </row>
    <row r="18706" spans="1:15" x14ac:dyDescent="0.25">
      <c r="A18706" t="s">
        <v>18719</v>
      </c>
      <c r="B18706">
        <v>234</v>
      </c>
      <c r="C18706" s="1" t="str">
        <f>HYPERLINK("http://www.rosaceae.org/gb/gbrowse/malus_x_domestica/?name=MDP0000239810","MDP0000239810")</f>
        <v>MDP0000239810</v>
      </c>
      <c r="D18706">
        <v>91.7</v>
      </c>
      <c r="E18706">
        <v>229</v>
      </c>
      <c r="F18706">
        <v>19</v>
      </c>
      <c r="G18706">
        <v>2</v>
      </c>
      <c r="H18706">
        <v>1</v>
      </c>
      <c r="I18706">
        <v>229</v>
      </c>
      <c r="J18706">
        <v>1</v>
      </c>
      <c r="K18706">
        <v>1</v>
      </c>
      <c r="L18706">
        <v>227</v>
      </c>
      <c r="M18706">
        <v>1</v>
      </c>
      <c r="N18706">
        <v>3.81364E-123</v>
      </c>
      <c r="O18706">
        <v>1125</v>
      </c>
    </row>
    <row r="18707" spans="1:15" x14ac:dyDescent="0.25">
      <c r="A18707" t="s">
        <v>18720</v>
      </c>
      <c r="B18707">
        <v>165</v>
      </c>
      <c r="C18707" s="1" t="str">
        <f>HYPERLINK("http://www.rosaceae.org/gb/gbrowse/malus_x_domestica/?name=MDP0000153378","MDP0000153378")</f>
        <v>MDP0000153378</v>
      </c>
      <c r="D18707">
        <v>80.760000000000005</v>
      </c>
      <c r="E18707">
        <v>156</v>
      </c>
      <c r="F18707">
        <v>30</v>
      </c>
      <c r="G18707">
        <v>4</v>
      </c>
      <c r="H18707">
        <v>9</v>
      </c>
      <c r="I18707">
        <v>164</v>
      </c>
      <c r="J18707">
        <v>1</v>
      </c>
      <c r="K18707">
        <v>21</v>
      </c>
      <c r="L18707">
        <v>172</v>
      </c>
      <c r="M18707">
        <v>1</v>
      </c>
      <c r="N18707">
        <v>2.3311100000000001E-71</v>
      </c>
      <c r="O18707">
        <v>676</v>
      </c>
    </row>
    <row r="18708" spans="1:15" x14ac:dyDescent="0.25">
      <c r="A18708" t="s">
        <v>18721</v>
      </c>
      <c r="B18708">
        <v>895</v>
      </c>
      <c r="C18708" s="1" t="str">
        <f>HYPERLINK("http://www.rosaceae.org/gb/gbrowse/malus_x_domestica/?name=MDP0000278124","MDP0000278124")</f>
        <v>MDP0000278124</v>
      </c>
      <c r="D18708">
        <v>63.12</v>
      </c>
      <c r="E18708">
        <v>461</v>
      </c>
      <c r="F18708">
        <v>170</v>
      </c>
      <c r="G18708">
        <v>41</v>
      </c>
      <c r="H18708">
        <v>16</v>
      </c>
      <c r="I18708">
        <v>468</v>
      </c>
      <c r="J18708">
        <v>1</v>
      </c>
      <c r="K18708">
        <v>16</v>
      </c>
      <c r="L18708">
        <v>443</v>
      </c>
      <c r="M18708">
        <v>1</v>
      </c>
      <c r="N18708">
        <v>1.64321E-154</v>
      </c>
      <c r="O18708">
        <v>1401</v>
      </c>
    </row>
    <row r="18709" spans="1:15" x14ac:dyDescent="0.25">
      <c r="A18709" t="s">
        <v>18722</v>
      </c>
      <c r="B18709">
        <v>244</v>
      </c>
      <c r="C18709" s="1" t="str">
        <f>HYPERLINK("http://www.rosaceae.org/gb/gbrowse/malus_x_domestica/?name=MDP0000185979","MDP0000185979")</f>
        <v>MDP0000185979</v>
      </c>
      <c r="D18709">
        <v>27.6</v>
      </c>
      <c r="E18709">
        <v>221</v>
      </c>
      <c r="F18709">
        <v>160</v>
      </c>
      <c r="G18709">
        <v>43</v>
      </c>
      <c r="H18709">
        <v>11</v>
      </c>
      <c r="I18709">
        <v>220</v>
      </c>
      <c r="J18709">
        <v>1</v>
      </c>
      <c r="K18709">
        <v>30</v>
      </c>
      <c r="L18709">
        <v>218</v>
      </c>
      <c r="M18709">
        <v>1</v>
      </c>
      <c r="N18709">
        <v>4.59263E-10</v>
      </c>
      <c r="O18709">
        <v>150</v>
      </c>
    </row>
    <row r="18710" spans="1:15" x14ac:dyDescent="0.25">
      <c r="A18710" t="s">
        <v>18723</v>
      </c>
      <c r="B18710">
        <v>221</v>
      </c>
      <c r="C18710" s="1" t="str">
        <f>HYPERLINK("http://www.rosaceae.org/gb/gbrowse/malus_x_domestica/?name=MDP0000208730","MDP0000208730")</f>
        <v>MDP0000208730</v>
      </c>
      <c r="D18710">
        <v>43.56</v>
      </c>
      <c r="E18710">
        <v>241</v>
      </c>
      <c r="F18710">
        <v>136</v>
      </c>
      <c r="G18710">
        <v>37</v>
      </c>
      <c r="H18710">
        <v>7</v>
      </c>
      <c r="I18710">
        <v>221</v>
      </c>
      <c r="J18710">
        <v>1</v>
      </c>
      <c r="K18710">
        <v>335</v>
      </c>
      <c r="L18710">
        <v>564</v>
      </c>
      <c r="M18710">
        <v>1</v>
      </c>
      <c r="N18710">
        <v>1.3694500000000001E-35</v>
      </c>
      <c r="O18710">
        <v>369</v>
      </c>
    </row>
    <row r="18711" spans="1:15" x14ac:dyDescent="0.25">
      <c r="A18711" t="s">
        <v>18724</v>
      </c>
      <c r="B18711">
        <v>630</v>
      </c>
      <c r="C18711" s="1" t="str">
        <f>HYPERLINK("http://www.rosaceae.org/gb/gbrowse/malus_x_domestica/?name=MDP0000291399","MDP0000291399")</f>
        <v>MDP0000291399</v>
      </c>
      <c r="D18711">
        <v>71.3</v>
      </c>
      <c r="E18711">
        <v>596</v>
      </c>
      <c r="F18711">
        <v>171</v>
      </c>
      <c r="G18711">
        <v>2</v>
      </c>
      <c r="H18711">
        <v>28</v>
      </c>
      <c r="I18711">
        <v>621</v>
      </c>
      <c r="J18711">
        <v>1</v>
      </c>
      <c r="K18711">
        <v>29</v>
      </c>
      <c r="L18711">
        <v>624</v>
      </c>
      <c r="M18711">
        <v>1</v>
      </c>
      <c r="N18711">
        <v>0</v>
      </c>
      <c r="O18711">
        <v>2281</v>
      </c>
    </row>
    <row r="18712" spans="1:15" x14ac:dyDescent="0.25">
      <c r="A18712" t="s">
        <v>18725</v>
      </c>
      <c r="B18712">
        <v>530</v>
      </c>
      <c r="C18712" s="1" t="str">
        <f>HYPERLINK("http://www.rosaceae.org/gb/gbrowse/malus_x_domestica/?name=MDP0000284363","MDP0000284363")</f>
        <v>MDP0000284363</v>
      </c>
      <c r="D18712">
        <v>56.8</v>
      </c>
      <c r="E18712">
        <v>169</v>
      </c>
      <c r="F18712">
        <v>73</v>
      </c>
      <c r="G18712">
        <v>43</v>
      </c>
      <c r="H18712">
        <v>3</v>
      </c>
      <c r="I18712">
        <v>128</v>
      </c>
      <c r="J18712">
        <v>1</v>
      </c>
      <c r="K18712">
        <v>646</v>
      </c>
      <c r="L18712">
        <v>814</v>
      </c>
      <c r="M18712">
        <v>1</v>
      </c>
      <c r="N18712">
        <v>1.7362500000000001E-43</v>
      </c>
      <c r="O18712">
        <v>442</v>
      </c>
    </row>
    <row r="18713" spans="1:15" x14ac:dyDescent="0.25">
      <c r="A18713" t="s">
        <v>18726</v>
      </c>
      <c r="B18713">
        <v>254</v>
      </c>
      <c r="C18713" s="1" t="str">
        <f>HYPERLINK("http://www.rosaceae.org/gb/gbrowse/malus_x_domestica/?name=MDP0000266097","MDP0000266097")</f>
        <v>MDP0000266097</v>
      </c>
      <c r="D18713">
        <v>37.19</v>
      </c>
      <c r="E18713">
        <v>207</v>
      </c>
      <c r="F18713">
        <v>130</v>
      </c>
      <c r="G18713">
        <v>19</v>
      </c>
      <c r="H18713">
        <v>7</v>
      </c>
      <c r="I18713">
        <v>198</v>
      </c>
      <c r="J18713">
        <v>1</v>
      </c>
      <c r="K18713">
        <v>5</v>
      </c>
      <c r="L18713">
        <v>207</v>
      </c>
      <c r="M18713">
        <v>1</v>
      </c>
      <c r="N18713">
        <v>2.63175E-34</v>
      </c>
      <c r="O18713">
        <v>359</v>
      </c>
    </row>
    <row r="18714" spans="1:15" x14ac:dyDescent="0.25">
      <c r="A18714" t="s">
        <v>18727</v>
      </c>
      <c r="B18714">
        <v>138</v>
      </c>
      <c r="C18714" s="1" t="str">
        <f>HYPERLINK("http://www.rosaceae.org/gb/gbrowse/malus_x_domestica/?name=MDP0000170189","MDP0000170189")</f>
        <v>MDP0000170189</v>
      </c>
      <c r="D18714">
        <v>75.959999999999994</v>
      </c>
      <c r="E18714">
        <v>104</v>
      </c>
      <c r="F18714">
        <v>25</v>
      </c>
      <c r="G18714">
        <v>3</v>
      </c>
      <c r="H18714">
        <v>12</v>
      </c>
      <c r="I18714">
        <v>113</v>
      </c>
      <c r="J18714">
        <v>1</v>
      </c>
      <c r="K18714">
        <v>16</v>
      </c>
      <c r="L18714">
        <v>118</v>
      </c>
      <c r="M18714">
        <v>1</v>
      </c>
      <c r="N18714">
        <v>4.3636500000000002E-40</v>
      </c>
      <c r="O18714">
        <v>404</v>
      </c>
    </row>
    <row r="18715" spans="1:15" x14ac:dyDescent="0.25">
      <c r="A18715" t="s">
        <v>18728</v>
      </c>
      <c r="B18715">
        <v>1643</v>
      </c>
      <c r="C18715" s="1" t="str">
        <f>HYPERLINK("http://www.rosaceae.org/gb/gbrowse/malus_x_domestica/?name=MDP0000568968","MDP0000568968")</f>
        <v>MDP0000568968</v>
      </c>
      <c r="D18715">
        <v>84.46</v>
      </c>
      <c r="E18715">
        <v>650</v>
      </c>
      <c r="F18715">
        <v>101</v>
      </c>
      <c r="G18715">
        <v>1</v>
      </c>
      <c r="H18715">
        <v>33</v>
      </c>
      <c r="I18715">
        <v>681</v>
      </c>
      <c r="J18715">
        <v>1</v>
      </c>
      <c r="K18715">
        <v>108</v>
      </c>
      <c r="L18715">
        <v>757</v>
      </c>
      <c r="M18715">
        <v>1</v>
      </c>
      <c r="N18715">
        <v>0</v>
      </c>
      <c r="O18715">
        <v>2985</v>
      </c>
    </row>
    <row r="18716" spans="1:15" x14ac:dyDescent="0.25">
      <c r="A18716" t="s">
        <v>18729</v>
      </c>
      <c r="B18716">
        <v>474</v>
      </c>
      <c r="C18716" s="1" t="str">
        <f>HYPERLINK("http://www.rosaceae.org/gb/gbrowse/malus_x_domestica/?name=MDP0000287363","MDP0000287363")</f>
        <v>MDP0000287363</v>
      </c>
      <c r="D18716">
        <v>52.66</v>
      </c>
      <c r="E18716">
        <v>488</v>
      </c>
      <c r="F18716">
        <v>231</v>
      </c>
      <c r="G18716">
        <v>41</v>
      </c>
      <c r="H18716">
        <v>1</v>
      </c>
      <c r="I18716">
        <v>467</v>
      </c>
      <c r="J18716">
        <v>1</v>
      </c>
      <c r="K18716">
        <v>1</v>
      </c>
      <c r="L18716">
        <v>468</v>
      </c>
      <c r="M18716">
        <v>1</v>
      </c>
      <c r="N18716">
        <v>1.10748E-118</v>
      </c>
      <c r="O18716">
        <v>1090</v>
      </c>
    </row>
    <row r="18717" spans="1:15" x14ac:dyDescent="0.25">
      <c r="A18717" t="s">
        <v>18730</v>
      </c>
      <c r="B18717">
        <v>1003</v>
      </c>
      <c r="C18717" s="1" t="str">
        <f>HYPERLINK("http://www.rosaceae.org/gb/gbrowse/malus_x_domestica/?name=MDP0000137181","MDP0000137181")</f>
        <v>MDP0000137181</v>
      </c>
      <c r="D18717">
        <v>81.36</v>
      </c>
      <c r="E18717">
        <v>762</v>
      </c>
      <c r="F18717">
        <v>142</v>
      </c>
      <c r="G18717">
        <v>4</v>
      </c>
      <c r="H18717">
        <v>245</v>
      </c>
      <c r="I18717">
        <v>1003</v>
      </c>
      <c r="J18717">
        <v>1</v>
      </c>
      <c r="K18717">
        <v>249</v>
      </c>
      <c r="L18717">
        <v>1009</v>
      </c>
      <c r="M18717">
        <v>1</v>
      </c>
      <c r="N18717">
        <v>0</v>
      </c>
      <c r="O18717">
        <v>3360</v>
      </c>
    </row>
    <row r="18718" spans="1:15" x14ac:dyDescent="0.25">
      <c r="A18718" t="s">
        <v>18731</v>
      </c>
      <c r="B18718">
        <v>297</v>
      </c>
      <c r="C18718" s="1" t="str">
        <f>HYPERLINK("http://www.rosaceae.org/gb/gbrowse/malus_x_domestica/?name=MDP0000754989","MDP0000754989")</f>
        <v>MDP0000754989</v>
      </c>
      <c r="D18718">
        <v>40.770000000000003</v>
      </c>
      <c r="E18718">
        <v>309</v>
      </c>
      <c r="F18718">
        <v>183</v>
      </c>
      <c r="G18718">
        <v>39</v>
      </c>
      <c r="H18718">
        <v>17</v>
      </c>
      <c r="I18718">
        <v>294</v>
      </c>
      <c r="J18718">
        <v>1</v>
      </c>
      <c r="K18718">
        <v>3</v>
      </c>
      <c r="L18718">
        <v>303</v>
      </c>
      <c r="M18718">
        <v>1</v>
      </c>
      <c r="N18718">
        <v>8.9787900000000002E-48</v>
      </c>
      <c r="O18718">
        <v>476</v>
      </c>
    </row>
    <row r="18719" spans="1:15" x14ac:dyDescent="0.25">
      <c r="A18719" t="s">
        <v>18732</v>
      </c>
      <c r="B18719">
        <v>616</v>
      </c>
      <c r="C18719" s="1" t="str">
        <f>HYPERLINK("http://www.rosaceae.org/gb/gbrowse/malus_x_domestica/?name=MDP0000274290","MDP0000274290")</f>
        <v>MDP0000274290</v>
      </c>
      <c r="D18719">
        <v>65.59</v>
      </c>
      <c r="E18719">
        <v>622</v>
      </c>
      <c r="F18719">
        <v>214</v>
      </c>
      <c r="G18719">
        <v>31</v>
      </c>
      <c r="H18719">
        <v>3</v>
      </c>
      <c r="I18719">
        <v>614</v>
      </c>
      <c r="J18719">
        <v>1</v>
      </c>
      <c r="K18719">
        <v>4</v>
      </c>
      <c r="L18719">
        <v>604</v>
      </c>
      <c r="M18719">
        <v>1</v>
      </c>
      <c r="N18719">
        <v>0</v>
      </c>
      <c r="O18719">
        <v>2033</v>
      </c>
    </row>
    <row r="18720" spans="1:15" x14ac:dyDescent="0.25">
      <c r="A18720" t="s">
        <v>18733</v>
      </c>
      <c r="B18720">
        <v>571</v>
      </c>
      <c r="C18720" s="1" t="str">
        <f>HYPERLINK("http://www.rosaceae.org/gb/gbrowse/malus_x_domestica/?name=MDP0000302690","MDP0000302690")</f>
        <v>MDP0000302690</v>
      </c>
      <c r="D18720">
        <v>70.02</v>
      </c>
      <c r="E18720">
        <v>487</v>
      </c>
      <c r="F18720">
        <v>146</v>
      </c>
      <c r="G18720">
        <v>69</v>
      </c>
      <c r="H18720">
        <v>105</v>
      </c>
      <c r="I18720">
        <v>570</v>
      </c>
      <c r="J18720">
        <v>1</v>
      </c>
      <c r="K18720">
        <v>1</v>
      </c>
      <c r="L18720">
        <v>439</v>
      </c>
      <c r="M18720">
        <v>1</v>
      </c>
      <c r="N18720">
        <v>0</v>
      </c>
      <c r="O18720">
        <v>1697</v>
      </c>
    </row>
    <row r="18721" spans="1:15" x14ac:dyDescent="0.25">
      <c r="A18721" t="s">
        <v>18734</v>
      </c>
      <c r="B18721">
        <v>582</v>
      </c>
      <c r="C18721" s="1" t="str">
        <f>HYPERLINK("http://www.rosaceae.org/gb/gbrowse/malus_x_domestica/?name=MDP0000263736","MDP0000263736")</f>
        <v>MDP0000263736</v>
      </c>
      <c r="D18721">
        <v>84.36</v>
      </c>
      <c r="E18721">
        <v>550</v>
      </c>
      <c r="F18721">
        <v>86</v>
      </c>
      <c r="G18721">
        <v>11</v>
      </c>
      <c r="H18721">
        <v>43</v>
      </c>
      <c r="I18721">
        <v>582</v>
      </c>
      <c r="J18721">
        <v>1</v>
      </c>
      <c r="K18721">
        <v>1</v>
      </c>
      <c r="L18721">
        <v>549</v>
      </c>
      <c r="M18721">
        <v>1</v>
      </c>
      <c r="N18721">
        <v>0</v>
      </c>
      <c r="O18721">
        <v>2457</v>
      </c>
    </row>
    <row r="18722" spans="1:15" x14ac:dyDescent="0.25">
      <c r="A18722" t="s">
        <v>18735</v>
      </c>
      <c r="B18722">
        <v>264</v>
      </c>
      <c r="C18722" s="1" t="str">
        <f>HYPERLINK("http://www.rosaceae.org/gb/gbrowse/malus_x_domestica/?name=MDP0000271408","MDP0000271408")</f>
        <v>MDP0000271408</v>
      </c>
      <c r="D18722">
        <v>67.349999999999994</v>
      </c>
      <c r="E18722">
        <v>291</v>
      </c>
      <c r="F18722">
        <v>95</v>
      </c>
      <c r="G18722">
        <v>33</v>
      </c>
      <c r="H18722">
        <v>1</v>
      </c>
      <c r="I18722">
        <v>258</v>
      </c>
      <c r="J18722">
        <v>1</v>
      </c>
      <c r="K18722">
        <v>1</v>
      </c>
      <c r="L18722">
        <v>291</v>
      </c>
      <c r="M18722">
        <v>1</v>
      </c>
      <c r="N18722">
        <v>9.1270899999999994E-102</v>
      </c>
      <c r="O18722">
        <v>941</v>
      </c>
    </row>
    <row r="18723" spans="1:15" x14ac:dyDescent="0.25">
      <c r="A18723" t="s">
        <v>18736</v>
      </c>
      <c r="B18723">
        <v>441</v>
      </c>
      <c r="C18723" s="1" t="str">
        <f>HYPERLINK("http://www.rosaceae.org/gb/gbrowse/malus_x_domestica/?name=MDP0000904379","MDP0000904379")</f>
        <v>MDP0000904379</v>
      </c>
      <c r="D18723">
        <v>77.8</v>
      </c>
      <c r="E18723">
        <v>428</v>
      </c>
      <c r="F18723">
        <v>95</v>
      </c>
      <c r="G18723">
        <v>12</v>
      </c>
      <c r="H18723">
        <v>5</v>
      </c>
      <c r="I18723">
        <v>422</v>
      </c>
      <c r="J18723">
        <v>1</v>
      </c>
      <c r="K18723">
        <v>1</v>
      </c>
      <c r="L18723">
        <v>426</v>
      </c>
      <c r="M18723">
        <v>1</v>
      </c>
      <c r="N18723">
        <v>0</v>
      </c>
      <c r="O18723">
        <v>1730</v>
      </c>
    </row>
    <row r="18724" spans="1:15" x14ac:dyDescent="0.25">
      <c r="A18724" t="s">
        <v>18737</v>
      </c>
      <c r="B18724">
        <v>418</v>
      </c>
      <c r="C18724" s="1" t="str">
        <f>HYPERLINK("http://www.rosaceae.org/gb/gbrowse/malus_x_domestica/?name=MDP0000228529","MDP0000228529")</f>
        <v>MDP0000228529</v>
      </c>
      <c r="D18724">
        <v>65.02</v>
      </c>
      <c r="E18724">
        <v>366</v>
      </c>
      <c r="F18724">
        <v>128</v>
      </c>
      <c r="G18724">
        <v>19</v>
      </c>
      <c r="H18724">
        <v>53</v>
      </c>
      <c r="I18724">
        <v>418</v>
      </c>
      <c r="J18724">
        <v>1</v>
      </c>
      <c r="K18724">
        <v>96</v>
      </c>
      <c r="L18724">
        <v>442</v>
      </c>
      <c r="M18724">
        <v>1</v>
      </c>
      <c r="N18724">
        <v>2.9957100000000002E-139</v>
      </c>
      <c r="O18724">
        <v>1267</v>
      </c>
    </row>
    <row r="18725" spans="1:15" x14ac:dyDescent="0.25">
      <c r="A18725" t="s">
        <v>18738</v>
      </c>
      <c r="B18725">
        <v>698</v>
      </c>
      <c r="C18725" s="1" t="str">
        <f>HYPERLINK("http://www.rosaceae.org/gb/gbrowse/malus_x_domestica/?name=MDP0000685992","MDP0000685992")</f>
        <v>MDP0000685992</v>
      </c>
      <c r="D18725">
        <v>74.319999999999993</v>
      </c>
      <c r="E18725">
        <v>261</v>
      </c>
      <c r="F18725">
        <v>67</v>
      </c>
      <c r="G18725">
        <v>23</v>
      </c>
      <c r="H18725">
        <v>1</v>
      </c>
      <c r="I18725">
        <v>258</v>
      </c>
      <c r="J18725">
        <v>1</v>
      </c>
      <c r="K18725">
        <v>1</v>
      </c>
      <c r="L18725">
        <v>241</v>
      </c>
      <c r="M18725">
        <v>1</v>
      </c>
      <c r="N18725">
        <v>6.3593199999999997E-108</v>
      </c>
      <c r="O18725">
        <v>999</v>
      </c>
    </row>
    <row r="18726" spans="1:15" x14ac:dyDescent="0.25">
      <c r="A18726" t="s">
        <v>18739</v>
      </c>
      <c r="B18726">
        <v>201</v>
      </c>
      <c r="C18726" s="1" t="str">
        <f>HYPERLINK("http://www.rosaceae.org/gb/gbrowse/malus_x_domestica/?name=MDP0000287289","MDP0000287289")</f>
        <v>MDP0000287289</v>
      </c>
      <c r="D18726">
        <v>54.28</v>
      </c>
      <c r="E18726">
        <v>140</v>
      </c>
      <c r="F18726">
        <v>64</v>
      </c>
      <c r="G18726">
        <v>11</v>
      </c>
      <c r="H18726">
        <v>64</v>
      </c>
      <c r="I18726">
        <v>201</v>
      </c>
      <c r="J18726">
        <v>1</v>
      </c>
      <c r="K18726">
        <v>59</v>
      </c>
      <c r="L18726">
        <v>189</v>
      </c>
      <c r="M18726">
        <v>1</v>
      </c>
      <c r="N18726">
        <v>1.5038099999999999E-33</v>
      </c>
      <c r="O18726">
        <v>351</v>
      </c>
    </row>
    <row r="18727" spans="1:15" x14ac:dyDescent="0.25">
      <c r="A18727" t="s">
        <v>18740</v>
      </c>
      <c r="B18727">
        <v>150</v>
      </c>
      <c r="C18727" s="1" t="str">
        <f>HYPERLINK("http://www.rosaceae.org/gb/gbrowse/malus_x_domestica/?name=MDP0000165386","MDP0000165386")</f>
        <v>MDP0000165386</v>
      </c>
      <c r="D18727">
        <v>53.26</v>
      </c>
      <c r="E18727">
        <v>184</v>
      </c>
      <c r="F18727">
        <v>86</v>
      </c>
      <c r="G18727">
        <v>58</v>
      </c>
      <c r="H18727">
        <v>19</v>
      </c>
      <c r="I18727">
        <v>148</v>
      </c>
      <c r="J18727">
        <v>1</v>
      </c>
      <c r="K18727">
        <v>19</v>
      </c>
      <c r="L18727">
        <v>198</v>
      </c>
      <c r="M18727">
        <v>1</v>
      </c>
      <c r="N18727">
        <v>3.1458E-40</v>
      </c>
      <c r="O18727">
        <v>406</v>
      </c>
    </row>
    <row r="18728" spans="1:15" x14ac:dyDescent="0.25">
      <c r="A18728" t="s">
        <v>18741</v>
      </c>
      <c r="B18728">
        <v>444</v>
      </c>
      <c r="C18728" s="1" t="str">
        <f>HYPERLINK("http://www.rosaceae.org/gb/gbrowse/malus_x_domestica/?name=MDP0000185125","MDP0000185125")</f>
        <v>MDP0000185125</v>
      </c>
      <c r="D18728">
        <v>38.42</v>
      </c>
      <c r="E18728">
        <v>216</v>
      </c>
      <c r="F18728">
        <v>133</v>
      </c>
      <c r="G18728">
        <v>0</v>
      </c>
      <c r="H18728">
        <v>199</v>
      </c>
      <c r="I18728">
        <v>414</v>
      </c>
      <c r="J18728">
        <v>1</v>
      </c>
      <c r="K18728">
        <v>1</v>
      </c>
      <c r="L18728">
        <v>216</v>
      </c>
      <c r="M18728">
        <v>1</v>
      </c>
      <c r="N18728">
        <v>1.8467000000000001E-46</v>
      </c>
      <c r="O18728">
        <v>467</v>
      </c>
    </row>
    <row r="18729" spans="1:15" x14ac:dyDescent="0.25">
      <c r="A18729" t="s">
        <v>18742</v>
      </c>
      <c r="B18729">
        <v>466</v>
      </c>
      <c r="C18729" s="1" t="str">
        <f>HYPERLINK("http://www.rosaceae.org/gb/gbrowse/malus_x_domestica/?name=MDP0000826293","MDP0000826293")</f>
        <v>MDP0000826293</v>
      </c>
      <c r="D18729">
        <v>52.51</v>
      </c>
      <c r="E18729">
        <v>377</v>
      </c>
      <c r="F18729">
        <v>179</v>
      </c>
      <c r="G18729">
        <v>31</v>
      </c>
      <c r="H18729">
        <v>18</v>
      </c>
      <c r="I18729">
        <v>374</v>
      </c>
      <c r="J18729">
        <v>1</v>
      </c>
      <c r="K18729">
        <v>36</v>
      </c>
      <c r="L18729">
        <v>401</v>
      </c>
      <c r="M18729">
        <v>1</v>
      </c>
      <c r="N18729">
        <v>4.5846299999999997E-92</v>
      </c>
      <c r="O18729">
        <v>860</v>
      </c>
    </row>
    <row r="18730" spans="1:15" x14ac:dyDescent="0.25">
      <c r="A18730" t="s">
        <v>18743</v>
      </c>
      <c r="B18730">
        <v>428</v>
      </c>
      <c r="C18730" s="1" t="str">
        <f>HYPERLINK("http://www.rosaceae.org/gb/gbrowse/malus_x_domestica/?name=MDP0000274260","MDP0000274260")</f>
        <v>MDP0000274260</v>
      </c>
      <c r="D18730">
        <v>82.48</v>
      </c>
      <c r="E18730">
        <v>394</v>
      </c>
      <c r="F18730">
        <v>69</v>
      </c>
      <c r="G18730">
        <v>2</v>
      </c>
      <c r="H18730">
        <v>1</v>
      </c>
      <c r="I18730">
        <v>392</v>
      </c>
      <c r="J18730">
        <v>1</v>
      </c>
      <c r="K18730">
        <v>1</v>
      </c>
      <c r="L18730">
        <v>394</v>
      </c>
      <c r="M18730">
        <v>1</v>
      </c>
      <c r="N18730">
        <v>0</v>
      </c>
      <c r="O18730">
        <v>1716</v>
      </c>
    </row>
    <row r="18731" spans="1:15" x14ac:dyDescent="0.25">
      <c r="A18731" t="s">
        <v>18744</v>
      </c>
      <c r="B18731">
        <v>97</v>
      </c>
      <c r="C18731" s="1" t="str">
        <f>HYPERLINK("http://www.rosaceae.org/gb/gbrowse/malus_x_domestica/?name=MDP0000861858","MDP0000861858")</f>
        <v>MDP0000861858</v>
      </c>
      <c r="D18731">
        <v>79.16</v>
      </c>
      <c r="E18731">
        <v>48</v>
      </c>
      <c r="F18731">
        <v>10</v>
      </c>
      <c r="G18731">
        <v>1</v>
      </c>
      <c r="H18731">
        <v>50</v>
      </c>
      <c r="I18731">
        <v>97</v>
      </c>
      <c r="J18731">
        <v>1</v>
      </c>
      <c r="K18731">
        <v>112</v>
      </c>
      <c r="L18731">
        <v>158</v>
      </c>
      <c r="M18731">
        <v>1</v>
      </c>
      <c r="N18731">
        <v>9.2362599999999999E-17</v>
      </c>
      <c r="O18731">
        <v>202</v>
      </c>
    </row>
    <row r="18732" spans="1:15" x14ac:dyDescent="0.25">
      <c r="A18732" t="s">
        <v>18745</v>
      </c>
      <c r="B18732">
        <v>491</v>
      </c>
      <c r="C18732" s="1" t="str">
        <f>HYPERLINK("http://www.rosaceae.org/gb/gbrowse/malus_x_domestica/?name=MDP0000573521","MDP0000573521")</f>
        <v>MDP0000573521</v>
      </c>
      <c r="D18732">
        <v>80</v>
      </c>
      <c r="E18732">
        <v>495</v>
      </c>
      <c r="F18732">
        <v>99</v>
      </c>
      <c r="G18732">
        <v>19</v>
      </c>
      <c r="H18732">
        <v>1</v>
      </c>
      <c r="I18732">
        <v>491</v>
      </c>
      <c r="J18732">
        <v>1</v>
      </c>
      <c r="K18732">
        <v>1</v>
      </c>
      <c r="L18732">
        <v>480</v>
      </c>
      <c r="M18732">
        <v>1</v>
      </c>
      <c r="N18732">
        <v>0</v>
      </c>
      <c r="O18732">
        <v>1994</v>
      </c>
    </row>
    <row r="18733" spans="1:15" x14ac:dyDescent="0.25">
      <c r="A18733" t="s">
        <v>18746</v>
      </c>
      <c r="B18733">
        <v>490</v>
      </c>
      <c r="C18733" s="1" t="str">
        <f>HYPERLINK("http://www.rosaceae.org/gb/gbrowse/malus_x_domestica/?name=MDP0000291034","MDP0000291034")</f>
        <v>MDP0000291034</v>
      </c>
      <c r="D18733">
        <v>61.58</v>
      </c>
      <c r="E18733">
        <v>492</v>
      </c>
      <c r="F18733">
        <v>189</v>
      </c>
      <c r="G18733">
        <v>3</v>
      </c>
      <c r="H18733">
        <v>1</v>
      </c>
      <c r="I18733">
        <v>489</v>
      </c>
      <c r="J18733">
        <v>1</v>
      </c>
      <c r="K18733">
        <v>1</v>
      </c>
      <c r="L18733">
        <v>492</v>
      </c>
      <c r="M18733">
        <v>1</v>
      </c>
      <c r="N18733">
        <v>8.2152600000000001E-174</v>
      </c>
      <c r="O18733">
        <v>1565</v>
      </c>
    </row>
    <row r="18734" spans="1:15" x14ac:dyDescent="0.25">
      <c r="A18734" t="s">
        <v>18747</v>
      </c>
      <c r="B18734">
        <v>525</v>
      </c>
      <c r="C18734" s="1" t="str">
        <f>HYPERLINK("http://www.rosaceae.org/gb/gbrowse/malus_x_domestica/?name=MDP0000181135","MDP0000181135")</f>
        <v>MDP0000181135</v>
      </c>
      <c r="D18734">
        <v>45.27</v>
      </c>
      <c r="E18734">
        <v>444</v>
      </c>
      <c r="F18734">
        <v>243</v>
      </c>
      <c r="G18734">
        <v>20</v>
      </c>
      <c r="H18734">
        <v>1</v>
      </c>
      <c r="I18734">
        <v>438</v>
      </c>
      <c r="J18734">
        <v>1</v>
      </c>
      <c r="K18734">
        <v>1</v>
      </c>
      <c r="L18734">
        <v>430</v>
      </c>
      <c r="M18734">
        <v>1</v>
      </c>
      <c r="N18734">
        <v>5.3976700000000003E-90</v>
      </c>
      <c r="O18734">
        <v>843</v>
      </c>
    </row>
    <row r="18735" spans="1:15" x14ac:dyDescent="0.25">
      <c r="A18735" t="s">
        <v>18748</v>
      </c>
      <c r="B18735">
        <v>552</v>
      </c>
      <c r="C18735" s="1" t="str">
        <f>HYPERLINK("http://www.rosaceae.org/gb/gbrowse/malus_x_domestica/?name=MDP0000259704","MDP0000259704")</f>
        <v>MDP0000259704</v>
      </c>
      <c r="D18735">
        <v>71.37</v>
      </c>
      <c r="E18735">
        <v>510</v>
      </c>
      <c r="F18735">
        <v>146</v>
      </c>
      <c r="G18735">
        <v>34</v>
      </c>
      <c r="H18735">
        <v>64</v>
      </c>
      <c r="I18735">
        <v>552</v>
      </c>
      <c r="J18735">
        <v>1</v>
      </c>
      <c r="K18735">
        <v>97</v>
      </c>
      <c r="L18735">
        <v>593</v>
      </c>
      <c r="M18735">
        <v>1</v>
      </c>
      <c r="N18735">
        <v>0</v>
      </c>
      <c r="O18735">
        <v>1772</v>
      </c>
    </row>
    <row r="18736" spans="1:15" x14ac:dyDescent="0.25">
      <c r="A18736" t="s">
        <v>18749</v>
      </c>
      <c r="B18736">
        <v>133</v>
      </c>
      <c r="C18736" s="1" t="str">
        <f>HYPERLINK("http://www.rosaceae.org/gb/gbrowse/malus_x_domestica/?name=MDP0000297575","MDP0000297575")</f>
        <v>MDP0000297575</v>
      </c>
      <c r="D18736">
        <v>86.95</v>
      </c>
      <c r="E18736">
        <v>46</v>
      </c>
      <c r="F18736">
        <v>6</v>
      </c>
      <c r="G18736">
        <v>0</v>
      </c>
      <c r="H18736">
        <v>47</v>
      </c>
      <c r="I18736">
        <v>92</v>
      </c>
      <c r="J18736">
        <v>1</v>
      </c>
      <c r="K18736">
        <v>667</v>
      </c>
      <c r="L18736">
        <v>712</v>
      </c>
      <c r="M18736">
        <v>1</v>
      </c>
      <c r="N18736">
        <v>2.78084E-19</v>
      </c>
      <c r="O18736">
        <v>225</v>
      </c>
    </row>
    <row r="18737" spans="1:15" x14ac:dyDescent="0.25">
      <c r="A18737" t="s">
        <v>18750</v>
      </c>
      <c r="B18737">
        <v>787</v>
      </c>
      <c r="C18737" s="1" t="str">
        <f>HYPERLINK("http://www.rosaceae.org/gb/gbrowse/malus_x_domestica/?name=MDP0000223219","MDP0000223219")</f>
        <v>MDP0000223219</v>
      </c>
      <c r="D18737">
        <v>49.75</v>
      </c>
      <c r="E18737">
        <v>804</v>
      </c>
      <c r="F18737">
        <v>404</v>
      </c>
      <c r="G18737">
        <v>79</v>
      </c>
      <c r="H18737">
        <v>7</v>
      </c>
      <c r="I18737">
        <v>782</v>
      </c>
      <c r="J18737">
        <v>1</v>
      </c>
      <c r="K18737">
        <v>7</v>
      </c>
      <c r="L18737">
        <v>759</v>
      </c>
      <c r="M18737">
        <v>1</v>
      </c>
      <c r="N18737">
        <v>0</v>
      </c>
      <c r="O18737">
        <v>1832</v>
      </c>
    </row>
    <row r="18738" spans="1:15" x14ac:dyDescent="0.25">
      <c r="A18738" t="s">
        <v>18751</v>
      </c>
      <c r="B18738">
        <v>311</v>
      </c>
      <c r="C18738" s="1" t="str">
        <f>HYPERLINK("http://www.rosaceae.org/gb/gbrowse/malus_x_domestica/?name=MDP0000300938","MDP0000300938")</f>
        <v>MDP0000300938</v>
      </c>
      <c r="D18738">
        <v>75.31</v>
      </c>
      <c r="E18738">
        <v>320</v>
      </c>
      <c r="F18738">
        <v>79</v>
      </c>
      <c r="G18738">
        <v>12</v>
      </c>
      <c r="H18738">
        <v>4</v>
      </c>
      <c r="I18738">
        <v>311</v>
      </c>
      <c r="J18738">
        <v>1</v>
      </c>
      <c r="K18738">
        <v>2</v>
      </c>
      <c r="L18738">
        <v>321</v>
      </c>
      <c r="M18738">
        <v>1</v>
      </c>
      <c r="N18738">
        <v>5.7873599999999996E-134</v>
      </c>
      <c r="O18738">
        <v>1219</v>
      </c>
    </row>
    <row r="18739" spans="1:15" x14ac:dyDescent="0.25">
      <c r="A18739" t="s">
        <v>18752</v>
      </c>
      <c r="B18739">
        <v>472</v>
      </c>
      <c r="C18739" s="1" t="str">
        <f>HYPERLINK("http://www.rosaceae.org/gb/gbrowse/malus_x_domestica/?name=MDP0000172964","MDP0000172964")</f>
        <v>MDP0000172964</v>
      </c>
      <c r="D18739">
        <v>76.53</v>
      </c>
      <c r="E18739">
        <v>456</v>
      </c>
      <c r="F18739">
        <v>107</v>
      </c>
      <c r="G18739">
        <v>3</v>
      </c>
      <c r="H18739">
        <v>1</v>
      </c>
      <c r="I18739">
        <v>455</v>
      </c>
      <c r="J18739">
        <v>1</v>
      </c>
      <c r="K18739">
        <v>1</v>
      </c>
      <c r="L18739">
        <v>454</v>
      </c>
      <c r="M18739">
        <v>1</v>
      </c>
      <c r="N18739">
        <v>0</v>
      </c>
      <c r="O18739">
        <v>1780</v>
      </c>
    </row>
    <row r="18740" spans="1:15" x14ac:dyDescent="0.25">
      <c r="A18740" t="s">
        <v>18753</v>
      </c>
      <c r="B18740">
        <v>267</v>
      </c>
      <c r="C18740" s="1" t="str">
        <f>HYPERLINK("http://www.rosaceae.org/gb/gbrowse/malus_x_domestica/?name=MDP0000132286","MDP0000132286")</f>
        <v>MDP0000132286</v>
      </c>
      <c r="D18740">
        <v>76.72</v>
      </c>
      <c r="E18740">
        <v>275</v>
      </c>
      <c r="F18740">
        <v>64</v>
      </c>
      <c r="G18740">
        <v>15</v>
      </c>
      <c r="H18740">
        <v>8</v>
      </c>
      <c r="I18740">
        <v>267</v>
      </c>
      <c r="J18740">
        <v>1</v>
      </c>
      <c r="K18740">
        <v>71</v>
      </c>
      <c r="L18740">
        <v>345</v>
      </c>
      <c r="M18740">
        <v>1</v>
      </c>
      <c r="N18740">
        <v>1.48836E-118</v>
      </c>
      <c r="O18740">
        <v>1086</v>
      </c>
    </row>
    <row r="18741" spans="1:15" x14ac:dyDescent="0.25">
      <c r="A18741" t="s">
        <v>18754</v>
      </c>
      <c r="B18741">
        <v>1434</v>
      </c>
      <c r="C18741" s="1" t="str">
        <f>HYPERLINK("http://www.rosaceae.org/gb/gbrowse/malus_x_domestica/?name=MDP0000253320","MDP0000253320")</f>
        <v>MDP0000253320</v>
      </c>
      <c r="D18741">
        <v>34.14</v>
      </c>
      <c r="E18741">
        <v>164</v>
      </c>
      <c r="F18741">
        <v>108</v>
      </c>
      <c r="G18741">
        <v>39</v>
      </c>
      <c r="H18741">
        <v>577</v>
      </c>
      <c r="I18741">
        <v>724</v>
      </c>
      <c r="J18741">
        <v>1</v>
      </c>
      <c r="K18741">
        <v>501</v>
      </c>
      <c r="L18741">
        <v>641</v>
      </c>
      <c r="M18741">
        <v>1</v>
      </c>
      <c r="N18741">
        <v>9.5702400000000005E-21</v>
      </c>
      <c r="O18741">
        <v>250</v>
      </c>
    </row>
    <row r="18742" spans="1:15" x14ac:dyDescent="0.25">
      <c r="A18742" t="s">
        <v>18755</v>
      </c>
      <c r="B18742">
        <v>167</v>
      </c>
      <c r="C18742" s="1" t="str">
        <f>HYPERLINK("http://www.rosaceae.org/gb/gbrowse/malus_x_domestica/?name=MDP0000696312","MDP0000696312")</f>
        <v>MDP0000696312</v>
      </c>
      <c r="D18742">
        <v>79.16</v>
      </c>
      <c r="E18742">
        <v>168</v>
      </c>
      <c r="F18742">
        <v>35</v>
      </c>
      <c r="G18742">
        <v>1</v>
      </c>
      <c r="H18742">
        <v>1</v>
      </c>
      <c r="I18742">
        <v>167</v>
      </c>
      <c r="J18742">
        <v>1</v>
      </c>
      <c r="K18742">
        <v>117</v>
      </c>
      <c r="L18742">
        <v>284</v>
      </c>
      <c r="M18742">
        <v>1</v>
      </c>
      <c r="N18742">
        <v>4.62898E-77</v>
      </c>
      <c r="O18742">
        <v>725</v>
      </c>
    </row>
    <row r="18743" spans="1:15" x14ac:dyDescent="0.25">
      <c r="A18743" t="s">
        <v>18756</v>
      </c>
      <c r="B18743">
        <v>548</v>
      </c>
      <c r="C18743" s="1" t="str">
        <f>HYPERLINK("http://www.rosaceae.org/gb/gbrowse/malus_x_domestica/?name=MDP0000285569","MDP0000285569")</f>
        <v>MDP0000285569</v>
      </c>
      <c r="D18743">
        <v>85.39</v>
      </c>
      <c r="E18743">
        <v>541</v>
      </c>
      <c r="F18743">
        <v>79</v>
      </c>
      <c r="G18743">
        <v>1</v>
      </c>
      <c r="H18743">
        <v>9</v>
      </c>
      <c r="I18743">
        <v>548</v>
      </c>
      <c r="J18743">
        <v>1</v>
      </c>
      <c r="K18743">
        <v>88</v>
      </c>
      <c r="L18743">
        <v>628</v>
      </c>
      <c r="M18743">
        <v>1</v>
      </c>
      <c r="N18743">
        <v>0</v>
      </c>
      <c r="O18743">
        <v>2324</v>
      </c>
    </row>
    <row r="18744" spans="1:15" x14ac:dyDescent="0.25">
      <c r="A18744" t="s">
        <v>18757</v>
      </c>
      <c r="B18744">
        <v>216</v>
      </c>
      <c r="C18744" s="1" t="str">
        <f>HYPERLINK("http://www.rosaceae.org/gb/gbrowse/malus_x_domestica/?name=MDP0000300658","MDP0000300658")</f>
        <v>MDP0000300658</v>
      </c>
      <c r="D18744">
        <v>41.88</v>
      </c>
      <c r="E18744">
        <v>191</v>
      </c>
      <c r="F18744">
        <v>111</v>
      </c>
      <c r="G18744">
        <v>32</v>
      </c>
      <c r="H18744">
        <v>1</v>
      </c>
      <c r="I18744">
        <v>168</v>
      </c>
      <c r="J18744">
        <v>1</v>
      </c>
      <c r="K18744">
        <v>250</v>
      </c>
      <c r="L18744">
        <v>431</v>
      </c>
      <c r="M18744">
        <v>1</v>
      </c>
      <c r="N18744">
        <v>1.29534E-25</v>
      </c>
      <c r="O18744">
        <v>283</v>
      </c>
    </row>
    <row r="18745" spans="1:15" x14ac:dyDescent="0.25">
      <c r="A18745" t="s">
        <v>18758</v>
      </c>
      <c r="B18745">
        <v>340</v>
      </c>
      <c r="C18745" s="1" t="str">
        <f>HYPERLINK("http://www.rosaceae.org/gb/gbrowse/malus_x_domestica/?name=MDP0000538514","MDP0000538514")</f>
        <v>MDP0000538514</v>
      </c>
      <c r="D18745">
        <v>32.01</v>
      </c>
      <c r="E18745">
        <v>203</v>
      </c>
      <c r="F18745">
        <v>138</v>
      </c>
      <c r="G18745">
        <v>10</v>
      </c>
      <c r="H18745">
        <v>30</v>
      </c>
      <c r="I18745">
        <v>229</v>
      </c>
      <c r="J18745">
        <v>1</v>
      </c>
      <c r="K18745">
        <v>24</v>
      </c>
      <c r="L18745">
        <v>219</v>
      </c>
      <c r="M18745">
        <v>1</v>
      </c>
      <c r="N18745">
        <v>2.7866300000000001E-27</v>
      </c>
      <c r="O18745">
        <v>300</v>
      </c>
    </row>
    <row r="18746" spans="1:15" x14ac:dyDescent="0.25">
      <c r="A18746" t="s">
        <v>18759</v>
      </c>
      <c r="B18746">
        <v>608</v>
      </c>
      <c r="C18746" s="1" t="str">
        <f>HYPERLINK("http://www.rosaceae.org/gb/gbrowse/malus_x_domestica/?name=MDP0000651689","MDP0000651689")</f>
        <v>MDP0000651689</v>
      </c>
      <c r="D18746">
        <v>58.79</v>
      </c>
      <c r="E18746">
        <v>580</v>
      </c>
      <c r="F18746">
        <v>239</v>
      </c>
      <c r="G18746">
        <v>47</v>
      </c>
      <c r="H18746">
        <v>42</v>
      </c>
      <c r="I18746">
        <v>603</v>
      </c>
      <c r="J18746">
        <v>1</v>
      </c>
      <c r="K18746">
        <v>26</v>
      </c>
      <c r="L18746">
        <v>576</v>
      </c>
      <c r="M18746">
        <v>1</v>
      </c>
      <c r="N18746">
        <v>0</v>
      </c>
      <c r="O18746">
        <v>1694</v>
      </c>
    </row>
    <row r="18747" spans="1:15" x14ac:dyDescent="0.25">
      <c r="A18747" t="s">
        <v>18760</v>
      </c>
      <c r="B18747">
        <v>172</v>
      </c>
      <c r="C18747" s="1" t="str">
        <f>HYPERLINK("http://www.rosaceae.org/gb/gbrowse/malus_x_domestica/?name=MDP0000146339","MDP0000146339")</f>
        <v>MDP0000146339</v>
      </c>
      <c r="D18747">
        <v>71.02</v>
      </c>
      <c r="E18747">
        <v>176</v>
      </c>
      <c r="F18747">
        <v>51</v>
      </c>
      <c r="G18747">
        <v>10</v>
      </c>
      <c r="H18747">
        <v>1</v>
      </c>
      <c r="I18747">
        <v>172</v>
      </c>
      <c r="J18747">
        <v>1</v>
      </c>
      <c r="K18747">
        <v>1</v>
      </c>
      <c r="L18747">
        <v>170</v>
      </c>
      <c r="M18747">
        <v>1</v>
      </c>
      <c r="N18747">
        <v>1.5595199999999999E-64</v>
      </c>
      <c r="O18747">
        <v>617</v>
      </c>
    </row>
    <row r="18748" spans="1:15" x14ac:dyDescent="0.25">
      <c r="A18748" t="s">
        <v>18761</v>
      </c>
      <c r="B18748">
        <v>371</v>
      </c>
      <c r="C18748" s="1" t="str">
        <f>HYPERLINK("http://www.rosaceae.org/gb/gbrowse/malus_x_domestica/?name=MDP0000203807","MDP0000203807")</f>
        <v>MDP0000203807</v>
      </c>
      <c r="D18748">
        <v>47.19</v>
      </c>
      <c r="E18748">
        <v>356</v>
      </c>
      <c r="F18748">
        <v>188</v>
      </c>
      <c r="G18748">
        <v>71</v>
      </c>
      <c r="H18748">
        <v>86</v>
      </c>
      <c r="I18748">
        <v>371</v>
      </c>
      <c r="J18748">
        <v>1</v>
      </c>
      <c r="K18748">
        <v>240</v>
      </c>
      <c r="L18748">
        <v>594</v>
      </c>
      <c r="M18748">
        <v>1</v>
      </c>
      <c r="N18748">
        <v>4.7678000000000001E-71</v>
      </c>
      <c r="O18748">
        <v>678</v>
      </c>
    </row>
    <row r="18749" spans="1:15" x14ac:dyDescent="0.25">
      <c r="A18749" t="s">
        <v>18762</v>
      </c>
      <c r="B18749">
        <v>517</v>
      </c>
      <c r="C18749" s="1" t="str">
        <f>HYPERLINK("http://www.rosaceae.org/gb/gbrowse/malus_x_domestica/?name=MDP0000241776","MDP0000241776")</f>
        <v>MDP0000241776</v>
      </c>
      <c r="D18749">
        <v>39.08</v>
      </c>
      <c r="E18749">
        <v>371</v>
      </c>
      <c r="F18749">
        <v>226</v>
      </c>
      <c r="G18749">
        <v>44</v>
      </c>
      <c r="H18749">
        <v>15</v>
      </c>
      <c r="I18749">
        <v>377</v>
      </c>
      <c r="J18749">
        <v>1</v>
      </c>
      <c r="K18749">
        <v>46</v>
      </c>
      <c r="L18749">
        <v>380</v>
      </c>
      <c r="M18749">
        <v>1</v>
      </c>
      <c r="N18749">
        <v>3.35664E-50</v>
      </c>
      <c r="O18749">
        <v>500</v>
      </c>
    </row>
    <row r="18750" spans="1:15" x14ac:dyDescent="0.25">
      <c r="A18750" t="s">
        <v>18763</v>
      </c>
      <c r="B18750">
        <v>249</v>
      </c>
      <c r="C18750" s="1" t="str">
        <f>HYPERLINK("http://www.rosaceae.org/gb/gbrowse/malus_x_domestica/?name=MDP0000130038","MDP0000130038")</f>
        <v>MDP0000130038</v>
      </c>
      <c r="D18750">
        <v>35.549999999999997</v>
      </c>
      <c r="E18750">
        <v>90</v>
      </c>
      <c r="F18750">
        <v>58</v>
      </c>
      <c r="G18750">
        <v>0</v>
      </c>
      <c r="H18750">
        <v>156</v>
      </c>
      <c r="I18750">
        <v>245</v>
      </c>
      <c r="J18750">
        <v>1</v>
      </c>
      <c r="K18750">
        <v>77</v>
      </c>
      <c r="L18750">
        <v>166</v>
      </c>
      <c r="M18750">
        <v>1</v>
      </c>
      <c r="N18750">
        <v>3.4637000000000001E-8</v>
      </c>
      <c r="O18750">
        <v>134</v>
      </c>
    </row>
    <row r="18751" spans="1:15" x14ac:dyDescent="0.25">
      <c r="A18751" t="s">
        <v>18764</v>
      </c>
      <c r="B18751">
        <v>207</v>
      </c>
      <c r="C18751" s="1" t="str">
        <f>HYPERLINK("http://www.rosaceae.org/gb/gbrowse/malus_x_domestica/?name=MDP0000312492","MDP0000312492")</f>
        <v>MDP0000312492</v>
      </c>
      <c r="D18751">
        <v>75.2</v>
      </c>
      <c r="E18751">
        <v>125</v>
      </c>
      <c r="F18751">
        <v>31</v>
      </c>
      <c r="G18751">
        <v>0</v>
      </c>
      <c r="H18751">
        <v>21</v>
      </c>
      <c r="I18751">
        <v>145</v>
      </c>
      <c r="J18751">
        <v>1</v>
      </c>
      <c r="K18751">
        <v>166</v>
      </c>
      <c r="L18751">
        <v>290</v>
      </c>
      <c r="M18751">
        <v>1</v>
      </c>
      <c r="N18751">
        <v>3.3947000000000001E-52</v>
      </c>
      <c r="O18751">
        <v>512</v>
      </c>
    </row>
    <row r="18752" spans="1:15" x14ac:dyDescent="0.25">
      <c r="A18752" t="s">
        <v>18765</v>
      </c>
      <c r="B18752">
        <v>638</v>
      </c>
      <c r="C18752" s="1" t="str">
        <f>HYPERLINK("http://www.rosaceae.org/gb/gbrowse/malus_x_domestica/?name=MDP0000297319","MDP0000297319")</f>
        <v>MDP0000297319</v>
      </c>
      <c r="D18752">
        <v>76.45</v>
      </c>
      <c r="E18752">
        <v>327</v>
      </c>
      <c r="F18752">
        <v>77</v>
      </c>
      <c r="G18752">
        <v>9</v>
      </c>
      <c r="H18752">
        <v>1</v>
      </c>
      <c r="I18752">
        <v>320</v>
      </c>
      <c r="J18752">
        <v>1</v>
      </c>
      <c r="K18752">
        <v>74</v>
      </c>
      <c r="L18752">
        <v>398</v>
      </c>
      <c r="M18752">
        <v>1</v>
      </c>
      <c r="N18752">
        <v>1.8479599999999999E-143</v>
      </c>
      <c r="O18752">
        <v>1305</v>
      </c>
    </row>
    <row r="18753" spans="1:15" x14ac:dyDescent="0.25">
      <c r="A18753" t="s">
        <v>18766</v>
      </c>
      <c r="B18753">
        <v>583</v>
      </c>
      <c r="C18753" s="1" t="str">
        <f>HYPERLINK("http://www.rosaceae.org/gb/gbrowse/malus_x_domestica/?name=MDP0000163774","MDP0000163774")</f>
        <v>MDP0000163774</v>
      </c>
      <c r="D18753">
        <v>49.18</v>
      </c>
      <c r="E18753">
        <v>61</v>
      </c>
      <c r="F18753">
        <v>31</v>
      </c>
      <c r="G18753">
        <v>0</v>
      </c>
      <c r="H18753">
        <v>512</v>
      </c>
      <c r="I18753">
        <v>572</v>
      </c>
      <c r="J18753">
        <v>1</v>
      </c>
      <c r="K18753">
        <v>203</v>
      </c>
      <c r="L18753">
        <v>263</v>
      </c>
      <c r="M18753">
        <v>1</v>
      </c>
      <c r="N18753">
        <v>6.5768399999999998E-10</v>
      </c>
      <c r="O18753">
        <v>153</v>
      </c>
    </row>
    <row r="18754" spans="1:15" x14ac:dyDescent="0.25">
      <c r="A18754" t="s">
        <v>18767</v>
      </c>
      <c r="B18754">
        <v>274</v>
      </c>
      <c r="C18754" s="1" t="str">
        <f>HYPERLINK("http://www.rosaceae.org/gb/gbrowse/malus_x_domestica/?name=MDP0000218596","MDP0000218596")</f>
        <v>MDP0000218596</v>
      </c>
      <c r="D18754">
        <v>84.3</v>
      </c>
      <c r="E18754">
        <v>274</v>
      </c>
      <c r="F18754">
        <v>43</v>
      </c>
      <c r="G18754">
        <v>2</v>
      </c>
      <c r="H18754">
        <v>1</v>
      </c>
      <c r="I18754">
        <v>274</v>
      </c>
      <c r="J18754">
        <v>1</v>
      </c>
      <c r="K18754">
        <v>1</v>
      </c>
      <c r="L18754">
        <v>272</v>
      </c>
      <c r="M18754">
        <v>1</v>
      </c>
      <c r="N18754">
        <v>5.2199300000000001E-135</v>
      </c>
      <c r="O18754">
        <v>1228</v>
      </c>
    </row>
    <row r="18755" spans="1:15" x14ac:dyDescent="0.25">
      <c r="A18755" t="s">
        <v>18768</v>
      </c>
      <c r="B18755">
        <v>507</v>
      </c>
      <c r="C18755" s="1" t="str">
        <f>HYPERLINK("http://www.rosaceae.org/gb/gbrowse/malus_x_domestica/?name=MDP0000181135","MDP0000181135")</f>
        <v>MDP0000181135</v>
      </c>
      <c r="D18755">
        <v>35.36</v>
      </c>
      <c r="E18755">
        <v>311</v>
      </c>
      <c r="F18755">
        <v>201</v>
      </c>
      <c r="G18755">
        <v>36</v>
      </c>
      <c r="H18755">
        <v>205</v>
      </c>
      <c r="I18755">
        <v>501</v>
      </c>
      <c r="J18755">
        <v>1</v>
      </c>
      <c r="K18755">
        <v>140</v>
      </c>
      <c r="L18755">
        <v>428</v>
      </c>
      <c r="M18755">
        <v>1</v>
      </c>
      <c r="N18755">
        <v>1.3801700000000001E-37</v>
      </c>
      <c r="O18755">
        <v>391</v>
      </c>
    </row>
    <row r="18756" spans="1:15" x14ac:dyDescent="0.25">
      <c r="A18756" t="s">
        <v>18769</v>
      </c>
      <c r="B18756">
        <v>87</v>
      </c>
      <c r="C18756" s="1" t="str">
        <f>HYPERLINK("http://www.rosaceae.org/gb/gbrowse/malus_x_domestica/?name=MDP0000166877","MDP0000166877")</f>
        <v>MDP0000166877</v>
      </c>
      <c r="D18756">
        <v>48.31</v>
      </c>
      <c r="E18756">
        <v>89</v>
      </c>
      <c r="F18756">
        <v>46</v>
      </c>
      <c r="G18756">
        <v>30</v>
      </c>
      <c r="H18756">
        <v>15</v>
      </c>
      <c r="I18756">
        <v>73</v>
      </c>
      <c r="J18756">
        <v>1</v>
      </c>
      <c r="K18756">
        <v>280</v>
      </c>
      <c r="L18756">
        <v>368</v>
      </c>
      <c r="M18756">
        <v>1</v>
      </c>
      <c r="N18756">
        <v>5.0435300000000001E-15</v>
      </c>
      <c r="O18756">
        <v>187</v>
      </c>
    </row>
    <row r="18757" spans="1:15" x14ac:dyDescent="0.25">
      <c r="A18757" t="s">
        <v>18770</v>
      </c>
      <c r="B18757">
        <v>895</v>
      </c>
      <c r="C18757" s="1" t="str">
        <f>HYPERLINK("http://www.rosaceae.org/gb/gbrowse/malus_x_domestica/?name=MDP0000175563","MDP0000175563")</f>
        <v>MDP0000175563</v>
      </c>
      <c r="D18757">
        <v>76.45</v>
      </c>
      <c r="E18757">
        <v>896</v>
      </c>
      <c r="F18757">
        <v>211</v>
      </c>
      <c r="G18757">
        <v>1</v>
      </c>
      <c r="H18757">
        <v>1</v>
      </c>
      <c r="I18757">
        <v>895</v>
      </c>
      <c r="J18757">
        <v>1</v>
      </c>
      <c r="K18757">
        <v>187</v>
      </c>
      <c r="L18757">
        <v>1082</v>
      </c>
      <c r="M18757">
        <v>1</v>
      </c>
      <c r="N18757">
        <v>0</v>
      </c>
      <c r="O18757">
        <v>3681</v>
      </c>
    </row>
    <row r="18758" spans="1:15" x14ac:dyDescent="0.25">
      <c r="A18758" t="s">
        <v>18771</v>
      </c>
      <c r="B18758">
        <v>562</v>
      </c>
      <c r="C18758" s="1" t="str">
        <f>HYPERLINK("http://www.rosaceae.org/gb/gbrowse/malus_x_domestica/?name=MDP0000729316","MDP0000729316")</f>
        <v>MDP0000729316</v>
      </c>
      <c r="D18758">
        <v>80.650000000000006</v>
      </c>
      <c r="E18758">
        <v>491</v>
      </c>
      <c r="F18758">
        <v>95</v>
      </c>
      <c r="G18758">
        <v>7</v>
      </c>
      <c r="H18758">
        <v>73</v>
      </c>
      <c r="I18758">
        <v>562</v>
      </c>
      <c r="J18758">
        <v>1</v>
      </c>
      <c r="K18758">
        <v>53</v>
      </c>
      <c r="L18758">
        <v>537</v>
      </c>
      <c r="M18758">
        <v>1</v>
      </c>
      <c r="N18758">
        <v>0</v>
      </c>
      <c r="O18758">
        <v>2102</v>
      </c>
    </row>
    <row r="18759" spans="1:15" x14ac:dyDescent="0.25">
      <c r="A18759" t="s">
        <v>18772</v>
      </c>
      <c r="B18759">
        <v>439</v>
      </c>
      <c r="C18759" s="1" t="str">
        <f>HYPERLINK("http://www.rosaceae.org/gb/gbrowse/malus_x_domestica/?name=MDP0000282244","MDP0000282244")</f>
        <v>MDP0000282244</v>
      </c>
      <c r="D18759">
        <v>53.39</v>
      </c>
      <c r="E18759">
        <v>442</v>
      </c>
      <c r="F18759">
        <v>206</v>
      </c>
      <c r="G18759">
        <v>25</v>
      </c>
      <c r="H18759">
        <v>1</v>
      </c>
      <c r="I18759">
        <v>439</v>
      </c>
      <c r="J18759">
        <v>1</v>
      </c>
      <c r="K18759">
        <v>1</v>
      </c>
      <c r="L18759">
        <v>420</v>
      </c>
      <c r="M18759">
        <v>1</v>
      </c>
      <c r="N18759">
        <v>1.1664299999999999E-106</v>
      </c>
      <c r="O18759">
        <v>986</v>
      </c>
    </row>
    <row r="18760" spans="1:15" x14ac:dyDescent="0.25">
      <c r="A18760" t="s">
        <v>18773</v>
      </c>
      <c r="B18760">
        <v>118</v>
      </c>
      <c r="C18760" s="1" t="str">
        <f>HYPERLINK("http://www.rosaceae.org/gb/gbrowse/malus_x_domestica/?name=MDP0000119680","MDP0000119680")</f>
        <v>MDP0000119680</v>
      </c>
      <c r="D18760">
        <v>82.6</v>
      </c>
      <c r="E18760">
        <v>46</v>
      </c>
      <c r="F18760">
        <v>8</v>
      </c>
      <c r="G18760">
        <v>1</v>
      </c>
      <c r="H18760">
        <v>26</v>
      </c>
      <c r="I18760">
        <v>70</v>
      </c>
      <c r="J18760">
        <v>1</v>
      </c>
      <c r="K18760">
        <v>1</v>
      </c>
      <c r="L18760">
        <v>46</v>
      </c>
      <c r="M18760">
        <v>1</v>
      </c>
      <c r="N18760">
        <v>3.8817200000000003E-15</v>
      </c>
      <c r="O18760">
        <v>188</v>
      </c>
    </row>
    <row r="18761" spans="1:15" x14ac:dyDescent="0.25">
      <c r="A18761" t="s">
        <v>18774</v>
      </c>
      <c r="B18761">
        <v>686</v>
      </c>
      <c r="C18761" s="1" t="str">
        <f>HYPERLINK("http://www.rosaceae.org/gb/gbrowse/malus_x_domestica/?name=MDP0000307862","MDP0000307862")</f>
        <v>MDP0000307862</v>
      </c>
      <c r="D18761">
        <v>53.88</v>
      </c>
      <c r="E18761">
        <v>412</v>
      </c>
      <c r="F18761">
        <v>190</v>
      </c>
      <c r="G18761">
        <v>31</v>
      </c>
      <c r="H18761">
        <v>148</v>
      </c>
      <c r="I18761">
        <v>533</v>
      </c>
      <c r="J18761">
        <v>1</v>
      </c>
      <c r="K18761">
        <v>449</v>
      </c>
      <c r="L18761">
        <v>855</v>
      </c>
      <c r="M18761">
        <v>1</v>
      </c>
      <c r="N18761">
        <v>1.35349E-107</v>
      </c>
      <c r="O18761">
        <v>996</v>
      </c>
    </row>
    <row r="18762" spans="1:15" x14ac:dyDescent="0.25">
      <c r="A18762" t="s">
        <v>18775</v>
      </c>
      <c r="B18762">
        <v>349</v>
      </c>
      <c r="C18762" s="1" t="str">
        <f>HYPERLINK("http://www.rosaceae.org/gb/gbrowse/malus_x_domestica/?name=MDP0000785448","MDP0000785448")</f>
        <v>MDP0000785448</v>
      </c>
      <c r="D18762">
        <v>60.57</v>
      </c>
      <c r="E18762">
        <v>350</v>
      </c>
      <c r="F18762">
        <v>138</v>
      </c>
      <c r="G18762">
        <v>6</v>
      </c>
      <c r="H18762">
        <v>1</v>
      </c>
      <c r="I18762">
        <v>349</v>
      </c>
      <c r="J18762">
        <v>1</v>
      </c>
      <c r="K18762">
        <v>1</v>
      </c>
      <c r="L18762">
        <v>345</v>
      </c>
      <c r="M18762">
        <v>1</v>
      </c>
      <c r="N18762">
        <v>2.6175400000000002E-113</v>
      </c>
      <c r="O18762">
        <v>1042</v>
      </c>
    </row>
    <row r="18763" spans="1:15" x14ac:dyDescent="0.25">
      <c r="A18763" t="s">
        <v>18776</v>
      </c>
      <c r="B18763">
        <v>965</v>
      </c>
      <c r="C18763" s="1" t="str">
        <f>HYPERLINK("http://www.rosaceae.org/gb/gbrowse/malus_x_domestica/?name=MDP0000186009","MDP0000186009")</f>
        <v>MDP0000186009</v>
      </c>
      <c r="D18763">
        <v>60.83</v>
      </c>
      <c r="E18763">
        <v>932</v>
      </c>
      <c r="F18763">
        <v>365</v>
      </c>
      <c r="G18763">
        <v>97</v>
      </c>
      <c r="H18763">
        <v>103</v>
      </c>
      <c r="I18763">
        <v>965</v>
      </c>
      <c r="J18763">
        <v>1</v>
      </c>
      <c r="K18763">
        <v>14</v>
      </c>
      <c r="L18763">
        <v>917</v>
      </c>
      <c r="M18763">
        <v>1</v>
      </c>
      <c r="N18763">
        <v>0</v>
      </c>
      <c r="O18763">
        <v>2643</v>
      </c>
    </row>
    <row r="18764" spans="1:15" x14ac:dyDescent="0.25">
      <c r="A18764" t="s">
        <v>18777</v>
      </c>
      <c r="B18764">
        <v>419</v>
      </c>
      <c r="C18764" s="1" t="str">
        <f>HYPERLINK("http://www.rosaceae.org/gb/gbrowse/malus_x_domestica/?name=MDP0000006177","MDP0000006177")</f>
        <v>MDP0000006177</v>
      </c>
      <c r="D18764">
        <v>83.57</v>
      </c>
      <c r="E18764">
        <v>341</v>
      </c>
      <c r="F18764">
        <v>56</v>
      </c>
      <c r="G18764">
        <v>11</v>
      </c>
      <c r="H18764">
        <v>25</v>
      </c>
      <c r="I18764">
        <v>354</v>
      </c>
      <c r="J18764">
        <v>1</v>
      </c>
      <c r="K18764">
        <v>26</v>
      </c>
      <c r="L18764">
        <v>366</v>
      </c>
      <c r="M18764">
        <v>1</v>
      </c>
      <c r="N18764">
        <v>9.7538000000000007E-165</v>
      </c>
      <c r="O18764">
        <v>1486</v>
      </c>
    </row>
    <row r="18765" spans="1:15" x14ac:dyDescent="0.25">
      <c r="A18765" t="s">
        <v>18778</v>
      </c>
      <c r="B18765">
        <v>295</v>
      </c>
      <c r="C18765" s="1" t="str">
        <f>HYPERLINK("http://www.rosaceae.org/gb/gbrowse/malus_x_domestica/?name=MDP0000273973","MDP0000273973")</f>
        <v>MDP0000273973</v>
      </c>
      <c r="D18765">
        <v>59.57</v>
      </c>
      <c r="E18765">
        <v>282</v>
      </c>
      <c r="F18765">
        <v>114</v>
      </c>
      <c r="G18765">
        <v>13</v>
      </c>
      <c r="H18765">
        <v>24</v>
      </c>
      <c r="I18765">
        <v>295</v>
      </c>
      <c r="J18765">
        <v>1</v>
      </c>
      <c r="K18765">
        <v>37</v>
      </c>
      <c r="L18765">
        <v>315</v>
      </c>
      <c r="M18765">
        <v>1</v>
      </c>
      <c r="N18765">
        <v>1.5621099999999999E-87</v>
      </c>
      <c r="O18765">
        <v>819</v>
      </c>
    </row>
    <row r="18766" spans="1:15" x14ac:dyDescent="0.25">
      <c r="A18766" t="s">
        <v>18779</v>
      </c>
      <c r="B18766">
        <v>743</v>
      </c>
      <c r="C18766" s="1" t="str">
        <f>HYPERLINK("http://www.rosaceae.org/gb/gbrowse/malus_x_domestica/?name=MDP0000266669","MDP0000266669")</f>
        <v>MDP0000266669</v>
      </c>
      <c r="D18766">
        <v>27.23</v>
      </c>
      <c r="E18766">
        <v>514</v>
      </c>
      <c r="F18766">
        <v>374</v>
      </c>
      <c r="G18766">
        <v>13</v>
      </c>
      <c r="H18766">
        <v>225</v>
      </c>
      <c r="I18766">
        <v>733</v>
      </c>
      <c r="J18766">
        <v>1</v>
      </c>
      <c r="K18766">
        <v>124</v>
      </c>
      <c r="L18766">
        <v>629</v>
      </c>
      <c r="M18766">
        <v>1</v>
      </c>
      <c r="N18766">
        <v>2.8195099999999998E-41</v>
      </c>
      <c r="O18766">
        <v>424</v>
      </c>
    </row>
    <row r="18767" spans="1:15" x14ac:dyDescent="0.25">
      <c r="A18767" t="s">
        <v>18780</v>
      </c>
      <c r="B18767">
        <v>383</v>
      </c>
      <c r="C18767" s="1" t="str">
        <f>HYPERLINK("http://www.rosaceae.org/gb/gbrowse/malus_x_domestica/?name=MDP0000278323","MDP0000278323")</f>
        <v>MDP0000278323</v>
      </c>
      <c r="D18767">
        <v>77.540000000000006</v>
      </c>
      <c r="E18767">
        <v>383</v>
      </c>
      <c r="F18767">
        <v>86</v>
      </c>
      <c r="G18767">
        <v>7</v>
      </c>
      <c r="H18767">
        <v>1</v>
      </c>
      <c r="I18767">
        <v>382</v>
      </c>
      <c r="J18767">
        <v>1</v>
      </c>
      <c r="K18767">
        <v>1</v>
      </c>
      <c r="L18767">
        <v>377</v>
      </c>
      <c r="M18767">
        <v>1</v>
      </c>
      <c r="N18767">
        <v>6.6445200000000003E-172</v>
      </c>
      <c r="O18767">
        <v>1548</v>
      </c>
    </row>
    <row r="18768" spans="1:15" x14ac:dyDescent="0.25">
      <c r="A18768" t="s">
        <v>18781</v>
      </c>
      <c r="B18768">
        <v>222</v>
      </c>
      <c r="C18768" s="1" t="str">
        <f>HYPERLINK("http://www.rosaceae.org/gb/gbrowse/malus_x_domestica/?name=MDP0000287197","MDP0000287197")</f>
        <v>MDP0000287197</v>
      </c>
      <c r="D18768">
        <v>30.58</v>
      </c>
      <c r="E18768">
        <v>170</v>
      </c>
      <c r="F18768">
        <v>118</v>
      </c>
      <c r="G18768">
        <v>20</v>
      </c>
      <c r="H18768">
        <v>29</v>
      </c>
      <c r="I18768">
        <v>197</v>
      </c>
      <c r="J18768">
        <v>1</v>
      </c>
      <c r="K18768">
        <v>51</v>
      </c>
      <c r="L18768">
        <v>201</v>
      </c>
      <c r="M18768">
        <v>1</v>
      </c>
      <c r="N18768">
        <v>3.1132899999999999E-10</v>
      </c>
      <c r="O18768">
        <v>150</v>
      </c>
    </row>
    <row r="18769" spans="1:15" x14ac:dyDescent="0.25">
      <c r="A18769" t="s">
        <v>18782</v>
      </c>
      <c r="B18769">
        <v>677</v>
      </c>
      <c r="C18769" s="1" t="str">
        <f>HYPERLINK("http://www.rosaceae.org/gb/gbrowse/malus_x_domestica/?name=MDP0000219706","MDP0000219706")</f>
        <v>MDP0000219706</v>
      </c>
      <c r="D18769">
        <v>30.48</v>
      </c>
      <c r="E18769">
        <v>164</v>
      </c>
      <c r="F18769">
        <v>114</v>
      </c>
      <c r="G18769">
        <v>9</v>
      </c>
      <c r="H18769">
        <v>520</v>
      </c>
      <c r="I18769">
        <v>675</v>
      </c>
      <c r="J18769">
        <v>1</v>
      </c>
      <c r="K18769">
        <v>281</v>
      </c>
      <c r="L18769">
        <v>443</v>
      </c>
      <c r="M18769">
        <v>1</v>
      </c>
      <c r="N18769">
        <v>3.5392900000000004E-18</v>
      </c>
      <c r="O18769">
        <v>225</v>
      </c>
    </row>
    <row r="18770" spans="1:15" x14ac:dyDescent="0.25">
      <c r="A18770" t="s">
        <v>18783</v>
      </c>
      <c r="B18770">
        <v>144</v>
      </c>
      <c r="C18770" s="1" t="str">
        <f>HYPERLINK("http://www.rosaceae.org/gb/gbrowse/malus_x_domestica/?name=MDP0000302855","MDP0000302855")</f>
        <v>MDP0000302855</v>
      </c>
      <c r="D18770">
        <v>58.92</v>
      </c>
      <c r="E18770">
        <v>56</v>
      </c>
      <c r="F18770">
        <v>23</v>
      </c>
      <c r="G18770">
        <v>2</v>
      </c>
      <c r="H18770">
        <v>46</v>
      </c>
      <c r="I18770">
        <v>99</v>
      </c>
      <c r="J18770">
        <v>1</v>
      </c>
      <c r="K18770">
        <v>236</v>
      </c>
      <c r="L18770">
        <v>291</v>
      </c>
      <c r="M18770">
        <v>1</v>
      </c>
      <c r="N18770">
        <v>5.6554199999999999E-9</v>
      </c>
      <c r="O18770">
        <v>136</v>
      </c>
    </row>
    <row r="18771" spans="1:15" x14ac:dyDescent="0.25">
      <c r="A18771" t="s">
        <v>18784</v>
      </c>
      <c r="B18771">
        <v>399</v>
      </c>
      <c r="C18771" s="1" t="str">
        <f>HYPERLINK("http://www.rosaceae.org/gb/gbrowse/malus_x_domestica/?name=MDP0000147190","MDP0000147190")</f>
        <v>MDP0000147190</v>
      </c>
      <c r="D18771">
        <v>31.32</v>
      </c>
      <c r="E18771">
        <v>399</v>
      </c>
      <c r="F18771">
        <v>274</v>
      </c>
      <c r="G18771">
        <v>44</v>
      </c>
      <c r="H18771">
        <v>31</v>
      </c>
      <c r="I18771">
        <v>399</v>
      </c>
      <c r="J18771">
        <v>1</v>
      </c>
      <c r="K18771">
        <v>56</v>
      </c>
      <c r="L18771">
        <v>440</v>
      </c>
      <c r="M18771">
        <v>1</v>
      </c>
      <c r="N18771">
        <v>4.3711299999999998E-58</v>
      </c>
      <c r="O18771">
        <v>566</v>
      </c>
    </row>
    <row r="18772" spans="1:15" x14ac:dyDescent="0.25">
      <c r="A18772" t="s">
        <v>18785</v>
      </c>
      <c r="B18772">
        <v>127</v>
      </c>
      <c r="C18772" s="1" t="str">
        <f>HYPERLINK("http://www.rosaceae.org/gb/gbrowse/malus_x_domestica/?name=MDP0000140151","MDP0000140151")</f>
        <v>MDP0000140151</v>
      </c>
      <c r="D18772">
        <v>60</v>
      </c>
      <c r="E18772">
        <v>105</v>
      </c>
      <c r="F18772">
        <v>42</v>
      </c>
      <c r="G18772">
        <v>1</v>
      </c>
      <c r="H18772">
        <v>19</v>
      </c>
      <c r="I18772">
        <v>122</v>
      </c>
      <c r="J18772">
        <v>1</v>
      </c>
      <c r="K18772">
        <v>49</v>
      </c>
      <c r="L18772">
        <v>153</v>
      </c>
      <c r="M18772">
        <v>1</v>
      </c>
      <c r="N18772">
        <v>1.7510099999999999E-27</v>
      </c>
      <c r="O18772">
        <v>295</v>
      </c>
    </row>
    <row r="18773" spans="1:15" x14ac:dyDescent="0.25">
      <c r="A18773" t="s">
        <v>18786</v>
      </c>
      <c r="B18773">
        <v>365</v>
      </c>
      <c r="C18773" s="1" t="str">
        <f>HYPERLINK("http://www.rosaceae.org/gb/gbrowse/malus_x_domestica/?name=MDP0000284515","MDP0000284515")</f>
        <v>MDP0000284515</v>
      </c>
      <c r="D18773">
        <v>64.209999999999994</v>
      </c>
      <c r="E18773">
        <v>285</v>
      </c>
      <c r="F18773">
        <v>102</v>
      </c>
      <c r="G18773">
        <v>16</v>
      </c>
      <c r="H18773">
        <v>1</v>
      </c>
      <c r="I18773">
        <v>278</v>
      </c>
      <c r="J18773">
        <v>1</v>
      </c>
      <c r="K18773">
        <v>704</v>
      </c>
      <c r="L18773">
        <v>979</v>
      </c>
      <c r="M18773">
        <v>1</v>
      </c>
      <c r="N18773">
        <v>3.6626900000000002E-96</v>
      </c>
      <c r="O18773">
        <v>894</v>
      </c>
    </row>
    <row r="18774" spans="1:15" x14ac:dyDescent="0.25">
      <c r="A18774" t="s">
        <v>18787</v>
      </c>
      <c r="B18774">
        <v>239</v>
      </c>
      <c r="C18774" s="1" t="str">
        <f>HYPERLINK("http://www.rosaceae.org/gb/gbrowse/malus_x_domestica/?name=MDP0000185506","MDP0000185506")</f>
        <v>MDP0000185506</v>
      </c>
      <c r="D18774">
        <v>39.24</v>
      </c>
      <c r="E18774">
        <v>79</v>
      </c>
      <c r="F18774">
        <v>48</v>
      </c>
      <c r="G18774">
        <v>11</v>
      </c>
      <c r="H18774">
        <v>6</v>
      </c>
      <c r="I18774">
        <v>79</v>
      </c>
      <c r="J18774">
        <v>1</v>
      </c>
      <c r="K18774">
        <v>141</v>
      </c>
      <c r="L18774">
        <v>213</v>
      </c>
      <c r="M18774">
        <v>1</v>
      </c>
      <c r="N18774">
        <v>6.1046899999999999E-8</v>
      </c>
      <c r="O18774">
        <v>131</v>
      </c>
    </row>
    <row r="18775" spans="1:15" x14ac:dyDescent="0.25">
      <c r="A18775" t="s">
        <v>18788</v>
      </c>
      <c r="B18775">
        <v>425</v>
      </c>
      <c r="C18775" s="1" t="str">
        <f>HYPERLINK("http://www.rosaceae.org/gb/gbrowse/malus_x_domestica/?name=MDP0000299188","MDP0000299188")</f>
        <v>MDP0000299188</v>
      </c>
      <c r="D18775">
        <v>83.56</v>
      </c>
      <c r="E18775">
        <v>426</v>
      </c>
      <c r="F18775">
        <v>70</v>
      </c>
      <c r="G18775">
        <v>2</v>
      </c>
      <c r="H18775">
        <v>1</v>
      </c>
      <c r="I18775">
        <v>425</v>
      </c>
      <c r="J18775">
        <v>1</v>
      </c>
      <c r="K18775">
        <v>1</v>
      </c>
      <c r="L18775">
        <v>425</v>
      </c>
      <c r="M18775">
        <v>1</v>
      </c>
      <c r="N18775">
        <v>0</v>
      </c>
      <c r="O18775">
        <v>1891</v>
      </c>
    </row>
    <row r="18776" spans="1:15" x14ac:dyDescent="0.25">
      <c r="A18776" t="s">
        <v>18789</v>
      </c>
      <c r="B18776">
        <v>119</v>
      </c>
      <c r="C18776" s="1" t="str">
        <f>HYPERLINK("http://www.rosaceae.org/gb/gbrowse/malus_x_domestica/?name=MDP0000394445","MDP0000394445")</f>
        <v>MDP0000394445</v>
      </c>
      <c r="D18776">
        <v>54.7</v>
      </c>
      <c r="E18776">
        <v>117</v>
      </c>
      <c r="F18776">
        <v>53</v>
      </c>
      <c r="G18776">
        <v>7</v>
      </c>
      <c r="H18776">
        <v>1</v>
      </c>
      <c r="I18776">
        <v>117</v>
      </c>
      <c r="J18776">
        <v>1</v>
      </c>
      <c r="K18776">
        <v>1</v>
      </c>
      <c r="L18776">
        <v>110</v>
      </c>
      <c r="M18776">
        <v>1</v>
      </c>
      <c r="N18776">
        <v>4.4078300000000004E-25</v>
      </c>
      <c r="O18776">
        <v>274</v>
      </c>
    </row>
    <row r="18777" spans="1:15" x14ac:dyDescent="0.25">
      <c r="A18777" t="s">
        <v>18790</v>
      </c>
      <c r="B18777">
        <v>368</v>
      </c>
      <c r="C18777" s="1" t="str">
        <f>HYPERLINK("http://www.rosaceae.org/gb/gbrowse/malus_x_domestica/?name=MDP0000706975","MDP0000706975")</f>
        <v>MDP0000706975</v>
      </c>
      <c r="D18777">
        <v>92.93</v>
      </c>
      <c r="E18777">
        <v>368</v>
      </c>
      <c r="F18777">
        <v>26</v>
      </c>
      <c r="G18777">
        <v>2</v>
      </c>
      <c r="H18777">
        <v>3</v>
      </c>
      <c r="I18777">
        <v>368</v>
      </c>
      <c r="J18777">
        <v>1</v>
      </c>
      <c r="K18777">
        <v>2</v>
      </c>
      <c r="L18777">
        <v>369</v>
      </c>
      <c r="M18777">
        <v>1</v>
      </c>
      <c r="N18777">
        <v>0</v>
      </c>
      <c r="O18777">
        <v>1806</v>
      </c>
    </row>
    <row r="18778" spans="1:15" x14ac:dyDescent="0.25">
      <c r="A18778" t="s">
        <v>18791</v>
      </c>
      <c r="B18778">
        <v>549</v>
      </c>
      <c r="C18778" s="1" t="str">
        <f>HYPERLINK("http://www.rosaceae.org/gb/gbrowse/malus_x_domestica/?name=MDP0000481109","MDP0000481109")</f>
        <v>MDP0000481109</v>
      </c>
      <c r="D18778">
        <v>75.540000000000006</v>
      </c>
      <c r="E18778">
        <v>413</v>
      </c>
      <c r="F18778">
        <v>101</v>
      </c>
      <c r="G18778">
        <v>25</v>
      </c>
      <c r="H18778">
        <v>137</v>
      </c>
      <c r="I18778">
        <v>549</v>
      </c>
      <c r="J18778">
        <v>1</v>
      </c>
      <c r="K18778">
        <v>65</v>
      </c>
      <c r="L18778">
        <v>452</v>
      </c>
      <c r="M18778">
        <v>1</v>
      </c>
      <c r="N18778">
        <v>0</v>
      </c>
      <c r="O18778">
        <v>1638</v>
      </c>
    </row>
    <row r="18779" spans="1:15" x14ac:dyDescent="0.25">
      <c r="A18779" t="s">
        <v>18792</v>
      </c>
      <c r="B18779">
        <v>814</v>
      </c>
      <c r="C18779" s="1" t="str">
        <f>HYPERLINK("http://www.rosaceae.org/gb/gbrowse/malus_x_domestica/?name=MDP0000233598","MDP0000233598")</f>
        <v>MDP0000233598</v>
      </c>
      <c r="D18779">
        <v>28.76</v>
      </c>
      <c r="E18779">
        <v>226</v>
      </c>
      <c r="F18779">
        <v>161</v>
      </c>
      <c r="G18779">
        <v>9</v>
      </c>
      <c r="H18779">
        <v>1</v>
      </c>
      <c r="I18779">
        <v>221</v>
      </c>
      <c r="J18779">
        <v>1</v>
      </c>
      <c r="K18779">
        <v>237</v>
      </c>
      <c r="L18779">
        <v>458</v>
      </c>
      <c r="M18779">
        <v>1</v>
      </c>
      <c r="N18779">
        <v>6.3282900000000001E-19</v>
      </c>
      <c r="O18779">
        <v>232</v>
      </c>
    </row>
    <row r="18780" spans="1:15" x14ac:dyDescent="0.25">
      <c r="A18780" t="s">
        <v>18793</v>
      </c>
      <c r="B18780">
        <v>741</v>
      </c>
      <c r="C18780" s="1" t="str">
        <f>HYPERLINK("http://www.rosaceae.org/gb/gbrowse/malus_x_domestica/?name=MDP0000819112","MDP0000819112")</f>
        <v>MDP0000819112</v>
      </c>
      <c r="D18780">
        <v>70.97</v>
      </c>
      <c r="E18780">
        <v>348</v>
      </c>
      <c r="F18780">
        <v>101</v>
      </c>
      <c r="G18780">
        <v>11</v>
      </c>
      <c r="H18780">
        <v>1</v>
      </c>
      <c r="I18780">
        <v>347</v>
      </c>
      <c r="J18780">
        <v>1</v>
      </c>
      <c r="K18780">
        <v>1</v>
      </c>
      <c r="L18780">
        <v>338</v>
      </c>
      <c r="M18780">
        <v>1</v>
      </c>
      <c r="N18780">
        <v>3.2813599999999998E-140</v>
      </c>
      <c r="O18780">
        <v>1277</v>
      </c>
    </row>
    <row r="18781" spans="1:15" x14ac:dyDescent="0.25">
      <c r="A18781" t="s">
        <v>18794</v>
      </c>
      <c r="B18781">
        <v>135</v>
      </c>
      <c r="C18781" s="1" t="str">
        <f>HYPERLINK("http://www.rosaceae.org/gb/gbrowse/malus_x_domestica/?name=MDP0000351526","MDP0000351526")</f>
        <v>MDP0000351526</v>
      </c>
      <c r="D18781">
        <v>64.58</v>
      </c>
      <c r="E18781">
        <v>144</v>
      </c>
      <c r="F18781">
        <v>51</v>
      </c>
      <c r="G18781">
        <v>11</v>
      </c>
      <c r="H18781">
        <v>3</v>
      </c>
      <c r="I18781">
        <v>135</v>
      </c>
      <c r="J18781">
        <v>1</v>
      </c>
      <c r="K18781">
        <v>30</v>
      </c>
      <c r="L18781">
        <v>173</v>
      </c>
      <c r="M18781">
        <v>1</v>
      </c>
      <c r="N18781">
        <v>1.4738400000000001E-42</v>
      </c>
      <c r="O18781">
        <v>425</v>
      </c>
    </row>
    <row r="18782" spans="1:15" x14ac:dyDescent="0.25">
      <c r="A18782" t="s">
        <v>18795</v>
      </c>
      <c r="B18782">
        <v>615</v>
      </c>
      <c r="C18782" s="1" t="str">
        <f>HYPERLINK("http://www.rosaceae.org/gb/gbrowse/malus_x_domestica/?name=MDP0000253475","MDP0000253475")</f>
        <v>MDP0000253475</v>
      </c>
      <c r="D18782">
        <v>78.47</v>
      </c>
      <c r="E18782">
        <v>367</v>
      </c>
      <c r="F18782">
        <v>79</v>
      </c>
      <c r="G18782">
        <v>0</v>
      </c>
      <c r="H18782">
        <v>249</v>
      </c>
      <c r="I18782">
        <v>615</v>
      </c>
      <c r="J18782">
        <v>1</v>
      </c>
      <c r="K18782">
        <v>683</v>
      </c>
      <c r="L18782">
        <v>1049</v>
      </c>
      <c r="M18782">
        <v>1</v>
      </c>
      <c r="N18782">
        <v>8.4616400000000006E-172</v>
      </c>
      <c r="O18782">
        <v>1549</v>
      </c>
    </row>
    <row r="18783" spans="1:15" x14ac:dyDescent="0.25">
      <c r="A18783" t="s">
        <v>18796</v>
      </c>
      <c r="B18783">
        <v>1014</v>
      </c>
      <c r="C18783" s="1" t="str">
        <f>HYPERLINK("http://www.rosaceae.org/gb/gbrowse/malus_x_domestica/?name=MDP0000259047","MDP0000259047")</f>
        <v>MDP0000259047</v>
      </c>
      <c r="D18783">
        <v>60.77</v>
      </c>
      <c r="E18783">
        <v>645</v>
      </c>
      <c r="F18783">
        <v>253</v>
      </c>
      <c r="G18783">
        <v>21</v>
      </c>
      <c r="H18783">
        <v>28</v>
      </c>
      <c r="I18783">
        <v>664</v>
      </c>
      <c r="J18783">
        <v>1</v>
      </c>
      <c r="K18783">
        <v>30</v>
      </c>
      <c r="L18783">
        <v>661</v>
      </c>
      <c r="M18783">
        <v>1</v>
      </c>
      <c r="N18783">
        <v>0</v>
      </c>
      <c r="O18783">
        <v>2025</v>
      </c>
    </row>
    <row r="18784" spans="1:15" x14ac:dyDescent="0.25">
      <c r="A18784" t="s">
        <v>18797</v>
      </c>
      <c r="B18784">
        <v>770</v>
      </c>
      <c r="C18784" s="1" t="str">
        <f>HYPERLINK("http://www.rosaceae.org/gb/gbrowse/malus_x_domestica/?name=MDP0000909991","MDP0000909991")</f>
        <v>MDP0000909991</v>
      </c>
      <c r="D18784">
        <v>81.489999999999995</v>
      </c>
      <c r="E18784">
        <v>751</v>
      </c>
      <c r="F18784">
        <v>139</v>
      </c>
      <c r="G18784">
        <v>3</v>
      </c>
      <c r="H18784">
        <v>22</v>
      </c>
      <c r="I18784">
        <v>769</v>
      </c>
      <c r="J18784">
        <v>1</v>
      </c>
      <c r="K18784">
        <v>72</v>
      </c>
      <c r="L18784">
        <v>822</v>
      </c>
      <c r="M18784">
        <v>1</v>
      </c>
      <c r="N18784">
        <v>0</v>
      </c>
      <c r="O18784">
        <v>3262</v>
      </c>
    </row>
    <row r="18785" spans="1:15" x14ac:dyDescent="0.25">
      <c r="A18785" t="s">
        <v>18798</v>
      </c>
      <c r="B18785">
        <v>276</v>
      </c>
      <c r="C18785" s="1" t="str">
        <f>HYPERLINK("http://www.rosaceae.org/gb/gbrowse/malus_x_domestica/?name=MDP0000271281","MDP0000271281")</f>
        <v>MDP0000271281</v>
      </c>
      <c r="D18785">
        <v>84.42</v>
      </c>
      <c r="E18785">
        <v>276</v>
      </c>
      <c r="F18785">
        <v>43</v>
      </c>
      <c r="G18785">
        <v>0</v>
      </c>
      <c r="H18785">
        <v>1</v>
      </c>
      <c r="I18785">
        <v>276</v>
      </c>
      <c r="J18785">
        <v>1</v>
      </c>
      <c r="K18785">
        <v>1</v>
      </c>
      <c r="L18785">
        <v>276</v>
      </c>
      <c r="M18785">
        <v>1</v>
      </c>
      <c r="N18785">
        <v>4.5429100000000002E-136</v>
      </c>
      <c r="O18785">
        <v>1237</v>
      </c>
    </row>
    <row r="18786" spans="1:15" x14ac:dyDescent="0.25">
      <c r="A18786" t="s">
        <v>18799</v>
      </c>
      <c r="B18786">
        <v>140</v>
      </c>
      <c r="C18786" s="1" t="str">
        <f>HYPERLINK("http://www.rosaceae.org/gb/gbrowse/malus_x_domestica/?name=MDP0000545337","MDP0000545337")</f>
        <v>MDP0000545337</v>
      </c>
      <c r="D18786">
        <v>63.57</v>
      </c>
      <c r="E18786">
        <v>140</v>
      </c>
      <c r="F18786">
        <v>51</v>
      </c>
      <c r="G18786">
        <v>0</v>
      </c>
      <c r="H18786">
        <v>1</v>
      </c>
      <c r="I18786">
        <v>140</v>
      </c>
      <c r="J18786">
        <v>1</v>
      </c>
      <c r="K18786">
        <v>1</v>
      </c>
      <c r="L18786">
        <v>140</v>
      </c>
      <c r="M18786">
        <v>1</v>
      </c>
      <c r="N18786">
        <v>8.0239300000000001E-46</v>
      </c>
      <c r="O18786">
        <v>454</v>
      </c>
    </row>
    <row r="18787" spans="1:15" x14ac:dyDescent="0.25">
      <c r="A18787" t="s">
        <v>18800</v>
      </c>
      <c r="B18787">
        <v>838</v>
      </c>
      <c r="C18787" s="1" t="str">
        <f>HYPERLINK("http://www.rosaceae.org/gb/gbrowse/malus_x_domestica/?name=MDP0000230833","MDP0000230833")</f>
        <v>MDP0000230833</v>
      </c>
      <c r="D18787">
        <v>62.27</v>
      </c>
      <c r="E18787">
        <v>896</v>
      </c>
      <c r="F18787">
        <v>338</v>
      </c>
      <c r="G18787">
        <v>63</v>
      </c>
      <c r="H18787">
        <v>1</v>
      </c>
      <c r="I18787">
        <v>838</v>
      </c>
      <c r="J18787">
        <v>1</v>
      </c>
      <c r="K18787">
        <v>1</v>
      </c>
      <c r="L18787">
        <v>891</v>
      </c>
      <c r="M18787">
        <v>1</v>
      </c>
      <c r="N18787">
        <v>0</v>
      </c>
      <c r="O18787">
        <v>2701</v>
      </c>
    </row>
    <row r="18788" spans="1:15" x14ac:dyDescent="0.25">
      <c r="A18788" t="s">
        <v>18801</v>
      </c>
      <c r="B18788">
        <v>554</v>
      </c>
      <c r="C18788" s="1" t="str">
        <f>HYPERLINK("http://www.rosaceae.org/gb/gbrowse/malus_x_domestica/?name=MDP0000234244","MDP0000234244")</f>
        <v>MDP0000234244</v>
      </c>
      <c r="D18788">
        <v>64.599999999999994</v>
      </c>
      <c r="E18788">
        <v>452</v>
      </c>
      <c r="F18788">
        <v>160</v>
      </c>
      <c r="G18788">
        <v>47</v>
      </c>
      <c r="H18788">
        <v>2</v>
      </c>
      <c r="I18788">
        <v>441</v>
      </c>
      <c r="J18788">
        <v>1</v>
      </c>
      <c r="K18788">
        <v>3</v>
      </c>
      <c r="L18788">
        <v>419</v>
      </c>
      <c r="M18788">
        <v>1</v>
      </c>
      <c r="N18788">
        <v>7.33966E-162</v>
      </c>
      <c r="O18788">
        <v>1463</v>
      </c>
    </row>
    <row r="18789" spans="1:15" x14ac:dyDescent="0.25">
      <c r="A18789" t="s">
        <v>18802</v>
      </c>
      <c r="B18789">
        <v>404</v>
      </c>
      <c r="C18789" s="1" t="str">
        <f>HYPERLINK("http://www.rosaceae.org/gb/gbrowse/malus_x_domestica/?name=MDP0000095336","MDP0000095336")</f>
        <v>MDP0000095336</v>
      </c>
      <c r="D18789">
        <v>54.7</v>
      </c>
      <c r="E18789">
        <v>404</v>
      </c>
      <c r="F18789">
        <v>183</v>
      </c>
      <c r="G18789">
        <v>18</v>
      </c>
      <c r="H18789">
        <v>1</v>
      </c>
      <c r="I18789">
        <v>404</v>
      </c>
      <c r="J18789">
        <v>1</v>
      </c>
      <c r="K18789">
        <v>1</v>
      </c>
      <c r="L18789">
        <v>386</v>
      </c>
      <c r="M18789">
        <v>1</v>
      </c>
      <c r="N18789">
        <v>8.2396899999999996E-117</v>
      </c>
      <c r="O18789">
        <v>1073</v>
      </c>
    </row>
    <row r="18790" spans="1:15" x14ac:dyDescent="0.25">
      <c r="A18790" t="s">
        <v>18803</v>
      </c>
      <c r="B18790">
        <v>610</v>
      </c>
      <c r="C18790" s="1" t="str">
        <f>HYPERLINK("http://www.rosaceae.org/gb/gbrowse/malus_x_domestica/?name=MDP0000732267","MDP0000732267")</f>
        <v>MDP0000732267</v>
      </c>
      <c r="D18790">
        <v>64.66</v>
      </c>
      <c r="E18790">
        <v>617</v>
      </c>
      <c r="F18790">
        <v>218</v>
      </c>
      <c r="G18790">
        <v>47</v>
      </c>
      <c r="H18790">
        <v>39</v>
      </c>
      <c r="I18790">
        <v>610</v>
      </c>
      <c r="J18790">
        <v>1</v>
      </c>
      <c r="K18790">
        <v>13</v>
      </c>
      <c r="L18790">
        <v>627</v>
      </c>
      <c r="M18790">
        <v>1</v>
      </c>
      <c r="N18790">
        <v>0</v>
      </c>
      <c r="O18790">
        <v>1803</v>
      </c>
    </row>
    <row r="18791" spans="1:15" x14ac:dyDescent="0.25">
      <c r="A18791" t="s">
        <v>18804</v>
      </c>
      <c r="B18791">
        <v>1125</v>
      </c>
      <c r="C18791" s="1" t="str">
        <f>HYPERLINK("http://www.rosaceae.org/gb/gbrowse/malus_x_domestica/?name=MDP0000205433","MDP0000205433")</f>
        <v>MDP0000205433</v>
      </c>
      <c r="D18791">
        <v>82.73</v>
      </c>
      <c r="E18791">
        <v>527</v>
      </c>
      <c r="F18791">
        <v>91</v>
      </c>
      <c r="G18791">
        <v>19</v>
      </c>
      <c r="H18791">
        <v>1</v>
      </c>
      <c r="I18791">
        <v>527</v>
      </c>
      <c r="J18791">
        <v>1</v>
      </c>
      <c r="K18791">
        <v>1</v>
      </c>
      <c r="L18791">
        <v>508</v>
      </c>
      <c r="M18791">
        <v>1</v>
      </c>
      <c r="N18791">
        <v>0</v>
      </c>
      <c r="O18791">
        <v>2294</v>
      </c>
    </row>
    <row r="18792" spans="1:15" x14ac:dyDescent="0.25">
      <c r="A18792" t="s">
        <v>18805</v>
      </c>
      <c r="B18792">
        <v>748</v>
      </c>
      <c r="C18792" s="1" t="str">
        <f>HYPERLINK("http://www.rosaceae.org/gb/gbrowse/malus_x_domestica/?name=MDP0000200455","MDP0000200455")</f>
        <v>MDP0000200455</v>
      </c>
      <c r="D18792">
        <v>80.930000000000007</v>
      </c>
      <c r="E18792">
        <v>341</v>
      </c>
      <c r="F18792">
        <v>65</v>
      </c>
      <c r="G18792">
        <v>24</v>
      </c>
      <c r="H18792">
        <v>103</v>
      </c>
      <c r="I18792">
        <v>419</v>
      </c>
      <c r="J18792">
        <v>1</v>
      </c>
      <c r="K18792">
        <v>98</v>
      </c>
      <c r="L18792">
        <v>438</v>
      </c>
      <c r="M18792">
        <v>1</v>
      </c>
      <c r="N18792">
        <v>1.93552E-157</v>
      </c>
      <c r="O18792">
        <v>1426</v>
      </c>
    </row>
    <row r="18793" spans="1:15" x14ac:dyDescent="0.25">
      <c r="A18793" t="s">
        <v>18806</v>
      </c>
      <c r="B18793">
        <v>590</v>
      </c>
      <c r="C18793" s="1" t="str">
        <f>HYPERLINK("http://www.rosaceae.org/gb/gbrowse/malus_x_domestica/?name=MDP0000191848","MDP0000191848")</f>
        <v>MDP0000191848</v>
      </c>
      <c r="D18793">
        <v>65.42</v>
      </c>
      <c r="E18793">
        <v>535</v>
      </c>
      <c r="F18793">
        <v>185</v>
      </c>
      <c r="G18793">
        <v>12</v>
      </c>
      <c r="H18793">
        <v>49</v>
      </c>
      <c r="I18793">
        <v>574</v>
      </c>
      <c r="J18793">
        <v>1</v>
      </c>
      <c r="K18793">
        <v>61</v>
      </c>
      <c r="L18793">
        <v>592</v>
      </c>
      <c r="M18793">
        <v>1</v>
      </c>
      <c r="N18793">
        <v>0</v>
      </c>
      <c r="O18793">
        <v>1786</v>
      </c>
    </row>
    <row r="18794" spans="1:15" x14ac:dyDescent="0.25">
      <c r="A18794" t="s">
        <v>18807</v>
      </c>
      <c r="B18794">
        <v>265</v>
      </c>
      <c r="C18794" s="1" t="str">
        <f>HYPERLINK("http://www.rosaceae.org/gb/gbrowse/malus_x_domestica/?name=MDP0000284919","MDP0000284919")</f>
        <v>MDP0000284919</v>
      </c>
      <c r="D18794">
        <v>68.44</v>
      </c>
      <c r="E18794">
        <v>244</v>
      </c>
      <c r="F18794">
        <v>77</v>
      </c>
      <c r="G18794">
        <v>41</v>
      </c>
      <c r="H18794">
        <v>63</v>
      </c>
      <c r="I18794">
        <v>265</v>
      </c>
      <c r="J18794">
        <v>1</v>
      </c>
      <c r="K18794">
        <v>1</v>
      </c>
      <c r="L18794">
        <v>244</v>
      </c>
      <c r="M18794">
        <v>1</v>
      </c>
      <c r="N18794">
        <v>1.6664599999999999E-89</v>
      </c>
      <c r="O18794">
        <v>835</v>
      </c>
    </row>
    <row r="18795" spans="1:15" x14ac:dyDescent="0.25">
      <c r="A18795" t="s">
        <v>18808</v>
      </c>
      <c r="B18795">
        <v>151</v>
      </c>
      <c r="C18795" s="1" t="str">
        <f>HYPERLINK("http://www.rosaceae.org/gb/gbrowse/malus_x_domestica/?name=MDP0000912081","MDP0000912081")</f>
        <v>MDP0000912081</v>
      </c>
      <c r="D18795">
        <v>63</v>
      </c>
      <c r="E18795">
        <v>173</v>
      </c>
      <c r="F18795">
        <v>64</v>
      </c>
      <c r="G18795">
        <v>34</v>
      </c>
      <c r="H18795">
        <v>12</v>
      </c>
      <c r="I18795">
        <v>151</v>
      </c>
      <c r="J18795">
        <v>1</v>
      </c>
      <c r="K18795">
        <v>288</v>
      </c>
      <c r="L18795">
        <v>459</v>
      </c>
      <c r="M18795">
        <v>1</v>
      </c>
      <c r="N18795">
        <v>1.5987299999999999E-47</v>
      </c>
      <c r="O18795">
        <v>469</v>
      </c>
    </row>
    <row r="18796" spans="1:15" x14ac:dyDescent="0.25">
      <c r="A18796" t="s">
        <v>18809</v>
      </c>
      <c r="B18796">
        <v>392</v>
      </c>
      <c r="C18796" s="1" t="str">
        <f>HYPERLINK("http://www.rosaceae.org/gb/gbrowse/malus_x_domestica/?name=MDP0000217462","MDP0000217462")</f>
        <v>MDP0000217462</v>
      </c>
      <c r="D18796">
        <v>61.59</v>
      </c>
      <c r="E18796">
        <v>388</v>
      </c>
      <c r="F18796">
        <v>149</v>
      </c>
      <c r="G18796">
        <v>14</v>
      </c>
      <c r="H18796">
        <v>1</v>
      </c>
      <c r="I18796">
        <v>386</v>
      </c>
      <c r="J18796">
        <v>1</v>
      </c>
      <c r="K18796">
        <v>1</v>
      </c>
      <c r="L18796">
        <v>376</v>
      </c>
      <c r="M18796">
        <v>1</v>
      </c>
      <c r="N18796">
        <v>7.7302299999999998E-134</v>
      </c>
      <c r="O18796">
        <v>1220</v>
      </c>
    </row>
    <row r="18797" spans="1:15" x14ac:dyDescent="0.25">
      <c r="A18797" t="s">
        <v>18810</v>
      </c>
      <c r="B18797">
        <v>361</v>
      </c>
      <c r="C18797" s="1" t="str">
        <f>HYPERLINK("http://www.rosaceae.org/gb/gbrowse/malus_x_domestica/?name=MDP0000337873","MDP0000337873")</f>
        <v>MDP0000337873</v>
      </c>
      <c r="D18797">
        <v>44</v>
      </c>
      <c r="E18797">
        <v>350</v>
      </c>
      <c r="F18797">
        <v>196</v>
      </c>
      <c r="G18797">
        <v>28</v>
      </c>
      <c r="H18797">
        <v>8</v>
      </c>
      <c r="I18797">
        <v>335</v>
      </c>
      <c r="J18797">
        <v>1</v>
      </c>
      <c r="K18797">
        <v>12</v>
      </c>
      <c r="L18797">
        <v>355</v>
      </c>
      <c r="M18797">
        <v>1</v>
      </c>
      <c r="N18797">
        <v>1.7816399999999999E-82</v>
      </c>
      <c r="O18797">
        <v>776</v>
      </c>
    </row>
    <row r="18798" spans="1:15" x14ac:dyDescent="0.25">
      <c r="A18798" t="s">
        <v>18811</v>
      </c>
      <c r="B18798">
        <v>326</v>
      </c>
      <c r="C18798" s="1" t="str">
        <f>HYPERLINK("http://www.rosaceae.org/gb/gbrowse/malus_x_domestica/?name=MDP0000163276","MDP0000163276")</f>
        <v>MDP0000163276</v>
      </c>
      <c r="D18798">
        <v>89.55</v>
      </c>
      <c r="E18798">
        <v>316</v>
      </c>
      <c r="F18798">
        <v>33</v>
      </c>
      <c r="G18798">
        <v>0</v>
      </c>
      <c r="H18798">
        <v>1</v>
      </c>
      <c r="I18798">
        <v>316</v>
      </c>
      <c r="J18798">
        <v>1</v>
      </c>
      <c r="K18798">
        <v>1</v>
      </c>
      <c r="L18798">
        <v>316</v>
      </c>
      <c r="M18798">
        <v>1</v>
      </c>
      <c r="N18798">
        <v>7.8877899999999997E-170</v>
      </c>
      <c r="O18798">
        <v>1529</v>
      </c>
    </row>
    <row r="18799" spans="1:15" x14ac:dyDescent="0.25">
      <c r="A18799" t="s">
        <v>18812</v>
      </c>
      <c r="B18799">
        <v>237</v>
      </c>
      <c r="C18799" s="1" t="str">
        <f>HYPERLINK("http://www.rosaceae.org/gb/gbrowse/malus_x_domestica/?name=MDP0000248806","MDP0000248806")</f>
        <v>MDP0000248806</v>
      </c>
      <c r="D18799">
        <v>54.97</v>
      </c>
      <c r="E18799">
        <v>231</v>
      </c>
      <c r="F18799">
        <v>104</v>
      </c>
      <c r="G18799">
        <v>23</v>
      </c>
      <c r="H18799">
        <v>30</v>
      </c>
      <c r="I18799">
        <v>237</v>
      </c>
      <c r="J18799">
        <v>1</v>
      </c>
      <c r="K18799">
        <v>215</v>
      </c>
      <c r="L18799">
        <v>445</v>
      </c>
      <c r="M18799">
        <v>1</v>
      </c>
      <c r="N18799">
        <v>1.2966299999999999E-64</v>
      </c>
      <c r="O18799">
        <v>620</v>
      </c>
    </row>
    <row r="18800" spans="1:15" x14ac:dyDescent="0.25">
      <c r="A18800" t="s">
        <v>18813</v>
      </c>
      <c r="B18800">
        <v>787</v>
      </c>
      <c r="C18800" s="1" t="str">
        <f>HYPERLINK("http://www.rosaceae.org/gb/gbrowse/malus_x_domestica/?name=MDP0000154190","MDP0000154190")</f>
        <v>MDP0000154190</v>
      </c>
      <c r="D18800">
        <v>74.099999999999994</v>
      </c>
      <c r="E18800">
        <v>336</v>
      </c>
      <c r="F18800">
        <v>87</v>
      </c>
      <c r="G18800">
        <v>5</v>
      </c>
      <c r="H18800">
        <v>27</v>
      </c>
      <c r="I18800">
        <v>362</v>
      </c>
      <c r="J18800">
        <v>1</v>
      </c>
      <c r="K18800">
        <v>26</v>
      </c>
      <c r="L18800">
        <v>356</v>
      </c>
      <c r="M18800">
        <v>1</v>
      </c>
      <c r="N18800">
        <v>1.4037900000000001E-146</v>
      </c>
      <c r="O18800">
        <v>1333</v>
      </c>
    </row>
    <row r="18801" spans="1:15" x14ac:dyDescent="0.25">
      <c r="A18801" t="s">
        <v>18814</v>
      </c>
      <c r="B18801">
        <v>431</v>
      </c>
      <c r="C18801" s="1" t="str">
        <f>HYPERLINK("http://www.rosaceae.org/gb/gbrowse/malus_x_domestica/?name=MDP0000808501","MDP0000808501")</f>
        <v>MDP0000808501</v>
      </c>
      <c r="D18801">
        <v>38.03</v>
      </c>
      <c r="E18801">
        <v>418</v>
      </c>
      <c r="F18801">
        <v>259</v>
      </c>
      <c r="G18801">
        <v>46</v>
      </c>
      <c r="H18801">
        <v>24</v>
      </c>
      <c r="I18801">
        <v>426</v>
      </c>
      <c r="J18801">
        <v>1</v>
      </c>
      <c r="K18801">
        <v>11</v>
      </c>
      <c r="L18801">
        <v>397</v>
      </c>
      <c r="M18801">
        <v>1</v>
      </c>
      <c r="N18801">
        <v>1.57324E-55</v>
      </c>
      <c r="O18801">
        <v>545</v>
      </c>
    </row>
    <row r="18802" spans="1:15" x14ac:dyDescent="0.25">
      <c r="A18802" t="s">
        <v>18815</v>
      </c>
      <c r="B18802">
        <v>590</v>
      </c>
      <c r="C18802" s="1" t="str">
        <f>HYPERLINK("http://www.rosaceae.org/gb/gbrowse/malus_x_domestica/?name=MDP0000249752","MDP0000249752")</f>
        <v>MDP0000249752</v>
      </c>
      <c r="D18802">
        <v>55.31</v>
      </c>
      <c r="E18802">
        <v>282</v>
      </c>
      <c r="F18802">
        <v>126</v>
      </c>
      <c r="G18802">
        <v>8</v>
      </c>
      <c r="H18802">
        <v>309</v>
      </c>
      <c r="I18802">
        <v>589</v>
      </c>
      <c r="J18802">
        <v>1</v>
      </c>
      <c r="K18802">
        <v>65</v>
      </c>
      <c r="L18802">
        <v>339</v>
      </c>
      <c r="M18802">
        <v>1</v>
      </c>
      <c r="N18802">
        <v>2.4786800000000001E-88</v>
      </c>
      <c r="O18802">
        <v>829</v>
      </c>
    </row>
    <row r="18803" spans="1:15" x14ac:dyDescent="0.25">
      <c r="A18803" t="s">
        <v>18816</v>
      </c>
      <c r="B18803">
        <v>1113</v>
      </c>
      <c r="C18803" s="1" t="str">
        <f>HYPERLINK("http://www.rosaceae.org/gb/gbrowse/malus_x_domestica/?name=MDP0000291322","MDP0000291322")</f>
        <v>MDP0000291322</v>
      </c>
      <c r="D18803">
        <v>78.569999999999993</v>
      </c>
      <c r="E18803">
        <v>672</v>
      </c>
      <c r="F18803">
        <v>144</v>
      </c>
      <c r="G18803">
        <v>35</v>
      </c>
      <c r="H18803">
        <v>473</v>
      </c>
      <c r="I18803">
        <v>1113</v>
      </c>
      <c r="J18803">
        <v>1</v>
      </c>
      <c r="K18803">
        <v>523</v>
      </c>
      <c r="L18803">
        <v>1190</v>
      </c>
      <c r="M18803">
        <v>1</v>
      </c>
      <c r="N18803">
        <v>0</v>
      </c>
      <c r="O18803">
        <v>2824</v>
      </c>
    </row>
    <row r="18804" spans="1:15" x14ac:dyDescent="0.25">
      <c r="A18804" t="s">
        <v>18817</v>
      </c>
      <c r="B18804">
        <v>1203</v>
      </c>
      <c r="C18804" s="1" t="str">
        <f>HYPERLINK("http://www.rosaceae.org/gb/gbrowse/malus_x_domestica/?name=MDP0000233935","MDP0000233935")</f>
        <v>MDP0000233935</v>
      </c>
      <c r="D18804">
        <v>73.19</v>
      </c>
      <c r="E18804">
        <v>1231</v>
      </c>
      <c r="F18804">
        <v>330</v>
      </c>
      <c r="G18804">
        <v>47</v>
      </c>
      <c r="H18804">
        <v>1</v>
      </c>
      <c r="I18804">
        <v>1191</v>
      </c>
      <c r="J18804">
        <v>1</v>
      </c>
      <c r="K18804">
        <v>1</v>
      </c>
      <c r="L18804">
        <v>1224</v>
      </c>
      <c r="M18804">
        <v>1</v>
      </c>
      <c r="N18804">
        <v>0</v>
      </c>
      <c r="O18804">
        <v>4722</v>
      </c>
    </row>
    <row r="18805" spans="1:15" x14ac:dyDescent="0.25">
      <c r="A18805" t="s">
        <v>18818</v>
      </c>
      <c r="B18805">
        <v>402</v>
      </c>
      <c r="C18805" s="1" t="str">
        <f>HYPERLINK("http://www.rosaceae.org/gb/gbrowse/malus_x_domestica/?name=MDP0000232074","MDP0000232074")</f>
        <v>MDP0000232074</v>
      </c>
      <c r="D18805">
        <v>73.36</v>
      </c>
      <c r="E18805">
        <v>398</v>
      </c>
      <c r="F18805">
        <v>106</v>
      </c>
      <c r="G18805">
        <v>47</v>
      </c>
      <c r="H18805">
        <v>12</v>
      </c>
      <c r="I18805">
        <v>377</v>
      </c>
      <c r="J18805">
        <v>1</v>
      </c>
      <c r="K18805">
        <v>42</v>
      </c>
      <c r="L18805">
        <v>424</v>
      </c>
      <c r="M18805">
        <v>1</v>
      </c>
      <c r="N18805">
        <v>1.1282200000000001E-160</v>
      </c>
      <c r="O18805">
        <v>1451</v>
      </c>
    </row>
    <row r="18806" spans="1:15" x14ac:dyDescent="0.25">
      <c r="A18806" t="s">
        <v>18819</v>
      </c>
      <c r="B18806">
        <v>1112</v>
      </c>
      <c r="C18806" s="1" t="str">
        <f>HYPERLINK("http://www.rosaceae.org/gb/gbrowse/malus_x_domestica/?name=MDP0000215984","MDP0000215984")</f>
        <v>MDP0000215984</v>
      </c>
      <c r="D18806">
        <v>45.41</v>
      </c>
      <c r="E18806">
        <v>207</v>
      </c>
      <c r="F18806">
        <v>113</v>
      </c>
      <c r="G18806">
        <v>49</v>
      </c>
      <c r="H18806">
        <v>279</v>
      </c>
      <c r="I18806">
        <v>483</v>
      </c>
      <c r="J18806">
        <v>1</v>
      </c>
      <c r="K18806">
        <v>42</v>
      </c>
      <c r="L18806">
        <v>201</v>
      </c>
      <c r="M18806">
        <v>1</v>
      </c>
      <c r="N18806">
        <v>1.3599500000000001E-34</v>
      </c>
      <c r="O18806">
        <v>368</v>
      </c>
    </row>
    <row r="18807" spans="1:15" x14ac:dyDescent="0.25">
      <c r="A18807" t="s">
        <v>18820</v>
      </c>
      <c r="B18807">
        <v>193</v>
      </c>
      <c r="C18807" s="1" t="str">
        <f>HYPERLINK("http://www.rosaceae.org/gb/gbrowse/malus_x_domestica/?name=MDP0000287424","MDP0000287424")</f>
        <v>MDP0000287424</v>
      </c>
      <c r="D18807">
        <v>98.36</v>
      </c>
      <c r="E18807">
        <v>122</v>
      </c>
      <c r="F18807">
        <v>2</v>
      </c>
      <c r="G18807">
        <v>0</v>
      </c>
      <c r="H18807">
        <v>1</v>
      </c>
      <c r="I18807">
        <v>122</v>
      </c>
      <c r="J18807">
        <v>1</v>
      </c>
      <c r="K18807">
        <v>1</v>
      </c>
      <c r="L18807">
        <v>122</v>
      </c>
      <c r="M18807">
        <v>1</v>
      </c>
      <c r="N18807">
        <v>1.6779E-67</v>
      </c>
      <c r="O18807">
        <v>643</v>
      </c>
    </row>
    <row r="18808" spans="1:15" x14ac:dyDescent="0.25">
      <c r="A18808" t="s">
        <v>18821</v>
      </c>
      <c r="B18808">
        <v>911</v>
      </c>
      <c r="C18808" s="1" t="str">
        <f>HYPERLINK("http://www.rosaceae.org/gb/gbrowse/malus_x_domestica/?name=MDP0000320600","MDP0000320600")</f>
        <v>MDP0000320600</v>
      </c>
      <c r="D18808">
        <v>61.23</v>
      </c>
      <c r="E18808">
        <v>552</v>
      </c>
      <c r="F18808">
        <v>214</v>
      </c>
      <c r="G18808">
        <v>15</v>
      </c>
      <c r="H18808">
        <v>59</v>
      </c>
      <c r="I18808">
        <v>595</v>
      </c>
      <c r="J18808">
        <v>1</v>
      </c>
      <c r="K18808">
        <v>2</v>
      </c>
      <c r="L18808">
        <v>553</v>
      </c>
      <c r="M18808">
        <v>1</v>
      </c>
      <c r="N18808">
        <v>0</v>
      </c>
      <c r="O18808">
        <v>1724</v>
      </c>
    </row>
    <row r="18809" spans="1:15" x14ac:dyDescent="0.25">
      <c r="A18809" t="s">
        <v>18822</v>
      </c>
      <c r="B18809">
        <v>445</v>
      </c>
      <c r="C18809" s="1" t="str">
        <f>HYPERLINK("http://www.rosaceae.org/gb/gbrowse/malus_x_domestica/?name=MDP0000176613","MDP0000176613")</f>
        <v>MDP0000176613</v>
      </c>
      <c r="D18809">
        <v>56.39</v>
      </c>
      <c r="E18809">
        <v>172</v>
      </c>
      <c r="F18809">
        <v>75</v>
      </c>
      <c r="G18809">
        <v>45</v>
      </c>
      <c r="H18809">
        <v>290</v>
      </c>
      <c r="I18809">
        <v>419</v>
      </c>
      <c r="J18809">
        <v>1</v>
      </c>
      <c r="K18809">
        <v>41</v>
      </c>
      <c r="L18809">
        <v>209</v>
      </c>
      <c r="M18809">
        <v>1</v>
      </c>
      <c r="N18809">
        <v>6.2229000000000001E-39</v>
      </c>
      <c r="O18809">
        <v>402</v>
      </c>
    </row>
    <row r="18810" spans="1:15" x14ac:dyDescent="0.25">
      <c r="A18810" t="s">
        <v>18823</v>
      </c>
      <c r="B18810">
        <v>377</v>
      </c>
      <c r="C18810" s="1" t="str">
        <f>HYPERLINK("http://www.rosaceae.org/gb/gbrowse/malus_x_domestica/?name=MDP0000295593","MDP0000295593")</f>
        <v>MDP0000295593</v>
      </c>
      <c r="D18810">
        <v>45.93</v>
      </c>
      <c r="E18810">
        <v>344</v>
      </c>
      <c r="F18810">
        <v>186</v>
      </c>
      <c r="G18810">
        <v>50</v>
      </c>
      <c r="H18810">
        <v>1</v>
      </c>
      <c r="I18810">
        <v>342</v>
      </c>
      <c r="J18810">
        <v>1</v>
      </c>
      <c r="K18810">
        <v>1</v>
      </c>
      <c r="L18810">
        <v>296</v>
      </c>
      <c r="M18810">
        <v>1</v>
      </c>
      <c r="N18810">
        <v>3.0145200000000001E-60</v>
      </c>
      <c r="O18810">
        <v>585</v>
      </c>
    </row>
    <row r="18811" spans="1:15" x14ac:dyDescent="0.25">
      <c r="A18811" t="s">
        <v>18824</v>
      </c>
      <c r="B18811">
        <v>1535</v>
      </c>
      <c r="C18811" s="1" t="str">
        <f>HYPERLINK("http://www.rosaceae.org/gb/gbrowse/malus_x_domestica/?name=MDP0000413200","MDP0000413200")</f>
        <v>MDP0000413200</v>
      </c>
      <c r="D18811">
        <v>63.2</v>
      </c>
      <c r="E18811">
        <v>1533</v>
      </c>
      <c r="F18811">
        <v>564</v>
      </c>
      <c r="G18811">
        <v>62</v>
      </c>
      <c r="H18811">
        <v>54</v>
      </c>
      <c r="I18811">
        <v>1531</v>
      </c>
      <c r="J18811">
        <v>1</v>
      </c>
      <c r="K18811">
        <v>36</v>
      </c>
      <c r="L18811">
        <v>1561</v>
      </c>
      <c r="M18811">
        <v>1</v>
      </c>
      <c r="N18811">
        <v>0</v>
      </c>
      <c r="O18811">
        <v>4747</v>
      </c>
    </row>
    <row r="18812" spans="1:15" x14ac:dyDescent="0.25">
      <c r="A18812" t="s">
        <v>18825</v>
      </c>
      <c r="B18812">
        <v>290</v>
      </c>
      <c r="C18812" s="1" t="str">
        <f>HYPERLINK("http://www.rosaceae.org/gb/gbrowse/malus_x_domestica/?name=MDP0000226218","MDP0000226218")</f>
        <v>MDP0000226218</v>
      </c>
      <c r="D18812">
        <v>85.51</v>
      </c>
      <c r="E18812">
        <v>290</v>
      </c>
      <c r="F18812">
        <v>42</v>
      </c>
      <c r="G18812">
        <v>0</v>
      </c>
      <c r="H18812">
        <v>1</v>
      </c>
      <c r="I18812">
        <v>290</v>
      </c>
      <c r="J18812">
        <v>1</v>
      </c>
      <c r="K18812">
        <v>47</v>
      </c>
      <c r="L18812">
        <v>336</v>
      </c>
      <c r="M18812">
        <v>1</v>
      </c>
      <c r="N18812">
        <v>1.7708400000000001E-139</v>
      </c>
      <c r="O18812">
        <v>1267</v>
      </c>
    </row>
    <row r="18813" spans="1:15" x14ac:dyDescent="0.25">
      <c r="A18813" t="s">
        <v>18826</v>
      </c>
      <c r="B18813">
        <v>657</v>
      </c>
      <c r="C18813" s="1" t="str">
        <f>HYPERLINK("http://www.rosaceae.org/gb/gbrowse/malus_x_domestica/?name=MDP0000186402","MDP0000186402")</f>
        <v>MDP0000186402</v>
      </c>
      <c r="D18813">
        <v>38.68</v>
      </c>
      <c r="E18813">
        <v>137</v>
      </c>
      <c r="F18813">
        <v>84</v>
      </c>
      <c r="G18813">
        <v>7</v>
      </c>
      <c r="H18813">
        <v>405</v>
      </c>
      <c r="I18813">
        <v>541</v>
      </c>
      <c r="J18813">
        <v>1</v>
      </c>
      <c r="K18813">
        <v>395</v>
      </c>
      <c r="L18813">
        <v>524</v>
      </c>
      <c r="M18813">
        <v>1</v>
      </c>
      <c r="N18813">
        <v>1.42139E-19</v>
      </c>
      <c r="O18813">
        <v>236</v>
      </c>
    </row>
    <row r="18814" spans="1:15" x14ac:dyDescent="0.25">
      <c r="A18814" t="s">
        <v>18827</v>
      </c>
      <c r="B18814">
        <v>112</v>
      </c>
      <c r="C18814" s="1" t="str">
        <f>HYPERLINK("http://www.rosaceae.org/gb/gbrowse/malus_x_domestica/?name=MDP0000323702","MDP0000323702")</f>
        <v>MDP0000323702</v>
      </c>
      <c r="D18814">
        <v>87.8</v>
      </c>
      <c r="E18814">
        <v>82</v>
      </c>
      <c r="F18814">
        <v>10</v>
      </c>
      <c r="G18814">
        <v>0</v>
      </c>
      <c r="H18814">
        <v>1</v>
      </c>
      <c r="I18814">
        <v>82</v>
      </c>
      <c r="J18814">
        <v>1</v>
      </c>
      <c r="K18814">
        <v>9</v>
      </c>
      <c r="L18814">
        <v>90</v>
      </c>
      <c r="M18814">
        <v>1</v>
      </c>
      <c r="N18814">
        <v>1.93697E-38</v>
      </c>
      <c r="O18814">
        <v>389</v>
      </c>
    </row>
    <row r="18815" spans="1:15" x14ac:dyDescent="0.25">
      <c r="A18815" t="s">
        <v>18828</v>
      </c>
      <c r="B18815">
        <v>1128</v>
      </c>
      <c r="C18815" s="1" t="str">
        <f>HYPERLINK("http://www.rosaceae.org/gb/gbrowse/malus_x_domestica/?name=MDP0000242048","MDP0000242048")</f>
        <v>MDP0000242048</v>
      </c>
      <c r="D18815">
        <v>80.569999999999993</v>
      </c>
      <c r="E18815">
        <v>1004</v>
      </c>
      <c r="F18815">
        <v>195</v>
      </c>
      <c r="G18815">
        <v>47</v>
      </c>
      <c r="H18815">
        <v>150</v>
      </c>
      <c r="I18815">
        <v>1128</v>
      </c>
      <c r="J18815">
        <v>1</v>
      </c>
      <c r="K18815">
        <v>90</v>
      </c>
      <c r="L18815">
        <v>1071</v>
      </c>
      <c r="M18815">
        <v>1</v>
      </c>
      <c r="N18815">
        <v>0</v>
      </c>
      <c r="O18815">
        <v>4309</v>
      </c>
    </row>
    <row r="18816" spans="1:15" x14ac:dyDescent="0.25">
      <c r="A18816" t="s">
        <v>18829</v>
      </c>
      <c r="B18816">
        <v>118</v>
      </c>
      <c r="C18816" s="1" t="str">
        <f>HYPERLINK("http://www.rosaceae.org/gb/gbrowse/malus_x_domestica/?name=MDP0000241201","MDP0000241201")</f>
        <v>MDP0000241201</v>
      </c>
      <c r="D18816">
        <v>59.01</v>
      </c>
      <c r="E18816">
        <v>61</v>
      </c>
      <c r="F18816">
        <v>25</v>
      </c>
      <c r="G18816">
        <v>0</v>
      </c>
      <c r="H18816">
        <v>14</v>
      </c>
      <c r="I18816">
        <v>74</v>
      </c>
      <c r="J18816">
        <v>1</v>
      </c>
      <c r="K18816">
        <v>12</v>
      </c>
      <c r="L18816">
        <v>72</v>
      </c>
      <c r="M18816">
        <v>1</v>
      </c>
      <c r="N18816">
        <v>1.53878E-12</v>
      </c>
      <c r="O18816">
        <v>166</v>
      </c>
    </row>
    <row r="18817" spans="1:15" x14ac:dyDescent="0.25">
      <c r="A18817" t="s">
        <v>18830</v>
      </c>
      <c r="B18817">
        <v>133</v>
      </c>
      <c r="C18817" s="1" t="str">
        <f>HYPERLINK("http://www.rosaceae.org/gb/gbrowse/malus_x_domestica/?name=MDP0000499186","MDP0000499186")</f>
        <v>MDP0000499186</v>
      </c>
      <c r="D18817">
        <v>65.819999999999993</v>
      </c>
      <c r="E18817">
        <v>79</v>
      </c>
      <c r="F18817">
        <v>27</v>
      </c>
      <c r="G18817">
        <v>6</v>
      </c>
      <c r="H18817">
        <v>7</v>
      </c>
      <c r="I18817">
        <v>79</v>
      </c>
      <c r="J18817">
        <v>1</v>
      </c>
      <c r="K18817">
        <v>292</v>
      </c>
      <c r="L18817">
        <v>370</v>
      </c>
      <c r="M18817">
        <v>1</v>
      </c>
      <c r="N18817">
        <v>3.72071E-22</v>
      </c>
      <c r="O18817">
        <v>249</v>
      </c>
    </row>
    <row r="18818" spans="1:15" x14ac:dyDescent="0.25">
      <c r="A18818" t="s">
        <v>18831</v>
      </c>
      <c r="B18818">
        <v>287</v>
      </c>
      <c r="C18818" s="1" t="str">
        <f>HYPERLINK("http://www.rosaceae.org/gb/gbrowse/malus_x_domestica/?name=MDP0000151190","MDP0000151190")</f>
        <v>MDP0000151190</v>
      </c>
      <c r="D18818">
        <v>67.2</v>
      </c>
      <c r="E18818">
        <v>311</v>
      </c>
      <c r="F18818">
        <v>102</v>
      </c>
      <c r="G18818">
        <v>24</v>
      </c>
      <c r="H18818">
        <v>1</v>
      </c>
      <c r="I18818">
        <v>287</v>
      </c>
      <c r="J18818">
        <v>1</v>
      </c>
      <c r="K18818">
        <v>1</v>
      </c>
      <c r="L18818">
        <v>311</v>
      </c>
      <c r="M18818">
        <v>1</v>
      </c>
      <c r="N18818">
        <v>3.3731999999999999E-108</v>
      </c>
      <c r="O18818">
        <v>997</v>
      </c>
    </row>
    <row r="18819" spans="1:15" x14ac:dyDescent="0.25">
      <c r="A18819" t="s">
        <v>18832</v>
      </c>
      <c r="B18819">
        <v>546</v>
      </c>
      <c r="C18819" s="1" t="str">
        <f>HYPERLINK("http://www.rosaceae.org/gb/gbrowse/malus_x_domestica/?name=MDP0000157943","MDP0000157943")</f>
        <v>MDP0000157943</v>
      </c>
      <c r="D18819">
        <v>53.66</v>
      </c>
      <c r="E18819">
        <v>505</v>
      </c>
      <c r="F18819">
        <v>234</v>
      </c>
      <c r="G18819">
        <v>13</v>
      </c>
      <c r="H18819">
        <v>29</v>
      </c>
      <c r="I18819">
        <v>524</v>
      </c>
      <c r="J18819">
        <v>1</v>
      </c>
      <c r="K18819">
        <v>23</v>
      </c>
      <c r="L18819">
        <v>523</v>
      </c>
      <c r="M18819">
        <v>1</v>
      </c>
      <c r="N18819">
        <v>8.2256000000000004E-159</v>
      </c>
      <c r="O18819">
        <v>1436</v>
      </c>
    </row>
    <row r="18820" spans="1:15" x14ac:dyDescent="0.25">
      <c r="A18820" t="s">
        <v>18833</v>
      </c>
      <c r="B18820">
        <v>756</v>
      </c>
      <c r="C18820" s="1" t="str">
        <f>HYPERLINK("http://www.rosaceae.org/gb/gbrowse/malus_x_domestica/?name=MDP0000163798","MDP0000163798")</f>
        <v>MDP0000163798</v>
      </c>
      <c r="D18820">
        <v>70.78</v>
      </c>
      <c r="E18820">
        <v>671</v>
      </c>
      <c r="F18820">
        <v>196</v>
      </c>
      <c r="G18820">
        <v>3</v>
      </c>
      <c r="H18820">
        <v>27</v>
      </c>
      <c r="I18820">
        <v>696</v>
      </c>
      <c r="J18820">
        <v>1</v>
      </c>
      <c r="K18820">
        <v>25</v>
      </c>
      <c r="L18820">
        <v>693</v>
      </c>
      <c r="M18820">
        <v>1</v>
      </c>
      <c r="N18820">
        <v>0</v>
      </c>
      <c r="O18820">
        <v>2506</v>
      </c>
    </row>
    <row r="18821" spans="1:15" x14ac:dyDescent="0.25">
      <c r="A18821" t="s">
        <v>18834</v>
      </c>
      <c r="B18821">
        <v>561</v>
      </c>
      <c r="C18821" s="1" t="str">
        <f>HYPERLINK("http://www.rosaceae.org/gb/gbrowse/malus_x_domestica/?name=MDP0000936164","MDP0000936164")</f>
        <v>MDP0000936164</v>
      </c>
      <c r="D18821">
        <v>51.01</v>
      </c>
      <c r="E18821">
        <v>541</v>
      </c>
      <c r="F18821">
        <v>265</v>
      </c>
      <c r="G18821">
        <v>53</v>
      </c>
      <c r="H18821">
        <v>41</v>
      </c>
      <c r="I18821">
        <v>559</v>
      </c>
      <c r="J18821">
        <v>1</v>
      </c>
      <c r="K18821">
        <v>12</v>
      </c>
      <c r="L18821">
        <v>521</v>
      </c>
      <c r="M18821">
        <v>1</v>
      </c>
      <c r="N18821">
        <v>1.9530399999999999E-120</v>
      </c>
      <c r="O18821">
        <v>1106</v>
      </c>
    </row>
    <row r="18822" spans="1:15" x14ac:dyDescent="0.25">
      <c r="A18822" t="s">
        <v>18835</v>
      </c>
      <c r="B18822">
        <v>59</v>
      </c>
      <c r="C18822" s="1" t="str">
        <f>HYPERLINK("http://www.rosaceae.org/gb/gbrowse/malus_x_domestica/?name=MDP0000306680","MDP0000306680")</f>
        <v>MDP0000306680</v>
      </c>
      <c r="D18822">
        <v>60.6</v>
      </c>
      <c r="E18822">
        <v>66</v>
      </c>
      <c r="F18822">
        <v>26</v>
      </c>
      <c r="G18822">
        <v>9</v>
      </c>
      <c r="H18822">
        <v>1</v>
      </c>
      <c r="I18822">
        <v>58</v>
      </c>
      <c r="J18822">
        <v>1</v>
      </c>
      <c r="K18822">
        <v>1</v>
      </c>
      <c r="L18822">
        <v>65</v>
      </c>
      <c r="M18822">
        <v>1</v>
      </c>
      <c r="N18822">
        <v>1.8066499999999999E-15</v>
      </c>
      <c r="O18822">
        <v>191</v>
      </c>
    </row>
    <row r="18823" spans="1:15" x14ac:dyDescent="0.25">
      <c r="A18823" t="s">
        <v>18836</v>
      </c>
      <c r="B18823">
        <v>800</v>
      </c>
      <c r="C18823" s="1" t="str">
        <f>HYPERLINK("http://www.rosaceae.org/gb/gbrowse/malus_x_domestica/?name=MDP0000585849","MDP0000585849")</f>
        <v>MDP0000585849</v>
      </c>
      <c r="D18823">
        <v>71.17</v>
      </c>
      <c r="E18823">
        <v>444</v>
      </c>
      <c r="F18823">
        <v>128</v>
      </c>
      <c r="G18823">
        <v>10</v>
      </c>
      <c r="H18823">
        <v>366</v>
      </c>
      <c r="I18823">
        <v>800</v>
      </c>
      <c r="J18823">
        <v>1</v>
      </c>
      <c r="K18823">
        <v>1</v>
      </c>
      <c r="L18823">
        <v>443</v>
      </c>
      <c r="M18823">
        <v>1</v>
      </c>
      <c r="N18823">
        <v>0</v>
      </c>
      <c r="O18823">
        <v>1659</v>
      </c>
    </row>
    <row r="18824" spans="1:15" x14ac:dyDescent="0.25">
      <c r="A18824" t="s">
        <v>18837</v>
      </c>
      <c r="B18824">
        <v>170</v>
      </c>
      <c r="C18824" s="1" t="str">
        <f>HYPERLINK("http://www.rosaceae.org/gb/gbrowse/malus_x_domestica/?name=MDP0000278481","MDP0000278481")</f>
        <v>MDP0000278481</v>
      </c>
      <c r="D18824">
        <v>72.22</v>
      </c>
      <c r="E18824">
        <v>108</v>
      </c>
      <c r="F18824">
        <v>30</v>
      </c>
      <c r="G18824">
        <v>10</v>
      </c>
      <c r="H18824">
        <v>1</v>
      </c>
      <c r="I18824">
        <v>105</v>
      </c>
      <c r="J18824">
        <v>1</v>
      </c>
      <c r="K18824">
        <v>78</v>
      </c>
      <c r="L18824">
        <v>178</v>
      </c>
      <c r="M18824">
        <v>1</v>
      </c>
      <c r="N18824">
        <v>9.1968599999999996E-39</v>
      </c>
      <c r="O18824">
        <v>395</v>
      </c>
    </row>
    <row r="18825" spans="1:15" x14ac:dyDescent="0.25">
      <c r="A18825" t="s">
        <v>18838</v>
      </c>
      <c r="B18825">
        <v>121</v>
      </c>
      <c r="C18825" s="1" t="str">
        <f>HYPERLINK("http://www.rosaceae.org/gb/gbrowse/malus_x_domestica/?name=MDP0000696312","MDP0000696312")</f>
        <v>MDP0000696312</v>
      </c>
      <c r="D18825">
        <v>84.34</v>
      </c>
      <c r="E18825">
        <v>115</v>
      </c>
      <c r="F18825">
        <v>18</v>
      </c>
      <c r="G18825">
        <v>0</v>
      </c>
      <c r="H18825">
        <v>1</v>
      </c>
      <c r="I18825">
        <v>115</v>
      </c>
      <c r="J18825">
        <v>1</v>
      </c>
      <c r="K18825">
        <v>290</v>
      </c>
      <c r="L18825">
        <v>404</v>
      </c>
      <c r="M18825">
        <v>1</v>
      </c>
      <c r="N18825">
        <v>3.8954599999999999E-56</v>
      </c>
      <c r="O18825">
        <v>542</v>
      </c>
    </row>
    <row r="18826" spans="1:15" x14ac:dyDescent="0.25">
      <c r="A18826" t="s">
        <v>18839</v>
      </c>
      <c r="B18826">
        <v>167</v>
      </c>
      <c r="C18826" s="1" t="str">
        <f>HYPERLINK("http://www.rosaceae.org/gb/gbrowse/malus_x_domestica/?name=MDP0000264125","MDP0000264125")</f>
        <v>MDP0000264125</v>
      </c>
      <c r="D18826">
        <v>40.93</v>
      </c>
      <c r="E18826">
        <v>149</v>
      </c>
      <c r="F18826">
        <v>88</v>
      </c>
      <c r="G18826">
        <v>5</v>
      </c>
      <c r="H18826">
        <v>1</v>
      </c>
      <c r="I18826">
        <v>148</v>
      </c>
      <c r="J18826">
        <v>1</v>
      </c>
      <c r="K18826">
        <v>1</v>
      </c>
      <c r="L18826">
        <v>145</v>
      </c>
      <c r="M18826">
        <v>1</v>
      </c>
      <c r="N18826">
        <v>8.4419500000000004E-19</v>
      </c>
      <c r="O18826">
        <v>222</v>
      </c>
    </row>
    <row r="18827" spans="1:15" x14ac:dyDescent="0.25">
      <c r="A18827" t="s">
        <v>18840</v>
      </c>
      <c r="B18827">
        <v>240</v>
      </c>
      <c r="C18827" s="1" t="str">
        <f>HYPERLINK("http://www.rosaceae.org/gb/gbrowse/malus_x_domestica/?name=MDP0000126821","MDP0000126821")</f>
        <v>MDP0000126821</v>
      </c>
      <c r="D18827">
        <v>74.069999999999993</v>
      </c>
      <c r="E18827">
        <v>135</v>
      </c>
      <c r="F18827">
        <v>35</v>
      </c>
      <c r="G18827">
        <v>3</v>
      </c>
      <c r="H18827">
        <v>23</v>
      </c>
      <c r="I18827">
        <v>154</v>
      </c>
      <c r="J18827">
        <v>1</v>
      </c>
      <c r="K18827">
        <v>25</v>
      </c>
      <c r="L18827">
        <v>159</v>
      </c>
      <c r="M18827">
        <v>1</v>
      </c>
      <c r="N18827">
        <v>9.2798099999999994E-56</v>
      </c>
      <c r="O18827">
        <v>544</v>
      </c>
    </row>
    <row r="18828" spans="1:15" x14ac:dyDescent="0.25">
      <c r="A18828" t="s">
        <v>18841</v>
      </c>
      <c r="B18828">
        <v>128</v>
      </c>
      <c r="C18828" s="1" t="str">
        <f>HYPERLINK("http://www.rosaceae.org/gb/gbrowse/malus_x_domestica/?name=MDP0000263930","MDP0000263930")</f>
        <v>MDP0000263930</v>
      </c>
      <c r="D18828">
        <v>33.049999999999997</v>
      </c>
      <c r="E18828">
        <v>118</v>
      </c>
      <c r="F18828">
        <v>79</v>
      </c>
      <c r="G18828">
        <v>20</v>
      </c>
      <c r="H18828">
        <v>2</v>
      </c>
      <c r="I18828">
        <v>102</v>
      </c>
      <c r="J18828">
        <v>1</v>
      </c>
      <c r="K18828">
        <v>69</v>
      </c>
      <c r="L18828">
        <v>183</v>
      </c>
      <c r="M18828">
        <v>1</v>
      </c>
      <c r="N18828">
        <v>1.7074200000000001E-7</v>
      </c>
      <c r="O18828">
        <v>122</v>
      </c>
    </row>
    <row r="18829" spans="1:15" x14ac:dyDescent="0.25">
      <c r="A18829" t="s">
        <v>18842</v>
      </c>
      <c r="B18829">
        <v>161</v>
      </c>
      <c r="C18829" s="1" t="str">
        <f>HYPERLINK("http://www.rosaceae.org/gb/gbrowse/malus_x_domestica/?name=MDP0000128950","MDP0000128950")</f>
        <v>MDP0000128950</v>
      </c>
      <c r="D18829">
        <v>37.659999999999997</v>
      </c>
      <c r="E18829">
        <v>154</v>
      </c>
      <c r="F18829">
        <v>96</v>
      </c>
      <c r="G18829">
        <v>25</v>
      </c>
      <c r="H18829">
        <v>7</v>
      </c>
      <c r="I18829">
        <v>156</v>
      </c>
      <c r="J18829">
        <v>1</v>
      </c>
      <c r="K18829">
        <v>191</v>
      </c>
      <c r="L18829">
        <v>323</v>
      </c>
      <c r="M18829">
        <v>1</v>
      </c>
      <c r="N18829">
        <v>1.13727E-17</v>
      </c>
      <c r="O18829">
        <v>212</v>
      </c>
    </row>
    <row r="18830" spans="1:15" x14ac:dyDescent="0.25">
      <c r="A18830" t="s">
        <v>18843</v>
      </c>
      <c r="B18830">
        <v>256</v>
      </c>
      <c r="C18830" s="1" t="str">
        <f>HYPERLINK("http://www.rosaceae.org/gb/gbrowse/malus_x_domestica/?name=MDP0000119516","MDP0000119516")</f>
        <v>MDP0000119516</v>
      </c>
      <c r="D18830">
        <v>82.14</v>
      </c>
      <c r="E18830">
        <v>252</v>
      </c>
      <c r="F18830">
        <v>45</v>
      </c>
      <c r="G18830">
        <v>1</v>
      </c>
      <c r="H18830">
        <v>3</v>
      </c>
      <c r="I18830">
        <v>253</v>
      </c>
      <c r="J18830">
        <v>1</v>
      </c>
      <c r="K18830">
        <v>5</v>
      </c>
      <c r="L18830">
        <v>256</v>
      </c>
      <c r="M18830">
        <v>1</v>
      </c>
      <c r="N18830">
        <v>3.2314600000000002E-119</v>
      </c>
      <c r="O18830">
        <v>1091</v>
      </c>
    </row>
    <row r="18831" spans="1:15" x14ac:dyDescent="0.25">
      <c r="A18831" t="s">
        <v>18844</v>
      </c>
      <c r="B18831">
        <v>209</v>
      </c>
      <c r="C18831" s="1" t="str">
        <f>HYPERLINK("http://www.rosaceae.org/gb/gbrowse/malus_x_domestica/?name=MDP0000247050","MDP0000247050")</f>
        <v>MDP0000247050</v>
      </c>
      <c r="D18831">
        <v>88.29</v>
      </c>
      <c r="E18831">
        <v>94</v>
      </c>
      <c r="F18831">
        <v>11</v>
      </c>
      <c r="G18831">
        <v>1</v>
      </c>
      <c r="H18831">
        <v>39</v>
      </c>
      <c r="I18831">
        <v>132</v>
      </c>
      <c r="J18831">
        <v>1</v>
      </c>
      <c r="K18831">
        <v>552</v>
      </c>
      <c r="L18831">
        <v>644</v>
      </c>
      <c r="M18831">
        <v>1</v>
      </c>
      <c r="N18831">
        <v>6.7596099999999998E-42</v>
      </c>
      <c r="O18831">
        <v>423</v>
      </c>
    </row>
    <row r="18832" spans="1:15" x14ac:dyDescent="0.25">
      <c r="A18832" t="s">
        <v>18845</v>
      </c>
      <c r="B18832">
        <v>182</v>
      </c>
      <c r="C18832" s="1" t="str">
        <f>HYPERLINK("http://www.rosaceae.org/gb/gbrowse/malus_x_domestica/?name=MDP0000185846","MDP0000185846")</f>
        <v>MDP0000185846</v>
      </c>
      <c r="D18832">
        <v>62.82</v>
      </c>
      <c r="E18832">
        <v>191</v>
      </c>
      <c r="F18832">
        <v>71</v>
      </c>
      <c r="G18832">
        <v>10</v>
      </c>
      <c r="H18832">
        <v>1</v>
      </c>
      <c r="I18832">
        <v>181</v>
      </c>
      <c r="J18832">
        <v>1</v>
      </c>
      <c r="K18832">
        <v>190</v>
      </c>
      <c r="L18832">
        <v>380</v>
      </c>
      <c r="M18832">
        <v>1</v>
      </c>
      <c r="N18832">
        <v>1.32988E-66</v>
      </c>
      <c r="O18832">
        <v>635</v>
      </c>
    </row>
    <row r="18833" spans="1:15" x14ac:dyDescent="0.25">
      <c r="A18833" t="s">
        <v>18846</v>
      </c>
      <c r="B18833">
        <v>152</v>
      </c>
      <c r="C18833" s="1" t="str">
        <f>HYPERLINK("http://www.rosaceae.org/gb/gbrowse/malus_x_domestica/?name=MDP0000369216","MDP0000369216")</f>
        <v>MDP0000369216</v>
      </c>
      <c r="D18833">
        <v>81.61</v>
      </c>
      <c r="E18833">
        <v>136</v>
      </c>
      <c r="F18833">
        <v>25</v>
      </c>
      <c r="G18833">
        <v>0</v>
      </c>
      <c r="H18833">
        <v>3</v>
      </c>
      <c r="I18833">
        <v>138</v>
      </c>
      <c r="J18833">
        <v>1</v>
      </c>
      <c r="K18833">
        <v>33</v>
      </c>
      <c r="L18833">
        <v>168</v>
      </c>
      <c r="M18833">
        <v>1</v>
      </c>
      <c r="N18833">
        <v>2.8101200000000001E-61</v>
      </c>
      <c r="O18833">
        <v>588</v>
      </c>
    </row>
    <row r="18834" spans="1:15" x14ac:dyDescent="0.25">
      <c r="A18834" t="s">
        <v>18847</v>
      </c>
      <c r="B18834">
        <v>101</v>
      </c>
      <c r="C18834" s="1" t="str">
        <f>HYPERLINK("http://www.rosaceae.org/gb/gbrowse/malus_x_domestica/?name=MDP0000335890","MDP0000335890")</f>
        <v>MDP0000335890</v>
      </c>
      <c r="D18834">
        <v>63.72</v>
      </c>
      <c r="E18834">
        <v>102</v>
      </c>
      <c r="F18834">
        <v>37</v>
      </c>
      <c r="G18834">
        <v>4</v>
      </c>
      <c r="H18834">
        <v>1</v>
      </c>
      <c r="I18834">
        <v>100</v>
      </c>
      <c r="J18834">
        <v>1</v>
      </c>
      <c r="K18834">
        <v>48</v>
      </c>
      <c r="L18834">
        <v>147</v>
      </c>
      <c r="M18834">
        <v>1</v>
      </c>
      <c r="N18834">
        <v>1.5527699999999999E-30</v>
      </c>
      <c r="O18834">
        <v>321</v>
      </c>
    </row>
    <row r="18835" spans="1:15" x14ac:dyDescent="0.25">
      <c r="A18835" t="s">
        <v>18848</v>
      </c>
      <c r="B18835">
        <v>104</v>
      </c>
      <c r="C18835" s="1" t="str">
        <f>HYPERLINK("http://www.rosaceae.org/gb/gbrowse/malus_x_domestica/?name=MDP0000204819","MDP0000204819")</f>
        <v>MDP0000204819</v>
      </c>
      <c r="D18835">
        <v>50.87</v>
      </c>
      <c r="E18835">
        <v>57</v>
      </c>
      <c r="F18835">
        <v>28</v>
      </c>
      <c r="G18835">
        <v>0</v>
      </c>
      <c r="H18835">
        <v>48</v>
      </c>
      <c r="I18835">
        <v>104</v>
      </c>
      <c r="J18835">
        <v>1</v>
      </c>
      <c r="K18835">
        <v>111</v>
      </c>
      <c r="L18835">
        <v>167</v>
      </c>
      <c r="M18835">
        <v>1</v>
      </c>
      <c r="N18835">
        <v>6.8340900000000003E-7</v>
      </c>
      <c r="O18835">
        <v>117</v>
      </c>
    </row>
    <row r="18836" spans="1:15" x14ac:dyDescent="0.25">
      <c r="A18836" t="s">
        <v>18849</v>
      </c>
      <c r="B18836">
        <v>292</v>
      </c>
      <c r="C18836" s="1" t="str">
        <f>HYPERLINK("http://www.rosaceae.org/gb/gbrowse/malus_x_domestica/?name=MDP0000255375","MDP0000255375")</f>
        <v>MDP0000255375</v>
      </c>
      <c r="D18836">
        <v>78.62</v>
      </c>
      <c r="E18836">
        <v>290</v>
      </c>
      <c r="F18836">
        <v>62</v>
      </c>
      <c r="G18836">
        <v>19</v>
      </c>
      <c r="H18836">
        <v>1</v>
      </c>
      <c r="I18836">
        <v>290</v>
      </c>
      <c r="J18836">
        <v>1</v>
      </c>
      <c r="K18836">
        <v>1</v>
      </c>
      <c r="L18836">
        <v>271</v>
      </c>
      <c r="M18836">
        <v>1</v>
      </c>
      <c r="N18836">
        <v>3.1921999999999999E-129</v>
      </c>
      <c r="O18836">
        <v>1178</v>
      </c>
    </row>
    <row r="18837" spans="1:15" x14ac:dyDescent="0.25">
      <c r="A18837" t="s">
        <v>18850</v>
      </c>
      <c r="B18837">
        <v>469</v>
      </c>
      <c r="C18837" s="1" t="str">
        <f>HYPERLINK("http://www.rosaceae.org/gb/gbrowse/malus_x_domestica/?name=MDP0000321473","MDP0000321473")</f>
        <v>MDP0000321473</v>
      </c>
      <c r="D18837">
        <v>82.62</v>
      </c>
      <c r="E18837">
        <v>472</v>
      </c>
      <c r="F18837">
        <v>82</v>
      </c>
      <c r="G18837">
        <v>3</v>
      </c>
      <c r="H18837">
        <v>1</v>
      </c>
      <c r="I18837">
        <v>469</v>
      </c>
      <c r="J18837">
        <v>1</v>
      </c>
      <c r="K18837">
        <v>1</v>
      </c>
      <c r="L18837">
        <v>472</v>
      </c>
      <c r="M18837">
        <v>1</v>
      </c>
      <c r="N18837">
        <v>0</v>
      </c>
      <c r="O18837">
        <v>2066</v>
      </c>
    </row>
    <row r="18838" spans="1:15" x14ac:dyDescent="0.25">
      <c r="A18838" t="s">
        <v>18851</v>
      </c>
      <c r="B18838">
        <v>393</v>
      </c>
      <c r="C18838" s="1" t="str">
        <f>HYPERLINK("http://www.rosaceae.org/gb/gbrowse/malus_x_domestica/?name=MDP0000329761","MDP0000329761")</f>
        <v>MDP0000329761</v>
      </c>
      <c r="D18838">
        <v>38.229999999999997</v>
      </c>
      <c r="E18838">
        <v>238</v>
      </c>
      <c r="F18838">
        <v>147</v>
      </c>
      <c r="G18838">
        <v>26</v>
      </c>
      <c r="H18838">
        <v>156</v>
      </c>
      <c r="I18838">
        <v>390</v>
      </c>
      <c r="J18838">
        <v>1</v>
      </c>
      <c r="K18838">
        <v>169</v>
      </c>
      <c r="L18838">
        <v>383</v>
      </c>
      <c r="M18838">
        <v>1</v>
      </c>
      <c r="N18838">
        <v>5.1669499999999997E-39</v>
      </c>
      <c r="O18838">
        <v>402</v>
      </c>
    </row>
    <row r="18839" spans="1:15" x14ac:dyDescent="0.25">
      <c r="A18839" t="s">
        <v>18852</v>
      </c>
      <c r="B18839">
        <v>279</v>
      </c>
      <c r="C18839" s="1" t="str">
        <f>HYPERLINK("http://www.rosaceae.org/gb/gbrowse/malus_x_domestica/?name=MDP0000296691","MDP0000296691")</f>
        <v>MDP0000296691</v>
      </c>
      <c r="D18839">
        <v>36.19</v>
      </c>
      <c r="E18839">
        <v>105</v>
      </c>
      <c r="F18839">
        <v>67</v>
      </c>
      <c r="G18839">
        <v>25</v>
      </c>
      <c r="H18839">
        <v>56</v>
      </c>
      <c r="I18839">
        <v>160</v>
      </c>
      <c r="J18839">
        <v>1</v>
      </c>
      <c r="K18839">
        <v>376</v>
      </c>
      <c r="L18839">
        <v>455</v>
      </c>
      <c r="M18839">
        <v>1</v>
      </c>
      <c r="N18839">
        <v>1.6215300000000001E-7</v>
      </c>
      <c r="O18839">
        <v>128</v>
      </c>
    </row>
    <row r="18840" spans="1:15" x14ac:dyDescent="0.25">
      <c r="A18840" t="s">
        <v>18853</v>
      </c>
      <c r="B18840">
        <v>509</v>
      </c>
      <c r="C18840" s="1" t="str">
        <f>HYPERLINK("http://www.rosaceae.org/gb/gbrowse/malus_x_domestica/?name=MDP0000312439","MDP0000312439")</f>
        <v>MDP0000312439</v>
      </c>
      <c r="D18840">
        <v>70.88</v>
      </c>
      <c r="E18840">
        <v>443</v>
      </c>
      <c r="F18840">
        <v>129</v>
      </c>
      <c r="G18840">
        <v>8</v>
      </c>
      <c r="H18840">
        <v>41</v>
      </c>
      <c r="I18840">
        <v>483</v>
      </c>
      <c r="J18840">
        <v>1</v>
      </c>
      <c r="K18840">
        <v>37</v>
      </c>
      <c r="L18840">
        <v>471</v>
      </c>
      <c r="M18840">
        <v>1</v>
      </c>
      <c r="N18840">
        <v>1.82725E-180</v>
      </c>
      <c r="O18840">
        <v>1623</v>
      </c>
    </row>
    <row r="18841" spans="1:15" x14ac:dyDescent="0.25">
      <c r="A18841" t="s">
        <v>18854</v>
      </c>
      <c r="B18841">
        <v>179</v>
      </c>
      <c r="C18841" s="1" t="str">
        <f>HYPERLINK("http://www.rosaceae.org/gb/gbrowse/malus_x_domestica/?name=MDP0000307013","MDP0000307013")</f>
        <v>MDP0000307013</v>
      </c>
      <c r="D18841">
        <v>65.239999999999995</v>
      </c>
      <c r="E18841">
        <v>164</v>
      </c>
      <c r="F18841">
        <v>57</v>
      </c>
      <c r="G18841">
        <v>5</v>
      </c>
      <c r="H18841">
        <v>1</v>
      </c>
      <c r="I18841">
        <v>164</v>
      </c>
      <c r="J18841">
        <v>1</v>
      </c>
      <c r="K18841">
        <v>1</v>
      </c>
      <c r="L18841">
        <v>159</v>
      </c>
      <c r="M18841">
        <v>1</v>
      </c>
      <c r="N18841">
        <v>2.3482700000000002E-53</v>
      </c>
      <c r="O18841">
        <v>521</v>
      </c>
    </row>
    <row r="18842" spans="1:15" x14ac:dyDescent="0.25">
      <c r="A18842" t="s">
        <v>18855</v>
      </c>
      <c r="B18842">
        <v>507</v>
      </c>
      <c r="C18842" s="1" t="str">
        <f>HYPERLINK("http://www.rosaceae.org/gb/gbrowse/malus_x_domestica/?name=MDP0000181135","MDP0000181135")</f>
        <v>MDP0000181135</v>
      </c>
      <c r="D18842">
        <v>36.869999999999997</v>
      </c>
      <c r="E18842">
        <v>301</v>
      </c>
      <c r="F18842">
        <v>190</v>
      </c>
      <c r="G18842">
        <v>29</v>
      </c>
      <c r="H18842">
        <v>23</v>
      </c>
      <c r="I18842">
        <v>298</v>
      </c>
      <c r="J18842">
        <v>1</v>
      </c>
      <c r="K18842">
        <v>10</v>
      </c>
      <c r="L18842">
        <v>306</v>
      </c>
      <c r="M18842">
        <v>1</v>
      </c>
      <c r="N18842">
        <v>8.8742400000000005E-36</v>
      </c>
      <c r="O18842">
        <v>375</v>
      </c>
    </row>
    <row r="18843" spans="1:15" x14ac:dyDescent="0.25">
      <c r="A18843" t="s">
        <v>18856</v>
      </c>
      <c r="B18843">
        <v>916</v>
      </c>
      <c r="C18843" s="1" t="str">
        <f>HYPERLINK("http://www.rosaceae.org/gb/gbrowse/malus_x_domestica/?name=MDP0000593517","MDP0000593517")</f>
        <v>MDP0000593517</v>
      </c>
      <c r="D18843">
        <v>77.430000000000007</v>
      </c>
      <c r="E18843">
        <v>842</v>
      </c>
      <c r="F18843">
        <v>190</v>
      </c>
      <c r="G18843">
        <v>11</v>
      </c>
      <c r="H18843">
        <v>74</v>
      </c>
      <c r="I18843">
        <v>910</v>
      </c>
      <c r="J18843">
        <v>1</v>
      </c>
      <c r="K18843">
        <v>14</v>
      </c>
      <c r="L18843">
        <v>849</v>
      </c>
      <c r="M18843">
        <v>1</v>
      </c>
      <c r="N18843">
        <v>0</v>
      </c>
      <c r="O18843">
        <v>3379</v>
      </c>
    </row>
    <row r="18844" spans="1:15" x14ac:dyDescent="0.25">
      <c r="A18844" t="s">
        <v>18857</v>
      </c>
      <c r="B18844">
        <v>159</v>
      </c>
      <c r="C18844" s="1" t="str">
        <f>HYPERLINK("http://www.rosaceae.org/gb/gbrowse/malus_x_domestica/?name=MDP0000237571","MDP0000237571")</f>
        <v>MDP0000237571</v>
      </c>
      <c r="D18844">
        <v>70.08</v>
      </c>
      <c r="E18844">
        <v>117</v>
      </c>
      <c r="F18844">
        <v>35</v>
      </c>
      <c r="G18844">
        <v>5</v>
      </c>
      <c r="H18844">
        <v>47</v>
      </c>
      <c r="I18844">
        <v>158</v>
      </c>
      <c r="J18844">
        <v>1</v>
      </c>
      <c r="K18844">
        <v>79</v>
      </c>
      <c r="L18844">
        <v>195</v>
      </c>
      <c r="M18844">
        <v>1</v>
      </c>
      <c r="N18844">
        <v>6.5793499999999997E-44</v>
      </c>
      <c r="O18844">
        <v>439</v>
      </c>
    </row>
    <row r="18845" spans="1:15" x14ac:dyDescent="0.25">
      <c r="A18845" t="s">
        <v>18858</v>
      </c>
      <c r="B18845">
        <v>315</v>
      </c>
      <c r="C18845" s="1" t="str">
        <f>HYPERLINK("http://www.rosaceae.org/gb/gbrowse/malus_x_domestica/?name=MDP0000077460","MDP0000077460")</f>
        <v>MDP0000077460</v>
      </c>
      <c r="D18845">
        <v>68.010000000000005</v>
      </c>
      <c r="E18845">
        <v>322</v>
      </c>
      <c r="F18845">
        <v>103</v>
      </c>
      <c r="G18845">
        <v>9</v>
      </c>
      <c r="H18845">
        <v>1</v>
      </c>
      <c r="I18845">
        <v>313</v>
      </c>
      <c r="J18845">
        <v>1</v>
      </c>
      <c r="K18845">
        <v>1</v>
      </c>
      <c r="L18845">
        <v>322</v>
      </c>
      <c r="M18845">
        <v>1</v>
      </c>
      <c r="N18845">
        <v>9.7539099999999996E-126</v>
      </c>
      <c r="O18845">
        <v>1149</v>
      </c>
    </row>
    <row r="18846" spans="1:15" x14ac:dyDescent="0.25">
      <c r="A18846" t="s">
        <v>18859</v>
      </c>
      <c r="B18846">
        <v>89</v>
      </c>
      <c r="C18846" s="1" t="str">
        <f>HYPERLINK("http://www.rosaceae.org/gb/gbrowse/malus_x_domestica/?name=MDP0000920289","MDP0000920289")</f>
        <v>MDP0000920289</v>
      </c>
      <c r="D18846">
        <v>65.38</v>
      </c>
      <c r="E18846">
        <v>78</v>
      </c>
      <c r="F18846">
        <v>27</v>
      </c>
      <c r="G18846">
        <v>0</v>
      </c>
      <c r="H18846">
        <v>1</v>
      </c>
      <c r="I18846">
        <v>78</v>
      </c>
      <c r="J18846">
        <v>1</v>
      </c>
      <c r="K18846">
        <v>1</v>
      </c>
      <c r="L18846">
        <v>78</v>
      </c>
      <c r="M18846">
        <v>1</v>
      </c>
      <c r="N18846">
        <v>8.3413700000000004E-26</v>
      </c>
      <c r="O18846">
        <v>280</v>
      </c>
    </row>
    <row r="18847" spans="1:15" x14ac:dyDescent="0.25">
      <c r="A18847" t="s">
        <v>18860</v>
      </c>
      <c r="B18847">
        <v>599</v>
      </c>
      <c r="C18847" s="1" t="str">
        <f>HYPERLINK("http://www.rosaceae.org/gb/gbrowse/malus_x_domestica/?name=MDP0000709006","MDP0000709006")</f>
        <v>MDP0000709006</v>
      </c>
      <c r="D18847">
        <v>72.87</v>
      </c>
      <c r="E18847">
        <v>612</v>
      </c>
      <c r="F18847">
        <v>166</v>
      </c>
      <c r="G18847">
        <v>17</v>
      </c>
      <c r="H18847">
        <v>1</v>
      </c>
      <c r="I18847">
        <v>599</v>
      </c>
      <c r="J18847">
        <v>1</v>
      </c>
      <c r="K18847">
        <v>332</v>
      </c>
      <c r="L18847">
        <v>939</v>
      </c>
      <c r="M18847">
        <v>1</v>
      </c>
      <c r="N18847">
        <v>0</v>
      </c>
      <c r="O18847">
        <v>2325</v>
      </c>
    </row>
    <row r="18848" spans="1:15" x14ac:dyDescent="0.25">
      <c r="A18848" t="s">
        <v>18861</v>
      </c>
      <c r="B18848">
        <v>530</v>
      </c>
      <c r="C18848" s="1" t="str">
        <f>HYPERLINK("http://www.rosaceae.org/gb/gbrowse/malus_x_domestica/?name=MDP0000706794","MDP0000706794")</f>
        <v>MDP0000706794</v>
      </c>
      <c r="D18848">
        <v>79.06</v>
      </c>
      <c r="E18848">
        <v>43</v>
      </c>
      <c r="F18848">
        <v>9</v>
      </c>
      <c r="G18848">
        <v>0</v>
      </c>
      <c r="H18848">
        <v>284</v>
      </c>
      <c r="I18848">
        <v>326</v>
      </c>
      <c r="J18848">
        <v>1</v>
      </c>
      <c r="K18848">
        <v>1</v>
      </c>
      <c r="L18848">
        <v>43</v>
      </c>
      <c r="M18848">
        <v>1</v>
      </c>
      <c r="N18848">
        <v>4.8456199999999999E-14</v>
      </c>
      <c r="O18848">
        <v>188</v>
      </c>
    </row>
    <row r="18849" spans="1:15" x14ac:dyDescent="0.25">
      <c r="A18849" t="s">
        <v>18862</v>
      </c>
      <c r="B18849">
        <v>1050</v>
      </c>
      <c r="C18849" s="1" t="str">
        <f>HYPERLINK("http://www.rosaceae.org/gb/gbrowse/malus_x_domestica/?name=MDP0000095192","MDP0000095192")</f>
        <v>MDP0000095192</v>
      </c>
      <c r="D18849">
        <v>72.2</v>
      </c>
      <c r="E18849">
        <v>313</v>
      </c>
      <c r="F18849">
        <v>87</v>
      </c>
      <c r="G18849">
        <v>6</v>
      </c>
      <c r="H18849">
        <v>503</v>
      </c>
      <c r="I18849">
        <v>810</v>
      </c>
      <c r="J18849">
        <v>1</v>
      </c>
      <c r="K18849">
        <v>6</v>
      </c>
      <c r="L18849">
        <v>317</v>
      </c>
      <c r="M18849">
        <v>1</v>
      </c>
      <c r="N18849">
        <v>2.3373600000000001E-132</v>
      </c>
      <c r="O18849">
        <v>1211</v>
      </c>
    </row>
    <row r="18850" spans="1:15" x14ac:dyDescent="0.25">
      <c r="A18850" t="s">
        <v>18863</v>
      </c>
      <c r="B18850">
        <v>1102</v>
      </c>
      <c r="C18850" s="1" t="str">
        <f>HYPERLINK("http://www.rosaceae.org/gb/gbrowse/malus_x_domestica/?name=MDP0000090107","MDP0000090107")</f>
        <v>MDP0000090107</v>
      </c>
      <c r="D18850">
        <v>90.52</v>
      </c>
      <c r="E18850">
        <v>760</v>
      </c>
      <c r="F18850">
        <v>72</v>
      </c>
      <c r="G18850">
        <v>1</v>
      </c>
      <c r="H18850">
        <v>343</v>
      </c>
      <c r="I18850">
        <v>1102</v>
      </c>
      <c r="J18850">
        <v>1</v>
      </c>
      <c r="K18850">
        <v>1</v>
      </c>
      <c r="L18850">
        <v>759</v>
      </c>
      <c r="M18850">
        <v>1</v>
      </c>
      <c r="N18850">
        <v>0</v>
      </c>
      <c r="O18850">
        <v>3582</v>
      </c>
    </row>
    <row r="18851" spans="1:15" x14ac:dyDescent="0.25">
      <c r="A18851" t="s">
        <v>18864</v>
      </c>
      <c r="B18851">
        <v>431</v>
      </c>
      <c r="C18851" s="1" t="str">
        <f>HYPERLINK("http://www.rosaceae.org/gb/gbrowse/malus_x_domestica/?name=MDP0000377846","MDP0000377846")</f>
        <v>MDP0000377846</v>
      </c>
      <c r="D18851">
        <v>84.68</v>
      </c>
      <c r="E18851">
        <v>346</v>
      </c>
      <c r="F18851">
        <v>53</v>
      </c>
      <c r="G18851">
        <v>1</v>
      </c>
      <c r="H18851">
        <v>86</v>
      </c>
      <c r="I18851">
        <v>431</v>
      </c>
      <c r="J18851">
        <v>1</v>
      </c>
      <c r="K18851">
        <v>105</v>
      </c>
      <c r="L18851">
        <v>449</v>
      </c>
      <c r="M18851">
        <v>1</v>
      </c>
      <c r="N18851">
        <v>4.8864899999999998E-175</v>
      </c>
      <c r="O18851">
        <v>1575</v>
      </c>
    </row>
    <row r="18852" spans="1:15" x14ac:dyDescent="0.25">
      <c r="A18852" t="s">
        <v>18865</v>
      </c>
      <c r="B18852">
        <v>842</v>
      </c>
      <c r="C18852" s="1" t="str">
        <f>HYPERLINK("http://www.rosaceae.org/gb/gbrowse/malus_x_domestica/?name=MDP0000270930","MDP0000270930")</f>
        <v>MDP0000270930</v>
      </c>
      <c r="D18852">
        <v>67.41</v>
      </c>
      <c r="E18852">
        <v>807</v>
      </c>
      <c r="F18852">
        <v>263</v>
      </c>
      <c r="G18852">
        <v>57</v>
      </c>
      <c r="H18852">
        <v>1</v>
      </c>
      <c r="I18852">
        <v>802</v>
      </c>
      <c r="J18852">
        <v>1</v>
      </c>
      <c r="K18852">
        <v>1</v>
      </c>
      <c r="L18852">
        <v>755</v>
      </c>
      <c r="M18852">
        <v>1</v>
      </c>
      <c r="N18852">
        <v>0</v>
      </c>
      <c r="O18852">
        <v>2767</v>
      </c>
    </row>
    <row r="18853" spans="1:15" x14ac:dyDescent="0.25">
      <c r="A18853" t="s">
        <v>18866</v>
      </c>
      <c r="B18853">
        <v>210</v>
      </c>
      <c r="C18853" s="1" t="str">
        <f>HYPERLINK("http://www.rosaceae.org/gb/gbrowse/malus_x_domestica/?name=MDP0000391657","MDP0000391657")</f>
        <v>MDP0000391657</v>
      </c>
      <c r="D18853">
        <v>75.94</v>
      </c>
      <c r="E18853">
        <v>212</v>
      </c>
      <c r="F18853">
        <v>51</v>
      </c>
      <c r="G18853">
        <v>2</v>
      </c>
      <c r="H18853">
        <v>1</v>
      </c>
      <c r="I18853">
        <v>210</v>
      </c>
      <c r="J18853">
        <v>1</v>
      </c>
      <c r="K18853">
        <v>1</v>
      </c>
      <c r="L18853">
        <v>212</v>
      </c>
      <c r="M18853">
        <v>1</v>
      </c>
      <c r="N18853">
        <v>1.2454599999999999E-94</v>
      </c>
      <c r="O18853">
        <v>878</v>
      </c>
    </row>
    <row r="18854" spans="1:15" x14ac:dyDescent="0.25">
      <c r="A18854" t="s">
        <v>18867</v>
      </c>
      <c r="B18854">
        <v>90</v>
      </c>
      <c r="C18854" s="1" t="str">
        <f>HYPERLINK("http://www.rosaceae.org/gb/gbrowse/malus_x_domestica/?name=MDP0000287519","MDP0000287519")</f>
        <v>MDP0000287519</v>
      </c>
      <c r="D18854">
        <v>49.18</v>
      </c>
      <c r="E18854">
        <v>61</v>
      </c>
      <c r="F18854">
        <v>31</v>
      </c>
      <c r="G18854">
        <v>1</v>
      </c>
      <c r="H18854">
        <v>18</v>
      </c>
      <c r="I18854">
        <v>78</v>
      </c>
      <c r="J18854">
        <v>1</v>
      </c>
      <c r="K18854">
        <v>640</v>
      </c>
      <c r="L18854">
        <v>699</v>
      </c>
      <c r="M18854">
        <v>1</v>
      </c>
      <c r="N18854">
        <v>8.9996400000000002E-12</v>
      </c>
      <c r="O18854">
        <v>159</v>
      </c>
    </row>
    <row r="18855" spans="1:15" x14ac:dyDescent="0.25">
      <c r="A18855" t="s">
        <v>18868</v>
      </c>
      <c r="B18855">
        <v>78</v>
      </c>
      <c r="C18855" s="1" t="str">
        <f>HYPERLINK("http://www.rosaceae.org/gb/gbrowse/malus_x_domestica/?name=MDP0000287519","MDP0000287519")</f>
        <v>MDP0000287519</v>
      </c>
      <c r="D18855">
        <v>45</v>
      </c>
      <c r="E18855">
        <v>60</v>
      </c>
      <c r="F18855">
        <v>33</v>
      </c>
      <c r="G18855">
        <v>1</v>
      </c>
      <c r="H18855">
        <v>11</v>
      </c>
      <c r="I18855">
        <v>70</v>
      </c>
      <c r="J18855">
        <v>1</v>
      </c>
      <c r="K18855">
        <v>640</v>
      </c>
      <c r="L18855">
        <v>698</v>
      </c>
      <c r="M18855">
        <v>1</v>
      </c>
      <c r="N18855">
        <v>5.5094999999999996E-9</v>
      </c>
      <c r="O18855">
        <v>135</v>
      </c>
    </row>
    <row r="18856" spans="1:15" x14ac:dyDescent="0.25">
      <c r="A18856" t="s">
        <v>18869</v>
      </c>
      <c r="B18856">
        <v>608</v>
      </c>
      <c r="C18856" s="1" t="str">
        <f>HYPERLINK("http://www.rosaceae.org/gb/gbrowse/malus_x_domestica/?name=MDP0000139264","MDP0000139264")</f>
        <v>MDP0000139264</v>
      </c>
      <c r="D18856">
        <v>44.08</v>
      </c>
      <c r="E18856">
        <v>93</v>
      </c>
      <c r="F18856">
        <v>52</v>
      </c>
      <c r="G18856">
        <v>4</v>
      </c>
      <c r="H18856">
        <v>190</v>
      </c>
      <c r="I18856">
        <v>280</v>
      </c>
      <c r="J18856">
        <v>1</v>
      </c>
      <c r="K18856">
        <v>1</v>
      </c>
      <c r="L18856">
        <v>91</v>
      </c>
      <c r="M18856">
        <v>1</v>
      </c>
      <c r="N18856">
        <v>1.0672499999999999E-13</v>
      </c>
      <c r="O18856">
        <v>185</v>
      </c>
    </row>
    <row r="18857" spans="1:15" x14ac:dyDescent="0.25">
      <c r="A18857" t="s">
        <v>18870</v>
      </c>
      <c r="B18857">
        <v>104</v>
      </c>
      <c r="C18857" s="1" t="str">
        <f>HYPERLINK("http://www.rosaceae.org/gb/gbrowse/malus_x_domestica/?name=MDP0000282589","MDP0000282589")</f>
        <v>MDP0000282589</v>
      </c>
      <c r="D18857">
        <v>96.55</v>
      </c>
      <c r="E18857">
        <v>87</v>
      </c>
      <c r="F18857">
        <v>3</v>
      </c>
      <c r="G18857">
        <v>0</v>
      </c>
      <c r="H18857">
        <v>14</v>
      </c>
      <c r="I18857">
        <v>100</v>
      </c>
      <c r="J18857">
        <v>1</v>
      </c>
      <c r="K18857">
        <v>14</v>
      </c>
      <c r="L18857">
        <v>100</v>
      </c>
      <c r="M18857">
        <v>1</v>
      </c>
      <c r="N18857">
        <v>2.5677600000000001E-45</v>
      </c>
      <c r="O18857">
        <v>448</v>
      </c>
    </row>
    <row r="18858" spans="1:15" x14ac:dyDescent="0.25">
      <c r="A18858" t="s">
        <v>18871</v>
      </c>
      <c r="B18858">
        <v>653</v>
      </c>
      <c r="C18858" s="1" t="str">
        <f>HYPERLINK("http://www.rosaceae.org/gb/gbrowse/malus_x_domestica/?name=MDP0000284515","MDP0000284515")</f>
        <v>MDP0000284515</v>
      </c>
      <c r="D18858">
        <v>76.06</v>
      </c>
      <c r="E18858">
        <v>631</v>
      </c>
      <c r="F18858">
        <v>151</v>
      </c>
      <c r="G18858">
        <v>30</v>
      </c>
      <c r="H18858">
        <v>43</v>
      </c>
      <c r="I18858">
        <v>646</v>
      </c>
      <c r="J18858">
        <v>1</v>
      </c>
      <c r="K18858">
        <v>73</v>
      </c>
      <c r="L18858">
        <v>700</v>
      </c>
      <c r="M18858">
        <v>1</v>
      </c>
      <c r="N18858">
        <v>0</v>
      </c>
      <c r="O18858">
        <v>2495</v>
      </c>
    </row>
    <row r="18859" spans="1:15" x14ac:dyDescent="0.25">
      <c r="A18859" t="s">
        <v>18872</v>
      </c>
      <c r="B18859">
        <v>366</v>
      </c>
      <c r="C18859" s="1" t="str">
        <f>HYPERLINK("http://www.rosaceae.org/gb/gbrowse/malus_x_domestica/?name=MDP0000287423","MDP0000287423")</f>
        <v>MDP0000287423</v>
      </c>
      <c r="D18859">
        <v>57.22</v>
      </c>
      <c r="E18859">
        <v>367</v>
      </c>
      <c r="F18859">
        <v>157</v>
      </c>
      <c r="G18859">
        <v>3</v>
      </c>
      <c r="H18859">
        <v>1</v>
      </c>
      <c r="I18859">
        <v>365</v>
      </c>
      <c r="J18859">
        <v>1</v>
      </c>
      <c r="K18859">
        <v>1</v>
      </c>
      <c r="L18859">
        <v>366</v>
      </c>
      <c r="M18859">
        <v>1</v>
      </c>
      <c r="N18859">
        <v>6.4339200000000002E-123</v>
      </c>
      <c r="O18859">
        <v>1125</v>
      </c>
    </row>
    <row r="18860" spans="1:15" x14ac:dyDescent="0.25">
      <c r="A18860" t="s">
        <v>18873</v>
      </c>
      <c r="B18860">
        <v>1444</v>
      </c>
      <c r="C18860" s="1" t="str">
        <f>HYPERLINK("http://www.rosaceae.org/gb/gbrowse/malus_x_domestica/?name=MDP0000159173","MDP0000159173")</f>
        <v>MDP0000159173</v>
      </c>
      <c r="D18860">
        <v>69.150000000000006</v>
      </c>
      <c r="E18860">
        <v>483</v>
      </c>
      <c r="F18860">
        <v>149</v>
      </c>
      <c r="G18860">
        <v>31</v>
      </c>
      <c r="H18860">
        <v>737</v>
      </c>
      <c r="I18860">
        <v>1192</v>
      </c>
      <c r="J18860">
        <v>1</v>
      </c>
      <c r="K18860">
        <v>493</v>
      </c>
      <c r="L18860">
        <v>971</v>
      </c>
      <c r="M18860">
        <v>1</v>
      </c>
      <c r="N18860">
        <v>0</v>
      </c>
      <c r="O18860">
        <v>1709</v>
      </c>
    </row>
    <row r="18861" spans="1:15" x14ac:dyDescent="0.25">
      <c r="A18861" t="s">
        <v>18874</v>
      </c>
      <c r="B18861">
        <v>763</v>
      </c>
      <c r="C18861" s="1" t="str">
        <f>HYPERLINK("http://www.rosaceae.org/gb/gbrowse/malus_x_domestica/?name=MDP0000251967","MDP0000251967")</f>
        <v>MDP0000251967</v>
      </c>
      <c r="D18861">
        <v>51.6</v>
      </c>
      <c r="E18861">
        <v>343</v>
      </c>
      <c r="F18861">
        <v>166</v>
      </c>
      <c r="G18861">
        <v>27</v>
      </c>
      <c r="H18861">
        <v>377</v>
      </c>
      <c r="I18861">
        <v>714</v>
      </c>
      <c r="J18861">
        <v>1</v>
      </c>
      <c r="K18861">
        <v>1</v>
      </c>
      <c r="L18861">
        <v>321</v>
      </c>
      <c r="M18861">
        <v>1</v>
      </c>
      <c r="N18861">
        <v>2.0915399999999999E-85</v>
      </c>
      <c r="O18861">
        <v>805</v>
      </c>
    </row>
    <row r="18862" spans="1:15" x14ac:dyDescent="0.25">
      <c r="A18862" t="s">
        <v>18875</v>
      </c>
      <c r="B18862">
        <v>827</v>
      </c>
      <c r="C18862" s="1" t="str">
        <f>HYPERLINK("http://www.rosaceae.org/gb/gbrowse/malus_x_domestica/?name=MDP0000465341","MDP0000465341")</f>
        <v>MDP0000465341</v>
      </c>
      <c r="D18862">
        <v>56.29</v>
      </c>
      <c r="E18862">
        <v>874</v>
      </c>
      <c r="F18862">
        <v>382</v>
      </c>
      <c r="G18862">
        <v>78</v>
      </c>
      <c r="H18862">
        <v>26</v>
      </c>
      <c r="I18862">
        <v>827</v>
      </c>
      <c r="J18862">
        <v>1</v>
      </c>
      <c r="K18862">
        <v>25</v>
      </c>
      <c r="L18862">
        <v>892</v>
      </c>
      <c r="M18862">
        <v>1</v>
      </c>
      <c r="N18862">
        <v>0</v>
      </c>
      <c r="O18862">
        <v>2357</v>
      </c>
    </row>
    <row r="18863" spans="1:15" x14ac:dyDescent="0.25">
      <c r="A18863" t="s">
        <v>18876</v>
      </c>
      <c r="B18863">
        <v>1410</v>
      </c>
      <c r="C18863" s="1" t="str">
        <f>HYPERLINK("http://www.rosaceae.org/gb/gbrowse/malus_x_domestica/?name=MDP0000598126","MDP0000598126")</f>
        <v>MDP0000598126</v>
      </c>
      <c r="D18863">
        <v>54.12</v>
      </c>
      <c r="E18863">
        <v>691</v>
      </c>
      <c r="F18863">
        <v>317</v>
      </c>
      <c r="G18863">
        <v>55</v>
      </c>
      <c r="H18863">
        <v>5</v>
      </c>
      <c r="I18863">
        <v>691</v>
      </c>
      <c r="J18863">
        <v>1</v>
      </c>
      <c r="K18863">
        <v>7</v>
      </c>
      <c r="L18863">
        <v>646</v>
      </c>
      <c r="M18863">
        <v>1</v>
      </c>
      <c r="N18863">
        <v>0</v>
      </c>
      <c r="O18863">
        <v>1913</v>
      </c>
    </row>
    <row r="18864" spans="1:15" x14ac:dyDescent="0.25">
      <c r="A18864" t="s">
        <v>18877</v>
      </c>
      <c r="B18864">
        <v>116</v>
      </c>
      <c r="C18864" s="1" t="str">
        <f>HYPERLINK("http://www.rosaceae.org/gb/gbrowse/malus_x_domestica/?name=MDP0000400164","MDP0000400164")</f>
        <v>MDP0000400164</v>
      </c>
      <c r="D18864">
        <v>54.54</v>
      </c>
      <c r="E18864">
        <v>55</v>
      </c>
      <c r="F18864">
        <v>25</v>
      </c>
      <c r="G18864">
        <v>2</v>
      </c>
      <c r="H18864">
        <v>2</v>
      </c>
      <c r="I18864">
        <v>55</v>
      </c>
      <c r="J18864">
        <v>1</v>
      </c>
      <c r="K18864">
        <v>942</v>
      </c>
      <c r="L18864">
        <v>995</v>
      </c>
      <c r="M18864">
        <v>1</v>
      </c>
      <c r="N18864">
        <v>8.0873599999999998E-11</v>
      </c>
      <c r="O18864">
        <v>151</v>
      </c>
    </row>
    <row r="18865" spans="1:15" x14ac:dyDescent="0.25">
      <c r="A18865" t="s">
        <v>18878</v>
      </c>
      <c r="B18865">
        <v>261</v>
      </c>
      <c r="C18865" s="1" t="str">
        <f>HYPERLINK("http://www.rosaceae.org/gb/gbrowse/malus_x_domestica/?name=MDP0000286732","MDP0000286732")</f>
        <v>MDP0000286732</v>
      </c>
      <c r="D18865">
        <v>84.42</v>
      </c>
      <c r="E18865">
        <v>122</v>
      </c>
      <c r="F18865">
        <v>19</v>
      </c>
      <c r="G18865">
        <v>0</v>
      </c>
      <c r="H18865">
        <v>21</v>
      </c>
      <c r="I18865">
        <v>142</v>
      </c>
      <c r="J18865">
        <v>1</v>
      </c>
      <c r="K18865">
        <v>745</v>
      </c>
      <c r="L18865">
        <v>866</v>
      </c>
      <c r="M18865">
        <v>1</v>
      </c>
      <c r="N18865">
        <v>1.01319E-56</v>
      </c>
      <c r="O18865">
        <v>552</v>
      </c>
    </row>
    <row r="18866" spans="1:15" x14ac:dyDescent="0.25">
      <c r="A18866" t="s">
        <v>18879</v>
      </c>
      <c r="B18866">
        <v>233</v>
      </c>
      <c r="C18866" s="1" t="str">
        <f>HYPERLINK("http://www.rosaceae.org/gb/gbrowse/malus_x_domestica/?name=MDP0000291070","MDP0000291070")</f>
        <v>MDP0000291070</v>
      </c>
      <c r="D18866">
        <v>43.4</v>
      </c>
      <c r="E18866">
        <v>182</v>
      </c>
      <c r="F18866">
        <v>103</v>
      </c>
      <c r="G18866">
        <v>7</v>
      </c>
      <c r="H18866">
        <v>27</v>
      </c>
      <c r="I18866">
        <v>201</v>
      </c>
      <c r="J18866">
        <v>1</v>
      </c>
      <c r="K18866">
        <v>19</v>
      </c>
      <c r="L18866">
        <v>200</v>
      </c>
      <c r="M18866">
        <v>1</v>
      </c>
      <c r="N18866">
        <v>1.79081E-28</v>
      </c>
      <c r="O18866">
        <v>308</v>
      </c>
    </row>
    <row r="18867" spans="1:15" x14ac:dyDescent="0.25">
      <c r="A18867" t="s">
        <v>18880</v>
      </c>
      <c r="B18867">
        <v>146</v>
      </c>
      <c r="C18867" s="1" t="str">
        <f>HYPERLINK("http://www.rosaceae.org/gb/gbrowse/malus_x_domestica/?name=MDP0000757192","MDP0000757192")</f>
        <v>MDP0000757192</v>
      </c>
      <c r="D18867">
        <v>72.599999999999994</v>
      </c>
      <c r="E18867">
        <v>146</v>
      </c>
      <c r="F18867">
        <v>40</v>
      </c>
      <c r="G18867">
        <v>0</v>
      </c>
      <c r="H18867">
        <v>1</v>
      </c>
      <c r="I18867">
        <v>146</v>
      </c>
      <c r="J18867">
        <v>1</v>
      </c>
      <c r="K18867">
        <v>1</v>
      </c>
      <c r="L18867">
        <v>146</v>
      </c>
      <c r="M18867">
        <v>1</v>
      </c>
      <c r="N18867">
        <v>2.40196E-53</v>
      </c>
      <c r="O18867">
        <v>519</v>
      </c>
    </row>
    <row r="18868" spans="1:15" x14ac:dyDescent="0.25">
      <c r="A18868" t="s">
        <v>18881</v>
      </c>
      <c r="B18868">
        <v>265</v>
      </c>
      <c r="C18868" s="1" t="str">
        <f>HYPERLINK("http://www.rosaceae.org/gb/gbrowse/malus_x_domestica/?name=MDP0000153963","MDP0000153963")</f>
        <v>MDP0000153963</v>
      </c>
      <c r="D18868">
        <v>72.28</v>
      </c>
      <c r="E18868">
        <v>267</v>
      </c>
      <c r="F18868">
        <v>74</v>
      </c>
      <c r="G18868">
        <v>2</v>
      </c>
      <c r="H18868">
        <v>1</v>
      </c>
      <c r="I18868">
        <v>265</v>
      </c>
      <c r="J18868">
        <v>1</v>
      </c>
      <c r="K18868">
        <v>1</v>
      </c>
      <c r="L18868">
        <v>267</v>
      </c>
      <c r="M18868">
        <v>1</v>
      </c>
      <c r="N18868">
        <v>1.69685E-113</v>
      </c>
      <c r="O18868">
        <v>1042</v>
      </c>
    </row>
    <row r="18869" spans="1:15" x14ac:dyDescent="0.25">
      <c r="A18869" t="s">
        <v>18882</v>
      </c>
      <c r="B18869">
        <v>240</v>
      </c>
      <c r="C18869" s="1" t="str">
        <f>HYPERLINK("http://www.rosaceae.org/gb/gbrowse/malus_x_domestica/?name=MDP0000867772","MDP0000867772")</f>
        <v>MDP0000867772</v>
      </c>
      <c r="D18869">
        <v>86.04</v>
      </c>
      <c r="E18869">
        <v>215</v>
      </c>
      <c r="F18869">
        <v>30</v>
      </c>
      <c r="G18869">
        <v>12</v>
      </c>
      <c r="H18869">
        <v>1</v>
      </c>
      <c r="I18869">
        <v>215</v>
      </c>
      <c r="J18869">
        <v>1</v>
      </c>
      <c r="K18869">
        <v>285</v>
      </c>
      <c r="L18869">
        <v>487</v>
      </c>
      <c r="M18869">
        <v>1</v>
      </c>
      <c r="N18869">
        <v>1.1754500000000001E-103</v>
      </c>
      <c r="O18869">
        <v>957</v>
      </c>
    </row>
    <row r="18870" spans="1:15" x14ac:dyDescent="0.25">
      <c r="A18870" t="s">
        <v>18883</v>
      </c>
      <c r="B18870">
        <v>279</v>
      </c>
      <c r="C18870" s="1" t="str">
        <f>HYPERLINK("http://www.rosaceae.org/gb/gbrowse/malus_x_domestica/?name=MDP0000176025","MDP0000176025")</f>
        <v>MDP0000176025</v>
      </c>
      <c r="D18870">
        <v>28.4</v>
      </c>
      <c r="E18870">
        <v>338</v>
      </c>
      <c r="F18870">
        <v>242</v>
      </c>
      <c r="G18870">
        <v>76</v>
      </c>
      <c r="H18870">
        <v>8</v>
      </c>
      <c r="I18870">
        <v>277</v>
      </c>
      <c r="J18870">
        <v>1</v>
      </c>
      <c r="K18870">
        <v>397</v>
      </c>
      <c r="L18870">
        <v>726</v>
      </c>
      <c r="M18870">
        <v>1</v>
      </c>
      <c r="N18870">
        <v>4.5029200000000001E-24</v>
      </c>
      <c r="O18870">
        <v>271</v>
      </c>
    </row>
    <row r="18871" spans="1:15" x14ac:dyDescent="0.25">
      <c r="A18871" t="s">
        <v>18884</v>
      </c>
      <c r="B18871">
        <v>251</v>
      </c>
      <c r="C18871" s="1" t="str">
        <f>HYPERLINK("http://www.rosaceae.org/gb/gbrowse/malus_x_domestica/?name=MDP0000126517","MDP0000126517")</f>
        <v>MDP0000126517</v>
      </c>
      <c r="D18871">
        <v>79.27</v>
      </c>
      <c r="E18871">
        <v>222</v>
      </c>
      <c r="F18871">
        <v>46</v>
      </c>
      <c r="G18871">
        <v>12</v>
      </c>
      <c r="H18871">
        <v>1</v>
      </c>
      <c r="I18871">
        <v>215</v>
      </c>
      <c r="J18871">
        <v>1</v>
      </c>
      <c r="K18871">
        <v>1</v>
      </c>
      <c r="L18871">
        <v>217</v>
      </c>
      <c r="M18871">
        <v>1</v>
      </c>
      <c r="N18871">
        <v>5.4555200000000002E-99</v>
      </c>
      <c r="O18871">
        <v>917</v>
      </c>
    </row>
    <row r="18872" spans="1:15" x14ac:dyDescent="0.25">
      <c r="A18872" t="s">
        <v>18885</v>
      </c>
      <c r="B18872">
        <v>458</v>
      </c>
      <c r="C18872" s="1" t="str">
        <f>HYPERLINK("http://www.rosaceae.org/gb/gbrowse/malus_x_domestica/?name=MDP0000290153","MDP0000290153")</f>
        <v>MDP0000290153</v>
      </c>
      <c r="D18872">
        <v>48.8</v>
      </c>
      <c r="E18872">
        <v>459</v>
      </c>
      <c r="F18872">
        <v>235</v>
      </c>
      <c r="G18872">
        <v>10</v>
      </c>
      <c r="H18872">
        <v>1</v>
      </c>
      <c r="I18872">
        <v>456</v>
      </c>
      <c r="J18872">
        <v>1</v>
      </c>
      <c r="K18872">
        <v>546</v>
      </c>
      <c r="L18872">
        <v>997</v>
      </c>
      <c r="M18872">
        <v>1</v>
      </c>
      <c r="N18872">
        <v>2.86133E-115</v>
      </c>
      <c r="O18872">
        <v>1060</v>
      </c>
    </row>
    <row r="18873" spans="1:15" x14ac:dyDescent="0.25">
      <c r="A18873" t="s">
        <v>18886</v>
      </c>
      <c r="B18873">
        <v>2702</v>
      </c>
      <c r="C18873" s="1" t="str">
        <f>HYPERLINK("http://www.rosaceae.org/gb/gbrowse/malus_x_domestica/?name=MDP0000250688","MDP0000250688")</f>
        <v>MDP0000250688</v>
      </c>
      <c r="D18873">
        <v>66.150000000000006</v>
      </c>
      <c r="E18873">
        <v>2000</v>
      </c>
      <c r="F18873">
        <v>677</v>
      </c>
      <c r="G18873">
        <v>113</v>
      </c>
      <c r="H18873">
        <v>27</v>
      </c>
      <c r="I18873">
        <v>1975</v>
      </c>
      <c r="J18873">
        <v>1</v>
      </c>
      <c r="K18873">
        <v>26</v>
      </c>
      <c r="L18873">
        <v>1963</v>
      </c>
      <c r="M18873">
        <v>1</v>
      </c>
      <c r="N18873">
        <v>0</v>
      </c>
      <c r="O18873">
        <v>6703</v>
      </c>
    </row>
    <row r="18874" spans="1:15" x14ac:dyDescent="0.25">
      <c r="A18874" t="s">
        <v>18887</v>
      </c>
      <c r="B18874">
        <v>141</v>
      </c>
      <c r="C18874" s="1" t="str">
        <f>HYPERLINK("http://www.rosaceae.org/gb/gbrowse/malus_x_domestica/?name=MDP0000624964","MDP0000624964")</f>
        <v>MDP0000624964</v>
      </c>
      <c r="D18874">
        <v>76.31</v>
      </c>
      <c r="E18874">
        <v>114</v>
      </c>
      <c r="F18874">
        <v>27</v>
      </c>
      <c r="G18874">
        <v>3</v>
      </c>
      <c r="H18874">
        <v>1</v>
      </c>
      <c r="I18874">
        <v>112</v>
      </c>
      <c r="J18874">
        <v>1</v>
      </c>
      <c r="K18874">
        <v>1</v>
      </c>
      <c r="L18874">
        <v>113</v>
      </c>
      <c r="M18874">
        <v>1</v>
      </c>
      <c r="N18874">
        <v>6.6595200000000006E-42</v>
      </c>
      <c r="O18874">
        <v>420</v>
      </c>
    </row>
    <row r="18875" spans="1:15" x14ac:dyDescent="0.25">
      <c r="A18875" t="s">
        <v>18888</v>
      </c>
      <c r="B18875">
        <v>366</v>
      </c>
      <c r="C18875" s="1" t="str">
        <f>HYPERLINK("http://www.rosaceae.org/gb/gbrowse/malus_x_domestica/?name=MDP0000153380","MDP0000153380")</f>
        <v>MDP0000153380</v>
      </c>
      <c r="D18875">
        <v>43.42</v>
      </c>
      <c r="E18875">
        <v>251</v>
      </c>
      <c r="F18875">
        <v>142</v>
      </c>
      <c r="G18875">
        <v>36</v>
      </c>
      <c r="H18875">
        <v>68</v>
      </c>
      <c r="I18875">
        <v>313</v>
      </c>
      <c r="J18875">
        <v>1</v>
      </c>
      <c r="K18875">
        <v>1</v>
      </c>
      <c r="L18875">
        <v>220</v>
      </c>
      <c r="M18875">
        <v>1</v>
      </c>
      <c r="N18875">
        <v>1.70567E-40</v>
      </c>
      <c r="O18875">
        <v>414</v>
      </c>
    </row>
    <row r="18876" spans="1:15" x14ac:dyDescent="0.25">
      <c r="A18876" t="s">
        <v>18889</v>
      </c>
      <c r="B18876">
        <v>114</v>
      </c>
      <c r="C18876" s="1" t="str">
        <f>HYPERLINK("http://www.rosaceae.org/gb/gbrowse/malus_x_domestica/?name=MDP0000146517","MDP0000146517")</f>
        <v>MDP0000146517</v>
      </c>
      <c r="D18876">
        <v>43.11</v>
      </c>
      <c r="E18876">
        <v>109</v>
      </c>
      <c r="F18876">
        <v>62</v>
      </c>
      <c r="G18876">
        <v>27</v>
      </c>
      <c r="H18876">
        <v>7</v>
      </c>
      <c r="I18876">
        <v>107</v>
      </c>
      <c r="J18876">
        <v>1</v>
      </c>
      <c r="K18876">
        <v>5</v>
      </c>
      <c r="L18876">
        <v>94</v>
      </c>
      <c r="M18876">
        <v>1</v>
      </c>
      <c r="N18876">
        <v>4.0742300000000003E-11</v>
      </c>
      <c r="O18876">
        <v>153</v>
      </c>
    </row>
    <row r="18877" spans="1:15" x14ac:dyDescent="0.25">
      <c r="A18877" t="s">
        <v>18890</v>
      </c>
      <c r="B18877">
        <v>481</v>
      </c>
      <c r="C18877" s="1" t="str">
        <f>HYPERLINK("http://www.rosaceae.org/gb/gbrowse/malus_x_domestica/?name=MDP0000184653","MDP0000184653")</f>
        <v>MDP0000184653</v>
      </c>
      <c r="D18877">
        <v>83.22</v>
      </c>
      <c r="E18877">
        <v>471</v>
      </c>
      <c r="F18877">
        <v>79</v>
      </c>
      <c r="G18877">
        <v>1</v>
      </c>
      <c r="H18877">
        <v>12</v>
      </c>
      <c r="I18877">
        <v>481</v>
      </c>
      <c r="J18877">
        <v>1</v>
      </c>
      <c r="K18877">
        <v>17</v>
      </c>
      <c r="L18877">
        <v>487</v>
      </c>
      <c r="M18877">
        <v>1</v>
      </c>
      <c r="N18877">
        <v>0</v>
      </c>
      <c r="O18877">
        <v>1982</v>
      </c>
    </row>
    <row r="18878" spans="1:15" x14ac:dyDescent="0.25">
      <c r="A18878" t="s">
        <v>18891</v>
      </c>
      <c r="B18878">
        <v>743</v>
      </c>
      <c r="C18878" s="1" t="str">
        <f>HYPERLINK("http://www.rosaceae.org/gb/gbrowse/malus_x_domestica/?name=MDP0000248545","MDP0000248545")</f>
        <v>MDP0000248545</v>
      </c>
      <c r="D18878">
        <v>31.14</v>
      </c>
      <c r="E18878">
        <v>366</v>
      </c>
      <c r="F18878">
        <v>252</v>
      </c>
      <c r="G18878">
        <v>94</v>
      </c>
      <c r="H18878">
        <v>105</v>
      </c>
      <c r="I18878">
        <v>429</v>
      </c>
      <c r="J18878">
        <v>1</v>
      </c>
      <c r="K18878">
        <v>81</v>
      </c>
      <c r="L18878">
        <v>393</v>
      </c>
      <c r="M18878">
        <v>1</v>
      </c>
      <c r="N18878">
        <v>2.1644700000000001E-32</v>
      </c>
      <c r="O18878">
        <v>348</v>
      </c>
    </row>
    <row r="18879" spans="1:15" x14ac:dyDescent="0.25">
      <c r="A18879" t="s">
        <v>18892</v>
      </c>
      <c r="B18879">
        <v>256</v>
      </c>
      <c r="C18879" s="1" t="str">
        <f>HYPERLINK("http://www.rosaceae.org/gb/gbrowse/malus_x_domestica/?name=MDP0000171451","MDP0000171451")</f>
        <v>MDP0000171451</v>
      </c>
      <c r="D18879">
        <v>76.17</v>
      </c>
      <c r="E18879">
        <v>256</v>
      </c>
      <c r="F18879">
        <v>61</v>
      </c>
      <c r="G18879">
        <v>0</v>
      </c>
      <c r="H18879">
        <v>1</v>
      </c>
      <c r="I18879">
        <v>256</v>
      </c>
      <c r="J18879">
        <v>1</v>
      </c>
      <c r="K18879">
        <v>217</v>
      </c>
      <c r="L18879">
        <v>472</v>
      </c>
      <c r="M18879">
        <v>1</v>
      </c>
      <c r="N18879">
        <v>7.4562099999999997E-113</v>
      </c>
      <c r="O18879">
        <v>1036</v>
      </c>
    </row>
    <row r="18880" spans="1:15" x14ac:dyDescent="0.25">
      <c r="A18880" t="s">
        <v>18893</v>
      </c>
      <c r="B18880">
        <v>269</v>
      </c>
      <c r="C18880" s="1" t="str">
        <f>HYPERLINK("http://www.rosaceae.org/gb/gbrowse/malus_x_domestica/?name=MDP0000836165","MDP0000836165")</f>
        <v>MDP0000836165</v>
      </c>
      <c r="D18880">
        <v>48.31</v>
      </c>
      <c r="E18880">
        <v>238</v>
      </c>
      <c r="F18880">
        <v>123</v>
      </c>
      <c r="G18880">
        <v>5</v>
      </c>
      <c r="H18880">
        <v>36</v>
      </c>
      <c r="I18880">
        <v>268</v>
      </c>
      <c r="J18880">
        <v>1</v>
      </c>
      <c r="K18880">
        <v>236</v>
      </c>
      <c r="L18880">
        <v>473</v>
      </c>
      <c r="M18880">
        <v>1</v>
      </c>
      <c r="N18880">
        <v>6.1733100000000004E-59</v>
      </c>
      <c r="O18880">
        <v>572</v>
      </c>
    </row>
    <row r="18881" spans="1:15" x14ac:dyDescent="0.25">
      <c r="A18881" t="s">
        <v>18894</v>
      </c>
      <c r="B18881">
        <v>347</v>
      </c>
      <c r="C18881" s="1" t="str">
        <f>HYPERLINK("http://www.rosaceae.org/gb/gbrowse/malus_x_domestica/?name=MDP0000337873","MDP0000337873")</f>
        <v>MDP0000337873</v>
      </c>
      <c r="D18881">
        <v>78.11</v>
      </c>
      <c r="E18881">
        <v>361</v>
      </c>
      <c r="F18881">
        <v>79</v>
      </c>
      <c r="G18881">
        <v>23</v>
      </c>
      <c r="H18881">
        <v>9</v>
      </c>
      <c r="I18881">
        <v>347</v>
      </c>
      <c r="J18881">
        <v>1</v>
      </c>
      <c r="K18881">
        <v>4</v>
      </c>
      <c r="L18881">
        <v>363</v>
      </c>
      <c r="M18881">
        <v>1</v>
      </c>
      <c r="N18881">
        <v>1.2194499999999999E-158</v>
      </c>
      <c r="O18881">
        <v>1433</v>
      </c>
    </row>
    <row r="18882" spans="1:15" x14ac:dyDescent="0.25">
      <c r="A18882" t="s">
        <v>18895</v>
      </c>
      <c r="B18882">
        <v>343</v>
      </c>
      <c r="C18882" s="1" t="str">
        <f>HYPERLINK("http://www.rosaceae.org/gb/gbrowse/malus_x_domestica/?name=MDP0000435964","MDP0000435964")</f>
        <v>MDP0000435964</v>
      </c>
      <c r="D18882">
        <v>66.05</v>
      </c>
      <c r="E18882">
        <v>218</v>
      </c>
      <c r="F18882">
        <v>74</v>
      </c>
      <c r="G18882">
        <v>32</v>
      </c>
      <c r="H18882">
        <v>40</v>
      </c>
      <c r="I18882">
        <v>257</v>
      </c>
      <c r="J18882">
        <v>1</v>
      </c>
      <c r="K18882">
        <v>12</v>
      </c>
      <c r="L18882">
        <v>197</v>
      </c>
      <c r="M18882">
        <v>1</v>
      </c>
      <c r="N18882">
        <v>1.84858E-76</v>
      </c>
      <c r="O18882">
        <v>724</v>
      </c>
    </row>
    <row r="18883" spans="1:15" x14ac:dyDescent="0.25">
      <c r="A18883" t="s">
        <v>18896</v>
      </c>
      <c r="B18883">
        <v>523</v>
      </c>
      <c r="C18883" s="1" t="str">
        <f>HYPERLINK("http://www.rosaceae.org/gb/gbrowse/malus_x_domestica/?name=MDP0000197480","MDP0000197480")</f>
        <v>MDP0000197480</v>
      </c>
      <c r="D18883">
        <v>52.43</v>
      </c>
      <c r="E18883">
        <v>513</v>
      </c>
      <c r="F18883">
        <v>244</v>
      </c>
      <c r="G18883">
        <v>148</v>
      </c>
      <c r="H18883">
        <v>40</v>
      </c>
      <c r="I18883">
        <v>479</v>
      </c>
      <c r="J18883">
        <v>1</v>
      </c>
      <c r="K18883">
        <v>11</v>
      </c>
      <c r="L18883">
        <v>448</v>
      </c>
      <c r="M18883">
        <v>1</v>
      </c>
      <c r="N18883">
        <v>1.18394E-126</v>
      </c>
      <c r="O18883">
        <v>1159</v>
      </c>
    </row>
    <row r="18884" spans="1:15" x14ac:dyDescent="0.25">
      <c r="A18884" t="s">
        <v>18897</v>
      </c>
      <c r="B18884">
        <v>1249</v>
      </c>
      <c r="C18884" s="1" t="str">
        <f>HYPERLINK("http://www.rosaceae.org/gb/gbrowse/malus_x_domestica/?name=MDP0000260550","MDP0000260550")</f>
        <v>MDP0000260550</v>
      </c>
      <c r="D18884">
        <v>72.66</v>
      </c>
      <c r="E18884">
        <v>834</v>
      </c>
      <c r="F18884">
        <v>228</v>
      </c>
      <c r="G18884">
        <v>76</v>
      </c>
      <c r="H18884">
        <v>1</v>
      </c>
      <c r="I18884">
        <v>801</v>
      </c>
      <c r="J18884">
        <v>1</v>
      </c>
      <c r="K18884">
        <v>1</v>
      </c>
      <c r="L18884">
        <v>791</v>
      </c>
      <c r="M18884">
        <v>1</v>
      </c>
      <c r="N18884">
        <v>0</v>
      </c>
      <c r="O18884">
        <v>3028</v>
      </c>
    </row>
    <row r="18885" spans="1:15" x14ac:dyDescent="0.25">
      <c r="A18885" t="s">
        <v>18898</v>
      </c>
      <c r="B18885">
        <v>101</v>
      </c>
      <c r="C18885" s="1" t="str">
        <f>HYPERLINK("http://www.rosaceae.org/gb/gbrowse/malus_x_domestica/?name=MDP0000142251","MDP0000142251")</f>
        <v>MDP0000142251</v>
      </c>
      <c r="D18885">
        <v>81.180000000000007</v>
      </c>
      <c r="E18885">
        <v>101</v>
      </c>
      <c r="F18885">
        <v>19</v>
      </c>
      <c r="G18885">
        <v>0</v>
      </c>
      <c r="H18885">
        <v>1</v>
      </c>
      <c r="I18885">
        <v>101</v>
      </c>
      <c r="J18885">
        <v>1</v>
      </c>
      <c r="K18885">
        <v>4</v>
      </c>
      <c r="L18885">
        <v>104</v>
      </c>
      <c r="M18885">
        <v>1</v>
      </c>
      <c r="N18885">
        <v>1.9528999999999999E-45</v>
      </c>
      <c r="O18885">
        <v>449</v>
      </c>
    </row>
    <row r="18886" spans="1:15" x14ac:dyDescent="0.25">
      <c r="A18886" t="s">
        <v>18899</v>
      </c>
      <c r="B18886">
        <v>396</v>
      </c>
      <c r="C18886" s="1" t="str">
        <f>HYPERLINK("http://www.rosaceae.org/gb/gbrowse/malus_x_domestica/?name=MDP0000286589","MDP0000286589")</f>
        <v>MDP0000286589</v>
      </c>
      <c r="D18886">
        <v>55.7</v>
      </c>
      <c r="E18886">
        <v>377</v>
      </c>
      <c r="F18886">
        <v>167</v>
      </c>
      <c r="G18886">
        <v>30</v>
      </c>
      <c r="H18886">
        <v>23</v>
      </c>
      <c r="I18886">
        <v>385</v>
      </c>
      <c r="J18886">
        <v>1</v>
      </c>
      <c r="K18886">
        <v>9</v>
      </c>
      <c r="L18886">
        <v>369</v>
      </c>
      <c r="M18886">
        <v>1</v>
      </c>
      <c r="N18886">
        <v>6.4734699999999997E-107</v>
      </c>
      <c r="O18886">
        <v>987</v>
      </c>
    </row>
    <row r="18887" spans="1:15" x14ac:dyDescent="0.25">
      <c r="A18887" t="s">
        <v>18900</v>
      </c>
      <c r="B18887">
        <v>460</v>
      </c>
      <c r="C18887" s="1" t="str">
        <f>HYPERLINK("http://www.rosaceae.org/gb/gbrowse/malus_x_domestica/?name=MDP0000193151","MDP0000193151")</f>
        <v>MDP0000193151</v>
      </c>
      <c r="D18887">
        <v>68.75</v>
      </c>
      <c r="E18887">
        <v>432</v>
      </c>
      <c r="F18887">
        <v>135</v>
      </c>
      <c r="G18887">
        <v>46</v>
      </c>
      <c r="H18887">
        <v>18</v>
      </c>
      <c r="I18887">
        <v>444</v>
      </c>
      <c r="J18887">
        <v>1</v>
      </c>
      <c r="K18887">
        <v>18</v>
      </c>
      <c r="L18887">
        <v>408</v>
      </c>
      <c r="M18887">
        <v>1</v>
      </c>
      <c r="N18887">
        <v>1.9943099999999999E-171</v>
      </c>
      <c r="O18887">
        <v>1544</v>
      </c>
    </row>
    <row r="18888" spans="1:15" x14ac:dyDescent="0.25">
      <c r="A18888" t="s">
        <v>18901</v>
      </c>
      <c r="B18888">
        <v>949</v>
      </c>
      <c r="C18888" s="1" t="str">
        <f>HYPERLINK("http://www.rosaceae.org/gb/gbrowse/malus_x_domestica/?name=MDP0000170524","MDP0000170524")</f>
        <v>MDP0000170524</v>
      </c>
      <c r="D18888">
        <v>67.03</v>
      </c>
      <c r="E18888">
        <v>916</v>
      </c>
      <c r="F18888">
        <v>302</v>
      </c>
      <c r="G18888">
        <v>41</v>
      </c>
      <c r="H18888">
        <v>72</v>
      </c>
      <c r="I18888">
        <v>949</v>
      </c>
      <c r="J18888">
        <v>1</v>
      </c>
      <c r="K18888">
        <v>1</v>
      </c>
      <c r="L18888">
        <v>913</v>
      </c>
      <c r="M18888">
        <v>1</v>
      </c>
      <c r="N18888">
        <v>0</v>
      </c>
      <c r="O18888">
        <v>2979</v>
      </c>
    </row>
    <row r="18889" spans="1:15" x14ac:dyDescent="0.25">
      <c r="A18889" t="s">
        <v>18902</v>
      </c>
      <c r="B18889">
        <v>245</v>
      </c>
      <c r="C18889" s="1" t="str">
        <f>HYPERLINK("http://www.rosaceae.org/gb/gbrowse/malus_x_domestica/?name=MDP0000119945","MDP0000119945")</f>
        <v>MDP0000119945</v>
      </c>
      <c r="D18889">
        <v>67.87</v>
      </c>
      <c r="E18889">
        <v>165</v>
      </c>
      <c r="F18889">
        <v>53</v>
      </c>
      <c r="G18889">
        <v>1</v>
      </c>
      <c r="H18889">
        <v>1</v>
      </c>
      <c r="I18889">
        <v>164</v>
      </c>
      <c r="J18889">
        <v>1</v>
      </c>
      <c r="K18889">
        <v>7</v>
      </c>
      <c r="L18889">
        <v>171</v>
      </c>
      <c r="M18889">
        <v>1</v>
      </c>
      <c r="N18889">
        <v>5.8597500000000002E-57</v>
      </c>
      <c r="O18889">
        <v>554</v>
      </c>
    </row>
    <row r="18890" spans="1:15" x14ac:dyDescent="0.25">
      <c r="A18890" t="s">
        <v>18903</v>
      </c>
      <c r="B18890">
        <v>259</v>
      </c>
      <c r="C18890" s="1" t="str">
        <f>HYPERLINK("http://www.rosaceae.org/gb/gbrowse/malus_x_domestica/?name=MDP0000407301","MDP0000407301")</f>
        <v>MDP0000407301</v>
      </c>
      <c r="D18890">
        <v>57</v>
      </c>
      <c r="E18890">
        <v>214</v>
      </c>
      <c r="F18890">
        <v>92</v>
      </c>
      <c r="G18890">
        <v>1</v>
      </c>
      <c r="H18890">
        <v>46</v>
      </c>
      <c r="I18890">
        <v>258</v>
      </c>
      <c r="J18890">
        <v>1</v>
      </c>
      <c r="K18890">
        <v>113</v>
      </c>
      <c r="L18890">
        <v>326</v>
      </c>
      <c r="M18890">
        <v>1</v>
      </c>
      <c r="N18890">
        <v>2.99855E-69</v>
      </c>
      <c r="O18890">
        <v>660</v>
      </c>
    </row>
    <row r="18891" spans="1:15" x14ac:dyDescent="0.25">
      <c r="A18891" t="s">
        <v>18904</v>
      </c>
      <c r="B18891">
        <v>104</v>
      </c>
      <c r="C18891" s="1" t="str">
        <f>HYPERLINK("http://www.rosaceae.org/gb/gbrowse/malus_x_domestica/?name=MDP0000932002","MDP0000932002")</f>
        <v>MDP0000932002</v>
      </c>
      <c r="D18891">
        <v>58.88</v>
      </c>
      <c r="E18891">
        <v>90</v>
      </c>
      <c r="F18891">
        <v>37</v>
      </c>
      <c r="G18891">
        <v>3</v>
      </c>
      <c r="H18891">
        <v>17</v>
      </c>
      <c r="I18891">
        <v>104</v>
      </c>
      <c r="J18891">
        <v>1</v>
      </c>
      <c r="K18891">
        <v>17</v>
      </c>
      <c r="L18891">
        <v>105</v>
      </c>
      <c r="M18891">
        <v>1</v>
      </c>
      <c r="N18891">
        <v>4.6771400000000001E-20</v>
      </c>
      <c r="O18891">
        <v>230</v>
      </c>
    </row>
    <row r="18892" spans="1:15" x14ac:dyDescent="0.25">
      <c r="A18892" t="s">
        <v>18905</v>
      </c>
      <c r="B18892">
        <v>772</v>
      </c>
      <c r="C18892" s="1" t="str">
        <f>HYPERLINK("http://www.rosaceae.org/gb/gbrowse/malus_x_domestica/?name=MDP0000152408","MDP0000152408")</f>
        <v>MDP0000152408</v>
      </c>
      <c r="D18892">
        <v>54.72</v>
      </c>
      <c r="E18892">
        <v>815</v>
      </c>
      <c r="F18892">
        <v>369</v>
      </c>
      <c r="G18892">
        <v>100</v>
      </c>
      <c r="H18892">
        <v>1</v>
      </c>
      <c r="I18892">
        <v>771</v>
      </c>
      <c r="J18892">
        <v>1</v>
      </c>
      <c r="K18892">
        <v>1</v>
      </c>
      <c r="L18892">
        <v>759</v>
      </c>
      <c r="M18892">
        <v>1</v>
      </c>
      <c r="N18892">
        <v>0</v>
      </c>
      <c r="O18892">
        <v>2022</v>
      </c>
    </row>
    <row r="18893" spans="1:15" x14ac:dyDescent="0.25">
      <c r="A18893" t="s">
        <v>18906</v>
      </c>
      <c r="B18893">
        <v>556</v>
      </c>
      <c r="C18893" s="1" t="str">
        <f>HYPERLINK("http://www.rosaceae.org/gb/gbrowse/malus_x_domestica/?name=MDP0000702120","MDP0000702120")</f>
        <v>MDP0000702120</v>
      </c>
      <c r="D18893">
        <v>60.69</v>
      </c>
      <c r="E18893">
        <v>547</v>
      </c>
      <c r="F18893">
        <v>215</v>
      </c>
      <c r="G18893">
        <v>7</v>
      </c>
      <c r="H18893">
        <v>3</v>
      </c>
      <c r="I18893">
        <v>544</v>
      </c>
      <c r="J18893">
        <v>1</v>
      </c>
      <c r="K18893">
        <v>4</v>
      </c>
      <c r="L18893">
        <v>548</v>
      </c>
      <c r="M18893">
        <v>1</v>
      </c>
      <c r="N18893">
        <v>0</v>
      </c>
      <c r="O18893">
        <v>1748</v>
      </c>
    </row>
    <row r="18894" spans="1:15" x14ac:dyDescent="0.25">
      <c r="A18894" t="s">
        <v>18907</v>
      </c>
      <c r="B18894">
        <v>379</v>
      </c>
      <c r="C18894" s="1" t="str">
        <f>HYPERLINK("http://www.rosaceae.org/gb/gbrowse/malus_x_domestica/?name=MDP0000314407","MDP0000314407")</f>
        <v>MDP0000314407</v>
      </c>
      <c r="D18894">
        <v>86.33</v>
      </c>
      <c r="E18894">
        <v>344</v>
      </c>
      <c r="F18894">
        <v>47</v>
      </c>
      <c r="G18894">
        <v>1</v>
      </c>
      <c r="H18894">
        <v>1</v>
      </c>
      <c r="I18894">
        <v>343</v>
      </c>
      <c r="J18894">
        <v>1</v>
      </c>
      <c r="K18894">
        <v>1</v>
      </c>
      <c r="L18894">
        <v>344</v>
      </c>
      <c r="M18894">
        <v>1</v>
      </c>
      <c r="N18894">
        <v>8.3392900000000006E-173</v>
      </c>
      <c r="O18894">
        <v>1555</v>
      </c>
    </row>
    <row r="18895" spans="1:15" x14ac:dyDescent="0.25">
      <c r="A18895" t="s">
        <v>18908</v>
      </c>
      <c r="B18895">
        <v>732</v>
      </c>
      <c r="C18895" s="1" t="str">
        <f>HYPERLINK("http://www.rosaceae.org/gb/gbrowse/malus_x_domestica/?name=MDP0000279620","MDP0000279620")</f>
        <v>MDP0000279620</v>
      </c>
      <c r="D18895">
        <v>72.819999999999993</v>
      </c>
      <c r="E18895">
        <v>736</v>
      </c>
      <c r="F18895">
        <v>200</v>
      </c>
      <c r="G18895">
        <v>15</v>
      </c>
      <c r="H18895">
        <v>3</v>
      </c>
      <c r="I18895">
        <v>727</v>
      </c>
      <c r="J18895">
        <v>1</v>
      </c>
      <c r="K18895">
        <v>4</v>
      </c>
      <c r="L18895">
        <v>735</v>
      </c>
      <c r="M18895">
        <v>1</v>
      </c>
      <c r="N18895">
        <v>0</v>
      </c>
      <c r="O18895">
        <v>2792</v>
      </c>
    </row>
    <row r="18896" spans="1:15" x14ac:dyDescent="0.25">
      <c r="A18896" t="s">
        <v>18909</v>
      </c>
      <c r="B18896">
        <v>670</v>
      </c>
      <c r="C18896" s="1" t="str">
        <f>HYPERLINK("http://www.rosaceae.org/gb/gbrowse/malus_x_domestica/?name=MDP0000295593","MDP0000295593")</f>
        <v>MDP0000295593</v>
      </c>
      <c r="D18896">
        <v>70.209999999999994</v>
      </c>
      <c r="E18896">
        <v>658</v>
      </c>
      <c r="F18896">
        <v>196</v>
      </c>
      <c r="G18896">
        <v>6</v>
      </c>
      <c r="H18896">
        <v>6</v>
      </c>
      <c r="I18896">
        <v>657</v>
      </c>
      <c r="J18896">
        <v>1</v>
      </c>
      <c r="K18896">
        <v>296</v>
      </c>
      <c r="L18896">
        <v>953</v>
      </c>
      <c r="M18896">
        <v>1</v>
      </c>
      <c r="N18896">
        <v>0</v>
      </c>
      <c r="O18896">
        <v>2460</v>
      </c>
    </row>
    <row r="18897" spans="1:15" x14ac:dyDescent="0.25">
      <c r="A18897" t="s">
        <v>18910</v>
      </c>
      <c r="B18897">
        <v>418</v>
      </c>
      <c r="C18897" s="1" t="str">
        <f>HYPERLINK("http://www.rosaceae.org/gb/gbrowse/malus_x_domestica/?name=MDP0000277557","MDP0000277557")</f>
        <v>MDP0000277557</v>
      </c>
      <c r="D18897">
        <v>63.53</v>
      </c>
      <c r="E18897">
        <v>266</v>
      </c>
      <c r="F18897">
        <v>97</v>
      </c>
      <c r="G18897">
        <v>10</v>
      </c>
      <c r="H18897">
        <v>160</v>
      </c>
      <c r="I18897">
        <v>418</v>
      </c>
      <c r="J18897">
        <v>1</v>
      </c>
      <c r="K18897">
        <v>964</v>
      </c>
      <c r="L18897">
        <v>1226</v>
      </c>
      <c r="M18897">
        <v>1</v>
      </c>
      <c r="N18897">
        <v>6.7731600000000005E-88</v>
      </c>
      <c r="O18897">
        <v>824</v>
      </c>
    </row>
    <row r="18898" spans="1:15" x14ac:dyDescent="0.25">
      <c r="A18898" t="s">
        <v>18911</v>
      </c>
      <c r="B18898">
        <v>425</v>
      </c>
      <c r="C18898" s="1" t="str">
        <f>HYPERLINK("http://www.rosaceae.org/gb/gbrowse/malus_x_domestica/?name=MDP0000213797","MDP0000213797")</f>
        <v>MDP0000213797</v>
      </c>
      <c r="D18898">
        <v>67.41</v>
      </c>
      <c r="E18898">
        <v>402</v>
      </c>
      <c r="F18898">
        <v>131</v>
      </c>
      <c r="G18898">
        <v>16</v>
      </c>
      <c r="H18898">
        <v>1</v>
      </c>
      <c r="I18898">
        <v>387</v>
      </c>
      <c r="J18898">
        <v>1</v>
      </c>
      <c r="K18898">
        <v>1</v>
      </c>
      <c r="L18898">
        <v>401</v>
      </c>
      <c r="M18898">
        <v>1</v>
      </c>
      <c r="N18898">
        <v>1.4297199999999999E-148</v>
      </c>
      <c r="O18898">
        <v>1347</v>
      </c>
    </row>
    <row r="18899" spans="1:15" x14ac:dyDescent="0.25">
      <c r="A18899" t="s">
        <v>18912</v>
      </c>
      <c r="B18899">
        <v>313</v>
      </c>
      <c r="C18899" s="1" t="str">
        <f>HYPERLINK("http://www.rosaceae.org/gb/gbrowse/malus_x_domestica/?name=MDP0000221328","MDP0000221328")</f>
        <v>MDP0000221328</v>
      </c>
      <c r="D18899">
        <v>86.72</v>
      </c>
      <c r="E18899">
        <v>339</v>
      </c>
      <c r="F18899">
        <v>45</v>
      </c>
      <c r="G18899">
        <v>26</v>
      </c>
      <c r="H18899">
        <v>1</v>
      </c>
      <c r="I18899">
        <v>313</v>
      </c>
      <c r="J18899">
        <v>1</v>
      </c>
      <c r="K18899">
        <v>50</v>
      </c>
      <c r="L18899">
        <v>388</v>
      </c>
      <c r="M18899">
        <v>1</v>
      </c>
      <c r="N18899">
        <v>3.8385499999999999E-173</v>
      </c>
      <c r="O18899">
        <v>1557</v>
      </c>
    </row>
    <row r="18900" spans="1:15" x14ac:dyDescent="0.25">
      <c r="A18900" t="s">
        <v>18913</v>
      </c>
      <c r="B18900">
        <v>350</v>
      </c>
      <c r="C18900" s="1" t="str">
        <f>HYPERLINK("http://www.rosaceae.org/gb/gbrowse/malus_x_domestica/?name=MDP0000126728","MDP0000126728")</f>
        <v>MDP0000126728</v>
      </c>
      <c r="D18900">
        <v>83.33</v>
      </c>
      <c r="E18900">
        <v>282</v>
      </c>
      <c r="F18900">
        <v>47</v>
      </c>
      <c r="G18900">
        <v>0</v>
      </c>
      <c r="H18900">
        <v>1</v>
      </c>
      <c r="I18900">
        <v>282</v>
      </c>
      <c r="J18900">
        <v>1</v>
      </c>
      <c r="K18900">
        <v>1</v>
      </c>
      <c r="L18900">
        <v>282</v>
      </c>
      <c r="M18900">
        <v>1</v>
      </c>
      <c r="N18900">
        <v>3.0548199999999998E-141</v>
      </c>
      <c r="O18900">
        <v>1283</v>
      </c>
    </row>
    <row r="18901" spans="1:15" x14ac:dyDescent="0.25">
      <c r="A18901" t="s">
        <v>18914</v>
      </c>
      <c r="B18901">
        <v>338</v>
      </c>
      <c r="C18901" s="1" t="str">
        <f>HYPERLINK("http://www.rosaceae.org/gb/gbrowse/malus_x_domestica/?name=MDP0000134679","MDP0000134679")</f>
        <v>MDP0000134679</v>
      </c>
      <c r="D18901">
        <v>80.55</v>
      </c>
      <c r="E18901">
        <v>252</v>
      </c>
      <c r="F18901">
        <v>49</v>
      </c>
      <c r="G18901">
        <v>17</v>
      </c>
      <c r="H18901">
        <v>100</v>
      </c>
      <c r="I18901">
        <v>338</v>
      </c>
      <c r="J18901">
        <v>1</v>
      </c>
      <c r="K18901">
        <v>1</v>
      </c>
      <c r="L18901">
        <v>248</v>
      </c>
      <c r="M18901">
        <v>1</v>
      </c>
      <c r="N18901">
        <v>2.4593600000000002E-112</v>
      </c>
      <c r="O18901">
        <v>1033</v>
      </c>
    </row>
    <row r="18902" spans="1:15" x14ac:dyDescent="0.25">
      <c r="A18902" t="s">
        <v>18915</v>
      </c>
      <c r="B18902">
        <v>1587</v>
      </c>
      <c r="C18902" s="1" t="str">
        <f>HYPERLINK("http://www.rosaceae.org/gb/gbrowse/malus_x_domestica/?name=MDP0000143891","MDP0000143891")</f>
        <v>MDP0000143891</v>
      </c>
      <c r="D18902">
        <v>90</v>
      </c>
      <c r="E18902">
        <v>210</v>
      </c>
      <c r="F18902">
        <v>21</v>
      </c>
      <c r="G18902">
        <v>0</v>
      </c>
      <c r="H18902">
        <v>1349</v>
      </c>
      <c r="I18902">
        <v>1558</v>
      </c>
      <c r="J18902">
        <v>1</v>
      </c>
      <c r="K18902">
        <v>1</v>
      </c>
      <c r="L18902">
        <v>210</v>
      </c>
      <c r="M18902">
        <v>1</v>
      </c>
      <c r="N18902">
        <v>1.3979599999999999E-112</v>
      </c>
      <c r="O18902">
        <v>1042</v>
      </c>
    </row>
    <row r="18903" spans="1:15" x14ac:dyDescent="0.25">
      <c r="A18903" t="s">
        <v>18916</v>
      </c>
      <c r="B18903">
        <v>528</v>
      </c>
      <c r="C18903" s="1" t="str">
        <f>HYPERLINK("http://www.rosaceae.org/gb/gbrowse/malus_x_domestica/?name=MDP0000370611","MDP0000370611")</f>
        <v>MDP0000370611</v>
      </c>
      <c r="D18903">
        <v>66.959999999999994</v>
      </c>
      <c r="E18903">
        <v>566</v>
      </c>
      <c r="F18903">
        <v>187</v>
      </c>
      <c r="G18903">
        <v>46</v>
      </c>
      <c r="H18903">
        <v>1</v>
      </c>
      <c r="I18903">
        <v>528</v>
      </c>
      <c r="J18903">
        <v>1</v>
      </c>
      <c r="K18903">
        <v>127</v>
      </c>
      <c r="L18903">
        <v>684</v>
      </c>
      <c r="M18903">
        <v>1</v>
      </c>
      <c r="N18903">
        <v>0</v>
      </c>
      <c r="O18903">
        <v>1901</v>
      </c>
    </row>
    <row r="18904" spans="1:15" x14ac:dyDescent="0.25">
      <c r="A18904" t="s">
        <v>18917</v>
      </c>
      <c r="B18904">
        <v>293</v>
      </c>
      <c r="C18904" s="1" t="str">
        <f>HYPERLINK("http://www.rosaceae.org/gb/gbrowse/malus_x_domestica/?name=MDP0000826899","MDP0000826899")</f>
        <v>MDP0000826899</v>
      </c>
      <c r="D18904">
        <v>77.19</v>
      </c>
      <c r="E18904">
        <v>307</v>
      </c>
      <c r="F18904">
        <v>70</v>
      </c>
      <c r="G18904">
        <v>15</v>
      </c>
      <c r="H18904">
        <v>1</v>
      </c>
      <c r="I18904">
        <v>293</v>
      </c>
      <c r="J18904">
        <v>1</v>
      </c>
      <c r="K18904">
        <v>1</v>
      </c>
      <c r="L18904">
        <v>306</v>
      </c>
      <c r="M18904">
        <v>1</v>
      </c>
      <c r="N18904">
        <v>5.6612899999999996E-128</v>
      </c>
      <c r="O18904">
        <v>1167</v>
      </c>
    </row>
    <row r="18905" spans="1:15" x14ac:dyDescent="0.25">
      <c r="A18905" t="s">
        <v>18918</v>
      </c>
      <c r="B18905">
        <v>538</v>
      </c>
      <c r="C18905" s="1" t="str">
        <f>HYPERLINK("http://www.rosaceae.org/gb/gbrowse/malus_x_domestica/?name=MDP0000157943","MDP0000157943")</f>
        <v>MDP0000157943</v>
      </c>
      <c r="D18905">
        <v>51.34</v>
      </c>
      <c r="E18905">
        <v>520</v>
      </c>
      <c r="F18905">
        <v>253</v>
      </c>
      <c r="G18905">
        <v>21</v>
      </c>
      <c r="H18905">
        <v>25</v>
      </c>
      <c r="I18905">
        <v>534</v>
      </c>
      <c r="J18905">
        <v>1</v>
      </c>
      <c r="K18905">
        <v>23</v>
      </c>
      <c r="L18905">
        <v>531</v>
      </c>
      <c r="M18905">
        <v>1</v>
      </c>
      <c r="N18905">
        <v>6.4877400000000001E-137</v>
      </c>
      <c r="O18905">
        <v>1248</v>
      </c>
    </row>
    <row r="18906" spans="1:15" x14ac:dyDescent="0.25">
      <c r="A18906" t="s">
        <v>18919</v>
      </c>
      <c r="B18906">
        <v>299</v>
      </c>
      <c r="C18906" s="1" t="str">
        <f>HYPERLINK("http://www.rosaceae.org/gb/gbrowse/malus_x_domestica/?name=MDP0000230913","MDP0000230913")</f>
        <v>MDP0000230913</v>
      </c>
      <c r="D18906">
        <v>58.82</v>
      </c>
      <c r="E18906">
        <v>306</v>
      </c>
      <c r="F18906">
        <v>126</v>
      </c>
      <c r="G18906">
        <v>11</v>
      </c>
      <c r="H18906">
        <v>3</v>
      </c>
      <c r="I18906">
        <v>298</v>
      </c>
      <c r="J18906">
        <v>1</v>
      </c>
      <c r="K18906">
        <v>6</v>
      </c>
      <c r="L18906">
        <v>310</v>
      </c>
      <c r="M18906">
        <v>1</v>
      </c>
      <c r="N18906">
        <v>5.4210600000000001E-97</v>
      </c>
      <c r="O18906">
        <v>900</v>
      </c>
    </row>
    <row r="18907" spans="1:15" x14ac:dyDescent="0.25">
      <c r="A18907" t="s">
        <v>18920</v>
      </c>
      <c r="B18907">
        <v>655</v>
      </c>
      <c r="C18907" s="1" t="str">
        <f>HYPERLINK("http://www.rosaceae.org/gb/gbrowse/malus_x_domestica/?name=MDP0000936164","MDP0000936164")</f>
        <v>MDP0000936164</v>
      </c>
      <c r="D18907">
        <v>54.4</v>
      </c>
      <c r="E18907">
        <v>658</v>
      </c>
      <c r="F18907">
        <v>300</v>
      </c>
      <c r="G18907">
        <v>56</v>
      </c>
      <c r="H18907">
        <v>44</v>
      </c>
      <c r="I18907">
        <v>655</v>
      </c>
      <c r="J18907">
        <v>1</v>
      </c>
      <c r="K18907">
        <v>175</v>
      </c>
      <c r="L18907">
        <v>822</v>
      </c>
      <c r="M18907">
        <v>1</v>
      </c>
      <c r="N18907">
        <v>0</v>
      </c>
      <c r="O18907">
        <v>1676</v>
      </c>
    </row>
    <row r="18908" spans="1:15" x14ac:dyDescent="0.25">
      <c r="A18908" t="s">
        <v>18921</v>
      </c>
      <c r="B18908">
        <v>386</v>
      </c>
      <c r="C18908" s="1" t="str">
        <f>HYPERLINK("http://www.rosaceae.org/gb/gbrowse/malus_x_domestica/?name=MDP0000197983","MDP0000197983")</f>
        <v>MDP0000197983</v>
      </c>
      <c r="D18908">
        <v>68.63</v>
      </c>
      <c r="E18908">
        <v>389</v>
      </c>
      <c r="F18908">
        <v>122</v>
      </c>
      <c r="G18908">
        <v>13</v>
      </c>
      <c r="H18908">
        <v>1</v>
      </c>
      <c r="I18908">
        <v>386</v>
      </c>
      <c r="J18908">
        <v>1</v>
      </c>
      <c r="K18908">
        <v>1</v>
      </c>
      <c r="L18908">
        <v>379</v>
      </c>
      <c r="M18908">
        <v>1</v>
      </c>
      <c r="N18908">
        <v>2.5892599999999999E-150</v>
      </c>
      <c r="O18908">
        <v>1362</v>
      </c>
    </row>
    <row r="18909" spans="1:15" x14ac:dyDescent="0.25">
      <c r="A18909" t="s">
        <v>18922</v>
      </c>
      <c r="B18909">
        <v>233</v>
      </c>
      <c r="C18909" s="1" t="str">
        <f>HYPERLINK("http://www.rosaceae.org/gb/gbrowse/malus_x_domestica/?name=MDP0000618200","MDP0000618200")</f>
        <v>MDP0000618200</v>
      </c>
      <c r="D18909">
        <v>81.540000000000006</v>
      </c>
      <c r="E18909">
        <v>233</v>
      </c>
      <c r="F18909">
        <v>43</v>
      </c>
      <c r="G18909">
        <v>0</v>
      </c>
      <c r="H18909">
        <v>1</v>
      </c>
      <c r="I18909">
        <v>233</v>
      </c>
      <c r="J18909">
        <v>1</v>
      </c>
      <c r="K18909">
        <v>1</v>
      </c>
      <c r="L18909">
        <v>233</v>
      </c>
      <c r="M18909">
        <v>1</v>
      </c>
      <c r="N18909">
        <v>9.1323699999999997E-107</v>
      </c>
      <c r="O18909">
        <v>983</v>
      </c>
    </row>
    <row r="18910" spans="1:15" x14ac:dyDescent="0.25">
      <c r="A18910" t="s">
        <v>18923</v>
      </c>
      <c r="B18910">
        <v>211</v>
      </c>
      <c r="C18910" s="1" t="str">
        <f>HYPERLINK("http://www.rosaceae.org/gb/gbrowse/malus_x_domestica/?name=MDP0000177180","MDP0000177180")</f>
        <v>MDP0000177180</v>
      </c>
      <c r="D18910">
        <v>82.6</v>
      </c>
      <c r="E18910">
        <v>115</v>
      </c>
      <c r="F18910">
        <v>20</v>
      </c>
      <c r="G18910">
        <v>0</v>
      </c>
      <c r="H18910">
        <v>97</v>
      </c>
      <c r="I18910">
        <v>211</v>
      </c>
      <c r="J18910">
        <v>1</v>
      </c>
      <c r="K18910">
        <v>7</v>
      </c>
      <c r="L18910">
        <v>121</v>
      </c>
      <c r="M18910">
        <v>1</v>
      </c>
      <c r="N18910">
        <v>1.4174000000000001E-53</v>
      </c>
      <c r="O18910">
        <v>524</v>
      </c>
    </row>
    <row r="18911" spans="1:15" x14ac:dyDescent="0.25">
      <c r="A18911" t="s">
        <v>18924</v>
      </c>
      <c r="B18911">
        <v>510</v>
      </c>
      <c r="C18911" s="1" t="str">
        <f>HYPERLINK("http://www.rosaceae.org/gb/gbrowse/malus_x_domestica/?name=MDP0000866638","MDP0000866638")</f>
        <v>MDP0000866638</v>
      </c>
      <c r="D18911">
        <v>57.97</v>
      </c>
      <c r="E18911">
        <v>69</v>
      </c>
      <c r="F18911">
        <v>29</v>
      </c>
      <c r="G18911">
        <v>0</v>
      </c>
      <c r="H18911">
        <v>423</v>
      </c>
      <c r="I18911">
        <v>491</v>
      </c>
      <c r="J18911">
        <v>1</v>
      </c>
      <c r="K18911">
        <v>218</v>
      </c>
      <c r="L18911">
        <v>286</v>
      </c>
      <c r="M18911">
        <v>1</v>
      </c>
      <c r="N18911">
        <v>1.1461500000000001E-13</v>
      </c>
      <c r="O18911">
        <v>184</v>
      </c>
    </row>
    <row r="18912" spans="1:15" x14ac:dyDescent="0.25">
      <c r="A18912" t="s">
        <v>18925</v>
      </c>
      <c r="B18912">
        <v>237</v>
      </c>
      <c r="C18912" s="1" t="str">
        <f>HYPERLINK("http://www.rosaceae.org/gb/gbrowse/malus_x_domestica/?name=MDP0000696312","MDP0000696312")</f>
        <v>MDP0000696312</v>
      </c>
      <c r="D18912">
        <v>81.97</v>
      </c>
      <c r="E18912">
        <v>233</v>
      </c>
      <c r="F18912">
        <v>42</v>
      </c>
      <c r="G18912">
        <v>0</v>
      </c>
      <c r="H18912">
        <v>1</v>
      </c>
      <c r="I18912">
        <v>233</v>
      </c>
      <c r="J18912">
        <v>1</v>
      </c>
      <c r="K18912">
        <v>117</v>
      </c>
      <c r="L18912">
        <v>349</v>
      </c>
      <c r="M18912">
        <v>1</v>
      </c>
      <c r="N18912">
        <v>1.2460099999999999E-115</v>
      </c>
      <c r="O18912">
        <v>1060</v>
      </c>
    </row>
    <row r="18913" spans="1:15" x14ac:dyDescent="0.25">
      <c r="A18913" t="s">
        <v>18926</v>
      </c>
      <c r="B18913">
        <v>1028</v>
      </c>
      <c r="C18913" s="1" t="str">
        <f>HYPERLINK("http://www.rosaceae.org/gb/gbrowse/malus_x_domestica/?name=MDP0000263009","MDP0000263009")</f>
        <v>MDP0000263009</v>
      </c>
      <c r="D18913">
        <v>65.78</v>
      </c>
      <c r="E18913">
        <v>1058</v>
      </c>
      <c r="F18913">
        <v>362</v>
      </c>
      <c r="G18913">
        <v>36</v>
      </c>
      <c r="H18913">
        <v>4</v>
      </c>
      <c r="I18913">
        <v>1028</v>
      </c>
      <c r="J18913">
        <v>1</v>
      </c>
      <c r="K18913">
        <v>1</v>
      </c>
      <c r="L18913">
        <v>1055</v>
      </c>
      <c r="M18913">
        <v>1</v>
      </c>
      <c r="N18913">
        <v>0</v>
      </c>
      <c r="O18913">
        <v>3406</v>
      </c>
    </row>
    <row r="18914" spans="1:15" x14ac:dyDescent="0.25">
      <c r="A18914" t="s">
        <v>18927</v>
      </c>
      <c r="B18914">
        <v>271</v>
      </c>
      <c r="C18914" s="1" t="str">
        <f>HYPERLINK("http://www.rosaceae.org/gb/gbrowse/malus_x_domestica/?name=MDP0000126821","MDP0000126821")</f>
        <v>MDP0000126821</v>
      </c>
      <c r="D18914">
        <v>72.97</v>
      </c>
      <c r="E18914">
        <v>111</v>
      </c>
      <c r="F18914">
        <v>30</v>
      </c>
      <c r="G18914">
        <v>6</v>
      </c>
      <c r="H18914">
        <v>147</v>
      </c>
      <c r="I18914">
        <v>251</v>
      </c>
      <c r="J18914">
        <v>1</v>
      </c>
      <c r="K18914">
        <v>270</v>
      </c>
      <c r="L18914">
        <v>380</v>
      </c>
      <c r="M18914">
        <v>1</v>
      </c>
      <c r="N18914">
        <v>2.6828400000000002E-39</v>
      </c>
      <c r="O18914">
        <v>402</v>
      </c>
    </row>
    <row r="18915" spans="1:15" x14ac:dyDescent="0.25">
      <c r="A18915" t="s">
        <v>18928</v>
      </c>
      <c r="B18915">
        <v>208</v>
      </c>
      <c r="C18915" s="1" t="str">
        <f>HYPERLINK("http://www.rosaceae.org/gb/gbrowse/malus_x_domestica/?name=MDP0000862046","MDP0000862046")</f>
        <v>MDP0000862046</v>
      </c>
      <c r="D18915">
        <v>92.3</v>
      </c>
      <c r="E18915">
        <v>208</v>
      </c>
      <c r="F18915">
        <v>16</v>
      </c>
      <c r="G18915">
        <v>2</v>
      </c>
      <c r="H18915">
        <v>1</v>
      </c>
      <c r="I18915">
        <v>208</v>
      </c>
      <c r="J18915">
        <v>1</v>
      </c>
      <c r="K18915">
        <v>1</v>
      </c>
      <c r="L18915">
        <v>206</v>
      </c>
      <c r="M18915">
        <v>1</v>
      </c>
      <c r="N18915">
        <v>1.06522E-110</v>
      </c>
      <c r="O18915">
        <v>1016</v>
      </c>
    </row>
    <row r="18916" spans="1:15" x14ac:dyDescent="0.25">
      <c r="A18916" t="s">
        <v>18929</v>
      </c>
      <c r="B18916">
        <v>344</v>
      </c>
      <c r="C18916" s="1" t="str">
        <f>HYPERLINK("http://www.rosaceae.org/gb/gbrowse/malus_x_domestica/?name=MDP0000177114","MDP0000177114")</f>
        <v>MDP0000177114</v>
      </c>
      <c r="D18916">
        <v>63.87</v>
      </c>
      <c r="E18916">
        <v>382</v>
      </c>
      <c r="F18916">
        <v>138</v>
      </c>
      <c r="G18916">
        <v>59</v>
      </c>
      <c r="H18916">
        <v>1</v>
      </c>
      <c r="I18916">
        <v>324</v>
      </c>
      <c r="J18916">
        <v>1</v>
      </c>
      <c r="K18916">
        <v>32</v>
      </c>
      <c r="L18916">
        <v>412</v>
      </c>
      <c r="M18916">
        <v>1</v>
      </c>
      <c r="N18916">
        <v>7.18425E-128</v>
      </c>
      <c r="O18916">
        <v>1167</v>
      </c>
    </row>
    <row r="18917" spans="1:15" x14ac:dyDescent="0.25">
      <c r="A18917" t="s">
        <v>18930</v>
      </c>
      <c r="B18917">
        <v>454</v>
      </c>
      <c r="C18917" s="1" t="str">
        <f>HYPERLINK("http://www.rosaceae.org/gb/gbrowse/malus_x_domestica/?name=MDP0000276753","MDP0000276753")</f>
        <v>MDP0000276753</v>
      </c>
      <c r="D18917">
        <v>62.62</v>
      </c>
      <c r="E18917">
        <v>396</v>
      </c>
      <c r="F18917">
        <v>148</v>
      </c>
      <c r="G18917">
        <v>17</v>
      </c>
      <c r="H18917">
        <v>68</v>
      </c>
      <c r="I18917">
        <v>454</v>
      </c>
      <c r="J18917">
        <v>1</v>
      </c>
      <c r="K18917">
        <v>88</v>
      </c>
      <c r="L18917">
        <v>475</v>
      </c>
      <c r="M18917">
        <v>1</v>
      </c>
      <c r="N18917">
        <v>1.4298999999999999E-137</v>
      </c>
      <c r="O18917">
        <v>1252</v>
      </c>
    </row>
    <row r="18918" spans="1:15" x14ac:dyDescent="0.25">
      <c r="A18918" t="s">
        <v>18931</v>
      </c>
      <c r="B18918">
        <v>256</v>
      </c>
      <c r="C18918" s="1" t="str">
        <f>HYPERLINK("http://www.rosaceae.org/gb/gbrowse/malus_x_domestica/?name=MDP0000553127","MDP0000553127")</f>
        <v>MDP0000553127</v>
      </c>
      <c r="D18918">
        <v>54.76</v>
      </c>
      <c r="E18918">
        <v>84</v>
      </c>
      <c r="F18918">
        <v>38</v>
      </c>
      <c r="G18918">
        <v>1</v>
      </c>
      <c r="H18918">
        <v>116</v>
      </c>
      <c r="I18918">
        <v>199</v>
      </c>
      <c r="J18918">
        <v>1</v>
      </c>
      <c r="K18918">
        <v>82</v>
      </c>
      <c r="L18918">
        <v>164</v>
      </c>
      <c r="M18918">
        <v>1</v>
      </c>
      <c r="N18918">
        <v>2.4408199999999998E-22</v>
      </c>
      <c r="O18918">
        <v>256</v>
      </c>
    </row>
    <row r="18919" spans="1:15" x14ac:dyDescent="0.25">
      <c r="A18919" t="s">
        <v>18932</v>
      </c>
      <c r="B18919">
        <v>399</v>
      </c>
      <c r="C18919" s="1" t="str">
        <f>HYPERLINK("http://www.rosaceae.org/gb/gbrowse/malus_x_domestica/?name=MDP0000651689","MDP0000651689")</f>
        <v>MDP0000651689</v>
      </c>
      <c r="D18919">
        <v>71.180000000000007</v>
      </c>
      <c r="E18919">
        <v>406</v>
      </c>
      <c r="F18919">
        <v>117</v>
      </c>
      <c r="G18919">
        <v>12</v>
      </c>
      <c r="H18919">
        <v>1</v>
      </c>
      <c r="I18919">
        <v>394</v>
      </c>
      <c r="J18919">
        <v>1</v>
      </c>
      <c r="K18919">
        <v>171</v>
      </c>
      <c r="L18919">
        <v>576</v>
      </c>
      <c r="M18919">
        <v>1</v>
      </c>
      <c r="N18919">
        <v>5.3435300000000004E-171</v>
      </c>
      <c r="O18919">
        <v>1540</v>
      </c>
    </row>
    <row r="18920" spans="1:15" x14ac:dyDescent="0.25">
      <c r="A18920" t="s">
        <v>18933</v>
      </c>
      <c r="B18920">
        <v>468</v>
      </c>
      <c r="C18920" s="1" t="str">
        <f>HYPERLINK("http://www.rosaceae.org/gb/gbrowse/malus_x_domestica/?name=MDP0000369216","MDP0000369216")</f>
        <v>MDP0000369216</v>
      </c>
      <c r="D18920">
        <v>80.14</v>
      </c>
      <c r="E18920">
        <v>136</v>
      </c>
      <c r="F18920">
        <v>27</v>
      </c>
      <c r="G18920">
        <v>0</v>
      </c>
      <c r="H18920">
        <v>319</v>
      </c>
      <c r="I18920">
        <v>454</v>
      </c>
      <c r="J18920">
        <v>1</v>
      </c>
      <c r="K18920">
        <v>33</v>
      </c>
      <c r="L18920">
        <v>168</v>
      </c>
      <c r="M18920">
        <v>1</v>
      </c>
      <c r="N18920">
        <v>1.9872900000000001E-59</v>
      </c>
      <c r="O18920">
        <v>579</v>
      </c>
    </row>
    <row r="18921" spans="1:15" x14ac:dyDescent="0.25">
      <c r="A18921" t="s">
        <v>18934</v>
      </c>
      <c r="B18921">
        <v>1174</v>
      </c>
      <c r="C18921" s="1" t="str">
        <f>HYPERLINK("http://www.rosaceae.org/gb/gbrowse/malus_x_domestica/?name=MDP0000270499","MDP0000270499")</f>
        <v>MDP0000270499</v>
      </c>
      <c r="D18921">
        <v>51.24</v>
      </c>
      <c r="E18921">
        <v>802</v>
      </c>
      <c r="F18921">
        <v>391</v>
      </c>
      <c r="G18921">
        <v>114</v>
      </c>
      <c r="H18921">
        <v>1</v>
      </c>
      <c r="I18921">
        <v>725</v>
      </c>
      <c r="J18921">
        <v>1</v>
      </c>
      <c r="K18921">
        <v>76</v>
      </c>
      <c r="L18921">
        <v>840</v>
      </c>
      <c r="M18921">
        <v>1</v>
      </c>
      <c r="N18921">
        <v>0</v>
      </c>
      <c r="O18921">
        <v>1849</v>
      </c>
    </row>
    <row r="18922" spans="1:15" x14ac:dyDescent="0.25">
      <c r="A18922" t="s">
        <v>18935</v>
      </c>
      <c r="B18922">
        <v>253</v>
      </c>
      <c r="C18922" s="1" t="str">
        <f>HYPERLINK("http://www.rosaceae.org/gb/gbrowse/malus_x_domestica/?name=MDP0000197975","MDP0000197975")</f>
        <v>MDP0000197975</v>
      </c>
      <c r="D18922">
        <v>49.15</v>
      </c>
      <c r="E18922">
        <v>177</v>
      </c>
      <c r="F18922">
        <v>90</v>
      </c>
      <c r="G18922">
        <v>53</v>
      </c>
      <c r="H18922">
        <v>28</v>
      </c>
      <c r="I18922">
        <v>152</v>
      </c>
      <c r="J18922">
        <v>1</v>
      </c>
      <c r="K18922">
        <v>211</v>
      </c>
      <c r="L18922">
        <v>386</v>
      </c>
      <c r="M18922">
        <v>1</v>
      </c>
      <c r="N18922">
        <v>2.5905700000000001E-37</v>
      </c>
      <c r="O18922">
        <v>385</v>
      </c>
    </row>
    <row r="18923" spans="1:15" x14ac:dyDescent="0.25">
      <c r="A18923" t="s">
        <v>18936</v>
      </c>
      <c r="B18923">
        <v>272</v>
      </c>
      <c r="C18923" s="1" t="str">
        <f>HYPERLINK("http://www.rosaceae.org/gb/gbrowse/malus_x_domestica/?name=MDP0000155745","MDP0000155745")</f>
        <v>MDP0000155745</v>
      </c>
      <c r="D18923">
        <v>66.42</v>
      </c>
      <c r="E18923">
        <v>271</v>
      </c>
      <c r="F18923">
        <v>91</v>
      </c>
      <c r="G18923">
        <v>2</v>
      </c>
      <c r="H18923">
        <v>1</v>
      </c>
      <c r="I18923">
        <v>271</v>
      </c>
      <c r="J18923">
        <v>1</v>
      </c>
      <c r="K18923">
        <v>1</v>
      </c>
      <c r="L18923">
        <v>269</v>
      </c>
      <c r="M18923">
        <v>1</v>
      </c>
      <c r="N18923">
        <v>1.0414299999999999E-100</v>
      </c>
      <c r="O18923">
        <v>932</v>
      </c>
    </row>
    <row r="18924" spans="1:15" x14ac:dyDescent="0.25">
      <c r="A18924" t="s">
        <v>18937</v>
      </c>
      <c r="B18924">
        <v>385</v>
      </c>
      <c r="C18924" s="1" t="str">
        <f>HYPERLINK("http://www.rosaceae.org/gb/gbrowse/malus_x_domestica/?name=MDP0000770377","MDP0000770377")</f>
        <v>MDP0000770377</v>
      </c>
      <c r="D18924">
        <v>48.77</v>
      </c>
      <c r="E18924">
        <v>408</v>
      </c>
      <c r="F18924">
        <v>209</v>
      </c>
      <c r="G18924">
        <v>27</v>
      </c>
      <c r="H18924">
        <v>1</v>
      </c>
      <c r="I18924">
        <v>385</v>
      </c>
      <c r="J18924">
        <v>1</v>
      </c>
      <c r="K18924">
        <v>1</v>
      </c>
      <c r="L18924">
        <v>404</v>
      </c>
      <c r="M18924">
        <v>1</v>
      </c>
      <c r="N18924">
        <v>5.3741700000000005E-94</v>
      </c>
      <c r="O18924">
        <v>876</v>
      </c>
    </row>
    <row r="18925" spans="1:15" x14ac:dyDescent="0.25">
      <c r="A18925" t="s">
        <v>18938</v>
      </c>
      <c r="B18925">
        <v>126</v>
      </c>
      <c r="C18925" s="1" t="str">
        <f>HYPERLINK("http://www.rosaceae.org/gb/gbrowse/malus_x_domestica/?name=MDP0000844351","MDP0000844351")</f>
        <v>MDP0000844351</v>
      </c>
      <c r="D18925">
        <v>49.61</v>
      </c>
      <c r="E18925">
        <v>129</v>
      </c>
      <c r="F18925">
        <v>65</v>
      </c>
      <c r="G18925">
        <v>9</v>
      </c>
      <c r="H18925">
        <v>1</v>
      </c>
      <c r="I18925">
        <v>121</v>
      </c>
      <c r="J18925">
        <v>1</v>
      </c>
      <c r="K18925">
        <v>4</v>
      </c>
      <c r="L18925">
        <v>131</v>
      </c>
      <c r="M18925">
        <v>1</v>
      </c>
      <c r="N18925">
        <v>7.9169700000000004E-21</v>
      </c>
      <c r="O18925">
        <v>237</v>
      </c>
    </row>
    <row r="18926" spans="1:15" x14ac:dyDescent="0.25">
      <c r="A18926" t="s">
        <v>18939</v>
      </c>
      <c r="B18926">
        <v>178</v>
      </c>
      <c r="C18926" s="1" t="str">
        <f>HYPERLINK("http://www.rosaceae.org/gb/gbrowse/malus_x_domestica/?name=MDP0000192879","MDP0000192879")</f>
        <v>MDP0000192879</v>
      </c>
      <c r="D18926">
        <v>48.35</v>
      </c>
      <c r="E18926">
        <v>182</v>
      </c>
      <c r="F18926">
        <v>94</v>
      </c>
      <c r="G18926">
        <v>43</v>
      </c>
      <c r="H18926">
        <v>1</v>
      </c>
      <c r="I18926">
        <v>139</v>
      </c>
      <c r="J18926">
        <v>1</v>
      </c>
      <c r="K18926">
        <v>127</v>
      </c>
      <c r="L18926">
        <v>308</v>
      </c>
      <c r="M18926">
        <v>1</v>
      </c>
      <c r="N18926">
        <v>1.59906E-41</v>
      </c>
      <c r="O18926">
        <v>419</v>
      </c>
    </row>
    <row r="18927" spans="1:15" x14ac:dyDescent="0.25">
      <c r="A18927" t="s">
        <v>18940</v>
      </c>
      <c r="B18927">
        <v>363</v>
      </c>
      <c r="C18927" s="1" t="str">
        <f>HYPERLINK("http://www.rosaceae.org/gb/gbrowse/malus_x_domestica/?name=MDP0000809452","MDP0000809452")</f>
        <v>MDP0000809452</v>
      </c>
      <c r="D18927">
        <v>64.97</v>
      </c>
      <c r="E18927">
        <v>394</v>
      </c>
      <c r="F18927">
        <v>138</v>
      </c>
      <c r="G18927">
        <v>39</v>
      </c>
      <c r="H18927">
        <v>1</v>
      </c>
      <c r="I18927">
        <v>363</v>
      </c>
      <c r="J18927">
        <v>1</v>
      </c>
      <c r="K18927">
        <v>1</v>
      </c>
      <c r="L18927">
        <v>386</v>
      </c>
      <c r="M18927">
        <v>1</v>
      </c>
      <c r="N18927">
        <v>4.6988999999999999E-131</v>
      </c>
      <c r="O18927">
        <v>1195</v>
      </c>
    </row>
    <row r="18928" spans="1:15" x14ac:dyDescent="0.25">
      <c r="A18928" t="s">
        <v>18941</v>
      </c>
      <c r="B18928">
        <v>295</v>
      </c>
      <c r="C18928" s="1" t="str">
        <f>HYPERLINK("http://www.rosaceae.org/gb/gbrowse/malus_x_domestica/?name=MDP0000193012","MDP0000193012")</f>
        <v>MDP0000193012</v>
      </c>
      <c r="D18928">
        <v>81.66</v>
      </c>
      <c r="E18928">
        <v>300</v>
      </c>
      <c r="F18928">
        <v>55</v>
      </c>
      <c r="G18928">
        <v>19</v>
      </c>
      <c r="H18928">
        <v>1</v>
      </c>
      <c r="I18928">
        <v>293</v>
      </c>
      <c r="J18928">
        <v>1</v>
      </c>
      <c r="K18928">
        <v>1</v>
      </c>
      <c r="L18928">
        <v>288</v>
      </c>
      <c r="M18928">
        <v>1</v>
      </c>
      <c r="N18928">
        <v>2.66886E-139</v>
      </c>
      <c r="O18928">
        <v>1265</v>
      </c>
    </row>
    <row r="18929" spans="1:15" x14ac:dyDescent="0.25">
      <c r="A18929" t="s">
        <v>18942</v>
      </c>
      <c r="B18929">
        <v>943</v>
      </c>
      <c r="C18929" s="1" t="str">
        <f>HYPERLINK("http://www.rosaceae.org/gb/gbrowse/malus_x_domestica/?name=MDP0000141326","MDP0000141326")</f>
        <v>MDP0000141326</v>
      </c>
      <c r="D18929">
        <v>70.94</v>
      </c>
      <c r="E18929">
        <v>685</v>
      </c>
      <c r="F18929">
        <v>199</v>
      </c>
      <c r="G18929">
        <v>63</v>
      </c>
      <c r="H18929">
        <v>313</v>
      </c>
      <c r="I18929">
        <v>943</v>
      </c>
      <c r="J18929">
        <v>1</v>
      </c>
      <c r="K18929">
        <v>1</v>
      </c>
      <c r="L18929">
        <v>676</v>
      </c>
      <c r="M18929">
        <v>1</v>
      </c>
      <c r="N18929">
        <v>0</v>
      </c>
      <c r="O18929">
        <v>2471</v>
      </c>
    </row>
    <row r="18930" spans="1:15" x14ac:dyDescent="0.25">
      <c r="A18930" t="s">
        <v>18943</v>
      </c>
      <c r="B18930">
        <v>936</v>
      </c>
      <c r="C18930" s="1" t="str">
        <f>HYPERLINK("http://www.rosaceae.org/gb/gbrowse/malus_x_domestica/?name=MDP0000290079","MDP0000290079")</f>
        <v>MDP0000290079</v>
      </c>
      <c r="D18930">
        <v>54.98</v>
      </c>
      <c r="E18930">
        <v>922</v>
      </c>
      <c r="F18930">
        <v>415</v>
      </c>
      <c r="G18930">
        <v>26</v>
      </c>
      <c r="H18930">
        <v>18</v>
      </c>
      <c r="I18930">
        <v>935</v>
      </c>
      <c r="J18930">
        <v>1</v>
      </c>
      <c r="K18930">
        <v>1</v>
      </c>
      <c r="L18930">
        <v>900</v>
      </c>
      <c r="M18930">
        <v>1</v>
      </c>
      <c r="N18930">
        <v>0</v>
      </c>
      <c r="O18930">
        <v>2311</v>
      </c>
    </row>
    <row r="18931" spans="1:15" x14ac:dyDescent="0.25">
      <c r="A18931" t="s">
        <v>18944</v>
      </c>
      <c r="B18931">
        <v>328</v>
      </c>
      <c r="C18931" s="1" t="str">
        <f>HYPERLINK("http://www.rosaceae.org/gb/gbrowse/malus_x_domestica/?name=MDP0000077460","MDP0000077460")</f>
        <v>MDP0000077460</v>
      </c>
      <c r="D18931">
        <v>75.53</v>
      </c>
      <c r="E18931">
        <v>327</v>
      </c>
      <c r="F18931">
        <v>80</v>
      </c>
      <c r="G18931">
        <v>6</v>
      </c>
      <c r="H18931">
        <v>1</v>
      </c>
      <c r="I18931">
        <v>326</v>
      </c>
      <c r="J18931">
        <v>1</v>
      </c>
      <c r="K18931">
        <v>1</v>
      </c>
      <c r="L18931">
        <v>322</v>
      </c>
      <c r="M18931">
        <v>1</v>
      </c>
      <c r="N18931">
        <v>1.9922899999999999E-141</v>
      </c>
      <c r="O18931">
        <v>1284</v>
      </c>
    </row>
    <row r="18932" spans="1:15" x14ac:dyDescent="0.25">
      <c r="A18932" t="s">
        <v>18945</v>
      </c>
      <c r="B18932">
        <v>614</v>
      </c>
      <c r="C18932" s="1" t="str">
        <f>HYPERLINK("http://www.rosaceae.org/gb/gbrowse/malus_x_domestica/?name=MDP0000729319","MDP0000729319")</f>
        <v>MDP0000729319</v>
      </c>
      <c r="D18932">
        <v>72.33</v>
      </c>
      <c r="E18932">
        <v>618</v>
      </c>
      <c r="F18932">
        <v>171</v>
      </c>
      <c r="G18932">
        <v>6</v>
      </c>
      <c r="H18932">
        <v>1</v>
      </c>
      <c r="I18932">
        <v>614</v>
      </c>
      <c r="J18932">
        <v>1</v>
      </c>
      <c r="K18932">
        <v>1</v>
      </c>
      <c r="L18932">
        <v>616</v>
      </c>
      <c r="M18932">
        <v>1</v>
      </c>
      <c r="N18932">
        <v>0</v>
      </c>
      <c r="O18932">
        <v>2293</v>
      </c>
    </row>
    <row r="18933" spans="1:15" x14ac:dyDescent="0.25">
      <c r="A18933" t="s">
        <v>18946</v>
      </c>
      <c r="B18933">
        <v>350</v>
      </c>
      <c r="C18933" s="1" t="str">
        <f>HYPERLINK("http://www.rosaceae.org/gb/gbrowse/malus_x_domestica/?name=MDP0000546054","MDP0000546054")</f>
        <v>MDP0000546054</v>
      </c>
      <c r="D18933">
        <v>71.89</v>
      </c>
      <c r="E18933">
        <v>338</v>
      </c>
      <c r="F18933">
        <v>95</v>
      </c>
      <c r="G18933">
        <v>5</v>
      </c>
      <c r="H18933">
        <v>5</v>
      </c>
      <c r="I18933">
        <v>337</v>
      </c>
      <c r="J18933">
        <v>1</v>
      </c>
      <c r="K18933">
        <v>4</v>
      </c>
      <c r="L18933">
        <v>341</v>
      </c>
      <c r="M18933">
        <v>1</v>
      </c>
      <c r="N18933">
        <v>4.12393E-142</v>
      </c>
      <c r="O18933">
        <v>1290</v>
      </c>
    </row>
    <row r="18934" spans="1:15" x14ac:dyDescent="0.25">
      <c r="A18934" t="s">
        <v>18947</v>
      </c>
      <c r="B18934">
        <v>883</v>
      </c>
      <c r="C18934" s="1" t="str">
        <f>HYPERLINK("http://www.rosaceae.org/gb/gbrowse/malus_x_domestica/?name=MDP0000148159","MDP0000148159")</f>
        <v>MDP0000148159</v>
      </c>
      <c r="D18934">
        <v>31.84</v>
      </c>
      <c r="E18934">
        <v>515</v>
      </c>
      <c r="F18934">
        <v>351</v>
      </c>
      <c r="G18934">
        <v>120</v>
      </c>
      <c r="H18934">
        <v>156</v>
      </c>
      <c r="I18934">
        <v>553</v>
      </c>
      <c r="J18934">
        <v>1</v>
      </c>
      <c r="K18934">
        <v>74</v>
      </c>
      <c r="L18934">
        <v>585</v>
      </c>
      <c r="M18934">
        <v>1</v>
      </c>
      <c r="N18934">
        <v>8.6706499999999994E-62</v>
      </c>
      <c r="O18934">
        <v>602</v>
      </c>
    </row>
    <row r="18935" spans="1:15" x14ac:dyDescent="0.25">
      <c r="A18935" t="s">
        <v>18948</v>
      </c>
      <c r="B18935">
        <v>162</v>
      </c>
      <c r="C18935" s="1" t="str">
        <f>HYPERLINK("http://www.rosaceae.org/gb/gbrowse/malus_x_domestica/?name=MDP0000214824","MDP0000214824")</f>
        <v>MDP0000214824</v>
      </c>
      <c r="D18935">
        <v>90.36</v>
      </c>
      <c r="E18935">
        <v>166</v>
      </c>
      <c r="F18935">
        <v>16</v>
      </c>
      <c r="G18935">
        <v>4</v>
      </c>
      <c r="H18935">
        <v>1</v>
      </c>
      <c r="I18935">
        <v>162</v>
      </c>
      <c r="J18935">
        <v>1</v>
      </c>
      <c r="K18935">
        <v>172</v>
      </c>
      <c r="L18935">
        <v>337</v>
      </c>
      <c r="M18935">
        <v>1</v>
      </c>
      <c r="N18935">
        <v>1.5427100000000001E-82</v>
      </c>
      <c r="O18935">
        <v>772</v>
      </c>
    </row>
    <row r="18936" spans="1:15" x14ac:dyDescent="0.25">
      <c r="A18936" t="s">
        <v>18949</v>
      </c>
      <c r="B18936">
        <v>992</v>
      </c>
      <c r="C18936" s="1" t="str">
        <f>HYPERLINK("http://www.rosaceae.org/gb/gbrowse/malus_x_domestica/?name=MDP0000294904","MDP0000294904")</f>
        <v>MDP0000294904</v>
      </c>
      <c r="D18936">
        <v>52.08</v>
      </c>
      <c r="E18936">
        <v>1077</v>
      </c>
      <c r="F18936">
        <v>516</v>
      </c>
      <c r="G18936">
        <v>138</v>
      </c>
      <c r="H18936">
        <v>1</v>
      </c>
      <c r="I18936">
        <v>992</v>
      </c>
      <c r="J18936">
        <v>1</v>
      </c>
      <c r="K18936">
        <v>1</v>
      </c>
      <c r="L18936">
        <v>1024</v>
      </c>
      <c r="M18936">
        <v>1</v>
      </c>
      <c r="N18936">
        <v>0</v>
      </c>
      <c r="O18936">
        <v>2413</v>
      </c>
    </row>
    <row r="18937" spans="1:15" x14ac:dyDescent="0.25">
      <c r="A18937" t="s">
        <v>18950</v>
      </c>
      <c r="B18937">
        <v>185</v>
      </c>
      <c r="C18937" s="1" t="str">
        <f>HYPERLINK("http://www.rosaceae.org/gb/gbrowse/malus_x_domestica/?name=MDP0000129874","MDP0000129874")</f>
        <v>MDP0000129874</v>
      </c>
      <c r="D18937">
        <v>77.83</v>
      </c>
      <c r="E18937">
        <v>185</v>
      </c>
      <c r="F18937">
        <v>41</v>
      </c>
      <c r="G18937">
        <v>1</v>
      </c>
      <c r="H18937">
        <v>1</v>
      </c>
      <c r="I18937">
        <v>185</v>
      </c>
      <c r="J18937">
        <v>1</v>
      </c>
      <c r="K18937">
        <v>1</v>
      </c>
      <c r="L18937">
        <v>184</v>
      </c>
      <c r="M18937">
        <v>1</v>
      </c>
      <c r="N18937">
        <v>2.9299899999999999E-80</v>
      </c>
      <c r="O18937">
        <v>753</v>
      </c>
    </row>
    <row r="18938" spans="1:15" x14ac:dyDescent="0.25">
      <c r="A18938" t="s">
        <v>18951</v>
      </c>
      <c r="B18938">
        <v>500</v>
      </c>
      <c r="C18938" s="1" t="str">
        <f>HYPERLINK("http://www.rosaceae.org/gb/gbrowse/malus_x_domestica/?name=MDP0000940028","MDP0000940028")</f>
        <v>MDP0000940028</v>
      </c>
      <c r="D18938">
        <v>77.709999999999994</v>
      </c>
      <c r="E18938">
        <v>525</v>
      </c>
      <c r="F18938">
        <v>117</v>
      </c>
      <c r="G18938">
        <v>55</v>
      </c>
      <c r="H18938">
        <v>29</v>
      </c>
      <c r="I18938">
        <v>499</v>
      </c>
      <c r="J18938">
        <v>1</v>
      </c>
      <c r="K18938">
        <v>18</v>
      </c>
      <c r="L18938">
        <v>541</v>
      </c>
      <c r="M18938">
        <v>1</v>
      </c>
      <c r="N18938">
        <v>0</v>
      </c>
      <c r="O18938">
        <v>2069</v>
      </c>
    </row>
    <row r="18939" spans="1:15" x14ac:dyDescent="0.25">
      <c r="A18939" t="s">
        <v>18952</v>
      </c>
      <c r="B18939">
        <v>861</v>
      </c>
      <c r="C18939" s="1" t="str">
        <f>HYPERLINK("http://www.rosaceae.org/gb/gbrowse/malus_x_domestica/?name=MDP0000262721","MDP0000262721")</f>
        <v>MDP0000262721</v>
      </c>
      <c r="D18939">
        <v>83.48</v>
      </c>
      <c r="E18939">
        <v>745</v>
      </c>
      <c r="F18939">
        <v>123</v>
      </c>
      <c r="G18939">
        <v>0</v>
      </c>
      <c r="H18939">
        <v>1</v>
      </c>
      <c r="I18939">
        <v>745</v>
      </c>
      <c r="J18939">
        <v>1</v>
      </c>
      <c r="K18939">
        <v>1</v>
      </c>
      <c r="L18939">
        <v>745</v>
      </c>
      <c r="M18939">
        <v>1</v>
      </c>
      <c r="N18939">
        <v>0</v>
      </c>
      <c r="O18939">
        <v>3351</v>
      </c>
    </row>
    <row r="18940" spans="1:15" x14ac:dyDescent="0.25">
      <c r="A18940" t="s">
        <v>18953</v>
      </c>
      <c r="B18940">
        <v>648</v>
      </c>
      <c r="C18940" s="1" t="str">
        <f>HYPERLINK("http://www.rosaceae.org/gb/gbrowse/malus_x_domestica/?name=MDP0000275751","MDP0000275751")</f>
        <v>MDP0000275751</v>
      </c>
      <c r="D18940">
        <v>79.02</v>
      </c>
      <c r="E18940">
        <v>205</v>
      </c>
      <c r="F18940">
        <v>43</v>
      </c>
      <c r="G18940">
        <v>9</v>
      </c>
      <c r="H18940">
        <v>1</v>
      </c>
      <c r="I18940">
        <v>205</v>
      </c>
      <c r="J18940">
        <v>1</v>
      </c>
      <c r="K18940">
        <v>50</v>
      </c>
      <c r="L18940">
        <v>245</v>
      </c>
      <c r="M18940">
        <v>1</v>
      </c>
      <c r="N18940">
        <v>1.3139399999999999E-89</v>
      </c>
      <c r="O18940">
        <v>840</v>
      </c>
    </row>
    <row r="18941" spans="1:15" x14ac:dyDescent="0.25">
      <c r="A18941" t="s">
        <v>18954</v>
      </c>
      <c r="B18941">
        <v>282</v>
      </c>
      <c r="C18941" s="1" t="str">
        <f>HYPERLINK("http://www.rosaceae.org/gb/gbrowse/malus_x_domestica/?name=MDP0000231163","MDP0000231163")</f>
        <v>MDP0000231163</v>
      </c>
      <c r="D18941">
        <v>51.79</v>
      </c>
      <c r="E18941">
        <v>278</v>
      </c>
      <c r="F18941">
        <v>134</v>
      </c>
      <c r="G18941">
        <v>20</v>
      </c>
      <c r="H18941">
        <v>5</v>
      </c>
      <c r="I18941">
        <v>269</v>
      </c>
      <c r="J18941">
        <v>1</v>
      </c>
      <c r="K18941">
        <v>199</v>
      </c>
      <c r="L18941">
        <v>469</v>
      </c>
      <c r="M18941">
        <v>1</v>
      </c>
      <c r="N18941">
        <v>2.2633E-66</v>
      </c>
      <c r="O18941">
        <v>636</v>
      </c>
    </row>
    <row r="18942" spans="1:15" x14ac:dyDescent="0.25">
      <c r="A18942" t="s">
        <v>18955</v>
      </c>
      <c r="B18942">
        <v>272</v>
      </c>
      <c r="C18942" s="1" t="str">
        <f>HYPERLINK("http://www.rosaceae.org/gb/gbrowse/malus_x_domestica/?name=MDP0000397579","MDP0000397579")</f>
        <v>MDP0000397579</v>
      </c>
      <c r="D18942">
        <v>60.12</v>
      </c>
      <c r="E18942">
        <v>321</v>
      </c>
      <c r="F18942">
        <v>128</v>
      </c>
      <c r="G18942">
        <v>49</v>
      </c>
      <c r="H18942">
        <v>1</v>
      </c>
      <c r="I18942">
        <v>272</v>
      </c>
      <c r="J18942">
        <v>1</v>
      </c>
      <c r="K18942">
        <v>1</v>
      </c>
      <c r="L18942">
        <v>321</v>
      </c>
      <c r="M18942">
        <v>1</v>
      </c>
      <c r="N18942">
        <v>3.26355E-103</v>
      </c>
      <c r="O18942">
        <v>954</v>
      </c>
    </row>
    <row r="18943" spans="1:15" x14ac:dyDescent="0.25">
      <c r="A18943" t="s">
        <v>18956</v>
      </c>
      <c r="B18943">
        <v>802</v>
      </c>
      <c r="C18943" s="1" t="str">
        <f>HYPERLINK("http://www.rosaceae.org/gb/gbrowse/malus_x_domestica/?name=MDP0000130897","MDP0000130897")</f>
        <v>MDP0000130897</v>
      </c>
      <c r="D18943">
        <v>42.71</v>
      </c>
      <c r="E18943">
        <v>199</v>
      </c>
      <c r="F18943">
        <v>114</v>
      </c>
      <c r="G18943">
        <v>2</v>
      </c>
      <c r="H18943">
        <v>463</v>
      </c>
      <c r="I18943">
        <v>661</v>
      </c>
      <c r="J18943">
        <v>1</v>
      </c>
      <c r="K18943">
        <v>8</v>
      </c>
      <c r="L18943">
        <v>204</v>
      </c>
      <c r="M18943">
        <v>1</v>
      </c>
      <c r="N18943">
        <v>9.8617099999999993E-41</v>
      </c>
      <c r="O18943">
        <v>420</v>
      </c>
    </row>
    <row r="18944" spans="1:15" x14ac:dyDescent="0.25">
      <c r="A18944" t="s">
        <v>18957</v>
      </c>
      <c r="B18944">
        <v>306</v>
      </c>
      <c r="C18944" s="1" t="str">
        <f>HYPERLINK("http://www.rosaceae.org/gb/gbrowse/malus_x_domestica/?name=MDP0000811394","MDP0000811394")</f>
        <v>MDP0000811394</v>
      </c>
      <c r="D18944">
        <v>60.06</v>
      </c>
      <c r="E18944">
        <v>288</v>
      </c>
      <c r="F18944">
        <v>115</v>
      </c>
      <c r="G18944">
        <v>17</v>
      </c>
      <c r="H18944">
        <v>22</v>
      </c>
      <c r="I18944">
        <v>299</v>
      </c>
      <c r="J18944">
        <v>1</v>
      </c>
      <c r="K18944">
        <v>51</v>
      </c>
      <c r="L18944">
        <v>331</v>
      </c>
      <c r="M18944">
        <v>1</v>
      </c>
      <c r="N18944">
        <v>4.13292E-89</v>
      </c>
      <c r="O18944">
        <v>833</v>
      </c>
    </row>
    <row r="18945" spans="1:15" x14ac:dyDescent="0.25">
      <c r="A18945" t="s">
        <v>18958</v>
      </c>
      <c r="B18945">
        <v>268</v>
      </c>
      <c r="C18945" s="1" t="str">
        <f>HYPERLINK("http://www.rosaceae.org/gb/gbrowse/malus_x_domestica/?name=MDP0000234152","MDP0000234152")</f>
        <v>MDP0000234152</v>
      </c>
      <c r="D18945">
        <v>41.33</v>
      </c>
      <c r="E18945">
        <v>75</v>
      </c>
      <c r="F18945">
        <v>44</v>
      </c>
      <c r="G18945">
        <v>0</v>
      </c>
      <c r="H18945">
        <v>1</v>
      </c>
      <c r="I18945">
        <v>75</v>
      </c>
      <c r="J18945">
        <v>1</v>
      </c>
      <c r="K18945">
        <v>1</v>
      </c>
      <c r="L18945">
        <v>75</v>
      </c>
      <c r="M18945">
        <v>1</v>
      </c>
      <c r="N18945">
        <v>1.13398E-12</v>
      </c>
      <c r="O18945">
        <v>173</v>
      </c>
    </row>
    <row r="18946" spans="1:15" x14ac:dyDescent="0.25">
      <c r="A18946" t="s">
        <v>18959</v>
      </c>
      <c r="B18946">
        <v>1202</v>
      </c>
      <c r="C18946" s="1" t="str">
        <f>HYPERLINK("http://www.rosaceae.org/gb/gbrowse/malus_x_domestica/?name=MDP0000149290","MDP0000149290")</f>
        <v>MDP0000149290</v>
      </c>
      <c r="D18946">
        <v>66.23</v>
      </c>
      <c r="E18946">
        <v>1013</v>
      </c>
      <c r="F18946">
        <v>342</v>
      </c>
      <c r="G18946">
        <v>150</v>
      </c>
      <c r="H18946">
        <v>262</v>
      </c>
      <c r="I18946">
        <v>1181</v>
      </c>
      <c r="J18946">
        <v>1</v>
      </c>
      <c r="K18946">
        <v>18</v>
      </c>
      <c r="L18946">
        <v>973</v>
      </c>
      <c r="M18946">
        <v>1</v>
      </c>
      <c r="N18946">
        <v>0</v>
      </c>
      <c r="O18946">
        <v>3427</v>
      </c>
    </row>
    <row r="18947" spans="1:15" x14ac:dyDescent="0.25">
      <c r="A18947" t="s">
        <v>18960</v>
      </c>
      <c r="B18947">
        <v>781</v>
      </c>
      <c r="C18947" s="1" t="str">
        <f>HYPERLINK("http://www.rosaceae.org/gb/gbrowse/malus_x_domestica/?name=MDP0000308407","MDP0000308407")</f>
        <v>MDP0000308407</v>
      </c>
      <c r="D18947">
        <v>97.5</v>
      </c>
      <c r="E18947">
        <v>280</v>
      </c>
      <c r="F18947">
        <v>7</v>
      </c>
      <c r="G18947">
        <v>0</v>
      </c>
      <c r="H18947">
        <v>502</v>
      </c>
      <c r="I18947">
        <v>781</v>
      </c>
      <c r="J18947">
        <v>1</v>
      </c>
      <c r="K18947">
        <v>1</v>
      </c>
      <c r="L18947">
        <v>280</v>
      </c>
      <c r="M18947">
        <v>1</v>
      </c>
      <c r="N18947">
        <v>5.2188700000000004E-162</v>
      </c>
      <c r="O18947">
        <v>1466</v>
      </c>
    </row>
    <row r="18948" spans="1:15" x14ac:dyDescent="0.25">
      <c r="A18948" t="s">
        <v>18961</v>
      </c>
      <c r="B18948">
        <v>354</v>
      </c>
      <c r="C18948" s="1" t="str">
        <f>HYPERLINK("http://www.rosaceae.org/gb/gbrowse/malus_x_domestica/?name=MDP0000289952","MDP0000289952")</f>
        <v>MDP0000289952</v>
      </c>
      <c r="D18948">
        <v>82.12</v>
      </c>
      <c r="E18948">
        <v>386</v>
      </c>
      <c r="F18948">
        <v>69</v>
      </c>
      <c r="G18948">
        <v>38</v>
      </c>
      <c r="H18948">
        <v>3</v>
      </c>
      <c r="I18948">
        <v>351</v>
      </c>
      <c r="J18948">
        <v>1</v>
      </c>
      <c r="K18948">
        <v>81</v>
      </c>
      <c r="L18948">
        <v>465</v>
      </c>
      <c r="M18948">
        <v>1</v>
      </c>
      <c r="N18948">
        <v>2.1647200000000001E-178</v>
      </c>
      <c r="O18948">
        <v>1603</v>
      </c>
    </row>
    <row r="18949" spans="1:15" x14ac:dyDescent="0.25">
      <c r="A18949" t="s">
        <v>18962</v>
      </c>
      <c r="B18949">
        <v>377</v>
      </c>
      <c r="C18949" s="1" t="str">
        <f>HYPERLINK("http://www.rosaceae.org/gb/gbrowse/malus_x_domestica/?name=MDP0000607000","MDP0000607000")</f>
        <v>MDP0000607000</v>
      </c>
      <c r="D18949">
        <v>45.93</v>
      </c>
      <c r="E18949">
        <v>418</v>
      </c>
      <c r="F18949">
        <v>226</v>
      </c>
      <c r="G18949">
        <v>76</v>
      </c>
      <c r="H18949">
        <v>11</v>
      </c>
      <c r="I18949">
        <v>354</v>
      </c>
      <c r="J18949">
        <v>1</v>
      </c>
      <c r="K18949">
        <v>27</v>
      </c>
      <c r="L18949">
        <v>442</v>
      </c>
      <c r="M18949">
        <v>1</v>
      </c>
      <c r="N18949">
        <v>3.0378299999999999E-91</v>
      </c>
      <c r="O18949">
        <v>852</v>
      </c>
    </row>
    <row r="18950" spans="1:15" x14ac:dyDescent="0.25">
      <c r="A18950" t="s">
        <v>18963</v>
      </c>
      <c r="B18950">
        <v>557</v>
      </c>
      <c r="C18950" s="1" t="str">
        <f>HYPERLINK("http://www.rosaceae.org/gb/gbrowse/malus_x_domestica/?name=MDP0000276976","MDP0000276976")</f>
        <v>MDP0000276976</v>
      </c>
      <c r="D18950">
        <v>59.92</v>
      </c>
      <c r="E18950">
        <v>559</v>
      </c>
      <c r="F18950">
        <v>224</v>
      </c>
      <c r="G18950">
        <v>6</v>
      </c>
      <c r="H18950">
        <v>3</v>
      </c>
      <c r="I18950">
        <v>557</v>
      </c>
      <c r="J18950">
        <v>1</v>
      </c>
      <c r="K18950">
        <v>7</v>
      </c>
      <c r="L18950">
        <v>563</v>
      </c>
      <c r="M18950">
        <v>1</v>
      </c>
      <c r="N18950">
        <v>0</v>
      </c>
      <c r="O18950">
        <v>1791</v>
      </c>
    </row>
    <row r="18951" spans="1:15" x14ac:dyDescent="0.25">
      <c r="A18951" t="s">
        <v>18964</v>
      </c>
      <c r="B18951">
        <v>284</v>
      </c>
      <c r="C18951" s="1" t="str">
        <f>HYPERLINK("http://www.rosaceae.org/gb/gbrowse/malus_x_domestica/?name=MDP0000120164","MDP0000120164")</f>
        <v>MDP0000120164</v>
      </c>
      <c r="D18951">
        <v>84.72</v>
      </c>
      <c r="E18951">
        <v>144</v>
      </c>
      <c r="F18951">
        <v>22</v>
      </c>
      <c r="G18951">
        <v>0</v>
      </c>
      <c r="H18951">
        <v>141</v>
      </c>
      <c r="I18951">
        <v>284</v>
      </c>
      <c r="J18951">
        <v>1</v>
      </c>
      <c r="K18951">
        <v>93</v>
      </c>
      <c r="L18951">
        <v>236</v>
      </c>
      <c r="M18951">
        <v>1</v>
      </c>
      <c r="N18951">
        <v>1.75271E-65</v>
      </c>
      <c r="O18951">
        <v>628</v>
      </c>
    </row>
    <row r="18952" spans="1:15" x14ac:dyDescent="0.25">
      <c r="A18952" t="s">
        <v>18965</v>
      </c>
      <c r="B18952">
        <v>326</v>
      </c>
      <c r="C18952" s="1" t="str">
        <f>HYPERLINK("http://www.rosaceae.org/gb/gbrowse/malus_x_domestica/?name=MDP0000247921","MDP0000247921")</f>
        <v>MDP0000247921</v>
      </c>
      <c r="D18952">
        <v>31.72</v>
      </c>
      <c r="E18952">
        <v>249</v>
      </c>
      <c r="F18952">
        <v>170</v>
      </c>
      <c r="G18952">
        <v>7</v>
      </c>
      <c r="H18952">
        <v>2</v>
      </c>
      <c r="I18952">
        <v>244</v>
      </c>
      <c r="J18952">
        <v>1</v>
      </c>
      <c r="K18952">
        <v>682</v>
      </c>
      <c r="L18952">
        <v>929</v>
      </c>
      <c r="M18952">
        <v>1</v>
      </c>
      <c r="N18952">
        <v>5.9276500000000002E-33</v>
      </c>
      <c r="O18952">
        <v>349</v>
      </c>
    </row>
    <row r="18953" spans="1:15" x14ac:dyDescent="0.25">
      <c r="A18953" t="s">
        <v>18966</v>
      </c>
      <c r="B18953">
        <v>762</v>
      </c>
      <c r="C18953" s="1" t="str">
        <f>HYPERLINK("http://www.rosaceae.org/gb/gbrowse/malus_x_domestica/?name=MDP0000298575","MDP0000298575")</f>
        <v>MDP0000298575</v>
      </c>
      <c r="D18953">
        <v>51.95</v>
      </c>
      <c r="E18953">
        <v>664</v>
      </c>
      <c r="F18953">
        <v>319</v>
      </c>
      <c r="G18953">
        <v>68</v>
      </c>
      <c r="H18953">
        <v>29</v>
      </c>
      <c r="I18953">
        <v>652</v>
      </c>
      <c r="J18953">
        <v>1</v>
      </c>
      <c r="K18953">
        <v>19</v>
      </c>
      <c r="L18953">
        <v>654</v>
      </c>
      <c r="M18953">
        <v>1</v>
      </c>
      <c r="N18953">
        <v>7.0635199999999998E-170</v>
      </c>
      <c r="O18953">
        <v>1533</v>
      </c>
    </row>
    <row r="18954" spans="1:15" x14ac:dyDescent="0.25">
      <c r="A18954" t="s">
        <v>18967</v>
      </c>
      <c r="B18954">
        <v>346</v>
      </c>
      <c r="C18954" s="1" t="str">
        <f>HYPERLINK("http://www.rosaceae.org/gb/gbrowse/malus_x_domestica/?name=MDP0000668433","MDP0000668433")</f>
        <v>MDP0000668433</v>
      </c>
      <c r="D18954">
        <v>59.36</v>
      </c>
      <c r="E18954">
        <v>315</v>
      </c>
      <c r="F18954">
        <v>128</v>
      </c>
      <c r="G18954">
        <v>7</v>
      </c>
      <c r="H18954">
        <v>23</v>
      </c>
      <c r="I18954">
        <v>333</v>
      </c>
      <c r="J18954">
        <v>1</v>
      </c>
      <c r="K18954">
        <v>14</v>
      </c>
      <c r="L18954">
        <v>325</v>
      </c>
      <c r="M18954">
        <v>1</v>
      </c>
      <c r="N18954">
        <v>2.8235400000000002E-97</v>
      </c>
      <c r="O18954">
        <v>904</v>
      </c>
    </row>
    <row r="18955" spans="1:15" x14ac:dyDescent="0.25">
      <c r="A18955" t="s">
        <v>18968</v>
      </c>
      <c r="B18955">
        <v>498</v>
      </c>
      <c r="C18955" s="1" t="str">
        <f>HYPERLINK("http://www.rosaceae.org/gb/gbrowse/malus_x_domestica/?name=MDP0000253475","MDP0000253475")</f>
        <v>MDP0000253475</v>
      </c>
      <c r="D18955">
        <v>63.06</v>
      </c>
      <c r="E18955">
        <v>463</v>
      </c>
      <c r="F18955">
        <v>171</v>
      </c>
      <c r="G18955">
        <v>60</v>
      </c>
      <c r="H18955">
        <v>20</v>
      </c>
      <c r="I18955">
        <v>482</v>
      </c>
      <c r="J18955">
        <v>1</v>
      </c>
      <c r="K18955">
        <v>155</v>
      </c>
      <c r="L18955">
        <v>557</v>
      </c>
      <c r="M18955">
        <v>1</v>
      </c>
      <c r="N18955">
        <v>5.0416800000000001E-152</v>
      </c>
      <c r="O18955">
        <v>1377</v>
      </c>
    </row>
    <row r="18956" spans="1:15" x14ac:dyDescent="0.25">
      <c r="A18956" t="s">
        <v>18969</v>
      </c>
      <c r="B18956">
        <v>322</v>
      </c>
      <c r="C18956" s="1" t="str">
        <f>HYPERLINK("http://www.rosaceae.org/gb/gbrowse/malus_x_domestica/?name=MDP0000643122","MDP0000643122")</f>
        <v>MDP0000643122</v>
      </c>
      <c r="D18956">
        <v>58.86</v>
      </c>
      <c r="E18956">
        <v>299</v>
      </c>
      <c r="F18956">
        <v>123</v>
      </c>
      <c r="G18956">
        <v>13</v>
      </c>
      <c r="H18956">
        <v>1</v>
      </c>
      <c r="I18956">
        <v>289</v>
      </c>
      <c r="J18956">
        <v>1</v>
      </c>
      <c r="K18956">
        <v>1</v>
      </c>
      <c r="L18956">
        <v>296</v>
      </c>
      <c r="M18956">
        <v>1</v>
      </c>
      <c r="N18956">
        <v>3.0816100000000001E-97</v>
      </c>
      <c r="O18956">
        <v>903</v>
      </c>
    </row>
    <row r="18957" spans="1:15" x14ac:dyDescent="0.25">
      <c r="A18957" t="s">
        <v>18970</v>
      </c>
      <c r="B18957">
        <v>490</v>
      </c>
      <c r="C18957" s="1" t="str">
        <f>HYPERLINK("http://www.rosaceae.org/gb/gbrowse/malus_x_domestica/?name=MDP0000270526","MDP0000270526")</f>
        <v>MDP0000270526</v>
      </c>
      <c r="D18957">
        <v>64.56</v>
      </c>
      <c r="E18957">
        <v>508</v>
      </c>
      <c r="F18957">
        <v>180</v>
      </c>
      <c r="G18957">
        <v>24</v>
      </c>
      <c r="H18957">
        <v>1</v>
      </c>
      <c r="I18957">
        <v>490</v>
      </c>
      <c r="J18957">
        <v>1</v>
      </c>
      <c r="K18957">
        <v>1</v>
      </c>
      <c r="L18957">
        <v>502</v>
      </c>
      <c r="M18957">
        <v>1</v>
      </c>
      <c r="N18957">
        <v>3.6266400000000001E-174</v>
      </c>
      <c r="O18957">
        <v>1568</v>
      </c>
    </row>
    <row r="18958" spans="1:15" x14ac:dyDescent="0.25">
      <c r="A18958" t="s">
        <v>18971</v>
      </c>
      <c r="B18958">
        <v>1676</v>
      </c>
      <c r="C18958" s="1" t="str">
        <f>HYPERLINK("http://www.rosaceae.org/gb/gbrowse/malus_x_domestica/?name=MDP0000318889","MDP0000318889")</f>
        <v>MDP0000318889</v>
      </c>
      <c r="D18958">
        <v>62.98</v>
      </c>
      <c r="E18958">
        <v>1378</v>
      </c>
      <c r="F18958">
        <v>510</v>
      </c>
      <c r="G18958">
        <v>148</v>
      </c>
      <c r="H18958">
        <v>313</v>
      </c>
      <c r="I18958">
        <v>1676</v>
      </c>
      <c r="J18958">
        <v>1</v>
      </c>
      <c r="K18958">
        <v>24</v>
      </c>
      <c r="L18958">
        <v>1267</v>
      </c>
      <c r="M18958">
        <v>1</v>
      </c>
      <c r="N18958">
        <v>0</v>
      </c>
      <c r="O18958">
        <v>4215</v>
      </c>
    </row>
    <row r="18959" spans="1:15" x14ac:dyDescent="0.25">
      <c r="A18959" t="s">
        <v>18972</v>
      </c>
      <c r="B18959">
        <v>99</v>
      </c>
      <c r="C18959" s="1" t="str">
        <f>HYPERLINK("http://www.rosaceae.org/gb/gbrowse/malus_x_domestica/?name=MDP0000416522","MDP0000416522")</f>
        <v>MDP0000416522</v>
      </c>
      <c r="D18959">
        <v>44.64</v>
      </c>
      <c r="E18959">
        <v>56</v>
      </c>
      <c r="F18959">
        <v>31</v>
      </c>
      <c r="G18959">
        <v>0</v>
      </c>
      <c r="H18959">
        <v>39</v>
      </c>
      <c r="I18959">
        <v>94</v>
      </c>
      <c r="J18959">
        <v>1</v>
      </c>
      <c r="K18959">
        <v>329</v>
      </c>
      <c r="L18959">
        <v>384</v>
      </c>
      <c r="M18959">
        <v>1</v>
      </c>
      <c r="N18959">
        <v>5.3933999999999998E-8</v>
      </c>
      <c r="O18959">
        <v>126</v>
      </c>
    </row>
    <row r="18960" spans="1:15" x14ac:dyDescent="0.25">
      <c r="A18960" t="s">
        <v>18973</v>
      </c>
      <c r="B18960">
        <v>428</v>
      </c>
      <c r="C18960" s="1" t="str">
        <f>HYPERLINK("http://www.rosaceae.org/gb/gbrowse/malus_x_domestica/?name=MDP0000272499","MDP0000272499")</f>
        <v>MDP0000272499</v>
      </c>
      <c r="D18960">
        <v>75.34</v>
      </c>
      <c r="E18960">
        <v>434</v>
      </c>
      <c r="F18960">
        <v>107</v>
      </c>
      <c r="G18960">
        <v>9</v>
      </c>
      <c r="H18960">
        <v>1</v>
      </c>
      <c r="I18960">
        <v>428</v>
      </c>
      <c r="J18960">
        <v>1</v>
      </c>
      <c r="K18960">
        <v>1</v>
      </c>
      <c r="L18960">
        <v>431</v>
      </c>
      <c r="M18960">
        <v>1</v>
      </c>
      <c r="N18960">
        <v>0</v>
      </c>
      <c r="O18960">
        <v>1776</v>
      </c>
    </row>
    <row r="18961" spans="1:15" x14ac:dyDescent="0.25">
      <c r="A18961" t="s">
        <v>18974</v>
      </c>
      <c r="B18961">
        <v>76</v>
      </c>
      <c r="C18961" s="1" t="str">
        <f>HYPERLINK("http://www.rosaceae.org/gb/gbrowse/malus_x_domestica/?name=MDP0000769596","MDP0000769596")</f>
        <v>MDP0000769596</v>
      </c>
      <c r="D18961">
        <v>93.54</v>
      </c>
      <c r="E18961">
        <v>62</v>
      </c>
      <c r="F18961">
        <v>4</v>
      </c>
      <c r="G18961">
        <v>0</v>
      </c>
      <c r="H18961">
        <v>1</v>
      </c>
      <c r="I18961">
        <v>62</v>
      </c>
      <c r="J18961">
        <v>1</v>
      </c>
      <c r="K18961">
        <v>1</v>
      </c>
      <c r="L18961">
        <v>62</v>
      </c>
      <c r="M18961">
        <v>1</v>
      </c>
      <c r="N18961">
        <v>1.8545599999999999E-28</v>
      </c>
      <c r="O18961">
        <v>303</v>
      </c>
    </row>
    <row r="18962" spans="1:15" x14ac:dyDescent="0.25">
      <c r="A18962" t="s">
        <v>18975</v>
      </c>
      <c r="B18962">
        <v>952</v>
      </c>
      <c r="C18962" s="1" t="str">
        <f>HYPERLINK("http://www.rosaceae.org/gb/gbrowse/malus_x_domestica/?name=MDP0000263145","MDP0000263145")</f>
        <v>MDP0000263145</v>
      </c>
      <c r="D18962">
        <v>45.23</v>
      </c>
      <c r="E18962">
        <v>966</v>
      </c>
      <c r="F18962">
        <v>529</v>
      </c>
      <c r="G18962">
        <v>132</v>
      </c>
      <c r="H18962">
        <v>5</v>
      </c>
      <c r="I18962">
        <v>946</v>
      </c>
      <c r="J18962">
        <v>1</v>
      </c>
      <c r="K18962">
        <v>3</v>
      </c>
      <c r="L18962">
        <v>860</v>
      </c>
      <c r="M18962">
        <v>1</v>
      </c>
      <c r="N18962">
        <v>0</v>
      </c>
      <c r="O18962">
        <v>1928</v>
      </c>
    </row>
    <row r="18963" spans="1:15" x14ac:dyDescent="0.25">
      <c r="A18963" t="s">
        <v>18976</v>
      </c>
      <c r="B18963">
        <v>151</v>
      </c>
      <c r="C18963" s="1" t="str">
        <f>HYPERLINK("http://www.rosaceae.org/gb/gbrowse/malus_x_domestica/?name=MDP0000942663","MDP0000942663")</f>
        <v>MDP0000942663</v>
      </c>
      <c r="D18963">
        <v>80.13</v>
      </c>
      <c r="E18963">
        <v>151</v>
      </c>
      <c r="F18963">
        <v>30</v>
      </c>
      <c r="G18963">
        <v>0</v>
      </c>
      <c r="H18963">
        <v>1</v>
      </c>
      <c r="I18963">
        <v>151</v>
      </c>
      <c r="J18963">
        <v>1</v>
      </c>
      <c r="K18963">
        <v>1</v>
      </c>
      <c r="L18963">
        <v>151</v>
      </c>
      <c r="M18963">
        <v>1</v>
      </c>
      <c r="N18963">
        <v>5.1087500000000003E-69</v>
      </c>
      <c r="O18963">
        <v>655</v>
      </c>
    </row>
    <row r="18964" spans="1:15" x14ac:dyDescent="0.25">
      <c r="A18964" t="s">
        <v>18977</v>
      </c>
      <c r="B18964">
        <v>132</v>
      </c>
      <c r="C18964" s="1" t="str">
        <f>HYPERLINK("http://www.rosaceae.org/gb/gbrowse/malus_x_domestica/?name=MDP0000153381","MDP0000153381")</f>
        <v>MDP0000153381</v>
      </c>
      <c r="D18964">
        <v>86.95</v>
      </c>
      <c r="E18964">
        <v>69</v>
      </c>
      <c r="F18964">
        <v>9</v>
      </c>
      <c r="G18964">
        <v>0</v>
      </c>
      <c r="H18964">
        <v>64</v>
      </c>
      <c r="I18964">
        <v>132</v>
      </c>
      <c r="J18964">
        <v>1</v>
      </c>
      <c r="K18964">
        <v>51</v>
      </c>
      <c r="L18964">
        <v>119</v>
      </c>
      <c r="M18964">
        <v>1</v>
      </c>
      <c r="N18964">
        <v>1.9689899999999999E-31</v>
      </c>
      <c r="O18964">
        <v>329</v>
      </c>
    </row>
    <row r="18965" spans="1:15" x14ac:dyDescent="0.25">
      <c r="A18965" t="s">
        <v>18978</v>
      </c>
      <c r="B18965">
        <v>625</v>
      </c>
      <c r="C18965" s="1" t="str">
        <f>HYPERLINK("http://www.rosaceae.org/gb/gbrowse/malus_x_domestica/?name=MDP0000129394","MDP0000129394")</f>
        <v>MDP0000129394</v>
      </c>
      <c r="D18965">
        <v>68.13</v>
      </c>
      <c r="E18965">
        <v>477</v>
      </c>
      <c r="F18965">
        <v>152</v>
      </c>
      <c r="G18965">
        <v>21</v>
      </c>
      <c r="H18965">
        <v>27</v>
      </c>
      <c r="I18965">
        <v>493</v>
      </c>
      <c r="J18965">
        <v>1</v>
      </c>
      <c r="K18965">
        <v>44</v>
      </c>
      <c r="L18965">
        <v>509</v>
      </c>
      <c r="M18965">
        <v>1</v>
      </c>
      <c r="N18965">
        <v>0</v>
      </c>
      <c r="O18965">
        <v>1662</v>
      </c>
    </row>
    <row r="18966" spans="1:15" x14ac:dyDescent="0.25">
      <c r="A18966" t="s">
        <v>18979</v>
      </c>
      <c r="B18966">
        <v>573</v>
      </c>
      <c r="C18966" s="1" t="str">
        <f>HYPERLINK("http://www.rosaceae.org/gb/gbrowse/malus_x_domestica/?name=MDP0000168714","MDP0000168714")</f>
        <v>MDP0000168714</v>
      </c>
      <c r="D18966">
        <v>71.760000000000005</v>
      </c>
      <c r="E18966">
        <v>588</v>
      </c>
      <c r="F18966">
        <v>166</v>
      </c>
      <c r="G18966">
        <v>26</v>
      </c>
      <c r="H18966">
        <v>1</v>
      </c>
      <c r="I18966">
        <v>571</v>
      </c>
      <c r="J18966">
        <v>1</v>
      </c>
      <c r="K18966">
        <v>1</v>
      </c>
      <c r="L18966">
        <v>579</v>
      </c>
      <c r="M18966">
        <v>1</v>
      </c>
      <c r="N18966">
        <v>0</v>
      </c>
      <c r="O18966">
        <v>2167</v>
      </c>
    </row>
    <row r="18967" spans="1:15" x14ac:dyDescent="0.25">
      <c r="A18967" t="s">
        <v>18980</v>
      </c>
      <c r="B18967">
        <v>602</v>
      </c>
      <c r="C18967" s="1" t="str">
        <f>HYPERLINK("http://www.rosaceae.org/gb/gbrowse/malus_x_domestica/?name=MDP0000291397","MDP0000291397")</f>
        <v>MDP0000291397</v>
      </c>
      <c r="D18967">
        <v>70.27</v>
      </c>
      <c r="E18967">
        <v>656</v>
      </c>
      <c r="F18967">
        <v>195</v>
      </c>
      <c r="G18967">
        <v>92</v>
      </c>
      <c r="H18967">
        <v>1</v>
      </c>
      <c r="I18967">
        <v>594</v>
      </c>
      <c r="J18967">
        <v>1</v>
      </c>
      <c r="K18967">
        <v>386</v>
      </c>
      <c r="L18967">
        <v>1011</v>
      </c>
      <c r="M18967">
        <v>1</v>
      </c>
      <c r="N18967">
        <v>0</v>
      </c>
      <c r="O18967">
        <v>2175</v>
      </c>
    </row>
    <row r="18968" spans="1:15" x14ac:dyDescent="0.25">
      <c r="A18968" t="s">
        <v>18981</v>
      </c>
      <c r="B18968">
        <v>266</v>
      </c>
      <c r="C18968" s="1" t="str">
        <f>HYPERLINK("http://www.rosaceae.org/gb/gbrowse/malus_x_domestica/?name=MDP0000266097","MDP0000266097")</f>
        <v>MDP0000266097</v>
      </c>
      <c r="D18968">
        <v>78.41</v>
      </c>
      <c r="E18968">
        <v>227</v>
      </c>
      <c r="F18968">
        <v>49</v>
      </c>
      <c r="G18968">
        <v>0</v>
      </c>
      <c r="H18968">
        <v>1</v>
      </c>
      <c r="I18968">
        <v>227</v>
      </c>
      <c r="J18968">
        <v>1</v>
      </c>
      <c r="K18968">
        <v>314</v>
      </c>
      <c r="L18968">
        <v>540</v>
      </c>
      <c r="M18968">
        <v>1</v>
      </c>
      <c r="N18968">
        <v>6.6732799999999998E-102</v>
      </c>
      <c r="O18968">
        <v>942</v>
      </c>
    </row>
    <row r="18969" spans="1:15" x14ac:dyDescent="0.25">
      <c r="A18969" t="s">
        <v>18982</v>
      </c>
      <c r="B18969">
        <v>113</v>
      </c>
      <c r="C18969" s="1" t="str">
        <f>HYPERLINK("http://www.rosaceae.org/gb/gbrowse/malus_x_domestica/?name=MDP0000271507","MDP0000271507")</f>
        <v>MDP0000271507</v>
      </c>
      <c r="D18969">
        <v>65.510000000000005</v>
      </c>
      <c r="E18969">
        <v>58</v>
      </c>
      <c r="F18969">
        <v>20</v>
      </c>
      <c r="G18969">
        <v>9</v>
      </c>
      <c r="H18969">
        <v>1</v>
      </c>
      <c r="I18969">
        <v>56</v>
      </c>
      <c r="J18969">
        <v>1</v>
      </c>
      <c r="K18969">
        <v>39</v>
      </c>
      <c r="L18969">
        <v>89</v>
      </c>
      <c r="M18969">
        <v>1</v>
      </c>
      <c r="N18969">
        <v>1.6742E-11</v>
      </c>
      <c r="O18969">
        <v>157</v>
      </c>
    </row>
    <row r="18970" spans="1:15" x14ac:dyDescent="0.25">
      <c r="A18970" t="s">
        <v>18983</v>
      </c>
      <c r="B18970">
        <v>382</v>
      </c>
      <c r="C18970" s="1" t="str">
        <f>HYPERLINK("http://www.rosaceae.org/gb/gbrowse/malus_x_domestica/?name=MDP0000337873","MDP0000337873")</f>
        <v>MDP0000337873</v>
      </c>
      <c r="D18970">
        <v>61.04</v>
      </c>
      <c r="E18970">
        <v>326</v>
      </c>
      <c r="F18970">
        <v>127</v>
      </c>
      <c r="G18970">
        <v>4</v>
      </c>
      <c r="H18970">
        <v>28</v>
      </c>
      <c r="I18970">
        <v>349</v>
      </c>
      <c r="J18970">
        <v>1</v>
      </c>
      <c r="K18970">
        <v>27</v>
      </c>
      <c r="L18970">
        <v>352</v>
      </c>
      <c r="M18970">
        <v>1</v>
      </c>
      <c r="N18970">
        <v>1.0746099999999999E-112</v>
      </c>
      <c r="O18970">
        <v>1037</v>
      </c>
    </row>
    <row r="18971" spans="1:15" x14ac:dyDescent="0.25">
      <c r="A18971" t="s">
        <v>18984</v>
      </c>
      <c r="B18971">
        <v>540</v>
      </c>
      <c r="C18971" s="1" t="str">
        <f>HYPERLINK("http://www.rosaceae.org/gb/gbrowse/malus_x_domestica/?name=MDP0000560198","MDP0000560198")</f>
        <v>MDP0000560198</v>
      </c>
      <c r="D18971">
        <v>81.96</v>
      </c>
      <c r="E18971">
        <v>510</v>
      </c>
      <c r="F18971">
        <v>92</v>
      </c>
      <c r="G18971">
        <v>0</v>
      </c>
      <c r="H18971">
        <v>1</v>
      </c>
      <c r="I18971">
        <v>510</v>
      </c>
      <c r="J18971">
        <v>1</v>
      </c>
      <c r="K18971">
        <v>1</v>
      </c>
      <c r="L18971">
        <v>510</v>
      </c>
      <c r="M18971">
        <v>1</v>
      </c>
      <c r="N18971">
        <v>0</v>
      </c>
      <c r="O18971">
        <v>2210</v>
      </c>
    </row>
    <row r="18972" spans="1:15" x14ac:dyDescent="0.25">
      <c r="A18972" t="s">
        <v>18985</v>
      </c>
      <c r="B18972">
        <v>466</v>
      </c>
      <c r="C18972" s="1" t="str">
        <f>HYPERLINK("http://www.rosaceae.org/gb/gbrowse/malus_x_domestica/?name=MDP0000180239","MDP0000180239")</f>
        <v>MDP0000180239</v>
      </c>
      <c r="D18972">
        <v>70.48</v>
      </c>
      <c r="E18972">
        <v>437</v>
      </c>
      <c r="F18972">
        <v>129</v>
      </c>
      <c r="G18972">
        <v>29</v>
      </c>
      <c r="H18972">
        <v>32</v>
      </c>
      <c r="I18972">
        <v>461</v>
      </c>
      <c r="J18972">
        <v>1</v>
      </c>
      <c r="K18972">
        <v>14</v>
      </c>
      <c r="L18972">
        <v>428</v>
      </c>
      <c r="M18972">
        <v>1</v>
      </c>
      <c r="N18972">
        <v>3.1317900000000002E-169</v>
      </c>
      <c r="O18972">
        <v>1526</v>
      </c>
    </row>
    <row r="18973" spans="1:15" x14ac:dyDescent="0.25">
      <c r="A18973" t="s">
        <v>18986</v>
      </c>
      <c r="B18973">
        <v>548</v>
      </c>
      <c r="C18973" s="1" t="str">
        <f>HYPERLINK("http://www.rosaceae.org/gb/gbrowse/malus_x_domestica/?name=MDP0000294563","MDP0000294563")</f>
        <v>MDP0000294563</v>
      </c>
      <c r="D18973">
        <v>66.010000000000005</v>
      </c>
      <c r="E18973">
        <v>462</v>
      </c>
      <c r="F18973">
        <v>157</v>
      </c>
      <c r="G18973">
        <v>35</v>
      </c>
      <c r="H18973">
        <v>83</v>
      </c>
      <c r="I18973">
        <v>544</v>
      </c>
      <c r="J18973">
        <v>1</v>
      </c>
      <c r="K18973">
        <v>47</v>
      </c>
      <c r="L18973">
        <v>473</v>
      </c>
      <c r="M18973">
        <v>1</v>
      </c>
      <c r="N18973">
        <v>7.7493100000000006E-179</v>
      </c>
      <c r="O18973">
        <v>1609</v>
      </c>
    </row>
    <row r="18974" spans="1:15" x14ac:dyDescent="0.25">
      <c r="A18974" t="s">
        <v>18987</v>
      </c>
      <c r="B18974">
        <v>267</v>
      </c>
      <c r="C18974" s="1" t="str">
        <f>HYPERLINK("http://www.rosaceae.org/gb/gbrowse/malus_x_domestica/?name=MDP0000305508","MDP0000305508")</f>
        <v>MDP0000305508</v>
      </c>
      <c r="D18974">
        <v>76.239999999999995</v>
      </c>
      <c r="E18974">
        <v>261</v>
      </c>
      <c r="F18974">
        <v>62</v>
      </c>
      <c r="G18974">
        <v>2</v>
      </c>
      <c r="H18974">
        <v>9</v>
      </c>
      <c r="I18974">
        <v>267</v>
      </c>
      <c r="J18974">
        <v>1</v>
      </c>
      <c r="K18974">
        <v>54</v>
      </c>
      <c r="L18974">
        <v>314</v>
      </c>
      <c r="M18974">
        <v>1</v>
      </c>
      <c r="N18974">
        <v>5.2890400000000002E-119</v>
      </c>
      <c r="O18974">
        <v>1090</v>
      </c>
    </row>
    <row r="18975" spans="1:15" x14ac:dyDescent="0.25">
      <c r="A18975" t="s">
        <v>18988</v>
      </c>
      <c r="B18975">
        <v>194</v>
      </c>
      <c r="C18975" s="1" t="str">
        <f>HYPERLINK("http://www.rosaceae.org/gb/gbrowse/malus_x_domestica/?name=MDP0000286589","MDP0000286589")</f>
        <v>MDP0000286589</v>
      </c>
      <c r="D18975">
        <v>61.87</v>
      </c>
      <c r="E18975">
        <v>181</v>
      </c>
      <c r="F18975">
        <v>69</v>
      </c>
      <c r="G18975">
        <v>0</v>
      </c>
      <c r="H18975">
        <v>14</v>
      </c>
      <c r="I18975">
        <v>194</v>
      </c>
      <c r="J18975">
        <v>1</v>
      </c>
      <c r="K18975">
        <v>124</v>
      </c>
      <c r="L18975">
        <v>304</v>
      </c>
      <c r="M18975">
        <v>1</v>
      </c>
      <c r="N18975">
        <v>5.5927000000000004E-66</v>
      </c>
      <c r="O18975">
        <v>630</v>
      </c>
    </row>
    <row r="18976" spans="1:15" x14ac:dyDescent="0.25">
      <c r="A18976" t="s">
        <v>18989</v>
      </c>
      <c r="B18976">
        <v>1375</v>
      </c>
      <c r="C18976" s="1" t="str">
        <f>HYPERLINK("http://www.rosaceae.org/gb/gbrowse/malus_x_domestica/?name=MDP0000193152","MDP0000193152")</f>
        <v>MDP0000193152</v>
      </c>
      <c r="D18976">
        <v>75.290000000000006</v>
      </c>
      <c r="E18976">
        <v>1417</v>
      </c>
      <c r="F18976">
        <v>350</v>
      </c>
      <c r="G18976">
        <v>116</v>
      </c>
      <c r="H18976">
        <v>61</v>
      </c>
      <c r="I18976">
        <v>1375</v>
      </c>
      <c r="J18976">
        <v>1</v>
      </c>
      <c r="K18976">
        <v>63</v>
      </c>
      <c r="L18976">
        <v>1465</v>
      </c>
      <c r="M18976">
        <v>1</v>
      </c>
      <c r="N18976">
        <v>0</v>
      </c>
      <c r="O18976">
        <v>5526</v>
      </c>
    </row>
    <row r="18977" spans="1:15" x14ac:dyDescent="0.25">
      <c r="A18977" t="s">
        <v>18990</v>
      </c>
      <c r="B18977">
        <v>372</v>
      </c>
      <c r="C18977" s="1" t="str">
        <f>HYPERLINK("http://www.rosaceae.org/gb/gbrowse/malus_x_domestica/?name=MDP0000322036","MDP0000322036")</f>
        <v>MDP0000322036</v>
      </c>
      <c r="D18977">
        <v>41.94</v>
      </c>
      <c r="E18977">
        <v>298</v>
      </c>
      <c r="F18977">
        <v>173</v>
      </c>
      <c r="G18977">
        <v>45</v>
      </c>
      <c r="H18977">
        <v>36</v>
      </c>
      <c r="I18977">
        <v>333</v>
      </c>
      <c r="J18977">
        <v>1</v>
      </c>
      <c r="K18977">
        <v>96</v>
      </c>
      <c r="L18977">
        <v>348</v>
      </c>
      <c r="M18977">
        <v>1</v>
      </c>
      <c r="N18977">
        <v>1.3888900000000001E-50</v>
      </c>
      <c r="O18977">
        <v>501</v>
      </c>
    </row>
    <row r="18978" spans="1:15" x14ac:dyDescent="0.25">
      <c r="A18978" t="s">
        <v>18991</v>
      </c>
      <c r="B18978">
        <v>264</v>
      </c>
      <c r="C18978" s="1" t="str">
        <f>HYPERLINK("http://www.rosaceae.org/gb/gbrowse/malus_x_domestica/?name=MDP0000337552","MDP0000337552")</f>
        <v>MDP0000337552</v>
      </c>
      <c r="D18978">
        <v>81.900000000000006</v>
      </c>
      <c r="E18978">
        <v>221</v>
      </c>
      <c r="F18978">
        <v>40</v>
      </c>
      <c r="G18978">
        <v>0</v>
      </c>
      <c r="H18978">
        <v>2</v>
      </c>
      <c r="I18978">
        <v>222</v>
      </c>
      <c r="J18978">
        <v>1</v>
      </c>
      <c r="K18978">
        <v>22</v>
      </c>
      <c r="L18978">
        <v>242</v>
      </c>
      <c r="M18978">
        <v>1</v>
      </c>
      <c r="N18978">
        <v>2.7425200000000002E-105</v>
      </c>
      <c r="O18978">
        <v>971</v>
      </c>
    </row>
    <row r="18979" spans="1:15" x14ac:dyDescent="0.25">
      <c r="A18979" t="s">
        <v>18992</v>
      </c>
      <c r="B18979">
        <v>114</v>
      </c>
      <c r="C18979" s="1" t="str">
        <f>HYPERLINK("http://www.rosaceae.org/gb/gbrowse/malus_x_domestica/?name=MDP0000497073","MDP0000497073")</f>
        <v>MDP0000497073</v>
      </c>
      <c r="D18979">
        <v>47.16</v>
      </c>
      <c r="E18979">
        <v>53</v>
      </c>
      <c r="F18979">
        <v>28</v>
      </c>
      <c r="G18979">
        <v>0</v>
      </c>
      <c r="H18979">
        <v>27</v>
      </c>
      <c r="I18979">
        <v>79</v>
      </c>
      <c r="J18979">
        <v>1</v>
      </c>
      <c r="K18979">
        <v>39</v>
      </c>
      <c r="L18979">
        <v>91</v>
      </c>
      <c r="M18979">
        <v>1</v>
      </c>
      <c r="N18979">
        <v>1.6829299999999999E-10</v>
      </c>
      <c r="O18979">
        <v>148</v>
      </c>
    </row>
    <row r="18980" spans="1:15" x14ac:dyDescent="0.25">
      <c r="A18980" t="s">
        <v>18993</v>
      </c>
      <c r="B18980">
        <v>297</v>
      </c>
      <c r="C18980" s="1" t="str">
        <f>HYPERLINK("http://www.rosaceae.org/gb/gbrowse/malus_x_domestica/?name=MDP0000271408","MDP0000271408")</f>
        <v>MDP0000271408</v>
      </c>
      <c r="D18980">
        <v>75.599999999999994</v>
      </c>
      <c r="E18980">
        <v>291</v>
      </c>
      <c r="F18980">
        <v>71</v>
      </c>
      <c r="G18980">
        <v>0</v>
      </c>
      <c r="H18980">
        <v>1</v>
      </c>
      <c r="I18980">
        <v>291</v>
      </c>
      <c r="J18980">
        <v>1</v>
      </c>
      <c r="K18980">
        <v>1</v>
      </c>
      <c r="L18980">
        <v>291</v>
      </c>
      <c r="M18980">
        <v>1</v>
      </c>
      <c r="N18980">
        <v>1.61595E-121</v>
      </c>
      <c r="O18980">
        <v>1112</v>
      </c>
    </row>
    <row r="18981" spans="1:15" x14ac:dyDescent="0.25">
      <c r="A18981" t="s">
        <v>18994</v>
      </c>
      <c r="B18981">
        <v>436</v>
      </c>
      <c r="C18981" s="1" t="str">
        <f>HYPERLINK("http://www.rosaceae.org/gb/gbrowse/malus_x_domestica/?name=MDP0000225502","MDP0000225502")</f>
        <v>MDP0000225502</v>
      </c>
      <c r="D18981">
        <v>59.03</v>
      </c>
      <c r="E18981">
        <v>249</v>
      </c>
      <c r="F18981">
        <v>102</v>
      </c>
      <c r="G18981">
        <v>11</v>
      </c>
      <c r="H18981">
        <v>30</v>
      </c>
      <c r="I18981">
        <v>274</v>
      </c>
      <c r="J18981">
        <v>1</v>
      </c>
      <c r="K18981">
        <v>24</v>
      </c>
      <c r="L18981">
        <v>265</v>
      </c>
      <c r="M18981">
        <v>1</v>
      </c>
      <c r="N18981">
        <v>2.73256E-74</v>
      </c>
      <c r="O18981">
        <v>707</v>
      </c>
    </row>
    <row r="18982" spans="1:15" x14ac:dyDescent="0.25">
      <c r="A18982" t="s">
        <v>18995</v>
      </c>
      <c r="B18982">
        <v>233</v>
      </c>
      <c r="C18982" s="1" t="str">
        <f>HYPERLINK("http://www.rosaceae.org/gb/gbrowse/malus_x_domestica/?name=MDP0000916843","MDP0000916843")</f>
        <v>MDP0000916843</v>
      </c>
      <c r="D18982">
        <v>55.79</v>
      </c>
      <c r="E18982">
        <v>233</v>
      </c>
      <c r="F18982">
        <v>103</v>
      </c>
      <c r="G18982">
        <v>10</v>
      </c>
      <c r="H18982">
        <v>10</v>
      </c>
      <c r="I18982">
        <v>233</v>
      </c>
      <c r="J18982">
        <v>1</v>
      </c>
      <c r="K18982">
        <v>41</v>
      </c>
      <c r="L18982">
        <v>272</v>
      </c>
      <c r="M18982">
        <v>1</v>
      </c>
      <c r="N18982">
        <v>4.1114999999999999E-68</v>
      </c>
      <c r="O18982">
        <v>650</v>
      </c>
    </row>
    <row r="18983" spans="1:15" x14ac:dyDescent="0.25">
      <c r="A18983" t="s">
        <v>18996</v>
      </c>
      <c r="B18983">
        <v>292</v>
      </c>
      <c r="C18983" s="1" t="str">
        <f>HYPERLINK("http://www.rosaceae.org/gb/gbrowse/malus_x_domestica/?name=MDP0000287423","MDP0000287423")</f>
        <v>MDP0000287423</v>
      </c>
      <c r="D18983">
        <v>55.55</v>
      </c>
      <c r="E18983">
        <v>225</v>
      </c>
      <c r="F18983">
        <v>100</v>
      </c>
      <c r="G18983">
        <v>3</v>
      </c>
      <c r="H18983">
        <v>69</v>
      </c>
      <c r="I18983">
        <v>291</v>
      </c>
      <c r="J18983">
        <v>1</v>
      </c>
      <c r="K18983">
        <v>143</v>
      </c>
      <c r="L18983">
        <v>366</v>
      </c>
      <c r="M18983">
        <v>1</v>
      </c>
      <c r="N18983">
        <v>9.7687599999999997E-70</v>
      </c>
      <c r="O18983">
        <v>665</v>
      </c>
    </row>
    <row r="18984" spans="1:15" x14ac:dyDescent="0.25">
      <c r="A18984" t="s">
        <v>18997</v>
      </c>
      <c r="B18984">
        <v>311</v>
      </c>
      <c r="C18984" s="1" t="str">
        <f>HYPERLINK("http://www.rosaceae.org/gb/gbrowse/malus_x_domestica/?name=MDP0000817494","MDP0000817494")</f>
        <v>MDP0000817494</v>
      </c>
      <c r="D18984">
        <v>72.64</v>
      </c>
      <c r="E18984">
        <v>212</v>
      </c>
      <c r="F18984">
        <v>58</v>
      </c>
      <c r="G18984">
        <v>17</v>
      </c>
      <c r="H18984">
        <v>106</v>
      </c>
      <c r="I18984">
        <v>311</v>
      </c>
      <c r="J18984">
        <v>1</v>
      </c>
      <c r="K18984">
        <v>1</v>
      </c>
      <c r="L18984">
        <v>201</v>
      </c>
      <c r="M18984">
        <v>1</v>
      </c>
      <c r="N18984">
        <v>3.0392E-82</v>
      </c>
      <c r="O18984">
        <v>773</v>
      </c>
    </row>
    <row r="18985" spans="1:15" x14ac:dyDescent="0.25">
      <c r="A18985" t="s">
        <v>18998</v>
      </c>
      <c r="B18985">
        <v>307</v>
      </c>
      <c r="C18985" s="1" t="str">
        <f>HYPERLINK("http://www.rosaceae.org/gb/gbrowse/malus_x_domestica/?name=MDP0000176613","MDP0000176613")</f>
        <v>MDP0000176613</v>
      </c>
      <c r="D18985">
        <v>65.17</v>
      </c>
      <c r="E18985">
        <v>112</v>
      </c>
      <c r="F18985">
        <v>39</v>
      </c>
      <c r="G18985">
        <v>1</v>
      </c>
      <c r="H18985">
        <v>46</v>
      </c>
      <c r="I18985">
        <v>157</v>
      </c>
      <c r="J18985">
        <v>1</v>
      </c>
      <c r="K18985">
        <v>390</v>
      </c>
      <c r="L18985">
        <v>500</v>
      </c>
      <c r="M18985">
        <v>1</v>
      </c>
      <c r="N18985">
        <v>2.1829700000000001E-34</v>
      </c>
      <c r="O18985">
        <v>361</v>
      </c>
    </row>
    <row r="18986" spans="1:15" x14ac:dyDescent="0.25">
      <c r="A18986" t="s">
        <v>18999</v>
      </c>
      <c r="B18986">
        <v>1830</v>
      </c>
      <c r="C18986" s="1" t="str">
        <f>HYPERLINK("http://www.rosaceae.org/gb/gbrowse/malus_x_domestica/?name=MDP0000198839","MDP0000198839")</f>
        <v>MDP0000198839</v>
      </c>
      <c r="D18986">
        <v>71.27</v>
      </c>
      <c r="E18986">
        <v>1911</v>
      </c>
      <c r="F18986">
        <v>549</v>
      </c>
      <c r="G18986">
        <v>109</v>
      </c>
      <c r="H18986">
        <v>1</v>
      </c>
      <c r="I18986">
        <v>1830</v>
      </c>
      <c r="J18986">
        <v>1</v>
      </c>
      <c r="K18986">
        <v>1</v>
      </c>
      <c r="L18986">
        <v>1883</v>
      </c>
      <c r="M18986">
        <v>1</v>
      </c>
      <c r="N18986">
        <v>0</v>
      </c>
      <c r="O18986">
        <v>6882</v>
      </c>
    </row>
    <row r="18987" spans="1:15" x14ac:dyDescent="0.25">
      <c r="A18987" t="s">
        <v>19000</v>
      </c>
      <c r="B18987">
        <v>1108</v>
      </c>
      <c r="C18987" s="1" t="str">
        <f>HYPERLINK("http://www.rosaceae.org/gb/gbrowse/malus_x_domestica/?name=MDP0000524742","MDP0000524742")</f>
        <v>MDP0000524742</v>
      </c>
      <c r="D18987">
        <v>30.67</v>
      </c>
      <c r="E18987">
        <v>1141</v>
      </c>
      <c r="F18987">
        <v>791</v>
      </c>
      <c r="G18987">
        <v>241</v>
      </c>
      <c r="H18987">
        <v>19</v>
      </c>
      <c r="I18987">
        <v>996</v>
      </c>
      <c r="J18987">
        <v>1</v>
      </c>
      <c r="K18987">
        <v>268</v>
      </c>
      <c r="L18987">
        <v>1330</v>
      </c>
      <c r="M18987">
        <v>1</v>
      </c>
      <c r="N18987">
        <v>4.2995499999999998E-79</v>
      </c>
      <c r="O18987">
        <v>752</v>
      </c>
    </row>
    <row r="18988" spans="1:15" x14ac:dyDescent="0.25">
      <c r="A18988" t="s">
        <v>19001</v>
      </c>
      <c r="B18988">
        <v>569</v>
      </c>
      <c r="C18988" s="1" t="str">
        <f>HYPERLINK("http://www.rosaceae.org/gb/gbrowse/malus_x_domestica/?name=MDP0000628931","MDP0000628931")</f>
        <v>MDP0000628931</v>
      </c>
      <c r="D18988">
        <v>87.47</v>
      </c>
      <c r="E18988">
        <v>527</v>
      </c>
      <c r="F18988">
        <v>66</v>
      </c>
      <c r="G18988">
        <v>6</v>
      </c>
      <c r="H18988">
        <v>43</v>
      </c>
      <c r="I18988">
        <v>569</v>
      </c>
      <c r="J18988">
        <v>1</v>
      </c>
      <c r="K18988">
        <v>164</v>
      </c>
      <c r="L18988">
        <v>684</v>
      </c>
      <c r="M18988">
        <v>1</v>
      </c>
      <c r="N18988">
        <v>0</v>
      </c>
      <c r="O18988">
        <v>2445</v>
      </c>
    </row>
    <row r="18989" spans="1:15" x14ac:dyDescent="0.25">
      <c r="A18989" t="s">
        <v>19002</v>
      </c>
      <c r="B18989">
        <v>629</v>
      </c>
      <c r="C18989" s="1" t="str">
        <f>HYPERLINK("http://www.rosaceae.org/gb/gbrowse/malus_x_domestica/?name=MDP0000248906","MDP0000248906")</f>
        <v>MDP0000248906</v>
      </c>
      <c r="D18989">
        <v>71.040000000000006</v>
      </c>
      <c r="E18989">
        <v>625</v>
      </c>
      <c r="F18989">
        <v>181</v>
      </c>
      <c r="G18989">
        <v>18</v>
      </c>
      <c r="H18989">
        <v>20</v>
      </c>
      <c r="I18989">
        <v>629</v>
      </c>
      <c r="J18989">
        <v>1</v>
      </c>
      <c r="K18989">
        <v>14</v>
      </c>
      <c r="L18989">
        <v>635</v>
      </c>
      <c r="M18989">
        <v>1</v>
      </c>
      <c r="N18989">
        <v>0</v>
      </c>
      <c r="O18989">
        <v>2332</v>
      </c>
    </row>
    <row r="18990" spans="1:15" x14ac:dyDescent="0.25">
      <c r="A18990" t="s">
        <v>19003</v>
      </c>
      <c r="B18990">
        <v>425</v>
      </c>
      <c r="C18990" s="1" t="str">
        <f>HYPERLINK("http://www.rosaceae.org/gb/gbrowse/malus_x_domestica/?name=MDP0000757192","MDP0000757192")</f>
        <v>MDP0000757192</v>
      </c>
      <c r="D18990">
        <v>72.5</v>
      </c>
      <c r="E18990">
        <v>40</v>
      </c>
      <c r="F18990">
        <v>11</v>
      </c>
      <c r="G18990">
        <v>0</v>
      </c>
      <c r="H18990">
        <v>85</v>
      </c>
      <c r="I18990">
        <v>124</v>
      </c>
      <c r="J18990">
        <v>1</v>
      </c>
      <c r="K18990">
        <v>19</v>
      </c>
      <c r="L18990">
        <v>58</v>
      </c>
      <c r="M18990">
        <v>1</v>
      </c>
      <c r="N18990">
        <v>1.1023E-9</v>
      </c>
      <c r="O18990">
        <v>149</v>
      </c>
    </row>
    <row r="18991" spans="1:15" x14ac:dyDescent="0.25">
      <c r="A18991" t="s">
        <v>19004</v>
      </c>
      <c r="B18991">
        <v>445</v>
      </c>
      <c r="C18991" s="1" t="str">
        <f>HYPERLINK("http://www.rosaceae.org/gb/gbrowse/malus_x_domestica/?name=MDP0000144694","MDP0000144694")</f>
        <v>MDP0000144694</v>
      </c>
      <c r="D18991">
        <v>70.760000000000005</v>
      </c>
      <c r="E18991">
        <v>407</v>
      </c>
      <c r="F18991">
        <v>119</v>
      </c>
      <c r="G18991">
        <v>44</v>
      </c>
      <c r="H18991">
        <v>83</v>
      </c>
      <c r="I18991">
        <v>445</v>
      </c>
      <c r="J18991">
        <v>1</v>
      </c>
      <c r="K18991">
        <v>1</v>
      </c>
      <c r="L18991">
        <v>407</v>
      </c>
      <c r="M18991">
        <v>1</v>
      </c>
      <c r="N18991">
        <v>2.45625E-166</v>
      </c>
      <c r="O18991">
        <v>1500</v>
      </c>
    </row>
    <row r="18992" spans="1:15" x14ac:dyDescent="0.25">
      <c r="A18992" t="s">
        <v>19005</v>
      </c>
      <c r="B18992">
        <v>194</v>
      </c>
      <c r="C18992" s="1" t="str">
        <f>HYPERLINK("http://www.rosaceae.org/gb/gbrowse/malus_x_domestica/?name=MDP0000156595","MDP0000156595")</f>
        <v>MDP0000156595</v>
      </c>
      <c r="D18992">
        <v>53.69</v>
      </c>
      <c r="E18992">
        <v>203</v>
      </c>
      <c r="F18992">
        <v>94</v>
      </c>
      <c r="G18992">
        <v>18</v>
      </c>
      <c r="H18992">
        <v>1</v>
      </c>
      <c r="I18992">
        <v>186</v>
      </c>
      <c r="J18992">
        <v>1</v>
      </c>
      <c r="K18992">
        <v>1</v>
      </c>
      <c r="L18992">
        <v>202</v>
      </c>
      <c r="M18992">
        <v>1</v>
      </c>
      <c r="N18992">
        <v>1.76586E-42</v>
      </c>
      <c r="O18992">
        <v>428</v>
      </c>
    </row>
    <row r="18993" spans="1:15" x14ac:dyDescent="0.25">
      <c r="A18993" t="s">
        <v>19006</v>
      </c>
      <c r="B18993">
        <v>763</v>
      </c>
      <c r="C18993" s="1" t="str">
        <f>HYPERLINK("http://www.rosaceae.org/gb/gbrowse/malus_x_domestica/?name=MDP0000217220","MDP0000217220")</f>
        <v>MDP0000217220</v>
      </c>
      <c r="D18993">
        <v>76.78</v>
      </c>
      <c r="E18993">
        <v>702</v>
      </c>
      <c r="F18993">
        <v>163</v>
      </c>
      <c r="G18993">
        <v>18</v>
      </c>
      <c r="H18993">
        <v>61</v>
      </c>
      <c r="I18993">
        <v>761</v>
      </c>
      <c r="J18993">
        <v>1</v>
      </c>
      <c r="K18993">
        <v>1</v>
      </c>
      <c r="L18993">
        <v>685</v>
      </c>
      <c r="M18993">
        <v>1</v>
      </c>
      <c r="N18993">
        <v>0</v>
      </c>
      <c r="O18993">
        <v>2872</v>
      </c>
    </row>
    <row r="18994" spans="1:15" x14ac:dyDescent="0.25">
      <c r="A18994" t="s">
        <v>19007</v>
      </c>
      <c r="B18994">
        <v>285</v>
      </c>
      <c r="C18994" s="1" t="str">
        <f>HYPERLINK("http://www.rosaceae.org/gb/gbrowse/malus_x_domestica/?name=MDP0000250703","MDP0000250703")</f>
        <v>MDP0000250703</v>
      </c>
      <c r="D18994">
        <v>25</v>
      </c>
      <c r="E18994">
        <v>200</v>
      </c>
      <c r="F18994">
        <v>150</v>
      </c>
      <c r="G18994">
        <v>45</v>
      </c>
      <c r="H18994">
        <v>55</v>
      </c>
      <c r="I18994">
        <v>215</v>
      </c>
      <c r="J18994">
        <v>1</v>
      </c>
      <c r="K18994">
        <v>369</v>
      </c>
      <c r="L18994">
        <v>562</v>
      </c>
      <c r="M18994">
        <v>1</v>
      </c>
      <c r="N18994">
        <v>2.09889E-9</v>
      </c>
      <c r="O18994">
        <v>145</v>
      </c>
    </row>
    <row r="18995" spans="1:15" x14ac:dyDescent="0.25">
      <c r="A18995" t="s">
        <v>19008</v>
      </c>
      <c r="B18995">
        <v>125</v>
      </c>
      <c r="C18995" s="1" t="str">
        <f>HYPERLINK("http://www.rosaceae.org/gb/gbrowse/malus_x_domestica/?name=MDP0000763738","MDP0000763738")</f>
        <v>MDP0000763738</v>
      </c>
      <c r="D18995">
        <v>86.4</v>
      </c>
      <c r="E18995">
        <v>125</v>
      </c>
      <c r="F18995">
        <v>17</v>
      </c>
      <c r="G18995">
        <v>0</v>
      </c>
      <c r="H18995">
        <v>1</v>
      </c>
      <c r="I18995">
        <v>125</v>
      </c>
      <c r="J18995">
        <v>1</v>
      </c>
      <c r="K18995">
        <v>1</v>
      </c>
      <c r="L18995">
        <v>125</v>
      </c>
      <c r="M18995">
        <v>1</v>
      </c>
      <c r="N18995">
        <v>2.9365599999999999E-61</v>
      </c>
      <c r="O18995">
        <v>586</v>
      </c>
    </row>
    <row r="18996" spans="1:15" x14ac:dyDescent="0.25">
      <c r="A18996" t="s">
        <v>19009</v>
      </c>
      <c r="B18996">
        <v>687</v>
      </c>
      <c r="C18996" s="1" t="str">
        <f>HYPERLINK("http://www.rosaceae.org/gb/gbrowse/malus_x_domestica/?name=MDP0000139912","MDP0000139912")</f>
        <v>MDP0000139912</v>
      </c>
      <c r="D18996">
        <v>73.27</v>
      </c>
      <c r="E18996">
        <v>247</v>
      </c>
      <c r="F18996">
        <v>66</v>
      </c>
      <c r="G18996">
        <v>0</v>
      </c>
      <c r="H18996">
        <v>240</v>
      </c>
      <c r="I18996">
        <v>486</v>
      </c>
      <c r="J18996">
        <v>1</v>
      </c>
      <c r="K18996">
        <v>105</v>
      </c>
      <c r="L18996">
        <v>351</v>
      </c>
      <c r="M18996">
        <v>1</v>
      </c>
      <c r="N18996">
        <v>1.4481699999999999E-110</v>
      </c>
      <c r="O18996">
        <v>1021</v>
      </c>
    </row>
    <row r="18997" spans="1:15" x14ac:dyDescent="0.25">
      <c r="A18997" t="s">
        <v>19010</v>
      </c>
      <c r="B18997">
        <v>302</v>
      </c>
      <c r="C18997" s="1" t="str">
        <f>HYPERLINK("http://www.rosaceae.org/gb/gbrowse/malus_x_domestica/?name=MDP0000230913","MDP0000230913")</f>
        <v>MDP0000230913</v>
      </c>
      <c r="D18997">
        <v>72.540000000000006</v>
      </c>
      <c r="E18997">
        <v>295</v>
      </c>
      <c r="F18997">
        <v>81</v>
      </c>
      <c r="G18997">
        <v>10</v>
      </c>
      <c r="H18997">
        <v>1</v>
      </c>
      <c r="I18997">
        <v>285</v>
      </c>
      <c r="J18997">
        <v>1</v>
      </c>
      <c r="K18997">
        <v>1</v>
      </c>
      <c r="L18997">
        <v>295</v>
      </c>
      <c r="M18997">
        <v>1</v>
      </c>
      <c r="N18997">
        <v>2.9983600000000002E-120</v>
      </c>
      <c r="O18997">
        <v>1101</v>
      </c>
    </row>
    <row r="18998" spans="1:15" x14ac:dyDescent="0.25">
      <c r="A18998" t="s">
        <v>19011</v>
      </c>
      <c r="B18998">
        <v>482</v>
      </c>
      <c r="C18998" s="1" t="str">
        <f>HYPERLINK("http://www.rosaceae.org/gb/gbrowse/malus_x_domestica/?name=MDP0000933541","MDP0000933541")</f>
        <v>MDP0000933541</v>
      </c>
      <c r="D18998">
        <v>57.3</v>
      </c>
      <c r="E18998">
        <v>527</v>
      </c>
      <c r="F18998">
        <v>225</v>
      </c>
      <c r="G18998">
        <v>59</v>
      </c>
      <c r="H18998">
        <v>2</v>
      </c>
      <c r="I18998">
        <v>481</v>
      </c>
      <c r="J18998">
        <v>1</v>
      </c>
      <c r="K18998">
        <v>271</v>
      </c>
      <c r="L18998">
        <v>785</v>
      </c>
      <c r="M18998">
        <v>1</v>
      </c>
      <c r="N18998">
        <v>1.56039E-161</v>
      </c>
      <c r="O18998">
        <v>1459</v>
      </c>
    </row>
    <row r="18999" spans="1:15" x14ac:dyDescent="0.25">
      <c r="A18999" t="s">
        <v>19012</v>
      </c>
      <c r="B18999">
        <v>159</v>
      </c>
      <c r="C18999" s="1" t="str">
        <f>HYPERLINK("http://www.rosaceae.org/gb/gbrowse/malus_x_domestica/?name=MDP0000484244","MDP0000484244")</f>
        <v>MDP0000484244</v>
      </c>
      <c r="D18999">
        <v>46.75</v>
      </c>
      <c r="E18999">
        <v>154</v>
      </c>
      <c r="F18999">
        <v>82</v>
      </c>
      <c r="G18999">
        <v>9</v>
      </c>
      <c r="H18999">
        <v>1</v>
      </c>
      <c r="I18999">
        <v>154</v>
      </c>
      <c r="J18999">
        <v>1</v>
      </c>
      <c r="K18999">
        <v>1</v>
      </c>
      <c r="L18999">
        <v>145</v>
      </c>
      <c r="M18999">
        <v>1</v>
      </c>
      <c r="N18999">
        <v>1.26682E-28</v>
      </c>
      <c r="O18999">
        <v>307</v>
      </c>
    </row>
    <row r="19000" spans="1:15" x14ac:dyDescent="0.25">
      <c r="A19000" t="s">
        <v>19013</v>
      </c>
      <c r="B19000">
        <v>540</v>
      </c>
      <c r="C19000" s="1" t="str">
        <f>HYPERLINK("http://www.rosaceae.org/gb/gbrowse/malus_x_domestica/?name=MDP0000131307","MDP0000131307")</f>
        <v>MDP0000131307</v>
      </c>
      <c r="D19000">
        <v>82.85</v>
      </c>
      <c r="E19000">
        <v>210</v>
      </c>
      <c r="F19000">
        <v>36</v>
      </c>
      <c r="G19000">
        <v>3</v>
      </c>
      <c r="H19000">
        <v>165</v>
      </c>
      <c r="I19000">
        <v>374</v>
      </c>
      <c r="J19000">
        <v>1</v>
      </c>
      <c r="K19000">
        <v>224</v>
      </c>
      <c r="L19000">
        <v>430</v>
      </c>
      <c r="M19000">
        <v>1</v>
      </c>
      <c r="N19000">
        <v>3.7056300000000002E-99</v>
      </c>
      <c r="O19000">
        <v>922</v>
      </c>
    </row>
    <row r="19001" spans="1:15" x14ac:dyDescent="0.25">
      <c r="A19001" t="s">
        <v>19014</v>
      </c>
      <c r="B19001">
        <v>300</v>
      </c>
      <c r="C19001" s="1" t="str">
        <f>HYPERLINK("http://www.rosaceae.org/gb/gbrowse/malus_x_domestica/?name=MDP0000295196","MDP0000295196")</f>
        <v>MDP0000295196</v>
      </c>
      <c r="D19001">
        <v>84.28</v>
      </c>
      <c r="E19001">
        <v>140</v>
      </c>
      <c r="F19001">
        <v>22</v>
      </c>
      <c r="G19001">
        <v>0</v>
      </c>
      <c r="H19001">
        <v>143</v>
      </c>
      <c r="I19001">
        <v>282</v>
      </c>
      <c r="J19001">
        <v>1</v>
      </c>
      <c r="K19001">
        <v>91</v>
      </c>
      <c r="L19001">
        <v>230</v>
      </c>
      <c r="M19001">
        <v>1</v>
      </c>
      <c r="N19001">
        <v>2.0700399999999999E-68</v>
      </c>
      <c r="O19001">
        <v>654</v>
      </c>
    </row>
    <row r="19002" spans="1:15" x14ac:dyDescent="0.25">
      <c r="A19002" t="s">
        <v>19015</v>
      </c>
      <c r="B19002">
        <v>946</v>
      </c>
      <c r="C19002" s="1" t="str">
        <f>HYPERLINK("http://www.rosaceae.org/gb/gbrowse/malus_x_domestica/?name=MDP0000312054","MDP0000312054")</f>
        <v>MDP0000312054</v>
      </c>
      <c r="D19002">
        <v>64.5</v>
      </c>
      <c r="E19002">
        <v>927</v>
      </c>
      <c r="F19002">
        <v>329</v>
      </c>
      <c r="G19002">
        <v>140</v>
      </c>
      <c r="H19002">
        <v>69</v>
      </c>
      <c r="I19002">
        <v>938</v>
      </c>
      <c r="J19002">
        <v>1</v>
      </c>
      <c r="K19002">
        <v>65</v>
      </c>
      <c r="L19002">
        <v>908</v>
      </c>
      <c r="M19002">
        <v>1</v>
      </c>
      <c r="N19002">
        <v>0</v>
      </c>
      <c r="O19002">
        <v>2894</v>
      </c>
    </row>
    <row r="19003" spans="1:15" x14ac:dyDescent="0.25">
      <c r="A19003" t="s">
        <v>19016</v>
      </c>
      <c r="B19003">
        <v>428</v>
      </c>
      <c r="C19003" s="1" t="str">
        <f>HYPERLINK("http://www.rosaceae.org/gb/gbrowse/malus_x_domestica/?name=MDP0000025413","MDP0000025413")</f>
        <v>MDP0000025413</v>
      </c>
      <c r="D19003">
        <v>81.599999999999994</v>
      </c>
      <c r="E19003">
        <v>386</v>
      </c>
      <c r="F19003">
        <v>71</v>
      </c>
      <c r="G19003">
        <v>0</v>
      </c>
      <c r="H19003">
        <v>42</v>
      </c>
      <c r="I19003">
        <v>427</v>
      </c>
      <c r="J19003">
        <v>1</v>
      </c>
      <c r="K19003">
        <v>1</v>
      </c>
      <c r="L19003">
        <v>386</v>
      </c>
      <c r="M19003">
        <v>1</v>
      </c>
      <c r="N19003">
        <v>0</v>
      </c>
      <c r="O19003">
        <v>1669</v>
      </c>
    </row>
    <row r="19004" spans="1:15" x14ac:dyDescent="0.25">
      <c r="A19004" t="s">
        <v>19017</v>
      </c>
      <c r="B19004">
        <v>276</v>
      </c>
      <c r="C19004" s="1" t="str">
        <f>HYPERLINK("http://www.rosaceae.org/gb/gbrowse/malus_x_domestica/?name=MDP0000263008","MDP0000263008")</f>
        <v>MDP0000263008</v>
      </c>
      <c r="D19004">
        <v>63.63</v>
      </c>
      <c r="E19004">
        <v>253</v>
      </c>
      <c r="F19004">
        <v>92</v>
      </c>
      <c r="G19004">
        <v>28</v>
      </c>
      <c r="H19004">
        <v>41</v>
      </c>
      <c r="I19004">
        <v>276</v>
      </c>
      <c r="J19004">
        <v>1</v>
      </c>
      <c r="K19004">
        <v>38</v>
      </c>
      <c r="L19004">
        <v>279</v>
      </c>
      <c r="M19004">
        <v>1</v>
      </c>
      <c r="N19004">
        <v>6.2386099999999998E-78</v>
      </c>
      <c r="O19004">
        <v>736</v>
      </c>
    </row>
    <row r="19005" spans="1:15" x14ac:dyDescent="0.25">
      <c r="A19005" t="s">
        <v>19018</v>
      </c>
      <c r="B19005">
        <v>249</v>
      </c>
      <c r="C19005" s="1" t="str">
        <f>HYPERLINK("http://www.rosaceae.org/gb/gbrowse/malus_x_domestica/?name=MDP0000750374","MDP0000750374")</f>
        <v>MDP0000750374</v>
      </c>
      <c r="D19005">
        <v>79.06</v>
      </c>
      <c r="E19005">
        <v>43</v>
      </c>
      <c r="F19005">
        <v>9</v>
      </c>
      <c r="G19005">
        <v>0</v>
      </c>
      <c r="H19005">
        <v>2</v>
      </c>
      <c r="I19005">
        <v>44</v>
      </c>
      <c r="J19005">
        <v>1</v>
      </c>
      <c r="K19005">
        <v>43</v>
      </c>
      <c r="L19005">
        <v>85</v>
      </c>
      <c r="M19005">
        <v>1</v>
      </c>
      <c r="N19005">
        <v>4.40551E-13</v>
      </c>
      <c r="O19005">
        <v>176</v>
      </c>
    </row>
    <row r="19006" spans="1:15" x14ac:dyDescent="0.25">
      <c r="A19006" t="s">
        <v>19019</v>
      </c>
      <c r="B19006">
        <v>155</v>
      </c>
      <c r="C19006" s="1" t="str">
        <f>HYPERLINK("http://www.rosaceae.org/gb/gbrowse/malus_x_domestica/?name=MDP0000246286","MDP0000246286")</f>
        <v>MDP0000246286</v>
      </c>
      <c r="D19006">
        <v>56.97</v>
      </c>
      <c r="E19006">
        <v>86</v>
      </c>
      <c r="F19006">
        <v>37</v>
      </c>
      <c r="G19006">
        <v>9</v>
      </c>
      <c r="H19006">
        <v>72</v>
      </c>
      <c r="I19006">
        <v>151</v>
      </c>
      <c r="J19006">
        <v>1</v>
      </c>
      <c r="K19006">
        <v>29</v>
      </c>
      <c r="L19006">
        <v>111</v>
      </c>
      <c r="M19006">
        <v>1</v>
      </c>
      <c r="N19006">
        <v>4.6063200000000003E-15</v>
      </c>
      <c r="O19006">
        <v>190</v>
      </c>
    </row>
    <row r="19007" spans="1:15" x14ac:dyDescent="0.25">
      <c r="A19007" t="s">
        <v>19020</v>
      </c>
      <c r="B19007">
        <v>146</v>
      </c>
      <c r="C19007" s="1" t="str">
        <f>HYPERLINK("http://www.rosaceae.org/gb/gbrowse/malus_x_domestica/?name=MDP0000255453","MDP0000255453")</f>
        <v>MDP0000255453</v>
      </c>
      <c r="D19007">
        <v>54.54</v>
      </c>
      <c r="E19007">
        <v>99</v>
      </c>
      <c r="F19007">
        <v>45</v>
      </c>
      <c r="G19007">
        <v>5</v>
      </c>
      <c r="H19007">
        <v>1</v>
      </c>
      <c r="I19007">
        <v>97</v>
      </c>
      <c r="J19007">
        <v>1</v>
      </c>
      <c r="K19007">
        <v>1</v>
      </c>
      <c r="L19007">
        <v>96</v>
      </c>
      <c r="M19007">
        <v>1</v>
      </c>
      <c r="N19007">
        <v>9.37025E-20</v>
      </c>
      <c r="O19007">
        <v>229</v>
      </c>
    </row>
    <row r="19008" spans="1:15" x14ac:dyDescent="0.25">
      <c r="A19008" t="s">
        <v>19021</v>
      </c>
      <c r="B19008">
        <v>186</v>
      </c>
      <c r="C19008" s="1" t="str">
        <f>HYPERLINK("http://www.rosaceae.org/gb/gbrowse/malus_x_domestica/?name=MDP0000185846","MDP0000185846")</f>
        <v>MDP0000185846</v>
      </c>
      <c r="D19008">
        <v>42.12</v>
      </c>
      <c r="E19008">
        <v>273</v>
      </c>
      <c r="F19008">
        <v>158</v>
      </c>
      <c r="G19008">
        <v>88</v>
      </c>
      <c r="H19008">
        <v>1</v>
      </c>
      <c r="I19008">
        <v>185</v>
      </c>
      <c r="J19008">
        <v>1</v>
      </c>
      <c r="K19008">
        <v>108</v>
      </c>
      <c r="L19008">
        <v>380</v>
      </c>
      <c r="M19008">
        <v>1</v>
      </c>
      <c r="N19008">
        <v>1.6520400000000001E-52</v>
      </c>
      <c r="O19008">
        <v>514</v>
      </c>
    </row>
    <row r="19009" spans="1:15" x14ac:dyDescent="0.25">
      <c r="A19009" t="s">
        <v>19022</v>
      </c>
      <c r="B19009">
        <v>263</v>
      </c>
      <c r="C19009" s="1" t="str">
        <f>HYPERLINK("http://www.rosaceae.org/gb/gbrowse/malus_x_domestica/?name=MDP0000253891","MDP0000253891")</f>
        <v>MDP0000253891</v>
      </c>
      <c r="D19009">
        <v>85.44</v>
      </c>
      <c r="E19009">
        <v>213</v>
      </c>
      <c r="F19009">
        <v>31</v>
      </c>
      <c r="G19009">
        <v>0</v>
      </c>
      <c r="H19009">
        <v>51</v>
      </c>
      <c r="I19009">
        <v>263</v>
      </c>
      <c r="J19009">
        <v>1</v>
      </c>
      <c r="K19009">
        <v>46</v>
      </c>
      <c r="L19009">
        <v>258</v>
      </c>
      <c r="M19009">
        <v>1</v>
      </c>
      <c r="N19009">
        <v>1.2349E-107</v>
      </c>
      <c r="O19009">
        <v>991</v>
      </c>
    </row>
    <row r="19010" spans="1:15" x14ac:dyDescent="0.25">
      <c r="A19010" t="s">
        <v>19023</v>
      </c>
      <c r="B19010">
        <v>252</v>
      </c>
      <c r="C19010" s="1" t="str">
        <f>HYPERLINK("http://www.rosaceae.org/gb/gbrowse/malus_x_domestica/?name=MDP0000320317","MDP0000320317")</f>
        <v>MDP0000320317</v>
      </c>
      <c r="D19010">
        <v>88.66</v>
      </c>
      <c r="E19010">
        <v>150</v>
      </c>
      <c r="F19010">
        <v>17</v>
      </c>
      <c r="G19010">
        <v>0</v>
      </c>
      <c r="H19010">
        <v>50</v>
      </c>
      <c r="I19010">
        <v>199</v>
      </c>
      <c r="J19010">
        <v>1</v>
      </c>
      <c r="K19010">
        <v>459</v>
      </c>
      <c r="L19010">
        <v>608</v>
      </c>
      <c r="M19010">
        <v>1</v>
      </c>
      <c r="N19010">
        <v>2.7660199999999999E-76</v>
      </c>
      <c r="O19010">
        <v>721</v>
      </c>
    </row>
    <row r="19011" spans="1:15" x14ac:dyDescent="0.25">
      <c r="A19011" t="s">
        <v>19024</v>
      </c>
      <c r="B19011">
        <v>1207</v>
      </c>
      <c r="C19011" s="1" t="str">
        <f>HYPERLINK("http://www.rosaceae.org/gb/gbrowse/malus_x_domestica/?name=MDP0000718430","MDP0000718430")</f>
        <v>MDP0000718430</v>
      </c>
      <c r="D19011">
        <v>61.73</v>
      </c>
      <c r="E19011">
        <v>473</v>
      </c>
      <c r="F19011">
        <v>181</v>
      </c>
      <c r="G19011">
        <v>30</v>
      </c>
      <c r="H19011">
        <v>754</v>
      </c>
      <c r="I19011">
        <v>1207</v>
      </c>
      <c r="J19011">
        <v>1</v>
      </c>
      <c r="K19011">
        <v>1</v>
      </c>
      <c r="L19011">
        <v>462</v>
      </c>
      <c r="M19011">
        <v>1</v>
      </c>
      <c r="N19011">
        <v>6.5248500000000005E-160</v>
      </c>
      <c r="O19011">
        <v>1449</v>
      </c>
    </row>
    <row r="19012" spans="1:15" x14ac:dyDescent="0.25">
      <c r="A19012" t="s">
        <v>19025</v>
      </c>
      <c r="B19012">
        <v>75</v>
      </c>
      <c r="C19012" s="1" t="str">
        <f>HYPERLINK("http://www.rosaceae.org/gb/gbrowse/malus_x_domestica/?name=MDP0000312982","MDP0000312982")</f>
        <v>MDP0000312982</v>
      </c>
      <c r="D19012">
        <v>81.569999999999993</v>
      </c>
      <c r="E19012">
        <v>38</v>
      </c>
      <c r="F19012">
        <v>7</v>
      </c>
      <c r="G19012">
        <v>0</v>
      </c>
      <c r="H19012">
        <v>18</v>
      </c>
      <c r="I19012">
        <v>55</v>
      </c>
      <c r="J19012">
        <v>1</v>
      </c>
      <c r="K19012">
        <v>18</v>
      </c>
      <c r="L19012">
        <v>55</v>
      </c>
      <c r="M19012">
        <v>1</v>
      </c>
      <c r="N19012">
        <v>1.7477400000000001E-13</v>
      </c>
      <c r="O19012">
        <v>174</v>
      </c>
    </row>
    <row r="19013" spans="1:15" x14ac:dyDescent="0.25">
      <c r="A19013" t="s">
        <v>19026</v>
      </c>
      <c r="B19013">
        <v>317</v>
      </c>
      <c r="C19013" s="1" t="str">
        <f>HYPERLINK("http://www.rosaceae.org/gb/gbrowse/malus_x_domestica/?name=MDP0000218595","MDP0000218595")</f>
        <v>MDP0000218595</v>
      </c>
      <c r="D19013">
        <v>64.41</v>
      </c>
      <c r="E19013">
        <v>326</v>
      </c>
      <c r="F19013">
        <v>116</v>
      </c>
      <c r="G19013">
        <v>36</v>
      </c>
      <c r="H19013">
        <v>1</v>
      </c>
      <c r="I19013">
        <v>317</v>
      </c>
      <c r="J19013">
        <v>1</v>
      </c>
      <c r="K19013">
        <v>1</v>
      </c>
      <c r="L19013">
        <v>299</v>
      </c>
      <c r="M19013">
        <v>1</v>
      </c>
      <c r="N19013">
        <v>9.25836E-108</v>
      </c>
      <c r="O19013">
        <v>994</v>
      </c>
    </row>
    <row r="19014" spans="1:15" x14ac:dyDescent="0.25">
      <c r="A19014" t="s">
        <v>19027</v>
      </c>
      <c r="B19014">
        <v>484</v>
      </c>
      <c r="C19014" s="1" t="str">
        <f>HYPERLINK("http://www.rosaceae.org/gb/gbrowse/malus_x_domestica/?name=MDP0000138753","MDP0000138753")</f>
        <v>MDP0000138753</v>
      </c>
      <c r="D19014">
        <v>76.08</v>
      </c>
      <c r="E19014">
        <v>460</v>
      </c>
      <c r="F19014">
        <v>110</v>
      </c>
      <c r="G19014">
        <v>3</v>
      </c>
      <c r="H19014">
        <v>17</v>
      </c>
      <c r="I19014">
        <v>475</v>
      </c>
      <c r="J19014">
        <v>1</v>
      </c>
      <c r="K19014">
        <v>18</v>
      </c>
      <c r="L19014">
        <v>475</v>
      </c>
      <c r="M19014">
        <v>1</v>
      </c>
      <c r="N19014">
        <v>0</v>
      </c>
      <c r="O19014">
        <v>1868</v>
      </c>
    </row>
    <row r="19015" spans="1:15" x14ac:dyDescent="0.25">
      <c r="A19015" t="s">
        <v>19028</v>
      </c>
      <c r="B19015">
        <v>514</v>
      </c>
      <c r="C19015" s="1" t="str">
        <f>HYPERLINK("http://www.rosaceae.org/gb/gbrowse/malus_x_domestica/?name=MDP0000763968","MDP0000763968")</f>
        <v>MDP0000763968</v>
      </c>
      <c r="D19015">
        <v>73.19</v>
      </c>
      <c r="E19015">
        <v>526</v>
      </c>
      <c r="F19015">
        <v>141</v>
      </c>
      <c r="G19015">
        <v>14</v>
      </c>
      <c r="H19015">
        <v>1</v>
      </c>
      <c r="I19015">
        <v>514</v>
      </c>
      <c r="J19015">
        <v>1</v>
      </c>
      <c r="K19015">
        <v>1</v>
      </c>
      <c r="L19015">
        <v>524</v>
      </c>
      <c r="M19015">
        <v>1</v>
      </c>
      <c r="N19015">
        <v>0</v>
      </c>
      <c r="O19015">
        <v>1963</v>
      </c>
    </row>
    <row r="19016" spans="1:15" x14ac:dyDescent="0.25">
      <c r="A19016" t="s">
        <v>19029</v>
      </c>
      <c r="B19016">
        <v>1124</v>
      </c>
      <c r="C19016" s="1" t="str">
        <f>HYPERLINK("http://www.rosaceae.org/gb/gbrowse/malus_x_domestica/?name=MDP0000237571","MDP0000237571")</f>
        <v>MDP0000237571</v>
      </c>
      <c r="D19016">
        <v>77.77</v>
      </c>
      <c r="E19016">
        <v>144</v>
      </c>
      <c r="F19016">
        <v>32</v>
      </c>
      <c r="G19016">
        <v>0</v>
      </c>
      <c r="H19016">
        <v>980</v>
      </c>
      <c r="I19016">
        <v>1123</v>
      </c>
      <c r="J19016">
        <v>1</v>
      </c>
      <c r="K19016">
        <v>52</v>
      </c>
      <c r="L19016">
        <v>195</v>
      </c>
      <c r="M19016">
        <v>1</v>
      </c>
      <c r="N19016">
        <v>4.3189399999999999E-61</v>
      </c>
      <c r="O19016">
        <v>597</v>
      </c>
    </row>
    <row r="19017" spans="1:15" x14ac:dyDescent="0.25">
      <c r="A19017" t="s">
        <v>19030</v>
      </c>
      <c r="B19017">
        <v>429</v>
      </c>
      <c r="C19017" s="1" t="str">
        <f>HYPERLINK("http://www.rosaceae.org/gb/gbrowse/malus_x_domestica/?name=MDP0000729320","MDP0000729320")</f>
        <v>MDP0000729320</v>
      </c>
      <c r="D19017">
        <v>54.54</v>
      </c>
      <c r="E19017">
        <v>462</v>
      </c>
      <c r="F19017">
        <v>210</v>
      </c>
      <c r="G19017">
        <v>38</v>
      </c>
      <c r="H19017">
        <v>1</v>
      </c>
      <c r="I19017">
        <v>428</v>
      </c>
      <c r="J19017">
        <v>1</v>
      </c>
      <c r="K19017">
        <v>1</v>
      </c>
      <c r="L19017">
        <v>458</v>
      </c>
      <c r="M19017">
        <v>1</v>
      </c>
      <c r="N19017">
        <v>4.36381E-141</v>
      </c>
      <c r="O19017">
        <v>1282</v>
      </c>
    </row>
    <row r="19018" spans="1:15" x14ac:dyDescent="0.25">
      <c r="A19018" t="s">
        <v>19031</v>
      </c>
      <c r="B19018">
        <v>446</v>
      </c>
      <c r="C19018" s="1" t="str">
        <f>HYPERLINK("http://www.rosaceae.org/gb/gbrowse/malus_x_domestica/?name=MDP0000167597","MDP0000167597")</f>
        <v>MDP0000167597</v>
      </c>
      <c r="D19018">
        <v>81.260000000000005</v>
      </c>
      <c r="E19018">
        <v>491</v>
      </c>
      <c r="F19018">
        <v>92</v>
      </c>
      <c r="G19018">
        <v>65</v>
      </c>
      <c r="H19018">
        <v>1</v>
      </c>
      <c r="I19018">
        <v>427</v>
      </c>
      <c r="J19018">
        <v>1</v>
      </c>
      <c r="K19018">
        <v>1</v>
      </c>
      <c r="L19018">
        <v>490</v>
      </c>
      <c r="M19018">
        <v>1</v>
      </c>
      <c r="N19018">
        <v>0</v>
      </c>
      <c r="O19018">
        <v>2037</v>
      </c>
    </row>
    <row r="19019" spans="1:15" x14ac:dyDescent="0.25">
      <c r="A19019" t="s">
        <v>19032</v>
      </c>
      <c r="B19019">
        <v>461</v>
      </c>
      <c r="C19019" s="1" t="str">
        <f>HYPERLINK("http://www.rosaceae.org/gb/gbrowse/malus_x_domestica/?name=MDP0000413933","MDP0000413933")</f>
        <v>MDP0000413933</v>
      </c>
      <c r="D19019">
        <v>72.959999999999994</v>
      </c>
      <c r="E19019">
        <v>455</v>
      </c>
      <c r="F19019">
        <v>123</v>
      </c>
      <c r="G19019">
        <v>3</v>
      </c>
      <c r="H19019">
        <v>1</v>
      </c>
      <c r="I19019">
        <v>453</v>
      </c>
      <c r="J19019">
        <v>1</v>
      </c>
      <c r="K19019">
        <v>204</v>
      </c>
      <c r="L19019">
        <v>657</v>
      </c>
      <c r="M19019">
        <v>1</v>
      </c>
      <c r="N19019">
        <v>0</v>
      </c>
      <c r="O19019">
        <v>1816</v>
      </c>
    </row>
    <row r="19020" spans="1:15" x14ac:dyDescent="0.25">
      <c r="A19020" t="s">
        <v>19033</v>
      </c>
      <c r="B19020">
        <v>332</v>
      </c>
      <c r="C19020" s="1" t="str">
        <f>HYPERLINK("http://www.rosaceae.org/gb/gbrowse/malus_x_domestica/?name=MDP0000412275","MDP0000412275")</f>
        <v>MDP0000412275</v>
      </c>
      <c r="D19020">
        <v>47.24</v>
      </c>
      <c r="E19020">
        <v>290</v>
      </c>
      <c r="F19020">
        <v>153</v>
      </c>
      <c r="G19020">
        <v>56</v>
      </c>
      <c r="H19020">
        <v>97</v>
      </c>
      <c r="I19020">
        <v>332</v>
      </c>
      <c r="J19020">
        <v>1</v>
      </c>
      <c r="K19020">
        <v>505</v>
      </c>
      <c r="L19020">
        <v>792</v>
      </c>
      <c r="M19020">
        <v>1</v>
      </c>
      <c r="N19020">
        <v>1.44063E-54</v>
      </c>
      <c r="O19020">
        <v>535</v>
      </c>
    </row>
    <row r="19021" spans="1:15" x14ac:dyDescent="0.25">
      <c r="A19021" t="s">
        <v>19034</v>
      </c>
      <c r="B19021">
        <v>250</v>
      </c>
      <c r="C19021" s="1" t="str">
        <f>HYPERLINK("http://www.rosaceae.org/gb/gbrowse/malus_x_domestica/?name=MDP0000462669","MDP0000462669")</f>
        <v>MDP0000462669</v>
      </c>
      <c r="D19021">
        <v>91.3</v>
      </c>
      <c r="E19021">
        <v>115</v>
      </c>
      <c r="F19021">
        <v>10</v>
      </c>
      <c r="G19021">
        <v>0</v>
      </c>
      <c r="H19021">
        <v>1</v>
      </c>
      <c r="I19021">
        <v>115</v>
      </c>
      <c r="J19021">
        <v>1</v>
      </c>
      <c r="K19021">
        <v>1</v>
      </c>
      <c r="L19021">
        <v>115</v>
      </c>
      <c r="M19021">
        <v>1</v>
      </c>
      <c r="N19021">
        <v>8.5363599999999995E-57</v>
      </c>
      <c r="O19021">
        <v>553</v>
      </c>
    </row>
    <row r="19022" spans="1:15" x14ac:dyDescent="0.25">
      <c r="A19022" t="s">
        <v>19035</v>
      </c>
      <c r="B19022">
        <v>604</v>
      </c>
      <c r="C19022" s="1" t="str">
        <f>HYPERLINK("http://www.rosaceae.org/gb/gbrowse/malus_x_domestica/?name=MDP0000296695","MDP0000296695")</f>
        <v>MDP0000296695</v>
      </c>
      <c r="D19022">
        <v>80.09</v>
      </c>
      <c r="E19022">
        <v>638</v>
      </c>
      <c r="F19022">
        <v>127</v>
      </c>
      <c r="G19022">
        <v>40</v>
      </c>
      <c r="H19022">
        <v>1</v>
      </c>
      <c r="I19022">
        <v>604</v>
      </c>
      <c r="J19022">
        <v>1</v>
      </c>
      <c r="K19022">
        <v>1</v>
      </c>
      <c r="L19022">
        <v>632</v>
      </c>
      <c r="M19022">
        <v>1</v>
      </c>
      <c r="N19022">
        <v>0</v>
      </c>
      <c r="O19022">
        <v>2610</v>
      </c>
    </row>
    <row r="19023" spans="1:15" x14ac:dyDescent="0.25">
      <c r="A19023" t="s">
        <v>19036</v>
      </c>
      <c r="B19023">
        <v>520</v>
      </c>
      <c r="C19023" s="1" t="str">
        <f>HYPERLINK("http://www.rosaceae.org/gb/gbrowse/malus_x_domestica/?name=MDP0000145531","MDP0000145531")</f>
        <v>MDP0000145531</v>
      </c>
      <c r="D19023">
        <v>57.24</v>
      </c>
      <c r="E19023">
        <v>559</v>
      </c>
      <c r="F19023">
        <v>239</v>
      </c>
      <c r="G19023">
        <v>53</v>
      </c>
      <c r="H19023">
        <v>7</v>
      </c>
      <c r="I19023">
        <v>520</v>
      </c>
      <c r="J19023">
        <v>1</v>
      </c>
      <c r="K19023">
        <v>2</v>
      </c>
      <c r="L19023">
        <v>552</v>
      </c>
      <c r="M19023">
        <v>1</v>
      </c>
      <c r="N19023">
        <v>1.45877E-158</v>
      </c>
      <c r="O19023">
        <v>1434</v>
      </c>
    </row>
    <row r="19024" spans="1:15" x14ac:dyDescent="0.25">
      <c r="A19024" t="s">
        <v>19037</v>
      </c>
      <c r="B19024">
        <v>1345</v>
      </c>
      <c r="C19024" s="1" t="str">
        <f>HYPERLINK("http://www.rosaceae.org/gb/gbrowse/malus_x_domestica/?name=MDP0000285008","MDP0000285008")</f>
        <v>MDP0000285008</v>
      </c>
      <c r="D19024">
        <v>67.069999999999993</v>
      </c>
      <c r="E19024">
        <v>1303</v>
      </c>
      <c r="F19024">
        <v>429</v>
      </c>
      <c r="G19024">
        <v>59</v>
      </c>
      <c r="H19024">
        <v>92</v>
      </c>
      <c r="I19024">
        <v>1345</v>
      </c>
      <c r="J19024">
        <v>1</v>
      </c>
      <c r="K19024">
        <v>87</v>
      </c>
      <c r="L19024">
        <v>1379</v>
      </c>
      <c r="M19024">
        <v>1</v>
      </c>
      <c r="N19024">
        <v>0</v>
      </c>
      <c r="O19024">
        <v>4375</v>
      </c>
    </row>
    <row r="19025" spans="1:15" x14ac:dyDescent="0.25">
      <c r="A19025" t="s">
        <v>19038</v>
      </c>
      <c r="B19025">
        <v>402</v>
      </c>
      <c r="C19025" s="1" t="str">
        <f>HYPERLINK("http://www.rosaceae.org/gb/gbrowse/malus_x_domestica/?name=MDP0000228868","MDP0000228868")</f>
        <v>MDP0000228868</v>
      </c>
      <c r="D19025">
        <v>28.76</v>
      </c>
      <c r="E19025">
        <v>146</v>
      </c>
      <c r="F19025">
        <v>104</v>
      </c>
      <c r="G19025">
        <v>2</v>
      </c>
      <c r="H19025">
        <v>13</v>
      </c>
      <c r="I19025">
        <v>157</v>
      </c>
      <c r="J19025">
        <v>1</v>
      </c>
      <c r="K19025">
        <v>647</v>
      </c>
      <c r="L19025">
        <v>791</v>
      </c>
      <c r="M19025">
        <v>1</v>
      </c>
      <c r="N19025">
        <v>1.2467E-17</v>
      </c>
      <c r="O19025">
        <v>217</v>
      </c>
    </row>
    <row r="19026" spans="1:15" x14ac:dyDescent="0.25">
      <c r="A19026" t="s">
        <v>19039</v>
      </c>
      <c r="B19026">
        <v>329</v>
      </c>
      <c r="C19026" s="1" t="str">
        <f>HYPERLINK("http://www.rosaceae.org/gb/gbrowse/malus_x_domestica/?name=MDP0000219706","MDP0000219706")</f>
        <v>MDP0000219706</v>
      </c>
      <c r="D19026">
        <v>33.01</v>
      </c>
      <c r="E19026">
        <v>212</v>
      </c>
      <c r="F19026">
        <v>142</v>
      </c>
      <c r="G19026">
        <v>13</v>
      </c>
      <c r="H19026">
        <v>126</v>
      </c>
      <c r="I19026">
        <v>328</v>
      </c>
      <c r="J19026">
        <v>1</v>
      </c>
      <c r="K19026">
        <v>297</v>
      </c>
      <c r="L19026">
        <v>504</v>
      </c>
      <c r="M19026">
        <v>1</v>
      </c>
      <c r="N19026">
        <v>4.3129399999999996E-25</v>
      </c>
      <c r="O19026">
        <v>281</v>
      </c>
    </row>
    <row r="19027" spans="1:15" x14ac:dyDescent="0.25">
      <c r="A19027" t="s">
        <v>19040</v>
      </c>
      <c r="B19027">
        <v>139</v>
      </c>
      <c r="C19027" s="1" t="str">
        <f>HYPERLINK("http://www.rosaceae.org/gb/gbrowse/malus_x_domestica/?name=MDP0000430422","MDP0000430422")</f>
        <v>MDP0000430422</v>
      </c>
      <c r="D19027">
        <v>63.88</v>
      </c>
      <c r="E19027">
        <v>36</v>
      </c>
      <c r="F19027">
        <v>13</v>
      </c>
      <c r="G19027">
        <v>0</v>
      </c>
      <c r="H19027">
        <v>53</v>
      </c>
      <c r="I19027">
        <v>88</v>
      </c>
      <c r="J19027">
        <v>1</v>
      </c>
      <c r="K19027">
        <v>270</v>
      </c>
      <c r="L19027">
        <v>305</v>
      </c>
      <c r="M19027">
        <v>1</v>
      </c>
      <c r="N19027">
        <v>1.5738800000000001E-7</v>
      </c>
      <c r="O19027">
        <v>124</v>
      </c>
    </row>
    <row r="19028" spans="1:15" x14ac:dyDescent="0.25">
      <c r="A19028" t="s">
        <v>19041</v>
      </c>
      <c r="B19028">
        <v>399</v>
      </c>
      <c r="C19028" s="1" t="str">
        <f>HYPERLINK("http://www.rosaceae.org/gb/gbrowse/malus_x_domestica/?name=MDP0000144545","MDP0000144545")</f>
        <v>MDP0000144545</v>
      </c>
      <c r="D19028">
        <v>53.64</v>
      </c>
      <c r="E19028">
        <v>192</v>
      </c>
      <c r="F19028">
        <v>89</v>
      </c>
      <c r="G19028">
        <v>2</v>
      </c>
      <c r="H19028">
        <v>183</v>
      </c>
      <c r="I19028">
        <v>372</v>
      </c>
      <c r="J19028">
        <v>1</v>
      </c>
      <c r="K19028">
        <v>386</v>
      </c>
      <c r="L19028">
        <v>577</v>
      </c>
      <c r="M19028">
        <v>1</v>
      </c>
      <c r="N19028">
        <v>3.7389699999999999E-50</v>
      </c>
      <c r="O19028">
        <v>498</v>
      </c>
    </row>
    <row r="19029" spans="1:15" x14ac:dyDescent="0.25">
      <c r="A19029" t="s">
        <v>19042</v>
      </c>
      <c r="B19029">
        <v>217</v>
      </c>
      <c r="C19029" s="1" t="str">
        <f>HYPERLINK("http://www.rosaceae.org/gb/gbrowse/malus_x_domestica/?name=MDP0000406918","MDP0000406918")</f>
        <v>MDP0000406918</v>
      </c>
      <c r="D19029">
        <v>68.790000000000006</v>
      </c>
      <c r="E19029">
        <v>141</v>
      </c>
      <c r="F19029">
        <v>44</v>
      </c>
      <c r="G19029">
        <v>4</v>
      </c>
      <c r="H19029">
        <v>1</v>
      </c>
      <c r="I19029">
        <v>141</v>
      </c>
      <c r="J19029">
        <v>1</v>
      </c>
      <c r="K19029">
        <v>112</v>
      </c>
      <c r="L19029">
        <v>248</v>
      </c>
      <c r="M19029">
        <v>1</v>
      </c>
      <c r="N19029">
        <v>2.5509400000000001E-48</v>
      </c>
      <c r="O19029">
        <v>479</v>
      </c>
    </row>
    <row r="19030" spans="1:15" x14ac:dyDescent="0.25">
      <c r="A19030" t="s">
        <v>19043</v>
      </c>
      <c r="B19030">
        <v>376</v>
      </c>
      <c r="C19030" s="1" t="str">
        <f>HYPERLINK("http://www.rosaceae.org/gb/gbrowse/malus_x_domestica/?name=MDP0000203079","MDP0000203079")</f>
        <v>MDP0000203079</v>
      </c>
      <c r="D19030">
        <v>43.6</v>
      </c>
      <c r="E19030">
        <v>422</v>
      </c>
      <c r="F19030">
        <v>238</v>
      </c>
      <c r="G19030">
        <v>69</v>
      </c>
      <c r="H19030">
        <v>1</v>
      </c>
      <c r="I19030">
        <v>376</v>
      </c>
      <c r="J19030">
        <v>1</v>
      </c>
      <c r="K19030">
        <v>1</v>
      </c>
      <c r="L19030">
        <v>399</v>
      </c>
      <c r="M19030">
        <v>1</v>
      </c>
      <c r="N19030">
        <v>1.46041E-72</v>
      </c>
      <c r="O19030">
        <v>691</v>
      </c>
    </row>
    <row r="19031" spans="1:15" x14ac:dyDescent="0.25">
      <c r="A19031" t="s">
        <v>19044</v>
      </c>
      <c r="B19031">
        <v>153</v>
      </c>
      <c r="C19031" s="1" t="str">
        <f>HYPERLINK("http://www.rosaceae.org/gb/gbrowse/malus_x_domestica/?name=MDP0000670228","MDP0000670228")</f>
        <v>MDP0000670228</v>
      </c>
      <c r="D19031">
        <v>42.05</v>
      </c>
      <c r="E19031">
        <v>107</v>
      </c>
      <c r="F19031">
        <v>62</v>
      </c>
      <c r="G19031">
        <v>25</v>
      </c>
      <c r="H19031">
        <v>69</v>
      </c>
      <c r="I19031">
        <v>150</v>
      </c>
      <c r="J19031">
        <v>1</v>
      </c>
      <c r="K19031">
        <v>201</v>
      </c>
      <c r="L19031">
        <v>307</v>
      </c>
      <c r="M19031">
        <v>1</v>
      </c>
      <c r="N19031">
        <v>4.4693500000000003E-16</v>
      </c>
      <c r="O19031">
        <v>198</v>
      </c>
    </row>
    <row r="19032" spans="1:15" x14ac:dyDescent="0.25">
      <c r="A19032" t="s">
        <v>19045</v>
      </c>
      <c r="B19032">
        <v>400</v>
      </c>
      <c r="C19032" s="1" t="str">
        <f>HYPERLINK("http://www.rosaceae.org/gb/gbrowse/malus_x_domestica/?name=MDP0000306704","MDP0000306704")</f>
        <v>MDP0000306704</v>
      </c>
      <c r="D19032">
        <v>28.62</v>
      </c>
      <c r="E19032">
        <v>283</v>
      </c>
      <c r="F19032">
        <v>202</v>
      </c>
      <c r="G19032">
        <v>93</v>
      </c>
      <c r="H19032">
        <v>183</v>
      </c>
      <c r="I19032">
        <v>395</v>
      </c>
      <c r="J19032">
        <v>1</v>
      </c>
      <c r="K19032">
        <v>240</v>
      </c>
      <c r="L19032">
        <v>499</v>
      </c>
      <c r="M19032">
        <v>1</v>
      </c>
      <c r="N19032">
        <v>8.2201800000000002E-21</v>
      </c>
      <c r="O19032">
        <v>245</v>
      </c>
    </row>
    <row r="19033" spans="1:15" x14ac:dyDescent="0.25">
      <c r="A19033" t="s">
        <v>19046</v>
      </c>
      <c r="B19033">
        <v>171</v>
      </c>
      <c r="C19033" s="1" t="str">
        <f>HYPERLINK("http://www.rosaceae.org/gb/gbrowse/malus_x_domestica/?name=MDP0000146276","MDP0000146276")</f>
        <v>MDP0000146276</v>
      </c>
      <c r="D19033">
        <v>63</v>
      </c>
      <c r="E19033">
        <v>100</v>
      </c>
      <c r="F19033">
        <v>37</v>
      </c>
      <c r="G19033">
        <v>10</v>
      </c>
      <c r="H19033">
        <v>5</v>
      </c>
      <c r="I19033">
        <v>104</v>
      </c>
      <c r="J19033">
        <v>1</v>
      </c>
      <c r="K19033">
        <v>9</v>
      </c>
      <c r="L19033">
        <v>98</v>
      </c>
      <c r="M19033">
        <v>1</v>
      </c>
      <c r="N19033">
        <v>5.5742700000000001E-28</v>
      </c>
      <c r="O19033">
        <v>302</v>
      </c>
    </row>
    <row r="19034" spans="1:15" x14ac:dyDescent="0.25">
      <c r="A19034" t="s">
        <v>19047</v>
      </c>
      <c r="B19034">
        <v>346</v>
      </c>
      <c r="C19034" s="1" t="str">
        <f>HYPERLINK("http://www.rosaceae.org/gb/gbrowse/malus_x_domestica/?name=MDP0000721663","MDP0000721663")</f>
        <v>MDP0000721663</v>
      </c>
      <c r="D19034">
        <v>57.02</v>
      </c>
      <c r="E19034">
        <v>249</v>
      </c>
      <c r="F19034">
        <v>107</v>
      </c>
      <c r="G19034">
        <v>17</v>
      </c>
      <c r="H19034">
        <v>97</v>
      </c>
      <c r="I19034">
        <v>335</v>
      </c>
      <c r="J19034">
        <v>1</v>
      </c>
      <c r="K19034">
        <v>30</v>
      </c>
      <c r="L19034">
        <v>271</v>
      </c>
      <c r="M19034">
        <v>1</v>
      </c>
      <c r="N19034">
        <v>8.9513999999999994E-60</v>
      </c>
      <c r="O19034">
        <v>580</v>
      </c>
    </row>
    <row r="19035" spans="1:15" x14ac:dyDescent="0.25">
      <c r="A19035" t="s">
        <v>19048</v>
      </c>
      <c r="B19035">
        <v>160</v>
      </c>
      <c r="C19035" s="1" t="str">
        <f>HYPERLINK("http://www.rosaceae.org/gb/gbrowse/malus_x_domestica/?name=MDP0000469508","MDP0000469508")</f>
        <v>MDP0000469508</v>
      </c>
      <c r="D19035">
        <v>41.91</v>
      </c>
      <c r="E19035">
        <v>136</v>
      </c>
      <c r="F19035">
        <v>79</v>
      </c>
      <c r="G19035">
        <v>0</v>
      </c>
      <c r="H19035">
        <v>4</v>
      </c>
      <c r="I19035">
        <v>139</v>
      </c>
      <c r="J19035">
        <v>1</v>
      </c>
      <c r="K19035">
        <v>26</v>
      </c>
      <c r="L19035">
        <v>161</v>
      </c>
      <c r="M19035">
        <v>1</v>
      </c>
      <c r="N19035">
        <v>1.2269900000000001E-19</v>
      </c>
      <c r="O19035">
        <v>229</v>
      </c>
    </row>
    <row r="19036" spans="1:15" x14ac:dyDescent="0.25">
      <c r="A19036" t="s">
        <v>19049</v>
      </c>
      <c r="B19036">
        <v>380</v>
      </c>
      <c r="C19036" s="1" t="str">
        <f>HYPERLINK("http://www.rosaceae.org/gb/gbrowse/malus_x_domestica/?name=MDP0000599427","MDP0000599427")</f>
        <v>MDP0000599427</v>
      </c>
      <c r="D19036">
        <v>73.75</v>
      </c>
      <c r="E19036">
        <v>282</v>
      </c>
      <c r="F19036">
        <v>74</v>
      </c>
      <c r="G19036">
        <v>18</v>
      </c>
      <c r="H19036">
        <v>1</v>
      </c>
      <c r="I19036">
        <v>265</v>
      </c>
      <c r="J19036">
        <v>1</v>
      </c>
      <c r="K19036">
        <v>1</v>
      </c>
      <c r="L19036">
        <v>281</v>
      </c>
      <c r="M19036">
        <v>1</v>
      </c>
      <c r="N19036">
        <v>3.6018599999999999E-117</v>
      </c>
      <c r="O19036">
        <v>1076</v>
      </c>
    </row>
    <row r="19037" spans="1:15" x14ac:dyDescent="0.25">
      <c r="A19037" t="s">
        <v>19050</v>
      </c>
      <c r="B19037">
        <v>793</v>
      </c>
      <c r="C19037" s="1" t="str">
        <f>HYPERLINK("http://www.rosaceae.org/gb/gbrowse/malus_x_domestica/?name=MDP0000202704","MDP0000202704")</f>
        <v>MDP0000202704</v>
      </c>
      <c r="D19037">
        <v>36.07</v>
      </c>
      <c r="E19037">
        <v>801</v>
      </c>
      <c r="F19037">
        <v>512</v>
      </c>
      <c r="G19037">
        <v>110</v>
      </c>
      <c r="H19037">
        <v>11</v>
      </c>
      <c r="I19037">
        <v>773</v>
      </c>
      <c r="J19037">
        <v>1</v>
      </c>
      <c r="K19037">
        <v>12</v>
      </c>
      <c r="L19037">
        <v>740</v>
      </c>
      <c r="M19037">
        <v>1</v>
      </c>
      <c r="N19037">
        <v>3.4716399999999999E-104</v>
      </c>
      <c r="O19037">
        <v>967</v>
      </c>
    </row>
    <row r="19038" spans="1:15" x14ac:dyDescent="0.25">
      <c r="A19038" t="s">
        <v>19051</v>
      </c>
      <c r="B19038">
        <v>407</v>
      </c>
      <c r="C19038" s="1" t="str">
        <f>HYPERLINK("http://www.rosaceae.org/gb/gbrowse/malus_x_domestica/?name=MDP0000125643","MDP0000125643")</f>
        <v>MDP0000125643</v>
      </c>
      <c r="D19038">
        <v>39.93</v>
      </c>
      <c r="E19038">
        <v>318</v>
      </c>
      <c r="F19038">
        <v>191</v>
      </c>
      <c r="G19038">
        <v>24</v>
      </c>
      <c r="H19038">
        <v>4</v>
      </c>
      <c r="I19038">
        <v>303</v>
      </c>
      <c r="J19038">
        <v>1</v>
      </c>
      <c r="K19038">
        <v>822</v>
      </c>
      <c r="L19038">
        <v>1133</v>
      </c>
      <c r="M19038">
        <v>1</v>
      </c>
      <c r="N19038">
        <v>5.1054299999999999E-47</v>
      </c>
      <c r="O19038">
        <v>471</v>
      </c>
    </row>
    <row r="19039" spans="1:15" x14ac:dyDescent="0.25">
      <c r="A19039" t="s">
        <v>19052</v>
      </c>
      <c r="B19039">
        <v>397</v>
      </c>
      <c r="C19039" s="1" t="str">
        <f>HYPERLINK("http://www.rosaceae.org/gb/gbrowse/malus_x_domestica/?name=MDP0000154653","MDP0000154653")</f>
        <v>MDP0000154653</v>
      </c>
      <c r="D19039">
        <v>69.7</v>
      </c>
      <c r="E19039">
        <v>340</v>
      </c>
      <c r="F19039">
        <v>103</v>
      </c>
      <c r="G19039">
        <v>1</v>
      </c>
      <c r="H19039">
        <v>1</v>
      </c>
      <c r="I19039">
        <v>339</v>
      </c>
      <c r="J19039">
        <v>1</v>
      </c>
      <c r="K19039">
        <v>1</v>
      </c>
      <c r="L19039">
        <v>340</v>
      </c>
      <c r="M19039">
        <v>1</v>
      </c>
      <c r="N19039">
        <v>6.2227500000000003E-140</v>
      </c>
      <c r="O19039">
        <v>1272</v>
      </c>
    </row>
    <row r="19040" spans="1:15" x14ac:dyDescent="0.25">
      <c r="A19040" t="s">
        <v>19053</v>
      </c>
      <c r="B19040">
        <v>2461</v>
      </c>
      <c r="C19040" s="1" t="str">
        <f>HYPERLINK("http://www.rosaceae.org/gb/gbrowse/malus_x_domestica/?name=MDP0000455515","MDP0000455515")</f>
        <v>MDP0000455515</v>
      </c>
      <c r="D19040">
        <v>36.659999999999997</v>
      </c>
      <c r="E19040">
        <v>1451</v>
      </c>
      <c r="F19040">
        <v>919</v>
      </c>
      <c r="G19040">
        <v>105</v>
      </c>
      <c r="H19040">
        <v>1032</v>
      </c>
      <c r="I19040">
        <v>2458</v>
      </c>
      <c r="J19040">
        <v>1</v>
      </c>
      <c r="K19040">
        <v>30</v>
      </c>
      <c r="L19040">
        <v>1399</v>
      </c>
      <c r="M19040">
        <v>1</v>
      </c>
      <c r="N19040">
        <v>0</v>
      </c>
      <c r="O19040">
        <v>2411</v>
      </c>
    </row>
    <row r="19041" spans="1:15" x14ac:dyDescent="0.25">
      <c r="A19041" t="s">
        <v>19054</v>
      </c>
      <c r="B19041">
        <v>1133</v>
      </c>
      <c r="C19041" s="1" t="str">
        <f>HYPERLINK("http://www.rosaceae.org/gb/gbrowse/malus_x_domestica/?name=MDP0000320945","MDP0000320945")</f>
        <v>MDP0000320945</v>
      </c>
      <c r="D19041">
        <v>97.24</v>
      </c>
      <c r="E19041">
        <v>254</v>
      </c>
      <c r="F19041">
        <v>7</v>
      </c>
      <c r="G19041">
        <v>0</v>
      </c>
      <c r="H19041">
        <v>464</v>
      </c>
      <c r="I19041">
        <v>717</v>
      </c>
      <c r="J19041">
        <v>1</v>
      </c>
      <c r="K19041">
        <v>369</v>
      </c>
      <c r="L19041">
        <v>622</v>
      </c>
      <c r="M19041">
        <v>1</v>
      </c>
      <c r="N19041">
        <v>1.2789399999999999E-145</v>
      </c>
      <c r="O19041">
        <v>1326</v>
      </c>
    </row>
    <row r="19042" spans="1:15" x14ac:dyDescent="0.25">
      <c r="A19042" t="s">
        <v>19055</v>
      </c>
      <c r="B19042">
        <v>215</v>
      </c>
      <c r="C19042" s="1" t="str">
        <f>HYPERLINK("http://www.rosaceae.org/gb/gbrowse/malus_x_domestica/?name=MDP0000320243","MDP0000320243")</f>
        <v>MDP0000320243</v>
      </c>
      <c r="D19042">
        <v>60.35</v>
      </c>
      <c r="E19042">
        <v>227</v>
      </c>
      <c r="F19042">
        <v>90</v>
      </c>
      <c r="G19042">
        <v>45</v>
      </c>
      <c r="H19042">
        <v>1</v>
      </c>
      <c r="I19042">
        <v>215</v>
      </c>
      <c r="J19042">
        <v>1</v>
      </c>
      <c r="K19042">
        <v>1006</v>
      </c>
      <c r="L19042">
        <v>1199</v>
      </c>
      <c r="M19042">
        <v>1</v>
      </c>
      <c r="N19042">
        <v>6.31125E-59</v>
      </c>
      <c r="O19042">
        <v>570</v>
      </c>
    </row>
    <row r="19043" spans="1:15" x14ac:dyDescent="0.25">
      <c r="A19043" t="s">
        <v>19056</v>
      </c>
      <c r="B19043">
        <v>779</v>
      </c>
      <c r="C19043" s="1" t="str">
        <f>HYPERLINK("http://www.rosaceae.org/gb/gbrowse/malus_x_domestica/?name=MDP0000233594","MDP0000233594")</f>
        <v>MDP0000233594</v>
      </c>
      <c r="D19043">
        <v>79.77</v>
      </c>
      <c r="E19043">
        <v>796</v>
      </c>
      <c r="F19043">
        <v>161</v>
      </c>
      <c r="G19043">
        <v>18</v>
      </c>
      <c r="H19043">
        <v>1</v>
      </c>
      <c r="I19043">
        <v>779</v>
      </c>
      <c r="J19043">
        <v>1</v>
      </c>
      <c r="K19043">
        <v>99</v>
      </c>
      <c r="L19043">
        <v>893</v>
      </c>
      <c r="M19043">
        <v>1</v>
      </c>
      <c r="N19043">
        <v>0</v>
      </c>
      <c r="O19043">
        <v>3380</v>
      </c>
    </row>
    <row r="19044" spans="1:15" x14ac:dyDescent="0.25">
      <c r="A19044" t="s">
        <v>19057</v>
      </c>
      <c r="B19044">
        <v>138</v>
      </c>
      <c r="C19044" s="1" t="str">
        <f>HYPERLINK("http://www.rosaceae.org/gb/gbrowse/malus_x_domestica/?name=MDP0000332832","MDP0000332832")</f>
        <v>MDP0000332832</v>
      </c>
      <c r="D19044">
        <v>89.31</v>
      </c>
      <c r="E19044">
        <v>131</v>
      </c>
      <c r="F19044">
        <v>14</v>
      </c>
      <c r="G19044">
        <v>0</v>
      </c>
      <c r="H19044">
        <v>5</v>
      </c>
      <c r="I19044">
        <v>135</v>
      </c>
      <c r="J19044">
        <v>1</v>
      </c>
      <c r="K19044">
        <v>21</v>
      </c>
      <c r="L19044">
        <v>151</v>
      </c>
      <c r="M19044">
        <v>1</v>
      </c>
      <c r="N19044">
        <v>1.2916600000000001E-66</v>
      </c>
      <c r="O19044">
        <v>633</v>
      </c>
    </row>
    <row r="19045" spans="1:15" x14ac:dyDescent="0.25">
      <c r="A19045" t="s">
        <v>19058</v>
      </c>
      <c r="B19045">
        <v>174</v>
      </c>
      <c r="C19045" s="1" t="str">
        <f>HYPERLINK("http://www.rosaceae.org/gb/gbrowse/malus_x_domestica/?name=MDP0000463758","MDP0000463758")</f>
        <v>MDP0000463758</v>
      </c>
      <c r="D19045">
        <v>50.82</v>
      </c>
      <c r="E19045">
        <v>181</v>
      </c>
      <c r="F19045">
        <v>89</v>
      </c>
      <c r="G19045">
        <v>22</v>
      </c>
      <c r="H19045">
        <v>1</v>
      </c>
      <c r="I19045">
        <v>165</v>
      </c>
      <c r="J19045">
        <v>1</v>
      </c>
      <c r="K19045">
        <v>1</v>
      </c>
      <c r="L19045">
        <v>175</v>
      </c>
      <c r="M19045">
        <v>1</v>
      </c>
      <c r="N19045">
        <v>8.1618999999999994E-28</v>
      </c>
      <c r="O19045">
        <v>300</v>
      </c>
    </row>
    <row r="19046" spans="1:15" x14ac:dyDescent="0.25">
      <c r="A19046" t="s">
        <v>19059</v>
      </c>
      <c r="B19046">
        <v>176</v>
      </c>
      <c r="C19046" s="1" t="str">
        <f>HYPERLINK("http://www.rosaceae.org/gb/gbrowse/malus_x_domestica/?name=MDP0000298680","MDP0000298680")</f>
        <v>MDP0000298680</v>
      </c>
      <c r="D19046">
        <v>73.209999999999994</v>
      </c>
      <c r="E19046">
        <v>168</v>
      </c>
      <c r="F19046">
        <v>45</v>
      </c>
      <c r="G19046">
        <v>0</v>
      </c>
      <c r="H19046">
        <v>1</v>
      </c>
      <c r="I19046">
        <v>168</v>
      </c>
      <c r="J19046">
        <v>1</v>
      </c>
      <c r="K19046">
        <v>1</v>
      </c>
      <c r="L19046">
        <v>168</v>
      </c>
      <c r="M19046">
        <v>1</v>
      </c>
      <c r="N19046">
        <v>6.1218100000000006E-73</v>
      </c>
      <c r="O19046">
        <v>690</v>
      </c>
    </row>
    <row r="19047" spans="1:15" x14ac:dyDescent="0.25">
      <c r="A19047" t="s">
        <v>19060</v>
      </c>
      <c r="B19047">
        <v>225</v>
      </c>
      <c r="C19047" s="1" t="str">
        <f>HYPERLINK("http://www.rosaceae.org/gb/gbrowse/malus_x_domestica/?name=MDP0000133792","MDP0000133792")</f>
        <v>MDP0000133792</v>
      </c>
      <c r="D19047">
        <v>64.81</v>
      </c>
      <c r="E19047">
        <v>108</v>
      </c>
      <c r="F19047">
        <v>38</v>
      </c>
      <c r="G19047">
        <v>2</v>
      </c>
      <c r="H19047">
        <v>1</v>
      </c>
      <c r="I19047">
        <v>108</v>
      </c>
      <c r="J19047">
        <v>1</v>
      </c>
      <c r="K19047">
        <v>63</v>
      </c>
      <c r="L19047">
        <v>168</v>
      </c>
      <c r="M19047">
        <v>1</v>
      </c>
      <c r="N19047">
        <v>1.9530000000000001E-33</v>
      </c>
      <c r="O19047">
        <v>351</v>
      </c>
    </row>
    <row r="19048" spans="1:15" x14ac:dyDescent="0.25">
      <c r="A19048" t="s">
        <v>19061</v>
      </c>
      <c r="B19048">
        <v>500</v>
      </c>
      <c r="C19048" s="1" t="str">
        <f>HYPERLINK("http://www.rosaceae.org/gb/gbrowse/malus_x_domestica/?name=MDP0000130067","MDP0000130067")</f>
        <v>MDP0000130067</v>
      </c>
      <c r="D19048">
        <v>64.47</v>
      </c>
      <c r="E19048">
        <v>228</v>
      </c>
      <c r="F19048">
        <v>81</v>
      </c>
      <c r="G19048">
        <v>12</v>
      </c>
      <c r="H19048">
        <v>284</v>
      </c>
      <c r="I19048">
        <v>500</v>
      </c>
      <c r="J19048">
        <v>1</v>
      </c>
      <c r="K19048">
        <v>17</v>
      </c>
      <c r="L19048">
        <v>243</v>
      </c>
      <c r="M19048">
        <v>1</v>
      </c>
      <c r="N19048">
        <v>6.5570600000000005E-69</v>
      </c>
      <c r="O19048">
        <v>661</v>
      </c>
    </row>
    <row r="19049" spans="1:15" x14ac:dyDescent="0.25">
      <c r="A19049" t="s">
        <v>19062</v>
      </c>
      <c r="B19049">
        <v>160</v>
      </c>
      <c r="C19049" s="1" t="str">
        <f>HYPERLINK("http://www.rosaceae.org/gb/gbrowse/malus_x_domestica/?name=MDP0000153382","MDP0000153382")</f>
        <v>MDP0000153382</v>
      </c>
      <c r="D19049">
        <v>72.180000000000007</v>
      </c>
      <c r="E19049">
        <v>169</v>
      </c>
      <c r="F19049">
        <v>47</v>
      </c>
      <c r="G19049">
        <v>9</v>
      </c>
      <c r="H19049">
        <v>1</v>
      </c>
      <c r="I19049">
        <v>160</v>
      </c>
      <c r="J19049">
        <v>1</v>
      </c>
      <c r="K19049">
        <v>5</v>
      </c>
      <c r="L19049">
        <v>173</v>
      </c>
      <c r="M19049">
        <v>1</v>
      </c>
      <c r="N19049">
        <v>1.14337E-61</v>
      </c>
      <c r="O19049">
        <v>592</v>
      </c>
    </row>
    <row r="19050" spans="1:15" x14ac:dyDescent="0.25">
      <c r="A19050" t="s">
        <v>19063</v>
      </c>
      <c r="B19050">
        <v>920</v>
      </c>
      <c r="C19050" s="1" t="str">
        <f>HYPERLINK("http://www.rosaceae.org/gb/gbrowse/malus_x_domestica/?name=MDP0000224053","MDP0000224053")</f>
        <v>MDP0000224053</v>
      </c>
      <c r="D19050">
        <v>85.27</v>
      </c>
      <c r="E19050">
        <v>903</v>
      </c>
      <c r="F19050">
        <v>133</v>
      </c>
      <c r="G19050">
        <v>4</v>
      </c>
      <c r="H19050">
        <v>1</v>
      </c>
      <c r="I19050">
        <v>903</v>
      </c>
      <c r="J19050">
        <v>1</v>
      </c>
      <c r="K19050">
        <v>119</v>
      </c>
      <c r="L19050">
        <v>1017</v>
      </c>
      <c r="M19050">
        <v>1</v>
      </c>
      <c r="N19050">
        <v>0</v>
      </c>
      <c r="O19050">
        <v>4180</v>
      </c>
    </row>
    <row r="19051" spans="1:15" x14ac:dyDescent="0.25">
      <c r="A19051" t="s">
        <v>19064</v>
      </c>
      <c r="B19051">
        <v>653</v>
      </c>
      <c r="C19051" s="1" t="str">
        <f>HYPERLINK("http://www.rosaceae.org/gb/gbrowse/malus_x_domestica/?name=MDP0000280908","MDP0000280908")</f>
        <v>MDP0000280908</v>
      </c>
      <c r="D19051">
        <v>76.69</v>
      </c>
      <c r="E19051">
        <v>618</v>
      </c>
      <c r="F19051">
        <v>144</v>
      </c>
      <c r="G19051">
        <v>9</v>
      </c>
      <c r="H19051">
        <v>43</v>
      </c>
      <c r="I19051">
        <v>653</v>
      </c>
      <c r="J19051">
        <v>1</v>
      </c>
      <c r="K19051">
        <v>40</v>
      </c>
      <c r="L19051">
        <v>655</v>
      </c>
      <c r="M19051">
        <v>1</v>
      </c>
      <c r="N19051">
        <v>0</v>
      </c>
      <c r="O19051">
        <v>2347</v>
      </c>
    </row>
    <row r="19052" spans="1:15" x14ac:dyDescent="0.25">
      <c r="A19052" t="s">
        <v>19065</v>
      </c>
      <c r="B19052">
        <v>235</v>
      </c>
      <c r="C19052" s="1" t="str">
        <f>HYPERLINK("http://www.rosaceae.org/gb/gbrowse/malus_x_domestica/?name=MDP0000188175","MDP0000188175")</f>
        <v>MDP0000188175</v>
      </c>
      <c r="D19052">
        <v>25.94</v>
      </c>
      <c r="E19052">
        <v>212</v>
      </c>
      <c r="F19052">
        <v>157</v>
      </c>
      <c r="G19052">
        <v>52</v>
      </c>
      <c r="H19052">
        <v>3</v>
      </c>
      <c r="I19052">
        <v>174</v>
      </c>
      <c r="J19052">
        <v>1</v>
      </c>
      <c r="K19052">
        <v>105</v>
      </c>
      <c r="L19052">
        <v>304</v>
      </c>
      <c r="M19052">
        <v>1</v>
      </c>
      <c r="N19052">
        <v>9.6111700000000004E-11</v>
      </c>
      <c r="O19052">
        <v>155</v>
      </c>
    </row>
    <row r="19053" spans="1:15" x14ac:dyDescent="0.25">
      <c r="A19053" t="s">
        <v>19066</v>
      </c>
      <c r="B19053">
        <v>571</v>
      </c>
      <c r="C19053" s="1" t="str">
        <f>HYPERLINK("http://www.rosaceae.org/gb/gbrowse/malus_x_domestica/?name=MDP0000150383","MDP0000150383")</f>
        <v>MDP0000150383</v>
      </c>
      <c r="D19053">
        <v>35.1</v>
      </c>
      <c r="E19053">
        <v>564</v>
      </c>
      <c r="F19053">
        <v>366</v>
      </c>
      <c r="G19053">
        <v>88</v>
      </c>
      <c r="H19053">
        <v>2</v>
      </c>
      <c r="I19053">
        <v>482</v>
      </c>
      <c r="J19053">
        <v>1</v>
      </c>
      <c r="K19053">
        <v>19</v>
      </c>
      <c r="L19053">
        <v>577</v>
      </c>
      <c r="M19053">
        <v>1</v>
      </c>
      <c r="N19053">
        <v>3.2832499999999998E-73</v>
      </c>
      <c r="O19053">
        <v>698</v>
      </c>
    </row>
    <row r="19054" spans="1:15" x14ac:dyDescent="0.25">
      <c r="A19054" t="s">
        <v>19067</v>
      </c>
      <c r="B19054">
        <v>280</v>
      </c>
      <c r="C19054" s="1" t="str">
        <f>HYPERLINK("http://www.rosaceae.org/gb/gbrowse/malus_x_domestica/?name=MDP0000271241","MDP0000271241")</f>
        <v>MDP0000271241</v>
      </c>
      <c r="D19054">
        <v>85</v>
      </c>
      <c r="E19054">
        <v>40</v>
      </c>
      <c r="F19054">
        <v>6</v>
      </c>
      <c r="G19054">
        <v>0</v>
      </c>
      <c r="H19054">
        <v>33</v>
      </c>
      <c r="I19054">
        <v>72</v>
      </c>
      <c r="J19054">
        <v>1</v>
      </c>
      <c r="K19054">
        <v>79</v>
      </c>
      <c r="L19054">
        <v>118</v>
      </c>
      <c r="M19054">
        <v>1</v>
      </c>
      <c r="N19054">
        <v>4.7760399999999999E-13</v>
      </c>
      <c r="O19054">
        <v>176</v>
      </c>
    </row>
    <row r="19055" spans="1:15" x14ac:dyDescent="0.25">
      <c r="A19055" t="s">
        <v>19068</v>
      </c>
      <c r="B19055">
        <v>172</v>
      </c>
      <c r="C19055" s="1" t="str">
        <f>HYPERLINK("http://www.rosaceae.org/gb/gbrowse/malus_x_domestica/?name=MDP0000202829","MDP0000202829")</f>
        <v>MDP0000202829</v>
      </c>
      <c r="D19055">
        <v>31.72</v>
      </c>
      <c r="E19055">
        <v>145</v>
      </c>
      <c r="F19055">
        <v>99</v>
      </c>
      <c r="G19055">
        <v>5</v>
      </c>
      <c r="H19055">
        <v>29</v>
      </c>
      <c r="I19055">
        <v>171</v>
      </c>
      <c r="J19055">
        <v>1</v>
      </c>
      <c r="K19055">
        <v>42</v>
      </c>
      <c r="L19055">
        <v>183</v>
      </c>
      <c r="M19055">
        <v>1</v>
      </c>
      <c r="N19055">
        <v>3.2992699999999999E-12</v>
      </c>
      <c r="O19055">
        <v>166</v>
      </c>
    </row>
    <row r="19056" spans="1:15" x14ac:dyDescent="0.25">
      <c r="A19056" t="s">
        <v>19069</v>
      </c>
      <c r="B19056">
        <v>191</v>
      </c>
      <c r="C19056" s="1" t="str">
        <f>HYPERLINK("http://www.rosaceae.org/gb/gbrowse/malus_x_domestica/?name=MDP0000174031","MDP0000174031")</f>
        <v>MDP0000174031</v>
      </c>
      <c r="D19056">
        <v>76.349999999999994</v>
      </c>
      <c r="E19056">
        <v>203</v>
      </c>
      <c r="F19056">
        <v>48</v>
      </c>
      <c r="G19056">
        <v>19</v>
      </c>
      <c r="H19056">
        <v>3</v>
      </c>
      <c r="I19056">
        <v>186</v>
      </c>
      <c r="J19056">
        <v>1</v>
      </c>
      <c r="K19056">
        <v>6</v>
      </c>
      <c r="L19056">
        <v>208</v>
      </c>
      <c r="M19056">
        <v>1</v>
      </c>
      <c r="N19056">
        <v>7.1472899999999994E-89</v>
      </c>
      <c r="O19056">
        <v>828</v>
      </c>
    </row>
    <row r="19057" spans="1:15" x14ac:dyDescent="0.25">
      <c r="A19057" t="s">
        <v>19070</v>
      </c>
      <c r="B19057">
        <v>519</v>
      </c>
      <c r="C19057" s="1" t="str">
        <f>HYPERLINK("http://www.rosaceae.org/gb/gbrowse/malus_x_domestica/?name=MDP0000746621","MDP0000746621")</f>
        <v>MDP0000746621</v>
      </c>
      <c r="D19057">
        <v>81.87</v>
      </c>
      <c r="E19057">
        <v>491</v>
      </c>
      <c r="F19057">
        <v>89</v>
      </c>
      <c r="G19057">
        <v>4</v>
      </c>
      <c r="H19057">
        <v>1</v>
      </c>
      <c r="I19057">
        <v>491</v>
      </c>
      <c r="J19057">
        <v>1</v>
      </c>
      <c r="K19057">
        <v>28</v>
      </c>
      <c r="L19057">
        <v>514</v>
      </c>
      <c r="M19057">
        <v>1</v>
      </c>
      <c r="N19057">
        <v>0</v>
      </c>
      <c r="O19057">
        <v>2067</v>
      </c>
    </row>
    <row r="19058" spans="1:15" x14ac:dyDescent="0.25">
      <c r="A19058" t="s">
        <v>19071</v>
      </c>
      <c r="B19058">
        <v>1062</v>
      </c>
      <c r="C19058" s="1" t="str">
        <f>HYPERLINK("http://www.rosaceae.org/gb/gbrowse/malus_x_domestica/?name=MDP0000230812","MDP0000230812")</f>
        <v>MDP0000230812</v>
      </c>
      <c r="D19058">
        <v>80.48</v>
      </c>
      <c r="E19058">
        <v>989</v>
      </c>
      <c r="F19058">
        <v>193</v>
      </c>
      <c r="G19058">
        <v>63</v>
      </c>
      <c r="H19058">
        <v>114</v>
      </c>
      <c r="I19058">
        <v>1062</v>
      </c>
      <c r="J19058">
        <v>1</v>
      </c>
      <c r="K19058">
        <v>215</v>
      </c>
      <c r="L19058">
        <v>1180</v>
      </c>
      <c r="M19058">
        <v>1</v>
      </c>
      <c r="N19058">
        <v>0</v>
      </c>
      <c r="O19058">
        <v>4161</v>
      </c>
    </row>
    <row r="19059" spans="1:15" x14ac:dyDescent="0.25">
      <c r="A19059" t="s">
        <v>19072</v>
      </c>
      <c r="B19059">
        <v>128</v>
      </c>
      <c r="C19059" s="1" t="str">
        <f>HYPERLINK("http://www.rosaceae.org/gb/gbrowse/malus_x_domestica/?name=MDP0000766223","MDP0000766223")</f>
        <v>MDP0000766223</v>
      </c>
      <c r="D19059">
        <v>48.64</v>
      </c>
      <c r="E19059">
        <v>74</v>
      </c>
      <c r="F19059">
        <v>38</v>
      </c>
      <c r="G19059">
        <v>0</v>
      </c>
      <c r="H19059">
        <v>55</v>
      </c>
      <c r="I19059">
        <v>128</v>
      </c>
      <c r="J19059">
        <v>1</v>
      </c>
      <c r="K19059">
        <v>85</v>
      </c>
      <c r="L19059">
        <v>158</v>
      </c>
      <c r="M19059">
        <v>1</v>
      </c>
      <c r="N19059">
        <v>2.9317100000000002E-13</v>
      </c>
      <c r="O19059">
        <v>172</v>
      </c>
    </row>
    <row r="19060" spans="1:15" x14ac:dyDescent="0.25">
      <c r="A19060" t="s">
        <v>19073</v>
      </c>
      <c r="B19060">
        <v>506</v>
      </c>
      <c r="C19060" s="1" t="str">
        <f>HYPERLINK("http://www.rosaceae.org/gb/gbrowse/malus_x_domestica/?name=MDP0000249752","MDP0000249752")</f>
        <v>MDP0000249752</v>
      </c>
      <c r="D19060">
        <v>71</v>
      </c>
      <c r="E19060">
        <v>169</v>
      </c>
      <c r="F19060">
        <v>49</v>
      </c>
      <c r="G19060">
        <v>6</v>
      </c>
      <c r="H19060">
        <v>333</v>
      </c>
      <c r="I19060">
        <v>501</v>
      </c>
      <c r="J19060">
        <v>1</v>
      </c>
      <c r="K19060">
        <v>483</v>
      </c>
      <c r="L19060">
        <v>645</v>
      </c>
      <c r="M19060">
        <v>1</v>
      </c>
      <c r="N19060">
        <v>1.3302800000000001E-69</v>
      </c>
      <c r="O19060">
        <v>667</v>
      </c>
    </row>
    <row r="19061" spans="1:15" x14ac:dyDescent="0.25">
      <c r="A19061" t="s">
        <v>19074</v>
      </c>
      <c r="B19061">
        <v>514</v>
      </c>
      <c r="C19061" s="1" t="str">
        <f>HYPERLINK("http://www.rosaceae.org/gb/gbrowse/malus_x_domestica/?name=MDP0000290662","MDP0000290662")</f>
        <v>MDP0000290662</v>
      </c>
      <c r="D19061">
        <v>75.040000000000006</v>
      </c>
      <c r="E19061">
        <v>509</v>
      </c>
      <c r="F19061">
        <v>127</v>
      </c>
      <c r="G19061">
        <v>12</v>
      </c>
      <c r="H19061">
        <v>7</v>
      </c>
      <c r="I19061">
        <v>513</v>
      </c>
      <c r="J19061">
        <v>1</v>
      </c>
      <c r="K19061">
        <v>6</v>
      </c>
      <c r="L19061">
        <v>504</v>
      </c>
      <c r="M19061">
        <v>1</v>
      </c>
      <c r="N19061">
        <v>0</v>
      </c>
      <c r="O19061">
        <v>2064</v>
      </c>
    </row>
    <row r="19062" spans="1:15" x14ac:dyDescent="0.25">
      <c r="A19062" t="s">
        <v>19075</v>
      </c>
      <c r="B19062">
        <v>431</v>
      </c>
      <c r="C19062" s="1" t="str">
        <f>HYPERLINK("http://www.rosaceae.org/gb/gbrowse/malus_x_domestica/?name=MDP0000322036","MDP0000322036")</f>
        <v>MDP0000322036</v>
      </c>
      <c r="D19062">
        <v>37.450000000000003</v>
      </c>
      <c r="E19062">
        <v>299</v>
      </c>
      <c r="F19062">
        <v>187</v>
      </c>
      <c r="G19062">
        <v>48</v>
      </c>
      <c r="H19062">
        <v>35</v>
      </c>
      <c r="I19062">
        <v>333</v>
      </c>
      <c r="J19062">
        <v>1</v>
      </c>
      <c r="K19062">
        <v>96</v>
      </c>
      <c r="L19062">
        <v>346</v>
      </c>
      <c r="M19062">
        <v>1</v>
      </c>
      <c r="N19062">
        <v>7.0865699999999996E-44</v>
      </c>
      <c r="O19062">
        <v>444</v>
      </c>
    </row>
    <row r="19063" spans="1:15" x14ac:dyDescent="0.25">
      <c r="A19063" t="s">
        <v>19076</v>
      </c>
      <c r="B19063">
        <v>314</v>
      </c>
      <c r="C19063" s="1" t="str">
        <f>HYPERLINK("http://www.rosaceae.org/gb/gbrowse/malus_x_domestica/?name=MDP0000231542","MDP0000231542")</f>
        <v>MDP0000231542</v>
      </c>
      <c r="D19063">
        <v>35.659999999999997</v>
      </c>
      <c r="E19063">
        <v>157</v>
      </c>
      <c r="F19063">
        <v>101</v>
      </c>
      <c r="G19063">
        <v>5</v>
      </c>
      <c r="H19063">
        <v>152</v>
      </c>
      <c r="I19063">
        <v>306</v>
      </c>
      <c r="J19063">
        <v>1</v>
      </c>
      <c r="K19063">
        <v>859</v>
      </c>
      <c r="L19063">
        <v>1012</v>
      </c>
      <c r="M19063">
        <v>1</v>
      </c>
      <c r="N19063">
        <v>2.72622E-17</v>
      </c>
      <c r="O19063">
        <v>213</v>
      </c>
    </row>
    <row r="19064" spans="1:15" x14ac:dyDescent="0.25">
      <c r="A19064" t="s">
        <v>19077</v>
      </c>
      <c r="B19064">
        <v>145</v>
      </c>
      <c r="C19064" s="1" t="str">
        <f>HYPERLINK("http://www.rosaceae.org/gb/gbrowse/malus_x_domestica/?name=MDP0000823582","MDP0000823582")</f>
        <v>MDP0000823582</v>
      </c>
      <c r="D19064">
        <v>100</v>
      </c>
      <c r="E19064">
        <v>92</v>
      </c>
      <c r="F19064">
        <v>0</v>
      </c>
      <c r="G19064">
        <v>0</v>
      </c>
      <c r="H19064">
        <v>54</v>
      </c>
      <c r="I19064">
        <v>145</v>
      </c>
      <c r="J19064">
        <v>1</v>
      </c>
      <c r="K19064">
        <v>57</v>
      </c>
      <c r="L19064">
        <v>148</v>
      </c>
      <c r="M19064">
        <v>1</v>
      </c>
      <c r="N19064">
        <v>1.7465699999999999E-49</v>
      </c>
      <c r="O19064">
        <v>486</v>
      </c>
    </row>
    <row r="19065" spans="1:15" x14ac:dyDescent="0.25">
      <c r="A19065" t="s">
        <v>19078</v>
      </c>
      <c r="B19065">
        <v>525</v>
      </c>
      <c r="C19065" s="1" t="str">
        <f>HYPERLINK("http://www.rosaceae.org/gb/gbrowse/malus_x_domestica/?name=MDP0000424398","MDP0000424398")</f>
        <v>MDP0000424398</v>
      </c>
      <c r="D19065">
        <v>77.92</v>
      </c>
      <c r="E19065">
        <v>530</v>
      </c>
      <c r="F19065">
        <v>117</v>
      </c>
      <c r="G19065">
        <v>8</v>
      </c>
      <c r="H19065">
        <v>1</v>
      </c>
      <c r="I19065">
        <v>523</v>
      </c>
      <c r="J19065">
        <v>1</v>
      </c>
      <c r="K19065">
        <v>1</v>
      </c>
      <c r="L19065">
        <v>529</v>
      </c>
      <c r="M19065">
        <v>1</v>
      </c>
      <c r="N19065">
        <v>0</v>
      </c>
      <c r="O19065">
        <v>2121</v>
      </c>
    </row>
    <row r="19066" spans="1:15" x14ac:dyDescent="0.25">
      <c r="A19066" t="s">
        <v>19079</v>
      </c>
      <c r="B19066">
        <v>1015</v>
      </c>
      <c r="C19066" s="1" t="str">
        <f>HYPERLINK("http://www.rosaceae.org/gb/gbrowse/malus_x_domestica/?name=MDP0000167553","MDP0000167553")</f>
        <v>MDP0000167553</v>
      </c>
      <c r="D19066">
        <v>70.56</v>
      </c>
      <c r="E19066">
        <v>1009</v>
      </c>
      <c r="F19066">
        <v>297</v>
      </c>
      <c r="G19066">
        <v>11</v>
      </c>
      <c r="H19066">
        <v>16</v>
      </c>
      <c r="I19066">
        <v>1014</v>
      </c>
      <c r="J19066">
        <v>1</v>
      </c>
      <c r="K19066">
        <v>52</v>
      </c>
      <c r="L19066">
        <v>1059</v>
      </c>
      <c r="M19066">
        <v>1</v>
      </c>
      <c r="N19066">
        <v>0</v>
      </c>
      <c r="O19066">
        <v>3543</v>
      </c>
    </row>
    <row r="19067" spans="1:15" x14ac:dyDescent="0.25">
      <c r="A19067" t="s">
        <v>19080</v>
      </c>
      <c r="B19067">
        <v>485</v>
      </c>
      <c r="C19067" s="1" t="str">
        <f>HYPERLINK("http://www.rosaceae.org/gb/gbrowse/malus_x_domestica/?name=MDP0000647348","MDP0000647348")</f>
        <v>MDP0000647348</v>
      </c>
      <c r="D19067">
        <v>72.72</v>
      </c>
      <c r="E19067">
        <v>495</v>
      </c>
      <c r="F19067">
        <v>135</v>
      </c>
      <c r="G19067">
        <v>11</v>
      </c>
      <c r="H19067">
        <v>1</v>
      </c>
      <c r="I19067">
        <v>485</v>
      </c>
      <c r="J19067">
        <v>1</v>
      </c>
      <c r="K19067">
        <v>1</v>
      </c>
      <c r="L19067">
        <v>494</v>
      </c>
      <c r="M19067">
        <v>1</v>
      </c>
      <c r="N19067">
        <v>0</v>
      </c>
      <c r="O19067">
        <v>1815</v>
      </c>
    </row>
    <row r="19068" spans="1:15" x14ac:dyDescent="0.25">
      <c r="A19068" t="s">
        <v>19081</v>
      </c>
      <c r="B19068">
        <v>318</v>
      </c>
      <c r="C19068" s="1" t="str">
        <f>HYPERLINK("http://www.rosaceae.org/gb/gbrowse/malus_x_domestica/?name=MDP0000218957","MDP0000218957")</f>
        <v>MDP0000218957</v>
      </c>
      <c r="D19068">
        <v>66.56</v>
      </c>
      <c r="E19068">
        <v>338</v>
      </c>
      <c r="F19068">
        <v>113</v>
      </c>
      <c r="G19068">
        <v>29</v>
      </c>
      <c r="H19068">
        <v>1</v>
      </c>
      <c r="I19068">
        <v>318</v>
      </c>
      <c r="J19068">
        <v>1</v>
      </c>
      <c r="K19068">
        <v>1</v>
      </c>
      <c r="L19068">
        <v>329</v>
      </c>
      <c r="M19068">
        <v>1</v>
      </c>
      <c r="N19068">
        <v>6.6907300000000003E-122</v>
      </c>
      <c r="O19068">
        <v>1116</v>
      </c>
    </row>
    <row r="19069" spans="1:15" x14ac:dyDescent="0.25">
      <c r="A19069" t="s">
        <v>19082</v>
      </c>
      <c r="B19069">
        <v>221</v>
      </c>
      <c r="C19069" s="1" t="str">
        <f>HYPERLINK("http://www.rosaceae.org/gb/gbrowse/malus_x_domestica/?name=MDP0000312861","MDP0000312861")</f>
        <v>MDP0000312861</v>
      </c>
      <c r="D19069">
        <v>58.1</v>
      </c>
      <c r="E19069">
        <v>148</v>
      </c>
      <c r="F19069">
        <v>62</v>
      </c>
      <c r="G19069">
        <v>1</v>
      </c>
      <c r="H19069">
        <v>1</v>
      </c>
      <c r="I19069">
        <v>148</v>
      </c>
      <c r="J19069">
        <v>1</v>
      </c>
      <c r="K19069">
        <v>474</v>
      </c>
      <c r="L19069">
        <v>620</v>
      </c>
      <c r="M19069">
        <v>1</v>
      </c>
      <c r="N19069">
        <v>5.4536400000000002E-46</v>
      </c>
      <c r="O19069">
        <v>459</v>
      </c>
    </row>
    <row r="19070" spans="1:15" x14ac:dyDescent="0.25">
      <c r="A19070" t="s">
        <v>19083</v>
      </c>
      <c r="B19070">
        <v>284</v>
      </c>
      <c r="C19070" s="1" t="str">
        <f>HYPERLINK("http://www.rosaceae.org/gb/gbrowse/malus_x_domestica/?name=MDP0000725634","MDP0000725634")</f>
        <v>MDP0000725634</v>
      </c>
      <c r="D19070">
        <v>35</v>
      </c>
      <c r="E19070">
        <v>220</v>
      </c>
      <c r="F19070">
        <v>143</v>
      </c>
      <c r="G19070">
        <v>31</v>
      </c>
      <c r="H19070">
        <v>63</v>
      </c>
      <c r="I19070">
        <v>269</v>
      </c>
      <c r="J19070">
        <v>1</v>
      </c>
      <c r="K19070">
        <v>200</v>
      </c>
      <c r="L19070">
        <v>401</v>
      </c>
      <c r="M19070">
        <v>1</v>
      </c>
      <c r="N19070">
        <v>2.9574900000000001E-16</v>
      </c>
      <c r="O19070">
        <v>204</v>
      </c>
    </row>
    <row r="19071" spans="1:15" x14ac:dyDescent="0.25">
      <c r="A19071" t="s">
        <v>19084</v>
      </c>
      <c r="B19071">
        <v>399</v>
      </c>
      <c r="C19071" s="1" t="str">
        <f>HYPERLINK("http://www.rosaceae.org/gb/gbrowse/malus_x_domestica/?name=MDP0000515646","MDP0000515646")</f>
        <v>MDP0000515646</v>
      </c>
      <c r="D19071">
        <v>51.32</v>
      </c>
      <c r="E19071">
        <v>226</v>
      </c>
      <c r="F19071">
        <v>110</v>
      </c>
      <c r="G19071">
        <v>0</v>
      </c>
      <c r="H19071">
        <v>171</v>
      </c>
      <c r="I19071">
        <v>396</v>
      </c>
      <c r="J19071">
        <v>1</v>
      </c>
      <c r="K19071">
        <v>2</v>
      </c>
      <c r="L19071">
        <v>227</v>
      </c>
      <c r="M19071">
        <v>1</v>
      </c>
      <c r="N19071">
        <v>1.18048E-55</v>
      </c>
      <c r="O19071">
        <v>545</v>
      </c>
    </row>
    <row r="19072" spans="1:15" x14ac:dyDescent="0.25">
      <c r="A19072" t="s">
        <v>19085</v>
      </c>
      <c r="B19072">
        <v>238</v>
      </c>
      <c r="C19072" s="1" t="str">
        <f>HYPERLINK("http://www.rosaceae.org/gb/gbrowse/malus_x_domestica/?name=MDP0000248907","MDP0000248907")</f>
        <v>MDP0000248907</v>
      </c>
      <c r="D19072">
        <v>70.290000000000006</v>
      </c>
      <c r="E19072">
        <v>239</v>
      </c>
      <c r="F19072">
        <v>71</v>
      </c>
      <c r="G19072">
        <v>1</v>
      </c>
      <c r="H19072">
        <v>1</v>
      </c>
      <c r="I19072">
        <v>238</v>
      </c>
      <c r="J19072">
        <v>1</v>
      </c>
      <c r="K19072">
        <v>77</v>
      </c>
      <c r="L19072">
        <v>315</v>
      </c>
      <c r="M19072">
        <v>1</v>
      </c>
      <c r="N19072">
        <v>3.5791300000000001E-98</v>
      </c>
      <c r="O19072">
        <v>909</v>
      </c>
    </row>
    <row r="19073" spans="1:15" x14ac:dyDescent="0.25">
      <c r="A19073" t="s">
        <v>19086</v>
      </c>
      <c r="B19073">
        <v>794</v>
      </c>
      <c r="C19073" s="1" t="str">
        <f>HYPERLINK("http://www.rosaceae.org/gb/gbrowse/malus_x_domestica/?name=MDP0000283623","MDP0000283623")</f>
        <v>MDP0000283623</v>
      </c>
      <c r="D19073">
        <v>43.71</v>
      </c>
      <c r="E19073">
        <v>183</v>
      </c>
      <c r="F19073">
        <v>103</v>
      </c>
      <c r="G19073">
        <v>17</v>
      </c>
      <c r="H19073">
        <v>256</v>
      </c>
      <c r="I19073">
        <v>436</v>
      </c>
      <c r="J19073">
        <v>1</v>
      </c>
      <c r="K19073">
        <v>29</v>
      </c>
      <c r="L19073">
        <v>196</v>
      </c>
      <c r="M19073">
        <v>1</v>
      </c>
      <c r="N19073">
        <v>5.16175E-36</v>
      </c>
      <c r="O19073">
        <v>379</v>
      </c>
    </row>
    <row r="19074" spans="1:15" x14ac:dyDescent="0.25">
      <c r="A19074" t="s">
        <v>19087</v>
      </c>
      <c r="B19074">
        <v>142</v>
      </c>
      <c r="C19074" s="1" t="str">
        <f>HYPERLINK("http://www.rosaceae.org/gb/gbrowse/malus_x_domestica/?name=MDP0000318352","MDP0000318352")</f>
        <v>MDP0000318352</v>
      </c>
      <c r="D19074">
        <v>65.900000000000006</v>
      </c>
      <c r="E19074">
        <v>44</v>
      </c>
      <c r="F19074">
        <v>15</v>
      </c>
      <c r="G19074">
        <v>2</v>
      </c>
      <c r="H19074">
        <v>14</v>
      </c>
      <c r="I19074">
        <v>55</v>
      </c>
      <c r="J19074">
        <v>1</v>
      </c>
      <c r="K19074">
        <v>449</v>
      </c>
      <c r="L19074">
        <v>492</v>
      </c>
      <c r="M19074">
        <v>1</v>
      </c>
      <c r="N19074">
        <v>2.41808E-10</v>
      </c>
      <c r="O19074">
        <v>148</v>
      </c>
    </row>
    <row r="19075" spans="1:15" x14ac:dyDescent="0.25">
      <c r="A19075" t="s">
        <v>19088</v>
      </c>
      <c r="B19075">
        <v>158</v>
      </c>
      <c r="C19075" s="1" t="str">
        <f>HYPERLINK("http://www.rosaceae.org/gb/gbrowse/malus_x_domestica/?name=MDP0000565238","MDP0000565238")</f>
        <v>MDP0000565238</v>
      </c>
      <c r="D19075">
        <v>87.87</v>
      </c>
      <c r="E19075">
        <v>66</v>
      </c>
      <c r="F19075">
        <v>8</v>
      </c>
      <c r="G19075">
        <v>0</v>
      </c>
      <c r="H19075">
        <v>6</v>
      </c>
      <c r="I19075">
        <v>71</v>
      </c>
      <c r="J19075">
        <v>1</v>
      </c>
      <c r="K19075">
        <v>8</v>
      </c>
      <c r="L19075">
        <v>73</v>
      </c>
      <c r="M19075">
        <v>1</v>
      </c>
      <c r="N19075">
        <v>2.6853400000000001E-30</v>
      </c>
      <c r="O19075">
        <v>321</v>
      </c>
    </row>
    <row r="19076" spans="1:15" x14ac:dyDescent="0.25">
      <c r="A19076" t="s">
        <v>19089</v>
      </c>
      <c r="B19076">
        <v>438</v>
      </c>
      <c r="C19076" s="1" t="str">
        <f>HYPERLINK("http://www.rosaceae.org/gb/gbrowse/malus_x_domestica/?name=MDP0000288100","MDP0000288100")</f>
        <v>MDP0000288100</v>
      </c>
      <c r="D19076">
        <v>68.03</v>
      </c>
      <c r="E19076">
        <v>413</v>
      </c>
      <c r="F19076">
        <v>132</v>
      </c>
      <c r="G19076">
        <v>32</v>
      </c>
      <c r="H19076">
        <v>1</v>
      </c>
      <c r="I19076">
        <v>410</v>
      </c>
      <c r="J19076">
        <v>1</v>
      </c>
      <c r="K19076">
        <v>1</v>
      </c>
      <c r="L19076">
        <v>384</v>
      </c>
      <c r="M19076">
        <v>1</v>
      </c>
      <c r="N19076">
        <v>6.9496900000000005E-156</v>
      </c>
      <c r="O19076">
        <v>1410</v>
      </c>
    </row>
    <row r="19077" spans="1:15" x14ac:dyDescent="0.25">
      <c r="A19077" t="s">
        <v>19090</v>
      </c>
      <c r="B19077">
        <v>208</v>
      </c>
      <c r="C19077" s="1" t="str">
        <f>HYPERLINK("http://www.rosaceae.org/gb/gbrowse/malus_x_domestica/?name=MDP0000167570","MDP0000167570")</f>
        <v>MDP0000167570</v>
      </c>
      <c r="D19077">
        <v>73.45</v>
      </c>
      <c r="E19077">
        <v>162</v>
      </c>
      <c r="F19077">
        <v>43</v>
      </c>
      <c r="G19077">
        <v>1</v>
      </c>
      <c r="H19077">
        <v>26</v>
      </c>
      <c r="I19077">
        <v>186</v>
      </c>
      <c r="J19077">
        <v>1</v>
      </c>
      <c r="K19077">
        <v>128</v>
      </c>
      <c r="L19077">
        <v>289</v>
      </c>
      <c r="M19077">
        <v>1</v>
      </c>
      <c r="N19077">
        <v>6.1812500000000003E-60</v>
      </c>
      <c r="O19077">
        <v>579</v>
      </c>
    </row>
    <row r="19078" spans="1:15" x14ac:dyDescent="0.25">
      <c r="A19078" t="s">
        <v>19091</v>
      </c>
      <c r="B19078">
        <v>647</v>
      </c>
      <c r="C19078" s="1" t="str">
        <f>HYPERLINK("http://www.rosaceae.org/gb/gbrowse/malus_x_domestica/?name=MDP0000259571","MDP0000259571")</f>
        <v>MDP0000259571</v>
      </c>
      <c r="D19078">
        <v>65.59</v>
      </c>
      <c r="E19078">
        <v>218</v>
      </c>
      <c r="F19078">
        <v>75</v>
      </c>
      <c r="G19078">
        <v>44</v>
      </c>
      <c r="H19078">
        <v>122</v>
      </c>
      <c r="I19078">
        <v>295</v>
      </c>
      <c r="J19078">
        <v>1</v>
      </c>
      <c r="K19078">
        <v>8</v>
      </c>
      <c r="L19078">
        <v>225</v>
      </c>
      <c r="M19078">
        <v>1</v>
      </c>
      <c r="N19078">
        <v>4.9739E-67</v>
      </c>
      <c r="O19078">
        <v>646</v>
      </c>
    </row>
    <row r="19079" spans="1:15" x14ac:dyDescent="0.25">
      <c r="A19079" t="s">
        <v>19092</v>
      </c>
      <c r="B19079">
        <v>536</v>
      </c>
      <c r="C19079" s="1" t="str">
        <f>HYPERLINK("http://www.rosaceae.org/gb/gbrowse/malus_x_domestica/?name=MDP0000157943","MDP0000157943")</f>
        <v>MDP0000157943</v>
      </c>
      <c r="D19079">
        <v>51.26</v>
      </c>
      <c r="E19079">
        <v>513</v>
      </c>
      <c r="F19079">
        <v>250</v>
      </c>
      <c r="G19079">
        <v>21</v>
      </c>
      <c r="H19079">
        <v>32</v>
      </c>
      <c r="I19079">
        <v>534</v>
      </c>
      <c r="J19079">
        <v>1</v>
      </c>
      <c r="K19079">
        <v>31</v>
      </c>
      <c r="L19079">
        <v>532</v>
      </c>
      <c r="M19079">
        <v>1</v>
      </c>
      <c r="N19079">
        <v>9.24723E-136</v>
      </c>
      <c r="O19079">
        <v>1238</v>
      </c>
    </row>
    <row r="19080" spans="1:15" x14ac:dyDescent="0.25">
      <c r="A19080" t="s">
        <v>19093</v>
      </c>
      <c r="B19080">
        <v>309</v>
      </c>
      <c r="C19080" s="1" t="str">
        <f>HYPERLINK("http://www.rosaceae.org/gb/gbrowse/malus_x_domestica/?name=MDP0000543224","MDP0000543224")</f>
        <v>MDP0000543224</v>
      </c>
      <c r="D19080">
        <v>74.260000000000005</v>
      </c>
      <c r="E19080">
        <v>307</v>
      </c>
      <c r="F19080">
        <v>79</v>
      </c>
      <c r="G19080">
        <v>1</v>
      </c>
      <c r="H19080">
        <v>1</v>
      </c>
      <c r="I19080">
        <v>307</v>
      </c>
      <c r="J19080">
        <v>1</v>
      </c>
      <c r="K19080">
        <v>1</v>
      </c>
      <c r="L19080">
        <v>306</v>
      </c>
      <c r="M19080">
        <v>1</v>
      </c>
      <c r="N19080">
        <v>9.2994200000000008E-134</v>
      </c>
      <c r="O19080">
        <v>1218</v>
      </c>
    </row>
    <row r="19081" spans="1:15" x14ac:dyDescent="0.25">
      <c r="A19081" t="s">
        <v>19094</v>
      </c>
      <c r="B19081">
        <v>156</v>
      </c>
      <c r="C19081" s="1" t="str">
        <f>HYPERLINK("http://www.rosaceae.org/gb/gbrowse/malus_x_domestica/?name=MDP0000212129","MDP0000212129")</f>
        <v>MDP0000212129</v>
      </c>
      <c r="D19081">
        <v>58.82</v>
      </c>
      <c r="E19081">
        <v>136</v>
      </c>
      <c r="F19081">
        <v>56</v>
      </c>
      <c r="G19081">
        <v>5</v>
      </c>
      <c r="H19081">
        <v>23</v>
      </c>
      <c r="I19081">
        <v>155</v>
      </c>
      <c r="J19081">
        <v>1</v>
      </c>
      <c r="K19081">
        <v>127</v>
      </c>
      <c r="L19081">
        <v>260</v>
      </c>
      <c r="M19081">
        <v>1</v>
      </c>
      <c r="N19081">
        <v>4.6855100000000002E-42</v>
      </c>
      <c r="O19081">
        <v>422</v>
      </c>
    </row>
    <row r="19082" spans="1:15" x14ac:dyDescent="0.25">
      <c r="A19082" t="s">
        <v>19095</v>
      </c>
      <c r="B19082">
        <v>172</v>
      </c>
      <c r="C19082" s="1" t="str">
        <f>HYPERLINK("http://www.rosaceae.org/gb/gbrowse/malus_x_domestica/?name=MDP0000561267","MDP0000561267")</f>
        <v>MDP0000561267</v>
      </c>
      <c r="D19082">
        <v>41.76</v>
      </c>
      <c r="E19082">
        <v>170</v>
      </c>
      <c r="F19082">
        <v>99</v>
      </c>
      <c r="G19082">
        <v>7</v>
      </c>
      <c r="H19082">
        <v>6</v>
      </c>
      <c r="I19082">
        <v>169</v>
      </c>
      <c r="J19082">
        <v>1</v>
      </c>
      <c r="K19082">
        <v>216</v>
      </c>
      <c r="L19082">
        <v>384</v>
      </c>
      <c r="M19082">
        <v>1</v>
      </c>
      <c r="N19082">
        <v>1.07452E-25</v>
      </c>
      <c r="O19082">
        <v>282</v>
      </c>
    </row>
    <row r="19083" spans="1:15" x14ac:dyDescent="0.25">
      <c r="A19083" t="s">
        <v>19096</v>
      </c>
      <c r="B19083">
        <v>1982</v>
      </c>
      <c r="C19083" s="1" t="str">
        <f>HYPERLINK("http://www.rosaceae.org/gb/gbrowse/malus_x_domestica/?name=MDP0000125643","MDP0000125643")</f>
        <v>MDP0000125643</v>
      </c>
      <c r="D19083">
        <v>46.23</v>
      </c>
      <c r="E19083">
        <v>452</v>
      </c>
      <c r="F19083">
        <v>243</v>
      </c>
      <c r="G19083">
        <v>69</v>
      </c>
      <c r="H19083">
        <v>1249</v>
      </c>
      <c r="I19083">
        <v>1642</v>
      </c>
      <c r="J19083">
        <v>1</v>
      </c>
      <c r="K19083">
        <v>748</v>
      </c>
      <c r="L19083">
        <v>1188</v>
      </c>
      <c r="M19083">
        <v>1</v>
      </c>
      <c r="N19083">
        <v>2.0284499999999999E-94</v>
      </c>
      <c r="O19083">
        <v>886</v>
      </c>
    </row>
    <row r="19084" spans="1:15" x14ac:dyDescent="0.25">
      <c r="A19084" t="s">
        <v>19097</v>
      </c>
      <c r="B19084">
        <v>491</v>
      </c>
      <c r="C19084" s="1" t="str">
        <f>HYPERLINK("http://www.rosaceae.org/gb/gbrowse/malus_x_domestica/?name=MDP0000185837","MDP0000185837")</f>
        <v>MDP0000185837</v>
      </c>
      <c r="D19084">
        <v>80.430000000000007</v>
      </c>
      <c r="E19084">
        <v>455</v>
      </c>
      <c r="F19084">
        <v>89</v>
      </c>
      <c r="G19084">
        <v>51</v>
      </c>
      <c r="H19084">
        <v>12</v>
      </c>
      <c r="I19084">
        <v>444</v>
      </c>
      <c r="J19084">
        <v>1</v>
      </c>
      <c r="K19084">
        <v>1</v>
      </c>
      <c r="L19084">
        <v>426</v>
      </c>
      <c r="M19084">
        <v>1</v>
      </c>
      <c r="N19084">
        <v>0</v>
      </c>
      <c r="O19084">
        <v>1890</v>
      </c>
    </row>
    <row r="19085" spans="1:15" x14ac:dyDescent="0.25">
      <c r="A19085" t="s">
        <v>19098</v>
      </c>
      <c r="B19085">
        <v>434</v>
      </c>
      <c r="C19085" s="1" t="str">
        <f>HYPERLINK("http://www.rosaceae.org/gb/gbrowse/malus_x_domestica/?name=MDP0000302761","MDP0000302761")</f>
        <v>MDP0000302761</v>
      </c>
      <c r="D19085">
        <v>74.72</v>
      </c>
      <c r="E19085">
        <v>368</v>
      </c>
      <c r="F19085">
        <v>93</v>
      </c>
      <c r="G19085">
        <v>0</v>
      </c>
      <c r="H19085">
        <v>1</v>
      </c>
      <c r="I19085">
        <v>368</v>
      </c>
      <c r="J19085">
        <v>1</v>
      </c>
      <c r="K19085">
        <v>1</v>
      </c>
      <c r="L19085">
        <v>368</v>
      </c>
      <c r="M19085">
        <v>1</v>
      </c>
      <c r="N19085">
        <v>4.5499799999999999E-165</v>
      </c>
      <c r="O19085">
        <v>1489</v>
      </c>
    </row>
    <row r="19086" spans="1:15" x14ac:dyDescent="0.25">
      <c r="A19086" t="s">
        <v>19099</v>
      </c>
      <c r="B19086">
        <v>287</v>
      </c>
      <c r="C19086" s="1" t="str">
        <f>HYPERLINK("http://www.rosaceae.org/gb/gbrowse/malus_x_domestica/?name=MDP0000264123","MDP0000264123")</f>
        <v>MDP0000264123</v>
      </c>
      <c r="D19086">
        <v>55.76</v>
      </c>
      <c r="E19086">
        <v>269</v>
      </c>
      <c r="F19086">
        <v>119</v>
      </c>
      <c r="G19086">
        <v>47</v>
      </c>
      <c r="H19086">
        <v>47</v>
      </c>
      <c r="I19086">
        <v>269</v>
      </c>
      <c r="J19086">
        <v>1</v>
      </c>
      <c r="K19086">
        <v>48</v>
      </c>
      <c r="L19086">
        <v>315</v>
      </c>
      <c r="M19086">
        <v>1</v>
      </c>
      <c r="N19086">
        <v>1.89907E-75</v>
      </c>
      <c r="O19086">
        <v>714</v>
      </c>
    </row>
    <row r="19087" spans="1:15" x14ac:dyDescent="0.25">
      <c r="A19087" t="s">
        <v>19100</v>
      </c>
      <c r="B19087">
        <v>1356</v>
      </c>
      <c r="C19087" s="1" t="str">
        <f>HYPERLINK("http://www.rosaceae.org/gb/gbrowse/malus_x_domestica/?name=MDP0000278580","MDP0000278580")</f>
        <v>MDP0000278580</v>
      </c>
      <c r="D19087">
        <v>68.66</v>
      </c>
      <c r="E19087">
        <v>801</v>
      </c>
      <c r="F19087">
        <v>251</v>
      </c>
      <c r="G19087">
        <v>42</v>
      </c>
      <c r="H19087">
        <v>268</v>
      </c>
      <c r="I19087">
        <v>1064</v>
      </c>
      <c r="J19087">
        <v>1</v>
      </c>
      <c r="K19087">
        <v>501</v>
      </c>
      <c r="L19087">
        <v>1263</v>
      </c>
      <c r="M19087">
        <v>1</v>
      </c>
      <c r="N19087">
        <v>0</v>
      </c>
      <c r="O19087">
        <v>2844</v>
      </c>
    </row>
    <row r="19088" spans="1:15" x14ac:dyDescent="0.25">
      <c r="A19088" t="s">
        <v>19101</v>
      </c>
      <c r="B19088">
        <v>233</v>
      </c>
      <c r="C19088" s="1" t="str">
        <f>HYPERLINK("http://www.rosaceae.org/gb/gbrowse/malus_x_domestica/?name=MDP0000175212","MDP0000175212")</f>
        <v>MDP0000175212</v>
      </c>
      <c r="D19088">
        <v>38.53</v>
      </c>
      <c r="E19088">
        <v>218</v>
      </c>
      <c r="F19088">
        <v>134</v>
      </c>
      <c r="G19088">
        <v>28</v>
      </c>
      <c r="H19088">
        <v>32</v>
      </c>
      <c r="I19088">
        <v>221</v>
      </c>
      <c r="J19088">
        <v>1</v>
      </c>
      <c r="K19088">
        <v>681</v>
      </c>
      <c r="L19088">
        <v>898</v>
      </c>
      <c r="M19088">
        <v>1</v>
      </c>
      <c r="N19088">
        <v>1.1966900000000001E-37</v>
      </c>
      <c r="O19088">
        <v>387</v>
      </c>
    </row>
    <row r="19089" spans="1:15" x14ac:dyDescent="0.25">
      <c r="A19089" t="s">
        <v>19102</v>
      </c>
      <c r="B19089">
        <v>990</v>
      </c>
      <c r="C19089" s="1" t="str">
        <f>HYPERLINK("http://www.rosaceae.org/gb/gbrowse/malus_x_domestica/?name=MDP0000279281","MDP0000279281")</f>
        <v>MDP0000279281</v>
      </c>
      <c r="D19089">
        <v>89.44</v>
      </c>
      <c r="E19089">
        <v>957</v>
      </c>
      <c r="F19089">
        <v>101</v>
      </c>
      <c r="G19089">
        <v>6</v>
      </c>
      <c r="H19089">
        <v>39</v>
      </c>
      <c r="I19089">
        <v>990</v>
      </c>
      <c r="J19089">
        <v>1</v>
      </c>
      <c r="K19089">
        <v>39</v>
      </c>
      <c r="L19089">
        <v>994</v>
      </c>
      <c r="M19089">
        <v>1</v>
      </c>
      <c r="N19089">
        <v>0</v>
      </c>
      <c r="O19089">
        <v>4594</v>
      </c>
    </row>
    <row r="19090" spans="1:15" x14ac:dyDescent="0.25">
      <c r="A19090" t="s">
        <v>19103</v>
      </c>
      <c r="B19090">
        <v>524</v>
      </c>
      <c r="C19090" s="1" t="str">
        <f>HYPERLINK("http://www.rosaceae.org/gb/gbrowse/malus_x_domestica/?name=MDP0000240977","MDP0000240977")</f>
        <v>MDP0000240977</v>
      </c>
      <c r="D19090">
        <v>60.77</v>
      </c>
      <c r="E19090">
        <v>181</v>
      </c>
      <c r="F19090">
        <v>71</v>
      </c>
      <c r="G19090">
        <v>6</v>
      </c>
      <c r="H19090">
        <v>88</v>
      </c>
      <c r="I19090">
        <v>266</v>
      </c>
      <c r="J19090">
        <v>1</v>
      </c>
      <c r="K19090">
        <v>201</v>
      </c>
      <c r="L19090">
        <v>377</v>
      </c>
      <c r="M19090">
        <v>1</v>
      </c>
      <c r="N19090">
        <v>6.9247400000000005E-57</v>
      </c>
      <c r="O19090">
        <v>557</v>
      </c>
    </row>
    <row r="19091" spans="1:15" x14ac:dyDescent="0.25">
      <c r="A19091" t="s">
        <v>19104</v>
      </c>
      <c r="B19091">
        <v>210</v>
      </c>
      <c r="C19091" s="1" t="str">
        <f>HYPERLINK("http://www.rosaceae.org/gb/gbrowse/malus_x_domestica/?name=MDP0000293843","MDP0000293843")</f>
        <v>MDP0000293843</v>
      </c>
      <c r="D19091">
        <v>32.520000000000003</v>
      </c>
      <c r="E19091">
        <v>206</v>
      </c>
      <c r="F19091">
        <v>139</v>
      </c>
      <c r="G19091">
        <v>70</v>
      </c>
      <c r="H19091">
        <v>1</v>
      </c>
      <c r="I19091">
        <v>136</v>
      </c>
      <c r="J19091">
        <v>1</v>
      </c>
      <c r="K19091">
        <v>1551</v>
      </c>
      <c r="L19091">
        <v>1756</v>
      </c>
      <c r="M19091">
        <v>1</v>
      </c>
      <c r="N19091">
        <v>3.8027499999999999E-14</v>
      </c>
      <c r="O19091">
        <v>184</v>
      </c>
    </row>
    <row r="19092" spans="1:15" x14ac:dyDescent="0.25">
      <c r="A19092" t="s">
        <v>19105</v>
      </c>
      <c r="B19092">
        <v>218</v>
      </c>
      <c r="C19092" s="1" t="str">
        <f>HYPERLINK("http://www.rosaceae.org/gb/gbrowse/malus_x_domestica/?name=MDP0000299830","MDP0000299830")</f>
        <v>MDP0000299830</v>
      </c>
      <c r="D19092">
        <v>67.790000000000006</v>
      </c>
      <c r="E19092">
        <v>236</v>
      </c>
      <c r="F19092">
        <v>76</v>
      </c>
      <c r="G19092">
        <v>26</v>
      </c>
      <c r="H19092">
        <v>1</v>
      </c>
      <c r="I19092">
        <v>210</v>
      </c>
      <c r="J19092">
        <v>1</v>
      </c>
      <c r="K19092">
        <v>1</v>
      </c>
      <c r="L19092">
        <v>236</v>
      </c>
      <c r="M19092">
        <v>1</v>
      </c>
      <c r="N19092">
        <v>4.0202299999999999E-91</v>
      </c>
      <c r="O19092">
        <v>848</v>
      </c>
    </row>
    <row r="19093" spans="1:15" x14ac:dyDescent="0.25">
      <c r="A19093" t="s">
        <v>19106</v>
      </c>
      <c r="B19093">
        <v>141</v>
      </c>
      <c r="C19093" s="1" t="str">
        <f>HYPERLINK("http://www.rosaceae.org/gb/gbrowse/malus_x_domestica/?name=MDP0000148325","MDP0000148325")</f>
        <v>MDP0000148325</v>
      </c>
      <c r="D19093">
        <v>41.09</v>
      </c>
      <c r="E19093">
        <v>73</v>
      </c>
      <c r="F19093">
        <v>43</v>
      </c>
      <c r="G19093">
        <v>0</v>
      </c>
      <c r="H19093">
        <v>1</v>
      </c>
      <c r="I19093">
        <v>73</v>
      </c>
      <c r="J19093">
        <v>1</v>
      </c>
      <c r="K19093">
        <v>392</v>
      </c>
      <c r="L19093">
        <v>464</v>
      </c>
      <c r="M19093">
        <v>1</v>
      </c>
      <c r="N19093">
        <v>2.4092900000000001E-9</v>
      </c>
      <c r="O19093">
        <v>139</v>
      </c>
    </row>
    <row r="19094" spans="1:15" x14ac:dyDescent="0.25">
      <c r="A19094" t="s">
        <v>19107</v>
      </c>
      <c r="B19094">
        <v>372</v>
      </c>
      <c r="C19094" s="1" t="str">
        <f>HYPERLINK("http://www.rosaceae.org/gb/gbrowse/malus_x_domestica/?name=MDP0000241776","MDP0000241776")</f>
        <v>MDP0000241776</v>
      </c>
      <c r="D19094">
        <v>38.24</v>
      </c>
      <c r="E19094">
        <v>353</v>
      </c>
      <c r="F19094">
        <v>218</v>
      </c>
      <c r="G19094">
        <v>29</v>
      </c>
      <c r="H19094">
        <v>4</v>
      </c>
      <c r="I19094">
        <v>338</v>
      </c>
      <c r="J19094">
        <v>1</v>
      </c>
      <c r="K19094">
        <v>39</v>
      </c>
      <c r="L19094">
        <v>380</v>
      </c>
      <c r="M19094">
        <v>1</v>
      </c>
      <c r="N19094">
        <v>6.5019399999999999E-50</v>
      </c>
      <c r="O19094">
        <v>496</v>
      </c>
    </row>
    <row r="19095" spans="1:15" x14ac:dyDescent="0.25">
      <c r="A19095" t="s">
        <v>19108</v>
      </c>
      <c r="B19095">
        <v>725</v>
      </c>
      <c r="C19095" s="1" t="str">
        <f>HYPERLINK("http://www.rosaceae.org/gb/gbrowse/malus_x_domestica/?name=MDP0000300361","MDP0000300361")</f>
        <v>MDP0000300361</v>
      </c>
      <c r="D19095">
        <v>80.58</v>
      </c>
      <c r="E19095">
        <v>747</v>
      </c>
      <c r="F19095">
        <v>145</v>
      </c>
      <c r="G19095">
        <v>35</v>
      </c>
      <c r="H19095">
        <v>1</v>
      </c>
      <c r="I19095">
        <v>721</v>
      </c>
      <c r="J19095">
        <v>1</v>
      </c>
      <c r="K19095">
        <v>1</v>
      </c>
      <c r="L19095">
        <v>738</v>
      </c>
      <c r="M19095">
        <v>1</v>
      </c>
      <c r="N19095">
        <v>0</v>
      </c>
      <c r="O19095">
        <v>3175</v>
      </c>
    </row>
    <row r="19096" spans="1:15" x14ac:dyDescent="0.25">
      <c r="A19096" t="s">
        <v>19109</v>
      </c>
      <c r="B19096">
        <v>265</v>
      </c>
      <c r="C19096" s="1" t="str">
        <f>HYPERLINK("http://www.rosaceae.org/gb/gbrowse/malus_x_domestica/?name=MDP0000250600","MDP0000250600")</f>
        <v>MDP0000250600</v>
      </c>
      <c r="D19096">
        <v>87.82</v>
      </c>
      <c r="E19096">
        <v>156</v>
      </c>
      <c r="F19096">
        <v>19</v>
      </c>
      <c r="G19096">
        <v>3</v>
      </c>
      <c r="H19096">
        <v>71</v>
      </c>
      <c r="I19096">
        <v>223</v>
      </c>
      <c r="J19096">
        <v>1</v>
      </c>
      <c r="K19096">
        <v>74</v>
      </c>
      <c r="L19096">
        <v>229</v>
      </c>
      <c r="M19096">
        <v>1</v>
      </c>
      <c r="N19096">
        <v>2.9013000000000003E-76</v>
      </c>
      <c r="O19096">
        <v>721</v>
      </c>
    </row>
    <row r="19097" spans="1:15" x14ac:dyDescent="0.25">
      <c r="A19097" t="s">
        <v>19110</v>
      </c>
      <c r="B19097">
        <v>109</v>
      </c>
      <c r="C19097" s="1" t="str">
        <f>HYPERLINK("http://www.rosaceae.org/gb/gbrowse/malus_x_domestica/?name=MDP0000225469","MDP0000225469")</f>
        <v>MDP0000225469</v>
      </c>
      <c r="D19097">
        <v>92.66</v>
      </c>
      <c r="E19097">
        <v>109</v>
      </c>
      <c r="F19097">
        <v>8</v>
      </c>
      <c r="G19097">
        <v>0</v>
      </c>
      <c r="H19097">
        <v>1</v>
      </c>
      <c r="I19097">
        <v>109</v>
      </c>
      <c r="J19097">
        <v>1</v>
      </c>
      <c r="K19097">
        <v>1</v>
      </c>
      <c r="L19097">
        <v>109</v>
      </c>
      <c r="M19097">
        <v>1</v>
      </c>
      <c r="N19097">
        <v>8.3760199999999999E-53</v>
      </c>
      <c r="O19097">
        <v>513</v>
      </c>
    </row>
    <row r="19098" spans="1:15" x14ac:dyDescent="0.25">
      <c r="A19098" t="s">
        <v>19111</v>
      </c>
      <c r="B19098">
        <v>368</v>
      </c>
      <c r="C19098" s="1" t="str">
        <f>HYPERLINK("http://www.rosaceae.org/gb/gbrowse/malus_x_domestica/?name=MDP0000240852","MDP0000240852")</f>
        <v>MDP0000240852</v>
      </c>
      <c r="D19098">
        <v>38.659999999999997</v>
      </c>
      <c r="E19098">
        <v>75</v>
      </c>
      <c r="F19098">
        <v>46</v>
      </c>
      <c r="G19098">
        <v>1</v>
      </c>
      <c r="H19098">
        <v>264</v>
      </c>
      <c r="I19098">
        <v>337</v>
      </c>
      <c r="J19098">
        <v>1</v>
      </c>
      <c r="K19098">
        <v>273</v>
      </c>
      <c r="L19098">
        <v>347</v>
      </c>
      <c r="M19098">
        <v>1</v>
      </c>
      <c r="N19098">
        <v>1.2110700000000001E-10</v>
      </c>
      <c r="O19098">
        <v>157</v>
      </c>
    </row>
    <row r="19099" spans="1:15" x14ac:dyDescent="0.25">
      <c r="A19099" t="s">
        <v>19112</v>
      </c>
      <c r="B19099">
        <v>1436</v>
      </c>
      <c r="C19099" s="1" t="str">
        <f>HYPERLINK("http://www.rosaceae.org/gb/gbrowse/malus_x_domestica/?name=MDP0000119480","MDP0000119480")</f>
        <v>MDP0000119480</v>
      </c>
      <c r="D19099">
        <v>74.23</v>
      </c>
      <c r="E19099">
        <v>1211</v>
      </c>
      <c r="F19099">
        <v>312</v>
      </c>
      <c r="G19099">
        <v>125</v>
      </c>
      <c r="H19099">
        <v>307</v>
      </c>
      <c r="I19099">
        <v>1435</v>
      </c>
      <c r="J19099">
        <v>1</v>
      </c>
      <c r="K19099">
        <v>81</v>
      </c>
      <c r="L19099">
        <v>1248</v>
      </c>
      <c r="M19099">
        <v>1</v>
      </c>
      <c r="N19099">
        <v>0</v>
      </c>
      <c r="O19099">
        <v>4546</v>
      </c>
    </row>
    <row r="19100" spans="1:15" x14ac:dyDescent="0.25">
      <c r="A19100" t="s">
        <v>19113</v>
      </c>
      <c r="B19100">
        <v>355</v>
      </c>
      <c r="C19100" s="1" t="str">
        <f>HYPERLINK("http://www.rosaceae.org/gb/gbrowse/malus_x_domestica/?name=MDP0000606583","MDP0000606583")</f>
        <v>MDP0000606583</v>
      </c>
      <c r="D19100">
        <v>81.42</v>
      </c>
      <c r="E19100">
        <v>183</v>
      </c>
      <c r="F19100">
        <v>34</v>
      </c>
      <c r="G19100">
        <v>1</v>
      </c>
      <c r="H19100">
        <v>171</v>
      </c>
      <c r="I19100">
        <v>353</v>
      </c>
      <c r="J19100">
        <v>1</v>
      </c>
      <c r="K19100">
        <v>1</v>
      </c>
      <c r="L19100">
        <v>182</v>
      </c>
      <c r="M19100">
        <v>1</v>
      </c>
      <c r="N19100">
        <v>2.7514899999999998E-84</v>
      </c>
      <c r="O19100">
        <v>792</v>
      </c>
    </row>
    <row r="19101" spans="1:15" x14ac:dyDescent="0.25">
      <c r="A19101" t="s">
        <v>19114</v>
      </c>
      <c r="B19101">
        <v>380</v>
      </c>
      <c r="C19101" s="1" t="str">
        <f>HYPERLINK("http://www.rosaceae.org/gb/gbrowse/malus_x_domestica/?name=MDP0000886675","MDP0000886675")</f>
        <v>MDP0000886675</v>
      </c>
      <c r="D19101">
        <v>46.35</v>
      </c>
      <c r="E19101">
        <v>274</v>
      </c>
      <c r="F19101">
        <v>147</v>
      </c>
      <c r="G19101">
        <v>19</v>
      </c>
      <c r="H19101">
        <v>123</v>
      </c>
      <c r="I19101">
        <v>380</v>
      </c>
      <c r="J19101">
        <v>1</v>
      </c>
      <c r="K19101">
        <v>39</v>
      </c>
      <c r="L19101">
        <v>309</v>
      </c>
      <c r="M19101">
        <v>1</v>
      </c>
      <c r="N19101">
        <v>3.2088800000000001E-55</v>
      </c>
      <c r="O19101">
        <v>541</v>
      </c>
    </row>
    <row r="19102" spans="1:15" x14ac:dyDescent="0.25">
      <c r="A19102" t="s">
        <v>19115</v>
      </c>
      <c r="B19102">
        <v>296</v>
      </c>
      <c r="C19102" s="1" t="str">
        <f>HYPERLINK("http://www.rosaceae.org/gb/gbrowse/malus_x_domestica/?name=MDP0000260960","MDP0000260960")</f>
        <v>MDP0000260960</v>
      </c>
      <c r="D19102">
        <v>33.33</v>
      </c>
      <c r="E19102">
        <v>105</v>
      </c>
      <c r="F19102">
        <v>70</v>
      </c>
      <c r="G19102">
        <v>0</v>
      </c>
      <c r="H19102">
        <v>192</v>
      </c>
      <c r="I19102">
        <v>296</v>
      </c>
      <c r="J19102">
        <v>1</v>
      </c>
      <c r="K19102">
        <v>418</v>
      </c>
      <c r="L19102">
        <v>522</v>
      </c>
      <c r="M19102">
        <v>1</v>
      </c>
      <c r="N19102">
        <v>8.4433899999999992E-12</v>
      </c>
      <c r="O19102">
        <v>166</v>
      </c>
    </row>
    <row r="19103" spans="1:15" x14ac:dyDescent="0.25">
      <c r="A19103" t="s">
        <v>19116</v>
      </c>
      <c r="B19103">
        <v>422</v>
      </c>
      <c r="C19103" s="1" t="str">
        <f>HYPERLINK("http://www.rosaceae.org/gb/gbrowse/malus_x_domestica/?name=MDP0000207132","MDP0000207132")</f>
        <v>MDP0000207132</v>
      </c>
      <c r="D19103">
        <v>34.72</v>
      </c>
      <c r="E19103">
        <v>144</v>
      </c>
      <c r="F19103">
        <v>94</v>
      </c>
      <c r="G19103">
        <v>1</v>
      </c>
      <c r="H19103">
        <v>221</v>
      </c>
      <c r="I19103">
        <v>364</v>
      </c>
      <c r="J19103">
        <v>1</v>
      </c>
      <c r="K19103">
        <v>13</v>
      </c>
      <c r="L19103">
        <v>155</v>
      </c>
      <c r="M19103">
        <v>1</v>
      </c>
      <c r="N19103">
        <v>2.2872699999999999E-20</v>
      </c>
      <c r="O19103">
        <v>241</v>
      </c>
    </row>
    <row r="19104" spans="1:15" x14ac:dyDescent="0.25">
      <c r="A19104" t="s">
        <v>19117</v>
      </c>
      <c r="B19104">
        <v>225</v>
      </c>
      <c r="C19104" s="1" t="str">
        <f>HYPERLINK("http://www.rosaceae.org/gb/gbrowse/malus_x_domestica/?name=MDP0000400108","MDP0000400108")</f>
        <v>MDP0000400108</v>
      </c>
      <c r="D19104">
        <v>33.659999999999997</v>
      </c>
      <c r="E19104">
        <v>199</v>
      </c>
      <c r="F19104">
        <v>132</v>
      </c>
      <c r="G19104">
        <v>16</v>
      </c>
      <c r="H19104">
        <v>17</v>
      </c>
      <c r="I19104">
        <v>215</v>
      </c>
      <c r="J19104">
        <v>1</v>
      </c>
      <c r="K19104">
        <v>66</v>
      </c>
      <c r="L19104">
        <v>248</v>
      </c>
      <c r="M19104">
        <v>1</v>
      </c>
      <c r="N19104">
        <v>5.11751E-20</v>
      </c>
      <c r="O19104">
        <v>235</v>
      </c>
    </row>
    <row r="19105" spans="1:15" x14ac:dyDescent="0.25">
      <c r="A19105" t="s">
        <v>19118</v>
      </c>
      <c r="B19105">
        <v>959</v>
      </c>
      <c r="C19105" s="1" t="str">
        <f>HYPERLINK("http://www.rosaceae.org/gb/gbrowse/malus_x_domestica/?name=MDP0000321365","MDP0000321365")</f>
        <v>MDP0000321365</v>
      </c>
      <c r="D19105">
        <v>80.14</v>
      </c>
      <c r="E19105">
        <v>962</v>
      </c>
      <c r="F19105">
        <v>191</v>
      </c>
      <c r="G19105">
        <v>16</v>
      </c>
      <c r="H19105">
        <v>1</v>
      </c>
      <c r="I19105">
        <v>959</v>
      </c>
      <c r="J19105">
        <v>1</v>
      </c>
      <c r="K19105">
        <v>1</v>
      </c>
      <c r="L19105">
        <v>949</v>
      </c>
      <c r="M19105">
        <v>1</v>
      </c>
      <c r="N19105">
        <v>0</v>
      </c>
      <c r="O19105">
        <v>3963</v>
      </c>
    </row>
    <row r="19106" spans="1:15" x14ac:dyDescent="0.25">
      <c r="A19106" t="s">
        <v>19119</v>
      </c>
      <c r="B19106">
        <v>387</v>
      </c>
      <c r="C19106" s="1" t="str">
        <f>HYPERLINK("http://www.rosaceae.org/gb/gbrowse/malus_x_domestica/?name=MDP0000186703","MDP0000186703")</f>
        <v>MDP0000186703</v>
      </c>
      <c r="D19106">
        <v>55.01</v>
      </c>
      <c r="E19106">
        <v>409</v>
      </c>
      <c r="F19106">
        <v>184</v>
      </c>
      <c r="G19106">
        <v>43</v>
      </c>
      <c r="H19106">
        <v>1</v>
      </c>
      <c r="I19106">
        <v>368</v>
      </c>
      <c r="J19106">
        <v>1</v>
      </c>
      <c r="K19106">
        <v>1</v>
      </c>
      <c r="L19106">
        <v>407</v>
      </c>
      <c r="M19106">
        <v>1</v>
      </c>
      <c r="N19106">
        <v>1.40517E-112</v>
      </c>
      <c r="O19106">
        <v>1036</v>
      </c>
    </row>
    <row r="19107" spans="1:15" x14ac:dyDescent="0.25">
      <c r="A19107" t="s">
        <v>19120</v>
      </c>
      <c r="B19107">
        <v>1209</v>
      </c>
      <c r="C19107" s="1" t="str">
        <f>HYPERLINK("http://www.rosaceae.org/gb/gbrowse/malus_x_domestica/?name=MDP0000156606","MDP0000156606")</f>
        <v>MDP0000156606</v>
      </c>
      <c r="D19107">
        <v>60.54</v>
      </c>
      <c r="E19107">
        <v>1247</v>
      </c>
      <c r="F19107">
        <v>492</v>
      </c>
      <c r="G19107">
        <v>107</v>
      </c>
      <c r="H19107">
        <v>1</v>
      </c>
      <c r="I19107">
        <v>1209</v>
      </c>
      <c r="J19107">
        <v>1</v>
      </c>
      <c r="K19107">
        <v>1</v>
      </c>
      <c r="L19107">
        <v>1178</v>
      </c>
      <c r="M19107">
        <v>1</v>
      </c>
      <c r="N19107">
        <v>0</v>
      </c>
      <c r="O19107">
        <v>3544</v>
      </c>
    </row>
    <row r="19108" spans="1:15" x14ac:dyDescent="0.25">
      <c r="A19108" t="s">
        <v>19121</v>
      </c>
      <c r="B19108">
        <v>333</v>
      </c>
      <c r="C19108" s="1" t="str">
        <f>HYPERLINK("http://www.rosaceae.org/gb/gbrowse/malus_x_domestica/?name=MDP0000185125","MDP0000185125")</f>
        <v>MDP0000185125</v>
      </c>
      <c r="D19108">
        <v>26.08</v>
      </c>
      <c r="E19108">
        <v>184</v>
      </c>
      <c r="F19108">
        <v>136</v>
      </c>
      <c r="G19108">
        <v>31</v>
      </c>
      <c r="H19108">
        <v>148</v>
      </c>
      <c r="I19108">
        <v>300</v>
      </c>
      <c r="J19108">
        <v>1</v>
      </c>
      <c r="K19108">
        <v>34</v>
      </c>
      <c r="L19108">
        <v>217</v>
      </c>
      <c r="M19108">
        <v>1</v>
      </c>
      <c r="N19108">
        <v>3.37664E-9</v>
      </c>
      <c r="O19108">
        <v>144</v>
      </c>
    </row>
    <row r="19109" spans="1:15" x14ac:dyDescent="0.25">
      <c r="A19109" t="s">
        <v>19122</v>
      </c>
      <c r="B19109">
        <v>779</v>
      </c>
      <c r="C19109" s="1" t="str">
        <f>HYPERLINK("http://www.rosaceae.org/gb/gbrowse/malus_x_domestica/?name=MDP0000169921","MDP0000169921")</f>
        <v>MDP0000169921</v>
      </c>
      <c r="D19109">
        <v>32.659999999999997</v>
      </c>
      <c r="E19109">
        <v>300</v>
      </c>
      <c r="F19109">
        <v>202</v>
      </c>
      <c r="G19109">
        <v>44</v>
      </c>
      <c r="H19109">
        <v>481</v>
      </c>
      <c r="I19109">
        <v>743</v>
      </c>
      <c r="J19109">
        <v>1</v>
      </c>
      <c r="K19109">
        <v>48</v>
      </c>
      <c r="L19109">
        <v>340</v>
      </c>
      <c r="M19109">
        <v>1</v>
      </c>
      <c r="N19109">
        <v>3.6766700000000002E-36</v>
      </c>
      <c r="O19109">
        <v>380</v>
      </c>
    </row>
    <row r="19110" spans="1:15" x14ac:dyDescent="0.25">
      <c r="A19110" t="s">
        <v>19123</v>
      </c>
      <c r="B19110">
        <v>74</v>
      </c>
      <c r="C19110" s="1" t="str">
        <f>HYPERLINK("http://www.rosaceae.org/gb/gbrowse/malus_x_domestica/?name=MDP0000194110","MDP0000194110")</f>
        <v>MDP0000194110</v>
      </c>
      <c r="D19110">
        <v>49.23</v>
      </c>
      <c r="E19110">
        <v>65</v>
      </c>
      <c r="F19110">
        <v>33</v>
      </c>
      <c r="G19110">
        <v>0</v>
      </c>
      <c r="H19110">
        <v>1</v>
      </c>
      <c r="I19110">
        <v>65</v>
      </c>
      <c r="J19110">
        <v>1</v>
      </c>
      <c r="K19110">
        <v>241</v>
      </c>
      <c r="L19110">
        <v>305</v>
      </c>
      <c r="M19110">
        <v>1</v>
      </c>
      <c r="N19110">
        <v>2.7509800000000002E-13</v>
      </c>
      <c r="O19110">
        <v>172</v>
      </c>
    </row>
    <row r="19111" spans="1:15" x14ac:dyDescent="0.25">
      <c r="A19111" t="s">
        <v>19124</v>
      </c>
      <c r="B19111">
        <v>251</v>
      </c>
      <c r="C19111" s="1" t="str">
        <f>HYPERLINK("http://www.rosaceae.org/gb/gbrowse/malus_x_domestica/?name=MDP0000282274","MDP0000282274")</f>
        <v>MDP0000282274</v>
      </c>
      <c r="D19111">
        <v>38.97</v>
      </c>
      <c r="E19111">
        <v>136</v>
      </c>
      <c r="F19111">
        <v>83</v>
      </c>
      <c r="G19111">
        <v>7</v>
      </c>
      <c r="H19111">
        <v>108</v>
      </c>
      <c r="I19111">
        <v>236</v>
      </c>
      <c r="J19111">
        <v>1</v>
      </c>
      <c r="K19111">
        <v>642</v>
      </c>
      <c r="L19111">
        <v>777</v>
      </c>
      <c r="M19111">
        <v>1</v>
      </c>
      <c r="N19111">
        <v>7.35981E-16</v>
      </c>
      <c r="O19111">
        <v>200</v>
      </c>
    </row>
    <row r="19112" spans="1:15" x14ac:dyDescent="0.25">
      <c r="A19112" t="s">
        <v>19125</v>
      </c>
      <c r="B19112">
        <v>598</v>
      </c>
      <c r="C19112" s="1" t="str">
        <f>HYPERLINK("http://www.rosaceae.org/gb/gbrowse/malus_x_domestica/?name=MDP0000318279","MDP0000318279")</f>
        <v>MDP0000318279</v>
      </c>
      <c r="D19112">
        <v>34.51</v>
      </c>
      <c r="E19112">
        <v>197</v>
      </c>
      <c r="F19112">
        <v>129</v>
      </c>
      <c r="G19112">
        <v>2</v>
      </c>
      <c r="H19112">
        <v>119</v>
      </c>
      <c r="I19112">
        <v>315</v>
      </c>
      <c r="J19112">
        <v>1</v>
      </c>
      <c r="K19112">
        <v>126</v>
      </c>
      <c r="L19112">
        <v>320</v>
      </c>
      <c r="M19112">
        <v>1</v>
      </c>
      <c r="N19112">
        <v>3.9866999999999998E-31</v>
      </c>
      <c r="O19112">
        <v>336</v>
      </c>
    </row>
    <row r="19113" spans="1:15" x14ac:dyDescent="0.25">
      <c r="A19113" t="s">
        <v>19126</v>
      </c>
      <c r="B19113">
        <v>345</v>
      </c>
      <c r="C19113" s="1" t="str">
        <f>HYPERLINK("http://www.rosaceae.org/gb/gbrowse/malus_x_domestica/?name=MDP0000130897","MDP0000130897")</f>
        <v>MDP0000130897</v>
      </c>
      <c r="D19113">
        <v>40.74</v>
      </c>
      <c r="E19113">
        <v>135</v>
      </c>
      <c r="F19113">
        <v>80</v>
      </c>
      <c r="G19113">
        <v>8</v>
      </c>
      <c r="H19113">
        <v>76</v>
      </c>
      <c r="I19113">
        <v>210</v>
      </c>
      <c r="J19113">
        <v>1</v>
      </c>
      <c r="K19113">
        <v>41</v>
      </c>
      <c r="L19113">
        <v>167</v>
      </c>
      <c r="M19113">
        <v>1</v>
      </c>
      <c r="N19113">
        <v>1.5115299999999999E-22</v>
      </c>
      <c r="O19113">
        <v>259</v>
      </c>
    </row>
    <row r="19114" spans="1:15" x14ac:dyDescent="0.25">
      <c r="A19114" t="s">
        <v>19127</v>
      </c>
      <c r="B19114">
        <v>359</v>
      </c>
      <c r="C19114" s="1" t="str">
        <f>HYPERLINK("http://www.rosaceae.org/gb/gbrowse/malus_x_domestica/?name=MDP0000120067","MDP0000120067")</f>
        <v>MDP0000120067</v>
      </c>
      <c r="D19114">
        <v>54.16</v>
      </c>
      <c r="E19114">
        <v>240</v>
      </c>
      <c r="F19114">
        <v>110</v>
      </c>
      <c r="G19114">
        <v>26</v>
      </c>
      <c r="H19114">
        <v>94</v>
      </c>
      <c r="I19114">
        <v>325</v>
      </c>
      <c r="J19114">
        <v>1</v>
      </c>
      <c r="K19114">
        <v>63</v>
      </c>
      <c r="L19114">
        <v>284</v>
      </c>
      <c r="M19114">
        <v>1</v>
      </c>
      <c r="N19114">
        <v>5.5286799999999995E-63</v>
      </c>
      <c r="O19114">
        <v>608</v>
      </c>
    </row>
    <row r="19115" spans="1:15" x14ac:dyDescent="0.25">
      <c r="A19115" t="s">
        <v>19128</v>
      </c>
      <c r="B19115">
        <v>803</v>
      </c>
      <c r="C19115" s="1" t="str">
        <f>HYPERLINK("http://www.rosaceae.org/gb/gbrowse/malus_x_domestica/?name=MDP0000253735","MDP0000253735")</f>
        <v>MDP0000253735</v>
      </c>
      <c r="D19115">
        <v>62.14</v>
      </c>
      <c r="E19115">
        <v>811</v>
      </c>
      <c r="F19115">
        <v>307</v>
      </c>
      <c r="G19115">
        <v>37</v>
      </c>
      <c r="H19115">
        <v>1</v>
      </c>
      <c r="I19115">
        <v>803</v>
      </c>
      <c r="J19115">
        <v>1</v>
      </c>
      <c r="K19115">
        <v>1</v>
      </c>
      <c r="L19115">
        <v>782</v>
      </c>
      <c r="M19115">
        <v>1</v>
      </c>
      <c r="N19115">
        <v>0</v>
      </c>
      <c r="O19115">
        <v>2443</v>
      </c>
    </row>
    <row r="19116" spans="1:15" x14ac:dyDescent="0.25">
      <c r="A19116" t="s">
        <v>19129</v>
      </c>
      <c r="B19116">
        <v>360</v>
      </c>
      <c r="C19116" s="1" t="str">
        <f>HYPERLINK("http://www.rosaceae.org/gb/gbrowse/malus_x_domestica/?name=MDP0000142599","MDP0000142599")</f>
        <v>MDP0000142599</v>
      </c>
      <c r="D19116">
        <v>82.17</v>
      </c>
      <c r="E19116">
        <v>359</v>
      </c>
      <c r="F19116">
        <v>64</v>
      </c>
      <c r="G19116">
        <v>1</v>
      </c>
      <c r="H19116">
        <v>2</v>
      </c>
      <c r="I19116">
        <v>359</v>
      </c>
      <c r="J19116">
        <v>1</v>
      </c>
      <c r="K19116">
        <v>661</v>
      </c>
      <c r="L19116">
        <v>1019</v>
      </c>
      <c r="M19116">
        <v>1</v>
      </c>
      <c r="N19116">
        <v>3.0466199999999999E-175</v>
      </c>
      <c r="O19116">
        <v>1576</v>
      </c>
    </row>
    <row r="19117" spans="1:15" x14ac:dyDescent="0.25">
      <c r="A19117" t="s">
        <v>19130</v>
      </c>
      <c r="B19117">
        <v>404</v>
      </c>
      <c r="C19117" s="1" t="str">
        <f>HYPERLINK("http://www.rosaceae.org/gb/gbrowse/malus_x_domestica/?name=MDP0000136463","MDP0000136463")</f>
        <v>MDP0000136463</v>
      </c>
      <c r="D19117">
        <v>49.13</v>
      </c>
      <c r="E19117">
        <v>405</v>
      </c>
      <c r="F19117">
        <v>206</v>
      </c>
      <c r="G19117">
        <v>16</v>
      </c>
      <c r="H19117">
        <v>5</v>
      </c>
      <c r="I19117">
        <v>402</v>
      </c>
      <c r="J19117">
        <v>1</v>
      </c>
      <c r="K19117">
        <v>5</v>
      </c>
      <c r="L19117">
        <v>400</v>
      </c>
      <c r="M19117">
        <v>1</v>
      </c>
      <c r="N19117">
        <v>2.9459300000000002E-96</v>
      </c>
      <c r="O19117">
        <v>896</v>
      </c>
    </row>
    <row r="19118" spans="1:15" x14ac:dyDescent="0.25">
      <c r="A19118" t="s">
        <v>19131</v>
      </c>
      <c r="B19118">
        <v>221</v>
      </c>
      <c r="C19118" s="1" t="str">
        <f>HYPERLINK("http://www.rosaceae.org/gb/gbrowse/malus_x_domestica/?name=MDP0000779839","MDP0000779839")</f>
        <v>MDP0000779839</v>
      </c>
      <c r="D19118">
        <v>50</v>
      </c>
      <c r="E19118">
        <v>56</v>
      </c>
      <c r="F19118">
        <v>28</v>
      </c>
      <c r="G19118">
        <v>2</v>
      </c>
      <c r="H19118">
        <v>152</v>
      </c>
      <c r="I19118">
        <v>205</v>
      </c>
      <c r="J19118">
        <v>1</v>
      </c>
      <c r="K19118">
        <v>102</v>
      </c>
      <c r="L19118">
        <v>157</v>
      </c>
      <c r="M19118">
        <v>1</v>
      </c>
      <c r="N19118">
        <v>1.35737E-8</v>
      </c>
      <c r="O19118">
        <v>136</v>
      </c>
    </row>
    <row r="19119" spans="1:15" x14ac:dyDescent="0.25">
      <c r="A19119" t="s">
        <v>19132</v>
      </c>
      <c r="B19119">
        <v>489</v>
      </c>
      <c r="C19119" s="1" t="str">
        <f>HYPERLINK("http://www.rosaceae.org/gb/gbrowse/malus_x_domestica/?name=MDP0000180536","MDP0000180536")</f>
        <v>MDP0000180536</v>
      </c>
      <c r="D19119">
        <v>79.78</v>
      </c>
      <c r="E19119">
        <v>465</v>
      </c>
      <c r="F19119">
        <v>94</v>
      </c>
      <c r="G19119">
        <v>1</v>
      </c>
      <c r="H19119">
        <v>26</v>
      </c>
      <c r="I19119">
        <v>489</v>
      </c>
      <c r="J19119">
        <v>1</v>
      </c>
      <c r="K19119">
        <v>24</v>
      </c>
      <c r="L19119">
        <v>488</v>
      </c>
      <c r="M19119">
        <v>1</v>
      </c>
      <c r="N19119">
        <v>0</v>
      </c>
      <c r="O19119">
        <v>2029</v>
      </c>
    </row>
    <row r="19120" spans="1:15" x14ac:dyDescent="0.25">
      <c r="A19120" t="s">
        <v>19133</v>
      </c>
      <c r="B19120">
        <v>288</v>
      </c>
      <c r="C19120" s="1" t="str">
        <f>HYPERLINK("http://www.rosaceae.org/gb/gbrowse/malus_x_domestica/?name=MDP0000429215","MDP0000429215")</f>
        <v>MDP0000429215</v>
      </c>
      <c r="D19120">
        <v>72.150000000000006</v>
      </c>
      <c r="E19120">
        <v>79</v>
      </c>
      <c r="F19120">
        <v>22</v>
      </c>
      <c r="G19120">
        <v>6</v>
      </c>
      <c r="H19120">
        <v>12</v>
      </c>
      <c r="I19120">
        <v>90</v>
      </c>
      <c r="J19120">
        <v>1</v>
      </c>
      <c r="K19120">
        <v>16</v>
      </c>
      <c r="L19120">
        <v>88</v>
      </c>
      <c r="M19120">
        <v>1</v>
      </c>
      <c r="N19120">
        <v>3.7406100000000001E-29</v>
      </c>
      <c r="O19120">
        <v>315</v>
      </c>
    </row>
    <row r="19121" spans="1:15" x14ac:dyDescent="0.25">
      <c r="A19121" t="s">
        <v>19134</v>
      </c>
      <c r="B19121">
        <v>538</v>
      </c>
      <c r="C19121" s="1" t="str">
        <f>HYPERLINK("http://www.rosaceae.org/gb/gbrowse/malus_x_domestica/?name=MDP0000172014","MDP0000172014")</f>
        <v>MDP0000172014</v>
      </c>
      <c r="D19121">
        <v>83.26</v>
      </c>
      <c r="E19121">
        <v>472</v>
      </c>
      <c r="F19121">
        <v>79</v>
      </c>
      <c r="G19121">
        <v>4</v>
      </c>
      <c r="H19121">
        <v>70</v>
      </c>
      <c r="I19121">
        <v>538</v>
      </c>
      <c r="J19121">
        <v>1</v>
      </c>
      <c r="K19121">
        <v>24</v>
      </c>
      <c r="L19121">
        <v>494</v>
      </c>
      <c r="M19121">
        <v>1</v>
      </c>
      <c r="N19121">
        <v>0</v>
      </c>
      <c r="O19121">
        <v>2109</v>
      </c>
    </row>
    <row r="19122" spans="1:15" x14ac:dyDescent="0.25">
      <c r="A19122" t="s">
        <v>19135</v>
      </c>
      <c r="B19122">
        <v>235</v>
      </c>
      <c r="C19122" s="1" t="str">
        <f>HYPERLINK("http://www.rosaceae.org/gb/gbrowse/malus_x_domestica/?name=MDP0000329239","MDP0000329239")</f>
        <v>MDP0000329239</v>
      </c>
      <c r="D19122">
        <v>56.38</v>
      </c>
      <c r="E19122">
        <v>227</v>
      </c>
      <c r="F19122">
        <v>99</v>
      </c>
      <c r="G19122">
        <v>2</v>
      </c>
      <c r="H19122">
        <v>10</v>
      </c>
      <c r="I19122">
        <v>234</v>
      </c>
      <c r="J19122">
        <v>1</v>
      </c>
      <c r="K19122">
        <v>20</v>
      </c>
      <c r="L19122">
        <v>246</v>
      </c>
      <c r="M19122">
        <v>1</v>
      </c>
      <c r="N19122">
        <v>1.2464700000000001E-63</v>
      </c>
      <c r="O19122">
        <v>611</v>
      </c>
    </row>
    <row r="19123" spans="1:15" x14ac:dyDescent="0.25">
      <c r="A19123" t="s">
        <v>19136</v>
      </c>
      <c r="B19123">
        <v>174</v>
      </c>
      <c r="C19123" s="1" t="str">
        <f>HYPERLINK("http://www.rosaceae.org/gb/gbrowse/malus_x_domestica/?name=MDP0000212527","MDP0000212527")</f>
        <v>MDP0000212527</v>
      </c>
      <c r="D19123">
        <v>81.25</v>
      </c>
      <c r="E19123">
        <v>32</v>
      </c>
      <c r="F19123">
        <v>6</v>
      </c>
      <c r="G19123">
        <v>0</v>
      </c>
      <c r="H19123">
        <v>19</v>
      </c>
      <c r="I19123">
        <v>50</v>
      </c>
      <c r="J19123">
        <v>1</v>
      </c>
      <c r="K19123">
        <v>13</v>
      </c>
      <c r="L19123">
        <v>44</v>
      </c>
      <c r="M19123">
        <v>1</v>
      </c>
      <c r="N19123">
        <v>2.7509700000000001E-9</v>
      </c>
      <c r="O19123">
        <v>141</v>
      </c>
    </row>
    <row r="19124" spans="1:15" x14ac:dyDescent="0.25">
      <c r="A19124" t="s">
        <v>19137</v>
      </c>
      <c r="B19124">
        <v>512</v>
      </c>
      <c r="C19124" s="1" t="str">
        <f>HYPERLINK("http://www.rosaceae.org/gb/gbrowse/malus_x_domestica/?name=MDP0000298577","MDP0000298577")</f>
        <v>MDP0000298577</v>
      </c>
      <c r="D19124">
        <v>82.54</v>
      </c>
      <c r="E19124">
        <v>510</v>
      </c>
      <c r="F19124">
        <v>89</v>
      </c>
      <c r="G19124">
        <v>1</v>
      </c>
      <c r="H19124">
        <v>4</v>
      </c>
      <c r="I19124">
        <v>512</v>
      </c>
      <c r="J19124">
        <v>1</v>
      </c>
      <c r="K19124">
        <v>200</v>
      </c>
      <c r="L19124">
        <v>709</v>
      </c>
      <c r="M19124">
        <v>1</v>
      </c>
      <c r="N19124">
        <v>0</v>
      </c>
      <c r="O19124">
        <v>2193</v>
      </c>
    </row>
    <row r="19125" spans="1:15" x14ac:dyDescent="0.25">
      <c r="A19125" t="s">
        <v>19138</v>
      </c>
      <c r="B19125">
        <v>269</v>
      </c>
      <c r="C19125" s="1" t="str">
        <f>HYPERLINK("http://www.rosaceae.org/gb/gbrowse/malus_x_domestica/?name=MDP0000562741","MDP0000562741")</f>
        <v>MDP0000562741</v>
      </c>
      <c r="D19125">
        <v>72.94</v>
      </c>
      <c r="E19125">
        <v>85</v>
      </c>
      <c r="F19125">
        <v>23</v>
      </c>
      <c r="G19125">
        <v>10</v>
      </c>
      <c r="H19125">
        <v>163</v>
      </c>
      <c r="I19125">
        <v>247</v>
      </c>
      <c r="J19125">
        <v>1</v>
      </c>
      <c r="K19125">
        <v>1</v>
      </c>
      <c r="L19125">
        <v>75</v>
      </c>
      <c r="M19125">
        <v>1</v>
      </c>
      <c r="N19125">
        <v>4.5365199999999999E-28</v>
      </c>
      <c r="O19125">
        <v>305</v>
      </c>
    </row>
    <row r="19126" spans="1:15" x14ac:dyDescent="0.25">
      <c r="A19126" t="s">
        <v>19139</v>
      </c>
      <c r="B19126">
        <v>1048</v>
      </c>
      <c r="C19126" s="1" t="str">
        <f>HYPERLINK("http://www.rosaceae.org/gb/gbrowse/malus_x_domestica/?name=MDP0000178245","MDP0000178245")</f>
        <v>MDP0000178245</v>
      </c>
      <c r="D19126">
        <v>60.89</v>
      </c>
      <c r="E19126">
        <v>1069</v>
      </c>
      <c r="F19126">
        <v>418</v>
      </c>
      <c r="G19126">
        <v>41</v>
      </c>
      <c r="H19126">
        <v>1</v>
      </c>
      <c r="I19126">
        <v>1047</v>
      </c>
      <c r="J19126">
        <v>1</v>
      </c>
      <c r="K19126">
        <v>1</v>
      </c>
      <c r="L19126">
        <v>1050</v>
      </c>
      <c r="M19126">
        <v>1</v>
      </c>
      <c r="N19126">
        <v>0</v>
      </c>
      <c r="O19126">
        <v>3029</v>
      </c>
    </row>
    <row r="19127" spans="1:15" x14ac:dyDescent="0.25">
      <c r="A19127" t="s">
        <v>19140</v>
      </c>
      <c r="B19127">
        <v>791</v>
      </c>
      <c r="C19127" s="1" t="str">
        <f>HYPERLINK("http://www.rosaceae.org/gb/gbrowse/malus_x_domestica/?name=MDP0000613486","MDP0000613486")</f>
        <v>MDP0000613486</v>
      </c>
      <c r="D19127">
        <v>42.82</v>
      </c>
      <c r="E19127">
        <v>815</v>
      </c>
      <c r="F19127">
        <v>466</v>
      </c>
      <c r="G19127">
        <v>96</v>
      </c>
      <c r="H19127">
        <v>6</v>
      </c>
      <c r="I19127">
        <v>764</v>
      </c>
      <c r="J19127">
        <v>1</v>
      </c>
      <c r="K19127">
        <v>39</v>
      </c>
      <c r="L19127">
        <v>813</v>
      </c>
      <c r="M19127">
        <v>1</v>
      </c>
      <c r="N19127">
        <v>1.6063100000000001E-162</v>
      </c>
      <c r="O19127">
        <v>1470</v>
      </c>
    </row>
    <row r="19128" spans="1:15" x14ac:dyDescent="0.25">
      <c r="A19128" t="s">
        <v>19141</v>
      </c>
      <c r="B19128">
        <v>445</v>
      </c>
      <c r="C19128" s="1" t="str">
        <f>HYPERLINK("http://www.rosaceae.org/gb/gbrowse/malus_x_domestica/?name=MDP0000563698","MDP0000563698")</f>
        <v>MDP0000563698</v>
      </c>
      <c r="D19128">
        <v>39.450000000000003</v>
      </c>
      <c r="E19128">
        <v>441</v>
      </c>
      <c r="F19128">
        <v>267</v>
      </c>
      <c r="G19128">
        <v>45</v>
      </c>
      <c r="H19128">
        <v>1</v>
      </c>
      <c r="I19128">
        <v>415</v>
      </c>
      <c r="J19128">
        <v>1</v>
      </c>
      <c r="K19128">
        <v>21</v>
      </c>
      <c r="L19128">
        <v>442</v>
      </c>
      <c r="M19128">
        <v>1</v>
      </c>
      <c r="N19128">
        <v>2.9121499999999999E-68</v>
      </c>
      <c r="O19128">
        <v>655</v>
      </c>
    </row>
    <row r="19129" spans="1:15" x14ac:dyDescent="0.25">
      <c r="A19129" t="s">
        <v>19142</v>
      </c>
      <c r="B19129">
        <v>915</v>
      </c>
      <c r="C19129" s="1" t="str">
        <f>HYPERLINK("http://www.rosaceae.org/gb/gbrowse/malus_x_domestica/?name=MDP0000320243","MDP0000320243")</f>
        <v>MDP0000320243</v>
      </c>
      <c r="D19129">
        <v>71.73</v>
      </c>
      <c r="E19129">
        <v>927</v>
      </c>
      <c r="F19129">
        <v>262</v>
      </c>
      <c r="G19129">
        <v>110</v>
      </c>
      <c r="H19129">
        <v>66</v>
      </c>
      <c r="I19129">
        <v>915</v>
      </c>
      <c r="J19129">
        <v>1</v>
      </c>
      <c r="K19129">
        <v>1</v>
      </c>
      <c r="L19129">
        <v>894</v>
      </c>
      <c r="M19129">
        <v>1</v>
      </c>
      <c r="N19129">
        <v>0</v>
      </c>
      <c r="O19129">
        <v>3265</v>
      </c>
    </row>
    <row r="19130" spans="1:15" x14ac:dyDescent="0.25">
      <c r="A19130" t="s">
        <v>19143</v>
      </c>
      <c r="B19130">
        <v>319</v>
      </c>
      <c r="C19130" s="1" t="str">
        <f>HYPERLINK("http://www.rosaceae.org/gb/gbrowse/malus_x_domestica/?name=MDP0000270524","MDP0000270524")</f>
        <v>MDP0000270524</v>
      </c>
      <c r="D19130">
        <v>70.58</v>
      </c>
      <c r="E19130">
        <v>323</v>
      </c>
      <c r="F19130">
        <v>95</v>
      </c>
      <c r="G19130">
        <v>41</v>
      </c>
      <c r="H19130">
        <v>1</v>
      </c>
      <c r="I19130">
        <v>319</v>
      </c>
      <c r="J19130">
        <v>1</v>
      </c>
      <c r="K19130">
        <v>1</v>
      </c>
      <c r="L19130">
        <v>286</v>
      </c>
      <c r="M19130">
        <v>1</v>
      </c>
      <c r="N19130">
        <v>6.7762100000000005E-123</v>
      </c>
      <c r="O19130">
        <v>1124</v>
      </c>
    </row>
    <row r="19131" spans="1:15" x14ac:dyDescent="0.25">
      <c r="A19131" t="s">
        <v>19144</v>
      </c>
      <c r="B19131">
        <v>339</v>
      </c>
      <c r="C19131" s="1" t="str">
        <f>HYPERLINK("http://www.rosaceae.org/gb/gbrowse/malus_x_domestica/?name=MDP0000318637","MDP0000318637")</f>
        <v>MDP0000318637</v>
      </c>
      <c r="D19131">
        <v>45.45</v>
      </c>
      <c r="E19131">
        <v>286</v>
      </c>
      <c r="F19131">
        <v>156</v>
      </c>
      <c r="G19131">
        <v>33</v>
      </c>
      <c r="H19131">
        <v>5</v>
      </c>
      <c r="I19131">
        <v>262</v>
      </c>
      <c r="J19131">
        <v>1</v>
      </c>
      <c r="K19131">
        <v>138</v>
      </c>
      <c r="L19131">
        <v>418</v>
      </c>
      <c r="M19131">
        <v>1</v>
      </c>
      <c r="N19131">
        <v>2.4482400000000002E-56</v>
      </c>
      <c r="O19131">
        <v>550</v>
      </c>
    </row>
    <row r="19132" spans="1:15" x14ac:dyDescent="0.25">
      <c r="A19132" t="s">
        <v>19145</v>
      </c>
      <c r="B19132">
        <v>386</v>
      </c>
      <c r="C19132" s="1" t="str">
        <f>HYPERLINK("http://www.rosaceae.org/gb/gbrowse/malus_x_domestica/?name=MDP0000263921","MDP0000263921")</f>
        <v>MDP0000263921</v>
      </c>
      <c r="D19132">
        <v>64.22</v>
      </c>
      <c r="E19132">
        <v>341</v>
      </c>
      <c r="F19132">
        <v>122</v>
      </c>
      <c r="G19132">
        <v>33</v>
      </c>
      <c r="H19132">
        <v>47</v>
      </c>
      <c r="I19132">
        <v>386</v>
      </c>
      <c r="J19132">
        <v>1</v>
      </c>
      <c r="K19132">
        <v>1</v>
      </c>
      <c r="L19132">
        <v>309</v>
      </c>
      <c r="M19132">
        <v>1</v>
      </c>
      <c r="N19132">
        <v>1.58687E-112</v>
      </c>
      <c r="O19132">
        <v>1036</v>
      </c>
    </row>
    <row r="19133" spans="1:15" x14ac:dyDescent="0.25">
      <c r="A19133" t="s">
        <v>19146</v>
      </c>
      <c r="B19133">
        <v>265</v>
      </c>
      <c r="C19133" s="1" t="str">
        <f>HYPERLINK("http://www.rosaceae.org/gb/gbrowse/malus_x_domestica/?name=MDP0000298680","MDP0000298680")</f>
        <v>MDP0000298680</v>
      </c>
      <c r="D19133">
        <v>56</v>
      </c>
      <c r="E19133">
        <v>250</v>
      </c>
      <c r="F19133">
        <v>110</v>
      </c>
      <c r="G19133">
        <v>29</v>
      </c>
      <c r="H19133">
        <v>39</v>
      </c>
      <c r="I19133">
        <v>262</v>
      </c>
      <c r="J19133">
        <v>1</v>
      </c>
      <c r="K19133">
        <v>188</v>
      </c>
      <c r="L19133">
        <v>434</v>
      </c>
      <c r="M19133">
        <v>1</v>
      </c>
      <c r="N19133">
        <v>1.4051199999999999E-73</v>
      </c>
      <c r="O19133">
        <v>698</v>
      </c>
    </row>
    <row r="19134" spans="1:15" x14ac:dyDescent="0.25">
      <c r="A19134" t="s">
        <v>19147</v>
      </c>
      <c r="B19134">
        <v>493</v>
      </c>
      <c r="C19134" s="1" t="str">
        <f>HYPERLINK("http://www.rosaceae.org/gb/gbrowse/malus_x_domestica/?name=MDP0000146411","MDP0000146411")</f>
        <v>MDP0000146411</v>
      </c>
      <c r="D19134">
        <v>90.19</v>
      </c>
      <c r="E19134">
        <v>367</v>
      </c>
      <c r="F19134">
        <v>36</v>
      </c>
      <c r="G19134">
        <v>16</v>
      </c>
      <c r="H19134">
        <v>125</v>
      </c>
      <c r="I19134">
        <v>491</v>
      </c>
      <c r="J19134">
        <v>1</v>
      </c>
      <c r="K19134">
        <v>21</v>
      </c>
      <c r="L19134">
        <v>371</v>
      </c>
      <c r="M19134">
        <v>1</v>
      </c>
      <c r="N19134">
        <v>0</v>
      </c>
      <c r="O19134">
        <v>1737</v>
      </c>
    </row>
    <row r="19135" spans="1:15" x14ac:dyDescent="0.25">
      <c r="A19135" t="s">
        <v>19148</v>
      </c>
      <c r="B19135">
        <v>270</v>
      </c>
      <c r="C19135" s="1" t="str">
        <f>HYPERLINK("http://www.rosaceae.org/gb/gbrowse/malus_x_domestica/?name=MDP0000319187","MDP0000319187")</f>
        <v>MDP0000319187</v>
      </c>
      <c r="D19135">
        <v>64.44</v>
      </c>
      <c r="E19135">
        <v>270</v>
      </c>
      <c r="F19135">
        <v>96</v>
      </c>
      <c r="G19135">
        <v>13</v>
      </c>
      <c r="H19135">
        <v>1</v>
      </c>
      <c r="I19135">
        <v>270</v>
      </c>
      <c r="J19135">
        <v>1</v>
      </c>
      <c r="K19135">
        <v>105</v>
      </c>
      <c r="L19135">
        <v>361</v>
      </c>
      <c r="M19135">
        <v>1</v>
      </c>
      <c r="N19135">
        <v>1.04262E-84</v>
      </c>
      <c r="O19135">
        <v>794</v>
      </c>
    </row>
    <row r="19136" spans="1:15" x14ac:dyDescent="0.25">
      <c r="A19136" t="s">
        <v>19149</v>
      </c>
      <c r="B19136">
        <v>336</v>
      </c>
      <c r="C19136" s="1" t="str">
        <f>HYPERLINK("http://www.rosaceae.org/gb/gbrowse/malus_x_domestica/?name=MDP0000243840","MDP0000243840")</f>
        <v>MDP0000243840</v>
      </c>
      <c r="D19136">
        <v>44.17</v>
      </c>
      <c r="E19136">
        <v>206</v>
      </c>
      <c r="F19136">
        <v>115</v>
      </c>
      <c r="G19136">
        <v>30</v>
      </c>
      <c r="H19136">
        <v>1</v>
      </c>
      <c r="I19136">
        <v>176</v>
      </c>
      <c r="J19136">
        <v>1</v>
      </c>
      <c r="K19136">
        <v>1</v>
      </c>
      <c r="L19136">
        <v>206</v>
      </c>
      <c r="M19136">
        <v>1</v>
      </c>
      <c r="N19136">
        <v>2.3498799999999999E-38</v>
      </c>
      <c r="O19136">
        <v>395</v>
      </c>
    </row>
    <row r="19137" spans="1:15" x14ac:dyDescent="0.25">
      <c r="A19137" t="s">
        <v>19150</v>
      </c>
      <c r="B19137">
        <v>402</v>
      </c>
      <c r="C19137" s="1" t="str">
        <f>HYPERLINK("http://www.rosaceae.org/gb/gbrowse/malus_x_domestica/?name=MDP0000312185","MDP0000312185")</f>
        <v>MDP0000312185</v>
      </c>
      <c r="D19137">
        <v>62.19</v>
      </c>
      <c r="E19137">
        <v>328</v>
      </c>
      <c r="F19137">
        <v>124</v>
      </c>
      <c r="G19137">
        <v>6</v>
      </c>
      <c r="H19137">
        <v>72</v>
      </c>
      <c r="I19137">
        <v>399</v>
      </c>
      <c r="J19137">
        <v>1</v>
      </c>
      <c r="K19137">
        <v>8</v>
      </c>
      <c r="L19137">
        <v>329</v>
      </c>
      <c r="M19137">
        <v>1</v>
      </c>
      <c r="N19137">
        <v>8.8914199999999997E-119</v>
      </c>
      <c r="O19137">
        <v>1090</v>
      </c>
    </row>
    <row r="19138" spans="1:15" x14ac:dyDescent="0.25">
      <c r="A19138" t="s">
        <v>19151</v>
      </c>
      <c r="B19138">
        <v>236</v>
      </c>
      <c r="C19138" s="1" t="str">
        <f>HYPERLINK("http://www.rosaceae.org/gb/gbrowse/malus_x_domestica/?name=MDP0000179318","MDP0000179318")</f>
        <v>MDP0000179318</v>
      </c>
      <c r="D19138">
        <v>84.61</v>
      </c>
      <c r="E19138">
        <v>234</v>
      </c>
      <c r="F19138">
        <v>36</v>
      </c>
      <c r="G19138">
        <v>1</v>
      </c>
      <c r="H19138">
        <v>1</v>
      </c>
      <c r="I19138">
        <v>234</v>
      </c>
      <c r="J19138">
        <v>1</v>
      </c>
      <c r="K19138">
        <v>1</v>
      </c>
      <c r="L19138">
        <v>233</v>
      </c>
      <c r="M19138">
        <v>1</v>
      </c>
      <c r="N19138">
        <v>3.4528300000000003E-114</v>
      </c>
      <c r="O19138">
        <v>1047</v>
      </c>
    </row>
    <row r="19139" spans="1:15" x14ac:dyDescent="0.25">
      <c r="A19139" t="s">
        <v>19152</v>
      </c>
      <c r="B19139">
        <v>1975</v>
      </c>
      <c r="C19139" s="1" t="str">
        <f>HYPERLINK("http://www.rosaceae.org/gb/gbrowse/malus_x_domestica/?name=MDP0000319871","MDP0000319871")</f>
        <v>MDP0000319871</v>
      </c>
      <c r="D19139">
        <v>64.63</v>
      </c>
      <c r="E19139">
        <v>1213</v>
      </c>
      <c r="F19139">
        <v>429</v>
      </c>
      <c r="G19139">
        <v>48</v>
      </c>
      <c r="H19139">
        <v>20</v>
      </c>
      <c r="I19139">
        <v>1189</v>
      </c>
      <c r="J19139">
        <v>1</v>
      </c>
      <c r="K19139">
        <v>14</v>
      </c>
      <c r="L19139">
        <v>1221</v>
      </c>
      <c r="M19139">
        <v>1</v>
      </c>
      <c r="N19139">
        <v>0</v>
      </c>
      <c r="O19139">
        <v>3873</v>
      </c>
    </row>
    <row r="19140" spans="1:15" x14ac:dyDescent="0.25">
      <c r="A19140" t="s">
        <v>19153</v>
      </c>
      <c r="B19140">
        <v>1301</v>
      </c>
      <c r="C19140" s="1" t="str">
        <f>HYPERLINK("http://www.rosaceae.org/gb/gbrowse/malus_x_domestica/?name=MDP0000129396","MDP0000129396")</f>
        <v>MDP0000129396</v>
      </c>
      <c r="D19140">
        <v>78.48</v>
      </c>
      <c r="E19140">
        <v>1213</v>
      </c>
      <c r="F19140">
        <v>261</v>
      </c>
      <c r="G19140">
        <v>44</v>
      </c>
      <c r="H19140">
        <v>118</v>
      </c>
      <c r="I19140">
        <v>1301</v>
      </c>
      <c r="J19140">
        <v>1</v>
      </c>
      <c r="K19140">
        <v>121</v>
      </c>
      <c r="L19140">
        <v>1318</v>
      </c>
      <c r="M19140">
        <v>1</v>
      </c>
      <c r="N19140">
        <v>0</v>
      </c>
      <c r="O19140">
        <v>4777</v>
      </c>
    </row>
    <row r="19141" spans="1:15" x14ac:dyDescent="0.25">
      <c r="A19141" t="s">
        <v>19154</v>
      </c>
      <c r="B19141">
        <v>111</v>
      </c>
      <c r="C19141" s="1" t="str">
        <f>HYPERLINK("http://www.rosaceae.org/gb/gbrowse/malus_x_domestica/?name=MDP0000538514","MDP0000538514")</f>
        <v>MDP0000538514</v>
      </c>
      <c r="D19141">
        <v>46.47</v>
      </c>
      <c r="E19141">
        <v>71</v>
      </c>
      <c r="F19141">
        <v>38</v>
      </c>
      <c r="G19141">
        <v>5</v>
      </c>
      <c r="H19141">
        <v>41</v>
      </c>
      <c r="I19141">
        <v>106</v>
      </c>
      <c r="J19141">
        <v>1</v>
      </c>
      <c r="K19141">
        <v>740</v>
      </c>
      <c r="L19141">
        <v>810</v>
      </c>
      <c r="M19141">
        <v>1</v>
      </c>
      <c r="N19141">
        <v>1.6851999999999999E-12</v>
      </c>
      <c r="O19141">
        <v>165</v>
      </c>
    </row>
    <row r="19142" spans="1:15" x14ac:dyDescent="0.25">
      <c r="A19142" t="s">
        <v>19155</v>
      </c>
      <c r="B19142">
        <v>1055</v>
      </c>
      <c r="C19142" s="1" t="str">
        <f>HYPERLINK("http://www.rosaceae.org/gb/gbrowse/malus_x_domestica/?name=MDP0000284363","MDP0000284363")</f>
        <v>MDP0000284363</v>
      </c>
      <c r="D19142">
        <v>80.47</v>
      </c>
      <c r="E19142">
        <v>420</v>
      </c>
      <c r="F19142">
        <v>82</v>
      </c>
      <c r="G19142">
        <v>19</v>
      </c>
      <c r="H19142">
        <v>1</v>
      </c>
      <c r="I19142">
        <v>417</v>
      </c>
      <c r="J19142">
        <v>1</v>
      </c>
      <c r="K19142">
        <v>624</v>
      </c>
      <c r="L19142">
        <v>1027</v>
      </c>
      <c r="M19142">
        <v>1</v>
      </c>
      <c r="N19142">
        <v>0</v>
      </c>
      <c r="O19142">
        <v>1789</v>
      </c>
    </row>
    <row r="19143" spans="1:15" x14ac:dyDescent="0.25">
      <c r="A19143" t="s">
        <v>19156</v>
      </c>
      <c r="B19143">
        <v>76</v>
      </c>
      <c r="C19143" s="1" t="str">
        <f>HYPERLINK("http://www.rosaceae.org/gb/gbrowse/malus_x_domestica/?name=MDP0000675528","MDP0000675528")</f>
        <v>MDP0000675528</v>
      </c>
      <c r="D19143">
        <v>54.38</v>
      </c>
      <c r="E19143">
        <v>57</v>
      </c>
      <c r="F19143">
        <v>26</v>
      </c>
      <c r="G19143">
        <v>1</v>
      </c>
      <c r="H19143">
        <v>1</v>
      </c>
      <c r="I19143">
        <v>56</v>
      </c>
      <c r="J19143">
        <v>1</v>
      </c>
      <c r="K19143">
        <v>44</v>
      </c>
      <c r="L19143">
        <v>100</v>
      </c>
      <c r="M19143">
        <v>1</v>
      </c>
      <c r="N19143">
        <v>5.7504300000000004E-10</v>
      </c>
      <c r="O19143">
        <v>143</v>
      </c>
    </row>
    <row r="19144" spans="1:15" x14ac:dyDescent="0.25">
      <c r="A19144" t="s">
        <v>19157</v>
      </c>
      <c r="B19144">
        <v>692</v>
      </c>
      <c r="C19144" s="1" t="str">
        <f>HYPERLINK("http://www.rosaceae.org/gb/gbrowse/malus_x_domestica/?name=MDP0000302895","MDP0000302895")</f>
        <v>MDP0000302895</v>
      </c>
      <c r="D19144">
        <v>60.2</v>
      </c>
      <c r="E19144">
        <v>681</v>
      </c>
      <c r="F19144">
        <v>271</v>
      </c>
      <c r="G19144">
        <v>21</v>
      </c>
      <c r="H19144">
        <v>7</v>
      </c>
      <c r="I19144">
        <v>683</v>
      </c>
      <c r="J19144">
        <v>1</v>
      </c>
      <c r="K19144">
        <v>13</v>
      </c>
      <c r="L19144">
        <v>676</v>
      </c>
      <c r="M19144">
        <v>1</v>
      </c>
      <c r="N19144">
        <v>0</v>
      </c>
      <c r="O19144">
        <v>1998</v>
      </c>
    </row>
    <row r="19145" spans="1:15" x14ac:dyDescent="0.25">
      <c r="A19145" t="s">
        <v>19158</v>
      </c>
      <c r="B19145">
        <v>529</v>
      </c>
      <c r="C19145" s="1" t="str">
        <f>HYPERLINK("http://www.rosaceae.org/gb/gbrowse/malus_x_domestica/?name=MDP0000119104","MDP0000119104")</f>
        <v>MDP0000119104</v>
      </c>
      <c r="D19145">
        <v>54.19</v>
      </c>
      <c r="E19145">
        <v>465</v>
      </c>
      <c r="F19145">
        <v>213</v>
      </c>
      <c r="G19145">
        <v>71</v>
      </c>
      <c r="H19145">
        <v>1</v>
      </c>
      <c r="I19145">
        <v>398</v>
      </c>
      <c r="J19145">
        <v>1</v>
      </c>
      <c r="K19145">
        <v>1</v>
      </c>
      <c r="L19145">
        <v>461</v>
      </c>
      <c r="M19145">
        <v>1</v>
      </c>
      <c r="N19145">
        <v>5.0563500000000004E-118</v>
      </c>
      <c r="O19145">
        <v>1085</v>
      </c>
    </row>
    <row r="19146" spans="1:15" x14ac:dyDescent="0.25">
      <c r="A19146" t="s">
        <v>19159</v>
      </c>
      <c r="B19146">
        <v>297</v>
      </c>
      <c r="C19146" s="1" t="str">
        <f>HYPERLINK("http://www.rosaceae.org/gb/gbrowse/malus_x_domestica/?name=MDP0000316855","MDP0000316855")</f>
        <v>MDP0000316855</v>
      </c>
      <c r="D19146">
        <v>78.03</v>
      </c>
      <c r="E19146">
        <v>264</v>
      </c>
      <c r="F19146">
        <v>58</v>
      </c>
      <c r="G19146">
        <v>1</v>
      </c>
      <c r="H19146">
        <v>1</v>
      </c>
      <c r="I19146">
        <v>263</v>
      </c>
      <c r="J19146">
        <v>1</v>
      </c>
      <c r="K19146">
        <v>1</v>
      </c>
      <c r="L19146">
        <v>264</v>
      </c>
      <c r="M19146">
        <v>1</v>
      </c>
      <c r="N19146">
        <v>6.84214E-122</v>
      </c>
      <c r="O19146">
        <v>1115</v>
      </c>
    </row>
    <row r="19147" spans="1:15" x14ac:dyDescent="0.25">
      <c r="A19147" t="s">
        <v>19160</v>
      </c>
      <c r="B19147">
        <v>217</v>
      </c>
      <c r="C19147" s="1" t="str">
        <f>HYPERLINK("http://www.rosaceae.org/gb/gbrowse/malus_x_domestica/?name=MDP0000557349","MDP0000557349")</f>
        <v>MDP0000557349</v>
      </c>
      <c r="D19147">
        <v>51.45</v>
      </c>
      <c r="E19147">
        <v>103</v>
      </c>
      <c r="F19147">
        <v>50</v>
      </c>
      <c r="G19147">
        <v>0</v>
      </c>
      <c r="H19147">
        <v>56</v>
      </c>
      <c r="I19147">
        <v>158</v>
      </c>
      <c r="J19147">
        <v>1</v>
      </c>
      <c r="K19147">
        <v>78</v>
      </c>
      <c r="L19147">
        <v>180</v>
      </c>
      <c r="M19147">
        <v>1</v>
      </c>
      <c r="N19147">
        <v>2.06839E-23</v>
      </c>
      <c r="O19147">
        <v>264</v>
      </c>
    </row>
    <row r="19148" spans="1:15" x14ac:dyDescent="0.25">
      <c r="A19148" t="s">
        <v>19161</v>
      </c>
      <c r="B19148">
        <v>515</v>
      </c>
      <c r="C19148" s="1" t="str">
        <f>HYPERLINK("http://www.rosaceae.org/gb/gbrowse/malus_x_domestica/?name=MDP0000154184","MDP0000154184")</f>
        <v>MDP0000154184</v>
      </c>
      <c r="D19148">
        <v>93.07</v>
      </c>
      <c r="E19148">
        <v>260</v>
      </c>
      <c r="F19148">
        <v>18</v>
      </c>
      <c r="G19148">
        <v>0</v>
      </c>
      <c r="H19148">
        <v>132</v>
      </c>
      <c r="I19148">
        <v>391</v>
      </c>
      <c r="J19148">
        <v>1</v>
      </c>
      <c r="K19148">
        <v>107</v>
      </c>
      <c r="L19148">
        <v>366</v>
      </c>
      <c r="M19148">
        <v>1</v>
      </c>
      <c r="N19148">
        <v>2.9146200000000002E-146</v>
      </c>
      <c r="O19148">
        <v>1328</v>
      </c>
    </row>
    <row r="19149" spans="1:15" x14ac:dyDescent="0.25">
      <c r="A19149" t="s">
        <v>19162</v>
      </c>
      <c r="B19149">
        <v>782</v>
      </c>
      <c r="C19149" s="1" t="str">
        <f>HYPERLINK("http://www.rosaceae.org/gb/gbrowse/malus_x_domestica/?name=MDP0000239069","MDP0000239069")</f>
        <v>MDP0000239069</v>
      </c>
      <c r="D19149">
        <v>73.400000000000006</v>
      </c>
      <c r="E19149">
        <v>767</v>
      </c>
      <c r="F19149">
        <v>204</v>
      </c>
      <c r="G19149">
        <v>10</v>
      </c>
      <c r="H19149">
        <v>16</v>
      </c>
      <c r="I19149">
        <v>782</v>
      </c>
      <c r="J19149">
        <v>1</v>
      </c>
      <c r="K19149">
        <v>109</v>
      </c>
      <c r="L19149">
        <v>865</v>
      </c>
      <c r="M19149">
        <v>1</v>
      </c>
      <c r="N19149">
        <v>0</v>
      </c>
      <c r="O19149">
        <v>2842</v>
      </c>
    </row>
    <row r="19150" spans="1:15" x14ac:dyDescent="0.25">
      <c r="A19150" t="s">
        <v>19163</v>
      </c>
      <c r="B19150">
        <v>609</v>
      </c>
      <c r="C19150" s="1" t="str">
        <f>HYPERLINK("http://www.rosaceae.org/gb/gbrowse/malus_x_domestica/?name=MDP0000119495","MDP0000119495")</f>
        <v>MDP0000119495</v>
      </c>
      <c r="D19150">
        <v>60.67</v>
      </c>
      <c r="E19150">
        <v>590</v>
      </c>
      <c r="F19150">
        <v>232</v>
      </c>
      <c r="G19150">
        <v>46</v>
      </c>
      <c r="H19150">
        <v>33</v>
      </c>
      <c r="I19150">
        <v>607</v>
      </c>
      <c r="J19150">
        <v>1</v>
      </c>
      <c r="K19150">
        <v>1</v>
      </c>
      <c r="L19150">
        <v>559</v>
      </c>
      <c r="M19150">
        <v>1</v>
      </c>
      <c r="N19150">
        <v>1.1955999999999999E-175</v>
      </c>
      <c r="O19150">
        <v>1582</v>
      </c>
    </row>
    <row r="19151" spans="1:15" x14ac:dyDescent="0.25">
      <c r="A19151" t="s">
        <v>19164</v>
      </c>
      <c r="B19151">
        <v>479</v>
      </c>
      <c r="C19151" s="1" t="str">
        <f>HYPERLINK("http://www.rosaceae.org/gb/gbrowse/malus_x_domestica/?name=MDP0000286589","MDP0000286589")</f>
        <v>MDP0000286589</v>
      </c>
      <c r="D19151">
        <v>52.43</v>
      </c>
      <c r="E19151">
        <v>267</v>
      </c>
      <c r="F19151">
        <v>127</v>
      </c>
      <c r="G19151">
        <v>41</v>
      </c>
      <c r="H19151">
        <v>206</v>
      </c>
      <c r="I19151">
        <v>456</v>
      </c>
      <c r="J19151">
        <v>1</v>
      </c>
      <c r="K19151">
        <v>406</v>
      </c>
      <c r="L19151">
        <v>647</v>
      </c>
      <c r="M19151">
        <v>1</v>
      </c>
      <c r="N19151">
        <v>4.1250599999999998E-61</v>
      </c>
      <c r="O19151">
        <v>593</v>
      </c>
    </row>
    <row r="19152" spans="1:15" x14ac:dyDescent="0.25">
      <c r="A19152" t="s">
        <v>19165</v>
      </c>
      <c r="B19152">
        <v>481</v>
      </c>
      <c r="C19152" s="1" t="str">
        <f>HYPERLINK("http://www.rosaceae.org/gb/gbrowse/malus_x_domestica/?name=MDP0000290662","MDP0000290662")</f>
        <v>MDP0000290662</v>
      </c>
      <c r="D19152">
        <v>67.180000000000007</v>
      </c>
      <c r="E19152">
        <v>515</v>
      </c>
      <c r="F19152">
        <v>169</v>
      </c>
      <c r="G19152">
        <v>46</v>
      </c>
      <c r="H19152">
        <v>1</v>
      </c>
      <c r="I19152">
        <v>480</v>
      </c>
      <c r="J19152">
        <v>1</v>
      </c>
      <c r="K19152">
        <v>1</v>
      </c>
      <c r="L19152">
        <v>504</v>
      </c>
      <c r="M19152">
        <v>1</v>
      </c>
      <c r="N19152">
        <v>0</v>
      </c>
      <c r="O19152">
        <v>1801</v>
      </c>
    </row>
    <row r="19153" spans="1:15" x14ac:dyDescent="0.25">
      <c r="A19153" t="s">
        <v>19166</v>
      </c>
      <c r="B19153">
        <v>341</v>
      </c>
      <c r="C19153" s="1" t="str">
        <f>HYPERLINK("http://www.rosaceae.org/gb/gbrowse/malus_x_domestica/?name=MDP0000322036","MDP0000322036")</f>
        <v>MDP0000322036</v>
      </c>
      <c r="D19153">
        <v>30</v>
      </c>
      <c r="E19153">
        <v>290</v>
      </c>
      <c r="F19153">
        <v>203</v>
      </c>
      <c r="G19153">
        <v>79</v>
      </c>
      <c r="H19153">
        <v>24</v>
      </c>
      <c r="I19153">
        <v>273</v>
      </c>
      <c r="J19153">
        <v>1</v>
      </c>
      <c r="K19153">
        <v>93</v>
      </c>
      <c r="L19153">
        <v>343</v>
      </c>
      <c r="M19153">
        <v>1</v>
      </c>
      <c r="N19153">
        <v>3.8769499999999999E-25</v>
      </c>
      <c r="O19153">
        <v>281</v>
      </c>
    </row>
    <row r="19154" spans="1:15" x14ac:dyDescent="0.25">
      <c r="A19154" t="s">
        <v>19167</v>
      </c>
      <c r="B19154">
        <v>2038</v>
      </c>
      <c r="C19154" s="1" t="str">
        <f>HYPERLINK("http://www.rosaceae.org/gb/gbrowse/malus_x_domestica/?name=MDP0000212626","MDP0000212626")</f>
        <v>MDP0000212626</v>
      </c>
      <c r="D19154">
        <v>51.56</v>
      </c>
      <c r="E19154">
        <v>1567</v>
      </c>
      <c r="F19154">
        <v>759</v>
      </c>
      <c r="G19154">
        <v>168</v>
      </c>
      <c r="H19154">
        <v>22</v>
      </c>
      <c r="I19154">
        <v>1484</v>
      </c>
      <c r="J19154">
        <v>1</v>
      </c>
      <c r="K19154">
        <v>17</v>
      </c>
      <c r="L19154">
        <v>1519</v>
      </c>
      <c r="M19154">
        <v>1</v>
      </c>
      <c r="N19154">
        <v>0</v>
      </c>
      <c r="O19154">
        <v>3730</v>
      </c>
    </row>
    <row r="19155" spans="1:15" x14ac:dyDescent="0.25">
      <c r="A19155" t="s">
        <v>19168</v>
      </c>
      <c r="B19155">
        <v>505</v>
      </c>
      <c r="C19155" s="1" t="str">
        <f>HYPERLINK("http://www.rosaceae.org/gb/gbrowse/malus_x_domestica/?name=MDP0000218627","MDP0000218627")</f>
        <v>MDP0000218627</v>
      </c>
      <c r="D19155">
        <v>61.56</v>
      </c>
      <c r="E19155">
        <v>575</v>
      </c>
      <c r="F19155">
        <v>221</v>
      </c>
      <c r="G19155">
        <v>76</v>
      </c>
      <c r="H19155">
        <v>1</v>
      </c>
      <c r="I19155">
        <v>505</v>
      </c>
      <c r="J19155">
        <v>1</v>
      </c>
      <c r="K19155">
        <v>1</v>
      </c>
      <c r="L19155">
        <v>569</v>
      </c>
      <c r="M19155">
        <v>1</v>
      </c>
      <c r="N19155">
        <v>2.5469099999999998E-180</v>
      </c>
      <c r="O19155">
        <v>1622</v>
      </c>
    </row>
    <row r="19156" spans="1:15" x14ac:dyDescent="0.25">
      <c r="A19156" t="s">
        <v>19169</v>
      </c>
      <c r="B19156">
        <v>611</v>
      </c>
      <c r="C19156" s="1" t="str">
        <f>HYPERLINK("http://www.rosaceae.org/gb/gbrowse/malus_x_domestica/?name=MDP0000253174","MDP0000253174")</f>
        <v>MDP0000253174</v>
      </c>
      <c r="D19156">
        <v>56.54</v>
      </c>
      <c r="E19156">
        <v>214</v>
      </c>
      <c r="F19156">
        <v>93</v>
      </c>
      <c r="G19156">
        <v>31</v>
      </c>
      <c r="H19156">
        <v>1</v>
      </c>
      <c r="I19156">
        <v>193</v>
      </c>
      <c r="J19156">
        <v>1</v>
      </c>
      <c r="K19156">
        <v>60</v>
      </c>
      <c r="L19156">
        <v>263</v>
      </c>
      <c r="M19156">
        <v>1</v>
      </c>
      <c r="N19156">
        <v>2.9143699999999999E-51</v>
      </c>
      <c r="O19156">
        <v>509</v>
      </c>
    </row>
    <row r="19157" spans="1:15" x14ac:dyDescent="0.25">
      <c r="A19157" t="s">
        <v>19170</v>
      </c>
      <c r="B19157">
        <v>303</v>
      </c>
      <c r="C19157" s="1" t="str">
        <f>HYPERLINK("http://www.rosaceae.org/gb/gbrowse/malus_x_domestica/?name=MDP0000826832","MDP0000826832")</f>
        <v>MDP0000826832</v>
      </c>
      <c r="D19157">
        <v>77.47</v>
      </c>
      <c r="E19157">
        <v>293</v>
      </c>
      <c r="F19157">
        <v>66</v>
      </c>
      <c r="G19157">
        <v>0</v>
      </c>
      <c r="H19157">
        <v>11</v>
      </c>
      <c r="I19157">
        <v>303</v>
      </c>
      <c r="J19157">
        <v>1</v>
      </c>
      <c r="K19157">
        <v>51</v>
      </c>
      <c r="L19157">
        <v>343</v>
      </c>
      <c r="M19157">
        <v>1</v>
      </c>
      <c r="N19157">
        <v>6.9728699999999999E-133</v>
      </c>
      <c r="O19157">
        <v>1210</v>
      </c>
    </row>
    <row r="19158" spans="1:15" x14ac:dyDescent="0.25">
      <c r="A19158" t="s">
        <v>19171</v>
      </c>
      <c r="B19158">
        <v>396</v>
      </c>
      <c r="C19158" s="1" t="str">
        <f>HYPERLINK("http://www.rosaceae.org/gb/gbrowse/malus_x_domestica/?name=MDP0000134027","MDP0000134027")</f>
        <v>MDP0000134027</v>
      </c>
      <c r="D19158">
        <v>82.24</v>
      </c>
      <c r="E19158">
        <v>366</v>
      </c>
      <c r="F19158">
        <v>65</v>
      </c>
      <c r="G19158">
        <v>2</v>
      </c>
      <c r="H19158">
        <v>28</v>
      </c>
      <c r="I19158">
        <v>393</v>
      </c>
      <c r="J19158">
        <v>1</v>
      </c>
      <c r="K19158">
        <v>63</v>
      </c>
      <c r="L19158">
        <v>426</v>
      </c>
      <c r="M19158">
        <v>1</v>
      </c>
      <c r="N19158">
        <v>3.8164399999999999E-174</v>
      </c>
      <c r="O19158">
        <v>1567</v>
      </c>
    </row>
    <row r="19159" spans="1:15" x14ac:dyDescent="0.25">
      <c r="A19159" t="s">
        <v>19172</v>
      </c>
      <c r="B19159">
        <v>174</v>
      </c>
      <c r="C19159" s="1" t="str">
        <f>HYPERLINK("http://www.rosaceae.org/gb/gbrowse/malus_x_domestica/?name=MDP0000256604","MDP0000256604")</f>
        <v>MDP0000256604</v>
      </c>
      <c r="D19159">
        <v>30.41</v>
      </c>
      <c r="E19159">
        <v>217</v>
      </c>
      <c r="F19159">
        <v>151</v>
      </c>
      <c r="G19159">
        <v>53</v>
      </c>
      <c r="H19159">
        <v>5</v>
      </c>
      <c r="I19159">
        <v>170</v>
      </c>
      <c r="J19159">
        <v>1</v>
      </c>
      <c r="K19159">
        <v>67</v>
      </c>
      <c r="L19159">
        <v>281</v>
      </c>
      <c r="M19159">
        <v>1</v>
      </c>
      <c r="N19159">
        <v>2.2673200000000001E-14</v>
      </c>
      <c r="O19159">
        <v>185</v>
      </c>
    </row>
    <row r="19160" spans="1:15" x14ac:dyDescent="0.25">
      <c r="A19160" t="s">
        <v>19173</v>
      </c>
      <c r="B19160">
        <v>114</v>
      </c>
      <c r="C19160" s="1" t="str">
        <f>HYPERLINK("http://www.rosaceae.org/gb/gbrowse/malus_x_domestica/?name=MDP0000164135","MDP0000164135")</f>
        <v>MDP0000164135</v>
      </c>
      <c r="D19160">
        <v>37.14</v>
      </c>
      <c r="E19160">
        <v>105</v>
      </c>
      <c r="F19160">
        <v>66</v>
      </c>
      <c r="G19160">
        <v>3</v>
      </c>
      <c r="H19160">
        <v>4</v>
      </c>
      <c r="I19160">
        <v>106</v>
      </c>
      <c r="J19160">
        <v>1</v>
      </c>
      <c r="K19160">
        <v>87</v>
      </c>
      <c r="L19160">
        <v>190</v>
      </c>
      <c r="M19160">
        <v>1</v>
      </c>
      <c r="N19160">
        <v>7.9375300000000004E-13</v>
      </c>
      <c r="O19160">
        <v>168</v>
      </c>
    </row>
    <row r="19161" spans="1:15" x14ac:dyDescent="0.25">
      <c r="A19161" t="s">
        <v>19174</v>
      </c>
      <c r="B19161">
        <v>1311</v>
      </c>
      <c r="C19161" s="1" t="str">
        <f>HYPERLINK("http://www.rosaceae.org/gb/gbrowse/malus_x_domestica/?name=MDP0000165453","MDP0000165453")</f>
        <v>MDP0000165453</v>
      </c>
      <c r="D19161">
        <v>70.790000000000006</v>
      </c>
      <c r="E19161">
        <v>1339</v>
      </c>
      <c r="F19161">
        <v>391</v>
      </c>
      <c r="G19161">
        <v>40</v>
      </c>
      <c r="H19161">
        <v>4</v>
      </c>
      <c r="I19161">
        <v>1311</v>
      </c>
      <c r="J19161">
        <v>1</v>
      </c>
      <c r="K19161">
        <v>5</v>
      </c>
      <c r="L19161">
        <v>1334</v>
      </c>
      <c r="M19161">
        <v>1</v>
      </c>
      <c r="N19161">
        <v>0</v>
      </c>
      <c r="O19161">
        <v>4551</v>
      </c>
    </row>
    <row r="19162" spans="1:15" x14ac:dyDescent="0.25">
      <c r="A19162" t="s">
        <v>19175</v>
      </c>
      <c r="B19162">
        <v>596</v>
      </c>
      <c r="C19162" s="1" t="str">
        <f>HYPERLINK("http://www.rosaceae.org/gb/gbrowse/malus_x_domestica/?name=MDP0000213799","MDP0000213799")</f>
        <v>MDP0000213799</v>
      </c>
      <c r="D19162">
        <v>72.790000000000006</v>
      </c>
      <c r="E19162">
        <v>544</v>
      </c>
      <c r="F19162">
        <v>148</v>
      </c>
      <c r="G19162">
        <v>22</v>
      </c>
      <c r="H19162">
        <v>65</v>
      </c>
      <c r="I19162">
        <v>588</v>
      </c>
      <c r="J19162">
        <v>1</v>
      </c>
      <c r="K19162">
        <v>298</v>
      </c>
      <c r="L19162">
        <v>839</v>
      </c>
      <c r="M19162">
        <v>1</v>
      </c>
      <c r="N19162">
        <v>0</v>
      </c>
      <c r="O19162">
        <v>2050</v>
      </c>
    </row>
    <row r="19163" spans="1:15" x14ac:dyDescent="0.25">
      <c r="A19163" t="s">
        <v>19176</v>
      </c>
      <c r="B19163">
        <v>242</v>
      </c>
      <c r="C19163" s="1" t="str">
        <f>HYPERLINK("http://www.rosaceae.org/gb/gbrowse/malus_x_domestica/?name=MDP0000244605","MDP0000244605")</f>
        <v>MDP0000244605</v>
      </c>
      <c r="D19163">
        <v>78.89</v>
      </c>
      <c r="E19163">
        <v>218</v>
      </c>
      <c r="F19163">
        <v>46</v>
      </c>
      <c r="G19163">
        <v>6</v>
      </c>
      <c r="H19163">
        <v>31</v>
      </c>
      <c r="I19163">
        <v>242</v>
      </c>
      <c r="J19163">
        <v>1</v>
      </c>
      <c r="K19163">
        <v>3</v>
      </c>
      <c r="L19163">
        <v>220</v>
      </c>
      <c r="M19163">
        <v>1</v>
      </c>
      <c r="N19163">
        <v>2.67653E-97</v>
      </c>
      <c r="O19163">
        <v>902</v>
      </c>
    </row>
    <row r="19164" spans="1:15" x14ac:dyDescent="0.25">
      <c r="A19164" t="s">
        <v>19177</v>
      </c>
      <c r="B19164">
        <v>445</v>
      </c>
      <c r="C19164" s="1" t="str">
        <f>HYPERLINK("http://www.rosaceae.org/gb/gbrowse/malus_x_domestica/?name=MDP0000403457","MDP0000403457")</f>
        <v>MDP0000403457</v>
      </c>
      <c r="D19164">
        <v>52.81</v>
      </c>
      <c r="E19164">
        <v>373</v>
      </c>
      <c r="F19164">
        <v>176</v>
      </c>
      <c r="G19164">
        <v>25</v>
      </c>
      <c r="H19164">
        <v>8</v>
      </c>
      <c r="I19164">
        <v>355</v>
      </c>
      <c r="J19164">
        <v>1</v>
      </c>
      <c r="K19164">
        <v>2</v>
      </c>
      <c r="L19164">
        <v>374</v>
      </c>
      <c r="M19164">
        <v>1</v>
      </c>
      <c r="N19164">
        <v>5.3022299999999997E-102</v>
      </c>
      <c r="O19164">
        <v>946</v>
      </c>
    </row>
    <row r="19165" spans="1:15" x14ac:dyDescent="0.25">
      <c r="A19165" t="s">
        <v>19178</v>
      </c>
      <c r="B19165">
        <v>591</v>
      </c>
      <c r="C19165" s="1" t="str">
        <f>HYPERLINK("http://www.rosaceae.org/gb/gbrowse/malus_x_domestica/?name=MDP0000192471","MDP0000192471")</f>
        <v>MDP0000192471</v>
      </c>
      <c r="D19165">
        <v>38.020000000000003</v>
      </c>
      <c r="E19165">
        <v>476</v>
      </c>
      <c r="F19165">
        <v>295</v>
      </c>
      <c r="G19165">
        <v>15</v>
      </c>
      <c r="H19165">
        <v>118</v>
      </c>
      <c r="I19165">
        <v>586</v>
      </c>
      <c r="J19165">
        <v>1</v>
      </c>
      <c r="K19165">
        <v>24</v>
      </c>
      <c r="L19165">
        <v>491</v>
      </c>
      <c r="M19165">
        <v>1</v>
      </c>
      <c r="N19165">
        <v>5.6183600000000001E-93</v>
      </c>
      <c r="O19165">
        <v>869</v>
      </c>
    </row>
    <row r="19166" spans="1:15" x14ac:dyDescent="0.25">
      <c r="A19166" t="s">
        <v>19179</v>
      </c>
      <c r="B19166">
        <v>254</v>
      </c>
      <c r="C19166" s="1" t="str">
        <f>HYPERLINK("http://www.rosaceae.org/gb/gbrowse/malus_x_domestica/?name=MDP0000241237","MDP0000241237")</f>
        <v>MDP0000241237</v>
      </c>
      <c r="D19166">
        <v>50.59</v>
      </c>
      <c r="E19166">
        <v>253</v>
      </c>
      <c r="F19166">
        <v>125</v>
      </c>
      <c r="G19166">
        <v>17</v>
      </c>
      <c r="H19166">
        <v>1</v>
      </c>
      <c r="I19166">
        <v>248</v>
      </c>
      <c r="J19166">
        <v>1</v>
      </c>
      <c r="K19166">
        <v>1</v>
      </c>
      <c r="L19166">
        <v>241</v>
      </c>
      <c r="M19166">
        <v>1</v>
      </c>
      <c r="N19166">
        <v>1.28555E-59</v>
      </c>
      <c r="O19166">
        <v>577</v>
      </c>
    </row>
    <row r="19167" spans="1:15" x14ac:dyDescent="0.25">
      <c r="A19167" t="s">
        <v>19180</v>
      </c>
      <c r="B19167">
        <v>142</v>
      </c>
      <c r="C19167" s="1" t="str">
        <f>HYPERLINK("http://www.rosaceae.org/gb/gbrowse/malus_x_domestica/?name=MDP0000272783","MDP0000272783")</f>
        <v>MDP0000272783</v>
      </c>
      <c r="D19167">
        <v>76.709999999999994</v>
      </c>
      <c r="E19167">
        <v>73</v>
      </c>
      <c r="F19167">
        <v>17</v>
      </c>
      <c r="G19167">
        <v>2</v>
      </c>
      <c r="H19167">
        <v>1</v>
      </c>
      <c r="I19167">
        <v>71</v>
      </c>
      <c r="J19167">
        <v>1</v>
      </c>
      <c r="K19167">
        <v>1</v>
      </c>
      <c r="L19167">
        <v>73</v>
      </c>
      <c r="M19167">
        <v>1</v>
      </c>
      <c r="N19167">
        <v>8.2012699999999998E-28</v>
      </c>
      <c r="O19167">
        <v>299</v>
      </c>
    </row>
    <row r="19168" spans="1:15" x14ac:dyDescent="0.25">
      <c r="A19168" t="s">
        <v>19181</v>
      </c>
      <c r="B19168">
        <v>508</v>
      </c>
      <c r="C19168" s="1" t="str">
        <f>HYPERLINK("http://www.rosaceae.org/gb/gbrowse/malus_x_domestica/?name=MDP0000309902","MDP0000309902")</f>
        <v>MDP0000309902</v>
      </c>
      <c r="D19168">
        <v>73.11</v>
      </c>
      <c r="E19168">
        <v>517</v>
      </c>
      <c r="F19168">
        <v>139</v>
      </c>
      <c r="G19168">
        <v>13</v>
      </c>
      <c r="H19168">
        <v>1</v>
      </c>
      <c r="I19168">
        <v>505</v>
      </c>
      <c r="J19168">
        <v>1</v>
      </c>
      <c r="K19168">
        <v>3</v>
      </c>
      <c r="L19168">
        <v>518</v>
      </c>
      <c r="M19168">
        <v>1</v>
      </c>
      <c r="N19168">
        <v>0</v>
      </c>
      <c r="O19168">
        <v>1941</v>
      </c>
    </row>
    <row r="19169" spans="1:15" x14ac:dyDescent="0.25">
      <c r="A19169" t="s">
        <v>19182</v>
      </c>
      <c r="B19169">
        <v>1395</v>
      </c>
      <c r="C19169" s="1" t="str">
        <f>HYPERLINK("http://www.rosaceae.org/gb/gbrowse/malus_x_domestica/?name=MDP0000244851","MDP0000244851")</f>
        <v>MDP0000244851</v>
      </c>
      <c r="D19169">
        <v>58.74</v>
      </c>
      <c r="E19169">
        <v>812</v>
      </c>
      <c r="F19169">
        <v>335</v>
      </c>
      <c r="G19169">
        <v>46</v>
      </c>
      <c r="H19169">
        <v>18</v>
      </c>
      <c r="I19169">
        <v>822</v>
      </c>
      <c r="J19169">
        <v>1</v>
      </c>
      <c r="K19169">
        <v>55</v>
      </c>
      <c r="L19169">
        <v>827</v>
      </c>
      <c r="M19169">
        <v>1</v>
      </c>
      <c r="N19169">
        <v>0</v>
      </c>
      <c r="O19169">
        <v>2349</v>
      </c>
    </row>
    <row r="19170" spans="1:15" x14ac:dyDescent="0.25">
      <c r="A19170" t="s">
        <v>19183</v>
      </c>
      <c r="B19170">
        <v>652</v>
      </c>
      <c r="C19170" s="1" t="str">
        <f>HYPERLINK("http://www.rosaceae.org/gb/gbrowse/malus_x_domestica/?name=MDP0000308519","MDP0000308519")</f>
        <v>MDP0000308519</v>
      </c>
      <c r="D19170">
        <v>68.23</v>
      </c>
      <c r="E19170">
        <v>595</v>
      </c>
      <c r="F19170">
        <v>189</v>
      </c>
      <c r="G19170">
        <v>2</v>
      </c>
      <c r="H19170">
        <v>13</v>
      </c>
      <c r="I19170">
        <v>607</v>
      </c>
      <c r="J19170">
        <v>1</v>
      </c>
      <c r="K19170">
        <v>10</v>
      </c>
      <c r="L19170">
        <v>602</v>
      </c>
      <c r="M19170">
        <v>1</v>
      </c>
      <c r="N19170">
        <v>0</v>
      </c>
      <c r="O19170">
        <v>2283</v>
      </c>
    </row>
    <row r="19171" spans="1:15" x14ac:dyDescent="0.25">
      <c r="A19171" t="s">
        <v>19184</v>
      </c>
      <c r="B19171">
        <v>690</v>
      </c>
      <c r="C19171" s="1" t="str">
        <f>HYPERLINK("http://www.rosaceae.org/gb/gbrowse/malus_x_domestica/?name=MDP0000157943","MDP0000157943")</f>
        <v>MDP0000157943</v>
      </c>
      <c r="D19171">
        <v>47.47</v>
      </c>
      <c r="E19171">
        <v>495</v>
      </c>
      <c r="F19171">
        <v>260</v>
      </c>
      <c r="G19171">
        <v>18</v>
      </c>
      <c r="H19171">
        <v>40</v>
      </c>
      <c r="I19171">
        <v>519</v>
      </c>
      <c r="J19171">
        <v>1</v>
      </c>
      <c r="K19171">
        <v>40</v>
      </c>
      <c r="L19171">
        <v>531</v>
      </c>
      <c r="M19171">
        <v>1</v>
      </c>
      <c r="N19171">
        <v>6.1847099999999996E-128</v>
      </c>
      <c r="O19171">
        <v>1171</v>
      </c>
    </row>
    <row r="19172" spans="1:15" x14ac:dyDescent="0.25">
      <c r="A19172" t="s">
        <v>19185</v>
      </c>
      <c r="B19172">
        <v>267</v>
      </c>
      <c r="C19172" s="1" t="str">
        <f>HYPERLINK("http://www.rosaceae.org/gb/gbrowse/malus_x_domestica/?name=MDP0000292908","MDP0000292908")</f>
        <v>MDP0000292908</v>
      </c>
      <c r="D19172">
        <v>50.49</v>
      </c>
      <c r="E19172">
        <v>305</v>
      </c>
      <c r="F19172">
        <v>151</v>
      </c>
      <c r="G19172">
        <v>50</v>
      </c>
      <c r="H19172">
        <v>9</v>
      </c>
      <c r="I19172">
        <v>264</v>
      </c>
      <c r="J19172">
        <v>1</v>
      </c>
      <c r="K19172">
        <v>42</v>
      </c>
      <c r="L19172">
        <v>345</v>
      </c>
      <c r="M19172">
        <v>1</v>
      </c>
      <c r="N19172">
        <v>3.55822E-76</v>
      </c>
      <c r="O19172">
        <v>720</v>
      </c>
    </row>
    <row r="19173" spans="1:15" x14ac:dyDescent="0.25">
      <c r="A19173" t="s">
        <v>19186</v>
      </c>
      <c r="B19173">
        <v>373</v>
      </c>
      <c r="C19173" s="1" t="str">
        <f>HYPERLINK("http://www.rosaceae.org/gb/gbrowse/malus_x_domestica/?name=MDP0000280574","MDP0000280574")</f>
        <v>MDP0000280574</v>
      </c>
      <c r="D19173">
        <v>61.83</v>
      </c>
      <c r="E19173">
        <v>207</v>
      </c>
      <c r="F19173">
        <v>79</v>
      </c>
      <c r="G19173">
        <v>49</v>
      </c>
      <c r="H19173">
        <v>1</v>
      </c>
      <c r="I19173">
        <v>172</v>
      </c>
      <c r="J19173">
        <v>1</v>
      </c>
      <c r="K19173">
        <v>1</v>
      </c>
      <c r="L19173">
        <v>193</v>
      </c>
      <c r="M19173">
        <v>1</v>
      </c>
      <c r="N19173">
        <v>4.3236299999999999E-60</v>
      </c>
      <c r="O19173">
        <v>583</v>
      </c>
    </row>
    <row r="19174" spans="1:15" x14ac:dyDescent="0.25">
      <c r="A19174" t="s">
        <v>19187</v>
      </c>
      <c r="B19174">
        <v>191</v>
      </c>
      <c r="C19174" s="1" t="str">
        <f>HYPERLINK("http://www.rosaceae.org/gb/gbrowse/malus_x_domestica/?name=MDP0000226743","MDP0000226743")</f>
        <v>MDP0000226743</v>
      </c>
      <c r="D19174">
        <v>64.06</v>
      </c>
      <c r="E19174">
        <v>64</v>
      </c>
      <c r="F19174">
        <v>23</v>
      </c>
      <c r="G19174">
        <v>0</v>
      </c>
      <c r="H19174">
        <v>128</v>
      </c>
      <c r="I19174">
        <v>191</v>
      </c>
      <c r="J19174">
        <v>1</v>
      </c>
      <c r="K19174">
        <v>184</v>
      </c>
      <c r="L19174">
        <v>247</v>
      </c>
      <c r="M19174">
        <v>1</v>
      </c>
      <c r="N19174">
        <v>1.18442E-15</v>
      </c>
      <c r="O19174">
        <v>196</v>
      </c>
    </row>
    <row r="19175" spans="1:15" x14ac:dyDescent="0.25">
      <c r="A19175" t="s">
        <v>19188</v>
      </c>
      <c r="B19175">
        <v>314</v>
      </c>
      <c r="C19175" s="1" t="str">
        <f>HYPERLINK("http://www.rosaceae.org/gb/gbrowse/malus_x_domestica/?name=MDP0000878750","MDP0000878750")</f>
        <v>MDP0000878750</v>
      </c>
      <c r="D19175">
        <v>75.069999999999993</v>
      </c>
      <c r="E19175">
        <v>317</v>
      </c>
      <c r="F19175">
        <v>79</v>
      </c>
      <c r="G19175">
        <v>33</v>
      </c>
      <c r="H19175">
        <v>28</v>
      </c>
      <c r="I19175">
        <v>311</v>
      </c>
      <c r="J19175">
        <v>1</v>
      </c>
      <c r="K19175">
        <v>2</v>
      </c>
      <c r="L19175">
        <v>318</v>
      </c>
      <c r="M19175">
        <v>1</v>
      </c>
      <c r="N19175">
        <v>1.04256E-138</v>
      </c>
      <c r="O19175">
        <v>1260</v>
      </c>
    </row>
    <row r="19176" spans="1:15" x14ac:dyDescent="0.25">
      <c r="A19176" t="s">
        <v>19189</v>
      </c>
      <c r="B19176">
        <v>1006</v>
      </c>
      <c r="C19176" s="1" t="str">
        <f>HYPERLINK("http://www.rosaceae.org/gb/gbrowse/malus_x_domestica/?name=MDP0000798156","MDP0000798156")</f>
        <v>MDP0000798156</v>
      </c>
      <c r="D19176">
        <v>74.77</v>
      </c>
      <c r="E19176">
        <v>1011</v>
      </c>
      <c r="F19176">
        <v>255</v>
      </c>
      <c r="G19176">
        <v>7</v>
      </c>
      <c r="H19176">
        <v>1</v>
      </c>
      <c r="I19176">
        <v>1006</v>
      </c>
      <c r="J19176">
        <v>1</v>
      </c>
      <c r="K19176">
        <v>1</v>
      </c>
      <c r="L19176">
        <v>1009</v>
      </c>
      <c r="M19176">
        <v>1</v>
      </c>
      <c r="N19176">
        <v>0</v>
      </c>
      <c r="O19176">
        <v>3843</v>
      </c>
    </row>
    <row r="19177" spans="1:15" x14ac:dyDescent="0.25">
      <c r="A19177" t="s">
        <v>19190</v>
      </c>
      <c r="B19177">
        <v>564</v>
      </c>
      <c r="C19177" s="1" t="str">
        <f>HYPERLINK("http://www.rosaceae.org/gb/gbrowse/malus_x_domestica/?name=MDP0000295300","MDP0000295300")</f>
        <v>MDP0000295300</v>
      </c>
      <c r="D19177">
        <v>69.040000000000006</v>
      </c>
      <c r="E19177">
        <v>294</v>
      </c>
      <c r="F19177">
        <v>91</v>
      </c>
      <c r="G19177">
        <v>17</v>
      </c>
      <c r="H19177">
        <v>284</v>
      </c>
      <c r="I19177">
        <v>564</v>
      </c>
      <c r="J19177">
        <v>1</v>
      </c>
      <c r="K19177">
        <v>217</v>
      </c>
      <c r="L19177">
        <v>506</v>
      </c>
      <c r="M19177">
        <v>1</v>
      </c>
      <c r="N19177">
        <v>1.09916E-111</v>
      </c>
      <c r="O19177">
        <v>1030</v>
      </c>
    </row>
    <row r="19178" spans="1:15" x14ac:dyDescent="0.25">
      <c r="A19178" t="s">
        <v>19191</v>
      </c>
      <c r="B19178">
        <v>185</v>
      </c>
      <c r="C19178" s="1" t="str">
        <f>HYPERLINK("http://www.rosaceae.org/gb/gbrowse/malus_x_domestica/?name=MDP0000155887","MDP0000155887")</f>
        <v>MDP0000155887</v>
      </c>
      <c r="D19178">
        <v>96.47</v>
      </c>
      <c r="E19178">
        <v>85</v>
      </c>
      <c r="F19178">
        <v>3</v>
      </c>
      <c r="G19178">
        <v>0</v>
      </c>
      <c r="H19178">
        <v>101</v>
      </c>
      <c r="I19178">
        <v>185</v>
      </c>
      <c r="J19178">
        <v>1</v>
      </c>
      <c r="K19178">
        <v>68</v>
      </c>
      <c r="L19178">
        <v>152</v>
      </c>
      <c r="M19178">
        <v>1</v>
      </c>
      <c r="N19178">
        <v>3.4395199999999999E-45</v>
      </c>
      <c r="O19178">
        <v>451</v>
      </c>
    </row>
    <row r="19179" spans="1:15" x14ac:dyDescent="0.25">
      <c r="A19179" t="s">
        <v>19192</v>
      </c>
      <c r="B19179">
        <v>1480</v>
      </c>
      <c r="C19179" s="1" t="str">
        <f>HYPERLINK("http://www.rosaceae.org/gb/gbrowse/malus_x_domestica/?name=MDP0000259421","MDP0000259421")</f>
        <v>MDP0000259421</v>
      </c>
      <c r="D19179">
        <v>53.01</v>
      </c>
      <c r="E19179">
        <v>696</v>
      </c>
      <c r="F19179">
        <v>327</v>
      </c>
      <c r="G19179">
        <v>60</v>
      </c>
      <c r="H19179">
        <v>443</v>
      </c>
      <c r="I19179">
        <v>1129</v>
      </c>
      <c r="J19179">
        <v>1</v>
      </c>
      <c r="K19179">
        <v>577</v>
      </c>
      <c r="L19179">
        <v>1221</v>
      </c>
      <c r="M19179">
        <v>1</v>
      </c>
      <c r="N19179">
        <v>0</v>
      </c>
      <c r="O19179">
        <v>1809</v>
      </c>
    </row>
    <row r="19180" spans="1:15" x14ac:dyDescent="0.25">
      <c r="A19180" t="s">
        <v>19193</v>
      </c>
      <c r="B19180">
        <v>443</v>
      </c>
      <c r="C19180" s="1" t="str">
        <f>HYPERLINK("http://www.rosaceae.org/gb/gbrowse/malus_x_domestica/?name=MDP0000778359","MDP0000778359")</f>
        <v>MDP0000778359</v>
      </c>
      <c r="D19180">
        <v>87.29</v>
      </c>
      <c r="E19180">
        <v>181</v>
      </c>
      <c r="F19180">
        <v>23</v>
      </c>
      <c r="G19180">
        <v>0</v>
      </c>
      <c r="H19180">
        <v>212</v>
      </c>
      <c r="I19180">
        <v>392</v>
      </c>
      <c r="J19180">
        <v>1</v>
      </c>
      <c r="K19180">
        <v>2</v>
      </c>
      <c r="L19180">
        <v>182</v>
      </c>
      <c r="M19180">
        <v>1</v>
      </c>
      <c r="N19180">
        <v>3.9168899999999999E-90</v>
      </c>
      <c r="O19180">
        <v>843</v>
      </c>
    </row>
    <row r="19181" spans="1:15" x14ac:dyDescent="0.25">
      <c r="A19181" t="s">
        <v>19194</v>
      </c>
      <c r="B19181">
        <v>315</v>
      </c>
      <c r="C19181" s="1" t="str">
        <f>HYPERLINK("http://www.rosaceae.org/gb/gbrowse/malus_x_domestica/?name=MDP0000212530","MDP0000212530")</f>
        <v>MDP0000212530</v>
      </c>
      <c r="D19181">
        <v>72.95</v>
      </c>
      <c r="E19181">
        <v>122</v>
      </c>
      <c r="F19181">
        <v>33</v>
      </c>
      <c r="G19181">
        <v>0</v>
      </c>
      <c r="H19181">
        <v>148</v>
      </c>
      <c r="I19181">
        <v>269</v>
      </c>
      <c r="J19181">
        <v>1</v>
      </c>
      <c r="K19181">
        <v>355</v>
      </c>
      <c r="L19181">
        <v>476</v>
      </c>
      <c r="M19181">
        <v>1</v>
      </c>
      <c r="N19181">
        <v>6.6999500000000003E-40</v>
      </c>
      <c r="O19181">
        <v>408</v>
      </c>
    </row>
    <row r="19182" spans="1:15" x14ac:dyDescent="0.25">
      <c r="A19182" t="s">
        <v>19195</v>
      </c>
      <c r="B19182">
        <v>208</v>
      </c>
      <c r="C19182" s="1" t="str">
        <f>HYPERLINK("http://www.rosaceae.org/gb/gbrowse/malus_x_domestica/?name=MDP0000260476","MDP0000260476")</f>
        <v>MDP0000260476</v>
      </c>
      <c r="D19182">
        <v>39.44</v>
      </c>
      <c r="E19182">
        <v>109</v>
      </c>
      <c r="F19182">
        <v>66</v>
      </c>
      <c r="G19182">
        <v>32</v>
      </c>
      <c r="H19182">
        <v>86</v>
      </c>
      <c r="I19182">
        <v>162</v>
      </c>
      <c r="J19182">
        <v>1</v>
      </c>
      <c r="K19182">
        <v>294</v>
      </c>
      <c r="L19182">
        <v>402</v>
      </c>
      <c r="M19182">
        <v>1</v>
      </c>
      <c r="N19182">
        <v>1.5563099999999999E-11</v>
      </c>
      <c r="O19182">
        <v>161</v>
      </c>
    </row>
    <row r="19183" spans="1:15" x14ac:dyDescent="0.25">
      <c r="A19183" t="s">
        <v>19196</v>
      </c>
      <c r="B19183">
        <v>319</v>
      </c>
      <c r="C19183" s="1" t="str">
        <f>HYPERLINK("http://www.rosaceae.org/gb/gbrowse/malus_x_domestica/?name=MDP0000638489","MDP0000638489")</f>
        <v>MDP0000638489</v>
      </c>
      <c r="D19183">
        <v>83.94</v>
      </c>
      <c r="E19183">
        <v>137</v>
      </c>
      <c r="F19183">
        <v>22</v>
      </c>
      <c r="G19183">
        <v>0</v>
      </c>
      <c r="H19183">
        <v>181</v>
      </c>
      <c r="I19183">
        <v>317</v>
      </c>
      <c r="J19183">
        <v>1</v>
      </c>
      <c r="K19183">
        <v>18</v>
      </c>
      <c r="L19183">
        <v>154</v>
      </c>
      <c r="M19183">
        <v>1</v>
      </c>
      <c r="N19183">
        <v>1.7994299999999999E-63</v>
      </c>
      <c r="O19183">
        <v>612</v>
      </c>
    </row>
    <row r="19184" spans="1:15" x14ac:dyDescent="0.25">
      <c r="A19184" t="s">
        <v>19197</v>
      </c>
      <c r="B19184">
        <v>349</v>
      </c>
      <c r="C19184" s="1" t="str">
        <f>HYPERLINK("http://www.rosaceae.org/gb/gbrowse/malus_x_domestica/?name=MDP0000936735","MDP0000936735")</f>
        <v>MDP0000936735</v>
      </c>
      <c r="D19184">
        <v>29.22</v>
      </c>
      <c r="E19184">
        <v>154</v>
      </c>
      <c r="F19184">
        <v>109</v>
      </c>
      <c r="G19184">
        <v>8</v>
      </c>
      <c r="H19184">
        <v>177</v>
      </c>
      <c r="I19184">
        <v>328</v>
      </c>
      <c r="J19184">
        <v>1</v>
      </c>
      <c r="K19184">
        <v>27</v>
      </c>
      <c r="L19184">
        <v>174</v>
      </c>
      <c r="M19184">
        <v>1</v>
      </c>
      <c r="N19184">
        <v>4.8363400000000005E-10</v>
      </c>
      <c r="O19184">
        <v>151</v>
      </c>
    </row>
    <row r="19185" spans="1:15" x14ac:dyDescent="0.25">
      <c r="A19185" t="s">
        <v>19198</v>
      </c>
      <c r="B19185">
        <v>509</v>
      </c>
      <c r="C19185" s="1" t="str">
        <f>HYPERLINK("http://www.rosaceae.org/gb/gbrowse/malus_x_domestica/?name=MDP0000296089","MDP0000296089")</f>
        <v>MDP0000296089</v>
      </c>
      <c r="D19185">
        <v>91.73</v>
      </c>
      <c r="E19185">
        <v>496</v>
      </c>
      <c r="F19185">
        <v>41</v>
      </c>
      <c r="G19185">
        <v>0</v>
      </c>
      <c r="H19185">
        <v>14</v>
      </c>
      <c r="I19185">
        <v>509</v>
      </c>
      <c r="J19185">
        <v>1</v>
      </c>
      <c r="K19185">
        <v>11</v>
      </c>
      <c r="L19185">
        <v>506</v>
      </c>
      <c r="M19185">
        <v>1</v>
      </c>
      <c r="N19185">
        <v>0</v>
      </c>
      <c r="O19185">
        <v>2501</v>
      </c>
    </row>
    <row r="19186" spans="1:15" x14ac:dyDescent="0.25">
      <c r="A19186" t="s">
        <v>19199</v>
      </c>
      <c r="B19186">
        <v>1061</v>
      </c>
      <c r="C19186" s="1" t="str">
        <f>HYPERLINK("http://www.rosaceae.org/gb/gbrowse/malus_x_domestica/?name=MDP0000933301","MDP0000933301")</f>
        <v>MDP0000933301</v>
      </c>
      <c r="D19186">
        <v>52.67</v>
      </c>
      <c r="E19186">
        <v>262</v>
      </c>
      <c r="F19186">
        <v>124</v>
      </c>
      <c r="G19186">
        <v>17</v>
      </c>
      <c r="H19186">
        <v>152</v>
      </c>
      <c r="I19186">
        <v>408</v>
      </c>
      <c r="J19186">
        <v>1</v>
      </c>
      <c r="K19186">
        <v>200</v>
      </c>
      <c r="L19186">
        <v>449</v>
      </c>
      <c r="M19186">
        <v>1</v>
      </c>
      <c r="N19186">
        <v>1.0285999999999999E-68</v>
      </c>
      <c r="O19186">
        <v>662</v>
      </c>
    </row>
    <row r="19187" spans="1:15" x14ac:dyDescent="0.25">
      <c r="A19187" t="s">
        <v>19200</v>
      </c>
      <c r="B19187">
        <v>720</v>
      </c>
      <c r="C19187" s="1" t="str">
        <f>HYPERLINK("http://www.rosaceae.org/gb/gbrowse/malus_x_domestica/?name=MDP0000541588","MDP0000541588")</f>
        <v>MDP0000541588</v>
      </c>
      <c r="D19187">
        <v>69.849999999999994</v>
      </c>
      <c r="E19187">
        <v>355</v>
      </c>
      <c r="F19187">
        <v>107</v>
      </c>
      <c r="G19187">
        <v>57</v>
      </c>
      <c r="H19187">
        <v>88</v>
      </c>
      <c r="I19187">
        <v>438</v>
      </c>
      <c r="J19187">
        <v>1</v>
      </c>
      <c r="K19187">
        <v>2</v>
      </c>
      <c r="L19187">
        <v>303</v>
      </c>
      <c r="M19187">
        <v>1</v>
      </c>
      <c r="N19187">
        <v>1.1025199999999999E-130</v>
      </c>
      <c r="O19187">
        <v>1195</v>
      </c>
    </row>
    <row r="19188" spans="1:15" x14ac:dyDescent="0.25">
      <c r="A19188" t="s">
        <v>19201</v>
      </c>
      <c r="B19188">
        <v>412</v>
      </c>
      <c r="C19188" s="1" t="str">
        <f>HYPERLINK("http://www.rosaceae.org/gb/gbrowse/malus_x_domestica/?name=MDP0000236317","MDP0000236317")</f>
        <v>MDP0000236317</v>
      </c>
      <c r="D19188">
        <v>66.209999999999994</v>
      </c>
      <c r="E19188">
        <v>441</v>
      </c>
      <c r="F19188">
        <v>149</v>
      </c>
      <c r="G19188">
        <v>53</v>
      </c>
      <c r="H19188">
        <v>15</v>
      </c>
      <c r="I19188">
        <v>410</v>
      </c>
      <c r="J19188">
        <v>1</v>
      </c>
      <c r="K19188">
        <v>1</v>
      </c>
      <c r="L19188">
        <v>433</v>
      </c>
      <c r="M19188">
        <v>1</v>
      </c>
      <c r="N19188">
        <v>8.0864800000000002E-158</v>
      </c>
      <c r="O19188">
        <v>1427</v>
      </c>
    </row>
    <row r="19189" spans="1:15" x14ac:dyDescent="0.25">
      <c r="A19189" t="s">
        <v>19202</v>
      </c>
      <c r="B19189">
        <v>597</v>
      </c>
      <c r="C19189" s="1" t="str">
        <f>HYPERLINK("http://www.rosaceae.org/gb/gbrowse/malus_x_domestica/?name=MDP0000286136","MDP0000286136")</f>
        <v>MDP0000286136</v>
      </c>
      <c r="D19189">
        <v>47.02</v>
      </c>
      <c r="E19189">
        <v>470</v>
      </c>
      <c r="F19189">
        <v>249</v>
      </c>
      <c r="G19189">
        <v>41</v>
      </c>
      <c r="H19189">
        <v>142</v>
      </c>
      <c r="I19189">
        <v>574</v>
      </c>
      <c r="J19189">
        <v>1</v>
      </c>
      <c r="K19189">
        <v>38</v>
      </c>
      <c r="L19189">
        <v>503</v>
      </c>
      <c r="M19189">
        <v>1</v>
      </c>
      <c r="N19189">
        <v>8.2205200000000007E-118</v>
      </c>
      <c r="O19189">
        <v>1083</v>
      </c>
    </row>
    <row r="19190" spans="1:15" x14ac:dyDescent="0.25">
      <c r="A19190" t="s">
        <v>19203</v>
      </c>
      <c r="B19190">
        <v>1993</v>
      </c>
      <c r="C19190" s="1" t="str">
        <f>HYPERLINK("http://www.rosaceae.org/gb/gbrowse/malus_x_domestica/?name=MDP0000321472","MDP0000321472")</f>
        <v>MDP0000321472</v>
      </c>
      <c r="D19190">
        <v>79.540000000000006</v>
      </c>
      <c r="E19190">
        <v>1090</v>
      </c>
      <c r="F19190">
        <v>223</v>
      </c>
      <c r="G19190">
        <v>94</v>
      </c>
      <c r="H19190">
        <v>62</v>
      </c>
      <c r="I19190">
        <v>1089</v>
      </c>
      <c r="J19190">
        <v>1</v>
      </c>
      <c r="K19190">
        <v>162</v>
      </c>
      <c r="L19190">
        <v>1219</v>
      </c>
      <c r="M19190">
        <v>1</v>
      </c>
      <c r="N19190">
        <v>0</v>
      </c>
      <c r="O19190">
        <v>4450</v>
      </c>
    </row>
    <row r="19191" spans="1:15" x14ac:dyDescent="0.25">
      <c r="A19191" t="s">
        <v>19204</v>
      </c>
      <c r="B19191">
        <v>213</v>
      </c>
      <c r="C19191" s="1" t="str">
        <f>HYPERLINK("http://www.rosaceae.org/gb/gbrowse/malus_x_domestica/?name=MDP0000235699","MDP0000235699")</f>
        <v>MDP0000235699</v>
      </c>
      <c r="D19191">
        <v>68.260000000000005</v>
      </c>
      <c r="E19191">
        <v>208</v>
      </c>
      <c r="F19191">
        <v>66</v>
      </c>
      <c r="G19191">
        <v>19</v>
      </c>
      <c r="H19191">
        <v>6</v>
      </c>
      <c r="I19191">
        <v>213</v>
      </c>
      <c r="J19191">
        <v>1</v>
      </c>
      <c r="K19191">
        <v>4</v>
      </c>
      <c r="L19191">
        <v>192</v>
      </c>
      <c r="M19191">
        <v>1</v>
      </c>
      <c r="N19191">
        <v>1.7060899999999999E-79</v>
      </c>
      <c r="O19191">
        <v>748</v>
      </c>
    </row>
    <row r="19192" spans="1:15" x14ac:dyDescent="0.25">
      <c r="A19192" t="s">
        <v>19205</v>
      </c>
      <c r="B19192">
        <v>614</v>
      </c>
      <c r="C19192" s="1" t="str">
        <f>HYPERLINK("http://www.rosaceae.org/gb/gbrowse/malus_x_domestica/?name=MDP0000138757","MDP0000138757")</f>
        <v>MDP0000138757</v>
      </c>
      <c r="D19192">
        <v>60.12</v>
      </c>
      <c r="E19192">
        <v>637</v>
      </c>
      <c r="F19192">
        <v>254</v>
      </c>
      <c r="G19192">
        <v>40</v>
      </c>
      <c r="H19192">
        <v>1</v>
      </c>
      <c r="I19192">
        <v>614</v>
      </c>
      <c r="J19192">
        <v>1</v>
      </c>
      <c r="K19192">
        <v>1</v>
      </c>
      <c r="L19192">
        <v>620</v>
      </c>
      <c r="M19192">
        <v>1</v>
      </c>
      <c r="N19192">
        <v>0</v>
      </c>
      <c r="O19192">
        <v>1843</v>
      </c>
    </row>
    <row r="19193" spans="1:15" x14ac:dyDescent="0.25">
      <c r="A19193" t="s">
        <v>19206</v>
      </c>
      <c r="B19193">
        <v>869</v>
      </c>
      <c r="C19193" s="1" t="str">
        <f>HYPERLINK("http://www.rosaceae.org/gb/gbrowse/malus_x_domestica/?name=MDP0000255284","MDP0000255284")</f>
        <v>MDP0000255284</v>
      </c>
      <c r="D19193">
        <v>67.7</v>
      </c>
      <c r="E19193">
        <v>514</v>
      </c>
      <c r="F19193">
        <v>166</v>
      </c>
      <c r="G19193">
        <v>27</v>
      </c>
      <c r="H19193">
        <v>376</v>
      </c>
      <c r="I19193">
        <v>868</v>
      </c>
      <c r="J19193">
        <v>1</v>
      </c>
      <c r="K19193">
        <v>126</v>
      </c>
      <c r="L19193">
        <v>633</v>
      </c>
      <c r="M19193">
        <v>1</v>
      </c>
      <c r="N19193">
        <v>0</v>
      </c>
      <c r="O19193">
        <v>1804</v>
      </c>
    </row>
    <row r="19194" spans="1:15" x14ac:dyDescent="0.25">
      <c r="A19194" t="s">
        <v>19207</v>
      </c>
      <c r="B19194">
        <v>352</v>
      </c>
      <c r="C19194" s="1" t="str">
        <f>HYPERLINK("http://www.rosaceae.org/gb/gbrowse/malus_x_domestica/?name=MDP0000314967","MDP0000314967")</f>
        <v>MDP0000314967</v>
      </c>
      <c r="D19194">
        <v>43.75</v>
      </c>
      <c r="E19194">
        <v>160</v>
      </c>
      <c r="F19194">
        <v>90</v>
      </c>
      <c r="G19194">
        <v>64</v>
      </c>
      <c r="H19194">
        <v>74</v>
      </c>
      <c r="I19194">
        <v>233</v>
      </c>
      <c r="J19194">
        <v>1</v>
      </c>
      <c r="K19194">
        <v>62</v>
      </c>
      <c r="L19194">
        <v>157</v>
      </c>
      <c r="M19194">
        <v>1</v>
      </c>
      <c r="N19194">
        <v>1.9642099999999999E-23</v>
      </c>
      <c r="O19194">
        <v>267</v>
      </c>
    </row>
    <row r="19195" spans="1:15" x14ac:dyDescent="0.25">
      <c r="A19195" t="s">
        <v>19208</v>
      </c>
      <c r="B19195">
        <v>1237</v>
      </c>
      <c r="C19195" s="1" t="str">
        <f>HYPERLINK("http://www.rosaceae.org/gb/gbrowse/malus_x_domestica/?name=MDP0000196216","MDP0000196216")</f>
        <v>MDP0000196216</v>
      </c>
      <c r="D19195">
        <v>74.150000000000006</v>
      </c>
      <c r="E19195">
        <v>1122</v>
      </c>
      <c r="F19195">
        <v>290</v>
      </c>
      <c r="G19195">
        <v>47</v>
      </c>
      <c r="H19195">
        <v>106</v>
      </c>
      <c r="I19195">
        <v>1220</v>
      </c>
      <c r="J19195">
        <v>1</v>
      </c>
      <c r="K19195">
        <v>145</v>
      </c>
      <c r="L19195">
        <v>1226</v>
      </c>
      <c r="M19195">
        <v>1</v>
      </c>
      <c r="N19195">
        <v>0</v>
      </c>
      <c r="O19195">
        <v>4324</v>
      </c>
    </row>
    <row r="19196" spans="1:15" x14ac:dyDescent="0.25">
      <c r="A19196" t="s">
        <v>19209</v>
      </c>
      <c r="B19196">
        <v>309</v>
      </c>
      <c r="C19196" s="1" t="str">
        <f>HYPERLINK("http://www.rosaceae.org/gb/gbrowse/malus_x_domestica/?name=MDP0000233286","MDP0000233286")</f>
        <v>MDP0000233286</v>
      </c>
      <c r="D19196">
        <v>73.87</v>
      </c>
      <c r="E19196">
        <v>310</v>
      </c>
      <c r="F19196">
        <v>81</v>
      </c>
      <c r="G19196">
        <v>11</v>
      </c>
      <c r="H19196">
        <v>1</v>
      </c>
      <c r="I19196">
        <v>309</v>
      </c>
      <c r="J19196">
        <v>1</v>
      </c>
      <c r="K19196">
        <v>1</v>
      </c>
      <c r="L19196">
        <v>300</v>
      </c>
      <c r="M19196">
        <v>1</v>
      </c>
      <c r="N19196">
        <v>2.5566499999999999E-127</v>
      </c>
      <c r="O19196">
        <v>1162</v>
      </c>
    </row>
    <row r="19197" spans="1:15" x14ac:dyDescent="0.25">
      <c r="A19197" t="s">
        <v>19210</v>
      </c>
      <c r="B19197">
        <v>708</v>
      </c>
      <c r="C19197" s="1" t="str">
        <f>HYPERLINK("http://www.rosaceae.org/gb/gbrowse/malus_x_domestica/?name=MDP0000295695","MDP0000295695")</f>
        <v>MDP0000295695</v>
      </c>
      <c r="D19197">
        <v>78.88</v>
      </c>
      <c r="E19197">
        <v>322</v>
      </c>
      <c r="F19197">
        <v>68</v>
      </c>
      <c r="G19197">
        <v>0</v>
      </c>
      <c r="H19197">
        <v>357</v>
      </c>
      <c r="I19197">
        <v>678</v>
      </c>
      <c r="J19197">
        <v>1</v>
      </c>
      <c r="K19197">
        <v>428</v>
      </c>
      <c r="L19197">
        <v>749</v>
      </c>
      <c r="M19197">
        <v>1</v>
      </c>
      <c r="N19197">
        <v>1.06624E-148</v>
      </c>
      <c r="O19197">
        <v>1350</v>
      </c>
    </row>
    <row r="19198" spans="1:15" x14ac:dyDescent="0.25">
      <c r="A19198" t="s">
        <v>19211</v>
      </c>
      <c r="B19198">
        <v>336</v>
      </c>
      <c r="C19198" s="1" t="str">
        <f>HYPERLINK("http://www.rosaceae.org/gb/gbrowse/malus_x_domestica/?name=MDP0000154578","MDP0000154578")</f>
        <v>MDP0000154578</v>
      </c>
      <c r="D19198">
        <v>34.72</v>
      </c>
      <c r="E19198">
        <v>383</v>
      </c>
      <c r="F19198">
        <v>250</v>
      </c>
      <c r="G19198">
        <v>79</v>
      </c>
      <c r="H19198">
        <v>1</v>
      </c>
      <c r="I19198">
        <v>335</v>
      </c>
      <c r="J19198">
        <v>1</v>
      </c>
      <c r="K19198">
        <v>3</v>
      </c>
      <c r="L19198">
        <v>354</v>
      </c>
      <c r="M19198">
        <v>1</v>
      </c>
      <c r="N19198">
        <v>8.4811899999999995E-43</v>
      </c>
      <c r="O19198">
        <v>434</v>
      </c>
    </row>
    <row r="19199" spans="1:15" x14ac:dyDescent="0.25">
      <c r="A19199" t="s">
        <v>19212</v>
      </c>
      <c r="B19199">
        <v>309</v>
      </c>
      <c r="C19199" s="1" t="str">
        <f>HYPERLINK("http://www.rosaceae.org/gb/gbrowse/malus_x_domestica/?name=MDP0000181936","MDP0000181936")</f>
        <v>MDP0000181936</v>
      </c>
      <c r="D19199">
        <v>49.24</v>
      </c>
      <c r="E19199">
        <v>266</v>
      </c>
      <c r="F19199">
        <v>135</v>
      </c>
      <c r="G19199">
        <v>23</v>
      </c>
      <c r="H19199">
        <v>52</v>
      </c>
      <c r="I19199">
        <v>298</v>
      </c>
      <c r="J19199">
        <v>1</v>
      </c>
      <c r="K19199">
        <v>24</v>
      </c>
      <c r="L19199">
        <v>285</v>
      </c>
      <c r="M19199">
        <v>1</v>
      </c>
      <c r="N19199">
        <v>1.12846E-70</v>
      </c>
      <c r="O19199">
        <v>674</v>
      </c>
    </row>
    <row r="19200" spans="1:15" x14ac:dyDescent="0.25">
      <c r="A19200" t="s">
        <v>19213</v>
      </c>
      <c r="B19200">
        <v>87</v>
      </c>
      <c r="C19200" s="1" t="str">
        <f>HYPERLINK("http://www.rosaceae.org/gb/gbrowse/malus_x_domestica/?name=MDP0000716623","MDP0000716623")</f>
        <v>MDP0000716623</v>
      </c>
      <c r="D19200">
        <v>52</v>
      </c>
      <c r="E19200">
        <v>75</v>
      </c>
      <c r="F19200">
        <v>36</v>
      </c>
      <c r="G19200">
        <v>3</v>
      </c>
      <c r="H19200">
        <v>16</v>
      </c>
      <c r="I19200">
        <v>87</v>
      </c>
      <c r="J19200">
        <v>1</v>
      </c>
      <c r="K19200">
        <v>341</v>
      </c>
      <c r="L19200">
        <v>415</v>
      </c>
      <c r="M19200">
        <v>1</v>
      </c>
      <c r="N19200">
        <v>5.2553499999999997E-17</v>
      </c>
      <c r="O19200">
        <v>204</v>
      </c>
    </row>
    <row r="19201" spans="1:15" x14ac:dyDescent="0.25">
      <c r="A19201" t="s">
        <v>19214</v>
      </c>
      <c r="B19201">
        <v>253</v>
      </c>
      <c r="C19201" s="1" t="str">
        <f>HYPERLINK("http://www.rosaceae.org/gb/gbrowse/malus_x_domestica/?name=MDP0000400031","MDP0000400031")</f>
        <v>MDP0000400031</v>
      </c>
      <c r="D19201">
        <v>39.44</v>
      </c>
      <c r="E19201">
        <v>218</v>
      </c>
      <c r="F19201">
        <v>132</v>
      </c>
      <c r="G19201">
        <v>28</v>
      </c>
      <c r="H19201">
        <v>44</v>
      </c>
      <c r="I19201">
        <v>240</v>
      </c>
      <c r="J19201">
        <v>1</v>
      </c>
      <c r="K19201">
        <v>36</v>
      </c>
      <c r="L19201">
        <v>246</v>
      </c>
      <c r="M19201">
        <v>1</v>
      </c>
      <c r="N19201">
        <v>1.4723E-29</v>
      </c>
      <c r="O19201">
        <v>318</v>
      </c>
    </row>
    <row r="19202" spans="1:15" x14ac:dyDescent="0.25">
      <c r="A19202" t="s">
        <v>19215</v>
      </c>
      <c r="B19202">
        <v>265</v>
      </c>
      <c r="C19202" s="1" t="str">
        <f>HYPERLINK("http://www.rosaceae.org/gb/gbrowse/malus_x_domestica/?name=MDP0000130897","MDP0000130897")</f>
        <v>MDP0000130897</v>
      </c>
      <c r="D19202">
        <v>29.26</v>
      </c>
      <c r="E19202">
        <v>205</v>
      </c>
      <c r="F19202">
        <v>145</v>
      </c>
      <c r="G19202">
        <v>7</v>
      </c>
      <c r="H19202">
        <v>28</v>
      </c>
      <c r="I19202">
        <v>225</v>
      </c>
      <c r="J19202">
        <v>1</v>
      </c>
      <c r="K19202">
        <v>406</v>
      </c>
      <c r="L19202">
        <v>610</v>
      </c>
      <c r="M19202">
        <v>1</v>
      </c>
      <c r="N19202">
        <v>1.3435799999999999E-26</v>
      </c>
      <c r="O19202">
        <v>293</v>
      </c>
    </row>
    <row r="19203" spans="1:15" x14ac:dyDescent="0.25">
      <c r="A19203" t="s">
        <v>19216</v>
      </c>
      <c r="B19203">
        <v>103</v>
      </c>
      <c r="C19203" s="1" t="str">
        <f>HYPERLINK("http://www.rosaceae.org/gb/gbrowse/malus_x_domestica/?name=MDP0000281474","MDP0000281474")</f>
        <v>MDP0000281474</v>
      </c>
      <c r="D19203">
        <v>64.28</v>
      </c>
      <c r="E19203">
        <v>42</v>
      </c>
      <c r="F19203">
        <v>15</v>
      </c>
      <c r="G19203">
        <v>0</v>
      </c>
      <c r="H19203">
        <v>1</v>
      </c>
      <c r="I19203">
        <v>42</v>
      </c>
      <c r="J19203">
        <v>1</v>
      </c>
      <c r="K19203">
        <v>70</v>
      </c>
      <c r="L19203">
        <v>111</v>
      </c>
      <c r="M19203">
        <v>1</v>
      </c>
      <c r="N19203">
        <v>1.1689299999999999E-8</v>
      </c>
      <c r="O19203">
        <v>132</v>
      </c>
    </row>
    <row r="19204" spans="1:15" x14ac:dyDescent="0.25">
      <c r="A19204" t="s">
        <v>19217</v>
      </c>
      <c r="B19204">
        <v>687</v>
      </c>
      <c r="C19204" s="1" t="str">
        <f>HYPERLINK("http://www.rosaceae.org/gb/gbrowse/malus_x_domestica/?name=MDP0000253287","MDP0000253287")</f>
        <v>MDP0000253287</v>
      </c>
      <c r="D19204">
        <v>84.44</v>
      </c>
      <c r="E19204">
        <v>662</v>
      </c>
      <c r="F19204">
        <v>103</v>
      </c>
      <c r="G19204">
        <v>32</v>
      </c>
      <c r="H19204">
        <v>51</v>
      </c>
      <c r="I19204">
        <v>687</v>
      </c>
      <c r="J19204">
        <v>1</v>
      </c>
      <c r="K19204">
        <v>410</v>
      </c>
      <c r="L19204">
        <v>1064</v>
      </c>
      <c r="M19204">
        <v>1</v>
      </c>
      <c r="N19204">
        <v>0</v>
      </c>
      <c r="O19204">
        <v>2898</v>
      </c>
    </row>
    <row r="19205" spans="1:15" x14ac:dyDescent="0.25">
      <c r="A19205" t="s">
        <v>19218</v>
      </c>
      <c r="B19205">
        <v>981</v>
      </c>
      <c r="C19205" s="1" t="str">
        <f>HYPERLINK("http://www.rosaceae.org/gb/gbrowse/malus_x_domestica/?name=MDP0000139389","MDP0000139389")</f>
        <v>MDP0000139389</v>
      </c>
      <c r="D19205">
        <v>36.61</v>
      </c>
      <c r="E19205">
        <v>568</v>
      </c>
      <c r="F19205">
        <v>360</v>
      </c>
      <c r="G19205">
        <v>85</v>
      </c>
      <c r="H19205">
        <v>1</v>
      </c>
      <c r="I19205">
        <v>502</v>
      </c>
      <c r="J19205">
        <v>1</v>
      </c>
      <c r="K19205">
        <v>3</v>
      </c>
      <c r="L19205">
        <v>551</v>
      </c>
      <c r="M19205">
        <v>1</v>
      </c>
      <c r="N19205">
        <v>3.2314600000000002E-63</v>
      </c>
      <c r="O19205">
        <v>615</v>
      </c>
    </row>
    <row r="19206" spans="1:15" x14ac:dyDescent="0.25">
      <c r="A19206" t="s">
        <v>19219</v>
      </c>
      <c r="B19206">
        <v>811</v>
      </c>
      <c r="C19206" s="1" t="str">
        <f>HYPERLINK("http://www.rosaceae.org/gb/gbrowse/malus_x_domestica/?name=MDP0000239632","MDP0000239632")</f>
        <v>MDP0000239632</v>
      </c>
      <c r="D19206">
        <v>37.5</v>
      </c>
      <c r="E19206">
        <v>104</v>
      </c>
      <c r="F19206">
        <v>65</v>
      </c>
      <c r="G19206">
        <v>21</v>
      </c>
      <c r="H19206">
        <v>572</v>
      </c>
      <c r="I19206">
        <v>654</v>
      </c>
      <c r="J19206">
        <v>1</v>
      </c>
      <c r="K19206">
        <v>253</v>
      </c>
      <c r="L19206">
        <v>356</v>
      </c>
      <c r="M19206">
        <v>1</v>
      </c>
      <c r="N19206">
        <v>2.5044499999999999E-7</v>
      </c>
      <c r="O19206">
        <v>132</v>
      </c>
    </row>
    <row r="19207" spans="1:15" x14ac:dyDescent="0.25">
      <c r="A19207" t="s">
        <v>19220</v>
      </c>
      <c r="B19207">
        <v>469</v>
      </c>
      <c r="C19207" s="1" t="str">
        <f>HYPERLINK("http://www.rosaceae.org/gb/gbrowse/malus_x_domestica/?name=MDP0000235548","MDP0000235548")</f>
        <v>MDP0000235548</v>
      </c>
      <c r="D19207">
        <v>69.53</v>
      </c>
      <c r="E19207">
        <v>476</v>
      </c>
      <c r="F19207">
        <v>145</v>
      </c>
      <c r="G19207">
        <v>55</v>
      </c>
      <c r="H19207">
        <v>1</v>
      </c>
      <c r="I19207">
        <v>456</v>
      </c>
      <c r="J19207">
        <v>1</v>
      </c>
      <c r="K19207">
        <v>40</v>
      </c>
      <c r="L19207">
        <v>480</v>
      </c>
      <c r="M19207">
        <v>1</v>
      </c>
      <c r="N19207">
        <v>0</v>
      </c>
      <c r="O19207">
        <v>1706</v>
      </c>
    </row>
    <row r="19208" spans="1:15" x14ac:dyDescent="0.25">
      <c r="A19208" t="s">
        <v>19221</v>
      </c>
      <c r="B19208">
        <v>258</v>
      </c>
      <c r="C19208" s="1" t="str">
        <f>HYPERLINK("http://www.rosaceae.org/gb/gbrowse/malus_x_domestica/?name=MDP0000136626","MDP0000136626")</f>
        <v>MDP0000136626</v>
      </c>
      <c r="D19208">
        <v>56.61</v>
      </c>
      <c r="E19208">
        <v>136</v>
      </c>
      <c r="F19208">
        <v>59</v>
      </c>
      <c r="G19208">
        <v>11</v>
      </c>
      <c r="H19208">
        <v>123</v>
      </c>
      <c r="I19208">
        <v>258</v>
      </c>
      <c r="J19208">
        <v>1</v>
      </c>
      <c r="K19208">
        <v>210</v>
      </c>
      <c r="L19208">
        <v>334</v>
      </c>
      <c r="M19208">
        <v>1</v>
      </c>
      <c r="N19208">
        <v>2.3046399999999998E-34</v>
      </c>
      <c r="O19208">
        <v>359</v>
      </c>
    </row>
    <row r="19209" spans="1:15" x14ac:dyDescent="0.25">
      <c r="A19209" t="s">
        <v>19222</v>
      </c>
      <c r="B19209">
        <v>427</v>
      </c>
      <c r="C19209" s="1" t="str">
        <f>HYPERLINK("http://www.rosaceae.org/gb/gbrowse/malus_x_domestica/?name=MDP0000180888","MDP0000180888")</f>
        <v>MDP0000180888</v>
      </c>
      <c r="D19209">
        <v>85.04</v>
      </c>
      <c r="E19209">
        <v>428</v>
      </c>
      <c r="F19209">
        <v>64</v>
      </c>
      <c r="G19209">
        <v>2</v>
      </c>
      <c r="H19209">
        <v>1</v>
      </c>
      <c r="I19209">
        <v>426</v>
      </c>
      <c r="J19209">
        <v>1</v>
      </c>
      <c r="K19209">
        <v>1</v>
      </c>
      <c r="L19209">
        <v>428</v>
      </c>
      <c r="M19209">
        <v>1</v>
      </c>
      <c r="N19209">
        <v>0</v>
      </c>
      <c r="O19209">
        <v>1964</v>
      </c>
    </row>
    <row r="19210" spans="1:15" x14ac:dyDescent="0.25">
      <c r="A19210" t="s">
        <v>19223</v>
      </c>
      <c r="B19210">
        <v>523</v>
      </c>
      <c r="C19210" s="1" t="str">
        <f>HYPERLINK("http://www.rosaceae.org/gb/gbrowse/malus_x_domestica/?name=MDP0000131269","MDP0000131269")</f>
        <v>MDP0000131269</v>
      </c>
      <c r="D19210">
        <v>89.85</v>
      </c>
      <c r="E19210">
        <v>483</v>
      </c>
      <c r="F19210">
        <v>49</v>
      </c>
      <c r="G19210">
        <v>5</v>
      </c>
      <c r="H19210">
        <v>46</v>
      </c>
      <c r="I19210">
        <v>523</v>
      </c>
      <c r="J19210">
        <v>1</v>
      </c>
      <c r="K19210">
        <v>45</v>
      </c>
      <c r="L19210">
        <v>527</v>
      </c>
      <c r="M19210">
        <v>1</v>
      </c>
      <c r="N19210">
        <v>0</v>
      </c>
      <c r="O19210">
        <v>2378</v>
      </c>
    </row>
    <row r="19211" spans="1:15" x14ac:dyDescent="0.25">
      <c r="A19211" t="s">
        <v>19224</v>
      </c>
      <c r="B19211">
        <v>127</v>
      </c>
      <c r="C19211" s="1" t="str">
        <f>HYPERLINK("http://www.rosaceae.org/gb/gbrowse/malus_x_domestica/?name=MDP0000298577","MDP0000298577")</f>
        <v>MDP0000298577</v>
      </c>
      <c r="D19211">
        <v>40.799999999999997</v>
      </c>
      <c r="E19211">
        <v>125</v>
      </c>
      <c r="F19211">
        <v>74</v>
      </c>
      <c r="G19211">
        <v>14</v>
      </c>
      <c r="H19211">
        <v>1</v>
      </c>
      <c r="I19211">
        <v>114</v>
      </c>
      <c r="J19211">
        <v>1</v>
      </c>
      <c r="K19211">
        <v>1</v>
      </c>
      <c r="L19211">
        <v>122</v>
      </c>
      <c r="M19211">
        <v>1</v>
      </c>
      <c r="N19211">
        <v>3.4252299999999998E-15</v>
      </c>
      <c r="O19211">
        <v>189</v>
      </c>
    </row>
    <row r="19212" spans="1:15" x14ac:dyDescent="0.25">
      <c r="A19212" t="s">
        <v>19225</v>
      </c>
      <c r="B19212">
        <v>379</v>
      </c>
      <c r="C19212" s="1" t="str">
        <f>HYPERLINK("http://www.rosaceae.org/gb/gbrowse/malus_x_domestica/?name=MDP0000495467","MDP0000495467")</f>
        <v>MDP0000495467</v>
      </c>
      <c r="D19212">
        <v>67.63</v>
      </c>
      <c r="E19212">
        <v>380</v>
      </c>
      <c r="F19212">
        <v>123</v>
      </c>
      <c r="G19212">
        <v>4</v>
      </c>
      <c r="H19212">
        <v>1</v>
      </c>
      <c r="I19212">
        <v>379</v>
      </c>
      <c r="J19212">
        <v>1</v>
      </c>
      <c r="K19212">
        <v>1</v>
      </c>
      <c r="L19212">
        <v>377</v>
      </c>
      <c r="M19212">
        <v>1</v>
      </c>
      <c r="N19212">
        <v>1.7329199999999999E-153</v>
      </c>
      <c r="O19212">
        <v>1389</v>
      </c>
    </row>
    <row r="19213" spans="1:15" x14ac:dyDescent="0.25">
      <c r="A19213" t="s">
        <v>19226</v>
      </c>
      <c r="B19213">
        <v>591</v>
      </c>
      <c r="C19213" s="1" t="str">
        <f>HYPERLINK("http://www.rosaceae.org/gb/gbrowse/malus_x_domestica/?name=MDP0000231799","MDP0000231799")</f>
        <v>MDP0000231799</v>
      </c>
      <c r="D19213">
        <v>81.260000000000005</v>
      </c>
      <c r="E19213">
        <v>587</v>
      </c>
      <c r="F19213">
        <v>110</v>
      </c>
      <c r="G19213">
        <v>27</v>
      </c>
      <c r="H19213">
        <v>1</v>
      </c>
      <c r="I19213">
        <v>586</v>
      </c>
      <c r="J19213">
        <v>1</v>
      </c>
      <c r="K19213">
        <v>1</v>
      </c>
      <c r="L19213">
        <v>561</v>
      </c>
      <c r="M19213">
        <v>1</v>
      </c>
      <c r="N19213">
        <v>0</v>
      </c>
      <c r="O19213">
        <v>2441</v>
      </c>
    </row>
    <row r="19214" spans="1:15" x14ac:dyDescent="0.25">
      <c r="A19214" t="s">
        <v>19227</v>
      </c>
      <c r="B19214">
        <v>136</v>
      </c>
      <c r="C19214" s="1" t="str">
        <f>HYPERLINK("http://www.rosaceae.org/gb/gbrowse/malus_x_domestica/?name=MDP0000233392","MDP0000233392")</f>
        <v>MDP0000233392</v>
      </c>
      <c r="D19214">
        <v>53.89</v>
      </c>
      <c r="E19214">
        <v>154</v>
      </c>
      <c r="F19214">
        <v>71</v>
      </c>
      <c r="G19214">
        <v>29</v>
      </c>
      <c r="H19214">
        <v>3</v>
      </c>
      <c r="I19214">
        <v>136</v>
      </c>
      <c r="J19214">
        <v>1</v>
      </c>
      <c r="K19214">
        <v>32</v>
      </c>
      <c r="L19214">
        <v>176</v>
      </c>
      <c r="M19214">
        <v>1</v>
      </c>
      <c r="N19214">
        <v>6.6749799999999998E-34</v>
      </c>
      <c r="O19214">
        <v>351</v>
      </c>
    </row>
    <row r="19215" spans="1:15" x14ac:dyDescent="0.25">
      <c r="A19215" t="s">
        <v>19228</v>
      </c>
      <c r="B19215">
        <v>1412</v>
      </c>
      <c r="C19215" s="1" t="str">
        <f>HYPERLINK("http://www.rosaceae.org/gb/gbrowse/malus_x_domestica/?name=MDP0000322037","MDP0000322037")</f>
        <v>MDP0000322037</v>
      </c>
      <c r="D19215">
        <v>76.790000000000006</v>
      </c>
      <c r="E19215">
        <v>767</v>
      </c>
      <c r="F19215">
        <v>178</v>
      </c>
      <c r="G19215">
        <v>1</v>
      </c>
      <c r="H19215">
        <v>1</v>
      </c>
      <c r="I19215">
        <v>767</v>
      </c>
      <c r="J19215">
        <v>1</v>
      </c>
      <c r="K19215">
        <v>74</v>
      </c>
      <c r="L19215">
        <v>839</v>
      </c>
      <c r="M19215">
        <v>1</v>
      </c>
      <c r="N19215">
        <v>0</v>
      </c>
      <c r="O19215">
        <v>3326</v>
      </c>
    </row>
    <row r="19216" spans="1:15" x14ac:dyDescent="0.25">
      <c r="A19216" t="s">
        <v>19229</v>
      </c>
      <c r="B19216">
        <v>614</v>
      </c>
      <c r="C19216" s="1" t="str">
        <f>HYPERLINK("http://www.rosaceae.org/gb/gbrowse/malus_x_domestica/?name=MDP0000202468","MDP0000202468")</f>
        <v>MDP0000202468</v>
      </c>
      <c r="D19216">
        <v>71.989999999999995</v>
      </c>
      <c r="E19216">
        <v>482</v>
      </c>
      <c r="F19216">
        <v>135</v>
      </c>
      <c r="G19216">
        <v>43</v>
      </c>
      <c r="H19216">
        <v>72</v>
      </c>
      <c r="I19216">
        <v>515</v>
      </c>
      <c r="J19216">
        <v>1</v>
      </c>
      <c r="K19216">
        <v>138</v>
      </c>
      <c r="L19216">
        <v>614</v>
      </c>
      <c r="M19216">
        <v>1</v>
      </c>
      <c r="N19216">
        <v>0</v>
      </c>
      <c r="O19216">
        <v>1691</v>
      </c>
    </row>
    <row r="19217" spans="1:15" x14ac:dyDescent="0.25">
      <c r="A19217" t="s">
        <v>19230</v>
      </c>
      <c r="B19217">
        <v>429</v>
      </c>
      <c r="C19217" s="1" t="str">
        <f>HYPERLINK("http://www.rosaceae.org/gb/gbrowse/malus_x_domestica/?name=MDP0000298680","MDP0000298680")</f>
        <v>MDP0000298680</v>
      </c>
      <c r="D19217">
        <v>66.28</v>
      </c>
      <c r="E19217">
        <v>433</v>
      </c>
      <c r="F19217">
        <v>146</v>
      </c>
      <c r="G19217">
        <v>17</v>
      </c>
      <c r="H19217">
        <v>4</v>
      </c>
      <c r="I19217">
        <v>420</v>
      </c>
      <c r="J19217">
        <v>1</v>
      </c>
      <c r="K19217">
        <v>1</v>
      </c>
      <c r="L19217">
        <v>432</v>
      </c>
      <c r="M19217">
        <v>1</v>
      </c>
      <c r="N19217">
        <v>1.5917700000000001E-166</v>
      </c>
      <c r="O19217">
        <v>1502</v>
      </c>
    </row>
    <row r="19218" spans="1:15" x14ac:dyDescent="0.25">
      <c r="A19218" t="s">
        <v>19231</v>
      </c>
      <c r="B19218">
        <v>628</v>
      </c>
      <c r="C19218" s="1" t="str">
        <f>HYPERLINK("http://www.rosaceae.org/gb/gbrowse/malus_x_domestica/?name=MDP0000154972","MDP0000154972")</f>
        <v>MDP0000154972</v>
      </c>
      <c r="D19218">
        <v>59.81</v>
      </c>
      <c r="E19218">
        <v>652</v>
      </c>
      <c r="F19218">
        <v>262</v>
      </c>
      <c r="G19218">
        <v>35</v>
      </c>
      <c r="H19218">
        <v>1</v>
      </c>
      <c r="I19218">
        <v>626</v>
      </c>
      <c r="J19218">
        <v>1</v>
      </c>
      <c r="K19218">
        <v>1</v>
      </c>
      <c r="L19218">
        <v>643</v>
      </c>
      <c r="M19218">
        <v>1</v>
      </c>
      <c r="N19218">
        <v>0</v>
      </c>
      <c r="O19218">
        <v>1754</v>
      </c>
    </row>
    <row r="19219" spans="1:15" x14ac:dyDescent="0.25">
      <c r="A19219" t="s">
        <v>19232</v>
      </c>
      <c r="B19219">
        <v>202</v>
      </c>
      <c r="C19219" s="1" t="str">
        <f>HYPERLINK("http://www.rosaceae.org/gb/gbrowse/malus_x_domestica/?name=MDP0000275270","MDP0000275270")</f>
        <v>MDP0000275270</v>
      </c>
      <c r="D19219">
        <v>52.52</v>
      </c>
      <c r="E19219">
        <v>99</v>
      </c>
      <c r="F19219">
        <v>47</v>
      </c>
      <c r="G19219">
        <v>6</v>
      </c>
      <c r="H19219">
        <v>33</v>
      </c>
      <c r="I19219">
        <v>129</v>
      </c>
      <c r="J19219">
        <v>1</v>
      </c>
      <c r="K19219">
        <v>218</v>
      </c>
      <c r="L19219">
        <v>312</v>
      </c>
      <c r="M19219">
        <v>1</v>
      </c>
      <c r="N19219">
        <v>3.1003799999999998E-17</v>
      </c>
      <c r="O19219">
        <v>210</v>
      </c>
    </row>
    <row r="19220" spans="1:15" x14ac:dyDescent="0.25">
      <c r="A19220" t="s">
        <v>19233</v>
      </c>
      <c r="B19220">
        <v>303</v>
      </c>
      <c r="C19220" s="1" t="str">
        <f>HYPERLINK("http://www.rosaceae.org/gb/gbrowse/malus_x_domestica/?name=MDP0000263959","MDP0000263959")</f>
        <v>MDP0000263959</v>
      </c>
      <c r="D19220">
        <v>44.04</v>
      </c>
      <c r="E19220">
        <v>84</v>
      </c>
      <c r="F19220">
        <v>47</v>
      </c>
      <c r="G19220">
        <v>3</v>
      </c>
      <c r="H19220">
        <v>25</v>
      </c>
      <c r="I19220">
        <v>108</v>
      </c>
      <c r="J19220">
        <v>1</v>
      </c>
      <c r="K19220">
        <v>407</v>
      </c>
      <c r="L19220">
        <v>487</v>
      </c>
      <c r="M19220">
        <v>1</v>
      </c>
      <c r="N19220">
        <v>1.1815200000000001E-11</v>
      </c>
      <c r="O19220">
        <v>165</v>
      </c>
    </row>
    <row r="19221" spans="1:15" x14ac:dyDescent="0.25">
      <c r="A19221" t="s">
        <v>19234</v>
      </c>
      <c r="B19221">
        <v>677</v>
      </c>
      <c r="C19221" s="1" t="str">
        <f>HYPERLINK("http://www.rosaceae.org/gb/gbrowse/malus_x_domestica/?name=MDP0000319620","MDP0000319620")</f>
        <v>MDP0000319620</v>
      </c>
      <c r="D19221">
        <v>46.42</v>
      </c>
      <c r="E19221">
        <v>489</v>
      </c>
      <c r="F19221">
        <v>262</v>
      </c>
      <c r="G19221">
        <v>105</v>
      </c>
      <c r="H19221">
        <v>162</v>
      </c>
      <c r="I19221">
        <v>632</v>
      </c>
      <c r="J19221">
        <v>1</v>
      </c>
      <c r="K19221">
        <v>486</v>
      </c>
      <c r="L19221">
        <v>887</v>
      </c>
      <c r="M19221">
        <v>1</v>
      </c>
      <c r="N19221">
        <v>5.1645300000000002E-96</v>
      </c>
      <c r="O19221">
        <v>896</v>
      </c>
    </row>
    <row r="19222" spans="1:15" x14ac:dyDescent="0.25">
      <c r="A19222" t="s">
        <v>19235</v>
      </c>
      <c r="B19222">
        <v>420</v>
      </c>
      <c r="C19222" s="1" t="str">
        <f>HYPERLINK("http://www.rosaceae.org/gb/gbrowse/malus_x_domestica/?name=MDP0000318911","MDP0000318911")</f>
        <v>MDP0000318911</v>
      </c>
      <c r="D19222">
        <v>78.19</v>
      </c>
      <c r="E19222">
        <v>321</v>
      </c>
      <c r="F19222">
        <v>70</v>
      </c>
      <c r="G19222">
        <v>2</v>
      </c>
      <c r="H19222">
        <v>1</v>
      </c>
      <c r="I19222">
        <v>321</v>
      </c>
      <c r="J19222">
        <v>1</v>
      </c>
      <c r="K19222">
        <v>2</v>
      </c>
      <c r="L19222">
        <v>320</v>
      </c>
      <c r="M19222">
        <v>1</v>
      </c>
      <c r="N19222">
        <v>3.7366500000000001E-147</v>
      </c>
      <c r="O19222">
        <v>1335</v>
      </c>
    </row>
    <row r="19223" spans="1:15" x14ac:dyDescent="0.25">
      <c r="A19223" t="s">
        <v>19236</v>
      </c>
      <c r="B19223">
        <v>518</v>
      </c>
      <c r="C19223" s="1" t="str">
        <f>HYPERLINK("http://www.rosaceae.org/gb/gbrowse/malus_x_domestica/?name=MDP0000262329","MDP0000262329")</f>
        <v>MDP0000262329</v>
      </c>
      <c r="D19223">
        <v>60.93</v>
      </c>
      <c r="E19223">
        <v>384</v>
      </c>
      <c r="F19223">
        <v>150</v>
      </c>
      <c r="G19223">
        <v>37</v>
      </c>
      <c r="H19223">
        <v>163</v>
      </c>
      <c r="I19223">
        <v>512</v>
      </c>
      <c r="J19223">
        <v>1</v>
      </c>
      <c r="K19223">
        <v>1</v>
      </c>
      <c r="L19223">
        <v>381</v>
      </c>
      <c r="M19223">
        <v>1</v>
      </c>
      <c r="N19223">
        <v>4.23631E-119</v>
      </c>
      <c r="O19223">
        <v>1094</v>
      </c>
    </row>
    <row r="19224" spans="1:15" x14ac:dyDescent="0.25">
      <c r="A19224" t="s">
        <v>19237</v>
      </c>
      <c r="B19224">
        <v>371</v>
      </c>
      <c r="C19224" s="1" t="str">
        <f>HYPERLINK("http://www.rosaceae.org/gb/gbrowse/malus_x_domestica/?name=MDP0000243322","MDP0000243322")</f>
        <v>MDP0000243322</v>
      </c>
      <c r="D19224">
        <v>63.91</v>
      </c>
      <c r="E19224">
        <v>327</v>
      </c>
      <c r="F19224">
        <v>118</v>
      </c>
      <c r="G19224">
        <v>20</v>
      </c>
      <c r="H19224">
        <v>38</v>
      </c>
      <c r="I19224">
        <v>350</v>
      </c>
      <c r="J19224">
        <v>1</v>
      </c>
      <c r="K19224">
        <v>1</v>
      </c>
      <c r="L19224">
        <v>321</v>
      </c>
      <c r="M19224">
        <v>1</v>
      </c>
      <c r="N19224">
        <v>3.1367400000000001E-105</v>
      </c>
      <c r="O19224">
        <v>973</v>
      </c>
    </row>
    <row r="19225" spans="1:15" x14ac:dyDescent="0.25">
      <c r="A19225" t="s">
        <v>19238</v>
      </c>
      <c r="B19225">
        <v>306</v>
      </c>
      <c r="C19225" s="1" t="str">
        <f>HYPERLINK("http://www.rosaceae.org/gb/gbrowse/malus_x_domestica/?name=MDP0000646524","MDP0000646524")</f>
        <v>MDP0000646524</v>
      </c>
      <c r="D19225">
        <v>99.67</v>
      </c>
      <c r="E19225">
        <v>304</v>
      </c>
      <c r="F19225">
        <v>1</v>
      </c>
      <c r="G19225">
        <v>0</v>
      </c>
      <c r="H19225">
        <v>1</v>
      </c>
      <c r="I19225">
        <v>304</v>
      </c>
      <c r="J19225">
        <v>1</v>
      </c>
      <c r="K19225">
        <v>464</v>
      </c>
      <c r="L19225">
        <v>767</v>
      </c>
      <c r="M19225">
        <v>1</v>
      </c>
      <c r="N19225">
        <v>2.1747300000000001E-174</v>
      </c>
      <c r="O19225">
        <v>1568</v>
      </c>
    </row>
    <row r="19226" spans="1:15" x14ac:dyDescent="0.25">
      <c r="A19226" t="s">
        <v>19239</v>
      </c>
      <c r="B19226">
        <v>622</v>
      </c>
      <c r="C19226" s="1" t="str">
        <f>HYPERLINK("http://www.rosaceae.org/gb/gbrowse/malus_x_domestica/?name=MDP0000942453","MDP0000942453")</f>
        <v>MDP0000942453</v>
      </c>
      <c r="D19226">
        <v>56.41</v>
      </c>
      <c r="E19226">
        <v>491</v>
      </c>
      <c r="F19226">
        <v>214</v>
      </c>
      <c r="G19226">
        <v>57</v>
      </c>
      <c r="H19226">
        <v>21</v>
      </c>
      <c r="I19226">
        <v>466</v>
      </c>
      <c r="J19226">
        <v>1</v>
      </c>
      <c r="K19226">
        <v>50</v>
      </c>
      <c r="L19226">
        <v>528</v>
      </c>
      <c r="M19226">
        <v>1</v>
      </c>
      <c r="N19226">
        <v>6.5841500000000005E-135</v>
      </c>
      <c r="O19226">
        <v>1231</v>
      </c>
    </row>
    <row r="19227" spans="1:15" x14ac:dyDescent="0.25">
      <c r="A19227" t="s">
        <v>19240</v>
      </c>
      <c r="B19227">
        <v>514</v>
      </c>
      <c r="C19227" s="1" t="str">
        <f>HYPERLINK("http://www.rosaceae.org/gb/gbrowse/malus_x_domestica/?name=MDP0000119433","MDP0000119433")</f>
        <v>MDP0000119433</v>
      </c>
      <c r="D19227">
        <v>65.16</v>
      </c>
      <c r="E19227">
        <v>511</v>
      </c>
      <c r="F19227">
        <v>178</v>
      </c>
      <c r="G19227">
        <v>10</v>
      </c>
      <c r="H19227">
        <v>1</v>
      </c>
      <c r="I19227">
        <v>508</v>
      </c>
      <c r="J19227">
        <v>1</v>
      </c>
      <c r="K19227">
        <v>1</v>
      </c>
      <c r="L19227">
        <v>504</v>
      </c>
      <c r="M19227">
        <v>1</v>
      </c>
      <c r="N19227">
        <v>0</v>
      </c>
      <c r="O19227">
        <v>1695</v>
      </c>
    </row>
    <row r="19228" spans="1:15" x14ac:dyDescent="0.25">
      <c r="A19228" t="s">
        <v>19241</v>
      </c>
      <c r="B19228">
        <v>989</v>
      </c>
      <c r="C19228" s="1" t="str">
        <f>HYPERLINK("http://www.rosaceae.org/gb/gbrowse/malus_x_domestica/?name=MDP0000020140","MDP0000020140")</f>
        <v>MDP0000020140</v>
      </c>
      <c r="D19228">
        <v>57.66</v>
      </c>
      <c r="E19228">
        <v>744</v>
      </c>
      <c r="F19228">
        <v>315</v>
      </c>
      <c r="G19228">
        <v>55</v>
      </c>
      <c r="H19228">
        <v>250</v>
      </c>
      <c r="I19228">
        <v>946</v>
      </c>
      <c r="J19228">
        <v>1</v>
      </c>
      <c r="K19228">
        <v>4</v>
      </c>
      <c r="L19228">
        <v>739</v>
      </c>
      <c r="M19228">
        <v>1</v>
      </c>
      <c r="N19228">
        <v>0</v>
      </c>
      <c r="O19228">
        <v>2158</v>
      </c>
    </row>
    <row r="19229" spans="1:15" x14ac:dyDescent="0.25">
      <c r="A19229" t="s">
        <v>19242</v>
      </c>
      <c r="B19229">
        <v>270</v>
      </c>
      <c r="C19229" s="1" t="str">
        <f>HYPERLINK("http://www.rosaceae.org/gb/gbrowse/malus_x_domestica/?name=MDP0000010661","MDP0000010661")</f>
        <v>MDP0000010661</v>
      </c>
      <c r="D19229">
        <v>69.25</v>
      </c>
      <c r="E19229">
        <v>270</v>
      </c>
      <c r="F19229">
        <v>83</v>
      </c>
      <c r="G19229">
        <v>6</v>
      </c>
      <c r="H19229">
        <v>1</v>
      </c>
      <c r="I19229">
        <v>270</v>
      </c>
      <c r="J19229">
        <v>1</v>
      </c>
      <c r="K19229">
        <v>1</v>
      </c>
      <c r="L19229">
        <v>264</v>
      </c>
      <c r="M19229">
        <v>1</v>
      </c>
      <c r="N19229">
        <v>1.18396E-106</v>
      </c>
      <c r="O19229">
        <v>983</v>
      </c>
    </row>
    <row r="19230" spans="1:15" x14ac:dyDescent="0.25">
      <c r="A19230" t="s">
        <v>19243</v>
      </c>
      <c r="B19230">
        <v>639</v>
      </c>
      <c r="C19230" s="1" t="str">
        <f>HYPERLINK("http://www.rosaceae.org/gb/gbrowse/malus_x_domestica/?name=MDP0000146606","MDP0000146606")</f>
        <v>MDP0000146606</v>
      </c>
      <c r="D19230">
        <v>77.16</v>
      </c>
      <c r="E19230">
        <v>670</v>
      </c>
      <c r="F19230">
        <v>153</v>
      </c>
      <c r="G19230">
        <v>37</v>
      </c>
      <c r="H19230">
        <v>3</v>
      </c>
      <c r="I19230">
        <v>638</v>
      </c>
      <c r="J19230">
        <v>1</v>
      </c>
      <c r="K19230">
        <v>2</v>
      </c>
      <c r="L19230">
        <v>668</v>
      </c>
      <c r="M19230">
        <v>1</v>
      </c>
      <c r="N19230">
        <v>0</v>
      </c>
      <c r="O19230">
        <v>2705</v>
      </c>
    </row>
    <row r="19231" spans="1:15" x14ac:dyDescent="0.25">
      <c r="A19231" t="s">
        <v>19244</v>
      </c>
      <c r="B19231">
        <v>316</v>
      </c>
      <c r="C19231" s="1" t="str">
        <f>HYPERLINK("http://www.rosaceae.org/gb/gbrowse/malus_x_domestica/?name=MDP0000317741","MDP0000317741")</f>
        <v>MDP0000317741</v>
      </c>
      <c r="D19231">
        <v>48.95</v>
      </c>
      <c r="E19231">
        <v>96</v>
      </c>
      <c r="F19231">
        <v>49</v>
      </c>
      <c r="G19231">
        <v>0</v>
      </c>
      <c r="H19231">
        <v>48</v>
      </c>
      <c r="I19231">
        <v>143</v>
      </c>
      <c r="J19231">
        <v>1</v>
      </c>
      <c r="K19231">
        <v>175</v>
      </c>
      <c r="L19231">
        <v>270</v>
      </c>
      <c r="M19231">
        <v>1</v>
      </c>
      <c r="N19231">
        <v>5.5371799999999999E-23</v>
      </c>
      <c r="O19231">
        <v>262</v>
      </c>
    </row>
    <row r="19232" spans="1:15" x14ac:dyDescent="0.25">
      <c r="A19232" t="s">
        <v>19245</v>
      </c>
      <c r="B19232">
        <v>464</v>
      </c>
      <c r="C19232" s="1" t="str">
        <f>HYPERLINK("http://www.rosaceae.org/gb/gbrowse/malus_x_domestica/?name=MDP0000253390","MDP0000253390")</f>
        <v>MDP0000253390</v>
      </c>
      <c r="D19232">
        <v>74.39</v>
      </c>
      <c r="E19232">
        <v>496</v>
      </c>
      <c r="F19232">
        <v>127</v>
      </c>
      <c r="G19232">
        <v>33</v>
      </c>
      <c r="H19232">
        <v>1</v>
      </c>
      <c r="I19232">
        <v>464</v>
      </c>
      <c r="J19232">
        <v>1</v>
      </c>
      <c r="K19232">
        <v>1</v>
      </c>
      <c r="L19232">
        <v>495</v>
      </c>
      <c r="M19232">
        <v>1</v>
      </c>
      <c r="N19232">
        <v>0</v>
      </c>
      <c r="O19232">
        <v>1880</v>
      </c>
    </row>
    <row r="19233" spans="1:15" x14ac:dyDescent="0.25">
      <c r="A19233" t="s">
        <v>19246</v>
      </c>
      <c r="B19233">
        <v>501</v>
      </c>
      <c r="C19233" s="1" t="str">
        <f>HYPERLINK("http://www.rosaceae.org/gb/gbrowse/malus_x_domestica/?name=MDP0000239070","MDP0000239070")</f>
        <v>MDP0000239070</v>
      </c>
      <c r="D19233">
        <v>61.18</v>
      </c>
      <c r="E19233">
        <v>237</v>
      </c>
      <c r="F19233">
        <v>92</v>
      </c>
      <c r="G19233">
        <v>9</v>
      </c>
      <c r="H19233">
        <v>268</v>
      </c>
      <c r="I19233">
        <v>501</v>
      </c>
      <c r="J19233">
        <v>1</v>
      </c>
      <c r="K19233">
        <v>274</v>
      </c>
      <c r="L19233">
        <v>504</v>
      </c>
      <c r="M19233">
        <v>1</v>
      </c>
      <c r="N19233">
        <v>4.7368100000000004E-77</v>
      </c>
      <c r="O19233">
        <v>731</v>
      </c>
    </row>
    <row r="19234" spans="1:15" x14ac:dyDescent="0.25">
      <c r="A19234" t="s">
        <v>19247</v>
      </c>
      <c r="B19234">
        <v>490</v>
      </c>
      <c r="C19234" s="1" t="str">
        <f>HYPERLINK("http://www.rosaceae.org/gb/gbrowse/malus_x_domestica/?name=MDP0000160938","MDP0000160938")</f>
        <v>MDP0000160938</v>
      </c>
      <c r="D19234">
        <v>73.36</v>
      </c>
      <c r="E19234">
        <v>443</v>
      </c>
      <c r="F19234">
        <v>118</v>
      </c>
      <c r="G19234">
        <v>5</v>
      </c>
      <c r="H19234">
        <v>44</v>
      </c>
      <c r="I19234">
        <v>483</v>
      </c>
      <c r="J19234">
        <v>1</v>
      </c>
      <c r="K19234">
        <v>213</v>
      </c>
      <c r="L19234">
        <v>653</v>
      </c>
      <c r="M19234">
        <v>1</v>
      </c>
      <c r="N19234">
        <v>0</v>
      </c>
      <c r="O19234">
        <v>1684</v>
      </c>
    </row>
    <row r="19235" spans="1:15" x14ac:dyDescent="0.25">
      <c r="A19235" t="s">
        <v>19248</v>
      </c>
      <c r="B19235">
        <v>1870</v>
      </c>
      <c r="C19235" s="1" t="str">
        <f>HYPERLINK("http://www.rosaceae.org/gb/gbrowse/malus_x_domestica/?name=MDP0000286589","MDP0000286589")</f>
        <v>MDP0000286589</v>
      </c>
      <c r="D19235">
        <v>70.760000000000005</v>
      </c>
      <c r="E19235">
        <v>1823</v>
      </c>
      <c r="F19235">
        <v>533</v>
      </c>
      <c r="G19235">
        <v>55</v>
      </c>
      <c r="H19235">
        <v>1</v>
      </c>
      <c r="I19235">
        <v>1785</v>
      </c>
      <c r="J19235">
        <v>1</v>
      </c>
      <c r="K19235">
        <v>679</v>
      </c>
      <c r="L19235">
        <v>2484</v>
      </c>
      <c r="M19235">
        <v>1</v>
      </c>
      <c r="N19235">
        <v>0</v>
      </c>
      <c r="O19235">
        <v>6507</v>
      </c>
    </row>
    <row r="19236" spans="1:15" x14ac:dyDescent="0.25">
      <c r="A19236" t="s">
        <v>19249</v>
      </c>
      <c r="B19236">
        <v>542</v>
      </c>
      <c r="C19236" s="1" t="str">
        <f>HYPERLINK("http://www.rosaceae.org/gb/gbrowse/malus_x_domestica/?name=MDP0000290662","MDP0000290662")</f>
        <v>MDP0000290662</v>
      </c>
      <c r="D19236">
        <v>69.27</v>
      </c>
      <c r="E19236">
        <v>511</v>
      </c>
      <c r="F19236">
        <v>157</v>
      </c>
      <c r="G19236">
        <v>19</v>
      </c>
      <c r="H19236">
        <v>34</v>
      </c>
      <c r="I19236">
        <v>541</v>
      </c>
      <c r="J19236">
        <v>1</v>
      </c>
      <c r="K19236">
        <v>10</v>
      </c>
      <c r="L19236">
        <v>504</v>
      </c>
      <c r="M19236">
        <v>1</v>
      </c>
      <c r="N19236">
        <v>0</v>
      </c>
      <c r="O19236">
        <v>1883</v>
      </c>
    </row>
    <row r="19237" spans="1:15" x14ac:dyDescent="0.25">
      <c r="A19237" t="s">
        <v>19250</v>
      </c>
      <c r="B19237">
        <v>211</v>
      </c>
      <c r="C19237" s="1" t="str">
        <f>HYPERLINK("http://www.rosaceae.org/gb/gbrowse/malus_x_domestica/?name=MDP0000296553","MDP0000296553")</f>
        <v>MDP0000296553</v>
      </c>
      <c r="D19237">
        <v>55.82</v>
      </c>
      <c r="E19237">
        <v>206</v>
      </c>
      <c r="F19237">
        <v>91</v>
      </c>
      <c r="G19237">
        <v>11</v>
      </c>
      <c r="H19237">
        <v>1</v>
      </c>
      <c r="I19237">
        <v>201</v>
      </c>
      <c r="J19237">
        <v>1</v>
      </c>
      <c r="K19237">
        <v>1</v>
      </c>
      <c r="L19237">
        <v>200</v>
      </c>
      <c r="M19237">
        <v>1</v>
      </c>
      <c r="N19237">
        <v>1.6110400000000001E-43</v>
      </c>
      <c r="O19237">
        <v>437</v>
      </c>
    </row>
    <row r="19238" spans="1:15" x14ac:dyDescent="0.25">
      <c r="A19238" t="s">
        <v>19251</v>
      </c>
      <c r="B19238">
        <v>635</v>
      </c>
      <c r="C19238" s="1" t="str">
        <f>HYPERLINK("http://www.rosaceae.org/gb/gbrowse/malus_x_domestica/?name=MDP0000147906","MDP0000147906")</f>
        <v>MDP0000147906</v>
      </c>
      <c r="D19238">
        <v>57.42</v>
      </c>
      <c r="E19238">
        <v>714</v>
      </c>
      <c r="F19238">
        <v>304</v>
      </c>
      <c r="G19238">
        <v>81</v>
      </c>
      <c r="H19238">
        <v>1</v>
      </c>
      <c r="I19238">
        <v>634</v>
      </c>
      <c r="J19238">
        <v>1</v>
      </c>
      <c r="K19238">
        <v>1</v>
      </c>
      <c r="L19238">
        <v>713</v>
      </c>
      <c r="M19238">
        <v>1</v>
      </c>
      <c r="N19238">
        <v>0</v>
      </c>
      <c r="O19238">
        <v>2013</v>
      </c>
    </row>
    <row r="19239" spans="1:15" x14ac:dyDescent="0.25">
      <c r="A19239" t="s">
        <v>19252</v>
      </c>
      <c r="B19239">
        <v>426</v>
      </c>
      <c r="C19239" s="1" t="str">
        <f>HYPERLINK("http://www.rosaceae.org/gb/gbrowse/malus_x_domestica/?name=MDP0000315831","MDP0000315831")</f>
        <v>MDP0000315831</v>
      </c>
      <c r="D19239">
        <v>46.17</v>
      </c>
      <c r="E19239">
        <v>301</v>
      </c>
      <c r="F19239">
        <v>162</v>
      </c>
      <c r="G19239">
        <v>46</v>
      </c>
      <c r="H19239">
        <v>1</v>
      </c>
      <c r="I19239">
        <v>256</v>
      </c>
      <c r="J19239">
        <v>1</v>
      </c>
      <c r="K19239">
        <v>52</v>
      </c>
      <c r="L19239">
        <v>351</v>
      </c>
      <c r="M19239">
        <v>1</v>
      </c>
      <c r="N19239">
        <v>1.9353800000000001E-64</v>
      </c>
      <c r="O19239">
        <v>621</v>
      </c>
    </row>
    <row r="19240" spans="1:15" x14ac:dyDescent="0.25">
      <c r="A19240" t="s">
        <v>19253</v>
      </c>
      <c r="B19240">
        <v>1003</v>
      </c>
      <c r="C19240" s="1" t="str">
        <f>HYPERLINK("http://www.rosaceae.org/gb/gbrowse/malus_x_domestica/?name=MDP0000234385","MDP0000234385")</f>
        <v>MDP0000234385</v>
      </c>
      <c r="D19240">
        <v>70.349999999999994</v>
      </c>
      <c r="E19240">
        <v>1049</v>
      </c>
      <c r="F19240">
        <v>311</v>
      </c>
      <c r="G19240">
        <v>112</v>
      </c>
      <c r="H19240">
        <v>5</v>
      </c>
      <c r="I19240">
        <v>1001</v>
      </c>
      <c r="J19240">
        <v>1</v>
      </c>
      <c r="K19240">
        <v>8</v>
      </c>
      <c r="L19240">
        <v>996</v>
      </c>
      <c r="M19240">
        <v>1</v>
      </c>
      <c r="N19240">
        <v>0</v>
      </c>
      <c r="O19240">
        <v>3775</v>
      </c>
    </row>
    <row r="19241" spans="1:15" x14ac:dyDescent="0.25">
      <c r="A19241" t="s">
        <v>19254</v>
      </c>
      <c r="B19241">
        <v>553</v>
      </c>
      <c r="C19241" s="1" t="str">
        <f>HYPERLINK("http://www.rosaceae.org/gb/gbrowse/malus_x_domestica/?name=MDP0000145279","MDP0000145279")</f>
        <v>MDP0000145279</v>
      </c>
      <c r="D19241">
        <v>53.33</v>
      </c>
      <c r="E19241">
        <v>570</v>
      </c>
      <c r="F19241">
        <v>266</v>
      </c>
      <c r="G19241">
        <v>71</v>
      </c>
      <c r="H19241">
        <v>1</v>
      </c>
      <c r="I19241">
        <v>539</v>
      </c>
      <c r="J19241">
        <v>1</v>
      </c>
      <c r="K19241">
        <v>1</v>
      </c>
      <c r="L19241">
        <v>530</v>
      </c>
      <c r="M19241">
        <v>1</v>
      </c>
      <c r="N19241">
        <v>8.1084499999999999E-156</v>
      </c>
      <c r="O19241">
        <v>1411</v>
      </c>
    </row>
    <row r="19242" spans="1:15" x14ac:dyDescent="0.25">
      <c r="A19242" t="s">
        <v>19255</v>
      </c>
      <c r="B19242">
        <v>181</v>
      </c>
      <c r="C19242" s="1" t="str">
        <f>HYPERLINK("http://www.rosaceae.org/gb/gbrowse/malus_x_domestica/?name=MDP0000945260","MDP0000945260")</f>
        <v>MDP0000945260</v>
      </c>
      <c r="D19242">
        <v>66.83</v>
      </c>
      <c r="E19242">
        <v>196</v>
      </c>
      <c r="F19242">
        <v>65</v>
      </c>
      <c r="G19242">
        <v>19</v>
      </c>
      <c r="H19242">
        <v>1</v>
      </c>
      <c r="I19242">
        <v>179</v>
      </c>
      <c r="J19242">
        <v>1</v>
      </c>
      <c r="K19242">
        <v>1</v>
      </c>
      <c r="L19242">
        <v>194</v>
      </c>
      <c r="M19242">
        <v>1</v>
      </c>
      <c r="N19242">
        <v>7.6341199999999998E-70</v>
      </c>
      <c r="O19242">
        <v>663</v>
      </c>
    </row>
    <row r="19243" spans="1:15" x14ac:dyDescent="0.25">
      <c r="A19243" t="s">
        <v>19256</v>
      </c>
      <c r="B19243">
        <v>368</v>
      </c>
      <c r="C19243" s="1" t="str">
        <f>HYPERLINK("http://www.rosaceae.org/gb/gbrowse/malus_x_domestica/?name=MDP0000213800","MDP0000213800")</f>
        <v>MDP0000213800</v>
      </c>
      <c r="D19243">
        <v>62.73</v>
      </c>
      <c r="E19243">
        <v>373</v>
      </c>
      <c r="F19243">
        <v>139</v>
      </c>
      <c r="G19243">
        <v>25</v>
      </c>
      <c r="H19243">
        <v>5</v>
      </c>
      <c r="I19243">
        <v>355</v>
      </c>
      <c r="J19243">
        <v>1</v>
      </c>
      <c r="K19243">
        <v>6</v>
      </c>
      <c r="L19243">
        <v>375</v>
      </c>
      <c r="M19243">
        <v>1</v>
      </c>
      <c r="N19243">
        <v>1.75993E-131</v>
      </c>
      <c r="O19243">
        <v>1199</v>
      </c>
    </row>
    <row r="19244" spans="1:15" x14ac:dyDescent="0.25">
      <c r="A19244" t="s">
        <v>19257</v>
      </c>
      <c r="B19244">
        <v>1023</v>
      </c>
      <c r="C19244" s="1" t="str">
        <f>HYPERLINK("http://www.rosaceae.org/gb/gbrowse/malus_x_domestica/?name=MDP0000136792","MDP0000136792")</f>
        <v>MDP0000136792</v>
      </c>
      <c r="D19244">
        <v>78.400000000000006</v>
      </c>
      <c r="E19244">
        <v>1028</v>
      </c>
      <c r="F19244">
        <v>222</v>
      </c>
      <c r="G19244">
        <v>12</v>
      </c>
      <c r="H19244">
        <v>1</v>
      </c>
      <c r="I19244">
        <v>1023</v>
      </c>
      <c r="J19244">
        <v>1</v>
      </c>
      <c r="K19244">
        <v>1</v>
      </c>
      <c r="L19244">
        <v>1021</v>
      </c>
      <c r="M19244">
        <v>1</v>
      </c>
      <c r="N19244">
        <v>0</v>
      </c>
      <c r="O19244">
        <v>4272</v>
      </c>
    </row>
    <row r="19245" spans="1:15" x14ac:dyDescent="0.25">
      <c r="A19245" t="s">
        <v>19258</v>
      </c>
      <c r="B19245">
        <v>367</v>
      </c>
      <c r="C19245" s="1" t="str">
        <f>HYPERLINK("http://www.rosaceae.org/gb/gbrowse/malus_x_domestica/?name=MDP0000391248","MDP0000391248")</f>
        <v>MDP0000391248</v>
      </c>
      <c r="D19245">
        <v>55.61</v>
      </c>
      <c r="E19245">
        <v>374</v>
      </c>
      <c r="F19245">
        <v>166</v>
      </c>
      <c r="G19245">
        <v>23</v>
      </c>
      <c r="H19245">
        <v>17</v>
      </c>
      <c r="I19245">
        <v>367</v>
      </c>
      <c r="J19245">
        <v>1</v>
      </c>
      <c r="K19245">
        <v>9</v>
      </c>
      <c r="L19245">
        <v>382</v>
      </c>
      <c r="M19245">
        <v>1</v>
      </c>
      <c r="N19245">
        <v>4.71734E-113</v>
      </c>
      <c r="O19245">
        <v>1040</v>
      </c>
    </row>
    <row r="19246" spans="1:15" x14ac:dyDescent="0.25">
      <c r="A19246" t="s">
        <v>19259</v>
      </c>
      <c r="B19246">
        <v>326</v>
      </c>
      <c r="C19246" s="1" t="str">
        <f>HYPERLINK("http://www.rosaceae.org/gb/gbrowse/malus_x_domestica/?name=MDP0000275345","MDP0000275345")</f>
        <v>MDP0000275345</v>
      </c>
      <c r="D19246">
        <v>69.23</v>
      </c>
      <c r="E19246">
        <v>325</v>
      </c>
      <c r="F19246">
        <v>100</v>
      </c>
      <c r="G19246">
        <v>32</v>
      </c>
      <c r="H19246">
        <v>6</v>
      </c>
      <c r="I19246">
        <v>325</v>
      </c>
      <c r="J19246">
        <v>1</v>
      </c>
      <c r="K19246">
        <v>4</v>
      </c>
      <c r="L19246">
        <v>301</v>
      </c>
      <c r="M19246">
        <v>1</v>
      </c>
      <c r="N19246">
        <v>1.45722E-124</v>
      </c>
      <c r="O19246">
        <v>1139</v>
      </c>
    </row>
    <row r="19247" spans="1:15" x14ac:dyDescent="0.25">
      <c r="A19247" t="s">
        <v>19260</v>
      </c>
      <c r="B19247">
        <v>318</v>
      </c>
      <c r="C19247" s="1" t="str">
        <f>HYPERLINK("http://www.rosaceae.org/gb/gbrowse/malus_x_domestica/?name=MDP0000909081","MDP0000909081")</f>
        <v>MDP0000909081</v>
      </c>
      <c r="D19247">
        <v>61.03</v>
      </c>
      <c r="E19247">
        <v>308</v>
      </c>
      <c r="F19247">
        <v>120</v>
      </c>
      <c r="G19247">
        <v>1</v>
      </c>
      <c r="H19247">
        <v>12</v>
      </c>
      <c r="I19247">
        <v>318</v>
      </c>
      <c r="J19247">
        <v>1</v>
      </c>
      <c r="K19247">
        <v>8</v>
      </c>
      <c r="L19247">
        <v>315</v>
      </c>
      <c r="M19247">
        <v>1</v>
      </c>
      <c r="N19247">
        <v>4.6563699999999996E-106</v>
      </c>
      <c r="O19247">
        <v>979</v>
      </c>
    </row>
    <row r="19248" spans="1:15" x14ac:dyDescent="0.25">
      <c r="A19248" t="s">
        <v>19261</v>
      </c>
      <c r="B19248">
        <v>595</v>
      </c>
      <c r="C19248" s="1" t="str">
        <f>HYPERLINK("http://www.rosaceae.org/gb/gbrowse/malus_x_domestica/?name=MDP0000470728","MDP0000470728")</f>
        <v>MDP0000470728</v>
      </c>
      <c r="D19248">
        <v>49.41</v>
      </c>
      <c r="E19248">
        <v>678</v>
      </c>
      <c r="F19248">
        <v>343</v>
      </c>
      <c r="G19248">
        <v>104</v>
      </c>
      <c r="H19248">
        <v>1</v>
      </c>
      <c r="I19248">
        <v>576</v>
      </c>
      <c r="J19248">
        <v>1</v>
      </c>
      <c r="K19248">
        <v>1</v>
      </c>
      <c r="L19248">
        <v>676</v>
      </c>
      <c r="M19248">
        <v>1</v>
      </c>
      <c r="N19248">
        <v>7.4252299999999993E-167</v>
      </c>
      <c r="O19248">
        <v>1506</v>
      </c>
    </row>
    <row r="19249" spans="1:15" x14ac:dyDescent="0.25">
      <c r="A19249" t="s">
        <v>19262</v>
      </c>
      <c r="B19249">
        <v>477</v>
      </c>
      <c r="C19249" s="1" t="str">
        <f>HYPERLINK("http://www.rosaceae.org/gb/gbrowse/malus_x_domestica/?name=MDP0000222800","MDP0000222800")</f>
        <v>MDP0000222800</v>
      </c>
      <c r="D19249">
        <v>59.21</v>
      </c>
      <c r="E19249">
        <v>586</v>
      </c>
      <c r="F19249">
        <v>239</v>
      </c>
      <c r="G19249">
        <v>118</v>
      </c>
      <c r="H19249">
        <v>5</v>
      </c>
      <c r="I19249">
        <v>477</v>
      </c>
      <c r="J19249">
        <v>1</v>
      </c>
      <c r="K19249">
        <v>131</v>
      </c>
      <c r="L19249">
        <v>711</v>
      </c>
      <c r="M19249">
        <v>1</v>
      </c>
      <c r="N19249">
        <v>1.25691E-170</v>
      </c>
      <c r="O19249">
        <v>1538</v>
      </c>
    </row>
    <row r="19250" spans="1:15" x14ac:dyDescent="0.25">
      <c r="A19250" t="s">
        <v>19263</v>
      </c>
      <c r="B19250">
        <v>508</v>
      </c>
      <c r="C19250" s="1" t="str">
        <f>HYPERLINK("http://www.rosaceae.org/gb/gbrowse/malus_x_domestica/?name=MDP0000157943","MDP0000157943")</f>
        <v>MDP0000157943</v>
      </c>
      <c r="D19250">
        <v>46.63</v>
      </c>
      <c r="E19250">
        <v>491</v>
      </c>
      <c r="F19250">
        <v>262</v>
      </c>
      <c r="G19250">
        <v>31</v>
      </c>
      <c r="H19250">
        <v>31</v>
      </c>
      <c r="I19250">
        <v>490</v>
      </c>
      <c r="J19250">
        <v>1</v>
      </c>
      <c r="K19250">
        <v>33</v>
      </c>
      <c r="L19250">
        <v>523</v>
      </c>
      <c r="M19250">
        <v>1</v>
      </c>
      <c r="N19250">
        <v>1.0156299999999999E-125</v>
      </c>
      <c r="O19250">
        <v>1151</v>
      </c>
    </row>
    <row r="19251" spans="1:15" x14ac:dyDescent="0.25">
      <c r="A19251" t="s">
        <v>19264</v>
      </c>
      <c r="B19251">
        <v>714</v>
      </c>
      <c r="C19251" s="1" t="str">
        <f>HYPERLINK("http://www.rosaceae.org/gb/gbrowse/malus_x_domestica/?name=MDP0000320028","MDP0000320028")</f>
        <v>MDP0000320028</v>
      </c>
      <c r="D19251">
        <v>80.36</v>
      </c>
      <c r="E19251">
        <v>718</v>
      </c>
      <c r="F19251">
        <v>141</v>
      </c>
      <c r="G19251">
        <v>19</v>
      </c>
      <c r="H19251">
        <v>1</v>
      </c>
      <c r="I19251">
        <v>714</v>
      </c>
      <c r="J19251">
        <v>1</v>
      </c>
      <c r="K19251">
        <v>1</v>
      </c>
      <c r="L19251">
        <v>703</v>
      </c>
      <c r="M19251">
        <v>1</v>
      </c>
      <c r="N19251">
        <v>0</v>
      </c>
      <c r="O19251">
        <v>3003</v>
      </c>
    </row>
    <row r="19252" spans="1:15" x14ac:dyDescent="0.25">
      <c r="A19252" t="s">
        <v>19265</v>
      </c>
      <c r="B19252">
        <v>421</v>
      </c>
      <c r="C19252" s="1" t="str">
        <f>HYPERLINK("http://www.rosaceae.org/gb/gbrowse/malus_x_domestica/?name=MDP0000242297","MDP0000242297")</f>
        <v>MDP0000242297</v>
      </c>
      <c r="D19252">
        <v>52.83</v>
      </c>
      <c r="E19252">
        <v>53</v>
      </c>
      <c r="F19252">
        <v>25</v>
      </c>
      <c r="G19252">
        <v>0</v>
      </c>
      <c r="H19252">
        <v>138</v>
      </c>
      <c r="I19252">
        <v>190</v>
      </c>
      <c r="J19252">
        <v>1</v>
      </c>
      <c r="K19252">
        <v>257</v>
      </c>
      <c r="L19252">
        <v>309</v>
      </c>
      <c r="M19252">
        <v>1</v>
      </c>
      <c r="N19252">
        <v>1.84177E-8</v>
      </c>
      <c r="O19252">
        <v>139</v>
      </c>
    </row>
    <row r="19253" spans="1:15" x14ac:dyDescent="0.25">
      <c r="A19253" t="s">
        <v>19266</v>
      </c>
      <c r="B19253">
        <v>486</v>
      </c>
      <c r="C19253" s="1" t="str">
        <f>HYPERLINK("http://www.rosaceae.org/gb/gbrowse/malus_x_domestica/?name=MDP0000785544","MDP0000785544")</f>
        <v>MDP0000785544</v>
      </c>
      <c r="D19253">
        <v>89.66</v>
      </c>
      <c r="E19253">
        <v>445</v>
      </c>
      <c r="F19253">
        <v>46</v>
      </c>
      <c r="G19253">
        <v>0</v>
      </c>
      <c r="H19253">
        <v>25</v>
      </c>
      <c r="I19253">
        <v>469</v>
      </c>
      <c r="J19253">
        <v>1</v>
      </c>
      <c r="K19253">
        <v>19</v>
      </c>
      <c r="L19253">
        <v>463</v>
      </c>
      <c r="M19253">
        <v>1</v>
      </c>
      <c r="N19253">
        <v>0</v>
      </c>
      <c r="O19253">
        <v>2164</v>
      </c>
    </row>
    <row r="19254" spans="1:15" x14ac:dyDescent="0.25">
      <c r="A19254" t="s">
        <v>19267</v>
      </c>
      <c r="B19254">
        <v>177</v>
      </c>
      <c r="C19254" s="1" t="str">
        <f>HYPERLINK("http://www.rosaceae.org/gb/gbrowse/malus_x_domestica/?name=MDP0000307013","MDP0000307013")</f>
        <v>MDP0000307013</v>
      </c>
      <c r="D19254">
        <v>68.42</v>
      </c>
      <c r="E19254">
        <v>171</v>
      </c>
      <c r="F19254">
        <v>54</v>
      </c>
      <c r="G19254">
        <v>3</v>
      </c>
      <c r="H19254">
        <v>1</v>
      </c>
      <c r="I19254">
        <v>171</v>
      </c>
      <c r="J19254">
        <v>1</v>
      </c>
      <c r="K19254">
        <v>1</v>
      </c>
      <c r="L19254">
        <v>168</v>
      </c>
      <c r="M19254">
        <v>1</v>
      </c>
      <c r="N19254">
        <v>1.7206300000000001E-62</v>
      </c>
      <c r="O19254">
        <v>600</v>
      </c>
    </row>
    <row r="19255" spans="1:15" x14ac:dyDescent="0.25">
      <c r="A19255" t="s">
        <v>19268</v>
      </c>
      <c r="B19255">
        <v>323</v>
      </c>
      <c r="C19255" s="1" t="str">
        <f>HYPERLINK("http://www.rosaceae.org/gb/gbrowse/malus_x_domestica/?name=MDP0000131308","MDP0000131308")</f>
        <v>MDP0000131308</v>
      </c>
      <c r="D19255">
        <v>83.87</v>
      </c>
      <c r="E19255">
        <v>341</v>
      </c>
      <c r="F19255">
        <v>55</v>
      </c>
      <c r="G19255">
        <v>20</v>
      </c>
      <c r="H19255">
        <v>1</v>
      </c>
      <c r="I19255">
        <v>321</v>
      </c>
      <c r="J19255">
        <v>1</v>
      </c>
      <c r="K19255">
        <v>1</v>
      </c>
      <c r="L19255">
        <v>341</v>
      </c>
      <c r="M19255">
        <v>1</v>
      </c>
      <c r="N19255">
        <v>2.3267600000000001E-161</v>
      </c>
      <c r="O19255">
        <v>1456</v>
      </c>
    </row>
    <row r="19256" spans="1:15" x14ac:dyDescent="0.25">
      <c r="A19256" t="s">
        <v>19269</v>
      </c>
      <c r="B19256">
        <v>233</v>
      </c>
      <c r="C19256" s="1" t="str">
        <f>HYPERLINK("http://www.rosaceae.org/gb/gbrowse/malus_x_domestica/?name=MDP0000391371","MDP0000391371")</f>
        <v>MDP0000391371</v>
      </c>
      <c r="D19256">
        <v>76.95</v>
      </c>
      <c r="E19256">
        <v>256</v>
      </c>
      <c r="F19256">
        <v>59</v>
      </c>
      <c r="G19256">
        <v>33</v>
      </c>
      <c r="H19256">
        <v>1</v>
      </c>
      <c r="I19256">
        <v>223</v>
      </c>
      <c r="J19256">
        <v>1</v>
      </c>
      <c r="K19256">
        <v>343</v>
      </c>
      <c r="L19256">
        <v>598</v>
      </c>
      <c r="M19256">
        <v>1</v>
      </c>
      <c r="N19256">
        <v>9.5076299999999995E-112</v>
      </c>
      <c r="O19256">
        <v>1026</v>
      </c>
    </row>
    <row r="19257" spans="1:15" x14ac:dyDescent="0.25">
      <c r="A19257" t="s">
        <v>19270</v>
      </c>
      <c r="B19257">
        <v>370</v>
      </c>
      <c r="C19257" s="1" t="str">
        <f>HYPERLINK("http://www.rosaceae.org/gb/gbrowse/malus_x_domestica/?name=MDP0000254937","MDP0000254937")</f>
        <v>MDP0000254937</v>
      </c>
      <c r="D19257">
        <v>33.42</v>
      </c>
      <c r="E19257">
        <v>383</v>
      </c>
      <c r="F19257">
        <v>255</v>
      </c>
      <c r="G19257">
        <v>77</v>
      </c>
      <c r="H19257">
        <v>8</v>
      </c>
      <c r="I19257">
        <v>332</v>
      </c>
      <c r="J19257">
        <v>1</v>
      </c>
      <c r="K19257">
        <v>11</v>
      </c>
      <c r="L19257">
        <v>374</v>
      </c>
      <c r="M19257">
        <v>1</v>
      </c>
      <c r="N19257">
        <v>3.4377099999999998E-35</v>
      </c>
      <c r="O19257">
        <v>369</v>
      </c>
    </row>
    <row r="19258" spans="1:15" x14ac:dyDescent="0.25">
      <c r="A19258" t="s">
        <v>19271</v>
      </c>
      <c r="B19258">
        <v>434</v>
      </c>
      <c r="C19258" s="1" t="str">
        <f>HYPERLINK("http://www.rosaceae.org/gb/gbrowse/malus_x_domestica/?name=MDP0000778359","MDP0000778359")</f>
        <v>MDP0000778359</v>
      </c>
      <c r="D19258">
        <v>84.26</v>
      </c>
      <c r="E19258">
        <v>197</v>
      </c>
      <c r="F19258">
        <v>31</v>
      </c>
      <c r="G19258">
        <v>0</v>
      </c>
      <c r="H19258">
        <v>212</v>
      </c>
      <c r="I19258">
        <v>408</v>
      </c>
      <c r="J19258">
        <v>1</v>
      </c>
      <c r="K19258">
        <v>4</v>
      </c>
      <c r="L19258">
        <v>200</v>
      </c>
      <c r="M19258">
        <v>1</v>
      </c>
      <c r="N19258">
        <v>1.98134E-97</v>
      </c>
      <c r="O19258">
        <v>906</v>
      </c>
    </row>
    <row r="19259" spans="1:15" x14ac:dyDescent="0.25">
      <c r="A19259" t="s">
        <v>19272</v>
      </c>
      <c r="B19259">
        <v>874</v>
      </c>
      <c r="C19259" s="1" t="str">
        <f>HYPERLINK("http://www.rosaceae.org/gb/gbrowse/malus_x_domestica/?name=MDP0000173776","MDP0000173776")</f>
        <v>MDP0000173776</v>
      </c>
      <c r="D19259">
        <v>80.16</v>
      </c>
      <c r="E19259">
        <v>615</v>
      </c>
      <c r="F19259">
        <v>122</v>
      </c>
      <c r="G19259">
        <v>14</v>
      </c>
      <c r="H19259">
        <v>261</v>
      </c>
      <c r="I19259">
        <v>874</v>
      </c>
      <c r="J19259">
        <v>1</v>
      </c>
      <c r="K19259">
        <v>1</v>
      </c>
      <c r="L19259">
        <v>602</v>
      </c>
      <c r="M19259">
        <v>1</v>
      </c>
      <c r="N19259">
        <v>0</v>
      </c>
      <c r="O19259">
        <v>2579</v>
      </c>
    </row>
    <row r="19260" spans="1:15" x14ac:dyDescent="0.25">
      <c r="A19260" t="s">
        <v>19273</v>
      </c>
      <c r="B19260">
        <v>285</v>
      </c>
      <c r="C19260" s="1" t="str">
        <f>HYPERLINK("http://www.rosaceae.org/gb/gbrowse/malus_x_domestica/?name=MDP0000180439","MDP0000180439")</f>
        <v>MDP0000180439</v>
      </c>
      <c r="D19260">
        <v>70.08</v>
      </c>
      <c r="E19260">
        <v>117</v>
      </c>
      <c r="F19260">
        <v>35</v>
      </c>
      <c r="G19260">
        <v>0</v>
      </c>
      <c r="H19260">
        <v>157</v>
      </c>
      <c r="I19260">
        <v>273</v>
      </c>
      <c r="J19260">
        <v>1</v>
      </c>
      <c r="K19260">
        <v>442</v>
      </c>
      <c r="L19260">
        <v>558</v>
      </c>
      <c r="M19260">
        <v>1</v>
      </c>
      <c r="N19260">
        <v>3.4874000000000002E-42</v>
      </c>
      <c r="O19260">
        <v>427</v>
      </c>
    </row>
    <row r="19261" spans="1:15" x14ac:dyDescent="0.25">
      <c r="A19261" t="s">
        <v>19274</v>
      </c>
      <c r="B19261">
        <v>357</v>
      </c>
      <c r="C19261" s="1" t="str">
        <f>HYPERLINK("http://www.rosaceae.org/gb/gbrowse/malus_x_domestica/?name=MDP0000277049","MDP0000277049")</f>
        <v>MDP0000277049</v>
      </c>
      <c r="D19261">
        <v>80.849999999999994</v>
      </c>
      <c r="E19261">
        <v>397</v>
      </c>
      <c r="F19261">
        <v>76</v>
      </c>
      <c r="G19261">
        <v>40</v>
      </c>
      <c r="H19261">
        <v>1</v>
      </c>
      <c r="I19261">
        <v>357</v>
      </c>
      <c r="J19261">
        <v>1</v>
      </c>
      <c r="K19261">
        <v>1</v>
      </c>
      <c r="L19261">
        <v>397</v>
      </c>
      <c r="M19261">
        <v>1</v>
      </c>
      <c r="N19261">
        <v>0</v>
      </c>
      <c r="O19261">
        <v>1639</v>
      </c>
    </row>
    <row r="19262" spans="1:15" x14ac:dyDescent="0.25">
      <c r="A19262" t="s">
        <v>19275</v>
      </c>
      <c r="B19262">
        <v>432</v>
      </c>
      <c r="C19262" s="1" t="str">
        <f>HYPERLINK("http://www.rosaceae.org/gb/gbrowse/malus_x_domestica/?name=MDP0000180890","MDP0000180890")</f>
        <v>MDP0000180890</v>
      </c>
      <c r="D19262">
        <v>86.13</v>
      </c>
      <c r="E19262">
        <v>404</v>
      </c>
      <c r="F19262">
        <v>56</v>
      </c>
      <c r="G19262">
        <v>1</v>
      </c>
      <c r="H19262">
        <v>28</v>
      </c>
      <c r="I19262">
        <v>431</v>
      </c>
      <c r="J19262">
        <v>1</v>
      </c>
      <c r="K19262">
        <v>13</v>
      </c>
      <c r="L19262">
        <v>415</v>
      </c>
      <c r="M19262">
        <v>1</v>
      </c>
      <c r="N19262">
        <v>0</v>
      </c>
      <c r="O19262">
        <v>1875</v>
      </c>
    </row>
    <row r="19263" spans="1:15" x14ac:dyDescent="0.25">
      <c r="A19263" t="s">
        <v>19276</v>
      </c>
      <c r="B19263">
        <v>127</v>
      </c>
      <c r="C19263" s="1" t="str">
        <f>HYPERLINK("http://www.rosaceae.org/gb/gbrowse/malus_x_domestica/?name=MDP0000130837","MDP0000130837")</f>
        <v>MDP0000130837</v>
      </c>
      <c r="D19263">
        <v>59.23</v>
      </c>
      <c r="E19263">
        <v>130</v>
      </c>
      <c r="F19263">
        <v>53</v>
      </c>
      <c r="G19263">
        <v>15</v>
      </c>
      <c r="H19263">
        <v>9</v>
      </c>
      <c r="I19263">
        <v>124</v>
      </c>
      <c r="J19263">
        <v>1</v>
      </c>
      <c r="K19263">
        <v>1</v>
      </c>
      <c r="L19263">
        <v>129</v>
      </c>
      <c r="M19263">
        <v>1</v>
      </c>
      <c r="N19263">
        <v>1.1809199999999999E-33</v>
      </c>
      <c r="O19263">
        <v>348</v>
      </c>
    </row>
    <row r="19264" spans="1:15" x14ac:dyDescent="0.25">
      <c r="A19264" t="s">
        <v>19277</v>
      </c>
      <c r="B19264">
        <v>358</v>
      </c>
      <c r="C19264" s="1" t="str">
        <f>HYPERLINK("http://www.rosaceae.org/gb/gbrowse/malus_x_domestica/?name=MDP0000288052","MDP0000288052")</f>
        <v>MDP0000288052</v>
      </c>
      <c r="D19264">
        <v>58.93</v>
      </c>
      <c r="E19264">
        <v>263</v>
      </c>
      <c r="F19264">
        <v>108</v>
      </c>
      <c r="G19264">
        <v>59</v>
      </c>
      <c r="H19264">
        <v>64</v>
      </c>
      <c r="I19264">
        <v>267</v>
      </c>
      <c r="J19264">
        <v>1</v>
      </c>
      <c r="K19264">
        <v>23</v>
      </c>
      <c r="L19264">
        <v>285</v>
      </c>
      <c r="M19264">
        <v>1</v>
      </c>
      <c r="N19264">
        <v>5.2528799999999999E-82</v>
      </c>
      <c r="O19264">
        <v>772</v>
      </c>
    </row>
    <row r="19265" spans="1:15" x14ac:dyDescent="0.25">
      <c r="A19265" t="s">
        <v>19278</v>
      </c>
      <c r="B19265">
        <v>216</v>
      </c>
      <c r="C19265" s="1" t="str">
        <f>HYPERLINK("http://www.rosaceae.org/gb/gbrowse/malus_x_domestica/?name=MDP0000197375","MDP0000197375")</f>
        <v>MDP0000197375</v>
      </c>
      <c r="D19265">
        <v>57.2</v>
      </c>
      <c r="E19265">
        <v>222</v>
      </c>
      <c r="F19265">
        <v>95</v>
      </c>
      <c r="G19265">
        <v>24</v>
      </c>
      <c r="H19265">
        <v>1</v>
      </c>
      <c r="I19265">
        <v>216</v>
      </c>
      <c r="J19265">
        <v>1</v>
      </c>
      <c r="K19265">
        <v>1</v>
      </c>
      <c r="L19265">
        <v>204</v>
      </c>
      <c r="M19265">
        <v>1</v>
      </c>
      <c r="N19265">
        <v>2.1528900000000001E-57</v>
      </c>
      <c r="O19265">
        <v>557</v>
      </c>
    </row>
    <row r="19266" spans="1:15" x14ac:dyDescent="0.25">
      <c r="A19266" t="s">
        <v>19279</v>
      </c>
      <c r="B19266">
        <v>212</v>
      </c>
      <c r="C19266" s="1" t="str">
        <f>HYPERLINK("http://www.rosaceae.org/gb/gbrowse/malus_x_domestica/?name=MDP0000432524","MDP0000432524")</f>
        <v>MDP0000432524</v>
      </c>
      <c r="D19266">
        <v>31.37</v>
      </c>
      <c r="E19266">
        <v>204</v>
      </c>
      <c r="F19266">
        <v>140</v>
      </c>
      <c r="G19266">
        <v>28</v>
      </c>
      <c r="H19266">
        <v>1</v>
      </c>
      <c r="I19266">
        <v>198</v>
      </c>
      <c r="J19266">
        <v>1</v>
      </c>
      <c r="K19266">
        <v>14</v>
      </c>
      <c r="L19266">
        <v>195</v>
      </c>
      <c r="M19266">
        <v>1</v>
      </c>
      <c r="N19266">
        <v>1.5726299999999999E-13</v>
      </c>
      <c r="O19266">
        <v>179</v>
      </c>
    </row>
    <row r="19267" spans="1:15" x14ac:dyDescent="0.25">
      <c r="A19267" t="s">
        <v>19280</v>
      </c>
      <c r="B19267">
        <v>356</v>
      </c>
      <c r="C19267" s="1" t="str">
        <f>HYPERLINK("http://www.rosaceae.org/gb/gbrowse/malus_x_domestica/?name=MDP0000294359","MDP0000294359")</f>
        <v>MDP0000294359</v>
      </c>
      <c r="D19267">
        <v>52.82</v>
      </c>
      <c r="E19267">
        <v>407</v>
      </c>
      <c r="F19267">
        <v>192</v>
      </c>
      <c r="G19267">
        <v>51</v>
      </c>
      <c r="H19267">
        <v>1</v>
      </c>
      <c r="I19267">
        <v>356</v>
      </c>
      <c r="J19267">
        <v>1</v>
      </c>
      <c r="K19267">
        <v>1</v>
      </c>
      <c r="L19267">
        <v>407</v>
      </c>
      <c r="M19267">
        <v>1</v>
      </c>
      <c r="N19267">
        <v>5.9708300000000004E-102</v>
      </c>
      <c r="O19267">
        <v>944</v>
      </c>
    </row>
    <row r="19268" spans="1:15" x14ac:dyDescent="0.25">
      <c r="A19268" t="s">
        <v>19281</v>
      </c>
      <c r="B19268">
        <v>451</v>
      </c>
      <c r="C19268" s="1" t="str">
        <f>HYPERLINK("http://www.rosaceae.org/gb/gbrowse/malus_x_domestica/?name=MDP0000285103","MDP0000285103")</f>
        <v>MDP0000285103</v>
      </c>
      <c r="D19268">
        <v>38.270000000000003</v>
      </c>
      <c r="E19268">
        <v>371</v>
      </c>
      <c r="F19268">
        <v>229</v>
      </c>
      <c r="G19268">
        <v>103</v>
      </c>
      <c r="H19268">
        <v>143</v>
      </c>
      <c r="I19268">
        <v>425</v>
      </c>
      <c r="J19268">
        <v>1</v>
      </c>
      <c r="K19268">
        <v>16</v>
      </c>
      <c r="L19268">
        <v>371</v>
      </c>
      <c r="M19268">
        <v>1</v>
      </c>
      <c r="N19268">
        <v>1.36027E-49</v>
      </c>
      <c r="O19268">
        <v>494</v>
      </c>
    </row>
    <row r="19269" spans="1:15" x14ac:dyDescent="0.25">
      <c r="A19269" t="s">
        <v>19282</v>
      </c>
      <c r="B19269">
        <v>383</v>
      </c>
      <c r="C19269" s="1" t="str">
        <f>HYPERLINK("http://www.rosaceae.org/gb/gbrowse/malus_x_domestica/?name=MDP0000255134","MDP0000255134")</f>
        <v>MDP0000255134</v>
      </c>
      <c r="D19269">
        <v>40.770000000000003</v>
      </c>
      <c r="E19269">
        <v>412</v>
      </c>
      <c r="F19269">
        <v>244</v>
      </c>
      <c r="G19269">
        <v>67</v>
      </c>
      <c r="H19269">
        <v>28</v>
      </c>
      <c r="I19269">
        <v>376</v>
      </c>
      <c r="J19269">
        <v>1</v>
      </c>
      <c r="K19269">
        <v>20</v>
      </c>
      <c r="L19269">
        <v>427</v>
      </c>
      <c r="M19269">
        <v>1</v>
      </c>
      <c r="N19269">
        <v>6.0911699999999999E-69</v>
      </c>
      <c r="O19269">
        <v>660</v>
      </c>
    </row>
    <row r="19270" spans="1:15" x14ac:dyDescent="0.25">
      <c r="A19270" t="s">
        <v>19283</v>
      </c>
      <c r="B19270">
        <v>103</v>
      </c>
      <c r="C19270" s="1" t="str">
        <f>HYPERLINK("http://www.rosaceae.org/gb/gbrowse/malus_x_domestica/?name=MDP0000156841","MDP0000156841")</f>
        <v>MDP0000156841</v>
      </c>
      <c r="D19270">
        <v>70.489999999999995</v>
      </c>
      <c r="E19270">
        <v>61</v>
      </c>
      <c r="F19270">
        <v>18</v>
      </c>
      <c r="G19270">
        <v>0</v>
      </c>
      <c r="H19270">
        <v>13</v>
      </c>
      <c r="I19270">
        <v>73</v>
      </c>
      <c r="J19270">
        <v>1</v>
      </c>
      <c r="K19270">
        <v>150</v>
      </c>
      <c r="L19270">
        <v>210</v>
      </c>
      <c r="M19270">
        <v>1</v>
      </c>
      <c r="N19270">
        <v>3.5346800000000001E-19</v>
      </c>
      <c r="O19270">
        <v>223</v>
      </c>
    </row>
    <row r="19271" spans="1:15" x14ac:dyDescent="0.25">
      <c r="A19271" t="s">
        <v>19284</v>
      </c>
      <c r="B19271">
        <v>46</v>
      </c>
      <c r="C19271" s="1" t="str">
        <f>HYPERLINK("http://www.rosaceae.org/gb/gbrowse/malus_x_domestica/?name=MDP0000857857","MDP0000857857")</f>
        <v>MDP0000857857</v>
      </c>
      <c r="D19271">
        <v>92.85</v>
      </c>
      <c r="E19271">
        <v>42</v>
      </c>
      <c r="F19271">
        <v>3</v>
      </c>
      <c r="G19271">
        <v>1</v>
      </c>
      <c r="H19271">
        <v>2</v>
      </c>
      <c r="I19271">
        <v>43</v>
      </c>
      <c r="J19271">
        <v>1</v>
      </c>
      <c r="K19271">
        <v>257</v>
      </c>
      <c r="L19271">
        <v>297</v>
      </c>
      <c r="M19271">
        <v>1</v>
      </c>
      <c r="N19271">
        <v>2.49301E-16</v>
      </c>
      <c r="O19271">
        <v>198</v>
      </c>
    </row>
    <row r="19272" spans="1:15" x14ac:dyDescent="0.25">
      <c r="A19272" t="s">
        <v>19285</v>
      </c>
      <c r="B19272">
        <v>323</v>
      </c>
      <c r="C19272" s="1" t="str">
        <f>HYPERLINK("http://www.rosaceae.org/gb/gbrowse/malus_x_domestica/?name=MDP0000666771","MDP0000666771")</f>
        <v>MDP0000666771</v>
      </c>
      <c r="D19272">
        <v>72.81</v>
      </c>
      <c r="E19272">
        <v>320</v>
      </c>
      <c r="F19272">
        <v>87</v>
      </c>
      <c r="G19272">
        <v>0</v>
      </c>
      <c r="H19272">
        <v>4</v>
      </c>
      <c r="I19272">
        <v>323</v>
      </c>
      <c r="J19272">
        <v>1</v>
      </c>
      <c r="K19272">
        <v>3</v>
      </c>
      <c r="L19272">
        <v>322</v>
      </c>
      <c r="M19272">
        <v>1</v>
      </c>
      <c r="N19272">
        <v>4.71962E-139</v>
      </c>
      <c r="O19272">
        <v>1264</v>
      </c>
    </row>
    <row r="19273" spans="1:15" x14ac:dyDescent="0.25">
      <c r="A19273" t="s">
        <v>19286</v>
      </c>
      <c r="B19273">
        <v>451</v>
      </c>
      <c r="C19273" s="1" t="str">
        <f>HYPERLINK("http://www.rosaceae.org/gb/gbrowse/malus_x_domestica/?name=MDP0000729320","MDP0000729320")</f>
        <v>MDP0000729320</v>
      </c>
      <c r="D19273">
        <v>60.82</v>
      </c>
      <c r="E19273">
        <v>462</v>
      </c>
      <c r="F19273">
        <v>181</v>
      </c>
      <c r="G19273">
        <v>16</v>
      </c>
      <c r="H19273">
        <v>1</v>
      </c>
      <c r="I19273">
        <v>450</v>
      </c>
      <c r="J19273">
        <v>1</v>
      </c>
      <c r="K19273">
        <v>1</v>
      </c>
      <c r="L19273">
        <v>458</v>
      </c>
      <c r="M19273">
        <v>1</v>
      </c>
      <c r="N19273">
        <v>4.9551100000000001E-166</v>
      </c>
      <c r="O19273">
        <v>1498</v>
      </c>
    </row>
    <row r="19274" spans="1:15" x14ac:dyDescent="0.25">
      <c r="A19274" t="s">
        <v>19287</v>
      </c>
      <c r="B19274">
        <v>889</v>
      </c>
      <c r="C19274" s="1" t="str">
        <f>HYPERLINK("http://www.rosaceae.org/gb/gbrowse/malus_x_domestica/?name=MDP0000208874","MDP0000208874")</f>
        <v>MDP0000208874</v>
      </c>
      <c r="D19274">
        <v>76.05</v>
      </c>
      <c r="E19274">
        <v>785</v>
      </c>
      <c r="F19274">
        <v>188</v>
      </c>
      <c r="G19274">
        <v>2</v>
      </c>
      <c r="H19274">
        <v>105</v>
      </c>
      <c r="I19274">
        <v>889</v>
      </c>
      <c r="J19274">
        <v>1</v>
      </c>
      <c r="K19274">
        <v>123</v>
      </c>
      <c r="L19274">
        <v>905</v>
      </c>
      <c r="M19274">
        <v>1</v>
      </c>
      <c r="N19274">
        <v>0</v>
      </c>
      <c r="O19274">
        <v>3266</v>
      </c>
    </row>
    <row r="19275" spans="1:15" x14ac:dyDescent="0.25">
      <c r="A19275" t="s">
        <v>19288</v>
      </c>
      <c r="B19275">
        <v>410</v>
      </c>
      <c r="C19275" s="1" t="str">
        <f>HYPERLINK("http://www.rosaceae.org/gb/gbrowse/malus_x_domestica/?name=MDP0000272025","MDP0000272025")</f>
        <v>MDP0000272025</v>
      </c>
      <c r="D19275">
        <v>85.26</v>
      </c>
      <c r="E19275">
        <v>353</v>
      </c>
      <c r="F19275">
        <v>52</v>
      </c>
      <c r="G19275">
        <v>7</v>
      </c>
      <c r="H19275">
        <v>59</v>
      </c>
      <c r="I19275">
        <v>410</v>
      </c>
      <c r="J19275">
        <v>1</v>
      </c>
      <c r="K19275">
        <v>1106</v>
      </c>
      <c r="L19275">
        <v>1452</v>
      </c>
      <c r="M19275">
        <v>1</v>
      </c>
      <c r="N19275">
        <v>1.3997800000000001E-170</v>
      </c>
      <c r="O19275">
        <v>1537</v>
      </c>
    </row>
    <row r="19276" spans="1:15" x14ac:dyDescent="0.25">
      <c r="A19276" t="s">
        <v>19289</v>
      </c>
      <c r="B19276">
        <v>358</v>
      </c>
      <c r="C19276" s="1" t="str">
        <f>HYPERLINK("http://www.rosaceae.org/gb/gbrowse/malus_x_domestica/?name=MDP0000233658","MDP0000233658")</f>
        <v>MDP0000233658</v>
      </c>
      <c r="D19276">
        <v>44.32</v>
      </c>
      <c r="E19276">
        <v>379</v>
      </c>
      <c r="F19276">
        <v>211</v>
      </c>
      <c r="G19276">
        <v>56</v>
      </c>
      <c r="H19276">
        <v>1</v>
      </c>
      <c r="I19276">
        <v>357</v>
      </c>
      <c r="J19276">
        <v>1</v>
      </c>
      <c r="K19276">
        <v>1</v>
      </c>
      <c r="L19276">
        <v>345</v>
      </c>
      <c r="M19276">
        <v>1</v>
      </c>
      <c r="N19276">
        <v>1.16724E-61</v>
      </c>
      <c r="O19276">
        <v>597</v>
      </c>
    </row>
    <row r="19277" spans="1:15" x14ac:dyDescent="0.25">
      <c r="A19277" t="s">
        <v>19290</v>
      </c>
      <c r="B19277">
        <v>512</v>
      </c>
      <c r="C19277" s="1" t="str">
        <f>HYPERLINK("http://www.rosaceae.org/gb/gbrowse/malus_x_domestica/?name=MDP0000203314","MDP0000203314")</f>
        <v>MDP0000203314</v>
      </c>
      <c r="D19277">
        <v>78.209999999999994</v>
      </c>
      <c r="E19277">
        <v>459</v>
      </c>
      <c r="F19277">
        <v>100</v>
      </c>
      <c r="G19277">
        <v>23</v>
      </c>
      <c r="H19277">
        <v>55</v>
      </c>
      <c r="I19277">
        <v>512</v>
      </c>
      <c r="J19277">
        <v>1</v>
      </c>
      <c r="K19277">
        <v>57</v>
      </c>
      <c r="L19277">
        <v>493</v>
      </c>
      <c r="M19277">
        <v>1</v>
      </c>
      <c r="N19277">
        <v>0</v>
      </c>
      <c r="O19277">
        <v>1821</v>
      </c>
    </row>
    <row r="19278" spans="1:15" x14ac:dyDescent="0.25">
      <c r="A19278" t="s">
        <v>19291</v>
      </c>
      <c r="B19278">
        <v>984</v>
      </c>
      <c r="C19278" s="1" t="str">
        <f>HYPERLINK("http://www.rosaceae.org/gb/gbrowse/malus_x_domestica/?name=MDP0000193992","MDP0000193992")</f>
        <v>MDP0000193992</v>
      </c>
      <c r="D19278">
        <v>82.07</v>
      </c>
      <c r="E19278">
        <v>1004</v>
      </c>
      <c r="F19278">
        <v>180</v>
      </c>
      <c r="G19278">
        <v>34</v>
      </c>
      <c r="H19278">
        <v>13</v>
      </c>
      <c r="I19278">
        <v>984</v>
      </c>
      <c r="J19278">
        <v>1</v>
      </c>
      <c r="K19278">
        <v>16</v>
      </c>
      <c r="L19278">
        <v>1017</v>
      </c>
      <c r="M19278">
        <v>1</v>
      </c>
      <c r="N19278">
        <v>0</v>
      </c>
      <c r="O19278">
        <v>4295</v>
      </c>
    </row>
    <row r="19279" spans="1:15" x14ac:dyDescent="0.25">
      <c r="A19279" t="s">
        <v>19292</v>
      </c>
      <c r="B19279">
        <v>411</v>
      </c>
      <c r="C19279" s="1" t="str">
        <f>HYPERLINK("http://www.rosaceae.org/gb/gbrowse/malus_x_domestica/?name=MDP0000341109","MDP0000341109")</f>
        <v>MDP0000341109</v>
      </c>
      <c r="D19279">
        <v>76.25</v>
      </c>
      <c r="E19279">
        <v>278</v>
      </c>
      <c r="F19279">
        <v>66</v>
      </c>
      <c r="G19279">
        <v>1</v>
      </c>
      <c r="H19279">
        <v>61</v>
      </c>
      <c r="I19279">
        <v>337</v>
      </c>
      <c r="J19279">
        <v>1</v>
      </c>
      <c r="K19279">
        <v>79</v>
      </c>
      <c r="L19279">
        <v>356</v>
      </c>
      <c r="M19279">
        <v>1</v>
      </c>
      <c r="N19279">
        <v>1.0710800000000001E-126</v>
      </c>
      <c r="O19279">
        <v>1158</v>
      </c>
    </row>
    <row r="19280" spans="1:15" x14ac:dyDescent="0.25">
      <c r="A19280" t="s">
        <v>19293</v>
      </c>
      <c r="B19280">
        <v>306</v>
      </c>
      <c r="C19280" s="1" t="str">
        <f>HYPERLINK("http://www.rosaceae.org/gb/gbrowse/malus_x_domestica/?name=MDP0000607920","MDP0000607920")</f>
        <v>MDP0000607920</v>
      </c>
      <c r="D19280">
        <v>41.47</v>
      </c>
      <c r="E19280">
        <v>311</v>
      </c>
      <c r="F19280">
        <v>182</v>
      </c>
      <c r="G19280">
        <v>40</v>
      </c>
      <c r="H19280">
        <v>17</v>
      </c>
      <c r="I19280">
        <v>306</v>
      </c>
      <c r="J19280">
        <v>1</v>
      </c>
      <c r="K19280">
        <v>56</v>
      </c>
      <c r="L19280">
        <v>347</v>
      </c>
      <c r="M19280">
        <v>1</v>
      </c>
      <c r="N19280">
        <v>2.33286E-47</v>
      </c>
      <c r="O19280">
        <v>472</v>
      </c>
    </row>
    <row r="19281" spans="1:15" x14ac:dyDescent="0.25">
      <c r="A19281" t="s">
        <v>19294</v>
      </c>
      <c r="B19281">
        <v>353</v>
      </c>
      <c r="C19281" s="1" t="str">
        <f>HYPERLINK("http://www.rosaceae.org/gb/gbrowse/malus_x_domestica/?name=MDP0000285776","MDP0000285776")</f>
        <v>MDP0000285776</v>
      </c>
      <c r="D19281">
        <v>51.88</v>
      </c>
      <c r="E19281">
        <v>397</v>
      </c>
      <c r="F19281">
        <v>191</v>
      </c>
      <c r="G19281">
        <v>52</v>
      </c>
      <c r="H19281">
        <v>1</v>
      </c>
      <c r="I19281">
        <v>347</v>
      </c>
      <c r="J19281">
        <v>1</v>
      </c>
      <c r="K19281">
        <v>199</v>
      </c>
      <c r="L19281">
        <v>593</v>
      </c>
      <c r="M19281">
        <v>1</v>
      </c>
      <c r="N19281">
        <v>1.21847E-101</v>
      </c>
      <c r="O19281">
        <v>941</v>
      </c>
    </row>
    <row r="19282" spans="1:15" x14ac:dyDescent="0.25">
      <c r="A19282" t="s">
        <v>19295</v>
      </c>
      <c r="B19282">
        <v>236</v>
      </c>
      <c r="C19282" s="1" t="str">
        <f>HYPERLINK("http://www.rosaceae.org/gb/gbrowse/malus_x_domestica/?name=MDP0000201897","MDP0000201897")</f>
        <v>MDP0000201897</v>
      </c>
      <c r="D19282">
        <v>28.57</v>
      </c>
      <c r="E19282">
        <v>126</v>
      </c>
      <c r="F19282">
        <v>90</v>
      </c>
      <c r="G19282">
        <v>3</v>
      </c>
      <c r="H19282">
        <v>26</v>
      </c>
      <c r="I19282">
        <v>150</v>
      </c>
      <c r="J19282">
        <v>1</v>
      </c>
      <c r="K19282">
        <v>702</v>
      </c>
      <c r="L19282">
        <v>825</v>
      </c>
      <c r="M19282">
        <v>1</v>
      </c>
      <c r="N19282">
        <v>5.7222399999999997E-12</v>
      </c>
      <c r="O19282">
        <v>166</v>
      </c>
    </row>
    <row r="19283" spans="1:15" x14ac:dyDescent="0.25">
      <c r="A19283" t="s">
        <v>19296</v>
      </c>
      <c r="B19283">
        <v>293</v>
      </c>
      <c r="C19283" s="1" t="str">
        <f>HYPERLINK("http://www.rosaceae.org/gb/gbrowse/malus_x_domestica/?name=MDP0000318054","MDP0000318054")</f>
        <v>MDP0000318054</v>
      </c>
      <c r="D19283">
        <v>60.14</v>
      </c>
      <c r="E19283">
        <v>281</v>
      </c>
      <c r="F19283">
        <v>112</v>
      </c>
      <c r="G19283">
        <v>27</v>
      </c>
      <c r="H19283">
        <v>12</v>
      </c>
      <c r="I19283">
        <v>265</v>
      </c>
      <c r="J19283">
        <v>1</v>
      </c>
      <c r="K19283">
        <v>122</v>
      </c>
      <c r="L19283">
        <v>402</v>
      </c>
      <c r="M19283">
        <v>1</v>
      </c>
      <c r="N19283">
        <v>1.2227199999999999E-90</v>
      </c>
      <c r="O19283">
        <v>845</v>
      </c>
    </row>
    <row r="19284" spans="1:15" x14ac:dyDescent="0.25">
      <c r="A19284" t="s">
        <v>19297</v>
      </c>
      <c r="B19284">
        <v>716</v>
      </c>
      <c r="C19284" s="1" t="str">
        <f>HYPERLINK("http://www.rosaceae.org/gb/gbrowse/malus_x_domestica/?name=MDP0000287907","MDP0000287907")</f>
        <v>MDP0000287907</v>
      </c>
      <c r="D19284">
        <v>78.17</v>
      </c>
      <c r="E19284">
        <v>527</v>
      </c>
      <c r="F19284">
        <v>115</v>
      </c>
      <c r="G19284">
        <v>13</v>
      </c>
      <c r="H19284">
        <v>1</v>
      </c>
      <c r="I19284">
        <v>522</v>
      </c>
      <c r="J19284">
        <v>1</v>
      </c>
      <c r="K19284">
        <v>1</v>
      </c>
      <c r="L19284">
        <v>519</v>
      </c>
      <c r="M19284">
        <v>1</v>
      </c>
      <c r="N19284">
        <v>0</v>
      </c>
      <c r="O19284">
        <v>2068</v>
      </c>
    </row>
    <row r="19285" spans="1:15" x14ac:dyDescent="0.25">
      <c r="A19285" t="s">
        <v>19298</v>
      </c>
      <c r="B19285">
        <v>1039</v>
      </c>
      <c r="C19285" s="1" t="str">
        <f>HYPERLINK("http://www.rosaceae.org/gb/gbrowse/malus_x_domestica/?name=MDP0000183847","MDP0000183847")</f>
        <v>MDP0000183847</v>
      </c>
      <c r="D19285">
        <v>81.430000000000007</v>
      </c>
      <c r="E19285">
        <v>404</v>
      </c>
      <c r="F19285">
        <v>75</v>
      </c>
      <c r="G19285">
        <v>19</v>
      </c>
      <c r="H19285">
        <v>636</v>
      </c>
      <c r="I19285">
        <v>1039</v>
      </c>
      <c r="J19285">
        <v>1</v>
      </c>
      <c r="K19285">
        <v>1</v>
      </c>
      <c r="L19285">
        <v>385</v>
      </c>
      <c r="M19285">
        <v>1</v>
      </c>
      <c r="N19285">
        <v>0</v>
      </c>
      <c r="O19285">
        <v>1724</v>
      </c>
    </row>
    <row r="19286" spans="1:15" x14ac:dyDescent="0.25">
      <c r="A19286" t="s">
        <v>19299</v>
      </c>
      <c r="B19286">
        <v>339</v>
      </c>
      <c r="C19286" s="1" t="str">
        <f>HYPERLINK("http://www.rosaceae.org/gb/gbrowse/malus_x_domestica/?name=MDP0000873874","MDP0000873874")</f>
        <v>MDP0000873874</v>
      </c>
      <c r="D19286">
        <v>45.2</v>
      </c>
      <c r="E19286">
        <v>334</v>
      </c>
      <c r="F19286">
        <v>183</v>
      </c>
      <c r="G19286">
        <v>64</v>
      </c>
      <c r="H19286">
        <v>1</v>
      </c>
      <c r="I19286">
        <v>323</v>
      </c>
      <c r="J19286">
        <v>1</v>
      </c>
      <c r="K19286">
        <v>1</v>
      </c>
      <c r="L19286">
        <v>281</v>
      </c>
      <c r="M19286">
        <v>1</v>
      </c>
      <c r="N19286">
        <v>1.3901899999999999E-51</v>
      </c>
      <c r="O19286">
        <v>509</v>
      </c>
    </row>
    <row r="19287" spans="1:15" x14ac:dyDescent="0.25">
      <c r="A19287" t="s">
        <v>19300</v>
      </c>
      <c r="B19287">
        <v>366</v>
      </c>
      <c r="C19287" s="1" t="str">
        <f>HYPERLINK("http://www.rosaceae.org/gb/gbrowse/malus_x_domestica/?name=MDP0000126636","MDP0000126636")</f>
        <v>MDP0000126636</v>
      </c>
      <c r="D19287">
        <v>64.010000000000005</v>
      </c>
      <c r="E19287">
        <v>339</v>
      </c>
      <c r="F19287">
        <v>122</v>
      </c>
      <c r="G19287">
        <v>6</v>
      </c>
      <c r="H19287">
        <v>31</v>
      </c>
      <c r="I19287">
        <v>363</v>
      </c>
      <c r="J19287">
        <v>1</v>
      </c>
      <c r="K19287">
        <v>1</v>
      </c>
      <c r="L19287">
        <v>339</v>
      </c>
      <c r="M19287">
        <v>1</v>
      </c>
      <c r="N19287">
        <v>3.4719800000000001E-121</v>
      </c>
      <c r="O19287">
        <v>1110</v>
      </c>
    </row>
    <row r="19288" spans="1:15" x14ac:dyDescent="0.25">
      <c r="A19288" t="s">
        <v>19301</v>
      </c>
      <c r="B19288">
        <v>106</v>
      </c>
      <c r="C19288" s="1" t="str">
        <f>HYPERLINK("http://www.rosaceae.org/gb/gbrowse/malus_x_domestica/?name=MDP0000785966","MDP0000785966")</f>
        <v>MDP0000785966</v>
      </c>
      <c r="D19288">
        <v>69.81</v>
      </c>
      <c r="E19288">
        <v>106</v>
      </c>
      <c r="F19288">
        <v>32</v>
      </c>
      <c r="G19288">
        <v>11</v>
      </c>
      <c r="H19288">
        <v>1</v>
      </c>
      <c r="I19288">
        <v>106</v>
      </c>
      <c r="J19288">
        <v>1</v>
      </c>
      <c r="K19288">
        <v>1</v>
      </c>
      <c r="L19288">
        <v>95</v>
      </c>
      <c r="M19288">
        <v>1</v>
      </c>
      <c r="N19288">
        <v>6.0379E-37</v>
      </c>
      <c r="O19288">
        <v>376</v>
      </c>
    </row>
    <row r="19289" spans="1:15" x14ac:dyDescent="0.25">
      <c r="A19289" t="s">
        <v>19302</v>
      </c>
      <c r="B19289">
        <v>449</v>
      </c>
      <c r="C19289" s="1" t="str">
        <f>HYPERLINK("http://www.rosaceae.org/gb/gbrowse/malus_x_domestica/?name=MDP0000934840","MDP0000934840")</f>
        <v>MDP0000934840</v>
      </c>
      <c r="D19289">
        <v>76.400000000000006</v>
      </c>
      <c r="E19289">
        <v>428</v>
      </c>
      <c r="F19289">
        <v>101</v>
      </c>
      <c r="G19289">
        <v>1</v>
      </c>
      <c r="H19289">
        <v>22</v>
      </c>
      <c r="I19289">
        <v>448</v>
      </c>
      <c r="J19289">
        <v>1</v>
      </c>
      <c r="K19289">
        <v>45</v>
      </c>
      <c r="L19289">
        <v>472</v>
      </c>
      <c r="M19289">
        <v>1</v>
      </c>
      <c r="N19289">
        <v>0</v>
      </c>
      <c r="O19289">
        <v>1808</v>
      </c>
    </row>
    <row r="19290" spans="1:15" x14ac:dyDescent="0.25">
      <c r="A19290" t="s">
        <v>19303</v>
      </c>
      <c r="B19290">
        <v>139</v>
      </c>
      <c r="C19290" s="1" t="str">
        <f>HYPERLINK("http://www.rosaceae.org/gb/gbrowse/malus_x_domestica/?name=MDP0000943292","MDP0000943292")</f>
        <v>MDP0000943292</v>
      </c>
      <c r="D19290">
        <v>55.47</v>
      </c>
      <c r="E19290">
        <v>137</v>
      </c>
      <c r="F19290">
        <v>61</v>
      </c>
      <c r="G19290">
        <v>3</v>
      </c>
      <c r="H19290">
        <v>1</v>
      </c>
      <c r="I19290">
        <v>137</v>
      </c>
      <c r="J19290">
        <v>1</v>
      </c>
      <c r="K19290">
        <v>1</v>
      </c>
      <c r="L19290">
        <v>134</v>
      </c>
      <c r="M19290">
        <v>1</v>
      </c>
      <c r="N19290">
        <v>1.2043E-38</v>
      </c>
      <c r="O19290">
        <v>392</v>
      </c>
    </row>
    <row r="19291" spans="1:15" x14ac:dyDescent="0.25">
      <c r="A19291" t="s">
        <v>19304</v>
      </c>
      <c r="B19291">
        <v>343</v>
      </c>
      <c r="C19291" s="1" t="str">
        <f>HYPERLINK("http://www.rosaceae.org/gb/gbrowse/malus_x_domestica/?name=MDP0000265609","MDP0000265609")</f>
        <v>MDP0000265609</v>
      </c>
      <c r="D19291">
        <v>92.3</v>
      </c>
      <c r="E19291">
        <v>117</v>
      </c>
      <c r="F19291">
        <v>9</v>
      </c>
      <c r="G19291">
        <v>0</v>
      </c>
      <c r="H19291">
        <v>227</v>
      </c>
      <c r="I19291">
        <v>343</v>
      </c>
      <c r="J19291">
        <v>1</v>
      </c>
      <c r="K19291">
        <v>1</v>
      </c>
      <c r="L19291">
        <v>117</v>
      </c>
      <c r="M19291">
        <v>1</v>
      </c>
      <c r="N19291">
        <v>2.07055E-59</v>
      </c>
      <c r="O19291">
        <v>577</v>
      </c>
    </row>
    <row r="19292" spans="1:15" x14ac:dyDescent="0.25">
      <c r="A19292" t="s">
        <v>19305</v>
      </c>
      <c r="B19292">
        <v>366</v>
      </c>
      <c r="C19292" s="1" t="str">
        <f>HYPERLINK("http://www.rosaceae.org/gb/gbrowse/malus_x_domestica/?name=MDP0000320363","MDP0000320363")</f>
        <v>MDP0000320363</v>
      </c>
      <c r="D19292">
        <v>46.87</v>
      </c>
      <c r="E19292">
        <v>416</v>
      </c>
      <c r="F19292">
        <v>221</v>
      </c>
      <c r="G19292">
        <v>86</v>
      </c>
      <c r="H19292">
        <v>1</v>
      </c>
      <c r="I19292">
        <v>366</v>
      </c>
      <c r="J19292">
        <v>1</v>
      </c>
      <c r="K19292">
        <v>1</v>
      </c>
      <c r="L19292">
        <v>380</v>
      </c>
      <c r="M19292">
        <v>1</v>
      </c>
      <c r="N19292">
        <v>1.9677699999999998E-65</v>
      </c>
      <c r="O19292">
        <v>629</v>
      </c>
    </row>
    <row r="19293" spans="1:15" x14ac:dyDescent="0.25">
      <c r="A19293" t="s">
        <v>19306</v>
      </c>
      <c r="B19293">
        <v>271</v>
      </c>
      <c r="C19293" s="1" t="str">
        <f>HYPERLINK("http://www.rosaceae.org/gb/gbrowse/malus_x_domestica/?name=MDP0000131129","MDP0000131129")</f>
        <v>MDP0000131129</v>
      </c>
      <c r="D19293">
        <v>48.58</v>
      </c>
      <c r="E19293">
        <v>177</v>
      </c>
      <c r="F19293">
        <v>91</v>
      </c>
      <c r="G19293">
        <v>30</v>
      </c>
      <c r="H19293">
        <v>6</v>
      </c>
      <c r="I19293">
        <v>182</v>
      </c>
      <c r="J19293">
        <v>1</v>
      </c>
      <c r="K19293">
        <v>107</v>
      </c>
      <c r="L19293">
        <v>253</v>
      </c>
      <c r="M19293">
        <v>1</v>
      </c>
      <c r="N19293">
        <v>7.8149300000000004E-35</v>
      </c>
      <c r="O19293">
        <v>364</v>
      </c>
    </row>
    <row r="19294" spans="1:15" x14ac:dyDescent="0.25">
      <c r="A19294" t="s">
        <v>19307</v>
      </c>
      <c r="B19294">
        <v>120</v>
      </c>
      <c r="C19294" s="1" t="str">
        <f>HYPERLINK("http://www.rosaceae.org/gb/gbrowse/malus_x_domestica/?name=MDP0000231729","MDP0000231729")</f>
        <v>MDP0000231729</v>
      </c>
      <c r="D19294">
        <v>84.61</v>
      </c>
      <c r="E19294">
        <v>65</v>
      </c>
      <c r="F19294">
        <v>10</v>
      </c>
      <c r="G19294">
        <v>0</v>
      </c>
      <c r="H19294">
        <v>56</v>
      </c>
      <c r="I19294">
        <v>120</v>
      </c>
      <c r="J19294">
        <v>1</v>
      </c>
      <c r="K19294">
        <v>97</v>
      </c>
      <c r="L19294">
        <v>161</v>
      </c>
      <c r="M19294">
        <v>1</v>
      </c>
      <c r="N19294">
        <v>6.1308400000000001E-26</v>
      </c>
      <c r="O19294">
        <v>281</v>
      </c>
    </row>
    <row r="19295" spans="1:15" x14ac:dyDescent="0.25">
      <c r="A19295" t="s">
        <v>19308</v>
      </c>
      <c r="B19295">
        <v>123</v>
      </c>
      <c r="C19295" s="1" t="str">
        <f>HYPERLINK("http://www.rosaceae.org/gb/gbrowse/malus_x_domestica/?name=MDP0000385497","MDP0000385497")</f>
        <v>MDP0000385497</v>
      </c>
      <c r="D19295">
        <v>35.049999999999997</v>
      </c>
      <c r="E19295">
        <v>97</v>
      </c>
      <c r="F19295">
        <v>63</v>
      </c>
      <c r="G19295">
        <v>15</v>
      </c>
      <c r="H19295">
        <v>5</v>
      </c>
      <c r="I19295">
        <v>96</v>
      </c>
      <c r="J19295">
        <v>1</v>
      </c>
      <c r="K19295">
        <v>7</v>
      </c>
      <c r="L19295">
        <v>93</v>
      </c>
      <c r="M19295">
        <v>1</v>
      </c>
      <c r="N19295">
        <v>2.92894E-8</v>
      </c>
      <c r="O19295">
        <v>129</v>
      </c>
    </row>
    <row r="19296" spans="1:15" x14ac:dyDescent="0.25">
      <c r="A19296" t="s">
        <v>19309</v>
      </c>
      <c r="B19296">
        <v>591</v>
      </c>
      <c r="C19296" s="1" t="str">
        <f>HYPERLINK("http://www.rosaceae.org/gb/gbrowse/malus_x_domestica/?name=MDP0000233109","MDP0000233109")</f>
        <v>MDP0000233109</v>
      </c>
      <c r="D19296">
        <v>72.89</v>
      </c>
      <c r="E19296">
        <v>605</v>
      </c>
      <c r="F19296">
        <v>164</v>
      </c>
      <c r="G19296">
        <v>15</v>
      </c>
      <c r="H19296">
        <v>1</v>
      </c>
      <c r="I19296">
        <v>591</v>
      </c>
      <c r="J19296">
        <v>1</v>
      </c>
      <c r="K19296">
        <v>1</v>
      </c>
      <c r="L19296">
        <v>604</v>
      </c>
      <c r="M19296">
        <v>1</v>
      </c>
      <c r="N19296">
        <v>0</v>
      </c>
      <c r="O19296">
        <v>2260</v>
      </c>
    </row>
    <row r="19297" spans="1:15" x14ac:dyDescent="0.25">
      <c r="A19297" t="s">
        <v>19310</v>
      </c>
      <c r="B19297">
        <v>141</v>
      </c>
      <c r="C19297" s="1" t="str">
        <f>HYPERLINK("http://www.rosaceae.org/gb/gbrowse/malus_x_domestica/?name=MDP0000145305","MDP0000145305")</f>
        <v>MDP0000145305</v>
      </c>
      <c r="D19297">
        <v>65.95</v>
      </c>
      <c r="E19297">
        <v>47</v>
      </c>
      <c r="F19297">
        <v>16</v>
      </c>
      <c r="G19297">
        <v>1</v>
      </c>
      <c r="H19297">
        <v>7</v>
      </c>
      <c r="I19297">
        <v>53</v>
      </c>
      <c r="J19297">
        <v>1</v>
      </c>
      <c r="K19297">
        <v>58</v>
      </c>
      <c r="L19297">
        <v>103</v>
      </c>
      <c r="M19297">
        <v>1</v>
      </c>
      <c r="N19297">
        <v>1.30914E-12</v>
      </c>
      <c r="O19297">
        <v>168</v>
      </c>
    </row>
    <row r="19298" spans="1:15" x14ac:dyDescent="0.25">
      <c r="A19298" t="s">
        <v>19311</v>
      </c>
      <c r="B19298">
        <v>846</v>
      </c>
      <c r="C19298" s="1" t="str">
        <f>HYPERLINK("http://www.rosaceae.org/gb/gbrowse/malus_x_domestica/?name=MDP0000253114","MDP0000253114")</f>
        <v>MDP0000253114</v>
      </c>
      <c r="D19298">
        <v>56.15</v>
      </c>
      <c r="E19298">
        <v>447</v>
      </c>
      <c r="F19298">
        <v>196</v>
      </c>
      <c r="G19298">
        <v>32</v>
      </c>
      <c r="H19298">
        <v>1</v>
      </c>
      <c r="I19298">
        <v>422</v>
      </c>
      <c r="J19298">
        <v>1</v>
      </c>
      <c r="K19298">
        <v>1</v>
      </c>
      <c r="L19298">
        <v>440</v>
      </c>
      <c r="M19298">
        <v>1</v>
      </c>
      <c r="N19298">
        <v>7.8818999999999998E-135</v>
      </c>
      <c r="O19298">
        <v>1232</v>
      </c>
    </row>
    <row r="19299" spans="1:15" x14ac:dyDescent="0.25">
      <c r="A19299" t="s">
        <v>19312</v>
      </c>
      <c r="B19299">
        <v>218</v>
      </c>
      <c r="C19299" s="1" t="str">
        <f>HYPERLINK("http://www.rosaceae.org/gb/gbrowse/malus_x_domestica/?name=MDP0000331536","MDP0000331536")</f>
        <v>MDP0000331536</v>
      </c>
      <c r="D19299">
        <v>75.25</v>
      </c>
      <c r="E19299">
        <v>194</v>
      </c>
      <c r="F19299">
        <v>48</v>
      </c>
      <c r="G19299">
        <v>1</v>
      </c>
      <c r="H19299">
        <v>26</v>
      </c>
      <c r="I19299">
        <v>218</v>
      </c>
      <c r="J19299">
        <v>1</v>
      </c>
      <c r="K19299">
        <v>24</v>
      </c>
      <c r="L19299">
        <v>217</v>
      </c>
      <c r="M19299">
        <v>1</v>
      </c>
      <c r="N19299">
        <v>1.54586E-78</v>
      </c>
      <c r="O19299">
        <v>739</v>
      </c>
    </row>
    <row r="19300" spans="1:15" x14ac:dyDescent="0.25">
      <c r="A19300" t="s">
        <v>19313</v>
      </c>
      <c r="B19300">
        <v>405</v>
      </c>
      <c r="C19300" s="1" t="str">
        <f>HYPERLINK("http://www.rosaceae.org/gb/gbrowse/malus_x_domestica/?name=MDP0000230387","MDP0000230387")</f>
        <v>MDP0000230387</v>
      </c>
      <c r="D19300">
        <v>79.739999999999995</v>
      </c>
      <c r="E19300">
        <v>395</v>
      </c>
      <c r="F19300">
        <v>80</v>
      </c>
      <c r="G19300">
        <v>3</v>
      </c>
      <c r="H19300">
        <v>1</v>
      </c>
      <c r="I19300">
        <v>393</v>
      </c>
      <c r="J19300">
        <v>1</v>
      </c>
      <c r="K19300">
        <v>208</v>
      </c>
      <c r="L19300">
        <v>601</v>
      </c>
      <c r="M19300">
        <v>1</v>
      </c>
      <c r="N19300">
        <v>0</v>
      </c>
      <c r="O19300">
        <v>1695</v>
      </c>
    </row>
    <row r="19301" spans="1:15" x14ac:dyDescent="0.25">
      <c r="A19301" t="s">
        <v>19314</v>
      </c>
      <c r="B19301">
        <v>314</v>
      </c>
      <c r="C19301" s="1" t="str">
        <f>HYPERLINK("http://www.rosaceae.org/gb/gbrowse/malus_x_domestica/?name=MDP0000341930","MDP0000341930")</f>
        <v>MDP0000341930</v>
      </c>
      <c r="D19301">
        <v>65.48</v>
      </c>
      <c r="E19301">
        <v>281</v>
      </c>
      <c r="F19301">
        <v>97</v>
      </c>
      <c r="G19301">
        <v>11</v>
      </c>
      <c r="H19301">
        <v>6</v>
      </c>
      <c r="I19301">
        <v>281</v>
      </c>
      <c r="J19301">
        <v>1</v>
      </c>
      <c r="K19301">
        <v>12</v>
      </c>
      <c r="L19301">
        <v>286</v>
      </c>
      <c r="M19301">
        <v>1</v>
      </c>
      <c r="N19301">
        <v>2.9723399999999998E-93</v>
      </c>
      <c r="O19301">
        <v>868</v>
      </c>
    </row>
    <row r="19302" spans="1:15" x14ac:dyDescent="0.25">
      <c r="A19302" t="s">
        <v>19315</v>
      </c>
      <c r="B19302">
        <v>387</v>
      </c>
      <c r="C19302" s="1" t="str">
        <f>HYPERLINK("http://www.rosaceae.org/gb/gbrowse/malus_x_domestica/?name=MDP0000673070","MDP0000673070")</f>
        <v>MDP0000673070</v>
      </c>
      <c r="D19302">
        <v>67.25</v>
      </c>
      <c r="E19302">
        <v>397</v>
      </c>
      <c r="F19302">
        <v>130</v>
      </c>
      <c r="G19302">
        <v>14</v>
      </c>
      <c r="H19302">
        <v>1</v>
      </c>
      <c r="I19302">
        <v>386</v>
      </c>
      <c r="J19302">
        <v>1</v>
      </c>
      <c r="K19302">
        <v>1</v>
      </c>
      <c r="L19302">
        <v>394</v>
      </c>
      <c r="M19302">
        <v>1</v>
      </c>
      <c r="N19302">
        <v>4.7016400000000003E-148</v>
      </c>
      <c r="O19302">
        <v>1342</v>
      </c>
    </row>
    <row r="19303" spans="1:15" x14ac:dyDescent="0.25">
      <c r="A19303" t="s">
        <v>19316</v>
      </c>
      <c r="B19303">
        <v>244</v>
      </c>
      <c r="C19303" s="1" t="str">
        <f>HYPERLINK("http://www.rosaceae.org/gb/gbrowse/malus_x_domestica/?name=MDP0000128265","MDP0000128265")</f>
        <v>MDP0000128265</v>
      </c>
      <c r="D19303">
        <v>42.42</v>
      </c>
      <c r="E19303">
        <v>264</v>
      </c>
      <c r="F19303">
        <v>152</v>
      </c>
      <c r="G19303">
        <v>44</v>
      </c>
      <c r="H19303">
        <v>11</v>
      </c>
      <c r="I19303">
        <v>231</v>
      </c>
      <c r="J19303">
        <v>1</v>
      </c>
      <c r="K19303">
        <v>205</v>
      </c>
      <c r="L19303">
        <v>467</v>
      </c>
      <c r="M19303">
        <v>1</v>
      </c>
      <c r="N19303">
        <v>7.3169099999999997E-44</v>
      </c>
      <c r="O19303">
        <v>441</v>
      </c>
    </row>
    <row r="19304" spans="1:15" x14ac:dyDescent="0.25">
      <c r="A19304" t="s">
        <v>19317</v>
      </c>
      <c r="B19304">
        <v>366</v>
      </c>
      <c r="C19304" s="1" t="str">
        <f>HYPERLINK("http://www.rosaceae.org/gb/gbrowse/malus_x_domestica/?name=MDP0000431572","MDP0000431572")</f>
        <v>MDP0000431572</v>
      </c>
      <c r="D19304">
        <v>68.7</v>
      </c>
      <c r="E19304">
        <v>278</v>
      </c>
      <c r="F19304">
        <v>87</v>
      </c>
      <c r="G19304">
        <v>5</v>
      </c>
      <c r="H19304">
        <v>50</v>
      </c>
      <c r="I19304">
        <v>326</v>
      </c>
      <c r="J19304">
        <v>1</v>
      </c>
      <c r="K19304">
        <v>64</v>
      </c>
      <c r="L19304">
        <v>337</v>
      </c>
      <c r="M19304">
        <v>1</v>
      </c>
      <c r="N19304">
        <v>2.0302900000000001E-101</v>
      </c>
      <c r="O19304">
        <v>940</v>
      </c>
    </row>
    <row r="19305" spans="1:15" x14ac:dyDescent="0.25">
      <c r="A19305" t="s">
        <v>19318</v>
      </c>
      <c r="B19305">
        <v>437</v>
      </c>
      <c r="C19305" s="1" t="str">
        <f>HYPERLINK("http://www.rosaceae.org/gb/gbrowse/malus_x_domestica/?name=MDP0000230247","MDP0000230247")</f>
        <v>MDP0000230247</v>
      </c>
      <c r="D19305">
        <v>71.569999999999993</v>
      </c>
      <c r="E19305">
        <v>387</v>
      </c>
      <c r="F19305">
        <v>110</v>
      </c>
      <c r="G19305">
        <v>24</v>
      </c>
      <c r="H19305">
        <v>74</v>
      </c>
      <c r="I19305">
        <v>436</v>
      </c>
      <c r="J19305">
        <v>1</v>
      </c>
      <c r="K19305">
        <v>1</v>
      </c>
      <c r="L19305">
        <v>387</v>
      </c>
      <c r="M19305">
        <v>1</v>
      </c>
      <c r="N19305">
        <v>3.1616000000000003E-157</v>
      </c>
      <c r="O19305">
        <v>1422</v>
      </c>
    </row>
    <row r="19306" spans="1:15" x14ac:dyDescent="0.25">
      <c r="A19306" t="s">
        <v>19319</v>
      </c>
      <c r="B19306">
        <v>921</v>
      </c>
      <c r="C19306" s="1" t="str">
        <f>HYPERLINK("http://www.rosaceae.org/gb/gbrowse/malus_x_domestica/?name=MDP0000320615","MDP0000320615")</f>
        <v>MDP0000320615</v>
      </c>
      <c r="D19306">
        <v>61.31</v>
      </c>
      <c r="E19306">
        <v>1016</v>
      </c>
      <c r="F19306">
        <v>393</v>
      </c>
      <c r="G19306">
        <v>147</v>
      </c>
      <c r="H19306">
        <v>1</v>
      </c>
      <c r="I19306">
        <v>906</v>
      </c>
      <c r="J19306">
        <v>1</v>
      </c>
      <c r="K19306">
        <v>360</v>
      </c>
      <c r="L19306">
        <v>1338</v>
      </c>
      <c r="M19306">
        <v>1</v>
      </c>
      <c r="N19306">
        <v>0</v>
      </c>
      <c r="O19306">
        <v>3050</v>
      </c>
    </row>
    <row r="19307" spans="1:15" x14ac:dyDescent="0.25">
      <c r="A19307" t="s">
        <v>19320</v>
      </c>
      <c r="B19307">
        <v>242</v>
      </c>
      <c r="C19307" s="1" t="str">
        <f>HYPERLINK("http://www.rosaceae.org/gb/gbrowse/malus_x_domestica/?name=MDP0000650246","MDP0000650246")</f>
        <v>MDP0000650246</v>
      </c>
      <c r="D19307">
        <v>59.19</v>
      </c>
      <c r="E19307">
        <v>272</v>
      </c>
      <c r="F19307">
        <v>111</v>
      </c>
      <c r="G19307">
        <v>33</v>
      </c>
      <c r="H19307">
        <v>1</v>
      </c>
      <c r="I19307">
        <v>242</v>
      </c>
      <c r="J19307">
        <v>1</v>
      </c>
      <c r="K19307">
        <v>1</v>
      </c>
      <c r="L19307">
        <v>269</v>
      </c>
      <c r="M19307">
        <v>1</v>
      </c>
      <c r="N19307">
        <v>1.2284E-78</v>
      </c>
      <c r="O19307">
        <v>741</v>
      </c>
    </row>
    <row r="19308" spans="1:15" x14ac:dyDescent="0.25">
      <c r="A19308" t="s">
        <v>19321</v>
      </c>
      <c r="B19308">
        <v>305</v>
      </c>
      <c r="C19308" s="1" t="str">
        <f>HYPERLINK("http://www.rosaceae.org/gb/gbrowse/malus_x_domestica/?name=MDP0000538186","MDP0000538186")</f>
        <v>MDP0000538186</v>
      </c>
      <c r="D19308">
        <v>89.18</v>
      </c>
      <c r="E19308">
        <v>305</v>
      </c>
      <c r="F19308">
        <v>33</v>
      </c>
      <c r="G19308">
        <v>0</v>
      </c>
      <c r="H19308">
        <v>1</v>
      </c>
      <c r="I19308">
        <v>305</v>
      </c>
      <c r="J19308">
        <v>1</v>
      </c>
      <c r="K19308">
        <v>1</v>
      </c>
      <c r="L19308">
        <v>305</v>
      </c>
      <c r="M19308">
        <v>1</v>
      </c>
      <c r="N19308">
        <v>6.6503299999999997E-158</v>
      </c>
      <c r="O19308">
        <v>1426</v>
      </c>
    </row>
    <row r="19309" spans="1:15" x14ac:dyDescent="0.25">
      <c r="A19309" t="s">
        <v>19322</v>
      </c>
      <c r="B19309">
        <v>765</v>
      </c>
      <c r="C19309" s="1" t="str">
        <f>HYPERLINK("http://www.rosaceae.org/gb/gbrowse/malus_x_domestica/?name=MDP0000242092","MDP0000242092")</f>
        <v>MDP0000242092</v>
      </c>
      <c r="D19309">
        <v>43.19</v>
      </c>
      <c r="E19309">
        <v>889</v>
      </c>
      <c r="F19309">
        <v>505</v>
      </c>
      <c r="G19309">
        <v>203</v>
      </c>
      <c r="H19309">
        <v>1</v>
      </c>
      <c r="I19309">
        <v>765</v>
      </c>
      <c r="J19309">
        <v>1</v>
      </c>
      <c r="K19309">
        <v>1</v>
      </c>
      <c r="L19309">
        <v>810</v>
      </c>
      <c r="M19309">
        <v>1</v>
      </c>
      <c r="N19309">
        <v>3.2119700000000001E-170</v>
      </c>
      <c r="O19309">
        <v>1536</v>
      </c>
    </row>
    <row r="19310" spans="1:15" x14ac:dyDescent="0.25">
      <c r="A19310" t="s">
        <v>19323</v>
      </c>
      <c r="B19310">
        <v>278</v>
      </c>
      <c r="C19310" s="1" t="str">
        <f>HYPERLINK("http://www.rosaceae.org/gb/gbrowse/malus_x_domestica/?name=MDP0000347469","MDP0000347469")</f>
        <v>MDP0000347469</v>
      </c>
      <c r="D19310">
        <v>69.83</v>
      </c>
      <c r="E19310">
        <v>242</v>
      </c>
      <c r="F19310">
        <v>73</v>
      </c>
      <c r="G19310">
        <v>6</v>
      </c>
      <c r="H19310">
        <v>1</v>
      </c>
      <c r="I19310">
        <v>236</v>
      </c>
      <c r="J19310">
        <v>1</v>
      </c>
      <c r="K19310">
        <v>1</v>
      </c>
      <c r="L19310">
        <v>242</v>
      </c>
      <c r="M19310">
        <v>1</v>
      </c>
      <c r="N19310">
        <v>2.3738600000000001E-83</v>
      </c>
      <c r="O19310">
        <v>782</v>
      </c>
    </row>
    <row r="19311" spans="1:15" x14ac:dyDescent="0.25">
      <c r="A19311" t="s">
        <v>19324</v>
      </c>
      <c r="B19311">
        <v>305</v>
      </c>
      <c r="C19311" s="1" t="str">
        <f>HYPERLINK("http://www.rosaceae.org/gb/gbrowse/malus_x_domestica/?name=MDP0000329966","MDP0000329966")</f>
        <v>MDP0000329966</v>
      </c>
      <c r="D19311">
        <v>70.739999999999995</v>
      </c>
      <c r="E19311">
        <v>147</v>
      </c>
      <c r="F19311">
        <v>43</v>
      </c>
      <c r="G19311">
        <v>3</v>
      </c>
      <c r="H19311">
        <v>162</v>
      </c>
      <c r="I19311">
        <v>305</v>
      </c>
      <c r="J19311">
        <v>1</v>
      </c>
      <c r="K19311">
        <v>3</v>
      </c>
      <c r="L19311">
        <v>149</v>
      </c>
      <c r="M19311">
        <v>1</v>
      </c>
      <c r="N19311">
        <v>4.3639800000000002E-57</v>
      </c>
      <c r="O19311">
        <v>556</v>
      </c>
    </row>
    <row r="19312" spans="1:15" x14ac:dyDescent="0.25">
      <c r="A19312" t="s">
        <v>19325</v>
      </c>
      <c r="B19312">
        <v>584</v>
      </c>
      <c r="C19312" s="1" t="str">
        <f>HYPERLINK("http://www.rosaceae.org/gb/gbrowse/malus_x_domestica/?name=MDP0000834789","MDP0000834789")</f>
        <v>MDP0000834789</v>
      </c>
      <c r="D19312">
        <v>51.53</v>
      </c>
      <c r="E19312">
        <v>293</v>
      </c>
      <c r="F19312">
        <v>142</v>
      </c>
      <c r="G19312">
        <v>51</v>
      </c>
      <c r="H19312">
        <v>113</v>
      </c>
      <c r="I19312">
        <v>354</v>
      </c>
      <c r="J19312">
        <v>1</v>
      </c>
      <c r="K19312">
        <v>263</v>
      </c>
      <c r="L19312">
        <v>555</v>
      </c>
      <c r="M19312">
        <v>1</v>
      </c>
      <c r="N19312">
        <v>1.13967E-77</v>
      </c>
      <c r="O19312">
        <v>737</v>
      </c>
    </row>
    <row r="19313" spans="1:15" x14ac:dyDescent="0.25">
      <c r="A19313" t="s">
        <v>19326</v>
      </c>
      <c r="B19313">
        <v>465</v>
      </c>
      <c r="C19313" s="1" t="str">
        <f>HYPERLINK("http://www.rosaceae.org/gb/gbrowse/malus_x_domestica/?name=MDP0000923035","MDP0000923035")</f>
        <v>MDP0000923035</v>
      </c>
      <c r="D19313">
        <v>77.55</v>
      </c>
      <c r="E19313">
        <v>401</v>
      </c>
      <c r="F19313">
        <v>90</v>
      </c>
      <c r="G19313">
        <v>3</v>
      </c>
      <c r="H19313">
        <v>68</v>
      </c>
      <c r="I19313">
        <v>465</v>
      </c>
      <c r="J19313">
        <v>1</v>
      </c>
      <c r="K19313">
        <v>53</v>
      </c>
      <c r="L19313">
        <v>453</v>
      </c>
      <c r="M19313">
        <v>1</v>
      </c>
      <c r="N19313">
        <v>0</v>
      </c>
      <c r="O19313">
        <v>1718</v>
      </c>
    </row>
    <row r="19314" spans="1:15" x14ac:dyDescent="0.25">
      <c r="A19314" t="s">
        <v>19327</v>
      </c>
      <c r="B19314">
        <v>335</v>
      </c>
      <c r="C19314" s="1" t="str">
        <f>HYPERLINK("http://www.rosaceae.org/gb/gbrowse/malus_x_domestica/?name=MDP0000301034","MDP0000301034")</f>
        <v>MDP0000301034</v>
      </c>
      <c r="D19314">
        <v>76.040000000000006</v>
      </c>
      <c r="E19314">
        <v>96</v>
      </c>
      <c r="F19314">
        <v>23</v>
      </c>
      <c r="G19314">
        <v>0</v>
      </c>
      <c r="H19314">
        <v>53</v>
      </c>
      <c r="I19314">
        <v>148</v>
      </c>
      <c r="J19314">
        <v>1</v>
      </c>
      <c r="K19314">
        <v>121</v>
      </c>
      <c r="L19314">
        <v>216</v>
      </c>
      <c r="M19314">
        <v>1</v>
      </c>
      <c r="N19314">
        <v>5.25456E-39</v>
      </c>
      <c r="O19314">
        <v>401</v>
      </c>
    </row>
    <row r="19315" spans="1:15" x14ac:dyDescent="0.25">
      <c r="A19315" t="s">
        <v>19328</v>
      </c>
      <c r="B19315">
        <v>420</v>
      </c>
      <c r="C19315" s="1" t="str">
        <f>HYPERLINK("http://www.rosaceae.org/gb/gbrowse/malus_x_domestica/?name=MDP0000272485","MDP0000272485")</f>
        <v>MDP0000272485</v>
      </c>
      <c r="D19315">
        <v>75.95</v>
      </c>
      <c r="E19315">
        <v>366</v>
      </c>
      <c r="F19315">
        <v>88</v>
      </c>
      <c r="G19315">
        <v>0</v>
      </c>
      <c r="H19315">
        <v>53</v>
      </c>
      <c r="I19315">
        <v>418</v>
      </c>
      <c r="J19315">
        <v>1</v>
      </c>
      <c r="K19315">
        <v>542</v>
      </c>
      <c r="L19315">
        <v>907</v>
      </c>
      <c r="M19315">
        <v>1</v>
      </c>
      <c r="N19315">
        <v>2.06037E-157</v>
      </c>
      <c r="O19315">
        <v>1423</v>
      </c>
    </row>
    <row r="19316" spans="1:15" x14ac:dyDescent="0.25">
      <c r="A19316" t="s">
        <v>19329</v>
      </c>
      <c r="B19316">
        <v>780</v>
      </c>
      <c r="C19316" s="1" t="str">
        <f>HYPERLINK("http://www.rosaceae.org/gb/gbrowse/malus_x_domestica/?name=MDP0000267131","MDP0000267131")</f>
        <v>MDP0000267131</v>
      </c>
      <c r="D19316">
        <v>84.59</v>
      </c>
      <c r="E19316">
        <v>727</v>
      </c>
      <c r="F19316">
        <v>112</v>
      </c>
      <c r="G19316">
        <v>33</v>
      </c>
      <c r="H19316">
        <v>33</v>
      </c>
      <c r="I19316">
        <v>759</v>
      </c>
      <c r="J19316">
        <v>1</v>
      </c>
      <c r="K19316">
        <v>407</v>
      </c>
      <c r="L19316">
        <v>1100</v>
      </c>
      <c r="M19316">
        <v>1</v>
      </c>
      <c r="N19316">
        <v>0</v>
      </c>
      <c r="O19316">
        <v>3159</v>
      </c>
    </row>
    <row r="19317" spans="1:15" x14ac:dyDescent="0.25">
      <c r="A19317" t="s">
        <v>19330</v>
      </c>
      <c r="B19317">
        <v>213</v>
      </c>
      <c r="C19317" s="1" t="str">
        <f>HYPERLINK("http://www.rosaceae.org/gb/gbrowse/malus_x_domestica/?name=MDP0000249677","MDP0000249677")</f>
        <v>MDP0000249677</v>
      </c>
      <c r="D19317">
        <v>48.69</v>
      </c>
      <c r="E19317">
        <v>230</v>
      </c>
      <c r="F19317">
        <v>118</v>
      </c>
      <c r="G19317">
        <v>21</v>
      </c>
      <c r="H19317">
        <v>1</v>
      </c>
      <c r="I19317">
        <v>213</v>
      </c>
      <c r="J19317">
        <v>1</v>
      </c>
      <c r="K19317">
        <v>86</v>
      </c>
      <c r="L19317">
        <v>311</v>
      </c>
      <c r="M19317">
        <v>1</v>
      </c>
      <c r="N19317">
        <v>1.9061E-42</v>
      </c>
      <c r="O19317">
        <v>428</v>
      </c>
    </row>
    <row r="19318" spans="1:15" x14ac:dyDescent="0.25">
      <c r="A19318" t="s">
        <v>19331</v>
      </c>
      <c r="B19318">
        <v>617</v>
      </c>
      <c r="C19318" s="1" t="str">
        <f>HYPERLINK("http://www.rosaceae.org/gb/gbrowse/malus_x_domestica/?name=MDP0000120097","MDP0000120097")</f>
        <v>MDP0000120097</v>
      </c>
      <c r="D19318">
        <v>67.05</v>
      </c>
      <c r="E19318">
        <v>340</v>
      </c>
      <c r="F19318">
        <v>112</v>
      </c>
      <c r="G19318">
        <v>30</v>
      </c>
      <c r="H19318">
        <v>306</v>
      </c>
      <c r="I19318">
        <v>617</v>
      </c>
      <c r="J19318">
        <v>1</v>
      </c>
      <c r="K19318">
        <v>64</v>
      </c>
      <c r="L19318">
        <v>401</v>
      </c>
      <c r="M19318">
        <v>1</v>
      </c>
      <c r="N19318">
        <v>3.2471100000000002E-122</v>
      </c>
      <c r="O19318">
        <v>1121</v>
      </c>
    </row>
    <row r="19319" spans="1:15" x14ac:dyDescent="0.25">
      <c r="A19319" t="s">
        <v>19332</v>
      </c>
      <c r="B19319">
        <v>548</v>
      </c>
      <c r="C19319" s="1" t="str">
        <f>HYPERLINK("http://www.rosaceae.org/gb/gbrowse/malus_x_domestica/?name=MDP0000143742","MDP0000143742")</f>
        <v>MDP0000143742</v>
      </c>
      <c r="D19319">
        <v>68.569999999999993</v>
      </c>
      <c r="E19319">
        <v>525</v>
      </c>
      <c r="F19319">
        <v>165</v>
      </c>
      <c r="G19319">
        <v>12</v>
      </c>
      <c r="H19319">
        <v>1</v>
      </c>
      <c r="I19319">
        <v>516</v>
      </c>
      <c r="J19319">
        <v>1</v>
      </c>
      <c r="K19319">
        <v>1</v>
      </c>
      <c r="L19319">
        <v>522</v>
      </c>
      <c r="M19319">
        <v>1</v>
      </c>
      <c r="N19319">
        <v>0</v>
      </c>
      <c r="O19319">
        <v>1828</v>
      </c>
    </row>
    <row r="19320" spans="1:15" x14ac:dyDescent="0.25">
      <c r="A19320" t="s">
        <v>19333</v>
      </c>
      <c r="B19320">
        <v>140</v>
      </c>
      <c r="C19320" s="1" t="str">
        <f>HYPERLINK("http://www.rosaceae.org/gb/gbrowse/malus_x_domestica/?name=MDP0000823582","MDP0000823582")</f>
        <v>MDP0000823582</v>
      </c>
      <c r="D19320">
        <v>100</v>
      </c>
      <c r="E19320">
        <v>91</v>
      </c>
      <c r="F19320">
        <v>0</v>
      </c>
      <c r="G19320">
        <v>0</v>
      </c>
      <c r="H19320">
        <v>49</v>
      </c>
      <c r="I19320">
        <v>139</v>
      </c>
      <c r="J19320">
        <v>1</v>
      </c>
      <c r="K19320">
        <v>57</v>
      </c>
      <c r="L19320">
        <v>147</v>
      </c>
      <c r="M19320">
        <v>1</v>
      </c>
      <c r="N19320">
        <v>7.1928699999999995E-49</v>
      </c>
      <c r="O19320">
        <v>480</v>
      </c>
    </row>
    <row r="19321" spans="1:15" x14ac:dyDescent="0.25">
      <c r="A19321" t="s">
        <v>19334</v>
      </c>
      <c r="B19321">
        <v>137</v>
      </c>
      <c r="C19321" s="1" t="str">
        <f>HYPERLINK("http://www.rosaceae.org/gb/gbrowse/malus_x_domestica/?name=MDP0000218628","MDP0000218628")</f>
        <v>MDP0000218628</v>
      </c>
      <c r="D19321">
        <v>65.78</v>
      </c>
      <c r="E19321">
        <v>114</v>
      </c>
      <c r="F19321">
        <v>39</v>
      </c>
      <c r="G19321">
        <v>1</v>
      </c>
      <c r="H19321">
        <v>1</v>
      </c>
      <c r="I19321">
        <v>114</v>
      </c>
      <c r="J19321">
        <v>1</v>
      </c>
      <c r="K19321">
        <v>1</v>
      </c>
      <c r="L19321">
        <v>113</v>
      </c>
      <c r="M19321">
        <v>1</v>
      </c>
      <c r="N19321">
        <v>3.1123099999999999E-38</v>
      </c>
      <c r="O19321">
        <v>388</v>
      </c>
    </row>
    <row r="19322" spans="1:15" x14ac:dyDescent="0.25">
      <c r="A19322" t="s">
        <v>19335</v>
      </c>
      <c r="B19322">
        <v>199</v>
      </c>
      <c r="C19322" s="1" t="str">
        <f>HYPERLINK("http://www.rosaceae.org/gb/gbrowse/malus_x_domestica/?name=MDP0000322165","MDP0000322165")</f>
        <v>MDP0000322165</v>
      </c>
      <c r="D19322">
        <v>82.91</v>
      </c>
      <c r="E19322">
        <v>199</v>
      </c>
      <c r="F19322">
        <v>34</v>
      </c>
      <c r="G19322">
        <v>0</v>
      </c>
      <c r="H19322">
        <v>1</v>
      </c>
      <c r="I19322">
        <v>199</v>
      </c>
      <c r="J19322">
        <v>1</v>
      </c>
      <c r="K19322">
        <v>100</v>
      </c>
      <c r="L19322">
        <v>298</v>
      </c>
      <c r="M19322">
        <v>1</v>
      </c>
      <c r="N19322">
        <v>1.8769700000000001E-93</v>
      </c>
      <c r="O19322">
        <v>867</v>
      </c>
    </row>
    <row r="19323" spans="1:15" x14ac:dyDescent="0.25">
      <c r="A19323" t="s">
        <v>19336</v>
      </c>
      <c r="B19323">
        <v>337</v>
      </c>
      <c r="C19323" s="1" t="str">
        <f>HYPERLINK("http://www.rosaceae.org/gb/gbrowse/malus_x_domestica/?name=MDP0000267339","MDP0000267339")</f>
        <v>MDP0000267339</v>
      </c>
      <c r="D19323">
        <v>81.22</v>
      </c>
      <c r="E19323">
        <v>309</v>
      </c>
      <c r="F19323">
        <v>58</v>
      </c>
      <c r="G19323">
        <v>5</v>
      </c>
      <c r="H19323">
        <v>29</v>
      </c>
      <c r="I19323">
        <v>332</v>
      </c>
      <c r="J19323">
        <v>1</v>
      </c>
      <c r="K19323">
        <v>62</v>
      </c>
      <c r="L19323">
        <v>370</v>
      </c>
      <c r="M19323">
        <v>1</v>
      </c>
      <c r="N19323">
        <v>1.25542E-143</v>
      </c>
      <c r="O19323">
        <v>1303</v>
      </c>
    </row>
    <row r="19324" spans="1:15" x14ac:dyDescent="0.25">
      <c r="A19324" t="s">
        <v>19337</v>
      </c>
      <c r="B19324">
        <v>525</v>
      </c>
      <c r="C19324" s="1" t="str">
        <f>HYPERLINK("http://www.rosaceae.org/gb/gbrowse/malus_x_domestica/?name=MDP0000161955","MDP0000161955")</f>
        <v>MDP0000161955</v>
      </c>
      <c r="D19324">
        <v>70.5</v>
      </c>
      <c r="E19324">
        <v>539</v>
      </c>
      <c r="F19324">
        <v>159</v>
      </c>
      <c r="G19324">
        <v>25</v>
      </c>
      <c r="H19324">
        <v>2</v>
      </c>
      <c r="I19324">
        <v>525</v>
      </c>
      <c r="J19324">
        <v>1</v>
      </c>
      <c r="K19324">
        <v>1</v>
      </c>
      <c r="L19324">
        <v>529</v>
      </c>
      <c r="M19324">
        <v>1</v>
      </c>
      <c r="N19324">
        <v>0</v>
      </c>
      <c r="O19324">
        <v>1948</v>
      </c>
    </row>
    <row r="19325" spans="1:15" x14ac:dyDescent="0.25">
      <c r="A19325" t="s">
        <v>19338</v>
      </c>
      <c r="B19325">
        <v>550</v>
      </c>
      <c r="C19325" s="1" t="str">
        <f>HYPERLINK("http://www.rosaceae.org/gb/gbrowse/malus_x_domestica/?name=MDP0000124019","MDP0000124019")</f>
        <v>MDP0000124019</v>
      </c>
      <c r="D19325">
        <v>65.209999999999994</v>
      </c>
      <c r="E19325">
        <v>575</v>
      </c>
      <c r="F19325">
        <v>200</v>
      </c>
      <c r="G19325">
        <v>63</v>
      </c>
      <c r="H19325">
        <v>1</v>
      </c>
      <c r="I19325">
        <v>549</v>
      </c>
      <c r="J19325">
        <v>1</v>
      </c>
      <c r="K19325">
        <v>1</v>
      </c>
      <c r="L19325">
        <v>538</v>
      </c>
      <c r="M19325">
        <v>1</v>
      </c>
      <c r="N19325">
        <v>0</v>
      </c>
      <c r="O19325">
        <v>1705</v>
      </c>
    </row>
    <row r="19326" spans="1:15" x14ac:dyDescent="0.25">
      <c r="A19326" t="s">
        <v>19339</v>
      </c>
      <c r="B19326">
        <v>380</v>
      </c>
      <c r="C19326" s="1" t="str">
        <f>HYPERLINK("http://www.rosaceae.org/gb/gbrowse/malus_x_domestica/?name=MDP0000306888","MDP0000306888")</f>
        <v>MDP0000306888</v>
      </c>
      <c r="D19326">
        <v>72.489999999999995</v>
      </c>
      <c r="E19326">
        <v>349</v>
      </c>
      <c r="F19326">
        <v>96</v>
      </c>
      <c r="G19326">
        <v>5</v>
      </c>
      <c r="H19326">
        <v>33</v>
      </c>
      <c r="I19326">
        <v>380</v>
      </c>
      <c r="J19326">
        <v>1</v>
      </c>
      <c r="K19326">
        <v>526</v>
      </c>
      <c r="L19326">
        <v>870</v>
      </c>
      <c r="M19326">
        <v>1</v>
      </c>
      <c r="N19326">
        <v>8.7872100000000003E-149</v>
      </c>
      <c r="O19326">
        <v>1348</v>
      </c>
    </row>
    <row r="19327" spans="1:15" x14ac:dyDescent="0.25">
      <c r="A19327" t="s">
        <v>19340</v>
      </c>
      <c r="B19327">
        <v>388</v>
      </c>
      <c r="C19327" s="1" t="str">
        <f>HYPERLINK("http://www.rosaceae.org/gb/gbrowse/malus_x_domestica/?name=MDP0000138937","MDP0000138937")</f>
        <v>MDP0000138937</v>
      </c>
      <c r="D19327">
        <v>64.73</v>
      </c>
      <c r="E19327">
        <v>363</v>
      </c>
      <c r="F19327">
        <v>128</v>
      </c>
      <c r="G19327">
        <v>9</v>
      </c>
      <c r="H19327">
        <v>30</v>
      </c>
      <c r="I19327">
        <v>388</v>
      </c>
      <c r="J19327">
        <v>1</v>
      </c>
      <c r="K19327">
        <v>25</v>
      </c>
      <c r="L19327">
        <v>382</v>
      </c>
      <c r="M19327">
        <v>1</v>
      </c>
      <c r="N19327">
        <v>5.0195299999999997E-136</v>
      </c>
      <c r="O19327">
        <v>1238</v>
      </c>
    </row>
    <row r="19328" spans="1:15" x14ac:dyDescent="0.25">
      <c r="A19328" t="s">
        <v>19341</v>
      </c>
      <c r="B19328">
        <v>711</v>
      </c>
      <c r="C19328" s="1" t="str">
        <f>HYPERLINK("http://www.rosaceae.org/gb/gbrowse/malus_x_domestica/?name=MDP0000909091","MDP0000909091")</f>
        <v>MDP0000909091</v>
      </c>
      <c r="D19328">
        <v>71.87</v>
      </c>
      <c r="E19328">
        <v>743</v>
      </c>
      <c r="F19328">
        <v>209</v>
      </c>
      <c r="G19328">
        <v>52</v>
      </c>
      <c r="H19328">
        <v>1</v>
      </c>
      <c r="I19328">
        <v>710</v>
      </c>
      <c r="J19328">
        <v>1</v>
      </c>
      <c r="K19328">
        <v>12</v>
      </c>
      <c r="L19328">
        <v>735</v>
      </c>
      <c r="M19328">
        <v>1</v>
      </c>
      <c r="N19328">
        <v>0</v>
      </c>
      <c r="O19328">
        <v>2672</v>
      </c>
    </row>
    <row r="19329" spans="1:15" x14ac:dyDescent="0.25">
      <c r="A19329" t="s">
        <v>19342</v>
      </c>
      <c r="B19329">
        <v>249</v>
      </c>
      <c r="C19329" s="1" t="str">
        <f>HYPERLINK("http://www.rosaceae.org/gb/gbrowse/malus_x_domestica/?name=MDP0000663057","MDP0000663057")</f>
        <v>MDP0000663057</v>
      </c>
      <c r="D19329">
        <v>81.34</v>
      </c>
      <c r="E19329">
        <v>252</v>
      </c>
      <c r="F19329">
        <v>47</v>
      </c>
      <c r="G19329">
        <v>3</v>
      </c>
      <c r="H19329">
        <v>1</v>
      </c>
      <c r="I19329">
        <v>249</v>
      </c>
      <c r="J19329">
        <v>1</v>
      </c>
      <c r="K19329">
        <v>1</v>
      </c>
      <c r="L19329">
        <v>252</v>
      </c>
      <c r="M19329">
        <v>1</v>
      </c>
      <c r="N19329">
        <v>1.99882E-120</v>
      </c>
      <c r="O19329">
        <v>1101</v>
      </c>
    </row>
    <row r="19330" spans="1:15" x14ac:dyDescent="0.25">
      <c r="A19330" t="s">
        <v>19343</v>
      </c>
      <c r="B19330">
        <v>167</v>
      </c>
      <c r="C19330" s="1" t="str">
        <f>HYPERLINK("http://www.rosaceae.org/gb/gbrowse/malus_x_domestica/?name=MDP0000832900","MDP0000832900")</f>
        <v>MDP0000832900</v>
      </c>
      <c r="D19330">
        <v>83.23</v>
      </c>
      <c r="E19330">
        <v>167</v>
      </c>
      <c r="F19330">
        <v>28</v>
      </c>
      <c r="G19330">
        <v>0</v>
      </c>
      <c r="H19330">
        <v>1</v>
      </c>
      <c r="I19330">
        <v>167</v>
      </c>
      <c r="J19330">
        <v>1</v>
      </c>
      <c r="K19330">
        <v>17</v>
      </c>
      <c r="L19330">
        <v>183</v>
      </c>
      <c r="M19330">
        <v>1</v>
      </c>
      <c r="N19330">
        <v>1.5904999999999999E-78</v>
      </c>
      <c r="O19330">
        <v>737</v>
      </c>
    </row>
    <row r="19331" spans="1:15" x14ac:dyDescent="0.25">
      <c r="A19331" t="s">
        <v>19344</v>
      </c>
      <c r="B19331">
        <v>738</v>
      </c>
      <c r="C19331" s="1" t="str">
        <f>HYPERLINK("http://www.rosaceae.org/gb/gbrowse/malus_x_domestica/?name=MDP0000046392","MDP0000046392")</f>
        <v>MDP0000046392</v>
      </c>
      <c r="D19331">
        <v>85.96</v>
      </c>
      <c r="E19331">
        <v>741</v>
      </c>
      <c r="F19331">
        <v>104</v>
      </c>
      <c r="G19331">
        <v>14</v>
      </c>
      <c r="H19331">
        <v>1</v>
      </c>
      <c r="I19331">
        <v>735</v>
      </c>
      <c r="J19331">
        <v>1</v>
      </c>
      <c r="K19331">
        <v>1</v>
      </c>
      <c r="L19331">
        <v>733</v>
      </c>
      <c r="M19331">
        <v>1</v>
      </c>
      <c r="N19331">
        <v>0</v>
      </c>
      <c r="O19331">
        <v>3342</v>
      </c>
    </row>
    <row r="19332" spans="1:15" x14ac:dyDescent="0.25">
      <c r="A19332" t="s">
        <v>19345</v>
      </c>
      <c r="B19332">
        <v>1443</v>
      </c>
      <c r="C19332" s="1" t="str">
        <f>HYPERLINK("http://www.rosaceae.org/gb/gbrowse/malus_x_domestica/?name=MDP0000169491","MDP0000169491")</f>
        <v>MDP0000169491</v>
      </c>
      <c r="D19332">
        <v>76.84</v>
      </c>
      <c r="E19332">
        <v>514</v>
      </c>
      <c r="F19332">
        <v>119</v>
      </c>
      <c r="G19332">
        <v>67</v>
      </c>
      <c r="H19332">
        <v>966</v>
      </c>
      <c r="I19332">
        <v>1412</v>
      </c>
      <c r="J19332">
        <v>1</v>
      </c>
      <c r="K19332">
        <v>104</v>
      </c>
      <c r="L19332">
        <v>617</v>
      </c>
      <c r="M19332">
        <v>1</v>
      </c>
      <c r="N19332">
        <v>0</v>
      </c>
      <c r="O19332">
        <v>2059</v>
      </c>
    </row>
    <row r="19333" spans="1:15" x14ac:dyDescent="0.25">
      <c r="A19333" t="s">
        <v>19346</v>
      </c>
      <c r="B19333">
        <v>162</v>
      </c>
      <c r="C19333" s="1" t="str">
        <f>HYPERLINK("http://www.rosaceae.org/gb/gbrowse/malus_x_domestica/?name=MDP0000263046","MDP0000263046")</f>
        <v>MDP0000263046</v>
      </c>
      <c r="D19333">
        <v>55.55</v>
      </c>
      <c r="E19333">
        <v>63</v>
      </c>
      <c r="F19333">
        <v>28</v>
      </c>
      <c r="G19333">
        <v>0</v>
      </c>
      <c r="H19333">
        <v>95</v>
      </c>
      <c r="I19333">
        <v>157</v>
      </c>
      <c r="J19333">
        <v>1</v>
      </c>
      <c r="K19333">
        <v>610</v>
      </c>
      <c r="L19333">
        <v>672</v>
      </c>
      <c r="M19333">
        <v>1</v>
      </c>
      <c r="N19333">
        <v>1.5209E-16</v>
      </c>
      <c r="O19333">
        <v>203</v>
      </c>
    </row>
    <row r="19334" spans="1:15" x14ac:dyDescent="0.25">
      <c r="A19334" t="s">
        <v>19347</v>
      </c>
      <c r="B19334">
        <v>231</v>
      </c>
      <c r="C19334" s="1" t="str">
        <f>HYPERLINK("http://www.rosaceae.org/gb/gbrowse/malus_x_domestica/?name=MDP0000539485","MDP0000539485")</f>
        <v>MDP0000539485</v>
      </c>
      <c r="D19334">
        <v>62.2</v>
      </c>
      <c r="E19334">
        <v>209</v>
      </c>
      <c r="F19334">
        <v>79</v>
      </c>
      <c r="G19334">
        <v>17</v>
      </c>
      <c r="H19334">
        <v>1</v>
      </c>
      <c r="I19334">
        <v>208</v>
      </c>
      <c r="J19334">
        <v>1</v>
      </c>
      <c r="K19334">
        <v>1</v>
      </c>
      <c r="L19334">
        <v>193</v>
      </c>
      <c r="M19334">
        <v>1</v>
      </c>
      <c r="N19334">
        <v>8.3763500000000004E-65</v>
      </c>
      <c r="O19334">
        <v>621</v>
      </c>
    </row>
    <row r="19335" spans="1:15" x14ac:dyDescent="0.25">
      <c r="A19335" t="s">
        <v>19348</v>
      </c>
      <c r="B19335">
        <v>177</v>
      </c>
      <c r="C19335" s="1" t="str">
        <f>HYPERLINK("http://www.rosaceae.org/gb/gbrowse/malus_x_domestica/?name=MDP0000237834","MDP0000237834")</f>
        <v>MDP0000237834</v>
      </c>
      <c r="D19335">
        <v>63.39</v>
      </c>
      <c r="E19335">
        <v>112</v>
      </c>
      <c r="F19335">
        <v>41</v>
      </c>
      <c r="G19335">
        <v>3</v>
      </c>
      <c r="H19335">
        <v>15</v>
      </c>
      <c r="I19335">
        <v>124</v>
      </c>
      <c r="J19335">
        <v>1</v>
      </c>
      <c r="K19335">
        <v>130</v>
      </c>
      <c r="L19335">
        <v>240</v>
      </c>
      <c r="M19335">
        <v>1</v>
      </c>
      <c r="N19335">
        <v>1.1532E-32</v>
      </c>
      <c r="O19335">
        <v>342</v>
      </c>
    </row>
    <row r="19336" spans="1:15" x14ac:dyDescent="0.25">
      <c r="A19336" t="s">
        <v>19349</v>
      </c>
      <c r="B19336">
        <v>390</v>
      </c>
      <c r="C19336" s="1" t="str">
        <f>HYPERLINK("http://www.rosaceae.org/gb/gbrowse/malus_x_domestica/?name=MDP0000288143","MDP0000288143")</f>
        <v>MDP0000288143</v>
      </c>
      <c r="D19336">
        <v>67.66</v>
      </c>
      <c r="E19336">
        <v>402</v>
      </c>
      <c r="F19336">
        <v>130</v>
      </c>
      <c r="G19336">
        <v>42</v>
      </c>
      <c r="H19336">
        <v>19</v>
      </c>
      <c r="I19336">
        <v>390</v>
      </c>
      <c r="J19336">
        <v>1</v>
      </c>
      <c r="K19336">
        <v>145</v>
      </c>
      <c r="L19336">
        <v>534</v>
      </c>
      <c r="M19336">
        <v>1</v>
      </c>
      <c r="N19336">
        <v>1.63881E-136</v>
      </c>
      <c r="O19336">
        <v>1243</v>
      </c>
    </row>
    <row r="19337" spans="1:15" x14ac:dyDescent="0.25">
      <c r="A19337" t="s">
        <v>19350</v>
      </c>
      <c r="B19337">
        <v>923</v>
      </c>
      <c r="C19337" s="1" t="str">
        <f>HYPERLINK("http://www.rosaceae.org/gb/gbrowse/malus_x_domestica/?name=MDP0000312598","MDP0000312598")</f>
        <v>MDP0000312598</v>
      </c>
      <c r="D19337">
        <v>81.25</v>
      </c>
      <c r="E19337">
        <v>944</v>
      </c>
      <c r="F19337">
        <v>177</v>
      </c>
      <c r="G19337">
        <v>38</v>
      </c>
      <c r="H19337">
        <v>1</v>
      </c>
      <c r="I19337">
        <v>920</v>
      </c>
      <c r="J19337">
        <v>1</v>
      </c>
      <c r="K19337">
        <v>17</v>
      </c>
      <c r="L19337">
        <v>946</v>
      </c>
      <c r="M19337">
        <v>1</v>
      </c>
      <c r="N19337">
        <v>0</v>
      </c>
      <c r="O19337">
        <v>3926</v>
      </c>
    </row>
    <row r="19338" spans="1:15" x14ac:dyDescent="0.25">
      <c r="A19338" t="s">
        <v>19351</v>
      </c>
      <c r="B19338">
        <v>435</v>
      </c>
      <c r="C19338" s="1" t="str">
        <f>HYPERLINK("http://www.rosaceae.org/gb/gbrowse/malus_x_domestica/?name=MDP0000131309","MDP0000131309")</f>
        <v>MDP0000131309</v>
      </c>
      <c r="D19338">
        <v>57.25</v>
      </c>
      <c r="E19338">
        <v>262</v>
      </c>
      <c r="F19338">
        <v>112</v>
      </c>
      <c r="G19338">
        <v>53</v>
      </c>
      <c r="H19338">
        <v>49</v>
      </c>
      <c r="I19338">
        <v>258</v>
      </c>
      <c r="J19338">
        <v>1</v>
      </c>
      <c r="K19338">
        <v>64</v>
      </c>
      <c r="L19338">
        <v>324</v>
      </c>
      <c r="M19338">
        <v>1</v>
      </c>
      <c r="N19338">
        <v>9.12118E-79</v>
      </c>
      <c r="O19338">
        <v>745</v>
      </c>
    </row>
    <row r="19339" spans="1:15" x14ac:dyDescent="0.25">
      <c r="A19339" t="s">
        <v>19352</v>
      </c>
      <c r="B19339">
        <v>127</v>
      </c>
      <c r="C19339" s="1" t="str">
        <f>HYPERLINK("http://www.rosaceae.org/gb/gbrowse/malus_x_domestica/?name=MDP0000616163","MDP0000616163")</f>
        <v>MDP0000616163</v>
      </c>
      <c r="D19339">
        <v>69.42</v>
      </c>
      <c r="E19339">
        <v>157</v>
      </c>
      <c r="F19339">
        <v>48</v>
      </c>
      <c r="G19339">
        <v>30</v>
      </c>
      <c r="H19339">
        <v>1</v>
      </c>
      <c r="I19339">
        <v>127</v>
      </c>
      <c r="J19339">
        <v>1</v>
      </c>
      <c r="K19339">
        <v>155</v>
      </c>
      <c r="L19339">
        <v>311</v>
      </c>
      <c r="M19339">
        <v>1</v>
      </c>
      <c r="N19339">
        <v>2.0868100000000002E-55</v>
      </c>
      <c r="O19339">
        <v>536</v>
      </c>
    </row>
    <row r="19340" spans="1:15" x14ac:dyDescent="0.25">
      <c r="A19340" t="s">
        <v>19353</v>
      </c>
      <c r="B19340">
        <v>146</v>
      </c>
      <c r="C19340" s="1" t="str">
        <f>HYPERLINK("http://www.rosaceae.org/gb/gbrowse/malus_x_domestica/?name=MDP0000200882","MDP0000200882")</f>
        <v>MDP0000200882</v>
      </c>
      <c r="D19340">
        <v>85.33</v>
      </c>
      <c r="E19340">
        <v>150</v>
      </c>
      <c r="F19340">
        <v>22</v>
      </c>
      <c r="G19340">
        <v>5</v>
      </c>
      <c r="H19340">
        <v>1</v>
      </c>
      <c r="I19340">
        <v>146</v>
      </c>
      <c r="J19340">
        <v>1</v>
      </c>
      <c r="K19340">
        <v>1</v>
      </c>
      <c r="L19340">
        <v>149</v>
      </c>
      <c r="M19340">
        <v>1</v>
      </c>
      <c r="N19340">
        <v>9.0097100000000003E-69</v>
      </c>
      <c r="O19340">
        <v>652</v>
      </c>
    </row>
    <row r="19341" spans="1:15" x14ac:dyDescent="0.25">
      <c r="A19341" t="s">
        <v>19354</v>
      </c>
      <c r="B19341">
        <v>296</v>
      </c>
      <c r="C19341" s="1" t="str">
        <f>HYPERLINK("http://www.rosaceae.org/gb/gbrowse/malus_x_domestica/?name=MDP0000240313","MDP0000240313")</f>
        <v>MDP0000240313</v>
      </c>
      <c r="D19341">
        <v>78.2</v>
      </c>
      <c r="E19341">
        <v>78</v>
      </c>
      <c r="F19341">
        <v>17</v>
      </c>
      <c r="G19341">
        <v>6</v>
      </c>
      <c r="H19341">
        <v>36</v>
      </c>
      <c r="I19341">
        <v>107</v>
      </c>
      <c r="J19341">
        <v>1</v>
      </c>
      <c r="K19341">
        <v>520</v>
      </c>
      <c r="L19341">
        <v>597</v>
      </c>
      <c r="M19341">
        <v>1</v>
      </c>
      <c r="N19341">
        <v>2.2860600000000001E-29</v>
      </c>
      <c r="O19341">
        <v>317</v>
      </c>
    </row>
    <row r="19342" spans="1:15" x14ac:dyDescent="0.25">
      <c r="A19342" t="s">
        <v>19355</v>
      </c>
      <c r="B19342">
        <v>394</v>
      </c>
      <c r="C19342" s="1" t="str">
        <f>HYPERLINK("http://www.rosaceae.org/gb/gbrowse/malus_x_domestica/?name=MDP0000181135","MDP0000181135")</f>
        <v>MDP0000181135</v>
      </c>
      <c r="D19342">
        <v>39</v>
      </c>
      <c r="E19342">
        <v>423</v>
      </c>
      <c r="F19342">
        <v>258</v>
      </c>
      <c r="G19342">
        <v>58</v>
      </c>
      <c r="H19342">
        <v>12</v>
      </c>
      <c r="I19342">
        <v>379</v>
      </c>
      <c r="J19342">
        <v>1</v>
      </c>
      <c r="K19342">
        <v>11</v>
      </c>
      <c r="L19342">
        <v>430</v>
      </c>
      <c r="M19342">
        <v>1</v>
      </c>
      <c r="N19342">
        <v>9.8764700000000007E-65</v>
      </c>
      <c r="O19342">
        <v>624</v>
      </c>
    </row>
    <row r="19343" spans="1:15" x14ac:dyDescent="0.25">
      <c r="A19343" t="s">
        <v>19356</v>
      </c>
      <c r="B19343">
        <v>188</v>
      </c>
      <c r="C19343" s="1" t="str">
        <f>HYPERLINK("http://www.rosaceae.org/gb/gbrowse/malus_x_domestica/?name=MDP0000176743","MDP0000176743")</f>
        <v>MDP0000176743</v>
      </c>
      <c r="D19343">
        <v>57.65</v>
      </c>
      <c r="E19343">
        <v>222</v>
      </c>
      <c r="F19343">
        <v>94</v>
      </c>
      <c r="G19343">
        <v>43</v>
      </c>
      <c r="H19343">
        <v>3</v>
      </c>
      <c r="I19343">
        <v>188</v>
      </c>
      <c r="J19343">
        <v>1</v>
      </c>
      <c r="K19343">
        <v>4</v>
      </c>
      <c r="L19343">
        <v>218</v>
      </c>
      <c r="M19343">
        <v>1</v>
      </c>
      <c r="N19343">
        <v>6.51548E-58</v>
      </c>
      <c r="O19343">
        <v>561</v>
      </c>
    </row>
    <row r="19344" spans="1:15" x14ac:dyDescent="0.25">
      <c r="A19344" t="s">
        <v>19357</v>
      </c>
      <c r="B19344">
        <v>523</v>
      </c>
      <c r="C19344" s="1" t="str">
        <f>HYPERLINK("http://www.rosaceae.org/gb/gbrowse/malus_x_domestica/?name=MDP0000773415","MDP0000773415")</f>
        <v>MDP0000773415</v>
      </c>
      <c r="D19344">
        <v>79.89</v>
      </c>
      <c r="E19344">
        <v>393</v>
      </c>
      <c r="F19344">
        <v>79</v>
      </c>
      <c r="G19344">
        <v>0</v>
      </c>
      <c r="H19344">
        <v>131</v>
      </c>
      <c r="I19344">
        <v>523</v>
      </c>
      <c r="J19344">
        <v>1</v>
      </c>
      <c r="K19344">
        <v>1</v>
      </c>
      <c r="L19344">
        <v>393</v>
      </c>
      <c r="M19344">
        <v>1</v>
      </c>
      <c r="N19344">
        <v>0</v>
      </c>
      <c r="O19344">
        <v>1724</v>
      </c>
    </row>
    <row r="19345" spans="1:15" x14ac:dyDescent="0.25">
      <c r="A19345" t="s">
        <v>19358</v>
      </c>
      <c r="B19345">
        <v>922</v>
      </c>
      <c r="C19345" s="1" t="str">
        <f>HYPERLINK("http://www.rosaceae.org/gb/gbrowse/malus_x_domestica/?name=MDP0000207810","MDP0000207810")</f>
        <v>MDP0000207810</v>
      </c>
      <c r="D19345">
        <v>55.41</v>
      </c>
      <c r="E19345">
        <v>655</v>
      </c>
      <c r="F19345">
        <v>292</v>
      </c>
      <c r="G19345">
        <v>64</v>
      </c>
      <c r="H19345">
        <v>33</v>
      </c>
      <c r="I19345">
        <v>632</v>
      </c>
      <c r="J19345">
        <v>1</v>
      </c>
      <c r="K19345">
        <v>35</v>
      </c>
      <c r="L19345">
        <v>680</v>
      </c>
      <c r="M19345">
        <v>1</v>
      </c>
      <c r="N19345">
        <v>0</v>
      </c>
      <c r="O19345">
        <v>1702</v>
      </c>
    </row>
    <row r="19346" spans="1:15" x14ac:dyDescent="0.25">
      <c r="A19346" t="s">
        <v>19359</v>
      </c>
      <c r="B19346">
        <v>125</v>
      </c>
      <c r="C19346" s="1" t="str">
        <f>HYPERLINK("http://www.rosaceae.org/gb/gbrowse/malus_x_domestica/?name=MDP0000215386","MDP0000215386")</f>
        <v>MDP0000215386</v>
      </c>
      <c r="D19346">
        <v>47.65</v>
      </c>
      <c r="E19346">
        <v>128</v>
      </c>
      <c r="F19346">
        <v>67</v>
      </c>
      <c r="G19346">
        <v>9</v>
      </c>
      <c r="H19346">
        <v>1</v>
      </c>
      <c r="I19346">
        <v>120</v>
      </c>
      <c r="J19346">
        <v>1</v>
      </c>
      <c r="K19346">
        <v>3</v>
      </c>
      <c r="L19346">
        <v>129</v>
      </c>
      <c r="M19346">
        <v>1</v>
      </c>
      <c r="N19346">
        <v>2.12902E-19</v>
      </c>
      <c r="O19346">
        <v>225</v>
      </c>
    </row>
    <row r="19347" spans="1:15" x14ac:dyDescent="0.25">
      <c r="A19347" t="s">
        <v>19360</v>
      </c>
      <c r="B19347">
        <v>150</v>
      </c>
      <c r="C19347" s="1" t="str">
        <f>HYPERLINK("http://www.rosaceae.org/gb/gbrowse/malus_x_domestica/?name=MDP0000320123","MDP0000320123")</f>
        <v>MDP0000320123</v>
      </c>
      <c r="D19347">
        <v>48.67</v>
      </c>
      <c r="E19347">
        <v>189</v>
      </c>
      <c r="F19347">
        <v>97</v>
      </c>
      <c r="G19347">
        <v>52</v>
      </c>
      <c r="H19347">
        <v>1</v>
      </c>
      <c r="I19347">
        <v>137</v>
      </c>
      <c r="J19347">
        <v>1</v>
      </c>
      <c r="K19347">
        <v>1</v>
      </c>
      <c r="L19347">
        <v>189</v>
      </c>
      <c r="M19347">
        <v>1</v>
      </c>
      <c r="N19347">
        <v>1.9585699999999998E-34</v>
      </c>
      <c r="O19347">
        <v>356</v>
      </c>
    </row>
    <row r="19348" spans="1:15" x14ac:dyDescent="0.25">
      <c r="A19348" t="s">
        <v>19361</v>
      </c>
      <c r="B19348">
        <v>385</v>
      </c>
      <c r="C19348" s="1" t="str">
        <f>HYPERLINK("http://www.rosaceae.org/gb/gbrowse/malus_x_domestica/?name=MDP0000311043","MDP0000311043")</f>
        <v>MDP0000311043</v>
      </c>
      <c r="D19348">
        <v>78.98</v>
      </c>
      <c r="E19348">
        <v>157</v>
      </c>
      <c r="F19348">
        <v>33</v>
      </c>
      <c r="G19348">
        <v>0</v>
      </c>
      <c r="H19348">
        <v>226</v>
      </c>
      <c r="I19348">
        <v>382</v>
      </c>
      <c r="J19348">
        <v>1</v>
      </c>
      <c r="K19348">
        <v>1</v>
      </c>
      <c r="L19348">
        <v>157</v>
      </c>
      <c r="M19348">
        <v>1</v>
      </c>
      <c r="N19348">
        <v>7.6873699999999997E-68</v>
      </c>
      <c r="O19348">
        <v>650</v>
      </c>
    </row>
    <row r="19349" spans="1:15" x14ac:dyDescent="0.25">
      <c r="A19349" t="s">
        <v>19362</v>
      </c>
      <c r="B19349">
        <v>206</v>
      </c>
      <c r="C19349" s="1" t="str">
        <f>HYPERLINK("http://www.rosaceae.org/gb/gbrowse/malus_x_domestica/?name=MDP0000258186","MDP0000258186")</f>
        <v>MDP0000258186</v>
      </c>
      <c r="D19349">
        <v>51.85</v>
      </c>
      <c r="E19349">
        <v>54</v>
      </c>
      <c r="F19349">
        <v>26</v>
      </c>
      <c r="G19349">
        <v>0</v>
      </c>
      <c r="H19349">
        <v>27</v>
      </c>
      <c r="I19349">
        <v>80</v>
      </c>
      <c r="J19349">
        <v>1</v>
      </c>
      <c r="K19349">
        <v>24</v>
      </c>
      <c r="L19349">
        <v>77</v>
      </c>
      <c r="M19349">
        <v>1</v>
      </c>
      <c r="N19349">
        <v>6.2080099999999997E-10</v>
      </c>
      <c r="O19349">
        <v>147</v>
      </c>
    </row>
    <row r="19350" spans="1:15" x14ac:dyDescent="0.25">
      <c r="A19350" t="s">
        <v>19363</v>
      </c>
      <c r="B19350">
        <v>198</v>
      </c>
      <c r="C19350" s="1" t="str">
        <f>HYPERLINK("http://www.rosaceae.org/gb/gbrowse/malus_x_domestica/?name=MDP0000185211","MDP0000185211")</f>
        <v>MDP0000185211</v>
      </c>
      <c r="D19350">
        <v>55.33</v>
      </c>
      <c r="E19350">
        <v>103</v>
      </c>
      <c r="F19350">
        <v>46</v>
      </c>
      <c r="G19350">
        <v>0</v>
      </c>
      <c r="H19350">
        <v>16</v>
      </c>
      <c r="I19350">
        <v>118</v>
      </c>
      <c r="J19350">
        <v>1</v>
      </c>
      <c r="K19350">
        <v>13</v>
      </c>
      <c r="L19350">
        <v>115</v>
      </c>
      <c r="M19350">
        <v>1</v>
      </c>
      <c r="N19350">
        <v>3.2836300000000001E-29</v>
      </c>
      <c r="O19350">
        <v>313</v>
      </c>
    </row>
    <row r="19351" spans="1:15" x14ac:dyDescent="0.25">
      <c r="A19351" t="s">
        <v>19364</v>
      </c>
      <c r="B19351">
        <v>65</v>
      </c>
      <c r="C19351" s="1" t="str">
        <f>HYPERLINK("http://www.rosaceae.org/gb/gbrowse/malus_x_domestica/?name=MDP0000417211","MDP0000417211")</f>
        <v>MDP0000417211</v>
      </c>
      <c r="D19351">
        <v>57.14</v>
      </c>
      <c r="E19351">
        <v>42</v>
      </c>
      <c r="F19351">
        <v>18</v>
      </c>
      <c r="G19351">
        <v>0</v>
      </c>
      <c r="H19351">
        <v>1</v>
      </c>
      <c r="I19351">
        <v>42</v>
      </c>
      <c r="J19351">
        <v>1</v>
      </c>
      <c r="K19351">
        <v>125</v>
      </c>
      <c r="L19351">
        <v>166</v>
      </c>
      <c r="M19351">
        <v>1</v>
      </c>
      <c r="N19351">
        <v>6.6840200000000003E-9</v>
      </c>
      <c r="O19351">
        <v>134</v>
      </c>
    </row>
    <row r="19352" spans="1:15" x14ac:dyDescent="0.25">
      <c r="A19352" t="s">
        <v>19365</v>
      </c>
      <c r="B19352">
        <v>971</v>
      </c>
      <c r="C19352" s="1" t="str">
        <f>HYPERLINK("http://www.rosaceae.org/gb/gbrowse/malus_x_domestica/?name=MDP0000281525","MDP0000281525")</f>
        <v>MDP0000281525</v>
      </c>
      <c r="D19352">
        <v>72.150000000000006</v>
      </c>
      <c r="E19352">
        <v>686</v>
      </c>
      <c r="F19352">
        <v>191</v>
      </c>
      <c r="G19352">
        <v>55</v>
      </c>
      <c r="H19352">
        <v>226</v>
      </c>
      <c r="I19352">
        <v>862</v>
      </c>
      <c r="J19352">
        <v>1</v>
      </c>
      <c r="K19352">
        <v>59</v>
      </c>
      <c r="L19352">
        <v>738</v>
      </c>
      <c r="M19352">
        <v>1</v>
      </c>
      <c r="N19352">
        <v>0</v>
      </c>
      <c r="O19352">
        <v>2600</v>
      </c>
    </row>
    <row r="19353" spans="1:15" x14ac:dyDescent="0.25">
      <c r="A19353" t="s">
        <v>19366</v>
      </c>
      <c r="B19353">
        <v>1568</v>
      </c>
      <c r="C19353" s="1" t="str">
        <f>HYPERLINK("http://www.rosaceae.org/gb/gbrowse/malus_x_domestica/?name=MDP0000431368","MDP0000431368")</f>
        <v>MDP0000431368</v>
      </c>
      <c r="D19353">
        <v>54.48</v>
      </c>
      <c r="E19353">
        <v>936</v>
      </c>
      <c r="F19353">
        <v>426</v>
      </c>
      <c r="G19353">
        <v>129</v>
      </c>
      <c r="H19353">
        <v>436</v>
      </c>
      <c r="I19353">
        <v>1248</v>
      </c>
      <c r="J19353">
        <v>1</v>
      </c>
      <c r="K19353">
        <v>92</v>
      </c>
      <c r="L19353">
        <v>1021</v>
      </c>
      <c r="M19353">
        <v>1</v>
      </c>
      <c r="N19353">
        <v>0</v>
      </c>
      <c r="O19353">
        <v>2251</v>
      </c>
    </row>
    <row r="19354" spans="1:15" x14ac:dyDescent="0.25">
      <c r="A19354" t="s">
        <v>19367</v>
      </c>
      <c r="B19354">
        <v>300</v>
      </c>
      <c r="C19354" s="1" t="str">
        <f>HYPERLINK("http://www.rosaceae.org/gb/gbrowse/malus_x_domestica/?name=MDP0000759308","MDP0000759308")</f>
        <v>MDP0000759308</v>
      </c>
      <c r="D19354">
        <v>50.95</v>
      </c>
      <c r="E19354">
        <v>157</v>
      </c>
      <c r="F19354">
        <v>77</v>
      </c>
      <c r="G19354">
        <v>0</v>
      </c>
      <c r="H19354">
        <v>1</v>
      </c>
      <c r="I19354">
        <v>157</v>
      </c>
      <c r="J19354">
        <v>1</v>
      </c>
      <c r="K19354">
        <v>1</v>
      </c>
      <c r="L19354">
        <v>157</v>
      </c>
      <c r="M19354">
        <v>1</v>
      </c>
      <c r="N19354">
        <v>3.0668700000000001E-36</v>
      </c>
      <c r="O19354">
        <v>376</v>
      </c>
    </row>
    <row r="19355" spans="1:15" x14ac:dyDescent="0.25">
      <c r="A19355" t="s">
        <v>19368</v>
      </c>
      <c r="B19355">
        <v>129</v>
      </c>
      <c r="C19355" s="1" t="str">
        <f>HYPERLINK("http://www.rosaceae.org/gb/gbrowse/malus_x_domestica/?name=MDP0000283465","MDP0000283465")</f>
        <v>MDP0000283465</v>
      </c>
      <c r="D19355">
        <v>55.4</v>
      </c>
      <c r="E19355">
        <v>74</v>
      </c>
      <c r="F19355">
        <v>33</v>
      </c>
      <c r="G19355">
        <v>7</v>
      </c>
      <c r="H19355">
        <v>53</v>
      </c>
      <c r="I19355">
        <v>125</v>
      </c>
      <c r="J19355">
        <v>1</v>
      </c>
      <c r="K19355">
        <v>477</v>
      </c>
      <c r="L19355">
        <v>544</v>
      </c>
      <c r="M19355">
        <v>1</v>
      </c>
      <c r="N19355">
        <v>8.8390299999999997E-11</v>
      </c>
      <c r="O19355">
        <v>151</v>
      </c>
    </row>
    <row r="19356" spans="1:15" x14ac:dyDescent="0.25">
      <c r="A19356" t="s">
        <v>19369</v>
      </c>
      <c r="B19356">
        <v>1539</v>
      </c>
      <c r="C19356" s="1" t="str">
        <f>HYPERLINK("http://www.rosaceae.org/gb/gbrowse/malus_x_domestica/?name=MDP0000312812","MDP0000312812")</f>
        <v>MDP0000312812</v>
      </c>
      <c r="D19356">
        <v>41.17</v>
      </c>
      <c r="E19356">
        <v>1552</v>
      </c>
      <c r="F19356">
        <v>913</v>
      </c>
      <c r="G19356">
        <v>117</v>
      </c>
      <c r="H19356">
        <v>5</v>
      </c>
      <c r="I19356">
        <v>1519</v>
      </c>
      <c r="J19356">
        <v>1</v>
      </c>
      <c r="K19356">
        <v>1</v>
      </c>
      <c r="L19356">
        <v>1472</v>
      </c>
      <c r="M19356">
        <v>1</v>
      </c>
      <c r="N19356">
        <v>0</v>
      </c>
      <c r="O19356">
        <v>2490</v>
      </c>
    </row>
    <row r="19357" spans="1:15" x14ac:dyDescent="0.25">
      <c r="A19357" t="s">
        <v>19370</v>
      </c>
      <c r="B19357">
        <v>239</v>
      </c>
      <c r="C19357" s="1" t="str">
        <f>HYPERLINK("http://www.rosaceae.org/gb/gbrowse/malus_x_domestica/?name=MDP0000198416","MDP0000198416")</f>
        <v>MDP0000198416</v>
      </c>
      <c r="D19357">
        <v>34.61</v>
      </c>
      <c r="E19357">
        <v>182</v>
      </c>
      <c r="F19357">
        <v>119</v>
      </c>
      <c r="G19357">
        <v>28</v>
      </c>
      <c r="H19357">
        <v>68</v>
      </c>
      <c r="I19357">
        <v>224</v>
      </c>
      <c r="J19357">
        <v>1</v>
      </c>
      <c r="K19357">
        <v>263</v>
      </c>
      <c r="L19357">
        <v>441</v>
      </c>
      <c r="M19357">
        <v>1</v>
      </c>
      <c r="N19357">
        <v>5.5086700000000001E-17</v>
      </c>
      <c r="O19357">
        <v>209</v>
      </c>
    </row>
    <row r="19358" spans="1:15" x14ac:dyDescent="0.25">
      <c r="A19358" t="s">
        <v>19371</v>
      </c>
      <c r="B19358">
        <v>105</v>
      </c>
      <c r="C19358" s="1" t="str">
        <f>HYPERLINK("http://www.rosaceae.org/gb/gbrowse/malus_x_domestica/?name=MDP0000314418","MDP0000314418")</f>
        <v>MDP0000314418</v>
      </c>
      <c r="D19358">
        <v>66.03</v>
      </c>
      <c r="E19358">
        <v>106</v>
      </c>
      <c r="F19358">
        <v>36</v>
      </c>
      <c r="G19358">
        <v>4</v>
      </c>
      <c r="H19358">
        <v>1</v>
      </c>
      <c r="I19358">
        <v>105</v>
      </c>
      <c r="J19358">
        <v>1</v>
      </c>
      <c r="K19358">
        <v>1</v>
      </c>
      <c r="L19358">
        <v>103</v>
      </c>
      <c r="M19358">
        <v>1</v>
      </c>
      <c r="N19358">
        <v>2.5718200000000001E-28</v>
      </c>
      <c r="O19358">
        <v>302</v>
      </c>
    </row>
    <row r="19359" spans="1:15" x14ac:dyDescent="0.25">
      <c r="A19359" t="s">
        <v>19372</v>
      </c>
      <c r="B19359">
        <v>592</v>
      </c>
      <c r="C19359" s="1" t="str">
        <f>HYPERLINK("http://www.rosaceae.org/gb/gbrowse/malus_x_domestica/?name=MDP0000729657","MDP0000729657")</f>
        <v>MDP0000729657</v>
      </c>
      <c r="D19359">
        <v>62.78</v>
      </c>
      <c r="E19359">
        <v>567</v>
      </c>
      <c r="F19359">
        <v>211</v>
      </c>
      <c r="G19359">
        <v>2</v>
      </c>
      <c r="H19359">
        <v>26</v>
      </c>
      <c r="I19359">
        <v>592</v>
      </c>
      <c r="J19359">
        <v>1</v>
      </c>
      <c r="K19359">
        <v>36</v>
      </c>
      <c r="L19359">
        <v>600</v>
      </c>
      <c r="M19359">
        <v>1</v>
      </c>
      <c r="N19359">
        <v>0</v>
      </c>
      <c r="O19359">
        <v>1835</v>
      </c>
    </row>
    <row r="19360" spans="1:15" x14ac:dyDescent="0.25">
      <c r="A19360" t="s">
        <v>19373</v>
      </c>
      <c r="B19360">
        <v>170</v>
      </c>
      <c r="C19360" s="1" t="str">
        <f>HYPERLINK("http://www.rosaceae.org/gb/gbrowse/malus_x_domestica/?name=MDP0000468324","MDP0000468324")</f>
        <v>MDP0000468324</v>
      </c>
      <c r="D19360">
        <v>72.180000000000007</v>
      </c>
      <c r="E19360">
        <v>169</v>
      </c>
      <c r="F19360">
        <v>47</v>
      </c>
      <c r="G19360">
        <v>2</v>
      </c>
      <c r="H19360">
        <v>1</v>
      </c>
      <c r="I19360">
        <v>168</v>
      </c>
      <c r="J19360">
        <v>1</v>
      </c>
      <c r="K19360">
        <v>1</v>
      </c>
      <c r="L19360">
        <v>168</v>
      </c>
      <c r="M19360">
        <v>1</v>
      </c>
      <c r="N19360">
        <v>5.21138E-70</v>
      </c>
      <c r="O19360">
        <v>664</v>
      </c>
    </row>
    <row r="19361" spans="1:15" x14ac:dyDescent="0.25">
      <c r="A19361" t="s">
        <v>19374</v>
      </c>
      <c r="B19361">
        <v>475</v>
      </c>
      <c r="C19361" s="1" t="str">
        <f>HYPERLINK("http://www.rosaceae.org/gb/gbrowse/malus_x_domestica/?name=MDP0000697620","MDP0000697620")</f>
        <v>MDP0000697620</v>
      </c>
      <c r="D19361">
        <v>64.45</v>
      </c>
      <c r="E19361">
        <v>301</v>
      </c>
      <c r="F19361">
        <v>107</v>
      </c>
      <c r="G19361">
        <v>4</v>
      </c>
      <c r="H19361">
        <v>76</v>
      </c>
      <c r="I19361">
        <v>374</v>
      </c>
      <c r="J19361">
        <v>1</v>
      </c>
      <c r="K19361">
        <v>68</v>
      </c>
      <c r="L19361">
        <v>366</v>
      </c>
      <c r="M19361">
        <v>1</v>
      </c>
      <c r="N19361">
        <v>2.1320200000000001E-113</v>
      </c>
      <c r="O19361">
        <v>1044</v>
      </c>
    </row>
    <row r="19362" spans="1:15" x14ac:dyDescent="0.25">
      <c r="A19362" t="s">
        <v>19375</v>
      </c>
      <c r="B19362">
        <v>170</v>
      </c>
      <c r="C19362" s="1" t="str">
        <f>HYPERLINK("http://www.rosaceae.org/gb/gbrowse/malus_x_domestica/?name=MDP0000174619","MDP0000174619")</f>
        <v>MDP0000174619</v>
      </c>
      <c r="D19362">
        <v>30</v>
      </c>
      <c r="E19362">
        <v>180</v>
      </c>
      <c r="F19362">
        <v>126</v>
      </c>
      <c r="G19362">
        <v>36</v>
      </c>
      <c r="H19362">
        <v>6</v>
      </c>
      <c r="I19362">
        <v>150</v>
      </c>
      <c r="J19362">
        <v>1</v>
      </c>
      <c r="K19362">
        <v>170</v>
      </c>
      <c r="L19362">
        <v>348</v>
      </c>
      <c r="M19362">
        <v>1</v>
      </c>
      <c r="N19362">
        <v>1.5393099999999999E-17</v>
      </c>
      <c r="O19362">
        <v>212</v>
      </c>
    </row>
    <row r="19363" spans="1:15" x14ac:dyDescent="0.25">
      <c r="A19363" t="s">
        <v>19376</v>
      </c>
      <c r="B19363">
        <v>282</v>
      </c>
      <c r="C19363" s="1" t="str">
        <f>HYPERLINK("http://www.rosaceae.org/gb/gbrowse/malus_x_domestica/?name=MDP0000316217","MDP0000316217")</f>
        <v>MDP0000316217</v>
      </c>
      <c r="D19363">
        <v>71.78</v>
      </c>
      <c r="E19363">
        <v>202</v>
      </c>
      <c r="F19363">
        <v>57</v>
      </c>
      <c r="G19363">
        <v>4</v>
      </c>
      <c r="H19363">
        <v>1</v>
      </c>
      <c r="I19363">
        <v>202</v>
      </c>
      <c r="J19363">
        <v>1</v>
      </c>
      <c r="K19363">
        <v>1</v>
      </c>
      <c r="L19363">
        <v>198</v>
      </c>
      <c r="M19363">
        <v>1</v>
      </c>
      <c r="N19363">
        <v>7.7406200000000001E-84</v>
      </c>
      <c r="O19363">
        <v>787</v>
      </c>
    </row>
    <row r="19364" spans="1:15" x14ac:dyDescent="0.25">
      <c r="A19364" t="s">
        <v>19377</v>
      </c>
      <c r="B19364">
        <v>426</v>
      </c>
      <c r="C19364" s="1" t="str">
        <f>HYPERLINK("http://www.rosaceae.org/gb/gbrowse/malus_x_domestica/?name=MDP0000308745","MDP0000308745")</f>
        <v>MDP0000308745</v>
      </c>
      <c r="D19364">
        <v>65.73</v>
      </c>
      <c r="E19364">
        <v>359</v>
      </c>
      <c r="F19364">
        <v>123</v>
      </c>
      <c r="G19364">
        <v>17</v>
      </c>
      <c r="H19364">
        <v>16</v>
      </c>
      <c r="I19364">
        <v>361</v>
      </c>
      <c r="J19364">
        <v>1</v>
      </c>
      <c r="K19364">
        <v>22</v>
      </c>
      <c r="L19364">
        <v>376</v>
      </c>
      <c r="M19364">
        <v>1</v>
      </c>
      <c r="N19364">
        <v>8.0393699999999999E-131</v>
      </c>
      <c r="O19364">
        <v>1194</v>
      </c>
    </row>
    <row r="19365" spans="1:15" x14ac:dyDescent="0.25">
      <c r="A19365" t="s">
        <v>19378</v>
      </c>
      <c r="B19365">
        <v>977</v>
      </c>
      <c r="C19365" s="1" t="str">
        <f>HYPERLINK("http://www.rosaceae.org/gb/gbrowse/malus_x_domestica/?name=MDP0000253288","MDP0000253288")</f>
        <v>MDP0000253288</v>
      </c>
      <c r="D19365">
        <v>67.540000000000006</v>
      </c>
      <c r="E19365">
        <v>496</v>
      </c>
      <c r="F19365">
        <v>161</v>
      </c>
      <c r="G19365">
        <v>19</v>
      </c>
      <c r="H19365">
        <v>126</v>
      </c>
      <c r="I19365">
        <v>608</v>
      </c>
      <c r="J19365">
        <v>1</v>
      </c>
      <c r="K19365">
        <v>45</v>
      </c>
      <c r="L19365">
        <v>534</v>
      </c>
      <c r="M19365">
        <v>1</v>
      </c>
      <c r="N19365">
        <v>6.9308099999999996E-178</v>
      </c>
      <c r="O19365">
        <v>1603</v>
      </c>
    </row>
    <row r="19366" spans="1:15" x14ac:dyDescent="0.25">
      <c r="A19366" t="s">
        <v>19379</v>
      </c>
      <c r="B19366">
        <v>230</v>
      </c>
      <c r="C19366" s="1" t="str">
        <f>HYPERLINK("http://www.rosaceae.org/gb/gbrowse/malus_x_domestica/?name=MDP0000335786","MDP0000335786")</f>
        <v>MDP0000335786</v>
      </c>
      <c r="D19366">
        <v>79.709999999999994</v>
      </c>
      <c r="E19366">
        <v>212</v>
      </c>
      <c r="F19366">
        <v>43</v>
      </c>
      <c r="G19366">
        <v>11</v>
      </c>
      <c r="H19366">
        <v>3</v>
      </c>
      <c r="I19366">
        <v>204</v>
      </c>
      <c r="J19366">
        <v>1</v>
      </c>
      <c r="K19366">
        <v>2</v>
      </c>
      <c r="L19366">
        <v>212</v>
      </c>
      <c r="M19366">
        <v>1</v>
      </c>
      <c r="N19366">
        <v>7.6464999999999997E-94</v>
      </c>
      <c r="O19366">
        <v>872</v>
      </c>
    </row>
    <row r="19367" spans="1:15" x14ac:dyDescent="0.25">
      <c r="A19367" t="s">
        <v>19380</v>
      </c>
      <c r="B19367">
        <v>756</v>
      </c>
      <c r="C19367" s="1" t="str">
        <f>HYPERLINK("http://www.rosaceae.org/gb/gbrowse/malus_x_domestica/?name=MDP0000479094","MDP0000479094")</f>
        <v>MDP0000479094</v>
      </c>
      <c r="D19367">
        <v>55.52</v>
      </c>
      <c r="E19367">
        <v>760</v>
      </c>
      <c r="F19367">
        <v>338</v>
      </c>
      <c r="G19367">
        <v>21</v>
      </c>
      <c r="H19367">
        <v>1</v>
      </c>
      <c r="I19367">
        <v>756</v>
      </c>
      <c r="J19367">
        <v>1</v>
      </c>
      <c r="K19367">
        <v>1</v>
      </c>
      <c r="L19367">
        <v>743</v>
      </c>
      <c r="M19367">
        <v>1</v>
      </c>
      <c r="N19367">
        <v>0</v>
      </c>
      <c r="O19367">
        <v>2238</v>
      </c>
    </row>
    <row r="19368" spans="1:15" x14ac:dyDescent="0.25">
      <c r="A19368" t="s">
        <v>19381</v>
      </c>
      <c r="B19368">
        <v>393</v>
      </c>
      <c r="C19368" s="1" t="str">
        <f>HYPERLINK("http://www.rosaceae.org/gb/gbrowse/malus_x_domestica/?name=MDP0000180148","MDP0000180148")</f>
        <v>MDP0000180148</v>
      </c>
      <c r="D19368">
        <v>84.09</v>
      </c>
      <c r="E19368">
        <v>44</v>
      </c>
      <c r="F19368">
        <v>7</v>
      </c>
      <c r="G19368">
        <v>0</v>
      </c>
      <c r="H19368">
        <v>161</v>
      </c>
      <c r="I19368">
        <v>204</v>
      </c>
      <c r="J19368">
        <v>1</v>
      </c>
      <c r="K19368">
        <v>99</v>
      </c>
      <c r="L19368">
        <v>142</v>
      </c>
      <c r="M19368">
        <v>1</v>
      </c>
      <c r="N19368">
        <v>6.1425799999999997E-18</v>
      </c>
      <c r="O19368">
        <v>220</v>
      </c>
    </row>
    <row r="19369" spans="1:15" x14ac:dyDescent="0.25">
      <c r="A19369" t="s">
        <v>19382</v>
      </c>
      <c r="B19369">
        <v>263</v>
      </c>
      <c r="C19369" s="1" t="str">
        <f>HYPERLINK("http://www.rosaceae.org/gb/gbrowse/malus_x_domestica/?name=MDP0000304769","MDP0000304769")</f>
        <v>MDP0000304769</v>
      </c>
      <c r="D19369">
        <v>54</v>
      </c>
      <c r="E19369">
        <v>50</v>
      </c>
      <c r="F19369">
        <v>23</v>
      </c>
      <c r="G19369">
        <v>2</v>
      </c>
      <c r="H19369">
        <v>184</v>
      </c>
      <c r="I19369">
        <v>233</v>
      </c>
      <c r="J19369">
        <v>1</v>
      </c>
      <c r="K19369">
        <v>349</v>
      </c>
      <c r="L19369">
        <v>396</v>
      </c>
      <c r="M19369">
        <v>1</v>
      </c>
      <c r="N19369">
        <v>3.6051699999999999E-9</v>
      </c>
      <c r="O19369">
        <v>142</v>
      </c>
    </row>
    <row r="19370" spans="1:15" x14ac:dyDescent="0.25">
      <c r="A19370" t="s">
        <v>19383</v>
      </c>
      <c r="B19370">
        <v>218</v>
      </c>
      <c r="C19370" s="1" t="str">
        <f>HYPERLINK("http://www.rosaceae.org/gb/gbrowse/malus_x_domestica/?name=MDP0000136627","MDP0000136627")</f>
        <v>MDP0000136627</v>
      </c>
      <c r="D19370">
        <v>82.01</v>
      </c>
      <c r="E19370">
        <v>228</v>
      </c>
      <c r="F19370">
        <v>41</v>
      </c>
      <c r="G19370">
        <v>25</v>
      </c>
      <c r="H19370">
        <v>16</v>
      </c>
      <c r="I19370">
        <v>218</v>
      </c>
      <c r="J19370">
        <v>1</v>
      </c>
      <c r="K19370">
        <v>1</v>
      </c>
      <c r="L19370">
        <v>228</v>
      </c>
      <c r="M19370">
        <v>1</v>
      </c>
      <c r="N19370">
        <v>2.3064799999999999E-108</v>
      </c>
      <c r="O19370">
        <v>997</v>
      </c>
    </row>
    <row r="19371" spans="1:15" x14ac:dyDescent="0.25">
      <c r="A19371" t="s">
        <v>19384</v>
      </c>
      <c r="B19371">
        <v>868</v>
      </c>
      <c r="C19371" s="1" t="str">
        <f>HYPERLINK("http://www.rosaceae.org/gb/gbrowse/malus_x_domestica/?name=MDP0000238047","MDP0000238047")</f>
        <v>MDP0000238047</v>
      </c>
      <c r="D19371">
        <v>66.930000000000007</v>
      </c>
      <c r="E19371">
        <v>496</v>
      </c>
      <c r="F19371">
        <v>164</v>
      </c>
      <c r="G19371">
        <v>47</v>
      </c>
      <c r="H19371">
        <v>67</v>
      </c>
      <c r="I19371">
        <v>515</v>
      </c>
      <c r="J19371">
        <v>1</v>
      </c>
      <c r="K19371">
        <v>220</v>
      </c>
      <c r="L19371">
        <v>715</v>
      </c>
      <c r="M19371">
        <v>1</v>
      </c>
      <c r="N19371">
        <v>0</v>
      </c>
      <c r="O19371">
        <v>1717</v>
      </c>
    </row>
    <row r="19372" spans="1:15" x14ac:dyDescent="0.25">
      <c r="A19372" t="s">
        <v>19385</v>
      </c>
      <c r="B19372">
        <v>473</v>
      </c>
      <c r="C19372" s="1" t="str">
        <f>HYPERLINK("http://www.rosaceae.org/gb/gbrowse/malus_x_domestica/?name=MDP0000934840","MDP0000934840")</f>
        <v>MDP0000934840</v>
      </c>
      <c r="D19372">
        <v>77.33</v>
      </c>
      <c r="E19372">
        <v>428</v>
      </c>
      <c r="F19372">
        <v>97</v>
      </c>
      <c r="G19372">
        <v>0</v>
      </c>
      <c r="H19372">
        <v>45</v>
      </c>
      <c r="I19372">
        <v>472</v>
      </c>
      <c r="J19372">
        <v>1</v>
      </c>
      <c r="K19372">
        <v>45</v>
      </c>
      <c r="L19372">
        <v>472</v>
      </c>
      <c r="M19372">
        <v>1</v>
      </c>
      <c r="N19372">
        <v>0</v>
      </c>
      <c r="O19372">
        <v>1838</v>
      </c>
    </row>
    <row r="19373" spans="1:15" x14ac:dyDescent="0.25">
      <c r="A19373" t="s">
        <v>19386</v>
      </c>
      <c r="B19373">
        <v>734</v>
      </c>
      <c r="C19373" s="1" t="str">
        <f>HYPERLINK("http://www.rosaceae.org/gb/gbrowse/malus_x_domestica/?name=MDP0000784909","MDP0000784909")</f>
        <v>MDP0000784909</v>
      </c>
      <c r="D19373">
        <v>61.81</v>
      </c>
      <c r="E19373">
        <v>770</v>
      </c>
      <c r="F19373">
        <v>294</v>
      </c>
      <c r="G19373">
        <v>61</v>
      </c>
      <c r="H19373">
        <v>1</v>
      </c>
      <c r="I19373">
        <v>734</v>
      </c>
      <c r="J19373">
        <v>1</v>
      </c>
      <c r="K19373">
        <v>4</v>
      </c>
      <c r="L19373">
        <v>748</v>
      </c>
      <c r="M19373">
        <v>1</v>
      </c>
      <c r="N19373">
        <v>0</v>
      </c>
      <c r="O19373">
        <v>2174</v>
      </c>
    </row>
    <row r="19374" spans="1:15" x14ac:dyDescent="0.25">
      <c r="A19374" t="s">
        <v>19387</v>
      </c>
      <c r="B19374">
        <v>1067</v>
      </c>
      <c r="C19374" s="1" t="str">
        <f>HYPERLINK("http://www.rosaceae.org/gb/gbrowse/malus_x_domestica/?name=MDP0000283821","MDP0000283821")</f>
        <v>MDP0000283821</v>
      </c>
      <c r="D19374">
        <v>48.24</v>
      </c>
      <c r="E19374">
        <v>796</v>
      </c>
      <c r="F19374">
        <v>412</v>
      </c>
      <c r="G19374">
        <v>49</v>
      </c>
      <c r="H19374">
        <v>124</v>
      </c>
      <c r="I19374">
        <v>897</v>
      </c>
      <c r="J19374">
        <v>1</v>
      </c>
      <c r="K19374">
        <v>391</v>
      </c>
      <c r="L19374">
        <v>1159</v>
      </c>
      <c r="M19374">
        <v>1</v>
      </c>
      <c r="N19374">
        <v>0</v>
      </c>
      <c r="O19374">
        <v>1722</v>
      </c>
    </row>
    <row r="19375" spans="1:15" x14ac:dyDescent="0.25">
      <c r="A19375" t="s">
        <v>19388</v>
      </c>
      <c r="B19375">
        <v>193</v>
      </c>
      <c r="C19375" s="1" t="str">
        <f>HYPERLINK("http://www.rosaceae.org/gb/gbrowse/malus_x_domestica/?name=MDP0000164409","MDP0000164409")</f>
        <v>MDP0000164409</v>
      </c>
      <c r="D19375">
        <v>88.6</v>
      </c>
      <c r="E19375">
        <v>193</v>
      </c>
      <c r="F19375">
        <v>22</v>
      </c>
      <c r="G19375">
        <v>0</v>
      </c>
      <c r="H19375">
        <v>1</v>
      </c>
      <c r="I19375">
        <v>193</v>
      </c>
      <c r="J19375">
        <v>1</v>
      </c>
      <c r="K19375">
        <v>1</v>
      </c>
      <c r="L19375">
        <v>193</v>
      </c>
      <c r="M19375">
        <v>1</v>
      </c>
      <c r="N19375">
        <v>3.0594399999999999E-96</v>
      </c>
      <c r="O19375">
        <v>891</v>
      </c>
    </row>
    <row r="19376" spans="1:15" x14ac:dyDescent="0.25">
      <c r="A19376" t="s">
        <v>19389</v>
      </c>
      <c r="B19376">
        <v>402</v>
      </c>
      <c r="C19376" s="1" t="str">
        <f>HYPERLINK("http://www.rosaceae.org/gb/gbrowse/malus_x_domestica/?name=MDP0000316345","MDP0000316345")</f>
        <v>MDP0000316345</v>
      </c>
      <c r="D19376">
        <v>82.46</v>
      </c>
      <c r="E19376">
        <v>405</v>
      </c>
      <c r="F19376">
        <v>71</v>
      </c>
      <c r="G19376">
        <v>6</v>
      </c>
      <c r="H19376">
        <v>1</v>
      </c>
      <c r="I19376">
        <v>402</v>
      </c>
      <c r="J19376">
        <v>1</v>
      </c>
      <c r="K19376">
        <v>1</v>
      </c>
      <c r="L19376">
        <v>402</v>
      </c>
      <c r="M19376">
        <v>1</v>
      </c>
      <c r="N19376">
        <v>0</v>
      </c>
      <c r="O19376">
        <v>1673</v>
      </c>
    </row>
    <row r="19377" spans="1:15" x14ac:dyDescent="0.25">
      <c r="A19377" t="s">
        <v>19390</v>
      </c>
      <c r="B19377">
        <v>509</v>
      </c>
      <c r="C19377" s="1" t="str">
        <f>HYPERLINK("http://www.rosaceae.org/gb/gbrowse/malus_x_domestica/?name=MDP0000165587","MDP0000165587")</f>
        <v>MDP0000165587</v>
      </c>
      <c r="D19377">
        <v>72.010000000000005</v>
      </c>
      <c r="E19377">
        <v>511</v>
      </c>
      <c r="F19377">
        <v>143</v>
      </c>
      <c r="G19377">
        <v>6</v>
      </c>
      <c r="H19377">
        <v>1</v>
      </c>
      <c r="I19377">
        <v>509</v>
      </c>
      <c r="J19377">
        <v>1</v>
      </c>
      <c r="K19377">
        <v>1</v>
      </c>
      <c r="L19377">
        <v>507</v>
      </c>
      <c r="M19377">
        <v>1</v>
      </c>
      <c r="N19377">
        <v>0</v>
      </c>
      <c r="O19377">
        <v>1919</v>
      </c>
    </row>
    <row r="19378" spans="1:15" x14ac:dyDescent="0.25">
      <c r="A19378" t="s">
        <v>19391</v>
      </c>
      <c r="B19378">
        <v>241</v>
      </c>
      <c r="C19378" s="1" t="str">
        <f>HYPERLINK("http://www.rosaceae.org/gb/gbrowse/malus_x_domestica/?name=MDP0000254363","MDP0000254363")</f>
        <v>MDP0000254363</v>
      </c>
      <c r="D19378">
        <v>78.83</v>
      </c>
      <c r="E19378">
        <v>241</v>
      </c>
      <c r="F19378">
        <v>51</v>
      </c>
      <c r="G19378">
        <v>3</v>
      </c>
      <c r="H19378">
        <v>1</v>
      </c>
      <c r="I19378">
        <v>241</v>
      </c>
      <c r="J19378">
        <v>1</v>
      </c>
      <c r="K19378">
        <v>1</v>
      </c>
      <c r="L19378">
        <v>238</v>
      </c>
      <c r="M19378">
        <v>1</v>
      </c>
      <c r="N19378">
        <v>9.2633500000000004E-107</v>
      </c>
      <c r="O19378">
        <v>983</v>
      </c>
    </row>
    <row r="19379" spans="1:15" x14ac:dyDescent="0.25">
      <c r="A19379" t="s">
        <v>19392</v>
      </c>
      <c r="B19379">
        <v>118</v>
      </c>
      <c r="C19379" s="1" t="str">
        <f>HYPERLINK("http://www.rosaceae.org/gb/gbrowse/malus_x_domestica/?name=MDP0000154424","MDP0000154424")</f>
        <v>MDP0000154424</v>
      </c>
      <c r="D19379">
        <v>48.45</v>
      </c>
      <c r="E19379">
        <v>97</v>
      </c>
      <c r="F19379">
        <v>50</v>
      </c>
      <c r="G19379">
        <v>5</v>
      </c>
      <c r="H19379">
        <v>26</v>
      </c>
      <c r="I19379">
        <v>117</v>
      </c>
      <c r="J19379">
        <v>1</v>
      </c>
      <c r="K19379">
        <v>69</v>
      </c>
      <c r="L19379">
        <v>165</v>
      </c>
      <c r="M19379">
        <v>1</v>
      </c>
      <c r="N19379">
        <v>9.1783200000000004E-11</v>
      </c>
      <c r="O19379">
        <v>150</v>
      </c>
    </row>
    <row r="19380" spans="1:15" x14ac:dyDescent="0.25">
      <c r="A19380" t="s">
        <v>19393</v>
      </c>
      <c r="B19380">
        <v>421</v>
      </c>
      <c r="C19380" s="1" t="str">
        <f>HYPERLINK("http://www.rosaceae.org/gb/gbrowse/malus_x_domestica/?name=MDP0000914975","MDP0000914975")</f>
        <v>MDP0000914975</v>
      </c>
      <c r="D19380">
        <v>48.78</v>
      </c>
      <c r="E19380">
        <v>371</v>
      </c>
      <c r="F19380">
        <v>190</v>
      </c>
      <c r="G19380">
        <v>20</v>
      </c>
      <c r="H19380">
        <v>36</v>
      </c>
      <c r="I19380">
        <v>401</v>
      </c>
      <c r="J19380">
        <v>1</v>
      </c>
      <c r="K19380">
        <v>44</v>
      </c>
      <c r="L19380">
        <v>399</v>
      </c>
      <c r="M19380">
        <v>1</v>
      </c>
      <c r="N19380">
        <v>9.6857400000000003E-96</v>
      </c>
      <c r="O19380">
        <v>891</v>
      </c>
    </row>
    <row r="19381" spans="1:15" x14ac:dyDescent="0.25">
      <c r="A19381" t="s">
        <v>19394</v>
      </c>
      <c r="B19381">
        <v>675</v>
      </c>
      <c r="C19381" s="1" t="str">
        <f>HYPERLINK("http://www.rosaceae.org/gb/gbrowse/malus_x_domestica/?name=MDP0000302297","MDP0000302297")</f>
        <v>MDP0000302297</v>
      </c>
      <c r="D19381">
        <v>52.86</v>
      </c>
      <c r="E19381">
        <v>594</v>
      </c>
      <c r="F19381">
        <v>280</v>
      </c>
      <c r="G19381">
        <v>98</v>
      </c>
      <c r="H19381">
        <v>111</v>
      </c>
      <c r="I19381">
        <v>623</v>
      </c>
      <c r="J19381">
        <v>1</v>
      </c>
      <c r="K19381">
        <v>294</v>
      </c>
      <c r="L19381">
        <v>870</v>
      </c>
      <c r="M19381">
        <v>1</v>
      </c>
      <c r="N19381">
        <v>2.2300799999999999E-160</v>
      </c>
      <c r="O19381">
        <v>1451</v>
      </c>
    </row>
    <row r="19382" spans="1:15" x14ac:dyDescent="0.25">
      <c r="A19382" t="s">
        <v>19395</v>
      </c>
      <c r="B19382">
        <v>534</v>
      </c>
      <c r="C19382" s="1" t="str">
        <f>HYPERLINK("http://www.rosaceae.org/gb/gbrowse/malus_x_domestica/?name=MDP0000130613","MDP0000130613")</f>
        <v>MDP0000130613</v>
      </c>
      <c r="D19382">
        <v>33.18</v>
      </c>
      <c r="E19382">
        <v>226</v>
      </c>
      <c r="F19382">
        <v>151</v>
      </c>
      <c r="G19382">
        <v>50</v>
      </c>
      <c r="H19382">
        <v>299</v>
      </c>
      <c r="I19382">
        <v>517</v>
      </c>
      <c r="J19382">
        <v>1</v>
      </c>
      <c r="K19382">
        <v>39</v>
      </c>
      <c r="L19382">
        <v>221</v>
      </c>
      <c r="M19382">
        <v>1</v>
      </c>
      <c r="N19382">
        <v>4.8438799999999998E-19</v>
      </c>
      <c r="O19382">
        <v>231</v>
      </c>
    </row>
    <row r="19383" spans="1:15" x14ac:dyDescent="0.25">
      <c r="A19383" t="s">
        <v>19396</v>
      </c>
      <c r="B19383">
        <v>157</v>
      </c>
      <c r="C19383" s="1" t="str">
        <f>HYPERLINK("http://www.rosaceae.org/gb/gbrowse/malus_x_domestica/?name=MDP0000170162","MDP0000170162")</f>
        <v>MDP0000170162</v>
      </c>
      <c r="D19383">
        <v>39.369999999999997</v>
      </c>
      <c r="E19383">
        <v>160</v>
      </c>
      <c r="F19383">
        <v>97</v>
      </c>
      <c r="G19383">
        <v>7</v>
      </c>
      <c r="H19383">
        <v>1</v>
      </c>
      <c r="I19383">
        <v>153</v>
      </c>
      <c r="J19383">
        <v>1</v>
      </c>
      <c r="K19383">
        <v>95</v>
      </c>
      <c r="L19383">
        <v>254</v>
      </c>
      <c r="M19383">
        <v>1</v>
      </c>
      <c r="N19383">
        <v>1.76046E-21</v>
      </c>
      <c r="O19383">
        <v>245</v>
      </c>
    </row>
    <row r="19384" spans="1:15" x14ac:dyDescent="0.25">
      <c r="A19384" t="s">
        <v>19397</v>
      </c>
      <c r="B19384">
        <v>407</v>
      </c>
      <c r="C19384" s="1" t="str">
        <f>HYPERLINK("http://www.rosaceae.org/gb/gbrowse/malus_x_domestica/?name=MDP0000133520","MDP0000133520")</f>
        <v>MDP0000133520</v>
      </c>
      <c r="D19384">
        <v>79.3</v>
      </c>
      <c r="E19384">
        <v>401</v>
      </c>
      <c r="F19384">
        <v>83</v>
      </c>
      <c r="G19384">
        <v>0</v>
      </c>
      <c r="H19384">
        <v>1</v>
      </c>
      <c r="I19384">
        <v>401</v>
      </c>
      <c r="J19384">
        <v>1</v>
      </c>
      <c r="K19384">
        <v>1</v>
      </c>
      <c r="L19384">
        <v>401</v>
      </c>
      <c r="M19384">
        <v>1</v>
      </c>
      <c r="N19384">
        <v>0</v>
      </c>
      <c r="O19384">
        <v>1676</v>
      </c>
    </row>
    <row r="19385" spans="1:15" x14ac:dyDescent="0.25">
      <c r="A19385" t="s">
        <v>19398</v>
      </c>
      <c r="B19385">
        <v>814</v>
      </c>
      <c r="C19385" s="1" t="str">
        <f>HYPERLINK("http://www.rosaceae.org/gb/gbrowse/malus_x_domestica/?name=MDP0000243323","MDP0000243323")</f>
        <v>MDP0000243323</v>
      </c>
      <c r="D19385">
        <v>74.790000000000006</v>
      </c>
      <c r="E19385">
        <v>837</v>
      </c>
      <c r="F19385">
        <v>211</v>
      </c>
      <c r="G19385">
        <v>34</v>
      </c>
      <c r="H19385">
        <v>3</v>
      </c>
      <c r="I19385">
        <v>814</v>
      </c>
      <c r="J19385">
        <v>1</v>
      </c>
      <c r="K19385">
        <v>1</v>
      </c>
      <c r="L19385">
        <v>828</v>
      </c>
      <c r="M19385">
        <v>1</v>
      </c>
      <c r="N19385">
        <v>0</v>
      </c>
      <c r="O19385">
        <v>3118</v>
      </c>
    </row>
    <row r="19386" spans="1:15" x14ac:dyDescent="0.25">
      <c r="A19386" t="s">
        <v>19399</v>
      </c>
      <c r="B19386">
        <v>321</v>
      </c>
      <c r="C19386" s="1" t="str">
        <f>HYPERLINK("http://www.rosaceae.org/gb/gbrowse/malus_x_domestica/?name=MDP0000497168","MDP0000497168")</f>
        <v>MDP0000497168</v>
      </c>
      <c r="D19386">
        <v>46.57</v>
      </c>
      <c r="E19386">
        <v>277</v>
      </c>
      <c r="F19386">
        <v>148</v>
      </c>
      <c r="G19386">
        <v>25</v>
      </c>
      <c r="H19386">
        <v>58</v>
      </c>
      <c r="I19386">
        <v>318</v>
      </c>
      <c r="J19386">
        <v>1</v>
      </c>
      <c r="K19386">
        <v>191</v>
      </c>
      <c r="L19386">
        <v>458</v>
      </c>
      <c r="M19386">
        <v>1</v>
      </c>
      <c r="N19386">
        <v>5.1997199999999999E-61</v>
      </c>
      <c r="O19386">
        <v>590</v>
      </c>
    </row>
    <row r="19387" spans="1:15" x14ac:dyDescent="0.25">
      <c r="A19387" t="s">
        <v>19400</v>
      </c>
      <c r="B19387">
        <v>331</v>
      </c>
      <c r="C19387" s="1" t="str">
        <f>HYPERLINK("http://www.rosaceae.org/gb/gbrowse/malus_x_domestica/?name=MDP0000868659","MDP0000868659")</f>
        <v>MDP0000868659</v>
      </c>
      <c r="D19387">
        <v>66.66</v>
      </c>
      <c r="E19387">
        <v>339</v>
      </c>
      <c r="F19387">
        <v>113</v>
      </c>
      <c r="G19387">
        <v>10</v>
      </c>
      <c r="H19387">
        <v>1</v>
      </c>
      <c r="I19387">
        <v>331</v>
      </c>
      <c r="J19387">
        <v>1</v>
      </c>
      <c r="K19387">
        <v>1</v>
      </c>
      <c r="L19387">
        <v>337</v>
      </c>
      <c r="M19387">
        <v>1</v>
      </c>
      <c r="N19387">
        <v>4.9588300000000001E-121</v>
      </c>
      <c r="O19387">
        <v>1108</v>
      </c>
    </row>
    <row r="19388" spans="1:15" x14ac:dyDescent="0.25">
      <c r="A19388" t="s">
        <v>19401</v>
      </c>
      <c r="B19388">
        <v>201</v>
      </c>
      <c r="C19388" s="1" t="str">
        <f>HYPERLINK("http://www.rosaceae.org/gb/gbrowse/malus_x_domestica/?name=MDP0000725149","MDP0000725149")</f>
        <v>MDP0000725149</v>
      </c>
      <c r="D19388">
        <v>52.97</v>
      </c>
      <c r="E19388">
        <v>185</v>
      </c>
      <c r="F19388">
        <v>87</v>
      </c>
      <c r="G19388">
        <v>13</v>
      </c>
      <c r="H19388">
        <v>1</v>
      </c>
      <c r="I19388">
        <v>182</v>
      </c>
      <c r="J19388">
        <v>1</v>
      </c>
      <c r="K19388">
        <v>1</v>
      </c>
      <c r="L19388">
        <v>175</v>
      </c>
      <c r="M19388">
        <v>1</v>
      </c>
      <c r="N19388">
        <v>1.1768599999999999E-44</v>
      </c>
      <c r="O19388">
        <v>447</v>
      </c>
    </row>
    <row r="19389" spans="1:15" x14ac:dyDescent="0.25">
      <c r="A19389" t="s">
        <v>19402</v>
      </c>
      <c r="B19389">
        <v>404</v>
      </c>
      <c r="C19389" s="1" t="str">
        <f>HYPERLINK("http://www.rosaceae.org/gb/gbrowse/malus_x_domestica/?name=MDP0000171055","MDP0000171055")</f>
        <v>MDP0000171055</v>
      </c>
      <c r="D19389">
        <v>72.260000000000005</v>
      </c>
      <c r="E19389">
        <v>375</v>
      </c>
      <c r="F19389">
        <v>104</v>
      </c>
      <c r="G19389">
        <v>5</v>
      </c>
      <c r="H19389">
        <v>4</v>
      </c>
      <c r="I19389">
        <v>375</v>
      </c>
      <c r="J19389">
        <v>1</v>
      </c>
      <c r="K19389">
        <v>94</v>
      </c>
      <c r="L19389">
        <v>466</v>
      </c>
      <c r="M19389">
        <v>1</v>
      </c>
      <c r="N19389">
        <v>1.5758699999999999E-153</v>
      </c>
      <c r="O19389">
        <v>1389</v>
      </c>
    </row>
    <row r="19390" spans="1:15" x14ac:dyDescent="0.25">
      <c r="A19390" t="s">
        <v>19403</v>
      </c>
      <c r="B19390">
        <v>445</v>
      </c>
      <c r="C19390" s="1" t="str">
        <f>HYPERLINK("http://www.rosaceae.org/gb/gbrowse/malus_x_domestica/?name=MDP0000334079","MDP0000334079")</f>
        <v>MDP0000334079</v>
      </c>
      <c r="D19390">
        <v>81.94</v>
      </c>
      <c r="E19390">
        <v>288</v>
      </c>
      <c r="F19390">
        <v>52</v>
      </c>
      <c r="G19390">
        <v>0</v>
      </c>
      <c r="H19390">
        <v>148</v>
      </c>
      <c r="I19390">
        <v>435</v>
      </c>
      <c r="J19390">
        <v>1</v>
      </c>
      <c r="K19390">
        <v>3</v>
      </c>
      <c r="L19390">
        <v>290</v>
      </c>
      <c r="M19390">
        <v>1</v>
      </c>
      <c r="N19390">
        <v>8.6540400000000005E-139</v>
      </c>
      <c r="O19390">
        <v>1263</v>
      </c>
    </row>
    <row r="19391" spans="1:15" x14ac:dyDescent="0.25">
      <c r="A19391" t="s">
        <v>19404</v>
      </c>
      <c r="B19391">
        <v>221</v>
      </c>
      <c r="C19391" s="1" t="str">
        <f>HYPERLINK("http://www.rosaceae.org/gb/gbrowse/malus_x_domestica/?name=MDP0000219994","MDP0000219994")</f>
        <v>MDP0000219994</v>
      </c>
      <c r="D19391">
        <v>87.2</v>
      </c>
      <c r="E19391">
        <v>172</v>
      </c>
      <c r="F19391">
        <v>22</v>
      </c>
      <c r="G19391">
        <v>0</v>
      </c>
      <c r="H19391">
        <v>42</v>
      </c>
      <c r="I19391">
        <v>213</v>
      </c>
      <c r="J19391">
        <v>1</v>
      </c>
      <c r="K19391">
        <v>1</v>
      </c>
      <c r="L19391">
        <v>172</v>
      </c>
      <c r="M19391">
        <v>1</v>
      </c>
      <c r="N19391">
        <v>8.8323199999999997E-81</v>
      </c>
      <c r="O19391">
        <v>759</v>
      </c>
    </row>
    <row r="19392" spans="1:15" x14ac:dyDescent="0.25">
      <c r="A19392" t="s">
        <v>19405</v>
      </c>
      <c r="B19392">
        <v>120</v>
      </c>
      <c r="C19392" s="1" t="str">
        <f>HYPERLINK("http://www.rosaceae.org/gb/gbrowse/malus_x_domestica/?name=MDP0000923036","MDP0000923036")</f>
        <v>MDP0000923036</v>
      </c>
      <c r="D19392">
        <v>73.25</v>
      </c>
      <c r="E19392">
        <v>86</v>
      </c>
      <c r="F19392">
        <v>23</v>
      </c>
      <c r="G19392">
        <v>0</v>
      </c>
      <c r="H19392">
        <v>6</v>
      </c>
      <c r="I19392">
        <v>91</v>
      </c>
      <c r="J19392">
        <v>1</v>
      </c>
      <c r="K19392">
        <v>22</v>
      </c>
      <c r="L19392">
        <v>107</v>
      </c>
      <c r="M19392">
        <v>1</v>
      </c>
      <c r="N19392">
        <v>1.25465E-30</v>
      </c>
      <c r="O19392">
        <v>321</v>
      </c>
    </row>
    <row r="19393" spans="1:15" x14ac:dyDescent="0.25">
      <c r="A19393" t="s">
        <v>19406</v>
      </c>
      <c r="B19393">
        <v>977</v>
      </c>
      <c r="C19393" s="1" t="str">
        <f>HYPERLINK("http://www.rosaceae.org/gb/gbrowse/malus_x_domestica/?name=MDP0000572034","MDP0000572034")</f>
        <v>MDP0000572034</v>
      </c>
      <c r="D19393">
        <v>60.57</v>
      </c>
      <c r="E19393">
        <v>875</v>
      </c>
      <c r="F19393">
        <v>345</v>
      </c>
      <c r="G19393">
        <v>134</v>
      </c>
      <c r="H19393">
        <v>1</v>
      </c>
      <c r="I19393">
        <v>824</v>
      </c>
      <c r="J19393">
        <v>1</v>
      </c>
      <c r="K19393">
        <v>1</v>
      </c>
      <c r="L19393">
        <v>792</v>
      </c>
      <c r="M19393">
        <v>1</v>
      </c>
      <c r="N19393">
        <v>0</v>
      </c>
      <c r="O19393">
        <v>2538</v>
      </c>
    </row>
    <row r="19394" spans="1:15" x14ac:dyDescent="0.25">
      <c r="A19394" t="s">
        <v>19407</v>
      </c>
      <c r="B19394">
        <v>489</v>
      </c>
      <c r="C19394" s="1" t="str">
        <f>HYPERLINK("http://www.rosaceae.org/gb/gbrowse/malus_x_domestica/?name=MDP0000135609","MDP0000135609")</f>
        <v>MDP0000135609</v>
      </c>
      <c r="D19394">
        <v>55.19</v>
      </c>
      <c r="E19394">
        <v>404</v>
      </c>
      <c r="F19394">
        <v>181</v>
      </c>
      <c r="G19394">
        <v>28</v>
      </c>
      <c r="H19394">
        <v>92</v>
      </c>
      <c r="I19394">
        <v>489</v>
      </c>
      <c r="J19394">
        <v>1</v>
      </c>
      <c r="K19394">
        <v>1</v>
      </c>
      <c r="L19394">
        <v>382</v>
      </c>
      <c r="M19394">
        <v>1</v>
      </c>
      <c r="N19394">
        <v>1.2448E-112</v>
      </c>
      <c r="O19394">
        <v>1038</v>
      </c>
    </row>
    <row r="19395" spans="1:15" x14ac:dyDescent="0.25">
      <c r="A19395" t="s">
        <v>19408</v>
      </c>
      <c r="B19395">
        <v>327</v>
      </c>
      <c r="C19395" s="1" t="str">
        <f>HYPERLINK("http://www.rosaceae.org/gb/gbrowse/malus_x_domestica/?name=MDP0000267131","MDP0000267131")</f>
        <v>MDP0000267131</v>
      </c>
      <c r="D19395">
        <v>82.77</v>
      </c>
      <c r="E19395">
        <v>296</v>
      </c>
      <c r="F19395">
        <v>51</v>
      </c>
      <c r="G19395">
        <v>13</v>
      </c>
      <c r="H19395">
        <v>1</v>
      </c>
      <c r="I19395">
        <v>283</v>
      </c>
      <c r="J19395">
        <v>1</v>
      </c>
      <c r="K19395">
        <v>1</v>
      </c>
      <c r="L19395">
        <v>296</v>
      </c>
      <c r="M19395">
        <v>1</v>
      </c>
      <c r="N19395">
        <v>3.09096E-136</v>
      </c>
      <c r="O19395">
        <v>1239</v>
      </c>
    </row>
    <row r="19396" spans="1:15" x14ac:dyDescent="0.25">
      <c r="A19396" t="s">
        <v>19409</v>
      </c>
      <c r="B19396">
        <v>149</v>
      </c>
      <c r="C19396" s="1" t="str">
        <f>HYPERLINK("http://www.rosaceae.org/gb/gbrowse/malus_x_domestica/?name=MDP0000266172","MDP0000266172")</f>
        <v>MDP0000266172</v>
      </c>
      <c r="D19396">
        <v>50</v>
      </c>
      <c r="E19396">
        <v>108</v>
      </c>
      <c r="F19396">
        <v>54</v>
      </c>
      <c r="G19396">
        <v>9</v>
      </c>
      <c r="H19396">
        <v>44</v>
      </c>
      <c r="I19396">
        <v>143</v>
      </c>
      <c r="J19396">
        <v>1</v>
      </c>
      <c r="K19396">
        <v>181</v>
      </c>
      <c r="L19396">
        <v>287</v>
      </c>
      <c r="M19396">
        <v>1</v>
      </c>
      <c r="N19396">
        <v>2.06354E-22</v>
      </c>
      <c r="O19396">
        <v>253</v>
      </c>
    </row>
    <row r="19397" spans="1:15" x14ac:dyDescent="0.25">
      <c r="A19397" t="s">
        <v>19410</v>
      </c>
      <c r="B19397">
        <v>145</v>
      </c>
      <c r="C19397" s="1" t="str">
        <f>HYPERLINK("http://www.rosaceae.org/gb/gbrowse/malus_x_domestica/?name=MDP0000823582","MDP0000823582")</f>
        <v>MDP0000823582</v>
      </c>
      <c r="D19397">
        <v>100</v>
      </c>
      <c r="E19397">
        <v>92</v>
      </c>
      <c r="F19397">
        <v>0</v>
      </c>
      <c r="G19397">
        <v>0</v>
      </c>
      <c r="H19397">
        <v>54</v>
      </c>
      <c r="I19397">
        <v>145</v>
      </c>
      <c r="J19397">
        <v>1</v>
      </c>
      <c r="K19397">
        <v>57</v>
      </c>
      <c r="L19397">
        <v>148</v>
      </c>
      <c r="M19397">
        <v>1</v>
      </c>
      <c r="N19397">
        <v>2.13379E-49</v>
      </c>
      <c r="O19397">
        <v>485</v>
      </c>
    </row>
    <row r="19398" spans="1:15" x14ac:dyDescent="0.25">
      <c r="A19398" t="s">
        <v>19411</v>
      </c>
      <c r="B19398">
        <v>83</v>
      </c>
      <c r="C19398" s="1" t="str">
        <f>HYPERLINK("http://www.rosaceae.org/gb/gbrowse/malus_x_domestica/?name=MDP0000922295","MDP0000922295")</f>
        <v>MDP0000922295</v>
      </c>
      <c r="D19398">
        <v>40.5</v>
      </c>
      <c r="E19398">
        <v>79</v>
      </c>
      <c r="F19398">
        <v>47</v>
      </c>
      <c r="G19398">
        <v>6</v>
      </c>
      <c r="H19398">
        <v>4</v>
      </c>
      <c r="I19398">
        <v>80</v>
      </c>
      <c r="J19398">
        <v>1</v>
      </c>
      <c r="K19398">
        <v>12</v>
      </c>
      <c r="L19398">
        <v>86</v>
      </c>
      <c r="M19398">
        <v>1</v>
      </c>
      <c r="N19398">
        <v>9.0967399999999995E-10</v>
      </c>
      <c r="O19398">
        <v>142</v>
      </c>
    </row>
    <row r="19399" spans="1:15" x14ac:dyDescent="0.25">
      <c r="A19399" t="s">
        <v>19412</v>
      </c>
      <c r="B19399">
        <v>294</v>
      </c>
      <c r="C19399" s="1" t="str">
        <f>HYPERLINK("http://www.rosaceae.org/gb/gbrowse/malus_x_domestica/?name=MDP0000147123","MDP0000147123")</f>
        <v>MDP0000147123</v>
      </c>
      <c r="D19399">
        <v>69.760000000000005</v>
      </c>
      <c r="E19399">
        <v>301</v>
      </c>
      <c r="F19399">
        <v>91</v>
      </c>
      <c r="G19399">
        <v>17</v>
      </c>
      <c r="H19399">
        <v>1</v>
      </c>
      <c r="I19399">
        <v>290</v>
      </c>
      <c r="J19399">
        <v>1</v>
      </c>
      <c r="K19399">
        <v>1</v>
      </c>
      <c r="L19399">
        <v>295</v>
      </c>
      <c r="M19399">
        <v>1</v>
      </c>
      <c r="N19399">
        <v>4.8821599999999998E-110</v>
      </c>
      <c r="O19399">
        <v>1013</v>
      </c>
    </row>
    <row r="19400" spans="1:15" x14ac:dyDescent="0.25">
      <c r="A19400" t="s">
        <v>19413</v>
      </c>
      <c r="B19400">
        <v>285</v>
      </c>
      <c r="C19400" s="1" t="str">
        <f>HYPERLINK("http://www.rosaceae.org/gb/gbrowse/malus_x_domestica/?name=MDP0000213864","MDP0000213864")</f>
        <v>MDP0000213864</v>
      </c>
      <c r="D19400">
        <v>54.58</v>
      </c>
      <c r="E19400">
        <v>229</v>
      </c>
      <c r="F19400">
        <v>104</v>
      </c>
      <c r="G19400">
        <v>23</v>
      </c>
      <c r="H19400">
        <v>15</v>
      </c>
      <c r="I19400">
        <v>228</v>
      </c>
      <c r="J19400">
        <v>1</v>
      </c>
      <c r="K19400">
        <v>87</v>
      </c>
      <c r="L19400">
        <v>307</v>
      </c>
      <c r="M19400">
        <v>1</v>
      </c>
      <c r="N19400">
        <v>1.05301E-57</v>
      </c>
      <c r="O19400">
        <v>561</v>
      </c>
    </row>
    <row r="19401" spans="1:15" x14ac:dyDescent="0.25">
      <c r="A19401" t="s">
        <v>19414</v>
      </c>
      <c r="B19401">
        <v>374</v>
      </c>
      <c r="C19401" s="1" t="str">
        <f>HYPERLINK("http://www.rosaceae.org/gb/gbrowse/malus_x_domestica/?name=MDP0000213800","MDP0000213800")</f>
        <v>MDP0000213800</v>
      </c>
      <c r="D19401">
        <v>71.14</v>
      </c>
      <c r="E19401">
        <v>350</v>
      </c>
      <c r="F19401">
        <v>101</v>
      </c>
      <c r="G19401">
        <v>12</v>
      </c>
      <c r="H19401">
        <v>33</v>
      </c>
      <c r="I19401">
        <v>374</v>
      </c>
      <c r="J19401">
        <v>1</v>
      </c>
      <c r="K19401">
        <v>32</v>
      </c>
      <c r="L19401">
        <v>377</v>
      </c>
      <c r="M19401">
        <v>1</v>
      </c>
      <c r="N19401">
        <v>5.6733999999999998E-143</v>
      </c>
      <c r="O19401">
        <v>1298</v>
      </c>
    </row>
    <row r="19402" spans="1:15" x14ac:dyDescent="0.25">
      <c r="A19402" t="s">
        <v>19415</v>
      </c>
      <c r="B19402">
        <v>272</v>
      </c>
      <c r="C19402" s="1" t="str">
        <f>HYPERLINK("http://www.rosaceae.org/gb/gbrowse/malus_x_domestica/?name=MDP0000737171","MDP0000737171")</f>
        <v>MDP0000737171</v>
      </c>
      <c r="D19402">
        <v>55.35</v>
      </c>
      <c r="E19402">
        <v>168</v>
      </c>
      <c r="F19402">
        <v>75</v>
      </c>
      <c r="G19402">
        <v>1</v>
      </c>
      <c r="H19402">
        <v>51</v>
      </c>
      <c r="I19402">
        <v>218</v>
      </c>
      <c r="J19402">
        <v>1</v>
      </c>
      <c r="K19402">
        <v>28</v>
      </c>
      <c r="L19402">
        <v>194</v>
      </c>
      <c r="M19402">
        <v>1</v>
      </c>
      <c r="N19402">
        <v>1.40363E-49</v>
      </c>
      <c r="O19402">
        <v>491</v>
      </c>
    </row>
    <row r="19403" spans="1:15" x14ac:dyDescent="0.25">
      <c r="A19403" t="s">
        <v>19416</v>
      </c>
      <c r="B19403">
        <v>89</v>
      </c>
      <c r="C19403" s="1" t="str">
        <f>HYPERLINK("http://www.rosaceae.org/gb/gbrowse/malus_x_domestica/?name=MDP0000559292","MDP0000559292")</f>
        <v>MDP0000559292</v>
      </c>
      <c r="D19403">
        <v>71.010000000000005</v>
      </c>
      <c r="E19403">
        <v>69</v>
      </c>
      <c r="F19403">
        <v>20</v>
      </c>
      <c r="G19403">
        <v>1</v>
      </c>
      <c r="H19403">
        <v>18</v>
      </c>
      <c r="I19403">
        <v>85</v>
      </c>
      <c r="J19403">
        <v>1</v>
      </c>
      <c r="K19403">
        <v>3</v>
      </c>
      <c r="L19403">
        <v>71</v>
      </c>
      <c r="M19403">
        <v>1</v>
      </c>
      <c r="N19403">
        <v>3.47743E-22</v>
      </c>
      <c r="O19403">
        <v>249</v>
      </c>
    </row>
    <row r="19404" spans="1:15" x14ac:dyDescent="0.25">
      <c r="A19404" t="s">
        <v>19417</v>
      </c>
      <c r="B19404">
        <v>355</v>
      </c>
      <c r="C19404" s="1" t="str">
        <f>HYPERLINK("http://www.rosaceae.org/gb/gbrowse/malus_x_domestica/?name=MDP0000180566","MDP0000180566")</f>
        <v>MDP0000180566</v>
      </c>
      <c r="D19404">
        <v>80.989999999999995</v>
      </c>
      <c r="E19404">
        <v>242</v>
      </c>
      <c r="F19404">
        <v>46</v>
      </c>
      <c r="G19404">
        <v>2</v>
      </c>
      <c r="H19404">
        <v>114</v>
      </c>
      <c r="I19404">
        <v>355</v>
      </c>
      <c r="J19404">
        <v>1</v>
      </c>
      <c r="K19404">
        <v>50</v>
      </c>
      <c r="L19404">
        <v>289</v>
      </c>
      <c r="M19404">
        <v>1</v>
      </c>
      <c r="N19404">
        <v>2.8701900000000002E-111</v>
      </c>
      <c r="O19404">
        <v>1024</v>
      </c>
    </row>
    <row r="19405" spans="1:15" x14ac:dyDescent="0.25">
      <c r="A19405" t="s">
        <v>19418</v>
      </c>
      <c r="B19405">
        <v>99</v>
      </c>
      <c r="C19405" s="1" t="str">
        <f>HYPERLINK("http://www.rosaceae.org/gb/gbrowse/malus_x_domestica/?name=MDP0000297511","MDP0000297511")</f>
        <v>MDP0000297511</v>
      </c>
      <c r="D19405">
        <v>76.709999999999994</v>
      </c>
      <c r="E19405">
        <v>73</v>
      </c>
      <c r="F19405">
        <v>17</v>
      </c>
      <c r="G19405">
        <v>2</v>
      </c>
      <c r="H19405">
        <v>1</v>
      </c>
      <c r="I19405">
        <v>71</v>
      </c>
      <c r="J19405">
        <v>1</v>
      </c>
      <c r="K19405">
        <v>1</v>
      </c>
      <c r="L19405">
        <v>73</v>
      </c>
      <c r="M19405">
        <v>1</v>
      </c>
      <c r="N19405">
        <v>4.42589E-28</v>
      </c>
      <c r="O19405">
        <v>300</v>
      </c>
    </row>
    <row r="19406" spans="1:15" x14ac:dyDescent="0.25">
      <c r="A19406" t="s">
        <v>19419</v>
      </c>
      <c r="B19406">
        <v>655</v>
      </c>
      <c r="C19406" s="1" t="str">
        <f>HYPERLINK("http://www.rosaceae.org/gb/gbrowse/malus_x_domestica/?name=MDP0000322515","MDP0000322515")</f>
        <v>MDP0000322515</v>
      </c>
      <c r="D19406">
        <v>72.05</v>
      </c>
      <c r="E19406">
        <v>458</v>
      </c>
      <c r="F19406">
        <v>128</v>
      </c>
      <c r="G19406">
        <v>32</v>
      </c>
      <c r="H19406">
        <v>18</v>
      </c>
      <c r="I19406">
        <v>445</v>
      </c>
      <c r="J19406">
        <v>1</v>
      </c>
      <c r="K19406">
        <v>1</v>
      </c>
      <c r="L19406">
        <v>456</v>
      </c>
      <c r="M19406">
        <v>1</v>
      </c>
      <c r="N19406">
        <v>0</v>
      </c>
      <c r="O19406">
        <v>1719</v>
      </c>
    </row>
    <row r="19407" spans="1:15" x14ac:dyDescent="0.25">
      <c r="A19407" t="s">
        <v>19420</v>
      </c>
      <c r="B19407">
        <v>2225</v>
      </c>
      <c r="C19407" s="1" t="str">
        <f>HYPERLINK("http://www.rosaceae.org/gb/gbrowse/malus_x_domestica/?name=MDP0000489577","MDP0000489577")</f>
        <v>MDP0000489577</v>
      </c>
      <c r="D19407">
        <v>57.57</v>
      </c>
      <c r="E19407">
        <v>66</v>
      </c>
      <c r="F19407">
        <v>28</v>
      </c>
      <c r="G19407">
        <v>0</v>
      </c>
      <c r="H19407">
        <v>1004</v>
      </c>
      <c r="I19407">
        <v>1069</v>
      </c>
      <c r="J19407">
        <v>1</v>
      </c>
      <c r="K19407">
        <v>64</v>
      </c>
      <c r="L19407">
        <v>129</v>
      </c>
      <c r="M19407">
        <v>1</v>
      </c>
      <c r="N19407">
        <v>3.2582300000000001E-18</v>
      </c>
      <c r="O19407">
        <v>230</v>
      </c>
    </row>
    <row r="19408" spans="1:15" x14ac:dyDescent="0.25">
      <c r="A19408" t="s">
        <v>19421</v>
      </c>
      <c r="B19408">
        <v>982</v>
      </c>
      <c r="C19408" s="1" t="str">
        <f>HYPERLINK("http://www.rosaceae.org/gb/gbrowse/malus_x_domestica/?name=MDP0000308517","MDP0000308517")</f>
        <v>MDP0000308517</v>
      </c>
      <c r="D19408">
        <v>63.16</v>
      </c>
      <c r="E19408">
        <v>972</v>
      </c>
      <c r="F19408">
        <v>358</v>
      </c>
      <c r="G19408">
        <v>55</v>
      </c>
      <c r="H19408">
        <v>1</v>
      </c>
      <c r="I19408">
        <v>933</v>
      </c>
      <c r="J19408">
        <v>1</v>
      </c>
      <c r="K19408">
        <v>6</v>
      </c>
      <c r="L19408">
        <v>961</v>
      </c>
      <c r="M19408">
        <v>1</v>
      </c>
      <c r="N19408">
        <v>0</v>
      </c>
      <c r="O19408">
        <v>2967</v>
      </c>
    </row>
    <row r="19409" spans="1:15" x14ac:dyDescent="0.25">
      <c r="A19409" t="s">
        <v>19422</v>
      </c>
      <c r="B19409">
        <v>525</v>
      </c>
      <c r="C19409" s="1" t="str">
        <f>HYPERLINK("http://www.rosaceae.org/gb/gbrowse/malus_x_domestica/?name=MDP0000269972","MDP0000269972")</f>
        <v>MDP0000269972</v>
      </c>
      <c r="D19409">
        <v>78.540000000000006</v>
      </c>
      <c r="E19409">
        <v>480</v>
      </c>
      <c r="F19409">
        <v>103</v>
      </c>
      <c r="G19409">
        <v>16</v>
      </c>
      <c r="H19409">
        <v>46</v>
      </c>
      <c r="I19409">
        <v>511</v>
      </c>
      <c r="J19409">
        <v>1</v>
      </c>
      <c r="K19409">
        <v>60</v>
      </c>
      <c r="L19409">
        <v>537</v>
      </c>
      <c r="M19409">
        <v>1</v>
      </c>
      <c r="N19409">
        <v>0</v>
      </c>
      <c r="O19409">
        <v>1976</v>
      </c>
    </row>
    <row r="19410" spans="1:15" x14ac:dyDescent="0.25">
      <c r="A19410" t="s">
        <v>19423</v>
      </c>
      <c r="B19410">
        <v>1463</v>
      </c>
      <c r="C19410" s="1" t="str">
        <f>HYPERLINK("http://www.rosaceae.org/gb/gbrowse/malus_x_domestica/?name=MDP0000268860","MDP0000268860")</f>
        <v>MDP0000268860</v>
      </c>
      <c r="D19410">
        <v>50.3</v>
      </c>
      <c r="E19410">
        <v>811</v>
      </c>
      <c r="F19410">
        <v>403</v>
      </c>
      <c r="G19410">
        <v>121</v>
      </c>
      <c r="H19410">
        <v>654</v>
      </c>
      <c r="I19410">
        <v>1459</v>
      </c>
      <c r="J19410">
        <v>1</v>
      </c>
      <c r="K19410">
        <v>1</v>
      </c>
      <c r="L19410">
        <v>695</v>
      </c>
      <c r="M19410">
        <v>1</v>
      </c>
      <c r="N19410">
        <v>0</v>
      </c>
      <c r="O19410">
        <v>1871</v>
      </c>
    </row>
    <row r="19411" spans="1:15" x14ac:dyDescent="0.25">
      <c r="A19411" t="s">
        <v>19424</v>
      </c>
      <c r="B19411">
        <v>107</v>
      </c>
      <c r="C19411" s="1" t="str">
        <f>HYPERLINK("http://www.rosaceae.org/gb/gbrowse/malus_x_domestica/?name=MDP0000858290","MDP0000858290")</f>
        <v>MDP0000858290</v>
      </c>
      <c r="D19411">
        <v>43.75</v>
      </c>
      <c r="E19411">
        <v>128</v>
      </c>
      <c r="F19411">
        <v>72</v>
      </c>
      <c r="G19411">
        <v>24</v>
      </c>
      <c r="H19411">
        <v>1</v>
      </c>
      <c r="I19411">
        <v>104</v>
      </c>
      <c r="J19411">
        <v>1</v>
      </c>
      <c r="K19411">
        <v>113</v>
      </c>
      <c r="L19411">
        <v>240</v>
      </c>
      <c r="M19411">
        <v>1</v>
      </c>
      <c r="N19411">
        <v>2.1838700000000001E-22</v>
      </c>
      <c r="O19411">
        <v>250</v>
      </c>
    </row>
    <row r="19412" spans="1:15" x14ac:dyDescent="0.25">
      <c r="A19412" t="s">
        <v>19425</v>
      </c>
      <c r="B19412">
        <v>204</v>
      </c>
      <c r="C19412" s="1" t="str">
        <f>HYPERLINK("http://www.rosaceae.org/gb/gbrowse/malus_x_domestica/?name=MDP0000941318","MDP0000941318")</f>
        <v>MDP0000941318</v>
      </c>
      <c r="D19412">
        <v>63.05</v>
      </c>
      <c r="E19412">
        <v>157</v>
      </c>
      <c r="F19412">
        <v>58</v>
      </c>
      <c r="G19412">
        <v>9</v>
      </c>
      <c r="H19412">
        <v>2</v>
      </c>
      <c r="I19412">
        <v>158</v>
      </c>
      <c r="J19412">
        <v>1</v>
      </c>
      <c r="K19412">
        <v>6</v>
      </c>
      <c r="L19412">
        <v>153</v>
      </c>
      <c r="M19412">
        <v>1</v>
      </c>
      <c r="N19412">
        <v>1.00147E-50</v>
      </c>
      <c r="O19412">
        <v>499</v>
      </c>
    </row>
    <row r="19413" spans="1:15" x14ac:dyDescent="0.25">
      <c r="A19413" t="s">
        <v>19426</v>
      </c>
      <c r="B19413">
        <v>289</v>
      </c>
      <c r="C19413" s="1" t="str">
        <f>HYPERLINK("http://www.rosaceae.org/gb/gbrowse/malus_x_domestica/?name=MDP0000198439","MDP0000198439")</f>
        <v>MDP0000198439</v>
      </c>
      <c r="D19413">
        <v>68.260000000000005</v>
      </c>
      <c r="E19413">
        <v>230</v>
      </c>
      <c r="F19413">
        <v>73</v>
      </c>
      <c r="G19413">
        <v>28</v>
      </c>
      <c r="H19413">
        <v>64</v>
      </c>
      <c r="I19413">
        <v>265</v>
      </c>
      <c r="J19413">
        <v>1</v>
      </c>
      <c r="K19413">
        <v>276</v>
      </c>
      <c r="L19413">
        <v>505</v>
      </c>
      <c r="M19413">
        <v>1</v>
      </c>
      <c r="N19413">
        <v>4.0197999999999998E-87</v>
      </c>
      <c r="O19413">
        <v>815</v>
      </c>
    </row>
    <row r="19414" spans="1:15" x14ac:dyDescent="0.25">
      <c r="A19414" t="s">
        <v>19427</v>
      </c>
      <c r="B19414">
        <v>387</v>
      </c>
      <c r="C19414" s="1" t="str">
        <f>HYPERLINK("http://www.rosaceae.org/gb/gbrowse/malus_x_domestica/?name=MDP0000250644","MDP0000250644")</f>
        <v>MDP0000250644</v>
      </c>
      <c r="D19414">
        <v>22.09</v>
      </c>
      <c r="E19414">
        <v>181</v>
      </c>
      <c r="F19414">
        <v>141</v>
      </c>
      <c r="G19414">
        <v>4</v>
      </c>
      <c r="H19414">
        <v>45</v>
      </c>
      <c r="I19414">
        <v>223</v>
      </c>
      <c r="J19414">
        <v>1</v>
      </c>
      <c r="K19414">
        <v>132</v>
      </c>
      <c r="L19414">
        <v>310</v>
      </c>
      <c r="M19414">
        <v>1</v>
      </c>
      <c r="N19414">
        <v>9.4627599999999997E-9</v>
      </c>
      <c r="O19414">
        <v>141</v>
      </c>
    </row>
    <row r="19415" spans="1:15" x14ac:dyDescent="0.25">
      <c r="A19415" t="s">
        <v>19428</v>
      </c>
      <c r="B19415">
        <v>1010</v>
      </c>
      <c r="C19415" s="1" t="str">
        <f>HYPERLINK("http://www.rosaceae.org/gb/gbrowse/malus_x_domestica/?name=MDP0000176743","MDP0000176743")</f>
        <v>MDP0000176743</v>
      </c>
      <c r="D19415">
        <v>70.760000000000005</v>
      </c>
      <c r="E19415">
        <v>1033</v>
      </c>
      <c r="F19415">
        <v>302</v>
      </c>
      <c r="G19415">
        <v>51</v>
      </c>
      <c r="H19415">
        <v>1</v>
      </c>
      <c r="I19415">
        <v>996</v>
      </c>
      <c r="J19415">
        <v>1</v>
      </c>
      <c r="K19415">
        <v>237</v>
      </c>
      <c r="L19415">
        <v>1255</v>
      </c>
      <c r="M19415">
        <v>1</v>
      </c>
      <c r="N19415">
        <v>0</v>
      </c>
      <c r="O19415">
        <v>3715</v>
      </c>
    </row>
    <row r="19416" spans="1:15" x14ac:dyDescent="0.25">
      <c r="A19416" t="s">
        <v>19429</v>
      </c>
      <c r="B19416">
        <v>444</v>
      </c>
      <c r="C19416" s="1" t="str">
        <f>HYPERLINK("http://www.rosaceae.org/gb/gbrowse/malus_x_domestica/?name=MDP0000759204","MDP0000759204")</f>
        <v>MDP0000759204</v>
      </c>
      <c r="D19416">
        <v>78.349999999999994</v>
      </c>
      <c r="E19416">
        <v>439</v>
      </c>
      <c r="F19416">
        <v>95</v>
      </c>
      <c r="G19416">
        <v>10</v>
      </c>
      <c r="H19416">
        <v>16</v>
      </c>
      <c r="I19416">
        <v>444</v>
      </c>
      <c r="J19416">
        <v>1</v>
      </c>
      <c r="K19416">
        <v>17</v>
      </c>
      <c r="L19416">
        <v>455</v>
      </c>
      <c r="M19416">
        <v>1</v>
      </c>
      <c r="N19416">
        <v>0</v>
      </c>
      <c r="O19416">
        <v>1720</v>
      </c>
    </row>
    <row r="19417" spans="1:15" x14ac:dyDescent="0.25">
      <c r="A19417" t="s">
        <v>19430</v>
      </c>
      <c r="B19417">
        <v>387</v>
      </c>
      <c r="C19417" s="1" t="str">
        <f>HYPERLINK("http://www.rosaceae.org/gb/gbrowse/malus_x_domestica/?name=MDP0000007997","MDP0000007997")</f>
        <v>MDP0000007997</v>
      </c>
      <c r="D19417">
        <v>74.930000000000007</v>
      </c>
      <c r="E19417">
        <v>383</v>
      </c>
      <c r="F19417">
        <v>96</v>
      </c>
      <c r="G19417">
        <v>0</v>
      </c>
      <c r="H19417">
        <v>1</v>
      </c>
      <c r="I19417">
        <v>383</v>
      </c>
      <c r="J19417">
        <v>1</v>
      </c>
      <c r="K19417">
        <v>2</v>
      </c>
      <c r="L19417">
        <v>384</v>
      </c>
      <c r="M19417">
        <v>1</v>
      </c>
      <c r="N19417">
        <v>5.0331500000000001E-172</v>
      </c>
      <c r="O19417">
        <v>1549</v>
      </c>
    </row>
    <row r="19418" spans="1:15" x14ac:dyDescent="0.25">
      <c r="A19418" t="s">
        <v>19431</v>
      </c>
      <c r="B19418">
        <v>245</v>
      </c>
      <c r="C19418" s="1" t="str">
        <f>HYPERLINK("http://www.rosaceae.org/gb/gbrowse/malus_x_domestica/?name=MDP0000256261","MDP0000256261")</f>
        <v>MDP0000256261</v>
      </c>
      <c r="D19418">
        <v>92.59</v>
      </c>
      <c r="E19418">
        <v>27</v>
      </c>
      <c r="F19418">
        <v>2</v>
      </c>
      <c r="G19418">
        <v>0</v>
      </c>
      <c r="H19418">
        <v>137</v>
      </c>
      <c r="I19418">
        <v>163</v>
      </c>
      <c r="J19418">
        <v>1</v>
      </c>
      <c r="K19418">
        <v>35</v>
      </c>
      <c r="L19418">
        <v>61</v>
      </c>
      <c r="M19418">
        <v>1</v>
      </c>
      <c r="N19418">
        <v>4.2914200000000001E-9</v>
      </c>
      <c r="O19418">
        <v>141</v>
      </c>
    </row>
    <row r="19419" spans="1:15" x14ac:dyDescent="0.25">
      <c r="A19419" t="s">
        <v>19432</v>
      </c>
      <c r="B19419">
        <v>67</v>
      </c>
      <c r="C19419" s="1" t="str">
        <f>HYPERLINK("http://www.rosaceae.org/gb/gbrowse/malus_x_domestica/?name=MDP0000322220","MDP0000322220")</f>
        <v>MDP0000322220</v>
      </c>
      <c r="D19419">
        <v>55.55</v>
      </c>
      <c r="E19419">
        <v>45</v>
      </c>
      <c r="F19419">
        <v>20</v>
      </c>
      <c r="G19419">
        <v>0</v>
      </c>
      <c r="H19419">
        <v>6</v>
      </c>
      <c r="I19419">
        <v>50</v>
      </c>
      <c r="J19419">
        <v>1</v>
      </c>
      <c r="K19419">
        <v>1005</v>
      </c>
      <c r="L19419">
        <v>1049</v>
      </c>
      <c r="M19419">
        <v>1</v>
      </c>
      <c r="N19419">
        <v>7.7186299999999998E-10</v>
      </c>
      <c r="O19419">
        <v>142</v>
      </c>
    </row>
    <row r="19420" spans="1:15" x14ac:dyDescent="0.25">
      <c r="A19420" t="s">
        <v>19433</v>
      </c>
      <c r="B19420">
        <v>272</v>
      </c>
      <c r="C19420" s="1" t="str">
        <f>HYPERLINK("http://www.rosaceae.org/gb/gbrowse/malus_x_domestica/?name=MDP0000936441","MDP0000936441")</f>
        <v>MDP0000936441</v>
      </c>
      <c r="D19420">
        <v>44.19</v>
      </c>
      <c r="E19420">
        <v>224</v>
      </c>
      <c r="F19420">
        <v>125</v>
      </c>
      <c r="G19420">
        <v>30</v>
      </c>
      <c r="H19420">
        <v>15</v>
      </c>
      <c r="I19420">
        <v>220</v>
      </c>
      <c r="J19420">
        <v>1</v>
      </c>
      <c r="K19420">
        <v>10</v>
      </c>
      <c r="L19420">
        <v>221</v>
      </c>
      <c r="M19420">
        <v>1</v>
      </c>
      <c r="N19420">
        <v>3.7928999999999999E-45</v>
      </c>
      <c r="O19420">
        <v>453</v>
      </c>
    </row>
    <row r="19421" spans="1:15" x14ac:dyDescent="0.25">
      <c r="A19421" t="s">
        <v>19434</v>
      </c>
      <c r="B19421">
        <v>143</v>
      </c>
      <c r="C19421" s="1" t="str">
        <f>HYPERLINK("http://www.rosaceae.org/gb/gbrowse/malus_x_domestica/?name=MDP0000215386","MDP0000215386")</f>
        <v>MDP0000215386</v>
      </c>
      <c r="D19421">
        <v>58.51</v>
      </c>
      <c r="E19421">
        <v>135</v>
      </c>
      <c r="F19421">
        <v>56</v>
      </c>
      <c r="G19421">
        <v>1</v>
      </c>
      <c r="H19421">
        <v>9</v>
      </c>
      <c r="I19421">
        <v>143</v>
      </c>
      <c r="J19421">
        <v>1</v>
      </c>
      <c r="K19421">
        <v>145</v>
      </c>
      <c r="L19421">
        <v>278</v>
      </c>
      <c r="M19421">
        <v>1</v>
      </c>
      <c r="N19421">
        <v>5.5841499999999998E-42</v>
      </c>
      <c r="O19421">
        <v>421</v>
      </c>
    </row>
    <row r="19422" spans="1:15" x14ac:dyDescent="0.25">
      <c r="A19422" t="s">
        <v>19435</v>
      </c>
      <c r="B19422">
        <v>509</v>
      </c>
      <c r="C19422" s="1" t="str">
        <f>HYPERLINK("http://www.rosaceae.org/gb/gbrowse/malus_x_domestica/?name=MDP0000280674","MDP0000280674")</f>
        <v>MDP0000280674</v>
      </c>
      <c r="D19422">
        <v>75.290000000000006</v>
      </c>
      <c r="E19422">
        <v>510</v>
      </c>
      <c r="F19422">
        <v>126</v>
      </c>
      <c r="G19422">
        <v>8</v>
      </c>
      <c r="H19422">
        <v>1</v>
      </c>
      <c r="I19422">
        <v>507</v>
      </c>
      <c r="J19422">
        <v>1</v>
      </c>
      <c r="K19422">
        <v>1</v>
      </c>
      <c r="L19422">
        <v>505</v>
      </c>
      <c r="M19422">
        <v>1</v>
      </c>
      <c r="N19422">
        <v>0</v>
      </c>
      <c r="O19422">
        <v>1996</v>
      </c>
    </row>
    <row r="19423" spans="1:15" x14ac:dyDescent="0.25">
      <c r="A19423" t="s">
        <v>19436</v>
      </c>
      <c r="B19423">
        <v>1194</v>
      </c>
      <c r="C19423" s="1" t="str">
        <f>HYPERLINK("http://www.rosaceae.org/gb/gbrowse/malus_x_domestica/?name=MDP0000916321","MDP0000916321")</f>
        <v>MDP0000916321</v>
      </c>
      <c r="D19423">
        <v>82.14</v>
      </c>
      <c r="E19423">
        <v>1193</v>
      </c>
      <c r="F19423">
        <v>213</v>
      </c>
      <c r="G19423">
        <v>8</v>
      </c>
      <c r="H19423">
        <v>6</v>
      </c>
      <c r="I19423">
        <v>1194</v>
      </c>
      <c r="J19423">
        <v>1</v>
      </c>
      <c r="K19423">
        <v>5</v>
      </c>
      <c r="L19423">
        <v>1193</v>
      </c>
      <c r="M19423">
        <v>1</v>
      </c>
      <c r="N19423">
        <v>0</v>
      </c>
      <c r="O19423">
        <v>5348</v>
      </c>
    </row>
    <row r="19424" spans="1:15" x14ac:dyDescent="0.25">
      <c r="A19424" t="s">
        <v>19437</v>
      </c>
      <c r="B19424">
        <v>725</v>
      </c>
      <c r="C19424" s="1" t="str">
        <f>HYPERLINK("http://www.rosaceae.org/gb/gbrowse/malus_x_domestica/?name=MDP0000135255","MDP0000135255")</f>
        <v>MDP0000135255</v>
      </c>
      <c r="D19424">
        <v>73.489999999999995</v>
      </c>
      <c r="E19424">
        <v>732</v>
      </c>
      <c r="F19424">
        <v>194</v>
      </c>
      <c r="G19424">
        <v>16</v>
      </c>
      <c r="H19424">
        <v>1</v>
      </c>
      <c r="I19424">
        <v>724</v>
      </c>
      <c r="J19424">
        <v>1</v>
      </c>
      <c r="K19424">
        <v>1</v>
      </c>
      <c r="L19424">
        <v>724</v>
      </c>
      <c r="M19424">
        <v>1</v>
      </c>
      <c r="N19424">
        <v>0</v>
      </c>
      <c r="O19424">
        <v>2763</v>
      </c>
    </row>
    <row r="19425" spans="1:15" x14ac:dyDescent="0.25">
      <c r="A19425" t="s">
        <v>19438</v>
      </c>
      <c r="B19425">
        <v>418</v>
      </c>
      <c r="C19425" s="1" t="str">
        <f>HYPERLINK("http://www.rosaceae.org/gb/gbrowse/malus_x_domestica/?name=MDP0000239859","MDP0000239859")</f>
        <v>MDP0000239859</v>
      </c>
      <c r="D19425">
        <v>59.58</v>
      </c>
      <c r="E19425">
        <v>433</v>
      </c>
      <c r="F19425">
        <v>175</v>
      </c>
      <c r="G19425">
        <v>27</v>
      </c>
      <c r="H19425">
        <v>6</v>
      </c>
      <c r="I19425">
        <v>418</v>
      </c>
      <c r="J19425">
        <v>1</v>
      </c>
      <c r="K19425">
        <v>374</v>
      </c>
      <c r="L19425">
        <v>799</v>
      </c>
      <c r="M19425">
        <v>1</v>
      </c>
      <c r="N19425">
        <v>1.3856100000000001E-122</v>
      </c>
      <c r="O19425">
        <v>1123</v>
      </c>
    </row>
    <row r="19426" spans="1:15" x14ac:dyDescent="0.25">
      <c r="A19426" t="s">
        <v>19439</v>
      </c>
      <c r="B19426">
        <v>124</v>
      </c>
      <c r="C19426" s="1" t="str">
        <f>HYPERLINK("http://www.rosaceae.org/gb/gbrowse/malus_x_domestica/?name=MDP0000291665","MDP0000291665")</f>
        <v>MDP0000291665</v>
      </c>
      <c r="D19426">
        <v>37.369999999999997</v>
      </c>
      <c r="E19426">
        <v>99</v>
      </c>
      <c r="F19426">
        <v>62</v>
      </c>
      <c r="G19426">
        <v>18</v>
      </c>
      <c r="H19426">
        <v>1</v>
      </c>
      <c r="I19426">
        <v>98</v>
      </c>
      <c r="J19426">
        <v>1</v>
      </c>
      <c r="K19426">
        <v>33</v>
      </c>
      <c r="L19426">
        <v>114</v>
      </c>
      <c r="M19426">
        <v>1</v>
      </c>
      <c r="N19426">
        <v>1.14639E-8</v>
      </c>
      <c r="O19426">
        <v>132</v>
      </c>
    </row>
    <row r="19427" spans="1:15" x14ac:dyDescent="0.25">
      <c r="A19427" t="s">
        <v>19440</v>
      </c>
      <c r="B19427">
        <v>927</v>
      </c>
      <c r="C19427" s="1" t="str">
        <f>HYPERLINK("http://www.rosaceae.org/gb/gbrowse/malus_x_domestica/?name=MDP0000315678","MDP0000315678")</f>
        <v>MDP0000315678</v>
      </c>
      <c r="D19427">
        <v>60.94</v>
      </c>
      <c r="E19427">
        <v>297</v>
      </c>
      <c r="F19427">
        <v>116</v>
      </c>
      <c r="G19427">
        <v>77</v>
      </c>
      <c r="H19427">
        <v>705</v>
      </c>
      <c r="I19427">
        <v>924</v>
      </c>
      <c r="J19427">
        <v>1</v>
      </c>
      <c r="K19427">
        <v>254</v>
      </c>
      <c r="L19427">
        <v>550</v>
      </c>
      <c r="M19427">
        <v>1</v>
      </c>
      <c r="N19427">
        <v>4.09429E-90</v>
      </c>
      <c r="O19427">
        <v>846</v>
      </c>
    </row>
    <row r="19428" spans="1:15" x14ac:dyDescent="0.25">
      <c r="A19428" t="s">
        <v>19441</v>
      </c>
      <c r="B19428">
        <v>537</v>
      </c>
      <c r="C19428" s="1" t="str">
        <f>HYPERLINK("http://www.rosaceae.org/gb/gbrowse/malus_x_domestica/?name=MDP0000251959","MDP0000251959")</f>
        <v>MDP0000251959</v>
      </c>
      <c r="D19428">
        <v>59.71</v>
      </c>
      <c r="E19428">
        <v>211</v>
      </c>
      <c r="F19428">
        <v>85</v>
      </c>
      <c r="G19428">
        <v>16</v>
      </c>
      <c r="H19428">
        <v>298</v>
      </c>
      <c r="I19428">
        <v>492</v>
      </c>
      <c r="J19428">
        <v>1</v>
      </c>
      <c r="K19428">
        <v>1</v>
      </c>
      <c r="L19428">
        <v>211</v>
      </c>
      <c r="M19428">
        <v>1</v>
      </c>
      <c r="N19428">
        <v>3.7561899999999998E-57</v>
      </c>
      <c r="O19428">
        <v>560</v>
      </c>
    </row>
    <row r="19429" spans="1:15" x14ac:dyDescent="0.25">
      <c r="A19429" t="s">
        <v>19442</v>
      </c>
      <c r="B19429">
        <v>634</v>
      </c>
      <c r="C19429" s="1" t="str">
        <f>HYPERLINK("http://www.rosaceae.org/gb/gbrowse/malus_x_domestica/?name=MDP0000198183","MDP0000198183")</f>
        <v>MDP0000198183</v>
      </c>
      <c r="D19429">
        <v>97.68</v>
      </c>
      <c r="E19429">
        <v>216</v>
      </c>
      <c r="F19429">
        <v>5</v>
      </c>
      <c r="G19429">
        <v>0</v>
      </c>
      <c r="H19429">
        <v>418</v>
      </c>
      <c r="I19429">
        <v>633</v>
      </c>
      <c r="J19429">
        <v>1</v>
      </c>
      <c r="K19429">
        <v>1</v>
      </c>
      <c r="L19429">
        <v>216</v>
      </c>
      <c r="M19429">
        <v>1</v>
      </c>
      <c r="N19429">
        <v>1.7111799999999999E-123</v>
      </c>
      <c r="O19429">
        <v>1133</v>
      </c>
    </row>
    <row r="19430" spans="1:15" x14ac:dyDescent="0.25">
      <c r="A19430" t="s">
        <v>19443</v>
      </c>
      <c r="B19430">
        <v>229</v>
      </c>
      <c r="C19430" s="1" t="str">
        <f>HYPERLINK("http://www.rosaceae.org/gb/gbrowse/malus_x_domestica/?name=MDP0000311548","MDP0000311548")</f>
        <v>MDP0000311548</v>
      </c>
      <c r="D19430">
        <v>39.31</v>
      </c>
      <c r="E19430">
        <v>145</v>
      </c>
      <c r="F19430">
        <v>88</v>
      </c>
      <c r="G19430">
        <v>17</v>
      </c>
      <c r="H19430">
        <v>61</v>
      </c>
      <c r="I19430">
        <v>191</v>
      </c>
      <c r="J19430">
        <v>1</v>
      </c>
      <c r="K19430">
        <v>1</v>
      </c>
      <c r="L19430">
        <v>142</v>
      </c>
      <c r="M19430">
        <v>1</v>
      </c>
      <c r="N19430">
        <v>6.0843500000000001E-21</v>
      </c>
      <c r="O19430">
        <v>243</v>
      </c>
    </row>
    <row r="19431" spans="1:15" x14ac:dyDescent="0.25">
      <c r="A19431" t="s">
        <v>19444</v>
      </c>
      <c r="B19431">
        <v>921</v>
      </c>
      <c r="C19431" s="1" t="str">
        <f>HYPERLINK("http://www.rosaceae.org/gb/gbrowse/malus_x_domestica/?name=MDP0000671900","MDP0000671900")</f>
        <v>MDP0000671900</v>
      </c>
      <c r="D19431">
        <v>80.69</v>
      </c>
      <c r="E19431">
        <v>927</v>
      </c>
      <c r="F19431">
        <v>179</v>
      </c>
      <c r="G19431">
        <v>16</v>
      </c>
      <c r="H19431">
        <v>1</v>
      </c>
      <c r="I19431">
        <v>920</v>
      </c>
      <c r="J19431">
        <v>1</v>
      </c>
      <c r="K19431">
        <v>1</v>
      </c>
      <c r="L19431">
        <v>918</v>
      </c>
      <c r="M19431">
        <v>1</v>
      </c>
      <c r="N19431">
        <v>0</v>
      </c>
      <c r="O19431">
        <v>3963</v>
      </c>
    </row>
    <row r="19432" spans="1:15" x14ac:dyDescent="0.25">
      <c r="A19432" t="s">
        <v>19445</v>
      </c>
      <c r="B19432">
        <v>657</v>
      </c>
      <c r="C19432" s="1" t="str">
        <f>HYPERLINK("http://www.rosaceae.org/gb/gbrowse/malus_x_domestica/?name=MDP0000216466","MDP0000216466")</f>
        <v>MDP0000216466</v>
      </c>
      <c r="D19432">
        <v>44.4</v>
      </c>
      <c r="E19432">
        <v>581</v>
      </c>
      <c r="F19432">
        <v>323</v>
      </c>
      <c r="G19432">
        <v>13</v>
      </c>
      <c r="H19432">
        <v>74</v>
      </c>
      <c r="I19432">
        <v>645</v>
      </c>
      <c r="J19432">
        <v>1</v>
      </c>
      <c r="K19432">
        <v>59</v>
      </c>
      <c r="L19432">
        <v>635</v>
      </c>
      <c r="M19432">
        <v>1</v>
      </c>
      <c r="N19432">
        <v>1.0777500000000001E-139</v>
      </c>
      <c r="O19432">
        <v>1272</v>
      </c>
    </row>
    <row r="19433" spans="1:15" x14ac:dyDescent="0.25">
      <c r="A19433" t="s">
        <v>19446</v>
      </c>
      <c r="B19433">
        <v>307</v>
      </c>
      <c r="C19433" s="1" t="str">
        <f>HYPERLINK("http://www.rosaceae.org/gb/gbrowse/malus_x_domestica/?name=MDP0000291936","MDP0000291936")</f>
        <v>MDP0000291936</v>
      </c>
      <c r="D19433">
        <v>65.27</v>
      </c>
      <c r="E19433">
        <v>216</v>
      </c>
      <c r="F19433">
        <v>75</v>
      </c>
      <c r="G19433">
        <v>3</v>
      </c>
      <c r="H19433">
        <v>19</v>
      </c>
      <c r="I19433">
        <v>231</v>
      </c>
      <c r="J19433">
        <v>1</v>
      </c>
      <c r="K19433">
        <v>210</v>
      </c>
      <c r="L19433">
        <v>425</v>
      </c>
      <c r="M19433">
        <v>1</v>
      </c>
      <c r="N19433">
        <v>1.19118E-80</v>
      </c>
      <c r="O19433">
        <v>760</v>
      </c>
    </row>
    <row r="19434" spans="1:15" x14ac:dyDescent="0.25">
      <c r="A19434" t="s">
        <v>19447</v>
      </c>
      <c r="B19434">
        <v>171</v>
      </c>
      <c r="C19434" s="1" t="str">
        <f>HYPERLINK("http://www.rosaceae.org/gb/gbrowse/malus_x_domestica/?name=MDP0000468324","MDP0000468324")</f>
        <v>MDP0000468324</v>
      </c>
      <c r="D19434">
        <v>75.290000000000006</v>
      </c>
      <c r="E19434">
        <v>170</v>
      </c>
      <c r="F19434">
        <v>42</v>
      </c>
      <c r="G19434">
        <v>2</v>
      </c>
      <c r="H19434">
        <v>1</v>
      </c>
      <c r="I19434">
        <v>170</v>
      </c>
      <c r="J19434">
        <v>1</v>
      </c>
      <c r="K19434">
        <v>1</v>
      </c>
      <c r="L19434">
        <v>168</v>
      </c>
      <c r="M19434">
        <v>1</v>
      </c>
      <c r="N19434">
        <v>9.2270400000000001E-74</v>
      </c>
      <c r="O19434">
        <v>697</v>
      </c>
    </row>
    <row r="19435" spans="1:15" x14ac:dyDescent="0.25">
      <c r="A19435" t="s">
        <v>19448</v>
      </c>
      <c r="B19435">
        <v>371</v>
      </c>
      <c r="C19435" s="1" t="str">
        <f>HYPERLINK("http://www.rosaceae.org/gb/gbrowse/malus_x_domestica/?name=MDP0000255017","MDP0000255017")</f>
        <v>MDP0000255017</v>
      </c>
      <c r="D19435">
        <v>69.03</v>
      </c>
      <c r="E19435">
        <v>352</v>
      </c>
      <c r="F19435">
        <v>109</v>
      </c>
      <c r="G19435">
        <v>27</v>
      </c>
      <c r="H19435">
        <v>26</v>
      </c>
      <c r="I19435">
        <v>371</v>
      </c>
      <c r="J19435">
        <v>1</v>
      </c>
      <c r="K19435">
        <v>99</v>
      </c>
      <c r="L19435">
        <v>429</v>
      </c>
      <c r="M19435">
        <v>1</v>
      </c>
      <c r="N19435">
        <v>3.2310000000000001E-118</v>
      </c>
      <c r="O19435">
        <v>1085</v>
      </c>
    </row>
    <row r="19436" spans="1:15" x14ac:dyDescent="0.25">
      <c r="A19436" t="s">
        <v>19449</v>
      </c>
      <c r="B19436">
        <v>244</v>
      </c>
      <c r="C19436" s="1" t="str">
        <f>HYPERLINK("http://www.rosaceae.org/gb/gbrowse/malus_x_domestica/?name=MDP0000252992","MDP0000252992")</f>
        <v>MDP0000252992</v>
      </c>
      <c r="D19436">
        <v>50.61</v>
      </c>
      <c r="E19436">
        <v>243</v>
      </c>
      <c r="F19436">
        <v>120</v>
      </c>
      <c r="G19436">
        <v>15</v>
      </c>
      <c r="H19436">
        <v>1</v>
      </c>
      <c r="I19436">
        <v>232</v>
      </c>
      <c r="J19436">
        <v>1</v>
      </c>
      <c r="K19436">
        <v>1</v>
      </c>
      <c r="L19436">
        <v>239</v>
      </c>
      <c r="M19436">
        <v>1</v>
      </c>
      <c r="N19436">
        <v>1.39826E-54</v>
      </c>
      <c r="O19436">
        <v>533</v>
      </c>
    </row>
    <row r="19437" spans="1:15" x14ac:dyDescent="0.25">
      <c r="A19437" t="s">
        <v>19450</v>
      </c>
      <c r="B19437">
        <v>285</v>
      </c>
      <c r="C19437" s="1" t="str">
        <f>HYPERLINK("http://www.rosaceae.org/gb/gbrowse/malus_x_domestica/?name=MDP0000855406","MDP0000855406")</f>
        <v>MDP0000855406</v>
      </c>
      <c r="D19437">
        <v>27.08</v>
      </c>
      <c r="E19437">
        <v>144</v>
      </c>
      <c r="F19437">
        <v>105</v>
      </c>
      <c r="G19437">
        <v>9</v>
      </c>
      <c r="H19437">
        <v>2</v>
      </c>
      <c r="I19437">
        <v>144</v>
      </c>
      <c r="J19437">
        <v>1</v>
      </c>
      <c r="K19437">
        <v>4</v>
      </c>
      <c r="L19437">
        <v>139</v>
      </c>
      <c r="M19437">
        <v>1</v>
      </c>
      <c r="N19437">
        <v>4.5223700000000004E-9</v>
      </c>
      <c r="O19437">
        <v>142</v>
      </c>
    </row>
    <row r="19438" spans="1:15" x14ac:dyDescent="0.25">
      <c r="A19438" t="s">
        <v>19451</v>
      </c>
      <c r="B19438">
        <v>903</v>
      </c>
      <c r="C19438" s="1" t="str">
        <f>HYPERLINK("http://www.rosaceae.org/gb/gbrowse/malus_x_domestica/?name=MDP0000561556","MDP0000561556")</f>
        <v>MDP0000561556</v>
      </c>
      <c r="D19438">
        <v>49.38</v>
      </c>
      <c r="E19438">
        <v>970</v>
      </c>
      <c r="F19438">
        <v>491</v>
      </c>
      <c r="G19438">
        <v>101</v>
      </c>
      <c r="H19438">
        <v>23</v>
      </c>
      <c r="I19438">
        <v>900</v>
      </c>
      <c r="J19438">
        <v>1</v>
      </c>
      <c r="K19438">
        <v>438</v>
      </c>
      <c r="L19438">
        <v>1398</v>
      </c>
      <c r="M19438">
        <v>1</v>
      </c>
      <c r="N19438">
        <v>0</v>
      </c>
      <c r="O19438">
        <v>1952</v>
      </c>
    </row>
    <row r="19439" spans="1:15" x14ac:dyDescent="0.25">
      <c r="A19439" t="s">
        <v>19452</v>
      </c>
      <c r="B19439">
        <v>99</v>
      </c>
      <c r="C19439" s="1" t="str">
        <f>HYPERLINK("http://www.rosaceae.org/gb/gbrowse/malus_x_domestica/?name=MDP0000699531","MDP0000699531")</f>
        <v>MDP0000699531</v>
      </c>
      <c r="D19439">
        <v>61.32</v>
      </c>
      <c r="E19439">
        <v>106</v>
      </c>
      <c r="F19439">
        <v>41</v>
      </c>
      <c r="G19439">
        <v>7</v>
      </c>
      <c r="H19439">
        <v>1</v>
      </c>
      <c r="I19439">
        <v>99</v>
      </c>
      <c r="J19439">
        <v>1</v>
      </c>
      <c r="K19439">
        <v>1</v>
      </c>
      <c r="L19439">
        <v>106</v>
      </c>
      <c r="M19439">
        <v>1</v>
      </c>
      <c r="N19439">
        <v>3.9356699999999999E-30</v>
      </c>
      <c r="O19439">
        <v>317</v>
      </c>
    </row>
    <row r="19440" spans="1:15" x14ac:dyDescent="0.25">
      <c r="A19440" t="s">
        <v>19453</v>
      </c>
      <c r="B19440">
        <v>807</v>
      </c>
      <c r="C19440" s="1" t="str">
        <f>HYPERLINK("http://www.rosaceae.org/gb/gbrowse/malus_x_domestica/?name=MDP0000265885","MDP0000265885")</f>
        <v>MDP0000265885</v>
      </c>
      <c r="D19440">
        <v>35.57</v>
      </c>
      <c r="E19440">
        <v>891</v>
      </c>
      <c r="F19440">
        <v>574</v>
      </c>
      <c r="G19440">
        <v>172</v>
      </c>
      <c r="H19440">
        <v>56</v>
      </c>
      <c r="I19440">
        <v>807</v>
      </c>
      <c r="J19440">
        <v>1</v>
      </c>
      <c r="K19440">
        <v>298</v>
      </c>
      <c r="L19440">
        <v>1155</v>
      </c>
      <c r="M19440">
        <v>1</v>
      </c>
      <c r="N19440">
        <v>7.0929699999999997E-109</v>
      </c>
      <c r="O19440">
        <v>1007</v>
      </c>
    </row>
    <row r="19441" spans="1:15" x14ac:dyDescent="0.25">
      <c r="A19441" t="s">
        <v>19454</v>
      </c>
      <c r="B19441">
        <v>180</v>
      </c>
      <c r="C19441" s="1" t="str">
        <f>HYPERLINK("http://www.rosaceae.org/gb/gbrowse/malus_x_domestica/?name=MDP0000379414","MDP0000379414")</f>
        <v>MDP0000379414</v>
      </c>
      <c r="D19441">
        <v>35.44</v>
      </c>
      <c r="E19441">
        <v>158</v>
      </c>
      <c r="F19441">
        <v>102</v>
      </c>
      <c r="G19441">
        <v>32</v>
      </c>
      <c r="H19441">
        <v>26</v>
      </c>
      <c r="I19441">
        <v>179</v>
      </c>
      <c r="J19441">
        <v>1</v>
      </c>
      <c r="K19441">
        <v>50</v>
      </c>
      <c r="L19441">
        <v>179</v>
      </c>
      <c r="M19441">
        <v>1</v>
      </c>
      <c r="N19441">
        <v>9.2114699999999998E-14</v>
      </c>
      <c r="O19441">
        <v>179</v>
      </c>
    </row>
    <row r="19442" spans="1:15" x14ac:dyDescent="0.25">
      <c r="A19442" t="s">
        <v>19455</v>
      </c>
      <c r="B19442">
        <v>724</v>
      </c>
      <c r="C19442" s="1" t="str">
        <f>HYPERLINK("http://www.rosaceae.org/gb/gbrowse/malus_x_domestica/?name=MDP0000287905","MDP0000287905")</f>
        <v>MDP0000287905</v>
      </c>
      <c r="D19442">
        <v>78.88</v>
      </c>
      <c r="E19442">
        <v>753</v>
      </c>
      <c r="F19442">
        <v>159</v>
      </c>
      <c r="G19442">
        <v>32</v>
      </c>
      <c r="H19442">
        <v>1</v>
      </c>
      <c r="I19442">
        <v>724</v>
      </c>
      <c r="J19442">
        <v>1</v>
      </c>
      <c r="K19442">
        <v>1</v>
      </c>
      <c r="L19442">
        <v>750</v>
      </c>
      <c r="M19442">
        <v>1</v>
      </c>
      <c r="N19442">
        <v>0</v>
      </c>
      <c r="O19442">
        <v>3162</v>
      </c>
    </row>
    <row r="19443" spans="1:15" x14ac:dyDescent="0.25">
      <c r="A19443" t="s">
        <v>19456</v>
      </c>
      <c r="B19443">
        <v>400</v>
      </c>
      <c r="C19443" s="1" t="str">
        <f>HYPERLINK("http://www.rosaceae.org/gb/gbrowse/malus_x_domestica/?name=MDP0000794936","MDP0000794936")</f>
        <v>MDP0000794936</v>
      </c>
      <c r="D19443">
        <v>75</v>
      </c>
      <c r="E19443">
        <v>40</v>
      </c>
      <c r="F19443">
        <v>10</v>
      </c>
      <c r="G19443">
        <v>0</v>
      </c>
      <c r="H19443">
        <v>263</v>
      </c>
      <c r="I19443">
        <v>302</v>
      </c>
      <c r="J19443">
        <v>1</v>
      </c>
      <c r="K19443">
        <v>149</v>
      </c>
      <c r="L19443">
        <v>188</v>
      </c>
      <c r="M19443">
        <v>1</v>
      </c>
      <c r="N19443">
        <v>5.1267800000000004E-9</v>
      </c>
      <c r="O19443">
        <v>143</v>
      </c>
    </row>
    <row r="19444" spans="1:15" x14ac:dyDescent="0.25">
      <c r="A19444" t="s">
        <v>19457</v>
      </c>
      <c r="B19444">
        <v>126</v>
      </c>
      <c r="C19444" s="1" t="str">
        <f>HYPERLINK("http://www.rosaceae.org/gb/gbrowse/malus_x_domestica/?name=MDP0000318115","MDP0000318115")</f>
        <v>MDP0000318115</v>
      </c>
      <c r="D19444">
        <v>66.66</v>
      </c>
      <c r="E19444">
        <v>48</v>
      </c>
      <c r="F19444">
        <v>16</v>
      </c>
      <c r="G19444">
        <v>0</v>
      </c>
      <c r="H19444">
        <v>1</v>
      </c>
      <c r="I19444">
        <v>48</v>
      </c>
      <c r="J19444">
        <v>1</v>
      </c>
      <c r="K19444">
        <v>1</v>
      </c>
      <c r="L19444">
        <v>48</v>
      </c>
      <c r="M19444">
        <v>1</v>
      </c>
      <c r="N19444">
        <v>1.58563E-13</v>
      </c>
      <c r="O19444">
        <v>174</v>
      </c>
    </row>
    <row r="19445" spans="1:15" x14ac:dyDescent="0.25">
      <c r="A19445" t="s">
        <v>19458</v>
      </c>
      <c r="B19445">
        <v>488</v>
      </c>
      <c r="C19445" s="1" t="str">
        <f>HYPERLINK("http://www.rosaceae.org/gb/gbrowse/malus_x_domestica/?name=MDP0000277791","MDP0000277791")</f>
        <v>MDP0000277791</v>
      </c>
      <c r="D19445">
        <v>70.27</v>
      </c>
      <c r="E19445">
        <v>370</v>
      </c>
      <c r="F19445">
        <v>110</v>
      </c>
      <c r="G19445">
        <v>31</v>
      </c>
      <c r="H19445">
        <v>7</v>
      </c>
      <c r="I19445">
        <v>365</v>
      </c>
      <c r="J19445">
        <v>1</v>
      </c>
      <c r="K19445">
        <v>16</v>
      </c>
      <c r="L19445">
        <v>365</v>
      </c>
      <c r="M19445">
        <v>1</v>
      </c>
      <c r="N19445">
        <v>6.31751E-141</v>
      </c>
      <c r="O19445">
        <v>1282</v>
      </c>
    </row>
    <row r="19446" spans="1:15" x14ac:dyDescent="0.25">
      <c r="A19446" t="s">
        <v>19459</v>
      </c>
      <c r="B19446">
        <v>202</v>
      </c>
      <c r="C19446" s="1" t="str">
        <f>HYPERLINK("http://www.rosaceae.org/gb/gbrowse/malus_x_domestica/?name=MDP0000429216","MDP0000429216")</f>
        <v>MDP0000429216</v>
      </c>
      <c r="D19446">
        <v>46.34</v>
      </c>
      <c r="E19446">
        <v>205</v>
      </c>
      <c r="F19446">
        <v>110</v>
      </c>
      <c r="G19446">
        <v>26</v>
      </c>
      <c r="H19446">
        <v>3</v>
      </c>
      <c r="I19446">
        <v>199</v>
      </c>
      <c r="J19446">
        <v>1</v>
      </c>
      <c r="K19446">
        <v>7</v>
      </c>
      <c r="L19446">
        <v>193</v>
      </c>
      <c r="M19446">
        <v>1</v>
      </c>
      <c r="N19446">
        <v>2.7489900000000001E-29</v>
      </c>
      <c r="O19446">
        <v>314</v>
      </c>
    </row>
    <row r="19447" spans="1:15" x14ac:dyDescent="0.25">
      <c r="A19447" t="s">
        <v>19460</v>
      </c>
      <c r="B19447">
        <v>208</v>
      </c>
      <c r="C19447" s="1" t="str">
        <f>HYPERLINK("http://www.rosaceae.org/gb/gbrowse/malus_x_domestica/?name=MDP0000248776","MDP0000248776")</f>
        <v>MDP0000248776</v>
      </c>
      <c r="D19447">
        <v>69.81</v>
      </c>
      <c r="E19447">
        <v>53</v>
      </c>
      <c r="F19447">
        <v>16</v>
      </c>
      <c r="G19447">
        <v>0</v>
      </c>
      <c r="H19447">
        <v>156</v>
      </c>
      <c r="I19447">
        <v>208</v>
      </c>
      <c r="J19447">
        <v>1</v>
      </c>
      <c r="K19447">
        <v>152</v>
      </c>
      <c r="L19447">
        <v>204</v>
      </c>
      <c r="M19447">
        <v>1</v>
      </c>
      <c r="N19447">
        <v>3.4900800000000002E-17</v>
      </c>
      <c r="O19447">
        <v>210</v>
      </c>
    </row>
    <row r="19448" spans="1:15" x14ac:dyDescent="0.25">
      <c r="A19448" t="s">
        <v>19461</v>
      </c>
      <c r="B19448">
        <v>191</v>
      </c>
      <c r="C19448" s="1" t="str">
        <f>HYPERLINK("http://www.rosaceae.org/gb/gbrowse/malus_x_domestica/?name=MDP0000578301","MDP0000578301")</f>
        <v>MDP0000578301</v>
      </c>
      <c r="D19448">
        <v>45.63</v>
      </c>
      <c r="E19448">
        <v>103</v>
      </c>
      <c r="F19448">
        <v>56</v>
      </c>
      <c r="G19448">
        <v>0</v>
      </c>
      <c r="H19448">
        <v>1</v>
      </c>
      <c r="I19448">
        <v>103</v>
      </c>
      <c r="J19448">
        <v>1</v>
      </c>
      <c r="K19448">
        <v>941</v>
      </c>
      <c r="L19448">
        <v>1043</v>
      </c>
      <c r="M19448">
        <v>1</v>
      </c>
      <c r="N19448">
        <v>2.4231599999999998E-21</v>
      </c>
      <c r="O19448">
        <v>245</v>
      </c>
    </row>
    <row r="19449" spans="1:15" x14ac:dyDescent="0.25">
      <c r="A19449" t="s">
        <v>19462</v>
      </c>
      <c r="B19449">
        <v>192</v>
      </c>
      <c r="C19449" s="1" t="str">
        <f>HYPERLINK("http://www.rosaceae.org/gb/gbrowse/malus_x_domestica/?name=MDP0000364097","MDP0000364097")</f>
        <v>MDP0000364097</v>
      </c>
      <c r="D19449">
        <v>66.33</v>
      </c>
      <c r="E19449">
        <v>101</v>
      </c>
      <c r="F19449">
        <v>34</v>
      </c>
      <c r="G19449">
        <v>0</v>
      </c>
      <c r="H19449">
        <v>70</v>
      </c>
      <c r="I19449">
        <v>170</v>
      </c>
      <c r="J19449">
        <v>1</v>
      </c>
      <c r="K19449">
        <v>2</v>
      </c>
      <c r="L19449">
        <v>102</v>
      </c>
      <c r="M19449">
        <v>1</v>
      </c>
      <c r="N19449">
        <v>2.5242700000000001E-32</v>
      </c>
      <c r="O19449">
        <v>340</v>
      </c>
    </row>
    <row r="19450" spans="1:15" x14ac:dyDescent="0.25">
      <c r="A19450" t="s">
        <v>19463</v>
      </c>
      <c r="B19450">
        <v>141</v>
      </c>
      <c r="C19450" s="1" t="str">
        <f>HYPERLINK("http://www.rosaceae.org/gb/gbrowse/malus_x_domestica/?name=MDP0000943290","MDP0000943290")</f>
        <v>MDP0000943290</v>
      </c>
      <c r="D19450">
        <v>50.35</v>
      </c>
      <c r="E19450">
        <v>141</v>
      </c>
      <c r="F19450">
        <v>70</v>
      </c>
      <c r="G19450">
        <v>7</v>
      </c>
      <c r="H19450">
        <v>1</v>
      </c>
      <c r="I19450">
        <v>140</v>
      </c>
      <c r="J19450">
        <v>1</v>
      </c>
      <c r="K19450">
        <v>1</v>
      </c>
      <c r="L19450">
        <v>135</v>
      </c>
      <c r="M19450">
        <v>1</v>
      </c>
      <c r="N19450">
        <v>6.4152500000000002E-27</v>
      </c>
      <c r="O19450">
        <v>291</v>
      </c>
    </row>
    <row r="19451" spans="1:15" x14ac:dyDescent="0.25">
      <c r="A19451" t="s">
        <v>19464</v>
      </c>
      <c r="B19451">
        <v>466</v>
      </c>
      <c r="C19451" s="1" t="str">
        <f>HYPERLINK("http://www.rosaceae.org/gb/gbrowse/malus_x_domestica/?name=MDP0000518482","MDP0000518482")</f>
        <v>MDP0000518482</v>
      </c>
      <c r="D19451">
        <v>54.56</v>
      </c>
      <c r="E19451">
        <v>460</v>
      </c>
      <c r="F19451">
        <v>209</v>
      </c>
      <c r="G19451">
        <v>14</v>
      </c>
      <c r="H19451">
        <v>1</v>
      </c>
      <c r="I19451">
        <v>456</v>
      </c>
      <c r="J19451">
        <v>1</v>
      </c>
      <c r="K19451">
        <v>389</v>
      </c>
      <c r="L19451">
        <v>838</v>
      </c>
      <c r="M19451">
        <v>1</v>
      </c>
      <c r="N19451">
        <v>2.78589E-141</v>
      </c>
      <c r="O19451">
        <v>1285</v>
      </c>
    </row>
    <row r="19452" spans="1:15" x14ac:dyDescent="0.25">
      <c r="A19452" t="s">
        <v>19465</v>
      </c>
      <c r="B19452">
        <v>1531</v>
      </c>
      <c r="C19452" s="1" t="str">
        <f>HYPERLINK("http://www.rosaceae.org/gb/gbrowse/malus_x_domestica/?name=MDP0000844500","MDP0000844500")</f>
        <v>MDP0000844500</v>
      </c>
      <c r="D19452">
        <v>90.77</v>
      </c>
      <c r="E19452">
        <v>347</v>
      </c>
      <c r="F19452">
        <v>32</v>
      </c>
      <c r="G19452">
        <v>0</v>
      </c>
      <c r="H19452">
        <v>469</v>
      </c>
      <c r="I19452">
        <v>815</v>
      </c>
      <c r="J19452">
        <v>1</v>
      </c>
      <c r="K19452">
        <v>282</v>
      </c>
      <c r="L19452">
        <v>628</v>
      </c>
      <c r="M19452">
        <v>1</v>
      </c>
      <c r="N19452">
        <v>0</v>
      </c>
      <c r="O19452">
        <v>1684</v>
      </c>
    </row>
    <row r="19453" spans="1:15" x14ac:dyDescent="0.25">
      <c r="A19453" t="s">
        <v>19466</v>
      </c>
      <c r="B19453">
        <v>193</v>
      </c>
      <c r="C19453" s="1" t="str">
        <f>HYPERLINK("http://www.rosaceae.org/gb/gbrowse/malus_x_domestica/?name=MDP0000197694","MDP0000197694")</f>
        <v>MDP0000197694</v>
      </c>
      <c r="D19453">
        <v>95.85</v>
      </c>
      <c r="E19453">
        <v>193</v>
      </c>
      <c r="F19453">
        <v>8</v>
      </c>
      <c r="G19453">
        <v>0</v>
      </c>
      <c r="H19453">
        <v>1</v>
      </c>
      <c r="I19453">
        <v>193</v>
      </c>
      <c r="J19453">
        <v>1</v>
      </c>
      <c r="K19453">
        <v>1</v>
      </c>
      <c r="L19453">
        <v>193</v>
      </c>
      <c r="M19453">
        <v>1</v>
      </c>
      <c r="N19453">
        <v>2.3539500000000001E-108</v>
      </c>
      <c r="O19453">
        <v>996</v>
      </c>
    </row>
    <row r="19454" spans="1:15" x14ac:dyDescent="0.25">
      <c r="A19454" t="s">
        <v>19467</v>
      </c>
      <c r="B19454">
        <v>483</v>
      </c>
      <c r="C19454" s="1" t="str">
        <f>HYPERLINK("http://www.rosaceae.org/gb/gbrowse/malus_x_domestica/?name=MDP0000261597","MDP0000261597")</f>
        <v>MDP0000261597</v>
      </c>
      <c r="D19454">
        <v>70.05</v>
      </c>
      <c r="E19454">
        <v>197</v>
      </c>
      <c r="F19454">
        <v>59</v>
      </c>
      <c r="G19454">
        <v>8</v>
      </c>
      <c r="H19454">
        <v>1</v>
      </c>
      <c r="I19454">
        <v>194</v>
      </c>
      <c r="J19454">
        <v>1</v>
      </c>
      <c r="K19454">
        <v>3</v>
      </c>
      <c r="L19454">
        <v>194</v>
      </c>
      <c r="M19454">
        <v>1</v>
      </c>
      <c r="N19454">
        <v>7.0324400000000001E-71</v>
      </c>
      <c r="O19454">
        <v>678</v>
      </c>
    </row>
    <row r="19455" spans="1:15" x14ac:dyDescent="0.25">
      <c r="A19455" t="s">
        <v>19468</v>
      </c>
      <c r="B19455">
        <v>582</v>
      </c>
      <c r="C19455" s="1" t="str">
        <f>HYPERLINK("http://www.rosaceae.org/gb/gbrowse/malus_x_domestica/?name=MDP0000123981","MDP0000123981")</f>
        <v>MDP0000123981</v>
      </c>
      <c r="D19455">
        <v>72.400000000000006</v>
      </c>
      <c r="E19455">
        <v>511</v>
      </c>
      <c r="F19455">
        <v>141</v>
      </c>
      <c r="G19455">
        <v>26</v>
      </c>
      <c r="H19455">
        <v>72</v>
      </c>
      <c r="I19455">
        <v>582</v>
      </c>
      <c r="J19455">
        <v>1</v>
      </c>
      <c r="K19455">
        <v>1</v>
      </c>
      <c r="L19455">
        <v>485</v>
      </c>
      <c r="M19455">
        <v>1</v>
      </c>
      <c r="N19455">
        <v>0</v>
      </c>
      <c r="O19455">
        <v>1842</v>
      </c>
    </row>
    <row r="19456" spans="1:15" x14ac:dyDescent="0.25">
      <c r="A19456" t="s">
        <v>19469</v>
      </c>
      <c r="B19456">
        <v>354</v>
      </c>
      <c r="C19456" s="1" t="str">
        <f>HYPERLINK("http://www.rosaceae.org/gb/gbrowse/malus_x_domestica/?name=MDP0000254363","MDP0000254363")</f>
        <v>MDP0000254363</v>
      </c>
      <c r="D19456">
        <v>67.84</v>
      </c>
      <c r="E19456">
        <v>255</v>
      </c>
      <c r="F19456">
        <v>82</v>
      </c>
      <c r="G19456">
        <v>24</v>
      </c>
      <c r="H19456">
        <v>1</v>
      </c>
      <c r="I19456">
        <v>254</v>
      </c>
      <c r="J19456">
        <v>1</v>
      </c>
      <c r="K19456">
        <v>1</v>
      </c>
      <c r="L19456">
        <v>232</v>
      </c>
      <c r="M19456">
        <v>1</v>
      </c>
      <c r="N19456">
        <v>2.64593E-90</v>
      </c>
      <c r="O19456">
        <v>844</v>
      </c>
    </row>
    <row r="19457" spans="1:15" x14ac:dyDescent="0.25">
      <c r="A19457" t="s">
        <v>19470</v>
      </c>
      <c r="B19457">
        <v>297</v>
      </c>
      <c r="C19457" s="1" t="str">
        <f>HYPERLINK("http://www.rosaceae.org/gb/gbrowse/malus_x_domestica/?name=MDP0000867772","MDP0000867772")</f>
        <v>MDP0000867772</v>
      </c>
      <c r="D19457">
        <v>55.71</v>
      </c>
      <c r="E19457">
        <v>271</v>
      </c>
      <c r="F19457">
        <v>120</v>
      </c>
      <c r="G19457">
        <v>60</v>
      </c>
      <c r="H19457">
        <v>87</v>
      </c>
      <c r="I19457">
        <v>297</v>
      </c>
      <c r="J19457">
        <v>1</v>
      </c>
      <c r="K19457">
        <v>633</v>
      </c>
      <c r="L19457">
        <v>903</v>
      </c>
      <c r="M19457">
        <v>1</v>
      </c>
      <c r="N19457">
        <v>3.0147299999999998E-71</v>
      </c>
      <c r="O19457">
        <v>678</v>
      </c>
    </row>
    <row r="19458" spans="1:15" x14ac:dyDescent="0.25">
      <c r="A19458" t="s">
        <v>19471</v>
      </c>
      <c r="B19458">
        <v>154</v>
      </c>
      <c r="C19458" s="1" t="str">
        <f>HYPERLINK("http://www.rosaceae.org/gb/gbrowse/malus_x_domestica/?name=MDP0000273830","MDP0000273830")</f>
        <v>MDP0000273830</v>
      </c>
      <c r="D19458">
        <v>65.98</v>
      </c>
      <c r="E19458">
        <v>147</v>
      </c>
      <c r="F19458">
        <v>50</v>
      </c>
      <c r="G19458">
        <v>10</v>
      </c>
      <c r="H19458">
        <v>8</v>
      </c>
      <c r="I19458">
        <v>154</v>
      </c>
      <c r="J19458">
        <v>1</v>
      </c>
      <c r="K19458">
        <v>62</v>
      </c>
      <c r="L19458">
        <v>198</v>
      </c>
      <c r="M19458">
        <v>1</v>
      </c>
      <c r="N19458">
        <v>8.2446900000000005E-50</v>
      </c>
      <c r="O19458">
        <v>489</v>
      </c>
    </row>
    <row r="19459" spans="1:15" x14ac:dyDescent="0.25">
      <c r="A19459" t="s">
        <v>19472</v>
      </c>
      <c r="B19459">
        <v>152</v>
      </c>
      <c r="C19459" s="1" t="str">
        <f>HYPERLINK("http://www.rosaceae.org/gb/gbrowse/malus_x_domestica/?name=MDP0000159668","MDP0000159668")</f>
        <v>MDP0000159668</v>
      </c>
      <c r="D19459">
        <v>83.22</v>
      </c>
      <c r="E19459">
        <v>155</v>
      </c>
      <c r="F19459">
        <v>26</v>
      </c>
      <c r="G19459">
        <v>4</v>
      </c>
      <c r="H19459">
        <v>1</v>
      </c>
      <c r="I19459">
        <v>152</v>
      </c>
      <c r="J19459">
        <v>1</v>
      </c>
      <c r="K19459">
        <v>1</v>
      </c>
      <c r="L19459">
        <v>154</v>
      </c>
      <c r="M19459">
        <v>1</v>
      </c>
      <c r="N19459">
        <v>4.2894100000000002E-70</v>
      </c>
      <c r="O19459">
        <v>664</v>
      </c>
    </row>
    <row r="19460" spans="1:15" x14ac:dyDescent="0.25">
      <c r="A19460" t="s">
        <v>19473</v>
      </c>
      <c r="B19460">
        <v>411</v>
      </c>
      <c r="C19460" s="1" t="str">
        <f>HYPERLINK("http://www.rosaceae.org/gb/gbrowse/malus_x_domestica/?name=MDP0000154240","MDP0000154240")</f>
        <v>MDP0000154240</v>
      </c>
      <c r="D19460">
        <v>59.33</v>
      </c>
      <c r="E19460">
        <v>391</v>
      </c>
      <c r="F19460">
        <v>159</v>
      </c>
      <c r="G19460">
        <v>11</v>
      </c>
      <c r="H19460">
        <v>13</v>
      </c>
      <c r="I19460">
        <v>397</v>
      </c>
      <c r="J19460">
        <v>1</v>
      </c>
      <c r="K19460">
        <v>9</v>
      </c>
      <c r="L19460">
        <v>394</v>
      </c>
      <c r="M19460">
        <v>1</v>
      </c>
      <c r="N19460">
        <v>1.5201600000000001E-127</v>
      </c>
      <c r="O19460">
        <v>1165</v>
      </c>
    </row>
    <row r="19461" spans="1:15" x14ac:dyDescent="0.25">
      <c r="A19461" t="s">
        <v>19474</v>
      </c>
      <c r="B19461">
        <v>346</v>
      </c>
      <c r="C19461" s="1" t="str">
        <f>HYPERLINK("http://www.rosaceae.org/gb/gbrowse/malus_x_domestica/?name=MDP0000646524","MDP0000646524")</f>
        <v>MDP0000646524</v>
      </c>
      <c r="D19461">
        <v>88.68</v>
      </c>
      <c r="E19461">
        <v>380</v>
      </c>
      <c r="F19461">
        <v>43</v>
      </c>
      <c r="G19461">
        <v>36</v>
      </c>
      <c r="H19461">
        <v>1</v>
      </c>
      <c r="I19461">
        <v>344</v>
      </c>
      <c r="J19461">
        <v>1</v>
      </c>
      <c r="K19461">
        <v>464</v>
      </c>
      <c r="L19461">
        <v>843</v>
      </c>
      <c r="M19461">
        <v>1</v>
      </c>
      <c r="N19461">
        <v>0</v>
      </c>
      <c r="O19461">
        <v>1676</v>
      </c>
    </row>
    <row r="19462" spans="1:15" x14ac:dyDescent="0.25">
      <c r="A19462" t="s">
        <v>19475</v>
      </c>
      <c r="B19462">
        <v>655</v>
      </c>
      <c r="C19462" s="1" t="str">
        <f>HYPERLINK("http://www.rosaceae.org/gb/gbrowse/malus_x_domestica/?name=MDP0000297307","MDP0000297307")</f>
        <v>MDP0000297307</v>
      </c>
      <c r="D19462">
        <v>56.66</v>
      </c>
      <c r="E19462">
        <v>660</v>
      </c>
      <c r="F19462">
        <v>286</v>
      </c>
      <c r="G19462">
        <v>61</v>
      </c>
      <c r="H19462">
        <v>16</v>
      </c>
      <c r="I19462">
        <v>655</v>
      </c>
      <c r="J19462">
        <v>1</v>
      </c>
      <c r="K19462">
        <v>17</v>
      </c>
      <c r="L19462">
        <v>635</v>
      </c>
      <c r="M19462">
        <v>1</v>
      </c>
      <c r="N19462">
        <v>0</v>
      </c>
      <c r="O19462">
        <v>1635</v>
      </c>
    </row>
    <row r="19463" spans="1:15" x14ac:dyDescent="0.25">
      <c r="A19463" t="s">
        <v>19476</v>
      </c>
      <c r="B19463">
        <v>404</v>
      </c>
      <c r="C19463" s="1" t="str">
        <f>HYPERLINK("http://www.rosaceae.org/gb/gbrowse/malus_x_domestica/?name=MDP0000316225","MDP0000316225")</f>
        <v>MDP0000316225</v>
      </c>
      <c r="D19463">
        <v>66.25</v>
      </c>
      <c r="E19463">
        <v>160</v>
      </c>
      <c r="F19463">
        <v>54</v>
      </c>
      <c r="G19463">
        <v>0</v>
      </c>
      <c r="H19463">
        <v>151</v>
      </c>
      <c r="I19463">
        <v>310</v>
      </c>
      <c r="J19463">
        <v>1</v>
      </c>
      <c r="K19463">
        <v>303</v>
      </c>
      <c r="L19463">
        <v>462</v>
      </c>
      <c r="M19463">
        <v>1</v>
      </c>
      <c r="N19463">
        <v>3.69696E-61</v>
      </c>
      <c r="O19463">
        <v>593</v>
      </c>
    </row>
    <row r="19464" spans="1:15" x14ac:dyDescent="0.25">
      <c r="A19464" t="s">
        <v>19477</v>
      </c>
      <c r="B19464">
        <v>211</v>
      </c>
      <c r="C19464" s="1" t="str">
        <f>HYPERLINK("http://www.rosaceae.org/gb/gbrowse/malus_x_domestica/?name=MDP0000640146","MDP0000640146")</f>
        <v>MDP0000640146</v>
      </c>
      <c r="D19464">
        <v>50.73</v>
      </c>
      <c r="E19464">
        <v>205</v>
      </c>
      <c r="F19464">
        <v>101</v>
      </c>
      <c r="G19464">
        <v>2</v>
      </c>
      <c r="H19464">
        <v>1</v>
      </c>
      <c r="I19464">
        <v>205</v>
      </c>
      <c r="J19464">
        <v>1</v>
      </c>
      <c r="K19464">
        <v>98</v>
      </c>
      <c r="L19464">
        <v>300</v>
      </c>
      <c r="M19464">
        <v>1</v>
      </c>
      <c r="N19464">
        <v>1.8080400000000001E-48</v>
      </c>
      <c r="O19464">
        <v>480</v>
      </c>
    </row>
    <row r="19465" spans="1:15" x14ac:dyDescent="0.25">
      <c r="A19465" t="s">
        <v>19478</v>
      </c>
      <c r="B19465">
        <v>147</v>
      </c>
      <c r="C19465" s="1" t="str">
        <f>HYPERLINK("http://www.rosaceae.org/gb/gbrowse/malus_x_domestica/?name=MDP0000202697","MDP0000202697")</f>
        <v>MDP0000202697</v>
      </c>
      <c r="D19465">
        <v>71.72</v>
      </c>
      <c r="E19465">
        <v>145</v>
      </c>
      <c r="F19465">
        <v>41</v>
      </c>
      <c r="G19465">
        <v>19</v>
      </c>
      <c r="H19465">
        <v>20</v>
      </c>
      <c r="I19465">
        <v>145</v>
      </c>
      <c r="J19465">
        <v>1</v>
      </c>
      <c r="K19465">
        <v>19</v>
      </c>
      <c r="L19465">
        <v>163</v>
      </c>
      <c r="M19465">
        <v>1</v>
      </c>
      <c r="N19465">
        <v>4.1412200000000001E-53</v>
      </c>
      <c r="O19465">
        <v>517</v>
      </c>
    </row>
    <row r="19466" spans="1:15" x14ac:dyDescent="0.25">
      <c r="A19466" t="s">
        <v>19479</v>
      </c>
      <c r="B19466">
        <v>491</v>
      </c>
      <c r="C19466" s="1" t="str">
        <f>HYPERLINK("http://www.rosaceae.org/gb/gbrowse/malus_x_domestica/?name=MDP0000182890","MDP0000182890")</f>
        <v>MDP0000182890</v>
      </c>
      <c r="D19466">
        <v>88.34</v>
      </c>
      <c r="E19466">
        <v>309</v>
      </c>
      <c r="F19466">
        <v>36</v>
      </c>
      <c r="G19466">
        <v>0</v>
      </c>
      <c r="H19466">
        <v>178</v>
      </c>
      <c r="I19466">
        <v>486</v>
      </c>
      <c r="J19466">
        <v>1</v>
      </c>
      <c r="K19466">
        <v>9</v>
      </c>
      <c r="L19466">
        <v>317</v>
      </c>
      <c r="M19466">
        <v>1</v>
      </c>
      <c r="N19466">
        <v>3.5320800000000003E-159</v>
      </c>
      <c r="O19466">
        <v>1439</v>
      </c>
    </row>
    <row r="19467" spans="1:15" x14ac:dyDescent="0.25">
      <c r="A19467" t="s">
        <v>19480</v>
      </c>
      <c r="B19467">
        <v>256</v>
      </c>
      <c r="C19467" s="1" t="str">
        <f>HYPERLINK("http://www.rosaceae.org/gb/gbrowse/malus_x_domestica/?name=MDP0000230141","MDP0000230141")</f>
        <v>MDP0000230141</v>
      </c>
      <c r="D19467">
        <v>61.01</v>
      </c>
      <c r="E19467">
        <v>277</v>
      </c>
      <c r="F19467">
        <v>108</v>
      </c>
      <c r="G19467">
        <v>28</v>
      </c>
      <c r="H19467">
        <v>1</v>
      </c>
      <c r="I19467">
        <v>256</v>
      </c>
      <c r="J19467">
        <v>1</v>
      </c>
      <c r="K19467">
        <v>1</v>
      </c>
      <c r="L19467">
        <v>270</v>
      </c>
      <c r="M19467">
        <v>1</v>
      </c>
      <c r="N19467">
        <v>2.9053599999999999E-83</v>
      </c>
      <c r="O19467">
        <v>781</v>
      </c>
    </row>
    <row r="19468" spans="1:15" x14ac:dyDescent="0.25">
      <c r="A19468" t="s">
        <v>19481</v>
      </c>
      <c r="B19468">
        <v>589</v>
      </c>
      <c r="C19468" s="1" t="str">
        <f>HYPERLINK("http://www.rosaceae.org/gb/gbrowse/malus_x_domestica/?name=MDP0000222039","MDP0000222039")</f>
        <v>MDP0000222039</v>
      </c>
      <c r="D19468">
        <v>80.510000000000005</v>
      </c>
      <c r="E19468">
        <v>580</v>
      </c>
      <c r="F19468">
        <v>113</v>
      </c>
      <c r="G19468">
        <v>39</v>
      </c>
      <c r="H19468">
        <v>1</v>
      </c>
      <c r="I19468">
        <v>556</v>
      </c>
      <c r="J19468">
        <v>1</v>
      </c>
      <c r="K19468">
        <v>1</v>
      </c>
      <c r="L19468">
        <v>565</v>
      </c>
      <c r="M19468">
        <v>1</v>
      </c>
      <c r="N19468">
        <v>0</v>
      </c>
      <c r="O19468">
        <v>2384</v>
      </c>
    </row>
    <row r="19469" spans="1:15" x14ac:dyDescent="0.25">
      <c r="A19469" t="s">
        <v>19482</v>
      </c>
      <c r="B19469">
        <v>199</v>
      </c>
      <c r="C19469" s="1" t="str">
        <f>HYPERLINK("http://www.rosaceae.org/gb/gbrowse/malus_x_domestica/?name=MDP0000286353","MDP0000286353")</f>
        <v>MDP0000286353</v>
      </c>
      <c r="D19469">
        <v>68.180000000000007</v>
      </c>
      <c r="E19469">
        <v>176</v>
      </c>
      <c r="F19469">
        <v>56</v>
      </c>
      <c r="G19469">
        <v>14</v>
      </c>
      <c r="H19469">
        <v>12</v>
      </c>
      <c r="I19469">
        <v>187</v>
      </c>
      <c r="J19469">
        <v>1</v>
      </c>
      <c r="K19469">
        <v>3</v>
      </c>
      <c r="L19469">
        <v>164</v>
      </c>
      <c r="M19469">
        <v>1</v>
      </c>
      <c r="N19469">
        <v>2.9994300000000002E-59</v>
      </c>
      <c r="O19469">
        <v>572</v>
      </c>
    </row>
    <row r="19470" spans="1:15" x14ac:dyDescent="0.25">
      <c r="A19470" t="s">
        <v>19483</v>
      </c>
      <c r="B19470">
        <v>213</v>
      </c>
      <c r="C19470" s="1" t="str">
        <f>HYPERLINK("http://www.rosaceae.org/gb/gbrowse/malus_x_domestica/?name=MDP0000272485","MDP0000272485")</f>
        <v>MDP0000272485</v>
      </c>
      <c r="D19470">
        <v>89.68</v>
      </c>
      <c r="E19470">
        <v>126</v>
      </c>
      <c r="F19470">
        <v>13</v>
      </c>
      <c r="G19470">
        <v>1</v>
      </c>
      <c r="H19470">
        <v>73</v>
      </c>
      <c r="I19470">
        <v>197</v>
      </c>
      <c r="J19470">
        <v>1</v>
      </c>
      <c r="K19470">
        <v>1</v>
      </c>
      <c r="L19470">
        <v>126</v>
      </c>
      <c r="M19470">
        <v>1</v>
      </c>
      <c r="N19470">
        <v>3.25771E-64</v>
      </c>
      <c r="O19470">
        <v>616</v>
      </c>
    </row>
    <row r="19471" spans="1:15" x14ac:dyDescent="0.25">
      <c r="A19471" t="s">
        <v>19484</v>
      </c>
      <c r="B19471">
        <v>479</v>
      </c>
      <c r="C19471" s="1" t="str">
        <f>HYPERLINK("http://www.rosaceae.org/gb/gbrowse/malus_x_domestica/?name=MDP0000545023","MDP0000545023")</f>
        <v>MDP0000545023</v>
      </c>
      <c r="D19471">
        <v>63.83</v>
      </c>
      <c r="E19471">
        <v>365</v>
      </c>
      <c r="F19471">
        <v>132</v>
      </c>
      <c r="G19471">
        <v>28</v>
      </c>
      <c r="H19471">
        <v>9</v>
      </c>
      <c r="I19471">
        <v>357</v>
      </c>
      <c r="J19471">
        <v>1</v>
      </c>
      <c r="K19471">
        <v>589</v>
      </c>
      <c r="L19471">
        <v>941</v>
      </c>
      <c r="M19471">
        <v>1</v>
      </c>
      <c r="N19471">
        <v>4.7462199999999998E-124</v>
      </c>
      <c r="O19471">
        <v>1136</v>
      </c>
    </row>
    <row r="19472" spans="1:15" x14ac:dyDescent="0.25">
      <c r="A19472" t="s">
        <v>19485</v>
      </c>
      <c r="B19472">
        <v>358</v>
      </c>
      <c r="C19472" s="1" t="str">
        <f>HYPERLINK("http://www.rosaceae.org/gb/gbrowse/malus_x_domestica/?name=MDP0000627768","MDP0000627768")</f>
        <v>MDP0000627768</v>
      </c>
      <c r="D19472">
        <v>76.88</v>
      </c>
      <c r="E19472">
        <v>372</v>
      </c>
      <c r="F19472">
        <v>86</v>
      </c>
      <c r="G19472">
        <v>16</v>
      </c>
      <c r="H19472">
        <v>1</v>
      </c>
      <c r="I19472">
        <v>356</v>
      </c>
      <c r="J19472">
        <v>1</v>
      </c>
      <c r="K19472">
        <v>1</v>
      </c>
      <c r="L19472">
        <v>372</v>
      </c>
      <c r="M19472">
        <v>1</v>
      </c>
      <c r="N19472">
        <v>5.6647300000000002E-167</v>
      </c>
      <c r="O19472">
        <v>1505</v>
      </c>
    </row>
    <row r="19473" spans="1:15" x14ac:dyDescent="0.25">
      <c r="A19473" t="s">
        <v>19486</v>
      </c>
      <c r="B19473">
        <v>136</v>
      </c>
      <c r="C19473" s="1" t="str">
        <f>HYPERLINK("http://www.rosaceae.org/gb/gbrowse/malus_x_domestica/?name=MDP0000322229","MDP0000322229")</f>
        <v>MDP0000322229</v>
      </c>
      <c r="D19473">
        <v>87.5</v>
      </c>
      <c r="E19473">
        <v>136</v>
      </c>
      <c r="F19473">
        <v>17</v>
      </c>
      <c r="G19473">
        <v>0</v>
      </c>
      <c r="H19473">
        <v>1</v>
      </c>
      <c r="I19473">
        <v>136</v>
      </c>
      <c r="J19473">
        <v>1</v>
      </c>
      <c r="K19473">
        <v>37</v>
      </c>
      <c r="L19473">
        <v>172</v>
      </c>
      <c r="M19473">
        <v>1</v>
      </c>
      <c r="N19473">
        <v>3.0720100000000002E-63</v>
      </c>
      <c r="O19473">
        <v>604</v>
      </c>
    </row>
    <row r="19474" spans="1:15" x14ac:dyDescent="0.25">
      <c r="A19474" t="s">
        <v>19487</v>
      </c>
      <c r="B19474">
        <v>333</v>
      </c>
      <c r="C19474" s="1" t="str">
        <f>HYPERLINK("http://www.rosaceae.org/gb/gbrowse/malus_x_domestica/?name=MDP0000310487","MDP0000310487")</f>
        <v>MDP0000310487</v>
      </c>
      <c r="D19474">
        <v>72.03</v>
      </c>
      <c r="E19474">
        <v>354</v>
      </c>
      <c r="F19474">
        <v>99</v>
      </c>
      <c r="G19474">
        <v>27</v>
      </c>
      <c r="H19474">
        <v>1</v>
      </c>
      <c r="I19474">
        <v>332</v>
      </c>
      <c r="J19474">
        <v>1</v>
      </c>
      <c r="K19474">
        <v>1</v>
      </c>
      <c r="L19474">
        <v>349</v>
      </c>
      <c r="M19474">
        <v>1</v>
      </c>
      <c r="N19474">
        <v>1.4705900000000001E-142</v>
      </c>
      <c r="O19474">
        <v>1294</v>
      </c>
    </row>
    <row r="19475" spans="1:15" x14ac:dyDescent="0.25">
      <c r="A19475" t="s">
        <v>19488</v>
      </c>
      <c r="B19475">
        <v>126</v>
      </c>
      <c r="C19475" s="1" t="str">
        <f>HYPERLINK("http://www.rosaceae.org/gb/gbrowse/malus_x_domestica/?name=MDP0000322165","MDP0000322165")</f>
        <v>MDP0000322165</v>
      </c>
      <c r="D19475">
        <v>74.150000000000006</v>
      </c>
      <c r="E19475">
        <v>89</v>
      </c>
      <c r="F19475">
        <v>23</v>
      </c>
      <c r="G19475">
        <v>0</v>
      </c>
      <c r="H19475">
        <v>9</v>
      </c>
      <c r="I19475">
        <v>97</v>
      </c>
      <c r="J19475">
        <v>1</v>
      </c>
      <c r="K19475">
        <v>3</v>
      </c>
      <c r="L19475">
        <v>91</v>
      </c>
      <c r="M19475">
        <v>1</v>
      </c>
      <c r="N19475">
        <v>6.2421499999999998E-35</v>
      </c>
      <c r="O19475">
        <v>359</v>
      </c>
    </row>
    <row r="19476" spans="1:15" x14ac:dyDescent="0.25">
      <c r="A19476" t="s">
        <v>19489</v>
      </c>
      <c r="B19476">
        <v>490</v>
      </c>
      <c r="C19476" s="1" t="str">
        <f>HYPERLINK("http://www.rosaceae.org/gb/gbrowse/malus_x_domestica/?name=MDP0000257517","MDP0000257517")</f>
        <v>MDP0000257517</v>
      </c>
      <c r="D19476">
        <v>54.39</v>
      </c>
      <c r="E19476">
        <v>478</v>
      </c>
      <c r="F19476">
        <v>218</v>
      </c>
      <c r="G19476">
        <v>12</v>
      </c>
      <c r="H19476">
        <v>18</v>
      </c>
      <c r="I19476">
        <v>488</v>
      </c>
      <c r="J19476">
        <v>1</v>
      </c>
      <c r="K19476">
        <v>125</v>
      </c>
      <c r="L19476">
        <v>597</v>
      </c>
      <c r="M19476">
        <v>1</v>
      </c>
      <c r="N19476">
        <v>1.3647799999999999E-149</v>
      </c>
      <c r="O19476">
        <v>1356</v>
      </c>
    </row>
    <row r="19477" spans="1:15" x14ac:dyDescent="0.25">
      <c r="A19477" t="s">
        <v>19490</v>
      </c>
      <c r="B19477">
        <v>79</v>
      </c>
      <c r="C19477" s="1" t="str">
        <f>HYPERLINK("http://www.rosaceae.org/gb/gbrowse/malus_x_domestica/?name=MDP0000292529","MDP0000292529")</f>
        <v>MDP0000292529</v>
      </c>
      <c r="D19477">
        <v>95.77</v>
      </c>
      <c r="E19477">
        <v>71</v>
      </c>
      <c r="F19477">
        <v>3</v>
      </c>
      <c r="G19477">
        <v>0</v>
      </c>
      <c r="H19477">
        <v>1</v>
      </c>
      <c r="I19477">
        <v>71</v>
      </c>
      <c r="J19477">
        <v>1</v>
      </c>
      <c r="K19477">
        <v>347</v>
      </c>
      <c r="L19477">
        <v>417</v>
      </c>
      <c r="M19477">
        <v>1</v>
      </c>
      <c r="N19477">
        <v>5.2722900000000005E-35</v>
      </c>
      <c r="O19477">
        <v>359</v>
      </c>
    </row>
    <row r="19478" spans="1:15" x14ac:dyDescent="0.25">
      <c r="A19478" t="s">
        <v>19491</v>
      </c>
      <c r="B19478">
        <v>540</v>
      </c>
      <c r="C19478" s="1" t="str">
        <f>HYPERLINK("http://www.rosaceae.org/gb/gbrowse/malus_x_domestica/?name=MDP0000610961","MDP0000610961")</f>
        <v>MDP0000610961</v>
      </c>
      <c r="D19478">
        <v>84.36</v>
      </c>
      <c r="E19478">
        <v>518</v>
      </c>
      <c r="F19478">
        <v>81</v>
      </c>
      <c r="G19478">
        <v>2</v>
      </c>
      <c r="H19478">
        <v>21</v>
      </c>
      <c r="I19478">
        <v>538</v>
      </c>
      <c r="J19478">
        <v>1</v>
      </c>
      <c r="K19478">
        <v>17</v>
      </c>
      <c r="L19478">
        <v>532</v>
      </c>
      <c r="M19478">
        <v>1</v>
      </c>
      <c r="N19478">
        <v>0</v>
      </c>
      <c r="O19478">
        <v>2335</v>
      </c>
    </row>
    <row r="19479" spans="1:15" x14ac:dyDescent="0.25">
      <c r="A19479" t="s">
        <v>19492</v>
      </c>
      <c r="B19479">
        <v>496</v>
      </c>
      <c r="C19479" s="1" t="str">
        <f>HYPERLINK("http://www.rosaceae.org/gb/gbrowse/malus_x_domestica/?name=MDP0000304159","MDP0000304159")</f>
        <v>MDP0000304159</v>
      </c>
      <c r="D19479">
        <v>66.760000000000005</v>
      </c>
      <c r="E19479">
        <v>355</v>
      </c>
      <c r="F19479">
        <v>118</v>
      </c>
      <c r="G19479">
        <v>8</v>
      </c>
      <c r="H19479">
        <v>1</v>
      </c>
      <c r="I19479">
        <v>350</v>
      </c>
      <c r="J19479">
        <v>1</v>
      </c>
      <c r="K19479">
        <v>1</v>
      </c>
      <c r="L19479">
        <v>352</v>
      </c>
      <c r="M19479">
        <v>1</v>
      </c>
      <c r="N19479">
        <v>4.16406E-132</v>
      </c>
      <c r="O19479">
        <v>1206</v>
      </c>
    </row>
    <row r="19480" spans="1:15" x14ac:dyDescent="0.25">
      <c r="A19480" t="s">
        <v>19493</v>
      </c>
      <c r="B19480">
        <v>170</v>
      </c>
      <c r="C19480" s="1" t="str">
        <f>HYPERLINK("http://www.rosaceae.org/gb/gbrowse/malus_x_domestica/?name=MDP0000420727","MDP0000420727")</f>
        <v>MDP0000420727</v>
      </c>
      <c r="D19480">
        <v>51.94</v>
      </c>
      <c r="E19480">
        <v>154</v>
      </c>
      <c r="F19480">
        <v>74</v>
      </c>
      <c r="G19480">
        <v>1</v>
      </c>
      <c r="H19480">
        <v>2</v>
      </c>
      <c r="I19480">
        <v>155</v>
      </c>
      <c r="J19480">
        <v>1</v>
      </c>
      <c r="K19480">
        <v>355</v>
      </c>
      <c r="L19480">
        <v>507</v>
      </c>
      <c r="M19480">
        <v>1</v>
      </c>
      <c r="N19480">
        <v>4.5919399999999998E-46</v>
      </c>
      <c r="O19480">
        <v>458</v>
      </c>
    </row>
    <row r="19481" spans="1:15" x14ac:dyDescent="0.25">
      <c r="A19481" t="s">
        <v>19494</v>
      </c>
      <c r="B19481">
        <v>536</v>
      </c>
      <c r="C19481" s="1" t="str">
        <f>HYPERLINK("http://www.rosaceae.org/gb/gbrowse/malus_x_domestica/?name=MDP0000874507","MDP0000874507")</f>
        <v>MDP0000874507</v>
      </c>
      <c r="D19481">
        <v>50</v>
      </c>
      <c r="E19481">
        <v>52</v>
      </c>
      <c r="F19481">
        <v>26</v>
      </c>
      <c r="G19481">
        <v>0</v>
      </c>
      <c r="H19481">
        <v>204</v>
      </c>
      <c r="I19481">
        <v>255</v>
      </c>
      <c r="J19481">
        <v>1</v>
      </c>
      <c r="K19481">
        <v>927</v>
      </c>
      <c r="L19481">
        <v>978</v>
      </c>
      <c r="M19481">
        <v>1</v>
      </c>
      <c r="N19481">
        <v>2.5045E-8</v>
      </c>
      <c r="O19481">
        <v>139</v>
      </c>
    </row>
    <row r="19482" spans="1:15" x14ac:dyDescent="0.25">
      <c r="A19482" t="s">
        <v>19495</v>
      </c>
      <c r="B19482">
        <v>375</v>
      </c>
      <c r="C19482" s="1" t="str">
        <f>HYPERLINK("http://www.rosaceae.org/gb/gbrowse/malus_x_domestica/?name=MDP0000325786","MDP0000325786")</f>
        <v>MDP0000325786</v>
      </c>
      <c r="D19482">
        <v>82.97</v>
      </c>
      <c r="E19482">
        <v>376</v>
      </c>
      <c r="F19482">
        <v>64</v>
      </c>
      <c r="G19482">
        <v>3</v>
      </c>
      <c r="H19482">
        <v>1</v>
      </c>
      <c r="I19482">
        <v>375</v>
      </c>
      <c r="J19482">
        <v>1</v>
      </c>
      <c r="K19482">
        <v>1</v>
      </c>
      <c r="L19482">
        <v>374</v>
      </c>
      <c r="M19482">
        <v>1</v>
      </c>
      <c r="N19482">
        <v>0</v>
      </c>
      <c r="O19482">
        <v>1663</v>
      </c>
    </row>
    <row r="19483" spans="1:15" x14ac:dyDescent="0.25">
      <c r="A19483" t="s">
        <v>19496</v>
      </c>
      <c r="B19483">
        <v>239</v>
      </c>
      <c r="C19483" s="1" t="str">
        <f>HYPERLINK("http://www.rosaceae.org/gb/gbrowse/malus_x_domestica/?name=MDP0000889757","MDP0000889757")</f>
        <v>MDP0000889757</v>
      </c>
      <c r="D19483">
        <v>50.47</v>
      </c>
      <c r="E19483">
        <v>105</v>
      </c>
      <c r="F19483">
        <v>52</v>
      </c>
      <c r="G19483">
        <v>15</v>
      </c>
      <c r="H19483">
        <v>10</v>
      </c>
      <c r="I19483">
        <v>99</v>
      </c>
      <c r="J19483">
        <v>1</v>
      </c>
      <c r="K19483">
        <v>5</v>
      </c>
      <c r="L19483">
        <v>109</v>
      </c>
      <c r="M19483">
        <v>1</v>
      </c>
      <c r="N19483">
        <v>5.5483899999999997E-21</v>
      </c>
      <c r="O19483">
        <v>244</v>
      </c>
    </row>
    <row r="19484" spans="1:15" x14ac:dyDescent="0.25">
      <c r="A19484" t="s">
        <v>19497</v>
      </c>
      <c r="B19484">
        <v>102</v>
      </c>
      <c r="C19484" s="1" t="str">
        <f>HYPERLINK("http://www.rosaceae.org/gb/gbrowse/malus_x_domestica/?name=MDP0000349101","MDP0000349101")</f>
        <v>MDP0000349101</v>
      </c>
      <c r="D19484">
        <v>91.66</v>
      </c>
      <c r="E19484">
        <v>60</v>
      </c>
      <c r="F19484">
        <v>5</v>
      </c>
      <c r="G19484">
        <v>0</v>
      </c>
      <c r="H19484">
        <v>1</v>
      </c>
      <c r="I19484">
        <v>60</v>
      </c>
      <c r="J19484">
        <v>1</v>
      </c>
      <c r="K19484">
        <v>35</v>
      </c>
      <c r="L19484">
        <v>94</v>
      </c>
      <c r="M19484">
        <v>1</v>
      </c>
      <c r="N19484">
        <v>9.4678199999999998E-28</v>
      </c>
      <c r="O19484">
        <v>297</v>
      </c>
    </row>
    <row r="19485" spans="1:15" x14ac:dyDescent="0.25">
      <c r="A19485" t="s">
        <v>19498</v>
      </c>
      <c r="B19485">
        <v>643</v>
      </c>
      <c r="C19485" s="1" t="str">
        <f>HYPERLINK("http://www.rosaceae.org/gb/gbrowse/malus_x_domestica/?name=MDP0000153394","MDP0000153394")</f>
        <v>MDP0000153394</v>
      </c>
      <c r="D19485">
        <v>76.39</v>
      </c>
      <c r="E19485">
        <v>394</v>
      </c>
      <c r="F19485">
        <v>93</v>
      </c>
      <c r="G19485">
        <v>15</v>
      </c>
      <c r="H19485">
        <v>156</v>
      </c>
      <c r="I19485">
        <v>545</v>
      </c>
      <c r="J19485">
        <v>1</v>
      </c>
      <c r="K19485">
        <v>45</v>
      </c>
      <c r="L19485">
        <v>427</v>
      </c>
      <c r="M19485">
        <v>1</v>
      </c>
      <c r="N19485">
        <v>3.6039099999999999E-174</v>
      </c>
      <c r="O19485">
        <v>1570</v>
      </c>
    </row>
    <row r="19486" spans="1:15" x14ac:dyDescent="0.25">
      <c r="A19486" t="s">
        <v>19499</v>
      </c>
      <c r="B19486">
        <v>201</v>
      </c>
      <c r="C19486" s="1" t="str">
        <f>HYPERLINK("http://www.rosaceae.org/gb/gbrowse/malus_x_domestica/?name=MDP0000168498","MDP0000168498")</f>
        <v>MDP0000168498</v>
      </c>
      <c r="D19486">
        <v>56.16</v>
      </c>
      <c r="E19486">
        <v>219</v>
      </c>
      <c r="F19486">
        <v>96</v>
      </c>
      <c r="G19486">
        <v>22</v>
      </c>
      <c r="H19486">
        <v>1</v>
      </c>
      <c r="I19486">
        <v>197</v>
      </c>
      <c r="J19486">
        <v>1</v>
      </c>
      <c r="K19486">
        <v>48</v>
      </c>
      <c r="L19486">
        <v>266</v>
      </c>
      <c r="M19486">
        <v>1</v>
      </c>
      <c r="N19486">
        <v>1.17175E-59</v>
      </c>
      <c r="O19486">
        <v>576</v>
      </c>
    </row>
    <row r="19487" spans="1:15" x14ac:dyDescent="0.25">
      <c r="A19487" t="s">
        <v>19500</v>
      </c>
      <c r="B19487">
        <v>88</v>
      </c>
      <c r="C19487" s="1" t="str">
        <f>HYPERLINK("http://www.rosaceae.org/gb/gbrowse/malus_x_domestica/?name=MDP0000391371","MDP0000391371")</f>
        <v>MDP0000391371</v>
      </c>
      <c r="D19487">
        <v>45.45</v>
      </c>
      <c r="E19487">
        <v>143</v>
      </c>
      <c r="F19487">
        <v>78</v>
      </c>
      <c r="G19487">
        <v>56</v>
      </c>
      <c r="H19487">
        <v>1</v>
      </c>
      <c r="I19487">
        <v>87</v>
      </c>
      <c r="J19487">
        <v>1</v>
      </c>
      <c r="K19487">
        <v>616</v>
      </c>
      <c r="L19487">
        <v>758</v>
      </c>
      <c r="M19487">
        <v>1</v>
      </c>
      <c r="N19487">
        <v>6.1332300000000003E-20</v>
      </c>
      <c r="O19487">
        <v>229</v>
      </c>
    </row>
    <row r="19488" spans="1:15" x14ac:dyDescent="0.25">
      <c r="A19488" t="s">
        <v>19501</v>
      </c>
      <c r="B19488">
        <v>581</v>
      </c>
      <c r="C19488" s="1" t="str">
        <f>HYPERLINK("http://www.rosaceae.org/gb/gbrowse/malus_x_domestica/?name=MDP0000198439","MDP0000198439")</f>
        <v>MDP0000198439</v>
      </c>
      <c r="D19488">
        <v>61.17</v>
      </c>
      <c r="E19488">
        <v>577</v>
      </c>
      <c r="F19488">
        <v>224</v>
      </c>
      <c r="G19488">
        <v>61</v>
      </c>
      <c r="H19488">
        <v>5</v>
      </c>
      <c r="I19488">
        <v>581</v>
      </c>
      <c r="J19488">
        <v>1</v>
      </c>
      <c r="K19488">
        <v>4</v>
      </c>
      <c r="L19488">
        <v>519</v>
      </c>
      <c r="M19488">
        <v>1</v>
      </c>
      <c r="N19488">
        <v>0</v>
      </c>
      <c r="O19488">
        <v>1821</v>
      </c>
    </row>
    <row r="19489" spans="1:15" x14ac:dyDescent="0.25">
      <c r="A19489" t="s">
        <v>19502</v>
      </c>
      <c r="B19489">
        <v>729</v>
      </c>
      <c r="C19489" s="1" t="str">
        <f>HYPERLINK("http://www.rosaceae.org/gb/gbrowse/malus_x_domestica/?name=MDP0000153889","MDP0000153889")</f>
        <v>MDP0000153889</v>
      </c>
      <c r="D19489">
        <v>68.05</v>
      </c>
      <c r="E19489">
        <v>601</v>
      </c>
      <c r="F19489">
        <v>192</v>
      </c>
      <c r="G19489">
        <v>21</v>
      </c>
      <c r="H19489">
        <v>141</v>
      </c>
      <c r="I19489">
        <v>725</v>
      </c>
      <c r="J19489">
        <v>1</v>
      </c>
      <c r="K19489">
        <v>38</v>
      </c>
      <c r="L19489">
        <v>633</v>
      </c>
      <c r="M19489">
        <v>1</v>
      </c>
      <c r="N19489">
        <v>0</v>
      </c>
      <c r="O19489">
        <v>2055</v>
      </c>
    </row>
    <row r="19490" spans="1:15" x14ac:dyDescent="0.25">
      <c r="A19490" t="s">
        <v>19503</v>
      </c>
      <c r="B19490">
        <v>916</v>
      </c>
      <c r="C19490" s="1" t="str">
        <f>HYPERLINK("http://www.rosaceae.org/gb/gbrowse/malus_x_domestica/?name=MDP0000322282","MDP0000322282")</f>
        <v>MDP0000322282</v>
      </c>
      <c r="D19490">
        <v>68.44</v>
      </c>
      <c r="E19490">
        <v>919</v>
      </c>
      <c r="F19490">
        <v>290</v>
      </c>
      <c r="G19490">
        <v>106</v>
      </c>
      <c r="H19490">
        <v>35</v>
      </c>
      <c r="I19490">
        <v>894</v>
      </c>
      <c r="J19490">
        <v>1</v>
      </c>
      <c r="K19490">
        <v>41</v>
      </c>
      <c r="L19490">
        <v>912</v>
      </c>
      <c r="M19490">
        <v>1</v>
      </c>
      <c r="N19490">
        <v>0</v>
      </c>
      <c r="O19490">
        <v>3195</v>
      </c>
    </row>
    <row r="19491" spans="1:15" x14ac:dyDescent="0.25">
      <c r="A19491" t="s">
        <v>19504</v>
      </c>
      <c r="B19491">
        <v>388</v>
      </c>
      <c r="C19491" s="1" t="str">
        <f>HYPERLINK("http://www.rosaceae.org/gb/gbrowse/malus_x_domestica/?name=MDP0000007997","MDP0000007997")</f>
        <v>MDP0000007997</v>
      </c>
      <c r="D19491">
        <v>73.95</v>
      </c>
      <c r="E19491">
        <v>384</v>
      </c>
      <c r="F19491">
        <v>100</v>
      </c>
      <c r="G19491">
        <v>1</v>
      </c>
      <c r="H19491">
        <v>1</v>
      </c>
      <c r="I19491">
        <v>384</v>
      </c>
      <c r="J19491">
        <v>1</v>
      </c>
      <c r="K19491">
        <v>2</v>
      </c>
      <c r="L19491">
        <v>384</v>
      </c>
      <c r="M19491">
        <v>1</v>
      </c>
      <c r="N19491">
        <v>1.2870699999999999E-168</v>
      </c>
      <c r="O19491">
        <v>1519</v>
      </c>
    </row>
    <row r="19492" spans="1:15" x14ac:dyDescent="0.25">
      <c r="A19492" t="s">
        <v>19505</v>
      </c>
      <c r="B19492">
        <v>349</v>
      </c>
      <c r="C19492" s="1" t="str">
        <f>HYPERLINK("http://www.rosaceae.org/gb/gbrowse/malus_x_domestica/?name=MDP0000455634","MDP0000455634")</f>
        <v>MDP0000455634</v>
      </c>
      <c r="D19492">
        <v>68.959999999999994</v>
      </c>
      <c r="E19492">
        <v>87</v>
      </c>
      <c r="F19492">
        <v>27</v>
      </c>
      <c r="G19492">
        <v>0</v>
      </c>
      <c r="H19492">
        <v>3</v>
      </c>
      <c r="I19492">
        <v>89</v>
      </c>
      <c r="J19492">
        <v>1</v>
      </c>
      <c r="K19492">
        <v>557</v>
      </c>
      <c r="L19492">
        <v>643</v>
      </c>
      <c r="M19492">
        <v>1</v>
      </c>
      <c r="N19492">
        <v>2.4049700000000001E-31</v>
      </c>
      <c r="O19492">
        <v>335</v>
      </c>
    </row>
    <row r="19493" spans="1:15" x14ac:dyDescent="0.25">
      <c r="A19493" t="s">
        <v>19506</v>
      </c>
      <c r="B19493">
        <v>644</v>
      </c>
      <c r="C19493" s="1" t="str">
        <f>HYPERLINK("http://www.rosaceae.org/gb/gbrowse/malus_x_domestica/?name=MDP0000178602","MDP0000178602")</f>
        <v>MDP0000178602</v>
      </c>
      <c r="D19493">
        <v>44.71</v>
      </c>
      <c r="E19493">
        <v>653</v>
      </c>
      <c r="F19493">
        <v>361</v>
      </c>
      <c r="G19493">
        <v>64</v>
      </c>
      <c r="H19493">
        <v>1</v>
      </c>
      <c r="I19493">
        <v>632</v>
      </c>
      <c r="J19493">
        <v>1</v>
      </c>
      <c r="K19493">
        <v>1</v>
      </c>
      <c r="L19493">
        <v>610</v>
      </c>
      <c r="M19493">
        <v>1</v>
      </c>
      <c r="N19493">
        <v>1.0279099999999999E-133</v>
      </c>
      <c r="O19493">
        <v>1221</v>
      </c>
    </row>
    <row r="19494" spans="1:15" x14ac:dyDescent="0.25">
      <c r="A19494" t="s">
        <v>19507</v>
      </c>
      <c r="B19494">
        <v>651</v>
      </c>
      <c r="C19494" s="1" t="str">
        <f>HYPERLINK("http://www.rosaceae.org/gb/gbrowse/malus_x_domestica/?name=MDP0000280673","MDP0000280673")</f>
        <v>MDP0000280673</v>
      </c>
      <c r="D19494">
        <v>68.239999999999995</v>
      </c>
      <c r="E19494">
        <v>674</v>
      </c>
      <c r="F19494">
        <v>214</v>
      </c>
      <c r="G19494">
        <v>64</v>
      </c>
      <c r="H19494">
        <v>1</v>
      </c>
      <c r="I19494">
        <v>650</v>
      </c>
      <c r="J19494">
        <v>1</v>
      </c>
      <c r="K19494">
        <v>1</v>
      </c>
      <c r="L19494">
        <v>634</v>
      </c>
      <c r="M19494">
        <v>1</v>
      </c>
      <c r="N19494">
        <v>0</v>
      </c>
      <c r="O19494">
        <v>2258</v>
      </c>
    </row>
    <row r="19495" spans="1:15" x14ac:dyDescent="0.25">
      <c r="A19495" t="s">
        <v>19508</v>
      </c>
      <c r="B19495">
        <v>1019</v>
      </c>
      <c r="C19495" s="1" t="str">
        <f>HYPERLINK("http://www.rosaceae.org/gb/gbrowse/malus_x_domestica/?name=MDP0000311041","MDP0000311041")</f>
        <v>MDP0000311041</v>
      </c>
      <c r="D19495">
        <v>63.28</v>
      </c>
      <c r="E19495">
        <v>956</v>
      </c>
      <c r="F19495">
        <v>351</v>
      </c>
      <c r="G19495">
        <v>100</v>
      </c>
      <c r="H19495">
        <v>1</v>
      </c>
      <c r="I19495">
        <v>917</v>
      </c>
      <c r="J19495">
        <v>1</v>
      </c>
      <c r="K19495">
        <v>1</v>
      </c>
      <c r="L19495">
        <v>895</v>
      </c>
      <c r="M19495">
        <v>1</v>
      </c>
      <c r="N19495">
        <v>0</v>
      </c>
      <c r="O19495">
        <v>2856</v>
      </c>
    </row>
    <row r="19496" spans="1:15" x14ac:dyDescent="0.25">
      <c r="A19496" t="s">
        <v>19509</v>
      </c>
      <c r="B19496">
        <v>535</v>
      </c>
      <c r="C19496" s="1" t="str">
        <f>HYPERLINK("http://www.rosaceae.org/gb/gbrowse/malus_x_domestica/?name=MDP0000135255","MDP0000135255")</f>
        <v>MDP0000135255</v>
      </c>
      <c r="D19496">
        <v>77.260000000000005</v>
      </c>
      <c r="E19496">
        <v>497</v>
      </c>
      <c r="F19496">
        <v>113</v>
      </c>
      <c r="G19496">
        <v>38</v>
      </c>
      <c r="H19496">
        <v>1</v>
      </c>
      <c r="I19496">
        <v>459</v>
      </c>
      <c r="J19496">
        <v>1</v>
      </c>
      <c r="K19496">
        <v>751</v>
      </c>
      <c r="L19496">
        <v>1247</v>
      </c>
      <c r="M19496">
        <v>1</v>
      </c>
      <c r="N19496">
        <v>0</v>
      </c>
      <c r="O19496">
        <v>1974</v>
      </c>
    </row>
    <row r="19497" spans="1:15" x14ac:dyDescent="0.25">
      <c r="A19497" t="s">
        <v>19510</v>
      </c>
      <c r="B19497">
        <v>254</v>
      </c>
      <c r="C19497" s="1" t="str">
        <f>HYPERLINK("http://www.rosaceae.org/gb/gbrowse/malus_x_domestica/?name=MDP0000166159","MDP0000166159")</f>
        <v>MDP0000166159</v>
      </c>
      <c r="D19497">
        <v>44.02</v>
      </c>
      <c r="E19497">
        <v>184</v>
      </c>
      <c r="F19497">
        <v>103</v>
      </c>
      <c r="G19497">
        <v>23</v>
      </c>
      <c r="H19497">
        <v>94</v>
      </c>
      <c r="I19497">
        <v>254</v>
      </c>
      <c r="J19497">
        <v>1</v>
      </c>
      <c r="K19497">
        <v>158</v>
      </c>
      <c r="L19497">
        <v>341</v>
      </c>
      <c r="M19497">
        <v>1</v>
      </c>
      <c r="N19497">
        <v>4.3480399999999999E-29</v>
      </c>
      <c r="O19497">
        <v>314</v>
      </c>
    </row>
    <row r="19498" spans="1:15" x14ac:dyDescent="0.25">
      <c r="A19498" t="s">
        <v>19511</v>
      </c>
      <c r="B19498">
        <v>780</v>
      </c>
      <c r="C19498" s="1" t="str">
        <f>HYPERLINK("http://www.rosaceae.org/gb/gbrowse/malus_x_domestica/?name=MDP0000724111","MDP0000724111")</f>
        <v>MDP0000724111</v>
      </c>
      <c r="D19498">
        <v>38.56</v>
      </c>
      <c r="E19498">
        <v>682</v>
      </c>
      <c r="F19498">
        <v>419</v>
      </c>
      <c r="G19498">
        <v>80</v>
      </c>
      <c r="H19498">
        <v>83</v>
      </c>
      <c r="I19498">
        <v>740</v>
      </c>
      <c r="J19498">
        <v>1</v>
      </c>
      <c r="K19498">
        <v>486</v>
      </c>
      <c r="L19498">
        <v>1111</v>
      </c>
      <c r="M19498">
        <v>1</v>
      </c>
      <c r="N19498">
        <v>4.2610000000000003E-108</v>
      </c>
      <c r="O19498">
        <v>1001</v>
      </c>
    </row>
    <row r="19499" spans="1:15" x14ac:dyDescent="0.25">
      <c r="A19499" t="s">
        <v>19512</v>
      </c>
      <c r="B19499">
        <v>343</v>
      </c>
      <c r="C19499" s="1" t="str">
        <f>HYPERLINK("http://www.rosaceae.org/gb/gbrowse/malus_x_domestica/?name=MDP0000285103","MDP0000285103")</f>
        <v>MDP0000285103</v>
      </c>
      <c r="D19499">
        <v>40.39</v>
      </c>
      <c r="E19499">
        <v>354</v>
      </c>
      <c r="F19499">
        <v>211</v>
      </c>
      <c r="G19499">
        <v>82</v>
      </c>
      <c r="H19499">
        <v>32</v>
      </c>
      <c r="I19499">
        <v>317</v>
      </c>
      <c r="J19499">
        <v>1</v>
      </c>
      <c r="K19499">
        <v>32</v>
      </c>
      <c r="L19499">
        <v>371</v>
      </c>
      <c r="M19499">
        <v>1</v>
      </c>
      <c r="N19499">
        <v>9.1484199999999996E-57</v>
      </c>
      <c r="O19499">
        <v>554</v>
      </c>
    </row>
    <row r="19500" spans="1:15" x14ac:dyDescent="0.25">
      <c r="A19500" t="s">
        <v>19513</v>
      </c>
      <c r="B19500">
        <v>188</v>
      </c>
      <c r="C19500" s="1" t="str">
        <f>HYPERLINK("http://www.rosaceae.org/gb/gbrowse/malus_x_domestica/?name=MDP0000251959","MDP0000251959")</f>
        <v>MDP0000251959</v>
      </c>
      <c r="D19500">
        <v>65.53</v>
      </c>
      <c r="E19500">
        <v>177</v>
      </c>
      <c r="F19500">
        <v>61</v>
      </c>
      <c r="G19500">
        <v>13</v>
      </c>
      <c r="H19500">
        <v>1</v>
      </c>
      <c r="I19500">
        <v>165</v>
      </c>
      <c r="J19500">
        <v>1</v>
      </c>
      <c r="K19500">
        <v>1</v>
      </c>
      <c r="L19500">
        <v>176</v>
      </c>
      <c r="M19500">
        <v>1</v>
      </c>
      <c r="N19500">
        <v>4.2955199999999996E-56</v>
      </c>
      <c r="O19500">
        <v>545</v>
      </c>
    </row>
    <row r="19501" spans="1:15" x14ac:dyDescent="0.25">
      <c r="A19501" t="s">
        <v>19514</v>
      </c>
      <c r="B19501">
        <v>1145</v>
      </c>
      <c r="C19501" s="1" t="str">
        <f>HYPERLINK("http://www.rosaceae.org/gb/gbrowse/malus_x_domestica/?name=MDP0000320950","MDP0000320950")</f>
        <v>MDP0000320950</v>
      </c>
      <c r="D19501">
        <v>80.52</v>
      </c>
      <c r="E19501">
        <v>1037</v>
      </c>
      <c r="F19501">
        <v>202</v>
      </c>
      <c r="G19501">
        <v>19</v>
      </c>
      <c r="H19501">
        <v>1</v>
      </c>
      <c r="I19501">
        <v>1033</v>
      </c>
      <c r="J19501">
        <v>1</v>
      </c>
      <c r="K19501">
        <v>1</v>
      </c>
      <c r="L19501">
        <v>1022</v>
      </c>
      <c r="M19501">
        <v>1</v>
      </c>
      <c r="N19501">
        <v>0</v>
      </c>
      <c r="O19501">
        <v>4415</v>
      </c>
    </row>
    <row r="19502" spans="1:15" x14ac:dyDescent="0.25">
      <c r="A19502" t="s">
        <v>19515</v>
      </c>
      <c r="B19502">
        <v>524</v>
      </c>
      <c r="C19502" s="1" t="str">
        <f>HYPERLINK("http://www.rosaceae.org/gb/gbrowse/malus_x_domestica/?name=MDP0000430686","MDP0000430686")</f>
        <v>MDP0000430686</v>
      </c>
      <c r="D19502">
        <v>41.09</v>
      </c>
      <c r="E19502">
        <v>348</v>
      </c>
      <c r="F19502">
        <v>205</v>
      </c>
      <c r="G19502">
        <v>96</v>
      </c>
      <c r="H19502">
        <v>8</v>
      </c>
      <c r="I19502">
        <v>299</v>
      </c>
      <c r="J19502">
        <v>1</v>
      </c>
      <c r="K19502">
        <v>29</v>
      </c>
      <c r="L19502">
        <v>336</v>
      </c>
      <c r="M19502">
        <v>1</v>
      </c>
      <c r="N19502">
        <v>2.90682E-58</v>
      </c>
      <c r="O19502">
        <v>569</v>
      </c>
    </row>
    <row r="19503" spans="1:15" x14ac:dyDescent="0.25">
      <c r="A19503" t="s">
        <v>19516</v>
      </c>
      <c r="B19503">
        <v>438</v>
      </c>
      <c r="C19503" s="1" t="str">
        <f>HYPERLINK("http://www.rosaceae.org/gb/gbrowse/malus_x_domestica/?name=MDP0000317700","MDP0000317700")</f>
        <v>MDP0000317700</v>
      </c>
      <c r="D19503">
        <v>29.89</v>
      </c>
      <c r="E19503">
        <v>184</v>
      </c>
      <c r="F19503">
        <v>129</v>
      </c>
      <c r="G19503">
        <v>14</v>
      </c>
      <c r="H19503">
        <v>40</v>
      </c>
      <c r="I19503">
        <v>214</v>
      </c>
      <c r="J19503">
        <v>1</v>
      </c>
      <c r="K19503">
        <v>465</v>
      </c>
      <c r="L19503">
        <v>643</v>
      </c>
      <c r="M19503">
        <v>1</v>
      </c>
      <c r="N19503">
        <v>9.382170000000001E-13</v>
      </c>
      <c r="O19503">
        <v>176</v>
      </c>
    </row>
    <row r="19504" spans="1:15" x14ac:dyDescent="0.25">
      <c r="A19504" t="s">
        <v>19517</v>
      </c>
      <c r="B19504">
        <v>486</v>
      </c>
      <c r="C19504" s="1" t="str">
        <f>HYPERLINK("http://www.rosaceae.org/gb/gbrowse/malus_x_domestica/?name=MDP0000272026","MDP0000272026")</f>
        <v>MDP0000272026</v>
      </c>
      <c r="D19504">
        <v>57.28</v>
      </c>
      <c r="E19504">
        <v>515</v>
      </c>
      <c r="F19504">
        <v>220</v>
      </c>
      <c r="G19504">
        <v>50</v>
      </c>
      <c r="H19504">
        <v>1</v>
      </c>
      <c r="I19504">
        <v>486</v>
      </c>
      <c r="J19504">
        <v>1</v>
      </c>
      <c r="K19504">
        <v>1</v>
      </c>
      <c r="L19504">
        <v>494</v>
      </c>
      <c r="M19504">
        <v>1</v>
      </c>
      <c r="N19504">
        <v>2.51356E-136</v>
      </c>
      <c r="O19504">
        <v>1242</v>
      </c>
    </row>
    <row r="19505" spans="1:15" x14ac:dyDescent="0.25">
      <c r="A19505" t="s">
        <v>19518</v>
      </c>
      <c r="B19505">
        <v>209</v>
      </c>
      <c r="C19505" s="1" t="str">
        <f>HYPERLINK("http://www.rosaceae.org/gb/gbrowse/malus_x_domestica/?name=MDP0000293444","MDP0000293444")</f>
        <v>MDP0000293444</v>
      </c>
      <c r="D19505">
        <v>85.09</v>
      </c>
      <c r="E19505">
        <v>208</v>
      </c>
      <c r="F19505">
        <v>31</v>
      </c>
      <c r="G19505">
        <v>0</v>
      </c>
      <c r="H19505">
        <v>1</v>
      </c>
      <c r="I19505">
        <v>208</v>
      </c>
      <c r="J19505">
        <v>1</v>
      </c>
      <c r="K19505">
        <v>1</v>
      </c>
      <c r="L19505">
        <v>208</v>
      </c>
      <c r="M19505">
        <v>1</v>
      </c>
      <c r="N19505">
        <v>1.3274099999999999E-102</v>
      </c>
      <c r="O19505">
        <v>947</v>
      </c>
    </row>
    <row r="19506" spans="1:15" x14ac:dyDescent="0.25">
      <c r="A19506" t="s">
        <v>19519</v>
      </c>
      <c r="B19506">
        <v>569</v>
      </c>
      <c r="C19506" s="1" t="str">
        <f>HYPERLINK("http://www.rosaceae.org/gb/gbrowse/malus_x_domestica/?name=MDP0000287083","MDP0000287083")</f>
        <v>MDP0000287083</v>
      </c>
      <c r="D19506">
        <v>82.43</v>
      </c>
      <c r="E19506">
        <v>74</v>
      </c>
      <c r="F19506">
        <v>13</v>
      </c>
      <c r="G19506">
        <v>0</v>
      </c>
      <c r="H19506">
        <v>495</v>
      </c>
      <c r="I19506">
        <v>568</v>
      </c>
      <c r="J19506">
        <v>1</v>
      </c>
      <c r="K19506">
        <v>378</v>
      </c>
      <c r="L19506">
        <v>451</v>
      </c>
      <c r="M19506">
        <v>1</v>
      </c>
      <c r="N19506">
        <v>5.55426E-29</v>
      </c>
      <c r="O19506">
        <v>317</v>
      </c>
    </row>
    <row r="19507" spans="1:15" x14ac:dyDescent="0.25">
      <c r="A19507" t="s">
        <v>19520</v>
      </c>
      <c r="B19507">
        <v>116</v>
      </c>
      <c r="C19507" s="1" t="str">
        <f>HYPERLINK("http://www.rosaceae.org/gb/gbrowse/malus_x_domestica/?name=MDP0000271607","MDP0000271607")</f>
        <v>MDP0000271607</v>
      </c>
      <c r="D19507">
        <v>53.84</v>
      </c>
      <c r="E19507">
        <v>65</v>
      </c>
      <c r="F19507">
        <v>30</v>
      </c>
      <c r="G19507">
        <v>0</v>
      </c>
      <c r="H19507">
        <v>52</v>
      </c>
      <c r="I19507">
        <v>116</v>
      </c>
      <c r="J19507">
        <v>1</v>
      </c>
      <c r="K19507">
        <v>7</v>
      </c>
      <c r="L19507">
        <v>71</v>
      </c>
      <c r="M19507">
        <v>1</v>
      </c>
      <c r="N19507">
        <v>5.5493100000000002E-15</v>
      </c>
      <c r="O19507">
        <v>187</v>
      </c>
    </row>
    <row r="19508" spans="1:15" x14ac:dyDescent="0.25">
      <c r="A19508" t="s">
        <v>19521</v>
      </c>
      <c r="B19508">
        <v>171</v>
      </c>
      <c r="C19508" s="1" t="str">
        <f>HYPERLINK("http://www.rosaceae.org/gb/gbrowse/malus_x_domestica/?name=MDP0000468324","MDP0000468324")</f>
        <v>MDP0000468324</v>
      </c>
      <c r="D19508">
        <v>73.209999999999994</v>
      </c>
      <c r="E19508">
        <v>168</v>
      </c>
      <c r="F19508">
        <v>45</v>
      </c>
      <c r="G19508">
        <v>0</v>
      </c>
      <c r="H19508">
        <v>1</v>
      </c>
      <c r="I19508">
        <v>168</v>
      </c>
      <c r="J19508">
        <v>1</v>
      </c>
      <c r="K19508">
        <v>1</v>
      </c>
      <c r="L19508">
        <v>168</v>
      </c>
      <c r="M19508">
        <v>1</v>
      </c>
      <c r="N19508">
        <v>1.7986799999999999E-73</v>
      </c>
      <c r="O19508">
        <v>694</v>
      </c>
    </row>
    <row r="19509" spans="1:15" x14ac:dyDescent="0.25">
      <c r="A19509" t="s">
        <v>19522</v>
      </c>
      <c r="B19509">
        <v>261</v>
      </c>
      <c r="C19509" s="1" t="str">
        <f>HYPERLINK("http://www.rosaceae.org/gb/gbrowse/malus_x_domestica/?name=MDP0000902474","MDP0000902474")</f>
        <v>MDP0000902474</v>
      </c>
      <c r="D19509">
        <v>72.02</v>
      </c>
      <c r="E19509">
        <v>193</v>
      </c>
      <c r="F19509">
        <v>54</v>
      </c>
      <c r="G19509">
        <v>0</v>
      </c>
      <c r="H19509">
        <v>1</v>
      </c>
      <c r="I19509">
        <v>193</v>
      </c>
      <c r="J19509">
        <v>1</v>
      </c>
      <c r="K19509">
        <v>1</v>
      </c>
      <c r="L19509">
        <v>193</v>
      </c>
      <c r="M19509">
        <v>1</v>
      </c>
      <c r="N19509">
        <v>4.6004600000000001E-75</v>
      </c>
      <c r="O19509">
        <v>711</v>
      </c>
    </row>
    <row r="19510" spans="1:15" x14ac:dyDescent="0.25">
      <c r="A19510" t="s">
        <v>19523</v>
      </c>
      <c r="B19510">
        <v>99</v>
      </c>
      <c r="C19510" s="1" t="str">
        <f>HYPERLINK("http://www.rosaceae.org/gb/gbrowse/malus_x_domestica/?name=MDP0000252992","MDP0000252992")</f>
        <v>MDP0000252992</v>
      </c>
      <c r="D19510">
        <v>67.599999999999994</v>
      </c>
      <c r="E19510">
        <v>71</v>
      </c>
      <c r="F19510">
        <v>23</v>
      </c>
      <c r="G19510">
        <v>0</v>
      </c>
      <c r="H19510">
        <v>1</v>
      </c>
      <c r="I19510">
        <v>71</v>
      </c>
      <c r="J19510">
        <v>1</v>
      </c>
      <c r="K19510">
        <v>242</v>
      </c>
      <c r="L19510">
        <v>312</v>
      </c>
      <c r="M19510">
        <v>1</v>
      </c>
      <c r="N19510">
        <v>5.2342199999999996E-25</v>
      </c>
      <c r="O19510">
        <v>273</v>
      </c>
    </row>
    <row r="19511" spans="1:15" x14ac:dyDescent="0.25">
      <c r="A19511" t="s">
        <v>19524</v>
      </c>
      <c r="B19511">
        <v>269</v>
      </c>
      <c r="C19511" s="1" t="str">
        <f>HYPERLINK("http://www.rosaceae.org/gb/gbrowse/malus_x_domestica/?name=MDP0000485715","MDP0000485715")</f>
        <v>MDP0000485715</v>
      </c>
      <c r="D19511">
        <v>30.55</v>
      </c>
      <c r="E19511">
        <v>144</v>
      </c>
      <c r="F19511">
        <v>100</v>
      </c>
      <c r="G19511">
        <v>22</v>
      </c>
      <c r="H19511">
        <v>101</v>
      </c>
      <c r="I19511">
        <v>222</v>
      </c>
      <c r="J19511">
        <v>1</v>
      </c>
      <c r="K19511">
        <v>146</v>
      </c>
      <c r="L19511">
        <v>289</v>
      </c>
      <c r="M19511">
        <v>1</v>
      </c>
      <c r="N19511">
        <v>7.0293499999999997E-14</v>
      </c>
      <c r="O19511">
        <v>183</v>
      </c>
    </row>
    <row r="19512" spans="1:15" x14ac:dyDescent="0.25">
      <c r="A19512" t="s">
        <v>19525</v>
      </c>
      <c r="B19512">
        <v>746</v>
      </c>
      <c r="C19512" s="1" t="str">
        <f>HYPERLINK("http://www.rosaceae.org/gb/gbrowse/malus_x_domestica/?name=MDP0000905763","MDP0000905763")</f>
        <v>MDP0000905763</v>
      </c>
      <c r="D19512">
        <v>83.91</v>
      </c>
      <c r="E19512">
        <v>485</v>
      </c>
      <c r="F19512">
        <v>78</v>
      </c>
      <c r="G19512">
        <v>2</v>
      </c>
      <c r="H19512">
        <v>42</v>
      </c>
      <c r="I19512">
        <v>526</v>
      </c>
      <c r="J19512">
        <v>1</v>
      </c>
      <c r="K19512">
        <v>49</v>
      </c>
      <c r="L19512">
        <v>531</v>
      </c>
      <c r="M19512">
        <v>1</v>
      </c>
      <c r="N19512">
        <v>0</v>
      </c>
      <c r="O19512">
        <v>2238</v>
      </c>
    </row>
    <row r="19513" spans="1:15" x14ac:dyDescent="0.25">
      <c r="A19513" t="s">
        <v>19526</v>
      </c>
      <c r="B19513">
        <v>282</v>
      </c>
      <c r="C19513" s="1" t="str">
        <f>HYPERLINK("http://www.rosaceae.org/gb/gbrowse/malus_x_domestica/?name=MDP0000253288","MDP0000253288")</f>
        <v>MDP0000253288</v>
      </c>
      <c r="D19513">
        <v>67.180000000000007</v>
      </c>
      <c r="E19513">
        <v>256</v>
      </c>
      <c r="F19513">
        <v>84</v>
      </c>
      <c r="G19513">
        <v>46</v>
      </c>
      <c r="H19513">
        <v>4</v>
      </c>
      <c r="I19513">
        <v>218</v>
      </c>
      <c r="J19513">
        <v>1</v>
      </c>
      <c r="K19513">
        <v>292</v>
      </c>
      <c r="L19513">
        <v>542</v>
      </c>
      <c r="M19513">
        <v>1</v>
      </c>
      <c r="N19513">
        <v>5.6895600000000004E-81</v>
      </c>
      <c r="O19513">
        <v>762</v>
      </c>
    </row>
    <row r="19514" spans="1:15" x14ac:dyDescent="0.25">
      <c r="A19514" t="s">
        <v>19527</v>
      </c>
      <c r="B19514">
        <v>518</v>
      </c>
      <c r="C19514" s="1" t="str">
        <f>HYPERLINK("http://www.rosaceae.org/gb/gbrowse/malus_x_domestica/?name=MDP0000188977","MDP0000188977")</f>
        <v>MDP0000188977</v>
      </c>
      <c r="D19514">
        <v>72.3</v>
      </c>
      <c r="E19514">
        <v>520</v>
      </c>
      <c r="F19514">
        <v>144</v>
      </c>
      <c r="G19514">
        <v>9</v>
      </c>
      <c r="H19514">
        <v>1</v>
      </c>
      <c r="I19514">
        <v>518</v>
      </c>
      <c r="J19514">
        <v>1</v>
      </c>
      <c r="K19514">
        <v>1</v>
      </c>
      <c r="L19514">
        <v>513</v>
      </c>
      <c r="M19514">
        <v>1</v>
      </c>
      <c r="N19514">
        <v>0</v>
      </c>
      <c r="O19514">
        <v>2038</v>
      </c>
    </row>
    <row r="19515" spans="1:15" x14ac:dyDescent="0.25">
      <c r="A19515" t="s">
        <v>19528</v>
      </c>
      <c r="B19515">
        <v>151</v>
      </c>
      <c r="C19515" s="1" t="str">
        <f>HYPERLINK("http://www.rosaceae.org/gb/gbrowse/malus_x_domestica/?name=MDP0000456824","MDP0000456824")</f>
        <v>MDP0000456824</v>
      </c>
      <c r="D19515">
        <v>64.61</v>
      </c>
      <c r="E19515">
        <v>130</v>
      </c>
      <c r="F19515">
        <v>46</v>
      </c>
      <c r="G19515">
        <v>10</v>
      </c>
      <c r="H19515">
        <v>26</v>
      </c>
      <c r="I19515">
        <v>151</v>
      </c>
      <c r="J19515">
        <v>1</v>
      </c>
      <c r="K19515">
        <v>109</v>
      </c>
      <c r="L19515">
        <v>232</v>
      </c>
      <c r="M19515">
        <v>1</v>
      </c>
      <c r="N19515">
        <v>2.1845400000000001E-35</v>
      </c>
      <c r="O19515">
        <v>365</v>
      </c>
    </row>
    <row r="19516" spans="1:15" x14ac:dyDescent="0.25">
      <c r="A19516" t="s">
        <v>19529</v>
      </c>
      <c r="B19516">
        <v>1240</v>
      </c>
      <c r="C19516" s="1" t="str">
        <f>HYPERLINK("http://www.rosaceae.org/gb/gbrowse/malus_x_domestica/?name=MDP0000282446","MDP0000282446")</f>
        <v>MDP0000282446</v>
      </c>
      <c r="D19516">
        <v>35.950000000000003</v>
      </c>
      <c r="E19516">
        <v>267</v>
      </c>
      <c r="F19516">
        <v>171</v>
      </c>
      <c r="G19516">
        <v>95</v>
      </c>
      <c r="H19516">
        <v>960</v>
      </c>
      <c r="I19516">
        <v>1226</v>
      </c>
      <c r="J19516">
        <v>1</v>
      </c>
      <c r="K19516">
        <v>265</v>
      </c>
      <c r="L19516">
        <v>436</v>
      </c>
      <c r="M19516">
        <v>1</v>
      </c>
      <c r="N19516">
        <v>1.22188E-26</v>
      </c>
      <c r="O19516">
        <v>300</v>
      </c>
    </row>
    <row r="19517" spans="1:15" x14ac:dyDescent="0.25">
      <c r="A19517" t="s">
        <v>19530</v>
      </c>
      <c r="B19517">
        <v>493</v>
      </c>
      <c r="C19517" s="1" t="str">
        <f>HYPERLINK("http://www.rosaceae.org/gb/gbrowse/malus_x_domestica/?name=MDP0000917280","MDP0000917280")</f>
        <v>MDP0000917280</v>
      </c>
      <c r="D19517">
        <v>64.819999999999993</v>
      </c>
      <c r="E19517">
        <v>506</v>
      </c>
      <c r="F19517">
        <v>178</v>
      </c>
      <c r="G19517">
        <v>94</v>
      </c>
      <c r="H19517">
        <v>1</v>
      </c>
      <c r="I19517">
        <v>493</v>
      </c>
      <c r="J19517">
        <v>1</v>
      </c>
      <c r="K19517">
        <v>1</v>
      </c>
      <c r="L19517">
        <v>425</v>
      </c>
      <c r="M19517">
        <v>1</v>
      </c>
      <c r="N19517">
        <v>4.2963900000000002E-170</v>
      </c>
      <c r="O19517">
        <v>1533</v>
      </c>
    </row>
    <row r="19518" spans="1:15" x14ac:dyDescent="0.25">
      <c r="A19518" t="s">
        <v>19531</v>
      </c>
      <c r="B19518">
        <v>164</v>
      </c>
      <c r="C19518" s="1" t="str">
        <f>HYPERLINK("http://www.rosaceae.org/gb/gbrowse/malus_x_domestica/?name=MDP0000429216","MDP0000429216")</f>
        <v>MDP0000429216</v>
      </c>
      <c r="D19518">
        <v>44.44</v>
      </c>
      <c r="E19518">
        <v>108</v>
      </c>
      <c r="F19518">
        <v>60</v>
      </c>
      <c r="G19518">
        <v>6</v>
      </c>
      <c r="H19518">
        <v>3</v>
      </c>
      <c r="I19518">
        <v>109</v>
      </c>
      <c r="J19518">
        <v>1</v>
      </c>
      <c r="K19518">
        <v>7</v>
      </c>
      <c r="L19518">
        <v>109</v>
      </c>
      <c r="M19518">
        <v>1</v>
      </c>
      <c r="N19518">
        <v>3.0795200000000002E-10</v>
      </c>
      <c r="O19518">
        <v>148</v>
      </c>
    </row>
    <row r="19519" spans="1:15" x14ac:dyDescent="0.25">
      <c r="A19519" t="s">
        <v>19532</v>
      </c>
      <c r="B19519">
        <v>1174</v>
      </c>
      <c r="C19519" s="1" t="str">
        <f>HYPERLINK("http://www.rosaceae.org/gb/gbrowse/malus_x_domestica/?name=MDP0000248777","MDP0000248777")</f>
        <v>MDP0000248777</v>
      </c>
      <c r="D19519">
        <v>78.61</v>
      </c>
      <c r="E19519">
        <v>463</v>
      </c>
      <c r="F19519">
        <v>99</v>
      </c>
      <c r="G19519">
        <v>14</v>
      </c>
      <c r="H19519">
        <v>1</v>
      </c>
      <c r="I19519">
        <v>462</v>
      </c>
      <c r="J19519">
        <v>1</v>
      </c>
      <c r="K19519">
        <v>1</v>
      </c>
      <c r="L19519">
        <v>450</v>
      </c>
      <c r="M19519">
        <v>1</v>
      </c>
      <c r="N19519">
        <v>0</v>
      </c>
      <c r="O19519">
        <v>1868</v>
      </c>
    </row>
    <row r="19520" spans="1:15" x14ac:dyDescent="0.25">
      <c r="A19520" t="s">
        <v>19533</v>
      </c>
      <c r="B19520">
        <v>339</v>
      </c>
      <c r="C19520" s="1" t="str">
        <f>HYPERLINK("http://www.rosaceae.org/gb/gbrowse/malus_x_domestica/?name=MDP0000378930","MDP0000378930")</f>
        <v>MDP0000378930</v>
      </c>
      <c r="D19520">
        <v>37.200000000000003</v>
      </c>
      <c r="E19520">
        <v>344</v>
      </c>
      <c r="F19520">
        <v>216</v>
      </c>
      <c r="G19520">
        <v>27</v>
      </c>
      <c r="H19520">
        <v>13</v>
      </c>
      <c r="I19520">
        <v>335</v>
      </c>
      <c r="J19520">
        <v>1</v>
      </c>
      <c r="K19520">
        <v>6</v>
      </c>
      <c r="L19520">
        <v>343</v>
      </c>
      <c r="M19520">
        <v>1</v>
      </c>
      <c r="N19520">
        <v>2.66205E-55</v>
      </c>
      <c r="O19520">
        <v>542</v>
      </c>
    </row>
    <row r="19521" spans="1:15" x14ac:dyDescent="0.25">
      <c r="A19521" t="s">
        <v>19534</v>
      </c>
      <c r="B19521">
        <v>582</v>
      </c>
      <c r="C19521" s="1" t="str">
        <f>HYPERLINK("http://www.rosaceae.org/gb/gbrowse/malus_x_domestica/?name=MDP0000163372","MDP0000163372")</f>
        <v>MDP0000163372</v>
      </c>
      <c r="D19521">
        <v>51.18</v>
      </c>
      <c r="E19521">
        <v>422</v>
      </c>
      <c r="F19521">
        <v>206</v>
      </c>
      <c r="G19521">
        <v>76</v>
      </c>
      <c r="H19521">
        <v>2</v>
      </c>
      <c r="I19521">
        <v>399</v>
      </c>
      <c r="J19521">
        <v>1</v>
      </c>
      <c r="K19521">
        <v>1</v>
      </c>
      <c r="L19521">
        <v>370</v>
      </c>
      <c r="M19521">
        <v>1</v>
      </c>
      <c r="N19521">
        <v>5.0603499999999999E-101</v>
      </c>
      <c r="O19521">
        <v>938</v>
      </c>
    </row>
    <row r="19522" spans="1:15" x14ac:dyDescent="0.25">
      <c r="A19522" t="s">
        <v>19535</v>
      </c>
      <c r="B19522">
        <v>263</v>
      </c>
      <c r="C19522" s="1" t="str">
        <f>HYPERLINK("http://www.rosaceae.org/gb/gbrowse/malus_x_domestica/?name=MDP0000945788","MDP0000945788")</f>
        <v>MDP0000945788</v>
      </c>
      <c r="D19522">
        <v>69.88</v>
      </c>
      <c r="E19522">
        <v>176</v>
      </c>
      <c r="F19522">
        <v>53</v>
      </c>
      <c r="G19522">
        <v>7</v>
      </c>
      <c r="H19522">
        <v>1</v>
      </c>
      <c r="I19522">
        <v>169</v>
      </c>
      <c r="J19522">
        <v>1</v>
      </c>
      <c r="K19522">
        <v>1</v>
      </c>
      <c r="L19522">
        <v>176</v>
      </c>
      <c r="M19522">
        <v>1</v>
      </c>
      <c r="N19522">
        <v>2.4130000000000001E-70</v>
      </c>
      <c r="O19522">
        <v>670</v>
      </c>
    </row>
    <row r="19523" spans="1:15" x14ac:dyDescent="0.25">
      <c r="A19523" t="s">
        <v>19536</v>
      </c>
      <c r="B19523">
        <v>444</v>
      </c>
      <c r="C19523" s="1" t="str">
        <f>HYPERLINK("http://www.rosaceae.org/gb/gbrowse/malus_x_domestica/?name=MDP0000119485","MDP0000119485")</f>
        <v>MDP0000119485</v>
      </c>
      <c r="D19523">
        <v>75.81</v>
      </c>
      <c r="E19523">
        <v>306</v>
      </c>
      <c r="F19523">
        <v>74</v>
      </c>
      <c r="G19523">
        <v>0</v>
      </c>
      <c r="H19523">
        <v>121</v>
      </c>
      <c r="I19523">
        <v>426</v>
      </c>
      <c r="J19523">
        <v>1</v>
      </c>
      <c r="K19523">
        <v>31</v>
      </c>
      <c r="L19523">
        <v>336</v>
      </c>
      <c r="M19523">
        <v>1</v>
      </c>
      <c r="N19523">
        <v>5.3751600000000002E-131</v>
      </c>
      <c r="O19523">
        <v>1196</v>
      </c>
    </row>
    <row r="19524" spans="1:15" x14ac:dyDescent="0.25">
      <c r="A19524" t="s">
        <v>19537</v>
      </c>
      <c r="B19524">
        <v>310</v>
      </c>
      <c r="C19524" s="1" t="str">
        <f>HYPERLINK("http://www.rosaceae.org/gb/gbrowse/malus_x_domestica/?name=MDP0000496646","MDP0000496646")</f>
        <v>MDP0000496646</v>
      </c>
      <c r="D19524">
        <v>63.79</v>
      </c>
      <c r="E19524">
        <v>174</v>
      </c>
      <c r="F19524">
        <v>63</v>
      </c>
      <c r="G19524">
        <v>10</v>
      </c>
      <c r="H19524">
        <v>3</v>
      </c>
      <c r="I19524">
        <v>167</v>
      </c>
      <c r="J19524">
        <v>1</v>
      </c>
      <c r="K19524">
        <v>5</v>
      </c>
      <c r="L19524">
        <v>177</v>
      </c>
      <c r="M19524">
        <v>1</v>
      </c>
      <c r="N19524">
        <v>3.7209700000000001E-58</v>
      </c>
      <c r="O19524">
        <v>566</v>
      </c>
    </row>
    <row r="19525" spans="1:15" x14ac:dyDescent="0.25">
      <c r="A19525" t="s">
        <v>19538</v>
      </c>
      <c r="B19525">
        <v>244</v>
      </c>
      <c r="C19525" s="1" t="str">
        <f>HYPERLINK("http://www.rosaceae.org/gb/gbrowse/malus_x_domestica/?name=MDP0000320943","MDP0000320943")</f>
        <v>MDP0000320943</v>
      </c>
      <c r="D19525">
        <v>81.96</v>
      </c>
      <c r="E19525">
        <v>244</v>
      </c>
      <c r="F19525">
        <v>44</v>
      </c>
      <c r="G19525">
        <v>2</v>
      </c>
      <c r="H19525">
        <v>1</v>
      </c>
      <c r="I19525">
        <v>244</v>
      </c>
      <c r="J19525">
        <v>1</v>
      </c>
      <c r="K19525">
        <v>1</v>
      </c>
      <c r="L19525">
        <v>242</v>
      </c>
      <c r="M19525">
        <v>1</v>
      </c>
      <c r="N19525">
        <v>1.2525500000000001E-117</v>
      </c>
      <c r="O19525">
        <v>1077</v>
      </c>
    </row>
    <row r="19526" spans="1:15" x14ac:dyDescent="0.25">
      <c r="A19526" t="s">
        <v>19539</v>
      </c>
      <c r="B19526">
        <v>193</v>
      </c>
      <c r="C19526" s="1" t="str">
        <f>HYPERLINK("http://www.rosaceae.org/gb/gbrowse/malus_x_domestica/?name=MDP0000197694","MDP0000197694")</f>
        <v>MDP0000197694</v>
      </c>
      <c r="D19526">
        <v>68.91</v>
      </c>
      <c r="E19526">
        <v>193</v>
      </c>
      <c r="F19526">
        <v>60</v>
      </c>
      <c r="G19526">
        <v>0</v>
      </c>
      <c r="H19526">
        <v>1</v>
      </c>
      <c r="I19526">
        <v>193</v>
      </c>
      <c r="J19526">
        <v>1</v>
      </c>
      <c r="K19526">
        <v>1</v>
      </c>
      <c r="L19526">
        <v>193</v>
      </c>
      <c r="M19526">
        <v>1</v>
      </c>
      <c r="N19526">
        <v>3.5451600000000002E-77</v>
      </c>
      <c r="O19526">
        <v>727</v>
      </c>
    </row>
    <row r="19527" spans="1:15" x14ac:dyDescent="0.25">
      <c r="A19527" t="s">
        <v>19540</v>
      </c>
      <c r="B19527">
        <v>1796</v>
      </c>
      <c r="C19527" s="1" t="str">
        <f>HYPERLINK("http://www.rosaceae.org/gb/gbrowse/malus_x_domestica/?name=MDP0000178896","MDP0000178896")</f>
        <v>MDP0000178896</v>
      </c>
      <c r="D19527">
        <v>70.42</v>
      </c>
      <c r="E19527">
        <v>1897</v>
      </c>
      <c r="F19527">
        <v>561</v>
      </c>
      <c r="G19527">
        <v>116</v>
      </c>
      <c r="H19527">
        <v>1</v>
      </c>
      <c r="I19527">
        <v>1796</v>
      </c>
      <c r="J19527">
        <v>1</v>
      </c>
      <c r="K19527">
        <v>78</v>
      </c>
      <c r="L19527">
        <v>1959</v>
      </c>
      <c r="M19527">
        <v>1</v>
      </c>
      <c r="N19527">
        <v>0</v>
      </c>
      <c r="O19527">
        <v>6810</v>
      </c>
    </row>
    <row r="19528" spans="1:15" x14ac:dyDescent="0.25">
      <c r="A19528" t="s">
        <v>19541</v>
      </c>
      <c r="B19528">
        <v>529</v>
      </c>
      <c r="C19528" s="1" t="str">
        <f>HYPERLINK("http://www.rosaceae.org/gb/gbrowse/malus_x_domestica/?name=MDP0000248963","MDP0000248963")</f>
        <v>MDP0000248963</v>
      </c>
      <c r="D19528">
        <v>80.760000000000005</v>
      </c>
      <c r="E19528">
        <v>468</v>
      </c>
      <c r="F19528">
        <v>90</v>
      </c>
      <c r="G19528">
        <v>17</v>
      </c>
      <c r="H19528">
        <v>77</v>
      </c>
      <c r="I19528">
        <v>528</v>
      </c>
      <c r="J19528">
        <v>1</v>
      </c>
      <c r="K19528">
        <v>382</v>
      </c>
      <c r="L19528">
        <v>848</v>
      </c>
      <c r="M19528">
        <v>1</v>
      </c>
      <c r="N19528">
        <v>0</v>
      </c>
      <c r="O19528">
        <v>2061</v>
      </c>
    </row>
    <row r="19529" spans="1:15" x14ac:dyDescent="0.25">
      <c r="A19529" t="s">
        <v>19542</v>
      </c>
      <c r="B19529">
        <v>212</v>
      </c>
      <c r="C19529" s="1" t="str">
        <f>HYPERLINK("http://www.rosaceae.org/gb/gbrowse/malus_x_domestica/?name=MDP0000126976","MDP0000126976")</f>
        <v>MDP0000126976</v>
      </c>
      <c r="D19529">
        <v>45.04</v>
      </c>
      <c r="E19529">
        <v>222</v>
      </c>
      <c r="F19529">
        <v>122</v>
      </c>
      <c r="G19529">
        <v>32</v>
      </c>
      <c r="H19529">
        <v>1</v>
      </c>
      <c r="I19529">
        <v>212</v>
      </c>
      <c r="J19529">
        <v>1</v>
      </c>
      <c r="K19529">
        <v>6</v>
      </c>
      <c r="L19529">
        <v>205</v>
      </c>
      <c r="M19529">
        <v>1</v>
      </c>
      <c r="N19529">
        <v>5.8801199999999997E-40</v>
      </c>
      <c r="O19529">
        <v>407</v>
      </c>
    </row>
    <row r="19530" spans="1:15" x14ac:dyDescent="0.25">
      <c r="A19530" t="s">
        <v>19543</v>
      </c>
      <c r="B19530">
        <v>268</v>
      </c>
      <c r="C19530" s="1" t="str">
        <f>HYPERLINK("http://www.rosaceae.org/gb/gbrowse/malus_x_domestica/?name=MDP0000240828","MDP0000240828")</f>
        <v>MDP0000240828</v>
      </c>
      <c r="D19530">
        <v>82.85</v>
      </c>
      <c r="E19530">
        <v>35</v>
      </c>
      <c r="F19530">
        <v>6</v>
      </c>
      <c r="G19530">
        <v>0</v>
      </c>
      <c r="H19530">
        <v>203</v>
      </c>
      <c r="I19530">
        <v>237</v>
      </c>
      <c r="J19530">
        <v>1</v>
      </c>
      <c r="K19530">
        <v>193</v>
      </c>
      <c r="L19530">
        <v>227</v>
      </c>
      <c r="M19530">
        <v>1</v>
      </c>
      <c r="N19530">
        <v>4.3452099999999998E-12</v>
      </c>
      <c r="O19530">
        <v>168</v>
      </c>
    </row>
    <row r="19531" spans="1:15" x14ac:dyDescent="0.25">
      <c r="A19531" t="s">
        <v>19544</v>
      </c>
      <c r="B19531">
        <v>379</v>
      </c>
      <c r="C19531" s="1" t="str">
        <f>HYPERLINK("http://www.rosaceae.org/gb/gbrowse/malus_x_domestica/?name=MDP0000166992","MDP0000166992")</f>
        <v>MDP0000166992</v>
      </c>
      <c r="D19531">
        <v>46.92</v>
      </c>
      <c r="E19531">
        <v>456</v>
      </c>
      <c r="F19531">
        <v>242</v>
      </c>
      <c r="G19531">
        <v>102</v>
      </c>
      <c r="H19531">
        <v>4</v>
      </c>
      <c r="I19531">
        <v>358</v>
      </c>
      <c r="J19531">
        <v>1</v>
      </c>
      <c r="K19531">
        <v>9</v>
      </c>
      <c r="L19531">
        <v>463</v>
      </c>
      <c r="M19531">
        <v>1</v>
      </c>
      <c r="N19531">
        <v>4.08377E-103</v>
      </c>
      <c r="O19531">
        <v>954</v>
      </c>
    </row>
    <row r="19532" spans="1:15" x14ac:dyDescent="0.25">
      <c r="A19532" t="s">
        <v>19545</v>
      </c>
      <c r="B19532">
        <v>770</v>
      </c>
      <c r="C19532" s="1" t="str">
        <f>HYPERLINK("http://www.rosaceae.org/gb/gbrowse/malus_x_domestica/?name=MDP0000229862","MDP0000229862")</f>
        <v>MDP0000229862</v>
      </c>
      <c r="D19532">
        <v>77.2</v>
      </c>
      <c r="E19532">
        <v>193</v>
      </c>
      <c r="F19532">
        <v>44</v>
      </c>
      <c r="G19532">
        <v>13</v>
      </c>
      <c r="H19532">
        <v>589</v>
      </c>
      <c r="I19532">
        <v>768</v>
      </c>
      <c r="J19532">
        <v>1</v>
      </c>
      <c r="K19532">
        <v>170</v>
      </c>
      <c r="L19532">
        <v>362</v>
      </c>
      <c r="M19532">
        <v>1</v>
      </c>
      <c r="N19532">
        <v>1.91314E-84</v>
      </c>
      <c r="O19532">
        <v>797</v>
      </c>
    </row>
    <row r="19533" spans="1:15" x14ac:dyDescent="0.25">
      <c r="A19533" t="s">
        <v>19546</v>
      </c>
      <c r="B19533">
        <v>603</v>
      </c>
      <c r="C19533" s="1" t="str">
        <f>HYPERLINK("http://www.rosaceae.org/gb/gbrowse/malus_x_domestica/?name=MDP0000470064","MDP0000470064")</f>
        <v>MDP0000470064</v>
      </c>
      <c r="D19533">
        <v>76.27</v>
      </c>
      <c r="E19533">
        <v>548</v>
      </c>
      <c r="F19533">
        <v>130</v>
      </c>
      <c r="G19533">
        <v>38</v>
      </c>
      <c r="H19533">
        <v>8</v>
      </c>
      <c r="I19533">
        <v>555</v>
      </c>
      <c r="J19533">
        <v>1</v>
      </c>
      <c r="K19533">
        <v>13</v>
      </c>
      <c r="L19533">
        <v>522</v>
      </c>
      <c r="M19533">
        <v>1</v>
      </c>
      <c r="N19533">
        <v>0</v>
      </c>
      <c r="O19533">
        <v>2157</v>
      </c>
    </row>
    <row r="19534" spans="1:15" x14ac:dyDescent="0.25">
      <c r="A19534" t="s">
        <v>19547</v>
      </c>
      <c r="B19534">
        <v>277</v>
      </c>
      <c r="C19534" s="1" t="str">
        <f>HYPERLINK("http://www.rosaceae.org/gb/gbrowse/malus_x_domestica/?name=MDP0000312793","MDP0000312793")</f>
        <v>MDP0000312793</v>
      </c>
      <c r="D19534">
        <v>35.950000000000003</v>
      </c>
      <c r="E19534">
        <v>89</v>
      </c>
      <c r="F19534">
        <v>57</v>
      </c>
      <c r="G19534">
        <v>17</v>
      </c>
      <c r="H19534">
        <v>119</v>
      </c>
      <c r="I19534">
        <v>190</v>
      </c>
      <c r="J19534">
        <v>1</v>
      </c>
      <c r="K19534">
        <v>288</v>
      </c>
      <c r="L19534">
        <v>376</v>
      </c>
      <c r="M19534">
        <v>1</v>
      </c>
      <c r="N19534">
        <v>2.3136899999999999E-8</v>
      </c>
      <c r="O19534">
        <v>136</v>
      </c>
    </row>
    <row r="19535" spans="1:15" x14ac:dyDescent="0.25">
      <c r="A19535" t="s">
        <v>19548</v>
      </c>
      <c r="B19535">
        <v>359</v>
      </c>
      <c r="C19535" s="1" t="str">
        <f>HYPERLINK("http://www.rosaceae.org/gb/gbrowse/malus_x_domestica/?name=MDP0000262329","MDP0000262329")</f>
        <v>MDP0000262329</v>
      </c>
      <c r="D19535">
        <v>73.69</v>
      </c>
      <c r="E19535">
        <v>403</v>
      </c>
      <c r="F19535">
        <v>106</v>
      </c>
      <c r="G19535">
        <v>54</v>
      </c>
      <c r="H19535">
        <v>1</v>
      </c>
      <c r="I19535">
        <v>349</v>
      </c>
      <c r="J19535">
        <v>1</v>
      </c>
      <c r="K19535">
        <v>1</v>
      </c>
      <c r="L19535">
        <v>403</v>
      </c>
      <c r="M19535">
        <v>1</v>
      </c>
      <c r="N19535">
        <v>4.4251900000000002E-169</v>
      </c>
      <c r="O19535">
        <v>1523</v>
      </c>
    </row>
    <row r="19536" spans="1:15" x14ac:dyDescent="0.25">
      <c r="A19536" t="s">
        <v>19549</v>
      </c>
      <c r="B19536">
        <v>317</v>
      </c>
      <c r="C19536" s="1" t="str">
        <f>HYPERLINK("http://www.rosaceae.org/gb/gbrowse/malus_x_domestica/?name=MDP0000264889","MDP0000264889")</f>
        <v>MDP0000264889</v>
      </c>
      <c r="D19536">
        <v>86.31</v>
      </c>
      <c r="E19536">
        <v>285</v>
      </c>
      <c r="F19536">
        <v>39</v>
      </c>
      <c r="G19536">
        <v>1</v>
      </c>
      <c r="H19536">
        <v>1</v>
      </c>
      <c r="I19536">
        <v>284</v>
      </c>
      <c r="J19536">
        <v>1</v>
      </c>
      <c r="K19536">
        <v>341</v>
      </c>
      <c r="L19536">
        <v>625</v>
      </c>
      <c r="M19536">
        <v>1</v>
      </c>
      <c r="N19536">
        <v>1.49551E-151</v>
      </c>
      <c r="O19536">
        <v>1371</v>
      </c>
    </row>
    <row r="19537" spans="1:15" x14ac:dyDescent="0.25">
      <c r="A19537" t="s">
        <v>19550</v>
      </c>
      <c r="B19537">
        <v>161</v>
      </c>
      <c r="C19537" s="1" t="str">
        <f>HYPERLINK("http://www.rosaceae.org/gb/gbrowse/malus_x_domestica/?name=MDP0000713652","MDP0000713652")</f>
        <v>MDP0000713652</v>
      </c>
      <c r="D19537">
        <v>56.47</v>
      </c>
      <c r="E19537">
        <v>85</v>
      </c>
      <c r="F19537">
        <v>37</v>
      </c>
      <c r="G19537">
        <v>3</v>
      </c>
      <c r="H19537">
        <v>79</v>
      </c>
      <c r="I19537">
        <v>160</v>
      </c>
      <c r="J19537">
        <v>1</v>
      </c>
      <c r="K19537">
        <v>84</v>
      </c>
      <c r="L19537">
        <v>168</v>
      </c>
      <c r="M19537">
        <v>1</v>
      </c>
      <c r="N19537">
        <v>8.0060399999999995E-20</v>
      </c>
      <c r="O19537">
        <v>231</v>
      </c>
    </row>
    <row r="19538" spans="1:15" x14ac:dyDescent="0.25">
      <c r="A19538" t="s">
        <v>19551</v>
      </c>
      <c r="B19538">
        <v>424</v>
      </c>
      <c r="C19538" s="1" t="str">
        <f>HYPERLINK("http://www.rosaceae.org/gb/gbrowse/malus_x_domestica/?name=MDP0000640146","MDP0000640146")</f>
        <v>MDP0000640146</v>
      </c>
      <c r="D19538">
        <v>55.18</v>
      </c>
      <c r="E19538">
        <v>270</v>
      </c>
      <c r="F19538">
        <v>121</v>
      </c>
      <c r="G19538">
        <v>2</v>
      </c>
      <c r="H19538">
        <v>151</v>
      </c>
      <c r="I19538">
        <v>420</v>
      </c>
      <c r="J19538">
        <v>1</v>
      </c>
      <c r="K19538">
        <v>35</v>
      </c>
      <c r="L19538">
        <v>302</v>
      </c>
      <c r="M19538">
        <v>1</v>
      </c>
      <c r="N19538">
        <v>1.4328800000000001E-72</v>
      </c>
      <c r="O19538">
        <v>692</v>
      </c>
    </row>
    <row r="19539" spans="1:15" x14ac:dyDescent="0.25">
      <c r="A19539" t="s">
        <v>19552</v>
      </c>
      <c r="B19539">
        <v>706</v>
      </c>
      <c r="C19539" s="1" t="str">
        <f>HYPERLINK("http://www.rosaceae.org/gb/gbrowse/malus_x_domestica/?name=MDP0000020140","MDP0000020140")</f>
        <v>MDP0000020140</v>
      </c>
      <c r="D19539">
        <v>62.44</v>
      </c>
      <c r="E19539">
        <v>743</v>
      </c>
      <c r="F19539">
        <v>279</v>
      </c>
      <c r="G19539">
        <v>47</v>
      </c>
      <c r="H19539">
        <v>6</v>
      </c>
      <c r="I19539">
        <v>706</v>
      </c>
      <c r="J19539">
        <v>1</v>
      </c>
      <c r="K19539">
        <v>5</v>
      </c>
      <c r="L19539">
        <v>742</v>
      </c>
      <c r="M19539">
        <v>1</v>
      </c>
      <c r="N19539">
        <v>0</v>
      </c>
      <c r="O19539">
        <v>2383</v>
      </c>
    </row>
    <row r="19540" spans="1:15" x14ac:dyDescent="0.25">
      <c r="A19540" t="s">
        <v>19553</v>
      </c>
      <c r="B19540">
        <v>327</v>
      </c>
      <c r="C19540" s="1" t="str">
        <f>HYPERLINK("http://www.rosaceae.org/gb/gbrowse/malus_x_domestica/?name=MDP0000499527","MDP0000499527")</f>
        <v>MDP0000499527</v>
      </c>
      <c r="D19540">
        <v>45.02</v>
      </c>
      <c r="E19540">
        <v>171</v>
      </c>
      <c r="F19540">
        <v>94</v>
      </c>
      <c r="G19540">
        <v>11</v>
      </c>
      <c r="H19540">
        <v>121</v>
      </c>
      <c r="I19540">
        <v>290</v>
      </c>
      <c r="J19540">
        <v>1</v>
      </c>
      <c r="K19540">
        <v>41</v>
      </c>
      <c r="L19540">
        <v>201</v>
      </c>
      <c r="M19540">
        <v>1</v>
      </c>
      <c r="N19540">
        <v>1.6449899999999999E-38</v>
      </c>
      <c r="O19540">
        <v>397</v>
      </c>
    </row>
    <row r="19541" spans="1:15" x14ac:dyDescent="0.25">
      <c r="A19541" t="s">
        <v>19554</v>
      </c>
      <c r="B19541">
        <v>362</v>
      </c>
      <c r="C19541" s="1" t="str">
        <f>HYPERLINK("http://www.rosaceae.org/gb/gbrowse/malus_x_domestica/?name=MDP0000288182","MDP0000288182")</f>
        <v>MDP0000288182</v>
      </c>
      <c r="D19541">
        <v>80</v>
      </c>
      <c r="E19541">
        <v>345</v>
      </c>
      <c r="F19541">
        <v>69</v>
      </c>
      <c r="G19541">
        <v>46</v>
      </c>
      <c r="H19541">
        <v>1</v>
      </c>
      <c r="I19541">
        <v>344</v>
      </c>
      <c r="J19541">
        <v>1</v>
      </c>
      <c r="K19541">
        <v>1</v>
      </c>
      <c r="L19541">
        <v>300</v>
      </c>
      <c r="M19541">
        <v>1</v>
      </c>
      <c r="N19541">
        <v>2.25444E-147</v>
      </c>
      <c r="O19541">
        <v>1336</v>
      </c>
    </row>
    <row r="19542" spans="1:15" x14ac:dyDescent="0.25">
      <c r="A19542" t="s">
        <v>19555</v>
      </c>
      <c r="B19542">
        <v>344</v>
      </c>
      <c r="C19542" s="1" t="str">
        <f>HYPERLINK("http://www.rosaceae.org/gb/gbrowse/malus_x_domestica/?name=MDP0000147719","MDP0000147719")</f>
        <v>MDP0000147719</v>
      </c>
      <c r="D19542">
        <v>47.23</v>
      </c>
      <c r="E19542">
        <v>343</v>
      </c>
      <c r="F19542">
        <v>181</v>
      </c>
      <c r="G19542">
        <v>45</v>
      </c>
      <c r="H19542">
        <v>28</v>
      </c>
      <c r="I19542">
        <v>343</v>
      </c>
      <c r="J19542">
        <v>1</v>
      </c>
      <c r="K19542">
        <v>23</v>
      </c>
      <c r="L19542">
        <v>347</v>
      </c>
      <c r="M19542">
        <v>1</v>
      </c>
      <c r="N19542">
        <v>5.9391300000000004E-65</v>
      </c>
      <c r="O19542">
        <v>625</v>
      </c>
    </row>
    <row r="19543" spans="1:15" x14ac:dyDescent="0.25">
      <c r="A19543" t="s">
        <v>19556</v>
      </c>
      <c r="B19543">
        <v>344</v>
      </c>
      <c r="C19543" s="1" t="str">
        <f>HYPERLINK("http://www.rosaceae.org/gb/gbrowse/malus_x_domestica/?name=MDP0000911144","MDP0000911144")</f>
        <v>MDP0000911144</v>
      </c>
      <c r="D19543">
        <v>67.55</v>
      </c>
      <c r="E19543">
        <v>299</v>
      </c>
      <c r="F19543">
        <v>97</v>
      </c>
      <c r="G19543">
        <v>24</v>
      </c>
      <c r="H19543">
        <v>66</v>
      </c>
      <c r="I19543">
        <v>342</v>
      </c>
      <c r="J19543">
        <v>1</v>
      </c>
      <c r="K19543">
        <v>34</v>
      </c>
      <c r="L19543">
        <v>330</v>
      </c>
      <c r="M19543">
        <v>1</v>
      </c>
      <c r="N19543">
        <v>4.7598299999999996E-109</v>
      </c>
      <c r="O19543">
        <v>1005</v>
      </c>
    </row>
    <row r="19544" spans="1:15" x14ac:dyDescent="0.25">
      <c r="A19544" t="s">
        <v>19557</v>
      </c>
      <c r="B19544">
        <v>697</v>
      </c>
      <c r="C19544" s="1" t="str">
        <f>HYPERLINK("http://www.rosaceae.org/gb/gbrowse/malus_x_domestica/?name=MDP0000866509","MDP0000866509")</f>
        <v>MDP0000866509</v>
      </c>
      <c r="D19544">
        <v>46.08</v>
      </c>
      <c r="E19544">
        <v>588</v>
      </c>
      <c r="F19544">
        <v>317</v>
      </c>
      <c r="G19544">
        <v>30</v>
      </c>
      <c r="H19544">
        <v>1</v>
      </c>
      <c r="I19544">
        <v>579</v>
      </c>
      <c r="J19544">
        <v>1</v>
      </c>
      <c r="K19544">
        <v>246</v>
      </c>
      <c r="L19544">
        <v>812</v>
      </c>
      <c r="M19544">
        <v>1</v>
      </c>
      <c r="N19544">
        <v>1.66438E-121</v>
      </c>
      <c r="O19544">
        <v>1116</v>
      </c>
    </row>
    <row r="19545" spans="1:15" x14ac:dyDescent="0.25">
      <c r="A19545" t="s">
        <v>19558</v>
      </c>
      <c r="B19545">
        <v>534</v>
      </c>
      <c r="C19545" s="1" t="str">
        <f>HYPERLINK("http://www.rosaceae.org/gb/gbrowse/malus_x_domestica/?name=MDP0000313025","MDP0000313025")</f>
        <v>MDP0000313025</v>
      </c>
      <c r="D19545">
        <v>54.88</v>
      </c>
      <c r="E19545">
        <v>512</v>
      </c>
      <c r="F19545">
        <v>231</v>
      </c>
      <c r="G19545">
        <v>28</v>
      </c>
      <c r="H19545">
        <v>24</v>
      </c>
      <c r="I19545">
        <v>534</v>
      </c>
      <c r="J19545">
        <v>1</v>
      </c>
      <c r="K19545">
        <v>178</v>
      </c>
      <c r="L19545">
        <v>662</v>
      </c>
      <c r="M19545">
        <v>1</v>
      </c>
      <c r="N19545">
        <v>1.3836699999999999E-139</v>
      </c>
      <c r="O19545">
        <v>1271</v>
      </c>
    </row>
    <row r="19546" spans="1:15" x14ac:dyDescent="0.25">
      <c r="A19546" t="s">
        <v>19559</v>
      </c>
      <c r="B19546">
        <v>473</v>
      </c>
      <c r="C19546" s="1" t="str">
        <f>HYPERLINK("http://www.rosaceae.org/gb/gbrowse/malus_x_domestica/?name=MDP0000897373","MDP0000897373")</f>
        <v>MDP0000897373</v>
      </c>
      <c r="D19546">
        <v>80.58</v>
      </c>
      <c r="E19546">
        <v>479</v>
      </c>
      <c r="F19546">
        <v>93</v>
      </c>
      <c r="G19546">
        <v>9</v>
      </c>
      <c r="H19546">
        <v>1</v>
      </c>
      <c r="I19546">
        <v>472</v>
      </c>
      <c r="J19546">
        <v>1</v>
      </c>
      <c r="K19546">
        <v>1</v>
      </c>
      <c r="L19546">
        <v>477</v>
      </c>
      <c r="M19546">
        <v>1</v>
      </c>
      <c r="N19546">
        <v>0</v>
      </c>
      <c r="O19546">
        <v>2075</v>
      </c>
    </row>
    <row r="19547" spans="1:15" x14ac:dyDescent="0.25">
      <c r="A19547" t="s">
        <v>19560</v>
      </c>
      <c r="B19547">
        <v>537</v>
      </c>
      <c r="C19547" s="1" t="str">
        <f>HYPERLINK("http://www.rosaceae.org/gb/gbrowse/malus_x_domestica/?name=MDP0000749087","MDP0000749087")</f>
        <v>MDP0000749087</v>
      </c>
      <c r="D19547">
        <v>40.15</v>
      </c>
      <c r="E19547">
        <v>518</v>
      </c>
      <c r="F19547">
        <v>310</v>
      </c>
      <c r="G19547">
        <v>18</v>
      </c>
      <c r="H19547">
        <v>19</v>
      </c>
      <c r="I19547">
        <v>535</v>
      </c>
      <c r="J19547">
        <v>1</v>
      </c>
      <c r="K19547">
        <v>112</v>
      </c>
      <c r="L19547">
        <v>612</v>
      </c>
      <c r="M19547">
        <v>1</v>
      </c>
      <c r="N19547">
        <v>2.5402999999999998E-111</v>
      </c>
      <c r="O19547">
        <v>1027</v>
      </c>
    </row>
    <row r="19548" spans="1:15" x14ac:dyDescent="0.25">
      <c r="A19548" t="s">
        <v>19561</v>
      </c>
      <c r="B19548">
        <v>714</v>
      </c>
      <c r="C19548" s="1" t="str">
        <f>HYPERLINK("http://www.rosaceae.org/gb/gbrowse/malus_x_domestica/?name=MDP0000709006","MDP0000709006")</f>
        <v>MDP0000709006</v>
      </c>
      <c r="D19548">
        <v>56.79</v>
      </c>
      <c r="E19548">
        <v>648</v>
      </c>
      <c r="F19548">
        <v>280</v>
      </c>
      <c r="G19548">
        <v>70</v>
      </c>
      <c r="H19548">
        <v>1</v>
      </c>
      <c r="I19548">
        <v>643</v>
      </c>
      <c r="J19548">
        <v>1</v>
      </c>
      <c r="K19548">
        <v>332</v>
      </c>
      <c r="L19548">
        <v>914</v>
      </c>
      <c r="M19548">
        <v>1</v>
      </c>
      <c r="N19548">
        <v>0</v>
      </c>
      <c r="O19548">
        <v>1756</v>
      </c>
    </row>
    <row r="19549" spans="1:15" x14ac:dyDescent="0.25">
      <c r="A19549" t="s">
        <v>19562</v>
      </c>
      <c r="B19549">
        <v>178</v>
      </c>
      <c r="C19549" s="1" t="str">
        <f>HYPERLINK("http://www.rosaceae.org/gb/gbrowse/malus_x_domestica/?name=MDP0000163774","MDP0000163774")</f>
        <v>MDP0000163774</v>
      </c>
      <c r="D19549">
        <v>27.11</v>
      </c>
      <c r="E19549">
        <v>118</v>
      </c>
      <c r="F19549">
        <v>86</v>
      </c>
      <c r="G19549">
        <v>0</v>
      </c>
      <c r="H19549">
        <v>17</v>
      </c>
      <c r="I19549">
        <v>134</v>
      </c>
      <c r="J19549">
        <v>1</v>
      </c>
      <c r="K19549">
        <v>448</v>
      </c>
      <c r="L19549">
        <v>565</v>
      </c>
      <c r="M19549">
        <v>1</v>
      </c>
      <c r="N19549">
        <v>3.3354299999999999E-9</v>
      </c>
      <c r="O19549">
        <v>140</v>
      </c>
    </row>
    <row r="19550" spans="1:15" x14ac:dyDescent="0.25">
      <c r="A19550" t="s">
        <v>19563</v>
      </c>
      <c r="B19550">
        <v>209</v>
      </c>
      <c r="C19550" s="1" t="str">
        <f>HYPERLINK("http://www.rosaceae.org/gb/gbrowse/malus_x_domestica/?name=MDP0000294068","MDP0000294068")</f>
        <v>MDP0000294068</v>
      </c>
      <c r="D19550">
        <v>94.07</v>
      </c>
      <c r="E19550">
        <v>135</v>
      </c>
      <c r="F19550">
        <v>8</v>
      </c>
      <c r="G19550">
        <v>0</v>
      </c>
      <c r="H19550">
        <v>28</v>
      </c>
      <c r="I19550">
        <v>162</v>
      </c>
      <c r="J19550">
        <v>1</v>
      </c>
      <c r="K19550">
        <v>103</v>
      </c>
      <c r="L19550">
        <v>237</v>
      </c>
      <c r="M19550">
        <v>1</v>
      </c>
      <c r="N19550">
        <v>3.4070399999999999E-74</v>
      </c>
      <c r="O19550">
        <v>702</v>
      </c>
    </row>
    <row r="19551" spans="1:15" x14ac:dyDescent="0.25">
      <c r="A19551" t="s">
        <v>19564</v>
      </c>
      <c r="B19551">
        <v>330</v>
      </c>
      <c r="C19551" s="1" t="str">
        <f>HYPERLINK("http://www.rosaceae.org/gb/gbrowse/malus_x_domestica/?name=MDP0000135761","MDP0000135761")</f>
        <v>MDP0000135761</v>
      </c>
      <c r="D19551">
        <v>52.27</v>
      </c>
      <c r="E19551">
        <v>176</v>
      </c>
      <c r="F19551">
        <v>84</v>
      </c>
      <c r="G19551">
        <v>6</v>
      </c>
      <c r="H19551">
        <v>158</v>
      </c>
      <c r="I19551">
        <v>328</v>
      </c>
      <c r="J19551">
        <v>1</v>
      </c>
      <c r="K19551">
        <v>31</v>
      </c>
      <c r="L19551">
        <v>205</v>
      </c>
      <c r="M19551">
        <v>1</v>
      </c>
      <c r="N19551">
        <v>6.3148799999999999E-49</v>
      </c>
      <c r="O19551">
        <v>486</v>
      </c>
    </row>
    <row r="19552" spans="1:15" x14ac:dyDescent="0.25">
      <c r="A19552" t="s">
        <v>19565</v>
      </c>
      <c r="B19552">
        <v>368</v>
      </c>
      <c r="C19552" s="1" t="str">
        <f>HYPERLINK("http://www.rosaceae.org/gb/gbrowse/malus_x_domestica/?name=MDP0000652198","MDP0000652198")</f>
        <v>MDP0000652198</v>
      </c>
      <c r="D19552">
        <v>66.13</v>
      </c>
      <c r="E19552">
        <v>378</v>
      </c>
      <c r="F19552">
        <v>128</v>
      </c>
      <c r="G19552">
        <v>25</v>
      </c>
      <c r="H19552">
        <v>1</v>
      </c>
      <c r="I19552">
        <v>358</v>
      </c>
      <c r="J19552">
        <v>1</v>
      </c>
      <c r="K19552">
        <v>1</v>
      </c>
      <c r="L19552">
        <v>373</v>
      </c>
      <c r="M19552">
        <v>1</v>
      </c>
      <c r="N19552">
        <v>3.10657E-128</v>
      </c>
      <c r="O19552">
        <v>1171</v>
      </c>
    </row>
    <row r="19553" spans="1:15" x14ac:dyDescent="0.25">
      <c r="A19553" t="s">
        <v>19566</v>
      </c>
      <c r="B19553">
        <v>604</v>
      </c>
      <c r="C19553" s="1" t="str">
        <f>HYPERLINK("http://www.rosaceae.org/gb/gbrowse/malus_x_domestica/?name=MDP0000227368","MDP0000227368")</f>
        <v>MDP0000227368</v>
      </c>
      <c r="D19553">
        <v>67.22</v>
      </c>
      <c r="E19553">
        <v>534</v>
      </c>
      <c r="F19553">
        <v>175</v>
      </c>
      <c r="G19553">
        <v>11</v>
      </c>
      <c r="H19553">
        <v>82</v>
      </c>
      <c r="I19553">
        <v>604</v>
      </c>
      <c r="J19553">
        <v>1</v>
      </c>
      <c r="K19553">
        <v>1</v>
      </c>
      <c r="L19553">
        <v>534</v>
      </c>
      <c r="M19553">
        <v>1</v>
      </c>
      <c r="N19553">
        <v>0</v>
      </c>
      <c r="O19553">
        <v>1843</v>
      </c>
    </row>
    <row r="19554" spans="1:15" x14ac:dyDescent="0.25">
      <c r="A19554" t="s">
        <v>19567</v>
      </c>
      <c r="B19554">
        <v>198</v>
      </c>
      <c r="C19554" s="1" t="str">
        <f>HYPERLINK("http://www.rosaceae.org/gb/gbrowse/malus_x_domestica/?name=MDP0000854228","MDP0000854228")</f>
        <v>MDP0000854228</v>
      </c>
      <c r="D19554">
        <v>83.62</v>
      </c>
      <c r="E19554">
        <v>116</v>
      </c>
      <c r="F19554">
        <v>19</v>
      </c>
      <c r="G19554">
        <v>1</v>
      </c>
      <c r="H19554">
        <v>77</v>
      </c>
      <c r="I19554">
        <v>191</v>
      </c>
      <c r="J19554">
        <v>1</v>
      </c>
      <c r="K19554">
        <v>2</v>
      </c>
      <c r="L19554">
        <v>117</v>
      </c>
      <c r="M19554">
        <v>1</v>
      </c>
      <c r="N19554">
        <v>1.97887E-49</v>
      </c>
      <c r="O19554">
        <v>488</v>
      </c>
    </row>
    <row r="19555" spans="1:15" x14ac:dyDescent="0.25">
      <c r="A19555" t="s">
        <v>19568</v>
      </c>
      <c r="B19555">
        <v>209</v>
      </c>
      <c r="C19555" s="1" t="str">
        <f>HYPERLINK("http://www.rosaceae.org/gb/gbrowse/malus_x_domestica/?name=MDP0000175071","MDP0000175071")</f>
        <v>MDP0000175071</v>
      </c>
      <c r="D19555">
        <v>79.42</v>
      </c>
      <c r="E19555">
        <v>209</v>
      </c>
      <c r="F19555">
        <v>43</v>
      </c>
      <c r="G19555">
        <v>0</v>
      </c>
      <c r="H19555">
        <v>1</v>
      </c>
      <c r="I19555">
        <v>209</v>
      </c>
      <c r="J19555">
        <v>1</v>
      </c>
      <c r="K19555">
        <v>1</v>
      </c>
      <c r="L19555">
        <v>209</v>
      </c>
      <c r="M19555">
        <v>1</v>
      </c>
      <c r="N19555">
        <v>1.78275E-92</v>
      </c>
      <c r="O19555">
        <v>859</v>
      </c>
    </row>
    <row r="19556" spans="1:15" x14ac:dyDescent="0.25">
      <c r="A19556" t="s">
        <v>19569</v>
      </c>
      <c r="B19556">
        <v>131</v>
      </c>
      <c r="C19556" s="1" t="str">
        <f>HYPERLINK("http://www.rosaceae.org/gb/gbrowse/malus_x_domestica/?name=MDP0000174011","MDP0000174011")</f>
        <v>MDP0000174011</v>
      </c>
      <c r="D19556">
        <v>62.72</v>
      </c>
      <c r="E19556">
        <v>110</v>
      </c>
      <c r="F19556">
        <v>41</v>
      </c>
      <c r="G19556">
        <v>2</v>
      </c>
      <c r="H19556">
        <v>14</v>
      </c>
      <c r="I19556">
        <v>121</v>
      </c>
      <c r="J19556">
        <v>1</v>
      </c>
      <c r="K19556">
        <v>293</v>
      </c>
      <c r="L19556">
        <v>402</v>
      </c>
      <c r="M19556">
        <v>1</v>
      </c>
      <c r="N19556">
        <v>1.22234E-34</v>
      </c>
      <c r="O19556">
        <v>357</v>
      </c>
    </row>
    <row r="19557" spans="1:15" x14ac:dyDescent="0.25">
      <c r="A19557" t="s">
        <v>19570</v>
      </c>
      <c r="B19557">
        <v>236</v>
      </c>
      <c r="C19557" s="1" t="str">
        <f>HYPERLINK("http://www.rosaceae.org/gb/gbrowse/malus_x_domestica/?name=MDP0000223999","MDP0000223999")</f>
        <v>MDP0000223999</v>
      </c>
      <c r="D19557">
        <v>36.97</v>
      </c>
      <c r="E19557">
        <v>238</v>
      </c>
      <c r="F19557">
        <v>150</v>
      </c>
      <c r="G19557">
        <v>20</v>
      </c>
      <c r="H19557">
        <v>1</v>
      </c>
      <c r="I19557">
        <v>232</v>
      </c>
      <c r="J19557">
        <v>1</v>
      </c>
      <c r="K19557">
        <v>64</v>
      </c>
      <c r="L19557">
        <v>287</v>
      </c>
      <c r="M19557">
        <v>1</v>
      </c>
      <c r="N19557">
        <v>1.75231E-36</v>
      </c>
      <c r="O19557">
        <v>377</v>
      </c>
    </row>
    <row r="19558" spans="1:15" x14ac:dyDescent="0.25">
      <c r="A19558" t="s">
        <v>19571</v>
      </c>
      <c r="B19558">
        <v>157</v>
      </c>
      <c r="C19558" s="1" t="str">
        <f>HYPERLINK("http://www.rosaceae.org/gb/gbrowse/malus_x_domestica/?name=MDP0000415894","MDP0000415894")</f>
        <v>MDP0000415894</v>
      </c>
      <c r="D19558">
        <v>54.21</v>
      </c>
      <c r="E19558">
        <v>83</v>
      </c>
      <c r="F19558">
        <v>38</v>
      </c>
      <c r="G19558">
        <v>4</v>
      </c>
      <c r="H19558">
        <v>1</v>
      </c>
      <c r="I19558">
        <v>83</v>
      </c>
      <c r="J19558">
        <v>1</v>
      </c>
      <c r="K19558">
        <v>930</v>
      </c>
      <c r="L19558">
        <v>1008</v>
      </c>
      <c r="M19558">
        <v>1</v>
      </c>
      <c r="N19558">
        <v>7.9824199999999997E-16</v>
      </c>
      <c r="O19558">
        <v>196</v>
      </c>
    </row>
    <row r="19559" spans="1:15" x14ac:dyDescent="0.25">
      <c r="A19559" t="s">
        <v>19572</v>
      </c>
      <c r="B19559">
        <v>663</v>
      </c>
      <c r="C19559" s="1" t="str">
        <f>HYPERLINK("http://www.rosaceae.org/gb/gbrowse/malus_x_domestica/?name=MDP0000140817","MDP0000140817")</f>
        <v>MDP0000140817</v>
      </c>
      <c r="D19559">
        <v>85.3</v>
      </c>
      <c r="E19559">
        <v>245</v>
      </c>
      <c r="F19559">
        <v>36</v>
      </c>
      <c r="G19559">
        <v>0</v>
      </c>
      <c r="H19559">
        <v>363</v>
      </c>
      <c r="I19559">
        <v>607</v>
      </c>
      <c r="J19559">
        <v>1</v>
      </c>
      <c r="K19559">
        <v>114</v>
      </c>
      <c r="L19559">
        <v>358</v>
      </c>
      <c r="M19559">
        <v>1</v>
      </c>
      <c r="N19559">
        <v>1.3246800000000001E-127</v>
      </c>
      <c r="O19559">
        <v>1168</v>
      </c>
    </row>
    <row r="19560" spans="1:15" x14ac:dyDescent="0.25">
      <c r="A19560" t="s">
        <v>19573</v>
      </c>
      <c r="B19560">
        <v>394</v>
      </c>
      <c r="C19560" s="1" t="str">
        <f>HYPERLINK("http://www.rosaceae.org/gb/gbrowse/malus_x_domestica/?name=MDP0000325085","MDP0000325085")</f>
        <v>MDP0000325085</v>
      </c>
      <c r="D19560">
        <v>80.44</v>
      </c>
      <c r="E19560">
        <v>409</v>
      </c>
      <c r="F19560">
        <v>80</v>
      </c>
      <c r="G19560">
        <v>23</v>
      </c>
      <c r="H19560">
        <v>3</v>
      </c>
      <c r="I19560">
        <v>388</v>
      </c>
      <c r="J19560">
        <v>1</v>
      </c>
      <c r="K19560">
        <v>2</v>
      </c>
      <c r="L19560">
        <v>410</v>
      </c>
      <c r="M19560">
        <v>1</v>
      </c>
      <c r="N19560">
        <v>0</v>
      </c>
      <c r="O19560">
        <v>1796</v>
      </c>
    </row>
    <row r="19561" spans="1:15" x14ac:dyDescent="0.25">
      <c r="A19561" t="s">
        <v>19574</v>
      </c>
      <c r="B19561">
        <v>320</v>
      </c>
      <c r="C19561" s="1" t="str">
        <f>HYPERLINK("http://www.rosaceae.org/gb/gbrowse/malus_x_domestica/?name=MDP0000858290","MDP0000858290")</f>
        <v>MDP0000858290</v>
      </c>
      <c r="D19561">
        <v>91.35</v>
      </c>
      <c r="E19561">
        <v>243</v>
      </c>
      <c r="F19561">
        <v>21</v>
      </c>
      <c r="G19561">
        <v>1</v>
      </c>
      <c r="H19561">
        <v>1</v>
      </c>
      <c r="I19561">
        <v>243</v>
      </c>
      <c r="J19561">
        <v>1</v>
      </c>
      <c r="K19561">
        <v>1</v>
      </c>
      <c r="L19561">
        <v>242</v>
      </c>
      <c r="M19561">
        <v>1</v>
      </c>
      <c r="N19561">
        <v>2.00822E-132</v>
      </c>
      <c r="O19561">
        <v>1206</v>
      </c>
    </row>
    <row r="19562" spans="1:15" x14ac:dyDescent="0.25">
      <c r="A19562" t="s">
        <v>19575</v>
      </c>
      <c r="B19562">
        <v>321</v>
      </c>
      <c r="C19562" s="1" t="str">
        <f>HYPERLINK("http://www.rosaceae.org/gb/gbrowse/malus_x_domestica/?name=MDP0000288395","MDP0000288395")</f>
        <v>MDP0000288395</v>
      </c>
      <c r="D19562">
        <v>69.81</v>
      </c>
      <c r="E19562">
        <v>265</v>
      </c>
      <c r="F19562">
        <v>80</v>
      </c>
      <c r="G19562">
        <v>25</v>
      </c>
      <c r="H19562">
        <v>45</v>
      </c>
      <c r="I19562">
        <v>287</v>
      </c>
      <c r="J19562">
        <v>1</v>
      </c>
      <c r="K19562">
        <v>78</v>
      </c>
      <c r="L19562">
        <v>339</v>
      </c>
      <c r="M19562">
        <v>1</v>
      </c>
      <c r="N19562">
        <v>1.4476199999999999E-97</v>
      </c>
      <c r="O19562">
        <v>906</v>
      </c>
    </row>
    <row r="19563" spans="1:15" x14ac:dyDescent="0.25">
      <c r="A19563" t="s">
        <v>19576</v>
      </c>
      <c r="B19563">
        <v>1069</v>
      </c>
      <c r="C19563" s="1" t="str">
        <f>HYPERLINK("http://www.rosaceae.org/gb/gbrowse/malus_x_domestica/?name=MDP0000471442","MDP0000471442")</f>
        <v>MDP0000471442</v>
      </c>
      <c r="D19563">
        <v>45.19</v>
      </c>
      <c r="E19563">
        <v>936</v>
      </c>
      <c r="F19563">
        <v>513</v>
      </c>
      <c r="G19563">
        <v>77</v>
      </c>
      <c r="H19563">
        <v>170</v>
      </c>
      <c r="I19563">
        <v>1062</v>
      </c>
      <c r="J19563">
        <v>1</v>
      </c>
      <c r="K19563">
        <v>433</v>
      </c>
      <c r="L19563">
        <v>1334</v>
      </c>
      <c r="M19563">
        <v>1</v>
      </c>
      <c r="N19563">
        <v>0</v>
      </c>
      <c r="O19563">
        <v>1704</v>
      </c>
    </row>
    <row r="19564" spans="1:15" x14ac:dyDescent="0.25">
      <c r="A19564" t="s">
        <v>19577</v>
      </c>
      <c r="B19564">
        <v>309</v>
      </c>
      <c r="C19564" s="1" t="str">
        <f>HYPERLINK("http://www.rosaceae.org/gb/gbrowse/malus_x_domestica/?name=MDP0000119956","MDP0000119956")</f>
        <v>MDP0000119956</v>
      </c>
      <c r="D19564">
        <v>33.03</v>
      </c>
      <c r="E19564">
        <v>330</v>
      </c>
      <c r="F19564">
        <v>221</v>
      </c>
      <c r="G19564">
        <v>61</v>
      </c>
      <c r="H19564">
        <v>8</v>
      </c>
      <c r="I19564">
        <v>308</v>
      </c>
      <c r="J19564">
        <v>1</v>
      </c>
      <c r="K19564">
        <v>6</v>
      </c>
      <c r="L19564">
        <v>303</v>
      </c>
      <c r="M19564">
        <v>1</v>
      </c>
      <c r="N19564">
        <v>1.82368E-26</v>
      </c>
      <c r="O19564">
        <v>292</v>
      </c>
    </row>
    <row r="19565" spans="1:15" x14ac:dyDescent="0.25">
      <c r="A19565" t="s">
        <v>19578</v>
      </c>
      <c r="B19565">
        <v>402</v>
      </c>
      <c r="C19565" s="1" t="str">
        <f>HYPERLINK("http://www.rosaceae.org/gb/gbrowse/malus_x_domestica/?name=MDP0000391371","MDP0000391371")</f>
        <v>MDP0000391371</v>
      </c>
      <c r="D19565">
        <v>68.25</v>
      </c>
      <c r="E19565">
        <v>400</v>
      </c>
      <c r="F19565">
        <v>127</v>
      </c>
      <c r="G19565">
        <v>0</v>
      </c>
      <c r="H19565">
        <v>1</v>
      </c>
      <c r="I19565">
        <v>400</v>
      </c>
      <c r="J19565">
        <v>1</v>
      </c>
      <c r="K19565">
        <v>779</v>
      </c>
      <c r="L19565">
        <v>1178</v>
      </c>
      <c r="M19565">
        <v>1</v>
      </c>
      <c r="N19565">
        <v>9.9606899999999996E-159</v>
      </c>
      <c r="O19565">
        <v>1434</v>
      </c>
    </row>
    <row r="19566" spans="1:15" x14ac:dyDescent="0.25">
      <c r="A19566" t="s">
        <v>19579</v>
      </c>
      <c r="B19566">
        <v>348</v>
      </c>
      <c r="C19566" s="1" t="str">
        <f>HYPERLINK("http://www.rosaceae.org/gb/gbrowse/malus_x_domestica/?name=MDP0000189301","MDP0000189301")</f>
        <v>MDP0000189301</v>
      </c>
      <c r="D19566">
        <v>42.9</v>
      </c>
      <c r="E19566">
        <v>289</v>
      </c>
      <c r="F19566">
        <v>165</v>
      </c>
      <c r="G19566">
        <v>84</v>
      </c>
      <c r="H19566">
        <v>144</v>
      </c>
      <c r="I19566">
        <v>348</v>
      </c>
      <c r="J19566">
        <v>1</v>
      </c>
      <c r="K19566">
        <v>615</v>
      </c>
      <c r="L19566">
        <v>903</v>
      </c>
      <c r="M19566">
        <v>1</v>
      </c>
      <c r="N19566">
        <v>6.0679399999999994E-48</v>
      </c>
      <c r="O19566">
        <v>478</v>
      </c>
    </row>
    <row r="19567" spans="1:15" x14ac:dyDescent="0.25">
      <c r="A19567" t="s">
        <v>19580</v>
      </c>
      <c r="B19567">
        <v>227</v>
      </c>
      <c r="C19567" s="1" t="str">
        <f>HYPERLINK("http://www.rosaceae.org/gb/gbrowse/malus_x_domestica/?name=MDP0000230470","MDP0000230470")</f>
        <v>MDP0000230470</v>
      </c>
      <c r="D19567">
        <v>42.77</v>
      </c>
      <c r="E19567">
        <v>180</v>
      </c>
      <c r="F19567">
        <v>103</v>
      </c>
      <c r="G19567">
        <v>5</v>
      </c>
      <c r="H19567">
        <v>2</v>
      </c>
      <c r="I19567">
        <v>177</v>
      </c>
      <c r="J19567">
        <v>1</v>
      </c>
      <c r="K19567">
        <v>3</v>
      </c>
      <c r="L19567">
        <v>181</v>
      </c>
      <c r="M19567">
        <v>1</v>
      </c>
      <c r="N19567">
        <v>2.0723800000000001E-27</v>
      </c>
      <c r="O19567">
        <v>299</v>
      </c>
    </row>
    <row r="19568" spans="1:15" x14ac:dyDescent="0.25">
      <c r="A19568" t="s">
        <v>19581</v>
      </c>
      <c r="B19568">
        <v>365</v>
      </c>
      <c r="C19568" s="1" t="str">
        <f>HYPERLINK("http://www.rosaceae.org/gb/gbrowse/malus_x_domestica/?name=MDP0000176741","MDP0000176741")</f>
        <v>MDP0000176741</v>
      </c>
      <c r="D19568">
        <v>74.16</v>
      </c>
      <c r="E19568">
        <v>360</v>
      </c>
      <c r="F19568">
        <v>93</v>
      </c>
      <c r="G19568">
        <v>0</v>
      </c>
      <c r="H19568">
        <v>6</v>
      </c>
      <c r="I19568">
        <v>365</v>
      </c>
      <c r="J19568">
        <v>1</v>
      </c>
      <c r="K19568">
        <v>1</v>
      </c>
      <c r="L19568">
        <v>360</v>
      </c>
      <c r="M19568">
        <v>1</v>
      </c>
      <c r="N19568">
        <v>2.8000000000000002E-159</v>
      </c>
      <c r="O19568">
        <v>1439</v>
      </c>
    </row>
    <row r="19569" spans="1:15" x14ac:dyDescent="0.25">
      <c r="A19569" t="s">
        <v>19582</v>
      </c>
      <c r="B19569">
        <v>342</v>
      </c>
      <c r="C19569" s="1" t="str">
        <f>HYPERLINK("http://www.rosaceae.org/gb/gbrowse/malus_x_domestica/?name=MDP0000307862","MDP0000307862")</f>
        <v>MDP0000307862</v>
      </c>
      <c r="D19569">
        <v>45.19</v>
      </c>
      <c r="E19569">
        <v>177</v>
      </c>
      <c r="F19569">
        <v>97</v>
      </c>
      <c r="G19569">
        <v>28</v>
      </c>
      <c r="H19569">
        <v>63</v>
      </c>
      <c r="I19569">
        <v>221</v>
      </c>
      <c r="J19569">
        <v>1</v>
      </c>
      <c r="K19569">
        <v>1078</v>
      </c>
      <c r="L19569">
        <v>1244</v>
      </c>
      <c r="M19569">
        <v>1</v>
      </c>
      <c r="N19569">
        <v>1.4684399999999999E-21</v>
      </c>
      <c r="O19569">
        <v>251</v>
      </c>
    </row>
    <row r="19570" spans="1:15" x14ac:dyDescent="0.25">
      <c r="A19570" t="s">
        <v>19583</v>
      </c>
      <c r="B19570">
        <v>385</v>
      </c>
      <c r="C19570" s="1" t="str">
        <f>HYPERLINK("http://www.rosaceae.org/gb/gbrowse/malus_x_domestica/?name=MDP0000007997","MDP0000007997")</f>
        <v>MDP0000007997</v>
      </c>
      <c r="D19570">
        <v>76.760000000000005</v>
      </c>
      <c r="E19570">
        <v>383</v>
      </c>
      <c r="F19570">
        <v>89</v>
      </c>
      <c r="G19570">
        <v>2</v>
      </c>
      <c r="H19570">
        <v>1</v>
      </c>
      <c r="I19570">
        <v>381</v>
      </c>
      <c r="J19570">
        <v>1</v>
      </c>
      <c r="K19570">
        <v>2</v>
      </c>
      <c r="L19570">
        <v>384</v>
      </c>
      <c r="M19570">
        <v>1</v>
      </c>
      <c r="N19570">
        <v>8.74551E-170</v>
      </c>
      <c r="O19570">
        <v>1529</v>
      </c>
    </row>
    <row r="19571" spans="1:15" x14ac:dyDescent="0.25">
      <c r="A19571" t="s">
        <v>19584</v>
      </c>
      <c r="B19571">
        <v>273</v>
      </c>
      <c r="C19571" s="1" t="str">
        <f>HYPERLINK("http://www.rosaceae.org/gb/gbrowse/malus_x_domestica/?name=MDP0000538514","MDP0000538514")</f>
        <v>MDP0000538514</v>
      </c>
      <c r="D19571">
        <v>32.770000000000003</v>
      </c>
      <c r="E19571">
        <v>180</v>
      </c>
      <c r="F19571">
        <v>121</v>
      </c>
      <c r="G19571">
        <v>2</v>
      </c>
      <c r="H19571">
        <v>50</v>
      </c>
      <c r="I19571">
        <v>229</v>
      </c>
      <c r="J19571">
        <v>1</v>
      </c>
      <c r="K19571">
        <v>42</v>
      </c>
      <c r="L19571">
        <v>219</v>
      </c>
      <c r="M19571">
        <v>1</v>
      </c>
      <c r="N19571">
        <v>7.9234799999999999E-28</v>
      </c>
      <c r="O19571">
        <v>303</v>
      </c>
    </row>
    <row r="19572" spans="1:15" x14ac:dyDescent="0.25">
      <c r="A19572" t="s">
        <v>19585</v>
      </c>
      <c r="B19572">
        <v>275</v>
      </c>
      <c r="C19572" s="1" t="str">
        <f>HYPERLINK("http://www.rosaceae.org/gb/gbrowse/malus_x_domestica/?name=MDP0000940026","MDP0000940026")</f>
        <v>MDP0000940026</v>
      </c>
      <c r="D19572">
        <v>46.83</v>
      </c>
      <c r="E19572">
        <v>158</v>
      </c>
      <c r="F19572">
        <v>84</v>
      </c>
      <c r="G19572">
        <v>9</v>
      </c>
      <c r="H19572">
        <v>3</v>
      </c>
      <c r="I19572">
        <v>158</v>
      </c>
      <c r="J19572">
        <v>1</v>
      </c>
      <c r="K19572">
        <v>14</v>
      </c>
      <c r="L19572">
        <v>164</v>
      </c>
      <c r="M19572">
        <v>1</v>
      </c>
      <c r="N19572">
        <v>1.03644E-33</v>
      </c>
      <c r="O19572">
        <v>354</v>
      </c>
    </row>
    <row r="19573" spans="1:15" x14ac:dyDescent="0.25">
      <c r="A19573" t="s">
        <v>19586</v>
      </c>
      <c r="B19573">
        <v>546</v>
      </c>
      <c r="C19573" s="1" t="str">
        <f>HYPERLINK("http://www.rosaceae.org/gb/gbrowse/malus_x_domestica/?name=MDP0000948862","MDP0000948862")</f>
        <v>MDP0000948862</v>
      </c>
      <c r="D19573">
        <v>60</v>
      </c>
      <c r="E19573">
        <v>535</v>
      </c>
      <c r="F19573">
        <v>214</v>
      </c>
      <c r="G19573">
        <v>38</v>
      </c>
      <c r="H19573">
        <v>20</v>
      </c>
      <c r="I19573">
        <v>545</v>
      </c>
      <c r="J19573">
        <v>1</v>
      </c>
      <c r="K19573">
        <v>41</v>
      </c>
      <c r="L19573">
        <v>546</v>
      </c>
      <c r="M19573">
        <v>1</v>
      </c>
      <c r="N19573">
        <v>4.8892599999999997E-169</v>
      </c>
      <c r="O19573">
        <v>1525</v>
      </c>
    </row>
    <row r="19574" spans="1:15" x14ac:dyDescent="0.25">
      <c r="A19574" t="s">
        <v>19587</v>
      </c>
      <c r="B19574">
        <v>164</v>
      </c>
      <c r="C19574" s="1" t="str">
        <f>HYPERLINK("http://www.rosaceae.org/gb/gbrowse/malus_x_domestica/?name=MDP0000184861","MDP0000184861")</f>
        <v>MDP0000184861</v>
      </c>
      <c r="D19574">
        <v>92.13</v>
      </c>
      <c r="E19574">
        <v>89</v>
      </c>
      <c r="F19574">
        <v>7</v>
      </c>
      <c r="G19574">
        <v>0</v>
      </c>
      <c r="H19574">
        <v>8</v>
      </c>
      <c r="I19574">
        <v>96</v>
      </c>
      <c r="J19574">
        <v>1</v>
      </c>
      <c r="K19574">
        <v>119</v>
      </c>
      <c r="L19574">
        <v>207</v>
      </c>
      <c r="M19574">
        <v>1</v>
      </c>
      <c r="N19574">
        <v>3.4588799999999999E-41</v>
      </c>
      <c r="O19574">
        <v>415</v>
      </c>
    </row>
    <row r="19575" spans="1:15" x14ac:dyDescent="0.25">
      <c r="A19575" t="s">
        <v>19588</v>
      </c>
      <c r="B19575">
        <v>237</v>
      </c>
      <c r="C19575" s="1" t="str">
        <f>HYPERLINK("http://www.rosaceae.org/gb/gbrowse/malus_x_domestica/?name=MDP0000119183","MDP0000119183")</f>
        <v>MDP0000119183</v>
      </c>
      <c r="D19575">
        <v>62.59</v>
      </c>
      <c r="E19575">
        <v>262</v>
      </c>
      <c r="F19575">
        <v>98</v>
      </c>
      <c r="G19575">
        <v>54</v>
      </c>
      <c r="H19575">
        <v>8</v>
      </c>
      <c r="I19575">
        <v>237</v>
      </c>
      <c r="J19575">
        <v>1</v>
      </c>
      <c r="K19575">
        <v>212</v>
      </c>
      <c r="L19575">
        <v>451</v>
      </c>
      <c r="M19575">
        <v>1</v>
      </c>
      <c r="N19575">
        <v>2.55897E-79</v>
      </c>
      <c r="O19575">
        <v>747</v>
      </c>
    </row>
    <row r="19576" spans="1:15" x14ac:dyDescent="0.25">
      <c r="A19576" t="s">
        <v>19589</v>
      </c>
      <c r="B19576">
        <v>367</v>
      </c>
      <c r="C19576" s="1" t="str">
        <f>HYPERLINK("http://www.rosaceae.org/gb/gbrowse/malus_x_domestica/?name=MDP0000131365","MDP0000131365")</f>
        <v>MDP0000131365</v>
      </c>
      <c r="D19576">
        <v>67.849999999999994</v>
      </c>
      <c r="E19576">
        <v>364</v>
      </c>
      <c r="F19576">
        <v>117</v>
      </c>
      <c r="G19576">
        <v>37</v>
      </c>
      <c r="H19576">
        <v>1</v>
      </c>
      <c r="I19576">
        <v>360</v>
      </c>
      <c r="J19576">
        <v>1</v>
      </c>
      <c r="K19576">
        <v>1</v>
      </c>
      <c r="L19576">
        <v>331</v>
      </c>
      <c r="M19576">
        <v>1</v>
      </c>
      <c r="N19576">
        <v>9.4228000000000002E-144</v>
      </c>
      <c r="O19576">
        <v>1305</v>
      </c>
    </row>
    <row r="19577" spans="1:15" x14ac:dyDescent="0.25">
      <c r="A19577" t="s">
        <v>19590</v>
      </c>
      <c r="B19577">
        <v>619</v>
      </c>
      <c r="C19577" s="1" t="str">
        <f>HYPERLINK("http://www.rosaceae.org/gb/gbrowse/malus_x_domestica/?name=MDP0000284090","MDP0000284090")</f>
        <v>MDP0000284090</v>
      </c>
      <c r="D19577">
        <v>44.36</v>
      </c>
      <c r="E19577">
        <v>559</v>
      </c>
      <c r="F19577">
        <v>311</v>
      </c>
      <c r="G19577">
        <v>87</v>
      </c>
      <c r="H19577">
        <v>1</v>
      </c>
      <c r="I19577">
        <v>550</v>
      </c>
      <c r="J19577">
        <v>1</v>
      </c>
      <c r="K19577">
        <v>286</v>
      </c>
      <c r="L19577">
        <v>766</v>
      </c>
      <c r="M19577">
        <v>1</v>
      </c>
      <c r="N19577">
        <v>6.5441600000000005E-107</v>
      </c>
      <c r="O19577">
        <v>989</v>
      </c>
    </row>
    <row r="19578" spans="1:15" x14ac:dyDescent="0.25">
      <c r="A19578" t="s">
        <v>19591</v>
      </c>
      <c r="B19578">
        <v>239</v>
      </c>
      <c r="C19578" s="1" t="str">
        <f>HYPERLINK("http://www.rosaceae.org/gb/gbrowse/malus_x_domestica/?name=MDP0000206998","MDP0000206998")</f>
        <v>MDP0000206998</v>
      </c>
      <c r="D19578">
        <v>35.380000000000003</v>
      </c>
      <c r="E19578">
        <v>130</v>
      </c>
      <c r="F19578">
        <v>84</v>
      </c>
      <c r="G19578">
        <v>12</v>
      </c>
      <c r="H19578">
        <v>61</v>
      </c>
      <c r="I19578">
        <v>181</v>
      </c>
      <c r="J19578">
        <v>1</v>
      </c>
      <c r="K19578">
        <v>115</v>
      </c>
      <c r="L19578">
        <v>241</v>
      </c>
      <c r="M19578">
        <v>1</v>
      </c>
      <c r="N19578">
        <v>1.4396900000000001E-12</v>
      </c>
      <c r="O19578">
        <v>171</v>
      </c>
    </row>
    <row r="19579" spans="1:15" x14ac:dyDescent="0.25">
      <c r="A19579" t="s">
        <v>19592</v>
      </c>
      <c r="B19579">
        <v>398</v>
      </c>
      <c r="C19579" s="1" t="str">
        <f>HYPERLINK("http://www.rosaceae.org/gb/gbrowse/malus_x_domestica/?name=MDP0000177475","MDP0000177475")</f>
        <v>MDP0000177475</v>
      </c>
      <c r="D19579">
        <v>83.41</v>
      </c>
      <c r="E19579">
        <v>398</v>
      </c>
      <c r="F19579">
        <v>66</v>
      </c>
      <c r="G19579">
        <v>30</v>
      </c>
      <c r="H19579">
        <v>1</v>
      </c>
      <c r="I19579">
        <v>398</v>
      </c>
      <c r="J19579">
        <v>1</v>
      </c>
      <c r="K19579">
        <v>1</v>
      </c>
      <c r="L19579">
        <v>368</v>
      </c>
      <c r="M19579">
        <v>1</v>
      </c>
      <c r="N19579">
        <v>0</v>
      </c>
      <c r="O19579">
        <v>1704</v>
      </c>
    </row>
    <row r="19580" spans="1:15" x14ac:dyDescent="0.25">
      <c r="A19580" t="s">
        <v>19593</v>
      </c>
      <c r="B19580">
        <v>303</v>
      </c>
      <c r="C19580" s="1" t="str">
        <f>HYPERLINK("http://www.rosaceae.org/gb/gbrowse/malus_x_domestica/?name=MDP0000892159","MDP0000892159")</f>
        <v>MDP0000892159</v>
      </c>
      <c r="D19580">
        <v>56.62</v>
      </c>
      <c r="E19580">
        <v>166</v>
      </c>
      <c r="F19580">
        <v>72</v>
      </c>
      <c r="G19580">
        <v>8</v>
      </c>
      <c r="H19580">
        <v>83</v>
      </c>
      <c r="I19580">
        <v>240</v>
      </c>
      <c r="J19580">
        <v>1</v>
      </c>
      <c r="K19580">
        <v>112</v>
      </c>
      <c r="L19580">
        <v>277</v>
      </c>
      <c r="M19580">
        <v>1</v>
      </c>
      <c r="N19580">
        <v>4.37977E-39</v>
      </c>
      <c r="O19580">
        <v>401</v>
      </c>
    </row>
    <row r="19581" spans="1:15" x14ac:dyDescent="0.25">
      <c r="A19581" t="s">
        <v>19594</v>
      </c>
      <c r="B19581">
        <v>299</v>
      </c>
      <c r="C19581" s="1" t="str">
        <f>HYPERLINK("http://www.rosaceae.org/gb/gbrowse/malus_x_domestica/?name=MDP0000293970","MDP0000293970")</f>
        <v>MDP0000293970</v>
      </c>
      <c r="D19581">
        <v>28.57</v>
      </c>
      <c r="E19581">
        <v>210</v>
      </c>
      <c r="F19581">
        <v>150</v>
      </c>
      <c r="G19581">
        <v>24</v>
      </c>
      <c r="H19581">
        <v>87</v>
      </c>
      <c r="I19581">
        <v>294</v>
      </c>
      <c r="J19581">
        <v>1</v>
      </c>
      <c r="K19581">
        <v>4</v>
      </c>
      <c r="L19581">
        <v>191</v>
      </c>
      <c r="M19581">
        <v>1</v>
      </c>
      <c r="N19581">
        <v>8.78943E-13</v>
      </c>
      <c r="O19581">
        <v>174</v>
      </c>
    </row>
    <row r="19582" spans="1:15" x14ac:dyDescent="0.25">
      <c r="A19582" t="s">
        <v>19595</v>
      </c>
      <c r="B19582">
        <v>165</v>
      </c>
      <c r="C19582" s="1" t="str">
        <f>HYPERLINK("http://www.rosaceae.org/gb/gbrowse/malus_x_domestica/?name=MDP0000250685","MDP0000250685")</f>
        <v>MDP0000250685</v>
      </c>
      <c r="D19582">
        <v>72.36</v>
      </c>
      <c r="E19582">
        <v>76</v>
      </c>
      <c r="F19582">
        <v>21</v>
      </c>
      <c r="G19582">
        <v>0</v>
      </c>
      <c r="H19582">
        <v>1</v>
      </c>
      <c r="I19582">
        <v>76</v>
      </c>
      <c r="J19582">
        <v>1</v>
      </c>
      <c r="K19582">
        <v>1</v>
      </c>
      <c r="L19582">
        <v>76</v>
      </c>
      <c r="M19582">
        <v>1</v>
      </c>
      <c r="N19582">
        <v>1.3738599999999999E-24</v>
      </c>
      <c r="O19582">
        <v>272</v>
      </c>
    </row>
    <row r="19583" spans="1:15" x14ac:dyDescent="0.25">
      <c r="A19583" t="s">
        <v>19596</v>
      </c>
      <c r="B19583">
        <v>137</v>
      </c>
      <c r="C19583" s="1" t="str">
        <f>HYPERLINK("http://www.rosaceae.org/gb/gbrowse/malus_x_domestica/?name=MDP0000258743","MDP0000258743")</f>
        <v>MDP0000258743</v>
      </c>
      <c r="D19583">
        <v>40.380000000000003</v>
      </c>
      <c r="E19583">
        <v>104</v>
      </c>
      <c r="F19583">
        <v>62</v>
      </c>
      <c r="G19583">
        <v>1</v>
      </c>
      <c r="H19583">
        <v>2</v>
      </c>
      <c r="I19583">
        <v>105</v>
      </c>
      <c r="J19583">
        <v>1</v>
      </c>
      <c r="K19583">
        <v>103</v>
      </c>
      <c r="L19583">
        <v>205</v>
      </c>
      <c r="M19583">
        <v>1</v>
      </c>
      <c r="N19583">
        <v>1.9444699999999999E-20</v>
      </c>
      <c r="O19583">
        <v>235</v>
      </c>
    </row>
    <row r="19584" spans="1:15" x14ac:dyDescent="0.25">
      <c r="A19584" t="s">
        <v>19597</v>
      </c>
      <c r="B19584">
        <v>812</v>
      </c>
      <c r="C19584" s="1" t="str">
        <f>HYPERLINK("http://www.rosaceae.org/gb/gbrowse/malus_x_domestica/?name=MDP0000856184","MDP0000856184")</f>
        <v>MDP0000856184</v>
      </c>
      <c r="D19584">
        <v>71.459999999999994</v>
      </c>
      <c r="E19584">
        <v>820</v>
      </c>
      <c r="F19584">
        <v>234</v>
      </c>
      <c r="G19584">
        <v>28</v>
      </c>
      <c r="H19584">
        <v>17</v>
      </c>
      <c r="I19584">
        <v>812</v>
      </c>
      <c r="J19584">
        <v>1</v>
      </c>
      <c r="K19584">
        <v>28</v>
      </c>
      <c r="L19584">
        <v>843</v>
      </c>
      <c r="M19584">
        <v>1</v>
      </c>
      <c r="N19584">
        <v>0</v>
      </c>
      <c r="O19584">
        <v>3050</v>
      </c>
    </row>
    <row r="19585" spans="1:15" x14ac:dyDescent="0.25">
      <c r="A19585" t="s">
        <v>19598</v>
      </c>
      <c r="B19585">
        <v>303</v>
      </c>
      <c r="C19585" s="1" t="str">
        <f>HYPERLINK("http://www.rosaceae.org/gb/gbrowse/malus_x_domestica/?name=MDP0000196011","MDP0000196011")</f>
        <v>MDP0000196011</v>
      </c>
      <c r="D19585">
        <v>87</v>
      </c>
      <c r="E19585">
        <v>277</v>
      </c>
      <c r="F19585">
        <v>36</v>
      </c>
      <c r="G19585">
        <v>0</v>
      </c>
      <c r="H19585">
        <v>1</v>
      </c>
      <c r="I19585">
        <v>277</v>
      </c>
      <c r="J19585">
        <v>1</v>
      </c>
      <c r="K19585">
        <v>1</v>
      </c>
      <c r="L19585">
        <v>277</v>
      </c>
      <c r="M19585">
        <v>1</v>
      </c>
      <c r="N19585">
        <v>1.20625E-141</v>
      </c>
      <c r="O19585">
        <v>1286</v>
      </c>
    </row>
    <row r="19586" spans="1:15" x14ac:dyDescent="0.25">
      <c r="A19586" t="s">
        <v>19599</v>
      </c>
      <c r="B19586">
        <v>336</v>
      </c>
      <c r="C19586" s="1" t="str">
        <f>HYPERLINK("http://www.rosaceae.org/gb/gbrowse/malus_x_domestica/?name=MDP0000786101","MDP0000786101")</f>
        <v>MDP0000786101</v>
      </c>
      <c r="D19586">
        <v>57.65</v>
      </c>
      <c r="E19586">
        <v>366</v>
      </c>
      <c r="F19586">
        <v>155</v>
      </c>
      <c r="G19586">
        <v>58</v>
      </c>
      <c r="H19586">
        <v>27</v>
      </c>
      <c r="I19586">
        <v>334</v>
      </c>
      <c r="J19586">
        <v>1</v>
      </c>
      <c r="K19586">
        <v>21</v>
      </c>
      <c r="L19586">
        <v>386</v>
      </c>
      <c r="M19586">
        <v>1</v>
      </c>
      <c r="N19586">
        <v>2.95847E-107</v>
      </c>
      <c r="O19586">
        <v>990</v>
      </c>
    </row>
    <row r="19587" spans="1:15" x14ac:dyDescent="0.25">
      <c r="A19587" t="s">
        <v>19600</v>
      </c>
      <c r="B19587">
        <v>297</v>
      </c>
      <c r="C19587" s="1" t="str">
        <f>HYPERLINK("http://www.rosaceae.org/gb/gbrowse/malus_x_domestica/?name=MDP0000187998","MDP0000187998")</f>
        <v>MDP0000187998</v>
      </c>
      <c r="D19587">
        <v>27.21</v>
      </c>
      <c r="E19587">
        <v>327</v>
      </c>
      <c r="F19587">
        <v>238</v>
      </c>
      <c r="G19587">
        <v>91</v>
      </c>
      <c r="H19587">
        <v>7</v>
      </c>
      <c r="I19587">
        <v>289</v>
      </c>
      <c r="J19587">
        <v>1</v>
      </c>
      <c r="K19587">
        <v>274</v>
      </c>
      <c r="L19587">
        <v>553</v>
      </c>
      <c r="M19587">
        <v>1</v>
      </c>
      <c r="N19587">
        <v>1.79841E-11</v>
      </c>
      <c r="O19587">
        <v>163</v>
      </c>
    </row>
    <row r="19588" spans="1:15" x14ac:dyDescent="0.25">
      <c r="A19588" t="s">
        <v>19601</v>
      </c>
      <c r="B19588">
        <v>331</v>
      </c>
      <c r="C19588" s="1" t="str">
        <f>HYPERLINK("http://www.rosaceae.org/gb/gbrowse/malus_x_domestica/?name=MDP0000412490","MDP0000412490")</f>
        <v>MDP0000412490</v>
      </c>
      <c r="D19588">
        <v>79.260000000000005</v>
      </c>
      <c r="E19588">
        <v>328</v>
      </c>
      <c r="F19588">
        <v>68</v>
      </c>
      <c r="G19588">
        <v>4</v>
      </c>
      <c r="H19588">
        <v>1</v>
      </c>
      <c r="I19588">
        <v>328</v>
      </c>
      <c r="J19588">
        <v>1</v>
      </c>
      <c r="K19588">
        <v>1</v>
      </c>
      <c r="L19588">
        <v>324</v>
      </c>
      <c r="M19588">
        <v>1</v>
      </c>
      <c r="N19588">
        <v>7.8460700000000003E-150</v>
      </c>
      <c r="O19588">
        <v>1357</v>
      </c>
    </row>
    <row r="19589" spans="1:15" x14ac:dyDescent="0.25">
      <c r="A19589" t="s">
        <v>19602</v>
      </c>
      <c r="B19589">
        <v>1058</v>
      </c>
      <c r="C19589" s="1" t="str">
        <f>HYPERLINK("http://www.rosaceae.org/gb/gbrowse/malus_x_domestica/?name=MDP0000256496","MDP0000256496")</f>
        <v>MDP0000256496</v>
      </c>
      <c r="D19589">
        <v>87.62</v>
      </c>
      <c r="E19589">
        <v>889</v>
      </c>
      <c r="F19589">
        <v>110</v>
      </c>
      <c r="G19589">
        <v>10</v>
      </c>
      <c r="H19589">
        <v>151</v>
      </c>
      <c r="I19589">
        <v>1030</v>
      </c>
      <c r="J19589">
        <v>1</v>
      </c>
      <c r="K19589">
        <v>1</v>
      </c>
      <c r="L19589">
        <v>888</v>
      </c>
      <c r="M19589">
        <v>1</v>
      </c>
      <c r="N19589">
        <v>0</v>
      </c>
      <c r="O19589">
        <v>4107</v>
      </c>
    </row>
    <row r="19590" spans="1:15" x14ac:dyDescent="0.25">
      <c r="A19590" t="s">
        <v>19603</v>
      </c>
      <c r="B19590">
        <v>146</v>
      </c>
      <c r="C19590" s="1" t="str">
        <f>HYPERLINK("http://www.rosaceae.org/gb/gbrowse/malus_x_domestica/?name=MDP0000165959","MDP0000165959")</f>
        <v>MDP0000165959</v>
      </c>
      <c r="D19590">
        <v>38</v>
      </c>
      <c r="E19590">
        <v>100</v>
      </c>
      <c r="F19590">
        <v>62</v>
      </c>
      <c r="G19590">
        <v>2</v>
      </c>
      <c r="H19590">
        <v>38</v>
      </c>
      <c r="I19590">
        <v>136</v>
      </c>
      <c r="J19590">
        <v>1</v>
      </c>
      <c r="K19590">
        <v>10</v>
      </c>
      <c r="L19590">
        <v>108</v>
      </c>
      <c r="M19590">
        <v>1</v>
      </c>
      <c r="N19590">
        <v>1.9253900000000001E-10</v>
      </c>
      <c r="O19590">
        <v>149</v>
      </c>
    </row>
    <row r="19591" spans="1:15" x14ac:dyDescent="0.25">
      <c r="A19591" t="s">
        <v>19604</v>
      </c>
      <c r="B19591">
        <v>307</v>
      </c>
      <c r="C19591" s="1" t="str">
        <f>HYPERLINK("http://www.rosaceae.org/gb/gbrowse/malus_x_domestica/?name=MDP0000163205","MDP0000163205")</f>
        <v>MDP0000163205</v>
      </c>
      <c r="D19591">
        <v>72.06</v>
      </c>
      <c r="E19591">
        <v>290</v>
      </c>
      <c r="F19591">
        <v>81</v>
      </c>
      <c r="G19591">
        <v>0</v>
      </c>
      <c r="H19591">
        <v>6</v>
      </c>
      <c r="I19591">
        <v>295</v>
      </c>
      <c r="J19591">
        <v>1</v>
      </c>
      <c r="K19591">
        <v>7</v>
      </c>
      <c r="L19591">
        <v>296</v>
      </c>
      <c r="M19591">
        <v>1</v>
      </c>
      <c r="N19591">
        <v>7.4883000000000001E-128</v>
      </c>
      <c r="O19591">
        <v>1167</v>
      </c>
    </row>
    <row r="19592" spans="1:15" x14ac:dyDescent="0.25">
      <c r="A19592" t="s">
        <v>19605</v>
      </c>
      <c r="B19592">
        <v>261</v>
      </c>
      <c r="C19592" s="1" t="str">
        <f>HYPERLINK("http://www.rosaceae.org/gb/gbrowse/malus_x_domestica/?name=MDP0000843359","MDP0000843359")</f>
        <v>MDP0000843359</v>
      </c>
      <c r="D19592">
        <v>65.59</v>
      </c>
      <c r="E19592">
        <v>186</v>
      </c>
      <c r="F19592">
        <v>64</v>
      </c>
      <c r="G19592">
        <v>5</v>
      </c>
      <c r="H19592">
        <v>1</v>
      </c>
      <c r="I19592">
        <v>186</v>
      </c>
      <c r="J19592">
        <v>1</v>
      </c>
      <c r="K19592">
        <v>332</v>
      </c>
      <c r="L19592">
        <v>512</v>
      </c>
      <c r="M19592">
        <v>1</v>
      </c>
      <c r="N19592">
        <v>4.0025099999999998E-66</v>
      </c>
      <c r="O19592">
        <v>633</v>
      </c>
    </row>
    <row r="19593" spans="1:15" x14ac:dyDescent="0.25">
      <c r="A19593" t="s">
        <v>19606</v>
      </c>
      <c r="B19593">
        <v>75</v>
      </c>
      <c r="C19593" s="1" t="str">
        <f>HYPERLINK("http://www.rosaceae.org/gb/gbrowse/malus_x_domestica/?name=MDP0000164135","MDP0000164135")</f>
        <v>MDP0000164135</v>
      </c>
      <c r="D19593">
        <v>37.68</v>
      </c>
      <c r="E19593">
        <v>69</v>
      </c>
      <c r="F19593">
        <v>43</v>
      </c>
      <c r="G19593">
        <v>0</v>
      </c>
      <c r="H19593">
        <v>4</v>
      </c>
      <c r="I19593">
        <v>72</v>
      </c>
      <c r="J19593">
        <v>1</v>
      </c>
      <c r="K19593">
        <v>174</v>
      </c>
      <c r="L19593">
        <v>242</v>
      </c>
      <c r="M19593">
        <v>1</v>
      </c>
      <c r="N19593">
        <v>1.18214E-9</v>
      </c>
      <c r="O19593">
        <v>141</v>
      </c>
    </row>
    <row r="19594" spans="1:15" x14ac:dyDescent="0.25">
      <c r="A19594" t="s">
        <v>19607</v>
      </c>
      <c r="B19594">
        <v>289</v>
      </c>
      <c r="C19594" s="1" t="str">
        <f>HYPERLINK("http://www.rosaceae.org/gb/gbrowse/malus_x_domestica/?name=MDP0000292604","MDP0000292604")</f>
        <v>MDP0000292604</v>
      </c>
      <c r="D19594">
        <v>62.18</v>
      </c>
      <c r="E19594">
        <v>275</v>
      </c>
      <c r="F19594">
        <v>104</v>
      </c>
      <c r="G19594">
        <v>48</v>
      </c>
      <c r="H19594">
        <v>1</v>
      </c>
      <c r="I19594">
        <v>246</v>
      </c>
      <c r="J19594">
        <v>1</v>
      </c>
      <c r="K19594">
        <v>1</v>
      </c>
      <c r="L19594">
        <v>256</v>
      </c>
      <c r="M19594">
        <v>1</v>
      </c>
      <c r="N19594">
        <v>1.7592900000000001E-88</v>
      </c>
      <c r="O19594">
        <v>827</v>
      </c>
    </row>
    <row r="19595" spans="1:15" x14ac:dyDescent="0.25">
      <c r="A19595" t="s">
        <v>19608</v>
      </c>
      <c r="B19595">
        <v>481</v>
      </c>
      <c r="C19595" s="1" t="str">
        <f>HYPERLINK("http://www.rosaceae.org/gb/gbrowse/malus_x_domestica/?name=MDP0000278124","MDP0000278124")</f>
        <v>MDP0000278124</v>
      </c>
      <c r="D19595">
        <v>59.13</v>
      </c>
      <c r="E19595">
        <v>465</v>
      </c>
      <c r="F19595">
        <v>190</v>
      </c>
      <c r="G19595">
        <v>42</v>
      </c>
      <c r="H19595">
        <v>23</v>
      </c>
      <c r="I19595">
        <v>475</v>
      </c>
      <c r="J19595">
        <v>1</v>
      </c>
      <c r="K19595">
        <v>30</v>
      </c>
      <c r="L19595">
        <v>464</v>
      </c>
      <c r="M19595">
        <v>1</v>
      </c>
      <c r="N19595">
        <v>6.3970500000000001E-149</v>
      </c>
      <c r="O19595">
        <v>1351</v>
      </c>
    </row>
    <row r="19596" spans="1:15" x14ac:dyDescent="0.25">
      <c r="A19596" t="s">
        <v>19609</v>
      </c>
      <c r="B19596">
        <v>262</v>
      </c>
      <c r="C19596" s="1" t="str">
        <f>HYPERLINK("http://www.rosaceae.org/gb/gbrowse/malus_x_domestica/?name=MDP0000263053","MDP0000263053")</f>
        <v>MDP0000263053</v>
      </c>
      <c r="D19596">
        <v>48.38</v>
      </c>
      <c r="E19596">
        <v>248</v>
      </c>
      <c r="F19596">
        <v>128</v>
      </c>
      <c r="G19596">
        <v>47</v>
      </c>
      <c r="H19596">
        <v>1</v>
      </c>
      <c r="I19596">
        <v>202</v>
      </c>
      <c r="J19596">
        <v>1</v>
      </c>
      <c r="K19596">
        <v>903</v>
      </c>
      <c r="L19596">
        <v>1149</v>
      </c>
      <c r="M19596">
        <v>1</v>
      </c>
      <c r="N19596">
        <v>1.9416499999999999E-50</v>
      </c>
      <c r="O19596">
        <v>498</v>
      </c>
    </row>
    <row r="19597" spans="1:15" x14ac:dyDescent="0.25">
      <c r="A19597" t="s">
        <v>19610</v>
      </c>
      <c r="B19597">
        <v>303</v>
      </c>
      <c r="C19597" s="1" t="str">
        <f>HYPERLINK("http://www.rosaceae.org/gb/gbrowse/malus_x_domestica/?name=MDP0000500222","MDP0000500222")</f>
        <v>MDP0000500222</v>
      </c>
      <c r="D19597">
        <v>44.36</v>
      </c>
      <c r="E19597">
        <v>275</v>
      </c>
      <c r="F19597">
        <v>153</v>
      </c>
      <c r="G19597">
        <v>36</v>
      </c>
      <c r="H19597">
        <v>36</v>
      </c>
      <c r="I19597">
        <v>301</v>
      </c>
      <c r="J19597">
        <v>1</v>
      </c>
      <c r="K19597">
        <v>149</v>
      </c>
      <c r="L19597">
        <v>396</v>
      </c>
      <c r="M19597">
        <v>1</v>
      </c>
      <c r="N19597">
        <v>3.7961699999999999E-43</v>
      </c>
      <c r="O19597">
        <v>436</v>
      </c>
    </row>
    <row r="19598" spans="1:15" x14ac:dyDescent="0.25">
      <c r="A19598" t="s">
        <v>19611</v>
      </c>
      <c r="B19598">
        <v>506</v>
      </c>
      <c r="C19598" s="1" t="str">
        <f>HYPERLINK("http://www.rosaceae.org/gb/gbrowse/malus_x_domestica/?name=MDP0000190369","MDP0000190369")</f>
        <v>MDP0000190369</v>
      </c>
      <c r="D19598">
        <v>54.01</v>
      </c>
      <c r="E19598">
        <v>411</v>
      </c>
      <c r="F19598">
        <v>189</v>
      </c>
      <c r="G19598">
        <v>91</v>
      </c>
      <c r="H19598">
        <v>178</v>
      </c>
      <c r="I19598">
        <v>497</v>
      </c>
      <c r="J19598">
        <v>1</v>
      </c>
      <c r="K19598">
        <v>863</v>
      </c>
      <c r="L19598">
        <v>1273</v>
      </c>
      <c r="M19598">
        <v>1</v>
      </c>
      <c r="N19598">
        <v>4.6007800000000001E-106</v>
      </c>
      <c r="O19598">
        <v>981</v>
      </c>
    </row>
    <row r="19599" spans="1:15" x14ac:dyDescent="0.25">
      <c r="A19599" t="s">
        <v>19612</v>
      </c>
      <c r="B19599">
        <v>243</v>
      </c>
      <c r="C19599" s="1" t="str">
        <f>HYPERLINK("http://www.rosaceae.org/gb/gbrowse/malus_x_domestica/?name=MDP0000789339","MDP0000789339")</f>
        <v>MDP0000789339</v>
      </c>
      <c r="D19599">
        <v>61.88</v>
      </c>
      <c r="E19599">
        <v>244</v>
      </c>
      <c r="F19599">
        <v>93</v>
      </c>
      <c r="G19599">
        <v>7</v>
      </c>
      <c r="H19599">
        <v>1</v>
      </c>
      <c r="I19599">
        <v>243</v>
      </c>
      <c r="J19599">
        <v>1</v>
      </c>
      <c r="K19599">
        <v>1</v>
      </c>
      <c r="L19599">
        <v>238</v>
      </c>
      <c r="M19599">
        <v>1</v>
      </c>
      <c r="N19599">
        <v>2.2734499999999999E-80</v>
      </c>
      <c r="O19599">
        <v>756</v>
      </c>
    </row>
    <row r="19600" spans="1:15" x14ac:dyDescent="0.25">
      <c r="A19600" t="s">
        <v>19613</v>
      </c>
      <c r="B19600">
        <v>387</v>
      </c>
      <c r="C19600" s="1" t="str">
        <f>HYPERLINK("http://www.rosaceae.org/gb/gbrowse/malus_x_domestica/?name=MDP0000217335","MDP0000217335")</f>
        <v>MDP0000217335</v>
      </c>
      <c r="D19600">
        <v>37.22</v>
      </c>
      <c r="E19600">
        <v>411</v>
      </c>
      <c r="F19600">
        <v>258</v>
      </c>
      <c r="G19600">
        <v>53</v>
      </c>
      <c r="H19600">
        <v>14</v>
      </c>
      <c r="I19600">
        <v>387</v>
      </c>
      <c r="J19600">
        <v>1</v>
      </c>
      <c r="K19600">
        <v>28</v>
      </c>
      <c r="L19600">
        <v>422</v>
      </c>
      <c r="M19600">
        <v>1</v>
      </c>
      <c r="N19600">
        <v>1.7313099999999999E-54</v>
      </c>
      <c r="O19600">
        <v>535</v>
      </c>
    </row>
    <row r="19601" spans="1:15" x14ac:dyDescent="0.25">
      <c r="A19601" t="s">
        <v>19614</v>
      </c>
      <c r="B19601">
        <v>211</v>
      </c>
      <c r="C19601" s="1" t="str">
        <f>HYPERLINK("http://www.rosaceae.org/gb/gbrowse/malus_x_domestica/?name=MDP0000313179","MDP0000313179")</f>
        <v>MDP0000313179</v>
      </c>
      <c r="D19601">
        <v>78.5</v>
      </c>
      <c r="E19601">
        <v>214</v>
      </c>
      <c r="F19601">
        <v>46</v>
      </c>
      <c r="G19601">
        <v>4</v>
      </c>
      <c r="H19601">
        <v>1</v>
      </c>
      <c r="I19601">
        <v>211</v>
      </c>
      <c r="J19601">
        <v>1</v>
      </c>
      <c r="K19601">
        <v>1</v>
      </c>
      <c r="L19601">
        <v>213</v>
      </c>
      <c r="M19601">
        <v>1</v>
      </c>
      <c r="N19601">
        <v>2.18406E-87</v>
      </c>
      <c r="O19601">
        <v>816</v>
      </c>
    </row>
    <row r="19602" spans="1:15" x14ac:dyDescent="0.25">
      <c r="A19602" t="s">
        <v>19615</v>
      </c>
      <c r="B19602">
        <v>234</v>
      </c>
      <c r="C19602" s="1" t="str">
        <f>HYPERLINK("http://www.rosaceae.org/gb/gbrowse/malus_x_domestica/?name=MDP0000286068","MDP0000286068")</f>
        <v>MDP0000286068</v>
      </c>
      <c r="D19602">
        <v>70.31</v>
      </c>
      <c r="E19602">
        <v>192</v>
      </c>
      <c r="F19602">
        <v>57</v>
      </c>
      <c r="G19602">
        <v>13</v>
      </c>
      <c r="H19602">
        <v>26</v>
      </c>
      <c r="I19602">
        <v>204</v>
      </c>
      <c r="J19602">
        <v>1</v>
      </c>
      <c r="K19602">
        <v>45</v>
      </c>
      <c r="L19602">
        <v>236</v>
      </c>
      <c r="M19602">
        <v>1</v>
      </c>
      <c r="N19602">
        <v>1.35225E-73</v>
      </c>
      <c r="O19602">
        <v>697</v>
      </c>
    </row>
    <row r="19603" spans="1:15" x14ac:dyDescent="0.25">
      <c r="A19603" t="s">
        <v>19616</v>
      </c>
      <c r="B19603">
        <v>230</v>
      </c>
      <c r="C19603" s="1" t="str">
        <f>HYPERLINK("http://www.rosaceae.org/gb/gbrowse/malus_x_domestica/?name=MDP0000772208","MDP0000772208")</f>
        <v>MDP0000772208</v>
      </c>
      <c r="D19603">
        <v>53.37</v>
      </c>
      <c r="E19603">
        <v>163</v>
      </c>
      <c r="F19603">
        <v>76</v>
      </c>
      <c r="G19603">
        <v>1</v>
      </c>
      <c r="H19603">
        <v>17</v>
      </c>
      <c r="I19603">
        <v>179</v>
      </c>
      <c r="J19603">
        <v>1</v>
      </c>
      <c r="K19603">
        <v>6</v>
      </c>
      <c r="L19603">
        <v>167</v>
      </c>
      <c r="M19603">
        <v>1</v>
      </c>
      <c r="N19603">
        <v>2.5759300000000001E-48</v>
      </c>
      <c r="O19603">
        <v>479</v>
      </c>
    </row>
    <row r="19604" spans="1:15" x14ac:dyDescent="0.25">
      <c r="A19604" t="s">
        <v>19617</v>
      </c>
      <c r="B19604">
        <v>271</v>
      </c>
      <c r="C19604" s="1" t="str">
        <f>HYPERLINK("http://www.rosaceae.org/gb/gbrowse/malus_x_domestica/?name=MDP0000241823","MDP0000241823")</f>
        <v>MDP0000241823</v>
      </c>
      <c r="D19604">
        <v>60.13</v>
      </c>
      <c r="E19604">
        <v>143</v>
      </c>
      <c r="F19604">
        <v>57</v>
      </c>
      <c r="G19604">
        <v>19</v>
      </c>
      <c r="H19604">
        <v>145</v>
      </c>
      <c r="I19604">
        <v>271</v>
      </c>
      <c r="J19604">
        <v>1</v>
      </c>
      <c r="K19604">
        <v>162</v>
      </c>
      <c r="L19604">
        <v>301</v>
      </c>
      <c r="M19604">
        <v>1</v>
      </c>
      <c r="N19604">
        <v>6.3307100000000004E-42</v>
      </c>
      <c r="O19604">
        <v>425</v>
      </c>
    </row>
    <row r="19605" spans="1:15" x14ac:dyDescent="0.25">
      <c r="A19605" t="s">
        <v>19618</v>
      </c>
      <c r="B19605">
        <v>466</v>
      </c>
      <c r="C19605" s="1" t="str">
        <f>HYPERLINK("http://www.rosaceae.org/gb/gbrowse/malus_x_domestica/?name=MDP0000518482","MDP0000518482")</f>
        <v>MDP0000518482</v>
      </c>
      <c r="D19605">
        <v>58.14</v>
      </c>
      <c r="E19605">
        <v>454</v>
      </c>
      <c r="F19605">
        <v>190</v>
      </c>
      <c r="G19605">
        <v>15</v>
      </c>
      <c r="H19605">
        <v>7</v>
      </c>
      <c r="I19605">
        <v>453</v>
      </c>
      <c r="J19605">
        <v>1</v>
      </c>
      <c r="K19605">
        <v>393</v>
      </c>
      <c r="L19605">
        <v>838</v>
      </c>
      <c r="M19605">
        <v>1</v>
      </c>
      <c r="N19605">
        <v>5.2903100000000001E-145</v>
      </c>
      <c r="O19605">
        <v>1317</v>
      </c>
    </row>
    <row r="19606" spans="1:15" x14ac:dyDescent="0.25">
      <c r="A19606" t="s">
        <v>19619</v>
      </c>
      <c r="B19606">
        <v>928</v>
      </c>
      <c r="C19606" s="1" t="str">
        <f>HYPERLINK("http://www.rosaceae.org/gb/gbrowse/malus_x_domestica/?name=MDP0000220301","MDP0000220301")</f>
        <v>MDP0000220301</v>
      </c>
      <c r="D19606">
        <v>54.34</v>
      </c>
      <c r="E19606">
        <v>966</v>
      </c>
      <c r="F19606">
        <v>441</v>
      </c>
      <c r="G19606">
        <v>87</v>
      </c>
      <c r="H19606">
        <v>19</v>
      </c>
      <c r="I19606">
        <v>919</v>
      </c>
      <c r="J19606">
        <v>1</v>
      </c>
      <c r="K19606">
        <v>15</v>
      </c>
      <c r="L19606">
        <v>958</v>
      </c>
      <c r="M19606">
        <v>1</v>
      </c>
      <c r="N19606">
        <v>0</v>
      </c>
      <c r="O19606">
        <v>2297</v>
      </c>
    </row>
    <row r="19607" spans="1:15" x14ac:dyDescent="0.25">
      <c r="A19607" t="s">
        <v>19620</v>
      </c>
      <c r="B19607">
        <v>272</v>
      </c>
      <c r="C19607" s="1" t="str">
        <f>HYPERLINK("http://www.rosaceae.org/gb/gbrowse/malus_x_domestica/?name=MDP0000232717","MDP0000232717")</f>
        <v>MDP0000232717</v>
      </c>
      <c r="D19607">
        <v>43.85</v>
      </c>
      <c r="E19607">
        <v>244</v>
      </c>
      <c r="F19607">
        <v>137</v>
      </c>
      <c r="G19607">
        <v>45</v>
      </c>
      <c r="H19607">
        <v>1</v>
      </c>
      <c r="I19607">
        <v>233</v>
      </c>
      <c r="J19607">
        <v>1</v>
      </c>
      <c r="K19607">
        <v>1</v>
      </c>
      <c r="L19607">
        <v>210</v>
      </c>
      <c r="M19607">
        <v>1</v>
      </c>
      <c r="N19607">
        <v>7.2172099999999996E-42</v>
      </c>
      <c r="O19607">
        <v>424</v>
      </c>
    </row>
    <row r="19608" spans="1:15" x14ac:dyDescent="0.25">
      <c r="A19608" t="s">
        <v>19621</v>
      </c>
      <c r="B19608">
        <v>972</v>
      </c>
      <c r="C19608" s="1" t="str">
        <f>HYPERLINK("http://www.rosaceae.org/gb/gbrowse/malus_x_domestica/?name=MDP0000148340","MDP0000148340")</f>
        <v>MDP0000148340</v>
      </c>
      <c r="D19608">
        <v>69.16</v>
      </c>
      <c r="E19608">
        <v>814</v>
      </c>
      <c r="F19608">
        <v>251</v>
      </c>
      <c r="G19608">
        <v>7</v>
      </c>
      <c r="H19608">
        <v>157</v>
      </c>
      <c r="I19608">
        <v>970</v>
      </c>
      <c r="J19608">
        <v>1</v>
      </c>
      <c r="K19608">
        <v>99</v>
      </c>
      <c r="L19608">
        <v>905</v>
      </c>
      <c r="M19608">
        <v>1</v>
      </c>
      <c r="N19608">
        <v>0</v>
      </c>
      <c r="O19608">
        <v>2948</v>
      </c>
    </row>
    <row r="19609" spans="1:15" x14ac:dyDescent="0.25">
      <c r="A19609" t="s">
        <v>19622</v>
      </c>
      <c r="B19609">
        <v>140</v>
      </c>
      <c r="C19609" s="1" t="str">
        <f>HYPERLINK("http://www.rosaceae.org/gb/gbrowse/malus_x_domestica/?name=MDP0000272880","MDP0000272880")</f>
        <v>MDP0000272880</v>
      </c>
      <c r="D19609">
        <v>64.78</v>
      </c>
      <c r="E19609">
        <v>142</v>
      </c>
      <c r="F19609">
        <v>50</v>
      </c>
      <c r="G19609">
        <v>8</v>
      </c>
      <c r="H19609">
        <v>2</v>
      </c>
      <c r="I19609">
        <v>138</v>
      </c>
      <c r="J19609">
        <v>1</v>
      </c>
      <c r="K19609">
        <v>4</v>
      </c>
      <c r="L19609">
        <v>142</v>
      </c>
      <c r="M19609">
        <v>1</v>
      </c>
      <c r="N19609">
        <v>1.32567E-40</v>
      </c>
      <c r="O19609">
        <v>409</v>
      </c>
    </row>
    <row r="19610" spans="1:15" x14ac:dyDescent="0.25">
      <c r="A19610" t="s">
        <v>19623</v>
      </c>
      <c r="B19610">
        <v>422</v>
      </c>
      <c r="C19610" s="1" t="str">
        <f>HYPERLINK("http://www.rosaceae.org/gb/gbrowse/malus_x_domestica/?name=MDP0000248963","MDP0000248963")</f>
        <v>MDP0000248963</v>
      </c>
      <c r="D19610">
        <v>40</v>
      </c>
      <c r="E19610">
        <v>310</v>
      </c>
      <c r="F19610">
        <v>186</v>
      </c>
      <c r="G19610">
        <v>8</v>
      </c>
      <c r="H19610">
        <v>23</v>
      </c>
      <c r="I19610">
        <v>324</v>
      </c>
      <c r="J19610">
        <v>1</v>
      </c>
      <c r="K19610">
        <v>23</v>
      </c>
      <c r="L19610">
        <v>332</v>
      </c>
      <c r="M19610">
        <v>1</v>
      </c>
      <c r="N19610">
        <v>2.98015E-57</v>
      </c>
      <c r="O19610">
        <v>559</v>
      </c>
    </row>
    <row r="19611" spans="1:15" x14ac:dyDescent="0.25">
      <c r="A19611" t="s">
        <v>19624</v>
      </c>
      <c r="B19611">
        <v>501</v>
      </c>
      <c r="C19611" s="1" t="str">
        <f>HYPERLINK("http://www.rosaceae.org/gb/gbrowse/malus_x_domestica/?name=MDP0000558976","MDP0000558976")</f>
        <v>MDP0000558976</v>
      </c>
      <c r="D19611">
        <v>72.290000000000006</v>
      </c>
      <c r="E19611">
        <v>509</v>
      </c>
      <c r="F19611">
        <v>141</v>
      </c>
      <c r="G19611">
        <v>8</v>
      </c>
      <c r="H19611">
        <v>1</v>
      </c>
      <c r="I19611">
        <v>501</v>
      </c>
      <c r="J19611">
        <v>1</v>
      </c>
      <c r="K19611">
        <v>1</v>
      </c>
      <c r="L19611">
        <v>509</v>
      </c>
      <c r="M19611">
        <v>1</v>
      </c>
      <c r="N19611">
        <v>0</v>
      </c>
      <c r="O19611">
        <v>1968</v>
      </c>
    </row>
    <row r="19612" spans="1:15" x14ac:dyDescent="0.25">
      <c r="A19612" t="s">
        <v>19625</v>
      </c>
      <c r="B19612">
        <v>1028</v>
      </c>
      <c r="C19612" s="1" t="str">
        <f>HYPERLINK("http://www.rosaceae.org/gb/gbrowse/malus_x_domestica/?name=MDP0000313526","MDP0000313526")</f>
        <v>MDP0000313526</v>
      </c>
      <c r="D19612">
        <v>83.07</v>
      </c>
      <c r="E19612">
        <v>898</v>
      </c>
      <c r="F19612">
        <v>152</v>
      </c>
      <c r="G19612">
        <v>29</v>
      </c>
      <c r="H19612">
        <v>78</v>
      </c>
      <c r="I19612">
        <v>951</v>
      </c>
      <c r="J19612">
        <v>1</v>
      </c>
      <c r="K19612">
        <v>1</v>
      </c>
      <c r="L19612">
        <v>893</v>
      </c>
      <c r="M19612">
        <v>1</v>
      </c>
      <c r="N19612">
        <v>0</v>
      </c>
      <c r="O19612">
        <v>3909</v>
      </c>
    </row>
    <row r="19613" spans="1:15" x14ac:dyDescent="0.25">
      <c r="A19613" t="s">
        <v>19626</v>
      </c>
      <c r="B19613">
        <v>244</v>
      </c>
      <c r="C19613" s="1" t="str">
        <f>HYPERLINK("http://www.rosaceae.org/gb/gbrowse/malus_x_domestica/?name=MDP0000271854","MDP0000271854")</f>
        <v>MDP0000271854</v>
      </c>
      <c r="D19613">
        <v>83.72</v>
      </c>
      <c r="E19613">
        <v>172</v>
      </c>
      <c r="F19613">
        <v>28</v>
      </c>
      <c r="G19613">
        <v>3</v>
      </c>
      <c r="H19613">
        <v>28</v>
      </c>
      <c r="I19613">
        <v>196</v>
      </c>
      <c r="J19613">
        <v>1</v>
      </c>
      <c r="K19613">
        <v>164</v>
      </c>
      <c r="L19613">
        <v>335</v>
      </c>
      <c r="M19613">
        <v>1</v>
      </c>
      <c r="N19613">
        <v>5.7871000000000003E-76</v>
      </c>
      <c r="O19613">
        <v>718</v>
      </c>
    </row>
    <row r="19614" spans="1:15" x14ac:dyDescent="0.25">
      <c r="A19614" t="s">
        <v>19627</v>
      </c>
      <c r="B19614">
        <v>583</v>
      </c>
      <c r="C19614" s="1" t="str">
        <f>HYPERLINK("http://www.rosaceae.org/gb/gbrowse/malus_x_domestica/?name=MDP0000166992","MDP0000166992")</f>
        <v>MDP0000166992</v>
      </c>
      <c r="D19614">
        <v>49.01</v>
      </c>
      <c r="E19614">
        <v>457</v>
      </c>
      <c r="F19614">
        <v>233</v>
      </c>
      <c r="G19614">
        <v>80</v>
      </c>
      <c r="H19614">
        <v>4</v>
      </c>
      <c r="I19614">
        <v>382</v>
      </c>
      <c r="J19614">
        <v>1</v>
      </c>
      <c r="K19614">
        <v>9</v>
      </c>
      <c r="L19614">
        <v>463</v>
      </c>
      <c r="M19614">
        <v>1</v>
      </c>
      <c r="N19614">
        <v>6.60956E-108</v>
      </c>
      <c r="O19614">
        <v>998</v>
      </c>
    </row>
    <row r="19615" spans="1:15" x14ac:dyDescent="0.25">
      <c r="A19615" t="s">
        <v>19628</v>
      </c>
      <c r="B19615">
        <v>445</v>
      </c>
      <c r="C19615" s="1" t="str">
        <f>HYPERLINK("http://www.rosaceae.org/gb/gbrowse/malus_x_domestica/?name=MDP0000122158","MDP0000122158")</f>
        <v>MDP0000122158</v>
      </c>
      <c r="D19615">
        <v>80</v>
      </c>
      <c r="E19615">
        <v>285</v>
      </c>
      <c r="F19615">
        <v>57</v>
      </c>
      <c r="G19615">
        <v>7</v>
      </c>
      <c r="H19615">
        <v>162</v>
      </c>
      <c r="I19615">
        <v>445</v>
      </c>
      <c r="J19615">
        <v>1</v>
      </c>
      <c r="K19615">
        <v>155</v>
      </c>
      <c r="L19615">
        <v>433</v>
      </c>
      <c r="M19615">
        <v>1</v>
      </c>
      <c r="N19615">
        <v>7.4089200000000001E-128</v>
      </c>
      <c r="O19615">
        <v>1169</v>
      </c>
    </row>
    <row r="19616" spans="1:15" x14ac:dyDescent="0.25">
      <c r="A19616" t="s">
        <v>19629</v>
      </c>
      <c r="B19616">
        <v>439</v>
      </c>
      <c r="C19616" s="1" t="str">
        <f>HYPERLINK("http://www.rosaceae.org/gb/gbrowse/malus_x_domestica/?name=MDP0000220893","MDP0000220893")</f>
        <v>MDP0000220893</v>
      </c>
      <c r="D19616">
        <v>51.71</v>
      </c>
      <c r="E19616">
        <v>379</v>
      </c>
      <c r="F19616">
        <v>183</v>
      </c>
      <c r="G19616">
        <v>44</v>
      </c>
      <c r="H19616">
        <v>1</v>
      </c>
      <c r="I19616">
        <v>340</v>
      </c>
      <c r="J19616">
        <v>1</v>
      </c>
      <c r="K19616">
        <v>461</v>
      </c>
      <c r="L19616">
        <v>834</v>
      </c>
      <c r="M19616">
        <v>1</v>
      </c>
      <c r="N19616">
        <v>2.6241199999999999E-101</v>
      </c>
      <c r="O19616">
        <v>940</v>
      </c>
    </row>
    <row r="19617" spans="1:15" x14ac:dyDescent="0.25">
      <c r="A19617" t="s">
        <v>19630</v>
      </c>
      <c r="B19617">
        <v>169</v>
      </c>
      <c r="C19617" s="1" t="str">
        <f>HYPERLINK("http://www.rosaceae.org/gb/gbrowse/malus_x_domestica/?name=MDP0000129400","MDP0000129400")</f>
        <v>MDP0000129400</v>
      </c>
      <c r="D19617">
        <v>51.93</v>
      </c>
      <c r="E19617">
        <v>129</v>
      </c>
      <c r="F19617">
        <v>62</v>
      </c>
      <c r="G19617">
        <v>4</v>
      </c>
      <c r="H19617">
        <v>42</v>
      </c>
      <c r="I19617">
        <v>166</v>
      </c>
      <c r="J19617">
        <v>1</v>
      </c>
      <c r="K19617">
        <v>45</v>
      </c>
      <c r="L19617">
        <v>173</v>
      </c>
      <c r="M19617">
        <v>1</v>
      </c>
      <c r="N19617">
        <v>3.0517199999999999E-27</v>
      </c>
      <c r="O19617">
        <v>295</v>
      </c>
    </row>
    <row r="19618" spans="1:15" x14ac:dyDescent="0.25">
      <c r="A19618" t="s">
        <v>19631</v>
      </c>
      <c r="B19618">
        <v>590</v>
      </c>
      <c r="C19618" s="1" t="str">
        <f>HYPERLINK("http://www.rosaceae.org/gb/gbrowse/malus_x_domestica/?name=MDP0000119248","MDP0000119248")</f>
        <v>MDP0000119248</v>
      </c>
      <c r="D19618">
        <v>70.959999999999994</v>
      </c>
      <c r="E19618">
        <v>551</v>
      </c>
      <c r="F19618">
        <v>160</v>
      </c>
      <c r="G19618">
        <v>8</v>
      </c>
      <c r="H19618">
        <v>44</v>
      </c>
      <c r="I19618">
        <v>590</v>
      </c>
      <c r="J19618">
        <v>1</v>
      </c>
      <c r="K19618">
        <v>1</v>
      </c>
      <c r="L19618">
        <v>547</v>
      </c>
      <c r="M19618">
        <v>1</v>
      </c>
      <c r="N19618">
        <v>0</v>
      </c>
      <c r="O19618">
        <v>1946</v>
      </c>
    </row>
    <row r="19619" spans="1:15" x14ac:dyDescent="0.25">
      <c r="A19619" t="s">
        <v>19632</v>
      </c>
      <c r="B19619">
        <v>210</v>
      </c>
      <c r="C19619" s="1" t="str">
        <f>HYPERLINK("http://www.rosaceae.org/gb/gbrowse/malus_x_domestica/?name=MDP0000201061","MDP0000201061")</f>
        <v>MDP0000201061</v>
      </c>
      <c r="D19619">
        <v>70.430000000000007</v>
      </c>
      <c r="E19619">
        <v>186</v>
      </c>
      <c r="F19619">
        <v>55</v>
      </c>
      <c r="G19619">
        <v>4</v>
      </c>
      <c r="H19619">
        <v>21</v>
      </c>
      <c r="I19619">
        <v>204</v>
      </c>
      <c r="J19619">
        <v>1</v>
      </c>
      <c r="K19619">
        <v>20</v>
      </c>
      <c r="L19619">
        <v>203</v>
      </c>
      <c r="M19619">
        <v>1</v>
      </c>
      <c r="N19619">
        <v>2.4251800000000002E-69</v>
      </c>
      <c r="O19619">
        <v>660</v>
      </c>
    </row>
    <row r="19620" spans="1:15" x14ac:dyDescent="0.25">
      <c r="A19620" t="s">
        <v>19633</v>
      </c>
      <c r="B19620">
        <v>167</v>
      </c>
      <c r="C19620" s="1" t="str">
        <f>HYPERLINK("http://www.rosaceae.org/gb/gbrowse/malus_x_domestica/?name=MDP0000188613","MDP0000188613")</f>
        <v>MDP0000188613</v>
      </c>
      <c r="D19620">
        <v>66.66</v>
      </c>
      <c r="E19620">
        <v>123</v>
      </c>
      <c r="F19620">
        <v>41</v>
      </c>
      <c r="G19620">
        <v>0</v>
      </c>
      <c r="H19620">
        <v>43</v>
      </c>
      <c r="I19620">
        <v>165</v>
      </c>
      <c r="J19620">
        <v>1</v>
      </c>
      <c r="K19620">
        <v>188</v>
      </c>
      <c r="L19620">
        <v>310</v>
      </c>
      <c r="M19620">
        <v>1</v>
      </c>
      <c r="N19620">
        <v>3.5486200000000002E-44</v>
      </c>
      <c r="O19620">
        <v>441</v>
      </c>
    </row>
    <row r="19621" spans="1:15" x14ac:dyDescent="0.25">
      <c r="A19621" t="s">
        <v>19634</v>
      </c>
      <c r="B19621">
        <v>517</v>
      </c>
      <c r="C19621" s="1" t="str">
        <f>HYPERLINK("http://www.rosaceae.org/gb/gbrowse/malus_x_domestica/?name=MDP0000292868","MDP0000292868")</f>
        <v>MDP0000292868</v>
      </c>
      <c r="D19621">
        <v>63.89</v>
      </c>
      <c r="E19621">
        <v>518</v>
      </c>
      <c r="F19621">
        <v>187</v>
      </c>
      <c r="G19621">
        <v>3</v>
      </c>
      <c r="H19621">
        <v>1</v>
      </c>
      <c r="I19621">
        <v>517</v>
      </c>
      <c r="J19621">
        <v>1</v>
      </c>
      <c r="K19621">
        <v>1</v>
      </c>
      <c r="L19621">
        <v>516</v>
      </c>
      <c r="M19621">
        <v>1</v>
      </c>
      <c r="N19621">
        <v>0</v>
      </c>
      <c r="O19621">
        <v>1786</v>
      </c>
    </row>
    <row r="19622" spans="1:15" x14ac:dyDescent="0.25">
      <c r="A19622" t="s">
        <v>19635</v>
      </c>
      <c r="B19622">
        <v>152</v>
      </c>
      <c r="C19622" s="1" t="str">
        <f>HYPERLINK("http://www.rosaceae.org/gb/gbrowse/malus_x_domestica/?name=MDP0000181942","MDP0000181942")</f>
        <v>MDP0000181942</v>
      </c>
      <c r="D19622">
        <v>61.11</v>
      </c>
      <c r="E19622">
        <v>72</v>
      </c>
      <c r="F19622">
        <v>28</v>
      </c>
      <c r="G19622">
        <v>4</v>
      </c>
      <c r="H19622">
        <v>6</v>
      </c>
      <c r="I19622">
        <v>73</v>
      </c>
      <c r="J19622">
        <v>1</v>
      </c>
      <c r="K19622">
        <v>3</v>
      </c>
      <c r="L19622">
        <v>74</v>
      </c>
      <c r="M19622">
        <v>1</v>
      </c>
      <c r="N19622">
        <v>8.5646999999999999E-16</v>
      </c>
      <c r="O19622">
        <v>196</v>
      </c>
    </row>
    <row r="19623" spans="1:15" x14ac:dyDescent="0.25">
      <c r="A19623" t="s">
        <v>19636</v>
      </c>
      <c r="B19623">
        <v>332</v>
      </c>
      <c r="C19623" s="1" t="str">
        <f>HYPERLINK("http://www.rosaceae.org/gb/gbrowse/malus_x_domestica/?name=MDP0000174740","MDP0000174740")</f>
        <v>MDP0000174740</v>
      </c>
      <c r="D19623">
        <v>89.45</v>
      </c>
      <c r="E19623">
        <v>332</v>
      </c>
      <c r="F19623">
        <v>35</v>
      </c>
      <c r="G19623">
        <v>0</v>
      </c>
      <c r="H19623">
        <v>1</v>
      </c>
      <c r="I19623">
        <v>332</v>
      </c>
      <c r="J19623">
        <v>1</v>
      </c>
      <c r="K19623">
        <v>134</v>
      </c>
      <c r="L19623">
        <v>465</v>
      </c>
      <c r="M19623">
        <v>1</v>
      </c>
      <c r="N19623">
        <v>1.12909E-175</v>
      </c>
      <c r="O19623">
        <v>1579</v>
      </c>
    </row>
    <row r="19624" spans="1:15" x14ac:dyDescent="0.25">
      <c r="A19624" t="s">
        <v>19637</v>
      </c>
      <c r="B19624">
        <v>459</v>
      </c>
      <c r="C19624" s="1" t="str">
        <f>HYPERLINK("http://www.rosaceae.org/gb/gbrowse/malus_x_domestica/?name=MDP0000185794","MDP0000185794")</f>
        <v>MDP0000185794</v>
      </c>
      <c r="D19624">
        <v>68.13</v>
      </c>
      <c r="E19624">
        <v>182</v>
      </c>
      <c r="F19624">
        <v>58</v>
      </c>
      <c r="G19624">
        <v>1</v>
      </c>
      <c r="H19624">
        <v>276</v>
      </c>
      <c r="I19624">
        <v>457</v>
      </c>
      <c r="J19624">
        <v>1</v>
      </c>
      <c r="K19624">
        <v>224</v>
      </c>
      <c r="L19624">
        <v>404</v>
      </c>
      <c r="M19624">
        <v>1</v>
      </c>
      <c r="N19624">
        <v>2.5889099999999999E-67</v>
      </c>
      <c r="O19624">
        <v>647</v>
      </c>
    </row>
    <row r="19625" spans="1:15" x14ac:dyDescent="0.25">
      <c r="A19625" t="s">
        <v>19638</v>
      </c>
      <c r="B19625">
        <v>512</v>
      </c>
      <c r="C19625" s="1" t="str">
        <f>HYPERLINK("http://www.rosaceae.org/gb/gbrowse/malus_x_domestica/?name=MDP0000809215","MDP0000809215")</f>
        <v>MDP0000809215</v>
      </c>
      <c r="D19625">
        <v>87.42</v>
      </c>
      <c r="E19625">
        <v>469</v>
      </c>
      <c r="F19625">
        <v>59</v>
      </c>
      <c r="G19625">
        <v>4</v>
      </c>
      <c r="H19625">
        <v>42</v>
      </c>
      <c r="I19625">
        <v>506</v>
      </c>
      <c r="J19625">
        <v>1</v>
      </c>
      <c r="K19625">
        <v>67</v>
      </c>
      <c r="L19625">
        <v>535</v>
      </c>
      <c r="M19625">
        <v>1</v>
      </c>
      <c r="N19625">
        <v>0</v>
      </c>
      <c r="O19625">
        <v>2184</v>
      </c>
    </row>
    <row r="19626" spans="1:15" x14ac:dyDescent="0.25">
      <c r="A19626" t="s">
        <v>19639</v>
      </c>
      <c r="B19626">
        <v>903</v>
      </c>
      <c r="C19626" s="1" t="str">
        <f>HYPERLINK("http://www.rosaceae.org/gb/gbrowse/malus_x_domestica/?name=MDP0000265855","MDP0000265855")</f>
        <v>MDP0000265855</v>
      </c>
      <c r="D19626">
        <v>39.44</v>
      </c>
      <c r="E19626">
        <v>398</v>
      </c>
      <c r="F19626">
        <v>241</v>
      </c>
      <c r="G19626">
        <v>29</v>
      </c>
      <c r="H19626">
        <v>1</v>
      </c>
      <c r="I19626">
        <v>371</v>
      </c>
      <c r="J19626">
        <v>1</v>
      </c>
      <c r="K19626">
        <v>1065</v>
      </c>
      <c r="L19626">
        <v>1460</v>
      </c>
      <c r="M19626">
        <v>1</v>
      </c>
      <c r="N19626">
        <v>3.0920600000000002E-63</v>
      </c>
      <c r="O19626">
        <v>614</v>
      </c>
    </row>
    <row r="19627" spans="1:15" x14ac:dyDescent="0.25">
      <c r="A19627" t="s">
        <v>19640</v>
      </c>
      <c r="B19627">
        <v>593</v>
      </c>
      <c r="C19627" s="1" t="str">
        <f>HYPERLINK("http://www.rosaceae.org/gb/gbrowse/malus_x_domestica/?name=MDP0000267129","MDP0000267129")</f>
        <v>MDP0000267129</v>
      </c>
      <c r="D19627">
        <v>57.35</v>
      </c>
      <c r="E19627">
        <v>605</v>
      </c>
      <c r="F19627">
        <v>258</v>
      </c>
      <c r="G19627">
        <v>14</v>
      </c>
      <c r="H19627">
        <v>1</v>
      </c>
      <c r="I19627">
        <v>593</v>
      </c>
      <c r="J19627">
        <v>1</v>
      </c>
      <c r="K19627">
        <v>1</v>
      </c>
      <c r="L19627">
        <v>603</v>
      </c>
      <c r="M19627">
        <v>1</v>
      </c>
      <c r="N19627">
        <v>0</v>
      </c>
      <c r="O19627">
        <v>1800</v>
      </c>
    </row>
    <row r="19628" spans="1:15" x14ac:dyDescent="0.25">
      <c r="A19628" t="s">
        <v>19641</v>
      </c>
      <c r="B19628">
        <v>197</v>
      </c>
      <c r="C19628" s="1" t="str">
        <f>HYPERLINK("http://www.rosaceae.org/gb/gbrowse/malus_x_domestica/?name=MDP0000235103","MDP0000235103")</f>
        <v>MDP0000235103</v>
      </c>
      <c r="D19628">
        <v>74.239999999999995</v>
      </c>
      <c r="E19628">
        <v>198</v>
      </c>
      <c r="F19628">
        <v>51</v>
      </c>
      <c r="G19628">
        <v>4</v>
      </c>
      <c r="H19628">
        <v>1</v>
      </c>
      <c r="I19628">
        <v>195</v>
      </c>
      <c r="J19628">
        <v>1</v>
      </c>
      <c r="K19628">
        <v>1</v>
      </c>
      <c r="L19628">
        <v>197</v>
      </c>
      <c r="M19628">
        <v>1</v>
      </c>
      <c r="N19628">
        <v>4.4349600000000003E-80</v>
      </c>
      <c r="O19628">
        <v>752</v>
      </c>
    </row>
    <row r="19629" spans="1:15" x14ac:dyDescent="0.25">
      <c r="A19629" t="s">
        <v>19642</v>
      </c>
      <c r="B19629">
        <v>582</v>
      </c>
      <c r="C19629" s="1" t="str">
        <f>HYPERLINK("http://www.rosaceae.org/gb/gbrowse/malus_x_domestica/?name=MDP0000120099","MDP0000120099")</f>
        <v>MDP0000120099</v>
      </c>
      <c r="D19629">
        <v>70.33</v>
      </c>
      <c r="E19629">
        <v>482</v>
      </c>
      <c r="F19629">
        <v>143</v>
      </c>
      <c r="G19629">
        <v>0</v>
      </c>
      <c r="H19629">
        <v>1</v>
      </c>
      <c r="I19629">
        <v>482</v>
      </c>
      <c r="J19629">
        <v>1</v>
      </c>
      <c r="K19629">
        <v>503</v>
      </c>
      <c r="L19629">
        <v>984</v>
      </c>
      <c r="M19629">
        <v>1</v>
      </c>
      <c r="N19629">
        <v>0</v>
      </c>
      <c r="O19629">
        <v>1742</v>
      </c>
    </row>
    <row r="19630" spans="1:15" x14ac:dyDescent="0.25">
      <c r="A19630" t="s">
        <v>19643</v>
      </c>
      <c r="B19630">
        <v>594</v>
      </c>
      <c r="C19630" s="1" t="str">
        <f>HYPERLINK("http://www.rosaceae.org/gb/gbrowse/malus_x_domestica/?name=MDP0000156032","MDP0000156032")</f>
        <v>MDP0000156032</v>
      </c>
      <c r="D19630">
        <v>67.58</v>
      </c>
      <c r="E19630">
        <v>543</v>
      </c>
      <c r="F19630">
        <v>176</v>
      </c>
      <c r="G19630">
        <v>81</v>
      </c>
      <c r="H19630">
        <v>16</v>
      </c>
      <c r="I19630">
        <v>539</v>
      </c>
      <c r="J19630">
        <v>1</v>
      </c>
      <c r="K19630">
        <v>264</v>
      </c>
      <c r="L19630">
        <v>744</v>
      </c>
      <c r="M19630">
        <v>1</v>
      </c>
      <c r="N19630">
        <v>0</v>
      </c>
      <c r="O19630">
        <v>1907</v>
      </c>
    </row>
    <row r="19631" spans="1:15" x14ac:dyDescent="0.25">
      <c r="A19631" t="s">
        <v>19644</v>
      </c>
      <c r="B19631">
        <v>904</v>
      </c>
      <c r="C19631" s="1" t="str">
        <f>HYPERLINK("http://www.rosaceae.org/gb/gbrowse/malus_x_domestica/?name=MDP0000320465","MDP0000320465")</f>
        <v>MDP0000320465</v>
      </c>
      <c r="D19631">
        <v>81.36</v>
      </c>
      <c r="E19631">
        <v>907</v>
      </c>
      <c r="F19631">
        <v>169</v>
      </c>
      <c r="G19631">
        <v>4</v>
      </c>
      <c r="H19631">
        <v>1</v>
      </c>
      <c r="I19631">
        <v>903</v>
      </c>
      <c r="J19631">
        <v>1</v>
      </c>
      <c r="K19631">
        <v>1</v>
      </c>
      <c r="L19631">
        <v>907</v>
      </c>
      <c r="M19631">
        <v>1</v>
      </c>
      <c r="N19631">
        <v>0</v>
      </c>
      <c r="O19631">
        <v>3973</v>
      </c>
    </row>
    <row r="19632" spans="1:15" x14ac:dyDescent="0.25">
      <c r="A19632" t="s">
        <v>19645</v>
      </c>
      <c r="B19632">
        <v>689</v>
      </c>
      <c r="C19632" s="1" t="str">
        <f>HYPERLINK("http://www.rosaceae.org/gb/gbrowse/malus_x_domestica/?name=MDP0000293828","MDP0000293828")</f>
        <v>MDP0000293828</v>
      </c>
      <c r="D19632">
        <v>74.849999999999994</v>
      </c>
      <c r="E19632">
        <v>688</v>
      </c>
      <c r="F19632">
        <v>173</v>
      </c>
      <c r="G19632">
        <v>16</v>
      </c>
      <c r="H19632">
        <v>4</v>
      </c>
      <c r="I19632">
        <v>687</v>
      </c>
      <c r="J19632">
        <v>1</v>
      </c>
      <c r="K19632">
        <v>5</v>
      </c>
      <c r="L19632">
        <v>680</v>
      </c>
      <c r="M19632">
        <v>1</v>
      </c>
      <c r="N19632">
        <v>0</v>
      </c>
      <c r="O19632">
        <v>2728</v>
      </c>
    </row>
    <row r="19633" spans="1:15" x14ac:dyDescent="0.25">
      <c r="A19633" t="s">
        <v>19646</v>
      </c>
      <c r="B19633">
        <v>567</v>
      </c>
      <c r="C19633" s="1" t="str">
        <f>HYPERLINK("http://www.rosaceae.org/gb/gbrowse/malus_x_domestica/?name=MDP0000194930","MDP0000194930")</f>
        <v>MDP0000194930</v>
      </c>
      <c r="D19633">
        <v>83.21</v>
      </c>
      <c r="E19633">
        <v>572</v>
      </c>
      <c r="F19633">
        <v>96</v>
      </c>
      <c r="G19633">
        <v>5</v>
      </c>
      <c r="H19633">
        <v>1</v>
      </c>
      <c r="I19633">
        <v>567</v>
      </c>
      <c r="J19633">
        <v>1</v>
      </c>
      <c r="K19633">
        <v>1</v>
      </c>
      <c r="L19633">
        <v>572</v>
      </c>
      <c r="M19633">
        <v>1</v>
      </c>
      <c r="N19633">
        <v>0</v>
      </c>
      <c r="O19633">
        <v>2528</v>
      </c>
    </row>
    <row r="19634" spans="1:15" x14ac:dyDescent="0.25">
      <c r="A19634" t="s">
        <v>19647</v>
      </c>
      <c r="B19634">
        <v>617</v>
      </c>
      <c r="C19634" s="1" t="str">
        <f>HYPERLINK("http://www.rosaceae.org/gb/gbrowse/malus_x_domestica/?name=MDP0000257517","MDP0000257517")</f>
        <v>MDP0000257517</v>
      </c>
      <c r="D19634">
        <v>52.47</v>
      </c>
      <c r="E19634">
        <v>484</v>
      </c>
      <c r="F19634">
        <v>230</v>
      </c>
      <c r="G19634">
        <v>27</v>
      </c>
      <c r="H19634">
        <v>50</v>
      </c>
      <c r="I19634">
        <v>526</v>
      </c>
      <c r="J19634">
        <v>1</v>
      </c>
      <c r="K19634">
        <v>135</v>
      </c>
      <c r="L19634">
        <v>598</v>
      </c>
      <c r="M19634">
        <v>1</v>
      </c>
      <c r="N19634">
        <v>9.9579600000000005E-142</v>
      </c>
      <c r="O19634">
        <v>1290</v>
      </c>
    </row>
    <row r="19635" spans="1:15" x14ac:dyDescent="0.25">
      <c r="A19635" t="s">
        <v>19648</v>
      </c>
      <c r="B19635">
        <v>471</v>
      </c>
      <c r="C19635" s="1" t="str">
        <f>HYPERLINK("http://www.rosaceae.org/gb/gbrowse/malus_x_domestica/?name=MDP0000247429","MDP0000247429")</f>
        <v>MDP0000247429</v>
      </c>
      <c r="D19635">
        <v>87.84</v>
      </c>
      <c r="E19635">
        <v>469</v>
      </c>
      <c r="F19635">
        <v>57</v>
      </c>
      <c r="G19635">
        <v>41</v>
      </c>
      <c r="H19635">
        <v>1</v>
      </c>
      <c r="I19635">
        <v>469</v>
      </c>
      <c r="J19635">
        <v>1</v>
      </c>
      <c r="K19635">
        <v>1</v>
      </c>
      <c r="L19635">
        <v>428</v>
      </c>
      <c r="M19635">
        <v>1</v>
      </c>
      <c r="N19635">
        <v>0</v>
      </c>
      <c r="O19635">
        <v>2167</v>
      </c>
    </row>
    <row r="19636" spans="1:15" x14ac:dyDescent="0.25">
      <c r="A19636" t="s">
        <v>19649</v>
      </c>
      <c r="B19636">
        <v>105</v>
      </c>
      <c r="C19636" s="1" t="str">
        <f>HYPERLINK("http://www.rosaceae.org/gb/gbrowse/malus_x_domestica/?name=MDP0000363738","MDP0000363738")</f>
        <v>MDP0000363738</v>
      </c>
      <c r="D19636">
        <v>100</v>
      </c>
      <c r="E19636">
        <v>47</v>
      </c>
      <c r="F19636">
        <v>0</v>
      </c>
      <c r="G19636">
        <v>0</v>
      </c>
      <c r="H19636">
        <v>41</v>
      </c>
      <c r="I19636">
        <v>87</v>
      </c>
      <c r="J19636">
        <v>1</v>
      </c>
      <c r="K19636">
        <v>53</v>
      </c>
      <c r="L19636">
        <v>99</v>
      </c>
      <c r="M19636">
        <v>1</v>
      </c>
      <c r="N19636">
        <v>1.4607899999999999E-22</v>
      </c>
      <c r="O19636">
        <v>252</v>
      </c>
    </row>
    <row r="19637" spans="1:15" x14ac:dyDescent="0.25">
      <c r="A19637" t="s">
        <v>19650</v>
      </c>
      <c r="B19637">
        <v>128</v>
      </c>
      <c r="C19637" s="1" t="str">
        <f>HYPERLINK("http://www.rosaceae.org/gb/gbrowse/malus_x_domestica/?name=MDP0000782085","MDP0000782085")</f>
        <v>MDP0000782085</v>
      </c>
      <c r="D19637">
        <v>75</v>
      </c>
      <c r="E19637">
        <v>128</v>
      </c>
      <c r="F19637">
        <v>32</v>
      </c>
      <c r="G19637">
        <v>0</v>
      </c>
      <c r="H19637">
        <v>1</v>
      </c>
      <c r="I19637">
        <v>128</v>
      </c>
      <c r="J19637">
        <v>1</v>
      </c>
      <c r="K19637">
        <v>21</v>
      </c>
      <c r="L19637">
        <v>148</v>
      </c>
      <c r="M19637">
        <v>1</v>
      </c>
      <c r="N19637">
        <v>9.6302500000000004E-55</v>
      </c>
      <c r="O19637">
        <v>530</v>
      </c>
    </row>
    <row r="19638" spans="1:15" x14ac:dyDescent="0.25">
      <c r="A19638" t="s">
        <v>19651</v>
      </c>
      <c r="B19638">
        <v>825</v>
      </c>
      <c r="C19638" s="1" t="str">
        <f>HYPERLINK("http://www.rosaceae.org/gb/gbrowse/malus_x_domestica/?name=MDP0000257212","MDP0000257212")</f>
        <v>MDP0000257212</v>
      </c>
      <c r="D19638">
        <v>32.799999999999997</v>
      </c>
      <c r="E19638">
        <v>378</v>
      </c>
      <c r="F19638">
        <v>254</v>
      </c>
      <c r="G19638">
        <v>55</v>
      </c>
      <c r="H19638">
        <v>1</v>
      </c>
      <c r="I19638">
        <v>351</v>
      </c>
      <c r="J19638">
        <v>1</v>
      </c>
      <c r="K19638">
        <v>135</v>
      </c>
      <c r="L19638">
        <v>484</v>
      </c>
      <c r="M19638">
        <v>1</v>
      </c>
      <c r="N19638">
        <v>1.9019999999999999E-46</v>
      </c>
      <c r="O19638">
        <v>469</v>
      </c>
    </row>
    <row r="19639" spans="1:15" x14ac:dyDescent="0.25">
      <c r="A19639" t="s">
        <v>19652</v>
      </c>
      <c r="B19639">
        <v>434</v>
      </c>
      <c r="C19639" s="1" t="str">
        <f>HYPERLINK("http://www.rosaceae.org/gb/gbrowse/malus_x_domestica/?name=MDP0000222077","MDP0000222077")</f>
        <v>MDP0000222077</v>
      </c>
      <c r="D19639">
        <v>45.28</v>
      </c>
      <c r="E19639">
        <v>382</v>
      </c>
      <c r="F19639">
        <v>209</v>
      </c>
      <c r="G19639">
        <v>55</v>
      </c>
      <c r="H19639">
        <v>2</v>
      </c>
      <c r="I19639">
        <v>330</v>
      </c>
      <c r="J19639">
        <v>1</v>
      </c>
      <c r="K19639">
        <v>596</v>
      </c>
      <c r="L19639">
        <v>975</v>
      </c>
      <c r="M19639">
        <v>1</v>
      </c>
      <c r="N19639">
        <v>1.7614800000000001E-71</v>
      </c>
      <c r="O19639">
        <v>682</v>
      </c>
    </row>
    <row r="19640" spans="1:15" x14ac:dyDescent="0.25">
      <c r="A19640" t="s">
        <v>19653</v>
      </c>
      <c r="B19640">
        <v>123</v>
      </c>
      <c r="C19640" s="1" t="str">
        <f>HYPERLINK("http://www.rosaceae.org/gb/gbrowse/malus_x_domestica/?name=MDP0000430422","MDP0000430422")</f>
        <v>MDP0000430422</v>
      </c>
      <c r="D19640">
        <v>57.5</v>
      </c>
      <c r="E19640">
        <v>40</v>
      </c>
      <c r="F19640">
        <v>17</v>
      </c>
      <c r="G19640">
        <v>0</v>
      </c>
      <c r="H19640">
        <v>31</v>
      </c>
      <c r="I19640">
        <v>70</v>
      </c>
      <c r="J19640">
        <v>1</v>
      </c>
      <c r="K19640">
        <v>269</v>
      </c>
      <c r="L19640">
        <v>308</v>
      </c>
      <c r="M19640">
        <v>1</v>
      </c>
      <c r="N19640">
        <v>8.3112400000000005E-8</v>
      </c>
      <c r="O19640">
        <v>125</v>
      </c>
    </row>
    <row r="19641" spans="1:15" x14ac:dyDescent="0.25">
      <c r="A19641" t="s">
        <v>19654</v>
      </c>
      <c r="B19641">
        <v>722</v>
      </c>
      <c r="C19641" s="1" t="str">
        <f>HYPERLINK("http://www.rosaceae.org/gb/gbrowse/malus_x_domestica/?name=MDP0000277733","MDP0000277733")</f>
        <v>MDP0000277733</v>
      </c>
      <c r="D19641">
        <v>77.37</v>
      </c>
      <c r="E19641">
        <v>716</v>
      </c>
      <c r="F19641">
        <v>162</v>
      </c>
      <c r="G19641">
        <v>34</v>
      </c>
      <c r="H19641">
        <v>1</v>
      </c>
      <c r="I19641">
        <v>715</v>
      </c>
      <c r="J19641">
        <v>1</v>
      </c>
      <c r="K19641">
        <v>228</v>
      </c>
      <c r="L19641">
        <v>910</v>
      </c>
      <c r="M19641">
        <v>1</v>
      </c>
      <c r="N19641">
        <v>0</v>
      </c>
      <c r="O19641">
        <v>2830</v>
      </c>
    </row>
    <row r="19642" spans="1:15" x14ac:dyDescent="0.25">
      <c r="A19642" t="s">
        <v>19655</v>
      </c>
      <c r="B19642">
        <v>1036</v>
      </c>
      <c r="C19642" s="1" t="str">
        <f>HYPERLINK("http://www.rosaceae.org/gb/gbrowse/malus_x_domestica/?name=MDP0000660154","MDP0000660154")</f>
        <v>MDP0000660154</v>
      </c>
      <c r="D19642">
        <v>58.3</v>
      </c>
      <c r="E19642">
        <v>1048</v>
      </c>
      <c r="F19642">
        <v>437</v>
      </c>
      <c r="G19642">
        <v>32</v>
      </c>
      <c r="H19642">
        <v>1</v>
      </c>
      <c r="I19642">
        <v>1036</v>
      </c>
      <c r="J19642">
        <v>1</v>
      </c>
      <c r="K19642">
        <v>1</v>
      </c>
      <c r="L19642">
        <v>1028</v>
      </c>
      <c r="M19642">
        <v>1</v>
      </c>
      <c r="N19642">
        <v>0</v>
      </c>
      <c r="O19642">
        <v>2905</v>
      </c>
    </row>
    <row r="19643" spans="1:15" x14ac:dyDescent="0.25">
      <c r="A19643" t="s">
        <v>19656</v>
      </c>
      <c r="B19643">
        <v>208</v>
      </c>
      <c r="C19643" s="1" t="str">
        <f>HYPERLINK("http://www.rosaceae.org/gb/gbrowse/malus_x_domestica/?name=MDP0000213598","MDP0000213598")</f>
        <v>MDP0000213598</v>
      </c>
      <c r="D19643">
        <v>73.89</v>
      </c>
      <c r="E19643">
        <v>203</v>
      </c>
      <c r="F19643">
        <v>53</v>
      </c>
      <c r="G19643">
        <v>2</v>
      </c>
      <c r="H19643">
        <v>1</v>
      </c>
      <c r="I19643">
        <v>202</v>
      </c>
      <c r="J19643">
        <v>1</v>
      </c>
      <c r="K19643">
        <v>286</v>
      </c>
      <c r="L19643">
        <v>487</v>
      </c>
      <c r="M19643">
        <v>1</v>
      </c>
      <c r="N19643">
        <v>5.1060200000000001E-86</v>
      </c>
      <c r="O19643">
        <v>804</v>
      </c>
    </row>
    <row r="19644" spans="1:15" x14ac:dyDescent="0.25">
      <c r="A19644" t="s">
        <v>19657</v>
      </c>
      <c r="B19644">
        <v>128</v>
      </c>
      <c r="C19644" s="1" t="str">
        <f>HYPERLINK("http://www.rosaceae.org/gb/gbrowse/malus_x_domestica/?name=MDP0000123429","MDP0000123429")</f>
        <v>MDP0000123429</v>
      </c>
      <c r="D19644">
        <v>89.21</v>
      </c>
      <c r="E19644">
        <v>102</v>
      </c>
      <c r="F19644">
        <v>11</v>
      </c>
      <c r="G19644">
        <v>0</v>
      </c>
      <c r="H19644">
        <v>27</v>
      </c>
      <c r="I19644">
        <v>128</v>
      </c>
      <c r="J19644">
        <v>1</v>
      </c>
      <c r="K19644">
        <v>164</v>
      </c>
      <c r="L19644">
        <v>265</v>
      </c>
      <c r="M19644">
        <v>1</v>
      </c>
      <c r="N19644">
        <v>2.37408E-50</v>
      </c>
      <c r="O19644">
        <v>492</v>
      </c>
    </row>
    <row r="19645" spans="1:15" x14ac:dyDescent="0.25">
      <c r="A19645" t="s">
        <v>19658</v>
      </c>
      <c r="B19645">
        <v>524</v>
      </c>
      <c r="C19645" s="1" t="str">
        <f>HYPERLINK("http://www.rosaceae.org/gb/gbrowse/malus_x_domestica/?name=MDP0000157943","MDP0000157943")</f>
        <v>MDP0000157943</v>
      </c>
      <c r="D19645">
        <v>47.45</v>
      </c>
      <c r="E19645">
        <v>491</v>
      </c>
      <c r="F19645">
        <v>258</v>
      </c>
      <c r="G19645">
        <v>15</v>
      </c>
      <c r="H19645">
        <v>31</v>
      </c>
      <c r="I19645">
        <v>506</v>
      </c>
      <c r="J19645">
        <v>1</v>
      </c>
      <c r="K19645">
        <v>33</v>
      </c>
      <c r="L19645">
        <v>523</v>
      </c>
      <c r="M19645">
        <v>1</v>
      </c>
      <c r="N19645">
        <v>4.4287499999999998E-131</v>
      </c>
      <c r="O19645">
        <v>1197</v>
      </c>
    </row>
    <row r="19646" spans="1:15" x14ac:dyDescent="0.25">
      <c r="A19646" t="s">
        <v>19659</v>
      </c>
      <c r="B19646">
        <v>218</v>
      </c>
      <c r="C19646" s="1" t="str">
        <f>HYPERLINK("http://www.rosaceae.org/gb/gbrowse/malus_x_domestica/?name=MDP0000285976","MDP0000285976")</f>
        <v>MDP0000285976</v>
      </c>
      <c r="D19646">
        <v>92.68</v>
      </c>
      <c r="E19646">
        <v>123</v>
      </c>
      <c r="F19646">
        <v>9</v>
      </c>
      <c r="G19646">
        <v>1</v>
      </c>
      <c r="H19646">
        <v>1</v>
      </c>
      <c r="I19646">
        <v>123</v>
      </c>
      <c r="J19646">
        <v>1</v>
      </c>
      <c r="K19646">
        <v>1</v>
      </c>
      <c r="L19646">
        <v>122</v>
      </c>
      <c r="M19646">
        <v>1</v>
      </c>
      <c r="N19646">
        <v>3.9562500000000002E-60</v>
      </c>
      <c r="O19646">
        <v>581</v>
      </c>
    </row>
    <row r="19647" spans="1:15" x14ac:dyDescent="0.25">
      <c r="A19647" t="s">
        <v>19660</v>
      </c>
      <c r="B19647">
        <v>217</v>
      </c>
      <c r="C19647" s="1" t="str">
        <f>HYPERLINK("http://www.rosaceae.org/gb/gbrowse/malus_x_domestica/?name=MDP0000634676","MDP0000634676")</f>
        <v>MDP0000634676</v>
      </c>
      <c r="D19647">
        <v>66.23</v>
      </c>
      <c r="E19647">
        <v>154</v>
      </c>
      <c r="F19647">
        <v>52</v>
      </c>
      <c r="G19647">
        <v>26</v>
      </c>
      <c r="H19647">
        <v>58</v>
      </c>
      <c r="I19647">
        <v>185</v>
      </c>
      <c r="J19647">
        <v>1</v>
      </c>
      <c r="K19647">
        <v>74</v>
      </c>
      <c r="L19647">
        <v>227</v>
      </c>
      <c r="M19647">
        <v>1</v>
      </c>
      <c r="N19647">
        <v>1.1339000000000001E-53</v>
      </c>
      <c r="O19647">
        <v>525</v>
      </c>
    </row>
    <row r="19648" spans="1:15" x14ac:dyDescent="0.25">
      <c r="A19648" t="s">
        <v>19661</v>
      </c>
      <c r="B19648">
        <v>914</v>
      </c>
      <c r="C19648" s="1" t="str">
        <f>HYPERLINK("http://www.rosaceae.org/gb/gbrowse/malus_x_domestica/?name=MDP0000155031","MDP0000155031")</f>
        <v>MDP0000155031</v>
      </c>
      <c r="D19648">
        <v>82.98</v>
      </c>
      <c r="E19648">
        <v>917</v>
      </c>
      <c r="F19648">
        <v>156</v>
      </c>
      <c r="G19648">
        <v>13</v>
      </c>
      <c r="H19648">
        <v>3</v>
      </c>
      <c r="I19648">
        <v>914</v>
      </c>
      <c r="J19648">
        <v>1</v>
      </c>
      <c r="K19648">
        <v>4</v>
      </c>
      <c r="L19648">
        <v>912</v>
      </c>
      <c r="M19648">
        <v>1</v>
      </c>
      <c r="N19648">
        <v>0</v>
      </c>
      <c r="O19648">
        <v>3980</v>
      </c>
    </row>
    <row r="19649" spans="1:15" x14ac:dyDescent="0.25">
      <c r="A19649" t="s">
        <v>19662</v>
      </c>
      <c r="B19649">
        <v>340</v>
      </c>
      <c r="C19649" s="1" t="str">
        <f>HYPERLINK("http://www.rosaceae.org/gb/gbrowse/malus_x_domestica/?name=MDP0000242464","MDP0000242464")</f>
        <v>MDP0000242464</v>
      </c>
      <c r="D19649">
        <v>85.62</v>
      </c>
      <c r="E19649">
        <v>320</v>
      </c>
      <c r="F19649">
        <v>46</v>
      </c>
      <c r="G19649">
        <v>2</v>
      </c>
      <c r="H19649">
        <v>3</v>
      </c>
      <c r="I19649">
        <v>322</v>
      </c>
      <c r="J19649">
        <v>1</v>
      </c>
      <c r="K19649">
        <v>275</v>
      </c>
      <c r="L19649">
        <v>592</v>
      </c>
      <c r="M19649">
        <v>1</v>
      </c>
      <c r="N19649">
        <v>1.55792E-162</v>
      </c>
      <c r="O19649">
        <v>1466</v>
      </c>
    </row>
    <row r="19650" spans="1:15" x14ac:dyDescent="0.25">
      <c r="A19650" t="s">
        <v>19663</v>
      </c>
      <c r="B19650">
        <v>608</v>
      </c>
      <c r="C19650" s="1" t="str">
        <f>HYPERLINK("http://www.rosaceae.org/gb/gbrowse/malus_x_domestica/?name=MDP0000230470","MDP0000230470")</f>
        <v>MDP0000230470</v>
      </c>
      <c r="D19650">
        <v>71.150000000000006</v>
      </c>
      <c r="E19650">
        <v>520</v>
      </c>
      <c r="F19650">
        <v>150</v>
      </c>
      <c r="G19650">
        <v>13</v>
      </c>
      <c r="H19650">
        <v>1</v>
      </c>
      <c r="I19650">
        <v>520</v>
      </c>
      <c r="J19650">
        <v>1</v>
      </c>
      <c r="K19650">
        <v>225</v>
      </c>
      <c r="L19650">
        <v>731</v>
      </c>
      <c r="M19650">
        <v>1</v>
      </c>
      <c r="N19650">
        <v>0</v>
      </c>
      <c r="O19650">
        <v>2008</v>
      </c>
    </row>
    <row r="19651" spans="1:15" x14ac:dyDescent="0.25">
      <c r="A19651" t="s">
        <v>19664</v>
      </c>
      <c r="B19651">
        <v>132</v>
      </c>
      <c r="C19651" s="1" t="str">
        <f>HYPERLINK("http://www.rosaceae.org/gb/gbrowse/malus_x_domestica/?name=MDP0000183993","MDP0000183993")</f>
        <v>MDP0000183993</v>
      </c>
      <c r="D19651">
        <v>41.91</v>
      </c>
      <c r="E19651">
        <v>198</v>
      </c>
      <c r="F19651">
        <v>115</v>
      </c>
      <c r="G19651">
        <v>75</v>
      </c>
      <c r="H19651">
        <v>10</v>
      </c>
      <c r="I19651">
        <v>132</v>
      </c>
      <c r="J19651">
        <v>1</v>
      </c>
      <c r="K19651">
        <v>82</v>
      </c>
      <c r="L19651">
        <v>279</v>
      </c>
      <c r="M19651">
        <v>1</v>
      </c>
      <c r="N19651">
        <v>2.6337000000000001E-35</v>
      </c>
      <c r="O19651">
        <v>363</v>
      </c>
    </row>
    <row r="19652" spans="1:15" x14ac:dyDescent="0.25">
      <c r="A19652" t="s">
        <v>19665</v>
      </c>
      <c r="B19652">
        <v>219</v>
      </c>
      <c r="C19652" s="1" t="str">
        <f>HYPERLINK("http://www.rosaceae.org/gb/gbrowse/malus_x_domestica/?name=MDP0000262701","MDP0000262701")</f>
        <v>MDP0000262701</v>
      </c>
      <c r="D19652">
        <v>70.75</v>
      </c>
      <c r="E19652">
        <v>212</v>
      </c>
      <c r="F19652">
        <v>62</v>
      </c>
      <c r="G19652">
        <v>13</v>
      </c>
      <c r="H19652">
        <v>1</v>
      </c>
      <c r="I19652">
        <v>201</v>
      </c>
      <c r="J19652">
        <v>1</v>
      </c>
      <c r="K19652">
        <v>1</v>
      </c>
      <c r="L19652">
        <v>210</v>
      </c>
      <c r="M19652">
        <v>1</v>
      </c>
      <c r="N19652">
        <v>2.8861800000000001E-83</v>
      </c>
      <c r="O19652">
        <v>780</v>
      </c>
    </row>
    <row r="19653" spans="1:15" x14ac:dyDescent="0.25">
      <c r="A19653" t="s">
        <v>19666</v>
      </c>
      <c r="B19653">
        <v>862</v>
      </c>
      <c r="C19653" s="1" t="str">
        <f>HYPERLINK("http://www.rosaceae.org/gb/gbrowse/malus_x_domestica/?name=MDP0000035633","MDP0000035633")</f>
        <v>MDP0000035633</v>
      </c>
      <c r="D19653">
        <v>84.45</v>
      </c>
      <c r="E19653">
        <v>373</v>
      </c>
      <c r="F19653">
        <v>58</v>
      </c>
      <c r="G19653">
        <v>0</v>
      </c>
      <c r="H19653">
        <v>340</v>
      </c>
      <c r="I19653">
        <v>712</v>
      </c>
      <c r="J19653">
        <v>1</v>
      </c>
      <c r="K19653">
        <v>18</v>
      </c>
      <c r="L19653">
        <v>390</v>
      </c>
      <c r="M19653">
        <v>1</v>
      </c>
      <c r="N19653">
        <v>0</v>
      </c>
      <c r="O19653">
        <v>1696</v>
      </c>
    </row>
    <row r="19654" spans="1:15" x14ac:dyDescent="0.25">
      <c r="A19654" t="s">
        <v>19667</v>
      </c>
      <c r="B19654">
        <v>376</v>
      </c>
      <c r="C19654" s="1" t="str">
        <f>HYPERLINK("http://www.rosaceae.org/gb/gbrowse/malus_x_domestica/?name=MDP0000263867","MDP0000263867")</f>
        <v>MDP0000263867</v>
      </c>
      <c r="D19654">
        <v>94.59</v>
      </c>
      <c r="E19654">
        <v>333</v>
      </c>
      <c r="F19654">
        <v>18</v>
      </c>
      <c r="G19654">
        <v>0</v>
      </c>
      <c r="H19654">
        <v>44</v>
      </c>
      <c r="I19654">
        <v>376</v>
      </c>
      <c r="J19654">
        <v>1</v>
      </c>
      <c r="K19654">
        <v>1</v>
      </c>
      <c r="L19654">
        <v>333</v>
      </c>
      <c r="M19654">
        <v>1</v>
      </c>
      <c r="N19654">
        <v>0</v>
      </c>
      <c r="O19654">
        <v>1714</v>
      </c>
    </row>
    <row r="19655" spans="1:15" x14ac:dyDescent="0.25">
      <c r="A19655" t="s">
        <v>19668</v>
      </c>
      <c r="B19655">
        <v>753</v>
      </c>
      <c r="C19655" s="1" t="str">
        <f>HYPERLINK("http://www.rosaceae.org/gb/gbrowse/malus_x_domestica/?name=MDP0000262250","MDP0000262250")</f>
        <v>MDP0000262250</v>
      </c>
      <c r="D19655">
        <v>66.66</v>
      </c>
      <c r="E19655">
        <v>81</v>
      </c>
      <c r="F19655">
        <v>27</v>
      </c>
      <c r="G19655">
        <v>3</v>
      </c>
      <c r="H19655">
        <v>54</v>
      </c>
      <c r="I19655">
        <v>134</v>
      </c>
      <c r="J19655">
        <v>1</v>
      </c>
      <c r="K19655">
        <v>76</v>
      </c>
      <c r="L19655">
        <v>153</v>
      </c>
      <c r="M19655">
        <v>1</v>
      </c>
      <c r="N19655">
        <v>4.75395E-20</v>
      </c>
      <c r="O19655">
        <v>241</v>
      </c>
    </row>
    <row r="19656" spans="1:15" x14ac:dyDescent="0.25">
      <c r="A19656" t="s">
        <v>19669</v>
      </c>
      <c r="B19656">
        <v>182</v>
      </c>
      <c r="C19656" s="1" t="str">
        <f>HYPERLINK("http://www.rosaceae.org/gb/gbrowse/malus_x_domestica/?name=MDP0000201754","MDP0000201754")</f>
        <v>MDP0000201754</v>
      </c>
      <c r="D19656">
        <v>38.93</v>
      </c>
      <c r="E19656">
        <v>131</v>
      </c>
      <c r="F19656">
        <v>80</v>
      </c>
      <c r="G19656">
        <v>9</v>
      </c>
      <c r="H19656">
        <v>1</v>
      </c>
      <c r="I19656">
        <v>122</v>
      </c>
      <c r="J19656">
        <v>1</v>
      </c>
      <c r="K19656">
        <v>1</v>
      </c>
      <c r="L19656">
        <v>131</v>
      </c>
      <c r="M19656">
        <v>1</v>
      </c>
      <c r="N19656">
        <v>4.2017300000000001E-12</v>
      </c>
      <c r="O19656">
        <v>165</v>
      </c>
    </row>
    <row r="19657" spans="1:15" x14ac:dyDescent="0.25">
      <c r="A19657" t="s">
        <v>19670</v>
      </c>
      <c r="B19657">
        <v>557</v>
      </c>
      <c r="C19657" s="1" t="str">
        <f>HYPERLINK("http://www.rosaceae.org/gb/gbrowse/malus_x_domestica/?name=MDP0000178949","MDP0000178949")</f>
        <v>MDP0000178949</v>
      </c>
      <c r="D19657">
        <v>87.63</v>
      </c>
      <c r="E19657">
        <v>453</v>
      </c>
      <c r="F19657">
        <v>56</v>
      </c>
      <c r="G19657">
        <v>4</v>
      </c>
      <c r="H19657">
        <v>108</v>
      </c>
      <c r="I19657">
        <v>556</v>
      </c>
      <c r="J19657">
        <v>1</v>
      </c>
      <c r="K19657">
        <v>101</v>
      </c>
      <c r="L19657">
        <v>553</v>
      </c>
      <c r="M19657">
        <v>1</v>
      </c>
      <c r="N19657">
        <v>0</v>
      </c>
      <c r="O19657">
        <v>2122</v>
      </c>
    </row>
    <row r="19658" spans="1:15" x14ac:dyDescent="0.25">
      <c r="A19658" t="s">
        <v>19671</v>
      </c>
      <c r="B19658">
        <v>471</v>
      </c>
      <c r="C19658" s="1" t="str">
        <f>HYPERLINK("http://www.rosaceae.org/gb/gbrowse/malus_x_domestica/?name=MDP0000315280","MDP0000315280")</f>
        <v>MDP0000315280</v>
      </c>
      <c r="D19658">
        <v>44.9</v>
      </c>
      <c r="E19658">
        <v>383</v>
      </c>
      <c r="F19658">
        <v>211</v>
      </c>
      <c r="G19658">
        <v>82</v>
      </c>
      <c r="H19658">
        <v>106</v>
      </c>
      <c r="I19658">
        <v>468</v>
      </c>
      <c r="J19658">
        <v>1</v>
      </c>
      <c r="K19658">
        <v>140</v>
      </c>
      <c r="L19658">
        <v>460</v>
      </c>
      <c r="M19658">
        <v>1</v>
      </c>
      <c r="N19658">
        <v>9.6848700000000005E-64</v>
      </c>
      <c r="O19658">
        <v>616</v>
      </c>
    </row>
    <row r="19659" spans="1:15" x14ac:dyDescent="0.25">
      <c r="A19659" t="s">
        <v>19672</v>
      </c>
      <c r="B19659">
        <v>104</v>
      </c>
      <c r="C19659" s="1" t="str">
        <f>HYPERLINK("http://www.rosaceae.org/gb/gbrowse/malus_x_domestica/?name=MDP0000698897","MDP0000698897")</f>
        <v>MDP0000698897</v>
      </c>
      <c r="D19659">
        <v>34.950000000000003</v>
      </c>
      <c r="E19659">
        <v>103</v>
      </c>
      <c r="F19659">
        <v>67</v>
      </c>
      <c r="G19659">
        <v>0</v>
      </c>
      <c r="H19659">
        <v>2</v>
      </c>
      <c r="I19659">
        <v>104</v>
      </c>
      <c r="J19659">
        <v>1</v>
      </c>
      <c r="K19659">
        <v>101</v>
      </c>
      <c r="L19659">
        <v>203</v>
      </c>
      <c r="M19659">
        <v>1</v>
      </c>
      <c r="N19659">
        <v>5.0885500000000002E-17</v>
      </c>
      <c r="O19659">
        <v>204</v>
      </c>
    </row>
    <row r="19660" spans="1:15" x14ac:dyDescent="0.25">
      <c r="A19660" t="s">
        <v>19673</v>
      </c>
      <c r="B19660">
        <v>275</v>
      </c>
      <c r="C19660" s="1" t="str">
        <f>HYPERLINK("http://www.rosaceae.org/gb/gbrowse/malus_x_domestica/?name=MDP0000150345","MDP0000150345")</f>
        <v>MDP0000150345</v>
      </c>
      <c r="D19660">
        <v>67.09</v>
      </c>
      <c r="E19660">
        <v>155</v>
      </c>
      <c r="F19660">
        <v>51</v>
      </c>
      <c r="G19660">
        <v>2</v>
      </c>
      <c r="H19660">
        <v>121</v>
      </c>
      <c r="I19660">
        <v>274</v>
      </c>
      <c r="J19660">
        <v>1</v>
      </c>
      <c r="K19660">
        <v>14</v>
      </c>
      <c r="L19660">
        <v>167</v>
      </c>
      <c r="M19660">
        <v>1</v>
      </c>
      <c r="N19660">
        <v>4.6992099999999998E-57</v>
      </c>
      <c r="O19660">
        <v>556</v>
      </c>
    </row>
    <row r="19661" spans="1:15" x14ac:dyDescent="0.25">
      <c r="A19661" t="s">
        <v>19674</v>
      </c>
      <c r="B19661">
        <v>144</v>
      </c>
      <c r="C19661" s="1" t="str">
        <f>HYPERLINK("http://www.rosaceae.org/gb/gbrowse/malus_x_domestica/?name=MDP0000163774","MDP0000163774")</f>
        <v>MDP0000163774</v>
      </c>
      <c r="D19661">
        <v>53.33</v>
      </c>
      <c r="E19661">
        <v>75</v>
      </c>
      <c r="F19661">
        <v>35</v>
      </c>
      <c r="G19661">
        <v>0</v>
      </c>
      <c r="H19661">
        <v>1</v>
      </c>
      <c r="I19661">
        <v>75</v>
      </c>
      <c r="J19661">
        <v>1</v>
      </c>
      <c r="K19661">
        <v>87</v>
      </c>
      <c r="L19661">
        <v>161</v>
      </c>
      <c r="M19661">
        <v>1</v>
      </c>
      <c r="N19661">
        <v>7.2387500000000002E-21</v>
      </c>
      <c r="O19661">
        <v>239</v>
      </c>
    </row>
    <row r="19662" spans="1:15" x14ac:dyDescent="0.25">
      <c r="A19662" t="s">
        <v>19675</v>
      </c>
      <c r="B19662">
        <v>607</v>
      </c>
      <c r="C19662" s="1" t="str">
        <f>HYPERLINK("http://www.rosaceae.org/gb/gbrowse/malus_x_domestica/?name=MDP0000301081","MDP0000301081")</f>
        <v>MDP0000301081</v>
      </c>
      <c r="D19662">
        <v>56.32</v>
      </c>
      <c r="E19662">
        <v>87</v>
      </c>
      <c r="F19662">
        <v>38</v>
      </c>
      <c r="G19662">
        <v>21</v>
      </c>
      <c r="H19662">
        <v>15</v>
      </c>
      <c r="I19662">
        <v>89</v>
      </c>
      <c r="J19662">
        <v>1</v>
      </c>
      <c r="K19662">
        <v>14</v>
      </c>
      <c r="L19662">
        <v>91</v>
      </c>
      <c r="M19662">
        <v>1</v>
      </c>
      <c r="N19662">
        <v>1.19778E-11</v>
      </c>
      <c r="O19662">
        <v>168</v>
      </c>
    </row>
    <row r="19663" spans="1:15" x14ac:dyDescent="0.25">
      <c r="A19663" t="s">
        <v>19676</v>
      </c>
      <c r="B19663">
        <v>370</v>
      </c>
      <c r="C19663" s="1" t="str">
        <f>HYPERLINK("http://www.rosaceae.org/gb/gbrowse/malus_x_domestica/?name=MDP0000141348","MDP0000141348")</f>
        <v>MDP0000141348</v>
      </c>
      <c r="D19663">
        <v>91.24</v>
      </c>
      <c r="E19663">
        <v>354</v>
      </c>
      <c r="F19663">
        <v>31</v>
      </c>
      <c r="G19663">
        <v>4</v>
      </c>
      <c r="H19663">
        <v>21</v>
      </c>
      <c r="I19663">
        <v>370</v>
      </c>
      <c r="J19663">
        <v>1</v>
      </c>
      <c r="K19663">
        <v>64</v>
      </c>
      <c r="L19663">
        <v>417</v>
      </c>
      <c r="M19663">
        <v>1</v>
      </c>
      <c r="N19663">
        <v>0</v>
      </c>
      <c r="O19663">
        <v>1730</v>
      </c>
    </row>
    <row r="19664" spans="1:15" x14ac:dyDescent="0.25">
      <c r="A19664" t="s">
        <v>19677</v>
      </c>
      <c r="B19664">
        <v>615</v>
      </c>
      <c r="C19664" s="1" t="str">
        <f>HYPERLINK("http://www.rosaceae.org/gb/gbrowse/malus_x_domestica/?name=MDP0000145100","MDP0000145100")</f>
        <v>MDP0000145100</v>
      </c>
      <c r="D19664">
        <v>79.709999999999994</v>
      </c>
      <c r="E19664">
        <v>483</v>
      </c>
      <c r="F19664">
        <v>98</v>
      </c>
      <c r="G19664">
        <v>38</v>
      </c>
      <c r="H19664">
        <v>1</v>
      </c>
      <c r="I19664">
        <v>466</v>
      </c>
      <c r="J19664">
        <v>1</v>
      </c>
      <c r="K19664">
        <v>154</v>
      </c>
      <c r="L19664">
        <v>615</v>
      </c>
      <c r="M19664">
        <v>1</v>
      </c>
      <c r="N19664">
        <v>0</v>
      </c>
      <c r="O19664">
        <v>2027</v>
      </c>
    </row>
    <row r="19665" spans="1:15" x14ac:dyDescent="0.25">
      <c r="A19665" t="s">
        <v>19678</v>
      </c>
      <c r="B19665">
        <v>242</v>
      </c>
      <c r="C19665" s="1" t="str">
        <f>HYPERLINK("http://www.rosaceae.org/gb/gbrowse/malus_x_domestica/?name=MDP0000259955","MDP0000259955")</f>
        <v>MDP0000259955</v>
      </c>
      <c r="D19665">
        <v>73.680000000000007</v>
      </c>
      <c r="E19665">
        <v>133</v>
      </c>
      <c r="F19665">
        <v>35</v>
      </c>
      <c r="G19665">
        <v>5</v>
      </c>
      <c r="H19665">
        <v>114</v>
      </c>
      <c r="I19665">
        <v>242</v>
      </c>
      <c r="J19665">
        <v>1</v>
      </c>
      <c r="K19665">
        <v>273</v>
      </c>
      <c r="L19665">
        <v>404</v>
      </c>
      <c r="M19665">
        <v>1</v>
      </c>
      <c r="N19665">
        <v>2.7844400000000002E-47</v>
      </c>
      <c r="O19665">
        <v>470</v>
      </c>
    </row>
    <row r="19666" spans="1:15" x14ac:dyDescent="0.25">
      <c r="A19666" t="s">
        <v>19679</v>
      </c>
      <c r="B19666">
        <v>1113</v>
      </c>
      <c r="C19666" s="1" t="str">
        <f>HYPERLINK("http://www.rosaceae.org/gb/gbrowse/malus_x_domestica/?name=MDP0000163774","MDP0000163774")</f>
        <v>MDP0000163774</v>
      </c>
      <c r="D19666">
        <v>26.46</v>
      </c>
      <c r="E19666">
        <v>684</v>
      </c>
      <c r="F19666">
        <v>503</v>
      </c>
      <c r="G19666">
        <v>113</v>
      </c>
      <c r="H19666">
        <v>232</v>
      </c>
      <c r="I19666">
        <v>856</v>
      </c>
      <c r="J19666">
        <v>1</v>
      </c>
      <c r="K19666">
        <v>69</v>
      </c>
      <c r="L19666">
        <v>698</v>
      </c>
      <c r="M19666">
        <v>1</v>
      </c>
      <c r="N19666">
        <v>1.31053E-50</v>
      </c>
      <c r="O19666">
        <v>506</v>
      </c>
    </row>
    <row r="19667" spans="1:15" x14ac:dyDescent="0.25">
      <c r="A19667" t="s">
        <v>19680</v>
      </c>
      <c r="B19667">
        <v>1099</v>
      </c>
      <c r="C19667" s="1" t="str">
        <f>HYPERLINK("http://www.rosaceae.org/gb/gbrowse/malus_x_domestica/?name=MDP0000285776","MDP0000285776")</f>
        <v>MDP0000285776</v>
      </c>
      <c r="D19667">
        <v>37.51</v>
      </c>
      <c r="E19667">
        <v>725</v>
      </c>
      <c r="F19667">
        <v>453</v>
      </c>
      <c r="G19667">
        <v>91</v>
      </c>
      <c r="H19667">
        <v>5</v>
      </c>
      <c r="I19667">
        <v>683</v>
      </c>
      <c r="J19667">
        <v>1</v>
      </c>
      <c r="K19667">
        <v>853</v>
      </c>
      <c r="L19667">
        <v>1532</v>
      </c>
      <c r="M19667">
        <v>1</v>
      </c>
      <c r="N19667">
        <v>1.0070700000000001E-104</v>
      </c>
      <c r="O19667">
        <v>973</v>
      </c>
    </row>
    <row r="19668" spans="1:15" x14ac:dyDescent="0.25">
      <c r="A19668" t="s">
        <v>19681</v>
      </c>
      <c r="B19668">
        <v>153</v>
      </c>
      <c r="C19668" s="1" t="str">
        <f>HYPERLINK("http://www.rosaceae.org/gb/gbrowse/malus_x_domestica/?name=MDP0000181942","MDP0000181942")</f>
        <v>MDP0000181942</v>
      </c>
      <c r="D19668">
        <v>61.84</v>
      </c>
      <c r="E19668">
        <v>76</v>
      </c>
      <c r="F19668">
        <v>29</v>
      </c>
      <c r="G19668">
        <v>0</v>
      </c>
      <c r="H19668">
        <v>2</v>
      </c>
      <c r="I19668">
        <v>77</v>
      </c>
      <c r="J19668">
        <v>1</v>
      </c>
      <c r="K19668">
        <v>3</v>
      </c>
      <c r="L19668">
        <v>78</v>
      </c>
      <c r="M19668">
        <v>1</v>
      </c>
      <c r="N19668">
        <v>7.6147200000000005E-20</v>
      </c>
      <c r="O19668">
        <v>231</v>
      </c>
    </row>
    <row r="19669" spans="1:15" x14ac:dyDescent="0.25">
      <c r="A19669" t="s">
        <v>19682</v>
      </c>
      <c r="B19669">
        <v>505</v>
      </c>
      <c r="C19669" s="1" t="str">
        <f>HYPERLINK("http://www.rosaceae.org/gb/gbrowse/malus_x_domestica/?name=MDP0000128161","MDP0000128161")</f>
        <v>MDP0000128161</v>
      </c>
      <c r="D19669">
        <v>74.67</v>
      </c>
      <c r="E19669">
        <v>458</v>
      </c>
      <c r="F19669">
        <v>116</v>
      </c>
      <c r="G19669">
        <v>17</v>
      </c>
      <c r="H19669">
        <v>48</v>
      </c>
      <c r="I19669">
        <v>502</v>
      </c>
      <c r="J19669">
        <v>1</v>
      </c>
      <c r="K19669">
        <v>46</v>
      </c>
      <c r="L19669">
        <v>489</v>
      </c>
      <c r="M19669">
        <v>1</v>
      </c>
      <c r="N19669">
        <v>0</v>
      </c>
      <c r="O19669">
        <v>1717</v>
      </c>
    </row>
    <row r="19670" spans="1:15" x14ac:dyDescent="0.25">
      <c r="A19670" t="s">
        <v>19683</v>
      </c>
      <c r="B19670">
        <v>313</v>
      </c>
      <c r="C19670" s="1" t="str">
        <f>HYPERLINK("http://www.rosaceae.org/gb/gbrowse/malus_x_domestica/?name=MDP0000351322","MDP0000351322")</f>
        <v>MDP0000351322</v>
      </c>
      <c r="D19670">
        <v>73.23</v>
      </c>
      <c r="E19670">
        <v>213</v>
      </c>
      <c r="F19670">
        <v>57</v>
      </c>
      <c r="G19670">
        <v>11</v>
      </c>
      <c r="H19670">
        <v>1</v>
      </c>
      <c r="I19670">
        <v>213</v>
      </c>
      <c r="J19670">
        <v>1</v>
      </c>
      <c r="K19670">
        <v>1</v>
      </c>
      <c r="L19670">
        <v>202</v>
      </c>
      <c r="M19670">
        <v>1</v>
      </c>
      <c r="N19670">
        <v>1.2554700000000001E-85</v>
      </c>
      <c r="O19670">
        <v>803</v>
      </c>
    </row>
    <row r="19671" spans="1:15" x14ac:dyDescent="0.25">
      <c r="A19671" t="s">
        <v>19684</v>
      </c>
      <c r="B19671">
        <v>1181</v>
      </c>
      <c r="C19671" s="1" t="str">
        <f>HYPERLINK("http://www.rosaceae.org/gb/gbrowse/malus_x_domestica/?name=MDP0000274788","MDP0000274788")</f>
        <v>MDP0000274788</v>
      </c>
      <c r="D19671">
        <v>69.900000000000006</v>
      </c>
      <c r="E19671">
        <v>937</v>
      </c>
      <c r="F19671">
        <v>282</v>
      </c>
      <c r="G19671">
        <v>62</v>
      </c>
      <c r="H19671">
        <v>290</v>
      </c>
      <c r="I19671">
        <v>1181</v>
      </c>
      <c r="J19671">
        <v>1</v>
      </c>
      <c r="K19671">
        <v>9</v>
      </c>
      <c r="L19671">
        <v>928</v>
      </c>
      <c r="M19671">
        <v>1</v>
      </c>
      <c r="N19671">
        <v>0</v>
      </c>
      <c r="O19671">
        <v>3235</v>
      </c>
    </row>
    <row r="19672" spans="1:15" x14ac:dyDescent="0.25">
      <c r="A19672" t="s">
        <v>19685</v>
      </c>
      <c r="B19672">
        <v>128</v>
      </c>
      <c r="C19672" s="1" t="str">
        <f>HYPERLINK("http://www.rosaceae.org/gb/gbrowse/malus_x_domestica/?name=MDP0000786101","MDP0000786101")</f>
        <v>MDP0000786101</v>
      </c>
      <c r="D19672">
        <v>79.099999999999994</v>
      </c>
      <c r="E19672">
        <v>134</v>
      </c>
      <c r="F19672">
        <v>28</v>
      </c>
      <c r="G19672">
        <v>6</v>
      </c>
      <c r="H19672">
        <v>1</v>
      </c>
      <c r="I19672">
        <v>128</v>
      </c>
      <c r="J19672">
        <v>1</v>
      </c>
      <c r="K19672">
        <v>596</v>
      </c>
      <c r="L19672">
        <v>729</v>
      </c>
      <c r="M19672">
        <v>1</v>
      </c>
      <c r="N19672">
        <v>3.6584299999999997E-55</v>
      </c>
      <c r="O19672">
        <v>534</v>
      </c>
    </row>
    <row r="19673" spans="1:15" x14ac:dyDescent="0.25">
      <c r="A19673" t="s">
        <v>19686</v>
      </c>
      <c r="B19673">
        <v>350</v>
      </c>
      <c r="C19673" s="1" t="str">
        <f>HYPERLINK("http://www.rosaceae.org/gb/gbrowse/malus_x_domestica/?name=MDP0000243965","MDP0000243965")</f>
        <v>MDP0000243965</v>
      </c>
      <c r="D19673">
        <v>65.86</v>
      </c>
      <c r="E19673">
        <v>331</v>
      </c>
      <c r="F19673">
        <v>113</v>
      </c>
      <c r="G19673">
        <v>52</v>
      </c>
      <c r="H19673">
        <v>1</v>
      </c>
      <c r="I19673">
        <v>330</v>
      </c>
      <c r="J19673">
        <v>1</v>
      </c>
      <c r="K19673">
        <v>1</v>
      </c>
      <c r="L19673">
        <v>280</v>
      </c>
      <c r="M19673">
        <v>1</v>
      </c>
      <c r="N19673">
        <v>1.2931599999999999E-113</v>
      </c>
      <c r="O19673">
        <v>1045</v>
      </c>
    </row>
    <row r="19674" spans="1:15" x14ac:dyDescent="0.25">
      <c r="A19674" t="s">
        <v>19687</v>
      </c>
      <c r="B19674">
        <v>330</v>
      </c>
      <c r="C19674" s="1" t="str">
        <f>HYPERLINK("http://www.rosaceae.org/gb/gbrowse/malus_x_domestica/?name=MDP0000131500","MDP0000131500")</f>
        <v>MDP0000131500</v>
      </c>
      <c r="D19674">
        <v>60.52</v>
      </c>
      <c r="E19674">
        <v>342</v>
      </c>
      <c r="F19674">
        <v>135</v>
      </c>
      <c r="G19674">
        <v>26</v>
      </c>
      <c r="H19674">
        <v>1</v>
      </c>
      <c r="I19674">
        <v>329</v>
      </c>
      <c r="J19674">
        <v>1</v>
      </c>
      <c r="K19674">
        <v>1</v>
      </c>
      <c r="L19674">
        <v>329</v>
      </c>
      <c r="M19674">
        <v>1</v>
      </c>
      <c r="N19674">
        <v>1.5045999999999999E-104</v>
      </c>
      <c r="O19674">
        <v>966</v>
      </c>
    </row>
    <row r="19675" spans="1:15" x14ac:dyDescent="0.25">
      <c r="A19675" t="s">
        <v>19688</v>
      </c>
      <c r="B19675">
        <v>460</v>
      </c>
      <c r="C19675" s="1" t="str">
        <f>HYPERLINK("http://www.rosaceae.org/gb/gbrowse/malus_x_domestica/?name=MDP0000142076","MDP0000142076")</f>
        <v>MDP0000142076</v>
      </c>
      <c r="D19675">
        <v>77.94</v>
      </c>
      <c r="E19675">
        <v>467</v>
      </c>
      <c r="F19675">
        <v>103</v>
      </c>
      <c r="G19675">
        <v>8</v>
      </c>
      <c r="H19675">
        <v>1</v>
      </c>
      <c r="I19675">
        <v>460</v>
      </c>
      <c r="J19675">
        <v>1</v>
      </c>
      <c r="K19675">
        <v>1</v>
      </c>
      <c r="L19675">
        <v>466</v>
      </c>
      <c r="M19675">
        <v>1</v>
      </c>
      <c r="N19675">
        <v>0</v>
      </c>
      <c r="O19675">
        <v>1728</v>
      </c>
    </row>
    <row r="19676" spans="1:15" x14ac:dyDescent="0.25">
      <c r="A19676" t="s">
        <v>19689</v>
      </c>
      <c r="B19676">
        <v>170</v>
      </c>
      <c r="C19676" s="1" t="str">
        <f>HYPERLINK("http://www.rosaceae.org/gb/gbrowse/malus_x_domestica/?name=MDP0000778166","MDP0000778166")</f>
        <v>MDP0000778166</v>
      </c>
      <c r="D19676">
        <v>85.14</v>
      </c>
      <c r="E19676">
        <v>175</v>
      </c>
      <c r="F19676">
        <v>26</v>
      </c>
      <c r="G19676">
        <v>7</v>
      </c>
      <c r="H19676">
        <v>1</v>
      </c>
      <c r="I19676">
        <v>170</v>
      </c>
      <c r="J19676">
        <v>1</v>
      </c>
      <c r="K19676">
        <v>1</v>
      </c>
      <c r="L19676">
        <v>173</v>
      </c>
      <c r="M19676">
        <v>1</v>
      </c>
      <c r="N19676">
        <v>1.36745E-80</v>
      </c>
      <c r="O19676">
        <v>755</v>
      </c>
    </row>
    <row r="19677" spans="1:15" x14ac:dyDescent="0.25">
      <c r="A19677" t="s">
        <v>19690</v>
      </c>
      <c r="B19677">
        <v>350</v>
      </c>
      <c r="C19677" s="1" t="str">
        <f>HYPERLINK("http://www.rosaceae.org/gb/gbrowse/malus_x_domestica/?name=MDP0000252992","MDP0000252992")</f>
        <v>MDP0000252992</v>
      </c>
      <c r="D19677">
        <v>56.48</v>
      </c>
      <c r="E19677">
        <v>324</v>
      </c>
      <c r="F19677">
        <v>141</v>
      </c>
      <c r="G19677">
        <v>25</v>
      </c>
      <c r="H19677">
        <v>1</v>
      </c>
      <c r="I19677">
        <v>311</v>
      </c>
      <c r="J19677">
        <v>1</v>
      </c>
      <c r="K19677">
        <v>1</v>
      </c>
      <c r="L19677">
        <v>312</v>
      </c>
      <c r="M19677">
        <v>1</v>
      </c>
      <c r="N19677">
        <v>1.0294000000000001E-94</v>
      </c>
      <c r="O19677">
        <v>882</v>
      </c>
    </row>
    <row r="19678" spans="1:15" x14ac:dyDescent="0.25">
      <c r="A19678" t="s">
        <v>19691</v>
      </c>
      <c r="B19678">
        <v>177</v>
      </c>
      <c r="C19678" s="1" t="str">
        <f>HYPERLINK("http://www.rosaceae.org/gb/gbrowse/malus_x_domestica/?name=MDP0000630768","MDP0000630768")</f>
        <v>MDP0000630768</v>
      </c>
      <c r="D19678">
        <v>61.34</v>
      </c>
      <c r="E19678">
        <v>194</v>
      </c>
      <c r="F19678">
        <v>75</v>
      </c>
      <c r="G19678">
        <v>20</v>
      </c>
      <c r="H19678">
        <v>1</v>
      </c>
      <c r="I19678">
        <v>174</v>
      </c>
      <c r="J19678">
        <v>1</v>
      </c>
      <c r="K19678">
        <v>54</v>
      </c>
      <c r="L19678">
        <v>247</v>
      </c>
      <c r="M19678">
        <v>1</v>
      </c>
      <c r="N19678">
        <v>1.6795500000000001E-59</v>
      </c>
      <c r="O19678">
        <v>574</v>
      </c>
    </row>
    <row r="19679" spans="1:15" x14ac:dyDescent="0.25">
      <c r="A19679" t="s">
        <v>19692</v>
      </c>
      <c r="B19679">
        <v>351</v>
      </c>
      <c r="C19679" s="1" t="str">
        <f>HYPERLINK("http://www.rosaceae.org/gb/gbrowse/malus_x_domestica/?name=MDP0000400398","MDP0000400398")</f>
        <v>MDP0000400398</v>
      </c>
      <c r="D19679">
        <v>34.89</v>
      </c>
      <c r="E19679">
        <v>149</v>
      </c>
      <c r="F19679">
        <v>97</v>
      </c>
      <c r="G19679">
        <v>3</v>
      </c>
      <c r="H19679">
        <v>28</v>
      </c>
      <c r="I19679">
        <v>173</v>
      </c>
      <c r="J19679">
        <v>1</v>
      </c>
      <c r="K19679">
        <v>723</v>
      </c>
      <c r="L19679">
        <v>871</v>
      </c>
      <c r="M19679">
        <v>1</v>
      </c>
      <c r="N19679">
        <v>1.1495499999999999E-15</v>
      </c>
      <c r="O19679">
        <v>200</v>
      </c>
    </row>
    <row r="19680" spans="1:15" x14ac:dyDescent="0.25">
      <c r="A19680" t="s">
        <v>19693</v>
      </c>
      <c r="B19680">
        <v>227</v>
      </c>
      <c r="C19680" s="1" t="str">
        <f>HYPERLINK("http://www.rosaceae.org/gb/gbrowse/malus_x_domestica/?name=MDP0000298660","MDP0000298660")</f>
        <v>MDP0000298660</v>
      </c>
      <c r="D19680">
        <v>65.58</v>
      </c>
      <c r="E19680">
        <v>215</v>
      </c>
      <c r="F19680">
        <v>74</v>
      </c>
      <c r="G19680">
        <v>11</v>
      </c>
      <c r="H19680">
        <v>18</v>
      </c>
      <c r="I19680">
        <v>224</v>
      </c>
      <c r="J19680">
        <v>1</v>
      </c>
      <c r="K19680">
        <v>15</v>
      </c>
      <c r="L19680">
        <v>226</v>
      </c>
      <c r="M19680">
        <v>1</v>
      </c>
      <c r="N19680">
        <v>7.1383199999999998E-78</v>
      </c>
      <c r="O19680">
        <v>734</v>
      </c>
    </row>
    <row r="19681" spans="1:15" x14ac:dyDescent="0.25">
      <c r="A19681" t="s">
        <v>19694</v>
      </c>
      <c r="B19681">
        <v>294</v>
      </c>
      <c r="C19681" s="1" t="str">
        <f>HYPERLINK("http://www.rosaceae.org/gb/gbrowse/malus_x_domestica/?name=MDP0000148839","MDP0000148839")</f>
        <v>MDP0000148839</v>
      </c>
      <c r="D19681">
        <v>86.56</v>
      </c>
      <c r="E19681">
        <v>253</v>
      </c>
      <c r="F19681">
        <v>34</v>
      </c>
      <c r="G19681">
        <v>3</v>
      </c>
      <c r="H19681">
        <v>42</v>
      </c>
      <c r="I19681">
        <v>294</v>
      </c>
      <c r="J19681">
        <v>1</v>
      </c>
      <c r="K19681">
        <v>48</v>
      </c>
      <c r="L19681">
        <v>297</v>
      </c>
      <c r="M19681">
        <v>1</v>
      </c>
      <c r="N19681">
        <v>8.0054699999999998E-131</v>
      </c>
      <c r="O19681">
        <v>1192</v>
      </c>
    </row>
    <row r="19682" spans="1:15" x14ac:dyDescent="0.25">
      <c r="A19682" t="s">
        <v>19695</v>
      </c>
      <c r="B19682">
        <v>134</v>
      </c>
      <c r="C19682" s="1" t="str">
        <f>HYPERLINK("http://www.rosaceae.org/gb/gbrowse/malus_x_domestica/?name=MDP0000139519","MDP0000139519")</f>
        <v>MDP0000139519</v>
      </c>
      <c r="D19682">
        <v>75</v>
      </c>
      <c r="E19682">
        <v>116</v>
      </c>
      <c r="F19682">
        <v>29</v>
      </c>
      <c r="G19682">
        <v>5</v>
      </c>
      <c r="H19682">
        <v>1</v>
      </c>
      <c r="I19682">
        <v>116</v>
      </c>
      <c r="J19682">
        <v>1</v>
      </c>
      <c r="K19682">
        <v>29</v>
      </c>
      <c r="L19682">
        <v>139</v>
      </c>
      <c r="M19682">
        <v>1</v>
      </c>
      <c r="N19682">
        <v>9.4742400000000005E-47</v>
      </c>
      <c r="O19682">
        <v>461</v>
      </c>
    </row>
    <row r="19683" spans="1:15" x14ac:dyDescent="0.25">
      <c r="A19683" t="s">
        <v>19696</v>
      </c>
      <c r="B19683">
        <v>133</v>
      </c>
      <c r="C19683" s="1" t="str">
        <f>HYPERLINK("http://www.rosaceae.org/gb/gbrowse/malus_x_domestica/?name=MDP0000263844","MDP0000263844")</f>
        <v>MDP0000263844</v>
      </c>
      <c r="D19683">
        <v>34.840000000000003</v>
      </c>
      <c r="E19683">
        <v>132</v>
      </c>
      <c r="F19683">
        <v>86</v>
      </c>
      <c r="G19683">
        <v>15</v>
      </c>
      <c r="H19683">
        <v>3</v>
      </c>
      <c r="I19683">
        <v>119</v>
      </c>
      <c r="J19683">
        <v>1</v>
      </c>
      <c r="K19683">
        <v>2</v>
      </c>
      <c r="L19683">
        <v>133</v>
      </c>
      <c r="M19683">
        <v>1</v>
      </c>
      <c r="N19683">
        <v>1.52855E-11</v>
      </c>
      <c r="O19683">
        <v>158</v>
      </c>
    </row>
    <row r="19684" spans="1:15" x14ac:dyDescent="0.25">
      <c r="A19684" t="s">
        <v>19697</v>
      </c>
      <c r="B19684">
        <v>807</v>
      </c>
      <c r="C19684" s="1" t="str">
        <f>HYPERLINK("http://www.rosaceae.org/gb/gbrowse/malus_x_domestica/?name=MDP0000211412","MDP0000211412")</f>
        <v>MDP0000211412</v>
      </c>
      <c r="D19684">
        <v>78.22</v>
      </c>
      <c r="E19684">
        <v>473</v>
      </c>
      <c r="F19684">
        <v>103</v>
      </c>
      <c r="G19684">
        <v>2</v>
      </c>
      <c r="H19684">
        <v>295</v>
      </c>
      <c r="I19684">
        <v>767</v>
      </c>
      <c r="J19684">
        <v>1</v>
      </c>
      <c r="K19684">
        <v>1</v>
      </c>
      <c r="L19684">
        <v>471</v>
      </c>
      <c r="M19684">
        <v>1</v>
      </c>
      <c r="N19684">
        <v>0</v>
      </c>
      <c r="O19684">
        <v>1991</v>
      </c>
    </row>
    <row r="19685" spans="1:15" x14ac:dyDescent="0.25">
      <c r="A19685" t="s">
        <v>19698</v>
      </c>
      <c r="B19685">
        <v>421</v>
      </c>
      <c r="C19685" s="1" t="str">
        <f>HYPERLINK("http://www.rosaceae.org/gb/gbrowse/malus_x_domestica/?name=MDP0000217335","MDP0000217335")</f>
        <v>MDP0000217335</v>
      </c>
      <c r="D19685">
        <v>36.880000000000003</v>
      </c>
      <c r="E19685">
        <v>404</v>
      </c>
      <c r="F19685">
        <v>255</v>
      </c>
      <c r="G19685">
        <v>104</v>
      </c>
      <c r="H19685">
        <v>113</v>
      </c>
      <c r="I19685">
        <v>421</v>
      </c>
      <c r="J19685">
        <v>1</v>
      </c>
      <c r="K19685">
        <v>28</v>
      </c>
      <c r="L19685">
        <v>422</v>
      </c>
      <c r="M19685">
        <v>1</v>
      </c>
      <c r="N19685">
        <v>4.5177800000000001E-50</v>
      </c>
      <c r="O19685">
        <v>497</v>
      </c>
    </row>
    <row r="19686" spans="1:15" x14ac:dyDescent="0.25">
      <c r="A19686" t="s">
        <v>19699</v>
      </c>
      <c r="B19686">
        <v>314</v>
      </c>
      <c r="C19686" s="1" t="str">
        <f>HYPERLINK("http://www.rosaceae.org/gb/gbrowse/malus_x_domestica/?name=MDP0000266765","MDP0000266765")</f>
        <v>MDP0000266765</v>
      </c>
      <c r="D19686">
        <v>70.39</v>
      </c>
      <c r="E19686">
        <v>277</v>
      </c>
      <c r="F19686">
        <v>82</v>
      </c>
      <c r="G19686">
        <v>30</v>
      </c>
      <c r="H19686">
        <v>68</v>
      </c>
      <c r="I19686">
        <v>314</v>
      </c>
      <c r="J19686">
        <v>1</v>
      </c>
      <c r="K19686">
        <v>49</v>
      </c>
      <c r="L19686">
        <v>325</v>
      </c>
      <c r="M19686">
        <v>1</v>
      </c>
      <c r="N19686">
        <v>1.8730100000000001E-103</v>
      </c>
      <c r="O19686">
        <v>956</v>
      </c>
    </row>
    <row r="19687" spans="1:15" x14ac:dyDescent="0.25">
      <c r="A19687" t="s">
        <v>19700</v>
      </c>
      <c r="B19687">
        <v>468</v>
      </c>
      <c r="C19687" s="1" t="str">
        <f>HYPERLINK("http://www.rosaceae.org/gb/gbrowse/malus_x_domestica/?name=MDP0000046497","MDP0000046497")</f>
        <v>MDP0000046497</v>
      </c>
      <c r="D19687">
        <v>77.05</v>
      </c>
      <c r="E19687">
        <v>475</v>
      </c>
      <c r="F19687">
        <v>109</v>
      </c>
      <c r="G19687">
        <v>51</v>
      </c>
      <c r="H19687">
        <v>1</v>
      </c>
      <c r="I19687">
        <v>430</v>
      </c>
      <c r="J19687">
        <v>1</v>
      </c>
      <c r="K19687">
        <v>1</v>
      </c>
      <c r="L19687">
        <v>469</v>
      </c>
      <c r="M19687">
        <v>1</v>
      </c>
      <c r="N19687">
        <v>0</v>
      </c>
      <c r="O19687">
        <v>1855</v>
      </c>
    </row>
    <row r="19688" spans="1:15" x14ac:dyDescent="0.25">
      <c r="A19688" t="s">
        <v>19701</v>
      </c>
      <c r="B19688">
        <v>1110</v>
      </c>
      <c r="C19688" s="1" t="str">
        <f>HYPERLINK("http://www.rosaceae.org/gb/gbrowse/malus_x_domestica/?name=MDP0000493661","MDP0000493661")</f>
        <v>MDP0000493661</v>
      </c>
      <c r="D19688">
        <v>60.12</v>
      </c>
      <c r="E19688">
        <v>938</v>
      </c>
      <c r="F19688">
        <v>374</v>
      </c>
      <c r="G19688">
        <v>27</v>
      </c>
      <c r="H19688">
        <v>1</v>
      </c>
      <c r="I19688">
        <v>927</v>
      </c>
      <c r="J19688">
        <v>1</v>
      </c>
      <c r="K19688">
        <v>1</v>
      </c>
      <c r="L19688">
        <v>922</v>
      </c>
      <c r="M19688">
        <v>1</v>
      </c>
      <c r="N19688">
        <v>0</v>
      </c>
      <c r="O19688">
        <v>2776</v>
      </c>
    </row>
    <row r="19689" spans="1:15" x14ac:dyDescent="0.25">
      <c r="A19689" t="s">
        <v>19702</v>
      </c>
      <c r="B19689">
        <v>285</v>
      </c>
      <c r="C19689" s="1" t="str">
        <f>HYPERLINK("http://www.rosaceae.org/gb/gbrowse/malus_x_domestica/?name=MDP0000190269","MDP0000190269")</f>
        <v>MDP0000190269</v>
      </c>
      <c r="D19689">
        <v>50.87</v>
      </c>
      <c r="E19689">
        <v>228</v>
      </c>
      <c r="F19689">
        <v>112</v>
      </c>
      <c r="G19689">
        <v>2</v>
      </c>
      <c r="H19689">
        <v>34</v>
      </c>
      <c r="I19689">
        <v>261</v>
      </c>
      <c r="J19689">
        <v>1</v>
      </c>
      <c r="K19689">
        <v>253</v>
      </c>
      <c r="L19689">
        <v>478</v>
      </c>
      <c r="M19689">
        <v>1</v>
      </c>
      <c r="N19689">
        <v>3.9979499999999998E-60</v>
      </c>
      <c r="O19689">
        <v>582</v>
      </c>
    </row>
    <row r="19690" spans="1:15" x14ac:dyDescent="0.25">
      <c r="A19690" t="s">
        <v>19703</v>
      </c>
      <c r="B19690">
        <v>239</v>
      </c>
      <c r="C19690" s="1" t="str">
        <f>HYPERLINK("http://www.rosaceae.org/gb/gbrowse/malus_x_domestica/?name=MDP0000164975","MDP0000164975")</f>
        <v>MDP0000164975</v>
      </c>
      <c r="D19690">
        <v>80.64</v>
      </c>
      <c r="E19690">
        <v>217</v>
      </c>
      <c r="F19690">
        <v>42</v>
      </c>
      <c r="G19690">
        <v>1</v>
      </c>
      <c r="H19690">
        <v>1</v>
      </c>
      <c r="I19690">
        <v>216</v>
      </c>
      <c r="J19690">
        <v>1</v>
      </c>
      <c r="K19690">
        <v>1</v>
      </c>
      <c r="L19690">
        <v>217</v>
      </c>
      <c r="M19690">
        <v>1</v>
      </c>
      <c r="N19690">
        <v>9.5692899999999995E-98</v>
      </c>
      <c r="O19690">
        <v>906</v>
      </c>
    </row>
    <row r="19691" spans="1:15" x14ac:dyDescent="0.25">
      <c r="A19691" t="s">
        <v>19704</v>
      </c>
      <c r="B19691">
        <v>246</v>
      </c>
      <c r="C19691" s="1" t="str">
        <f>HYPERLINK("http://www.rosaceae.org/gb/gbrowse/malus_x_domestica/?name=MDP0000707712","MDP0000707712")</f>
        <v>MDP0000707712</v>
      </c>
      <c r="D19691">
        <v>67.849999999999994</v>
      </c>
      <c r="E19691">
        <v>252</v>
      </c>
      <c r="F19691">
        <v>81</v>
      </c>
      <c r="G19691">
        <v>22</v>
      </c>
      <c r="H19691">
        <v>1</v>
      </c>
      <c r="I19691">
        <v>237</v>
      </c>
      <c r="J19691">
        <v>1</v>
      </c>
      <c r="K19691">
        <v>1</v>
      </c>
      <c r="L19691">
        <v>245</v>
      </c>
      <c r="M19691">
        <v>1</v>
      </c>
      <c r="N19691">
        <v>1.73204E-83</v>
      </c>
      <c r="O19691">
        <v>783</v>
      </c>
    </row>
    <row r="19692" spans="1:15" x14ac:dyDescent="0.25">
      <c r="A19692" t="s">
        <v>19705</v>
      </c>
      <c r="B19692">
        <v>154</v>
      </c>
      <c r="C19692" s="1" t="str">
        <f>HYPERLINK("http://www.rosaceae.org/gb/gbrowse/malus_x_domestica/?name=MDP0000233860","MDP0000233860")</f>
        <v>MDP0000233860</v>
      </c>
      <c r="D19692">
        <v>91.83</v>
      </c>
      <c r="E19692">
        <v>98</v>
      </c>
      <c r="F19692">
        <v>8</v>
      </c>
      <c r="G19692">
        <v>0</v>
      </c>
      <c r="H19692">
        <v>1</v>
      </c>
      <c r="I19692">
        <v>98</v>
      </c>
      <c r="J19692">
        <v>1</v>
      </c>
      <c r="K19692">
        <v>1</v>
      </c>
      <c r="L19692">
        <v>98</v>
      </c>
      <c r="M19692">
        <v>1</v>
      </c>
      <c r="N19692">
        <v>7.2874399999999999E-44</v>
      </c>
      <c r="O19692">
        <v>438</v>
      </c>
    </row>
    <row r="19693" spans="1:15" x14ac:dyDescent="0.25">
      <c r="A19693" t="s">
        <v>19706</v>
      </c>
      <c r="B19693">
        <v>747</v>
      </c>
      <c r="C19693" s="1" t="str">
        <f>HYPERLINK("http://www.rosaceae.org/gb/gbrowse/malus_x_domestica/?name=MDP0000267931","MDP0000267931")</f>
        <v>MDP0000267931</v>
      </c>
      <c r="D19693">
        <v>69.459999999999994</v>
      </c>
      <c r="E19693">
        <v>488</v>
      </c>
      <c r="F19693">
        <v>149</v>
      </c>
      <c r="G19693">
        <v>40</v>
      </c>
      <c r="H19693">
        <v>271</v>
      </c>
      <c r="I19693">
        <v>743</v>
      </c>
      <c r="J19693">
        <v>1</v>
      </c>
      <c r="K19693">
        <v>62</v>
      </c>
      <c r="L19693">
        <v>524</v>
      </c>
      <c r="M19693">
        <v>1</v>
      </c>
      <c r="N19693">
        <v>0</v>
      </c>
      <c r="O19693">
        <v>1701</v>
      </c>
    </row>
    <row r="19694" spans="1:15" x14ac:dyDescent="0.25">
      <c r="A19694" t="s">
        <v>19707</v>
      </c>
      <c r="B19694">
        <v>271</v>
      </c>
      <c r="C19694" s="1" t="str">
        <f>HYPERLINK("http://www.rosaceae.org/gb/gbrowse/malus_x_domestica/?name=MDP0000284745","MDP0000284745")</f>
        <v>MDP0000284745</v>
      </c>
      <c r="D19694">
        <v>96.19</v>
      </c>
      <c r="E19694">
        <v>184</v>
      </c>
      <c r="F19694">
        <v>7</v>
      </c>
      <c r="G19694">
        <v>0</v>
      </c>
      <c r="H19694">
        <v>88</v>
      </c>
      <c r="I19694">
        <v>271</v>
      </c>
      <c r="J19694">
        <v>1</v>
      </c>
      <c r="K19694">
        <v>1</v>
      </c>
      <c r="L19694">
        <v>184</v>
      </c>
      <c r="M19694">
        <v>1</v>
      </c>
      <c r="N19694">
        <v>1.06982E-102</v>
      </c>
      <c r="O19694">
        <v>949</v>
      </c>
    </row>
    <row r="19695" spans="1:15" x14ac:dyDescent="0.25">
      <c r="A19695" t="s">
        <v>19708</v>
      </c>
      <c r="B19695">
        <v>698</v>
      </c>
      <c r="C19695" s="1" t="str">
        <f>HYPERLINK("http://www.rosaceae.org/gb/gbrowse/malus_x_domestica/?name=MDP0000272502","MDP0000272502")</f>
        <v>MDP0000272502</v>
      </c>
      <c r="D19695">
        <v>73.45</v>
      </c>
      <c r="E19695">
        <v>697</v>
      </c>
      <c r="F19695">
        <v>185</v>
      </c>
      <c r="G19695">
        <v>1</v>
      </c>
      <c r="H19695">
        <v>1</v>
      </c>
      <c r="I19695">
        <v>697</v>
      </c>
      <c r="J19695">
        <v>1</v>
      </c>
      <c r="K19695">
        <v>325</v>
      </c>
      <c r="L19695">
        <v>1020</v>
      </c>
      <c r="M19695">
        <v>1</v>
      </c>
      <c r="N19695">
        <v>0</v>
      </c>
      <c r="O19695">
        <v>2728</v>
      </c>
    </row>
    <row r="19696" spans="1:15" x14ac:dyDescent="0.25">
      <c r="A19696" t="s">
        <v>19709</v>
      </c>
      <c r="B19696">
        <v>275</v>
      </c>
      <c r="C19696" s="1" t="str">
        <f>HYPERLINK("http://www.rosaceae.org/gb/gbrowse/malus_x_domestica/?name=MDP0000670228","MDP0000670228")</f>
        <v>MDP0000670228</v>
      </c>
      <c r="D19696">
        <v>31.86</v>
      </c>
      <c r="E19696">
        <v>204</v>
      </c>
      <c r="F19696">
        <v>139</v>
      </c>
      <c r="G19696">
        <v>56</v>
      </c>
      <c r="H19696">
        <v>79</v>
      </c>
      <c r="I19696">
        <v>265</v>
      </c>
      <c r="J19696">
        <v>1</v>
      </c>
      <c r="K19696">
        <v>143</v>
      </c>
      <c r="L19696">
        <v>307</v>
      </c>
      <c r="M19696">
        <v>1</v>
      </c>
      <c r="N19696">
        <v>3.8890399999999998E-19</v>
      </c>
      <c r="O19696">
        <v>229</v>
      </c>
    </row>
    <row r="19697" spans="1:15" x14ac:dyDescent="0.25">
      <c r="A19697" t="s">
        <v>19710</v>
      </c>
      <c r="B19697">
        <v>333</v>
      </c>
      <c r="C19697" s="1" t="str">
        <f>HYPERLINK("http://www.rosaceae.org/gb/gbrowse/malus_x_domestica/?name=MDP0000227143","MDP0000227143")</f>
        <v>MDP0000227143</v>
      </c>
      <c r="D19697">
        <v>83.09</v>
      </c>
      <c r="E19697">
        <v>284</v>
      </c>
      <c r="F19697">
        <v>48</v>
      </c>
      <c r="G19697">
        <v>16</v>
      </c>
      <c r="H19697">
        <v>65</v>
      </c>
      <c r="I19697">
        <v>332</v>
      </c>
      <c r="J19697">
        <v>1</v>
      </c>
      <c r="K19697">
        <v>33</v>
      </c>
      <c r="L19697">
        <v>316</v>
      </c>
      <c r="M19697">
        <v>1</v>
      </c>
      <c r="N19697">
        <v>3.2007099999999999E-136</v>
      </c>
      <c r="O19697">
        <v>1239</v>
      </c>
    </row>
    <row r="19698" spans="1:15" x14ac:dyDescent="0.25">
      <c r="A19698" t="s">
        <v>19711</v>
      </c>
      <c r="B19698">
        <v>604</v>
      </c>
      <c r="C19698" s="1" t="str">
        <f>HYPERLINK("http://www.rosaceae.org/gb/gbrowse/malus_x_domestica/?name=MDP0000946445","MDP0000946445")</f>
        <v>MDP0000946445</v>
      </c>
      <c r="D19698">
        <v>51.32</v>
      </c>
      <c r="E19698">
        <v>567</v>
      </c>
      <c r="F19698">
        <v>276</v>
      </c>
      <c r="G19698">
        <v>92</v>
      </c>
      <c r="H19698">
        <v>108</v>
      </c>
      <c r="I19698">
        <v>592</v>
      </c>
      <c r="J19698">
        <v>1</v>
      </c>
      <c r="K19698">
        <v>108</v>
      </c>
      <c r="L19698">
        <v>664</v>
      </c>
      <c r="M19698">
        <v>1</v>
      </c>
      <c r="N19698">
        <v>1.07219E-142</v>
      </c>
      <c r="O19698">
        <v>1298</v>
      </c>
    </row>
    <row r="19699" spans="1:15" x14ac:dyDescent="0.25">
      <c r="A19699" t="s">
        <v>19712</v>
      </c>
      <c r="B19699">
        <v>297</v>
      </c>
      <c r="C19699" s="1" t="str">
        <f>HYPERLINK("http://www.rosaceae.org/gb/gbrowse/malus_x_domestica/?name=MDP0000169913","MDP0000169913")</f>
        <v>MDP0000169913</v>
      </c>
      <c r="D19699">
        <v>70.81</v>
      </c>
      <c r="E19699">
        <v>257</v>
      </c>
      <c r="F19699">
        <v>75</v>
      </c>
      <c r="G19699">
        <v>10</v>
      </c>
      <c r="H19699">
        <v>40</v>
      </c>
      <c r="I19699">
        <v>296</v>
      </c>
      <c r="J19699">
        <v>1</v>
      </c>
      <c r="K19699">
        <v>63</v>
      </c>
      <c r="L19699">
        <v>309</v>
      </c>
      <c r="M19699">
        <v>1</v>
      </c>
      <c r="N19699">
        <v>1.4696399999999999E-103</v>
      </c>
      <c r="O19699">
        <v>957</v>
      </c>
    </row>
    <row r="19700" spans="1:15" x14ac:dyDescent="0.25">
      <c r="A19700" t="s">
        <v>19713</v>
      </c>
      <c r="B19700">
        <v>103</v>
      </c>
      <c r="C19700" s="1" t="str">
        <f>HYPERLINK("http://www.rosaceae.org/gb/gbrowse/malus_x_domestica/?name=MDP0000204900","MDP0000204900")</f>
        <v>MDP0000204900</v>
      </c>
      <c r="D19700">
        <v>84.37</v>
      </c>
      <c r="E19700">
        <v>32</v>
      </c>
      <c r="F19700">
        <v>5</v>
      </c>
      <c r="G19700">
        <v>0</v>
      </c>
      <c r="H19700">
        <v>36</v>
      </c>
      <c r="I19700">
        <v>67</v>
      </c>
      <c r="J19700">
        <v>1</v>
      </c>
      <c r="K19700">
        <v>260</v>
      </c>
      <c r="L19700">
        <v>291</v>
      </c>
      <c r="M19700">
        <v>1</v>
      </c>
      <c r="N19700">
        <v>2.6010999999999999E-12</v>
      </c>
      <c r="O19700">
        <v>164</v>
      </c>
    </row>
    <row r="19701" spans="1:15" x14ac:dyDescent="0.25">
      <c r="A19701" t="s">
        <v>19714</v>
      </c>
      <c r="B19701">
        <v>493</v>
      </c>
      <c r="C19701" s="1" t="str">
        <f>HYPERLINK("http://www.rosaceae.org/gb/gbrowse/malus_x_domestica/?name=MDP0000166992","MDP0000166992")</f>
        <v>MDP0000166992</v>
      </c>
      <c r="D19701">
        <v>51.03</v>
      </c>
      <c r="E19701">
        <v>482</v>
      </c>
      <c r="F19701">
        <v>236</v>
      </c>
      <c r="G19701">
        <v>28</v>
      </c>
      <c r="H19701">
        <v>1</v>
      </c>
      <c r="I19701">
        <v>473</v>
      </c>
      <c r="J19701">
        <v>1</v>
      </c>
      <c r="K19701">
        <v>1</v>
      </c>
      <c r="L19701">
        <v>463</v>
      </c>
      <c r="M19701">
        <v>1</v>
      </c>
      <c r="N19701">
        <v>3.5394300000000001E-119</v>
      </c>
      <c r="O19701">
        <v>1094</v>
      </c>
    </row>
    <row r="19702" spans="1:15" x14ac:dyDescent="0.25">
      <c r="A19702" t="s">
        <v>19715</v>
      </c>
      <c r="B19702">
        <v>717</v>
      </c>
      <c r="C19702" s="1" t="str">
        <f>HYPERLINK("http://www.rosaceae.org/gb/gbrowse/malus_x_domestica/?name=MDP0000186402","MDP0000186402")</f>
        <v>MDP0000186402</v>
      </c>
      <c r="D19702">
        <v>27.42</v>
      </c>
      <c r="E19702">
        <v>423</v>
      </c>
      <c r="F19702">
        <v>307</v>
      </c>
      <c r="G19702">
        <v>77</v>
      </c>
      <c r="H19702">
        <v>304</v>
      </c>
      <c r="I19702">
        <v>665</v>
      </c>
      <c r="J19702">
        <v>1</v>
      </c>
      <c r="K19702">
        <v>120</v>
      </c>
      <c r="L19702">
        <v>526</v>
      </c>
      <c r="M19702">
        <v>1</v>
      </c>
      <c r="N19702">
        <v>2.9754500000000001E-27</v>
      </c>
      <c r="O19702">
        <v>303</v>
      </c>
    </row>
    <row r="19703" spans="1:15" x14ac:dyDescent="0.25">
      <c r="A19703" t="s">
        <v>19716</v>
      </c>
      <c r="B19703">
        <v>173</v>
      </c>
      <c r="C19703" s="1" t="str">
        <f>HYPERLINK("http://www.rosaceae.org/gb/gbrowse/malus_x_domestica/?name=MDP0000176317","MDP0000176317")</f>
        <v>MDP0000176317</v>
      </c>
      <c r="D19703">
        <v>63.97</v>
      </c>
      <c r="E19703">
        <v>186</v>
      </c>
      <c r="F19703">
        <v>67</v>
      </c>
      <c r="G19703">
        <v>14</v>
      </c>
      <c r="H19703">
        <v>2</v>
      </c>
      <c r="I19703">
        <v>173</v>
      </c>
      <c r="J19703">
        <v>1</v>
      </c>
      <c r="K19703">
        <v>1</v>
      </c>
      <c r="L19703">
        <v>186</v>
      </c>
      <c r="M19703">
        <v>1</v>
      </c>
      <c r="N19703">
        <v>4.5735699999999999E-53</v>
      </c>
      <c r="O19703">
        <v>518</v>
      </c>
    </row>
    <row r="19704" spans="1:15" x14ac:dyDescent="0.25">
      <c r="A19704" t="s">
        <v>19717</v>
      </c>
      <c r="B19704">
        <v>307</v>
      </c>
      <c r="C19704" s="1" t="str">
        <f>HYPERLINK("http://www.rosaceae.org/gb/gbrowse/malus_x_domestica/?name=MDP0000262329","MDP0000262329")</f>
        <v>MDP0000262329</v>
      </c>
      <c r="D19704">
        <v>68.290000000000006</v>
      </c>
      <c r="E19704">
        <v>205</v>
      </c>
      <c r="F19704">
        <v>65</v>
      </c>
      <c r="G19704">
        <v>30</v>
      </c>
      <c r="H19704">
        <v>123</v>
      </c>
      <c r="I19704">
        <v>297</v>
      </c>
      <c r="J19704">
        <v>1</v>
      </c>
      <c r="K19704">
        <v>199</v>
      </c>
      <c r="L19704">
        <v>403</v>
      </c>
      <c r="M19704">
        <v>1</v>
      </c>
      <c r="N19704">
        <v>9.6915499999999995E-73</v>
      </c>
      <c r="O19704">
        <v>691</v>
      </c>
    </row>
    <row r="19705" spans="1:15" x14ac:dyDescent="0.25">
      <c r="A19705" t="s">
        <v>19718</v>
      </c>
      <c r="B19705">
        <v>329</v>
      </c>
      <c r="C19705" s="1" t="str">
        <f>HYPERLINK("http://www.rosaceae.org/gb/gbrowse/malus_x_domestica/?name=MDP0000319085","MDP0000319085")</f>
        <v>MDP0000319085</v>
      </c>
      <c r="D19705">
        <v>77.650000000000006</v>
      </c>
      <c r="E19705">
        <v>264</v>
      </c>
      <c r="F19705">
        <v>59</v>
      </c>
      <c r="G19705">
        <v>0</v>
      </c>
      <c r="H19705">
        <v>65</v>
      </c>
      <c r="I19705">
        <v>328</v>
      </c>
      <c r="J19705">
        <v>1</v>
      </c>
      <c r="K19705">
        <v>62</v>
      </c>
      <c r="L19705">
        <v>325</v>
      </c>
      <c r="M19705">
        <v>1</v>
      </c>
      <c r="N19705">
        <v>3.9294100000000003E-116</v>
      </c>
      <c r="O19705">
        <v>1066</v>
      </c>
    </row>
    <row r="19706" spans="1:15" x14ac:dyDescent="0.25">
      <c r="A19706" t="s">
        <v>19719</v>
      </c>
      <c r="B19706">
        <v>272</v>
      </c>
      <c r="C19706" s="1" t="str">
        <f>HYPERLINK("http://www.rosaceae.org/gb/gbrowse/malus_x_domestica/?name=MDP0000199849","MDP0000199849")</f>
        <v>MDP0000199849</v>
      </c>
      <c r="D19706">
        <v>79.08</v>
      </c>
      <c r="E19706">
        <v>196</v>
      </c>
      <c r="F19706">
        <v>41</v>
      </c>
      <c r="G19706">
        <v>4</v>
      </c>
      <c r="H19706">
        <v>30</v>
      </c>
      <c r="I19706">
        <v>221</v>
      </c>
      <c r="J19706">
        <v>1</v>
      </c>
      <c r="K19706">
        <v>36</v>
      </c>
      <c r="L19706">
        <v>231</v>
      </c>
      <c r="M19706">
        <v>1</v>
      </c>
      <c r="N19706">
        <v>2.7077799999999999E-85</v>
      </c>
      <c r="O19706">
        <v>799</v>
      </c>
    </row>
    <row r="19707" spans="1:15" x14ac:dyDescent="0.25">
      <c r="A19707" t="s">
        <v>19720</v>
      </c>
      <c r="B19707">
        <v>224</v>
      </c>
      <c r="C19707" s="1" t="str">
        <f>HYPERLINK("http://www.rosaceae.org/gb/gbrowse/malus_x_domestica/?name=MDP0000277926","MDP0000277926")</f>
        <v>MDP0000277926</v>
      </c>
      <c r="D19707">
        <v>52.23</v>
      </c>
      <c r="E19707">
        <v>224</v>
      </c>
      <c r="F19707">
        <v>107</v>
      </c>
      <c r="G19707">
        <v>20</v>
      </c>
      <c r="H19707">
        <v>1</v>
      </c>
      <c r="I19707">
        <v>224</v>
      </c>
      <c r="J19707">
        <v>1</v>
      </c>
      <c r="K19707">
        <v>1</v>
      </c>
      <c r="L19707">
        <v>204</v>
      </c>
      <c r="M19707">
        <v>1</v>
      </c>
      <c r="N19707">
        <v>9.4773399999999997E-54</v>
      </c>
      <c r="O19707">
        <v>526</v>
      </c>
    </row>
    <row r="19708" spans="1:15" x14ac:dyDescent="0.25">
      <c r="A19708" t="s">
        <v>19721</v>
      </c>
      <c r="B19708">
        <v>346</v>
      </c>
      <c r="C19708" s="1" t="str">
        <f>HYPERLINK("http://www.rosaceae.org/gb/gbrowse/malus_x_domestica/?name=MDP0000370504","MDP0000370504")</f>
        <v>MDP0000370504</v>
      </c>
      <c r="D19708">
        <v>61</v>
      </c>
      <c r="E19708">
        <v>218</v>
      </c>
      <c r="F19708">
        <v>85</v>
      </c>
      <c r="G19708">
        <v>0</v>
      </c>
      <c r="H19708">
        <v>1</v>
      </c>
      <c r="I19708">
        <v>218</v>
      </c>
      <c r="J19708">
        <v>1</v>
      </c>
      <c r="K19708">
        <v>1</v>
      </c>
      <c r="L19708">
        <v>218</v>
      </c>
      <c r="M19708">
        <v>1</v>
      </c>
      <c r="N19708">
        <v>7.1890099999999997E-68</v>
      </c>
      <c r="O19708">
        <v>650</v>
      </c>
    </row>
    <row r="19709" spans="1:15" x14ac:dyDescent="0.25">
      <c r="A19709" t="s">
        <v>19722</v>
      </c>
      <c r="B19709">
        <v>289</v>
      </c>
      <c r="C19709" s="1" t="str">
        <f>HYPERLINK("http://www.rosaceae.org/gb/gbrowse/malus_x_domestica/?name=MDP0000640146","MDP0000640146")</f>
        <v>MDP0000640146</v>
      </c>
      <c r="D19709">
        <v>51.55</v>
      </c>
      <c r="E19709">
        <v>258</v>
      </c>
      <c r="F19709">
        <v>125</v>
      </c>
      <c r="G19709">
        <v>4</v>
      </c>
      <c r="H19709">
        <v>28</v>
      </c>
      <c r="I19709">
        <v>285</v>
      </c>
      <c r="J19709">
        <v>1</v>
      </c>
      <c r="K19709">
        <v>49</v>
      </c>
      <c r="L19709">
        <v>302</v>
      </c>
      <c r="M19709">
        <v>1</v>
      </c>
      <c r="N19709">
        <v>2.1869200000000001E-57</v>
      </c>
      <c r="O19709">
        <v>559</v>
      </c>
    </row>
    <row r="19710" spans="1:15" x14ac:dyDescent="0.25">
      <c r="A19710" t="s">
        <v>19723</v>
      </c>
      <c r="B19710">
        <v>327</v>
      </c>
      <c r="C19710" s="1" t="str">
        <f>HYPERLINK("http://www.rosaceae.org/gb/gbrowse/malus_x_domestica/?name=MDP0000900004","MDP0000900004")</f>
        <v>MDP0000900004</v>
      </c>
      <c r="D19710">
        <v>65.23</v>
      </c>
      <c r="E19710">
        <v>256</v>
      </c>
      <c r="F19710">
        <v>89</v>
      </c>
      <c r="G19710">
        <v>0</v>
      </c>
      <c r="H19710">
        <v>68</v>
      </c>
      <c r="I19710">
        <v>323</v>
      </c>
      <c r="J19710">
        <v>1</v>
      </c>
      <c r="K19710">
        <v>9</v>
      </c>
      <c r="L19710">
        <v>264</v>
      </c>
      <c r="M19710">
        <v>1</v>
      </c>
      <c r="N19710">
        <v>3.8214000000000001E-95</v>
      </c>
      <c r="O19710">
        <v>885</v>
      </c>
    </row>
    <row r="19711" spans="1:15" x14ac:dyDescent="0.25">
      <c r="A19711" t="s">
        <v>19724</v>
      </c>
      <c r="B19711">
        <v>1208</v>
      </c>
      <c r="C19711" s="1" t="str">
        <f>HYPERLINK("http://www.rosaceae.org/gb/gbrowse/malus_x_domestica/?name=MDP0000125575","MDP0000125575")</f>
        <v>MDP0000125575</v>
      </c>
      <c r="D19711">
        <v>55.79</v>
      </c>
      <c r="E19711">
        <v>1242</v>
      </c>
      <c r="F19711">
        <v>549</v>
      </c>
      <c r="G19711">
        <v>96</v>
      </c>
      <c r="H19711">
        <v>3</v>
      </c>
      <c r="I19711">
        <v>1205</v>
      </c>
      <c r="J19711">
        <v>1</v>
      </c>
      <c r="K19711">
        <v>8</v>
      </c>
      <c r="L19711">
        <v>1192</v>
      </c>
      <c r="M19711">
        <v>1</v>
      </c>
      <c r="N19711">
        <v>0</v>
      </c>
      <c r="O19711">
        <v>3070</v>
      </c>
    </row>
    <row r="19712" spans="1:15" x14ac:dyDescent="0.25">
      <c r="A19712" t="s">
        <v>19725</v>
      </c>
      <c r="B19712">
        <v>581</v>
      </c>
      <c r="C19712" s="1" t="str">
        <f>HYPERLINK("http://www.rosaceae.org/gb/gbrowse/malus_x_domestica/?name=MDP0000138914","MDP0000138914")</f>
        <v>MDP0000138914</v>
      </c>
      <c r="D19712">
        <v>67.489999999999995</v>
      </c>
      <c r="E19712">
        <v>526</v>
      </c>
      <c r="F19712">
        <v>171</v>
      </c>
      <c r="G19712">
        <v>17</v>
      </c>
      <c r="H19712">
        <v>68</v>
      </c>
      <c r="I19712">
        <v>581</v>
      </c>
      <c r="J19712">
        <v>1</v>
      </c>
      <c r="K19712">
        <v>7</v>
      </c>
      <c r="L19712">
        <v>527</v>
      </c>
      <c r="M19712">
        <v>1</v>
      </c>
      <c r="N19712">
        <v>0</v>
      </c>
      <c r="O19712">
        <v>1759</v>
      </c>
    </row>
    <row r="19713" spans="1:15" x14ac:dyDescent="0.25">
      <c r="A19713" t="s">
        <v>19726</v>
      </c>
      <c r="B19713">
        <v>288</v>
      </c>
      <c r="C19713" s="1" t="str">
        <f>HYPERLINK("http://www.rosaceae.org/gb/gbrowse/malus_x_domestica/?name=MDP0000257931","MDP0000257931")</f>
        <v>MDP0000257931</v>
      </c>
      <c r="D19713">
        <v>28.22</v>
      </c>
      <c r="E19713">
        <v>163</v>
      </c>
      <c r="F19713">
        <v>117</v>
      </c>
      <c r="G19713">
        <v>28</v>
      </c>
      <c r="H19713">
        <v>19</v>
      </c>
      <c r="I19713">
        <v>153</v>
      </c>
      <c r="J19713">
        <v>1</v>
      </c>
      <c r="K19713">
        <v>1</v>
      </c>
      <c r="L19713">
        <v>163</v>
      </c>
      <c r="M19713">
        <v>1</v>
      </c>
      <c r="N19713">
        <v>1.7451499999999998E-11</v>
      </c>
      <c r="O19713">
        <v>163</v>
      </c>
    </row>
    <row r="19714" spans="1:15" x14ac:dyDescent="0.25">
      <c r="A19714" t="s">
        <v>19727</v>
      </c>
      <c r="B19714">
        <v>675</v>
      </c>
      <c r="C19714" s="1" t="str">
        <f>HYPERLINK("http://www.rosaceae.org/gb/gbrowse/malus_x_domestica/?name=MDP0000303694","MDP0000303694")</f>
        <v>MDP0000303694</v>
      </c>
      <c r="D19714">
        <v>47.81</v>
      </c>
      <c r="E19714">
        <v>504</v>
      </c>
      <c r="F19714">
        <v>263</v>
      </c>
      <c r="G19714">
        <v>24</v>
      </c>
      <c r="H19714">
        <v>177</v>
      </c>
      <c r="I19714">
        <v>670</v>
      </c>
      <c r="J19714">
        <v>1</v>
      </c>
      <c r="K19714">
        <v>399</v>
      </c>
      <c r="L19714">
        <v>888</v>
      </c>
      <c r="M19714">
        <v>1</v>
      </c>
      <c r="N19714">
        <v>7.02753E-115</v>
      </c>
      <c r="O19714">
        <v>1059</v>
      </c>
    </row>
    <row r="19715" spans="1:15" x14ac:dyDescent="0.25">
      <c r="A19715" t="s">
        <v>19728</v>
      </c>
      <c r="B19715">
        <v>545</v>
      </c>
      <c r="C19715" s="1" t="str">
        <f>HYPERLINK("http://www.rosaceae.org/gb/gbrowse/malus_x_domestica/?name=MDP0000267128","MDP0000267128")</f>
        <v>MDP0000267128</v>
      </c>
      <c r="D19715">
        <v>71.209999999999994</v>
      </c>
      <c r="E19715">
        <v>535</v>
      </c>
      <c r="F19715">
        <v>154</v>
      </c>
      <c r="G19715">
        <v>8</v>
      </c>
      <c r="H19715">
        <v>1</v>
      </c>
      <c r="I19715">
        <v>535</v>
      </c>
      <c r="J19715">
        <v>1</v>
      </c>
      <c r="K19715">
        <v>1</v>
      </c>
      <c r="L19715">
        <v>527</v>
      </c>
      <c r="M19715">
        <v>1</v>
      </c>
      <c r="N19715">
        <v>0</v>
      </c>
      <c r="O19715">
        <v>2054</v>
      </c>
    </row>
    <row r="19716" spans="1:15" x14ac:dyDescent="0.25">
      <c r="A19716" t="s">
        <v>19729</v>
      </c>
      <c r="B19716">
        <v>447</v>
      </c>
      <c r="C19716" s="1" t="str">
        <f>HYPERLINK("http://www.rosaceae.org/gb/gbrowse/malus_x_domestica/?name=MDP0000222020","MDP0000222020")</f>
        <v>MDP0000222020</v>
      </c>
      <c r="D19716">
        <v>96.27</v>
      </c>
      <c r="E19716">
        <v>430</v>
      </c>
      <c r="F19716">
        <v>16</v>
      </c>
      <c r="G19716">
        <v>0</v>
      </c>
      <c r="H19716">
        <v>1</v>
      </c>
      <c r="I19716">
        <v>430</v>
      </c>
      <c r="J19716">
        <v>1</v>
      </c>
      <c r="K19716">
        <v>112</v>
      </c>
      <c r="L19716">
        <v>541</v>
      </c>
      <c r="M19716">
        <v>1</v>
      </c>
      <c r="N19716">
        <v>0</v>
      </c>
      <c r="O19716">
        <v>2261</v>
      </c>
    </row>
    <row r="19717" spans="1:15" x14ac:dyDescent="0.25">
      <c r="A19717" t="s">
        <v>19730</v>
      </c>
      <c r="B19717">
        <v>462</v>
      </c>
      <c r="C19717" s="1" t="str">
        <f>HYPERLINK("http://www.rosaceae.org/gb/gbrowse/malus_x_domestica/?name=MDP0000321839","MDP0000321839")</f>
        <v>MDP0000321839</v>
      </c>
      <c r="D19717">
        <v>80.63</v>
      </c>
      <c r="E19717">
        <v>470</v>
      </c>
      <c r="F19717">
        <v>91</v>
      </c>
      <c r="G19717">
        <v>9</v>
      </c>
      <c r="H19717">
        <v>1</v>
      </c>
      <c r="I19717">
        <v>462</v>
      </c>
      <c r="J19717">
        <v>1</v>
      </c>
      <c r="K19717">
        <v>1</v>
      </c>
      <c r="L19717">
        <v>469</v>
      </c>
      <c r="M19717">
        <v>1</v>
      </c>
      <c r="N19717">
        <v>0</v>
      </c>
      <c r="O19717">
        <v>2053</v>
      </c>
    </row>
    <row r="19718" spans="1:15" x14ac:dyDescent="0.25">
      <c r="A19718" t="s">
        <v>19731</v>
      </c>
      <c r="B19718">
        <v>1190</v>
      </c>
      <c r="C19718" s="1" t="str">
        <f>HYPERLINK("http://www.rosaceae.org/gb/gbrowse/malus_x_domestica/?name=MDP0000275454","MDP0000275454")</f>
        <v>MDP0000275454</v>
      </c>
      <c r="D19718">
        <v>37.130000000000003</v>
      </c>
      <c r="E19718">
        <v>948</v>
      </c>
      <c r="F19718">
        <v>596</v>
      </c>
      <c r="G19718">
        <v>164</v>
      </c>
      <c r="H19718">
        <v>1</v>
      </c>
      <c r="I19718">
        <v>865</v>
      </c>
      <c r="J19718">
        <v>1</v>
      </c>
      <c r="K19718">
        <v>1</v>
      </c>
      <c r="L19718">
        <v>867</v>
      </c>
      <c r="M19718">
        <v>1</v>
      </c>
      <c r="N19718">
        <v>6.0976199999999998E-138</v>
      </c>
      <c r="O19718">
        <v>1260</v>
      </c>
    </row>
    <row r="19719" spans="1:15" x14ac:dyDescent="0.25">
      <c r="A19719" t="s">
        <v>19732</v>
      </c>
      <c r="B19719">
        <v>184</v>
      </c>
      <c r="C19719" s="1" t="str">
        <f>HYPERLINK("http://www.rosaceae.org/gb/gbrowse/malus_x_domestica/?name=MDP0000651961","MDP0000651961")</f>
        <v>MDP0000651961</v>
      </c>
      <c r="D19719">
        <v>75.36</v>
      </c>
      <c r="E19719">
        <v>138</v>
      </c>
      <c r="F19719">
        <v>34</v>
      </c>
      <c r="G19719">
        <v>0</v>
      </c>
      <c r="H19719">
        <v>47</v>
      </c>
      <c r="I19719">
        <v>184</v>
      </c>
      <c r="J19719">
        <v>1</v>
      </c>
      <c r="K19719">
        <v>80</v>
      </c>
      <c r="L19719">
        <v>217</v>
      </c>
      <c r="M19719">
        <v>1</v>
      </c>
      <c r="N19719">
        <v>3.2492300000000002E-58</v>
      </c>
      <c r="O19719">
        <v>563</v>
      </c>
    </row>
    <row r="19720" spans="1:15" x14ac:dyDescent="0.25">
      <c r="A19720" t="s">
        <v>19733</v>
      </c>
      <c r="B19720">
        <v>312</v>
      </c>
      <c r="C19720" s="1" t="str">
        <f>HYPERLINK("http://www.rosaceae.org/gb/gbrowse/malus_x_domestica/?name=MDP0000723073","MDP0000723073")</f>
        <v>MDP0000723073</v>
      </c>
      <c r="D19720">
        <v>93.55</v>
      </c>
      <c r="E19720">
        <v>295</v>
      </c>
      <c r="F19720">
        <v>19</v>
      </c>
      <c r="G19720">
        <v>0</v>
      </c>
      <c r="H19720">
        <v>17</v>
      </c>
      <c r="I19720">
        <v>311</v>
      </c>
      <c r="J19720">
        <v>1</v>
      </c>
      <c r="K19720">
        <v>95</v>
      </c>
      <c r="L19720">
        <v>389</v>
      </c>
      <c r="M19720">
        <v>1</v>
      </c>
      <c r="N19720">
        <v>2.5426800000000001E-167</v>
      </c>
      <c r="O19720">
        <v>1507</v>
      </c>
    </row>
    <row r="19721" spans="1:15" x14ac:dyDescent="0.25">
      <c r="A19721" t="s">
        <v>19734</v>
      </c>
      <c r="B19721">
        <v>193</v>
      </c>
      <c r="C19721" s="1" t="str">
        <f>HYPERLINK("http://www.rosaceae.org/gb/gbrowse/malus_x_domestica/?name=MDP0000292621","MDP0000292621")</f>
        <v>MDP0000292621</v>
      </c>
      <c r="D19721">
        <v>92.24</v>
      </c>
      <c r="E19721">
        <v>129</v>
      </c>
      <c r="F19721">
        <v>10</v>
      </c>
      <c r="G19721">
        <v>0</v>
      </c>
      <c r="H19721">
        <v>65</v>
      </c>
      <c r="I19721">
        <v>193</v>
      </c>
      <c r="J19721">
        <v>1</v>
      </c>
      <c r="K19721">
        <v>29</v>
      </c>
      <c r="L19721">
        <v>157</v>
      </c>
      <c r="M19721">
        <v>1</v>
      </c>
      <c r="N19721">
        <v>8.4699299999999997E-66</v>
      </c>
      <c r="O19721">
        <v>629</v>
      </c>
    </row>
    <row r="19722" spans="1:15" x14ac:dyDescent="0.25">
      <c r="A19722" t="s">
        <v>19735</v>
      </c>
      <c r="B19722">
        <v>886</v>
      </c>
      <c r="C19722" s="1" t="str">
        <f>HYPERLINK("http://www.rosaceae.org/gb/gbrowse/malus_x_domestica/?name=MDP0000240404","MDP0000240404")</f>
        <v>MDP0000240404</v>
      </c>
      <c r="D19722">
        <v>89.83</v>
      </c>
      <c r="E19722">
        <v>885</v>
      </c>
      <c r="F19722">
        <v>90</v>
      </c>
      <c r="G19722">
        <v>4</v>
      </c>
      <c r="H19722">
        <v>1</v>
      </c>
      <c r="I19722">
        <v>885</v>
      </c>
      <c r="J19722">
        <v>1</v>
      </c>
      <c r="K19722">
        <v>1</v>
      </c>
      <c r="L19722">
        <v>881</v>
      </c>
      <c r="M19722">
        <v>1</v>
      </c>
      <c r="N19722">
        <v>0</v>
      </c>
      <c r="O19722">
        <v>4247</v>
      </c>
    </row>
    <row r="19723" spans="1:15" x14ac:dyDescent="0.25">
      <c r="A19723" t="s">
        <v>19736</v>
      </c>
      <c r="B19723">
        <v>197</v>
      </c>
      <c r="C19723" s="1" t="str">
        <f>HYPERLINK("http://www.rosaceae.org/gb/gbrowse/malus_x_domestica/?name=MDP0000153556","MDP0000153556")</f>
        <v>MDP0000153556</v>
      </c>
      <c r="D19723">
        <v>43.54</v>
      </c>
      <c r="E19723">
        <v>124</v>
      </c>
      <c r="F19723">
        <v>70</v>
      </c>
      <c r="G19723">
        <v>47</v>
      </c>
      <c r="H19723">
        <v>78</v>
      </c>
      <c r="I19723">
        <v>160</v>
      </c>
      <c r="J19723">
        <v>1</v>
      </c>
      <c r="K19723">
        <v>28</v>
      </c>
      <c r="L19723">
        <v>145</v>
      </c>
      <c r="M19723">
        <v>1</v>
      </c>
      <c r="N19723">
        <v>1.42852E-16</v>
      </c>
      <c r="O19723">
        <v>204</v>
      </c>
    </row>
    <row r="19724" spans="1:15" x14ac:dyDescent="0.25">
      <c r="A19724" t="s">
        <v>19737</v>
      </c>
      <c r="B19724">
        <v>1138</v>
      </c>
      <c r="C19724" s="1" t="str">
        <f>HYPERLINK("http://www.rosaceae.org/gb/gbrowse/malus_x_domestica/?name=MDP0000209670","MDP0000209670")</f>
        <v>MDP0000209670</v>
      </c>
      <c r="D19724">
        <v>90.25</v>
      </c>
      <c r="E19724">
        <v>1139</v>
      </c>
      <c r="F19724">
        <v>111</v>
      </c>
      <c r="G19724">
        <v>8</v>
      </c>
      <c r="H19724">
        <v>1</v>
      </c>
      <c r="I19724">
        <v>1138</v>
      </c>
      <c r="J19724">
        <v>1</v>
      </c>
      <c r="K19724">
        <v>86</v>
      </c>
      <c r="L19724">
        <v>1217</v>
      </c>
      <c r="M19724">
        <v>1</v>
      </c>
      <c r="N19724">
        <v>0</v>
      </c>
      <c r="O19724">
        <v>5467</v>
      </c>
    </row>
    <row r="19725" spans="1:15" x14ac:dyDescent="0.25">
      <c r="A19725" t="s">
        <v>19738</v>
      </c>
      <c r="B19725">
        <v>337</v>
      </c>
      <c r="C19725" s="1" t="str">
        <f>HYPERLINK("http://www.rosaceae.org/gb/gbrowse/malus_x_domestica/?name=MDP0000157174","MDP0000157174")</f>
        <v>MDP0000157174</v>
      </c>
      <c r="D19725">
        <v>64.02</v>
      </c>
      <c r="E19725">
        <v>278</v>
      </c>
      <c r="F19725">
        <v>100</v>
      </c>
      <c r="G19725">
        <v>79</v>
      </c>
      <c r="H19725">
        <v>55</v>
      </c>
      <c r="I19725">
        <v>329</v>
      </c>
      <c r="J19725">
        <v>1</v>
      </c>
      <c r="K19725">
        <v>58</v>
      </c>
      <c r="L19725">
        <v>259</v>
      </c>
      <c r="M19725">
        <v>1</v>
      </c>
      <c r="N19725">
        <v>1.75101E-89</v>
      </c>
      <c r="O19725">
        <v>836</v>
      </c>
    </row>
    <row r="19726" spans="1:15" x14ac:dyDescent="0.25">
      <c r="A19726" t="s">
        <v>19739</v>
      </c>
      <c r="B19726">
        <v>210</v>
      </c>
      <c r="C19726" s="1" t="str">
        <f>HYPERLINK("http://www.rosaceae.org/gb/gbrowse/malus_x_domestica/?name=MDP0000154072","MDP0000154072")</f>
        <v>MDP0000154072</v>
      </c>
      <c r="D19726">
        <v>57.52</v>
      </c>
      <c r="E19726">
        <v>113</v>
      </c>
      <c r="F19726">
        <v>48</v>
      </c>
      <c r="G19726">
        <v>6</v>
      </c>
      <c r="H19726">
        <v>92</v>
      </c>
      <c r="I19726">
        <v>203</v>
      </c>
      <c r="J19726">
        <v>1</v>
      </c>
      <c r="K19726">
        <v>3</v>
      </c>
      <c r="L19726">
        <v>110</v>
      </c>
      <c r="M19726">
        <v>1</v>
      </c>
      <c r="N19726">
        <v>6.6775600000000001E-29</v>
      </c>
      <c r="O19726">
        <v>311</v>
      </c>
    </row>
    <row r="19727" spans="1:15" x14ac:dyDescent="0.25">
      <c r="A19727" t="s">
        <v>19740</v>
      </c>
      <c r="B19727">
        <v>571</v>
      </c>
      <c r="C19727" s="1" t="str">
        <f>HYPERLINK("http://www.rosaceae.org/gb/gbrowse/malus_x_domestica/?name=MDP0000610354","MDP0000610354")</f>
        <v>MDP0000610354</v>
      </c>
      <c r="D19727">
        <v>32.26</v>
      </c>
      <c r="E19727">
        <v>282</v>
      </c>
      <c r="F19727">
        <v>191</v>
      </c>
      <c r="G19727">
        <v>63</v>
      </c>
      <c r="H19727">
        <v>3</v>
      </c>
      <c r="I19727">
        <v>222</v>
      </c>
      <c r="J19727">
        <v>1</v>
      </c>
      <c r="K19727">
        <v>523</v>
      </c>
      <c r="L19727">
        <v>803</v>
      </c>
      <c r="M19727">
        <v>1</v>
      </c>
      <c r="N19727">
        <v>1.1439200000000001E-26</v>
      </c>
      <c r="O19727">
        <v>297</v>
      </c>
    </row>
    <row r="19728" spans="1:15" x14ac:dyDescent="0.25">
      <c r="A19728" t="s">
        <v>19741</v>
      </c>
      <c r="B19728">
        <v>1108</v>
      </c>
      <c r="C19728" s="1" t="str">
        <f>HYPERLINK("http://www.rosaceae.org/gb/gbrowse/malus_x_domestica/?name=MDP0000203591","MDP0000203591")</f>
        <v>MDP0000203591</v>
      </c>
      <c r="D19728">
        <v>72.78</v>
      </c>
      <c r="E19728">
        <v>643</v>
      </c>
      <c r="F19728">
        <v>175</v>
      </c>
      <c r="G19728">
        <v>46</v>
      </c>
      <c r="H19728">
        <v>469</v>
      </c>
      <c r="I19728">
        <v>1106</v>
      </c>
      <c r="J19728">
        <v>1</v>
      </c>
      <c r="K19728">
        <v>525</v>
      </c>
      <c r="L19728">
        <v>1126</v>
      </c>
      <c r="M19728">
        <v>1</v>
      </c>
      <c r="N19728">
        <v>0</v>
      </c>
      <c r="O19728">
        <v>2284</v>
      </c>
    </row>
    <row r="19729" spans="1:15" x14ac:dyDescent="0.25">
      <c r="A19729" t="s">
        <v>19742</v>
      </c>
      <c r="B19729">
        <v>618</v>
      </c>
      <c r="C19729" s="1" t="str">
        <f>HYPERLINK("http://www.rosaceae.org/gb/gbrowse/malus_x_domestica/?name=MDP0000296843","MDP0000296843")</f>
        <v>MDP0000296843</v>
      </c>
      <c r="D19729">
        <v>55.67</v>
      </c>
      <c r="E19729">
        <v>449</v>
      </c>
      <c r="F19729">
        <v>199</v>
      </c>
      <c r="G19729">
        <v>35</v>
      </c>
      <c r="H19729">
        <v>162</v>
      </c>
      <c r="I19729">
        <v>589</v>
      </c>
      <c r="J19729">
        <v>1</v>
      </c>
      <c r="K19729">
        <v>1</v>
      </c>
      <c r="L19729">
        <v>435</v>
      </c>
      <c r="M19729">
        <v>1</v>
      </c>
      <c r="N19729">
        <v>9.3658300000000002E-130</v>
      </c>
      <c r="O19729">
        <v>1186</v>
      </c>
    </row>
    <row r="19730" spans="1:15" x14ac:dyDescent="0.25">
      <c r="A19730" t="s">
        <v>19743</v>
      </c>
      <c r="B19730">
        <v>573</v>
      </c>
      <c r="C19730" s="1" t="str">
        <f>HYPERLINK("http://www.rosaceae.org/gb/gbrowse/malus_x_domestica/?name=MDP0000630739","MDP0000630739")</f>
        <v>MDP0000630739</v>
      </c>
      <c r="D19730">
        <v>68.430000000000007</v>
      </c>
      <c r="E19730">
        <v>529</v>
      </c>
      <c r="F19730">
        <v>167</v>
      </c>
      <c r="G19730">
        <v>8</v>
      </c>
      <c r="H19730">
        <v>8</v>
      </c>
      <c r="I19730">
        <v>536</v>
      </c>
      <c r="J19730">
        <v>1</v>
      </c>
      <c r="K19730">
        <v>15</v>
      </c>
      <c r="L19730">
        <v>535</v>
      </c>
      <c r="M19730">
        <v>1</v>
      </c>
      <c r="N19730">
        <v>0</v>
      </c>
      <c r="O19730">
        <v>1931</v>
      </c>
    </row>
    <row r="19731" spans="1:15" x14ac:dyDescent="0.25">
      <c r="A19731" t="s">
        <v>19744</v>
      </c>
      <c r="B19731">
        <v>1004</v>
      </c>
      <c r="C19731" s="1" t="str">
        <f>HYPERLINK("http://www.rosaceae.org/gb/gbrowse/malus_x_domestica/?name=MDP0000179412","MDP0000179412")</f>
        <v>MDP0000179412</v>
      </c>
      <c r="D19731">
        <v>77.489999999999995</v>
      </c>
      <c r="E19731">
        <v>1004</v>
      </c>
      <c r="F19731">
        <v>226</v>
      </c>
      <c r="G19731">
        <v>0</v>
      </c>
      <c r="H19731">
        <v>1</v>
      </c>
      <c r="I19731">
        <v>1004</v>
      </c>
      <c r="J19731">
        <v>1</v>
      </c>
      <c r="K19731">
        <v>6</v>
      </c>
      <c r="L19731">
        <v>1009</v>
      </c>
      <c r="M19731">
        <v>1</v>
      </c>
      <c r="N19731">
        <v>0</v>
      </c>
      <c r="O19731">
        <v>3940</v>
      </c>
    </row>
    <row r="19732" spans="1:15" x14ac:dyDescent="0.25">
      <c r="A19732" t="s">
        <v>19745</v>
      </c>
      <c r="B19732">
        <v>181</v>
      </c>
      <c r="C19732" s="1" t="str">
        <f>HYPERLINK("http://www.rosaceae.org/gb/gbrowse/malus_x_domestica/?name=MDP0000503959","MDP0000503959")</f>
        <v>MDP0000503959</v>
      </c>
      <c r="D19732">
        <v>54.23</v>
      </c>
      <c r="E19732">
        <v>59</v>
      </c>
      <c r="F19732">
        <v>27</v>
      </c>
      <c r="G19732">
        <v>0</v>
      </c>
      <c r="H19732">
        <v>35</v>
      </c>
      <c r="I19732">
        <v>93</v>
      </c>
      <c r="J19732">
        <v>1</v>
      </c>
      <c r="K19732">
        <v>315</v>
      </c>
      <c r="L19732">
        <v>373</v>
      </c>
      <c r="M19732">
        <v>1</v>
      </c>
      <c r="N19732">
        <v>2.6682999999999998E-12</v>
      </c>
      <c r="O19732">
        <v>167</v>
      </c>
    </row>
    <row r="19733" spans="1:15" x14ac:dyDescent="0.25">
      <c r="A19733" t="s">
        <v>19746</v>
      </c>
      <c r="B19733">
        <v>474</v>
      </c>
      <c r="C19733" s="1" t="str">
        <f>HYPERLINK("http://www.rosaceae.org/gb/gbrowse/malus_x_domestica/?name=MDP0000224478","MDP0000224478")</f>
        <v>MDP0000224478</v>
      </c>
      <c r="D19733">
        <v>69.86</v>
      </c>
      <c r="E19733">
        <v>521</v>
      </c>
      <c r="F19733">
        <v>157</v>
      </c>
      <c r="G19733">
        <v>49</v>
      </c>
      <c r="H19733">
        <v>1</v>
      </c>
      <c r="I19733">
        <v>474</v>
      </c>
      <c r="J19733">
        <v>1</v>
      </c>
      <c r="K19733">
        <v>4</v>
      </c>
      <c r="L19733">
        <v>522</v>
      </c>
      <c r="M19733">
        <v>1</v>
      </c>
      <c r="N19733">
        <v>0</v>
      </c>
      <c r="O19733">
        <v>1934</v>
      </c>
    </row>
    <row r="19734" spans="1:15" x14ac:dyDescent="0.25">
      <c r="A19734" t="s">
        <v>19747</v>
      </c>
      <c r="B19734">
        <v>294</v>
      </c>
      <c r="C19734" s="1" t="str">
        <f>HYPERLINK("http://www.rosaceae.org/gb/gbrowse/malus_x_domestica/?name=MDP0000295597","MDP0000295597")</f>
        <v>MDP0000295597</v>
      </c>
      <c r="D19734">
        <v>32.200000000000003</v>
      </c>
      <c r="E19734">
        <v>177</v>
      </c>
      <c r="F19734">
        <v>120</v>
      </c>
      <c r="G19734">
        <v>42</v>
      </c>
      <c r="H19734">
        <v>83</v>
      </c>
      <c r="I19734">
        <v>217</v>
      </c>
      <c r="J19734">
        <v>1</v>
      </c>
      <c r="K19734">
        <v>285</v>
      </c>
      <c r="L19734">
        <v>461</v>
      </c>
      <c r="M19734">
        <v>1</v>
      </c>
      <c r="N19734">
        <v>2.88924E-20</v>
      </c>
      <c r="O19734">
        <v>239</v>
      </c>
    </row>
    <row r="19735" spans="1:15" x14ac:dyDescent="0.25">
      <c r="A19735" t="s">
        <v>19748</v>
      </c>
      <c r="B19735">
        <v>311</v>
      </c>
      <c r="C19735" s="1" t="str">
        <f>HYPERLINK("http://www.rosaceae.org/gb/gbrowse/malus_x_domestica/?name=MDP0000161448","MDP0000161448")</f>
        <v>MDP0000161448</v>
      </c>
      <c r="D19735">
        <v>89.95</v>
      </c>
      <c r="E19735">
        <v>209</v>
      </c>
      <c r="F19735">
        <v>21</v>
      </c>
      <c r="G19735">
        <v>0</v>
      </c>
      <c r="H19735">
        <v>17</v>
      </c>
      <c r="I19735">
        <v>225</v>
      </c>
      <c r="J19735">
        <v>1</v>
      </c>
      <c r="K19735">
        <v>20</v>
      </c>
      <c r="L19735">
        <v>228</v>
      </c>
      <c r="M19735">
        <v>1</v>
      </c>
      <c r="N19735">
        <v>1.9372299999999999E-110</v>
      </c>
      <c r="O19735">
        <v>1017</v>
      </c>
    </row>
    <row r="19736" spans="1:15" x14ac:dyDescent="0.25">
      <c r="A19736" t="s">
        <v>19749</v>
      </c>
      <c r="B19736">
        <v>526</v>
      </c>
      <c r="C19736" s="1" t="str">
        <f>HYPERLINK("http://www.rosaceae.org/gb/gbrowse/malus_x_domestica/?name=MDP0000145190","MDP0000145190")</f>
        <v>MDP0000145190</v>
      </c>
      <c r="D19736">
        <v>58.45</v>
      </c>
      <c r="E19736">
        <v>544</v>
      </c>
      <c r="F19736">
        <v>226</v>
      </c>
      <c r="G19736">
        <v>29</v>
      </c>
      <c r="H19736">
        <v>1</v>
      </c>
      <c r="I19736">
        <v>526</v>
      </c>
      <c r="J19736">
        <v>1</v>
      </c>
      <c r="K19736">
        <v>4</v>
      </c>
      <c r="L19736">
        <v>536</v>
      </c>
      <c r="M19736">
        <v>1</v>
      </c>
      <c r="N19736">
        <v>1.9290400000000001E-165</v>
      </c>
      <c r="O19736">
        <v>1493</v>
      </c>
    </row>
    <row r="19737" spans="1:15" x14ac:dyDescent="0.25">
      <c r="A19737" t="s">
        <v>19750</v>
      </c>
      <c r="B19737">
        <v>1331</v>
      </c>
      <c r="C19737" s="1" t="str">
        <f>HYPERLINK("http://www.rosaceae.org/gb/gbrowse/malus_x_domestica/?name=MDP0000647176","MDP0000647176")</f>
        <v>MDP0000647176</v>
      </c>
      <c r="D19737">
        <v>36.29</v>
      </c>
      <c r="E19737">
        <v>281</v>
      </c>
      <c r="F19737">
        <v>179</v>
      </c>
      <c r="G19737">
        <v>32</v>
      </c>
      <c r="H19737">
        <v>462</v>
      </c>
      <c r="I19737">
        <v>736</v>
      </c>
      <c r="J19737">
        <v>1</v>
      </c>
      <c r="K19737">
        <v>30</v>
      </c>
      <c r="L19737">
        <v>284</v>
      </c>
      <c r="M19737">
        <v>1</v>
      </c>
      <c r="N19737">
        <v>1.05218E-33</v>
      </c>
      <c r="O19737">
        <v>361</v>
      </c>
    </row>
    <row r="19738" spans="1:15" x14ac:dyDescent="0.25">
      <c r="A19738" t="s">
        <v>19751</v>
      </c>
      <c r="B19738">
        <v>465</v>
      </c>
      <c r="C19738" s="1" t="str">
        <f>HYPERLINK("http://www.rosaceae.org/gb/gbrowse/malus_x_domestica/?name=MDP0000242465","MDP0000242465")</f>
        <v>MDP0000242465</v>
      </c>
      <c r="D19738">
        <v>73.97</v>
      </c>
      <c r="E19738">
        <v>465</v>
      </c>
      <c r="F19738">
        <v>121</v>
      </c>
      <c r="G19738">
        <v>8</v>
      </c>
      <c r="H19738">
        <v>1</v>
      </c>
      <c r="I19738">
        <v>465</v>
      </c>
      <c r="J19738">
        <v>1</v>
      </c>
      <c r="K19738">
        <v>7</v>
      </c>
      <c r="L19738">
        <v>463</v>
      </c>
      <c r="M19738">
        <v>1</v>
      </c>
      <c r="N19738">
        <v>0</v>
      </c>
      <c r="O19738">
        <v>1748</v>
      </c>
    </row>
    <row r="19739" spans="1:15" x14ac:dyDescent="0.25">
      <c r="A19739" t="s">
        <v>19752</v>
      </c>
      <c r="B19739">
        <v>393</v>
      </c>
      <c r="C19739" s="1" t="str">
        <f>HYPERLINK("http://www.rosaceae.org/gb/gbrowse/malus_x_domestica/?name=MDP0000121244","MDP0000121244")</f>
        <v>MDP0000121244</v>
      </c>
      <c r="D19739">
        <v>60.78</v>
      </c>
      <c r="E19739">
        <v>306</v>
      </c>
      <c r="F19739">
        <v>120</v>
      </c>
      <c r="G19739">
        <v>12</v>
      </c>
      <c r="H19739">
        <v>6</v>
      </c>
      <c r="I19739">
        <v>300</v>
      </c>
      <c r="J19739">
        <v>1</v>
      </c>
      <c r="K19739">
        <v>21</v>
      </c>
      <c r="L19739">
        <v>325</v>
      </c>
      <c r="M19739">
        <v>1</v>
      </c>
      <c r="N19739">
        <v>2.45354E-104</v>
      </c>
      <c r="O19739">
        <v>965</v>
      </c>
    </row>
    <row r="19740" spans="1:15" x14ac:dyDescent="0.25">
      <c r="A19740" t="s">
        <v>19753</v>
      </c>
      <c r="B19740">
        <v>320</v>
      </c>
      <c r="C19740" s="1" t="str">
        <f>HYPERLINK("http://www.rosaceae.org/gb/gbrowse/malus_x_domestica/?name=MDP0000778352","MDP0000778352")</f>
        <v>MDP0000778352</v>
      </c>
      <c r="D19740">
        <v>37.5</v>
      </c>
      <c r="E19740">
        <v>320</v>
      </c>
      <c r="F19740">
        <v>200</v>
      </c>
      <c r="G19740">
        <v>27</v>
      </c>
      <c r="H19740">
        <v>13</v>
      </c>
      <c r="I19740">
        <v>319</v>
      </c>
      <c r="J19740">
        <v>1</v>
      </c>
      <c r="K19740">
        <v>73</v>
      </c>
      <c r="L19740">
        <v>378</v>
      </c>
      <c r="M19740">
        <v>1</v>
      </c>
      <c r="N19740">
        <v>9.71369E-48</v>
      </c>
      <c r="O19740">
        <v>476</v>
      </c>
    </row>
    <row r="19741" spans="1:15" x14ac:dyDescent="0.25">
      <c r="A19741" t="s">
        <v>19754</v>
      </c>
      <c r="B19741">
        <v>1062</v>
      </c>
      <c r="C19741" s="1" t="str">
        <f>HYPERLINK("http://www.rosaceae.org/gb/gbrowse/malus_x_domestica/?name=MDP0000245389","MDP0000245389")</f>
        <v>MDP0000245389</v>
      </c>
      <c r="D19741">
        <v>85.33</v>
      </c>
      <c r="E19741">
        <v>300</v>
      </c>
      <c r="F19741">
        <v>44</v>
      </c>
      <c r="G19741">
        <v>0</v>
      </c>
      <c r="H19741">
        <v>327</v>
      </c>
      <c r="I19741">
        <v>626</v>
      </c>
      <c r="J19741">
        <v>1</v>
      </c>
      <c r="K19741">
        <v>37</v>
      </c>
      <c r="L19741">
        <v>336</v>
      </c>
      <c r="M19741">
        <v>1</v>
      </c>
      <c r="N19741">
        <v>9.0890699999999995E-154</v>
      </c>
      <c r="O19741">
        <v>1396</v>
      </c>
    </row>
    <row r="19742" spans="1:15" x14ac:dyDescent="0.25">
      <c r="A19742" t="s">
        <v>19755</v>
      </c>
      <c r="B19742">
        <v>1126</v>
      </c>
      <c r="C19742" s="1" t="str">
        <f>HYPERLINK("http://www.rosaceae.org/gb/gbrowse/malus_x_domestica/?name=MDP0000215190","MDP0000215190")</f>
        <v>MDP0000215190</v>
      </c>
      <c r="D19742">
        <v>60.51</v>
      </c>
      <c r="E19742">
        <v>1193</v>
      </c>
      <c r="F19742">
        <v>471</v>
      </c>
      <c r="G19742">
        <v>72</v>
      </c>
      <c r="H19742">
        <v>1</v>
      </c>
      <c r="I19742">
        <v>1126</v>
      </c>
      <c r="J19742">
        <v>1</v>
      </c>
      <c r="K19742">
        <v>1</v>
      </c>
      <c r="L19742">
        <v>1188</v>
      </c>
      <c r="M19742">
        <v>1</v>
      </c>
      <c r="N19742">
        <v>0</v>
      </c>
      <c r="O19742">
        <v>3415</v>
      </c>
    </row>
    <row r="19743" spans="1:15" x14ac:dyDescent="0.25">
      <c r="A19743" t="s">
        <v>19756</v>
      </c>
      <c r="B19743">
        <v>387</v>
      </c>
      <c r="C19743" s="1" t="str">
        <f>HYPERLINK("http://www.rosaceae.org/gb/gbrowse/malus_x_domestica/?name=MDP0000334963","MDP0000334963")</f>
        <v>MDP0000334963</v>
      </c>
      <c r="D19743">
        <v>50</v>
      </c>
      <c r="E19743">
        <v>210</v>
      </c>
      <c r="F19743">
        <v>105</v>
      </c>
      <c r="G19743">
        <v>62</v>
      </c>
      <c r="H19743">
        <v>82</v>
      </c>
      <c r="I19743">
        <v>232</v>
      </c>
      <c r="J19743">
        <v>1</v>
      </c>
      <c r="K19743">
        <v>6</v>
      </c>
      <c r="L19743">
        <v>212</v>
      </c>
      <c r="M19743">
        <v>1</v>
      </c>
      <c r="N19743">
        <v>1.1546600000000001E-41</v>
      </c>
      <c r="O19743">
        <v>425</v>
      </c>
    </row>
    <row r="19744" spans="1:15" x14ac:dyDescent="0.25">
      <c r="A19744" t="s">
        <v>19757</v>
      </c>
      <c r="B19744">
        <v>415</v>
      </c>
      <c r="C19744" s="1" t="str">
        <f>HYPERLINK("http://www.rosaceae.org/gb/gbrowse/malus_x_domestica/?name=MDP0000823528","MDP0000823528")</f>
        <v>MDP0000823528</v>
      </c>
      <c r="D19744">
        <v>76.59</v>
      </c>
      <c r="E19744">
        <v>47</v>
      </c>
      <c r="F19744">
        <v>11</v>
      </c>
      <c r="G19744">
        <v>0</v>
      </c>
      <c r="H19744">
        <v>222</v>
      </c>
      <c r="I19744">
        <v>268</v>
      </c>
      <c r="J19744">
        <v>1</v>
      </c>
      <c r="K19744">
        <v>1</v>
      </c>
      <c r="L19744">
        <v>47</v>
      </c>
      <c r="M19744">
        <v>1</v>
      </c>
      <c r="N19744">
        <v>1.4282099999999999E-13</v>
      </c>
      <c r="O19744">
        <v>183</v>
      </c>
    </row>
    <row r="19745" spans="1:15" x14ac:dyDescent="0.25">
      <c r="A19745" t="s">
        <v>19758</v>
      </c>
      <c r="B19745">
        <v>396</v>
      </c>
      <c r="C19745" s="1" t="str">
        <f>HYPERLINK("http://www.rosaceae.org/gb/gbrowse/malus_x_domestica/?name=MDP0000920410","MDP0000920410")</f>
        <v>MDP0000920410</v>
      </c>
      <c r="D19745">
        <v>32.29</v>
      </c>
      <c r="E19745">
        <v>257</v>
      </c>
      <c r="F19745">
        <v>174</v>
      </c>
      <c r="G19745">
        <v>4</v>
      </c>
      <c r="H19745">
        <v>30</v>
      </c>
      <c r="I19745">
        <v>286</v>
      </c>
      <c r="J19745">
        <v>1</v>
      </c>
      <c r="K19745">
        <v>14</v>
      </c>
      <c r="L19745">
        <v>266</v>
      </c>
      <c r="M19745">
        <v>1</v>
      </c>
      <c r="N19745">
        <v>8.9954900000000005E-37</v>
      </c>
      <c r="O19745">
        <v>382</v>
      </c>
    </row>
    <row r="19746" spans="1:15" x14ac:dyDescent="0.25">
      <c r="A19746" t="s">
        <v>19759</v>
      </c>
      <c r="B19746">
        <v>169</v>
      </c>
      <c r="C19746" s="1" t="str">
        <f>HYPERLINK("http://www.rosaceae.org/gb/gbrowse/malus_x_domestica/?name=MDP0000284557","MDP0000284557")</f>
        <v>MDP0000284557</v>
      </c>
      <c r="D19746">
        <v>67.44</v>
      </c>
      <c r="E19746">
        <v>86</v>
      </c>
      <c r="F19746">
        <v>28</v>
      </c>
      <c r="G19746">
        <v>3</v>
      </c>
      <c r="H19746">
        <v>4</v>
      </c>
      <c r="I19746">
        <v>86</v>
      </c>
      <c r="J19746">
        <v>1</v>
      </c>
      <c r="K19746">
        <v>522</v>
      </c>
      <c r="L19746">
        <v>607</v>
      </c>
      <c r="M19746">
        <v>1</v>
      </c>
      <c r="N19746">
        <v>1.07576E-26</v>
      </c>
      <c r="O19746">
        <v>291</v>
      </c>
    </row>
    <row r="19747" spans="1:15" x14ac:dyDescent="0.25">
      <c r="A19747" t="s">
        <v>19760</v>
      </c>
      <c r="B19747">
        <v>466</v>
      </c>
      <c r="C19747" s="1" t="str">
        <f>HYPERLINK("http://www.rosaceae.org/gb/gbrowse/malus_x_domestica/?name=MDP0000311039","MDP0000311039")</f>
        <v>MDP0000311039</v>
      </c>
      <c r="D19747">
        <v>68.25</v>
      </c>
      <c r="E19747">
        <v>293</v>
      </c>
      <c r="F19747">
        <v>93</v>
      </c>
      <c r="G19747">
        <v>37</v>
      </c>
      <c r="H19747">
        <v>203</v>
      </c>
      <c r="I19747">
        <v>466</v>
      </c>
      <c r="J19747">
        <v>1</v>
      </c>
      <c r="K19747">
        <v>3</v>
      </c>
      <c r="L19747">
        <v>287</v>
      </c>
      <c r="M19747">
        <v>1</v>
      </c>
      <c r="N19747">
        <v>4.27742E-101</v>
      </c>
      <c r="O19747">
        <v>938</v>
      </c>
    </row>
    <row r="19748" spans="1:15" x14ac:dyDescent="0.25">
      <c r="A19748" t="s">
        <v>19761</v>
      </c>
      <c r="B19748">
        <v>251</v>
      </c>
      <c r="C19748" s="1" t="str">
        <f>HYPERLINK("http://www.rosaceae.org/gb/gbrowse/malus_x_domestica/?name=MDP0000506266","MDP0000506266")</f>
        <v>MDP0000506266</v>
      </c>
      <c r="D19748">
        <v>61.88</v>
      </c>
      <c r="E19748">
        <v>223</v>
      </c>
      <c r="F19748">
        <v>85</v>
      </c>
      <c r="G19748">
        <v>6</v>
      </c>
      <c r="H19748">
        <v>29</v>
      </c>
      <c r="I19748">
        <v>250</v>
      </c>
      <c r="J19748">
        <v>1</v>
      </c>
      <c r="K19748">
        <v>10</v>
      </c>
      <c r="L19748">
        <v>227</v>
      </c>
      <c r="M19748">
        <v>1</v>
      </c>
      <c r="N19748">
        <v>1.8120299999999999E-73</v>
      </c>
      <c r="O19748">
        <v>697</v>
      </c>
    </row>
    <row r="19749" spans="1:15" x14ac:dyDescent="0.25">
      <c r="A19749" t="s">
        <v>19762</v>
      </c>
      <c r="B19749">
        <v>671</v>
      </c>
      <c r="C19749" s="1" t="str">
        <f>HYPERLINK("http://www.rosaceae.org/gb/gbrowse/malus_x_domestica/?name=MDP0000905342","MDP0000905342")</f>
        <v>MDP0000905342</v>
      </c>
      <c r="D19749">
        <v>48.6</v>
      </c>
      <c r="E19749">
        <v>395</v>
      </c>
      <c r="F19749">
        <v>203</v>
      </c>
      <c r="G19749">
        <v>40</v>
      </c>
      <c r="H19749">
        <v>300</v>
      </c>
      <c r="I19749">
        <v>671</v>
      </c>
      <c r="J19749">
        <v>1</v>
      </c>
      <c r="K19749">
        <v>18</v>
      </c>
      <c r="L19749">
        <v>395</v>
      </c>
      <c r="M19749">
        <v>1</v>
      </c>
      <c r="N19749">
        <v>1.5267399999999999E-61</v>
      </c>
      <c r="O19749">
        <v>599</v>
      </c>
    </row>
    <row r="19750" spans="1:15" x14ac:dyDescent="0.25">
      <c r="A19750" t="s">
        <v>19763</v>
      </c>
      <c r="B19750">
        <v>308</v>
      </c>
      <c r="C19750" s="1" t="str">
        <f>HYPERLINK("http://www.rosaceae.org/gb/gbrowse/malus_x_domestica/?name=MDP0000267569","MDP0000267569")</f>
        <v>MDP0000267569</v>
      </c>
      <c r="D19750">
        <v>75.75</v>
      </c>
      <c r="E19750">
        <v>132</v>
      </c>
      <c r="F19750">
        <v>32</v>
      </c>
      <c r="G19750">
        <v>6</v>
      </c>
      <c r="H19750">
        <v>182</v>
      </c>
      <c r="I19750">
        <v>308</v>
      </c>
      <c r="J19750">
        <v>1</v>
      </c>
      <c r="K19750">
        <v>229</v>
      </c>
      <c r="L19750">
        <v>359</v>
      </c>
      <c r="M19750">
        <v>1</v>
      </c>
      <c r="N19750">
        <v>1.2698300000000001E-49</v>
      </c>
      <c r="O19750">
        <v>492</v>
      </c>
    </row>
    <row r="19751" spans="1:15" x14ac:dyDescent="0.25">
      <c r="A19751" t="s">
        <v>19764</v>
      </c>
      <c r="B19751">
        <v>159</v>
      </c>
      <c r="C19751" s="1" t="str">
        <f>HYPERLINK("http://www.rosaceae.org/gb/gbrowse/malus_x_domestica/?name=MDP0000247921","MDP0000247921")</f>
        <v>MDP0000247921</v>
      </c>
      <c r="D19751">
        <v>25</v>
      </c>
      <c r="E19751">
        <v>160</v>
      </c>
      <c r="F19751">
        <v>120</v>
      </c>
      <c r="G19751">
        <v>5</v>
      </c>
      <c r="H19751">
        <v>4</v>
      </c>
      <c r="I19751">
        <v>158</v>
      </c>
      <c r="J19751">
        <v>1</v>
      </c>
      <c r="K19751">
        <v>719</v>
      </c>
      <c r="L19751">
        <v>878</v>
      </c>
      <c r="M19751">
        <v>1</v>
      </c>
      <c r="N19751">
        <v>2.15039E-16</v>
      </c>
      <c r="O19751">
        <v>201</v>
      </c>
    </row>
    <row r="19752" spans="1:15" x14ac:dyDescent="0.25">
      <c r="A19752" t="s">
        <v>19765</v>
      </c>
      <c r="B19752">
        <v>467</v>
      </c>
      <c r="C19752" s="1" t="str">
        <f>HYPERLINK("http://www.rosaceae.org/gb/gbrowse/malus_x_domestica/?name=MDP0000298505","MDP0000298505")</f>
        <v>MDP0000298505</v>
      </c>
      <c r="D19752">
        <v>49.77</v>
      </c>
      <c r="E19752">
        <v>227</v>
      </c>
      <c r="F19752">
        <v>114</v>
      </c>
      <c r="G19752">
        <v>32</v>
      </c>
      <c r="H19752">
        <v>1</v>
      </c>
      <c r="I19752">
        <v>199</v>
      </c>
      <c r="J19752">
        <v>1</v>
      </c>
      <c r="K19752">
        <v>350</v>
      </c>
      <c r="L19752">
        <v>572</v>
      </c>
      <c r="M19752">
        <v>1</v>
      </c>
      <c r="N19752">
        <v>2.6600499999999999E-51</v>
      </c>
      <c r="O19752">
        <v>509</v>
      </c>
    </row>
    <row r="19753" spans="1:15" x14ac:dyDescent="0.25">
      <c r="A19753" t="s">
        <v>19766</v>
      </c>
      <c r="B19753">
        <v>98</v>
      </c>
      <c r="C19753" s="1" t="str">
        <f>HYPERLINK("http://www.rosaceae.org/gb/gbrowse/malus_x_domestica/?name=MDP0000278575","MDP0000278575")</f>
        <v>MDP0000278575</v>
      </c>
      <c r="D19753">
        <v>48.14</v>
      </c>
      <c r="E19753">
        <v>54</v>
      </c>
      <c r="F19753">
        <v>28</v>
      </c>
      <c r="G19753">
        <v>1</v>
      </c>
      <c r="H19753">
        <v>5</v>
      </c>
      <c r="I19753">
        <v>58</v>
      </c>
      <c r="J19753">
        <v>1</v>
      </c>
      <c r="K19753">
        <v>763</v>
      </c>
      <c r="L19753">
        <v>815</v>
      </c>
      <c r="M19753">
        <v>1</v>
      </c>
      <c r="N19753">
        <v>1.2776200000000001E-8</v>
      </c>
      <c r="O19753">
        <v>132</v>
      </c>
    </row>
    <row r="19754" spans="1:15" x14ac:dyDescent="0.25">
      <c r="A19754" t="s">
        <v>19767</v>
      </c>
      <c r="B19754">
        <v>146</v>
      </c>
      <c r="C19754" s="1" t="str">
        <f>HYPERLINK("http://www.rosaceae.org/gb/gbrowse/malus_x_domestica/?name=MDP0000740353","MDP0000740353")</f>
        <v>MDP0000740353</v>
      </c>
      <c r="D19754">
        <v>67.11</v>
      </c>
      <c r="E19754">
        <v>149</v>
      </c>
      <c r="F19754">
        <v>49</v>
      </c>
      <c r="G19754">
        <v>3</v>
      </c>
      <c r="H19754">
        <v>1</v>
      </c>
      <c r="I19754">
        <v>146</v>
      </c>
      <c r="J19754">
        <v>1</v>
      </c>
      <c r="K19754">
        <v>1</v>
      </c>
      <c r="L19754">
        <v>149</v>
      </c>
      <c r="M19754">
        <v>1</v>
      </c>
      <c r="N19754">
        <v>8.4016500000000001E-51</v>
      </c>
      <c r="O19754">
        <v>497</v>
      </c>
    </row>
    <row r="19755" spans="1:15" x14ac:dyDescent="0.25">
      <c r="A19755" t="s">
        <v>19768</v>
      </c>
      <c r="B19755">
        <v>1989</v>
      </c>
      <c r="C19755" s="1" t="str">
        <f>HYPERLINK("http://www.rosaceae.org/gb/gbrowse/malus_x_domestica/?name=MDP0000157397","MDP0000157397")</f>
        <v>MDP0000157397</v>
      </c>
      <c r="D19755">
        <v>66.63</v>
      </c>
      <c r="E19755">
        <v>2029</v>
      </c>
      <c r="F19755">
        <v>677</v>
      </c>
      <c r="G19755">
        <v>116</v>
      </c>
      <c r="H19755">
        <v>2</v>
      </c>
      <c r="I19755">
        <v>1934</v>
      </c>
      <c r="J19755">
        <v>1</v>
      </c>
      <c r="K19755">
        <v>4</v>
      </c>
      <c r="L19755">
        <v>2012</v>
      </c>
      <c r="M19755">
        <v>1</v>
      </c>
      <c r="N19755">
        <v>0</v>
      </c>
      <c r="O19755">
        <v>6717</v>
      </c>
    </row>
    <row r="19756" spans="1:15" x14ac:dyDescent="0.25">
      <c r="A19756" t="s">
        <v>19769</v>
      </c>
      <c r="B19756">
        <v>72</v>
      </c>
      <c r="C19756" s="1" t="str">
        <f>HYPERLINK("http://www.rosaceae.org/gb/gbrowse/malus_x_domestica/?name=MDP0000149789","MDP0000149789")</f>
        <v>MDP0000149789</v>
      </c>
      <c r="D19756">
        <v>65.95</v>
      </c>
      <c r="E19756">
        <v>47</v>
      </c>
      <c r="F19756">
        <v>16</v>
      </c>
      <c r="G19756">
        <v>0</v>
      </c>
      <c r="H19756">
        <v>26</v>
      </c>
      <c r="I19756">
        <v>72</v>
      </c>
      <c r="J19756">
        <v>1</v>
      </c>
      <c r="K19756">
        <v>27</v>
      </c>
      <c r="L19756">
        <v>73</v>
      </c>
      <c r="M19756">
        <v>1</v>
      </c>
      <c r="N19756">
        <v>3.0610800000000001E-11</v>
      </c>
      <c r="O19756">
        <v>154</v>
      </c>
    </row>
    <row r="19757" spans="1:15" x14ac:dyDescent="0.25">
      <c r="A19757" t="s">
        <v>19770</v>
      </c>
      <c r="B19757">
        <v>254</v>
      </c>
      <c r="C19757" s="1" t="str">
        <f>HYPERLINK("http://www.rosaceae.org/gb/gbrowse/malus_x_domestica/?name=MDP0000268304","MDP0000268304")</f>
        <v>MDP0000268304</v>
      </c>
      <c r="D19757">
        <v>64.7</v>
      </c>
      <c r="E19757">
        <v>255</v>
      </c>
      <c r="F19757">
        <v>90</v>
      </c>
      <c r="G19757">
        <v>26</v>
      </c>
      <c r="H19757">
        <v>1</v>
      </c>
      <c r="I19757">
        <v>254</v>
      </c>
      <c r="J19757">
        <v>1</v>
      </c>
      <c r="K19757">
        <v>1</v>
      </c>
      <c r="L19757">
        <v>230</v>
      </c>
      <c r="M19757">
        <v>1</v>
      </c>
      <c r="N19757">
        <v>4.0972699999999999E-90</v>
      </c>
      <c r="O19757">
        <v>840</v>
      </c>
    </row>
    <row r="19758" spans="1:15" x14ac:dyDescent="0.25">
      <c r="A19758" t="s">
        <v>19771</v>
      </c>
      <c r="B19758">
        <v>388</v>
      </c>
      <c r="C19758" s="1" t="str">
        <f>HYPERLINK("http://www.rosaceae.org/gb/gbrowse/malus_x_domestica/?name=MDP0000262252","MDP0000262252")</f>
        <v>MDP0000262252</v>
      </c>
      <c r="D19758">
        <v>73.33</v>
      </c>
      <c r="E19758">
        <v>375</v>
      </c>
      <c r="F19758">
        <v>100</v>
      </c>
      <c r="G19758">
        <v>36</v>
      </c>
      <c r="H19758">
        <v>29</v>
      </c>
      <c r="I19758">
        <v>382</v>
      </c>
      <c r="J19758">
        <v>1</v>
      </c>
      <c r="K19758">
        <v>38</v>
      </c>
      <c r="L19758">
        <v>397</v>
      </c>
      <c r="M19758">
        <v>1</v>
      </c>
      <c r="N19758">
        <v>9.5043100000000004E-150</v>
      </c>
      <c r="O19758">
        <v>1357</v>
      </c>
    </row>
    <row r="19759" spans="1:15" x14ac:dyDescent="0.25">
      <c r="A19759" t="s">
        <v>19772</v>
      </c>
      <c r="B19759">
        <v>225</v>
      </c>
      <c r="C19759" s="1" t="str">
        <f>HYPERLINK("http://www.rosaceae.org/gb/gbrowse/malus_x_domestica/?name=MDP0000180132","MDP0000180132")</f>
        <v>MDP0000180132</v>
      </c>
      <c r="D19759">
        <v>77.7</v>
      </c>
      <c r="E19759">
        <v>148</v>
      </c>
      <c r="F19759">
        <v>33</v>
      </c>
      <c r="G19759">
        <v>0</v>
      </c>
      <c r="H19759">
        <v>1</v>
      </c>
      <c r="I19759">
        <v>148</v>
      </c>
      <c r="J19759">
        <v>1</v>
      </c>
      <c r="K19759">
        <v>1</v>
      </c>
      <c r="L19759">
        <v>148</v>
      </c>
      <c r="M19759">
        <v>1</v>
      </c>
      <c r="N19759">
        <v>1.3186E-64</v>
      </c>
      <c r="O19759">
        <v>619</v>
      </c>
    </row>
    <row r="19760" spans="1:15" x14ac:dyDescent="0.25">
      <c r="A19760" t="s">
        <v>19773</v>
      </c>
      <c r="B19760">
        <v>489</v>
      </c>
      <c r="C19760" s="1" t="str">
        <f>HYPERLINK("http://www.rosaceae.org/gb/gbrowse/malus_x_domestica/?name=MDP0000315471","MDP0000315471")</f>
        <v>MDP0000315471</v>
      </c>
      <c r="D19760">
        <v>64.39</v>
      </c>
      <c r="E19760">
        <v>441</v>
      </c>
      <c r="F19760">
        <v>157</v>
      </c>
      <c r="G19760">
        <v>43</v>
      </c>
      <c r="H19760">
        <v>72</v>
      </c>
      <c r="I19760">
        <v>489</v>
      </c>
      <c r="J19760">
        <v>1</v>
      </c>
      <c r="K19760">
        <v>67</v>
      </c>
      <c r="L19760">
        <v>487</v>
      </c>
      <c r="M19760">
        <v>1</v>
      </c>
      <c r="N19760">
        <v>3.0289500000000001E-153</v>
      </c>
      <c r="O19760">
        <v>1388</v>
      </c>
    </row>
    <row r="19761" spans="1:15" x14ac:dyDescent="0.25">
      <c r="A19761" t="s">
        <v>19774</v>
      </c>
      <c r="B19761">
        <v>1190</v>
      </c>
      <c r="C19761" s="1" t="str">
        <f>HYPERLINK("http://www.rosaceae.org/gb/gbrowse/malus_x_domestica/?name=MDP0000184772","MDP0000184772")</f>
        <v>MDP0000184772</v>
      </c>
      <c r="D19761">
        <v>60.43</v>
      </c>
      <c r="E19761">
        <v>1064</v>
      </c>
      <c r="F19761">
        <v>421</v>
      </c>
      <c r="G19761">
        <v>155</v>
      </c>
      <c r="H19761">
        <v>120</v>
      </c>
      <c r="I19761">
        <v>1049</v>
      </c>
      <c r="J19761">
        <v>1</v>
      </c>
      <c r="K19761">
        <v>6</v>
      </c>
      <c r="L19761">
        <v>1048</v>
      </c>
      <c r="M19761">
        <v>1</v>
      </c>
      <c r="N19761">
        <v>0</v>
      </c>
      <c r="O19761">
        <v>3068</v>
      </c>
    </row>
    <row r="19762" spans="1:15" x14ac:dyDescent="0.25">
      <c r="A19762" t="s">
        <v>19775</v>
      </c>
      <c r="B19762">
        <v>277</v>
      </c>
      <c r="C19762" s="1" t="str">
        <f>HYPERLINK("http://www.rosaceae.org/gb/gbrowse/malus_x_domestica/?name=MDP0000298660","MDP0000298660")</f>
        <v>MDP0000298660</v>
      </c>
      <c r="D19762">
        <v>67.06</v>
      </c>
      <c r="E19762">
        <v>249</v>
      </c>
      <c r="F19762">
        <v>82</v>
      </c>
      <c r="G19762">
        <v>4</v>
      </c>
      <c r="H19762">
        <v>13</v>
      </c>
      <c r="I19762">
        <v>257</v>
      </c>
      <c r="J19762">
        <v>1</v>
      </c>
      <c r="K19762">
        <v>51</v>
      </c>
      <c r="L19762">
        <v>299</v>
      </c>
      <c r="M19762">
        <v>1</v>
      </c>
      <c r="N19762">
        <v>4.0063900000000001E-100</v>
      </c>
      <c r="O19762">
        <v>927</v>
      </c>
    </row>
    <row r="19763" spans="1:15" x14ac:dyDescent="0.25">
      <c r="A19763" t="s">
        <v>19776</v>
      </c>
      <c r="B19763">
        <v>194</v>
      </c>
      <c r="C19763" s="1" t="str">
        <f>HYPERLINK("http://www.rosaceae.org/gb/gbrowse/malus_x_domestica/?name=MDP0000119950","MDP0000119950")</f>
        <v>MDP0000119950</v>
      </c>
      <c r="D19763">
        <v>56.7</v>
      </c>
      <c r="E19763">
        <v>194</v>
      </c>
      <c r="F19763">
        <v>84</v>
      </c>
      <c r="G19763">
        <v>25</v>
      </c>
      <c r="H19763">
        <v>1</v>
      </c>
      <c r="I19763">
        <v>178</v>
      </c>
      <c r="J19763">
        <v>1</v>
      </c>
      <c r="K19763">
        <v>1</v>
      </c>
      <c r="L19763">
        <v>185</v>
      </c>
      <c r="M19763">
        <v>1</v>
      </c>
      <c r="N19763">
        <v>4.5910600000000002E-56</v>
      </c>
      <c r="O19763">
        <v>545</v>
      </c>
    </row>
    <row r="19764" spans="1:15" x14ac:dyDescent="0.25">
      <c r="A19764" t="s">
        <v>19777</v>
      </c>
      <c r="B19764">
        <v>137</v>
      </c>
      <c r="C19764" s="1" t="str">
        <f>HYPERLINK("http://www.rosaceae.org/gb/gbrowse/malus_x_domestica/?name=MDP0000139519","MDP0000139519")</f>
        <v>MDP0000139519</v>
      </c>
      <c r="D19764">
        <v>72.260000000000005</v>
      </c>
      <c r="E19764">
        <v>137</v>
      </c>
      <c r="F19764">
        <v>38</v>
      </c>
      <c r="G19764">
        <v>8</v>
      </c>
      <c r="H19764">
        <v>1</v>
      </c>
      <c r="I19764">
        <v>137</v>
      </c>
      <c r="J19764">
        <v>1</v>
      </c>
      <c r="K19764">
        <v>29</v>
      </c>
      <c r="L19764">
        <v>157</v>
      </c>
      <c r="M19764">
        <v>1</v>
      </c>
      <c r="N19764">
        <v>7.0175600000000005E-54</v>
      </c>
      <c r="O19764">
        <v>523</v>
      </c>
    </row>
    <row r="19765" spans="1:15" x14ac:dyDescent="0.25">
      <c r="A19765" t="s">
        <v>19778</v>
      </c>
      <c r="B19765">
        <v>1373</v>
      </c>
      <c r="C19765" s="1" t="str">
        <f>HYPERLINK("http://www.rosaceae.org/gb/gbrowse/malus_x_domestica/?name=MDP0000190369","MDP0000190369")</f>
        <v>MDP0000190369</v>
      </c>
      <c r="D19765">
        <v>67.87</v>
      </c>
      <c r="E19765">
        <v>1348</v>
      </c>
      <c r="F19765">
        <v>433</v>
      </c>
      <c r="G19765">
        <v>127</v>
      </c>
      <c r="H19765">
        <v>101</v>
      </c>
      <c r="I19765">
        <v>1373</v>
      </c>
      <c r="J19765">
        <v>1</v>
      </c>
      <c r="K19765">
        <v>14</v>
      </c>
      <c r="L19765">
        <v>1309</v>
      </c>
      <c r="M19765">
        <v>1</v>
      </c>
      <c r="N19765">
        <v>0</v>
      </c>
      <c r="O19765">
        <v>4570</v>
      </c>
    </row>
    <row r="19766" spans="1:15" x14ac:dyDescent="0.25">
      <c r="A19766" t="s">
        <v>19779</v>
      </c>
      <c r="B19766">
        <v>276</v>
      </c>
      <c r="C19766" s="1" t="str">
        <f>HYPERLINK("http://www.rosaceae.org/gb/gbrowse/malus_x_domestica/?name=MDP0000430391","MDP0000430391")</f>
        <v>MDP0000430391</v>
      </c>
      <c r="D19766">
        <v>73.66</v>
      </c>
      <c r="E19766">
        <v>281</v>
      </c>
      <c r="F19766">
        <v>74</v>
      </c>
      <c r="G19766">
        <v>7</v>
      </c>
      <c r="H19766">
        <v>1</v>
      </c>
      <c r="I19766">
        <v>275</v>
      </c>
      <c r="J19766">
        <v>1</v>
      </c>
      <c r="K19766">
        <v>1</v>
      </c>
      <c r="L19766">
        <v>280</v>
      </c>
      <c r="M19766">
        <v>1</v>
      </c>
      <c r="N19766">
        <v>3.2963E-120</v>
      </c>
      <c r="O19766">
        <v>1100</v>
      </c>
    </row>
    <row r="19767" spans="1:15" x14ac:dyDescent="0.25">
      <c r="A19767" t="s">
        <v>19780</v>
      </c>
      <c r="B19767">
        <v>741</v>
      </c>
      <c r="C19767" s="1" t="str">
        <f>HYPERLINK("http://www.rosaceae.org/gb/gbrowse/malus_x_domestica/?name=MDP0000217490","MDP0000217490")</f>
        <v>MDP0000217490</v>
      </c>
      <c r="D19767">
        <v>52.58</v>
      </c>
      <c r="E19767">
        <v>348</v>
      </c>
      <c r="F19767">
        <v>165</v>
      </c>
      <c r="G19767">
        <v>13</v>
      </c>
      <c r="H19767">
        <v>397</v>
      </c>
      <c r="I19767">
        <v>741</v>
      </c>
      <c r="J19767">
        <v>1</v>
      </c>
      <c r="K19767">
        <v>596</v>
      </c>
      <c r="L19767">
        <v>933</v>
      </c>
      <c r="M19767">
        <v>1</v>
      </c>
      <c r="N19767">
        <v>9.3416100000000002E-100</v>
      </c>
      <c r="O19767">
        <v>928</v>
      </c>
    </row>
    <row r="19768" spans="1:15" x14ac:dyDescent="0.25">
      <c r="A19768" t="s">
        <v>19781</v>
      </c>
      <c r="B19768">
        <v>392</v>
      </c>
      <c r="C19768" s="1" t="str">
        <f>HYPERLINK("http://www.rosaceae.org/gb/gbrowse/malus_x_domestica/?name=MDP0000166590","MDP0000166590")</f>
        <v>MDP0000166590</v>
      </c>
      <c r="D19768">
        <v>84.33</v>
      </c>
      <c r="E19768">
        <v>332</v>
      </c>
      <c r="F19768">
        <v>52</v>
      </c>
      <c r="G19768">
        <v>29</v>
      </c>
      <c r="H19768">
        <v>13</v>
      </c>
      <c r="I19768">
        <v>344</v>
      </c>
      <c r="J19768">
        <v>1</v>
      </c>
      <c r="K19768">
        <v>12</v>
      </c>
      <c r="L19768">
        <v>314</v>
      </c>
      <c r="M19768">
        <v>1</v>
      </c>
      <c r="N19768">
        <v>3.7124600000000002E-160</v>
      </c>
      <c r="O19768">
        <v>1447</v>
      </c>
    </row>
    <row r="19769" spans="1:15" x14ac:dyDescent="0.25">
      <c r="A19769" t="s">
        <v>19782</v>
      </c>
      <c r="B19769">
        <v>328</v>
      </c>
      <c r="C19769" s="1" t="str">
        <f>HYPERLINK("http://www.rosaceae.org/gb/gbrowse/malus_x_domestica/?name=MDP0000467244","MDP0000467244")</f>
        <v>MDP0000467244</v>
      </c>
      <c r="D19769">
        <v>42.56</v>
      </c>
      <c r="E19769">
        <v>296</v>
      </c>
      <c r="F19769">
        <v>170</v>
      </c>
      <c r="G19769">
        <v>37</v>
      </c>
      <c r="H19769">
        <v>52</v>
      </c>
      <c r="I19769">
        <v>328</v>
      </c>
      <c r="J19769">
        <v>1</v>
      </c>
      <c r="K19769">
        <v>49</v>
      </c>
      <c r="L19769">
        <v>326</v>
      </c>
      <c r="M19769">
        <v>1</v>
      </c>
      <c r="N19769">
        <v>7.3320999999999995E-50</v>
      </c>
      <c r="O19769">
        <v>494</v>
      </c>
    </row>
    <row r="19770" spans="1:15" x14ac:dyDescent="0.25">
      <c r="A19770" t="s">
        <v>19783</v>
      </c>
      <c r="B19770">
        <v>343</v>
      </c>
      <c r="C19770" s="1" t="str">
        <f>HYPERLINK("http://www.rosaceae.org/gb/gbrowse/malus_x_domestica/?name=MDP0000278216","MDP0000278216")</f>
        <v>MDP0000278216</v>
      </c>
      <c r="D19770">
        <v>76.53</v>
      </c>
      <c r="E19770">
        <v>358</v>
      </c>
      <c r="F19770">
        <v>84</v>
      </c>
      <c r="G19770">
        <v>24</v>
      </c>
      <c r="H19770">
        <v>1</v>
      </c>
      <c r="I19770">
        <v>341</v>
      </c>
      <c r="J19770">
        <v>1</v>
      </c>
      <c r="K19770">
        <v>1</v>
      </c>
      <c r="L19770">
        <v>351</v>
      </c>
      <c r="M19770">
        <v>1</v>
      </c>
      <c r="N19770">
        <v>1.893E-138</v>
      </c>
      <c r="O19770">
        <v>1259</v>
      </c>
    </row>
    <row r="19771" spans="1:15" x14ac:dyDescent="0.25">
      <c r="A19771" t="s">
        <v>19784</v>
      </c>
      <c r="B19771">
        <v>349</v>
      </c>
      <c r="C19771" s="1" t="str">
        <f>HYPERLINK("http://www.rosaceae.org/gb/gbrowse/malus_x_domestica/?name=MDP0000942272","MDP0000942272")</f>
        <v>MDP0000942272</v>
      </c>
      <c r="D19771">
        <v>65.209999999999994</v>
      </c>
      <c r="E19771">
        <v>345</v>
      </c>
      <c r="F19771">
        <v>120</v>
      </c>
      <c r="G19771">
        <v>14</v>
      </c>
      <c r="H19771">
        <v>5</v>
      </c>
      <c r="I19771">
        <v>349</v>
      </c>
      <c r="J19771">
        <v>1</v>
      </c>
      <c r="K19771">
        <v>1</v>
      </c>
      <c r="L19771">
        <v>331</v>
      </c>
      <c r="M19771">
        <v>1</v>
      </c>
      <c r="N19771">
        <v>1.3061599999999999E-122</v>
      </c>
      <c r="O19771">
        <v>1122</v>
      </c>
    </row>
    <row r="19772" spans="1:15" x14ac:dyDescent="0.25">
      <c r="A19772" t="s">
        <v>19785</v>
      </c>
      <c r="B19772">
        <v>461</v>
      </c>
      <c r="C19772" s="1" t="str">
        <f>HYPERLINK("http://www.rosaceae.org/gb/gbrowse/malus_x_domestica/?name=MDP0000518482","MDP0000518482")</f>
        <v>MDP0000518482</v>
      </c>
      <c r="D19772">
        <v>62.58</v>
      </c>
      <c r="E19772">
        <v>457</v>
      </c>
      <c r="F19772">
        <v>171</v>
      </c>
      <c r="G19772">
        <v>16</v>
      </c>
      <c r="H19772">
        <v>1</v>
      </c>
      <c r="I19772">
        <v>448</v>
      </c>
      <c r="J19772">
        <v>1</v>
      </c>
      <c r="K19772">
        <v>389</v>
      </c>
      <c r="L19772">
        <v>838</v>
      </c>
      <c r="M19772">
        <v>1</v>
      </c>
      <c r="N19772">
        <v>4.4606100000000002E-167</v>
      </c>
      <c r="O19772">
        <v>1507</v>
      </c>
    </row>
    <row r="19773" spans="1:15" x14ac:dyDescent="0.25">
      <c r="A19773" t="s">
        <v>19786</v>
      </c>
      <c r="B19773">
        <v>231</v>
      </c>
      <c r="C19773" s="1" t="str">
        <f>HYPERLINK("http://www.rosaceae.org/gb/gbrowse/malus_x_domestica/?name=MDP0000346219","MDP0000346219")</f>
        <v>MDP0000346219</v>
      </c>
      <c r="D19773">
        <v>89.42</v>
      </c>
      <c r="E19773">
        <v>208</v>
      </c>
      <c r="F19773">
        <v>22</v>
      </c>
      <c r="G19773">
        <v>0</v>
      </c>
      <c r="H19773">
        <v>24</v>
      </c>
      <c r="I19773">
        <v>231</v>
      </c>
      <c r="J19773">
        <v>1</v>
      </c>
      <c r="K19773">
        <v>82</v>
      </c>
      <c r="L19773">
        <v>289</v>
      </c>
      <c r="M19773">
        <v>1</v>
      </c>
      <c r="N19773">
        <v>4.5379999999999998E-107</v>
      </c>
      <c r="O19773">
        <v>986</v>
      </c>
    </row>
    <row r="19774" spans="1:15" x14ac:dyDescent="0.25">
      <c r="A19774" t="s">
        <v>19787</v>
      </c>
      <c r="B19774">
        <v>302</v>
      </c>
      <c r="C19774" s="1" t="str">
        <f>HYPERLINK("http://www.rosaceae.org/gb/gbrowse/malus_x_domestica/?name=MDP0000620745","MDP0000620745")</f>
        <v>MDP0000620745</v>
      </c>
      <c r="D19774">
        <v>46.99</v>
      </c>
      <c r="E19774">
        <v>183</v>
      </c>
      <c r="F19774">
        <v>97</v>
      </c>
      <c r="G19774">
        <v>9</v>
      </c>
      <c r="H19774">
        <v>10</v>
      </c>
      <c r="I19774">
        <v>184</v>
      </c>
      <c r="J19774">
        <v>1</v>
      </c>
      <c r="K19774">
        <v>10</v>
      </c>
      <c r="L19774">
        <v>191</v>
      </c>
      <c r="M19774">
        <v>1</v>
      </c>
      <c r="N19774">
        <v>2.9493E-33</v>
      </c>
      <c r="O19774">
        <v>351</v>
      </c>
    </row>
    <row r="19775" spans="1:15" x14ac:dyDescent="0.25">
      <c r="A19775" t="s">
        <v>19788</v>
      </c>
      <c r="B19775">
        <v>541</v>
      </c>
      <c r="C19775" s="1" t="str">
        <f>HYPERLINK("http://www.rosaceae.org/gb/gbrowse/malus_x_domestica/?name=MDP0000168683","MDP0000168683")</f>
        <v>MDP0000168683</v>
      </c>
      <c r="D19775">
        <v>79.25</v>
      </c>
      <c r="E19775">
        <v>564</v>
      </c>
      <c r="F19775">
        <v>117</v>
      </c>
      <c r="G19775">
        <v>27</v>
      </c>
      <c r="H19775">
        <v>1</v>
      </c>
      <c r="I19775">
        <v>541</v>
      </c>
      <c r="J19775">
        <v>1</v>
      </c>
      <c r="K19775">
        <v>1</v>
      </c>
      <c r="L19775">
        <v>560</v>
      </c>
      <c r="M19775">
        <v>1</v>
      </c>
      <c r="N19775">
        <v>0</v>
      </c>
      <c r="O19775">
        <v>2323</v>
      </c>
    </row>
    <row r="19776" spans="1:15" x14ac:dyDescent="0.25">
      <c r="A19776" t="s">
        <v>19789</v>
      </c>
      <c r="B19776">
        <v>226</v>
      </c>
      <c r="C19776" s="1" t="str">
        <f>HYPERLINK("http://www.rosaceae.org/gb/gbrowse/malus_x_domestica/?name=MDP0000176219","MDP0000176219")</f>
        <v>MDP0000176219</v>
      </c>
      <c r="D19776">
        <v>77.14</v>
      </c>
      <c r="E19776">
        <v>210</v>
      </c>
      <c r="F19776">
        <v>48</v>
      </c>
      <c r="G19776">
        <v>0</v>
      </c>
      <c r="H19776">
        <v>1</v>
      </c>
      <c r="I19776">
        <v>210</v>
      </c>
      <c r="J19776">
        <v>1</v>
      </c>
      <c r="K19776">
        <v>215</v>
      </c>
      <c r="L19776">
        <v>424</v>
      </c>
      <c r="M19776">
        <v>1</v>
      </c>
      <c r="N19776">
        <v>5.3081599999999998E-94</v>
      </c>
      <c r="O19776">
        <v>873</v>
      </c>
    </row>
    <row r="19777" spans="1:15" x14ac:dyDescent="0.25">
      <c r="A19777" t="s">
        <v>19790</v>
      </c>
      <c r="B19777">
        <v>598</v>
      </c>
      <c r="C19777" s="1" t="str">
        <f>HYPERLINK("http://www.rosaceae.org/gb/gbrowse/malus_x_domestica/?name=MDP0000275781","MDP0000275781")</f>
        <v>MDP0000275781</v>
      </c>
      <c r="D19777">
        <v>72.89</v>
      </c>
      <c r="E19777">
        <v>273</v>
      </c>
      <c r="F19777">
        <v>74</v>
      </c>
      <c r="G19777">
        <v>0</v>
      </c>
      <c r="H19777">
        <v>79</v>
      </c>
      <c r="I19777">
        <v>351</v>
      </c>
      <c r="J19777">
        <v>1</v>
      </c>
      <c r="K19777">
        <v>1</v>
      </c>
      <c r="L19777">
        <v>273</v>
      </c>
      <c r="M19777">
        <v>1</v>
      </c>
      <c r="N19777">
        <v>2.1664700000000001E-120</v>
      </c>
      <c r="O19777">
        <v>1106</v>
      </c>
    </row>
    <row r="19778" spans="1:15" x14ac:dyDescent="0.25">
      <c r="A19778" t="s">
        <v>19791</v>
      </c>
      <c r="B19778">
        <v>446</v>
      </c>
      <c r="C19778" s="1" t="str">
        <f>HYPERLINK("http://www.rosaceae.org/gb/gbrowse/malus_x_domestica/?name=MDP0000193964","MDP0000193964")</f>
        <v>MDP0000193964</v>
      </c>
      <c r="D19778">
        <v>72.84</v>
      </c>
      <c r="E19778">
        <v>464</v>
      </c>
      <c r="F19778">
        <v>126</v>
      </c>
      <c r="G19778">
        <v>25</v>
      </c>
      <c r="H19778">
        <v>4</v>
      </c>
      <c r="I19778">
        <v>445</v>
      </c>
      <c r="J19778">
        <v>1</v>
      </c>
      <c r="K19778">
        <v>1016</v>
      </c>
      <c r="L19778">
        <v>1476</v>
      </c>
      <c r="M19778">
        <v>1</v>
      </c>
      <c r="N19778">
        <v>0</v>
      </c>
      <c r="O19778">
        <v>1739</v>
      </c>
    </row>
    <row r="19779" spans="1:15" x14ac:dyDescent="0.25">
      <c r="A19779" t="s">
        <v>19792</v>
      </c>
      <c r="B19779">
        <v>219</v>
      </c>
      <c r="C19779" s="1" t="str">
        <f>HYPERLINK("http://www.rosaceae.org/gb/gbrowse/malus_x_domestica/?name=MDP0000768787","MDP0000768787")</f>
        <v>MDP0000768787</v>
      </c>
      <c r="D19779">
        <v>55.7</v>
      </c>
      <c r="E19779">
        <v>219</v>
      </c>
      <c r="F19779">
        <v>97</v>
      </c>
      <c r="G19779">
        <v>43</v>
      </c>
      <c r="H19779">
        <v>1</v>
      </c>
      <c r="I19779">
        <v>219</v>
      </c>
      <c r="J19779">
        <v>1</v>
      </c>
      <c r="K19779">
        <v>128</v>
      </c>
      <c r="L19779">
        <v>303</v>
      </c>
      <c r="M19779">
        <v>1</v>
      </c>
      <c r="N19779">
        <v>4.0918000000000004E-59</v>
      </c>
      <c r="O19779">
        <v>572</v>
      </c>
    </row>
    <row r="19780" spans="1:15" x14ac:dyDescent="0.25">
      <c r="A19780" t="s">
        <v>19793</v>
      </c>
      <c r="B19780">
        <v>1012</v>
      </c>
      <c r="C19780" s="1" t="str">
        <f>HYPERLINK("http://www.rosaceae.org/gb/gbrowse/malus_x_domestica/?name=MDP0000220893","MDP0000220893")</f>
        <v>MDP0000220893</v>
      </c>
      <c r="D19780">
        <v>73.680000000000007</v>
      </c>
      <c r="E19780">
        <v>1007</v>
      </c>
      <c r="F19780">
        <v>265</v>
      </c>
      <c r="G19780">
        <v>54</v>
      </c>
      <c r="H19780">
        <v>55</v>
      </c>
      <c r="I19780">
        <v>1012</v>
      </c>
      <c r="J19780">
        <v>1</v>
      </c>
      <c r="K19780">
        <v>1</v>
      </c>
      <c r="L19780">
        <v>1002</v>
      </c>
      <c r="M19780">
        <v>1</v>
      </c>
      <c r="N19780">
        <v>0</v>
      </c>
      <c r="O19780">
        <v>3828</v>
      </c>
    </row>
    <row r="19781" spans="1:15" x14ac:dyDescent="0.25">
      <c r="A19781" t="s">
        <v>19794</v>
      </c>
      <c r="B19781">
        <v>419</v>
      </c>
      <c r="C19781" s="1" t="str">
        <f>HYPERLINK("http://www.rosaceae.org/gb/gbrowse/malus_x_domestica/?name=MDP0000266144","MDP0000266144")</f>
        <v>MDP0000266144</v>
      </c>
      <c r="D19781">
        <v>80.180000000000007</v>
      </c>
      <c r="E19781">
        <v>424</v>
      </c>
      <c r="F19781">
        <v>84</v>
      </c>
      <c r="G19781">
        <v>13</v>
      </c>
      <c r="H19781">
        <v>1</v>
      </c>
      <c r="I19781">
        <v>413</v>
      </c>
      <c r="J19781">
        <v>1</v>
      </c>
      <c r="K19781">
        <v>1</v>
      </c>
      <c r="L19781">
        <v>422</v>
      </c>
      <c r="M19781">
        <v>1</v>
      </c>
      <c r="N19781">
        <v>0</v>
      </c>
      <c r="O19781">
        <v>1789</v>
      </c>
    </row>
    <row r="19782" spans="1:15" x14ac:dyDescent="0.25">
      <c r="A19782" t="s">
        <v>19795</v>
      </c>
      <c r="B19782">
        <v>1046</v>
      </c>
      <c r="C19782" s="1" t="str">
        <f>HYPERLINK("http://www.rosaceae.org/gb/gbrowse/malus_x_domestica/?name=MDP0000136639","MDP0000136639")</f>
        <v>MDP0000136639</v>
      </c>
      <c r="D19782">
        <v>63.32</v>
      </c>
      <c r="E19782">
        <v>1118</v>
      </c>
      <c r="F19782">
        <v>410</v>
      </c>
      <c r="G19782">
        <v>123</v>
      </c>
      <c r="H19782">
        <v>1</v>
      </c>
      <c r="I19782">
        <v>1041</v>
      </c>
      <c r="J19782">
        <v>1</v>
      </c>
      <c r="K19782">
        <v>1</v>
      </c>
      <c r="L19782">
        <v>1072</v>
      </c>
      <c r="M19782">
        <v>1</v>
      </c>
      <c r="N19782">
        <v>0</v>
      </c>
      <c r="O19782">
        <v>3442</v>
      </c>
    </row>
    <row r="19783" spans="1:15" x14ac:dyDescent="0.25">
      <c r="A19783" t="s">
        <v>19796</v>
      </c>
      <c r="B19783">
        <v>317</v>
      </c>
      <c r="C19783" s="1" t="str">
        <f>HYPERLINK("http://www.rosaceae.org/gb/gbrowse/malus_x_domestica/?name=MDP0000587648","MDP0000587648")</f>
        <v>MDP0000587648</v>
      </c>
      <c r="D19783">
        <v>57.3</v>
      </c>
      <c r="E19783">
        <v>349</v>
      </c>
      <c r="F19783">
        <v>149</v>
      </c>
      <c r="G19783">
        <v>59</v>
      </c>
      <c r="H19783">
        <v>1</v>
      </c>
      <c r="I19783">
        <v>317</v>
      </c>
      <c r="J19783">
        <v>1</v>
      </c>
      <c r="K19783">
        <v>1</v>
      </c>
      <c r="L19783">
        <v>322</v>
      </c>
      <c r="M19783">
        <v>1</v>
      </c>
      <c r="N19783">
        <v>2.9156500000000001E-93</v>
      </c>
      <c r="O19783">
        <v>869</v>
      </c>
    </row>
    <row r="19784" spans="1:15" x14ac:dyDescent="0.25">
      <c r="A19784" t="s">
        <v>19797</v>
      </c>
      <c r="B19784">
        <v>254</v>
      </c>
      <c r="C19784" s="1" t="str">
        <f>HYPERLINK("http://www.rosaceae.org/gb/gbrowse/malus_x_domestica/?name=MDP0000201061","MDP0000201061")</f>
        <v>MDP0000201061</v>
      </c>
      <c r="D19784">
        <v>40.71</v>
      </c>
      <c r="E19784">
        <v>253</v>
      </c>
      <c r="F19784">
        <v>150</v>
      </c>
      <c r="G19784">
        <v>52</v>
      </c>
      <c r="H19784">
        <v>1</v>
      </c>
      <c r="I19784">
        <v>251</v>
      </c>
      <c r="J19784">
        <v>1</v>
      </c>
      <c r="K19784">
        <v>1</v>
      </c>
      <c r="L19784">
        <v>203</v>
      </c>
      <c r="M19784">
        <v>1</v>
      </c>
      <c r="N19784">
        <v>1.5287300000000001E-37</v>
      </c>
      <c r="O19784">
        <v>387</v>
      </c>
    </row>
    <row r="19785" spans="1:15" x14ac:dyDescent="0.25">
      <c r="A19785" t="s">
        <v>19798</v>
      </c>
      <c r="B19785">
        <v>429</v>
      </c>
      <c r="C19785" s="1" t="str">
        <f>HYPERLINK("http://www.rosaceae.org/gb/gbrowse/malus_x_domestica/?name=MDP0000411834","MDP0000411834")</f>
        <v>MDP0000411834</v>
      </c>
      <c r="D19785">
        <v>77.44</v>
      </c>
      <c r="E19785">
        <v>430</v>
      </c>
      <c r="F19785">
        <v>97</v>
      </c>
      <c r="G19785">
        <v>2</v>
      </c>
      <c r="H19785">
        <v>1</v>
      </c>
      <c r="I19785">
        <v>429</v>
      </c>
      <c r="J19785">
        <v>1</v>
      </c>
      <c r="K19785">
        <v>1</v>
      </c>
      <c r="L19785">
        <v>429</v>
      </c>
      <c r="M19785">
        <v>1</v>
      </c>
      <c r="N19785">
        <v>0</v>
      </c>
      <c r="O19785">
        <v>1780</v>
      </c>
    </row>
    <row r="19786" spans="1:15" x14ac:dyDescent="0.25">
      <c r="A19786" t="s">
        <v>19799</v>
      </c>
      <c r="B19786">
        <v>316</v>
      </c>
      <c r="C19786" s="1" t="str">
        <f>HYPERLINK("http://www.rosaceae.org/gb/gbrowse/malus_x_domestica/?name=MDP0000640146","MDP0000640146")</f>
        <v>MDP0000640146</v>
      </c>
      <c r="D19786">
        <v>57.56</v>
      </c>
      <c r="E19786">
        <v>304</v>
      </c>
      <c r="F19786">
        <v>129</v>
      </c>
      <c r="G19786">
        <v>8</v>
      </c>
      <c r="H19786">
        <v>2</v>
      </c>
      <c r="I19786">
        <v>304</v>
      </c>
      <c r="J19786">
        <v>1</v>
      </c>
      <c r="K19786">
        <v>4</v>
      </c>
      <c r="L19786">
        <v>300</v>
      </c>
      <c r="M19786">
        <v>1</v>
      </c>
      <c r="N19786">
        <v>1.10501E-85</v>
      </c>
      <c r="O19786">
        <v>803</v>
      </c>
    </row>
    <row r="19787" spans="1:15" x14ac:dyDescent="0.25">
      <c r="A19787" t="s">
        <v>19800</v>
      </c>
      <c r="B19787">
        <v>298</v>
      </c>
      <c r="C19787" s="1" t="str">
        <f>HYPERLINK("http://www.rosaceae.org/gb/gbrowse/malus_x_domestica/?name=MDP0000696497","MDP0000696497")</f>
        <v>MDP0000696497</v>
      </c>
      <c r="D19787">
        <v>56.5</v>
      </c>
      <c r="E19787">
        <v>269</v>
      </c>
      <c r="F19787">
        <v>117</v>
      </c>
      <c r="G19787">
        <v>16</v>
      </c>
      <c r="H19787">
        <v>1</v>
      </c>
      <c r="I19787">
        <v>269</v>
      </c>
      <c r="J19787">
        <v>1</v>
      </c>
      <c r="K19787">
        <v>1</v>
      </c>
      <c r="L19787">
        <v>253</v>
      </c>
      <c r="M19787">
        <v>1</v>
      </c>
      <c r="N19787">
        <v>2.7763999999999997E-85</v>
      </c>
      <c r="O19787">
        <v>799</v>
      </c>
    </row>
    <row r="19788" spans="1:15" x14ac:dyDescent="0.25">
      <c r="A19788" t="s">
        <v>19801</v>
      </c>
      <c r="B19788">
        <v>175</v>
      </c>
      <c r="C19788" s="1" t="str">
        <f>HYPERLINK("http://www.rosaceae.org/gb/gbrowse/malus_x_domestica/?name=MDP0000308193","MDP0000308193")</f>
        <v>MDP0000308193</v>
      </c>
      <c r="D19788">
        <v>91.58</v>
      </c>
      <c r="E19788">
        <v>107</v>
      </c>
      <c r="F19788">
        <v>9</v>
      </c>
      <c r="G19788">
        <v>0</v>
      </c>
      <c r="H19788">
        <v>69</v>
      </c>
      <c r="I19788">
        <v>175</v>
      </c>
      <c r="J19788">
        <v>1</v>
      </c>
      <c r="K19788">
        <v>127</v>
      </c>
      <c r="L19788">
        <v>233</v>
      </c>
      <c r="M19788">
        <v>1</v>
      </c>
      <c r="N19788">
        <v>3.9111199999999998E-48</v>
      </c>
      <c r="O19788">
        <v>476</v>
      </c>
    </row>
    <row r="19789" spans="1:15" x14ac:dyDescent="0.25">
      <c r="A19789" t="s">
        <v>19802</v>
      </c>
      <c r="B19789">
        <v>616</v>
      </c>
      <c r="C19789" s="1" t="str">
        <f>HYPERLINK("http://www.rosaceae.org/gb/gbrowse/malus_x_domestica/?name=MDP0000405936","MDP0000405936")</f>
        <v>MDP0000405936</v>
      </c>
      <c r="D19789">
        <v>40.86</v>
      </c>
      <c r="E19789">
        <v>465</v>
      </c>
      <c r="F19789">
        <v>275</v>
      </c>
      <c r="G19789">
        <v>24</v>
      </c>
      <c r="H19789">
        <v>165</v>
      </c>
      <c r="I19789">
        <v>614</v>
      </c>
      <c r="J19789">
        <v>1</v>
      </c>
      <c r="K19789">
        <v>21</v>
      </c>
      <c r="L19789">
        <v>476</v>
      </c>
      <c r="M19789">
        <v>1</v>
      </c>
      <c r="N19789">
        <v>1.27593E-85</v>
      </c>
      <c r="O19789">
        <v>806</v>
      </c>
    </row>
    <row r="19790" spans="1:15" x14ac:dyDescent="0.25">
      <c r="A19790" t="s">
        <v>19803</v>
      </c>
      <c r="B19790">
        <v>136</v>
      </c>
      <c r="C19790" s="1" t="str">
        <f>HYPERLINK("http://www.rosaceae.org/gb/gbrowse/malus_x_domestica/?name=MDP0000250294","MDP0000250294")</f>
        <v>MDP0000250294</v>
      </c>
      <c r="D19790">
        <v>80.67</v>
      </c>
      <c r="E19790">
        <v>119</v>
      </c>
      <c r="F19790">
        <v>23</v>
      </c>
      <c r="G19790">
        <v>0</v>
      </c>
      <c r="H19790">
        <v>1</v>
      </c>
      <c r="I19790">
        <v>119</v>
      </c>
      <c r="J19790">
        <v>1</v>
      </c>
      <c r="K19790">
        <v>105</v>
      </c>
      <c r="L19790">
        <v>223</v>
      </c>
      <c r="M19790">
        <v>1</v>
      </c>
      <c r="N19790">
        <v>2.41878E-53</v>
      </c>
      <c r="O19790">
        <v>519</v>
      </c>
    </row>
    <row r="19791" spans="1:15" x14ac:dyDescent="0.25">
      <c r="A19791" t="s">
        <v>19804</v>
      </c>
      <c r="B19791">
        <v>615</v>
      </c>
      <c r="C19791" s="1" t="str">
        <f>HYPERLINK("http://www.rosaceae.org/gb/gbrowse/malus_x_domestica/?name=MDP0000809218","MDP0000809218")</f>
        <v>MDP0000809218</v>
      </c>
      <c r="D19791">
        <v>81.86</v>
      </c>
      <c r="E19791">
        <v>601</v>
      </c>
      <c r="F19791">
        <v>109</v>
      </c>
      <c r="G19791">
        <v>13</v>
      </c>
      <c r="H19791">
        <v>28</v>
      </c>
      <c r="I19791">
        <v>615</v>
      </c>
      <c r="J19791">
        <v>1</v>
      </c>
      <c r="K19791">
        <v>35</v>
      </c>
      <c r="L19791">
        <v>635</v>
      </c>
      <c r="M19791">
        <v>1</v>
      </c>
      <c r="N19791">
        <v>0</v>
      </c>
      <c r="O19791">
        <v>2606</v>
      </c>
    </row>
    <row r="19792" spans="1:15" x14ac:dyDescent="0.25">
      <c r="A19792" t="s">
        <v>19805</v>
      </c>
      <c r="B19792">
        <v>352</v>
      </c>
      <c r="C19792" s="1" t="str">
        <f>HYPERLINK("http://www.rosaceae.org/gb/gbrowse/malus_x_domestica/?name=MDP0000611302","MDP0000611302")</f>
        <v>MDP0000611302</v>
      </c>
      <c r="D19792">
        <v>38.090000000000003</v>
      </c>
      <c r="E19792">
        <v>84</v>
      </c>
      <c r="F19792">
        <v>52</v>
      </c>
      <c r="G19792">
        <v>3</v>
      </c>
      <c r="H19792">
        <v>253</v>
      </c>
      <c r="I19792">
        <v>336</v>
      </c>
      <c r="J19792">
        <v>1</v>
      </c>
      <c r="K19792">
        <v>15</v>
      </c>
      <c r="L19792">
        <v>95</v>
      </c>
      <c r="M19792">
        <v>1</v>
      </c>
      <c r="N19792">
        <v>5.8819599999999996E-10</v>
      </c>
      <c r="O19792">
        <v>151</v>
      </c>
    </row>
    <row r="19793" spans="1:15" x14ac:dyDescent="0.25">
      <c r="A19793" t="s">
        <v>19806</v>
      </c>
      <c r="B19793">
        <v>383</v>
      </c>
      <c r="C19793" s="1" t="str">
        <f>HYPERLINK("http://www.rosaceae.org/gb/gbrowse/malus_x_domestica/?name=MDP0000264959","MDP0000264959")</f>
        <v>MDP0000264959</v>
      </c>
      <c r="D19793">
        <v>48.16</v>
      </c>
      <c r="E19793">
        <v>409</v>
      </c>
      <c r="F19793">
        <v>212</v>
      </c>
      <c r="G19793">
        <v>41</v>
      </c>
      <c r="H19793">
        <v>2</v>
      </c>
      <c r="I19793">
        <v>375</v>
      </c>
      <c r="J19793">
        <v>1</v>
      </c>
      <c r="K19793">
        <v>3</v>
      </c>
      <c r="L19793">
        <v>405</v>
      </c>
      <c r="M19793">
        <v>1</v>
      </c>
      <c r="N19793">
        <v>4.9512099999999997E-93</v>
      </c>
      <c r="O19793">
        <v>868</v>
      </c>
    </row>
    <row r="19794" spans="1:15" x14ac:dyDescent="0.25">
      <c r="A19794" t="s">
        <v>19807</v>
      </c>
      <c r="B19794">
        <v>514</v>
      </c>
      <c r="C19794" s="1" t="str">
        <f>HYPERLINK("http://www.rosaceae.org/gb/gbrowse/malus_x_domestica/?name=MDP0000734600","MDP0000734600")</f>
        <v>MDP0000734600</v>
      </c>
      <c r="D19794">
        <v>48.29</v>
      </c>
      <c r="E19794">
        <v>499</v>
      </c>
      <c r="F19794">
        <v>258</v>
      </c>
      <c r="G19794">
        <v>32</v>
      </c>
      <c r="H19794">
        <v>34</v>
      </c>
      <c r="I19794">
        <v>512</v>
      </c>
      <c r="J19794">
        <v>1</v>
      </c>
      <c r="K19794">
        <v>47</v>
      </c>
      <c r="L19794">
        <v>533</v>
      </c>
      <c r="M19794">
        <v>1</v>
      </c>
      <c r="N19794">
        <v>4.1444700000000002E-132</v>
      </c>
      <c r="O19794">
        <v>1206</v>
      </c>
    </row>
    <row r="19795" spans="1:15" x14ac:dyDescent="0.25">
      <c r="A19795" t="s">
        <v>19808</v>
      </c>
      <c r="B19795">
        <v>510</v>
      </c>
      <c r="C19795" s="1" t="str">
        <f>HYPERLINK("http://www.rosaceae.org/gb/gbrowse/malus_x_domestica/?name=MDP0000322696","MDP0000322696")</f>
        <v>MDP0000322696</v>
      </c>
      <c r="D19795">
        <v>59.13</v>
      </c>
      <c r="E19795">
        <v>487</v>
      </c>
      <c r="F19795">
        <v>199</v>
      </c>
      <c r="G19795">
        <v>27</v>
      </c>
      <c r="H19795">
        <v>32</v>
      </c>
      <c r="I19795">
        <v>510</v>
      </c>
      <c r="J19795">
        <v>1</v>
      </c>
      <c r="K19795">
        <v>60</v>
      </c>
      <c r="L19795">
        <v>527</v>
      </c>
      <c r="M19795">
        <v>1</v>
      </c>
      <c r="N19795">
        <v>6.2330699999999997E-158</v>
      </c>
      <c r="O19795">
        <v>1429</v>
      </c>
    </row>
    <row r="19796" spans="1:15" x14ac:dyDescent="0.25">
      <c r="A19796" t="s">
        <v>19809</v>
      </c>
      <c r="B19796">
        <v>483</v>
      </c>
      <c r="C19796" s="1" t="str">
        <f>HYPERLINK("http://www.rosaceae.org/gb/gbrowse/malus_x_domestica/?name=MDP0000815435","MDP0000815435")</f>
        <v>MDP0000815435</v>
      </c>
      <c r="D19796">
        <v>77.819999999999993</v>
      </c>
      <c r="E19796">
        <v>496</v>
      </c>
      <c r="F19796">
        <v>110</v>
      </c>
      <c r="G19796">
        <v>15</v>
      </c>
      <c r="H19796">
        <v>1</v>
      </c>
      <c r="I19796">
        <v>482</v>
      </c>
      <c r="J19796">
        <v>1</v>
      </c>
      <c r="K19796">
        <v>1</v>
      </c>
      <c r="L19796">
        <v>495</v>
      </c>
      <c r="M19796">
        <v>1</v>
      </c>
      <c r="N19796">
        <v>0</v>
      </c>
      <c r="O19796">
        <v>1979</v>
      </c>
    </row>
    <row r="19797" spans="1:15" x14ac:dyDescent="0.25">
      <c r="A19797" t="s">
        <v>19810</v>
      </c>
      <c r="B19797">
        <v>113</v>
      </c>
      <c r="C19797" s="1" t="str">
        <f>HYPERLINK("http://www.rosaceae.org/gb/gbrowse/malus_x_domestica/?name=MDP0000729313","MDP0000729313")</f>
        <v>MDP0000729313</v>
      </c>
      <c r="D19797">
        <v>46.29</v>
      </c>
      <c r="E19797">
        <v>108</v>
      </c>
      <c r="F19797">
        <v>58</v>
      </c>
      <c r="G19797">
        <v>5</v>
      </c>
      <c r="H19797">
        <v>7</v>
      </c>
      <c r="I19797">
        <v>109</v>
      </c>
      <c r="J19797">
        <v>1</v>
      </c>
      <c r="K19797">
        <v>6</v>
      </c>
      <c r="L19797">
        <v>113</v>
      </c>
      <c r="M19797">
        <v>1</v>
      </c>
      <c r="N19797">
        <v>3.1212100000000002E-21</v>
      </c>
      <c r="O19797">
        <v>241</v>
      </c>
    </row>
    <row r="19798" spans="1:15" x14ac:dyDescent="0.25">
      <c r="A19798" t="s">
        <v>19811</v>
      </c>
      <c r="B19798">
        <v>107</v>
      </c>
      <c r="C19798" s="1" t="str">
        <f>HYPERLINK("http://www.rosaceae.org/gb/gbrowse/malus_x_domestica/?name=MDP0000287649","MDP0000287649")</f>
        <v>MDP0000287649</v>
      </c>
      <c r="D19798">
        <v>33</v>
      </c>
      <c r="E19798">
        <v>103</v>
      </c>
      <c r="F19798">
        <v>69</v>
      </c>
      <c r="G19798">
        <v>3</v>
      </c>
      <c r="H19798">
        <v>4</v>
      </c>
      <c r="I19798">
        <v>105</v>
      </c>
      <c r="J19798">
        <v>1</v>
      </c>
      <c r="K19798">
        <v>65</v>
      </c>
      <c r="L19798">
        <v>165</v>
      </c>
      <c r="M19798">
        <v>1</v>
      </c>
      <c r="N19798">
        <v>1.9353599999999999E-7</v>
      </c>
      <c r="O19798">
        <v>122</v>
      </c>
    </row>
    <row r="19799" spans="1:15" x14ac:dyDescent="0.25">
      <c r="A19799" t="s">
        <v>19812</v>
      </c>
      <c r="B19799">
        <v>769</v>
      </c>
      <c r="C19799" s="1" t="str">
        <f>HYPERLINK("http://www.rosaceae.org/gb/gbrowse/malus_x_domestica/?name=MDP0000265796","MDP0000265796")</f>
        <v>MDP0000265796</v>
      </c>
      <c r="D19799">
        <v>83.14</v>
      </c>
      <c r="E19799">
        <v>617</v>
      </c>
      <c r="F19799">
        <v>104</v>
      </c>
      <c r="G19799">
        <v>0</v>
      </c>
      <c r="H19799">
        <v>92</v>
      </c>
      <c r="I19799">
        <v>708</v>
      </c>
      <c r="J19799">
        <v>1</v>
      </c>
      <c r="K19799">
        <v>1</v>
      </c>
      <c r="L19799">
        <v>617</v>
      </c>
      <c r="M19799">
        <v>1</v>
      </c>
      <c r="N19799">
        <v>0</v>
      </c>
      <c r="O19799">
        <v>2712</v>
      </c>
    </row>
    <row r="19800" spans="1:15" x14ac:dyDescent="0.25">
      <c r="A19800" t="s">
        <v>19813</v>
      </c>
      <c r="B19800">
        <v>273</v>
      </c>
      <c r="C19800" s="1" t="str">
        <f>HYPERLINK("http://www.rosaceae.org/gb/gbrowse/malus_x_domestica/?name=MDP0000221637","MDP0000221637")</f>
        <v>MDP0000221637</v>
      </c>
      <c r="D19800">
        <v>62.45</v>
      </c>
      <c r="E19800">
        <v>277</v>
      </c>
      <c r="F19800">
        <v>104</v>
      </c>
      <c r="G19800">
        <v>19</v>
      </c>
      <c r="H19800">
        <v>1</v>
      </c>
      <c r="I19800">
        <v>272</v>
      </c>
      <c r="J19800">
        <v>1</v>
      </c>
      <c r="K19800">
        <v>1</v>
      </c>
      <c r="L19800">
        <v>263</v>
      </c>
      <c r="M19800">
        <v>1</v>
      </c>
      <c r="N19800">
        <v>4.6033299999999999E-88</v>
      </c>
      <c r="O19800">
        <v>823</v>
      </c>
    </row>
    <row r="19801" spans="1:15" x14ac:dyDescent="0.25">
      <c r="A19801" t="s">
        <v>19814</v>
      </c>
      <c r="B19801">
        <v>435</v>
      </c>
      <c r="C19801" s="1" t="str">
        <f>HYPERLINK("http://www.rosaceae.org/gb/gbrowse/malus_x_domestica/?name=MDP0000289351","MDP0000289351")</f>
        <v>MDP0000289351</v>
      </c>
      <c r="D19801">
        <v>77.38</v>
      </c>
      <c r="E19801">
        <v>199</v>
      </c>
      <c r="F19801">
        <v>45</v>
      </c>
      <c r="G19801">
        <v>4</v>
      </c>
      <c r="H19801">
        <v>30</v>
      </c>
      <c r="I19801">
        <v>224</v>
      </c>
      <c r="J19801">
        <v>1</v>
      </c>
      <c r="K19801">
        <v>26</v>
      </c>
      <c r="L19801">
        <v>224</v>
      </c>
      <c r="M19801">
        <v>1</v>
      </c>
      <c r="N19801">
        <v>2.14797E-88</v>
      </c>
      <c r="O19801">
        <v>828</v>
      </c>
    </row>
    <row r="19802" spans="1:15" x14ac:dyDescent="0.25">
      <c r="A19802" t="s">
        <v>19815</v>
      </c>
      <c r="B19802">
        <v>313</v>
      </c>
      <c r="C19802" s="1" t="str">
        <f>HYPERLINK("http://www.rosaceae.org/gb/gbrowse/malus_x_domestica/?name=MDP0000242934","MDP0000242934")</f>
        <v>MDP0000242934</v>
      </c>
      <c r="D19802">
        <v>53.82</v>
      </c>
      <c r="E19802">
        <v>327</v>
      </c>
      <c r="F19802">
        <v>151</v>
      </c>
      <c r="G19802">
        <v>92</v>
      </c>
      <c r="H19802">
        <v>1</v>
      </c>
      <c r="I19802">
        <v>313</v>
      </c>
      <c r="J19802">
        <v>1</v>
      </c>
      <c r="K19802">
        <v>1</v>
      </c>
      <c r="L19802">
        <v>249</v>
      </c>
      <c r="M19802">
        <v>1</v>
      </c>
      <c r="N19802">
        <v>5.2747299999999998E-84</v>
      </c>
      <c r="O19802">
        <v>789</v>
      </c>
    </row>
    <row r="19803" spans="1:15" x14ac:dyDescent="0.25">
      <c r="A19803" t="s">
        <v>19816</v>
      </c>
      <c r="B19803">
        <v>724</v>
      </c>
      <c r="C19803" s="1" t="str">
        <f>HYPERLINK("http://www.rosaceae.org/gb/gbrowse/malus_x_domestica/?name=MDP0000324144","MDP0000324144")</f>
        <v>MDP0000324144</v>
      </c>
      <c r="D19803">
        <v>50</v>
      </c>
      <c r="E19803">
        <v>598</v>
      </c>
      <c r="F19803">
        <v>299</v>
      </c>
      <c r="G19803">
        <v>26</v>
      </c>
      <c r="H19803">
        <v>1</v>
      </c>
      <c r="I19803">
        <v>597</v>
      </c>
      <c r="J19803">
        <v>1</v>
      </c>
      <c r="K19803">
        <v>2</v>
      </c>
      <c r="L19803">
        <v>574</v>
      </c>
      <c r="M19803">
        <v>1</v>
      </c>
      <c r="N19803">
        <v>1.26385E-142</v>
      </c>
      <c r="O19803">
        <v>1298</v>
      </c>
    </row>
    <row r="19804" spans="1:15" x14ac:dyDescent="0.25">
      <c r="A19804" t="s">
        <v>19817</v>
      </c>
      <c r="B19804">
        <v>275</v>
      </c>
      <c r="C19804" s="1" t="str">
        <f>HYPERLINK("http://www.rosaceae.org/gb/gbrowse/malus_x_domestica/?name=MDP0000213111","MDP0000213111")</f>
        <v>MDP0000213111</v>
      </c>
      <c r="D19804">
        <v>77.39</v>
      </c>
      <c r="E19804">
        <v>261</v>
      </c>
      <c r="F19804">
        <v>59</v>
      </c>
      <c r="G19804">
        <v>0</v>
      </c>
      <c r="H19804">
        <v>1</v>
      </c>
      <c r="I19804">
        <v>261</v>
      </c>
      <c r="J19804">
        <v>1</v>
      </c>
      <c r="K19804">
        <v>2</v>
      </c>
      <c r="L19804">
        <v>262</v>
      </c>
      <c r="M19804">
        <v>1</v>
      </c>
      <c r="N19804">
        <v>2.19196E-126</v>
      </c>
      <c r="O19804">
        <v>1153</v>
      </c>
    </row>
    <row r="19805" spans="1:15" x14ac:dyDescent="0.25">
      <c r="A19805" t="s">
        <v>19818</v>
      </c>
      <c r="B19805">
        <v>506</v>
      </c>
      <c r="C19805" s="1" t="str">
        <f>HYPERLINK("http://www.rosaceae.org/gb/gbrowse/malus_x_domestica/?name=MDP0000148978","MDP0000148978")</f>
        <v>MDP0000148978</v>
      </c>
      <c r="D19805">
        <v>82.5</v>
      </c>
      <c r="E19805">
        <v>263</v>
      </c>
      <c r="F19805">
        <v>46</v>
      </c>
      <c r="G19805">
        <v>26</v>
      </c>
      <c r="H19805">
        <v>134</v>
      </c>
      <c r="I19805">
        <v>370</v>
      </c>
      <c r="J19805">
        <v>1</v>
      </c>
      <c r="K19805">
        <v>280</v>
      </c>
      <c r="L19805">
        <v>542</v>
      </c>
      <c r="M19805">
        <v>1</v>
      </c>
      <c r="N19805">
        <v>1.54655E-125</v>
      </c>
      <c r="O19805">
        <v>1149</v>
      </c>
    </row>
    <row r="19806" spans="1:15" x14ac:dyDescent="0.25">
      <c r="A19806" t="s">
        <v>19819</v>
      </c>
      <c r="B19806">
        <v>303</v>
      </c>
      <c r="C19806" s="1" t="str">
        <f>HYPERLINK("http://www.rosaceae.org/gb/gbrowse/malus_x_domestica/?name=MDP0000284498","MDP0000284498")</f>
        <v>MDP0000284498</v>
      </c>
      <c r="D19806">
        <v>42.81</v>
      </c>
      <c r="E19806">
        <v>341</v>
      </c>
      <c r="F19806">
        <v>195</v>
      </c>
      <c r="G19806">
        <v>41</v>
      </c>
      <c r="H19806">
        <v>1</v>
      </c>
      <c r="I19806">
        <v>302</v>
      </c>
      <c r="J19806">
        <v>1</v>
      </c>
      <c r="K19806">
        <v>78</v>
      </c>
      <c r="L19806">
        <v>416</v>
      </c>
      <c r="M19806">
        <v>1</v>
      </c>
      <c r="N19806">
        <v>7.8742999999999997E-59</v>
      </c>
      <c r="O19806">
        <v>571</v>
      </c>
    </row>
    <row r="19807" spans="1:15" x14ac:dyDescent="0.25">
      <c r="A19807" t="s">
        <v>19820</v>
      </c>
      <c r="B19807">
        <v>498</v>
      </c>
      <c r="C19807" s="1" t="str">
        <f>HYPERLINK("http://www.rosaceae.org/gb/gbrowse/malus_x_domestica/?name=MDP0000314018","MDP0000314018")</f>
        <v>MDP0000314018</v>
      </c>
      <c r="D19807">
        <v>80.650000000000006</v>
      </c>
      <c r="E19807">
        <v>455</v>
      </c>
      <c r="F19807">
        <v>88</v>
      </c>
      <c r="G19807">
        <v>25</v>
      </c>
      <c r="H19807">
        <v>1</v>
      </c>
      <c r="I19807">
        <v>430</v>
      </c>
      <c r="J19807">
        <v>1</v>
      </c>
      <c r="K19807">
        <v>1</v>
      </c>
      <c r="L19807">
        <v>455</v>
      </c>
      <c r="M19807">
        <v>1</v>
      </c>
      <c r="N19807">
        <v>0</v>
      </c>
      <c r="O19807">
        <v>1828</v>
      </c>
    </row>
    <row r="19808" spans="1:15" x14ac:dyDescent="0.25">
      <c r="A19808" t="s">
        <v>19821</v>
      </c>
      <c r="B19808">
        <v>178</v>
      </c>
      <c r="C19808" s="1" t="str">
        <f>HYPERLINK("http://www.rosaceae.org/gb/gbrowse/malus_x_domestica/?name=MDP0000171111","MDP0000171111")</f>
        <v>MDP0000171111</v>
      </c>
      <c r="D19808">
        <v>44.36</v>
      </c>
      <c r="E19808">
        <v>133</v>
      </c>
      <c r="F19808">
        <v>74</v>
      </c>
      <c r="G19808">
        <v>2</v>
      </c>
      <c r="H19808">
        <v>2</v>
      </c>
      <c r="I19808">
        <v>134</v>
      </c>
      <c r="J19808">
        <v>1</v>
      </c>
      <c r="K19808">
        <v>158</v>
      </c>
      <c r="L19808">
        <v>288</v>
      </c>
      <c r="M19808">
        <v>1</v>
      </c>
      <c r="N19808">
        <v>1.28283E-24</v>
      </c>
      <c r="O19808">
        <v>273</v>
      </c>
    </row>
    <row r="19809" spans="1:15" x14ac:dyDescent="0.25">
      <c r="A19809" t="s">
        <v>19822</v>
      </c>
      <c r="B19809">
        <v>183</v>
      </c>
      <c r="C19809" s="1" t="str">
        <f>HYPERLINK("http://www.rosaceae.org/gb/gbrowse/malus_x_domestica/?name=MDP0000129744","MDP0000129744")</f>
        <v>MDP0000129744</v>
      </c>
      <c r="D19809">
        <v>63.3</v>
      </c>
      <c r="E19809">
        <v>109</v>
      </c>
      <c r="F19809">
        <v>40</v>
      </c>
      <c r="G19809">
        <v>9</v>
      </c>
      <c r="H19809">
        <v>1</v>
      </c>
      <c r="I19809">
        <v>100</v>
      </c>
      <c r="J19809">
        <v>1</v>
      </c>
      <c r="K19809">
        <v>1</v>
      </c>
      <c r="L19809">
        <v>109</v>
      </c>
      <c r="M19809">
        <v>1</v>
      </c>
      <c r="N19809">
        <v>1.84925E-34</v>
      </c>
      <c r="O19809">
        <v>358</v>
      </c>
    </row>
    <row r="19810" spans="1:15" x14ac:dyDescent="0.25">
      <c r="A19810" t="s">
        <v>19823</v>
      </c>
      <c r="B19810">
        <v>1051</v>
      </c>
      <c r="C19810" s="1" t="str">
        <f>HYPERLINK("http://www.rosaceae.org/gb/gbrowse/malus_x_domestica/?name=MDP0000764137","MDP0000764137")</f>
        <v>MDP0000764137</v>
      </c>
      <c r="D19810">
        <v>87.82</v>
      </c>
      <c r="E19810">
        <v>1051</v>
      </c>
      <c r="F19810">
        <v>128</v>
      </c>
      <c r="G19810">
        <v>1</v>
      </c>
      <c r="H19810">
        <v>1</v>
      </c>
      <c r="I19810">
        <v>1051</v>
      </c>
      <c r="J19810">
        <v>1</v>
      </c>
      <c r="K19810">
        <v>1</v>
      </c>
      <c r="L19810">
        <v>1050</v>
      </c>
      <c r="M19810">
        <v>1</v>
      </c>
      <c r="N19810">
        <v>0</v>
      </c>
      <c r="O19810">
        <v>4908</v>
      </c>
    </row>
    <row r="19811" spans="1:15" x14ac:dyDescent="0.25">
      <c r="A19811" t="s">
        <v>19824</v>
      </c>
      <c r="B19811">
        <v>336</v>
      </c>
      <c r="C19811" s="1" t="str">
        <f>HYPERLINK("http://www.rosaceae.org/gb/gbrowse/malus_x_domestica/?name=MDP0000268523","MDP0000268523")</f>
        <v>MDP0000268523</v>
      </c>
      <c r="D19811">
        <v>46.02</v>
      </c>
      <c r="E19811">
        <v>289</v>
      </c>
      <c r="F19811">
        <v>156</v>
      </c>
      <c r="G19811">
        <v>22</v>
      </c>
      <c r="H19811">
        <v>56</v>
      </c>
      <c r="I19811">
        <v>335</v>
      </c>
      <c r="J19811">
        <v>1</v>
      </c>
      <c r="K19811">
        <v>611</v>
      </c>
      <c r="L19811">
        <v>886</v>
      </c>
      <c r="M19811">
        <v>1</v>
      </c>
      <c r="N19811">
        <v>1.3575E-60</v>
      </c>
      <c r="O19811">
        <v>587</v>
      </c>
    </row>
    <row r="19812" spans="1:15" x14ac:dyDescent="0.25">
      <c r="A19812" t="s">
        <v>19825</v>
      </c>
      <c r="B19812">
        <v>363</v>
      </c>
      <c r="C19812" s="1" t="str">
        <f>HYPERLINK("http://www.rosaceae.org/gb/gbrowse/malus_x_domestica/?name=MDP0000305350","MDP0000305350")</f>
        <v>MDP0000305350</v>
      </c>
      <c r="D19812">
        <v>65.17</v>
      </c>
      <c r="E19812">
        <v>336</v>
      </c>
      <c r="F19812">
        <v>117</v>
      </c>
      <c r="G19812">
        <v>59</v>
      </c>
      <c r="H19812">
        <v>27</v>
      </c>
      <c r="I19812">
        <v>362</v>
      </c>
      <c r="J19812">
        <v>1</v>
      </c>
      <c r="K19812">
        <v>12</v>
      </c>
      <c r="L19812">
        <v>288</v>
      </c>
      <c r="M19812">
        <v>1</v>
      </c>
      <c r="N19812">
        <v>5.1640400000000002E-122</v>
      </c>
      <c r="O19812">
        <v>1117</v>
      </c>
    </row>
    <row r="19813" spans="1:15" x14ac:dyDescent="0.25">
      <c r="A19813" t="s">
        <v>19826</v>
      </c>
      <c r="B19813">
        <v>543</v>
      </c>
      <c r="C19813" s="1" t="str">
        <f>HYPERLINK("http://www.rosaceae.org/gb/gbrowse/malus_x_domestica/?name=MDP0000157943","MDP0000157943")</f>
        <v>MDP0000157943</v>
      </c>
      <c r="D19813">
        <v>49.29</v>
      </c>
      <c r="E19813">
        <v>495</v>
      </c>
      <c r="F19813">
        <v>251</v>
      </c>
      <c r="G19813">
        <v>12</v>
      </c>
      <c r="H19813">
        <v>35</v>
      </c>
      <c r="I19813">
        <v>521</v>
      </c>
      <c r="J19813">
        <v>1</v>
      </c>
      <c r="K19813">
        <v>33</v>
      </c>
      <c r="L19813">
        <v>523</v>
      </c>
      <c r="M19813">
        <v>1</v>
      </c>
      <c r="N19813">
        <v>1.9267099999999999E-134</v>
      </c>
      <c r="O19813">
        <v>1226</v>
      </c>
    </row>
    <row r="19814" spans="1:15" x14ac:dyDescent="0.25">
      <c r="A19814" t="s">
        <v>19827</v>
      </c>
      <c r="B19814">
        <v>360</v>
      </c>
      <c r="C19814" s="1" t="str">
        <f>HYPERLINK("http://www.rosaceae.org/gb/gbrowse/malus_x_domestica/?name=MDP0000189755","MDP0000189755")</f>
        <v>MDP0000189755</v>
      </c>
      <c r="D19814">
        <v>55.55</v>
      </c>
      <c r="E19814">
        <v>63</v>
      </c>
      <c r="F19814">
        <v>28</v>
      </c>
      <c r="G19814">
        <v>0</v>
      </c>
      <c r="H19814">
        <v>212</v>
      </c>
      <c r="I19814">
        <v>274</v>
      </c>
      <c r="J19814">
        <v>1</v>
      </c>
      <c r="K19814">
        <v>523</v>
      </c>
      <c r="L19814">
        <v>585</v>
      </c>
      <c r="M19814">
        <v>1</v>
      </c>
      <c r="N19814">
        <v>4.2368300000000002E-16</v>
      </c>
      <c r="O19814">
        <v>204</v>
      </c>
    </row>
    <row r="19815" spans="1:15" x14ac:dyDescent="0.25">
      <c r="A19815" t="s">
        <v>19828</v>
      </c>
      <c r="B19815">
        <v>55</v>
      </c>
      <c r="C19815" s="1" t="str">
        <f>HYPERLINK("http://www.rosaceae.org/gb/gbrowse/malus_x_domestica/?name=MDP0000537020","MDP0000537020")</f>
        <v>MDP0000537020</v>
      </c>
      <c r="D19815">
        <v>74</v>
      </c>
      <c r="E19815">
        <v>50</v>
      </c>
      <c r="F19815">
        <v>13</v>
      </c>
      <c r="G19815">
        <v>0</v>
      </c>
      <c r="H19815">
        <v>6</v>
      </c>
      <c r="I19815">
        <v>55</v>
      </c>
      <c r="J19815">
        <v>1</v>
      </c>
      <c r="K19815">
        <v>4</v>
      </c>
      <c r="L19815">
        <v>53</v>
      </c>
      <c r="M19815">
        <v>1</v>
      </c>
      <c r="N19815">
        <v>2.38659E-16</v>
      </c>
      <c r="O19815">
        <v>198</v>
      </c>
    </row>
    <row r="19816" spans="1:15" x14ac:dyDescent="0.25">
      <c r="A19816" t="s">
        <v>19829</v>
      </c>
      <c r="B19816">
        <v>282</v>
      </c>
      <c r="C19816" s="1" t="str">
        <f>HYPERLINK("http://www.rosaceae.org/gb/gbrowse/malus_x_domestica/?name=MDP0000420611","MDP0000420611")</f>
        <v>MDP0000420611</v>
      </c>
      <c r="D19816">
        <v>78.02</v>
      </c>
      <c r="E19816">
        <v>273</v>
      </c>
      <c r="F19816">
        <v>60</v>
      </c>
      <c r="G19816">
        <v>10</v>
      </c>
      <c r="H19816">
        <v>1</v>
      </c>
      <c r="I19816">
        <v>273</v>
      </c>
      <c r="J19816">
        <v>1</v>
      </c>
      <c r="K19816">
        <v>47</v>
      </c>
      <c r="L19816">
        <v>309</v>
      </c>
      <c r="M19816">
        <v>1</v>
      </c>
      <c r="N19816">
        <v>1.4073200000000001E-122</v>
      </c>
      <c r="O19816">
        <v>1121</v>
      </c>
    </row>
    <row r="19817" spans="1:15" x14ac:dyDescent="0.25">
      <c r="A19817" t="s">
        <v>19830</v>
      </c>
      <c r="B19817">
        <v>282</v>
      </c>
      <c r="C19817" s="1" t="str">
        <f>HYPERLINK("http://www.rosaceae.org/gb/gbrowse/malus_x_domestica/?name=MDP0000906703","MDP0000906703")</f>
        <v>MDP0000906703</v>
      </c>
      <c r="D19817">
        <v>71.849999999999994</v>
      </c>
      <c r="E19817">
        <v>199</v>
      </c>
      <c r="F19817">
        <v>56</v>
      </c>
      <c r="G19817">
        <v>10</v>
      </c>
      <c r="H19817">
        <v>84</v>
      </c>
      <c r="I19817">
        <v>282</v>
      </c>
      <c r="J19817">
        <v>1</v>
      </c>
      <c r="K19817">
        <v>75</v>
      </c>
      <c r="L19817">
        <v>263</v>
      </c>
      <c r="M19817">
        <v>1</v>
      </c>
      <c r="N19817">
        <v>1.0223900000000001E-73</v>
      </c>
      <c r="O19817">
        <v>699</v>
      </c>
    </row>
    <row r="19818" spans="1:15" x14ac:dyDescent="0.25">
      <c r="A19818" t="s">
        <v>19831</v>
      </c>
      <c r="B19818">
        <v>133</v>
      </c>
      <c r="C19818" s="1" t="str">
        <f>HYPERLINK("http://www.rosaceae.org/gb/gbrowse/malus_x_domestica/?name=MDP0000308990","MDP0000308990")</f>
        <v>MDP0000308990</v>
      </c>
      <c r="D19818">
        <v>59.18</v>
      </c>
      <c r="E19818">
        <v>49</v>
      </c>
      <c r="F19818">
        <v>20</v>
      </c>
      <c r="G19818">
        <v>0</v>
      </c>
      <c r="H19818">
        <v>73</v>
      </c>
      <c r="I19818">
        <v>121</v>
      </c>
      <c r="J19818">
        <v>1</v>
      </c>
      <c r="K19818">
        <v>30</v>
      </c>
      <c r="L19818">
        <v>78</v>
      </c>
      <c r="M19818">
        <v>1</v>
      </c>
      <c r="N19818">
        <v>3.3489100000000003E-11</v>
      </c>
      <c r="O19818">
        <v>155</v>
      </c>
    </row>
    <row r="19819" spans="1:15" x14ac:dyDescent="0.25">
      <c r="A19819" t="s">
        <v>19832</v>
      </c>
      <c r="B19819">
        <v>201</v>
      </c>
      <c r="C19819" s="1" t="str">
        <f>HYPERLINK("http://www.rosaceae.org/gb/gbrowse/malus_x_domestica/?name=MDP0000391371","MDP0000391371")</f>
        <v>MDP0000391371</v>
      </c>
      <c r="D19819">
        <v>53.15</v>
      </c>
      <c r="E19819">
        <v>190</v>
      </c>
      <c r="F19819">
        <v>89</v>
      </c>
      <c r="G19819">
        <v>14</v>
      </c>
      <c r="H19819">
        <v>22</v>
      </c>
      <c r="I19819">
        <v>200</v>
      </c>
      <c r="J19819">
        <v>1</v>
      </c>
      <c r="K19819">
        <v>986</v>
      </c>
      <c r="L19819">
        <v>1172</v>
      </c>
      <c r="M19819">
        <v>1</v>
      </c>
      <c r="N19819">
        <v>1.76921E-48</v>
      </c>
      <c r="O19819">
        <v>480</v>
      </c>
    </row>
    <row r="19820" spans="1:15" x14ac:dyDescent="0.25">
      <c r="A19820" t="s">
        <v>19833</v>
      </c>
      <c r="B19820">
        <v>390</v>
      </c>
      <c r="C19820" s="1" t="str">
        <f>HYPERLINK("http://www.rosaceae.org/gb/gbrowse/malus_x_domestica/?name=MDP0000695427","MDP0000695427")</f>
        <v>MDP0000695427</v>
      </c>
      <c r="D19820">
        <v>47.28</v>
      </c>
      <c r="E19820">
        <v>423</v>
      </c>
      <c r="F19820">
        <v>223</v>
      </c>
      <c r="G19820">
        <v>38</v>
      </c>
      <c r="H19820">
        <v>1</v>
      </c>
      <c r="I19820">
        <v>390</v>
      </c>
      <c r="J19820">
        <v>1</v>
      </c>
      <c r="K19820">
        <v>102</v>
      </c>
      <c r="L19820">
        <v>519</v>
      </c>
      <c r="M19820">
        <v>1</v>
      </c>
      <c r="N19820">
        <v>4.23174E-116</v>
      </c>
      <c r="O19820">
        <v>1067</v>
      </c>
    </row>
    <row r="19821" spans="1:15" x14ac:dyDescent="0.25">
      <c r="A19821" t="s">
        <v>19834</v>
      </c>
      <c r="B19821">
        <v>432</v>
      </c>
      <c r="C19821" s="1" t="str">
        <f>HYPERLINK("http://www.rosaceae.org/gb/gbrowse/malus_x_domestica/?name=MDP0000778352","MDP0000778352")</f>
        <v>MDP0000778352</v>
      </c>
      <c r="D19821">
        <v>76.88</v>
      </c>
      <c r="E19821">
        <v>437</v>
      </c>
      <c r="F19821">
        <v>101</v>
      </c>
      <c r="G19821">
        <v>10</v>
      </c>
      <c r="H19821">
        <v>1</v>
      </c>
      <c r="I19821">
        <v>432</v>
      </c>
      <c r="J19821">
        <v>1</v>
      </c>
      <c r="K19821">
        <v>1</v>
      </c>
      <c r="L19821">
        <v>432</v>
      </c>
      <c r="M19821">
        <v>1</v>
      </c>
      <c r="N19821">
        <v>0</v>
      </c>
      <c r="O19821">
        <v>1726</v>
      </c>
    </row>
    <row r="19822" spans="1:15" x14ac:dyDescent="0.25">
      <c r="A19822" t="s">
        <v>19835</v>
      </c>
      <c r="B19822">
        <v>433</v>
      </c>
      <c r="C19822" s="1" t="str">
        <f>HYPERLINK("http://www.rosaceae.org/gb/gbrowse/malus_x_domestica/?name=MDP0000309539","MDP0000309539")</f>
        <v>MDP0000309539</v>
      </c>
      <c r="D19822">
        <v>88.3</v>
      </c>
      <c r="E19822">
        <v>342</v>
      </c>
      <c r="F19822">
        <v>40</v>
      </c>
      <c r="G19822">
        <v>1</v>
      </c>
      <c r="H19822">
        <v>22</v>
      </c>
      <c r="I19822">
        <v>363</v>
      </c>
      <c r="J19822">
        <v>1</v>
      </c>
      <c r="K19822">
        <v>62</v>
      </c>
      <c r="L19822">
        <v>402</v>
      </c>
      <c r="M19822">
        <v>1</v>
      </c>
      <c r="N19822">
        <v>2.32293E-171</v>
      </c>
      <c r="O19822">
        <v>1544</v>
      </c>
    </row>
    <row r="19823" spans="1:15" x14ac:dyDescent="0.25">
      <c r="A19823" t="s">
        <v>19836</v>
      </c>
      <c r="B19823">
        <v>362</v>
      </c>
      <c r="C19823" s="1" t="str">
        <f>HYPERLINK("http://www.rosaceae.org/gb/gbrowse/malus_x_domestica/?name=MDP0000295220","MDP0000295220")</f>
        <v>MDP0000295220</v>
      </c>
      <c r="D19823">
        <v>70.95</v>
      </c>
      <c r="E19823">
        <v>365</v>
      </c>
      <c r="F19823">
        <v>106</v>
      </c>
      <c r="G19823">
        <v>34</v>
      </c>
      <c r="H19823">
        <v>26</v>
      </c>
      <c r="I19823">
        <v>362</v>
      </c>
      <c r="J19823">
        <v>1</v>
      </c>
      <c r="K19823">
        <v>68</v>
      </c>
      <c r="L19823">
        <v>426</v>
      </c>
      <c r="M19823">
        <v>1</v>
      </c>
      <c r="N19823">
        <v>3.6555900000000002E-149</v>
      </c>
      <c r="O19823">
        <v>1351</v>
      </c>
    </row>
    <row r="19824" spans="1:15" x14ac:dyDescent="0.25">
      <c r="A19824" t="s">
        <v>19837</v>
      </c>
      <c r="B19824">
        <v>571</v>
      </c>
      <c r="C19824" s="1" t="str">
        <f>HYPERLINK("http://www.rosaceae.org/gb/gbrowse/malus_x_domestica/?name=MDP0000228070","MDP0000228070")</f>
        <v>MDP0000228070</v>
      </c>
      <c r="D19824">
        <v>57.35</v>
      </c>
      <c r="E19824">
        <v>530</v>
      </c>
      <c r="F19824">
        <v>226</v>
      </c>
      <c r="G19824">
        <v>16</v>
      </c>
      <c r="H19824">
        <v>41</v>
      </c>
      <c r="I19824">
        <v>569</v>
      </c>
      <c r="J19824">
        <v>1</v>
      </c>
      <c r="K19824">
        <v>100</v>
      </c>
      <c r="L19824">
        <v>614</v>
      </c>
      <c r="M19824">
        <v>1</v>
      </c>
      <c r="N19824">
        <v>4.2698799999999998E-174</v>
      </c>
      <c r="O19824">
        <v>1568</v>
      </c>
    </row>
    <row r="19825" spans="1:15" x14ac:dyDescent="0.25">
      <c r="A19825" t="s">
        <v>19838</v>
      </c>
      <c r="B19825">
        <v>979</v>
      </c>
      <c r="C19825" s="1" t="str">
        <f>HYPERLINK("http://www.rosaceae.org/gb/gbrowse/malus_x_domestica/?name=MDP0000172803","MDP0000172803")</f>
        <v>MDP0000172803</v>
      </c>
      <c r="D19825">
        <v>69.459999999999994</v>
      </c>
      <c r="E19825">
        <v>940</v>
      </c>
      <c r="F19825">
        <v>287</v>
      </c>
      <c r="G19825">
        <v>1</v>
      </c>
      <c r="H19825">
        <v>30</v>
      </c>
      <c r="I19825">
        <v>968</v>
      </c>
      <c r="J19825">
        <v>1</v>
      </c>
      <c r="K19825">
        <v>33</v>
      </c>
      <c r="L19825">
        <v>972</v>
      </c>
      <c r="M19825">
        <v>1</v>
      </c>
      <c r="N19825">
        <v>0</v>
      </c>
      <c r="O19825">
        <v>3346</v>
      </c>
    </row>
    <row r="19826" spans="1:15" x14ac:dyDescent="0.25">
      <c r="A19826" t="s">
        <v>19839</v>
      </c>
      <c r="B19826">
        <v>456</v>
      </c>
      <c r="C19826" s="1" t="str">
        <f>HYPERLINK("http://www.rosaceae.org/gb/gbrowse/malus_x_domestica/?name=MDP0000254467","MDP0000254467")</f>
        <v>MDP0000254467</v>
      </c>
      <c r="D19826">
        <v>77.64</v>
      </c>
      <c r="E19826">
        <v>501</v>
      </c>
      <c r="F19826">
        <v>112</v>
      </c>
      <c r="G19826">
        <v>51</v>
      </c>
      <c r="H19826">
        <v>7</v>
      </c>
      <c r="I19826">
        <v>456</v>
      </c>
      <c r="J19826">
        <v>1</v>
      </c>
      <c r="K19826">
        <v>198</v>
      </c>
      <c r="L19826">
        <v>698</v>
      </c>
      <c r="M19826">
        <v>1</v>
      </c>
      <c r="N19826">
        <v>0</v>
      </c>
      <c r="O19826">
        <v>2012</v>
      </c>
    </row>
    <row r="19827" spans="1:15" x14ac:dyDescent="0.25">
      <c r="A19827" t="s">
        <v>19840</v>
      </c>
      <c r="B19827">
        <v>184</v>
      </c>
      <c r="C19827" s="1" t="str">
        <f>HYPERLINK("http://www.rosaceae.org/gb/gbrowse/malus_x_domestica/?name=MDP0000293970","MDP0000293970")</f>
        <v>MDP0000293970</v>
      </c>
      <c r="D19827">
        <v>61.11</v>
      </c>
      <c r="E19827">
        <v>108</v>
      </c>
      <c r="F19827">
        <v>42</v>
      </c>
      <c r="G19827">
        <v>24</v>
      </c>
      <c r="H19827">
        <v>15</v>
      </c>
      <c r="I19827">
        <v>101</v>
      </c>
      <c r="J19827">
        <v>1</v>
      </c>
      <c r="K19827">
        <v>371</v>
      </c>
      <c r="L19827">
        <v>475</v>
      </c>
      <c r="M19827">
        <v>1</v>
      </c>
      <c r="N19827">
        <v>5.5939999999999998E-26</v>
      </c>
      <c r="O19827">
        <v>285</v>
      </c>
    </row>
    <row r="19828" spans="1:15" x14ac:dyDescent="0.25">
      <c r="A19828" t="s">
        <v>19841</v>
      </c>
      <c r="B19828">
        <v>420</v>
      </c>
      <c r="C19828" s="1" t="str">
        <f>HYPERLINK("http://www.rosaceae.org/gb/gbrowse/malus_x_domestica/?name=MDP0000895750","MDP0000895750")</f>
        <v>MDP0000895750</v>
      </c>
      <c r="D19828">
        <v>75.53</v>
      </c>
      <c r="E19828">
        <v>372</v>
      </c>
      <c r="F19828">
        <v>91</v>
      </c>
      <c r="G19828">
        <v>14</v>
      </c>
      <c r="H19828">
        <v>55</v>
      </c>
      <c r="I19828">
        <v>420</v>
      </c>
      <c r="J19828">
        <v>1</v>
      </c>
      <c r="K19828">
        <v>67</v>
      </c>
      <c r="L19828">
        <v>430</v>
      </c>
      <c r="M19828">
        <v>1</v>
      </c>
      <c r="N19828">
        <v>8.1558299999999994E-160</v>
      </c>
      <c r="O19828">
        <v>1444</v>
      </c>
    </row>
    <row r="19829" spans="1:15" x14ac:dyDescent="0.25">
      <c r="A19829" t="s">
        <v>19842</v>
      </c>
      <c r="B19829">
        <v>718</v>
      </c>
      <c r="C19829" s="1" t="str">
        <f>HYPERLINK("http://www.rosaceae.org/gb/gbrowse/malus_x_domestica/?name=MDP0000245453","MDP0000245453")</f>
        <v>MDP0000245453</v>
      </c>
      <c r="D19829">
        <v>73.7</v>
      </c>
      <c r="E19829">
        <v>753</v>
      </c>
      <c r="F19829">
        <v>198</v>
      </c>
      <c r="G19829">
        <v>50</v>
      </c>
      <c r="H19829">
        <v>1</v>
      </c>
      <c r="I19829">
        <v>717</v>
      </c>
      <c r="J19829">
        <v>1</v>
      </c>
      <c r="K19829">
        <v>41</v>
      </c>
      <c r="L19829">
        <v>779</v>
      </c>
      <c r="M19829">
        <v>1</v>
      </c>
      <c r="N19829">
        <v>0</v>
      </c>
      <c r="O19829">
        <v>2739</v>
      </c>
    </row>
    <row r="19830" spans="1:15" x14ac:dyDescent="0.25">
      <c r="A19830" t="s">
        <v>19843</v>
      </c>
      <c r="B19830">
        <v>395</v>
      </c>
      <c r="C19830" s="1" t="str">
        <f>HYPERLINK("http://www.rosaceae.org/gb/gbrowse/malus_x_domestica/?name=MDP0000290186","MDP0000290186")</f>
        <v>MDP0000290186</v>
      </c>
      <c r="D19830">
        <v>39.22</v>
      </c>
      <c r="E19830">
        <v>283</v>
      </c>
      <c r="F19830">
        <v>172</v>
      </c>
      <c r="G19830">
        <v>25</v>
      </c>
      <c r="H19830">
        <v>122</v>
      </c>
      <c r="I19830">
        <v>389</v>
      </c>
      <c r="J19830">
        <v>1</v>
      </c>
      <c r="K19830">
        <v>542</v>
      </c>
      <c r="L19830">
        <v>814</v>
      </c>
      <c r="M19830">
        <v>1</v>
      </c>
      <c r="N19830">
        <v>2.1683399999999999E-40</v>
      </c>
      <c r="O19830">
        <v>414</v>
      </c>
    </row>
    <row r="19831" spans="1:15" x14ac:dyDescent="0.25">
      <c r="A19831" t="s">
        <v>19844</v>
      </c>
      <c r="B19831">
        <v>1036</v>
      </c>
      <c r="C19831" s="1" t="str">
        <f>HYPERLINK("http://www.rosaceae.org/gb/gbrowse/malus_x_domestica/?name=MDP0000596064","MDP0000596064")</f>
        <v>MDP0000596064</v>
      </c>
      <c r="D19831">
        <v>63.05</v>
      </c>
      <c r="E19831">
        <v>536</v>
      </c>
      <c r="F19831">
        <v>198</v>
      </c>
      <c r="G19831">
        <v>10</v>
      </c>
      <c r="H19831">
        <v>21</v>
      </c>
      <c r="I19831">
        <v>548</v>
      </c>
      <c r="J19831">
        <v>1</v>
      </c>
      <c r="K19831">
        <v>26</v>
      </c>
      <c r="L19831">
        <v>559</v>
      </c>
      <c r="M19831">
        <v>1</v>
      </c>
      <c r="N19831">
        <v>0</v>
      </c>
      <c r="O19831">
        <v>1758</v>
      </c>
    </row>
    <row r="19832" spans="1:15" x14ac:dyDescent="0.25">
      <c r="A19832" t="s">
        <v>19845</v>
      </c>
      <c r="B19832">
        <v>753</v>
      </c>
      <c r="C19832" s="1" t="str">
        <f>HYPERLINK("http://www.rosaceae.org/gb/gbrowse/malus_x_domestica/?name=MDP0000248951","MDP0000248951")</f>
        <v>MDP0000248951</v>
      </c>
      <c r="D19832">
        <v>61.86</v>
      </c>
      <c r="E19832">
        <v>493</v>
      </c>
      <c r="F19832">
        <v>188</v>
      </c>
      <c r="G19832">
        <v>33</v>
      </c>
      <c r="H19832">
        <v>271</v>
      </c>
      <c r="I19832">
        <v>734</v>
      </c>
      <c r="J19832">
        <v>1</v>
      </c>
      <c r="K19832">
        <v>59</v>
      </c>
      <c r="L19832">
        <v>547</v>
      </c>
      <c r="M19832">
        <v>1</v>
      </c>
      <c r="N19832">
        <v>4.6670300000000003E-170</v>
      </c>
      <c r="O19832">
        <v>1535</v>
      </c>
    </row>
    <row r="19833" spans="1:15" x14ac:dyDescent="0.25">
      <c r="A19833" t="s">
        <v>19846</v>
      </c>
      <c r="B19833">
        <v>259</v>
      </c>
      <c r="C19833" s="1" t="str">
        <f>HYPERLINK("http://www.rosaceae.org/gb/gbrowse/malus_x_domestica/?name=MDP0000668095","MDP0000668095")</f>
        <v>MDP0000668095</v>
      </c>
      <c r="D19833">
        <v>79.319999999999993</v>
      </c>
      <c r="E19833">
        <v>179</v>
      </c>
      <c r="F19833">
        <v>37</v>
      </c>
      <c r="G19833">
        <v>3</v>
      </c>
      <c r="H19833">
        <v>82</v>
      </c>
      <c r="I19833">
        <v>259</v>
      </c>
      <c r="J19833">
        <v>1</v>
      </c>
      <c r="K19833">
        <v>4</v>
      </c>
      <c r="L19833">
        <v>180</v>
      </c>
      <c r="M19833">
        <v>1</v>
      </c>
      <c r="N19833">
        <v>1.12704E-77</v>
      </c>
      <c r="O19833">
        <v>733</v>
      </c>
    </row>
    <row r="19834" spans="1:15" x14ac:dyDescent="0.25">
      <c r="A19834" t="s">
        <v>19847</v>
      </c>
      <c r="B19834">
        <v>750</v>
      </c>
      <c r="C19834" s="1" t="str">
        <f>HYPERLINK("http://www.rosaceae.org/gb/gbrowse/malus_x_domestica/?name=MDP0000185402","MDP0000185402")</f>
        <v>MDP0000185402</v>
      </c>
      <c r="D19834">
        <v>70.02</v>
      </c>
      <c r="E19834">
        <v>497</v>
      </c>
      <c r="F19834">
        <v>149</v>
      </c>
      <c r="G19834">
        <v>1</v>
      </c>
      <c r="H19834">
        <v>250</v>
      </c>
      <c r="I19834">
        <v>745</v>
      </c>
      <c r="J19834">
        <v>1</v>
      </c>
      <c r="K19834">
        <v>15</v>
      </c>
      <c r="L19834">
        <v>511</v>
      </c>
      <c r="M19834">
        <v>1</v>
      </c>
      <c r="N19834">
        <v>0</v>
      </c>
      <c r="O19834">
        <v>1845</v>
      </c>
    </row>
    <row r="19835" spans="1:15" x14ac:dyDescent="0.25">
      <c r="A19835" t="s">
        <v>19848</v>
      </c>
      <c r="B19835">
        <v>730</v>
      </c>
      <c r="C19835" s="1" t="str">
        <f>HYPERLINK("http://www.rosaceae.org/gb/gbrowse/malus_x_domestica/?name=MDP0000260354","MDP0000260354")</f>
        <v>MDP0000260354</v>
      </c>
      <c r="D19835">
        <v>69.260000000000005</v>
      </c>
      <c r="E19835">
        <v>719</v>
      </c>
      <c r="F19835">
        <v>221</v>
      </c>
      <c r="G19835">
        <v>8</v>
      </c>
      <c r="H19835">
        <v>14</v>
      </c>
      <c r="I19835">
        <v>724</v>
      </c>
      <c r="J19835">
        <v>1</v>
      </c>
      <c r="K19835">
        <v>72</v>
      </c>
      <c r="L19835">
        <v>790</v>
      </c>
      <c r="M19835">
        <v>1</v>
      </c>
      <c r="N19835">
        <v>0</v>
      </c>
      <c r="O19835">
        <v>2670</v>
      </c>
    </row>
    <row r="19836" spans="1:15" x14ac:dyDescent="0.25">
      <c r="A19836" t="s">
        <v>19849</v>
      </c>
      <c r="B19836">
        <v>460</v>
      </c>
      <c r="C19836" s="1" t="str">
        <f>HYPERLINK("http://www.rosaceae.org/gb/gbrowse/malus_x_domestica/?name=MDP0000282166","MDP0000282166")</f>
        <v>MDP0000282166</v>
      </c>
      <c r="D19836">
        <v>64.84</v>
      </c>
      <c r="E19836">
        <v>475</v>
      </c>
      <c r="F19836">
        <v>167</v>
      </c>
      <c r="G19836">
        <v>17</v>
      </c>
      <c r="H19836">
        <v>1</v>
      </c>
      <c r="I19836">
        <v>460</v>
      </c>
      <c r="J19836">
        <v>1</v>
      </c>
      <c r="K19836">
        <v>1</v>
      </c>
      <c r="L19836">
        <v>473</v>
      </c>
      <c r="M19836">
        <v>1</v>
      </c>
      <c r="N19836">
        <v>9.4932200000000009E-171</v>
      </c>
      <c r="O19836">
        <v>1539</v>
      </c>
    </row>
    <row r="19837" spans="1:15" x14ac:dyDescent="0.25">
      <c r="A19837" t="s">
        <v>19850</v>
      </c>
      <c r="B19837">
        <v>520</v>
      </c>
      <c r="C19837" s="1" t="str">
        <f>HYPERLINK("http://www.rosaceae.org/gb/gbrowse/malus_x_domestica/?name=MDP0000183836","MDP0000183836")</f>
        <v>MDP0000183836</v>
      </c>
      <c r="D19837">
        <v>37.590000000000003</v>
      </c>
      <c r="E19837">
        <v>516</v>
      </c>
      <c r="F19837">
        <v>322</v>
      </c>
      <c r="G19837">
        <v>87</v>
      </c>
      <c r="H19837">
        <v>42</v>
      </c>
      <c r="I19837">
        <v>519</v>
      </c>
      <c r="J19837">
        <v>1</v>
      </c>
      <c r="K19837">
        <v>38</v>
      </c>
      <c r="L19837">
        <v>504</v>
      </c>
      <c r="M19837">
        <v>1</v>
      </c>
      <c r="N19837">
        <v>1.53529E-68</v>
      </c>
      <c r="O19837">
        <v>658</v>
      </c>
    </row>
    <row r="19838" spans="1:15" x14ac:dyDescent="0.25">
      <c r="A19838" t="s">
        <v>19851</v>
      </c>
      <c r="B19838">
        <v>544</v>
      </c>
      <c r="C19838" s="1" t="str">
        <f>HYPERLINK("http://www.rosaceae.org/gb/gbrowse/malus_x_domestica/?name=MDP0000320729","MDP0000320729")</f>
        <v>MDP0000320729</v>
      </c>
      <c r="D19838">
        <v>61</v>
      </c>
      <c r="E19838">
        <v>536</v>
      </c>
      <c r="F19838">
        <v>209</v>
      </c>
      <c r="G19838">
        <v>36</v>
      </c>
      <c r="H19838">
        <v>26</v>
      </c>
      <c r="I19838">
        <v>543</v>
      </c>
      <c r="J19838">
        <v>1</v>
      </c>
      <c r="K19838">
        <v>1</v>
      </c>
      <c r="L19838">
        <v>518</v>
      </c>
      <c r="M19838">
        <v>1</v>
      </c>
      <c r="N19838">
        <v>3.4172500000000001E-180</v>
      </c>
      <c r="O19838">
        <v>1621</v>
      </c>
    </row>
    <row r="19839" spans="1:15" x14ac:dyDescent="0.25">
      <c r="A19839" t="s">
        <v>19852</v>
      </c>
      <c r="B19839">
        <v>668</v>
      </c>
      <c r="C19839" s="1" t="str">
        <f>HYPERLINK("http://www.rosaceae.org/gb/gbrowse/malus_x_domestica/?name=MDP0000316393","MDP0000316393")</f>
        <v>MDP0000316393</v>
      </c>
      <c r="D19839">
        <v>69.39</v>
      </c>
      <c r="E19839">
        <v>477</v>
      </c>
      <c r="F19839">
        <v>146</v>
      </c>
      <c r="G19839">
        <v>27</v>
      </c>
      <c r="H19839">
        <v>55</v>
      </c>
      <c r="I19839">
        <v>523</v>
      </c>
      <c r="J19839">
        <v>1</v>
      </c>
      <c r="K19839">
        <v>1</v>
      </c>
      <c r="L19839">
        <v>458</v>
      </c>
      <c r="M19839">
        <v>1</v>
      </c>
      <c r="N19839">
        <v>0</v>
      </c>
      <c r="O19839">
        <v>1661</v>
      </c>
    </row>
    <row r="19840" spans="1:15" x14ac:dyDescent="0.25">
      <c r="A19840" t="s">
        <v>19853</v>
      </c>
      <c r="B19840">
        <v>215</v>
      </c>
      <c r="C19840" s="1" t="str">
        <f>HYPERLINK("http://www.rosaceae.org/gb/gbrowse/malus_x_domestica/?name=MDP0000329640","MDP0000329640")</f>
        <v>MDP0000329640</v>
      </c>
      <c r="D19840">
        <v>88.42</v>
      </c>
      <c r="E19840">
        <v>121</v>
      </c>
      <c r="F19840">
        <v>14</v>
      </c>
      <c r="G19840">
        <v>1</v>
      </c>
      <c r="H19840">
        <v>95</v>
      </c>
      <c r="I19840">
        <v>215</v>
      </c>
      <c r="J19840">
        <v>1</v>
      </c>
      <c r="K19840">
        <v>3</v>
      </c>
      <c r="L19840">
        <v>122</v>
      </c>
      <c r="M19840">
        <v>1</v>
      </c>
      <c r="N19840">
        <v>9.6643599999999998E-57</v>
      </c>
      <c r="O19840">
        <v>551</v>
      </c>
    </row>
    <row r="19841" spans="1:15" x14ac:dyDescent="0.25">
      <c r="A19841" t="s">
        <v>19854</v>
      </c>
      <c r="B19841">
        <v>1003</v>
      </c>
      <c r="C19841" s="1" t="str">
        <f>HYPERLINK("http://www.rosaceae.org/gb/gbrowse/malus_x_domestica/?name=MDP0000286673","MDP0000286673")</f>
        <v>MDP0000286673</v>
      </c>
      <c r="D19841">
        <v>77.42</v>
      </c>
      <c r="E19841">
        <v>1010</v>
      </c>
      <c r="F19841">
        <v>228</v>
      </c>
      <c r="G19841">
        <v>20</v>
      </c>
      <c r="H19841">
        <v>1</v>
      </c>
      <c r="I19841">
        <v>1003</v>
      </c>
      <c r="J19841">
        <v>1</v>
      </c>
      <c r="K19841">
        <v>1</v>
      </c>
      <c r="L19841">
        <v>997</v>
      </c>
      <c r="M19841">
        <v>1</v>
      </c>
      <c r="N19841">
        <v>0</v>
      </c>
      <c r="O19841">
        <v>4092</v>
      </c>
    </row>
    <row r="19842" spans="1:15" x14ac:dyDescent="0.25">
      <c r="A19842" t="s">
        <v>19855</v>
      </c>
      <c r="B19842">
        <v>413</v>
      </c>
      <c r="C19842" s="1" t="str">
        <f>HYPERLINK("http://www.rosaceae.org/gb/gbrowse/malus_x_domestica/?name=MDP0000261642","MDP0000261642")</f>
        <v>MDP0000261642</v>
      </c>
      <c r="D19842">
        <v>83.76</v>
      </c>
      <c r="E19842">
        <v>345</v>
      </c>
      <c r="F19842">
        <v>56</v>
      </c>
      <c r="G19842">
        <v>0</v>
      </c>
      <c r="H19842">
        <v>67</v>
      </c>
      <c r="I19842">
        <v>411</v>
      </c>
      <c r="J19842">
        <v>1</v>
      </c>
      <c r="K19842">
        <v>130</v>
      </c>
      <c r="L19842">
        <v>474</v>
      </c>
      <c r="M19842">
        <v>1</v>
      </c>
      <c r="N19842">
        <v>0</v>
      </c>
      <c r="O19842">
        <v>1637</v>
      </c>
    </row>
    <row r="19843" spans="1:15" x14ac:dyDescent="0.25">
      <c r="A19843" t="s">
        <v>19856</v>
      </c>
      <c r="B19843">
        <v>127</v>
      </c>
      <c r="C19843" s="1" t="str">
        <f>HYPERLINK("http://www.rosaceae.org/gb/gbrowse/malus_x_domestica/?name=MDP0000299726","MDP0000299726")</f>
        <v>MDP0000299726</v>
      </c>
      <c r="D19843">
        <v>42.64</v>
      </c>
      <c r="E19843">
        <v>68</v>
      </c>
      <c r="F19843">
        <v>39</v>
      </c>
      <c r="G19843">
        <v>0</v>
      </c>
      <c r="H19843">
        <v>3</v>
      </c>
      <c r="I19843">
        <v>70</v>
      </c>
      <c r="J19843">
        <v>1</v>
      </c>
      <c r="K19843">
        <v>486</v>
      </c>
      <c r="L19843">
        <v>553</v>
      </c>
      <c r="M19843">
        <v>1</v>
      </c>
      <c r="N19843">
        <v>1.31402E-10</v>
      </c>
      <c r="O19843">
        <v>149</v>
      </c>
    </row>
    <row r="19844" spans="1:15" x14ac:dyDescent="0.25">
      <c r="A19844" t="s">
        <v>19857</v>
      </c>
      <c r="B19844">
        <v>101</v>
      </c>
      <c r="C19844" s="1" t="str">
        <f>HYPERLINK("http://www.rosaceae.org/gb/gbrowse/malus_x_domestica/?name=MDP0000436958","MDP0000436958")</f>
        <v>MDP0000436958</v>
      </c>
      <c r="D19844">
        <v>85.89</v>
      </c>
      <c r="E19844">
        <v>78</v>
      </c>
      <c r="F19844">
        <v>11</v>
      </c>
      <c r="G19844">
        <v>0</v>
      </c>
      <c r="H19844">
        <v>1</v>
      </c>
      <c r="I19844">
        <v>78</v>
      </c>
      <c r="J19844">
        <v>1</v>
      </c>
      <c r="K19844">
        <v>87</v>
      </c>
      <c r="L19844">
        <v>164</v>
      </c>
      <c r="M19844">
        <v>1</v>
      </c>
      <c r="N19844">
        <v>1.4765199999999999E-31</v>
      </c>
      <c r="O19844">
        <v>330</v>
      </c>
    </row>
    <row r="19845" spans="1:15" x14ac:dyDescent="0.25">
      <c r="A19845" t="s">
        <v>19858</v>
      </c>
      <c r="B19845">
        <v>383</v>
      </c>
      <c r="C19845" s="1" t="str">
        <f>HYPERLINK("http://www.rosaceae.org/gb/gbrowse/malus_x_domestica/?name=MDP0000249115","MDP0000249115")</f>
        <v>MDP0000249115</v>
      </c>
      <c r="D19845">
        <v>84</v>
      </c>
      <c r="E19845">
        <v>50</v>
      </c>
      <c r="F19845">
        <v>8</v>
      </c>
      <c r="G19845">
        <v>0</v>
      </c>
      <c r="H19845">
        <v>210</v>
      </c>
      <c r="I19845">
        <v>259</v>
      </c>
      <c r="J19845">
        <v>1</v>
      </c>
      <c r="K19845">
        <v>108</v>
      </c>
      <c r="L19845">
        <v>157</v>
      </c>
      <c r="M19845">
        <v>1</v>
      </c>
      <c r="N19845">
        <v>1.92226E-18</v>
      </c>
      <c r="O19845">
        <v>224</v>
      </c>
    </row>
    <row r="19846" spans="1:15" x14ac:dyDescent="0.25">
      <c r="A19846" t="s">
        <v>19859</v>
      </c>
      <c r="B19846">
        <v>282</v>
      </c>
      <c r="C19846" s="1" t="str">
        <f>HYPERLINK("http://www.rosaceae.org/gb/gbrowse/malus_x_domestica/?name=MDP0000278441","MDP0000278441")</f>
        <v>MDP0000278441</v>
      </c>
      <c r="D19846">
        <v>52.1</v>
      </c>
      <c r="E19846">
        <v>309</v>
      </c>
      <c r="F19846">
        <v>148</v>
      </c>
      <c r="G19846">
        <v>47</v>
      </c>
      <c r="H19846">
        <v>1</v>
      </c>
      <c r="I19846">
        <v>266</v>
      </c>
      <c r="J19846">
        <v>1</v>
      </c>
      <c r="K19846">
        <v>27</v>
      </c>
      <c r="L19846">
        <v>331</v>
      </c>
      <c r="M19846">
        <v>1</v>
      </c>
      <c r="N19846">
        <v>2.82534E-78</v>
      </c>
      <c r="O19846">
        <v>739</v>
      </c>
    </row>
    <row r="19847" spans="1:15" x14ac:dyDescent="0.25">
      <c r="A19847" t="s">
        <v>19860</v>
      </c>
      <c r="B19847">
        <v>157</v>
      </c>
      <c r="C19847" s="1" t="str">
        <f>HYPERLINK("http://www.rosaceae.org/gb/gbrowse/malus_x_domestica/?name=MDP0000205603","MDP0000205603")</f>
        <v>MDP0000205603</v>
      </c>
      <c r="D19847">
        <v>37.82</v>
      </c>
      <c r="E19847">
        <v>156</v>
      </c>
      <c r="F19847">
        <v>97</v>
      </c>
      <c r="G19847">
        <v>4</v>
      </c>
      <c r="H19847">
        <v>1</v>
      </c>
      <c r="I19847">
        <v>155</v>
      </c>
      <c r="J19847">
        <v>1</v>
      </c>
      <c r="K19847">
        <v>283</v>
      </c>
      <c r="L19847">
        <v>435</v>
      </c>
      <c r="M19847">
        <v>1</v>
      </c>
      <c r="N19847">
        <v>5.8941899999999997E-26</v>
      </c>
      <c r="O19847">
        <v>284</v>
      </c>
    </row>
    <row r="19848" spans="1:15" x14ac:dyDescent="0.25">
      <c r="A19848" t="s">
        <v>19861</v>
      </c>
      <c r="B19848">
        <v>104</v>
      </c>
      <c r="C19848" s="1" t="str">
        <f>HYPERLINK("http://www.rosaceae.org/gb/gbrowse/malus_x_domestica/?name=MDP0000250771","MDP0000250771")</f>
        <v>MDP0000250771</v>
      </c>
      <c r="D19848">
        <v>86.59</v>
      </c>
      <c r="E19848">
        <v>97</v>
      </c>
      <c r="F19848">
        <v>13</v>
      </c>
      <c r="G19848">
        <v>0</v>
      </c>
      <c r="H19848">
        <v>8</v>
      </c>
      <c r="I19848">
        <v>104</v>
      </c>
      <c r="J19848">
        <v>1</v>
      </c>
      <c r="K19848">
        <v>349</v>
      </c>
      <c r="L19848">
        <v>445</v>
      </c>
      <c r="M19848">
        <v>1</v>
      </c>
      <c r="N19848">
        <v>2.50573E-43</v>
      </c>
      <c r="O19848">
        <v>431</v>
      </c>
    </row>
    <row r="19849" spans="1:15" x14ac:dyDescent="0.25">
      <c r="A19849" t="s">
        <v>19862</v>
      </c>
      <c r="B19849">
        <v>1218</v>
      </c>
      <c r="C19849" s="1" t="str">
        <f>HYPERLINK("http://www.rosaceae.org/gb/gbrowse/malus_x_domestica/?name=MDP0000250980","MDP0000250980")</f>
        <v>MDP0000250980</v>
      </c>
      <c r="D19849">
        <v>52.96</v>
      </c>
      <c r="E19849">
        <v>1029</v>
      </c>
      <c r="F19849">
        <v>484</v>
      </c>
      <c r="G19849">
        <v>84</v>
      </c>
      <c r="H19849">
        <v>248</v>
      </c>
      <c r="I19849">
        <v>1218</v>
      </c>
      <c r="J19849">
        <v>1</v>
      </c>
      <c r="K19849">
        <v>405</v>
      </c>
      <c r="L19849">
        <v>1407</v>
      </c>
      <c r="M19849">
        <v>1</v>
      </c>
      <c r="N19849">
        <v>0</v>
      </c>
      <c r="O19849">
        <v>2454</v>
      </c>
    </row>
    <row r="19850" spans="1:15" x14ac:dyDescent="0.25">
      <c r="A19850" t="s">
        <v>19863</v>
      </c>
      <c r="B19850">
        <v>267</v>
      </c>
      <c r="C19850" s="1" t="str">
        <f>HYPERLINK("http://www.rosaceae.org/gb/gbrowse/malus_x_domestica/?name=MDP0000700906","MDP0000700906")</f>
        <v>MDP0000700906</v>
      </c>
      <c r="D19850">
        <v>50.6</v>
      </c>
      <c r="E19850">
        <v>83</v>
      </c>
      <c r="F19850">
        <v>41</v>
      </c>
      <c r="G19850">
        <v>1</v>
      </c>
      <c r="H19850">
        <v>184</v>
      </c>
      <c r="I19850">
        <v>266</v>
      </c>
      <c r="J19850">
        <v>1</v>
      </c>
      <c r="K19850">
        <v>7</v>
      </c>
      <c r="L19850">
        <v>88</v>
      </c>
      <c r="M19850">
        <v>1</v>
      </c>
      <c r="N19850">
        <v>5.5410499999999996E-16</v>
      </c>
      <c r="O19850">
        <v>201</v>
      </c>
    </row>
    <row r="19851" spans="1:15" x14ac:dyDescent="0.25">
      <c r="A19851" t="s">
        <v>19864</v>
      </c>
      <c r="B19851">
        <v>162</v>
      </c>
      <c r="C19851" s="1" t="str">
        <f>HYPERLINK("http://www.rosaceae.org/gb/gbrowse/malus_x_domestica/?name=MDP0000711379","MDP0000711379")</f>
        <v>MDP0000711379</v>
      </c>
      <c r="D19851">
        <v>74.349999999999994</v>
      </c>
      <c r="E19851">
        <v>117</v>
      </c>
      <c r="F19851">
        <v>30</v>
      </c>
      <c r="G19851">
        <v>0</v>
      </c>
      <c r="H19851">
        <v>23</v>
      </c>
      <c r="I19851">
        <v>139</v>
      </c>
      <c r="J19851">
        <v>1</v>
      </c>
      <c r="K19851">
        <v>22</v>
      </c>
      <c r="L19851">
        <v>138</v>
      </c>
      <c r="M19851">
        <v>1</v>
      </c>
      <c r="N19851">
        <v>4.5317499999999997E-49</v>
      </c>
      <c r="O19851">
        <v>483</v>
      </c>
    </row>
    <row r="19852" spans="1:15" x14ac:dyDescent="0.25">
      <c r="A19852" t="s">
        <v>19865</v>
      </c>
      <c r="B19852">
        <v>697</v>
      </c>
      <c r="C19852" s="1" t="str">
        <f>HYPERLINK("http://www.rosaceae.org/gb/gbrowse/malus_x_domestica/?name=MDP0000319416","MDP0000319416")</f>
        <v>MDP0000319416</v>
      </c>
      <c r="D19852">
        <v>79.23</v>
      </c>
      <c r="E19852">
        <v>496</v>
      </c>
      <c r="F19852">
        <v>103</v>
      </c>
      <c r="G19852">
        <v>39</v>
      </c>
      <c r="H19852">
        <v>182</v>
      </c>
      <c r="I19852">
        <v>669</v>
      </c>
      <c r="J19852">
        <v>1</v>
      </c>
      <c r="K19852">
        <v>880</v>
      </c>
      <c r="L19852">
        <v>1344</v>
      </c>
      <c r="M19852">
        <v>1</v>
      </c>
      <c r="N19852">
        <v>0</v>
      </c>
      <c r="O19852">
        <v>2010</v>
      </c>
    </row>
    <row r="19853" spans="1:15" x14ac:dyDescent="0.25">
      <c r="A19853" t="s">
        <v>19866</v>
      </c>
      <c r="B19853">
        <v>122</v>
      </c>
      <c r="C19853" s="1" t="str">
        <f>HYPERLINK("http://www.rosaceae.org/gb/gbrowse/malus_x_domestica/?name=MDP0000240206","MDP0000240206")</f>
        <v>MDP0000240206</v>
      </c>
      <c r="D19853">
        <v>66.39</v>
      </c>
      <c r="E19853">
        <v>122</v>
      </c>
      <c r="F19853">
        <v>41</v>
      </c>
      <c r="G19853">
        <v>3</v>
      </c>
      <c r="H19853">
        <v>1</v>
      </c>
      <c r="I19853">
        <v>122</v>
      </c>
      <c r="J19853">
        <v>1</v>
      </c>
      <c r="K19853">
        <v>992</v>
      </c>
      <c r="L19853">
        <v>1110</v>
      </c>
      <c r="M19853">
        <v>1</v>
      </c>
      <c r="N19853">
        <v>2.2490999999999999E-39</v>
      </c>
      <c r="O19853">
        <v>397</v>
      </c>
    </row>
    <row r="19854" spans="1:15" x14ac:dyDescent="0.25">
      <c r="A19854" t="s">
        <v>19867</v>
      </c>
      <c r="B19854">
        <v>795</v>
      </c>
      <c r="C19854" s="1" t="str">
        <f>HYPERLINK("http://www.rosaceae.org/gb/gbrowse/malus_x_domestica/?name=MDP0000300503","MDP0000300503")</f>
        <v>MDP0000300503</v>
      </c>
      <c r="D19854">
        <v>58.72</v>
      </c>
      <c r="E19854">
        <v>596</v>
      </c>
      <c r="F19854">
        <v>246</v>
      </c>
      <c r="G19854">
        <v>50</v>
      </c>
      <c r="H19854">
        <v>2</v>
      </c>
      <c r="I19854">
        <v>562</v>
      </c>
      <c r="J19854">
        <v>1</v>
      </c>
      <c r="K19854">
        <v>1</v>
      </c>
      <c r="L19854">
        <v>581</v>
      </c>
      <c r="M19854">
        <v>1</v>
      </c>
      <c r="N19854">
        <v>7.6512399999999999E-180</v>
      </c>
      <c r="O19854">
        <v>1619</v>
      </c>
    </row>
    <row r="19855" spans="1:15" x14ac:dyDescent="0.25">
      <c r="A19855" t="s">
        <v>19868</v>
      </c>
      <c r="B19855">
        <v>2864</v>
      </c>
      <c r="C19855" s="1" t="str">
        <f>HYPERLINK("http://www.rosaceae.org/gb/gbrowse/malus_x_domestica/?name=MDP0000450042","MDP0000450042")</f>
        <v>MDP0000450042</v>
      </c>
      <c r="D19855">
        <v>82.8</v>
      </c>
      <c r="E19855">
        <v>407</v>
      </c>
      <c r="F19855">
        <v>70</v>
      </c>
      <c r="G19855">
        <v>0</v>
      </c>
      <c r="H19855">
        <v>2444</v>
      </c>
      <c r="I19855">
        <v>2850</v>
      </c>
      <c r="J19855">
        <v>1</v>
      </c>
      <c r="K19855">
        <v>2</v>
      </c>
      <c r="L19855">
        <v>408</v>
      </c>
      <c r="M19855">
        <v>1</v>
      </c>
      <c r="N19855">
        <v>0</v>
      </c>
      <c r="O19855">
        <v>1866</v>
      </c>
    </row>
    <row r="19856" spans="1:15" x14ac:dyDescent="0.25">
      <c r="A19856" t="s">
        <v>19869</v>
      </c>
      <c r="B19856">
        <v>141</v>
      </c>
      <c r="C19856" s="1" t="str">
        <f>HYPERLINK("http://www.rosaceae.org/gb/gbrowse/malus_x_domestica/?name=MDP0000943290","MDP0000943290")</f>
        <v>MDP0000943290</v>
      </c>
      <c r="D19856">
        <v>51.77</v>
      </c>
      <c r="E19856">
        <v>141</v>
      </c>
      <c r="F19856">
        <v>68</v>
      </c>
      <c r="G19856">
        <v>7</v>
      </c>
      <c r="H19856">
        <v>1</v>
      </c>
      <c r="I19856">
        <v>140</v>
      </c>
      <c r="J19856">
        <v>1</v>
      </c>
      <c r="K19856">
        <v>1</v>
      </c>
      <c r="L19856">
        <v>135</v>
      </c>
      <c r="M19856">
        <v>1</v>
      </c>
      <c r="N19856">
        <v>1.7601500000000002E-27</v>
      </c>
      <c r="O19856">
        <v>296</v>
      </c>
    </row>
    <row r="19857" spans="1:15" x14ac:dyDescent="0.25">
      <c r="A19857" t="s">
        <v>19870</v>
      </c>
      <c r="B19857">
        <v>447</v>
      </c>
      <c r="C19857" s="1" t="str">
        <f>HYPERLINK("http://www.rosaceae.org/gb/gbrowse/malus_x_domestica/?name=MDP0000496646","MDP0000496646")</f>
        <v>MDP0000496646</v>
      </c>
      <c r="D19857">
        <v>54.76</v>
      </c>
      <c r="E19857">
        <v>451</v>
      </c>
      <c r="F19857">
        <v>204</v>
      </c>
      <c r="G19857">
        <v>18</v>
      </c>
      <c r="H19857">
        <v>3</v>
      </c>
      <c r="I19857">
        <v>443</v>
      </c>
      <c r="J19857">
        <v>1</v>
      </c>
      <c r="K19857">
        <v>5</v>
      </c>
      <c r="L19857">
        <v>447</v>
      </c>
      <c r="M19857">
        <v>1</v>
      </c>
      <c r="N19857">
        <v>4.3578299999999999E-137</v>
      </c>
      <c r="O19857">
        <v>1248</v>
      </c>
    </row>
    <row r="19858" spans="1:15" x14ac:dyDescent="0.25">
      <c r="A19858" t="s">
        <v>19871</v>
      </c>
      <c r="B19858">
        <v>245</v>
      </c>
      <c r="C19858" s="1" t="str">
        <f>HYPERLINK("http://www.rosaceae.org/gb/gbrowse/malus_x_domestica/?name=MDP0000013331","MDP0000013331")</f>
        <v>MDP0000013331</v>
      </c>
      <c r="D19858">
        <v>84.01</v>
      </c>
      <c r="E19858">
        <v>244</v>
      </c>
      <c r="F19858">
        <v>39</v>
      </c>
      <c r="G19858">
        <v>6</v>
      </c>
      <c r="H19858">
        <v>1</v>
      </c>
      <c r="I19858">
        <v>244</v>
      </c>
      <c r="J19858">
        <v>1</v>
      </c>
      <c r="K19858">
        <v>1</v>
      </c>
      <c r="L19858">
        <v>238</v>
      </c>
      <c r="M19858">
        <v>1</v>
      </c>
      <c r="N19858">
        <v>2.12201E-107</v>
      </c>
      <c r="O19858">
        <v>989</v>
      </c>
    </row>
    <row r="19859" spans="1:15" x14ac:dyDescent="0.25">
      <c r="A19859" t="s">
        <v>19872</v>
      </c>
      <c r="B19859">
        <v>544</v>
      </c>
      <c r="C19859" s="1" t="str">
        <f>HYPERLINK("http://www.rosaceae.org/gb/gbrowse/malus_x_domestica/?name=MDP0000282203","MDP0000282203")</f>
        <v>MDP0000282203</v>
      </c>
      <c r="D19859">
        <v>52.6</v>
      </c>
      <c r="E19859">
        <v>384</v>
      </c>
      <c r="F19859">
        <v>182</v>
      </c>
      <c r="G19859">
        <v>42</v>
      </c>
      <c r="H19859">
        <v>4</v>
      </c>
      <c r="I19859">
        <v>352</v>
      </c>
      <c r="J19859">
        <v>1</v>
      </c>
      <c r="K19859">
        <v>2</v>
      </c>
      <c r="L19859">
        <v>378</v>
      </c>
      <c r="M19859">
        <v>1</v>
      </c>
      <c r="N19859">
        <v>1.6585699999999999E-112</v>
      </c>
      <c r="O19859">
        <v>1037</v>
      </c>
    </row>
    <row r="19860" spans="1:15" x14ac:dyDescent="0.25">
      <c r="A19860" t="s">
        <v>19873</v>
      </c>
      <c r="B19860">
        <v>592</v>
      </c>
      <c r="C19860" s="1" t="str">
        <f>HYPERLINK("http://www.rosaceae.org/gb/gbrowse/malus_x_domestica/?name=MDP0000168682","MDP0000168682")</f>
        <v>MDP0000168682</v>
      </c>
      <c r="D19860">
        <v>66.83</v>
      </c>
      <c r="E19860">
        <v>612</v>
      </c>
      <c r="F19860">
        <v>203</v>
      </c>
      <c r="G19860">
        <v>21</v>
      </c>
      <c r="H19860">
        <v>1</v>
      </c>
      <c r="I19860">
        <v>592</v>
      </c>
      <c r="J19860">
        <v>1</v>
      </c>
      <c r="K19860">
        <v>1</v>
      </c>
      <c r="L19860">
        <v>611</v>
      </c>
      <c r="M19860">
        <v>1</v>
      </c>
      <c r="N19860">
        <v>0</v>
      </c>
      <c r="O19860">
        <v>2177</v>
      </c>
    </row>
    <row r="19861" spans="1:15" x14ac:dyDescent="0.25">
      <c r="A19861" t="s">
        <v>19874</v>
      </c>
      <c r="B19861">
        <v>854</v>
      </c>
      <c r="C19861" s="1" t="str">
        <f>HYPERLINK("http://www.rosaceae.org/gb/gbrowse/malus_x_domestica/?name=MDP0000322468","MDP0000322468")</f>
        <v>MDP0000322468</v>
      </c>
      <c r="D19861">
        <v>63.8</v>
      </c>
      <c r="E19861">
        <v>909</v>
      </c>
      <c r="F19861">
        <v>329</v>
      </c>
      <c r="G19861">
        <v>61</v>
      </c>
      <c r="H19861">
        <v>1</v>
      </c>
      <c r="I19861">
        <v>853</v>
      </c>
      <c r="J19861">
        <v>1</v>
      </c>
      <c r="K19861">
        <v>1</v>
      </c>
      <c r="L19861">
        <v>904</v>
      </c>
      <c r="M19861">
        <v>1</v>
      </c>
      <c r="N19861">
        <v>0</v>
      </c>
      <c r="O19861">
        <v>2993</v>
      </c>
    </row>
    <row r="19862" spans="1:15" x14ac:dyDescent="0.25">
      <c r="A19862" t="s">
        <v>19875</v>
      </c>
      <c r="B19862">
        <v>217</v>
      </c>
      <c r="C19862" s="1" t="str">
        <f>HYPERLINK("http://www.rosaceae.org/gb/gbrowse/malus_x_domestica/?name=MDP0000272502","MDP0000272502")</f>
        <v>MDP0000272502</v>
      </c>
      <c r="D19862">
        <v>68.36</v>
      </c>
      <c r="E19862">
        <v>177</v>
      </c>
      <c r="F19862">
        <v>56</v>
      </c>
      <c r="G19862">
        <v>5</v>
      </c>
      <c r="H19862">
        <v>46</v>
      </c>
      <c r="I19862">
        <v>217</v>
      </c>
      <c r="J19862">
        <v>1</v>
      </c>
      <c r="K19862">
        <v>48</v>
      </c>
      <c r="L19862">
        <v>224</v>
      </c>
      <c r="M19862">
        <v>1</v>
      </c>
      <c r="N19862">
        <v>8.64684E-68</v>
      </c>
      <c r="O19862">
        <v>647</v>
      </c>
    </row>
    <row r="19863" spans="1:15" x14ac:dyDescent="0.25">
      <c r="A19863" t="s">
        <v>19876</v>
      </c>
      <c r="B19863">
        <v>272</v>
      </c>
      <c r="C19863" s="1" t="str">
        <f>HYPERLINK("http://www.rosaceae.org/gb/gbrowse/malus_x_domestica/?name=MDP0000313525","MDP0000313525")</f>
        <v>MDP0000313525</v>
      </c>
      <c r="D19863">
        <v>76.95</v>
      </c>
      <c r="E19863">
        <v>256</v>
      </c>
      <c r="F19863">
        <v>59</v>
      </c>
      <c r="G19863">
        <v>12</v>
      </c>
      <c r="H19863">
        <v>21</v>
      </c>
      <c r="I19863">
        <v>269</v>
      </c>
      <c r="J19863">
        <v>1</v>
      </c>
      <c r="K19863">
        <v>909</v>
      </c>
      <c r="L19863">
        <v>1159</v>
      </c>
      <c r="M19863">
        <v>1</v>
      </c>
      <c r="N19863">
        <v>2.37404E-107</v>
      </c>
      <c r="O19863">
        <v>989</v>
      </c>
    </row>
    <row r="19864" spans="1:15" x14ac:dyDescent="0.25">
      <c r="A19864" t="s">
        <v>19877</v>
      </c>
      <c r="B19864">
        <v>196</v>
      </c>
      <c r="C19864" s="1" t="str">
        <f>HYPERLINK("http://www.rosaceae.org/gb/gbrowse/malus_x_domestica/?name=MDP0000315498","MDP0000315498")</f>
        <v>MDP0000315498</v>
      </c>
      <c r="D19864">
        <v>77.17</v>
      </c>
      <c r="E19864">
        <v>92</v>
      </c>
      <c r="F19864">
        <v>21</v>
      </c>
      <c r="G19864">
        <v>0</v>
      </c>
      <c r="H19864">
        <v>25</v>
      </c>
      <c r="I19864">
        <v>116</v>
      </c>
      <c r="J19864">
        <v>1</v>
      </c>
      <c r="K19864">
        <v>29</v>
      </c>
      <c r="L19864">
        <v>120</v>
      </c>
      <c r="M19864">
        <v>1</v>
      </c>
      <c r="N19864">
        <v>2.1141599999999999E-39</v>
      </c>
      <c r="O19864">
        <v>401</v>
      </c>
    </row>
    <row r="19865" spans="1:15" x14ac:dyDescent="0.25">
      <c r="A19865" t="s">
        <v>19878</v>
      </c>
      <c r="B19865">
        <v>764</v>
      </c>
      <c r="C19865" s="1" t="str">
        <f>HYPERLINK("http://www.rosaceae.org/gb/gbrowse/malus_x_domestica/?name=MDP0000946443","MDP0000946443")</f>
        <v>MDP0000946443</v>
      </c>
      <c r="D19865">
        <v>62.54</v>
      </c>
      <c r="E19865">
        <v>825</v>
      </c>
      <c r="F19865">
        <v>309</v>
      </c>
      <c r="G19865">
        <v>76</v>
      </c>
      <c r="H19865">
        <v>6</v>
      </c>
      <c r="I19865">
        <v>764</v>
      </c>
      <c r="J19865">
        <v>1</v>
      </c>
      <c r="K19865">
        <v>10</v>
      </c>
      <c r="L19865">
        <v>824</v>
      </c>
      <c r="M19865">
        <v>1</v>
      </c>
      <c r="N19865">
        <v>0</v>
      </c>
      <c r="O19865">
        <v>2559</v>
      </c>
    </row>
    <row r="19866" spans="1:15" x14ac:dyDescent="0.25">
      <c r="A19866" t="s">
        <v>19879</v>
      </c>
      <c r="B19866">
        <v>769</v>
      </c>
      <c r="C19866" s="1" t="str">
        <f>HYPERLINK("http://www.rosaceae.org/gb/gbrowse/malus_x_domestica/?name=MDP0000275670","MDP0000275670")</f>
        <v>MDP0000275670</v>
      </c>
      <c r="D19866">
        <v>80.739999999999995</v>
      </c>
      <c r="E19866">
        <v>810</v>
      </c>
      <c r="F19866">
        <v>156</v>
      </c>
      <c r="G19866">
        <v>41</v>
      </c>
      <c r="H19866">
        <v>1</v>
      </c>
      <c r="I19866">
        <v>769</v>
      </c>
      <c r="J19866">
        <v>1</v>
      </c>
      <c r="K19866">
        <v>55</v>
      </c>
      <c r="L19866">
        <v>864</v>
      </c>
      <c r="M19866">
        <v>1</v>
      </c>
      <c r="N19866">
        <v>0</v>
      </c>
      <c r="O19866">
        <v>3517</v>
      </c>
    </row>
    <row r="19867" spans="1:15" x14ac:dyDescent="0.25">
      <c r="A19867" t="s">
        <v>19880</v>
      </c>
      <c r="B19867">
        <v>207</v>
      </c>
      <c r="C19867" s="1" t="str">
        <f>HYPERLINK("http://www.rosaceae.org/gb/gbrowse/malus_x_domestica/?name=MDP0000159369","MDP0000159369")</f>
        <v>MDP0000159369</v>
      </c>
      <c r="D19867">
        <v>55.72</v>
      </c>
      <c r="E19867">
        <v>192</v>
      </c>
      <c r="F19867">
        <v>85</v>
      </c>
      <c r="G19867">
        <v>0</v>
      </c>
      <c r="H19867">
        <v>14</v>
      </c>
      <c r="I19867">
        <v>205</v>
      </c>
      <c r="J19867">
        <v>1</v>
      </c>
      <c r="K19867">
        <v>31</v>
      </c>
      <c r="L19867">
        <v>222</v>
      </c>
      <c r="M19867">
        <v>1</v>
      </c>
      <c r="N19867">
        <v>6.5510999999999994E-58</v>
      </c>
      <c r="O19867">
        <v>561</v>
      </c>
    </row>
    <row r="19868" spans="1:15" x14ac:dyDescent="0.25">
      <c r="A19868" t="s">
        <v>19881</v>
      </c>
      <c r="B19868">
        <v>354</v>
      </c>
      <c r="C19868" s="1" t="str">
        <f>HYPERLINK("http://www.rosaceae.org/gb/gbrowse/malus_x_domestica/?name=MDP0000143473","MDP0000143473")</f>
        <v>MDP0000143473</v>
      </c>
      <c r="D19868">
        <v>65.14</v>
      </c>
      <c r="E19868">
        <v>350</v>
      </c>
      <c r="F19868">
        <v>122</v>
      </c>
      <c r="G19868">
        <v>11</v>
      </c>
      <c r="H19868">
        <v>3</v>
      </c>
      <c r="I19868">
        <v>342</v>
      </c>
      <c r="J19868">
        <v>1</v>
      </c>
      <c r="K19868">
        <v>2</v>
      </c>
      <c r="L19868">
        <v>350</v>
      </c>
      <c r="M19868">
        <v>1</v>
      </c>
      <c r="N19868">
        <v>1.45051E-120</v>
      </c>
      <c r="O19868">
        <v>1105</v>
      </c>
    </row>
    <row r="19869" spans="1:15" x14ac:dyDescent="0.25">
      <c r="A19869" t="s">
        <v>19882</v>
      </c>
      <c r="B19869">
        <v>442</v>
      </c>
      <c r="C19869" s="1" t="str">
        <f>HYPERLINK("http://www.rosaceae.org/gb/gbrowse/malus_x_domestica/?name=MDP0000329597","MDP0000329597")</f>
        <v>MDP0000329597</v>
      </c>
      <c r="D19869">
        <v>66.66</v>
      </c>
      <c r="E19869">
        <v>459</v>
      </c>
      <c r="F19869">
        <v>153</v>
      </c>
      <c r="G19869">
        <v>29</v>
      </c>
      <c r="H19869">
        <v>1</v>
      </c>
      <c r="I19869">
        <v>442</v>
      </c>
      <c r="J19869">
        <v>1</v>
      </c>
      <c r="K19869">
        <v>1</v>
      </c>
      <c r="L19869">
        <v>447</v>
      </c>
      <c r="M19869">
        <v>1</v>
      </c>
      <c r="N19869">
        <v>4.3984700000000001E-169</v>
      </c>
      <c r="O19869">
        <v>1524</v>
      </c>
    </row>
    <row r="19870" spans="1:15" x14ac:dyDescent="0.25">
      <c r="A19870" t="s">
        <v>19883</v>
      </c>
      <c r="B19870">
        <v>434</v>
      </c>
      <c r="C19870" s="1" t="str">
        <f>HYPERLINK("http://www.rosaceae.org/gb/gbrowse/malus_x_domestica/?name=MDP0000129426","MDP0000129426")</f>
        <v>MDP0000129426</v>
      </c>
      <c r="D19870">
        <v>68.5</v>
      </c>
      <c r="E19870">
        <v>416</v>
      </c>
      <c r="F19870">
        <v>131</v>
      </c>
      <c r="G19870">
        <v>34</v>
      </c>
      <c r="H19870">
        <v>27</v>
      </c>
      <c r="I19870">
        <v>418</v>
      </c>
      <c r="J19870">
        <v>1</v>
      </c>
      <c r="K19870">
        <v>1</v>
      </c>
      <c r="L19870">
        <v>406</v>
      </c>
      <c r="M19870">
        <v>1</v>
      </c>
      <c r="N19870">
        <v>2.33951E-157</v>
      </c>
      <c r="O19870">
        <v>1423</v>
      </c>
    </row>
    <row r="19871" spans="1:15" x14ac:dyDescent="0.25">
      <c r="A19871" t="s">
        <v>19884</v>
      </c>
      <c r="B19871">
        <v>214</v>
      </c>
      <c r="C19871" s="1" t="str">
        <f>HYPERLINK("http://www.rosaceae.org/gb/gbrowse/malus_x_domestica/?name=MDP0000230253","MDP0000230253")</f>
        <v>MDP0000230253</v>
      </c>
      <c r="D19871">
        <v>46.83</v>
      </c>
      <c r="E19871">
        <v>237</v>
      </c>
      <c r="F19871">
        <v>126</v>
      </c>
      <c r="G19871">
        <v>40</v>
      </c>
      <c r="H19871">
        <v>1</v>
      </c>
      <c r="I19871">
        <v>212</v>
      </c>
      <c r="J19871">
        <v>1</v>
      </c>
      <c r="K19871">
        <v>1</v>
      </c>
      <c r="L19871">
        <v>222</v>
      </c>
      <c r="M19871">
        <v>1</v>
      </c>
      <c r="N19871">
        <v>5.09358E-49</v>
      </c>
      <c r="O19871">
        <v>485</v>
      </c>
    </row>
    <row r="19872" spans="1:15" x14ac:dyDescent="0.25">
      <c r="A19872" t="s">
        <v>19885</v>
      </c>
      <c r="B19872">
        <v>332</v>
      </c>
      <c r="C19872" s="1" t="str">
        <f>HYPERLINK("http://www.rosaceae.org/gb/gbrowse/malus_x_domestica/?name=MDP0000297304","MDP0000297304")</f>
        <v>MDP0000297304</v>
      </c>
      <c r="D19872">
        <v>84.63</v>
      </c>
      <c r="E19872">
        <v>332</v>
      </c>
      <c r="F19872">
        <v>51</v>
      </c>
      <c r="G19872">
        <v>0</v>
      </c>
      <c r="H19872">
        <v>1</v>
      </c>
      <c r="I19872">
        <v>332</v>
      </c>
      <c r="J19872">
        <v>1</v>
      </c>
      <c r="K19872">
        <v>2</v>
      </c>
      <c r="L19872">
        <v>333</v>
      </c>
      <c r="M19872">
        <v>1</v>
      </c>
      <c r="N19872">
        <v>2.1299899999999999E-173</v>
      </c>
      <c r="O19872">
        <v>1560</v>
      </c>
    </row>
    <row r="19873" spans="1:15" x14ac:dyDescent="0.25">
      <c r="A19873" t="s">
        <v>19886</v>
      </c>
      <c r="B19873">
        <v>458</v>
      </c>
      <c r="C19873" s="1" t="str">
        <f>HYPERLINK("http://www.rosaceae.org/gb/gbrowse/malus_x_domestica/?name=MDP0000320711","MDP0000320711")</f>
        <v>MDP0000320711</v>
      </c>
      <c r="D19873">
        <v>37.22</v>
      </c>
      <c r="E19873">
        <v>462</v>
      </c>
      <c r="F19873">
        <v>290</v>
      </c>
      <c r="G19873">
        <v>53</v>
      </c>
      <c r="H19873">
        <v>27</v>
      </c>
      <c r="I19873">
        <v>445</v>
      </c>
      <c r="J19873">
        <v>1</v>
      </c>
      <c r="K19873">
        <v>73</v>
      </c>
      <c r="L19873">
        <v>524</v>
      </c>
      <c r="M19873">
        <v>1</v>
      </c>
      <c r="N19873">
        <v>3.4363100000000002E-59</v>
      </c>
      <c r="O19873">
        <v>577</v>
      </c>
    </row>
    <row r="19874" spans="1:15" x14ac:dyDescent="0.25">
      <c r="A19874" t="s">
        <v>19887</v>
      </c>
      <c r="B19874">
        <v>613</v>
      </c>
      <c r="C19874" s="1" t="str">
        <f>HYPERLINK("http://www.rosaceae.org/gb/gbrowse/malus_x_domestica/?name=MDP0000204381","MDP0000204381")</f>
        <v>MDP0000204381</v>
      </c>
      <c r="D19874">
        <v>82.67</v>
      </c>
      <c r="E19874">
        <v>612</v>
      </c>
      <c r="F19874">
        <v>106</v>
      </c>
      <c r="G19874">
        <v>16</v>
      </c>
      <c r="H19874">
        <v>1</v>
      </c>
      <c r="I19874">
        <v>612</v>
      </c>
      <c r="J19874">
        <v>1</v>
      </c>
      <c r="K19874">
        <v>1</v>
      </c>
      <c r="L19874">
        <v>596</v>
      </c>
      <c r="M19874">
        <v>1</v>
      </c>
      <c r="N19874">
        <v>0</v>
      </c>
      <c r="O19874">
        <v>2693</v>
      </c>
    </row>
    <row r="19875" spans="1:15" x14ac:dyDescent="0.25">
      <c r="A19875" t="s">
        <v>19888</v>
      </c>
      <c r="B19875">
        <v>752</v>
      </c>
      <c r="C19875" s="1" t="str">
        <f>HYPERLINK("http://www.rosaceae.org/gb/gbrowse/malus_x_domestica/?name=MDP0000020140","MDP0000020140")</f>
        <v>MDP0000020140</v>
      </c>
      <c r="D19875">
        <v>71.13</v>
      </c>
      <c r="E19875">
        <v>738</v>
      </c>
      <c r="F19875">
        <v>213</v>
      </c>
      <c r="G19875">
        <v>3</v>
      </c>
      <c r="H19875">
        <v>18</v>
      </c>
      <c r="I19875">
        <v>752</v>
      </c>
      <c r="J19875">
        <v>1</v>
      </c>
      <c r="K19875">
        <v>5</v>
      </c>
      <c r="L19875">
        <v>742</v>
      </c>
      <c r="M19875">
        <v>1</v>
      </c>
      <c r="N19875">
        <v>0</v>
      </c>
      <c r="O19875">
        <v>2853</v>
      </c>
    </row>
    <row r="19876" spans="1:15" x14ac:dyDescent="0.25">
      <c r="A19876" t="s">
        <v>19889</v>
      </c>
      <c r="B19876">
        <v>229</v>
      </c>
      <c r="C19876" s="1" t="str">
        <f>HYPERLINK("http://www.rosaceae.org/gb/gbrowse/malus_x_domestica/?name=MDP0000228914","MDP0000228914")</f>
        <v>MDP0000228914</v>
      </c>
      <c r="D19876">
        <v>58.69</v>
      </c>
      <c r="E19876">
        <v>230</v>
      </c>
      <c r="F19876">
        <v>95</v>
      </c>
      <c r="G19876">
        <v>39</v>
      </c>
      <c r="H19876">
        <v>1</v>
      </c>
      <c r="I19876">
        <v>229</v>
      </c>
      <c r="J19876">
        <v>1</v>
      </c>
      <c r="K19876">
        <v>1</v>
      </c>
      <c r="L19876">
        <v>192</v>
      </c>
      <c r="M19876">
        <v>1</v>
      </c>
      <c r="N19876">
        <v>9.2705200000000006E-65</v>
      </c>
      <c r="O19876">
        <v>621</v>
      </c>
    </row>
    <row r="19877" spans="1:15" x14ac:dyDescent="0.25">
      <c r="A19877" t="s">
        <v>19890</v>
      </c>
      <c r="B19877">
        <v>464</v>
      </c>
      <c r="C19877" s="1" t="str">
        <f>HYPERLINK("http://www.rosaceae.org/gb/gbrowse/malus_x_domestica/?name=MDP0000405936","MDP0000405936")</f>
        <v>MDP0000405936</v>
      </c>
      <c r="D19877">
        <v>37.17</v>
      </c>
      <c r="E19877">
        <v>460</v>
      </c>
      <c r="F19877">
        <v>289</v>
      </c>
      <c r="G19877">
        <v>18</v>
      </c>
      <c r="H19877">
        <v>12</v>
      </c>
      <c r="I19877">
        <v>462</v>
      </c>
      <c r="J19877">
        <v>1</v>
      </c>
      <c r="K19877">
        <v>26</v>
      </c>
      <c r="L19877">
        <v>476</v>
      </c>
      <c r="M19877">
        <v>1</v>
      </c>
      <c r="N19877">
        <v>4.3104199999999999E-84</v>
      </c>
      <c r="O19877">
        <v>791</v>
      </c>
    </row>
    <row r="19878" spans="1:15" x14ac:dyDescent="0.25">
      <c r="A19878" t="s">
        <v>19891</v>
      </c>
      <c r="B19878">
        <v>296</v>
      </c>
      <c r="C19878" s="1" t="str">
        <f>HYPERLINK("http://www.rosaceae.org/gb/gbrowse/malus_x_domestica/?name=MDP0000290979","MDP0000290979")</f>
        <v>MDP0000290979</v>
      </c>
      <c r="D19878">
        <v>72.14</v>
      </c>
      <c r="E19878">
        <v>280</v>
      </c>
      <c r="F19878">
        <v>78</v>
      </c>
      <c r="G19878">
        <v>2</v>
      </c>
      <c r="H19878">
        <v>15</v>
      </c>
      <c r="I19878">
        <v>292</v>
      </c>
      <c r="J19878">
        <v>1</v>
      </c>
      <c r="K19878">
        <v>20</v>
      </c>
      <c r="L19878">
        <v>299</v>
      </c>
      <c r="M19878">
        <v>1</v>
      </c>
      <c r="N19878">
        <v>2.4946199999999999E-102</v>
      </c>
      <c r="O19878">
        <v>946</v>
      </c>
    </row>
    <row r="19879" spans="1:15" x14ac:dyDescent="0.25">
      <c r="A19879" t="s">
        <v>19892</v>
      </c>
      <c r="B19879">
        <v>322</v>
      </c>
      <c r="C19879" s="1" t="str">
        <f>HYPERLINK("http://www.rosaceae.org/gb/gbrowse/malus_x_domestica/?name=MDP0000232426","MDP0000232426")</f>
        <v>MDP0000232426</v>
      </c>
      <c r="D19879">
        <v>86.84</v>
      </c>
      <c r="E19879">
        <v>228</v>
      </c>
      <c r="F19879">
        <v>30</v>
      </c>
      <c r="G19879">
        <v>0</v>
      </c>
      <c r="H19879">
        <v>88</v>
      </c>
      <c r="I19879">
        <v>315</v>
      </c>
      <c r="J19879">
        <v>1</v>
      </c>
      <c r="K19879">
        <v>153</v>
      </c>
      <c r="L19879">
        <v>380</v>
      </c>
      <c r="M19879">
        <v>1</v>
      </c>
      <c r="N19879">
        <v>1.7054899999999999E-123</v>
      </c>
      <c r="O19879">
        <v>1129</v>
      </c>
    </row>
    <row r="19880" spans="1:15" x14ac:dyDescent="0.25">
      <c r="A19880" t="s">
        <v>19893</v>
      </c>
      <c r="B19880">
        <v>462</v>
      </c>
      <c r="C19880" s="1" t="str">
        <f>HYPERLINK("http://www.rosaceae.org/gb/gbrowse/malus_x_domestica/?name=MDP0000319456","MDP0000319456")</f>
        <v>MDP0000319456</v>
      </c>
      <c r="D19880">
        <v>56.23</v>
      </c>
      <c r="E19880">
        <v>377</v>
      </c>
      <c r="F19880">
        <v>165</v>
      </c>
      <c r="G19880">
        <v>54</v>
      </c>
      <c r="H19880">
        <v>104</v>
      </c>
      <c r="I19880">
        <v>455</v>
      </c>
      <c r="J19880">
        <v>1</v>
      </c>
      <c r="K19880">
        <v>128</v>
      </c>
      <c r="L19880">
        <v>475</v>
      </c>
      <c r="M19880">
        <v>1</v>
      </c>
      <c r="N19880">
        <v>1.3795599999999999E-109</v>
      </c>
      <c r="O19880">
        <v>1011</v>
      </c>
    </row>
    <row r="19881" spans="1:15" x14ac:dyDescent="0.25">
      <c r="A19881" t="s">
        <v>19894</v>
      </c>
      <c r="B19881">
        <v>998</v>
      </c>
      <c r="C19881" s="1" t="str">
        <f>HYPERLINK("http://www.rosaceae.org/gb/gbrowse/malus_x_domestica/?name=MDP0000322698","MDP0000322698")</f>
        <v>MDP0000322698</v>
      </c>
      <c r="D19881">
        <v>80.66</v>
      </c>
      <c r="E19881">
        <v>481</v>
      </c>
      <c r="F19881">
        <v>93</v>
      </c>
      <c r="G19881">
        <v>6</v>
      </c>
      <c r="H19881">
        <v>519</v>
      </c>
      <c r="I19881">
        <v>998</v>
      </c>
      <c r="J19881">
        <v>1</v>
      </c>
      <c r="K19881">
        <v>101</v>
      </c>
      <c r="L19881">
        <v>576</v>
      </c>
      <c r="M19881">
        <v>1</v>
      </c>
      <c r="N19881">
        <v>0</v>
      </c>
      <c r="O19881">
        <v>2080</v>
      </c>
    </row>
    <row r="19882" spans="1:15" x14ac:dyDescent="0.25">
      <c r="A19882" t="s">
        <v>19895</v>
      </c>
      <c r="B19882">
        <v>883</v>
      </c>
      <c r="C19882" s="1" t="str">
        <f>HYPERLINK("http://www.rosaceae.org/gb/gbrowse/malus_x_domestica/?name=MDP0000247000","MDP0000247000")</f>
        <v>MDP0000247000</v>
      </c>
      <c r="D19882">
        <v>77.36</v>
      </c>
      <c r="E19882">
        <v>888</v>
      </c>
      <c r="F19882">
        <v>201</v>
      </c>
      <c r="G19882">
        <v>6</v>
      </c>
      <c r="H19882">
        <v>1</v>
      </c>
      <c r="I19882">
        <v>883</v>
      </c>
      <c r="J19882">
        <v>1</v>
      </c>
      <c r="K19882">
        <v>290</v>
      </c>
      <c r="L19882">
        <v>1176</v>
      </c>
      <c r="M19882">
        <v>1</v>
      </c>
      <c r="N19882">
        <v>0</v>
      </c>
      <c r="O19882">
        <v>3665</v>
      </c>
    </row>
    <row r="19883" spans="1:15" x14ac:dyDescent="0.25">
      <c r="A19883" t="s">
        <v>19896</v>
      </c>
      <c r="B19883">
        <v>145</v>
      </c>
      <c r="C19883" s="1" t="str">
        <f>HYPERLINK("http://www.rosaceae.org/gb/gbrowse/malus_x_domestica/?name=MDP0000285074","MDP0000285074")</f>
        <v>MDP0000285074</v>
      </c>
      <c r="D19883">
        <v>75.28</v>
      </c>
      <c r="E19883">
        <v>89</v>
      </c>
      <c r="F19883">
        <v>22</v>
      </c>
      <c r="G19883">
        <v>0</v>
      </c>
      <c r="H19883">
        <v>24</v>
      </c>
      <c r="I19883">
        <v>112</v>
      </c>
      <c r="J19883">
        <v>1</v>
      </c>
      <c r="K19883">
        <v>23</v>
      </c>
      <c r="L19883">
        <v>111</v>
      </c>
      <c r="M19883">
        <v>1</v>
      </c>
      <c r="N19883">
        <v>9.8637500000000001E-35</v>
      </c>
      <c r="O19883">
        <v>359</v>
      </c>
    </row>
    <row r="19884" spans="1:15" x14ac:dyDescent="0.25">
      <c r="A19884" t="s">
        <v>19897</v>
      </c>
      <c r="B19884">
        <v>156</v>
      </c>
      <c r="C19884" s="1" t="str">
        <f>HYPERLINK("http://www.rosaceae.org/gb/gbrowse/malus_x_domestica/?name=MDP0000205983","MDP0000205983")</f>
        <v>MDP0000205983</v>
      </c>
      <c r="D19884">
        <v>75.89</v>
      </c>
      <c r="E19884">
        <v>112</v>
      </c>
      <c r="F19884">
        <v>27</v>
      </c>
      <c r="G19884">
        <v>0</v>
      </c>
      <c r="H19884">
        <v>24</v>
      </c>
      <c r="I19884">
        <v>135</v>
      </c>
      <c r="J19884">
        <v>1</v>
      </c>
      <c r="K19884">
        <v>23</v>
      </c>
      <c r="L19884">
        <v>134</v>
      </c>
      <c r="M19884">
        <v>1</v>
      </c>
      <c r="N19884">
        <v>1.4810400000000001E-43</v>
      </c>
      <c r="O19884">
        <v>435</v>
      </c>
    </row>
    <row r="19885" spans="1:15" x14ac:dyDescent="0.25">
      <c r="A19885" t="s">
        <v>19898</v>
      </c>
      <c r="B19885">
        <v>405</v>
      </c>
      <c r="C19885" s="1" t="str">
        <f>HYPERLINK("http://www.rosaceae.org/gb/gbrowse/malus_x_domestica/?name=MDP0000265796","MDP0000265796")</f>
        <v>MDP0000265796</v>
      </c>
      <c r="D19885">
        <v>71.73</v>
      </c>
      <c r="E19885">
        <v>414</v>
      </c>
      <c r="F19885">
        <v>117</v>
      </c>
      <c r="G19885">
        <v>18</v>
      </c>
      <c r="H19885">
        <v>6</v>
      </c>
      <c r="I19885">
        <v>405</v>
      </c>
      <c r="J19885">
        <v>1</v>
      </c>
      <c r="K19885">
        <v>673</v>
      </c>
      <c r="L19885">
        <v>1082</v>
      </c>
      <c r="M19885">
        <v>1</v>
      </c>
      <c r="N19885">
        <v>7.0161199999999999E-165</v>
      </c>
      <c r="O19885">
        <v>1487</v>
      </c>
    </row>
    <row r="19886" spans="1:15" x14ac:dyDescent="0.25">
      <c r="A19886" t="s">
        <v>19899</v>
      </c>
      <c r="B19886">
        <v>1050</v>
      </c>
      <c r="C19886" s="1" t="str">
        <f>HYPERLINK("http://www.rosaceae.org/gb/gbrowse/malus_x_domestica/?name=MDP0000312750","MDP0000312750")</f>
        <v>MDP0000312750</v>
      </c>
      <c r="D19886">
        <v>72.7</v>
      </c>
      <c r="E19886">
        <v>1044</v>
      </c>
      <c r="F19886">
        <v>285</v>
      </c>
      <c r="G19886">
        <v>65</v>
      </c>
      <c r="H19886">
        <v>1</v>
      </c>
      <c r="I19886">
        <v>1016</v>
      </c>
      <c r="J19886">
        <v>1</v>
      </c>
      <c r="K19886">
        <v>1</v>
      </c>
      <c r="L19886">
        <v>1007</v>
      </c>
      <c r="M19886">
        <v>1</v>
      </c>
      <c r="N19886">
        <v>0</v>
      </c>
      <c r="O19886">
        <v>3793</v>
      </c>
    </row>
    <row r="19887" spans="1:15" x14ac:dyDescent="0.25">
      <c r="A19887" t="s">
        <v>19900</v>
      </c>
      <c r="B19887">
        <v>484</v>
      </c>
      <c r="C19887" s="1" t="str">
        <f>HYPERLINK("http://www.rosaceae.org/gb/gbrowse/malus_x_domestica/?name=MDP0000147118","MDP0000147118")</f>
        <v>MDP0000147118</v>
      </c>
      <c r="D19887">
        <v>80.650000000000006</v>
      </c>
      <c r="E19887">
        <v>486</v>
      </c>
      <c r="F19887">
        <v>94</v>
      </c>
      <c r="G19887">
        <v>8</v>
      </c>
      <c r="H19887">
        <v>6</v>
      </c>
      <c r="I19887">
        <v>483</v>
      </c>
      <c r="J19887">
        <v>1</v>
      </c>
      <c r="K19887">
        <v>7</v>
      </c>
      <c r="L19887">
        <v>492</v>
      </c>
      <c r="M19887">
        <v>1</v>
      </c>
      <c r="N19887">
        <v>0</v>
      </c>
      <c r="O19887">
        <v>2002</v>
      </c>
    </row>
    <row r="19888" spans="1:15" x14ac:dyDescent="0.25">
      <c r="A19888" t="s">
        <v>19901</v>
      </c>
      <c r="B19888">
        <v>558</v>
      </c>
      <c r="C19888" s="1" t="str">
        <f>HYPERLINK("http://www.rosaceae.org/gb/gbrowse/malus_x_domestica/?name=MDP0000277887","MDP0000277887")</f>
        <v>MDP0000277887</v>
      </c>
      <c r="D19888">
        <v>45.9</v>
      </c>
      <c r="E19888">
        <v>61</v>
      </c>
      <c r="F19888">
        <v>33</v>
      </c>
      <c r="G19888">
        <v>0</v>
      </c>
      <c r="H19888">
        <v>197</v>
      </c>
      <c r="I19888">
        <v>257</v>
      </c>
      <c r="J19888">
        <v>1</v>
      </c>
      <c r="K19888">
        <v>514</v>
      </c>
      <c r="L19888">
        <v>574</v>
      </c>
      <c r="M19888">
        <v>1</v>
      </c>
      <c r="N19888">
        <v>1.08055E-9</v>
      </c>
      <c r="O19888">
        <v>151</v>
      </c>
    </row>
    <row r="19889" spans="1:15" x14ac:dyDescent="0.25">
      <c r="A19889" t="s">
        <v>19902</v>
      </c>
      <c r="B19889">
        <v>1919</v>
      </c>
      <c r="C19889" s="1" t="str">
        <f>HYPERLINK("http://www.rosaceae.org/gb/gbrowse/malus_x_domestica/?name=MDP0000312861","MDP0000312861")</f>
        <v>MDP0000312861</v>
      </c>
      <c r="D19889">
        <v>46.7</v>
      </c>
      <c r="E19889">
        <v>349</v>
      </c>
      <c r="F19889">
        <v>186</v>
      </c>
      <c r="G19889">
        <v>22</v>
      </c>
      <c r="H19889">
        <v>140</v>
      </c>
      <c r="I19889">
        <v>470</v>
      </c>
      <c r="J19889">
        <v>1</v>
      </c>
      <c r="K19889">
        <v>2</v>
      </c>
      <c r="L19889">
        <v>346</v>
      </c>
      <c r="M19889">
        <v>1</v>
      </c>
      <c r="N19889">
        <v>4.5002900000000003E-76</v>
      </c>
      <c r="O19889">
        <v>728</v>
      </c>
    </row>
    <row r="19890" spans="1:15" x14ac:dyDescent="0.25">
      <c r="A19890" t="s">
        <v>19903</v>
      </c>
      <c r="B19890">
        <v>644</v>
      </c>
      <c r="C19890" s="1" t="str">
        <f>HYPERLINK("http://www.rosaceae.org/gb/gbrowse/malus_x_domestica/?name=MDP0000312861","MDP0000312861")</f>
        <v>MDP0000312861</v>
      </c>
      <c r="D19890">
        <v>38.9</v>
      </c>
      <c r="E19890">
        <v>365</v>
      </c>
      <c r="F19890">
        <v>223</v>
      </c>
      <c r="G19890">
        <v>59</v>
      </c>
      <c r="H19890">
        <v>3</v>
      </c>
      <c r="I19890">
        <v>324</v>
      </c>
      <c r="J19890">
        <v>1</v>
      </c>
      <c r="K19890">
        <v>2</v>
      </c>
      <c r="L19890">
        <v>350</v>
      </c>
      <c r="M19890">
        <v>1</v>
      </c>
      <c r="N19890">
        <v>1.18067E-58</v>
      </c>
      <c r="O19890">
        <v>573</v>
      </c>
    </row>
    <row r="19891" spans="1:15" x14ac:dyDescent="0.25">
      <c r="A19891" t="s">
        <v>19904</v>
      </c>
      <c r="B19891">
        <v>654</v>
      </c>
      <c r="C19891" s="1" t="str">
        <f>HYPERLINK("http://www.rosaceae.org/gb/gbrowse/malus_x_domestica/?name=MDP0000189794","MDP0000189794")</f>
        <v>MDP0000189794</v>
      </c>
      <c r="D19891">
        <v>64.64</v>
      </c>
      <c r="E19891">
        <v>628</v>
      </c>
      <c r="F19891">
        <v>222</v>
      </c>
      <c r="G19891">
        <v>26</v>
      </c>
      <c r="H19891">
        <v>53</v>
      </c>
      <c r="I19891">
        <v>654</v>
      </c>
      <c r="J19891">
        <v>1</v>
      </c>
      <c r="K19891">
        <v>59</v>
      </c>
      <c r="L19891">
        <v>686</v>
      </c>
      <c r="M19891">
        <v>1</v>
      </c>
      <c r="N19891">
        <v>0</v>
      </c>
      <c r="O19891">
        <v>2087</v>
      </c>
    </row>
    <row r="19892" spans="1:15" x14ac:dyDescent="0.25">
      <c r="A19892" t="s">
        <v>19905</v>
      </c>
      <c r="B19892">
        <v>336</v>
      </c>
      <c r="C19892" s="1" t="str">
        <f>HYPERLINK("http://www.rosaceae.org/gb/gbrowse/malus_x_domestica/?name=MDP0000922558","MDP0000922558")</f>
        <v>MDP0000922558</v>
      </c>
      <c r="D19892">
        <v>72.91</v>
      </c>
      <c r="E19892">
        <v>336</v>
      </c>
      <c r="F19892">
        <v>91</v>
      </c>
      <c r="G19892">
        <v>3</v>
      </c>
      <c r="H19892">
        <v>4</v>
      </c>
      <c r="I19892">
        <v>336</v>
      </c>
      <c r="J19892">
        <v>1</v>
      </c>
      <c r="K19892">
        <v>6</v>
      </c>
      <c r="L19892">
        <v>341</v>
      </c>
      <c r="M19892">
        <v>1</v>
      </c>
      <c r="N19892">
        <v>8.1632899999999996E-146</v>
      </c>
      <c r="O19892">
        <v>1322</v>
      </c>
    </row>
    <row r="19893" spans="1:15" x14ac:dyDescent="0.25">
      <c r="A19893" t="s">
        <v>19906</v>
      </c>
      <c r="B19893">
        <v>174</v>
      </c>
      <c r="C19893" s="1" t="str">
        <f>HYPERLINK("http://www.rosaceae.org/gb/gbrowse/malus_x_domestica/?name=MDP0000478049","MDP0000478049")</f>
        <v>MDP0000478049</v>
      </c>
      <c r="D19893">
        <v>47.75</v>
      </c>
      <c r="E19893">
        <v>178</v>
      </c>
      <c r="F19893">
        <v>93</v>
      </c>
      <c r="G19893">
        <v>11</v>
      </c>
      <c r="H19893">
        <v>5</v>
      </c>
      <c r="I19893">
        <v>173</v>
      </c>
      <c r="J19893">
        <v>1</v>
      </c>
      <c r="K19893">
        <v>25</v>
      </c>
      <c r="L19893">
        <v>200</v>
      </c>
      <c r="M19893">
        <v>1</v>
      </c>
      <c r="N19893">
        <v>7.0661300000000004E-36</v>
      </c>
      <c r="O19893">
        <v>370</v>
      </c>
    </row>
    <row r="19894" spans="1:15" x14ac:dyDescent="0.25">
      <c r="A19894" t="s">
        <v>19907</v>
      </c>
      <c r="B19894">
        <v>168</v>
      </c>
      <c r="C19894" s="1" t="str">
        <f>HYPERLINK("http://www.rosaceae.org/gb/gbrowse/malus_x_domestica/?name=MDP0000322985","MDP0000322985")</f>
        <v>MDP0000322985</v>
      </c>
      <c r="D19894">
        <v>62.42</v>
      </c>
      <c r="E19894">
        <v>157</v>
      </c>
      <c r="F19894">
        <v>59</v>
      </c>
      <c r="G19894">
        <v>9</v>
      </c>
      <c r="H19894">
        <v>13</v>
      </c>
      <c r="I19894">
        <v>168</v>
      </c>
      <c r="J19894">
        <v>1</v>
      </c>
      <c r="K19894">
        <v>13</v>
      </c>
      <c r="L19894">
        <v>161</v>
      </c>
      <c r="M19894">
        <v>1</v>
      </c>
      <c r="N19894">
        <v>1.5632200000000001E-42</v>
      </c>
      <c r="O19894">
        <v>427</v>
      </c>
    </row>
    <row r="19895" spans="1:15" x14ac:dyDescent="0.25">
      <c r="A19895" t="s">
        <v>19908</v>
      </c>
      <c r="B19895">
        <v>383</v>
      </c>
      <c r="C19895" s="1" t="str">
        <f>HYPERLINK("http://www.rosaceae.org/gb/gbrowse/malus_x_domestica/?name=MDP0000298697","MDP0000298697")</f>
        <v>MDP0000298697</v>
      </c>
      <c r="D19895">
        <v>57.56</v>
      </c>
      <c r="E19895">
        <v>304</v>
      </c>
      <c r="F19895">
        <v>129</v>
      </c>
      <c r="G19895">
        <v>15</v>
      </c>
      <c r="H19895">
        <v>10</v>
      </c>
      <c r="I19895">
        <v>298</v>
      </c>
      <c r="J19895">
        <v>1</v>
      </c>
      <c r="K19895">
        <v>120</v>
      </c>
      <c r="L19895">
        <v>423</v>
      </c>
      <c r="M19895">
        <v>1</v>
      </c>
      <c r="N19895">
        <v>8.44304E-94</v>
      </c>
      <c r="O19895">
        <v>874</v>
      </c>
    </row>
    <row r="19896" spans="1:15" x14ac:dyDescent="0.25">
      <c r="A19896" t="s">
        <v>19909</v>
      </c>
      <c r="B19896">
        <v>205</v>
      </c>
      <c r="C19896" s="1" t="str">
        <f>HYPERLINK("http://www.rosaceae.org/gb/gbrowse/malus_x_domestica/?name=MDP0000215984","MDP0000215984")</f>
        <v>MDP0000215984</v>
      </c>
      <c r="D19896">
        <v>66.290000000000006</v>
      </c>
      <c r="E19896">
        <v>89</v>
      </c>
      <c r="F19896">
        <v>30</v>
      </c>
      <c r="G19896">
        <v>1</v>
      </c>
      <c r="H19896">
        <v>113</v>
      </c>
      <c r="I19896">
        <v>201</v>
      </c>
      <c r="J19896">
        <v>1</v>
      </c>
      <c r="K19896">
        <v>108</v>
      </c>
      <c r="L19896">
        <v>195</v>
      </c>
      <c r="M19896">
        <v>1</v>
      </c>
      <c r="N19896">
        <v>1.22213E-29</v>
      </c>
      <c r="O19896">
        <v>317</v>
      </c>
    </row>
    <row r="19897" spans="1:15" x14ac:dyDescent="0.25">
      <c r="A19897" t="s">
        <v>19910</v>
      </c>
      <c r="B19897">
        <v>531</v>
      </c>
      <c r="C19897" s="1" t="str">
        <f>HYPERLINK("http://www.rosaceae.org/gb/gbrowse/malus_x_domestica/?name=MDP0000157943","MDP0000157943")</f>
        <v>MDP0000157943</v>
      </c>
      <c r="D19897">
        <v>44.22</v>
      </c>
      <c r="E19897">
        <v>450</v>
      </c>
      <c r="F19897">
        <v>251</v>
      </c>
      <c r="G19897">
        <v>9</v>
      </c>
      <c r="H19897">
        <v>68</v>
      </c>
      <c r="I19897">
        <v>509</v>
      </c>
      <c r="J19897">
        <v>1</v>
      </c>
      <c r="K19897">
        <v>75</v>
      </c>
      <c r="L19897">
        <v>523</v>
      </c>
      <c r="M19897">
        <v>1</v>
      </c>
      <c r="N19897">
        <v>2.5860199999999999E-116</v>
      </c>
      <c r="O19897">
        <v>1070</v>
      </c>
    </row>
    <row r="19898" spans="1:15" x14ac:dyDescent="0.25">
      <c r="A19898" t="s">
        <v>19911</v>
      </c>
      <c r="B19898">
        <v>580</v>
      </c>
      <c r="C19898" s="1" t="str">
        <f>HYPERLINK("http://www.rosaceae.org/gb/gbrowse/malus_x_domestica/?name=MDP0000918304","MDP0000918304")</f>
        <v>MDP0000918304</v>
      </c>
      <c r="D19898">
        <v>65.42</v>
      </c>
      <c r="E19898">
        <v>512</v>
      </c>
      <c r="F19898">
        <v>177</v>
      </c>
      <c r="G19898">
        <v>26</v>
      </c>
      <c r="H19898">
        <v>92</v>
      </c>
      <c r="I19898">
        <v>580</v>
      </c>
      <c r="J19898">
        <v>1</v>
      </c>
      <c r="K19898">
        <v>117</v>
      </c>
      <c r="L19898">
        <v>625</v>
      </c>
      <c r="M19898">
        <v>1</v>
      </c>
      <c r="N19898">
        <v>0</v>
      </c>
      <c r="O19898">
        <v>1721</v>
      </c>
    </row>
    <row r="19899" spans="1:15" x14ac:dyDescent="0.25">
      <c r="A19899" t="s">
        <v>19912</v>
      </c>
      <c r="B19899">
        <v>523</v>
      </c>
      <c r="C19899" s="1" t="str">
        <f>HYPERLINK("http://www.rosaceae.org/gb/gbrowse/malus_x_domestica/?name=MDP0000154584","MDP0000154584")</f>
        <v>MDP0000154584</v>
      </c>
      <c r="D19899">
        <v>44.18</v>
      </c>
      <c r="E19899">
        <v>258</v>
      </c>
      <c r="F19899">
        <v>144</v>
      </c>
      <c r="G19899">
        <v>21</v>
      </c>
      <c r="H19899">
        <v>285</v>
      </c>
      <c r="I19899">
        <v>522</v>
      </c>
      <c r="J19899">
        <v>1</v>
      </c>
      <c r="K19899">
        <v>170</v>
      </c>
      <c r="L19899">
        <v>426</v>
      </c>
      <c r="M19899">
        <v>1</v>
      </c>
      <c r="N19899">
        <v>4.4738100000000004E-59</v>
      </c>
      <c r="O19899">
        <v>576</v>
      </c>
    </row>
    <row r="19900" spans="1:15" x14ac:dyDescent="0.25">
      <c r="A19900" t="s">
        <v>19913</v>
      </c>
      <c r="B19900">
        <v>565</v>
      </c>
      <c r="C19900" s="1" t="str">
        <f>HYPERLINK("http://www.rosaceae.org/gb/gbrowse/malus_x_domestica/?name=MDP0000166425","MDP0000166425")</f>
        <v>MDP0000166425</v>
      </c>
      <c r="D19900">
        <v>70.010000000000005</v>
      </c>
      <c r="E19900">
        <v>567</v>
      </c>
      <c r="F19900">
        <v>170</v>
      </c>
      <c r="G19900">
        <v>13</v>
      </c>
      <c r="H19900">
        <v>1</v>
      </c>
      <c r="I19900">
        <v>565</v>
      </c>
      <c r="J19900">
        <v>1</v>
      </c>
      <c r="K19900">
        <v>1</v>
      </c>
      <c r="L19900">
        <v>556</v>
      </c>
      <c r="M19900">
        <v>1</v>
      </c>
      <c r="N19900">
        <v>0</v>
      </c>
      <c r="O19900">
        <v>2002</v>
      </c>
    </row>
    <row r="19901" spans="1:15" x14ac:dyDescent="0.25">
      <c r="A19901" t="s">
        <v>19914</v>
      </c>
      <c r="B19901">
        <v>743</v>
      </c>
      <c r="C19901" s="1" t="str">
        <f>HYPERLINK("http://www.rosaceae.org/gb/gbrowse/malus_x_domestica/?name=MDP0000175794","MDP0000175794")</f>
        <v>MDP0000175794</v>
      </c>
      <c r="D19901">
        <v>94.31</v>
      </c>
      <c r="E19901">
        <v>176</v>
      </c>
      <c r="F19901">
        <v>10</v>
      </c>
      <c r="G19901">
        <v>0</v>
      </c>
      <c r="H19901">
        <v>1</v>
      </c>
      <c r="I19901">
        <v>176</v>
      </c>
      <c r="J19901">
        <v>1</v>
      </c>
      <c r="K19901">
        <v>1</v>
      </c>
      <c r="L19901">
        <v>176</v>
      </c>
      <c r="M19901">
        <v>1</v>
      </c>
      <c r="N19901">
        <v>4.3934099999999998E-94</v>
      </c>
      <c r="O19901">
        <v>880</v>
      </c>
    </row>
    <row r="19902" spans="1:15" x14ac:dyDescent="0.25">
      <c r="A19902" t="s">
        <v>19915</v>
      </c>
      <c r="B19902">
        <v>264</v>
      </c>
      <c r="C19902" s="1" t="str">
        <f>HYPERLINK("http://www.rosaceae.org/gb/gbrowse/malus_x_domestica/?name=MDP0000308990","MDP0000308990")</f>
        <v>MDP0000308990</v>
      </c>
      <c r="D19902">
        <v>50</v>
      </c>
      <c r="E19902">
        <v>48</v>
      </c>
      <c r="F19902">
        <v>24</v>
      </c>
      <c r="G19902">
        <v>0</v>
      </c>
      <c r="H19902">
        <v>139</v>
      </c>
      <c r="I19902">
        <v>186</v>
      </c>
      <c r="J19902">
        <v>1</v>
      </c>
      <c r="K19902">
        <v>63</v>
      </c>
      <c r="L19902">
        <v>110</v>
      </c>
      <c r="M19902">
        <v>1</v>
      </c>
      <c r="N19902">
        <v>2.8914000000000002E-9</v>
      </c>
      <c r="O19902">
        <v>143</v>
      </c>
    </row>
    <row r="19903" spans="1:15" x14ac:dyDescent="0.25">
      <c r="A19903" t="s">
        <v>19916</v>
      </c>
      <c r="B19903">
        <v>441</v>
      </c>
      <c r="C19903" s="1" t="str">
        <f>HYPERLINK("http://www.rosaceae.org/gb/gbrowse/malus_x_domestica/?name=MDP0000164165","MDP0000164165")</f>
        <v>MDP0000164165</v>
      </c>
      <c r="D19903">
        <v>60.95</v>
      </c>
      <c r="E19903">
        <v>105</v>
      </c>
      <c r="F19903">
        <v>41</v>
      </c>
      <c r="G19903">
        <v>8</v>
      </c>
      <c r="H19903">
        <v>42</v>
      </c>
      <c r="I19903">
        <v>145</v>
      </c>
      <c r="J19903">
        <v>1</v>
      </c>
      <c r="K19903">
        <v>95</v>
      </c>
      <c r="L19903">
        <v>192</v>
      </c>
      <c r="M19903">
        <v>1</v>
      </c>
      <c r="N19903">
        <v>5.7276000000000001E-25</v>
      </c>
      <c r="O19903">
        <v>281</v>
      </c>
    </row>
    <row r="19904" spans="1:15" x14ac:dyDescent="0.25">
      <c r="A19904" t="s">
        <v>19917</v>
      </c>
      <c r="B19904">
        <v>157</v>
      </c>
      <c r="C19904" s="1" t="str">
        <f>HYPERLINK("http://www.rosaceae.org/gb/gbrowse/malus_x_domestica/?name=MDP0000252316","MDP0000252316")</f>
        <v>MDP0000252316</v>
      </c>
      <c r="D19904">
        <v>69.19</v>
      </c>
      <c r="E19904">
        <v>198</v>
      </c>
      <c r="F19904">
        <v>61</v>
      </c>
      <c r="G19904">
        <v>44</v>
      </c>
      <c r="H19904">
        <v>1</v>
      </c>
      <c r="I19904">
        <v>154</v>
      </c>
      <c r="J19904">
        <v>1</v>
      </c>
      <c r="K19904">
        <v>48</v>
      </c>
      <c r="L19904">
        <v>245</v>
      </c>
      <c r="M19904">
        <v>1</v>
      </c>
      <c r="N19904">
        <v>3.6756299999999998E-72</v>
      </c>
      <c r="O19904">
        <v>682</v>
      </c>
    </row>
    <row r="19905" spans="1:15" x14ac:dyDescent="0.25">
      <c r="A19905" t="s">
        <v>19918</v>
      </c>
      <c r="B19905">
        <v>357</v>
      </c>
      <c r="C19905" s="1" t="str">
        <f>HYPERLINK("http://www.rosaceae.org/gb/gbrowse/malus_x_domestica/?name=MDP0000295220","MDP0000295220")</f>
        <v>MDP0000295220</v>
      </c>
      <c r="D19905">
        <v>73.33</v>
      </c>
      <c r="E19905">
        <v>360</v>
      </c>
      <c r="F19905">
        <v>96</v>
      </c>
      <c r="G19905">
        <v>29</v>
      </c>
      <c r="H19905">
        <v>26</v>
      </c>
      <c r="I19905">
        <v>357</v>
      </c>
      <c r="J19905">
        <v>1</v>
      </c>
      <c r="K19905">
        <v>68</v>
      </c>
      <c r="L19905">
        <v>426</v>
      </c>
      <c r="M19905">
        <v>1</v>
      </c>
      <c r="N19905">
        <v>4.19538E-153</v>
      </c>
      <c r="O19905">
        <v>1385</v>
      </c>
    </row>
    <row r="19906" spans="1:15" x14ac:dyDescent="0.25">
      <c r="A19906" t="s">
        <v>19919</v>
      </c>
      <c r="B19906">
        <v>661</v>
      </c>
      <c r="C19906" s="1" t="str">
        <f>HYPERLINK("http://www.rosaceae.org/gb/gbrowse/malus_x_domestica/?name=MDP0000223670","MDP0000223670")</f>
        <v>MDP0000223670</v>
      </c>
      <c r="D19906">
        <v>56.44</v>
      </c>
      <c r="E19906">
        <v>636</v>
      </c>
      <c r="F19906">
        <v>277</v>
      </c>
      <c r="G19906">
        <v>67</v>
      </c>
      <c r="H19906">
        <v>79</v>
      </c>
      <c r="I19906">
        <v>650</v>
      </c>
      <c r="J19906">
        <v>1</v>
      </c>
      <c r="K19906">
        <v>3</v>
      </c>
      <c r="L19906">
        <v>635</v>
      </c>
      <c r="M19906">
        <v>1</v>
      </c>
      <c r="N19906">
        <v>1.5243700000000001E-177</v>
      </c>
      <c r="O19906">
        <v>1599</v>
      </c>
    </row>
    <row r="19907" spans="1:15" x14ac:dyDescent="0.25">
      <c r="A19907" t="s">
        <v>19920</v>
      </c>
      <c r="B19907">
        <v>454</v>
      </c>
      <c r="C19907" s="1" t="str">
        <f>HYPERLINK("http://www.rosaceae.org/gb/gbrowse/malus_x_domestica/?name=MDP0000911085","MDP0000911085")</f>
        <v>MDP0000911085</v>
      </c>
      <c r="D19907">
        <v>87.03</v>
      </c>
      <c r="E19907">
        <v>347</v>
      </c>
      <c r="F19907">
        <v>45</v>
      </c>
      <c r="G19907">
        <v>5</v>
      </c>
      <c r="H19907">
        <v>47</v>
      </c>
      <c r="I19907">
        <v>388</v>
      </c>
      <c r="J19907">
        <v>1</v>
      </c>
      <c r="K19907">
        <v>52</v>
      </c>
      <c r="L19907">
        <v>398</v>
      </c>
      <c r="M19907">
        <v>1</v>
      </c>
      <c r="N19907">
        <v>4.35722E-179</v>
      </c>
      <c r="O19907">
        <v>1610</v>
      </c>
    </row>
    <row r="19908" spans="1:15" x14ac:dyDescent="0.25">
      <c r="A19908" t="s">
        <v>19921</v>
      </c>
      <c r="B19908">
        <v>108</v>
      </c>
      <c r="C19908" s="1" t="str">
        <f>HYPERLINK("http://www.rosaceae.org/gb/gbrowse/malus_x_domestica/?name=MDP0000751295","MDP0000751295")</f>
        <v>MDP0000751295</v>
      </c>
      <c r="D19908">
        <v>63.88</v>
      </c>
      <c r="E19908">
        <v>108</v>
      </c>
      <c r="F19908">
        <v>39</v>
      </c>
      <c r="G19908">
        <v>0</v>
      </c>
      <c r="H19908">
        <v>1</v>
      </c>
      <c r="I19908">
        <v>108</v>
      </c>
      <c r="J19908">
        <v>1</v>
      </c>
      <c r="K19908">
        <v>1</v>
      </c>
      <c r="L19908">
        <v>108</v>
      </c>
      <c r="M19908">
        <v>1</v>
      </c>
      <c r="N19908">
        <v>1.4299399999999999E-32</v>
      </c>
      <c r="O19908">
        <v>338</v>
      </c>
    </row>
    <row r="19909" spans="1:15" x14ac:dyDescent="0.25">
      <c r="A19909" t="s">
        <v>19922</v>
      </c>
      <c r="B19909">
        <v>634</v>
      </c>
      <c r="C19909" s="1" t="str">
        <f>HYPERLINK("http://www.rosaceae.org/gb/gbrowse/malus_x_domestica/?name=MDP0000265164","MDP0000265164")</f>
        <v>MDP0000265164</v>
      </c>
      <c r="D19909">
        <v>39.61</v>
      </c>
      <c r="E19909">
        <v>419</v>
      </c>
      <c r="F19909">
        <v>253</v>
      </c>
      <c r="G19909">
        <v>49</v>
      </c>
      <c r="H19909">
        <v>103</v>
      </c>
      <c r="I19909">
        <v>491</v>
      </c>
      <c r="J19909">
        <v>1</v>
      </c>
      <c r="K19909">
        <v>622</v>
      </c>
      <c r="L19909">
        <v>1021</v>
      </c>
      <c r="M19909">
        <v>1</v>
      </c>
      <c r="N19909">
        <v>1.5762199999999999E-61</v>
      </c>
      <c r="O19909">
        <v>598</v>
      </c>
    </row>
    <row r="19910" spans="1:15" x14ac:dyDescent="0.25">
      <c r="A19910" t="s">
        <v>19923</v>
      </c>
      <c r="B19910">
        <v>447</v>
      </c>
      <c r="C19910" s="1" t="str">
        <f>HYPERLINK("http://www.rosaceae.org/gb/gbrowse/malus_x_domestica/?name=MDP0000146616","MDP0000146616")</f>
        <v>MDP0000146616</v>
      </c>
      <c r="D19910">
        <v>41.29</v>
      </c>
      <c r="E19910">
        <v>247</v>
      </c>
      <c r="F19910">
        <v>145</v>
      </c>
      <c r="G19910">
        <v>46</v>
      </c>
      <c r="H19910">
        <v>204</v>
      </c>
      <c r="I19910">
        <v>430</v>
      </c>
      <c r="J19910">
        <v>1</v>
      </c>
      <c r="K19910">
        <v>374</v>
      </c>
      <c r="L19910">
        <v>594</v>
      </c>
      <c r="M19910">
        <v>1</v>
      </c>
      <c r="N19910">
        <v>3.5198500000000001E-39</v>
      </c>
      <c r="O19910">
        <v>404</v>
      </c>
    </row>
    <row r="19911" spans="1:15" x14ac:dyDescent="0.25">
      <c r="A19911" t="s">
        <v>19924</v>
      </c>
      <c r="B19911">
        <v>494</v>
      </c>
      <c r="C19911" s="1" t="str">
        <f>HYPERLINK("http://www.rosaceae.org/gb/gbrowse/malus_x_domestica/?name=MDP0000186402","MDP0000186402")</f>
        <v>MDP0000186402</v>
      </c>
      <c r="D19911">
        <v>23.73</v>
      </c>
      <c r="E19911">
        <v>375</v>
      </c>
      <c r="F19911">
        <v>286</v>
      </c>
      <c r="G19911">
        <v>77</v>
      </c>
      <c r="H19911">
        <v>53</v>
      </c>
      <c r="I19911">
        <v>357</v>
      </c>
      <c r="J19911">
        <v>1</v>
      </c>
      <c r="K19911">
        <v>158</v>
      </c>
      <c r="L19911">
        <v>525</v>
      </c>
      <c r="M19911">
        <v>1</v>
      </c>
      <c r="N19911">
        <v>1.1271200000000001E-17</v>
      </c>
      <c r="O19911">
        <v>219</v>
      </c>
    </row>
    <row r="19912" spans="1:15" x14ac:dyDescent="0.25">
      <c r="A19912" t="s">
        <v>19925</v>
      </c>
      <c r="B19912">
        <v>251</v>
      </c>
      <c r="C19912" s="1" t="str">
        <f>HYPERLINK("http://www.rosaceae.org/gb/gbrowse/malus_x_domestica/?name=MDP0000506266","MDP0000506266")</f>
        <v>MDP0000506266</v>
      </c>
      <c r="D19912">
        <v>61.43</v>
      </c>
      <c r="E19912">
        <v>223</v>
      </c>
      <c r="F19912">
        <v>86</v>
      </c>
      <c r="G19912">
        <v>6</v>
      </c>
      <c r="H19912">
        <v>29</v>
      </c>
      <c r="I19912">
        <v>250</v>
      </c>
      <c r="J19912">
        <v>1</v>
      </c>
      <c r="K19912">
        <v>10</v>
      </c>
      <c r="L19912">
        <v>227</v>
      </c>
      <c r="M19912">
        <v>1</v>
      </c>
      <c r="N19912">
        <v>2.68289E-72</v>
      </c>
      <c r="O19912">
        <v>686</v>
      </c>
    </row>
    <row r="19913" spans="1:15" x14ac:dyDescent="0.25">
      <c r="A19913" t="s">
        <v>19926</v>
      </c>
      <c r="B19913">
        <v>679</v>
      </c>
      <c r="C19913" s="1" t="str">
        <f>HYPERLINK("http://www.rosaceae.org/gb/gbrowse/malus_x_domestica/?name=MDP0000898700","MDP0000898700")</f>
        <v>MDP0000898700</v>
      </c>
      <c r="D19913">
        <v>73.849999999999994</v>
      </c>
      <c r="E19913">
        <v>700</v>
      </c>
      <c r="F19913">
        <v>183</v>
      </c>
      <c r="G19913">
        <v>47</v>
      </c>
      <c r="H19913">
        <v>1</v>
      </c>
      <c r="I19913">
        <v>679</v>
      </c>
      <c r="J19913">
        <v>1</v>
      </c>
      <c r="K19913">
        <v>8</v>
      </c>
      <c r="L19913">
        <v>681</v>
      </c>
      <c r="M19913">
        <v>1</v>
      </c>
      <c r="N19913">
        <v>0</v>
      </c>
      <c r="O19913">
        <v>2524</v>
      </c>
    </row>
    <row r="19914" spans="1:15" x14ac:dyDescent="0.25">
      <c r="A19914" t="s">
        <v>19927</v>
      </c>
      <c r="B19914">
        <v>230</v>
      </c>
      <c r="C19914" s="1" t="str">
        <f>HYPERLINK("http://www.rosaceae.org/gb/gbrowse/malus_x_domestica/?name=MDP0000144294","MDP0000144294")</f>
        <v>MDP0000144294</v>
      </c>
      <c r="D19914">
        <v>78.5</v>
      </c>
      <c r="E19914">
        <v>200</v>
      </c>
      <c r="F19914">
        <v>43</v>
      </c>
      <c r="G19914">
        <v>29</v>
      </c>
      <c r="H19914">
        <v>1</v>
      </c>
      <c r="I19914">
        <v>171</v>
      </c>
      <c r="J19914">
        <v>1</v>
      </c>
      <c r="K19914">
        <v>1</v>
      </c>
      <c r="L19914">
        <v>200</v>
      </c>
      <c r="M19914">
        <v>1</v>
      </c>
      <c r="N19914">
        <v>4.8870299999999997E-84</v>
      </c>
      <c r="O19914">
        <v>787</v>
      </c>
    </row>
    <row r="19915" spans="1:15" x14ac:dyDescent="0.25">
      <c r="A19915" t="s">
        <v>19928</v>
      </c>
      <c r="B19915">
        <v>352</v>
      </c>
      <c r="C19915" s="1" t="str">
        <f>HYPERLINK("http://www.rosaceae.org/gb/gbrowse/malus_x_domestica/?name=MDP0000830589","MDP0000830589")</f>
        <v>MDP0000830589</v>
      </c>
      <c r="D19915">
        <v>61.21</v>
      </c>
      <c r="E19915">
        <v>361</v>
      </c>
      <c r="F19915">
        <v>140</v>
      </c>
      <c r="G19915">
        <v>17</v>
      </c>
      <c r="H19915">
        <v>5</v>
      </c>
      <c r="I19915">
        <v>351</v>
      </c>
      <c r="J19915">
        <v>1</v>
      </c>
      <c r="K19915">
        <v>3</v>
      </c>
      <c r="L19915">
        <v>360</v>
      </c>
      <c r="M19915">
        <v>1</v>
      </c>
      <c r="N19915">
        <v>2.20845E-108</v>
      </c>
      <c r="O19915">
        <v>999</v>
      </c>
    </row>
    <row r="19916" spans="1:15" x14ac:dyDescent="0.25">
      <c r="A19916" t="s">
        <v>19929</v>
      </c>
      <c r="B19916">
        <v>515</v>
      </c>
      <c r="C19916" s="1" t="str">
        <f>HYPERLINK("http://www.rosaceae.org/gb/gbrowse/malus_x_domestica/?name=MDP0000185402","MDP0000185402")</f>
        <v>MDP0000185402</v>
      </c>
      <c r="D19916">
        <v>68.61</v>
      </c>
      <c r="E19916">
        <v>497</v>
      </c>
      <c r="F19916">
        <v>156</v>
      </c>
      <c r="G19916">
        <v>1</v>
      </c>
      <c r="H19916">
        <v>15</v>
      </c>
      <c r="I19916">
        <v>510</v>
      </c>
      <c r="J19916">
        <v>1</v>
      </c>
      <c r="K19916">
        <v>15</v>
      </c>
      <c r="L19916">
        <v>511</v>
      </c>
      <c r="M19916">
        <v>1</v>
      </c>
      <c r="N19916">
        <v>0</v>
      </c>
      <c r="O19916">
        <v>1759</v>
      </c>
    </row>
    <row r="19917" spans="1:15" x14ac:dyDescent="0.25">
      <c r="A19917" t="s">
        <v>19930</v>
      </c>
      <c r="B19917">
        <v>250</v>
      </c>
      <c r="C19917" s="1" t="str">
        <f>HYPERLINK("http://www.rosaceae.org/gb/gbrowse/malus_x_domestica/?name=MDP0000121362","MDP0000121362")</f>
        <v>MDP0000121362</v>
      </c>
      <c r="D19917">
        <v>57.57</v>
      </c>
      <c r="E19917">
        <v>99</v>
      </c>
      <c r="F19917">
        <v>42</v>
      </c>
      <c r="G19917">
        <v>1</v>
      </c>
      <c r="H19917">
        <v>107</v>
      </c>
      <c r="I19917">
        <v>204</v>
      </c>
      <c r="J19917">
        <v>1</v>
      </c>
      <c r="K19917">
        <v>274</v>
      </c>
      <c r="L19917">
        <v>372</v>
      </c>
      <c r="M19917">
        <v>1</v>
      </c>
      <c r="N19917">
        <v>2.5904200000000003E-26</v>
      </c>
      <c r="O19917">
        <v>290</v>
      </c>
    </row>
    <row r="19918" spans="1:15" x14ac:dyDescent="0.25">
      <c r="A19918" t="s">
        <v>19931</v>
      </c>
      <c r="B19918">
        <v>389</v>
      </c>
      <c r="C19918" s="1" t="str">
        <f>HYPERLINK("http://www.rosaceae.org/gb/gbrowse/malus_x_domestica/?name=MDP0000644824","MDP0000644824")</f>
        <v>MDP0000644824</v>
      </c>
      <c r="D19918">
        <v>60.67</v>
      </c>
      <c r="E19918">
        <v>89</v>
      </c>
      <c r="F19918">
        <v>35</v>
      </c>
      <c r="G19918">
        <v>4</v>
      </c>
      <c r="H19918">
        <v>1</v>
      </c>
      <c r="I19918">
        <v>89</v>
      </c>
      <c r="J19918">
        <v>1</v>
      </c>
      <c r="K19918">
        <v>1</v>
      </c>
      <c r="L19918">
        <v>85</v>
      </c>
      <c r="M19918">
        <v>1</v>
      </c>
      <c r="N19918">
        <v>2.07763E-25</v>
      </c>
      <c r="O19918">
        <v>284</v>
      </c>
    </row>
    <row r="19919" spans="1:15" x14ac:dyDescent="0.25">
      <c r="A19919" t="s">
        <v>19932</v>
      </c>
      <c r="B19919">
        <v>82</v>
      </c>
      <c r="C19919" s="1" t="str">
        <f>HYPERLINK("http://www.rosaceae.org/gb/gbrowse/malus_x_domestica/?name=MDP0000315085","MDP0000315085")</f>
        <v>MDP0000315085</v>
      </c>
      <c r="D19919">
        <v>64.150000000000006</v>
      </c>
      <c r="E19919">
        <v>53</v>
      </c>
      <c r="F19919">
        <v>19</v>
      </c>
      <c r="G19919">
        <v>1</v>
      </c>
      <c r="H19919">
        <v>30</v>
      </c>
      <c r="I19919">
        <v>82</v>
      </c>
      <c r="J19919">
        <v>1</v>
      </c>
      <c r="K19919">
        <v>48</v>
      </c>
      <c r="L19919">
        <v>99</v>
      </c>
      <c r="M19919">
        <v>1</v>
      </c>
      <c r="N19919">
        <v>1.30561E-11</v>
      </c>
      <c r="O19919">
        <v>158</v>
      </c>
    </row>
    <row r="19920" spans="1:15" x14ac:dyDescent="0.25">
      <c r="A19920" t="s">
        <v>19933</v>
      </c>
      <c r="B19920">
        <v>159</v>
      </c>
      <c r="C19920" s="1" t="str">
        <f>HYPERLINK("http://www.rosaceae.org/gb/gbrowse/malus_x_domestica/?name=MDP0000142408","MDP0000142408")</f>
        <v>MDP0000142408</v>
      </c>
      <c r="D19920">
        <v>87.4</v>
      </c>
      <c r="E19920">
        <v>135</v>
      </c>
      <c r="F19920">
        <v>17</v>
      </c>
      <c r="G19920">
        <v>2</v>
      </c>
      <c r="H19920">
        <v>17</v>
      </c>
      <c r="I19920">
        <v>149</v>
      </c>
      <c r="J19920">
        <v>1</v>
      </c>
      <c r="K19920">
        <v>49</v>
      </c>
      <c r="L19920">
        <v>183</v>
      </c>
      <c r="M19920">
        <v>1</v>
      </c>
      <c r="N19920">
        <v>1.49289E-66</v>
      </c>
      <c r="O19920">
        <v>634</v>
      </c>
    </row>
    <row r="19921" spans="1:15" x14ac:dyDescent="0.25">
      <c r="A19921" t="s">
        <v>19934</v>
      </c>
      <c r="B19921">
        <v>449</v>
      </c>
      <c r="C19921" s="1" t="str">
        <f>HYPERLINK("http://www.rosaceae.org/gb/gbrowse/malus_x_domestica/?name=MDP0000303658","MDP0000303658")</f>
        <v>MDP0000303658</v>
      </c>
      <c r="D19921">
        <v>53</v>
      </c>
      <c r="E19921">
        <v>383</v>
      </c>
      <c r="F19921">
        <v>180</v>
      </c>
      <c r="G19921">
        <v>45</v>
      </c>
      <c r="H19921">
        <v>1</v>
      </c>
      <c r="I19921">
        <v>377</v>
      </c>
      <c r="J19921">
        <v>1</v>
      </c>
      <c r="K19921">
        <v>1</v>
      </c>
      <c r="L19921">
        <v>344</v>
      </c>
      <c r="M19921">
        <v>1</v>
      </c>
      <c r="N19921">
        <v>1.2396999999999999E-90</v>
      </c>
      <c r="O19921">
        <v>848</v>
      </c>
    </row>
    <row r="19922" spans="1:15" x14ac:dyDescent="0.25">
      <c r="A19922" t="s">
        <v>19935</v>
      </c>
      <c r="B19922">
        <v>194</v>
      </c>
      <c r="C19922" s="1" t="str">
        <f>HYPERLINK("http://www.rosaceae.org/gb/gbrowse/malus_x_domestica/?name=MDP0000220200","MDP0000220200")</f>
        <v>MDP0000220200</v>
      </c>
      <c r="D19922">
        <v>68.290000000000006</v>
      </c>
      <c r="E19922">
        <v>41</v>
      </c>
      <c r="F19922">
        <v>13</v>
      </c>
      <c r="G19922">
        <v>0</v>
      </c>
      <c r="H19922">
        <v>111</v>
      </c>
      <c r="I19922">
        <v>151</v>
      </c>
      <c r="J19922">
        <v>1</v>
      </c>
      <c r="K19922">
        <v>71</v>
      </c>
      <c r="L19922">
        <v>111</v>
      </c>
      <c r="M19922">
        <v>1</v>
      </c>
      <c r="N19922">
        <v>3.4465099999999999E-9</v>
      </c>
      <c r="O19922">
        <v>141</v>
      </c>
    </row>
    <row r="19923" spans="1:15" x14ac:dyDescent="0.25">
      <c r="A19923" t="s">
        <v>19936</v>
      </c>
      <c r="B19923">
        <v>156</v>
      </c>
      <c r="C19923" s="1" t="str">
        <f>HYPERLINK("http://www.rosaceae.org/gb/gbrowse/malus_x_domestica/?name=MDP0000893382","MDP0000893382")</f>
        <v>MDP0000893382</v>
      </c>
      <c r="D19923">
        <v>60.13</v>
      </c>
      <c r="E19923">
        <v>143</v>
      </c>
      <c r="F19923">
        <v>57</v>
      </c>
      <c r="G19923">
        <v>7</v>
      </c>
      <c r="H19923">
        <v>1</v>
      </c>
      <c r="I19923">
        <v>141</v>
      </c>
      <c r="J19923">
        <v>1</v>
      </c>
      <c r="K19923">
        <v>1</v>
      </c>
      <c r="L19923">
        <v>138</v>
      </c>
      <c r="M19923">
        <v>1</v>
      </c>
      <c r="N19923">
        <v>4.84313E-43</v>
      </c>
      <c r="O19923">
        <v>431</v>
      </c>
    </row>
    <row r="19924" spans="1:15" x14ac:dyDescent="0.25">
      <c r="A19924" t="s">
        <v>19937</v>
      </c>
      <c r="B19924">
        <v>285</v>
      </c>
      <c r="C19924" s="1" t="str">
        <f>HYPERLINK("http://www.rosaceae.org/gb/gbrowse/malus_x_domestica/?name=MDP0000201197","MDP0000201197")</f>
        <v>MDP0000201197</v>
      </c>
      <c r="D19924">
        <v>59.29</v>
      </c>
      <c r="E19924">
        <v>113</v>
      </c>
      <c r="F19924">
        <v>46</v>
      </c>
      <c r="G19924">
        <v>10</v>
      </c>
      <c r="H19924">
        <v>72</v>
      </c>
      <c r="I19924">
        <v>176</v>
      </c>
      <c r="J19924">
        <v>1</v>
      </c>
      <c r="K19924">
        <v>16</v>
      </c>
      <c r="L19924">
        <v>126</v>
      </c>
      <c r="M19924">
        <v>1</v>
      </c>
      <c r="N19924">
        <v>1.6106999999999999E-30</v>
      </c>
      <c r="O19924">
        <v>327</v>
      </c>
    </row>
    <row r="19925" spans="1:15" x14ac:dyDescent="0.25">
      <c r="A19925" t="s">
        <v>19938</v>
      </c>
      <c r="B19925">
        <v>941</v>
      </c>
      <c r="C19925" s="1" t="str">
        <f>HYPERLINK("http://www.rosaceae.org/gb/gbrowse/malus_x_domestica/?name=MDP0000197091","MDP0000197091")</f>
        <v>MDP0000197091</v>
      </c>
      <c r="D19925">
        <v>57.24</v>
      </c>
      <c r="E19925">
        <v>580</v>
      </c>
      <c r="F19925">
        <v>248</v>
      </c>
      <c r="G19925">
        <v>59</v>
      </c>
      <c r="H19925">
        <v>1</v>
      </c>
      <c r="I19925">
        <v>536</v>
      </c>
      <c r="J19925">
        <v>1</v>
      </c>
      <c r="K19925">
        <v>140</v>
      </c>
      <c r="L19925">
        <v>704</v>
      </c>
      <c r="M19925">
        <v>1</v>
      </c>
      <c r="N19925">
        <v>1.46536E-153</v>
      </c>
      <c r="O19925">
        <v>1393</v>
      </c>
    </row>
    <row r="19926" spans="1:15" x14ac:dyDescent="0.25">
      <c r="A19926" t="s">
        <v>19939</v>
      </c>
      <c r="B19926">
        <v>351</v>
      </c>
      <c r="C19926" s="1" t="str">
        <f>HYPERLINK("http://www.rosaceae.org/gb/gbrowse/malus_x_domestica/?name=MDP0000281545","MDP0000281545")</f>
        <v>MDP0000281545</v>
      </c>
      <c r="D19926">
        <v>69.52</v>
      </c>
      <c r="E19926">
        <v>105</v>
      </c>
      <c r="F19926">
        <v>32</v>
      </c>
      <c r="G19926">
        <v>2</v>
      </c>
      <c r="H19926">
        <v>18</v>
      </c>
      <c r="I19926">
        <v>122</v>
      </c>
      <c r="J19926">
        <v>1</v>
      </c>
      <c r="K19926">
        <v>20</v>
      </c>
      <c r="L19926">
        <v>122</v>
      </c>
      <c r="M19926">
        <v>1</v>
      </c>
      <c r="N19926">
        <v>6.5252200000000002E-41</v>
      </c>
      <c r="O19926">
        <v>418</v>
      </c>
    </row>
    <row r="19927" spans="1:15" x14ac:dyDescent="0.25">
      <c r="A19927" t="s">
        <v>19940</v>
      </c>
      <c r="B19927">
        <v>125</v>
      </c>
      <c r="C19927" s="1" t="str">
        <f>HYPERLINK("http://www.rosaceae.org/gb/gbrowse/malus_x_domestica/?name=MDP0000353444","MDP0000353444")</f>
        <v>MDP0000353444</v>
      </c>
      <c r="D19927">
        <v>83.87</v>
      </c>
      <c r="E19927">
        <v>31</v>
      </c>
      <c r="F19927">
        <v>5</v>
      </c>
      <c r="G19927">
        <v>0</v>
      </c>
      <c r="H19927">
        <v>91</v>
      </c>
      <c r="I19927">
        <v>121</v>
      </c>
      <c r="J19927">
        <v>1</v>
      </c>
      <c r="K19927">
        <v>1</v>
      </c>
      <c r="L19927">
        <v>31</v>
      </c>
      <c r="M19927">
        <v>1</v>
      </c>
      <c r="N19927">
        <v>2.2076700000000001E-9</v>
      </c>
      <c r="O19927">
        <v>138</v>
      </c>
    </row>
    <row r="19928" spans="1:15" x14ac:dyDescent="0.25">
      <c r="A19928" t="s">
        <v>19941</v>
      </c>
      <c r="B19928">
        <v>139</v>
      </c>
      <c r="C19928" s="1" t="str">
        <f>HYPERLINK("http://www.rosaceae.org/gb/gbrowse/malus_x_domestica/?name=MDP0000215219","MDP0000215219")</f>
        <v>MDP0000215219</v>
      </c>
      <c r="D19928">
        <v>53.48</v>
      </c>
      <c r="E19928">
        <v>43</v>
      </c>
      <c r="F19928">
        <v>20</v>
      </c>
      <c r="G19928">
        <v>2</v>
      </c>
      <c r="H19928">
        <v>11</v>
      </c>
      <c r="I19928">
        <v>53</v>
      </c>
      <c r="J19928">
        <v>1</v>
      </c>
      <c r="K19928">
        <v>19</v>
      </c>
      <c r="L19928">
        <v>59</v>
      </c>
      <c r="M19928">
        <v>1</v>
      </c>
      <c r="N19928">
        <v>7.0081399999999999E-7</v>
      </c>
      <c r="O19928">
        <v>118</v>
      </c>
    </row>
    <row r="19929" spans="1:15" x14ac:dyDescent="0.25">
      <c r="A19929" t="s">
        <v>19942</v>
      </c>
      <c r="B19929">
        <v>624</v>
      </c>
      <c r="C19929" s="1" t="str">
        <f>HYPERLINK("http://www.rosaceae.org/gb/gbrowse/malus_x_domestica/?name=MDP0000262766","MDP0000262766")</f>
        <v>MDP0000262766</v>
      </c>
      <c r="D19929">
        <v>56.82</v>
      </c>
      <c r="E19929">
        <v>586</v>
      </c>
      <c r="F19929">
        <v>253</v>
      </c>
      <c r="G19929">
        <v>73</v>
      </c>
      <c r="H19929">
        <v>2</v>
      </c>
      <c r="I19929">
        <v>527</v>
      </c>
      <c r="J19929">
        <v>1</v>
      </c>
      <c r="K19929">
        <v>12</v>
      </c>
      <c r="L19929">
        <v>584</v>
      </c>
      <c r="M19929">
        <v>1</v>
      </c>
      <c r="N19929">
        <v>1.6377700000000001E-179</v>
      </c>
      <c r="O19929">
        <v>1616</v>
      </c>
    </row>
    <row r="19930" spans="1:15" x14ac:dyDescent="0.25">
      <c r="A19930" t="s">
        <v>19943</v>
      </c>
      <c r="B19930">
        <v>760</v>
      </c>
      <c r="C19930" s="1" t="str">
        <f>HYPERLINK("http://www.rosaceae.org/gb/gbrowse/malus_x_domestica/?name=MDP0000279776","MDP0000279776")</f>
        <v>MDP0000279776</v>
      </c>
      <c r="D19930">
        <v>76.430000000000007</v>
      </c>
      <c r="E19930">
        <v>696</v>
      </c>
      <c r="F19930">
        <v>164</v>
      </c>
      <c r="G19930">
        <v>0</v>
      </c>
      <c r="H19930">
        <v>60</v>
      </c>
      <c r="I19930">
        <v>755</v>
      </c>
      <c r="J19930">
        <v>1</v>
      </c>
      <c r="K19930">
        <v>82</v>
      </c>
      <c r="L19930">
        <v>777</v>
      </c>
      <c r="M19930">
        <v>1</v>
      </c>
      <c r="N19930">
        <v>0</v>
      </c>
      <c r="O19930">
        <v>2944</v>
      </c>
    </row>
    <row r="19931" spans="1:15" x14ac:dyDescent="0.25">
      <c r="A19931" t="s">
        <v>19944</v>
      </c>
      <c r="B19931">
        <v>215</v>
      </c>
      <c r="C19931" s="1" t="str">
        <f>HYPERLINK("http://www.rosaceae.org/gb/gbrowse/malus_x_domestica/?name=MDP0000365467","MDP0000365467")</f>
        <v>MDP0000365467</v>
      </c>
      <c r="D19931">
        <v>68.75</v>
      </c>
      <c r="E19931">
        <v>224</v>
      </c>
      <c r="F19931">
        <v>70</v>
      </c>
      <c r="G19931">
        <v>11</v>
      </c>
      <c r="H19931">
        <v>3</v>
      </c>
      <c r="I19931">
        <v>215</v>
      </c>
      <c r="J19931">
        <v>1</v>
      </c>
      <c r="K19931">
        <v>22</v>
      </c>
      <c r="L19931">
        <v>245</v>
      </c>
      <c r="M19931">
        <v>1</v>
      </c>
      <c r="N19931">
        <v>6.5968900000000003E-79</v>
      </c>
      <c r="O19931">
        <v>743</v>
      </c>
    </row>
    <row r="19932" spans="1:15" x14ac:dyDescent="0.25">
      <c r="A19932" t="s">
        <v>19945</v>
      </c>
      <c r="B19932">
        <v>409</v>
      </c>
      <c r="C19932" s="1" t="str">
        <f>HYPERLINK("http://www.rosaceae.org/gb/gbrowse/malus_x_domestica/?name=MDP0000308185","MDP0000308185")</f>
        <v>MDP0000308185</v>
      </c>
      <c r="D19932">
        <v>67.06</v>
      </c>
      <c r="E19932">
        <v>419</v>
      </c>
      <c r="F19932">
        <v>138</v>
      </c>
      <c r="G19932">
        <v>23</v>
      </c>
      <c r="H19932">
        <v>1</v>
      </c>
      <c r="I19932">
        <v>409</v>
      </c>
      <c r="J19932">
        <v>1</v>
      </c>
      <c r="K19932">
        <v>112</v>
      </c>
      <c r="L19932">
        <v>517</v>
      </c>
      <c r="M19932">
        <v>1</v>
      </c>
      <c r="N19932">
        <v>3.8457199999999997E-155</v>
      </c>
      <c r="O19932">
        <v>1403</v>
      </c>
    </row>
    <row r="19933" spans="1:15" x14ac:dyDescent="0.25">
      <c r="A19933" t="s">
        <v>19946</v>
      </c>
      <c r="B19933">
        <v>169</v>
      </c>
      <c r="C19933" s="1" t="str">
        <f>HYPERLINK("http://www.rosaceae.org/gb/gbrowse/malus_x_domestica/?name=MDP0000711379","MDP0000711379")</f>
        <v>MDP0000711379</v>
      </c>
      <c r="D19933">
        <v>58.97</v>
      </c>
      <c r="E19933">
        <v>117</v>
      </c>
      <c r="F19933">
        <v>48</v>
      </c>
      <c r="G19933">
        <v>1</v>
      </c>
      <c r="H19933">
        <v>24</v>
      </c>
      <c r="I19933">
        <v>139</v>
      </c>
      <c r="J19933">
        <v>1</v>
      </c>
      <c r="K19933">
        <v>23</v>
      </c>
      <c r="L19933">
        <v>139</v>
      </c>
      <c r="M19933">
        <v>1</v>
      </c>
      <c r="N19933">
        <v>5.4146299999999998E-35</v>
      </c>
      <c r="O19933">
        <v>362</v>
      </c>
    </row>
    <row r="19934" spans="1:15" x14ac:dyDescent="0.25">
      <c r="A19934" t="s">
        <v>19947</v>
      </c>
      <c r="B19934">
        <v>763</v>
      </c>
      <c r="C19934" s="1" t="str">
        <f>HYPERLINK("http://www.rosaceae.org/gb/gbrowse/malus_x_domestica/?name=MDP0000319416","MDP0000319416")</f>
        <v>MDP0000319416</v>
      </c>
      <c r="D19934">
        <v>81.48</v>
      </c>
      <c r="E19934">
        <v>713</v>
      </c>
      <c r="F19934">
        <v>132</v>
      </c>
      <c r="G19934">
        <v>6</v>
      </c>
      <c r="H19934">
        <v>50</v>
      </c>
      <c r="I19934">
        <v>759</v>
      </c>
      <c r="J19934">
        <v>1</v>
      </c>
      <c r="K19934">
        <v>56</v>
      </c>
      <c r="L19934">
        <v>765</v>
      </c>
      <c r="M19934">
        <v>1</v>
      </c>
      <c r="N19934">
        <v>0</v>
      </c>
      <c r="O19934">
        <v>3041</v>
      </c>
    </row>
    <row r="19935" spans="1:15" x14ac:dyDescent="0.25">
      <c r="A19935" t="s">
        <v>19948</v>
      </c>
      <c r="B19935">
        <v>964</v>
      </c>
      <c r="C19935" s="1" t="str">
        <f>HYPERLINK("http://www.rosaceae.org/gb/gbrowse/malus_x_domestica/?name=MDP0000792811","MDP0000792811")</f>
        <v>MDP0000792811</v>
      </c>
      <c r="D19935">
        <v>60.82</v>
      </c>
      <c r="E19935">
        <v>993</v>
      </c>
      <c r="F19935">
        <v>389</v>
      </c>
      <c r="G19935">
        <v>56</v>
      </c>
      <c r="H19935">
        <v>6</v>
      </c>
      <c r="I19935">
        <v>964</v>
      </c>
      <c r="J19935">
        <v>1</v>
      </c>
      <c r="K19935">
        <v>9</v>
      </c>
      <c r="L19935">
        <v>979</v>
      </c>
      <c r="M19935">
        <v>1</v>
      </c>
      <c r="N19935">
        <v>0</v>
      </c>
      <c r="O19935">
        <v>2998</v>
      </c>
    </row>
    <row r="19936" spans="1:15" x14ac:dyDescent="0.25">
      <c r="A19936" t="s">
        <v>19949</v>
      </c>
      <c r="B19936">
        <v>191</v>
      </c>
      <c r="C19936" s="1" t="str">
        <f>HYPERLINK("http://www.rosaceae.org/gb/gbrowse/malus_x_domestica/?name=MDP0000147358","MDP0000147358")</f>
        <v>MDP0000147358</v>
      </c>
      <c r="D19936">
        <v>81.34</v>
      </c>
      <c r="E19936">
        <v>193</v>
      </c>
      <c r="F19936">
        <v>36</v>
      </c>
      <c r="G19936">
        <v>10</v>
      </c>
      <c r="H19936">
        <v>9</v>
      </c>
      <c r="I19936">
        <v>191</v>
      </c>
      <c r="J19936">
        <v>1</v>
      </c>
      <c r="K19936">
        <v>7</v>
      </c>
      <c r="L19936">
        <v>199</v>
      </c>
      <c r="M19936">
        <v>1</v>
      </c>
      <c r="N19936">
        <v>9.9876900000000001E-86</v>
      </c>
      <c r="O19936">
        <v>801</v>
      </c>
    </row>
    <row r="19937" spans="1:15" x14ac:dyDescent="0.25">
      <c r="A19937" t="s">
        <v>19950</v>
      </c>
      <c r="B19937">
        <v>400</v>
      </c>
      <c r="C19937" s="1" t="str">
        <f>HYPERLINK("http://www.rosaceae.org/gb/gbrowse/malus_x_domestica/?name=MDP0000417351","MDP0000417351")</f>
        <v>MDP0000417351</v>
      </c>
      <c r="D19937">
        <v>73.02</v>
      </c>
      <c r="E19937">
        <v>215</v>
      </c>
      <c r="F19937">
        <v>58</v>
      </c>
      <c r="G19937">
        <v>4</v>
      </c>
      <c r="H19937">
        <v>1</v>
      </c>
      <c r="I19937">
        <v>213</v>
      </c>
      <c r="J19937">
        <v>1</v>
      </c>
      <c r="K19937">
        <v>1</v>
      </c>
      <c r="L19937">
        <v>213</v>
      </c>
      <c r="M19937">
        <v>1</v>
      </c>
      <c r="N19937">
        <v>8.4808499999999998E-86</v>
      </c>
      <c r="O19937">
        <v>805</v>
      </c>
    </row>
    <row r="19938" spans="1:15" x14ac:dyDescent="0.25">
      <c r="A19938" t="s">
        <v>19951</v>
      </c>
      <c r="B19938">
        <v>459</v>
      </c>
      <c r="C19938" s="1" t="str">
        <f>HYPERLINK("http://www.rosaceae.org/gb/gbrowse/malus_x_domestica/?name=MDP0000614064","MDP0000614064")</f>
        <v>MDP0000614064</v>
      </c>
      <c r="D19938">
        <v>87.1</v>
      </c>
      <c r="E19938">
        <v>318</v>
      </c>
      <c r="F19938">
        <v>41</v>
      </c>
      <c r="G19938">
        <v>1</v>
      </c>
      <c r="H19938">
        <v>108</v>
      </c>
      <c r="I19938">
        <v>424</v>
      </c>
      <c r="J19938">
        <v>1</v>
      </c>
      <c r="K19938">
        <v>65</v>
      </c>
      <c r="L19938">
        <v>382</v>
      </c>
      <c r="M19938">
        <v>1</v>
      </c>
      <c r="N19938">
        <v>7.5158599999999993E-161</v>
      </c>
      <c r="O19938">
        <v>1453</v>
      </c>
    </row>
    <row r="19939" spans="1:15" x14ac:dyDescent="0.25">
      <c r="A19939" t="s">
        <v>19952</v>
      </c>
      <c r="B19939">
        <v>142</v>
      </c>
      <c r="C19939" s="1" t="str">
        <f>HYPERLINK("http://www.rosaceae.org/gb/gbrowse/malus_x_domestica/?name=MDP0000943290","MDP0000943290")</f>
        <v>MDP0000943290</v>
      </c>
      <c r="D19939">
        <v>62.14</v>
      </c>
      <c r="E19939">
        <v>140</v>
      </c>
      <c r="F19939">
        <v>53</v>
      </c>
      <c r="G19939">
        <v>7</v>
      </c>
      <c r="H19939">
        <v>1</v>
      </c>
      <c r="I19939">
        <v>139</v>
      </c>
      <c r="J19939">
        <v>1</v>
      </c>
      <c r="K19939">
        <v>1</v>
      </c>
      <c r="L19939">
        <v>134</v>
      </c>
      <c r="M19939">
        <v>1</v>
      </c>
      <c r="N19939">
        <v>2.8570399999999999E-39</v>
      </c>
      <c r="O19939">
        <v>398</v>
      </c>
    </row>
    <row r="19940" spans="1:15" x14ac:dyDescent="0.25">
      <c r="A19940" t="s">
        <v>19953</v>
      </c>
      <c r="B19940">
        <v>259</v>
      </c>
      <c r="C19940" s="1" t="str">
        <f>HYPERLINK("http://www.rosaceae.org/gb/gbrowse/malus_x_domestica/?name=MDP0000145358","MDP0000145358")</f>
        <v>MDP0000145358</v>
      </c>
      <c r="D19940">
        <v>78.45</v>
      </c>
      <c r="E19940">
        <v>181</v>
      </c>
      <c r="F19940">
        <v>39</v>
      </c>
      <c r="G19940">
        <v>3</v>
      </c>
      <c r="H19940">
        <v>81</v>
      </c>
      <c r="I19940">
        <v>259</v>
      </c>
      <c r="J19940">
        <v>1</v>
      </c>
      <c r="K19940">
        <v>10</v>
      </c>
      <c r="L19940">
        <v>189</v>
      </c>
      <c r="M19940">
        <v>1</v>
      </c>
      <c r="N19940">
        <v>7.8140299999999998E-75</v>
      </c>
      <c r="O19940">
        <v>709</v>
      </c>
    </row>
    <row r="19941" spans="1:15" x14ac:dyDescent="0.25">
      <c r="A19941" t="s">
        <v>19954</v>
      </c>
      <c r="B19941">
        <v>213</v>
      </c>
      <c r="C19941" s="1" t="str">
        <f>HYPERLINK("http://www.rosaceae.org/gb/gbrowse/malus_x_domestica/?name=MDP0000326906","MDP0000326906")</f>
        <v>MDP0000326906</v>
      </c>
      <c r="D19941">
        <v>59.62</v>
      </c>
      <c r="E19941">
        <v>213</v>
      </c>
      <c r="F19941">
        <v>86</v>
      </c>
      <c r="G19941">
        <v>11</v>
      </c>
      <c r="H19941">
        <v>1</v>
      </c>
      <c r="I19941">
        <v>213</v>
      </c>
      <c r="J19941">
        <v>1</v>
      </c>
      <c r="K19941">
        <v>1</v>
      </c>
      <c r="L19941">
        <v>202</v>
      </c>
      <c r="M19941">
        <v>1</v>
      </c>
      <c r="N19941">
        <v>1.8804199999999999E-60</v>
      </c>
      <c r="O19941">
        <v>583</v>
      </c>
    </row>
    <row r="19942" spans="1:15" x14ac:dyDescent="0.25">
      <c r="A19942" t="s">
        <v>19955</v>
      </c>
      <c r="B19942">
        <v>641</v>
      </c>
      <c r="C19942" s="1" t="str">
        <f>HYPERLINK("http://www.rosaceae.org/gb/gbrowse/malus_x_domestica/?name=MDP0000197409","MDP0000197409")</f>
        <v>MDP0000197409</v>
      </c>
      <c r="D19942">
        <v>70.63</v>
      </c>
      <c r="E19942">
        <v>361</v>
      </c>
      <c r="F19942">
        <v>106</v>
      </c>
      <c r="G19942">
        <v>19</v>
      </c>
      <c r="H19942">
        <v>24</v>
      </c>
      <c r="I19942">
        <v>370</v>
      </c>
      <c r="J19942">
        <v>1</v>
      </c>
      <c r="K19942">
        <v>1</v>
      </c>
      <c r="L19942">
        <v>356</v>
      </c>
      <c r="M19942">
        <v>1</v>
      </c>
      <c r="N19942">
        <v>6.7192400000000003E-142</v>
      </c>
      <c r="O19942">
        <v>1291</v>
      </c>
    </row>
    <row r="19943" spans="1:15" x14ac:dyDescent="0.25">
      <c r="A19943" t="s">
        <v>19956</v>
      </c>
      <c r="B19943">
        <v>626</v>
      </c>
      <c r="C19943" s="1" t="str">
        <f>HYPERLINK("http://www.rosaceae.org/gb/gbrowse/malus_x_domestica/?name=MDP0000319433","MDP0000319433")</f>
        <v>MDP0000319433</v>
      </c>
      <c r="D19943">
        <v>84.67</v>
      </c>
      <c r="E19943">
        <v>496</v>
      </c>
      <c r="F19943">
        <v>76</v>
      </c>
      <c r="G19943">
        <v>1</v>
      </c>
      <c r="H19943">
        <v>131</v>
      </c>
      <c r="I19943">
        <v>626</v>
      </c>
      <c r="J19943">
        <v>1</v>
      </c>
      <c r="K19943">
        <v>73</v>
      </c>
      <c r="L19943">
        <v>567</v>
      </c>
      <c r="M19943">
        <v>1</v>
      </c>
      <c r="N19943">
        <v>0</v>
      </c>
      <c r="O19943">
        <v>2293</v>
      </c>
    </row>
    <row r="19944" spans="1:15" x14ac:dyDescent="0.25">
      <c r="A19944" t="s">
        <v>19957</v>
      </c>
      <c r="B19944">
        <v>316</v>
      </c>
      <c r="C19944" s="1" t="str">
        <f>HYPERLINK("http://www.rosaceae.org/gb/gbrowse/malus_x_domestica/?name=MDP0000239354","MDP0000239354")</f>
        <v>MDP0000239354</v>
      </c>
      <c r="D19944">
        <v>63.67</v>
      </c>
      <c r="E19944">
        <v>256</v>
      </c>
      <c r="F19944">
        <v>93</v>
      </c>
      <c r="G19944">
        <v>20</v>
      </c>
      <c r="H19944">
        <v>1</v>
      </c>
      <c r="I19944">
        <v>252</v>
      </c>
      <c r="J19944">
        <v>1</v>
      </c>
      <c r="K19944">
        <v>82</v>
      </c>
      <c r="L19944">
        <v>321</v>
      </c>
      <c r="M19944">
        <v>1</v>
      </c>
      <c r="N19944">
        <v>7.2224799999999998E-85</v>
      </c>
      <c r="O19944">
        <v>796</v>
      </c>
    </row>
    <row r="19945" spans="1:15" x14ac:dyDescent="0.25">
      <c r="A19945" t="s">
        <v>19958</v>
      </c>
      <c r="B19945">
        <v>1325</v>
      </c>
      <c r="C19945" s="1" t="str">
        <f>HYPERLINK("http://www.rosaceae.org/gb/gbrowse/malus_x_domestica/?name=MDP0000168200","MDP0000168200")</f>
        <v>MDP0000168200</v>
      </c>
      <c r="D19945">
        <v>60.75</v>
      </c>
      <c r="E19945">
        <v>1348</v>
      </c>
      <c r="F19945">
        <v>529</v>
      </c>
      <c r="G19945">
        <v>100</v>
      </c>
      <c r="H19945">
        <v>1</v>
      </c>
      <c r="I19945">
        <v>1325</v>
      </c>
      <c r="J19945">
        <v>1</v>
      </c>
      <c r="K19945">
        <v>1</v>
      </c>
      <c r="L19945">
        <v>1271</v>
      </c>
      <c r="M19945">
        <v>1</v>
      </c>
      <c r="N19945">
        <v>0</v>
      </c>
      <c r="O19945">
        <v>4015</v>
      </c>
    </row>
    <row r="19946" spans="1:15" x14ac:dyDescent="0.25">
      <c r="A19946" t="s">
        <v>19959</v>
      </c>
      <c r="B19946">
        <v>656</v>
      </c>
      <c r="C19946" s="1" t="str">
        <f>HYPERLINK("http://www.rosaceae.org/gb/gbrowse/malus_x_domestica/?name=MDP0000176668","MDP0000176668")</f>
        <v>MDP0000176668</v>
      </c>
      <c r="D19946">
        <v>54.94</v>
      </c>
      <c r="E19946">
        <v>273</v>
      </c>
      <c r="F19946">
        <v>123</v>
      </c>
      <c r="G19946">
        <v>17</v>
      </c>
      <c r="H19946">
        <v>108</v>
      </c>
      <c r="I19946">
        <v>377</v>
      </c>
      <c r="J19946">
        <v>1</v>
      </c>
      <c r="K19946">
        <v>221</v>
      </c>
      <c r="L19946">
        <v>479</v>
      </c>
      <c r="M19946">
        <v>1</v>
      </c>
      <c r="N19946">
        <v>5.0922499999999999E-72</v>
      </c>
      <c r="O19946">
        <v>689</v>
      </c>
    </row>
    <row r="19947" spans="1:15" x14ac:dyDescent="0.25">
      <c r="A19947" t="s">
        <v>19960</v>
      </c>
      <c r="B19947">
        <v>397</v>
      </c>
      <c r="C19947" s="1" t="str">
        <f>HYPERLINK("http://www.rosaceae.org/gb/gbrowse/malus_x_domestica/?name=MDP0000307705","MDP0000307705")</f>
        <v>MDP0000307705</v>
      </c>
      <c r="D19947">
        <v>64.849999999999994</v>
      </c>
      <c r="E19947">
        <v>424</v>
      </c>
      <c r="F19947">
        <v>149</v>
      </c>
      <c r="G19947">
        <v>45</v>
      </c>
      <c r="H19947">
        <v>3</v>
      </c>
      <c r="I19947">
        <v>383</v>
      </c>
      <c r="J19947">
        <v>1</v>
      </c>
      <c r="K19947">
        <v>72</v>
      </c>
      <c r="L19947">
        <v>493</v>
      </c>
      <c r="M19947">
        <v>1</v>
      </c>
      <c r="N19947">
        <v>7.7747699999999997E-149</v>
      </c>
      <c r="O19947">
        <v>1349</v>
      </c>
    </row>
    <row r="19948" spans="1:15" x14ac:dyDescent="0.25">
      <c r="A19948" t="s">
        <v>19961</v>
      </c>
      <c r="B19948">
        <v>794</v>
      </c>
      <c r="C19948" s="1" t="str">
        <f>HYPERLINK("http://www.rosaceae.org/gb/gbrowse/malus_x_domestica/?name=MDP0000193964","MDP0000193964")</f>
        <v>MDP0000193964</v>
      </c>
      <c r="D19948">
        <v>75.14</v>
      </c>
      <c r="E19948">
        <v>837</v>
      </c>
      <c r="F19948">
        <v>208</v>
      </c>
      <c r="G19948">
        <v>60</v>
      </c>
      <c r="H19948">
        <v>1</v>
      </c>
      <c r="I19948">
        <v>794</v>
      </c>
      <c r="J19948">
        <v>1</v>
      </c>
      <c r="K19948">
        <v>134</v>
      </c>
      <c r="L19948">
        <v>953</v>
      </c>
      <c r="M19948">
        <v>1</v>
      </c>
      <c r="N19948">
        <v>0</v>
      </c>
      <c r="O19948">
        <v>3174</v>
      </c>
    </row>
    <row r="19949" spans="1:15" x14ac:dyDescent="0.25">
      <c r="A19949" t="s">
        <v>19962</v>
      </c>
      <c r="B19949">
        <v>646</v>
      </c>
      <c r="C19949" s="1" t="str">
        <f>HYPERLINK("http://www.rosaceae.org/gb/gbrowse/malus_x_domestica/?name=MDP0000189502","MDP0000189502")</f>
        <v>MDP0000189502</v>
      </c>
      <c r="D19949">
        <v>61.3</v>
      </c>
      <c r="E19949">
        <v>672</v>
      </c>
      <c r="F19949">
        <v>260</v>
      </c>
      <c r="G19949">
        <v>51</v>
      </c>
      <c r="H19949">
        <v>1</v>
      </c>
      <c r="I19949">
        <v>646</v>
      </c>
      <c r="J19949">
        <v>1</v>
      </c>
      <c r="K19949">
        <v>1</v>
      </c>
      <c r="L19949">
        <v>647</v>
      </c>
      <c r="M19949">
        <v>1</v>
      </c>
      <c r="N19949">
        <v>0</v>
      </c>
      <c r="O19949">
        <v>2047</v>
      </c>
    </row>
    <row r="19950" spans="1:15" x14ac:dyDescent="0.25">
      <c r="A19950" t="s">
        <v>19963</v>
      </c>
      <c r="B19950">
        <v>554</v>
      </c>
      <c r="C19950" s="1" t="str">
        <f>HYPERLINK("http://www.rosaceae.org/gb/gbrowse/malus_x_domestica/?name=MDP0000286673","MDP0000286673")</f>
        <v>MDP0000286673</v>
      </c>
      <c r="D19950">
        <v>68.75</v>
      </c>
      <c r="E19950">
        <v>64</v>
      </c>
      <c r="F19950">
        <v>20</v>
      </c>
      <c r="G19950">
        <v>0</v>
      </c>
      <c r="H19950">
        <v>127</v>
      </c>
      <c r="I19950">
        <v>190</v>
      </c>
      <c r="J19950">
        <v>1</v>
      </c>
      <c r="K19950">
        <v>46</v>
      </c>
      <c r="L19950">
        <v>109</v>
      </c>
      <c r="M19950">
        <v>1</v>
      </c>
      <c r="N19950">
        <v>1.7758900000000001E-20</v>
      </c>
      <c r="O19950">
        <v>244</v>
      </c>
    </row>
    <row r="19951" spans="1:15" x14ac:dyDescent="0.25">
      <c r="A19951" t="s">
        <v>19964</v>
      </c>
      <c r="B19951">
        <v>485</v>
      </c>
      <c r="C19951" s="1" t="str">
        <f>HYPERLINK("http://www.rosaceae.org/gb/gbrowse/malus_x_domestica/?name=MDP0000313605","MDP0000313605")</f>
        <v>MDP0000313605</v>
      </c>
      <c r="D19951">
        <v>76.44</v>
      </c>
      <c r="E19951">
        <v>484</v>
      </c>
      <c r="F19951">
        <v>114</v>
      </c>
      <c r="G19951">
        <v>38</v>
      </c>
      <c r="H19951">
        <v>1</v>
      </c>
      <c r="I19951">
        <v>484</v>
      </c>
      <c r="J19951">
        <v>1</v>
      </c>
      <c r="K19951">
        <v>1</v>
      </c>
      <c r="L19951">
        <v>446</v>
      </c>
      <c r="M19951">
        <v>1</v>
      </c>
      <c r="N19951">
        <v>0</v>
      </c>
      <c r="O19951">
        <v>1913</v>
      </c>
    </row>
    <row r="19952" spans="1:15" x14ac:dyDescent="0.25">
      <c r="A19952" t="s">
        <v>19965</v>
      </c>
      <c r="B19952">
        <v>352</v>
      </c>
      <c r="C19952" s="1" t="str">
        <f>HYPERLINK("http://www.rosaceae.org/gb/gbrowse/malus_x_domestica/?name=MDP0000232008","MDP0000232008")</f>
        <v>MDP0000232008</v>
      </c>
      <c r="D19952">
        <v>72.52</v>
      </c>
      <c r="E19952">
        <v>364</v>
      </c>
      <c r="F19952">
        <v>100</v>
      </c>
      <c r="G19952">
        <v>35</v>
      </c>
      <c r="H19952">
        <v>7</v>
      </c>
      <c r="I19952">
        <v>352</v>
      </c>
      <c r="J19952">
        <v>1</v>
      </c>
      <c r="K19952">
        <v>3</v>
      </c>
      <c r="L19952">
        <v>349</v>
      </c>
      <c r="M19952">
        <v>1</v>
      </c>
      <c r="N19952">
        <v>2.1230000000000002E-129</v>
      </c>
      <c r="O19952">
        <v>1181</v>
      </c>
    </row>
    <row r="19953" spans="1:15" x14ac:dyDescent="0.25">
      <c r="A19953" t="s">
        <v>19966</v>
      </c>
      <c r="B19953">
        <v>111</v>
      </c>
      <c r="C19953" s="1" t="str">
        <f>HYPERLINK("http://www.rosaceae.org/gb/gbrowse/malus_x_domestica/?name=MDP0000129426","MDP0000129426")</f>
        <v>MDP0000129426</v>
      </c>
      <c r="D19953">
        <v>81.180000000000007</v>
      </c>
      <c r="E19953">
        <v>101</v>
      </c>
      <c r="F19953">
        <v>19</v>
      </c>
      <c r="G19953">
        <v>0</v>
      </c>
      <c r="H19953">
        <v>1</v>
      </c>
      <c r="I19953">
        <v>101</v>
      </c>
      <c r="J19953">
        <v>1</v>
      </c>
      <c r="K19953">
        <v>302</v>
      </c>
      <c r="L19953">
        <v>402</v>
      </c>
      <c r="M19953">
        <v>1</v>
      </c>
      <c r="N19953">
        <v>2.59747E-45</v>
      </c>
      <c r="O19953">
        <v>448</v>
      </c>
    </row>
    <row r="19954" spans="1:15" x14ac:dyDescent="0.25">
      <c r="A19954" t="s">
        <v>19967</v>
      </c>
      <c r="B19954">
        <v>177</v>
      </c>
      <c r="C19954" s="1" t="str">
        <f>HYPERLINK("http://www.rosaceae.org/gb/gbrowse/malus_x_domestica/?name=MDP0000785223","MDP0000785223")</f>
        <v>MDP0000785223</v>
      </c>
      <c r="D19954">
        <v>65.94</v>
      </c>
      <c r="E19954">
        <v>185</v>
      </c>
      <c r="F19954">
        <v>63</v>
      </c>
      <c r="G19954">
        <v>11</v>
      </c>
      <c r="H19954">
        <v>1</v>
      </c>
      <c r="I19954">
        <v>177</v>
      </c>
      <c r="J19954">
        <v>1</v>
      </c>
      <c r="K19954">
        <v>1</v>
      </c>
      <c r="L19954">
        <v>182</v>
      </c>
      <c r="M19954">
        <v>1</v>
      </c>
      <c r="N19954">
        <v>1.23344E-59</v>
      </c>
      <c r="O19954">
        <v>575</v>
      </c>
    </row>
    <row r="19955" spans="1:15" x14ac:dyDescent="0.25">
      <c r="A19955" t="s">
        <v>19968</v>
      </c>
      <c r="B19955">
        <v>1024</v>
      </c>
      <c r="C19955" s="1" t="str">
        <f>HYPERLINK("http://www.rosaceae.org/gb/gbrowse/malus_x_domestica/?name=MDP0000175305","MDP0000175305")</f>
        <v>MDP0000175305</v>
      </c>
      <c r="D19955">
        <v>77.819999999999993</v>
      </c>
      <c r="E19955">
        <v>717</v>
      </c>
      <c r="F19955">
        <v>159</v>
      </c>
      <c r="G19955">
        <v>27</v>
      </c>
      <c r="H19955">
        <v>324</v>
      </c>
      <c r="I19955">
        <v>1021</v>
      </c>
      <c r="J19955">
        <v>1</v>
      </c>
      <c r="K19955">
        <v>19</v>
      </c>
      <c r="L19955">
        <v>727</v>
      </c>
      <c r="M19955">
        <v>1</v>
      </c>
      <c r="N19955">
        <v>0</v>
      </c>
      <c r="O19955">
        <v>2927</v>
      </c>
    </row>
    <row r="19956" spans="1:15" x14ac:dyDescent="0.25">
      <c r="A19956" t="s">
        <v>19969</v>
      </c>
      <c r="B19956">
        <v>802</v>
      </c>
      <c r="C19956" s="1" t="str">
        <f>HYPERLINK("http://www.rosaceae.org/gb/gbrowse/malus_x_domestica/?name=MDP0000303447","MDP0000303447")</f>
        <v>MDP0000303447</v>
      </c>
      <c r="D19956">
        <v>51.01</v>
      </c>
      <c r="E19956">
        <v>492</v>
      </c>
      <c r="F19956">
        <v>241</v>
      </c>
      <c r="G19956">
        <v>59</v>
      </c>
      <c r="H19956">
        <v>1</v>
      </c>
      <c r="I19956">
        <v>437</v>
      </c>
      <c r="J19956">
        <v>1</v>
      </c>
      <c r="K19956">
        <v>1</v>
      </c>
      <c r="L19956">
        <v>488</v>
      </c>
      <c r="M19956">
        <v>1</v>
      </c>
      <c r="N19956">
        <v>1.8891299999999999E-129</v>
      </c>
      <c r="O19956">
        <v>1185</v>
      </c>
    </row>
    <row r="19957" spans="1:15" x14ac:dyDescent="0.25">
      <c r="A19957" t="s">
        <v>19970</v>
      </c>
      <c r="B19957">
        <v>576</v>
      </c>
      <c r="C19957" s="1" t="str">
        <f>HYPERLINK("http://www.rosaceae.org/gb/gbrowse/malus_x_domestica/?name=MDP0000204383","MDP0000204383")</f>
        <v>MDP0000204383</v>
      </c>
      <c r="D19957">
        <v>74.2</v>
      </c>
      <c r="E19957">
        <v>473</v>
      </c>
      <c r="F19957">
        <v>122</v>
      </c>
      <c r="G19957">
        <v>68</v>
      </c>
      <c r="H19957">
        <v>7</v>
      </c>
      <c r="I19957">
        <v>417</v>
      </c>
      <c r="J19957">
        <v>1</v>
      </c>
      <c r="K19957">
        <v>8</v>
      </c>
      <c r="L19957">
        <v>474</v>
      </c>
      <c r="M19957">
        <v>1</v>
      </c>
      <c r="N19957">
        <v>0</v>
      </c>
      <c r="O19957">
        <v>1715</v>
      </c>
    </row>
    <row r="19958" spans="1:15" x14ac:dyDescent="0.25">
      <c r="A19958" t="s">
        <v>19971</v>
      </c>
      <c r="B19958">
        <v>288</v>
      </c>
      <c r="C19958" s="1" t="str">
        <f>HYPERLINK("http://www.rosaceae.org/gb/gbrowse/malus_x_domestica/?name=MDP0000898242","MDP0000898242")</f>
        <v>MDP0000898242</v>
      </c>
      <c r="D19958">
        <v>32.67</v>
      </c>
      <c r="E19958">
        <v>101</v>
      </c>
      <c r="F19958">
        <v>68</v>
      </c>
      <c r="G19958">
        <v>13</v>
      </c>
      <c r="H19958">
        <v>22</v>
      </c>
      <c r="I19958">
        <v>112</v>
      </c>
      <c r="J19958">
        <v>1</v>
      </c>
      <c r="K19958">
        <v>61</v>
      </c>
      <c r="L19958">
        <v>158</v>
      </c>
      <c r="M19958">
        <v>1</v>
      </c>
      <c r="N19958">
        <v>7.2732500000000003E-9</v>
      </c>
      <c r="O19958">
        <v>140</v>
      </c>
    </row>
    <row r="19959" spans="1:15" x14ac:dyDescent="0.25">
      <c r="A19959" t="s">
        <v>19972</v>
      </c>
      <c r="B19959">
        <v>344</v>
      </c>
      <c r="C19959" s="1" t="str">
        <f>HYPERLINK("http://www.rosaceae.org/gb/gbrowse/malus_x_domestica/?name=MDP0000050524","MDP0000050524")</f>
        <v>MDP0000050524</v>
      </c>
      <c r="D19959">
        <v>90.26</v>
      </c>
      <c r="E19959">
        <v>339</v>
      </c>
      <c r="F19959">
        <v>33</v>
      </c>
      <c r="G19959">
        <v>4</v>
      </c>
      <c r="H19959">
        <v>1</v>
      </c>
      <c r="I19959">
        <v>339</v>
      </c>
      <c r="J19959">
        <v>1</v>
      </c>
      <c r="K19959">
        <v>1</v>
      </c>
      <c r="L19959">
        <v>335</v>
      </c>
      <c r="M19959">
        <v>1</v>
      </c>
      <c r="N19959">
        <v>1.8936499999999999E-180</v>
      </c>
      <c r="O19959">
        <v>1621</v>
      </c>
    </row>
    <row r="19960" spans="1:15" x14ac:dyDescent="0.25">
      <c r="A19960" t="s">
        <v>19973</v>
      </c>
      <c r="B19960">
        <v>198</v>
      </c>
      <c r="C19960" s="1" t="str">
        <f>HYPERLINK("http://www.rosaceae.org/gb/gbrowse/malus_x_domestica/?name=MDP0000212710","MDP0000212710")</f>
        <v>MDP0000212710</v>
      </c>
      <c r="D19960">
        <v>56.13</v>
      </c>
      <c r="E19960">
        <v>212</v>
      </c>
      <c r="F19960">
        <v>93</v>
      </c>
      <c r="G19960">
        <v>23</v>
      </c>
      <c r="H19960">
        <v>10</v>
      </c>
      <c r="I19960">
        <v>198</v>
      </c>
      <c r="J19960">
        <v>1</v>
      </c>
      <c r="K19960">
        <v>13</v>
      </c>
      <c r="L19960">
        <v>224</v>
      </c>
      <c r="M19960">
        <v>1</v>
      </c>
      <c r="N19960">
        <v>6.9037099999999997E-56</v>
      </c>
      <c r="O19960">
        <v>543</v>
      </c>
    </row>
    <row r="19961" spans="1:15" x14ac:dyDescent="0.25">
      <c r="A19961" t="s">
        <v>19974</v>
      </c>
      <c r="B19961">
        <v>627</v>
      </c>
      <c r="C19961" s="1" t="str">
        <f>HYPERLINK("http://www.rosaceae.org/gb/gbrowse/malus_x_domestica/?name=MDP0000550224","MDP0000550224")</f>
        <v>MDP0000550224</v>
      </c>
      <c r="D19961">
        <v>65.930000000000007</v>
      </c>
      <c r="E19961">
        <v>640</v>
      </c>
      <c r="F19961">
        <v>218</v>
      </c>
      <c r="G19961">
        <v>18</v>
      </c>
      <c r="H19961">
        <v>1</v>
      </c>
      <c r="I19961">
        <v>624</v>
      </c>
      <c r="J19961">
        <v>1</v>
      </c>
      <c r="K19961">
        <v>163</v>
      </c>
      <c r="L19961">
        <v>800</v>
      </c>
      <c r="M19961">
        <v>1</v>
      </c>
      <c r="N19961">
        <v>0</v>
      </c>
      <c r="O19961">
        <v>2159</v>
      </c>
    </row>
    <row r="19962" spans="1:15" x14ac:dyDescent="0.25">
      <c r="A19962" t="s">
        <v>19975</v>
      </c>
      <c r="B19962">
        <v>585</v>
      </c>
      <c r="C19962" s="1" t="str">
        <f>HYPERLINK("http://www.rosaceae.org/gb/gbrowse/malus_x_domestica/?name=MDP0000292425","MDP0000292425")</f>
        <v>MDP0000292425</v>
      </c>
      <c r="D19962">
        <v>75.23</v>
      </c>
      <c r="E19962">
        <v>541</v>
      </c>
      <c r="F19962">
        <v>134</v>
      </c>
      <c r="G19962">
        <v>20</v>
      </c>
      <c r="H19962">
        <v>36</v>
      </c>
      <c r="I19962">
        <v>562</v>
      </c>
      <c r="J19962">
        <v>1</v>
      </c>
      <c r="K19962">
        <v>241</v>
      </c>
      <c r="L19962">
        <v>775</v>
      </c>
      <c r="M19962">
        <v>1</v>
      </c>
      <c r="N19962">
        <v>0</v>
      </c>
      <c r="O19962">
        <v>2099</v>
      </c>
    </row>
    <row r="19963" spans="1:15" x14ac:dyDescent="0.25">
      <c r="A19963" t="s">
        <v>19976</v>
      </c>
      <c r="B19963">
        <v>460</v>
      </c>
      <c r="C19963" s="1" t="str">
        <f>HYPERLINK("http://www.rosaceae.org/gb/gbrowse/malus_x_domestica/?name=MDP0000147190","MDP0000147190")</f>
        <v>MDP0000147190</v>
      </c>
      <c r="D19963">
        <v>33.75</v>
      </c>
      <c r="E19963">
        <v>240</v>
      </c>
      <c r="F19963">
        <v>159</v>
      </c>
      <c r="G19963">
        <v>26</v>
      </c>
      <c r="H19963">
        <v>230</v>
      </c>
      <c r="I19963">
        <v>449</v>
      </c>
      <c r="J19963">
        <v>1</v>
      </c>
      <c r="K19963">
        <v>63</v>
      </c>
      <c r="L19963">
        <v>296</v>
      </c>
      <c r="M19963">
        <v>1</v>
      </c>
      <c r="N19963">
        <v>6.6276100000000003E-29</v>
      </c>
      <c r="O19963">
        <v>315</v>
      </c>
    </row>
    <row r="19964" spans="1:15" x14ac:dyDescent="0.25">
      <c r="A19964" t="s">
        <v>19977</v>
      </c>
      <c r="B19964">
        <v>186</v>
      </c>
      <c r="C19964" s="1" t="str">
        <f>HYPERLINK("http://www.rosaceae.org/gb/gbrowse/malus_x_domestica/?name=MDP0000903122","MDP0000903122")</f>
        <v>MDP0000903122</v>
      </c>
      <c r="D19964">
        <v>81.150000000000006</v>
      </c>
      <c r="E19964">
        <v>138</v>
      </c>
      <c r="F19964">
        <v>26</v>
      </c>
      <c r="G19964">
        <v>1</v>
      </c>
      <c r="H19964">
        <v>49</v>
      </c>
      <c r="I19964">
        <v>186</v>
      </c>
      <c r="J19964">
        <v>1</v>
      </c>
      <c r="K19964">
        <v>1</v>
      </c>
      <c r="L19964">
        <v>137</v>
      </c>
      <c r="M19964">
        <v>1</v>
      </c>
      <c r="N19964">
        <v>1.9380899999999999E-48</v>
      </c>
      <c r="O19964">
        <v>479</v>
      </c>
    </row>
    <row r="19965" spans="1:15" x14ac:dyDescent="0.25">
      <c r="A19965" t="s">
        <v>19978</v>
      </c>
      <c r="B19965">
        <v>281</v>
      </c>
      <c r="C19965" s="1" t="str">
        <f>HYPERLINK("http://www.rosaceae.org/gb/gbrowse/malus_x_domestica/?name=MDP0000235775","MDP0000235775")</f>
        <v>MDP0000235775</v>
      </c>
      <c r="D19965">
        <v>78.52</v>
      </c>
      <c r="E19965">
        <v>149</v>
      </c>
      <c r="F19965">
        <v>32</v>
      </c>
      <c r="G19965">
        <v>2</v>
      </c>
      <c r="H19965">
        <v>134</v>
      </c>
      <c r="I19965">
        <v>281</v>
      </c>
      <c r="J19965">
        <v>1</v>
      </c>
      <c r="K19965">
        <v>7</v>
      </c>
      <c r="L19965">
        <v>154</v>
      </c>
      <c r="M19965">
        <v>1</v>
      </c>
      <c r="N19965">
        <v>1.04581E-62</v>
      </c>
      <c r="O19965">
        <v>604</v>
      </c>
    </row>
    <row r="19966" spans="1:15" x14ac:dyDescent="0.25">
      <c r="A19966" t="s">
        <v>19979</v>
      </c>
      <c r="B19966">
        <v>98</v>
      </c>
      <c r="C19966" s="1" t="str">
        <f>HYPERLINK("http://www.rosaceae.org/gb/gbrowse/malus_x_domestica/?name=MDP0000794183","MDP0000794183")</f>
        <v>MDP0000794183</v>
      </c>
      <c r="D19966">
        <v>74.25</v>
      </c>
      <c r="E19966">
        <v>101</v>
      </c>
      <c r="F19966">
        <v>26</v>
      </c>
      <c r="G19966">
        <v>4</v>
      </c>
      <c r="H19966">
        <v>1</v>
      </c>
      <c r="I19966">
        <v>98</v>
      </c>
      <c r="J19966">
        <v>1</v>
      </c>
      <c r="K19966">
        <v>1</v>
      </c>
      <c r="L19966">
        <v>100</v>
      </c>
      <c r="M19966">
        <v>1</v>
      </c>
      <c r="N19966">
        <v>1.9892E-35</v>
      </c>
      <c r="O19966">
        <v>363</v>
      </c>
    </row>
    <row r="19967" spans="1:15" x14ac:dyDescent="0.25">
      <c r="A19967" t="s">
        <v>19980</v>
      </c>
      <c r="B19967">
        <v>1021</v>
      </c>
      <c r="C19967" s="1" t="str">
        <f>HYPERLINK("http://www.rosaceae.org/gb/gbrowse/malus_x_domestica/?name=MDP0000222720","MDP0000222720")</f>
        <v>MDP0000222720</v>
      </c>
      <c r="D19967">
        <v>86.52</v>
      </c>
      <c r="E19967">
        <v>1061</v>
      </c>
      <c r="F19967">
        <v>143</v>
      </c>
      <c r="G19967">
        <v>51</v>
      </c>
      <c r="H19967">
        <v>1</v>
      </c>
      <c r="I19967">
        <v>1021</v>
      </c>
      <c r="J19967">
        <v>1</v>
      </c>
      <c r="K19967">
        <v>1</v>
      </c>
      <c r="L19967">
        <v>1050</v>
      </c>
      <c r="M19967">
        <v>1</v>
      </c>
      <c r="N19967">
        <v>0</v>
      </c>
      <c r="O19967">
        <v>4813</v>
      </c>
    </row>
    <row r="19968" spans="1:15" x14ac:dyDescent="0.25">
      <c r="A19968" t="s">
        <v>19981</v>
      </c>
      <c r="B19968">
        <v>119</v>
      </c>
      <c r="C19968" s="1" t="str">
        <f>HYPERLINK("http://www.rosaceae.org/gb/gbrowse/malus_x_domestica/?name=MDP0000214339","MDP0000214339")</f>
        <v>MDP0000214339</v>
      </c>
      <c r="D19968">
        <v>85.08</v>
      </c>
      <c r="E19968">
        <v>114</v>
      </c>
      <c r="F19968">
        <v>17</v>
      </c>
      <c r="G19968">
        <v>0</v>
      </c>
      <c r="H19968">
        <v>6</v>
      </c>
      <c r="I19968">
        <v>119</v>
      </c>
      <c r="J19968">
        <v>1</v>
      </c>
      <c r="K19968">
        <v>3</v>
      </c>
      <c r="L19968">
        <v>116</v>
      </c>
      <c r="M19968">
        <v>1</v>
      </c>
      <c r="N19968">
        <v>7.7755399999999996E-53</v>
      </c>
      <c r="O19968">
        <v>513</v>
      </c>
    </row>
    <row r="19969" spans="1:15" x14ac:dyDescent="0.25">
      <c r="A19969" t="s">
        <v>19982</v>
      </c>
      <c r="B19969">
        <v>477</v>
      </c>
      <c r="C19969" s="1" t="str">
        <f>HYPERLINK("http://www.rosaceae.org/gb/gbrowse/malus_x_domestica/?name=MDP0000241635","MDP0000241635")</f>
        <v>MDP0000241635</v>
      </c>
      <c r="D19969">
        <v>67.430000000000007</v>
      </c>
      <c r="E19969">
        <v>390</v>
      </c>
      <c r="F19969">
        <v>127</v>
      </c>
      <c r="G19969">
        <v>1</v>
      </c>
      <c r="H19969">
        <v>1</v>
      </c>
      <c r="I19969">
        <v>389</v>
      </c>
      <c r="J19969">
        <v>1</v>
      </c>
      <c r="K19969">
        <v>56</v>
      </c>
      <c r="L19969">
        <v>445</v>
      </c>
      <c r="M19969">
        <v>1</v>
      </c>
      <c r="N19969">
        <v>3.85929E-157</v>
      </c>
      <c r="O19969">
        <v>1421</v>
      </c>
    </row>
    <row r="19970" spans="1:15" x14ac:dyDescent="0.25">
      <c r="A19970" t="s">
        <v>19983</v>
      </c>
      <c r="B19970">
        <v>176</v>
      </c>
      <c r="C19970" s="1" t="str">
        <f>HYPERLINK("http://www.rosaceae.org/gb/gbrowse/malus_x_domestica/?name=MDP0000255057","MDP0000255057")</f>
        <v>MDP0000255057</v>
      </c>
      <c r="D19970">
        <v>75</v>
      </c>
      <c r="E19970">
        <v>72</v>
      </c>
      <c r="F19970">
        <v>18</v>
      </c>
      <c r="G19970">
        <v>0</v>
      </c>
      <c r="H19970">
        <v>73</v>
      </c>
      <c r="I19970">
        <v>144</v>
      </c>
      <c r="J19970">
        <v>1</v>
      </c>
      <c r="K19970">
        <v>663</v>
      </c>
      <c r="L19970">
        <v>734</v>
      </c>
      <c r="M19970">
        <v>1</v>
      </c>
      <c r="N19970">
        <v>9.7352799999999998E-27</v>
      </c>
      <c r="O19970">
        <v>291</v>
      </c>
    </row>
    <row r="19971" spans="1:15" x14ac:dyDescent="0.25">
      <c r="A19971" t="s">
        <v>19984</v>
      </c>
      <c r="B19971">
        <v>457</v>
      </c>
      <c r="C19971" s="1" t="str">
        <f>HYPERLINK("http://www.rosaceae.org/gb/gbrowse/malus_x_domestica/?name=MDP0000303782","MDP0000303782")</f>
        <v>MDP0000303782</v>
      </c>
      <c r="D19971">
        <v>74.78</v>
      </c>
      <c r="E19971">
        <v>476</v>
      </c>
      <c r="F19971">
        <v>120</v>
      </c>
      <c r="G19971">
        <v>32</v>
      </c>
      <c r="H19971">
        <v>1</v>
      </c>
      <c r="I19971">
        <v>457</v>
      </c>
      <c r="J19971">
        <v>1</v>
      </c>
      <c r="K19971">
        <v>1</v>
      </c>
      <c r="L19971">
        <v>463</v>
      </c>
      <c r="M19971">
        <v>1</v>
      </c>
      <c r="N19971">
        <v>0</v>
      </c>
      <c r="O19971">
        <v>1689</v>
      </c>
    </row>
    <row r="19972" spans="1:15" x14ac:dyDescent="0.25">
      <c r="A19972" t="s">
        <v>19985</v>
      </c>
      <c r="B19972">
        <v>165</v>
      </c>
      <c r="C19972" s="1" t="str">
        <f>HYPERLINK("http://www.rosaceae.org/gb/gbrowse/malus_x_domestica/?name=MDP0000213111","MDP0000213111")</f>
        <v>MDP0000213111</v>
      </c>
      <c r="D19972">
        <v>66.47</v>
      </c>
      <c r="E19972">
        <v>170</v>
      </c>
      <c r="F19972">
        <v>57</v>
      </c>
      <c r="G19972">
        <v>10</v>
      </c>
      <c r="H19972">
        <v>1</v>
      </c>
      <c r="I19972">
        <v>162</v>
      </c>
      <c r="J19972">
        <v>1</v>
      </c>
      <c r="K19972">
        <v>2</v>
      </c>
      <c r="L19972">
        <v>169</v>
      </c>
      <c r="M19972">
        <v>1</v>
      </c>
      <c r="N19972">
        <v>2.9770199999999999E-62</v>
      </c>
      <c r="O19972">
        <v>597</v>
      </c>
    </row>
    <row r="19973" spans="1:15" x14ac:dyDescent="0.25">
      <c r="A19973" t="s">
        <v>19986</v>
      </c>
      <c r="B19973">
        <v>794</v>
      </c>
      <c r="C19973" s="1" t="str">
        <f>HYPERLINK("http://www.rosaceae.org/gb/gbrowse/malus_x_domestica/?name=MDP0000087056","MDP0000087056")</f>
        <v>MDP0000087056</v>
      </c>
      <c r="D19973">
        <v>84.93</v>
      </c>
      <c r="E19973">
        <v>166</v>
      </c>
      <c r="F19973">
        <v>25</v>
      </c>
      <c r="G19973">
        <v>2</v>
      </c>
      <c r="H19973">
        <v>566</v>
      </c>
      <c r="I19973">
        <v>729</v>
      </c>
      <c r="J19973">
        <v>1</v>
      </c>
      <c r="K19973">
        <v>100</v>
      </c>
      <c r="L19973">
        <v>265</v>
      </c>
      <c r="M19973">
        <v>1</v>
      </c>
      <c r="N19973">
        <v>1.3779300000000001E-73</v>
      </c>
      <c r="O19973">
        <v>703</v>
      </c>
    </row>
    <row r="19974" spans="1:15" x14ac:dyDescent="0.25">
      <c r="A19974" t="s">
        <v>19987</v>
      </c>
      <c r="B19974">
        <v>948</v>
      </c>
      <c r="C19974" s="1" t="str">
        <f>HYPERLINK("http://www.rosaceae.org/gb/gbrowse/malus_x_domestica/?name=MDP0000311568","MDP0000311568")</f>
        <v>MDP0000311568</v>
      </c>
      <c r="D19974">
        <v>88.8</v>
      </c>
      <c r="E19974">
        <v>947</v>
      </c>
      <c r="F19974">
        <v>106</v>
      </c>
      <c r="G19974">
        <v>1</v>
      </c>
      <c r="H19974">
        <v>1</v>
      </c>
      <c r="I19974">
        <v>947</v>
      </c>
      <c r="J19974">
        <v>1</v>
      </c>
      <c r="K19974">
        <v>1</v>
      </c>
      <c r="L19974">
        <v>946</v>
      </c>
      <c r="M19974">
        <v>1</v>
      </c>
      <c r="N19974">
        <v>0</v>
      </c>
      <c r="O19974">
        <v>4528</v>
      </c>
    </row>
    <row r="19975" spans="1:15" x14ac:dyDescent="0.25">
      <c r="A19975" t="s">
        <v>19988</v>
      </c>
      <c r="B19975">
        <v>484</v>
      </c>
      <c r="C19975" s="1" t="str">
        <f>HYPERLINK("http://www.rosaceae.org/gb/gbrowse/malus_x_domestica/?name=MDP0000164891","MDP0000164891")</f>
        <v>MDP0000164891</v>
      </c>
      <c r="D19975">
        <v>55.97</v>
      </c>
      <c r="E19975">
        <v>452</v>
      </c>
      <c r="F19975">
        <v>199</v>
      </c>
      <c r="G19975">
        <v>2</v>
      </c>
      <c r="H19975">
        <v>33</v>
      </c>
      <c r="I19975">
        <v>484</v>
      </c>
      <c r="J19975">
        <v>1</v>
      </c>
      <c r="K19975">
        <v>51</v>
      </c>
      <c r="L19975">
        <v>500</v>
      </c>
      <c r="M19975">
        <v>1</v>
      </c>
      <c r="N19975">
        <v>4.2147300000000002E-148</v>
      </c>
      <c r="O19975">
        <v>1344</v>
      </c>
    </row>
    <row r="19976" spans="1:15" x14ac:dyDescent="0.25">
      <c r="A19976" t="s">
        <v>19989</v>
      </c>
      <c r="B19976">
        <v>468</v>
      </c>
      <c r="C19976" s="1" t="str">
        <f>HYPERLINK("http://www.rosaceae.org/gb/gbrowse/malus_x_domestica/?name=MDP0000250047","MDP0000250047")</f>
        <v>MDP0000250047</v>
      </c>
      <c r="D19976">
        <v>65.650000000000006</v>
      </c>
      <c r="E19976">
        <v>460</v>
      </c>
      <c r="F19976">
        <v>158</v>
      </c>
      <c r="G19976">
        <v>6</v>
      </c>
      <c r="H19976">
        <v>1</v>
      </c>
      <c r="I19976">
        <v>458</v>
      </c>
      <c r="J19976">
        <v>1</v>
      </c>
      <c r="K19976">
        <v>50</v>
      </c>
      <c r="L19976">
        <v>505</v>
      </c>
      <c r="M19976">
        <v>1</v>
      </c>
      <c r="N19976">
        <v>3.6239199999999999E-174</v>
      </c>
      <c r="O19976">
        <v>1568</v>
      </c>
    </row>
    <row r="19977" spans="1:15" x14ac:dyDescent="0.25">
      <c r="A19977" t="s">
        <v>19990</v>
      </c>
      <c r="B19977">
        <v>212</v>
      </c>
      <c r="C19977" s="1" t="str">
        <f>HYPERLINK("http://www.rosaceae.org/gb/gbrowse/malus_x_domestica/?name=MDP0000319911","MDP0000319911")</f>
        <v>MDP0000319911</v>
      </c>
      <c r="D19977">
        <v>87.91</v>
      </c>
      <c r="E19977">
        <v>91</v>
      </c>
      <c r="F19977">
        <v>11</v>
      </c>
      <c r="G19977">
        <v>0</v>
      </c>
      <c r="H19977">
        <v>37</v>
      </c>
      <c r="I19977">
        <v>127</v>
      </c>
      <c r="J19977">
        <v>1</v>
      </c>
      <c r="K19977">
        <v>42</v>
      </c>
      <c r="L19977">
        <v>132</v>
      </c>
      <c r="M19977">
        <v>1</v>
      </c>
      <c r="N19977">
        <v>3.2209200000000002E-44</v>
      </c>
      <c r="O19977">
        <v>443</v>
      </c>
    </row>
    <row r="19978" spans="1:15" x14ac:dyDescent="0.25">
      <c r="A19978" t="s">
        <v>19991</v>
      </c>
      <c r="B19978">
        <v>211</v>
      </c>
      <c r="C19978" s="1" t="str">
        <f>HYPERLINK("http://www.rosaceae.org/gb/gbrowse/malus_x_domestica/?name=MDP0000882090","MDP0000882090")</f>
        <v>MDP0000882090</v>
      </c>
      <c r="D19978">
        <v>68.13</v>
      </c>
      <c r="E19978">
        <v>182</v>
      </c>
      <c r="F19978">
        <v>58</v>
      </c>
      <c r="G19978">
        <v>11</v>
      </c>
      <c r="H19978">
        <v>1</v>
      </c>
      <c r="I19978">
        <v>172</v>
      </c>
      <c r="J19978">
        <v>1</v>
      </c>
      <c r="K19978">
        <v>33</v>
      </c>
      <c r="L19978">
        <v>213</v>
      </c>
      <c r="M19978">
        <v>1</v>
      </c>
      <c r="N19978">
        <v>2.3302399999999998E-65</v>
      </c>
      <c r="O19978">
        <v>626</v>
      </c>
    </row>
    <row r="19979" spans="1:15" x14ac:dyDescent="0.25">
      <c r="A19979" t="s">
        <v>19992</v>
      </c>
      <c r="B19979">
        <v>255</v>
      </c>
      <c r="C19979" s="1" t="str">
        <f>HYPERLINK("http://www.rosaceae.org/gb/gbrowse/malus_x_domestica/?name=MDP0000387508","MDP0000387508")</f>
        <v>MDP0000387508</v>
      </c>
      <c r="D19979">
        <v>64.25</v>
      </c>
      <c r="E19979">
        <v>263</v>
      </c>
      <c r="F19979">
        <v>94</v>
      </c>
      <c r="G19979">
        <v>22</v>
      </c>
      <c r="H19979">
        <v>1</v>
      </c>
      <c r="I19979">
        <v>255</v>
      </c>
      <c r="J19979">
        <v>1</v>
      </c>
      <c r="K19979">
        <v>1</v>
      </c>
      <c r="L19979">
        <v>249</v>
      </c>
      <c r="M19979">
        <v>1</v>
      </c>
      <c r="N19979">
        <v>2.8347300000000003E-88</v>
      </c>
      <c r="O19979">
        <v>824</v>
      </c>
    </row>
    <row r="19980" spans="1:15" x14ac:dyDescent="0.25">
      <c r="A19980" t="s">
        <v>19993</v>
      </c>
      <c r="B19980">
        <v>546</v>
      </c>
      <c r="C19980" s="1" t="str">
        <f>HYPERLINK("http://www.rosaceae.org/gb/gbrowse/malus_x_domestica/?name=MDP0000181535","MDP0000181535")</f>
        <v>MDP0000181535</v>
      </c>
      <c r="D19980">
        <v>85.58</v>
      </c>
      <c r="E19980">
        <v>562</v>
      </c>
      <c r="F19980">
        <v>81</v>
      </c>
      <c r="G19980">
        <v>22</v>
      </c>
      <c r="H19980">
        <v>1</v>
      </c>
      <c r="I19980">
        <v>546</v>
      </c>
      <c r="J19980">
        <v>1</v>
      </c>
      <c r="K19980">
        <v>1</v>
      </c>
      <c r="L19980">
        <v>556</v>
      </c>
      <c r="M19980">
        <v>1</v>
      </c>
      <c r="N19980">
        <v>0</v>
      </c>
      <c r="O19980">
        <v>2513</v>
      </c>
    </row>
    <row r="19981" spans="1:15" x14ac:dyDescent="0.25">
      <c r="A19981" t="s">
        <v>19994</v>
      </c>
      <c r="B19981">
        <v>1312</v>
      </c>
      <c r="C19981" s="1" t="str">
        <f>HYPERLINK("http://www.rosaceae.org/gb/gbrowse/malus_x_domestica/?name=MDP0000306017","MDP0000306017")</f>
        <v>MDP0000306017</v>
      </c>
      <c r="D19981">
        <v>80.900000000000006</v>
      </c>
      <c r="E19981">
        <v>1320</v>
      </c>
      <c r="F19981">
        <v>252</v>
      </c>
      <c r="G19981">
        <v>20</v>
      </c>
      <c r="H19981">
        <v>1</v>
      </c>
      <c r="I19981">
        <v>1312</v>
      </c>
      <c r="J19981">
        <v>1</v>
      </c>
      <c r="K19981">
        <v>1</v>
      </c>
      <c r="L19981">
        <v>1308</v>
      </c>
      <c r="M19981">
        <v>1</v>
      </c>
      <c r="N19981">
        <v>0</v>
      </c>
      <c r="O19981">
        <v>5551</v>
      </c>
    </row>
    <row r="19982" spans="1:15" x14ac:dyDescent="0.25">
      <c r="A19982" t="s">
        <v>19995</v>
      </c>
      <c r="B19982">
        <v>99</v>
      </c>
      <c r="C19982" s="1" t="str">
        <f>HYPERLINK("http://www.rosaceae.org/gb/gbrowse/malus_x_domestica/?name=MDP0000720497","MDP0000720497")</f>
        <v>MDP0000720497</v>
      </c>
      <c r="D19982">
        <v>81.63</v>
      </c>
      <c r="E19982">
        <v>98</v>
      </c>
      <c r="F19982">
        <v>18</v>
      </c>
      <c r="G19982">
        <v>2</v>
      </c>
      <c r="H19982">
        <v>2</v>
      </c>
      <c r="I19982">
        <v>99</v>
      </c>
      <c r="J19982">
        <v>1</v>
      </c>
      <c r="K19982">
        <v>29</v>
      </c>
      <c r="L19982">
        <v>124</v>
      </c>
      <c r="M19982">
        <v>1</v>
      </c>
      <c r="N19982">
        <v>1.5941600000000001E-39</v>
      </c>
      <c r="O19982">
        <v>398</v>
      </c>
    </row>
    <row r="19983" spans="1:15" x14ac:dyDescent="0.25">
      <c r="A19983" t="s">
        <v>19996</v>
      </c>
      <c r="B19983">
        <v>162</v>
      </c>
      <c r="C19983" s="1" t="str">
        <f>HYPERLINK("http://www.rosaceae.org/gb/gbrowse/malus_x_domestica/?name=MDP0000205866","MDP0000205866")</f>
        <v>MDP0000205866</v>
      </c>
      <c r="D19983">
        <v>86.84</v>
      </c>
      <c r="E19983">
        <v>114</v>
      </c>
      <c r="F19983">
        <v>15</v>
      </c>
      <c r="G19983">
        <v>0</v>
      </c>
      <c r="H19983">
        <v>24</v>
      </c>
      <c r="I19983">
        <v>137</v>
      </c>
      <c r="J19983">
        <v>1</v>
      </c>
      <c r="K19983">
        <v>505</v>
      </c>
      <c r="L19983">
        <v>618</v>
      </c>
      <c r="M19983">
        <v>1</v>
      </c>
      <c r="N19983">
        <v>3.3251699999999999E-52</v>
      </c>
      <c r="O19983">
        <v>510</v>
      </c>
    </row>
    <row r="19984" spans="1:15" x14ac:dyDescent="0.25">
      <c r="A19984" t="s">
        <v>19997</v>
      </c>
      <c r="B19984">
        <v>677</v>
      </c>
      <c r="C19984" s="1" t="str">
        <f>HYPERLINK("http://www.rosaceae.org/gb/gbrowse/malus_x_domestica/?name=MDP0000807780","MDP0000807780")</f>
        <v>MDP0000807780</v>
      </c>
      <c r="D19984">
        <v>66.180000000000007</v>
      </c>
      <c r="E19984">
        <v>556</v>
      </c>
      <c r="F19984">
        <v>188</v>
      </c>
      <c r="G19984">
        <v>6</v>
      </c>
      <c r="H19984">
        <v>121</v>
      </c>
      <c r="I19984">
        <v>673</v>
      </c>
      <c r="J19984">
        <v>1</v>
      </c>
      <c r="K19984">
        <v>1</v>
      </c>
      <c r="L19984">
        <v>553</v>
      </c>
      <c r="M19984">
        <v>1</v>
      </c>
      <c r="N19984">
        <v>0</v>
      </c>
      <c r="O19984">
        <v>1914</v>
      </c>
    </row>
    <row r="19985" spans="1:15" x14ac:dyDescent="0.25">
      <c r="A19985" t="s">
        <v>19998</v>
      </c>
      <c r="B19985">
        <v>605</v>
      </c>
      <c r="C19985" s="1" t="str">
        <f>HYPERLINK("http://www.rosaceae.org/gb/gbrowse/malus_x_domestica/?name=MDP0000207810","MDP0000207810")</f>
        <v>MDP0000207810</v>
      </c>
      <c r="D19985">
        <v>54.33</v>
      </c>
      <c r="E19985">
        <v>346</v>
      </c>
      <c r="F19985">
        <v>158</v>
      </c>
      <c r="G19985">
        <v>8</v>
      </c>
      <c r="H19985">
        <v>258</v>
      </c>
      <c r="I19985">
        <v>603</v>
      </c>
      <c r="J19985">
        <v>1</v>
      </c>
      <c r="K19985">
        <v>342</v>
      </c>
      <c r="L19985">
        <v>679</v>
      </c>
      <c r="M19985">
        <v>1</v>
      </c>
      <c r="N19985">
        <v>4.6378699999999997E-105</v>
      </c>
      <c r="O19985">
        <v>973</v>
      </c>
    </row>
    <row r="19986" spans="1:15" x14ac:dyDescent="0.25">
      <c r="A19986" t="s">
        <v>19999</v>
      </c>
      <c r="B19986">
        <v>610</v>
      </c>
      <c r="C19986" s="1" t="str">
        <f>HYPERLINK("http://www.rosaceae.org/gb/gbrowse/malus_x_domestica/?name=MDP0000258724","MDP0000258724")</f>
        <v>MDP0000258724</v>
      </c>
      <c r="D19986">
        <v>72.430000000000007</v>
      </c>
      <c r="E19986">
        <v>584</v>
      </c>
      <c r="F19986">
        <v>161</v>
      </c>
      <c r="G19986">
        <v>17</v>
      </c>
      <c r="H19986">
        <v>38</v>
      </c>
      <c r="I19986">
        <v>607</v>
      </c>
      <c r="J19986">
        <v>1</v>
      </c>
      <c r="K19986">
        <v>57</v>
      </c>
      <c r="L19986">
        <v>637</v>
      </c>
      <c r="M19986">
        <v>1</v>
      </c>
      <c r="N19986">
        <v>0</v>
      </c>
      <c r="O19986">
        <v>2219</v>
      </c>
    </row>
    <row r="19987" spans="1:15" x14ac:dyDescent="0.25">
      <c r="A19987" t="s">
        <v>20000</v>
      </c>
      <c r="B19987">
        <v>142</v>
      </c>
      <c r="C19987" s="1" t="str">
        <f>HYPERLINK("http://www.rosaceae.org/gb/gbrowse/malus_x_domestica/?name=MDP0000316074","MDP0000316074")</f>
        <v>MDP0000316074</v>
      </c>
      <c r="D19987">
        <v>67.16</v>
      </c>
      <c r="E19987">
        <v>134</v>
      </c>
      <c r="F19987">
        <v>44</v>
      </c>
      <c r="G19987">
        <v>3</v>
      </c>
      <c r="H19987">
        <v>1</v>
      </c>
      <c r="I19987">
        <v>133</v>
      </c>
      <c r="J19987">
        <v>1</v>
      </c>
      <c r="K19987">
        <v>1</v>
      </c>
      <c r="L19987">
        <v>132</v>
      </c>
      <c r="M19987">
        <v>1</v>
      </c>
      <c r="N19987">
        <v>2.1469999999999998E-46</v>
      </c>
      <c r="O19987">
        <v>459</v>
      </c>
    </row>
    <row r="19988" spans="1:15" x14ac:dyDescent="0.25">
      <c r="A19988" t="s">
        <v>20001</v>
      </c>
      <c r="B19988">
        <v>223</v>
      </c>
      <c r="C19988" s="1" t="str">
        <f>HYPERLINK("http://www.rosaceae.org/gb/gbrowse/malus_x_domestica/?name=MDP0000250703","MDP0000250703")</f>
        <v>MDP0000250703</v>
      </c>
      <c r="D19988">
        <v>35.36</v>
      </c>
      <c r="E19988">
        <v>164</v>
      </c>
      <c r="F19988">
        <v>106</v>
      </c>
      <c r="G19988">
        <v>12</v>
      </c>
      <c r="H19988">
        <v>3</v>
      </c>
      <c r="I19988">
        <v>157</v>
      </c>
      <c r="J19988">
        <v>1</v>
      </c>
      <c r="K19988">
        <v>415</v>
      </c>
      <c r="L19988">
        <v>575</v>
      </c>
      <c r="M19988">
        <v>1</v>
      </c>
      <c r="N19988">
        <v>9.6566000000000007E-19</v>
      </c>
      <c r="O19988">
        <v>224</v>
      </c>
    </row>
    <row r="19989" spans="1:15" x14ac:dyDescent="0.25">
      <c r="A19989" t="s">
        <v>20002</v>
      </c>
      <c r="B19989">
        <v>1071</v>
      </c>
      <c r="C19989" s="1" t="str">
        <f>HYPERLINK("http://www.rosaceae.org/gb/gbrowse/malus_x_domestica/?name=MDP0000319861","MDP0000319861")</f>
        <v>MDP0000319861</v>
      </c>
      <c r="D19989">
        <v>76.52</v>
      </c>
      <c r="E19989">
        <v>1018</v>
      </c>
      <c r="F19989">
        <v>239</v>
      </c>
      <c r="G19989">
        <v>45</v>
      </c>
      <c r="H19989">
        <v>64</v>
      </c>
      <c r="I19989">
        <v>1070</v>
      </c>
      <c r="J19989">
        <v>1</v>
      </c>
      <c r="K19989">
        <v>142</v>
      </c>
      <c r="L19989">
        <v>1125</v>
      </c>
      <c r="M19989">
        <v>1</v>
      </c>
      <c r="N19989">
        <v>0</v>
      </c>
      <c r="O19989">
        <v>4078</v>
      </c>
    </row>
    <row r="19990" spans="1:15" x14ac:dyDescent="0.25">
      <c r="A19990" t="s">
        <v>20003</v>
      </c>
      <c r="B19990">
        <v>275</v>
      </c>
      <c r="C19990" s="1" t="str">
        <f>HYPERLINK("http://www.rosaceae.org/gb/gbrowse/malus_x_domestica/?name=MDP0000318443","MDP0000318443")</f>
        <v>MDP0000318443</v>
      </c>
      <c r="D19990">
        <v>42.56</v>
      </c>
      <c r="E19990">
        <v>148</v>
      </c>
      <c r="F19990">
        <v>85</v>
      </c>
      <c r="G19990">
        <v>25</v>
      </c>
      <c r="H19990">
        <v>1</v>
      </c>
      <c r="I19990">
        <v>144</v>
      </c>
      <c r="J19990">
        <v>1</v>
      </c>
      <c r="K19990">
        <v>263</v>
      </c>
      <c r="L19990">
        <v>389</v>
      </c>
      <c r="M19990">
        <v>1</v>
      </c>
      <c r="N19990">
        <v>4.4804100000000002E-20</v>
      </c>
      <c r="O19990">
        <v>237</v>
      </c>
    </row>
    <row r="19991" spans="1:15" x14ac:dyDescent="0.25">
      <c r="A19991" t="s">
        <v>20004</v>
      </c>
      <c r="B19991">
        <v>1229</v>
      </c>
      <c r="C19991" s="1" t="str">
        <f>HYPERLINK("http://www.rosaceae.org/gb/gbrowse/malus_x_domestica/?name=MDP0000139081","MDP0000139081")</f>
        <v>MDP0000139081</v>
      </c>
      <c r="D19991">
        <v>75.849999999999994</v>
      </c>
      <c r="E19991">
        <v>1085</v>
      </c>
      <c r="F19991">
        <v>262</v>
      </c>
      <c r="G19991">
        <v>0</v>
      </c>
      <c r="H19991">
        <v>26</v>
      </c>
      <c r="I19991">
        <v>1110</v>
      </c>
      <c r="J19991">
        <v>1</v>
      </c>
      <c r="K19991">
        <v>23</v>
      </c>
      <c r="L19991">
        <v>1107</v>
      </c>
      <c r="M19991">
        <v>1</v>
      </c>
      <c r="N19991">
        <v>0</v>
      </c>
      <c r="O19991">
        <v>4517</v>
      </c>
    </row>
    <row r="19992" spans="1:15" x14ac:dyDescent="0.25">
      <c r="A19992" t="s">
        <v>20005</v>
      </c>
      <c r="B19992">
        <v>133</v>
      </c>
      <c r="C19992" s="1" t="str">
        <f>HYPERLINK("http://www.rosaceae.org/gb/gbrowse/malus_x_domestica/?name=MDP0000282660","MDP0000282660")</f>
        <v>MDP0000282660</v>
      </c>
      <c r="D19992">
        <v>70.760000000000005</v>
      </c>
      <c r="E19992">
        <v>130</v>
      </c>
      <c r="F19992">
        <v>38</v>
      </c>
      <c r="G19992">
        <v>6</v>
      </c>
      <c r="H19992">
        <v>6</v>
      </c>
      <c r="I19992">
        <v>133</v>
      </c>
      <c r="J19992">
        <v>1</v>
      </c>
      <c r="K19992">
        <v>4</v>
      </c>
      <c r="L19992">
        <v>129</v>
      </c>
      <c r="M19992">
        <v>1</v>
      </c>
      <c r="N19992">
        <v>1.1486E-47</v>
      </c>
      <c r="O19992">
        <v>469</v>
      </c>
    </row>
    <row r="19993" spans="1:15" x14ac:dyDescent="0.25">
      <c r="A19993" t="s">
        <v>20006</v>
      </c>
      <c r="B19993">
        <v>242</v>
      </c>
      <c r="C19993" s="1" t="str">
        <f>HYPERLINK("http://www.rosaceae.org/gb/gbrowse/malus_x_domestica/?name=MDP0000562306","MDP0000562306")</f>
        <v>MDP0000562306</v>
      </c>
      <c r="D19993">
        <v>81.22</v>
      </c>
      <c r="E19993">
        <v>213</v>
      </c>
      <c r="F19993">
        <v>40</v>
      </c>
      <c r="G19993">
        <v>2</v>
      </c>
      <c r="H19993">
        <v>30</v>
      </c>
      <c r="I19993">
        <v>242</v>
      </c>
      <c r="J19993">
        <v>1</v>
      </c>
      <c r="K19993">
        <v>37</v>
      </c>
      <c r="L19993">
        <v>247</v>
      </c>
      <c r="M19993">
        <v>1</v>
      </c>
      <c r="N19993">
        <v>1.7343699999999999E-97</v>
      </c>
      <c r="O19993">
        <v>903</v>
      </c>
    </row>
    <row r="19994" spans="1:15" x14ac:dyDescent="0.25">
      <c r="A19994" t="s">
        <v>20007</v>
      </c>
      <c r="B19994">
        <v>714</v>
      </c>
      <c r="C19994" s="1" t="str">
        <f>HYPERLINK("http://www.rosaceae.org/gb/gbrowse/malus_x_domestica/?name=MDP0000128183","MDP0000128183")</f>
        <v>MDP0000128183</v>
      </c>
      <c r="D19994">
        <v>54.25</v>
      </c>
      <c r="E19994">
        <v>787</v>
      </c>
      <c r="F19994">
        <v>360</v>
      </c>
      <c r="G19994">
        <v>126</v>
      </c>
      <c r="H19994">
        <v>1</v>
      </c>
      <c r="I19994">
        <v>714</v>
      </c>
      <c r="J19994">
        <v>1</v>
      </c>
      <c r="K19994">
        <v>1</v>
      </c>
      <c r="L19994">
        <v>734</v>
      </c>
      <c r="M19994">
        <v>1</v>
      </c>
      <c r="N19994">
        <v>0</v>
      </c>
      <c r="O19994">
        <v>1787</v>
      </c>
    </row>
    <row r="19995" spans="1:15" x14ac:dyDescent="0.25">
      <c r="A19995" t="s">
        <v>20008</v>
      </c>
      <c r="B19995">
        <v>723</v>
      </c>
      <c r="C19995" s="1" t="str">
        <f>HYPERLINK("http://www.rosaceae.org/gb/gbrowse/malus_x_domestica/?name=MDP0000254466","MDP0000254466")</f>
        <v>MDP0000254466</v>
      </c>
      <c r="D19995">
        <v>80.42</v>
      </c>
      <c r="E19995">
        <v>618</v>
      </c>
      <c r="F19995">
        <v>121</v>
      </c>
      <c r="G19995">
        <v>17</v>
      </c>
      <c r="H19995">
        <v>7</v>
      </c>
      <c r="I19995">
        <v>609</v>
      </c>
      <c r="J19995">
        <v>1</v>
      </c>
      <c r="K19995">
        <v>99</v>
      </c>
      <c r="L19995">
        <v>714</v>
      </c>
      <c r="M19995">
        <v>1</v>
      </c>
      <c r="N19995">
        <v>0</v>
      </c>
      <c r="O19995">
        <v>2602</v>
      </c>
    </row>
    <row r="19996" spans="1:15" x14ac:dyDescent="0.25">
      <c r="A19996" t="s">
        <v>20009</v>
      </c>
      <c r="B19996">
        <v>430</v>
      </c>
      <c r="C19996" s="1" t="str">
        <f>HYPERLINK("http://www.rosaceae.org/gb/gbrowse/malus_x_domestica/?name=MDP0000265164","MDP0000265164")</f>
        <v>MDP0000265164</v>
      </c>
      <c r="D19996">
        <v>36.4</v>
      </c>
      <c r="E19996">
        <v>423</v>
      </c>
      <c r="F19996">
        <v>269</v>
      </c>
      <c r="G19996">
        <v>45</v>
      </c>
      <c r="H19996">
        <v>2</v>
      </c>
      <c r="I19996">
        <v>400</v>
      </c>
      <c r="J19996">
        <v>1</v>
      </c>
      <c r="K19996">
        <v>620</v>
      </c>
      <c r="L19996">
        <v>1021</v>
      </c>
      <c r="M19996">
        <v>1</v>
      </c>
      <c r="N19996">
        <v>5.0570800000000003E-46</v>
      </c>
      <c r="O19996">
        <v>463</v>
      </c>
    </row>
    <row r="19997" spans="1:15" x14ac:dyDescent="0.25">
      <c r="A19997" t="s">
        <v>20010</v>
      </c>
      <c r="B19997">
        <v>209</v>
      </c>
      <c r="C19997" s="1" t="str">
        <f>HYPERLINK("http://www.rosaceae.org/gb/gbrowse/malus_x_domestica/?name=MDP0000308332","MDP0000308332")</f>
        <v>MDP0000308332</v>
      </c>
      <c r="D19997">
        <v>63.33</v>
      </c>
      <c r="E19997">
        <v>180</v>
      </c>
      <c r="F19997">
        <v>66</v>
      </c>
      <c r="G19997">
        <v>8</v>
      </c>
      <c r="H19997">
        <v>31</v>
      </c>
      <c r="I19997">
        <v>209</v>
      </c>
      <c r="J19997">
        <v>1</v>
      </c>
      <c r="K19997">
        <v>1</v>
      </c>
      <c r="L19997">
        <v>173</v>
      </c>
      <c r="M19997">
        <v>1</v>
      </c>
      <c r="N19997">
        <v>7.9001899999999995E-51</v>
      </c>
      <c r="O19997">
        <v>500</v>
      </c>
    </row>
    <row r="19998" spans="1:15" x14ac:dyDescent="0.25">
      <c r="A19998" t="s">
        <v>20011</v>
      </c>
      <c r="B19998">
        <v>551</v>
      </c>
      <c r="C19998" s="1" t="str">
        <f>HYPERLINK("http://www.rosaceae.org/gb/gbrowse/malus_x_domestica/?name=MDP0000629486","MDP0000629486")</f>
        <v>MDP0000629486</v>
      </c>
      <c r="D19998">
        <v>56.25</v>
      </c>
      <c r="E19998">
        <v>384</v>
      </c>
      <c r="F19998">
        <v>168</v>
      </c>
      <c r="G19998">
        <v>4</v>
      </c>
      <c r="H19998">
        <v>29</v>
      </c>
      <c r="I19998">
        <v>408</v>
      </c>
      <c r="J19998">
        <v>1</v>
      </c>
      <c r="K19998">
        <v>31</v>
      </c>
      <c r="L19998">
        <v>414</v>
      </c>
      <c r="M19998">
        <v>1</v>
      </c>
      <c r="N19998">
        <v>2.9891700000000002E-121</v>
      </c>
      <c r="O19998">
        <v>1113</v>
      </c>
    </row>
    <row r="19999" spans="1:15" x14ac:dyDescent="0.25">
      <c r="A19999" t="s">
        <v>20012</v>
      </c>
      <c r="B19999">
        <v>488</v>
      </c>
      <c r="C19999" s="1" t="str">
        <f>HYPERLINK("http://www.rosaceae.org/gb/gbrowse/malus_x_domestica/?name=MDP0000119093","MDP0000119093")</f>
        <v>MDP0000119093</v>
      </c>
      <c r="D19999">
        <v>46.94</v>
      </c>
      <c r="E19999">
        <v>409</v>
      </c>
      <c r="F19999">
        <v>217</v>
      </c>
      <c r="G19999">
        <v>12</v>
      </c>
      <c r="H19999">
        <v>74</v>
      </c>
      <c r="I19999">
        <v>471</v>
      </c>
      <c r="J19999">
        <v>1</v>
      </c>
      <c r="K19999">
        <v>71</v>
      </c>
      <c r="L19999">
        <v>478</v>
      </c>
      <c r="M19999">
        <v>1</v>
      </c>
      <c r="N19999">
        <v>2.4335900000000001E-93</v>
      </c>
      <c r="O19999">
        <v>871</v>
      </c>
    </row>
    <row r="20000" spans="1:15" x14ac:dyDescent="0.25">
      <c r="A20000" t="s">
        <v>20013</v>
      </c>
      <c r="B20000">
        <v>155</v>
      </c>
      <c r="C20000" s="1" t="str">
        <f>HYPERLINK("http://www.rosaceae.org/gb/gbrowse/malus_x_domestica/?name=MDP0000873258","MDP0000873258")</f>
        <v>MDP0000873258</v>
      </c>
      <c r="D20000">
        <v>55.07</v>
      </c>
      <c r="E20000">
        <v>138</v>
      </c>
      <c r="F20000">
        <v>62</v>
      </c>
      <c r="G20000">
        <v>4</v>
      </c>
      <c r="H20000">
        <v>1</v>
      </c>
      <c r="I20000">
        <v>135</v>
      </c>
      <c r="J20000">
        <v>1</v>
      </c>
      <c r="K20000">
        <v>1</v>
      </c>
      <c r="L20000">
        <v>137</v>
      </c>
      <c r="M20000">
        <v>1</v>
      </c>
      <c r="N20000">
        <v>1.6701399999999999E-32</v>
      </c>
      <c r="O20000">
        <v>340</v>
      </c>
    </row>
    <row r="20001" spans="1:15" x14ac:dyDescent="0.25">
      <c r="A20001" t="s">
        <v>20014</v>
      </c>
      <c r="B20001">
        <v>964</v>
      </c>
      <c r="C20001" s="1" t="str">
        <f>HYPERLINK("http://www.rosaceae.org/gb/gbrowse/malus_x_domestica/?name=MDP0000233409","MDP0000233409")</f>
        <v>MDP0000233409</v>
      </c>
      <c r="D20001">
        <v>61</v>
      </c>
      <c r="E20001">
        <v>777</v>
      </c>
      <c r="F20001">
        <v>303</v>
      </c>
      <c r="G20001">
        <v>72</v>
      </c>
      <c r="H20001">
        <v>181</v>
      </c>
      <c r="I20001">
        <v>924</v>
      </c>
      <c r="J20001">
        <v>1</v>
      </c>
      <c r="K20001">
        <v>193</v>
      </c>
      <c r="L20001">
        <v>930</v>
      </c>
      <c r="M20001">
        <v>1</v>
      </c>
      <c r="N20001">
        <v>0</v>
      </c>
      <c r="O20001">
        <v>2416</v>
      </c>
    </row>
    <row r="20002" spans="1:15" x14ac:dyDescent="0.25">
      <c r="A20002" t="s">
        <v>20015</v>
      </c>
      <c r="B20002">
        <v>515</v>
      </c>
      <c r="C20002" s="1" t="str">
        <f>HYPERLINK("http://www.rosaceae.org/gb/gbrowse/malus_x_domestica/?name=MDP0000185402","MDP0000185402")</f>
        <v>MDP0000185402</v>
      </c>
      <c r="D20002">
        <v>69.06</v>
      </c>
      <c r="E20002">
        <v>501</v>
      </c>
      <c r="F20002">
        <v>155</v>
      </c>
      <c r="G20002">
        <v>1</v>
      </c>
      <c r="H20002">
        <v>15</v>
      </c>
      <c r="I20002">
        <v>515</v>
      </c>
      <c r="J20002">
        <v>1</v>
      </c>
      <c r="K20002">
        <v>15</v>
      </c>
      <c r="L20002">
        <v>514</v>
      </c>
      <c r="M20002">
        <v>1</v>
      </c>
      <c r="N20002">
        <v>0</v>
      </c>
      <c r="O20002">
        <v>1821</v>
      </c>
    </row>
    <row r="20003" spans="1:15" x14ac:dyDescent="0.25">
      <c r="A20003" t="s">
        <v>20016</v>
      </c>
      <c r="B20003">
        <v>421</v>
      </c>
      <c r="C20003" s="1" t="str">
        <f>HYPERLINK("http://www.rosaceae.org/gb/gbrowse/malus_x_domestica/?name=MDP0000124256","MDP0000124256")</f>
        <v>MDP0000124256</v>
      </c>
      <c r="D20003">
        <v>39.08</v>
      </c>
      <c r="E20003">
        <v>87</v>
      </c>
      <c r="F20003">
        <v>53</v>
      </c>
      <c r="G20003">
        <v>1</v>
      </c>
      <c r="H20003">
        <v>136</v>
      </c>
      <c r="I20003">
        <v>222</v>
      </c>
      <c r="J20003">
        <v>1</v>
      </c>
      <c r="K20003">
        <v>109</v>
      </c>
      <c r="L20003">
        <v>194</v>
      </c>
      <c r="M20003">
        <v>1</v>
      </c>
      <c r="N20003">
        <v>1.0888E-8</v>
      </c>
      <c r="O20003">
        <v>141</v>
      </c>
    </row>
    <row r="20004" spans="1:15" x14ac:dyDescent="0.25">
      <c r="A20004" t="s">
        <v>20017</v>
      </c>
      <c r="B20004">
        <v>563</v>
      </c>
      <c r="C20004" s="1" t="str">
        <f>HYPERLINK("http://www.rosaceae.org/gb/gbrowse/malus_x_domestica/?name=MDP0000127560","MDP0000127560")</f>
        <v>MDP0000127560</v>
      </c>
      <c r="D20004">
        <v>83.51</v>
      </c>
      <c r="E20004">
        <v>558</v>
      </c>
      <c r="F20004">
        <v>92</v>
      </c>
      <c r="G20004">
        <v>2</v>
      </c>
      <c r="H20004">
        <v>4</v>
      </c>
      <c r="I20004">
        <v>561</v>
      </c>
      <c r="J20004">
        <v>1</v>
      </c>
      <c r="K20004">
        <v>141</v>
      </c>
      <c r="L20004">
        <v>696</v>
      </c>
      <c r="M20004">
        <v>1</v>
      </c>
      <c r="N20004">
        <v>0</v>
      </c>
      <c r="O20004">
        <v>2495</v>
      </c>
    </row>
    <row r="20005" spans="1:15" x14ac:dyDescent="0.25">
      <c r="A20005" t="s">
        <v>20018</v>
      </c>
      <c r="B20005">
        <v>242</v>
      </c>
      <c r="C20005" s="1" t="str">
        <f>HYPERLINK("http://www.rosaceae.org/gb/gbrowse/malus_x_domestica/?name=MDP0000282171","MDP0000282171")</f>
        <v>MDP0000282171</v>
      </c>
      <c r="D20005">
        <v>76.41</v>
      </c>
      <c r="E20005">
        <v>229</v>
      </c>
      <c r="F20005">
        <v>54</v>
      </c>
      <c r="G20005">
        <v>5</v>
      </c>
      <c r="H20005">
        <v>19</v>
      </c>
      <c r="I20005">
        <v>242</v>
      </c>
      <c r="J20005">
        <v>1</v>
      </c>
      <c r="K20005">
        <v>19</v>
      </c>
      <c r="L20005">
        <v>247</v>
      </c>
      <c r="M20005">
        <v>1</v>
      </c>
      <c r="N20005">
        <v>2.9295599999999999E-102</v>
      </c>
      <c r="O20005">
        <v>945</v>
      </c>
    </row>
    <row r="20006" spans="1:15" x14ac:dyDescent="0.25">
      <c r="A20006" t="s">
        <v>20019</v>
      </c>
      <c r="B20006">
        <v>557</v>
      </c>
      <c r="C20006" s="1" t="str">
        <f>HYPERLINK("http://www.rosaceae.org/gb/gbrowse/malus_x_domestica/?name=MDP0000251667","MDP0000251667")</f>
        <v>MDP0000251667</v>
      </c>
      <c r="D20006">
        <v>81.37</v>
      </c>
      <c r="E20006">
        <v>537</v>
      </c>
      <c r="F20006">
        <v>100</v>
      </c>
      <c r="G20006">
        <v>2</v>
      </c>
      <c r="H20006">
        <v>1</v>
      </c>
      <c r="I20006">
        <v>537</v>
      </c>
      <c r="J20006">
        <v>1</v>
      </c>
      <c r="K20006">
        <v>93</v>
      </c>
      <c r="L20006">
        <v>627</v>
      </c>
      <c r="M20006">
        <v>1</v>
      </c>
      <c r="N20006">
        <v>0</v>
      </c>
      <c r="O20006">
        <v>2346</v>
      </c>
    </row>
    <row r="20007" spans="1:15" x14ac:dyDescent="0.25">
      <c r="A20007" t="s">
        <v>20020</v>
      </c>
      <c r="B20007">
        <v>1028</v>
      </c>
      <c r="C20007" s="1" t="str">
        <f>HYPERLINK("http://www.rosaceae.org/gb/gbrowse/malus_x_domestica/?name=MDP0000232417","MDP0000232417")</f>
        <v>MDP0000232417</v>
      </c>
      <c r="D20007">
        <v>78.989999999999995</v>
      </c>
      <c r="E20007">
        <v>895</v>
      </c>
      <c r="F20007">
        <v>188</v>
      </c>
      <c r="G20007">
        <v>17</v>
      </c>
      <c r="H20007">
        <v>80</v>
      </c>
      <c r="I20007">
        <v>958</v>
      </c>
      <c r="J20007">
        <v>1</v>
      </c>
      <c r="K20007">
        <v>1</v>
      </c>
      <c r="L20007">
        <v>894</v>
      </c>
      <c r="M20007">
        <v>1</v>
      </c>
      <c r="N20007">
        <v>0</v>
      </c>
      <c r="O20007">
        <v>3596</v>
      </c>
    </row>
    <row r="20008" spans="1:15" x14ac:dyDescent="0.25">
      <c r="A20008" t="s">
        <v>20021</v>
      </c>
      <c r="B20008">
        <v>636</v>
      </c>
      <c r="C20008" s="1" t="str">
        <f>HYPERLINK("http://www.rosaceae.org/gb/gbrowse/malus_x_domestica/?name=MDP0000226472","MDP0000226472")</f>
        <v>MDP0000226472</v>
      </c>
      <c r="D20008">
        <v>77.48</v>
      </c>
      <c r="E20008">
        <v>653</v>
      </c>
      <c r="F20008">
        <v>147</v>
      </c>
      <c r="G20008">
        <v>21</v>
      </c>
      <c r="H20008">
        <v>1</v>
      </c>
      <c r="I20008">
        <v>636</v>
      </c>
      <c r="J20008">
        <v>1</v>
      </c>
      <c r="K20008">
        <v>1</v>
      </c>
      <c r="L20008">
        <v>649</v>
      </c>
      <c r="M20008">
        <v>1</v>
      </c>
      <c r="N20008">
        <v>0</v>
      </c>
      <c r="O20008">
        <v>2538</v>
      </c>
    </row>
    <row r="20009" spans="1:15" x14ac:dyDescent="0.25">
      <c r="A20009" t="s">
        <v>20022</v>
      </c>
      <c r="B20009">
        <v>566</v>
      </c>
      <c r="C20009" s="1" t="str">
        <f>HYPERLINK("http://www.rosaceae.org/gb/gbrowse/malus_x_domestica/?name=MDP0000318347","MDP0000318347")</f>
        <v>MDP0000318347</v>
      </c>
      <c r="D20009">
        <v>34.65</v>
      </c>
      <c r="E20009">
        <v>329</v>
      </c>
      <c r="F20009">
        <v>215</v>
      </c>
      <c r="G20009">
        <v>47</v>
      </c>
      <c r="H20009">
        <v>276</v>
      </c>
      <c r="I20009">
        <v>566</v>
      </c>
      <c r="J20009">
        <v>1</v>
      </c>
      <c r="K20009">
        <v>113</v>
      </c>
      <c r="L20009">
        <v>432</v>
      </c>
      <c r="M20009">
        <v>1</v>
      </c>
      <c r="N20009">
        <v>2.0396900000000001E-37</v>
      </c>
      <c r="O20009">
        <v>390</v>
      </c>
    </row>
    <row r="20010" spans="1:15" x14ac:dyDescent="0.25">
      <c r="A20010" t="s">
        <v>20023</v>
      </c>
      <c r="B20010">
        <v>167</v>
      </c>
      <c r="C20010" s="1" t="str">
        <f>HYPERLINK("http://www.rosaceae.org/gb/gbrowse/malus_x_domestica/?name=MDP0000144516","MDP0000144516")</f>
        <v>MDP0000144516</v>
      </c>
      <c r="D20010">
        <v>50</v>
      </c>
      <c r="E20010">
        <v>118</v>
      </c>
      <c r="F20010">
        <v>59</v>
      </c>
      <c r="G20010">
        <v>28</v>
      </c>
      <c r="H20010">
        <v>6</v>
      </c>
      <c r="I20010">
        <v>98</v>
      </c>
      <c r="J20010">
        <v>1</v>
      </c>
      <c r="K20010">
        <v>17</v>
      </c>
      <c r="L20010">
        <v>131</v>
      </c>
      <c r="M20010">
        <v>1</v>
      </c>
      <c r="N20010">
        <v>2.1641400000000001E-23</v>
      </c>
      <c r="O20010">
        <v>262</v>
      </c>
    </row>
    <row r="20011" spans="1:15" x14ac:dyDescent="0.25">
      <c r="A20011" t="s">
        <v>20024</v>
      </c>
      <c r="B20011">
        <v>465</v>
      </c>
      <c r="C20011" s="1" t="str">
        <f>HYPERLINK("http://www.rosaceae.org/gb/gbrowse/malus_x_domestica/?name=MDP0000778477","MDP0000778477")</f>
        <v>MDP0000778477</v>
      </c>
      <c r="D20011">
        <v>75.37</v>
      </c>
      <c r="E20011">
        <v>333</v>
      </c>
      <c r="F20011">
        <v>82</v>
      </c>
      <c r="G20011">
        <v>1</v>
      </c>
      <c r="H20011">
        <v>4</v>
      </c>
      <c r="I20011">
        <v>336</v>
      </c>
      <c r="J20011">
        <v>1</v>
      </c>
      <c r="K20011">
        <v>3</v>
      </c>
      <c r="L20011">
        <v>334</v>
      </c>
      <c r="M20011">
        <v>1</v>
      </c>
      <c r="N20011">
        <v>3.6534499999999998E-146</v>
      </c>
      <c r="O20011">
        <v>1327</v>
      </c>
    </row>
    <row r="20012" spans="1:15" x14ac:dyDescent="0.25">
      <c r="A20012" t="s">
        <v>20025</v>
      </c>
      <c r="B20012">
        <v>1547</v>
      </c>
      <c r="C20012" s="1" t="str">
        <f>HYPERLINK("http://www.rosaceae.org/gb/gbrowse/malus_x_domestica/?name=MDP0000312812","MDP0000312812")</f>
        <v>MDP0000312812</v>
      </c>
      <c r="D20012">
        <v>41.97</v>
      </c>
      <c r="E20012">
        <v>1563</v>
      </c>
      <c r="F20012">
        <v>907</v>
      </c>
      <c r="G20012">
        <v>131</v>
      </c>
      <c r="H20012">
        <v>5</v>
      </c>
      <c r="I20012">
        <v>1524</v>
      </c>
      <c r="J20012">
        <v>1</v>
      </c>
      <c r="K20012">
        <v>1</v>
      </c>
      <c r="L20012">
        <v>1475</v>
      </c>
      <c r="M20012">
        <v>1</v>
      </c>
      <c r="N20012">
        <v>0</v>
      </c>
      <c r="O20012">
        <v>2618</v>
      </c>
    </row>
    <row r="20013" spans="1:15" x14ac:dyDescent="0.25">
      <c r="A20013" t="s">
        <v>20026</v>
      </c>
      <c r="B20013">
        <v>631</v>
      </c>
      <c r="C20013" s="1" t="str">
        <f>HYPERLINK("http://www.rosaceae.org/gb/gbrowse/malus_x_domestica/?name=MDP0000884108","MDP0000884108")</f>
        <v>MDP0000884108</v>
      </c>
      <c r="D20013">
        <v>47.64</v>
      </c>
      <c r="E20013">
        <v>659</v>
      </c>
      <c r="F20013">
        <v>345</v>
      </c>
      <c r="G20013">
        <v>51</v>
      </c>
      <c r="H20013">
        <v>6</v>
      </c>
      <c r="I20013">
        <v>631</v>
      </c>
      <c r="J20013">
        <v>1</v>
      </c>
      <c r="K20013">
        <v>3</v>
      </c>
      <c r="L20013">
        <v>643</v>
      </c>
      <c r="M20013">
        <v>1</v>
      </c>
      <c r="N20013">
        <v>7.9527699999999996E-157</v>
      </c>
      <c r="O20013">
        <v>1420</v>
      </c>
    </row>
    <row r="20014" spans="1:15" x14ac:dyDescent="0.25">
      <c r="A20014" t="s">
        <v>20027</v>
      </c>
      <c r="B20014">
        <v>304</v>
      </c>
      <c r="C20014" s="1" t="str">
        <f>HYPERLINK("http://www.rosaceae.org/gb/gbrowse/malus_x_domestica/?name=MDP0000273083","MDP0000273083")</f>
        <v>MDP0000273083</v>
      </c>
      <c r="D20014">
        <v>48.03</v>
      </c>
      <c r="E20014">
        <v>331</v>
      </c>
      <c r="F20014">
        <v>172</v>
      </c>
      <c r="G20014">
        <v>51</v>
      </c>
      <c r="H20014">
        <v>1</v>
      </c>
      <c r="I20014">
        <v>280</v>
      </c>
      <c r="J20014">
        <v>1</v>
      </c>
      <c r="K20014">
        <v>1123</v>
      </c>
      <c r="L20014">
        <v>1453</v>
      </c>
      <c r="M20014">
        <v>1</v>
      </c>
      <c r="N20014">
        <v>1.3509600000000001E-84</v>
      </c>
      <c r="O20014">
        <v>794</v>
      </c>
    </row>
    <row r="20015" spans="1:15" x14ac:dyDescent="0.25">
      <c r="A20015" t="s">
        <v>20028</v>
      </c>
      <c r="B20015">
        <v>175</v>
      </c>
      <c r="C20015" s="1" t="str">
        <f>HYPERLINK("http://www.rosaceae.org/gb/gbrowse/malus_x_domestica/?name=MDP0000613377","MDP0000613377")</f>
        <v>MDP0000613377</v>
      </c>
      <c r="D20015">
        <v>43.58</v>
      </c>
      <c r="E20015">
        <v>78</v>
      </c>
      <c r="F20015">
        <v>44</v>
      </c>
      <c r="G20015">
        <v>11</v>
      </c>
      <c r="H20015">
        <v>4</v>
      </c>
      <c r="I20015">
        <v>72</v>
      </c>
      <c r="J20015">
        <v>1</v>
      </c>
      <c r="K20015">
        <v>2</v>
      </c>
      <c r="L20015">
        <v>77</v>
      </c>
      <c r="M20015">
        <v>1</v>
      </c>
      <c r="N20015">
        <v>5.8515499999999996E-11</v>
      </c>
      <c r="O20015">
        <v>155</v>
      </c>
    </row>
    <row r="20016" spans="1:15" x14ac:dyDescent="0.25">
      <c r="A20016" t="s">
        <v>20029</v>
      </c>
      <c r="B20016">
        <v>605</v>
      </c>
      <c r="C20016" s="1" t="str">
        <f>HYPERLINK("http://www.rosaceae.org/gb/gbrowse/malus_x_domestica/?name=MDP0000290180","MDP0000290180")</f>
        <v>MDP0000290180</v>
      </c>
      <c r="D20016">
        <v>82.86</v>
      </c>
      <c r="E20016">
        <v>461</v>
      </c>
      <c r="F20016">
        <v>79</v>
      </c>
      <c r="G20016">
        <v>0</v>
      </c>
      <c r="H20016">
        <v>143</v>
      </c>
      <c r="I20016">
        <v>603</v>
      </c>
      <c r="J20016">
        <v>1</v>
      </c>
      <c r="K20016">
        <v>299</v>
      </c>
      <c r="L20016">
        <v>759</v>
      </c>
      <c r="M20016">
        <v>1</v>
      </c>
      <c r="N20016">
        <v>0</v>
      </c>
      <c r="O20016">
        <v>2074</v>
      </c>
    </row>
    <row r="20017" spans="1:15" x14ac:dyDescent="0.25">
      <c r="A20017" t="s">
        <v>20030</v>
      </c>
      <c r="B20017">
        <v>515</v>
      </c>
      <c r="C20017" s="1" t="str">
        <f>HYPERLINK("http://www.rosaceae.org/gb/gbrowse/malus_x_domestica/?name=MDP0000142827","MDP0000142827")</f>
        <v>MDP0000142827</v>
      </c>
      <c r="D20017">
        <v>63.5</v>
      </c>
      <c r="E20017">
        <v>537</v>
      </c>
      <c r="F20017">
        <v>196</v>
      </c>
      <c r="G20017">
        <v>31</v>
      </c>
      <c r="H20017">
        <v>2</v>
      </c>
      <c r="I20017">
        <v>514</v>
      </c>
      <c r="J20017">
        <v>1</v>
      </c>
      <c r="K20017">
        <v>1</v>
      </c>
      <c r="L20017">
        <v>530</v>
      </c>
      <c r="M20017">
        <v>1</v>
      </c>
      <c r="N20017">
        <v>0</v>
      </c>
      <c r="O20017">
        <v>1721</v>
      </c>
    </row>
    <row r="20018" spans="1:15" x14ac:dyDescent="0.25">
      <c r="A20018" t="s">
        <v>20031</v>
      </c>
      <c r="B20018">
        <v>233</v>
      </c>
      <c r="C20018" s="1" t="str">
        <f>HYPERLINK("http://www.rosaceae.org/gb/gbrowse/malus_x_domestica/?name=MDP0000122008","MDP0000122008")</f>
        <v>MDP0000122008</v>
      </c>
      <c r="D20018">
        <v>61.78</v>
      </c>
      <c r="E20018">
        <v>246</v>
      </c>
      <c r="F20018">
        <v>94</v>
      </c>
      <c r="G20018">
        <v>14</v>
      </c>
      <c r="H20018">
        <v>1</v>
      </c>
      <c r="I20018">
        <v>232</v>
      </c>
      <c r="J20018">
        <v>1</v>
      </c>
      <c r="K20018">
        <v>1</v>
      </c>
      <c r="L20018">
        <v>246</v>
      </c>
      <c r="M20018">
        <v>1</v>
      </c>
      <c r="N20018">
        <v>1.8744500000000001E-72</v>
      </c>
      <c r="O20018">
        <v>687</v>
      </c>
    </row>
    <row r="20019" spans="1:15" x14ac:dyDescent="0.25">
      <c r="A20019" t="s">
        <v>20032</v>
      </c>
      <c r="B20019">
        <v>425</v>
      </c>
      <c r="C20019" s="1" t="str">
        <f>HYPERLINK("http://www.rosaceae.org/gb/gbrowse/malus_x_domestica/?name=MDP0000299188","MDP0000299188")</f>
        <v>MDP0000299188</v>
      </c>
      <c r="D20019">
        <v>83.56</v>
      </c>
      <c r="E20019">
        <v>426</v>
      </c>
      <c r="F20019">
        <v>70</v>
      </c>
      <c r="G20019">
        <v>2</v>
      </c>
      <c r="H20019">
        <v>1</v>
      </c>
      <c r="I20019">
        <v>425</v>
      </c>
      <c r="J20019">
        <v>1</v>
      </c>
      <c r="K20019">
        <v>1</v>
      </c>
      <c r="L20019">
        <v>425</v>
      </c>
      <c r="M20019">
        <v>1</v>
      </c>
      <c r="N20019">
        <v>0</v>
      </c>
      <c r="O20019">
        <v>1883</v>
      </c>
    </row>
    <row r="20020" spans="1:15" x14ac:dyDescent="0.25">
      <c r="A20020" t="s">
        <v>20033</v>
      </c>
      <c r="B20020">
        <v>164</v>
      </c>
      <c r="C20020" s="1" t="str">
        <f>HYPERLINK("http://www.rosaceae.org/gb/gbrowse/malus_x_domestica/?name=MDP0000711379","MDP0000711379")</f>
        <v>MDP0000711379</v>
      </c>
      <c r="D20020">
        <v>53.23</v>
      </c>
      <c r="E20020">
        <v>139</v>
      </c>
      <c r="F20020">
        <v>65</v>
      </c>
      <c r="G20020">
        <v>3</v>
      </c>
      <c r="H20020">
        <v>4</v>
      </c>
      <c r="I20020">
        <v>141</v>
      </c>
      <c r="J20020">
        <v>1</v>
      </c>
      <c r="K20020">
        <v>3</v>
      </c>
      <c r="L20020">
        <v>139</v>
      </c>
      <c r="M20020">
        <v>1</v>
      </c>
      <c r="N20020">
        <v>1.62111E-36</v>
      </c>
      <c r="O20020">
        <v>375</v>
      </c>
    </row>
    <row r="20021" spans="1:15" x14ac:dyDescent="0.25">
      <c r="A20021" t="s">
        <v>20034</v>
      </c>
      <c r="B20021">
        <v>240</v>
      </c>
      <c r="C20021" s="1" t="str">
        <f>HYPERLINK("http://www.rosaceae.org/gb/gbrowse/malus_x_domestica/?name=MDP0000881502","MDP0000881502")</f>
        <v>MDP0000881502</v>
      </c>
      <c r="D20021">
        <v>47.61</v>
      </c>
      <c r="E20021">
        <v>105</v>
      </c>
      <c r="F20021">
        <v>55</v>
      </c>
      <c r="G20021">
        <v>16</v>
      </c>
      <c r="H20021">
        <v>146</v>
      </c>
      <c r="I20021">
        <v>238</v>
      </c>
      <c r="J20021">
        <v>1</v>
      </c>
      <c r="K20021">
        <v>20</v>
      </c>
      <c r="L20021">
        <v>120</v>
      </c>
      <c r="M20021">
        <v>1</v>
      </c>
      <c r="N20021">
        <v>8.8451699999999998E-20</v>
      </c>
      <c r="O20021">
        <v>233</v>
      </c>
    </row>
    <row r="20022" spans="1:15" x14ac:dyDescent="0.25">
      <c r="A20022" t="s">
        <v>20035</v>
      </c>
      <c r="B20022">
        <v>278</v>
      </c>
      <c r="C20022" s="1" t="str">
        <f>HYPERLINK("http://www.rosaceae.org/gb/gbrowse/malus_x_domestica/?name=MDP0000522009","MDP0000522009")</f>
        <v>MDP0000522009</v>
      </c>
      <c r="D20022">
        <v>31.3</v>
      </c>
      <c r="E20022">
        <v>230</v>
      </c>
      <c r="F20022">
        <v>158</v>
      </c>
      <c r="G20022">
        <v>54</v>
      </c>
      <c r="H20022">
        <v>1</v>
      </c>
      <c r="I20022">
        <v>218</v>
      </c>
      <c r="J20022">
        <v>1</v>
      </c>
      <c r="K20022">
        <v>1</v>
      </c>
      <c r="L20022">
        <v>188</v>
      </c>
      <c r="M20022">
        <v>1</v>
      </c>
      <c r="N20022">
        <v>8.3812800000000002E-20</v>
      </c>
      <c r="O20022">
        <v>234</v>
      </c>
    </row>
    <row r="20023" spans="1:15" x14ac:dyDescent="0.25">
      <c r="A20023" t="s">
        <v>20036</v>
      </c>
      <c r="B20023">
        <v>264</v>
      </c>
      <c r="C20023" s="1" t="str">
        <f>HYPERLINK("http://www.rosaceae.org/gb/gbrowse/malus_x_domestica/?name=MDP0000364484","MDP0000364484")</f>
        <v>MDP0000364484</v>
      </c>
      <c r="D20023">
        <v>81.349999999999994</v>
      </c>
      <c r="E20023">
        <v>118</v>
      </c>
      <c r="F20023">
        <v>22</v>
      </c>
      <c r="G20023">
        <v>1</v>
      </c>
      <c r="H20023">
        <v>1</v>
      </c>
      <c r="I20023">
        <v>117</v>
      </c>
      <c r="J20023">
        <v>1</v>
      </c>
      <c r="K20023">
        <v>1</v>
      </c>
      <c r="L20023">
        <v>118</v>
      </c>
      <c r="M20023">
        <v>1</v>
      </c>
      <c r="N20023">
        <v>1.79121E-49</v>
      </c>
      <c r="O20023">
        <v>490</v>
      </c>
    </row>
    <row r="20024" spans="1:15" x14ac:dyDescent="0.25">
      <c r="A20024" t="s">
        <v>20037</v>
      </c>
      <c r="B20024">
        <v>527</v>
      </c>
      <c r="C20024" s="1" t="str">
        <f>HYPERLINK("http://www.rosaceae.org/gb/gbrowse/malus_x_domestica/?name=MDP0000255495","MDP0000255495")</f>
        <v>MDP0000255495</v>
      </c>
      <c r="D20024">
        <v>42.85</v>
      </c>
      <c r="E20024">
        <v>84</v>
      </c>
      <c r="F20024">
        <v>48</v>
      </c>
      <c r="G20024">
        <v>5</v>
      </c>
      <c r="H20024">
        <v>23</v>
      </c>
      <c r="I20024">
        <v>101</v>
      </c>
      <c r="J20024">
        <v>1</v>
      </c>
      <c r="K20024">
        <v>121</v>
      </c>
      <c r="L20024">
        <v>204</v>
      </c>
      <c r="M20024">
        <v>1</v>
      </c>
      <c r="N20024">
        <v>3.9064800000000001E-13</v>
      </c>
      <c r="O20024">
        <v>180</v>
      </c>
    </row>
    <row r="20025" spans="1:15" x14ac:dyDescent="0.25">
      <c r="A20025" t="s">
        <v>20038</v>
      </c>
      <c r="B20025">
        <v>319</v>
      </c>
      <c r="C20025" s="1" t="str">
        <f>HYPERLINK("http://www.rosaceae.org/gb/gbrowse/malus_x_domestica/?name=MDP0000248215","MDP0000248215")</f>
        <v>MDP0000248215</v>
      </c>
      <c r="D20025">
        <v>70.92</v>
      </c>
      <c r="E20025">
        <v>282</v>
      </c>
      <c r="F20025">
        <v>82</v>
      </c>
      <c r="G20025">
        <v>1</v>
      </c>
      <c r="H20025">
        <v>1</v>
      </c>
      <c r="I20025">
        <v>282</v>
      </c>
      <c r="J20025">
        <v>1</v>
      </c>
      <c r="K20025">
        <v>80</v>
      </c>
      <c r="L20025">
        <v>360</v>
      </c>
      <c r="M20025">
        <v>1</v>
      </c>
      <c r="N20025">
        <v>2.80308E-117</v>
      </c>
      <c r="O20025">
        <v>1076</v>
      </c>
    </row>
    <row r="20026" spans="1:15" x14ac:dyDescent="0.25">
      <c r="A20026" t="s">
        <v>20039</v>
      </c>
      <c r="B20026">
        <v>259</v>
      </c>
      <c r="C20026" s="1" t="str">
        <f>HYPERLINK("http://www.rosaceae.org/gb/gbrowse/malus_x_domestica/?name=MDP0000145358","MDP0000145358")</f>
        <v>MDP0000145358</v>
      </c>
      <c r="D20026">
        <v>72.22</v>
      </c>
      <c r="E20026">
        <v>180</v>
      </c>
      <c r="F20026">
        <v>50</v>
      </c>
      <c r="G20026">
        <v>3</v>
      </c>
      <c r="H20026">
        <v>82</v>
      </c>
      <c r="I20026">
        <v>259</v>
      </c>
      <c r="J20026">
        <v>1</v>
      </c>
      <c r="K20026">
        <v>11</v>
      </c>
      <c r="L20026">
        <v>189</v>
      </c>
      <c r="M20026">
        <v>1</v>
      </c>
      <c r="N20026">
        <v>1.04884E-66</v>
      </c>
      <c r="O20026">
        <v>638</v>
      </c>
    </row>
    <row r="20027" spans="1:15" x14ac:dyDescent="0.25">
      <c r="A20027" t="s">
        <v>20040</v>
      </c>
      <c r="B20027">
        <v>837</v>
      </c>
      <c r="C20027" s="1" t="str">
        <f>HYPERLINK("http://www.rosaceae.org/gb/gbrowse/malus_x_domestica/?name=MDP0000270534","MDP0000270534")</f>
        <v>MDP0000270534</v>
      </c>
      <c r="D20027">
        <v>46.94</v>
      </c>
      <c r="E20027">
        <v>967</v>
      </c>
      <c r="F20027">
        <v>513</v>
      </c>
      <c r="G20027">
        <v>144</v>
      </c>
      <c r="H20027">
        <v>3</v>
      </c>
      <c r="I20027">
        <v>835</v>
      </c>
      <c r="J20027">
        <v>1</v>
      </c>
      <c r="K20027">
        <v>510</v>
      </c>
      <c r="L20027">
        <v>1466</v>
      </c>
      <c r="M20027">
        <v>1</v>
      </c>
      <c r="N20027">
        <v>0</v>
      </c>
      <c r="O20027">
        <v>1991</v>
      </c>
    </row>
    <row r="20028" spans="1:15" x14ac:dyDescent="0.25">
      <c r="A20028" t="s">
        <v>20041</v>
      </c>
      <c r="B20028">
        <v>325</v>
      </c>
      <c r="C20028" s="1" t="str">
        <f>HYPERLINK("http://www.rosaceae.org/gb/gbrowse/malus_x_domestica/?name=MDP0000277127","MDP0000277127")</f>
        <v>MDP0000277127</v>
      </c>
      <c r="D20028">
        <v>49.27</v>
      </c>
      <c r="E20028">
        <v>347</v>
      </c>
      <c r="F20028">
        <v>176</v>
      </c>
      <c r="G20028">
        <v>35</v>
      </c>
      <c r="H20028">
        <v>1</v>
      </c>
      <c r="I20028">
        <v>325</v>
      </c>
      <c r="J20028">
        <v>1</v>
      </c>
      <c r="K20028">
        <v>1</v>
      </c>
      <c r="L20028">
        <v>334</v>
      </c>
      <c r="M20028">
        <v>1</v>
      </c>
      <c r="N20028">
        <v>1.25934E-65</v>
      </c>
      <c r="O20028">
        <v>630</v>
      </c>
    </row>
    <row r="20029" spans="1:15" x14ac:dyDescent="0.25">
      <c r="A20029" t="s">
        <v>20042</v>
      </c>
      <c r="B20029">
        <v>305</v>
      </c>
      <c r="C20029" s="1" t="str">
        <f>HYPERLINK("http://www.rosaceae.org/gb/gbrowse/malus_x_domestica/?name=MDP0000517924","MDP0000517924")</f>
        <v>MDP0000517924</v>
      </c>
      <c r="D20029">
        <v>97.77</v>
      </c>
      <c r="E20029">
        <v>45</v>
      </c>
      <c r="F20029">
        <v>1</v>
      </c>
      <c r="G20029">
        <v>0</v>
      </c>
      <c r="H20029">
        <v>158</v>
      </c>
      <c r="I20029">
        <v>202</v>
      </c>
      <c r="J20029">
        <v>1</v>
      </c>
      <c r="K20029">
        <v>1</v>
      </c>
      <c r="L20029">
        <v>45</v>
      </c>
      <c r="M20029">
        <v>1</v>
      </c>
      <c r="N20029">
        <v>1.8521800000000001E-20</v>
      </c>
      <c r="O20029">
        <v>240</v>
      </c>
    </row>
    <row r="20030" spans="1:15" x14ac:dyDescent="0.25">
      <c r="A20030" t="s">
        <v>20043</v>
      </c>
      <c r="B20030">
        <v>893</v>
      </c>
      <c r="C20030" s="1" t="str">
        <f>HYPERLINK("http://www.rosaceae.org/gb/gbrowse/malus_x_domestica/?name=MDP0000174676","MDP0000174676")</f>
        <v>MDP0000174676</v>
      </c>
      <c r="D20030">
        <v>81.61</v>
      </c>
      <c r="E20030">
        <v>745</v>
      </c>
      <c r="F20030">
        <v>137</v>
      </c>
      <c r="G20030">
        <v>8</v>
      </c>
      <c r="H20030">
        <v>25</v>
      </c>
      <c r="I20030">
        <v>761</v>
      </c>
      <c r="J20030">
        <v>1</v>
      </c>
      <c r="K20030">
        <v>26</v>
      </c>
      <c r="L20030">
        <v>770</v>
      </c>
      <c r="M20030">
        <v>1</v>
      </c>
      <c r="N20030">
        <v>0</v>
      </c>
      <c r="O20030">
        <v>3349</v>
      </c>
    </row>
    <row r="20031" spans="1:15" x14ac:dyDescent="0.25">
      <c r="A20031" t="s">
        <v>20044</v>
      </c>
      <c r="B20031">
        <v>533</v>
      </c>
      <c r="C20031" s="1" t="str">
        <f>HYPERLINK("http://www.rosaceae.org/gb/gbrowse/malus_x_domestica/?name=MDP0000162904","MDP0000162904")</f>
        <v>MDP0000162904</v>
      </c>
      <c r="D20031">
        <v>62.48</v>
      </c>
      <c r="E20031">
        <v>629</v>
      </c>
      <c r="F20031">
        <v>236</v>
      </c>
      <c r="G20031">
        <v>101</v>
      </c>
      <c r="H20031">
        <v>1</v>
      </c>
      <c r="I20031">
        <v>533</v>
      </c>
      <c r="J20031">
        <v>1</v>
      </c>
      <c r="K20031">
        <v>1</v>
      </c>
      <c r="L20031">
        <v>624</v>
      </c>
      <c r="M20031">
        <v>1</v>
      </c>
      <c r="N20031">
        <v>0</v>
      </c>
      <c r="O20031">
        <v>1895</v>
      </c>
    </row>
    <row r="20032" spans="1:15" x14ac:dyDescent="0.25">
      <c r="A20032" t="s">
        <v>20045</v>
      </c>
      <c r="B20032">
        <v>154</v>
      </c>
      <c r="C20032" s="1" t="str">
        <f>HYPERLINK("http://www.rosaceae.org/gb/gbrowse/malus_x_domestica/?name=MDP0000330039","MDP0000330039")</f>
        <v>MDP0000330039</v>
      </c>
      <c r="D20032">
        <v>83</v>
      </c>
      <c r="E20032">
        <v>153</v>
      </c>
      <c r="F20032">
        <v>26</v>
      </c>
      <c r="G20032">
        <v>0</v>
      </c>
      <c r="H20032">
        <v>1</v>
      </c>
      <c r="I20032">
        <v>153</v>
      </c>
      <c r="J20032">
        <v>1</v>
      </c>
      <c r="K20032">
        <v>22</v>
      </c>
      <c r="L20032">
        <v>174</v>
      </c>
      <c r="M20032">
        <v>1</v>
      </c>
      <c r="N20032">
        <v>4.5642699999999996E-75</v>
      </c>
      <c r="O20032">
        <v>707</v>
      </c>
    </row>
    <row r="20033" spans="1:15" x14ac:dyDescent="0.25">
      <c r="A20033" t="s">
        <v>20046</v>
      </c>
      <c r="B20033">
        <v>1313</v>
      </c>
      <c r="C20033" s="1" t="str">
        <f>HYPERLINK("http://www.rosaceae.org/gb/gbrowse/malus_x_domestica/?name=MDP0000230223","MDP0000230223")</f>
        <v>MDP0000230223</v>
      </c>
      <c r="D20033">
        <v>79.86</v>
      </c>
      <c r="E20033">
        <v>1371</v>
      </c>
      <c r="F20033">
        <v>276</v>
      </c>
      <c r="G20033">
        <v>59</v>
      </c>
      <c r="H20033">
        <v>1</v>
      </c>
      <c r="I20033">
        <v>1313</v>
      </c>
      <c r="J20033">
        <v>1</v>
      </c>
      <c r="K20033">
        <v>1</v>
      </c>
      <c r="L20033">
        <v>1370</v>
      </c>
      <c r="M20033">
        <v>1</v>
      </c>
      <c r="N20033">
        <v>0</v>
      </c>
      <c r="O20033">
        <v>5581</v>
      </c>
    </row>
    <row r="20034" spans="1:15" x14ac:dyDescent="0.25">
      <c r="A20034" t="s">
        <v>20047</v>
      </c>
      <c r="B20034">
        <v>172</v>
      </c>
      <c r="C20034" s="1" t="str">
        <f>HYPERLINK("http://www.rosaceae.org/gb/gbrowse/malus_x_domestica/?name=MDP0000285108","MDP0000285108")</f>
        <v>MDP0000285108</v>
      </c>
      <c r="D20034">
        <v>27.2</v>
      </c>
      <c r="E20034">
        <v>125</v>
      </c>
      <c r="F20034">
        <v>91</v>
      </c>
      <c r="G20034">
        <v>4</v>
      </c>
      <c r="H20034">
        <v>51</v>
      </c>
      <c r="I20034">
        <v>171</v>
      </c>
      <c r="J20034">
        <v>1</v>
      </c>
      <c r="K20034">
        <v>785</v>
      </c>
      <c r="L20034">
        <v>909</v>
      </c>
      <c r="M20034">
        <v>1</v>
      </c>
      <c r="N20034">
        <v>9.8541499999999996E-8</v>
      </c>
      <c r="O20034">
        <v>127</v>
      </c>
    </row>
    <row r="20035" spans="1:15" x14ac:dyDescent="0.25">
      <c r="A20035" t="s">
        <v>20048</v>
      </c>
      <c r="B20035">
        <v>341</v>
      </c>
      <c r="C20035" s="1" t="str">
        <f>HYPERLINK("http://www.rosaceae.org/gb/gbrowse/malus_x_domestica/?name=MDP0000951858","MDP0000951858")</f>
        <v>MDP0000951858</v>
      </c>
      <c r="D20035">
        <v>73.94</v>
      </c>
      <c r="E20035">
        <v>142</v>
      </c>
      <c r="F20035">
        <v>37</v>
      </c>
      <c r="G20035">
        <v>0</v>
      </c>
      <c r="H20035">
        <v>22</v>
      </c>
      <c r="I20035">
        <v>163</v>
      </c>
      <c r="J20035">
        <v>1</v>
      </c>
      <c r="K20035">
        <v>70</v>
      </c>
      <c r="L20035">
        <v>211</v>
      </c>
      <c r="M20035">
        <v>1</v>
      </c>
      <c r="N20035">
        <v>2.23189E-59</v>
      </c>
      <c r="O20035">
        <v>577</v>
      </c>
    </row>
    <row r="20036" spans="1:15" x14ac:dyDescent="0.25">
      <c r="A20036" t="s">
        <v>20049</v>
      </c>
      <c r="B20036">
        <v>191</v>
      </c>
      <c r="C20036" s="1" t="str">
        <f>HYPERLINK("http://www.rosaceae.org/gb/gbrowse/malus_x_domestica/?name=MDP0000241358","MDP0000241358")</f>
        <v>MDP0000241358</v>
      </c>
      <c r="D20036">
        <v>36.450000000000003</v>
      </c>
      <c r="E20036">
        <v>96</v>
      </c>
      <c r="F20036">
        <v>61</v>
      </c>
      <c r="G20036">
        <v>12</v>
      </c>
      <c r="H20036">
        <v>101</v>
      </c>
      <c r="I20036">
        <v>184</v>
      </c>
      <c r="J20036">
        <v>1</v>
      </c>
      <c r="K20036">
        <v>85</v>
      </c>
      <c r="L20036">
        <v>180</v>
      </c>
      <c r="M20036">
        <v>1</v>
      </c>
      <c r="N20036">
        <v>7.6288300000000004E-8</v>
      </c>
      <c r="O20036">
        <v>129</v>
      </c>
    </row>
    <row r="20037" spans="1:15" x14ac:dyDescent="0.25">
      <c r="A20037" t="s">
        <v>20050</v>
      </c>
      <c r="B20037">
        <v>369</v>
      </c>
      <c r="C20037" s="1" t="str">
        <f>HYPERLINK("http://www.rosaceae.org/gb/gbrowse/malus_x_domestica/?name=MDP0000897676","MDP0000897676")</f>
        <v>MDP0000897676</v>
      </c>
      <c r="D20037">
        <v>52.27</v>
      </c>
      <c r="E20037">
        <v>220</v>
      </c>
      <c r="F20037">
        <v>105</v>
      </c>
      <c r="G20037">
        <v>24</v>
      </c>
      <c r="H20037">
        <v>1</v>
      </c>
      <c r="I20037">
        <v>200</v>
      </c>
      <c r="J20037">
        <v>1</v>
      </c>
      <c r="K20037">
        <v>1</v>
      </c>
      <c r="L20037">
        <v>216</v>
      </c>
      <c r="M20037">
        <v>1</v>
      </c>
      <c r="N20037">
        <v>1.1247199999999999E-48</v>
      </c>
      <c r="O20037">
        <v>485</v>
      </c>
    </row>
    <row r="20038" spans="1:15" x14ac:dyDescent="0.25">
      <c r="A20038" t="s">
        <v>20051</v>
      </c>
      <c r="B20038">
        <v>305</v>
      </c>
      <c r="C20038" s="1" t="str">
        <f>HYPERLINK("http://www.rosaceae.org/gb/gbrowse/malus_x_domestica/?name=MDP0000528296","MDP0000528296")</f>
        <v>MDP0000528296</v>
      </c>
      <c r="D20038">
        <v>91.05</v>
      </c>
      <c r="E20038">
        <v>302</v>
      </c>
      <c r="F20038">
        <v>27</v>
      </c>
      <c r="G20038">
        <v>0</v>
      </c>
      <c r="H20038">
        <v>4</v>
      </c>
      <c r="I20038">
        <v>305</v>
      </c>
      <c r="J20038">
        <v>1</v>
      </c>
      <c r="K20038">
        <v>2</v>
      </c>
      <c r="L20038">
        <v>303</v>
      </c>
      <c r="M20038">
        <v>1</v>
      </c>
      <c r="N20038">
        <v>3.0599799999999998E-159</v>
      </c>
      <c r="O20038">
        <v>1437</v>
      </c>
    </row>
    <row r="20039" spans="1:15" x14ac:dyDescent="0.25">
      <c r="A20039" t="s">
        <v>20052</v>
      </c>
      <c r="B20039">
        <v>88</v>
      </c>
      <c r="C20039" s="1" t="str">
        <f>HYPERLINK("http://www.rosaceae.org/gb/gbrowse/malus_x_domestica/?name=MDP0000750390","MDP0000750390")</f>
        <v>MDP0000750390</v>
      </c>
      <c r="D20039">
        <v>77.959999999999994</v>
      </c>
      <c r="E20039">
        <v>59</v>
      </c>
      <c r="F20039">
        <v>13</v>
      </c>
      <c r="G20039">
        <v>0</v>
      </c>
      <c r="H20039">
        <v>1</v>
      </c>
      <c r="I20039">
        <v>59</v>
      </c>
      <c r="J20039">
        <v>1</v>
      </c>
      <c r="K20039">
        <v>1</v>
      </c>
      <c r="L20039">
        <v>59</v>
      </c>
      <c r="M20039">
        <v>1</v>
      </c>
      <c r="N20039">
        <v>2.1984E-19</v>
      </c>
      <c r="O20039">
        <v>225</v>
      </c>
    </row>
    <row r="20040" spans="1:15" x14ac:dyDescent="0.25">
      <c r="A20040" t="s">
        <v>20053</v>
      </c>
      <c r="B20040">
        <v>326</v>
      </c>
      <c r="C20040" s="1" t="str">
        <f>HYPERLINK("http://www.rosaceae.org/gb/gbrowse/malus_x_domestica/?name=MDP0000299955","MDP0000299955")</f>
        <v>MDP0000299955</v>
      </c>
      <c r="D20040">
        <v>92.62</v>
      </c>
      <c r="E20040">
        <v>244</v>
      </c>
      <c r="F20040">
        <v>18</v>
      </c>
      <c r="G20040">
        <v>0</v>
      </c>
      <c r="H20040">
        <v>83</v>
      </c>
      <c r="I20040">
        <v>326</v>
      </c>
      <c r="J20040">
        <v>1</v>
      </c>
      <c r="K20040">
        <v>9</v>
      </c>
      <c r="L20040">
        <v>252</v>
      </c>
      <c r="M20040">
        <v>1</v>
      </c>
      <c r="N20040">
        <v>3.7614900000000002E-134</v>
      </c>
      <c r="O20040">
        <v>1221</v>
      </c>
    </row>
    <row r="20041" spans="1:15" x14ac:dyDescent="0.25">
      <c r="A20041" t="s">
        <v>20054</v>
      </c>
      <c r="B20041">
        <v>352</v>
      </c>
      <c r="C20041" s="1" t="str">
        <f>HYPERLINK("http://www.rosaceae.org/gb/gbrowse/malus_x_domestica/?name=MDP0000247921","MDP0000247921")</f>
        <v>MDP0000247921</v>
      </c>
      <c r="D20041">
        <v>25.34</v>
      </c>
      <c r="E20041">
        <v>288</v>
      </c>
      <c r="F20041">
        <v>215</v>
      </c>
      <c r="G20041">
        <v>23</v>
      </c>
      <c r="H20041">
        <v>7</v>
      </c>
      <c r="I20041">
        <v>274</v>
      </c>
      <c r="J20041">
        <v>1</v>
      </c>
      <c r="K20041">
        <v>795</v>
      </c>
      <c r="L20041">
        <v>1079</v>
      </c>
      <c r="M20041">
        <v>1</v>
      </c>
      <c r="N20041">
        <v>3.4117600000000001E-18</v>
      </c>
      <c r="O20041">
        <v>222</v>
      </c>
    </row>
    <row r="20042" spans="1:15" x14ac:dyDescent="0.25">
      <c r="A20042" t="s">
        <v>20055</v>
      </c>
      <c r="B20042">
        <v>192</v>
      </c>
      <c r="C20042" s="1" t="str">
        <f>HYPERLINK("http://www.rosaceae.org/gb/gbrowse/malus_x_domestica/?name=MDP0000903665","MDP0000903665")</f>
        <v>MDP0000903665</v>
      </c>
      <c r="D20042">
        <v>64.36</v>
      </c>
      <c r="E20042">
        <v>174</v>
      </c>
      <c r="F20042">
        <v>62</v>
      </c>
      <c r="G20042">
        <v>10</v>
      </c>
      <c r="H20042">
        <v>27</v>
      </c>
      <c r="I20042">
        <v>192</v>
      </c>
      <c r="J20042">
        <v>1</v>
      </c>
      <c r="K20042">
        <v>27</v>
      </c>
      <c r="L20042">
        <v>198</v>
      </c>
      <c r="M20042">
        <v>1</v>
      </c>
      <c r="N20042">
        <v>9.8690200000000007E-49</v>
      </c>
      <c r="O20042">
        <v>482</v>
      </c>
    </row>
    <row r="20043" spans="1:15" x14ac:dyDescent="0.25">
      <c r="A20043" t="s">
        <v>20056</v>
      </c>
      <c r="B20043">
        <v>590</v>
      </c>
      <c r="C20043" s="1" t="str">
        <f>HYPERLINK("http://www.rosaceae.org/gb/gbrowse/malus_x_domestica/?name=MDP0000242195","MDP0000242195")</f>
        <v>MDP0000242195</v>
      </c>
      <c r="D20043">
        <v>52.35</v>
      </c>
      <c r="E20043">
        <v>552</v>
      </c>
      <c r="F20043">
        <v>263</v>
      </c>
      <c r="G20043">
        <v>40</v>
      </c>
      <c r="H20043">
        <v>54</v>
      </c>
      <c r="I20043">
        <v>579</v>
      </c>
      <c r="J20043">
        <v>1</v>
      </c>
      <c r="K20043">
        <v>87</v>
      </c>
      <c r="L20043">
        <v>624</v>
      </c>
      <c r="M20043">
        <v>1</v>
      </c>
      <c r="N20043">
        <v>1.35332E-132</v>
      </c>
      <c r="O20043">
        <v>1211</v>
      </c>
    </row>
    <row r="20044" spans="1:15" x14ac:dyDescent="0.25">
      <c r="A20044" t="s">
        <v>20057</v>
      </c>
      <c r="B20044">
        <v>468</v>
      </c>
      <c r="C20044" s="1" t="str">
        <f>HYPERLINK("http://www.rosaceae.org/gb/gbrowse/malus_x_domestica/?name=MDP0000320711","MDP0000320711")</f>
        <v>MDP0000320711</v>
      </c>
      <c r="D20044">
        <v>40.9</v>
      </c>
      <c r="E20044">
        <v>484</v>
      </c>
      <c r="F20044">
        <v>286</v>
      </c>
      <c r="G20044">
        <v>65</v>
      </c>
      <c r="H20044">
        <v>27</v>
      </c>
      <c r="I20044">
        <v>457</v>
      </c>
      <c r="J20044">
        <v>1</v>
      </c>
      <c r="K20044">
        <v>61</v>
      </c>
      <c r="L20044">
        <v>532</v>
      </c>
      <c r="M20044">
        <v>1</v>
      </c>
      <c r="N20044">
        <v>3.8683200000000001E-64</v>
      </c>
      <c r="O20044">
        <v>619</v>
      </c>
    </row>
    <row r="20045" spans="1:15" x14ac:dyDescent="0.25">
      <c r="A20045" t="s">
        <v>20058</v>
      </c>
      <c r="B20045">
        <v>415</v>
      </c>
      <c r="C20045" s="1" t="str">
        <f>HYPERLINK("http://www.rosaceae.org/gb/gbrowse/malus_x_domestica/?name=MDP0000446914","MDP0000446914")</f>
        <v>MDP0000446914</v>
      </c>
      <c r="D20045">
        <v>79.22</v>
      </c>
      <c r="E20045">
        <v>284</v>
      </c>
      <c r="F20045">
        <v>59</v>
      </c>
      <c r="G20045">
        <v>2</v>
      </c>
      <c r="H20045">
        <v>7</v>
      </c>
      <c r="I20045">
        <v>289</v>
      </c>
      <c r="J20045">
        <v>1</v>
      </c>
      <c r="K20045">
        <v>20</v>
      </c>
      <c r="L20045">
        <v>302</v>
      </c>
      <c r="M20045">
        <v>1</v>
      </c>
      <c r="N20045">
        <v>4.1115300000000002E-136</v>
      </c>
      <c r="O20045">
        <v>1239</v>
      </c>
    </row>
    <row r="20046" spans="1:15" x14ac:dyDescent="0.25">
      <c r="A20046" t="s">
        <v>20059</v>
      </c>
      <c r="B20046">
        <v>1361</v>
      </c>
      <c r="C20046" s="1" t="str">
        <f>HYPERLINK("http://www.rosaceae.org/gb/gbrowse/malus_x_domestica/?name=MDP0000320196","MDP0000320196")</f>
        <v>MDP0000320196</v>
      </c>
      <c r="D20046">
        <v>76.09</v>
      </c>
      <c r="E20046">
        <v>523</v>
      </c>
      <c r="F20046">
        <v>125</v>
      </c>
      <c r="G20046">
        <v>9</v>
      </c>
      <c r="H20046">
        <v>34</v>
      </c>
      <c r="I20046">
        <v>554</v>
      </c>
      <c r="J20046">
        <v>1</v>
      </c>
      <c r="K20046">
        <v>1</v>
      </c>
      <c r="L20046">
        <v>516</v>
      </c>
      <c r="M20046">
        <v>1</v>
      </c>
      <c r="N20046">
        <v>0</v>
      </c>
      <c r="O20046">
        <v>2086</v>
      </c>
    </row>
    <row r="20047" spans="1:15" x14ac:dyDescent="0.25">
      <c r="A20047" t="s">
        <v>20060</v>
      </c>
      <c r="B20047">
        <v>376</v>
      </c>
      <c r="C20047" s="1" t="str">
        <f>HYPERLINK("http://www.rosaceae.org/gb/gbrowse/malus_x_domestica/?name=MDP0000548925","MDP0000548925")</f>
        <v>MDP0000548925</v>
      </c>
      <c r="D20047">
        <v>67.8</v>
      </c>
      <c r="E20047">
        <v>410</v>
      </c>
      <c r="F20047">
        <v>132</v>
      </c>
      <c r="G20047">
        <v>37</v>
      </c>
      <c r="H20047">
        <v>1</v>
      </c>
      <c r="I20047">
        <v>375</v>
      </c>
      <c r="J20047">
        <v>1</v>
      </c>
      <c r="K20047">
        <v>84</v>
      </c>
      <c r="L20047">
        <v>491</v>
      </c>
      <c r="M20047">
        <v>1</v>
      </c>
      <c r="N20047">
        <v>1.23643E-157</v>
      </c>
      <c r="O20047">
        <v>1425</v>
      </c>
    </row>
    <row r="20048" spans="1:15" x14ac:dyDescent="0.25">
      <c r="A20048" t="s">
        <v>20061</v>
      </c>
      <c r="B20048">
        <v>245</v>
      </c>
      <c r="C20048" s="1" t="str">
        <f>HYPERLINK("http://www.rosaceae.org/gb/gbrowse/malus_x_domestica/?name=MDP0000282151","MDP0000282151")</f>
        <v>MDP0000282151</v>
      </c>
      <c r="D20048">
        <v>75.45</v>
      </c>
      <c r="E20048">
        <v>220</v>
      </c>
      <c r="F20048">
        <v>54</v>
      </c>
      <c r="G20048">
        <v>8</v>
      </c>
      <c r="H20048">
        <v>32</v>
      </c>
      <c r="I20048">
        <v>245</v>
      </c>
      <c r="J20048">
        <v>1</v>
      </c>
      <c r="K20048">
        <v>50</v>
      </c>
      <c r="L20048">
        <v>267</v>
      </c>
      <c r="M20048">
        <v>1</v>
      </c>
      <c r="N20048">
        <v>1.8838100000000001E-86</v>
      </c>
      <c r="O20048">
        <v>808</v>
      </c>
    </row>
    <row r="20049" spans="1:15" x14ac:dyDescent="0.25">
      <c r="A20049" t="s">
        <v>20062</v>
      </c>
      <c r="B20049">
        <v>254</v>
      </c>
      <c r="C20049" s="1" t="str">
        <f>HYPERLINK("http://www.rosaceae.org/gb/gbrowse/malus_x_domestica/?name=MDP0000462091","MDP0000462091")</f>
        <v>MDP0000462091</v>
      </c>
      <c r="D20049">
        <v>52.14</v>
      </c>
      <c r="E20049">
        <v>257</v>
      </c>
      <c r="F20049">
        <v>123</v>
      </c>
      <c r="G20049">
        <v>31</v>
      </c>
      <c r="H20049">
        <v>23</v>
      </c>
      <c r="I20049">
        <v>253</v>
      </c>
      <c r="J20049">
        <v>1</v>
      </c>
      <c r="K20049">
        <v>19</v>
      </c>
      <c r="L20049">
        <v>270</v>
      </c>
      <c r="M20049">
        <v>1</v>
      </c>
      <c r="N20049">
        <v>5.4479100000000001E-57</v>
      </c>
      <c r="O20049">
        <v>555</v>
      </c>
    </row>
    <row r="20050" spans="1:15" x14ac:dyDescent="0.25">
      <c r="A20050" t="s">
        <v>20063</v>
      </c>
      <c r="B20050">
        <v>1086</v>
      </c>
      <c r="C20050" s="1" t="str">
        <f>HYPERLINK("http://www.rosaceae.org/gb/gbrowse/malus_x_domestica/?name=MDP0000770037","MDP0000770037")</f>
        <v>MDP0000770037</v>
      </c>
      <c r="D20050">
        <v>81.56</v>
      </c>
      <c r="E20050">
        <v>1096</v>
      </c>
      <c r="F20050">
        <v>202</v>
      </c>
      <c r="G20050">
        <v>10</v>
      </c>
      <c r="H20050">
        <v>1</v>
      </c>
      <c r="I20050">
        <v>1086</v>
      </c>
      <c r="J20050">
        <v>1</v>
      </c>
      <c r="K20050">
        <v>1</v>
      </c>
      <c r="L20050">
        <v>1096</v>
      </c>
      <c r="M20050">
        <v>1</v>
      </c>
      <c r="N20050">
        <v>0</v>
      </c>
      <c r="O20050">
        <v>4791</v>
      </c>
    </row>
    <row r="20051" spans="1:15" x14ac:dyDescent="0.25">
      <c r="A20051" t="s">
        <v>20064</v>
      </c>
      <c r="B20051">
        <v>194</v>
      </c>
      <c r="C20051" s="1" t="str">
        <f>HYPERLINK("http://www.rosaceae.org/gb/gbrowse/malus_x_domestica/?name=MDP0000292425","MDP0000292425")</f>
        <v>MDP0000292425</v>
      </c>
      <c r="D20051">
        <v>62.2</v>
      </c>
      <c r="E20051">
        <v>209</v>
      </c>
      <c r="F20051">
        <v>79</v>
      </c>
      <c r="G20051">
        <v>22</v>
      </c>
      <c r="H20051">
        <v>1</v>
      </c>
      <c r="I20051">
        <v>189</v>
      </c>
      <c r="J20051">
        <v>1</v>
      </c>
      <c r="K20051">
        <v>1</v>
      </c>
      <c r="L20051">
        <v>207</v>
      </c>
      <c r="M20051">
        <v>1</v>
      </c>
      <c r="N20051">
        <v>6.4025899999999999E-60</v>
      </c>
      <c r="O20051">
        <v>578</v>
      </c>
    </row>
    <row r="20052" spans="1:15" x14ac:dyDescent="0.25">
      <c r="A20052" t="s">
        <v>20065</v>
      </c>
      <c r="B20052">
        <v>1069</v>
      </c>
      <c r="C20052" s="1" t="str">
        <f>HYPERLINK("http://www.rosaceae.org/gb/gbrowse/malus_x_domestica/?name=MDP0000292807","MDP0000292807")</f>
        <v>MDP0000292807</v>
      </c>
      <c r="D20052">
        <v>76.34</v>
      </c>
      <c r="E20052">
        <v>1061</v>
      </c>
      <c r="F20052">
        <v>251</v>
      </c>
      <c r="G20052">
        <v>49</v>
      </c>
      <c r="H20052">
        <v>1</v>
      </c>
      <c r="I20052">
        <v>1032</v>
      </c>
      <c r="J20052">
        <v>1</v>
      </c>
      <c r="K20052">
        <v>205</v>
      </c>
      <c r="L20052">
        <v>1245</v>
      </c>
      <c r="M20052">
        <v>1</v>
      </c>
      <c r="N20052">
        <v>0</v>
      </c>
      <c r="O20052">
        <v>4224</v>
      </c>
    </row>
    <row r="20053" spans="1:15" x14ac:dyDescent="0.25">
      <c r="A20053" t="s">
        <v>20066</v>
      </c>
      <c r="B20053">
        <v>103</v>
      </c>
      <c r="C20053" s="1" t="str">
        <f>HYPERLINK("http://www.rosaceae.org/gb/gbrowse/malus_x_domestica/?name=MDP0000265100","MDP0000265100")</f>
        <v>MDP0000265100</v>
      </c>
      <c r="D20053">
        <v>75.34</v>
      </c>
      <c r="E20053">
        <v>73</v>
      </c>
      <c r="F20053">
        <v>18</v>
      </c>
      <c r="G20053">
        <v>0</v>
      </c>
      <c r="H20053">
        <v>1</v>
      </c>
      <c r="I20053">
        <v>73</v>
      </c>
      <c r="J20053">
        <v>1</v>
      </c>
      <c r="K20053">
        <v>1</v>
      </c>
      <c r="L20053">
        <v>73</v>
      </c>
      <c r="M20053">
        <v>1</v>
      </c>
      <c r="N20053">
        <v>4.6097499999999998E-24</v>
      </c>
      <c r="O20053">
        <v>265</v>
      </c>
    </row>
    <row r="20054" spans="1:15" x14ac:dyDescent="0.25">
      <c r="A20054" t="s">
        <v>20067</v>
      </c>
      <c r="B20054">
        <v>117</v>
      </c>
      <c r="C20054" s="1" t="str">
        <f>HYPERLINK("http://www.rosaceae.org/gb/gbrowse/malus_x_domestica/?name=MDP0000285074","MDP0000285074")</f>
        <v>MDP0000285074</v>
      </c>
      <c r="D20054">
        <v>68.37</v>
      </c>
      <c r="E20054">
        <v>117</v>
      </c>
      <c r="F20054">
        <v>37</v>
      </c>
      <c r="G20054">
        <v>2</v>
      </c>
      <c r="H20054">
        <v>1</v>
      </c>
      <c r="I20054">
        <v>117</v>
      </c>
      <c r="J20054">
        <v>1</v>
      </c>
      <c r="K20054">
        <v>1</v>
      </c>
      <c r="L20054">
        <v>115</v>
      </c>
      <c r="M20054">
        <v>1</v>
      </c>
      <c r="N20054">
        <v>2.3835199999999998E-40</v>
      </c>
      <c r="O20054">
        <v>405</v>
      </c>
    </row>
    <row r="20055" spans="1:15" x14ac:dyDescent="0.25">
      <c r="A20055" t="s">
        <v>20068</v>
      </c>
      <c r="B20055">
        <v>108</v>
      </c>
      <c r="C20055" s="1" t="str">
        <f>HYPERLINK("http://www.rosaceae.org/gb/gbrowse/malus_x_domestica/?name=MDP0000794183","MDP0000794183")</f>
        <v>MDP0000794183</v>
      </c>
      <c r="D20055">
        <v>79.430000000000007</v>
      </c>
      <c r="E20055">
        <v>107</v>
      </c>
      <c r="F20055">
        <v>22</v>
      </c>
      <c r="G20055">
        <v>2</v>
      </c>
      <c r="H20055">
        <v>1</v>
      </c>
      <c r="I20055">
        <v>107</v>
      </c>
      <c r="J20055">
        <v>1</v>
      </c>
      <c r="K20055">
        <v>1</v>
      </c>
      <c r="L20055">
        <v>105</v>
      </c>
      <c r="M20055">
        <v>1</v>
      </c>
      <c r="N20055">
        <v>1.1673900000000001E-41</v>
      </c>
      <c r="O20055">
        <v>417</v>
      </c>
    </row>
    <row r="20056" spans="1:15" x14ac:dyDescent="0.25">
      <c r="A20056" t="s">
        <v>20069</v>
      </c>
      <c r="B20056">
        <v>1749</v>
      </c>
      <c r="C20056" s="1" t="str">
        <f>HYPERLINK("http://www.rosaceae.org/gb/gbrowse/malus_x_domestica/?name=MDP0000159358","MDP0000159358")</f>
        <v>MDP0000159358</v>
      </c>
      <c r="D20056">
        <v>64.98</v>
      </c>
      <c r="E20056">
        <v>1168</v>
      </c>
      <c r="F20056">
        <v>409</v>
      </c>
      <c r="G20056">
        <v>69</v>
      </c>
      <c r="H20056">
        <v>189</v>
      </c>
      <c r="I20056">
        <v>1340</v>
      </c>
      <c r="J20056">
        <v>1</v>
      </c>
      <c r="K20056">
        <v>194</v>
      </c>
      <c r="L20056">
        <v>1308</v>
      </c>
      <c r="M20056">
        <v>1</v>
      </c>
      <c r="N20056">
        <v>0</v>
      </c>
      <c r="O20056">
        <v>3857</v>
      </c>
    </row>
    <row r="20057" spans="1:15" x14ac:dyDescent="0.25">
      <c r="A20057" t="s">
        <v>20070</v>
      </c>
      <c r="B20057">
        <v>297</v>
      </c>
      <c r="C20057" s="1" t="str">
        <f>HYPERLINK("http://www.rosaceae.org/gb/gbrowse/malus_x_domestica/?name=MDP0000232756","MDP0000232756")</f>
        <v>MDP0000232756</v>
      </c>
      <c r="D20057">
        <v>84.22</v>
      </c>
      <c r="E20057">
        <v>298</v>
      </c>
      <c r="F20057">
        <v>47</v>
      </c>
      <c r="G20057">
        <v>5</v>
      </c>
      <c r="H20057">
        <v>1</v>
      </c>
      <c r="I20057">
        <v>297</v>
      </c>
      <c r="J20057">
        <v>1</v>
      </c>
      <c r="K20057">
        <v>1</v>
      </c>
      <c r="L20057">
        <v>294</v>
      </c>
      <c r="M20057">
        <v>1</v>
      </c>
      <c r="N20057">
        <v>3.7509000000000001E-152</v>
      </c>
      <c r="O20057">
        <v>1376</v>
      </c>
    </row>
    <row r="20058" spans="1:15" x14ac:dyDescent="0.25">
      <c r="A20058" t="s">
        <v>20071</v>
      </c>
      <c r="B20058">
        <v>916</v>
      </c>
      <c r="C20058" s="1" t="str">
        <f>HYPERLINK("http://www.rosaceae.org/gb/gbrowse/malus_x_domestica/?name=MDP0000256624","MDP0000256624")</f>
        <v>MDP0000256624</v>
      </c>
      <c r="D20058">
        <v>72.11</v>
      </c>
      <c r="E20058">
        <v>538</v>
      </c>
      <c r="F20058">
        <v>150</v>
      </c>
      <c r="G20058">
        <v>38</v>
      </c>
      <c r="H20058">
        <v>405</v>
      </c>
      <c r="I20058">
        <v>914</v>
      </c>
      <c r="J20058">
        <v>1</v>
      </c>
      <c r="K20058">
        <v>2</v>
      </c>
      <c r="L20058">
        <v>529</v>
      </c>
      <c r="M20058">
        <v>1</v>
      </c>
      <c r="N20058">
        <v>0</v>
      </c>
      <c r="O20058">
        <v>1995</v>
      </c>
    </row>
    <row r="20059" spans="1:15" x14ac:dyDescent="0.25">
      <c r="A20059" t="s">
        <v>20072</v>
      </c>
      <c r="B20059">
        <v>570</v>
      </c>
      <c r="C20059" s="1" t="str">
        <f>HYPERLINK("http://www.rosaceae.org/gb/gbrowse/malus_x_domestica/?name=MDP0000264271","MDP0000264271")</f>
        <v>MDP0000264271</v>
      </c>
      <c r="D20059">
        <v>45.32</v>
      </c>
      <c r="E20059">
        <v>417</v>
      </c>
      <c r="F20059">
        <v>228</v>
      </c>
      <c r="G20059">
        <v>103</v>
      </c>
      <c r="H20059">
        <v>30</v>
      </c>
      <c r="I20059">
        <v>380</v>
      </c>
      <c r="J20059">
        <v>1</v>
      </c>
      <c r="K20059">
        <v>66</v>
      </c>
      <c r="L20059">
        <v>445</v>
      </c>
      <c r="M20059">
        <v>1</v>
      </c>
      <c r="N20059">
        <v>1.4450000000000001E-76</v>
      </c>
      <c r="O20059">
        <v>727</v>
      </c>
    </row>
    <row r="20060" spans="1:15" x14ac:dyDescent="0.25">
      <c r="A20060" t="s">
        <v>20073</v>
      </c>
      <c r="B20060">
        <v>871</v>
      </c>
      <c r="C20060" s="1" t="str">
        <f>HYPERLINK("http://www.rosaceae.org/gb/gbrowse/malus_x_domestica/?name=MDP0000195139","MDP0000195139")</f>
        <v>MDP0000195139</v>
      </c>
      <c r="D20060">
        <v>40.57</v>
      </c>
      <c r="E20060">
        <v>419</v>
      </c>
      <c r="F20060">
        <v>249</v>
      </c>
      <c r="G20060">
        <v>69</v>
      </c>
      <c r="H20060">
        <v>310</v>
      </c>
      <c r="I20060">
        <v>714</v>
      </c>
      <c r="J20060">
        <v>1</v>
      </c>
      <c r="K20060">
        <v>590</v>
      </c>
      <c r="L20060">
        <v>953</v>
      </c>
      <c r="M20060">
        <v>1</v>
      </c>
      <c r="N20060">
        <v>1.5018899999999999E-69</v>
      </c>
      <c r="O20060">
        <v>669</v>
      </c>
    </row>
    <row r="20061" spans="1:15" x14ac:dyDescent="0.25">
      <c r="A20061" t="s">
        <v>20074</v>
      </c>
      <c r="B20061">
        <v>586</v>
      </c>
      <c r="C20061" s="1" t="str">
        <f>HYPERLINK("http://www.rosaceae.org/gb/gbrowse/malus_x_domestica/?name=MDP0000910908","MDP0000910908")</f>
        <v>MDP0000910908</v>
      </c>
      <c r="D20061">
        <v>67.87</v>
      </c>
      <c r="E20061">
        <v>277</v>
      </c>
      <c r="F20061">
        <v>89</v>
      </c>
      <c r="G20061">
        <v>9</v>
      </c>
      <c r="H20061">
        <v>301</v>
      </c>
      <c r="I20061">
        <v>574</v>
      </c>
      <c r="J20061">
        <v>1</v>
      </c>
      <c r="K20061">
        <v>76</v>
      </c>
      <c r="L20061">
        <v>346</v>
      </c>
      <c r="M20061">
        <v>1</v>
      </c>
      <c r="N20061">
        <v>7.4994399999999996E-97</v>
      </c>
      <c r="O20061">
        <v>902</v>
      </c>
    </row>
    <row r="20062" spans="1:15" x14ac:dyDescent="0.25">
      <c r="A20062" t="s">
        <v>20075</v>
      </c>
      <c r="B20062">
        <v>521</v>
      </c>
      <c r="C20062" s="1" t="str">
        <f>HYPERLINK("http://www.rosaceae.org/gb/gbrowse/malus_x_domestica/?name=MDP0000164891","MDP0000164891")</f>
        <v>MDP0000164891</v>
      </c>
      <c r="D20062">
        <v>72.22</v>
      </c>
      <c r="E20062">
        <v>468</v>
      </c>
      <c r="F20062">
        <v>130</v>
      </c>
      <c r="G20062">
        <v>9</v>
      </c>
      <c r="H20062">
        <v>1</v>
      </c>
      <c r="I20062">
        <v>468</v>
      </c>
      <c r="J20062">
        <v>1</v>
      </c>
      <c r="K20062">
        <v>1</v>
      </c>
      <c r="L20062">
        <v>459</v>
      </c>
      <c r="M20062">
        <v>1</v>
      </c>
      <c r="N20062">
        <v>0</v>
      </c>
      <c r="O20062">
        <v>1759</v>
      </c>
    </row>
    <row r="20063" spans="1:15" x14ac:dyDescent="0.25">
      <c r="A20063" t="s">
        <v>20076</v>
      </c>
      <c r="B20063">
        <v>266</v>
      </c>
      <c r="C20063" s="1" t="str">
        <f>HYPERLINK("http://www.rosaceae.org/gb/gbrowse/malus_x_domestica/?name=MDP0000207066","MDP0000207066")</f>
        <v>MDP0000207066</v>
      </c>
      <c r="D20063">
        <v>56.37</v>
      </c>
      <c r="E20063">
        <v>243</v>
      </c>
      <c r="F20063">
        <v>106</v>
      </c>
      <c r="G20063">
        <v>25</v>
      </c>
      <c r="H20063">
        <v>1</v>
      </c>
      <c r="I20063">
        <v>228</v>
      </c>
      <c r="J20063">
        <v>1</v>
      </c>
      <c r="K20063">
        <v>7</v>
      </c>
      <c r="L20063">
        <v>239</v>
      </c>
      <c r="M20063">
        <v>1</v>
      </c>
      <c r="N20063">
        <v>4.4392699999999998E-69</v>
      </c>
      <c r="O20063">
        <v>659</v>
      </c>
    </row>
    <row r="20064" spans="1:15" x14ac:dyDescent="0.25">
      <c r="A20064" t="s">
        <v>20077</v>
      </c>
      <c r="B20064">
        <v>355</v>
      </c>
      <c r="C20064" s="1" t="str">
        <f>HYPERLINK("http://www.rosaceae.org/gb/gbrowse/malus_x_domestica/?name=MDP0000214672","MDP0000214672")</f>
        <v>MDP0000214672</v>
      </c>
      <c r="D20064">
        <v>57.24</v>
      </c>
      <c r="E20064">
        <v>290</v>
      </c>
      <c r="F20064">
        <v>124</v>
      </c>
      <c r="G20064">
        <v>13</v>
      </c>
      <c r="H20064">
        <v>34</v>
      </c>
      <c r="I20064">
        <v>321</v>
      </c>
      <c r="J20064">
        <v>1</v>
      </c>
      <c r="K20064">
        <v>34</v>
      </c>
      <c r="L20064">
        <v>312</v>
      </c>
      <c r="M20064">
        <v>1</v>
      </c>
      <c r="N20064">
        <v>2.2321599999999999E-86</v>
      </c>
      <c r="O20064">
        <v>810</v>
      </c>
    </row>
    <row r="20065" spans="1:15" x14ac:dyDescent="0.25">
      <c r="A20065" t="s">
        <v>20078</v>
      </c>
      <c r="B20065">
        <v>416</v>
      </c>
      <c r="C20065" s="1" t="str">
        <f>HYPERLINK("http://www.rosaceae.org/gb/gbrowse/malus_x_domestica/?name=MDP0000123687","MDP0000123687")</f>
        <v>MDP0000123687</v>
      </c>
      <c r="D20065">
        <v>60.05</v>
      </c>
      <c r="E20065">
        <v>348</v>
      </c>
      <c r="F20065">
        <v>139</v>
      </c>
      <c r="G20065">
        <v>2</v>
      </c>
      <c r="H20065">
        <v>71</v>
      </c>
      <c r="I20065">
        <v>416</v>
      </c>
      <c r="J20065">
        <v>1</v>
      </c>
      <c r="K20065">
        <v>81</v>
      </c>
      <c r="L20065">
        <v>428</v>
      </c>
      <c r="M20065">
        <v>1</v>
      </c>
      <c r="N20065">
        <v>2.81824E-126</v>
      </c>
      <c r="O20065">
        <v>1155</v>
      </c>
    </row>
    <row r="20066" spans="1:15" x14ac:dyDescent="0.25">
      <c r="A20066" t="s">
        <v>20079</v>
      </c>
      <c r="B20066">
        <v>226</v>
      </c>
      <c r="C20066" s="1" t="str">
        <f>HYPERLINK("http://www.rosaceae.org/gb/gbrowse/malus_x_domestica/?name=MDP0000617009","MDP0000617009")</f>
        <v>MDP0000617009</v>
      </c>
      <c r="D20066">
        <v>96.36</v>
      </c>
      <c r="E20066">
        <v>110</v>
      </c>
      <c r="F20066">
        <v>4</v>
      </c>
      <c r="G20066">
        <v>0</v>
      </c>
      <c r="H20066">
        <v>117</v>
      </c>
      <c r="I20066">
        <v>226</v>
      </c>
      <c r="J20066">
        <v>1</v>
      </c>
      <c r="K20066">
        <v>15</v>
      </c>
      <c r="L20066">
        <v>124</v>
      </c>
      <c r="M20066">
        <v>1</v>
      </c>
      <c r="N20066">
        <v>6.39477E-56</v>
      </c>
      <c r="O20066">
        <v>545</v>
      </c>
    </row>
    <row r="20067" spans="1:15" x14ac:dyDescent="0.25">
      <c r="A20067" t="s">
        <v>20080</v>
      </c>
      <c r="B20067">
        <v>512</v>
      </c>
      <c r="C20067" s="1" t="str">
        <f>HYPERLINK("http://www.rosaceae.org/gb/gbrowse/malus_x_domestica/?name=MDP0000284506","MDP0000284506")</f>
        <v>MDP0000284506</v>
      </c>
      <c r="D20067">
        <v>33.97</v>
      </c>
      <c r="E20067">
        <v>156</v>
      </c>
      <c r="F20067">
        <v>103</v>
      </c>
      <c r="G20067">
        <v>27</v>
      </c>
      <c r="H20067">
        <v>381</v>
      </c>
      <c r="I20067">
        <v>511</v>
      </c>
      <c r="J20067">
        <v>1</v>
      </c>
      <c r="K20067">
        <v>882</v>
      </c>
      <c r="L20067">
        <v>1035</v>
      </c>
      <c r="M20067">
        <v>1</v>
      </c>
      <c r="N20067">
        <v>2.15112E-17</v>
      </c>
      <c r="O20067">
        <v>217</v>
      </c>
    </row>
    <row r="20068" spans="1:15" x14ac:dyDescent="0.25">
      <c r="A20068" t="s">
        <v>20081</v>
      </c>
      <c r="B20068">
        <v>313</v>
      </c>
      <c r="C20068" s="1" t="str">
        <f>HYPERLINK("http://www.rosaceae.org/gb/gbrowse/malus_x_domestica/?name=MDP0000187518","MDP0000187518")</f>
        <v>MDP0000187518</v>
      </c>
      <c r="D20068">
        <v>45.37</v>
      </c>
      <c r="E20068">
        <v>324</v>
      </c>
      <c r="F20068">
        <v>177</v>
      </c>
      <c r="G20068">
        <v>26</v>
      </c>
      <c r="H20068">
        <v>3</v>
      </c>
      <c r="I20068">
        <v>312</v>
      </c>
      <c r="J20068">
        <v>1</v>
      </c>
      <c r="K20068">
        <v>34</v>
      </c>
      <c r="L20068">
        <v>345</v>
      </c>
      <c r="M20068">
        <v>1</v>
      </c>
      <c r="N20068">
        <v>3.8306299999999999E-65</v>
      </c>
      <c r="O20068">
        <v>626</v>
      </c>
    </row>
    <row r="20069" spans="1:15" x14ac:dyDescent="0.25">
      <c r="A20069" t="s">
        <v>20082</v>
      </c>
      <c r="B20069">
        <v>131</v>
      </c>
      <c r="C20069" s="1" t="str">
        <f>HYPERLINK("http://www.rosaceae.org/gb/gbrowse/malus_x_domestica/?name=MDP0000212651","MDP0000212651")</f>
        <v>MDP0000212651</v>
      </c>
      <c r="D20069">
        <v>58.33</v>
      </c>
      <c r="E20069">
        <v>144</v>
      </c>
      <c r="F20069">
        <v>60</v>
      </c>
      <c r="G20069">
        <v>13</v>
      </c>
      <c r="H20069">
        <v>1</v>
      </c>
      <c r="I20069">
        <v>131</v>
      </c>
      <c r="J20069">
        <v>1</v>
      </c>
      <c r="K20069">
        <v>1</v>
      </c>
      <c r="L20069">
        <v>144</v>
      </c>
      <c r="M20069">
        <v>1</v>
      </c>
      <c r="N20069">
        <v>1.2227E-33</v>
      </c>
      <c r="O20069">
        <v>348</v>
      </c>
    </row>
    <row r="20070" spans="1:15" x14ac:dyDescent="0.25">
      <c r="A20070" t="s">
        <v>20083</v>
      </c>
      <c r="B20070">
        <v>109</v>
      </c>
      <c r="C20070" s="1" t="str">
        <f>HYPERLINK("http://www.rosaceae.org/gb/gbrowse/malus_x_domestica/?name=MDP0000720497","MDP0000720497")</f>
        <v>MDP0000720497</v>
      </c>
      <c r="D20070">
        <v>75</v>
      </c>
      <c r="E20070">
        <v>76</v>
      </c>
      <c r="F20070">
        <v>19</v>
      </c>
      <c r="G20070">
        <v>0</v>
      </c>
      <c r="H20070">
        <v>7</v>
      </c>
      <c r="I20070">
        <v>82</v>
      </c>
      <c r="J20070">
        <v>1</v>
      </c>
      <c r="K20070">
        <v>48</v>
      </c>
      <c r="L20070">
        <v>123</v>
      </c>
      <c r="M20070">
        <v>1</v>
      </c>
      <c r="N20070">
        <v>3.4540600000000001E-29</v>
      </c>
      <c r="O20070">
        <v>309</v>
      </c>
    </row>
    <row r="20071" spans="1:15" x14ac:dyDescent="0.25">
      <c r="A20071" t="s">
        <v>20084</v>
      </c>
      <c r="B20071">
        <v>476</v>
      </c>
      <c r="C20071" s="1" t="str">
        <f>HYPERLINK("http://www.rosaceae.org/gb/gbrowse/malus_x_domestica/?name=MDP0000584567","MDP0000584567")</f>
        <v>MDP0000584567</v>
      </c>
      <c r="D20071">
        <v>60.29</v>
      </c>
      <c r="E20071">
        <v>481</v>
      </c>
      <c r="F20071">
        <v>191</v>
      </c>
      <c r="G20071">
        <v>16</v>
      </c>
      <c r="H20071">
        <v>1</v>
      </c>
      <c r="I20071">
        <v>476</v>
      </c>
      <c r="J20071">
        <v>1</v>
      </c>
      <c r="K20071">
        <v>1</v>
      </c>
      <c r="L20071">
        <v>470</v>
      </c>
      <c r="M20071">
        <v>1</v>
      </c>
      <c r="N20071">
        <v>1.06177E-167</v>
      </c>
      <c r="O20071">
        <v>1512</v>
      </c>
    </row>
    <row r="20072" spans="1:15" x14ac:dyDescent="0.25">
      <c r="A20072" t="s">
        <v>20085</v>
      </c>
      <c r="B20072">
        <v>422</v>
      </c>
      <c r="C20072" s="1" t="str">
        <f>HYPERLINK("http://www.rosaceae.org/gb/gbrowse/malus_x_domestica/?name=MDP0000772731","MDP0000772731")</f>
        <v>MDP0000772731</v>
      </c>
      <c r="D20072">
        <v>42.99</v>
      </c>
      <c r="E20072">
        <v>214</v>
      </c>
      <c r="F20072">
        <v>122</v>
      </c>
      <c r="G20072">
        <v>15</v>
      </c>
      <c r="H20072">
        <v>9</v>
      </c>
      <c r="I20072">
        <v>219</v>
      </c>
      <c r="J20072">
        <v>1</v>
      </c>
      <c r="K20072">
        <v>10</v>
      </c>
      <c r="L20072">
        <v>211</v>
      </c>
      <c r="M20072">
        <v>1</v>
      </c>
      <c r="N20072">
        <v>3.5993600000000002E-39</v>
      </c>
      <c r="O20072">
        <v>403</v>
      </c>
    </row>
    <row r="20073" spans="1:15" x14ac:dyDescent="0.25">
      <c r="A20073" t="s">
        <v>20086</v>
      </c>
      <c r="B20073">
        <v>150</v>
      </c>
      <c r="C20073" s="1" t="str">
        <f>HYPERLINK("http://www.rosaceae.org/gb/gbrowse/malus_x_domestica/?name=MDP0000226962","MDP0000226962")</f>
        <v>MDP0000226962</v>
      </c>
      <c r="D20073">
        <v>49.18</v>
      </c>
      <c r="E20073">
        <v>61</v>
      </c>
      <c r="F20073">
        <v>31</v>
      </c>
      <c r="G20073">
        <v>2</v>
      </c>
      <c r="H20073">
        <v>2</v>
      </c>
      <c r="I20073">
        <v>62</v>
      </c>
      <c r="J20073">
        <v>1</v>
      </c>
      <c r="K20073">
        <v>230</v>
      </c>
      <c r="L20073">
        <v>288</v>
      </c>
      <c r="M20073">
        <v>1</v>
      </c>
      <c r="N20073">
        <v>1.10042E-8</v>
      </c>
      <c r="O20073">
        <v>134</v>
      </c>
    </row>
    <row r="20074" spans="1:15" x14ac:dyDescent="0.25">
      <c r="A20074" t="s">
        <v>20087</v>
      </c>
      <c r="B20074">
        <v>643</v>
      </c>
      <c r="C20074" s="1" t="str">
        <f>HYPERLINK("http://www.rosaceae.org/gb/gbrowse/malus_x_domestica/?name=MDP0000271132","MDP0000271132")</f>
        <v>MDP0000271132</v>
      </c>
      <c r="D20074">
        <v>69.930000000000007</v>
      </c>
      <c r="E20074">
        <v>622</v>
      </c>
      <c r="F20074">
        <v>187</v>
      </c>
      <c r="G20074">
        <v>13</v>
      </c>
      <c r="H20074">
        <v>22</v>
      </c>
      <c r="I20074">
        <v>641</v>
      </c>
      <c r="J20074">
        <v>1</v>
      </c>
      <c r="K20074">
        <v>21</v>
      </c>
      <c r="L20074">
        <v>631</v>
      </c>
      <c r="M20074">
        <v>1</v>
      </c>
      <c r="N20074">
        <v>0</v>
      </c>
      <c r="O20074">
        <v>2195</v>
      </c>
    </row>
    <row r="20075" spans="1:15" x14ac:dyDescent="0.25">
      <c r="A20075" t="s">
        <v>20088</v>
      </c>
      <c r="B20075">
        <v>881</v>
      </c>
      <c r="C20075" s="1" t="str">
        <f>HYPERLINK("http://www.rosaceae.org/gb/gbrowse/malus_x_domestica/?name=MDP0000140407","MDP0000140407")</f>
        <v>MDP0000140407</v>
      </c>
      <c r="D20075">
        <v>62.66</v>
      </c>
      <c r="E20075">
        <v>691</v>
      </c>
      <c r="F20075">
        <v>258</v>
      </c>
      <c r="G20075">
        <v>16</v>
      </c>
      <c r="H20075">
        <v>1</v>
      </c>
      <c r="I20075">
        <v>681</v>
      </c>
      <c r="J20075">
        <v>1</v>
      </c>
      <c r="K20075">
        <v>1</v>
      </c>
      <c r="L20075">
        <v>685</v>
      </c>
      <c r="M20075">
        <v>1</v>
      </c>
      <c r="N20075">
        <v>0</v>
      </c>
      <c r="O20075">
        <v>2233</v>
      </c>
    </row>
    <row r="20076" spans="1:15" x14ac:dyDescent="0.25">
      <c r="A20076" t="s">
        <v>20089</v>
      </c>
      <c r="B20076">
        <v>126</v>
      </c>
      <c r="C20076" s="1" t="str">
        <f>HYPERLINK("http://www.rosaceae.org/gb/gbrowse/malus_x_domestica/?name=MDP0000139363","MDP0000139363")</f>
        <v>MDP0000139363</v>
      </c>
      <c r="D20076">
        <v>58.62</v>
      </c>
      <c r="E20076">
        <v>58</v>
      </c>
      <c r="F20076">
        <v>24</v>
      </c>
      <c r="G20076">
        <v>4</v>
      </c>
      <c r="H20076">
        <v>64</v>
      </c>
      <c r="I20076">
        <v>117</v>
      </c>
      <c r="J20076">
        <v>1</v>
      </c>
      <c r="K20076">
        <v>129</v>
      </c>
      <c r="L20076">
        <v>186</v>
      </c>
      <c r="M20076">
        <v>1</v>
      </c>
      <c r="N20076">
        <v>6.9476800000000003E-11</v>
      </c>
      <c r="O20076">
        <v>152</v>
      </c>
    </row>
    <row r="20077" spans="1:15" x14ac:dyDescent="0.25">
      <c r="A20077" t="s">
        <v>20090</v>
      </c>
      <c r="B20077">
        <v>267</v>
      </c>
      <c r="C20077" s="1" t="str">
        <f>HYPERLINK("http://www.rosaceae.org/gb/gbrowse/malus_x_domestica/?name=MDP0000295305","MDP0000295305")</f>
        <v>MDP0000295305</v>
      </c>
      <c r="D20077">
        <v>72.83</v>
      </c>
      <c r="E20077">
        <v>243</v>
      </c>
      <c r="F20077">
        <v>66</v>
      </c>
      <c r="G20077">
        <v>2</v>
      </c>
      <c r="H20077">
        <v>1</v>
      </c>
      <c r="I20077">
        <v>242</v>
      </c>
      <c r="J20077">
        <v>1</v>
      </c>
      <c r="K20077">
        <v>595</v>
      </c>
      <c r="L20077">
        <v>836</v>
      </c>
      <c r="M20077">
        <v>1</v>
      </c>
      <c r="N20077">
        <v>3.9395199999999997E-99</v>
      </c>
      <c r="O20077">
        <v>918</v>
      </c>
    </row>
    <row r="20078" spans="1:15" x14ac:dyDescent="0.25">
      <c r="A20078" t="s">
        <v>20091</v>
      </c>
      <c r="B20078">
        <v>212</v>
      </c>
      <c r="C20078" s="1" t="str">
        <f>HYPERLINK("http://www.rosaceae.org/gb/gbrowse/malus_x_domestica/?name=MDP0000259249","MDP0000259249")</f>
        <v>MDP0000259249</v>
      </c>
      <c r="D20078">
        <v>46.02</v>
      </c>
      <c r="E20078">
        <v>176</v>
      </c>
      <c r="F20078">
        <v>95</v>
      </c>
      <c r="G20078">
        <v>6</v>
      </c>
      <c r="H20078">
        <v>15</v>
      </c>
      <c r="I20078">
        <v>185</v>
      </c>
      <c r="J20078">
        <v>1</v>
      </c>
      <c r="K20078">
        <v>23</v>
      </c>
      <c r="L20078">
        <v>197</v>
      </c>
      <c r="M20078">
        <v>1</v>
      </c>
      <c r="N20078">
        <v>8.0809500000000002E-37</v>
      </c>
      <c r="O20078">
        <v>379</v>
      </c>
    </row>
    <row r="20079" spans="1:15" x14ac:dyDescent="0.25">
      <c r="A20079" t="s">
        <v>20092</v>
      </c>
      <c r="B20079">
        <v>445</v>
      </c>
      <c r="C20079" s="1" t="str">
        <f>HYPERLINK("http://www.rosaceae.org/gb/gbrowse/malus_x_domestica/?name=MDP0000435971","MDP0000435971")</f>
        <v>MDP0000435971</v>
      </c>
      <c r="D20079">
        <v>71.39</v>
      </c>
      <c r="E20079">
        <v>374</v>
      </c>
      <c r="F20079">
        <v>107</v>
      </c>
      <c r="G20079">
        <v>20</v>
      </c>
      <c r="H20079">
        <v>1</v>
      </c>
      <c r="I20079">
        <v>359</v>
      </c>
      <c r="J20079">
        <v>1</v>
      </c>
      <c r="K20079">
        <v>1</v>
      </c>
      <c r="L20079">
        <v>369</v>
      </c>
      <c r="M20079">
        <v>1</v>
      </c>
      <c r="N20079">
        <v>2.7064500000000001E-148</v>
      </c>
      <c r="O20079">
        <v>1345</v>
      </c>
    </row>
    <row r="20080" spans="1:15" x14ac:dyDescent="0.25">
      <c r="A20080" t="s">
        <v>20093</v>
      </c>
      <c r="B20080">
        <v>873</v>
      </c>
      <c r="C20080" s="1" t="str">
        <f>HYPERLINK("http://www.rosaceae.org/gb/gbrowse/malus_x_domestica/?name=MDP0000196035","MDP0000196035")</f>
        <v>MDP0000196035</v>
      </c>
      <c r="D20080">
        <v>73.17</v>
      </c>
      <c r="E20080">
        <v>287</v>
      </c>
      <c r="F20080">
        <v>77</v>
      </c>
      <c r="G20080">
        <v>27</v>
      </c>
      <c r="H20080">
        <v>111</v>
      </c>
      <c r="I20080">
        <v>375</v>
      </c>
      <c r="J20080">
        <v>1</v>
      </c>
      <c r="K20080">
        <v>203</v>
      </c>
      <c r="L20080">
        <v>484</v>
      </c>
      <c r="M20080">
        <v>1</v>
      </c>
      <c r="N20080">
        <v>1.36577E-118</v>
      </c>
      <c r="O20080">
        <v>1092</v>
      </c>
    </row>
    <row r="20081" spans="1:15" x14ac:dyDescent="0.25">
      <c r="A20081" t="s">
        <v>20094</v>
      </c>
      <c r="B20081">
        <v>526</v>
      </c>
      <c r="C20081" s="1" t="str">
        <f>HYPERLINK("http://www.rosaceae.org/gb/gbrowse/malus_x_domestica/?name=MDP0000634676","MDP0000634676")</f>
        <v>MDP0000634676</v>
      </c>
      <c r="D20081">
        <v>76.48</v>
      </c>
      <c r="E20081">
        <v>523</v>
      </c>
      <c r="F20081">
        <v>123</v>
      </c>
      <c r="G20081">
        <v>7</v>
      </c>
      <c r="H20081">
        <v>4</v>
      </c>
      <c r="I20081">
        <v>526</v>
      </c>
      <c r="J20081">
        <v>1</v>
      </c>
      <c r="K20081">
        <v>3</v>
      </c>
      <c r="L20081">
        <v>518</v>
      </c>
      <c r="M20081">
        <v>1</v>
      </c>
      <c r="N20081">
        <v>0</v>
      </c>
      <c r="O20081">
        <v>2162</v>
      </c>
    </row>
    <row r="20082" spans="1:15" x14ac:dyDescent="0.25">
      <c r="A20082" t="s">
        <v>20095</v>
      </c>
      <c r="B20082">
        <v>1151</v>
      </c>
      <c r="C20082" s="1" t="str">
        <f>HYPERLINK("http://www.rosaceae.org/gb/gbrowse/malus_x_domestica/?name=MDP0000144208","MDP0000144208")</f>
        <v>MDP0000144208</v>
      </c>
      <c r="D20082">
        <v>47.78</v>
      </c>
      <c r="E20082">
        <v>475</v>
      </c>
      <c r="F20082">
        <v>248</v>
      </c>
      <c r="G20082">
        <v>57</v>
      </c>
      <c r="H20082">
        <v>574</v>
      </c>
      <c r="I20082">
        <v>1009</v>
      </c>
      <c r="J20082">
        <v>1</v>
      </c>
      <c r="K20082">
        <v>36</v>
      </c>
      <c r="L20082">
        <v>492</v>
      </c>
      <c r="M20082">
        <v>1</v>
      </c>
      <c r="N20082">
        <v>3.4542099999999997E-88</v>
      </c>
      <c r="O20082">
        <v>831</v>
      </c>
    </row>
    <row r="20083" spans="1:15" x14ac:dyDescent="0.25">
      <c r="A20083" t="s">
        <v>20096</v>
      </c>
      <c r="B20083">
        <v>256</v>
      </c>
      <c r="C20083" s="1" t="str">
        <f>HYPERLINK("http://www.rosaceae.org/gb/gbrowse/malus_x_domestica/?name=MDP0000276433","MDP0000276433")</f>
        <v>MDP0000276433</v>
      </c>
      <c r="D20083">
        <v>49.78</v>
      </c>
      <c r="E20083">
        <v>231</v>
      </c>
      <c r="F20083">
        <v>116</v>
      </c>
      <c r="G20083">
        <v>25</v>
      </c>
      <c r="H20083">
        <v>11</v>
      </c>
      <c r="I20083">
        <v>241</v>
      </c>
      <c r="J20083">
        <v>1</v>
      </c>
      <c r="K20083">
        <v>29</v>
      </c>
      <c r="L20083">
        <v>234</v>
      </c>
      <c r="M20083">
        <v>1</v>
      </c>
      <c r="N20083">
        <v>3.18299E-56</v>
      </c>
      <c r="O20083">
        <v>548</v>
      </c>
    </row>
    <row r="20084" spans="1:15" x14ac:dyDescent="0.25">
      <c r="A20084" t="s">
        <v>20097</v>
      </c>
      <c r="B20084">
        <v>207</v>
      </c>
      <c r="C20084" s="1" t="str">
        <f>HYPERLINK("http://www.rosaceae.org/gb/gbrowse/malus_x_domestica/?name=MDP0000407639","MDP0000407639")</f>
        <v>MDP0000407639</v>
      </c>
      <c r="D20084">
        <v>40.619999999999997</v>
      </c>
      <c r="E20084">
        <v>192</v>
      </c>
      <c r="F20084">
        <v>114</v>
      </c>
      <c r="G20084">
        <v>34</v>
      </c>
      <c r="H20084">
        <v>16</v>
      </c>
      <c r="I20084">
        <v>207</v>
      </c>
      <c r="J20084">
        <v>1</v>
      </c>
      <c r="K20084">
        <v>227</v>
      </c>
      <c r="L20084">
        <v>384</v>
      </c>
      <c r="M20084">
        <v>1</v>
      </c>
      <c r="N20084">
        <v>5.9238799999999997E-31</v>
      </c>
      <c r="O20084">
        <v>329</v>
      </c>
    </row>
    <row r="20085" spans="1:15" x14ac:dyDescent="0.25">
      <c r="A20085" t="s">
        <v>20098</v>
      </c>
      <c r="B20085">
        <v>674</v>
      </c>
      <c r="C20085" s="1" t="str">
        <f>HYPERLINK("http://www.rosaceae.org/gb/gbrowse/malus_x_domestica/?name=MDP0000219369","MDP0000219369")</f>
        <v>MDP0000219369</v>
      </c>
      <c r="D20085">
        <v>63.44</v>
      </c>
      <c r="E20085">
        <v>703</v>
      </c>
      <c r="F20085">
        <v>257</v>
      </c>
      <c r="G20085">
        <v>73</v>
      </c>
      <c r="H20085">
        <v>13</v>
      </c>
      <c r="I20085">
        <v>674</v>
      </c>
      <c r="J20085">
        <v>1</v>
      </c>
      <c r="K20085">
        <v>1</v>
      </c>
      <c r="L20085">
        <v>671</v>
      </c>
      <c r="M20085">
        <v>1</v>
      </c>
      <c r="N20085">
        <v>0</v>
      </c>
      <c r="O20085">
        <v>2172</v>
      </c>
    </row>
    <row r="20086" spans="1:15" x14ac:dyDescent="0.25">
      <c r="A20086" t="s">
        <v>20099</v>
      </c>
      <c r="B20086">
        <v>736</v>
      </c>
      <c r="C20086" s="1" t="str">
        <f>HYPERLINK("http://www.rosaceae.org/gb/gbrowse/malus_x_domestica/?name=MDP0000119184","MDP0000119184")</f>
        <v>MDP0000119184</v>
      </c>
      <c r="D20086">
        <v>68.459999999999994</v>
      </c>
      <c r="E20086">
        <v>666</v>
      </c>
      <c r="F20086">
        <v>210</v>
      </c>
      <c r="G20086">
        <v>14</v>
      </c>
      <c r="H20086">
        <v>40</v>
      </c>
      <c r="I20086">
        <v>700</v>
      </c>
      <c r="J20086">
        <v>1</v>
      </c>
      <c r="K20086">
        <v>1</v>
      </c>
      <c r="L20086">
        <v>657</v>
      </c>
      <c r="M20086">
        <v>1</v>
      </c>
      <c r="N20086">
        <v>0</v>
      </c>
      <c r="O20086">
        <v>2257</v>
      </c>
    </row>
    <row r="20087" spans="1:15" x14ac:dyDescent="0.25">
      <c r="A20087" t="s">
        <v>20100</v>
      </c>
      <c r="B20087">
        <v>271</v>
      </c>
      <c r="C20087" s="1" t="str">
        <f>HYPERLINK("http://www.rosaceae.org/gb/gbrowse/malus_x_domestica/?name=MDP0000278315","MDP0000278315")</f>
        <v>MDP0000278315</v>
      </c>
      <c r="D20087">
        <v>63.68</v>
      </c>
      <c r="E20087">
        <v>190</v>
      </c>
      <c r="F20087">
        <v>69</v>
      </c>
      <c r="G20087">
        <v>9</v>
      </c>
      <c r="H20087">
        <v>2</v>
      </c>
      <c r="I20087">
        <v>185</v>
      </c>
      <c r="J20087">
        <v>1</v>
      </c>
      <c r="K20087">
        <v>35</v>
      </c>
      <c r="L20087">
        <v>221</v>
      </c>
      <c r="M20087">
        <v>1</v>
      </c>
      <c r="N20087">
        <v>1.8139899999999999E-65</v>
      </c>
      <c r="O20087">
        <v>628</v>
      </c>
    </row>
    <row r="20088" spans="1:15" x14ac:dyDescent="0.25">
      <c r="A20088" t="s">
        <v>20101</v>
      </c>
      <c r="B20088">
        <v>300</v>
      </c>
      <c r="C20088" s="1" t="str">
        <f>HYPERLINK("http://www.rosaceae.org/gb/gbrowse/malus_x_domestica/?name=MDP0000230688","MDP0000230688")</f>
        <v>MDP0000230688</v>
      </c>
      <c r="D20088">
        <v>72.33</v>
      </c>
      <c r="E20088">
        <v>300</v>
      </c>
      <c r="F20088">
        <v>83</v>
      </c>
      <c r="G20088">
        <v>6</v>
      </c>
      <c r="H20088">
        <v>1</v>
      </c>
      <c r="I20088">
        <v>300</v>
      </c>
      <c r="J20088">
        <v>1</v>
      </c>
      <c r="K20088">
        <v>1</v>
      </c>
      <c r="L20088">
        <v>294</v>
      </c>
      <c r="M20088">
        <v>1</v>
      </c>
      <c r="N20088">
        <v>5.9241900000000002E-125</v>
      </c>
      <c r="O20088">
        <v>1142</v>
      </c>
    </row>
    <row r="20089" spans="1:15" x14ac:dyDescent="0.25">
      <c r="A20089" t="s">
        <v>20102</v>
      </c>
      <c r="B20089">
        <v>357</v>
      </c>
      <c r="C20089" s="1" t="str">
        <f>HYPERLINK("http://www.rosaceae.org/gb/gbrowse/malus_x_domestica/?name=MDP0000124256","MDP0000124256")</f>
        <v>MDP0000124256</v>
      </c>
      <c r="D20089">
        <v>35.71</v>
      </c>
      <c r="E20089">
        <v>112</v>
      </c>
      <c r="F20089">
        <v>72</v>
      </c>
      <c r="G20089">
        <v>0</v>
      </c>
      <c r="H20089">
        <v>161</v>
      </c>
      <c r="I20089">
        <v>272</v>
      </c>
      <c r="J20089">
        <v>1</v>
      </c>
      <c r="K20089">
        <v>83</v>
      </c>
      <c r="L20089">
        <v>194</v>
      </c>
      <c r="M20089">
        <v>1</v>
      </c>
      <c r="N20089">
        <v>8.3663900000000001E-17</v>
      </c>
      <c r="O20089">
        <v>210</v>
      </c>
    </row>
    <row r="20090" spans="1:15" x14ac:dyDescent="0.25">
      <c r="A20090" t="s">
        <v>20103</v>
      </c>
      <c r="B20090">
        <v>77</v>
      </c>
      <c r="C20090" s="1" t="str">
        <f>HYPERLINK("http://www.rosaceae.org/gb/gbrowse/malus_x_domestica/?name=MDP0000267875","MDP0000267875")</f>
        <v>MDP0000267875</v>
      </c>
      <c r="D20090">
        <v>56</v>
      </c>
      <c r="E20090">
        <v>100</v>
      </c>
      <c r="F20090">
        <v>44</v>
      </c>
      <c r="G20090">
        <v>37</v>
      </c>
      <c r="H20090">
        <v>15</v>
      </c>
      <c r="I20090">
        <v>77</v>
      </c>
      <c r="J20090">
        <v>1</v>
      </c>
      <c r="K20090">
        <v>183</v>
      </c>
      <c r="L20090">
        <v>282</v>
      </c>
      <c r="M20090">
        <v>1</v>
      </c>
      <c r="N20090">
        <v>8.7119800000000008E-22</v>
      </c>
      <c r="O20090">
        <v>245</v>
      </c>
    </row>
    <row r="20091" spans="1:15" x14ac:dyDescent="0.25">
      <c r="A20091" t="s">
        <v>20104</v>
      </c>
      <c r="B20091">
        <v>259</v>
      </c>
      <c r="C20091" s="1" t="str">
        <f>HYPERLINK("http://www.rosaceae.org/gb/gbrowse/malus_x_domestica/?name=MDP0000183451","MDP0000183451")</f>
        <v>MDP0000183451</v>
      </c>
      <c r="D20091">
        <v>73.349999999999994</v>
      </c>
      <c r="E20091">
        <v>259</v>
      </c>
      <c r="F20091">
        <v>69</v>
      </c>
      <c r="G20091">
        <v>8</v>
      </c>
      <c r="H20091">
        <v>4</v>
      </c>
      <c r="I20091">
        <v>258</v>
      </c>
      <c r="J20091">
        <v>1</v>
      </c>
      <c r="K20091">
        <v>5</v>
      </c>
      <c r="L20091">
        <v>259</v>
      </c>
      <c r="M20091">
        <v>1</v>
      </c>
      <c r="N20091">
        <v>1.6835399999999999E-103</v>
      </c>
      <c r="O20091">
        <v>956</v>
      </c>
    </row>
    <row r="20092" spans="1:15" x14ac:dyDescent="0.25">
      <c r="A20092" t="s">
        <v>20105</v>
      </c>
      <c r="B20092">
        <v>639</v>
      </c>
      <c r="C20092" s="1" t="str">
        <f>HYPERLINK("http://www.rosaceae.org/gb/gbrowse/malus_x_domestica/?name=MDP0000201844","MDP0000201844")</f>
        <v>MDP0000201844</v>
      </c>
      <c r="D20092">
        <v>73.91</v>
      </c>
      <c r="E20092">
        <v>644</v>
      </c>
      <c r="F20092">
        <v>168</v>
      </c>
      <c r="G20092">
        <v>57</v>
      </c>
      <c r="H20092">
        <v>18</v>
      </c>
      <c r="I20092">
        <v>638</v>
      </c>
      <c r="J20092">
        <v>1</v>
      </c>
      <c r="K20092">
        <v>67</v>
      </c>
      <c r="L20092">
        <v>676</v>
      </c>
      <c r="M20092">
        <v>1</v>
      </c>
      <c r="N20092">
        <v>0</v>
      </c>
      <c r="O20092">
        <v>2469</v>
      </c>
    </row>
    <row r="20093" spans="1:15" x14ac:dyDescent="0.25">
      <c r="A20093" t="s">
        <v>20106</v>
      </c>
      <c r="B20093">
        <v>302</v>
      </c>
      <c r="C20093" s="1" t="str">
        <f>HYPERLINK("http://www.rosaceae.org/gb/gbrowse/malus_x_domestica/?name=MDP0000738379","MDP0000738379")</f>
        <v>MDP0000738379</v>
      </c>
      <c r="D20093">
        <v>53.84</v>
      </c>
      <c r="E20093">
        <v>65</v>
      </c>
      <c r="F20093">
        <v>30</v>
      </c>
      <c r="G20093">
        <v>7</v>
      </c>
      <c r="H20093">
        <v>221</v>
      </c>
      <c r="I20093">
        <v>283</v>
      </c>
      <c r="J20093">
        <v>1</v>
      </c>
      <c r="K20093">
        <v>121</v>
      </c>
      <c r="L20093">
        <v>180</v>
      </c>
      <c r="M20093">
        <v>1</v>
      </c>
      <c r="N20093">
        <v>1.58751E-11</v>
      </c>
      <c r="O20093">
        <v>163</v>
      </c>
    </row>
    <row r="20094" spans="1:15" x14ac:dyDescent="0.25">
      <c r="A20094" t="s">
        <v>20107</v>
      </c>
      <c r="B20094">
        <v>302</v>
      </c>
      <c r="C20094" s="1" t="str">
        <f>HYPERLINK("http://www.rosaceae.org/gb/gbrowse/malus_x_domestica/?name=MDP0000259773","MDP0000259773")</f>
        <v>MDP0000259773</v>
      </c>
      <c r="D20094">
        <v>73.13</v>
      </c>
      <c r="E20094">
        <v>201</v>
      </c>
      <c r="F20094">
        <v>54</v>
      </c>
      <c r="G20094">
        <v>24</v>
      </c>
      <c r="H20094">
        <v>85</v>
      </c>
      <c r="I20094">
        <v>266</v>
      </c>
      <c r="J20094">
        <v>1</v>
      </c>
      <c r="K20094">
        <v>17</v>
      </c>
      <c r="L20094">
        <v>212</v>
      </c>
      <c r="M20094">
        <v>1</v>
      </c>
      <c r="N20094">
        <v>4.5002600000000001E-72</v>
      </c>
      <c r="O20094">
        <v>686</v>
      </c>
    </row>
    <row r="20095" spans="1:15" x14ac:dyDescent="0.25">
      <c r="A20095" t="s">
        <v>20108</v>
      </c>
      <c r="B20095">
        <v>277</v>
      </c>
      <c r="C20095" s="1" t="str">
        <f>HYPERLINK("http://www.rosaceae.org/gb/gbrowse/malus_x_domestica/?name=MDP0000817973","MDP0000817973")</f>
        <v>MDP0000817973</v>
      </c>
      <c r="D20095">
        <v>74.209999999999994</v>
      </c>
      <c r="E20095">
        <v>256</v>
      </c>
      <c r="F20095">
        <v>66</v>
      </c>
      <c r="G20095">
        <v>2</v>
      </c>
      <c r="H20095">
        <v>24</v>
      </c>
      <c r="I20095">
        <v>277</v>
      </c>
      <c r="J20095">
        <v>1</v>
      </c>
      <c r="K20095">
        <v>25</v>
      </c>
      <c r="L20095">
        <v>280</v>
      </c>
      <c r="M20095">
        <v>1</v>
      </c>
      <c r="N20095">
        <v>2.6603799999999998E-102</v>
      </c>
      <c r="O20095">
        <v>946</v>
      </c>
    </row>
    <row r="20096" spans="1:15" x14ac:dyDescent="0.25">
      <c r="A20096" t="s">
        <v>20109</v>
      </c>
      <c r="B20096">
        <v>559</v>
      </c>
      <c r="C20096" s="1" t="str">
        <f>HYPERLINK("http://www.rosaceae.org/gb/gbrowse/malus_x_domestica/?name=MDP0000232380","MDP0000232380")</f>
        <v>MDP0000232380</v>
      </c>
      <c r="D20096">
        <v>86.82</v>
      </c>
      <c r="E20096">
        <v>478</v>
      </c>
      <c r="F20096">
        <v>63</v>
      </c>
      <c r="G20096">
        <v>24</v>
      </c>
      <c r="H20096">
        <v>3</v>
      </c>
      <c r="I20096">
        <v>463</v>
      </c>
      <c r="J20096">
        <v>1</v>
      </c>
      <c r="K20096">
        <v>2</v>
      </c>
      <c r="L20096">
        <v>472</v>
      </c>
      <c r="M20096">
        <v>1</v>
      </c>
      <c r="N20096">
        <v>0</v>
      </c>
      <c r="O20096">
        <v>2153</v>
      </c>
    </row>
    <row r="20097" spans="1:15" x14ac:dyDescent="0.25">
      <c r="A20097" t="s">
        <v>20110</v>
      </c>
      <c r="B20097">
        <v>435</v>
      </c>
      <c r="C20097" s="1" t="str">
        <f>HYPERLINK("http://www.rosaceae.org/gb/gbrowse/malus_x_domestica/?name=MDP0000258482","MDP0000258482")</f>
        <v>MDP0000258482</v>
      </c>
      <c r="D20097">
        <v>51.33</v>
      </c>
      <c r="E20097">
        <v>413</v>
      </c>
      <c r="F20097">
        <v>201</v>
      </c>
      <c r="G20097">
        <v>10</v>
      </c>
      <c r="H20097">
        <v>13</v>
      </c>
      <c r="I20097">
        <v>420</v>
      </c>
      <c r="J20097">
        <v>1</v>
      </c>
      <c r="K20097">
        <v>40</v>
      </c>
      <c r="L20097">
        <v>447</v>
      </c>
      <c r="M20097">
        <v>1</v>
      </c>
      <c r="N20097">
        <v>1.00665E-112</v>
      </c>
      <c r="O20097">
        <v>1038</v>
      </c>
    </row>
    <row r="20098" spans="1:15" x14ac:dyDescent="0.25">
      <c r="A20098" t="s">
        <v>20111</v>
      </c>
      <c r="B20098">
        <v>784</v>
      </c>
      <c r="C20098" s="1" t="str">
        <f>HYPERLINK("http://www.rosaceae.org/gb/gbrowse/malus_x_domestica/?name=MDP0000288694","MDP0000288694")</f>
        <v>MDP0000288694</v>
      </c>
      <c r="D20098">
        <v>73.34</v>
      </c>
      <c r="E20098">
        <v>484</v>
      </c>
      <c r="F20098">
        <v>129</v>
      </c>
      <c r="G20098">
        <v>38</v>
      </c>
      <c r="H20098">
        <v>339</v>
      </c>
      <c r="I20098">
        <v>784</v>
      </c>
      <c r="J20098">
        <v>1</v>
      </c>
      <c r="K20098">
        <v>1</v>
      </c>
      <c r="L20098">
        <v>484</v>
      </c>
      <c r="M20098">
        <v>1</v>
      </c>
      <c r="N20098">
        <v>0</v>
      </c>
      <c r="O20098">
        <v>1845</v>
      </c>
    </row>
    <row r="20099" spans="1:15" x14ac:dyDescent="0.25">
      <c r="A20099" t="s">
        <v>20112</v>
      </c>
      <c r="B20099">
        <v>478</v>
      </c>
      <c r="C20099" s="1" t="str">
        <f>HYPERLINK("http://www.rosaceae.org/gb/gbrowse/malus_x_domestica/?name=MDP0000031895","MDP0000031895")</f>
        <v>MDP0000031895</v>
      </c>
      <c r="D20099">
        <v>78.87</v>
      </c>
      <c r="E20099">
        <v>478</v>
      </c>
      <c r="F20099">
        <v>101</v>
      </c>
      <c r="G20099">
        <v>1</v>
      </c>
      <c r="H20099">
        <v>1</v>
      </c>
      <c r="I20099">
        <v>478</v>
      </c>
      <c r="J20099">
        <v>1</v>
      </c>
      <c r="K20099">
        <v>1</v>
      </c>
      <c r="L20099">
        <v>477</v>
      </c>
      <c r="M20099">
        <v>1</v>
      </c>
      <c r="N20099">
        <v>0</v>
      </c>
      <c r="O20099">
        <v>2012</v>
      </c>
    </row>
    <row r="20100" spans="1:15" x14ac:dyDescent="0.25">
      <c r="A20100" t="s">
        <v>20113</v>
      </c>
      <c r="B20100">
        <v>336</v>
      </c>
      <c r="C20100" s="1" t="str">
        <f>HYPERLINK("http://www.rosaceae.org/gb/gbrowse/malus_x_domestica/?name=MDP0000589422","MDP0000589422")</f>
        <v>MDP0000589422</v>
      </c>
      <c r="D20100">
        <v>36.86</v>
      </c>
      <c r="E20100">
        <v>255</v>
      </c>
      <c r="F20100">
        <v>161</v>
      </c>
      <c r="G20100">
        <v>64</v>
      </c>
      <c r="H20100">
        <v>14</v>
      </c>
      <c r="I20100">
        <v>211</v>
      </c>
      <c r="J20100">
        <v>1</v>
      </c>
      <c r="K20100">
        <v>12</v>
      </c>
      <c r="L20100">
        <v>259</v>
      </c>
      <c r="M20100">
        <v>1</v>
      </c>
      <c r="N20100">
        <v>3.7603500000000001E-28</v>
      </c>
      <c r="O20100">
        <v>307</v>
      </c>
    </row>
    <row r="20101" spans="1:15" x14ac:dyDescent="0.25">
      <c r="A20101" t="s">
        <v>20114</v>
      </c>
      <c r="B20101">
        <v>430</v>
      </c>
      <c r="C20101" s="1" t="str">
        <f>HYPERLINK("http://www.rosaceae.org/gb/gbrowse/malus_x_domestica/?name=MDP0000299496","MDP0000299496")</f>
        <v>MDP0000299496</v>
      </c>
      <c r="D20101">
        <v>32.020000000000003</v>
      </c>
      <c r="E20101">
        <v>153</v>
      </c>
      <c r="F20101">
        <v>104</v>
      </c>
      <c r="G20101">
        <v>32</v>
      </c>
      <c r="H20101">
        <v>7</v>
      </c>
      <c r="I20101">
        <v>136</v>
      </c>
      <c r="J20101">
        <v>1</v>
      </c>
      <c r="K20101">
        <v>457</v>
      </c>
      <c r="L20101">
        <v>600</v>
      </c>
      <c r="M20101">
        <v>1</v>
      </c>
      <c r="N20101">
        <v>1.54792E-14</v>
      </c>
      <c r="O20101">
        <v>191</v>
      </c>
    </row>
    <row r="20102" spans="1:15" x14ac:dyDescent="0.25">
      <c r="A20102" t="s">
        <v>20115</v>
      </c>
      <c r="B20102">
        <v>127</v>
      </c>
      <c r="C20102" s="1" t="str">
        <f>HYPERLINK("http://www.rosaceae.org/gb/gbrowse/malus_x_domestica/?name=MDP0000691215","MDP0000691215")</f>
        <v>MDP0000691215</v>
      </c>
      <c r="D20102">
        <v>99.21</v>
      </c>
      <c r="E20102">
        <v>127</v>
      </c>
      <c r="F20102">
        <v>1</v>
      </c>
      <c r="G20102">
        <v>0</v>
      </c>
      <c r="H20102">
        <v>1</v>
      </c>
      <c r="I20102">
        <v>127</v>
      </c>
      <c r="J20102">
        <v>1</v>
      </c>
      <c r="K20102">
        <v>1</v>
      </c>
      <c r="L20102">
        <v>127</v>
      </c>
      <c r="M20102">
        <v>1</v>
      </c>
      <c r="N20102">
        <v>1.71445E-71</v>
      </c>
      <c r="O20102">
        <v>674</v>
      </c>
    </row>
    <row r="20103" spans="1:15" x14ac:dyDescent="0.25">
      <c r="A20103" t="s">
        <v>20116</v>
      </c>
      <c r="B20103">
        <v>375</v>
      </c>
      <c r="C20103" s="1" t="str">
        <f>HYPERLINK("http://www.rosaceae.org/gb/gbrowse/malus_x_domestica/?name=MDP0000201897","MDP0000201897")</f>
        <v>MDP0000201897</v>
      </c>
      <c r="D20103">
        <v>29.37</v>
      </c>
      <c r="E20103">
        <v>177</v>
      </c>
      <c r="F20103">
        <v>125</v>
      </c>
      <c r="G20103">
        <v>11</v>
      </c>
      <c r="H20103">
        <v>72</v>
      </c>
      <c r="I20103">
        <v>244</v>
      </c>
      <c r="J20103">
        <v>1</v>
      </c>
      <c r="K20103">
        <v>638</v>
      </c>
      <c r="L20103">
        <v>807</v>
      </c>
      <c r="M20103">
        <v>1</v>
      </c>
      <c r="N20103">
        <v>3.0588300000000002E-13</v>
      </c>
      <c r="O20103">
        <v>179</v>
      </c>
    </row>
    <row r="20104" spans="1:15" x14ac:dyDescent="0.25">
      <c r="A20104" t="s">
        <v>20117</v>
      </c>
      <c r="B20104">
        <v>132</v>
      </c>
      <c r="C20104" s="1" t="str">
        <f>HYPERLINK("http://www.rosaceae.org/gb/gbrowse/malus_x_domestica/?name=MDP0000432072","MDP0000432072")</f>
        <v>MDP0000432072</v>
      </c>
      <c r="D20104">
        <v>69.53</v>
      </c>
      <c r="E20104">
        <v>128</v>
      </c>
      <c r="F20104">
        <v>39</v>
      </c>
      <c r="G20104">
        <v>1</v>
      </c>
      <c r="H20104">
        <v>1</v>
      </c>
      <c r="I20104">
        <v>128</v>
      </c>
      <c r="J20104">
        <v>1</v>
      </c>
      <c r="K20104">
        <v>469</v>
      </c>
      <c r="L20104">
        <v>595</v>
      </c>
      <c r="M20104">
        <v>1</v>
      </c>
      <c r="N20104">
        <v>1.3463699999999999E-47</v>
      </c>
      <c r="O20104">
        <v>469</v>
      </c>
    </row>
    <row r="20105" spans="1:15" x14ac:dyDescent="0.25">
      <c r="A20105" t="s">
        <v>20118</v>
      </c>
      <c r="B20105">
        <v>904</v>
      </c>
      <c r="C20105" s="1" t="str">
        <f>HYPERLINK("http://www.rosaceae.org/gb/gbrowse/malus_x_domestica/?name=MDP0000194700","MDP0000194700")</f>
        <v>MDP0000194700</v>
      </c>
      <c r="D20105">
        <v>63.53</v>
      </c>
      <c r="E20105">
        <v>872</v>
      </c>
      <c r="F20105">
        <v>318</v>
      </c>
      <c r="G20105">
        <v>13</v>
      </c>
      <c r="H20105">
        <v>39</v>
      </c>
      <c r="I20105">
        <v>903</v>
      </c>
      <c r="J20105">
        <v>1</v>
      </c>
      <c r="K20105">
        <v>34</v>
      </c>
      <c r="L20105">
        <v>899</v>
      </c>
      <c r="M20105">
        <v>1</v>
      </c>
      <c r="N20105">
        <v>0</v>
      </c>
      <c r="O20105">
        <v>2878</v>
      </c>
    </row>
    <row r="20106" spans="1:15" x14ac:dyDescent="0.25">
      <c r="A20106" t="s">
        <v>20119</v>
      </c>
      <c r="B20106">
        <v>493</v>
      </c>
      <c r="C20106" s="1" t="str">
        <f>HYPERLINK("http://www.rosaceae.org/gb/gbrowse/malus_x_domestica/?name=MDP0000163588","MDP0000163588")</f>
        <v>MDP0000163588</v>
      </c>
      <c r="D20106">
        <v>70.67</v>
      </c>
      <c r="E20106">
        <v>491</v>
      </c>
      <c r="F20106">
        <v>144</v>
      </c>
      <c r="G20106">
        <v>3</v>
      </c>
      <c r="H20106">
        <v>1</v>
      </c>
      <c r="I20106">
        <v>491</v>
      </c>
      <c r="J20106">
        <v>1</v>
      </c>
      <c r="K20106">
        <v>14</v>
      </c>
      <c r="L20106">
        <v>501</v>
      </c>
      <c r="M20106">
        <v>1</v>
      </c>
      <c r="N20106">
        <v>0</v>
      </c>
      <c r="O20106">
        <v>1737</v>
      </c>
    </row>
    <row r="20107" spans="1:15" x14ac:dyDescent="0.25">
      <c r="A20107" t="s">
        <v>20120</v>
      </c>
      <c r="B20107">
        <v>347</v>
      </c>
      <c r="C20107" s="1" t="str">
        <f>HYPERLINK("http://www.rosaceae.org/gb/gbrowse/malus_x_domestica/?name=MDP0000279776","MDP0000279776")</f>
        <v>MDP0000279776</v>
      </c>
      <c r="D20107">
        <v>61.23</v>
      </c>
      <c r="E20107">
        <v>356</v>
      </c>
      <c r="F20107">
        <v>138</v>
      </c>
      <c r="G20107">
        <v>23</v>
      </c>
      <c r="H20107">
        <v>1</v>
      </c>
      <c r="I20107">
        <v>341</v>
      </c>
      <c r="J20107">
        <v>1</v>
      </c>
      <c r="K20107">
        <v>896</v>
      </c>
      <c r="L20107">
        <v>1243</v>
      </c>
      <c r="M20107">
        <v>1</v>
      </c>
      <c r="N20107">
        <v>1.8589199999999999E-114</v>
      </c>
      <c r="O20107">
        <v>1052</v>
      </c>
    </row>
    <row r="20108" spans="1:15" x14ac:dyDescent="0.25">
      <c r="A20108" t="s">
        <v>20121</v>
      </c>
      <c r="B20108">
        <v>695</v>
      </c>
      <c r="C20108" s="1" t="str">
        <f>HYPERLINK("http://www.rosaceae.org/gb/gbrowse/malus_x_domestica/?name=MDP0000188977","MDP0000188977")</f>
        <v>MDP0000188977</v>
      </c>
      <c r="D20108">
        <v>76.319999999999993</v>
      </c>
      <c r="E20108">
        <v>511</v>
      </c>
      <c r="F20108">
        <v>121</v>
      </c>
      <c r="G20108">
        <v>4</v>
      </c>
      <c r="H20108">
        <v>4</v>
      </c>
      <c r="I20108">
        <v>514</v>
      </c>
      <c r="J20108">
        <v>1</v>
      </c>
      <c r="K20108">
        <v>3</v>
      </c>
      <c r="L20108">
        <v>509</v>
      </c>
      <c r="M20108">
        <v>1</v>
      </c>
      <c r="N20108">
        <v>0</v>
      </c>
      <c r="O20108">
        <v>2145</v>
      </c>
    </row>
    <row r="20109" spans="1:15" x14ac:dyDescent="0.25">
      <c r="A20109" t="s">
        <v>20122</v>
      </c>
      <c r="B20109">
        <v>1814</v>
      </c>
      <c r="C20109" s="1" t="str">
        <f>HYPERLINK("http://www.rosaceae.org/gb/gbrowse/malus_x_domestica/?name=MDP0000236138","MDP0000236138")</f>
        <v>MDP0000236138</v>
      </c>
      <c r="D20109">
        <v>62.43</v>
      </c>
      <c r="E20109">
        <v>756</v>
      </c>
      <c r="F20109">
        <v>284</v>
      </c>
      <c r="G20109">
        <v>10</v>
      </c>
      <c r="H20109">
        <v>1063</v>
      </c>
      <c r="I20109">
        <v>1813</v>
      </c>
      <c r="J20109">
        <v>1</v>
      </c>
      <c r="K20109">
        <v>22</v>
      </c>
      <c r="L20109">
        <v>772</v>
      </c>
      <c r="M20109">
        <v>1</v>
      </c>
      <c r="N20109">
        <v>0</v>
      </c>
      <c r="O20109">
        <v>2468</v>
      </c>
    </row>
    <row r="20110" spans="1:15" x14ac:dyDescent="0.25">
      <c r="A20110" t="s">
        <v>20123</v>
      </c>
      <c r="B20110">
        <v>251</v>
      </c>
      <c r="C20110" s="1" t="str">
        <f>HYPERLINK("http://www.rosaceae.org/gb/gbrowse/malus_x_domestica/?name=MDP0000711379","MDP0000711379")</f>
        <v>MDP0000711379</v>
      </c>
      <c r="D20110">
        <v>54.62</v>
      </c>
      <c r="E20110">
        <v>108</v>
      </c>
      <c r="F20110">
        <v>49</v>
      </c>
      <c r="G20110">
        <v>0</v>
      </c>
      <c r="H20110">
        <v>122</v>
      </c>
      <c r="I20110">
        <v>229</v>
      </c>
      <c r="J20110">
        <v>1</v>
      </c>
      <c r="K20110">
        <v>32</v>
      </c>
      <c r="L20110">
        <v>139</v>
      </c>
      <c r="M20110">
        <v>1</v>
      </c>
      <c r="N20110">
        <v>6.9161500000000003E-29</v>
      </c>
      <c r="O20110">
        <v>312</v>
      </c>
    </row>
    <row r="20111" spans="1:15" x14ac:dyDescent="0.25">
      <c r="A20111" t="s">
        <v>20124</v>
      </c>
      <c r="B20111">
        <v>134</v>
      </c>
      <c r="C20111" s="1" t="str">
        <f>HYPERLINK("http://www.rosaceae.org/gb/gbrowse/malus_x_domestica/?name=MDP0000295039","MDP0000295039")</f>
        <v>MDP0000295039</v>
      </c>
      <c r="D20111">
        <v>79.849999999999994</v>
      </c>
      <c r="E20111">
        <v>134</v>
      </c>
      <c r="F20111">
        <v>27</v>
      </c>
      <c r="G20111">
        <v>2</v>
      </c>
      <c r="H20111">
        <v>1</v>
      </c>
      <c r="I20111">
        <v>133</v>
      </c>
      <c r="J20111">
        <v>1</v>
      </c>
      <c r="K20111">
        <v>187</v>
      </c>
      <c r="L20111">
        <v>319</v>
      </c>
      <c r="M20111">
        <v>1</v>
      </c>
      <c r="N20111">
        <v>3.3841600000000002E-58</v>
      </c>
      <c r="O20111">
        <v>560</v>
      </c>
    </row>
    <row r="20112" spans="1:15" x14ac:dyDescent="0.25">
      <c r="A20112" t="s">
        <v>20125</v>
      </c>
      <c r="B20112">
        <v>118</v>
      </c>
      <c r="C20112" s="1" t="str">
        <f>HYPERLINK("http://www.rosaceae.org/gb/gbrowse/malus_x_domestica/?name=MDP0000881503","MDP0000881503")</f>
        <v>MDP0000881503</v>
      </c>
      <c r="D20112">
        <v>54</v>
      </c>
      <c r="E20112">
        <v>100</v>
      </c>
      <c r="F20112">
        <v>46</v>
      </c>
      <c r="G20112">
        <v>6</v>
      </c>
      <c r="H20112">
        <v>22</v>
      </c>
      <c r="I20112">
        <v>116</v>
      </c>
      <c r="J20112">
        <v>1</v>
      </c>
      <c r="K20112">
        <v>23</v>
      </c>
      <c r="L20112">
        <v>121</v>
      </c>
      <c r="M20112">
        <v>1</v>
      </c>
      <c r="N20112">
        <v>6.5471899999999999E-25</v>
      </c>
      <c r="O20112">
        <v>272</v>
      </c>
    </row>
    <row r="20113" spans="1:15" x14ac:dyDescent="0.25">
      <c r="A20113" t="s">
        <v>20126</v>
      </c>
      <c r="B20113">
        <v>164</v>
      </c>
      <c r="C20113" s="1" t="str">
        <f>HYPERLINK("http://www.rosaceae.org/gb/gbrowse/malus_x_domestica/?name=MDP0000124256","MDP0000124256")</f>
        <v>MDP0000124256</v>
      </c>
      <c r="D20113">
        <v>36.799999999999997</v>
      </c>
      <c r="E20113">
        <v>144</v>
      </c>
      <c r="F20113">
        <v>91</v>
      </c>
      <c r="G20113">
        <v>3</v>
      </c>
      <c r="H20113">
        <v>8</v>
      </c>
      <c r="I20113">
        <v>148</v>
      </c>
      <c r="J20113">
        <v>1</v>
      </c>
      <c r="K20113">
        <v>58</v>
      </c>
      <c r="L20113">
        <v>201</v>
      </c>
      <c r="M20113">
        <v>1</v>
      </c>
      <c r="N20113">
        <v>5.7378100000000005E-22</v>
      </c>
      <c r="O20113">
        <v>250</v>
      </c>
    </row>
    <row r="20114" spans="1:15" x14ac:dyDescent="0.25">
      <c r="A20114" t="s">
        <v>20127</v>
      </c>
      <c r="B20114">
        <v>196</v>
      </c>
      <c r="C20114" s="1" t="str">
        <f>HYPERLINK("http://www.rosaceae.org/gb/gbrowse/malus_x_domestica/?name=MDP0000703418","MDP0000703418")</f>
        <v>MDP0000703418</v>
      </c>
      <c r="D20114">
        <v>64.819999999999993</v>
      </c>
      <c r="E20114">
        <v>199</v>
      </c>
      <c r="F20114">
        <v>70</v>
      </c>
      <c r="G20114">
        <v>4</v>
      </c>
      <c r="H20114">
        <v>1</v>
      </c>
      <c r="I20114">
        <v>195</v>
      </c>
      <c r="J20114">
        <v>1</v>
      </c>
      <c r="K20114">
        <v>953</v>
      </c>
      <c r="L20114">
        <v>1151</v>
      </c>
      <c r="M20114">
        <v>1</v>
      </c>
      <c r="N20114">
        <v>2.8761299999999999E-71</v>
      </c>
      <c r="O20114">
        <v>676</v>
      </c>
    </row>
    <row r="20115" spans="1:15" x14ac:dyDescent="0.25">
      <c r="A20115" t="s">
        <v>20128</v>
      </c>
      <c r="B20115">
        <v>382</v>
      </c>
      <c r="C20115" s="1" t="str">
        <f>HYPERLINK("http://www.rosaceae.org/gb/gbrowse/malus_x_domestica/?name=MDP0000756678","MDP0000756678")</f>
        <v>MDP0000756678</v>
      </c>
      <c r="D20115">
        <v>43.13</v>
      </c>
      <c r="E20115">
        <v>415</v>
      </c>
      <c r="F20115">
        <v>236</v>
      </c>
      <c r="G20115">
        <v>75</v>
      </c>
      <c r="H20115">
        <v>2</v>
      </c>
      <c r="I20115">
        <v>357</v>
      </c>
      <c r="J20115">
        <v>1</v>
      </c>
      <c r="K20115">
        <v>3</v>
      </c>
      <c r="L20115">
        <v>401</v>
      </c>
      <c r="M20115">
        <v>1</v>
      </c>
      <c r="N20115">
        <v>9.0614200000000007E-68</v>
      </c>
      <c r="O20115">
        <v>650</v>
      </c>
    </row>
    <row r="20116" spans="1:15" x14ac:dyDescent="0.25">
      <c r="A20116" t="s">
        <v>20129</v>
      </c>
      <c r="B20116">
        <v>1574</v>
      </c>
      <c r="C20116" s="1" t="str">
        <f>HYPERLINK("http://www.rosaceae.org/gb/gbrowse/malus_x_domestica/?name=MDP0000131724","MDP0000131724")</f>
        <v>MDP0000131724</v>
      </c>
      <c r="D20116">
        <v>64.069999999999993</v>
      </c>
      <c r="E20116">
        <v>1631</v>
      </c>
      <c r="F20116">
        <v>586</v>
      </c>
      <c r="G20116">
        <v>123</v>
      </c>
      <c r="H20116">
        <v>1</v>
      </c>
      <c r="I20116">
        <v>1569</v>
      </c>
      <c r="J20116">
        <v>1</v>
      </c>
      <c r="K20116">
        <v>1</v>
      </c>
      <c r="L20116">
        <v>1570</v>
      </c>
      <c r="M20116">
        <v>1</v>
      </c>
      <c r="N20116">
        <v>0</v>
      </c>
      <c r="O20116">
        <v>5071</v>
      </c>
    </row>
    <row r="20117" spans="1:15" x14ac:dyDescent="0.25">
      <c r="A20117" t="s">
        <v>20130</v>
      </c>
      <c r="B20117">
        <v>151</v>
      </c>
      <c r="C20117" s="1" t="str">
        <f>HYPERLINK("http://www.rosaceae.org/gb/gbrowse/malus_x_domestica/?name=MDP0000459932","MDP0000459932")</f>
        <v>MDP0000459932</v>
      </c>
      <c r="D20117">
        <v>39.39</v>
      </c>
      <c r="E20117">
        <v>132</v>
      </c>
      <c r="F20117">
        <v>80</v>
      </c>
      <c r="G20117">
        <v>37</v>
      </c>
      <c r="H20117">
        <v>26</v>
      </c>
      <c r="I20117">
        <v>120</v>
      </c>
      <c r="J20117">
        <v>1</v>
      </c>
      <c r="K20117">
        <v>65</v>
      </c>
      <c r="L20117">
        <v>196</v>
      </c>
      <c r="M20117">
        <v>1</v>
      </c>
      <c r="N20117">
        <v>1.77994E-22</v>
      </c>
      <c r="O20117">
        <v>253</v>
      </c>
    </row>
    <row r="20118" spans="1:15" x14ac:dyDescent="0.25">
      <c r="A20118" t="s">
        <v>20131</v>
      </c>
      <c r="B20118">
        <v>500</v>
      </c>
      <c r="C20118" s="1" t="str">
        <f>HYPERLINK("http://www.rosaceae.org/gb/gbrowse/malus_x_domestica/?name=MDP0000171877","MDP0000171877")</f>
        <v>MDP0000171877</v>
      </c>
      <c r="D20118">
        <v>62.27</v>
      </c>
      <c r="E20118">
        <v>509</v>
      </c>
      <c r="F20118">
        <v>192</v>
      </c>
      <c r="G20118">
        <v>19</v>
      </c>
      <c r="H20118">
        <v>1</v>
      </c>
      <c r="I20118">
        <v>498</v>
      </c>
      <c r="J20118">
        <v>1</v>
      </c>
      <c r="K20118">
        <v>1</v>
      </c>
      <c r="L20118">
        <v>501</v>
      </c>
      <c r="M20118">
        <v>1</v>
      </c>
      <c r="N20118">
        <v>3.21258E-170</v>
      </c>
      <c r="O20118">
        <v>1534</v>
      </c>
    </row>
    <row r="20119" spans="1:15" x14ac:dyDescent="0.25">
      <c r="A20119" t="s">
        <v>20132</v>
      </c>
      <c r="B20119">
        <v>176</v>
      </c>
      <c r="C20119" s="1" t="str">
        <f>HYPERLINK("http://www.rosaceae.org/gb/gbrowse/malus_x_domestica/?name=MDP0000199309","MDP0000199309")</f>
        <v>MDP0000199309</v>
      </c>
      <c r="D20119">
        <v>65.73</v>
      </c>
      <c r="E20119">
        <v>178</v>
      </c>
      <c r="F20119">
        <v>61</v>
      </c>
      <c r="G20119">
        <v>4</v>
      </c>
      <c r="H20119">
        <v>1</v>
      </c>
      <c r="I20119">
        <v>176</v>
      </c>
      <c r="J20119">
        <v>1</v>
      </c>
      <c r="K20119">
        <v>127</v>
      </c>
      <c r="L20119">
        <v>302</v>
      </c>
      <c r="M20119">
        <v>1</v>
      </c>
      <c r="N20119">
        <v>3.94879E-60</v>
      </c>
      <c r="O20119">
        <v>579</v>
      </c>
    </row>
    <row r="20120" spans="1:15" x14ac:dyDescent="0.25">
      <c r="A20120" t="s">
        <v>20133</v>
      </c>
      <c r="B20120">
        <v>647</v>
      </c>
      <c r="C20120" s="1" t="str">
        <f>HYPERLINK("http://www.rosaceae.org/gb/gbrowse/malus_x_domestica/?name=MDP0000240122","MDP0000240122")</f>
        <v>MDP0000240122</v>
      </c>
      <c r="D20120">
        <v>50</v>
      </c>
      <c r="E20120">
        <v>80</v>
      </c>
      <c r="F20120">
        <v>40</v>
      </c>
      <c r="G20120">
        <v>8</v>
      </c>
      <c r="H20120">
        <v>49</v>
      </c>
      <c r="I20120">
        <v>121</v>
      </c>
      <c r="J20120">
        <v>1</v>
      </c>
      <c r="K20120">
        <v>283</v>
      </c>
      <c r="L20120">
        <v>361</v>
      </c>
      <c r="M20120">
        <v>1</v>
      </c>
      <c r="N20120">
        <v>2.9121199999999998E-14</v>
      </c>
      <c r="O20120">
        <v>191</v>
      </c>
    </row>
    <row r="20121" spans="1:15" x14ac:dyDescent="0.25">
      <c r="A20121" t="s">
        <v>20134</v>
      </c>
      <c r="B20121">
        <v>332</v>
      </c>
      <c r="C20121" s="1" t="str">
        <f>HYPERLINK("http://www.rosaceae.org/gb/gbrowse/malus_x_domestica/?name=MDP0000265359","MDP0000265359")</f>
        <v>MDP0000265359</v>
      </c>
      <c r="D20121">
        <v>50.98</v>
      </c>
      <c r="E20121">
        <v>51</v>
      </c>
      <c r="F20121">
        <v>25</v>
      </c>
      <c r="G20121">
        <v>0</v>
      </c>
      <c r="H20121">
        <v>50</v>
      </c>
      <c r="I20121">
        <v>100</v>
      </c>
      <c r="J20121">
        <v>1</v>
      </c>
      <c r="K20121">
        <v>8</v>
      </c>
      <c r="L20121">
        <v>58</v>
      </c>
      <c r="M20121">
        <v>1</v>
      </c>
      <c r="N20121">
        <v>4.9348199999999997E-9</v>
      </c>
      <c r="O20121">
        <v>142</v>
      </c>
    </row>
    <row r="20122" spans="1:15" x14ac:dyDescent="0.25">
      <c r="A20122" t="s">
        <v>20135</v>
      </c>
      <c r="B20122">
        <v>336</v>
      </c>
      <c r="C20122" s="1" t="str">
        <f>HYPERLINK("http://www.rosaceae.org/gb/gbrowse/malus_x_domestica/?name=MDP0000230224","MDP0000230224")</f>
        <v>MDP0000230224</v>
      </c>
      <c r="D20122">
        <v>81.66</v>
      </c>
      <c r="E20122">
        <v>349</v>
      </c>
      <c r="F20122">
        <v>64</v>
      </c>
      <c r="G20122">
        <v>13</v>
      </c>
      <c r="H20122">
        <v>1</v>
      </c>
      <c r="I20122">
        <v>336</v>
      </c>
      <c r="J20122">
        <v>1</v>
      </c>
      <c r="K20122">
        <v>1</v>
      </c>
      <c r="L20122">
        <v>349</v>
      </c>
      <c r="M20122">
        <v>1</v>
      </c>
      <c r="N20122">
        <v>5.8113300000000001E-167</v>
      </c>
      <c r="O20122">
        <v>1504</v>
      </c>
    </row>
    <row r="20123" spans="1:15" x14ac:dyDescent="0.25">
      <c r="A20123" t="s">
        <v>20136</v>
      </c>
      <c r="B20123">
        <v>420</v>
      </c>
      <c r="C20123" s="1" t="str">
        <f>HYPERLINK("http://www.rosaceae.org/gb/gbrowse/malus_x_domestica/?name=MDP0000275193","MDP0000275193")</f>
        <v>MDP0000275193</v>
      </c>
      <c r="D20123">
        <v>36.18</v>
      </c>
      <c r="E20123">
        <v>456</v>
      </c>
      <c r="F20123">
        <v>291</v>
      </c>
      <c r="G20123">
        <v>51</v>
      </c>
      <c r="H20123">
        <v>8</v>
      </c>
      <c r="I20123">
        <v>418</v>
      </c>
      <c r="J20123">
        <v>1</v>
      </c>
      <c r="K20123">
        <v>60</v>
      </c>
      <c r="L20123">
        <v>509</v>
      </c>
      <c r="M20123">
        <v>1</v>
      </c>
      <c r="N20123">
        <v>1.22285E-57</v>
      </c>
      <c r="O20123">
        <v>563</v>
      </c>
    </row>
    <row r="20124" spans="1:15" x14ac:dyDescent="0.25">
      <c r="A20124" t="s">
        <v>20137</v>
      </c>
      <c r="B20124">
        <v>130</v>
      </c>
      <c r="C20124" s="1" t="str">
        <f>HYPERLINK("http://www.rosaceae.org/gb/gbrowse/malus_x_domestica/?name=MDP0000155887","MDP0000155887")</f>
        <v>MDP0000155887</v>
      </c>
      <c r="D20124">
        <v>83.52</v>
      </c>
      <c r="E20124">
        <v>85</v>
      </c>
      <c r="F20124">
        <v>14</v>
      </c>
      <c r="G20124">
        <v>0</v>
      </c>
      <c r="H20124">
        <v>46</v>
      </c>
      <c r="I20124">
        <v>130</v>
      </c>
      <c r="J20124">
        <v>1</v>
      </c>
      <c r="K20124">
        <v>68</v>
      </c>
      <c r="L20124">
        <v>152</v>
      </c>
      <c r="M20124">
        <v>1</v>
      </c>
      <c r="N20124">
        <v>2.1081300000000001E-37</v>
      </c>
      <c r="O20124">
        <v>381</v>
      </c>
    </row>
    <row r="20125" spans="1:15" x14ac:dyDescent="0.25">
      <c r="A20125" t="s">
        <v>20138</v>
      </c>
      <c r="B20125">
        <v>180</v>
      </c>
      <c r="C20125" s="1" t="str">
        <f>HYPERLINK("http://www.rosaceae.org/gb/gbrowse/malus_x_domestica/?name=MDP0000153963","MDP0000153963")</f>
        <v>MDP0000153963</v>
      </c>
      <c r="D20125">
        <v>89.82</v>
      </c>
      <c r="E20125">
        <v>167</v>
      </c>
      <c r="F20125">
        <v>17</v>
      </c>
      <c r="G20125">
        <v>1</v>
      </c>
      <c r="H20125">
        <v>15</v>
      </c>
      <c r="I20125">
        <v>180</v>
      </c>
      <c r="J20125">
        <v>1</v>
      </c>
      <c r="K20125">
        <v>101</v>
      </c>
      <c r="L20125">
        <v>267</v>
      </c>
      <c r="M20125">
        <v>1</v>
      </c>
      <c r="N20125">
        <v>1.6876699999999999E-83</v>
      </c>
      <c r="O20125">
        <v>781</v>
      </c>
    </row>
    <row r="20126" spans="1:15" x14ac:dyDescent="0.25">
      <c r="A20126" t="s">
        <v>20139</v>
      </c>
      <c r="B20126">
        <v>724</v>
      </c>
      <c r="C20126" s="1" t="str">
        <f>HYPERLINK("http://www.rosaceae.org/gb/gbrowse/malus_x_domestica/?name=MDP0000143472","MDP0000143472")</f>
        <v>MDP0000143472</v>
      </c>
      <c r="D20126">
        <v>68.81</v>
      </c>
      <c r="E20126">
        <v>279</v>
      </c>
      <c r="F20126">
        <v>87</v>
      </c>
      <c r="G20126">
        <v>1</v>
      </c>
      <c r="H20126">
        <v>57</v>
      </c>
      <c r="I20126">
        <v>335</v>
      </c>
      <c r="J20126">
        <v>1</v>
      </c>
      <c r="K20126">
        <v>33</v>
      </c>
      <c r="L20126">
        <v>310</v>
      </c>
      <c r="M20126">
        <v>1</v>
      </c>
      <c r="N20126">
        <v>1.0201000000000001E-104</v>
      </c>
      <c r="O20126">
        <v>971</v>
      </c>
    </row>
    <row r="20127" spans="1:15" x14ac:dyDescent="0.25">
      <c r="A20127" t="s">
        <v>20140</v>
      </c>
      <c r="B20127">
        <v>261</v>
      </c>
      <c r="C20127" s="1" t="str">
        <f>HYPERLINK("http://www.rosaceae.org/gb/gbrowse/malus_x_domestica/?name=MDP0000320415","MDP0000320415")</f>
        <v>MDP0000320415</v>
      </c>
      <c r="D20127">
        <v>53.38</v>
      </c>
      <c r="E20127">
        <v>133</v>
      </c>
      <c r="F20127">
        <v>62</v>
      </c>
      <c r="G20127">
        <v>7</v>
      </c>
      <c r="H20127">
        <v>132</v>
      </c>
      <c r="I20127">
        <v>258</v>
      </c>
      <c r="J20127">
        <v>1</v>
      </c>
      <c r="K20127">
        <v>197</v>
      </c>
      <c r="L20127">
        <v>328</v>
      </c>
      <c r="M20127">
        <v>1</v>
      </c>
      <c r="N20127">
        <v>5.1546900000000001E-28</v>
      </c>
      <c r="O20127">
        <v>305</v>
      </c>
    </row>
    <row r="20128" spans="1:15" x14ac:dyDescent="0.25">
      <c r="A20128" t="s">
        <v>20141</v>
      </c>
      <c r="B20128">
        <v>265</v>
      </c>
      <c r="C20128" s="1" t="str">
        <f>HYPERLINK("http://www.rosaceae.org/gb/gbrowse/malus_x_domestica/?name=MDP0000138737","MDP0000138737")</f>
        <v>MDP0000138737</v>
      </c>
      <c r="D20128">
        <v>64.040000000000006</v>
      </c>
      <c r="E20128">
        <v>267</v>
      </c>
      <c r="F20128">
        <v>96</v>
      </c>
      <c r="G20128">
        <v>41</v>
      </c>
      <c r="H20128">
        <v>1</v>
      </c>
      <c r="I20128">
        <v>261</v>
      </c>
      <c r="J20128">
        <v>1</v>
      </c>
      <c r="K20128">
        <v>1</v>
      </c>
      <c r="L20128">
        <v>232</v>
      </c>
      <c r="M20128">
        <v>1</v>
      </c>
      <c r="N20128">
        <v>1.5723699999999999E-88</v>
      </c>
      <c r="O20128">
        <v>827</v>
      </c>
    </row>
    <row r="20129" spans="1:15" x14ac:dyDescent="0.25">
      <c r="A20129" t="s">
        <v>20142</v>
      </c>
      <c r="B20129">
        <v>1388</v>
      </c>
      <c r="C20129" s="1" t="str">
        <f>HYPERLINK("http://www.rosaceae.org/gb/gbrowse/malus_x_domestica/?name=MDP0000212123","MDP0000212123")</f>
        <v>MDP0000212123</v>
      </c>
      <c r="D20129">
        <v>68.459999999999994</v>
      </c>
      <c r="E20129">
        <v>1519</v>
      </c>
      <c r="F20129">
        <v>479</v>
      </c>
      <c r="G20129">
        <v>238</v>
      </c>
      <c r="H20129">
        <v>1</v>
      </c>
      <c r="I20129">
        <v>1388</v>
      </c>
      <c r="J20129">
        <v>1</v>
      </c>
      <c r="K20129">
        <v>1</v>
      </c>
      <c r="L20129">
        <v>1412</v>
      </c>
      <c r="M20129">
        <v>1</v>
      </c>
      <c r="N20129">
        <v>0</v>
      </c>
      <c r="O20129">
        <v>5100</v>
      </c>
    </row>
    <row r="20130" spans="1:15" x14ac:dyDescent="0.25">
      <c r="A20130" t="s">
        <v>20143</v>
      </c>
      <c r="B20130">
        <v>259</v>
      </c>
      <c r="C20130" s="1" t="str">
        <f>HYPERLINK("http://www.rosaceae.org/gb/gbrowse/malus_x_domestica/?name=MDP0000230088","MDP0000230088")</f>
        <v>MDP0000230088</v>
      </c>
      <c r="D20130">
        <v>49.44</v>
      </c>
      <c r="E20130">
        <v>271</v>
      </c>
      <c r="F20130">
        <v>137</v>
      </c>
      <c r="G20130">
        <v>36</v>
      </c>
      <c r="H20130">
        <v>24</v>
      </c>
      <c r="I20130">
        <v>259</v>
      </c>
      <c r="J20130">
        <v>1</v>
      </c>
      <c r="K20130">
        <v>773</v>
      </c>
      <c r="L20130">
        <v>1042</v>
      </c>
      <c r="M20130">
        <v>1</v>
      </c>
      <c r="N20130">
        <v>4.8470100000000001E-53</v>
      </c>
      <c r="O20130">
        <v>521</v>
      </c>
    </row>
    <row r="20131" spans="1:15" x14ac:dyDescent="0.25">
      <c r="A20131" t="s">
        <v>20144</v>
      </c>
      <c r="B20131">
        <v>108</v>
      </c>
      <c r="C20131" s="1" t="str">
        <f>HYPERLINK("http://www.rosaceae.org/gb/gbrowse/malus_x_domestica/?name=MDP0000295452","MDP0000295452")</f>
        <v>MDP0000295452</v>
      </c>
      <c r="D20131">
        <v>35.06</v>
      </c>
      <c r="E20131">
        <v>154</v>
      </c>
      <c r="F20131">
        <v>100</v>
      </c>
      <c r="G20131">
        <v>50</v>
      </c>
      <c r="H20131">
        <v>1</v>
      </c>
      <c r="I20131">
        <v>106</v>
      </c>
      <c r="J20131">
        <v>1</v>
      </c>
      <c r="K20131">
        <v>437</v>
      </c>
      <c r="L20131">
        <v>588</v>
      </c>
      <c r="M20131">
        <v>1</v>
      </c>
      <c r="N20131">
        <v>3.1719499999999999E-18</v>
      </c>
      <c r="O20131">
        <v>215</v>
      </c>
    </row>
    <row r="20132" spans="1:15" x14ac:dyDescent="0.25">
      <c r="A20132" t="s">
        <v>20145</v>
      </c>
      <c r="B20132">
        <v>289</v>
      </c>
      <c r="C20132" s="1" t="str">
        <f>HYPERLINK("http://www.rosaceae.org/gb/gbrowse/malus_x_domestica/?name=MDP0000609623","MDP0000609623")</f>
        <v>MDP0000609623</v>
      </c>
      <c r="D20132">
        <v>74.52</v>
      </c>
      <c r="E20132">
        <v>157</v>
      </c>
      <c r="F20132">
        <v>40</v>
      </c>
      <c r="G20132">
        <v>0</v>
      </c>
      <c r="H20132">
        <v>124</v>
      </c>
      <c r="I20132">
        <v>280</v>
      </c>
      <c r="J20132">
        <v>1</v>
      </c>
      <c r="K20132">
        <v>1</v>
      </c>
      <c r="L20132">
        <v>157</v>
      </c>
      <c r="M20132">
        <v>1</v>
      </c>
      <c r="N20132">
        <v>2.4095199999999998E-68</v>
      </c>
      <c r="O20132">
        <v>653</v>
      </c>
    </row>
    <row r="20133" spans="1:15" x14ac:dyDescent="0.25">
      <c r="A20133" t="s">
        <v>20146</v>
      </c>
      <c r="B20133">
        <v>404</v>
      </c>
      <c r="C20133" s="1" t="str">
        <f>HYPERLINK("http://www.rosaceae.org/gb/gbrowse/malus_x_domestica/?name=MDP0000161757","MDP0000161757")</f>
        <v>MDP0000161757</v>
      </c>
      <c r="D20133">
        <v>63.32</v>
      </c>
      <c r="E20133">
        <v>379</v>
      </c>
      <c r="F20133">
        <v>139</v>
      </c>
      <c r="G20133">
        <v>35</v>
      </c>
      <c r="H20133">
        <v>5</v>
      </c>
      <c r="I20133">
        <v>348</v>
      </c>
      <c r="J20133">
        <v>1</v>
      </c>
      <c r="K20133">
        <v>7</v>
      </c>
      <c r="L20133">
        <v>385</v>
      </c>
      <c r="M20133">
        <v>1</v>
      </c>
      <c r="N20133">
        <v>4.0076700000000001E-128</v>
      </c>
      <c r="O20133">
        <v>1170</v>
      </c>
    </row>
    <row r="20134" spans="1:15" x14ac:dyDescent="0.25">
      <c r="A20134" t="s">
        <v>20147</v>
      </c>
      <c r="B20134">
        <v>314</v>
      </c>
      <c r="C20134" s="1" t="str">
        <f>HYPERLINK("http://www.rosaceae.org/gb/gbrowse/malus_x_domestica/?name=MDP0000340653","MDP0000340653")</f>
        <v>MDP0000340653</v>
      </c>
      <c r="D20134">
        <v>83.09</v>
      </c>
      <c r="E20134">
        <v>284</v>
      </c>
      <c r="F20134">
        <v>48</v>
      </c>
      <c r="G20134">
        <v>0</v>
      </c>
      <c r="H20134">
        <v>21</v>
      </c>
      <c r="I20134">
        <v>304</v>
      </c>
      <c r="J20134">
        <v>1</v>
      </c>
      <c r="K20134">
        <v>16</v>
      </c>
      <c r="L20134">
        <v>299</v>
      </c>
      <c r="M20134">
        <v>1</v>
      </c>
      <c r="N20134">
        <v>4.7122199999999998E-144</v>
      </c>
      <c r="O20134">
        <v>1307</v>
      </c>
    </row>
    <row r="20135" spans="1:15" x14ac:dyDescent="0.25">
      <c r="A20135" t="s">
        <v>20148</v>
      </c>
      <c r="B20135">
        <v>432</v>
      </c>
      <c r="C20135" s="1" t="str">
        <f>HYPERLINK("http://www.rosaceae.org/gb/gbrowse/malus_x_domestica/?name=MDP0000456232","MDP0000456232")</f>
        <v>MDP0000456232</v>
      </c>
      <c r="D20135">
        <v>44.14</v>
      </c>
      <c r="E20135">
        <v>410</v>
      </c>
      <c r="F20135">
        <v>229</v>
      </c>
      <c r="G20135">
        <v>69</v>
      </c>
      <c r="H20135">
        <v>5</v>
      </c>
      <c r="I20135">
        <v>386</v>
      </c>
      <c r="J20135">
        <v>1</v>
      </c>
      <c r="K20135">
        <v>4</v>
      </c>
      <c r="L20135">
        <v>372</v>
      </c>
      <c r="M20135">
        <v>1</v>
      </c>
      <c r="N20135">
        <v>1.2739300000000001E-74</v>
      </c>
      <c r="O20135">
        <v>709</v>
      </c>
    </row>
    <row r="20136" spans="1:15" x14ac:dyDescent="0.25">
      <c r="A20136" t="s">
        <v>20149</v>
      </c>
      <c r="B20136">
        <v>254</v>
      </c>
      <c r="C20136" s="1" t="str">
        <f>HYPERLINK("http://www.rosaceae.org/gb/gbrowse/malus_x_domestica/?name=MDP0000136671","MDP0000136671")</f>
        <v>MDP0000136671</v>
      </c>
      <c r="D20136">
        <v>38.29</v>
      </c>
      <c r="E20136">
        <v>282</v>
      </c>
      <c r="F20136">
        <v>174</v>
      </c>
      <c r="G20136">
        <v>38</v>
      </c>
      <c r="H20136">
        <v>4</v>
      </c>
      <c r="I20136">
        <v>251</v>
      </c>
      <c r="J20136">
        <v>1</v>
      </c>
      <c r="K20136">
        <v>6</v>
      </c>
      <c r="L20136">
        <v>283</v>
      </c>
      <c r="M20136">
        <v>1</v>
      </c>
      <c r="N20136">
        <v>9.5642500000000002E-44</v>
      </c>
      <c r="O20136">
        <v>440</v>
      </c>
    </row>
    <row r="20137" spans="1:15" x14ac:dyDescent="0.25">
      <c r="A20137" t="s">
        <v>20150</v>
      </c>
      <c r="B20137">
        <v>164</v>
      </c>
      <c r="C20137" s="1" t="str">
        <f>HYPERLINK("http://www.rosaceae.org/gb/gbrowse/malus_x_domestica/?name=MDP0000203122","MDP0000203122")</f>
        <v>MDP0000203122</v>
      </c>
      <c r="D20137">
        <v>53.19</v>
      </c>
      <c r="E20137">
        <v>47</v>
      </c>
      <c r="F20137">
        <v>22</v>
      </c>
      <c r="G20137">
        <v>0</v>
      </c>
      <c r="H20137">
        <v>29</v>
      </c>
      <c r="I20137">
        <v>75</v>
      </c>
      <c r="J20137">
        <v>1</v>
      </c>
      <c r="K20137">
        <v>111</v>
      </c>
      <c r="L20137">
        <v>157</v>
      </c>
      <c r="M20137">
        <v>1</v>
      </c>
      <c r="N20137">
        <v>9.0403500000000006E-8</v>
      </c>
      <c r="O20137">
        <v>127</v>
      </c>
    </row>
    <row r="20138" spans="1:15" x14ac:dyDescent="0.25">
      <c r="A20138" t="s">
        <v>20151</v>
      </c>
      <c r="B20138">
        <v>114</v>
      </c>
      <c r="C20138" s="1" t="str">
        <f>HYPERLINK("http://www.rosaceae.org/gb/gbrowse/malus_x_domestica/?name=MDP0000319679","MDP0000319679")</f>
        <v>MDP0000319679</v>
      </c>
      <c r="D20138">
        <v>75.47</v>
      </c>
      <c r="E20138">
        <v>106</v>
      </c>
      <c r="F20138">
        <v>26</v>
      </c>
      <c r="G20138">
        <v>2</v>
      </c>
      <c r="H20138">
        <v>11</v>
      </c>
      <c r="I20138">
        <v>114</v>
      </c>
      <c r="J20138">
        <v>1</v>
      </c>
      <c r="K20138">
        <v>10</v>
      </c>
      <c r="L20138">
        <v>115</v>
      </c>
      <c r="M20138">
        <v>1</v>
      </c>
      <c r="N20138">
        <v>9.78648E-39</v>
      </c>
      <c r="O20138">
        <v>391</v>
      </c>
    </row>
    <row r="20139" spans="1:15" x14ac:dyDescent="0.25">
      <c r="A20139" t="s">
        <v>20152</v>
      </c>
      <c r="B20139">
        <v>671</v>
      </c>
      <c r="C20139" s="1" t="str">
        <f>HYPERLINK("http://www.rosaceae.org/gb/gbrowse/malus_x_domestica/?name=MDP0000201986","MDP0000201986")</f>
        <v>MDP0000201986</v>
      </c>
      <c r="D20139">
        <v>80.45</v>
      </c>
      <c r="E20139">
        <v>481</v>
      </c>
      <c r="F20139">
        <v>94</v>
      </c>
      <c r="G20139">
        <v>5</v>
      </c>
      <c r="H20139">
        <v>1</v>
      </c>
      <c r="I20139">
        <v>477</v>
      </c>
      <c r="J20139">
        <v>1</v>
      </c>
      <c r="K20139">
        <v>1</v>
      </c>
      <c r="L20139">
        <v>480</v>
      </c>
      <c r="M20139">
        <v>1</v>
      </c>
      <c r="N20139">
        <v>0</v>
      </c>
      <c r="O20139">
        <v>2094</v>
      </c>
    </row>
    <row r="20140" spans="1:15" x14ac:dyDescent="0.25">
      <c r="A20140" t="s">
        <v>20153</v>
      </c>
      <c r="B20140">
        <v>486</v>
      </c>
      <c r="C20140" s="1" t="str">
        <f>HYPERLINK("http://www.rosaceae.org/gb/gbrowse/malus_x_domestica/?name=MDP0000206190","MDP0000206190")</f>
        <v>MDP0000206190</v>
      </c>
      <c r="D20140">
        <v>73.55</v>
      </c>
      <c r="E20140">
        <v>484</v>
      </c>
      <c r="F20140">
        <v>128</v>
      </c>
      <c r="G20140">
        <v>1</v>
      </c>
      <c r="H20140">
        <v>4</v>
      </c>
      <c r="I20140">
        <v>486</v>
      </c>
      <c r="J20140">
        <v>1</v>
      </c>
      <c r="K20140">
        <v>91</v>
      </c>
      <c r="L20140">
        <v>574</v>
      </c>
      <c r="M20140">
        <v>1</v>
      </c>
      <c r="N20140">
        <v>0</v>
      </c>
      <c r="O20140">
        <v>1875</v>
      </c>
    </row>
    <row r="20141" spans="1:15" x14ac:dyDescent="0.25">
      <c r="A20141" t="s">
        <v>20154</v>
      </c>
      <c r="B20141">
        <v>122</v>
      </c>
      <c r="C20141" s="1" t="str">
        <f>HYPERLINK("http://www.rosaceae.org/gb/gbrowse/malus_x_domestica/?name=MDP0000306486","MDP0000306486")</f>
        <v>MDP0000306486</v>
      </c>
      <c r="D20141">
        <v>53.33</v>
      </c>
      <c r="E20141">
        <v>120</v>
      </c>
      <c r="F20141">
        <v>56</v>
      </c>
      <c r="G20141">
        <v>1</v>
      </c>
      <c r="H20141">
        <v>1</v>
      </c>
      <c r="I20141">
        <v>119</v>
      </c>
      <c r="J20141">
        <v>1</v>
      </c>
      <c r="K20141">
        <v>1</v>
      </c>
      <c r="L20141">
        <v>120</v>
      </c>
      <c r="M20141">
        <v>1</v>
      </c>
      <c r="N20141">
        <v>2.4924499999999999E-30</v>
      </c>
      <c r="O20141">
        <v>319</v>
      </c>
    </row>
    <row r="20142" spans="1:15" x14ac:dyDescent="0.25">
      <c r="A20142" t="s">
        <v>20155</v>
      </c>
      <c r="B20142">
        <v>494</v>
      </c>
      <c r="C20142" s="1" t="str">
        <f>HYPERLINK("http://www.rosaceae.org/gb/gbrowse/malus_x_domestica/?name=MDP0000206106","MDP0000206106")</f>
        <v>MDP0000206106</v>
      </c>
      <c r="D20142">
        <v>39.75</v>
      </c>
      <c r="E20142">
        <v>332</v>
      </c>
      <c r="F20142">
        <v>200</v>
      </c>
      <c r="G20142">
        <v>41</v>
      </c>
      <c r="H20142">
        <v>9</v>
      </c>
      <c r="I20142">
        <v>331</v>
      </c>
      <c r="J20142">
        <v>1</v>
      </c>
      <c r="K20142">
        <v>9</v>
      </c>
      <c r="L20142">
        <v>308</v>
      </c>
      <c r="M20142">
        <v>1</v>
      </c>
      <c r="N20142">
        <v>1.7253299999999999E-45</v>
      </c>
      <c r="O20142">
        <v>459</v>
      </c>
    </row>
    <row r="20143" spans="1:15" x14ac:dyDescent="0.25">
      <c r="A20143" t="s">
        <v>20156</v>
      </c>
      <c r="B20143">
        <v>195</v>
      </c>
      <c r="C20143" s="1" t="str">
        <f>HYPERLINK("http://www.rosaceae.org/gb/gbrowse/malus_x_domestica/?name=MDP0000164511","MDP0000164511")</f>
        <v>MDP0000164511</v>
      </c>
      <c r="D20143">
        <v>66.66</v>
      </c>
      <c r="E20143">
        <v>195</v>
      </c>
      <c r="F20143">
        <v>65</v>
      </c>
      <c r="G20143">
        <v>4</v>
      </c>
      <c r="H20143">
        <v>1</v>
      </c>
      <c r="I20143">
        <v>195</v>
      </c>
      <c r="J20143">
        <v>1</v>
      </c>
      <c r="K20143">
        <v>1</v>
      </c>
      <c r="L20143">
        <v>191</v>
      </c>
      <c r="M20143">
        <v>1</v>
      </c>
      <c r="N20143">
        <v>1.2074600000000001E-65</v>
      </c>
      <c r="O20143">
        <v>627</v>
      </c>
    </row>
    <row r="20144" spans="1:15" x14ac:dyDescent="0.25">
      <c r="A20144" t="s">
        <v>20157</v>
      </c>
      <c r="B20144">
        <v>295</v>
      </c>
      <c r="C20144" s="1" t="str">
        <f>HYPERLINK("http://www.rosaceae.org/gb/gbrowse/malus_x_domestica/?name=MDP0000311908","MDP0000311908")</f>
        <v>MDP0000311908</v>
      </c>
      <c r="D20144">
        <v>77.7</v>
      </c>
      <c r="E20144">
        <v>296</v>
      </c>
      <c r="F20144">
        <v>66</v>
      </c>
      <c r="G20144">
        <v>4</v>
      </c>
      <c r="H20144">
        <v>1</v>
      </c>
      <c r="I20144">
        <v>292</v>
      </c>
      <c r="J20144">
        <v>1</v>
      </c>
      <c r="K20144">
        <v>595</v>
      </c>
      <c r="L20144">
        <v>890</v>
      </c>
      <c r="M20144">
        <v>1</v>
      </c>
      <c r="N20144">
        <v>8.4580599999999995E-132</v>
      </c>
      <c r="O20144">
        <v>1200</v>
      </c>
    </row>
    <row r="20145" spans="1:15" x14ac:dyDescent="0.25">
      <c r="A20145" t="s">
        <v>20158</v>
      </c>
      <c r="B20145">
        <v>612</v>
      </c>
      <c r="C20145" s="1" t="str">
        <f>HYPERLINK("http://www.rosaceae.org/gb/gbrowse/malus_x_domestica/?name=MDP0000242575","MDP0000242575")</f>
        <v>MDP0000242575</v>
      </c>
      <c r="D20145">
        <v>56.62</v>
      </c>
      <c r="E20145">
        <v>604</v>
      </c>
      <c r="F20145">
        <v>262</v>
      </c>
      <c r="G20145">
        <v>25</v>
      </c>
      <c r="H20145">
        <v>5</v>
      </c>
      <c r="I20145">
        <v>592</v>
      </c>
      <c r="J20145">
        <v>1</v>
      </c>
      <c r="K20145">
        <v>1</v>
      </c>
      <c r="L20145">
        <v>595</v>
      </c>
      <c r="M20145">
        <v>1</v>
      </c>
      <c r="N20145">
        <v>2.34804E-170</v>
      </c>
      <c r="O20145">
        <v>1537</v>
      </c>
    </row>
    <row r="20146" spans="1:15" x14ac:dyDescent="0.25">
      <c r="A20146" t="s">
        <v>20159</v>
      </c>
      <c r="B20146">
        <v>350</v>
      </c>
      <c r="C20146" s="1" t="str">
        <f>HYPERLINK("http://www.rosaceae.org/gb/gbrowse/malus_x_domestica/?name=MDP0000157538","MDP0000157538")</f>
        <v>MDP0000157538</v>
      </c>
      <c r="D20146">
        <v>68.760000000000005</v>
      </c>
      <c r="E20146">
        <v>349</v>
      </c>
      <c r="F20146">
        <v>109</v>
      </c>
      <c r="G20146">
        <v>37</v>
      </c>
      <c r="H20146">
        <v>2</v>
      </c>
      <c r="I20146">
        <v>350</v>
      </c>
      <c r="J20146">
        <v>1</v>
      </c>
      <c r="K20146">
        <v>4</v>
      </c>
      <c r="L20146">
        <v>315</v>
      </c>
      <c r="M20146">
        <v>1</v>
      </c>
      <c r="N20146">
        <v>2.24277E-142</v>
      </c>
      <c r="O20146">
        <v>1293</v>
      </c>
    </row>
    <row r="20147" spans="1:15" x14ac:dyDescent="0.25">
      <c r="A20147" t="s">
        <v>20160</v>
      </c>
      <c r="B20147">
        <v>552</v>
      </c>
      <c r="C20147" s="1" t="str">
        <f>HYPERLINK("http://www.rosaceae.org/gb/gbrowse/malus_x_domestica/?name=MDP0000154982","MDP0000154982")</f>
        <v>MDP0000154982</v>
      </c>
      <c r="D20147">
        <v>59.8</v>
      </c>
      <c r="E20147">
        <v>418</v>
      </c>
      <c r="F20147">
        <v>168</v>
      </c>
      <c r="G20147">
        <v>50</v>
      </c>
      <c r="H20147">
        <v>10</v>
      </c>
      <c r="I20147">
        <v>384</v>
      </c>
      <c r="J20147">
        <v>1</v>
      </c>
      <c r="K20147">
        <v>16</v>
      </c>
      <c r="L20147">
        <v>426</v>
      </c>
      <c r="M20147">
        <v>1</v>
      </c>
      <c r="N20147">
        <v>8.8608799999999998E-122</v>
      </c>
      <c r="O20147">
        <v>1117</v>
      </c>
    </row>
    <row r="20148" spans="1:15" x14ac:dyDescent="0.25">
      <c r="A20148" t="s">
        <v>20161</v>
      </c>
      <c r="B20148">
        <v>502</v>
      </c>
      <c r="C20148" s="1" t="str">
        <f>HYPERLINK("http://www.rosaceae.org/gb/gbrowse/malus_x_domestica/?name=MDP0000283947","MDP0000283947")</f>
        <v>MDP0000283947</v>
      </c>
      <c r="D20148">
        <v>60</v>
      </c>
      <c r="E20148">
        <v>500</v>
      </c>
      <c r="F20148">
        <v>200</v>
      </c>
      <c r="G20148">
        <v>15</v>
      </c>
      <c r="H20148">
        <v>5</v>
      </c>
      <c r="I20148">
        <v>502</v>
      </c>
      <c r="J20148">
        <v>1</v>
      </c>
      <c r="K20148">
        <v>313</v>
      </c>
      <c r="L20148">
        <v>799</v>
      </c>
      <c r="M20148">
        <v>1</v>
      </c>
      <c r="N20148">
        <v>8.5834199999999999E-165</v>
      </c>
      <c r="O20148">
        <v>1488</v>
      </c>
    </row>
    <row r="20149" spans="1:15" x14ac:dyDescent="0.25">
      <c r="A20149" t="s">
        <v>20162</v>
      </c>
      <c r="B20149">
        <v>335</v>
      </c>
      <c r="C20149" s="1" t="str">
        <f>HYPERLINK("http://www.rosaceae.org/gb/gbrowse/malus_x_domestica/?name=MDP0000316162","MDP0000316162")</f>
        <v>MDP0000316162</v>
      </c>
      <c r="D20149">
        <v>84.82</v>
      </c>
      <c r="E20149">
        <v>336</v>
      </c>
      <c r="F20149">
        <v>51</v>
      </c>
      <c r="G20149">
        <v>2</v>
      </c>
      <c r="H20149">
        <v>1</v>
      </c>
      <c r="I20149">
        <v>334</v>
      </c>
      <c r="J20149">
        <v>1</v>
      </c>
      <c r="K20149">
        <v>290</v>
      </c>
      <c r="L20149">
        <v>625</v>
      </c>
      <c r="M20149">
        <v>1</v>
      </c>
      <c r="N20149">
        <v>6.3296200000000002E-174</v>
      </c>
      <c r="O20149">
        <v>1564</v>
      </c>
    </row>
    <row r="20150" spans="1:15" x14ac:dyDescent="0.25">
      <c r="A20150" t="s">
        <v>20163</v>
      </c>
      <c r="B20150">
        <v>1968</v>
      </c>
      <c r="C20150" s="1" t="str">
        <f>HYPERLINK("http://www.rosaceae.org/gb/gbrowse/malus_x_domestica/?name=MDP0000530632","MDP0000530632")</f>
        <v>MDP0000530632</v>
      </c>
      <c r="D20150">
        <v>57.04</v>
      </c>
      <c r="E20150">
        <v>887</v>
      </c>
      <c r="F20150">
        <v>381</v>
      </c>
      <c r="G20150">
        <v>140</v>
      </c>
      <c r="H20150">
        <v>1103</v>
      </c>
      <c r="I20150">
        <v>1922</v>
      </c>
      <c r="J20150">
        <v>1</v>
      </c>
      <c r="K20150">
        <v>45</v>
      </c>
      <c r="L20150">
        <v>858</v>
      </c>
      <c r="M20150">
        <v>1</v>
      </c>
      <c r="N20150">
        <v>0</v>
      </c>
      <c r="O20150">
        <v>2378</v>
      </c>
    </row>
    <row r="20151" spans="1:15" x14ac:dyDescent="0.25">
      <c r="A20151" t="s">
        <v>20164</v>
      </c>
      <c r="B20151">
        <v>289</v>
      </c>
      <c r="C20151" s="1" t="str">
        <f>HYPERLINK("http://www.rosaceae.org/gb/gbrowse/malus_x_domestica/?name=MDP0000265820","MDP0000265820")</f>
        <v>MDP0000265820</v>
      </c>
      <c r="D20151">
        <v>54.5</v>
      </c>
      <c r="E20151">
        <v>211</v>
      </c>
      <c r="F20151">
        <v>96</v>
      </c>
      <c r="G20151">
        <v>2</v>
      </c>
      <c r="H20151">
        <v>46</v>
      </c>
      <c r="I20151">
        <v>255</v>
      </c>
      <c r="J20151">
        <v>1</v>
      </c>
      <c r="K20151">
        <v>42</v>
      </c>
      <c r="L20151">
        <v>251</v>
      </c>
      <c r="M20151">
        <v>1</v>
      </c>
      <c r="N20151">
        <v>2.5618600000000001E-58</v>
      </c>
      <c r="O20151">
        <v>567</v>
      </c>
    </row>
    <row r="20152" spans="1:15" x14ac:dyDescent="0.25">
      <c r="A20152" t="s">
        <v>20165</v>
      </c>
      <c r="B20152">
        <v>111</v>
      </c>
      <c r="C20152" s="1" t="str">
        <f>HYPERLINK("http://www.rosaceae.org/gb/gbrowse/malus_x_domestica/?name=MDP0000627061","MDP0000627061")</f>
        <v>MDP0000627061</v>
      </c>
      <c r="D20152">
        <v>69.36</v>
      </c>
      <c r="E20152">
        <v>111</v>
      </c>
      <c r="F20152">
        <v>34</v>
      </c>
      <c r="G20152">
        <v>0</v>
      </c>
      <c r="H20152">
        <v>1</v>
      </c>
      <c r="I20152">
        <v>111</v>
      </c>
      <c r="J20152">
        <v>1</v>
      </c>
      <c r="K20152">
        <v>1</v>
      </c>
      <c r="L20152">
        <v>111</v>
      </c>
      <c r="M20152">
        <v>1</v>
      </c>
      <c r="N20152">
        <v>1.00365E-44</v>
      </c>
      <c r="O20152">
        <v>443</v>
      </c>
    </row>
    <row r="20153" spans="1:15" x14ac:dyDescent="0.25">
      <c r="A20153" t="s">
        <v>20166</v>
      </c>
      <c r="B20153">
        <v>637</v>
      </c>
      <c r="C20153" s="1" t="str">
        <f>HYPERLINK("http://www.rosaceae.org/gb/gbrowse/malus_x_domestica/?name=MDP0000193773","MDP0000193773")</f>
        <v>MDP0000193773</v>
      </c>
      <c r="D20153">
        <v>61.51</v>
      </c>
      <c r="E20153">
        <v>660</v>
      </c>
      <c r="F20153">
        <v>254</v>
      </c>
      <c r="G20153">
        <v>39</v>
      </c>
      <c r="H20153">
        <v>1</v>
      </c>
      <c r="I20153">
        <v>637</v>
      </c>
      <c r="J20153">
        <v>1</v>
      </c>
      <c r="K20153">
        <v>1</v>
      </c>
      <c r="L20153">
        <v>644</v>
      </c>
      <c r="M20153">
        <v>1</v>
      </c>
      <c r="N20153">
        <v>0</v>
      </c>
      <c r="O20153">
        <v>1897</v>
      </c>
    </row>
    <row r="20154" spans="1:15" x14ac:dyDescent="0.25">
      <c r="A20154" t="s">
        <v>20167</v>
      </c>
      <c r="B20154">
        <v>314</v>
      </c>
      <c r="C20154" s="1" t="str">
        <f>HYPERLINK("http://www.rosaceae.org/gb/gbrowse/malus_x_domestica/?name=MDP0000268523","MDP0000268523")</f>
        <v>MDP0000268523</v>
      </c>
      <c r="D20154">
        <v>43.97</v>
      </c>
      <c r="E20154">
        <v>282</v>
      </c>
      <c r="F20154">
        <v>158</v>
      </c>
      <c r="G20154">
        <v>12</v>
      </c>
      <c r="H20154">
        <v>37</v>
      </c>
      <c r="I20154">
        <v>313</v>
      </c>
      <c r="J20154">
        <v>1</v>
      </c>
      <c r="K20154">
        <v>612</v>
      </c>
      <c r="L20154">
        <v>886</v>
      </c>
      <c r="M20154">
        <v>1</v>
      </c>
      <c r="N20154">
        <v>1.02402E-56</v>
      </c>
      <c r="O20154">
        <v>553</v>
      </c>
    </row>
    <row r="20155" spans="1:15" x14ac:dyDescent="0.25">
      <c r="A20155" t="s">
        <v>20168</v>
      </c>
      <c r="B20155">
        <v>396</v>
      </c>
      <c r="C20155" s="1" t="str">
        <f>HYPERLINK("http://www.rosaceae.org/gb/gbrowse/malus_x_domestica/?name=MDP0000240622","MDP0000240622")</f>
        <v>MDP0000240622</v>
      </c>
      <c r="D20155">
        <v>65.209999999999994</v>
      </c>
      <c r="E20155">
        <v>414</v>
      </c>
      <c r="F20155">
        <v>144</v>
      </c>
      <c r="G20155">
        <v>25</v>
      </c>
      <c r="H20155">
        <v>1</v>
      </c>
      <c r="I20155">
        <v>396</v>
      </c>
      <c r="J20155">
        <v>1</v>
      </c>
      <c r="K20155">
        <v>17</v>
      </c>
      <c r="L20155">
        <v>423</v>
      </c>
      <c r="M20155">
        <v>1</v>
      </c>
      <c r="N20155">
        <v>3.2226000000000002E-153</v>
      </c>
      <c r="O20155">
        <v>1387</v>
      </c>
    </row>
    <row r="20156" spans="1:15" x14ac:dyDescent="0.25">
      <c r="A20156" t="s">
        <v>20169</v>
      </c>
      <c r="B20156">
        <v>2550</v>
      </c>
      <c r="C20156" s="1" t="str">
        <f>HYPERLINK("http://www.rosaceae.org/gb/gbrowse/malus_x_domestica/?name=MDP0000122149","MDP0000122149")</f>
        <v>MDP0000122149</v>
      </c>
      <c r="D20156">
        <v>50</v>
      </c>
      <c r="E20156">
        <v>1450</v>
      </c>
      <c r="F20156">
        <v>725</v>
      </c>
      <c r="G20156">
        <v>138</v>
      </c>
      <c r="H20156">
        <v>807</v>
      </c>
      <c r="I20156">
        <v>2187</v>
      </c>
      <c r="J20156">
        <v>1</v>
      </c>
      <c r="K20156">
        <v>6</v>
      </c>
      <c r="L20156">
        <v>1386</v>
      </c>
      <c r="M20156">
        <v>1</v>
      </c>
      <c r="N20156">
        <v>0</v>
      </c>
      <c r="O20156">
        <v>3050</v>
      </c>
    </row>
    <row r="20157" spans="1:15" x14ac:dyDescent="0.25">
      <c r="A20157" t="s">
        <v>20170</v>
      </c>
      <c r="B20157">
        <v>84</v>
      </c>
      <c r="C20157" s="1" t="str">
        <f>HYPERLINK("http://www.rosaceae.org/gb/gbrowse/malus_x_domestica/?name=MDP0000214090","MDP0000214090")</f>
        <v>MDP0000214090</v>
      </c>
      <c r="D20157">
        <v>50.84</v>
      </c>
      <c r="E20157">
        <v>59</v>
      </c>
      <c r="F20157">
        <v>29</v>
      </c>
      <c r="G20157">
        <v>1</v>
      </c>
      <c r="H20157">
        <v>22</v>
      </c>
      <c r="I20157">
        <v>79</v>
      </c>
      <c r="J20157">
        <v>1</v>
      </c>
      <c r="K20157">
        <v>363</v>
      </c>
      <c r="L20157">
        <v>421</v>
      </c>
      <c r="M20157">
        <v>1</v>
      </c>
      <c r="N20157">
        <v>5.3654699999999999E-7</v>
      </c>
      <c r="O20157">
        <v>118</v>
      </c>
    </row>
    <row r="20158" spans="1:15" x14ac:dyDescent="0.25">
      <c r="A20158" t="s">
        <v>20171</v>
      </c>
      <c r="B20158">
        <v>189</v>
      </c>
      <c r="C20158" s="1" t="str">
        <f>HYPERLINK("http://www.rosaceae.org/gb/gbrowse/malus_x_domestica/?name=MDP0000266451","MDP0000266451")</f>
        <v>MDP0000266451</v>
      </c>
      <c r="D20158">
        <v>44.96</v>
      </c>
      <c r="E20158">
        <v>149</v>
      </c>
      <c r="F20158">
        <v>82</v>
      </c>
      <c r="G20158">
        <v>2</v>
      </c>
      <c r="H20158">
        <v>41</v>
      </c>
      <c r="I20158">
        <v>188</v>
      </c>
      <c r="J20158">
        <v>1</v>
      </c>
      <c r="K20158">
        <v>41</v>
      </c>
      <c r="L20158">
        <v>188</v>
      </c>
      <c r="M20158">
        <v>1</v>
      </c>
      <c r="N20158">
        <v>1.4085200000000001E-33</v>
      </c>
      <c r="O20158">
        <v>351</v>
      </c>
    </row>
    <row r="20159" spans="1:15" x14ac:dyDescent="0.25">
      <c r="A20159" t="s">
        <v>20172</v>
      </c>
      <c r="B20159">
        <v>281</v>
      </c>
      <c r="C20159" s="1" t="str">
        <f>HYPERLINK("http://www.rosaceae.org/gb/gbrowse/malus_x_domestica/?name=MDP0000665532","MDP0000665532")</f>
        <v>MDP0000665532</v>
      </c>
      <c r="D20159">
        <v>68.03</v>
      </c>
      <c r="E20159">
        <v>122</v>
      </c>
      <c r="F20159">
        <v>39</v>
      </c>
      <c r="G20159">
        <v>0</v>
      </c>
      <c r="H20159">
        <v>156</v>
      </c>
      <c r="I20159">
        <v>277</v>
      </c>
      <c r="J20159">
        <v>1</v>
      </c>
      <c r="K20159">
        <v>81</v>
      </c>
      <c r="L20159">
        <v>202</v>
      </c>
      <c r="M20159">
        <v>1</v>
      </c>
      <c r="N20159">
        <v>6.0576700000000001E-47</v>
      </c>
      <c r="O20159">
        <v>468</v>
      </c>
    </row>
    <row r="20160" spans="1:15" x14ac:dyDescent="0.25">
      <c r="A20160" t="s">
        <v>20173</v>
      </c>
      <c r="B20160">
        <v>1478</v>
      </c>
      <c r="C20160" s="1" t="str">
        <f>HYPERLINK("http://www.rosaceae.org/gb/gbrowse/malus_x_domestica/?name=MDP0000842997","MDP0000842997")</f>
        <v>MDP0000842997</v>
      </c>
      <c r="D20160">
        <v>74.41</v>
      </c>
      <c r="E20160">
        <v>1505</v>
      </c>
      <c r="F20160">
        <v>385</v>
      </c>
      <c r="G20160">
        <v>34</v>
      </c>
      <c r="H20160">
        <v>6</v>
      </c>
      <c r="I20160">
        <v>1478</v>
      </c>
      <c r="J20160">
        <v>1</v>
      </c>
      <c r="K20160">
        <v>13</v>
      </c>
      <c r="L20160">
        <v>1515</v>
      </c>
      <c r="M20160">
        <v>1</v>
      </c>
      <c r="N20160">
        <v>0</v>
      </c>
      <c r="O20160">
        <v>5872</v>
      </c>
    </row>
    <row r="20161" spans="1:15" x14ac:dyDescent="0.25">
      <c r="A20161" t="s">
        <v>20174</v>
      </c>
      <c r="B20161">
        <v>207</v>
      </c>
      <c r="C20161" s="1" t="str">
        <f>HYPERLINK("http://www.rosaceae.org/gb/gbrowse/malus_x_domestica/?name=MDP0000186509","MDP0000186509")</f>
        <v>MDP0000186509</v>
      </c>
      <c r="D20161">
        <v>56.41</v>
      </c>
      <c r="E20161">
        <v>195</v>
      </c>
      <c r="F20161">
        <v>85</v>
      </c>
      <c r="G20161">
        <v>12</v>
      </c>
      <c r="H20161">
        <v>1</v>
      </c>
      <c r="I20161">
        <v>187</v>
      </c>
      <c r="J20161">
        <v>1</v>
      </c>
      <c r="K20161">
        <v>1</v>
      </c>
      <c r="L20161">
        <v>191</v>
      </c>
      <c r="M20161">
        <v>1</v>
      </c>
      <c r="N20161">
        <v>3.04575E-52</v>
      </c>
      <c r="O20161">
        <v>512</v>
      </c>
    </row>
    <row r="20162" spans="1:15" x14ac:dyDescent="0.25">
      <c r="A20162" t="s">
        <v>20175</v>
      </c>
      <c r="B20162">
        <v>529</v>
      </c>
      <c r="C20162" s="1" t="str">
        <f>HYPERLINK("http://www.rosaceae.org/gb/gbrowse/malus_x_domestica/?name=MDP0000295305","MDP0000295305")</f>
        <v>MDP0000295305</v>
      </c>
      <c r="D20162">
        <v>56.06</v>
      </c>
      <c r="E20162">
        <v>544</v>
      </c>
      <c r="F20162">
        <v>239</v>
      </c>
      <c r="G20162">
        <v>55</v>
      </c>
      <c r="H20162">
        <v>29</v>
      </c>
      <c r="I20162">
        <v>522</v>
      </c>
      <c r="J20162">
        <v>1</v>
      </c>
      <c r="K20162">
        <v>31</v>
      </c>
      <c r="L20162">
        <v>569</v>
      </c>
      <c r="M20162">
        <v>1</v>
      </c>
      <c r="N20162">
        <v>1.4195E-154</v>
      </c>
      <c r="O20162">
        <v>1400</v>
      </c>
    </row>
    <row r="20163" spans="1:15" x14ac:dyDescent="0.25">
      <c r="A20163" t="s">
        <v>20176</v>
      </c>
      <c r="B20163">
        <v>412</v>
      </c>
      <c r="C20163" s="1" t="str">
        <f>HYPERLINK("http://www.rosaceae.org/gb/gbrowse/malus_x_domestica/?name=MDP0000259922","MDP0000259922")</f>
        <v>MDP0000259922</v>
      </c>
      <c r="D20163">
        <v>80</v>
      </c>
      <c r="E20163">
        <v>440</v>
      </c>
      <c r="F20163">
        <v>88</v>
      </c>
      <c r="G20163">
        <v>28</v>
      </c>
      <c r="H20163">
        <v>1</v>
      </c>
      <c r="I20163">
        <v>412</v>
      </c>
      <c r="J20163">
        <v>1</v>
      </c>
      <c r="K20163">
        <v>1</v>
      </c>
      <c r="L20163">
        <v>440</v>
      </c>
      <c r="M20163">
        <v>1</v>
      </c>
      <c r="N20163">
        <v>0</v>
      </c>
      <c r="O20163">
        <v>1811</v>
      </c>
    </row>
    <row r="20164" spans="1:15" x14ac:dyDescent="0.25">
      <c r="A20164" t="s">
        <v>20177</v>
      </c>
      <c r="B20164">
        <v>306</v>
      </c>
      <c r="C20164" s="1" t="str">
        <f>HYPERLINK("http://www.rosaceae.org/gb/gbrowse/malus_x_domestica/?name=MDP0000310871","MDP0000310871")</f>
        <v>MDP0000310871</v>
      </c>
      <c r="D20164">
        <v>57.02</v>
      </c>
      <c r="E20164">
        <v>249</v>
      </c>
      <c r="F20164">
        <v>107</v>
      </c>
      <c r="G20164">
        <v>15</v>
      </c>
      <c r="H20164">
        <v>7</v>
      </c>
      <c r="I20164">
        <v>249</v>
      </c>
      <c r="J20164">
        <v>1</v>
      </c>
      <c r="K20164">
        <v>244</v>
      </c>
      <c r="L20164">
        <v>483</v>
      </c>
      <c r="M20164">
        <v>1</v>
      </c>
      <c r="N20164">
        <v>4.55786E-68</v>
      </c>
      <c r="O20164">
        <v>651</v>
      </c>
    </row>
    <row r="20165" spans="1:15" x14ac:dyDescent="0.25">
      <c r="A20165" t="s">
        <v>20178</v>
      </c>
      <c r="B20165">
        <v>539</v>
      </c>
      <c r="C20165" s="1" t="str">
        <f>HYPERLINK("http://www.rosaceae.org/gb/gbrowse/malus_x_domestica/?name=MDP0000634676","MDP0000634676")</f>
        <v>MDP0000634676</v>
      </c>
      <c r="D20165">
        <v>78.58</v>
      </c>
      <c r="E20165">
        <v>523</v>
      </c>
      <c r="F20165">
        <v>112</v>
      </c>
      <c r="G20165">
        <v>7</v>
      </c>
      <c r="H20165">
        <v>17</v>
      </c>
      <c r="I20165">
        <v>539</v>
      </c>
      <c r="J20165">
        <v>1</v>
      </c>
      <c r="K20165">
        <v>3</v>
      </c>
      <c r="L20165">
        <v>518</v>
      </c>
      <c r="M20165">
        <v>1</v>
      </c>
      <c r="N20165">
        <v>0</v>
      </c>
      <c r="O20165">
        <v>2231</v>
      </c>
    </row>
    <row r="20166" spans="1:15" x14ac:dyDescent="0.25">
      <c r="A20166" t="s">
        <v>20179</v>
      </c>
      <c r="B20166">
        <v>105</v>
      </c>
      <c r="C20166" s="1" t="str">
        <f>HYPERLINK("http://www.rosaceae.org/gb/gbrowse/malus_x_domestica/?name=MDP0000196762","MDP0000196762")</f>
        <v>MDP0000196762</v>
      </c>
      <c r="D20166">
        <v>86.84</v>
      </c>
      <c r="E20166">
        <v>76</v>
      </c>
      <c r="F20166">
        <v>10</v>
      </c>
      <c r="G20166">
        <v>0</v>
      </c>
      <c r="H20166">
        <v>18</v>
      </c>
      <c r="I20166">
        <v>93</v>
      </c>
      <c r="J20166">
        <v>1</v>
      </c>
      <c r="K20166">
        <v>23</v>
      </c>
      <c r="L20166">
        <v>98</v>
      </c>
      <c r="M20166">
        <v>1</v>
      </c>
      <c r="N20166">
        <v>2.95775E-35</v>
      </c>
      <c r="O20166">
        <v>361</v>
      </c>
    </row>
    <row r="20167" spans="1:15" x14ac:dyDescent="0.25">
      <c r="A20167" t="s">
        <v>20180</v>
      </c>
      <c r="B20167">
        <v>218</v>
      </c>
      <c r="C20167" s="1" t="str">
        <f>HYPERLINK("http://www.rosaceae.org/gb/gbrowse/malus_x_domestica/?name=MDP0000589422","MDP0000589422")</f>
        <v>MDP0000589422</v>
      </c>
      <c r="D20167">
        <v>40.14</v>
      </c>
      <c r="E20167">
        <v>279</v>
      </c>
      <c r="F20167">
        <v>167</v>
      </c>
      <c r="G20167">
        <v>74</v>
      </c>
      <c r="H20167">
        <v>9</v>
      </c>
      <c r="I20167">
        <v>216</v>
      </c>
      <c r="J20167">
        <v>1</v>
      </c>
      <c r="K20167">
        <v>12</v>
      </c>
      <c r="L20167">
        <v>287</v>
      </c>
      <c r="M20167">
        <v>1</v>
      </c>
      <c r="N20167">
        <v>2.3128000000000002E-41</v>
      </c>
      <c r="O20167">
        <v>419</v>
      </c>
    </row>
    <row r="20168" spans="1:15" x14ac:dyDescent="0.25">
      <c r="A20168" t="s">
        <v>20181</v>
      </c>
      <c r="B20168">
        <v>467</v>
      </c>
      <c r="C20168" s="1" t="str">
        <f>HYPERLINK("http://www.rosaceae.org/gb/gbrowse/malus_x_domestica/?name=MDP0000936776","MDP0000936776")</f>
        <v>MDP0000936776</v>
      </c>
      <c r="D20168">
        <v>50.21</v>
      </c>
      <c r="E20168">
        <v>470</v>
      </c>
      <c r="F20168">
        <v>234</v>
      </c>
      <c r="G20168">
        <v>47</v>
      </c>
      <c r="H20168">
        <v>22</v>
      </c>
      <c r="I20168">
        <v>467</v>
      </c>
      <c r="J20168">
        <v>1</v>
      </c>
      <c r="K20168">
        <v>21</v>
      </c>
      <c r="L20168">
        <v>467</v>
      </c>
      <c r="M20168">
        <v>1</v>
      </c>
      <c r="N20168">
        <v>6.06349E-87</v>
      </c>
      <c r="O20168">
        <v>816</v>
      </c>
    </row>
    <row r="20169" spans="1:15" x14ac:dyDescent="0.25">
      <c r="A20169" t="s">
        <v>20182</v>
      </c>
      <c r="B20169">
        <v>160</v>
      </c>
      <c r="C20169" s="1" t="str">
        <f>HYPERLINK("http://www.rosaceae.org/gb/gbrowse/malus_x_domestica/?name=MDP0000315291","MDP0000315291")</f>
        <v>MDP0000315291</v>
      </c>
      <c r="D20169">
        <v>67.08</v>
      </c>
      <c r="E20169">
        <v>79</v>
      </c>
      <c r="F20169">
        <v>26</v>
      </c>
      <c r="G20169">
        <v>1</v>
      </c>
      <c r="H20169">
        <v>4</v>
      </c>
      <c r="I20169">
        <v>82</v>
      </c>
      <c r="J20169">
        <v>1</v>
      </c>
      <c r="K20169">
        <v>5</v>
      </c>
      <c r="L20169">
        <v>82</v>
      </c>
      <c r="M20169">
        <v>1</v>
      </c>
      <c r="N20169">
        <v>1.0366000000000001E-25</v>
      </c>
      <c r="O20169">
        <v>282</v>
      </c>
    </row>
    <row r="20170" spans="1:15" x14ac:dyDescent="0.25">
      <c r="A20170" t="s">
        <v>20183</v>
      </c>
      <c r="B20170">
        <v>378</v>
      </c>
      <c r="C20170" s="1" t="str">
        <f>HYPERLINK("http://www.rosaceae.org/gb/gbrowse/malus_x_domestica/?name=MDP0000307451","MDP0000307451")</f>
        <v>MDP0000307451</v>
      </c>
      <c r="D20170">
        <v>61.01</v>
      </c>
      <c r="E20170">
        <v>395</v>
      </c>
      <c r="F20170">
        <v>154</v>
      </c>
      <c r="G20170">
        <v>63</v>
      </c>
      <c r="H20170">
        <v>1</v>
      </c>
      <c r="I20170">
        <v>378</v>
      </c>
      <c r="J20170">
        <v>1</v>
      </c>
      <c r="K20170">
        <v>1</v>
      </c>
      <c r="L20170">
        <v>349</v>
      </c>
      <c r="M20170">
        <v>1</v>
      </c>
      <c r="N20170">
        <v>4.4752499999999997E-120</v>
      </c>
      <c r="O20170">
        <v>1101</v>
      </c>
    </row>
    <row r="20171" spans="1:15" x14ac:dyDescent="0.25">
      <c r="A20171" t="s">
        <v>20184</v>
      </c>
      <c r="B20171">
        <v>255</v>
      </c>
      <c r="C20171" s="1" t="str">
        <f>HYPERLINK("http://www.rosaceae.org/gb/gbrowse/malus_x_domestica/?name=MDP0000573617","MDP0000573617")</f>
        <v>MDP0000573617</v>
      </c>
      <c r="D20171">
        <v>67.81</v>
      </c>
      <c r="E20171">
        <v>261</v>
      </c>
      <c r="F20171">
        <v>84</v>
      </c>
      <c r="G20171">
        <v>6</v>
      </c>
      <c r="H20171">
        <v>1</v>
      </c>
      <c r="I20171">
        <v>255</v>
      </c>
      <c r="J20171">
        <v>1</v>
      </c>
      <c r="K20171">
        <v>1</v>
      </c>
      <c r="L20171">
        <v>261</v>
      </c>
      <c r="M20171">
        <v>1</v>
      </c>
      <c r="N20171">
        <v>2.7550499999999997E-100</v>
      </c>
      <c r="O20171">
        <v>928</v>
      </c>
    </row>
    <row r="20172" spans="1:15" x14ac:dyDescent="0.25">
      <c r="A20172" t="s">
        <v>20185</v>
      </c>
      <c r="B20172">
        <v>508</v>
      </c>
      <c r="C20172" s="1" t="str">
        <f>HYPERLINK("http://www.rosaceae.org/gb/gbrowse/malus_x_domestica/?name=MDP0000177079","MDP0000177079")</f>
        <v>MDP0000177079</v>
      </c>
      <c r="D20172">
        <v>52.51</v>
      </c>
      <c r="E20172">
        <v>478</v>
      </c>
      <c r="F20172">
        <v>227</v>
      </c>
      <c r="G20172">
        <v>6</v>
      </c>
      <c r="H20172">
        <v>33</v>
      </c>
      <c r="I20172">
        <v>506</v>
      </c>
      <c r="J20172">
        <v>1</v>
      </c>
      <c r="K20172">
        <v>37</v>
      </c>
      <c r="L20172">
        <v>512</v>
      </c>
      <c r="M20172">
        <v>1</v>
      </c>
      <c r="N20172">
        <v>1.2343500000000001E-143</v>
      </c>
      <c r="O20172">
        <v>1305</v>
      </c>
    </row>
    <row r="20173" spans="1:15" x14ac:dyDescent="0.25">
      <c r="A20173" t="s">
        <v>20186</v>
      </c>
      <c r="B20173">
        <v>409</v>
      </c>
      <c r="C20173" s="1" t="str">
        <f>HYPERLINK("http://www.rosaceae.org/gb/gbrowse/malus_x_domestica/?name=MDP0000295392","MDP0000295392")</f>
        <v>MDP0000295392</v>
      </c>
      <c r="D20173">
        <v>62.36</v>
      </c>
      <c r="E20173">
        <v>449</v>
      </c>
      <c r="F20173">
        <v>169</v>
      </c>
      <c r="G20173">
        <v>83</v>
      </c>
      <c r="H20173">
        <v>1</v>
      </c>
      <c r="I20173">
        <v>409</v>
      </c>
      <c r="J20173">
        <v>1</v>
      </c>
      <c r="K20173">
        <v>198</v>
      </c>
      <c r="L20173">
        <v>603</v>
      </c>
      <c r="M20173">
        <v>1</v>
      </c>
      <c r="N20173">
        <v>1.6605400000000002E-145</v>
      </c>
      <c r="O20173">
        <v>1320</v>
      </c>
    </row>
    <row r="20174" spans="1:15" x14ac:dyDescent="0.25">
      <c r="A20174" t="s">
        <v>20187</v>
      </c>
      <c r="B20174">
        <v>544</v>
      </c>
      <c r="C20174" s="1" t="str">
        <f>HYPERLINK("http://www.rosaceae.org/gb/gbrowse/malus_x_domestica/?name=MDP0000195139","MDP0000195139")</f>
        <v>MDP0000195139</v>
      </c>
      <c r="D20174">
        <v>46.2</v>
      </c>
      <c r="E20174">
        <v>448</v>
      </c>
      <c r="F20174">
        <v>241</v>
      </c>
      <c r="G20174">
        <v>34</v>
      </c>
      <c r="H20174">
        <v>110</v>
      </c>
      <c r="I20174">
        <v>536</v>
      </c>
      <c r="J20174">
        <v>1</v>
      </c>
      <c r="K20174">
        <v>519</v>
      </c>
      <c r="L20174">
        <v>953</v>
      </c>
      <c r="M20174">
        <v>1</v>
      </c>
      <c r="N20174">
        <v>1.48688E-86</v>
      </c>
      <c r="O20174">
        <v>813</v>
      </c>
    </row>
    <row r="20175" spans="1:15" x14ac:dyDescent="0.25">
      <c r="A20175" t="s">
        <v>20188</v>
      </c>
      <c r="B20175">
        <v>984</v>
      </c>
      <c r="C20175" s="1" t="str">
        <f>HYPERLINK("http://www.rosaceae.org/gb/gbrowse/malus_x_domestica/?name=MDP0000260076","MDP0000260076")</f>
        <v>MDP0000260076</v>
      </c>
      <c r="D20175">
        <v>55.65</v>
      </c>
      <c r="E20175">
        <v>972</v>
      </c>
      <c r="F20175">
        <v>431</v>
      </c>
      <c r="G20175">
        <v>98</v>
      </c>
      <c r="H20175">
        <v>29</v>
      </c>
      <c r="I20175">
        <v>965</v>
      </c>
      <c r="J20175">
        <v>1</v>
      </c>
      <c r="K20175">
        <v>72</v>
      </c>
      <c r="L20175">
        <v>980</v>
      </c>
      <c r="M20175">
        <v>1</v>
      </c>
      <c r="N20175">
        <v>0</v>
      </c>
      <c r="O20175">
        <v>2534</v>
      </c>
    </row>
    <row r="20176" spans="1:15" x14ac:dyDescent="0.25">
      <c r="A20176" t="s">
        <v>20189</v>
      </c>
      <c r="B20176">
        <v>234</v>
      </c>
      <c r="C20176" s="1" t="str">
        <f>HYPERLINK("http://www.rosaceae.org/gb/gbrowse/malus_x_domestica/?name=MDP0000271319","MDP0000271319")</f>
        <v>MDP0000271319</v>
      </c>
      <c r="D20176">
        <v>79.09</v>
      </c>
      <c r="E20176">
        <v>220</v>
      </c>
      <c r="F20176">
        <v>46</v>
      </c>
      <c r="G20176">
        <v>0</v>
      </c>
      <c r="H20176">
        <v>1</v>
      </c>
      <c r="I20176">
        <v>220</v>
      </c>
      <c r="J20176">
        <v>1</v>
      </c>
      <c r="K20176">
        <v>1</v>
      </c>
      <c r="L20176">
        <v>220</v>
      </c>
      <c r="M20176">
        <v>1</v>
      </c>
      <c r="N20176">
        <v>1.14301E-106</v>
      </c>
      <c r="O20176">
        <v>982</v>
      </c>
    </row>
    <row r="20177" spans="1:15" x14ac:dyDescent="0.25">
      <c r="A20177" t="s">
        <v>20190</v>
      </c>
      <c r="B20177">
        <v>545</v>
      </c>
      <c r="C20177" s="1" t="str">
        <f>HYPERLINK("http://www.rosaceae.org/gb/gbrowse/malus_x_domestica/?name=MDP0000477774","MDP0000477774")</f>
        <v>MDP0000477774</v>
      </c>
      <c r="D20177">
        <v>88.84</v>
      </c>
      <c r="E20177">
        <v>529</v>
      </c>
      <c r="F20177">
        <v>59</v>
      </c>
      <c r="G20177">
        <v>0</v>
      </c>
      <c r="H20177">
        <v>17</v>
      </c>
      <c r="I20177">
        <v>545</v>
      </c>
      <c r="J20177">
        <v>1</v>
      </c>
      <c r="K20177">
        <v>69</v>
      </c>
      <c r="L20177">
        <v>597</v>
      </c>
      <c r="M20177">
        <v>1</v>
      </c>
      <c r="N20177">
        <v>0</v>
      </c>
      <c r="O20177">
        <v>2512</v>
      </c>
    </row>
    <row r="20178" spans="1:15" x14ac:dyDescent="0.25">
      <c r="A20178" t="s">
        <v>20191</v>
      </c>
      <c r="B20178">
        <v>568</v>
      </c>
      <c r="C20178" s="1" t="str">
        <f>HYPERLINK("http://www.rosaceae.org/gb/gbrowse/malus_x_domestica/?name=MDP0000312032","MDP0000312032")</f>
        <v>MDP0000312032</v>
      </c>
      <c r="D20178">
        <v>63.53</v>
      </c>
      <c r="E20178">
        <v>565</v>
      </c>
      <c r="F20178">
        <v>206</v>
      </c>
      <c r="G20178">
        <v>41</v>
      </c>
      <c r="H20178">
        <v>45</v>
      </c>
      <c r="I20178">
        <v>568</v>
      </c>
      <c r="J20178">
        <v>1</v>
      </c>
      <c r="K20178">
        <v>40</v>
      </c>
      <c r="L20178">
        <v>604</v>
      </c>
      <c r="M20178">
        <v>1</v>
      </c>
      <c r="N20178">
        <v>0</v>
      </c>
      <c r="O20178">
        <v>1821</v>
      </c>
    </row>
    <row r="20179" spans="1:15" x14ac:dyDescent="0.25">
      <c r="A20179" t="s">
        <v>20192</v>
      </c>
      <c r="B20179">
        <v>452</v>
      </c>
      <c r="C20179" s="1" t="str">
        <f>HYPERLINK("http://www.rosaceae.org/gb/gbrowse/malus_x_domestica/?name=MDP0000210088","MDP0000210088")</f>
        <v>MDP0000210088</v>
      </c>
      <c r="D20179">
        <v>59.61</v>
      </c>
      <c r="E20179">
        <v>473</v>
      </c>
      <c r="F20179">
        <v>191</v>
      </c>
      <c r="G20179">
        <v>40</v>
      </c>
      <c r="H20179">
        <v>10</v>
      </c>
      <c r="I20179">
        <v>452</v>
      </c>
      <c r="J20179">
        <v>1</v>
      </c>
      <c r="K20179">
        <v>37</v>
      </c>
      <c r="L20179">
        <v>499</v>
      </c>
      <c r="M20179">
        <v>1</v>
      </c>
      <c r="N20179">
        <v>3.0596100000000002E-141</v>
      </c>
      <c r="O20179">
        <v>1284</v>
      </c>
    </row>
    <row r="20180" spans="1:15" x14ac:dyDescent="0.25">
      <c r="A20180" t="s">
        <v>20193</v>
      </c>
      <c r="B20180">
        <v>471</v>
      </c>
      <c r="C20180" s="1" t="str">
        <f>HYPERLINK("http://www.rosaceae.org/gb/gbrowse/malus_x_domestica/?name=MDP0000320696","MDP0000320696")</f>
        <v>MDP0000320696</v>
      </c>
      <c r="D20180">
        <v>67.69</v>
      </c>
      <c r="E20180">
        <v>325</v>
      </c>
      <c r="F20180">
        <v>105</v>
      </c>
      <c r="G20180">
        <v>6</v>
      </c>
      <c r="H20180">
        <v>117</v>
      </c>
      <c r="I20180">
        <v>441</v>
      </c>
      <c r="J20180">
        <v>1</v>
      </c>
      <c r="K20180">
        <v>61</v>
      </c>
      <c r="L20180">
        <v>379</v>
      </c>
      <c r="M20180">
        <v>1</v>
      </c>
      <c r="N20180">
        <v>5.0482699999999999E-124</v>
      </c>
      <c r="O20180">
        <v>1136</v>
      </c>
    </row>
    <row r="20181" spans="1:15" x14ac:dyDescent="0.25">
      <c r="A20181" t="s">
        <v>20194</v>
      </c>
      <c r="B20181">
        <v>404</v>
      </c>
      <c r="C20181" s="1" t="str">
        <f>HYPERLINK("http://www.rosaceae.org/gb/gbrowse/malus_x_domestica/?name=MDP0000527520","MDP0000527520")</f>
        <v>MDP0000527520</v>
      </c>
      <c r="D20181">
        <v>90.32</v>
      </c>
      <c r="E20181">
        <v>124</v>
      </c>
      <c r="F20181">
        <v>12</v>
      </c>
      <c r="G20181">
        <v>0</v>
      </c>
      <c r="H20181">
        <v>234</v>
      </c>
      <c r="I20181">
        <v>357</v>
      </c>
      <c r="J20181">
        <v>1</v>
      </c>
      <c r="K20181">
        <v>58</v>
      </c>
      <c r="L20181">
        <v>181</v>
      </c>
      <c r="M20181">
        <v>1</v>
      </c>
      <c r="N20181">
        <v>6.7413500000000006E-61</v>
      </c>
      <c r="O20181">
        <v>591</v>
      </c>
    </row>
    <row r="20182" spans="1:15" x14ac:dyDescent="0.25">
      <c r="A20182" t="s">
        <v>20195</v>
      </c>
      <c r="B20182">
        <v>550</v>
      </c>
      <c r="C20182" s="1" t="str">
        <f>HYPERLINK("http://www.rosaceae.org/gb/gbrowse/malus_x_domestica/?name=MDP0000181036","MDP0000181036")</f>
        <v>MDP0000181036</v>
      </c>
      <c r="D20182">
        <v>64.069999999999993</v>
      </c>
      <c r="E20182">
        <v>643</v>
      </c>
      <c r="F20182">
        <v>231</v>
      </c>
      <c r="G20182">
        <v>118</v>
      </c>
      <c r="H20182">
        <v>1</v>
      </c>
      <c r="I20182">
        <v>550</v>
      </c>
      <c r="J20182">
        <v>1</v>
      </c>
      <c r="K20182">
        <v>1</v>
      </c>
      <c r="L20182">
        <v>618</v>
      </c>
      <c r="M20182">
        <v>1</v>
      </c>
      <c r="N20182">
        <v>0</v>
      </c>
      <c r="O20182">
        <v>1975</v>
      </c>
    </row>
    <row r="20183" spans="1:15" x14ac:dyDescent="0.25">
      <c r="A20183" t="s">
        <v>20196</v>
      </c>
      <c r="B20183">
        <v>385</v>
      </c>
      <c r="C20183" s="1" t="str">
        <f>HYPERLINK("http://www.rosaceae.org/gb/gbrowse/malus_x_domestica/?name=MDP0000221381","MDP0000221381")</f>
        <v>MDP0000221381</v>
      </c>
      <c r="D20183">
        <v>81.95</v>
      </c>
      <c r="E20183">
        <v>388</v>
      </c>
      <c r="F20183">
        <v>70</v>
      </c>
      <c r="G20183">
        <v>7</v>
      </c>
      <c r="H20183">
        <v>5</v>
      </c>
      <c r="I20183">
        <v>385</v>
      </c>
      <c r="J20183">
        <v>1</v>
      </c>
      <c r="K20183">
        <v>1</v>
      </c>
      <c r="L20183">
        <v>388</v>
      </c>
      <c r="M20183">
        <v>1</v>
      </c>
      <c r="N20183">
        <v>0</v>
      </c>
      <c r="O20183">
        <v>1690</v>
      </c>
    </row>
    <row r="20184" spans="1:15" x14ac:dyDescent="0.25">
      <c r="A20184" t="s">
        <v>20197</v>
      </c>
      <c r="B20184">
        <v>185</v>
      </c>
      <c r="C20184" s="1" t="str">
        <f>HYPERLINK("http://www.rosaceae.org/gb/gbrowse/malus_x_domestica/?name=MDP0000264950","MDP0000264950")</f>
        <v>MDP0000264950</v>
      </c>
      <c r="D20184">
        <v>86.13</v>
      </c>
      <c r="E20184">
        <v>101</v>
      </c>
      <c r="F20184">
        <v>14</v>
      </c>
      <c r="G20184">
        <v>0</v>
      </c>
      <c r="H20184">
        <v>1</v>
      </c>
      <c r="I20184">
        <v>101</v>
      </c>
      <c r="J20184">
        <v>1</v>
      </c>
      <c r="K20184">
        <v>1</v>
      </c>
      <c r="L20184">
        <v>101</v>
      </c>
      <c r="M20184">
        <v>1</v>
      </c>
      <c r="N20184">
        <v>7.7244200000000002E-46</v>
      </c>
      <c r="O20184">
        <v>456</v>
      </c>
    </row>
    <row r="20185" spans="1:15" x14ac:dyDescent="0.25">
      <c r="A20185" t="s">
        <v>20198</v>
      </c>
      <c r="B20185">
        <v>670</v>
      </c>
      <c r="C20185" s="1" t="str">
        <f>HYPERLINK("http://www.rosaceae.org/gb/gbrowse/malus_x_domestica/?name=MDP0000197092","MDP0000197092")</f>
        <v>MDP0000197092</v>
      </c>
      <c r="D20185">
        <v>55.9</v>
      </c>
      <c r="E20185">
        <v>703</v>
      </c>
      <c r="F20185">
        <v>310</v>
      </c>
      <c r="G20185">
        <v>73</v>
      </c>
      <c r="H20185">
        <v>1</v>
      </c>
      <c r="I20185">
        <v>660</v>
      </c>
      <c r="J20185">
        <v>1</v>
      </c>
      <c r="K20185">
        <v>1</v>
      </c>
      <c r="L20185">
        <v>673</v>
      </c>
      <c r="M20185">
        <v>1</v>
      </c>
      <c r="N20185">
        <v>0</v>
      </c>
      <c r="O20185">
        <v>1799</v>
      </c>
    </row>
    <row r="20186" spans="1:15" x14ac:dyDescent="0.25">
      <c r="A20186" t="s">
        <v>20199</v>
      </c>
      <c r="B20186">
        <v>198</v>
      </c>
      <c r="C20186" s="1" t="str">
        <f>HYPERLINK("http://www.rosaceae.org/gb/gbrowse/malus_x_domestica/?name=MDP0000142079","MDP0000142079")</f>
        <v>MDP0000142079</v>
      </c>
      <c r="D20186">
        <v>81.25</v>
      </c>
      <c r="E20186">
        <v>64</v>
      </c>
      <c r="F20186">
        <v>12</v>
      </c>
      <c r="G20186">
        <v>0</v>
      </c>
      <c r="H20186">
        <v>25</v>
      </c>
      <c r="I20186">
        <v>88</v>
      </c>
      <c r="J20186">
        <v>1</v>
      </c>
      <c r="K20186">
        <v>16</v>
      </c>
      <c r="L20186">
        <v>79</v>
      </c>
      <c r="M20186">
        <v>1</v>
      </c>
      <c r="N20186">
        <v>1.29087E-26</v>
      </c>
      <c r="O20186">
        <v>291</v>
      </c>
    </row>
    <row r="20187" spans="1:15" x14ac:dyDescent="0.25">
      <c r="A20187" t="s">
        <v>20200</v>
      </c>
      <c r="B20187">
        <v>692</v>
      </c>
      <c r="C20187" s="1" t="str">
        <f>HYPERLINK("http://www.rosaceae.org/gb/gbrowse/malus_x_domestica/?name=MDP0000308025","MDP0000308025")</f>
        <v>MDP0000308025</v>
      </c>
      <c r="D20187">
        <v>79.930000000000007</v>
      </c>
      <c r="E20187">
        <v>653</v>
      </c>
      <c r="F20187">
        <v>131</v>
      </c>
      <c r="G20187">
        <v>36</v>
      </c>
      <c r="H20187">
        <v>1</v>
      </c>
      <c r="I20187">
        <v>623</v>
      </c>
      <c r="J20187">
        <v>1</v>
      </c>
      <c r="K20187">
        <v>174</v>
      </c>
      <c r="L20187">
        <v>820</v>
      </c>
      <c r="M20187">
        <v>1</v>
      </c>
      <c r="N20187">
        <v>0</v>
      </c>
      <c r="O20187">
        <v>2747</v>
      </c>
    </row>
    <row r="20188" spans="1:15" x14ac:dyDescent="0.25">
      <c r="A20188" t="s">
        <v>20201</v>
      </c>
      <c r="B20188">
        <v>212</v>
      </c>
      <c r="C20188" s="1" t="str">
        <f>HYPERLINK("http://www.rosaceae.org/gb/gbrowse/malus_x_domestica/?name=MDP0000165959","MDP0000165959")</f>
        <v>MDP0000165959</v>
      </c>
      <c r="D20188">
        <v>34.950000000000003</v>
      </c>
      <c r="E20188">
        <v>103</v>
      </c>
      <c r="F20188">
        <v>67</v>
      </c>
      <c r="G20188">
        <v>17</v>
      </c>
      <c r="H20188">
        <v>8</v>
      </c>
      <c r="I20188">
        <v>102</v>
      </c>
      <c r="J20188">
        <v>1</v>
      </c>
      <c r="K20188">
        <v>15</v>
      </c>
      <c r="L20188">
        <v>108</v>
      </c>
      <c r="M20188">
        <v>1</v>
      </c>
      <c r="N20188">
        <v>8.2198299999999998E-7</v>
      </c>
      <c r="O20188">
        <v>121</v>
      </c>
    </row>
    <row r="20189" spans="1:15" x14ac:dyDescent="0.25">
      <c r="A20189" t="s">
        <v>20202</v>
      </c>
      <c r="B20189">
        <v>396</v>
      </c>
      <c r="C20189" s="1" t="str">
        <f>HYPERLINK("http://www.rosaceae.org/gb/gbrowse/malus_x_domestica/?name=MDP0000161222","MDP0000161222")</f>
        <v>MDP0000161222</v>
      </c>
      <c r="D20189">
        <v>33.869999999999997</v>
      </c>
      <c r="E20189">
        <v>183</v>
      </c>
      <c r="F20189">
        <v>121</v>
      </c>
      <c r="G20189">
        <v>21</v>
      </c>
      <c r="H20189">
        <v>177</v>
      </c>
      <c r="I20189">
        <v>354</v>
      </c>
      <c r="J20189">
        <v>1</v>
      </c>
      <c r="K20189">
        <v>647</v>
      </c>
      <c r="L20189">
        <v>813</v>
      </c>
      <c r="M20189">
        <v>1</v>
      </c>
      <c r="N20189">
        <v>3.8298499999999997E-18</v>
      </c>
      <c r="O20189">
        <v>222</v>
      </c>
    </row>
    <row r="20190" spans="1:15" x14ac:dyDescent="0.25">
      <c r="A20190" t="s">
        <v>20203</v>
      </c>
      <c r="B20190">
        <v>454</v>
      </c>
      <c r="C20190" s="1" t="str">
        <f>HYPERLINK("http://www.rosaceae.org/gb/gbrowse/malus_x_domestica/?name=MDP0000167145","MDP0000167145")</f>
        <v>MDP0000167145</v>
      </c>
      <c r="D20190">
        <v>25.08</v>
      </c>
      <c r="E20190">
        <v>291</v>
      </c>
      <c r="F20190">
        <v>218</v>
      </c>
      <c r="G20190">
        <v>79</v>
      </c>
      <c r="H20190">
        <v>12</v>
      </c>
      <c r="I20190">
        <v>278</v>
      </c>
      <c r="J20190">
        <v>1</v>
      </c>
      <c r="K20190">
        <v>233</v>
      </c>
      <c r="L20190">
        <v>468</v>
      </c>
      <c r="M20190">
        <v>1</v>
      </c>
      <c r="N20190">
        <v>9.7635899999999998E-15</v>
      </c>
      <c r="O20190">
        <v>193</v>
      </c>
    </row>
    <row r="20191" spans="1:15" x14ac:dyDescent="0.25">
      <c r="A20191" t="s">
        <v>20204</v>
      </c>
      <c r="B20191">
        <v>624</v>
      </c>
      <c r="C20191" s="1" t="str">
        <f>HYPERLINK("http://www.rosaceae.org/gb/gbrowse/malus_x_domestica/?name=MDP0000185731","MDP0000185731")</f>
        <v>MDP0000185731</v>
      </c>
      <c r="D20191">
        <v>81.38</v>
      </c>
      <c r="E20191">
        <v>317</v>
      </c>
      <c r="F20191">
        <v>59</v>
      </c>
      <c r="G20191">
        <v>10</v>
      </c>
      <c r="H20191">
        <v>318</v>
      </c>
      <c r="I20191">
        <v>624</v>
      </c>
      <c r="J20191">
        <v>1</v>
      </c>
      <c r="K20191">
        <v>1</v>
      </c>
      <c r="L20191">
        <v>317</v>
      </c>
      <c r="M20191">
        <v>1</v>
      </c>
      <c r="N20191">
        <v>6.49282E-148</v>
      </c>
      <c r="O20191">
        <v>1343</v>
      </c>
    </row>
    <row r="20192" spans="1:15" x14ac:dyDescent="0.25">
      <c r="A20192" t="s">
        <v>20205</v>
      </c>
      <c r="B20192">
        <v>436</v>
      </c>
      <c r="C20192" s="1" t="str">
        <f>HYPERLINK("http://www.rosaceae.org/gb/gbrowse/malus_x_domestica/?name=MDP0000142826","MDP0000142826")</f>
        <v>MDP0000142826</v>
      </c>
      <c r="D20192">
        <v>64.95</v>
      </c>
      <c r="E20192">
        <v>448</v>
      </c>
      <c r="F20192">
        <v>157</v>
      </c>
      <c r="G20192">
        <v>59</v>
      </c>
      <c r="H20192">
        <v>3</v>
      </c>
      <c r="I20192">
        <v>405</v>
      </c>
      <c r="J20192">
        <v>1</v>
      </c>
      <c r="K20192">
        <v>9</v>
      </c>
      <c r="L20192">
        <v>442</v>
      </c>
      <c r="M20192">
        <v>1</v>
      </c>
      <c r="N20192">
        <v>1.77394E-154</v>
      </c>
      <c r="O20192">
        <v>1398</v>
      </c>
    </row>
    <row r="20193" spans="1:15" x14ac:dyDescent="0.25">
      <c r="A20193" t="s">
        <v>20206</v>
      </c>
      <c r="B20193">
        <v>107</v>
      </c>
      <c r="C20193" s="1" t="str">
        <f>HYPERLINK("http://www.rosaceae.org/gb/gbrowse/malus_x_domestica/?name=MDP0000902434","MDP0000902434")</f>
        <v>MDP0000902434</v>
      </c>
      <c r="D20193">
        <v>47.78</v>
      </c>
      <c r="E20193">
        <v>113</v>
      </c>
      <c r="F20193">
        <v>59</v>
      </c>
      <c r="G20193">
        <v>7</v>
      </c>
      <c r="H20193">
        <v>1</v>
      </c>
      <c r="I20193">
        <v>107</v>
      </c>
      <c r="J20193">
        <v>1</v>
      </c>
      <c r="K20193">
        <v>1</v>
      </c>
      <c r="L20193">
        <v>112</v>
      </c>
      <c r="M20193">
        <v>1</v>
      </c>
      <c r="N20193">
        <v>1.0757700000000001E-18</v>
      </c>
      <c r="O20193">
        <v>219</v>
      </c>
    </row>
    <row r="20194" spans="1:15" x14ac:dyDescent="0.25">
      <c r="A20194" t="s">
        <v>20207</v>
      </c>
      <c r="B20194">
        <v>752</v>
      </c>
      <c r="C20194" s="1" t="str">
        <f>HYPERLINK("http://www.rosaceae.org/gb/gbrowse/malus_x_domestica/?name=MDP0000250432","MDP0000250432")</f>
        <v>MDP0000250432</v>
      </c>
      <c r="D20194">
        <v>56.66</v>
      </c>
      <c r="E20194">
        <v>713</v>
      </c>
      <c r="F20194">
        <v>309</v>
      </c>
      <c r="G20194">
        <v>107</v>
      </c>
      <c r="H20194">
        <v>1</v>
      </c>
      <c r="I20194">
        <v>697</v>
      </c>
      <c r="J20194">
        <v>1</v>
      </c>
      <c r="K20194">
        <v>114</v>
      </c>
      <c r="L20194">
        <v>735</v>
      </c>
      <c r="M20194">
        <v>1</v>
      </c>
      <c r="N20194">
        <v>0</v>
      </c>
      <c r="O20194">
        <v>1727</v>
      </c>
    </row>
    <row r="20195" spans="1:15" x14ac:dyDescent="0.25">
      <c r="A20195" t="s">
        <v>20208</v>
      </c>
      <c r="B20195">
        <v>253</v>
      </c>
      <c r="C20195" s="1" t="str">
        <f>HYPERLINK("http://www.rosaceae.org/gb/gbrowse/malus_x_domestica/?name=MDP0000805273","MDP0000805273")</f>
        <v>MDP0000805273</v>
      </c>
      <c r="D20195">
        <v>57.5</v>
      </c>
      <c r="E20195">
        <v>200</v>
      </c>
      <c r="F20195">
        <v>85</v>
      </c>
      <c r="G20195">
        <v>24</v>
      </c>
      <c r="H20195">
        <v>58</v>
      </c>
      <c r="I20195">
        <v>247</v>
      </c>
      <c r="J20195">
        <v>1</v>
      </c>
      <c r="K20195">
        <v>58</v>
      </c>
      <c r="L20195">
        <v>243</v>
      </c>
      <c r="M20195">
        <v>1</v>
      </c>
      <c r="N20195">
        <v>9.5674700000000005E-49</v>
      </c>
      <c r="O20195">
        <v>483</v>
      </c>
    </row>
    <row r="20196" spans="1:15" x14ac:dyDescent="0.25">
      <c r="A20196" t="s">
        <v>20209</v>
      </c>
      <c r="B20196">
        <v>1194</v>
      </c>
      <c r="C20196" s="1" t="str">
        <f>HYPERLINK("http://www.rosaceae.org/gb/gbrowse/malus_x_domestica/?name=MDP0000147356","MDP0000147356")</f>
        <v>MDP0000147356</v>
      </c>
      <c r="D20196">
        <v>82.83</v>
      </c>
      <c r="E20196">
        <v>536</v>
      </c>
      <c r="F20196">
        <v>92</v>
      </c>
      <c r="G20196">
        <v>50</v>
      </c>
      <c r="H20196">
        <v>577</v>
      </c>
      <c r="I20196">
        <v>1112</v>
      </c>
      <c r="J20196">
        <v>1</v>
      </c>
      <c r="K20196">
        <v>55</v>
      </c>
      <c r="L20196">
        <v>540</v>
      </c>
      <c r="M20196">
        <v>1</v>
      </c>
      <c r="N20196">
        <v>0</v>
      </c>
      <c r="O20196">
        <v>2211</v>
      </c>
    </row>
    <row r="20197" spans="1:15" x14ac:dyDescent="0.25">
      <c r="A20197" t="s">
        <v>20210</v>
      </c>
      <c r="B20197">
        <v>166</v>
      </c>
      <c r="C20197" s="1" t="str">
        <f>HYPERLINK("http://www.rosaceae.org/gb/gbrowse/malus_x_domestica/?name=MDP0000703418","MDP0000703418")</f>
        <v>MDP0000703418</v>
      </c>
      <c r="D20197">
        <v>61.76</v>
      </c>
      <c r="E20197">
        <v>170</v>
      </c>
      <c r="F20197">
        <v>65</v>
      </c>
      <c r="G20197">
        <v>4</v>
      </c>
      <c r="H20197">
        <v>1</v>
      </c>
      <c r="I20197">
        <v>166</v>
      </c>
      <c r="J20197">
        <v>1</v>
      </c>
      <c r="K20197">
        <v>982</v>
      </c>
      <c r="L20197">
        <v>1151</v>
      </c>
      <c r="M20197">
        <v>1</v>
      </c>
      <c r="N20197">
        <v>1.49976E-59</v>
      </c>
      <c r="O20197">
        <v>574</v>
      </c>
    </row>
    <row r="20198" spans="1:15" x14ac:dyDescent="0.25">
      <c r="A20198" t="s">
        <v>20211</v>
      </c>
      <c r="B20198">
        <v>158</v>
      </c>
      <c r="C20198" s="1" t="str">
        <f>HYPERLINK("http://www.rosaceae.org/gb/gbrowse/malus_x_domestica/?name=MDP0000406918","MDP0000406918")</f>
        <v>MDP0000406918</v>
      </c>
      <c r="D20198">
        <v>66.66</v>
      </c>
      <c r="E20198">
        <v>141</v>
      </c>
      <c r="F20198">
        <v>47</v>
      </c>
      <c r="G20198">
        <v>9</v>
      </c>
      <c r="H20198">
        <v>1</v>
      </c>
      <c r="I20198">
        <v>136</v>
      </c>
      <c r="J20198">
        <v>1</v>
      </c>
      <c r="K20198">
        <v>112</v>
      </c>
      <c r="L20198">
        <v>248</v>
      </c>
      <c r="M20198">
        <v>1</v>
      </c>
      <c r="N20198">
        <v>9.9947700000000004E-44</v>
      </c>
      <c r="O20198">
        <v>437</v>
      </c>
    </row>
    <row r="20199" spans="1:15" x14ac:dyDescent="0.25">
      <c r="A20199" t="s">
        <v>20212</v>
      </c>
      <c r="B20199">
        <v>354</v>
      </c>
      <c r="C20199" s="1" t="str">
        <f>HYPERLINK("http://www.rosaceae.org/gb/gbrowse/malus_x_domestica/?name=MDP0000248215","MDP0000248215")</f>
        <v>MDP0000248215</v>
      </c>
      <c r="D20199">
        <v>64.28</v>
      </c>
      <c r="E20199">
        <v>308</v>
      </c>
      <c r="F20199">
        <v>110</v>
      </c>
      <c r="G20199">
        <v>2</v>
      </c>
      <c r="H20199">
        <v>39</v>
      </c>
      <c r="I20199">
        <v>345</v>
      </c>
      <c r="J20199">
        <v>1</v>
      </c>
      <c r="K20199">
        <v>78</v>
      </c>
      <c r="L20199">
        <v>384</v>
      </c>
      <c r="M20199">
        <v>1</v>
      </c>
      <c r="N20199">
        <v>3.8248999999999997E-114</v>
      </c>
      <c r="O20199">
        <v>1049</v>
      </c>
    </row>
    <row r="20200" spans="1:15" x14ac:dyDescent="0.25">
      <c r="A20200" t="s">
        <v>20213</v>
      </c>
      <c r="B20200">
        <v>955</v>
      </c>
      <c r="C20200" s="1" t="str">
        <f>HYPERLINK("http://www.rosaceae.org/gb/gbrowse/malus_x_domestica/?name=MDP0000130320","MDP0000130320")</f>
        <v>MDP0000130320</v>
      </c>
      <c r="D20200">
        <v>60.09</v>
      </c>
      <c r="E20200">
        <v>401</v>
      </c>
      <c r="F20200">
        <v>160</v>
      </c>
      <c r="G20200">
        <v>20</v>
      </c>
      <c r="H20200">
        <v>68</v>
      </c>
      <c r="I20200">
        <v>450</v>
      </c>
      <c r="J20200">
        <v>1</v>
      </c>
      <c r="K20200">
        <v>83</v>
      </c>
      <c r="L20200">
        <v>481</v>
      </c>
      <c r="M20200">
        <v>1</v>
      </c>
      <c r="N20200">
        <v>6.8177100000000004E-117</v>
      </c>
      <c r="O20200">
        <v>1077</v>
      </c>
    </row>
    <row r="20201" spans="1:15" x14ac:dyDescent="0.25">
      <c r="A20201" t="s">
        <v>20214</v>
      </c>
      <c r="B20201">
        <v>555</v>
      </c>
      <c r="C20201" s="1" t="str">
        <f>HYPERLINK("http://www.rosaceae.org/gb/gbrowse/malus_x_domestica/?name=MDP0000518482","MDP0000518482")</f>
        <v>MDP0000518482</v>
      </c>
      <c r="D20201">
        <v>58.86</v>
      </c>
      <c r="E20201">
        <v>440</v>
      </c>
      <c r="F20201">
        <v>181</v>
      </c>
      <c r="G20201">
        <v>22</v>
      </c>
      <c r="H20201">
        <v>1</v>
      </c>
      <c r="I20201">
        <v>426</v>
      </c>
      <c r="J20201">
        <v>1</v>
      </c>
      <c r="K20201">
        <v>389</v>
      </c>
      <c r="L20201">
        <v>820</v>
      </c>
      <c r="M20201">
        <v>1</v>
      </c>
      <c r="N20201">
        <v>7.0904300000000005E-145</v>
      </c>
      <c r="O20201">
        <v>1316</v>
      </c>
    </row>
    <row r="20202" spans="1:15" x14ac:dyDescent="0.25">
      <c r="A20202" t="s">
        <v>20215</v>
      </c>
      <c r="B20202">
        <v>536</v>
      </c>
      <c r="C20202" s="1" t="str">
        <f>HYPERLINK("http://www.rosaceae.org/gb/gbrowse/malus_x_domestica/?name=MDP0000249051","MDP0000249051")</f>
        <v>MDP0000249051</v>
      </c>
      <c r="D20202">
        <v>84.77</v>
      </c>
      <c r="E20202">
        <v>335</v>
      </c>
      <c r="F20202">
        <v>51</v>
      </c>
      <c r="G20202">
        <v>10</v>
      </c>
      <c r="H20202">
        <v>186</v>
      </c>
      <c r="I20202">
        <v>510</v>
      </c>
      <c r="J20202">
        <v>1</v>
      </c>
      <c r="K20202">
        <v>416</v>
      </c>
      <c r="L20202">
        <v>750</v>
      </c>
      <c r="M20202">
        <v>1</v>
      </c>
      <c r="N20202">
        <v>4.6301900000000001E-162</v>
      </c>
      <c r="O20202">
        <v>1464</v>
      </c>
    </row>
    <row r="20203" spans="1:15" x14ac:dyDescent="0.25">
      <c r="A20203" t="s">
        <v>20216</v>
      </c>
      <c r="B20203">
        <v>538</v>
      </c>
      <c r="C20203" s="1" t="str">
        <f>HYPERLINK("http://www.rosaceae.org/gb/gbrowse/malus_x_domestica/?name=MDP0000127951","MDP0000127951")</f>
        <v>MDP0000127951</v>
      </c>
      <c r="D20203">
        <v>77.290000000000006</v>
      </c>
      <c r="E20203">
        <v>511</v>
      </c>
      <c r="F20203">
        <v>116</v>
      </c>
      <c r="G20203">
        <v>25</v>
      </c>
      <c r="H20203">
        <v>32</v>
      </c>
      <c r="I20203">
        <v>538</v>
      </c>
      <c r="J20203">
        <v>1</v>
      </c>
      <c r="K20203">
        <v>1</v>
      </c>
      <c r="L20203">
        <v>490</v>
      </c>
      <c r="M20203">
        <v>1</v>
      </c>
      <c r="N20203">
        <v>0</v>
      </c>
      <c r="O20203">
        <v>2086</v>
      </c>
    </row>
    <row r="20204" spans="1:15" x14ac:dyDescent="0.25">
      <c r="A20204" t="s">
        <v>20217</v>
      </c>
      <c r="B20204">
        <v>746</v>
      </c>
      <c r="C20204" s="1" t="str">
        <f>HYPERLINK("http://www.rosaceae.org/gb/gbrowse/malus_x_domestica/?name=MDP0000208101","MDP0000208101")</f>
        <v>MDP0000208101</v>
      </c>
      <c r="D20204">
        <v>67.489999999999995</v>
      </c>
      <c r="E20204">
        <v>683</v>
      </c>
      <c r="F20204">
        <v>222</v>
      </c>
      <c r="G20204">
        <v>39</v>
      </c>
      <c r="H20204">
        <v>42</v>
      </c>
      <c r="I20204">
        <v>713</v>
      </c>
      <c r="J20204">
        <v>1</v>
      </c>
      <c r="K20204">
        <v>24</v>
      </c>
      <c r="L20204">
        <v>678</v>
      </c>
      <c r="M20204">
        <v>1</v>
      </c>
      <c r="N20204">
        <v>0</v>
      </c>
      <c r="O20204">
        <v>2397</v>
      </c>
    </row>
    <row r="20205" spans="1:15" x14ac:dyDescent="0.25">
      <c r="A20205" t="s">
        <v>20218</v>
      </c>
      <c r="B20205">
        <v>166</v>
      </c>
      <c r="C20205" s="1" t="str">
        <f>HYPERLINK("http://www.rosaceae.org/gb/gbrowse/malus_x_domestica/?name=MDP0000239354","MDP0000239354")</f>
        <v>MDP0000239354</v>
      </c>
      <c r="D20205">
        <v>64</v>
      </c>
      <c r="E20205">
        <v>50</v>
      </c>
      <c r="F20205">
        <v>18</v>
      </c>
      <c r="G20205">
        <v>1</v>
      </c>
      <c r="H20205">
        <v>67</v>
      </c>
      <c r="I20205">
        <v>115</v>
      </c>
      <c r="J20205">
        <v>1</v>
      </c>
      <c r="K20205">
        <v>87</v>
      </c>
      <c r="L20205">
        <v>136</v>
      </c>
      <c r="M20205">
        <v>1</v>
      </c>
      <c r="N20205">
        <v>1.1550800000000001E-10</v>
      </c>
      <c r="O20205">
        <v>152</v>
      </c>
    </row>
    <row r="20206" spans="1:15" x14ac:dyDescent="0.25">
      <c r="A20206" t="s">
        <v>20219</v>
      </c>
      <c r="B20206">
        <v>473</v>
      </c>
      <c r="C20206" s="1" t="str">
        <f>HYPERLINK("http://www.rosaceae.org/gb/gbrowse/malus_x_domestica/?name=MDP0000225623","MDP0000225623")</f>
        <v>MDP0000225623</v>
      </c>
      <c r="D20206">
        <v>37.700000000000003</v>
      </c>
      <c r="E20206">
        <v>419</v>
      </c>
      <c r="F20206">
        <v>261</v>
      </c>
      <c r="G20206">
        <v>48</v>
      </c>
      <c r="H20206">
        <v>70</v>
      </c>
      <c r="I20206">
        <v>458</v>
      </c>
      <c r="J20206">
        <v>1</v>
      </c>
      <c r="K20206">
        <v>249</v>
      </c>
      <c r="L20206">
        <v>649</v>
      </c>
      <c r="M20206">
        <v>1</v>
      </c>
      <c r="N20206">
        <v>1.05732E-67</v>
      </c>
      <c r="O20206">
        <v>650</v>
      </c>
    </row>
    <row r="20207" spans="1:15" x14ac:dyDescent="0.25">
      <c r="A20207" t="s">
        <v>20220</v>
      </c>
      <c r="B20207">
        <v>594</v>
      </c>
      <c r="C20207" s="1" t="str">
        <f>HYPERLINK("http://www.rosaceae.org/gb/gbrowse/malus_x_domestica/?name=MDP0000196436","MDP0000196436")</f>
        <v>MDP0000196436</v>
      </c>
      <c r="D20207">
        <v>76.66</v>
      </c>
      <c r="E20207">
        <v>527</v>
      </c>
      <c r="F20207">
        <v>123</v>
      </c>
      <c r="G20207">
        <v>37</v>
      </c>
      <c r="H20207">
        <v>99</v>
      </c>
      <c r="I20207">
        <v>589</v>
      </c>
      <c r="J20207">
        <v>1</v>
      </c>
      <c r="K20207">
        <v>1</v>
      </c>
      <c r="L20207">
        <v>526</v>
      </c>
      <c r="M20207">
        <v>1</v>
      </c>
      <c r="N20207">
        <v>0</v>
      </c>
      <c r="O20207">
        <v>2082</v>
      </c>
    </row>
    <row r="20208" spans="1:15" x14ac:dyDescent="0.25">
      <c r="A20208" t="s">
        <v>20221</v>
      </c>
      <c r="B20208">
        <v>204</v>
      </c>
      <c r="C20208" s="1" t="str">
        <f>HYPERLINK("http://www.rosaceae.org/gb/gbrowse/malus_x_domestica/?name=MDP0000147996","MDP0000147996")</f>
        <v>MDP0000147996</v>
      </c>
      <c r="D20208">
        <v>67.099999999999994</v>
      </c>
      <c r="E20208">
        <v>76</v>
      </c>
      <c r="F20208">
        <v>25</v>
      </c>
      <c r="G20208">
        <v>0</v>
      </c>
      <c r="H20208">
        <v>51</v>
      </c>
      <c r="I20208">
        <v>126</v>
      </c>
      <c r="J20208">
        <v>1</v>
      </c>
      <c r="K20208">
        <v>9</v>
      </c>
      <c r="L20208">
        <v>84</v>
      </c>
      <c r="M20208">
        <v>1</v>
      </c>
      <c r="N20208">
        <v>1.00875E-25</v>
      </c>
      <c r="O20208">
        <v>283</v>
      </c>
    </row>
    <row r="20209" spans="1:15" x14ac:dyDescent="0.25">
      <c r="A20209" t="s">
        <v>20222</v>
      </c>
      <c r="B20209">
        <v>187</v>
      </c>
      <c r="C20209" s="1" t="str">
        <f>HYPERLINK("http://www.rosaceae.org/gb/gbrowse/malus_x_domestica/?name=MDP0000202829","MDP0000202829")</f>
        <v>MDP0000202829</v>
      </c>
      <c r="D20209">
        <v>54.38</v>
      </c>
      <c r="E20209">
        <v>57</v>
      </c>
      <c r="F20209">
        <v>26</v>
      </c>
      <c r="G20209">
        <v>0</v>
      </c>
      <c r="H20209">
        <v>86</v>
      </c>
      <c r="I20209">
        <v>142</v>
      </c>
      <c r="J20209">
        <v>1</v>
      </c>
      <c r="K20209">
        <v>35</v>
      </c>
      <c r="L20209">
        <v>91</v>
      </c>
      <c r="M20209">
        <v>1</v>
      </c>
      <c r="N20209">
        <v>1.2206399999999999E-12</v>
      </c>
      <c r="O20209">
        <v>170</v>
      </c>
    </row>
    <row r="20210" spans="1:15" x14ac:dyDescent="0.25">
      <c r="A20210" t="s">
        <v>20223</v>
      </c>
      <c r="B20210">
        <v>148</v>
      </c>
      <c r="C20210" s="1" t="str">
        <f>HYPERLINK("http://www.rosaceae.org/gb/gbrowse/malus_x_domestica/?name=MDP0000288052","MDP0000288052")</f>
        <v>MDP0000288052</v>
      </c>
      <c r="D20210">
        <v>50</v>
      </c>
      <c r="E20210">
        <v>176</v>
      </c>
      <c r="F20210">
        <v>88</v>
      </c>
      <c r="G20210">
        <v>36</v>
      </c>
      <c r="H20210">
        <v>1</v>
      </c>
      <c r="I20210">
        <v>142</v>
      </c>
      <c r="J20210">
        <v>1</v>
      </c>
      <c r="K20210">
        <v>164</v>
      </c>
      <c r="L20210">
        <v>337</v>
      </c>
      <c r="M20210">
        <v>1</v>
      </c>
      <c r="N20210">
        <v>1.78096E-35</v>
      </c>
      <c r="O20210">
        <v>365</v>
      </c>
    </row>
    <row r="20211" spans="1:15" x14ac:dyDescent="0.25">
      <c r="A20211" t="s">
        <v>20224</v>
      </c>
      <c r="B20211">
        <v>136</v>
      </c>
      <c r="C20211" s="1" t="str">
        <f>HYPERLINK("http://www.rosaceae.org/gb/gbrowse/malus_x_domestica/?name=MDP0000935646","MDP0000935646")</f>
        <v>MDP0000935646</v>
      </c>
      <c r="D20211">
        <v>57.44</v>
      </c>
      <c r="E20211">
        <v>141</v>
      </c>
      <c r="F20211">
        <v>60</v>
      </c>
      <c r="G20211">
        <v>9</v>
      </c>
      <c r="H20211">
        <v>1</v>
      </c>
      <c r="I20211">
        <v>136</v>
      </c>
      <c r="J20211">
        <v>1</v>
      </c>
      <c r="K20211">
        <v>14</v>
      </c>
      <c r="L20211">
        <v>150</v>
      </c>
      <c r="M20211">
        <v>1</v>
      </c>
      <c r="N20211">
        <v>4.0124300000000001E-34</v>
      </c>
      <c r="O20211">
        <v>353</v>
      </c>
    </row>
    <row r="20212" spans="1:15" x14ac:dyDescent="0.25">
      <c r="A20212" t="s">
        <v>20225</v>
      </c>
      <c r="B20212">
        <v>350</v>
      </c>
      <c r="C20212" s="1" t="str">
        <f>HYPERLINK("http://www.rosaceae.org/gb/gbrowse/malus_x_domestica/?name=MDP0000313602","MDP0000313602")</f>
        <v>MDP0000313602</v>
      </c>
      <c r="D20212">
        <v>86</v>
      </c>
      <c r="E20212">
        <v>293</v>
      </c>
      <c r="F20212">
        <v>41</v>
      </c>
      <c r="G20212">
        <v>0</v>
      </c>
      <c r="H20212">
        <v>1</v>
      </c>
      <c r="I20212">
        <v>293</v>
      </c>
      <c r="J20212">
        <v>1</v>
      </c>
      <c r="K20212">
        <v>1</v>
      </c>
      <c r="L20212">
        <v>293</v>
      </c>
      <c r="M20212">
        <v>1</v>
      </c>
      <c r="N20212">
        <v>3.3426499999999999E-147</v>
      </c>
      <c r="O20212">
        <v>1334</v>
      </c>
    </row>
    <row r="20213" spans="1:15" x14ac:dyDescent="0.25">
      <c r="A20213" t="s">
        <v>20226</v>
      </c>
      <c r="B20213">
        <v>755</v>
      </c>
      <c r="C20213" s="1" t="str">
        <f>HYPERLINK("http://www.rosaceae.org/gb/gbrowse/malus_x_domestica/?name=MDP0000281231","MDP0000281231")</f>
        <v>MDP0000281231</v>
      </c>
      <c r="D20213">
        <v>66.41</v>
      </c>
      <c r="E20213">
        <v>658</v>
      </c>
      <c r="F20213">
        <v>221</v>
      </c>
      <c r="G20213">
        <v>77</v>
      </c>
      <c r="H20213">
        <v>6</v>
      </c>
      <c r="I20213">
        <v>637</v>
      </c>
      <c r="J20213">
        <v>1</v>
      </c>
      <c r="K20213">
        <v>1462</v>
      </c>
      <c r="L20213">
        <v>2068</v>
      </c>
      <c r="M20213">
        <v>1</v>
      </c>
      <c r="N20213">
        <v>0</v>
      </c>
      <c r="O20213">
        <v>2285</v>
      </c>
    </row>
    <row r="20214" spans="1:15" x14ac:dyDescent="0.25">
      <c r="A20214" t="s">
        <v>20227</v>
      </c>
      <c r="B20214">
        <v>79</v>
      </c>
      <c r="C20214" s="1" t="str">
        <f>HYPERLINK("http://www.rosaceae.org/gb/gbrowse/malus_x_domestica/?name=MDP0000226809","MDP0000226809")</f>
        <v>MDP0000226809</v>
      </c>
      <c r="D20214">
        <v>55.26</v>
      </c>
      <c r="E20214">
        <v>76</v>
      </c>
      <c r="F20214">
        <v>34</v>
      </c>
      <c r="G20214">
        <v>1</v>
      </c>
      <c r="H20214">
        <v>1</v>
      </c>
      <c r="I20214">
        <v>76</v>
      </c>
      <c r="J20214">
        <v>1</v>
      </c>
      <c r="K20214">
        <v>822</v>
      </c>
      <c r="L20214">
        <v>896</v>
      </c>
      <c r="M20214">
        <v>1</v>
      </c>
      <c r="N20214">
        <v>1.21062E-16</v>
      </c>
      <c r="O20214">
        <v>201</v>
      </c>
    </row>
    <row r="20215" spans="1:15" x14ac:dyDescent="0.25">
      <c r="A20215" t="s">
        <v>20228</v>
      </c>
      <c r="B20215">
        <v>544</v>
      </c>
      <c r="C20215" s="1" t="str">
        <f>HYPERLINK("http://www.rosaceae.org/gb/gbrowse/malus_x_domestica/?name=MDP0000593637","MDP0000593637")</f>
        <v>MDP0000593637</v>
      </c>
      <c r="D20215">
        <v>79.959999999999994</v>
      </c>
      <c r="E20215">
        <v>544</v>
      </c>
      <c r="F20215">
        <v>109</v>
      </c>
      <c r="G20215">
        <v>2</v>
      </c>
      <c r="H20215">
        <v>1</v>
      </c>
      <c r="I20215">
        <v>544</v>
      </c>
      <c r="J20215">
        <v>1</v>
      </c>
      <c r="K20215">
        <v>1</v>
      </c>
      <c r="L20215">
        <v>542</v>
      </c>
      <c r="M20215">
        <v>1</v>
      </c>
      <c r="N20215">
        <v>0</v>
      </c>
      <c r="O20215">
        <v>2345</v>
      </c>
    </row>
    <row r="20216" spans="1:15" x14ac:dyDescent="0.25">
      <c r="A20216" t="s">
        <v>20229</v>
      </c>
      <c r="B20216">
        <v>224</v>
      </c>
      <c r="C20216" s="1" t="str">
        <f>HYPERLINK("http://www.rosaceae.org/gb/gbrowse/malus_x_domestica/?name=MDP0000248822","MDP0000248822")</f>
        <v>MDP0000248822</v>
      </c>
      <c r="D20216">
        <v>85.56</v>
      </c>
      <c r="E20216">
        <v>97</v>
      </c>
      <c r="F20216">
        <v>14</v>
      </c>
      <c r="G20216">
        <v>0</v>
      </c>
      <c r="H20216">
        <v>2</v>
      </c>
      <c r="I20216">
        <v>98</v>
      </c>
      <c r="J20216">
        <v>1</v>
      </c>
      <c r="K20216">
        <v>42</v>
      </c>
      <c r="L20216">
        <v>138</v>
      </c>
      <c r="M20216">
        <v>1</v>
      </c>
      <c r="N20216">
        <v>9.6592000000000007E-46</v>
      </c>
      <c r="O20216">
        <v>457</v>
      </c>
    </row>
    <row r="20217" spans="1:15" x14ac:dyDescent="0.25">
      <c r="A20217" t="s">
        <v>20230</v>
      </c>
      <c r="B20217">
        <v>339</v>
      </c>
      <c r="C20217" s="1" t="str">
        <f>HYPERLINK("http://www.rosaceae.org/gb/gbrowse/malus_x_domestica/?name=MDP0000755275","MDP0000755275")</f>
        <v>MDP0000755275</v>
      </c>
      <c r="D20217">
        <v>83.63</v>
      </c>
      <c r="E20217">
        <v>336</v>
      </c>
      <c r="F20217">
        <v>55</v>
      </c>
      <c r="G20217">
        <v>0</v>
      </c>
      <c r="H20217">
        <v>2</v>
      </c>
      <c r="I20217">
        <v>337</v>
      </c>
      <c r="J20217">
        <v>1</v>
      </c>
      <c r="K20217">
        <v>4</v>
      </c>
      <c r="L20217">
        <v>339</v>
      </c>
      <c r="M20217">
        <v>1</v>
      </c>
      <c r="N20217">
        <v>1.0805E-172</v>
      </c>
      <c r="O20217">
        <v>1554</v>
      </c>
    </row>
    <row r="20218" spans="1:15" x14ac:dyDescent="0.25">
      <c r="A20218" t="s">
        <v>20231</v>
      </c>
      <c r="B20218">
        <v>390</v>
      </c>
      <c r="C20218" s="1" t="str">
        <f>HYPERLINK("http://www.rosaceae.org/gb/gbrowse/malus_x_domestica/?name=MDP0000444205","MDP0000444205")</f>
        <v>MDP0000444205</v>
      </c>
      <c r="D20218">
        <v>90.25</v>
      </c>
      <c r="E20218">
        <v>390</v>
      </c>
      <c r="F20218">
        <v>38</v>
      </c>
      <c r="G20218">
        <v>0</v>
      </c>
      <c r="H20218">
        <v>1</v>
      </c>
      <c r="I20218">
        <v>390</v>
      </c>
      <c r="J20218">
        <v>1</v>
      </c>
      <c r="K20218">
        <v>1</v>
      </c>
      <c r="L20218">
        <v>390</v>
      </c>
      <c r="M20218">
        <v>1</v>
      </c>
      <c r="N20218">
        <v>0</v>
      </c>
      <c r="O20218">
        <v>1900</v>
      </c>
    </row>
    <row r="20219" spans="1:15" x14ac:dyDescent="0.25">
      <c r="A20219" t="s">
        <v>20232</v>
      </c>
      <c r="B20219">
        <v>531</v>
      </c>
      <c r="C20219" s="1" t="str">
        <f>HYPERLINK("http://www.rosaceae.org/gb/gbrowse/malus_x_domestica/?name=MDP0000256818","MDP0000256818")</f>
        <v>MDP0000256818</v>
      </c>
      <c r="D20219">
        <v>86.32</v>
      </c>
      <c r="E20219">
        <v>512</v>
      </c>
      <c r="F20219">
        <v>70</v>
      </c>
      <c r="G20219">
        <v>2</v>
      </c>
      <c r="H20219">
        <v>22</v>
      </c>
      <c r="I20219">
        <v>531</v>
      </c>
      <c r="J20219">
        <v>1</v>
      </c>
      <c r="K20219">
        <v>207</v>
      </c>
      <c r="L20219">
        <v>718</v>
      </c>
      <c r="M20219">
        <v>1</v>
      </c>
      <c r="N20219">
        <v>0</v>
      </c>
      <c r="O20219">
        <v>2440</v>
      </c>
    </row>
    <row r="20220" spans="1:15" x14ac:dyDescent="0.25">
      <c r="A20220" t="s">
        <v>20233</v>
      </c>
      <c r="B20220">
        <v>349</v>
      </c>
      <c r="C20220" s="1" t="str">
        <f>HYPERLINK("http://www.rosaceae.org/gb/gbrowse/malus_x_domestica/?name=MDP0000341606","MDP0000341606")</f>
        <v>MDP0000341606</v>
      </c>
      <c r="D20220">
        <v>70.510000000000005</v>
      </c>
      <c r="E20220">
        <v>312</v>
      </c>
      <c r="F20220">
        <v>92</v>
      </c>
      <c r="G20220">
        <v>17</v>
      </c>
      <c r="H20220">
        <v>34</v>
      </c>
      <c r="I20220">
        <v>345</v>
      </c>
      <c r="J20220">
        <v>1</v>
      </c>
      <c r="K20220">
        <v>35</v>
      </c>
      <c r="L20220">
        <v>329</v>
      </c>
      <c r="M20220">
        <v>1</v>
      </c>
      <c r="N20220">
        <v>1.98235E-122</v>
      </c>
      <c r="O20220">
        <v>1121</v>
      </c>
    </row>
    <row r="20221" spans="1:15" x14ac:dyDescent="0.25">
      <c r="A20221" t="s">
        <v>20234</v>
      </c>
      <c r="B20221">
        <v>453</v>
      </c>
      <c r="C20221" s="1" t="str">
        <f>HYPERLINK("http://www.rosaceae.org/gb/gbrowse/malus_x_domestica/?name=MDP0000183096","MDP0000183096")</f>
        <v>MDP0000183096</v>
      </c>
      <c r="D20221">
        <v>58.01</v>
      </c>
      <c r="E20221">
        <v>443</v>
      </c>
      <c r="F20221">
        <v>186</v>
      </c>
      <c r="G20221">
        <v>35</v>
      </c>
      <c r="H20221">
        <v>16</v>
      </c>
      <c r="I20221">
        <v>453</v>
      </c>
      <c r="J20221">
        <v>1</v>
      </c>
      <c r="K20221">
        <v>20</v>
      </c>
      <c r="L20221">
        <v>432</v>
      </c>
      <c r="M20221">
        <v>1</v>
      </c>
      <c r="N20221">
        <v>7.2722699999999997E-129</v>
      </c>
      <c r="O20221">
        <v>1177</v>
      </c>
    </row>
    <row r="20222" spans="1:15" x14ac:dyDescent="0.25">
      <c r="A20222" t="s">
        <v>20235</v>
      </c>
      <c r="B20222">
        <v>198</v>
      </c>
      <c r="C20222" s="1" t="str">
        <f>HYPERLINK("http://www.rosaceae.org/gb/gbrowse/malus_x_domestica/?name=MDP0000569928","MDP0000569928")</f>
        <v>MDP0000569928</v>
      </c>
      <c r="D20222">
        <v>58.08</v>
      </c>
      <c r="E20222">
        <v>198</v>
      </c>
      <c r="F20222">
        <v>83</v>
      </c>
      <c r="G20222">
        <v>0</v>
      </c>
      <c r="H20222">
        <v>1</v>
      </c>
      <c r="I20222">
        <v>198</v>
      </c>
      <c r="J20222">
        <v>1</v>
      </c>
      <c r="K20222">
        <v>1</v>
      </c>
      <c r="L20222">
        <v>198</v>
      </c>
      <c r="M20222">
        <v>1</v>
      </c>
      <c r="N20222">
        <v>1.05349E-65</v>
      </c>
      <c r="O20222">
        <v>628</v>
      </c>
    </row>
    <row r="20223" spans="1:15" x14ac:dyDescent="0.25">
      <c r="A20223" t="s">
        <v>20236</v>
      </c>
      <c r="B20223">
        <v>597</v>
      </c>
      <c r="C20223" s="1" t="str">
        <f>HYPERLINK("http://www.rosaceae.org/gb/gbrowse/malus_x_domestica/?name=MDP0000315114","MDP0000315114")</f>
        <v>MDP0000315114</v>
      </c>
      <c r="D20223">
        <v>62.17</v>
      </c>
      <c r="E20223">
        <v>423</v>
      </c>
      <c r="F20223">
        <v>160</v>
      </c>
      <c r="G20223">
        <v>4</v>
      </c>
      <c r="H20223">
        <v>19</v>
      </c>
      <c r="I20223">
        <v>441</v>
      </c>
      <c r="J20223">
        <v>1</v>
      </c>
      <c r="K20223">
        <v>1</v>
      </c>
      <c r="L20223">
        <v>419</v>
      </c>
      <c r="M20223">
        <v>1</v>
      </c>
      <c r="N20223">
        <v>4.5548499999999999E-140</v>
      </c>
      <c r="O20223">
        <v>1275</v>
      </c>
    </row>
    <row r="20224" spans="1:15" x14ac:dyDescent="0.25">
      <c r="A20224" t="s">
        <v>20237</v>
      </c>
      <c r="B20224">
        <v>571</v>
      </c>
      <c r="C20224" s="1" t="str">
        <f>HYPERLINK("http://www.rosaceae.org/gb/gbrowse/malus_x_domestica/?name=MDP0000552080","MDP0000552080")</f>
        <v>MDP0000552080</v>
      </c>
      <c r="D20224">
        <v>83.66</v>
      </c>
      <c r="E20224">
        <v>496</v>
      </c>
      <c r="F20224">
        <v>81</v>
      </c>
      <c r="G20224">
        <v>0</v>
      </c>
      <c r="H20224">
        <v>76</v>
      </c>
      <c r="I20224">
        <v>571</v>
      </c>
      <c r="J20224">
        <v>1</v>
      </c>
      <c r="K20224">
        <v>88</v>
      </c>
      <c r="L20224">
        <v>583</v>
      </c>
      <c r="M20224">
        <v>1</v>
      </c>
      <c r="N20224">
        <v>0</v>
      </c>
      <c r="O20224">
        <v>2202</v>
      </c>
    </row>
    <row r="20225" spans="1:15" x14ac:dyDescent="0.25">
      <c r="A20225" t="s">
        <v>20238</v>
      </c>
      <c r="B20225">
        <v>493</v>
      </c>
      <c r="C20225" s="1" t="str">
        <f>HYPERLINK("http://www.rosaceae.org/gb/gbrowse/malus_x_domestica/?name=MDP0000695737","MDP0000695737")</f>
        <v>MDP0000695737</v>
      </c>
      <c r="D20225">
        <v>69.010000000000005</v>
      </c>
      <c r="E20225">
        <v>510</v>
      </c>
      <c r="F20225">
        <v>158</v>
      </c>
      <c r="G20225">
        <v>33</v>
      </c>
      <c r="H20225">
        <v>1</v>
      </c>
      <c r="I20225">
        <v>493</v>
      </c>
      <c r="J20225">
        <v>1</v>
      </c>
      <c r="K20225">
        <v>53</v>
      </c>
      <c r="L20225">
        <v>546</v>
      </c>
      <c r="M20225">
        <v>1</v>
      </c>
      <c r="N20225">
        <v>0</v>
      </c>
      <c r="O20225">
        <v>1733</v>
      </c>
    </row>
    <row r="20226" spans="1:15" x14ac:dyDescent="0.25">
      <c r="A20226" t="s">
        <v>20239</v>
      </c>
      <c r="B20226">
        <v>374</v>
      </c>
      <c r="C20226" s="1" t="str">
        <f>HYPERLINK("http://www.rosaceae.org/gb/gbrowse/malus_x_domestica/?name=MDP0000290121","MDP0000290121")</f>
        <v>MDP0000290121</v>
      </c>
      <c r="D20226">
        <v>30.94</v>
      </c>
      <c r="E20226">
        <v>307</v>
      </c>
      <c r="F20226">
        <v>212</v>
      </c>
      <c r="G20226">
        <v>57</v>
      </c>
      <c r="H20226">
        <v>89</v>
      </c>
      <c r="I20226">
        <v>352</v>
      </c>
      <c r="J20226">
        <v>1</v>
      </c>
      <c r="K20226">
        <v>129</v>
      </c>
      <c r="L20226">
        <v>421</v>
      </c>
      <c r="M20226">
        <v>1</v>
      </c>
      <c r="N20226">
        <v>2.2328600000000002E-21</v>
      </c>
      <c r="O20226">
        <v>249</v>
      </c>
    </row>
    <row r="20227" spans="1:15" x14ac:dyDescent="0.25">
      <c r="A20227" t="s">
        <v>20240</v>
      </c>
      <c r="B20227">
        <v>631</v>
      </c>
      <c r="C20227" s="1" t="str">
        <f>HYPERLINK("http://www.rosaceae.org/gb/gbrowse/malus_x_domestica/?name=MDP0000598443","MDP0000598443")</f>
        <v>MDP0000598443</v>
      </c>
      <c r="D20227">
        <v>40.92</v>
      </c>
      <c r="E20227">
        <v>496</v>
      </c>
      <c r="F20227">
        <v>293</v>
      </c>
      <c r="G20227">
        <v>122</v>
      </c>
      <c r="H20227">
        <v>183</v>
      </c>
      <c r="I20227">
        <v>617</v>
      </c>
      <c r="J20227">
        <v>1</v>
      </c>
      <c r="K20227">
        <v>122</v>
      </c>
      <c r="L20227">
        <v>556</v>
      </c>
      <c r="M20227">
        <v>1</v>
      </c>
      <c r="N20227">
        <v>1.0953600000000001E-59</v>
      </c>
      <c r="O20227">
        <v>582</v>
      </c>
    </row>
    <row r="20228" spans="1:15" x14ac:dyDescent="0.25">
      <c r="A20228" t="s">
        <v>20241</v>
      </c>
      <c r="B20228">
        <v>110</v>
      </c>
      <c r="C20228" s="1" t="str">
        <f>HYPERLINK("http://www.rosaceae.org/gb/gbrowse/malus_x_domestica/?name=MDP0000939537","MDP0000939537")</f>
        <v>MDP0000939537</v>
      </c>
      <c r="D20228">
        <v>70.959999999999994</v>
      </c>
      <c r="E20228">
        <v>93</v>
      </c>
      <c r="F20228">
        <v>27</v>
      </c>
      <c r="G20228">
        <v>2</v>
      </c>
      <c r="H20228">
        <v>1</v>
      </c>
      <c r="I20228">
        <v>93</v>
      </c>
      <c r="J20228">
        <v>1</v>
      </c>
      <c r="K20228">
        <v>1</v>
      </c>
      <c r="L20228">
        <v>91</v>
      </c>
      <c r="M20228">
        <v>1</v>
      </c>
      <c r="N20228">
        <v>3.06282E-29</v>
      </c>
      <c r="O20228">
        <v>310</v>
      </c>
    </row>
    <row r="20229" spans="1:15" x14ac:dyDescent="0.25">
      <c r="A20229" t="s">
        <v>20242</v>
      </c>
      <c r="B20229">
        <v>151</v>
      </c>
      <c r="C20229" s="1" t="str">
        <f>HYPERLINK("http://www.rosaceae.org/gb/gbrowse/malus_x_domestica/?name=MDP0000207407","MDP0000207407")</f>
        <v>MDP0000207407</v>
      </c>
      <c r="D20229">
        <v>76.099999999999994</v>
      </c>
      <c r="E20229">
        <v>159</v>
      </c>
      <c r="F20229">
        <v>38</v>
      </c>
      <c r="G20229">
        <v>9</v>
      </c>
      <c r="H20229">
        <v>1</v>
      </c>
      <c r="I20229">
        <v>150</v>
      </c>
      <c r="J20229">
        <v>1</v>
      </c>
      <c r="K20229">
        <v>1</v>
      </c>
      <c r="L20229">
        <v>159</v>
      </c>
      <c r="M20229">
        <v>1</v>
      </c>
      <c r="N20229">
        <v>5.39286E-55</v>
      </c>
      <c r="O20229">
        <v>534</v>
      </c>
    </row>
    <row r="20230" spans="1:15" x14ac:dyDescent="0.25">
      <c r="A20230" t="s">
        <v>20243</v>
      </c>
      <c r="B20230">
        <v>118</v>
      </c>
      <c r="C20230" s="1" t="str">
        <f>HYPERLINK("http://www.rosaceae.org/gb/gbrowse/malus_x_domestica/?name=MDP0000333688","MDP0000333688")</f>
        <v>MDP0000333688</v>
      </c>
      <c r="D20230">
        <v>76.13</v>
      </c>
      <c r="E20230">
        <v>88</v>
      </c>
      <c r="F20230">
        <v>21</v>
      </c>
      <c r="G20230">
        <v>0</v>
      </c>
      <c r="H20230">
        <v>13</v>
      </c>
      <c r="I20230">
        <v>100</v>
      </c>
      <c r="J20230">
        <v>1</v>
      </c>
      <c r="K20230">
        <v>11</v>
      </c>
      <c r="L20230">
        <v>98</v>
      </c>
      <c r="M20230">
        <v>1</v>
      </c>
      <c r="N20230">
        <v>1.28213E-37</v>
      </c>
      <c r="O20230">
        <v>382</v>
      </c>
    </row>
    <row r="20231" spans="1:15" x14ac:dyDescent="0.25">
      <c r="A20231" t="s">
        <v>20244</v>
      </c>
      <c r="B20231">
        <v>884</v>
      </c>
      <c r="C20231" s="1" t="str">
        <f>HYPERLINK("http://www.rosaceae.org/gb/gbrowse/malus_x_domestica/?name=MDP0000309652","MDP0000309652")</f>
        <v>MDP0000309652</v>
      </c>
      <c r="D20231">
        <v>76.209999999999994</v>
      </c>
      <c r="E20231">
        <v>887</v>
      </c>
      <c r="F20231">
        <v>211</v>
      </c>
      <c r="G20231">
        <v>11</v>
      </c>
      <c r="H20231">
        <v>7</v>
      </c>
      <c r="I20231">
        <v>883</v>
      </c>
      <c r="J20231">
        <v>1</v>
      </c>
      <c r="K20231">
        <v>5</v>
      </c>
      <c r="L20231">
        <v>890</v>
      </c>
      <c r="M20231">
        <v>1</v>
      </c>
      <c r="N20231">
        <v>0</v>
      </c>
      <c r="O20231">
        <v>3558</v>
      </c>
    </row>
    <row r="20232" spans="1:15" x14ac:dyDescent="0.25">
      <c r="A20232" t="s">
        <v>20245</v>
      </c>
      <c r="B20232">
        <v>191</v>
      </c>
      <c r="C20232" s="1" t="str">
        <f>HYPERLINK("http://www.rosaceae.org/gb/gbrowse/malus_x_domestica/?name=MDP0000324175","MDP0000324175")</f>
        <v>MDP0000324175</v>
      </c>
      <c r="D20232">
        <v>88.16</v>
      </c>
      <c r="E20232">
        <v>169</v>
      </c>
      <c r="F20232">
        <v>20</v>
      </c>
      <c r="G20232">
        <v>0</v>
      </c>
      <c r="H20232">
        <v>22</v>
      </c>
      <c r="I20232">
        <v>190</v>
      </c>
      <c r="J20232">
        <v>1</v>
      </c>
      <c r="K20232">
        <v>24</v>
      </c>
      <c r="L20232">
        <v>192</v>
      </c>
      <c r="M20232">
        <v>1</v>
      </c>
      <c r="N20232">
        <v>4.8762199999999998E-84</v>
      </c>
      <c r="O20232">
        <v>786</v>
      </c>
    </row>
    <row r="20233" spans="1:15" x14ac:dyDescent="0.25">
      <c r="A20233" t="s">
        <v>20246</v>
      </c>
      <c r="B20233">
        <v>584</v>
      </c>
      <c r="C20233" s="1" t="str">
        <f>HYPERLINK("http://www.rosaceae.org/gb/gbrowse/malus_x_domestica/?name=MDP0000304327","MDP0000304327")</f>
        <v>MDP0000304327</v>
      </c>
      <c r="D20233">
        <v>52.57</v>
      </c>
      <c r="E20233">
        <v>582</v>
      </c>
      <c r="F20233">
        <v>276</v>
      </c>
      <c r="G20233">
        <v>65</v>
      </c>
      <c r="H20233">
        <v>33</v>
      </c>
      <c r="I20233">
        <v>557</v>
      </c>
      <c r="J20233">
        <v>1</v>
      </c>
      <c r="K20233">
        <v>43</v>
      </c>
      <c r="L20233">
        <v>616</v>
      </c>
      <c r="M20233">
        <v>1</v>
      </c>
      <c r="N20233">
        <v>2.6306800000000002E-156</v>
      </c>
      <c r="O20233">
        <v>1415</v>
      </c>
    </row>
    <row r="20234" spans="1:15" x14ac:dyDescent="0.25">
      <c r="A20234" t="s">
        <v>20247</v>
      </c>
      <c r="B20234">
        <v>441</v>
      </c>
      <c r="C20234" s="1" t="str">
        <f>HYPERLINK("http://www.rosaceae.org/gb/gbrowse/malus_x_domestica/?name=MDP0000547806","MDP0000547806")</f>
        <v>MDP0000547806</v>
      </c>
      <c r="D20234">
        <v>36.11</v>
      </c>
      <c r="E20234">
        <v>335</v>
      </c>
      <c r="F20234">
        <v>214</v>
      </c>
      <c r="G20234">
        <v>110</v>
      </c>
      <c r="H20234">
        <v>127</v>
      </c>
      <c r="I20234">
        <v>356</v>
      </c>
      <c r="J20234">
        <v>1</v>
      </c>
      <c r="K20234">
        <v>323</v>
      </c>
      <c r="L20234">
        <v>652</v>
      </c>
      <c r="M20234">
        <v>1</v>
      </c>
      <c r="N20234">
        <v>1.25696E-47</v>
      </c>
      <c r="O20234">
        <v>477</v>
      </c>
    </row>
    <row r="20235" spans="1:15" x14ac:dyDescent="0.25">
      <c r="A20235" t="s">
        <v>20248</v>
      </c>
      <c r="B20235">
        <v>683</v>
      </c>
      <c r="C20235" s="1" t="str">
        <f>HYPERLINK("http://www.rosaceae.org/gb/gbrowse/malus_x_domestica/?name=MDP0000262534","MDP0000262534")</f>
        <v>MDP0000262534</v>
      </c>
      <c r="D20235">
        <v>75.48</v>
      </c>
      <c r="E20235">
        <v>416</v>
      </c>
      <c r="F20235">
        <v>102</v>
      </c>
      <c r="G20235">
        <v>6</v>
      </c>
      <c r="H20235">
        <v>12</v>
      </c>
      <c r="I20235">
        <v>427</v>
      </c>
      <c r="J20235">
        <v>1</v>
      </c>
      <c r="K20235">
        <v>12</v>
      </c>
      <c r="L20235">
        <v>421</v>
      </c>
      <c r="M20235">
        <v>1</v>
      </c>
      <c r="N20235">
        <v>4.6096599999999999E-179</v>
      </c>
      <c r="O20235">
        <v>1612</v>
      </c>
    </row>
    <row r="20236" spans="1:15" x14ac:dyDescent="0.25">
      <c r="A20236" t="s">
        <v>20249</v>
      </c>
      <c r="B20236">
        <v>222</v>
      </c>
      <c r="C20236" s="1" t="str">
        <f>HYPERLINK("http://www.rosaceae.org/gb/gbrowse/malus_x_domestica/?name=MDP0000490749","MDP0000490749")</f>
        <v>MDP0000490749</v>
      </c>
      <c r="D20236">
        <v>56.74</v>
      </c>
      <c r="E20236">
        <v>215</v>
      </c>
      <c r="F20236">
        <v>93</v>
      </c>
      <c r="G20236">
        <v>0</v>
      </c>
      <c r="H20236">
        <v>1</v>
      </c>
      <c r="I20236">
        <v>215</v>
      </c>
      <c r="J20236">
        <v>1</v>
      </c>
      <c r="K20236">
        <v>1</v>
      </c>
      <c r="L20236">
        <v>215</v>
      </c>
      <c r="M20236">
        <v>1</v>
      </c>
      <c r="N20236">
        <v>9.2148899999999998E-66</v>
      </c>
      <c r="O20236">
        <v>629</v>
      </c>
    </row>
    <row r="20237" spans="1:15" x14ac:dyDescent="0.25">
      <c r="A20237" t="s">
        <v>20250</v>
      </c>
      <c r="B20237">
        <v>503</v>
      </c>
      <c r="C20237" s="1" t="str">
        <f>HYPERLINK("http://www.rosaceae.org/gb/gbrowse/malus_x_domestica/?name=MDP0000164891","MDP0000164891")</f>
        <v>MDP0000164891</v>
      </c>
      <c r="D20237">
        <v>60.74</v>
      </c>
      <c r="E20237">
        <v>507</v>
      </c>
      <c r="F20237">
        <v>199</v>
      </c>
      <c r="G20237">
        <v>14</v>
      </c>
      <c r="H20237">
        <v>1</v>
      </c>
      <c r="I20237">
        <v>503</v>
      </c>
      <c r="J20237">
        <v>1</v>
      </c>
      <c r="K20237">
        <v>4</v>
      </c>
      <c r="L20237">
        <v>500</v>
      </c>
      <c r="M20237">
        <v>1</v>
      </c>
      <c r="N20237">
        <v>1.8328500000000001E-175</v>
      </c>
      <c r="O20237">
        <v>1580</v>
      </c>
    </row>
    <row r="20238" spans="1:15" x14ac:dyDescent="0.25">
      <c r="A20238" t="s">
        <v>20251</v>
      </c>
      <c r="B20238">
        <v>284</v>
      </c>
      <c r="C20238" s="1" t="str">
        <f>HYPERLINK("http://www.rosaceae.org/gb/gbrowse/malus_x_domestica/?name=MDP0000207066","MDP0000207066")</f>
        <v>MDP0000207066</v>
      </c>
      <c r="D20238">
        <v>61.59</v>
      </c>
      <c r="E20238">
        <v>289</v>
      </c>
      <c r="F20238">
        <v>111</v>
      </c>
      <c r="G20238">
        <v>5</v>
      </c>
      <c r="H20238">
        <v>1</v>
      </c>
      <c r="I20238">
        <v>284</v>
      </c>
      <c r="J20238">
        <v>1</v>
      </c>
      <c r="K20238">
        <v>1</v>
      </c>
      <c r="L20238">
        <v>289</v>
      </c>
      <c r="M20238">
        <v>1</v>
      </c>
      <c r="N20238">
        <v>1.2971200000000001E-96</v>
      </c>
      <c r="O20238">
        <v>897</v>
      </c>
    </row>
    <row r="20239" spans="1:15" x14ac:dyDescent="0.25">
      <c r="A20239" t="s">
        <v>20252</v>
      </c>
      <c r="B20239">
        <v>1483</v>
      </c>
      <c r="C20239" s="1" t="str">
        <f>HYPERLINK("http://www.rosaceae.org/gb/gbrowse/malus_x_domestica/?name=MDP0000318352","MDP0000318352")</f>
        <v>MDP0000318352</v>
      </c>
      <c r="D20239">
        <v>74.52</v>
      </c>
      <c r="E20239">
        <v>1213</v>
      </c>
      <c r="F20239">
        <v>309</v>
      </c>
      <c r="G20239">
        <v>74</v>
      </c>
      <c r="H20239">
        <v>31</v>
      </c>
      <c r="I20239">
        <v>1202</v>
      </c>
      <c r="J20239">
        <v>1</v>
      </c>
      <c r="K20239">
        <v>30</v>
      </c>
      <c r="L20239">
        <v>1209</v>
      </c>
      <c r="M20239">
        <v>1</v>
      </c>
      <c r="N20239">
        <v>0</v>
      </c>
      <c r="O20239">
        <v>4696</v>
      </c>
    </row>
    <row r="20240" spans="1:15" x14ac:dyDescent="0.25">
      <c r="A20240" t="s">
        <v>20253</v>
      </c>
      <c r="B20240">
        <v>380</v>
      </c>
      <c r="C20240" s="1" t="str">
        <f>HYPERLINK("http://www.rosaceae.org/gb/gbrowse/malus_x_domestica/?name=MDP0000265820","MDP0000265820")</f>
        <v>MDP0000265820</v>
      </c>
      <c r="D20240">
        <v>46.2</v>
      </c>
      <c r="E20240">
        <v>303</v>
      </c>
      <c r="F20240">
        <v>163</v>
      </c>
      <c r="G20240">
        <v>29</v>
      </c>
      <c r="H20240">
        <v>87</v>
      </c>
      <c r="I20240">
        <v>378</v>
      </c>
      <c r="J20240">
        <v>1</v>
      </c>
      <c r="K20240">
        <v>309</v>
      </c>
      <c r="L20240">
        <v>593</v>
      </c>
      <c r="M20240">
        <v>1</v>
      </c>
      <c r="N20240">
        <v>9.3472600000000002E-51</v>
      </c>
      <c r="O20240">
        <v>503</v>
      </c>
    </row>
    <row r="20241" spans="1:15" x14ac:dyDescent="0.25">
      <c r="A20241" t="s">
        <v>20254</v>
      </c>
      <c r="B20241">
        <v>740</v>
      </c>
      <c r="C20241" s="1" t="str">
        <f>HYPERLINK("http://www.rosaceae.org/gb/gbrowse/malus_x_domestica/?name=MDP0000245016","MDP0000245016")</f>
        <v>MDP0000245016</v>
      </c>
      <c r="D20241">
        <v>75.040000000000006</v>
      </c>
      <c r="E20241">
        <v>565</v>
      </c>
      <c r="F20241">
        <v>141</v>
      </c>
      <c r="G20241">
        <v>26</v>
      </c>
      <c r="H20241">
        <v>76</v>
      </c>
      <c r="I20241">
        <v>632</v>
      </c>
      <c r="J20241">
        <v>1</v>
      </c>
      <c r="K20241">
        <v>1</v>
      </c>
      <c r="L20241">
        <v>547</v>
      </c>
      <c r="M20241">
        <v>1</v>
      </c>
      <c r="N20241">
        <v>0</v>
      </c>
      <c r="O20241">
        <v>2110</v>
      </c>
    </row>
    <row r="20242" spans="1:15" x14ac:dyDescent="0.25">
      <c r="A20242" t="s">
        <v>20255</v>
      </c>
      <c r="B20242">
        <v>824</v>
      </c>
      <c r="C20242" s="1" t="str">
        <f>HYPERLINK("http://www.rosaceae.org/gb/gbrowse/malus_x_domestica/?name=MDP0000261131","MDP0000261131")</f>
        <v>MDP0000261131</v>
      </c>
      <c r="D20242">
        <v>64.760000000000005</v>
      </c>
      <c r="E20242">
        <v>630</v>
      </c>
      <c r="F20242">
        <v>222</v>
      </c>
      <c r="G20242">
        <v>32</v>
      </c>
      <c r="H20242">
        <v>17</v>
      </c>
      <c r="I20242">
        <v>646</v>
      </c>
      <c r="J20242">
        <v>1</v>
      </c>
      <c r="K20242">
        <v>3</v>
      </c>
      <c r="L20242">
        <v>600</v>
      </c>
      <c r="M20242">
        <v>1</v>
      </c>
      <c r="N20242">
        <v>0</v>
      </c>
      <c r="O20242">
        <v>2182</v>
      </c>
    </row>
    <row r="20243" spans="1:15" x14ac:dyDescent="0.25">
      <c r="A20243" t="s">
        <v>20256</v>
      </c>
      <c r="B20243">
        <v>213</v>
      </c>
      <c r="C20243" s="1" t="str">
        <f>HYPERLINK("http://www.rosaceae.org/gb/gbrowse/malus_x_domestica/?name=MDP0000922840","MDP0000922840")</f>
        <v>MDP0000922840</v>
      </c>
      <c r="D20243">
        <v>59.47</v>
      </c>
      <c r="E20243">
        <v>190</v>
      </c>
      <c r="F20243">
        <v>77</v>
      </c>
      <c r="G20243">
        <v>1</v>
      </c>
      <c r="H20243">
        <v>25</v>
      </c>
      <c r="I20243">
        <v>213</v>
      </c>
      <c r="J20243">
        <v>1</v>
      </c>
      <c r="K20243">
        <v>25</v>
      </c>
      <c r="L20243">
        <v>214</v>
      </c>
      <c r="M20243">
        <v>1</v>
      </c>
      <c r="N20243">
        <v>7.6983800000000004E-62</v>
      </c>
      <c r="O20243">
        <v>595</v>
      </c>
    </row>
    <row r="20244" spans="1:15" x14ac:dyDescent="0.25">
      <c r="A20244" t="s">
        <v>20257</v>
      </c>
      <c r="B20244">
        <v>304</v>
      </c>
      <c r="C20244" s="1" t="str">
        <f>HYPERLINK("http://www.rosaceae.org/gb/gbrowse/malus_x_domestica/?name=MDP0000245451","MDP0000245451")</f>
        <v>MDP0000245451</v>
      </c>
      <c r="D20244">
        <v>55.55</v>
      </c>
      <c r="E20244">
        <v>351</v>
      </c>
      <c r="F20244">
        <v>156</v>
      </c>
      <c r="G20244">
        <v>53</v>
      </c>
      <c r="H20244">
        <v>1</v>
      </c>
      <c r="I20244">
        <v>304</v>
      </c>
      <c r="J20244">
        <v>1</v>
      </c>
      <c r="K20244">
        <v>1</v>
      </c>
      <c r="L20244">
        <v>345</v>
      </c>
      <c r="M20244">
        <v>1</v>
      </c>
      <c r="N20244">
        <v>3.2099100000000001E-92</v>
      </c>
      <c r="O20244">
        <v>859</v>
      </c>
    </row>
    <row r="20245" spans="1:15" x14ac:dyDescent="0.25">
      <c r="A20245" t="s">
        <v>20258</v>
      </c>
      <c r="B20245">
        <v>933</v>
      </c>
      <c r="C20245" s="1" t="str">
        <f>HYPERLINK("http://www.rosaceae.org/gb/gbrowse/malus_x_domestica/?name=MDP0000265810","MDP0000265810")</f>
        <v>MDP0000265810</v>
      </c>
      <c r="D20245">
        <v>60.11</v>
      </c>
      <c r="E20245">
        <v>895</v>
      </c>
      <c r="F20245">
        <v>357</v>
      </c>
      <c r="G20245">
        <v>62</v>
      </c>
      <c r="H20245">
        <v>1</v>
      </c>
      <c r="I20245">
        <v>859</v>
      </c>
      <c r="J20245">
        <v>1</v>
      </c>
      <c r="K20245">
        <v>3</v>
      </c>
      <c r="L20245">
        <v>871</v>
      </c>
      <c r="M20245">
        <v>1</v>
      </c>
      <c r="N20245">
        <v>0</v>
      </c>
      <c r="O20245">
        <v>2787</v>
      </c>
    </row>
    <row r="20246" spans="1:15" x14ac:dyDescent="0.25">
      <c r="A20246" t="s">
        <v>20259</v>
      </c>
      <c r="B20246">
        <v>226</v>
      </c>
      <c r="C20246" s="1" t="str">
        <f>HYPERLINK("http://www.rosaceae.org/gb/gbrowse/malus_x_domestica/?name=MDP0000281701","MDP0000281701")</f>
        <v>MDP0000281701</v>
      </c>
      <c r="D20246">
        <v>61.43</v>
      </c>
      <c r="E20246">
        <v>223</v>
      </c>
      <c r="F20246">
        <v>86</v>
      </c>
      <c r="G20246">
        <v>16</v>
      </c>
      <c r="H20246">
        <v>18</v>
      </c>
      <c r="I20246">
        <v>224</v>
      </c>
      <c r="J20246">
        <v>1</v>
      </c>
      <c r="K20246">
        <v>247</v>
      </c>
      <c r="L20246">
        <v>469</v>
      </c>
      <c r="M20246">
        <v>1</v>
      </c>
      <c r="N20246">
        <v>3.1480299999999999E-83</v>
      </c>
      <c r="O20246">
        <v>780</v>
      </c>
    </row>
    <row r="20247" spans="1:15" x14ac:dyDescent="0.25">
      <c r="A20247" t="s">
        <v>20260</v>
      </c>
      <c r="B20247">
        <v>1082</v>
      </c>
      <c r="C20247" s="1" t="str">
        <f>HYPERLINK("http://www.rosaceae.org/gb/gbrowse/malus_x_domestica/?name=MDP0000248514","MDP0000248514")</f>
        <v>MDP0000248514</v>
      </c>
      <c r="D20247">
        <v>56.29</v>
      </c>
      <c r="E20247">
        <v>1112</v>
      </c>
      <c r="F20247">
        <v>486</v>
      </c>
      <c r="G20247">
        <v>136</v>
      </c>
      <c r="H20247">
        <v>1</v>
      </c>
      <c r="I20247">
        <v>1082</v>
      </c>
      <c r="J20247">
        <v>1</v>
      </c>
      <c r="K20247">
        <v>1</v>
      </c>
      <c r="L20247">
        <v>1006</v>
      </c>
      <c r="M20247">
        <v>1</v>
      </c>
      <c r="N20247">
        <v>0</v>
      </c>
      <c r="O20247">
        <v>2804</v>
      </c>
    </row>
    <row r="20248" spans="1:15" x14ac:dyDescent="0.25">
      <c r="A20248" t="s">
        <v>20261</v>
      </c>
      <c r="B20248">
        <v>324</v>
      </c>
      <c r="C20248" s="1" t="str">
        <f>HYPERLINK("http://www.rosaceae.org/gb/gbrowse/malus_x_domestica/?name=MDP0000188344","MDP0000188344")</f>
        <v>MDP0000188344</v>
      </c>
      <c r="D20248">
        <v>58</v>
      </c>
      <c r="E20248">
        <v>150</v>
      </c>
      <c r="F20248">
        <v>63</v>
      </c>
      <c r="G20248">
        <v>3</v>
      </c>
      <c r="H20248">
        <v>171</v>
      </c>
      <c r="I20248">
        <v>318</v>
      </c>
      <c r="J20248">
        <v>1</v>
      </c>
      <c r="K20248">
        <v>18</v>
      </c>
      <c r="L20248">
        <v>166</v>
      </c>
      <c r="M20248">
        <v>1</v>
      </c>
      <c r="N20248">
        <v>1.15135E-42</v>
      </c>
      <c r="O20248">
        <v>432</v>
      </c>
    </row>
    <row r="20249" spans="1:15" x14ac:dyDescent="0.25">
      <c r="A20249" t="s">
        <v>20262</v>
      </c>
      <c r="B20249">
        <v>103</v>
      </c>
      <c r="C20249" s="1" t="str">
        <f>HYPERLINK("http://www.rosaceae.org/gb/gbrowse/malus_x_domestica/?name=MDP0000208838","MDP0000208838")</f>
        <v>MDP0000208838</v>
      </c>
      <c r="D20249">
        <v>77.41</v>
      </c>
      <c r="E20249">
        <v>31</v>
      </c>
      <c r="F20249">
        <v>7</v>
      </c>
      <c r="G20249">
        <v>0</v>
      </c>
      <c r="H20249">
        <v>62</v>
      </c>
      <c r="I20249">
        <v>92</v>
      </c>
      <c r="J20249">
        <v>1</v>
      </c>
      <c r="K20249">
        <v>567</v>
      </c>
      <c r="L20249">
        <v>597</v>
      </c>
      <c r="M20249">
        <v>1</v>
      </c>
      <c r="N20249">
        <v>2.4366699999999998E-7</v>
      </c>
      <c r="O20249">
        <v>121</v>
      </c>
    </row>
    <row r="20250" spans="1:15" x14ac:dyDescent="0.25">
      <c r="A20250" t="s">
        <v>20263</v>
      </c>
      <c r="B20250">
        <v>644</v>
      </c>
      <c r="C20250" s="1" t="str">
        <f>HYPERLINK("http://www.rosaceae.org/gb/gbrowse/malus_x_domestica/?name=MDP0000257637","MDP0000257637")</f>
        <v>MDP0000257637</v>
      </c>
      <c r="D20250">
        <v>72.09</v>
      </c>
      <c r="E20250">
        <v>387</v>
      </c>
      <c r="F20250">
        <v>108</v>
      </c>
      <c r="G20250">
        <v>27</v>
      </c>
      <c r="H20250">
        <v>1</v>
      </c>
      <c r="I20250">
        <v>360</v>
      </c>
      <c r="J20250">
        <v>1</v>
      </c>
      <c r="K20250">
        <v>1</v>
      </c>
      <c r="L20250">
        <v>387</v>
      </c>
      <c r="M20250">
        <v>1</v>
      </c>
      <c r="N20250">
        <v>5.0587699999999996E-162</v>
      </c>
      <c r="O20250">
        <v>1465</v>
      </c>
    </row>
    <row r="20251" spans="1:15" x14ac:dyDescent="0.25">
      <c r="A20251" t="s">
        <v>20264</v>
      </c>
      <c r="B20251">
        <v>500</v>
      </c>
      <c r="C20251" s="1" t="str">
        <f>HYPERLINK("http://www.rosaceae.org/gb/gbrowse/malus_x_domestica/?name=MDP0000139362","MDP0000139362")</f>
        <v>MDP0000139362</v>
      </c>
      <c r="D20251">
        <v>65.180000000000007</v>
      </c>
      <c r="E20251">
        <v>451</v>
      </c>
      <c r="F20251">
        <v>157</v>
      </c>
      <c r="G20251">
        <v>36</v>
      </c>
      <c r="H20251">
        <v>43</v>
      </c>
      <c r="I20251">
        <v>484</v>
      </c>
      <c r="J20251">
        <v>1</v>
      </c>
      <c r="K20251">
        <v>1</v>
      </c>
      <c r="L20251">
        <v>424</v>
      </c>
      <c r="M20251">
        <v>1</v>
      </c>
      <c r="N20251">
        <v>3.8767100000000003E-155</v>
      </c>
      <c r="O20251">
        <v>1404</v>
      </c>
    </row>
    <row r="20252" spans="1:15" x14ac:dyDescent="0.25">
      <c r="A20252" t="s">
        <v>20265</v>
      </c>
      <c r="B20252">
        <v>447</v>
      </c>
      <c r="C20252" s="1" t="str">
        <f>HYPERLINK("http://www.rosaceae.org/gb/gbrowse/malus_x_domestica/?name=MDP0000252640","MDP0000252640")</f>
        <v>MDP0000252640</v>
      </c>
      <c r="D20252">
        <v>100</v>
      </c>
      <c r="E20252">
        <v>51</v>
      </c>
      <c r="F20252">
        <v>0</v>
      </c>
      <c r="G20252">
        <v>0</v>
      </c>
      <c r="H20252">
        <v>162</v>
      </c>
      <c r="I20252">
        <v>212</v>
      </c>
      <c r="J20252">
        <v>1</v>
      </c>
      <c r="K20252">
        <v>451</v>
      </c>
      <c r="L20252">
        <v>501</v>
      </c>
      <c r="M20252">
        <v>1</v>
      </c>
      <c r="N20252">
        <v>2.0218700000000001E-23</v>
      </c>
      <c r="O20252">
        <v>268</v>
      </c>
    </row>
    <row r="20253" spans="1:15" x14ac:dyDescent="0.25">
      <c r="A20253" t="s">
        <v>20266</v>
      </c>
      <c r="B20253">
        <v>294</v>
      </c>
      <c r="C20253" s="1" t="str">
        <f>HYPERLINK("http://www.rosaceae.org/gb/gbrowse/malus_x_domestica/?name=MDP0000180167","MDP0000180167")</f>
        <v>MDP0000180167</v>
      </c>
      <c r="D20253">
        <v>45.49</v>
      </c>
      <c r="E20253">
        <v>211</v>
      </c>
      <c r="F20253">
        <v>115</v>
      </c>
      <c r="G20253">
        <v>54</v>
      </c>
      <c r="H20253">
        <v>70</v>
      </c>
      <c r="I20253">
        <v>280</v>
      </c>
      <c r="J20253">
        <v>1</v>
      </c>
      <c r="K20253">
        <v>76</v>
      </c>
      <c r="L20253">
        <v>232</v>
      </c>
      <c r="M20253">
        <v>1</v>
      </c>
      <c r="N20253">
        <v>4.6941399999999996E-44</v>
      </c>
      <c r="O20253">
        <v>444</v>
      </c>
    </row>
    <row r="20254" spans="1:15" x14ac:dyDescent="0.25">
      <c r="A20254" t="s">
        <v>20267</v>
      </c>
      <c r="B20254">
        <v>326</v>
      </c>
      <c r="C20254" s="1" t="str">
        <f>HYPERLINK("http://www.rosaceae.org/gb/gbrowse/malus_x_domestica/?name=MDP0000185125","MDP0000185125")</f>
        <v>MDP0000185125</v>
      </c>
      <c r="D20254">
        <v>29.41</v>
      </c>
      <c r="E20254">
        <v>102</v>
      </c>
      <c r="F20254">
        <v>72</v>
      </c>
      <c r="G20254">
        <v>2</v>
      </c>
      <c r="H20254">
        <v>226</v>
      </c>
      <c r="I20254">
        <v>325</v>
      </c>
      <c r="J20254">
        <v>1</v>
      </c>
      <c r="K20254">
        <v>8</v>
      </c>
      <c r="L20254">
        <v>109</v>
      </c>
      <c r="M20254">
        <v>1</v>
      </c>
      <c r="N20254">
        <v>2.2121599999999999E-8</v>
      </c>
      <c r="O20254">
        <v>137</v>
      </c>
    </row>
    <row r="20255" spans="1:15" x14ac:dyDescent="0.25">
      <c r="A20255" t="s">
        <v>20268</v>
      </c>
      <c r="B20255">
        <v>235</v>
      </c>
      <c r="C20255" s="1" t="str">
        <f>HYPERLINK("http://www.rosaceae.org/gb/gbrowse/malus_x_domestica/?name=MDP0000196032","MDP0000196032")</f>
        <v>MDP0000196032</v>
      </c>
      <c r="D20255">
        <v>65.900000000000006</v>
      </c>
      <c r="E20255">
        <v>88</v>
      </c>
      <c r="F20255">
        <v>30</v>
      </c>
      <c r="G20255">
        <v>0</v>
      </c>
      <c r="H20255">
        <v>86</v>
      </c>
      <c r="I20255">
        <v>173</v>
      </c>
      <c r="J20255">
        <v>1</v>
      </c>
      <c r="K20255">
        <v>89</v>
      </c>
      <c r="L20255">
        <v>176</v>
      </c>
      <c r="M20255">
        <v>1</v>
      </c>
      <c r="N20255">
        <v>9.6356700000000007E-31</v>
      </c>
      <c r="O20255">
        <v>328</v>
      </c>
    </row>
    <row r="20256" spans="1:15" x14ac:dyDescent="0.25">
      <c r="A20256" t="s">
        <v>20269</v>
      </c>
      <c r="B20256">
        <v>1146</v>
      </c>
      <c r="C20256" s="1" t="str">
        <f>HYPERLINK("http://www.rosaceae.org/gb/gbrowse/malus_x_domestica/?name=MDP0000162375","MDP0000162375")</f>
        <v>MDP0000162375</v>
      </c>
      <c r="D20256">
        <v>64.239999999999995</v>
      </c>
      <c r="E20256">
        <v>537</v>
      </c>
      <c r="F20256">
        <v>192</v>
      </c>
      <c r="G20256">
        <v>8</v>
      </c>
      <c r="H20256">
        <v>217</v>
      </c>
      <c r="I20256">
        <v>752</v>
      </c>
      <c r="J20256">
        <v>1</v>
      </c>
      <c r="K20256">
        <v>277</v>
      </c>
      <c r="L20256">
        <v>806</v>
      </c>
      <c r="M20256">
        <v>1</v>
      </c>
      <c r="N20256">
        <v>0</v>
      </c>
      <c r="O20256">
        <v>1761</v>
      </c>
    </row>
    <row r="20257" spans="1:15" x14ac:dyDescent="0.25">
      <c r="A20257" t="s">
        <v>20270</v>
      </c>
      <c r="B20257">
        <v>156</v>
      </c>
      <c r="C20257" s="1" t="str">
        <f>HYPERLINK("http://www.rosaceae.org/gb/gbrowse/malus_x_domestica/?name=MDP0000449818","MDP0000449818")</f>
        <v>MDP0000449818</v>
      </c>
      <c r="D20257">
        <v>60.54</v>
      </c>
      <c r="E20257">
        <v>147</v>
      </c>
      <c r="F20257">
        <v>58</v>
      </c>
      <c r="G20257">
        <v>2</v>
      </c>
      <c r="H20257">
        <v>12</v>
      </c>
      <c r="I20257">
        <v>156</v>
      </c>
      <c r="J20257">
        <v>1</v>
      </c>
      <c r="K20257">
        <v>14</v>
      </c>
      <c r="L20257">
        <v>160</v>
      </c>
      <c r="M20257">
        <v>1</v>
      </c>
      <c r="N20257">
        <v>8.1220499999999995E-44</v>
      </c>
      <c r="O20257">
        <v>438</v>
      </c>
    </row>
    <row r="20258" spans="1:15" x14ac:dyDescent="0.25">
      <c r="A20258" t="s">
        <v>20271</v>
      </c>
      <c r="B20258">
        <v>611</v>
      </c>
      <c r="C20258" s="1" t="str">
        <f>HYPERLINK("http://www.rosaceae.org/gb/gbrowse/malus_x_domestica/?name=MDP0000634676","MDP0000634676")</f>
        <v>MDP0000634676</v>
      </c>
      <c r="D20258">
        <v>77.88</v>
      </c>
      <c r="E20258">
        <v>520</v>
      </c>
      <c r="F20258">
        <v>115</v>
      </c>
      <c r="G20258">
        <v>6</v>
      </c>
      <c r="H20258">
        <v>4</v>
      </c>
      <c r="I20258">
        <v>523</v>
      </c>
      <c r="J20258">
        <v>1</v>
      </c>
      <c r="K20258">
        <v>3</v>
      </c>
      <c r="L20258">
        <v>516</v>
      </c>
      <c r="M20258">
        <v>1</v>
      </c>
      <c r="N20258">
        <v>0</v>
      </c>
      <c r="O20258">
        <v>2163</v>
      </c>
    </row>
    <row r="20259" spans="1:15" x14ac:dyDescent="0.25">
      <c r="A20259" t="s">
        <v>20272</v>
      </c>
      <c r="B20259">
        <v>1178</v>
      </c>
      <c r="C20259" s="1" t="str">
        <f>HYPERLINK("http://www.rosaceae.org/gb/gbrowse/malus_x_domestica/?name=MDP0000294017","MDP0000294017")</f>
        <v>MDP0000294017</v>
      </c>
      <c r="D20259">
        <v>58.27</v>
      </c>
      <c r="E20259">
        <v>1232</v>
      </c>
      <c r="F20259">
        <v>514</v>
      </c>
      <c r="G20259">
        <v>169</v>
      </c>
      <c r="H20259">
        <v>1</v>
      </c>
      <c r="I20259">
        <v>1176</v>
      </c>
      <c r="J20259">
        <v>1</v>
      </c>
      <c r="K20259">
        <v>1</v>
      </c>
      <c r="L20259">
        <v>1119</v>
      </c>
      <c r="M20259">
        <v>1</v>
      </c>
      <c r="N20259">
        <v>0</v>
      </c>
      <c r="O20259">
        <v>3329</v>
      </c>
    </row>
    <row r="20260" spans="1:15" x14ac:dyDescent="0.25">
      <c r="A20260" t="s">
        <v>20273</v>
      </c>
      <c r="B20260">
        <v>236</v>
      </c>
      <c r="C20260" s="1" t="str">
        <f>HYPERLINK("http://www.rosaceae.org/gb/gbrowse/malus_x_domestica/?name=MDP0000218986","MDP0000218986")</f>
        <v>MDP0000218986</v>
      </c>
      <c r="D20260">
        <v>80.66</v>
      </c>
      <c r="E20260">
        <v>181</v>
      </c>
      <c r="F20260">
        <v>35</v>
      </c>
      <c r="G20260">
        <v>10</v>
      </c>
      <c r="H20260">
        <v>57</v>
      </c>
      <c r="I20260">
        <v>236</v>
      </c>
      <c r="J20260">
        <v>1</v>
      </c>
      <c r="K20260">
        <v>42</v>
      </c>
      <c r="L20260">
        <v>213</v>
      </c>
      <c r="M20260">
        <v>1</v>
      </c>
      <c r="N20260">
        <v>3.0302900000000001E-75</v>
      </c>
      <c r="O20260">
        <v>712</v>
      </c>
    </row>
    <row r="20261" spans="1:15" x14ac:dyDescent="0.25">
      <c r="A20261" t="s">
        <v>20274</v>
      </c>
      <c r="B20261">
        <v>100</v>
      </c>
      <c r="C20261" s="1" t="str">
        <f>HYPERLINK("http://www.rosaceae.org/gb/gbrowse/malus_x_domestica/?name=MDP0000153255","MDP0000153255")</f>
        <v>MDP0000153255</v>
      </c>
      <c r="D20261">
        <v>98.5</v>
      </c>
      <c r="E20261">
        <v>67</v>
      </c>
      <c r="F20261">
        <v>1</v>
      </c>
      <c r="G20261">
        <v>0</v>
      </c>
      <c r="H20261">
        <v>33</v>
      </c>
      <c r="I20261">
        <v>99</v>
      </c>
      <c r="J20261">
        <v>1</v>
      </c>
      <c r="K20261">
        <v>109</v>
      </c>
      <c r="L20261">
        <v>175</v>
      </c>
      <c r="M20261">
        <v>1</v>
      </c>
      <c r="N20261">
        <v>3.1635299999999998E-33</v>
      </c>
      <c r="O20261">
        <v>344</v>
      </c>
    </row>
    <row r="20262" spans="1:15" x14ac:dyDescent="0.25">
      <c r="A20262" t="s">
        <v>20275</v>
      </c>
      <c r="B20262">
        <v>503</v>
      </c>
      <c r="C20262" s="1" t="str">
        <f>HYPERLINK("http://www.rosaceae.org/gb/gbrowse/malus_x_domestica/?name=MDP0000607000","MDP0000607000")</f>
        <v>MDP0000607000</v>
      </c>
      <c r="D20262">
        <v>49.13</v>
      </c>
      <c r="E20262">
        <v>462</v>
      </c>
      <c r="F20262">
        <v>235</v>
      </c>
      <c r="G20262">
        <v>33</v>
      </c>
      <c r="H20262">
        <v>5</v>
      </c>
      <c r="I20262">
        <v>442</v>
      </c>
      <c r="J20262">
        <v>1</v>
      </c>
      <c r="K20262">
        <v>3</v>
      </c>
      <c r="L20262">
        <v>455</v>
      </c>
      <c r="M20262">
        <v>1</v>
      </c>
      <c r="N20262">
        <v>1.40436E-115</v>
      </c>
      <c r="O20262">
        <v>1063</v>
      </c>
    </row>
    <row r="20263" spans="1:15" x14ac:dyDescent="0.25">
      <c r="A20263" t="s">
        <v>20276</v>
      </c>
      <c r="B20263">
        <v>210</v>
      </c>
      <c r="C20263" s="1" t="str">
        <f>HYPERLINK("http://www.rosaceae.org/gb/gbrowse/malus_x_domestica/?name=MDP0000343354","MDP0000343354")</f>
        <v>MDP0000343354</v>
      </c>
      <c r="D20263">
        <v>72.78</v>
      </c>
      <c r="E20263">
        <v>158</v>
      </c>
      <c r="F20263">
        <v>43</v>
      </c>
      <c r="G20263">
        <v>2</v>
      </c>
      <c r="H20263">
        <v>55</v>
      </c>
      <c r="I20263">
        <v>210</v>
      </c>
      <c r="J20263">
        <v>1</v>
      </c>
      <c r="K20263">
        <v>64</v>
      </c>
      <c r="L20263">
        <v>221</v>
      </c>
      <c r="M20263">
        <v>1</v>
      </c>
      <c r="N20263">
        <v>2.37003E-62</v>
      </c>
      <c r="O20263">
        <v>600</v>
      </c>
    </row>
    <row r="20264" spans="1:15" x14ac:dyDescent="0.25">
      <c r="A20264" t="s">
        <v>20277</v>
      </c>
      <c r="B20264">
        <v>647</v>
      </c>
      <c r="C20264" s="1" t="str">
        <f>HYPERLINK("http://www.rosaceae.org/gb/gbrowse/malus_x_domestica/?name=MDP0000195797","MDP0000195797")</f>
        <v>MDP0000195797</v>
      </c>
      <c r="D20264">
        <v>70.38</v>
      </c>
      <c r="E20264">
        <v>628</v>
      </c>
      <c r="F20264">
        <v>186</v>
      </c>
      <c r="G20264">
        <v>18</v>
      </c>
      <c r="H20264">
        <v>33</v>
      </c>
      <c r="I20264">
        <v>647</v>
      </c>
      <c r="J20264">
        <v>1</v>
      </c>
      <c r="K20264">
        <v>32</v>
      </c>
      <c r="L20264">
        <v>654</v>
      </c>
      <c r="M20264">
        <v>1</v>
      </c>
      <c r="N20264">
        <v>0</v>
      </c>
      <c r="O20264">
        <v>2248</v>
      </c>
    </row>
    <row r="20265" spans="1:15" x14ac:dyDescent="0.25">
      <c r="A20265" t="s">
        <v>20278</v>
      </c>
      <c r="B20265">
        <v>203</v>
      </c>
      <c r="C20265" s="1" t="str">
        <f>HYPERLINK("http://www.rosaceae.org/gb/gbrowse/malus_x_domestica/?name=MDP0000750292","MDP0000750292")</f>
        <v>MDP0000750292</v>
      </c>
      <c r="D20265">
        <v>42.66</v>
      </c>
      <c r="E20265">
        <v>75</v>
      </c>
      <c r="F20265">
        <v>43</v>
      </c>
      <c r="G20265">
        <v>2</v>
      </c>
      <c r="H20265">
        <v>17</v>
      </c>
      <c r="I20265">
        <v>89</v>
      </c>
      <c r="J20265">
        <v>1</v>
      </c>
      <c r="K20265">
        <v>16</v>
      </c>
      <c r="L20265">
        <v>90</v>
      </c>
      <c r="M20265">
        <v>1</v>
      </c>
      <c r="N20265">
        <v>1.8703E-9</v>
      </c>
      <c r="O20265">
        <v>143</v>
      </c>
    </row>
    <row r="20266" spans="1:15" x14ac:dyDescent="0.25">
      <c r="A20266" t="s">
        <v>20279</v>
      </c>
      <c r="B20266">
        <v>482</v>
      </c>
      <c r="C20266" s="1" t="str">
        <f>HYPERLINK("http://www.rosaceae.org/gb/gbrowse/malus_x_domestica/?name=MDP0000828610","MDP0000828610")</f>
        <v>MDP0000828610</v>
      </c>
      <c r="D20266">
        <v>72.7</v>
      </c>
      <c r="E20266">
        <v>392</v>
      </c>
      <c r="F20266">
        <v>107</v>
      </c>
      <c r="G20266">
        <v>20</v>
      </c>
      <c r="H20266">
        <v>60</v>
      </c>
      <c r="I20266">
        <v>437</v>
      </c>
      <c r="J20266">
        <v>1</v>
      </c>
      <c r="K20266">
        <v>1</v>
      </c>
      <c r="L20266">
        <v>386</v>
      </c>
      <c r="M20266">
        <v>1</v>
      </c>
      <c r="N20266">
        <v>3.0479399999999997E-154</v>
      </c>
      <c r="O20266">
        <v>1396</v>
      </c>
    </row>
    <row r="20267" spans="1:15" x14ac:dyDescent="0.25">
      <c r="A20267" t="s">
        <v>20280</v>
      </c>
      <c r="B20267">
        <v>240</v>
      </c>
      <c r="C20267" s="1" t="str">
        <f>HYPERLINK("http://www.rosaceae.org/gb/gbrowse/malus_x_domestica/?name=MDP0000307975","MDP0000307975")</f>
        <v>MDP0000307975</v>
      </c>
      <c r="D20267">
        <v>70.94</v>
      </c>
      <c r="E20267">
        <v>117</v>
      </c>
      <c r="F20267">
        <v>34</v>
      </c>
      <c r="G20267">
        <v>1</v>
      </c>
      <c r="H20267">
        <v>125</v>
      </c>
      <c r="I20267">
        <v>240</v>
      </c>
      <c r="J20267">
        <v>1</v>
      </c>
      <c r="K20267">
        <v>393</v>
      </c>
      <c r="L20267">
        <v>509</v>
      </c>
      <c r="M20267">
        <v>1</v>
      </c>
      <c r="N20267">
        <v>2.2005800000000001E-41</v>
      </c>
      <c r="O20267">
        <v>420</v>
      </c>
    </row>
    <row r="20268" spans="1:15" x14ac:dyDescent="0.25">
      <c r="A20268" t="s">
        <v>20281</v>
      </c>
      <c r="B20268">
        <v>131</v>
      </c>
      <c r="C20268" s="1" t="str">
        <f>HYPERLINK("http://www.rosaceae.org/gb/gbrowse/malus_x_domestica/?name=MDP0000739342","MDP0000739342")</f>
        <v>MDP0000739342</v>
      </c>
      <c r="D20268">
        <v>55.95</v>
      </c>
      <c r="E20268">
        <v>168</v>
      </c>
      <c r="F20268">
        <v>74</v>
      </c>
      <c r="G20268">
        <v>37</v>
      </c>
      <c r="H20268">
        <v>1</v>
      </c>
      <c r="I20268">
        <v>131</v>
      </c>
      <c r="J20268">
        <v>1</v>
      </c>
      <c r="K20268">
        <v>400</v>
      </c>
      <c r="L20268">
        <v>567</v>
      </c>
      <c r="M20268">
        <v>1</v>
      </c>
      <c r="N20268">
        <v>2.1139499999999999E-44</v>
      </c>
      <c r="O20268">
        <v>441</v>
      </c>
    </row>
    <row r="20269" spans="1:15" x14ac:dyDescent="0.25">
      <c r="A20269" t="s">
        <v>20282</v>
      </c>
      <c r="B20269">
        <v>206</v>
      </c>
      <c r="C20269" s="1" t="str">
        <f>HYPERLINK("http://www.rosaceae.org/gb/gbrowse/malus_x_domestica/?name=MDP0000201845","MDP0000201845")</f>
        <v>MDP0000201845</v>
      </c>
      <c r="D20269">
        <v>59.7</v>
      </c>
      <c r="E20269">
        <v>134</v>
      </c>
      <c r="F20269">
        <v>54</v>
      </c>
      <c r="G20269">
        <v>0</v>
      </c>
      <c r="H20269">
        <v>10</v>
      </c>
      <c r="I20269">
        <v>143</v>
      </c>
      <c r="J20269">
        <v>1</v>
      </c>
      <c r="K20269">
        <v>292</v>
      </c>
      <c r="L20269">
        <v>425</v>
      </c>
      <c r="M20269">
        <v>1</v>
      </c>
      <c r="N20269">
        <v>4.2656599999999998E-38</v>
      </c>
      <c r="O20269">
        <v>390</v>
      </c>
    </row>
    <row r="20270" spans="1:15" x14ac:dyDescent="0.25">
      <c r="A20270" t="s">
        <v>20283</v>
      </c>
      <c r="B20270">
        <v>356</v>
      </c>
      <c r="C20270" s="1" t="str">
        <f>HYPERLINK("http://www.rosaceae.org/gb/gbrowse/malus_x_domestica/?name=MDP0000950137","MDP0000950137")</f>
        <v>MDP0000950137</v>
      </c>
      <c r="D20270">
        <v>60.41</v>
      </c>
      <c r="E20270">
        <v>96</v>
      </c>
      <c r="F20270">
        <v>38</v>
      </c>
      <c r="G20270">
        <v>28</v>
      </c>
      <c r="H20270">
        <v>179</v>
      </c>
      <c r="I20270">
        <v>246</v>
      </c>
      <c r="J20270">
        <v>1</v>
      </c>
      <c r="K20270">
        <v>285</v>
      </c>
      <c r="L20270">
        <v>380</v>
      </c>
      <c r="M20270">
        <v>1</v>
      </c>
      <c r="N20270">
        <v>1.6622400000000001E-23</v>
      </c>
      <c r="O20270">
        <v>268</v>
      </c>
    </row>
    <row r="20271" spans="1:15" x14ac:dyDescent="0.25">
      <c r="A20271" t="s">
        <v>20284</v>
      </c>
      <c r="B20271">
        <v>1055</v>
      </c>
      <c r="C20271" s="1" t="str">
        <f>HYPERLINK("http://www.rosaceae.org/gb/gbrowse/malus_x_domestica/?name=MDP0000160892","MDP0000160892")</f>
        <v>MDP0000160892</v>
      </c>
      <c r="D20271">
        <v>64.94</v>
      </c>
      <c r="E20271">
        <v>1087</v>
      </c>
      <c r="F20271">
        <v>381</v>
      </c>
      <c r="G20271">
        <v>67</v>
      </c>
      <c r="H20271">
        <v>1</v>
      </c>
      <c r="I20271">
        <v>1023</v>
      </c>
      <c r="J20271">
        <v>1</v>
      </c>
      <c r="K20271">
        <v>1</v>
      </c>
      <c r="L20271">
        <v>1084</v>
      </c>
      <c r="M20271">
        <v>1</v>
      </c>
      <c r="N20271">
        <v>0</v>
      </c>
      <c r="O20271">
        <v>3526</v>
      </c>
    </row>
    <row r="20272" spans="1:15" x14ac:dyDescent="0.25">
      <c r="A20272" t="s">
        <v>20285</v>
      </c>
      <c r="B20272">
        <v>826</v>
      </c>
      <c r="C20272" s="1" t="str">
        <f>HYPERLINK("http://www.rosaceae.org/gb/gbrowse/malus_x_domestica/?name=MDP0000771031","MDP0000771031")</f>
        <v>MDP0000771031</v>
      </c>
      <c r="D20272">
        <v>54.76</v>
      </c>
      <c r="E20272">
        <v>840</v>
      </c>
      <c r="F20272">
        <v>380</v>
      </c>
      <c r="G20272">
        <v>40</v>
      </c>
      <c r="H20272">
        <v>5</v>
      </c>
      <c r="I20272">
        <v>824</v>
      </c>
      <c r="J20272">
        <v>1</v>
      </c>
      <c r="K20272">
        <v>6</v>
      </c>
      <c r="L20272">
        <v>825</v>
      </c>
      <c r="M20272">
        <v>1</v>
      </c>
      <c r="N20272">
        <v>0</v>
      </c>
      <c r="O20272">
        <v>2258</v>
      </c>
    </row>
    <row r="20273" spans="1:15" x14ac:dyDescent="0.25">
      <c r="A20273" t="s">
        <v>20286</v>
      </c>
      <c r="B20273">
        <v>271</v>
      </c>
      <c r="C20273" s="1" t="str">
        <f>HYPERLINK("http://www.rosaceae.org/gb/gbrowse/malus_x_domestica/?name=MDP0000119544","MDP0000119544")</f>
        <v>MDP0000119544</v>
      </c>
      <c r="D20273">
        <v>74.069999999999993</v>
      </c>
      <c r="E20273">
        <v>243</v>
      </c>
      <c r="F20273">
        <v>63</v>
      </c>
      <c r="G20273">
        <v>18</v>
      </c>
      <c r="H20273">
        <v>35</v>
      </c>
      <c r="I20273">
        <v>271</v>
      </c>
      <c r="J20273">
        <v>1</v>
      </c>
      <c r="K20273">
        <v>1</v>
      </c>
      <c r="L20273">
        <v>231</v>
      </c>
      <c r="M20273">
        <v>1</v>
      </c>
      <c r="N20273">
        <v>1.2364300000000001E-92</v>
      </c>
      <c r="O20273">
        <v>862</v>
      </c>
    </row>
    <row r="20274" spans="1:15" x14ac:dyDescent="0.25">
      <c r="A20274" t="s">
        <v>20287</v>
      </c>
      <c r="B20274">
        <v>679</v>
      </c>
      <c r="C20274" s="1" t="str">
        <f>HYPERLINK("http://www.rosaceae.org/gb/gbrowse/malus_x_domestica/?name=MDP0000279221","MDP0000279221")</f>
        <v>MDP0000279221</v>
      </c>
      <c r="D20274">
        <v>83.08</v>
      </c>
      <c r="E20274">
        <v>680</v>
      </c>
      <c r="F20274">
        <v>115</v>
      </c>
      <c r="G20274">
        <v>2</v>
      </c>
      <c r="H20274">
        <v>1</v>
      </c>
      <c r="I20274">
        <v>679</v>
      </c>
      <c r="J20274">
        <v>1</v>
      </c>
      <c r="K20274">
        <v>1</v>
      </c>
      <c r="L20274">
        <v>679</v>
      </c>
      <c r="M20274">
        <v>1</v>
      </c>
      <c r="N20274">
        <v>0</v>
      </c>
      <c r="O20274">
        <v>3090</v>
      </c>
    </row>
    <row r="20275" spans="1:15" x14ac:dyDescent="0.25">
      <c r="A20275" t="s">
        <v>20288</v>
      </c>
      <c r="B20275">
        <v>331</v>
      </c>
      <c r="C20275" s="1" t="str">
        <f>HYPERLINK("http://www.rosaceae.org/gb/gbrowse/malus_x_domestica/?name=MDP0000180580","MDP0000180580")</f>
        <v>MDP0000180580</v>
      </c>
      <c r="D20275">
        <v>75</v>
      </c>
      <c r="E20275">
        <v>132</v>
      </c>
      <c r="F20275">
        <v>33</v>
      </c>
      <c r="G20275">
        <v>9</v>
      </c>
      <c r="H20275">
        <v>146</v>
      </c>
      <c r="I20275">
        <v>271</v>
      </c>
      <c r="J20275">
        <v>1</v>
      </c>
      <c r="K20275">
        <v>1</v>
      </c>
      <c r="L20275">
        <v>129</v>
      </c>
      <c r="M20275">
        <v>1</v>
      </c>
      <c r="N20275">
        <v>1.1163699999999999E-55</v>
      </c>
      <c r="O20275">
        <v>545</v>
      </c>
    </row>
    <row r="20276" spans="1:15" x14ac:dyDescent="0.25">
      <c r="A20276" t="s">
        <v>20289</v>
      </c>
      <c r="B20276">
        <v>243</v>
      </c>
      <c r="C20276" s="1" t="str">
        <f>HYPERLINK("http://www.rosaceae.org/gb/gbrowse/malus_x_domestica/?name=MDP0000875479","MDP0000875479")</f>
        <v>MDP0000875479</v>
      </c>
      <c r="D20276">
        <v>48.58</v>
      </c>
      <c r="E20276">
        <v>247</v>
      </c>
      <c r="F20276">
        <v>127</v>
      </c>
      <c r="G20276">
        <v>15</v>
      </c>
      <c r="H20276">
        <v>1</v>
      </c>
      <c r="I20276">
        <v>243</v>
      </c>
      <c r="J20276">
        <v>1</v>
      </c>
      <c r="K20276">
        <v>1</v>
      </c>
      <c r="L20276">
        <v>236</v>
      </c>
      <c r="M20276">
        <v>1</v>
      </c>
      <c r="N20276">
        <v>1.7859899999999999E-49</v>
      </c>
      <c r="O20276">
        <v>489</v>
      </c>
    </row>
    <row r="20277" spans="1:15" x14ac:dyDescent="0.25">
      <c r="A20277" t="s">
        <v>20290</v>
      </c>
      <c r="B20277">
        <v>113</v>
      </c>
      <c r="C20277" s="1" t="str">
        <f>HYPERLINK("http://www.rosaceae.org/gb/gbrowse/malus_x_domestica/?name=MDP0000189928","MDP0000189928")</f>
        <v>MDP0000189928</v>
      </c>
      <c r="D20277">
        <v>47.78</v>
      </c>
      <c r="E20277">
        <v>113</v>
      </c>
      <c r="F20277">
        <v>59</v>
      </c>
      <c r="G20277">
        <v>18</v>
      </c>
      <c r="H20277">
        <v>10</v>
      </c>
      <c r="I20277">
        <v>112</v>
      </c>
      <c r="J20277">
        <v>1</v>
      </c>
      <c r="K20277">
        <v>211</v>
      </c>
      <c r="L20277">
        <v>315</v>
      </c>
      <c r="M20277">
        <v>1</v>
      </c>
      <c r="N20277">
        <v>1.87566E-22</v>
      </c>
      <c r="O20277">
        <v>251</v>
      </c>
    </row>
    <row r="20278" spans="1:15" x14ac:dyDescent="0.25">
      <c r="A20278" t="s">
        <v>20291</v>
      </c>
      <c r="B20278">
        <v>332</v>
      </c>
      <c r="C20278" s="1" t="str">
        <f>HYPERLINK("http://www.rosaceae.org/gb/gbrowse/malus_x_domestica/?name=MDP0000567775","MDP0000567775")</f>
        <v>MDP0000567775</v>
      </c>
      <c r="D20278">
        <v>82.83</v>
      </c>
      <c r="E20278">
        <v>303</v>
      </c>
      <c r="F20278">
        <v>52</v>
      </c>
      <c r="G20278">
        <v>0</v>
      </c>
      <c r="H20278">
        <v>29</v>
      </c>
      <c r="I20278">
        <v>331</v>
      </c>
      <c r="J20278">
        <v>1</v>
      </c>
      <c r="K20278">
        <v>364</v>
      </c>
      <c r="L20278">
        <v>666</v>
      </c>
      <c r="M20278">
        <v>1</v>
      </c>
      <c r="N20278">
        <v>6.2351499999999996E-152</v>
      </c>
      <c r="O20278">
        <v>1375</v>
      </c>
    </row>
    <row r="20279" spans="1:15" x14ac:dyDescent="0.25">
      <c r="A20279" t="s">
        <v>20292</v>
      </c>
      <c r="B20279">
        <v>244</v>
      </c>
      <c r="C20279" s="1" t="str">
        <f>HYPERLINK("http://www.rosaceae.org/gb/gbrowse/malus_x_domestica/?name=MDP0000308025","MDP0000308025")</f>
        <v>MDP0000308025</v>
      </c>
      <c r="D20279">
        <v>82.23</v>
      </c>
      <c r="E20279">
        <v>242</v>
      </c>
      <c r="F20279">
        <v>43</v>
      </c>
      <c r="G20279">
        <v>0</v>
      </c>
      <c r="H20279">
        <v>3</v>
      </c>
      <c r="I20279">
        <v>244</v>
      </c>
      <c r="J20279">
        <v>1</v>
      </c>
      <c r="K20279">
        <v>854</v>
      </c>
      <c r="L20279">
        <v>1095</v>
      </c>
      <c r="M20279">
        <v>1</v>
      </c>
      <c r="N20279">
        <v>1.69091E-118</v>
      </c>
      <c r="O20279">
        <v>1085</v>
      </c>
    </row>
    <row r="20280" spans="1:15" x14ac:dyDescent="0.25">
      <c r="A20280" t="s">
        <v>20293</v>
      </c>
      <c r="B20280">
        <v>116</v>
      </c>
      <c r="C20280" s="1" t="str">
        <f>HYPERLINK("http://www.rosaceae.org/gb/gbrowse/malus_x_domestica/?name=MDP0000739359","MDP0000739359")</f>
        <v>MDP0000739359</v>
      </c>
      <c r="D20280">
        <v>93.44</v>
      </c>
      <c r="E20280">
        <v>61</v>
      </c>
      <c r="F20280">
        <v>4</v>
      </c>
      <c r="G20280">
        <v>0</v>
      </c>
      <c r="H20280">
        <v>1</v>
      </c>
      <c r="I20280">
        <v>61</v>
      </c>
      <c r="J20280">
        <v>1</v>
      </c>
      <c r="K20280">
        <v>1</v>
      </c>
      <c r="L20280">
        <v>61</v>
      </c>
      <c r="M20280">
        <v>1</v>
      </c>
      <c r="N20280">
        <v>6.3180199999999997E-28</v>
      </c>
      <c r="O20280">
        <v>298</v>
      </c>
    </row>
    <row r="20281" spans="1:15" x14ac:dyDescent="0.25">
      <c r="A20281" t="s">
        <v>20294</v>
      </c>
      <c r="B20281">
        <v>119</v>
      </c>
      <c r="C20281" s="1" t="str">
        <f>HYPERLINK("http://www.rosaceae.org/gb/gbrowse/malus_x_domestica/?name=MDP0000260109","MDP0000260109")</f>
        <v>MDP0000260109</v>
      </c>
      <c r="D20281">
        <v>45.9</v>
      </c>
      <c r="E20281">
        <v>61</v>
      </c>
      <c r="F20281">
        <v>33</v>
      </c>
      <c r="G20281">
        <v>0</v>
      </c>
      <c r="H20281">
        <v>34</v>
      </c>
      <c r="I20281">
        <v>94</v>
      </c>
      <c r="J20281">
        <v>1</v>
      </c>
      <c r="K20281">
        <v>868</v>
      </c>
      <c r="L20281">
        <v>928</v>
      </c>
      <c r="M20281">
        <v>1</v>
      </c>
      <c r="N20281">
        <v>2.4467100000000002E-12</v>
      </c>
      <c r="O20281">
        <v>164</v>
      </c>
    </row>
    <row r="20282" spans="1:15" x14ac:dyDescent="0.25">
      <c r="A20282" t="s">
        <v>20295</v>
      </c>
      <c r="B20282">
        <v>967</v>
      </c>
      <c r="C20282" s="1" t="str">
        <f>HYPERLINK("http://www.rosaceae.org/gb/gbrowse/malus_x_domestica/?name=MDP0000314346","MDP0000314346")</f>
        <v>MDP0000314346</v>
      </c>
      <c r="D20282">
        <v>64.11</v>
      </c>
      <c r="E20282">
        <v>170</v>
      </c>
      <c r="F20282">
        <v>61</v>
      </c>
      <c r="G20282">
        <v>3</v>
      </c>
      <c r="H20282">
        <v>1</v>
      </c>
      <c r="I20282">
        <v>170</v>
      </c>
      <c r="J20282">
        <v>1</v>
      </c>
      <c r="K20282">
        <v>383</v>
      </c>
      <c r="L20282">
        <v>549</v>
      </c>
      <c r="M20282">
        <v>1</v>
      </c>
      <c r="N20282">
        <v>3.29487E-55</v>
      </c>
      <c r="O20282">
        <v>545</v>
      </c>
    </row>
    <row r="20283" spans="1:15" x14ac:dyDescent="0.25">
      <c r="A20283" t="s">
        <v>20296</v>
      </c>
      <c r="B20283">
        <v>326</v>
      </c>
      <c r="C20283" s="1" t="str">
        <f>HYPERLINK("http://www.rosaceae.org/gb/gbrowse/malus_x_domestica/?name=MDP0000222672","MDP0000222672")</f>
        <v>MDP0000222672</v>
      </c>
      <c r="D20283">
        <v>47.53</v>
      </c>
      <c r="E20283">
        <v>223</v>
      </c>
      <c r="F20283">
        <v>117</v>
      </c>
      <c r="G20283">
        <v>30</v>
      </c>
      <c r="H20283">
        <v>121</v>
      </c>
      <c r="I20283">
        <v>326</v>
      </c>
      <c r="J20283">
        <v>1</v>
      </c>
      <c r="K20283">
        <v>133</v>
      </c>
      <c r="L20283">
        <v>342</v>
      </c>
      <c r="M20283">
        <v>1</v>
      </c>
      <c r="N20283">
        <v>3.47411E-34</v>
      </c>
      <c r="O20283">
        <v>359</v>
      </c>
    </row>
    <row r="20284" spans="1:15" x14ac:dyDescent="0.25">
      <c r="A20284" t="s">
        <v>20297</v>
      </c>
      <c r="B20284">
        <v>194</v>
      </c>
      <c r="C20284" s="1" t="str">
        <f>HYPERLINK("http://www.rosaceae.org/gb/gbrowse/malus_x_domestica/?name=MDP0000222881","MDP0000222881")</f>
        <v>MDP0000222881</v>
      </c>
      <c r="D20284">
        <v>70.83</v>
      </c>
      <c r="E20284">
        <v>72</v>
      </c>
      <c r="F20284">
        <v>21</v>
      </c>
      <c r="G20284">
        <v>2</v>
      </c>
      <c r="H20284">
        <v>39</v>
      </c>
      <c r="I20284">
        <v>110</v>
      </c>
      <c r="J20284">
        <v>1</v>
      </c>
      <c r="K20284">
        <v>1</v>
      </c>
      <c r="L20284">
        <v>70</v>
      </c>
      <c r="M20284">
        <v>1</v>
      </c>
      <c r="N20284">
        <v>2.0627599999999999E-24</v>
      </c>
      <c r="O20284">
        <v>272</v>
      </c>
    </row>
    <row r="20285" spans="1:15" x14ac:dyDescent="0.25">
      <c r="A20285" t="s">
        <v>20298</v>
      </c>
      <c r="B20285">
        <v>319</v>
      </c>
      <c r="C20285" s="1" t="str">
        <f>HYPERLINK("http://www.rosaceae.org/gb/gbrowse/malus_x_domestica/?name=MDP0000279776","MDP0000279776")</f>
        <v>MDP0000279776</v>
      </c>
      <c r="D20285">
        <v>67.209999999999994</v>
      </c>
      <c r="E20285">
        <v>305</v>
      </c>
      <c r="F20285">
        <v>100</v>
      </c>
      <c r="G20285">
        <v>20</v>
      </c>
      <c r="H20285">
        <v>35</v>
      </c>
      <c r="I20285">
        <v>319</v>
      </c>
      <c r="J20285">
        <v>1</v>
      </c>
      <c r="K20285">
        <v>1298</v>
      </c>
      <c r="L20285">
        <v>1602</v>
      </c>
      <c r="M20285">
        <v>1</v>
      </c>
      <c r="N20285">
        <v>2.6086000000000001E-106</v>
      </c>
      <c r="O20285">
        <v>981</v>
      </c>
    </row>
    <row r="20286" spans="1:15" x14ac:dyDescent="0.25">
      <c r="A20286" t="s">
        <v>20299</v>
      </c>
      <c r="B20286">
        <v>175</v>
      </c>
      <c r="C20286" s="1" t="str">
        <f>HYPERLINK("http://www.rosaceae.org/gb/gbrowse/malus_x_domestica/?name=MDP0000176949","MDP0000176949")</f>
        <v>MDP0000176949</v>
      </c>
      <c r="D20286">
        <v>39.24</v>
      </c>
      <c r="E20286">
        <v>186</v>
      </c>
      <c r="F20286">
        <v>113</v>
      </c>
      <c r="G20286">
        <v>31</v>
      </c>
      <c r="H20286">
        <v>1</v>
      </c>
      <c r="I20286">
        <v>159</v>
      </c>
      <c r="J20286">
        <v>1</v>
      </c>
      <c r="K20286">
        <v>39</v>
      </c>
      <c r="L20286">
        <v>220</v>
      </c>
      <c r="M20286">
        <v>1</v>
      </c>
      <c r="N20286">
        <v>7.3615699999999996E-25</v>
      </c>
      <c r="O20286">
        <v>275</v>
      </c>
    </row>
    <row r="20287" spans="1:15" x14ac:dyDescent="0.25">
      <c r="A20287" t="s">
        <v>20300</v>
      </c>
      <c r="B20287">
        <v>126</v>
      </c>
      <c r="C20287" s="1" t="str">
        <f>HYPERLINK("http://www.rosaceae.org/gb/gbrowse/malus_x_domestica/?name=MDP0000527707","MDP0000527707")</f>
        <v>MDP0000527707</v>
      </c>
      <c r="D20287">
        <v>51.02</v>
      </c>
      <c r="E20287">
        <v>98</v>
      </c>
      <c r="F20287">
        <v>48</v>
      </c>
      <c r="G20287">
        <v>1</v>
      </c>
      <c r="H20287">
        <v>25</v>
      </c>
      <c r="I20287">
        <v>122</v>
      </c>
      <c r="J20287">
        <v>1</v>
      </c>
      <c r="K20287">
        <v>2</v>
      </c>
      <c r="L20287">
        <v>98</v>
      </c>
      <c r="M20287">
        <v>1</v>
      </c>
      <c r="N20287">
        <v>1.88601E-19</v>
      </c>
      <c r="O20287">
        <v>225</v>
      </c>
    </row>
    <row r="20288" spans="1:15" x14ac:dyDescent="0.25">
      <c r="A20288" t="s">
        <v>20301</v>
      </c>
      <c r="B20288">
        <v>159</v>
      </c>
      <c r="C20288" s="1" t="str">
        <f>HYPERLINK("http://www.rosaceae.org/gb/gbrowse/malus_x_domestica/?name=MDP0000711379","MDP0000711379")</f>
        <v>MDP0000711379</v>
      </c>
      <c r="D20288">
        <v>60.74</v>
      </c>
      <c r="E20288">
        <v>135</v>
      </c>
      <c r="F20288">
        <v>53</v>
      </c>
      <c r="G20288">
        <v>1</v>
      </c>
      <c r="H20288">
        <v>3</v>
      </c>
      <c r="I20288">
        <v>137</v>
      </c>
      <c r="J20288">
        <v>1</v>
      </c>
      <c r="K20288">
        <v>6</v>
      </c>
      <c r="L20288">
        <v>139</v>
      </c>
      <c r="M20288">
        <v>1</v>
      </c>
      <c r="N20288">
        <v>2.50015E-43</v>
      </c>
      <c r="O20288">
        <v>434</v>
      </c>
    </row>
    <row r="20289" spans="1:15" x14ac:dyDescent="0.25">
      <c r="A20289" t="s">
        <v>20302</v>
      </c>
      <c r="B20289">
        <v>142</v>
      </c>
      <c r="C20289" s="1" t="str">
        <f>HYPERLINK("http://www.rosaceae.org/gb/gbrowse/malus_x_domestica/?name=MDP0000278575","MDP0000278575")</f>
        <v>MDP0000278575</v>
      </c>
      <c r="D20289">
        <v>46.46</v>
      </c>
      <c r="E20289">
        <v>99</v>
      </c>
      <c r="F20289">
        <v>53</v>
      </c>
      <c r="G20289">
        <v>11</v>
      </c>
      <c r="H20289">
        <v>3</v>
      </c>
      <c r="I20289">
        <v>90</v>
      </c>
      <c r="J20289">
        <v>1</v>
      </c>
      <c r="K20289">
        <v>770</v>
      </c>
      <c r="L20289">
        <v>868</v>
      </c>
      <c r="M20289">
        <v>1</v>
      </c>
      <c r="N20289">
        <v>9.9738199999999992E-15</v>
      </c>
      <c r="O20289">
        <v>186</v>
      </c>
    </row>
    <row r="20290" spans="1:15" x14ac:dyDescent="0.25">
      <c r="A20290" t="s">
        <v>20303</v>
      </c>
      <c r="B20290">
        <v>307</v>
      </c>
      <c r="C20290" s="1" t="str">
        <f>HYPERLINK("http://www.rosaceae.org/gb/gbrowse/malus_x_domestica/?name=MDP0000186655","MDP0000186655")</f>
        <v>MDP0000186655</v>
      </c>
      <c r="D20290">
        <v>73.849999999999994</v>
      </c>
      <c r="E20290">
        <v>241</v>
      </c>
      <c r="F20290">
        <v>63</v>
      </c>
      <c r="G20290">
        <v>7</v>
      </c>
      <c r="H20290">
        <v>66</v>
      </c>
      <c r="I20290">
        <v>305</v>
      </c>
      <c r="J20290">
        <v>1</v>
      </c>
      <c r="K20290">
        <v>109</v>
      </c>
      <c r="L20290">
        <v>343</v>
      </c>
      <c r="M20290">
        <v>1</v>
      </c>
      <c r="N20290">
        <v>7.1251600000000005E-98</v>
      </c>
      <c r="O20290">
        <v>908</v>
      </c>
    </row>
    <row r="20291" spans="1:15" x14ac:dyDescent="0.25">
      <c r="A20291" t="s">
        <v>20304</v>
      </c>
      <c r="B20291">
        <v>116</v>
      </c>
      <c r="C20291" s="1" t="str">
        <f>HYPERLINK("http://www.rosaceae.org/gb/gbrowse/malus_x_domestica/?name=MDP0000261421","MDP0000261421")</f>
        <v>MDP0000261421</v>
      </c>
      <c r="D20291">
        <v>67.5</v>
      </c>
      <c r="E20291">
        <v>120</v>
      </c>
      <c r="F20291">
        <v>39</v>
      </c>
      <c r="G20291">
        <v>4</v>
      </c>
      <c r="H20291">
        <v>1</v>
      </c>
      <c r="I20291">
        <v>116</v>
      </c>
      <c r="J20291">
        <v>1</v>
      </c>
      <c r="K20291">
        <v>800</v>
      </c>
      <c r="L20291">
        <v>919</v>
      </c>
      <c r="M20291">
        <v>1</v>
      </c>
      <c r="N20291">
        <v>2.1814299999999999E-41</v>
      </c>
      <c r="O20291">
        <v>414</v>
      </c>
    </row>
    <row r="20292" spans="1:15" x14ac:dyDescent="0.25">
      <c r="A20292" t="s">
        <v>20305</v>
      </c>
      <c r="B20292">
        <v>694</v>
      </c>
      <c r="C20292" s="1" t="str">
        <f>HYPERLINK("http://www.rosaceae.org/gb/gbrowse/malus_x_domestica/?name=MDP0000163774","MDP0000163774")</f>
        <v>MDP0000163774</v>
      </c>
      <c r="D20292">
        <v>25.24</v>
      </c>
      <c r="E20292">
        <v>309</v>
      </c>
      <c r="F20292">
        <v>231</v>
      </c>
      <c r="G20292">
        <v>47</v>
      </c>
      <c r="H20292">
        <v>353</v>
      </c>
      <c r="I20292">
        <v>658</v>
      </c>
      <c r="J20292">
        <v>1</v>
      </c>
      <c r="K20292">
        <v>356</v>
      </c>
      <c r="L20292">
        <v>620</v>
      </c>
      <c r="M20292">
        <v>1</v>
      </c>
      <c r="N20292">
        <v>2.2630499999999999E-22</v>
      </c>
      <c r="O20292">
        <v>261</v>
      </c>
    </row>
    <row r="20293" spans="1:15" x14ac:dyDescent="0.25">
      <c r="A20293" t="s">
        <v>20306</v>
      </c>
      <c r="B20293">
        <v>1510</v>
      </c>
      <c r="C20293" s="1" t="str">
        <f>HYPERLINK("http://www.rosaceae.org/gb/gbrowse/malus_x_domestica/?name=MDP0000130319","MDP0000130319")</f>
        <v>MDP0000130319</v>
      </c>
      <c r="D20293">
        <v>42.45</v>
      </c>
      <c r="E20293">
        <v>921</v>
      </c>
      <c r="F20293">
        <v>530</v>
      </c>
      <c r="G20293">
        <v>219</v>
      </c>
      <c r="H20293">
        <v>109</v>
      </c>
      <c r="I20293">
        <v>958</v>
      </c>
      <c r="J20293">
        <v>1</v>
      </c>
      <c r="K20293">
        <v>58</v>
      </c>
      <c r="L20293">
        <v>830</v>
      </c>
      <c r="M20293">
        <v>1</v>
      </c>
      <c r="N20293">
        <v>1.42133E-173</v>
      </c>
      <c r="O20293">
        <v>1568</v>
      </c>
    </row>
    <row r="20294" spans="1:15" x14ac:dyDescent="0.25">
      <c r="A20294" t="s">
        <v>20307</v>
      </c>
      <c r="B20294">
        <v>1264</v>
      </c>
      <c r="C20294" s="1" t="str">
        <f>HYPERLINK("http://www.rosaceae.org/gb/gbrowse/malus_x_domestica/?name=MDP0000193704","MDP0000193704")</f>
        <v>MDP0000193704</v>
      </c>
      <c r="D20294">
        <v>50.4</v>
      </c>
      <c r="E20294">
        <v>988</v>
      </c>
      <c r="F20294">
        <v>490</v>
      </c>
      <c r="G20294">
        <v>129</v>
      </c>
      <c r="H20294">
        <v>2</v>
      </c>
      <c r="I20294">
        <v>929</v>
      </c>
      <c r="J20294">
        <v>1</v>
      </c>
      <c r="K20294">
        <v>11</v>
      </c>
      <c r="L20294">
        <v>929</v>
      </c>
      <c r="M20294">
        <v>1</v>
      </c>
      <c r="N20294">
        <v>0</v>
      </c>
      <c r="O20294">
        <v>2074</v>
      </c>
    </row>
    <row r="20295" spans="1:15" x14ac:dyDescent="0.25">
      <c r="A20295" t="s">
        <v>20308</v>
      </c>
      <c r="B20295">
        <v>383</v>
      </c>
      <c r="C20295" s="1" t="str">
        <f>HYPERLINK("http://www.rosaceae.org/gb/gbrowse/malus_x_domestica/?name=MDP0000607330","MDP0000607330")</f>
        <v>MDP0000607330</v>
      </c>
      <c r="D20295">
        <v>61.9</v>
      </c>
      <c r="E20295">
        <v>189</v>
      </c>
      <c r="F20295">
        <v>72</v>
      </c>
      <c r="G20295">
        <v>13</v>
      </c>
      <c r="H20295">
        <v>1</v>
      </c>
      <c r="I20295">
        <v>179</v>
      </c>
      <c r="J20295">
        <v>1</v>
      </c>
      <c r="K20295">
        <v>1</v>
      </c>
      <c r="L20295">
        <v>186</v>
      </c>
      <c r="M20295">
        <v>1</v>
      </c>
      <c r="N20295">
        <v>6.1564600000000001E-61</v>
      </c>
      <c r="O20295">
        <v>591</v>
      </c>
    </row>
    <row r="20296" spans="1:15" x14ac:dyDescent="0.25">
      <c r="A20296" t="s">
        <v>20309</v>
      </c>
      <c r="B20296">
        <v>483</v>
      </c>
      <c r="C20296" s="1" t="str">
        <f>HYPERLINK("http://www.rosaceae.org/gb/gbrowse/malus_x_domestica/?name=MDP0000234809","MDP0000234809")</f>
        <v>MDP0000234809</v>
      </c>
      <c r="D20296">
        <v>80.13</v>
      </c>
      <c r="E20296">
        <v>453</v>
      </c>
      <c r="F20296">
        <v>90</v>
      </c>
      <c r="G20296">
        <v>7</v>
      </c>
      <c r="H20296">
        <v>34</v>
      </c>
      <c r="I20296">
        <v>479</v>
      </c>
      <c r="J20296">
        <v>1</v>
      </c>
      <c r="K20296">
        <v>177</v>
      </c>
      <c r="L20296">
        <v>629</v>
      </c>
      <c r="M20296">
        <v>1</v>
      </c>
      <c r="N20296">
        <v>0</v>
      </c>
      <c r="O20296">
        <v>1909</v>
      </c>
    </row>
    <row r="20297" spans="1:15" x14ac:dyDescent="0.25">
      <c r="A20297" t="s">
        <v>20310</v>
      </c>
      <c r="B20297">
        <v>686</v>
      </c>
      <c r="C20297" s="1" t="str">
        <f>HYPERLINK("http://www.rosaceae.org/gb/gbrowse/malus_x_domestica/?name=MDP0000224875","MDP0000224875")</f>
        <v>MDP0000224875</v>
      </c>
      <c r="D20297">
        <v>79.08</v>
      </c>
      <c r="E20297">
        <v>636</v>
      </c>
      <c r="F20297">
        <v>133</v>
      </c>
      <c r="G20297">
        <v>10</v>
      </c>
      <c r="H20297">
        <v>1</v>
      </c>
      <c r="I20297">
        <v>633</v>
      </c>
      <c r="J20297">
        <v>1</v>
      </c>
      <c r="K20297">
        <v>615</v>
      </c>
      <c r="L20297">
        <v>1243</v>
      </c>
      <c r="M20297">
        <v>1</v>
      </c>
      <c r="N20297">
        <v>0</v>
      </c>
      <c r="O20297">
        <v>2657</v>
      </c>
    </row>
    <row r="20298" spans="1:15" x14ac:dyDescent="0.25">
      <c r="A20298" t="s">
        <v>20311</v>
      </c>
      <c r="B20298">
        <v>308</v>
      </c>
      <c r="C20298" s="1" t="str">
        <f>HYPERLINK("http://www.rosaceae.org/gb/gbrowse/malus_x_domestica/?name=MDP0000382079","MDP0000382079")</f>
        <v>MDP0000382079</v>
      </c>
      <c r="D20298">
        <v>42.37</v>
      </c>
      <c r="E20298">
        <v>177</v>
      </c>
      <c r="F20298">
        <v>102</v>
      </c>
      <c r="G20298">
        <v>16</v>
      </c>
      <c r="H20298">
        <v>1</v>
      </c>
      <c r="I20298">
        <v>162</v>
      </c>
      <c r="J20298">
        <v>1</v>
      </c>
      <c r="K20298">
        <v>1</v>
      </c>
      <c r="L20298">
        <v>176</v>
      </c>
      <c r="M20298">
        <v>1</v>
      </c>
      <c r="N20298">
        <v>2.0082700000000001E-22</v>
      </c>
      <c r="O20298">
        <v>257</v>
      </c>
    </row>
    <row r="20299" spans="1:15" x14ac:dyDescent="0.25">
      <c r="A20299" t="s">
        <v>20312</v>
      </c>
      <c r="B20299">
        <v>328</v>
      </c>
      <c r="C20299" s="1" t="str">
        <f>HYPERLINK("http://www.rosaceae.org/gb/gbrowse/malus_x_domestica/?name=MDP0000305249","MDP0000305249")</f>
        <v>MDP0000305249</v>
      </c>
      <c r="D20299">
        <v>44.2</v>
      </c>
      <c r="E20299">
        <v>138</v>
      </c>
      <c r="F20299">
        <v>77</v>
      </c>
      <c r="G20299">
        <v>10</v>
      </c>
      <c r="H20299">
        <v>193</v>
      </c>
      <c r="I20299">
        <v>322</v>
      </c>
      <c r="J20299">
        <v>1</v>
      </c>
      <c r="K20299">
        <v>134</v>
      </c>
      <c r="L20299">
        <v>269</v>
      </c>
      <c r="M20299">
        <v>1</v>
      </c>
      <c r="N20299">
        <v>7.3918600000000004E-22</v>
      </c>
      <c r="O20299">
        <v>253</v>
      </c>
    </row>
    <row r="20300" spans="1:15" x14ac:dyDescent="0.25">
      <c r="A20300" t="s">
        <v>20313</v>
      </c>
      <c r="B20300">
        <v>409</v>
      </c>
      <c r="C20300" s="1" t="str">
        <f>HYPERLINK("http://www.rosaceae.org/gb/gbrowse/malus_x_domestica/?name=MDP0000166111","MDP0000166111")</f>
        <v>MDP0000166111</v>
      </c>
      <c r="D20300">
        <v>92.9</v>
      </c>
      <c r="E20300">
        <v>409</v>
      </c>
      <c r="F20300">
        <v>29</v>
      </c>
      <c r="G20300">
        <v>1</v>
      </c>
      <c r="H20300">
        <v>1</v>
      </c>
      <c r="I20300">
        <v>409</v>
      </c>
      <c r="J20300">
        <v>1</v>
      </c>
      <c r="K20300">
        <v>1</v>
      </c>
      <c r="L20300">
        <v>408</v>
      </c>
      <c r="M20300">
        <v>1</v>
      </c>
      <c r="N20300">
        <v>0</v>
      </c>
      <c r="O20300">
        <v>2074</v>
      </c>
    </row>
    <row r="20301" spans="1:15" x14ac:dyDescent="0.25">
      <c r="A20301" t="s">
        <v>20314</v>
      </c>
      <c r="B20301">
        <v>617</v>
      </c>
      <c r="C20301" s="1" t="str">
        <f>HYPERLINK("http://www.rosaceae.org/gb/gbrowse/malus_x_domestica/?name=MDP0000263189","MDP0000263189")</f>
        <v>MDP0000263189</v>
      </c>
      <c r="D20301">
        <v>68.430000000000007</v>
      </c>
      <c r="E20301">
        <v>396</v>
      </c>
      <c r="F20301">
        <v>125</v>
      </c>
      <c r="G20301">
        <v>10</v>
      </c>
      <c r="H20301">
        <v>1</v>
      </c>
      <c r="I20301">
        <v>387</v>
      </c>
      <c r="J20301">
        <v>1</v>
      </c>
      <c r="K20301">
        <v>108</v>
      </c>
      <c r="L20301">
        <v>502</v>
      </c>
      <c r="M20301">
        <v>1</v>
      </c>
      <c r="N20301">
        <v>1.9635599999999999E-159</v>
      </c>
      <c r="O20301">
        <v>1442</v>
      </c>
    </row>
    <row r="20302" spans="1:15" x14ac:dyDescent="0.25">
      <c r="A20302" t="s">
        <v>20315</v>
      </c>
      <c r="B20302">
        <v>687</v>
      </c>
      <c r="C20302" s="1" t="str">
        <f>HYPERLINK("http://www.rosaceae.org/gb/gbrowse/malus_x_domestica/?name=MDP0000268086","MDP0000268086")</f>
        <v>MDP0000268086</v>
      </c>
      <c r="D20302">
        <v>25.33</v>
      </c>
      <c r="E20302">
        <v>813</v>
      </c>
      <c r="F20302">
        <v>607</v>
      </c>
      <c r="G20302">
        <v>226</v>
      </c>
      <c r="H20302">
        <v>43</v>
      </c>
      <c r="I20302">
        <v>684</v>
      </c>
      <c r="J20302">
        <v>1</v>
      </c>
      <c r="K20302">
        <v>42</v>
      </c>
      <c r="L20302">
        <v>799</v>
      </c>
      <c r="M20302">
        <v>1</v>
      </c>
      <c r="N20302">
        <v>2.8137299999999999E-35</v>
      </c>
      <c r="O20302">
        <v>372</v>
      </c>
    </row>
    <row r="20303" spans="1:15" x14ac:dyDescent="0.25">
      <c r="A20303" t="s">
        <v>20316</v>
      </c>
      <c r="B20303">
        <v>355</v>
      </c>
      <c r="C20303" s="1" t="str">
        <f>HYPERLINK("http://www.rosaceae.org/gb/gbrowse/malus_x_domestica/?name=MDP0000233901","MDP0000233901")</f>
        <v>MDP0000233901</v>
      </c>
      <c r="D20303">
        <v>36</v>
      </c>
      <c r="E20303">
        <v>350</v>
      </c>
      <c r="F20303">
        <v>224</v>
      </c>
      <c r="G20303">
        <v>16</v>
      </c>
      <c r="H20303">
        <v>18</v>
      </c>
      <c r="I20303">
        <v>352</v>
      </c>
      <c r="J20303">
        <v>1</v>
      </c>
      <c r="K20303">
        <v>8</v>
      </c>
      <c r="L20303">
        <v>356</v>
      </c>
      <c r="M20303">
        <v>1</v>
      </c>
      <c r="N20303">
        <v>2.9636799999999999E-58</v>
      </c>
      <c r="O20303">
        <v>567</v>
      </c>
    </row>
    <row r="20304" spans="1:15" x14ac:dyDescent="0.25">
      <c r="A20304" t="s">
        <v>20317</v>
      </c>
      <c r="B20304">
        <v>190</v>
      </c>
      <c r="C20304" s="1" t="str">
        <f>HYPERLINK("http://www.rosaceae.org/gb/gbrowse/malus_x_domestica/?name=MDP0000880624","MDP0000880624")</f>
        <v>MDP0000880624</v>
      </c>
      <c r="D20304">
        <v>76.34</v>
      </c>
      <c r="E20304">
        <v>93</v>
      </c>
      <c r="F20304">
        <v>22</v>
      </c>
      <c r="G20304">
        <v>5</v>
      </c>
      <c r="H20304">
        <v>102</v>
      </c>
      <c r="I20304">
        <v>190</v>
      </c>
      <c r="J20304">
        <v>1</v>
      </c>
      <c r="K20304">
        <v>1</v>
      </c>
      <c r="L20304">
        <v>92</v>
      </c>
      <c r="M20304">
        <v>1</v>
      </c>
      <c r="N20304">
        <v>1.57487E-31</v>
      </c>
      <c r="O20304">
        <v>333</v>
      </c>
    </row>
    <row r="20305" spans="1:15" x14ac:dyDescent="0.25">
      <c r="A20305" t="s">
        <v>20318</v>
      </c>
      <c r="B20305">
        <v>686</v>
      </c>
      <c r="C20305" s="1" t="str">
        <f>HYPERLINK("http://www.rosaceae.org/gb/gbrowse/malus_x_domestica/?name=MDP0000320417","MDP0000320417")</f>
        <v>MDP0000320417</v>
      </c>
      <c r="D20305">
        <v>84.4</v>
      </c>
      <c r="E20305">
        <v>686</v>
      </c>
      <c r="F20305">
        <v>107</v>
      </c>
      <c r="G20305">
        <v>0</v>
      </c>
      <c r="H20305">
        <v>1</v>
      </c>
      <c r="I20305">
        <v>686</v>
      </c>
      <c r="J20305">
        <v>1</v>
      </c>
      <c r="K20305">
        <v>1</v>
      </c>
      <c r="L20305">
        <v>686</v>
      </c>
      <c r="M20305">
        <v>1</v>
      </c>
      <c r="N20305">
        <v>0</v>
      </c>
      <c r="O20305">
        <v>3134</v>
      </c>
    </row>
    <row r="20306" spans="1:15" x14ac:dyDescent="0.25">
      <c r="A20306" t="s">
        <v>20319</v>
      </c>
      <c r="B20306">
        <v>160</v>
      </c>
      <c r="C20306" s="1" t="str">
        <f>HYPERLINK("http://www.rosaceae.org/gb/gbrowse/malus_x_domestica/?name=MDP0000180764","MDP0000180764")</f>
        <v>MDP0000180764</v>
      </c>
      <c r="D20306">
        <v>69.290000000000006</v>
      </c>
      <c r="E20306">
        <v>114</v>
      </c>
      <c r="F20306">
        <v>35</v>
      </c>
      <c r="G20306">
        <v>16</v>
      </c>
      <c r="H20306">
        <v>45</v>
      </c>
      <c r="I20306">
        <v>158</v>
      </c>
      <c r="J20306">
        <v>1</v>
      </c>
      <c r="K20306">
        <v>239</v>
      </c>
      <c r="L20306">
        <v>336</v>
      </c>
      <c r="M20306">
        <v>1</v>
      </c>
      <c r="N20306">
        <v>3.5822000000000002E-36</v>
      </c>
      <c r="O20306">
        <v>372</v>
      </c>
    </row>
    <row r="20307" spans="1:15" x14ac:dyDescent="0.25">
      <c r="A20307" t="s">
        <v>20320</v>
      </c>
      <c r="B20307">
        <v>355</v>
      </c>
      <c r="C20307" s="1" t="str">
        <f>HYPERLINK("http://www.rosaceae.org/gb/gbrowse/malus_x_domestica/?name=MDP0000230258","MDP0000230258")</f>
        <v>MDP0000230258</v>
      </c>
      <c r="D20307">
        <v>76.599999999999994</v>
      </c>
      <c r="E20307">
        <v>312</v>
      </c>
      <c r="F20307">
        <v>73</v>
      </c>
      <c r="G20307">
        <v>9</v>
      </c>
      <c r="H20307">
        <v>1</v>
      </c>
      <c r="I20307">
        <v>303</v>
      </c>
      <c r="J20307">
        <v>1</v>
      </c>
      <c r="K20307">
        <v>1</v>
      </c>
      <c r="L20307">
        <v>312</v>
      </c>
      <c r="M20307">
        <v>1</v>
      </c>
      <c r="N20307">
        <v>9.6230199999999992E-140</v>
      </c>
      <c r="O20307">
        <v>1270</v>
      </c>
    </row>
    <row r="20308" spans="1:15" x14ac:dyDescent="0.25">
      <c r="A20308" t="s">
        <v>20321</v>
      </c>
      <c r="B20308">
        <v>131</v>
      </c>
      <c r="C20308" s="1" t="str">
        <f>HYPERLINK("http://www.rosaceae.org/gb/gbrowse/malus_x_domestica/?name=MDP0000234509","MDP0000234509")</f>
        <v>MDP0000234509</v>
      </c>
      <c r="D20308">
        <v>70.14</v>
      </c>
      <c r="E20308">
        <v>134</v>
      </c>
      <c r="F20308">
        <v>40</v>
      </c>
      <c r="G20308">
        <v>19</v>
      </c>
      <c r="H20308">
        <v>17</v>
      </c>
      <c r="I20308">
        <v>131</v>
      </c>
      <c r="J20308">
        <v>1</v>
      </c>
      <c r="K20308">
        <v>23</v>
      </c>
      <c r="L20308">
        <v>156</v>
      </c>
      <c r="M20308">
        <v>1</v>
      </c>
      <c r="N20308">
        <v>2.59899E-51</v>
      </c>
      <c r="O20308">
        <v>501</v>
      </c>
    </row>
    <row r="20309" spans="1:15" x14ac:dyDescent="0.25">
      <c r="A20309" t="s">
        <v>20322</v>
      </c>
      <c r="B20309">
        <v>310</v>
      </c>
      <c r="C20309" s="1" t="str">
        <f>HYPERLINK("http://www.rosaceae.org/gb/gbrowse/malus_x_domestica/?name=MDP0000641793","MDP0000641793")</f>
        <v>MDP0000641793</v>
      </c>
      <c r="D20309">
        <v>55.91</v>
      </c>
      <c r="E20309">
        <v>313</v>
      </c>
      <c r="F20309">
        <v>138</v>
      </c>
      <c r="G20309">
        <v>6</v>
      </c>
      <c r="H20309">
        <v>1</v>
      </c>
      <c r="I20309">
        <v>307</v>
      </c>
      <c r="J20309">
        <v>1</v>
      </c>
      <c r="K20309">
        <v>1</v>
      </c>
      <c r="L20309">
        <v>313</v>
      </c>
      <c r="M20309">
        <v>1</v>
      </c>
      <c r="N20309">
        <v>9.3804399999999999E-92</v>
      </c>
      <c r="O20309">
        <v>855</v>
      </c>
    </row>
    <row r="20310" spans="1:15" x14ac:dyDescent="0.25">
      <c r="A20310" t="s">
        <v>20323</v>
      </c>
      <c r="B20310">
        <v>922</v>
      </c>
      <c r="C20310" s="1" t="str">
        <f>HYPERLINK("http://www.rosaceae.org/gb/gbrowse/malus_x_domestica/?name=MDP0000271775","MDP0000271775")</f>
        <v>MDP0000271775</v>
      </c>
      <c r="D20310">
        <v>55.27</v>
      </c>
      <c r="E20310">
        <v>863</v>
      </c>
      <c r="F20310">
        <v>386</v>
      </c>
      <c r="G20310">
        <v>57</v>
      </c>
      <c r="H20310">
        <v>2</v>
      </c>
      <c r="I20310">
        <v>844</v>
      </c>
      <c r="J20310">
        <v>1</v>
      </c>
      <c r="K20310">
        <v>9</v>
      </c>
      <c r="L20310">
        <v>834</v>
      </c>
      <c r="M20310">
        <v>1</v>
      </c>
      <c r="N20310">
        <v>0</v>
      </c>
      <c r="O20310">
        <v>2177</v>
      </c>
    </row>
    <row r="20311" spans="1:15" x14ac:dyDescent="0.25">
      <c r="A20311" t="s">
        <v>20324</v>
      </c>
      <c r="B20311">
        <v>321</v>
      </c>
      <c r="C20311" s="1" t="str">
        <f>HYPERLINK("http://www.rosaceae.org/gb/gbrowse/malus_x_domestica/?name=MDP0000543088","MDP0000543088")</f>
        <v>MDP0000543088</v>
      </c>
      <c r="D20311">
        <v>68.959999999999994</v>
      </c>
      <c r="E20311">
        <v>319</v>
      </c>
      <c r="F20311">
        <v>99</v>
      </c>
      <c r="G20311">
        <v>1</v>
      </c>
      <c r="H20311">
        <v>2</v>
      </c>
      <c r="I20311">
        <v>320</v>
      </c>
      <c r="J20311">
        <v>1</v>
      </c>
      <c r="K20311">
        <v>4</v>
      </c>
      <c r="L20311">
        <v>321</v>
      </c>
      <c r="M20311">
        <v>1</v>
      </c>
      <c r="N20311">
        <v>6.3223399999999995E-135</v>
      </c>
      <c r="O20311">
        <v>1228</v>
      </c>
    </row>
    <row r="20312" spans="1:15" x14ac:dyDescent="0.25">
      <c r="A20312" t="s">
        <v>20325</v>
      </c>
      <c r="B20312">
        <v>695</v>
      </c>
      <c r="C20312" s="1" t="str">
        <f>HYPERLINK("http://www.rosaceae.org/gb/gbrowse/malus_x_domestica/?name=MDP0000225163","MDP0000225163")</f>
        <v>MDP0000225163</v>
      </c>
      <c r="D20312">
        <v>79.69</v>
      </c>
      <c r="E20312">
        <v>714</v>
      </c>
      <c r="F20312">
        <v>145</v>
      </c>
      <c r="G20312">
        <v>23</v>
      </c>
      <c r="H20312">
        <v>5</v>
      </c>
      <c r="I20312">
        <v>695</v>
      </c>
      <c r="J20312">
        <v>1</v>
      </c>
      <c r="K20312">
        <v>120</v>
      </c>
      <c r="L20312">
        <v>833</v>
      </c>
      <c r="M20312">
        <v>1</v>
      </c>
      <c r="N20312">
        <v>0</v>
      </c>
      <c r="O20312">
        <v>3094</v>
      </c>
    </row>
    <row r="20313" spans="1:15" x14ac:dyDescent="0.25">
      <c r="A20313" t="s">
        <v>20326</v>
      </c>
      <c r="B20313">
        <v>1153</v>
      </c>
      <c r="C20313" s="1" t="str">
        <f>HYPERLINK("http://www.rosaceae.org/gb/gbrowse/malus_x_domestica/?name=MDP0000232174","MDP0000232174")</f>
        <v>MDP0000232174</v>
      </c>
      <c r="D20313">
        <v>70.45</v>
      </c>
      <c r="E20313">
        <v>1022</v>
      </c>
      <c r="F20313">
        <v>302</v>
      </c>
      <c r="G20313">
        <v>39</v>
      </c>
      <c r="H20313">
        <v>86</v>
      </c>
      <c r="I20313">
        <v>1075</v>
      </c>
      <c r="J20313">
        <v>1</v>
      </c>
      <c r="K20313">
        <v>520</v>
      </c>
      <c r="L20313">
        <v>1534</v>
      </c>
      <c r="M20313">
        <v>1</v>
      </c>
      <c r="N20313">
        <v>0</v>
      </c>
      <c r="O20313">
        <v>3726</v>
      </c>
    </row>
    <row r="20314" spans="1:15" x14ac:dyDescent="0.25">
      <c r="A20314" t="s">
        <v>20327</v>
      </c>
      <c r="B20314">
        <v>477</v>
      </c>
      <c r="C20314" s="1" t="str">
        <f>HYPERLINK("http://www.rosaceae.org/gb/gbrowse/malus_x_domestica/?name=MDP0000254385","MDP0000254385")</f>
        <v>MDP0000254385</v>
      </c>
      <c r="D20314">
        <v>63.19</v>
      </c>
      <c r="E20314">
        <v>519</v>
      </c>
      <c r="F20314">
        <v>191</v>
      </c>
      <c r="G20314">
        <v>49</v>
      </c>
      <c r="H20314">
        <v>1</v>
      </c>
      <c r="I20314">
        <v>477</v>
      </c>
      <c r="J20314">
        <v>1</v>
      </c>
      <c r="K20314">
        <v>1</v>
      </c>
      <c r="L20314">
        <v>512</v>
      </c>
      <c r="M20314">
        <v>1</v>
      </c>
      <c r="N20314">
        <v>4.0819300000000001E-165</v>
      </c>
      <c r="O20314">
        <v>1490</v>
      </c>
    </row>
    <row r="20315" spans="1:15" x14ac:dyDescent="0.25">
      <c r="A20315" t="s">
        <v>20328</v>
      </c>
      <c r="B20315">
        <v>126</v>
      </c>
      <c r="C20315" s="1" t="str">
        <f>HYPERLINK("http://www.rosaceae.org/gb/gbrowse/malus_x_domestica/?name=MDP0000218959","MDP0000218959")</f>
        <v>MDP0000218959</v>
      </c>
      <c r="D20315">
        <v>38.82</v>
      </c>
      <c r="E20315">
        <v>85</v>
      </c>
      <c r="F20315">
        <v>52</v>
      </c>
      <c r="G20315">
        <v>26</v>
      </c>
      <c r="H20315">
        <v>68</v>
      </c>
      <c r="I20315">
        <v>126</v>
      </c>
      <c r="J20315">
        <v>1</v>
      </c>
      <c r="K20315">
        <v>45</v>
      </c>
      <c r="L20315">
        <v>129</v>
      </c>
      <c r="M20315">
        <v>1</v>
      </c>
      <c r="N20315">
        <v>1.9720700000000002E-9</v>
      </c>
      <c r="O20315">
        <v>139</v>
      </c>
    </row>
    <row r="20316" spans="1:15" x14ac:dyDescent="0.25">
      <c r="A20316" t="s">
        <v>20329</v>
      </c>
      <c r="B20316">
        <v>313</v>
      </c>
      <c r="C20316" s="1" t="str">
        <f>HYPERLINK("http://www.rosaceae.org/gb/gbrowse/malus_x_domestica/?name=MDP0000889408","MDP0000889408")</f>
        <v>MDP0000889408</v>
      </c>
      <c r="D20316">
        <v>79.81</v>
      </c>
      <c r="E20316">
        <v>322</v>
      </c>
      <c r="F20316">
        <v>65</v>
      </c>
      <c r="G20316">
        <v>15</v>
      </c>
      <c r="H20316">
        <v>2</v>
      </c>
      <c r="I20316">
        <v>313</v>
      </c>
      <c r="J20316">
        <v>1</v>
      </c>
      <c r="K20316">
        <v>1408</v>
      </c>
      <c r="L20316">
        <v>1724</v>
      </c>
      <c r="M20316">
        <v>1</v>
      </c>
      <c r="N20316">
        <v>5.9207000000000003E-146</v>
      </c>
      <c r="O20316">
        <v>1323</v>
      </c>
    </row>
    <row r="20317" spans="1:15" x14ac:dyDescent="0.25">
      <c r="A20317" t="s">
        <v>20330</v>
      </c>
      <c r="B20317">
        <v>188</v>
      </c>
      <c r="C20317" s="1" t="str">
        <f>HYPERLINK("http://www.rosaceae.org/gb/gbrowse/malus_x_domestica/?name=MDP0000158215","MDP0000158215")</f>
        <v>MDP0000158215</v>
      </c>
      <c r="D20317">
        <v>48.93</v>
      </c>
      <c r="E20317">
        <v>188</v>
      </c>
      <c r="F20317">
        <v>96</v>
      </c>
      <c r="G20317">
        <v>10</v>
      </c>
      <c r="H20317">
        <v>1</v>
      </c>
      <c r="I20317">
        <v>179</v>
      </c>
      <c r="J20317">
        <v>1</v>
      </c>
      <c r="K20317">
        <v>1</v>
      </c>
      <c r="L20317">
        <v>187</v>
      </c>
      <c r="M20317">
        <v>1</v>
      </c>
      <c r="N20317">
        <v>7.7524900000000006E-34</v>
      </c>
      <c r="O20317">
        <v>353</v>
      </c>
    </row>
    <row r="20318" spans="1:15" x14ac:dyDescent="0.25">
      <c r="A20318" t="s">
        <v>20331</v>
      </c>
      <c r="B20318">
        <v>350</v>
      </c>
      <c r="C20318" s="1" t="str">
        <f>HYPERLINK("http://www.rosaceae.org/gb/gbrowse/malus_x_domestica/?name=MDP0000285570","MDP0000285570")</f>
        <v>MDP0000285570</v>
      </c>
      <c r="D20318">
        <v>43.24</v>
      </c>
      <c r="E20318">
        <v>148</v>
      </c>
      <c r="F20318">
        <v>84</v>
      </c>
      <c r="G20318">
        <v>13</v>
      </c>
      <c r="H20318">
        <v>119</v>
      </c>
      <c r="I20318">
        <v>262</v>
      </c>
      <c r="J20318">
        <v>1</v>
      </c>
      <c r="K20318">
        <v>277</v>
      </c>
      <c r="L20318">
        <v>415</v>
      </c>
      <c r="M20318">
        <v>1</v>
      </c>
      <c r="N20318">
        <v>1.0426799999999999E-21</v>
      </c>
      <c r="O20318">
        <v>252</v>
      </c>
    </row>
    <row r="20319" spans="1:15" x14ac:dyDescent="0.25">
      <c r="A20319" t="s">
        <v>20332</v>
      </c>
      <c r="B20319">
        <v>201</v>
      </c>
      <c r="C20319" s="1" t="str">
        <f>HYPERLINK("http://www.rosaceae.org/gb/gbrowse/malus_x_domestica/?name=MDP0000486156","MDP0000486156")</f>
        <v>MDP0000486156</v>
      </c>
      <c r="D20319">
        <v>76.62</v>
      </c>
      <c r="E20319">
        <v>154</v>
      </c>
      <c r="F20319">
        <v>36</v>
      </c>
      <c r="G20319">
        <v>2</v>
      </c>
      <c r="H20319">
        <v>1</v>
      </c>
      <c r="I20319">
        <v>152</v>
      </c>
      <c r="J20319">
        <v>1</v>
      </c>
      <c r="K20319">
        <v>1</v>
      </c>
      <c r="L20319">
        <v>154</v>
      </c>
      <c r="M20319">
        <v>1</v>
      </c>
      <c r="N20319">
        <v>1.9131500000000001E-66</v>
      </c>
      <c r="O20319">
        <v>635</v>
      </c>
    </row>
    <row r="20320" spans="1:15" x14ac:dyDescent="0.25">
      <c r="A20320" t="s">
        <v>20333</v>
      </c>
      <c r="B20320">
        <v>347</v>
      </c>
      <c r="C20320" s="1" t="str">
        <f>HYPERLINK("http://www.rosaceae.org/gb/gbrowse/malus_x_domestica/?name=MDP0000582139","MDP0000582139")</f>
        <v>MDP0000582139</v>
      </c>
      <c r="D20320">
        <v>59.25</v>
      </c>
      <c r="E20320">
        <v>81</v>
      </c>
      <c r="F20320">
        <v>33</v>
      </c>
      <c r="G20320">
        <v>1</v>
      </c>
      <c r="H20320">
        <v>268</v>
      </c>
      <c r="I20320">
        <v>347</v>
      </c>
      <c r="J20320">
        <v>1</v>
      </c>
      <c r="K20320">
        <v>227</v>
      </c>
      <c r="L20320">
        <v>307</v>
      </c>
      <c r="M20320">
        <v>1</v>
      </c>
      <c r="N20320">
        <v>9.3210199999999996E-21</v>
      </c>
      <c r="O20320">
        <v>244</v>
      </c>
    </row>
    <row r="20321" spans="1:15" x14ac:dyDescent="0.25">
      <c r="A20321" t="s">
        <v>20334</v>
      </c>
      <c r="B20321">
        <v>244</v>
      </c>
      <c r="C20321" s="1" t="str">
        <f>HYPERLINK("http://www.rosaceae.org/gb/gbrowse/malus_x_domestica/?name=MDP0000304327","MDP0000304327")</f>
        <v>MDP0000304327</v>
      </c>
      <c r="D20321">
        <v>41.57</v>
      </c>
      <c r="E20321">
        <v>190</v>
      </c>
      <c r="F20321">
        <v>111</v>
      </c>
      <c r="G20321">
        <v>22</v>
      </c>
      <c r="H20321">
        <v>43</v>
      </c>
      <c r="I20321">
        <v>227</v>
      </c>
      <c r="J20321">
        <v>1</v>
      </c>
      <c r="K20321">
        <v>814</v>
      </c>
      <c r="L20321">
        <v>986</v>
      </c>
      <c r="M20321">
        <v>1</v>
      </c>
      <c r="N20321">
        <v>8.7688499999999993E-24</v>
      </c>
      <c r="O20321">
        <v>268</v>
      </c>
    </row>
    <row r="20322" spans="1:15" x14ac:dyDescent="0.25">
      <c r="A20322" t="s">
        <v>20335</v>
      </c>
      <c r="B20322">
        <v>218</v>
      </c>
      <c r="C20322" s="1" t="str">
        <f>HYPERLINK("http://www.rosaceae.org/gb/gbrowse/malus_x_domestica/?name=MDP0000322133","MDP0000322133")</f>
        <v>MDP0000322133</v>
      </c>
      <c r="D20322">
        <v>59.64</v>
      </c>
      <c r="E20322">
        <v>171</v>
      </c>
      <c r="F20322">
        <v>69</v>
      </c>
      <c r="G20322">
        <v>37</v>
      </c>
      <c r="H20322">
        <v>35</v>
      </c>
      <c r="I20322">
        <v>195</v>
      </c>
      <c r="J20322">
        <v>1</v>
      </c>
      <c r="K20322">
        <v>28</v>
      </c>
      <c r="L20322">
        <v>171</v>
      </c>
      <c r="M20322">
        <v>1</v>
      </c>
      <c r="N20322">
        <v>4.6533899999999996E-47</v>
      </c>
      <c r="O20322">
        <v>468</v>
      </c>
    </row>
    <row r="20323" spans="1:15" x14ac:dyDescent="0.25">
      <c r="A20323" t="s">
        <v>20336</v>
      </c>
      <c r="B20323">
        <v>404</v>
      </c>
      <c r="C20323" s="1" t="str">
        <f>HYPERLINK("http://www.rosaceae.org/gb/gbrowse/malus_x_domestica/?name=MDP0000617187","MDP0000617187")</f>
        <v>MDP0000617187</v>
      </c>
      <c r="D20323">
        <v>74.06</v>
      </c>
      <c r="E20323">
        <v>374</v>
      </c>
      <c r="F20323">
        <v>97</v>
      </c>
      <c r="G20323">
        <v>6</v>
      </c>
      <c r="H20323">
        <v>1</v>
      </c>
      <c r="I20323">
        <v>369</v>
      </c>
      <c r="J20323">
        <v>1</v>
      </c>
      <c r="K20323">
        <v>59</v>
      </c>
      <c r="L20323">
        <v>431</v>
      </c>
      <c r="M20323">
        <v>1</v>
      </c>
      <c r="N20323">
        <v>8.1446900000000003E-157</v>
      </c>
      <c r="O20323">
        <v>1418</v>
      </c>
    </row>
    <row r="20324" spans="1:15" x14ac:dyDescent="0.25">
      <c r="A20324" t="s">
        <v>20337</v>
      </c>
      <c r="B20324">
        <v>708</v>
      </c>
      <c r="C20324" s="1" t="str">
        <f>HYPERLINK("http://www.rosaceae.org/gb/gbrowse/malus_x_domestica/?name=MDP0000255057","MDP0000255057")</f>
        <v>MDP0000255057</v>
      </c>
      <c r="D20324">
        <v>86.1</v>
      </c>
      <c r="E20324">
        <v>547</v>
      </c>
      <c r="F20324">
        <v>76</v>
      </c>
      <c r="G20324">
        <v>11</v>
      </c>
      <c r="H20324">
        <v>163</v>
      </c>
      <c r="I20324">
        <v>708</v>
      </c>
      <c r="J20324">
        <v>1</v>
      </c>
      <c r="K20324">
        <v>1</v>
      </c>
      <c r="L20324">
        <v>537</v>
      </c>
      <c r="M20324">
        <v>1</v>
      </c>
      <c r="N20324">
        <v>0</v>
      </c>
      <c r="O20324">
        <v>2497</v>
      </c>
    </row>
    <row r="20325" spans="1:15" x14ac:dyDescent="0.25">
      <c r="A20325" t="s">
        <v>20338</v>
      </c>
      <c r="B20325">
        <v>487</v>
      </c>
      <c r="C20325" s="1" t="str">
        <f>HYPERLINK("http://www.rosaceae.org/gb/gbrowse/malus_x_domestica/?name=MDP0000166337","MDP0000166337")</f>
        <v>MDP0000166337</v>
      </c>
      <c r="D20325">
        <v>53.01</v>
      </c>
      <c r="E20325">
        <v>530</v>
      </c>
      <c r="F20325">
        <v>249</v>
      </c>
      <c r="G20325">
        <v>52</v>
      </c>
      <c r="H20325">
        <v>6</v>
      </c>
      <c r="I20325">
        <v>487</v>
      </c>
      <c r="J20325">
        <v>1</v>
      </c>
      <c r="K20325">
        <v>14</v>
      </c>
      <c r="L20325">
        <v>539</v>
      </c>
      <c r="M20325">
        <v>1</v>
      </c>
      <c r="N20325">
        <v>2.43943E-162</v>
      </c>
      <c r="O20325">
        <v>1466</v>
      </c>
    </row>
    <row r="20326" spans="1:15" x14ac:dyDescent="0.25">
      <c r="A20326" t="s">
        <v>20339</v>
      </c>
      <c r="B20326">
        <v>191</v>
      </c>
      <c r="C20326" s="1" t="str">
        <f>HYPERLINK("http://www.rosaceae.org/gb/gbrowse/malus_x_domestica/?name=MDP0000130026","MDP0000130026")</f>
        <v>MDP0000130026</v>
      </c>
      <c r="D20326">
        <v>84.53</v>
      </c>
      <c r="E20326">
        <v>97</v>
      </c>
      <c r="F20326">
        <v>15</v>
      </c>
      <c r="G20326">
        <v>0</v>
      </c>
      <c r="H20326">
        <v>94</v>
      </c>
      <c r="I20326">
        <v>190</v>
      </c>
      <c r="J20326">
        <v>1</v>
      </c>
      <c r="K20326">
        <v>367</v>
      </c>
      <c r="L20326">
        <v>463</v>
      </c>
      <c r="M20326">
        <v>1</v>
      </c>
      <c r="N20326">
        <v>1.0109999999999999E-43</v>
      </c>
      <c r="O20326">
        <v>438</v>
      </c>
    </row>
    <row r="20327" spans="1:15" x14ac:dyDescent="0.25">
      <c r="A20327" t="s">
        <v>20340</v>
      </c>
      <c r="B20327">
        <v>191</v>
      </c>
      <c r="C20327" s="1" t="str">
        <f>HYPERLINK("http://www.rosaceae.org/gb/gbrowse/malus_x_domestica/?name=MDP0000156587","MDP0000156587")</f>
        <v>MDP0000156587</v>
      </c>
      <c r="D20327">
        <v>89.81</v>
      </c>
      <c r="E20327">
        <v>108</v>
      </c>
      <c r="F20327">
        <v>11</v>
      </c>
      <c r="G20327">
        <v>0</v>
      </c>
      <c r="H20327">
        <v>78</v>
      </c>
      <c r="I20327">
        <v>185</v>
      </c>
      <c r="J20327">
        <v>1</v>
      </c>
      <c r="K20327">
        <v>28</v>
      </c>
      <c r="L20327">
        <v>135</v>
      </c>
      <c r="M20327">
        <v>1</v>
      </c>
      <c r="N20327">
        <v>1.8088399999999999E-51</v>
      </c>
      <c r="O20327">
        <v>505</v>
      </c>
    </row>
    <row r="20328" spans="1:15" x14ac:dyDescent="0.25">
      <c r="A20328" t="s">
        <v>20341</v>
      </c>
      <c r="B20328">
        <v>1391</v>
      </c>
      <c r="C20328" s="1" t="str">
        <f>HYPERLINK("http://www.rosaceae.org/gb/gbrowse/malus_x_domestica/?name=MDP0000136041","MDP0000136041")</f>
        <v>MDP0000136041</v>
      </c>
      <c r="D20328">
        <v>78.8</v>
      </c>
      <c r="E20328">
        <v>651</v>
      </c>
      <c r="F20328">
        <v>138</v>
      </c>
      <c r="G20328">
        <v>18</v>
      </c>
      <c r="H20328">
        <v>83</v>
      </c>
      <c r="I20328">
        <v>716</v>
      </c>
      <c r="J20328">
        <v>1</v>
      </c>
      <c r="K20328">
        <v>169</v>
      </c>
      <c r="L20328">
        <v>818</v>
      </c>
      <c r="M20328">
        <v>1</v>
      </c>
      <c r="N20328">
        <v>0</v>
      </c>
      <c r="O20328">
        <v>2577</v>
      </c>
    </row>
    <row r="20329" spans="1:15" x14ac:dyDescent="0.25">
      <c r="A20329" t="s">
        <v>20342</v>
      </c>
      <c r="B20329">
        <v>274</v>
      </c>
      <c r="C20329" s="1" t="str">
        <f>HYPERLINK("http://www.rosaceae.org/gb/gbrowse/malus_x_domestica/?name=MDP0000168885","MDP0000168885")</f>
        <v>MDP0000168885</v>
      </c>
      <c r="D20329">
        <v>80.58</v>
      </c>
      <c r="E20329">
        <v>273</v>
      </c>
      <c r="F20329">
        <v>53</v>
      </c>
      <c r="G20329">
        <v>6</v>
      </c>
      <c r="H20329">
        <v>2</v>
      </c>
      <c r="I20329">
        <v>274</v>
      </c>
      <c r="J20329">
        <v>1</v>
      </c>
      <c r="K20329">
        <v>36</v>
      </c>
      <c r="L20329">
        <v>302</v>
      </c>
      <c r="M20329">
        <v>1</v>
      </c>
      <c r="N20329">
        <v>4.1063900000000002E-128</v>
      </c>
      <c r="O20329">
        <v>1168</v>
      </c>
    </row>
    <row r="20330" spans="1:15" x14ac:dyDescent="0.25">
      <c r="A20330" t="s">
        <v>20343</v>
      </c>
      <c r="B20330">
        <v>721</v>
      </c>
      <c r="C20330" s="1" t="str">
        <f>HYPERLINK("http://www.rosaceae.org/gb/gbrowse/malus_x_domestica/?name=MDP0000319220","MDP0000319220")</f>
        <v>MDP0000319220</v>
      </c>
      <c r="D20330">
        <v>56.87</v>
      </c>
      <c r="E20330">
        <v>698</v>
      </c>
      <c r="F20330">
        <v>301</v>
      </c>
      <c r="G20330">
        <v>78</v>
      </c>
      <c r="H20330">
        <v>33</v>
      </c>
      <c r="I20330">
        <v>719</v>
      </c>
      <c r="J20330">
        <v>1</v>
      </c>
      <c r="K20330">
        <v>174</v>
      </c>
      <c r="L20330">
        <v>804</v>
      </c>
      <c r="M20330">
        <v>1</v>
      </c>
      <c r="N20330">
        <v>0</v>
      </c>
      <c r="O20330">
        <v>1888</v>
      </c>
    </row>
    <row r="20331" spans="1:15" x14ac:dyDescent="0.25">
      <c r="A20331" t="s">
        <v>20344</v>
      </c>
      <c r="B20331">
        <v>1290</v>
      </c>
      <c r="C20331" s="1" t="str">
        <f>HYPERLINK("http://www.rosaceae.org/gb/gbrowse/malus_x_domestica/?name=MDP0000301081","MDP0000301081")</f>
        <v>MDP0000301081</v>
      </c>
      <c r="D20331">
        <v>62.38</v>
      </c>
      <c r="E20331">
        <v>529</v>
      </c>
      <c r="F20331">
        <v>199</v>
      </c>
      <c r="G20331">
        <v>52</v>
      </c>
      <c r="H20331">
        <v>246</v>
      </c>
      <c r="I20331">
        <v>763</v>
      </c>
      <c r="J20331">
        <v>1</v>
      </c>
      <c r="K20331">
        <v>125</v>
      </c>
      <c r="L20331">
        <v>612</v>
      </c>
      <c r="M20331">
        <v>1</v>
      </c>
      <c r="N20331">
        <v>3.74198E-172</v>
      </c>
      <c r="O20331">
        <v>1555</v>
      </c>
    </row>
    <row r="20332" spans="1:15" x14ac:dyDescent="0.25">
      <c r="A20332" t="s">
        <v>20345</v>
      </c>
      <c r="B20332">
        <v>253</v>
      </c>
      <c r="C20332" s="1" t="str">
        <f>HYPERLINK("http://www.rosaceae.org/gb/gbrowse/malus_x_domestica/?name=MDP0000286065","MDP0000286065")</f>
        <v>MDP0000286065</v>
      </c>
      <c r="D20332">
        <v>95.25</v>
      </c>
      <c r="E20332">
        <v>253</v>
      </c>
      <c r="F20332">
        <v>12</v>
      </c>
      <c r="G20332">
        <v>0</v>
      </c>
      <c r="H20332">
        <v>1</v>
      </c>
      <c r="I20332">
        <v>253</v>
      </c>
      <c r="J20332">
        <v>1</v>
      </c>
      <c r="K20332">
        <v>1</v>
      </c>
      <c r="L20332">
        <v>253</v>
      </c>
      <c r="M20332">
        <v>1</v>
      </c>
      <c r="N20332">
        <v>9.2355800000000005E-142</v>
      </c>
      <c r="O20332">
        <v>1286</v>
      </c>
    </row>
    <row r="20333" spans="1:15" x14ac:dyDescent="0.25">
      <c r="A20333" t="s">
        <v>20346</v>
      </c>
      <c r="B20333">
        <v>330</v>
      </c>
      <c r="C20333" s="1" t="str">
        <f>HYPERLINK("http://www.rosaceae.org/gb/gbrowse/malus_x_domestica/?name=MDP0000779624","MDP0000779624")</f>
        <v>MDP0000779624</v>
      </c>
      <c r="D20333">
        <v>61.11</v>
      </c>
      <c r="E20333">
        <v>54</v>
      </c>
      <c r="F20333">
        <v>21</v>
      </c>
      <c r="G20333">
        <v>0</v>
      </c>
      <c r="H20333">
        <v>169</v>
      </c>
      <c r="I20333">
        <v>222</v>
      </c>
      <c r="J20333">
        <v>1</v>
      </c>
      <c r="K20333">
        <v>47</v>
      </c>
      <c r="L20333">
        <v>100</v>
      </c>
      <c r="M20333">
        <v>1</v>
      </c>
      <c r="N20333">
        <v>1.8253700000000001E-13</v>
      </c>
      <c r="O20333">
        <v>181</v>
      </c>
    </row>
    <row r="20334" spans="1:15" x14ac:dyDescent="0.25">
      <c r="A20334" t="s">
        <v>20347</v>
      </c>
      <c r="B20334">
        <v>123</v>
      </c>
      <c r="C20334" s="1" t="str">
        <f>HYPERLINK("http://www.rosaceae.org/gb/gbrowse/malus_x_domestica/?name=MDP0000277829","MDP0000277829")</f>
        <v>MDP0000277829</v>
      </c>
      <c r="D20334">
        <v>67.59</v>
      </c>
      <c r="E20334">
        <v>108</v>
      </c>
      <c r="F20334">
        <v>35</v>
      </c>
      <c r="G20334">
        <v>0</v>
      </c>
      <c r="H20334">
        <v>1</v>
      </c>
      <c r="I20334">
        <v>108</v>
      </c>
      <c r="J20334">
        <v>1</v>
      </c>
      <c r="K20334">
        <v>1</v>
      </c>
      <c r="L20334">
        <v>108</v>
      </c>
      <c r="M20334">
        <v>1</v>
      </c>
      <c r="N20334">
        <v>7.1662900000000005E-30</v>
      </c>
      <c r="O20334">
        <v>315</v>
      </c>
    </row>
    <row r="20335" spans="1:15" x14ac:dyDescent="0.25">
      <c r="A20335" t="s">
        <v>20348</v>
      </c>
      <c r="B20335">
        <v>371</v>
      </c>
      <c r="C20335" s="1" t="str">
        <f>HYPERLINK("http://www.rosaceae.org/gb/gbrowse/malus_x_domestica/?name=MDP0000139362","MDP0000139362")</f>
        <v>MDP0000139362</v>
      </c>
      <c r="D20335">
        <v>78.78</v>
      </c>
      <c r="E20335">
        <v>363</v>
      </c>
      <c r="F20335">
        <v>77</v>
      </c>
      <c r="G20335">
        <v>14</v>
      </c>
      <c r="H20335">
        <v>18</v>
      </c>
      <c r="I20335">
        <v>371</v>
      </c>
      <c r="J20335">
        <v>1</v>
      </c>
      <c r="K20335">
        <v>514</v>
      </c>
      <c r="L20335">
        <v>871</v>
      </c>
      <c r="M20335">
        <v>1</v>
      </c>
      <c r="N20335">
        <v>4.1615000000000001E-166</v>
      </c>
      <c r="O20335">
        <v>1498</v>
      </c>
    </row>
    <row r="20336" spans="1:15" x14ac:dyDescent="0.25">
      <c r="A20336" t="s">
        <v>20349</v>
      </c>
      <c r="B20336">
        <v>655</v>
      </c>
      <c r="C20336" s="1" t="str">
        <f>HYPERLINK("http://www.rosaceae.org/gb/gbrowse/malus_x_domestica/?name=MDP0000439439","MDP0000439439")</f>
        <v>MDP0000439439</v>
      </c>
      <c r="D20336">
        <v>58.15</v>
      </c>
      <c r="E20336">
        <v>411</v>
      </c>
      <c r="F20336">
        <v>172</v>
      </c>
      <c r="G20336">
        <v>19</v>
      </c>
      <c r="H20336">
        <v>53</v>
      </c>
      <c r="I20336">
        <v>451</v>
      </c>
      <c r="J20336">
        <v>1</v>
      </c>
      <c r="K20336">
        <v>34</v>
      </c>
      <c r="L20336">
        <v>437</v>
      </c>
      <c r="M20336">
        <v>1</v>
      </c>
      <c r="N20336">
        <v>4.71871E-127</v>
      </c>
      <c r="O20336">
        <v>1163</v>
      </c>
    </row>
    <row r="20337" spans="1:15" x14ac:dyDescent="0.25">
      <c r="A20337" t="s">
        <v>20350</v>
      </c>
      <c r="B20337">
        <v>1033</v>
      </c>
      <c r="C20337" s="1" t="str">
        <f>HYPERLINK("http://www.rosaceae.org/gb/gbrowse/malus_x_domestica/?name=MDP0000919694","MDP0000919694")</f>
        <v>MDP0000919694</v>
      </c>
      <c r="D20337">
        <v>66.05</v>
      </c>
      <c r="E20337">
        <v>1037</v>
      </c>
      <c r="F20337">
        <v>352</v>
      </c>
      <c r="G20337">
        <v>58</v>
      </c>
      <c r="H20337">
        <v>1</v>
      </c>
      <c r="I20337">
        <v>1033</v>
      </c>
      <c r="J20337">
        <v>1</v>
      </c>
      <c r="K20337">
        <v>1</v>
      </c>
      <c r="L20337">
        <v>983</v>
      </c>
      <c r="M20337">
        <v>1</v>
      </c>
      <c r="N20337">
        <v>0</v>
      </c>
      <c r="O20337">
        <v>3461</v>
      </c>
    </row>
    <row r="20338" spans="1:15" x14ac:dyDescent="0.25">
      <c r="A20338" t="s">
        <v>20351</v>
      </c>
      <c r="B20338">
        <v>380</v>
      </c>
      <c r="C20338" s="1" t="str">
        <f>HYPERLINK("http://www.rosaceae.org/gb/gbrowse/malus_x_domestica/?name=MDP0000452378","MDP0000452378")</f>
        <v>MDP0000452378</v>
      </c>
      <c r="D20338">
        <v>57.23</v>
      </c>
      <c r="E20338">
        <v>318</v>
      </c>
      <c r="F20338">
        <v>136</v>
      </c>
      <c r="G20338">
        <v>11</v>
      </c>
      <c r="H20338">
        <v>32</v>
      </c>
      <c r="I20338">
        <v>347</v>
      </c>
      <c r="J20338">
        <v>1</v>
      </c>
      <c r="K20338">
        <v>26</v>
      </c>
      <c r="L20338">
        <v>334</v>
      </c>
      <c r="M20338">
        <v>1</v>
      </c>
      <c r="N20338">
        <v>4.0963000000000001E-105</v>
      </c>
      <c r="O20338">
        <v>972</v>
      </c>
    </row>
    <row r="20339" spans="1:15" x14ac:dyDescent="0.25">
      <c r="A20339" t="s">
        <v>20352</v>
      </c>
      <c r="B20339">
        <v>1664</v>
      </c>
      <c r="C20339" s="1" t="str">
        <f>HYPERLINK("http://www.rosaceae.org/gb/gbrowse/malus_x_domestica/?name=MDP0000163412","MDP0000163412")</f>
        <v>MDP0000163412</v>
      </c>
      <c r="D20339">
        <v>57.2</v>
      </c>
      <c r="E20339">
        <v>701</v>
      </c>
      <c r="F20339">
        <v>300</v>
      </c>
      <c r="G20339">
        <v>155</v>
      </c>
      <c r="H20339">
        <v>1</v>
      </c>
      <c r="I20339">
        <v>571</v>
      </c>
      <c r="J20339">
        <v>1</v>
      </c>
      <c r="K20339">
        <v>48</v>
      </c>
      <c r="L20339">
        <v>723</v>
      </c>
      <c r="M20339">
        <v>1</v>
      </c>
      <c r="N20339">
        <v>0</v>
      </c>
      <c r="O20339">
        <v>1945</v>
      </c>
    </row>
    <row r="20340" spans="1:15" x14ac:dyDescent="0.25">
      <c r="A20340" t="s">
        <v>20353</v>
      </c>
      <c r="B20340">
        <v>339</v>
      </c>
      <c r="C20340" s="1" t="str">
        <f>HYPERLINK("http://www.rosaceae.org/gb/gbrowse/malus_x_domestica/?name=MDP0000175692","MDP0000175692")</f>
        <v>MDP0000175692</v>
      </c>
      <c r="D20340">
        <v>60.62</v>
      </c>
      <c r="E20340">
        <v>353</v>
      </c>
      <c r="F20340">
        <v>139</v>
      </c>
      <c r="G20340">
        <v>44</v>
      </c>
      <c r="H20340">
        <v>1</v>
      </c>
      <c r="I20340">
        <v>339</v>
      </c>
      <c r="J20340">
        <v>1</v>
      </c>
      <c r="K20340">
        <v>1</v>
      </c>
      <c r="L20340">
        <v>323</v>
      </c>
      <c r="M20340">
        <v>1</v>
      </c>
      <c r="N20340">
        <v>1.57717E-105</v>
      </c>
      <c r="O20340">
        <v>975</v>
      </c>
    </row>
    <row r="20341" spans="1:15" x14ac:dyDescent="0.25">
      <c r="A20341" t="s">
        <v>20354</v>
      </c>
      <c r="B20341">
        <v>345</v>
      </c>
      <c r="C20341" s="1" t="str">
        <f>HYPERLINK("http://www.rosaceae.org/gb/gbrowse/malus_x_domestica/?name=MDP0000161181","MDP0000161181")</f>
        <v>MDP0000161181</v>
      </c>
      <c r="D20341">
        <v>74.650000000000006</v>
      </c>
      <c r="E20341">
        <v>359</v>
      </c>
      <c r="F20341">
        <v>91</v>
      </c>
      <c r="G20341">
        <v>17</v>
      </c>
      <c r="H20341">
        <v>1</v>
      </c>
      <c r="I20341">
        <v>343</v>
      </c>
      <c r="J20341">
        <v>1</v>
      </c>
      <c r="K20341">
        <v>1</v>
      </c>
      <c r="L20341">
        <v>358</v>
      </c>
      <c r="M20341">
        <v>1</v>
      </c>
      <c r="N20341">
        <v>3.1084899999999998E-154</v>
      </c>
      <c r="O20341">
        <v>1395</v>
      </c>
    </row>
    <row r="20342" spans="1:15" x14ac:dyDescent="0.25">
      <c r="A20342" t="s">
        <v>20355</v>
      </c>
      <c r="B20342">
        <v>454</v>
      </c>
      <c r="C20342" s="1" t="str">
        <f>HYPERLINK("http://www.rosaceae.org/gb/gbrowse/malus_x_domestica/?name=MDP0000405936","MDP0000405936")</f>
        <v>MDP0000405936</v>
      </c>
      <c r="D20342">
        <v>39.03</v>
      </c>
      <c r="E20342">
        <v>456</v>
      </c>
      <c r="F20342">
        <v>278</v>
      </c>
      <c r="G20342">
        <v>17</v>
      </c>
      <c r="H20342">
        <v>8</v>
      </c>
      <c r="I20342">
        <v>452</v>
      </c>
      <c r="J20342">
        <v>1</v>
      </c>
      <c r="K20342">
        <v>27</v>
      </c>
      <c r="L20342">
        <v>476</v>
      </c>
      <c r="M20342">
        <v>1</v>
      </c>
      <c r="N20342">
        <v>2.6978E-77</v>
      </c>
      <c r="O20342">
        <v>733</v>
      </c>
    </row>
    <row r="20343" spans="1:15" x14ac:dyDescent="0.25">
      <c r="A20343" t="s">
        <v>20356</v>
      </c>
      <c r="B20343">
        <v>287</v>
      </c>
      <c r="C20343" s="1" t="str">
        <f>HYPERLINK("http://www.rosaceae.org/gb/gbrowse/malus_x_domestica/?name=MDP0000300671","MDP0000300671")</f>
        <v>MDP0000300671</v>
      </c>
      <c r="D20343">
        <v>75.55</v>
      </c>
      <c r="E20343">
        <v>270</v>
      </c>
      <c r="F20343">
        <v>66</v>
      </c>
      <c r="G20343">
        <v>7</v>
      </c>
      <c r="H20343">
        <v>13</v>
      </c>
      <c r="I20343">
        <v>282</v>
      </c>
      <c r="J20343">
        <v>1</v>
      </c>
      <c r="K20343">
        <v>1</v>
      </c>
      <c r="L20343">
        <v>263</v>
      </c>
      <c r="M20343">
        <v>1</v>
      </c>
      <c r="N20343">
        <v>4.5746099999999999E-122</v>
      </c>
      <c r="O20343">
        <v>1116</v>
      </c>
    </row>
    <row r="20344" spans="1:15" x14ac:dyDescent="0.25">
      <c r="A20344" t="s">
        <v>20357</v>
      </c>
      <c r="B20344">
        <v>1149</v>
      </c>
      <c r="C20344" s="1" t="str">
        <f>HYPERLINK("http://www.rosaceae.org/gb/gbrowse/malus_x_domestica/?name=MDP0000284129","MDP0000284129")</f>
        <v>MDP0000284129</v>
      </c>
      <c r="D20344">
        <v>73.12</v>
      </c>
      <c r="E20344">
        <v>1053</v>
      </c>
      <c r="F20344">
        <v>283</v>
      </c>
      <c r="G20344">
        <v>26</v>
      </c>
      <c r="H20344">
        <v>104</v>
      </c>
      <c r="I20344">
        <v>1144</v>
      </c>
      <c r="J20344">
        <v>1</v>
      </c>
      <c r="K20344">
        <v>151</v>
      </c>
      <c r="L20344">
        <v>1189</v>
      </c>
      <c r="M20344">
        <v>1</v>
      </c>
      <c r="N20344">
        <v>0</v>
      </c>
      <c r="O20344">
        <v>3937</v>
      </c>
    </row>
    <row r="20345" spans="1:15" x14ac:dyDescent="0.25">
      <c r="A20345" t="s">
        <v>20358</v>
      </c>
      <c r="B20345">
        <v>221</v>
      </c>
      <c r="C20345" s="1" t="str">
        <f>HYPERLINK("http://www.rosaceae.org/gb/gbrowse/malus_x_domestica/?name=MDP0000308680","MDP0000308680")</f>
        <v>MDP0000308680</v>
      </c>
      <c r="D20345">
        <v>30.69</v>
      </c>
      <c r="E20345">
        <v>215</v>
      </c>
      <c r="F20345">
        <v>149</v>
      </c>
      <c r="G20345">
        <v>50</v>
      </c>
      <c r="H20345">
        <v>4</v>
      </c>
      <c r="I20345">
        <v>216</v>
      </c>
      <c r="J20345">
        <v>1</v>
      </c>
      <c r="K20345">
        <v>102</v>
      </c>
      <c r="L20345">
        <v>268</v>
      </c>
      <c r="M20345">
        <v>1</v>
      </c>
      <c r="N20345">
        <v>4.2413199999999997E-21</v>
      </c>
      <c r="O20345">
        <v>244</v>
      </c>
    </row>
    <row r="20346" spans="1:15" x14ac:dyDescent="0.25">
      <c r="A20346" t="s">
        <v>20359</v>
      </c>
      <c r="B20346">
        <v>645</v>
      </c>
      <c r="C20346" s="1" t="str">
        <f>HYPERLINK("http://www.rosaceae.org/gb/gbrowse/malus_x_domestica/?name=MDP0000262498","MDP0000262498")</f>
        <v>MDP0000262498</v>
      </c>
      <c r="D20346">
        <v>79.56</v>
      </c>
      <c r="E20346">
        <v>592</v>
      </c>
      <c r="F20346">
        <v>121</v>
      </c>
      <c r="G20346">
        <v>27</v>
      </c>
      <c r="H20346">
        <v>80</v>
      </c>
      <c r="I20346">
        <v>645</v>
      </c>
      <c r="J20346">
        <v>1</v>
      </c>
      <c r="K20346">
        <v>93</v>
      </c>
      <c r="L20346">
        <v>683</v>
      </c>
      <c r="M20346">
        <v>1</v>
      </c>
      <c r="N20346">
        <v>0</v>
      </c>
      <c r="O20346">
        <v>2467</v>
      </c>
    </row>
    <row r="20347" spans="1:15" x14ac:dyDescent="0.25">
      <c r="A20347" t="s">
        <v>20360</v>
      </c>
      <c r="B20347">
        <v>226</v>
      </c>
      <c r="C20347" s="1" t="str">
        <f>HYPERLINK("http://www.rosaceae.org/gb/gbrowse/malus_x_domestica/?name=MDP0000155544","MDP0000155544")</f>
        <v>MDP0000155544</v>
      </c>
      <c r="D20347">
        <v>63.33</v>
      </c>
      <c r="E20347">
        <v>90</v>
      </c>
      <c r="F20347">
        <v>33</v>
      </c>
      <c r="G20347">
        <v>7</v>
      </c>
      <c r="H20347">
        <v>14</v>
      </c>
      <c r="I20347">
        <v>103</v>
      </c>
      <c r="J20347">
        <v>1</v>
      </c>
      <c r="K20347">
        <v>71</v>
      </c>
      <c r="L20347">
        <v>153</v>
      </c>
      <c r="M20347">
        <v>1</v>
      </c>
      <c r="N20347">
        <v>6.7758900000000005E-29</v>
      </c>
      <c r="O20347">
        <v>312</v>
      </c>
    </row>
    <row r="20348" spans="1:15" x14ac:dyDescent="0.25">
      <c r="A20348" t="s">
        <v>20361</v>
      </c>
      <c r="B20348">
        <v>81</v>
      </c>
      <c r="C20348" s="1" t="str">
        <f>HYPERLINK("http://www.rosaceae.org/gb/gbrowse/malus_x_domestica/?name=MDP0000298212","MDP0000298212")</f>
        <v>MDP0000298212</v>
      </c>
      <c r="D20348">
        <v>90.47</v>
      </c>
      <c r="E20348">
        <v>42</v>
      </c>
      <c r="F20348">
        <v>4</v>
      </c>
      <c r="G20348">
        <v>0</v>
      </c>
      <c r="H20348">
        <v>10</v>
      </c>
      <c r="I20348">
        <v>51</v>
      </c>
      <c r="J20348">
        <v>1</v>
      </c>
      <c r="K20348">
        <v>132</v>
      </c>
      <c r="L20348">
        <v>173</v>
      </c>
      <c r="M20348">
        <v>1</v>
      </c>
      <c r="N20348">
        <v>8.1234599999999998E-19</v>
      </c>
      <c r="O20348">
        <v>220</v>
      </c>
    </row>
    <row r="20349" spans="1:15" x14ac:dyDescent="0.25">
      <c r="A20349" t="s">
        <v>20362</v>
      </c>
      <c r="B20349">
        <v>391</v>
      </c>
      <c r="C20349" s="1" t="str">
        <f>HYPERLINK("http://www.rosaceae.org/gb/gbrowse/malus_x_domestica/?name=MDP0000650449","MDP0000650449")</f>
        <v>MDP0000650449</v>
      </c>
      <c r="D20349">
        <v>73.959999999999994</v>
      </c>
      <c r="E20349">
        <v>338</v>
      </c>
      <c r="F20349">
        <v>88</v>
      </c>
      <c r="G20349">
        <v>12</v>
      </c>
      <c r="H20349">
        <v>14</v>
      </c>
      <c r="I20349">
        <v>345</v>
      </c>
      <c r="J20349">
        <v>1</v>
      </c>
      <c r="K20349">
        <v>10</v>
      </c>
      <c r="L20349">
        <v>341</v>
      </c>
      <c r="M20349">
        <v>1</v>
      </c>
      <c r="N20349">
        <v>9.1811899999999996E-133</v>
      </c>
      <c r="O20349">
        <v>1210</v>
      </c>
    </row>
    <row r="20350" spans="1:15" x14ac:dyDescent="0.25">
      <c r="A20350" t="s">
        <v>20363</v>
      </c>
      <c r="B20350">
        <v>899</v>
      </c>
      <c r="C20350" s="1" t="str">
        <f>HYPERLINK("http://www.rosaceae.org/gb/gbrowse/malus_x_domestica/?name=MDP0000320695","MDP0000320695")</f>
        <v>MDP0000320695</v>
      </c>
      <c r="D20350">
        <v>58.2</v>
      </c>
      <c r="E20350">
        <v>890</v>
      </c>
      <c r="F20350">
        <v>372</v>
      </c>
      <c r="G20350">
        <v>30</v>
      </c>
      <c r="H20350">
        <v>19</v>
      </c>
      <c r="I20350">
        <v>893</v>
      </c>
      <c r="J20350">
        <v>1</v>
      </c>
      <c r="K20350">
        <v>32</v>
      </c>
      <c r="L20350">
        <v>906</v>
      </c>
      <c r="M20350">
        <v>1</v>
      </c>
      <c r="N20350">
        <v>0</v>
      </c>
      <c r="O20350">
        <v>2613</v>
      </c>
    </row>
    <row r="20351" spans="1:15" x14ac:dyDescent="0.25">
      <c r="A20351" t="s">
        <v>20364</v>
      </c>
      <c r="B20351">
        <v>343</v>
      </c>
      <c r="C20351" s="1" t="str">
        <f>HYPERLINK("http://www.rosaceae.org/gb/gbrowse/malus_x_domestica/?name=MDP0000184950","MDP0000184950")</f>
        <v>MDP0000184950</v>
      </c>
      <c r="D20351">
        <v>50.33</v>
      </c>
      <c r="E20351">
        <v>302</v>
      </c>
      <c r="F20351">
        <v>150</v>
      </c>
      <c r="G20351">
        <v>17</v>
      </c>
      <c r="H20351">
        <v>47</v>
      </c>
      <c r="I20351">
        <v>342</v>
      </c>
      <c r="J20351">
        <v>1</v>
      </c>
      <c r="K20351">
        <v>88</v>
      </c>
      <c r="L20351">
        <v>378</v>
      </c>
      <c r="M20351">
        <v>1</v>
      </c>
      <c r="N20351">
        <v>4.6591500000000003E-82</v>
      </c>
      <c r="O20351">
        <v>772</v>
      </c>
    </row>
    <row r="20352" spans="1:15" x14ac:dyDescent="0.25">
      <c r="A20352" t="s">
        <v>20365</v>
      </c>
      <c r="B20352">
        <v>706</v>
      </c>
      <c r="C20352" s="1" t="str">
        <f>HYPERLINK("http://www.rosaceae.org/gb/gbrowse/malus_x_domestica/?name=MDP0000279220","MDP0000279220")</f>
        <v>MDP0000279220</v>
      </c>
      <c r="D20352">
        <v>70.66</v>
      </c>
      <c r="E20352">
        <v>726</v>
      </c>
      <c r="F20352">
        <v>213</v>
      </c>
      <c r="G20352">
        <v>22</v>
      </c>
      <c r="H20352">
        <v>1</v>
      </c>
      <c r="I20352">
        <v>706</v>
      </c>
      <c r="J20352">
        <v>1</v>
      </c>
      <c r="K20352">
        <v>21</v>
      </c>
      <c r="L20352">
        <v>744</v>
      </c>
      <c r="M20352">
        <v>1</v>
      </c>
      <c r="N20352">
        <v>0</v>
      </c>
      <c r="O20352">
        <v>2743</v>
      </c>
    </row>
    <row r="20353" spans="1:15" x14ac:dyDescent="0.25">
      <c r="A20353" t="s">
        <v>20366</v>
      </c>
      <c r="B20353">
        <v>432</v>
      </c>
      <c r="C20353" s="1" t="str">
        <f>HYPERLINK("http://www.rosaceae.org/gb/gbrowse/malus_x_domestica/?name=MDP0000212442","MDP0000212442")</f>
        <v>MDP0000212442</v>
      </c>
      <c r="D20353">
        <v>81.69</v>
      </c>
      <c r="E20353">
        <v>426</v>
      </c>
      <c r="F20353">
        <v>78</v>
      </c>
      <c r="G20353">
        <v>13</v>
      </c>
      <c r="H20353">
        <v>13</v>
      </c>
      <c r="I20353">
        <v>430</v>
      </c>
      <c r="J20353">
        <v>1</v>
      </c>
      <c r="K20353">
        <v>23</v>
      </c>
      <c r="L20353">
        <v>443</v>
      </c>
      <c r="M20353">
        <v>1</v>
      </c>
      <c r="N20353">
        <v>0</v>
      </c>
      <c r="O20353">
        <v>1865</v>
      </c>
    </row>
    <row r="20354" spans="1:15" x14ac:dyDescent="0.25">
      <c r="A20354" t="s">
        <v>20367</v>
      </c>
      <c r="B20354">
        <v>326</v>
      </c>
      <c r="C20354" s="1" t="str">
        <f>HYPERLINK("http://www.rosaceae.org/gb/gbrowse/malus_x_domestica/?name=MDP0000383276","MDP0000383276")</f>
        <v>MDP0000383276</v>
      </c>
      <c r="D20354">
        <v>70.39</v>
      </c>
      <c r="E20354">
        <v>331</v>
      </c>
      <c r="F20354">
        <v>98</v>
      </c>
      <c r="G20354">
        <v>13</v>
      </c>
      <c r="H20354">
        <v>1</v>
      </c>
      <c r="I20354">
        <v>325</v>
      </c>
      <c r="J20354">
        <v>1</v>
      </c>
      <c r="K20354">
        <v>10</v>
      </c>
      <c r="L20354">
        <v>333</v>
      </c>
      <c r="M20354">
        <v>1</v>
      </c>
      <c r="N20354">
        <v>3.7713200000000002E-125</v>
      </c>
      <c r="O20354">
        <v>1144</v>
      </c>
    </row>
    <row r="20355" spans="1:15" x14ac:dyDescent="0.25">
      <c r="A20355" t="s">
        <v>20368</v>
      </c>
      <c r="B20355">
        <v>584</v>
      </c>
      <c r="C20355" s="1" t="str">
        <f>HYPERLINK("http://www.rosaceae.org/gb/gbrowse/malus_x_domestica/?name=MDP0000294274","MDP0000294274")</f>
        <v>MDP0000294274</v>
      </c>
      <c r="D20355">
        <v>75.44</v>
      </c>
      <c r="E20355">
        <v>558</v>
      </c>
      <c r="F20355">
        <v>137</v>
      </c>
      <c r="G20355">
        <v>45</v>
      </c>
      <c r="H20355">
        <v>31</v>
      </c>
      <c r="I20355">
        <v>584</v>
      </c>
      <c r="J20355">
        <v>1</v>
      </c>
      <c r="K20355">
        <v>50</v>
      </c>
      <c r="L20355">
        <v>566</v>
      </c>
      <c r="M20355">
        <v>1</v>
      </c>
      <c r="N20355">
        <v>0</v>
      </c>
      <c r="O20355">
        <v>2051</v>
      </c>
    </row>
    <row r="20356" spans="1:15" x14ac:dyDescent="0.25">
      <c r="A20356" t="s">
        <v>20369</v>
      </c>
      <c r="B20356">
        <v>401</v>
      </c>
      <c r="C20356" s="1" t="str">
        <f>HYPERLINK("http://www.rosaceae.org/gb/gbrowse/malus_x_domestica/?name=MDP0000209632","MDP0000209632")</f>
        <v>MDP0000209632</v>
      </c>
      <c r="D20356">
        <v>64.099999999999994</v>
      </c>
      <c r="E20356">
        <v>468</v>
      </c>
      <c r="F20356">
        <v>168</v>
      </c>
      <c r="G20356">
        <v>68</v>
      </c>
      <c r="H20356">
        <v>1</v>
      </c>
      <c r="I20356">
        <v>401</v>
      </c>
      <c r="J20356">
        <v>1</v>
      </c>
      <c r="K20356">
        <v>1</v>
      </c>
      <c r="L20356">
        <v>467</v>
      </c>
      <c r="M20356">
        <v>1</v>
      </c>
      <c r="N20356">
        <v>1.1253800000000001E-157</v>
      </c>
      <c r="O20356">
        <v>1425</v>
      </c>
    </row>
    <row r="20357" spans="1:15" x14ac:dyDescent="0.25">
      <c r="A20357" t="s">
        <v>20370</v>
      </c>
      <c r="B20357">
        <v>499</v>
      </c>
      <c r="C20357" s="1" t="str">
        <f>HYPERLINK("http://www.rosaceae.org/gb/gbrowse/malus_x_domestica/?name=MDP0000215359","MDP0000215359")</f>
        <v>MDP0000215359</v>
      </c>
      <c r="D20357">
        <v>62.1</v>
      </c>
      <c r="E20357">
        <v>512</v>
      </c>
      <c r="F20357">
        <v>194</v>
      </c>
      <c r="G20357">
        <v>45</v>
      </c>
      <c r="H20357">
        <v>1</v>
      </c>
      <c r="I20357">
        <v>494</v>
      </c>
      <c r="J20357">
        <v>1</v>
      </c>
      <c r="K20357">
        <v>1</v>
      </c>
      <c r="L20357">
        <v>485</v>
      </c>
      <c r="M20357">
        <v>1</v>
      </c>
      <c r="N20357">
        <v>2.6732000000000001E-162</v>
      </c>
      <c r="O20357">
        <v>1466</v>
      </c>
    </row>
    <row r="20358" spans="1:15" x14ac:dyDescent="0.25">
      <c r="A20358" t="s">
        <v>20371</v>
      </c>
      <c r="B20358">
        <v>108</v>
      </c>
      <c r="C20358" s="1" t="str">
        <f>HYPERLINK("http://www.rosaceae.org/gb/gbrowse/malus_x_domestica/?name=MDP0000165959","MDP0000165959")</f>
        <v>MDP0000165959</v>
      </c>
      <c r="D20358">
        <v>37.770000000000003</v>
      </c>
      <c r="E20358">
        <v>90</v>
      </c>
      <c r="F20358">
        <v>56</v>
      </c>
      <c r="G20358">
        <v>5</v>
      </c>
      <c r="H20358">
        <v>8</v>
      </c>
      <c r="I20358">
        <v>94</v>
      </c>
      <c r="J20358">
        <v>1</v>
      </c>
      <c r="K20358">
        <v>15</v>
      </c>
      <c r="L20358">
        <v>102</v>
      </c>
      <c r="M20358">
        <v>1</v>
      </c>
      <c r="N20358">
        <v>2.85416E-8</v>
      </c>
      <c r="O20358">
        <v>129</v>
      </c>
    </row>
    <row r="20359" spans="1:15" x14ac:dyDescent="0.25">
      <c r="A20359" t="s">
        <v>20372</v>
      </c>
      <c r="B20359">
        <v>487</v>
      </c>
      <c r="C20359" s="1" t="str">
        <f>HYPERLINK("http://www.rosaceae.org/gb/gbrowse/malus_x_domestica/?name=MDP0000189057","MDP0000189057")</f>
        <v>MDP0000189057</v>
      </c>
      <c r="D20359">
        <v>35.479999999999997</v>
      </c>
      <c r="E20359">
        <v>496</v>
      </c>
      <c r="F20359">
        <v>320</v>
      </c>
      <c r="G20359">
        <v>56</v>
      </c>
      <c r="H20359">
        <v>4</v>
      </c>
      <c r="I20359">
        <v>453</v>
      </c>
      <c r="J20359">
        <v>1</v>
      </c>
      <c r="K20359">
        <v>6</v>
      </c>
      <c r="L20359">
        <v>491</v>
      </c>
      <c r="M20359">
        <v>1</v>
      </c>
      <c r="N20359">
        <v>3.1375099999999998E-71</v>
      </c>
      <c r="O20359">
        <v>681</v>
      </c>
    </row>
    <row r="20360" spans="1:15" x14ac:dyDescent="0.25">
      <c r="A20360" t="s">
        <v>20373</v>
      </c>
      <c r="B20360">
        <v>204</v>
      </c>
      <c r="C20360" s="1" t="str">
        <f>HYPERLINK("http://www.rosaceae.org/gb/gbrowse/malus_x_domestica/?name=MDP0000290966","MDP0000290966")</f>
        <v>MDP0000290966</v>
      </c>
      <c r="D20360">
        <v>29.89</v>
      </c>
      <c r="E20360">
        <v>184</v>
      </c>
      <c r="F20360">
        <v>129</v>
      </c>
      <c r="G20360">
        <v>9</v>
      </c>
      <c r="H20360">
        <v>2</v>
      </c>
      <c r="I20360">
        <v>178</v>
      </c>
      <c r="J20360">
        <v>1</v>
      </c>
      <c r="K20360">
        <v>87</v>
      </c>
      <c r="L20360">
        <v>268</v>
      </c>
      <c r="M20360">
        <v>1</v>
      </c>
      <c r="N20360">
        <v>1.97099E-17</v>
      </c>
      <c r="O20360">
        <v>212</v>
      </c>
    </row>
    <row r="20361" spans="1:15" x14ac:dyDescent="0.25">
      <c r="A20361" t="s">
        <v>20374</v>
      </c>
      <c r="B20361">
        <v>590</v>
      </c>
      <c r="C20361" s="1" t="str">
        <f>HYPERLINK("http://www.rosaceae.org/gb/gbrowse/malus_x_domestica/?name=MDP0000256952","MDP0000256952")</f>
        <v>MDP0000256952</v>
      </c>
      <c r="D20361">
        <v>78.03</v>
      </c>
      <c r="E20361">
        <v>569</v>
      </c>
      <c r="F20361">
        <v>125</v>
      </c>
      <c r="G20361">
        <v>30</v>
      </c>
      <c r="H20361">
        <v>28</v>
      </c>
      <c r="I20361">
        <v>571</v>
      </c>
      <c r="J20361">
        <v>1</v>
      </c>
      <c r="K20361">
        <v>3</v>
      </c>
      <c r="L20361">
        <v>566</v>
      </c>
      <c r="M20361">
        <v>1</v>
      </c>
      <c r="N20361">
        <v>0</v>
      </c>
      <c r="O20361">
        <v>2296</v>
      </c>
    </row>
    <row r="20362" spans="1:15" x14ac:dyDescent="0.25">
      <c r="A20362" t="s">
        <v>20375</v>
      </c>
      <c r="B20362">
        <v>1610</v>
      </c>
      <c r="C20362" s="1" t="str">
        <f>HYPERLINK("http://www.rosaceae.org/gb/gbrowse/malus_x_domestica/?name=MDP0000267963","MDP0000267963")</f>
        <v>MDP0000267963</v>
      </c>
      <c r="D20362">
        <v>57.05</v>
      </c>
      <c r="E20362">
        <v>510</v>
      </c>
      <c r="F20362">
        <v>219</v>
      </c>
      <c r="G20362">
        <v>7</v>
      </c>
      <c r="H20362">
        <v>967</v>
      </c>
      <c r="I20362">
        <v>1473</v>
      </c>
      <c r="J20362">
        <v>1</v>
      </c>
      <c r="K20362">
        <v>235</v>
      </c>
      <c r="L20362">
        <v>740</v>
      </c>
      <c r="M20362">
        <v>1</v>
      </c>
      <c r="N20362">
        <v>3.01871E-158</v>
      </c>
      <c r="O20362">
        <v>1436</v>
      </c>
    </row>
    <row r="20363" spans="1:15" x14ac:dyDescent="0.25">
      <c r="A20363" t="s">
        <v>20376</v>
      </c>
      <c r="B20363">
        <v>141</v>
      </c>
      <c r="C20363" s="1" t="str">
        <f>HYPERLINK("http://www.rosaceae.org/gb/gbrowse/malus_x_domestica/?name=MDP0000126405","MDP0000126405")</f>
        <v>MDP0000126405</v>
      </c>
      <c r="D20363">
        <v>61.03</v>
      </c>
      <c r="E20363">
        <v>77</v>
      </c>
      <c r="F20363">
        <v>30</v>
      </c>
      <c r="G20363">
        <v>3</v>
      </c>
      <c r="H20363">
        <v>11</v>
      </c>
      <c r="I20363">
        <v>84</v>
      </c>
      <c r="J20363">
        <v>1</v>
      </c>
      <c r="K20363">
        <v>37</v>
      </c>
      <c r="L20363">
        <v>113</v>
      </c>
      <c r="M20363">
        <v>1</v>
      </c>
      <c r="N20363">
        <v>5.7195800000000004E-20</v>
      </c>
      <c r="O20363">
        <v>231</v>
      </c>
    </row>
    <row r="20364" spans="1:15" x14ac:dyDescent="0.25">
      <c r="A20364" t="s">
        <v>20377</v>
      </c>
      <c r="B20364">
        <v>186</v>
      </c>
      <c r="C20364" s="1" t="str">
        <f>HYPERLINK("http://www.rosaceae.org/gb/gbrowse/malus_x_domestica/?name=MDP0000278575","MDP0000278575")</f>
        <v>MDP0000278575</v>
      </c>
      <c r="D20364">
        <v>43.47</v>
      </c>
      <c r="E20364">
        <v>138</v>
      </c>
      <c r="F20364">
        <v>78</v>
      </c>
      <c r="G20364">
        <v>14</v>
      </c>
      <c r="H20364">
        <v>20</v>
      </c>
      <c r="I20364">
        <v>150</v>
      </c>
      <c r="J20364">
        <v>1</v>
      </c>
      <c r="K20364">
        <v>763</v>
      </c>
      <c r="L20364">
        <v>893</v>
      </c>
      <c r="M20364">
        <v>1</v>
      </c>
      <c r="N20364">
        <v>1.02802E-19</v>
      </c>
      <c r="O20364">
        <v>231</v>
      </c>
    </row>
    <row r="20365" spans="1:15" x14ac:dyDescent="0.25">
      <c r="A20365" t="s">
        <v>20378</v>
      </c>
      <c r="B20365">
        <v>276</v>
      </c>
      <c r="C20365" s="1" t="str">
        <f>HYPERLINK("http://www.rosaceae.org/gb/gbrowse/malus_x_domestica/?name=MDP0000287357","MDP0000287357")</f>
        <v>MDP0000287357</v>
      </c>
      <c r="D20365">
        <v>83.33</v>
      </c>
      <c r="E20365">
        <v>132</v>
      </c>
      <c r="F20365">
        <v>22</v>
      </c>
      <c r="G20365">
        <v>1</v>
      </c>
      <c r="H20365">
        <v>145</v>
      </c>
      <c r="I20365">
        <v>276</v>
      </c>
      <c r="J20365">
        <v>1</v>
      </c>
      <c r="K20365">
        <v>177</v>
      </c>
      <c r="L20365">
        <v>307</v>
      </c>
      <c r="M20365">
        <v>1</v>
      </c>
      <c r="N20365">
        <v>3.9964800000000001E-60</v>
      </c>
      <c r="O20365">
        <v>582</v>
      </c>
    </row>
    <row r="20366" spans="1:15" x14ac:dyDescent="0.25">
      <c r="A20366" t="s">
        <v>20379</v>
      </c>
      <c r="B20366">
        <v>969</v>
      </c>
      <c r="C20366" s="1" t="str">
        <f>HYPERLINK("http://www.rosaceae.org/gb/gbrowse/malus_x_domestica/?name=MDP0000307313","MDP0000307313")</f>
        <v>MDP0000307313</v>
      </c>
      <c r="D20366">
        <v>59</v>
      </c>
      <c r="E20366">
        <v>605</v>
      </c>
      <c r="F20366">
        <v>248</v>
      </c>
      <c r="G20366">
        <v>17</v>
      </c>
      <c r="H20366">
        <v>379</v>
      </c>
      <c r="I20366">
        <v>969</v>
      </c>
      <c r="J20366">
        <v>1</v>
      </c>
      <c r="K20366">
        <v>360</v>
      </c>
      <c r="L20366">
        <v>961</v>
      </c>
      <c r="M20366">
        <v>1</v>
      </c>
      <c r="N20366">
        <v>0</v>
      </c>
      <c r="O20366">
        <v>1835</v>
      </c>
    </row>
    <row r="20367" spans="1:15" x14ac:dyDescent="0.25">
      <c r="A20367" t="s">
        <v>20380</v>
      </c>
      <c r="B20367">
        <v>214</v>
      </c>
      <c r="C20367" s="1" t="str">
        <f>HYPERLINK("http://www.rosaceae.org/gb/gbrowse/malus_x_domestica/?name=MDP0000321317","MDP0000321317")</f>
        <v>MDP0000321317</v>
      </c>
      <c r="D20367">
        <v>64.81</v>
      </c>
      <c r="E20367">
        <v>54</v>
      </c>
      <c r="F20367">
        <v>19</v>
      </c>
      <c r="G20367">
        <v>0</v>
      </c>
      <c r="H20367">
        <v>64</v>
      </c>
      <c r="I20367">
        <v>117</v>
      </c>
      <c r="J20367">
        <v>1</v>
      </c>
      <c r="K20367">
        <v>223</v>
      </c>
      <c r="L20367">
        <v>276</v>
      </c>
      <c r="M20367">
        <v>1</v>
      </c>
      <c r="N20367">
        <v>7.4858600000000003E-16</v>
      </c>
      <c r="O20367">
        <v>199</v>
      </c>
    </row>
    <row r="20368" spans="1:15" x14ac:dyDescent="0.25">
      <c r="A20368" t="s">
        <v>20381</v>
      </c>
      <c r="B20368">
        <v>706</v>
      </c>
      <c r="C20368" s="1" t="str">
        <f>HYPERLINK("http://www.rosaceae.org/gb/gbrowse/malus_x_domestica/?name=MDP0000299828","MDP0000299828")</f>
        <v>MDP0000299828</v>
      </c>
      <c r="D20368">
        <v>57.24</v>
      </c>
      <c r="E20368">
        <v>718</v>
      </c>
      <c r="F20368">
        <v>307</v>
      </c>
      <c r="G20368">
        <v>58</v>
      </c>
      <c r="H20368">
        <v>15</v>
      </c>
      <c r="I20368">
        <v>702</v>
      </c>
      <c r="J20368">
        <v>1</v>
      </c>
      <c r="K20368">
        <v>17</v>
      </c>
      <c r="L20368">
        <v>706</v>
      </c>
      <c r="M20368">
        <v>1</v>
      </c>
      <c r="N20368">
        <v>0</v>
      </c>
      <c r="O20368">
        <v>1748</v>
      </c>
    </row>
    <row r="20369" spans="1:15" x14ac:dyDescent="0.25">
      <c r="A20369" t="s">
        <v>20382</v>
      </c>
      <c r="B20369">
        <v>500</v>
      </c>
      <c r="C20369" s="1" t="str">
        <f>HYPERLINK("http://www.rosaceae.org/gb/gbrowse/malus_x_domestica/?name=MDP0000269053","MDP0000269053")</f>
        <v>MDP0000269053</v>
      </c>
      <c r="D20369">
        <v>66.66</v>
      </c>
      <c r="E20369">
        <v>369</v>
      </c>
      <c r="F20369">
        <v>123</v>
      </c>
      <c r="G20369">
        <v>2</v>
      </c>
      <c r="H20369">
        <v>1</v>
      </c>
      <c r="I20369">
        <v>369</v>
      </c>
      <c r="J20369">
        <v>1</v>
      </c>
      <c r="K20369">
        <v>280</v>
      </c>
      <c r="L20369">
        <v>646</v>
      </c>
      <c r="M20369">
        <v>1</v>
      </c>
      <c r="N20369">
        <v>7.6536100000000001E-140</v>
      </c>
      <c r="O20369">
        <v>1272</v>
      </c>
    </row>
    <row r="20370" spans="1:15" x14ac:dyDescent="0.25">
      <c r="A20370" t="s">
        <v>20383</v>
      </c>
      <c r="B20370">
        <v>453</v>
      </c>
      <c r="C20370" s="1" t="str">
        <f>HYPERLINK("http://www.rosaceae.org/gb/gbrowse/malus_x_domestica/?name=MDP0000210968","MDP0000210968")</f>
        <v>MDP0000210968</v>
      </c>
      <c r="D20370">
        <v>48.26</v>
      </c>
      <c r="E20370">
        <v>404</v>
      </c>
      <c r="F20370">
        <v>209</v>
      </c>
      <c r="G20370">
        <v>42</v>
      </c>
      <c r="H20370">
        <v>69</v>
      </c>
      <c r="I20370">
        <v>452</v>
      </c>
      <c r="J20370">
        <v>1</v>
      </c>
      <c r="K20370">
        <v>38</v>
      </c>
      <c r="L20370">
        <v>419</v>
      </c>
      <c r="M20370">
        <v>1</v>
      </c>
      <c r="N20370">
        <v>2.6174500000000002E-85</v>
      </c>
      <c r="O20370">
        <v>802</v>
      </c>
    </row>
    <row r="20371" spans="1:15" x14ac:dyDescent="0.25">
      <c r="A20371" t="s">
        <v>20384</v>
      </c>
      <c r="B20371">
        <v>309</v>
      </c>
      <c r="C20371" s="1" t="str">
        <f>HYPERLINK("http://www.rosaceae.org/gb/gbrowse/malus_x_domestica/?name=MDP0000870142","MDP0000870142")</f>
        <v>MDP0000870142</v>
      </c>
      <c r="D20371">
        <v>49.27</v>
      </c>
      <c r="E20371">
        <v>138</v>
      </c>
      <c r="F20371">
        <v>70</v>
      </c>
      <c r="G20371">
        <v>14</v>
      </c>
      <c r="H20371">
        <v>145</v>
      </c>
      <c r="I20371">
        <v>271</v>
      </c>
      <c r="J20371">
        <v>1</v>
      </c>
      <c r="K20371">
        <v>3</v>
      </c>
      <c r="L20371">
        <v>137</v>
      </c>
      <c r="M20371">
        <v>1</v>
      </c>
      <c r="N20371">
        <v>1.48118E-24</v>
      </c>
      <c r="O20371">
        <v>276</v>
      </c>
    </row>
    <row r="20372" spans="1:15" x14ac:dyDescent="0.25">
      <c r="A20372" t="s">
        <v>20385</v>
      </c>
      <c r="B20372">
        <v>1053</v>
      </c>
      <c r="C20372" s="1" t="str">
        <f>HYPERLINK("http://www.rosaceae.org/gb/gbrowse/malus_x_domestica/?name=MDP0000370213","MDP0000370213")</f>
        <v>MDP0000370213</v>
      </c>
      <c r="D20372">
        <v>66</v>
      </c>
      <c r="E20372">
        <v>956</v>
      </c>
      <c r="F20372">
        <v>325</v>
      </c>
      <c r="G20372">
        <v>19</v>
      </c>
      <c r="H20372">
        <v>106</v>
      </c>
      <c r="I20372">
        <v>1053</v>
      </c>
      <c r="J20372">
        <v>1</v>
      </c>
      <c r="K20372">
        <v>1</v>
      </c>
      <c r="L20372">
        <v>945</v>
      </c>
      <c r="M20372">
        <v>1</v>
      </c>
      <c r="N20372">
        <v>0</v>
      </c>
      <c r="O20372">
        <v>3194</v>
      </c>
    </row>
    <row r="20373" spans="1:15" x14ac:dyDescent="0.25">
      <c r="A20373" t="s">
        <v>20386</v>
      </c>
      <c r="B20373">
        <v>487</v>
      </c>
      <c r="C20373" s="1" t="str">
        <f>HYPERLINK("http://www.rosaceae.org/gb/gbrowse/malus_x_domestica/?name=MDP0000315192","MDP0000315192")</f>
        <v>MDP0000315192</v>
      </c>
      <c r="D20373">
        <v>83.8</v>
      </c>
      <c r="E20373">
        <v>321</v>
      </c>
      <c r="F20373">
        <v>52</v>
      </c>
      <c r="G20373">
        <v>0</v>
      </c>
      <c r="H20373">
        <v>167</v>
      </c>
      <c r="I20373">
        <v>487</v>
      </c>
      <c r="J20373">
        <v>1</v>
      </c>
      <c r="K20373">
        <v>30</v>
      </c>
      <c r="L20373">
        <v>350</v>
      </c>
      <c r="M20373">
        <v>1</v>
      </c>
      <c r="N20373">
        <v>1.2303399999999999E-163</v>
      </c>
      <c r="O20373">
        <v>1478</v>
      </c>
    </row>
    <row r="20374" spans="1:15" x14ac:dyDescent="0.25">
      <c r="A20374" t="s">
        <v>20387</v>
      </c>
      <c r="B20374">
        <v>747</v>
      </c>
      <c r="C20374" s="1" t="str">
        <f>HYPERLINK("http://www.rosaceae.org/gb/gbrowse/malus_x_domestica/?name=MDP0000306905","MDP0000306905")</f>
        <v>MDP0000306905</v>
      </c>
      <c r="D20374">
        <v>61.5</v>
      </c>
      <c r="E20374">
        <v>743</v>
      </c>
      <c r="F20374">
        <v>286</v>
      </c>
      <c r="G20374">
        <v>7</v>
      </c>
      <c r="H20374">
        <v>4</v>
      </c>
      <c r="I20374">
        <v>740</v>
      </c>
      <c r="J20374">
        <v>1</v>
      </c>
      <c r="K20374">
        <v>1</v>
      </c>
      <c r="L20374">
        <v>742</v>
      </c>
      <c r="M20374">
        <v>1</v>
      </c>
      <c r="N20374">
        <v>0</v>
      </c>
      <c r="O20374">
        <v>2256</v>
      </c>
    </row>
    <row r="20375" spans="1:15" x14ac:dyDescent="0.25">
      <c r="A20375" t="s">
        <v>20388</v>
      </c>
      <c r="B20375">
        <v>400</v>
      </c>
      <c r="C20375" s="1" t="str">
        <f>HYPERLINK("http://www.rosaceae.org/gb/gbrowse/malus_x_domestica/?name=MDP0000246184","MDP0000246184")</f>
        <v>MDP0000246184</v>
      </c>
      <c r="D20375">
        <v>46.72</v>
      </c>
      <c r="E20375">
        <v>443</v>
      </c>
      <c r="F20375">
        <v>236</v>
      </c>
      <c r="G20375">
        <v>57</v>
      </c>
      <c r="H20375">
        <v>1</v>
      </c>
      <c r="I20375">
        <v>400</v>
      </c>
      <c r="J20375">
        <v>1</v>
      </c>
      <c r="K20375">
        <v>1</v>
      </c>
      <c r="L20375">
        <v>429</v>
      </c>
      <c r="M20375">
        <v>1</v>
      </c>
      <c r="N20375">
        <v>2.0384500000000001E-82</v>
      </c>
      <c r="O20375">
        <v>776</v>
      </c>
    </row>
    <row r="20376" spans="1:15" x14ac:dyDescent="0.25">
      <c r="A20376" t="s">
        <v>20389</v>
      </c>
      <c r="B20376">
        <v>643</v>
      </c>
      <c r="C20376" s="1" t="str">
        <f>HYPERLINK("http://www.rosaceae.org/gb/gbrowse/malus_x_domestica/?name=MDP0000642690","MDP0000642690")</f>
        <v>MDP0000642690</v>
      </c>
      <c r="D20376">
        <v>71.3</v>
      </c>
      <c r="E20376">
        <v>338</v>
      </c>
      <c r="F20376">
        <v>97</v>
      </c>
      <c r="G20376">
        <v>15</v>
      </c>
      <c r="H20376">
        <v>16</v>
      </c>
      <c r="I20376">
        <v>339</v>
      </c>
      <c r="J20376">
        <v>1</v>
      </c>
      <c r="K20376">
        <v>19</v>
      </c>
      <c r="L20376">
        <v>355</v>
      </c>
      <c r="M20376">
        <v>1</v>
      </c>
      <c r="N20376">
        <v>2.9860300000000001E-132</v>
      </c>
      <c r="O20376">
        <v>1208</v>
      </c>
    </row>
    <row r="20377" spans="1:15" x14ac:dyDescent="0.25">
      <c r="A20377" t="s">
        <v>20390</v>
      </c>
      <c r="B20377">
        <v>330</v>
      </c>
      <c r="C20377" s="1" t="str">
        <f>HYPERLINK("http://www.rosaceae.org/gb/gbrowse/malus_x_domestica/?name=MDP0000253201","MDP0000253201")</f>
        <v>MDP0000253201</v>
      </c>
      <c r="D20377">
        <v>34.4</v>
      </c>
      <c r="E20377">
        <v>343</v>
      </c>
      <c r="F20377">
        <v>225</v>
      </c>
      <c r="G20377">
        <v>48</v>
      </c>
      <c r="H20377">
        <v>1</v>
      </c>
      <c r="I20377">
        <v>330</v>
      </c>
      <c r="J20377">
        <v>1</v>
      </c>
      <c r="K20377">
        <v>1</v>
      </c>
      <c r="L20377">
        <v>308</v>
      </c>
      <c r="M20377">
        <v>1</v>
      </c>
      <c r="N20377">
        <v>2.5149700000000001E-30</v>
      </c>
      <c r="O20377">
        <v>326</v>
      </c>
    </row>
    <row r="20378" spans="1:15" x14ac:dyDescent="0.25">
      <c r="A20378" t="s">
        <v>20391</v>
      </c>
      <c r="B20378">
        <v>576</v>
      </c>
      <c r="C20378" s="1" t="str">
        <f>HYPERLINK("http://www.rosaceae.org/gb/gbrowse/malus_x_domestica/?name=MDP0000455079","MDP0000455079")</f>
        <v>MDP0000455079</v>
      </c>
      <c r="D20378">
        <v>61.44</v>
      </c>
      <c r="E20378">
        <v>594</v>
      </c>
      <c r="F20378">
        <v>229</v>
      </c>
      <c r="G20378">
        <v>27</v>
      </c>
      <c r="H20378">
        <v>1</v>
      </c>
      <c r="I20378">
        <v>576</v>
      </c>
      <c r="J20378">
        <v>1</v>
      </c>
      <c r="K20378">
        <v>1</v>
      </c>
      <c r="L20378">
        <v>585</v>
      </c>
      <c r="M20378">
        <v>1</v>
      </c>
      <c r="N20378">
        <v>0</v>
      </c>
      <c r="O20378">
        <v>1748</v>
      </c>
    </row>
    <row r="20379" spans="1:15" x14ac:dyDescent="0.25">
      <c r="A20379" t="s">
        <v>20392</v>
      </c>
      <c r="B20379">
        <v>370</v>
      </c>
      <c r="C20379" s="1" t="str">
        <f>HYPERLINK("http://www.rosaceae.org/gb/gbrowse/malus_x_domestica/?name=MDP0000906077","MDP0000906077")</f>
        <v>MDP0000906077</v>
      </c>
      <c r="D20379">
        <v>75.31</v>
      </c>
      <c r="E20379">
        <v>393</v>
      </c>
      <c r="F20379">
        <v>97</v>
      </c>
      <c r="G20379">
        <v>23</v>
      </c>
      <c r="H20379">
        <v>1</v>
      </c>
      <c r="I20379">
        <v>370</v>
      </c>
      <c r="J20379">
        <v>1</v>
      </c>
      <c r="K20379">
        <v>4</v>
      </c>
      <c r="L20379">
        <v>396</v>
      </c>
      <c r="M20379">
        <v>1</v>
      </c>
      <c r="N20379">
        <v>9.6127299999999998E-172</v>
      </c>
      <c r="O20379">
        <v>1546</v>
      </c>
    </row>
    <row r="20380" spans="1:15" x14ac:dyDescent="0.25">
      <c r="A20380" t="s">
        <v>20393</v>
      </c>
      <c r="B20380">
        <v>404</v>
      </c>
      <c r="C20380" s="1" t="str">
        <f>HYPERLINK("http://www.rosaceae.org/gb/gbrowse/malus_x_domestica/?name=MDP0000320418","MDP0000320418")</f>
        <v>MDP0000320418</v>
      </c>
      <c r="D20380">
        <v>68.09</v>
      </c>
      <c r="E20380">
        <v>442</v>
      </c>
      <c r="F20380">
        <v>141</v>
      </c>
      <c r="G20380">
        <v>61</v>
      </c>
      <c r="H20380">
        <v>2</v>
      </c>
      <c r="I20380">
        <v>383</v>
      </c>
      <c r="J20380">
        <v>1</v>
      </c>
      <c r="K20380">
        <v>3</v>
      </c>
      <c r="L20380">
        <v>443</v>
      </c>
      <c r="M20380">
        <v>1</v>
      </c>
      <c r="N20380">
        <v>3.4110099999999998E-166</v>
      </c>
      <c r="O20380">
        <v>1499</v>
      </c>
    </row>
    <row r="20381" spans="1:15" x14ac:dyDescent="0.25">
      <c r="A20381" t="s">
        <v>20394</v>
      </c>
      <c r="B20381">
        <v>268</v>
      </c>
      <c r="C20381" s="1" t="str">
        <f>HYPERLINK("http://www.rosaceae.org/gb/gbrowse/malus_x_domestica/?name=MDP0000180763","MDP0000180763")</f>
        <v>MDP0000180763</v>
      </c>
      <c r="D20381">
        <v>60.89</v>
      </c>
      <c r="E20381">
        <v>312</v>
      </c>
      <c r="F20381">
        <v>122</v>
      </c>
      <c r="G20381">
        <v>47</v>
      </c>
      <c r="H20381">
        <v>3</v>
      </c>
      <c r="I20381">
        <v>267</v>
      </c>
      <c r="J20381">
        <v>1</v>
      </c>
      <c r="K20381">
        <v>6</v>
      </c>
      <c r="L20381">
        <v>317</v>
      </c>
      <c r="M20381">
        <v>1</v>
      </c>
      <c r="N20381">
        <v>6.5386300000000004E-99</v>
      </c>
      <c r="O20381">
        <v>916</v>
      </c>
    </row>
    <row r="20382" spans="1:15" x14ac:dyDescent="0.25">
      <c r="A20382" t="s">
        <v>20395</v>
      </c>
      <c r="B20382">
        <v>682</v>
      </c>
      <c r="C20382" s="1" t="str">
        <f>HYPERLINK("http://www.rosaceae.org/gb/gbrowse/malus_x_domestica/?name=MDP0000230259","MDP0000230259")</f>
        <v>MDP0000230259</v>
      </c>
      <c r="D20382">
        <v>86.48</v>
      </c>
      <c r="E20382">
        <v>629</v>
      </c>
      <c r="F20382">
        <v>85</v>
      </c>
      <c r="G20382">
        <v>0</v>
      </c>
      <c r="H20382">
        <v>53</v>
      </c>
      <c r="I20382">
        <v>681</v>
      </c>
      <c r="J20382">
        <v>1</v>
      </c>
      <c r="K20382">
        <v>27</v>
      </c>
      <c r="L20382">
        <v>655</v>
      </c>
      <c r="M20382">
        <v>1</v>
      </c>
      <c r="N20382">
        <v>0</v>
      </c>
      <c r="O20382">
        <v>2931</v>
      </c>
    </row>
    <row r="20383" spans="1:15" x14ac:dyDescent="0.25">
      <c r="A20383" t="s">
        <v>20396</v>
      </c>
      <c r="B20383">
        <v>542</v>
      </c>
      <c r="C20383" s="1" t="str">
        <f>HYPERLINK("http://www.rosaceae.org/gb/gbrowse/malus_x_domestica/?name=MDP0000318969","MDP0000318969")</f>
        <v>MDP0000318969</v>
      </c>
      <c r="D20383">
        <v>74.040000000000006</v>
      </c>
      <c r="E20383">
        <v>524</v>
      </c>
      <c r="F20383">
        <v>136</v>
      </c>
      <c r="G20383">
        <v>31</v>
      </c>
      <c r="H20383">
        <v>1</v>
      </c>
      <c r="I20383">
        <v>494</v>
      </c>
      <c r="J20383">
        <v>1</v>
      </c>
      <c r="K20383">
        <v>1</v>
      </c>
      <c r="L20383">
        <v>523</v>
      </c>
      <c r="M20383">
        <v>1</v>
      </c>
      <c r="N20383">
        <v>0</v>
      </c>
      <c r="O20383">
        <v>1996</v>
      </c>
    </row>
    <row r="20384" spans="1:15" x14ac:dyDescent="0.25">
      <c r="A20384" t="s">
        <v>20397</v>
      </c>
      <c r="B20384">
        <v>542</v>
      </c>
      <c r="C20384" s="1" t="str">
        <f>HYPERLINK("http://www.rosaceae.org/gb/gbrowse/malus_x_domestica/?name=MDP0000295452","MDP0000295452")</f>
        <v>MDP0000295452</v>
      </c>
      <c r="D20384">
        <v>51.8</v>
      </c>
      <c r="E20384">
        <v>525</v>
      </c>
      <c r="F20384">
        <v>253</v>
      </c>
      <c r="G20384">
        <v>43</v>
      </c>
      <c r="H20384">
        <v>48</v>
      </c>
      <c r="I20384">
        <v>538</v>
      </c>
      <c r="J20384">
        <v>1</v>
      </c>
      <c r="K20384">
        <v>71</v>
      </c>
      <c r="L20384">
        <v>586</v>
      </c>
      <c r="M20384">
        <v>1</v>
      </c>
      <c r="N20384">
        <v>2.0314100000000001E-145</v>
      </c>
      <c r="O20384">
        <v>1321</v>
      </c>
    </row>
    <row r="20385" spans="1:15" x14ac:dyDescent="0.25">
      <c r="A20385" t="s">
        <v>20398</v>
      </c>
      <c r="B20385">
        <v>500</v>
      </c>
      <c r="C20385" s="1" t="str">
        <f>HYPERLINK("http://www.rosaceae.org/gb/gbrowse/malus_x_domestica/?name=MDP0000282006","MDP0000282006")</f>
        <v>MDP0000282006</v>
      </c>
      <c r="D20385">
        <v>42.82</v>
      </c>
      <c r="E20385">
        <v>509</v>
      </c>
      <c r="F20385">
        <v>291</v>
      </c>
      <c r="G20385">
        <v>77</v>
      </c>
      <c r="H20385">
        <v>46</v>
      </c>
      <c r="I20385">
        <v>500</v>
      </c>
      <c r="J20385">
        <v>1</v>
      </c>
      <c r="K20385">
        <v>52</v>
      </c>
      <c r="L20385">
        <v>537</v>
      </c>
      <c r="M20385">
        <v>1</v>
      </c>
      <c r="N20385">
        <v>3.6574600000000001E-68</v>
      </c>
      <c r="O20385">
        <v>654</v>
      </c>
    </row>
    <row r="20386" spans="1:15" x14ac:dyDescent="0.25">
      <c r="A20386" t="s">
        <v>20399</v>
      </c>
      <c r="B20386">
        <v>227</v>
      </c>
      <c r="C20386" s="1" t="str">
        <f>HYPERLINK("http://www.rosaceae.org/gb/gbrowse/malus_x_domestica/?name=MDP0000161758","MDP0000161758")</f>
        <v>MDP0000161758</v>
      </c>
      <c r="D20386">
        <v>64.48</v>
      </c>
      <c r="E20386">
        <v>183</v>
      </c>
      <c r="F20386">
        <v>65</v>
      </c>
      <c r="G20386">
        <v>5</v>
      </c>
      <c r="H20386">
        <v>49</v>
      </c>
      <c r="I20386">
        <v>226</v>
      </c>
      <c r="J20386">
        <v>1</v>
      </c>
      <c r="K20386">
        <v>9</v>
      </c>
      <c r="L20386">
        <v>191</v>
      </c>
      <c r="M20386">
        <v>1</v>
      </c>
      <c r="N20386">
        <v>4.6430500000000003E-65</v>
      </c>
      <c r="O20386">
        <v>623</v>
      </c>
    </row>
    <row r="20387" spans="1:15" x14ac:dyDescent="0.25">
      <c r="A20387" t="s">
        <v>20400</v>
      </c>
      <c r="B20387">
        <v>474</v>
      </c>
      <c r="C20387" s="1" t="str">
        <f>HYPERLINK("http://www.rosaceae.org/gb/gbrowse/malus_x_domestica/?name=MDP0000195583","MDP0000195583")</f>
        <v>MDP0000195583</v>
      </c>
      <c r="D20387">
        <v>72.64</v>
      </c>
      <c r="E20387">
        <v>457</v>
      </c>
      <c r="F20387">
        <v>125</v>
      </c>
      <c r="G20387">
        <v>1</v>
      </c>
      <c r="H20387">
        <v>18</v>
      </c>
      <c r="I20387">
        <v>473</v>
      </c>
      <c r="J20387">
        <v>1</v>
      </c>
      <c r="K20387">
        <v>18</v>
      </c>
      <c r="L20387">
        <v>474</v>
      </c>
      <c r="M20387">
        <v>1</v>
      </c>
      <c r="N20387">
        <v>0</v>
      </c>
      <c r="O20387">
        <v>1752</v>
      </c>
    </row>
    <row r="20388" spans="1:15" x14ac:dyDescent="0.25">
      <c r="A20388" t="s">
        <v>20401</v>
      </c>
      <c r="B20388">
        <v>198</v>
      </c>
      <c r="C20388" s="1" t="str">
        <f>HYPERLINK("http://www.rosaceae.org/gb/gbrowse/malus_x_domestica/?name=MDP0000300891","MDP0000300891")</f>
        <v>MDP0000300891</v>
      </c>
      <c r="D20388">
        <v>57.84</v>
      </c>
      <c r="E20388">
        <v>102</v>
      </c>
      <c r="F20388">
        <v>43</v>
      </c>
      <c r="G20388">
        <v>23</v>
      </c>
      <c r="H20388">
        <v>5</v>
      </c>
      <c r="I20388">
        <v>84</v>
      </c>
      <c r="J20388">
        <v>1</v>
      </c>
      <c r="K20388">
        <v>2</v>
      </c>
      <c r="L20388">
        <v>102</v>
      </c>
      <c r="M20388">
        <v>1</v>
      </c>
      <c r="N20388">
        <v>1.10354E-20</v>
      </c>
      <c r="O20388">
        <v>240</v>
      </c>
    </row>
    <row r="20389" spans="1:15" x14ac:dyDescent="0.25">
      <c r="A20389" t="s">
        <v>20402</v>
      </c>
      <c r="B20389">
        <v>512</v>
      </c>
      <c r="C20389" s="1" t="str">
        <f>HYPERLINK("http://www.rosaceae.org/gb/gbrowse/malus_x_domestica/?name=MDP0000285560","MDP0000285560")</f>
        <v>MDP0000285560</v>
      </c>
      <c r="D20389">
        <v>80.180000000000007</v>
      </c>
      <c r="E20389">
        <v>111</v>
      </c>
      <c r="F20389">
        <v>22</v>
      </c>
      <c r="G20389">
        <v>0</v>
      </c>
      <c r="H20389">
        <v>1</v>
      </c>
      <c r="I20389">
        <v>111</v>
      </c>
      <c r="J20389">
        <v>1</v>
      </c>
      <c r="K20389">
        <v>1</v>
      </c>
      <c r="L20389">
        <v>111</v>
      </c>
      <c r="M20389">
        <v>1</v>
      </c>
      <c r="N20389">
        <v>5.1226699999999997E-46</v>
      </c>
      <c r="O20389">
        <v>463</v>
      </c>
    </row>
    <row r="20390" spans="1:15" x14ac:dyDescent="0.25">
      <c r="A20390" t="s">
        <v>20403</v>
      </c>
      <c r="B20390">
        <v>271</v>
      </c>
      <c r="C20390" s="1" t="str">
        <f>HYPERLINK("http://www.rosaceae.org/gb/gbrowse/malus_x_domestica/?name=MDP0000124256","MDP0000124256")</f>
        <v>MDP0000124256</v>
      </c>
      <c r="D20390">
        <v>42.03</v>
      </c>
      <c r="E20390">
        <v>157</v>
      </c>
      <c r="F20390">
        <v>91</v>
      </c>
      <c r="G20390">
        <v>1</v>
      </c>
      <c r="H20390">
        <v>102</v>
      </c>
      <c r="I20390">
        <v>258</v>
      </c>
      <c r="J20390">
        <v>1</v>
      </c>
      <c r="K20390">
        <v>48</v>
      </c>
      <c r="L20390">
        <v>203</v>
      </c>
      <c r="M20390">
        <v>1</v>
      </c>
      <c r="N20390">
        <v>4.3679500000000002E-27</v>
      </c>
      <c r="O20390">
        <v>297</v>
      </c>
    </row>
    <row r="20391" spans="1:15" x14ac:dyDescent="0.25">
      <c r="A20391" t="s">
        <v>20404</v>
      </c>
      <c r="B20391">
        <v>768</v>
      </c>
      <c r="C20391" s="1" t="str">
        <f>HYPERLINK("http://www.rosaceae.org/gb/gbrowse/malus_x_domestica/?name=MDP0000541757","MDP0000541757")</f>
        <v>MDP0000541757</v>
      </c>
      <c r="D20391">
        <v>55.21</v>
      </c>
      <c r="E20391">
        <v>815</v>
      </c>
      <c r="F20391">
        <v>365</v>
      </c>
      <c r="G20391">
        <v>92</v>
      </c>
      <c r="H20391">
        <v>1</v>
      </c>
      <c r="I20391">
        <v>763</v>
      </c>
      <c r="J20391">
        <v>1</v>
      </c>
      <c r="K20391">
        <v>1</v>
      </c>
      <c r="L20391">
        <v>775</v>
      </c>
      <c r="M20391">
        <v>1</v>
      </c>
      <c r="N20391">
        <v>0</v>
      </c>
      <c r="O20391">
        <v>2038</v>
      </c>
    </row>
    <row r="20392" spans="1:15" x14ac:dyDescent="0.25">
      <c r="A20392" t="s">
        <v>20405</v>
      </c>
      <c r="B20392">
        <v>465</v>
      </c>
      <c r="C20392" s="1" t="str">
        <f>HYPERLINK("http://www.rosaceae.org/gb/gbrowse/malus_x_domestica/?name=MDP0000242662","MDP0000242662")</f>
        <v>MDP0000242662</v>
      </c>
      <c r="D20392">
        <v>80.08</v>
      </c>
      <c r="E20392">
        <v>472</v>
      </c>
      <c r="F20392">
        <v>94</v>
      </c>
      <c r="G20392">
        <v>13</v>
      </c>
      <c r="H20392">
        <v>1</v>
      </c>
      <c r="I20392">
        <v>465</v>
      </c>
      <c r="J20392">
        <v>1</v>
      </c>
      <c r="K20392">
        <v>1</v>
      </c>
      <c r="L20392">
        <v>466</v>
      </c>
      <c r="M20392">
        <v>1</v>
      </c>
      <c r="N20392">
        <v>0</v>
      </c>
      <c r="O20392">
        <v>1949</v>
      </c>
    </row>
    <row r="20393" spans="1:15" x14ac:dyDescent="0.25">
      <c r="A20393" t="s">
        <v>20406</v>
      </c>
      <c r="B20393">
        <v>1672</v>
      </c>
      <c r="C20393" s="1" t="str">
        <f>HYPERLINK("http://www.rosaceae.org/gb/gbrowse/malus_x_domestica/?name=MDP0000889408","MDP0000889408")</f>
        <v>MDP0000889408</v>
      </c>
      <c r="D20393">
        <v>84.04</v>
      </c>
      <c r="E20393">
        <v>1398</v>
      </c>
      <c r="F20393">
        <v>223</v>
      </c>
      <c r="G20393">
        <v>64</v>
      </c>
      <c r="H20393">
        <v>283</v>
      </c>
      <c r="I20393">
        <v>1660</v>
      </c>
      <c r="J20393">
        <v>1</v>
      </c>
      <c r="K20393">
        <v>1</v>
      </c>
      <c r="L20393">
        <v>1354</v>
      </c>
      <c r="M20393">
        <v>1</v>
      </c>
      <c r="N20393">
        <v>0</v>
      </c>
      <c r="O20393">
        <v>6142</v>
      </c>
    </row>
    <row r="20394" spans="1:15" x14ac:dyDescent="0.25">
      <c r="A20394" t="s">
        <v>20407</v>
      </c>
      <c r="B20394">
        <v>551</v>
      </c>
      <c r="C20394" s="1" t="str">
        <f>HYPERLINK("http://www.rosaceae.org/gb/gbrowse/malus_x_domestica/?name=MDP0000598443","MDP0000598443")</f>
        <v>MDP0000598443</v>
      </c>
      <c r="D20394">
        <v>40</v>
      </c>
      <c r="E20394">
        <v>175</v>
      </c>
      <c r="F20394">
        <v>105</v>
      </c>
      <c r="G20394">
        <v>32</v>
      </c>
      <c r="H20394">
        <v>339</v>
      </c>
      <c r="I20394">
        <v>512</v>
      </c>
      <c r="J20394">
        <v>1</v>
      </c>
      <c r="K20394">
        <v>151</v>
      </c>
      <c r="L20394">
        <v>294</v>
      </c>
      <c r="M20394">
        <v>1</v>
      </c>
      <c r="N20394">
        <v>3.4873499999999997E-21</v>
      </c>
      <c r="O20394">
        <v>250</v>
      </c>
    </row>
    <row r="20395" spans="1:15" x14ac:dyDescent="0.25">
      <c r="A20395" t="s">
        <v>20408</v>
      </c>
      <c r="B20395">
        <v>148</v>
      </c>
      <c r="C20395" s="1" t="str">
        <f>HYPERLINK("http://www.rosaceae.org/gb/gbrowse/malus_x_domestica/?name=MDP0000285227","MDP0000285227")</f>
        <v>MDP0000285227</v>
      </c>
      <c r="D20395">
        <v>100</v>
      </c>
      <c r="E20395">
        <v>148</v>
      </c>
      <c r="F20395">
        <v>0</v>
      </c>
      <c r="G20395">
        <v>0</v>
      </c>
      <c r="H20395">
        <v>1</v>
      </c>
      <c r="I20395">
        <v>148</v>
      </c>
      <c r="J20395">
        <v>1</v>
      </c>
      <c r="K20395">
        <v>1</v>
      </c>
      <c r="L20395">
        <v>148</v>
      </c>
      <c r="M20395">
        <v>1</v>
      </c>
      <c r="N20395">
        <v>1.5622599999999999E-84</v>
      </c>
      <c r="O20395">
        <v>788</v>
      </c>
    </row>
    <row r="20396" spans="1:15" x14ac:dyDescent="0.25">
      <c r="A20396" t="s">
        <v>20409</v>
      </c>
      <c r="B20396">
        <v>217</v>
      </c>
      <c r="C20396" s="1" t="str">
        <f>HYPERLINK("http://www.rosaceae.org/gb/gbrowse/malus_x_domestica/?name=MDP0000320315","MDP0000320315")</f>
        <v>MDP0000320315</v>
      </c>
      <c r="D20396">
        <v>40.14</v>
      </c>
      <c r="E20396">
        <v>137</v>
      </c>
      <c r="F20396">
        <v>82</v>
      </c>
      <c r="G20396">
        <v>22</v>
      </c>
      <c r="H20396">
        <v>1</v>
      </c>
      <c r="I20396">
        <v>124</v>
      </c>
      <c r="J20396">
        <v>1</v>
      </c>
      <c r="K20396">
        <v>27</v>
      </c>
      <c r="L20396">
        <v>154</v>
      </c>
      <c r="M20396">
        <v>1</v>
      </c>
      <c r="N20396">
        <v>2.80282E-11</v>
      </c>
      <c r="O20396">
        <v>159</v>
      </c>
    </row>
    <row r="20397" spans="1:15" x14ac:dyDescent="0.25">
      <c r="A20397" t="s">
        <v>20410</v>
      </c>
      <c r="B20397">
        <v>136</v>
      </c>
      <c r="C20397" s="1" t="str">
        <f>HYPERLINK("http://www.rosaceae.org/gb/gbrowse/malus_x_domestica/?name=MDP0000507917","MDP0000507917")</f>
        <v>MDP0000507917</v>
      </c>
      <c r="D20397">
        <v>57.57</v>
      </c>
      <c r="E20397">
        <v>132</v>
      </c>
      <c r="F20397">
        <v>56</v>
      </c>
      <c r="G20397">
        <v>2</v>
      </c>
      <c r="H20397">
        <v>1</v>
      </c>
      <c r="I20397">
        <v>132</v>
      </c>
      <c r="J20397">
        <v>1</v>
      </c>
      <c r="K20397">
        <v>4</v>
      </c>
      <c r="L20397">
        <v>133</v>
      </c>
      <c r="M20397">
        <v>1</v>
      </c>
      <c r="N20397">
        <v>2.5335499999999998E-37</v>
      </c>
      <c r="O20397">
        <v>380</v>
      </c>
    </row>
    <row r="20398" spans="1:15" x14ac:dyDescent="0.25">
      <c r="A20398" t="s">
        <v>20411</v>
      </c>
      <c r="B20398">
        <v>373</v>
      </c>
      <c r="C20398" s="1" t="str">
        <f>HYPERLINK("http://www.rosaceae.org/gb/gbrowse/malus_x_domestica/?name=MDP0000534564","MDP0000534564")</f>
        <v>MDP0000534564</v>
      </c>
      <c r="D20398">
        <v>85.92</v>
      </c>
      <c r="E20398">
        <v>334</v>
      </c>
      <c r="F20398">
        <v>47</v>
      </c>
      <c r="G20398">
        <v>5</v>
      </c>
      <c r="H20398">
        <v>40</v>
      </c>
      <c r="I20398">
        <v>373</v>
      </c>
      <c r="J20398">
        <v>1</v>
      </c>
      <c r="K20398">
        <v>33</v>
      </c>
      <c r="L20398">
        <v>361</v>
      </c>
      <c r="M20398">
        <v>1</v>
      </c>
      <c r="N20398">
        <v>3.1617600000000001E-161</v>
      </c>
      <c r="O20398">
        <v>1455</v>
      </c>
    </row>
    <row r="20399" spans="1:15" x14ac:dyDescent="0.25">
      <c r="A20399" t="s">
        <v>20412</v>
      </c>
      <c r="B20399">
        <v>167</v>
      </c>
      <c r="C20399" s="1" t="str">
        <f>HYPERLINK("http://www.rosaceae.org/gb/gbrowse/malus_x_domestica/?name=MDP0000581271","MDP0000581271")</f>
        <v>MDP0000581271</v>
      </c>
      <c r="D20399">
        <v>88.88</v>
      </c>
      <c r="E20399">
        <v>54</v>
      </c>
      <c r="F20399">
        <v>6</v>
      </c>
      <c r="G20399">
        <v>0</v>
      </c>
      <c r="H20399">
        <v>9</v>
      </c>
      <c r="I20399">
        <v>62</v>
      </c>
      <c r="J20399">
        <v>1</v>
      </c>
      <c r="K20399">
        <v>52</v>
      </c>
      <c r="L20399">
        <v>105</v>
      </c>
      <c r="M20399">
        <v>1</v>
      </c>
      <c r="N20399">
        <v>3.2581399999999999E-22</v>
      </c>
      <c r="O20399">
        <v>252</v>
      </c>
    </row>
    <row r="20400" spans="1:15" x14ac:dyDescent="0.25">
      <c r="A20400" t="s">
        <v>20413</v>
      </c>
      <c r="B20400">
        <v>194</v>
      </c>
      <c r="C20400" s="1" t="str">
        <f>HYPERLINK("http://www.rosaceae.org/gb/gbrowse/malus_x_domestica/?name=MDP0000255986","MDP0000255986")</f>
        <v>MDP0000255986</v>
      </c>
      <c r="D20400">
        <v>55.82</v>
      </c>
      <c r="E20400">
        <v>206</v>
      </c>
      <c r="F20400">
        <v>91</v>
      </c>
      <c r="G20400">
        <v>15</v>
      </c>
      <c r="H20400">
        <v>2</v>
      </c>
      <c r="I20400">
        <v>194</v>
      </c>
      <c r="J20400">
        <v>1</v>
      </c>
      <c r="K20400">
        <v>41</v>
      </c>
      <c r="L20400">
        <v>244</v>
      </c>
      <c r="M20400">
        <v>1</v>
      </c>
      <c r="N20400">
        <v>4.9108199999999999E-54</v>
      </c>
      <c r="O20400">
        <v>527</v>
      </c>
    </row>
    <row r="20401" spans="1:15" x14ac:dyDescent="0.25">
      <c r="A20401" t="s">
        <v>20414</v>
      </c>
      <c r="B20401">
        <v>581</v>
      </c>
      <c r="C20401" s="1" t="str">
        <f>HYPERLINK("http://www.rosaceae.org/gb/gbrowse/malus_x_domestica/?name=MDP0000131814","MDP0000131814")</f>
        <v>MDP0000131814</v>
      </c>
      <c r="D20401">
        <v>51.59</v>
      </c>
      <c r="E20401">
        <v>595</v>
      </c>
      <c r="F20401">
        <v>288</v>
      </c>
      <c r="G20401">
        <v>69</v>
      </c>
      <c r="H20401">
        <v>19</v>
      </c>
      <c r="I20401">
        <v>581</v>
      </c>
      <c r="J20401">
        <v>1</v>
      </c>
      <c r="K20401">
        <v>33</v>
      </c>
      <c r="L20401">
        <v>590</v>
      </c>
      <c r="M20401">
        <v>1</v>
      </c>
      <c r="N20401">
        <v>5.6225800000000004E-162</v>
      </c>
      <c r="O20401">
        <v>1464</v>
      </c>
    </row>
    <row r="20402" spans="1:15" x14ac:dyDescent="0.25">
      <c r="A20402" t="s">
        <v>20415</v>
      </c>
      <c r="B20402">
        <v>878</v>
      </c>
      <c r="C20402" s="1" t="str">
        <f>HYPERLINK("http://www.rosaceae.org/gb/gbrowse/malus_x_domestica/?name=MDP0000144870","MDP0000144870")</f>
        <v>MDP0000144870</v>
      </c>
      <c r="D20402">
        <v>67.16</v>
      </c>
      <c r="E20402">
        <v>871</v>
      </c>
      <c r="F20402">
        <v>286</v>
      </c>
      <c r="G20402">
        <v>20</v>
      </c>
      <c r="H20402">
        <v>21</v>
      </c>
      <c r="I20402">
        <v>878</v>
      </c>
      <c r="J20402">
        <v>1</v>
      </c>
      <c r="K20402">
        <v>20</v>
      </c>
      <c r="L20402">
        <v>883</v>
      </c>
      <c r="M20402">
        <v>1</v>
      </c>
      <c r="N20402">
        <v>0</v>
      </c>
      <c r="O20402">
        <v>3038</v>
      </c>
    </row>
    <row r="20403" spans="1:15" x14ac:dyDescent="0.25">
      <c r="A20403" t="s">
        <v>20416</v>
      </c>
      <c r="B20403">
        <v>544</v>
      </c>
      <c r="C20403" s="1" t="str">
        <f>HYPERLINK("http://www.rosaceae.org/gb/gbrowse/malus_x_domestica/?name=MDP0000132207","MDP0000132207")</f>
        <v>MDP0000132207</v>
      </c>
      <c r="D20403">
        <v>83.43</v>
      </c>
      <c r="E20403">
        <v>477</v>
      </c>
      <c r="F20403">
        <v>79</v>
      </c>
      <c r="G20403">
        <v>2</v>
      </c>
      <c r="H20403">
        <v>67</v>
      </c>
      <c r="I20403">
        <v>543</v>
      </c>
      <c r="J20403">
        <v>1</v>
      </c>
      <c r="K20403">
        <v>57</v>
      </c>
      <c r="L20403">
        <v>531</v>
      </c>
      <c r="M20403">
        <v>1</v>
      </c>
      <c r="N20403">
        <v>0</v>
      </c>
      <c r="O20403">
        <v>2157</v>
      </c>
    </row>
    <row r="20404" spans="1:15" x14ac:dyDescent="0.25">
      <c r="A20404" t="s">
        <v>20417</v>
      </c>
      <c r="B20404">
        <v>939</v>
      </c>
      <c r="C20404" s="1" t="str">
        <f>HYPERLINK("http://www.rosaceae.org/gb/gbrowse/malus_x_domestica/?name=MDP0000255057","MDP0000255057")</f>
        <v>MDP0000255057</v>
      </c>
      <c r="D20404">
        <v>73.739999999999995</v>
      </c>
      <c r="E20404">
        <v>697</v>
      </c>
      <c r="F20404">
        <v>183</v>
      </c>
      <c r="G20404">
        <v>13</v>
      </c>
      <c r="H20404">
        <v>29</v>
      </c>
      <c r="I20404">
        <v>724</v>
      </c>
      <c r="J20404">
        <v>1</v>
      </c>
      <c r="K20404">
        <v>556</v>
      </c>
      <c r="L20404">
        <v>1240</v>
      </c>
      <c r="M20404">
        <v>1</v>
      </c>
      <c r="N20404">
        <v>0</v>
      </c>
      <c r="O20404">
        <v>2630</v>
      </c>
    </row>
    <row r="20405" spans="1:15" x14ac:dyDescent="0.25">
      <c r="A20405" t="s">
        <v>20418</v>
      </c>
      <c r="B20405">
        <v>691</v>
      </c>
      <c r="C20405" s="1" t="str">
        <f>HYPERLINK("http://www.rosaceae.org/gb/gbrowse/malus_x_domestica/?name=MDP0000195432","MDP0000195432")</f>
        <v>MDP0000195432</v>
      </c>
      <c r="D20405">
        <v>81.8</v>
      </c>
      <c r="E20405">
        <v>709</v>
      </c>
      <c r="F20405">
        <v>129</v>
      </c>
      <c r="G20405">
        <v>29</v>
      </c>
      <c r="H20405">
        <v>11</v>
      </c>
      <c r="I20405">
        <v>691</v>
      </c>
      <c r="J20405">
        <v>1</v>
      </c>
      <c r="K20405">
        <v>43</v>
      </c>
      <c r="L20405">
        <v>750</v>
      </c>
      <c r="M20405">
        <v>1</v>
      </c>
      <c r="N20405">
        <v>0</v>
      </c>
      <c r="O20405">
        <v>3160</v>
      </c>
    </row>
    <row r="20406" spans="1:15" x14ac:dyDescent="0.25">
      <c r="A20406" t="s">
        <v>20419</v>
      </c>
      <c r="B20406">
        <v>443</v>
      </c>
      <c r="C20406" s="1" t="str">
        <f>HYPERLINK("http://www.rosaceae.org/gb/gbrowse/malus_x_domestica/?name=MDP0000766001","MDP0000766001")</f>
        <v>MDP0000766001</v>
      </c>
      <c r="D20406">
        <v>81.16</v>
      </c>
      <c r="E20406">
        <v>446</v>
      </c>
      <c r="F20406">
        <v>84</v>
      </c>
      <c r="G20406">
        <v>6</v>
      </c>
      <c r="H20406">
        <v>1</v>
      </c>
      <c r="I20406">
        <v>443</v>
      </c>
      <c r="J20406">
        <v>1</v>
      </c>
      <c r="K20406">
        <v>1</v>
      </c>
      <c r="L20406">
        <v>443</v>
      </c>
      <c r="M20406">
        <v>1</v>
      </c>
      <c r="N20406">
        <v>0</v>
      </c>
      <c r="O20406">
        <v>1851</v>
      </c>
    </row>
    <row r="20407" spans="1:15" x14ac:dyDescent="0.25">
      <c r="A20407" t="s">
        <v>20420</v>
      </c>
      <c r="B20407">
        <v>1080</v>
      </c>
      <c r="C20407" s="1" t="str">
        <f>HYPERLINK("http://www.rosaceae.org/gb/gbrowse/malus_x_domestica/?name=MDP0000309940","MDP0000309940")</f>
        <v>MDP0000309940</v>
      </c>
      <c r="D20407">
        <v>75.650000000000006</v>
      </c>
      <c r="E20407">
        <v>1101</v>
      </c>
      <c r="F20407">
        <v>268</v>
      </c>
      <c r="G20407">
        <v>22</v>
      </c>
      <c r="H20407">
        <v>1</v>
      </c>
      <c r="I20407">
        <v>1080</v>
      </c>
      <c r="J20407">
        <v>1</v>
      </c>
      <c r="K20407">
        <v>1</v>
      </c>
      <c r="L20407">
        <v>1100</v>
      </c>
      <c r="M20407">
        <v>1</v>
      </c>
      <c r="N20407">
        <v>0</v>
      </c>
      <c r="O20407">
        <v>4319</v>
      </c>
    </row>
    <row r="20408" spans="1:15" x14ac:dyDescent="0.25">
      <c r="A20408" t="s">
        <v>20421</v>
      </c>
      <c r="B20408">
        <v>1570</v>
      </c>
      <c r="C20408" s="1" t="str">
        <f>HYPERLINK("http://www.rosaceae.org/gb/gbrowse/malus_x_domestica/?name=MDP0000915991","MDP0000915991")</f>
        <v>MDP0000915991</v>
      </c>
      <c r="D20408">
        <v>41.26</v>
      </c>
      <c r="E20408">
        <v>1231</v>
      </c>
      <c r="F20408">
        <v>723</v>
      </c>
      <c r="G20408">
        <v>164</v>
      </c>
      <c r="H20408">
        <v>35</v>
      </c>
      <c r="I20408">
        <v>1182</v>
      </c>
      <c r="J20408">
        <v>1</v>
      </c>
      <c r="K20408">
        <v>1</v>
      </c>
      <c r="L20408">
        <v>1150</v>
      </c>
      <c r="M20408">
        <v>1</v>
      </c>
      <c r="N20408">
        <v>0</v>
      </c>
      <c r="O20408">
        <v>1858</v>
      </c>
    </row>
    <row r="20409" spans="1:15" x14ac:dyDescent="0.25">
      <c r="A20409" t="s">
        <v>20422</v>
      </c>
      <c r="B20409">
        <v>760</v>
      </c>
      <c r="C20409" s="1" t="str">
        <f>HYPERLINK("http://www.rosaceae.org/gb/gbrowse/malus_x_domestica/?name=MDP0000876796","MDP0000876796")</f>
        <v>MDP0000876796</v>
      </c>
      <c r="D20409">
        <v>63.56</v>
      </c>
      <c r="E20409">
        <v>667</v>
      </c>
      <c r="F20409">
        <v>243</v>
      </c>
      <c r="G20409">
        <v>10</v>
      </c>
      <c r="H20409">
        <v>98</v>
      </c>
      <c r="I20409">
        <v>756</v>
      </c>
      <c r="J20409">
        <v>1</v>
      </c>
      <c r="K20409">
        <v>1</v>
      </c>
      <c r="L20409">
        <v>665</v>
      </c>
      <c r="M20409">
        <v>1</v>
      </c>
      <c r="N20409">
        <v>0</v>
      </c>
      <c r="O20409">
        <v>2181</v>
      </c>
    </row>
    <row r="20410" spans="1:15" x14ac:dyDescent="0.25">
      <c r="A20410" t="s">
        <v>20423</v>
      </c>
      <c r="B20410">
        <v>757</v>
      </c>
      <c r="C20410" s="1" t="str">
        <f>HYPERLINK("http://www.rosaceae.org/gb/gbrowse/malus_x_domestica/?name=MDP0000687155","MDP0000687155")</f>
        <v>MDP0000687155</v>
      </c>
      <c r="D20410">
        <v>66.75</v>
      </c>
      <c r="E20410">
        <v>755</v>
      </c>
      <c r="F20410">
        <v>251</v>
      </c>
      <c r="G20410">
        <v>42</v>
      </c>
      <c r="H20410">
        <v>1</v>
      </c>
      <c r="I20410">
        <v>715</v>
      </c>
      <c r="J20410">
        <v>1</v>
      </c>
      <c r="K20410">
        <v>4</v>
      </c>
      <c r="L20410">
        <v>756</v>
      </c>
      <c r="M20410">
        <v>1</v>
      </c>
      <c r="N20410">
        <v>0</v>
      </c>
      <c r="O20410">
        <v>2687</v>
      </c>
    </row>
    <row r="20411" spans="1:15" x14ac:dyDescent="0.25">
      <c r="A20411" t="s">
        <v>20424</v>
      </c>
      <c r="B20411">
        <v>124</v>
      </c>
      <c r="C20411" s="1" t="str">
        <f>HYPERLINK("http://www.rosaceae.org/gb/gbrowse/malus_x_domestica/?name=MDP0000295767","MDP0000295767")</f>
        <v>MDP0000295767</v>
      </c>
      <c r="D20411">
        <v>43.66</v>
      </c>
      <c r="E20411">
        <v>71</v>
      </c>
      <c r="F20411">
        <v>40</v>
      </c>
      <c r="G20411">
        <v>0</v>
      </c>
      <c r="H20411">
        <v>25</v>
      </c>
      <c r="I20411">
        <v>95</v>
      </c>
      <c r="J20411">
        <v>1</v>
      </c>
      <c r="K20411">
        <v>142</v>
      </c>
      <c r="L20411">
        <v>212</v>
      </c>
      <c r="M20411">
        <v>1</v>
      </c>
      <c r="N20411">
        <v>1.87229E-14</v>
      </c>
      <c r="O20411">
        <v>182</v>
      </c>
    </row>
    <row r="20412" spans="1:15" x14ac:dyDescent="0.25">
      <c r="A20412" t="s">
        <v>20425</v>
      </c>
      <c r="B20412">
        <v>152</v>
      </c>
      <c r="C20412" s="1" t="str">
        <f>HYPERLINK("http://www.rosaceae.org/gb/gbrowse/malus_x_domestica/?name=MDP0000306021","MDP0000306021")</f>
        <v>MDP0000306021</v>
      </c>
      <c r="D20412">
        <v>57.41</v>
      </c>
      <c r="E20412">
        <v>155</v>
      </c>
      <c r="F20412">
        <v>66</v>
      </c>
      <c r="G20412">
        <v>12</v>
      </c>
      <c r="H20412">
        <v>10</v>
      </c>
      <c r="I20412">
        <v>152</v>
      </c>
      <c r="J20412">
        <v>1</v>
      </c>
      <c r="K20412">
        <v>2</v>
      </c>
      <c r="L20412">
        <v>156</v>
      </c>
      <c r="M20412">
        <v>1</v>
      </c>
      <c r="N20412">
        <v>2.1791199999999998E-46</v>
      </c>
      <c r="O20412">
        <v>460</v>
      </c>
    </row>
    <row r="20413" spans="1:15" x14ac:dyDescent="0.25">
      <c r="A20413" t="s">
        <v>20426</v>
      </c>
      <c r="B20413">
        <v>333</v>
      </c>
      <c r="C20413" s="1" t="str">
        <f>HYPERLINK("http://www.rosaceae.org/gb/gbrowse/malus_x_domestica/?name=MDP0000422871","MDP0000422871")</f>
        <v>MDP0000422871</v>
      </c>
      <c r="D20413">
        <v>64.08</v>
      </c>
      <c r="E20413">
        <v>348</v>
      </c>
      <c r="F20413">
        <v>125</v>
      </c>
      <c r="G20413">
        <v>22</v>
      </c>
      <c r="H20413">
        <v>1</v>
      </c>
      <c r="I20413">
        <v>326</v>
      </c>
      <c r="J20413">
        <v>1</v>
      </c>
      <c r="K20413">
        <v>1</v>
      </c>
      <c r="L20413">
        <v>348</v>
      </c>
      <c r="M20413">
        <v>1</v>
      </c>
      <c r="N20413">
        <v>4.2361099999999999E-119</v>
      </c>
      <c r="O20413">
        <v>1092</v>
      </c>
    </row>
    <row r="20414" spans="1:15" x14ac:dyDescent="0.25">
      <c r="A20414" t="s">
        <v>20427</v>
      </c>
      <c r="B20414">
        <v>291</v>
      </c>
      <c r="C20414" s="1" t="str">
        <f>HYPERLINK("http://www.rosaceae.org/gb/gbrowse/malus_x_domestica/?name=MDP0000275079","MDP0000275079")</f>
        <v>MDP0000275079</v>
      </c>
      <c r="D20414">
        <v>48.33</v>
      </c>
      <c r="E20414">
        <v>331</v>
      </c>
      <c r="F20414">
        <v>171</v>
      </c>
      <c r="G20414">
        <v>41</v>
      </c>
      <c r="H20414">
        <v>1</v>
      </c>
      <c r="I20414">
        <v>291</v>
      </c>
      <c r="J20414">
        <v>1</v>
      </c>
      <c r="K20414">
        <v>1</v>
      </c>
      <c r="L20414">
        <v>330</v>
      </c>
      <c r="M20414">
        <v>1</v>
      </c>
      <c r="N20414">
        <v>7.8379400000000002E-63</v>
      </c>
      <c r="O20414">
        <v>606</v>
      </c>
    </row>
    <row r="20415" spans="1:15" x14ac:dyDescent="0.25">
      <c r="A20415" t="s">
        <v>20428</v>
      </c>
      <c r="B20415">
        <v>973</v>
      </c>
      <c r="C20415" s="1" t="str">
        <f>HYPERLINK("http://www.rosaceae.org/gb/gbrowse/malus_x_domestica/?name=MDP0000666968","MDP0000666968")</f>
        <v>MDP0000666968</v>
      </c>
      <c r="D20415">
        <v>79.739999999999995</v>
      </c>
      <c r="E20415">
        <v>854</v>
      </c>
      <c r="F20415">
        <v>173</v>
      </c>
      <c r="G20415">
        <v>16</v>
      </c>
      <c r="H20415">
        <v>1</v>
      </c>
      <c r="I20415">
        <v>854</v>
      </c>
      <c r="J20415">
        <v>1</v>
      </c>
      <c r="K20415">
        <v>1</v>
      </c>
      <c r="L20415">
        <v>838</v>
      </c>
      <c r="M20415">
        <v>1</v>
      </c>
      <c r="N20415">
        <v>0</v>
      </c>
      <c r="O20415">
        <v>3497</v>
      </c>
    </row>
    <row r="20416" spans="1:15" x14ac:dyDescent="0.25">
      <c r="A20416" t="s">
        <v>20429</v>
      </c>
      <c r="B20416">
        <v>1166</v>
      </c>
      <c r="C20416" s="1" t="str">
        <f>HYPERLINK("http://www.rosaceae.org/gb/gbrowse/malus_x_domestica/?name=MDP0000919694","MDP0000919694")</f>
        <v>MDP0000919694</v>
      </c>
      <c r="D20416">
        <v>63.88</v>
      </c>
      <c r="E20416">
        <v>778</v>
      </c>
      <c r="F20416">
        <v>281</v>
      </c>
      <c r="G20416">
        <v>62</v>
      </c>
      <c r="H20416">
        <v>402</v>
      </c>
      <c r="I20416">
        <v>1166</v>
      </c>
      <c r="J20416">
        <v>1</v>
      </c>
      <c r="K20416">
        <v>255</v>
      </c>
      <c r="L20416">
        <v>983</v>
      </c>
      <c r="M20416">
        <v>1</v>
      </c>
      <c r="N20416">
        <v>0</v>
      </c>
      <c r="O20416">
        <v>2511</v>
      </c>
    </row>
    <row r="20417" spans="1:15" x14ac:dyDescent="0.25">
      <c r="A20417" t="s">
        <v>20430</v>
      </c>
      <c r="B20417">
        <v>647</v>
      </c>
      <c r="C20417" s="1" t="str">
        <f>HYPERLINK("http://www.rosaceae.org/gb/gbrowse/malus_x_domestica/?name=MDP0000462268","MDP0000462268")</f>
        <v>MDP0000462268</v>
      </c>
      <c r="D20417">
        <v>43.54</v>
      </c>
      <c r="E20417">
        <v>434</v>
      </c>
      <c r="F20417">
        <v>245</v>
      </c>
      <c r="G20417">
        <v>14</v>
      </c>
      <c r="H20417">
        <v>10</v>
      </c>
      <c r="I20417">
        <v>433</v>
      </c>
      <c r="J20417">
        <v>1</v>
      </c>
      <c r="K20417">
        <v>11</v>
      </c>
      <c r="L20417">
        <v>440</v>
      </c>
      <c r="M20417">
        <v>1</v>
      </c>
      <c r="N20417">
        <v>2.14505E-90</v>
      </c>
      <c r="O20417">
        <v>847</v>
      </c>
    </row>
    <row r="20418" spans="1:15" x14ac:dyDescent="0.25">
      <c r="A20418" t="s">
        <v>20431</v>
      </c>
      <c r="B20418">
        <v>213</v>
      </c>
      <c r="C20418" s="1" t="str">
        <f>HYPERLINK("http://www.rosaceae.org/gb/gbrowse/malus_x_domestica/?name=MDP0000750292","MDP0000750292")</f>
        <v>MDP0000750292</v>
      </c>
      <c r="D20418">
        <v>51.72</v>
      </c>
      <c r="E20418">
        <v>116</v>
      </c>
      <c r="F20418">
        <v>56</v>
      </c>
      <c r="G20418">
        <v>7</v>
      </c>
      <c r="H20418">
        <v>96</v>
      </c>
      <c r="I20418">
        <v>209</v>
      </c>
      <c r="J20418">
        <v>1</v>
      </c>
      <c r="K20418">
        <v>1</v>
      </c>
      <c r="L20418">
        <v>111</v>
      </c>
      <c r="M20418">
        <v>1</v>
      </c>
      <c r="N20418">
        <v>6.5288300000000006E-26</v>
      </c>
      <c r="O20418">
        <v>285</v>
      </c>
    </row>
    <row r="20419" spans="1:15" x14ac:dyDescent="0.25">
      <c r="A20419" t="s">
        <v>20432</v>
      </c>
      <c r="B20419">
        <v>125</v>
      </c>
      <c r="C20419" s="1" t="str">
        <f>HYPERLINK("http://www.rosaceae.org/gb/gbrowse/malus_x_domestica/?name=MDP0000153244","MDP0000153244")</f>
        <v>MDP0000153244</v>
      </c>
      <c r="D20419">
        <v>47.05</v>
      </c>
      <c r="E20419">
        <v>102</v>
      </c>
      <c r="F20419">
        <v>54</v>
      </c>
      <c r="G20419">
        <v>8</v>
      </c>
      <c r="H20419">
        <v>2</v>
      </c>
      <c r="I20419">
        <v>98</v>
      </c>
      <c r="J20419">
        <v>1</v>
      </c>
      <c r="K20419">
        <v>3</v>
      </c>
      <c r="L20419">
        <v>101</v>
      </c>
      <c r="M20419">
        <v>1</v>
      </c>
      <c r="N20419">
        <v>2.00998E-16</v>
      </c>
      <c r="O20419">
        <v>199</v>
      </c>
    </row>
    <row r="20420" spans="1:15" x14ac:dyDescent="0.25">
      <c r="A20420" t="s">
        <v>20433</v>
      </c>
      <c r="B20420">
        <v>125</v>
      </c>
      <c r="C20420" s="1" t="str">
        <f>HYPERLINK("http://www.rosaceae.org/gb/gbrowse/malus_x_domestica/?name=MDP0000141887","MDP0000141887")</f>
        <v>MDP0000141887</v>
      </c>
      <c r="D20420">
        <v>82.75</v>
      </c>
      <c r="E20420">
        <v>29</v>
      </c>
      <c r="F20420">
        <v>5</v>
      </c>
      <c r="G20420">
        <v>0</v>
      </c>
      <c r="H20420">
        <v>77</v>
      </c>
      <c r="I20420">
        <v>105</v>
      </c>
      <c r="J20420">
        <v>1</v>
      </c>
      <c r="K20420">
        <v>122</v>
      </c>
      <c r="L20420">
        <v>150</v>
      </c>
      <c r="M20420">
        <v>1</v>
      </c>
      <c r="N20420">
        <v>1.11409E-8</v>
      </c>
      <c r="O20420">
        <v>132</v>
      </c>
    </row>
    <row r="20421" spans="1:15" x14ac:dyDescent="0.25">
      <c r="A20421" t="s">
        <v>20434</v>
      </c>
      <c r="B20421">
        <v>98</v>
      </c>
      <c r="C20421" s="1" t="str">
        <f>HYPERLINK("http://www.rosaceae.org/gb/gbrowse/malus_x_domestica/?name=MDP0000210567","MDP0000210567")</f>
        <v>MDP0000210567</v>
      </c>
      <c r="D20421">
        <v>45.29</v>
      </c>
      <c r="E20421">
        <v>117</v>
      </c>
      <c r="F20421">
        <v>64</v>
      </c>
      <c r="G20421">
        <v>34</v>
      </c>
      <c r="H20421">
        <v>16</v>
      </c>
      <c r="I20421">
        <v>98</v>
      </c>
      <c r="J20421">
        <v>1</v>
      </c>
      <c r="K20421">
        <v>16</v>
      </c>
      <c r="L20421">
        <v>132</v>
      </c>
      <c r="M20421">
        <v>1</v>
      </c>
      <c r="N20421">
        <v>9.048420000000001E-19</v>
      </c>
      <c r="O20421">
        <v>219</v>
      </c>
    </row>
    <row r="20422" spans="1:15" x14ac:dyDescent="0.25">
      <c r="A20422" t="s">
        <v>20435</v>
      </c>
      <c r="B20422">
        <v>579</v>
      </c>
      <c r="C20422" s="1" t="str">
        <f>HYPERLINK("http://www.rosaceae.org/gb/gbrowse/malus_x_domestica/?name=MDP0000913105","MDP0000913105")</f>
        <v>MDP0000913105</v>
      </c>
      <c r="D20422">
        <v>63.89</v>
      </c>
      <c r="E20422">
        <v>554</v>
      </c>
      <c r="F20422">
        <v>200</v>
      </c>
      <c r="G20422">
        <v>36</v>
      </c>
      <c r="H20422">
        <v>1</v>
      </c>
      <c r="I20422">
        <v>540</v>
      </c>
      <c r="J20422">
        <v>1</v>
      </c>
      <c r="K20422">
        <v>1</v>
      </c>
      <c r="L20422">
        <v>532</v>
      </c>
      <c r="M20422">
        <v>1</v>
      </c>
      <c r="N20422">
        <v>0</v>
      </c>
      <c r="O20422">
        <v>1636</v>
      </c>
    </row>
    <row r="20423" spans="1:15" x14ac:dyDescent="0.25">
      <c r="A20423" t="s">
        <v>20436</v>
      </c>
      <c r="B20423">
        <v>467</v>
      </c>
      <c r="C20423" s="1" t="str">
        <f>HYPERLINK("http://www.rosaceae.org/gb/gbrowse/malus_x_domestica/?name=MDP0000607000","MDP0000607000")</f>
        <v>MDP0000607000</v>
      </c>
      <c r="D20423">
        <v>47.57</v>
      </c>
      <c r="E20423">
        <v>475</v>
      </c>
      <c r="F20423">
        <v>249</v>
      </c>
      <c r="G20423">
        <v>33</v>
      </c>
      <c r="H20423">
        <v>8</v>
      </c>
      <c r="I20423">
        <v>467</v>
      </c>
      <c r="J20423">
        <v>1</v>
      </c>
      <c r="K20423">
        <v>6</v>
      </c>
      <c r="L20423">
        <v>462</v>
      </c>
      <c r="M20423">
        <v>1</v>
      </c>
      <c r="N20423">
        <v>2.961E-113</v>
      </c>
      <c r="O20423">
        <v>1043</v>
      </c>
    </row>
    <row r="20424" spans="1:15" x14ac:dyDescent="0.25">
      <c r="A20424" t="s">
        <v>20437</v>
      </c>
      <c r="B20424">
        <v>523</v>
      </c>
      <c r="C20424" s="1" t="str">
        <f>HYPERLINK("http://www.rosaceae.org/gb/gbrowse/malus_x_domestica/?name=MDP0000284128","MDP0000284128")</f>
        <v>MDP0000284128</v>
      </c>
      <c r="D20424">
        <v>71.540000000000006</v>
      </c>
      <c r="E20424">
        <v>499</v>
      </c>
      <c r="F20424">
        <v>142</v>
      </c>
      <c r="G20424">
        <v>11</v>
      </c>
      <c r="H20424">
        <v>32</v>
      </c>
      <c r="I20424">
        <v>523</v>
      </c>
      <c r="J20424">
        <v>1</v>
      </c>
      <c r="K20424">
        <v>1087</v>
      </c>
      <c r="L20424">
        <v>1581</v>
      </c>
      <c r="M20424">
        <v>1</v>
      </c>
      <c r="N20424">
        <v>0</v>
      </c>
      <c r="O20424">
        <v>1798</v>
      </c>
    </row>
    <row r="20425" spans="1:15" x14ac:dyDescent="0.25">
      <c r="A20425" t="s">
        <v>20438</v>
      </c>
      <c r="B20425">
        <v>271</v>
      </c>
      <c r="C20425" s="1" t="str">
        <f>HYPERLINK("http://www.rosaceae.org/gb/gbrowse/malus_x_domestica/?name=MDP0000185457","MDP0000185457")</f>
        <v>MDP0000185457</v>
      </c>
      <c r="D20425">
        <v>96.96</v>
      </c>
      <c r="E20425">
        <v>33</v>
      </c>
      <c r="F20425">
        <v>1</v>
      </c>
      <c r="G20425">
        <v>0</v>
      </c>
      <c r="H20425">
        <v>53</v>
      </c>
      <c r="I20425">
        <v>85</v>
      </c>
      <c r="J20425">
        <v>1</v>
      </c>
      <c r="K20425">
        <v>138</v>
      </c>
      <c r="L20425">
        <v>170</v>
      </c>
      <c r="M20425">
        <v>1</v>
      </c>
      <c r="N20425">
        <v>4.8895999999999997E-12</v>
      </c>
      <c r="O20425">
        <v>167</v>
      </c>
    </row>
    <row r="20426" spans="1:15" x14ac:dyDescent="0.25">
      <c r="A20426" t="s">
        <v>20439</v>
      </c>
      <c r="B20426">
        <v>399</v>
      </c>
      <c r="C20426" s="1" t="str">
        <f>HYPERLINK("http://www.rosaceae.org/gb/gbrowse/malus_x_domestica/?name=MDP0000163930","MDP0000163930")</f>
        <v>MDP0000163930</v>
      </c>
      <c r="D20426">
        <v>79.239999999999995</v>
      </c>
      <c r="E20426">
        <v>395</v>
      </c>
      <c r="F20426">
        <v>82</v>
      </c>
      <c r="G20426">
        <v>1</v>
      </c>
      <c r="H20426">
        <v>1</v>
      </c>
      <c r="I20426">
        <v>395</v>
      </c>
      <c r="J20426">
        <v>1</v>
      </c>
      <c r="K20426">
        <v>1</v>
      </c>
      <c r="L20426">
        <v>394</v>
      </c>
      <c r="M20426">
        <v>1</v>
      </c>
      <c r="N20426">
        <v>0</v>
      </c>
      <c r="O20426">
        <v>1728</v>
      </c>
    </row>
    <row r="20427" spans="1:15" x14ac:dyDescent="0.25">
      <c r="A20427" t="s">
        <v>20440</v>
      </c>
      <c r="B20427">
        <v>266</v>
      </c>
      <c r="C20427" s="1" t="str">
        <f>HYPERLINK("http://www.rosaceae.org/gb/gbrowse/malus_x_domestica/?name=MDP0000819543","MDP0000819543")</f>
        <v>MDP0000819543</v>
      </c>
      <c r="D20427">
        <v>59.4</v>
      </c>
      <c r="E20427">
        <v>271</v>
      </c>
      <c r="F20427">
        <v>110</v>
      </c>
      <c r="G20427">
        <v>5</v>
      </c>
      <c r="H20427">
        <v>1</v>
      </c>
      <c r="I20427">
        <v>266</v>
      </c>
      <c r="J20427">
        <v>1</v>
      </c>
      <c r="K20427">
        <v>90</v>
      </c>
      <c r="L20427">
        <v>360</v>
      </c>
      <c r="M20427">
        <v>1</v>
      </c>
      <c r="N20427">
        <v>1.14358E-85</v>
      </c>
      <c r="O20427">
        <v>802</v>
      </c>
    </row>
    <row r="20428" spans="1:15" x14ac:dyDescent="0.25">
      <c r="A20428" t="s">
        <v>20441</v>
      </c>
      <c r="B20428">
        <v>140</v>
      </c>
      <c r="C20428" s="1" t="str">
        <f>HYPERLINK("http://www.rosaceae.org/gb/gbrowse/malus_x_domestica/?name=MDP0000239328","MDP0000239328")</f>
        <v>MDP0000239328</v>
      </c>
      <c r="D20428">
        <v>75.510000000000005</v>
      </c>
      <c r="E20428">
        <v>98</v>
      </c>
      <c r="F20428">
        <v>24</v>
      </c>
      <c r="G20428">
        <v>3</v>
      </c>
      <c r="H20428">
        <v>45</v>
      </c>
      <c r="I20428">
        <v>139</v>
      </c>
      <c r="J20428">
        <v>1</v>
      </c>
      <c r="K20428">
        <v>29</v>
      </c>
      <c r="L20428">
        <v>126</v>
      </c>
      <c r="M20428">
        <v>1</v>
      </c>
      <c r="N20428">
        <v>4.8750100000000005E-38</v>
      </c>
      <c r="O20428">
        <v>387</v>
      </c>
    </row>
    <row r="20429" spans="1:15" x14ac:dyDescent="0.25">
      <c r="A20429" t="s">
        <v>20442</v>
      </c>
      <c r="B20429">
        <v>393</v>
      </c>
      <c r="C20429" s="1" t="str">
        <f>HYPERLINK("http://www.rosaceae.org/gb/gbrowse/malus_x_domestica/?name=MDP0000764712","MDP0000764712")</f>
        <v>MDP0000764712</v>
      </c>
      <c r="D20429">
        <v>76.989999999999995</v>
      </c>
      <c r="E20429">
        <v>326</v>
      </c>
      <c r="F20429">
        <v>75</v>
      </c>
      <c r="G20429">
        <v>9</v>
      </c>
      <c r="H20429">
        <v>2</v>
      </c>
      <c r="I20429">
        <v>321</v>
      </c>
      <c r="J20429">
        <v>1</v>
      </c>
      <c r="K20429">
        <v>3</v>
      </c>
      <c r="L20429">
        <v>325</v>
      </c>
      <c r="M20429">
        <v>1</v>
      </c>
      <c r="N20429">
        <v>1.39191E-131</v>
      </c>
      <c r="O20429">
        <v>1200</v>
      </c>
    </row>
    <row r="20430" spans="1:15" x14ac:dyDescent="0.25">
      <c r="A20430" t="s">
        <v>20443</v>
      </c>
      <c r="B20430">
        <v>483</v>
      </c>
      <c r="C20430" s="1" t="str">
        <f>HYPERLINK("http://www.rosaceae.org/gb/gbrowse/malus_x_domestica/?name=MDP0000169320","MDP0000169320")</f>
        <v>MDP0000169320</v>
      </c>
      <c r="D20430">
        <v>34.44</v>
      </c>
      <c r="E20430">
        <v>479</v>
      </c>
      <c r="F20430">
        <v>314</v>
      </c>
      <c r="G20430">
        <v>40</v>
      </c>
      <c r="H20430">
        <v>23</v>
      </c>
      <c r="I20430">
        <v>473</v>
      </c>
      <c r="J20430">
        <v>1</v>
      </c>
      <c r="K20430">
        <v>579</v>
      </c>
      <c r="L20430">
        <v>1045</v>
      </c>
      <c r="M20430">
        <v>1</v>
      </c>
      <c r="N20430">
        <v>2.0829700000000001E-66</v>
      </c>
      <c r="O20430">
        <v>639</v>
      </c>
    </row>
    <row r="20431" spans="1:15" x14ac:dyDescent="0.25">
      <c r="A20431" t="s">
        <v>20444</v>
      </c>
      <c r="B20431">
        <v>489</v>
      </c>
      <c r="C20431" s="1" t="str">
        <f>HYPERLINK("http://www.rosaceae.org/gb/gbrowse/malus_x_domestica/?name=MDP0000193947","MDP0000193947")</f>
        <v>MDP0000193947</v>
      </c>
      <c r="D20431">
        <v>53.42</v>
      </c>
      <c r="E20431">
        <v>496</v>
      </c>
      <c r="F20431">
        <v>231</v>
      </c>
      <c r="G20431">
        <v>28</v>
      </c>
      <c r="H20431">
        <v>1</v>
      </c>
      <c r="I20431">
        <v>489</v>
      </c>
      <c r="J20431">
        <v>1</v>
      </c>
      <c r="K20431">
        <v>1</v>
      </c>
      <c r="L20431">
        <v>475</v>
      </c>
      <c r="M20431">
        <v>1</v>
      </c>
      <c r="N20431">
        <v>5.1344200000000002E-117</v>
      </c>
      <c r="O20431">
        <v>1076</v>
      </c>
    </row>
    <row r="20432" spans="1:15" x14ac:dyDescent="0.25">
      <c r="A20432" t="s">
        <v>20445</v>
      </c>
      <c r="B20432">
        <v>558</v>
      </c>
      <c r="C20432" s="1" t="str">
        <f>HYPERLINK("http://www.rosaceae.org/gb/gbrowse/malus_x_domestica/?name=MDP0000151202","MDP0000151202")</f>
        <v>MDP0000151202</v>
      </c>
      <c r="D20432">
        <v>69.52</v>
      </c>
      <c r="E20432">
        <v>420</v>
      </c>
      <c r="F20432">
        <v>128</v>
      </c>
      <c r="G20432">
        <v>24</v>
      </c>
      <c r="H20432">
        <v>142</v>
      </c>
      <c r="I20432">
        <v>558</v>
      </c>
      <c r="J20432">
        <v>1</v>
      </c>
      <c r="K20432">
        <v>152</v>
      </c>
      <c r="L20432">
        <v>550</v>
      </c>
      <c r="M20432">
        <v>1</v>
      </c>
      <c r="N20432">
        <v>4.8710699999999996E-168</v>
      </c>
      <c r="O20432">
        <v>1516</v>
      </c>
    </row>
    <row r="20433" spans="1:15" x14ac:dyDescent="0.25">
      <c r="A20433" t="s">
        <v>20446</v>
      </c>
      <c r="B20433">
        <v>266</v>
      </c>
      <c r="C20433" s="1" t="str">
        <f>HYPERLINK("http://www.rosaceae.org/gb/gbrowse/malus_x_domestica/?name=MDP0000316397","MDP0000316397")</f>
        <v>MDP0000316397</v>
      </c>
      <c r="D20433">
        <v>52.27</v>
      </c>
      <c r="E20433">
        <v>220</v>
      </c>
      <c r="F20433">
        <v>105</v>
      </c>
      <c r="G20433">
        <v>35</v>
      </c>
      <c r="H20433">
        <v>81</v>
      </c>
      <c r="I20433">
        <v>266</v>
      </c>
      <c r="J20433">
        <v>1</v>
      </c>
      <c r="K20433">
        <v>1</v>
      </c>
      <c r="L20433">
        <v>219</v>
      </c>
      <c r="M20433">
        <v>1</v>
      </c>
      <c r="N20433">
        <v>4.4305499999999996E-47</v>
      </c>
      <c r="O20433">
        <v>469</v>
      </c>
    </row>
    <row r="20434" spans="1:15" x14ac:dyDescent="0.25">
      <c r="A20434" t="s">
        <v>20447</v>
      </c>
      <c r="B20434">
        <v>443</v>
      </c>
      <c r="C20434" s="1" t="str">
        <f>HYPERLINK("http://www.rosaceae.org/gb/gbrowse/malus_x_domestica/?name=MDP0000266699","MDP0000266699")</f>
        <v>MDP0000266699</v>
      </c>
      <c r="D20434">
        <v>81.83</v>
      </c>
      <c r="E20434">
        <v>424</v>
      </c>
      <c r="F20434">
        <v>77</v>
      </c>
      <c r="G20434">
        <v>7</v>
      </c>
      <c r="H20434">
        <v>26</v>
      </c>
      <c r="I20434">
        <v>443</v>
      </c>
      <c r="J20434">
        <v>1</v>
      </c>
      <c r="K20434">
        <v>25</v>
      </c>
      <c r="L20434">
        <v>447</v>
      </c>
      <c r="M20434">
        <v>1</v>
      </c>
      <c r="N20434">
        <v>0</v>
      </c>
      <c r="O20434">
        <v>1802</v>
      </c>
    </row>
    <row r="20435" spans="1:15" x14ac:dyDescent="0.25">
      <c r="A20435" t="s">
        <v>20448</v>
      </c>
      <c r="B20435">
        <v>209</v>
      </c>
      <c r="C20435" s="1" t="str">
        <f>HYPERLINK("http://www.rosaceae.org/gb/gbrowse/malus_x_domestica/?name=MDP0000499050","MDP0000499050")</f>
        <v>MDP0000499050</v>
      </c>
      <c r="D20435">
        <v>32.380000000000003</v>
      </c>
      <c r="E20435">
        <v>247</v>
      </c>
      <c r="F20435">
        <v>167</v>
      </c>
      <c r="G20435">
        <v>50</v>
      </c>
      <c r="H20435">
        <v>10</v>
      </c>
      <c r="I20435">
        <v>209</v>
      </c>
      <c r="J20435">
        <v>1</v>
      </c>
      <c r="K20435">
        <v>130</v>
      </c>
      <c r="L20435">
        <v>373</v>
      </c>
      <c r="M20435">
        <v>1</v>
      </c>
      <c r="N20435">
        <v>3.20299E-28</v>
      </c>
      <c r="O20435">
        <v>305</v>
      </c>
    </row>
    <row r="20436" spans="1:15" x14ac:dyDescent="0.25">
      <c r="A20436" t="s">
        <v>20449</v>
      </c>
      <c r="B20436">
        <v>506</v>
      </c>
      <c r="C20436" s="1" t="str">
        <f>HYPERLINK("http://www.rosaceae.org/gb/gbrowse/malus_x_domestica/?name=MDP0000287234","MDP0000287234")</f>
        <v>MDP0000287234</v>
      </c>
      <c r="D20436">
        <v>57.23</v>
      </c>
      <c r="E20436">
        <v>318</v>
      </c>
      <c r="F20436">
        <v>136</v>
      </c>
      <c r="G20436">
        <v>11</v>
      </c>
      <c r="H20436">
        <v>1</v>
      </c>
      <c r="I20436">
        <v>312</v>
      </c>
      <c r="J20436">
        <v>1</v>
      </c>
      <c r="K20436">
        <v>1</v>
      </c>
      <c r="L20436">
        <v>313</v>
      </c>
      <c r="M20436">
        <v>1</v>
      </c>
      <c r="N20436">
        <v>1.65341E-96</v>
      </c>
      <c r="O20436">
        <v>899</v>
      </c>
    </row>
    <row r="20437" spans="1:15" x14ac:dyDescent="0.25">
      <c r="A20437" t="s">
        <v>20450</v>
      </c>
      <c r="B20437">
        <v>395</v>
      </c>
      <c r="C20437" s="1" t="str">
        <f>HYPERLINK("http://www.rosaceae.org/gb/gbrowse/malus_x_domestica/?name=MDP0000265555","MDP0000265555")</f>
        <v>MDP0000265555</v>
      </c>
      <c r="D20437">
        <v>71.319999999999993</v>
      </c>
      <c r="E20437">
        <v>408</v>
      </c>
      <c r="F20437">
        <v>117</v>
      </c>
      <c r="G20437">
        <v>19</v>
      </c>
      <c r="H20437">
        <v>1</v>
      </c>
      <c r="I20437">
        <v>395</v>
      </c>
      <c r="J20437">
        <v>1</v>
      </c>
      <c r="K20437">
        <v>1</v>
      </c>
      <c r="L20437">
        <v>402</v>
      </c>
      <c r="M20437">
        <v>1</v>
      </c>
      <c r="N20437">
        <v>2.3140699999999999E-161</v>
      </c>
      <c r="O20437">
        <v>1457</v>
      </c>
    </row>
    <row r="20438" spans="1:15" x14ac:dyDescent="0.25">
      <c r="A20438" t="s">
        <v>20451</v>
      </c>
      <c r="B20438">
        <v>409</v>
      </c>
      <c r="C20438" s="1" t="str">
        <f>HYPERLINK("http://www.rosaceae.org/gb/gbrowse/malus_x_domestica/?name=MDP0000308027","MDP0000308027")</f>
        <v>MDP0000308027</v>
      </c>
      <c r="D20438">
        <v>76.739999999999995</v>
      </c>
      <c r="E20438">
        <v>387</v>
      </c>
      <c r="F20438">
        <v>90</v>
      </c>
      <c r="G20438">
        <v>9</v>
      </c>
      <c r="H20438">
        <v>28</v>
      </c>
      <c r="I20438">
        <v>409</v>
      </c>
      <c r="J20438">
        <v>1</v>
      </c>
      <c r="K20438">
        <v>29</v>
      </c>
      <c r="L20438">
        <v>411</v>
      </c>
      <c r="M20438">
        <v>1</v>
      </c>
      <c r="N20438">
        <v>1.6792E-164</v>
      </c>
      <c r="O20438">
        <v>1484</v>
      </c>
    </row>
    <row r="20439" spans="1:15" x14ac:dyDescent="0.25">
      <c r="A20439" t="s">
        <v>20452</v>
      </c>
      <c r="B20439">
        <v>788</v>
      </c>
      <c r="C20439" s="1" t="str">
        <f>HYPERLINK("http://www.rosaceae.org/gb/gbrowse/malus_x_domestica/?name=MDP0000158305","MDP0000158305")</f>
        <v>MDP0000158305</v>
      </c>
      <c r="D20439">
        <v>46.1</v>
      </c>
      <c r="E20439">
        <v>937</v>
      </c>
      <c r="F20439">
        <v>505</v>
      </c>
      <c r="G20439">
        <v>206</v>
      </c>
      <c r="H20439">
        <v>2</v>
      </c>
      <c r="I20439">
        <v>787</v>
      </c>
      <c r="J20439">
        <v>1</v>
      </c>
      <c r="K20439">
        <v>64</v>
      </c>
      <c r="L20439">
        <v>945</v>
      </c>
      <c r="M20439">
        <v>1</v>
      </c>
      <c r="N20439">
        <v>0</v>
      </c>
      <c r="O20439">
        <v>1764</v>
      </c>
    </row>
    <row r="20440" spans="1:15" x14ac:dyDescent="0.25">
      <c r="A20440" t="s">
        <v>20453</v>
      </c>
      <c r="B20440">
        <v>122</v>
      </c>
      <c r="C20440" s="1" t="str">
        <f>HYPERLINK("http://www.rosaceae.org/gb/gbrowse/malus_x_domestica/?name=MDP0000379697","MDP0000379697")</f>
        <v>MDP0000379697</v>
      </c>
      <c r="D20440">
        <v>64.75</v>
      </c>
      <c r="E20440">
        <v>122</v>
      </c>
      <c r="F20440">
        <v>43</v>
      </c>
      <c r="G20440">
        <v>7</v>
      </c>
      <c r="H20440">
        <v>1</v>
      </c>
      <c r="I20440">
        <v>122</v>
      </c>
      <c r="J20440">
        <v>1</v>
      </c>
      <c r="K20440">
        <v>338</v>
      </c>
      <c r="L20440">
        <v>452</v>
      </c>
      <c r="M20440">
        <v>1</v>
      </c>
      <c r="N20440">
        <v>5.4027900000000002E-38</v>
      </c>
      <c r="O20440">
        <v>385</v>
      </c>
    </row>
    <row r="20441" spans="1:15" x14ac:dyDescent="0.25">
      <c r="A20441" t="s">
        <v>20454</v>
      </c>
      <c r="B20441">
        <v>267</v>
      </c>
      <c r="C20441" s="1" t="str">
        <f>HYPERLINK("http://www.rosaceae.org/gb/gbrowse/malus_x_domestica/?name=MDP0000124256","MDP0000124256")</f>
        <v>MDP0000124256</v>
      </c>
      <c r="D20441">
        <v>29.94</v>
      </c>
      <c r="E20441">
        <v>197</v>
      </c>
      <c r="F20441">
        <v>138</v>
      </c>
      <c r="G20441">
        <v>24</v>
      </c>
      <c r="H20441">
        <v>77</v>
      </c>
      <c r="I20441">
        <v>252</v>
      </c>
      <c r="J20441">
        <v>1</v>
      </c>
      <c r="K20441">
        <v>8</v>
      </c>
      <c r="L20441">
        <v>201</v>
      </c>
      <c r="M20441">
        <v>1</v>
      </c>
      <c r="N20441">
        <v>2.8400300000000002E-19</v>
      </c>
      <c r="O20441">
        <v>230</v>
      </c>
    </row>
    <row r="20442" spans="1:15" x14ac:dyDescent="0.25">
      <c r="A20442" t="s">
        <v>20455</v>
      </c>
      <c r="B20442">
        <v>732</v>
      </c>
      <c r="C20442" s="1" t="str">
        <f>HYPERLINK("http://www.rosaceae.org/gb/gbrowse/malus_x_domestica/?name=MDP0000256952","MDP0000256952")</f>
        <v>MDP0000256952</v>
      </c>
      <c r="D20442">
        <v>71.66</v>
      </c>
      <c r="E20442">
        <v>734</v>
      </c>
      <c r="F20442">
        <v>208</v>
      </c>
      <c r="G20442">
        <v>51</v>
      </c>
      <c r="H20442">
        <v>5</v>
      </c>
      <c r="I20442">
        <v>726</v>
      </c>
      <c r="J20442">
        <v>1</v>
      </c>
      <c r="K20442">
        <v>652</v>
      </c>
      <c r="L20442">
        <v>1346</v>
      </c>
      <c r="M20442">
        <v>1</v>
      </c>
      <c r="N20442">
        <v>0</v>
      </c>
      <c r="O20442">
        <v>2703</v>
      </c>
    </row>
    <row r="20443" spans="1:15" x14ac:dyDescent="0.25">
      <c r="A20443" t="s">
        <v>20456</v>
      </c>
      <c r="B20443">
        <v>540</v>
      </c>
      <c r="C20443" s="1" t="str">
        <f>HYPERLINK("http://www.rosaceae.org/gb/gbrowse/malus_x_domestica/?name=MDP0000599317","MDP0000599317")</f>
        <v>MDP0000599317</v>
      </c>
      <c r="D20443">
        <v>68.3</v>
      </c>
      <c r="E20443">
        <v>306</v>
      </c>
      <c r="F20443">
        <v>97</v>
      </c>
      <c r="G20443">
        <v>13</v>
      </c>
      <c r="H20443">
        <v>241</v>
      </c>
      <c r="I20443">
        <v>540</v>
      </c>
      <c r="J20443">
        <v>1</v>
      </c>
      <c r="K20443">
        <v>4</v>
      </c>
      <c r="L20443">
        <v>302</v>
      </c>
      <c r="M20443">
        <v>1</v>
      </c>
      <c r="N20443">
        <v>8.4229100000000002E-116</v>
      </c>
      <c r="O20443">
        <v>1065</v>
      </c>
    </row>
    <row r="20444" spans="1:15" x14ac:dyDescent="0.25">
      <c r="A20444" t="s">
        <v>20457</v>
      </c>
      <c r="B20444">
        <v>177</v>
      </c>
      <c r="C20444" s="1" t="str">
        <f>HYPERLINK("http://www.rosaceae.org/gb/gbrowse/malus_x_domestica/?name=MDP0000527707","MDP0000527707")</f>
        <v>MDP0000527707</v>
      </c>
      <c r="D20444">
        <v>47.79</v>
      </c>
      <c r="E20444">
        <v>159</v>
      </c>
      <c r="F20444">
        <v>83</v>
      </c>
      <c r="G20444">
        <v>23</v>
      </c>
      <c r="H20444">
        <v>40</v>
      </c>
      <c r="I20444">
        <v>176</v>
      </c>
      <c r="J20444">
        <v>1</v>
      </c>
      <c r="K20444">
        <v>2</v>
      </c>
      <c r="L20444">
        <v>159</v>
      </c>
      <c r="M20444">
        <v>1</v>
      </c>
      <c r="N20444">
        <v>6.8252600000000002E-29</v>
      </c>
      <c r="O20444">
        <v>310</v>
      </c>
    </row>
    <row r="20445" spans="1:15" x14ac:dyDescent="0.25">
      <c r="A20445" t="s">
        <v>20458</v>
      </c>
      <c r="B20445">
        <v>290</v>
      </c>
      <c r="C20445" s="1" t="str">
        <f>HYPERLINK("http://www.rosaceae.org/gb/gbrowse/malus_x_domestica/?name=MDP0000128432","MDP0000128432")</f>
        <v>MDP0000128432</v>
      </c>
      <c r="D20445">
        <v>86.85</v>
      </c>
      <c r="E20445">
        <v>289</v>
      </c>
      <c r="F20445">
        <v>38</v>
      </c>
      <c r="G20445">
        <v>5</v>
      </c>
      <c r="H20445">
        <v>1</v>
      </c>
      <c r="I20445">
        <v>284</v>
      </c>
      <c r="J20445">
        <v>1</v>
      </c>
      <c r="K20445">
        <v>1</v>
      </c>
      <c r="L20445">
        <v>289</v>
      </c>
      <c r="M20445">
        <v>1</v>
      </c>
      <c r="N20445">
        <v>3.2984900000000001E-152</v>
      </c>
      <c r="O20445">
        <v>1376</v>
      </c>
    </row>
    <row r="20446" spans="1:15" x14ac:dyDescent="0.25">
      <c r="A20446" t="s">
        <v>20459</v>
      </c>
      <c r="B20446">
        <v>344</v>
      </c>
      <c r="C20446" s="1" t="str">
        <f>HYPERLINK("http://www.rosaceae.org/gb/gbrowse/malus_x_domestica/?name=MDP0000287358","MDP0000287358")</f>
        <v>MDP0000287358</v>
      </c>
      <c r="D20446">
        <v>64.55</v>
      </c>
      <c r="E20446">
        <v>189</v>
      </c>
      <c r="F20446">
        <v>67</v>
      </c>
      <c r="G20446">
        <v>18</v>
      </c>
      <c r="H20446">
        <v>10</v>
      </c>
      <c r="I20446">
        <v>181</v>
      </c>
      <c r="J20446">
        <v>1</v>
      </c>
      <c r="K20446">
        <v>78</v>
      </c>
      <c r="L20446">
        <v>265</v>
      </c>
      <c r="M20446">
        <v>1</v>
      </c>
      <c r="N20446">
        <v>1.1123799999999999E-58</v>
      </c>
      <c r="O20446">
        <v>571</v>
      </c>
    </row>
    <row r="20447" spans="1:15" x14ac:dyDescent="0.25">
      <c r="A20447" t="s">
        <v>20460</v>
      </c>
      <c r="B20447">
        <v>717</v>
      </c>
      <c r="C20447" s="1" t="str">
        <f>HYPERLINK("http://www.rosaceae.org/gb/gbrowse/malus_x_domestica/?name=MDP0000307313","MDP0000307313")</f>
        <v>MDP0000307313</v>
      </c>
      <c r="D20447">
        <v>58.24</v>
      </c>
      <c r="E20447">
        <v>649</v>
      </c>
      <c r="F20447">
        <v>271</v>
      </c>
      <c r="G20447">
        <v>44</v>
      </c>
      <c r="H20447">
        <v>89</v>
      </c>
      <c r="I20447">
        <v>717</v>
      </c>
      <c r="J20447">
        <v>1</v>
      </c>
      <c r="K20447">
        <v>337</v>
      </c>
      <c r="L20447">
        <v>961</v>
      </c>
      <c r="M20447">
        <v>1</v>
      </c>
      <c r="N20447">
        <v>0</v>
      </c>
      <c r="O20447">
        <v>1858</v>
      </c>
    </row>
    <row r="20448" spans="1:15" x14ac:dyDescent="0.25">
      <c r="A20448" t="s">
        <v>20461</v>
      </c>
      <c r="B20448">
        <v>224</v>
      </c>
      <c r="C20448" s="1" t="str">
        <f>HYPERLINK("http://www.rosaceae.org/gb/gbrowse/malus_x_domestica/?name=MDP0000294774","MDP0000294774")</f>
        <v>MDP0000294774</v>
      </c>
      <c r="D20448">
        <v>74.36</v>
      </c>
      <c r="E20448">
        <v>238</v>
      </c>
      <c r="F20448">
        <v>61</v>
      </c>
      <c r="G20448">
        <v>14</v>
      </c>
      <c r="H20448">
        <v>1</v>
      </c>
      <c r="I20448">
        <v>224</v>
      </c>
      <c r="J20448">
        <v>1</v>
      </c>
      <c r="K20448">
        <v>1</v>
      </c>
      <c r="L20448">
        <v>238</v>
      </c>
      <c r="M20448">
        <v>1</v>
      </c>
      <c r="N20448">
        <v>1.4687600000000001E-96</v>
      </c>
      <c r="O20448">
        <v>895</v>
      </c>
    </row>
    <row r="20449" spans="1:15" x14ac:dyDescent="0.25">
      <c r="A20449" t="s">
        <v>20462</v>
      </c>
      <c r="B20449">
        <v>445</v>
      </c>
      <c r="C20449" s="1" t="str">
        <f>HYPERLINK("http://www.rosaceae.org/gb/gbrowse/malus_x_domestica/?name=MDP0000417211","MDP0000417211")</f>
        <v>MDP0000417211</v>
      </c>
      <c r="D20449">
        <v>48.83</v>
      </c>
      <c r="E20449">
        <v>172</v>
      </c>
      <c r="F20449">
        <v>88</v>
      </c>
      <c r="G20449">
        <v>17</v>
      </c>
      <c r="H20449">
        <v>177</v>
      </c>
      <c r="I20449">
        <v>331</v>
      </c>
      <c r="J20449">
        <v>1</v>
      </c>
      <c r="K20449">
        <v>1</v>
      </c>
      <c r="L20449">
        <v>172</v>
      </c>
      <c r="M20449">
        <v>1</v>
      </c>
      <c r="N20449">
        <v>1.6936800000000001E-38</v>
      </c>
      <c r="O20449">
        <v>398</v>
      </c>
    </row>
    <row r="20450" spans="1:15" x14ac:dyDescent="0.25">
      <c r="A20450" t="s">
        <v>20463</v>
      </c>
      <c r="B20450">
        <v>840</v>
      </c>
      <c r="C20450" s="1" t="str">
        <f>HYPERLINK("http://www.rosaceae.org/gb/gbrowse/malus_x_domestica/?name=MDP0000204371","MDP0000204371")</f>
        <v>MDP0000204371</v>
      </c>
      <c r="D20450">
        <v>83.27</v>
      </c>
      <c r="E20450">
        <v>837</v>
      </c>
      <c r="F20450">
        <v>140</v>
      </c>
      <c r="G20450">
        <v>16</v>
      </c>
      <c r="H20450">
        <v>18</v>
      </c>
      <c r="I20450">
        <v>839</v>
      </c>
      <c r="J20450">
        <v>1</v>
      </c>
      <c r="K20450">
        <v>19</v>
      </c>
      <c r="L20450">
        <v>854</v>
      </c>
      <c r="M20450">
        <v>1</v>
      </c>
      <c r="N20450">
        <v>0</v>
      </c>
      <c r="O20450">
        <v>3732</v>
      </c>
    </row>
    <row r="20451" spans="1:15" x14ac:dyDescent="0.25">
      <c r="A20451" t="s">
        <v>20464</v>
      </c>
      <c r="B20451">
        <v>452</v>
      </c>
      <c r="C20451" s="1" t="str">
        <f>HYPERLINK("http://www.rosaceae.org/gb/gbrowse/malus_x_domestica/?name=MDP0000062070","MDP0000062070")</f>
        <v>MDP0000062070</v>
      </c>
      <c r="D20451">
        <v>76.97</v>
      </c>
      <c r="E20451">
        <v>469</v>
      </c>
      <c r="F20451">
        <v>108</v>
      </c>
      <c r="G20451">
        <v>34</v>
      </c>
      <c r="H20451">
        <v>4</v>
      </c>
      <c r="I20451">
        <v>444</v>
      </c>
      <c r="J20451">
        <v>1</v>
      </c>
      <c r="K20451">
        <v>1</v>
      </c>
      <c r="L20451">
        <v>463</v>
      </c>
      <c r="M20451">
        <v>1</v>
      </c>
      <c r="N20451">
        <v>0</v>
      </c>
      <c r="O20451">
        <v>1875</v>
      </c>
    </row>
    <row r="20452" spans="1:15" x14ac:dyDescent="0.25">
      <c r="A20452" t="s">
        <v>20465</v>
      </c>
      <c r="B20452">
        <v>426</v>
      </c>
      <c r="C20452" s="1" t="str">
        <f>HYPERLINK("http://www.rosaceae.org/gb/gbrowse/malus_x_domestica/?name=MDP0000670559","MDP0000670559")</f>
        <v>MDP0000670559</v>
      </c>
      <c r="D20452">
        <v>30.23</v>
      </c>
      <c r="E20452">
        <v>172</v>
      </c>
      <c r="F20452">
        <v>120</v>
      </c>
      <c r="G20452">
        <v>8</v>
      </c>
      <c r="H20452">
        <v>8</v>
      </c>
      <c r="I20452">
        <v>178</v>
      </c>
      <c r="J20452">
        <v>1</v>
      </c>
      <c r="K20452">
        <v>8</v>
      </c>
      <c r="L20452">
        <v>172</v>
      </c>
      <c r="M20452">
        <v>1</v>
      </c>
      <c r="N20452">
        <v>4.1982199999999999E-12</v>
      </c>
      <c r="O20452">
        <v>170</v>
      </c>
    </row>
    <row r="20453" spans="1:15" x14ac:dyDescent="0.25">
      <c r="A20453" t="s">
        <v>20466</v>
      </c>
      <c r="B20453">
        <v>148</v>
      </c>
      <c r="C20453" s="1" t="str">
        <f>HYPERLINK("http://www.rosaceae.org/gb/gbrowse/malus_x_domestica/?name=MDP0000322880","MDP0000322880")</f>
        <v>MDP0000322880</v>
      </c>
      <c r="D20453">
        <v>87.16</v>
      </c>
      <c r="E20453">
        <v>148</v>
      </c>
      <c r="F20453">
        <v>19</v>
      </c>
      <c r="G20453">
        <v>0</v>
      </c>
      <c r="H20453">
        <v>1</v>
      </c>
      <c r="I20453">
        <v>148</v>
      </c>
      <c r="J20453">
        <v>1</v>
      </c>
      <c r="K20453">
        <v>19</v>
      </c>
      <c r="L20453">
        <v>166</v>
      </c>
      <c r="M20453">
        <v>1</v>
      </c>
      <c r="N20453">
        <v>4.7528800000000003E-74</v>
      </c>
      <c r="O20453">
        <v>698</v>
      </c>
    </row>
    <row r="20454" spans="1:15" x14ac:dyDescent="0.25">
      <c r="A20454" t="s">
        <v>20467</v>
      </c>
      <c r="B20454">
        <v>157</v>
      </c>
      <c r="C20454" s="1" t="str">
        <f>HYPERLINK("http://www.rosaceae.org/gb/gbrowse/malus_x_domestica/?name=MDP0000165710","MDP0000165710")</f>
        <v>MDP0000165710</v>
      </c>
      <c r="D20454">
        <v>42.5</v>
      </c>
      <c r="E20454">
        <v>160</v>
      </c>
      <c r="F20454">
        <v>92</v>
      </c>
      <c r="G20454">
        <v>36</v>
      </c>
      <c r="H20454">
        <v>17</v>
      </c>
      <c r="I20454">
        <v>157</v>
      </c>
      <c r="J20454">
        <v>1</v>
      </c>
      <c r="K20454">
        <v>1</v>
      </c>
      <c r="L20454">
        <v>143</v>
      </c>
      <c r="M20454">
        <v>1</v>
      </c>
      <c r="N20454">
        <v>9.8196600000000008E-21</v>
      </c>
      <c r="O20454">
        <v>239</v>
      </c>
    </row>
    <row r="20455" spans="1:15" x14ac:dyDescent="0.25">
      <c r="A20455" t="s">
        <v>20468</v>
      </c>
      <c r="B20455">
        <v>929</v>
      </c>
      <c r="C20455" s="1" t="str">
        <f>HYPERLINK("http://www.rosaceae.org/gb/gbrowse/malus_x_domestica/?name=MDP0000299496","MDP0000299496")</f>
        <v>MDP0000299496</v>
      </c>
      <c r="D20455">
        <v>32.44</v>
      </c>
      <c r="E20455">
        <v>299</v>
      </c>
      <c r="F20455">
        <v>202</v>
      </c>
      <c r="G20455">
        <v>48</v>
      </c>
      <c r="H20455">
        <v>545</v>
      </c>
      <c r="I20455">
        <v>797</v>
      </c>
      <c r="J20455">
        <v>1</v>
      </c>
      <c r="K20455">
        <v>480</v>
      </c>
      <c r="L20455">
        <v>776</v>
      </c>
      <c r="M20455">
        <v>1</v>
      </c>
      <c r="N20455">
        <v>1.7350400000000001E-38</v>
      </c>
      <c r="O20455">
        <v>401</v>
      </c>
    </row>
    <row r="20456" spans="1:15" x14ac:dyDescent="0.25">
      <c r="A20456" t="s">
        <v>20469</v>
      </c>
      <c r="B20456">
        <v>429</v>
      </c>
      <c r="C20456" s="1" t="str">
        <f>HYPERLINK("http://www.rosaceae.org/gb/gbrowse/malus_x_domestica/?name=MDP0000318497","MDP0000318497")</f>
        <v>MDP0000318497</v>
      </c>
      <c r="D20456">
        <v>54.45</v>
      </c>
      <c r="E20456">
        <v>404</v>
      </c>
      <c r="F20456">
        <v>184</v>
      </c>
      <c r="G20456">
        <v>11</v>
      </c>
      <c r="H20456">
        <v>27</v>
      </c>
      <c r="I20456">
        <v>428</v>
      </c>
      <c r="J20456">
        <v>1</v>
      </c>
      <c r="K20456">
        <v>58</v>
      </c>
      <c r="L20456">
        <v>452</v>
      </c>
      <c r="M20456">
        <v>1</v>
      </c>
      <c r="N20456">
        <v>2.4264900000000001E-122</v>
      </c>
      <c r="O20456">
        <v>1121</v>
      </c>
    </row>
    <row r="20457" spans="1:15" x14ac:dyDescent="0.25">
      <c r="A20457" t="s">
        <v>20470</v>
      </c>
      <c r="B20457">
        <v>619</v>
      </c>
      <c r="C20457" s="1" t="str">
        <f>HYPERLINK("http://www.rosaceae.org/gb/gbrowse/malus_x_domestica/?name=MDP0000491894","MDP0000491894")</f>
        <v>MDP0000491894</v>
      </c>
      <c r="D20457">
        <v>65.53</v>
      </c>
      <c r="E20457">
        <v>354</v>
      </c>
      <c r="F20457">
        <v>122</v>
      </c>
      <c r="G20457">
        <v>29</v>
      </c>
      <c r="H20457">
        <v>1</v>
      </c>
      <c r="I20457">
        <v>326</v>
      </c>
      <c r="J20457">
        <v>1</v>
      </c>
      <c r="K20457">
        <v>4</v>
      </c>
      <c r="L20457">
        <v>356</v>
      </c>
      <c r="M20457">
        <v>1</v>
      </c>
      <c r="N20457">
        <v>3.1025100000000002E-120</v>
      </c>
      <c r="O20457">
        <v>1104</v>
      </c>
    </row>
    <row r="20458" spans="1:15" x14ac:dyDescent="0.25">
      <c r="A20458" t="s">
        <v>20471</v>
      </c>
      <c r="B20458">
        <v>927</v>
      </c>
      <c r="C20458" s="1" t="str">
        <f>HYPERLINK("http://www.rosaceae.org/gb/gbrowse/malus_x_domestica/?name=MDP0000293098","MDP0000293098")</f>
        <v>MDP0000293098</v>
      </c>
      <c r="D20458">
        <v>56.94</v>
      </c>
      <c r="E20458">
        <v>943</v>
      </c>
      <c r="F20458">
        <v>406</v>
      </c>
      <c r="G20458">
        <v>30</v>
      </c>
      <c r="H20458">
        <v>1</v>
      </c>
      <c r="I20458">
        <v>918</v>
      </c>
      <c r="J20458">
        <v>1</v>
      </c>
      <c r="K20458">
        <v>1</v>
      </c>
      <c r="L20458">
        <v>938</v>
      </c>
      <c r="M20458">
        <v>1</v>
      </c>
      <c r="N20458">
        <v>0</v>
      </c>
      <c r="O20458">
        <v>2565</v>
      </c>
    </row>
    <row r="20459" spans="1:15" x14ac:dyDescent="0.25">
      <c r="A20459" t="s">
        <v>20472</v>
      </c>
      <c r="B20459">
        <v>1096</v>
      </c>
      <c r="C20459" s="1" t="str">
        <f>HYPERLINK("http://www.rosaceae.org/gb/gbrowse/malus_x_domestica/?name=MDP0000309059","MDP0000309059")</f>
        <v>MDP0000309059</v>
      </c>
      <c r="D20459">
        <v>67.87</v>
      </c>
      <c r="E20459">
        <v>716</v>
      </c>
      <c r="F20459">
        <v>230</v>
      </c>
      <c r="G20459">
        <v>31</v>
      </c>
      <c r="H20459">
        <v>73</v>
      </c>
      <c r="I20459">
        <v>772</v>
      </c>
      <c r="J20459">
        <v>1</v>
      </c>
      <c r="K20459">
        <v>30</v>
      </c>
      <c r="L20459">
        <v>730</v>
      </c>
      <c r="M20459">
        <v>1</v>
      </c>
      <c r="N20459">
        <v>0</v>
      </c>
      <c r="O20459">
        <v>2355</v>
      </c>
    </row>
    <row r="20460" spans="1:15" x14ac:dyDescent="0.25">
      <c r="A20460" t="s">
        <v>20473</v>
      </c>
      <c r="B20460">
        <v>250</v>
      </c>
      <c r="C20460" s="1" t="str">
        <f>HYPERLINK("http://www.rosaceae.org/gb/gbrowse/malus_x_domestica/?name=MDP0000255931","MDP0000255931")</f>
        <v>MDP0000255931</v>
      </c>
      <c r="D20460">
        <v>53.63</v>
      </c>
      <c r="E20460">
        <v>110</v>
      </c>
      <c r="F20460">
        <v>51</v>
      </c>
      <c r="G20460">
        <v>15</v>
      </c>
      <c r="H20460">
        <v>39</v>
      </c>
      <c r="I20460">
        <v>135</v>
      </c>
      <c r="J20460">
        <v>1</v>
      </c>
      <c r="K20460">
        <v>9</v>
      </c>
      <c r="L20460">
        <v>116</v>
      </c>
      <c r="M20460">
        <v>1</v>
      </c>
      <c r="N20460">
        <v>5.3135099999999996E-23</v>
      </c>
      <c r="O20460">
        <v>261</v>
      </c>
    </row>
    <row r="20461" spans="1:15" x14ac:dyDescent="0.25">
      <c r="A20461" t="s">
        <v>20474</v>
      </c>
      <c r="B20461">
        <v>359</v>
      </c>
      <c r="C20461" s="1" t="str">
        <f>HYPERLINK("http://www.rosaceae.org/gb/gbrowse/malus_x_domestica/?name=MDP0000260701","MDP0000260701")</f>
        <v>MDP0000260701</v>
      </c>
      <c r="D20461">
        <v>46.71</v>
      </c>
      <c r="E20461">
        <v>152</v>
      </c>
      <c r="F20461">
        <v>81</v>
      </c>
      <c r="G20461">
        <v>3</v>
      </c>
      <c r="H20461">
        <v>27</v>
      </c>
      <c r="I20461">
        <v>178</v>
      </c>
      <c r="J20461">
        <v>1</v>
      </c>
      <c r="K20461">
        <v>26</v>
      </c>
      <c r="L20461">
        <v>174</v>
      </c>
      <c r="M20461">
        <v>1</v>
      </c>
      <c r="N20461">
        <v>4.16337E-34</v>
      </c>
      <c r="O20461">
        <v>359</v>
      </c>
    </row>
    <row r="20462" spans="1:15" x14ac:dyDescent="0.25">
      <c r="A20462" t="s">
        <v>20475</v>
      </c>
      <c r="B20462">
        <v>179</v>
      </c>
      <c r="C20462" s="1" t="str">
        <f>HYPERLINK("http://www.rosaceae.org/gb/gbrowse/malus_x_domestica/?name=MDP0000320419","MDP0000320419")</f>
        <v>MDP0000320419</v>
      </c>
      <c r="D20462">
        <v>88.81</v>
      </c>
      <c r="E20462">
        <v>152</v>
      </c>
      <c r="F20462">
        <v>17</v>
      </c>
      <c r="G20462">
        <v>0</v>
      </c>
      <c r="H20462">
        <v>13</v>
      </c>
      <c r="I20462">
        <v>164</v>
      </c>
      <c r="J20462">
        <v>1</v>
      </c>
      <c r="K20462">
        <v>1</v>
      </c>
      <c r="L20462">
        <v>152</v>
      </c>
      <c r="M20462">
        <v>1</v>
      </c>
      <c r="N20462">
        <v>1.68375E-78</v>
      </c>
      <c r="O20462">
        <v>738</v>
      </c>
    </row>
    <row r="20463" spans="1:15" x14ac:dyDescent="0.25">
      <c r="A20463" t="s">
        <v>20476</v>
      </c>
      <c r="B20463">
        <v>111</v>
      </c>
      <c r="C20463" s="1" t="str">
        <f>HYPERLINK("http://www.rosaceae.org/gb/gbrowse/malus_x_domestica/?name=MDP0000448621","MDP0000448621")</f>
        <v>MDP0000448621</v>
      </c>
      <c r="D20463">
        <v>72.069999999999993</v>
      </c>
      <c r="E20463">
        <v>111</v>
      </c>
      <c r="F20463">
        <v>31</v>
      </c>
      <c r="G20463">
        <v>0</v>
      </c>
      <c r="H20463">
        <v>1</v>
      </c>
      <c r="I20463">
        <v>111</v>
      </c>
      <c r="J20463">
        <v>1</v>
      </c>
      <c r="K20463">
        <v>133</v>
      </c>
      <c r="L20463">
        <v>243</v>
      </c>
      <c r="M20463">
        <v>1</v>
      </c>
      <c r="N20463">
        <v>3.20273E-42</v>
      </c>
      <c r="O20463">
        <v>422</v>
      </c>
    </row>
    <row r="20464" spans="1:15" x14ac:dyDescent="0.25">
      <c r="A20464" t="s">
        <v>20477</v>
      </c>
      <c r="B20464">
        <v>457</v>
      </c>
      <c r="C20464" s="1" t="str">
        <f>HYPERLINK("http://www.rosaceae.org/gb/gbrowse/malus_x_domestica/?name=MDP0000238667","MDP0000238667")</f>
        <v>MDP0000238667</v>
      </c>
      <c r="D20464">
        <v>58.94</v>
      </c>
      <c r="E20464">
        <v>397</v>
      </c>
      <c r="F20464">
        <v>163</v>
      </c>
      <c r="G20464">
        <v>11</v>
      </c>
      <c r="H20464">
        <v>1</v>
      </c>
      <c r="I20464">
        <v>395</v>
      </c>
      <c r="J20464">
        <v>1</v>
      </c>
      <c r="K20464">
        <v>1</v>
      </c>
      <c r="L20464">
        <v>388</v>
      </c>
      <c r="M20464">
        <v>1</v>
      </c>
      <c r="N20464">
        <v>8.85139E-124</v>
      </c>
      <c r="O20464">
        <v>1134</v>
      </c>
    </row>
    <row r="20465" spans="1:15" x14ac:dyDescent="0.25">
      <c r="A20465" t="s">
        <v>20478</v>
      </c>
      <c r="B20465">
        <v>105</v>
      </c>
      <c r="C20465" s="1" t="str">
        <f>HYPERLINK("http://www.rosaceae.org/gb/gbrowse/malus_x_domestica/?name=MDP0000905117","MDP0000905117")</f>
        <v>MDP0000905117</v>
      </c>
      <c r="D20465">
        <v>47.29</v>
      </c>
      <c r="E20465">
        <v>74</v>
      </c>
      <c r="F20465">
        <v>39</v>
      </c>
      <c r="G20465">
        <v>1</v>
      </c>
      <c r="H20465">
        <v>33</v>
      </c>
      <c r="I20465">
        <v>105</v>
      </c>
      <c r="J20465">
        <v>1</v>
      </c>
      <c r="K20465">
        <v>131</v>
      </c>
      <c r="L20465">
        <v>204</v>
      </c>
      <c r="M20465">
        <v>1</v>
      </c>
      <c r="N20465">
        <v>7.3254399999999994E-15</v>
      </c>
      <c r="O20465">
        <v>186</v>
      </c>
    </row>
    <row r="20466" spans="1:15" x14ac:dyDescent="0.25">
      <c r="A20466" t="s">
        <v>20479</v>
      </c>
      <c r="B20466">
        <v>571</v>
      </c>
      <c r="C20466" s="1" t="str">
        <f>HYPERLINK("http://www.rosaceae.org/gb/gbrowse/malus_x_domestica/?name=MDP0000295452","MDP0000295452")</f>
        <v>MDP0000295452</v>
      </c>
      <c r="D20466">
        <v>55.92</v>
      </c>
      <c r="E20466">
        <v>506</v>
      </c>
      <c r="F20466">
        <v>223</v>
      </c>
      <c r="G20466">
        <v>19</v>
      </c>
      <c r="H20466">
        <v>72</v>
      </c>
      <c r="I20466">
        <v>571</v>
      </c>
      <c r="J20466">
        <v>1</v>
      </c>
      <c r="K20466">
        <v>98</v>
      </c>
      <c r="L20466">
        <v>590</v>
      </c>
      <c r="M20466">
        <v>1</v>
      </c>
      <c r="N20466">
        <v>5.7445700000000004E-158</v>
      </c>
      <c r="O20466">
        <v>1429</v>
      </c>
    </row>
    <row r="20467" spans="1:15" x14ac:dyDescent="0.25">
      <c r="A20467" t="s">
        <v>20480</v>
      </c>
      <c r="B20467">
        <v>138</v>
      </c>
      <c r="C20467" s="1" t="str">
        <f>HYPERLINK("http://www.rosaceae.org/gb/gbrowse/malus_x_domestica/?name=MDP0000185014","MDP0000185014")</f>
        <v>MDP0000185014</v>
      </c>
      <c r="D20467">
        <v>72.41</v>
      </c>
      <c r="E20467">
        <v>58</v>
      </c>
      <c r="F20467">
        <v>16</v>
      </c>
      <c r="G20467">
        <v>0</v>
      </c>
      <c r="H20467">
        <v>80</v>
      </c>
      <c r="I20467">
        <v>137</v>
      </c>
      <c r="J20467">
        <v>1</v>
      </c>
      <c r="K20467">
        <v>31</v>
      </c>
      <c r="L20467">
        <v>88</v>
      </c>
      <c r="M20467">
        <v>1</v>
      </c>
      <c r="N20467">
        <v>9.6936600000000003E-21</v>
      </c>
      <c r="O20467">
        <v>237</v>
      </c>
    </row>
    <row r="20468" spans="1:15" x14ac:dyDescent="0.25">
      <c r="A20468" t="s">
        <v>20481</v>
      </c>
      <c r="B20468">
        <v>450</v>
      </c>
      <c r="C20468" s="1" t="str">
        <f>HYPERLINK("http://www.rosaceae.org/gb/gbrowse/malus_x_domestica/?name=MDP0000267641","MDP0000267641")</f>
        <v>MDP0000267641</v>
      </c>
      <c r="D20468">
        <v>85.42</v>
      </c>
      <c r="E20468">
        <v>446</v>
      </c>
      <c r="F20468">
        <v>65</v>
      </c>
      <c r="G20468">
        <v>2</v>
      </c>
      <c r="H20468">
        <v>1</v>
      </c>
      <c r="I20468">
        <v>446</v>
      </c>
      <c r="J20468">
        <v>1</v>
      </c>
      <c r="K20468">
        <v>40</v>
      </c>
      <c r="L20468">
        <v>483</v>
      </c>
      <c r="M20468">
        <v>1</v>
      </c>
      <c r="N20468">
        <v>0</v>
      </c>
      <c r="O20468">
        <v>2063</v>
      </c>
    </row>
    <row r="20469" spans="1:15" x14ac:dyDescent="0.25">
      <c r="A20469" t="s">
        <v>20482</v>
      </c>
      <c r="B20469">
        <v>889</v>
      </c>
      <c r="C20469" s="1" t="str">
        <f>HYPERLINK("http://www.rosaceae.org/gb/gbrowse/malus_x_domestica/?name=MDP0000151647","MDP0000151647")</f>
        <v>MDP0000151647</v>
      </c>
      <c r="D20469">
        <v>74.03</v>
      </c>
      <c r="E20469">
        <v>851</v>
      </c>
      <c r="F20469">
        <v>221</v>
      </c>
      <c r="G20469">
        <v>30</v>
      </c>
      <c r="H20469">
        <v>46</v>
      </c>
      <c r="I20469">
        <v>878</v>
      </c>
      <c r="J20469">
        <v>1</v>
      </c>
      <c r="K20469">
        <v>333</v>
      </c>
      <c r="L20469">
        <v>1171</v>
      </c>
      <c r="M20469">
        <v>1</v>
      </c>
      <c r="N20469">
        <v>0</v>
      </c>
      <c r="O20469">
        <v>3051</v>
      </c>
    </row>
    <row r="20470" spans="1:15" x14ac:dyDescent="0.25">
      <c r="A20470" t="s">
        <v>20483</v>
      </c>
      <c r="B20470">
        <v>125</v>
      </c>
      <c r="C20470" s="1" t="str">
        <f>HYPERLINK("http://www.rosaceae.org/gb/gbrowse/malus_x_domestica/?name=MDP0000762575","MDP0000762575")</f>
        <v>MDP0000762575</v>
      </c>
      <c r="D20470">
        <v>59.4</v>
      </c>
      <c r="E20470">
        <v>101</v>
      </c>
      <c r="F20470">
        <v>41</v>
      </c>
      <c r="G20470">
        <v>17</v>
      </c>
      <c r="H20470">
        <v>42</v>
      </c>
      <c r="I20470">
        <v>125</v>
      </c>
      <c r="J20470">
        <v>1</v>
      </c>
      <c r="K20470">
        <v>168</v>
      </c>
      <c r="L20470">
        <v>268</v>
      </c>
      <c r="M20470">
        <v>1</v>
      </c>
      <c r="N20470">
        <v>4.8925800000000002E-27</v>
      </c>
      <c r="O20470">
        <v>291</v>
      </c>
    </row>
    <row r="20471" spans="1:15" x14ac:dyDescent="0.25">
      <c r="A20471" t="s">
        <v>20484</v>
      </c>
      <c r="B20471">
        <v>565</v>
      </c>
      <c r="C20471" s="1" t="str">
        <f>HYPERLINK("http://www.rosaceae.org/gb/gbrowse/malus_x_domestica/?name=MDP0000179719","MDP0000179719")</f>
        <v>MDP0000179719</v>
      </c>
      <c r="D20471">
        <v>52.91</v>
      </c>
      <c r="E20471">
        <v>497</v>
      </c>
      <c r="F20471">
        <v>234</v>
      </c>
      <c r="G20471">
        <v>89</v>
      </c>
      <c r="H20471">
        <v>84</v>
      </c>
      <c r="I20471">
        <v>542</v>
      </c>
      <c r="J20471">
        <v>1</v>
      </c>
      <c r="K20471">
        <v>74</v>
      </c>
      <c r="L20471">
        <v>519</v>
      </c>
      <c r="M20471">
        <v>1</v>
      </c>
      <c r="N20471">
        <v>1.47518E-111</v>
      </c>
      <c r="O20471">
        <v>1029</v>
      </c>
    </row>
    <row r="20472" spans="1:15" x14ac:dyDescent="0.25">
      <c r="A20472" t="s">
        <v>20485</v>
      </c>
      <c r="B20472">
        <v>210</v>
      </c>
      <c r="C20472" s="1" t="str">
        <f>HYPERLINK("http://www.rosaceae.org/gb/gbrowse/malus_x_domestica/?name=MDP0000904673","MDP0000904673")</f>
        <v>MDP0000904673</v>
      </c>
      <c r="D20472">
        <v>51.94</v>
      </c>
      <c r="E20472">
        <v>231</v>
      </c>
      <c r="F20472">
        <v>111</v>
      </c>
      <c r="G20472">
        <v>32</v>
      </c>
      <c r="H20472">
        <v>1</v>
      </c>
      <c r="I20472">
        <v>210</v>
      </c>
      <c r="J20472">
        <v>1</v>
      </c>
      <c r="K20472">
        <v>1</v>
      </c>
      <c r="L20472">
        <v>220</v>
      </c>
      <c r="M20472">
        <v>1</v>
      </c>
      <c r="N20472">
        <v>1.25096E-50</v>
      </c>
      <c r="O20472">
        <v>498</v>
      </c>
    </row>
    <row r="20473" spans="1:15" x14ac:dyDescent="0.25">
      <c r="A20473" t="s">
        <v>20486</v>
      </c>
      <c r="B20473">
        <v>630</v>
      </c>
      <c r="C20473" s="1" t="str">
        <f>HYPERLINK("http://www.rosaceae.org/gb/gbrowse/malus_x_domestica/?name=MDP0000186402","MDP0000186402")</f>
        <v>MDP0000186402</v>
      </c>
      <c r="D20473">
        <v>37.96</v>
      </c>
      <c r="E20473">
        <v>108</v>
      </c>
      <c r="F20473">
        <v>67</v>
      </c>
      <c r="G20473">
        <v>1</v>
      </c>
      <c r="H20473">
        <v>477</v>
      </c>
      <c r="I20473">
        <v>584</v>
      </c>
      <c r="J20473">
        <v>1</v>
      </c>
      <c r="K20473">
        <v>420</v>
      </c>
      <c r="L20473">
        <v>526</v>
      </c>
      <c r="M20473">
        <v>1</v>
      </c>
      <c r="N20473">
        <v>1.9686599999999999E-16</v>
      </c>
      <c r="O20473">
        <v>209</v>
      </c>
    </row>
    <row r="20474" spans="1:15" x14ac:dyDescent="0.25">
      <c r="A20474" t="s">
        <v>20487</v>
      </c>
      <c r="B20474">
        <v>314</v>
      </c>
      <c r="C20474" s="1" t="str">
        <f>HYPERLINK("http://www.rosaceae.org/gb/gbrowse/malus_x_domestica/?name=MDP0000342757","MDP0000342757")</f>
        <v>MDP0000342757</v>
      </c>
      <c r="D20474">
        <v>66.87</v>
      </c>
      <c r="E20474">
        <v>314</v>
      </c>
      <c r="F20474">
        <v>104</v>
      </c>
      <c r="G20474">
        <v>33</v>
      </c>
      <c r="H20474">
        <v>1</v>
      </c>
      <c r="I20474">
        <v>312</v>
      </c>
      <c r="J20474">
        <v>1</v>
      </c>
      <c r="K20474">
        <v>1</v>
      </c>
      <c r="L20474">
        <v>283</v>
      </c>
      <c r="M20474">
        <v>1</v>
      </c>
      <c r="N20474">
        <v>2.2803199999999999E-115</v>
      </c>
      <c r="O20474">
        <v>1059</v>
      </c>
    </row>
    <row r="20475" spans="1:15" x14ac:dyDescent="0.25">
      <c r="A20475" t="s">
        <v>20488</v>
      </c>
      <c r="B20475">
        <v>1385</v>
      </c>
      <c r="C20475" s="1" t="str">
        <f>HYPERLINK("http://www.rosaceae.org/gb/gbrowse/malus_x_domestica/?name=MDP0000158215","MDP0000158215")</f>
        <v>MDP0000158215</v>
      </c>
      <c r="D20475">
        <v>60.49</v>
      </c>
      <c r="E20475">
        <v>1443</v>
      </c>
      <c r="F20475">
        <v>570</v>
      </c>
      <c r="G20475">
        <v>113</v>
      </c>
      <c r="H20475">
        <v>1</v>
      </c>
      <c r="I20475">
        <v>1383</v>
      </c>
      <c r="J20475">
        <v>1</v>
      </c>
      <c r="K20475">
        <v>1</v>
      </c>
      <c r="L20475">
        <v>1390</v>
      </c>
      <c r="M20475">
        <v>1</v>
      </c>
      <c r="N20475">
        <v>0</v>
      </c>
      <c r="O20475">
        <v>4192</v>
      </c>
    </row>
    <row r="20476" spans="1:15" x14ac:dyDescent="0.25">
      <c r="A20476" t="s">
        <v>20489</v>
      </c>
      <c r="B20476">
        <v>550</v>
      </c>
      <c r="C20476" s="1" t="str">
        <f>HYPERLINK("http://www.rosaceae.org/gb/gbrowse/malus_x_domestica/?name=MDP0000517920","MDP0000517920")</f>
        <v>MDP0000517920</v>
      </c>
      <c r="D20476">
        <v>77.849999999999994</v>
      </c>
      <c r="E20476">
        <v>560</v>
      </c>
      <c r="F20476">
        <v>124</v>
      </c>
      <c r="G20476">
        <v>18</v>
      </c>
      <c r="H20476">
        <v>1</v>
      </c>
      <c r="I20476">
        <v>550</v>
      </c>
      <c r="J20476">
        <v>1</v>
      </c>
      <c r="K20476">
        <v>1</v>
      </c>
      <c r="L20476">
        <v>552</v>
      </c>
      <c r="M20476">
        <v>1</v>
      </c>
      <c r="N20476">
        <v>0</v>
      </c>
      <c r="O20476">
        <v>2244</v>
      </c>
    </row>
    <row r="20477" spans="1:15" x14ac:dyDescent="0.25">
      <c r="A20477" t="s">
        <v>20490</v>
      </c>
      <c r="B20477">
        <v>408</v>
      </c>
      <c r="C20477" s="1" t="str">
        <f>HYPERLINK("http://www.rosaceae.org/gb/gbrowse/malus_x_domestica/?name=MDP0000155558","MDP0000155558")</f>
        <v>MDP0000155558</v>
      </c>
      <c r="D20477">
        <v>38.46</v>
      </c>
      <c r="E20477">
        <v>91</v>
      </c>
      <c r="F20477">
        <v>56</v>
      </c>
      <c r="G20477">
        <v>4</v>
      </c>
      <c r="H20477">
        <v>204</v>
      </c>
      <c r="I20477">
        <v>292</v>
      </c>
      <c r="J20477">
        <v>1</v>
      </c>
      <c r="K20477">
        <v>219</v>
      </c>
      <c r="L20477">
        <v>307</v>
      </c>
      <c r="M20477">
        <v>1</v>
      </c>
      <c r="N20477">
        <v>2.5467999999999999E-11</v>
      </c>
      <c r="O20477">
        <v>163</v>
      </c>
    </row>
    <row r="20478" spans="1:15" x14ac:dyDescent="0.25">
      <c r="A20478" t="s">
        <v>20491</v>
      </c>
      <c r="B20478">
        <v>128</v>
      </c>
      <c r="C20478" s="1" t="str">
        <f>HYPERLINK("http://www.rosaceae.org/gb/gbrowse/malus_x_domestica/?name=MDP0000507917","MDP0000507917")</f>
        <v>MDP0000507917</v>
      </c>
      <c r="D20478">
        <v>56.83</v>
      </c>
      <c r="E20478">
        <v>139</v>
      </c>
      <c r="F20478">
        <v>60</v>
      </c>
      <c r="G20478">
        <v>15</v>
      </c>
      <c r="H20478">
        <v>1</v>
      </c>
      <c r="I20478">
        <v>128</v>
      </c>
      <c r="J20478">
        <v>1</v>
      </c>
      <c r="K20478">
        <v>1</v>
      </c>
      <c r="L20478">
        <v>135</v>
      </c>
      <c r="M20478">
        <v>1</v>
      </c>
      <c r="N20478">
        <v>1.76679E-33</v>
      </c>
      <c r="O20478">
        <v>347</v>
      </c>
    </row>
    <row r="20479" spans="1:15" x14ac:dyDescent="0.25">
      <c r="A20479" t="s">
        <v>20492</v>
      </c>
      <c r="B20479">
        <v>205</v>
      </c>
      <c r="C20479" s="1" t="str">
        <f>HYPERLINK("http://www.rosaceae.org/gb/gbrowse/malus_x_domestica/?name=MDP0000921241","MDP0000921241")</f>
        <v>MDP0000921241</v>
      </c>
      <c r="D20479">
        <v>42.18</v>
      </c>
      <c r="E20479">
        <v>192</v>
      </c>
      <c r="F20479">
        <v>111</v>
      </c>
      <c r="G20479">
        <v>47</v>
      </c>
      <c r="H20479">
        <v>1</v>
      </c>
      <c r="I20479">
        <v>152</v>
      </c>
      <c r="J20479">
        <v>1</v>
      </c>
      <c r="K20479">
        <v>62</v>
      </c>
      <c r="L20479">
        <v>246</v>
      </c>
      <c r="M20479">
        <v>1</v>
      </c>
      <c r="N20479">
        <v>1.27272E-33</v>
      </c>
      <c r="O20479">
        <v>352</v>
      </c>
    </row>
    <row r="20480" spans="1:15" x14ac:dyDescent="0.25">
      <c r="A20480" t="s">
        <v>20493</v>
      </c>
      <c r="B20480">
        <v>520</v>
      </c>
      <c r="C20480" s="1" t="str">
        <f>HYPERLINK("http://www.rosaceae.org/gb/gbrowse/malus_x_domestica/?name=MDP0000238100","MDP0000238100")</f>
        <v>MDP0000238100</v>
      </c>
      <c r="D20480">
        <v>74.180000000000007</v>
      </c>
      <c r="E20480">
        <v>523</v>
      </c>
      <c r="F20480">
        <v>135</v>
      </c>
      <c r="G20480">
        <v>9</v>
      </c>
      <c r="H20480">
        <v>1</v>
      </c>
      <c r="I20480">
        <v>520</v>
      </c>
      <c r="J20480">
        <v>1</v>
      </c>
      <c r="K20480">
        <v>1</v>
      </c>
      <c r="L20480">
        <v>517</v>
      </c>
      <c r="M20480">
        <v>1</v>
      </c>
      <c r="N20480">
        <v>0</v>
      </c>
      <c r="O20480">
        <v>1995</v>
      </c>
    </row>
    <row r="20481" spans="1:15" x14ac:dyDescent="0.25">
      <c r="A20481" t="s">
        <v>20494</v>
      </c>
      <c r="B20481">
        <v>697</v>
      </c>
      <c r="C20481" s="1" t="str">
        <f>HYPERLINK("http://www.rosaceae.org/gb/gbrowse/malus_x_domestica/?name=MDP0000138874","MDP0000138874")</f>
        <v>MDP0000138874</v>
      </c>
      <c r="D20481">
        <v>81.14</v>
      </c>
      <c r="E20481">
        <v>594</v>
      </c>
      <c r="F20481">
        <v>112</v>
      </c>
      <c r="G20481">
        <v>66</v>
      </c>
      <c r="H20481">
        <v>15</v>
      </c>
      <c r="I20481">
        <v>558</v>
      </c>
      <c r="J20481">
        <v>1</v>
      </c>
      <c r="K20481">
        <v>24</v>
      </c>
      <c r="L20481">
        <v>601</v>
      </c>
      <c r="M20481">
        <v>1</v>
      </c>
      <c r="N20481">
        <v>0</v>
      </c>
      <c r="O20481">
        <v>2495</v>
      </c>
    </row>
    <row r="20482" spans="1:15" x14ac:dyDescent="0.25">
      <c r="A20482" t="s">
        <v>20495</v>
      </c>
      <c r="B20482">
        <v>319</v>
      </c>
      <c r="C20482" s="1" t="str">
        <f>HYPERLINK("http://www.rosaceae.org/gb/gbrowse/malus_x_domestica/?name=MDP0000231993","MDP0000231993")</f>
        <v>MDP0000231993</v>
      </c>
      <c r="D20482">
        <v>54.04</v>
      </c>
      <c r="E20482">
        <v>309</v>
      </c>
      <c r="F20482">
        <v>142</v>
      </c>
      <c r="G20482">
        <v>30</v>
      </c>
      <c r="H20482">
        <v>14</v>
      </c>
      <c r="I20482">
        <v>300</v>
      </c>
      <c r="J20482">
        <v>1</v>
      </c>
      <c r="K20482">
        <v>14</v>
      </c>
      <c r="L20482">
        <v>314</v>
      </c>
      <c r="M20482">
        <v>1</v>
      </c>
      <c r="N20482">
        <v>5.86723E-73</v>
      </c>
      <c r="O20482">
        <v>693</v>
      </c>
    </row>
    <row r="20483" spans="1:15" x14ac:dyDescent="0.25">
      <c r="A20483" t="s">
        <v>20496</v>
      </c>
      <c r="B20483">
        <v>338</v>
      </c>
      <c r="C20483" s="1" t="str">
        <f>HYPERLINK("http://www.rosaceae.org/gb/gbrowse/malus_x_domestica/?name=MDP0000142022","MDP0000142022")</f>
        <v>MDP0000142022</v>
      </c>
      <c r="D20483">
        <v>47.5</v>
      </c>
      <c r="E20483">
        <v>400</v>
      </c>
      <c r="F20483">
        <v>210</v>
      </c>
      <c r="G20483">
        <v>91</v>
      </c>
      <c r="H20483">
        <v>1</v>
      </c>
      <c r="I20483">
        <v>312</v>
      </c>
      <c r="J20483">
        <v>1</v>
      </c>
      <c r="K20483">
        <v>1</v>
      </c>
      <c r="L20483">
        <v>397</v>
      </c>
      <c r="M20483">
        <v>1</v>
      </c>
      <c r="N20483">
        <v>4.5224600000000003E-83</v>
      </c>
      <c r="O20483">
        <v>781</v>
      </c>
    </row>
    <row r="20484" spans="1:15" x14ac:dyDescent="0.25">
      <c r="A20484" t="s">
        <v>20497</v>
      </c>
      <c r="B20484">
        <v>364</v>
      </c>
      <c r="C20484" s="1" t="str">
        <f>HYPERLINK("http://www.rosaceae.org/gb/gbrowse/malus_x_domestica/?name=MDP0000252389","MDP0000252389")</f>
        <v>MDP0000252389</v>
      </c>
      <c r="D20484">
        <v>67.430000000000007</v>
      </c>
      <c r="E20484">
        <v>393</v>
      </c>
      <c r="F20484">
        <v>128</v>
      </c>
      <c r="G20484">
        <v>91</v>
      </c>
      <c r="H20484">
        <v>63</v>
      </c>
      <c r="I20484">
        <v>364</v>
      </c>
      <c r="J20484">
        <v>1</v>
      </c>
      <c r="K20484">
        <v>351</v>
      </c>
      <c r="L20484">
        <v>743</v>
      </c>
      <c r="M20484">
        <v>1</v>
      </c>
      <c r="N20484">
        <v>3.9520699999999998E-137</v>
      </c>
      <c r="O20484">
        <v>1248</v>
      </c>
    </row>
    <row r="20485" spans="1:15" x14ac:dyDescent="0.25">
      <c r="A20485" t="s">
        <v>20498</v>
      </c>
      <c r="B20485">
        <v>216</v>
      </c>
      <c r="C20485" s="1" t="str">
        <f>HYPERLINK("http://www.rosaceae.org/gb/gbrowse/malus_x_domestica/?name=MDP0000140372","MDP0000140372")</f>
        <v>MDP0000140372</v>
      </c>
      <c r="D20485">
        <v>66.81</v>
      </c>
      <c r="E20485">
        <v>226</v>
      </c>
      <c r="F20485">
        <v>75</v>
      </c>
      <c r="G20485">
        <v>14</v>
      </c>
      <c r="H20485">
        <v>1</v>
      </c>
      <c r="I20485">
        <v>216</v>
      </c>
      <c r="J20485">
        <v>1</v>
      </c>
      <c r="K20485">
        <v>59</v>
      </c>
      <c r="L20485">
        <v>280</v>
      </c>
      <c r="M20485">
        <v>1</v>
      </c>
      <c r="N20485">
        <v>2.62715E-61</v>
      </c>
      <c r="O20485">
        <v>591</v>
      </c>
    </row>
    <row r="20486" spans="1:15" x14ac:dyDescent="0.25">
      <c r="A20486" t="s">
        <v>20499</v>
      </c>
      <c r="B20486">
        <v>251</v>
      </c>
      <c r="C20486" s="1" t="str">
        <f>HYPERLINK("http://www.rosaceae.org/gb/gbrowse/malus_x_domestica/?name=MDP0000749454","MDP0000749454")</f>
        <v>MDP0000749454</v>
      </c>
      <c r="D20486">
        <v>81.319999999999993</v>
      </c>
      <c r="E20486">
        <v>257</v>
      </c>
      <c r="F20486">
        <v>48</v>
      </c>
      <c r="G20486">
        <v>6</v>
      </c>
      <c r="H20486">
        <v>1</v>
      </c>
      <c r="I20486">
        <v>251</v>
      </c>
      <c r="J20486">
        <v>1</v>
      </c>
      <c r="K20486">
        <v>1</v>
      </c>
      <c r="L20486">
        <v>257</v>
      </c>
      <c r="M20486">
        <v>1</v>
      </c>
      <c r="N20486">
        <v>3.5096100000000001E-124</v>
      </c>
      <c r="O20486">
        <v>1134</v>
      </c>
    </row>
    <row r="20487" spans="1:15" x14ac:dyDescent="0.25">
      <c r="A20487" t="s">
        <v>20500</v>
      </c>
      <c r="B20487">
        <v>300</v>
      </c>
      <c r="C20487" s="1" t="str">
        <f>HYPERLINK("http://www.rosaceae.org/gb/gbrowse/malus_x_domestica/?name=MDP0000162677","MDP0000162677")</f>
        <v>MDP0000162677</v>
      </c>
      <c r="D20487">
        <v>56.18</v>
      </c>
      <c r="E20487">
        <v>299</v>
      </c>
      <c r="F20487">
        <v>131</v>
      </c>
      <c r="G20487">
        <v>2</v>
      </c>
      <c r="H20487">
        <v>4</v>
      </c>
      <c r="I20487">
        <v>300</v>
      </c>
      <c r="J20487">
        <v>1</v>
      </c>
      <c r="K20487">
        <v>1</v>
      </c>
      <c r="L20487">
        <v>299</v>
      </c>
      <c r="M20487">
        <v>1</v>
      </c>
      <c r="N20487">
        <v>6.6548200000000003E-98</v>
      </c>
      <c r="O20487">
        <v>908</v>
      </c>
    </row>
    <row r="20488" spans="1:15" x14ac:dyDescent="0.25">
      <c r="A20488" t="s">
        <v>20501</v>
      </c>
      <c r="B20488">
        <v>992</v>
      </c>
      <c r="C20488" s="1" t="str">
        <f>HYPERLINK("http://www.rosaceae.org/gb/gbrowse/malus_x_domestica/?name=MDP0000805407","MDP0000805407")</f>
        <v>MDP0000805407</v>
      </c>
      <c r="D20488">
        <v>53.18</v>
      </c>
      <c r="E20488">
        <v>784</v>
      </c>
      <c r="F20488">
        <v>367</v>
      </c>
      <c r="G20488">
        <v>11</v>
      </c>
      <c r="H20488">
        <v>7</v>
      </c>
      <c r="I20488">
        <v>783</v>
      </c>
      <c r="J20488">
        <v>1</v>
      </c>
      <c r="K20488">
        <v>8</v>
      </c>
      <c r="L20488">
        <v>787</v>
      </c>
      <c r="M20488">
        <v>1</v>
      </c>
      <c r="N20488">
        <v>0</v>
      </c>
      <c r="O20488">
        <v>2199</v>
      </c>
    </row>
    <row r="20489" spans="1:15" x14ac:dyDescent="0.25">
      <c r="A20489" t="s">
        <v>20502</v>
      </c>
      <c r="B20489">
        <v>359</v>
      </c>
      <c r="C20489" s="1" t="str">
        <f>HYPERLINK("http://www.rosaceae.org/gb/gbrowse/malus_x_domestica/?name=MDP0000687154","MDP0000687154")</f>
        <v>MDP0000687154</v>
      </c>
      <c r="D20489">
        <v>59.7</v>
      </c>
      <c r="E20489">
        <v>273</v>
      </c>
      <c r="F20489">
        <v>110</v>
      </c>
      <c r="G20489">
        <v>26</v>
      </c>
      <c r="H20489">
        <v>19</v>
      </c>
      <c r="I20489">
        <v>273</v>
      </c>
      <c r="J20489">
        <v>1</v>
      </c>
      <c r="K20489">
        <v>64</v>
      </c>
      <c r="L20489">
        <v>328</v>
      </c>
      <c r="M20489">
        <v>1</v>
      </c>
      <c r="N20489">
        <v>4.6586500000000003E-78</v>
      </c>
      <c r="O20489">
        <v>738</v>
      </c>
    </row>
    <row r="20490" spans="1:15" x14ac:dyDescent="0.25">
      <c r="A20490" t="s">
        <v>20503</v>
      </c>
      <c r="B20490">
        <v>142</v>
      </c>
      <c r="C20490" s="1" t="str">
        <f>HYPERLINK("http://www.rosaceae.org/gb/gbrowse/malus_x_domestica/?name=MDP0000607529","MDP0000607529")</f>
        <v>MDP0000607529</v>
      </c>
      <c r="D20490">
        <v>55.95</v>
      </c>
      <c r="E20490">
        <v>84</v>
      </c>
      <c r="F20490">
        <v>37</v>
      </c>
      <c r="G20490">
        <v>0</v>
      </c>
      <c r="H20490">
        <v>34</v>
      </c>
      <c r="I20490">
        <v>117</v>
      </c>
      <c r="J20490">
        <v>1</v>
      </c>
      <c r="K20490">
        <v>30</v>
      </c>
      <c r="L20490">
        <v>113</v>
      </c>
      <c r="M20490">
        <v>1</v>
      </c>
      <c r="N20490">
        <v>5.9352600000000002E-21</v>
      </c>
      <c r="O20490">
        <v>240</v>
      </c>
    </row>
    <row r="20491" spans="1:15" x14ac:dyDescent="0.25">
      <c r="A20491" t="s">
        <v>20504</v>
      </c>
      <c r="B20491">
        <v>195</v>
      </c>
      <c r="C20491" s="1" t="str">
        <f>HYPERLINK("http://www.rosaceae.org/gb/gbrowse/malus_x_domestica/?name=MDP0000158877","MDP0000158877")</f>
        <v>MDP0000158877</v>
      </c>
      <c r="D20491">
        <v>42.67</v>
      </c>
      <c r="E20491">
        <v>232</v>
      </c>
      <c r="F20491">
        <v>133</v>
      </c>
      <c r="G20491">
        <v>38</v>
      </c>
      <c r="H20491">
        <v>1</v>
      </c>
      <c r="I20491">
        <v>195</v>
      </c>
      <c r="J20491">
        <v>1</v>
      </c>
      <c r="K20491">
        <v>1</v>
      </c>
      <c r="L20491">
        <v>231</v>
      </c>
      <c r="M20491">
        <v>1</v>
      </c>
      <c r="N20491">
        <v>1.6180100000000001E-34</v>
      </c>
      <c r="O20491">
        <v>359</v>
      </c>
    </row>
    <row r="20492" spans="1:15" x14ac:dyDescent="0.25">
      <c r="A20492" t="s">
        <v>20505</v>
      </c>
      <c r="B20492">
        <v>265</v>
      </c>
      <c r="C20492" s="1" t="str">
        <f>HYPERLINK("http://www.rosaceae.org/gb/gbrowse/malus_x_domestica/?name=MDP0000422870","MDP0000422870")</f>
        <v>MDP0000422870</v>
      </c>
      <c r="D20492">
        <v>84.95</v>
      </c>
      <c r="E20492">
        <v>246</v>
      </c>
      <c r="F20492">
        <v>37</v>
      </c>
      <c r="G20492">
        <v>2</v>
      </c>
      <c r="H20492">
        <v>20</v>
      </c>
      <c r="I20492">
        <v>263</v>
      </c>
      <c r="J20492">
        <v>1</v>
      </c>
      <c r="K20492">
        <v>33</v>
      </c>
      <c r="L20492">
        <v>278</v>
      </c>
      <c r="M20492">
        <v>1</v>
      </c>
      <c r="N20492">
        <v>7.2865600000000002E-123</v>
      </c>
      <c r="O20492">
        <v>1123</v>
      </c>
    </row>
    <row r="20493" spans="1:15" x14ac:dyDescent="0.25">
      <c r="A20493" t="s">
        <v>20506</v>
      </c>
      <c r="B20493">
        <v>991</v>
      </c>
      <c r="C20493" s="1" t="str">
        <f>HYPERLINK("http://www.rosaceae.org/gb/gbrowse/malus_x_domestica/?name=MDP0000305771","MDP0000305771")</f>
        <v>MDP0000305771</v>
      </c>
      <c r="D20493">
        <v>38.36</v>
      </c>
      <c r="E20493">
        <v>928</v>
      </c>
      <c r="F20493">
        <v>572</v>
      </c>
      <c r="G20493">
        <v>124</v>
      </c>
      <c r="H20493">
        <v>147</v>
      </c>
      <c r="I20493">
        <v>991</v>
      </c>
      <c r="J20493">
        <v>1</v>
      </c>
      <c r="K20493">
        <v>503</v>
      </c>
      <c r="L20493">
        <v>1389</v>
      </c>
      <c r="M20493">
        <v>1</v>
      </c>
      <c r="N20493">
        <v>3.1808199999999998E-157</v>
      </c>
      <c r="O20493">
        <v>1425</v>
      </c>
    </row>
    <row r="20494" spans="1:15" x14ac:dyDescent="0.25">
      <c r="A20494" t="s">
        <v>20507</v>
      </c>
      <c r="B20494">
        <v>320</v>
      </c>
      <c r="C20494" s="1" t="str">
        <f>HYPERLINK("http://www.rosaceae.org/gb/gbrowse/malus_x_domestica/?name=MDP0000298280","MDP0000298280")</f>
        <v>MDP0000298280</v>
      </c>
      <c r="D20494">
        <v>62.44</v>
      </c>
      <c r="E20494">
        <v>229</v>
      </c>
      <c r="F20494">
        <v>86</v>
      </c>
      <c r="G20494">
        <v>8</v>
      </c>
      <c r="H20494">
        <v>9</v>
      </c>
      <c r="I20494">
        <v>229</v>
      </c>
      <c r="J20494">
        <v>1</v>
      </c>
      <c r="K20494">
        <v>12</v>
      </c>
      <c r="L20494">
        <v>240</v>
      </c>
      <c r="M20494">
        <v>1</v>
      </c>
      <c r="N20494">
        <v>2.12557E-80</v>
      </c>
      <c r="O20494">
        <v>758</v>
      </c>
    </row>
    <row r="20495" spans="1:15" x14ac:dyDescent="0.25">
      <c r="A20495" t="s">
        <v>20508</v>
      </c>
      <c r="B20495">
        <v>342</v>
      </c>
      <c r="C20495" s="1" t="str">
        <f>HYPERLINK("http://www.rosaceae.org/gb/gbrowse/malus_x_domestica/?name=MDP0000672131","MDP0000672131")</f>
        <v>MDP0000672131</v>
      </c>
      <c r="D20495">
        <v>57.87</v>
      </c>
      <c r="E20495">
        <v>349</v>
      </c>
      <c r="F20495">
        <v>147</v>
      </c>
      <c r="G20495">
        <v>33</v>
      </c>
      <c r="H20495">
        <v>1</v>
      </c>
      <c r="I20495">
        <v>342</v>
      </c>
      <c r="J20495">
        <v>1</v>
      </c>
      <c r="K20495">
        <v>1</v>
      </c>
      <c r="L20495">
        <v>323</v>
      </c>
      <c r="M20495">
        <v>1</v>
      </c>
      <c r="N20495">
        <v>7.4992999999999995E-95</v>
      </c>
      <c r="O20495">
        <v>883</v>
      </c>
    </row>
    <row r="20496" spans="1:15" x14ac:dyDescent="0.25">
      <c r="A20496" t="s">
        <v>20509</v>
      </c>
      <c r="B20496">
        <v>458</v>
      </c>
      <c r="C20496" s="1" t="str">
        <f>HYPERLINK("http://www.rosaceae.org/gb/gbrowse/malus_x_domestica/?name=MDP0000620745","MDP0000620745")</f>
        <v>MDP0000620745</v>
      </c>
      <c r="D20496">
        <v>41.97</v>
      </c>
      <c r="E20496">
        <v>162</v>
      </c>
      <c r="F20496">
        <v>94</v>
      </c>
      <c r="G20496">
        <v>37</v>
      </c>
      <c r="H20496">
        <v>10</v>
      </c>
      <c r="I20496">
        <v>134</v>
      </c>
      <c r="J20496">
        <v>1</v>
      </c>
      <c r="K20496">
        <v>10</v>
      </c>
      <c r="L20496">
        <v>171</v>
      </c>
      <c r="M20496">
        <v>1</v>
      </c>
      <c r="N20496">
        <v>2.2695699999999998E-22</v>
      </c>
      <c r="O20496">
        <v>259</v>
      </c>
    </row>
    <row r="20497" spans="1:15" x14ac:dyDescent="0.25">
      <c r="A20497" t="s">
        <v>20510</v>
      </c>
      <c r="B20497">
        <v>484</v>
      </c>
      <c r="C20497" s="1" t="str">
        <f>HYPERLINK("http://www.rosaceae.org/gb/gbrowse/malus_x_domestica/?name=MDP0000286554","MDP0000286554")</f>
        <v>MDP0000286554</v>
      </c>
      <c r="D20497">
        <v>80.510000000000005</v>
      </c>
      <c r="E20497">
        <v>431</v>
      </c>
      <c r="F20497">
        <v>84</v>
      </c>
      <c r="G20497">
        <v>3</v>
      </c>
      <c r="H20497">
        <v>57</v>
      </c>
      <c r="I20497">
        <v>484</v>
      </c>
      <c r="J20497">
        <v>1</v>
      </c>
      <c r="K20497">
        <v>175</v>
      </c>
      <c r="L20497">
        <v>605</v>
      </c>
      <c r="M20497">
        <v>1</v>
      </c>
      <c r="N20497">
        <v>0</v>
      </c>
      <c r="O20497">
        <v>1936</v>
      </c>
    </row>
    <row r="20498" spans="1:15" x14ac:dyDescent="0.25">
      <c r="A20498" t="s">
        <v>20511</v>
      </c>
      <c r="B20498">
        <v>513</v>
      </c>
      <c r="C20498" s="1" t="str">
        <f>HYPERLINK("http://www.rosaceae.org/gb/gbrowse/malus_x_domestica/?name=MDP0000862649","MDP0000862649")</f>
        <v>MDP0000862649</v>
      </c>
      <c r="D20498">
        <v>57.69</v>
      </c>
      <c r="E20498">
        <v>520</v>
      </c>
      <c r="F20498">
        <v>220</v>
      </c>
      <c r="G20498">
        <v>17</v>
      </c>
      <c r="H20498">
        <v>5</v>
      </c>
      <c r="I20498">
        <v>513</v>
      </c>
      <c r="J20498">
        <v>1</v>
      </c>
      <c r="K20498">
        <v>4</v>
      </c>
      <c r="L20498">
        <v>517</v>
      </c>
      <c r="M20498">
        <v>1</v>
      </c>
      <c r="N20498">
        <v>1.35146E-161</v>
      </c>
      <c r="O20498">
        <v>1460</v>
      </c>
    </row>
    <row r="20499" spans="1:15" x14ac:dyDescent="0.25">
      <c r="A20499" t="s">
        <v>20512</v>
      </c>
      <c r="B20499">
        <v>642</v>
      </c>
      <c r="C20499" s="1" t="str">
        <f>HYPERLINK("http://www.rosaceae.org/gb/gbrowse/malus_x_domestica/?name=MDP0000256021","MDP0000256021")</f>
        <v>MDP0000256021</v>
      </c>
      <c r="D20499">
        <v>72.62</v>
      </c>
      <c r="E20499">
        <v>537</v>
      </c>
      <c r="F20499">
        <v>147</v>
      </c>
      <c r="G20499">
        <v>5</v>
      </c>
      <c r="H20499">
        <v>111</v>
      </c>
      <c r="I20499">
        <v>642</v>
      </c>
      <c r="J20499">
        <v>1</v>
      </c>
      <c r="K20499">
        <v>39</v>
      </c>
      <c r="L20499">
        <v>575</v>
      </c>
      <c r="M20499">
        <v>1</v>
      </c>
      <c r="N20499">
        <v>0</v>
      </c>
      <c r="O20499">
        <v>2054</v>
      </c>
    </row>
    <row r="20500" spans="1:15" x14ac:dyDescent="0.25">
      <c r="A20500" t="s">
        <v>20513</v>
      </c>
      <c r="B20500">
        <v>427</v>
      </c>
      <c r="C20500" s="1" t="str">
        <f>HYPERLINK("http://www.rosaceae.org/gb/gbrowse/malus_x_domestica/?name=MDP0000242552","MDP0000242552")</f>
        <v>MDP0000242552</v>
      </c>
      <c r="D20500">
        <v>42.85</v>
      </c>
      <c r="E20500">
        <v>476</v>
      </c>
      <c r="F20500">
        <v>272</v>
      </c>
      <c r="G20500">
        <v>63</v>
      </c>
      <c r="H20500">
        <v>12</v>
      </c>
      <c r="I20500">
        <v>427</v>
      </c>
      <c r="J20500">
        <v>1</v>
      </c>
      <c r="K20500">
        <v>6</v>
      </c>
      <c r="L20500">
        <v>478</v>
      </c>
      <c r="M20500">
        <v>1</v>
      </c>
      <c r="N20500">
        <v>4.3185199999999998E-98</v>
      </c>
      <c r="O20500">
        <v>912</v>
      </c>
    </row>
    <row r="20501" spans="1:15" x14ac:dyDescent="0.25">
      <c r="A20501" t="s">
        <v>20514</v>
      </c>
      <c r="B20501">
        <v>1341</v>
      </c>
      <c r="C20501" s="1" t="str">
        <f>HYPERLINK("http://www.rosaceae.org/gb/gbrowse/malus_x_domestica/?name=MDP0000840525","MDP0000840525")</f>
        <v>MDP0000840525</v>
      </c>
      <c r="D20501">
        <v>41.1</v>
      </c>
      <c r="E20501">
        <v>236</v>
      </c>
      <c r="F20501">
        <v>139</v>
      </c>
      <c r="G20501">
        <v>25</v>
      </c>
      <c r="H20501">
        <v>1039</v>
      </c>
      <c r="I20501">
        <v>1255</v>
      </c>
      <c r="J20501">
        <v>1</v>
      </c>
      <c r="K20501">
        <v>78</v>
      </c>
      <c r="L20501">
        <v>307</v>
      </c>
      <c r="M20501">
        <v>1</v>
      </c>
      <c r="N20501">
        <v>9.0001599999999996E-38</v>
      </c>
      <c r="O20501">
        <v>396</v>
      </c>
    </row>
    <row r="20502" spans="1:15" x14ac:dyDescent="0.25">
      <c r="A20502" t="s">
        <v>20515</v>
      </c>
      <c r="B20502">
        <v>340</v>
      </c>
      <c r="C20502" s="1" t="str">
        <f>HYPERLINK("http://www.rosaceae.org/gb/gbrowse/malus_x_domestica/?name=MDP0000128950","MDP0000128950")</f>
        <v>MDP0000128950</v>
      </c>
      <c r="D20502">
        <v>46.06</v>
      </c>
      <c r="E20502">
        <v>178</v>
      </c>
      <c r="F20502">
        <v>96</v>
      </c>
      <c r="G20502">
        <v>10</v>
      </c>
      <c r="H20502">
        <v>86</v>
      </c>
      <c r="I20502">
        <v>258</v>
      </c>
      <c r="J20502">
        <v>1</v>
      </c>
      <c r="K20502">
        <v>136</v>
      </c>
      <c r="L20502">
        <v>308</v>
      </c>
      <c r="M20502">
        <v>1</v>
      </c>
      <c r="N20502">
        <v>1.2494100000000001E-31</v>
      </c>
      <c r="O20502">
        <v>337</v>
      </c>
    </row>
    <row r="20503" spans="1:15" x14ac:dyDescent="0.25">
      <c r="A20503" t="s">
        <v>20516</v>
      </c>
      <c r="B20503">
        <v>1240</v>
      </c>
      <c r="C20503" s="1" t="str">
        <f>HYPERLINK("http://www.rosaceae.org/gb/gbrowse/malus_x_domestica/?name=MDP0000315323","MDP0000315323")</f>
        <v>MDP0000315323</v>
      </c>
      <c r="D20503">
        <v>70.430000000000007</v>
      </c>
      <c r="E20503">
        <v>1228</v>
      </c>
      <c r="F20503">
        <v>363</v>
      </c>
      <c r="G20503">
        <v>36</v>
      </c>
      <c r="H20503">
        <v>36</v>
      </c>
      <c r="I20503">
        <v>1236</v>
      </c>
      <c r="J20503">
        <v>1</v>
      </c>
      <c r="K20503">
        <v>118</v>
      </c>
      <c r="L20503">
        <v>1336</v>
      </c>
      <c r="M20503">
        <v>1</v>
      </c>
      <c r="N20503">
        <v>0</v>
      </c>
      <c r="O20503">
        <v>4299</v>
      </c>
    </row>
    <row r="20504" spans="1:15" x14ac:dyDescent="0.25">
      <c r="A20504" t="s">
        <v>20517</v>
      </c>
      <c r="B20504">
        <v>790</v>
      </c>
      <c r="C20504" s="1" t="str">
        <f>HYPERLINK("http://www.rosaceae.org/gb/gbrowse/malus_x_domestica/?name=MDP0000319946","MDP0000319946")</f>
        <v>MDP0000319946</v>
      </c>
      <c r="D20504">
        <v>73.790000000000006</v>
      </c>
      <c r="E20504">
        <v>790</v>
      </c>
      <c r="F20504">
        <v>207</v>
      </c>
      <c r="G20504">
        <v>3</v>
      </c>
      <c r="H20504">
        <v>1</v>
      </c>
      <c r="I20504">
        <v>790</v>
      </c>
      <c r="J20504">
        <v>1</v>
      </c>
      <c r="K20504">
        <v>1</v>
      </c>
      <c r="L20504">
        <v>787</v>
      </c>
      <c r="M20504">
        <v>1</v>
      </c>
      <c r="N20504">
        <v>0</v>
      </c>
      <c r="O20504">
        <v>3019</v>
      </c>
    </row>
    <row r="20505" spans="1:15" x14ac:dyDescent="0.25">
      <c r="A20505" t="s">
        <v>20518</v>
      </c>
      <c r="B20505">
        <v>682</v>
      </c>
      <c r="C20505" s="1" t="str">
        <f>HYPERLINK("http://www.rosaceae.org/gb/gbrowse/malus_x_domestica/?name=MDP0000637083","MDP0000637083")</f>
        <v>MDP0000637083</v>
      </c>
      <c r="D20505">
        <v>75.06</v>
      </c>
      <c r="E20505">
        <v>361</v>
      </c>
      <c r="F20505">
        <v>90</v>
      </c>
      <c r="G20505">
        <v>6</v>
      </c>
      <c r="H20505">
        <v>21</v>
      </c>
      <c r="I20505">
        <v>380</v>
      </c>
      <c r="J20505">
        <v>1</v>
      </c>
      <c r="K20505">
        <v>1</v>
      </c>
      <c r="L20505">
        <v>356</v>
      </c>
      <c r="M20505">
        <v>1</v>
      </c>
      <c r="N20505">
        <v>7.3172999999999996E-162</v>
      </c>
      <c r="O20505">
        <v>1464</v>
      </c>
    </row>
    <row r="20506" spans="1:15" x14ac:dyDescent="0.25">
      <c r="A20506" t="s">
        <v>20519</v>
      </c>
      <c r="B20506">
        <v>629</v>
      </c>
      <c r="C20506" s="1" t="str">
        <f>HYPERLINK("http://www.rosaceae.org/gb/gbrowse/malus_x_domestica/?name=MDP0000161853","MDP0000161853")</f>
        <v>MDP0000161853</v>
      </c>
      <c r="D20506">
        <v>59.19</v>
      </c>
      <c r="E20506">
        <v>272</v>
      </c>
      <c r="F20506">
        <v>111</v>
      </c>
      <c r="G20506">
        <v>4</v>
      </c>
      <c r="H20506">
        <v>61</v>
      </c>
      <c r="I20506">
        <v>330</v>
      </c>
      <c r="J20506">
        <v>1</v>
      </c>
      <c r="K20506">
        <v>59</v>
      </c>
      <c r="L20506">
        <v>328</v>
      </c>
      <c r="M20506">
        <v>1</v>
      </c>
      <c r="N20506">
        <v>3.5393300000000001E-87</v>
      </c>
      <c r="O20506">
        <v>819</v>
      </c>
    </row>
    <row r="20507" spans="1:15" x14ac:dyDescent="0.25">
      <c r="A20507" t="s">
        <v>20520</v>
      </c>
      <c r="B20507">
        <v>614</v>
      </c>
      <c r="C20507" s="1" t="str">
        <f>HYPERLINK("http://www.rosaceae.org/gb/gbrowse/malus_x_domestica/?name=MDP0000177079","MDP0000177079")</f>
        <v>MDP0000177079</v>
      </c>
      <c r="D20507">
        <v>51.33</v>
      </c>
      <c r="E20507">
        <v>487</v>
      </c>
      <c r="F20507">
        <v>237</v>
      </c>
      <c r="G20507">
        <v>5</v>
      </c>
      <c r="H20507">
        <v>72</v>
      </c>
      <c r="I20507">
        <v>556</v>
      </c>
      <c r="J20507">
        <v>1</v>
      </c>
      <c r="K20507">
        <v>37</v>
      </c>
      <c r="L20507">
        <v>520</v>
      </c>
      <c r="M20507">
        <v>1</v>
      </c>
      <c r="N20507">
        <v>8.9560099999999997E-142</v>
      </c>
      <c r="O20507">
        <v>1290</v>
      </c>
    </row>
    <row r="20508" spans="1:15" x14ac:dyDescent="0.25">
      <c r="A20508" t="s">
        <v>20521</v>
      </c>
      <c r="B20508">
        <v>779</v>
      </c>
      <c r="C20508" s="1" t="str">
        <f>HYPERLINK("http://www.rosaceae.org/gb/gbrowse/malus_x_domestica/?name=MDP0000319412","MDP0000319412")</f>
        <v>MDP0000319412</v>
      </c>
      <c r="D20508">
        <v>78.91</v>
      </c>
      <c r="E20508">
        <v>332</v>
      </c>
      <c r="F20508">
        <v>70</v>
      </c>
      <c r="G20508">
        <v>2</v>
      </c>
      <c r="H20508">
        <v>442</v>
      </c>
      <c r="I20508">
        <v>772</v>
      </c>
      <c r="J20508">
        <v>1</v>
      </c>
      <c r="K20508">
        <v>138</v>
      </c>
      <c r="L20508">
        <v>468</v>
      </c>
      <c r="M20508">
        <v>1</v>
      </c>
      <c r="N20508">
        <v>1.1318300000000001E-157</v>
      </c>
      <c r="O20508">
        <v>1428</v>
      </c>
    </row>
    <row r="20509" spans="1:15" x14ac:dyDescent="0.25">
      <c r="A20509" t="s">
        <v>20522</v>
      </c>
      <c r="B20509">
        <v>405</v>
      </c>
      <c r="C20509" s="1" t="str">
        <f>HYPERLINK("http://www.rosaceae.org/gb/gbrowse/malus_x_domestica/?name=MDP0000256522","MDP0000256522")</f>
        <v>MDP0000256522</v>
      </c>
      <c r="D20509">
        <v>78.209999999999994</v>
      </c>
      <c r="E20509">
        <v>381</v>
      </c>
      <c r="F20509">
        <v>83</v>
      </c>
      <c r="G20509">
        <v>3</v>
      </c>
      <c r="H20509">
        <v>10</v>
      </c>
      <c r="I20509">
        <v>387</v>
      </c>
      <c r="J20509">
        <v>1</v>
      </c>
      <c r="K20509">
        <v>6</v>
      </c>
      <c r="L20509">
        <v>386</v>
      </c>
      <c r="M20509">
        <v>1</v>
      </c>
      <c r="N20509">
        <v>0</v>
      </c>
      <c r="O20509">
        <v>1643</v>
      </c>
    </row>
    <row r="20510" spans="1:15" x14ac:dyDescent="0.25">
      <c r="A20510" t="s">
        <v>20523</v>
      </c>
      <c r="B20510">
        <v>221</v>
      </c>
      <c r="C20510" s="1" t="str">
        <f>HYPERLINK("http://www.rosaceae.org/gb/gbrowse/malus_x_domestica/?name=MDP0000155544","MDP0000155544")</f>
        <v>MDP0000155544</v>
      </c>
      <c r="D20510">
        <v>59.06</v>
      </c>
      <c r="E20510">
        <v>215</v>
      </c>
      <c r="F20510">
        <v>88</v>
      </c>
      <c r="G20510">
        <v>0</v>
      </c>
      <c r="H20510">
        <v>7</v>
      </c>
      <c r="I20510">
        <v>221</v>
      </c>
      <c r="J20510">
        <v>1</v>
      </c>
      <c r="K20510">
        <v>203</v>
      </c>
      <c r="L20510">
        <v>417</v>
      </c>
      <c r="M20510">
        <v>1</v>
      </c>
      <c r="N20510">
        <v>3.8556900000000002E-62</v>
      </c>
      <c r="O20510">
        <v>598</v>
      </c>
    </row>
    <row r="20511" spans="1:15" x14ac:dyDescent="0.25">
      <c r="A20511" t="s">
        <v>20524</v>
      </c>
      <c r="B20511">
        <v>702</v>
      </c>
      <c r="C20511" s="1" t="str">
        <f>HYPERLINK("http://www.rosaceae.org/gb/gbrowse/malus_x_domestica/?name=MDP0000277093","MDP0000277093")</f>
        <v>MDP0000277093</v>
      </c>
      <c r="D20511">
        <v>74.430000000000007</v>
      </c>
      <c r="E20511">
        <v>575</v>
      </c>
      <c r="F20511">
        <v>147</v>
      </c>
      <c r="G20511">
        <v>55</v>
      </c>
      <c r="H20511">
        <v>1</v>
      </c>
      <c r="I20511">
        <v>521</v>
      </c>
      <c r="J20511">
        <v>1</v>
      </c>
      <c r="K20511">
        <v>1</v>
      </c>
      <c r="L20511">
        <v>574</v>
      </c>
      <c r="M20511">
        <v>1</v>
      </c>
      <c r="N20511">
        <v>0</v>
      </c>
      <c r="O20511">
        <v>2212</v>
      </c>
    </row>
    <row r="20512" spans="1:15" x14ac:dyDescent="0.25">
      <c r="A20512" t="s">
        <v>20525</v>
      </c>
      <c r="B20512">
        <v>194</v>
      </c>
      <c r="C20512" s="1" t="str">
        <f>HYPERLINK("http://www.rosaceae.org/gb/gbrowse/malus_x_domestica/?name=MDP0000217042","MDP0000217042")</f>
        <v>MDP0000217042</v>
      </c>
      <c r="D20512">
        <v>56.25</v>
      </c>
      <c r="E20512">
        <v>208</v>
      </c>
      <c r="F20512">
        <v>91</v>
      </c>
      <c r="G20512">
        <v>21</v>
      </c>
      <c r="H20512">
        <v>1</v>
      </c>
      <c r="I20512">
        <v>193</v>
      </c>
      <c r="J20512">
        <v>1</v>
      </c>
      <c r="K20512">
        <v>292</v>
      </c>
      <c r="L20512">
        <v>493</v>
      </c>
      <c r="M20512">
        <v>1</v>
      </c>
      <c r="N20512">
        <v>1.77756E-48</v>
      </c>
      <c r="O20512">
        <v>479</v>
      </c>
    </row>
    <row r="20513" spans="1:15" x14ac:dyDescent="0.25">
      <c r="A20513" t="s">
        <v>20526</v>
      </c>
      <c r="B20513">
        <v>410</v>
      </c>
      <c r="C20513" s="1" t="str">
        <f>HYPERLINK("http://www.rosaceae.org/gb/gbrowse/malus_x_domestica/?name=MDP0000282398","MDP0000282398")</f>
        <v>MDP0000282398</v>
      </c>
      <c r="D20513">
        <v>61.91</v>
      </c>
      <c r="E20513">
        <v>365</v>
      </c>
      <c r="F20513">
        <v>139</v>
      </c>
      <c r="G20513">
        <v>10</v>
      </c>
      <c r="H20513">
        <v>1</v>
      </c>
      <c r="I20513">
        <v>365</v>
      </c>
      <c r="J20513">
        <v>1</v>
      </c>
      <c r="K20513">
        <v>1</v>
      </c>
      <c r="L20513">
        <v>355</v>
      </c>
      <c r="M20513">
        <v>1</v>
      </c>
      <c r="N20513">
        <v>3.8608900000000003E-124</v>
      </c>
      <c r="O20513">
        <v>1136</v>
      </c>
    </row>
    <row r="20514" spans="1:15" x14ac:dyDescent="0.25">
      <c r="A20514" t="s">
        <v>20527</v>
      </c>
      <c r="B20514">
        <v>723</v>
      </c>
      <c r="C20514" s="1" t="str">
        <f>HYPERLINK("http://www.rosaceae.org/gb/gbrowse/malus_x_domestica/?name=MDP0000283169","MDP0000283169")</f>
        <v>MDP0000283169</v>
      </c>
      <c r="D20514">
        <v>68.400000000000006</v>
      </c>
      <c r="E20514">
        <v>307</v>
      </c>
      <c r="F20514">
        <v>97</v>
      </c>
      <c r="G20514">
        <v>24</v>
      </c>
      <c r="H20514">
        <v>417</v>
      </c>
      <c r="I20514">
        <v>723</v>
      </c>
      <c r="J20514">
        <v>1</v>
      </c>
      <c r="K20514">
        <v>189</v>
      </c>
      <c r="L20514">
        <v>471</v>
      </c>
      <c r="M20514">
        <v>1</v>
      </c>
      <c r="N20514">
        <v>4.2297799999999999E-114</v>
      </c>
      <c r="O20514">
        <v>1052</v>
      </c>
    </row>
    <row r="20515" spans="1:15" x14ac:dyDescent="0.25">
      <c r="A20515" t="s">
        <v>20528</v>
      </c>
      <c r="B20515">
        <v>527</v>
      </c>
      <c r="C20515" s="1" t="str">
        <f>HYPERLINK("http://www.rosaceae.org/gb/gbrowse/malus_x_domestica/?name=MDP0000124883","MDP0000124883")</f>
        <v>MDP0000124883</v>
      </c>
      <c r="D20515">
        <v>92.83</v>
      </c>
      <c r="E20515">
        <v>530</v>
      </c>
      <c r="F20515">
        <v>38</v>
      </c>
      <c r="G20515">
        <v>3</v>
      </c>
      <c r="H20515">
        <v>1</v>
      </c>
      <c r="I20515">
        <v>527</v>
      </c>
      <c r="J20515">
        <v>1</v>
      </c>
      <c r="K20515">
        <v>1</v>
      </c>
      <c r="L20515">
        <v>530</v>
      </c>
      <c r="M20515">
        <v>1</v>
      </c>
      <c r="N20515">
        <v>0</v>
      </c>
      <c r="O20515">
        <v>2635</v>
      </c>
    </row>
    <row r="20516" spans="1:15" x14ac:dyDescent="0.25">
      <c r="A20516" t="s">
        <v>20529</v>
      </c>
      <c r="B20516">
        <v>522</v>
      </c>
      <c r="C20516" s="1" t="str">
        <f>HYPERLINK("http://www.rosaceae.org/gb/gbrowse/malus_x_domestica/?name=MDP0000311922","MDP0000311922")</f>
        <v>MDP0000311922</v>
      </c>
      <c r="D20516">
        <v>74.8</v>
      </c>
      <c r="E20516">
        <v>520</v>
      </c>
      <c r="F20516">
        <v>131</v>
      </c>
      <c r="G20516">
        <v>5</v>
      </c>
      <c r="H20516">
        <v>4</v>
      </c>
      <c r="I20516">
        <v>520</v>
      </c>
      <c r="J20516">
        <v>1</v>
      </c>
      <c r="K20516">
        <v>1</v>
      </c>
      <c r="L20516">
        <v>518</v>
      </c>
      <c r="M20516">
        <v>1</v>
      </c>
      <c r="N20516">
        <v>0</v>
      </c>
      <c r="O20516">
        <v>2108</v>
      </c>
    </row>
    <row r="20517" spans="1:15" x14ac:dyDescent="0.25">
      <c r="A20517" t="s">
        <v>20530</v>
      </c>
      <c r="B20517">
        <v>171</v>
      </c>
      <c r="C20517" s="1" t="str">
        <f>HYPERLINK("http://www.rosaceae.org/gb/gbrowse/malus_x_domestica/?name=MDP0000129019","MDP0000129019")</f>
        <v>MDP0000129019</v>
      </c>
      <c r="D20517">
        <v>59.52</v>
      </c>
      <c r="E20517">
        <v>42</v>
      </c>
      <c r="F20517">
        <v>17</v>
      </c>
      <c r="G20517">
        <v>6</v>
      </c>
      <c r="H20517">
        <v>126</v>
      </c>
      <c r="I20517">
        <v>161</v>
      </c>
      <c r="J20517">
        <v>1</v>
      </c>
      <c r="K20517">
        <v>48</v>
      </c>
      <c r="L20517">
        <v>89</v>
      </c>
      <c r="M20517">
        <v>1</v>
      </c>
      <c r="N20517">
        <v>1.6042999999999999E-7</v>
      </c>
      <c r="O20517">
        <v>125</v>
      </c>
    </row>
    <row r="20518" spans="1:15" x14ac:dyDescent="0.25">
      <c r="A20518" t="s">
        <v>20531</v>
      </c>
      <c r="B20518">
        <v>352</v>
      </c>
      <c r="C20518" s="1" t="str">
        <f>HYPERLINK("http://www.rosaceae.org/gb/gbrowse/malus_x_domestica/?name=MDP0000220312","MDP0000220312")</f>
        <v>MDP0000220312</v>
      </c>
      <c r="D20518">
        <v>69.8</v>
      </c>
      <c r="E20518">
        <v>361</v>
      </c>
      <c r="F20518">
        <v>109</v>
      </c>
      <c r="G20518">
        <v>32</v>
      </c>
      <c r="H20518">
        <v>1</v>
      </c>
      <c r="I20518">
        <v>352</v>
      </c>
      <c r="J20518">
        <v>1</v>
      </c>
      <c r="K20518">
        <v>8</v>
      </c>
      <c r="L20518">
        <v>345</v>
      </c>
      <c r="M20518">
        <v>1</v>
      </c>
      <c r="N20518">
        <v>4.9579500000000001E-139</v>
      </c>
      <c r="O20518">
        <v>1264</v>
      </c>
    </row>
    <row r="20519" spans="1:15" x14ac:dyDescent="0.25">
      <c r="A20519" t="s">
        <v>20532</v>
      </c>
      <c r="B20519">
        <v>98</v>
      </c>
      <c r="C20519" s="1" t="str">
        <f>HYPERLINK("http://www.rosaceae.org/gb/gbrowse/malus_x_domestica/?name=MDP0000505897","MDP0000505897")</f>
        <v>MDP0000505897</v>
      </c>
      <c r="D20519">
        <v>58.9</v>
      </c>
      <c r="E20519">
        <v>73</v>
      </c>
      <c r="F20519">
        <v>30</v>
      </c>
      <c r="G20519">
        <v>0</v>
      </c>
      <c r="H20519">
        <v>14</v>
      </c>
      <c r="I20519">
        <v>86</v>
      </c>
      <c r="J20519">
        <v>1</v>
      </c>
      <c r="K20519">
        <v>57</v>
      </c>
      <c r="L20519">
        <v>129</v>
      </c>
      <c r="M20519">
        <v>1</v>
      </c>
      <c r="N20519">
        <v>2.10043E-20</v>
      </c>
      <c r="O20519">
        <v>233</v>
      </c>
    </row>
    <row r="20520" spans="1:15" x14ac:dyDescent="0.25">
      <c r="A20520" t="s">
        <v>20533</v>
      </c>
      <c r="B20520">
        <v>378</v>
      </c>
      <c r="C20520" s="1" t="str">
        <f>HYPERLINK("http://www.rosaceae.org/gb/gbrowse/malus_x_domestica/?name=MDP0000292319","MDP0000292319")</f>
        <v>MDP0000292319</v>
      </c>
      <c r="D20520">
        <v>57.14</v>
      </c>
      <c r="E20520">
        <v>357</v>
      </c>
      <c r="F20520">
        <v>153</v>
      </c>
      <c r="G20520">
        <v>29</v>
      </c>
      <c r="H20520">
        <v>1</v>
      </c>
      <c r="I20520">
        <v>337</v>
      </c>
      <c r="J20520">
        <v>1</v>
      </c>
      <c r="K20520">
        <v>1</v>
      </c>
      <c r="L20520">
        <v>348</v>
      </c>
      <c r="M20520">
        <v>1</v>
      </c>
      <c r="N20520">
        <v>2.9378199999999999E-104</v>
      </c>
      <c r="O20520">
        <v>964</v>
      </c>
    </row>
    <row r="20521" spans="1:15" x14ac:dyDescent="0.25">
      <c r="A20521" t="s">
        <v>20534</v>
      </c>
      <c r="B20521">
        <v>282</v>
      </c>
      <c r="C20521" s="1" t="str">
        <f>HYPERLINK("http://www.rosaceae.org/gb/gbrowse/malus_x_domestica/?name=MDP0000153037","MDP0000153037")</f>
        <v>MDP0000153037</v>
      </c>
      <c r="D20521">
        <v>90.19</v>
      </c>
      <c r="E20521">
        <v>204</v>
      </c>
      <c r="F20521">
        <v>20</v>
      </c>
      <c r="G20521">
        <v>0</v>
      </c>
      <c r="H20521">
        <v>76</v>
      </c>
      <c r="I20521">
        <v>279</v>
      </c>
      <c r="J20521">
        <v>1</v>
      </c>
      <c r="K20521">
        <v>89</v>
      </c>
      <c r="L20521">
        <v>292</v>
      </c>
      <c r="M20521">
        <v>1</v>
      </c>
      <c r="N20521">
        <v>3.81278E-109</v>
      </c>
      <c r="O20521">
        <v>1005</v>
      </c>
    </row>
    <row r="20522" spans="1:15" x14ac:dyDescent="0.25">
      <c r="A20522" t="s">
        <v>20535</v>
      </c>
      <c r="B20522">
        <v>760</v>
      </c>
      <c r="C20522" s="1" t="str">
        <f>HYPERLINK("http://www.rosaceae.org/gb/gbrowse/malus_x_domestica/?name=MDP0000532061","MDP0000532061")</f>
        <v>MDP0000532061</v>
      </c>
      <c r="D20522">
        <v>77.98</v>
      </c>
      <c r="E20522">
        <v>654</v>
      </c>
      <c r="F20522">
        <v>144</v>
      </c>
      <c r="G20522">
        <v>7</v>
      </c>
      <c r="H20522">
        <v>1</v>
      </c>
      <c r="I20522">
        <v>647</v>
      </c>
      <c r="J20522">
        <v>1</v>
      </c>
      <c r="K20522">
        <v>1</v>
      </c>
      <c r="L20522">
        <v>654</v>
      </c>
      <c r="M20522">
        <v>1</v>
      </c>
      <c r="N20522">
        <v>0</v>
      </c>
      <c r="O20522">
        <v>2570</v>
      </c>
    </row>
    <row r="20523" spans="1:15" x14ac:dyDescent="0.25">
      <c r="A20523" t="s">
        <v>20536</v>
      </c>
      <c r="B20523">
        <v>760</v>
      </c>
      <c r="C20523" s="1" t="str">
        <f>HYPERLINK("http://www.rosaceae.org/gb/gbrowse/malus_x_domestica/?name=MDP0000220135","MDP0000220135")</f>
        <v>MDP0000220135</v>
      </c>
      <c r="D20523">
        <v>36.270000000000003</v>
      </c>
      <c r="E20523">
        <v>215</v>
      </c>
      <c r="F20523">
        <v>137</v>
      </c>
      <c r="G20523">
        <v>3</v>
      </c>
      <c r="H20523">
        <v>470</v>
      </c>
      <c r="I20523">
        <v>684</v>
      </c>
      <c r="J20523">
        <v>1</v>
      </c>
      <c r="K20523">
        <v>107</v>
      </c>
      <c r="L20523">
        <v>318</v>
      </c>
      <c r="M20523">
        <v>1</v>
      </c>
      <c r="N20523">
        <v>6.4651599999999998E-33</v>
      </c>
      <c r="O20523">
        <v>352</v>
      </c>
    </row>
    <row r="20524" spans="1:15" x14ac:dyDescent="0.25">
      <c r="A20524" t="s">
        <v>20537</v>
      </c>
      <c r="B20524">
        <v>205</v>
      </c>
      <c r="C20524" s="1" t="str">
        <f>HYPERLINK("http://www.rosaceae.org/gb/gbrowse/malus_x_domestica/?name=MDP0000210287","MDP0000210287")</f>
        <v>MDP0000210287</v>
      </c>
      <c r="D20524">
        <v>56.6</v>
      </c>
      <c r="E20524">
        <v>53</v>
      </c>
      <c r="F20524">
        <v>23</v>
      </c>
      <c r="G20524">
        <v>6</v>
      </c>
      <c r="H20524">
        <v>16</v>
      </c>
      <c r="I20524">
        <v>68</v>
      </c>
      <c r="J20524">
        <v>1</v>
      </c>
      <c r="K20524">
        <v>32</v>
      </c>
      <c r="L20524">
        <v>78</v>
      </c>
      <c r="M20524">
        <v>1</v>
      </c>
      <c r="N20524">
        <v>3.3456000000000001E-9</v>
      </c>
      <c r="O20524">
        <v>141</v>
      </c>
    </row>
    <row r="20525" spans="1:15" x14ac:dyDescent="0.25">
      <c r="A20525" t="s">
        <v>20538</v>
      </c>
      <c r="B20525">
        <v>83</v>
      </c>
      <c r="C20525" s="1" t="str">
        <f>HYPERLINK("http://www.rosaceae.org/gb/gbrowse/malus_x_domestica/?name=MDP0000432072","MDP0000432072")</f>
        <v>MDP0000432072</v>
      </c>
      <c r="D20525">
        <v>79.59</v>
      </c>
      <c r="E20525">
        <v>49</v>
      </c>
      <c r="F20525">
        <v>10</v>
      </c>
      <c r="G20525">
        <v>0</v>
      </c>
      <c r="H20525">
        <v>34</v>
      </c>
      <c r="I20525">
        <v>82</v>
      </c>
      <c r="J20525">
        <v>1</v>
      </c>
      <c r="K20525">
        <v>349</v>
      </c>
      <c r="L20525">
        <v>397</v>
      </c>
      <c r="M20525">
        <v>1</v>
      </c>
      <c r="N20525">
        <v>2.91701E-19</v>
      </c>
      <c r="O20525">
        <v>224</v>
      </c>
    </row>
    <row r="20526" spans="1:15" x14ac:dyDescent="0.25">
      <c r="A20526" t="s">
        <v>20539</v>
      </c>
      <c r="B20526">
        <v>271</v>
      </c>
      <c r="C20526" s="1" t="str">
        <f>HYPERLINK("http://www.rosaceae.org/gb/gbrowse/malus_x_domestica/?name=MDP0000281609","MDP0000281609")</f>
        <v>MDP0000281609</v>
      </c>
      <c r="D20526">
        <v>80.37</v>
      </c>
      <c r="E20526">
        <v>270</v>
      </c>
      <c r="F20526">
        <v>53</v>
      </c>
      <c r="G20526">
        <v>0</v>
      </c>
      <c r="H20526">
        <v>1</v>
      </c>
      <c r="I20526">
        <v>270</v>
      </c>
      <c r="J20526">
        <v>1</v>
      </c>
      <c r="K20526">
        <v>1</v>
      </c>
      <c r="L20526">
        <v>270</v>
      </c>
      <c r="M20526">
        <v>1</v>
      </c>
      <c r="N20526">
        <v>4.1430400000000003E-123</v>
      </c>
      <c r="O20526">
        <v>1125</v>
      </c>
    </row>
    <row r="20527" spans="1:15" x14ac:dyDescent="0.25">
      <c r="A20527" t="s">
        <v>20540</v>
      </c>
      <c r="B20527">
        <v>473</v>
      </c>
      <c r="C20527" s="1" t="str">
        <f>HYPERLINK("http://www.rosaceae.org/gb/gbrowse/malus_x_domestica/?name=MDP0000128803","MDP0000128803")</f>
        <v>MDP0000128803</v>
      </c>
      <c r="D20527">
        <v>75.400000000000006</v>
      </c>
      <c r="E20527">
        <v>427</v>
      </c>
      <c r="F20527">
        <v>105</v>
      </c>
      <c r="G20527">
        <v>7</v>
      </c>
      <c r="H20527">
        <v>53</v>
      </c>
      <c r="I20527">
        <v>473</v>
      </c>
      <c r="J20527">
        <v>1</v>
      </c>
      <c r="K20527">
        <v>1</v>
      </c>
      <c r="L20527">
        <v>426</v>
      </c>
      <c r="M20527">
        <v>1</v>
      </c>
      <c r="N20527">
        <v>1.7762999999999999E-177</v>
      </c>
      <c r="O20527">
        <v>1597</v>
      </c>
    </row>
    <row r="20528" spans="1:15" x14ac:dyDescent="0.25">
      <c r="A20528" t="s">
        <v>20541</v>
      </c>
      <c r="B20528">
        <v>210</v>
      </c>
      <c r="C20528" s="1" t="str">
        <f>HYPERLINK("http://www.rosaceae.org/gb/gbrowse/malus_x_domestica/?name=MDP0000302546","MDP0000302546")</f>
        <v>MDP0000302546</v>
      </c>
      <c r="D20528">
        <v>37.76</v>
      </c>
      <c r="E20528">
        <v>143</v>
      </c>
      <c r="F20528">
        <v>89</v>
      </c>
      <c r="G20528">
        <v>6</v>
      </c>
      <c r="H20528">
        <v>3</v>
      </c>
      <c r="I20528">
        <v>139</v>
      </c>
      <c r="J20528">
        <v>1</v>
      </c>
      <c r="K20528">
        <v>337</v>
      </c>
      <c r="L20528">
        <v>479</v>
      </c>
      <c r="M20528">
        <v>1</v>
      </c>
      <c r="N20528">
        <v>7.3385599999999998E-20</v>
      </c>
      <c r="O20528">
        <v>233</v>
      </c>
    </row>
    <row r="20529" spans="1:15" x14ac:dyDescent="0.25">
      <c r="A20529" t="s">
        <v>20542</v>
      </c>
      <c r="B20529">
        <v>241</v>
      </c>
      <c r="C20529" s="1" t="str">
        <f>HYPERLINK("http://www.rosaceae.org/gb/gbrowse/malus_x_domestica/?name=MDP0000141181","MDP0000141181")</f>
        <v>MDP0000141181</v>
      </c>
      <c r="D20529">
        <v>89.37</v>
      </c>
      <c r="E20529">
        <v>207</v>
      </c>
      <c r="F20529">
        <v>22</v>
      </c>
      <c r="G20529">
        <v>2</v>
      </c>
      <c r="H20529">
        <v>37</v>
      </c>
      <c r="I20529">
        <v>241</v>
      </c>
      <c r="J20529">
        <v>1</v>
      </c>
      <c r="K20529">
        <v>1</v>
      </c>
      <c r="L20529">
        <v>207</v>
      </c>
      <c r="M20529">
        <v>1</v>
      </c>
      <c r="N20529">
        <v>2.9289100000000003E-107</v>
      </c>
      <c r="O20529">
        <v>988</v>
      </c>
    </row>
    <row r="20530" spans="1:15" x14ac:dyDescent="0.25">
      <c r="A20530" t="s">
        <v>20543</v>
      </c>
      <c r="B20530">
        <v>257</v>
      </c>
      <c r="C20530" s="1" t="str">
        <f>HYPERLINK("http://www.rosaceae.org/gb/gbrowse/malus_x_domestica/?name=MDP0000527707","MDP0000527707")</f>
        <v>MDP0000527707</v>
      </c>
      <c r="D20530">
        <v>36.19</v>
      </c>
      <c r="E20530">
        <v>210</v>
      </c>
      <c r="F20530">
        <v>134</v>
      </c>
      <c r="G20530">
        <v>28</v>
      </c>
      <c r="H20530">
        <v>1</v>
      </c>
      <c r="I20530">
        <v>193</v>
      </c>
      <c r="J20530">
        <v>1</v>
      </c>
      <c r="K20530">
        <v>2</v>
      </c>
      <c r="L20530">
        <v>200</v>
      </c>
      <c r="M20530">
        <v>1</v>
      </c>
      <c r="N20530">
        <v>5.0767499999999997E-22</v>
      </c>
      <c r="O20530">
        <v>253</v>
      </c>
    </row>
    <row r="20531" spans="1:15" x14ac:dyDescent="0.25">
      <c r="A20531" t="s">
        <v>20544</v>
      </c>
      <c r="B20531">
        <v>558</v>
      </c>
      <c r="C20531" s="1" t="str">
        <f>HYPERLINK("http://www.rosaceae.org/gb/gbrowse/malus_x_domestica/?name=MDP0000537655","MDP0000537655")</f>
        <v>MDP0000537655</v>
      </c>
      <c r="D20531">
        <v>37.44</v>
      </c>
      <c r="E20531">
        <v>438</v>
      </c>
      <c r="F20531">
        <v>274</v>
      </c>
      <c r="G20531">
        <v>82</v>
      </c>
      <c r="H20531">
        <v>150</v>
      </c>
      <c r="I20531">
        <v>558</v>
      </c>
      <c r="J20531">
        <v>1</v>
      </c>
      <c r="K20531">
        <v>167</v>
      </c>
      <c r="L20531">
        <v>551</v>
      </c>
      <c r="M20531">
        <v>1</v>
      </c>
      <c r="N20531">
        <v>2.2451199999999999E-48</v>
      </c>
      <c r="O20531">
        <v>484</v>
      </c>
    </row>
    <row r="20532" spans="1:15" x14ac:dyDescent="0.25">
      <c r="A20532" t="s">
        <v>20545</v>
      </c>
      <c r="B20532">
        <v>191</v>
      </c>
      <c r="C20532" s="1" t="str">
        <f>HYPERLINK("http://www.rosaceae.org/gb/gbrowse/malus_x_domestica/?name=MDP0000312146","MDP0000312146")</f>
        <v>MDP0000312146</v>
      </c>
      <c r="D20532">
        <v>30.28</v>
      </c>
      <c r="E20532">
        <v>142</v>
      </c>
      <c r="F20532">
        <v>99</v>
      </c>
      <c r="G20532">
        <v>10</v>
      </c>
      <c r="H20532">
        <v>29</v>
      </c>
      <c r="I20532">
        <v>161</v>
      </c>
      <c r="J20532">
        <v>1</v>
      </c>
      <c r="K20532">
        <v>142</v>
      </c>
      <c r="L20532">
        <v>282</v>
      </c>
      <c r="M20532">
        <v>1</v>
      </c>
      <c r="N20532">
        <v>2.42738E-15</v>
      </c>
      <c r="O20532">
        <v>194</v>
      </c>
    </row>
    <row r="20533" spans="1:15" x14ac:dyDescent="0.25">
      <c r="A20533" t="s">
        <v>20546</v>
      </c>
      <c r="B20533">
        <v>539</v>
      </c>
      <c r="C20533" s="1" t="str">
        <f>HYPERLINK("http://www.rosaceae.org/gb/gbrowse/malus_x_domestica/?name=MDP0000313956","MDP0000313956")</f>
        <v>MDP0000313956</v>
      </c>
      <c r="D20533">
        <v>67.73</v>
      </c>
      <c r="E20533">
        <v>595</v>
      </c>
      <c r="F20533">
        <v>192</v>
      </c>
      <c r="G20533">
        <v>107</v>
      </c>
      <c r="H20533">
        <v>1</v>
      </c>
      <c r="I20533">
        <v>539</v>
      </c>
      <c r="J20533">
        <v>1</v>
      </c>
      <c r="K20533">
        <v>1</v>
      </c>
      <c r="L20533">
        <v>544</v>
      </c>
      <c r="M20533">
        <v>1</v>
      </c>
      <c r="N20533">
        <v>0</v>
      </c>
      <c r="O20533">
        <v>1961</v>
      </c>
    </row>
    <row r="20534" spans="1:15" x14ac:dyDescent="0.25">
      <c r="A20534" t="s">
        <v>20547</v>
      </c>
      <c r="B20534">
        <v>425</v>
      </c>
      <c r="C20534" s="1" t="str">
        <f>HYPERLINK("http://www.rosaceae.org/gb/gbrowse/malus_x_domestica/?name=MDP0000315450","MDP0000315450")</f>
        <v>MDP0000315450</v>
      </c>
      <c r="D20534">
        <v>62.75</v>
      </c>
      <c r="E20534">
        <v>247</v>
      </c>
      <c r="F20534">
        <v>92</v>
      </c>
      <c r="G20534">
        <v>16</v>
      </c>
      <c r="H20534">
        <v>44</v>
      </c>
      <c r="I20534">
        <v>286</v>
      </c>
      <c r="J20534">
        <v>1</v>
      </c>
      <c r="K20534">
        <v>306</v>
      </c>
      <c r="L20534">
        <v>540</v>
      </c>
      <c r="M20534">
        <v>1</v>
      </c>
      <c r="N20534">
        <v>9.4516899999999995E-80</v>
      </c>
      <c r="O20534">
        <v>753</v>
      </c>
    </row>
    <row r="20535" spans="1:15" x14ac:dyDescent="0.25">
      <c r="A20535" t="s">
        <v>20548</v>
      </c>
      <c r="B20535">
        <v>150</v>
      </c>
      <c r="C20535" s="1" t="str">
        <f>HYPERLINK("http://www.rosaceae.org/gb/gbrowse/malus_x_domestica/?name=MDP0000261421","MDP0000261421")</f>
        <v>MDP0000261421</v>
      </c>
      <c r="D20535">
        <v>47.15</v>
      </c>
      <c r="E20535">
        <v>123</v>
      </c>
      <c r="F20535">
        <v>65</v>
      </c>
      <c r="G20535">
        <v>31</v>
      </c>
      <c r="H20535">
        <v>59</v>
      </c>
      <c r="I20535">
        <v>150</v>
      </c>
      <c r="J20535">
        <v>1</v>
      </c>
      <c r="K20535">
        <v>797</v>
      </c>
      <c r="L20535">
        <v>919</v>
      </c>
      <c r="M20535">
        <v>1</v>
      </c>
      <c r="N20535">
        <v>5.3460800000000001E-24</v>
      </c>
      <c r="O20535">
        <v>266</v>
      </c>
    </row>
    <row r="20536" spans="1:15" x14ac:dyDescent="0.25">
      <c r="A20536" t="s">
        <v>20549</v>
      </c>
      <c r="B20536">
        <v>572</v>
      </c>
      <c r="C20536" s="1" t="str">
        <f>HYPERLINK("http://www.rosaceae.org/gb/gbrowse/malus_x_domestica/?name=MDP0000252347","MDP0000252347")</f>
        <v>MDP0000252347</v>
      </c>
      <c r="D20536">
        <v>51.36</v>
      </c>
      <c r="E20536">
        <v>403</v>
      </c>
      <c r="F20536">
        <v>196</v>
      </c>
      <c r="G20536">
        <v>28</v>
      </c>
      <c r="H20536">
        <v>1</v>
      </c>
      <c r="I20536">
        <v>398</v>
      </c>
      <c r="J20536">
        <v>1</v>
      </c>
      <c r="K20536">
        <v>1</v>
      </c>
      <c r="L20536">
        <v>380</v>
      </c>
      <c r="M20536">
        <v>1</v>
      </c>
      <c r="N20536">
        <v>1.2964399999999999E-91</v>
      </c>
      <c r="O20536">
        <v>857</v>
      </c>
    </row>
    <row r="20537" spans="1:15" x14ac:dyDescent="0.25">
      <c r="A20537" t="s">
        <v>20550</v>
      </c>
      <c r="B20537">
        <v>656</v>
      </c>
      <c r="C20537" s="1" t="str">
        <f>HYPERLINK("http://www.rosaceae.org/gb/gbrowse/malus_x_domestica/?name=MDP0000291386","MDP0000291386")</f>
        <v>MDP0000291386</v>
      </c>
      <c r="D20537">
        <v>32.39</v>
      </c>
      <c r="E20537">
        <v>568</v>
      </c>
      <c r="F20537">
        <v>384</v>
      </c>
      <c r="G20537">
        <v>94</v>
      </c>
      <c r="H20537">
        <v>42</v>
      </c>
      <c r="I20537">
        <v>541</v>
      </c>
      <c r="J20537">
        <v>1</v>
      </c>
      <c r="K20537">
        <v>225</v>
      </c>
      <c r="L20537">
        <v>766</v>
      </c>
      <c r="M20537">
        <v>1</v>
      </c>
      <c r="N20537">
        <v>1.8018399999999998E-58</v>
      </c>
      <c r="O20537">
        <v>572</v>
      </c>
    </row>
    <row r="20538" spans="1:15" x14ac:dyDescent="0.25">
      <c r="A20538" t="s">
        <v>20551</v>
      </c>
      <c r="B20538">
        <v>267</v>
      </c>
      <c r="C20538" s="1" t="str">
        <f>HYPERLINK("http://www.rosaceae.org/gb/gbrowse/malus_x_domestica/?name=MDP0000289460","MDP0000289460")</f>
        <v>MDP0000289460</v>
      </c>
      <c r="D20538">
        <v>76.03</v>
      </c>
      <c r="E20538">
        <v>313</v>
      </c>
      <c r="F20538">
        <v>75</v>
      </c>
      <c r="G20538">
        <v>46</v>
      </c>
      <c r="H20538">
        <v>1</v>
      </c>
      <c r="I20538">
        <v>267</v>
      </c>
      <c r="J20538">
        <v>1</v>
      </c>
      <c r="K20538">
        <v>1</v>
      </c>
      <c r="L20538">
        <v>313</v>
      </c>
      <c r="M20538">
        <v>1</v>
      </c>
      <c r="N20538">
        <v>5.1403799999999996E-131</v>
      </c>
      <c r="O20538">
        <v>1193</v>
      </c>
    </row>
    <row r="20539" spans="1:15" x14ac:dyDescent="0.25">
      <c r="A20539" t="s">
        <v>20552</v>
      </c>
      <c r="B20539">
        <v>238</v>
      </c>
      <c r="C20539" s="1" t="str">
        <f>HYPERLINK("http://www.rosaceae.org/gb/gbrowse/malus_x_domestica/?name=MDP0000250644","MDP0000250644")</f>
        <v>MDP0000250644</v>
      </c>
      <c r="D20539">
        <v>34.75</v>
      </c>
      <c r="E20539">
        <v>187</v>
      </c>
      <c r="F20539">
        <v>122</v>
      </c>
      <c r="G20539">
        <v>3</v>
      </c>
      <c r="H20539">
        <v>29</v>
      </c>
      <c r="I20539">
        <v>214</v>
      </c>
      <c r="J20539">
        <v>1</v>
      </c>
      <c r="K20539">
        <v>127</v>
      </c>
      <c r="L20539">
        <v>311</v>
      </c>
      <c r="M20539">
        <v>1</v>
      </c>
      <c r="N20539">
        <v>8.4786600000000001E-30</v>
      </c>
      <c r="O20539">
        <v>320</v>
      </c>
    </row>
    <row r="20540" spans="1:15" x14ac:dyDescent="0.25">
      <c r="A20540" t="s">
        <v>20553</v>
      </c>
      <c r="B20540">
        <v>545</v>
      </c>
      <c r="C20540" s="1" t="str">
        <f>HYPERLINK("http://www.rosaceae.org/gb/gbrowse/malus_x_domestica/?name=MDP0000545581","MDP0000545581")</f>
        <v>MDP0000545581</v>
      </c>
      <c r="D20540">
        <v>80.2</v>
      </c>
      <c r="E20540">
        <v>480</v>
      </c>
      <c r="F20540">
        <v>95</v>
      </c>
      <c r="G20540">
        <v>7</v>
      </c>
      <c r="H20540">
        <v>1</v>
      </c>
      <c r="I20540">
        <v>478</v>
      </c>
      <c r="J20540">
        <v>1</v>
      </c>
      <c r="K20540">
        <v>1</v>
      </c>
      <c r="L20540">
        <v>475</v>
      </c>
      <c r="M20540">
        <v>1</v>
      </c>
      <c r="N20540">
        <v>0</v>
      </c>
      <c r="O20540">
        <v>2050</v>
      </c>
    </row>
    <row r="20541" spans="1:15" x14ac:dyDescent="0.25">
      <c r="A20541" t="s">
        <v>20554</v>
      </c>
      <c r="B20541">
        <v>180</v>
      </c>
      <c r="C20541" s="1" t="str">
        <f>HYPERLINK("http://www.rosaceae.org/gb/gbrowse/malus_x_domestica/?name=MDP0000148886","MDP0000148886")</f>
        <v>MDP0000148886</v>
      </c>
      <c r="D20541">
        <v>61.63</v>
      </c>
      <c r="E20541">
        <v>159</v>
      </c>
      <c r="F20541">
        <v>61</v>
      </c>
      <c r="G20541">
        <v>1</v>
      </c>
      <c r="H20541">
        <v>1</v>
      </c>
      <c r="I20541">
        <v>158</v>
      </c>
      <c r="J20541">
        <v>1</v>
      </c>
      <c r="K20541">
        <v>110</v>
      </c>
      <c r="L20541">
        <v>268</v>
      </c>
      <c r="M20541">
        <v>1</v>
      </c>
      <c r="N20541">
        <v>3.8069100000000002E-40</v>
      </c>
      <c r="O20541">
        <v>407</v>
      </c>
    </row>
    <row r="20542" spans="1:15" x14ac:dyDescent="0.25">
      <c r="A20542" t="s">
        <v>20555</v>
      </c>
      <c r="B20542">
        <v>787</v>
      </c>
      <c r="C20542" s="1" t="str">
        <f>HYPERLINK("http://www.rosaceae.org/gb/gbrowse/malus_x_domestica/?name=MDP0000293098","MDP0000293098")</f>
        <v>MDP0000293098</v>
      </c>
      <c r="D20542">
        <v>51.24</v>
      </c>
      <c r="E20542">
        <v>724</v>
      </c>
      <c r="F20542">
        <v>353</v>
      </c>
      <c r="G20542">
        <v>70</v>
      </c>
      <c r="H20542">
        <v>1</v>
      </c>
      <c r="I20542">
        <v>675</v>
      </c>
      <c r="J20542">
        <v>1</v>
      </c>
      <c r="K20542">
        <v>1</v>
      </c>
      <c r="L20542">
        <v>703</v>
      </c>
      <c r="M20542">
        <v>1</v>
      </c>
      <c r="N20542">
        <v>0</v>
      </c>
      <c r="O20542">
        <v>1656</v>
      </c>
    </row>
    <row r="20543" spans="1:15" x14ac:dyDescent="0.25">
      <c r="A20543" t="s">
        <v>20556</v>
      </c>
      <c r="B20543">
        <v>164</v>
      </c>
      <c r="C20543" s="1" t="str">
        <f>HYPERLINK("http://www.rosaceae.org/gb/gbrowse/malus_x_domestica/?name=MDP0000120878","MDP0000120878")</f>
        <v>MDP0000120878</v>
      </c>
      <c r="D20543">
        <v>47.61</v>
      </c>
      <c r="E20543">
        <v>63</v>
      </c>
      <c r="F20543">
        <v>33</v>
      </c>
      <c r="G20543">
        <v>2</v>
      </c>
      <c r="H20543">
        <v>56</v>
      </c>
      <c r="I20543">
        <v>118</v>
      </c>
      <c r="J20543">
        <v>1</v>
      </c>
      <c r="K20543">
        <v>28</v>
      </c>
      <c r="L20543">
        <v>88</v>
      </c>
      <c r="M20543">
        <v>1</v>
      </c>
      <c r="N20543">
        <v>1.08587E-8</v>
      </c>
      <c r="O20543">
        <v>135</v>
      </c>
    </row>
    <row r="20544" spans="1:15" x14ac:dyDescent="0.25">
      <c r="A20544" t="s">
        <v>20557</v>
      </c>
      <c r="B20544">
        <v>203</v>
      </c>
      <c r="C20544" s="1" t="str">
        <f>HYPERLINK("http://www.rosaceae.org/gb/gbrowse/malus_x_domestica/?name=MDP0000829416","MDP0000829416")</f>
        <v>MDP0000829416</v>
      </c>
      <c r="D20544">
        <v>86.69</v>
      </c>
      <c r="E20544">
        <v>203</v>
      </c>
      <c r="F20544">
        <v>27</v>
      </c>
      <c r="G20544">
        <v>0</v>
      </c>
      <c r="H20544">
        <v>1</v>
      </c>
      <c r="I20544">
        <v>203</v>
      </c>
      <c r="J20544">
        <v>1</v>
      </c>
      <c r="K20544">
        <v>1</v>
      </c>
      <c r="L20544">
        <v>203</v>
      </c>
      <c r="M20544">
        <v>1</v>
      </c>
      <c r="N20544">
        <v>1.6470999999999999E-102</v>
      </c>
      <c r="O20544">
        <v>946</v>
      </c>
    </row>
    <row r="20545" spans="1:15" x14ac:dyDescent="0.25">
      <c r="A20545" t="s">
        <v>20558</v>
      </c>
      <c r="B20545">
        <v>155</v>
      </c>
      <c r="C20545" s="1" t="str">
        <f>HYPERLINK("http://www.rosaceae.org/gb/gbrowse/malus_x_domestica/?name=MDP0000139803","MDP0000139803")</f>
        <v>MDP0000139803</v>
      </c>
      <c r="D20545">
        <v>64.58</v>
      </c>
      <c r="E20545">
        <v>48</v>
      </c>
      <c r="F20545">
        <v>17</v>
      </c>
      <c r="G20545">
        <v>0</v>
      </c>
      <c r="H20545">
        <v>105</v>
      </c>
      <c r="I20545">
        <v>152</v>
      </c>
      <c r="J20545">
        <v>1</v>
      </c>
      <c r="K20545">
        <v>14</v>
      </c>
      <c r="L20545">
        <v>61</v>
      </c>
      <c r="M20545">
        <v>1</v>
      </c>
      <c r="N20545">
        <v>3.6803900000000002E-12</v>
      </c>
      <c r="O20545">
        <v>164</v>
      </c>
    </row>
    <row r="20546" spans="1:15" x14ac:dyDescent="0.25">
      <c r="A20546" t="s">
        <v>20559</v>
      </c>
      <c r="B20546">
        <v>377</v>
      </c>
      <c r="C20546" s="1" t="str">
        <f>HYPERLINK("http://www.rosaceae.org/gb/gbrowse/malus_x_domestica/?name=MDP0000250216","MDP0000250216")</f>
        <v>MDP0000250216</v>
      </c>
      <c r="D20546">
        <v>46.68</v>
      </c>
      <c r="E20546">
        <v>407</v>
      </c>
      <c r="F20546">
        <v>217</v>
      </c>
      <c r="G20546">
        <v>90</v>
      </c>
      <c r="H20546">
        <v>35</v>
      </c>
      <c r="I20546">
        <v>377</v>
      </c>
      <c r="J20546">
        <v>1</v>
      </c>
      <c r="K20546">
        <v>34</v>
      </c>
      <c r="L20546">
        <v>414</v>
      </c>
      <c r="M20546">
        <v>1</v>
      </c>
      <c r="N20546">
        <v>5.7029399999999998E-77</v>
      </c>
      <c r="O20546">
        <v>729</v>
      </c>
    </row>
    <row r="20547" spans="1:15" x14ac:dyDescent="0.25">
      <c r="A20547" t="s">
        <v>20560</v>
      </c>
      <c r="B20547">
        <v>167</v>
      </c>
      <c r="C20547" s="1" t="str">
        <f>HYPERLINK("http://www.rosaceae.org/gb/gbrowse/malus_x_domestica/?name=MDP0000173648","MDP0000173648")</f>
        <v>MDP0000173648</v>
      </c>
      <c r="D20547">
        <v>48.48</v>
      </c>
      <c r="E20547">
        <v>99</v>
      </c>
      <c r="F20547">
        <v>51</v>
      </c>
      <c r="G20547">
        <v>11</v>
      </c>
      <c r="H20547">
        <v>1</v>
      </c>
      <c r="I20547">
        <v>91</v>
      </c>
      <c r="J20547">
        <v>1</v>
      </c>
      <c r="K20547">
        <v>1</v>
      </c>
      <c r="L20547">
        <v>96</v>
      </c>
      <c r="M20547">
        <v>1</v>
      </c>
      <c r="N20547">
        <v>1.5026299999999999E-15</v>
      </c>
      <c r="O20547">
        <v>194</v>
      </c>
    </row>
    <row r="20548" spans="1:15" x14ac:dyDescent="0.25">
      <c r="A20548" t="s">
        <v>20561</v>
      </c>
      <c r="B20548">
        <v>584</v>
      </c>
      <c r="C20548" s="1" t="str">
        <f>HYPERLINK("http://www.rosaceae.org/gb/gbrowse/malus_x_domestica/?name=MDP0000248822","MDP0000248822")</f>
        <v>MDP0000248822</v>
      </c>
      <c r="D20548">
        <v>60.63</v>
      </c>
      <c r="E20548">
        <v>409</v>
      </c>
      <c r="F20548">
        <v>161</v>
      </c>
      <c r="G20548">
        <v>30</v>
      </c>
      <c r="H20548">
        <v>24</v>
      </c>
      <c r="I20548">
        <v>413</v>
      </c>
      <c r="J20548">
        <v>1</v>
      </c>
      <c r="K20548">
        <v>2</v>
      </c>
      <c r="L20548">
        <v>399</v>
      </c>
      <c r="M20548">
        <v>1</v>
      </c>
      <c r="N20548">
        <v>1.8229699999999999E-126</v>
      </c>
      <c r="O20548">
        <v>1158</v>
      </c>
    </row>
    <row r="20549" spans="1:15" x14ac:dyDescent="0.25">
      <c r="A20549" t="s">
        <v>20562</v>
      </c>
      <c r="B20549">
        <v>335</v>
      </c>
      <c r="C20549" s="1" t="str">
        <f>HYPERLINK("http://www.rosaceae.org/gb/gbrowse/malus_x_domestica/?name=MDP0000138039","MDP0000138039")</f>
        <v>MDP0000138039</v>
      </c>
      <c r="D20549">
        <v>77.28</v>
      </c>
      <c r="E20549">
        <v>361</v>
      </c>
      <c r="F20549">
        <v>82</v>
      </c>
      <c r="G20549">
        <v>32</v>
      </c>
      <c r="H20549">
        <v>1</v>
      </c>
      <c r="I20549">
        <v>335</v>
      </c>
      <c r="J20549">
        <v>1</v>
      </c>
      <c r="K20549">
        <v>1</v>
      </c>
      <c r="L20549">
        <v>355</v>
      </c>
      <c r="M20549">
        <v>1</v>
      </c>
      <c r="N20549">
        <v>2.7671699999999999E-150</v>
      </c>
      <c r="O20549">
        <v>1361</v>
      </c>
    </row>
    <row r="20550" spans="1:15" x14ac:dyDescent="0.25">
      <c r="A20550" t="s">
        <v>20563</v>
      </c>
      <c r="B20550">
        <v>293</v>
      </c>
      <c r="C20550" s="1" t="str">
        <f>HYPERLINK("http://www.rosaceae.org/gb/gbrowse/malus_x_domestica/?name=MDP0000180043","MDP0000180043")</f>
        <v>MDP0000180043</v>
      </c>
      <c r="D20550">
        <v>87.9</v>
      </c>
      <c r="E20550">
        <v>281</v>
      </c>
      <c r="F20550">
        <v>34</v>
      </c>
      <c r="G20550">
        <v>0</v>
      </c>
      <c r="H20550">
        <v>13</v>
      </c>
      <c r="I20550">
        <v>293</v>
      </c>
      <c r="J20550">
        <v>1</v>
      </c>
      <c r="K20550">
        <v>12</v>
      </c>
      <c r="L20550">
        <v>292</v>
      </c>
      <c r="M20550">
        <v>1</v>
      </c>
      <c r="N20550">
        <v>6.54068E-148</v>
      </c>
      <c r="O20550">
        <v>1339</v>
      </c>
    </row>
    <row r="20551" spans="1:15" x14ac:dyDescent="0.25">
      <c r="A20551" t="s">
        <v>20564</v>
      </c>
      <c r="B20551">
        <v>281</v>
      </c>
      <c r="C20551" s="1" t="str">
        <f>HYPERLINK("http://www.rosaceae.org/gb/gbrowse/malus_x_domestica/?name=MDP0000180750","MDP0000180750")</f>
        <v>MDP0000180750</v>
      </c>
      <c r="D20551">
        <v>77.650000000000006</v>
      </c>
      <c r="E20551">
        <v>273</v>
      </c>
      <c r="F20551">
        <v>61</v>
      </c>
      <c r="G20551">
        <v>7</v>
      </c>
      <c r="H20551">
        <v>2</v>
      </c>
      <c r="I20551">
        <v>273</v>
      </c>
      <c r="J20551">
        <v>1</v>
      </c>
      <c r="K20551">
        <v>3</v>
      </c>
      <c r="L20551">
        <v>269</v>
      </c>
      <c r="M20551">
        <v>1</v>
      </c>
      <c r="N20551">
        <v>5.8275999999999999E-123</v>
      </c>
      <c r="O20551">
        <v>1124</v>
      </c>
    </row>
    <row r="20552" spans="1:15" x14ac:dyDescent="0.25">
      <c r="A20552" t="s">
        <v>20565</v>
      </c>
      <c r="B20552">
        <v>248</v>
      </c>
      <c r="C20552" s="1" t="str">
        <f>HYPERLINK("http://www.rosaceae.org/gb/gbrowse/malus_x_domestica/?name=MDP0000151008","MDP0000151008")</f>
        <v>MDP0000151008</v>
      </c>
      <c r="D20552">
        <v>42.68</v>
      </c>
      <c r="E20552">
        <v>246</v>
      </c>
      <c r="F20552">
        <v>141</v>
      </c>
      <c r="G20552">
        <v>15</v>
      </c>
      <c r="H20552">
        <v>1</v>
      </c>
      <c r="I20552">
        <v>245</v>
      </c>
      <c r="J20552">
        <v>1</v>
      </c>
      <c r="K20552">
        <v>1</v>
      </c>
      <c r="L20552">
        <v>232</v>
      </c>
      <c r="M20552">
        <v>1</v>
      </c>
      <c r="N20552">
        <v>6.1143099999999994E-39</v>
      </c>
      <c r="O20552">
        <v>399</v>
      </c>
    </row>
    <row r="20553" spans="1:15" x14ac:dyDescent="0.25">
      <c r="A20553" t="s">
        <v>20566</v>
      </c>
      <c r="B20553">
        <v>337</v>
      </c>
      <c r="C20553" s="1" t="str">
        <f>HYPERLINK("http://www.rosaceae.org/gb/gbrowse/malus_x_domestica/?name=MDP0000288182","MDP0000288182")</f>
        <v>MDP0000288182</v>
      </c>
      <c r="D20553">
        <v>73.83</v>
      </c>
      <c r="E20553">
        <v>344</v>
      </c>
      <c r="F20553">
        <v>90</v>
      </c>
      <c r="G20553">
        <v>56</v>
      </c>
      <c r="H20553">
        <v>1</v>
      </c>
      <c r="I20553">
        <v>335</v>
      </c>
      <c r="J20553">
        <v>1</v>
      </c>
      <c r="K20553">
        <v>1</v>
      </c>
      <c r="L20553">
        <v>297</v>
      </c>
      <c r="M20553">
        <v>1</v>
      </c>
      <c r="N20553">
        <v>6.7418599999999999E-130</v>
      </c>
      <c r="O20553">
        <v>1185</v>
      </c>
    </row>
    <row r="20554" spans="1:15" x14ac:dyDescent="0.25">
      <c r="A20554" t="s">
        <v>20567</v>
      </c>
      <c r="B20554">
        <v>968</v>
      </c>
      <c r="C20554" s="1" t="str">
        <f>HYPERLINK("http://www.rosaceae.org/gb/gbrowse/malus_x_domestica/?name=MDP0000216106","MDP0000216106")</f>
        <v>MDP0000216106</v>
      </c>
      <c r="D20554">
        <v>37.42</v>
      </c>
      <c r="E20554">
        <v>636</v>
      </c>
      <c r="F20554">
        <v>398</v>
      </c>
      <c r="G20554">
        <v>85</v>
      </c>
      <c r="H20554">
        <v>345</v>
      </c>
      <c r="I20554">
        <v>966</v>
      </c>
      <c r="J20554">
        <v>1</v>
      </c>
      <c r="K20554">
        <v>1</v>
      </c>
      <c r="L20554">
        <v>565</v>
      </c>
      <c r="M20554">
        <v>1</v>
      </c>
      <c r="N20554">
        <v>5.7787200000000003E-107</v>
      </c>
      <c r="O20554">
        <v>992</v>
      </c>
    </row>
    <row r="20555" spans="1:15" x14ac:dyDescent="0.25">
      <c r="A20555" t="s">
        <v>20568</v>
      </c>
      <c r="B20555">
        <v>532</v>
      </c>
      <c r="C20555" s="1" t="str">
        <f>HYPERLINK("http://www.rosaceae.org/gb/gbrowse/malus_x_domestica/?name=MDP0000313997","MDP0000313997")</f>
        <v>MDP0000313997</v>
      </c>
      <c r="D20555">
        <v>66.83</v>
      </c>
      <c r="E20555">
        <v>606</v>
      </c>
      <c r="F20555">
        <v>201</v>
      </c>
      <c r="G20555">
        <v>78</v>
      </c>
      <c r="H20555">
        <v>1</v>
      </c>
      <c r="I20555">
        <v>532</v>
      </c>
      <c r="J20555">
        <v>1</v>
      </c>
      <c r="K20555">
        <v>1</v>
      </c>
      <c r="L20555">
        <v>602</v>
      </c>
      <c r="M20555">
        <v>1</v>
      </c>
      <c r="N20555">
        <v>0</v>
      </c>
      <c r="O20555">
        <v>1926</v>
      </c>
    </row>
    <row r="20556" spans="1:15" x14ac:dyDescent="0.25">
      <c r="A20556" t="s">
        <v>20569</v>
      </c>
      <c r="B20556">
        <v>223</v>
      </c>
      <c r="C20556" s="1" t="str">
        <f>HYPERLINK("http://www.rosaceae.org/gb/gbrowse/malus_x_domestica/?name=MDP0000889413","MDP0000889413")</f>
        <v>MDP0000889413</v>
      </c>
      <c r="D20556">
        <v>70.45</v>
      </c>
      <c r="E20556">
        <v>176</v>
      </c>
      <c r="F20556">
        <v>52</v>
      </c>
      <c r="G20556">
        <v>4</v>
      </c>
      <c r="H20556">
        <v>47</v>
      </c>
      <c r="I20556">
        <v>221</v>
      </c>
      <c r="J20556">
        <v>1</v>
      </c>
      <c r="K20556">
        <v>32</v>
      </c>
      <c r="L20556">
        <v>204</v>
      </c>
      <c r="M20556">
        <v>1</v>
      </c>
      <c r="N20556">
        <v>2.5300200000000003E-63</v>
      </c>
      <c r="O20556">
        <v>608</v>
      </c>
    </row>
    <row r="20557" spans="1:15" x14ac:dyDescent="0.25">
      <c r="A20557" t="s">
        <v>20570</v>
      </c>
      <c r="B20557">
        <v>421</v>
      </c>
      <c r="C20557" s="1" t="str">
        <f>HYPERLINK("http://www.rosaceae.org/gb/gbrowse/malus_x_domestica/?name=MDP0000677129","MDP0000677129")</f>
        <v>MDP0000677129</v>
      </c>
      <c r="D20557">
        <v>63.78</v>
      </c>
      <c r="E20557">
        <v>439</v>
      </c>
      <c r="F20557">
        <v>159</v>
      </c>
      <c r="G20557">
        <v>29</v>
      </c>
      <c r="H20557">
        <v>1</v>
      </c>
      <c r="I20557">
        <v>421</v>
      </c>
      <c r="J20557">
        <v>1</v>
      </c>
      <c r="K20557">
        <v>470</v>
      </c>
      <c r="L20557">
        <v>897</v>
      </c>
      <c r="M20557">
        <v>1</v>
      </c>
      <c r="N20557">
        <v>1.67545E-133</v>
      </c>
      <c r="O20557">
        <v>1217</v>
      </c>
    </row>
    <row r="20558" spans="1:15" x14ac:dyDescent="0.25">
      <c r="A20558" t="s">
        <v>20571</v>
      </c>
      <c r="B20558">
        <v>491</v>
      </c>
      <c r="C20558" s="1" t="str">
        <f>HYPERLINK("http://www.rosaceae.org/gb/gbrowse/malus_x_domestica/?name=MDP0000257727","MDP0000257727")</f>
        <v>MDP0000257727</v>
      </c>
      <c r="D20558">
        <v>52.25</v>
      </c>
      <c r="E20558">
        <v>488</v>
      </c>
      <c r="F20558">
        <v>233</v>
      </c>
      <c r="G20558">
        <v>68</v>
      </c>
      <c r="H20558">
        <v>28</v>
      </c>
      <c r="I20558">
        <v>491</v>
      </c>
      <c r="J20558">
        <v>1</v>
      </c>
      <c r="K20558">
        <v>27</v>
      </c>
      <c r="L20558">
        <v>470</v>
      </c>
      <c r="M20558">
        <v>1</v>
      </c>
      <c r="N20558">
        <v>1.9966099999999999E-112</v>
      </c>
      <c r="O20558">
        <v>1036</v>
      </c>
    </row>
    <row r="20559" spans="1:15" x14ac:dyDescent="0.25">
      <c r="A20559" t="s">
        <v>20572</v>
      </c>
      <c r="B20559">
        <v>403</v>
      </c>
      <c r="C20559" s="1" t="str">
        <f>HYPERLINK("http://www.rosaceae.org/gb/gbrowse/malus_x_domestica/?name=MDP0000289123","MDP0000289123")</f>
        <v>MDP0000289123</v>
      </c>
      <c r="D20559">
        <v>37.18</v>
      </c>
      <c r="E20559">
        <v>398</v>
      </c>
      <c r="F20559">
        <v>250</v>
      </c>
      <c r="G20559">
        <v>44</v>
      </c>
      <c r="H20559">
        <v>8</v>
      </c>
      <c r="I20559">
        <v>388</v>
      </c>
      <c r="J20559">
        <v>1</v>
      </c>
      <c r="K20559">
        <v>18</v>
      </c>
      <c r="L20559">
        <v>388</v>
      </c>
      <c r="M20559">
        <v>1</v>
      </c>
      <c r="N20559">
        <v>1.86263E-54</v>
      </c>
      <c r="O20559">
        <v>535</v>
      </c>
    </row>
    <row r="20560" spans="1:15" x14ac:dyDescent="0.25">
      <c r="A20560" t="s">
        <v>20573</v>
      </c>
      <c r="B20560">
        <v>231</v>
      </c>
      <c r="C20560" s="1" t="str">
        <f>HYPERLINK("http://www.rosaceae.org/gb/gbrowse/malus_x_domestica/?name=MDP0000077683","MDP0000077683")</f>
        <v>MDP0000077683</v>
      </c>
      <c r="D20560">
        <v>87.21</v>
      </c>
      <c r="E20560">
        <v>219</v>
      </c>
      <c r="F20560">
        <v>28</v>
      </c>
      <c r="G20560">
        <v>0</v>
      </c>
      <c r="H20560">
        <v>1</v>
      </c>
      <c r="I20560">
        <v>219</v>
      </c>
      <c r="J20560">
        <v>1</v>
      </c>
      <c r="K20560">
        <v>1511</v>
      </c>
      <c r="L20560">
        <v>1729</v>
      </c>
      <c r="M20560">
        <v>1</v>
      </c>
      <c r="N20560">
        <v>4.9655699999999999E-113</v>
      </c>
      <c r="O20560">
        <v>1037</v>
      </c>
    </row>
    <row r="20561" spans="1:15" x14ac:dyDescent="0.25">
      <c r="A20561" t="s">
        <v>20574</v>
      </c>
      <c r="B20561">
        <v>619</v>
      </c>
      <c r="C20561" s="1" t="str">
        <f>HYPERLINK("http://www.rosaceae.org/gb/gbrowse/malus_x_domestica/?name=MDP0000575908","MDP0000575908")</f>
        <v>MDP0000575908</v>
      </c>
      <c r="D20561">
        <v>67.400000000000006</v>
      </c>
      <c r="E20561">
        <v>629</v>
      </c>
      <c r="F20561">
        <v>205</v>
      </c>
      <c r="G20561">
        <v>37</v>
      </c>
      <c r="H20561">
        <v>1</v>
      </c>
      <c r="I20561">
        <v>619</v>
      </c>
      <c r="J20561">
        <v>1</v>
      </c>
      <c r="K20561">
        <v>1</v>
      </c>
      <c r="L20561">
        <v>602</v>
      </c>
      <c r="M20561">
        <v>1</v>
      </c>
      <c r="N20561">
        <v>0</v>
      </c>
      <c r="O20561">
        <v>2086</v>
      </c>
    </row>
    <row r="20562" spans="1:15" x14ac:dyDescent="0.25">
      <c r="A20562" t="s">
        <v>20575</v>
      </c>
      <c r="B20562">
        <v>244</v>
      </c>
      <c r="C20562" s="1" t="str">
        <f>HYPERLINK("http://www.rosaceae.org/gb/gbrowse/malus_x_domestica/?name=MDP0000441758","MDP0000441758")</f>
        <v>MDP0000441758</v>
      </c>
      <c r="D20562">
        <v>70.37</v>
      </c>
      <c r="E20562">
        <v>216</v>
      </c>
      <c r="F20562">
        <v>64</v>
      </c>
      <c r="G20562">
        <v>6</v>
      </c>
      <c r="H20562">
        <v>29</v>
      </c>
      <c r="I20562">
        <v>244</v>
      </c>
      <c r="J20562">
        <v>1</v>
      </c>
      <c r="K20562">
        <v>57</v>
      </c>
      <c r="L20562">
        <v>266</v>
      </c>
      <c r="M20562">
        <v>1</v>
      </c>
      <c r="N20562">
        <v>1.53168E-85</v>
      </c>
      <c r="O20562">
        <v>800</v>
      </c>
    </row>
    <row r="20563" spans="1:15" x14ac:dyDescent="0.25">
      <c r="A20563" t="s">
        <v>20576</v>
      </c>
      <c r="B20563">
        <v>223</v>
      </c>
      <c r="C20563" s="1" t="str">
        <f>HYPERLINK("http://www.rosaceae.org/gb/gbrowse/malus_x_domestica/?name=MDP0000261265","MDP0000261265")</f>
        <v>MDP0000261265</v>
      </c>
      <c r="D20563">
        <v>68.16</v>
      </c>
      <c r="E20563">
        <v>223</v>
      </c>
      <c r="F20563">
        <v>71</v>
      </c>
      <c r="G20563">
        <v>24</v>
      </c>
      <c r="H20563">
        <v>1</v>
      </c>
      <c r="I20563">
        <v>223</v>
      </c>
      <c r="J20563">
        <v>1</v>
      </c>
      <c r="K20563">
        <v>1</v>
      </c>
      <c r="L20563">
        <v>199</v>
      </c>
      <c r="M20563">
        <v>1</v>
      </c>
      <c r="N20563">
        <v>2.4161199999999999E-78</v>
      </c>
      <c r="O20563">
        <v>738</v>
      </c>
    </row>
    <row r="20564" spans="1:15" x14ac:dyDescent="0.25">
      <c r="A20564" t="s">
        <v>20577</v>
      </c>
      <c r="B20564">
        <v>334</v>
      </c>
      <c r="C20564" s="1" t="str">
        <f>HYPERLINK("http://www.rosaceae.org/gb/gbrowse/malus_x_domestica/?name=MDP0000314572","MDP0000314572")</f>
        <v>MDP0000314572</v>
      </c>
      <c r="D20564">
        <v>65.739999999999995</v>
      </c>
      <c r="E20564">
        <v>362</v>
      </c>
      <c r="F20564">
        <v>124</v>
      </c>
      <c r="G20564">
        <v>32</v>
      </c>
      <c r="H20564">
        <v>1</v>
      </c>
      <c r="I20564">
        <v>334</v>
      </c>
      <c r="J20564">
        <v>1</v>
      </c>
      <c r="K20564">
        <v>376</v>
      </c>
      <c r="L20564">
        <v>733</v>
      </c>
      <c r="M20564">
        <v>1</v>
      </c>
      <c r="N20564">
        <v>8.3414599999999996E-128</v>
      </c>
      <c r="O20564">
        <v>1167</v>
      </c>
    </row>
    <row r="20565" spans="1:15" x14ac:dyDescent="0.25">
      <c r="A20565" t="s">
        <v>20578</v>
      </c>
      <c r="B20565">
        <v>188</v>
      </c>
      <c r="C20565" s="1" t="str">
        <f>HYPERLINK("http://www.rosaceae.org/gb/gbrowse/malus_x_domestica/?name=MDP0000281535","MDP0000281535")</f>
        <v>MDP0000281535</v>
      </c>
      <c r="D20565">
        <v>100</v>
      </c>
      <c r="E20565">
        <v>141</v>
      </c>
      <c r="F20565">
        <v>0</v>
      </c>
      <c r="G20565">
        <v>0</v>
      </c>
      <c r="H20565">
        <v>48</v>
      </c>
      <c r="I20565">
        <v>188</v>
      </c>
      <c r="J20565">
        <v>1</v>
      </c>
      <c r="K20565">
        <v>292</v>
      </c>
      <c r="L20565">
        <v>432</v>
      </c>
      <c r="M20565">
        <v>1</v>
      </c>
      <c r="N20565">
        <v>3.95829E-79</v>
      </c>
      <c r="O20565">
        <v>744</v>
      </c>
    </row>
    <row r="20566" spans="1:15" x14ac:dyDescent="0.25">
      <c r="A20566" t="s">
        <v>20579</v>
      </c>
      <c r="B20566">
        <v>322</v>
      </c>
      <c r="C20566" s="1" t="str">
        <f>HYPERLINK("http://www.rosaceae.org/gb/gbrowse/malus_x_domestica/?name=MDP0000189755","MDP0000189755")</f>
        <v>MDP0000189755</v>
      </c>
      <c r="D20566">
        <v>42.85</v>
      </c>
      <c r="E20566">
        <v>70</v>
      </c>
      <c r="F20566">
        <v>40</v>
      </c>
      <c r="G20566">
        <v>7</v>
      </c>
      <c r="H20566">
        <v>166</v>
      </c>
      <c r="I20566">
        <v>235</v>
      </c>
      <c r="J20566">
        <v>1</v>
      </c>
      <c r="K20566">
        <v>386</v>
      </c>
      <c r="L20566">
        <v>448</v>
      </c>
      <c r="M20566">
        <v>1</v>
      </c>
      <c r="N20566">
        <v>9.5072099999999991E-10</v>
      </c>
      <c r="O20566">
        <v>148</v>
      </c>
    </row>
    <row r="20567" spans="1:15" x14ac:dyDescent="0.25">
      <c r="A20567" t="s">
        <v>20580</v>
      </c>
      <c r="B20567">
        <v>977</v>
      </c>
      <c r="C20567" s="1" t="str">
        <f>HYPERLINK("http://www.rosaceae.org/gb/gbrowse/malus_x_domestica/?name=MDP0000154056","MDP0000154056")</f>
        <v>MDP0000154056</v>
      </c>
      <c r="D20567">
        <v>78.680000000000007</v>
      </c>
      <c r="E20567">
        <v>929</v>
      </c>
      <c r="F20567">
        <v>198</v>
      </c>
      <c r="G20567">
        <v>69</v>
      </c>
      <c r="H20567">
        <v>50</v>
      </c>
      <c r="I20567">
        <v>977</v>
      </c>
      <c r="J20567">
        <v>1</v>
      </c>
      <c r="K20567">
        <v>83</v>
      </c>
      <c r="L20567">
        <v>943</v>
      </c>
      <c r="M20567">
        <v>1</v>
      </c>
      <c r="N20567">
        <v>0</v>
      </c>
      <c r="O20567">
        <v>3767</v>
      </c>
    </row>
    <row r="20568" spans="1:15" x14ac:dyDescent="0.25">
      <c r="A20568" t="s">
        <v>20581</v>
      </c>
      <c r="B20568">
        <v>220</v>
      </c>
      <c r="C20568" s="1" t="str">
        <f>HYPERLINK("http://www.rosaceae.org/gb/gbrowse/malus_x_domestica/?name=MDP0000200974","MDP0000200974")</f>
        <v>MDP0000200974</v>
      </c>
      <c r="D20568">
        <v>78.98</v>
      </c>
      <c r="E20568">
        <v>138</v>
      </c>
      <c r="F20568">
        <v>29</v>
      </c>
      <c r="G20568">
        <v>4</v>
      </c>
      <c r="H20568">
        <v>87</v>
      </c>
      <c r="I20568">
        <v>220</v>
      </c>
      <c r="J20568">
        <v>1</v>
      </c>
      <c r="K20568">
        <v>40</v>
      </c>
      <c r="L20568">
        <v>177</v>
      </c>
      <c r="M20568">
        <v>1</v>
      </c>
      <c r="N20568">
        <v>8.6700800000000003E-59</v>
      </c>
      <c r="O20568">
        <v>569</v>
      </c>
    </row>
    <row r="20569" spans="1:15" x14ac:dyDescent="0.25">
      <c r="A20569" t="s">
        <v>20582</v>
      </c>
      <c r="B20569">
        <v>354</v>
      </c>
      <c r="C20569" s="1" t="str">
        <f>HYPERLINK("http://www.rosaceae.org/gb/gbrowse/malus_x_domestica/?name=MDP0000252389","MDP0000252389")</f>
        <v>MDP0000252389</v>
      </c>
      <c r="D20569">
        <v>84.05</v>
      </c>
      <c r="E20569">
        <v>232</v>
      </c>
      <c r="F20569">
        <v>37</v>
      </c>
      <c r="G20569">
        <v>0</v>
      </c>
      <c r="H20569">
        <v>1</v>
      </c>
      <c r="I20569">
        <v>232</v>
      </c>
      <c r="J20569">
        <v>1</v>
      </c>
      <c r="K20569">
        <v>127</v>
      </c>
      <c r="L20569">
        <v>358</v>
      </c>
      <c r="M20569">
        <v>1</v>
      </c>
      <c r="N20569">
        <v>6.2093099999999996E-112</v>
      </c>
      <c r="O20569">
        <v>1030</v>
      </c>
    </row>
    <row r="20570" spans="1:15" x14ac:dyDescent="0.25">
      <c r="A20570" t="s">
        <v>20583</v>
      </c>
      <c r="B20570">
        <v>175</v>
      </c>
      <c r="C20570" s="1" t="str">
        <f>HYPERLINK("http://www.rosaceae.org/gb/gbrowse/malus_x_domestica/?name=MDP0000279765","MDP0000279765")</f>
        <v>MDP0000279765</v>
      </c>
      <c r="D20570">
        <v>87.76</v>
      </c>
      <c r="E20570">
        <v>139</v>
      </c>
      <c r="F20570">
        <v>17</v>
      </c>
      <c r="G20570">
        <v>0</v>
      </c>
      <c r="H20570">
        <v>37</v>
      </c>
      <c r="I20570">
        <v>175</v>
      </c>
      <c r="J20570">
        <v>1</v>
      </c>
      <c r="K20570">
        <v>105</v>
      </c>
      <c r="L20570">
        <v>243</v>
      </c>
      <c r="M20570">
        <v>1</v>
      </c>
      <c r="N20570">
        <v>3.12926E-69</v>
      </c>
      <c r="O20570">
        <v>658</v>
      </c>
    </row>
    <row r="20571" spans="1:15" x14ac:dyDescent="0.25">
      <c r="A20571" t="s">
        <v>20584</v>
      </c>
      <c r="B20571">
        <v>313</v>
      </c>
      <c r="C20571" s="1" t="str">
        <f>HYPERLINK("http://www.rosaceae.org/gb/gbrowse/malus_x_domestica/?name=MDP0000254944","MDP0000254944")</f>
        <v>MDP0000254944</v>
      </c>
      <c r="D20571">
        <v>64.8</v>
      </c>
      <c r="E20571">
        <v>233</v>
      </c>
      <c r="F20571">
        <v>82</v>
      </c>
      <c r="G20571">
        <v>17</v>
      </c>
      <c r="H20571">
        <v>12</v>
      </c>
      <c r="I20571">
        <v>230</v>
      </c>
      <c r="J20571">
        <v>1</v>
      </c>
      <c r="K20571">
        <v>83</v>
      </c>
      <c r="L20571">
        <v>312</v>
      </c>
      <c r="M20571">
        <v>1</v>
      </c>
      <c r="N20571">
        <v>4.92302E-63</v>
      </c>
      <c r="O20571">
        <v>608</v>
      </c>
    </row>
    <row r="20572" spans="1:15" x14ac:dyDescent="0.25">
      <c r="A20572" t="s">
        <v>20585</v>
      </c>
      <c r="B20572">
        <v>484</v>
      </c>
      <c r="C20572" s="1" t="str">
        <f>HYPERLINK("http://www.rosaceae.org/gb/gbrowse/malus_x_domestica/?name=MDP0000217912","MDP0000217912")</f>
        <v>MDP0000217912</v>
      </c>
      <c r="D20572">
        <v>66.44</v>
      </c>
      <c r="E20572">
        <v>450</v>
      </c>
      <c r="F20572">
        <v>151</v>
      </c>
      <c r="G20572">
        <v>18</v>
      </c>
      <c r="H20572">
        <v>17</v>
      </c>
      <c r="I20572">
        <v>465</v>
      </c>
      <c r="J20572">
        <v>1</v>
      </c>
      <c r="K20572">
        <v>23</v>
      </c>
      <c r="L20572">
        <v>455</v>
      </c>
      <c r="M20572">
        <v>1</v>
      </c>
      <c r="N20572">
        <v>2.4587599999999999E-165</v>
      </c>
      <c r="O20572">
        <v>1492</v>
      </c>
    </row>
    <row r="20573" spans="1:15" x14ac:dyDescent="0.25">
      <c r="A20573" t="s">
        <v>20586</v>
      </c>
      <c r="B20573">
        <v>301</v>
      </c>
      <c r="C20573" s="1" t="str">
        <f>HYPERLINK("http://www.rosaceae.org/gb/gbrowse/malus_x_domestica/?name=MDP0000162677","MDP0000162677")</f>
        <v>MDP0000162677</v>
      </c>
      <c r="D20573">
        <v>57.85</v>
      </c>
      <c r="E20573">
        <v>299</v>
      </c>
      <c r="F20573">
        <v>126</v>
      </c>
      <c r="G20573">
        <v>1</v>
      </c>
      <c r="H20573">
        <v>4</v>
      </c>
      <c r="I20573">
        <v>301</v>
      </c>
      <c r="J20573">
        <v>1</v>
      </c>
      <c r="K20573">
        <v>1</v>
      </c>
      <c r="L20573">
        <v>299</v>
      </c>
      <c r="M20573">
        <v>1</v>
      </c>
      <c r="N20573">
        <v>1.1785999999999999E-100</v>
      </c>
      <c r="O20573">
        <v>932</v>
      </c>
    </row>
    <row r="20574" spans="1:15" x14ac:dyDescent="0.25">
      <c r="A20574" t="s">
        <v>20587</v>
      </c>
      <c r="B20574">
        <v>602</v>
      </c>
      <c r="C20574" s="1" t="str">
        <f>HYPERLINK("http://www.rosaceae.org/gb/gbrowse/malus_x_domestica/?name=MDP0000233135","MDP0000233135")</f>
        <v>MDP0000233135</v>
      </c>
      <c r="D20574">
        <v>38.14</v>
      </c>
      <c r="E20574">
        <v>603</v>
      </c>
      <c r="F20574">
        <v>373</v>
      </c>
      <c r="G20574">
        <v>51</v>
      </c>
      <c r="H20574">
        <v>1</v>
      </c>
      <c r="I20574">
        <v>589</v>
      </c>
      <c r="J20574">
        <v>1</v>
      </c>
      <c r="K20574">
        <v>1</v>
      </c>
      <c r="L20574">
        <v>566</v>
      </c>
      <c r="M20574">
        <v>1</v>
      </c>
      <c r="N20574">
        <v>4.74452E-92</v>
      </c>
      <c r="O20574">
        <v>861</v>
      </c>
    </row>
    <row r="20575" spans="1:15" x14ac:dyDescent="0.25">
      <c r="A20575" t="s">
        <v>20588</v>
      </c>
      <c r="B20575">
        <v>217</v>
      </c>
      <c r="C20575" s="1" t="str">
        <f>HYPERLINK("http://www.rosaceae.org/gb/gbrowse/malus_x_domestica/?name=MDP0000872533","MDP0000872533")</f>
        <v>MDP0000872533</v>
      </c>
      <c r="D20575">
        <v>33.909999999999997</v>
      </c>
      <c r="E20575">
        <v>115</v>
      </c>
      <c r="F20575">
        <v>76</v>
      </c>
      <c r="G20575">
        <v>25</v>
      </c>
      <c r="H20575">
        <v>1</v>
      </c>
      <c r="I20575">
        <v>90</v>
      </c>
      <c r="J20575">
        <v>1</v>
      </c>
      <c r="K20575">
        <v>17</v>
      </c>
      <c r="L20575">
        <v>131</v>
      </c>
      <c r="M20575">
        <v>1</v>
      </c>
      <c r="N20575">
        <v>7.4419500000000003E-10</v>
      </c>
      <c r="O20575">
        <v>147</v>
      </c>
    </row>
    <row r="20576" spans="1:15" x14ac:dyDescent="0.25">
      <c r="A20576" t="s">
        <v>20589</v>
      </c>
      <c r="B20576">
        <v>900</v>
      </c>
      <c r="C20576" s="1" t="str">
        <f>HYPERLINK("http://www.rosaceae.org/gb/gbrowse/malus_x_domestica/?name=MDP0000147415","MDP0000147415")</f>
        <v>MDP0000147415</v>
      </c>
      <c r="D20576">
        <v>64.37</v>
      </c>
      <c r="E20576">
        <v>480</v>
      </c>
      <c r="F20576">
        <v>171</v>
      </c>
      <c r="G20576">
        <v>47</v>
      </c>
      <c r="H20576">
        <v>1</v>
      </c>
      <c r="I20576">
        <v>453</v>
      </c>
      <c r="J20576">
        <v>1</v>
      </c>
      <c r="K20576">
        <v>1</v>
      </c>
      <c r="L20576">
        <v>460</v>
      </c>
      <c r="M20576">
        <v>1</v>
      </c>
      <c r="N20576">
        <v>5.47329E-170</v>
      </c>
      <c r="O20576">
        <v>1535</v>
      </c>
    </row>
    <row r="20577" spans="1:15" x14ac:dyDescent="0.25">
      <c r="A20577" t="s">
        <v>20590</v>
      </c>
      <c r="B20577">
        <v>174</v>
      </c>
      <c r="C20577" s="1" t="str">
        <f>HYPERLINK("http://www.rosaceae.org/gb/gbrowse/malus_x_domestica/?name=MDP0000166262","MDP0000166262")</f>
        <v>MDP0000166262</v>
      </c>
      <c r="D20577">
        <v>82.31</v>
      </c>
      <c r="E20577">
        <v>164</v>
      </c>
      <c r="F20577">
        <v>29</v>
      </c>
      <c r="G20577">
        <v>0</v>
      </c>
      <c r="H20577">
        <v>4</v>
      </c>
      <c r="I20577">
        <v>167</v>
      </c>
      <c r="J20577">
        <v>1</v>
      </c>
      <c r="K20577">
        <v>47</v>
      </c>
      <c r="L20577">
        <v>210</v>
      </c>
      <c r="M20577">
        <v>1</v>
      </c>
      <c r="N20577">
        <v>7.7291699999999998E-72</v>
      </c>
      <c r="O20577">
        <v>680</v>
      </c>
    </row>
    <row r="20578" spans="1:15" x14ac:dyDescent="0.25">
      <c r="A20578" t="s">
        <v>20591</v>
      </c>
      <c r="B20578">
        <v>1213</v>
      </c>
      <c r="C20578" s="1" t="str">
        <f>HYPERLINK("http://www.rosaceae.org/gb/gbrowse/malus_x_domestica/?name=MDP0000261517","MDP0000261517")</f>
        <v>MDP0000261517</v>
      </c>
      <c r="D20578">
        <v>48.41</v>
      </c>
      <c r="E20578">
        <v>1012</v>
      </c>
      <c r="F20578">
        <v>522</v>
      </c>
      <c r="G20578">
        <v>74</v>
      </c>
      <c r="H20578">
        <v>69</v>
      </c>
      <c r="I20578">
        <v>1032</v>
      </c>
      <c r="J20578">
        <v>1</v>
      </c>
      <c r="K20578">
        <v>246</v>
      </c>
      <c r="L20578">
        <v>1231</v>
      </c>
      <c r="M20578">
        <v>1</v>
      </c>
      <c r="N20578">
        <v>0</v>
      </c>
      <c r="O20578">
        <v>2306</v>
      </c>
    </row>
    <row r="20579" spans="1:15" x14ac:dyDescent="0.25">
      <c r="A20579" t="s">
        <v>20592</v>
      </c>
      <c r="B20579">
        <v>571</v>
      </c>
      <c r="C20579" s="1" t="str">
        <f>HYPERLINK("http://www.rosaceae.org/gb/gbrowse/malus_x_domestica/?name=MDP0000189901","MDP0000189901")</f>
        <v>MDP0000189901</v>
      </c>
      <c r="D20579">
        <v>55.55</v>
      </c>
      <c r="E20579">
        <v>468</v>
      </c>
      <c r="F20579">
        <v>208</v>
      </c>
      <c r="G20579">
        <v>10</v>
      </c>
      <c r="H20579">
        <v>17</v>
      </c>
      <c r="I20579">
        <v>483</v>
      </c>
      <c r="J20579">
        <v>1</v>
      </c>
      <c r="K20579">
        <v>23</v>
      </c>
      <c r="L20579">
        <v>481</v>
      </c>
      <c r="M20579">
        <v>1</v>
      </c>
      <c r="N20579">
        <v>2.0186899999999999E-139</v>
      </c>
      <c r="O20579">
        <v>1269</v>
      </c>
    </row>
    <row r="20580" spans="1:15" x14ac:dyDescent="0.25">
      <c r="A20580" t="s">
        <v>20593</v>
      </c>
      <c r="B20580">
        <v>258</v>
      </c>
      <c r="C20580" s="1" t="str">
        <f>HYPERLINK("http://www.rosaceae.org/gb/gbrowse/malus_x_domestica/?name=MDP0000174528","MDP0000174528")</f>
        <v>MDP0000174528</v>
      </c>
      <c r="D20580">
        <v>90.69</v>
      </c>
      <c r="E20580">
        <v>258</v>
      </c>
      <c r="F20580">
        <v>24</v>
      </c>
      <c r="G20580">
        <v>0</v>
      </c>
      <c r="H20580">
        <v>1</v>
      </c>
      <c r="I20580">
        <v>258</v>
      </c>
      <c r="J20580">
        <v>1</v>
      </c>
      <c r="K20580">
        <v>1</v>
      </c>
      <c r="L20580">
        <v>258</v>
      </c>
      <c r="M20580">
        <v>1</v>
      </c>
      <c r="N20580">
        <v>2.8680699999999999E-143</v>
      </c>
      <c r="O20580">
        <v>1299</v>
      </c>
    </row>
    <row r="20581" spans="1:15" x14ac:dyDescent="0.25">
      <c r="A20581" t="s">
        <v>20594</v>
      </c>
      <c r="B20581">
        <v>1415</v>
      </c>
      <c r="C20581" s="1" t="str">
        <f>HYPERLINK("http://www.rosaceae.org/gb/gbrowse/malus_x_domestica/?name=MDP0000162784","MDP0000162784")</f>
        <v>MDP0000162784</v>
      </c>
      <c r="D20581">
        <v>49.16</v>
      </c>
      <c r="E20581">
        <v>299</v>
      </c>
      <c r="F20581">
        <v>152</v>
      </c>
      <c r="G20581">
        <v>15</v>
      </c>
      <c r="H20581">
        <v>373</v>
      </c>
      <c r="I20581">
        <v>657</v>
      </c>
      <c r="J20581">
        <v>1</v>
      </c>
      <c r="K20581">
        <v>640</v>
      </c>
      <c r="L20581">
        <v>937</v>
      </c>
      <c r="M20581">
        <v>1</v>
      </c>
      <c r="N20581">
        <v>1.2435000000000001E-74</v>
      </c>
      <c r="O20581">
        <v>714</v>
      </c>
    </row>
    <row r="20582" spans="1:15" x14ac:dyDescent="0.25">
      <c r="A20582" t="s">
        <v>20595</v>
      </c>
      <c r="B20582">
        <v>319</v>
      </c>
      <c r="C20582" s="1" t="str">
        <f>HYPERLINK("http://www.rosaceae.org/gb/gbrowse/malus_x_domestica/?name=MDP0000136498","MDP0000136498")</f>
        <v>MDP0000136498</v>
      </c>
      <c r="D20582">
        <v>83.58</v>
      </c>
      <c r="E20582">
        <v>134</v>
      </c>
      <c r="F20582">
        <v>22</v>
      </c>
      <c r="G20582">
        <v>0</v>
      </c>
      <c r="H20582">
        <v>124</v>
      </c>
      <c r="I20582">
        <v>257</v>
      </c>
      <c r="J20582">
        <v>1</v>
      </c>
      <c r="K20582">
        <v>176</v>
      </c>
      <c r="L20582">
        <v>309</v>
      </c>
      <c r="M20582">
        <v>1</v>
      </c>
      <c r="N20582">
        <v>1.9565799999999998E-62</v>
      </c>
      <c r="O20582">
        <v>603</v>
      </c>
    </row>
    <row r="20583" spans="1:15" x14ac:dyDescent="0.25">
      <c r="A20583" t="s">
        <v>20596</v>
      </c>
      <c r="B20583">
        <v>147</v>
      </c>
      <c r="C20583" s="1" t="str">
        <f>HYPERLINK("http://www.rosaceae.org/gb/gbrowse/malus_x_domestica/?name=MDP0000376600","MDP0000376600")</f>
        <v>MDP0000376600</v>
      </c>
      <c r="D20583">
        <v>38.97</v>
      </c>
      <c r="E20583">
        <v>136</v>
      </c>
      <c r="F20583">
        <v>83</v>
      </c>
      <c r="G20583">
        <v>14</v>
      </c>
      <c r="H20583">
        <v>1</v>
      </c>
      <c r="I20583">
        <v>135</v>
      </c>
      <c r="J20583">
        <v>1</v>
      </c>
      <c r="K20583">
        <v>1029</v>
      </c>
      <c r="L20583">
        <v>1151</v>
      </c>
      <c r="M20583">
        <v>1</v>
      </c>
      <c r="N20583">
        <v>3.2608399999999997E-14</v>
      </c>
      <c r="O20583">
        <v>182</v>
      </c>
    </row>
    <row r="20584" spans="1:15" x14ac:dyDescent="0.25">
      <c r="A20584" t="s">
        <v>20597</v>
      </c>
      <c r="B20584">
        <v>1044</v>
      </c>
      <c r="C20584" s="1" t="str">
        <f>HYPERLINK("http://www.rosaceae.org/gb/gbrowse/malus_x_domestica/?name=MDP0000180405","MDP0000180405")</f>
        <v>MDP0000180405</v>
      </c>
      <c r="D20584">
        <v>56.45</v>
      </c>
      <c r="E20584">
        <v>418</v>
      </c>
      <c r="F20584">
        <v>182</v>
      </c>
      <c r="G20584">
        <v>8</v>
      </c>
      <c r="H20584">
        <v>327</v>
      </c>
      <c r="I20584">
        <v>738</v>
      </c>
      <c r="J20584">
        <v>1</v>
      </c>
      <c r="K20584">
        <v>582</v>
      </c>
      <c r="L20584">
        <v>997</v>
      </c>
      <c r="M20584">
        <v>1</v>
      </c>
      <c r="N20584">
        <v>4.3060900000000001E-132</v>
      </c>
      <c r="O20584">
        <v>1209</v>
      </c>
    </row>
    <row r="20585" spans="1:15" x14ac:dyDescent="0.25">
      <c r="A20585" t="s">
        <v>20598</v>
      </c>
      <c r="B20585">
        <v>247</v>
      </c>
      <c r="C20585" s="1" t="str">
        <f>HYPERLINK("http://www.rosaceae.org/gb/gbrowse/malus_x_domestica/?name=MDP0000151095","MDP0000151095")</f>
        <v>MDP0000151095</v>
      </c>
      <c r="D20585">
        <v>92.71</v>
      </c>
      <c r="E20585">
        <v>247</v>
      </c>
      <c r="F20585">
        <v>18</v>
      </c>
      <c r="G20585">
        <v>1</v>
      </c>
      <c r="H20585">
        <v>1</v>
      </c>
      <c r="I20585">
        <v>246</v>
      </c>
      <c r="J20585">
        <v>1</v>
      </c>
      <c r="K20585">
        <v>59</v>
      </c>
      <c r="L20585">
        <v>305</v>
      </c>
      <c r="M20585">
        <v>1</v>
      </c>
      <c r="N20585">
        <v>7.7202399999999998E-132</v>
      </c>
      <c r="O20585">
        <v>1200</v>
      </c>
    </row>
    <row r="20586" spans="1:15" x14ac:dyDescent="0.25">
      <c r="A20586" t="s">
        <v>20599</v>
      </c>
      <c r="B20586">
        <v>131</v>
      </c>
      <c r="C20586" s="1" t="str">
        <f>HYPERLINK("http://www.rosaceae.org/gb/gbrowse/malus_x_domestica/?name=MDP0000266658","MDP0000266658")</f>
        <v>MDP0000266658</v>
      </c>
      <c r="D20586">
        <v>57.62</v>
      </c>
      <c r="E20586">
        <v>118</v>
      </c>
      <c r="F20586">
        <v>50</v>
      </c>
      <c r="G20586">
        <v>10</v>
      </c>
      <c r="H20586">
        <v>22</v>
      </c>
      <c r="I20586">
        <v>131</v>
      </c>
      <c r="J20586">
        <v>1</v>
      </c>
      <c r="K20586">
        <v>331</v>
      </c>
      <c r="L20586">
        <v>446</v>
      </c>
      <c r="M20586">
        <v>1</v>
      </c>
      <c r="N20586">
        <v>2.0364099999999999E-29</v>
      </c>
      <c r="O20586">
        <v>312</v>
      </c>
    </row>
    <row r="20587" spans="1:15" x14ac:dyDescent="0.25">
      <c r="A20587" t="s">
        <v>20600</v>
      </c>
      <c r="B20587">
        <v>270</v>
      </c>
      <c r="C20587" s="1" t="str">
        <f>HYPERLINK("http://www.rosaceae.org/gb/gbrowse/malus_x_domestica/?name=MDP0000281609","MDP0000281609")</f>
        <v>MDP0000281609</v>
      </c>
      <c r="D20587">
        <v>81.11</v>
      </c>
      <c r="E20587">
        <v>270</v>
      </c>
      <c r="F20587">
        <v>51</v>
      </c>
      <c r="G20587">
        <v>1</v>
      </c>
      <c r="H20587">
        <v>1</v>
      </c>
      <c r="I20587">
        <v>269</v>
      </c>
      <c r="J20587">
        <v>1</v>
      </c>
      <c r="K20587">
        <v>1</v>
      </c>
      <c r="L20587">
        <v>270</v>
      </c>
      <c r="M20587">
        <v>1</v>
      </c>
      <c r="N20587">
        <v>4.0155499999999997E-124</v>
      </c>
      <c r="O20587">
        <v>1134</v>
      </c>
    </row>
    <row r="20588" spans="1:15" x14ac:dyDescent="0.25">
      <c r="A20588" t="s">
        <v>20601</v>
      </c>
      <c r="B20588">
        <v>217</v>
      </c>
      <c r="C20588" s="1" t="str">
        <f>HYPERLINK("http://www.rosaceae.org/gb/gbrowse/malus_x_domestica/?name=MDP0000615109","MDP0000615109")</f>
        <v>MDP0000615109</v>
      </c>
      <c r="D20588">
        <v>71.11</v>
      </c>
      <c r="E20588">
        <v>45</v>
      </c>
      <c r="F20588">
        <v>13</v>
      </c>
      <c r="G20588">
        <v>0</v>
      </c>
      <c r="H20588">
        <v>106</v>
      </c>
      <c r="I20588">
        <v>150</v>
      </c>
      <c r="J20588">
        <v>1</v>
      </c>
      <c r="K20588">
        <v>93</v>
      </c>
      <c r="L20588">
        <v>137</v>
      </c>
      <c r="M20588">
        <v>1</v>
      </c>
      <c r="N20588">
        <v>4.3616199999999997E-11</v>
      </c>
      <c r="O20588">
        <v>158</v>
      </c>
    </row>
    <row r="20589" spans="1:15" x14ac:dyDescent="0.25">
      <c r="A20589" t="s">
        <v>20602</v>
      </c>
      <c r="B20589">
        <v>240</v>
      </c>
      <c r="C20589" s="1" t="str">
        <f>HYPERLINK("http://www.rosaceae.org/gb/gbrowse/malus_x_domestica/?name=MDP0000242552","MDP0000242552")</f>
        <v>MDP0000242552</v>
      </c>
      <c r="D20589">
        <v>77.31</v>
      </c>
      <c r="E20589">
        <v>216</v>
      </c>
      <c r="F20589">
        <v>49</v>
      </c>
      <c r="G20589">
        <v>0</v>
      </c>
      <c r="H20589">
        <v>25</v>
      </c>
      <c r="I20589">
        <v>240</v>
      </c>
      <c r="J20589">
        <v>1</v>
      </c>
      <c r="K20589">
        <v>263</v>
      </c>
      <c r="L20589">
        <v>478</v>
      </c>
      <c r="M20589">
        <v>1</v>
      </c>
      <c r="N20589">
        <v>6.2959500000000001E-99</v>
      </c>
      <c r="O20589">
        <v>916</v>
      </c>
    </row>
    <row r="20590" spans="1:15" x14ac:dyDescent="0.25">
      <c r="A20590" t="s">
        <v>20603</v>
      </c>
      <c r="B20590">
        <v>681</v>
      </c>
      <c r="C20590" s="1" t="str">
        <f>HYPERLINK("http://www.rosaceae.org/gb/gbrowse/malus_x_domestica/?name=MDP0000416692","MDP0000416692")</f>
        <v>MDP0000416692</v>
      </c>
      <c r="D20590">
        <v>85.8</v>
      </c>
      <c r="E20590">
        <v>662</v>
      </c>
      <c r="F20590">
        <v>94</v>
      </c>
      <c r="G20590">
        <v>2</v>
      </c>
      <c r="H20590">
        <v>20</v>
      </c>
      <c r="I20590">
        <v>681</v>
      </c>
      <c r="J20590">
        <v>1</v>
      </c>
      <c r="K20590">
        <v>20</v>
      </c>
      <c r="L20590">
        <v>679</v>
      </c>
      <c r="M20590">
        <v>1</v>
      </c>
      <c r="N20590">
        <v>0</v>
      </c>
      <c r="O20590">
        <v>3004</v>
      </c>
    </row>
    <row r="20591" spans="1:15" x14ac:dyDescent="0.25">
      <c r="A20591" t="s">
        <v>20604</v>
      </c>
      <c r="B20591">
        <v>1007</v>
      </c>
      <c r="C20591" s="1" t="str">
        <f>HYPERLINK("http://www.rosaceae.org/gb/gbrowse/malus_x_domestica/?name=MDP0000169530","MDP0000169530")</f>
        <v>MDP0000169530</v>
      </c>
      <c r="D20591">
        <v>59.72</v>
      </c>
      <c r="E20591">
        <v>293</v>
      </c>
      <c r="F20591">
        <v>118</v>
      </c>
      <c r="G20591">
        <v>12</v>
      </c>
      <c r="H20591">
        <v>190</v>
      </c>
      <c r="I20591">
        <v>470</v>
      </c>
      <c r="J20591">
        <v>1</v>
      </c>
      <c r="K20591">
        <v>595</v>
      </c>
      <c r="L20591">
        <v>887</v>
      </c>
      <c r="M20591">
        <v>1</v>
      </c>
      <c r="N20591">
        <v>3.56397E-86</v>
      </c>
      <c r="O20591">
        <v>813</v>
      </c>
    </row>
    <row r="20592" spans="1:15" x14ac:dyDescent="0.25">
      <c r="A20592" t="s">
        <v>20605</v>
      </c>
      <c r="B20592">
        <v>645</v>
      </c>
      <c r="C20592" s="1" t="str">
        <f>HYPERLINK("http://www.rosaceae.org/gb/gbrowse/malus_x_domestica/?name=MDP0000311033","MDP0000311033")</f>
        <v>MDP0000311033</v>
      </c>
      <c r="D20592">
        <v>76.650000000000006</v>
      </c>
      <c r="E20592">
        <v>651</v>
      </c>
      <c r="F20592">
        <v>152</v>
      </c>
      <c r="G20592">
        <v>13</v>
      </c>
      <c r="H20592">
        <v>1</v>
      </c>
      <c r="I20592">
        <v>645</v>
      </c>
      <c r="J20592">
        <v>1</v>
      </c>
      <c r="K20592">
        <v>1</v>
      </c>
      <c r="L20592">
        <v>644</v>
      </c>
      <c r="M20592">
        <v>1</v>
      </c>
      <c r="N20592">
        <v>0</v>
      </c>
      <c r="O20592">
        <v>2595</v>
      </c>
    </row>
    <row r="20593" spans="1:15" x14ac:dyDescent="0.25">
      <c r="A20593" t="s">
        <v>20606</v>
      </c>
      <c r="B20593">
        <v>144</v>
      </c>
      <c r="C20593" s="1" t="str">
        <f>HYPERLINK("http://www.rosaceae.org/gb/gbrowse/malus_x_domestica/?name=MDP0000202785","MDP0000202785")</f>
        <v>MDP0000202785</v>
      </c>
      <c r="D20593">
        <v>56.64</v>
      </c>
      <c r="E20593">
        <v>143</v>
      </c>
      <c r="F20593">
        <v>62</v>
      </c>
      <c r="G20593">
        <v>21</v>
      </c>
      <c r="H20593">
        <v>18</v>
      </c>
      <c r="I20593">
        <v>139</v>
      </c>
      <c r="J20593">
        <v>1</v>
      </c>
      <c r="K20593">
        <v>179</v>
      </c>
      <c r="L20593">
        <v>321</v>
      </c>
      <c r="M20593">
        <v>1</v>
      </c>
      <c r="N20593">
        <v>9.9850200000000002E-34</v>
      </c>
      <c r="O20593">
        <v>350</v>
      </c>
    </row>
    <row r="20594" spans="1:15" x14ac:dyDescent="0.25">
      <c r="A20594" t="s">
        <v>20607</v>
      </c>
      <c r="B20594">
        <v>375</v>
      </c>
      <c r="C20594" s="1" t="str">
        <f>HYPERLINK("http://www.rosaceae.org/gb/gbrowse/malus_x_domestica/?name=MDP0000218802","MDP0000218802")</f>
        <v>MDP0000218802</v>
      </c>
      <c r="D20594">
        <v>70.41</v>
      </c>
      <c r="E20594">
        <v>382</v>
      </c>
      <c r="F20594">
        <v>113</v>
      </c>
      <c r="G20594">
        <v>32</v>
      </c>
      <c r="H20594">
        <v>8</v>
      </c>
      <c r="I20594">
        <v>375</v>
      </c>
      <c r="J20594">
        <v>1</v>
      </c>
      <c r="K20594">
        <v>11</v>
      </c>
      <c r="L20594">
        <v>374</v>
      </c>
      <c r="M20594">
        <v>1</v>
      </c>
      <c r="N20594">
        <v>1.1352299999999999E-151</v>
      </c>
      <c r="O20594">
        <v>1373</v>
      </c>
    </row>
    <row r="20595" spans="1:15" x14ac:dyDescent="0.25">
      <c r="A20595" t="s">
        <v>20608</v>
      </c>
      <c r="B20595">
        <v>394</v>
      </c>
      <c r="C20595" s="1" t="str">
        <f>HYPERLINK("http://www.rosaceae.org/gb/gbrowse/malus_x_domestica/?name=MDP0000162976","MDP0000162976")</f>
        <v>MDP0000162976</v>
      </c>
      <c r="D20595">
        <v>79.180000000000007</v>
      </c>
      <c r="E20595">
        <v>394</v>
      </c>
      <c r="F20595">
        <v>82</v>
      </c>
      <c r="G20595">
        <v>0</v>
      </c>
      <c r="H20595">
        <v>1</v>
      </c>
      <c r="I20595">
        <v>394</v>
      </c>
      <c r="J20595">
        <v>1</v>
      </c>
      <c r="K20595">
        <v>14</v>
      </c>
      <c r="L20595">
        <v>407</v>
      </c>
      <c r="M20595">
        <v>1</v>
      </c>
      <c r="N20595">
        <v>0</v>
      </c>
      <c r="O20595">
        <v>1661</v>
      </c>
    </row>
    <row r="20596" spans="1:15" x14ac:dyDescent="0.25">
      <c r="A20596" t="s">
        <v>20609</v>
      </c>
      <c r="B20596">
        <v>359</v>
      </c>
      <c r="C20596" s="1" t="str">
        <f>HYPERLINK("http://www.rosaceae.org/gb/gbrowse/malus_x_domestica/?name=MDP0000315507","MDP0000315507")</f>
        <v>MDP0000315507</v>
      </c>
      <c r="D20596">
        <v>47.76</v>
      </c>
      <c r="E20596">
        <v>268</v>
      </c>
      <c r="F20596">
        <v>140</v>
      </c>
      <c r="G20596">
        <v>30</v>
      </c>
      <c r="H20596">
        <v>111</v>
      </c>
      <c r="I20596">
        <v>353</v>
      </c>
      <c r="J20596">
        <v>1</v>
      </c>
      <c r="K20596">
        <v>94</v>
      </c>
      <c r="L20596">
        <v>356</v>
      </c>
      <c r="M20596">
        <v>1</v>
      </c>
      <c r="N20596">
        <v>1.0651400000000001E-45</v>
      </c>
      <c r="O20596">
        <v>459</v>
      </c>
    </row>
    <row r="20597" spans="1:15" x14ac:dyDescent="0.25">
      <c r="A20597" t="s">
        <v>20610</v>
      </c>
      <c r="B20597">
        <v>630</v>
      </c>
      <c r="C20597" s="1" t="str">
        <f>HYPERLINK("http://www.rosaceae.org/gb/gbrowse/malus_x_domestica/?name=MDP0000260076","MDP0000260076")</f>
        <v>MDP0000260076</v>
      </c>
      <c r="D20597">
        <v>69.510000000000005</v>
      </c>
      <c r="E20597">
        <v>620</v>
      </c>
      <c r="F20597">
        <v>189</v>
      </c>
      <c r="G20597">
        <v>1</v>
      </c>
      <c r="H20597">
        <v>1</v>
      </c>
      <c r="I20597">
        <v>619</v>
      </c>
      <c r="J20597">
        <v>1</v>
      </c>
      <c r="K20597">
        <v>1129</v>
      </c>
      <c r="L20597">
        <v>1748</v>
      </c>
      <c r="M20597">
        <v>1</v>
      </c>
      <c r="N20597">
        <v>0</v>
      </c>
      <c r="O20597">
        <v>2312</v>
      </c>
    </row>
    <row r="20598" spans="1:15" x14ac:dyDescent="0.25">
      <c r="A20598" t="s">
        <v>20611</v>
      </c>
      <c r="B20598">
        <v>288</v>
      </c>
      <c r="C20598" s="1" t="str">
        <f>HYPERLINK("http://www.rosaceae.org/gb/gbrowse/malus_x_domestica/?name=MDP0000201845","MDP0000201845")</f>
        <v>MDP0000201845</v>
      </c>
      <c r="D20598">
        <v>53.38</v>
      </c>
      <c r="E20598">
        <v>133</v>
      </c>
      <c r="F20598">
        <v>62</v>
      </c>
      <c r="G20598">
        <v>6</v>
      </c>
      <c r="H20598">
        <v>44</v>
      </c>
      <c r="I20598">
        <v>170</v>
      </c>
      <c r="J20598">
        <v>1</v>
      </c>
      <c r="K20598">
        <v>300</v>
      </c>
      <c r="L20598">
        <v>432</v>
      </c>
      <c r="M20598">
        <v>1</v>
      </c>
      <c r="N20598">
        <v>2.3837800000000001E-29</v>
      </c>
      <c r="O20598">
        <v>317</v>
      </c>
    </row>
    <row r="20599" spans="1:15" x14ac:dyDescent="0.25">
      <c r="A20599" t="s">
        <v>20612</v>
      </c>
      <c r="B20599">
        <v>231</v>
      </c>
      <c r="C20599" s="1" t="str">
        <f>HYPERLINK("http://www.rosaceae.org/gb/gbrowse/malus_x_domestica/?name=MDP0000302570","MDP0000302570")</f>
        <v>MDP0000302570</v>
      </c>
      <c r="D20599">
        <v>84.95</v>
      </c>
      <c r="E20599">
        <v>226</v>
      </c>
      <c r="F20599">
        <v>34</v>
      </c>
      <c r="G20599">
        <v>0</v>
      </c>
      <c r="H20599">
        <v>2</v>
      </c>
      <c r="I20599">
        <v>227</v>
      </c>
      <c r="J20599">
        <v>1</v>
      </c>
      <c r="K20599">
        <v>7</v>
      </c>
      <c r="L20599">
        <v>232</v>
      </c>
      <c r="M20599">
        <v>1</v>
      </c>
      <c r="N20599">
        <v>7.0495600000000004E-113</v>
      </c>
      <c r="O20599">
        <v>1036</v>
      </c>
    </row>
    <row r="20600" spans="1:15" x14ac:dyDescent="0.25">
      <c r="A20600" t="s">
        <v>20613</v>
      </c>
      <c r="B20600">
        <v>217</v>
      </c>
      <c r="C20600" s="1" t="str">
        <f>HYPERLINK("http://www.rosaceae.org/gb/gbrowse/malus_x_domestica/?name=MDP0000170410","MDP0000170410")</f>
        <v>MDP0000170410</v>
      </c>
      <c r="D20600">
        <v>79.48</v>
      </c>
      <c r="E20600">
        <v>39</v>
      </c>
      <c r="F20600">
        <v>8</v>
      </c>
      <c r="G20600">
        <v>0</v>
      </c>
      <c r="H20600">
        <v>34</v>
      </c>
      <c r="I20600">
        <v>72</v>
      </c>
      <c r="J20600">
        <v>1</v>
      </c>
      <c r="K20600">
        <v>65</v>
      </c>
      <c r="L20600">
        <v>103</v>
      </c>
      <c r="M20600">
        <v>1</v>
      </c>
      <c r="N20600">
        <v>3.45191E-12</v>
      </c>
      <c r="O20600">
        <v>167</v>
      </c>
    </row>
    <row r="20601" spans="1:15" x14ac:dyDescent="0.25">
      <c r="A20601" t="s">
        <v>20614</v>
      </c>
      <c r="B20601">
        <v>290</v>
      </c>
      <c r="C20601" s="1" t="str">
        <f>HYPERLINK("http://www.rosaceae.org/gb/gbrowse/malus_x_domestica/?name=MDP0000145423","MDP0000145423")</f>
        <v>MDP0000145423</v>
      </c>
      <c r="D20601">
        <v>87.34</v>
      </c>
      <c r="E20601">
        <v>237</v>
      </c>
      <c r="F20601">
        <v>30</v>
      </c>
      <c r="G20601">
        <v>0</v>
      </c>
      <c r="H20601">
        <v>53</v>
      </c>
      <c r="I20601">
        <v>289</v>
      </c>
      <c r="J20601">
        <v>1</v>
      </c>
      <c r="K20601">
        <v>93</v>
      </c>
      <c r="L20601">
        <v>329</v>
      </c>
      <c r="M20601">
        <v>1</v>
      </c>
      <c r="N20601">
        <v>1.18445E-116</v>
      </c>
      <c r="O20601">
        <v>1070</v>
      </c>
    </row>
    <row r="20602" spans="1:15" x14ac:dyDescent="0.25">
      <c r="A20602" t="s">
        <v>20615</v>
      </c>
      <c r="B20602">
        <v>231</v>
      </c>
      <c r="C20602" s="1" t="str">
        <f>HYPERLINK("http://www.rosaceae.org/gb/gbrowse/malus_x_domestica/?name=MDP0000182310","MDP0000182310")</f>
        <v>MDP0000182310</v>
      </c>
      <c r="D20602">
        <v>46.72</v>
      </c>
      <c r="E20602">
        <v>214</v>
      </c>
      <c r="F20602">
        <v>114</v>
      </c>
      <c r="G20602">
        <v>39</v>
      </c>
      <c r="H20602">
        <v>48</v>
      </c>
      <c r="I20602">
        <v>229</v>
      </c>
      <c r="J20602">
        <v>1</v>
      </c>
      <c r="K20602">
        <v>32</v>
      </c>
      <c r="L20602">
        <v>238</v>
      </c>
      <c r="M20602">
        <v>1</v>
      </c>
      <c r="N20602">
        <v>4.3345099999999999E-35</v>
      </c>
      <c r="O20602">
        <v>365</v>
      </c>
    </row>
    <row r="20603" spans="1:15" x14ac:dyDescent="0.25">
      <c r="A20603" t="s">
        <v>20616</v>
      </c>
      <c r="B20603">
        <v>591</v>
      </c>
      <c r="C20603" s="1" t="str">
        <f>HYPERLINK("http://www.rosaceae.org/gb/gbrowse/malus_x_domestica/?name=MDP0000201016","MDP0000201016")</f>
        <v>MDP0000201016</v>
      </c>
      <c r="D20603">
        <v>56.88</v>
      </c>
      <c r="E20603">
        <v>385</v>
      </c>
      <c r="F20603">
        <v>166</v>
      </c>
      <c r="G20603">
        <v>18</v>
      </c>
      <c r="H20603">
        <v>119</v>
      </c>
      <c r="I20603">
        <v>486</v>
      </c>
      <c r="J20603">
        <v>1</v>
      </c>
      <c r="K20603">
        <v>92</v>
      </c>
      <c r="L20603">
        <v>475</v>
      </c>
      <c r="M20603">
        <v>1</v>
      </c>
      <c r="N20603">
        <v>4.1305799999999999E-118</v>
      </c>
      <c r="O20603">
        <v>1086</v>
      </c>
    </row>
    <row r="20604" spans="1:15" x14ac:dyDescent="0.25">
      <c r="A20604" t="s">
        <v>20617</v>
      </c>
      <c r="B20604">
        <v>267</v>
      </c>
      <c r="C20604" s="1" t="str">
        <f>HYPERLINK("http://www.rosaceae.org/gb/gbrowse/malus_x_domestica/?name=MDP0000777060","MDP0000777060")</f>
        <v>MDP0000777060</v>
      </c>
      <c r="D20604">
        <v>76.75</v>
      </c>
      <c r="E20604">
        <v>185</v>
      </c>
      <c r="F20604">
        <v>43</v>
      </c>
      <c r="G20604">
        <v>6</v>
      </c>
      <c r="H20604">
        <v>12</v>
      </c>
      <c r="I20604">
        <v>194</v>
      </c>
      <c r="J20604">
        <v>1</v>
      </c>
      <c r="K20604">
        <v>1</v>
      </c>
      <c r="L20604">
        <v>181</v>
      </c>
      <c r="M20604">
        <v>1</v>
      </c>
      <c r="N20604">
        <v>5.5802999999999997E-78</v>
      </c>
      <c r="O20604">
        <v>736</v>
      </c>
    </row>
    <row r="20605" spans="1:15" x14ac:dyDescent="0.25">
      <c r="A20605" t="s">
        <v>20618</v>
      </c>
      <c r="B20605">
        <v>365</v>
      </c>
      <c r="C20605" s="1" t="str">
        <f>HYPERLINK("http://www.rosaceae.org/gb/gbrowse/malus_x_domestica/?name=MDP0000226294","MDP0000226294")</f>
        <v>MDP0000226294</v>
      </c>
      <c r="D20605">
        <v>41.23</v>
      </c>
      <c r="E20605">
        <v>325</v>
      </c>
      <c r="F20605">
        <v>191</v>
      </c>
      <c r="G20605">
        <v>17</v>
      </c>
      <c r="H20605">
        <v>15</v>
      </c>
      <c r="I20605">
        <v>338</v>
      </c>
      <c r="J20605">
        <v>1</v>
      </c>
      <c r="K20605">
        <v>428</v>
      </c>
      <c r="L20605">
        <v>736</v>
      </c>
      <c r="M20605">
        <v>1</v>
      </c>
      <c r="N20605">
        <v>4.5476900000000001E-69</v>
      </c>
      <c r="O20605">
        <v>661</v>
      </c>
    </row>
    <row r="20606" spans="1:15" x14ac:dyDescent="0.25">
      <c r="A20606" t="s">
        <v>20619</v>
      </c>
      <c r="B20606">
        <v>998</v>
      </c>
      <c r="C20606" s="1" t="str">
        <f>HYPERLINK("http://www.rosaceae.org/gb/gbrowse/malus_x_domestica/?name=MDP0000156178","MDP0000156178")</f>
        <v>MDP0000156178</v>
      </c>
      <c r="D20606">
        <v>44.25</v>
      </c>
      <c r="E20606">
        <v>583</v>
      </c>
      <c r="F20606">
        <v>325</v>
      </c>
      <c r="G20606">
        <v>91</v>
      </c>
      <c r="H20606">
        <v>478</v>
      </c>
      <c r="I20606">
        <v>991</v>
      </c>
      <c r="J20606">
        <v>1</v>
      </c>
      <c r="K20606">
        <v>2</v>
      </c>
      <c r="L20606">
        <v>562</v>
      </c>
      <c r="M20606">
        <v>1</v>
      </c>
      <c r="N20606">
        <v>7.4950200000000003E-106</v>
      </c>
      <c r="O20606">
        <v>982</v>
      </c>
    </row>
    <row r="20607" spans="1:15" x14ac:dyDescent="0.25">
      <c r="A20607" t="s">
        <v>20620</v>
      </c>
      <c r="B20607">
        <v>126</v>
      </c>
      <c r="C20607" s="1" t="str">
        <f>HYPERLINK("http://www.rosaceae.org/gb/gbrowse/malus_x_domestica/?name=MDP0000408630","MDP0000408630")</f>
        <v>MDP0000408630</v>
      </c>
      <c r="D20607">
        <v>32.53</v>
      </c>
      <c r="E20607">
        <v>126</v>
      </c>
      <c r="F20607">
        <v>85</v>
      </c>
      <c r="G20607">
        <v>6</v>
      </c>
      <c r="H20607">
        <v>1</v>
      </c>
      <c r="I20607">
        <v>126</v>
      </c>
      <c r="J20607">
        <v>1</v>
      </c>
      <c r="K20607">
        <v>12</v>
      </c>
      <c r="L20607">
        <v>131</v>
      </c>
      <c r="M20607">
        <v>1</v>
      </c>
      <c r="N20607">
        <v>1.97035E-12</v>
      </c>
      <c r="O20607">
        <v>165</v>
      </c>
    </row>
    <row r="20608" spans="1:15" x14ac:dyDescent="0.25">
      <c r="A20608" t="s">
        <v>20621</v>
      </c>
      <c r="B20608">
        <v>787</v>
      </c>
      <c r="C20608" s="1" t="str">
        <f>HYPERLINK("http://www.rosaceae.org/gb/gbrowse/malus_x_domestica/?name=MDP0000292315","MDP0000292315")</f>
        <v>MDP0000292315</v>
      </c>
      <c r="D20608">
        <v>76.23</v>
      </c>
      <c r="E20608">
        <v>690</v>
      </c>
      <c r="F20608">
        <v>164</v>
      </c>
      <c r="G20608">
        <v>8</v>
      </c>
      <c r="H20608">
        <v>68</v>
      </c>
      <c r="I20608">
        <v>750</v>
      </c>
      <c r="J20608">
        <v>1</v>
      </c>
      <c r="K20608">
        <v>70</v>
      </c>
      <c r="L20608">
        <v>758</v>
      </c>
      <c r="M20608">
        <v>1</v>
      </c>
      <c r="N20608">
        <v>0</v>
      </c>
      <c r="O20608">
        <v>2835</v>
      </c>
    </row>
    <row r="20609" spans="1:15" x14ac:dyDescent="0.25">
      <c r="A20609" t="s">
        <v>20622</v>
      </c>
      <c r="B20609">
        <v>312</v>
      </c>
      <c r="C20609" s="1" t="str">
        <f>HYPERLINK("http://www.rosaceae.org/gb/gbrowse/malus_x_domestica/?name=MDP0000881537","MDP0000881537")</f>
        <v>MDP0000881537</v>
      </c>
      <c r="D20609">
        <v>63.13</v>
      </c>
      <c r="E20609">
        <v>255</v>
      </c>
      <c r="F20609">
        <v>94</v>
      </c>
      <c r="G20609">
        <v>18</v>
      </c>
      <c r="H20609">
        <v>1</v>
      </c>
      <c r="I20609">
        <v>240</v>
      </c>
      <c r="J20609">
        <v>1</v>
      </c>
      <c r="K20609">
        <v>17</v>
      </c>
      <c r="L20609">
        <v>268</v>
      </c>
      <c r="M20609">
        <v>1</v>
      </c>
      <c r="N20609">
        <v>2.92564E-86</v>
      </c>
      <c r="O20609">
        <v>808</v>
      </c>
    </row>
    <row r="20610" spans="1:15" x14ac:dyDescent="0.25">
      <c r="A20610" t="s">
        <v>20623</v>
      </c>
      <c r="B20610">
        <v>587</v>
      </c>
      <c r="C20610" s="1" t="str">
        <f>HYPERLINK("http://www.rosaceae.org/gb/gbrowse/malus_x_domestica/?name=MDP0000184262","MDP0000184262")</f>
        <v>MDP0000184262</v>
      </c>
      <c r="D20610">
        <v>34.17</v>
      </c>
      <c r="E20610">
        <v>553</v>
      </c>
      <c r="F20610">
        <v>364</v>
      </c>
      <c r="G20610">
        <v>123</v>
      </c>
      <c r="H20610">
        <v>9</v>
      </c>
      <c r="I20610">
        <v>558</v>
      </c>
      <c r="J20610">
        <v>1</v>
      </c>
      <c r="K20610">
        <v>16</v>
      </c>
      <c r="L20610">
        <v>448</v>
      </c>
      <c r="M20610">
        <v>1</v>
      </c>
      <c r="N20610">
        <v>1.03556E-55</v>
      </c>
      <c r="O20610">
        <v>548</v>
      </c>
    </row>
    <row r="20611" spans="1:15" x14ac:dyDescent="0.25">
      <c r="A20611" t="s">
        <v>20624</v>
      </c>
      <c r="B20611">
        <v>156</v>
      </c>
      <c r="C20611" s="1" t="str">
        <f>HYPERLINK("http://www.rosaceae.org/gb/gbrowse/malus_x_domestica/?name=MDP0000597996","MDP0000597996")</f>
        <v>MDP0000597996</v>
      </c>
      <c r="D20611">
        <v>92.94</v>
      </c>
      <c r="E20611">
        <v>156</v>
      </c>
      <c r="F20611">
        <v>11</v>
      </c>
      <c r="G20611">
        <v>0</v>
      </c>
      <c r="H20611">
        <v>1</v>
      </c>
      <c r="I20611">
        <v>156</v>
      </c>
      <c r="J20611">
        <v>1</v>
      </c>
      <c r="K20611">
        <v>71</v>
      </c>
      <c r="L20611">
        <v>226</v>
      </c>
      <c r="M20611">
        <v>1</v>
      </c>
      <c r="N20611">
        <v>1.19864E-82</v>
      </c>
      <c r="O20611">
        <v>772</v>
      </c>
    </row>
    <row r="20612" spans="1:15" x14ac:dyDescent="0.25">
      <c r="A20612" t="s">
        <v>20625</v>
      </c>
      <c r="B20612">
        <v>269</v>
      </c>
      <c r="C20612" s="1" t="str">
        <f>HYPERLINK("http://www.rosaceae.org/gb/gbrowse/malus_x_domestica/?name=MDP0000130897","MDP0000130897")</f>
        <v>MDP0000130897</v>
      </c>
      <c r="D20612">
        <v>40.6</v>
      </c>
      <c r="E20612">
        <v>165</v>
      </c>
      <c r="F20612">
        <v>98</v>
      </c>
      <c r="G20612">
        <v>31</v>
      </c>
      <c r="H20612">
        <v>58</v>
      </c>
      <c r="I20612">
        <v>194</v>
      </c>
      <c r="J20612">
        <v>1</v>
      </c>
      <c r="K20612">
        <v>1</v>
      </c>
      <c r="L20612">
        <v>162</v>
      </c>
      <c r="M20612">
        <v>1</v>
      </c>
      <c r="N20612">
        <v>1.73832E-27</v>
      </c>
      <c r="O20612">
        <v>300</v>
      </c>
    </row>
    <row r="20613" spans="1:15" x14ac:dyDescent="0.25">
      <c r="A20613" t="s">
        <v>20626</v>
      </c>
      <c r="B20613">
        <v>582</v>
      </c>
      <c r="C20613" s="1" t="str">
        <f>HYPERLINK("http://www.rosaceae.org/gb/gbrowse/malus_x_domestica/?name=MDP0000237182","MDP0000237182")</f>
        <v>MDP0000237182</v>
      </c>
      <c r="D20613">
        <v>30.14</v>
      </c>
      <c r="E20613">
        <v>335</v>
      </c>
      <c r="F20613">
        <v>234</v>
      </c>
      <c r="G20613">
        <v>33</v>
      </c>
      <c r="H20613">
        <v>176</v>
      </c>
      <c r="I20613">
        <v>499</v>
      </c>
      <c r="J20613">
        <v>1</v>
      </c>
      <c r="K20613">
        <v>205</v>
      </c>
      <c r="L20613">
        <v>517</v>
      </c>
      <c r="M20613">
        <v>1</v>
      </c>
      <c r="N20613">
        <v>4.55394E-33</v>
      </c>
      <c r="O20613">
        <v>352</v>
      </c>
    </row>
    <row r="20614" spans="1:15" x14ac:dyDescent="0.25">
      <c r="A20614" t="s">
        <v>20627</v>
      </c>
      <c r="B20614">
        <v>285</v>
      </c>
      <c r="C20614" s="1" t="str">
        <f>HYPERLINK("http://www.rosaceae.org/gb/gbrowse/malus_x_domestica/?name=MDP0000700517","MDP0000700517")</f>
        <v>MDP0000700517</v>
      </c>
      <c r="D20614">
        <v>32.020000000000003</v>
      </c>
      <c r="E20614">
        <v>153</v>
      </c>
      <c r="F20614">
        <v>104</v>
      </c>
      <c r="G20614">
        <v>15</v>
      </c>
      <c r="H20614">
        <v>38</v>
      </c>
      <c r="I20614">
        <v>180</v>
      </c>
      <c r="J20614">
        <v>1</v>
      </c>
      <c r="K20614">
        <v>221</v>
      </c>
      <c r="L20614">
        <v>368</v>
      </c>
      <c r="M20614">
        <v>1</v>
      </c>
      <c r="N20614">
        <v>3.1790100000000002E-16</v>
      </c>
      <c r="O20614">
        <v>204</v>
      </c>
    </row>
    <row r="20615" spans="1:15" x14ac:dyDescent="0.25">
      <c r="A20615" t="s">
        <v>20628</v>
      </c>
      <c r="B20615">
        <v>515</v>
      </c>
      <c r="C20615" s="1" t="str">
        <f>HYPERLINK("http://www.rosaceae.org/gb/gbrowse/malus_x_domestica/?name=MDP0000862649","MDP0000862649")</f>
        <v>MDP0000862649</v>
      </c>
      <c r="D20615">
        <v>66.959999999999994</v>
      </c>
      <c r="E20615">
        <v>454</v>
      </c>
      <c r="F20615">
        <v>150</v>
      </c>
      <c r="G20615">
        <v>12</v>
      </c>
      <c r="H20615">
        <v>71</v>
      </c>
      <c r="I20615">
        <v>514</v>
      </c>
      <c r="J20615">
        <v>1</v>
      </c>
      <c r="K20615">
        <v>65</v>
      </c>
      <c r="L20615">
        <v>516</v>
      </c>
      <c r="M20615">
        <v>1</v>
      </c>
      <c r="N20615">
        <v>9.1463000000000001E-173</v>
      </c>
      <c r="O20615">
        <v>1557</v>
      </c>
    </row>
    <row r="20616" spans="1:15" x14ac:dyDescent="0.25">
      <c r="A20616" t="s">
        <v>20629</v>
      </c>
      <c r="B20616">
        <v>276</v>
      </c>
      <c r="C20616" s="1" t="str">
        <f>HYPERLINK("http://www.rosaceae.org/gb/gbrowse/malus_x_domestica/?name=MDP0000191452","MDP0000191452")</f>
        <v>MDP0000191452</v>
      </c>
      <c r="D20616">
        <v>51.8</v>
      </c>
      <c r="E20616">
        <v>361</v>
      </c>
      <c r="F20616">
        <v>174</v>
      </c>
      <c r="G20616">
        <v>93</v>
      </c>
      <c r="H20616">
        <v>1</v>
      </c>
      <c r="I20616">
        <v>275</v>
      </c>
      <c r="J20616">
        <v>1</v>
      </c>
      <c r="K20616">
        <v>1</v>
      </c>
      <c r="L20616">
        <v>354</v>
      </c>
      <c r="M20616">
        <v>1</v>
      </c>
      <c r="N20616">
        <v>2.6135E-86</v>
      </c>
      <c r="O20616">
        <v>808</v>
      </c>
    </row>
    <row r="20617" spans="1:15" x14ac:dyDescent="0.25">
      <c r="A20617" t="s">
        <v>20630</v>
      </c>
      <c r="B20617">
        <v>123</v>
      </c>
      <c r="C20617" s="1" t="str">
        <f>HYPERLINK("http://www.rosaceae.org/gb/gbrowse/malus_x_domestica/?name=MDP0000279776","MDP0000279776")</f>
        <v>MDP0000279776</v>
      </c>
      <c r="D20617">
        <v>66.66</v>
      </c>
      <c r="E20617">
        <v>135</v>
      </c>
      <c r="F20617">
        <v>45</v>
      </c>
      <c r="G20617">
        <v>15</v>
      </c>
      <c r="H20617">
        <v>4</v>
      </c>
      <c r="I20617">
        <v>123</v>
      </c>
      <c r="J20617">
        <v>1</v>
      </c>
      <c r="K20617">
        <v>1468</v>
      </c>
      <c r="L20617">
        <v>1602</v>
      </c>
      <c r="M20617">
        <v>1</v>
      </c>
      <c r="N20617">
        <v>1.3456399999999999E-43</v>
      </c>
      <c r="O20617">
        <v>433</v>
      </c>
    </row>
    <row r="20618" spans="1:15" x14ac:dyDescent="0.25">
      <c r="A20618" t="s">
        <v>20631</v>
      </c>
      <c r="B20618">
        <v>241</v>
      </c>
      <c r="C20618" s="1" t="str">
        <f>HYPERLINK("http://www.rosaceae.org/gb/gbrowse/malus_x_domestica/?name=MDP0000321023","MDP0000321023")</f>
        <v>MDP0000321023</v>
      </c>
      <c r="D20618">
        <v>76.849999999999994</v>
      </c>
      <c r="E20618">
        <v>216</v>
      </c>
      <c r="F20618">
        <v>50</v>
      </c>
      <c r="G20618">
        <v>3</v>
      </c>
      <c r="H20618">
        <v>1</v>
      </c>
      <c r="I20618">
        <v>214</v>
      </c>
      <c r="J20618">
        <v>1</v>
      </c>
      <c r="K20618">
        <v>11</v>
      </c>
      <c r="L20618">
        <v>225</v>
      </c>
      <c r="M20618">
        <v>1</v>
      </c>
      <c r="N20618">
        <v>1.0271600000000001E-95</v>
      </c>
      <c r="O20618">
        <v>888</v>
      </c>
    </row>
    <row r="20619" spans="1:15" x14ac:dyDescent="0.25">
      <c r="A20619" t="s">
        <v>20632</v>
      </c>
      <c r="B20619">
        <v>126</v>
      </c>
      <c r="C20619" s="1" t="str">
        <f>HYPERLINK("http://www.rosaceae.org/gb/gbrowse/malus_x_domestica/?name=MDP0000908853","MDP0000908853")</f>
        <v>MDP0000908853</v>
      </c>
      <c r="D20619">
        <v>52.67</v>
      </c>
      <c r="E20619">
        <v>131</v>
      </c>
      <c r="F20619">
        <v>62</v>
      </c>
      <c r="G20619">
        <v>14</v>
      </c>
      <c r="H20619">
        <v>1</v>
      </c>
      <c r="I20619">
        <v>126</v>
      </c>
      <c r="J20619">
        <v>1</v>
      </c>
      <c r="K20619">
        <v>1</v>
      </c>
      <c r="L20619">
        <v>122</v>
      </c>
      <c r="M20619">
        <v>1</v>
      </c>
      <c r="N20619">
        <v>1.55353E-26</v>
      </c>
      <c r="O20619">
        <v>286</v>
      </c>
    </row>
    <row r="20620" spans="1:15" x14ac:dyDescent="0.25">
      <c r="A20620" t="s">
        <v>20633</v>
      </c>
      <c r="B20620">
        <v>115</v>
      </c>
      <c r="C20620" s="1" t="str">
        <f>HYPERLINK("http://www.rosaceae.org/gb/gbrowse/malus_x_domestica/?name=MDP0000180224","MDP0000180224")</f>
        <v>MDP0000180224</v>
      </c>
      <c r="D20620">
        <v>81.81</v>
      </c>
      <c r="E20620">
        <v>33</v>
      </c>
      <c r="F20620">
        <v>6</v>
      </c>
      <c r="G20620">
        <v>0</v>
      </c>
      <c r="H20620">
        <v>1</v>
      </c>
      <c r="I20620">
        <v>33</v>
      </c>
      <c r="J20620">
        <v>1</v>
      </c>
      <c r="K20620">
        <v>205</v>
      </c>
      <c r="L20620">
        <v>237</v>
      </c>
      <c r="M20620">
        <v>1</v>
      </c>
      <c r="N20620">
        <v>7.9193700000000001E-9</v>
      </c>
      <c r="O20620">
        <v>134</v>
      </c>
    </row>
    <row r="20621" spans="1:15" x14ac:dyDescent="0.25">
      <c r="A20621" t="s">
        <v>20634</v>
      </c>
      <c r="B20621">
        <v>303</v>
      </c>
      <c r="C20621" s="1" t="str">
        <f>HYPERLINK("http://www.rosaceae.org/gb/gbrowse/malus_x_domestica/?name=MDP0000278575","MDP0000278575")</f>
        <v>MDP0000278575</v>
      </c>
      <c r="D20621">
        <v>36.840000000000003</v>
      </c>
      <c r="E20621">
        <v>285</v>
      </c>
      <c r="F20621">
        <v>180</v>
      </c>
      <c r="G20621">
        <v>41</v>
      </c>
      <c r="H20621">
        <v>1</v>
      </c>
      <c r="I20621">
        <v>264</v>
      </c>
      <c r="J20621">
        <v>1</v>
      </c>
      <c r="K20621">
        <v>802</v>
      </c>
      <c r="L20621">
        <v>1066</v>
      </c>
      <c r="M20621">
        <v>1</v>
      </c>
      <c r="N20621">
        <v>5.0140100000000003E-33</v>
      </c>
      <c r="O20621">
        <v>349</v>
      </c>
    </row>
    <row r="20622" spans="1:15" x14ac:dyDescent="0.25">
      <c r="A20622" t="s">
        <v>20635</v>
      </c>
      <c r="B20622">
        <v>294</v>
      </c>
      <c r="C20622" s="1" t="str">
        <f>HYPERLINK("http://www.rosaceae.org/gb/gbrowse/malus_x_domestica/?name=MDP0000158129","MDP0000158129")</f>
        <v>MDP0000158129</v>
      </c>
      <c r="D20622">
        <v>73.239999999999995</v>
      </c>
      <c r="E20622">
        <v>299</v>
      </c>
      <c r="F20622">
        <v>80</v>
      </c>
      <c r="G20622">
        <v>11</v>
      </c>
      <c r="H20622">
        <v>1</v>
      </c>
      <c r="I20622">
        <v>294</v>
      </c>
      <c r="J20622">
        <v>1</v>
      </c>
      <c r="K20622">
        <v>1</v>
      </c>
      <c r="L20622">
        <v>293</v>
      </c>
      <c r="M20622">
        <v>1</v>
      </c>
      <c r="N20622">
        <v>1.10337E-117</v>
      </c>
      <c r="O20622">
        <v>1079</v>
      </c>
    </row>
    <row r="20623" spans="1:15" x14ac:dyDescent="0.25">
      <c r="A20623" t="s">
        <v>20636</v>
      </c>
      <c r="B20623">
        <v>271</v>
      </c>
      <c r="C20623" s="1" t="str">
        <f>HYPERLINK("http://www.rosaceae.org/gb/gbrowse/malus_x_domestica/?name=MDP0000311788","MDP0000311788")</f>
        <v>MDP0000311788</v>
      </c>
      <c r="D20623">
        <v>82.71</v>
      </c>
      <c r="E20623">
        <v>214</v>
      </c>
      <c r="F20623">
        <v>37</v>
      </c>
      <c r="G20623">
        <v>0</v>
      </c>
      <c r="H20623">
        <v>5</v>
      </c>
      <c r="I20623">
        <v>218</v>
      </c>
      <c r="J20623">
        <v>1</v>
      </c>
      <c r="K20623">
        <v>1115</v>
      </c>
      <c r="L20623">
        <v>1328</v>
      </c>
      <c r="M20623">
        <v>1</v>
      </c>
      <c r="N20623">
        <v>2.8331400000000002E-110</v>
      </c>
      <c r="O20623">
        <v>1014</v>
      </c>
    </row>
    <row r="20624" spans="1:15" x14ac:dyDescent="0.25">
      <c r="A20624" t="s">
        <v>20637</v>
      </c>
      <c r="B20624">
        <v>488</v>
      </c>
      <c r="C20624" s="1" t="str">
        <f>HYPERLINK("http://www.rosaceae.org/gb/gbrowse/malus_x_domestica/?name=MDP0000321317","MDP0000321317")</f>
        <v>MDP0000321317</v>
      </c>
      <c r="D20624">
        <v>70.22</v>
      </c>
      <c r="E20624">
        <v>524</v>
      </c>
      <c r="F20624">
        <v>156</v>
      </c>
      <c r="G20624">
        <v>62</v>
      </c>
      <c r="H20624">
        <v>1</v>
      </c>
      <c r="I20624">
        <v>488</v>
      </c>
      <c r="J20624">
        <v>1</v>
      </c>
      <c r="K20624">
        <v>1</v>
      </c>
      <c r="L20624">
        <v>498</v>
      </c>
      <c r="M20624">
        <v>1</v>
      </c>
      <c r="N20624">
        <v>0</v>
      </c>
      <c r="O20624">
        <v>1884</v>
      </c>
    </row>
    <row r="20625" spans="1:15" x14ac:dyDescent="0.25">
      <c r="A20625" t="s">
        <v>20638</v>
      </c>
      <c r="B20625">
        <v>366</v>
      </c>
      <c r="C20625" s="1" t="str">
        <f>HYPERLINK("http://www.rosaceae.org/gb/gbrowse/malus_x_domestica/?name=MDP0000320284","MDP0000320284")</f>
        <v>MDP0000320284</v>
      </c>
      <c r="D20625">
        <v>47.29</v>
      </c>
      <c r="E20625">
        <v>148</v>
      </c>
      <c r="F20625">
        <v>78</v>
      </c>
      <c r="G20625">
        <v>8</v>
      </c>
      <c r="H20625">
        <v>218</v>
      </c>
      <c r="I20625">
        <v>362</v>
      </c>
      <c r="J20625">
        <v>1</v>
      </c>
      <c r="K20625">
        <v>236</v>
      </c>
      <c r="L20625">
        <v>378</v>
      </c>
      <c r="M20625">
        <v>1</v>
      </c>
      <c r="N20625">
        <v>9.3783400000000005E-32</v>
      </c>
      <c r="O20625">
        <v>339</v>
      </c>
    </row>
    <row r="20626" spans="1:15" x14ac:dyDescent="0.25">
      <c r="A20626" t="s">
        <v>20639</v>
      </c>
      <c r="B20626">
        <v>478</v>
      </c>
      <c r="C20626" s="1" t="str">
        <f>HYPERLINK("http://www.rosaceae.org/gb/gbrowse/malus_x_domestica/?name=MDP0000138109","MDP0000138109")</f>
        <v>MDP0000138109</v>
      </c>
      <c r="D20626">
        <v>69.7</v>
      </c>
      <c r="E20626">
        <v>505</v>
      </c>
      <c r="F20626">
        <v>153</v>
      </c>
      <c r="G20626">
        <v>28</v>
      </c>
      <c r="H20626">
        <v>1</v>
      </c>
      <c r="I20626">
        <v>477</v>
      </c>
      <c r="J20626">
        <v>1</v>
      </c>
      <c r="K20626">
        <v>1</v>
      </c>
      <c r="L20626">
        <v>505</v>
      </c>
      <c r="M20626">
        <v>1</v>
      </c>
      <c r="N20626">
        <v>0</v>
      </c>
      <c r="O20626">
        <v>1802</v>
      </c>
    </row>
    <row r="20627" spans="1:15" x14ac:dyDescent="0.25">
      <c r="A20627" t="s">
        <v>20640</v>
      </c>
      <c r="B20627">
        <v>342</v>
      </c>
      <c r="C20627" s="1" t="str">
        <f>HYPERLINK("http://www.rosaceae.org/gb/gbrowse/malus_x_domestica/?name=MDP0000781698","MDP0000781698")</f>
        <v>MDP0000781698</v>
      </c>
      <c r="D20627">
        <v>73.290000000000006</v>
      </c>
      <c r="E20627">
        <v>352</v>
      </c>
      <c r="F20627">
        <v>94</v>
      </c>
      <c r="G20627">
        <v>11</v>
      </c>
      <c r="H20627">
        <v>1</v>
      </c>
      <c r="I20627">
        <v>342</v>
      </c>
      <c r="J20627">
        <v>1</v>
      </c>
      <c r="K20627">
        <v>1</v>
      </c>
      <c r="L20627">
        <v>351</v>
      </c>
      <c r="M20627">
        <v>1</v>
      </c>
      <c r="N20627">
        <v>5.9004700000000001E-145</v>
      </c>
      <c r="O20627">
        <v>1315</v>
      </c>
    </row>
    <row r="20628" spans="1:15" x14ac:dyDescent="0.25">
      <c r="A20628" t="s">
        <v>20641</v>
      </c>
      <c r="B20628">
        <v>293</v>
      </c>
      <c r="C20628" s="1" t="str">
        <f>HYPERLINK("http://www.rosaceae.org/gb/gbrowse/malus_x_domestica/?name=MDP0000132840","MDP0000132840")</f>
        <v>MDP0000132840</v>
      </c>
      <c r="D20628">
        <v>75.53</v>
      </c>
      <c r="E20628">
        <v>278</v>
      </c>
      <c r="F20628">
        <v>68</v>
      </c>
      <c r="G20628">
        <v>32</v>
      </c>
      <c r="H20628">
        <v>48</v>
      </c>
      <c r="I20628">
        <v>293</v>
      </c>
      <c r="J20628">
        <v>1</v>
      </c>
      <c r="K20628">
        <v>3</v>
      </c>
      <c r="L20628">
        <v>280</v>
      </c>
      <c r="M20628">
        <v>1</v>
      </c>
      <c r="N20628">
        <v>1.1632699999999999E-118</v>
      </c>
      <c r="O20628">
        <v>1087</v>
      </c>
    </row>
    <row r="20629" spans="1:15" x14ac:dyDescent="0.25">
      <c r="A20629" t="s">
        <v>20642</v>
      </c>
      <c r="B20629">
        <v>349</v>
      </c>
      <c r="C20629" s="1" t="str">
        <f>HYPERLINK("http://www.rosaceae.org/gb/gbrowse/malus_x_domestica/?name=MDP0000875867","MDP0000875867")</f>
        <v>MDP0000875867</v>
      </c>
      <c r="D20629">
        <v>59.03</v>
      </c>
      <c r="E20629">
        <v>310</v>
      </c>
      <c r="F20629">
        <v>127</v>
      </c>
      <c r="G20629">
        <v>6</v>
      </c>
      <c r="H20629">
        <v>33</v>
      </c>
      <c r="I20629">
        <v>340</v>
      </c>
      <c r="J20629">
        <v>1</v>
      </c>
      <c r="K20629">
        <v>34</v>
      </c>
      <c r="L20629">
        <v>339</v>
      </c>
      <c r="M20629">
        <v>1</v>
      </c>
      <c r="N20629">
        <v>1.2812800000000001E-102</v>
      </c>
      <c r="O20629">
        <v>950</v>
      </c>
    </row>
    <row r="20630" spans="1:15" x14ac:dyDescent="0.25">
      <c r="A20630" t="s">
        <v>20643</v>
      </c>
      <c r="B20630">
        <v>282</v>
      </c>
      <c r="C20630" s="1" t="str">
        <f>HYPERLINK("http://www.rosaceae.org/gb/gbrowse/malus_x_domestica/?name=MDP0000931630","MDP0000931630")</f>
        <v>MDP0000931630</v>
      </c>
      <c r="D20630">
        <v>68.650000000000006</v>
      </c>
      <c r="E20630">
        <v>252</v>
      </c>
      <c r="F20630">
        <v>79</v>
      </c>
      <c r="G20630">
        <v>28</v>
      </c>
      <c r="H20630">
        <v>54</v>
      </c>
      <c r="I20630">
        <v>282</v>
      </c>
      <c r="J20630">
        <v>1</v>
      </c>
      <c r="K20630">
        <v>49</v>
      </c>
      <c r="L20630">
        <v>295</v>
      </c>
      <c r="M20630">
        <v>1</v>
      </c>
      <c r="N20630">
        <v>3.2223100000000002E-85</v>
      </c>
      <c r="O20630">
        <v>799</v>
      </c>
    </row>
    <row r="20631" spans="1:15" x14ac:dyDescent="0.25">
      <c r="A20631" t="s">
        <v>20644</v>
      </c>
      <c r="B20631">
        <v>402</v>
      </c>
      <c r="C20631" s="1" t="str">
        <f>HYPERLINK("http://www.rosaceae.org/gb/gbrowse/malus_x_domestica/?name=MDP0000120877","MDP0000120877")</f>
        <v>MDP0000120877</v>
      </c>
      <c r="D20631">
        <v>61.02</v>
      </c>
      <c r="E20631">
        <v>408</v>
      </c>
      <c r="F20631">
        <v>159</v>
      </c>
      <c r="G20631">
        <v>77</v>
      </c>
      <c r="H20631">
        <v>1</v>
      </c>
      <c r="I20631">
        <v>397</v>
      </c>
      <c r="J20631">
        <v>1</v>
      </c>
      <c r="K20631">
        <v>1</v>
      </c>
      <c r="L20631">
        <v>342</v>
      </c>
      <c r="M20631">
        <v>1</v>
      </c>
      <c r="N20631">
        <v>4.5128199999999997E-127</v>
      </c>
      <c r="O20631">
        <v>1161</v>
      </c>
    </row>
    <row r="20632" spans="1:15" x14ac:dyDescent="0.25">
      <c r="A20632" t="s">
        <v>20645</v>
      </c>
      <c r="B20632">
        <v>944</v>
      </c>
      <c r="C20632" s="1" t="str">
        <f>HYPERLINK("http://www.rosaceae.org/gb/gbrowse/malus_x_domestica/?name=MDP0000410776","MDP0000410776")</f>
        <v>MDP0000410776</v>
      </c>
      <c r="D20632">
        <v>69.58</v>
      </c>
      <c r="E20632">
        <v>480</v>
      </c>
      <c r="F20632">
        <v>146</v>
      </c>
      <c r="G20632">
        <v>23</v>
      </c>
      <c r="H20632">
        <v>1</v>
      </c>
      <c r="I20632">
        <v>475</v>
      </c>
      <c r="J20632">
        <v>1</v>
      </c>
      <c r="K20632">
        <v>1</v>
      </c>
      <c r="L20632">
        <v>462</v>
      </c>
      <c r="M20632">
        <v>1</v>
      </c>
      <c r="N20632">
        <v>0</v>
      </c>
      <c r="O20632">
        <v>1803</v>
      </c>
    </row>
    <row r="20633" spans="1:15" x14ac:dyDescent="0.25">
      <c r="A20633" t="s">
        <v>20646</v>
      </c>
      <c r="B20633">
        <v>578</v>
      </c>
      <c r="C20633" s="1" t="str">
        <f>HYPERLINK("http://www.rosaceae.org/gb/gbrowse/malus_x_domestica/?name=MDP0000424666","MDP0000424666")</f>
        <v>MDP0000424666</v>
      </c>
      <c r="D20633">
        <v>54.83</v>
      </c>
      <c r="E20633">
        <v>476</v>
      </c>
      <c r="F20633">
        <v>215</v>
      </c>
      <c r="G20633">
        <v>40</v>
      </c>
      <c r="H20633">
        <v>45</v>
      </c>
      <c r="I20633">
        <v>507</v>
      </c>
      <c r="J20633">
        <v>1</v>
      </c>
      <c r="K20633">
        <v>52</v>
      </c>
      <c r="L20633">
        <v>500</v>
      </c>
      <c r="M20633">
        <v>1</v>
      </c>
      <c r="N20633">
        <v>2.4686200000000001E-130</v>
      </c>
      <c r="O20633">
        <v>1191</v>
      </c>
    </row>
    <row r="20634" spans="1:15" x14ac:dyDescent="0.25">
      <c r="A20634" t="s">
        <v>20647</v>
      </c>
      <c r="B20634">
        <v>365</v>
      </c>
      <c r="C20634" s="1" t="str">
        <f>HYPERLINK("http://www.rosaceae.org/gb/gbrowse/malus_x_domestica/?name=MDP0000153556","MDP0000153556")</f>
        <v>MDP0000153556</v>
      </c>
      <c r="D20634">
        <v>79.89</v>
      </c>
      <c r="E20634">
        <v>368</v>
      </c>
      <c r="F20634">
        <v>74</v>
      </c>
      <c r="G20634">
        <v>33</v>
      </c>
      <c r="H20634">
        <v>27</v>
      </c>
      <c r="I20634">
        <v>365</v>
      </c>
      <c r="J20634">
        <v>1</v>
      </c>
      <c r="K20634">
        <v>28</v>
      </c>
      <c r="L20634">
        <v>391</v>
      </c>
      <c r="M20634">
        <v>1</v>
      </c>
      <c r="N20634">
        <v>6.6413300000000001E-173</v>
      </c>
      <c r="O20634">
        <v>1556</v>
      </c>
    </row>
    <row r="20635" spans="1:15" x14ac:dyDescent="0.25">
      <c r="A20635" t="s">
        <v>20648</v>
      </c>
      <c r="B20635">
        <v>709</v>
      </c>
      <c r="C20635" s="1" t="str">
        <f>HYPERLINK("http://www.rosaceae.org/gb/gbrowse/malus_x_domestica/?name=MDP0000293008","MDP0000293008")</f>
        <v>MDP0000293008</v>
      </c>
      <c r="D20635">
        <v>65.099999999999994</v>
      </c>
      <c r="E20635">
        <v>725</v>
      </c>
      <c r="F20635">
        <v>253</v>
      </c>
      <c r="G20635">
        <v>48</v>
      </c>
      <c r="H20635">
        <v>1</v>
      </c>
      <c r="I20635">
        <v>697</v>
      </c>
      <c r="J20635">
        <v>1</v>
      </c>
      <c r="K20635">
        <v>1</v>
      </c>
      <c r="L20635">
        <v>705</v>
      </c>
      <c r="M20635">
        <v>1</v>
      </c>
      <c r="N20635">
        <v>0</v>
      </c>
      <c r="O20635">
        <v>2294</v>
      </c>
    </row>
    <row r="20636" spans="1:15" x14ac:dyDescent="0.25">
      <c r="A20636" t="s">
        <v>20649</v>
      </c>
      <c r="B20636">
        <v>758</v>
      </c>
      <c r="C20636" s="1" t="str">
        <f>HYPERLINK("http://www.rosaceae.org/gb/gbrowse/malus_x_domestica/?name=MDP0000248822","MDP0000248822")</f>
        <v>MDP0000248822</v>
      </c>
      <c r="D20636">
        <v>80.39</v>
      </c>
      <c r="E20636">
        <v>403</v>
      </c>
      <c r="F20636">
        <v>79</v>
      </c>
      <c r="G20636">
        <v>2</v>
      </c>
      <c r="H20636">
        <v>5</v>
      </c>
      <c r="I20636">
        <v>406</v>
      </c>
      <c r="J20636">
        <v>1</v>
      </c>
      <c r="K20636">
        <v>7</v>
      </c>
      <c r="L20636">
        <v>408</v>
      </c>
      <c r="M20636">
        <v>1</v>
      </c>
      <c r="N20636">
        <v>0</v>
      </c>
      <c r="O20636">
        <v>1728</v>
      </c>
    </row>
    <row r="20637" spans="1:15" x14ac:dyDescent="0.25">
      <c r="A20637" t="s">
        <v>20650</v>
      </c>
      <c r="B20637">
        <v>527</v>
      </c>
      <c r="C20637" s="1" t="str">
        <f>HYPERLINK("http://www.rosaceae.org/gb/gbrowse/malus_x_domestica/?name=MDP0000094843","MDP0000094843")</f>
        <v>MDP0000094843</v>
      </c>
      <c r="D20637">
        <v>75.61</v>
      </c>
      <c r="E20637">
        <v>525</v>
      </c>
      <c r="F20637">
        <v>128</v>
      </c>
      <c r="G20637">
        <v>0</v>
      </c>
      <c r="H20637">
        <v>1</v>
      </c>
      <c r="I20637">
        <v>525</v>
      </c>
      <c r="J20637">
        <v>1</v>
      </c>
      <c r="K20637">
        <v>65</v>
      </c>
      <c r="L20637">
        <v>589</v>
      </c>
      <c r="M20637">
        <v>1</v>
      </c>
      <c r="N20637">
        <v>0</v>
      </c>
      <c r="O20637">
        <v>2183</v>
      </c>
    </row>
    <row r="20638" spans="1:15" x14ac:dyDescent="0.25">
      <c r="A20638" t="s">
        <v>20651</v>
      </c>
      <c r="B20638">
        <v>866</v>
      </c>
      <c r="C20638" s="1" t="str">
        <f>HYPERLINK("http://www.rosaceae.org/gb/gbrowse/malus_x_domestica/?name=MDP0000180044","MDP0000180044")</f>
        <v>MDP0000180044</v>
      </c>
      <c r="D20638">
        <v>59.64</v>
      </c>
      <c r="E20638">
        <v>570</v>
      </c>
      <c r="F20638">
        <v>230</v>
      </c>
      <c r="G20638">
        <v>30</v>
      </c>
      <c r="H20638">
        <v>325</v>
      </c>
      <c r="I20638">
        <v>866</v>
      </c>
      <c r="J20638">
        <v>1</v>
      </c>
      <c r="K20638">
        <v>71</v>
      </c>
      <c r="L20638">
        <v>638</v>
      </c>
      <c r="M20638">
        <v>1</v>
      </c>
      <c r="N20638">
        <v>0</v>
      </c>
      <c r="O20638">
        <v>1700</v>
      </c>
    </row>
    <row r="20639" spans="1:15" x14ac:dyDescent="0.25">
      <c r="A20639" t="s">
        <v>20652</v>
      </c>
      <c r="B20639">
        <v>177</v>
      </c>
      <c r="C20639" s="1" t="str">
        <f>HYPERLINK("http://www.rosaceae.org/gb/gbrowse/malus_x_domestica/?name=MDP0000180750","MDP0000180750")</f>
        <v>MDP0000180750</v>
      </c>
      <c r="D20639">
        <v>86.74</v>
      </c>
      <c r="E20639">
        <v>166</v>
      </c>
      <c r="F20639">
        <v>22</v>
      </c>
      <c r="G20639">
        <v>0</v>
      </c>
      <c r="H20639">
        <v>6</v>
      </c>
      <c r="I20639">
        <v>171</v>
      </c>
      <c r="J20639">
        <v>1</v>
      </c>
      <c r="K20639">
        <v>270</v>
      </c>
      <c r="L20639">
        <v>435</v>
      </c>
      <c r="M20639">
        <v>1</v>
      </c>
      <c r="N20639">
        <v>1.1088299999999999E-81</v>
      </c>
      <c r="O20639">
        <v>765</v>
      </c>
    </row>
    <row r="20640" spans="1:15" x14ac:dyDescent="0.25">
      <c r="A20640" t="s">
        <v>20653</v>
      </c>
      <c r="B20640">
        <v>298</v>
      </c>
      <c r="C20640" s="1" t="str">
        <f>HYPERLINK("http://www.rosaceae.org/gb/gbrowse/malus_x_domestica/?name=MDP0000261017","MDP0000261017")</f>
        <v>MDP0000261017</v>
      </c>
      <c r="D20640">
        <v>44.29</v>
      </c>
      <c r="E20640">
        <v>149</v>
      </c>
      <c r="F20640">
        <v>83</v>
      </c>
      <c r="G20640">
        <v>5</v>
      </c>
      <c r="H20640">
        <v>8</v>
      </c>
      <c r="I20640">
        <v>155</v>
      </c>
      <c r="J20640">
        <v>1</v>
      </c>
      <c r="K20640">
        <v>119</v>
      </c>
      <c r="L20640">
        <v>263</v>
      </c>
      <c r="M20640">
        <v>1</v>
      </c>
      <c r="N20640">
        <v>2.7552799999999999E-25</v>
      </c>
      <c r="O20640">
        <v>282</v>
      </c>
    </row>
    <row r="20641" spans="1:15" x14ac:dyDescent="0.25">
      <c r="A20641" t="s">
        <v>20654</v>
      </c>
      <c r="B20641">
        <v>577</v>
      </c>
      <c r="C20641" s="1" t="str">
        <f>HYPERLINK("http://www.rosaceae.org/gb/gbrowse/malus_x_domestica/?name=MDP0000195584","MDP0000195584")</f>
        <v>MDP0000195584</v>
      </c>
      <c r="D20641">
        <v>52.31</v>
      </c>
      <c r="E20641">
        <v>583</v>
      </c>
      <c r="F20641">
        <v>278</v>
      </c>
      <c r="G20641">
        <v>43</v>
      </c>
      <c r="H20641">
        <v>1</v>
      </c>
      <c r="I20641">
        <v>576</v>
      </c>
      <c r="J20641">
        <v>1</v>
      </c>
      <c r="K20641">
        <v>1</v>
      </c>
      <c r="L20641">
        <v>547</v>
      </c>
      <c r="M20641">
        <v>1</v>
      </c>
      <c r="N20641">
        <v>1.05719E-141</v>
      </c>
      <c r="O20641">
        <v>1289</v>
      </c>
    </row>
    <row r="20642" spans="1:15" x14ac:dyDescent="0.25">
      <c r="A20642" t="s">
        <v>20655</v>
      </c>
      <c r="B20642">
        <v>245</v>
      </c>
      <c r="C20642" s="1" t="str">
        <f>HYPERLINK("http://www.rosaceae.org/gb/gbrowse/malus_x_domestica/?name=MDP0000119262","MDP0000119262")</f>
        <v>MDP0000119262</v>
      </c>
      <c r="D20642">
        <v>77.849999999999994</v>
      </c>
      <c r="E20642">
        <v>149</v>
      </c>
      <c r="F20642">
        <v>33</v>
      </c>
      <c r="G20642">
        <v>0</v>
      </c>
      <c r="H20642">
        <v>87</v>
      </c>
      <c r="I20642">
        <v>235</v>
      </c>
      <c r="J20642">
        <v>1</v>
      </c>
      <c r="K20642">
        <v>56</v>
      </c>
      <c r="L20642">
        <v>204</v>
      </c>
      <c r="M20642">
        <v>1</v>
      </c>
      <c r="N20642">
        <v>5.55426E-69</v>
      </c>
      <c r="O20642">
        <v>658</v>
      </c>
    </row>
    <row r="20643" spans="1:15" x14ac:dyDescent="0.25">
      <c r="A20643" t="s">
        <v>20656</v>
      </c>
      <c r="B20643">
        <v>198</v>
      </c>
      <c r="C20643" s="1" t="str">
        <f>HYPERLINK("http://www.rosaceae.org/gb/gbrowse/malus_x_domestica/?name=MDP0000165339","MDP0000165339")</f>
        <v>MDP0000165339</v>
      </c>
      <c r="D20643">
        <v>83.21</v>
      </c>
      <c r="E20643">
        <v>137</v>
      </c>
      <c r="F20643">
        <v>23</v>
      </c>
      <c r="G20643">
        <v>0</v>
      </c>
      <c r="H20643">
        <v>38</v>
      </c>
      <c r="I20643">
        <v>174</v>
      </c>
      <c r="J20643">
        <v>1</v>
      </c>
      <c r="K20643">
        <v>40</v>
      </c>
      <c r="L20643">
        <v>176</v>
      </c>
      <c r="M20643">
        <v>1</v>
      </c>
      <c r="N20643">
        <v>4.6963999999999998E-61</v>
      </c>
      <c r="O20643">
        <v>588</v>
      </c>
    </row>
    <row r="20644" spans="1:15" x14ac:dyDescent="0.25">
      <c r="A20644" t="s">
        <v>20657</v>
      </c>
      <c r="B20644">
        <v>612</v>
      </c>
      <c r="C20644" s="1" t="str">
        <f>HYPERLINK("http://www.rosaceae.org/gb/gbrowse/malus_x_domestica/?name=MDP0000864817","MDP0000864817")</f>
        <v>MDP0000864817</v>
      </c>
      <c r="D20644">
        <v>73.27</v>
      </c>
      <c r="E20644">
        <v>565</v>
      </c>
      <c r="F20644">
        <v>151</v>
      </c>
      <c r="G20644">
        <v>11</v>
      </c>
      <c r="H20644">
        <v>47</v>
      </c>
      <c r="I20644">
        <v>610</v>
      </c>
      <c r="J20644">
        <v>1</v>
      </c>
      <c r="K20644">
        <v>79</v>
      </c>
      <c r="L20644">
        <v>633</v>
      </c>
      <c r="M20644">
        <v>1</v>
      </c>
      <c r="N20644">
        <v>0</v>
      </c>
      <c r="O20644">
        <v>2204</v>
      </c>
    </row>
    <row r="20645" spans="1:15" x14ac:dyDescent="0.25">
      <c r="A20645" t="s">
        <v>20658</v>
      </c>
      <c r="B20645">
        <v>578</v>
      </c>
      <c r="C20645" s="1" t="str">
        <f>HYPERLINK("http://www.rosaceae.org/gb/gbrowse/malus_x_domestica/?name=MDP0000216267","MDP0000216267")</f>
        <v>MDP0000216267</v>
      </c>
      <c r="D20645">
        <v>62.15</v>
      </c>
      <c r="E20645">
        <v>399</v>
      </c>
      <c r="F20645">
        <v>151</v>
      </c>
      <c r="G20645">
        <v>0</v>
      </c>
      <c r="H20645">
        <v>53</v>
      </c>
      <c r="I20645">
        <v>451</v>
      </c>
      <c r="J20645">
        <v>1</v>
      </c>
      <c r="K20645">
        <v>53</v>
      </c>
      <c r="L20645">
        <v>451</v>
      </c>
      <c r="M20645">
        <v>1</v>
      </c>
      <c r="N20645">
        <v>1.0588400000000001E-143</v>
      </c>
      <c r="O20645">
        <v>1306</v>
      </c>
    </row>
    <row r="20646" spans="1:15" x14ac:dyDescent="0.25">
      <c r="A20646" t="s">
        <v>20659</v>
      </c>
      <c r="B20646">
        <v>149</v>
      </c>
      <c r="C20646" s="1" t="str">
        <f>HYPERLINK("http://www.rosaceae.org/gb/gbrowse/malus_x_domestica/?name=MDP0000186627","MDP0000186627")</f>
        <v>MDP0000186627</v>
      </c>
      <c r="D20646">
        <v>70.680000000000007</v>
      </c>
      <c r="E20646">
        <v>116</v>
      </c>
      <c r="F20646">
        <v>34</v>
      </c>
      <c r="G20646">
        <v>8</v>
      </c>
      <c r="H20646">
        <v>1</v>
      </c>
      <c r="I20646">
        <v>115</v>
      </c>
      <c r="J20646">
        <v>1</v>
      </c>
      <c r="K20646">
        <v>3</v>
      </c>
      <c r="L20646">
        <v>111</v>
      </c>
      <c r="M20646">
        <v>1</v>
      </c>
      <c r="N20646">
        <v>1.7125099999999999E-32</v>
      </c>
      <c r="O20646">
        <v>340</v>
      </c>
    </row>
    <row r="20647" spans="1:15" x14ac:dyDescent="0.25">
      <c r="A20647" t="s">
        <v>20660</v>
      </c>
      <c r="B20647">
        <v>355</v>
      </c>
      <c r="C20647" s="1" t="str">
        <f>HYPERLINK("http://www.rosaceae.org/gb/gbrowse/malus_x_domestica/?name=MDP0000181135","MDP0000181135")</f>
        <v>MDP0000181135</v>
      </c>
      <c r="D20647">
        <v>37.159999999999997</v>
      </c>
      <c r="E20647">
        <v>261</v>
      </c>
      <c r="F20647">
        <v>164</v>
      </c>
      <c r="G20647">
        <v>35</v>
      </c>
      <c r="H20647">
        <v>16</v>
      </c>
      <c r="I20647">
        <v>256</v>
      </c>
      <c r="J20647">
        <v>1</v>
      </c>
      <c r="K20647">
        <v>10</v>
      </c>
      <c r="L20647">
        <v>255</v>
      </c>
      <c r="M20647">
        <v>1</v>
      </c>
      <c r="N20647">
        <v>2.0727399999999998E-25</v>
      </c>
      <c r="O20647">
        <v>284</v>
      </c>
    </row>
    <row r="20648" spans="1:15" x14ac:dyDescent="0.25">
      <c r="A20648" t="s">
        <v>20661</v>
      </c>
      <c r="B20648">
        <v>261</v>
      </c>
      <c r="C20648" s="1" t="str">
        <f>HYPERLINK("http://www.rosaceae.org/gb/gbrowse/malus_x_domestica/?name=MDP0000282741","MDP0000282741")</f>
        <v>MDP0000282741</v>
      </c>
      <c r="D20648">
        <v>60</v>
      </c>
      <c r="E20648">
        <v>65</v>
      </c>
      <c r="F20648">
        <v>26</v>
      </c>
      <c r="G20648">
        <v>1</v>
      </c>
      <c r="H20648">
        <v>152</v>
      </c>
      <c r="I20648">
        <v>215</v>
      </c>
      <c r="J20648">
        <v>1</v>
      </c>
      <c r="K20648">
        <v>20</v>
      </c>
      <c r="L20648">
        <v>84</v>
      </c>
      <c r="M20648">
        <v>1</v>
      </c>
      <c r="N20648">
        <v>6.3213000000000004E-15</v>
      </c>
      <c r="O20648">
        <v>192</v>
      </c>
    </row>
    <row r="20649" spans="1:15" x14ac:dyDescent="0.25">
      <c r="A20649" t="s">
        <v>20662</v>
      </c>
      <c r="B20649">
        <v>646</v>
      </c>
      <c r="C20649" s="1" t="str">
        <f>HYPERLINK("http://www.rosaceae.org/gb/gbrowse/malus_x_domestica/?name=MDP0000261522","MDP0000261522")</f>
        <v>MDP0000261522</v>
      </c>
      <c r="D20649">
        <v>60.52</v>
      </c>
      <c r="E20649">
        <v>456</v>
      </c>
      <c r="F20649">
        <v>180</v>
      </c>
      <c r="G20649">
        <v>34</v>
      </c>
      <c r="H20649">
        <v>221</v>
      </c>
      <c r="I20649">
        <v>644</v>
      </c>
      <c r="J20649">
        <v>1</v>
      </c>
      <c r="K20649">
        <v>24</v>
      </c>
      <c r="L20649">
        <v>477</v>
      </c>
      <c r="M20649">
        <v>1</v>
      </c>
      <c r="N20649">
        <v>1.24425E-149</v>
      </c>
      <c r="O20649">
        <v>1358</v>
      </c>
    </row>
    <row r="20650" spans="1:15" x14ac:dyDescent="0.25">
      <c r="A20650" t="s">
        <v>20663</v>
      </c>
      <c r="B20650">
        <v>633</v>
      </c>
      <c r="C20650" s="1" t="str">
        <f>HYPERLINK("http://www.rosaceae.org/gb/gbrowse/malus_x_domestica/?name=MDP0000878079","MDP0000878079")</f>
        <v>MDP0000878079</v>
      </c>
      <c r="D20650">
        <v>72.66</v>
      </c>
      <c r="E20650">
        <v>633</v>
      </c>
      <c r="F20650">
        <v>173</v>
      </c>
      <c r="G20650">
        <v>3</v>
      </c>
      <c r="H20650">
        <v>1</v>
      </c>
      <c r="I20650">
        <v>633</v>
      </c>
      <c r="J20650">
        <v>1</v>
      </c>
      <c r="K20650">
        <v>1</v>
      </c>
      <c r="L20650">
        <v>630</v>
      </c>
      <c r="M20650">
        <v>1</v>
      </c>
      <c r="N20650">
        <v>0</v>
      </c>
      <c r="O20650">
        <v>2406</v>
      </c>
    </row>
    <row r="20651" spans="1:15" x14ac:dyDescent="0.25">
      <c r="A20651" t="s">
        <v>20664</v>
      </c>
      <c r="B20651">
        <v>911</v>
      </c>
      <c r="C20651" s="1" t="str">
        <f>HYPERLINK("http://www.rosaceae.org/gb/gbrowse/malus_x_domestica/?name=MDP0000229344","MDP0000229344")</f>
        <v>MDP0000229344</v>
      </c>
      <c r="D20651">
        <v>48.69</v>
      </c>
      <c r="E20651">
        <v>918</v>
      </c>
      <c r="F20651">
        <v>471</v>
      </c>
      <c r="G20651">
        <v>47</v>
      </c>
      <c r="H20651">
        <v>1</v>
      </c>
      <c r="I20651">
        <v>901</v>
      </c>
      <c r="J20651">
        <v>1</v>
      </c>
      <c r="K20651">
        <v>49</v>
      </c>
      <c r="L20651">
        <v>936</v>
      </c>
      <c r="M20651">
        <v>1</v>
      </c>
      <c r="N20651">
        <v>0</v>
      </c>
      <c r="O20651">
        <v>1959</v>
      </c>
    </row>
    <row r="20652" spans="1:15" x14ac:dyDescent="0.25">
      <c r="A20652" t="s">
        <v>20665</v>
      </c>
      <c r="B20652">
        <v>65</v>
      </c>
      <c r="C20652" s="1" t="str">
        <f>HYPERLINK("http://www.rosaceae.org/gb/gbrowse/malus_x_domestica/?name=MDP0000144640","MDP0000144640")</f>
        <v>MDP0000144640</v>
      </c>
      <c r="D20652">
        <v>58.53</v>
      </c>
      <c r="E20652">
        <v>41</v>
      </c>
      <c r="F20652">
        <v>17</v>
      </c>
      <c r="G20652">
        <v>0</v>
      </c>
      <c r="H20652">
        <v>9</v>
      </c>
      <c r="I20652">
        <v>49</v>
      </c>
      <c r="J20652">
        <v>1</v>
      </c>
      <c r="K20652">
        <v>104</v>
      </c>
      <c r="L20652">
        <v>144</v>
      </c>
      <c r="M20652">
        <v>1</v>
      </c>
      <c r="N20652">
        <v>5.03454E-8</v>
      </c>
      <c r="O20652">
        <v>127</v>
      </c>
    </row>
    <row r="20653" spans="1:15" x14ac:dyDescent="0.25">
      <c r="A20653" t="s">
        <v>20666</v>
      </c>
      <c r="B20653">
        <v>1219</v>
      </c>
      <c r="C20653" s="1" t="str">
        <f>HYPERLINK("http://www.rosaceae.org/gb/gbrowse/malus_x_domestica/?name=MDP0000299588","MDP0000299588")</f>
        <v>MDP0000299588</v>
      </c>
      <c r="D20653">
        <v>66.91</v>
      </c>
      <c r="E20653">
        <v>405</v>
      </c>
      <c r="F20653">
        <v>134</v>
      </c>
      <c r="G20653">
        <v>1</v>
      </c>
      <c r="H20653">
        <v>773</v>
      </c>
      <c r="I20653">
        <v>1176</v>
      </c>
      <c r="J20653">
        <v>1</v>
      </c>
      <c r="K20653">
        <v>564</v>
      </c>
      <c r="L20653">
        <v>968</v>
      </c>
      <c r="M20653">
        <v>1</v>
      </c>
      <c r="N20653">
        <v>2.0294400000000001E-168</v>
      </c>
      <c r="O20653">
        <v>1523</v>
      </c>
    </row>
    <row r="20654" spans="1:15" x14ac:dyDescent="0.25">
      <c r="A20654" t="s">
        <v>20667</v>
      </c>
      <c r="B20654">
        <v>301</v>
      </c>
      <c r="C20654" s="1" t="str">
        <f>HYPERLINK("http://www.rosaceae.org/gb/gbrowse/malus_x_domestica/?name=MDP0000441757","MDP0000441757")</f>
        <v>MDP0000441757</v>
      </c>
      <c r="D20654">
        <v>65.069999999999993</v>
      </c>
      <c r="E20654">
        <v>272</v>
      </c>
      <c r="F20654">
        <v>95</v>
      </c>
      <c r="G20654">
        <v>2</v>
      </c>
      <c r="H20654">
        <v>1</v>
      </c>
      <c r="I20654">
        <v>270</v>
      </c>
      <c r="J20654">
        <v>1</v>
      </c>
      <c r="K20654">
        <v>1</v>
      </c>
      <c r="L20654">
        <v>272</v>
      </c>
      <c r="M20654">
        <v>1</v>
      </c>
      <c r="N20654">
        <v>5.8175499999999998E-90</v>
      </c>
      <c r="O20654">
        <v>840</v>
      </c>
    </row>
    <row r="20655" spans="1:15" x14ac:dyDescent="0.25">
      <c r="A20655" t="s">
        <v>20668</v>
      </c>
      <c r="B20655">
        <v>345</v>
      </c>
      <c r="C20655" s="1" t="str">
        <f>HYPERLINK("http://www.rosaceae.org/gb/gbrowse/malus_x_domestica/?name=MDP0000510228","MDP0000510228")</f>
        <v>MDP0000510228</v>
      </c>
      <c r="D20655">
        <v>37.75</v>
      </c>
      <c r="E20655">
        <v>400</v>
      </c>
      <c r="F20655">
        <v>249</v>
      </c>
      <c r="G20655">
        <v>82</v>
      </c>
      <c r="H20655">
        <v>1</v>
      </c>
      <c r="I20655">
        <v>345</v>
      </c>
      <c r="J20655">
        <v>1</v>
      </c>
      <c r="K20655">
        <v>1</v>
      </c>
      <c r="L20655">
        <v>373</v>
      </c>
      <c r="M20655">
        <v>1</v>
      </c>
      <c r="N20655">
        <v>6.8886999999999999E-57</v>
      </c>
      <c r="O20655">
        <v>555</v>
      </c>
    </row>
    <row r="20656" spans="1:15" x14ac:dyDescent="0.25">
      <c r="A20656" t="s">
        <v>20669</v>
      </c>
      <c r="B20656">
        <v>397</v>
      </c>
      <c r="C20656" s="1" t="str">
        <f>HYPERLINK("http://www.rosaceae.org/gb/gbrowse/malus_x_domestica/?name=MDP0000946566","MDP0000946566")</f>
        <v>MDP0000946566</v>
      </c>
      <c r="D20656">
        <v>80.099999999999994</v>
      </c>
      <c r="E20656">
        <v>367</v>
      </c>
      <c r="F20656">
        <v>73</v>
      </c>
      <c r="G20656">
        <v>14</v>
      </c>
      <c r="H20656">
        <v>22</v>
      </c>
      <c r="I20656">
        <v>388</v>
      </c>
      <c r="J20656">
        <v>1</v>
      </c>
      <c r="K20656">
        <v>78</v>
      </c>
      <c r="L20656">
        <v>430</v>
      </c>
      <c r="M20656">
        <v>1</v>
      </c>
      <c r="N20656">
        <v>6.9272099999999995E-173</v>
      </c>
      <c r="O20656">
        <v>1556</v>
      </c>
    </row>
    <row r="20657" spans="1:15" x14ac:dyDescent="0.25">
      <c r="A20657" t="s">
        <v>20670</v>
      </c>
      <c r="B20657">
        <v>204</v>
      </c>
      <c r="C20657" s="1" t="str">
        <f>HYPERLINK("http://www.rosaceae.org/gb/gbrowse/malus_x_domestica/?name=MDP0000304326","MDP0000304326")</f>
        <v>MDP0000304326</v>
      </c>
      <c r="D20657">
        <v>79.510000000000005</v>
      </c>
      <c r="E20657">
        <v>205</v>
      </c>
      <c r="F20657">
        <v>42</v>
      </c>
      <c r="G20657">
        <v>3</v>
      </c>
      <c r="H20657">
        <v>1</v>
      </c>
      <c r="I20657">
        <v>204</v>
      </c>
      <c r="J20657">
        <v>1</v>
      </c>
      <c r="K20657">
        <v>38</v>
      </c>
      <c r="L20657">
        <v>240</v>
      </c>
      <c r="M20657">
        <v>1</v>
      </c>
      <c r="N20657">
        <v>2.6718699999999998E-90</v>
      </c>
      <c r="O20657">
        <v>840</v>
      </c>
    </row>
    <row r="20658" spans="1:15" x14ac:dyDescent="0.25">
      <c r="A20658" t="s">
        <v>20671</v>
      </c>
      <c r="B20658">
        <v>335</v>
      </c>
      <c r="C20658" s="1" t="str">
        <f>HYPERLINK("http://www.rosaceae.org/gb/gbrowse/malus_x_domestica/?name=MDP0000610141","MDP0000610141")</f>
        <v>MDP0000610141</v>
      </c>
      <c r="D20658">
        <v>50.51</v>
      </c>
      <c r="E20658">
        <v>291</v>
      </c>
      <c r="F20658">
        <v>144</v>
      </c>
      <c r="G20658">
        <v>65</v>
      </c>
      <c r="H20658">
        <v>13</v>
      </c>
      <c r="I20658">
        <v>244</v>
      </c>
      <c r="J20658">
        <v>1</v>
      </c>
      <c r="K20658">
        <v>9</v>
      </c>
      <c r="L20658">
        <v>293</v>
      </c>
      <c r="M20658">
        <v>1</v>
      </c>
      <c r="N20658">
        <v>2.5372899999999999E-75</v>
      </c>
      <c r="O20658">
        <v>714</v>
      </c>
    </row>
    <row r="20659" spans="1:15" x14ac:dyDescent="0.25">
      <c r="A20659" t="s">
        <v>20672</v>
      </c>
      <c r="B20659">
        <v>316</v>
      </c>
      <c r="C20659" s="1" t="str">
        <f>HYPERLINK("http://www.rosaceae.org/gb/gbrowse/malus_x_domestica/?name=MDP0000142020","MDP0000142020")</f>
        <v>MDP0000142020</v>
      </c>
      <c r="D20659">
        <v>82.53</v>
      </c>
      <c r="E20659">
        <v>315</v>
      </c>
      <c r="F20659">
        <v>55</v>
      </c>
      <c r="G20659">
        <v>6</v>
      </c>
      <c r="H20659">
        <v>1</v>
      </c>
      <c r="I20659">
        <v>312</v>
      </c>
      <c r="J20659">
        <v>1</v>
      </c>
      <c r="K20659">
        <v>1</v>
      </c>
      <c r="L20659">
        <v>312</v>
      </c>
      <c r="M20659">
        <v>1</v>
      </c>
      <c r="N20659">
        <v>1.03233E-147</v>
      </c>
      <c r="O20659">
        <v>1338</v>
      </c>
    </row>
    <row r="20660" spans="1:15" x14ac:dyDescent="0.25">
      <c r="A20660" t="s">
        <v>20673</v>
      </c>
      <c r="B20660">
        <v>334</v>
      </c>
      <c r="C20660" s="1" t="str">
        <f>HYPERLINK("http://www.rosaceae.org/gb/gbrowse/malus_x_domestica/?name=MDP0000483776","MDP0000483776")</f>
        <v>MDP0000483776</v>
      </c>
      <c r="D20660">
        <v>96.57</v>
      </c>
      <c r="E20660">
        <v>175</v>
      </c>
      <c r="F20660">
        <v>6</v>
      </c>
      <c r="G20660">
        <v>0</v>
      </c>
      <c r="H20660">
        <v>159</v>
      </c>
      <c r="I20660">
        <v>333</v>
      </c>
      <c r="J20660">
        <v>1</v>
      </c>
      <c r="K20660">
        <v>1</v>
      </c>
      <c r="L20660">
        <v>175</v>
      </c>
      <c r="M20660">
        <v>1</v>
      </c>
      <c r="N20660">
        <v>3.7145100000000003E-98</v>
      </c>
      <c r="O20660">
        <v>911</v>
      </c>
    </row>
    <row r="20661" spans="1:15" x14ac:dyDescent="0.25">
      <c r="A20661" t="s">
        <v>20674</v>
      </c>
      <c r="B20661">
        <v>305</v>
      </c>
      <c r="C20661" s="1" t="str">
        <f>HYPERLINK("http://www.rosaceae.org/gb/gbrowse/malus_x_domestica/?name=MDP0000199603","MDP0000199603")</f>
        <v>MDP0000199603</v>
      </c>
      <c r="D20661">
        <v>56.29</v>
      </c>
      <c r="E20661">
        <v>270</v>
      </c>
      <c r="F20661">
        <v>118</v>
      </c>
      <c r="G20661">
        <v>5</v>
      </c>
      <c r="H20661">
        <v>19</v>
      </c>
      <c r="I20661">
        <v>286</v>
      </c>
      <c r="J20661">
        <v>1</v>
      </c>
      <c r="K20661">
        <v>139</v>
      </c>
      <c r="L20661">
        <v>405</v>
      </c>
      <c r="M20661">
        <v>1</v>
      </c>
      <c r="N20661">
        <v>5.91827E-71</v>
      </c>
      <c r="O20661">
        <v>676</v>
      </c>
    </row>
    <row r="20662" spans="1:15" x14ac:dyDescent="0.25">
      <c r="A20662" t="s">
        <v>20675</v>
      </c>
      <c r="B20662">
        <v>1062</v>
      </c>
      <c r="C20662" s="1" t="str">
        <f>HYPERLINK("http://www.rosaceae.org/gb/gbrowse/malus_x_domestica/?name=MDP0000254943","MDP0000254943")</f>
        <v>MDP0000254943</v>
      </c>
      <c r="D20662">
        <v>58.53</v>
      </c>
      <c r="E20662">
        <v>967</v>
      </c>
      <c r="F20662">
        <v>401</v>
      </c>
      <c r="G20662">
        <v>68</v>
      </c>
      <c r="H20662">
        <v>1</v>
      </c>
      <c r="I20662">
        <v>907</v>
      </c>
      <c r="J20662">
        <v>1</v>
      </c>
      <c r="K20662">
        <v>3</v>
      </c>
      <c r="L20662">
        <v>961</v>
      </c>
      <c r="M20662">
        <v>1</v>
      </c>
      <c r="N20662">
        <v>0</v>
      </c>
      <c r="O20662">
        <v>2697</v>
      </c>
    </row>
    <row r="20663" spans="1:15" x14ac:dyDescent="0.25">
      <c r="A20663" t="s">
        <v>20676</v>
      </c>
      <c r="B20663">
        <v>297</v>
      </c>
      <c r="C20663" s="1" t="str">
        <f>HYPERLINK("http://www.rosaceae.org/gb/gbrowse/malus_x_domestica/?name=MDP0000283317","MDP0000283317")</f>
        <v>MDP0000283317</v>
      </c>
      <c r="D20663">
        <v>81.63</v>
      </c>
      <c r="E20663">
        <v>196</v>
      </c>
      <c r="F20663">
        <v>36</v>
      </c>
      <c r="G20663">
        <v>21</v>
      </c>
      <c r="H20663">
        <v>1</v>
      </c>
      <c r="I20663">
        <v>177</v>
      </c>
      <c r="J20663">
        <v>1</v>
      </c>
      <c r="K20663">
        <v>1</v>
      </c>
      <c r="L20663">
        <v>194</v>
      </c>
      <c r="M20663">
        <v>1</v>
      </c>
      <c r="N20663">
        <v>5.1569500000000003E-90</v>
      </c>
      <c r="O20663">
        <v>840</v>
      </c>
    </row>
    <row r="20664" spans="1:15" x14ac:dyDescent="0.25">
      <c r="A20664" t="s">
        <v>20677</v>
      </c>
      <c r="B20664">
        <v>253</v>
      </c>
      <c r="C20664" s="1" t="str">
        <f>HYPERLINK("http://www.rosaceae.org/gb/gbrowse/malus_x_domestica/?name=MDP0000168885","MDP0000168885")</f>
        <v>MDP0000168885</v>
      </c>
      <c r="D20664">
        <v>68.53</v>
      </c>
      <c r="E20664">
        <v>267</v>
      </c>
      <c r="F20664">
        <v>84</v>
      </c>
      <c r="G20664">
        <v>15</v>
      </c>
      <c r="H20664">
        <v>2</v>
      </c>
      <c r="I20664">
        <v>253</v>
      </c>
      <c r="J20664">
        <v>1</v>
      </c>
      <c r="K20664">
        <v>36</v>
      </c>
      <c r="L20664">
        <v>302</v>
      </c>
      <c r="M20664">
        <v>1</v>
      </c>
      <c r="N20664">
        <v>7.3437600000000006E-98</v>
      </c>
      <c r="O20664">
        <v>907</v>
      </c>
    </row>
    <row r="20665" spans="1:15" x14ac:dyDescent="0.25">
      <c r="A20665" t="s">
        <v>20678</v>
      </c>
      <c r="B20665">
        <v>388</v>
      </c>
      <c r="C20665" s="1" t="str">
        <f>HYPERLINK("http://www.rosaceae.org/gb/gbrowse/malus_x_domestica/?name=MDP0000568851","MDP0000568851")</f>
        <v>MDP0000568851</v>
      </c>
      <c r="D20665">
        <v>58.85</v>
      </c>
      <c r="E20665">
        <v>367</v>
      </c>
      <c r="F20665">
        <v>151</v>
      </c>
      <c r="G20665">
        <v>5</v>
      </c>
      <c r="H20665">
        <v>25</v>
      </c>
      <c r="I20665">
        <v>388</v>
      </c>
      <c r="J20665">
        <v>1</v>
      </c>
      <c r="K20665">
        <v>28</v>
      </c>
      <c r="L20665">
        <v>392</v>
      </c>
      <c r="M20665">
        <v>1</v>
      </c>
      <c r="N20665">
        <v>1.24924E-127</v>
      </c>
      <c r="O20665">
        <v>1166</v>
      </c>
    </row>
    <row r="20666" spans="1:15" x14ac:dyDescent="0.25">
      <c r="A20666" t="s">
        <v>20679</v>
      </c>
      <c r="B20666">
        <v>147</v>
      </c>
      <c r="C20666" s="1" t="str">
        <f>HYPERLINK("http://www.rosaceae.org/gb/gbrowse/malus_x_domestica/?name=MDP0000152263","MDP0000152263")</f>
        <v>MDP0000152263</v>
      </c>
      <c r="D20666">
        <v>89.39</v>
      </c>
      <c r="E20666">
        <v>66</v>
      </c>
      <c r="F20666">
        <v>7</v>
      </c>
      <c r="G20666">
        <v>0</v>
      </c>
      <c r="H20666">
        <v>77</v>
      </c>
      <c r="I20666">
        <v>142</v>
      </c>
      <c r="J20666">
        <v>1</v>
      </c>
      <c r="K20666">
        <v>114</v>
      </c>
      <c r="L20666">
        <v>179</v>
      </c>
      <c r="M20666">
        <v>1</v>
      </c>
      <c r="N20666">
        <v>1.07028E-29</v>
      </c>
      <c r="O20666">
        <v>315</v>
      </c>
    </row>
    <row r="20667" spans="1:15" x14ac:dyDescent="0.25">
      <c r="A20667" t="s">
        <v>20680</v>
      </c>
      <c r="B20667">
        <v>239</v>
      </c>
      <c r="C20667" s="1" t="str">
        <f>HYPERLINK("http://www.rosaceae.org/gb/gbrowse/malus_x_domestica/?name=MDP0000281701","MDP0000281701")</f>
        <v>MDP0000281701</v>
      </c>
      <c r="D20667">
        <v>68.77</v>
      </c>
      <c r="E20667">
        <v>237</v>
      </c>
      <c r="F20667">
        <v>74</v>
      </c>
      <c r="G20667">
        <v>0</v>
      </c>
      <c r="H20667">
        <v>1</v>
      </c>
      <c r="I20667">
        <v>237</v>
      </c>
      <c r="J20667">
        <v>1</v>
      </c>
      <c r="K20667">
        <v>233</v>
      </c>
      <c r="L20667">
        <v>469</v>
      </c>
      <c r="M20667">
        <v>1</v>
      </c>
      <c r="N20667">
        <v>1.32342E-101</v>
      </c>
      <c r="O20667">
        <v>939</v>
      </c>
    </row>
    <row r="20668" spans="1:15" x14ac:dyDescent="0.25">
      <c r="A20668" t="s">
        <v>20681</v>
      </c>
      <c r="B20668">
        <v>471</v>
      </c>
      <c r="C20668" s="1" t="str">
        <f>HYPERLINK("http://www.rosaceae.org/gb/gbrowse/malus_x_domestica/?name=MDP0000200809","MDP0000200809")</f>
        <v>MDP0000200809</v>
      </c>
      <c r="D20668">
        <v>72.37</v>
      </c>
      <c r="E20668">
        <v>467</v>
      </c>
      <c r="F20668">
        <v>129</v>
      </c>
      <c r="G20668">
        <v>5</v>
      </c>
      <c r="H20668">
        <v>9</v>
      </c>
      <c r="I20668">
        <v>471</v>
      </c>
      <c r="J20668">
        <v>1</v>
      </c>
      <c r="K20668">
        <v>18</v>
      </c>
      <c r="L20668">
        <v>483</v>
      </c>
      <c r="M20668">
        <v>1</v>
      </c>
      <c r="N20668">
        <v>0</v>
      </c>
      <c r="O20668">
        <v>1770</v>
      </c>
    </row>
    <row r="20669" spans="1:15" x14ac:dyDescent="0.25">
      <c r="A20669" t="s">
        <v>20682</v>
      </c>
      <c r="B20669">
        <v>384</v>
      </c>
      <c r="C20669" s="1" t="str">
        <f>HYPERLINK("http://www.rosaceae.org/gb/gbrowse/malus_x_domestica/?name=MDP0000234805","MDP0000234805")</f>
        <v>MDP0000234805</v>
      </c>
      <c r="D20669">
        <v>56.07</v>
      </c>
      <c r="E20669">
        <v>321</v>
      </c>
      <c r="F20669">
        <v>141</v>
      </c>
      <c r="G20669">
        <v>4</v>
      </c>
      <c r="H20669">
        <v>26</v>
      </c>
      <c r="I20669">
        <v>342</v>
      </c>
      <c r="J20669">
        <v>1</v>
      </c>
      <c r="K20669">
        <v>25</v>
      </c>
      <c r="L20669">
        <v>345</v>
      </c>
      <c r="M20669">
        <v>1</v>
      </c>
      <c r="N20669">
        <v>1.48834E-107</v>
      </c>
      <c r="O20669">
        <v>993</v>
      </c>
    </row>
    <row r="20670" spans="1:15" x14ac:dyDescent="0.25">
      <c r="A20670" t="s">
        <v>20683</v>
      </c>
      <c r="B20670">
        <v>784</v>
      </c>
      <c r="C20670" s="1" t="str">
        <f>HYPERLINK("http://www.rosaceae.org/gb/gbrowse/malus_x_domestica/?name=MDP0000189901","MDP0000189901")</f>
        <v>MDP0000189901</v>
      </c>
      <c r="D20670">
        <v>64.41</v>
      </c>
      <c r="E20670">
        <v>784</v>
      </c>
      <c r="F20670">
        <v>279</v>
      </c>
      <c r="G20670">
        <v>15</v>
      </c>
      <c r="H20670">
        <v>1</v>
      </c>
      <c r="I20670">
        <v>784</v>
      </c>
      <c r="J20670">
        <v>1</v>
      </c>
      <c r="K20670">
        <v>8</v>
      </c>
      <c r="L20670">
        <v>776</v>
      </c>
      <c r="M20670">
        <v>1</v>
      </c>
      <c r="N20670">
        <v>0</v>
      </c>
      <c r="O20670">
        <v>2561</v>
      </c>
    </row>
    <row r="20671" spans="1:15" x14ac:dyDescent="0.25">
      <c r="A20671" t="s">
        <v>20684</v>
      </c>
      <c r="B20671">
        <v>412</v>
      </c>
      <c r="C20671" s="1" t="str">
        <f>HYPERLINK("http://www.rosaceae.org/gb/gbrowse/malus_x_domestica/?name=MDP0000270728","MDP0000270728")</f>
        <v>MDP0000270728</v>
      </c>
      <c r="D20671">
        <v>64.489999999999995</v>
      </c>
      <c r="E20671">
        <v>383</v>
      </c>
      <c r="F20671">
        <v>136</v>
      </c>
      <c r="G20671">
        <v>37</v>
      </c>
      <c r="H20671">
        <v>23</v>
      </c>
      <c r="I20671">
        <v>380</v>
      </c>
      <c r="J20671">
        <v>1</v>
      </c>
      <c r="K20671">
        <v>29</v>
      </c>
      <c r="L20671">
        <v>399</v>
      </c>
      <c r="M20671">
        <v>1</v>
      </c>
      <c r="N20671">
        <v>1.4258299999999999E-129</v>
      </c>
      <c r="O20671">
        <v>1183</v>
      </c>
    </row>
    <row r="20672" spans="1:15" x14ac:dyDescent="0.25">
      <c r="A20672" t="s">
        <v>20685</v>
      </c>
      <c r="B20672">
        <v>964</v>
      </c>
      <c r="C20672" s="1" t="str">
        <f>HYPERLINK("http://www.rosaceae.org/gb/gbrowse/malus_x_domestica/?name=MDP0000255411","MDP0000255411")</f>
        <v>MDP0000255411</v>
      </c>
      <c r="D20672">
        <v>45.34</v>
      </c>
      <c r="E20672">
        <v>591</v>
      </c>
      <c r="F20672">
        <v>323</v>
      </c>
      <c r="G20672">
        <v>100</v>
      </c>
      <c r="H20672">
        <v>331</v>
      </c>
      <c r="I20672">
        <v>917</v>
      </c>
      <c r="J20672">
        <v>1</v>
      </c>
      <c r="K20672">
        <v>242</v>
      </c>
      <c r="L20672">
        <v>736</v>
      </c>
      <c r="M20672">
        <v>1</v>
      </c>
      <c r="N20672">
        <v>3.96244E-126</v>
      </c>
      <c r="O20672">
        <v>1157</v>
      </c>
    </row>
    <row r="20673" spans="1:15" x14ac:dyDescent="0.25">
      <c r="A20673" t="s">
        <v>20686</v>
      </c>
      <c r="B20673">
        <v>473</v>
      </c>
      <c r="C20673" s="1" t="str">
        <f>HYPERLINK("http://www.rosaceae.org/gb/gbrowse/malus_x_domestica/?name=MDP0000793268","MDP0000793268")</f>
        <v>MDP0000793268</v>
      </c>
      <c r="D20673">
        <v>63.78</v>
      </c>
      <c r="E20673">
        <v>475</v>
      </c>
      <c r="F20673">
        <v>172</v>
      </c>
      <c r="G20673">
        <v>12</v>
      </c>
      <c r="H20673">
        <v>4</v>
      </c>
      <c r="I20673">
        <v>473</v>
      </c>
      <c r="J20673">
        <v>1</v>
      </c>
      <c r="K20673">
        <v>5</v>
      </c>
      <c r="L20673">
        <v>472</v>
      </c>
      <c r="M20673">
        <v>1</v>
      </c>
      <c r="N20673">
        <v>1.4942700000000001E-169</v>
      </c>
      <c r="O20673">
        <v>1528</v>
      </c>
    </row>
    <row r="20674" spans="1:15" x14ac:dyDescent="0.25">
      <c r="A20674" t="s">
        <v>20687</v>
      </c>
      <c r="B20674">
        <v>606</v>
      </c>
      <c r="C20674" s="1" t="str">
        <f>HYPERLINK("http://www.rosaceae.org/gb/gbrowse/malus_x_domestica/?name=MDP0000906645","MDP0000906645")</f>
        <v>MDP0000906645</v>
      </c>
      <c r="D20674">
        <v>65.040000000000006</v>
      </c>
      <c r="E20674">
        <v>103</v>
      </c>
      <c r="F20674">
        <v>36</v>
      </c>
      <c r="G20674">
        <v>8</v>
      </c>
      <c r="H20674">
        <v>1</v>
      </c>
      <c r="I20674">
        <v>103</v>
      </c>
      <c r="J20674">
        <v>1</v>
      </c>
      <c r="K20674">
        <v>1</v>
      </c>
      <c r="L20674">
        <v>95</v>
      </c>
      <c r="M20674">
        <v>1</v>
      </c>
      <c r="N20674">
        <v>1.64506E-32</v>
      </c>
      <c r="O20674">
        <v>348</v>
      </c>
    </row>
    <row r="20675" spans="1:15" x14ac:dyDescent="0.25">
      <c r="A20675" t="s">
        <v>20688</v>
      </c>
      <c r="B20675">
        <v>1164</v>
      </c>
      <c r="C20675" s="1" t="str">
        <f>HYPERLINK("http://www.rosaceae.org/gb/gbrowse/malus_x_domestica/?name=MDP0000302716","MDP0000302716")</f>
        <v>MDP0000302716</v>
      </c>
      <c r="D20675">
        <v>72.989999999999995</v>
      </c>
      <c r="E20675">
        <v>1174</v>
      </c>
      <c r="F20675">
        <v>317</v>
      </c>
      <c r="G20675">
        <v>11</v>
      </c>
      <c r="H20675">
        <v>1</v>
      </c>
      <c r="I20675">
        <v>1164</v>
      </c>
      <c r="J20675">
        <v>1</v>
      </c>
      <c r="K20675">
        <v>127</v>
      </c>
      <c r="L20675">
        <v>1299</v>
      </c>
      <c r="M20675">
        <v>1</v>
      </c>
      <c r="N20675">
        <v>0</v>
      </c>
      <c r="O20675">
        <v>4338</v>
      </c>
    </row>
    <row r="20676" spans="1:15" x14ac:dyDescent="0.25">
      <c r="A20676" t="s">
        <v>20689</v>
      </c>
      <c r="B20676">
        <v>832</v>
      </c>
      <c r="C20676" s="1" t="str">
        <f>HYPERLINK("http://www.rosaceae.org/gb/gbrowse/malus_x_domestica/?name=MDP0000313744","MDP0000313744")</f>
        <v>MDP0000313744</v>
      </c>
      <c r="D20676">
        <v>70.010000000000005</v>
      </c>
      <c r="E20676">
        <v>847</v>
      </c>
      <c r="F20676">
        <v>254</v>
      </c>
      <c r="G20676">
        <v>64</v>
      </c>
      <c r="H20676">
        <v>7</v>
      </c>
      <c r="I20676">
        <v>831</v>
      </c>
      <c r="J20676">
        <v>1</v>
      </c>
      <c r="K20676">
        <v>15</v>
      </c>
      <c r="L20676">
        <v>819</v>
      </c>
      <c r="M20676">
        <v>1</v>
      </c>
      <c r="N20676">
        <v>0</v>
      </c>
      <c r="O20676">
        <v>3003</v>
      </c>
    </row>
    <row r="20677" spans="1:15" x14ac:dyDescent="0.25">
      <c r="A20677" t="s">
        <v>20690</v>
      </c>
      <c r="B20677">
        <v>271</v>
      </c>
      <c r="C20677" s="1" t="str">
        <f>HYPERLINK("http://www.rosaceae.org/gb/gbrowse/malus_x_domestica/?name=MDP0000281609","MDP0000281609")</f>
        <v>MDP0000281609</v>
      </c>
      <c r="D20677">
        <v>70.37</v>
      </c>
      <c r="E20677">
        <v>270</v>
      </c>
      <c r="F20677">
        <v>80</v>
      </c>
      <c r="G20677">
        <v>0</v>
      </c>
      <c r="H20677">
        <v>1</v>
      </c>
      <c r="I20677">
        <v>270</v>
      </c>
      <c r="J20677">
        <v>1</v>
      </c>
      <c r="K20677">
        <v>1</v>
      </c>
      <c r="L20677">
        <v>270</v>
      </c>
      <c r="M20677">
        <v>1</v>
      </c>
      <c r="N20677">
        <v>4.22867E-110</v>
      </c>
      <c r="O20677">
        <v>1013</v>
      </c>
    </row>
    <row r="20678" spans="1:15" x14ac:dyDescent="0.25">
      <c r="A20678" t="s">
        <v>20691</v>
      </c>
      <c r="B20678">
        <v>367</v>
      </c>
      <c r="C20678" s="1" t="str">
        <f>HYPERLINK("http://www.rosaceae.org/gb/gbrowse/malus_x_domestica/?name=MDP0000200243","MDP0000200243")</f>
        <v>MDP0000200243</v>
      </c>
      <c r="D20678">
        <v>54.56</v>
      </c>
      <c r="E20678">
        <v>372</v>
      </c>
      <c r="F20678">
        <v>169</v>
      </c>
      <c r="G20678">
        <v>44</v>
      </c>
      <c r="H20678">
        <v>3</v>
      </c>
      <c r="I20678">
        <v>331</v>
      </c>
      <c r="J20678">
        <v>1</v>
      </c>
      <c r="K20678">
        <v>4</v>
      </c>
      <c r="L20678">
        <v>374</v>
      </c>
      <c r="M20678">
        <v>1</v>
      </c>
      <c r="N20678">
        <v>4.6221099999999999E-97</v>
      </c>
      <c r="O20678">
        <v>902</v>
      </c>
    </row>
    <row r="20679" spans="1:15" x14ac:dyDescent="0.25">
      <c r="A20679" t="s">
        <v>20692</v>
      </c>
      <c r="B20679">
        <v>607</v>
      </c>
      <c r="C20679" s="1" t="str">
        <f>HYPERLINK("http://www.rosaceae.org/gb/gbrowse/malus_x_domestica/?name=MDP0000840525","MDP0000840525")</f>
        <v>MDP0000840525</v>
      </c>
      <c r="D20679">
        <v>45.66</v>
      </c>
      <c r="E20679">
        <v>484</v>
      </c>
      <c r="F20679">
        <v>263</v>
      </c>
      <c r="G20679">
        <v>36</v>
      </c>
      <c r="H20679">
        <v>113</v>
      </c>
      <c r="I20679">
        <v>590</v>
      </c>
      <c r="J20679">
        <v>1</v>
      </c>
      <c r="K20679">
        <v>73</v>
      </c>
      <c r="L20679">
        <v>526</v>
      </c>
      <c r="M20679">
        <v>1</v>
      </c>
      <c r="N20679">
        <v>1.01115E-106</v>
      </c>
      <c r="O20679">
        <v>988</v>
      </c>
    </row>
    <row r="20680" spans="1:15" x14ac:dyDescent="0.25">
      <c r="A20680" t="s">
        <v>20693</v>
      </c>
      <c r="B20680">
        <v>382</v>
      </c>
      <c r="C20680" s="1" t="str">
        <f>HYPERLINK("http://www.rosaceae.org/gb/gbrowse/malus_x_domestica/?name=MDP0000176701","MDP0000176701")</f>
        <v>MDP0000176701</v>
      </c>
      <c r="D20680">
        <v>78.569999999999993</v>
      </c>
      <c r="E20680">
        <v>392</v>
      </c>
      <c r="F20680">
        <v>84</v>
      </c>
      <c r="G20680">
        <v>33</v>
      </c>
      <c r="H20680">
        <v>1</v>
      </c>
      <c r="I20680">
        <v>359</v>
      </c>
      <c r="J20680">
        <v>1</v>
      </c>
      <c r="K20680">
        <v>1</v>
      </c>
      <c r="L20680">
        <v>392</v>
      </c>
      <c r="M20680">
        <v>1</v>
      </c>
      <c r="N20680">
        <v>1.71046E-178</v>
      </c>
      <c r="O20680">
        <v>1605</v>
      </c>
    </row>
    <row r="20681" spans="1:15" x14ac:dyDescent="0.25">
      <c r="A20681" t="s">
        <v>20694</v>
      </c>
      <c r="B20681">
        <v>976</v>
      </c>
      <c r="C20681" s="1" t="str">
        <f>HYPERLINK("http://www.rosaceae.org/gb/gbrowse/malus_x_domestica/?name=MDP0000169530","MDP0000169530")</f>
        <v>MDP0000169530</v>
      </c>
      <c r="D20681">
        <v>63.23</v>
      </c>
      <c r="E20681">
        <v>914</v>
      </c>
      <c r="F20681">
        <v>336</v>
      </c>
      <c r="G20681">
        <v>12</v>
      </c>
      <c r="H20681">
        <v>25</v>
      </c>
      <c r="I20681">
        <v>928</v>
      </c>
      <c r="J20681">
        <v>1</v>
      </c>
      <c r="K20681">
        <v>23</v>
      </c>
      <c r="L20681">
        <v>934</v>
      </c>
      <c r="M20681">
        <v>1</v>
      </c>
      <c r="N20681">
        <v>0</v>
      </c>
      <c r="O20681">
        <v>2876</v>
      </c>
    </row>
    <row r="20682" spans="1:15" x14ac:dyDescent="0.25">
      <c r="A20682" t="s">
        <v>20695</v>
      </c>
      <c r="B20682">
        <v>673</v>
      </c>
      <c r="C20682" s="1" t="str">
        <f>HYPERLINK("http://www.rosaceae.org/gb/gbrowse/malus_x_domestica/?name=MDP0000862532","MDP0000862532")</f>
        <v>MDP0000862532</v>
      </c>
      <c r="D20682">
        <v>73.73</v>
      </c>
      <c r="E20682">
        <v>651</v>
      </c>
      <c r="F20682">
        <v>171</v>
      </c>
      <c r="G20682">
        <v>18</v>
      </c>
      <c r="H20682">
        <v>41</v>
      </c>
      <c r="I20682">
        <v>673</v>
      </c>
      <c r="J20682">
        <v>1</v>
      </c>
      <c r="K20682">
        <v>1</v>
      </c>
      <c r="L20682">
        <v>651</v>
      </c>
      <c r="M20682">
        <v>1</v>
      </c>
      <c r="N20682">
        <v>0</v>
      </c>
      <c r="O20682">
        <v>2419</v>
      </c>
    </row>
    <row r="20683" spans="1:15" x14ac:dyDescent="0.25">
      <c r="A20683" t="s">
        <v>20696</v>
      </c>
      <c r="B20683">
        <v>344</v>
      </c>
      <c r="C20683" s="1" t="str">
        <f>HYPERLINK("http://www.rosaceae.org/gb/gbrowse/malus_x_domestica/?name=MDP0000298697","MDP0000298697")</f>
        <v>MDP0000298697</v>
      </c>
      <c r="D20683">
        <v>57.19</v>
      </c>
      <c r="E20683">
        <v>271</v>
      </c>
      <c r="F20683">
        <v>116</v>
      </c>
      <c r="G20683">
        <v>4</v>
      </c>
      <c r="H20683">
        <v>63</v>
      </c>
      <c r="I20683">
        <v>330</v>
      </c>
      <c r="J20683">
        <v>1</v>
      </c>
      <c r="K20683">
        <v>154</v>
      </c>
      <c r="L20683">
        <v>423</v>
      </c>
      <c r="M20683">
        <v>1</v>
      </c>
      <c r="N20683">
        <v>1.9487799999999999E-81</v>
      </c>
      <c r="O20683">
        <v>767</v>
      </c>
    </row>
    <row r="20684" spans="1:15" x14ac:dyDescent="0.25">
      <c r="A20684" t="s">
        <v>20697</v>
      </c>
      <c r="B20684">
        <v>367</v>
      </c>
      <c r="C20684" s="1" t="str">
        <f>HYPERLINK("http://www.rosaceae.org/gb/gbrowse/malus_x_domestica/?name=MDP0000202656","MDP0000202656")</f>
        <v>MDP0000202656</v>
      </c>
      <c r="D20684">
        <v>64.45</v>
      </c>
      <c r="E20684">
        <v>256</v>
      </c>
      <c r="F20684">
        <v>91</v>
      </c>
      <c r="G20684">
        <v>23</v>
      </c>
      <c r="H20684">
        <v>27</v>
      </c>
      <c r="I20684">
        <v>268</v>
      </c>
      <c r="J20684">
        <v>1</v>
      </c>
      <c r="K20684">
        <v>8</v>
      </c>
      <c r="L20684">
        <v>254</v>
      </c>
      <c r="M20684">
        <v>1</v>
      </c>
      <c r="N20684">
        <v>1.31959E-75</v>
      </c>
      <c r="O20684">
        <v>717</v>
      </c>
    </row>
    <row r="20685" spans="1:15" x14ac:dyDescent="0.25">
      <c r="A20685" t="s">
        <v>20698</v>
      </c>
      <c r="B20685">
        <v>171</v>
      </c>
      <c r="C20685" s="1" t="str">
        <f>HYPERLINK("http://www.rosaceae.org/gb/gbrowse/malus_x_domestica/?name=MDP0000155250","MDP0000155250")</f>
        <v>MDP0000155250</v>
      </c>
      <c r="D20685">
        <v>65.489999999999995</v>
      </c>
      <c r="E20685">
        <v>171</v>
      </c>
      <c r="F20685">
        <v>59</v>
      </c>
      <c r="G20685">
        <v>24</v>
      </c>
      <c r="H20685">
        <v>1</v>
      </c>
      <c r="I20685">
        <v>171</v>
      </c>
      <c r="J20685">
        <v>1</v>
      </c>
      <c r="K20685">
        <v>1</v>
      </c>
      <c r="L20685">
        <v>147</v>
      </c>
      <c r="M20685">
        <v>1</v>
      </c>
      <c r="N20685">
        <v>1.1695899999999999E-61</v>
      </c>
      <c r="O20685">
        <v>592</v>
      </c>
    </row>
    <row r="20686" spans="1:15" x14ac:dyDescent="0.25">
      <c r="A20686" t="s">
        <v>20699</v>
      </c>
      <c r="B20686">
        <v>141</v>
      </c>
      <c r="C20686" s="1" t="str">
        <f>HYPERLINK("http://www.rosaceae.org/gb/gbrowse/malus_x_domestica/?name=MDP0000522954","MDP0000522954")</f>
        <v>MDP0000522954</v>
      </c>
      <c r="D20686">
        <v>73.94</v>
      </c>
      <c r="E20686">
        <v>119</v>
      </c>
      <c r="F20686">
        <v>31</v>
      </c>
      <c r="G20686">
        <v>2</v>
      </c>
      <c r="H20686">
        <v>22</v>
      </c>
      <c r="I20686">
        <v>140</v>
      </c>
      <c r="J20686">
        <v>1</v>
      </c>
      <c r="K20686">
        <v>351</v>
      </c>
      <c r="L20686">
        <v>467</v>
      </c>
      <c r="M20686">
        <v>1</v>
      </c>
      <c r="N20686">
        <v>2.9627700000000001E-44</v>
      </c>
      <c r="O20686">
        <v>440</v>
      </c>
    </row>
    <row r="20687" spans="1:15" x14ac:dyDescent="0.25">
      <c r="A20687" t="s">
        <v>20700</v>
      </c>
      <c r="B20687">
        <v>544</v>
      </c>
      <c r="C20687" s="1" t="str">
        <f>HYPERLINK("http://www.rosaceae.org/gb/gbrowse/malus_x_domestica/?name=MDP0000921426","MDP0000921426")</f>
        <v>MDP0000921426</v>
      </c>
      <c r="D20687">
        <v>71.87</v>
      </c>
      <c r="E20687">
        <v>352</v>
      </c>
      <c r="F20687">
        <v>99</v>
      </c>
      <c r="G20687">
        <v>0</v>
      </c>
      <c r="H20687">
        <v>183</v>
      </c>
      <c r="I20687">
        <v>534</v>
      </c>
      <c r="J20687">
        <v>1</v>
      </c>
      <c r="K20687">
        <v>13</v>
      </c>
      <c r="L20687">
        <v>364</v>
      </c>
      <c r="M20687">
        <v>1</v>
      </c>
      <c r="N20687">
        <v>1.16785E-142</v>
      </c>
      <c r="O20687">
        <v>1297</v>
      </c>
    </row>
    <row r="20688" spans="1:15" x14ac:dyDescent="0.25">
      <c r="A20688" t="s">
        <v>20701</v>
      </c>
      <c r="B20688">
        <v>108</v>
      </c>
      <c r="C20688" s="1" t="str">
        <f>HYPERLINK("http://www.rosaceae.org/gb/gbrowse/malus_x_domestica/?name=MDP0000223875","MDP0000223875")</f>
        <v>MDP0000223875</v>
      </c>
      <c r="D20688">
        <v>93.47</v>
      </c>
      <c r="E20688">
        <v>46</v>
      </c>
      <c r="F20688">
        <v>3</v>
      </c>
      <c r="G20688">
        <v>0</v>
      </c>
      <c r="H20688">
        <v>1</v>
      </c>
      <c r="I20688">
        <v>46</v>
      </c>
      <c r="J20688">
        <v>1</v>
      </c>
      <c r="K20688">
        <v>57</v>
      </c>
      <c r="L20688">
        <v>102</v>
      </c>
      <c r="M20688">
        <v>1</v>
      </c>
      <c r="N20688">
        <v>9.3815600000000005E-19</v>
      </c>
      <c r="O20688">
        <v>219</v>
      </c>
    </row>
    <row r="20689" spans="1:15" x14ac:dyDescent="0.25">
      <c r="A20689" t="s">
        <v>20702</v>
      </c>
      <c r="B20689">
        <v>273</v>
      </c>
      <c r="C20689" s="1" t="str">
        <f>HYPERLINK("http://www.rosaceae.org/gb/gbrowse/malus_x_domestica/?name=MDP0000747225","MDP0000747225")</f>
        <v>MDP0000747225</v>
      </c>
      <c r="D20689">
        <v>67.87</v>
      </c>
      <c r="E20689">
        <v>165</v>
      </c>
      <c r="F20689">
        <v>53</v>
      </c>
      <c r="G20689">
        <v>28</v>
      </c>
      <c r="H20689">
        <v>1</v>
      </c>
      <c r="I20689">
        <v>150</v>
      </c>
      <c r="J20689">
        <v>1</v>
      </c>
      <c r="K20689">
        <v>1</v>
      </c>
      <c r="L20689">
        <v>152</v>
      </c>
      <c r="M20689">
        <v>1</v>
      </c>
      <c r="N20689">
        <v>2.8645400000000001E-55</v>
      </c>
      <c r="O20689">
        <v>540</v>
      </c>
    </row>
    <row r="20690" spans="1:15" x14ac:dyDescent="0.25">
      <c r="A20690" t="s">
        <v>20703</v>
      </c>
      <c r="B20690">
        <v>679</v>
      </c>
      <c r="C20690" s="1" t="str">
        <f>HYPERLINK("http://www.rosaceae.org/gb/gbrowse/malus_x_domestica/?name=MDP0000948404","MDP0000948404")</f>
        <v>MDP0000948404</v>
      </c>
      <c r="D20690">
        <v>76.06</v>
      </c>
      <c r="E20690">
        <v>656</v>
      </c>
      <c r="F20690">
        <v>157</v>
      </c>
      <c r="G20690">
        <v>2</v>
      </c>
      <c r="H20690">
        <v>26</v>
      </c>
      <c r="I20690">
        <v>679</v>
      </c>
      <c r="J20690">
        <v>1</v>
      </c>
      <c r="K20690">
        <v>27</v>
      </c>
      <c r="L20690">
        <v>682</v>
      </c>
      <c r="M20690">
        <v>1</v>
      </c>
      <c r="N20690">
        <v>0</v>
      </c>
      <c r="O20690">
        <v>2554</v>
      </c>
    </row>
    <row r="20691" spans="1:15" x14ac:dyDescent="0.25">
      <c r="A20691" t="s">
        <v>20704</v>
      </c>
      <c r="B20691">
        <v>199</v>
      </c>
      <c r="C20691" s="1" t="str">
        <f>HYPERLINK("http://www.rosaceae.org/gb/gbrowse/malus_x_domestica/?name=MDP0000288574","MDP0000288574")</f>
        <v>MDP0000288574</v>
      </c>
      <c r="D20691">
        <v>55.67</v>
      </c>
      <c r="E20691">
        <v>185</v>
      </c>
      <c r="F20691">
        <v>82</v>
      </c>
      <c r="G20691">
        <v>22</v>
      </c>
      <c r="H20691">
        <v>11</v>
      </c>
      <c r="I20691">
        <v>182</v>
      </c>
      <c r="J20691">
        <v>1</v>
      </c>
      <c r="K20691">
        <v>504</v>
      </c>
      <c r="L20691">
        <v>679</v>
      </c>
      <c r="M20691">
        <v>1</v>
      </c>
      <c r="N20691">
        <v>3.6100499999999998E-53</v>
      </c>
      <c r="O20691">
        <v>520</v>
      </c>
    </row>
    <row r="20692" spans="1:15" x14ac:dyDescent="0.25">
      <c r="A20692" t="s">
        <v>20705</v>
      </c>
      <c r="B20692">
        <v>556</v>
      </c>
      <c r="C20692" s="1" t="str">
        <f>HYPERLINK("http://www.rosaceae.org/gb/gbrowse/malus_x_domestica/?name=MDP0000132162","MDP0000132162")</f>
        <v>MDP0000132162</v>
      </c>
      <c r="D20692">
        <v>74.67</v>
      </c>
      <c r="E20692">
        <v>612</v>
      </c>
      <c r="F20692">
        <v>155</v>
      </c>
      <c r="G20692">
        <v>61</v>
      </c>
      <c r="H20692">
        <v>1</v>
      </c>
      <c r="I20692">
        <v>552</v>
      </c>
      <c r="J20692">
        <v>1</v>
      </c>
      <c r="K20692">
        <v>1</v>
      </c>
      <c r="L20692">
        <v>611</v>
      </c>
      <c r="M20692">
        <v>1</v>
      </c>
      <c r="N20692">
        <v>0</v>
      </c>
      <c r="O20692">
        <v>2347</v>
      </c>
    </row>
    <row r="20693" spans="1:15" x14ac:dyDescent="0.25">
      <c r="A20693" t="s">
        <v>20706</v>
      </c>
      <c r="B20693">
        <v>114</v>
      </c>
      <c r="C20693" s="1" t="str">
        <f>HYPERLINK("http://www.rosaceae.org/gb/gbrowse/malus_x_domestica/?name=MDP0000219525","MDP0000219525")</f>
        <v>MDP0000219525</v>
      </c>
      <c r="D20693">
        <v>55.33</v>
      </c>
      <c r="E20693">
        <v>103</v>
      </c>
      <c r="F20693">
        <v>46</v>
      </c>
      <c r="G20693">
        <v>10</v>
      </c>
      <c r="H20693">
        <v>1</v>
      </c>
      <c r="I20693">
        <v>100</v>
      </c>
      <c r="J20693">
        <v>1</v>
      </c>
      <c r="K20693">
        <v>1</v>
      </c>
      <c r="L20693">
        <v>96</v>
      </c>
      <c r="M20693">
        <v>1</v>
      </c>
      <c r="N20693">
        <v>5.3965500000000002E-20</v>
      </c>
      <c r="O20693">
        <v>230</v>
      </c>
    </row>
    <row r="20694" spans="1:15" x14ac:dyDescent="0.25">
      <c r="A20694" t="s">
        <v>20707</v>
      </c>
      <c r="B20694">
        <v>363</v>
      </c>
      <c r="C20694" s="1" t="str">
        <f>HYPERLINK("http://www.rosaceae.org/gb/gbrowse/malus_x_domestica/?name=MDP0000330776","MDP0000330776")</f>
        <v>MDP0000330776</v>
      </c>
      <c r="D20694">
        <v>91.18</v>
      </c>
      <c r="E20694">
        <v>363</v>
      </c>
      <c r="F20694">
        <v>32</v>
      </c>
      <c r="G20694">
        <v>1</v>
      </c>
      <c r="H20694">
        <v>1</v>
      </c>
      <c r="I20694">
        <v>363</v>
      </c>
      <c r="J20694">
        <v>1</v>
      </c>
      <c r="K20694">
        <v>1</v>
      </c>
      <c r="L20694">
        <v>362</v>
      </c>
      <c r="M20694">
        <v>1</v>
      </c>
      <c r="N20694">
        <v>0</v>
      </c>
      <c r="O20694">
        <v>1760</v>
      </c>
    </row>
    <row r="20695" spans="1:15" x14ac:dyDescent="0.25">
      <c r="A20695" t="s">
        <v>20708</v>
      </c>
      <c r="B20695">
        <v>1951</v>
      </c>
      <c r="C20695" s="1" t="str">
        <f>HYPERLINK("http://www.rosaceae.org/gb/gbrowse/malus_x_domestica/?name=MDP0000147034","MDP0000147034")</f>
        <v>MDP0000147034</v>
      </c>
      <c r="D20695">
        <v>62.63</v>
      </c>
      <c r="E20695">
        <v>1183</v>
      </c>
      <c r="F20695">
        <v>442</v>
      </c>
      <c r="G20695">
        <v>86</v>
      </c>
      <c r="H20695">
        <v>11</v>
      </c>
      <c r="I20695">
        <v>1171</v>
      </c>
      <c r="J20695">
        <v>1</v>
      </c>
      <c r="K20695">
        <v>14</v>
      </c>
      <c r="L20695">
        <v>1132</v>
      </c>
      <c r="M20695">
        <v>1</v>
      </c>
      <c r="N20695">
        <v>0</v>
      </c>
      <c r="O20695">
        <v>3593</v>
      </c>
    </row>
    <row r="20696" spans="1:15" x14ac:dyDescent="0.25">
      <c r="A20696" t="s">
        <v>20709</v>
      </c>
      <c r="B20696">
        <v>543</v>
      </c>
      <c r="C20696" s="1" t="str">
        <f>HYPERLINK("http://www.rosaceae.org/gb/gbrowse/malus_x_domestica/?name=MDP0000284607","MDP0000284607")</f>
        <v>MDP0000284607</v>
      </c>
      <c r="D20696">
        <v>82.6</v>
      </c>
      <c r="E20696">
        <v>546</v>
      </c>
      <c r="F20696">
        <v>95</v>
      </c>
      <c r="G20696">
        <v>4</v>
      </c>
      <c r="H20696">
        <v>1</v>
      </c>
      <c r="I20696">
        <v>542</v>
      </c>
      <c r="J20696">
        <v>1</v>
      </c>
      <c r="K20696">
        <v>1</v>
      </c>
      <c r="L20696">
        <v>546</v>
      </c>
      <c r="M20696">
        <v>1</v>
      </c>
      <c r="N20696">
        <v>0</v>
      </c>
      <c r="O20696">
        <v>2364</v>
      </c>
    </row>
    <row r="20697" spans="1:15" x14ac:dyDescent="0.25">
      <c r="A20697" t="s">
        <v>20710</v>
      </c>
      <c r="B20697">
        <v>69</v>
      </c>
      <c r="C20697" s="1" t="str">
        <f>HYPERLINK("http://www.rosaceae.org/gb/gbrowse/malus_x_domestica/?name=MDP0000306862","MDP0000306862")</f>
        <v>MDP0000306862</v>
      </c>
      <c r="D20697">
        <v>68.290000000000006</v>
      </c>
      <c r="E20697">
        <v>41</v>
      </c>
      <c r="F20697">
        <v>13</v>
      </c>
      <c r="G20697">
        <v>0</v>
      </c>
      <c r="H20697">
        <v>1</v>
      </c>
      <c r="I20697">
        <v>41</v>
      </c>
      <c r="J20697">
        <v>1</v>
      </c>
      <c r="K20697">
        <v>282</v>
      </c>
      <c r="L20697">
        <v>322</v>
      </c>
      <c r="M20697">
        <v>1</v>
      </c>
      <c r="N20697">
        <v>6.0199100000000003E-12</v>
      </c>
      <c r="O20697">
        <v>160</v>
      </c>
    </row>
    <row r="20698" spans="1:15" x14ac:dyDescent="0.25">
      <c r="A20698" t="s">
        <v>20711</v>
      </c>
      <c r="B20698">
        <v>276</v>
      </c>
      <c r="C20698" s="1" t="str">
        <f>HYPERLINK("http://www.rosaceae.org/gb/gbrowse/malus_x_domestica/?name=MDP0000201897","MDP0000201897")</f>
        <v>MDP0000201897</v>
      </c>
      <c r="D20698">
        <v>30.35</v>
      </c>
      <c r="E20698">
        <v>168</v>
      </c>
      <c r="F20698">
        <v>117</v>
      </c>
      <c r="G20698">
        <v>11</v>
      </c>
      <c r="H20698">
        <v>6</v>
      </c>
      <c r="I20698">
        <v>169</v>
      </c>
      <c r="J20698">
        <v>1</v>
      </c>
      <c r="K20698">
        <v>665</v>
      </c>
      <c r="L20698">
        <v>825</v>
      </c>
      <c r="M20698">
        <v>1</v>
      </c>
      <c r="N20698">
        <v>2.66707E-16</v>
      </c>
      <c r="O20698">
        <v>204</v>
      </c>
    </row>
    <row r="20699" spans="1:15" x14ac:dyDescent="0.25">
      <c r="A20699" t="s">
        <v>20712</v>
      </c>
      <c r="B20699">
        <v>493</v>
      </c>
      <c r="C20699" s="1" t="str">
        <f>HYPERLINK("http://www.rosaceae.org/gb/gbrowse/malus_x_domestica/?name=MDP0000136726","MDP0000136726")</f>
        <v>MDP0000136726</v>
      </c>
      <c r="D20699">
        <v>64.010000000000005</v>
      </c>
      <c r="E20699">
        <v>478</v>
      </c>
      <c r="F20699">
        <v>172</v>
      </c>
      <c r="G20699">
        <v>1</v>
      </c>
      <c r="H20699">
        <v>16</v>
      </c>
      <c r="I20699">
        <v>493</v>
      </c>
      <c r="J20699">
        <v>1</v>
      </c>
      <c r="K20699">
        <v>22</v>
      </c>
      <c r="L20699">
        <v>498</v>
      </c>
      <c r="M20699">
        <v>1</v>
      </c>
      <c r="N20699">
        <v>4.9100000000000002E-170</v>
      </c>
      <c r="O20699">
        <v>1533</v>
      </c>
    </row>
    <row r="20700" spans="1:15" x14ac:dyDescent="0.25">
      <c r="A20700" t="s">
        <v>20713</v>
      </c>
      <c r="B20700">
        <v>195</v>
      </c>
      <c r="C20700" s="1" t="str">
        <f>HYPERLINK("http://www.rosaceae.org/gb/gbrowse/malus_x_domestica/?name=MDP0000698534","MDP0000698534")</f>
        <v>MDP0000698534</v>
      </c>
      <c r="D20700">
        <v>60.36</v>
      </c>
      <c r="E20700">
        <v>164</v>
      </c>
      <c r="F20700">
        <v>65</v>
      </c>
      <c r="G20700">
        <v>1</v>
      </c>
      <c r="H20700">
        <v>17</v>
      </c>
      <c r="I20700">
        <v>180</v>
      </c>
      <c r="J20700">
        <v>1</v>
      </c>
      <c r="K20700">
        <v>18</v>
      </c>
      <c r="L20700">
        <v>180</v>
      </c>
      <c r="M20700">
        <v>1</v>
      </c>
      <c r="N20700">
        <v>7.9836700000000005E-54</v>
      </c>
      <c r="O20700">
        <v>526</v>
      </c>
    </row>
    <row r="20701" spans="1:15" x14ac:dyDescent="0.25">
      <c r="A20701" t="s">
        <v>20714</v>
      </c>
      <c r="B20701">
        <v>507</v>
      </c>
      <c r="C20701" s="1" t="str">
        <f>HYPERLINK("http://www.rosaceae.org/gb/gbrowse/malus_x_domestica/?name=MDP0000252304","MDP0000252304")</f>
        <v>MDP0000252304</v>
      </c>
      <c r="D20701">
        <v>88.36</v>
      </c>
      <c r="E20701">
        <v>507</v>
      </c>
      <c r="F20701">
        <v>59</v>
      </c>
      <c r="G20701">
        <v>3</v>
      </c>
      <c r="H20701">
        <v>4</v>
      </c>
      <c r="I20701">
        <v>507</v>
      </c>
      <c r="J20701">
        <v>1</v>
      </c>
      <c r="K20701">
        <v>6</v>
      </c>
      <c r="L20701">
        <v>512</v>
      </c>
      <c r="M20701">
        <v>1</v>
      </c>
      <c r="N20701">
        <v>0</v>
      </c>
      <c r="O20701">
        <v>2387</v>
      </c>
    </row>
    <row r="20702" spans="1:15" x14ac:dyDescent="0.25">
      <c r="A20702" t="s">
        <v>20715</v>
      </c>
      <c r="B20702">
        <v>2162</v>
      </c>
      <c r="C20702" s="1" t="str">
        <f>HYPERLINK("http://www.rosaceae.org/gb/gbrowse/malus_x_domestica/?name=MDP0000267963","MDP0000267963")</f>
        <v>MDP0000267963</v>
      </c>
      <c r="D20702">
        <v>50.82</v>
      </c>
      <c r="E20702">
        <v>606</v>
      </c>
      <c r="F20702">
        <v>298</v>
      </c>
      <c r="G20702">
        <v>38</v>
      </c>
      <c r="H20702">
        <v>1520</v>
      </c>
      <c r="I20702">
        <v>2115</v>
      </c>
      <c r="J20702">
        <v>1</v>
      </c>
      <c r="K20702">
        <v>235</v>
      </c>
      <c r="L20702">
        <v>812</v>
      </c>
      <c r="M20702">
        <v>1</v>
      </c>
      <c r="N20702">
        <v>4.4167599999999998E-159</v>
      </c>
      <c r="O20702">
        <v>1444</v>
      </c>
    </row>
    <row r="20703" spans="1:15" x14ac:dyDescent="0.25">
      <c r="A20703" t="s">
        <v>20716</v>
      </c>
      <c r="B20703">
        <v>311</v>
      </c>
      <c r="C20703" s="1" t="str">
        <f>HYPERLINK("http://www.rosaceae.org/gb/gbrowse/malus_x_domestica/?name=MDP0000664066","MDP0000664066")</f>
        <v>MDP0000664066</v>
      </c>
      <c r="D20703">
        <v>73.349999999999994</v>
      </c>
      <c r="E20703">
        <v>319</v>
      </c>
      <c r="F20703">
        <v>85</v>
      </c>
      <c r="G20703">
        <v>9</v>
      </c>
      <c r="H20703">
        <v>2</v>
      </c>
      <c r="I20703">
        <v>311</v>
      </c>
      <c r="J20703">
        <v>1</v>
      </c>
      <c r="K20703">
        <v>64</v>
      </c>
      <c r="L20703">
        <v>382</v>
      </c>
      <c r="M20703">
        <v>1</v>
      </c>
      <c r="N20703">
        <v>4.2538599999999998E-131</v>
      </c>
      <c r="O20703">
        <v>1195</v>
      </c>
    </row>
    <row r="20704" spans="1:15" x14ac:dyDescent="0.25">
      <c r="A20704" t="s">
        <v>20717</v>
      </c>
      <c r="B20704">
        <v>156</v>
      </c>
      <c r="C20704" s="1" t="str">
        <f>HYPERLINK("http://www.rosaceae.org/gb/gbrowse/malus_x_domestica/?name=MDP0000319550","MDP0000319550")</f>
        <v>MDP0000319550</v>
      </c>
      <c r="D20704">
        <v>50.76</v>
      </c>
      <c r="E20704">
        <v>130</v>
      </c>
      <c r="F20704">
        <v>64</v>
      </c>
      <c r="G20704">
        <v>18</v>
      </c>
      <c r="H20704">
        <v>27</v>
      </c>
      <c r="I20704">
        <v>156</v>
      </c>
      <c r="J20704">
        <v>1</v>
      </c>
      <c r="K20704">
        <v>40</v>
      </c>
      <c r="L20704">
        <v>151</v>
      </c>
      <c r="M20704">
        <v>1</v>
      </c>
      <c r="N20704">
        <v>3.8485799999999999E-30</v>
      </c>
      <c r="O20704">
        <v>320</v>
      </c>
    </row>
    <row r="20705" spans="1:15" x14ac:dyDescent="0.25">
      <c r="A20705" t="s">
        <v>20718</v>
      </c>
      <c r="B20705">
        <v>161</v>
      </c>
      <c r="C20705" s="1" t="str">
        <f>HYPERLINK("http://www.rosaceae.org/gb/gbrowse/malus_x_domestica/?name=MDP0000316658","MDP0000316658")</f>
        <v>MDP0000316658</v>
      </c>
      <c r="D20705">
        <v>43.68</v>
      </c>
      <c r="E20705">
        <v>103</v>
      </c>
      <c r="F20705">
        <v>58</v>
      </c>
      <c r="G20705">
        <v>3</v>
      </c>
      <c r="H20705">
        <v>17</v>
      </c>
      <c r="I20705">
        <v>119</v>
      </c>
      <c r="J20705">
        <v>1</v>
      </c>
      <c r="K20705">
        <v>12</v>
      </c>
      <c r="L20705">
        <v>111</v>
      </c>
      <c r="M20705">
        <v>1</v>
      </c>
      <c r="N20705">
        <v>2.49309E-15</v>
      </c>
      <c r="O20705">
        <v>192</v>
      </c>
    </row>
    <row r="20706" spans="1:15" x14ac:dyDescent="0.25">
      <c r="A20706" t="s">
        <v>20719</v>
      </c>
      <c r="B20706">
        <v>547</v>
      </c>
      <c r="C20706" s="1" t="str">
        <f>HYPERLINK("http://www.rosaceae.org/gb/gbrowse/malus_x_domestica/?name=MDP0000288107","MDP0000288107")</f>
        <v>MDP0000288107</v>
      </c>
      <c r="D20706">
        <v>74.900000000000006</v>
      </c>
      <c r="E20706">
        <v>534</v>
      </c>
      <c r="F20706">
        <v>134</v>
      </c>
      <c r="G20706">
        <v>8</v>
      </c>
      <c r="H20706">
        <v>1</v>
      </c>
      <c r="I20706">
        <v>528</v>
      </c>
      <c r="J20706">
        <v>1</v>
      </c>
      <c r="K20706">
        <v>148</v>
      </c>
      <c r="L20706">
        <v>679</v>
      </c>
      <c r="M20706">
        <v>1</v>
      </c>
      <c r="N20706">
        <v>0</v>
      </c>
      <c r="O20706">
        <v>2116</v>
      </c>
    </row>
    <row r="20707" spans="1:15" x14ac:dyDescent="0.25">
      <c r="A20707" t="s">
        <v>20720</v>
      </c>
      <c r="B20707">
        <v>252</v>
      </c>
      <c r="C20707" s="1" t="str">
        <f>HYPERLINK("http://www.rosaceae.org/gb/gbrowse/malus_x_domestica/?name=MDP0000290674","MDP0000290674")</f>
        <v>MDP0000290674</v>
      </c>
      <c r="D20707">
        <v>45.96</v>
      </c>
      <c r="E20707">
        <v>161</v>
      </c>
      <c r="F20707">
        <v>87</v>
      </c>
      <c r="G20707">
        <v>1</v>
      </c>
      <c r="H20707">
        <v>52</v>
      </c>
      <c r="I20707">
        <v>212</v>
      </c>
      <c r="J20707">
        <v>1</v>
      </c>
      <c r="K20707">
        <v>68</v>
      </c>
      <c r="L20707">
        <v>227</v>
      </c>
      <c r="M20707">
        <v>1</v>
      </c>
      <c r="N20707">
        <v>9.9526199999999993E-34</v>
      </c>
      <c r="O20707">
        <v>354</v>
      </c>
    </row>
    <row r="20708" spans="1:15" x14ac:dyDescent="0.25">
      <c r="A20708" t="s">
        <v>20721</v>
      </c>
      <c r="B20708">
        <v>242</v>
      </c>
      <c r="C20708" s="1" t="str">
        <f>HYPERLINK("http://www.rosaceae.org/gb/gbrowse/malus_x_domestica/?name=MDP0000216956","MDP0000216956")</f>
        <v>MDP0000216956</v>
      </c>
      <c r="D20708">
        <v>31.3</v>
      </c>
      <c r="E20708">
        <v>230</v>
      </c>
      <c r="F20708">
        <v>158</v>
      </c>
      <c r="G20708">
        <v>25</v>
      </c>
      <c r="H20708">
        <v>19</v>
      </c>
      <c r="I20708">
        <v>234</v>
      </c>
      <c r="J20708">
        <v>1</v>
      </c>
      <c r="K20708">
        <v>23</v>
      </c>
      <c r="L20708">
        <v>241</v>
      </c>
      <c r="M20708">
        <v>1</v>
      </c>
      <c r="N20708">
        <v>1.4392000000000001E-21</v>
      </c>
      <c r="O20708">
        <v>249</v>
      </c>
    </row>
    <row r="20709" spans="1:15" x14ac:dyDescent="0.25">
      <c r="A20709" t="s">
        <v>20722</v>
      </c>
      <c r="B20709">
        <v>1141</v>
      </c>
      <c r="C20709" s="1" t="str">
        <f>HYPERLINK("http://www.rosaceae.org/gb/gbrowse/malus_x_domestica/?name=MDP0000202660","MDP0000202660")</f>
        <v>MDP0000202660</v>
      </c>
      <c r="D20709">
        <v>73.099999999999994</v>
      </c>
      <c r="E20709">
        <v>1108</v>
      </c>
      <c r="F20709">
        <v>298</v>
      </c>
      <c r="G20709">
        <v>10</v>
      </c>
      <c r="H20709">
        <v>41</v>
      </c>
      <c r="I20709">
        <v>1141</v>
      </c>
      <c r="J20709">
        <v>1</v>
      </c>
      <c r="K20709">
        <v>558</v>
      </c>
      <c r="L20709">
        <v>1662</v>
      </c>
      <c r="M20709">
        <v>1</v>
      </c>
      <c r="N20709">
        <v>0</v>
      </c>
      <c r="O20709">
        <v>4163</v>
      </c>
    </row>
    <row r="20710" spans="1:15" x14ac:dyDescent="0.25">
      <c r="A20710" t="s">
        <v>20723</v>
      </c>
      <c r="B20710">
        <v>946</v>
      </c>
      <c r="C20710" s="1" t="str">
        <f>HYPERLINK("http://www.rosaceae.org/gb/gbrowse/malus_x_domestica/?name=MDP0000138110","MDP0000138110")</f>
        <v>MDP0000138110</v>
      </c>
      <c r="D20710">
        <v>58.79</v>
      </c>
      <c r="E20710">
        <v>978</v>
      </c>
      <c r="F20710">
        <v>403</v>
      </c>
      <c r="G20710">
        <v>77</v>
      </c>
      <c r="H20710">
        <v>20</v>
      </c>
      <c r="I20710">
        <v>943</v>
      </c>
      <c r="J20710">
        <v>1</v>
      </c>
      <c r="K20710">
        <v>26</v>
      </c>
      <c r="L20710">
        <v>980</v>
      </c>
      <c r="M20710">
        <v>1</v>
      </c>
      <c r="N20710">
        <v>0</v>
      </c>
      <c r="O20710">
        <v>2664</v>
      </c>
    </row>
    <row r="20711" spans="1:15" x14ac:dyDescent="0.25">
      <c r="A20711" t="s">
        <v>20724</v>
      </c>
      <c r="B20711">
        <v>697</v>
      </c>
      <c r="C20711" s="1" t="str">
        <f>HYPERLINK("http://www.rosaceae.org/gb/gbrowse/malus_x_domestica/?name=MDP0000233216","MDP0000233216")</f>
        <v>MDP0000233216</v>
      </c>
      <c r="D20711">
        <v>70.11</v>
      </c>
      <c r="E20711">
        <v>753</v>
      </c>
      <c r="F20711">
        <v>225</v>
      </c>
      <c r="G20711">
        <v>79</v>
      </c>
      <c r="H20711">
        <v>1</v>
      </c>
      <c r="I20711">
        <v>697</v>
      </c>
      <c r="J20711">
        <v>1</v>
      </c>
      <c r="K20711">
        <v>1</v>
      </c>
      <c r="L20711">
        <v>730</v>
      </c>
      <c r="M20711">
        <v>1</v>
      </c>
      <c r="N20711">
        <v>0</v>
      </c>
      <c r="O20711">
        <v>2818</v>
      </c>
    </row>
    <row r="20712" spans="1:15" x14ac:dyDescent="0.25">
      <c r="A20712" t="s">
        <v>20725</v>
      </c>
      <c r="B20712">
        <v>206</v>
      </c>
      <c r="C20712" s="1" t="str">
        <f>HYPERLINK("http://www.rosaceae.org/gb/gbrowse/malus_x_domestica/?name=MDP0000225134","MDP0000225134")</f>
        <v>MDP0000225134</v>
      </c>
      <c r="D20712">
        <v>56.42</v>
      </c>
      <c r="E20712">
        <v>280</v>
      </c>
      <c r="F20712">
        <v>122</v>
      </c>
      <c r="G20712">
        <v>81</v>
      </c>
      <c r="H20712">
        <v>1</v>
      </c>
      <c r="I20712">
        <v>206</v>
      </c>
      <c r="J20712">
        <v>1</v>
      </c>
      <c r="K20712">
        <v>1</v>
      </c>
      <c r="L20712">
        <v>273</v>
      </c>
      <c r="M20712">
        <v>1</v>
      </c>
      <c r="N20712">
        <v>2.97259E-75</v>
      </c>
      <c r="O20712">
        <v>711</v>
      </c>
    </row>
    <row r="20713" spans="1:15" x14ac:dyDescent="0.25">
      <c r="A20713" t="s">
        <v>20726</v>
      </c>
      <c r="B20713">
        <v>91</v>
      </c>
      <c r="C20713" s="1" t="str">
        <f>HYPERLINK("http://www.rosaceae.org/gb/gbrowse/malus_x_domestica/?name=MDP0000121016","MDP0000121016")</f>
        <v>MDP0000121016</v>
      </c>
      <c r="D20713">
        <v>90.47</v>
      </c>
      <c r="E20713">
        <v>63</v>
      </c>
      <c r="F20713">
        <v>6</v>
      </c>
      <c r="G20713">
        <v>1</v>
      </c>
      <c r="H20713">
        <v>1</v>
      </c>
      <c r="I20713">
        <v>63</v>
      </c>
      <c r="J20713">
        <v>1</v>
      </c>
      <c r="K20713">
        <v>20</v>
      </c>
      <c r="L20713">
        <v>81</v>
      </c>
      <c r="M20713">
        <v>1</v>
      </c>
      <c r="N20713">
        <v>3.5103300000000002E-25</v>
      </c>
      <c r="O20713">
        <v>275</v>
      </c>
    </row>
    <row r="20714" spans="1:15" x14ac:dyDescent="0.25">
      <c r="A20714" t="s">
        <v>20727</v>
      </c>
      <c r="B20714">
        <v>578</v>
      </c>
      <c r="C20714" s="1" t="str">
        <f>HYPERLINK("http://www.rosaceae.org/gb/gbrowse/malus_x_domestica/?name=MDP0000132839","MDP0000132839")</f>
        <v>MDP0000132839</v>
      </c>
      <c r="D20714">
        <v>84.48</v>
      </c>
      <c r="E20714">
        <v>303</v>
      </c>
      <c r="F20714">
        <v>47</v>
      </c>
      <c r="G20714">
        <v>12</v>
      </c>
      <c r="H20714">
        <v>288</v>
      </c>
      <c r="I20714">
        <v>578</v>
      </c>
      <c r="J20714">
        <v>1</v>
      </c>
      <c r="K20714">
        <v>125</v>
      </c>
      <c r="L20714">
        <v>427</v>
      </c>
      <c r="M20714">
        <v>1</v>
      </c>
      <c r="N20714">
        <v>9.0334699999999999E-145</v>
      </c>
      <c r="O20714">
        <v>1316</v>
      </c>
    </row>
    <row r="20715" spans="1:15" x14ac:dyDescent="0.25">
      <c r="A20715" t="s">
        <v>20728</v>
      </c>
      <c r="B20715">
        <v>340</v>
      </c>
      <c r="C20715" s="1" t="str">
        <f>HYPERLINK("http://www.rosaceae.org/gb/gbrowse/malus_x_domestica/?name=MDP0000218284","MDP0000218284")</f>
        <v>MDP0000218284</v>
      </c>
      <c r="D20715">
        <v>59.34</v>
      </c>
      <c r="E20715">
        <v>337</v>
      </c>
      <c r="F20715">
        <v>137</v>
      </c>
      <c r="G20715">
        <v>7</v>
      </c>
      <c r="H20715">
        <v>5</v>
      </c>
      <c r="I20715">
        <v>338</v>
      </c>
      <c r="J20715">
        <v>1</v>
      </c>
      <c r="K20715">
        <v>6</v>
      </c>
      <c r="L20715">
        <v>338</v>
      </c>
      <c r="M20715">
        <v>1</v>
      </c>
      <c r="N20715">
        <v>1.327E-111</v>
      </c>
      <c r="O20715">
        <v>1027</v>
      </c>
    </row>
    <row r="20716" spans="1:15" x14ac:dyDescent="0.25">
      <c r="A20716" t="s">
        <v>20729</v>
      </c>
      <c r="B20716">
        <v>474</v>
      </c>
      <c r="C20716" s="1" t="str">
        <f>HYPERLINK("http://www.rosaceae.org/gb/gbrowse/malus_x_domestica/?name=MDP0000272783","MDP0000272783")</f>
        <v>MDP0000272783</v>
      </c>
      <c r="D20716">
        <v>70.66</v>
      </c>
      <c r="E20716">
        <v>75</v>
      </c>
      <c r="F20716">
        <v>22</v>
      </c>
      <c r="G20716">
        <v>0</v>
      </c>
      <c r="H20716">
        <v>55</v>
      </c>
      <c r="I20716">
        <v>129</v>
      </c>
      <c r="J20716">
        <v>1</v>
      </c>
      <c r="K20716">
        <v>1</v>
      </c>
      <c r="L20716">
        <v>75</v>
      </c>
      <c r="M20716">
        <v>1</v>
      </c>
      <c r="N20716">
        <v>1.8295400000000002E-27</v>
      </c>
      <c r="O20716">
        <v>303</v>
      </c>
    </row>
    <row r="20717" spans="1:15" x14ac:dyDescent="0.25">
      <c r="A20717" t="s">
        <v>20730</v>
      </c>
      <c r="B20717">
        <v>154</v>
      </c>
      <c r="C20717" s="1" t="str">
        <f>HYPERLINK("http://www.rosaceae.org/gb/gbrowse/malus_x_domestica/?name=MDP0000135806","MDP0000135806")</f>
        <v>MDP0000135806</v>
      </c>
      <c r="D20717">
        <v>66.02</v>
      </c>
      <c r="E20717">
        <v>156</v>
      </c>
      <c r="F20717">
        <v>53</v>
      </c>
      <c r="G20717">
        <v>3</v>
      </c>
      <c r="H20717">
        <v>2</v>
      </c>
      <c r="I20717">
        <v>154</v>
      </c>
      <c r="J20717">
        <v>1</v>
      </c>
      <c r="K20717">
        <v>5</v>
      </c>
      <c r="L20717">
        <v>160</v>
      </c>
      <c r="M20717">
        <v>1</v>
      </c>
      <c r="N20717">
        <v>2.6030500000000001E-55</v>
      </c>
      <c r="O20717">
        <v>537</v>
      </c>
    </row>
    <row r="20718" spans="1:15" x14ac:dyDescent="0.25">
      <c r="A20718" t="s">
        <v>20731</v>
      </c>
      <c r="B20718">
        <v>271</v>
      </c>
      <c r="C20718" s="1" t="str">
        <f>HYPERLINK("http://www.rosaceae.org/gb/gbrowse/malus_x_domestica/?name=MDP0000322036","MDP0000322036")</f>
        <v>MDP0000322036</v>
      </c>
      <c r="D20718">
        <v>35.74</v>
      </c>
      <c r="E20718">
        <v>249</v>
      </c>
      <c r="F20718">
        <v>160</v>
      </c>
      <c r="G20718">
        <v>31</v>
      </c>
      <c r="H20718">
        <v>32</v>
      </c>
      <c r="I20718">
        <v>269</v>
      </c>
      <c r="J20718">
        <v>1</v>
      </c>
      <c r="K20718">
        <v>101</v>
      </c>
      <c r="L20718">
        <v>329</v>
      </c>
      <c r="M20718">
        <v>1</v>
      </c>
      <c r="N20718">
        <v>6.0808399999999997E-37</v>
      </c>
      <c r="O20718">
        <v>382</v>
      </c>
    </row>
    <row r="20719" spans="1:15" x14ac:dyDescent="0.25">
      <c r="A20719" t="s">
        <v>20732</v>
      </c>
      <c r="B20719">
        <v>357</v>
      </c>
      <c r="C20719" s="1" t="str">
        <f>HYPERLINK("http://www.rosaceae.org/gb/gbrowse/malus_x_domestica/?name=MDP0000373848","MDP0000373848")</f>
        <v>MDP0000373848</v>
      </c>
      <c r="D20719">
        <v>72.58</v>
      </c>
      <c r="E20719">
        <v>259</v>
      </c>
      <c r="F20719">
        <v>71</v>
      </c>
      <c r="G20719">
        <v>5</v>
      </c>
      <c r="H20719">
        <v>101</v>
      </c>
      <c r="I20719">
        <v>354</v>
      </c>
      <c r="J20719">
        <v>1</v>
      </c>
      <c r="K20719">
        <v>93</v>
      </c>
      <c r="L20719">
        <v>351</v>
      </c>
      <c r="M20719">
        <v>1</v>
      </c>
      <c r="N20719">
        <v>1.62824E-108</v>
      </c>
      <c r="O20719">
        <v>1001</v>
      </c>
    </row>
    <row r="20720" spans="1:15" x14ac:dyDescent="0.25">
      <c r="A20720" t="s">
        <v>20733</v>
      </c>
      <c r="B20720">
        <v>176</v>
      </c>
      <c r="C20720" s="1" t="str">
        <f>HYPERLINK("http://www.rosaceae.org/gb/gbrowse/malus_x_domestica/?name=MDP0000320420","MDP0000320420")</f>
        <v>MDP0000320420</v>
      </c>
      <c r="D20720">
        <v>71.540000000000006</v>
      </c>
      <c r="E20720">
        <v>123</v>
      </c>
      <c r="F20720">
        <v>35</v>
      </c>
      <c r="G20720">
        <v>3</v>
      </c>
      <c r="H20720">
        <v>1</v>
      </c>
      <c r="I20720">
        <v>123</v>
      </c>
      <c r="J20720">
        <v>1</v>
      </c>
      <c r="K20720">
        <v>693</v>
      </c>
      <c r="L20720">
        <v>812</v>
      </c>
      <c r="M20720">
        <v>1</v>
      </c>
      <c r="N20720">
        <v>1.9031400000000002E-45</v>
      </c>
      <c r="O20720">
        <v>453</v>
      </c>
    </row>
    <row r="20721" spans="1:15" x14ac:dyDescent="0.25">
      <c r="A20721" t="s">
        <v>20734</v>
      </c>
      <c r="B20721">
        <v>312</v>
      </c>
      <c r="C20721" s="1" t="str">
        <f>HYPERLINK("http://www.rosaceae.org/gb/gbrowse/malus_x_domestica/?name=MDP0000138737","MDP0000138737")</f>
        <v>MDP0000138737</v>
      </c>
      <c r="D20721">
        <v>90.38</v>
      </c>
      <c r="E20721">
        <v>312</v>
      </c>
      <c r="F20721">
        <v>30</v>
      </c>
      <c r="G20721">
        <v>0</v>
      </c>
      <c r="H20721">
        <v>1</v>
      </c>
      <c r="I20721">
        <v>312</v>
      </c>
      <c r="J20721">
        <v>1</v>
      </c>
      <c r="K20721">
        <v>1</v>
      </c>
      <c r="L20721">
        <v>312</v>
      </c>
      <c r="M20721">
        <v>1</v>
      </c>
      <c r="N20721">
        <v>1.12279E-166</v>
      </c>
      <c r="O20721">
        <v>1502</v>
      </c>
    </row>
    <row r="20722" spans="1:15" x14ac:dyDescent="0.25">
      <c r="A20722" t="s">
        <v>20735</v>
      </c>
      <c r="B20722">
        <v>275</v>
      </c>
      <c r="C20722" s="1" t="str">
        <f>HYPERLINK("http://www.rosaceae.org/gb/gbrowse/malus_x_domestica/?name=MDP0000143502","MDP0000143502")</f>
        <v>MDP0000143502</v>
      </c>
      <c r="D20722">
        <v>86.92</v>
      </c>
      <c r="E20722">
        <v>130</v>
      </c>
      <c r="F20722">
        <v>17</v>
      </c>
      <c r="G20722">
        <v>1</v>
      </c>
      <c r="H20722">
        <v>139</v>
      </c>
      <c r="I20722">
        <v>268</v>
      </c>
      <c r="J20722">
        <v>1</v>
      </c>
      <c r="K20722">
        <v>1</v>
      </c>
      <c r="L20722">
        <v>129</v>
      </c>
      <c r="M20722">
        <v>1</v>
      </c>
      <c r="N20722">
        <v>9.7785900000000002E-62</v>
      </c>
      <c r="O20722">
        <v>596</v>
      </c>
    </row>
    <row r="20723" spans="1:15" x14ac:dyDescent="0.25">
      <c r="A20723" t="s">
        <v>20736</v>
      </c>
      <c r="B20723">
        <v>294</v>
      </c>
      <c r="C20723" s="1" t="str">
        <f>HYPERLINK("http://www.rosaceae.org/gb/gbrowse/malus_x_domestica/?name=MDP0000224533","MDP0000224533")</f>
        <v>MDP0000224533</v>
      </c>
      <c r="D20723">
        <v>64.88</v>
      </c>
      <c r="E20723">
        <v>168</v>
      </c>
      <c r="F20723">
        <v>59</v>
      </c>
      <c r="G20723">
        <v>0</v>
      </c>
      <c r="H20723">
        <v>1</v>
      </c>
      <c r="I20723">
        <v>168</v>
      </c>
      <c r="J20723">
        <v>1</v>
      </c>
      <c r="K20723">
        <v>534</v>
      </c>
      <c r="L20723">
        <v>701</v>
      </c>
      <c r="M20723">
        <v>1</v>
      </c>
      <c r="N20723">
        <v>3.3416900000000001E-65</v>
      </c>
      <c r="O20723">
        <v>626</v>
      </c>
    </row>
    <row r="20724" spans="1:15" x14ac:dyDescent="0.25">
      <c r="A20724" t="s">
        <v>20737</v>
      </c>
      <c r="B20724">
        <v>318</v>
      </c>
      <c r="C20724" s="1" t="str">
        <f>HYPERLINK("http://www.rosaceae.org/gb/gbrowse/malus_x_domestica/?name=MDP0000180750","MDP0000180750")</f>
        <v>MDP0000180750</v>
      </c>
      <c r="D20724">
        <v>53.07</v>
      </c>
      <c r="E20724">
        <v>309</v>
      </c>
      <c r="F20724">
        <v>145</v>
      </c>
      <c r="G20724">
        <v>2</v>
      </c>
      <c r="H20724">
        <v>3</v>
      </c>
      <c r="I20724">
        <v>311</v>
      </c>
      <c r="J20724">
        <v>1</v>
      </c>
      <c r="K20724">
        <v>128</v>
      </c>
      <c r="L20724">
        <v>434</v>
      </c>
      <c r="M20724">
        <v>1</v>
      </c>
      <c r="N20724">
        <v>2.60709E-92</v>
      </c>
      <c r="O20724">
        <v>860</v>
      </c>
    </row>
    <row r="20725" spans="1:15" x14ac:dyDescent="0.25">
      <c r="A20725" t="s">
        <v>20738</v>
      </c>
      <c r="B20725">
        <v>291</v>
      </c>
      <c r="C20725" s="1" t="str">
        <f>HYPERLINK("http://www.rosaceae.org/gb/gbrowse/malus_x_domestica/?name=MDP0000197596","MDP0000197596")</f>
        <v>MDP0000197596</v>
      </c>
      <c r="D20725">
        <v>72.430000000000007</v>
      </c>
      <c r="E20725">
        <v>185</v>
      </c>
      <c r="F20725">
        <v>51</v>
      </c>
      <c r="G20725">
        <v>11</v>
      </c>
      <c r="H20725">
        <v>112</v>
      </c>
      <c r="I20725">
        <v>291</v>
      </c>
      <c r="J20725">
        <v>1</v>
      </c>
      <c r="K20725">
        <v>90</v>
      </c>
      <c r="L20725">
        <v>268</v>
      </c>
      <c r="M20725">
        <v>1</v>
      </c>
      <c r="N20725">
        <v>1.3462E-67</v>
      </c>
      <c r="O20725">
        <v>647</v>
      </c>
    </row>
    <row r="20726" spans="1:15" x14ac:dyDescent="0.25">
      <c r="A20726" t="s">
        <v>20739</v>
      </c>
      <c r="B20726">
        <v>436</v>
      </c>
      <c r="C20726" s="1" t="str">
        <f>HYPERLINK("http://www.rosaceae.org/gb/gbrowse/malus_x_domestica/?name=MDP0000840525","MDP0000840525")</f>
        <v>MDP0000840525</v>
      </c>
      <c r="D20726">
        <v>43.26</v>
      </c>
      <c r="E20726">
        <v>416</v>
      </c>
      <c r="F20726">
        <v>236</v>
      </c>
      <c r="G20726">
        <v>45</v>
      </c>
      <c r="H20726">
        <v>12</v>
      </c>
      <c r="I20726">
        <v>416</v>
      </c>
      <c r="J20726">
        <v>1</v>
      </c>
      <c r="K20726">
        <v>20</v>
      </c>
      <c r="L20726">
        <v>401</v>
      </c>
      <c r="M20726">
        <v>1</v>
      </c>
      <c r="N20726">
        <v>9.1303600000000005E-86</v>
      </c>
      <c r="O20726">
        <v>805</v>
      </c>
    </row>
    <row r="20727" spans="1:15" x14ac:dyDescent="0.25">
      <c r="A20727" t="s">
        <v>20740</v>
      </c>
      <c r="B20727">
        <v>338</v>
      </c>
      <c r="C20727" s="1" t="str">
        <f>HYPERLINK("http://www.rosaceae.org/gb/gbrowse/malus_x_domestica/?name=MDP0000192092","MDP0000192092")</f>
        <v>MDP0000192092</v>
      </c>
      <c r="D20727">
        <v>79.900000000000006</v>
      </c>
      <c r="E20727">
        <v>204</v>
      </c>
      <c r="F20727">
        <v>41</v>
      </c>
      <c r="G20727">
        <v>4</v>
      </c>
      <c r="H20727">
        <v>127</v>
      </c>
      <c r="I20727">
        <v>330</v>
      </c>
      <c r="J20727">
        <v>1</v>
      </c>
      <c r="K20727">
        <v>65</v>
      </c>
      <c r="L20727">
        <v>264</v>
      </c>
      <c r="M20727">
        <v>1</v>
      </c>
      <c r="N20727">
        <v>5.2401299999999997E-93</v>
      </c>
      <c r="O20727">
        <v>867</v>
      </c>
    </row>
    <row r="20728" spans="1:15" x14ac:dyDescent="0.25">
      <c r="A20728" t="s">
        <v>20741</v>
      </c>
      <c r="B20728">
        <v>804</v>
      </c>
      <c r="C20728" s="1" t="str">
        <f>HYPERLINK("http://www.rosaceae.org/gb/gbrowse/malus_x_domestica/?name=MDP0000282755","MDP0000282755")</f>
        <v>MDP0000282755</v>
      </c>
      <c r="D20728">
        <v>74.010000000000005</v>
      </c>
      <c r="E20728">
        <v>816</v>
      </c>
      <c r="F20728">
        <v>212</v>
      </c>
      <c r="G20728">
        <v>80</v>
      </c>
      <c r="H20728">
        <v>1</v>
      </c>
      <c r="I20728">
        <v>763</v>
      </c>
      <c r="J20728">
        <v>1</v>
      </c>
      <c r="K20728">
        <v>178</v>
      </c>
      <c r="L20728">
        <v>966</v>
      </c>
      <c r="M20728">
        <v>1</v>
      </c>
      <c r="N20728">
        <v>0</v>
      </c>
      <c r="O20728">
        <v>3072</v>
      </c>
    </row>
    <row r="20729" spans="1:15" x14ac:dyDescent="0.25">
      <c r="A20729" t="s">
        <v>20742</v>
      </c>
      <c r="B20729">
        <v>549</v>
      </c>
      <c r="C20729" s="1" t="str">
        <f>HYPERLINK("http://www.rosaceae.org/gb/gbrowse/malus_x_domestica/?name=MDP0000186627","MDP0000186627")</f>
        <v>MDP0000186627</v>
      </c>
      <c r="D20729">
        <v>71.400000000000006</v>
      </c>
      <c r="E20729">
        <v>577</v>
      </c>
      <c r="F20729">
        <v>165</v>
      </c>
      <c r="G20729">
        <v>33</v>
      </c>
      <c r="H20729">
        <v>6</v>
      </c>
      <c r="I20729">
        <v>549</v>
      </c>
      <c r="J20729">
        <v>1</v>
      </c>
      <c r="K20729">
        <v>204</v>
      </c>
      <c r="L20729">
        <v>780</v>
      </c>
      <c r="M20729">
        <v>1</v>
      </c>
      <c r="N20729">
        <v>0</v>
      </c>
      <c r="O20729">
        <v>2078</v>
      </c>
    </row>
    <row r="20730" spans="1:15" x14ac:dyDescent="0.25">
      <c r="A20730" t="s">
        <v>20743</v>
      </c>
      <c r="B20730">
        <v>1014</v>
      </c>
      <c r="C20730" s="1" t="str">
        <f>HYPERLINK("http://www.rosaceae.org/gb/gbrowse/malus_x_domestica/?name=MDP0000188322","MDP0000188322")</f>
        <v>MDP0000188322</v>
      </c>
      <c r="D20730">
        <v>70.47</v>
      </c>
      <c r="E20730">
        <v>403</v>
      </c>
      <c r="F20730">
        <v>119</v>
      </c>
      <c r="G20730">
        <v>2</v>
      </c>
      <c r="H20730">
        <v>131</v>
      </c>
      <c r="I20730">
        <v>532</v>
      </c>
      <c r="J20730">
        <v>1</v>
      </c>
      <c r="K20730">
        <v>56</v>
      </c>
      <c r="L20730">
        <v>457</v>
      </c>
      <c r="M20730">
        <v>1</v>
      </c>
      <c r="N20730">
        <v>1.3992400000000001E-172</v>
      </c>
      <c r="O20730">
        <v>1558</v>
      </c>
    </row>
    <row r="20731" spans="1:15" x14ac:dyDescent="0.25">
      <c r="A20731" t="s">
        <v>20744</v>
      </c>
      <c r="B20731">
        <v>390</v>
      </c>
      <c r="C20731" s="1" t="str">
        <f>HYPERLINK("http://www.rosaceae.org/gb/gbrowse/malus_x_domestica/?name=MDP0000312342","MDP0000312342")</f>
        <v>MDP0000312342</v>
      </c>
      <c r="D20731">
        <v>25.21</v>
      </c>
      <c r="E20731">
        <v>349</v>
      </c>
      <c r="F20731">
        <v>261</v>
      </c>
      <c r="G20731">
        <v>64</v>
      </c>
      <c r="H20731">
        <v>6</v>
      </c>
      <c r="I20731">
        <v>308</v>
      </c>
      <c r="J20731">
        <v>1</v>
      </c>
      <c r="K20731">
        <v>5</v>
      </c>
      <c r="L20731">
        <v>335</v>
      </c>
      <c r="M20731">
        <v>1</v>
      </c>
      <c r="N20731">
        <v>2.45092E-14</v>
      </c>
      <c r="O20731">
        <v>189</v>
      </c>
    </row>
    <row r="20732" spans="1:15" x14ac:dyDescent="0.25">
      <c r="A20732" t="s">
        <v>20745</v>
      </c>
      <c r="B20732">
        <v>583</v>
      </c>
      <c r="C20732" s="1" t="str">
        <f>HYPERLINK("http://www.rosaceae.org/gb/gbrowse/malus_x_domestica/?name=MDP0000690272","MDP0000690272")</f>
        <v>MDP0000690272</v>
      </c>
      <c r="D20732">
        <v>68.06</v>
      </c>
      <c r="E20732">
        <v>263</v>
      </c>
      <c r="F20732">
        <v>84</v>
      </c>
      <c r="G20732">
        <v>10</v>
      </c>
      <c r="H20732">
        <v>327</v>
      </c>
      <c r="I20732">
        <v>583</v>
      </c>
      <c r="J20732">
        <v>1</v>
      </c>
      <c r="K20732">
        <v>326</v>
      </c>
      <c r="L20732">
        <v>584</v>
      </c>
      <c r="M20732">
        <v>1</v>
      </c>
      <c r="N20732">
        <v>6.00241E-95</v>
      </c>
      <c r="O20732">
        <v>886</v>
      </c>
    </row>
    <row r="20733" spans="1:15" x14ac:dyDescent="0.25">
      <c r="A20733" t="s">
        <v>20746</v>
      </c>
      <c r="B20733">
        <v>130</v>
      </c>
      <c r="C20733" s="1" t="str">
        <f>HYPERLINK("http://www.rosaceae.org/gb/gbrowse/malus_x_domestica/?name=MDP0000839852","MDP0000839852")</f>
        <v>MDP0000839852</v>
      </c>
      <c r="D20733">
        <v>83.49</v>
      </c>
      <c r="E20733">
        <v>103</v>
      </c>
      <c r="F20733">
        <v>17</v>
      </c>
      <c r="G20733">
        <v>0</v>
      </c>
      <c r="H20733">
        <v>28</v>
      </c>
      <c r="I20733">
        <v>130</v>
      </c>
      <c r="J20733">
        <v>1</v>
      </c>
      <c r="K20733">
        <v>8</v>
      </c>
      <c r="L20733">
        <v>110</v>
      </c>
      <c r="M20733">
        <v>1</v>
      </c>
      <c r="N20733">
        <v>4.72344E-46</v>
      </c>
      <c r="O20733">
        <v>455</v>
      </c>
    </row>
    <row r="20734" spans="1:15" x14ac:dyDescent="0.25">
      <c r="A20734" t="s">
        <v>20747</v>
      </c>
      <c r="B20734">
        <v>640</v>
      </c>
      <c r="C20734" s="1" t="str">
        <f>HYPERLINK("http://www.rosaceae.org/gb/gbrowse/malus_x_domestica/?name=MDP0000242466","MDP0000242466")</f>
        <v>MDP0000242466</v>
      </c>
      <c r="D20734">
        <v>70.849999999999994</v>
      </c>
      <c r="E20734">
        <v>374</v>
      </c>
      <c r="F20734">
        <v>109</v>
      </c>
      <c r="G20734">
        <v>20</v>
      </c>
      <c r="H20734">
        <v>251</v>
      </c>
      <c r="I20734">
        <v>605</v>
      </c>
      <c r="J20734">
        <v>1</v>
      </c>
      <c r="K20734">
        <v>40</v>
      </c>
      <c r="L20734">
        <v>412</v>
      </c>
      <c r="M20734">
        <v>1</v>
      </c>
      <c r="N20734">
        <v>3.80382E-141</v>
      </c>
      <c r="O20734">
        <v>1285</v>
      </c>
    </row>
    <row r="20735" spans="1:15" x14ac:dyDescent="0.25">
      <c r="A20735" t="s">
        <v>20748</v>
      </c>
      <c r="B20735">
        <v>786</v>
      </c>
      <c r="C20735" s="1" t="str">
        <f>HYPERLINK("http://www.rosaceae.org/gb/gbrowse/malus_x_domestica/?name=MDP0000188391","MDP0000188391")</f>
        <v>MDP0000188391</v>
      </c>
      <c r="D20735">
        <v>83.4</v>
      </c>
      <c r="E20735">
        <v>669</v>
      </c>
      <c r="F20735">
        <v>111</v>
      </c>
      <c r="G20735">
        <v>36</v>
      </c>
      <c r="H20735">
        <v>134</v>
      </c>
      <c r="I20735">
        <v>786</v>
      </c>
      <c r="J20735">
        <v>1</v>
      </c>
      <c r="K20735">
        <v>1</v>
      </c>
      <c r="L20735">
        <v>649</v>
      </c>
      <c r="M20735">
        <v>1</v>
      </c>
      <c r="N20735">
        <v>0</v>
      </c>
      <c r="O20735">
        <v>2943</v>
      </c>
    </row>
    <row r="20736" spans="1:15" x14ac:dyDescent="0.25">
      <c r="A20736" t="s">
        <v>20749</v>
      </c>
      <c r="B20736">
        <v>562</v>
      </c>
      <c r="C20736" s="1" t="str">
        <f>HYPERLINK("http://www.rosaceae.org/gb/gbrowse/malus_x_domestica/?name=MDP0000287231","MDP0000287231")</f>
        <v>MDP0000287231</v>
      </c>
      <c r="D20736">
        <v>52.87</v>
      </c>
      <c r="E20736">
        <v>592</v>
      </c>
      <c r="F20736">
        <v>279</v>
      </c>
      <c r="G20736">
        <v>63</v>
      </c>
      <c r="H20736">
        <v>1</v>
      </c>
      <c r="I20736">
        <v>562</v>
      </c>
      <c r="J20736">
        <v>1</v>
      </c>
      <c r="K20736">
        <v>1</v>
      </c>
      <c r="L20736">
        <v>559</v>
      </c>
      <c r="M20736">
        <v>1</v>
      </c>
      <c r="N20736">
        <v>6.5682600000000002E-146</v>
      </c>
      <c r="O20736">
        <v>1325</v>
      </c>
    </row>
    <row r="20737" spans="1:15" x14ac:dyDescent="0.25">
      <c r="A20737" t="s">
        <v>20750</v>
      </c>
      <c r="B20737">
        <v>288</v>
      </c>
      <c r="C20737" s="1" t="str">
        <f>HYPERLINK("http://www.rosaceae.org/gb/gbrowse/malus_x_domestica/?name=MDP0000248422","MDP0000248422")</f>
        <v>MDP0000248422</v>
      </c>
      <c r="D20737">
        <v>52.48</v>
      </c>
      <c r="E20737">
        <v>322</v>
      </c>
      <c r="F20737">
        <v>153</v>
      </c>
      <c r="G20737">
        <v>56</v>
      </c>
      <c r="H20737">
        <v>1</v>
      </c>
      <c r="I20737">
        <v>287</v>
      </c>
      <c r="J20737">
        <v>1</v>
      </c>
      <c r="K20737">
        <v>1</v>
      </c>
      <c r="L20737">
        <v>301</v>
      </c>
      <c r="M20737">
        <v>1</v>
      </c>
      <c r="N20737">
        <v>8.0334999999999997E-69</v>
      </c>
      <c r="O20737">
        <v>657</v>
      </c>
    </row>
    <row r="20738" spans="1:15" x14ac:dyDescent="0.25">
      <c r="A20738" t="s">
        <v>20751</v>
      </c>
      <c r="B20738">
        <v>566</v>
      </c>
      <c r="C20738" s="1" t="str">
        <f>HYPERLINK("http://www.rosaceae.org/gb/gbrowse/malus_x_domestica/?name=MDP0000125243","MDP0000125243")</f>
        <v>MDP0000125243</v>
      </c>
      <c r="D20738">
        <v>53.81</v>
      </c>
      <c r="E20738">
        <v>249</v>
      </c>
      <c r="F20738">
        <v>115</v>
      </c>
      <c r="G20738">
        <v>9</v>
      </c>
      <c r="H20738">
        <v>46</v>
      </c>
      <c r="I20738">
        <v>292</v>
      </c>
      <c r="J20738">
        <v>1</v>
      </c>
      <c r="K20738">
        <v>4</v>
      </c>
      <c r="L20738">
        <v>245</v>
      </c>
      <c r="M20738">
        <v>1</v>
      </c>
      <c r="N20738">
        <v>6.3456699999999999E-65</v>
      </c>
      <c r="O20738">
        <v>627</v>
      </c>
    </row>
    <row r="20739" spans="1:15" x14ac:dyDescent="0.25">
      <c r="A20739" t="s">
        <v>20752</v>
      </c>
      <c r="B20739">
        <v>349</v>
      </c>
      <c r="C20739" s="1" t="str">
        <f>HYPERLINK("http://www.rosaceae.org/gb/gbrowse/malus_x_domestica/?name=MDP0000320772","MDP0000320772")</f>
        <v>MDP0000320772</v>
      </c>
      <c r="D20739">
        <v>69.25</v>
      </c>
      <c r="E20739">
        <v>361</v>
      </c>
      <c r="F20739">
        <v>111</v>
      </c>
      <c r="G20739">
        <v>28</v>
      </c>
      <c r="H20739">
        <v>1</v>
      </c>
      <c r="I20739">
        <v>349</v>
      </c>
      <c r="J20739">
        <v>1</v>
      </c>
      <c r="K20739">
        <v>1</v>
      </c>
      <c r="L20739">
        <v>345</v>
      </c>
      <c r="M20739">
        <v>1</v>
      </c>
      <c r="N20739">
        <v>5.2106599999999997E-127</v>
      </c>
      <c r="O20739">
        <v>1160</v>
      </c>
    </row>
    <row r="20740" spans="1:15" x14ac:dyDescent="0.25">
      <c r="A20740" t="s">
        <v>20753</v>
      </c>
      <c r="B20740">
        <v>1189</v>
      </c>
      <c r="C20740" s="1" t="str">
        <f>HYPERLINK("http://www.rosaceae.org/gb/gbrowse/malus_x_domestica/?name=MDP0000147688","MDP0000147688")</f>
        <v>MDP0000147688</v>
      </c>
      <c r="D20740">
        <v>78.95</v>
      </c>
      <c r="E20740">
        <v>1202</v>
      </c>
      <c r="F20740">
        <v>253</v>
      </c>
      <c r="G20740">
        <v>30</v>
      </c>
      <c r="H20740">
        <v>16</v>
      </c>
      <c r="I20740">
        <v>1189</v>
      </c>
      <c r="J20740">
        <v>1</v>
      </c>
      <c r="K20740">
        <v>14</v>
      </c>
      <c r="L20740">
        <v>1213</v>
      </c>
      <c r="M20740">
        <v>1</v>
      </c>
      <c r="N20740">
        <v>0</v>
      </c>
      <c r="O20740">
        <v>4883</v>
      </c>
    </row>
    <row r="20741" spans="1:15" x14ac:dyDescent="0.25">
      <c r="A20741" t="s">
        <v>20754</v>
      </c>
      <c r="B20741">
        <v>322</v>
      </c>
      <c r="C20741" s="1" t="str">
        <f>HYPERLINK("http://www.rosaceae.org/gb/gbrowse/malus_x_domestica/?name=MDP0000240040","MDP0000240040")</f>
        <v>MDP0000240040</v>
      </c>
      <c r="D20741">
        <v>40.25</v>
      </c>
      <c r="E20741">
        <v>318</v>
      </c>
      <c r="F20741">
        <v>190</v>
      </c>
      <c r="G20741">
        <v>36</v>
      </c>
      <c r="H20741">
        <v>1</v>
      </c>
      <c r="I20741">
        <v>305</v>
      </c>
      <c r="J20741">
        <v>1</v>
      </c>
      <c r="K20741">
        <v>1</v>
      </c>
      <c r="L20741">
        <v>295</v>
      </c>
      <c r="M20741">
        <v>1</v>
      </c>
      <c r="N20741">
        <v>1.4870199999999999E-49</v>
      </c>
      <c r="O20741">
        <v>492</v>
      </c>
    </row>
    <row r="20742" spans="1:15" x14ac:dyDescent="0.25">
      <c r="A20742" t="s">
        <v>20755</v>
      </c>
      <c r="B20742">
        <v>374</v>
      </c>
      <c r="C20742" s="1" t="str">
        <f>HYPERLINK("http://www.rosaceae.org/gb/gbrowse/malus_x_domestica/?name=MDP0000142019","MDP0000142019")</f>
        <v>MDP0000142019</v>
      </c>
      <c r="D20742">
        <v>82.72</v>
      </c>
      <c r="E20742">
        <v>330</v>
      </c>
      <c r="F20742">
        <v>57</v>
      </c>
      <c r="G20742">
        <v>20</v>
      </c>
      <c r="H20742">
        <v>65</v>
      </c>
      <c r="I20742">
        <v>374</v>
      </c>
      <c r="J20742">
        <v>1</v>
      </c>
      <c r="K20742">
        <v>147</v>
      </c>
      <c r="L20742">
        <v>476</v>
      </c>
      <c r="M20742">
        <v>1</v>
      </c>
      <c r="N20742">
        <v>4.97704E-163</v>
      </c>
      <c r="O20742">
        <v>1471</v>
      </c>
    </row>
    <row r="20743" spans="1:15" x14ac:dyDescent="0.25">
      <c r="A20743" t="s">
        <v>20756</v>
      </c>
      <c r="B20743">
        <v>123</v>
      </c>
      <c r="C20743" s="1" t="str">
        <f>HYPERLINK("http://www.rosaceae.org/gb/gbrowse/malus_x_domestica/?name=MDP0000263148","MDP0000263148")</f>
        <v>MDP0000263148</v>
      </c>
      <c r="D20743">
        <v>39.25</v>
      </c>
      <c r="E20743">
        <v>135</v>
      </c>
      <c r="F20743">
        <v>82</v>
      </c>
      <c r="G20743">
        <v>28</v>
      </c>
      <c r="H20743">
        <v>6</v>
      </c>
      <c r="I20743">
        <v>117</v>
      </c>
      <c r="J20743">
        <v>1</v>
      </c>
      <c r="K20743">
        <v>375</v>
      </c>
      <c r="L20743">
        <v>504</v>
      </c>
      <c r="M20743">
        <v>1</v>
      </c>
      <c r="N20743">
        <v>1.30117E-15</v>
      </c>
      <c r="O20743">
        <v>192</v>
      </c>
    </row>
    <row r="20744" spans="1:15" x14ac:dyDescent="0.25">
      <c r="A20744" t="s">
        <v>20757</v>
      </c>
      <c r="B20744">
        <v>828</v>
      </c>
      <c r="C20744" s="1" t="str">
        <f>HYPERLINK("http://www.rosaceae.org/gb/gbrowse/malus_x_domestica/?name=MDP0000456401","MDP0000456401")</f>
        <v>MDP0000456401</v>
      </c>
      <c r="D20744">
        <v>55.75</v>
      </c>
      <c r="E20744">
        <v>608</v>
      </c>
      <c r="F20744">
        <v>269</v>
      </c>
      <c r="G20744">
        <v>75</v>
      </c>
      <c r="H20744">
        <v>1</v>
      </c>
      <c r="I20744">
        <v>538</v>
      </c>
      <c r="J20744">
        <v>1</v>
      </c>
      <c r="K20744">
        <v>414</v>
      </c>
      <c r="L20744">
        <v>1016</v>
      </c>
      <c r="M20744">
        <v>1</v>
      </c>
      <c r="N20744">
        <v>4.8113500000000002E-169</v>
      </c>
      <c r="O20744">
        <v>1526</v>
      </c>
    </row>
    <row r="20745" spans="1:15" x14ac:dyDescent="0.25">
      <c r="A20745" t="s">
        <v>20758</v>
      </c>
      <c r="B20745">
        <v>131</v>
      </c>
      <c r="C20745" s="1" t="str">
        <f>HYPERLINK("http://www.rosaceae.org/gb/gbrowse/malus_x_domestica/?name=MDP0000148814","MDP0000148814")</f>
        <v>MDP0000148814</v>
      </c>
      <c r="D20745">
        <v>40</v>
      </c>
      <c r="E20745">
        <v>90</v>
      </c>
      <c r="F20745">
        <v>54</v>
      </c>
      <c r="G20745">
        <v>10</v>
      </c>
      <c r="H20745">
        <v>47</v>
      </c>
      <c r="I20745">
        <v>129</v>
      </c>
      <c r="J20745">
        <v>1</v>
      </c>
      <c r="K20745">
        <v>84</v>
      </c>
      <c r="L20745">
        <v>170</v>
      </c>
      <c r="M20745">
        <v>1</v>
      </c>
      <c r="N20745">
        <v>5.62465E-7</v>
      </c>
      <c r="O20745">
        <v>118</v>
      </c>
    </row>
    <row r="20746" spans="1:15" x14ac:dyDescent="0.25">
      <c r="A20746" t="s">
        <v>20759</v>
      </c>
      <c r="B20746">
        <v>267</v>
      </c>
      <c r="C20746" s="1" t="str">
        <f>HYPERLINK("http://www.rosaceae.org/gb/gbrowse/malus_x_domestica/?name=MDP0000309944","MDP0000309944")</f>
        <v>MDP0000309944</v>
      </c>
      <c r="D20746">
        <v>65.44</v>
      </c>
      <c r="E20746">
        <v>272</v>
      </c>
      <c r="F20746">
        <v>94</v>
      </c>
      <c r="G20746">
        <v>22</v>
      </c>
      <c r="H20746">
        <v>9</v>
      </c>
      <c r="I20746">
        <v>267</v>
      </c>
      <c r="J20746">
        <v>1</v>
      </c>
      <c r="K20746">
        <v>43</v>
      </c>
      <c r="L20746">
        <v>305</v>
      </c>
      <c r="M20746">
        <v>1</v>
      </c>
      <c r="N20746">
        <v>7.8405299999999996E-85</v>
      </c>
      <c r="O20746">
        <v>795</v>
      </c>
    </row>
    <row r="20747" spans="1:15" x14ac:dyDescent="0.25">
      <c r="A20747" t="s">
        <v>20760</v>
      </c>
      <c r="B20747">
        <v>140</v>
      </c>
      <c r="C20747" s="1" t="str">
        <f>HYPERLINK("http://www.rosaceae.org/gb/gbrowse/malus_x_domestica/?name=MDP0000225623","MDP0000225623")</f>
        <v>MDP0000225623</v>
      </c>
      <c r="D20747">
        <v>46.96</v>
      </c>
      <c r="E20747">
        <v>132</v>
      </c>
      <c r="F20747">
        <v>70</v>
      </c>
      <c r="G20747">
        <v>7</v>
      </c>
      <c r="H20747">
        <v>15</v>
      </c>
      <c r="I20747">
        <v>140</v>
      </c>
      <c r="J20747">
        <v>1</v>
      </c>
      <c r="K20747">
        <v>449</v>
      </c>
      <c r="L20747">
        <v>579</v>
      </c>
      <c r="M20747">
        <v>1</v>
      </c>
      <c r="N20747">
        <v>6.6632699999999998E-25</v>
      </c>
      <c r="O20747">
        <v>273</v>
      </c>
    </row>
    <row r="20748" spans="1:15" x14ac:dyDescent="0.25">
      <c r="A20748" t="s">
        <v>20761</v>
      </c>
      <c r="B20748">
        <v>298</v>
      </c>
      <c r="C20748" s="1" t="str">
        <f>HYPERLINK("http://www.rosaceae.org/gb/gbrowse/malus_x_domestica/?name=MDP0000876794","MDP0000876794")</f>
        <v>MDP0000876794</v>
      </c>
      <c r="D20748">
        <v>70.459999999999994</v>
      </c>
      <c r="E20748">
        <v>298</v>
      </c>
      <c r="F20748">
        <v>88</v>
      </c>
      <c r="G20748">
        <v>7</v>
      </c>
      <c r="H20748">
        <v>1</v>
      </c>
      <c r="I20748">
        <v>298</v>
      </c>
      <c r="J20748">
        <v>1</v>
      </c>
      <c r="K20748">
        <v>1</v>
      </c>
      <c r="L20748">
        <v>291</v>
      </c>
      <c r="M20748">
        <v>1</v>
      </c>
      <c r="N20748">
        <v>4.5787499999999996E-115</v>
      </c>
      <c r="O20748">
        <v>1056</v>
      </c>
    </row>
    <row r="20749" spans="1:15" x14ac:dyDescent="0.25">
      <c r="A20749" t="s">
        <v>20762</v>
      </c>
      <c r="B20749">
        <v>745</v>
      </c>
      <c r="C20749" s="1" t="str">
        <f>HYPERLINK("http://www.rosaceae.org/gb/gbrowse/malus_x_domestica/?name=MDP0000173922","MDP0000173922")</f>
        <v>MDP0000173922</v>
      </c>
      <c r="D20749">
        <v>44.06</v>
      </c>
      <c r="E20749">
        <v>522</v>
      </c>
      <c r="F20749">
        <v>292</v>
      </c>
      <c r="G20749">
        <v>79</v>
      </c>
      <c r="H20749">
        <v>294</v>
      </c>
      <c r="I20749">
        <v>743</v>
      </c>
      <c r="J20749">
        <v>1</v>
      </c>
      <c r="K20749">
        <v>909</v>
      </c>
      <c r="L20749">
        <v>1423</v>
      </c>
      <c r="M20749">
        <v>1</v>
      </c>
      <c r="N20749">
        <v>2.3510800000000002E-103</v>
      </c>
      <c r="O20749">
        <v>960</v>
      </c>
    </row>
    <row r="20750" spans="1:15" x14ac:dyDescent="0.25">
      <c r="A20750" t="s">
        <v>20763</v>
      </c>
      <c r="B20750">
        <v>216</v>
      </c>
      <c r="C20750" s="1" t="str">
        <f>HYPERLINK("http://www.rosaceae.org/gb/gbrowse/malus_x_domestica/?name=MDP0000166262","MDP0000166262")</f>
        <v>MDP0000166262</v>
      </c>
      <c r="D20750">
        <v>84.76</v>
      </c>
      <c r="E20750">
        <v>210</v>
      </c>
      <c r="F20750">
        <v>32</v>
      </c>
      <c r="G20750">
        <v>1</v>
      </c>
      <c r="H20750">
        <v>1</v>
      </c>
      <c r="I20750">
        <v>209</v>
      </c>
      <c r="J20750">
        <v>1</v>
      </c>
      <c r="K20750">
        <v>1</v>
      </c>
      <c r="L20750">
        <v>210</v>
      </c>
      <c r="M20750">
        <v>1</v>
      </c>
      <c r="N20750">
        <v>6.9549000000000001E-99</v>
      </c>
      <c r="O20750">
        <v>915</v>
      </c>
    </row>
    <row r="20751" spans="1:15" x14ac:dyDescent="0.25">
      <c r="A20751" t="s">
        <v>20764</v>
      </c>
      <c r="B20751">
        <v>582</v>
      </c>
      <c r="C20751" s="1" t="str">
        <f>HYPERLINK("http://www.rosaceae.org/gb/gbrowse/malus_x_domestica/?name=MDP0000331021","MDP0000331021")</f>
        <v>MDP0000331021</v>
      </c>
      <c r="D20751">
        <v>75.400000000000006</v>
      </c>
      <c r="E20751">
        <v>248</v>
      </c>
      <c r="F20751">
        <v>61</v>
      </c>
      <c r="G20751">
        <v>1</v>
      </c>
      <c r="H20751">
        <v>215</v>
      </c>
      <c r="I20751">
        <v>461</v>
      </c>
      <c r="J20751">
        <v>1</v>
      </c>
      <c r="K20751">
        <v>13</v>
      </c>
      <c r="L20751">
        <v>260</v>
      </c>
      <c r="M20751">
        <v>1</v>
      </c>
      <c r="N20751">
        <v>5.9654899999999998E-109</v>
      </c>
      <c r="O20751">
        <v>1007</v>
      </c>
    </row>
    <row r="20752" spans="1:15" x14ac:dyDescent="0.25">
      <c r="A20752" t="s">
        <v>20765</v>
      </c>
      <c r="B20752">
        <v>533</v>
      </c>
      <c r="C20752" s="1" t="str">
        <f>HYPERLINK("http://www.rosaceae.org/gb/gbrowse/malus_x_domestica/?name=MDP0000276831","MDP0000276831")</f>
        <v>MDP0000276831</v>
      </c>
      <c r="D20752">
        <v>61.02</v>
      </c>
      <c r="E20752">
        <v>136</v>
      </c>
      <c r="F20752">
        <v>53</v>
      </c>
      <c r="G20752">
        <v>1</v>
      </c>
      <c r="H20752">
        <v>123</v>
      </c>
      <c r="I20752">
        <v>258</v>
      </c>
      <c r="J20752">
        <v>1</v>
      </c>
      <c r="K20752">
        <v>738</v>
      </c>
      <c r="L20752">
        <v>872</v>
      </c>
      <c r="M20752">
        <v>1</v>
      </c>
      <c r="N20752">
        <v>4.8476300000000004E-37</v>
      </c>
      <c r="O20752">
        <v>386</v>
      </c>
    </row>
    <row r="20753" spans="1:15" x14ac:dyDescent="0.25">
      <c r="A20753" t="s">
        <v>20766</v>
      </c>
      <c r="B20753">
        <v>227</v>
      </c>
      <c r="C20753" s="1" t="str">
        <f>HYPERLINK("http://www.rosaceae.org/gb/gbrowse/malus_x_domestica/?name=MDP0000290630","MDP0000290630")</f>
        <v>MDP0000290630</v>
      </c>
      <c r="D20753">
        <v>83.33</v>
      </c>
      <c r="E20753">
        <v>66</v>
      </c>
      <c r="F20753">
        <v>11</v>
      </c>
      <c r="G20753">
        <v>0</v>
      </c>
      <c r="H20753">
        <v>38</v>
      </c>
      <c r="I20753">
        <v>103</v>
      </c>
      <c r="J20753">
        <v>1</v>
      </c>
      <c r="K20753">
        <v>21</v>
      </c>
      <c r="L20753">
        <v>86</v>
      </c>
      <c r="M20753">
        <v>1</v>
      </c>
      <c r="N20753">
        <v>2.3486899999999999E-27</v>
      </c>
      <c r="O20753">
        <v>298</v>
      </c>
    </row>
    <row r="20754" spans="1:15" x14ac:dyDescent="0.25">
      <c r="A20754" t="s">
        <v>20767</v>
      </c>
      <c r="B20754">
        <v>419</v>
      </c>
      <c r="C20754" s="1" t="str">
        <f>HYPERLINK("http://www.rosaceae.org/gb/gbrowse/malus_x_domestica/?name=MDP0000303489","MDP0000303489")</f>
        <v>MDP0000303489</v>
      </c>
      <c r="D20754">
        <v>84.14</v>
      </c>
      <c r="E20754">
        <v>410</v>
      </c>
      <c r="F20754">
        <v>65</v>
      </c>
      <c r="G20754">
        <v>2</v>
      </c>
      <c r="H20754">
        <v>1</v>
      </c>
      <c r="I20754">
        <v>410</v>
      </c>
      <c r="J20754">
        <v>1</v>
      </c>
      <c r="K20754">
        <v>1</v>
      </c>
      <c r="L20754">
        <v>408</v>
      </c>
      <c r="M20754">
        <v>1</v>
      </c>
      <c r="N20754">
        <v>0</v>
      </c>
      <c r="O20754">
        <v>1848</v>
      </c>
    </row>
    <row r="20755" spans="1:15" x14ac:dyDescent="0.25">
      <c r="A20755" t="s">
        <v>20768</v>
      </c>
      <c r="B20755">
        <v>387</v>
      </c>
      <c r="C20755" s="1" t="str">
        <f>HYPERLINK("http://www.rosaceae.org/gb/gbrowse/malus_x_domestica/?name=MDP0000734561","MDP0000734561")</f>
        <v>MDP0000734561</v>
      </c>
      <c r="D20755">
        <v>46.03</v>
      </c>
      <c r="E20755">
        <v>315</v>
      </c>
      <c r="F20755">
        <v>170</v>
      </c>
      <c r="G20755">
        <v>10</v>
      </c>
      <c r="H20755">
        <v>8</v>
      </c>
      <c r="I20755">
        <v>319</v>
      </c>
      <c r="J20755">
        <v>1</v>
      </c>
      <c r="K20755">
        <v>800</v>
      </c>
      <c r="L20755">
        <v>1107</v>
      </c>
      <c r="M20755">
        <v>1</v>
      </c>
      <c r="N20755">
        <v>2.3703599999999999E-64</v>
      </c>
      <c r="O20755">
        <v>620</v>
      </c>
    </row>
    <row r="20756" spans="1:15" x14ac:dyDescent="0.25">
      <c r="A20756" t="s">
        <v>20769</v>
      </c>
      <c r="B20756">
        <v>332</v>
      </c>
      <c r="C20756" s="1" t="str">
        <f>HYPERLINK("http://www.rosaceae.org/gb/gbrowse/malus_x_domestica/?name=MDP0000235326","MDP0000235326")</f>
        <v>MDP0000235326</v>
      </c>
      <c r="D20756">
        <v>32.29</v>
      </c>
      <c r="E20756">
        <v>192</v>
      </c>
      <c r="F20756">
        <v>130</v>
      </c>
      <c r="G20756">
        <v>35</v>
      </c>
      <c r="H20756">
        <v>3</v>
      </c>
      <c r="I20756">
        <v>163</v>
      </c>
      <c r="J20756">
        <v>1</v>
      </c>
      <c r="K20756">
        <v>4</v>
      </c>
      <c r="L20756">
        <v>191</v>
      </c>
      <c r="M20756">
        <v>1</v>
      </c>
      <c r="N20756">
        <v>4.3479699999999998E-14</v>
      </c>
      <c r="O20756">
        <v>186</v>
      </c>
    </row>
    <row r="20757" spans="1:15" x14ac:dyDescent="0.25">
      <c r="A20757" t="s">
        <v>20770</v>
      </c>
      <c r="B20757">
        <v>1292</v>
      </c>
      <c r="C20757" s="1" t="str">
        <f>HYPERLINK("http://www.rosaceae.org/gb/gbrowse/malus_x_domestica/?name=MDP0000318119","MDP0000318119")</f>
        <v>MDP0000318119</v>
      </c>
      <c r="D20757">
        <v>74.489999999999995</v>
      </c>
      <c r="E20757">
        <v>1290</v>
      </c>
      <c r="F20757">
        <v>329</v>
      </c>
      <c r="G20757">
        <v>13</v>
      </c>
      <c r="H20757">
        <v>12</v>
      </c>
      <c r="I20757">
        <v>1292</v>
      </c>
      <c r="J20757">
        <v>1</v>
      </c>
      <c r="K20757">
        <v>9</v>
      </c>
      <c r="L20757">
        <v>1294</v>
      </c>
      <c r="M20757">
        <v>1</v>
      </c>
      <c r="N20757">
        <v>0</v>
      </c>
      <c r="O20757">
        <v>4799</v>
      </c>
    </row>
    <row r="20758" spans="1:15" x14ac:dyDescent="0.25">
      <c r="A20758" t="s">
        <v>20771</v>
      </c>
      <c r="B20758">
        <v>308</v>
      </c>
      <c r="C20758" s="1" t="str">
        <f>HYPERLINK("http://www.rosaceae.org/gb/gbrowse/malus_x_domestica/?name=MDP0000313744","MDP0000313744")</f>
        <v>MDP0000313744</v>
      </c>
      <c r="D20758">
        <v>65.349999999999994</v>
      </c>
      <c r="E20758">
        <v>306</v>
      </c>
      <c r="F20758">
        <v>106</v>
      </c>
      <c r="G20758">
        <v>26</v>
      </c>
      <c r="H20758">
        <v>11</v>
      </c>
      <c r="I20758">
        <v>308</v>
      </c>
      <c r="J20758">
        <v>1</v>
      </c>
      <c r="K20758">
        <v>856</v>
      </c>
      <c r="L20758">
        <v>1143</v>
      </c>
      <c r="M20758">
        <v>1</v>
      </c>
      <c r="N20758">
        <v>1.0063100000000001E-103</v>
      </c>
      <c r="O20758">
        <v>959</v>
      </c>
    </row>
    <row r="20759" spans="1:15" x14ac:dyDescent="0.25">
      <c r="A20759" t="s">
        <v>20772</v>
      </c>
      <c r="B20759">
        <v>1008</v>
      </c>
      <c r="C20759" s="1" t="str">
        <f>HYPERLINK("http://www.rosaceae.org/gb/gbrowse/malus_x_domestica/?name=MDP0000278580","MDP0000278580")</f>
        <v>MDP0000278580</v>
      </c>
      <c r="D20759">
        <v>69.709999999999994</v>
      </c>
      <c r="E20759">
        <v>426</v>
      </c>
      <c r="F20759">
        <v>129</v>
      </c>
      <c r="G20759">
        <v>32</v>
      </c>
      <c r="H20759">
        <v>352</v>
      </c>
      <c r="I20759">
        <v>773</v>
      </c>
      <c r="J20759">
        <v>1</v>
      </c>
      <c r="K20759">
        <v>503</v>
      </c>
      <c r="L20759">
        <v>900</v>
      </c>
      <c r="M20759">
        <v>1</v>
      </c>
      <c r="N20759">
        <v>6.6220100000000002E-169</v>
      </c>
      <c r="O20759">
        <v>1526</v>
      </c>
    </row>
    <row r="20760" spans="1:15" x14ac:dyDescent="0.25">
      <c r="A20760" t="s">
        <v>20773</v>
      </c>
      <c r="B20760">
        <v>268</v>
      </c>
      <c r="C20760" s="1" t="str">
        <f>HYPERLINK("http://www.rosaceae.org/gb/gbrowse/malus_x_domestica/?name=MDP0000281609","MDP0000281609")</f>
        <v>MDP0000281609</v>
      </c>
      <c r="D20760">
        <v>58.24</v>
      </c>
      <c r="E20760">
        <v>273</v>
      </c>
      <c r="F20760">
        <v>114</v>
      </c>
      <c r="G20760">
        <v>63</v>
      </c>
      <c r="H20760">
        <v>18</v>
      </c>
      <c r="I20760">
        <v>267</v>
      </c>
      <c r="J20760">
        <v>1</v>
      </c>
      <c r="K20760">
        <v>38</v>
      </c>
      <c r="L20760">
        <v>270</v>
      </c>
      <c r="M20760">
        <v>1</v>
      </c>
      <c r="N20760">
        <v>1.4036299999999999E-82</v>
      </c>
      <c r="O20760">
        <v>775</v>
      </c>
    </row>
    <row r="20761" spans="1:15" x14ac:dyDescent="0.25">
      <c r="A20761" t="s">
        <v>20774</v>
      </c>
      <c r="B20761">
        <v>112</v>
      </c>
      <c r="C20761" s="1" t="str">
        <f>HYPERLINK("http://www.rosaceae.org/gb/gbrowse/malus_x_domestica/?name=MDP0000320748","MDP0000320748")</f>
        <v>MDP0000320748</v>
      </c>
      <c r="D20761">
        <v>65.209999999999994</v>
      </c>
      <c r="E20761">
        <v>69</v>
      </c>
      <c r="F20761">
        <v>24</v>
      </c>
      <c r="G20761">
        <v>1</v>
      </c>
      <c r="H20761">
        <v>5</v>
      </c>
      <c r="I20761">
        <v>73</v>
      </c>
      <c r="J20761">
        <v>1</v>
      </c>
      <c r="K20761">
        <v>315</v>
      </c>
      <c r="L20761">
        <v>382</v>
      </c>
      <c r="M20761">
        <v>1</v>
      </c>
      <c r="N20761">
        <v>1.93148E-19</v>
      </c>
      <c r="O20761">
        <v>225</v>
      </c>
    </row>
    <row r="20762" spans="1:15" x14ac:dyDescent="0.25">
      <c r="A20762" t="s">
        <v>20775</v>
      </c>
      <c r="B20762">
        <v>327</v>
      </c>
      <c r="C20762" s="1" t="str">
        <f>HYPERLINK("http://www.rosaceae.org/gb/gbrowse/malus_x_domestica/?name=MDP0000261025","MDP0000261025")</f>
        <v>MDP0000261025</v>
      </c>
      <c r="D20762">
        <v>52.38</v>
      </c>
      <c r="E20762">
        <v>189</v>
      </c>
      <c r="F20762">
        <v>90</v>
      </c>
      <c r="G20762">
        <v>20</v>
      </c>
      <c r="H20762">
        <v>117</v>
      </c>
      <c r="I20762">
        <v>305</v>
      </c>
      <c r="J20762">
        <v>1</v>
      </c>
      <c r="K20762">
        <v>1186</v>
      </c>
      <c r="L20762">
        <v>1354</v>
      </c>
      <c r="M20762">
        <v>1</v>
      </c>
      <c r="N20762">
        <v>3.4151299999999998E-51</v>
      </c>
      <c r="O20762">
        <v>506</v>
      </c>
    </row>
    <row r="20763" spans="1:15" x14ac:dyDescent="0.25">
      <c r="A20763" t="s">
        <v>20776</v>
      </c>
      <c r="B20763">
        <v>985</v>
      </c>
      <c r="C20763" s="1" t="str">
        <f>HYPERLINK("http://www.rosaceae.org/gb/gbrowse/malus_x_domestica/?name=MDP0000165944","MDP0000165944")</f>
        <v>MDP0000165944</v>
      </c>
      <c r="D20763">
        <v>30.31</v>
      </c>
      <c r="E20763">
        <v>221</v>
      </c>
      <c r="F20763">
        <v>154</v>
      </c>
      <c r="G20763">
        <v>37</v>
      </c>
      <c r="H20763">
        <v>252</v>
      </c>
      <c r="I20763">
        <v>466</v>
      </c>
      <c r="J20763">
        <v>1</v>
      </c>
      <c r="K20763">
        <v>3</v>
      </c>
      <c r="L20763">
        <v>192</v>
      </c>
      <c r="M20763">
        <v>1</v>
      </c>
      <c r="N20763">
        <v>1.07459E-20</v>
      </c>
      <c r="O20763">
        <v>248</v>
      </c>
    </row>
    <row r="20764" spans="1:15" x14ac:dyDescent="0.25">
      <c r="A20764" t="s">
        <v>20777</v>
      </c>
      <c r="B20764">
        <v>674</v>
      </c>
      <c r="C20764" s="1" t="str">
        <f>HYPERLINK("http://www.rosaceae.org/gb/gbrowse/malus_x_domestica/?name=MDP0000169530","MDP0000169530")</f>
        <v>MDP0000169530</v>
      </c>
      <c r="D20764">
        <v>64.91</v>
      </c>
      <c r="E20764">
        <v>496</v>
      </c>
      <c r="F20764">
        <v>174</v>
      </c>
      <c r="G20764">
        <v>6</v>
      </c>
      <c r="H20764">
        <v>179</v>
      </c>
      <c r="I20764">
        <v>669</v>
      </c>
      <c r="J20764">
        <v>1</v>
      </c>
      <c r="K20764">
        <v>496</v>
      </c>
      <c r="L20764">
        <v>990</v>
      </c>
      <c r="M20764">
        <v>1</v>
      </c>
      <c r="N20764">
        <v>0</v>
      </c>
      <c r="O20764">
        <v>1630</v>
      </c>
    </row>
    <row r="20765" spans="1:15" x14ac:dyDescent="0.25">
      <c r="A20765" t="s">
        <v>20778</v>
      </c>
      <c r="B20765">
        <v>477</v>
      </c>
      <c r="C20765" s="1" t="str">
        <f>HYPERLINK("http://www.rosaceae.org/gb/gbrowse/malus_x_domestica/?name=MDP0000834450","MDP0000834450")</f>
        <v>MDP0000834450</v>
      </c>
      <c r="D20765">
        <v>67.760000000000005</v>
      </c>
      <c r="E20765">
        <v>484</v>
      </c>
      <c r="F20765">
        <v>156</v>
      </c>
      <c r="G20765">
        <v>9</v>
      </c>
      <c r="H20765">
        <v>1</v>
      </c>
      <c r="I20765">
        <v>476</v>
      </c>
      <c r="J20765">
        <v>1</v>
      </c>
      <c r="K20765">
        <v>1</v>
      </c>
      <c r="L20765">
        <v>483</v>
      </c>
      <c r="M20765">
        <v>1</v>
      </c>
      <c r="N20765">
        <v>0</v>
      </c>
      <c r="O20765">
        <v>1739</v>
      </c>
    </row>
    <row r="20766" spans="1:15" x14ac:dyDescent="0.25">
      <c r="A20766" t="s">
        <v>20779</v>
      </c>
      <c r="B20766">
        <v>544</v>
      </c>
      <c r="C20766" s="1" t="str">
        <f>HYPERLINK("http://www.rosaceae.org/gb/gbrowse/malus_x_domestica/?name=MDP0000286136","MDP0000286136")</f>
        <v>MDP0000286136</v>
      </c>
      <c r="D20766">
        <v>50</v>
      </c>
      <c r="E20766">
        <v>528</v>
      </c>
      <c r="F20766">
        <v>264</v>
      </c>
      <c r="G20766">
        <v>16</v>
      </c>
      <c r="H20766">
        <v>16</v>
      </c>
      <c r="I20766">
        <v>540</v>
      </c>
      <c r="J20766">
        <v>1</v>
      </c>
      <c r="K20766">
        <v>16</v>
      </c>
      <c r="L20766">
        <v>530</v>
      </c>
      <c r="M20766">
        <v>1</v>
      </c>
      <c r="N20766">
        <v>7.7526700000000004E-146</v>
      </c>
      <c r="O20766">
        <v>1325</v>
      </c>
    </row>
    <row r="20767" spans="1:15" x14ac:dyDescent="0.25">
      <c r="A20767" t="s">
        <v>20780</v>
      </c>
      <c r="B20767">
        <v>296</v>
      </c>
      <c r="C20767" s="1" t="str">
        <f>HYPERLINK("http://www.rosaceae.org/gb/gbrowse/malus_x_domestica/?name=MDP0000234499","MDP0000234499")</f>
        <v>MDP0000234499</v>
      </c>
      <c r="D20767">
        <v>45.59</v>
      </c>
      <c r="E20767">
        <v>318</v>
      </c>
      <c r="F20767">
        <v>173</v>
      </c>
      <c r="G20767">
        <v>25</v>
      </c>
      <c r="H20767">
        <v>1</v>
      </c>
      <c r="I20767">
        <v>294</v>
      </c>
      <c r="J20767">
        <v>1</v>
      </c>
      <c r="K20767">
        <v>184</v>
      </c>
      <c r="L20767">
        <v>500</v>
      </c>
      <c r="M20767">
        <v>1</v>
      </c>
      <c r="N20767">
        <v>6.5182200000000004E-70</v>
      </c>
      <c r="O20767">
        <v>667</v>
      </c>
    </row>
    <row r="20768" spans="1:15" x14ac:dyDescent="0.25">
      <c r="A20768" t="s">
        <v>20781</v>
      </c>
      <c r="B20768">
        <v>76</v>
      </c>
      <c r="C20768" s="1" t="str">
        <f>HYPERLINK("http://www.rosaceae.org/gb/gbrowse/malus_x_domestica/?name=MDP0000306688","MDP0000306688")</f>
        <v>MDP0000306688</v>
      </c>
      <c r="D20768">
        <v>62.16</v>
      </c>
      <c r="E20768">
        <v>37</v>
      </c>
      <c r="F20768">
        <v>14</v>
      </c>
      <c r="G20768">
        <v>0</v>
      </c>
      <c r="H20768">
        <v>10</v>
      </c>
      <c r="I20768">
        <v>46</v>
      </c>
      <c r="J20768">
        <v>1</v>
      </c>
      <c r="K20768">
        <v>418</v>
      </c>
      <c r="L20768">
        <v>454</v>
      </c>
      <c r="M20768">
        <v>1</v>
      </c>
      <c r="N20768">
        <v>9.1806999999999996E-8</v>
      </c>
      <c r="O20768">
        <v>124</v>
      </c>
    </row>
    <row r="20769" spans="1:15" x14ac:dyDescent="0.25">
      <c r="A20769" t="s">
        <v>20782</v>
      </c>
      <c r="B20769">
        <v>525</v>
      </c>
      <c r="C20769" s="1" t="str">
        <f>HYPERLINK("http://www.rosaceae.org/gb/gbrowse/malus_x_domestica/?name=MDP0000647311","MDP0000647311")</f>
        <v>MDP0000647311</v>
      </c>
      <c r="D20769">
        <v>59.57</v>
      </c>
      <c r="E20769">
        <v>517</v>
      </c>
      <c r="F20769">
        <v>209</v>
      </c>
      <c r="G20769">
        <v>55</v>
      </c>
      <c r="H20769">
        <v>33</v>
      </c>
      <c r="I20769">
        <v>525</v>
      </c>
      <c r="J20769">
        <v>1</v>
      </c>
      <c r="K20769">
        <v>132</v>
      </c>
      <c r="L20769">
        <v>617</v>
      </c>
      <c r="M20769">
        <v>1</v>
      </c>
      <c r="N20769">
        <v>7.7864499999999995E-150</v>
      </c>
      <c r="O20769">
        <v>1359</v>
      </c>
    </row>
    <row r="20770" spans="1:15" x14ac:dyDescent="0.25">
      <c r="A20770" t="s">
        <v>20783</v>
      </c>
      <c r="B20770">
        <v>164</v>
      </c>
      <c r="C20770" s="1" t="str">
        <f>HYPERLINK("http://www.rosaceae.org/gb/gbrowse/malus_x_domestica/?name=MDP0000538645","MDP0000538645")</f>
        <v>MDP0000538645</v>
      </c>
      <c r="D20770">
        <v>79.2</v>
      </c>
      <c r="E20770">
        <v>125</v>
      </c>
      <c r="F20770">
        <v>26</v>
      </c>
      <c r="G20770">
        <v>6</v>
      </c>
      <c r="H20770">
        <v>43</v>
      </c>
      <c r="I20770">
        <v>164</v>
      </c>
      <c r="J20770">
        <v>1</v>
      </c>
      <c r="K20770">
        <v>47</v>
      </c>
      <c r="L20770">
        <v>168</v>
      </c>
      <c r="M20770">
        <v>1</v>
      </c>
      <c r="N20770">
        <v>1.80005E-49</v>
      </c>
      <c r="O20770">
        <v>487</v>
      </c>
    </row>
    <row r="20771" spans="1:15" x14ac:dyDescent="0.25">
      <c r="A20771" t="s">
        <v>20784</v>
      </c>
      <c r="B20771">
        <v>243</v>
      </c>
      <c r="C20771" s="1" t="str">
        <f>HYPERLINK("http://www.rosaceae.org/gb/gbrowse/malus_x_domestica/?name=MDP0000725969","MDP0000725969")</f>
        <v>MDP0000725969</v>
      </c>
      <c r="D20771">
        <v>86.2</v>
      </c>
      <c r="E20771">
        <v>29</v>
      </c>
      <c r="F20771">
        <v>4</v>
      </c>
      <c r="G20771">
        <v>0</v>
      </c>
      <c r="H20771">
        <v>215</v>
      </c>
      <c r="I20771">
        <v>243</v>
      </c>
      <c r="J20771">
        <v>1</v>
      </c>
      <c r="K20771">
        <v>397</v>
      </c>
      <c r="L20771">
        <v>425</v>
      </c>
      <c r="M20771">
        <v>1</v>
      </c>
      <c r="N20771">
        <v>3.0810700000000001E-10</v>
      </c>
      <c r="O20771">
        <v>151</v>
      </c>
    </row>
    <row r="20772" spans="1:15" x14ac:dyDescent="0.25">
      <c r="A20772" t="s">
        <v>20785</v>
      </c>
      <c r="B20772">
        <v>274</v>
      </c>
      <c r="C20772" s="1" t="str">
        <f>HYPERLINK("http://www.rosaceae.org/gb/gbrowse/malus_x_domestica/?name=MDP0000263654","MDP0000263654")</f>
        <v>MDP0000263654</v>
      </c>
      <c r="D20772">
        <v>45.75</v>
      </c>
      <c r="E20772">
        <v>212</v>
      </c>
      <c r="F20772">
        <v>115</v>
      </c>
      <c r="G20772">
        <v>15</v>
      </c>
      <c r="H20772">
        <v>3</v>
      </c>
      <c r="I20772">
        <v>203</v>
      </c>
      <c r="J20772">
        <v>1</v>
      </c>
      <c r="K20772">
        <v>378</v>
      </c>
      <c r="L20772">
        <v>585</v>
      </c>
      <c r="M20772">
        <v>1</v>
      </c>
      <c r="N20772">
        <v>1.66991E-37</v>
      </c>
      <c r="O20772">
        <v>387</v>
      </c>
    </row>
    <row r="20773" spans="1:15" x14ac:dyDescent="0.25">
      <c r="A20773" t="s">
        <v>20786</v>
      </c>
      <c r="B20773">
        <v>525</v>
      </c>
      <c r="C20773" s="1" t="str">
        <f>HYPERLINK("http://www.rosaceae.org/gb/gbrowse/malus_x_domestica/?name=MDP0000363200","MDP0000363200")</f>
        <v>MDP0000363200</v>
      </c>
      <c r="D20773">
        <v>87.55</v>
      </c>
      <c r="E20773">
        <v>209</v>
      </c>
      <c r="F20773">
        <v>26</v>
      </c>
      <c r="G20773">
        <v>9</v>
      </c>
      <c r="H20773">
        <v>1</v>
      </c>
      <c r="I20773">
        <v>200</v>
      </c>
      <c r="J20773">
        <v>1</v>
      </c>
      <c r="K20773">
        <v>19</v>
      </c>
      <c r="L20773">
        <v>227</v>
      </c>
      <c r="M20773">
        <v>1</v>
      </c>
      <c r="N20773">
        <v>1.3456100000000001E-104</v>
      </c>
      <c r="O20773">
        <v>969</v>
      </c>
    </row>
    <row r="20774" spans="1:15" x14ac:dyDescent="0.25">
      <c r="A20774" t="s">
        <v>20787</v>
      </c>
      <c r="B20774">
        <v>878</v>
      </c>
      <c r="C20774" s="1" t="str">
        <f>HYPERLINK("http://www.rosaceae.org/gb/gbrowse/malus_x_domestica/?name=MDP0000167080","MDP0000167080")</f>
        <v>MDP0000167080</v>
      </c>
      <c r="D20774">
        <v>57.2</v>
      </c>
      <c r="E20774">
        <v>701</v>
      </c>
      <c r="F20774">
        <v>300</v>
      </c>
      <c r="G20774">
        <v>110</v>
      </c>
      <c r="H20774">
        <v>90</v>
      </c>
      <c r="I20774">
        <v>694</v>
      </c>
      <c r="J20774">
        <v>1</v>
      </c>
      <c r="K20774">
        <v>156</v>
      </c>
      <c r="L20774">
        <v>842</v>
      </c>
      <c r="M20774">
        <v>1</v>
      </c>
      <c r="N20774">
        <v>0</v>
      </c>
      <c r="O20774">
        <v>1992</v>
      </c>
    </row>
    <row r="20775" spans="1:15" x14ac:dyDescent="0.25">
      <c r="A20775" t="s">
        <v>20788</v>
      </c>
      <c r="B20775">
        <v>247</v>
      </c>
      <c r="C20775" s="1" t="str">
        <f>HYPERLINK("http://www.rosaceae.org/gb/gbrowse/malus_x_domestica/?name=MDP0000925984","MDP0000925984")</f>
        <v>MDP0000925984</v>
      </c>
      <c r="D20775">
        <v>69.14</v>
      </c>
      <c r="E20775">
        <v>256</v>
      </c>
      <c r="F20775">
        <v>79</v>
      </c>
      <c r="G20775">
        <v>12</v>
      </c>
      <c r="H20775">
        <v>4</v>
      </c>
      <c r="I20775">
        <v>247</v>
      </c>
      <c r="J20775">
        <v>1</v>
      </c>
      <c r="K20775">
        <v>22</v>
      </c>
      <c r="L20775">
        <v>277</v>
      </c>
      <c r="M20775">
        <v>1</v>
      </c>
      <c r="N20775">
        <v>3.9973100000000001E-100</v>
      </c>
      <c r="O20775">
        <v>926</v>
      </c>
    </row>
    <row r="20776" spans="1:15" x14ac:dyDescent="0.25">
      <c r="A20776" t="s">
        <v>20789</v>
      </c>
      <c r="B20776">
        <v>128</v>
      </c>
      <c r="C20776" s="1" t="str">
        <f>HYPERLINK("http://www.rosaceae.org/gb/gbrowse/malus_x_domestica/?name=MDP0000766365","MDP0000766365")</f>
        <v>MDP0000766365</v>
      </c>
      <c r="D20776">
        <v>72.510000000000005</v>
      </c>
      <c r="E20776">
        <v>131</v>
      </c>
      <c r="F20776">
        <v>36</v>
      </c>
      <c r="G20776">
        <v>3</v>
      </c>
      <c r="H20776">
        <v>1</v>
      </c>
      <c r="I20776">
        <v>128</v>
      </c>
      <c r="J20776">
        <v>1</v>
      </c>
      <c r="K20776">
        <v>1</v>
      </c>
      <c r="L20776">
        <v>131</v>
      </c>
      <c r="M20776">
        <v>1</v>
      </c>
      <c r="N20776">
        <v>2.4981300000000002E-47</v>
      </c>
      <c r="O20776">
        <v>466</v>
      </c>
    </row>
    <row r="20777" spans="1:15" x14ac:dyDescent="0.25">
      <c r="A20777" t="s">
        <v>20790</v>
      </c>
      <c r="B20777">
        <v>328</v>
      </c>
      <c r="C20777" s="1" t="str">
        <f>HYPERLINK("http://www.rosaceae.org/gb/gbrowse/malus_x_domestica/?name=MDP0000688638","MDP0000688638")</f>
        <v>MDP0000688638</v>
      </c>
      <c r="D20777">
        <v>92.33</v>
      </c>
      <c r="E20777">
        <v>313</v>
      </c>
      <c r="F20777">
        <v>24</v>
      </c>
      <c r="G20777">
        <v>0</v>
      </c>
      <c r="H20777">
        <v>16</v>
      </c>
      <c r="I20777">
        <v>328</v>
      </c>
      <c r="J20777">
        <v>1</v>
      </c>
      <c r="K20777">
        <v>16</v>
      </c>
      <c r="L20777">
        <v>328</v>
      </c>
      <c r="M20777">
        <v>1</v>
      </c>
      <c r="N20777">
        <v>1.0554200000000001E-174</v>
      </c>
      <c r="O20777">
        <v>1571</v>
      </c>
    </row>
    <row r="20778" spans="1:15" x14ac:dyDescent="0.25">
      <c r="A20778" t="s">
        <v>20791</v>
      </c>
      <c r="B20778">
        <v>239</v>
      </c>
      <c r="C20778" s="1" t="str">
        <f>HYPERLINK("http://www.rosaceae.org/gb/gbrowse/malus_x_domestica/?name=MDP0000211938","MDP0000211938")</f>
        <v>MDP0000211938</v>
      </c>
      <c r="D20778">
        <v>76.66</v>
      </c>
      <c r="E20778">
        <v>240</v>
      </c>
      <c r="F20778">
        <v>56</v>
      </c>
      <c r="G20778">
        <v>2</v>
      </c>
      <c r="H20778">
        <v>1</v>
      </c>
      <c r="I20778">
        <v>238</v>
      </c>
      <c r="J20778">
        <v>1</v>
      </c>
      <c r="K20778">
        <v>1</v>
      </c>
      <c r="L20778">
        <v>240</v>
      </c>
      <c r="M20778">
        <v>1</v>
      </c>
      <c r="N20778">
        <v>1.048E-100</v>
      </c>
      <c r="O20778">
        <v>931</v>
      </c>
    </row>
    <row r="20779" spans="1:15" x14ac:dyDescent="0.25">
      <c r="A20779" t="s">
        <v>20792</v>
      </c>
      <c r="B20779">
        <v>198</v>
      </c>
      <c r="C20779" s="1" t="str">
        <f>HYPERLINK("http://www.rosaceae.org/gb/gbrowse/malus_x_domestica/?name=MDP0000253075","MDP0000253075")</f>
        <v>MDP0000253075</v>
      </c>
      <c r="D20779">
        <v>66.98</v>
      </c>
      <c r="E20779">
        <v>212</v>
      </c>
      <c r="F20779">
        <v>70</v>
      </c>
      <c r="G20779">
        <v>23</v>
      </c>
      <c r="H20779">
        <v>8</v>
      </c>
      <c r="I20779">
        <v>196</v>
      </c>
      <c r="J20779">
        <v>1</v>
      </c>
      <c r="K20779">
        <v>8</v>
      </c>
      <c r="L20779">
        <v>219</v>
      </c>
      <c r="M20779">
        <v>1</v>
      </c>
      <c r="N20779">
        <v>6.4818999999999999E-72</v>
      </c>
      <c r="O20779">
        <v>682</v>
      </c>
    </row>
    <row r="20780" spans="1:15" x14ac:dyDescent="0.25">
      <c r="A20780" t="s">
        <v>20793</v>
      </c>
      <c r="B20780">
        <v>156</v>
      </c>
      <c r="C20780" s="1" t="str">
        <f>HYPERLINK("http://www.rosaceae.org/gb/gbrowse/malus_x_domestica/?name=MDP0000659191","MDP0000659191")</f>
        <v>MDP0000659191</v>
      </c>
      <c r="D20780">
        <v>68.180000000000007</v>
      </c>
      <c r="E20780">
        <v>66</v>
      </c>
      <c r="F20780">
        <v>21</v>
      </c>
      <c r="G20780">
        <v>3</v>
      </c>
      <c r="H20780">
        <v>59</v>
      </c>
      <c r="I20780">
        <v>123</v>
      </c>
      <c r="J20780">
        <v>1</v>
      </c>
      <c r="K20780">
        <v>192</v>
      </c>
      <c r="L20780">
        <v>255</v>
      </c>
      <c r="M20780">
        <v>1</v>
      </c>
      <c r="N20780">
        <v>2.3463900000000002E-10</v>
      </c>
      <c r="O20780">
        <v>149</v>
      </c>
    </row>
    <row r="20781" spans="1:15" x14ac:dyDescent="0.25">
      <c r="A20781" t="s">
        <v>20794</v>
      </c>
      <c r="B20781">
        <v>201</v>
      </c>
      <c r="C20781" s="1" t="str">
        <f>HYPERLINK("http://www.rosaceae.org/gb/gbrowse/malus_x_domestica/?name=MDP0000189426","MDP0000189426")</f>
        <v>MDP0000189426</v>
      </c>
      <c r="D20781">
        <v>51.76</v>
      </c>
      <c r="E20781">
        <v>85</v>
      </c>
      <c r="F20781">
        <v>41</v>
      </c>
      <c r="G20781">
        <v>2</v>
      </c>
      <c r="H20781">
        <v>1</v>
      </c>
      <c r="I20781">
        <v>83</v>
      </c>
      <c r="J20781">
        <v>1</v>
      </c>
      <c r="K20781">
        <v>75</v>
      </c>
      <c r="L20781">
        <v>159</v>
      </c>
      <c r="M20781">
        <v>1</v>
      </c>
      <c r="N20781">
        <v>3.6564800000000002E-19</v>
      </c>
      <c r="O20781">
        <v>227</v>
      </c>
    </row>
    <row r="20782" spans="1:15" x14ac:dyDescent="0.25">
      <c r="A20782" t="s">
        <v>20795</v>
      </c>
      <c r="B20782">
        <v>513</v>
      </c>
      <c r="C20782" s="1" t="str">
        <f>HYPERLINK("http://www.rosaceae.org/gb/gbrowse/malus_x_domestica/?name=MDP0000508389","MDP0000508389")</f>
        <v>MDP0000508389</v>
      </c>
      <c r="D20782">
        <v>62.58</v>
      </c>
      <c r="E20782">
        <v>294</v>
      </c>
      <c r="F20782">
        <v>110</v>
      </c>
      <c r="G20782">
        <v>41</v>
      </c>
      <c r="H20782">
        <v>225</v>
      </c>
      <c r="I20782">
        <v>478</v>
      </c>
      <c r="J20782">
        <v>1</v>
      </c>
      <c r="K20782">
        <v>232</v>
      </c>
      <c r="L20782">
        <v>524</v>
      </c>
      <c r="M20782">
        <v>1</v>
      </c>
      <c r="N20782">
        <v>1.0310800000000001E-87</v>
      </c>
      <c r="O20782">
        <v>823</v>
      </c>
    </row>
    <row r="20783" spans="1:15" x14ac:dyDescent="0.25">
      <c r="A20783" t="s">
        <v>20796</v>
      </c>
      <c r="B20783">
        <v>286</v>
      </c>
      <c r="C20783" s="1" t="str">
        <f>HYPERLINK("http://www.rosaceae.org/gb/gbrowse/malus_x_domestica/?name=MDP0000479436","MDP0000479436")</f>
        <v>MDP0000479436</v>
      </c>
      <c r="D20783">
        <v>84.42</v>
      </c>
      <c r="E20783">
        <v>289</v>
      </c>
      <c r="F20783">
        <v>45</v>
      </c>
      <c r="G20783">
        <v>4</v>
      </c>
      <c r="H20783">
        <v>1</v>
      </c>
      <c r="I20783">
        <v>285</v>
      </c>
      <c r="J20783">
        <v>1</v>
      </c>
      <c r="K20783">
        <v>85</v>
      </c>
      <c r="L20783">
        <v>373</v>
      </c>
      <c r="M20783">
        <v>1</v>
      </c>
      <c r="N20783">
        <v>1.26238E-141</v>
      </c>
      <c r="O20783">
        <v>1285</v>
      </c>
    </row>
    <row r="20784" spans="1:15" x14ac:dyDescent="0.25">
      <c r="A20784" t="s">
        <v>20797</v>
      </c>
      <c r="B20784">
        <v>102</v>
      </c>
      <c r="C20784" s="1" t="str">
        <f>HYPERLINK("http://www.rosaceae.org/gb/gbrowse/malus_x_domestica/?name=MDP0000436956","MDP0000436956")</f>
        <v>MDP0000436956</v>
      </c>
      <c r="D20784">
        <v>92.77</v>
      </c>
      <c r="E20784">
        <v>83</v>
      </c>
      <c r="F20784">
        <v>6</v>
      </c>
      <c r="G20784">
        <v>0</v>
      </c>
      <c r="H20784">
        <v>1</v>
      </c>
      <c r="I20784">
        <v>83</v>
      </c>
      <c r="J20784">
        <v>1</v>
      </c>
      <c r="K20784">
        <v>75</v>
      </c>
      <c r="L20784">
        <v>157</v>
      </c>
      <c r="M20784">
        <v>1</v>
      </c>
      <c r="N20784">
        <v>3.1872300000000002E-42</v>
      </c>
      <c r="O20784">
        <v>422</v>
      </c>
    </row>
    <row r="20785" spans="1:15" x14ac:dyDescent="0.25">
      <c r="A20785" t="s">
        <v>20798</v>
      </c>
      <c r="B20785">
        <v>636</v>
      </c>
      <c r="C20785" s="1" t="str">
        <f>HYPERLINK("http://www.rosaceae.org/gb/gbrowse/malus_x_domestica/?name=MDP0000131151","MDP0000131151")</f>
        <v>MDP0000131151</v>
      </c>
      <c r="D20785">
        <v>33.03</v>
      </c>
      <c r="E20785">
        <v>454</v>
      </c>
      <c r="F20785">
        <v>304</v>
      </c>
      <c r="G20785">
        <v>29</v>
      </c>
      <c r="H20785">
        <v>3</v>
      </c>
      <c r="I20785">
        <v>436</v>
      </c>
      <c r="J20785">
        <v>1</v>
      </c>
      <c r="K20785">
        <v>1</v>
      </c>
      <c r="L20785">
        <v>445</v>
      </c>
      <c r="M20785">
        <v>1</v>
      </c>
      <c r="N20785">
        <v>1.4518800000000001E-41</v>
      </c>
      <c r="O20785">
        <v>426</v>
      </c>
    </row>
    <row r="20786" spans="1:15" x14ac:dyDescent="0.25">
      <c r="A20786" t="s">
        <v>20799</v>
      </c>
      <c r="B20786">
        <v>695</v>
      </c>
      <c r="C20786" s="1" t="str">
        <f>HYPERLINK("http://www.rosaceae.org/gb/gbrowse/malus_x_domestica/?name=MDP0000271754","MDP0000271754")</f>
        <v>MDP0000271754</v>
      </c>
      <c r="D20786">
        <v>24.37</v>
      </c>
      <c r="E20786">
        <v>562</v>
      </c>
      <c r="F20786">
        <v>425</v>
      </c>
      <c r="G20786">
        <v>92</v>
      </c>
      <c r="H20786">
        <v>7</v>
      </c>
      <c r="I20786">
        <v>523</v>
      </c>
      <c r="J20786">
        <v>1</v>
      </c>
      <c r="K20786">
        <v>25</v>
      </c>
      <c r="L20786">
        <v>539</v>
      </c>
      <c r="M20786">
        <v>1</v>
      </c>
      <c r="N20786">
        <v>5.5276199999999999E-27</v>
      </c>
      <c r="O20786">
        <v>301</v>
      </c>
    </row>
    <row r="20787" spans="1:15" x14ac:dyDescent="0.25">
      <c r="A20787" t="s">
        <v>20800</v>
      </c>
      <c r="B20787">
        <v>426</v>
      </c>
      <c r="C20787" s="1" t="str">
        <f>HYPERLINK("http://www.rosaceae.org/gb/gbrowse/malus_x_domestica/?name=MDP0000136726","MDP0000136726")</f>
        <v>MDP0000136726</v>
      </c>
      <c r="D20787">
        <v>65.03</v>
      </c>
      <c r="E20787">
        <v>409</v>
      </c>
      <c r="F20787">
        <v>143</v>
      </c>
      <c r="G20787">
        <v>0</v>
      </c>
      <c r="H20787">
        <v>17</v>
      </c>
      <c r="I20787">
        <v>425</v>
      </c>
      <c r="J20787">
        <v>1</v>
      </c>
      <c r="K20787">
        <v>22</v>
      </c>
      <c r="L20787">
        <v>430</v>
      </c>
      <c r="M20787">
        <v>1</v>
      </c>
      <c r="N20787">
        <v>1.9046499999999999E-148</v>
      </c>
      <c r="O20787">
        <v>1346</v>
      </c>
    </row>
    <row r="20788" spans="1:15" x14ac:dyDescent="0.25">
      <c r="A20788" t="s">
        <v>20801</v>
      </c>
      <c r="B20788">
        <v>141</v>
      </c>
      <c r="C20788" s="1" t="str">
        <f>HYPERLINK("http://www.rosaceae.org/gb/gbrowse/malus_x_domestica/?name=MDP0000657945","MDP0000657945")</f>
        <v>MDP0000657945</v>
      </c>
      <c r="D20788">
        <v>95.03</v>
      </c>
      <c r="E20788">
        <v>141</v>
      </c>
      <c r="F20788">
        <v>7</v>
      </c>
      <c r="G20788">
        <v>0</v>
      </c>
      <c r="H20788">
        <v>1</v>
      </c>
      <c r="I20788">
        <v>141</v>
      </c>
      <c r="J20788">
        <v>1</v>
      </c>
      <c r="K20788">
        <v>1</v>
      </c>
      <c r="L20788">
        <v>141</v>
      </c>
      <c r="M20788">
        <v>1</v>
      </c>
      <c r="N20788">
        <v>1.2634399999999999E-77</v>
      </c>
      <c r="O20788">
        <v>728</v>
      </c>
    </row>
    <row r="20789" spans="1:15" x14ac:dyDescent="0.25">
      <c r="A20789" t="s">
        <v>20802</v>
      </c>
      <c r="B20789">
        <v>670</v>
      </c>
      <c r="C20789" s="1" t="str">
        <f>HYPERLINK("http://www.rosaceae.org/gb/gbrowse/malus_x_domestica/?name=MDP0000263140","MDP0000263140")</f>
        <v>MDP0000263140</v>
      </c>
      <c r="D20789">
        <v>79.75</v>
      </c>
      <c r="E20789">
        <v>657</v>
      </c>
      <c r="F20789">
        <v>133</v>
      </c>
      <c r="G20789">
        <v>9</v>
      </c>
      <c r="H20789">
        <v>1</v>
      </c>
      <c r="I20789">
        <v>651</v>
      </c>
      <c r="J20789">
        <v>1</v>
      </c>
      <c r="K20789">
        <v>1</v>
      </c>
      <c r="L20789">
        <v>654</v>
      </c>
      <c r="M20789">
        <v>1</v>
      </c>
      <c r="N20789">
        <v>0</v>
      </c>
      <c r="O20789">
        <v>2717</v>
      </c>
    </row>
    <row r="20790" spans="1:15" x14ac:dyDescent="0.25">
      <c r="A20790" t="s">
        <v>20803</v>
      </c>
      <c r="B20790">
        <v>853</v>
      </c>
      <c r="C20790" s="1" t="str">
        <f>HYPERLINK("http://www.rosaceae.org/gb/gbrowse/malus_x_domestica/?name=MDP0000186402","MDP0000186402")</f>
        <v>MDP0000186402</v>
      </c>
      <c r="D20790">
        <v>33.33</v>
      </c>
      <c r="E20790">
        <v>96</v>
      </c>
      <c r="F20790">
        <v>64</v>
      </c>
      <c r="G20790">
        <v>3</v>
      </c>
      <c r="H20790">
        <v>337</v>
      </c>
      <c r="I20790">
        <v>430</v>
      </c>
      <c r="J20790">
        <v>1</v>
      </c>
      <c r="K20790">
        <v>445</v>
      </c>
      <c r="L20790">
        <v>539</v>
      </c>
      <c r="M20790">
        <v>1</v>
      </c>
      <c r="N20790">
        <v>3.7658999999999999E-10</v>
      </c>
      <c r="O20790">
        <v>156</v>
      </c>
    </row>
    <row r="20791" spans="1:15" x14ac:dyDescent="0.25">
      <c r="A20791" t="s">
        <v>20804</v>
      </c>
      <c r="B20791">
        <v>454</v>
      </c>
      <c r="C20791" s="1" t="str">
        <f>HYPERLINK("http://www.rosaceae.org/gb/gbrowse/malus_x_domestica/?name=MDP0000159341","MDP0000159341")</f>
        <v>MDP0000159341</v>
      </c>
      <c r="D20791">
        <v>59.06</v>
      </c>
      <c r="E20791">
        <v>469</v>
      </c>
      <c r="F20791">
        <v>192</v>
      </c>
      <c r="G20791">
        <v>28</v>
      </c>
      <c r="H20791">
        <v>1</v>
      </c>
      <c r="I20791">
        <v>453</v>
      </c>
      <c r="J20791">
        <v>1</v>
      </c>
      <c r="K20791">
        <v>1</v>
      </c>
      <c r="L20791">
        <v>457</v>
      </c>
      <c r="M20791">
        <v>1</v>
      </c>
      <c r="N20791">
        <v>3.2700199999999999E-133</v>
      </c>
      <c r="O20791">
        <v>1215</v>
      </c>
    </row>
    <row r="20792" spans="1:15" x14ac:dyDescent="0.25">
      <c r="A20792" t="s">
        <v>20805</v>
      </c>
      <c r="B20792">
        <v>260</v>
      </c>
      <c r="C20792" s="1" t="str">
        <f>HYPERLINK("http://www.rosaceae.org/gb/gbrowse/malus_x_domestica/?name=MDP0000218420","MDP0000218420")</f>
        <v>MDP0000218420</v>
      </c>
      <c r="D20792">
        <v>68.12</v>
      </c>
      <c r="E20792">
        <v>229</v>
      </c>
      <c r="F20792">
        <v>73</v>
      </c>
      <c r="G20792">
        <v>7</v>
      </c>
      <c r="H20792">
        <v>32</v>
      </c>
      <c r="I20792">
        <v>260</v>
      </c>
      <c r="J20792">
        <v>1</v>
      </c>
      <c r="K20792">
        <v>122</v>
      </c>
      <c r="L20792">
        <v>343</v>
      </c>
      <c r="M20792">
        <v>1</v>
      </c>
      <c r="N20792">
        <v>2.8808400000000002E-85</v>
      </c>
      <c r="O20792">
        <v>799</v>
      </c>
    </row>
    <row r="20793" spans="1:15" x14ac:dyDescent="0.25">
      <c r="A20793" t="s">
        <v>20806</v>
      </c>
      <c r="B20793">
        <v>296</v>
      </c>
      <c r="C20793" s="1" t="str">
        <f>HYPERLINK("http://www.rosaceae.org/gb/gbrowse/malus_x_domestica/?name=MDP0000285521","MDP0000285521")</f>
        <v>MDP0000285521</v>
      </c>
      <c r="D20793">
        <v>50.84</v>
      </c>
      <c r="E20793">
        <v>356</v>
      </c>
      <c r="F20793">
        <v>175</v>
      </c>
      <c r="G20793">
        <v>98</v>
      </c>
      <c r="H20793">
        <v>1</v>
      </c>
      <c r="I20793">
        <v>283</v>
      </c>
      <c r="J20793">
        <v>1</v>
      </c>
      <c r="K20793">
        <v>1</v>
      </c>
      <c r="L20793">
        <v>331</v>
      </c>
      <c r="M20793">
        <v>1</v>
      </c>
      <c r="N20793">
        <v>4.2054299999999997E-85</v>
      </c>
      <c r="O20793">
        <v>798</v>
      </c>
    </row>
    <row r="20794" spans="1:15" x14ac:dyDescent="0.25">
      <c r="A20794" t="s">
        <v>20807</v>
      </c>
      <c r="B20794">
        <v>949</v>
      </c>
      <c r="C20794" s="1" t="str">
        <f>HYPERLINK("http://www.rosaceae.org/gb/gbrowse/malus_x_domestica/?name=MDP0000225231","MDP0000225231")</f>
        <v>MDP0000225231</v>
      </c>
      <c r="D20794">
        <v>69.02</v>
      </c>
      <c r="E20794">
        <v>1004</v>
      </c>
      <c r="F20794">
        <v>311</v>
      </c>
      <c r="G20794">
        <v>119</v>
      </c>
      <c r="H20794">
        <v>1</v>
      </c>
      <c r="I20794">
        <v>915</v>
      </c>
      <c r="J20794">
        <v>1</v>
      </c>
      <c r="K20794">
        <v>1</v>
      </c>
      <c r="L20794">
        <v>974</v>
      </c>
      <c r="M20794">
        <v>1</v>
      </c>
      <c r="N20794">
        <v>0</v>
      </c>
      <c r="O20794">
        <v>3412</v>
      </c>
    </row>
    <row r="20795" spans="1:15" x14ac:dyDescent="0.25">
      <c r="A20795" t="s">
        <v>20808</v>
      </c>
      <c r="B20795">
        <v>507</v>
      </c>
      <c r="C20795" s="1" t="str">
        <f>HYPERLINK("http://www.rosaceae.org/gb/gbrowse/malus_x_domestica/?name=MDP0000063945","MDP0000063945")</f>
        <v>MDP0000063945</v>
      </c>
      <c r="D20795">
        <v>65.040000000000006</v>
      </c>
      <c r="E20795">
        <v>515</v>
      </c>
      <c r="F20795">
        <v>180</v>
      </c>
      <c r="G20795">
        <v>31</v>
      </c>
      <c r="H20795">
        <v>1</v>
      </c>
      <c r="I20795">
        <v>507</v>
      </c>
      <c r="J20795">
        <v>1</v>
      </c>
      <c r="K20795">
        <v>1</v>
      </c>
      <c r="L20795">
        <v>492</v>
      </c>
      <c r="M20795">
        <v>1</v>
      </c>
      <c r="N20795">
        <v>3.3596399999999998E-163</v>
      </c>
      <c r="O20795">
        <v>1474</v>
      </c>
    </row>
    <row r="20796" spans="1:15" x14ac:dyDescent="0.25">
      <c r="A20796" t="s">
        <v>20809</v>
      </c>
      <c r="B20796">
        <v>292</v>
      </c>
      <c r="C20796" s="1" t="str">
        <f>HYPERLINK("http://www.rosaceae.org/gb/gbrowse/malus_x_domestica/?name=MDP0000202660","MDP0000202660")</f>
        <v>MDP0000202660</v>
      </c>
      <c r="D20796">
        <v>38.880000000000003</v>
      </c>
      <c r="E20796">
        <v>180</v>
      </c>
      <c r="F20796">
        <v>110</v>
      </c>
      <c r="G20796">
        <v>41</v>
      </c>
      <c r="H20796">
        <v>93</v>
      </c>
      <c r="I20796">
        <v>231</v>
      </c>
      <c r="J20796">
        <v>1</v>
      </c>
      <c r="K20796">
        <v>110</v>
      </c>
      <c r="L20796">
        <v>289</v>
      </c>
      <c r="M20796">
        <v>1</v>
      </c>
      <c r="N20796">
        <v>1.13237E-20</v>
      </c>
      <c r="O20796">
        <v>242</v>
      </c>
    </row>
    <row r="20797" spans="1:15" x14ac:dyDescent="0.25">
      <c r="A20797" t="s">
        <v>20810</v>
      </c>
      <c r="B20797">
        <v>383</v>
      </c>
      <c r="C20797" s="1" t="str">
        <f>HYPERLINK("http://www.rosaceae.org/gb/gbrowse/malus_x_domestica/?name=MDP0000210968","MDP0000210968")</f>
        <v>MDP0000210968</v>
      </c>
      <c r="D20797">
        <v>47.97</v>
      </c>
      <c r="E20797">
        <v>371</v>
      </c>
      <c r="F20797">
        <v>193</v>
      </c>
      <c r="G20797">
        <v>45</v>
      </c>
      <c r="H20797">
        <v>27</v>
      </c>
      <c r="I20797">
        <v>381</v>
      </c>
      <c r="J20797">
        <v>1</v>
      </c>
      <c r="K20797">
        <v>20</v>
      </c>
      <c r="L20797">
        <v>361</v>
      </c>
      <c r="M20797">
        <v>1</v>
      </c>
      <c r="N20797">
        <v>1.0727E-73</v>
      </c>
      <c r="O20797">
        <v>701</v>
      </c>
    </row>
    <row r="20798" spans="1:15" x14ac:dyDescent="0.25">
      <c r="A20798" t="s">
        <v>20811</v>
      </c>
      <c r="B20798">
        <v>151</v>
      </c>
      <c r="C20798" s="1" t="str">
        <f>HYPERLINK("http://www.rosaceae.org/gb/gbrowse/malus_x_domestica/?name=MDP0000201460","MDP0000201460")</f>
        <v>MDP0000201460</v>
      </c>
      <c r="D20798">
        <v>86.48</v>
      </c>
      <c r="E20798">
        <v>148</v>
      </c>
      <c r="F20798">
        <v>20</v>
      </c>
      <c r="G20798">
        <v>16</v>
      </c>
      <c r="H20798">
        <v>1</v>
      </c>
      <c r="I20798">
        <v>132</v>
      </c>
      <c r="J20798">
        <v>1</v>
      </c>
      <c r="K20798">
        <v>1</v>
      </c>
      <c r="L20798">
        <v>148</v>
      </c>
      <c r="M20798">
        <v>1</v>
      </c>
      <c r="N20798">
        <v>4.7774900000000002E-70</v>
      </c>
      <c r="O20798">
        <v>664</v>
      </c>
    </row>
    <row r="20799" spans="1:15" x14ac:dyDescent="0.25">
      <c r="A20799" t="s">
        <v>20812</v>
      </c>
      <c r="B20799">
        <v>582</v>
      </c>
      <c r="C20799" s="1" t="str">
        <f>HYPERLINK("http://www.rosaceae.org/gb/gbrowse/malus_x_domestica/?name=MDP0000235621","MDP0000235621")</f>
        <v>MDP0000235621</v>
      </c>
      <c r="D20799">
        <v>41.14</v>
      </c>
      <c r="E20799">
        <v>559</v>
      </c>
      <c r="F20799">
        <v>329</v>
      </c>
      <c r="G20799">
        <v>88</v>
      </c>
      <c r="H20799">
        <v>1</v>
      </c>
      <c r="I20799">
        <v>527</v>
      </c>
      <c r="J20799">
        <v>1</v>
      </c>
      <c r="K20799">
        <v>1</v>
      </c>
      <c r="L20799">
        <v>503</v>
      </c>
      <c r="M20799">
        <v>1</v>
      </c>
      <c r="N20799">
        <v>2.6403499999999999E-100</v>
      </c>
      <c r="O20799">
        <v>932</v>
      </c>
    </row>
    <row r="20800" spans="1:15" x14ac:dyDescent="0.25">
      <c r="A20800" t="s">
        <v>20813</v>
      </c>
      <c r="B20800">
        <v>535</v>
      </c>
      <c r="C20800" s="1" t="str">
        <f>HYPERLINK("http://www.rosaceae.org/gb/gbrowse/malus_x_domestica/?name=MDP0000248409","MDP0000248409")</f>
        <v>MDP0000248409</v>
      </c>
      <c r="D20800">
        <v>77</v>
      </c>
      <c r="E20800">
        <v>474</v>
      </c>
      <c r="F20800">
        <v>109</v>
      </c>
      <c r="G20800">
        <v>26</v>
      </c>
      <c r="H20800">
        <v>83</v>
      </c>
      <c r="I20800">
        <v>533</v>
      </c>
      <c r="J20800">
        <v>1</v>
      </c>
      <c r="K20800">
        <v>89</v>
      </c>
      <c r="L20800">
        <v>559</v>
      </c>
      <c r="M20800">
        <v>1</v>
      </c>
      <c r="N20800">
        <v>0</v>
      </c>
      <c r="O20800">
        <v>1898</v>
      </c>
    </row>
    <row r="20801" spans="1:15" x14ac:dyDescent="0.25">
      <c r="A20801" t="s">
        <v>20814</v>
      </c>
      <c r="B20801">
        <v>402</v>
      </c>
      <c r="C20801" s="1" t="str">
        <f>HYPERLINK("http://www.rosaceae.org/gb/gbrowse/malus_x_domestica/?name=MDP0000491898","MDP0000491898")</f>
        <v>MDP0000491898</v>
      </c>
      <c r="D20801">
        <v>88.29</v>
      </c>
      <c r="E20801">
        <v>376</v>
      </c>
      <c r="F20801">
        <v>44</v>
      </c>
      <c r="G20801">
        <v>0</v>
      </c>
      <c r="H20801">
        <v>27</v>
      </c>
      <c r="I20801">
        <v>402</v>
      </c>
      <c r="J20801">
        <v>1</v>
      </c>
      <c r="K20801">
        <v>27</v>
      </c>
      <c r="L20801">
        <v>402</v>
      </c>
      <c r="M20801">
        <v>1</v>
      </c>
      <c r="N20801">
        <v>0</v>
      </c>
      <c r="O20801">
        <v>1808</v>
      </c>
    </row>
    <row r="20802" spans="1:15" x14ac:dyDescent="0.25">
      <c r="A20802" t="s">
        <v>20815</v>
      </c>
      <c r="B20802">
        <v>253</v>
      </c>
      <c r="C20802" s="1" t="str">
        <f>HYPERLINK("http://www.rosaceae.org/gb/gbrowse/malus_x_domestica/?name=MDP0000322543","MDP0000322543")</f>
        <v>MDP0000322543</v>
      </c>
      <c r="D20802">
        <v>57.14</v>
      </c>
      <c r="E20802">
        <v>161</v>
      </c>
      <c r="F20802">
        <v>69</v>
      </c>
      <c r="G20802">
        <v>3</v>
      </c>
      <c r="H20802">
        <v>57</v>
      </c>
      <c r="I20802">
        <v>214</v>
      </c>
      <c r="J20802">
        <v>1</v>
      </c>
      <c r="K20802">
        <v>45</v>
      </c>
      <c r="L20802">
        <v>205</v>
      </c>
      <c r="M20802">
        <v>1</v>
      </c>
      <c r="N20802">
        <v>1.09244E-51</v>
      </c>
      <c r="O20802">
        <v>509</v>
      </c>
    </row>
    <row r="20803" spans="1:15" x14ac:dyDescent="0.25">
      <c r="A20803" t="s">
        <v>20816</v>
      </c>
      <c r="B20803">
        <v>241</v>
      </c>
      <c r="C20803" s="1" t="str">
        <f>HYPERLINK("http://www.rosaceae.org/gb/gbrowse/malus_x_domestica/?name=MDP0000261775","MDP0000261775")</f>
        <v>MDP0000261775</v>
      </c>
      <c r="D20803">
        <v>93.05</v>
      </c>
      <c r="E20803">
        <v>144</v>
      </c>
      <c r="F20803">
        <v>10</v>
      </c>
      <c r="G20803">
        <v>0</v>
      </c>
      <c r="H20803">
        <v>98</v>
      </c>
      <c r="I20803">
        <v>241</v>
      </c>
      <c r="J20803">
        <v>1</v>
      </c>
      <c r="K20803">
        <v>1</v>
      </c>
      <c r="L20803">
        <v>144</v>
      </c>
      <c r="M20803">
        <v>1</v>
      </c>
      <c r="N20803">
        <v>7.5197700000000004E-78</v>
      </c>
      <c r="O20803">
        <v>734</v>
      </c>
    </row>
    <row r="20804" spans="1:15" x14ac:dyDescent="0.25">
      <c r="A20804" t="s">
        <v>20817</v>
      </c>
      <c r="B20804">
        <v>658</v>
      </c>
      <c r="C20804" s="1" t="str">
        <f>HYPERLINK("http://www.rosaceae.org/gb/gbrowse/malus_x_domestica/?name=MDP0000451107","MDP0000451107")</f>
        <v>MDP0000451107</v>
      </c>
      <c r="D20804">
        <v>56.59</v>
      </c>
      <c r="E20804">
        <v>546</v>
      </c>
      <c r="F20804">
        <v>237</v>
      </c>
      <c r="G20804">
        <v>60</v>
      </c>
      <c r="H20804">
        <v>84</v>
      </c>
      <c r="I20804">
        <v>599</v>
      </c>
      <c r="J20804">
        <v>1</v>
      </c>
      <c r="K20804">
        <v>140</v>
      </c>
      <c r="L20804">
        <v>655</v>
      </c>
      <c r="M20804">
        <v>1</v>
      </c>
      <c r="N20804">
        <v>2.6540499999999998E-145</v>
      </c>
      <c r="O20804">
        <v>1321</v>
      </c>
    </row>
    <row r="20805" spans="1:15" x14ac:dyDescent="0.25">
      <c r="A20805" t="s">
        <v>20818</v>
      </c>
      <c r="B20805">
        <v>400</v>
      </c>
      <c r="C20805" s="1" t="str">
        <f>HYPERLINK("http://www.rosaceae.org/gb/gbrowse/malus_x_domestica/?name=MDP0000337873","MDP0000337873")</f>
        <v>MDP0000337873</v>
      </c>
      <c r="D20805">
        <v>33.68</v>
      </c>
      <c r="E20805">
        <v>374</v>
      </c>
      <c r="F20805">
        <v>248</v>
      </c>
      <c r="G20805">
        <v>29</v>
      </c>
      <c r="H20805">
        <v>18</v>
      </c>
      <c r="I20805">
        <v>384</v>
      </c>
      <c r="J20805">
        <v>1</v>
      </c>
      <c r="K20805">
        <v>12</v>
      </c>
      <c r="L20805">
        <v>363</v>
      </c>
      <c r="M20805">
        <v>1</v>
      </c>
      <c r="N20805">
        <v>3.16775E-58</v>
      </c>
      <c r="O20805">
        <v>568</v>
      </c>
    </row>
    <row r="20806" spans="1:15" x14ac:dyDescent="0.25">
      <c r="A20806" t="s">
        <v>20819</v>
      </c>
      <c r="B20806">
        <v>792</v>
      </c>
      <c r="C20806" s="1" t="str">
        <f>HYPERLINK("http://www.rosaceae.org/gb/gbrowse/malus_x_domestica/?name=MDP0000320420","MDP0000320420")</f>
        <v>MDP0000320420</v>
      </c>
      <c r="D20806">
        <v>47.48</v>
      </c>
      <c r="E20806">
        <v>478</v>
      </c>
      <c r="F20806">
        <v>251</v>
      </c>
      <c r="G20806">
        <v>59</v>
      </c>
      <c r="H20806">
        <v>1</v>
      </c>
      <c r="I20806">
        <v>425</v>
      </c>
      <c r="J20806">
        <v>1</v>
      </c>
      <c r="K20806">
        <v>1</v>
      </c>
      <c r="L20806">
        <v>472</v>
      </c>
      <c r="M20806">
        <v>1</v>
      </c>
      <c r="N20806">
        <v>1.0437500000000001E-100</v>
      </c>
      <c r="O20806">
        <v>937</v>
      </c>
    </row>
    <row r="20807" spans="1:15" x14ac:dyDescent="0.25">
      <c r="A20807" t="s">
        <v>20820</v>
      </c>
      <c r="B20807">
        <v>314</v>
      </c>
      <c r="C20807" s="1" t="str">
        <f>HYPERLINK("http://www.rosaceae.org/gb/gbrowse/malus_x_domestica/?name=MDP0000180763","MDP0000180763")</f>
        <v>MDP0000180763</v>
      </c>
      <c r="D20807">
        <v>78.52</v>
      </c>
      <c r="E20807">
        <v>312</v>
      </c>
      <c r="F20807">
        <v>67</v>
      </c>
      <c r="G20807">
        <v>1</v>
      </c>
      <c r="H20807">
        <v>3</v>
      </c>
      <c r="I20807">
        <v>313</v>
      </c>
      <c r="J20807">
        <v>1</v>
      </c>
      <c r="K20807">
        <v>6</v>
      </c>
      <c r="L20807">
        <v>317</v>
      </c>
      <c r="M20807">
        <v>1</v>
      </c>
      <c r="N20807">
        <v>3.9242599999999998E-142</v>
      </c>
      <c r="O20807">
        <v>1290</v>
      </c>
    </row>
    <row r="20808" spans="1:15" x14ac:dyDescent="0.25">
      <c r="A20808" t="s">
        <v>20821</v>
      </c>
      <c r="B20808">
        <v>181</v>
      </c>
      <c r="C20808" s="1" t="str">
        <f>HYPERLINK("http://www.rosaceae.org/gb/gbrowse/malus_x_domestica/?name=MDP0000572846","MDP0000572846")</f>
        <v>MDP0000572846</v>
      </c>
      <c r="D20808">
        <v>63.01</v>
      </c>
      <c r="E20808">
        <v>73</v>
      </c>
      <c r="F20808">
        <v>27</v>
      </c>
      <c r="G20808">
        <v>0</v>
      </c>
      <c r="H20808">
        <v>25</v>
      </c>
      <c r="I20808">
        <v>97</v>
      </c>
      <c r="J20808">
        <v>1</v>
      </c>
      <c r="K20808">
        <v>24</v>
      </c>
      <c r="L20808">
        <v>96</v>
      </c>
      <c r="M20808">
        <v>1</v>
      </c>
      <c r="N20808">
        <v>7.5519200000000001E-21</v>
      </c>
      <c r="O20808">
        <v>241</v>
      </c>
    </row>
    <row r="20809" spans="1:15" x14ac:dyDescent="0.25">
      <c r="A20809" t="s">
        <v>20822</v>
      </c>
      <c r="B20809">
        <v>234</v>
      </c>
      <c r="C20809" s="1" t="str">
        <f>HYPERLINK("http://www.rosaceae.org/gb/gbrowse/malus_x_domestica/?name=MDP0000192308","MDP0000192308")</f>
        <v>MDP0000192308</v>
      </c>
      <c r="D20809">
        <v>38.18</v>
      </c>
      <c r="E20809">
        <v>110</v>
      </c>
      <c r="F20809">
        <v>68</v>
      </c>
      <c r="G20809">
        <v>2</v>
      </c>
      <c r="H20809">
        <v>21</v>
      </c>
      <c r="I20809">
        <v>128</v>
      </c>
      <c r="J20809">
        <v>1</v>
      </c>
      <c r="K20809">
        <v>21</v>
      </c>
      <c r="L20809">
        <v>130</v>
      </c>
      <c r="M20809">
        <v>1</v>
      </c>
      <c r="N20809">
        <v>1.34118E-15</v>
      </c>
      <c r="O20809">
        <v>197</v>
      </c>
    </row>
    <row r="20810" spans="1:15" x14ac:dyDescent="0.25">
      <c r="A20810" t="s">
        <v>20823</v>
      </c>
      <c r="B20810">
        <v>434</v>
      </c>
      <c r="C20810" s="1" t="str">
        <f>HYPERLINK("http://www.rosaceae.org/gb/gbrowse/malus_x_domestica/?name=MDP0000282003","MDP0000282003")</f>
        <v>MDP0000282003</v>
      </c>
      <c r="D20810">
        <v>86.05</v>
      </c>
      <c r="E20810">
        <v>423</v>
      </c>
      <c r="F20810">
        <v>59</v>
      </c>
      <c r="G20810">
        <v>1</v>
      </c>
      <c r="H20810">
        <v>13</v>
      </c>
      <c r="I20810">
        <v>434</v>
      </c>
      <c r="J20810">
        <v>1</v>
      </c>
      <c r="K20810">
        <v>532</v>
      </c>
      <c r="L20810">
        <v>954</v>
      </c>
      <c r="M20810">
        <v>1</v>
      </c>
      <c r="N20810">
        <v>0</v>
      </c>
      <c r="O20810">
        <v>2002</v>
      </c>
    </row>
    <row r="20811" spans="1:15" x14ac:dyDescent="0.25">
      <c r="A20811" t="s">
        <v>20824</v>
      </c>
      <c r="B20811">
        <v>238</v>
      </c>
      <c r="C20811" s="1" t="str">
        <f>HYPERLINK("http://www.rosaceae.org/gb/gbrowse/malus_x_domestica/?name=MDP0000574987","MDP0000574987")</f>
        <v>MDP0000574987</v>
      </c>
      <c r="D20811">
        <v>71</v>
      </c>
      <c r="E20811">
        <v>238</v>
      </c>
      <c r="F20811">
        <v>69</v>
      </c>
      <c r="G20811">
        <v>1</v>
      </c>
      <c r="H20811">
        <v>1</v>
      </c>
      <c r="I20811">
        <v>238</v>
      </c>
      <c r="J20811">
        <v>1</v>
      </c>
      <c r="K20811">
        <v>1</v>
      </c>
      <c r="L20811">
        <v>237</v>
      </c>
      <c r="M20811">
        <v>1</v>
      </c>
      <c r="N20811">
        <v>5.3884299999999999E-97</v>
      </c>
      <c r="O20811">
        <v>899</v>
      </c>
    </row>
    <row r="20812" spans="1:15" x14ac:dyDescent="0.25">
      <c r="A20812" t="s">
        <v>20825</v>
      </c>
      <c r="B20812">
        <v>251</v>
      </c>
      <c r="C20812" s="1" t="str">
        <f>HYPERLINK("http://www.rosaceae.org/gb/gbrowse/malus_x_domestica/?name=MDP0000231376","MDP0000231376")</f>
        <v>MDP0000231376</v>
      </c>
      <c r="D20812">
        <v>58.76</v>
      </c>
      <c r="E20812">
        <v>97</v>
      </c>
      <c r="F20812">
        <v>40</v>
      </c>
      <c r="G20812">
        <v>10</v>
      </c>
      <c r="H20812">
        <v>99</v>
      </c>
      <c r="I20812">
        <v>186</v>
      </c>
      <c r="J20812">
        <v>1</v>
      </c>
      <c r="K20812">
        <v>64</v>
      </c>
      <c r="L20812">
        <v>159</v>
      </c>
      <c r="M20812">
        <v>1</v>
      </c>
      <c r="N20812">
        <v>8.1935200000000001E-20</v>
      </c>
      <c r="O20812">
        <v>234</v>
      </c>
    </row>
    <row r="20813" spans="1:15" x14ac:dyDescent="0.25">
      <c r="A20813" t="s">
        <v>20826</v>
      </c>
      <c r="B20813">
        <v>623</v>
      </c>
      <c r="C20813" s="1" t="str">
        <f>HYPERLINK("http://www.rosaceae.org/gb/gbrowse/malus_x_domestica/?name=MDP0000776572","MDP0000776572")</f>
        <v>MDP0000776572</v>
      </c>
      <c r="D20813">
        <v>73.08</v>
      </c>
      <c r="E20813">
        <v>628</v>
      </c>
      <c r="F20813">
        <v>169</v>
      </c>
      <c r="G20813">
        <v>24</v>
      </c>
      <c r="H20813">
        <v>2</v>
      </c>
      <c r="I20813">
        <v>623</v>
      </c>
      <c r="J20813">
        <v>1</v>
      </c>
      <c r="K20813">
        <v>3</v>
      </c>
      <c r="L20813">
        <v>612</v>
      </c>
      <c r="M20813">
        <v>1</v>
      </c>
      <c r="N20813">
        <v>0</v>
      </c>
      <c r="O20813">
        <v>2448</v>
      </c>
    </row>
    <row r="20814" spans="1:15" x14ac:dyDescent="0.25">
      <c r="A20814" t="s">
        <v>20827</v>
      </c>
      <c r="B20814">
        <v>156</v>
      </c>
      <c r="C20814" s="1" t="str">
        <f>HYPERLINK("http://www.rosaceae.org/gb/gbrowse/malus_x_domestica/?name=MDP0000315920","MDP0000315920")</f>
        <v>MDP0000315920</v>
      </c>
      <c r="D20814">
        <v>85.25</v>
      </c>
      <c r="E20814">
        <v>156</v>
      </c>
      <c r="F20814">
        <v>23</v>
      </c>
      <c r="G20814">
        <v>0</v>
      </c>
      <c r="H20814">
        <v>1</v>
      </c>
      <c r="I20814">
        <v>156</v>
      </c>
      <c r="J20814">
        <v>1</v>
      </c>
      <c r="K20814">
        <v>96</v>
      </c>
      <c r="L20814">
        <v>251</v>
      </c>
      <c r="M20814">
        <v>1</v>
      </c>
      <c r="N20814">
        <v>2.5678800000000001E-73</v>
      </c>
      <c r="O20814">
        <v>692</v>
      </c>
    </row>
    <row r="20815" spans="1:15" x14ac:dyDescent="0.25">
      <c r="A20815" t="s">
        <v>20828</v>
      </c>
      <c r="B20815">
        <v>625</v>
      </c>
      <c r="C20815" s="1" t="str">
        <f>HYPERLINK("http://www.rosaceae.org/gb/gbrowse/malus_x_domestica/?name=MDP0000314313","MDP0000314313")</f>
        <v>MDP0000314313</v>
      </c>
      <c r="D20815">
        <v>72.81</v>
      </c>
      <c r="E20815">
        <v>423</v>
      </c>
      <c r="F20815">
        <v>115</v>
      </c>
      <c r="G20815">
        <v>19</v>
      </c>
      <c r="H20815">
        <v>17</v>
      </c>
      <c r="I20815">
        <v>423</v>
      </c>
      <c r="J20815">
        <v>1</v>
      </c>
      <c r="K20815">
        <v>29</v>
      </c>
      <c r="L20815">
        <v>448</v>
      </c>
      <c r="M20815">
        <v>1</v>
      </c>
      <c r="N20815">
        <v>2.53677E-173</v>
      </c>
      <c r="O20815">
        <v>1562</v>
      </c>
    </row>
    <row r="20816" spans="1:15" x14ac:dyDescent="0.25">
      <c r="A20816" t="s">
        <v>20829</v>
      </c>
      <c r="B20816">
        <v>302</v>
      </c>
      <c r="C20816" s="1" t="str">
        <f>HYPERLINK("http://www.rosaceae.org/gb/gbrowse/malus_x_domestica/?name=MDP0000119385","MDP0000119385")</f>
        <v>MDP0000119385</v>
      </c>
      <c r="D20816">
        <v>61.57</v>
      </c>
      <c r="E20816">
        <v>229</v>
      </c>
      <c r="F20816">
        <v>88</v>
      </c>
      <c r="G20816">
        <v>0</v>
      </c>
      <c r="H20816">
        <v>73</v>
      </c>
      <c r="I20816">
        <v>301</v>
      </c>
      <c r="J20816">
        <v>1</v>
      </c>
      <c r="K20816">
        <v>1</v>
      </c>
      <c r="L20816">
        <v>229</v>
      </c>
      <c r="M20816">
        <v>1</v>
      </c>
      <c r="N20816">
        <v>4.2705999999999999E-80</v>
      </c>
      <c r="O20816">
        <v>755</v>
      </c>
    </row>
    <row r="20817" spans="1:15" x14ac:dyDescent="0.25">
      <c r="A20817" t="s">
        <v>20830</v>
      </c>
      <c r="B20817">
        <v>240</v>
      </c>
      <c r="C20817" s="1" t="str">
        <f>HYPERLINK("http://www.rosaceae.org/gb/gbrowse/malus_x_domestica/?name=MDP0000517914","MDP0000517914")</f>
        <v>MDP0000517914</v>
      </c>
      <c r="D20817">
        <v>78.19</v>
      </c>
      <c r="E20817">
        <v>188</v>
      </c>
      <c r="F20817">
        <v>41</v>
      </c>
      <c r="G20817">
        <v>27</v>
      </c>
      <c r="H20817">
        <v>53</v>
      </c>
      <c r="I20817">
        <v>240</v>
      </c>
      <c r="J20817">
        <v>1</v>
      </c>
      <c r="K20817">
        <v>1</v>
      </c>
      <c r="L20817">
        <v>161</v>
      </c>
      <c r="M20817">
        <v>1</v>
      </c>
      <c r="N20817">
        <v>2.4265300000000002E-78</v>
      </c>
      <c r="O20817">
        <v>738</v>
      </c>
    </row>
    <row r="20818" spans="1:15" x14ac:dyDescent="0.25">
      <c r="A20818" t="s">
        <v>20831</v>
      </c>
      <c r="B20818">
        <v>513</v>
      </c>
      <c r="C20818" s="1" t="str">
        <f>HYPERLINK("http://www.rosaceae.org/gb/gbrowse/malus_x_domestica/?name=MDP0000498540","MDP0000498540")</f>
        <v>MDP0000498540</v>
      </c>
      <c r="D20818">
        <v>80.900000000000006</v>
      </c>
      <c r="E20818">
        <v>508</v>
      </c>
      <c r="F20818">
        <v>97</v>
      </c>
      <c r="G20818">
        <v>19</v>
      </c>
      <c r="H20818">
        <v>1</v>
      </c>
      <c r="I20818">
        <v>508</v>
      </c>
      <c r="J20818">
        <v>1</v>
      </c>
      <c r="K20818">
        <v>1</v>
      </c>
      <c r="L20818">
        <v>489</v>
      </c>
      <c r="M20818">
        <v>1</v>
      </c>
      <c r="N20818">
        <v>0</v>
      </c>
      <c r="O20818">
        <v>2099</v>
      </c>
    </row>
    <row r="20819" spans="1:15" x14ac:dyDescent="0.25">
      <c r="A20819" t="s">
        <v>20832</v>
      </c>
      <c r="B20819">
        <v>228</v>
      </c>
      <c r="C20819" s="1" t="str">
        <f>HYPERLINK("http://www.rosaceae.org/gb/gbrowse/malus_x_domestica/?name=MDP0000287232","MDP0000287232")</f>
        <v>MDP0000287232</v>
      </c>
      <c r="D20819">
        <v>60.6</v>
      </c>
      <c r="E20819">
        <v>231</v>
      </c>
      <c r="F20819">
        <v>91</v>
      </c>
      <c r="G20819">
        <v>7</v>
      </c>
      <c r="H20819">
        <v>1</v>
      </c>
      <c r="I20819">
        <v>226</v>
      </c>
      <c r="J20819">
        <v>1</v>
      </c>
      <c r="K20819">
        <v>1</v>
      </c>
      <c r="L20819">
        <v>229</v>
      </c>
      <c r="M20819">
        <v>1</v>
      </c>
      <c r="N20819">
        <v>3.0789100000000003E-70</v>
      </c>
      <c r="O20819">
        <v>668</v>
      </c>
    </row>
    <row r="20820" spans="1:15" x14ac:dyDescent="0.25">
      <c r="A20820" t="s">
        <v>20833</v>
      </c>
      <c r="B20820">
        <v>776</v>
      </c>
      <c r="C20820" s="1" t="str">
        <f>HYPERLINK("http://www.rosaceae.org/gb/gbrowse/malus_x_domestica/?name=MDP0000810486","MDP0000810486")</f>
        <v>MDP0000810486</v>
      </c>
      <c r="D20820">
        <v>69.819999999999993</v>
      </c>
      <c r="E20820">
        <v>782</v>
      </c>
      <c r="F20820">
        <v>236</v>
      </c>
      <c r="G20820">
        <v>11</v>
      </c>
      <c r="H20820">
        <v>1</v>
      </c>
      <c r="I20820">
        <v>776</v>
      </c>
      <c r="J20820">
        <v>1</v>
      </c>
      <c r="K20820">
        <v>40</v>
      </c>
      <c r="L20820">
        <v>816</v>
      </c>
      <c r="M20820">
        <v>1</v>
      </c>
      <c r="N20820">
        <v>0</v>
      </c>
      <c r="O20820">
        <v>2886</v>
      </c>
    </row>
    <row r="20821" spans="1:15" x14ac:dyDescent="0.25">
      <c r="A20821" t="s">
        <v>20834</v>
      </c>
      <c r="B20821">
        <v>585</v>
      </c>
      <c r="C20821" s="1" t="str">
        <f>HYPERLINK("http://www.rosaceae.org/gb/gbrowse/malus_x_domestica/?name=MDP0000186402","MDP0000186402")</f>
        <v>MDP0000186402</v>
      </c>
      <c r="D20821">
        <v>34.119999999999997</v>
      </c>
      <c r="E20821">
        <v>126</v>
      </c>
      <c r="F20821">
        <v>83</v>
      </c>
      <c r="G20821">
        <v>0</v>
      </c>
      <c r="H20821">
        <v>394</v>
      </c>
      <c r="I20821">
        <v>519</v>
      </c>
      <c r="J20821">
        <v>1</v>
      </c>
      <c r="K20821">
        <v>424</v>
      </c>
      <c r="L20821">
        <v>549</v>
      </c>
      <c r="M20821">
        <v>1</v>
      </c>
      <c r="N20821">
        <v>8.05252E-17</v>
      </c>
      <c r="O20821">
        <v>212</v>
      </c>
    </row>
    <row r="20822" spans="1:15" x14ac:dyDescent="0.25">
      <c r="A20822" t="s">
        <v>20835</v>
      </c>
      <c r="B20822">
        <v>196</v>
      </c>
      <c r="C20822" s="1" t="str">
        <f>HYPERLINK("http://www.rosaceae.org/gb/gbrowse/malus_x_domestica/?name=MDP0000275915","MDP0000275915")</f>
        <v>MDP0000275915</v>
      </c>
      <c r="D20822">
        <v>67</v>
      </c>
      <c r="E20822">
        <v>100</v>
      </c>
      <c r="F20822">
        <v>33</v>
      </c>
      <c r="G20822">
        <v>0</v>
      </c>
      <c r="H20822">
        <v>61</v>
      </c>
      <c r="I20822">
        <v>160</v>
      </c>
      <c r="J20822">
        <v>1</v>
      </c>
      <c r="K20822">
        <v>158</v>
      </c>
      <c r="L20822">
        <v>257</v>
      </c>
      <c r="M20822">
        <v>1</v>
      </c>
      <c r="N20822">
        <v>2.5024600000000001E-33</v>
      </c>
      <c r="O20822">
        <v>349</v>
      </c>
    </row>
    <row r="20823" spans="1:15" x14ac:dyDescent="0.25">
      <c r="A20823" t="s">
        <v>20836</v>
      </c>
      <c r="B20823">
        <v>402</v>
      </c>
      <c r="C20823" s="1" t="str">
        <f>HYPERLINK("http://www.rosaceae.org/gb/gbrowse/malus_x_domestica/?name=MDP0000181742","MDP0000181742")</f>
        <v>MDP0000181742</v>
      </c>
      <c r="D20823">
        <v>45.06</v>
      </c>
      <c r="E20823">
        <v>162</v>
      </c>
      <c r="F20823">
        <v>89</v>
      </c>
      <c r="G20823">
        <v>9</v>
      </c>
      <c r="H20823">
        <v>182</v>
      </c>
      <c r="I20823">
        <v>343</v>
      </c>
      <c r="J20823">
        <v>1</v>
      </c>
      <c r="K20823">
        <v>122</v>
      </c>
      <c r="L20823">
        <v>274</v>
      </c>
      <c r="M20823">
        <v>1</v>
      </c>
      <c r="N20823">
        <v>4.7647E-26</v>
      </c>
      <c r="O20823">
        <v>290</v>
      </c>
    </row>
    <row r="20824" spans="1:15" x14ac:dyDescent="0.25">
      <c r="A20824" t="s">
        <v>20837</v>
      </c>
      <c r="B20824">
        <v>302</v>
      </c>
      <c r="C20824" s="1" t="str">
        <f>HYPERLINK("http://www.rosaceae.org/gb/gbrowse/malus_x_domestica/?name=MDP0000447987","MDP0000447987")</f>
        <v>MDP0000447987</v>
      </c>
      <c r="D20824">
        <v>70.52</v>
      </c>
      <c r="E20824">
        <v>302</v>
      </c>
      <c r="F20824">
        <v>89</v>
      </c>
      <c r="G20824">
        <v>1</v>
      </c>
      <c r="H20824">
        <v>1</v>
      </c>
      <c r="I20824">
        <v>302</v>
      </c>
      <c r="J20824">
        <v>1</v>
      </c>
      <c r="K20824">
        <v>1</v>
      </c>
      <c r="L20824">
        <v>301</v>
      </c>
      <c r="M20824">
        <v>1</v>
      </c>
      <c r="N20824">
        <v>3.7013100000000001E-113</v>
      </c>
      <c r="O20824">
        <v>1040</v>
      </c>
    </row>
    <row r="20825" spans="1:15" x14ac:dyDescent="0.25">
      <c r="A20825" t="s">
        <v>20838</v>
      </c>
      <c r="B20825">
        <v>260</v>
      </c>
      <c r="C20825" s="1" t="str">
        <f>HYPERLINK("http://www.rosaceae.org/gb/gbrowse/malus_x_domestica/?name=MDP0000568045","MDP0000568045")</f>
        <v>MDP0000568045</v>
      </c>
      <c r="D20825">
        <v>74.28</v>
      </c>
      <c r="E20825">
        <v>245</v>
      </c>
      <c r="F20825">
        <v>63</v>
      </c>
      <c r="G20825">
        <v>0</v>
      </c>
      <c r="H20825">
        <v>16</v>
      </c>
      <c r="I20825">
        <v>260</v>
      </c>
      <c r="J20825">
        <v>1</v>
      </c>
      <c r="K20825">
        <v>16</v>
      </c>
      <c r="L20825">
        <v>260</v>
      </c>
      <c r="M20825">
        <v>1</v>
      </c>
      <c r="N20825">
        <v>1.8554299999999999E-106</v>
      </c>
      <c r="O20825">
        <v>981</v>
      </c>
    </row>
    <row r="20826" spans="1:15" x14ac:dyDescent="0.25">
      <c r="A20826" t="s">
        <v>20839</v>
      </c>
      <c r="B20826">
        <v>463</v>
      </c>
      <c r="C20826" s="1" t="str">
        <f>HYPERLINK("http://www.rosaceae.org/gb/gbrowse/malus_x_domestica/?name=MDP0000252873","MDP0000252873")</f>
        <v>MDP0000252873</v>
      </c>
      <c r="D20826">
        <v>71.39</v>
      </c>
      <c r="E20826">
        <v>388</v>
      </c>
      <c r="F20826">
        <v>111</v>
      </c>
      <c r="G20826">
        <v>47</v>
      </c>
      <c r="H20826">
        <v>87</v>
      </c>
      <c r="I20826">
        <v>456</v>
      </c>
      <c r="J20826">
        <v>1</v>
      </c>
      <c r="K20826">
        <v>218</v>
      </c>
      <c r="L20826">
        <v>576</v>
      </c>
      <c r="M20826">
        <v>1</v>
      </c>
      <c r="N20826">
        <v>1.30744E-160</v>
      </c>
      <c r="O20826">
        <v>1451</v>
      </c>
    </row>
    <row r="20827" spans="1:15" x14ac:dyDescent="0.25">
      <c r="A20827" t="s">
        <v>20840</v>
      </c>
      <c r="B20827">
        <v>4476</v>
      </c>
      <c r="C20827" s="1" t="str">
        <f>HYPERLINK("http://www.rosaceae.org/gb/gbrowse/malus_x_domestica/?name=MDP0000456401","MDP0000456401")</f>
        <v>MDP0000456401</v>
      </c>
      <c r="D20827">
        <v>58.61</v>
      </c>
      <c r="E20827">
        <v>981</v>
      </c>
      <c r="F20827">
        <v>406</v>
      </c>
      <c r="G20827">
        <v>12</v>
      </c>
      <c r="H20827">
        <v>3430</v>
      </c>
      <c r="I20827">
        <v>4402</v>
      </c>
      <c r="J20827">
        <v>1</v>
      </c>
      <c r="K20827">
        <v>62</v>
      </c>
      <c r="L20827">
        <v>1038</v>
      </c>
      <c r="M20827">
        <v>1</v>
      </c>
      <c r="N20827">
        <v>0</v>
      </c>
      <c r="O20827">
        <v>2760</v>
      </c>
    </row>
    <row r="20828" spans="1:15" x14ac:dyDescent="0.25">
      <c r="A20828" t="s">
        <v>20841</v>
      </c>
      <c r="B20828">
        <v>377</v>
      </c>
      <c r="C20828" s="1" t="str">
        <f>HYPERLINK("http://www.rosaceae.org/gb/gbrowse/malus_x_domestica/?name=MDP0000302440","MDP0000302440")</f>
        <v>MDP0000302440</v>
      </c>
      <c r="D20828">
        <v>98.93</v>
      </c>
      <c r="E20828">
        <v>377</v>
      </c>
      <c r="F20828">
        <v>4</v>
      </c>
      <c r="G20828">
        <v>0</v>
      </c>
      <c r="H20828">
        <v>1</v>
      </c>
      <c r="I20828">
        <v>377</v>
      </c>
      <c r="J20828">
        <v>1</v>
      </c>
      <c r="K20828">
        <v>1</v>
      </c>
      <c r="L20828">
        <v>377</v>
      </c>
      <c r="M20828">
        <v>1</v>
      </c>
      <c r="N20828">
        <v>0</v>
      </c>
      <c r="O20828">
        <v>2013</v>
      </c>
    </row>
    <row r="20829" spans="1:15" x14ac:dyDescent="0.25">
      <c r="A20829" t="s">
        <v>20842</v>
      </c>
      <c r="B20829">
        <v>244</v>
      </c>
      <c r="C20829" s="1" t="str">
        <f>HYPERLINK("http://www.rosaceae.org/gb/gbrowse/malus_x_domestica/?name=MDP0000070106","MDP0000070106")</f>
        <v>MDP0000070106</v>
      </c>
      <c r="D20829">
        <v>92.21</v>
      </c>
      <c r="E20829">
        <v>244</v>
      </c>
      <c r="F20829">
        <v>19</v>
      </c>
      <c r="G20829">
        <v>0</v>
      </c>
      <c r="H20829">
        <v>1</v>
      </c>
      <c r="I20829">
        <v>244</v>
      </c>
      <c r="J20829">
        <v>1</v>
      </c>
      <c r="K20829">
        <v>1</v>
      </c>
      <c r="L20829">
        <v>244</v>
      </c>
      <c r="M20829">
        <v>1</v>
      </c>
      <c r="N20829">
        <v>2.5353800000000002E-131</v>
      </c>
      <c r="O20829">
        <v>1195</v>
      </c>
    </row>
    <row r="20830" spans="1:15" x14ac:dyDescent="0.25">
      <c r="A20830" t="s">
        <v>20843</v>
      </c>
      <c r="B20830">
        <v>122</v>
      </c>
      <c r="C20830" s="1" t="str">
        <f>HYPERLINK("http://www.rosaceae.org/gb/gbrowse/malus_x_domestica/?name=MDP0000152263","MDP0000152263")</f>
        <v>MDP0000152263</v>
      </c>
      <c r="D20830">
        <v>94.11</v>
      </c>
      <c r="E20830">
        <v>51</v>
      </c>
      <c r="F20830">
        <v>3</v>
      </c>
      <c r="G20830">
        <v>0</v>
      </c>
      <c r="H20830">
        <v>59</v>
      </c>
      <c r="I20830">
        <v>109</v>
      </c>
      <c r="J20830">
        <v>1</v>
      </c>
      <c r="K20830">
        <v>125</v>
      </c>
      <c r="L20830">
        <v>175</v>
      </c>
      <c r="M20830">
        <v>1</v>
      </c>
      <c r="N20830">
        <v>6.6274799999999993E-24</v>
      </c>
      <c r="O20830">
        <v>264</v>
      </c>
    </row>
    <row r="20831" spans="1:15" x14ac:dyDescent="0.25">
      <c r="A20831" t="s">
        <v>20844</v>
      </c>
      <c r="B20831">
        <v>453</v>
      </c>
      <c r="C20831" s="1" t="str">
        <f>HYPERLINK("http://www.rosaceae.org/gb/gbrowse/malus_x_domestica/?name=MDP0000238556","MDP0000238556")</f>
        <v>MDP0000238556</v>
      </c>
      <c r="D20831">
        <v>34.33</v>
      </c>
      <c r="E20831">
        <v>501</v>
      </c>
      <c r="F20831">
        <v>329</v>
      </c>
      <c r="G20831">
        <v>90</v>
      </c>
      <c r="H20831">
        <v>1</v>
      </c>
      <c r="I20831">
        <v>431</v>
      </c>
      <c r="J20831">
        <v>1</v>
      </c>
      <c r="K20831">
        <v>1</v>
      </c>
      <c r="L20831">
        <v>481</v>
      </c>
      <c r="M20831">
        <v>1</v>
      </c>
      <c r="N20831">
        <v>5.1738400000000001E-37</v>
      </c>
      <c r="O20831">
        <v>385</v>
      </c>
    </row>
    <row r="20832" spans="1:15" x14ac:dyDescent="0.25">
      <c r="A20832" t="s">
        <v>20845</v>
      </c>
      <c r="B20832">
        <v>189</v>
      </c>
      <c r="C20832" s="1" t="str">
        <f>HYPERLINK("http://www.rosaceae.org/gb/gbrowse/malus_x_domestica/?name=MDP0000304650","MDP0000304650")</f>
        <v>MDP0000304650</v>
      </c>
      <c r="D20832">
        <v>66.66</v>
      </c>
      <c r="E20832">
        <v>153</v>
      </c>
      <c r="F20832">
        <v>51</v>
      </c>
      <c r="G20832">
        <v>1</v>
      </c>
      <c r="H20832">
        <v>25</v>
      </c>
      <c r="I20832">
        <v>176</v>
      </c>
      <c r="J20832">
        <v>1</v>
      </c>
      <c r="K20832">
        <v>23</v>
      </c>
      <c r="L20832">
        <v>175</v>
      </c>
      <c r="M20832">
        <v>1</v>
      </c>
      <c r="N20832">
        <v>2.5294200000000001E-57</v>
      </c>
      <c r="O20832">
        <v>555</v>
      </c>
    </row>
    <row r="20833" spans="1:15" x14ac:dyDescent="0.25">
      <c r="A20833" t="s">
        <v>20846</v>
      </c>
      <c r="B20833">
        <v>321</v>
      </c>
      <c r="C20833" s="1" t="str">
        <f>HYPERLINK("http://www.rosaceae.org/gb/gbrowse/malus_x_domestica/?name=MDP0000391295","MDP0000391295")</f>
        <v>MDP0000391295</v>
      </c>
      <c r="D20833">
        <v>69.959999999999994</v>
      </c>
      <c r="E20833">
        <v>323</v>
      </c>
      <c r="F20833">
        <v>97</v>
      </c>
      <c r="G20833">
        <v>2</v>
      </c>
      <c r="H20833">
        <v>1</v>
      </c>
      <c r="I20833">
        <v>321</v>
      </c>
      <c r="J20833">
        <v>1</v>
      </c>
      <c r="K20833">
        <v>1</v>
      </c>
      <c r="L20833">
        <v>323</v>
      </c>
      <c r="M20833">
        <v>1</v>
      </c>
      <c r="N20833">
        <v>2.5728000000000003E-128</v>
      </c>
      <c r="O20833">
        <v>1171</v>
      </c>
    </row>
    <row r="20834" spans="1:15" x14ac:dyDescent="0.25">
      <c r="A20834" t="s">
        <v>20847</v>
      </c>
      <c r="B20834">
        <v>387</v>
      </c>
      <c r="C20834" s="1" t="str">
        <f>HYPERLINK("http://www.rosaceae.org/gb/gbrowse/malus_x_domestica/?name=MDP0000229036","MDP0000229036")</f>
        <v>MDP0000229036</v>
      </c>
      <c r="D20834">
        <v>44.02</v>
      </c>
      <c r="E20834">
        <v>343</v>
      </c>
      <c r="F20834">
        <v>192</v>
      </c>
      <c r="G20834">
        <v>54</v>
      </c>
      <c r="H20834">
        <v>1</v>
      </c>
      <c r="I20834">
        <v>310</v>
      </c>
      <c r="J20834">
        <v>1</v>
      </c>
      <c r="K20834">
        <v>1</v>
      </c>
      <c r="L20834">
        <v>322</v>
      </c>
      <c r="M20834">
        <v>1</v>
      </c>
      <c r="N20834">
        <v>2.3419799999999999E-48</v>
      </c>
      <c r="O20834">
        <v>482</v>
      </c>
    </row>
    <row r="20835" spans="1:15" x14ac:dyDescent="0.25">
      <c r="A20835" t="s">
        <v>20848</v>
      </c>
      <c r="B20835">
        <v>346</v>
      </c>
      <c r="C20835" s="1" t="str">
        <f>HYPERLINK("http://www.rosaceae.org/gb/gbrowse/malus_x_domestica/?name=MDP0000301610","MDP0000301610")</f>
        <v>MDP0000301610</v>
      </c>
      <c r="D20835">
        <v>76.209999999999994</v>
      </c>
      <c r="E20835">
        <v>349</v>
      </c>
      <c r="F20835">
        <v>83</v>
      </c>
      <c r="G20835">
        <v>3</v>
      </c>
      <c r="H20835">
        <v>1</v>
      </c>
      <c r="I20835">
        <v>346</v>
      </c>
      <c r="J20835">
        <v>1</v>
      </c>
      <c r="K20835">
        <v>1</v>
      </c>
      <c r="L20835">
        <v>349</v>
      </c>
      <c r="M20835">
        <v>1</v>
      </c>
      <c r="N20835">
        <v>2.9973199999999998E-150</v>
      </c>
      <c r="O20835">
        <v>1360</v>
      </c>
    </row>
    <row r="20836" spans="1:15" x14ac:dyDescent="0.25">
      <c r="A20836" t="s">
        <v>20849</v>
      </c>
      <c r="B20836">
        <v>341</v>
      </c>
      <c r="C20836" s="1" t="str">
        <f>HYPERLINK("http://www.rosaceae.org/gb/gbrowse/malus_x_domestica/?name=MDP0000809424","MDP0000809424")</f>
        <v>MDP0000809424</v>
      </c>
      <c r="D20836">
        <v>68.819999999999993</v>
      </c>
      <c r="E20836">
        <v>324</v>
      </c>
      <c r="F20836">
        <v>101</v>
      </c>
      <c r="G20836">
        <v>0</v>
      </c>
      <c r="H20836">
        <v>12</v>
      </c>
      <c r="I20836">
        <v>335</v>
      </c>
      <c r="J20836">
        <v>1</v>
      </c>
      <c r="K20836">
        <v>1</v>
      </c>
      <c r="L20836">
        <v>324</v>
      </c>
      <c r="M20836">
        <v>1</v>
      </c>
      <c r="N20836">
        <v>1.32376E-134</v>
      </c>
      <c r="O20836">
        <v>1225</v>
      </c>
    </row>
    <row r="20837" spans="1:15" x14ac:dyDescent="0.25">
      <c r="A20837" t="s">
        <v>20850</v>
      </c>
      <c r="B20837">
        <v>173</v>
      </c>
      <c r="C20837" s="1" t="str">
        <f>HYPERLINK("http://www.rosaceae.org/gb/gbrowse/malus_x_domestica/?name=MDP0000761080","MDP0000761080")</f>
        <v>MDP0000761080</v>
      </c>
      <c r="D20837">
        <v>90.53</v>
      </c>
      <c r="E20837">
        <v>169</v>
      </c>
      <c r="F20837">
        <v>16</v>
      </c>
      <c r="G20837">
        <v>0</v>
      </c>
      <c r="H20837">
        <v>5</v>
      </c>
      <c r="I20837">
        <v>173</v>
      </c>
      <c r="J20837">
        <v>1</v>
      </c>
      <c r="K20837">
        <v>6</v>
      </c>
      <c r="L20837">
        <v>174</v>
      </c>
      <c r="M20837">
        <v>1</v>
      </c>
      <c r="N20837">
        <v>2.8130300000000001E-89</v>
      </c>
      <c r="O20837">
        <v>830</v>
      </c>
    </row>
    <row r="20838" spans="1:15" x14ac:dyDescent="0.25">
      <c r="A20838" t="s">
        <v>20851</v>
      </c>
      <c r="B20838">
        <v>402</v>
      </c>
      <c r="C20838" s="1" t="str">
        <f>HYPERLINK("http://www.rosaceae.org/gb/gbrowse/malus_x_domestica/?name=MDP0000428199","MDP0000428199")</f>
        <v>MDP0000428199</v>
      </c>
      <c r="D20838">
        <v>59.75</v>
      </c>
      <c r="E20838">
        <v>410</v>
      </c>
      <c r="F20838">
        <v>165</v>
      </c>
      <c r="G20838">
        <v>49</v>
      </c>
      <c r="H20838">
        <v>8</v>
      </c>
      <c r="I20838">
        <v>369</v>
      </c>
      <c r="J20838">
        <v>1</v>
      </c>
      <c r="K20838">
        <v>6</v>
      </c>
      <c r="L20838">
        <v>414</v>
      </c>
      <c r="M20838">
        <v>1</v>
      </c>
      <c r="N20838">
        <v>2.8176499999999998E-140</v>
      </c>
      <c r="O20838">
        <v>1275</v>
      </c>
    </row>
    <row r="20839" spans="1:15" x14ac:dyDescent="0.25">
      <c r="A20839" t="s">
        <v>20852</v>
      </c>
      <c r="B20839">
        <v>743</v>
      </c>
      <c r="C20839" s="1" t="str">
        <f>HYPERLINK("http://www.rosaceae.org/gb/gbrowse/malus_x_domestica/?name=MDP0000724504","MDP0000724504")</f>
        <v>MDP0000724504</v>
      </c>
      <c r="D20839">
        <v>82.12</v>
      </c>
      <c r="E20839">
        <v>179</v>
      </c>
      <c r="F20839">
        <v>32</v>
      </c>
      <c r="G20839">
        <v>3</v>
      </c>
      <c r="H20839">
        <v>1</v>
      </c>
      <c r="I20839">
        <v>179</v>
      </c>
      <c r="J20839">
        <v>1</v>
      </c>
      <c r="K20839">
        <v>1</v>
      </c>
      <c r="L20839">
        <v>176</v>
      </c>
      <c r="M20839">
        <v>1</v>
      </c>
      <c r="N20839">
        <v>3.8900799999999999E-82</v>
      </c>
      <c r="O20839">
        <v>777</v>
      </c>
    </row>
    <row r="20840" spans="1:15" x14ac:dyDescent="0.25">
      <c r="A20840" t="s">
        <v>20853</v>
      </c>
      <c r="B20840">
        <v>607</v>
      </c>
      <c r="C20840" s="1" t="str">
        <f>HYPERLINK("http://www.rosaceae.org/gb/gbrowse/malus_x_domestica/?name=MDP0000287197","MDP0000287197")</f>
        <v>MDP0000287197</v>
      </c>
      <c r="D20840">
        <v>45.45</v>
      </c>
      <c r="E20840">
        <v>308</v>
      </c>
      <c r="F20840">
        <v>168</v>
      </c>
      <c r="G20840">
        <v>44</v>
      </c>
      <c r="H20840">
        <v>59</v>
      </c>
      <c r="I20840">
        <v>332</v>
      </c>
      <c r="J20840">
        <v>1</v>
      </c>
      <c r="K20840">
        <v>5</v>
      </c>
      <c r="L20840">
        <v>302</v>
      </c>
      <c r="M20840">
        <v>1</v>
      </c>
      <c r="N20840">
        <v>2.2206E-69</v>
      </c>
      <c r="O20840">
        <v>666</v>
      </c>
    </row>
    <row r="20841" spans="1:15" x14ac:dyDescent="0.25">
      <c r="A20841" t="s">
        <v>20854</v>
      </c>
      <c r="B20841">
        <v>165</v>
      </c>
      <c r="C20841" s="1" t="str">
        <f>HYPERLINK("http://www.rosaceae.org/gb/gbrowse/malus_x_domestica/?name=MDP0000119703","MDP0000119703")</f>
        <v>MDP0000119703</v>
      </c>
      <c r="D20841">
        <v>49.33</v>
      </c>
      <c r="E20841">
        <v>75</v>
      </c>
      <c r="F20841">
        <v>38</v>
      </c>
      <c r="G20841">
        <v>5</v>
      </c>
      <c r="H20841">
        <v>69</v>
      </c>
      <c r="I20841">
        <v>143</v>
      </c>
      <c r="J20841">
        <v>1</v>
      </c>
      <c r="K20841">
        <v>241</v>
      </c>
      <c r="L20841">
        <v>310</v>
      </c>
      <c r="M20841">
        <v>1</v>
      </c>
      <c r="N20841">
        <v>1.4473300000000001E-17</v>
      </c>
      <c r="O20841">
        <v>212</v>
      </c>
    </row>
    <row r="20842" spans="1:15" x14ac:dyDescent="0.25">
      <c r="A20842" t="s">
        <v>20855</v>
      </c>
      <c r="B20842">
        <v>384</v>
      </c>
      <c r="C20842" s="1" t="str">
        <f>HYPERLINK("http://www.rosaceae.org/gb/gbrowse/malus_x_domestica/?name=MDP0000432072","MDP0000432072")</f>
        <v>MDP0000432072</v>
      </c>
      <c r="D20842">
        <v>26.96</v>
      </c>
      <c r="E20842">
        <v>178</v>
      </c>
      <c r="F20842">
        <v>130</v>
      </c>
      <c r="G20842">
        <v>11</v>
      </c>
      <c r="H20842">
        <v>90</v>
      </c>
      <c r="I20842">
        <v>263</v>
      </c>
      <c r="J20842">
        <v>1</v>
      </c>
      <c r="K20842">
        <v>529</v>
      </c>
      <c r="L20842">
        <v>699</v>
      </c>
      <c r="M20842">
        <v>1</v>
      </c>
      <c r="N20842">
        <v>1.0005399999999999E-9</v>
      </c>
      <c r="O20842">
        <v>149</v>
      </c>
    </row>
    <row r="20843" spans="1:15" x14ac:dyDescent="0.25">
      <c r="A20843" t="s">
        <v>20856</v>
      </c>
      <c r="B20843">
        <v>345</v>
      </c>
      <c r="C20843" s="1" t="str">
        <f>HYPERLINK("http://www.rosaceae.org/gb/gbrowse/malus_x_domestica/?name=MDP0000263060","MDP0000263060")</f>
        <v>MDP0000263060</v>
      </c>
      <c r="D20843">
        <v>74.849999999999994</v>
      </c>
      <c r="E20843">
        <v>167</v>
      </c>
      <c r="F20843">
        <v>42</v>
      </c>
      <c r="G20843">
        <v>2</v>
      </c>
      <c r="H20843">
        <v>74</v>
      </c>
      <c r="I20843">
        <v>239</v>
      </c>
      <c r="J20843">
        <v>1</v>
      </c>
      <c r="K20843">
        <v>450</v>
      </c>
      <c r="L20843">
        <v>615</v>
      </c>
      <c r="M20843">
        <v>1</v>
      </c>
      <c r="N20843">
        <v>7.91783E-66</v>
      </c>
      <c r="O20843">
        <v>632</v>
      </c>
    </row>
    <row r="20844" spans="1:15" x14ac:dyDescent="0.25">
      <c r="A20844" t="s">
        <v>20857</v>
      </c>
      <c r="B20844">
        <v>404</v>
      </c>
      <c r="C20844" s="1" t="str">
        <f>HYPERLINK("http://www.rosaceae.org/gb/gbrowse/malus_x_domestica/?name=MDP0000224969","MDP0000224969")</f>
        <v>MDP0000224969</v>
      </c>
      <c r="D20844">
        <v>74.75</v>
      </c>
      <c r="E20844">
        <v>404</v>
      </c>
      <c r="F20844">
        <v>102</v>
      </c>
      <c r="G20844">
        <v>45</v>
      </c>
      <c r="H20844">
        <v>1</v>
      </c>
      <c r="I20844">
        <v>404</v>
      </c>
      <c r="J20844">
        <v>1</v>
      </c>
      <c r="K20844">
        <v>95</v>
      </c>
      <c r="L20844">
        <v>453</v>
      </c>
      <c r="M20844">
        <v>1</v>
      </c>
      <c r="N20844">
        <v>3.2631100000000002E-175</v>
      </c>
      <c r="O20844">
        <v>1576</v>
      </c>
    </row>
    <row r="20845" spans="1:15" x14ac:dyDescent="0.25">
      <c r="A20845" t="s">
        <v>20858</v>
      </c>
      <c r="B20845">
        <v>339</v>
      </c>
      <c r="C20845" s="1" t="str">
        <f>HYPERLINK("http://www.rosaceae.org/gb/gbrowse/malus_x_domestica/?name=MDP0000146870","MDP0000146870")</f>
        <v>MDP0000146870</v>
      </c>
      <c r="D20845">
        <v>73.150000000000006</v>
      </c>
      <c r="E20845">
        <v>298</v>
      </c>
      <c r="F20845">
        <v>80</v>
      </c>
      <c r="G20845">
        <v>10</v>
      </c>
      <c r="H20845">
        <v>1</v>
      </c>
      <c r="I20845">
        <v>288</v>
      </c>
      <c r="J20845">
        <v>1</v>
      </c>
      <c r="K20845">
        <v>55</v>
      </c>
      <c r="L20845">
        <v>352</v>
      </c>
      <c r="M20845">
        <v>1</v>
      </c>
      <c r="N20845">
        <v>7.18413E-113</v>
      </c>
      <c r="O20845">
        <v>1038</v>
      </c>
    </row>
    <row r="20846" spans="1:15" x14ac:dyDescent="0.25">
      <c r="A20846" t="s">
        <v>20859</v>
      </c>
      <c r="B20846">
        <v>487</v>
      </c>
      <c r="C20846" s="1" t="str">
        <f>HYPERLINK("http://www.rosaceae.org/gb/gbrowse/malus_x_domestica/?name=MDP0000500222","MDP0000500222")</f>
        <v>MDP0000500222</v>
      </c>
      <c r="D20846">
        <v>40.97</v>
      </c>
      <c r="E20846">
        <v>371</v>
      </c>
      <c r="F20846">
        <v>219</v>
      </c>
      <c r="G20846">
        <v>32</v>
      </c>
      <c r="H20846">
        <v>24</v>
      </c>
      <c r="I20846">
        <v>385</v>
      </c>
      <c r="J20846">
        <v>1</v>
      </c>
      <c r="K20846">
        <v>80</v>
      </c>
      <c r="L20846">
        <v>427</v>
      </c>
      <c r="M20846">
        <v>1</v>
      </c>
      <c r="N20846">
        <v>2.3497199999999999E-61</v>
      </c>
      <c r="O20846">
        <v>595</v>
      </c>
    </row>
    <row r="20847" spans="1:15" x14ac:dyDescent="0.25">
      <c r="A20847" t="s">
        <v>20860</v>
      </c>
      <c r="B20847">
        <v>740</v>
      </c>
      <c r="C20847" s="1" t="str">
        <f>HYPERLINK("http://www.rosaceae.org/gb/gbrowse/malus_x_domestica/?name=MDP0000178438","MDP0000178438")</f>
        <v>MDP0000178438</v>
      </c>
      <c r="D20847">
        <v>68.540000000000006</v>
      </c>
      <c r="E20847">
        <v>744</v>
      </c>
      <c r="F20847">
        <v>234</v>
      </c>
      <c r="G20847">
        <v>15</v>
      </c>
      <c r="H20847">
        <v>1</v>
      </c>
      <c r="I20847">
        <v>740</v>
      </c>
      <c r="J20847">
        <v>1</v>
      </c>
      <c r="K20847">
        <v>1</v>
      </c>
      <c r="L20847">
        <v>733</v>
      </c>
      <c r="M20847">
        <v>1</v>
      </c>
      <c r="N20847">
        <v>0</v>
      </c>
      <c r="O20847">
        <v>2677</v>
      </c>
    </row>
    <row r="20848" spans="1:15" x14ac:dyDescent="0.25">
      <c r="A20848" t="s">
        <v>20861</v>
      </c>
      <c r="B20848">
        <v>368</v>
      </c>
      <c r="C20848" s="1" t="str">
        <f>HYPERLINK("http://www.rosaceae.org/gb/gbrowse/malus_x_domestica/?name=MDP0000169530","MDP0000169530")</f>
        <v>MDP0000169530</v>
      </c>
      <c r="D20848">
        <v>59.66</v>
      </c>
      <c r="E20848">
        <v>362</v>
      </c>
      <c r="F20848">
        <v>146</v>
      </c>
      <c r="G20848">
        <v>4</v>
      </c>
      <c r="H20848">
        <v>1</v>
      </c>
      <c r="I20848">
        <v>359</v>
      </c>
      <c r="J20848">
        <v>1</v>
      </c>
      <c r="K20848">
        <v>618</v>
      </c>
      <c r="L20848">
        <v>978</v>
      </c>
      <c r="M20848">
        <v>1</v>
      </c>
      <c r="N20848">
        <v>2.1249799999999999E-114</v>
      </c>
      <c r="O20848">
        <v>1052</v>
      </c>
    </row>
    <row r="20849" spans="1:15" x14ac:dyDescent="0.25">
      <c r="A20849" t="s">
        <v>20862</v>
      </c>
      <c r="B20849">
        <v>156</v>
      </c>
      <c r="C20849" s="1" t="str">
        <f>HYPERLINK("http://www.rosaceae.org/gb/gbrowse/malus_x_domestica/?name=MDP0000293285","MDP0000293285")</f>
        <v>MDP0000293285</v>
      </c>
      <c r="D20849">
        <v>66.11</v>
      </c>
      <c r="E20849">
        <v>121</v>
      </c>
      <c r="F20849">
        <v>41</v>
      </c>
      <c r="G20849">
        <v>0</v>
      </c>
      <c r="H20849">
        <v>16</v>
      </c>
      <c r="I20849">
        <v>136</v>
      </c>
      <c r="J20849">
        <v>1</v>
      </c>
      <c r="K20849">
        <v>397</v>
      </c>
      <c r="L20849">
        <v>517</v>
      </c>
      <c r="M20849">
        <v>1</v>
      </c>
      <c r="N20849">
        <v>2.74452E-45</v>
      </c>
      <c r="O20849">
        <v>450</v>
      </c>
    </row>
    <row r="20850" spans="1:15" x14ac:dyDescent="0.25">
      <c r="A20850" t="s">
        <v>20863</v>
      </c>
      <c r="B20850">
        <v>713</v>
      </c>
      <c r="C20850" s="1" t="str">
        <f>HYPERLINK("http://www.rosaceae.org/gb/gbrowse/malus_x_domestica/?name=MDP0000239967","MDP0000239967")</f>
        <v>MDP0000239967</v>
      </c>
      <c r="D20850">
        <v>80.78</v>
      </c>
      <c r="E20850">
        <v>713</v>
      </c>
      <c r="F20850">
        <v>137</v>
      </c>
      <c r="G20850">
        <v>6</v>
      </c>
      <c r="H20850">
        <v>1</v>
      </c>
      <c r="I20850">
        <v>713</v>
      </c>
      <c r="J20850">
        <v>1</v>
      </c>
      <c r="K20850">
        <v>76</v>
      </c>
      <c r="L20850">
        <v>782</v>
      </c>
      <c r="M20850">
        <v>1</v>
      </c>
      <c r="N20850">
        <v>0</v>
      </c>
      <c r="O20850">
        <v>3117</v>
      </c>
    </row>
    <row r="20851" spans="1:15" x14ac:dyDescent="0.25">
      <c r="A20851" t="s">
        <v>20864</v>
      </c>
      <c r="B20851">
        <v>137</v>
      </c>
      <c r="C20851" s="1" t="str">
        <f>HYPERLINK("http://www.rosaceae.org/gb/gbrowse/malus_x_domestica/?name=MDP0000133195","MDP0000133195")</f>
        <v>MDP0000133195</v>
      </c>
      <c r="D20851">
        <v>64.209999999999994</v>
      </c>
      <c r="E20851">
        <v>95</v>
      </c>
      <c r="F20851">
        <v>34</v>
      </c>
      <c r="G20851">
        <v>5</v>
      </c>
      <c r="H20851">
        <v>48</v>
      </c>
      <c r="I20851">
        <v>137</v>
      </c>
      <c r="J20851">
        <v>1</v>
      </c>
      <c r="K20851">
        <v>51</v>
      </c>
      <c r="L20851">
        <v>145</v>
      </c>
      <c r="M20851">
        <v>1</v>
      </c>
      <c r="N20851">
        <v>2.0738800000000001E-28</v>
      </c>
      <c r="O20851">
        <v>304</v>
      </c>
    </row>
    <row r="20852" spans="1:15" x14ac:dyDescent="0.25">
      <c r="A20852" t="s">
        <v>20865</v>
      </c>
      <c r="B20852">
        <v>569</v>
      </c>
      <c r="C20852" s="1" t="str">
        <f>HYPERLINK("http://www.rosaceae.org/gb/gbrowse/malus_x_domestica/?name=MDP0000289257","MDP0000289257")</f>
        <v>MDP0000289257</v>
      </c>
      <c r="D20852">
        <v>34.86</v>
      </c>
      <c r="E20852">
        <v>218</v>
      </c>
      <c r="F20852">
        <v>142</v>
      </c>
      <c r="G20852">
        <v>24</v>
      </c>
      <c r="H20852">
        <v>300</v>
      </c>
      <c r="I20852">
        <v>497</v>
      </c>
      <c r="J20852">
        <v>1</v>
      </c>
      <c r="K20852">
        <v>204</v>
      </c>
      <c r="L20852">
        <v>417</v>
      </c>
      <c r="M20852">
        <v>1</v>
      </c>
      <c r="N20852">
        <v>1.1304899999999999E-23</v>
      </c>
      <c r="O20852">
        <v>271</v>
      </c>
    </row>
    <row r="20853" spans="1:15" x14ac:dyDescent="0.25">
      <c r="A20853" t="s">
        <v>20866</v>
      </c>
      <c r="B20853">
        <v>523</v>
      </c>
      <c r="C20853" s="1" t="str">
        <f>HYPERLINK("http://www.rosaceae.org/gb/gbrowse/malus_x_domestica/?name=MDP0000262889","MDP0000262889")</f>
        <v>MDP0000262889</v>
      </c>
      <c r="D20853">
        <v>74.22</v>
      </c>
      <c r="E20853">
        <v>516</v>
      </c>
      <c r="F20853">
        <v>133</v>
      </c>
      <c r="G20853">
        <v>6</v>
      </c>
      <c r="H20853">
        <v>4</v>
      </c>
      <c r="I20853">
        <v>515</v>
      </c>
      <c r="J20853">
        <v>1</v>
      </c>
      <c r="K20853">
        <v>778</v>
      </c>
      <c r="L20853">
        <v>1291</v>
      </c>
      <c r="M20853">
        <v>1</v>
      </c>
      <c r="N20853">
        <v>0</v>
      </c>
      <c r="O20853">
        <v>2063</v>
      </c>
    </row>
    <row r="20854" spans="1:15" x14ac:dyDescent="0.25">
      <c r="A20854" t="s">
        <v>20867</v>
      </c>
      <c r="B20854">
        <v>255</v>
      </c>
      <c r="C20854" s="1" t="str">
        <f>HYPERLINK("http://www.rosaceae.org/gb/gbrowse/malus_x_domestica/?name=MDP0000725969","MDP0000725969")</f>
        <v>MDP0000725969</v>
      </c>
      <c r="D20854">
        <v>68.099999999999994</v>
      </c>
      <c r="E20854">
        <v>232</v>
      </c>
      <c r="F20854">
        <v>74</v>
      </c>
      <c r="G20854">
        <v>44</v>
      </c>
      <c r="H20854">
        <v>19</v>
      </c>
      <c r="I20854">
        <v>237</v>
      </c>
      <c r="J20854">
        <v>1</v>
      </c>
      <c r="K20854">
        <v>16</v>
      </c>
      <c r="L20854">
        <v>216</v>
      </c>
      <c r="M20854">
        <v>1</v>
      </c>
      <c r="N20854">
        <v>3.99563E-84</v>
      </c>
      <c r="O20854">
        <v>789</v>
      </c>
    </row>
    <row r="20855" spans="1:15" x14ac:dyDescent="0.25">
      <c r="A20855" t="s">
        <v>20868</v>
      </c>
      <c r="B20855">
        <v>385</v>
      </c>
      <c r="C20855" s="1" t="str">
        <f>HYPERLINK("http://www.rosaceae.org/gb/gbrowse/malus_x_domestica/?name=MDP0000263654","MDP0000263654")</f>
        <v>MDP0000263654</v>
      </c>
      <c r="D20855">
        <v>43.35</v>
      </c>
      <c r="E20855">
        <v>173</v>
      </c>
      <c r="F20855">
        <v>98</v>
      </c>
      <c r="G20855">
        <v>14</v>
      </c>
      <c r="H20855">
        <v>137</v>
      </c>
      <c r="I20855">
        <v>306</v>
      </c>
      <c r="J20855">
        <v>1</v>
      </c>
      <c r="K20855">
        <v>440</v>
      </c>
      <c r="L20855">
        <v>601</v>
      </c>
      <c r="M20855">
        <v>1</v>
      </c>
      <c r="N20855">
        <v>1.9782700000000002E-30</v>
      </c>
      <c r="O20855">
        <v>328</v>
      </c>
    </row>
    <row r="20856" spans="1:15" x14ac:dyDescent="0.25">
      <c r="A20856" t="s">
        <v>20869</v>
      </c>
      <c r="B20856">
        <v>376</v>
      </c>
      <c r="C20856" s="1" t="str">
        <f>HYPERLINK("http://www.rosaceae.org/gb/gbrowse/malus_x_domestica/?name=MDP0000229498","MDP0000229498")</f>
        <v>MDP0000229498</v>
      </c>
      <c r="D20856">
        <v>49.61</v>
      </c>
      <c r="E20856">
        <v>389</v>
      </c>
      <c r="F20856">
        <v>196</v>
      </c>
      <c r="G20856">
        <v>56</v>
      </c>
      <c r="H20856">
        <v>2</v>
      </c>
      <c r="I20856">
        <v>376</v>
      </c>
      <c r="J20856">
        <v>1</v>
      </c>
      <c r="K20856">
        <v>151</v>
      </c>
      <c r="L20856">
        <v>497</v>
      </c>
      <c r="M20856">
        <v>1</v>
      </c>
      <c r="N20856">
        <v>2.0342899999999999E-80</v>
      </c>
      <c r="O20856">
        <v>759</v>
      </c>
    </row>
    <row r="20857" spans="1:15" x14ac:dyDescent="0.25">
      <c r="A20857" t="s">
        <v>20870</v>
      </c>
      <c r="B20857">
        <v>528</v>
      </c>
      <c r="C20857" s="1" t="str">
        <f>HYPERLINK("http://www.rosaceae.org/gb/gbrowse/malus_x_domestica/?name=MDP0000725398","MDP0000725398")</f>
        <v>MDP0000725398</v>
      </c>
      <c r="D20857">
        <v>65.61</v>
      </c>
      <c r="E20857">
        <v>317</v>
      </c>
      <c r="F20857">
        <v>109</v>
      </c>
      <c r="G20857">
        <v>40</v>
      </c>
      <c r="H20857">
        <v>17</v>
      </c>
      <c r="I20857">
        <v>294</v>
      </c>
      <c r="J20857">
        <v>1</v>
      </c>
      <c r="K20857">
        <v>31</v>
      </c>
      <c r="L20857">
        <v>346</v>
      </c>
      <c r="M20857">
        <v>1</v>
      </c>
      <c r="N20857">
        <v>7.6230000000000006E-104</v>
      </c>
      <c r="O20857">
        <v>962</v>
      </c>
    </row>
    <row r="20858" spans="1:15" x14ac:dyDescent="0.25">
      <c r="A20858" t="s">
        <v>20871</v>
      </c>
      <c r="B20858">
        <v>290</v>
      </c>
      <c r="C20858" s="1" t="str">
        <f>HYPERLINK("http://www.rosaceae.org/gb/gbrowse/malus_x_domestica/?name=MDP0000292375","MDP0000292375")</f>
        <v>MDP0000292375</v>
      </c>
      <c r="D20858">
        <v>39.82</v>
      </c>
      <c r="E20858">
        <v>334</v>
      </c>
      <c r="F20858">
        <v>201</v>
      </c>
      <c r="G20858">
        <v>75</v>
      </c>
      <c r="H20858">
        <v>28</v>
      </c>
      <c r="I20858">
        <v>286</v>
      </c>
      <c r="J20858">
        <v>1</v>
      </c>
      <c r="K20858">
        <v>42</v>
      </c>
      <c r="L20858">
        <v>375</v>
      </c>
      <c r="M20858">
        <v>1</v>
      </c>
      <c r="N20858">
        <v>8.5729600000000004E-52</v>
      </c>
      <c r="O20858">
        <v>510</v>
      </c>
    </row>
    <row r="20859" spans="1:15" x14ac:dyDescent="0.25">
      <c r="A20859" t="s">
        <v>20872</v>
      </c>
      <c r="B20859">
        <v>441</v>
      </c>
      <c r="C20859" s="1" t="str">
        <f>HYPERLINK("http://www.rosaceae.org/gb/gbrowse/malus_x_domestica/?name=MDP0000925984","MDP0000925984")</f>
        <v>MDP0000925984</v>
      </c>
      <c r="D20859">
        <v>75.84</v>
      </c>
      <c r="E20859">
        <v>178</v>
      </c>
      <c r="F20859">
        <v>43</v>
      </c>
      <c r="G20859">
        <v>1</v>
      </c>
      <c r="H20859">
        <v>29</v>
      </c>
      <c r="I20859">
        <v>205</v>
      </c>
      <c r="J20859">
        <v>1</v>
      </c>
      <c r="K20859">
        <v>88</v>
      </c>
      <c r="L20859">
        <v>265</v>
      </c>
      <c r="M20859">
        <v>1</v>
      </c>
      <c r="N20859">
        <v>1.86148E-74</v>
      </c>
      <c r="O20859">
        <v>708</v>
      </c>
    </row>
    <row r="20860" spans="1:15" x14ac:dyDescent="0.25">
      <c r="A20860" t="s">
        <v>20873</v>
      </c>
      <c r="B20860">
        <v>464</v>
      </c>
      <c r="C20860" s="1" t="str">
        <f>HYPERLINK("http://www.rosaceae.org/gb/gbrowse/malus_x_domestica/?name=MDP0000133066","MDP0000133066")</f>
        <v>MDP0000133066</v>
      </c>
      <c r="D20860">
        <v>80.09</v>
      </c>
      <c r="E20860">
        <v>442</v>
      </c>
      <c r="F20860">
        <v>88</v>
      </c>
      <c r="G20860">
        <v>0</v>
      </c>
      <c r="H20860">
        <v>1</v>
      </c>
      <c r="I20860">
        <v>442</v>
      </c>
      <c r="J20860">
        <v>1</v>
      </c>
      <c r="K20860">
        <v>1</v>
      </c>
      <c r="L20860">
        <v>442</v>
      </c>
      <c r="M20860">
        <v>1</v>
      </c>
      <c r="N20860">
        <v>0</v>
      </c>
      <c r="O20860">
        <v>1890</v>
      </c>
    </row>
    <row r="20861" spans="1:15" x14ac:dyDescent="0.25">
      <c r="A20861" t="s">
        <v>20874</v>
      </c>
      <c r="B20861">
        <v>247</v>
      </c>
      <c r="C20861" s="1" t="str">
        <f>HYPERLINK("http://www.rosaceae.org/gb/gbrowse/malus_x_domestica/?name=MDP0000281873","MDP0000281873")</f>
        <v>MDP0000281873</v>
      </c>
      <c r="D20861">
        <v>80.16</v>
      </c>
      <c r="E20861">
        <v>247</v>
      </c>
      <c r="F20861">
        <v>49</v>
      </c>
      <c r="G20861">
        <v>0</v>
      </c>
      <c r="H20861">
        <v>1</v>
      </c>
      <c r="I20861">
        <v>247</v>
      </c>
      <c r="J20861">
        <v>1</v>
      </c>
      <c r="K20861">
        <v>41</v>
      </c>
      <c r="L20861">
        <v>287</v>
      </c>
      <c r="M20861">
        <v>1</v>
      </c>
      <c r="N20861">
        <v>2.6443599999999998E-115</v>
      </c>
      <c r="O20861">
        <v>1057</v>
      </c>
    </row>
    <row r="20862" spans="1:15" x14ac:dyDescent="0.25">
      <c r="A20862" t="s">
        <v>20875</v>
      </c>
      <c r="B20862">
        <v>410</v>
      </c>
      <c r="C20862" s="1" t="str">
        <f>HYPERLINK("http://www.rosaceae.org/gb/gbrowse/malus_x_domestica/?name=MDP0000714778","MDP0000714778")</f>
        <v>MDP0000714778</v>
      </c>
      <c r="D20862">
        <v>67.069999999999993</v>
      </c>
      <c r="E20862">
        <v>410</v>
      </c>
      <c r="F20862">
        <v>135</v>
      </c>
      <c r="G20862">
        <v>10</v>
      </c>
      <c r="H20862">
        <v>4</v>
      </c>
      <c r="I20862">
        <v>406</v>
      </c>
      <c r="J20862">
        <v>1</v>
      </c>
      <c r="K20862">
        <v>32</v>
      </c>
      <c r="L20862">
        <v>438</v>
      </c>
      <c r="M20862">
        <v>1</v>
      </c>
      <c r="N20862">
        <v>1.92928E-157</v>
      </c>
      <c r="O20862">
        <v>1423</v>
      </c>
    </row>
    <row r="20863" spans="1:15" x14ac:dyDescent="0.25">
      <c r="A20863" t="s">
        <v>20876</v>
      </c>
      <c r="B20863">
        <v>463</v>
      </c>
      <c r="C20863" s="1" t="str">
        <f>HYPERLINK("http://www.rosaceae.org/gb/gbrowse/malus_x_domestica/?name=MDP0000168994","MDP0000168994")</f>
        <v>MDP0000168994</v>
      </c>
      <c r="D20863">
        <v>70.099999999999994</v>
      </c>
      <c r="E20863">
        <v>184</v>
      </c>
      <c r="F20863">
        <v>55</v>
      </c>
      <c r="G20863">
        <v>0</v>
      </c>
      <c r="H20863">
        <v>1</v>
      </c>
      <c r="I20863">
        <v>184</v>
      </c>
      <c r="J20863">
        <v>1</v>
      </c>
      <c r="K20863">
        <v>596</v>
      </c>
      <c r="L20863">
        <v>779</v>
      </c>
      <c r="M20863">
        <v>1</v>
      </c>
      <c r="N20863">
        <v>5.7281799999999997E-72</v>
      </c>
      <c r="O20863">
        <v>687</v>
      </c>
    </row>
    <row r="20864" spans="1:15" x14ac:dyDescent="0.25">
      <c r="A20864" t="s">
        <v>20877</v>
      </c>
      <c r="B20864">
        <v>282</v>
      </c>
      <c r="C20864" s="1" t="str">
        <f>HYPERLINK("http://www.rosaceae.org/gb/gbrowse/malus_x_domestica/?name=MDP0000303078","MDP0000303078")</f>
        <v>MDP0000303078</v>
      </c>
      <c r="D20864">
        <v>73.37</v>
      </c>
      <c r="E20864">
        <v>293</v>
      </c>
      <c r="F20864">
        <v>78</v>
      </c>
      <c r="G20864">
        <v>13</v>
      </c>
      <c r="H20864">
        <v>1</v>
      </c>
      <c r="I20864">
        <v>282</v>
      </c>
      <c r="J20864">
        <v>1</v>
      </c>
      <c r="K20864">
        <v>3</v>
      </c>
      <c r="L20864">
        <v>293</v>
      </c>
      <c r="M20864">
        <v>1</v>
      </c>
      <c r="N20864">
        <v>1.16427E-114</v>
      </c>
      <c r="O20864">
        <v>1052</v>
      </c>
    </row>
    <row r="20865" spans="1:15" x14ac:dyDescent="0.25">
      <c r="A20865" t="s">
        <v>20878</v>
      </c>
      <c r="B20865">
        <v>250</v>
      </c>
      <c r="C20865" s="1" t="str">
        <f>HYPERLINK("http://www.rosaceae.org/gb/gbrowse/malus_x_domestica/?name=MDP0000175405","MDP0000175405")</f>
        <v>MDP0000175405</v>
      </c>
      <c r="D20865">
        <v>83.07</v>
      </c>
      <c r="E20865">
        <v>254</v>
      </c>
      <c r="F20865">
        <v>43</v>
      </c>
      <c r="G20865">
        <v>7</v>
      </c>
      <c r="H20865">
        <v>1</v>
      </c>
      <c r="I20865">
        <v>249</v>
      </c>
      <c r="J20865">
        <v>1</v>
      </c>
      <c r="K20865">
        <v>554</v>
      </c>
      <c r="L20865">
        <v>805</v>
      </c>
      <c r="M20865">
        <v>1</v>
      </c>
      <c r="N20865">
        <v>7.0956699999999998E-119</v>
      </c>
      <c r="O20865">
        <v>1088</v>
      </c>
    </row>
    <row r="20866" spans="1:15" x14ac:dyDescent="0.25">
      <c r="A20866" t="s">
        <v>20879</v>
      </c>
      <c r="B20866">
        <v>256</v>
      </c>
      <c r="C20866" s="1" t="str">
        <f>HYPERLINK("http://www.rosaceae.org/gb/gbrowse/malus_x_domestica/?name=MDP0000881546","MDP0000881546")</f>
        <v>MDP0000881546</v>
      </c>
      <c r="D20866">
        <v>79.8</v>
      </c>
      <c r="E20866">
        <v>203</v>
      </c>
      <c r="F20866">
        <v>41</v>
      </c>
      <c r="G20866">
        <v>4</v>
      </c>
      <c r="H20866">
        <v>58</v>
      </c>
      <c r="I20866">
        <v>256</v>
      </c>
      <c r="J20866">
        <v>1</v>
      </c>
      <c r="K20866">
        <v>1</v>
      </c>
      <c r="L20866">
        <v>203</v>
      </c>
      <c r="M20866">
        <v>1</v>
      </c>
      <c r="N20866">
        <v>6.5134600000000004E-90</v>
      </c>
      <c r="O20866">
        <v>838</v>
      </c>
    </row>
    <row r="20867" spans="1:15" x14ac:dyDescent="0.25">
      <c r="A20867" t="s">
        <v>20880</v>
      </c>
      <c r="B20867">
        <v>315</v>
      </c>
      <c r="C20867" s="1" t="str">
        <f>HYPERLINK("http://www.rosaceae.org/gb/gbrowse/malus_x_domestica/?name=MDP0000167862","MDP0000167862")</f>
        <v>MDP0000167862</v>
      </c>
      <c r="D20867">
        <v>74.599999999999994</v>
      </c>
      <c r="E20867">
        <v>315</v>
      </c>
      <c r="F20867">
        <v>80</v>
      </c>
      <c r="G20867">
        <v>0</v>
      </c>
      <c r="H20867">
        <v>1</v>
      </c>
      <c r="I20867">
        <v>315</v>
      </c>
      <c r="J20867">
        <v>1</v>
      </c>
      <c r="K20867">
        <v>1</v>
      </c>
      <c r="L20867">
        <v>315</v>
      </c>
      <c r="M20867">
        <v>1</v>
      </c>
      <c r="N20867">
        <v>2.1106400000000001E-139</v>
      </c>
      <c r="O20867">
        <v>1266</v>
      </c>
    </row>
    <row r="20868" spans="1:15" x14ac:dyDescent="0.25">
      <c r="A20868" t="s">
        <v>20881</v>
      </c>
      <c r="B20868">
        <v>57</v>
      </c>
      <c r="C20868" s="1" t="str">
        <f>HYPERLINK("http://www.rosaceae.org/gb/gbrowse/malus_x_domestica/?name=MDP0000361249","MDP0000361249")</f>
        <v>MDP0000361249</v>
      </c>
      <c r="D20868">
        <v>66.66</v>
      </c>
      <c r="E20868">
        <v>63</v>
      </c>
      <c r="F20868">
        <v>21</v>
      </c>
      <c r="G20868">
        <v>6</v>
      </c>
      <c r="H20868">
        <v>1</v>
      </c>
      <c r="I20868">
        <v>57</v>
      </c>
      <c r="J20868">
        <v>1</v>
      </c>
      <c r="K20868">
        <v>20</v>
      </c>
      <c r="L20868">
        <v>82</v>
      </c>
      <c r="M20868">
        <v>1</v>
      </c>
      <c r="N20868">
        <v>6.1424700000000002E-16</v>
      </c>
      <c r="O20868">
        <v>195</v>
      </c>
    </row>
    <row r="20869" spans="1:15" x14ac:dyDescent="0.25">
      <c r="A20869" t="s">
        <v>20882</v>
      </c>
      <c r="B20869">
        <v>186</v>
      </c>
      <c r="C20869" s="1" t="str">
        <f>HYPERLINK("http://www.rosaceae.org/gb/gbrowse/malus_x_domestica/?name=MDP0000154049","MDP0000154049")</f>
        <v>MDP0000154049</v>
      </c>
      <c r="D20869">
        <v>53.54</v>
      </c>
      <c r="E20869">
        <v>127</v>
      </c>
      <c r="F20869">
        <v>59</v>
      </c>
      <c r="G20869">
        <v>13</v>
      </c>
      <c r="H20869">
        <v>1</v>
      </c>
      <c r="I20869">
        <v>127</v>
      </c>
      <c r="J20869">
        <v>1</v>
      </c>
      <c r="K20869">
        <v>31</v>
      </c>
      <c r="L20869">
        <v>144</v>
      </c>
      <c r="M20869">
        <v>1</v>
      </c>
      <c r="N20869">
        <v>1.5814199999999999E-30</v>
      </c>
      <c r="O20869">
        <v>324</v>
      </c>
    </row>
    <row r="20870" spans="1:15" x14ac:dyDescent="0.25">
      <c r="A20870" t="s">
        <v>20883</v>
      </c>
      <c r="B20870">
        <v>816</v>
      </c>
      <c r="C20870" s="1" t="str">
        <f>HYPERLINK("http://www.rosaceae.org/gb/gbrowse/malus_x_domestica/?name=MDP0000310897","MDP0000310897")</f>
        <v>MDP0000310897</v>
      </c>
      <c r="D20870">
        <v>64.56</v>
      </c>
      <c r="E20870">
        <v>697</v>
      </c>
      <c r="F20870">
        <v>247</v>
      </c>
      <c r="G20870">
        <v>16</v>
      </c>
      <c r="H20870">
        <v>119</v>
      </c>
      <c r="I20870">
        <v>812</v>
      </c>
      <c r="J20870">
        <v>1</v>
      </c>
      <c r="K20870">
        <v>28</v>
      </c>
      <c r="L20870">
        <v>711</v>
      </c>
      <c r="M20870">
        <v>1</v>
      </c>
      <c r="N20870">
        <v>0</v>
      </c>
      <c r="O20870">
        <v>2218</v>
      </c>
    </row>
    <row r="20871" spans="1:15" x14ac:dyDescent="0.25">
      <c r="A20871" t="s">
        <v>20884</v>
      </c>
      <c r="B20871">
        <v>237</v>
      </c>
      <c r="C20871" s="1" t="str">
        <f>HYPERLINK("http://www.rosaceae.org/gb/gbrowse/malus_x_domestica/?name=MDP0000119459","MDP0000119459")</f>
        <v>MDP0000119459</v>
      </c>
      <c r="D20871">
        <v>66.02</v>
      </c>
      <c r="E20871">
        <v>156</v>
      </c>
      <c r="F20871">
        <v>53</v>
      </c>
      <c r="G20871">
        <v>5</v>
      </c>
      <c r="H20871">
        <v>85</v>
      </c>
      <c r="I20871">
        <v>237</v>
      </c>
      <c r="J20871">
        <v>1</v>
      </c>
      <c r="K20871">
        <v>122</v>
      </c>
      <c r="L20871">
        <v>275</v>
      </c>
      <c r="M20871">
        <v>1</v>
      </c>
      <c r="N20871">
        <v>9.4815499999999998E-51</v>
      </c>
      <c r="O20871">
        <v>500</v>
      </c>
    </row>
    <row r="20872" spans="1:15" x14ac:dyDescent="0.25">
      <c r="A20872" t="s">
        <v>20885</v>
      </c>
      <c r="B20872">
        <v>307</v>
      </c>
      <c r="C20872" s="1" t="str">
        <f>HYPERLINK("http://www.rosaceae.org/gb/gbrowse/malus_x_domestica/?name=MDP0000267963","MDP0000267963")</f>
        <v>MDP0000267963</v>
      </c>
      <c r="D20872">
        <v>45.58</v>
      </c>
      <c r="E20872">
        <v>136</v>
      </c>
      <c r="F20872">
        <v>74</v>
      </c>
      <c r="G20872">
        <v>14</v>
      </c>
      <c r="H20872">
        <v>1</v>
      </c>
      <c r="I20872">
        <v>132</v>
      </c>
      <c r="J20872">
        <v>1</v>
      </c>
      <c r="K20872">
        <v>426</v>
      </c>
      <c r="L20872">
        <v>551</v>
      </c>
      <c r="M20872">
        <v>1</v>
      </c>
      <c r="N20872">
        <v>1.28201E-28</v>
      </c>
      <c r="O20872">
        <v>311</v>
      </c>
    </row>
    <row r="20873" spans="1:15" x14ac:dyDescent="0.25">
      <c r="A20873" t="s">
        <v>20886</v>
      </c>
      <c r="B20873">
        <v>668</v>
      </c>
      <c r="C20873" s="1" t="str">
        <f>HYPERLINK("http://www.rosaceae.org/gb/gbrowse/malus_x_domestica/?name=MDP0000253341","MDP0000253341")</f>
        <v>MDP0000253341</v>
      </c>
      <c r="D20873">
        <v>89.1</v>
      </c>
      <c r="E20873">
        <v>257</v>
      </c>
      <c r="F20873">
        <v>28</v>
      </c>
      <c r="G20873">
        <v>0</v>
      </c>
      <c r="H20873">
        <v>2</v>
      </c>
      <c r="I20873">
        <v>258</v>
      </c>
      <c r="J20873">
        <v>1</v>
      </c>
      <c r="K20873">
        <v>687</v>
      </c>
      <c r="L20873">
        <v>943</v>
      </c>
      <c r="M20873">
        <v>1</v>
      </c>
      <c r="N20873">
        <v>1.1875699999999999E-132</v>
      </c>
      <c r="O20873">
        <v>1212</v>
      </c>
    </row>
    <row r="20874" spans="1:15" x14ac:dyDescent="0.25">
      <c r="A20874" t="s">
        <v>20887</v>
      </c>
      <c r="B20874">
        <v>601</v>
      </c>
      <c r="C20874" s="1" t="str">
        <f>HYPERLINK("http://www.rosaceae.org/gb/gbrowse/malus_x_domestica/?name=MDP0000288136","MDP0000288136")</f>
        <v>MDP0000288136</v>
      </c>
      <c r="D20874">
        <v>77.319999999999993</v>
      </c>
      <c r="E20874">
        <v>538</v>
      </c>
      <c r="F20874">
        <v>122</v>
      </c>
      <c r="G20874">
        <v>41</v>
      </c>
      <c r="H20874">
        <v>1</v>
      </c>
      <c r="I20874">
        <v>536</v>
      </c>
      <c r="J20874">
        <v>1</v>
      </c>
      <c r="K20874">
        <v>1</v>
      </c>
      <c r="L20874">
        <v>499</v>
      </c>
      <c r="M20874">
        <v>1</v>
      </c>
      <c r="N20874">
        <v>0</v>
      </c>
      <c r="O20874">
        <v>2115</v>
      </c>
    </row>
    <row r="20875" spans="1:15" x14ac:dyDescent="0.25">
      <c r="A20875" t="s">
        <v>20888</v>
      </c>
      <c r="B20875">
        <v>1337</v>
      </c>
      <c r="C20875" s="1" t="str">
        <f>HYPERLINK("http://www.rosaceae.org/gb/gbrowse/malus_x_domestica/?name=MDP0000588069","MDP0000588069")</f>
        <v>MDP0000588069</v>
      </c>
      <c r="D20875">
        <v>91.28</v>
      </c>
      <c r="E20875">
        <v>1044</v>
      </c>
      <c r="F20875">
        <v>91</v>
      </c>
      <c r="G20875">
        <v>3</v>
      </c>
      <c r="H20875">
        <v>290</v>
      </c>
      <c r="I20875">
        <v>1331</v>
      </c>
      <c r="J20875">
        <v>1</v>
      </c>
      <c r="K20875">
        <v>1</v>
      </c>
      <c r="L20875">
        <v>1043</v>
      </c>
      <c r="M20875">
        <v>1</v>
      </c>
      <c r="N20875">
        <v>0</v>
      </c>
      <c r="O20875">
        <v>5173</v>
      </c>
    </row>
    <row r="20876" spans="1:15" x14ac:dyDescent="0.25">
      <c r="A20876" t="s">
        <v>20889</v>
      </c>
      <c r="B20876">
        <v>269</v>
      </c>
      <c r="C20876" s="1" t="str">
        <f>HYPERLINK("http://www.rosaceae.org/gb/gbrowse/malus_x_domestica/?name=MDP0000851893","MDP0000851893")</f>
        <v>MDP0000851893</v>
      </c>
      <c r="D20876">
        <v>68.78</v>
      </c>
      <c r="E20876">
        <v>157</v>
      </c>
      <c r="F20876">
        <v>49</v>
      </c>
      <c r="G20876">
        <v>0</v>
      </c>
      <c r="H20876">
        <v>110</v>
      </c>
      <c r="I20876">
        <v>266</v>
      </c>
      <c r="J20876">
        <v>1</v>
      </c>
      <c r="K20876">
        <v>27</v>
      </c>
      <c r="L20876">
        <v>183</v>
      </c>
      <c r="M20876">
        <v>1</v>
      </c>
      <c r="N20876">
        <v>1.3875999999999999E-56</v>
      </c>
      <c r="O20876">
        <v>551</v>
      </c>
    </row>
    <row r="20877" spans="1:15" x14ac:dyDescent="0.25">
      <c r="A20877" t="s">
        <v>20890</v>
      </c>
      <c r="B20877">
        <v>430</v>
      </c>
      <c r="C20877" s="1" t="str">
        <f>HYPERLINK("http://www.rosaceae.org/gb/gbrowse/malus_x_domestica/?name=MDP0000161056","MDP0000161056")</f>
        <v>MDP0000161056</v>
      </c>
      <c r="D20877">
        <v>60</v>
      </c>
      <c r="E20877">
        <v>45</v>
      </c>
      <c r="F20877">
        <v>18</v>
      </c>
      <c r="G20877">
        <v>1</v>
      </c>
      <c r="H20877">
        <v>185</v>
      </c>
      <c r="I20877">
        <v>229</v>
      </c>
      <c r="J20877">
        <v>1</v>
      </c>
      <c r="K20877">
        <v>1</v>
      </c>
      <c r="L20877">
        <v>44</v>
      </c>
      <c r="M20877">
        <v>1</v>
      </c>
      <c r="N20877">
        <v>3.2866799999999999E-7</v>
      </c>
      <c r="O20877">
        <v>128</v>
      </c>
    </row>
    <row r="20878" spans="1:15" x14ac:dyDescent="0.25">
      <c r="A20878" t="s">
        <v>20891</v>
      </c>
      <c r="B20878">
        <v>271</v>
      </c>
      <c r="C20878" s="1" t="str">
        <f>HYPERLINK("http://www.rosaceae.org/gb/gbrowse/malus_x_domestica/?name=MDP0000695604","MDP0000695604")</f>
        <v>MDP0000695604</v>
      </c>
      <c r="D20878">
        <v>65.38</v>
      </c>
      <c r="E20878">
        <v>234</v>
      </c>
      <c r="F20878">
        <v>81</v>
      </c>
      <c r="G20878">
        <v>4</v>
      </c>
      <c r="H20878">
        <v>40</v>
      </c>
      <c r="I20878">
        <v>271</v>
      </c>
      <c r="J20878">
        <v>1</v>
      </c>
      <c r="K20878">
        <v>17</v>
      </c>
      <c r="L20878">
        <v>248</v>
      </c>
      <c r="M20878">
        <v>1</v>
      </c>
      <c r="N20878">
        <v>3.1002800000000001E-87</v>
      </c>
      <c r="O20878">
        <v>816</v>
      </c>
    </row>
    <row r="20879" spans="1:15" x14ac:dyDescent="0.25">
      <c r="A20879" t="s">
        <v>20892</v>
      </c>
      <c r="B20879">
        <v>153</v>
      </c>
      <c r="C20879" s="1" t="str">
        <f>HYPERLINK("http://www.rosaceae.org/gb/gbrowse/malus_x_domestica/?name=MDP0000126450","MDP0000126450")</f>
        <v>MDP0000126450</v>
      </c>
      <c r="D20879">
        <v>61.53</v>
      </c>
      <c r="E20879">
        <v>156</v>
      </c>
      <c r="F20879">
        <v>60</v>
      </c>
      <c r="G20879">
        <v>13</v>
      </c>
      <c r="H20879">
        <v>8</v>
      </c>
      <c r="I20879">
        <v>153</v>
      </c>
      <c r="J20879">
        <v>1</v>
      </c>
      <c r="K20879">
        <v>1</v>
      </c>
      <c r="L20879">
        <v>153</v>
      </c>
      <c r="M20879">
        <v>1</v>
      </c>
      <c r="N20879">
        <v>4.8147999999999997E-47</v>
      </c>
      <c r="O20879">
        <v>465</v>
      </c>
    </row>
    <row r="20880" spans="1:15" x14ac:dyDescent="0.25">
      <c r="A20880" t="s">
        <v>20893</v>
      </c>
      <c r="B20880">
        <v>349</v>
      </c>
      <c r="C20880" s="1" t="str">
        <f>HYPERLINK("http://www.rosaceae.org/gb/gbrowse/malus_x_domestica/?name=MDP0000247921","MDP0000247921")</f>
        <v>MDP0000247921</v>
      </c>
      <c r="D20880">
        <v>35.5</v>
      </c>
      <c r="E20880">
        <v>169</v>
      </c>
      <c r="F20880">
        <v>109</v>
      </c>
      <c r="G20880">
        <v>16</v>
      </c>
      <c r="H20880">
        <v>172</v>
      </c>
      <c r="I20880">
        <v>335</v>
      </c>
      <c r="J20880">
        <v>1</v>
      </c>
      <c r="K20880">
        <v>686</v>
      </c>
      <c r="L20880">
        <v>843</v>
      </c>
      <c r="M20880">
        <v>1</v>
      </c>
      <c r="N20880">
        <v>2.5161600000000001E-19</v>
      </c>
      <c r="O20880">
        <v>231</v>
      </c>
    </row>
    <row r="20881" spans="1:15" x14ac:dyDescent="0.25">
      <c r="A20881" t="s">
        <v>20894</v>
      </c>
      <c r="B20881">
        <v>528</v>
      </c>
      <c r="C20881" s="1" t="str">
        <f>HYPERLINK("http://www.rosaceae.org/gb/gbrowse/malus_x_domestica/?name=MDP0000309902","MDP0000309902")</f>
        <v>MDP0000309902</v>
      </c>
      <c r="D20881">
        <v>84.25</v>
      </c>
      <c r="E20881">
        <v>527</v>
      </c>
      <c r="F20881">
        <v>83</v>
      </c>
      <c r="G20881">
        <v>2</v>
      </c>
      <c r="H20881">
        <v>1</v>
      </c>
      <c r="I20881">
        <v>525</v>
      </c>
      <c r="J20881">
        <v>1</v>
      </c>
      <c r="K20881">
        <v>1</v>
      </c>
      <c r="L20881">
        <v>527</v>
      </c>
      <c r="M20881">
        <v>1</v>
      </c>
      <c r="N20881">
        <v>0</v>
      </c>
      <c r="O20881">
        <v>2381</v>
      </c>
    </row>
    <row r="20882" spans="1:15" x14ac:dyDescent="0.25">
      <c r="A20882" t="s">
        <v>20895</v>
      </c>
      <c r="B20882">
        <v>405</v>
      </c>
      <c r="C20882" s="1" t="str">
        <f>HYPERLINK("http://www.rosaceae.org/gb/gbrowse/malus_x_domestica/?name=MDP0000150438","MDP0000150438")</f>
        <v>MDP0000150438</v>
      </c>
      <c r="D20882">
        <v>40.86</v>
      </c>
      <c r="E20882">
        <v>394</v>
      </c>
      <c r="F20882">
        <v>233</v>
      </c>
      <c r="G20882">
        <v>21</v>
      </c>
      <c r="H20882">
        <v>19</v>
      </c>
      <c r="I20882">
        <v>403</v>
      </c>
      <c r="J20882">
        <v>1</v>
      </c>
      <c r="K20882">
        <v>3</v>
      </c>
      <c r="L20882">
        <v>384</v>
      </c>
      <c r="M20882">
        <v>1</v>
      </c>
      <c r="N20882">
        <v>2.6897499999999999E-76</v>
      </c>
      <c r="O20882">
        <v>723</v>
      </c>
    </row>
    <row r="20883" spans="1:15" x14ac:dyDescent="0.25">
      <c r="A20883" t="s">
        <v>20896</v>
      </c>
      <c r="B20883">
        <v>422</v>
      </c>
      <c r="C20883" s="1" t="str">
        <f>HYPERLINK("http://www.rosaceae.org/gb/gbrowse/malus_x_domestica/?name=MDP0000318888","MDP0000318888")</f>
        <v>MDP0000318888</v>
      </c>
      <c r="D20883">
        <v>77.41</v>
      </c>
      <c r="E20883">
        <v>434</v>
      </c>
      <c r="F20883">
        <v>98</v>
      </c>
      <c r="G20883">
        <v>18</v>
      </c>
      <c r="H20883">
        <v>1</v>
      </c>
      <c r="I20883">
        <v>417</v>
      </c>
      <c r="J20883">
        <v>1</v>
      </c>
      <c r="K20883">
        <v>1</v>
      </c>
      <c r="L20883">
        <v>433</v>
      </c>
      <c r="M20883">
        <v>1</v>
      </c>
      <c r="N20883">
        <v>0</v>
      </c>
      <c r="O20883">
        <v>1763</v>
      </c>
    </row>
    <row r="20884" spans="1:15" x14ac:dyDescent="0.25">
      <c r="A20884" t="s">
        <v>20897</v>
      </c>
      <c r="B20884">
        <v>277</v>
      </c>
      <c r="C20884" s="1" t="str">
        <f>HYPERLINK("http://www.rosaceae.org/gb/gbrowse/malus_x_domestica/?name=MDP0000262060","MDP0000262060")</f>
        <v>MDP0000262060</v>
      </c>
      <c r="D20884">
        <v>59.63</v>
      </c>
      <c r="E20884">
        <v>275</v>
      </c>
      <c r="F20884">
        <v>111</v>
      </c>
      <c r="G20884">
        <v>14</v>
      </c>
      <c r="H20884">
        <v>1</v>
      </c>
      <c r="I20884">
        <v>265</v>
      </c>
      <c r="J20884">
        <v>1</v>
      </c>
      <c r="K20884">
        <v>1388</v>
      </c>
      <c r="L20884">
        <v>1658</v>
      </c>
      <c r="M20884">
        <v>1</v>
      </c>
      <c r="N20884">
        <v>2.3945299999999999E-91</v>
      </c>
      <c r="O20884">
        <v>851</v>
      </c>
    </row>
    <row r="20885" spans="1:15" x14ac:dyDescent="0.25">
      <c r="A20885" t="s">
        <v>20898</v>
      </c>
      <c r="B20885">
        <v>1008</v>
      </c>
      <c r="C20885" s="1" t="str">
        <f>HYPERLINK("http://www.rosaceae.org/gb/gbrowse/malus_x_domestica/?name=MDP0000245541","MDP0000245541")</f>
        <v>MDP0000245541</v>
      </c>
      <c r="D20885">
        <v>56.88</v>
      </c>
      <c r="E20885">
        <v>1046</v>
      </c>
      <c r="F20885">
        <v>451</v>
      </c>
      <c r="G20885">
        <v>97</v>
      </c>
      <c r="H20885">
        <v>1</v>
      </c>
      <c r="I20885">
        <v>995</v>
      </c>
      <c r="J20885">
        <v>1</v>
      </c>
      <c r="K20885">
        <v>1</v>
      </c>
      <c r="L20885">
        <v>1000</v>
      </c>
      <c r="M20885">
        <v>1</v>
      </c>
      <c r="N20885">
        <v>0</v>
      </c>
      <c r="O20885">
        <v>2785</v>
      </c>
    </row>
    <row r="20886" spans="1:15" x14ac:dyDescent="0.25">
      <c r="A20886" t="s">
        <v>20899</v>
      </c>
      <c r="B20886">
        <v>603</v>
      </c>
      <c r="C20886" s="1" t="str">
        <f>HYPERLINK("http://www.rosaceae.org/gb/gbrowse/malus_x_domestica/?name=MDP0000193970","MDP0000193970")</f>
        <v>MDP0000193970</v>
      </c>
      <c r="D20886">
        <v>80.11</v>
      </c>
      <c r="E20886">
        <v>538</v>
      </c>
      <c r="F20886">
        <v>107</v>
      </c>
      <c r="G20886">
        <v>13</v>
      </c>
      <c r="H20886">
        <v>78</v>
      </c>
      <c r="I20886">
        <v>603</v>
      </c>
      <c r="J20886">
        <v>1</v>
      </c>
      <c r="K20886">
        <v>1</v>
      </c>
      <c r="L20886">
        <v>537</v>
      </c>
      <c r="M20886">
        <v>1</v>
      </c>
      <c r="N20886">
        <v>0</v>
      </c>
      <c r="O20886">
        <v>2221</v>
      </c>
    </row>
    <row r="20887" spans="1:15" x14ac:dyDescent="0.25">
      <c r="A20887" t="s">
        <v>20900</v>
      </c>
      <c r="B20887">
        <v>255</v>
      </c>
      <c r="C20887" s="1" t="str">
        <f>HYPERLINK("http://www.rosaceae.org/gb/gbrowse/malus_x_domestica/?name=MDP0000216956","MDP0000216956")</f>
        <v>MDP0000216956</v>
      </c>
      <c r="D20887">
        <v>28.51</v>
      </c>
      <c r="E20887">
        <v>235</v>
      </c>
      <c r="F20887">
        <v>168</v>
      </c>
      <c r="G20887">
        <v>40</v>
      </c>
      <c r="H20887">
        <v>29</v>
      </c>
      <c r="I20887">
        <v>243</v>
      </c>
      <c r="J20887">
        <v>1</v>
      </c>
      <c r="K20887">
        <v>29</v>
      </c>
      <c r="L20887">
        <v>243</v>
      </c>
      <c r="M20887">
        <v>1</v>
      </c>
      <c r="N20887">
        <v>2.8712999999999999E-15</v>
      </c>
      <c r="O20887">
        <v>195</v>
      </c>
    </row>
    <row r="20888" spans="1:15" x14ac:dyDescent="0.25">
      <c r="A20888" t="s">
        <v>20901</v>
      </c>
      <c r="B20888">
        <v>478</v>
      </c>
      <c r="C20888" s="1" t="str">
        <f>HYPERLINK("http://www.rosaceae.org/gb/gbrowse/malus_x_domestica/?name=MDP0000092033","MDP0000092033")</f>
        <v>MDP0000092033</v>
      </c>
      <c r="D20888">
        <v>66.87</v>
      </c>
      <c r="E20888">
        <v>477</v>
      </c>
      <c r="F20888">
        <v>158</v>
      </c>
      <c r="G20888">
        <v>9</v>
      </c>
      <c r="H20888">
        <v>1</v>
      </c>
      <c r="I20888">
        <v>471</v>
      </c>
      <c r="J20888">
        <v>1</v>
      </c>
      <c r="K20888">
        <v>1</v>
      </c>
      <c r="L20888">
        <v>474</v>
      </c>
      <c r="M20888">
        <v>1</v>
      </c>
      <c r="N20888">
        <v>0</v>
      </c>
      <c r="O20888">
        <v>1663</v>
      </c>
    </row>
    <row r="20889" spans="1:15" x14ac:dyDescent="0.25">
      <c r="A20889" t="s">
        <v>20902</v>
      </c>
      <c r="B20889">
        <v>490</v>
      </c>
      <c r="C20889" s="1" t="str">
        <f>HYPERLINK("http://www.rosaceae.org/gb/gbrowse/malus_x_domestica/?name=MDP0000201930","MDP0000201930")</f>
        <v>MDP0000201930</v>
      </c>
      <c r="D20889">
        <v>67.239999999999995</v>
      </c>
      <c r="E20889">
        <v>516</v>
      </c>
      <c r="F20889">
        <v>169</v>
      </c>
      <c r="G20889">
        <v>28</v>
      </c>
      <c r="H20889">
        <v>1</v>
      </c>
      <c r="I20889">
        <v>490</v>
      </c>
      <c r="J20889">
        <v>1</v>
      </c>
      <c r="K20889">
        <v>1</v>
      </c>
      <c r="L20889">
        <v>514</v>
      </c>
      <c r="M20889">
        <v>1</v>
      </c>
      <c r="N20889">
        <v>0</v>
      </c>
      <c r="O20889">
        <v>1792</v>
      </c>
    </row>
    <row r="20890" spans="1:15" x14ac:dyDescent="0.25">
      <c r="A20890" t="s">
        <v>20903</v>
      </c>
      <c r="B20890">
        <v>607</v>
      </c>
      <c r="C20890" s="1" t="str">
        <f>HYPERLINK("http://www.rosaceae.org/gb/gbrowse/malus_x_domestica/?name=MDP0000153552","MDP0000153552")</f>
        <v>MDP0000153552</v>
      </c>
      <c r="D20890">
        <v>73.489999999999995</v>
      </c>
      <c r="E20890">
        <v>630</v>
      </c>
      <c r="F20890">
        <v>167</v>
      </c>
      <c r="G20890">
        <v>30</v>
      </c>
      <c r="H20890">
        <v>1</v>
      </c>
      <c r="I20890">
        <v>604</v>
      </c>
      <c r="J20890">
        <v>1</v>
      </c>
      <c r="K20890">
        <v>1</v>
      </c>
      <c r="L20890">
        <v>626</v>
      </c>
      <c r="M20890">
        <v>1</v>
      </c>
      <c r="N20890">
        <v>0</v>
      </c>
      <c r="O20890">
        <v>2393</v>
      </c>
    </row>
    <row r="20891" spans="1:15" x14ac:dyDescent="0.25">
      <c r="A20891" t="s">
        <v>20904</v>
      </c>
      <c r="B20891">
        <v>2242</v>
      </c>
      <c r="C20891" s="1" t="str">
        <f>HYPERLINK("http://www.rosaceae.org/gb/gbrowse/malus_x_domestica/?name=MDP0000220614","MDP0000220614")</f>
        <v>MDP0000220614</v>
      </c>
      <c r="D20891">
        <v>48.6</v>
      </c>
      <c r="E20891">
        <v>323</v>
      </c>
      <c r="F20891">
        <v>166</v>
      </c>
      <c r="G20891">
        <v>67</v>
      </c>
      <c r="H20891">
        <v>1315</v>
      </c>
      <c r="I20891">
        <v>1634</v>
      </c>
      <c r="J20891">
        <v>1</v>
      </c>
      <c r="K20891">
        <v>4</v>
      </c>
      <c r="L20891">
        <v>262</v>
      </c>
      <c r="M20891">
        <v>1</v>
      </c>
      <c r="N20891">
        <v>3.10589E-67</v>
      </c>
      <c r="O20891">
        <v>652</v>
      </c>
    </row>
    <row r="20892" spans="1:15" x14ac:dyDescent="0.25">
      <c r="A20892" t="s">
        <v>20905</v>
      </c>
      <c r="B20892">
        <v>243</v>
      </c>
      <c r="C20892" s="1" t="str">
        <f>HYPERLINK("http://www.rosaceae.org/gb/gbrowse/malus_x_domestica/?name=MDP0000448621","MDP0000448621")</f>
        <v>MDP0000448621</v>
      </c>
      <c r="D20892">
        <v>66.16</v>
      </c>
      <c r="E20892">
        <v>201</v>
      </c>
      <c r="F20892">
        <v>68</v>
      </c>
      <c r="G20892">
        <v>0</v>
      </c>
      <c r="H20892">
        <v>43</v>
      </c>
      <c r="I20892">
        <v>243</v>
      </c>
      <c r="J20892">
        <v>1</v>
      </c>
      <c r="K20892">
        <v>43</v>
      </c>
      <c r="L20892">
        <v>243</v>
      </c>
      <c r="M20892">
        <v>1</v>
      </c>
      <c r="N20892">
        <v>4.9055699999999996E-75</v>
      </c>
      <c r="O20892">
        <v>710</v>
      </c>
    </row>
    <row r="20893" spans="1:15" x14ac:dyDescent="0.25">
      <c r="A20893" t="s">
        <v>20906</v>
      </c>
      <c r="B20893">
        <v>412</v>
      </c>
      <c r="C20893" s="1" t="str">
        <f>HYPERLINK("http://www.rosaceae.org/gb/gbrowse/malus_x_domestica/?name=MDP0000894557","MDP0000894557")</f>
        <v>MDP0000894557</v>
      </c>
      <c r="D20893">
        <v>82.52</v>
      </c>
      <c r="E20893">
        <v>412</v>
      </c>
      <c r="F20893">
        <v>72</v>
      </c>
      <c r="G20893">
        <v>0</v>
      </c>
      <c r="H20893">
        <v>1</v>
      </c>
      <c r="I20893">
        <v>412</v>
      </c>
      <c r="J20893">
        <v>1</v>
      </c>
      <c r="K20893">
        <v>1</v>
      </c>
      <c r="L20893">
        <v>412</v>
      </c>
      <c r="M20893">
        <v>1</v>
      </c>
      <c r="N20893">
        <v>0</v>
      </c>
      <c r="O20893">
        <v>1837</v>
      </c>
    </row>
    <row r="20894" spans="1:15" x14ac:dyDescent="0.25">
      <c r="A20894" t="s">
        <v>20907</v>
      </c>
      <c r="B20894">
        <v>440</v>
      </c>
      <c r="C20894" s="1" t="str">
        <f>HYPERLINK("http://www.rosaceae.org/gb/gbrowse/malus_x_domestica/?name=MDP0000274848","MDP0000274848")</f>
        <v>MDP0000274848</v>
      </c>
      <c r="D20894">
        <v>37.65</v>
      </c>
      <c r="E20894">
        <v>486</v>
      </c>
      <c r="F20894">
        <v>303</v>
      </c>
      <c r="G20894">
        <v>90</v>
      </c>
      <c r="H20894">
        <v>4</v>
      </c>
      <c r="I20894">
        <v>437</v>
      </c>
      <c r="J20894">
        <v>1</v>
      </c>
      <c r="K20894">
        <v>3</v>
      </c>
      <c r="L20894">
        <v>450</v>
      </c>
      <c r="M20894">
        <v>1</v>
      </c>
      <c r="N20894">
        <v>7.0971099999999999E-81</v>
      </c>
      <c r="O20894">
        <v>763</v>
      </c>
    </row>
    <row r="20895" spans="1:15" x14ac:dyDescent="0.25">
      <c r="A20895" t="s">
        <v>20908</v>
      </c>
      <c r="B20895">
        <v>203</v>
      </c>
      <c r="C20895" s="1" t="str">
        <f>HYPERLINK("http://www.rosaceae.org/gb/gbrowse/malus_x_domestica/?name=MDP0000170553","MDP0000170553")</f>
        <v>MDP0000170553</v>
      </c>
      <c r="D20895">
        <v>34.159999999999997</v>
      </c>
      <c r="E20895">
        <v>161</v>
      </c>
      <c r="F20895">
        <v>106</v>
      </c>
      <c r="G20895">
        <v>31</v>
      </c>
      <c r="H20895">
        <v>36</v>
      </c>
      <c r="I20895">
        <v>192</v>
      </c>
      <c r="J20895">
        <v>1</v>
      </c>
      <c r="K20895">
        <v>35</v>
      </c>
      <c r="L20895">
        <v>168</v>
      </c>
      <c r="M20895">
        <v>1</v>
      </c>
      <c r="N20895">
        <v>6.0511499999999997E-17</v>
      </c>
      <c r="O20895">
        <v>208</v>
      </c>
    </row>
    <row r="20896" spans="1:15" x14ac:dyDescent="0.25">
      <c r="A20896" t="s">
        <v>20909</v>
      </c>
      <c r="B20896">
        <v>155</v>
      </c>
      <c r="C20896" s="1" t="str">
        <f>HYPERLINK("http://www.rosaceae.org/gb/gbrowse/malus_x_domestica/?name=MDP0000228573","MDP0000228573")</f>
        <v>MDP0000228573</v>
      </c>
      <c r="D20896">
        <v>50.51</v>
      </c>
      <c r="E20896">
        <v>97</v>
      </c>
      <c r="F20896">
        <v>48</v>
      </c>
      <c r="G20896">
        <v>0</v>
      </c>
      <c r="H20896">
        <v>9</v>
      </c>
      <c r="I20896">
        <v>105</v>
      </c>
      <c r="J20896">
        <v>1</v>
      </c>
      <c r="K20896">
        <v>150</v>
      </c>
      <c r="L20896">
        <v>246</v>
      </c>
      <c r="M20896">
        <v>1</v>
      </c>
      <c r="N20896">
        <v>4.6328100000000002E-24</v>
      </c>
      <c r="O20896">
        <v>267</v>
      </c>
    </row>
    <row r="20897" spans="1:15" x14ac:dyDescent="0.25">
      <c r="A20897" t="s">
        <v>20910</v>
      </c>
      <c r="B20897">
        <v>606</v>
      </c>
      <c r="C20897" s="1" t="str">
        <f>HYPERLINK("http://www.rosaceae.org/gb/gbrowse/malus_x_domestica/?name=MDP0000167175","MDP0000167175")</f>
        <v>MDP0000167175</v>
      </c>
      <c r="D20897">
        <v>87.8</v>
      </c>
      <c r="E20897">
        <v>205</v>
      </c>
      <c r="F20897">
        <v>25</v>
      </c>
      <c r="G20897">
        <v>1</v>
      </c>
      <c r="H20897">
        <v>403</v>
      </c>
      <c r="I20897">
        <v>606</v>
      </c>
      <c r="J20897">
        <v>1</v>
      </c>
      <c r="K20897">
        <v>327</v>
      </c>
      <c r="L20897">
        <v>531</v>
      </c>
      <c r="M20897">
        <v>1</v>
      </c>
      <c r="N20897">
        <v>7.5420800000000002E-104</v>
      </c>
      <c r="O20897">
        <v>963</v>
      </c>
    </row>
    <row r="20898" spans="1:15" x14ac:dyDescent="0.25">
      <c r="A20898" t="s">
        <v>20911</v>
      </c>
      <c r="B20898">
        <v>360</v>
      </c>
      <c r="C20898" s="1" t="str">
        <f>HYPERLINK("http://www.rosaceae.org/gb/gbrowse/malus_x_domestica/?name=MDP0000319746","MDP0000319746")</f>
        <v>MDP0000319746</v>
      </c>
      <c r="D20898">
        <v>62.8</v>
      </c>
      <c r="E20898">
        <v>363</v>
      </c>
      <c r="F20898">
        <v>135</v>
      </c>
      <c r="G20898">
        <v>7</v>
      </c>
      <c r="H20898">
        <v>1</v>
      </c>
      <c r="I20898">
        <v>360</v>
      </c>
      <c r="J20898">
        <v>1</v>
      </c>
      <c r="K20898">
        <v>60</v>
      </c>
      <c r="L20898">
        <v>418</v>
      </c>
      <c r="M20898">
        <v>1</v>
      </c>
      <c r="N20898">
        <v>2.4079999999999999E-123</v>
      </c>
      <c r="O20898">
        <v>1129</v>
      </c>
    </row>
    <row r="20899" spans="1:15" x14ac:dyDescent="0.25">
      <c r="A20899" t="s">
        <v>20912</v>
      </c>
      <c r="B20899">
        <v>165</v>
      </c>
      <c r="C20899" s="1" t="str">
        <f>HYPERLINK("http://www.rosaceae.org/gb/gbrowse/malus_x_domestica/?name=MDP0000933400","MDP0000933400")</f>
        <v>MDP0000933400</v>
      </c>
      <c r="D20899">
        <v>76.510000000000005</v>
      </c>
      <c r="E20899">
        <v>132</v>
      </c>
      <c r="F20899">
        <v>31</v>
      </c>
      <c r="G20899">
        <v>1</v>
      </c>
      <c r="H20899">
        <v>9</v>
      </c>
      <c r="I20899">
        <v>140</v>
      </c>
      <c r="J20899">
        <v>1</v>
      </c>
      <c r="K20899">
        <v>10</v>
      </c>
      <c r="L20899">
        <v>140</v>
      </c>
      <c r="M20899">
        <v>1</v>
      </c>
      <c r="N20899">
        <v>8.3945100000000006E-55</v>
      </c>
      <c r="O20899">
        <v>533</v>
      </c>
    </row>
    <row r="20900" spans="1:15" x14ac:dyDescent="0.25">
      <c r="A20900" t="s">
        <v>20913</v>
      </c>
      <c r="B20900">
        <v>411</v>
      </c>
      <c r="C20900" s="1" t="str">
        <f>HYPERLINK("http://www.rosaceae.org/gb/gbrowse/malus_x_domestica/?name=MDP0000186402","MDP0000186402")</f>
        <v>MDP0000186402</v>
      </c>
      <c r="D20900">
        <v>32.04</v>
      </c>
      <c r="E20900">
        <v>440</v>
      </c>
      <c r="F20900">
        <v>299</v>
      </c>
      <c r="G20900">
        <v>74</v>
      </c>
      <c r="H20900">
        <v>40</v>
      </c>
      <c r="I20900">
        <v>407</v>
      </c>
      <c r="J20900">
        <v>1</v>
      </c>
      <c r="K20900">
        <v>115</v>
      </c>
      <c r="L20900">
        <v>552</v>
      </c>
      <c r="M20900">
        <v>1</v>
      </c>
      <c r="N20900">
        <v>1.3621799999999999E-45</v>
      </c>
      <c r="O20900">
        <v>459</v>
      </c>
    </row>
    <row r="20901" spans="1:15" x14ac:dyDescent="0.25">
      <c r="A20901" t="s">
        <v>20914</v>
      </c>
      <c r="B20901">
        <v>197</v>
      </c>
      <c r="C20901" s="1" t="str">
        <f>HYPERLINK("http://www.rosaceae.org/gb/gbrowse/malus_x_domestica/?name=MDP0000152574","MDP0000152574")</f>
        <v>MDP0000152574</v>
      </c>
      <c r="D20901">
        <v>72.349999999999994</v>
      </c>
      <c r="E20901">
        <v>123</v>
      </c>
      <c r="F20901">
        <v>34</v>
      </c>
      <c r="G20901">
        <v>0</v>
      </c>
      <c r="H20901">
        <v>75</v>
      </c>
      <c r="I20901">
        <v>197</v>
      </c>
      <c r="J20901">
        <v>1</v>
      </c>
      <c r="K20901">
        <v>87</v>
      </c>
      <c r="L20901">
        <v>209</v>
      </c>
      <c r="M20901">
        <v>1</v>
      </c>
      <c r="N20901">
        <v>1.8215700000000001E-41</v>
      </c>
      <c r="O20901">
        <v>419</v>
      </c>
    </row>
    <row r="20902" spans="1:15" x14ac:dyDescent="0.25">
      <c r="A20902" t="s">
        <v>20915</v>
      </c>
      <c r="B20902">
        <v>253</v>
      </c>
      <c r="C20902" s="1" t="str">
        <f>HYPERLINK("http://www.rosaceae.org/gb/gbrowse/malus_x_domestica/?name=MDP0000195728","MDP0000195728")</f>
        <v>MDP0000195728</v>
      </c>
      <c r="D20902">
        <v>78.260000000000005</v>
      </c>
      <c r="E20902">
        <v>253</v>
      </c>
      <c r="F20902">
        <v>55</v>
      </c>
      <c r="G20902">
        <v>1</v>
      </c>
      <c r="H20902">
        <v>1</v>
      </c>
      <c r="I20902">
        <v>253</v>
      </c>
      <c r="J20902">
        <v>1</v>
      </c>
      <c r="K20902">
        <v>6</v>
      </c>
      <c r="L20902">
        <v>257</v>
      </c>
      <c r="M20902">
        <v>1</v>
      </c>
      <c r="N20902">
        <v>5.02012E-115</v>
      </c>
      <c r="O20902">
        <v>1055</v>
      </c>
    </row>
    <row r="20903" spans="1:15" x14ac:dyDescent="0.25">
      <c r="A20903" t="s">
        <v>20916</v>
      </c>
      <c r="B20903">
        <v>562</v>
      </c>
      <c r="C20903" s="1" t="str">
        <f>HYPERLINK("http://www.rosaceae.org/gb/gbrowse/malus_x_domestica/?name=MDP0000298489","MDP0000298489")</f>
        <v>MDP0000298489</v>
      </c>
      <c r="D20903">
        <v>61.66</v>
      </c>
      <c r="E20903">
        <v>506</v>
      </c>
      <c r="F20903">
        <v>194</v>
      </c>
      <c r="G20903">
        <v>5</v>
      </c>
      <c r="H20903">
        <v>1</v>
      </c>
      <c r="I20903">
        <v>504</v>
      </c>
      <c r="J20903">
        <v>1</v>
      </c>
      <c r="K20903">
        <v>191</v>
      </c>
      <c r="L20903">
        <v>693</v>
      </c>
      <c r="M20903">
        <v>1</v>
      </c>
      <c r="N20903">
        <v>0</v>
      </c>
      <c r="O20903">
        <v>1647</v>
      </c>
    </row>
    <row r="20904" spans="1:15" x14ac:dyDescent="0.25">
      <c r="A20904" t="s">
        <v>20917</v>
      </c>
      <c r="B20904">
        <v>535</v>
      </c>
      <c r="C20904" s="1" t="str">
        <f>HYPERLINK("http://www.rosaceae.org/gb/gbrowse/malus_x_domestica/?name=MDP0000717013","MDP0000717013")</f>
        <v>MDP0000717013</v>
      </c>
      <c r="D20904">
        <v>76.11</v>
      </c>
      <c r="E20904">
        <v>536</v>
      </c>
      <c r="F20904">
        <v>128</v>
      </c>
      <c r="G20904">
        <v>11</v>
      </c>
      <c r="H20904">
        <v>1</v>
      </c>
      <c r="I20904">
        <v>530</v>
      </c>
      <c r="J20904">
        <v>1</v>
      </c>
      <c r="K20904">
        <v>1</v>
      </c>
      <c r="L20904">
        <v>531</v>
      </c>
      <c r="M20904">
        <v>1</v>
      </c>
      <c r="N20904">
        <v>0</v>
      </c>
      <c r="O20904">
        <v>2179</v>
      </c>
    </row>
    <row r="20905" spans="1:15" x14ac:dyDescent="0.25">
      <c r="A20905" t="s">
        <v>20918</v>
      </c>
      <c r="B20905">
        <v>61</v>
      </c>
      <c r="C20905" s="1" t="str">
        <f>HYPERLINK("http://www.rosaceae.org/gb/gbrowse/malus_x_domestica/?name=MDP0000222589","MDP0000222589")</f>
        <v>MDP0000222589</v>
      </c>
      <c r="D20905">
        <v>78.37</v>
      </c>
      <c r="E20905">
        <v>37</v>
      </c>
      <c r="F20905">
        <v>8</v>
      </c>
      <c r="G20905">
        <v>1</v>
      </c>
      <c r="H20905">
        <v>1</v>
      </c>
      <c r="I20905">
        <v>36</v>
      </c>
      <c r="J20905">
        <v>1</v>
      </c>
      <c r="K20905">
        <v>389</v>
      </c>
      <c r="L20905">
        <v>425</v>
      </c>
      <c r="M20905">
        <v>1</v>
      </c>
      <c r="N20905">
        <v>4.2847800000000002E-9</v>
      </c>
      <c r="O20905">
        <v>136</v>
      </c>
    </row>
    <row r="20906" spans="1:15" x14ac:dyDescent="0.25">
      <c r="A20906" t="s">
        <v>20919</v>
      </c>
      <c r="B20906">
        <v>551</v>
      </c>
      <c r="C20906" s="1" t="str">
        <f>HYPERLINK("http://www.rosaceae.org/gb/gbrowse/malus_x_domestica/?name=MDP0000810486","MDP0000810486")</f>
        <v>MDP0000810486</v>
      </c>
      <c r="D20906">
        <v>61.55</v>
      </c>
      <c r="E20906">
        <v>515</v>
      </c>
      <c r="F20906">
        <v>198</v>
      </c>
      <c r="G20906">
        <v>8</v>
      </c>
      <c r="H20906">
        <v>1</v>
      </c>
      <c r="I20906">
        <v>514</v>
      </c>
      <c r="J20906">
        <v>1</v>
      </c>
      <c r="K20906">
        <v>1</v>
      </c>
      <c r="L20906">
        <v>508</v>
      </c>
      <c r="M20906">
        <v>1</v>
      </c>
      <c r="N20906">
        <v>0</v>
      </c>
      <c r="O20906">
        <v>1649</v>
      </c>
    </row>
    <row r="20907" spans="1:15" x14ac:dyDescent="0.25">
      <c r="A20907" t="s">
        <v>20920</v>
      </c>
      <c r="B20907">
        <v>346</v>
      </c>
      <c r="C20907" s="1" t="str">
        <f>HYPERLINK("http://www.rosaceae.org/gb/gbrowse/malus_x_domestica/?name=MDP0000134669","MDP0000134669")</f>
        <v>MDP0000134669</v>
      </c>
      <c r="D20907">
        <v>62.53</v>
      </c>
      <c r="E20907">
        <v>355</v>
      </c>
      <c r="F20907">
        <v>133</v>
      </c>
      <c r="G20907">
        <v>9</v>
      </c>
      <c r="H20907">
        <v>1</v>
      </c>
      <c r="I20907">
        <v>346</v>
      </c>
      <c r="J20907">
        <v>1</v>
      </c>
      <c r="K20907">
        <v>1</v>
      </c>
      <c r="L20907">
        <v>355</v>
      </c>
      <c r="M20907">
        <v>1</v>
      </c>
      <c r="N20907">
        <v>5.4786100000000003E-113</v>
      </c>
      <c r="O20907">
        <v>1039</v>
      </c>
    </row>
    <row r="20908" spans="1:15" x14ac:dyDescent="0.25">
      <c r="A20908" t="s">
        <v>20921</v>
      </c>
      <c r="B20908">
        <v>157</v>
      </c>
      <c r="C20908" s="1" t="str">
        <f>HYPERLINK("http://www.rosaceae.org/gb/gbrowse/malus_x_domestica/?name=MDP0000207294","MDP0000207294")</f>
        <v>MDP0000207294</v>
      </c>
      <c r="D20908">
        <v>94.79</v>
      </c>
      <c r="E20908">
        <v>96</v>
      </c>
      <c r="F20908">
        <v>5</v>
      </c>
      <c r="G20908">
        <v>0</v>
      </c>
      <c r="H20908">
        <v>44</v>
      </c>
      <c r="I20908">
        <v>139</v>
      </c>
      <c r="J20908">
        <v>1</v>
      </c>
      <c r="K20908">
        <v>21</v>
      </c>
      <c r="L20908">
        <v>116</v>
      </c>
      <c r="M20908">
        <v>1</v>
      </c>
      <c r="N20908">
        <v>1.14235E-45</v>
      </c>
      <c r="O20908">
        <v>454</v>
      </c>
    </row>
    <row r="20909" spans="1:15" x14ac:dyDescent="0.25">
      <c r="A20909" t="s">
        <v>20922</v>
      </c>
      <c r="B20909">
        <v>122</v>
      </c>
      <c r="C20909" s="1" t="str">
        <f>HYPERLINK("http://www.rosaceae.org/gb/gbrowse/malus_x_domestica/?name=MDP0000323561","MDP0000323561")</f>
        <v>MDP0000323561</v>
      </c>
      <c r="D20909">
        <v>77.41</v>
      </c>
      <c r="E20909">
        <v>62</v>
      </c>
      <c r="F20909">
        <v>14</v>
      </c>
      <c r="G20909">
        <v>0</v>
      </c>
      <c r="H20909">
        <v>1</v>
      </c>
      <c r="I20909">
        <v>62</v>
      </c>
      <c r="J20909">
        <v>1</v>
      </c>
      <c r="K20909">
        <v>27</v>
      </c>
      <c r="L20909">
        <v>88</v>
      </c>
      <c r="M20909">
        <v>1</v>
      </c>
      <c r="N20909">
        <v>5.6574999999999995E-23</v>
      </c>
      <c r="O20909">
        <v>256</v>
      </c>
    </row>
    <row r="20910" spans="1:15" x14ac:dyDescent="0.25">
      <c r="A20910" t="s">
        <v>20923</v>
      </c>
      <c r="B20910">
        <v>1086</v>
      </c>
      <c r="C20910" s="1" t="str">
        <f>HYPERLINK("http://www.rosaceae.org/gb/gbrowse/malus_x_domestica/?name=MDP0000316899","MDP0000316899")</f>
        <v>MDP0000316899</v>
      </c>
      <c r="D20910">
        <v>40.159999999999997</v>
      </c>
      <c r="E20910">
        <v>356</v>
      </c>
      <c r="F20910">
        <v>213</v>
      </c>
      <c r="G20910">
        <v>68</v>
      </c>
      <c r="H20910">
        <v>754</v>
      </c>
      <c r="I20910">
        <v>1050</v>
      </c>
      <c r="J20910">
        <v>1</v>
      </c>
      <c r="K20910">
        <v>381</v>
      </c>
      <c r="L20910">
        <v>727</v>
      </c>
      <c r="M20910">
        <v>1</v>
      </c>
      <c r="N20910">
        <v>4.0489999999999999E-65</v>
      </c>
      <c r="O20910">
        <v>631</v>
      </c>
    </row>
    <row r="20911" spans="1:15" x14ac:dyDescent="0.25">
      <c r="A20911" t="s">
        <v>20924</v>
      </c>
      <c r="B20911">
        <v>637</v>
      </c>
      <c r="C20911" s="1" t="str">
        <f>HYPERLINK("http://www.rosaceae.org/gb/gbrowse/malus_x_domestica/?name=MDP0000142019","MDP0000142019")</f>
        <v>MDP0000142019</v>
      </c>
      <c r="D20911">
        <v>74.819999999999993</v>
      </c>
      <c r="E20911">
        <v>294</v>
      </c>
      <c r="F20911">
        <v>74</v>
      </c>
      <c r="G20911">
        <v>21</v>
      </c>
      <c r="H20911">
        <v>344</v>
      </c>
      <c r="I20911">
        <v>637</v>
      </c>
      <c r="J20911">
        <v>1</v>
      </c>
      <c r="K20911">
        <v>204</v>
      </c>
      <c r="L20911">
        <v>476</v>
      </c>
      <c r="M20911">
        <v>1</v>
      </c>
      <c r="N20911">
        <v>1.54183E-128</v>
      </c>
      <c r="O20911">
        <v>1176</v>
      </c>
    </row>
    <row r="20912" spans="1:15" x14ac:dyDescent="0.25">
      <c r="A20912" t="s">
        <v>20925</v>
      </c>
      <c r="B20912">
        <v>188</v>
      </c>
      <c r="C20912" s="1" t="str">
        <f>HYPERLINK("http://www.rosaceae.org/gb/gbrowse/malus_x_domestica/?name=MDP0000263148","MDP0000263148")</f>
        <v>MDP0000263148</v>
      </c>
      <c r="D20912">
        <v>37.770000000000003</v>
      </c>
      <c r="E20912">
        <v>90</v>
      </c>
      <c r="F20912">
        <v>56</v>
      </c>
      <c r="G20912">
        <v>2</v>
      </c>
      <c r="H20912">
        <v>47</v>
      </c>
      <c r="I20912">
        <v>136</v>
      </c>
      <c r="J20912">
        <v>1</v>
      </c>
      <c r="K20912">
        <v>10</v>
      </c>
      <c r="L20912">
        <v>97</v>
      </c>
      <c r="M20912">
        <v>1</v>
      </c>
      <c r="N20912">
        <v>9.0690599999999996E-11</v>
      </c>
      <c r="O20912">
        <v>154</v>
      </c>
    </row>
    <row r="20913" spans="1:15" x14ac:dyDescent="0.25">
      <c r="A20913" t="s">
        <v>20926</v>
      </c>
      <c r="B20913">
        <v>154</v>
      </c>
      <c r="C20913" s="1" t="str">
        <f>HYPERLINK("http://www.rosaceae.org/gb/gbrowse/malus_x_domestica/?name=MDP0000280442","MDP0000280442")</f>
        <v>MDP0000280442</v>
      </c>
      <c r="D20913">
        <v>88.23</v>
      </c>
      <c r="E20913">
        <v>153</v>
      </c>
      <c r="F20913">
        <v>18</v>
      </c>
      <c r="G20913">
        <v>0</v>
      </c>
      <c r="H20913">
        <v>1</v>
      </c>
      <c r="I20913">
        <v>153</v>
      </c>
      <c r="J20913">
        <v>1</v>
      </c>
      <c r="K20913">
        <v>1</v>
      </c>
      <c r="L20913">
        <v>153</v>
      </c>
      <c r="M20913">
        <v>1</v>
      </c>
      <c r="N20913">
        <v>1.50637E-71</v>
      </c>
      <c r="O20913">
        <v>677</v>
      </c>
    </row>
    <row r="20914" spans="1:15" x14ac:dyDescent="0.25">
      <c r="A20914" t="s">
        <v>20927</v>
      </c>
      <c r="B20914">
        <v>470</v>
      </c>
      <c r="C20914" s="1" t="str">
        <f>HYPERLINK("http://www.rosaceae.org/gb/gbrowse/malus_x_domestica/?name=MDP0000186626","MDP0000186626")</f>
        <v>MDP0000186626</v>
      </c>
      <c r="D20914">
        <v>73.5</v>
      </c>
      <c r="E20914">
        <v>302</v>
      </c>
      <c r="F20914">
        <v>80</v>
      </c>
      <c r="G20914">
        <v>34</v>
      </c>
      <c r="H20914">
        <v>199</v>
      </c>
      <c r="I20914">
        <v>470</v>
      </c>
      <c r="J20914">
        <v>1</v>
      </c>
      <c r="K20914">
        <v>125</v>
      </c>
      <c r="L20914">
        <v>422</v>
      </c>
      <c r="M20914">
        <v>1</v>
      </c>
      <c r="N20914">
        <v>4.7515400000000001E-122</v>
      </c>
      <c r="O20914">
        <v>1119</v>
      </c>
    </row>
    <row r="20915" spans="1:15" x14ac:dyDescent="0.25">
      <c r="A20915" t="s">
        <v>20928</v>
      </c>
      <c r="B20915">
        <v>284</v>
      </c>
      <c r="C20915" s="1" t="str">
        <f>HYPERLINK("http://www.rosaceae.org/gb/gbrowse/malus_x_domestica/?name=MDP0000915330","MDP0000915330")</f>
        <v>MDP0000915330</v>
      </c>
      <c r="D20915">
        <v>63.81</v>
      </c>
      <c r="E20915">
        <v>304</v>
      </c>
      <c r="F20915">
        <v>110</v>
      </c>
      <c r="G20915">
        <v>29</v>
      </c>
      <c r="H20915">
        <v>1</v>
      </c>
      <c r="I20915">
        <v>284</v>
      </c>
      <c r="J20915">
        <v>1</v>
      </c>
      <c r="K20915">
        <v>1</v>
      </c>
      <c r="L20915">
        <v>295</v>
      </c>
      <c r="M20915">
        <v>1</v>
      </c>
      <c r="N20915">
        <v>5.0090900000000001E-98</v>
      </c>
      <c r="O20915">
        <v>909</v>
      </c>
    </row>
    <row r="20916" spans="1:15" x14ac:dyDescent="0.25">
      <c r="A20916" t="s">
        <v>20929</v>
      </c>
      <c r="B20916">
        <v>1347</v>
      </c>
      <c r="C20916" s="1" t="str">
        <f>HYPERLINK("http://www.rosaceae.org/gb/gbrowse/malus_x_domestica/?name=MDP0000164913","MDP0000164913")</f>
        <v>MDP0000164913</v>
      </c>
      <c r="D20916">
        <v>70.37</v>
      </c>
      <c r="E20916">
        <v>1026</v>
      </c>
      <c r="F20916">
        <v>304</v>
      </c>
      <c r="G20916">
        <v>40</v>
      </c>
      <c r="H20916">
        <v>1</v>
      </c>
      <c r="I20916">
        <v>1024</v>
      </c>
      <c r="J20916">
        <v>1</v>
      </c>
      <c r="K20916">
        <v>1</v>
      </c>
      <c r="L20916">
        <v>988</v>
      </c>
      <c r="M20916">
        <v>1</v>
      </c>
      <c r="N20916">
        <v>0</v>
      </c>
      <c r="O20916">
        <v>3793</v>
      </c>
    </row>
    <row r="20917" spans="1:15" x14ac:dyDescent="0.25">
      <c r="A20917" t="s">
        <v>20930</v>
      </c>
      <c r="B20917">
        <v>382</v>
      </c>
      <c r="C20917" s="1" t="str">
        <f>HYPERLINK("http://www.rosaceae.org/gb/gbrowse/malus_x_domestica/?name=MDP0000225623","MDP0000225623")</f>
        <v>MDP0000225623</v>
      </c>
      <c r="D20917">
        <v>39.049999999999997</v>
      </c>
      <c r="E20917">
        <v>379</v>
      </c>
      <c r="F20917">
        <v>231</v>
      </c>
      <c r="G20917">
        <v>36</v>
      </c>
      <c r="H20917">
        <v>2</v>
      </c>
      <c r="I20917">
        <v>356</v>
      </c>
      <c r="J20917">
        <v>1</v>
      </c>
      <c r="K20917">
        <v>289</v>
      </c>
      <c r="L20917">
        <v>655</v>
      </c>
      <c r="M20917">
        <v>1</v>
      </c>
      <c r="N20917">
        <v>6.0292999999999997E-63</v>
      </c>
      <c r="O20917">
        <v>608</v>
      </c>
    </row>
    <row r="20918" spans="1:15" x14ac:dyDescent="0.25">
      <c r="A20918" t="s">
        <v>20931</v>
      </c>
      <c r="B20918">
        <v>1301</v>
      </c>
      <c r="C20918" s="1" t="str">
        <f>HYPERLINK("http://www.rosaceae.org/gb/gbrowse/malus_x_domestica/?name=MDP0000215611","MDP0000215611")</f>
        <v>MDP0000215611</v>
      </c>
      <c r="D20918">
        <v>57.4</v>
      </c>
      <c r="E20918">
        <v>1397</v>
      </c>
      <c r="F20918">
        <v>595</v>
      </c>
      <c r="G20918">
        <v>167</v>
      </c>
      <c r="H20918">
        <v>22</v>
      </c>
      <c r="I20918">
        <v>1300</v>
      </c>
      <c r="J20918">
        <v>1</v>
      </c>
      <c r="K20918">
        <v>20</v>
      </c>
      <c r="L20918">
        <v>1367</v>
      </c>
      <c r="M20918">
        <v>1</v>
      </c>
      <c r="N20918">
        <v>0</v>
      </c>
      <c r="O20918">
        <v>3764</v>
      </c>
    </row>
    <row r="20919" spans="1:15" x14ac:dyDescent="0.25">
      <c r="A20919" t="s">
        <v>20932</v>
      </c>
      <c r="B20919">
        <v>199</v>
      </c>
      <c r="C20919" s="1" t="str">
        <f>HYPERLINK("http://www.rosaceae.org/gb/gbrowse/malus_x_domestica/?name=MDP0000174579","MDP0000174579")</f>
        <v>MDP0000174579</v>
      </c>
      <c r="D20919">
        <v>48.25</v>
      </c>
      <c r="E20919">
        <v>201</v>
      </c>
      <c r="F20919">
        <v>104</v>
      </c>
      <c r="G20919">
        <v>27</v>
      </c>
      <c r="H20919">
        <v>3</v>
      </c>
      <c r="I20919">
        <v>198</v>
      </c>
      <c r="J20919">
        <v>1</v>
      </c>
      <c r="K20919">
        <v>612</v>
      </c>
      <c r="L20919">
        <v>790</v>
      </c>
      <c r="M20919">
        <v>1</v>
      </c>
      <c r="N20919">
        <v>2.12564E-38</v>
      </c>
      <c r="O20919">
        <v>393</v>
      </c>
    </row>
    <row r="20920" spans="1:15" x14ac:dyDescent="0.25">
      <c r="A20920" t="s">
        <v>20933</v>
      </c>
      <c r="B20920">
        <v>200</v>
      </c>
      <c r="C20920" s="1" t="str">
        <f>HYPERLINK("http://www.rosaceae.org/gb/gbrowse/malus_x_domestica/?name=MDP0000295993","MDP0000295993")</f>
        <v>MDP0000295993</v>
      </c>
      <c r="D20920">
        <v>51.42</v>
      </c>
      <c r="E20920">
        <v>105</v>
      </c>
      <c r="F20920">
        <v>51</v>
      </c>
      <c r="G20920">
        <v>6</v>
      </c>
      <c r="H20920">
        <v>1</v>
      </c>
      <c r="I20920">
        <v>100</v>
      </c>
      <c r="J20920">
        <v>1</v>
      </c>
      <c r="K20920">
        <v>1</v>
      </c>
      <c r="L20920">
        <v>104</v>
      </c>
      <c r="M20920">
        <v>1</v>
      </c>
      <c r="N20920">
        <v>1.7811100000000001E-20</v>
      </c>
      <c r="O20920">
        <v>238</v>
      </c>
    </row>
    <row r="20921" spans="1:15" x14ac:dyDescent="0.25">
      <c r="A20921" t="s">
        <v>20934</v>
      </c>
      <c r="B20921">
        <v>184</v>
      </c>
      <c r="C20921" s="1" t="str">
        <f>HYPERLINK("http://www.rosaceae.org/gb/gbrowse/malus_x_domestica/?name=MDP0000312639","MDP0000312639")</f>
        <v>MDP0000312639</v>
      </c>
      <c r="D20921">
        <v>56.86</v>
      </c>
      <c r="E20921">
        <v>153</v>
      </c>
      <c r="F20921">
        <v>66</v>
      </c>
      <c r="G20921">
        <v>9</v>
      </c>
      <c r="H20921">
        <v>36</v>
      </c>
      <c r="I20921">
        <v>184</v>
      </c>
      <c r="J20921">
        <v>1</v>
      </c>
      <c r="K20921">
        <v>1264</v>
      </c>
      <c r="L20921">
        <v>1411</v>
      </c>
      <c r="M20921">
        <v>1</v>
      </c>
      <c r="N20921">
        <v>5.6294300000000001E-33</v>
      </c>
      <c r="O20921">
        <v>345</v>
      </c>
    </row>
    <row r="20922" spans="1:15" x14ac:dyDescent="0.25">
      <c r="A20922" t="s">
        <v>20935</v>
      </c>
      <c r="B20922">
        <v>468</v>
      </c>
      <c r="C20922" s="1" t="str">
        <f>HYPERLINK("http://www.rosaceae.org/gb/gbrowse/malus_x_domestica/?name=MDP0000219591","MDP0000219591")</f>
        <v>MDP0000219591</v>
      </c>
      <c r="D20922">
        <v>75.489999999999995</v>
      </c>
      <c r="E20922">
        <v>506</v>
      </c>
      <c r="F20922">
        <v>124</v>
      </c>
      <c r="G20922">
        <v>65</v>
      </c>
      <c r="H20922">
        <v>28</v>
      </c>
      <c r="I20922">
        <v>468</v>
      </c>
      <c r="J20922">
        <v>1</v>
      </c>
      <c r="K20922">
        <v>2</v>
      </c>
      <c r="L20922">
        <v>507</v>
      </c>
      <c r="M20922">
        <v>1</v>
      </c>
      <c r="N20922">
        <v>0</v>
      </c>
      <c r="O20922">
        <v>1893</v>
      </c>
    </row>
    <row r="20923" spans="1:15" x14ac:dyDescent="0.25">
      <c r="A20923" t="s">
        <v>20936</v>
      </c>
      <c r="B20923">
        <v>476</v>
      </c>
      <c r="C20923" s="1" t="str">
        <f>HYPERLINK("http://www.rosaceae.org/gb/gbrowse/malus_x_domestica/?name=MDP0000753159","MDP0000753159")</f>
        <v>MDP0000753159</v>
      </c>
      <c r="D20923">
        <v>65.3</v>
      </c>
      <c r="E20923">
        <v>490</v>
      </c>
      <c r="F20923">
        <v>170</v>
      </c>
      <c r="G20923">
        <v>16</v>
      </c>
      <c r="H20923">
        <v>1</v>
      </c>
      <c r="I20923">
        <v>476</v>
      </c>
      <c r="J20923">
        <v>1</v>
      </c>
      <c r="K20923">
        <v>1</v>
      </c>
      <c r="L20923">
        <v>488</v>
      </c>
      <c r="M20923">
        <v>1</v>
      </c>
      <c r="N20923">
        <v>0</v>
      </c>
      <c r="O20923">
        <v>1632</v>
      </c>
    </row>
    <row r="20924" spans="1:15" x14ac:dyDescent="0.25">
      <c r="A20924" t="s">
        <v>20937</v>
      </c>
      <c r="B20924">
        <v>501</v>
      </c>
      <c r="C20924" s="1" t="str">
        <f>HYPERLINK("http://www.rosaceae.org/gb/gbrowse/malus_x_domestica/?name=MDP0000252728","MDP0000252728")</f>
        <v>MDP0000252728</v>
      </c>
      <c r="D20924">
        <v>74.16</v>
      </c>
      <c r="E20924">
        <v>418</v>
      </c>
      <c r="F20924">
        <v>108</v>
      </c>
      <c r="G20924">
        <v>2</v>
      </c>
      <c r="H20924">
        <v>4</v>
      </c>
      <c r="I20924">
        <v>420</v>
      </c>
      <c r="J20924">
        <v>1</v>
      </c>
      <c r="K20924">
        <v>58</v>
      </c>
      <c r="L20924">
        <v>474</v>
      </c>
      <c r="M20924">
        <v>1</v>
      </c>
      <c r="N20924">
        <v>0</v>
      </c>
      <c r="O20924">
        <v>1630</v>
      </c>
    </row>
    <row r="20925" spans="1:15" x14ac:dyDescent="0.25">
      <c r="A20925" t="s">
        <v>20938</v>
      </c>
      <c r="B20925">
        <v>357</v>
      </c>
      <c r="C20925" s="1" t="str">
        <f>HYPERLINK("http://www.rosaceae.org/gb/gbrowse/malus_x_domestica/?name=MDP0000208347","MDP0000208347")</f>
        <v>MDP0000208347</v>
      </c>
      <c r="D20925">
        <v>49.36</v>
      </c>
      <c r="E20925">
        <v>316</v>
      </c>
      <c r="F20925">
        <v>160</v>
      </c>
      <c r="G20925">
        <v>48</v>
      </c>
      <c r="H20925">
        <v>1</v>
      </c>
      <c r="I20925">
        <v>270</v>
      </c>
      <c r="J20925">
        <v>1</v>
      </c>
      <c r="K20925">
        <v>1</v>
      </c>
      <c r="L20925">
        <v>314</v>
      </c>
      <c r="M20925">
        <v>1</v>
      </c>
      <c r="N20925">
        <v>7.3940699999999997E-69</v>
      </c>
      <c r="O20925">
        <v>659</v>
      </c>
    </row>
    <row r="20926" spans="1:15" x14ac:dyDescent="0.25">
      <c r="A20926" t="s">
        <v>20939</v>
      </c>
      <c r="B20926">
        <v>445</v>
      </c>
      <c r="C20926" s="1" t="str">
        <f>HYPERLINK("http://www.rosaceae.org/gb/gbrowse/malus_x_domestica/?name=MDP0000212465","MDP0000212465")</f>
        <v>MDP0000212465</v>
      </c>
      <c r="D20926">
        <v>73.510000000000005</v>
      </c>
      <c r="E20926">
        <v>438</v>
      </c>
      <c r="F20926">
        <v>116</v>
      </c>
      <c r="G20926">
        <v>2</v>
      </c>
      <c r="H20926">
        <v>6</v>
      </c>
      <c r="I20926">
        <v>443</v>
      </c>
      <c r="J20926">
        <v>1</v>
      </c>
      <c r="K20926">
        <v>7</v>
      </c>
      <c r="L20926">
        <v>442</v>
      </c>
      <c r="M20926">
        <v>1</v>
      </c>
      <c r="N20926">
        <v>0</v>
      </c>
      <c r="O20926">
        <v>1791</v>
      </c>
    </row>
    <row r="20927" spans="1:15" x14ac:dyDescent="0.25">
      <c r="A20927" t="s">
        <v>20940</v>
      </c>
      <c r="B20927">
        <v>128</v>
      </c>
      <c r="C20927" s="1" t="str">
        <f>HYPERLINK("http://www.rosaceae.org/gb/gbrowse/malus_x_domestica/?name=MDP0000231858","MDP0000231858")</f>
        <v>MDP0000231858</v>
      </c>
      <c r="D20927">
        <v>62.3</v>
      </c>
      <c r="E20927">
        <v>130</v>
      </c>
      <c r="F20927">
        <v>49</v>
      </c>
      <c r="G20927">
        <v>3</v>
      </c>
      <c r="H20927">
        <v>1</v>
      </c>
      <c r="I20927">
        <v>127</v>
      </c>
      <c r="J20927">
        <v>1</v>
      </c>
      <c r="K20927">
        <v>286</v>
      </c>
      <c r="L20927">
        <v>415</v>
      </c>
      <c r="M20927">
        <v>1</v>
      </c>
      <c r="N20927">
        <v>4.8044499999999997E-36</v>
      </c>
      <c r="O20927">
        <v>369</v>
      </c>
    </row>
    <row r="20928" spans="1:15" x14ac:dyDescent="0.25">
      <c r="A20928" t="s">
        <v>20941</v>
      </c>
      <c r="B20928">
        <v>731</v>
      </c>
      <c r="C20928" s="1" t="str">
        <f>HYPERLINK("http://www.rosaceae.org/gb/gbrowse/malus_x_domestica/?name=MDP0000127365","MDP0000127365")</f>
        <v>MDP0000127365</v>
      </c>
      <c r="D20928">
        <v>38.9</v>
      </c>
      <c r="E20928">
        <v>437</v>
      </c>
      <c r="F20928">
        <v>267</v>
      </c>
      <c r="G20928">
        <v>53</v>
      </c>
      <c r="H20928">
        <v>333</v>
      </c>
      <c r="I20928">
        <v>731</v>
      </c>
      <c r="J20928">
        <v>1</v>
      </c>
      <c r="K20928">
        <v>297</v>
      </c>
      <c r="L20928">
        <v>718</v>
      </c>
      <c r="M20928">
        <v>1</v>
      </c>
      <c r="N20928">
        <v>5.40249E-63</v>
      </c>
      <c r="O20928">
        <v>611</v>
      </c>
    </row>
    <row r="20929" spans="1:15" x14ac:dyDescent="0.25">
      <c r="A20929" t="s">
        <v>20942</v>
      </c>
      <c r="B20929">
        <v>188</v>
      </c>
      <c r="C20929" s="1" t="str">
        <f>HYPERLINK("http://www.rosaceae.org/gb/gbrowse/malus_x_domestica/?name=MDP0000222938","MDP0000222938")</f>
        <v>MDP0000222938</v>
      </c>
      <c r="D20929">
        <v>84.09</v>
      </c>
      <c r="E20929">
        <v>132</v>
      </c>
      <c r="F20929">
        <v>21</v>
      </c>
      <c r="G20929">
        <v>3</v>
      </c>
      <c r="H20929">
        <v>1</v>
      </c>
      <c r="I20929">
        <v>129</v>
      </c>
      <c r="J20929">
        <v>1</v>
      </c>
      <c r="K20929">
        <v>1</v>
      </c>
      <c r="L20929">
        <v>132</v>
      </c>
      <c r="M20929">
        <v>1</v>
      </c>
      <c r="N20929">
        <v>4.3967500000000002E-62</v>
      </c>
      <c r="O20929">
        <v>597</v>
      </c>
    </row>
    <row r="20930" spans="1:15" x14ac:dyDescent="0.25">
      <c r="A20930" t="s">
        <v>20943</v>
      </c>
      <c r="B20930">
        <v>452</v>
      </c>
      <c r="C20930" s="1" t="str">
        <f>HYPERLINK("http://www.rosaceae.org/gb/gbrowse/malus_x_domestica/?name=MDP0000332786","MDP0000332786")</f>
        <v>MDP0000332786</v>
      </c>
      <c r="D20930">
        <v>78.91</v>
      </c>
      <c r="E20930">
        <v>313</v>
      </c>
      <c r="F20930">
        <v>66</v>
      </c>
      <c r="G20930">
        <v>11</v>
      </c>
      <c r="H20930">
        <v>142</v>
      </c>
      <c r="I20930">
        <v>443</v>
      </c>
      <c r="J20930">
        <v>1</v>
      </c>
      <c r="K20930">
        <v>16</v>
      </c>
      <c r="L20930">
        <v>328</v>
      </c>
      <c r="M20930">
        <v>1</v>
      </c>
      <c r="N20930">
        <v>1.4826500000000001E-136</v>
      </c>
      <c r="O20930">
        <v>1244</v>
      </c>
    </row>
    <row r="20931" spans="1:15" x14ac:dyDescent="0.25">
      <c r="A20931" t="s">
        <v>20944</v>
      </c>
      <c r="B20931">
        <v>293</v>
      </c>
      <c r="C20931" s="1" t="str">
        <f>HYPERLINK("http://www.rosaceae.org/gb/gbrowse/malus_x_domestica/?name=MDP0000279715","MDP0000279715")</f>
        <v>MDP0000279715</v>
      </c>
      <c r="D20931">
        <v>65.34</v>
      </c>
      <c r="E20931">
        <v>277</v>
      </c>
      <c r="F20931">
        <v>96</v>
      </c>
      <c r="G20931">
        <v>9</v>
      </c>
      <c r="H20931">
        <v>1</v>
      </c>
      <c r="I20931">
        <v>274</v>
      </c>
      <c r="J20931">
        <v>1</v>
      </c>
      <c r="K20931">
        <v>332</v>
      </c>
      <c r="L20931">
        <v>602</v>
      </c>
      <c r="M20931">
        <v>1</v>
      </c>
      <c r="N20931">
        <v>2.08141E-97</v>
      </c>
      <c r="O20931">
        <v>904</v>
      </c>
    </row>
    <row r="20932" spans="1:15" x14ac:dyDescent="0.25">
      <c r="A20932" t="s">
        <v>20945</v>
      </c>
      <c r="B20932">
        <v>552</v>
      </c>
      <c r="C20932" s="1" t="str">
        <f>HYPERLINK("http://www.rosaceae.org/gb/gbrowse/malus_x_domestica/?name=MDP0000286457","MDP0000286457")</f>
        <v>MDP0000286457</v>
      </c>
      <c r="D20932">
        <v>52.05</v>
      </c>
      <c r="E20932">
        <v>365</v>
      </c>
      <c r="F20932">
        <v>175</v>
      </c>
      <c r="G20932">
        <v>27</v>
      </c>
      <c r="H20932">
        <v>212</v>
      </c>
      <c r="I20932">
        <v>549</v>
      </c>
      <c r="J20932">
        <v>1</v>
      </c>
      <c r="K20932">
        <v>26</v>
      </c>
      <c r="L20932">
        <v>390</v>
      </c>
      <c r="M20932">
        <v>1</v>
      </c>
      <c r="N20932">
        <v>3.9650600000000002E-104</v>
      </c>
      <c r="O20932">
        <v>965</v>
      </c>
    </row>
    <row r="20933" spans="1:15" x14ac:dyDescent="0.25">
      <c r="A20933" t="s">
        <v>20946</v>
      </c>
      <c r="B20933">
        <v>387</v>
      </c>
      <c r="C20933" s="1" t="str">
        <f>HYPERLINK("http://www.rosaceae.org/gb/gbrowse/malus_x_domestica/?name=MDP0000243958","MDP0000243958")</f>
        <v>MDP0000243958</v>
      </c>
      <c r="D20933">
        <v>78.510000000000005</v>
      </c>
      <c r="E20933">
        <v>270</v>
      </c>
      <c r="F20933">
        <v>58</v>
      </c>
      <c r="G20933">
        <v>2</v>
      </c>
      <c r="H20933">
        <v>87</v>
      </c>
      <c r="I20933">
        <v>354</v>
      </c>
      <c r="J20933">
        <v>1</v>
      </c>
      <c r="K20933">
        <v>9</v>
      </c>
      <c r="L20933">
        <v>278</v>
      </c>
      <c r="M20933">
        <v>1</v>
      </c>
      <c r="N20933">
        <v>6.7214600000000004E-124</v>
      </c>
      <c r="O20933">
        <v>1134</v>
      </c>
    </row>
    <row r="20934" spans="1:15" x14ac:dyDescent="0.25">
      <c r="A20934" t="s">
        <v>20947</v>
      </c>
      <c r="B20934">
        <v>517</v>
      </c>
      <c r="C20934" s="1" t="str">
        <f>HYPERLINK("http://www.rosaceae.org/gb/gbrowse/malus_x_domestica/?name=MDP0000191389","MDP0000191389")</f>
        <v>MDP0000191389</v>
      </c>
      <c r="D20934">
        <v>78.489999999999995</v>
      </c>
      <c r="E20934">
        <v>530</v>
      </c>
      <c r="F20934">
        <v>114</v>
      </c>
      <c r="G20934">
        <v>14</v>
      </c>
      <c r="H20934">
        <v>2</v>
      </c>
      <c r="I20934">
        <v>517</v>
      </c>
      <c r="J20934">
        <v>1</v>
      </c>
      <c r="K20934">
        <v>1</v>
      </c>
      <c r="L20934">
        <v>530</v>
      </c>
      <c r="M20934">
        <v>1</v>
      </c>
      <c r="N20934">
        <v>0</v>
      </c>
      <c r="O20934">
        <v>2208</v>
      </c>
    </row>
    <row r="20935" spans="1:15" x14ac:dyDescent="0.25">
      <c r="A20935" t="s">
        <v>20948</v>
      </c>
      <c r="B20935">
        <v>877</v>
      </c>
      <c r="C20935" s="1" t="str">
        <f>HYPERLINK("http://www.rosaceae.org/gb/gbrowse/malus_x_domestica/?name=MDP0000251514","MDP0000251514")</f>
        <v>MDP0000251514</v>
      </c>
      <c r="D20935">
        <v>59.87</v>
      </c>
      <c r="E20935">
        <v>491</v>
      </c>
      <c r="F20935">
        <v>197</v>
      </c>
      <c r="G20935">
        <v>74</v>
      </c>
      <c r="H20935">
        <v>40</v>
      </c>
      <c r="I20935">
        <v>501</v>
      </c>
      <c r="J20935">
        <v>1</v>
      </c>
      <c r="K20935">
        <v>1</v>
      </c>
      <c r="L20935">
        <v>446</v>
      </c>
      <c r="M20935">
        <v>1</v>
      </c>
      <c r="N20935">
        <v>1.04721E-160</v>
      </c>
      <c r="O20935">
        <v>1455</v>
      </c>
    </row>
    <row r="20936" spans="1:15" x14ac:dyDescent="0.25">
      <c r="A20936" t="s">
        <v>20949</v>
      </c>
      <c r="B20936">
        <v>581</v>
      </c>
      <c r="C20936" s="1" t="str">
        <f>HYPERLINK("http://www.rosaceae.org/gb/gbrowse/malus_x_domestica/?name=MDP0000126033","MDP0000126033")</f>
        <v>MDP0000126033</v>
      </c>
      <c r="D20936">
        <v>69.44</v>
      </c>
      <c r="E20936">
        <v>252</v>
      </c>
      <c r="F20936">
        <v>77</v>
      </c>
      <c r="G20936">
        <v>1</v>
      </c>
      <c r="H20936">
        <v>327</v>
      </c>
      <c r="I20936">
        <v>577</v>
      </c>
      <c r="J20936">
        <v>1</v>
      </c>
      <c r="K20936">
        <v>122</v>
      </c>
      <c r="L20936">
        <v>373</v>
      </c>
      <c r="M20936">
        <v>1</v>
      </c>
      <c r="N20936">
        <v>4.7276999999999998E-98</v>
      </c>
      <c r="O20936">
        <v>913</v>
      </c>
    </row>
    <row r="20937" spans="1:15" x14ac:dyDescent="0.25">
      <c r="A20937" t="s">
        <v>20950</v>
      </c>
      <c r="B20937">
        <v>243</v>
      </c>
      <c r="C20937" s="1" t="str">
        <f>HYPERLINK("http://www.rosaceae.org/gb/gbrowse/malus_x_domestica/?name=MDP0000251789","MDP0000251789")</f>
        <v>MDP0000251789</v>
      </c>
      <c r="D20937">
        <v>71.87</v>
      </c>
      <c r="E20937">
        <v>96</v>
      </c>
      <c r="F20937">
        <v>27</v>
      </c>
      <c r="G20937">
        <v>1</v>
      </c>
      <c r="H20937">
        <v>148</v>
      </c>
      <c r="I20937">
        <v>243</v>
      </c>
      <c r="J20937">
        <v>1</v>
      </c>
      <c r="K20937">
        <v>318</v>
      </c>
      <c r="L20937">
        <v>412</v>
      </c>
      <c r="M20937">
        <v>1</v>
      </c>
      <c r="N20937">
        <v>1.09736E-31</v>
      </c>
      <c r="O20937">
        <v>336</v>
      </c>
    </row>
    <row r="20938" spans="1:15" x14ac:dyDescent="0.25">
      <c r="A20938" t="s">
        <v>20951</v>
      </c>
      <c r="B20938">
        <v>197</v>
      </c>
      <c r="C20938" s="1" t="str">
        <f>HYPERLINK("http://www.rosaceae.org/gb/gbrowse/malus_x_domestica/?name=MDP0000169530","MDP0000169530")</f>
        <v>MDP0000169530</v>
      </c>
      <c r="D20938">
        <v>58.92</v>
      </c>
      <c r="E20938">
        <v>168</v>
      </c>
      <c r="F20938">
        <v>69</v>
      </c>
      <c r="G20938">
        <v>5</v>
      </c>
      <c r="H20938">
        <v>23</v>
      </c>
      <c r="I20938">
        <v>187</v>
      </c>
      <c r="J20938">
        <v>1</v>
      </c>
      <c r="K20938">
        <v>23</v>
      </c>
      <c r="L20938">
        <v>188</v>
      </c>
      <c r="M20938">
        <v>1</v>
      </c>
      <c r="N20938">
        <v>2.3927300000000001E-50</v>
      </c>
      <c r="O20938">
        <v>496</v>
      </c>
    </row>
    <row r="20939" spans="1:15" x14ac:dyDescent="0.25">
      <c r="A20939" t="s">
        <v>20952</v>
      </c>
      <c r="B20939">
        <v>548</v>
      </c>
      <c r="C20939" s="1" t="str">
        <f>HYPERLINK("http://www.rosaceae.org/gb/gbrowse/malus_x_domestica/?name=MDP0000219364","MDP0000219364")</f>
        <v>MDP0000219364</v>
      </c>
      <c r="D20939">
        <v>46.96</v>
      </c>
      <c r="E20939">
        <v>462</v>
      </c>
      <c r="F20939">
        <v>245</v>
      </c>
      <c r="G20939">
        <v>77</v>
      </c>
      <c r="H20939">
        <v>107</v>
      </c>
      <c r="I20939">
        <v>527</v>
      </c>
      <c r="J20939">
        <v>1</v>
      </c>
      <c r="K20939">
        <v>1</v>
      </c>
      <c r="L20939">
        <v>426</v>
      </c>
      <c r="M20939">
        <v>1</v>
      </c>
      <c r="N20939">
        <v>3.1795900000000001E-86</v>
      </c>
      <c r="O20939">
        <v>810</v>
      </c>
    </row>
    <row r="20940" spans="1:15" x14ac:dyDescent="0.25">
      <c r="A20940" t="s">
        <v>20953</v>
      </c>
      <c r="B20940">
        <v>921</v>
      </c>
      <c r="C20940" s="1" t="str">
        <f>HYPERLINK("http://www.rosaceae.org/gb/gbrowse/malus_x_domestica/?name=MDP0000163805","MDP0000163805")</f>
        <v>MDP0000163805</v>
      </c>
      <c r="D20940">
        <v>81.56</v>
      </c>
      <c r="E20940">
        <v>423</v>
      </c>
      <c r="F20940">
        <v>78</v>
      </c>
      <c r="G20940">
        <v>9</v>
      </c>
      <c r="H20940">
        <v>186</v>
      </c>
      <c r="I20940">
        <v>599</v>
      </c>
      <c r="J20940">
        <v>1</v>
      </c>
      <c r="K20940">
        <v>1</v>
      </c>
      <c r="L20940">
        <v>423</v>
      </c>
      <c r="M20940">
        <v>1</v>
      </c>
      <c r="N20940">
        <v>0</v>
      </c>
      <c r="O20940">
        <v>1819</v>
      </c>
    </row>
    <row r="20941" spans="1:15" x14ac:dyDescent="0.25">
      <c r="A20941" t="s">
        <v>20954</v>
      </c>
      <c r="B20941">
        <v>128</v>
      </c>
      <c r="C20941" s="1" t="str">
        <f>HYPERLINK("http://www.rosaceae.org/gb/gbrowse/malus_x_domestica/?name=MDP0000184906","MDP0000184906")</f>
        <v>MDP0000184906</v>
      </c>
      <c r="D20941">
        <v>55.81</v>
      </c>
      <c r="E20941">
        <v>43</v>
      </c>
      <c r="F20941">
        <v>19</v>
      </c>
      <c r="G20941">
        <v>2</v>
      </c>
      <c r="H20941">
        <v>86</v>
      </c>
      <c r="I20941">
        <v>128</v>
      </c>
      <c r="J20941">
        <v>1</v>
      </c>
      <c r="K20941">
        <v>335</v>
      </c>
      <c r="L20941">
        <v>375</v>
      </c>
      <c r="M20941">
        <v>1</v>
      </c>
      <c r="N20941">
        <v>7.6027700000000005E-7</v>
      </c>
      <c r="O20941">
        <v>117</v>
      </c>
    </row>
    <row r="20942" spans="1:15" x14ac:dyDescent="0.25">
      <c r="A20942" t="s">
        <v>20955</v>
      </c>
      <c r="B20942">
        <v>418</v>
      </c>
      <c r="C20942" s="1" t="str">
        <f>HYPERLINK("http://www.rosaceae.org/gb/gbrowse/malus_x_domestica/?name=MDP0000287503","MDP0000287503")</f>
        <v>MDP0000287503</v>
      </c>
      <c r="D20942">
        <v>30.27</v>
      </c>
      <c r="E20942">
        <v>294</v>
      </c>
      <c r="F20942">
        <v>205</v>
      </c>
      <c r="G20942">
        <v>48</v>
      </c>
      <c r="H20942">
        <v>149</v>
      </c>
      <c r="I20942">
        <v>405</v>
      </c>
      <c r="J20942">
        <v>1</v>
      </c>
      <c r="K20942">
        <v>11</v>
      </c>
      <c r="L20942">
        <v>293</v>
      </c>
      <c r="M20942">
        <v>1</v>
      </c>
      <c r="N20942">
        <v>1.7821200000000001E-31</v>
      </c>
      <c r="O20942">
        <v>337</v>
      </c>
    </row>
    <row r="20943" spans="1:15" x14ac:dyDescent="0.25">
      <c r="A20943" t="s">
        <v>20956</v>
      </c>
      <c r="B20943">
        <v>169</v>
      </c>
      <c r="C20943" s="1" t="str">
        <f>HYPERLINK("http://www.rosaceae.org/gb/gbrowse/malus_x_domestica/?name=MDP0000262889","MDP0000262889")</f>
        <v>MDP0000262889</v>
      </c>
      <c r="D20943">
        <v>73.459999999999994</v>
      </c>
      <c r="E20943">
        <v>147</v>
      </c>
      <c r="F20943">
        <v>39</v>
      </c>
      <c r="G20943">
        <v>7</v>
      </c>
      <c r="H20943">
        <v>28</v>
      </c>
      <c r="I20943">
        <v>169</v>
      </c>
      <c r="J20943">
        <v>1</v>
      </c>
      <c r="K20943">
        <v>1292</v>
      </c>
      <c r="L20943">
        <v>1436</v>
      </c>
      <c r="M20943">
        <v>1</v>
      </c>
      <c r="N20943">
        <v>3.0770899999999999E-56</v>
      </c>
      <c r="O20943">
        <v>545</v>
      </c>
    </row>
    <row r="20944" spans="1:15" x14ac:dyDescent="0.25">
      <c r="A20944" t="s">
        <v>20957</v>
      </c>
      <c r="B20944">
        <v>511</v>
      </c>
      <c r="C20944" s="1" t="str">
        <f>HYPERLINK("http://www.rosaceae.org/gb/gbrowse/malus_x_domestica/?name=MDP0000139264","MDP0000139264")</f>
        <v>MDP0000139264</v>
      </c>
      <c r="D20944">
        <v>35.57</v>
      </c>
      <c r="E20944">
        <v>149</v>
      </c>
      <c r="F20944">
        <v>96</v>
      </c>
      <c r="G20944">
        <v>13</v>
      </c>
      <c r="H20944">
        <v>31</v>
      </c>
      <c r="I20944">
        <v>177</v>
      </c>
      <c r="J20944">
        <v>1</v>
      </c>
      <c r="K20944">
        <v>1</v>
      </c>
      <c r="L20944">
        <v>138</v>
      </c>
      <c r="M20944">
        <v>1</v>
      </c>
      <c r="N20944">
        <v>2.7136499999999998E-13</v>
      </c>
      <c r="O20944">
        <v>181</v>
      </c>
    </row>
    <row r="20945" spans="1:15" x14ac:dyDescent="0.25">
      <c r="A20945" t="s">
        <v>20958</v>
      </c>
      <c r="B20945">
        <v>412</v>
      </c>
      <c r="C20945" s="1" t="str">
        <f>HYPERLINK("http://www.rosaceae.org/gb/gbrowse/malus_x_domestica/?name=MDP0000203941","MDP0000203941")</f>
        <v>MDP0000203941</v>
      </c>
      <c r="D20945">
        <v>85.04</v>
      </c>
      <c r="E20945">
        <v>408</v>
      </c>
      <c r="F20945">
        <v>61</v>
      </c>
      <c r="G20945">
        <v>7</v>
      </c>
      <c r="H20945">
        <v>12</v>
      </c>
      <c r="I20945">
        <v>412</v>
      </c>
      <c r="J20945">
        <v>1</v>
      </c>
      <c r="K20945">
        <v>22</v>
      </c>
      <c r="L20945">
        <v>429</v>
      </c>
      <c r="M20945">
        <v>1</v>
      </c>
      <c r="N20945">
        <v>0</v>
      </c>
      <c r="O20945">
        <v>1874</v>
      </c>
    </row>
    <row r="20946" spans="1:15" x14ac:dyDescent="0.25">
      <c r="A20946" t="s">
        <v>20959</v>
      </c>
      <c r="B20946">
        <v>448</v>
      </c>
      <c r="C20946" s="1" t="str">
        <f>HYPERLINK("http://www.rosaceae.org/gb/gbrowse/malus_x_domestica/?name=MDP0000185125","MDP0000185125")</f>
        <v>MDP0000185125</v>
      </c>
      <c r="D20946">
        <v>32.85</v>
      </c>
      <c r="E20946">
        <v>210</v>
      </c>
      <c r="F20946">
        <v>141</v>
      </c>
      <c r="G20946">
        <v>0</v>
      </c>
      <c r="H20946">
        <v>211</v>
      </c>
      <c r="I20946">
        <v>420</v>
      </c>
      <c r="J20946">
        <v>1</v>
      </c>
      <c r="K20946">
        <v>13</v>
      </c>
      <c r="L20946">
        <v>222</v>
      </c>
      <c r="M20946">
        <v>1</v>
      </c>
      <c r="N20946">
        <v>7.8262899999999997E-27</v>
      </c>
      <c r="O20946">
        <v>297</v>
      </c>
    </row>
    <row r="20947" spans="1:15" x14ac:dyDescent="0.25">
      <c r="A20947" t="s">
        <v>20960</v>
      </c>
      <c r="B20947">
        <v>309</v>
      </c>
      <c r="C20947" s="1" t="str">
        <f>HYPERLINK("http://www.rosaceae.org/gb/gbrowse/malus_x_domestica/?name=MDP0000156783","MDP0000156783")</f>
        <v>MDP0000156783</v>
      </c>
      <c r="D20947">
        <v>48.51</v>
      </c>
      <c r="E20947">
        <v>336</v>
      </c>
      <c r="F20947">
        <v>173</v>
      </c>
      <c r="G20947">
        <v>44</v>
      </c>
      <c r="H20947">
        <v>1</v>
      </c>
      <c r="I20947">
        <v>307</v>
      </c>
      <c r="J20947">
        <v>1</v>
      </c>
      <c r="K20947">
        <v>1</v>
      </c>
      <c r="L20947">
        <v>321</v>
      </c>
      <c r="M20947">
        <v>1</v>
      </c>
      <c r="N20947">
        <v>6.9492100000000002E-74</v>
      </c>
      <c r="O20947">
        <v>701</v>
      </c>
    </row>
    <row r="20948" spans="1:15" x14ac:dyDescent="0.25">
      <c r="A20948" t="s">
        <v>20961</v>
      </c>
      <c r="B20948">
        <v>421</v>
      </c>
      <c r="C20948" s="1" t="str">
        <f>HYPERLINK("http://www.rosaceae.org/gb/gbrowse/malus_x_domestica/?name=MDP0000639265","MDP0000639265")</f>
        <v>MDP0000639265</v>
      </c>
      <c r="D20948">
        <v>84.12</v>
      </c>
      <c r="E20948">
        <v>422</v>
      </c>
      <c r="F20948">
        <v>67</v>
      </c>
      <c r="G20948">
        <v>2</v>
      </c>
      <c r="H20948">
        <v>1</v>
      </c>
      <c r="I20948">
        <v>421</v>
      </c>
      <c r="J20948">
        <v>1</v>
      </c>
      <c r="K20948">
        <v>1</v>
      </c>
      <c r="L20948">
        <v>421</v>
      </c>
      <c r="M20948">
        <v>1</v>
      </c>
      <c r="N20948">
        <v>0</v>
      </c>
      <c r="O20948">
        <v>1836</v>
      </c>
    </row>
    <row r="20949" spans="1:15" x14ac:dyDescent="0.25">
      <c r="A20949" t="s">
        <v>20962</v>
      </c>
      <c r="B20949">
        <v>816</v>
      </c>
      <c r="C20949" s="1" t="str">
        <f>HYPERLINK("http://www.rosaceae.org/gb/gbrowse/malus_x_domestica/?name=MDP0000688642","MDP0000688642")</f>
        <v>MDP0000688642</v>
      </c>
      <c r="D20949">
        <v>58.02</v>
      </c>
      <c r="E20949">
        <v>729</v>
      </c>
      <c r="F20949">
        <v>306</v>
      </c>
      <c r="G20949">
        <v>32</v>
      </c>
      <c r="H20949">
        <v>1</v>
      </c>
      <c r="I20949">
        <v>710</v>
      </c>
      <c r="J20949">
        <v>1</v>
      </c>
      <c r="K20949">
        <v>1</v>
      </c>
      <c r="L20949">
        <v>716</v>
      </c>
      <c r="M20949">
        <v>1</v>
      </c>
      <c r="N20949">
        <v>0</v>
      </c>
      <c r="O20949">
        <v>1954</v>
      </c>
    </row>
    <row r="20950" spans="1:15" x14ac:dyDescent="0.25">
      <c r="A20950" t="s">
        <v>20963</v>
      </c>
      <c r="B20950">
        <v>716</v>
      </c>
      <c r="C20950" s="1" t="str">
        <f>HYPERLINK("http://www.rosaceae.org/gb/gbrowse/malus_x_domestica/?name=MDP0000902638","MDP0000902638")</f>
        <v>MDP0000902638</v>
      </c>
      <c r="D20950">
        <v>57.88</v>
      </c>
      <c r="E20950">
        <v>634</v>
      </c>
      <c r="F20950">
        <v>267</v>
      </c>
      <c r="G20950">
        <v>55</v>
      </c>
      <c r="H20950">
        <v>30</v>
      </c>
      <c r="I20950">
        <v>662</v>
      </c>
      <c r="J20950">
        <v>1</v>
      </c>
      <c r="K20950">
        <v>47</v>
      </c>
      <c r="L20950">
        <v>626</v>
      </c>
      <c r="M20950">
        <v>1</v>
      </c>
      <c r="N20950">
        <v>0</v>
      </c>
      <c r="O20950">
        <v>1701</v>
      </c>
    </row>
    <row r="20951" spans="1:15" x14ac:dyDescent="0.25">
      <c r="A20951" t="s">
        <v>20964</v>
      </c>
      <c r="B20951">
        <v>204</v>
      </c>
      <c r="C20951" s="1" t="str">
        <f>HYPERLINK("http://www.rosaceae.org/gb/gbrowse/malus_x_domestica/?name=MDP0000278575","MDP0000278575")</f>
        <v>MDP0000278575</v>
      </c>
      <c r="D20951">
        <v>60.34</v>
      </c>
      <c r="E20951">
        <v>58</v>
      </c>
      <c r="F20951">
        <v>23</v>
      </c>
      <c r="G20951">
        <v>0</v>
      </c>
      <c r="H20951">
        <v>21</v>
      </c>
      <c r="I20951">
        <v>78</v>
      </c>
      <c r="J20951">
        <v>1</v>
      </c>
      <c r="K20951">
        <v>755</v>
      </c>
      <c r="L20951">
        <v>812</v>
      </c>
      <c r="M20951">
        <v>1</v>
      </c>
      <c r="N20951">
        <v>1.1092499999999999E-14</v>
      </c>
      <c r="O20951">
        <v>188</v>
      </c>
    </row>
    <row r="20952" spans="1:15" x14ac:dyDescent="0.25">
      <c r="A20952" t="s">
        <v>20965</v>
      </c>
      <c r="B20952">
        <v>160</v>
      </c>
      <c r="C20952" s="1" t="str">
        <f>HYPERLINK("http://www.rosaceae.org/gb/gbrowse/malus_x_domestica/?name=MDP0000315471","MDP0000315471")</f>
        <v>MDP0000315471</v>
      </c>
      <c r="D20952">
        <v>51.11</v>
      </c>
      <c r="E20952">
        <v>90</v>
      </c>
      <c r="F20952">
        <v>44</v>
      </c>
      <c r="G20952">
        <v>13</v>
      </c>
      <c r="H20952">
        <v>83</v>
      </c>
      <c r="I20952">
        <v>160</v>
      </c>
      <c r="J20952">
        <v>1</v>
      </c>
      <c r="K20952">
        <v>398</v>
      </c>
      <c r="L20952">
        <v>486</v>
      </c>
      <c r="M20952">
        <v>1</v>
      </c>
      <c r="N20952">
        <v>1.0309700000000001E-15</v>
      </c>
      <c r="O20952">
        <v>195</v>
      </c>
    </row>
    <row r="20953" spans="1:15" x14ac:dyDescent="0.25">
      <c r="A20953" t="s">
        <v>20966</v>
      </c>
      <c r="B20953">
        <v>464</v>
      </c>
      <c r="C20953" s="1" t="str">
        <f>HYPERLINK("http://www.rosaceae.org/gb/gbrowse/malus_x_domestica/?name=MDP0000175405","MDP0000175405")</f>
        <v>MDP0000175405</v>
      </c>
      <c r="D20953">
        <v>73.760000000000005</v>
      </c>
      <c r="E20953">
        <v>526</v>
      </c>
      <c r="F20953">
        <v>138</v>
      </c>
      <c r="G20953">
        <v>65</v>
      </c>
      <c r="H20953">
        <v>1</v>
      </c>
      <c r="I20953">
        <v>463</v>
      </c>
      <c r="J20953">
        <v>1</v>
      </c>
      <c r="K20953">
        <v>282</v>
      </c>
      <c r="L20953">
        <v>805</v>
      </c>
      <c r="M20953">
        <v>1</v>
      </c>
      <c r="N20953">
        <v>0</v>
      </c>
      <c r="O20953">
        <v>1938</v>
      </c>
    </row>
    <row r="20954" spans="1:15" x14ac:dyDescent="0.25">
      <c r="A20954" t="s">
        <v>20967</v>
      </c>
      <c r="B20954">
        <v>270</v>
      </c>
      <c r="C20954" s="1" t="str">
        <f>HYPERLINK("http://www.rosaceae.org/gb/gbrowse/malus_x_domestica/?name=MDP0000256566","MDP0000256566")</f>
        <v>MDP0000256566</v>
      </c>
      <c r="D20954">
        <v>88.42</v>
      </c>
      <c r="E20954">
        <v>242</v>
      </c>
      <c r="F20954">
        <v>28</v>
      </c>
      <c r="G20954">
        <v>0</v>
      </c>
      <c r="H20954">
        <v>24</v>
      </c>
      <c r="I20954">
        <v>265</v>
      </c>
      <c r="J20954">
        <v>1</v>
      </c>
      <c r="K20954">
        <v>53</v>
      </c>
      <c r="L20954">
        <v>294</v>
      </c>
      <c r="M20954">
        <v>1</v>
      </c>
      <c r="N20954">
        <v>6.6646900000000006E-132</v>
      </c>
      <c r="O20954">
        <v>1201</v>
      </c>
    </row>
    <row r="20955" spans="1:15" x14ac:dyDescent="0.25">
      <c r="A20955" t="s">
        <v>20968</v>
      </c>
      <c r="B20955">
        <v>237</v>
      </c>
      <c r="C20955" s="1" t="str">
        <f>HYPERLINK("http://www.rosaceae.org/gb/gbrowse/malus_x_domestica/?name=MDP0000121163","MDP0000121163")</f>
        <v>MDP0000121163</v>
      </c>
      <c r="D20955">
        <v>52.28</v>
      </c>
      <c r="E20955">
        <v>285</v>
      </c>
      <c r="F20955">
        <v>136</v>
      </c>
      <c r="G20955">
        <v>71</v>
      </c>
      <c r="H20955">
        <v>2</v>
      </c>
      <c r="I20955">
        <v>237</v>
      </c>
      <c r="J20955">
        <v>1</v>
      </c>
      <c r="K20955">
        <v>3</v>
      </c>
      <c r="L20955">
        <v>265</v>
      </c>
      <c r="M20955">
        <v>1</v>
      </c>
      <c r="N20955">
        <v>3.4946199999999998E-69</v>
      </c>
      <c r="O20955">
        <v>659</v>
      </c>
    </row>
    <row r="20956" spans="1:15" x14ac:dyDescent="0.25">
      <c r="A20956" t="s">
        <v>20969</v>
      </c>
      <c r="B20956">
        <v>138</v>
      </c>
      <c r="C20956" s="1" t="str">
        <f>HYPERLINK("http://www.rosaceae.org/gb/gbrowse/malus_x_domestica/?name=MDP0000432072","MDP0000432072")</f>
        <v>MDP0000432072</v>
      </c>
      <c r="D20956">
        <v>35.71</v>
      </c>
      <c r="E20956">
        <v>182</v>
      </c>
      <c r="F20956">
        <v>117</v>
      </c>
      <c r="G20956">
        <v>64</v>
      </c>
      <c r="H20956">
        <v>1</v>
      </c>
      <c r="I20956">
        <v>136</v>
      </c>
      <c r="J20956">
        <v>1</v>
      </c>
      <c r="K20956">
        <v>663</v>
      </c>
      <c r="L20956">
        <v>826</v>
      </c>
      <c r="M20956">
        <v>1</v>
      </c>
      <c r="N20956">
        <v>1.6817999999999999E-19</v>
      </c>
      <c r="O20956">
        <v>227</v>
      </c>
    </row>
    <row r="20957" spans="1:15" x14ac:dyDescent="0.25">
      <c r="A20957" t="s">
        <v>20970</v>
      </c>
      <c r="B20957">
        <v>122</v>
      </c>
      <c r="C20957" s="1" t="str">
        <f>HYPERLINK("http://www.rosaceae.org/gb/gbrowse/malus_x_domestica/?name=MDP0000264823","MDP0000264823")</f>
        <v>MDP0000264823</v>
      </c>
      <c r="D20957">
        <v>42.5</v>
      </c>
      <c r="E20957">
        <v>80</v>
      </c>
      <c r="F20957">
        <v>46</v>
      </c>
      <c r="G20957">
        <v>9</v>
      </c>
      <c r="H20957">
        <v>14</v>
      </c>
      <c r="I20957">
        <v>93</v>
      </c>
      <c r="J20957">
        <v>1</v>
      </c>
      <c r="K20957">
        <v>897</v>
      </c>
      <c r="L20957">
        <v>967</v>
      </c>
      <c r="M20957">
        <v>1</v>
      </c>
      <c r="N20957">
        <v>1.4828800000000001E-8</v>
      </c>
      <c r="O20957">
        <v>131</v>
      </c>
    </row>
    <row r="20958" spans="1:15" x14ac:dyDescent="0.25">
      <c r="A20958" t="s">
        <v>20971</v>
      </c>
      <c r="B20958">
        <v>220</v>
      </c>
      <c r="C20958" s="1" t="str">
        <f>HYPERLINK("http://www.rosaceae.org/gb/gbrowse/malus_x_domestica/?name=MDP0000654179","MDP0000654179")</f>
        <v>MDP0000654179</v>
      </c>
      <c r="D20958">
        <v>26.41</v>
      </c>
      <c r="E20958">
        <v>106</v>
      </c>
      <c r="F20958">
        <v>78</v>
      </c>
      <c r="G20958">
        <v>8</v>
      </c>
      <c r="H20958">
        <v>113</v>
      </c>
      <c r="I20958">
        <v>210</v>
      </c>
      <c r="J20958">
        <v>1</v>
      </c>
      <c r="K20958">
        <v>172</v>
      </c>
      <c r="L20958">
        <v>277</v>
      </c>
      <c r="M20958">
        <v>1</v>
      </c>
      <c r="N20958">
        <v>2.6235500000000001E-9</v>
      </c>
      <c r="O20958">
        <v>142</v>
      </c>
    </row>
    <row r="20959" spans="1:15" x14ac:dyDescent="0.25">
      <c r="A20959" t="s">
        <v>20972</v>
      </c>
      <c r="B20959">
        <v>1144</v>
      </c>
      <c r="C20959" s="1" t="str">
        <f>HYPERLINK("http://www.rosaceae.org/gb/gbrowse/malus_x_domestica/?name=MDP0000223518","MDP0000223518")</f>
        <v>MDP0000223518</v>
      </c>
      <c r="D20959">
        <v>47.1</v>
      </c>
      <c r="E20959">
        <v>985</v>
      </c>
      <c r="F20959">
        <v>521</v>
      </c>
      <c r="G20959">
        <v>56</v>
      </c>
      <c r="H20959">
        <v>137</v>
      </c>
      <c r="I20959">
        <v>1103</v>
      </c>
      <c r="J20959">
        <v>1</v>
      </c>
      <c r="K20959">
        <v>103</v>
      </c>
      <c r="L20959">
        <v>1049</v>
      </c>
      <c r="M20959">
        <v>1</v>
      </c>
      <c r="N20959">
        <v>0</v>
      </c>
      <c r="O20959">
        <v>1985</v>
      </c>
    </row>
    <row r="20960" spans="1:15" x14ac:dyDescent="0.25">
      <c r="A20960" t="s">
        <v>20973</v>
      </c>
      <c r="B20960">
        <v>505</v>
      </c>
      <c r="C20960" s="1" t="str">
        <f>HYPERLINK("http://www.rosaceae.org/gb/gbrowse/malus_x_domestica/?name=MDP0000213552","MDP0000213552")</f>
        <v>MDP0000213552</v>
      </c>
      <c r="D20960">
        <v>50.37</v>
      </c>
      <c r="E20960">
        <v>528</v>
      </c>
      <c r="F20960">
        <v>262</v>
      </c>
      <c r="G20960">
        <v>32</v>
      </c>
      <c r="H20960">
        <v>2</v>
      </c>
      <c r="I20960">
        <v>497</v>
      </c>
      <c r="J20960">
        <v>1</v>
      </c>
      <c r="K20960">
        <v>3</v>
      </c>
      <c r="L20960">
        <v>530</v>
      </c>
      <c r="M20960">
        <v>1</v>
      </c>
      <c r="N20960">
        <v>8.7744900000000006E-144</v>
      </c>
      <c r="O20960">
        <v>1306</v>
      </c>
    </row>
    <row r="20961" spans="1:15" x14ac:dyDescent="0.25">
      <c r="A20961" t="s">
        <v>20974</v>
      </c>
      <c r="B20961">
        <v>213</v>
      </c>
      <c r="C20961" s="1" t="str">
        <f>HYPERLINK("http://www.rosaceae.org/gb/gbrowse/malus_x_domestica/?name=MDP0000209144","MDP0000209144")</f>
        <v>MDP0000209144</v>
      </c>
      <c r="D20961">
        <v>98.79</v>
      </c>
      <c r="E20961">
        <v>166</v>
      </c>
      <c r="F20961">
        <v>2</v>
      </c>
      <c r="G20961">
        <v>0</v>
      </c>
      <c r="H20961">
        <v>1</v>
      </c>
      <c r="I20961">
        <v>166</v>
      </c>
      <c r="J20961">
        <v>1</v>
      </c>
      <c r="K20961">
        <v>122</v>
      </c>
      <c r="L20961">
        <v>287</v>
      </c>
      <c r="M20961">
        <v>1</v>
      </c>
      <c r="N20961">
        <v>4.3247599999999998E-94</v>
      </c>
      <c r="O20961">
        <v>873</v>
      </c>
    </row>
    <row r="20962" spans="1:15" x14ac:dyDescent="0.25">
      <c r="A20962" t="s">
        <v>20975</v>
      </c>
      <c r="B20962">
        <v>768</v>
      </c>
      <c r="C20962" s="1" t="str">
        <f>HYPERLINK("http://www.rosaceae.org/gb/gbrowse/malus_x_domestica/?name=MDP0000597015","MDP0000597015")</f>
        <v>MDP0000597015</v>
      </c>
      <c r="D20962">
        <v>76.14</v>
      </c>
      <c r="E20962">
        <v>654</v>
      </c>
      <c r="F20962">
        <v>156</v>
      </c>
      <c r="G20962">
        <v>52</v>
      </c>
      <c r="H20962">
        <v>61</v>
      </c>
      <c r="I20962">
        <v>711</v>
      </c>
      <c r="J20962">
        <v>1</v>
      </c>
      <c r="K20962">
        <v>33</v>
      </c>
      <c r="L20962">
        <v>637</v>
      </c>
      <c r="M20962">
        <v>1</v>
      </c>
      <c r="N20962">
        <v>0</v>
      </c>
      <c r="O20962">
        <v>2539</v>
      </c>
    </row>
    <row r="20963" spans="1:15" x14ac:dyDescent="0.25">
      <c r="A20963" t="s">
        <v>20976</v>
      </c>
      <c r="B20963">
        <v>764</v>
      </c>
      <c r="C20963" s="1" t="str">
        <f>HYPERLINK("http://www.rosaceae.org/gb/gbrowse/malus_x_domestica/?name=MDP0000319282","MDP0000319282")</f>
        <v>MDP0000319282</v>
      </c>
      <c r="D20963">
        <v>82.54</v>
      </c>
      <c r="E20963">
        <v>653</v>
      </c>
      <c r="F20963">
        <v>114</v>
      </c>
      <c r="G20963">
        <v>55</v>
      </c>
      <c r="H20963">
        <v>166</v>
      </c>
      <c r="I20963">
        <v>763</v>
      </c>
      <c r="J20963">
        <v>1</v>
      </c>
      <c r="K20963">
        <v>18</v>
      </c>
      <c r="L20963">
        <v>670</v>
      </c>
      <c r="M20963">
        <v>1</v>
      </c>
      <c r="N20963">
        <v>0</v>
      </c>
      <c r="O20963">
        <v>2737</v>
      </c>
    </row>
    <row r="20964" spans="1:15" x14ac:dyDescent="0.25">
      <c r="A20964" t="s">
        <v>20977</v>
      </c>
      <c r="B20964">
        <v>563</v>
      </c>
      <c r="C20964" s="1" t="str">
        <f>HYPERLINK("http://www.rosaceae.org/gb/gbrowse/malus_x_domestica/?name=MDP0000213184","MDP0000213184")</f>
        <v>MDP0000213184</v>
      </c>
      <c r="D20964">
        <v>66.37</v>
      </c>
      <c r="E20964">
        <v>455</v>
      </c>
      <c r="F20964">
        <v>153</v>
      </c>
      <c r="G20964">
        <v>12</v>
      </c>
      <c r="H20964">
        <v>114</v>
      </c>
      <c r="I20964">
        <v>563</v>
      </c>
      <c r="J20964">
        <v>1</v>
      </c>
      <c r="K20964">
        <v>37</v>
      </c>
      <c r="L20964">
        <v>484</v>
      </c>
      <c r="M20964">
        <v>1</v>
      </c>
      <c r="N20964">
        <v>1.32976E-166</v>
      </c>
      <c r="O20964">
        <v>1504</v>
      </c>
    </row>
    <row r="20965" spans="1:15" x14ac:dyDescent="0.25">
      <c r="A20965" t="s">
        <v>20978</v>
      </c>
      <c r="B20965">
        <v>715</v>
      </c>
      <c r="C20965" s="1" t="str">
        <f>HYPERLINK("http://www.rosaceae.org/gb/gbrowse/malus_x_domestica/?name=MDP0000148414","MDP0000148414")</f>
        <v>MDP0000148414</v>
      </c>
      <c r="D20965">
        <v>86.68</v>
      </c>
      <c r="E20965">
        <v>353</v>
      </c>
      <c r="F20965">
        <v>47</v>
      </c>
      <c r="G20965">
        <v>0</v>
      </c>
      <c r="H20965">
        <v>29</v>
      </c>
      <c r="I20965">
        <v>381</v>
      </c>
      <c r="J20965">
        <v>1</v>
      </c>
      <c r="K20965">
        <v>43</v>
      </c>
      <c r="L20965">
        <v>395</v>
      </c>
      <c r="M20965">
        <v>1</v>
      </c>
      <c r="N20965">
        <v>0</v>
      </c>
      <c r="O20965">
        <v>1652</v>
      </c>
    </row>
    <row r="20966" spans="1:15" x14ac:dyDescent="0.25">
      <c r="A20966" t="s">
        <v>20979</v>
      </c>
      <c r="B20966">
        <v>151</v>
      </c>
      <c r="C20966" s="1" t="str">
        <f>HYPERLINK("http://www.rosaceae.org/gb/gbrowse/malus_x_domestica/?name=MDP0000853654","MDP0000853654")</f>
        <v>MDP0000853654</v>
      </c>
      <c r="D20966">
        <v>78.41</v>
      </c>
      <c r="E20966">
        <v>139</v>
      </c>
      <c r="F20966">
        <v>30</v>
      </c>
      <c r="G20966">
        <v>0</v>
      </c>
      <c r="H20966">
        <v>13</v>
      </c>
      <c r="I20966">
        <v>151</v>
      </c>
      <c r="J20966">
        <v>1</v>
      </c>
      <c r="K20966">
        <v>10</v>
      </c>
      <c r="L20966">
        <v>148</v>
      </c>
      <c r="M20966">
        <v>1</v>
      </c>
      <c r="N20966">
        <v>2.18693E-60</v>
      </c>
      <c r="O20966">
        <v>580</v>
      </c>
    </row>
    <row r="20967" spans="1:15" x14ac:dyDescent="0.25">
      <c r="A20967" t="s">
        <v>20980</v>
      </c>
      <c r="B20967">
        <v>300</v>
      </c>
      <c r="C20967" s="1" t="str">
        <f>HYPERLINK("http://www.rosaceae.org/gb/gbrowse/malus_x_domestica/?name=MDP0000345442","MDP0000345442")</f>
        <v>MDP0000345442</v>
      </c>
      <c r="D20967">
        <v>81.2</v>
      </c>
      <c r="E20967">
        <v>133</v>
      </c>
      <c r="F20967">
        <v>25</v>
      </c>
      <c r="G20967">
        <v>3</v>
      </c>
      <c r="H20967">
        <v>169</v>
      </c>
      <c r="I20967">
        <v>300</v>
      </c>
      <c r="J20967">
        <v>1</v>
      </c>
      <c r="K20967">
        <v>18</v>
      </c>
      <c r="L20967">
        <v>148</v>
      </c>
      <c r="M20967">
        <v>1</v>
      </c>
      <c r="N20967">
        <v>3.1273400000000001E-55</v>
      </c>
      <c r="O20967">
        <v>540</v>
      </c>
    </row>
    <row r="20968" spans="1:15" x14ac:dyDescent="0.25">
      <c r="A20968" t="s">
        <v>20981</v>
      </c>
      <c r="B20968">
        <v>739</v>
      </c>
      <c r="C20968" s="1" t="str">
        <f>HYPERLINK("http://www.rosaceae.org/gb/gbrowse/malus_x_domestica/?name=MDP0000277804","MDP0000277804")</f>
        <v>MDP0000277804</v>
      </c>
      <c r="D20968">
        <v>79.91</v>
      </c>
      <c r="E20968">
        <v>737</v>
      </c>
      <c r="F20968">
        <v>148</v>
      </c>
      <c r="G20968">
        <v>10</v>
      </c>
      <c r="H20968">
        <v>1</v>
      </c>
      <c r="I20968">
        <v>727</v>
      </c>
      <c r="J20968">
        <v>1</v>
      </c>
      <c r="K20968">
        <v>110</v>
      </c>
      <c r="L20968">
        <v>846</v>
      </c>
      <c r="M20968">
        <v>1</v>
      </c>
      <c r="N20968">
        <v>0</v>
      </c>
      <c r="O20968">
        <v>3155</v>
      </c>
    </row>
    <row r="20969" spans="1:15" x14ac:dyDescent="0.25">
      <c r="A20969" t="s">
        <v>20982</v>
      </c>
      <c r="B20969">
        <v>846</v>
      </c>
      <c r="C20969" s="1" t="str">
        <f>HYPERLINK("http://www.rosaceae.org/gb/gbrowse/malus_x_domestica/?name=MDP0000277775","MDP0000277775")</f>
        <v>MDP0000277775</v>
      </c>
      <c r="D20969">
        <v>72.53</v>
      </c>
      <c r="E20969">
        <v>801</v>
      </c>
      <c r="F20969">
        <v>220</v>
      </c>
      <c r="G20969">
        <v>59</v>
      </c>
      <c r="H20969">
        <v>67</v>
      </c>
      <c r="I20969">
        <v>846</v>
      </c>
      <c r="J20969">
        <v>1</v>
      </c>
      <c r="K20969">
        <v>67</v>
      </c>
      <c r="L20969">
        <v>829</v>
      </c>
      <c r="M20969">
        <v>1</v>
      </c>
      <c r="N20969">
        <v>0</v>
      </c>
      <c r="O20969">
        <v>2946</v>
      </c>
    </row>
    <row r="20970" spans="1:15" x14ac:dyDescent="0.25">
      <c r="A20970" t="s">
        <v>20983</v>
      </c>
      <c r="B20970">
        <v>512</v>
      </c>
      <c r="C20970" s="1" t="str">
        <f>HYPERLINK("http://www.rosaceae.org/gb/gbrowse/malus_x_domestica/?name=MDP0000298545","MDP0000298545")</f>
        <v>MDP0000298545</v>
      </c>
      <c r="D20970">
        <v>58.11</v>
      </c>
      <c r="E20970">
        <v>117</v>
      </c>
      <c r="F20970">
        <v>49</v>
      </c>
      <c r="G20970">
        <v>3</v>
      </c>
      <c r="H20970">
        <v>397</v>
      </c>
      <c r="I20970">
        <v>512</v>
      </c>
      <c r="J20970">
        <v>1</v>
      </c>
      <c r="K20970">
        <v>1</v>
      </c>
      <c r="L20970">
        <v>115</v>
      </c>
      <c r="M20970">
        <v>1</v>
      </c>
      <c r="N20970">
        <v>6.7273699999999994E-27</v>
      </c>
      <c r="O20970">
        <v>299</v>
      </c>
    </row>
    <row r="20971" spans="1:15" x14ac:dyDescent="0.25">
      <c r="A20971" t="s">
        <v>20984</v>
      </c>
      <c r="B20971">
        <v>464</v>
      </c>
      <c r="C20971" s="1" t="str">
        <f>HYPERLINK("http://www.rosaceae.org/gb/gbrowse/malus_x_domestica/?name=MDP0000210968","MDP0000210968")</f>
        <v>MDP0000210968</v>
      </c>
      <c r="D20971">
        <v>42.39</v>
      </c>
      <c r="E20971">
        <v>401</v>
      </c>
      <c r="F20971">
        <v>231</v>
      </c>
      <c r="G20971">
        <v>37</v>
      </c>
      <c r="H20971">
        <v>26</v>
      </c>
      <c r="I20971">
        <v>401</v>
      </c>
      <c r="J20971">
        <v>1</v>
      </c>
      <c r="K20971">
        <v>5</v>
      </c>
      <c r="L20971">
        <v>393</v>
      </c>
      <c r="M20971">
        <v>1</v>
      </c>
      <c r="N20971">
        <v>1.6872900000000002E-67</v>
      </c>
      <c r="O20971">
        <v>648</v>
      </c>
    </row>
    <row r="20972" spans="1:15" x14ac:dyDescent="0.25">
      <c r="A20972" t="s">
        <v>20985</v>
      </c>
      <c r="B20972">
        <v>153</v>
      </c>
      <c r="C20972" s="1" t="str">
        <f>HYPERLINK("http://www.rosaceae.org/gb/gbrowse/malus_x_domestica/?name=MDP0000190038","MDP0000190038")</f>
        <v>MDP0000190038</v>
      </c>
      <c r="D20972">
        <v>79.41</v>
      </c>
      <c r="E20972">
        <v>34</v>
      </c>
      <c r="F20972">
        <v>7</v>
      </c>
      <c r="G20972">
        <v>0</v>
      </c>
      <c r="H20972">
        <v>35</v>
      </c>
      <c r="I20972">
        <v>68</v>
      </c>
      <c r="J20972">
        <v>1</v>
      </c>
      <c r="K20972">
        <v>209</v>
      </c>
      <c r="L20972">
        <v>242</v>
      </c>
      <c r="M20972">
        <v>1</v>
      </c>
      <c r="N20972">
        <v>5.6994599999999996E-12</v>
      </c>
      <c r="O20972">
        <v>163</v>
      </c>
    </row>
    <row r="20973" spans="1:15" x14ac:dyDescent="0.25">
      <c r="A20973" t="s">
        <v>20986</v>
      </c>
      <c r="B20973">
        <v>513</v>
      </c>
      <c r="C20973" s="1" t="str">
        <f>HYPERLINK("http://www.rosaceae.org/gb/gbrowse/malus_x_domestica/?name=MDP0000252378","MDP0000252378")</f>
        <v>MDP0000252378</v>
      </c>
      <c r="D20973">
        <v>43.95</v>
      </c>
      <c r="E20973">
        <v>389</v>
      </c>
      <c r="F20973">
        <v>218</v>
      </c>
      <c r="G20973">
        <v>29</v>
      </c>
      <c r="H20973">
        <v>5</v>
      </c>
      <c r="I20973">
        <v>384</v>
      </c>
      <c r="J20973">
        <v>1</v>
      </c>
      <c r="K20973">
        <v>6</v>
      </c>
      <c r="L20973">
        <v>374</v>
      </c>
      <c r="M20973">
        <v>1</v>
      </c>
      <c r="N20973">
        <v>4.8828700000000002E-76</v>
      </c>
      <c r="O20973">
        <v>722</v>
      </c>
    </row>
    <row r="20974" spans="1:15" x14ac:dyDescent="0.25">
      <c r="A20974" t="s">
        <v>20987</v>
      </c>
      <c r="B20974">
        <v>224</v>
      </c>
      <c r="C20974" s="1" t="str">
        <f>HYPERLINK("http://www.rosaceae.org/gb/gbrowse/malus_x_domestica/?name=MDP0000189047","MDP0000189047")</f>
        <v>MDP0000189047</v>
      </c>
      <c r="D20974">
        <v>90.8</v>
      </c>
      <c r="E20974">
        <v>87</v>
      </c>
      <c r="F20974">
        <v>8</v>
      </c>
      <c r="G20974">
        <v>0</v>
      </c>
      <c r="H20974">
        <v>138</v>
      </c>
      <c r="I20974">
        <v>224</v>
      </c>
      <c r="J20974">
        <v>1</v>
      </c>
      <c r="K20974">
        <v>137</v>
      </c>
      <c r="L20974">
        <v>223</v>
      </c>
      <c r="M20974">
        <v>1</v>
      </c>
      <c r="N20974">
        <v>1.8699900000000002E-40</v>
      </c>
      <c r="O20974">
        <v>411</v>
      </c>
    </row>
    <row r="20975" spans="1:15" x14ac:dyDescent="0.25">
      <c r="A20975" t="s">
        <v>20988</v>
      </c>
      <c r="B20975">
        <v>551</v>
      </c>
      <c r="C20975" s="1" t="str">
        <f>HYPERLINK("http://www.rosaceae.org/gb/gbrowse/malus_x_domestica/?name=MDP0000239732","MDP0000239732")</f>
        <v>MDP0000239732</v>
      </c>
      <c r="D20975">
        <v>63.89</v>
      </c>
      <c r="E20975">
        <v>457</v>
      </c>
      <c r="F20975">
        <v>165</v>
      </c>
      <c r="G20975">
        <v>45</v>
      </c>
      <c r="H20975">
        <v>87</v>
      </c>
      <c r="I20975">
        <v>540</v>
      </c>
      <c r="J20975">
        <v>1</v>
      </c>
      <c r="K20975">
        <v>64</v>
      </c>
      <c r="L20975">
        <v>478</v>
      </c>
      <c r="M20975">
        <v>1</v>
      </c>
      <c r="N20975">
        <v>1.41416E-170</v>
      </c>
      <c r="O20975">
        <v>1538</v>
      </c>
    </row>
    <row r="20976" spans="1:15" x14ac:dyDescent="0.25">
      <c r="A20976" t="s">
        <v>20989</v>
      </c>
      <c r="B20976">
        <v>497</v>
      </c>
      <c r="C20976" s="1" t="str">
        <f>HYPERLINK("http://www.rosaceae.org/gb/gbrowse/malus_x_domestica/?name=MDP0000270251","MDP0000270251")</f>
        <v>MDP0000270251</v>
      </c>
      <c r="D20976">
        <v>53.11</v>
      </c>
      <c r="E20976">
        <v>514</v>
      </c>
      <c r="F20976">
        <v>241</v>
      </c>
      <c r="G20976">
        <v>75</v>
      </c>
      <c r="H20976">
        <v>36</v>
      </c>
      <c r="I20976">
        <v>489</v>
      </c>
      <c r="J20976">
        <v>1</v>
      </c>
      <c r="K20976">
        <v>42</v>
      </c>
      <c r="L20976">
        <v>540</v>
      </c>
      <c r="M20976">
        <v>1</v>
      </c>
      <c r="N20976">
        <v>3.25692E-125</v>
      </c>
      <c r="O20976">
        <v>1146</v>
      </c>
    </row>
    <row r="20977" spans="1:15" x14ac:dyDescent="0.25">
      <c r="A20977" t="s">
        <v>20990</v>
      </c>
      <c r="B20977">
        <v>337</v>
      </c>
      <c r="C20977" s="1" t="str">
        <f>HYPERLINK("http://www.rosaceae.org/gb/gbrowse/malus_x_domestica/?name=MDP0000309680","MDP0000309680")</f>
        <v>MDP0000309680</v>
      </c>
      <c r="D20977">
        <v>35.75</v>
      </c>
      <c r="E20977">
        <v>165</v>
      </c>
      <c r="F20977">
        <v>106</v>
      </c>
      <c r="G20977">
        <v>8</v>
      </c>
      <c r="H20977">
        <v>92</v>
      </c>
      <c r="I20977">
        <v>249</v>
      </c>
      <c r="J20977">
        <v>1</v>
      </c>
      <c r="K20977">
        <v>638</v>
      </c>
      <c r="L20977">
        <v>801</v>
      </c>
      <c r="M20977">
        <v>1</v>
      </c>
      <c r="N20977">
        <v>1.3904E-21</v>
      </c>
      <c r="O20977">
        <v>251</v>
      </c>
    </row>
    <row r="20978" spans="1:15" x14ac:dyDescent="0.25">
      <c r="A20978" t="s">
        <v>20991</v>
      </c>
      <c r="B20978">
        <v>791</v>
      </c>
      <c r="C20978" s="1" t="str">
        <f>HYPERLINK("http://www.rosaceae.org/gb/gbrowse/malus_x_domestica/?name=MDP0000087507","MDP0000087507")</f>
        <v>MDP0000087507</v>
      </c>
      <c r="D20978">
        <v>38.700000000000003</v>
      </c>
      <c r="E20978">
        <v>217</v>
      </c>
      <c r="F20978">
        <v>133</v>
      </c>
      <c r="G20978">
        <v>22</v>
      </c>
      <c r="H20978">
        <v>381</v>
      </c>
      <c r="I20978">
        <v>575</v>
      </c>
      <c r="J20978">
        <v>1</v>
      </c>
      <c r="K20978">
        <v>216</v>
      </c>
      <c r="L20978">
        <v>432</v>
      </c>
      <c r="M20978">
        <v>1</v>
      </c>
      <c r="N20978">
        <v>6.7778999999999997E-31</v>
      </c>
      <c r="O20978">
        <v>335</v>
      </c>
    </row>
    <row r="20979" spans="1:15" x14ac:dyDescent="0.25">
      <c r="A20979" t="s">
        <v>20992</v>
      </c>
      <c r="B20979">
        <v>370</v>
      </c>
      <c r="C20979" s="1" t="str">
        <f>HYPERLINK("http://www.rosaceae.org/gb/gbrowse/malus_x_domestica/?name=MDP0000228673","MDP0000228673")</f>
        <v>MDP0000228673</v>
      </c>
      <c r="D20979">
        <v>78.430000000000007</v>
      </c>
      <c r="E20979">
        <v>255</v>
      </c>
      <c r="F20979">
        <v>55</v>
      </c>
      <c r="G20979">
        <v>1</v>
      </c>
      <c r="H20979">
        <v>117</v>
      </c>
      <c r="I20979">
        <v>370</v>
      </c>
      <c r="J20979">
        <v>1</v>
      </c>
      <c r="K20979">
        <v>151</v>
      </c>
      <c r="L20979">
        <v>405</v>
      </c>
      <c r="M20979">
        <v>1</v>
      </c>
      <c r="N20979">
        <v>1.8702999999999999E-120</v>
      </c>
      <c r="O20979">
        <v>1104</v>
      </c>
    </row>
    <row r="20980" spans="1:15" x14ac:dyDescent="0.25">
      <c r="A20980" t="s">
        <v>20993</v>
      </c>
      <c r="B20980">
        <v>398</v>
      </c>
      <c r="C20980" s="1" t="str">
        <f>HYPERLINK("http://www.rosaceae.org/gb/gbrowse/malus_x_domestica/?name=MDP0000679031","MDP0000679031")</f>
        <v>MDP0000679031</v>
      </c>
      <c r="D20980">
        <v>59.8</v>
      </c>
      <c r="E20980">
        <v>209</v>
      </c>
      <c r="F20980">
        <v>84</v>
      </c>
      <c r="G20980">
        <v>10</v>
      </c>
      <c r="H20980">
        <v>168</v>
      </c>
      <c r="I20980">
        <v>375</v>
      </c>
      <c r="J20980">
        <v>1</v>
      </c>
      <c r="K20980">
        <v>1</v>
      </c>
      <c r="L20980">
        <v>200</v>
      </c>
      <c r="M20980">
        <v>1</v>
      </c>
      <c r="N20980">
        <v>1.04705E-54</v>
      </c>
      <c r="O20980">
        <v>537</v>
      </c>
    </row>
    <row r="20981" spans="1:15" x14ac:dyDescent="0.25">
      <c r="A20981" t="s">
        <v>20994</v>
      </c>
      <c r="B20981">
        <v>511</v>
      </c>
      <c r="C20981" s="1" t="str">
        <f>HYPERLINK("http://www.rosaceae.org/gb/gbrowse/malus_x_domestica/?name=MDP0000800684","MDP0000800684")</f>
        <v>MDP0000800684</v>
      </c>
      <c r="D20981">
        <v>77.790000000000006</v>
      </c>
      <c r="E20981">
        <v>518</v>
      </c>
      <c r="F20981">
        <v>115</v>
      </c>
      <c r="G20981">
        <v>17</v>
      </c>
      <c r="H20981">
        <v>2</v>
      </c>
      <c r="I20981">
        <v>511</v>
      </c>
      <c r="J20981">
        <v>1</v>
      </c>
      <c r="K20981">
        <v>1</v>
      </c>
      <c r="L20981">
        <v>509</v>
      </c>
      <c r="M20981">
        <v>1</v>
      </c>
      <c r="N20981">
        <v>0</v>
      </c>
      <c r="O20981">
        <v>2035</v>
      </c>
    </row>
    <row r="20982" spans="1:15" x14ac:dyDescent="0.25">
      <c r="A20982" t="s">
        <v>20995</v>
      </c>
      <c r="B20982">
        <v>266</v>
      </c>
      <c r="C20982" s="1" t="str">
        <f>HYPERLINK("http://www.rosaceae.org/gb/gbrowse/malus_x_domestica/?name=MDP0000237588","MDP0000237588")</f>
        <v>MDP0000237588</v>
      </c>
      <c r="D20982">
        <v>86.43</v>
      </c>
      <c r="E20982">
        <v>199</v>
      </c>
      <c r="F20982">
        <v>27</v>
      </c>
      <c r="G20982">
        <v>0</v>
      </c>
      <c r="H20982">
        <v>4</v>
      </c>
      <c r="I20982">
        <v>202</v>
      </c>
      <c r="J20982">
        <v>1</v>
      </c>
      <c r="K20982">
        <v>11</v>
      </c>
      <c r="L20982">
        <v>209</v>
      </c>
      <c r="M20982">
        <v>1</v>
      </c>
      <c r="N20982">
        <v>6.3987500000000001E-103</v>
      </c>
      <c r="O20982">
        <v>951</v>
      </c>
    </row>
    <row r="20983" spans="1:15" x14ac:dyDescent="0.25">
      <c r="A20983" t="s">
        <v>20996</v>
      </c>
      <c r="B20983">
        <v>1447</v>
      </c>
      <c r="C20983" s="1" t="str">
        <f>HYPERLINK("http://www.rosaceae.org/gb/gbrowse/malus_x_domestica/?name=MDP0000161765","MDP0000161765")</f>
        <v>MDP0000161765</v>
      </c>
      <c r="D20983">
        <v>58.28</v>
      </c>
      <c r="E20983">
        <v>1249</v>
      </c>
      <c r="F20983">
        <v>521</v>
      </c>
      <c r="G20983">
        <v>106</v>
      </c>
      <c r="H20983">
        <v>290</v>
      </c>
      <c r="I20983">
        <v>1447</v>
      </c>
      <c r="J20983">
        <v>1</v>
      </c>
      <c r="K20983">
        <v>308</v>
      </c>
      <c r="L20983">
        <v>1541</v>
      </c>
      <c r="M20983">
        <v>1</v>
      </c>
      <c r="N20983">
        <v>0</v>
      </c>
      <c r="O20983">
        <v>3351</v>
      </c>
    </row>
    <row r="20984" spans="1:15" x14ac:dyDescent="0.25">
      <c r="A20984" t="s">
        <v>20997</v>
      </c>
      <c r="B20984">
        <v>273</v>
      </c>
      <c r="C20984" s="1" t="str">
        <f>HYPERLINK("http://www.rosaceae.org/gb/gbrowse/malus_x_domestica/?name=MDP0000411498","MDP0000411498")</f>
        <v>MDP0000411498</v>
      </c>
      <c r="D20984">
        <v>67.510000000000005</v>
      </c>
      <c r="E20984">
        <v>274</v>
      </c>
      <c r="F20984">
        <v>89</v>
      </c>
      <c r="G20984">
        <v>2</v>
      </c>
      <c r="H20984">
        <v>1</v>
      </c>
      <c r="I20984">
        <v>273</v>
      </c>
      <c r="J20984">
        <v>1</v>
      </c>
      <c r="K20984">
        <v>1</v>
      </c>
      <c r="L20984">
        <v>273</v>
      </c>
      <c r="M20984">
        <v>1</v>
      </c>
      <c r="N20984">
        <v>1.5708200000000001E-84</v>
      </c>
      <c r="O20984">
        <v>792</v>
      </c>
    </row>
    <row r="20985" spans="1:15" x14ac:dyDescent="0.25">
      <c r="A20985" t="s">
        <v>20998</v>
      </c>
      <c r="B20985">
        <v>321</v>
      </c>
      <c r="C20985" s="1" t="str">
        <f>HYPERLINK("http://www.rosaceae.org/gb/gbrowse/malus_x_domestica/?name=MDP0000171771","MDP0000171771")</f>
        <v>MDP0000171771</v>
      </c>
      <c r="D20985">
        <v>29.38</v>
      </c>
      <c r="E20985">
        <v>194</v>
      </c>
      <c r="F20985">
        <v>137</v>
      </c>
      <c r="G20985">
        <v>31</v>
      </c>
      <c r="H20985">
        <v>25</v>
      </c>
      <c r="I20985">
        <v>202</v>
      </c>
      <c r="J20985">
        <v>1</v>
      </c>
      <c r="K20985">
        <v>31</v>
      </c>
      <c r="L20985">
        <v>209</v>
      </c>
      <c r="M20985">
        <v>1</v>
      </c>
      <c r="N20985">
        <v>4.2066199999999997E-15</v>
      </c>
      <c r="O20985">
        <v>195</v>
      </c>
    </row>
    <row r="20986" spans="1:15" x14ac:dyDescent="0.25">
      <c r="A20986" t="s">
        <v>20999</v>
      </c>
      <c r="B20986">
        <v>217</v>
      </c>
      <c r="C20986" s="1" t="str">
        <f>HYPERLINK("http://www.rosaceae.org/gb/gbrowse/malus_x_domestica/?name=MDP0000183910","MDP0000183910")</f>
        <v>MDP0000183910</v>
      </c>
      <c r="D20986">
        <v>60.58</v>
      </c>
      <c r="E20986">
        <v>274</v>
      </c>
      <c r="F20986">
        <v>108</v>
      </c>
      <c r="G20986">
        <v>62</v>
      </c>
      <c r="H20986">
        <v>1</v>
      </c>
      <c r="I20986">
        <v>217</v>
      </c>
      <c r="J20986">
        <v>1</v>
      </c>
      <c r="K20986">
        <v>1</v>
      </c>
      <c r="L20986">
        <v>269</v>
      </c>
      <c r="M20986">
        <v>1</v>
      </c>
      <c r="N20986">
        <v>3.1878900000000002E-85</v>
      </c>
      <c r="O20986">
        <v>797</v>
      </c>
    </row>
    <row r="20987" spans="1:15" x14ac:dyDescent="0.25">
      <c r="A20987" t="s">
        <v>21000</v>
      </c>
      <c r="B20987">
        <v>403</v>
      </c>
      <c r="C20987" s="1" t="str">
        <f>HYPERLINK("http://www.rosaceae.org/gb/gbrowse/malus_x_domestica/?name=MDP0000276109","MDP0000276109")</f>
        <v>MDP0000276109</v>
      </c>
      <c r="D20987">
        <v>72.900000000000006</v>
      </c>
      <c r="E20987">
        <v>417</v>
      </c>
      <c r="F20987">
        <v>113</v>
      </c>
      <c r="G20987">
        <v>46</v>
      </c>
      <c r="H20987">
        <v>29</v>
      </c>
      <c r="I20987">
        <v>401</v>
      </c>
      <c r="J20987">
        <v>1</v>
      </c>
      <c r="K20987">
        <v>1</v>
      </c>
      <c r="L20987">
        <v>415</v>
      </c>
      <c r="M20987">
        <v>1</v>
      </c>
      <c r="N20987">
        <v>1.1281000000000001E-172</v>
      </c>
      <c r="O20987">
        <v>1555</v>
      </c>
    </row>
    <row r="20988" spans="1:15" x14ac:dyDescent="0.25">
      <c r="A20988" t="s">
        <v>21001</v>
      </c>
      <c r="B20988">
        <v>290</v>
      </c>
      <c r="C20988" s="1" t="str">
        <f>HYPERLINK("http://www.rosaceae.org/gb/gbrowse/malus_x_domestica/?name=MDP0000896053","MDP0000896053")</f>
        <v>MDP0000896053</v>
      </c>
      <c r="D20988">
        <v>56.46</v>
      </c>
      <c r="E20988">
        <v>294</v>
      </c>
      <c r="F20988">
        <v>128</v>
      </c>
      <c r="G20988">
        <v>30</v>
      </c>
      <c r="H20988">
        <v>15</v>
      </c>
      <c r="I20988">
        <v>290</v>
      </c>
      <c r="J20988">
        <v>1</v>
      </c>
      <c r="K20988">
        <v>13</v>
      </c>
      <c r="L20988">
        <v>294</v>
      </c>
      <c r="M20988">
        <v>1</v>
      </c>
      <c r="N20988">
        <v>1.17639E-82</v>
      </c>
      <c r="O20988">
        <v>777</v>
      </c>
    </row>
    <row r="20989" spans="1:15" x14ac:dyDescent="0.25">
      <c r="A20989" t="s">
        <v>21002</v>
      </c>
      <c r="B20989">
        <v>244</v>
      </c>
      <c r="C20989" s="1" t="str">
        <f>HYPERLINK("http://www.rosaceae.org/gb/gbrowse/malus_x_domestica/?name=MDP0000253519","MDP0000253519")</f>
        <v>MDP0000253519</v>
      </c>
      <c r="D20989">
        <v>85.45</v>
      </c>
      <c r="E20989">
        <v>220</v>
      </c>
      <c r="F20989">
        <v>32</v>
      </c>
      <c r="G20989">
        <v>1</v>
      </c>
      <c r="H20989">
        <v>1</v>
      </c>
      <c r="I20989">
        <v>219</v>
      </c>
      <c r="J20989">
        <v>1</v>
      </c>
      <c r="K20989">
        <v>299</v>
      </c>
      <c r="L20989">
        <v>518</v>
      </c>
      <c r="M20989">
        <v>1</v>
      </c>
      <c r="N20989">
        <v>6.5018699999999997E-106</v>
      </c>
      <c r="O20989">
        <v>976</v>
      </c>
    </row>
    <row r="20990" spans="1:15" x14ac:dyDescent="0.25">
      <c r="A20990" t="s">
        <v>21003</v>
      </c>
      <c r="B20990">
        <v>122</v>
      </c>
      <c r="C20990" s="1" t="str">
        <f>HYPERLINK("http://www.rosaceae.org/gb/gbrowse/malus_x_domestica/?name=MDP0000204850","MDP0000204850")</f>
        <v>MDP0000204850</v>
      </c>
      <c r="D20990">
        <v>47.93</v>
      </c>
      <c r="E20990">
        <v>121</v>
      </c>
      <c r="F20990">
        <v>63</v>
      </c>
      <c r="G20990">
        <v>7</v>
      </c>
      <c r="H20990">
        <v>5</v>
      </c>
      <c r="I20990">
        <v>119</v>
      </c>
      <c r="J20990">
        <v>1</v>
      </c>
      <c r="K20990">
        <v>17</v>
      </c>
      <c r="L20990">
        <v>136</v>
      </c>
      <c r="M20990">
        <v>1</v>
      </c>
      <c r="N20990">
        <v>1.97947E-19</v>
      </c>
      <c r="O20990">
        <v>225</v>
      </c>
    </row>
    <row r="20991" spans="1:15" x14ac:dyDescent="0.25">
      <c r="A20991" t="s">
        <v>21004</v>
      </c>
      <c r="B20991">
        <v>669</v>
      </c>
      <c r="C20991" s="1" t="str">
        <f>HYPERLINK("http://www.rosaceae.org/gb/gbrowse/malus_x_domestica/?name=MDP0000854767","MDP0000854767")</f>
        <v>MDP0000854767</v>
      </c>
      <c r="D20991">
        <v>82.39</v>
      </c>
      <c r="E20991">
        <v>301</v>
      </c>
      <c r="F20991">
        <v>53</v>
      </c>
      <c r="G20991">
        <v>1</v>
      </c>
      <c r="H20991">
        <v>335</v>
      </c>
      <c r="I20991">
        <v>634</v>
      </c>
      <c r="J20991">
        <v>1</v>
      </c>
      <c r="K20991">
        <v>1</v>
      </c>
      <c r="L20991">
        <v>301</v>
      </c>
      <c r="M20991">
        <v>1</v>
      </c>
      <c r="N20991">
        <v>4.97669E-146</v>
      </c>
      <c r="O20991">
        <v>1327</v>
      </c>
    </row>
    <row r="20992" spans="1:15" x14ac:dyDescent="0.25">
      <c r="A20992" t="s">
        <v>21005</v>
      </c>
      <c r="B20992">
        <v>809</v>
      </c>
      <c r="C20992" s="1" t="str">
        <f>HYPERLINK("http://www.rosaceae.org/gb/gbrowse/malus_x_domestica/?name=MDP0000441757","MDP0000441757")</f>
        <v>MDP0000441757</v>
      </c>
      <c r="D20992">
        <v>68.5</v>
      </c>
      <c r="E20992">
        <v>508</v>
      </c>
      <c r="F20992">
        <v>160</v>
      </c>
      <c r="G20992">
        <v>80</v>
      </c>
      <c r="H20992">
        <v>302</v>
      </c>
      <c r="I20992">
        <v>809</v>
      </c>
      <c r="J20992">
        <v>1</v>
      </c>
      <c r="K20992">
        <v>295</v>
      </c>
      <c r="L20992">
        <v>722</v>
      </c>
      <c r="M20992">
        <v>1</v>
      </c>
      <c r="N20992">
        <v>0</v>
      </c>
      <c r="O20992">
        <v>1829</v>
      </c>
    </row>
    <row r="20993" spans="1:15" x14ac:dyDescent="0.25">
      <c r="A20993" t="s">
        <v>21006</v>
      </c>
      <c r="B20993">
        <v>403</v>
      </c>
      <c r="C20993" s="1" t="str">
        <f>HYPERLINK("http://www.rosaceae.org/gb/gbrowse/malus_x_domestica/?name=MDP0000178799","MDP0000178799")</f>
        <v>MDP0000178799</v>
      </c>
      <c r="D20993">
        <v>74.41</v>
      </c>
      <c r="E20993">
        <v>301</v>
      </c>
      <c r="F20993">
        <v>77</v>
      </c>
      <c r="G20993">
        <v>21</v>
      </c>
      <c r="H20993">
        <v>1</v>
      </c>
      <c r="I20993">
        <v>296</v>
      </c>
      <c r="J20993">
        <v>1</v>
      </c>
      <c r="K20993">
        <v>1</v>
      </c>
      <c r="L20993">
        <v>285</v>
      </c>
      <c r="M20993">
        <v>1</v>
      </c>
      <c r="N20993">
        <v>2.11915E-127</v>
      </c>
      <c r="O20993">
        <v>1164</v>
      </c>
    </row>
    <row r="20994" spans="1:15" x14ac:dyDescent="0.25">
      <c r="A20994" t="s">
        <v>21007</v>
      </c>
      <c r="B20994">
        <v>220</v>
      </c>
      <c r="C20994" s="1" t="str">
        <f>HYPERLINK("http://www.rosaceae.org/gb/gbrowse/malus_x_domestica/?name=MDP0000422690","MDP0000422690")</f>
        <v>MDP0000422690</v>
      </c>
      <c r="D20994">
        <v>81.25</v>
      </c>
      <c r="E20994">
        <v>160</v>
      </c>
      <c r="F20994">
        <v>30</v>
      </c>
      <c r="G20994">
        <v>1</v>
      </c>
      <c r="H20994">
        <v>47</v>
      </c>
      <c r="I20994">
        <v>205</v>
      </c>
      <c r="J20994">
        <v>1</v>
      </c>
      <c r="K20994">
        <v>1</v>
      </c>
      <c r="L20994">
        <v>160</v>
      </c>
      <c r="M20994">
        <v>1</v>
      </c>
      <c r="N20994">
        <v>8.93837E-69</v>
      </c>
      <c r="O20994">
        <v>655</v>
      </c>
    </row>
    <row r="20995" spans="1:15" x14ac:dyDescent="0.25">
      <c r="A20995" t="s">
        <v>21008</v>
      </c>
      <c r="B20995">
        <v>536</v>
      </c>
      <c r="C20995" s="1" t="str">
        <f>HYPERLINK("http://www.rosaceae.org/gb/gbrowse/malus_x_domestica/?name=MDP0000207294","MDP0000207294")</f>
        <v>MDP0000207294</v>
      </c>
      <c r="D20995">
        <v>70.88</v>
      </c>
      <c r="E20995">
        <v>443</v>
      </c>
      <c r="F20995">
        <v>129</v>
      </c>
      <c r="G20995">
        <v>27</v>
      </c>
      <c r="H20995">
        <v>118</v>
      </c>
      <c r="I20995">
        <v>536</v>
      </c>
      <c r="J20995">
        <v>1</v>
      </c>
      <c r="K20995">
        <v>301</v>
      </c>
      <c r="L20995">
        <v>740</v>
      </c>
      <c r="M20995">
        <v>1</v>
      </c>
      <c r="N20995">
        <v>8.8482699999999996E-173</v>
      </c>
      <c r="O20995">
        <v>1557</v>
      </c>
    </row>
    <row r="20996" spans="1:15" x14ac:dyDescent="0.25">
      <c r="A20996" t="s">
        <v>21009</v>
      </c>
      <c r="B20996">
        <v>318</v>
      </c>
      <c r="C20996" s="1" t="str">
        <f>HYPERLINK("http://www.rosaceae.org/gb/gbrowse/malus_x_domestica/?name=MDP0000252873","MDP0000252873")</f>
        <v>MDP0000252873</v>
      </c>
      <c r="D20996">
        <v>75.75</v>
      </c>
      <c r="E20996">
        <v>297</v>
      </c>
      <c r="F20996">
        <v>72</v>
      </c>
      <c r="G20996">
        <v>7</v>
      </c>
      <c r="H20996">
        <v>8</v>
      </c>
      <c r="I20996">
        <v>304</v>
      </c>
      <c r="J20996">
        <v>1</v>
      </c>
      <c r="K20996">
        <v>196</v>
      </c>
      <c r="L20996">
        <v>485</v>
      </c>
      <c r="M20996">
        <v>1</v>
      </c>
      <c r="N20996">
        <v>7.1339499999999997E-131</v>
      </c>
      <c r="O20996">
        <v>1193</v>
      </c>
    </row>
    <row r="20997" spans="1:15" x14ac:dyDescent="0.25">
      <c r="A20997" t="s">
        <v>21010</v>
      </c>
      <c r="B20997">
        <v>62</v>
      </c>
      <c r="C20997" s="1" t="str">
        <f>HYPERLINK("http://www.rosaceae.org/gb/gbrowse/malus_x_domestica/?name=MDP0000090045","MDP0000090045")</f>
        <v>MDP0000090045</v>
      </c>
      <c r="D20997">
        <v>94.73</v>
      </c>
      <c r="E20997">
        <v>38</v>
      </c>
      <c r="F20997">
        <v>2</v>
      </c>
      <c r="G20997">
        <v>0</v>
      </c>
      <c r="H20997">
        <v>8</v>
      </c>
      <c r="I20997">
        <v>45</v>
      </c>
      <c r="J20997">
        <v>1</v>
      </c>
      <c r="K20997">
        <v>142</v>
      </c>
      <c r="L20997">
        <v>179</v>
      </c>
      <c r="M20997">
        <v>1</v>
      </c>
      <c r="N20997">
        <v>3.0300100000000002E-14</v>
      </c>
      <c r="O20997">
        <v>180</v>
      </c>
    </row>
    <row r="20998" spans="1:15" x14ac:dyDescent="0.25">
      <c r="A20998" t="s">
        <v>21011</v>
      </c>
      <c r="B20998">
        <v>706</v>
      </c>
      <c r="C20998" s="1" t="str">
        <f>HYPERLINK("http://www.rosaceae.org/gb/gbrowse/malus_x_domestica/?name=MDP0000253085","MDP0000253085")</f>
        <v>MDP0000253085</v>
      </c>
      <c r="D20998">
        <v>68.52</v>
      </c>
      <c r="E20998">
        <v>467</v>
      </c>
      <c r="F20998">
        <v>147</v>
      </c>
      <c r="G20998">
        <v>24</v>
      </c>
      <c r="H20998">
        <v>1</v>
      </c>
      <c r="I20998">
        <v>467</v>
      </c>
      <c r="J20998">
        <v>1</v>
      </c>
      <c r="K20998">
        <v>17</v>
      </c>
      <c r="L20998">
        <v>459</v>
      </c>
      <c r="M20998">
        <v>1</v>
      </c>
      <c r="N20998">
        <v>0</v>
      </c>
      <c r="O20998">
        <v>1663</v>
      </c>
    </row>
    <row r="20999" spans="1:15" x14ac:dyDescent="0.25">
      <c r="A20999" t="s">
        <v>21012</v>
      </c>
      <c r="B20999">
        <v>662</v>
      </c>
      <c r="C20999" s="1" t="str">
        <f>HYPERLINK("http://www.rosaceae.org/gb/gbrowse/malus_x_domestica/?name=MDP0000266451","MDP0000266451")</f>
        <v>MDP0000266451</v>
      </c>
      <c r="D20999">
        <v>62.85</v>
      </c>
      <c r="E20999">
        <v>603</v>
      </c>
      <c r="F20999">
        <v>224</v>
      </c>
      <c r="G20999">
        <v>15</v>
      </c>
      <c r="H20999">
        <v>45</v>
      </c>
      <c r="I20999">
        <v>640</v>
      </c>
      <c r="J20999">
        <v>1</v>
      </c>
      <c r="K20999">
        <v>41</v>
      </c>
      <c r="L20999">
        <v>635</v>
      </c>
      <c r="M20999">
        <v>1</v>
      </c>
      <c r="N20999">
        <v>0</v>
      </c>
      <c r="O20999">
        <v>1909</v>
      </c>
    </row>
    <row r="21000" spans="1:15" x14ac:dyDescent="0.25">
      <c r="A21000" t="s">
        <v>21013</v>
      </c>
      <c r="B21000">
        <v>467</v>
      </c>
      <c r="C21000" s="1" t="str">
        <f>HYPERLINK("http://www.rosaceae.org/gb/gbrowse/malus_x_domestica/?name=MDP0000225558","MDP0000225558")</f>
        <v>MDP0000225558</v>
      </c>
      <c r="D21000">
        <v>63.01</v>
      </c>
      <c r="E21000">
        <v>465</v>
      </c>
      <c r="F21000">
        <v>172</v>
      </c>
      <c r="G21000">
        <v>26</v>
      </c>
      <c r="H21000">
        <v>6</v>
      </c>
      <c r="I21000">
        <v>444</v>
      </c>
      <c r="J21000">
        <v>1</v>
      </c>
      <c r="K21000">
        <v>2</v>
      </c>
      <c r="L21000">
        <v>466</v>
      </c>
      <c r="M21000">
        <v>1</v>
      </c>
      <c r="N21000">
        <v>1.09914E-164</v>
      </c>
      <c r="O21000">
        <v>1486</v>
      </c>
    </row>
    <row r="21001" spans="1:15" x14ac:dyDescent="0.25">
      <c r="A21001" t="s">
        <v>21014</v>
      </c>
      <c r="B21001">
        <v>372</v>
      </c>
      <c r="C21001" s="1" t="str">
        <f>HYPERLINK("http://www.rosaceae.org/gb/gbrowse/malus_x_domestica/?name=MDP0000168885","MDP0000168885")</f>
        <v>MDP0000168885</v>
      </c>
      <c r="D21001">
        <v>82.9</v>
      </c>
      <c r="E21001">
        <v>193</v>
      </c>
      <c r="F21001">
        <v>33</v>
      </c>
      <c r="G21001">
        <v>0</v>
      </c>
      <c r="H21001">
        <v>2</v>
      </c>
      <c r="I21001">
        <v>194</v>
      </c>
      <c r="J21001">
        <v>1</v>
      </c>
      <c r="K21001">
        <v>36</v>
      </c>
      <c r="L21001">
        <v>228</v>
      </c>
      <c r="M21001">
        <v>1</v>
      </c>
      <c r="N21001">
        <v>1.89978E-92</v>
      </c>
      <c r="O21001">
        <v>862</v>
      </c>
    </row>
    <row r="21002" spans="1:15" x14ac:dyDescent="0.25">
      <c r="A21002" t="s">
        <v>21015</v>
      </c>
      <c r="B21002">
        <v>141</v>
      </c>
      <c r="C21002" s="1" t="str">
        <f>HYPERLINK("http://www.rosaceae.org/gb/gbrowse/malus_x_domestica/?name=MDP0000258793","MDP0000258793")</f>
        <v>MDP0000258793</v>
      </c>
      <c r="D21002">
        <v>73.75</v>
      </c>
      <c r="E21002">
        <v>141</v>
      </c>
      <c r="F21002">
        <v>37</v>
      </c>
      <c r="G21002">
        <v>5</v>
      </c>
      <c r="H21002">
        <v>1</v>
      </c>
      <c r="I21002">
        <v>141</v>
      </c>
      <c r="J21002">
        <v>1</v>
      </c>
      <c r="K21002">
        <v>1</v>
      </c>
      <c r="L21002">
        <v>136</v>
      </c>
      <c r="M21002">
        <v>1</v>
      </c>
      <c r="N21002">
        <v>6.7441600000000002E-56</v>
      </c>
      <c r="O21002">
        <v>541</v>
      </c>
    </row>
    <row r="21003" spans="1:15" x14ac:dyDescent="0.25">
      <c r="A21003" t="s">
        <v>21016</v>
      </c>
      <c r="B21003">
        <v>446</v>
      </c>
      <c r="C21003" s="1" t="str">
        <f>HYPERLINK("http://www.rosaceae.org/gb/gbrowse/malus_x_domestica/?name=MDP0000238557","MDP0000238557")</f>
        <v>MDP0000238557</v>
      </c>
      <c r="D21003">
        <v>94.17</v>
      </c>
      <c r="E21003">
        <v>429</v>
      </c>
      <c r="F21003">
        <v>25</v>
      </c>
      <c r="G21003">
        <v>0</v>
      </c>
      <c r="H21003">
        <v>1</v>
      </c>
      <c r="I21003">
        <v>429</v>
      </c>
      <c r="J21003">
        <v>1</v>
      </c>
      <c r="K21003">
        <v>1</v>
      </c>
      <c r="L21003">
        <v>429</v>
      </c>
      <c r="M21003">
        <v>1</v>
      </c>
      <c r="N21003">
        <v>0</v>
      </c>
      <c r="O21003">
        <v>2221</v>
      </c>
    </row>
    <row r="21004" spans="1:15" x14ac:dyDescent="0.25">
      <c r="A21004" t="s">
        <v>21017</v>
      </c>
      <c r="B21004">
        <v>870</v>
      </c>
      <c r="C21004" s="1" t="str">
        <f>HYPERLINK("http://www.rosaceae.org/gb/gbrowse/malus_x_domestica/?name=MDP0000921891","MDP0000921891")</f>
        <v>MDP0000921891</v>
      </c>
      <c r="D21004">
        <v>60.77</v>
      </c>
      <c r="E21004">
        <v>849</v>
      </c>
      <c r="F21004">
        <v>333</v>
      </c>
      <c r="G21004">
        <v>73</v>
      </c>
      <c r="H21004">
        <v>20</v>
      </c>
      <c r="I21004">
        <v>856</v>
      </c>
      <c r="J21004">
        <v>1</v>
      </c>
      <c r="K21004">
        <v>20</v>
      </c>
      <c r="L21004">
        <v>807</v>
      </c>
      <c r="M21004">
        <v>1</v>
      </c>
      <c r="N21004">
        <v>0</v>
      </c>
      <c r="O21004">
        <v>2487</v>
      </c>
    </row>
    <row r="21005" spans="1:15" x14ac:dyDescent="0.25">
      <c r="A21005" t="s">
        <v>21018</v>
      </c>
      <c r="B21005">
        <v>377</v>
      </c>
      <c r="C21005" s="1" t="str">
        <f>HYPERLINK("http://www.rosaceae.org/gb/gbrowse/malus_x_domestica/?name=MDP0000253097","MDP0000253097")</f>
        <v>MDP0000253097</v>
      </c>
      <c r="D21005">
        <v>33.229999999999997</v>
      </c>
      <c r="E21005">
        <v>331</v>
      </c>
      <c r="F21005">
        <v>221</v>
      </c>
      <c r="G21005">
        <v>32</v>
      </c>
      <c r="H21005">
        <v>46</v>
      </c>
      <c r="I21005">
        <v>371</v>
      </c>
      <c r="J21005">
        <v>1</v>
      </c>
      <c r="K21005">
        <v>11</v>
      </c>
      <c r="L21005">
        <v>314</v>
      </c>
      <c r="M21005">
        <v>1</v>
      </c>
      <c r="N21005">
        <v>1.8242000000000001E-37</v>
      </c>
      <c r="O21005">
        <v>388</v>
      </c>
    </row>
    <row r="21006" spans="1:15" x14ac:dyDescent="0.25">
      <c r="A21006" t="s">
        <v>21019</v>
      </c>
      <c r="B21006">
        <v>604</v>
      </c>
      <c r="C21006" s="1" t="str">
        <f>HYPERLINK("http://www.rosaceae.org/gb/gbrowse/malus_x_domestica/?name=MDP0000572257","MDP0000572257")</f>
        <v>MDP0000572257</v>
      </c>
      <c r="D21006">
        <v>71.459999999999994</v>
      </c>
      <c r="E21006">
        <v>354</v>
      </c>
      <c r="F21006">
        <v>101</v>
      </c>
      <c r="G21006">
        <v>21</v>
      </c>
      <c r="H21006">
        <v>267</v>
      </c>
      <c r="I21006">
        <v>604</v>
      </c>
      <c r="J21006">
        <v>1</v>
      </c>
      <c r="K21006">
        <v>1</v>
      </c>
      <c r="L21006">
        <v>349</v>
      </c>
      <c r="M21006">
        <v>1</v>
      </c>
      <c r="N21006">
        <v>2.9477199999999999E-136</v>
      </c>
      <c r="O21006">
        <v>1242</v>
      </c>
    </row>
    <row r="21007" spans="1:15" x14ac:dyDescent="0.25">
      <c r="A21007" t="s">
        <v>21020</v>
      </c>
      <c r="B21007">
        <v>1251</v>
      </c>
      <c r="C21007" s="1" t="str">
        <f>HYPERLINK("http://www.rosaceae.org/gb/gbrowse/malus_x_domestica/?name=MDP0000233640","MDP0000233640")</f>
        <v>MDP0000233640</v>
      </c>
      <c r="D21007">
        <v>68.239999999999995</v>
      </c>
      <c r="E21007">
        <v>1228</v>
      </c>
      <c r="F21007">
        <v>390</v>
      </c>
      <c r="G21007">
        <v>71</v>
      </c>
      <c r="H21007">
        <v>44</v>
      </c>
      <c r="I21007">
        <v>1223</v>
      </c>
      <c r="J21007">
        <v>1</v>
      </c>
      <c r="K21007">
        <v>101</v>
      </c>
      <c r="L21007">
        <v>1305</v>
      </c>
      <c r="M21007">
        <v>1</v>
      </c>
      <c r="N21007">
        <v>0</v>
      </c>
      <c r="O21007">
        <v>4188</v>
      </c>
    </row>
    <row r="21008" spans="1:15" x14ac:dyDescent="0.25">
      <c r="A21008" t="s">
        <v>21021</v>
      </c>
      <c r="B21008">
        <v>510</v>
      </c>
      <c r="C21008" s="1" t="str">
        <f>HYPERLINK("http://www.rosaceae.org/gb/gbrowse/malus_x_domestica/?name=MDP0000309372","MDP0000309372")</f>
        <v>MDP0000309372</v>
      </c>
      <c r="D21008">
        <v>76.69</v>
      </c>
      <c r="E21008">
        <v>502</v>
      </c>
      <c r="F21008">
        <v>117</v>
      </c>
      <c r="G21008">
        <v>0</v>
      </c>
      <c r="H21008">
        <v>1</v>
      </c>
      <c r="I21008">
        <v>502</v>
      </c>
      <c r="J21008">
        <v>1</v>
      </c>
      <c r="K21008">
        <v>272</v>
      </c>
      <c r="L21008">
        <v>773</v>
      </c>
      <c r="M21008">
        <v>1</v>
      </c>
      <c r="N21008">
        <v>0</v>
      </c>
      <c r="O21008">
        <v>2105</v>
      </c>
    </row>
    <row r="21009" spans="1:15" x14ac:dyDescent="0.25">
      <c r="A21009" t="s">
        <v>21022</v>
      </c>
      <c r="B21009">
        <v>780</v>
      </c>
      <c r="C21009" s="1" t="str">
        <f>HYPERLINK("http://www.rosaceae.org/gb/gbrowse/malus_x_domestica/?name=MDP0000262805","MDP0000262805")</f>
        <v>MDP0000262805</v>
      </c>
      <c r="D21009">
        <v>59.54</v>
      </c>
      <c r="E21009">
        <v>754</v>
      </c>
      <c r="F21009">
        <v>305</v>
      </c>
      <c r="G21009">
        <v>51</v>
      </c>
      <c r="H21009">
        <v>1</v>
      </c>
      <c r="I21009">
        <v>731</v>
      </c>
      <c r="J21009">
        <v>1</v>
      </c>
      <c r="K21009">
        <v>1</v>
      </c>
      <c r="L21009">
        <v>726</v>
      </c>
      <c r="M21009">
        <v>1</v>
      </c>
      <c r="N21009">
        <v>0</v>
      </c>
      <c r="O21009">
        <v>2282</v>
      </c>
    </row>
    <row r="21010" spans="1:15" x14ac:dyDescent="0.25">
      <c r="A21010" t="s">
        <v>21023</v>
      </c>
      <c r="B21010">
        <v>645</v>
      </c>
      <c r="C21010" s="1" t="str">
        <f>HYPERLINK("http://www.rosaceae.org/gb/gbrowse/malus_x_domestica/?name=MDP0000909888","MDP0000909888")</f>
        <v>MDP0000909888</v>
      </c>
      <c r="D21010">
        <v>59.05</v>
      </c>
      <c r="E21010">
        <v>381</v>
      </c>
      <c r="F21010">
        <v>156</v>
      </c>
      <c r="G21010">
        <v>13</v>
      </c>
      <c r="H21010">
        <v>5</v>
      </c>
      <c r="I21010">
        <v>377</v>
      </c>
      <c r="J21010">
        <v>1</v>
      </c>
      <c r="K21010">
        <v>2</v>
      </c>
      <c r="L21010">
        <v>377</v>
      </c>
      <c r="M21010">
        <v>1</v>
      </c>
      <c r="N21010">
        <v>2.6992999999999999E-119</v>
      </c>
      <c r="O21010">
        <v>1096</v>
      </c>
    </row>
    <row r="21011" spans="1:15" x14ac:dyDescent="0.25">
      <c r="A21011" t="s">
        <v>21024</v>
      </c>
      <c r="B21011">
        <v>507</v>
      </c>
      <c r="C21011" s="1" t="str">
        <f>HYPERLINK("http://www.rosaceae.org/gb/gbrowse/malus_x_domestica/?name=MDP0000123907","MDP0000123907")</f>
        <v>MDP0000123907</v>
      </c>
      <c r="D21011">
        <v>67.680000000000007</v>
      </c>
      <c r="E21011">
        <v>424</v>
      </c>
      <c r="F21011">
        <v>137</v>
      </c>
      <c r="G21011">
        <v>19</v>
      </c>
      <c r="H21011">
        <v>1</v>
      </c>
      <c r="I21011">
        <v>421</v>
      </c>
      <c r="J21011">
        <v>1</v>
      </c>
      <c r="K21011">
        <v>1</v>
      </c>
      <c r="L21011">
        <v>408</v>
      </c>
      <c r="M21011">
        <v>1</v>
      </c>
      <c r="N21011">
        <v>1.4951100000000001E-164</v>
      </c>
      <c r="O21011">
        <v>1486</v>
      </c>
    </row>
    <row r="21012" spans="1:15" x14ac:dyDescent="0.25">
      <c r="A21012" t="s">
        <v>21025</v>
      </c>
      <c r="B21012">
        <v>975</v>
      </c>
      <c r="C21012" s="1" t="str">
        <f>HYPERLINK("http://www.rosaceae.org/gb/gbrowse/malus_x_domestica/?name=MDP0000278580","MDP0000278580")</f>
        <v>MDP0000278580</v>
      </c>
      <c r="D21012">
        <v>72.02</v>
      </c>
      <c r="E21012">
        <v>547</v>
      </c>
      <c r="F21012">
        <v>153</v>
      </c>
      <c r="G21012">
        <v>36</v>
      </c>
      <c r="H21012">
        <v>343</v>
      </c>
      <c r="I21012">
        <v>887</v>
      </c>
      <c r="J21012">
        <v>1</v>
      </c>
      <c r="K21012">
        <v>516</v>
      </c>
      <c r="L21012">
        <v>1028</v>
      </c>
      <c r="M21012">
        <v>1</v>
      </c>
      <c r="N21012">
        <v>0</v>
      </c>
      <c r="O21012">
        <v>2066</v>
      </c>
    </row>
    <row r="21013" spans="1:15" x14ac:dyDescent="0.25">
      <c r="A21013" t="s">
        <v>21026</v>
      </c>
      <c r="B21013">
        <v>292</v>
      </c>
      <c r="C21013" s="1" t="str">
        <f>HYPERLINK("http://www.rosaceae.org/gb/gbrowse/malus_x_domestica/?name=MDP0000216913","MDP0000216913")</f>
        <v>MDP0000216913</v>
      </c>
      <c r="D21013">
        <v>64.86</v>
      </c>
      <c r="E21013">
        <v>74</v>
      </c>
      <c r="F21013">
        <v>26</v>
      </c>
      <c r="G21013">
        <v>20</v>
      </c>
      <c r="H21013">
        <v>161</v>
      </c>
      <c r="I21013">
        <v>214</v>
      </c>
      <c r="J21013">
        <v>1</v>
      </c>
      <c r="K21013">
        <v>202</v>
      </c>
      <c r="L21013">
        <v>275</v>
      </c>
      <c r="M21013">
        <v>1</v>
      </c>
      <c r="N21013">
        <v>3.61557E-16</v>
      </c>
      <c r="O21013">
        <v>203</v>
      </c>
    </row>
    <row r="21014" spans="1:15" x14ac:dyDescent="0.25">
      <c r="A21014" t="s">
        <v>21027</v>
      </c>
      <c r="B21014">
        <v>707</v>
      </c>
      <c r="C21014" s="1" t="str">
        <f>HYPERLINK("http://www.rosaceae.org/gb/gbrowse/malus_x_domestica/?name=MDP0000308001","MDP0000308001")</f>
        <v>MDP0000308001</v>
      </c>
      <c r="D21014">
        <v>39</v>
      </c>
      <c r="E21014">
        <v>423</v>
      </c>
      <c r="F21014">
        <v>258</v>
      </c>
      <c r="G21014">
        <v>92</v>
      </c>
      <c r="H21014">
        <v>39</v>
      </c>
      <c r="I21014">
        <v>407</v>
      </c>
      <c r="J21014">
        <v>1</v>
      </c>
      <c r="K21014">
        <v>154</v>
      </c>
      <c r="L21014">
        <v>538</v>
      </c>
      <c r="M21014">
        <v>1</v>
      </c>
      <c r="N21014">
        <v>3.8117300000000001E-65</v>
      </c>
      <c r="O21014">
        <v>630</v>
      </c>
    </row>
    <row r="21015" spans="1:15" x14ac:dyDescent="0.25">
      <c r="A21015" t="s">
        <v>21028</v>
      </c>
      <c r="B21015">
        <v>549</v>
      </c>
      <c r="C21015" s="1" t="str">
        <f>HYPERLINK("http://www.rosaceae.org/gb/gbrowse/malus_x_domestica/?name=MDP0000168437","MDP0000168437")</f>
        <v>MDP0000168437</v>
      </c>
      <c r="D21015">
        <v>74.62</v>
      </c>
      <c r="E21015">
        <v>528</v>
      </c>
      <c r="F21015">
        <v>134</v>
      </c>
      <c r="G21015">
        <v>41</v>
      </c>
      <c r="H21015">
        <v>1</v>
      </c>
      <c r="I21015">
        <v>528</v>
      </c>
      <c r="J21015">
        <v>1</v>
      </c>
      <c r="K21015">
        <v>1</v>
      </c>
      <c r="L21015">
        <v>487</v>
      </c>
      <c r="M21015">
        <v>1</v>
      </c>
      <c r="N21015">
        <v>0</v>
      </c>
      <c r="O21015">
        <v>2002</v>
      </c>
    </row>
    <row r="21016" spans="1:15" x14ac:dyDescent="0.25">
      <c r="A21016" t="s">
        <v>21029</v>
      </c>
      <c r="B21016">
        <v>479</v>
      </c>
      <c r="C21016" s="1" t="str">
        <f>HYPERLINK("http://www.rosaceae.org/gb/gbrowse/malus_x_domestica/?name=MDP0000284557","MDP0000284557")</f>
        <v>MDP0000284557</v>
      </c>
      <c r="D21016">
        <v>81.58</v>
      </c>
      <c r="E21016">
        <v>467</v>
      </c>
      <c r="F21016">
        <v>86</v>
      </c>
      <c r="G21016">
        <v>4</v>
      </c>
      <c r="H21016">
        <v>1</v>
      </c>
      <c r="I21016">
        <v>467</v>
      </c>
      <c r="J21016">
        <v>1</v>
      </c>
      <c r="K21016">
        <v>1</v>
      </c>
      <c r="L21016">
        <v>463</v>
      </c>
      <c r="M21016">
        <v>1</v>
      </c>
      <c r="N21016">
        <v>0</v>
      </c>
      <c r="O21016">
        <v>2029</v>
      </c>
    </row>
    <row r="21017" spans="1:15" x14ac:dyDescent="0.25">
      <c r="A21017" t="s">
        <v>21030</v>
      </c>
      <c r="B21017">
        <v>235</v>
      </c>
      <c r="C21017" s="1" t="str">
        <f>HYPERLINK("http://www.rosaceae.org/gb/gbrowse/malus_x_domestica/?name=MDP0000167016","MDP0000167016")</f>
        <v>MDP0000167016</v>
      </c>
      <c r="D21017">
        <v>67.62</v>
      </c>
      <c r="E21017">
        <v>139</v>
      </c>
      <c r="F21017">
        <v>45</v>
      </c>
      <c r="G21017">
        <v>0</v>
      </c>
      <c r="H21017">
        <v>97</v>
      </c>
      <c r="I21017">
        <v>235</v>
      </c>
      <c r="J21017">
        <v>1</v>
      </c>
      <c r="K21017">
        <v>32</v>
      </c>
      <c r="L21017">
        <v>170</v>
      </c>
      <c r="M21017">
        <v>1</v>
      </c>
      <c r="N21017">
        <v>1.7333799999999999E-48</v>
      </c>
      <c r="O21017">
        <v>481</v>
      </c>
    </row>
    <row r="21018" spans="1:15" x14ac:dyDescent="0.25">
      <c r="A21018" t="s">
        <v>21031</v>
      </c>
      <c r="B21018">
        <v>444</v>
      </c>
      <c r="C21018" s="1" t="str">
        <f>HYPERLINK("http://www.rosaceae.org/gb/gbrowse/malus_x_domestica/?name=MDP0000260352","MDP0000260352")</f>
        <v>MDP0000260352</v>
      </c>
      <c r="D21018">
        <v>52.6</v>
      </c>
      <c r="E21018">
        <v>365</v>
      </c>
      <c r="F21018">
        <v>173</v>
      </c>
      <c r="G21018">
        <v>35</v>
      </c>
      <c r="H21018">
        <v>86</v>
      </c>
      <c r="I21018">
        <v>439</v>
      </c>
      <c r="J21018">
        <v>1</v>
      </c>
      <c r="K21018">
        <v>23</v>
      </c>
      <c r="L21018">
        <v>363</v>
      </c>
      <c r="M21018">
        <v>1</v>
      </c>
      <c r="N21018">
        <v>3.1852000000000001E-94</v>
      </c>
      <c r="O21018">
        <v>878</v>
      </c>
    </row>
    <row r="21019" spans="1:15" x14ac:dyDescent="0.25">
      <c r="A21019" t="s">
        <v>21032</v>
      </c>
      <c r="B21019">
        <v>139</v>
      </c>
      <c r="C21019" s="1" t="str">
        <f>HYPERLINK("http://www.rosaceae.org/gb/gbrowse/malus_x_domestica/?name=MDP0000618087","MDP0000618087")</f>
        <v>MDP0000618087</v>
      </c>
      <c r="D21019">
        <v>42.75</v>
      </c>
      <c r="E21019">
        <v>138</v>
      </c>
      <c r="F21019">
        <v>79</v>
      </c>
      <c r="G21019">
        <v>4</v>
      </c>
      <c r="H21019">
        <v>6</v>
      </c>
      <c r="I21019">
        <v>139</v>
      </c>
      <c r="J21019">
        <v>1</v>
      </c>
      <c r="K21019">
        <v>3</v>
      </c>
      <c r="L21019">
        <v>140</v>
      </c>
      <c r="M21019">
        <v>1</v>
      </c>
      <c r="N21019">
        <v>7.5175299999999999E-24</v>
      </c>
      <c r="O21019">
        <v>264</v>
      </c>
    </row>
    <row r="21020" spans="1:15" x14ac:dyDescent="0.25">
      <c r="A21020" t="s">
        <v>21033</v>
      </c>
      <c r="B21020">
        <v>513</v>
      </c>
      <c r="C21020" s="1" t="str">
        <f>HYPERLINK("http://www.rosaceae.org/gb/gbrowse/malus_x_domestica/?name=MDP0000168479","MDP0000168479")</f>
        <v>MDP0000168479</v>
      </c>
      <c r="D21020">
        <v>71.180000000000007</v>
      </c>
      <c r="E21020">
        <v>590</v>
      </c>
      <c r="F21020">
        <v>170</v>
      </c>
      <c r="G21020">
        <v>87</v>
      </c>
      <c r="H21020">
        <v>11</v>
      </c>
      <c r="I21020">
        <v>513</v>
      </c>
      <c r="J21020">
        <v>1</v>
      </c>
      <c r="K21020">
        <v>16</v>
      </c>
      <c r="L21020">
        <v>605</v>
      </c>
      <c r="M21020">
        <v>1</v>
      </c>
      <c r="N21020">
        <v>0</v>
      </c>
      <c r="O21020">
        <v>2192</v>
      </c>
    </row>
    <row r="21021" spans="1:15" x14ac:dyDescent="0.25">
      <c r="A21021" t="s">
        <v>21034</v>
      </c>
      <c r="B21021">
        <v>297</v>
      </c>
      <c r="C21021" s="1" t="str">
        <f>HYPERLINK("http://www.rosaceae.org/gb/gbrowse/malus_x_domestica/?name=MDP0000133195","MDP0000133195")</f>
        <v>MDP0000133195</v>
      </c>
      <c r="D21021">
        <v>57.95</v>
      </c>
      <c r="E21021">
        <v>88</v>
      </c>
      <c r="F21021">
        <v>37</v>
      </c>
      <c r="G21021">
        <v>12</v>
      </c>
      <c r="H21021">
        <v>133</v>
      </c>
      <c r="I21021">
        <v>208</v>
      </c>
      <c r="J21021">
        <v>1</v>
      </c>
      <c r="K21021">
        <v>54</v>
      </c>
      <c r="L21021">
        <v>141</v>
      </c>
      <c r="M21021">
        <v>1</v>
      </c>
      <c r="N21021">
        <v>4.3399499999999998E-23</v>
      </c>
      <c r="O21021">
        <v>263</v>
      </c>
    </row>
    <row r="21022" spans="1:15" x14ac:dyDescent="0.25">
      <c r="A21022" t="s">
        <v>21035</v>
      </c>
      <c r="B21022">
        <v>462</v>
      </c>
      <c r="C21022" s="1" t="str">
        <f>HYPERLINK("http://www.rosaceae.org/gb/gbrowse/malus_x_domestica/?name=MDP0000221887","MDP0000221887")</f>
        <v>MDP0000221887</v>
      </c>
      <c r="D21022">
        <v>76.400000000000006</v>
      </c>
      <c r="E21022">
        <v>462</v>
      </c>
      <c r="F21022">
        <v>109</v>
      </c>
      <c r="G21022">
        <v>17</v>
      </c>
      <c r="H21022">
        <v>7</v>
      </c>
      <c r="I21022">
        <v>460</v>
      </c>
      <c r="J21022">
        <v>1</v>
      </c>
      <c r="K21022">
        <v>6</v>
      </c>
      <c r="L21022">
        <v>458</v>
      </c>
      <c r="M21022">
        <v>1</v>
      </c>
      <c r="N21022">
        <v>0</v>
      </c>
      <c r="O21022">
        <v>1844</v>
      </c>
    </row>
    <row r="21023" spans="1:15" x14ac:dyDescent="0.25">
      <c r="A21023" t="s">
        <v>21036</v>
      </c>
      <c r="B21023">
        <v>543</v>
      </c>
      <c r="C21023" s="1" t="str">
        <f>HYPERLINK("http://www.rosaceae.org/gb/gbrowse/malus_x_domestica/?name=MDP0000217335","MDP0000217335")</f>
        <v>MDP0000217335</v>
      </c>
      <c r="D21023">
        <v>39.799999999999997</v>
      </c>
      <c r="E21023">
        <v>402</v>
      </c>
      <c r="F21023">
        <v>242</v>
      </c>
      <c r="G21023">
        <v>29</v>
      </c>
      <c r="H21023">
        <v>34</v>
      </c>
      <c r="I21023">
        <v>418</v>
      </c>
      <c r="J21023">
        <v>1</v>
      </c>
      <c r="K21023">
        <v>9</v>
      </c>
      <c r="L21023">
        <v>398</v>
      </c>
      <c r="M21023">
        <v>1</v>
      </c>
      <c r="N21023">
        <v>4.92016E-66</v>
      </c>
      <c r="O21023">
        <v>636</v>
      </c>
    </row>
    <row r="21024" spans="1:15" x14ac:dyDescent="0.25">
      <c r="A21024" t="s">
        <v>21037</v>
      </c>
      <c r="B21024">
        <v>571</v>
      </c>
      <c r="C21024" s="1" t="str">
        <f>HYPERLINK("http://www.rosaceae.org/gb/gbrowse/malus_x_domestica/?name=MDP0000295518","MDP0000295518")</f>
        <v>MDP0000295518</v>
      </c>
      <c r="D21024">
        <v>81.11</v>
      </c>
      <c r="E21024">
        <v>466</v>
      </c>
      <c r="F21024">
        <v>88</v>
      </c>
      <c r="G21024">
        <v>1</v>
      </c>
      <c r="H21024">
        <v>107</v>
      </c>
      <c r="I21024">
        <v>571</v>
      </c>
      <c r="J21024">
        <v>1</v>
      </c>
      <c r="K21024">
        <v>1</v>
      </c>
      <c r="L21024">
        <v>466</v>
      </c>
      <c r="M21024">
        <v>1</v>
      </c>
      <c r="N21024">
        <v>0</v>
      </c>
      <c r="O21024">
        <v>2047</v>
      </c>
    </row>
    <row r="21025" spans="1:15" x14ac:dyDescent="0.25">
      <c r="A21025" t="s">
        <v>21038</v>
      </c>
      <c r="B21025">
        <v>316</v>
      </c>
      <c r="C21025" s="1" t="str">
        <f>HYPERLINK("http://www.rosaceae.org/gb/gbrowse/malus_x_domestica/?name=MDP0000127858","MDP0000127858")</f>
        <v>MDP0000127858</v>
      </c>
      <c r="D21025">
        <v>56.96</v>
      </c>
      <c r="E21025">
        <v>316</v>
      </c>
      <c r="F21025">
        <v>136</v>
      </c>
      <c r="G21025">
        <v>5</v>
      </c>
      <c r="H21025">
        <v>1</v>
      </c>
      <c r="I21025">
        <v>314</v>
      </c>
      <c r="J21025">
        <v>1</v>
      </c>
      <c r="K21025">
        <v>1</v>
      </c>
      <c r="L21025">
        <v>313</v>
      </c>
      <c r="M21025">
        <v>1</v>
      </c>
      <c r="N21025">
        <v>8.5857E-93</v>
      </c>
      <c r="O21025">
        <v>864</v>
      </c>
    </row>
    <row r="21026" spans="1:15" x14ac:dyDescent="0.25">
      <c r="A21026" t="s">
        <v>21039</v>
      </c>
      <c r="B21026">
        <v>528</v>
      </c>
      <c r="C21026" s="1" t="str">
        <f>HYPERLINK("http://www.rosaceae.org/gb/gbrowse/malus_x_domestica/?name=MDP0000285273","MDP0000285273")</f>
        <v>MDP0000285273</v>
      </c>
      <c r="D21026">
        <v>78.86</v>
      </c>
      <c r="E21026">
        <v>530</v>
      </c>
      <c r="F21026">
        <v>112</v>
      </c>
      <c r="G21026">
        <v>8</v>
      </c>
      <c r="H21026">
        <v>1</v>
      </c>
      <c r="I21026">
        <v>526</v>
      </c>
      <c r="J21026">
        <v>1</v>
      </c>
      <c r="K21026">
        <v>1</v>
      </c>
      <c r="L21026">
        <v>526</v>
      </c>
      <c r="M21026">
        <v>1</v>
      </c>
      <c r="N21026">
        <v>0</v>
      </c>
      <c r="O21026">
        <v>2140</v>
      </c>
    </row>
    <row r="21027" spans="1:15" x14ac:dyDescent="0.25">
      <c r="A21027" t="s">
        <v>21040</v>
      </c>
      <c r="B21027">
        <v>396</v>
      </c>
      <c r="C21027" s="1" t="str">
        <f>HYPERLINK("http://www.rosaceae.org/gb/gbrowse/malus_x_domestica/?name=MDP0000688643","MDP0000688643")</f>
        <v>MDP0000688643</v>
      </c>
      <c r="D21027">
        <v>69.84</v>
      </c>
      <c r="E21027">
        <v>398</v>
      </c>
      <c r="F21027">
        <v>120</v>
      </c>
      <c r="G21027">
        <v>11</v>
      </c>
      <c r="H21027">
        <v>4</v>
      </c>
      <c r="I21027">
        <v>396</v>
      </c>
      <c r="J21027">
        <v>1</v>
      </c>
      <c r="K21027">
        <v>3</v>
      </c>
      <c r="L21027">
        <v>394</v>
      </c>
      <c r="M21027">
        <v>1</v>
      </c>
      <c r="N21027">
        <v>3.6261099999999999E-149</v>
      </c>
      <c r="O21027">
        <v>1352</v>
      </c>
    </row>
    <row r="21028" spans="1:15" x14ac:dyDescent="0.25">
      <c r="A21028" t="s">
        <v>21041</v>
      </c>
      <c r="B21028">
        <v>276</v>
      </c>
      <c r="C21028" s="1" t="str">
        <f>HYPERLINK("http://www.rosaceae.org/gb/gbrowse/malus_x_domestica/?name=MDP0000305860","MDP0000305860")</f>
        <v>MDP0000305860</v>
      </c>
      <c r="D21028">
        <v>43.79</v>
      </c>
      <c r="E21028">
        <v>258</v>
      </c>
      <c r="F21028">
        <v>145</v>
      </c>
      <c r="G21028">
        <v>24</v>
      </c>
      <c r="H21028">
        <v>29</v>
      </c>
      <c r="I21028">
        <v>276</v>
      </c>
      <c r="J21028">
        <v>1</v>
      </c>
      <c r="K21028">
        <v>29</v>
      </c>
      <c r="L21028">
        <v>272</v>
      </c>
      <c r="M21028">
        <v>1</v>
      </c>
      <c r="N21028">
        <v>6.0989099999999999E-41</v>
      </c>
      <c r="O21028">
        <v>417</v>
      </c>
    </row>
    <row r="21029" spans="1:15" x14ac:dyDescent="0.25">
      <c r="A21029" t="s">
        <v>21042</v>
      </c>
      <c r="B21029">
        <v>430</v>
      </c>
      <c r="C21029" s="1" t="str">
        <f>HYPERLINK("http://www.rosaceae.org/gb/gbrowse/malus_x_domestica/?name=MDP0000451904","MDP0000451904")</f>
        <v>MDP0000451904</v>
      </c>
      <c r="D21029">
        <v>89.95</v>
      </c>
      <c r="E21029">
        <v>428</v>
      </c>
      <c r="F21029">
        <v>43</v>
      </c>
      <c r="G21029">
        <v>2</v>
      </c>
      <c r="H21029">
        <v>1</v>
      </c>
      <c r="I21029">
        <v>428</v>
      </c>
      <c r="J21029">
        <v>1</v>
      </c>
      <c r="K21029">
        <v>1</v>
      </c>
      <c r="L21029">
        <v>426</v>
      </c>
      <c r="M21029">
        <v>1</v>
      </c>
      <c r="N21029">
        <v>0</v>
      </c>
      <c r="O21029">
        <v>2097</v>
      </c>
    </row>
    <row r="21030" spans="1:15" x14ac:dyDescent="0.25">
      <c r="A21030" t="s">
        <v>21043</v>
      </c>
      <c r="B21030">
        <v>112</v>
      </c>
      <c r="C21030" s="1" t="str">
        <f>HYPERLINK("http://www.rosaceae.org/gb/gbrowse/malus_x_domestica/?name=MDP0000278575","MDP0000278575")</f>
        <v>MDP0000278575</v>
      </c>
      <c r="D21030">
        <v>66</v>
      </c>
      <c r="E21030">
        <v>50</v>
      </c>
      <c r="F21030">
        <v>17</v>
      </c>
      <c r="G21030">
        <v>0</v>
      </c>
      <c r="H21030">
        <v>14</v>
      </c>
      <c r="I21030">
        <v>63</v>
      </c>
      <c r="J21030">
        <v>1</v>
      </c>
      <c r="K21030">
        <v>763</v>
      </c>
      <c r="L21030">
        <v>812</v>
      </c>
      <c r="M21030">
        <v>1</v>
      </c>
      <c r="N21030">
        <v>1.74999E-14</v>
      </c>
      <c r="O21030">
        <v>182</v>
      </c>
    </row>
    <row r="21031" spans="1:15" x14ac:dyDescent="0.25">
      <c r="A21031" t="s">
        <v>21044</v>
      </c>
      <c r="B21031">
        <v>254</v>
      </c>
      <c r="C21031" s="1" t="str">
        <f>HYPERLINK("http://www.rosaceae.org/gb/gbrowse/malus_x_domestica/?name=MDP0000175405","MDP0000175405")</f>
        <v>MDP0000175405</v>
      </c>
      <c r="D21031">
        <v>80.849999999999994</v>
      </c>
      <c r="E21031">
        <v>256</v>
      </c>
      <c r="F21031">
        <v>49</v>
      </c>
      <c r="G21031">
        <v>4</v>
      </c>
      <c r="H21031">
        <v>1</v>
      </c>
      <c r="I21031">
        <v>252</v>
      </c>
      <c r="J21031">
        <v>1</v>
      </c>
      <c r="K21031">
        <v>1</v>
      </c>
      <c r="L21031">
        <v>256</v>
      </c>
      <c r="M21031">
        <v>1</v>
      </c>
      <c r="N21031">
        <v>1.3611099999999999E-121</v>
      </c>
      <c r="O21031">
        <v>1112</v>
      </c>
    </row>
    <row r="21032" spans="1:15" x14ac:dyDescent="0.25">
      <c r="A21032" t="s">
        <v>21045</v>
      </c>
      <c r="B21032">
        <v>914</v>
      </c>
      <c r="C21032" s="1" t="str">
        <f>HYPERLINK("http://www.rosaceae.org/gb/gbrowse/malus_x_domestica/?name=MDP0000254848","MDP0000254848")</f>
        <v>MDP0000254848</v>
      </c>
      <c r="D21032">
        <v>69.02</v>
      </c>
      <c r="E21032">
        <v>552</v>
      </c>
      <c r="F21032">
        <v>171</v>
      </c>
      <c r="G21032">
        <v>80</v>
      </c>
      <c r="H21032">
        <v>8</v>
      </c>
      <c r="I21032">
        <v>501</v>
      </c>
      <c r="J21032">
        <v>1</v>
      </c>
      <c r="K21032">
        <v>697</v>
      </c>
      <c r="L21032">
        <v>1226</v>
      </c>
      <c r="M21032">
        <v>1</v>
      </c>
      <c r="N21032">
        <v>0</v>
      </c>
      <c r="O21032">
        <v>1936</v>
      </c>
    </row>
    <row r="21033" spans="1:15" x14ac:dyDescent="0.25">
      <c r="A21033" t="s">
        <v>21046</v>
      </c>
      <c r="B21033">
        <v>314</v>
      </c>
      <c r="C21033" s="1" t="str">
        <f>HYPERLINK("http://www.rosaceae.org/gb/gbrowse/malus_x_domestica/?name=MDP0000167862","MDP0000167862")</f>
        <v>MDP0000167862</v>
      </c>
      <c r="D21033">
        <v>64.44</v>
      </c>
      <c r="E21033">
        <v>315</v>
      </c>
      <c r="F21033">
        <v>112</v>
      </c>
      <c r="G21033">
        <v>1</v>
      </c>
      <c r="H21033">
        <v>1</v>
      </c>
      <c r="I21033">
        <v>314</v>
      </c>
      <c r="J21033">
        <v>1</v>
      </c>
      <c r="K21033">
        <v>1</v>
      </c>
      <c r="L21033">
        <v>315</v>
      </c>
      <c r="M21033">
        <v>1</v>
      </c>
      <c r="N21033">
        <v>4.6720099999999997E-116</v>
      </c>
      <c r="O21033">
        <v>1065</v>
      </c>
    </row>
    <row r="21034" spans="1:15" x14ac:dyDescent="0.25">
      <c r="A21034" t="s">
        <v>21047</v>
      </c>
      <c r="B21034">
        <v>265</v>
      </c>
      <c r="C21034" s="1" t="str">
        <f>HYPERLINK("http://www.rosaceae.org/gb/gbrowse/malus_x_domestica/?name=MDP0000304428","MDP0000304428")</f>
        <v>MDP0000304428</v>
      </c>
      <c r="D21034">
        <v>35.42</v>
      </c>
      <c r="E21034">
        <v>223</v>
      </c>
      <c r="F21034">
        <v>144</v>
      </c>
      <c r="G21034">
        <v>27</v>
      </c>
      <c r="H21034">
        <v>55</v>
      </c>
      <c r="I21034">
        <v>262</v>
      </c>
      <c r="J21034">
        <v>1</v>
      </c>
      <c r="K21034">
        <v>554</v>
      </c>
      <c r="L21034">
        <v>764</v>
      </c>
      <c r="M21034">
        <v>1</v>
      </c>
      <c r="N21034">
        <v>1.23567E-27</v>
      </c>
      <c r="O21034">
        <v>302</v>
      </c>
    </row>
    <row r="21035" spans="1:15" x14ac:dyDescent="0.25">
      <c r="A21035" t="s">
        <v>21048</v>
      </c>
      <c r="B21035">
        <v>93</v>
      </c>
      <c r="C21035" s="1" t="str">
        <f>HYPERLINK("http://www.rosaceae.org/gb/gbrowse/malus_x_domestica/?name=MDP0000180976","MDP0000180976")</f>
        <v>MDP0000180976</v>
      </c>
      <c r="D21035">
        <v>73.86</v>
      </c>
      <c r="E21035">
        <v>88</v>
      </c>
      <c r="F21035">
        <v>23</v>
      </c>
      <c r="G21035">
        <v>0</v>
      </c>
      <c r="H21035">
        <v>1</v>
      </c>
      <c r="I21035">
        <v>88</v>
      </c>
      <c r="J21035">
        <v>1</v>
      </c>
      <c r="K21035">
        <v>4</v>
      </c>
      <c r="L21035">
        <v>91</v>
      </c>
      <c r="M21035">
        <v>1</v>
      </c>
      <c r="N21035">
        <v>1.0378E-33</v>
      </c>
      <c r="O21035">
        <v>348</v>
      </c>
    </row>
    <row r="21036" spans="1:15" x14ac:dyDescent="0.25">
      <c r="A21036" t="s">
        <v>21049</v>
      </c>
      <c r="B21036">
        <v>364</v>
      </c>
      <c r="C21036" s="1" t="str">
        <f>HYPERLINK("http://www.rosaceae.org/gb/gbrowse/malus_x_domestica/?name=MDP0000192879","MDP0000192879")</f>
        <v>MDP0000192879</v>
      </c>
      <c r="D21036">
        <v>64.7</v>
      </c>
      <c r="E21036">
        <v>357</v>
      </c>
      <c r="F21036">
        <v>126</v>
      </c>
      <c r="G21036">
        <v>17</v>
      </c>
      <c r="H21036">
        <v>7</v>
      </c>
      <c r="I21036">
        <v>363</v>
      </c>
      <c r="J21036">
        <v>1</v>
      </c>
      <c r="K21036">
        <v>5</v>
      </c>
      <c r="L21036">
        <v>344</v>
      </c>
      <c r="M21036">
        <v>1</v>
      </c>
      <c r="N21036">
        <v>1.12113E-137</v>
      </c>
      <c r="O21036">
        <v>1252</v>
      </c>
    </row>
    <row r="21037" spans="1:15" x14ac:dyDescent="0.25">
      <c r="A21037" t="s">
        <v>21050</v>
      </c>
      <c r="B21037">
        <v>261</v>
      </c>
      <c r="C21037" s="1" t="str">
        <f>HYPERLINK("http://www.rosaceae.org/gb/gbrowse/malus_x_domestica/?name=MDP0000284209","MDP0000284209")</f>
        <v>MDP0000284209</v>
      </c>
      <c r="D21037">
        <v>90.03</v>
      </c>
      <c r="E21037">
        <v>261</v>
      </c>
      <c r="F21037">
        <v>26</v>
      </c>
      <c r="G21037">
        <v>2</v>
      </c>
      <c r="H21037">
        <v>1</v>
      </c>
      <c r="I21037">
        <v>261</v>
      </c>
      <c r="J21037">
        <v>1</v>
      </c>
      <c r="K21037">
        <v>61</v>
      </c>
      <c r="L21037">
        <v>319</v>
      </c>
      <c r="M21037">
        <v>1</v>
      </c>
      <c r="N21037">
        <v>1.1997399999999999E-135</v>
      </c>
      <c r="O21037">
        <v>1233</v>
      </c>
    </row>
    <row r="21038" spans="1:15" x14ac:dyDescent="0.25">
      <c r="A21038" t="s">
        <v>21051</v>
      </c>
      <c r="B21038">
        <v>1515</v>
      </c>
      <c r="C21038" s="1" t="str">
        <f>HYPERLINK("http://www.rosaceae.org/gb/gbrowse/malus_x_domestica/?name=MDP0000270499","MDP0000270499")</f>
        <v>MDP0000270499</v>
      </c>
      <c r="D21038">
        <v>34.96</v>
      </c>
      <c r="E21038">
        <v>715</v>
      </c>
      <c r="F21038">
        <v>465</v>
      </c>
      <c r="G21038">
        <v>79</v>
      </c>
      <c r="H21038">
        <v>402</v>
      </c>
      <c r="I21038">
        <v>1082</v>
      </c>
      <c r="J21038">
        <v>1</v>
      </c>
      <c r="K21038">
        <v>20</v>
      </c>
      <c r="L21038">
        <v>689</v>
      </c>
      <c r="M21038">
        <v>1</v>
      </c>
      <c r="N21038">
        <v>1.1027400000000001E-111</v>
      </c>
      <c r="O21038">
        <v>1034</v>
      </c>
    </row>
    <row r="21039" spans="1:15" x14ac:dyDescent="0.25">
      <c r="A21039" t="s">
        <v>21052</v>
      </c>
      <c r="B21039">
        <v>334</v>
      </c>
      <c r="C21039" s="1" t="str">
        <f>HYPERLINK("http://www.rosaceae.org/gb/gbrowse/malus_x_domestica/?name=MDP0000232822","MDP0000232822")</f>
        <v>MDP0000232822</v>
      </c>
      <c r="D21039">
        <v>79.75</v>
      </c>
      <c r="E21039">
        <v>326</v>
      </c>
      <c r="F21039">
        <v>66</v>
      </c>
      <c r="G21039">
        <v>6</v>
      </c>
      <c r="H21039">
        <v>1</v>
      </c>
      <c r="I21039">
        <v>323</v>
      </c>
      <c r="J21039">
        <v>1</v>
      </c>
      <c r="K21039">
        <v>1</v>
      </c>
      <c r="L21039">
        <v>323</v>
      </c>
      <c r="M21039">
        <v>1</v>
      </c>
      <c r="N21039">
        <v>5.7980899999999997E-145</v>
      </c>
      <c r="O21039">
        <v>1315</v>
      </c>
    </row>
    <row r="21040" spans="1:15" x14ac:dyDescent="0.25">
      <c r="A21040" t="s">
        <v>21053</v>
      </c>
      <c r="B21040">
        <v>231</v>
      </c>
      <c r="C21040" s="1" t="str">
        <f>HYPERLINK("http://www.rosaceae.org/gb/gbrowse/malus_x_domestica/?name=MDP0000168914","MDP0000168914")</f>
        <v>MDP0000168914</v>
      </c>
      <c r="D21040">
        <v>57.98</v>
      </c>
      <c r="E21040">
        <v>238</v>
      </c>
      <c r="F21040">
        <v>100</v>
      </c>
      <c r="G21040">
        <v>20</v>
      </c>
      <c r="H21040">
        <v>3</v>
      </c>
      <c r="I21040">
        <v>227</v>
      </c>
      <c r="J21040">
        <v>1</v>
      </c>
      <c r="K21040">
        <v>4</v>
      </c>
      <c r="L21040">
        <v>234</v>
      </c>
      <c r="M21040">
        <v>1</v>
      </c>
      <c r="N21040">
        <v>3.88308E-69</v>
      </c>
      <c r="O21040">
        <v>659</v>
      </c>
    </row>
    <row r="21041" spans="1:15" x14ac:dyDescent="0.25">
      <c r="A21041" t="s">
        <v>21054</v>
      </c>
      <c r="B21041">
        <v>700</v>
      </c>
      <c r="C21041" s="1" t="str">
        <f>HYPERLINK("http://www.rosaceae.org/gb/gbrowse/malus_x_domestica/?name=MDP0000224150","MDP0000224150")</f>
        <v>MDP0000224150</v>
      </c>
      <c r="D21041">
        <v>65.739999999999995</v>
      </c>
      <c r="E21041">
        <v>581</v>
      </c>
      <c r="F21041">
        <v>199</v>
      </c>
      <c r="G21041">
        <v>19</v>
      </c>
      <c r="H21041">
        <v>126</v>
      </c>
      <c r="I21041">
        <v>700</v>
      </c>
      <c r="J21041">
        <v>1</v>
      </c>
      <c r="K21041">
        <v>84</v>
      </c>
      <c r="L21041">
        <v>651</v>
      </c>
      <c r="M21041">
        <v>1</v>
      </c>
      <c r="N21041">
        <v>0</v>
      </c>
      <c r="O21041">
        <v>1955</v>
      </c>
    </row>
    <row r="21042" spans="1:15" x14ac:dyDescent="0.25">
      <c r="A21042" t="s">
        <v>21055</v>
      </c>
      <c r="B21042">
        <v>176</v>
      </c>
      <c r="C21042" s="1" t="str">
        <f>HYPERLINK("http://www.rosaceae.org/gb/gbrowse/malus_x_domestica/?name=MDP0000180044","MDP0000180044")</f>
        <v>MDP0000180044</v>
      </c>
      <c r="D21042">
        <v>44.08</v>
      </c>
      <c r="E21042">
        <v>93</v>
      </c>
      <c r="F21042">
        <v>52</v>
      </c>
      <c r="G21042">
        <v>3</v>
      </c>
      <c r="H21042">
        <v>53</v>
      </c>
      <c r="I21042">
        <v>145</v>
      </c>
      <c r="J21042">
        <v>1</v>
      </c>
      <c r="K21042">
        <v>111</v>
      </c>
      <c r="L21042">
        <v>200</v>
      </c>
      <c r="M21042">
        <v>1</v>
      </c>
      <c r="N21042">
        <v>9.6824199999999997E-17</v>
      </c>
      <c r="O21042">
        <v>205</v>
      </c>
    </row>
    <row r="21043" spans="1:15" x14ac:dyDescent="0.25">
      <c r="A21043" t="s">
        <v>21056</v>
      </c>
      <c r="B21043">
        <v>184</v>
      </c>
      <c r="C21043" s="1" t="str">
        <f>HYPERLINK("http://www.rosaceae.org/gb/gbrowse/malus_x_domestica/?name=MDP0000138698","MDP0000138698")</f>
        <v>MDP0000138698</v>
      </c>
      <c r="D21043">
        <v>40</v>
      </c>
      <c r="E21043">
        <v>80</v>
      </c>
      <c r="F21043">
        <v>48</v>
      </c>
      <c r="G21043">
        <v>1</v>
      </c>
      <c r="H21043">
        <v>84</v>
      </c>
      <c r="I21043">
        <v>162</v>
      </c>
      <c r="J21043">
        <v>1</v>
      </c>
      <c r="K21043">
        <v>298</v>
      </c>
      <c r="L21043">
        <v>377</v>
      </c>
      <c r="M21043">
        <v>1</v>
      </c>
      <c r="N21043">
        <v>1.4793799999999999E-9</v>
      </c>
      <c r="O21043">
        <v>143</v>
      </c>
    </row>
    <row r="21044" spans="1:15" x14ac:dyDescent="0.25">
      <c r="A21044" t="s">
        <v>21057</v>
      </c>
      <c r="B21044">
        <v>714</v>
      </c>
      <c r="C21044" s="1" t="str">
        <f>HYPERLINK("http://www.rosaceae.org/gb/gbrowse/malus_x_domestica/?name=MDP0000934381","MDP0000934381")</f>
        <v>MDP0000934381</v>
      </c>
      <c r="D21044">
        <v>83.99</v>
      </c>
      <c r="E21044">
        <v>706</v>
      </c>
      <c r="F21044">
        <v>113</v>
      </c>
      <c r="G21044">
        <v>7</v>
      </c>
      <c r="H21044">
        <v>13</v>
      </c>
      <c r="I21044">
        <v>714</v>
      </c>
      <c r="J21044">
        <v>1</v>
      </c>
      <c r="K21044">
        <v>14</v>
      </c>
      <c r="L21044">
        <v>716</v>
      </c>
      <c r="M21044">
        <v>1</v>
      </c>
      <c r="N21044">
        <v>0</v>
      </c>
      <c r="O21044">
        <v>3078</v>
      </c>
    </row>
    <row r="21045" spans="1:15" x14ac:dyDescent="0.25">
      <c r="A21045" t="s">
        <v>21058</v>
      </c>
      <c r="B21045">
        <v>167</v>
      </c>
      <c r="C21045" s="1" t="str">
        <f>HYPERLINK("http://www.rosaceae.org/gb/gbrowse/malus_x_domestica/?name=MDP0000258061","MDP0000258061")</f>
        <v>MDP0000258061</v>
      </c>
      <c r="D21045">
        <v>50.28</v>
      </c>
      <c r="E21045">
        <v>173</v>
      </c>
      <c r="F21045">
        <v>86</v>
      </c>
      <c r="G21045">
        <v>10</v>
      </c>
      <c r="H21045">
        <v>1</v>
      </c>
      <c r="I21045">
        <v>167</v>
      </c>
      <c r="J21045">
        <v>1</v>
      </c>
      <c r="K21045">
        <v>141</v>
      </c>
      <c r="L21045">
        <v>309</v>
      </c>
      <c r="M21045">
        <v>1</v>
      </c>
      <c r="N21045">
        <v>2.5212500000000002E-43</v>
      </c>
      <c r="O21045">
        <v>434</v>
      </c>
    </row>
    <row r="21046" spans="1:15" x14ac:dyDescent="0.25">
      <c r="A21046" t="s">
        <v>21059</v>
      </c>
      <c r="B21046">
        <v>1154</v>
      </c>
      <c r="C21046" s="1" t="str">
        <f>HYPERLINK("http://www.rosaceae.org/gb/gbrowse/malus_x_domestica/?name=MDP0000262273","MDP0000262273")</f>
        <v>MDP0000262273</v>
      </c>
      <c r="D21046">
        <v>52.55</v>
      </c>
      <c r="E21046">
        <v>1172</v>
      </c>
      <c r="F21046">
        <v>556</v>
      </c>
      <c r="G21046">
        <v>141</v>
      </c>
      <c r="H21046">
        <v>38</v>
      </c>
      <c r="I21046">
        <v>1150</v>
      </c>
      <c r="J21046">
        <v>1</v>
      </c>
      <c r="K21046">
        <v>102</v>
      </c>
      <c r="L21046">
        <v>1191</v>
      </c>
      <c r="M21046">
        <v>1</v>
      </c>
      <c r="N21046">
        <v>0</v>
      </c>
      <c r="O21046">
        <v>2796</v>
      </c>
    </row>
    <row r="21047" spans="1:15" x14ac:dyDescent="0.25">
      <c r="A21047" t="s">
        <v>21060</v>
      </c>
      <c r="B21047">
        <v>482</v>
      </c>
      <c r="C21047" s="1" t="str">
        <f>HYPERLINK("http://www.rosaceae.org/gb/gbrowse/malus_x_domestica/?name=MDP0000163314","MDP0000163314")</f>
        <v>MDP0000163314</v>
      </c>
      <c r="D21047">
        <v>55.31</v>
      </c>
      <c r="E21047">
        <v>94</v>
      </c>
      <c r="F21047">
        <v>42</v>
      </c>
      <c r="G21047">
        <v>0</v>
      </c>
      <c r="H21047">
        <v>302</v>
      </c>
      <c r="I21047">
        <v>395</v>
      </c>
      <c r="J21047">
        <v>1</v>
      </c>
      <c r="K21047">
        <v>24</v>
      </c>
      <c r="L21047">
        <v>117</v>
      </c>
      <c r="M21047">
        <v>1</v>
      </c>
      <c r="N21047">
        <v>7.5354E-25</v>
      </c>
      <c r="O21047">
        <v>281</v>
      </c>
    </row>
    <row r="21048" spans="1:15" x14ac:dyDescent="0.25">
      <c r="A21048" t="s">
        <v>21061</v>
      </c>
      <c r="B21048">
        <v>252</v>
      </c>
      <c r="C21048" s="1" t="str">
        <f>HYPERLINK("http://www.rosaceae.org/gb/gbrowse/malus_x_domestica/?name=MDP0000681158","MDP0000681158")</f>
        <v>MDP0000681158</v>
      </c>
      <c r="D21048">
        <v>42.14</v>
      </c>
      <c r="E21048">
        <v>242</v>
      </c>
      <c r="F21048">
        <v>140</v>
      </c>
      <c r="G21048">
        <v>16</v>
      </c>
      <c r="H21048">
        <v>14</v>
      </c>
      <c r="I21048">
        <v>251</v>
      </c>
      <c r="J21048">
        <v>1</v>
      </c>
      <c r="K21048">
        <v>62</v>
      </c>
      <c r="L21048">
        <v>291</v>
      </c>
      <c r="M21048">
        <v>1</v>
      </c>
      <c r="N21048">
        <v>1.9869899999999999E-37</v>
      </c>
      <c r="O21048">
        <v>386</v>
      </c>
    </row>
    <row r="21049" spans="1:15" x14ac:dyDescent="0.25">
      <c r="A21049" t="s">
        <v>21062</v>
      </c>
      <c r="B21049">
        <v>255</v>
      </c>
      <c r="C21049" s="1" t="str">
        <f>HYPERLINK("http://www.rosaceae.org/gb/gbrowse/malus_x_domestica/?name=MDP0000125862","MDP0000125862")</f>
        <v>MDP0000125862</v>
      </c>
      <c r="D21049">
        <v>73.8</v>
      </c>
      <c r="E21049">
        <v>42</v>
      </c>
      <c r="F21049">
        <v>11</v>
      </c>
      <c r="G21049">
        <v>0</v>
      </c>
      <c r="H21049">
        <v>63</v>
      </c>
      <c r="I21049">
        <v>104</v>
      </c>
      <c r="J21049">
        <v>1</v>
      </c>
      <c r="K21049">
        <v>36</v>
      </c>
      <c r="L21049">
        <v>77</v>
      </c>
      <c r="M21049">
        <v>1</v>
      </c>
      <c r="N21049">
        <v>2.2010299999999999E-11</v>
      </c>
      <c r="O21049">
        <v>161</v>
      </c>
    </row>
    <row r="21050" spans="1:15" x14ac:dyDescent="0.25">
      <c r="A21050" t="s">
        <v>21063</v>
      </c>
      <c r="B21050">
        <v>693</v>
      </c>
      <c r="C21050" s="1" t="str">
        <f>HYPERLINK("http://www.rosaceae.org/gb/gbrowse/malus_x_domestica/?name=MDP0000144134","MDP0000144134")</f>
        <v>MDP0000144134</v>
      </c>
      <c r="D21050">
        <v>48.76</v>
      </c>
      <c r="E21050">
        <v>767</v>
      </c>
      <c r="F21050">
        <v>393</v>
      </c>
      <c r="G21050">
        <v>112</v>
      </c>
      <c r="H21050">
        <v>15</v>
      </c>
      <c r="I21050">
        <v>679</v>
      </c>
      <c r="J21050">
        <v>1</v>
      </c>
      <c r="K21050">
        <v>13</v>
      </c>
      <c r="L21050">
        <v>769</v>
      </c>
      <c r="M21050">
        <v>1</v>
      </c>
      <c r="N21050">
        <v>0</v>
      </c>
      <c r="O21050">
        <v>1713</v>
      </c>
    </row>
    <row r="21051" spans="1:15" x14ac:dyDescent="0.25">
      <c r="A21051" t="s">
        <v>21064</v>
      </c>
      <c r="B21051">
        <v>189</v>
      </c>
      <c r="C21051" s="1" t="str">
        <f>HYPERLINK("http://www.rosaceae.org/gb/gbrowse/malus_x_domestica/?name=MDP0000160435","MDP0000160435")</f>
        <v>MDP0000160435</v>
      </c>
      <c r="D21051">
        <v>58.08</v>
      </c>
      <c r="E21051">
        <v>198</v>
      </c>
      <c r="F21051">
        <v>83</v>
      </c>
      <c r="G21051">
        <v>19</v>
      </c>
      <c r="H21051">
        <v>4</v>
      </c>
      <c r="I21051">
        <v>187</v>
      </c>
      <c r="J21051">
        <v>1</v>
      </c>
      <c r="K21051">
        <v>7</v>
      </c>
      <c r="L21051">
        <v>199</v>
      </c>
      <c r="M21051">
        <v>1</v>
      </c>
      <c r="N21051">
        <v>2.2197399999999998E-47</v>
      </c>
      <c r="O21051">
        <v>470</v>
      </c>
    </row>
    <row r="21052" spans="1:15" x14ac:dyDescent="0.25">
      <c r="A21052" t="s">
        <v>21065</v>
      </c>
      <c r="B21052">
        <v>238</v>
      </c>
      <c r="C21052" s="1" t="str">
        <f>HYPERLINK("http://www.rosaceae.org/gb/gbrowse/malus_x_domestica/?name=MDP0000410728","MDP0000410728")</f>
        <v>MDP0000410728</v>
      </c>
      <c r="D21052">
        <v>67.5</v>
      </c>
      <c r="E21052">
        <v>80</v>
      </c>
      <c r="F21052">
        <v>26</v>
      </c>
      <c r="G21052">
        <v>0</v>
      </c>
      <c r="H21052">
        <v>88</v>
      </c>
      <c r="I21052">
        <v>167</v>
      </c>
      <c r="J21052">
        <v>1</v>
      </c>
      <c r="K21052">
        <v>169</v>
      </c>
      <c r="L21052">
        <v>248</v>
      </c>
      <c r="M21052">
        <v>1</v>
      </c>
      <c r="N21052">
        <v>5.6399099999999996E-26</v>
      </c>
      <c r="O21052">
        <v>287</v>
      </c>
    </row>
    <row r="21053" spans="1:15" x14ac:dyDescent="0.25">
      <c r="A21053" t="s">
        <v>21066</v>
      </c>
      <c r="B21053">
        <v>102</v>
      </c>
      <c r="C21053" s="1" t="str">
        <f>HYPERLINK("http://www.rosaceae.org/gb/gbrowse/malus_x_domestica/?name=MDP0000211180","MDP0000211180")</f>
        <v>MDP0000211180</v>
      </c>
      <c r="D21053">
        <v>80.680000000000007</v>
      </c>
      <c r="E21053">
        <v>88</v>
      </c>
      <c r="F21053">
        <v>17</v>
      </c>
      <c r="G21053">
        <v>0</v>
      </c>
      <c r="H21053">
        <v>1</v>
      </c>
      <c r="I21053">
        <v>88</v>
      </c>
      <c r="J21053">
        <v>1</v>
      </c>
      <c r="K21053">
        <v>205</v>
      </c>
      <c r="L21053">
        <v>292</v>
      </c>
      <c r="M21053">
        <v>1</v>
      </c>
      <c r="N21053">
        <v>1.93419E-38</v>
      </c>
      <c r="O21053">
        <v>389</v>
      </c>
    </row>
    <row r="21054" spans="1:15" x14ac:dyDescent="0.25">
      <c r="A21054" t="s">
        <v>21067</v>
      </c>
      <c r="B21054">
        <v>488</v>
      </c>
      <c r="C21054" s="1" t="str">
        <f>HYPERLINK("http://www.rosaceae.org/gb/gbrowse/malus_x_domestica/?name=MDP0000192471","MDP0000192471")</f>
        <v>MDP0000192471</v>
      </c>
      <c r="D21054">
        <v>62.8</v>
      </c>
      <c r="E21054">
        <v>492</v>
      </c>
      <c r="F21054">
        <v>183</v>
      </c>
      <c r="G21054">
        <v>11</v>
      </c>
      <c r="H21054">
        <v>4</v>
      </c>
      <c r="I21054">
        <v>486</v>
      </c>
      <c r="J21054">
        <v>1</v>
      </c>
      <c r="K21054">
        <v>2</v>
      </c>
      <c r="L21054">
        <v>491</v>
      </c>
      <c r="M21054">
        <v>1</v>
      </c>
      <c r="N21054">
        <v>0</v>
      </c>
      <c r="O21054">
        <v>1685</v>
      </c>
    </row>
    <row r="21055" spans="1:15" x14ac:dyDescent="0.25">
      <c r="A21055" t="s">
        <v>21068</v>
      </c>
      <c r="B21055">
        <v>579</v>
      </c>
      <c r="C21055" s="1" t="str">
        <f>HYPERLINK("http://www.rosaceae.org/gb/gbrowse/malus_x_domestica/?name=MDP0000272096","MDP0000272096")</f>
        <v>MDP0000272096</v>
      </c>
      <c r="D21055">
        <v>36.22</v>
      </c>
      <c r="E21055">
        <v>461</v>
      </c>
      <c r="F21055">
        <v>294</v>
      </c>
      <c r="G21055">
        <v>54</v>
      </c>
      <c r="H21055">
        <v>142</v>
      </c>
      <c r="I21055">
        <v>578</v>
      </c>
      <c r="J21055">
        <v>1</v>
      </c>
      <c r="K21055">
        <v>1</v>
      </c>
      <c r="L21055">
        <v>431</v>
      </c>
      <c r="M21055">
        <v>1</v>
      </c>
      <c r="N21055">
        <v>7.7069099999999998E-67</v>
      </c>
      <c r="O21055">
        <v>644</v>
      </c>
    </row>
    <row r="21056" spans="1:15" x14ac:dyDescent="0.25">
      <c r="A21056" t="s">
        <v>21069</v>
      </c>
      <c r="B21056">
        <v>175</v>
      </c>
      <c r="C21056" s="1" t="str">
        <f>HYPERLINK("http://www.rosaceae.org/gb/gbrowse/malus_x_domestica/?name=MDP0000201162","MDP0000201162")</f>
        <v>MDP0000201162</v>
      </c>
      <c r="D21056">
        <v>80.680000000000007</v>
      </c>
      <c r="E21056">
        <v>176</v>
      </c>
      <c r="F21056">
        <v>34</v>
      </c>
      <c r="G21056">
        <v>1</v>
      </c>
      <c r="H21056">
        <v>1</v>
      </c>
      <c r="I21056">
        <v>175</v>
      </c>
      <c r="J21056">
        <v>1</v>
      </c>
      <c r="K21056">
        <v>1</v>
      </c>
      <c r="L21056">
        <v>176</v>
      </c>
      <c r="M21056">
        <v>1</v>
      </c>
      <c r="N21056">
        <v>8.99776E-81</v>
      </c>
      <c r="O21056">
        <v>757</v>
      </c>
    </row>
    <row r="21057" spans="1:15" x14ac:dyDescent="0.25">
      <c r="A21057" t="s">
        <v>21070</v>
      </c>
      <c r="B21057">
        <v>600</v>
      </c>
      <c r="C21057" s="1" t="str">
        <f>HYPERLINK("http://www.rosaceae.org/gb/gbrowse/malus_x_domestica/?name=MDP0000214579","MDP0000214579")</f>
        <v>MDP0000214579</v>
      </c>
      <c r="D21057">
        <v>65.08</v>
      </c>
      <c r="E21057">
        <v>613</v>
      </c>
      <c r="F21057">
        <v>214</v>
      </c>
      <c r="G21057">
        <v>26</v>
      </c>
      <c r="H21057">
        <v>1</v>
      </c>
      <c r="I21057">
        <v>599</v>
      </c>
      <c r="J21057">
        <v>1</v>
      </c>
      <c r="K21057">
        <v>1</v>
      </c>
      <c r="L21057">
        <v>601</v>
      </c>
      <c r="M21057">
        <v>1</v>
      </c>
      <c r="N21057">
        <v>0</v>
      </c>
      <c r="O21057">
        <v>1977</v>
      </c>
    </row>
    <row r="21058" spans="1:15" x14ac:dyDescent="0.25">
      <c r="A21058" t="s">
        <v>21071</v>
      </c>
      <c r="B21058">
        <v>345</v>
      </c>
      <c r="C21058" s="1" t="str">
        <f>HYPERLINK("http://www.rosaceae.org/gb/gbrowse/malus_x_domestica/?name=MDP0000608081","MDP0000608081")</f>
        <v>MDP0000608081</v>
      </c>
      <c r="D21058">
        <v>68.069999999999993</v>
      </c>
      <c r="E21058">
        <v>260</v>
      </c>
      <c r="F21058">
        <v>83</v>
      </c>
      <c r="G21058">
        <v>6</v>
      </c>
      <c r="H21058">
        <v>79</v>
      </c>
      <c r="I21058">
        <v>334</v>
      </c>
      <c r="J21058">
        <v>1</v>
      </c>
      <c r="K21058">
        <v>75</v>
      </c>
      <c r="L21058">
        <v>332</v>
      </c>
      <c r="M21058">
        <v>1</v>
      </c>
      <c r="N21058">
        <v>3.1602800000000001E-97</v>
      </c>
      <c r="O21058">
        <v>903</v>
      </c>
    </row>
    <row r="21059" spans="1:15" x14ac:dyDescent="0.25">
      <c r="A21059" t="s">
        <v>21072</v>
      </c>
      <c r="B21059">
        <v>711</v>
      </c>
      <c r="C21059" s="1" t="str">
        <f>HYPERLINK("http://www.rosaceae.org/gb/gbrowse/malus_x_domestica/?name=MDP0000262699","MDP0000262699")</f>
        <v>MDP0000262699</v>
      </c>
      <c r="D21059">
        <v>45.81</v>
      </c>
      <c r="E21059">
        <v>430</v>
      </c>
      <c r="F21059">
        <v>233</v>
      </c>
      <c r="G21059">
        <v>59</v>
      </c>
      <c r="H21059">
        <v>255</v>
      </c>
      <c r="I21059">
        <v>669</v>
      </c>
      <c r="J21059">
        <v>1</v>
      </c>
      <c r="K21059">
        <v>311</v>
      </c>
      <c r="L21059">
        <v>696</v>
      </c>
      <c r="M21059">
        <v>1</v>
      </c>
      <c r="N21059">
        <v>2.09404E-82</v>
      </c>
      <c r="O21059">
        <v>779</v>
      </c>
    </row>
    <row r="21060" spans="1:15" x14ac:dyDescent="0.25">
      <c r="A21060" t="s">
        <v>21073</v>
      </c>
      <c r="B21060">
        <v>291</v>
      </c>
      <c r="C21060" s="1" t="str">
        <f>HYPERLINK("http://www.rosaceae.org/gb/gbrowse/malus_x_domestica/?name=MDP0000274609","MDP0000274609")</f>
        <v>MDP0000274609</v>
      </c>
      <c r="D21060">
        <v>71.010000000000005</v>
      </c>
      <c r="E21060">
        <v>314</v>
      </c>
      <c r="F21060">
        <v>91</v>
      </c>
      <c r="G21060">
        <v>44</v>
      </c>
      <c r="H21060">
        <v>1</v>
      </c>
      <c r="I21060">
        <v>272</v>
      </c>
      <c r="J21060">
        <v>1</v>
      </c>
      <c r="K21060">
        <v>1</v>
      </c>
      <c r="L21060">
        <v>312</v>
      </c>
      <c r="M21060">
        <v>1</v>
      </c>
      <c r="N21060">
        <v>5.0768099999999995E-122</v>
      </c>
      <c r="O21060">
        <v>1116</v>
      </c>
    </row>
    <row r="21061" spans="1:15" x14ac:dyDescent="0.25">
      <c r="A21061" t="s">
        <v>21074</v>
      </c>
      <c r="B21061">
        <v>776</v>
      </c>
      <c r="C21061" s="1" t="str">
        <f>HYPERLINK("http://www.rosaceae.org/gb/gbrowse/malus_x_domestica/?name=MDP0000184622","MDP0000184622")</f>
        <v>MDP0000184622</v>
      </c>
      <c r="D21061">
        <v>72.16</v>
      </c>
      <c r="E21061">
        <v>406</v>
      </c>
      <c r="F21061">
        <v>113</v>
      </c>
      <c r="G21061">
        <v>1</v>
      </c>
      <c r="H21061">
        <v>1</v>
      </c>
      <c r="I21061">
        <v>406</v>
      </c>
      <c r="J21061">
        <v>1</v>
      </c>
      <c r="K21061">
        <v>1</v>
      </c>
      <c r="L21061">
        <v>405</v>
      </c>
      <c r="M21061">
        <v>1</v>
      </c>
      <c r="N21061">
        <v>3.4985299999999999E-163</v>
      </c>
      <c r="O21061">
        <v>1476</v>
      </c>
    </row>
    <row r="21062" spans="1:15" x14ac:dyDescent="0.25">
      <c r="A21062" t="s">
        <v>21075</v>
      </c>
      <c r="B21062">
        <v>578</v>
      </c>
      <c r="C21062" s="1" t="str">
        <f>HYPERLINK("http://www.rosaceae.org/gb/gbrowse/malus_x_domestica/?name=MDP0000181661","MDP0000181661")</f>
        <v>MDP0000181661</v>
      </c>
      <c r="D21062">
        <v>84.74</v>
      </c>
      <c r="E21062">
        <v>577</v>
      </c>
      <c r="F21062">
        <v>88</v>
      </c>
      <c r="G21062">
        <v>35</v>
      </c>
      <c r="H21062">
        <v>1</v>
      </c>
      <c r="I21062">
        <v>575</v>
      </c>
      <c r="J21062">
        <v>1</v>
      </c>
      <c r="K21062">
        <v>1</v>
      </c>
      <c r="L21062">
        <v>544</v>
      </c>
      <c r="M21062">
        <v>1</v>
      </c>
      <c r="N21062">
        <v>0</v>
      </c>
      <c r="O21062">
        <v>2584</v>
      </c>
    </row>
    <row r="21063" spans="1:15" x14ac:dyDescent="0.25">
      <c r="A21063" t="s">
        <v>21076</v>
      </c>
      <c r="B21063">
        <v>361</v>
      </c>
      <c r="C21063" s="1" t="str">
        <f>HYPERLINK("http://www.rosaceae.org/gb/gbrowse/malus_x_domestica/?name=MDP0000320377","MDP0000320377")</f>
        <v>MDP0000320377</v>
      </c>
      <c r="D21063">
        <v>68.31</v>
      </c>
      <c r="E21063">
        <v>363</v>
      </c>
      <c r="F21063">
        <v>115</v>
      </c>
      <c r="G21063">
        <v>13</v>
      </c>
      <c r="H21063">
        <v>1</v>
      </c>
      <c r="I21063">
        <v>361</v>
      </c>
      <c r="J21063">
        <v>1</v>
      </c>
      <c r="K21063">
        <v>1</v>
      </c>
      <c r="L21063">
        <v>352</v>
      </c>
      <c r="M21063">
        <v>1</v>
      </c>
      <c r="N21063">
        <v>7.8077699999999999E-137</v>
      </c>
      <c r="O21063">
        <v>1245</v>
      </c>
    </row>
    <row r="21064" spans="1:15" x14ac:dyDescent="0.25">
      <c r="A21064" t="s">
        <v>21077</v>
      </c>
      <c r="B21064">
        <v>311</v>
      </c>
      <c r="C21064" s="1" t="str">
        <f>HYPERLINK("http://www.rosaceae.org/gb/gbrowse/malus_x_domestica/?name=MDP0000574451","MDP0000574451")</f>
        <v>MDP0000574451</v>
      </c>
      <c r="D21064">
        <v>50.73</v>
      </c>
      <c r="E21064">
        <v>136</v>
      </c>
      <c r="F21064">
        <v>67</v>
      </c>
      <c r="G21064">
        <v>30</v>
      </c>
      <c r="H21064">
        <v>200</v>
      </c>
      <c r="I21064">
        <v>305</v>
      </c>
      <c r="J21064">
        <v>1</v>
      </c>
      <c r="K21064">
        <v>224</v>
      </c>
      <c r="L21064">
        <v>359</v>
      </c>
      <c r="M21064">
        <v>1</v>
      </c>
      <c r="N21064">
        <v>4.3828000000000002E-28</v>
      </c>
      <c r="O21064">
        <v>306</v>
      </c>
    </row>
    <row r="21065" spans="1:15" x14ac:dyDescent="0.25">
      <c r="A21065" t="s">
        <v>21078</v>
      </c>
      <c r="B21065">
        <v>433</v>
      </c>
      <c r="C21065" s="1" t="str">
        <f>HYPERLINK("http://www.rosaceae.org/gb/gbrowse/malus_x_domestica/?name=MDP0000859725","MDP0000859725")</f>
        <v>MDP0000859725</v>
      </c>
      <c r="D21065">
        <v>95.15</v>
      </c>
      <c r="E21065">
        <v>433</v>
      </c>
      <c r="F21065">
        <v>21</v>
      </c>
      <c r="G21065">
        <v>0</v>
      </c>
      <c r="H21065">
        <v>1</v>
      </c>
      <c r="I21065">
        <v>433</v>
      </c>
      <c r="J21065">
        <v>1</v>
      </c>
      <c r="K21065">
        <v>1</v>
      </c>
      <c r="L21065">
        <v>433</v>
      </c>
      <c r="M21065">
        <v>1</v>
      </c>
      <c r="N21065">
        <v>0</v>
      </c>
      <c r="O21065">
        <v>2240</v>
      </c>
    </row>
    <row r="21066" spans="1:15" x14ac:dyDescent="0.25">
      <c r="A21066" t="s">
        <v>21079</v>
      </c>
      <c r="B21066">
        <v>858</v>
      </c>
      <c r="C21066" s="1" t="str">
        <f>HYPERLINK("http://www.rosaceae.org/gb/gbrowse/malus_x_domestica/?name=MDP0000834789","MDP0000834789")</f>
        <v>MDP0000834789</v>
      </c>
      <c r="D21066">
        <v>54.3</v>
      </c>
      <c r="E21066">
        <v>604</v>
      </c>
      <c r="F21066">
        <v>276</v>
      </c>
      <c r="G21066">
        <v>82</v>
      </c>
      <c r="H21066">
        <v>1</v>
      </c>
      <c r="I21066">
        <v>559</v>
      </c>
      <c r="J21066">
        <v>1</v>
      </c>
      <c r="K21066">
        <v>1</v>
      </c>
      <c r="L21066">
        <v>567</v>
      </c>
      <c r="M21066">
        <v>1</v>
      </c>
      <c r="N21066">
        <v>2.68581E-163</v>
      </c>
      <c r="O21066">
        <v>1477</v>
      </c>
    </row>
    <row r="21067" spans="1:15" x14ac:dyDescent="0.25">
      <c r="A21067" t="s">
        <v>21080</v>
      </c>
      <c r="B21067">
        <v>624</v>
      </c>
      <c r="C21067" s="1" t="str">
        <f>HYPERLINK("http://www.rosaceae.org/gb/gbrowse/malus_x_domestica/?name=MDP0000202929","MDP0000202929")</f>
        <v>MDP0000202929</v>
      </c>
      <c r="D21067">
        <v>82.57</v>
      </c>
      <c r="E21067">
        <v>591</v>
      </c>
      <c r="F21067">
        <v>103</v>
      </c>
      <c r="G21067">
        <v>15</v>
      </c>
      <c r="H21067">
        <v>40</v>
      </c>
      <c r="I21067">
        <v>624</v>
      </c>
      <c r="J21067">
        <v>1</v>
      </c>
      <c r="K21067">
        <v>25</v>
      </c>
      <c r="L21067">
        <v>606</v>
      </c>
      <c r="M21067">
        <v>1</v>
      </c>
      <c r="N21067">
        <v>0</v>
      </c>
      <c r="O21067">
        <v>2577</v>
      </c>
    </row>
    <row r="21068" spans="1:15" x14ac:dyDescent="0.25">
      <c r="A21068" t="s">
        <v>21081</v>
      </c>
      <c r="B21068">
        <v>430</v>
      </c>
      <c r="C21068" s="1" t="str">
        <f>HYPERLINK("http://www.rosaceae.org/gb/gbrowse/malus_x_domestica/?name=MDP0000679839","MDP0000679839")</f>
        <v>MDP0000679839</v>
      </c>
      <c r="D21068">
        <v>40.74</v>
      </c>
      <c r="E21068">
        <v>427</v>
      </c>
      <c r="F21068">
        <v>253</v>
      </c>
      <c r="G21068">
        <v>46</v>
      </c>
      <c r="H21068">
        <v>28</v>
      </c>
      <c r="I21068">
        <v>430</v>
      </c>
      <c r="J21068">
        <v>1</v>
      </c>
      <c r="K21068">
        <v>7</v>
      </c>
      <c r="L21068">
        <v>411</v>
      </c>
      <c r="M21068">
        <v>1</v>
      </c>
      <c r="N21068">
        <v>2.71007E-68</v>
      </c>
      <c r="O21068">
        <v>655</v>
      </c>
    </row>
    <row r="21069" spans="1:15" x14ac:dyDescent="0.25">
      <c r="A21069" t="s">
        <v>21082</v>
      </c>
      <c r="B21069">
        <v>160</v>
      </c>
      <c r="C21069" s="1" t="str">
        <f>HYPERLINK("http://www.rosaceae.org/gb/gbrowse/malus_x_domestica/?name=MDP0000695917","MDP0000695917")</f>
        <v>MDP0000695917</v>
      </c>
      <c r="D21069">
        <v>61.25</v>
      </c>
      <c r="E21069">
        <v>80</v>
      </c>
      <c r="F21069">
        <v>31</v>
      </c>
      <c r="G21069">
        <v>1</v>
      </c>
      <c r="H21069">
        <v>1</v>
      </c>
      <c r="I21069">
        <v>80</v>
      </c>
      <c r="J21069">
        <v>1</v>
      </c>
      <c r="K21069">
        <v>1</v>
      </c>
      <c r="L21069">
        <v>79</v>
      </c>
      <c r="M21069">
        <v>1</v>
      </c>
      <c r="N21069">
        <v>6.23659E-23</v>
      </c>
      <c r="O21069">
        <v>258</v>
      </c>
    </row>
    <row r="21070" spans="1:15" x14ac:dyDescent="0.25">
      <c r="A21070" t="s">
        <v>21083</v>
      </c>
      <c r="B21070">
        <v>404</v>
      </c>
      <c r="C21070" s="1" t="str">
        <f>HYPERLINK("http://www.rosaceae.org/gb/gbrowse/malus_x_domestica/?name=MDP0000132406","MDP0000132406")</f>
        <v>MDP0000132406</v>
      </c>
      <c r="D21070">
        <v>43.88</v>
      </c>
      <c r="E21070">
        <v>278</v>
      </c>
      <c r="F21070">
        <v>156</v>
      </c>
      <c r="G21070">
        <v>28</v>
      </c>
      <c r="H21070">
        <v>26</v>
      </c>
      <c r="I21070">
        <v>292</v>
      </c>
      <c r="J21070">
        <v>1</v>
      </c>
      <c r="K21070">
        <v>43</v>
      </c>
      <c r="L21070">
        <v>303</v>
      </c>
      <c r="M21070">
        <v>1</v>
      </c>
      <c r="N21070">
        <v>1.28648E-47</v>
      </c>
      <c r="O21070">
        <v>476</v>
      </c>
    </row>
    <row r="21071" spans="1:15" x14ac:dyDescent="0.25">
      <c r="A21071" t="s">
        <v>21084</v>
      </c>
      <c r="B21071">
        <v>1307</v>
      </c>
      <c r="C21071" s="1" t="str">
        <f>HYPERLINK("http://www.rosaceae.org/gb/gbrowse/malus_x_domestica/?name=MDP0000303658","MDP0000303658")</f>
        <v>MDP0000303658</v>
      </c>
      <c r="D21071">
        <v>38.15</v>
      </c>
      <c r="E21071">
        <v>304</v>
      </c>
      <c r="F21071">
        <v>188</v>
      </c>
      <c r="G21071">
        <v>48</v>
      </c>
      <c r="H21071">
        <v>112</v>
      </c>
      <c r="I21071">
        <v>410</v>
      </c>
      <c r="J21071">
        <v>1</v>
      </c>
      <c r="K21071">
        <v>88</v>
      </c>
      <c r="L21071">
        <v>348</v>
      </c>
      <c r="M21071">
        <v>1</v>
      </c>
      <c r="N21071">
        <v>3.3073900000000001E-43</v>
      </c>
      <c r="O21071">
        <v>443</v>
      </c>
    </row>
    <row r="21072" spans="1:15" x14ac:dyDescent="0.25">
      <c r="A21072" t="s">
        <v>21085</v>
      </c>
      <c r="B21072">
        <v>305</v>
      </c>
      <c r="C21072" s="1" t="str">
        <f>HYPERLINK("http://www.rosaceae.org/gb/gbrowse/malus_x_domestica/?name=MDP0000287232","MDP0000287232")</f>
        <v>MDP0000287232</v>
      </c>
      <c r="D21072">
        <v>46.37</v>
      </c>
      <c r="E21072">
        <v>276</v>
      </c>
      <c r="F21072">
        <v>148</v>
      </c>
      <c r="G21072">
        <v>56</v>
      </c>
      <c r="H21072">
        <v>1</v>
      </c>
      <c r="I21072">
        <v>276</v>
      </c>
      <c r="J21072">
        <v>1</v>
      </c>
      <c r="K21072">
        <v>1</v>
      </c>
      <c r="L21072">
        <v>220</v>
      </c>
      <c r="M21072">
        <v>1</v>
      </c>
      <c r="N21072">
        <v>9.5693699999999998E-54</v>
      </c>
      <c r="O21072">
        <v>528</v>
      </c>
    </row>
    <row r="21073" spans="1:15" x14ac:dyDescent="0.25">
      <c r="A21073" t="s">
        <v>21086</v>
      </c>
      <c r="B21073">
        <v>321</v>
      </c>
      <c r="C21073" s="1" t="str">
        <f>HYPERLINK("http://www.rosaceae.org/gb/gbrowse/malus_x_domestica/?name=MDP0000810488","MDP0000810488")</f>
        <v>MDP0000810488</v>
      </c>
      <c r="D21073">
        <v>49.38</v>
      </c>
      <c r="E21073">
        <v>326</v>
      </c>
      <c r="F21073">
        <v>165</v>
      </c>
      <c r="G21073">
        <v>10</v>
      </c>
      <c r="H21073">
        <v>1</v>
      </c>
      <c r="I21073">
        <v>321</v>
      </c>
      <c r="J21073">
        <v>1</v>
      </c>
      <c r="K21073">
        <v>1</v>
      </c>
      <c r="L21073">
        <v>321</v>
      </c>
      <c r="M21073">
        <v>1</v>
      </c>
      <c r="N21073">
        <v>2.9661200000000003E-69</v>
      </c>
      <c r="O21073">
        <v>662</v>
      </c>
    </row>
    <row r="21074" spans="1:15" x14ac:dyDescent="0.25">
      <c r="A21074" t="s">
        <v>21087</v>
      </c>
      <c r="B21074">
        <v>1147</v>
      </c>
      <c r="C21074" s="1" t="str">
        <f>HYPERLINK("http://www.rosaceae.org/gb/gbrowse/malus_x_domestica/?name=MDP0000280551","MDP0000280551")</f>
        <v>MDP0000280551</v>
      </c>
      <c r="D21074">
        <v>93.54</v>
      </c>
      <c r="E21074">
        <v>759</v>
      </c>
      <c r="F21074">
        <v>49</v>
      </c>
      <c r="G21074">
        <v>0</v>
      </c>
      <c r="H21074">
        <v>1</v>
      </c>
      <c r="I21074">
        <v>759</v>
      </c>
      <c r="J21074">
        <v>1</v>
      </c>
      <c r="K21074">
        <v>1</v>
      </c>
      <c r="L21074">
        <v>759</v>
      </c>
      <c r="M21074">
        <v>1</v>
      </c>
      <c r="N21074">
        <v>0</v>
      </c>
      <c r="O21074">
        <v>3733</v>
      </c>
    </row>
    <row r="21075" spans="1:15" x14ac:dyDescent="0.25">
      <c r="A21075" t="s">
        <v>21088</v>
      </c>
      <c r="B21075">
        <v>397</v>
      </c>
      <c r="C21075" s="1" t="str">
        <f>HYPERLINK("http://www.rosaceae.org/gb/gbrowse/malus_x_domestica/?name=MDP0000202040","MDP0000202040")</f>
        <v>MDP0000202040</v>
      </c>
      <c r="D21075">
        <v>33.53</v>
      </c>
      <c r="E21075">
        <v>164</v>
      </c>
      <c r="F21075">
        <v>109</v>
      </c>
      <c r="G21075">
        <v>58</v>
      </c>
      <c r="H21075">
        <v>6</v>
      </c>
      <c r="I21075">
        <v>140</v>
      </c>
      <c r="J21075">
        <v>1</v>
      </c>
      <c r="K21075">
        <v>8</v>
      </c>
      <c r="L21075">
        <v>142</v>
      </c>
      <c r="M21075">
        <v>1</v>
      </c>
      <c r="N21075">
        <v>6.5026800000000003E-17</v>
      </c>
      <c r="O21075">
        <v>211</v>
      </c>
    </row>
    <row r="21076" spans="1:15" x14ac:dyDescent="0.25">
      <c r="A21076" t="s">
        <v>21089</v>
      </c>
      <c r="B21076">
        <v>303</v>
      </c>
      <c r="C21076" s="1" t="str">
        <f>HYPERLINK("http://www.rosaceae.org/gb/gbrowse/malus_x_domestica/?name=MDP0000278149","MDP0000278149")</f>
        <v>MDP0000278149</v>
      </c>
      <c r="D21076">
        <v>41.07</v>
      </c>
      <c r="E21076">
        <v>280</v>
      </c>
      <c r="F21076">
        <v>165</v>
      </c>
      <c r="G21076">
        <v>13</v>
      </c>
      <c r="H21076">
        <v>15</v>
      </c>
      <c r="I21076">
        <v>293</v>
      </c>
      <c r="J21076">
        <v>1</v>
      </c>
      <c r="K21076">
        <v>19</v>
      </c>
      <c r="L21076">
        <v>286</v>
      </c>
      <c r="M21076">
        <v>1</v>
      </c>
      <c r="N21076">
        <v>1.1769999999999999E-53</v>
      </c>
      <c r="O21076">
        <v>527</v>
      </c>
    </row>
    <row r="21077" spans="1:15" x14ac:dyDescent="0.25">
      <c r="A21077" t="s">
        <v>21090</v>
      </c>
      <c r="B21077">
        <v>310</v>
      </c>
      <c r="C21077" s="1" t="str">
        <f>HYPERLINK("http://www.rosaceae.org/gb/gbrowse/malus_x_domestica/?name=MDP0000165944","MDP0000165944")</f>
        <v>MDP0000165944</v>
      </c>
      <c r="D21077">
        <v>34.119999999999997</v>
      </c>
      <c r="E21077">
        <v>126</v>
      </c>
      <c r="F21077">
        <v>83</v>
      </c>
      <c r="G21077">
        <v>7</v>
      </c>
      <c r="H21077">
        <v>147</v>
      </c>
      <c r="I21077">
        <v>271</v>
      </c>
      <c r="J21077">
        <v>1</v>
      </c>
      <c r="K21077">
        <v>3</v>
      </c>
      <c r="L21077">
        <v>122</v>
      </c>
      <c r="M21077">
        <v>1</v>
      </c>
      <c r="N21077">
        <v>5.04688E-14</v>
      </c>
      <c r="O21077">
        <v>185</v>
      </c>
    </row>
    <row r="21078" spans="1:15" x14ac:dyDescent="0.25">
      <c r="A21078" t="s">
        <v>21091</v>
      </c>
      <c r="B21078">
        <v>133</v>
      </c>
      <c r="C21078" s="1" t="str">
        <f>HYPERLINK("http://www.rosaceae.org/gb/gbrowse/malus_x_domestica/?name=MDP0000148182","MDP0000148182")</f>
        <v>MDP0000148182</v>
      </c>
      <c r="D21078">
        <v>35.380000000000003</v>
      </c>
      <c r="E21078">
        <v>130</v>
      </c>
      <c r="F21078">
        <v>84</v>
      </c>
      <c r="G21078">
        <v>32</v>
      </c>
      <c r="H21078">
        <v>4</v>
      </c>
      <c r="I21078">
        <v>133</v>
      </c>
      <c r="J21078">
        <v>1</v>
      </c>
      <c r="K21078">
        <v>3</v>
      </c>
      <c r="L21078">
        <v>100</v>
      </c>
      <c r="M21078">
        <v>1</v>
      </c>
      <c r="N21078">
        <v>1.5041300000000001E-9</v>
      </c>
      <c r="O21078">
        <v>141</v>
      </c>
    </row>
    <row r="21079" spans="1:15" x14ac:dyDescent="0.25">
      <c r="A21079" t="s">
        <v>21092</v>
      </c>
      <c r="B21079">
        <v>153</v>
      </c>
      <c r="C21079" s="1" t="str">
        <f>HYPERLINK("http://www.rosaceae.org/gb/gbrowse/malus_x_domestica/?name=MDP0000090045","MDP0000090045")</f>
        <v>MDP0000090045</v>
      </c>
      <c r="D21079">
        <v>89.18</v>
      </c>
      <c r="E21079">
        <v>148</v>
      </c>
      <c r="F21079">
        <v>16</v>
      </c>
      <c r="G21079">
        <v>0</v>
      </c>
      <c r="H21079">
        <v>1</v>
      </c>
      <c r="I21079">
        <v>148</v>
      </c>
      <c r="J21079">
        <v>1</v>
      </c>
      <c r="K21079">
        <v>1</v>
      </c>
      <c r="L21079">
        <v>148</v>
      </c>
      <c r="M21079">
        <v>1</v>
      </c>
      <c r="N21079">
        <v>2.7974399999999999E-78</v>
      </c>
      <c r="O21079">
        <v>735</v>
      </c>
    </row>
    <row r="21080" spans="1:15" x14ac:dyDescent="0.25">
      <c r="A21080" t="s">
        <v>21093</v>
      </c>
      <c r="B21080">
        <v>526</v>
      </c>
      <c r="C21080" s="1" t="str">
        <f>HYPERLINK("http://www.rosaceae.org/gb/gbrowse/malus_x_domestica/?name=MDP0000321110","MDP0000321110")</f>
        <v>MDP0000321110</v>
      </c>
      <c r="D21080">
        <v>64.709999999999994</v>
      </c>
      <c r="E21080">
        <v>513</v>
      </c>
      <c r="F21080">
        <v>181</v>
      </c>
      <c r="G21080">
        <v>47</v>
      </c>
      <c r="H21080">
        <v>5</v>
      </c>
      <c r="I21080">
        <v>510</v>
      </c>
      <c r="J21080">
        <v>1</v>
      </c>
      <c r="K21080">
        <v>2</v>
      </c>
      <c r="L21080">
        <v>474</v>
      </c>
      <c r="M21080">
        <v>1</v>
      </c>
      <c r="N21080">
        <v>4.0793300000000001E-172</v>
      </c>
      <c r="O21080">
        <v>1551</v>
      </c>
    </row>
    <row r="21081" spans="1:15" x14ac:dyDescent="0.25">
      <c r="A21081" t="s">
        <v>21094</v>
      </c>
      <c r="B21081">
        <v>212</v>
      </c>
      <c r="C21081" s="1" t="str">
        <f>HYPERLINK("http://www.rosaceae.org/gb/gbrowse/malus_x_domestica/?name=MDP0000168885","MDP0000168885")</f>
        <v>MDP0000168885</v>
      </c>
      <c r="D21081">
        <v>73.930000000000007</v>
      </c>
      <c r="E21081">
        <v>211</v>
      </c>
      <c r="F21081">
        <v>55</v>
      </c>
      <c r="G21081">
        <v>2</v>
      </c>
      <c r="H21081">
        <v>2</v>
      </c>
      <c r="I21081">
        <v>212</v>
      </c>
      <c r="J21081">
        <v>1</v>
      </c>
      <c r="K21081">
        <v>36</v>
      </c>
      <c r="L21081">
        <v>244</v>
      </c>
      <c r="M21081">
        <v>1</v>
      </c>
      <c r="N21081">
        <v>1.7601099999999999E-85</v>
      </c>
      <c r="O21081">
        <v>799</v>
      </c>
    </row>
    <row r="21082" spans="1:15" x14ac:dyDescent="0.25">
      <c r="A21082" t="s">
        <v>21095</v>
      </c>
      <c r="B21082">
        <v>631</v>
      </c>
      <c r="C21082" s="1" t="str">
        <f>HYPERLINK("http://www.rosaceae.org/gb/gbrowse/malus_x_domestica/?name=MDP0000149992","MDP0000149992")</f>
        <v>MDP0000149992</v>
      </c>
      <c r="D21082">
        <v>78.260000000000005</v>
      </c>
      <c r="E21082">
        <v>635</v>
      </c>
      <c r="F21082">
        <v>138</v>
      </c>
      <c r="G21082">
        <v>7</v>
      </c>
      <c r="H21082">
        <v>1</v>
      </c>
      <c r="I21082">
        <v>631</v>
      </c>
      <c r="J21082">
        <v>1</v>
      </c>
      <c r="K21082">
        <v>1</v>
      </c>
      <c r="L21082">
        <v>632</v>
      </c>
      <c r="M21082">
        <v>1</v>
      </c>
      <c r="N21082">
        <v>0</v>
      </c>
      <c r="O21082">
        <v>2620</v>
      </c>
    </row>
    <row r="21083" spans="1:15" x14ac:dyDescent="0.25">
      <c r="A21083" t="s">
        <v>21096</v>
      </c>
      <c r="B21083">
        <v>390</v>
      </c>
      <c r="C21083" s="1" t="str">
        <f>HYPERLINK("http://www.rosaceae.org/gb/gbrowse/malus_x_domestica/?name=MDP0000295191","MDP0000295191")</f>
        <v>MDP0000295191</v>
      </c>
      <c r="D21083">
        <v>33.44</v>
      </c>
      <c r="E21083">
        <v>299</v>
      </c>
      <c r="F21083">
        <v>199</v>
      </c>
      <c r="G21083">
        <v>26</v>
      </c>
      <c r="H21083">
        <v>51</v>
      </c>
      <c r="I21083">
        <v>329</v>
      </c>
      <c r="J21083">
        <v>1</v>
      </c>
      <c r="K21083">
        <v>46</v>
      </c>
      <c r="L21083">
        <v>338</v>
      </c>
      <c r="M21083">
        <v>1</v>
      </c>
      <c r="N21083">
        <v>1.0847199999999999E-34</v>
      </c>
      <c r="O21083">
        <v>364</v>
      </c>
    </row>
    <row r="21084" spans="1:15" x14ac:dyDescent="0.25">
      <c r="A21084" t="s">
        <v>21097</v>
      </c>
      <c r="B21084">
        <v>215</v>
      </c>
      <c r="C21084" s="1" t="str">
        <f>HYPERLINK("http://www.rosaceae.org/gb/gbrowse/malus_x_domestica/?name=MDP0000166262","MDP0000166262")</f>
        <v>MDP0000166262</v>
      </c>
      <c r="D21084">
        <v>66.2</v>
      </c>
      <c r="E21084">
        <v>216</v>
      </c>
      <c r="F21084">
        <v>73</v>
      </c>
      <c r="G21084">
        <v>2</v>
      </c>
      <c r="H21084">
        <v>1</v>
      </c>
      <c r="I21084">
        <v>214</v>
      </c>
      <c r="J21084">
        <v>1</v>
      </c>
      <c r="K21084">
        <v>1</v>
      </c>
      <c r="L21084">
        <v>216</v>
      </c>
      <c r="M21084">
        <v>1</v>
      </c>
      <c r="N21084">
        <v>2.4043799999999998E-78</v>
      </c>
      <c r="O21084">
        <v>738</v>
      </c>
    </row>
    <row r="21085" spans="1:15" x14ac:dyDescent="0.25">
      <c r="A21085" t="s">
        <v>21098</v>
      </c>
      <c r="B21085">
        <v>546</v>
      </c>
      <c r="C21085" s="1" t="str">
        <f>HYPERLINK("http://www.rosaceae.org/gb/gbrowse/malus_x_domestica/?name=MDP0000759988","MDP0000759988")</f>
        <v>MDP0000759988</v>
      </c>
      <c r="D21085">
        <v>72.03</v>
      </c>
      <c r="E21085">
        <v>540</v>
      </c>
      <c r="F21085">
        <v>151</v>
      </c>
      <c r="G21085">
        <v>7</v>
      </c>
      <c r="H21085">
        <v>1</v>
      </c>
      <c r="I21085">
        <v>535</v>
      </c>
      <c r="J21085">
        <v>1</v>
      </c>
      <c r="K21085">
        <v>1</v>
      </c>
      <c r="L21085">
        <v>538</v>
      </c>
      <c r="M21085">
        <v>1</v>
      </c>
      <c r="N21085">
        <v>0</v>
      </c>
      <c r="O21085">
        <v>1998</v>
      </c>
    </row>
    <row r="21086" spans="1:15" x14ac:dyDescent="0.25">
      <c r="A21086" t="s">
        <v>21099</v>
      </c>
      <c r="B21086">
        <v>474</v>
      </c>
      <c r="C21086" s="1" t="str">
        <f>HYPERLINK("http://www.rosaceae.org/gb/gbrowse/malus_x_domestica/?name=MDP0000877152","MDP0000877152")</f>
        <v>MDP0000877152</v>
      </c>
      <c r="D21086">
        <v>71.42</v>
      </c>
      <c r="E21086">
        <v>245</v>
      </c>
      <c r="F21086">
        <v>70</v>
      </c>
      <c r="G21086">
        <v>14</v>
      </c>
      <c r="H21086">
        <v>1</v>
      </c>
      <c r="I21086">
        <v>233</v>
      </c>
      <c r="J21086">
        <v>1</v>
      </c>
      <c r="K21086">
        <v>1</v>
      </c>
      <c r="L21086">
        <v>243</v>
      </c>
      <c r="M21086">
        <v>1</v>
      </c>
      <c r="N21086">
        <v>4.4952899999999997E-92</v>
      </c>
      <c r="O21086">
        <v>860</v>
      </c>
    </row>
    <row r="21087" spans="1:15" x14ac:dyDescent="0.25">
      <c r="A21087" t="s">
        <v>21100</v>
      </c>
      <c r="B21087">
        <v>206</v>
      </c>
      <c r="C21087" s="1" t="str">
        <f>HYPERLINK("http://www.rosaceae.org/gb/gbrowse/malus_x_domestica/?name=MDP0000617629","MDP0000617629")</f>
        <v>MDP0000617629</v>
      </c>
      <c r="D21087">
        <v>88.83</v>
      </c>
      <c r="E21087">
        <v>206</v>
      </c>
      <c r="F21087">
        <v>23</v>
      </c>
      <c r="G21087">
        <v>0</v>
      </c>
      <c r="H21087">
        <v>1</v>
      </c>
      <c r="I21087">
        <v>206</v>
      </c>
      <c r="J21087">
        <v>1</v>
      </c>
      <c r="K21087">
        <v>1</v>
      </c>
      <c r="L21087">
        <v>206</v>
      </c>
      <c r="M21087">
        <v>1</v>
      </c>
      <c r="N21087">
        <v>2.2569800000000001E-104</v>
      </c>
      <c r="O21087">
        <v>962</v>
      </c>
    </row>
    <row r="21088" spans="1:15" x14ac:dyDescent="0.25">
      <c r="A21088" t="s">
        <v>21101</v>
      </c>
      <c r="B21088">
        <v>952</v>
      </c>
      <c r="C21088" s="1" t="str">
        <f>HYPERLINK("http://www.rosaceae.org/gb/gbrowse/malus_x_domestica/?name=MDP0000419128","MDP0000419128")</f>
        <v>MDP0000419128</v>
      </c>
      <c r="D21088">
        <v>70.62</v>
      </c>
      <c r="E21088">
        <v>531</v>
      </c>
      <c r="F21088">
        <v>156</v>
      </c>
      <c r="G21088">
        <v>14</v>
      </c>
      <c r="H21088">
        <v>1</v>
      </c>
      <c r="I21088">
        <v>527</v>
      </c>
      <c r="J21088">
        <v>1</v>
      </c>
      <c r="K21088">
        <v>1</v>
      </c>
      <c r="L21088">
        <v>521</v>
      </c>
      <c r="M21088">
        <v>1</v>
      </c>
      <c r="N21088">
        <v>0</v>
      </c>
      <c r="O21088">
        <v>1946</v>
      </c>
    </row>
    <row r="21089" spans="1:15" x14ac:dyDescent="0.25">
      <c r="A21089" t="s">
        <v>21102</v>
      </c>
      <c r="B21089">
        <v>287</v>
      </c>
      <c r="C21089" s="1" t="str">
        <f>HYPERLINK("http://www.rosaceae.org/gb/gbrowse/malus_x_domestica/?name=MDP0000257937","MDP0000257937")</f>
        <v>MDP0000257937</v>
      </c>
      <c r="D21089">
        <v>71.739999999999995</v>
      </c>
      <c r="E21089">
        <v>223</v>
      </c>
      <c r="F21089">
        <v>63</v>
      </c>
      <c r="G21089">
        <v>29</v>
      </c>
      <c r="H21089">
        <v>33</v>
      </c>
      <c r="I21089">
        <v>227</v>
      </c>
      <c r="J21089">
        <v>1</v>
      </c>
      <c r="K21089">
        <v>87</v>
      </c>
      <c r="L21089">
        <v>308</v>
      </c>
      <c r="M21089">
        <v>1</v>
      </c>
      <c r="N21089">
        <v>4.4734599999999998E-84</v>
      </c>
      <c r="O21089">
        <v>789</v>
      </c>
    </row>
    <row r="21090" spans="1:15" x14ac:dyDescent="0.25">
      <c r="A21090" t="s">
        <v>21103</v>
      </c>
      <c r="B21090">
        <v>409</v>
      </c>
      <c r="C21090" s="1" t="str">
        <f>HYPERLINK("http://www.rosaceae.org/gb/gbrowse/malus_x_domestica/?name=MDP0000239826","MDP0000239826")</f>
        <v>MDP0000239826</v>
      </c>
      <c r="D21090">
        <v>45</v>
      </c>
      <c r="E21090">
        <v>280</v>
      </c>
      <c r="F21090">
        <v>154</v>
      </c>
      <c r="G21090">
        <v>5</v>
      </c>
      <c r="H21090">
        <v>65</v>
      </c>
      <c r="I21090">
        <v>339</v>
      </c>
      <c r="J21090">
        <v>1</v>
      </c>
      <c r="K21090">
        <v>187</v>
      </c>
      <c r="L21090">
        <v>466</v>
      </c>
      <c r="M21090">
        <v>1</v>
      </c>
      <c r="N21090">
        <v>2.28697E-77</v>
      </c>
      <c r="O21090">
        <v>733</v>
      </c>
    </row>
    <row r="21091" spans="1:15" x14ac:dyDescent="0.25">
      <c r="A21091" t="s">
        <v>21104</v>
      </c>
      <c r="B21091">
        <v>477</v>
      </c>
      <c r="C21091" s="1" t="str">
        <f>HYPERLINK("http://www.rosaceae.org/gb/gbrowse/malus_x_domestica/?name=MDP0000203679","MDP0000203679")</f>
        <v>MDP0000203679</v>
      </c>
      <c r="D21091">
        <v>79.41</v>
      </c>
      <c r="E21091">
        <v>481</v>
      </c>
      <c r="F21091">
        <v>99</v>
      </c>
      <c r="G21091">
        <v>4</v>
      </c>
      <c r="H21091">
        <v>1</v>
      </c>
      <c r="I21091">
        <v>477</v>
      </c>
      <c r="J21091">
        <v>1</v>
      </c>
      <c r="K21091">
        <v>1</v>
      </c>
      <c r="L21091">
        <v>481</v>
      </c>
      <c r="M21091">
        <v>1</v>
      </c>
      <c r="N21091">
        <v>0</v>
      </c>
      <c r="O21091">
        <v>2064</v>
      </c>
    </row>
    <row r="21092" spans="1:15" x14ac:dyDescent="0.25">
      <c r="A21092" t="s">
        <v>21105</v>
      </c>
      <c r="B21092">
        <v>361</v>
      </c>
      <c r="C21092" s="1" t="str">
        <f>HYPERLINK("http://www.rosaceae.org/gb/gbrowse/malus_x_domestica/?name=MDP0000166245","MDP0000166245")</f>
        <v>MDP0000166245</v>
      </c>
      <c r="D21092">
        <v>51.89</v>
      </c>
      <c r="E21092">
        <v>343</v>
      </c>
      <c r="F21092">
        <v>165</v>
      </c>
      <c r="G21092">
        <v>47</v>
      </c>
      <c r="H21092">
        <v>10</v>
      </c>
      <c r="I21092">
        <v>324</v>
      </c>
      <c r="J21092">
        <v>1</v>
      </c>
      <c r="K21092">
        <v>89</v>
      </c>
      <c r="L21092">
        <v>412</v>
      </c>
      <c r="M21092">
        <v>1</v>
      </c>
      <c r="N21092">
        <v>4.5805900000000004E-77</v>
      </c>
      <c r="O21092">
        <v>730</v>
      </c>
    </row>
    <row r="21093" spans="1:15" x14ac:dyDescent="0.25">
      <c r="A21093" t="s">
        <v>21106</v>
      </c>
      <c r="B21093">
        <v>320</v>
      </c>
      <c r="C21093" s="1" t="str">
        <f>HYPERLINK("http://www.rosaceae.org/gb/gbrowse/malus_x_domestica/?name=MDP0000119162","MDP0000119162")</f>
        <v>MDP0000119162</v>
      </c>
      <c r="D21093">
        <v>70.28</v>
      </c>
      <c r="E21093">
        <v>276</v>
      </c>
      <c r="F21093">
        <v>82</v>
      </c>
      <c r="G21093">
        <v>35</v>
      </c>
      <c r="H21093">
        <v>1</v>
      </c>
      <c r="I21093">
        <v>247</v>
      </c>
      <c r="J21093">
        <v>1</v>
      </c>
      <c r="K21093">
        <v>30</v>
      </c>
      <c r="L21093">
        <v>299</v>
      </c>
      <c r="M21093">
        <v>1</v>
      </c>
      <c r="N21093">
        <v>1.1483000000000001E-103</v>
      </c>
      <c r="O21093">
        <v>958</v>
      </c>
    </row>
    <row r="21094" spans="1:15" x14ac:dyDescent="0.25">
      <c r="A21094" t="s">
        <v>21107</v>
      </c>
      <c r="B21094">
        <v>246</v>
      </c>
      <c r="C21094" s="1" t="str">
        <f>HYPERLINK("http://www.rosaceae.org/gb/gbrowse/malus_x_domestica/?name=MDP0000599819","MDP0000599819")</f>
        <v>MDP0000599819</v>
      </c>
      <c r="D21094">
        <v>62.96</v>
      </c>
      <c r="E21094">
        <v>108</v>
      </c>
      <c r="F21094">
        <v>40</v>
      </c>
      <c r="G21094">
        <v>21</v>
      </c>
      <c r="H21094">
        <v>158</v>
      </c>
      <c r="I21094">
        <v>244</v>
      </c>
      <c r="J21094">
        <v>1</v>
      </c>
      <c r="K21094">
        <v>103</v>
      </c>
      <c r="L21094">
        <v>210</v>
      </c>
      <c r="M21094">
        <v>1</v>
      </c>
      <c r="N21094">
        <v>1.32443E-30</v>
      </c>
      <c r="O21094">
        <v>327</v>
      </c>
    </row>
    <row r="21095" spans="1:15" x14ac:dyDescent="0.25">
      <c r="A21095" t="s">
        <v>21108</v>
      </c>
      <c r="B21095">
        <v>671</v>
      </c>
      <c r="C21095" s="1" t="str">
        <f>HYPERLINK("http://www.rosaceae.org/gb/gbrowse/malus_x_domestica/?name=MDP0000398493","MDP0000398493")</f>
        <v>MDP0000398493</v>
      </c>
      <c r="D21095">
        <v>78.44</v>
      </c>
      <c r="E21095">
        <v>515</v>
      </c>
      <c r="F21095">
        <v>111</v>
      </c>
      <c r="G21095">
        <v>8</v>
      </c>
      <c r="H21095">
        <v>11</v>
      </c>
      <c r="I21095">
        <v>525</v>
      </c>
      <c r="J21095">
        <v>1</v>
      </c>
      <c r="K21095">
        <v>10</v>
      </c>
      <c r="L21095">
        <v>516</v>
      </c>
      <c r="M21095">
        <v>1</v>
      </c>
      <c r="N21095">
        <v>0</v>
      </c>
      <c r="O21095">
        <v>2194</v>
      </c>
    </row>
    <row r="21096" spans="1:15" x14ac:dyDescent="0.25">
      <c r="A21096" t="s">
        <v>21109</v>
      </c>
      <c r="B21096">
        <v>351</v>
      </c>
      <c r="C21096" s="1" t="str">
        <f>HYPERLINK("http://www.rosaceae.org/gb/gbrowse/malus_x_domestica/?name=MDP0000286457","MDP0000286457")</f>
        <v>MDP0000286457</v>
      </c>
      <c r="D21096">
        <v>46.74</v>
      </c>
      <c r="E21096">
        <v>338</v>
      </c>
      <c r="F21096">
        <v>180</v>
      </c>
      <c r="G21096">
        <v>24</v>
      </c>
      <c r="H21096">
        <v>26</v>
      </c>
      <c r="I21096">
        <v>351</v>
      </c>
      <c r="J21096">
        <v>1</v>
      </c>
      <c r="K21096">
        <v>54</v>
      </c>
      <c r="L21096">
        <v>379</v>
      </c>
      <c r="M21096">
        <v>1</v>
      </c>
      <c r="N21096">
        <v>2.39457E-74</v>
      </c>
      <c r="O21096">
        <v>706</v>
      </c>
    </row>
    <row r="21097" spans="1:15" x14ac:dyDescent="0.25">
      <c r="A21097" t="s">
        <v>21110</v>
      </c>
      <c r="B21097">
        <v>638</v>
      </c>
      <c r="C21097" s="1" t="str">
        <f>HYPERLINK("http://www.rosaceae.org/gb/gbrowse/malus_x_domestica/?name=MDP0000190736","MDP0000190736")</f>
        <v>MDP0000190736</v>
      </c>
      <c r="D21097">
        <v>67.53</v>
      </c>
      <c r="E21097">
        <v>154</v>
      </c>
      <c r="F21097">
        <v>50</v>
      </c>
      <c r="G21097">
        <v>6</v>
      </c>
      <c r="H21097">
        <v>20</v>
      </c>
      <c r="I21097">
        <v>167</v>
      </c>
      <c r="J21097">
        <v>1</v>
      </c>
      <c r="K21097">
        <v>21</v>
      </c>
      <c r="L21097">
        <v>174</v>
      </c>
      <c r="M21097">
        <v>1</v>
      </c>
      <c r="N21097">
        <v>2.0435500000000001E-55</v>
      </c>
      <c r="O21097">
        <v>545</v>
      </c>
    </row>
    <row r="21098" spans="1:15" x14ac:dyDescent="0.25">
      <c r="A21098" t="s">
        <v>21111</v>
      </c>
      <c r="B21098">
        <v>867</v>
      </c>
      <c r="C21098" s="1" t="str">
        <f>HYPERLINK("http://www.rosaceae.org/gb/gbrowse/malus_x_domestica/?name=MDP0000140206","MDP0000140206")</f>
        <v>MDP0000140206</v>
      </c>
      <c r="D21098">
        <v>53.89</v>
      </c>
      <c r="E21098">
        <v>859</v>
      </c>
      <c r="F21098">
        <v>396</v>
      </c>
      <c r="G21098">
        <v>69</v>
      </c>
      <c r="H21098">
        <v>1</v>
      </c>
      <c r="I21098">
        <v>840</v>
      </c>
      <c r="J21098">
        <v>1</v>
      </c>
      <c r="K21098">
        <v>1</v>
      </c>
      <c r="L21098">
        <v>809</v>
      </c>
      <c r="M21098">
        <v>1</v>
      </c>
      <c r="N21098">
        <v>0</v>
      </c>
      <c r="O21098">
        <v>2140</v>
      </c>
    </row>
    <row r="21099" spans="1:15" x14ac:dyDescent="0.25">
      <c r="A21099" t="s">
        <v>21112</v>
      </c>
      <c r="B21099">
        <v>701</v>
      </c>
      <c r="C21099" s="1" t="str">
        <f>HYPERLINK("http://www.rosaceae.org/gb/gbrowse/malus_x_domestica/?name=MDP0000779831","MDP0000779831")</f>
        <v>MDP0000779831</v>
      </c>
      <c r="D21099">
        <v>71.25</v>
      </c>
      <c r="E21099">
        <v>508</v>
      </c>
      <c r="F21099">
        <v>146</v>
      </c>
      <c r="G21099">
        <v>11</v>
      </c>
      <c r="H21099">
        <v>85</v>
      </c>
      <c r="I21099">
        <v>583</v>
      </c>
      <c r="J21099">
        <v>1</v>
      </c>
      <c r="K21099">
        <v>352</v>
      </c>
      <c r="L21099">
        <v>857</v>
      </c>
      <c r="M21099">
        <v>1</v>
      </c>
      <c r="N21099">
        <v>0</v>
      </c>
      <c r="O21099">
        <v>1928</v>
      </c>
    </row>
    <row r="21100" spans="1:15" x14ac:dyDescent="0.25">
      <c r="A21100" t="s">
        <v>21113</v>
      </c>
      <c r="B21100">
        <v>184</v>
      </c>
      <c r="C21100" s="1" t="str">
        <f>HYPERLINK("http://www.rosaceae.org/gb/gbrowse/malus_x_domestica/?name=MDP0000231401","MDP0000231401")</f>
        <v>MDP0000231401</v>
      </c>
      <c r="D21100">
        <v>78.040000000000006</v>
      </c>
      <c r="E21100">
        <v>123</v>
      </c>
      <c r="F21100">
        <v>27</v>
      </c>
      <c r="G21100">
        <v>1</v>
      </c>
      <c r="H21100">
        <v>1</v>
      </c>
      <c r="I21100">
        <v>122</v>
      </c>
      <c r="J21100">
        <v>1</v>
      </c>
      <c r="K21100">
        <v>1</v>
      </c>
      <c r="L21100">
        <v>123</v>
      </c>
      <c r="M21100">
        <v>1</v>
      </c>
      <c r="N21100">
        <v>9.9564299999999998E-52</v>
      </c>
      <c r="O21100">
        <v>507</v>
      </c>
    </row>
    <row r="21101" spans="1:15" x14ac:dyDescent="0.25">
      <c r="A21101" t="s">
        <v>21114</v>
      </c>
      <c r="B21101">
        <v>1380</v>
      </c>
      <c r="C21101" s="1" t="str">
        <f>HYPERLINK("http://www.rosaceae.org/gb/gbrowse/malus_x_domestica/?name=MDP0000260352","MDP0000260352")</f>
        <v>MDP0000260352</v>
      </c>
      <c r="D21101">
        <v>67.38</v>
      </c>
      <c r="E21101">
        <v>325</v>
      </c>
      <c r="F21101">
        <v>106</v>
      </c>
      <c r="G21101">
        <v>5</v>
      </c>
      <c r="H21101">
        <v>646</v>
      </c>
      <c r="I21101">
        <v>965</v>
      </c>
      <c r="J21101">
        <v>1</v>
      </c>
      <c r="K21101">
        <v>21</v>
      </c>
      <c r="L21101">
        <v>345</v>
      </c>
      <c r="M21101">
        <v>1</v>
      </c>
      <c r="N21101">
        <v>5.1730399999999999E-128</v>
      </c>
      <c r="O21101">
        <v>1175</v>
      </c>
    </row>
    <row r="21102" spans="1:15" x14ac:dyDescent="0.25">
      <c r="A21102" t="s">
        <v>21115</v>
      </c>
      <c r="B21102">
        <v>179</v>
      </c>
      <c r="C21102" s="1" t="str">
        <f>HYPERLINK("http://www.rosaceae.org/gb/gbrowse/malus_x_domestica/?name=MDP0000448755","MDP0000448755")</f>
        <v>MDP0000448755</v>
      </c>
      <c r="D21102">
        <v>59.82</v>
      </c>
      <c r="E21102">
        <v>112</v>
      </c>
      <c r="F21102">
        <v>45</v>
      </c>
      <c r="G21102">
        <v>6</v>
      </c>
      <c r="H21102">
        <v>3</v>
      </c>
      <c r="I21102">
        <v>111</v>
      </c>
      <c r="J21102">
        <v>1</v>
      </c>
      <c r="K21102">
        <v>9</v>
      </c>
      <c r="L21102">
        <v>117</v>
      </c>
      <c r="M21102">
        <v>1</v>
      </c>
      <c r="N21102">
        <v>2.3456900000000001E-28</v>
      </c>
      <c r="O21102">
        <v>305</v>
      </c>
    </row>
    <row r="21103" spans="1:15" x14ac:dyDescent="0.25">
      <c r="A21103" t="s">
        <v>21116</v>
      </c>
      <c r="B21103">
        <v>196</v>
      </c>
      <c r="C21103" s="1" t="str">
        <f>HYPERLINK("http://www.rosaceae.org/gb/gbrowse/malus_x_domestica/?name=MDP0000316609","MDP0000316609")</f>
        <v>MDP0000316609</v>
      </c>
      <c r="D21103">
        <v>67.23</v>
      </c>
      <c r="E21103">
        <v>235</v>
      </c>
      <c r="F21103">
        <v>77</v>
      </c>
      <c r="G21103">
        <v>51</v>
      </c>
      <c r="H21103">
        <v>1</v>
      </c>
      <c r="I21103">
        <v>184</v>
      </c>
      <c r="J21103">
        <v>1</v>
      </c>
      <c r="K21103">
        <v>1</v>
      </c>
      <c r="L21103">
        <v>235</v>
      </c>
      <c r="M21103">
        <v>1</v>
      </c>
      <c r="N21103">
        <v>6.1755099999999998E-83</v>
      </c>
      <c r="O21103">
        <v>777</v>
      </c>
    </row>
    <row r="21104" spans="1:15" x14ac:dyDescent="0.25">
      <c r="A21104" t="s">
        <v>21117</v>
      </c>
      <c r="B21104">
        <v>827</v>
      </c>
      <c r="C21104" s="1" t="str">
        <f>HYPERLINK("http://www.rosaceae.org/gb/gbrowse/malus_x_domestica/?name=MDP0000263701","MDP0000263701")</f>
        <v>MDP0000263701</v>
      </c>
      <c r="D21104">
        <v>82.53</v>
      </c>
      <c r="E21104">
        <v>876</v>
      </c>
      <c r="F21104">
        <v>153</v>
      </c>
      <c r="G21104">
        <v>55</v>
      </c>
      <c r="H21104">
        <v>1</v>
      </c>
      <c r="I21104">
        <v>822</v>
      </c>
      <c r="J21104">
        <v>1</v>
      </c>
      <c r="K21104">
        <v>121</v>
      </c>
      <c r="L21104">
        <v>995</v>
      </c>
      <c r="M21104">
        <v>1</v>
      </c>
      <c r="N21104">
        <v>0</v>
      </c>
      <c r="O21104">
        <v>3698</v>
      </c>
    </row>
    <row r="21105" spans="1:15" x14ac:dyDescent="0.25">
      <c r="A21105" t="s">
        <v>21118</v>
      </c>
      <c r="B21105">
        <v>992</v>
      </c>
      <c r="C21105" s="1" t="str">
        <f>HYPERLINK("http://www.rosaceae.org/gb/gbrowse/malus_x_domestica/?name=MDP0000157423","MDP0000157423")</f>
        <v>MDP0000157423</v>
      </c>
      <c r="D21105">
        <v>69.89</v>
      </c>
      <c r="E21105">
        <v>681</v>
      </c>
      <c r="F21105">
        <v>205</v>
      </c>
      <c r="G21105">
        <v>1</v>
      </c>
      <c r="H21105">
        <v>80</v>
      </c>
      <c r="I21105">
        <v>759</v>
      </c>
      <c r="J21105">
        <v>1</v>
      </c>
      <c r="K21105">
        <v>8</v>
      </c>
      <c r="L21105">
        <v>688</v>
      </c>
      <c r="M21105">
        <v>1</v>
      </c>
      <c r="N21105">
        <v>0</v>
      </c>
      <c r="O21105">
        <v>2533</v>
      </c>
    </row>
    <row r="21106" spans="1:15" x14ac:dyDescent="0.25">
      <c r="A21106" t="s">
        <v>21119</v>
      </c>
      <c r="B21106">
        <v>216</v>
      </c>
      <c r="C21106" s="1" t="str">
        <f>HYPERLINK("http://www.rosaceae.org/gb/gbrowse/malus_x_domestica/?name=MDP0000811595","MDP0000811595")</f>
        <v>MDP0000811595</v>
      </c>
      <c r="D21106">
        <v>68.44</v>
      </c>
      <c r="E21106">
        <v>187</v>
      </c>
      <c r="F21106">
        <v>59</v>
      </c>
      <c r="G21106">
        <v>0</v>
      </c>
      <c r="H21106">
        <v>30</v>
      </c>
      <c r="I21106">
        <v>216</v>
      </c>
      <c r="J21106">
        <v>1</v>
      </c>
      <c r="K21106">
        <v>153</v>
      </c>
      <c r="L21106">
        <v>339</v>
      </c>
      <c r="M21106">
        <v>1</v>
      </c>
      <c r="N21106">
        <v>1.93876E-73</v>
      </c>
      <c r="O21106">
        <v>695</v>
      </c>
    </row>
    <row r="21107" spans="1:15" x14ac:dyDescent="0.25">
      <c r="A21107" t="s">
        <v>21120</v>
      </c>
      <c r="B21107">
        <v>177</v>
      </c>
      <c r="C21107" s="1" t="str">
        <f>HYPERLINK("http://www.rosaceae.org/gb/gbrowse/malus_x_domestica/?name=MDP0000680059","MDP0000680059")</f>
        <v>MDP0000680059</v>
      </c>
      <c r="D21107">
        <v>50.53</v>
      </c>
      <c r="E21107">
        <v>188</v>
      </c>
      <c r="F21107">
        <v>93</v>
      </c>
      <c r="G21107">
        <v>21</v>
      </c>
      <c r="H21107">
        <v>3</v>
      </c>
      <c r="I21107">
        <v>176</v>
      </c>
      <c r="J21107">
        <v>1</v>
      </c>
      <c r="K21107">
        <v>5</v>
      </c>
      <c r="L21107">
        <v>185</v>
      </c>
      <c r="M21107">
        <v>1</v>
      </c>
      <c r="N21107">
        <v>1.1147E-34</v>
      </c>
      <c r="O21107">
        <v>360</v>
      </c>
    </row>
    <row r="21108" spans="1:15" x14ac:dyDescent="0.25">
      <c r="A21108" t="s">
        <v>21121</v>
      </c>
      <c r="B21108">
        <v>469</v>
      </c>
      <c r="C21108" s="1" t="str">
        <f>HYPERLINK("http://www.rosaceae.org/gb/gbrowse/malus_x_domestica/?name=MDP0000247482","MDP0000247482")</f>
        <v>MDP0000247482</v>
      </c>
      <c r="D21108">
        <v>62.33</v>
      </c>
      <c r="E21108">
        <v>154</v>
      </c>
      <c r="F21108">
        <v>58</v>
      </c>
      <c r="G21108">
        <v>13</v>
      </c>
      <c r="H21108">
        <v>221</v>
      </c>
      <c r="I21108">
        <v>368</v>
      </c>
      <c r="J21108">
        <v>1</v>
      </c>
      <c r="K21108">
        <v>393</v>
      </c>
      <c r="L21108">
        <v>539</v>
      </c>
      <c r="M21108">
        <v>1</v>
      </c>
      <c r="N21108">
        <v>7.4819000000000005E-43</v>
      </c>
      <c r="O21108">
        <v>436</v>
      </c>
    </row>
    <row r="21109" spans="1:15" x14ac:dyDescent="0.25">
      <c r="A21109" t="s">
        <v>21122</v>
      </c>
      <c r="B21109">
        <v>580</v>
      </c>
      <c r="C21109" s="1" t="str">
        <f>HYPERLINK("http://www.rosaceae.org/gb/gbrowse/malus_x_domestica/?name=MDP0000261311","MDP0000261311")</f>
        <v>MDP0000261311</v>
      </c>
      <c r="D21109">
        <v>36.31</v>
      </c>
      <c r="E21109">
        <v>201</v>
      </c>
      <c r="F21109">
        <v>128</v>
      </c>
      <c r="G21109">
        <v>14</v>
      </c>
      <c r="H21109">
        <v>22</v>
      </c>
      <c r="I21109">
        <v>213</v>
      </c>
      <c r="J21109">
        <v>1</v>
      </c>
      <c r="K21109">
        <v>44</v>
      </c>
      <c r="L21109">
        <v>239</v>
      </c>
      <c r="M21109">
        <v>1</v>
      </c>
      <c r="N21109">
        <v>7.4919599999999997E-28</v>
      </c>
      <c r="O21109">
        <v>307</v>
      </c>
    </row>
    <row r="21110" spans="1:15" x14ac:dyDescent="0.25">
      <c r="A21110" t="s">
        <v>21123</v>
      </c>
      <c r="B21110">
        <v>549</v>
      </c>
      <c r="C21110" s="1" t="str">
        <f>HYPERLINK("http://www.rosaceae.org/gb/gbrowse/malus_x_domestica/?name=MDP0000288579","MDP0000288579")</f>
        <v>MDP0000288579</v>
      </c>
      <c r="D21110">
        <v>67.94</v>
      </c>
      <c r="E21110">
        <v>549</v>
      </c>
      <c r="F21110">
        <v>176</v>
      </c>
      <c r="G21110">
        <v>80</v>
      </c>
      <c r="H21110">
        <v>47</v>
      </c>
      <c r="I21110">
        <v>549</v>
      </c>
      <c r="J21110">
        <v>1</v>
      </c>
      <c r="K21110">
        <v>110</v>
      </c>
      <c r="L21110">
        <v>624</v>
      </c>
      <c r="M21110">
        <v>1</v>
      </c>
      <c r="N21110">
        <v>0</v>
      </c>
      <c r="O21110">
        <v>1851</v>
      </c>
    </row>
    <row r="21111" spans="1:15" x14ac:dyDescent="0.25">
      <c r="A21111" t="s">
        <v>21124</v>
      </c>
      <c r="B21111">
        <v>636</v>
      </c>
      <c r="C21111" s="1" t="str">
        <f>HYPERLINK("http://www.rosaceae.org/gb/gbrowse/malus_x_domestica/?name=MDP0000255696","MDP0000255696")</f>
        <v>MDP0000255696</v>
      </c>
      <c r="D21111">
        <v>74.150000000000006</v>
      </c>
      <c r="E21111">
        <v>561</v>
      </c>
      <c r="F21111">
        <v>145</v>
      </c>
      <c r="G21111">
        <v>13</v>
      </c>
      <c r="H21111">
        <v>57</v>
      </c>
      <c r="I21111">
        <v>608</v>
      </c>
      <c r="J21111">
        <v>1</v>
      </c>
      <c r="K21111">
        <v>1</v>
      </c>
      <c r="L21111">
        <v>557</v>
      </c>
      <c r="M21111">
        <v>1</v>
      </c>
      <c r="N21111">
        <v>0</v>
      </c>
      <c r="O21111">
        <v>2236</v>
      </c>
    </row>
    <row r="21112" spans="1:15" x14ac:dyDescent="0.25">
      <c r="A21112" t="s">
        <v>21125</v>
      </c>
      <c r="B21112">
        <v>388</v>
      </c>
      <c r="C21112" s="1" t="str">
        <f>HYPERLINK("http://www.rosaceae.org/gb/gbrowse/malus_x_domestica/?name=MDP0000148539","MDP0000148539")</f>
        <v>MDP0000148539</v>
      </c>
      <c r="D21112">
        <v>76.599999999999994</v>
      </c>
      <c r="E21112">
        <v>389</v>
      </c>
      <c r="F21112">
        <v>91</v>
      </c>
      <c r="G21112">
        <v>12</v>
      </c>
      <c r="H21112">
        <v>1</v>
      </c>
      <c r="I21112">
        <v>388</v>
      </c>
      <c r="J21112">
        <v>1</v>
      </c>
      <c r="K21112">
        <v>1</v>
      </c>
      <c r="L21112">
        <v>378</v>
      </c>
      <c r="M21112">
        <v>1</v>
      </c>
      <c r="N21112">
        <v>6.7581399999999999E-175</v>
      </c>
      <c r="O21112">
        <v>1574</v>
      </c>
    </row>
    <row r="21113" spans="1:15" x14ac:dyDescent="0.25">
      <c r="A21113" t="s">
        <v>21126</v>
      </c>
      <c r="B21113">
        <v>2166</v>
      </c>
      <c r="C21113" s="1" t="str">
        <f>HYPERLINK("http://www.rosaceae.org/gb/gbrowse/malus_x_domestica/?name=MDP0000191681","MDP0000191681")</f>
        <v>MDP0000191681</v>
      </c>
      <c r="D21113">
        <v>67.61</v>
      </c>
      <c r="E21113">
        <v>1266</v>
      </c>
      <c r="F21113">
        <v>410</v>
      </c>
      <c r="G21113">
        <v>51</v>
      </c>
      <c r="H21113">
        <v>89</v>
      </c>
      <c r="I21113">
        <v>1341</v>
      </c>
      <c r="J21113">
        <v>1</v>
      </c>
      <c r="K21113">
        <v>1</v>
      </c>
      <c r="L21113">
        <v>1228</v>
      </c>
      <c r="M21113">
        <v>1</v>
      </c>
      <c r="N21113">
        <v>0</v>
      </c>
      <c r="O21113">
        <v>4187</v>
      </c>
    </row>
    <row r="21114" spans="1:15" x14ac:dyDescent="0.25">
      <c r="A21114" t="s">
        <v>21127</v>
      </c>
      <c r="B21114">
        <v>335</v>
      </c>
      <c r="C21114" s="1" t="str">
        <f>HYPERLINK("http://www.rosaceae.org/gb/gbrowse/malus_x_domestica/?name=MDP0000165222","MDP0000165222")</f>
        <v>MDP0000165222</v>
      </c>
      <c r="D21114">
        <v>73.069999999999993</v>
      </c>
      <c r="E21114">
        <v>78</v>
      </c>
      <c r="F21114">
        <v>21</v>
      </c>
      <c r="G21114">
        <v>0</v>
      </c>
      <c r="H21114">
        <v>253</v>
      </c>
      <c r="I21114">
        <v>330</v>
      </c>
      <c r="J21114">
        <v>1</v>
      </c>
      <c r="K21114">
        <v>729</v>
      </c>
      <c r="L21114">
        <v>806</v>
      </c>
      <c r="M21114">
        <v>1</v>
      </c>
      <c r="N21114">
        <v>3.50543E-25</v>
      </c>
      <c r="O21114">
        <v>282</v>
      </c>
    </row>
    <row r="21115" spans="1:15" x14ac:dyDescent="0.25">
      <c r="A21115" t="s">
        <v>21128</v>
      </c>
      <c r="B21115">
        <v>196</v>
      </c>
      <c r="C21115" s="1" t="str">
        <f>HYPERLINK("http://www.rosaceae.org/gb/gbrowse/malus_x_domestica/?name=MDP0000189426","MDP0000189426")</f>
        <v>MDP0000189426</v>
      </c>
      <c r="D21115">
        <v>29.95</v>
      </c>
      <c r="E21115">
        <v>237</v>
      </c>
      <c r="F21115">
        <v>166</v>
      </c>
      <c r="G21115">
        <v>60</v>
      </c>
      <c r="H21115">
        <v>18</v>
      </c>
      <c r="I21115">
        <v>196</v>
      </c>
      <c r="J21115">
        <v>1</v>
      </c>
      <c r="K21115">
        <v>148</v>
      </c>
      <c r="L21115">
        <v>382</v>
      </c>
      <c r="M21115">
        <v>1</v>
      </c>
      <c r="N21115">
        <v>2.8963900000000001E-18</v>
      </c>
      <c r="O21115">
        <v>219</v>
      </c>
    </row>
    <row r="21116" spans="1:15" x14ac:dyDescent="0.25">
      <c r="A21116" t="s">
        <v>21129</v>
      </c>
      <c r="B21116">
        <v>933</v>
      </c>
      <c r="C21116" s="1" t="str">
        <f>HYPERLINK("http://www.rosaceae.org/gb/gbrowse/malus_x_domestica/?name=MDP0000254848","MDP0000254848")</f>
        <v>MDP0000254848</v>
      </c>
      <c r="D21116">
        <v>60.1</v>
      </c>
      <c r="E21116">
        <v>574</v>
      </c>
      <c r="F21116">
        <v>229</v>
      </c>
      <c r="G21116">
        <v>83</v>
      </c>
      <c r="H21116">
        <v>312</v>
      </c>
      <c r="I21116">
        <v>803</v>
      </c>
      <c r="J21116">
        <v>1</v>
      </c>
      <c r="K21116">
        <v>21</v>
      </c>
      <c r="L21116">
        <v>593</v>
      </c>
      <c r="M21116">
        <v>1</v>
      </c>
      <c r="N21116">
        <v>0</v>
      </c>
      <c r="O21116">
        <v>1738</v>
      </c>
    </row>
    <row r="21117" spans="1:15" x14ac:dyDescent="0.25">
      <c r="A21117" t="s">
        <v>21130</v>
      </c>
      <c r="B21117">
        <v>503</v>
      </c>
      <c r="C21117" s="1" t="str">
        <f>HYPERLINK("http://www.rosaceae.org/gb/gbrowse/malus_x_domestica/?name=MDP0000167862","MDP0000167862")</f>
        <v>MDP0000167862</v>
      </c>
      <c r="D21117">
        <v>63.6</v>
      </c>
      <c r="E21117">
        <v>316</v>
      </c>
      <c r="F21117">
        <v>115</v>
      </c>
      <c r="G21117">
        <v>1</v>
      </c>
      <c r="H21117">
        <v>1</v>
      </c>
      <c r="I21117">
        <v>316</v>
      </c>
      <c r="J21117">
        <v>1</v>
      </c>
      <c r="K21117">
        <v>1</v>
      </c>
      <c r="L21117">
        <v>315</v>
      </c>
      <c r="M21117">
        <v>1</v>
      </c>
      <c r="N21117">
        <v>1.7759999999999999E-111</v>
      </c>
      <c r="O21117">
        <v>1028</v>
      </c>
    </row>
    <row r="21118" spans="1:15" x14ac:dyDescent="0.25">
      <c r="A21118" t="s">
        <v>21131</v>
      </c>
      <c r="B21118">
        <v>312</v>
      </c>
      <c r="C21118" s="1" t="str">
        <f>HYPERLINK("http://www.rosaceae.org/gb/gbrowse/malus_x_domestica/?name=MDP0000147190","MDP0000147190")</f>
        <v>MDP0000147190</v>
      </c>
      <c r="D21118">
        <v>31.37</v>
      </c>
      <c r="E21118">
        <v>204</v>
      </c>
      <c r="F21118">
        <v>140</v>
      </c>
      <c r="G21118">
        <v>36</v>
      </c>
      <c r="H21118">
        <v>101</v>
      </c>
      <c r="I21118">
        <v>304</v>
      </c>
      <c r="J21118">
        <v>1</v>
      </c>
      <c r="K21118">
        <v>56</v>
      </c>
      <c r="L21118">
        <v>223</v>
      </c>
      <c r="M21118">
        <v>1</v>
      </c>
      <c r="N21118">
        <v>4.4243399999999997E-12</v>
      </c>
      <c r="O21118">
        <v>168</v>
      </c>
    </row>
    <row r="21119" spans="1:15" x14ac:dyDescent="0.25">
      <c r="A21119" t="s">
        <v>21132</v>
      </c>
      <c r="B21119">
        <v>226</v>
      </c>
      <c r="C21119" s="1" t="str">
        <f>HYPERLINK("http://www.rosaceae.org/gb/gbrowse/malus_x_domestica/?name=MDP0000236245","MDP0000236245")</f>
        <v>MDP0000236245</v>
      </c>
      <c r="D21119">
        <v>92.34</v>
      </c>
      <c r="E21119">
        <v>222</v>
      </c>
      <c r="F21119">
        <v>17</v>
      </c>
      <c r="G21119">
        <v>9</v>
      </c>
      <c r="H21119">
        <v>1</v>
      </c>
      <c r="I21119">
        <v>222</v>
      </c>
      <c r="J21119">
        <v>1</v>
      </c>
      <c r="K21119">
        <v>1</v>
      </c>
      <c r="L21119">
        <v>213</v>
      </c>
      <c r="M21119">
        <v>1</v>
      </c>
      <c r="N21119">
        <v>2.5966699999999999E-114</v>
      </c>
      <c r="O21119">
        <v>1048</v>
      </c>
    </row>
    <row r="21120" spans="1:15" x14ac:dyDescent="0.25">
      <c r="A21120" t="s">
        <v>21133</v>
      </c>
      <c r="B21120">
        <v>435</v>
      </c>
      <c r="C21120" s="1" t="str">
        <f>HYPERLINK("http://www.rosaceae.org/gb/gbrowse/malus_x_domestica/?name=MDP0000255711","MDP0000255711")</f>
        <v>MDP0000255711</v>
      </c>
      <c r="D21120">
        <v>67.78</v>
      </c>
      <c r="E21120">
        <v>298</v>
      </c>
      <c r="F21120">
        <v>96</v>
      </c>
      <c r="G21120">
        <v>0</v>
      </c>
      <c r="H21120">
        <v>100</v>
      </c>
      <c r="I21120">
        <v>397</v>
      </c>
      <c r="J21120">
        <v>1</v>
      </c>
      <c r="K21120">
        <v>24</v>
      </c>
      <c r="L21120">
        <v>321</v>
      </c>
      <c r="M21120">
        <v>1</v>
      </c>
      <c r="N21120">
        <v>4.3614599999999998E-120</v>
      </c>
      <c r="O21120">
        <v>1101</v>
      </c>
    </row>
    <row r="21121" spans="1:15" x14ac:dyDescent="0.25">
      <c r="A21121" t="s">
        <v>21134</v>
      </c>
      <c r="B21121">
        <v>628</v>
      </c>
      <c r="C21121" s="1" t="str">
        <f>HYPERLINK("http://www.rosaceae.org/gb/gbrowse/malus_x_domestica/?name=MDP0000214366","MDP0000214366")</f>
        <v>MDP0000214366</v>
      </c>
      <c r="D21121">
        <v>59.4</v>
      </c>
      <c r="E21121">
        <v>606</v>
      </c>
      <c r="F21121">
        <v>246</v>
      </c>
      <c r="G21121">
        <v>21</v>
      </c>
      <c r="H21121">
        <v>19</v>
      </c>
      <c r="I21121">
        <v>621</v>
      </c>
      <c r="J21121">
        <v>1</v>
      </c>
      <c r="K21121">
        <v>2</v>
      </c>
      <c r="L21121">
        <v>589</v>
      </c>
      <c r="M21121">
        <v>1</v>
      </c>
      <c r="N21121">
        <v>8.1233500000000007E-179</v>
      </c>
      <c r="O21121">
        <v>1610</v>
      </c>
    </row>
    <row r="21122" spans="1:15" x14ac:dyDescent="0.25">
      <c r="A21122" t="s">
        <v>21135</v>
      </c>
      <c r="B21122">
        <v>1135</v>
      </c>
      <c r="C21122" s="1" t="str">
        <f>HYPERLINK("http://www.rosaceae.org/gb/gbrowse/malus_x_domestica/?name=MDP0000202363","MDP0000202363")</f>
        <v>MDP0000202363</v>
      </c>
      <c r="D21122">
        <v>74.23</v>
      </c>
      <c r="E21122">
        <v>1141</v>
      </c>
      <c r="F21122">
        <v>294</v>
      </c>
      <c r="G21122">
        <v>50</v>
      </c>
      <c r="H21122">
        <v>1</v>
      </c>
      <c r="I21122">
        <v>1126</v>
      </c>
      <c r="J21122">
        <v>1</v>
      </c>
      <c r="K21122">
        <v>1</v>
      </c>
      <c r="L21122">
        <v>1106</v>
      </c>
      <c r="M21122">
        <v>1</v>
      </c>
      <c r="N21122">
        <v>0</v>
      </c>
      <c r="O21122">
        <v>4210</v>
      </c>
    </row>
    <row r="21123" spans="1:15" x14ac:dyDescent="0.25">
      <c r="A21123" t="s">
        <v>21136</v>
      </c>
      <c r="B21123">
        <v>220</v>
      </c>
      <c r="C21123" s="1" t="str">
        <f>HYPERLINK("http://www.rosaceae.org/gb/gbrowse/malus_x_domestica/?name=MDP0000434703","MDP0000434703")</f>
        <v>MDP0000434703</v>
      </c>
      <c r="D21123">
        <v>65.63</v>
      </c>
      <c r="E21123">
        <v>227</v>
      </c>
      <c r="F21123">
        <v>78</v>
      </c>
      <c r="G21123">
        <v>7</v>
      </c>
      <c r="H21123">
        <v>1</v>
      </c>
      <c r="I21123">
        <v>220</v>
      </c>
      <c r="J21123">
        <v>1</v>
      </c>
      <c r="K21123">
        <v>1</v>
      </c>
      <c r="L21123">
        <v>227</v>
      </c>
      <c r="M21123">
        <v>1</v>
      </c>
      <c r="N21123">
        <v>2.9848599999999999E-82</v>
      </c>
      <c r="O21123">
        <v>772</v>
      </c>
    </row>
    <row r="21124" spans="1:15" x14ac:dyDescent="0.25">
      <c r="A21124" t="s">
        <v>21137</v>
      </c>
      <c r="B21124">
        <v>888</v>
      </c>
      <c r="C21124" s="1" t="str">
        <f>HYPERLINK("http://www.rosaceae.org/gb/gbrowse/malus_x_domestica/?name=MDP0000845007","MDP0000845007")</f>
        <v>MDP0000845007</v>
      </c>
      <c r="D21124">
        <v>78.400000000000006</v>
      </c>
      <c r="E21124">
        <v>880</v>
      </c>
      <c r="F21124">
        <v>190</v>
      </c>
      <c r="G21124">
        <v>24</v>
      </c>
      <c r="H21124">
        <v>32</v>
      </c>
      <c r="I21124">
        <v>888</v>
      </c>
      <c r="J21124">
        <v>1</v>
      </c>
      <c r="K21124">
        <v>30</v>
      </c>
      <c r="L21124">
        <v>908</v>
      </c>
      <c r="M21124">
        <v>1</v>
      </c>
      <c r="N21124">
        <v>0</v>
      </c>
      <c r="O21124">
        <v>3687</v>
      </c>
    </row>
    <row r="21125" spans="1:15" x14ac:dyDescent="0.25">
      <c r="A21125" t="s">
        <v>21138</v>
      </c>
      <c r="B21125">
        <v>543</v>
      </c>
      <c r="C21125" s="1" t="str">
        <f>HYPERLINK("http://www.rosaceae.org/gb/gbrowse/malus_x_domestica/?name=MDP0000306900","MDP0000306900")</f>
        <v>MDP0000306900</v>
      </c>
      <c r="D21125">
        <v>55.92</v>
      </c>
      <c r="E21125">
        <v>574</v>
      </c>
      <c r="F21125">
        <v>253</v>
      </c>
      <c r="G21125">
        <v>59</v>
      </c>
      <c r="H21125">
        <v>1</v>
      </c>
      <c r="I21125">
        <v>531</v>
      </c>
      <c r="J21125">
        <v>1</v>
      </c>
      <c r="K21125">
        <v>1</v>
      </c>
      <c r="L21125">
        <v>558</v>
      </c>
      <c r="M21125">
        <v>1</v>
      </c>
      <c r="N21125">
        <v>1.46246E-164</v>
      </c>
      <c r="O21125">
        <v>1486</v>
      </c>
    </row>
    <row r="21126" spans="1:15" x14ac:dyDescent="0.25">
      <c r="A21126" t="s">
        <v>21139</v>
      </c>
      <c r="B21126">
        <v>335</v>
      </c>
      <c r="C21126" s="1" t="str">
        <f>HYPERLINK("http://www.rosaceae.org/gb/gbrowse/malus_x_domestica/?name=MDP0000600003","MDP0000600003")</f>
        <v>MDP0000600003</v>
      </c>
      <c r="D21126">
        <v>97.59</v>
      </c>
      <c r="E21126">
        <v>208</v>
      </c>
      <c r="F21126">
        <v>5</v>
      </c>
      <c r="G21126">
        <v>0</v>
      </c>
      <c r="H21126">
        <v>128</v>
      </c>
      <c r="I21126">
        <v>335</v>
      </c>
      <c r="J21126">
        <v>1</v>
      </c>
      <c r="K21126">
        <v>1</v>
      </c>
      <c r="L21126">
        <v>208</v>
      </c>
      <c r="M21126">
        <v>1</v>
      </c>
      <c r="N21126">
        <v>8.2157500000000001E-109</v>
      </c>
      <c r="O21126">
        <v>1003</v>
      </c>
    </row>
    <row r="21127" spans="1:15" x14ac:dyDescent="0.25">
      <c r="A21127" t="s">
        <v>21140</v>
      </c>
      <c r="B21127">
        <v>519</v>
      </c>
      <c r="C21127" s="1" t="str">
        <f>HYPERLINK("http://www.rosaceae.org/gb/gbrowse/malus_x_domestica/?name=MDP0000299824","MDP0000299824")</f>
        <v>MDP0000299824</v>
      </c>
      <c r="D21127">
        <v>84.11</v>
      </c>
      <c r="E21127">
        <v>384</v>
      </c>
      <c r="F21127">
        <v>61</v>
      </c>
      <c r="G21127">
        <v>2</v>
      </c>
      <c r="H21127">
        <v>1</v>
      </c>
      <c r="I21127">
        <v>384</v>
      </c>
      <c r="J21127">
        <v>1</v>
      </c>
      <c r="K21127">
        <v>80</v>
      </c>
      <c r="L21127">
        <v>461</v>
      </c>
      <c r="M21127">
        <v>1</v>
      </c>
      <c r="N21127">
        <v>0</v>
      </c>
      <c r="O21127">
        <v>1737</v>
      </c>
    </row>
    <row r="21128" spans="1:15" x14ac:dyDescent="0.25">
      <c r="A21128" t="s">
        <v>21141</v>
      </c>
      <c r="B21128">
        <v>112</v>
      </c>
      <c r="C21128" s="1" t="str">
        <f>HYPERLINK("http://www.rosaceae.org/gb/gbrowse/malus_x_domestica/?name=MDP0000477453","MDP0000477453")</f>
        <v>MDP0000477453</v>
      </c>
      <c r="D21128">
        <v>46.29</v>
      </c>
      <c r="E21128">
        <v>108</v>
      </c>
      <c r="F21128">
        <v>58</v>
      </c>
      <c r="G21128">
        <v>2</v>
      </c>
      <c r="H21128">
        <v>7</v>
      </c>
      <c r="I21128">
        <v>112</v>
      </c>
      <c r="J21128">
        <v>1</v>
      </c>
      <c r="K21128">
        <v>8</v>
      </c>
      <c r="L21128">
        <v>115</v>
      </c>
      <c r="M21128">
        <v>1</v>
      </c>
      <c r="N21128">
        <v>3.4024699999999997E-23</v>
      </c>
      <c r="O21128">
        <v>257</v>
      </c>
    </row>
    <row r="21129" spans="1:15" x14ac:dyDescent="0.25">
      <c r="A21129" t="s">
        <v>21142</v>
      </c>
      <c r="B21129">
        <v>154</v>
      </c>
      <c r="C21129" s="1" t="str">
        <f>HYPERLINK("http://www.rosaceae.org/gb/gbrowse/malus_x_domestica/?name=MDP0000268029","MDP0000268029")</f>
        <v>MDP0000268029</v>
      </c>
      <c r="D21129">
        <v>63.43</v>
      </c>
      <c r="E21129">
        <v>134</v>
      </c>
      <c r="F21129">
        <v>49</v>
      </c>
      <c r="G21129">
        <v>4</v>
      </c>
      <c r="H21129">
        <v>25</v>
      </c>
      <c r="I21129">
        <v>154</v>
      </c>
      <c r="J21129">
        <v>1</v>
      </c>
      <c r="K21129">
        <v>1</v>
      </c>
      <c r="L21129">
        <v>134</v>
      </c>
      <c r="M21129">
        <v>1</v>
      </c>
      <c r="N21129">
        <v>3.8342499999999999E-43</v>
      </c>
      <c r="O21129">
        <v>432</v>
      </c>
    </row>
    <row r="21130" spans="1:15" x14ac:dyDescent="0.25">
      <c r="A21130" t="s">
        <v>21143</v>
      </c>
      <c r="B21130">
        <v>654</v>
      </c>
      <c r="C21130" s="1" t="str">
        <f>HYPERLINK("http://www.rosaceae.org/gb/gbrowse/malus_x_domestica/?name=MDP0000224741","MDP0000224741")</f>
        <v>MDP0000224741</v>
      </c>
      <c r="D21130">
        <v>73.02</v>
      </c>
      <c r="E21130">
        <v>671</v>
      </c>
      <c r="F21130">
        <v>181</v>
      </c>
      <c r="G21130">
        <v>32</v>
      </c>
      <c r="H21130">
        <v>1</v>
      </c>
      <c r="I21130">
        <v>650</v>
      </c>
      <c r="J21130">
        <v>1</v>
      </c>
      <c r="K21130">
        <v>1</v>
      </c>
      <c r="L21130">
        <v>660</v>
      </c>
      <c r="M21130">
        <v>1</v>
      </c>
      <c r="N21130">
        <v>0</v>
      </c>
      <c r="O21130">
        <v>2604</v>
      </c>
    </row>
    <row r="21131" spans="1:15" x14ac:dyDescent="0.25">
      <c r="A21131" t="s">
        <v>21144</v>
      </c>
      <c r="B21131">
        <v>303</v>
      </c>
      <c r="C21131" s="1" t="str">
        <f>HYPERLINK("http://www.rosaceae.org/gb/gbrowse/malus_x_domestica/?name=MDP0000225132","MDP0000225132")</f>
        <v>MDP0000225132</v>
      </c>
      <c r="D21131">
        <v>56.73</v>
      </c>
      <c r="E21131">
        <v>312</v>
      </c>
      <c r="F21131">
        <v>135</v>
      </c>
      <c r="G21131">
        <v>18</v>
      </c>
      <c r="H21131">
        <v>1</v>
      </c>
      <c r="I21131">
        <v>297</v>
      </c>
      <c r="J21131">
        <v>1</v>
      </c>
      <c r="K21131">
        <v>1</v>
      </c>
      <c r="L21131">
        <v>309</v>
      </c>
      <c r="M21131">
        <v>1</v>
      </c>
      <c r="N21131">
        <v>4.7536900000000002E-73</v>
      </c>
      <c r="O21131">
        <v>694</v>
      </c>
    </row>
    <row r="21132" spans="1:15" x14ac:dyDescent="0.25">
      <c r="A21132" t="s">
        <v>21145</v>
      </c>
      <c r="B21132">
        <v>591</v>
      </c>
      <c r="C21132" s="1" t="str">
        <f>HYPERLINK("http://www.rosaceae.org/gb/gbrowse/malus_x_domestica/?name=MDP0000322468","MDP0000322468")</f>
        <v>MDP0000322468</v>
      </c>
      <c r="D21132">
        <v>66.069999999999993</v>
      </c>
      <c r="E21132">
        <v>224</v>
      </c>
      <c r="F21132">
        <v>76</v>
      </c>
      <c r="G21132">
        <v>29</v>
      </c>
      <c r="H21132">
        <v>16</v>
      </c>
      <c r="I21132">
        <v>210</v>
      </c>
      <c r="J21132">
        <v>1</v>
      </c>
      <c r="K21132">
        <v>181</v>
      </c>
      <c r="L21132">
        <v>404</v>
      </c>
      <c r="M21132">
        <v>1</v>
      </c>
      <c r="N21132">
        <v>2.7748300000000001E-80</v>
      </c>
      <c r="O21132">
        <v>760</v>
      </c>
    </row>
    <row r="21133" spans="1:15" x14ac:dyDescent="0.25">
      <c r="A21133" t="s">
        <v>21146</v>
      </c>
      <c r="B21133">
        <v>508</v>
      </c>
      <c r="C21133" s="1" t="str">
        <f>HYPERLINK("http://www.rosaceae.org/gb/gbrowse/malus_x_domestica/?name=MDP0000239732","MDP0000239732")</f>
        <v>MDP0000239732</v>
      </c>
      <c r="D21133">
        <v>66.819999999999993</v>
      </c>
      <c r="E21133">
        <v>416</v>
      </c>
      <c r="F21133">
        <v>138</v>
      </c>
      <c r="G21133">
        <v>6</v>
      </c>
      <c r="H21133">
        <v>89</v>
      </c>
      <c r="I21133">
        <v>499</v>
      </c>
      <c r="J21133">
        <v>1</v>
      </c>
      <c r="K21133">
        <v>64</v>
      </c>
      <c r="L21133">
        <v>478</v>
      </c>
      <c r="M21133">
        <v>1</v>
      </c>
      <c r="N21133">
        <v>3.1189800000000001E-169</v>
      </c>
      <c r="O21133">
        <v>1526</v>
      </c>
    </row>
    <row r="21134" spans="1:15" x14ac:dyDescent="0.25">
      <c r="A21134" t="s">
        <v>21147</v>
      </c>
      <c r="B21134">
        <v>196</v>
      </c>
      <c r="C21134" s="1" t="str">
        <f>HYPERLINK("http://www.rosaceae.org/gb/gbrowse/malus_x_domestica/?name=MDP0000258920","MDP0000258920")</f>
        <v>MDP0000258920</v>
      </c>
      <c r="D21134">
        <v>55.86</v>
      </c>
      <c r="E21134">
        <v>179</v>
      </c>
      <c r="F21134">
        <v>79</v>
      </c>
      <c r="G21134">
        <v>12</v>
      </c>
      <c r="H21134">
        <v>25</v>
      </c>
      <c r="I21134">
        <v>196</v>
      </c>
      <c r="J21134">
        <v>1</v>
      </c>
      <c r="K21134">
        <v>33</v>
      </c>
      <c r="L21134">
        <v>206</v>
      </c>
      <c r="M21134">
        <v>1</v>
      </c>
      <c r="N21134">
        <v>1.24729E-46</v>
      </c>
      <c r="O21134">
        <v>464</v>
      </c>
    </row>
    <row r="21135" spans="1:15" x14ac:dyDescent="0.25">
      <c r="A21135" t="s">
        <v>21148</v>
      </c>
      <c r="B21135">
        <v>267</v>
      </c>
      <c r="C21135" s="1" t="str">
        <f>HYPERLINK("http://www.rosaceae.org/gb/gbrowse/malus_x_domestica/?name=MDP0000160434","MDP0000160434")</f>
        <v>MDP0000160434</v>
      </c>
      <c r="D21135">
        <v>77.040000000000006</v>
      </c>
      <c r="E21135">
        <v>196</v>
      </c>
      <c r="F21135">
        <v>45</v>
      </c>
      <c r="G21135">
        <v>0</v>
      </c>
      <c r="H21135">
        <v>65</v>
      </c>
      <c r="I21135">
        <v>260</v>
      </c>
      <c r="J21135">
        <v>1</v>
      </c>
      <c r="K21135">
        <v>70</v>
      </c>
      <c r="L21135">
        <v>265</v>
      </c>
      <c r="M21135">
        <v>1</v>
      </c>
      <c r="N21135">
        <v>1.3462500000000001E-90</v>
      </c>
      <c r="O21135">
        <v>845</v>
      </c>
    </row>
    <row r="21136" spans="1:15" x14ac:dyDescent="0.25">
      <c r="A21136" t="s">
        <v>21149</v>
      </c>
      <c r="B21136">
        <v>1242</v>
      </c>
      <c r="C21136" s="1" t="str">
        <f>HYPERLINK("http://www.rosaceae.org/gb/gbrowse/malus_x_domestica/?name=MDP0000297993","MDP0000297993")</f>
        <v>MDP0000297993</v>
      </c>
      <c r="D21136">
        <v>57.94</v>
      </c>
      <c r="E21136">
        <v>1265</v>
      </c>
      <c r="F21136">
        <v>532</v>
      </c>
      <c r="G21136">
        <v>91</v>
      </c>
      <c r="H21136">
        <v>17</v>
      </c>
      <c r="I21136">
        <v>1221</v>
      </c>
      <c r="J21136">
        <v>1</v>
      </c>
      <c r="K21136">
        <v>39</v>
      </c>
      <c r="L21136">
        <v>1272</v>
      </c>
      <c r="M21136">
        <v>1</v>
      </c>
      <c r="N21136">
        <v>0</v>
      </c>
      <c r="O21136">
        <v>3260</v>
      </c>
    </row>
    <row r="21137" spans="1:15" x14ac:dyDescent="0.25">
      <c r="A21137" t="s">
        <v>21150</v>
      </c>
      <c r="B21137">
        <v>155</v>
      </c>
      <c r="C21137" s="1" t="str">
        <f>HYPERLINK("http://www.rosaceae.org/gb/gbrowse/malus_x_domestica/?name=MDP0000206440","MDP0000206440")</f>
        <v>MDP0000206440</v>
      </c>
      <c r="D21137">
        <v>59.57</v>
      </c>
      <c r="E21137">
        <v>47</v>
      </c>
      <c r="F21137">
        <v>19</v>
      </c>
      <c r="G21137">
        <v>0</v>
      </c>
      <c r="H21137">
        <v>89</v>
      </c>
      <c r="I21137">
        <v>135</v>
      </c>
      <c r="J21137">
        <v>1</v>
      </c>
      <c r="K21137">
        <v>25</v>
      </c>
      <c r="L21137">
        <v>71</v>
      </c>
      <c r="M21137">
        <v>1</v>
      </c>
      <c r="N21137">
        <v>3.3058999999999998E-8</v>
      </c>
      <c r="O21137">
        <v>130</v>
      </c>
    </row>
    <row r="21138" spans="1:15" x14ac:dyDescent="0.25">
      <c r="A21138" t="s">
        <v>21151</v>
      </c>
      <c r="B21138">
        <v>284</v>
      </c>
      <c r="C21138" s="1" t="str">
        <f>HYPERLINK("http://www.rosaceae.org/gb/gbrowse/malus_x_domestica/?name=MDP0000250924","MDP0000250924")</f>
        <v>MDP0000250924</v>
      </c>
      <c r="D21138">
        <v>49.8</v>
      </c>
      <c r="E21138">
        <v>259</v>
      </c>
      <c r="F21138">
        <v>130</v>
      </c>
      <c r="G21138">
        <v>35</v>
      </c>
      <c r="H21138">
        <v>41</v>
      </c>
      <c r="I21138">
        <v>276</v>
      </c>
      <c r="J21138">
        <v>1</v>
      </c>
      <c r="K21138">
        <v>89</v>
      </c>
      <c r="L21138">
        <v>335</v>
      </c>
      <c r="M21138">
        <v>1</v>
      </c>
      <c r="N21138">
        <v>6.1395900000000003E-58</v>
      </c>
      <c r="O21138">
        <v>563</v>
      </c>
    </row>
    <row r="21139" spans="1:15" x14ac:dyDescent="0.25">
      <c r="A21139" t="s">
        <v>21152</v>
      </c>
      <c r="B21139">
        <v>435</v>
      </c>
      <c r="C21139" s="1" t="str">
        <f>HYPERLINK("http://www.rosaceae.org/gb/gbrowse/malus_x_domestica/?name=MDP0000262982","MDP0000262982")</f>
        <v>MDP0000262982</v>
      </c>
      <c r="D21139">
        <v>60.5</v>
      </c>
      <c r="E21139">
        <v>395</v>
      </c>
      <c r="F21139">
        <v>156</v>
      </c>
      <c r="G21139">
        <v>5</v>
      </c>
      <c r="H21139">
        <v>29</v>
      </c>
      <c r="I21139">
        <v>421</v>
      </c>
      <c r="J21139">
        <v>1</v>
      </c>
      <c r="K21139">
        <v>17</v>
      </c>
      <c r="L21139">
        <v>408</v>
      </c>
      <c r="M21139">
        <v>1</v>
      </c>
      <c r="N21139">
        <v>2.7168399999999998E-141</v>
      </c>
      <c r="O21139">
        <v>1284</v>
      </c>
    </row>
    <row r="21140" spans="1:15" x14ac:dyDescent="0.25">
      <c r="A21140" t="s">
        <v>21153</v>
      </c>
      <c r="B21140">
        <v>340</v>
      </c>
      <c r="C21140" s="1" t="str">
        <f>HYPERLINK("http://www.rosaceae.org/gb/gbrowse/malus_x_domestica/?name=MDP0000241928","MDP0000241928")</f>
        <v>MDP0000241928</v>
      </c>
      <c r="D21140">
        <v>71.680000000000007</v>
      </c>
      <c r="E21140">
        <v>339</v>
      </c>
      <c r="F21140">
        <v>96</v>
      </c>
      <c r="G21140">
        <v>9</v>
      </c>
      <c r="H21140">
        <v>1</v>
      </c>
      <c r="I21140">
        <v>339</v>
      </c>
      <c r="J21140">
        <v>1</v>
      </c>
      <c r="K21140">
        <v>1</v>
      </c>
      <c r="L21140">
        <v>330</v>
      </c>
      <c r="M21140">
        <v>1</v>
      </c>
      <c r="N21140">
        <v>8.3930500000000004E-138</v>
      </c>
      <c r="O21140">
        <v>1253</v>
      </c>
    </row>
    <row r="21141" spans="1:15" x14ac:dyDescent="0.25">
      <c r="A21141" t="s">
        <v>21154</v>
      </c>
      <c r="B21141">
        <v>387</v>
      </c>
      <c r="C21141" s="1" t="str">
        <f>HYPERLINK("http://www.rosaceae.org/gb/gbrowse/malus_x_domestica/?name=MDP0000581417","MDP0000581417")</f>
        <v>MDP0000581417</v>
      </c>
      <c r="D21141">
        <v>48.63</v>
      </c>
      <c r="E21141">
        <v>440</v>
      </c>
      <c r="F21141">
        <v>226</v>
      </c>
      <c r="G21141">
        <v>74</v>
      </c>
      <c r="H21141">
        <v>1</v>
      </c>
      <c r="I21141">
        <v>368</v>
      </c>
      <c r="J21141">
        <v>1</v>
      </c>
      <c r="K21141">
        <v>1</v>
      </c>
      <c r="L21141">
        <v>438</v>
      </c>
      <c r="M21141">
        <v>1</v>
      </c>
      <c r="N21141">
        <v>8.6262699999999999E-98</v>
      </c>
      <c r="O21141">
        <v>909</v>
      </c>
    </row>
    <row r="21142" spans="1:15" x14ac:dyDescent="0.25">
      <c r="A21142" t="s">
        <v>21155</v>
      </c>
      <c r="B21142">
        <v>432</v>
      </c>
      <c r="C21142" s="1" t="str">
        <f>HYPERLINK("http://www.rosaceae.org/gb/gbrowse/malus_x_domestica/?name=MDP0000165113","MDP0000165113")</f>
        <v>MDP0000165113</v>
      </c>
      <c r="D21142">
        <v>87.52</v>
      </c>
      <c r="E21142">
        <v>433</v>
      </c>
      <c r="F21142">
        <v>54</v>
      </c>
      <c r="G21142">
        <v>1</v>
      </c>
      <c r="H21142">
        <v>1</v>
      </c>
      <c r="I21142">
        <v>432</v>
      </c>
      <c r="J21142">
        <v>1</v>
      </c>
      <c r="K21142">
        <v>1</v>
      </c>
      <c r="L21142">
        <v>433</v>
      </c>
      <c r="M21142">
        <v>1</v>
      </c>
      <c r="N21142">
        <v>0</v>
      </c>
      <c r="O21142">
        <v>2049</v>
      </c>
    </row>
    <row r="21143" spans="1:15" x14ac:dyDescent="0.25">
      <c r="A21143" t="s">
        <v>21156</v>
      </c>
      <c r="B21143">
        <v>658</v>
      </c>
      <c r="C21143" s="1" t="str">
        <f>HYPERLINK("http://www.rosaceae.org/gb/gbrowse/malus_x_domestica/?name=MDP0000237586","MDP0000237586")</f>
        <v>MDP0000237586</v>
      </c>
      <c r="D21143">
        <v>75.39</v>
      </c>
      <c r="E21143">
        <v>630</v>
      </c>
      <c r="F21143">
        <v>155</v>
      </c>
      <c r="G21143">
        <v>2</v>
      </c>
      <c r="H21143">
        <v>1</v>
      </c>
      <c r="I21143">
        <v>630</v>
      </c>
      <c r="J21143">
        <v>1</v>
      </c>
      <c r="K21143">
        <v>25</v>
      </c>
      <c r="L21143">
        <v>652</v>
      </c>
      <c r="M21143">
        <v>1</v>
      </c>
      <c r="N21143">
        <v>0</v>
      </c>
      <c r="O21143">
        <v>2530</v>
      </c>
    </row>
    <row r="21144" spans="1:15" x14ac:dyDescent="0.25">
      <c r="A21144" t="s">
        <v>21157</v>
      </c>
      <c r="B21144">
        <v>1242</v>
      </c>
      <c r="C21144" s="1" t="str">
        <f>HYPERLINK("http://www.rosaceae.org/gb/gbrowse/malus_x_domestica/?name=MDP0000892426","MDP0000892426")</f>
        <v>MDP0000892426</v>
      </c>
      <c r="D21144">
        <v>77.760000000000005</v>
      </c>
      <c r="E21144">
        <v>1120</v>
      </c>
      <c r="F21144">
        <v>249</v>
      </c>
      <c r="G21144">
        <v>41</v>
      </c>
      <c r="H21144">
        <v>140</v>
      </c>
      <c r="I21144">
        <v>1242</v>
      </c>
      <c r="J21144">
        <v>1</v>
      </c>
      <c r="K21144">
        <v>4</v>
      </c>
      <c r="L21144">
        <v>1099</v>
      </c>
      <c r="M21144">
        <v>1</v>
      </c>
      <c r="N21144">
        <v>0</v>
      </c>
      <c r="O21144">
        <v>4497</v>
      </c>
    </row>
    <row r="21145" spans="1:15" x14ac:dyDescent="0.25">
      <c r="A21145" t="s">
        <v>21158</v>
      </c>
      <c r="B21145">
        <v>182</v>
      </c>
      <c r="C21145" s="1" t="str">
        <f>HYPERLINK("http://www.rosaceae.org/gb/gbrowse/malus_x_domestica/?name=MDP0000139560","MDP0000139560")</f>
        <v>MDP0000139560</v>
      </c>
      <c r="D21145">
        <v>47.82</v>
      </c>
      <c r="E21145">
        <v>184</v>
      </c>
      <c r="F21145">
        <v>96</v>
      </c>
      <c r="G21145">
        <v>32</v>
      </c>
      <c r="H21145">
        <v>1</v>
      </c>
      <c r="I21145">
        <v>180</v>
      </c>
      <c r="J21145">
        <v>1</v>
      </c>
      <c r="K21145">
        <v>1</v>
      </c>
      <c r="L21145">
        <v>156</v>
      </c>
      <c r="M21145">
        <v>1</v>
      </c>
      <c r="N21145">
        <v>2.3294600000000001E-32</v>
      </c>
      <c r="O21145">
        <v>340</v>
      </c>
    </row>
    <row r="21146" spans="1:15" x14ac:dyDescent="0.25">
      <c r="A21146" t="s">
        <v>21159</v>
      </c>
      <c r="B21146">
        <v>278</v>
      </c>
      <c r="C21146" s="1" t="str">
        <f>HYPERLINK("http://www.rosaceae.org/gb/gbrowse/malus_x_domestica/?name=MDP0000126942","MDP0000126942")</f>
        <v>MDP0000126942</v>
      </c>
      <c r="D21146">
        <v>56.88</v>
      </c>
      <c r="E21146">
        <v>334</v>
      </c>
      <c r="F21146">
        <v>144</v>
      </c>
      <c r="G21146">
        <v>59</v>
      </c>
      <c r="H21146">
        <v>4</v>
      </c>
      <c r="I21146">
        <v>278</v>
      </c>
      <c r="J21146">
        <v>1</v>
      </c>
      <c r="K21146">
        <v>6</v>
      </c>
      <c r="L21146">
        <v>339</v>
      </c>
      <c r="M21146">
        <v>1</v>
      </c>
      <c r="N21146">
        <v>3.8018000000000003E-99</v>
      </c>
      <c r="O21146">
        <v>919</v>
      </c>
    </row>
    <row r="21147" spans="1:15" x14ac:dyDescent="0.25">
      <c r="A21147" t="s">
        <v>21160</v>
      </c>
      <c r="B21147">
        <v>1069</v>
      </c>
      <c r="C21147" s="1" t="str">
        <f>HYPERLINK("http://www.rosaceae.org/gb/gbrowse/malus_x_domestica/?name=MDP0000260850","MDP0000260850")</f>
        <v>MDP0000260850</v>
      </c>
      <c r="D21147">
        <v>80.45</v>
      </c>
      <c r="E21147">
        <v>742</v>
      </c>
      <c r="F21147">
        <v>145</v>
      </c>
      <c r="G21147">
        <v>8</v>
      </c>
      <c r="H21147">
        <v>49</v>
      </c>
      <c r="I21147">
        <v>788</v>
      </c>
      <c r="J21147">
        <v>1</v>
      </c>
      <c r="K21147">
        <v>50</v>
      </c>
      <c r="L21147">
        <v>785</v>
      </c>
      <c r="M21147">
        <v>1</v>
      </c>
      <c r="N21147">
        <v>0</v>
      </c>
      <c r="O21147">
        <v>3215</v>
      </c>
    </row>
    <row r="21148" spans="1:15" x14ac:dyDescent="0.25">
      <c r="A21148" t="s">
        <v>21161</v>
      </c>
      <c r="B21148">
        <v>684</v>
      </c>
      <c r="C21148" s="1" t="str">
        <f>HYPERLINK("http://www.rosaceae.org/gb/gbrowse/malus_x_domestica/?name=MDP0000204823","MDP0000204823")</f>
        <v>MDP0000204823</v>
      </c>
      <c r="D21148">
        <v>69.55</v>
      </c>
      <c r="E21148">
        <v>578</v>
      </c>
      <c r="F21148">
        <v>176</v>
      </c>
      <c r="G21148">
        <v>7</v>
      </c>
      <c r="H21148">
        <v>1</v>
      </c>
      <c r="I21148">
        <v>571</v>
      </c>
      <c r="J21148">
        <v>1</v>
      </c>
      <c r="K21148">
        <v>1</v>
      </c>
      <c r="L21148">
        <v>578</v>
      </c>
      <c r="M21148">
        <v>1</v>
      </c>
      <c r="N21148">
        <v>0</v>
      </c>
      <c r="O21148">
        <v>2109</v>
      </c>
    </row>
    <row r="21149" spans="1:15" x14ac:dyDescent="0.25">
      <c r="A21149" t="s">
        <v>21162</v>
      </c>
      <c r="B21149">
        <v>440</v>
      </c>
      <c r="C21149" s="1" t="str">
        <f>HYPERLINK("http://www.rosaceae.org/gb/gbrowse/malus_x_domestica/?name=MDP0000265359","MDP0000265359")</f>
        <v>MDP0000265359</v>
      </c>
      <c r="D21149">
        <v>45.62</v>
      </c>
      <c r="E21149">
        <v>366</v>
      </c>
      <c r="F21149">
        <v>199</v>
      </c>
      <c r="G21149">
        <v>75</v>
      </c>
      <c r="H21149">
        <v>105</v>
      </c>
      <c r="I21149">
        <v>431</v>
      </c>
      <c r="J21149">
        <v>1</v>
      </c>
      <c r="K21149">
        <v>1</v>
      </c>
      <c r="L21149">
        <v>330</v>
      </c>
      <c r="M21149">
        <v>1</v>
      </c>
      <c r="N21149">
        <v>1.6399500000000001E-69</v>
      </c>
      <c r="O21149">
        <v>665</v>
      </c>
    </row>
    <row r="21150" spans="1:15" x14ac:dyDescent="0.25">
      <c r="A21150" t="s">
        <v>21163</v>
      </c>
      <c r="B21150">
        <v>516</v>
      </c>
      <c r="C21150" s="1" t="str">
        <f>HYPERLINK("http://www.rosaceae.org/gb/gbrowse/malus_x_domestica/?name=MDP0000261311","MDP0000261311")</f>
        <v>MDP0000261311</v>
      </c>
      <c r="D21150">
        <v>76.489999999999995</v>
      </c>
      <c r="E21150">
        <v>302</v>
      </c>
      <c r="F21150">
        <v>71</v>
      </c>
      <c r="G21150">
        <v>3</v>
      </c>
      <c r="H21150">
        <v>216</v>
      </c>
      <c r="I21150">
        <v>514</v>
      </c>
      <c r="J21150">
        <v>1</v>
      </c>
      <c r="K21150">
        <v>491</v>
      </c>
      <c r="L21150">
        <v>792</v>
      </c>
      <c r="M21150">
        <v>1</v>
      </c>
      <c r="N21150">
        <v>1.3964699999999999E-131</v>
      </c>
      <c r="O21150">
        <v>1201</v>
      </c>
    </row>
    <row r="21151" spans="1:15" x14ac:dyDescent="0.25">
      <c r="A21151" t="s">
        <v>21164</v>
      </c>
      <c r="B21151">
        <v>654</v>
      </c>
      <c r="C21151" s="1" t="str">
        <f>HYPERLINK("http://www.rosaceae.org/gb/gbrowse/malus_x_domestica/?name=MDP0000537155","MDP0000537155")</f>
        <v>MDP0000537155</v>
      </c>
      <c r="D21151">
        <v>74.400000000000006</v>
      </c>
      <c r="E21151">
        <v>500</v>
      </c>
      <c r="F21151">
        <v>128</v>
      </c>
      <c r="G21151">
        <v>31</v>
      </c>
      <c r="H21151">
        <v>1</v>
      </c>
      <c r="I21151">
        <v>489</v>
      </c>
      <c r="J21151">
        <v>1</v>
      </c>
      <c r="K21151">
        <v>1</v>
      </c>
      <c r="L21151">
        <v>480</v>
      </c>
      <c r="M21151">
        <v>1</v>
      </c>
      <c r="N21151">
        <v>0</v>
      </c>
      <c r="O21151">
        <v>2005</v>
      </c>
    </row>
    <row r="21152" spans="1:15" x14ac:dyDescent="0.25">
      <c r="A21152" t="s">
        <v>21165</v>
      </c>
      <c r="B21152">
        <v>270</v>
      </c>
      <c r="C21152" s="1" t="str">
        <f>HYPERLINK("http://www.rosaceae.org/gb/gbrowse/malus_x_domestica/?name=MDP0000187484","MDP0000187484")</f>
        <v>MDP0000187484</v>
      </c>
      <c r="D21152">
        <v>72.849999999999994</v>
      </c>
      <c r="E21152">
        <v>221</v>
      </c>
      <c r="F21152">
        <v>60</v>
      </c>
      <c r="G21152">
        <v>3</v>
      </c>
      <c r="H21152">
        <v>2</v>
      </c>
      <c r="I21152">
        <v>220</v>
      </c>
      <c r="J21152">
        <v>1</v>
      </c>
      <c r="K21152">
        <v>53</v>
      </c>
      <c r="L21152">
        <v>272</v>
      </c>
      <c r="M21152">
        <v>1</v>
      </c>
      <c r="N21152">
        <v>7.33977E-87</v>
      </c>
      <c r="O21152">
        <v>812</v>
      </c>
    </row>
    <row r="21153" spans="1:15" x14ac:dyDescent="0.25">
      <c r="A21153" t="s">
        <v>21166</v>
      </c>
      <c r="B21153">
        <v>956</v>
      </c>
      <c r="C21153" s="1" t="str">
        <f>HYPERLINK("http://www.rosaceae.org/gb/gbrowse/malus_x_domestica/?name=MDP0000876280","MDP0000876280")</f>
        <v>MDP0000876280</v>
      </c>
      <c r="D21153">
        <v>72.52</v>
      </c>
      <c r="E21153">
        <v>939</v>
      </c>
      <c r="F21153">
        <v>258</v>
      </c>
      <c r="G21153">
        <v>10</v>
      </c>
      <c r="H21153">
        <v>28</v>
      </c>
      <c r="I21153">
        <v>956</v>
      </c>
      <c r="J21153">
        <v>1</v>
      </c>
      <c r="K21153">
        <v>25</v>
      </c>
      <c r="L21153">
        <v>963</v>
      </c>
      <c r="M21153">
        <v>1</v>
      </c>
      <c r="N21153">
        <v>0</v>
      </c>
      <c r="O21153">
        <v>3460</v>
      </c>
    </row>
    <row r="21154" spans="1:15" x14ac:dyDescent="0.25">
      <c r="A21154" t="s">
        <v>21167</v>
      </c>
      <c r="B21154">
        <v>509</v>
      </c>
      <c r="C21154" s="1" t="str">
        <f>HYPERLINK("http://www.rosaceae.org/gb/gbrowse/malus_x_domestica/?name=MDP0000744216","MDP0000744216")</f>
        <v>MDP0000744216</v>
      </c>
      <c r="D21154">
        <v>69.78</v>
      </c>
      <c r="E21154">
        <v>278</v>
      </c>
      <c r="F21154">
        <v>84</v>
      </c>
      <c r="G21154">
        <v>7</v>
      </c>
      <c r="H21154">
        <v>1</v>
      </c>
      <c r="I21154">
        <v>271</v>
      </c>
      <c r="J21154">
        <v>1</v>
      </c>
      <c r="K21154">
        <v>1</v>
      </c>
      <c r="L21154">
        <v>278</v>
      </c>
      <c r="M21154">
        <v>1</v>
      </c>
      <c r="N21154">
        <v>5.8168299999999995E-100</v>
      </c>
      <c r="O21154">
        <v>929</v>
      </c>
    </row>
    <row r="21155" spans="1:15" x14ac:dyDescent="0.25">
      <c r="A21155" t="s">
        <v>21168</v>
      </c>
      <c r="B21155">
        <v>294</v>
      </c>
      <c r="C21155" s="1" t="str">
        <f>HYPERLINK("http://www.rosaceae.org/gb/gbrowse/malus_x_domestica/?name=MDP0000184538","MDP0000184538")</f>
        <v>MDP0000184538</v>
      </c>
      <c r="D21155">
        <v>50.78</v>
      </c>
      <c r="E21155">
        <v>317</v>
      </c>
      <c r="F21155">
        <v>156</v>
      </c>
      <c r="G21155">
        <v>66</v>
      </c>
      <c r="H21155">
        <v>1</v>
      </c>
      <c r="I21155">
        <v>291</v>
      </c>
      <c r="J21155">
        <v>1</v>
      </c>
      <c r="K21155">
        <v>1</v>
      </c>
      <c r="L21155">
        <v>277</v>
      </c>
      <c r="M21155">
        <v>1</v>
      </c>
      <c r="N21155">
        <v>1.95625E-70</v>
      </c>
      <c r="O21155">
        <v>671</v>
      </c>
    </row>
    <row r="21156" spans="1:15" x14ac:dyDescent="0.25">
      <c r="A21156" t="s">
        <v>21169</v>
      </c>
      <c r="B21156">
        <v>574</v>
      </c>
      <c r="C21156" s="1" t="str">
        <f>HYPERLINK("http://www.rosaceae.org/gb/gbrowse/malus_x_domestica/?name=MDP0000178796","MDP0000178796")</f>
        <v>MDP0000178796</v>
      </c>
      <c r="D21156">
        <v>84.52</v>
      </c>
      <c r="E21156">
        <v>517</v>
      </c>
      <c r="F21156">
        <v>80</v>
      </c>
      <c r="G21156">
        <v>0</v>
      </c>
      <c r="H21156">
        <v>58</v>
      </c>
      <c r="I21156">
        <v>574</v>
      </c>
      <c r="J21156">
        <v>1</v>
      </c>
      <c r="K21156">
        <v>14</v>
      </c>
      <c r="L21156">
        <v>530</v>
      </c>
      <c r="M21156">
        <v>1</v>
      </c>
      <c r="N21156">
        <v>0</v>
      </c>
      <c r="O21156">
        <v>2361</v>
      </c>
    </row>
    <row r="21157" spans="1:15" x14ac:dyDescent="0.25">
      <c r="A21157" t="s">
        <v>21170</v>
      </c>
      <c r="B21157">
        <v>324</v>
      </c>
      <c r="C21157" s="1" t="str">
        <f>HYPERLINK("http://www.rosaceae.org/gb/gbrowse/malus_x_domestica/?name=MDP0000299496","MDP0000299496")</f>
        <v>MDP0000299496</v>
      </c>
      <c r="D21157">
        <v>31.32</v>
      </c>
      <c r="E21157">
        <v>166</v>
      </c>
      <c r="F21157">
        <v>114</v>
      </c>
      <c r="G21157">
        <v>46</v>
      </c>
      <c r="H21157">
        <v>1</v>
      </c>
      <c r="I21157">
        <v>120</v>
      </c>
      <c r="J21157">
        <v>1</v>
      </c>
      <c r="K21157">
        <v>495</v>
      </c>
      <c r="L21157">
        <v>660</v>
      </c>
      <c r="M21157">
        <v>1</v>
      </c>
      <c r="N21157">
        <v>4.2942800000000002E-20</v>
      </c>
      <c r="O21157">
        <v>238</v>
      </c>
    </row>
    <row r="21158" spans="1:15" x14ac:dyDescent="0.25">
      <c r="A21158" t="s">
        <v>21171</v>
      </c>
      <c r="B21158">
        <v>256</v>
      </c>
      <c r="C21158" s="1" t="str">
        <f>HYPERLINK("http://www.rosaceae.org/gb/gbrowse/malus_x_domestica/?name=MDP0000186097","MDP0000186097")</f>
        <v>MDP0000186097</v>
      </c>
      <c r="D21158">
        <v>43.47</v>
      </c>
      <c r="E21158">
        <v>92</v>
      </c>
      <c r="F21158">
        <v>52</v>
      </c>
      <c r="G21158">
        <v>7</v>
      </c>
      <c r="H21158">
        <v>171</v>
      </c>
      <c r="I21158">
        <v>256</v>
      </c>
      <c r="J21158">
        <v>1</v>
      </c>
      <c r="K21158">
        <v>379</v>
      </c>
      <c r="L21158">
        <v>469</v>
      </c>
      <c r="M21158">
        <v>1</v>
      </c>
      <c r="N21158">
        <v>3.9727599999999999E-11</v>
      </c>
      <c r="O21158">
        <v>159</v>
      </c>
    </row>
    <row r="21159" spans="1:15" x14ac:dyDescent="0.25">
      <c r="A21159" t="s">
        <v>21172</v>
      </c>
      <c r="B21159">
        <v>371</v>
      </c>
      <c r="C21159" s="1" t="str">
        <f>HYPERLINK("http://www.rosaceae.org/gb/gbrowse/malus_x_domestica/?name=MDP0000318637","MDP0000318637")</f>
        <v>MDP0000318637</v>
      </c>
      <c r="D21159">
        <v>40.18</v>
      </c>
      <c r="E21159">
        <v>433</v>
      </c>
      <c r="F21159">
        <v>259</v>
      </c>
      <c r="G21159">
        <v>98</v>
      </c>
      <c r="H21159">
        <v>2</v>
      </c>
      <c r="I21159">
        <v>356</v>
      </c>
      <c r="J21159">
        <v>1</v>
      </c>
      <c r="K21159">
        <v>8</v>
      </c>
      <c r="L21159">
        <v>420</v>
      </c>
      <c r="M21159">
        <v>1</v>
      </c>
      <c r="N21159">
        <v>3.0087600000000002E-76</v>
      </c>
      <c r="O21159">
        <v>723</v>
      </c>
    </row>
    <row r="21160" spans="1:15" x14ac:dyDescent="0.25">
      <c r="A21160" t="s">
        <v>21173</v>
      </c>
      <c r="B21160">
        <v>744</v>
      </c>
      <c r="C21160" s="1" t="str">
        <f>HYPERLINK("http://www.rosaceae.org/gb/gbrowse/malus_x_domestica/?name=MDP0000250177","MDP0000250177")</f>
        <v>MDP0000250177</v>
      </c>
      <c r="D21160">
        <v>59.79</v>
      </c>
      <c r="E21160">
        <v>597</v>
      </c>
      <c r="F21160">
        <v>240</v>
      </c>
      <c r="G21160">
        <v>69</v>
      </c>
      <c r="H21160">
        <v>8</v>
      </c>
      <c r="I21160">
        <v>555</v>
      </c>
      <c r="J21160">
        <v>1</v>
      </c>
      <c r="K21160">
        <v>512</v>
      </c>
      <c r="L21160">
        <v>1088</v>
      </c>
      <c r="M21160">
        <v>1</v>
      </c>
      <c r="N21160">
        <v>0</v>
      </c>
      <c r="O21160">
        <v>1707</v>
      </c>
    </row>
    <row r="21161" spans="1:15" x14ac:dyDescent="0.25">
      <c r="A21161" t="s">
        <v>21174</v>
      </c>
      <c r="B21161">
        <v>165</v>
      </c>
      <c r="C21161" s="1" t="str">
        <f>HYPERLINK("http://www.rosaceae.org/gb/gbrowse/malus_x_domestica/?name=MDP0000696333","MDP0000696333")</f>
        <v>MDP0000696333</v>
      </c>
      <c r="D21161">
        <v>42.3</v>
      </c>
      <c r="E21161">
        <v>156</v>
      </c>
      <c r="F21161">
        <v>90</v>
      </c>
      <c r="G21161">
        <v>4</v>
      </c>
      <c r="H21161">
        <v>1</v>
      </c>
      <c r="I21161">
        <v>156</v>
      </c>
      <c r="J21161">
        <v>1</v>
      </c>
      <c r="K21161">
        <v>3</v>
      </c>
      <c r="L21161">
        <v>154</v>
      </c>
      <c r="M21161">
        <v>1</v>
      </c>
      <c r="N21161">
        <v>6.7461000000000004E-32</v>
      </c>
      <c r="O21161">
        <v>335</v>
      </c>
    </row>
    <row r="21162" spans="1:15" x14ac:dyDescent="0.25">
      <c r="A21162" t="s">
        <v>21175</v>
      </c>
      <c r="B21162">
        <v>265</v>
      </c>
      <c r="C21162" s="1" t="str">
        <f>HYPERLINK("http://www.rosaceae.org/gb/gbrowse/malus_x_domestica/?name=MDP0000251604","MDP0000251604")</f>
        <v>MDP0000251604</v>
      </c>
      <c r="D21162">
        <v>36.729999999999997</v>
      </c>
      <c r="E21162">
        <v>196</v>
      </c>
      <c r="F21162">
        <v>124</v>
      </c>
      <c r="G21162">
        <v>44</v>
      </c>
      <c r="H21162">
        <v>97</v>
      </c>
      <c r="I21162">
        <v>249</v>
      </c>
      <c r="J21162">
        <v>1</v>
      </c>
      <c r="K21162">
        <v>301</v>
      </c>
      <c r="L21162">
        <v>495</v>
      </c>
      <c r="M21162">
        <v>1</v>
      </c>
      <c r="N21162">
        <v>6.5070699999999999E-24</v>
      </c>
      <c r="O21162">
        <v>269</v>
      </c>
    </row>
    <row r="21163" spans="1:15" x14ac:dyDescent="0.25">
      <c r="A21163" t="s">
        <v>21176</v>
      </c>
      <c r="B21163">
        <v>700</v>
      </c>
      <c r="C21163" s="1" t="str">
        <f>HYPERLINK("http://www.rosaceae.org/gb/gbrowse/malus_x_domestica/?name=MDP0000299358","MDP0000299358")</f>
        <v>MDP0000299358</v>
      </c>
      <c r="D21163">
        <v>83.43</v>
      </c>
      <c r="E21163">
        <v>513</v>
      </c>
      <c r="F21163">
        <v>85</v>
      </c>
      <c r="G21163">
        <v>4</v>
      </c>
      <c r="H21163">
        <v>188</v>
      </c>
      <c r="I21163">
        <v>700</v>
      </c>
      <c r="J21163">
        <v>1</v>
      </c>
      <c r="K21163">
        <v>1</v>
      </c>
      <c r="L21163">
        <v>509</v>
      </c>
      <c r="M21163">
        <v>1</v>
      </c>
      <c r="N21163">
        <v>0</v>
      </c>
      <c r="O21163">
        <v>2350</v>
      </c>
    </row>
    <row r="21164" spans="1:15" x14ac:dyDescent="0.25">
      <c r="A21164" t="s">
        <v>21177</v>
      </c>
      <c r="B21164">
        <v>185</v>
      </c>
      <c r="C21164" s="1" t="str">
        <f>HYPERLINK("http://www.rosaceae.org/gb/gbrowse/malus_x_domestica/?name=MDP0000294868","MDP0000294868")</f>
        <v>MDP0000294868</v>
      </c>
      <c r="D21164">
        <v>61.6</v>
      </c>
      <c r="E21164">
        <v>224</v>
      </c>
      <c r="F21164">
        <v>86</v>
      </c>
      <c r="G21164">
        <v>40</v>
      </c>
      <c r="H21164">
        <v>1</v>
      </c>
      <c r="I21164">
        <v>185</v>
      </c>
      <c r="J21164">
        <v>1</v>
      </c>
      <c r="K21164">
        <v>115</v>
      </c>
      <c r="L21164">
        <v>337</v>
      </c>
      <c r="M21164">
        <v>1</v>
      </c>
      <c r="N21164">
        <v>2.7503499999999998E-68</v>
      </c>
      <c r="O21164">
        <v>650</v>
      </c>
    </row>
    <row r="21165" spans="1:15" x14ac:dyDescent="0.25">
      <c r="A21165" t="s">
        <v>21178</v>
      </c>
      <c r="B21165">
        <v>314</v>
      </c>
      <c r="C21165" s="1" t="str">
        <f>HYPERLINK("http://www.rosaceae.org/gb/gbrowse/malus_x_domestica/?name=MDP0000168886","MDP0000168886")</f>
        <v>MDP0000168886</v>
      </c>
      <c r="D21165">
        <v>63.57</v>
      </c>
      <c r="E21165">
        <v>302</v>
      </c>
      <c r="F21165">
        <v>110</v>
      </c>
      <c r="G21165">
        <v>6</v>
      </c>
      <c r="H21165">
        <v>1</v>
      </c>
      <c r="I21165">
        <v>301</v>
      </c>
      <c r="J21165">
        <v>1</v>
      </c>
      <c r="K21165">
        <v>16</v>
      </c>
      <c r="L21165">
        <v>312</v>
      </c>
      <c r="M21165">
        <v>1</v>
      </c>
      <c r="N21165">
        <v>1.4836399999999999E-101</v>
      </c>
      <c r="O21165">
        <v>940</v>
      </c>
    </row>
    <row r="21166" spans="1:15" x14ac:dyDescent="0.25">
      <c r="A21166" t="s">
        <v>21179</v>
      </c>
      <c r="B21166">
        <v>504</v>
      </c>
      <c r="C21166" s="1" t="str">
        <f>HYPERLINK("http://www.rosaceae.org/gb/gbrowse/malus_x_domestica/?name=MDP0000294628","MDP0000294628")</f>
        <v>MDP0000294628</v>
      </c>
      <c r="D21166">
        <v>85.35</v>
      </c>
      <c r="E21166">
        <v>280</v>
      </c>
      <c r="F21166">
        <v>41</v>
      </c>
      <c r="G21166">
        <v>0</v>
      </c>
      <c r="H21166">
        <v>162</v>
      </c>
      <c r="I21166">
        <v>441</v>
      </c>
      <c r="J21166">
        <v>1</v>
      </c>
      <c r="K21166">
        <v>42</v>
      </c>
      <c r="L21166">
        <v>321</v>
      </c>
      <c r="M21166">
        <v>1</v>
      </c>
      <c r="N21166">
        <v>8.97684E-143</v>
      </c>
      <c r="O21166">
        <v>1298</v>
      </c>
    </row>
    <row r="21167" spans="1:15" x14ac:dyDescent="0.25">
      <c r="A21167" t="s">
        <v>21180</v>
      </c>
      <c r="B21167">
        <v>503</v>
      </c>
      <c r="C21167" s="1" t="str">
        <f>HYPERLINK("http://www.rosaceae.org/gb/gbrowse/malus_x_domestica/?name=MDP0000149947","MDP0000149947")</f>
        <v>MDP0000149947</v>
      </c>
      <c r="D21167">
        <v>42.03</v>
      </c>
      <c r="E21167">
        <v>383</v>
      </c>
      <c r="F21167">
        <v>222</v>
      </c>
      <c r="G21167">
        <v>30</v>
      </c>
      <c r="H21167">
        <v>72</v>
      </c>
      <c r="I21167">
        <v>451</v>
      </c>
      <c r="J21167">
        <v>1</v>
      </c>
      <c r="K21167">
        <v>614</v>
      </c>
      <c r="L21167">
        <v>969</v>
      </c>
      <c r="M21167">
        <v>1</v>
      </c>
      <c r="N21167">
        <v>2.2932300000000001E-64</v>
      </c>
      <c r="O21167">
        <v>622</v>
      </c>
    </row>
    <row r="21168" spans="1:15" x14ac:dyDescent="0.25">
      <c r="A21168" t="s">
        <v>21181</v>
      </c>
      <c r="B21168">
        <v>216</v>
      </c>
      <c r="C21168" s="1" t="str">
        <f>HYPERLINK("http://www.rosaceae.org/gb/gbrowse/malus_x_domestica/?name=MDP0000166262","MDP0000166262")</f>
        <v>MDP0000166262</v>
      </c>
      <c r="D21168">
        <v>67.59</v>
      </c>
      <c r="E21168">
        <v>216</v>
      </c>
      <c r="F21168">
        <v>70</v>
      </c>
      <c r="G21168">
        <v>1</v>
      </c>
      <c r="H21168">
        <v>1</v>
      </c>
      <c r="I21168">
        <v>215</v>
      </c>
      <c r="J21168">
        <v>1</v>
      </c>
      <c r="K21168">
        <v>1</v>
      </c>
      <c r="L21168">
        <v>216</v>
      </c>
      <c r="M21168">
        <v>1</v>
      </c>
      <c r="N21168">
        <v>2.5066900000000001E-79</v>
      </c>
      <c r="O21168">
        <v>746</v>
      </c>
    </row>
    <row r="21169" spans="1:15" x14ac:dyDescent="0.25">
      <c r="A21169" t="s">
        <v>21182</v>
      </c>
      <c r="B21169">
        <v>149</v>
      </c>
      <c r="C21169" s="1" t="str">
        <f>HYPERLINK("http://www.rosaceae.org/gb/gbrowse/malus_x_domestica/?name=MDP0000258117","MDP0000258117")</f>
        <v>MDP0000258117</v>
      </c>
      <c r="D21169">
        <v>72.569999999999993</v>
      </c>
      <c r="E21169">
        <v>175</v>
      </c>
      <c r="F21169">
        <v>48</v>
      </c>
      <c r="G21169">
        <v>27</v>
      </c>
      <c r="H21169">
        <v>1</v>
      </c>
      <c r="I21169">
        <v>148</v>
      </c>
      <c r="J21169">
        <v>1</v>
      </c>
      <c r="K21169">
        <v>1</v>
      </c>
      <c r="L21169">
        <v>175</v>
      </c>
      <c r="M21169">
        <v>1</v>
      </c>
      <c r="N21169">
        <v>5.5915800000000003E-66</v>
      </c>
      <c r="O21169">
        <v>628</v>
      </c>
    </row>
    <row r="21170" spans="1:15" x14ac:dyDescent="0.25">
      <c r="A21170" t="s">
        <v>21183</v>
      </c>
      <c r="B21170">
        <v>478</v>
      </c>
      <c r="C21170" s="1" t="str">
        <f>HYPERLINK("http://www.rosaceae.org/gb/gbrowse/malus_x_domestica/?name=MDP0000207110","MDP0000207110")</f>
        <v>MDP0000207110</v>
      </c>
      <c r="D21170">
        <v>92.48</v>
      </c>
      <c r="E21170">
        <v>479</v>
      </c>
      <c r="F21170">
        <v>36</v>
      </c>
      <c r="G21170">
        <v>2</v>
      </c>
      <c r="H21170">
        <v>1</v>
      </c>
      <c r="I21170">
        <v>478</v>
      </c>
      <c r="J21170">
        <v>1</v>
      </c>
      <c r="K21170">
        <v>1</v>
      </c>
      <c r="L21170">
        <v>478</v>
      </c>
      <c r="M21170">
        <v>1</v>
      </c>
      <c r="N21170">
        <v>0</v>
      </c>
      <c r="O21170">
        <v>2345</v>
      </c>
    </row>
    <row r="21171" spans="1:15" x14ac:dyDescent="0.25">
      <c r="A21171" t="s">
        <v>21184</v>
      </c>
      <c r="B21171">
        <v>112</v>
      </c>
      <c r="C21171" s="1" t="str">
        <f>HYPERLINK("http://www.rosaceae.org/gb/gbrowse/malus_x_domestica/?name=MDP0000267318","MDP0000267318")</f>
        <v>MDP0000267318</v>
      </c>
      <c r="D21171">
        <v>90.82</v>
      </c>
      <c r="E21171">
        <v>109</v>
      </c>
      <c r="F21171">
        <v>10</v>
      </c>
      <c r="G21171">
        <v>0</v>
      </c>
      <c r="H21171">
        <v>3</v>
      </c>
      <c r="I21171">
        <v>111</v>
      </c>
      <c r="J21171">
        <v>1</v>
      </c>
      <c r="K21171">
        <v>807</v>
      </c>
      <c r="L21171">
        <v>915</v>
      </c>
      <c r="M21171">
        <v>1</v>
      </c>
      <c r="N21171">
        <v>1.72531E-63</v>
      </c>
      <c r="O21171">
        <v>605</v>
      </c>
    </row>
    <row r="21172" spans="1:15" x14ac:dyDescent="0.25">
      <c r="A21172" t="s">
        <v>21185</v>
      </c>
      <c r="B21172">
        <v>495</v>
      </c>
      <c r="C21172" s="1" t="str">
        <f>HYPERLINK("http://www.rosaceae.org/gb/gbrowse/malus_x_domestica/?name=MDP0000295191","MDP0000295191")</f>
        <v>MDP0000295191</v>
      </c>
      <c r="D21172">
        <v>55.06</v>
      </c>
      <c r="E21172">
        <v>227</v>
      </c>
      <c r="F21172">
        <v>102</v>
      </c>
      <c r="G21172">
        <v>1</v>
      </c>
      <c r="H21172">
        <v>270</v>
      </c>
      <c r="I21172">
        <v>495</v>
      </c>
      <c r="J21172">
        <v>1</v>
      </c>
      <c r="K21172">
        <v>134</v>
      </c>
      <c r="L21172">
        <v>360</v>
      </c>
      <c r="M21172">
        <v>1</v>
      </c>
      <c r="N21172">
        <v>1.3047300000000001E-68</v>
      </c>
      <c r="O21172">
        <v>658</v>
      </c>
    </row>
    <row r="21173" spans="1:15" x14ac:dyDescent="0.25">
      <c r="A21173" t="s">
        <v>21186</v>
      </c>
      <c r="B21173">
        <v>189</v>
      </c>
      <c r="C21173" s="1" t="str">
        <f>HYPERLINK("http://www.rosaceae.org/gb/gbrowse/malus_x_domestica/?name=MDP0000313210","MDP0000313210")</f>
        <v>MDP0000313210</v>
      </c>
      <c r="D21173">
        <v>62.26</v>
      </c>
      <c r="E21173">
        <v>106</v>
      </c>
      <c r="F21173">
        <v>40</v>
      </c>
      <c r="G21173">
        <v>1</v>
      </c>
      <c r="H21173">
        <v>3</v>
      </c>
      <c r="I21173">
        <v>107</v>
      </c>
      <c r="J21173">
        <v>1</v>
      </c>
      <c r="K21173">
        <v>37</v>
      </c>
      <c r="L21173">
        <v>142</v>
      </c>
      <c r="M21173">
        <v>1</v>
      </c>
      <c r="N21173">
        <v>2.6154300000000001E-28</v>
      </c>
      <c r="O21173">
        <v>305</v>
      </c>
    </row>
    <row r="21174" spans="1:15" x14ac:dyDescent="0.25">
      <c r="A21174" t="s">
        <v>21187</v>
      </c>
      <c r="B21174">
        <v>488</v>
      </c>
      <c r="C21174" s="1" t="str">
        <f>HYPERLINK("http://www.rosaceae.org/gb/gbrowse/malus_x_domestica/?name=MDP0000058337","MDP0000058337")</f>
        <v>MDP0000058337</v>
      </c>
      <c r="D21174">
        <v>59.42</v>
      </c>
      <c r="E21174">
        <v>488</v>
      </c>
      <c r="F21174">
        <v>198</v>
      </c>
      <c r="G21174">
        <v>9</v>
      </c>
      <c r="H21174">
        <v>1</v>
      </c>
      <c r="I21174">
        <v>486</v>
      </c>
      <c r="J21174">
        <v>1</v>
      </c>
      <c r="K21174">
        <v>1</v>
      </c>
      <c r="L21174">
        <v>481</v>
      </c>
      <c r="M21174">
        <v>1</v>
      </c>
      <c r="N21174">
        <v>1.70849E-162</v>
      </c>
      <c r="O21174">
        <v>1468</v>
      </c>
    </row>
    <row r="21175" spans="1:15" x14ac:dyDescent="0.25">
      <c r="A21175" t="s">
        <v>21188</v>
      </c>
      <c r="B21175">
        <v>458</v>
      </c>
      <c r="C21175" s="1" t="str">
        <f>HYPERLINK("http://www.rosaceae.org/gb/gbrowse/malus_x_domestica/?name=MDP0000259633","MDP0000259633")</f>
        <v>MDP0000259633</v>
      </c>
      <c r="D21175">
        <v>75.760000000000005</v>
      </c>
      <c r="E21175">
        <v>491</v>
      </c>
      <c r="F21175">
        <v>119</v>
      </c>
      <c r="G21175">
        <v>39</v>
      </c>
      <c r="H21175">
        <v>5</v>
      </c>
      <c r="I21175">
        <v>458</v>
      </c>
      <c r="J21175">
        <v>1</v>
      </c>
      <c r="K21175">
        <v>4</v>
      </c>
      <c r="L21175">
        <v>492</v>
      </c>
      <c r="M21175">
        <v>1</v>
      </c>
      <c r="N21175">
        <v>0</v>
      </c>
      <c r="O21175">
        <v>1950</v>
      </c>
    </row>
    <row r="21176" spans="1:15" x14ac:dyDescent="0.25">
      <c r="A21176" t="s">
        <v>21189</v>
      </c>
      <c r="B21176">
        <v>146</v>
      </c>
      <c r="C21176" s="1" t="str">
        <f>HYPERLINK("http://www.rosaceae.org/gb/gbrowse/malus_x_domestica/?name=MDP0000219444","MDP0000219444")</f>
        <v>MDP0000219444</v>
      </c>
      <c r="D21176">
        <v>61.11</v>
      </c>
      <c r="E21176">
        <v>72</v>
      </c>
      <c r="F21176">
        <v>28</v>
      </c>
      <c r="G21176">
        <v>4</v>
      </c>
      <c r="H21176">
        <v>6</v>
      </c>
      <c r="I21176">
        <v>77</v>
      </c>
      <c r="J21176">
        <v>1</v>
      </c>
      <c r="K21176">
        <v>139</v>
      </c>
      <c r="L21176">
        <v>206</v>
      </c>
      <c r="M21176">
        <v>1</v>
      </c>
      <c r="N21176">
        <v>2.2888000000000001E-18</v>
      </c>
      <c r="O21176">
        <v>217</v>
      </c>
    </row>
    <row r="21177" spans="1:15" x14ac:dyDescent="0.25">
      <c r="A21177" t="s">
        <v>21190</v>
      </c>
      <c r="B21177">
        <v>1137</v>
      </c>
      <c r="C21177" s="1" t="str">
        <f>HYPERLINK("http://www.rosaceae.org/gb/gbrowse/malus_x_domestica/?name=MDP0000211947","MDP0000211947")</f>
        <v>MDP0000211947</v>
      </c>
      <c r="D21177">
        <v>66.09</v>
      </c>
      <c r="E21177">
        <v>702</v>
      </c>
      <c r="F21177">
        <v>238</v>
      </c>
      <c r="G21177">
        <v>28</v>
      </c>
      <c r="H21177">
        <v>29</v>
      </c>
      <c r="I21177">
        <v>706</v>
      </c>
      <c r="J21177">
        <v>1</v>
      </c>
      <c r="K21177">
        <v>27</v>
      </c>
      <c r="L21177">
        <v>724</v>
      </c>
      <c r="M21177">
        <v>1</v>
      </c>
      <c r="N21177">
        <v>0</v>
      </c>
      <c r="O21177">
        <v>2183</v>
      </c>
    </row>
    <row r="21178" spans="1:15" x14ac:dyDescent="0.25">
      <c r="A21178" t="s">
        <v>21191</v>
      </c>
      <c r="B21178">
        <v>136</v>
      </c>
      <c r="C21178" s="1" t="str">
        <f>HYPERLINK("http://www.rosaceae.org/gb/gbrowse/malus_x_domestica/?name=MDP0000802300","MDP0000802300")</f>
        <v>MDP0000802300</v>
      </c>
      <c r="D21178">
        <v>56.52</v>
      </c>
      <c r="E21178">
        <v>138</v>
      </c>
      <c r="F21178">
        <v>60</v>
      </c>
      <c r="G21178">
        <v>4</v>
      </c>
      <c r="H21178">
        <v>1</v>
      </c>
      <c r="I21178">
        <v>136</v>
      </c>
      <c r="J21178">
        <v>1</v>
      </c>
      <c r="K21178">
        <v>13</v>
      </c>
      <c r="L21178">
        <v>148</v>
      </c>
      <c r="M21178">
        <v>1</v>
      </c>
      <c r="N21178">
        <v>2.35231E-34</v>
      </c>
      <c r="O21178">
        <v>355</v>
      </c>
    </row>
    <row r="21179" spans="1:15" x14ac:dyDescent="0.25">
      <c r="A21179" t="s">
        <v>21192</v>
      </c>
      <c r="B21179">
        <v>640</v>
      </c>
      <c r="C21179" s="1" t="str">
        <f>HYPERLINK("http://www.rosaceae.org/gb/gbrowse/malus_x_domestica/?name=MDP0000184490","MDP0000184490")</f>
        <v>MDP0000184490</v>
      </c>
      <c r="D21179">
        <v>51.62</v>
      </c>
      <c r="E21179">
        <v>430</v>
      </c>
      <c r="F21179">
        <v>208</v>
      </c>
      <c r="G21179">
        <v>59</v>
      </c>
      <c r="H21179">
        <v>74</v>
      </c>
      <c r="I21179">
        <v>455</v>
      </c>
      <c r="J21179">
        <v>1</v>
      </c>
      <c r="K21179">
        <v>216</v>
      </c>
      <c r="L21179">
        <v>634</v>
      </c>
      <c r="M21179">
        <v>1</v>
      </c>
      <c r="N21179">
        <v>1.9837000000000001E-113</v>
      </c>
      <c r="O21179">
        <v>1046</v>
      </c>
    </row>
    <row r="21180" spans="1:15" x14ac:dyDescent="0.25">
      <c r="A21180" t="s">
        <v>21193</v>
      </c>
      <c r="B21180">
        <v>414</v>
      </c>
      <c r="C21180" s="1" t="str">
        <f>HYPERLINK("http://www.rosaceae.org/gb/gbrowse/malus_x_domestica/?name=MDP0000297419","MDP0000297419")</f>
        <v>MDP0000297419</v>
      </c>
      <c r="D21180">
        <v>59.13</v>
      </c>
      <c r="E21180">
        <v>394</v>
      </c>
      <c r="F21180">
        <v>161</v>
      </c>
      <c r="G21180">
        <v>28</v>
      </c>
      <c r="H21180">
        <v>49</v>
      </c>
      <c r="I21180">
        <v>414</v>
      </c>
      <c r="J21180">
        <v>1</v>
      </c>
      <c r="K21180">
        <v>233</v>
      </c>
      <c r="L21180">
        <v>626</v>
      </c>
      <c r="M21180">
        <v>1</v>
      </c>
      <c r="N21180">
        <v>1.6083099999999999E-139</v>
      </c>
      <c r="O21180">
        <v>1269</v>
      </c>
    </row>
    <row r="21181" spans="1:15" x14ac:dyDescent="0.25">
      <c r="A21181" t="s">
        <v>21194</v>
      </c>
      <c r="B21181">
        <v>154</v>
      </c>
      <c r="C21181" s="1" t="str">
        <f>HYPERLINK("http://www.rosaceae.org/gb/gbrowse/malus_x_domestica/?name=MDP0000784851","MDP0000784851")</f>
        <v>MDP0000784851</v>
      </c>
      <c r="D21181">
        <v>59.14</v>
      </c>
      <c r="E21181">
        <v>164</v>
      </c>
      <c r="F21181">
        <v>67</v>
      </c>
      <c r="G21181">
        <v>15</v>
      </c>
      <c r="H21181">
        <v>1</v>
      </c>
      <c r="I21181">
        <v>150</v>
      </c>
      <c r="J21181">
        <v>1</v>
      </c>
      <c r="K21181">
        <v>1</v>
      </c>
      <c r="L21181">
        <v>163</v>
      </c>
      <c r="M21181">
        <v>1</v>
      </c>
      <c r="N21181">
        <v>9.6750500000000001E-45</v>
      </c>
      <c r="O21181">
        <v>445</v>
      </c>
    </row>
    <row r="21182" spans="1:15" x14ac:dyDescent="0.25">
      <c r="A21182" t="s">
        <v>21195</v>
      </c>
      <c r="B21182">
        <v>1598</v>
      </c>
      <c r="C21182" s="1" t="str">
        <f>HYPERLINK("http://www.rosaceae.org/gb/gbrowse/malus_x_domestica/?name=MDP0000260352","MDP0000260352")</f>
        <v>MDP0000260352</v>
      </c>
      <c r="D21182">
        <v>57.44</v>
      </c>
      <c r="E21182">
        <v>329</v>
      </c>
      <c r="F21182">
        <v>140</v>
      </c>
      <c r="G21182">
        <v>28</v>
      </c>
      <c r="H21182">
        <v>1268</v>
      </c>
      <c r="I21182">
        <v>1568</v>
      </c>
      <c r="J21182">
        <v>1</v>
      </c>
      <c r="K21182">
        <v>21</v>
      </c>
      <c r="L21182">
        <v>349</v>
      </c>
      <c r="M21182">
        <v>1</v>
      </c>
      <c r="N21182">
        <v>8.8499800000000006E-104</v>
      </c>
      <c r="O21182">
        <v>966</v>
      </c>
    </row>
    <row r="21183" spans="1:15" x14ac:dyDescent="0.25">
      <c r="A21183" t="s">
        <v>21196</v>
      </c>
      <c r="B21183">
        <v>146</v>
      </c>
      <c r="C21183" s="1" t="str">
        <f>HYPERLINK("http://www.rosaceae.org/gb/gbrowse/malus_x_domestica/?name=MDP0000288452","MDP0000288452")</f>
        <v>MDP0000288452</v>
      </c>
      <c r="D21183">
        <v>63.8</v>
      </c>
      <c r="E21183">
        <v>105</v>
      </c>
      <c r="F21183">
        <v>38</v>
      </c>
      <c r="G21183">
        <v>0</v>
      </c>
      <c r="H21183">
        <v>17</v>
      </c>
      <c r="I21183">
        <v>121</v>
      </c>
      <c r="J21183">
        <v>1</v>
      </c>
      <c r="K21183">
        <v>721</v>
      </c>
      <c r="L21183">
        <v>825</v>
      </c>
      <c r="M21183">
        <v>1</v>
      </c>
      <c r="N21183">
        <v>3.2065400000000001E-35</v>
      </c>
      <c r="O21183">
        <v>363</v>
      </c>
    </row>
    <row r="21184" spans="1:15" x14ac:dyDescent="0.25">
      <c r="A21184" t="s">
        <v>21197</v>
      </c>
      <c r="B21184">
        <v>129</v>
      </c>
      <c r="C21184" s="1" t="str">
        <f>HYPERLINK("http://www.rosaceae.org/gb/gbrowse/malus_x_domestica/?name=MDP0000190538","MDP0000190538")</f>
        <v>MDP0000190538</v>
      </c>
      <c r="D21184">
        <v>33.619999999999997</v>
      </c>
      <c r="E21184">
        <v>116</v>
      </c>
      <c r="F21184">
        <v>77</v>
      </c>
      <c r="G21184">
        <v>5</v>
      </c>
      <c r="H21184">
        <v>1</v>
      </c>
      <c r="I21184">
        <v>116</v>
      </c>
      <c r="J21184">
        <v>1</v>
      </c>
      <c r="K21184">
        <v>207</v>
      </c>
      <c r="L21184">
        <v>317</v>
      </c>
      <c r="M21184">
        <v>1</v>
      </c>
      <c r="N21184">
        <v>2.1752399999999999E-12</v>
      </c>
      <c r="O21184">
        <v>165</v>
      </c>
    </row>
    <row r="21185" spans="1:15" x14ac:dyDescent="0.25">
      <c r="A21185" t="s">
        <v>21198</v>
      </c>
      <c r="B21185">
        <v>309</v>
      </c>
      <c r="C21185" s="1" t="str">
        <f>HYPERLINK("http://www.rosaceae.org/gb/gbrowse/malus_x_domestica/?name=MDP0000192617","MDP0000192617")</f>
        <v>MDP0000192617</v>
      </c>
      <c r="D21185">
        <v>52.18</v>
      </c>
      <c r="E21185">
        <v>274</v>
      </c>
      <c r="F21185">
        <v>131</v>
      </c>
      <c r="G21185">
        <v>31</v>
      </c>
      <c r="H21185">
        <v>27</v>
      </c>
      <c r="I21185">
        <v>297</v>
      </c>
      <c r="J21185">
        <v>1</v>
      </c>
      <c r="K21185">
        <v>72</v>
      </c>
      <c r="L21185">
        <v>317</v>
      </c>
      <c r="M21185">
        <v>1</v>
      </c>
      <c r="N21185">
        <v>2.3126899999999999E-70</v>
      </c>
      <c r="O21185">
        <v>671</v>
      </c>
    </row>
    <row r="21186" spans="1:15" x14ac:dyDescent="0.25">
      <c r="A21186" t="s">
        <v>21199</v>
      </c>
      <c r="B21186">
        <v>277</v>
      </c>
      <c r="C21186" s="1" t="str">
        <f>HYPERLINK("http://www.rosaceae.org/gb/gbrowse/malus_x_domestica/?name=MDP0000234186","MDP0000234186")</f>
        <v>MDP0000234186</v>
      </c>
      <c r="D21186">
        <v>77.53</v>
      </c>
      <c r="E21186">
        <v>276</v>
      </c>
      <c r="F21186">
        <v>62</v>
      </c>
      <c r="G21186">
        <v>2</v>
      </c>
      <c r="H21186">
        <v>2</v>
      </c>
      <c r="I21186">
        <v>277</v>
      </c>
      <c r="J21186">
        <v>1</v>
      </c>
      <c r="K21186">
        <v>1</v>
      </c>
      <c r="L21186">
        <v>274</v>
      </c>
      <c r="M21186">
        <v>1</v>
      </c>
      <c r="N21186">
        <v>4.3623200000000001E-123</v>
      </c>
      <c r="O21186">
        <v>1125</v>
      </c>
    </row>
    <row r="21187" spans="1:15" x14ac:dyDescent="0.25">
      <c r="A21187" t="s">
        <v>21200</v>
      </c>
      <c r="B21187">
        <v>489</v>
      </c>
      <c r="C21187" s="1" t="str">
        <f>HYPERLINK("http://www.rosaceae.org/gb/gbrowse/malus_x_domestica/?name=MDP0000266406","MDP0000266406")</f>
        <v>MDP0000266406</v>
      </c>
      <c r="D21187">
        <v>70.569999999999993</v>
      </c>
      <c r="E21187">
        <v>486</v>
      </c>
      <c r="F21187">
        <v>143</v>
      </c>
      <c r="G21187">
        <v>11</v>
      </c>
      <c r="H21187">
        <v>15</v>
      </c>
      <c r="I21187">
        <v>489</v>
      </c>
      <c r="J21187">
        <v>1</v>
      </c>
      <c r="K21187">
        <v>20</v>
      </c>
      <c r="L21187">
        <v>505</v>
      </c>
      <c r="M21187">
        <v>1</v>
      </c>
      <c r="N21187">
        <v>0</v>
      </c>
      <c r="O21187">
        <v>1771</v>
      </c>
    </row>
    <row r="21188" spans="1:15" x14ac:dyDescent="0.25">
      <c r="A21188" t="s">
        <v>21201</v>
      </c>
      <c r="B21188">
        <v>1116</v>
      </c>
      <c r="C21188" s="1" t="str">
        <f>HYPERLINK("http://www.rosaceae.org/gb/gbrowse/malus_x_domestica/?name=MDP0000676815","MDP0000676815")</f>
        <v>MDP0000676815</v>
      </c>
      <c r="D21188">
        <v>57.93</v>
      </c>
      <c r="E21188">
        <v>977</v>
      </c>
      <c r="F21188">
        <v>411</v>
      </c>
      <c r="G21188">
        <v>69</v>
      </c>
      <c r="H21188">
        <v>46</v>
      </c>
      <c r="I21188">
        <v>984</v>
      </c>
      <c r="J21188">
        <v>1</v>
      </c>
      <c r="K21188">
        <v>141</v>
      </c>
      <c r="L21188">
        <v>1086</v>
      </c>
      <c r="M21188">
        <v>1</v>
      </c>
      <c r="N21188">
        <v>0</v>
      </c>
      <c r="O21188">
        <v>2726</v>
      </c>
    </row>
    <row r="21189" spans="1:15" x14ac:dyDescent="0.25">
      <c r="A21189" t="s">
        <v>21202</v>
      </c>
      <c r="B21189">
        <v>1509</v>
      </c>
      <c r="C21189" s="1" t="str">
        <f>HYPERLINK("http://www.rosaceae.org/gb/gbrowse/malus_x_domestica/?name=MDP0000295321","MDP0000295321")</f>
        <v>MDP0000295321</v>
      </c>
      <c r="D21189">
        <v>36.22</v>
      </c>
      <c r="E21189">
        <v>403</v>
      </c>
      <c r="F21189">
        <v>257</v>
      </c>
      <c r="G21189">
        <v>102</v>
      </c>
      <c r="H21189">
        <v>1076</v>
      </c>
      <c r="I21189">
        <v>1452</v>
      </c>
      <c r="J21189">
        <v>1</v>
      </c>
      <c r="K21189">
        <v>152</v>
      </c>
      <c r="L21189">
        <v>478</v>
      </c>
      <c r="M21189">
        <v>1</v>
      </c>
      <c r="N21189">
        <v>4.0884899999999999E-66</v>
      </c>
      <c r="O21189">
        <v>641</v>
      </c>
    </row>
    <row r="21190" spans="1:15" x14ac:dyDescent="0.25">
      <c r="A21190" t="s">
        <v>21203</v>
      </c>
      <c r="B21190">
        <v>516</v>
      </c>
      <c r="C21190" s="1" t="str">
        <f>HYPERLINK("http://www.rosaceae.org/gb/gbrowse/malus_x_domestica/?name=MDP0000278004","MDP0000278004")</f>
        <v>MDP0000278004</v>
      </c>
      <c r="D21190">
        <v>50.98</v>
      </c>
      <c r="E21190">
        <v>51</v>
      </c>
      <c r="F21190">
        <v>25</v>
      </c>
      <c r="G21190">
        <v>0</v>
      </c>
      <c r="H21190">
        <v>416</v>
      </c>
      <c r="I21190">
        <v>466</v>
      </c>
      <c r="J21190">
        <v>1</v>
      </c>
      <c r="K21190">
        <v>405</v>
      </c>
      <c r="L21190">
        <v>455</v>
      </c>
      <c r="M21190">
        <v>1</v>
      </c>
      <c r="N21190">
        <v>5.7334999999999997E-8</v>
      </c>
      <c r="O21190">
        <v>135</v>
      </c>
    </row>
    <row r="21191" spans="1:15" x14ac:dyDescent="0.25">
      <c r="A21191" t="s">
        <v>21204</v>
      </c>
      <c r="B21191">
        <v>441</v>
      </c>
      <c r="C21191" s="1" t="str">
        <f>HYPERLINK("http://www.rosaceae.org/gb/gbrowse/malus_x_domestica/?name=MDP0000647176","MDP0000647176")</f>
        <v>MDP0000647176</v>
      </c>
      <c r="D21191">
        <v>30.24</v>
      </c>
      <c r="E21191">
        <v>281</v>
      </c>
      <c r="F21191">
        <v>196</v>
      </c>
      <c r="G21191">
        <v>48</v>
      </c>
      <c r="H21191">
        <v>148</v>
      </c>
      <c r="I21191">
        <v>380</v>
      </c>
      <c r="J21191">
        <v>1</v>
      </c>
      <c r="K21191">
        <v>5</v>
      </c>
      <c r="L21191">
        <v>285</v>
      </c>
      <c r="M21191">
        <v>1</v>
      </c>
      <c r="N21191">
        <v>1.27487E-27</v>
      </c>
      <c r="O21191">
        <v>304</v>
      </c>
    </row>
    <row r="21192" spans="1:15" x14ac:dyDescent="0.25">
      <c r="A21192" t="s">
        <v>21205</v>
      </c>
      <c r="B21192">
        <v>448</v>
      </c>
      <c r="C21192" s="1" t="str">
        <f>HYPERLINK("http://www.rosaceae.org/gb/gbrowse/malus_x_domestica/?name=MDP0000639264","MDP0000639264")</f>
        <v>MDP0000639264</v>
      </c>
      <c r="D21192">
        <v>69.77</v>
      </c>
      <c r="E21192">
        <v>450</v>
      </c>
      <c r="F21192">
        <v>136</v>
      </c>
      <c r="G21192">
        <v>5</v>
      </c>
      <c r="H21192">
        <v>1</v>
      </c>
      <c r="I21192">
        <v>445</v>
      </c>
      <c r="J21192">
        <v>1</v>
      </c>
      <c r="K21192">
        <v>1</v>
      </c>
      <c r="L21192">
        <v>450</v>
      </c>
      <c r="M21192">
        <v>1</v>
      </c>
      <c r="N21192">
        <v>0</v>
      </c>
      <c r="O21192">
        <v>1705</v>
      </c>
    </row>
    <row r="21193" spans="1:15" x14ac:dyDescent="0.25">
      <c r="A21193" t="s">
        <v>21206</v>
      </c>
      <c r="B21193">
        <v>672</v>
      </c>
      <c r="C21193" s="1" t="str">
        <f>HYPERLINK("http://www.rosaceae.org/gb/gbrowse/malus_x_domestica/?name=MDP0000308262","MDP0000308262")</f>
        <v>MDP0000308262</v>
      </c>
      <c r="D21193">
        <v>77.62</v>
      </c>
      <c r="E21193">
        <v>496</v>
      </c>
      <c r="F21193">
        <v>111</v>
      </c>
      <c r="G21193">
        <v>5</v>
      </c>
      <c r="H21193">
        <v>176</v>
      </c>
      <c r="I21193">
        <v>671</v>
      </c>
      <c r="J21193">
        <v>1</v>
      </c>
      <c r="K21193">
        <v>98</v>
      </c>
      <c r="L21193">
        <v>588</v>
      </c>
      <c r="M21193">
        <v>1</v>
      </c>
      <c r="N21193">
        <v>0</v>
      </c>
      <c r="O21193">
        <v>2016</v>
      </c>
    </row>
    <row r="21194" spans="1:15" x14ac:dyDescent="0.25">
      <c r="A21194" t="s">
        <v>21207</v>
      </c>
      <c r="B21194">
        <v>255</v>
      </c>
      <c r="C21194" s="1" t="str">
        <f>HYPERLINK("http://www.rosaceae.org/gb/gbrowse/malus_x_domestica/?name=MDP0000241432","MDP0000241432")</f>
        <v>MDP0000241432</v>
      </c>
      <c r="D21194">
        <v>79.599999999999994</v>
      </c>
      <c r="E21194">
        <v>255</v>
      </c>
      <c r="F21194">
        <v>52</v>
      </c>
      <c r="G21194">
        <v>0</v>
      </c>
      <c r="H21194">
        <v>1</v>
      </c>
      <c r="I21194">
        <v>255</v>
      </c>
      <c r="J21194">
        <v>1</v>
      </c>
      <c r="K21194">
        <v>583</v>
      </c>
      <c r="L21194">
        <v>837</v>
      </c>
      <c r="M21194">
        <v>1</v>
      </c>
      <c r="N21194">
        <v>3.4549699999999999E-125</v>
      </c>
      <c r="O21194">
        <v>1143</v>
      </c>
    </row>
    <row r="21195" spans="1:15" x14ac:dyDescent="0.25">
      <c r="A21195" t="s">
        <v>21208</v>
      </c>
      <c r="B21195">
        <v>111</v>
      </c>
      <c r="C21195" s="1" t="str">
        <f>HYPERLINK("http://www.rosaceae.org/gb/gbrowse/malus_x_domestica/?name=MDP0000823528","MDP0000823528")</f>
        <v>MDP0000823528</v>
      </c>
      <c r="D21195">
        <v>72.97</v>
      </c>
      <c r="E21195">
        <v>111</v>
      </c>
      <c r="F21195">
        <v>30</v>
      </c>
      <c r="G21195">
        <v>2</v>
      </c>
      <c r="H21195">
        <v>1</v>
      </c>
      <c r="I21195">
        <v>111</v>
      </c>
      <c r="J21195">
        <v>1</v>
      </c>
      <c r="K21195">
        <v>1</v>
      </c>
      <c r="L21195">
        <v>109</v>
      </c>
      <c r="M21195">
        <v>1</v>
      </c>
      <c r="N21195">
        <v>8.2935600000000002E-41</v>
      </c>
      <c r="O21195">
        <v>409</v>
      </c>
    </row>
    <row r="21196" spans="1:15" x14ac:dyDescent="0.25">
      <c r="A21196" t="s">
        <v>21209</v>
      </c>
      <c r="B21196">
        <v>489</v>
      </c>
      <c r="C21196" s="1" t="str">
        <f>HYPERLINK("http://www.rosaceae.org/gb/gbrowse/malus_x_domestica/?name=MDP0000192847","MDP0000192847")</f>
        <v>MDP0000192847</v>
      </c>
      <c r="D21196">
        <v>67.37</v>
      </c>
      <c r="E21196">
        <v>374</v>
      </c>
      <c r="F21196">
        <v>122</v>
      </c>
      <c r="G21196">
        <v>11</v>
      </c>
      <c r="H21196">
        <v>1</v>
      </c>
      <c r="I21196">
        <v>363</v>
      </c>
      <c r="J21196">
        <v>1</v>
      </c>
      <c r="K21196">
        <v>47</v>
      </c>
      <c r="L21196">
        <v>420</v>
      </c>
      <c r="M21196">
        <v>1</v>
      </c>
      <c r="N21196">
        <v>4.4066100000000002E-155</v>
      </c>
      <c r="O21196">
        <v>1404</v>
      </c>
    </row>
    <row r="21197" spans="1:15" x14ac:dyDescent="0.25">
      <c r="A21197" t="s">
        <v>21210</v>
      </c>
      <c r="B21197">
        <v>202</v>
      </c>
      <c r="C21197" s="1" t="str">
        <f>HYPERLINK("http://www.rosaceae.org/gb/gbrowse/malus_x_domestica/?name=MDP0000189426","MDP0000189426")</f>
        <v>MDP0000189426</v>
      </c>
      <c r="D21197">
        <v>38</v>
      </c>
      <c r="E21197">
        <v>100</v>
      </c>
      <c r="F21197">
        <v>62</v>
      </c>
      <c r="G21197">
        <v>2</v>
      </c>
      <c r="H21197">
        <v>104</v>
      </c>
      <c r="I21197">
        <v>202</v>
      </c>
      <c r="J21197">
        <v>1</v>
      </c>
      <c r="K21197">
        <v>284</v>
      </c>
      <c r="L21197">
        <v>382</v>
      </c>
      <c r="M21197">
        <v>1</v>
      </c>
      <c r="N21197">
        <v>1.51499E-12</v>
      </c>
      <c r="O21197">
        <v>170</v>
      </c>
    </row>
    <row r="21198" spans="1:15" x14ac:dyDescent="0.25">
      <c r="A21198" t="s">
        <v>21211</v>
      </c>
      <c r="B21198">
        <v>534</v>
      </c>
      <c r="C21198" s="1" t="str">
        <f>HYPERLINK("http://www.rosaceae.org/gb/gbrowse/malus_x_domestica/?name=MDP0000191460","MDP0000191460")</f>
        <v>MDP0000191460</v>
      </c>
      <c r="D21198">
        <v>62.39</v>
      </c>
      <c r="E21198">
        <v>476</v>
      </c>
      <c r="F21198">
        <v>179</v>
      </c>
      <c r="G21198">
        <v>31</v>
      </c>
      <c r="H21198">
        <v>60</v>
      </c>
      <c r="I21198">
        <v>533</v>
      </c>
      <c r="J21198">
        <v>1</v>
      </c>
      <c r="K21198">
        <v>102</v>
      </c>
      <c r="L21198">
        <v>548</v>
      </c>
      <c r="M21198">
        <v>1</v>
      </c>
      <c r="N21198">
        <v>2.4219600000000001E-165</v>
      </c>
      <c r="O21198">
        <v>1493</v>
      </c>
    </row>
    <row r="21199" spans="1:15" x14ac:dyDescent="0.25">
      <c r="A21199" t="s">
        <v>21212</v>
      </c>
      <c r="B21199">
        <v>326</v>
      </c>
      <c r="C21199" s="1" t="str">
        <f>HYPERLINK("http://www.rosaceae.org/gb/gbrowse/malus_x_domestica/?name=MDP0000124585","MDP0000124585")</f>
        <v>MDP0000124585</v>
      </c>
      <c r="D21199">
        <v>74.59</v>
      </c>
      <c r="E21199">
        <v>248</v>
      </c>
      <c r="F21199">
        <v>63</v>
      </c>
      <c r="G21199">
        <v>2</v>
      </c>
      <c r="H21199">
        <v>1</v>
      </c>
      <c r="I21199">
        <v>247</v>
      </c>
      <c r="J21199">
        <v>1</v>
      </c>
      <c r="K21199">
        <v>214</v>
      </c>
      <c r="L21199">
        <v>460</v>
      </c>
      <c r="M21199">
        <v>1</v>
      </c>
      <c r="N21199">
        <v>1.51236E-111</v>
      </c>
      <c r="O21199">
        <v>1026</v>
      </c>
    </row>
    <row r="21200" spans="1:15" x14ac:dyDescent="0.25">
      <c r="A21200" t="s">
        <v>21213</v>
      </c>
      <c r="B21200">
        <v>193</v>
      </c>
      <c r="C21200" s="1" t="str">
        <f>HYPERLINK("http://www.rosaceae.org/gb/gbrowse/malus_x_domestica/?name=MDP0000700517","MDP0000700517")</f>
        <v>MDP0000700517</v>
      </c>
      <c r="D21200">
        <v>30.88</v>
      </c>
      <c r="E21200">
        <v>136</v>
      </c>
      <c r="F21200">
        <v>94</v>
      </c>
      <c r="G21200">
        <v>18</v>
      </c>
      <c r="H21200">
        <v>11</v>
      </c>
      <c r="I21200">
        <v>128</v>
      </c>
      <c r="J21200">
        <v>1</v>
      </c>
      <c r="K21200">
        <v>246</v>
      </c>
      <c r="L21200">
        <v>381</v>
      </c>
      <c r="M21200">
        <v>1</v>
      </c>
      <c r="N21200">
        <v>4.8811600000000003E-10</v>
      </c>
      <c r="O21200">
        <v>148</v>
      </c>
    </row>
    <row r="21201" spans="1:15" x14ac:dyDescent="0.25">
      <c r="A21201" t="s">
        <v>21214</v>
      </c>
      <c r="B21201">
        <v>187</v>
      </c>
      <c r="C21201" s="1" t="str">
        <f>HYPERLINK("http://www.rosaceae.org/gb/gbrowse/malus_x_domestica/?name=MDP0000686548","MDP0000686548")</f>
        <v>MDP0000686548</v>
      </c>
      <c r="D21201">
        <v>34.17</v>
      </c>
      <c r="E21201">
        <v>79</v>
      </c>
      <c r="F21201">
        <v>52</v>
      </c>
      <c r="G21201">
        <v>4</v>
      </c>
      <c r="H21201">
        <v>93</v>
      </c>
      <c r="I21201">
        <v>167</v>
      </c>
      <c r="J21201">
        <v>1</v>
      </c>
      <c r="K21201">
        <v>19</v>
      </c>
      <c r="L21201">
        <v>97</v>
      </c>
      <c r="M21201">
        <v>1</v>
      </c>
      <c r="N21201">
        <v>1.15306E-7</v>
      </c>
      <c r="O21201">
        <v>127</v>
      </c>
    </row>
    <row r="21202" spans="1:15" x14ac:dyDescent="0.25">
      <c r="A21202" t="s">
        <v>21215</v>
      </c>
      <c r="B21202">
        <v>1674</v>
      </c>
      <c r="C21202" s="1" t="str">
        <f>HYPERLINK("http://www.rosaceae.org/gb/gbrowse/malus_x_domestica/?name=MDP0000267963","MDP0000267963")</f>
        <v>MDP0000267963</v>
      </c>
      <c r="D21202">
        <v>65.38</v>
      </c>
      <c r="E21202">
        <v>234</v>
      </c>
      <c r="F21202">
        <v>81</v>
      </c>
      <c r="G21202">
        <v>2</v>
      </c>
      <c r="H21202">
        <v>841</v>
      </c>
      <c r="I21202">
        <v>1074</v>
      </c>
      <c r="J21202">
        <v>1</v>
      </c>
      <c r="K21202">
        <v>1</v>
      </c>
      <c r="L21202">
        <v>232</v>
      </c>
      <c r="M21202">
        <v>1</v>
      </c>
      <c r="N21202">
        <v>3.9921300000000002E-87</v>
      </c>
      <c r="O21202">
        <v>823</v>
      </c>
    </row>
    <row r="21203" spans="1:15" x14ac:dyDescent="0.25">
      <c r="A21203" t="s">
        <v>21216</v>
      </c>
      <c r="B21203">
        <v>136</v>
      </c>
      <c r="C21203" s="1" t="str">
        <f>HYPERLINK("http://www.rosaceae.org/gb/gbrowse/malus_x_domestica/?name=MDP0000121016","MDP0000121016")</f>
        <v>MDP0000121016</v>
      </c>
      <c r="D21203">
        <v>88.97</v>
      </c>
      <c r="E21203">
        <v>136</v>
      </c>
      <c r="F21203">
        <v>15</v>
      </c>
      <c r="G21203">
        <v>0</v>
      </c>
      <c r="H21203">
        <v>1</v>
      </c>
      <c r="I21203">
        <v>136</v>
      </c>
      <c r="J21203">
        <v>1</v>
      </c>
      <c r="K21203">
        <v>20</v>
      </c>
      <c r="L21203">
        <v>155</v>
      </c>
      <c r="M21203">
        <v>1</v>
      </c>
      <c r="N21203">
        <v>7.0657500000000002E-68</v>
      </c>
      <c r="O21203">
        <v>644</v>
      </c>
    </row>
    <row r="21204" spans="1:15" x14ac:dyDescent="0.25">
      <c r="A21204" t="s">
        <v>21217</v>
      </c>
      <c r="B21204">
        <v>529</v>
      </c>
      <c r="C21204" s="1" t="str">
        <f>HYPERLINK("http://www.rosaceae.org/gb/gbrowse/malus_x_domestica/?name=MDP0000173903","MDP0000173903")</f>
        <v>MDP0000173903</v>
      </c>
      <c r="D21204">
        <v>62.73</v>
      </c>
      <c r="E21204">
        <v>271</v>
      </c>
      <c r="F21204">
        <v>101</v>
      </c>
      <c r="G21204">
        <v>20</v>
      </c>
      <c r="H21204">
        <v>1</v>
      </c>
      <c r="I21204">
        <v>252</v>
      </c>
      <c r="J21204">
        <v>1</v>
      </c>
      <c r="K21204">
        <v>1</v>
      </c>
      <c r="L21204">
        <v>270</v>
      </c>
      <c r="M21204">
        <v>1</v>
      </c>
      <c r="N21204">
        <v>3.0361200000000002E-93</v>
      </c>
      <c r="O21204">
        <v>871</v>
      </c>
    </row>
    <row r="21205" spans="1:15" x14ac:dyDescent="0.25">
      <c r="A21205" t="s">
        <v>21218</v>
      </c>
      <c r="B21205">
        <v>645</v>
      </c>
      <c r="C21205" s="1" t="str">
        <f>HYPERLINK("http://www.rosaceae.org/gb/gbrowse/malus_x_domestica/?name=MDP0000177217","MDP0000177217")</f>
        <v>MDP0000177217</v>
      </c>
      <c r="D21205">
        <v>76.760000000000005</v>
      </c>
      <c r="E21205">
        <v>693</v>
      </c>
      <c r="F21205">
        <v>161</v>
      </c>
      <c r="G21205">
        <v>58</v>
      </c>
      <c r="H21205">
        <v>1</v>
      </c>
      <c r="I21205">
        <v>645</v>
      </c>
      <c r="J21205">
        <v>1</v>
      </c>
      <c r="K21205">
        <v>1</v>
      </c>
      <c r="L21205">
        <v>683</v>
      </c>
      <c r="M21205">
        <v>1</v>
      </c>
      <c r="N21205">
        <v>0</v>
      </c>
      <c r="O21205">
        <v>2682</v>
      </c>
    </row>
    <row r="21206" spans="1:15" x14ac:dyDescent="0.25">
      <c r="A21206" t="s">
        <v>21219</v>
      </c>
      <c r="B21206">
        <v>648</v>
      </c>
      <c r="C21206" s="1" t="str">
        <f>HYPERLINK("http://www.rosaceae.org/gb/gbrowse/malus_x_domestica/?name=MDP0000167489","MDP0000167489")</f>
        <v>MDP0000167489</v>
      </c>
      <c r="D21206">
        <v>54.18</v>
      </c>
      <c r="E21206">
        <v>633</v>
      </c>
      <c r="F21206">
        <v>290</v>
      </c>
      <c r="G21206">
        <v>7</v>
      </c>
      <c r="H21206">
        <v>7</v>
      </c>
      <c r="I21206">
        <v>636</v>
      </c>
      <c r="J21206">
        <v>1</v>
      </c>
      <c r="K21206">
        <v>5</v>
      </c>
      <c r="L21206">
        <v>633</v>
      </c>
      <c r="M21206">
        <v>1</v>
      </c>
      <c r="N21206">
        <v>0</v>
      </c>
      <c r="O21206">
        <v>1804</v>
      </c>
    </row>
    <row r="21207" spans="1:15" x14ac:dyDescent="0.25">
      <c r="A21207" t="s">
        <v>21220</v>
      </c>
      <c r="B21207">
        <v>729</v>
      </c>
      <c r="C21207" s="1" t="str">
        <f>HYPERLINK("http://www.rosaceae.org/gb/gbrowse/malus_x_domestica/?name=MDP0000228175","MDP0000228175")</f>
        <v>MDP0000228175</v>
      </c>
      <c r="D21207">
        <v>82.76</v>
      </c>
      <c r="E21207">
        <v>731</v>
      </c>
      <c r="F21207">
        <v>126</v>
      </c>
      <c r="G21207">
        <v>7</v>
      </c>
      <c r="H21207">
        <v>2</v>
      </c>
      <c r="I21207">
        <v>729</v>
      </c>
      <c r="J21207">
        <v>1</v>
      </c>
      <c r="K21207">
        <v>11</v>
      </c>
      <c r="L21207">
        <v>737</v>
      </c>
      <c r="M21207">
        <v>1</v>
      </c>
      <c r="N21207">
        <v>0</v>
      </c>
      <c r="O21207">
        <v>3190</v>
      </c>
    </row>
    <row r="21208" spans="1:15" x14ac:dyDescent="0.25">
      <c r="A21208" t="s">
        <v>21221</v>
      </c>
      <c r="B21208">
        <v>387</v>
      </c>
      <c r="C21208" s="1" t="str">
        <f>HYPERLINK("http://www.rosaceae.org/gb/gbrowse/malus_x_domestica/?name=MDP0000586314","MDP0000586314")</f>
        <v>MDP0000586314</v>
      </c>
      <c r="D21208">
        <v>64.849999999999994</v>
      </c>
      <c r="E21208">
        <v>387</v>
      </c>
      <c r="F21208">
        <v>136</v>
      </c>
      <c r="G21208">
        <v>3</v>
      </c>
      <c r="H21208">
        <v>4</v>
      </c>
      <c r="I21208">
        <v>387</v>
      </c>
      <c r="J21208">
        <v>1</v>
      </c>
      <c r="K21208">
        <v>3</v>
      </c>
      <c r="L21208">
        <v>389</v>
      </c>
      <c r="M21208">
        <v>1</v>
      </c>
      <c r="N21208">
        <v>1.1617500000000001E-135</v>
      </c>
      <c r="O21208">
        <v>1235</v>
      </c>
    </row>
    <row r="21209" spans="1:15" x14ac:dyDescent="0.25">
      <c r="A21209" t="s">
        <v>21222</v>
      </c>
      <c r="B21209">
        <v>348</v>
      </c>
      <c r="C21209" s="1" t="str">
        <f>HYPERLINK("http://www.rosaceae.org/gb/gbrowse/malus_x_domestica/?name=MDP0000145890","MDP0000145890")</f>
        <v>MDP0000145890</v>
      </c>
      <c r="D21209">
        <v>71.81</v>
      </c>
      <c r="E21209">
        <v>330</v>
      </c>
      <c r="F21209">
        <v>93</v>
      </c>
      <c r="G21209">
        <v>0</v>
      </c>
      <c r="H21209">
        <v>1</v>
      </c>
      <c r="I21209">
        <v>330</v>
      </c>
      <c r="J21209">
        <v>1</v>
      </c>
      <c r="K21209">
        <v>59</v>
      </c>
      <c r="L21209">
        <v>388</v>
      </c>
      <c r="M21209">
        <v>1</v>
      </c>
      <c r="N21209">
        <v>1.20358E-131</v>
      </c>
      <c r="O21209">
        <v>1200</v>
      </c>
    </row>
    <row r="21210" spans="1:15" x14ac:dyDescent="0.25">
      <c r="A21210" t="s">
        <v>21223</v>
      </c>
      <c r="B21210">
        <v>491</v>
      </c>
      <c r="C21210" s="1" t="str">
        <f>HYPERLINK("http://www.rosaceae.org/gb/gbrowse/malus_x_domestica/?name=MDP0000165836","MDP0000165836")</f>
        <v>MDP0000165836</v>
      </c>
      <c r="D21210">
        <v>56.59</v>
      </c>
      <c r="E21210">
        <v>523</v>
      </c>
      <c r="F21210">
        <v>227</v>
      </c>
      <c r="G21210">
        <v>55</v>
      </c>
      <c r="H21210">
        <v>3</v>
      </c>
      <c r="I21210">
        <v>479</v>
      </c>
      <c r="J21210">
        <v>1</v>
      </c>
      <c r="K21210">
        <v>2</v>
      </c>
      <c r="L21210">
        <v>515</v>
      </c>
      <c r="M21210">
        <v>1</v>
      </c>
      <c r="N21210">
        <v>1.9770300000000001E-146</v>
      </c>
      <c r="O21210">
        <v>1329</v>
      </c>
    </row>
    <row r="21211" spans="1:15" x14ac:dyDescent="0.25">
      <c r="A21211" t="s">
        <v>21224</v>
      </c>
      <c r="B21211">
        <v>1274</v>
      </c>
      <c r="C21211" s="1" t="str">
        <f>HYPERLINK("http://www.rosaceae.org/gb/gbrowse/malus_x_domestica/?name=MDP0000247921","MDP0000247921")</f>
        <v>MDP0000247921</v>
      </c>
      <c r="D21211">
        <v>24.58</v>
      </c>
      <c r="E21211">
        <v>423</v>
      </c>
      <c r="F21211">
        <v>319</v>
      </c>
      <c r="G21211">
        <v>34</v>
      </c>
      <c r="H21211">
        <v>789</v>
      </c>
      <c r="I21211">
        <v>1182</v>
      </c>
      <c r="J21211">
        <v>1</v>
      </c>
      <c r="K21211">
        <v>706</v>
      </c>
      <c r="L21211">
        <v>1123</v>
      </c>
      <c r="M21211">
        <v>1</v>
      </c>
      <c r="N21211">
        <v>3.0996599999999998E-26</v>
      </c>
      <c r="O21211">
        <v>297</v>
      </c>
    </row>
    <row r="21212" spans="1:15" x14ac:dyDescent="0.25">
      <c r="A21212" t="s">
        <v>21225</v>
      </c>
      <c r="B21212">
        <v>220</v>
      </c>
      <c r="C21212" s="1" t="str">
        <f>HYPERLINK("http://www.rosaceae.org/gb/gbrowse/malus_x_domestica/?name=MDP0000219767","MDP0000219767")</f>
        <v>MDP0000219767</v>
      </c>
      <c r="D21212">
        <v>67.05</v>
      </c>
      <c r="E21212">
        <v>170</v>
      </c>
      <c r="F21212">
        <v>56</v>
      </c>
      <c r="G21212">
        <v>3</v>
      </c>
      <c r="H21212">
        <v>52</v>
      </c>
      <c r="I21212">
        <v>218</v>
      </c>
      <c r="J21212">
        <v>1</v>
      </c>
      <c r="K21212">
        <v>1</v>
      </c>
      <c r="L21212">
        <v>170</v>
      </c>
      <c r="M21212">
        <v>1</v>
      </c>
      <c r="N21212">
        <v>2.2464500000000001E-55</v>
      </c>
      <c r="O21212">
        <v>540</v>
      </c>
    </row>
    <row r="21213" spans="1:15" x14ac:dyDescent="0.25">
      <c r="A21213" t="s">
        <v>21226</v>
      </c>
      <c r="B21213">
        <v>177</v>
      </c>
      <c r="C21213" s="1" t="str">
        <f>HYPERLINK("http://www.rosaceae.org/gb/gbrowse/malus_x_domestica/?name=MDP0000041421","MDP0000041421")</f>
        <v>MDP0000041421</v>
      </c>
      <c r="D21213">
        <v>34.74</v>
      </c>
      <c r="E21213">
        <v>118</v>
      </c>
      <c r="F21213">
        <v>77</v>
      </c>
      <c r="G21213">
        <v>5</v>
      </c>
      <c r="H21213">
        <v>43</v>
      </c>
      <c r="I21213">
        <v>155</v>
      </c>
      <c r="J21213">
        <v>1</v>
      </c>
      <c r="K21213">
        <v>30</v>
      </c>
      <c r="L21213">
        <v>147</v>
      </c>
      <c r="M21213">
        <v>1</v>
      </c>
      <c r="N21213">
        <v>5.7498899999999998E-16</v>
      </c>
      <c r="O21213">
        <v>198</v>
      </c>
    </row>
    <row r="21214" spans="1:15" x14ac:dyDescent="0.25">
      <c r="A21214" t="s">
        <v>21227</v>
      </c>
      <c r="B21214">
        <v>686</v>
      </c>
      <c r="C21214" s="1" t="str">
        <f>HYPERLINK("http://www.rosaceae.org/gb/gbrowse/malus_x_domestica/?name=MDP0000290818","MDP0000290818")</f>
        <v>MDP0000290818</v>
      </c>
      <c r="D21214">
        <v>74.41</v>
      </c>
      <c r="E21214">
        <v>723</v>
      </c>
      <c r="F21214">
        <v>185</v>
      </c>
      <c r="G21214">
        <v>51</v>
      </c>
      <c r="H21214">
        <v>1</v>
      </c>
      <c r="I21214">
        <v>686</v>
      </c>
      <c r="J21214">
        <v>1</v>
      </c>
      <c r="K21214">
        <v>1</v>
      </c>
      <c r="L21214">
        <v>709</v>
      </c>
      <c r="M21214">
        <v>1</v>
      </c>
      <c r="N21214">
        <v>0</v>
      </c>
      <c r="O21214">
        <v>2751</v>
      </c>
    </row>
    <row r="21215" spans="1:15" x14ac:dyDescent="0.25">
      <c r="A21215" t="s">
        <v>21228</v>
      </c>
      <c r="B21215">
        <v>667</v>
      </c>
      <c r="C21215" s="1" t="str">
        <f>HYPERLINK("http://www.rosaceae.org/gb/gbrowse/malus_x_domestica/?name=MDP0000891753","MDP0000891753")</f>
        <v>MDP0000891753</v>
      </c>
      <c r="D21215">
        <v>51.21</v>
      </c>
      <c r="E21215">
        <v>701</v>
      </c>
      <c r="F21215">
        <v>342</v>
      </c>
      <c r="G21215">
        <v>81</v>
      </c>
      <c r="H21215">
        <v>3</v>
      </c>
      <c r="I21215">
        <v>667</v>
      </c>
      <c r="J21215">
        <v>1</v>
      </c>
      <c r="K21215">
        <v>53</v>
      </c>
      <c r="L21215">
        <v>708</v>
      </c>
      <c r="M21215">
        <v>1</v>
      </c>
      <c r="N21215">
        <v>2.1165E-176</v>
      </c>
      <c r="O21215">
        <v>1589</v>
      </c>
    </row>
    <row r="21216" spans="1:15" x14ac:dyDescent="0.25">
      <c r="A21216" t="s">
        <v>21229</v>
      </c>
      <c r="B21216">
        <v>108</v>
      </c>
      <c r="C21216" s="1" t="str">
        <f>HYPERLINK("http://www.rosaceae.org/gb/gbrowse/malus_x_domestica/?name=MDP0000337580","MDP0000337580")</f>
        <v>MDP0000337580</v>
      </c>
      <c r="D21216">
        <v>92.59</v>
      </c>
      <c r="E21216">
        <v>108</v>
      </c>
      <c r="F21216">
        <v>8</v>
      </c>
      <c r="G21216">
        <v>1</v>
      </c>
      <c r="H21216">
        <v>1</v>
      </c>
      <c r="I21216">
        <v>108</v>
      </c>
      <c r="J21216">
        <v>1</v>
      </c>
      <c r="K21216">
        <v>1</v>
      </c>
      <c r="L21216">
        <v>107</v>
      </c>
      <c r="M21216">
        <v>1</v>
      </c>
      <c r="N21216">
        <v>2.8391299999999999E-55</v>
      </c>
      <c r="O21216">
        <v>534</v>
      </c>
    </row>
    <row r="21217" spans="1:15" x14ac:dyDescent="0.25">
      <c r="A21217" t="s">
        <v>21230</v>
      </c>
      <c r="B21217">
        <v>253</v>
      </c>
      <c r="C21217" s="1" t="str">
        <f>HYPERLINK("http://www.rosaceae.org/gb/gbrowse/malus_x_domestica/?name=MDP0000299496","MDP0000299496")</f>
        <v>MDP0000299496</v>
      </c>
      <c r="D21217">
        <v>45.56</v>
      </c>
      <c r="E21217">
        <v>79</v>
      </c>
      <c r="F21217">
        <v>43</v>
      </c>
      <c r="G21217">
        <v>1</v>
      </c>
      <c r="H21217">
        <v>125</v>
      </c>
      <c r="I21217">
        <v>202</v>
      </c>
      <c r="J21217">
        <v>1</v>
      </c>
      <c r="K21217">
        <v>447</v>
      </c>
      <c r="L21217">
        <v>525</v>
      </c>
      <c r="M21217">
        <v>1</v>
      </c>
      <c r="N21217">
        <v>4.1277900000000001E-13</v>
      </c>
      <c r="O21217">
        <v>176</v>
      </c>
    </row>
    <row r="21218" spans="1:15" x14ac:dyDescent="0.25">
      <c r="A21218" t="s">
        <v>21231</v>
      </c>
      <c r="B21218">
        <v>1141</v>
      </c>
      <c r="C21218" s="1" t="str">
        <f>HYPERLINK("http://www.rosaceae.org/gb/gbrowse/malus_x_domestica/?name=MDP0000305623","MDP0000305623")</f>
        <v>MDP0000305623</v>
      </c>
      <c r="D21218">
        <v>37.380000000000003</v>
      </c>
      <c r="E21218">
        <v>1185</v>
      </c>
      <c r="F21218">
        <v>742</v>
      </c>
      <c r="G21218">
        <v>203</v>
      </c>
      <c r="H21218">
        <v>50</v>
      </c>
      <c r="I21218">
        <v>1139</v>
      </c>
      <c r="J21218">
        <v>1</v>
      </c>
      <c r="K21218">
        <v>552</v>
      </c>
      <c r="L21218">
        <v>1628</v>
      </c>
      <c r="M21218">
        <v>1</v>
      </c>
      <c r="N21218">
        <v>3.7883600000000002E-139</v>
      </c>
      <c r="O21218">
        <v>1270</v>
      </c>
    </row>
    <row r="21219" spans="1:15" x14ac:dyDescent="0.25">
      <c r="A21219" t="s">
        <v>21232</v>
      </c>
      <c r="B21219">
        <v>282</v>
      </c>
      <c r="C21219" s="1" t="str">
        <f>HYPERLINK("http://www.rosaceae.org/gb/gbrowse/malus_x_domestica/?name=MDP0000297993","MDP0000297993")</f>
        <v>MDP0000297993</v>
      </c>
      <c r="D21219">
        <v>69.349999999999994</v>
      </c>
      <c r="E21219">
        <v>62</v>
      </c>
      <c r="F21219">
        <v>19</v>
      </c>
      <c r="G21219">
        <v>0</v>
      </c>
      <c r="H21219">
        <v>13</v>
      </c>
      <c r="I21219">
        <v>74</v>
      </c>
      <c r="J21219">
        <v>1</v>
      </c>
      <c r="K21219">
        <v>1298</v>
      </c>
      <c r="L21219">
        <v>1359</v>
      </c>
      <c r="M21219">
        <v>1</v>
      </c>
      <c r="N21219">
        <v>2.9190599999999999E-23</v>
      </c>
      <c r="O21219">
        <v>264</v>
      </c>
    </row>
    <row r="21220" spans="1:15" x14ac:dyDescent="0.25">
      <c r="A21220" t="s">
        <v>21233</v>
      </c>
      <c r="B21220">
        <v>797</v>
      </c>
      <c r="C21220" s="1" t="str">
        <f>HYPERLINK("http://www.rosaceae.org/gb/gbrowse/malus_x_domestica/?name=MDP0000277077","MDP0000277077")</f>
        <v>MDP0000277077</v>
      </c>
      <c r="D21220">
        <v>56.49</v>
      </c>
      <c r="E21220">
        <v>832</v>
      </c>
      <c r="F21220">
        <v>362</v>
      </c>
      <c r="G21220">
        <v>64</v>
      </c>
      <c r="H21220">
        <v>4</v>
      </c>
      <c r="I21220">
        <v>792</v>
      </c>
      <c r="J21220">
        <v>1</v>
      </c>
      <c r="K21220">
        <v>5</v>
      </c>
      <c r="L21220">
        <v>815</v>
      </c>
      <c r="M21220">
        <v>1</v>
      </c>
      <c r="N21220">
        <v>0</v>
      </c>
      <c r="O21220">
        <v>2494</v>
      </c>
    </row>
    <row r="21221" spans="1:15" x14ac:dyDescent="0.25">
      <c r="A21221" t="s">
        <v>21234</v>
      </c>
      <c r="B21221">
        <v>502</v>
      </c>
      <c r="C21221" s="1" t="str">
        <f>HYPERLINK("http://www.rosaceae.org/gb/gbrowse/malus_x_domestica/?name=MDP0000308757","MDP0000308757")</f>
        <v>MDP0000308757</v>
      </c>
      <c r="D21221">
        <v>67.11</v>
      </c>
      <c r="E21221">
        <v>222</v>
      </c>
      <c r="F21221">
        <v>73</v>
      </c>
      <c r="G21221">
        <v>6</v>
      </c>
      <c r="H21221">
        <v>55</v>
      </c>
      <c r="I21221">
        <v>270</v>
      </c>
      <c r="J21221">
        <v>1</v>
      </c>
      <c r="K21221">
        <v>861</v>
      </c>
      <c r="L21221">
        <v>1082</v>
      </c>
      <c r="M21221">
        <v>1</v>
      </c>
      <c r="N21221">
        <v>1.42488E-85</v>
      </c>
      <c r="O21221">
        <v>804</v>
      </c>
    </row>
    <row r="21222" spans="1:15" x14ac:dyDescent="0.25">
      <c r="A21222" t="s">
        <v>21235</v>
      </c>
      <c r="B21222">
        <v>412</v>
      </c>
      <c r="C21222" s="1" t="str">
        <f>HYPERLINK("http://www.rosaceae.org/gb/gbrowse/malus_x_domestica/?name=MDP0000459932","MDP0000459932")</f>
        <v>MDP0000459932</v>
      </c>
      <c r="D21222">
        <v>37.549999999999997</v>
      </c>
      <c r="E21222">
        <v>213</v>
      </c>
      <c r="F21222">
        <v>133</v>
      </c>
      <c r="G21222">
        <v>9</v>
      </c>
      <c r="H21222">
        <v>194</v>
      </c>
      <c r="I21222">
        <v>401</v>
      </c>
      <c r="J21222">
        <v>1</v>
      </c>
      <c r="K21222">
        <v>30</v>
      </c>
      <c r="L21222">
        <v>238</v>
      </c>
      <c r="M21222">
        <v>1</v>
      </c>
      <c r="N21222">
        <v>5.7551399999999998E-36</v>
      </c>
      <c r="O21222">
        <v>376</v>
      </c>
    </row>
    <row r="21223" spans="1:15" x14ac:dyDescent="0.25">
      <c r="A21223" t="s">
        <v>21236</v>
      </c>
      <c r="B21223">
        <v>493</v>
      </c>
      <c r="C21223" s="1" t="str">
        <f>HYPERLINK("http://www.rosaceae.org/gb/gbrowse/malus_x_domestica/?name=MDP0000230479","MDP0000230479")</f>
        <v>MDP0000230479</v>
      </c>
      <c r="D21223">
        <v>34.49</v>
      </c>
      <c r="E21223">
        <v>287</v>
      </c>
      <c r="F21223">
        <v>188</v>
      </c>
      <c r="G21223">
        <v>33</v>
      </c>
      <c r="H21223">
        <v>137</v>
      </c>
      <c r="I21223">
        <v>419</v>
      </c>
      <c r="J21223">
        <v>1</v>
      </c>
      <c r="K21223">
        <v>242</v>
      </c>
      <c r="L21223">
        <v>499</v>
      </c>
      <c r="M21223">
        <v>1</v>
      </c>
      <c r="N21223">
        <v>9.5411499999999995E-37</v>
      </c>
      <c r="O21223">
        <v>383</v>
      </c>
    </row>
    <row r="21224" spans="1:15" x14ac:dyDescent="0.25">
      <c r="A21224" t="s">
        <v>21237</v>
      </c>
      <c r="B21224">
        <v>170</v>
      </c>
      <c r="C21224" s="1" t="str">
        <f>HYPERLINK("http://www.rosaceae.org/gb/gbrowse/malus_x_domestica/?name=MDP0000922228","MDP0000922228")</f>
        <v>MDP0000922228</v>
      </c>
      <c r="D21224">
        <v>95.74</v>
      </c>
      <c r="E21224">
        <v>94</v>
      </c>
      <c r="F21224">
        <v>4</v>
      </c>
      <c r="G21224">
        <v>0</v>
      </c>
      <c r="H21224">
        <v>77</v>
      </c>
      <c r="I21224">
        <v>170</v>
      </c>
      <c r="J21224">
        <v>1</v>
      </c>
      <c r="K21224">
        <v>1</v>
      </c>
      <c r="L21224">
        <v>94</v>
      </c>
      <c r="M21224">
        <v>1</v>
      </c>
      <c r="N21224">
        <v>3.18002E-47</v>
      </c>
      <c r="O21224">
        <v>468</v>
      </c>
    </row>
    <row r="21225" spans="1:15" x14ac:dyDescent="0.25">
      <c r="A21225" t="s">
        <v>21238</v>
      </c>
      <c r="B21225">
        <v>363</v>
      </c>
      <c r="C21225" s="1" t="str">
        <f>HYPERLINK("http://www.rosaceae.org/gb/gbrowse/malus_x_domestica/?name=MDP0000127602","MDP0000127602")</f>
        <v>MDP0000127602</v>
      </c>
      <c r="D21225">
        <v>67.5</v>
      </c>
      <c r="E21225">
        <v>360</v>
      </c>
      <c r="F21225">
        <v>117</v>
      </c>
      <c r="G21225">
        <v>8</v>
      </c>
      <c r="H21225">
        <v>3</v>
      </c>
      <c r="I21225">
        <v>361</v>
      </c>
      <c r="J21225">
        <v>1</v>
      </c>
      <c r="K21225">
        <v>1</v>
      </c>
      <c r="L21225">
        <v>353</v>
      </c>
      <c r="M21225">
        <v>1</v>
      </c>
      <c r="N21225">
        <v>1.1860300000000001E-131</v>
      </c>
      <c r="O21225">
        <v>1200</v>
      </c>
    </row>
    <row r="21226" spans="1:15" x14ac:dyDescent="0.25">
      <c r="A21226" t="s">
        <v>21239</v>
      </c>
      <c r="B21226">
        <v>327</v>
      </c>
      <c r="C21226" s="1" t="str">
        <f>HYPERLINK("http://www.rosaceae.org/gb/gbrowse/malus_x_domestica/?name=MDP0000608081","MDP0000608081")</f>
        <v>MDP0000608081</v>
      </c>
      <c r="D21226">
        <v>54.67</v>
      </c>
      <c r="E21226">
        <v>278</v>
      </c>
      <c r="F21226">
        <v>126</v>
      </c>
      <c r="G21226">
        <v>8</v>
      </c>
      <c r="H21226">
        <v>43</v>
      </c>
      <c r="I21226">
        <v>312</v>
      </c>
      <c r="J21226">
        <v>1</v>
      </c>
      <c r="K21226">
        <v>75</v>
      </c>
      <c r="L21226">
        <v>352</v>
      </c>
      <c r="M21226">
        <v>1</v>
      </c>
      <c r="N21226">
        <v>1.9525199999999999E-80</v>
      </c>
      <c r="O21226">
        <v>758</v>
      </c>
    </row>
    <row r="21227" spans="1:15" x14ac:dyDescent="0.25">
      <c r="A21227" t="s">
        <v>21240</v>
      </c>
      <c r="B21227">
        <v>2050</v>
      </c>
      <c r="C21227" s="1" t="str">
        <f>HYPERLINK("http://www.rosaceae.org/gb/gbrowse/malus_x_domestica/?name=MDP0000252216","MDP0000252216")</f>
        <v>MDP0000252216</v>
      </c>
      <c r="D21227">
        <v>55.78</v>
      </c>
      <c r="E21227">
        <v>717</v>
      </c>
      <c r="F21227">
        <v>317</v>
      </c>
      <c r="G21227">
        <v>92</v>
      </c>
      <c r="H21227">
        <v>224</v>
      </c>
      <c r="I21227">
        <v>859</v>
      </c>
      <c r="J21227">
        <v>1</v>
      </c>
      <c r="K21227">
        <v>108</v>
      </c>
      <c r="L21227">
        <v>813</v>
      </c>
      <c r="M21227">
        <v>1</v>
      </c>
      <c r="N21227">
        <v>0</v>
      </c>
      <c r="O21227">
        <v>1875</v>
      </c>
    </row>
    <row r="21228" spans="1:15" x14ac:dyDescent="0.25">
      <c r="A21228" t="s">
        <v>21241</v>
      </c>
      <c r="B21228">
        <v>259</v>
      </c>
      <c r="C21228" s="1" t="str">
        <f>HYPERLINK("http://www.rosaceae.org/gb/gbrowse/malus_x_domestica/?name=MDP0000286786","MDP0000286786")</f>
        <v>MDP0000286786</v>
      </c>
      <c r="D21228">
        <v>77.27</v>
      </c>
      <c r="E21228">
        <v>220</v>
      </c>
      <c r="F21228">
        <v>50</v>
      </c>
      <c r="G21228">
        <v>2</v>
      </c>
      <c r="H21228">
        <v>1</v>
      </c>
      <c r="I21228">
        <v>220</v>
      </c>
      <c r="J21228">
        <v>1</v>
      </c>
      <c r="K21228">
        <v>173</v>
      </c>
      <c r="L21228">
        <v>390</v>
      </c>
      <c r="M21228">
        <v>1</v>
      </c>
      <c r="N21228">
        <v>1.2378E-99</v>
      </c>
      <c r="O21228">
        <v>922</v>
      </c>
    </row>
    <row r="21229" spans="1:15" x14ac:dyDescent="0.25">
      <c r="A21229" t="s">
        <v>21242</v>
      </c>
      <c r="B21229">
        <v>336</v>
      </c>
      <c r="C21229" s="1" t="str">
        <f>HYPERLINK("http://www.rosaceae.org/gb/gbrowse/malus_x_domestica/?name=MDP0000668135","MDP0000668135")</f>
        <v>MDP0000668135</v>
      </c>
      <c r="D21229">
        <v>39.54</v>
      </c>
      <c r="E21229">
        <v>349</v>
      </c>
      <c r="F21229">
        <v>211</v>
      </c>
      <c r="G21229">
        <v>24</v>
      </c>
      <c r="H21229">
        <v>3</v>
      </c>
      <c r="I21229">
        <v>334</v>
      </c>
      <c r="J21229">
        <v>1</v>
      </c>
      <c r="K21229">
        <v>2</v>
      </c>
      <c r="L21229">
        <v>343</v>
      </c>
      <c r="M21229">
        <v>1</v>
      </c>
      <c r="N21229">
        <v>1.7231100000000001E-72</v>
      </c>
      <c r="O21229">
        <v>690</v>
      </c>
    </row>
    <row r="21230" spans="1:15" x14ac:dyDescent="0.25">
      <c r="A21230" t="s">
        <v>21243</v>
      </c>
      <c r="B21230">
        <v>592</v>
      </c>
      <c r="C21230" s="1" t="str">
        <f>HYPERLINK("http://www.rosaceae.org/gb/gbrowse/malus_x_domestica/?name=MDP0000822077","MDP0000822077")</f>
        <v>MDP0000822077</v>
      </c>
      <c r="D21230">
        <v>80.069999999999993</v>
      </c>
      <c r="E21230">
        <v>532</v>
      </c>
      <c r="F21230">
        <v>106</v>
      </c>
      <c r="G21230">
        <v>1</v>
      </c>
      <c r="H21230">
        <v>61</v>
      </c>
      <c r="I21230">
        <v>591</v>
      </c>
      <c r="J21230">
        <v>1</v>
      </c>
      <c r="K21230">
        <v>11</v>
      </c>
      <c r="L21230">
        <v>542</v>
      </c>
      <c r="M21230">
        <v>1</v>
      </c>
      <c r="N21230">
        <v>0</v>
      </c>
      <c r="O21230">
        <v>2291</v>
      </c>
    </row>
    <row r="21231" spans="1:15" x14ac:dyDescent="0.25">
      <c r="A21231" t="s">
        <v>21244</v>
      </c>
      <c r="B21231">
        <v>113</v>
      </c>
      <c r="C21231" s="1" t="str">
        <f>HYPERLINK("http://www.rosaceae.org/gb/gbrowse/malus_x_domestica/?name=MDP0000164135","MDP0000164135")</f>
        <v>MDP0000164135</v>
      </c>
      <c r="D21231">
        <v>42.99</v>
      </c>
      <c r="E21231">
        <v>107</v>
      </c>
      <c r="F21231">
        <v>61</v>
      </c>
      <c r="G21231">
        <v>2</v>
      </c>
      <c r="H21231">
        <v>2</v>
      </c>
      <c r="I21231">
        <v>108</v>
      </c>
      <c r="J21231">
        <v>1</v>
      </c>
      <c r="K21231">
        <v>136</v>
      </c>
      <c r="L21231">
        <v>240</v>
      </c>
      <c r="M21231">
        <v>1</v>
      </c>
      <c r="N21231">
        <v>1.0743E-16</v>
      </c>
      <c r="O21231">
        <v>201</v>
      </c>
    </row>
    <row r="21232" spans="1:15" x14ac:dyDescent="0.25">
      <c r="A21232" t="s">
        <v>21245</v>
      </c>
      <c r="B21232">
        <v>841</v>
      </c>
      <c r="C21232" s="1" t="str">
        <f>HYPERLINK("http://www.rosaceae.org/gb/gbrowse/malus_x_domestica/?name=MDP0000617759","MDP0000617759")</f>
        <v>MDP0000617759</v>
      </c>
      <c r="D21232">
        <v>52.88</v>
      </c>
      <c r="E21232">
        <v>694</v>
      </c>
      <c r="F21232">
        <v>327</v>
      </c>
      <c r="G21232">
        <v>31</v>
      </c>
      <c r="H21232">
        <v>59</v>
      </c>
      <c r="I21232">
        <v>739</v>
      </c>
      <c r="J21232">
        <v>1</v>
      </c>
      <c r="K21232">
        <v>1130</v>
      </c>
      <c r="L21232">
        <v>1805</v>
      </c>
      <c r="M21232">
        <v>1</v>
      </c>
      <c r="N21232">
        <v>0</v>
      </c>
      <c r="O21232">
        <v>1668</v>
      </c>
    </row>
    <row r="21233" spans="1:15" x14ac:dyDescent="0.25">
      <c r="A21233" t="s">
        <v>21246</v>
      </c>
      <c r="B21233">
        <v>190</v>
      </c>
      <c r="C21233" s="1" t="str">
        <f>HYPERLINK("http://www.rosaceae.org/gb/gbrowse/malus_x_domestica/?name=MDP0000186074","MDP0000186074")</f>
        <v>MDP0000186074</v>
      </c>
      <c r="D21233">
        <v>61.18</v>
      </c>
      <c r="E21233">
        <v>219</v>
      </c>
      <c r="F21233">
        <v>85</v>
      </c>
      <c r="G21233">
        <v>33</v>
      </c>
      <c r="H21233">
        <v>1</v>
      </c>
      <c r="I21233">
        <v>190</v>
      </c>
      <c r="J21233">
        <v>1</v>
      </c>
      <c r="K21233">
        <v>1</v>
      </c>
      <c r="L21233">
        <v>215</v>
      </c>
      <c r="M21233">
        <v>1</v>
      </c>
      <c r="N21233">
        <v>2.8216E-63</v>
      </c>
      <c r="O21233">
        <v>607</v>
      </c>
    </row>
    <row r="21234" spans="1:15" x14ac:dyDescent="0.25">
      <c r="A21234" t="s">
        <v>21247</v>
      </c>
      <c r="B21234">
        <v>132</v>
      </c>
      <c r="C21234" s="1" t="str">
        <f>HYPERLINK("http://www.rosaceae.org/gb/gbrowse/malus_x_domestica/?name=MDP0000315920","MDP0000315920")</f>
        <v>MDP0000315920</v>
      </c>
      <c r="D21234">
        <v>62.82</v>
      </c>
      <c r="E21234">
        <v>156</v>
      </c>
      <c r="F21234">
        <v>58</v>
      </c>
      <c r="G21234">
        <v>24</v>
      </c>
      <c r="H21234">
        <v>1</v>
      </c>
      <c r="I21234">
        <v>132</v>
      </c>
      <c r="J21234">
        <v>1</v>
      </c>
      <c r="K21234">
        <v>96</v>
      </c>
      <c r="L21234">
        <v>251</v>
      </c>
      <c r="M21234">
        <v>1</v>
      </c>
      <c r="N21234">
        <v>8.5824900000000005E-47</v>
      </c>
      <c r="O21234">
        <v>462</v>
      </c>
    </row>
    <row r="21235" spans="1:15" x14ac:dyDescent="0.25">
      <c r="A21235" t="s">
        <v>21248</v>
      </c>
      <c r="B21235">
        <v>543</v>
      </c>
      <c r="C21235" s="1" t="str">
        <f>HYPERLINK("http://www.rosaceae.org/gb/gbrowse/malus_x_domestica/?name=MDP0000158790","MDP0000158790")</f>
        <v>MDP0000158790</v>
      </c>
      <c r="D21235">
        <v>78.069999999999993</v>
      </c>
      <c r="E21235">
        <v>529</v>
      </c>
      <c r="F21235">
        <v>116</v>
      </c>
      <c r="G21235">
        <v>9</v>
      </c>
      <c r="H21235">
        <v>14</v>
      </c>
      <c r="I21235">
        <v>536</v>
      </c>
      <c r="J21235">
        <v>1</v>
      </c>
      <c r="K21235">
        <v>1</v>
      </c>
      <c r="L21235">
        <v>526</v>
      </c>
      <c r="M21235">
        <v>1</v>
      </c>
      <c r="N21235">
        <v>0</v>
      </c>
      <c r="O21235">
        <v>2110</v>
      </c>
    </row>
    <row r="21236" spans="1:15" x14ac:dyDescent="0.25">
      <c r="A21236" t="s">
        <v>21249</v>
      </c>
      <c r="B21236">
        <v>326</v>
      </c>
      <c r="C21236" s="1" t="str">
        <f>HYPERLINK("http://www.rosaceae.org/gb/gbrowse/malus_x_domestica/?name=MDP0000137428","MDP0000137428")</f>
        <v>MDP0000137428</v>
      </c>
      <c r="D21236">
        <v>76.38</v>
      </c>
      <c r="E21236">
        <v>326</v>
      </c>
      <c r="F21236">
        <v>77</v>
      </c>
      <c r="G21236">
        <v>1</v>
      </c>
      <c r="H21236">
        <v>1</v>
      </c>
      <c r="I21236">
        <v>326</v>
      </c>
      <c r="J21236">
        <v>1</v>
      </c>
      <c r="K21236">
        <v>1</v>
      </c>
      <c r="L21236">
        <v>325</v>
      </c>
      <c r="M21236">
        <v>1</v>
      </c>
      <c r="N21236">
        <v>4.7390299999999999E-143</v>
      </c>
      <c r="O21236">
        <v>1298</v>
      </c>
    </row>
    <row r="21237" spans="1:15" x14ac:dyDescent="0.25">
      <c r="A21237" t="s">
        <v>21250</v>
      </c>
      <c r="B21237">
        <v>837</v>
      </c>
      <c r="C21237" s="1" t="str">
        <f>HYPERLINK("http://www.rosaceae.org/gb/gbrowse/malus_x_domestica/?name=MDP0000260737","MDP0000260737")</f>
        <v>MDP0000260737</v>
      </c>
      <c r="D21237">
        <v>67.8</v>
      </c>
      <c r="E21237">
        <v>351</v>
      </c>
      <c r="F21237">
        <v>113</v>
      </c>
      <c r="G21237">
        <v>14</v>
      </c>
      <c r="H21237">
        <v>38</v>
      </c>
      <c r="I21237">
        <v>375</v>
      </c>
      <c r="J21237">
        <v>1</v>
      </c>
      <c r="K21237">
        <v>43</v>
      </c>
      <c r="L21237">
        <v>392</v>
      </c>
      <c r="M21237">
        <v>1</v>
      </c>
      <c r="N21237">
        <v>3.7326300000000003E-138</v>
      </c>
      <c r="O21237">
        <v>1260</v>
      </c>
    </row>
    <row r="21238" spans="1:15" x14ac:dyDescent="0.25">
      <c r="A21238" t="s">
        <v>21251</v>
      </c>
      <c r="B21238">
        <v>964</v>
      </c>
      <c r="C21238" s="1" t="str">
        <f>HYPERLINK("http://www.rosaceae.org/gb/gbrowse/malus_x_domestica/?name=MDP0000204914","MDP0000204914")</f>
        <v>MDP0000204914</v>
      </c>
      <c r="D21238">
        <v>50.1</v>
      </c>
      <c r="E21238">
        <v>950</v>
      </c>
      <c r="F21238">
        <v>474</v>
      </c>
      <c r="G21238">
        <v>97</v>
      </c>
      <c r="H21238">
        <v>7</v>
      </c>
      <c r="I21238">
        <v>864</v>
      </c>
      <c r="J21238">
        <v>1</v>
      </c>
      <c r="K21238">
        <v>54</v>
      </c>
      <c r="L21238">
        <v>998</v>
      </c>
      <c r="M21238">
        <v>1</v>
      </c>
      <c r="N21238">
        <v>0</v>
      </c>
      <c r="O21238">
        <v>2181</v>
      </c>
    </row>
    <row r="21239" spans="1:15" x14ac:dyDescent="0.25">
      <c r="A21239" t="s">
        <v>21252</v>
      </c>
      <c r="B21239">
        <v>312</v>
      </c>
      <c r="C21239" s="1" t="str">
        <f>HYPERLINK("http://www.rosaceae.org/gb/gbrowse/malus_x_domestica/?name=MDP0000328793","MDP0000328793")</f>
        <v>MDP0000328793</v>
      </c>
      <c r="D21239">
        <v>58.59</v>
      </c>
      <c r="E21239">
        <v>314</v>
      </c>
      <c r="F21239">
        <v>130</v>
      </c>
      <c r="G21239">
        <v>25</v>
      </c>
      <c r="H21239">
        <v>1</v>
      </c>
      <c r="I21239">
        <v>309</v>
      </c>
      <c r="J21239">
        <v>1</v>
      </c>
      <c r="K21239">
        <v>1</v>
      </c>
      <c r="L21239">
        <v>294</v>
      </c>
      <c r="M21239">
        <v>1</v>
      </c>
      <c r="N21239">
        <v>8.49505E-93</v>
      </c>
      <c r="O21239">
        <v>864</v>
      </c>
    </row>
    <row r="21240" spans="1:15" x14ac:dyDescent="0.25">
      <c r="A21240" t="s">
        <v>21253</v>
      </c>
      <c r="B21240">
        <v>527</v>
      </c>
      <c r="C21240" s="1" t="str">
        <f>HYPERLINK("http://www.rosaceae.org/gb/gbrowse/malus_x_domestica/?name=MDP0000094595","MDP0000094595")</f>
        <v>MDP0000094595</v>
      </c>
      <c r="D21240">
        <v>80.040000000000006</v>
      </c>
      <c r="E21240">
        <v>476</v>
      </c>
      <c r="F21240">
        <v>95</v>
      </c>
      <c r="G21240">
        <v>58</v>
      </c>
      <c r="H21240">
        <v>99</v>
      </c>
      <c r="I21240">
        <v>516</v>
      </c>
      <c r="J21240">
        <v>1</v>
      </c>
      <c r="K21240">
        <v>1519</v>
      </c>
      <c r="L21240">
        <v>1994</v>
      </c>
      <c r="M21240">
        <v>1</v>
      </c>
      <c r="N21240">
        <v>0</v>
      </c>
      <c r="O21240">
        <v>1983</v>
      </c>
    </row>
    <row r="21241" spans="1:15" x14ac:dyDescent="0.25">
      <c r="A21241" t="s">
        <v>21254</v>
      </c>
      <c r="B21241">
        <v>654</v>
      </c>
      <c r="C21241" s="1" t="str">
        <f>HYPERLINK("http://www.rosaceae.org/gb/gbrowse/malus_x_domestica/?name=MDP0000261706","MDP0000261706")</f>
        <v>MDP0000261706</v>
      </c>
      <c r="D21241">
        <v>74.77</v>
      </c>
      <c r="E21241">
        <v>452</v>
      </c>
      <c r="F21241">
        <v>114</v>
      </c>
      <c r="G21241">
        <v>13</v>
      </c>
      <c r="H21241">
        <v>204</v>
      </c>
      <c r="I21241">
        <v>646</v>
      </c>
      <c r="J21241">
        <v>1</v>
      </c>
      <c r="K21241">
        <v>459</v>
      </c>
      <c r="L21241">
        <v>906</v>
      </c>
      <c r="M21241">
        <v>1</v>
      </c>
      <c r="N21241">
        <v>0</v>
      </c>
      <c r="O21241">
        <v>1727</v>
      </c>
    </row>
    <row r="21242" spans="1:15" x14ac:dyDescent="0.25">
      <c r="A21242" t="s">
        <v>21255</v>
      </c>
      <c r="B21242">
        <v>224</v>
      </c>
      <c r="C21242" s="1" t="str">
        <f>HYPERLINK("http://www.rosaceae.org/gb/gbrowse/malus_x_domestica/?name=MDP0000237091","MDP0000237091")</f>
        <v>MDP0000237091</v>
      </c>
      <c r="D21242">
        <v>44.01</v>
      </c>
      <c r="E21242">
        <v>209</v>
      </c>
      <c r="F21242">
        <v>117</v>
      </c>
      <c r="G21242">
        <v>10</v>
      </c>
      <c r="H21242">
        <v>1</v>
      </c>
      <c r="I21242">
        <v>203</v>
      </c>
      <c r="J21242">
        <v>1</v>
      </c>
      <c r="K21242">
        <v>4</v>
      </c>
      <c r="L21242">
        <v>208</v>
      </c>
      <c r="M21242">
        <v>1</v>
      </c>
      <c r="N21242">
        <v>1.3278299999999999E-41</v>
      </c>
      <c r="O21242">
        <v>421</v>
      </c>
    </row>
    <row r="21243" spans="1:15" x14ac:dyDescent="0.25">
      <c r="A21243" t="s">
        <v>21256</v>
      </c>
      <c r="B21243">
        <v>282</v>
      </c>
      <c r="C21243" s="1" t="str">
        <f>HYPERLINK("http://www.rosaceae.org/gb/gbrowse/malus_x_domestica/?name=MDP0000166645","MDP0000166645")</f>
        <v>MDP0000166645</v>
      </c>
      <c r="D21243">
        <v>52.96</v>
      </c>
      <c r="E21243">
        <v>236</v>
      </c>
      <c r="F21243">
        <v>111</v>
      </c>
      <c r="G21243">
        <v>23</v>
      </c>
      <c r="H21243">
        <v>1</v>
      </c>
      <c r="I21243">
        <v>213</v>
      </c>
      <c r="J21243">
        <v>1</v>
      </c>
      <c r="K21243">
        <v>1</v>
      </c>
      <c r="L21243">
        <v>236</v>
      </c>
      <c r="M21243">
        <v>1</v>
      </c>
      <c r="N21243">
        <v>7.5953699999999995E-63</v>
      </c>
      <c r="O21243">
        <v>606</v>
      </c>
    </row>
    <row r="21244" spans="1:15" x14ac:dyDescent="0.25">
      <c r="A21244" t="s">
        <v>21257</v>
      </c>
      <c r="B21244">
        <v>504</v>
      </c>
      <c r="C21244" s="1" t="str">
        <f>HYPERLINK("http://www.rosaceae.org/gb/gbrowse/malus_x_domestica/?name=MDP0000178796","MDP0000178796")</f>
        <v>MDP0000178796</v>
      </c>
      <c r="D21244">
        <v>68.8</v>
      </c>
      <c r="E21244">
        <v>484</v>
      </c>
      <c r="F21244">
        <v>151</v>
      </c>
      <c r="G21244">
        <v>62</v>
      </c>
      <c r="H21244">
        <v>81</v>
      </c>
      <c r="I21244">
        <v>502</v>
      </c>
      <c r="J21244">
        <v>1</v>
      </c>
      <c r="K21244">
        <v>14</v>
      </c>
      <c r="L21244">
        <v>497</v>
      </c>
      <c r="M21244">
        <v>1</v>
      </c>
      <c r="N21244">
        <v>0</v>
      </c>
      <c r="O21244">
        <v>1703</v>
      </c>
    </row>
    <row r="21245" spans="1:15" x14ac:dyDescent="0.25">
      <c r="A21245" t="s">
        <v>21258</v>
      </c>
      <c r="B21245">
        <v>369</v>
      </c>
      <c r="C21245" s="1" t="str">
        <f>HYPERLINK("http://www.rosaceae.org/gb/gbrowse/malus_x_domestica/?name=MDP0000258057","MDP0000258057")</f>
        <v>MDP0000258057</v>
      </c>
      <c r="D21245">
        <v>80.87</v>
      </c>
      <c r="E21245">
        <v>387</v>
      </c>
      <c r="F21245">
        <v>74</v>
      </c>
      <c r="G21245">
        <v>49</v>
      </c>
      <c r="H21245">
        <v>1</v>
      </c>
      <c r="I21245">
        <v>369</v>
      </c>
      <c r="J21245">
        <v>1</v>
      </c>
      <c r="K21245">
        <v>1</v>
      </c>
      <c r="L21245">
        <v>356</v>
      </c>
      <c r="M21245">
        <v>1</v>
      </c>
      <c r="N21245">
        <v>2.4542599999999998E-177</v>
      </c>
      <c r="O21245">
        <v>1594</v>
      </c>
    </row>
    <row r="21246" spans="1:15" x14ac:dyDescent="0.25">
      <c r="A21246" t="s">
        <v>21259</v>
      </c>
      <c r="B21246">
        <v>330</v>
      </c>
      <c r="C21246" s="1" t="str">
        <f>HYPERLINK("http://www.rosaceae.org/gb/gbrowse/malus_x_domestica/?name=MDP0000127313","MDP0000127313")</f>
        <v>MDP0000127313</v>
      </c>
      <c r="D21246">
        <v>86.7</v>
      </c>
      <c r="E21246">
        <v>158</v>
      </c>
      <c r="F21246">
        <v>21</v>
      </c>
      <c r="G21246">
        <v>2</v>
      </c>
      <c r="H21246">
        <v>145</v>
      </c>
      <c r="I21246">
        <v>300</v>
      </c>
      <c r="J21246">
        <v>1</v>
      </c>
      <c r="K21246">
        <v>235</v>
      </c>
      <c r="L21246">
        <v>392</v>
      </c>
      <c r="M21246">
        <v>1</v>
      </c>
      <c r="N21246">
        <v>3.3831399999999998E-72</v>
      </c>
      <c r="O21246">
        <v>687</v>
      </c>
    </row>
    <row r="21247" spans="1:15" x14ac:dyDescent="0.25">
      <c r="A21247" t="s">
        <v>21260</v>
      </c>
      <c r="B21247">
        <v>391</v>
      </c>
      <c r="C21247" s="1" t="str">
        <f>HYPERLINK("http://www.rosaceae.org/gb/gbrowse/malus_x_domestica/?name=MDP0000284506","MDP0000284506")</f>
        <v>MDP0000284506</v>
      </c>
      <c r="D21247">
        <v>62.85</v>
      </c>
      <c r="E21247">
        <v>35</v>
      </c>
      <c r="F21247">
        <v>13</v>
      </c>
      <c r="G21247">
        <v>0</v>
      </c>
      <c r="H21247">
        <v>142</v>
      </c>
      <c r="I21247">
        <v>176</v>
      </c>
      <c r="J21247">
        <v>1</v>
      </c>
      <c r="K21247">
        <v>807</v>
      </c>
      <c r="L21247">
        <v>841</v>
      </c>
      <c r="M21247">
        <v>1</v>
      </c>
      <c r="N21247">
        <v>9.6801999999999996E-8</v>
      </c>
      <c r="O21247">
        <v>132</v>
      </c>
    </row>
    <row r="21248" spans="1:15" x14ac:dyDescent="0.25">
      <c r="A21248" t="s">
        <v>21261</v>
      </c>
      <c r="B21248">
        <v>336</v>
      </c>
      <c r="C21248" s="1" t="str">
        <f>HYPERLINK("http://www.rosaceae.org/gb/gbrowse/malus_x_domestica/?name=MDP0000700517","MDP0000700517")</f>
        <v>MDP0000700517</v>
      </c>
      <c r="D21248">
        <v>23.9</v>
      </c>
      <c r="E21248">
        <v>205</v>
      </c>
      <c r="F21248">
        <v>156</v>
      </c>
      <c r="G21248">
        <v>41</v>
      </c>
      <c r="H21248">
        <v>89</v>
      </c>
      <c r="I21248">
        <v>252</v>
      </c>
      <c r="J21248">
        <v>1</v>
      </c>
      <c r="K21248">
        <v>88</v>
      </c>
      <c r="L21248">
        <v>292</v>
      </c>
      <c r="M21248">
        <v>1</v>
      </c>
      <c r="N21248">
        <v>7.5532000000000001E-11</v>
      </c>
      <c r="O21248">
        <v>158</v>
      </c>
    </row>
    <row r="21249" spans="1:15" x14ac:dyDescent="0.25">
      <c r="A21249" t="s">
        <v>21262</v>
      </c>
      <c r="B21249">
        <v>168</v>
      </c>
      <c r="C21249" s="1" t="str">
        <f>HYPERLINK("http://www.rosaceae.org/gb/gbrowse/malus_x_domestica/?name=MDP0000201502","MDP0000201502")</f>
        <v>MDP0000201502</v>
      </c>
      <c r="D21249">
        <v>75.75</v>
      </c>
      <c r="E21249">
        <v>132</v>
      </c>
      <c r="F21249">
        <v>32</v>
      </c>
      <c r="G21249">
        <v>0</v>
      </c>
      <c r="H21249">
        <v>37</v>
      </c>
      <c r="I21249">
        <v>168</v>
      </c>
      <c r="J21249">
        <v>1</v>
      </c>
      <c r="K21249">
        <v>4</v>
      </c>
      <c r="L21249">
        <v>135</v>
      </c>
      <c r="M21249">
        <v>1</v>
      </c>
      <c r="N21249">
        <v>2.9847099999999998E-56</v>
      </c>
      <c r="O21249">
        <v>545</v>
      </c>
    </row>
    <row r="21250" spans="1:15" x14ac:dyDescent="0.25">
      <c r="A21250" t="s">
        <v>21263</v>
      </c>
      <c r="B21250">
        <v>170</v>
      </c>
      <c r="C21250" s="1" t="str">
        <f>HYPERLINK("http://www.rosaceae.org/gb/gbrowse/malus_x_domestica/?name=MDP0000268617","MDP0000268617")</f>
        <v>MDP0000268617</v>
      </c>
      <c r="D21250">
        <v>36.29</v>
      </c>
      <c r="E21250">
        <v>124</v>
      </c>
      <c r="F21250">
        <v>79</v>
      </c>
      <c r="G21250">
        <v>5</v>
      </c>
      <c r="H21250">
        <v>5</v>
      </c>
      <c r="I21250">
        <v>123</v>
      </c>
      <c r="J21250">
        <v>1</v>
      </c>
      <c r="K21250">
        <v>567</v>
      </c>
      <c r="L21250">
        <v>690</v>
      </c>
      <c r="M21250">
        <v>1</v>
      </c>
      <c r="N21250">
        <v>5.1582500000000001E-19</v>
      </c>
      <c r="O21250">
        <v>224</v>
      </c>
    </row>
    <row r="21251" spans="1:15" x14ac:dyDescent="0.25">
      <c r="A21251" t="s">
        <v>21264</v>
      </c>
      <c r="B21251">
        <v>583</v>
      </c>
      <c r="C21251" s="1" t="str">
        <f>HYPERLINK("http://www.rosaceae.org/gb/gbrowse/malus_x_domestica/?name=MDP0000531557","MDP0000531557")</f>
        <v>MDP0000531557</v>
      </c>
      <c r="D21251">
        <v>80.52</v>
      </c>
      <c r="E21251">
        <v>457</v>
      </c>
      <c r="F21251">
        <v>89</v>
      </c>
      <c r="G21251">
        <v>3</v>
      </c>
      <c r="H21251">
        <v>111</v>
      </c>
      <c r="I21251">
        <v>566</v>
      </c>
      <c r="J21251">
        <v>1</v>
      </c>
      <c r="K21251">
        <v>190</v>
      </c>
      <c r="L21251">
        <v>644</v>
      </c>
      <c r="M21251">
        <v>1</v>
      </c>
      <c r="N21251">
        <v>0</v>
      </c>
      <c r="O21251">
        <v>1992</v>
      </c>
    </row>
    <row r="21252" spans="1:15" x14ac:dyDescent="0.25">
      <c r="A21252" t="s">
        <v>21265</v>
      </c>
      <c r="B21252">
        <v>113</v>
      </c>
      <c r="C21252" s="1" t="str">
        <f>HYPERLINK("http://www.rosaceae.org/gb/gbrowse/malus_x_domestica/?name=MDP0000294868","MDP0000294868")</f>
        <v>MDP0000294868</v>
      </c>
      <c r="D21252">
        <v>87.73</v>
      </c>
      <c r="E21252">
        <v>106</v>
      </c>
      <c r="F21252">
        <v>13</v>
      </c>
      <c r="G21252">
        <v>0</v>
      </c>
      <c r="H21252">
        <v>1</v>
      </c>
      <c r="I21252">
        <v>106</v>
      </c>
      <c r="J21252">
        <v>1</v>
      </c>
      <c r="K21252">
        <v>1</v>
      </c>
      <c r="L21252">
        <v>106</v>
      </c>
      <c r="M21252">
        <v>1</v>
      </c>
      <c r="N21252">
        <v>3.1480700000000002E-49</v>
      </c>
      <c r="O21252">
        <v>482</v>
      </c>
    </row>
    <row r="21253" spans="1:15" x14ac:dyDescent="0.25">
      <c r="A21253" t="s">
        <v>21266</v>
      </c>
      <c r="B21253">
        <v>359</v>
      </c>
      <c r="C21253" s="1" t="str">
        <f>HYPERLINK("http://www.rosaceae.org/gb/gbrowse/malus_x_domestica/?name=MDP0000288817","MDP0000288817")</f>
        <v>MDP0000288817</v>
      </c>
      <c r="D21253">
        <v>36.68</v>
      </c>
      <c r="E21253">
        <v>428</v>
      </c>
      <c r="F21253">
        <v>271</v>
      </c>
      <c r="G21253">
        <v>102</v>
      </c>
      <c r="H21253">
        <v>13</v>
      </c>
      <c r="I21253">
        <v>359</v>
      </c>
      <c r="J21253">
        <v>1</v>
      </c>
      <c r="K21253">
        <v>650</v>
      </c>
      <c r="L21253">
        <v>1056</v>
      </c>
      <c r="M21253">
        <v>1</v>
      </c>
      <c r="N21253">
        <v>1.50429E-63</v>
      </c>
      <c r="O21253">
        <v>613</v>
      </c>
    </row>
    <row r="21254" spans="1:15" x14ac:dyDescent="0.25">
      <c r="A21254" t="s">
        <v>21267</v>
      </c>
      <c r="B21254">
        <v>511</v>
      </c>
      <c r="C21254" s="1" t="str">
        <f>HYPERLINK("http://www.rosaceae.org/gb/gbrowse/malus_x_domestica/?name=MDP0000514420","MDP0000514420")</f>
        <v>MDP0000514420</v>
      </c>
      <c r="D21254">
        <v>49.52</v>
      </c>
      <c r="E21254">
        <v>531</v>
      </c>
      <c r="F21254">
        <v>268</v>
      </c>
      <c r="G21254">
        <v>78</v>
      </c>
      <c r="H21254">
        <v>5</v>
      </c>
      <c r="I21254">
        <v>511</v>
      </c>
      <c r="J21254">
        <v>1</v>
      </c>
      <c r="K21254">
        <v>6</v>
      </c>
      <c r="L21254">
        <v>482</v>
      </c>
      <c r="M21254">
        <v>1</v>
      </c>
      <c r="N21254">
        <v>2.0493899999999999E-118</v>
      </c>
      <c r="O21254">
        <v>1088</v>
      </c>
    </row>
    <row r="21255" spans="1:15" x14ac:dyDescent="0.25">
      <c r="A21255" t="s">
        <v>21268</v>
      </c>
      <c r="B21255">
        <v>288</v>
      </c>
      <c r="C21255" s="1" t="str">
        <f>HYPERLINK("http://www.rosaceae.org/gb/gbrowse/malus_x_domestica/?name=MDP0000608701","MDP0000608701")</f>
        <v>MDP0000608701</v>
      </c>
      <c r="D21255">
        <v>57.01</v>
      </c>
      <c r="E21255">
        <v>228</v>
      </c>
      <c r="F21255">
        <v>98</v>
      </c>
      <c r="G21255">
        <v>6</v>
      </c>
      <c r="H21255">
        <v>61</v>
      </c>
      <c r="I21255">
        <v>286</v>
      </c>
      <c r="J21255">
        <v>1</v>
      </c>
      <c r="K21255">
        <v>787</v>
      </c>
      <c r="L21255">
        <v>1010</v>
      </c>
      <c r="M21255">
        <v>1</v>
      </c>
      <c r="N21255">
        <v>1.9639900000000001E-64</v>
      </c>
      <c r="O21255">
        <v>619</v>
      </c>
    </row>
    <row r="21256" spans="1:15" x14ac:dyDescent="0.25">
      <c r="A21256" t="s">
        <v>21269</v>
      </c>
      <c r="B21256">
        <v>215</v>
      </c>
      <c r="C21256" s="1" t="str">
        <f>HYPERLINK("http://www.rosaceae.org/gb/gbrowse/malus_x_domestica/?name=MDP0000166262","MDP0000166262")</f>
        <v>MDP0000166262</v>
      </c>
      <c r="D21256">
        <v>68.05</v>
      </c>
      <c r="E21256">
        <v>216</v>
      </c>
      <c r="F21256">
        <v>69</v>
      </c>
      <c r="G21256">
        <v>2</v>
      </c>
      <c r="H21256">
        <v>1</v>
      </c>
      <c r="I21256">
        <v>214</v>
      </c>
      <c r="J21256">
        <v>1</v>
      </c>
      <c r="K21256">
        <v>1</v>
      </c>
      <c r="L21256">
        <v>216</v>
      </c>
      <c r="M21256">
        <v>1</v>
      </c>
      <c r="N21256">
        <v>2.7477799999999999E-78</v>
      </c>
      <c r="O21256">
        <v>737</v>
      </c>
    </row>
    <row r="21257" spans="1:15" x14ac:dyDescent="0.25">
      <c r="A21257" t="s">
        <v>21270</v>
      </c>
      <c r="B21257">
        <v>206</v>
      </c>
      <c r="C21257" s="1" t="str">
        <f>HYPERLINK("http://www.rosaceae.org/gb/gbrowse/malus_x_domestica/?name=MDP0000617629","MDP0000617629")</f>
        <v>MDP0000617629</v>
      </c>
      <c r="D21257">
        <v>88.83</v>
      </c>
      <c r="E21257">
        <v>206</v>
      </c>
      <c r="F21257">
        <v>23</v>
      </c>
      <c r="G21257">
        <v>0</v>
      </c>
      <c r="H21257">
        <v>1</v>
      </c>
      <c r="I21257">
        <v>206</v>
      </c>
      <c r="J21257">
        <v>1</v>
      </c>
      <c r="K21257">
        <v>1</v>
      </c>
      <c r="L21257">
        <v>206</v>
      </c>
      <c r="M21257">
        <v>1</v>
      </c>
      <c r="N21257">
        <v>2.2569800000000001E-104</v>
      </c>
      <c r="O21257">
        <v>962</v>
      </c>
    </row>
    <row r="21258" spans="1:15" x14ac:dyDescent="0.25">
      <c r="A21258" t="s">
        <v>21271</v>
      </c>
      <c r="B21258">
        <v>914</v>
      </c>
      <c r="C21258" s="1" t="str">
        <f>HYPERLINK("http://www.rosaceae.org/gb/gbrowse/malus_x_domestica/?name=MDP0000281162","MDP0000281162")</f>
        <v>MDP0000281162</v>
      </c>
      <c r="D21258">
        <v>59.36</v>
      </c>
      <c r="E21258">
        <v>950</v>
      </c>
      <c r="F21258">
        <v>386</v>
      </c>
      <c r="G21258">
        <v>119</v>
      </c>
      <c r="H21258">
        <v>3</v>
      </c>
      <c r="I21258">
        <v>893</v>
      </c>
      <c r="J21258">
        <v>1</v>
      </c>
      <c r="K21258">
        <v>87</v>
      </c>
      <c r="L21258">
        <v>976</v>
      </c>
      <c r="M21258">
        <v>1</v>
      </c>
      <c r="N21258">
        <v>0</v>
      </c>
      <c r="O21258">
        <v>2582</v>
      </c>
    </row>
    <row r="21259" spans="1:15" x14ac:dyDescent="0.25">
      <c r="A21259" t="s">
        <v>21272</v>
      </c>
      <c r="B21259">
        <v>355</v>
      </c>
      <c r="C21259" s="1" t="str">
        <f>HYPERLINK("http://www.rosaceae.org/gb/gbrowse/malus_x_domestica/?name=MDP0000702868","MDP0000702868")</f>
        <v>MDP0000702868</v>
      </c>
      <c r="D21259">
        <v>82.4</v>
      </c>
      <c r="E21259">
        <v>250</v>
      </c>
      <c r="F21259">
        <v>44</v>
      </c>
      <c r="G21259">
        <v>0</v>
      </c>
      <c r="H21259">
        <v>106</v>
      </c>
      <c r="I21259">
        <v>355</v>
      </c>
      <c r="J21259">
        <v>1</v>
      </c>
      <c r="K21259">
        <v>23</v>
      </c>
      <c r="L21259">
        <v>272</v>
      </c>
      <c r="M21259">
        <v>1</v>
      </c>
      <c r="N21259">
        <v>6.47913E-123</v>
      </c>
      <c r="O21259">
        <v>1125</v>
      </c>
    </row>
    <row r="21260" spans="1:15" x14ac:dyDescent="0.25">
      <c r="A21260" t="s">
        <v>21273</v>
      </c>
      <c r="B21260">
        <v>1035</v>
      </c>
      <c r="C21260" s="1" t="str">
        <f>HYPERLINK("http://www.rosaceae.org/gb/gbrowse/malus_x_domestica/?name=MDP0000307601","MDP0000307601")</f>
        <v>MDP0000307601</v>
      </c>
      <c r="D21260">
        <v>72.81</v>
      </c>
      <c r="E21260">
        <v>1041</v>
      </c>
      <c r="F21260">
        <v>283</v>
      </c>
      <c r="G21260">
        <v>93</v>
      </c>
      <c r="H21260">
        <v>50</v>
      </c>
      <c r="I21260">
        <v>1035</v>
      </c>
      <c r="J21260">
        <v>1</v>
      </c>
      <c r="K21260">
        <v>600</v>
      </c>
      <c r="L21260">
        <v>1602</v>
      </c>
      <c r="M21260">
        <v>1</v>
      </c>
      <c r="N21260">
        <v>0</v>
      </c>
      <c r="O21260">
        <v>3778</v>
      </c>
    </row>
    <row r="21261" spans="1:15" x14ac:dyDescent="0.25">
      <c r="A21261" t="s">
        <v>21274</v>
      </c>
      <c r="B21261">
        <v>229</v>
      </c>
      <c r="C21261" s="1" t="str">
        <f>HYPERLINK("http://www.rosaceae.org/gb/gbrowse/malus_x_domestica/?name=MDP0000313211","MDP0000313211")</f>
        <v>MDP0000313211</v>
      </c>
      <c r="D21261">
        <v>57.64</v>
      </c>
      <c r="E21261">
        <v>229</v>
      </c>
      <c r="F21261">
        <v>97</v>
      </c>
      <c r="G21261">
        <v>6</v>
      </c>
      <c r="H21261">
        <v>1</v>
      </c>
      <c r="I21261">
        <v>227</v>
      </c>
      <c r="J21261">
        <v>1</v>
      </c>
      <c r="K21261">
        <v>1</v>
      </c>
      <c r="L21261">
        <v>225</v>
      </c>
      <c r="M21261">
        <v>1</v>
      </c>
      <c r="N21261">
        <v>8.2532499999999999E-63</v>
      </c>
      <c r="O21261">
        <v>604</v>
      </c>
    </row>
    <row r="21262" spans="1:15" x14ac:dyDescent="0.25">
      <c r="A21262" t="s">
        <v>21275</v>
      </c>
      <c r="B21262">
        <v>621</v>
      </c>
      <c r="C21262" s="1" t="str">
        <f>HYPERLINK("http://www.rosaceae.org/gb/gbrowse/malus_x_domestica/?name=MDP0000259633","MDP0000259633")</f>
        <v>MDP0000259633</v>
      </c>
      <c r="D21262">
        <v>77.06</v>
      </c>
      <c r="E21262">
        <v>484</v>
      </c>
      <c r="F21262">
        <v>111</v>
      </c>
      <c r="G21262">
        <v>39</v>
      </c>
      <c r="H21262">
        <v>5</v>
      </c>
      <c r="I21262">
        <v>451</v>
      </c>
      <c r="J21262">
        <v>1</v>
      </c>
      <c r="K21262">
        <v>4</v>
      </c>
      <c r="L21262">
        <v>485</v>
      </c>
      <c r="M21262">
        <v>1</v>
      </c>
      <c r="N21262">
        <v>0</v>
      </c>
      <c r="O21262">
        <v>1971</v>
      </c>
    </row>
    <row r="21263" spans="1:15" x14ac:dyDescent="0.25">
      <c r="A21263" t="s">
        <v>21276</v>
      </c>
      <c r="B21263">
        <v>641</v>
      </c>
      <c r="C21263" s="1" t="str">
        <f>HYPERLINK("http://www.rosaceae.org/gb/gbrowse/malus_x_domestica/?name=MDP0000157225","MDP0000157225")</f>
        <v>MDP0000157225</v>
      </c>
      <c r="D21263">
        <v>45.85</v>
      </c>
      <c r="E21263">
        <v>495</v>
      </c>
      <c r="F21263">
        <v>268</v>
      </c>
      <c r="G21263">
        <v>69</v>
      </c>
      <c r="H21263">
        <v>206</v>
      </c>
      <c r="I21263">
        <v>641</v>
      </c>
      <c r="J21263">
        <v>1</v>
      </c>
      <c r="K21263">
        <v>333</v>
      </c>
      <c r="L21263">
        <v>817</v>
      </c>
      <c r="M21263">
        <v>1</v>
      </c>
      <c r="N21263">
        <v>1.9244399999999999E-109</v>
      </c>
      <c r="O21263">
        <v>1011</v>
      </c>
    </row>
    <row r="21264" spans="1:15" x14ac:dyDescent="0.25">
      <c r="A21264" t="s">
        <v>21277</v>
      </c>
      <c r="B21264">
        <v>165</v>
      </c>
      <c r="C21264" s="1" t="str">
        <f>HYPERLINK("http://www.rosaceae.org/gb/gbrowse/malus_x_domestica/?name=MDP0000190736","MDP0000190736")</f>
        <v>MDP0000190736</v>
      </c>
      <c r="D21264">
        <v>66.66</v>
      </c>
      <c r="E21264">
        <v>150</v>
      </c>
      <c r="F21264">
        <v>50</v>
      </c>
      <c r="G21264">
        <v>6</v>
      </c>
      <c r="H21264">
        <v>22</v>
      </c>
      <c r="I21264">
        <v>165</v>
      </c>
      <c r="J21264">
        <v>1</v>
      </c>
      <c r="K21264">
        <v>22</v>
      </c>
      <c r="L21264">
        <v>171</v>
      </c>
      <c r="M21264">
        <v>1</v>
      </c>
      <c r="N21264">
        <v>1.94921E-55</v>
      </c>
      <c r="O21264">
        <v>538</v>
      </c>
    </row>
    <row r="21265" spans="1:15" x14ac:dyDescent="0.25">
      <c r="A21265" t="s">
        <v>21278</v>
      </c>
      <c r="B21265">
        <v>486</v>
      </c>
      <c r="C21265" s="1" t="str">
        <f>HYPERLINK("http://www.rosaceae.org/gb/gbrowse/malus_x_domestica/?name=MDP0000849495","MDP0000849495")</f>
        <v>MDP0000849495</v>
      </c>
      <c r="D21265">
        <v>67.069999999999993</v>
      </c>
      <c r="E21265">
        <v>486</v>
      </c>
      <c r="F21265">
        <v>160</v>
      </c>
      <c r="G21265">
        <v>41</v>
      </c>
      <c r="H21265">
        <v>1</v>
      </c>
      <c r="I21265">
        <v>486</v>
      </c>
      <c r="J21265">
        <v>1</v>
      </c>
      <c r="K21265">
        <v>1</v>
      </c>
      <c r="L21265">
        <v>445</v>
      </c>
      <c r="M21265">
        <v>1</v>
      </c>
      <c r="N21265">
        <v>1.7810799999999998E-173</v>
      </c>
      <c r="O21265">
        <v>1562</v>
      </c>
    </row>
    <row r="21266" spans="1:15" x14ac:dyDescent="0.25">
      <c r="A21266" t="s">
        <v>21279</v>
      </c>
      <c r="B21266">
        <v>122</v>
      </c>
      <c r="C21266" s="1" t="str">
        <f>HYPERLINK("http://www.rosaceae.org/gb/gbrowse/malus_x_domestica/?name=MDP0000147492","MDP0000147492")</f>
        <v>MDP0000147492</v>
      </c>
      <c r="D21266">
        <v>52.06</v>
      </c>
      <c r="E21266">
        <v>121</v>
      </c>
      <c r="F21266">
        <v>58</v>
      </c>
      <c r="G21266">
        <v>33</v>
      </c>
      <c r="H21266">
        <v>1</v>
      </c>
      <c r="I21266">
        <v>88</v>
      </c>
      <c r="J21266">
        <v>1</v>
      </c>
      <c r="K21266">
        <v>1</v>
      </c>
      <c r="L21266">
        <v>121</v>
      </c>
      <c r="M21266">
        <v>1</v>
      </c>
      <c r="N21266">
        <v>1.0215799999999999E-27</v>
      </c>
      <c r="O21266">
        <v>296</v>
      </c>
    </row>
    <row r="21267" spans="1:15" x14ac:dyDescent="0.25">
      <c r="A21267" t="s">
        <v>21280</v>
      </c>
      <c r="B21267">
        <v>826</v>
      </c>
      <c r="C21267" s="1" t="str">
        <f>HYPERLINK("http://www.rosaceae.org/gb/gbrowse/malus_x_domestica/?name=MDP0000152369","MDP0000152369")</f>
        <v>MDP0000152369</v>
      </c>
      <c r="D21267">
        <v>72.13</v>
      </c>
      <c r="E21267">
        <v>664</v>
      </c>
      <c r="F21267">
        <v>185</v>
      </c>
      <c r="G21267">
        <v>49</v>
      </c>
      <c r="H21267">
        <v>174</v>
      </c>
      <c r="I21267">
        <v>826</v>
      </c>
      <c r="J21267">
        <v>1</v>
      </c>
      <c r="K21267">
        <v>204</v>
      </c>
      <c r="L21267">
        <v>829</v>
      </c>
      <c r="M21267">
        <v>1</v>
      </c>
      <c r="N21267">
        <v>0</v>
      </c>
      <c r="O21267">
        <v>2378</v>
      </c>
    </row>
    <row r="21268" spans="1:15" x14ac:dyDescent="0.25">
      <c r="A21268" t="s">
        <v>21281</v>
      </c>
      <c r="B21268">
        <v>235</v>
      </c>
      <c r="C21268" s="1" t="str">
        <f>HYPERLINK("http://www.rosaceae.org/gb/gbrowse/malus_x_domestica/?name=MDP0000334150","MDP0000334150")</f>
        <v>MDP0000334150</v>
      </c>
      <c r="D21268">
        <v>51.75</v>
      </c>
      <c r="E21268">
        <v>257</v>
      </c>
      <c r="F21268">
        <v>124</v>
      </c>
      <c r="G21268">
        <v>37</v>
      </c>
      <c r="H21268">
        <v>1</v>
      </c>
      <c r="I21268">
        <v>235</v>
      </c>
      <c r="J21268">
        <v>1</v>
      </c>
      <c r="K21268">
        <v>1</v>
      </c>
      <c r="L21268">
        <v>242</v>
      </c>
      <c r="M21268">
        <v>1</v>
      </c>
      <c r="N21268">
        <v>7.7072099999999997E-53</v>
      </c>
      <c r="O21268">
        <v>518</v>
      </c>
    </row>
    <row r="21269" spans="1:15" x14ac:dyDescent="0.25">
      <c r="A21269" t="s">
        <v>21282</v>
      </c>
      <c r="B21269">
        <v>298</v>
      </c>
      <c r="C21269" s="1" t="str">
        <f>HYPERLINK("http://www.rosaceae.org/gb/gbrowse/malus_x_domestica/?name=MDP0000275191","MDP0000275191")</f>
        <v>MDP0000275191</v>
      </c>
      <c r="D21269">
        <v>47.61</v>
      </c>
      <c r="E21269">
        <v>63</v>
      </c>
      <c r="F21269">
        <v>33</v>
      </c>
      <c r="G21269">
        <v>0</v>
      </c>
      <c r="H21269">
        <v>120</v>
      </c>
      <c r="I21269">
        <v>182</v>
      </c>
      <c r="J21269">
        <v>1</v>
      </c>
      <c r="K21269">
        <v>75</v>
      </c>
      <c r="L21269">
        <v>137</v>
      </c>
      <c r="M21269">
        <v>1</v>
      </c>
      <c r="N21269">
        <v>9.9906000000000001E-14</v>
      </c>
      <c r="O21269">
        <v>182</v>
      </c>
    </row>
    <row r="21270" spans="1:15" x14ac:dyDescent="0.25">
      <c r="A21270" t="s">
        <v>21283</v>
      </c>
      <c r="B21270">
        <v>1275</v>
      </c>
      <c r="C21270" s="1" t="str">
        <f>HYPERLINK("http://www.rosaceae.org/gb/gbrowse/malus_x_domestica/?name=MDP0000314103","MDP0000314103")</f>
        <v>MDP0000314103</v>
      </c>
      <c r="D21270">
        <v>89.84</v>
      </c>
      <c r="E21270">
        <v>1083</v>
      </c>
      <c r="F21270">
        <v>110</v>
      </c>
      <c r="G21270">
        <v>2</v>
      </c>
      <c r="H21270">
        <v>193</v>
      </c>
      <c r="I21270">
        <v>1275</v>
      </c>
      <c r="J21270">
        <v>1</v>
      </c>
      <c r="K21270">
        <v>1</v>
      </c>
      <c r="L21270">
        <v>1081</v>
      </c>
      <c r="M21270">
        <v>1</v>
      </c>
      <c r="N21270">
        <v>0</v>
      </c>
      <c r="O21270">
        <v>5219</v>
      </c>
    </row>
    <row r="21271" spans="1:15" x14ac:dyDescent="0.25">
      <c r="A21271" t="s">
        <v>21284</v>
      </c>
      <c r="B21271">
        <v>126</v>
      </c>
      <c r="C21271" s="1" t="str">
        <f>HYPERLINK("http://www.rosaceae.org/gb/gbrowse/malus_x_domestica/?name=MDP0000131151","MDP0000131151")</f>
        <v>MDP0000131151</v>
      </c>
      <c r="D21271">
        <v>49.15</v>
      </c>
      <c r="E21271">
        <v>118</v>
      </c>
      <c r="F21271">
        <v>60</v>
      </c>
      <c r="G21271">
        <v>0</v>
      </c>
      <c r="H21271">
        <v>2</v>
      </c>
      <c r="I21271">
        <v>119</v>
      </c>
      <c r="J21271">
        <v>1</v>
      </c>
      <c r="K21271">
        <v>220</v>
      </c>
      <c r="L21271">
        <v>337</v>
      </c>
      <c r="M21271">
        <v>1</v>
      </c>
      <c r="N21271">
        <v>5.6151399999999996E-26</v>
      </c>
      <c r="O21271">
        <v>282</v>
      </c>
    </row>
    <row r="21272" spans="1:15" x14ac:dyDescent="0.25">
      <c r="A21272" t="s">
        <v>21285</v>
      </c>
      <c r="B21272">
        <v>287</v>
      </c>
      <c r="C21272" s="1" t="str">
        <f>HYPERLINK("http://www.rosaceae.org/gb/gbrowse/malus_x_domestica/?name=MDP0000164133","MDP0000164133")</f>
        <v>MDP0000164133</v>
      </c>
      <c r="D21272">
        <v>34.880000000000003</v>
      </c>
      <c r="E21272">
        <v>129</v>
      </c>
      <c r="F21272">
        <v>84</v>
      </c>
      <c r="G21272">
        <v>22</v>
      </c>
      <c r="H21272">
        <v>145</v>
      </c>
      <c r="I21272">
        <v>251</v>
      </c>
      <c r="J21272">
        <v>1</v>
      </c>
      <c r="K21272">
        <v>195</v>
      </c>
      <c r="L21272">
        <v>323</v>
      </c>
      <c r="M21272">
        <v>1</v>
      </c>
      <c r="N21272">
        <v>5.1382800000000002E-9</v>
      </c>
      <c r="O21272">
        <v>141</v>
      </c>
    </row>
    <row r="21273" spans="1:15" x14ac:dyDescent="0.25">
      <c r="A21273" t="s">
        <v>21286</v>
      </c>
      <c r="B21273">
        <v>627</v>
      </c>
      <c r="C21273" s="1" t="str">
        <f>HYPERLINK("http://www.rosaceae.org/gb/gbrowse/malus_x_domestica/?name=MDP0000141154","MDP0000141154")</f>
        <v>MDP0000141154</v>
      </c>
      <c r="D21273">
        <v>80.7</v>
      </c>
      <c r="E21273">
        <v>565</v>
      </c>
      <c r="F21273">
        <v>109</v>
      </c>
      <c r="G21273">
        <v>16</v>
      </c>
      <c r="H21273">
        <v>54</v>
      </c>
      <c r="I21273">
        <v>602</v>
      </c>
      <c r="J21273">
        <v>1</v>
      </c>
      <c r="K21273">
        <v>56</v>
      </c>
      <c r="L21273">
        <v>620</v>
      </c>
      <c r="M21273">
        <v>1</v>
      </c>
      <c r="N21273">
        <v>0</v>
      </c>
      <c r="O21273">
        <v>2261</v>
      </c>
    </row>
    <row r="21274" spans="1:15" x14ac:dyDescent="0.25">
      <c r="A21274" t="s">
        <v>21287</v>
      </c>
      <c r="B21274">
        <v>334</v>
      </c>
      <c r="C21274" s="1" t="str">
        <f>HYPERLINK("http://www.rosaceae.org/gb/gbrowse/malus_x_domestica/?name=MDP0000811595","MDP0000811595")</f>
        <v>MDP0000811595</v>
      </c>
      <c r="D21274">
        <v>69.36</v>
      </c>
      <c r="E21274">
        <v>297</v>
      </c>
      <c r="F21274">
        <v>91</v>
      </c>
      <c r="G21274">
        <v>5</v>
      </c>
      <c r="H21274">
        <v>42</v>
      </c>
      <c r="I21274">
        <v>334</v>
      </c>
      <c r="J21274">
        <v>1</v>
      </c>
      <c r="K21274">
        <v>44</v>
      </c>
      <c r="L21274">
        <v>339</v>
      </c>
      <c r="M21274">
        <v>1</v>
      </c>
      <c r="N21274">
        <v>4.7901200000000003E-113</v>
      </c>
      <c r="O21274">
        <v>1039</v>
      </c>
    </row>
    <row r="21275" spans="1:15" x14ac:dyDescent="0.25">
      <c r="A21275" t="s">
        <v>21288</v>
      </c>
      <c r="B21275">
        <v>1058</v>
      </c>
      <c r="C21275" s="1" t="str">
        <f>HYPERLINK("http://www.rosaceae.org/gb/gbrowse/malus_x_domestica/?name=MDP0000146940","MDP0000146940")</f>
        <v>MDP0000146940</v>
      </c>
      <c r="D21275">
        <v>80.260000000000005</v>
      </c>
      <c r="E21275">
        <v>1115</v>
      </c>
      <c r="F21275">
        <v>220</v>
      </c>
      <c r="G21275">
        <v>59</v>
      </c>
      <c r="H21275">
        <v>1</v>
      </c>
      <c r="I21275">
        <v>1056</v>
      </c>
      <c r="J21275">
        <v>1</v>
      </c>
      <c r="K21275">
        <v>171</v>
      </c>
      <c r="L21275">
        <v>1285</v>
      </c>
      <c r="M21275">
        <v>1</v>
      </c>
      <c r="N21275">
        <v>0</v>
      </c>
      <c r="O21275">
        <v>4687</v>
      </c>
    </row>
    <row r="21276" spans="1:15" x14ac:dyDescent="0.25">
      <c r="A21276" t="s">
        <v>21289</v>
      </c>
      <c r="B21276">
        <v>272</v>
      </c>
      <c r="C21276" s="1" t="str">
        <f>HYPERLINK("http://www.rosaceae.org/gb/gbrowse/malus_x_domestica/?name=MDP0000225175","MDP0000225175")</f>
        <v>MDP0000225175</v>
      </c>
      <c r="D21276">
        <v>61.93</v>
      </c>
      <c r="E21276">
        <v>155</v>
      </c>
      <c r="F21276">
        <v>59</v>
      </c>
      <c r="G21276">
        <v>30</v>
      </c>
      <c r="H21276">
        <v>126</v>
      </c>
      <c r="I21276">
        <v>255</v>
      </c>
      <c r="J21276">
        <v>1</v>
      </c>
      <c r="K21276">
        <v>206</v>
      </c>
      <c r="L21276">
        <v>355</v>
      </c>
      <c r="M21276">
        <v>1</v>
      </c>
      <c r="N21276">
        <v>1.0667199999999999E-46</v>
      </c>
      <c r="O21276">
        <v>466</v>
      </c>
    </row>
    <row r="21277" spans="1:15" x14ac:dyDescent="0.25">
      <c r="A21277" t="s">
        <v>21290</v>
      </c>
      <c r="B21277">
        <v>476</v>
      </c>
      <c r="C21277" s="1" t="str">
        <f>HYPERLINK("http://www.rosaceae.org/gb/gbrowse/malus_x_domestica/?name=MDP0000149522","MDP0000149522")</f>
        <v>MDP0000149522</v>
      </c>
      <c r="D21277">
        <v>52.12</v>
      </c>
      <c r="E21277">
        <v>165</v>
      </c>
      <c r="F21277">
        <v>79</v>
      </c>
      <c r="G21277">
        <v>13</v>
      </c>
      <c r="H21277">
        <v>178</v>
      </c>
      <c r="I21277">
        <v>331</v>
      </c>
      <c r="J21277">
        <v>1</v>
      </c>
      <c r="K21277">
        <v>21</v>
      </c>
      <c r="L21277">
        <v>183</v>
      </c>
      <c r="M21277">
        <v>1</v>
      </c>
      <c r="N21277">
        <v>3.1822099999999999E-36</v>
      </c>
      <c r="O21277">
        <v>379</v>
      </c>
    </row>
    <row r="21278" spans="1:15" x14ac:dyDescent="0.25">
      <c r="A21278" t="s">
        <v>21291</v>
      </c>
      <c r="B21278">
        <v>176</v>
      </c>
      <c r="C21278" s="1" t="str">
        <f>HYPERLINK("http://www.rosaceae.org/gb/gbrowse/malus_x_domestica/?name=MDP0000223926","MDP0000223926")</f>
        <v>MDP0000223926</v>
      </c>
      <c r="D21278">
        <v>49.31</v>
      </c>
      <c r="E21278">
        <v>73</v>
      </c>
      <c r="F21278">
        <v>37</v>
      </c>
      <c r="G21278">
        <v>2</v>
      </c>
      <c r="H21278">
        <v>1</v>
      </c>
      <c r="I21278">
        <v>73</v>
      </c>
      <c r="J21278">
        <v>1</v>
      </c>
      <c r="K21278">
        <v>57</v>
      </c>
      <c r="L21278">
        <v>127</v>
      </c>
      <c r="M21278">
        <v>1</v>
      </c>
      <c r="N21278">
        <v>6.4983699999999995E-11</v>
      </c>
      <c r="O21278">
        <v>155</v>
      </c>
    </row>
    <row r="21279" spans="1:15" x14ac:dyDescent="0.25">
      <c r="A21279" t="s">
        <v>21292</v>
      </c>
      <c r="B21279">
        <v>1753</v>
      </c>
      <c r="C21279" s="1" t="str">
        <f>HYPERLINK("http://www.rosaceae.org/gb/gbrowse/malus_x_domestica/?name=MDP0000189513","MDP0000189513")</f>
        <v>MDP0000189513</v>
      </c>
      <c r="D21279">
        <v>83.69</v>
      </c>
      <c r="E21279">
        <v>1214</v>
      </c>
      <c r="F21279">
        <v>198</v>
      </c>
      <c r="G21279">
        <v>48</v>
      </c>
      <c r="H21279">
        <v>60</v>
      </c>
      <c r="I21279">
        <v>1240</v>
      </c>
      <c r="J21279">
        <v>1</v>
      </c>
      <c r="K21279">
        <v>51</v>
      </c>
      <c r="L21279">
        <v>1249</v>
      </c>
      <c r="M21279">
        <v>1</v>
      </c>
      <c r="N21279">
        <v>0</v>
      </c>
      <c r="O21279">
        <v>5295</v>
      </c>
    </row>
    <row r="21280" spans="1:15" x14ac:dyDescent="0.25">
      <c r="A21280" t="s">
        <v>21293</v>
      </c>
      <c r="B21280">
        <v>444</v>
      </c>
      <c r="C21280" s="1" t="str">
        <f>HYPERLINK("http://www.rosaceae.org/gb/gbrowse/malus_x_domestica/?name=MDP0000500222","MDP0000500222")</f>
        <v>MDP0000500222</v>
      </c>
      <c r="D21280">
        <v>39.090000000000003</v>
      </c>
      <c r="E21280">
        <v>376</v>
      </c>
      <c r="F21280">
        <v>229</v>
      </c>
      <c r="G21280">
        <v>47</v>
      </c>
      <c r="H21280">
        <v>19</v>
      </c>
      <c r="I21280">
        <v>371</v>
      </c>
      <c r="J21280">
        <v>1</v>
      </c>
      <c r="K21280">
        <v>73</v>
      </c>
      <c r="L21280">
        <v>424</v>
      </c>
      <c r="M21280">
        <v>1</v>
      </c>
      <c r="N21280">
        <v>1.5714E-56</v>
      </c>
      <c r="O21280">
        <v>553</v>
      </c>
    </row>
    <row r="21281" spans="1:15" x14ac:dyDescent="0.25">
      <c r="A21281" t="s">
        <v>21294</v>
      </c>
      <c r="B21281">
        <v>647</v>
      </c>
      <c r="C21281" s="1" t="str">
        <f>HYPERLINK("http://www.rosaceae.org/gb/gbrowse/malus_x_domestica/?name=MDP0000186402","MDP0000186402")</f>
        <v>MDP0000186402</v>
      </c>
      <c r="D21281">
        <v>45.63</v>
      </c>
      <c r="E21281">
        <v>103</v>
      </c>
      <c r="F21281">
        <v>56</v>
      </c>
      <c r="G21281">
        <v>0</v>
      </c>
      <c r="H21281">
        <v>400</v>
      </c>
      <c r="I21281">
        <v>502</v>
      </c>
      <c r="J21281">
        <v>1</v>
      </c>
      <c r="K21281">
        <v>424</v>
      </c>
      <c r="L21281">
        <v>526</v>
      </c>
      <c r="M21281">
        <v>1</v>
      </c>
      <c r="N21281">
        <v>6.5324100000000003E-19</v>
      </c>
      <c r="O21281">
        <v>231</v>
      </c>
    </row>
    <row r="21282" spans="1:15" x14ac:dyDescent="0.25">
      <c r="A21282" t="s">
        <v>21295</v>
      </c>
      <c r="B21282">
        <v>446</v>
      </c>
      <c r="C21282" s="1" t="str">
        <f>HYPERLINK("http://www.rosaceae.org/gb/gbrowse/malus_x_domestica/?name=MDP0000244379","MDP0000244379")</f>
        <v>MDP0000244379</v>
      </c>
      <c r="D21282">
        <v>77.010000000000005</v>
      </c>
      <c r="E21282">
        <v>322</v>
      </c>
      <c r="F21282">
        <v>74</v>
      </c>
      <c r="G21282">
        <v>0</v>
      </c>
      <c r="H21282">
        <v>77</v>
      </c>
      <c r="I21282">
        <v>398</v>
      </c>
      <c r="J21282">
        <v>1</v>
      </c>
      <c r="K21282">
        <v>1</v>
      </c>
      <c r="L21282">
        <v>322</v>
      </c>
      <c r="M21282">
        <v>1</v>
      </c>
      <c r="N21282">
        <v>1.0591699999999999E-142</v>
      </c>
      <c r="O21282">
        <v>1297</v>
      </c>
    </row>
    <row r="21283" spans="1:15" x14ac:dyDescent="0.25">
      <c r="A21283" t="s">
        <v>21296</v>
      </c>
      <c r="B21283">
        <v>139</v>
      </c>
      <c r="C21283" s="1" t="str">
        <f>HYPERLINK("http://www.rosaceae.org/gb/gbrowse/malus_x_domestica/?name=MDP0000128061","MDP0000128061")</f>
        <v>MDP0000128061</v>
      </c>
      <c r="D21283">
        <v>85.32</v>
      </c>
      <c r="E21283">
        <v>109</v>
      </c>
      <c r="F21283">
        <v>16</v>
      </c>
      <c r="G21283">
        <v>0</v>
      </c>
      <c r="H21283">
        <v>28</v>
      </c>
      <c r="I21283">
        <v>136</v>
      </c>
      <c r="J21283">
        <v>1</v>
      </c>
      <c r="K21283">
        <v>227</v>
      </c>
      <c r="L21283">
        <v>335</v>
      </c>
      <c r="M21283">
        <v>1</v>
      </c>
      <c r="N21283">
        <v>1.4535899999999999E-51</v>
      </c>
      <c r="O21283">
        <v>503</v>
      </c>
    </row>
    <row r="21284" spans="1:15" x14ac:dyDescent="0.25">
      <c r="A21284" t="s">
        <v>21297</v>
      </c>
      <c r="B21284">
        <v>596</v>
      </c>
      <c r="C21284" s="1" t="str">
        <f>HYPERLINK("http://www.rosaceae.org/gb/gbrowse/malus_x_domestica/?name=MDP0000142384","MDP0000142384")</f>
        <v>MDP0000142384</v>
      </c>
      <c r="D21284">
        <v>57.38</v>
      </c>
      <c r="E21284">
        <v>582</v>
      </c>
      <c r="F21284">
        <v>248</v>
      </c>
      <c r="G21284">
        <v>58</v>
      </c>
      <c r="H21284">
        <v>34</v>
      </c>
      <c r="I21284">
        <v>596</v>
      </c>
      <c r="J21284">
        <v>1</v>
      </c>
      <c r="K21284">
        <v>1</v>
      </c>
      <c r="L21284">
        <v>543</v>
      </c>
      <c r="M21284">
        <v>1</v>
      </c>
      <c r="N21284">
        <v>2.32438E-151</v>
      </c>
      <c r="O21284">
        <v>1373</v>
      </c>
    </row>
    <row r="21285" spans="1:15" x14ac:dyDescent="0.25">
      <c r="A21285" t="s">
        <v>21298</v>
      </c>
      <c r="B21285">
        <v>353</v>
      </c>
      <c r="C21285" s="1" t="str">
        <f>HYPERLINK("http://www.rosaceae.org/gb/gbrowse/malus_x_domestica/?name=MDP0000220433","MDP0000220433")</f>
        <v>MDP0000220433</v>
      </c>
      <c r="D21285">
        <v>82.15</v>
      </c>
      <c r="E21285">
        <v>353</v>
      </c>
      <c r="F21285">
        <v>63</v>
      </c>
      <c r="G21285">
        <v>4</v>
      </c>
      <c r="H21285">
        <v>1</v>
      </c>
      <c r="I21285">
        <v>353</v>
      </c>
      <c r="J21285">
        <v>1</v>
      </c>
      <c r="K21285">
        <v>1</v>
      </c>
      <c r="L21285">
        <v>349</v>
      </c>
      <c r="M21285">
        <v>1</v>
      </c>
      <c r="N21285">
        <v>7.1772699999999996E-172</v>
      </c>
      <c r="O21285">
        <v>1547</v>
      </c>
    </row>
    <row r="21286" spans="1:15" x14ac:dyDescent="0.25">
      <c r="A21286" t="s">
        <v>21299</v>
      </c>
      <c r="B21286">
        <v>94</v>
      </c>
      <c r="C21286" s="1" t="str">
        <f>HYPERLINK("http://www.rosaceae.org/gb/gbrowse/malus_x_domestica/?name=MDP0000179851","MDP0000179851")</f>
        <v>MDP0000179851</v>
      </c>
      <c r="D21286">
        <v>49.18</v>
      </c>
      <c r="E21286">
        <v>61</v>
      </c>
      <c r="F21286">
        <v>31</v>
      </c>
      <c r="G21286">
        <v>2</v>
      </c>
      <c r="H21286">
        <v>14</v>
      </c>
      <c r="I21286">
        <v>72</v>
      </c>
      <c r="J21286">
        <v>1</v>
      </c>
      <c r="K21286">
        <v>995</v>
      </c>
      <c r="L21286">
        <v>1055</v>
      </c>
      <c r="M21286">
        <v>1</v>
      </c>
      <c r="N21286">
        <v>9.0417800000000002E-9</v>
      </c>
      <c r="O21286">
        <v>133</v>
      </c>
    </row>
    <row r="21287" spans="1:15" x14ac:dyDescent="0.25">
      <c r="A21287" t="s">
        <v>21300</v>
      </c>
      <c r="B21287">
        <v>520</v>
      </c>
      <c r="C21287" s="1" t="str">
        <f>HYPERLINK("http://www.rosaceae.org/gb/gbrowse/malus_x_domestica/?name=MDP0000124585","MDP0000124585")</f>
        <v>MDP0000124585</v>
      </c>
      <c r="D21287">
        <v>76.209999999999994</v>
      </c>
      <c r="E21287">
        <v>185</v>
      </c>
      <c r="F21287">
        <v>44</v>
      </c>
      <c r="G21287">
        <v>1</v>
      </c>
      <c r="H21287">
        <v>1</v>
      </c>
      <c r="I21287">
        <v>184</v>
      </c>
      <c r="J21287">
        <v>1</v>
      </c>
      <c r="K21287">
        <v>270</v>
      </c>
      <c r="L21287">
        <v>454</v>
      </c>
      <c r="M21287">
        <v>1</v>
      </c>
      <c r="N21287">
        <v>1.74594E-85</v>
      </c>
      <c r="O21287">
        <v>804</v>
      </c>
    </row>
    <row r="21288" spans="1:15" x14ac:dyDescent="0.25">
      <c r="A21288" t="s">
        <v>21301</v>
      </c>
      <c r="B21288">
        <v>645</v>
      </c>
      <c r="C21288" s="1" t="str">
        <f>HYPERLINK("http://www.rosaceae.org/gb/gbrowse/malus_x_domestica/?name=MDP0000201897","MDP0000201897")</f>
        <v>MDP0000201897</v>
      </c>
      <c r="D21288">
        <v>29.79</v>
      </c>
      <c r="E21288">
        <v>198</v>
      </c>
      <c r="F21288">
        <v>139</v>
      </c>
      <c r="G21288">
        <v>13</v>
      </c>
      <c r="H21288">
        <v>1</v>
      </c>
      <c r="I21288">
        <v>196</v>
      </c>
      <c r="J21288">
        <v>1</v>
      </c>
      <c r="K21288">
        <v>595</v>
      </c>
      <c r="L21288">
        <v>781</v>
      </c>
      <c r="M21288">
        <v>1</v>
      </c>
      <c r="N21288">
        <v>5.1078899999999997E-20</v>
      </c>
      <c r="O21288">
        <v>240</v>
      </c>
    </row>
    <row r="21289" spans="1:15" x14ac:dyDescent="0.25">
      <c r="A21289" t="s">
        <v>21302</v>
      </c>
      <c r="B21289">
        <v>528</v>
      </c>
      <c r="C21289" s="1" t="str">
        <f>HYPERLINK("http://www.rosaceae.org/gb/gbrowse/malus_x_domestica/?name=MDP0000295191","MDP0000295191")</f>
        <v>MDP0000295191</v>
      </c>
      <c r="D21289">
        <v>32.28</v>
      </c>
      <c r="E21289">
        <v>381</v>
      </c>
      <c r="F21289">
        <v>258</v>
      </c>
      <c r="G21289">
        <v>12</v>
      </c>
      <c r="H21289">
        <v>145</v>
      </c>
      <c r="I21289">
        <v>523</v>
      </c>
      <c r="J21289">
        <v>1</v>
      </c>
      <c r="K21289">
        <v>2</v>
      </c>
      <c r="L21289">
        <v>372</v>
      </c>
      <c r="M21289">
        <v>1</v>
      </c>
      <c r="N21289">
        <v>1.2063699999999999E-45</v>
      </c>
      <c r="O21289">
        <v>460</v>
      </c>
    </row>
    <row r="21290" spans="1:15" x14ac:dyDescent="0.25">
      <c r="A21290" t="s">
        <v>21303</v>
      </c>
      <c r="B21290">
        <v>798</v>
      </c>
      <c r="C21290" s="1" t="str">
        <f>HYPERLINK("http://www.rosaceae.org/gb/gbrowse/malus_x_domestica/?name=MDP0000203092","MDP0000203092")</f>
        <v>MDP0000203092</v>
      </c>
      <c r="D21290">
        <v>35.14</v>
      </c>
      <c r="E21290">
        <v>202</v>
      </c>
      <c r="F21290">
        <v>131</v>
      </c>
      <c r="G21290">
        <v>41</v>
      </c>
      <c r="H21290">
        <v>8</v>
      </c>
      <c r="I21290">
        <v>182</v>
      </c>
      <c r="J21290">
        <v>1</v>
      </c>
      <c r="K21290">
        <v>162</v>
      </c>
      <c r="L21290">
        <v>349</v>
      </c>
      <c r="M21290">
        <v>1</v>
      </c>
      <c r="N21290">
        <v>1.49624E-21</v>
      </c>
      <c r="O21290">
        <v>254</v>
      </c>
    </row>
    <row r="21291" spans="1:15" x14ac:dyDescent="0.25">
      <c r="A21291" t="s">
        <v>21304</v>
      </c>
      <c r="B21291">
        <v>319</v>
      </c>
      <c r="C21291" s="1" t="str">
        <f>HYPERLINK("http://www.rosaceae.org/gb/gbrowse/malus_x_domestica/?name=MDP0000206106","MDP0000206106")</f>
        <v>MDP0000206106</v>
      </c>
      <c r="D21291">
        <v>45.42</v>
      </c>
      <c r="E21291">
        <v>273</v>
      </c>
      <c r="F21291">
        <v>149</v>
      </c>
      <c r="G21291">
        <v>24</v>
      </c>
      <c r="H21291">
        <v>32</v>
      </c>
      <c r="I21291">
        <v>303</v>
      </c>
      <c r="J21291">
        <v>1</v>
      </c>
      <c r="K21291">
        <v>31</v>
      </c>
      <c r="L21291">
        <v>280</v>
      </c>
      <c r="M21291">
        <v>1</v>
      </c>
      <c r="N21291">
        <v>1.9264300000000001E-58</v>
      </c>
      <c r="O21291">
        <v>568</v>
      </c>
    </row>
    <row r="21292" spans="1:15" x14ac:dyDescent="0.25">
      <c r="A21292" t="s">
        <v>21305</v>
      </c>
      <c r="B21292">
        <v>136</v>
      </c>
      <c r="C21292" s="1" t="str">
        <f>HYPERLINK("http://www.rosaceae.org/gb/gbrowse/malus_x_domestica/?name=MDP0000121016","MDP0000121016")</f>
        <v>MDP0000121016</v>
      </c>
      <c r="D21292">
        <v>88.05</v>
      </c>
      <c r="E21292">
        <v>134</v>
      </c>
      <c r="F21292">
        <v>16</v>
      </c>
      <c r="G21292">
        <v>0</v>
      </c>
      <c r="H21292">
        <v>1</v>
      </c>
      <c r="I21292">
        <v>134</v>
      </c>
      <c r="J21292">
        <v>1</v>
      </c>
      <c r="K21292">
        <v>20</v>
      </c>
      <c r="L21292">
        <v>153</v>
      </c>
      <c r="M21292">
        <v>1</v>
      </c>
      <c r="N21292">
        <v>1.1094E-65</v>
      </c>
      <c r="O21292">
        <v>625</v>
      </c>
    </row>
    <row r="21293" spans="1:15" x14ac:dyDescent="0.25">
      <c r="A21293" t="s">
        <v>21306</v>
      </c>
      <c r="B21293">
        <v>1096</v>
      </c>
      <c r="C21293" s="1" t="str">
        <f>HYPERLINK("http://www.rosaceae.org/gb/gbrowse/malus_x_domestica/?name=MDP0000760912","MDP0000760912")</f>
        <v>MDP0000760912</v>
      </c>
      <c r="D21293">
        <v>81.709999999999994</v>
      </c>
      <c r="E21293">
        <v>1094</v>
      </c>
      <c r="F21293">
        <v>200</v>
      </c>
      <c r="G21293">
        <v>2</v>
      </c>
      <c r="H21293">
        <v>1</v>
      </c>
      <c r="I21293">
        <v>1094</v>
      </c>
      <c r="J21293">
        <v>1</v>
      </c>
      <c r="K21293">
        <v>28</v>
      </c>
      <c r="L21293">
        <v>1119</v>
      </c>
      <c r="M21293">
        <v>1</v>
      </c>
      <c r="N21293">
        <v>0</v>
      </c>
      <c r="O21293">
        <v>4680</v>
      </c>
    </row>
    <row r="21294" spans="1:15" x14ac:dyDescent="0.25">
      <c r="A21294" t="s">
        <v>21307</v>
      </c>
      <c r="B21294">
        <v>364</v>
      </c>
      <c r="C21294" s="1" t="str">
        <f>HYPERLINK("http://www.rosaceae.org/gb/gbrowse/malus_x_domestica/?name=MDP0000565848","MDP0000565848")</f>
        <v>MDP0000565848</v>
      </c>
      <c r="D21294">
        <v>52.23</v>
      </c>
      <c r="E21294">
        <v>358</v>
      </c>
      <c r="F21294">
        <v>171</v>
      </c>
      <c r="G21294">
        <v>26</v>
      </c>
      <c r="H21294">
        <v>1</v>
      </c>
      <c r="I21294">
        <v>344</v>
      </c>
      <c r="J21294">
        <v>1</v>
      </c>
      <c r="K21294">
        <v>1</v>
      </c>
      <c r="L21294">
        <v>346</v>
      </c>
      <c r="M21294">
        <v>1</v>
      </c>
      <c r="N21294">
        <v>1.7268600000000001E-86</v>
      </c>
      <c r="O21294">
        <v>811</v>
      </c>
    </row>
    <row r="21295" spans="1:15" x14ac:dyDescent="0.25">
      <c r="A21295" t="s">
        <v>21308</v>
      </c>
      <c r="B21295">
        <v>267</v>
      </c>
      <c r="C21295" s="1" t="str">
        <f>HYPERLINK("http://www.rosaceae.org/gb/gbrowse/malus_x_domestica/?name=MDP0000119988","MDP0000119988")</f>
        <v>MDP0000119988</v>
      </c>
      <c r="D21295">
        <v>55.05</v>
      </c>
      <c r="E21295">
        <v>267</v>
      </c>
      <c r="F21295">
        <v>120</v>
      </c>
      <c r="G21295">
        <v>11</v>
      </c>
      <c r="H21295">
        <v>1</v>
      </c>
      <c r="I21295">
        <v>257</v>
      </c>
      <c r="J21295">
        <v>1</v>
      </c>
      <c r="K21295">
        <v>1</v>
      </c>
      <c r="L21295">
        <v>266</v>
      </c>
      <c r="M21295">
        <v>1</v>
      </c>
      <c r="N21295">
        <v>2.29052E-70</v>
      </c>
      <c r="O21295">
        <v>670</v>
      </c>
    </row>
    <row r="21296" spans="1:15" x14ac:dyDescent="0.25">
      <c r="A21296" t="s">
        <v>21309</v>
      </c>
      <c r="B21296">
        <v>518</v>
      </c>
      <c r="C21296" s="1" t="str">
        <f>HYPERLINK("http://www.rosaceae.org/gb/gbrowse/malus_x_domestica/?name=MDP0000286762","MDP0000286762")</f>
        <v>MDP0000286762</v>
      </c>
      <c r="D21296">
        <v>48.57</v>
      </c>
      <c r="E21296">
        <v>562</v>
      </c>
      <c r="F21296">
        <v>289</v>
      </c>
      <c r="G21296">
        <v>95</v>
      </c>
      <c r="H21296">
        <v>1</v>
      </c>
      <c r="I21296">
        <v>515</v>
      </c>
      <c r="J21296">
        <v>1</v>
      </c>
      <c r="K21296">
        <v>1</v>
      </c>
      <c r="L21296">
        <v>514</v>
      </c>
      <c r="M21296">
        <v>1</v>
      </c>
      <c r="N21296">
        <v>1.4509400000000001E-131</v>
      </c>
      <c r="O21296">
        <v>1201</v>
      </c>
    </row>
    <row r="21297" spans="1:15" x14ac:dyDescent="0.25">
      <c r="A21297" t="s">
        <v>21310</v>
      </c>
      <c r="B21297">
        <v>247</v>
      </c>
      <c r="C21297" s="1" t="str">
        <f>HYPERLINK("http://www.rosaceae.org/gb/gbrowse/malus_x_domestica/?name=MDP0000147526","MDP0000147526")</f>
        <v>MDP0000147526</v>
      </c>
      <c r="D21297">
        <v>36.229999999999997</v>
      </c>
      <c r="E21297">
        <v>218</v>
      </c>
      <c r="F21297">
        <v>139</v>
      </c>
      <c r="G21297">
        <v>28</v>
      </c>
      <c r="H21297">
        <v>27</v>
      </c>
      <c r="I21297">
        <v>244</v>
      </c>
      <c r="J21297">
        <v>1</v>
      </c>
      <c r="K21297">
        <v>183</v>
      </c>
      <c r="L21297">
        <v>372</v>
      </c>
      <c r="M21297">
        <v>1</v>
      </c>
      <c r="N21297">
        <v>3.6599400000000001E-30</v>
      </c>
      <c r="O21297">
        <v>323</v>
      </c>
    </row>
    <row r="21298" spans="1:15" x14ac:dyDescent="0.25">
      <c r="A21298" t="s">
        <v>21311</v>
      </c>
      <c r="B21298">
        <v>191</v>
      </c>
      <c r="C21298" s="1" t="str">
        <f>HYPERLINK("http://www.rosaceae.org/gb/gbrowse/malus_x_domestica/?name=MDP0000311623","MDP0000311623")</f>
        <v>MDP0000311623</v>
      </c>
      <c r="D21298">
        <v>31.91</v>
      </c>
      <c r="E21298">
        <v>188</v>
      </c>
      <c r="F21298">
        <v>128</v>
      </c>
      <c r="G21298">
        <v>6</v>
      </c>
      <c r="H21298">
        <v>4</v>
      </c>
      <c r="I21298">
        <v>186</v>
      </c>
      <c r="J21298">
        <v>1</v>
      </c>
      <c r="K21298">
        <v>66</v>
      </c>
      <c r="L21298">
        <v>252</v>
      </c>
      <c r="M21298">
        <v>1</v>
      </c>
      <c r="N21298">
        <v>1.12299E-26</v>
      </c>
      <c r="O21298">
        <v>291</v>
      </c>
    </row>
    <row r="21299" spans="1:15" x14ac:dyDescent="0.25">
      <c r="A21299" t="s">
        <v>21312</v>
      </c>
      <c r="B21299">
        <v>510</v>
      </c>
      <c r="C21299" s="1" t="str">
        <f>HYPERLINK("http://www.rosaceae.org/gb/gbrowse/malus_x_domestica/?name=MDP0000319973","MDP0000319973")</f>
        <v>MDP0000319973</v>
      </c>
      <c r="D21299">
        <v>72.53</v>
      </c>
      <c r="E21299">
        <v>517</v>
      </c>
      <c r="F21299">
        <v>142</v>
      </c>
      <c r="G21299">
        <v>9</v>
      </c>
      <c r="H21299">
        <v>1</v>
      </c>
      <c r="I21299">
        <v>510</v>
      </c>
      <c r="J21299">
        <v>1</v>
      </c>
      <c r="K21299">
        <v>194</v>
      </c>
      <c r="L21299">
        <v>708</v>
      </c>
      <c r="M21299">
        <v>1</v>
      </c>
      <c r="N21299">
        <v>0</v>
      </c>
      <c r="O21299">
        <v>2006</v>
      </c>
    </row>
    <row r="21300" spans="1:15" x14ac:dyDescent="0.25">
      <c r="A21300" t="s">
        <v>21313</v>
      </c>
      <c r="B21300">
        <v>187</v>
      </c>
      <c r="C21300" s="1" t="str">
        <f>HYPERLINK("http://www.rosaceae.org/gb/gbrowse/malus_x_domestica/?name=MDP0000128879","MDP0000128879")</f>
        <v>MDP0000128879</v>
      </c>
      <c r="D21300">
        <v>44.69</v>
      </c>
      <c r="E21300">
        <v>179</v>
      </c>
      <c r="F21300">
        <v>99</v>
      </c>
      <c r="G21300">
        <v>11</v>
      </c>
      <c r="H21300">
        <v>3</v>
      </c>
      <c r="I21300">
        <v>172</v>
      </c>
      <c r="J21300">
        <v>1</v>
      </c>
      <c r="K21300">
        <v>184</v>
      </c>
      <c r="L21300">
        <v>360</v>
      </c>
      <c r="M21300">
        <v>1</v>
      </c>
      <c r="N21300">
        <v>3.3798299999999999E-39</v>
      </c>
      <c r="O21300">
        <v>399</v>
      </c>
    </row>
    <row r="21301" spans="1:15" x14ac:dyDescent="0.25">
      <c r="A21301" t="s">
        <v>21314</v>
      </c>
      <c r="B21301">
        <v>260</v>
      </c>
      <c r="C21301" s="1" t="str">
        <f>HYPERLINK("http://www.rosaceae.org/gb/gbrowse/malus_x_domestica/?name=MDP0000217069","MDP0000217069")</f>
        <v>MDP0000217069</v>
      </c>
      <c r="D21301">
        <v>50.92</v>
      </c>
      <c r="E21301">
        <v>271</v>
      </c>
      <c r="F21301">
        <v>133</v>
      </c>
      <c r="G21301">
        <v>21</v>
      </c>
      <c r="H21301">
        <v>2</v>
      </c>
      <c r="I21301">
        <v>259</v>
      </c>
      <c r="J21301">
        <v>1</v>
      </c>
      <c r="K21301">
        <v>1</v>
      </c>
      <c r="L21301">
        <v>263</v>
      </c>
      <c r="M21301">
        <v>1</v>
      </c>
      <c r="N21301">
        <v>5.20079E-62</v>
      </c>
      <c r="O21301">
        <v>598</v>
      </c>
    </row>
    <row r="21302" spans="1:15" x14ac:dyDescent="0.25">
      <c r="A21302" t="s">
        <v>21315</v>
      </c>
      <c r="B21302">
        <v>284</v>
      </c>
      <c r="C21302" s="1" t="str">
        <f>HYPERLINK("http://www.rosaceae.org/gb/gbrowse/malus_x_domestica/?name=MDP0000150438","MDP0000150438")</f>
        <v>MDP0000150438</v>
      </c>
      <c r="D21302">
        <v>36.94</v>
      </c>
      <c r="E21302">
        <v>314</v>
      </c>
      <c r="F21302">
        <v>198</v>
      </c>
      <c r="G21302">
        <v>46</v>
      </c>
      <c r="H21302">
        <v>3</v>
      </c>
      <c r="I21302">
        <v>284</v>
      </c>
      <c r="J21302">
        <v>1</v>
      </c>
      <c r="K21302">
        <v>57</v>
      </c>
      <c r="L21302">
        <v>356</v>
      </c>
      <c r="M21302">
        <v>1</v>
      </c>
      <c r="N21302">
        <v>4.0233899999999999E-48</v>
      </c>
      <c r="O21302">
        <v>479</v>
      </c>
    </row>
    <row r="21303" spans="1:15" x14ac:dyDescent="0.25">
      <c r="A21303" t="s">
        <v>21316</v>
      </c>
      <c r="B21303">
        <v>396</v>
      </c>
      <c r="C21303" s="1" t="str">
        <f>HYPERLINK("http://www.rosaceae.org/gb/gbrowse/malus_x_domestica/?name=MDP0000220668","MDP0000220668")</f>
        <v>MDP0000220668</v>
      </c>
      <c r="D21303">
        <v>66.28</v>
      </c>
      <c r="E21303">
        <v>350</v>
      </c>
      <c r="F21303">
        <v>118</v>
      </c>
      <c r="G21303">
        <v>21</v>
      </c>
      <c r="H21303">
        <v>50</v>
      </c>
      <c r="I21303">
        <v>396</v>
      </c>
      <c r="J21303">
        <v>1</v>
      </c>
      <c r="K21303">
        <v>5</v>
      </c>
      <c r="L21303">
        <v>336</v>
      </c>
      <c r="M21303">
        <v>1</v>
      </c>
      <c r="N21303">
        <v>2.5757199999999999E-120</v>
      </c>
      <c r="O21303">
        <v>1103</v>
      </c>
    </row>
    <row r="21304" spans="1:15" x14ac:dyDescent="0.25">
      <c r="A21304" t="s">
        <v>21317</v>
      </c>
      <c r="B21304">
        <v>463</v>
      </c>
      <c r="C21304" s="1" t="str">
        <f>HYPERLINK("http://www.rosaceae.org/gb/gbrowse/malus_x_domestica/?name=MDP0000222925","MDP0000222925")</f>
        <v>MDP0000222925</v>
      </c>
      <c r="D21304">
        <v>36.71</v>
      </c>
      <c r="E21304">
        <v>128</v>
      </c>
      <c r="F21304">
        <v>81</v>
      </c>
      <c r="G21304">
        <v>32</v>
      </c>
      <c r="H21304">
        <v>59</v>
      </c>
      <c r="I21304">
        <v>154</v>
      </c>
      <c r="J21304">
        <v>1</v>
      </c>
      <c r="K21304">
        <v>27</v>
      </c>
      <c r="L21304">
        <v>154</v>
      </c>
      <c r="M21304">
        <v>1</v>
      </c>
      <c r="N21304">
        <v>1.42373E-10</v>
      </c>
      <c r="O21304">
        <v>157</v>
      </c>
    </row>
    <row r="21305" spans="1:15" x14ac:dyDescent="0.25">
      <c r="A21305" t="s">
        <v>21318</v>
      </c>
      <c r="B21305">
        <v>1031</v>
      </c>
      <c r="C21305" s="1" t="str">
        <f>HYPERLINK("http://www.rosaceae.org/gb/gbrowse/malus_x_domestica/?name=MDP0000304291","MDP0000304291")</f>
        <v>MDP0000304291</v>
      </c>
      <c r="D21305">
        <v>69.2</v>
      </c>
      <c r="E21305">
        <v>526</v>
      </c>
      <c r="F21305">
        <v>162</v>
      </c>
      <c r="G21305">
        <v>20</v>
      </c>
      <c r="H21305">
        <v>510</v>
      </c>
      <c r="I21305">
        <v>1025</v>
      </c>
      <c r="J21305">
        <v>1</v>
      </c>
      <c r="K21305">
        <v>26</v>
      </c>
      <c r="L21305">
        <v>541</v>
      </c>
      <c r="M21305">
        <v>1</v>
      </c>
      <c r="N21305">
        <v>0</v>
      </c>
      <c r="O21305">
        <v>1970</v>
      </c>
    </row>
    <row r="21306" spans="1:15" x14ac:dyDescent="0.25">
      <c r="A21306" t="s">
        <v>21319</v>
      </c>
      <c r="B21306">
        <v>319</v>
      </c>
      <c r="C21306" s="1" t="str">
        <f>HYPERLINK("http://www.rosaceae.org/gb/gbrowse/malus_x_domestica/?name=MDP0000305808","MDP0000305808")</f>
        <v>MDP0000305808</v>
      </c>
      <c r="D21306">
        <v>79.22</v>
      </c>
      <c r="E21306">
        <v>308</v>
      </c>
      <c r="F21306">
        <v>64</v>
      </c>
      <c r="G21306">
        <v>1</v>
      </c>
      <c r="H21306">
        <v>1</v>
      </c>
      <c r="I21306">
        <v>307</v>
      </c>
      <c r="J21306">
        <v>1</v>
      </c>
      <c r="K21306">
        <v>1</v>
      </c>
      <c r="L21306">
        <v>308</v>
      </c>
      <c r="M21306">
        <v>1</v>
      </c>
      <c r="N21306">
        <v>5.5160400000000002E-142</v>
      </c>
      <c r="O21306">
        <v>1289</v>
      </c>
    </row>
    <row r="21307" spans="1:15" x14ac:dyDescent="0.25">
      <c r="A21307" t="s">
        <v>21320</v>
      </c>
      <c r="B21307">
        <v>689</v>
      </c>
      <c r="C21307" s="1" t="str">
        <f>HYPERLINK("http://www.rosaceae.org/gb/gbrowse/malus_x_domestica/?name=MDP0000218942","MDP0000218942")</f>
        <v>MDP0000218942</v>
      </c>
      <c r="D21307">
        <v>63.71</v>
      </c>
      <c r="E21307">
        <v>587</v>
      </c>
      <c r="F21307">
        <v>213</v>
      </c>
      <c r="G21307">
        <v>40</v>
      </c>
      <c r="H21307">
        <v>1</v>
      </c>
      <c r="I21307">
        <v>551</v>
      </c>
      <c r="J21307">
        <v>1</v>
      </c>
      <c r="K21307">
        <v>1</v>
      </c>
      <c r="L21307">
        <v>583</v>
      </c>
      <c r="M21307">
        <v>1</v>
      </c>
      <c r="N21307">
        <v>0</v>
      </c>
      <c r="O21307">
        <v>1713</v>
      </c>
    </row>
    <row r="21308" spans="1:15" x14ac:dyDescent="0.25">
      <c r="A21308" t="s">
        <v>21321</v>
      </c>
      <c r="B21308">
        <v>381</v>
      </c>
      <c r="C21308" s="1" t="str">
        <f>HYPERLINK("http://www.rosaceae.org/gb/gbrowse/malus_x_domestica/?name=MDP0000877611","MDP0000877611")</f>
        <v>MDP0000877611</v>
      </c>
      <c r="D21308">
        <v>51.83</v>
      </c>
      <c r="E21308">
        <v>355</v>
      </c>
      <c r="F21308">
        <v>171</v>
      </c>
      <c r="G21308">
        <v>73</v>
      </c>
      <c r="H21308">
        <v>1</v>
      </c>
      <c r="I21308">
        <v>303</v>
      </c>
      <c r="J21308">
        <v>1</v>
      </c>
      <c r="K21308">
        <v>1</v>
      </c>
      <c r="L21308">
        <v>334</v>
      </c>
      <c r="M21308">
        <v>1</v>
      </c>
      <c r="N21308">
        <v>7.9204999999999997E-88</v>
      </c>
      <c r="O21308">
        <v>823</v>
      </c>
    </row>
    <row r="21309" spans="1:15" x14ac:dyDescent="0.25">
      <c r="A21309" t="s">
        <v>21322</v>
      </c>
      <c r="B21309">
        <v>283</v>
      </c>
      <c r="C21309" s="1" t="str">
        <f>HYPERLINK("http://www.rosaceae.org/gb/gbrowse/malus_x_domestica/?name=MDP0000819899","MDP0000819899")</f>
        <v>MDP0000819899</v>
      </c>
      <c r="D21309">
        <v>33.700000000000003</v>
      </c>
      <c r="E21309">
        <v>178</v>
      </c>
      <c r="F21309">
        <v>118</v>
      </c>
      <c r="G21309">
        <v>12</v>
      </c>
      <c r="H21309">
        <v>51</v>
      </c>
      <c r="I21309">
        <v>219</v>
      </c>
      <c r="J21309">
        <v>1</v>
      </c>
      <c r="K21309">
        <v>38</v>
      </c>
      <c r="L21309">
        <v>212</v>
      </c>
      <c r="M21309">
        <v>1</v>
      </c>
      <c r="N21309">
        <v>8.07218E-16</v>
      </c>
      <c r="O21309">
        <v>200</v>
      </c>
    </row>
    <row r="21310" spans="1:15" x14ac:dyDescent="0.25">
      <c r="A21310" t="s">
        <v>21323</v>
      </c>
      <c r="B21310">
        <v>315</v>
      </c>
      <c r="C21310" s="1" t="str">
        <f>HYPERLINK("http://www.rosaceae.org/gb/gbrowse/malus_x_domestica/?name=MDP0000544509","MDP0000544509")</f>
        <v>MDP0000544509</v>
      </c>
      <c r="D21310">
        <v>67.12</v>
      </c>
      <c r="E21310">
        <v>289</v>
      </c>
      <c r="F21310">
        <v>95</v>
      </c>
      <c r="G21310">
        <v>53</v>
      </c>
      <c r="H21310">
        <v>27</v>
      </c>
      <c r="I21310">
        <v>315</v>
      </c>
      <c r="J21310">
        <v>1</v>
      </c>
      <c r="K21310">
        <v>37</v>
      </c>
      <c r="L21310">
        <v>272</v>
      </c>
      <c r="M21310">
        <v>1</v>
      </c>
      <c r="N21310">
        <v>1.37134E-101</v>
      </c>
      <c r="O21310">
        <v>940</v>
      </c>
    </row>
    <row r="21311" spans="1:15" x14ac:dyDescent="0.25">
      <c r="A21311" t="s">
        <v>21324</v>
      </c>
      <c r="B21311">
        <v>744</v>
      </c>
      <c r="C21311" s="1" t="str">
        <f>HYPERLINK("http://www.rosaceae.org/gb/gbrowse/malus_x_domestica/?name=MDP0000182445","MDP0000182445")</f>
        <v>MDP0000182445</v>
      </c>
      <c r="D21311">
        <v>72.44</v>
      </c>
      <c r="E21311">
        <v>392</v>
      </c>
      <c r="F21311">
        <v>108</v>
      </c>
      <c r="G21311">
        <v>22</v>
      </c>
      <c r="H21311">
        <v>1</v>
      </c>
      <c r="I21311">
        <v>370</v>
      </c>
      <c r="J21311">
        <v>1</v>
      </c>
      <c r="K21311">
        <v>1</v>
      </c>
      <c r="L21311">
        <v>392</v>
      </c>
      <c r="M21311">
        <v>1</v>
      </c>
      <c r="N21311">
        <v>7.4767E-165</v>
      </c>
      <c r="O21311">
        <v>1490</v>
      </c>
    </row>
    <row r="21312" spans="1:15" x14ac:dyDescent="0.25">
      <c r="A21312" t="s">
        <v>21325</v>
      </c>
      <c r="B21312">
        <v>472</v>
      </c>
      <c r="C21312" s="1" t="str">
        <f>HYPERLINK("http://www.rosaceae.org/gb/gbrowse/malus_x_domestica/?name=MDP0000305459","MDP0000305459")</f>
        <v>MDP0000305459</v>
      </c>
      <c r="D21312">
        <v>84.52</v>
      </c>
      <c r="E21312">
        <v>433</v>
      </c>
      <c r="F21312">
        <v>67</v>
      </c>
      <c r="G21312">
        <v>22</v>
      </c>
      <c r="H21312">
        <v>41</v>
      </c>
      <c r="I21312">
        <v>469</v>
      </c>
      <c r="J21312">
        <v>1</v>
      </c>
      <c r="K21312">
        <v>137</v>
      </c>
      <c r="L21312">
        <v>551</v>
      </c>
      <c r="M21312">
        <v>1</v>
      </c>
      <c r="N21312">
        <v>0</v>
      </c>
      <c r="O21312">
        <v>1852</v>
      </c>
    </row>
    <row r="21313" spans="1:15" x14ac:dyDescent="0.25">
      <c r="A21313" t="s">
        <v>21326</v>
      </c>
      <c r="B21313">
        <v>568</v>
      </c>
      <c r="C21313" s="1" t="str">
        <f>HYPERLINK("http://www.rosaceae.org/gb/gbrowse/malus_x_domestica/?name=MDP0000515800","MDP0000515800")</f>
        <v>MDP0000515800</v>
      </c>
      <c r="D21313">
        <v>56.52</v>
      </c>
      <c r="E21313">
        <v>529</v>
      </c>
      <c r="F21313">
        <v>230</v>
      </c>
      <c r="G21313">
        <v>71</v>
      </c>
      <c r="H21313">
        <v>38</v>
      </c>
      <c r="I21313">
        <v>566</v>
      </c>
      <c r="J21313">
        <v>1</v>
      </c>
      <c r="K21313">
        <v>116</v>
      </c>
      <c r="L21313">
        <v>573</v>
      </c>
      <c r="M21313">
        <v>1</v>
      </c>
      <c r="N21313">
        <v>3.2276599999999998E-167</v>
      </c>
      <c r="O21313">
        <v>1509</v>
      </c>
    </row>
    <row r="21314" spans="1:15" x14ac:dyDescent="0.25">
      <c r="A21314" t="s">
        <v>21327</v>
      </c>
      <c r="B21314">
        <v>453</v>
      </c>
      <c r="C21314" s="1" t="str">
        <f>HYPERLINK("http://www.rosaceae.org/gb/gbrowse/malus_x_domestica/?name=MDP0000878831","MDP0000878831")</f>
        <v>MDP0000878831</v>
      </c>
      <c r="D21314">
        <v>77.95</v>
      </c>
      <c r="E21314">
        <v>381</v>
      </c>
      <c r="F21314">
        <v>84</v>
      </c>
      <c r="G21314">
        <v>3</v>
      </c>
      <c r="H21314">
        <v>76</v>
      </c>
      <c r="I21314">
        <v>453</v>
      </c>
      <c r="J21314">
        <v>1</v>
      </c>
      <c r="K21314">
        <v>1</v>
      </c>
      <c r="L21314">
        <v>381</v>
      </c>
      <c r="M21314">
        <v>1</v>
      </c>
      <c r="N21314">
        <v>7.2381599999999997E-174</v>
      </c>
      <c r="O21314">
        <v>1565</v>
      </c>
    </row>
    <row r="21315" spans="1:15" x14ac:dyDescent="0.25">
      <c r="A21315" t="s">
        <v>21328</v>
      </c>
      <c r="B21315">
        <v>1156</v>
      </c>
      <c r="C21315" s="1" t="str">
        <f>HYPERLINK("http://www.rosaceae.org/gb/gbrowse/malus_x_domestica/?name=MDP0000286786","MDP0000286786")</f>
        <v>MDP0000286786</v>
      </c>
      <c r="D21315">
        <v>68.16</v>
      </c>
      <c r="E21315">
        <v>801</v>
      </c>
      <c r="F21315">
        <v>255</v>
      </c>
      <c r="G21315">
        <v>51</v>
      </c>
      <c r="H21315">
        <v>188</v>
      </c>
      <c r="I21315">
        <v>947</v>
      </c>
      <c r="J21315">
        <v>1</v>
      </c>
      <c r="K21315">
        <v>651</v>
      </c>
      <c r="L21315">
        <v>1441</v>
      </c>
      <c r="M21315">
        <v>1</v>
      </c>
      <c r="N21315">
        <v>0</v>
      </c>
      <c r="O21315">
        <v>2598</v>
      </c>
    </row>
    <row r="21316" spans="1:15" x14ac:dyDescent="0.25">
      <c r="A21316" t="s">
        <v>21329</v>
      </c>
      <c r="B21316">
        <v>306</v>
      </c>
      <c r="C21316" s="1" t="str">
        <f>HYPERLINK("http://www.rosaceae.org/gb/gbrowse/malus_x_domestica/?name=MDP0000164478","MDP0000164478")</f>
        <v>MDP0000164478</v>
      </c>
      <c r="D21316">
        <v>77.849999999999994</v>
      </c>
      <c r="E21316">
        <v>307</v>
      </c>
      <c r="F21316">
        <v>68</v>
      </c>
      <c r="G21316">
        <v>1</v>
      </c>
      <c r="H21316">
        <v>1</v>
      </c>
      <c r="I21316">
        <v>306</v>
      </c>
      <c r="J21316">
        <v>1</v>
      </c>
      <c r="K21316">
        <v>1</v>
      </c>
      <c r="L21316">
        <v>307</v>
      </c>
      <c r="M21316">
        <v>1</v>
      </c>
      <c r="N21316">
        <v>7.3155399999999997E-134</v>
      </c>
      <c r="O21316">
        <v>1218</v>
      </c>
    </row>
    <row r="21317" spans="1:15" x14ac:dyDescent="0.25">
      <c r="A21317" t="s">
        <v>21330</v>
      </c>
      <c r="B21317">
        <v>579</v>
      </c>
      <c r="C21317" s="1" t="str">
        <f>HYPERLINK("http://www.rosaceae.org/gb/gbrowse/malus_x_domestica/?name=MDP0000320489","MDP0000320489")</f>
        <v>MDP0000320489</v>
      </c>
      <c r="D21317">
        <v>65.61</v>
      </c>
      <c r="E21317">
        <v>253</v>
      </c>
      <c r="F21317">
        <v>87</v>
      </c>
      <c r="G21317">
        <v>4</v>
      </c>
      <c r="H21317">
        <v>2</v>
      </c>
      <c r="I21317">
        <v>252</v>
      </c>
      <c r="J21317">
        <v>1</v>
      </c>
      <c r="K21317">
        <v>135</v>
      </c>
      <c r="L21317">
        <v>385</v>
      </c>
      <c r="M21317">
        <v>1</v>
      </c>
      <c r="N21317">
        <v>1.8851200000000002E-89</v>
      </c>
      <c r="O21317">
        <v>839</v>
      </c>
    </row>
    <row r="21318" spans="1:15" x14ac:dyDescent="0.25">
      <c r="A21318" t="s">
        <v>21331</v>
      </c>
      <c r="B21318">
        <v>461</v>
      </c>
      <c r="C21318" s="1" t="str">
        <f>HYPERLINK("http://www.rosaceae.org/gb/gbrowse/malus_x_domestica/?name=MDP0000320671","MDP0000320671")</f>
        <v>MDP0000320671</v>
      </c>
      <c r="D21318">
        <v>68.08</v>
      </c>
      <c r="E21318">
        <v>492</v>
      </c>
      <c r="F21318">
        <v>157</v>
      </c>
      <c r="G21318">
        <v>37</v>
      </c>
      <c r="H21318">
        <v>1</v>
      </c>
      <c r="I21318">
        <v>457</v>
      </c>
      <c r="J21318">
        <v>1</v>
      </c>
      <c r="K21318">
        <v>810</v>
      </c>
      <c r="L21318">
        <v>1299</v>
      </c>
      <c r="M21318">
        <v>1</v>
      </c>
      <c r="N21318">
        <v>0</v>
      </c>
      <c r="O21318">
        <v>1630</v>
      </c>
    </row>
    <row r="21319" spans="1:15" x14ac:dyDescent="0.25">
      <c r="A21319" t="s">
        <v>21332</v>
      </c>
      <c r="B21319">
        <v>459</v>
      </c>
      <c r="C21319" s="1" t="str">
        <f>HYPERLINK("http://www.rosaceae.org/gb/gbrowse/malus_x_domestica/?name=MDP0000191915","MDP0000191915")</f>
        <v>MDP0000191915</v>
      </c>
      <c r="D21319">
        <v>67.98</v>
      </c>
      <c r="E21319">
        <v>431</v>
      </c>
      <c r="F21319">
        <v>138</v>
      </c>
      <c r="G21319">
        <v>46</v>
      </c>
      <c r="H21319">
        <v>39</v>
      </c>
      <c r="I21319">
        <v>423</v>
      </c>
      <c r="J21319">
        <v>1</v>
      </c>
      <c r="K21319">
        <v>128</v>
      </c>
      <c r="L21319">
        <v>558</v>
      </c>
      <c r="M21319">
        <v>1</v>
      </c>
      <c r="N21319">
        <v>8.0878999999999996E-167</v>
      </c>
      <c r="O21319">
        <v>1505</v>
      </c>
    </row>
    <row r="21320" spans="1:15" x14ac:dyDescent="0.25">
      <c r="A21320" t="s">
        <v>21333</v>
      </c>
      <c r="B21320">
        <v>473</v>
      </c>
      <c r="C21320" s="1" t="str">
        <f>HYPERLINK("http://www.rosaceae.org/gb/gbrowse/malus_x_domestica/?name=MDP0000934840","MDP0000934840")</f>
        <v>MDP0000934840</v>
      </c>
      <c r="D21320">
        <v>72.86</v>
      </c>
      <c r="E21320">
        <v>468</v>
      </c>
      <c r="F21320">
        <v>127</v>
      </c>
      <c r="G21320">
        <v>1</v>
      </c>
      <c r="H21320">
        <v>4</v>
      </c>
      <c r="I21320">
        <v>470</v>
      </c>
      <c r="J21320">
        <v>1</v>
      </c>
      <c r="K21320">
        <v>5</v>
      </c>
      <c r="L21320">
        <v>472</v>
      </c>
      <c r="M21320">
        <v>1</v>
      </c>
      <c r="N21320">
        <v>0</v>
      </c>
      <c r="O21320">
        <v>1872</v>
      </c>
    </row>
    <row r="21321" spans="1:15" x14ac:dyDescent="0.25">
      <c r="A21321" t="s">
        <v>21334</v>
      </c>
      <c r="B21321">
        <v>474</v>
      </c>
      <c r="C21321" s="1" t="str">
        <f>HYPERLINK("http://www.rosaceae.org/gb/gbrowse/malus_x_domestica/?name=MDP0000617184","MDP0000617184")</f>
        <v>MDP0000617184</v>
      </c>
      <c r="D21321">
        <v>64.13</v>
      </c>
      <c r="E21321">
        <v>474</v>
      </c>
      <c r="F21321">
        <v>170</v>
      </c>
      <c r="G21321">
        <v>9</v>
      </c>
      <c r="H21321">
        <v>3</v>
      </c>
      <c r="I21321">
        <v>473</v>
      </c>
      <c r="J21321">
        <v>1</v>
      </c>
      <c r="K21321">
        <v>1</v>
      </c>
      <c r="L21321">
        <v>468</v>
      </c>
      <c r="M21321">
        <v>1</v>
      </c>
      <c r="N21321">
        <v>0</v>
      </c>
      <c r="O21321">
        <v>1632</v>
      </c>
    </row>
    <row r="21322" spans="1:15" x14ac:dyDescent="0.25">
      <c r="A21322" t="s">
        <v>21335</v>
      </c>
      <c r="B21322">
        <v>163</v>
      </c>
      <c r="C21322" s="1" t="str">
        <f>HYPERLINK("http://www.rosaceae.org/gb/gbrowse/malus_x_domestica/?name=MDP0000244700","MDP0000244700")</f>
        <v>MDP0000244700</v>
      </c>
      <c r="D21322">
        <v>54.54</v>
      </c>
      <c r="E21322">
        <v>110</v>
      </c>
      <c r="F21322">
        <v>50</v>
      </c>
      <c r="G21322">
        <v>16</v>
      </c>
      <c r="H21322">
        <v>54</v>
      </c>
      <c r="I21322">
        <v>163</v>
      </c>
      <c r="J21322">
        <v>1</v>
      </c>
      <c r="K21322">
        <v>362</v>
      </c>
      <c r="L21322">
        <v>455</v>
      </c>
      <c r="M21322">
        <v>1</v>
      </c>
      <c r="N21322">
        <v>7.1516000000000002E-23</v>
      </c>
      <c r="O21322">
        <v>257</v>
      </c>
    </row>
    <row r="21323" spans="1:15" x14ac:dyDescent="0.25">
      <c r="A21323" t="s">
        <v>21336</v>
      </c>
      <c r="B21323">
        <v>122</v>
      </c>
      <c r="C21323" s="1" t="str">
        <f>HYPERLINK("http://www.rosaceae.org/gb/gbrowse/malus_x_domestica/?name=MDP0000265100","MDP0000265100")</f>
        <v>MDP0000265100</v>
      </c>
      <c r="D21323">
        <v>50.92</v>
      </c>
      <c r="E21323">
        <v>108</v>
      </c>
      <c r="F21323">
        <v>53</v>
      </c>
      <c r="G21323">
        <v>4</v>
      </c>
      <c r="H21323">
        <v>16</v>
      </c>
      <c r="I21323">
        <v>121</v>
      </c>
      <c r="J21323">
        <v>1</v>
      </c>
      <c r="K21323">
        <v>326</v>
      </c>
      <c r="L21323">
        <v>431</v>
      </c>
      <c r="M21323">
        <v>1</v>
      </c>
      <c r="N21323">
        <v>5.2076299999999997E-21</v>
      </c>
      <c r="O21323">
        <v>239</v>
      </c>
    </row>
    <row r="21324" spans="1:15" x14ac:dyDescent="0.25">
      <c r="A21324" t="s">
        <v>21337</v>
      </c>
      <c r="B21324">
        <v>331</v>
      </c>
      <c r="C21324" s="1" t="str">
        <f>HYPERLINK("http://www.rosaceae.org/gb/gbrowse/malus_x_domestica/?name=MDP0000177574","MDP0000177574")</f>
        <v>MDP0000177574</v>
      </c>
      <c r="D21324">
        <v>73.84</v>
      </c>
      <c r="E21324">
        <v>260</v>
      </c>
      <c r="F21324">
        <v>68</v>
      </c>
      <c r="G21324">
        <v>21</v>
      </c>
      <c r="H21324">
        <v>93</v>
      </c>
      <c r="I21324">
        <v>331</v>
      </c>
      <c r="J21324">
        <v>1</v>
      </c>
      <c r="K21324">
        <v>477</v>
      </c>
      <c r="L21324">
        <v>736</v>
      </c>
      <c r="M21324">
        <v>1</v>
      </c>
      <c r="N21324">
        <v>1.10985E-104</v>
      </c>
      <c r="O21324">
        <v>967</v>
      </c>
    </row>
    <row r="21325" spans="1:15" x14ac:dyDescent="0.25">
      <c r="A21325" t="s">
        <v>21338</v>
      </c>
      <c r="B21325">
        <v>643</v>
      </c>
      <c r="C21325" s="1" t="str">
        <f>HYPERLINK("http://www.rosaceae.org/gb/gbrowse/malus_x_domestica/?name=MDP0000337735","MDP0000337735")</f>
        <v>MDP0000337735</v>
      </c>
      <c r="D21325">
        <v>84.68</v>
      </c>
      <c r="E21325">
        <v>627</v>
      </c>
      <c r="F21325">
        <v>96</v>
      </c>
      <c r="G21325">
        <v>2</v>
      </c>
      <c r="H21325">
        <v>18</v>
      </c>
      <c r="I21325">
        <v>643</v>
      </c>
      <c r="J21325">
        <v>1</v>
      </c>
      <c r="K21325">
        <v>1</v>
      </c>
      <c r="L21325">
        <v>626</v>
      </c>
      <c r="M21325">
        <v>1</v>
      </c>
      <c r="N21325">
        <v>0</v>
      </c>
      <c r="O21325">
        <v>2849</v>
      </c>
    </row>
    <row r="21326" spans="1:15" x14ac:dyDescent="0.25">
      <c r="A21326" t="s">
        <v>21339</v>
      </c>
      <c r="B21326">
        <v>515</v>
      </c>
      <c r="C21326" s="1" t="str">
        <f>HYPERLINK("http://www.rosaceae.org/gb/gbrowse/malus_x_domestica/?name=MDP0000237539","MDP0000237539")</f>
        <v>MDP0000237539</v>
      </c>
      <c r="D21326">
        <v>53.37</v>
      </c>
      <c r="E21326">
        <v>459</v>
      </c>
      <c r="F21326">
        <v>214</v>
      </c>
      <c r="G21326">
        <v>27</v>
      </c>
      <c r="H21326">
        <v>70</v>
      </c>
      <c r="I21326">
        <v>515</v>
      </c>
      <c r="J21326">
        <v>1</v>
      </c>
      <c r="K21326">
        <v>591</v>
      </c>
      <c r="L21326">
        <v>1035</v>
      </c>
      <c r="M21326">
        <v>1</v>
      </c>
      <c r="N21326">
        <v>1.03161E-131</v>
      </c>
      <c r="O21326">
        <v>1202</v>
      </c>
    </row>
    <row r="21327" spans="1:15" x14ac:dyDescent="0.25">
      <c r="A21327" t="s">
        <v>21340</v>
      </c>
      <c r="B21327">
        <v>574</v>
      </c>
      <c r="C21327" s="1" t="str">
        <f>HYPERLINK("http://www.rosaceae.org/gb/gbrowse/malus_x_domestica/?name=MDP0000318606","MDP0000318606")</f>
        <v>MDP0000318606</v>
      </c>
      <c r="D21327">
        <v>55.09</v>
      </c>
      <c r="E21327">
        <v>530</v>
      </c>
      <c r="F21327">
        <v>238</v>
      </c>
      <c r="G21327">
        <v>28</v>
      </c>
      <c r="H21327">
        <v>2</v>
      </c>
      <c r="I21327">
        <v>528</v>
      </c>
      <c r="J21327">
        <v>1</v>
      </c>
      <c r="K21327">
        <v>56</v>
      </c>
      <c r="L21327">
        <v>560</v>
      </c>
      <c r="M21327">
        <v>1</v>
      </c>
      <c r="N21327">
        <v>1.06007E-167</v>
      </c>
      <c r="O21327">
        <v>1513</v>
      </c>
    </row>
    <row r="21328" spans="1:15" x14ac:dyDescent="0.25">
      <c r="A21328" t="s">
        <v>21341</v>
      </c>
      <c r="B21328">
        <v>280</v>
      </c>
      <c r="C21328" s="1" t="str">
        <f>HYPERLINK("http://www.rosaceae.org/gb/gbrowse/malus_x_domestica/?name=MDP0000210851","MDP0000210851")</f>
        <v>MDP0000210851</v>
      </c>
      <c r="D21328">
        <v>58.41</v>
      </c>
      <c r="E21328">
        <v>291</v>
      </c>
      <c r="F21328">
        <v>121</v>
      </c>
      <c r="G21328">
        <v>13</v>
      </c>
      <c r="H21328">
        <v>1</v>
      </c>
      <c r="I21328">
        <v>280</v>
      </c>
      <c r="J21328">
        <v>1</v>
      </c>
      <c r="K21328">
        <v>1</v>
      </c>
      <c r="L21328">
        <v>289</v>
      </c>
      <c r="M21328">
        <v>1</v>
      </c>
      <c r="N21328">
        <v>3.4369999999999996E-83</v>
      </c>
      <c r="O21328">
        <v>781</v>
      </c>
    </row>
    <row r="21329" spans="1:15" x14ac:dyDescent="0.25">
      <c r="A21329" t="s">
        <v>21342</v>
      </c>
      <c r="B21329">
        <v>1086</v>
      </c>
      <c r="C21329" s="1" t="str">
        <f>HYPERLINK("http://www.rosaceae.org/gb/gbrowse/malus_x_domestica/?name=MDP0000290409","MDP0000290409")</f>
        <v>MDP0000290409</v>
      </c>
      <c r="D21329">
        <v>54.21</v>
      </c>
      <c r="E21329">
        <v>782</v>
      </c>
      <c r="F21329">
        <v>358</v>
      </c>
      <c r="G21329">
        <v>89</v>
      </c>
      <c r="H21329">
        <v>136</v>
      </c>
      <c r="I21329">
        <v>859</v>
      </c>
      <c r="J21329">
        <v>1</v>
      </c>
      <c r="K21329">
        <v>397</v>
      </c>
      <c r="L21329">
        <v>1147</v>
      </c>
      <c r="M21329">
        <v>1</v>
      </c>
      <c r="N21329">
        <v>0</v>
      </c>
      <c r="O21329">
        <v>1858</v>
      </c>
    </row>
    <row r="21330" spans="1:15" x14ac:dyDescent="0.25">
      <c r="A21330" t="s">
        <v>21343</v>
      </c>
      <c r="B21330">
        <v>473</v>
      </c>
      <c r="C21330" s="1" t="str">
        <f>HYPERLINK("http://www.rosaceae.org/gb/gbrowse/malus_x_domestica/?name=MDP0000248100","MDP0000248100")</f>
        <v>MDP0000248100</v>
      </c>
      <c r="D21330">
        <v>32.270000000000003</v>
      </c>
      <c r="E21330">
        <v>251</v>
      </c>
      <c r="F21330">
        <v>170</v>
      </c>
      <c r="G21330">
        <v>37</v>
      </c>
      <c r="H21330">
        <v>70</v>
      </c>
      <c r="I21330">
        <v>292</v>
      </c>
      <c r="J21330">
        <v>1</v>
      </c>
      <c r="K21330">
        <v>46</v>
      </c>
      <c r="L21330">
        <v>287</v>
      </c>
      <c r="M21330">
        <v>1</v>
      </c>
      <c r="N21330">
        <v>4.7643200000000002E-26</v>
      </c>
      <c r="O21330">
        <v>291</v>
      </c>
    </row>
    <row r="21331" spans="1:15" x14ac:dyDescent="0.25">
      <c r="A21331" t="s">
        <v>21344</v>
      </c>
      <c r="B21331">
        <v>314</v>
      </c>
      <c r="C21331" s="1" t="str">
        <f>HYPERLINK("http://www.rosaceae.org/gb/gbrowse/malus_x_domestica/?name=MDP0000888078","MDP0000888078")</f>
        <v>MDP0000888078</v>
      </c>
      <c r="D21331">
        <v>83.82</v>
      </c>
      <c r="E21331">
        <v>136</v>
      </c>
      <c r="F21331">
        <v>22</v>
      </c>
      <c r="G21331">
        <v>0</v>
      </c>
      <c r="H21331">
        <v>167</v>
      </c>
      <c r="I21331">
        <v>302</v>
      </c>
      <c r="J21331">
        <v>1</v>
      </c>
      <c r="K21331">
        <v>1</v>
      </c>
      <c r="L21331">
        <v>136</v>
      </c>
      <c r="M21331">
        <v>1</v>
      </c>
      <c r="N21331">
        <v>6.9580399999999998E-66</v>
      </c>
      <c r="O21331">
        <v>632</v>
      </c>
    </row>
    <row r="21332" spans="1:15" x14ac:dyDescent="0.25">
      <c r="A21332" t="s">
        <v>21345</v>
      </c>
      <c r="B21332">
        <v>1334</v>
      </c>
      <c r="C21332" s="1" t="str">
        <f>HYPERLINK("http://www.rosaceae.org/gb/gbrowse/malus_x_domestica/?name=MDP0000231283","MDP0000231283")</f>
        <v>MDP0000231283</v>
      </c>
      <c r="D21332">
        <v>69.69</v>
      </c>
      <c r="E21332">
        <v>1310</v>
      </c>
      <c r="F21332">
        <v>397</v>
      </c>
      <c r="G21332">
        <v>153</v>
      </c>
      <c r="H21332">
        <v>10</v>
      </c>
      <c r="I21332">
        <v>1183</v>
      </c>
      <c r="J21332">
        <v>1</v>
      </c>
      <c r="K21332">
        <v>1</v>
      </c>
      <c r="L21332">
        <v>1293</v>
      </c>
      <c r="M21332">
        <v>1</v>
      </c>
      <c r="N21332">
        <v>0</v>
      </c>
      <c r="O21332">
        <v>4407</v>
      </c>
    </row>
    <row r="21333" spans="1:15" x14ac:dyDescent="0.25">
      <c r="A21333" t="s">
        <v>21346</v>
      </c>
      <c r="B21333">
        <v>329</v>
      </c>
      <c r="C21333" s="1" t="str">
        <f>HYPERLINK("http://www.rosaceae.org/gb/gbrowse/malus_x_domestica/?name=MDP0000178326","MDP0000178326")</f>
        <v>MDP0000178326</v>
      </c>
      <c r="D21333">
        <v>65.41</v>
      </c>
      <c r="E21333">
        <v>347</v>
      </c>
      <c r="F21333">
        <v>120</v>
      </c>
      <c r="G21333">
        <v>38</v>
      </c>
      <c r="H21333">
        <v>1</v>
      </c>
      <c r="I21333">
        <v>329</v>
      </c>
      <c r="J21333">
        <v>1</v>
      </c>
      <c r="K21333">
        <v>1</v>
      </c>
      <c r="L21333">
        <v>327</v>
      </c>
      <c r="M21333">
        <v>1</v>
      </c>
      <c r="N21333">
        <v>3.9634800000000001E-115</v>
      </c>
      <c r="O21333">
        <v>1057</v>
      </c>
    </row>
    <row r="21334" spans="1:15" x14ac:dyDescent="0.25">
      <c r="A21334" t="s">
        <v>21347</v>
      </c>
      <c r="B21334">
        <v>506</v>
      </c>
      <c r="C21334" s="1" t="str">
        <f>HYPERLINK("http://www.rosaceae.org/gb/gbrowse/malus_x_domestica/?name=MDP0000148002","MDP0000148002")</f>
        <v>MDP0000148002</v>
      </c>
      <c r="D21334">
        <v>74.94</v>
      </c>
      <c r="E21334">
        <v>495</v>
      </c>
      <c r="F21334">
        <v>124</v>
      </c>
      <c r="G21334">
        <v>27</v>
      </c>
      <c r="H21334">
        <v>1</v>
      </c>
      <c r="I21334">
        <v>495</v>
      </c>
      <c r="J21334">
        <v>1</v>
      </c>
      <c r="K21334">
        <v>1</v>
      </c>
      <c r="L21334">
        <v>468</v>
      </c>
      <c r="M21334">
        <v>1</v>
      </c>
      <c r="N21334">
        <v>0</v>
      </c>
      <c r="O21334">
        <v>1982</v>
      </c>
    </row>
    <row r="21335" spans="1:15" x14ac:dyDescent="0.25">
      <c r="A21335" t="s">
        <v>21348</v>
      </c>
      <c r="B21335">
        <v>582</v>
      </c>
      <c r="C21335" s="1" t="str">
        <f>HYPERLINK("http://www.rosaceae.org/gb/gbrowse/malus_x_domestica/?name=MDP0000271168","MDP0000271168")</f>
        <v>MDP0000271168</v>
      </c>
      <c r="D21335">
        <v>68.8</v>
      </c>
      <c r="E21335">
        <v>529</v>
      </c>
      <c r="F21335">
        <v>165</v>
      </c>
      <c r="G21335">
        <v>51</v>
      </c>
      <c r="H21335">
        <v>43</v>
      </c>
      <c r="I21335">
        <v>571</v>
      </c>
      <c r="J21335">
        <v>1</v>
      </c>
      <c r="K21335">
        <v>1</v>
      </c>
      <c r="L21335">
        <v>478</v>
      </c>
      <c r="M21335">
        <v>1</v>
      </c>
      <c r="N21335">
        <v>0</v>
      </c>
      <c r="O21335">
        <v>1856</v>
      </c>
    </row>
    <row r="21336" spans="1:15" x14ac:dyDescent="0.25">
      <c r="A21336" t="s">
        <v>21349</v>
      </c>
      <c r="B21336">
        <v>546</v>
      </c>
      <c r="C21336" s="1" t="str">
        <f>HYPERLINK("http://www.rosaceae.org/gb/gbrowse/malus_x_domestica/?name=MDP0000514418","MDP0000514418")</f>
        <v>MDP0000514418</v>
      </c>
      <c r="D21336">
        <v>81.55</v>
      </c>
      <c r="E21336">
        <v>553</v>
      </c>
      <c r="F21336">
        <v>102</v>
      </c>
      <c r="G21336">
        <v>11</v>
      </c>
      <c r="H21336">
        <v>1</v>
      </c>
      <c r="I21336">
        <v>546</v>
      </c>
      <c r="J21336">
        <v>1</v>
      </c>
      <c r="K21336">
        <v>1</v>
      </c>
      <c r="L21336">
        <v>549</v>
      </c>
      <c r="M21336">
        <v>1</v>
      </c>
      <c r="N21336">
        <v>0</v>
      </c>
      <c r="O21336">
        <v>2389</v>
      </c>
    </row>
    <row r="21337" spans="1:15" x14ac:dyDescent="0.25">
      <c r="A21337" t="s">
        <v>21350</v>
      </c>
      <c r="B21337">
        <v>1185</v>
      </c>
      <c r="C21337" s="1" t="str">
        <f>HYPERLINK("http://www.rosaceae.org/gb/gbrowse/malus_x_domestica/?name=MDP0000186872","MDP0000186872")</f>
        <v>MDP0000186872</v>
      </c>
      <c r="D21337">
        <v>74.28</v>
      </c>
      <c r="E21337">
        <v>669</v>
      </c>
      <c r="F21337">
        <v>172</v>
      </c>
      <c r="G21337">
        <v>8</v>
      </c>
      <c r="H21337">
        <v>518</v>
      </c>
      <c r="I21337">
        <v>1182</v>
      </c>
      <c r="J21337">
        <v>1</v>
      </c>
      <c r="K21337">
        <v>46</v>
      </c>
      <c r="L21337">
        <v>710</v>
      </c>
      <c r="M21337">
        <v>1</v>
      </c>
      <c r="N21337">
        <v>0</v>
      </c>
      <c r="O21337">
        <v>2599</v>
      </c>
    </row>
    <row r="21338" spans="1:15" x14ac:dyDescent="0.25">
      <c r="A21338" t="s">
        <v>21351</v>
      </c>
      <c r="B21338">
        <v>306</v>
      </c>
      <c r="C21338" s="1" t="str">
        <f>HYPERLINK("http://www.rosaceae.org/gb/gbrowse/malus_x_domestica/?name=MDP0000166262","MDP0000166262")</f>
        <v>MDP0000166262</v>
      </c>
      <c r="D21338">
        <v>66.2</v>
      </c>
      <c r="E21338">
        <v>216</v>
      </c>
      <c r="F21338">
        <v>73</v>
      </c>
      <c r="G21338">
        <v>2</v>
      </c>
      <c r="H21338">
        <v>1</v>
      </c>
      <c r="I21338">
        <v>214</v>
      </c>
      <c r="J21338">
        <v>1</v>
      </c>
      <c r="K21338">
        <v>1</v>
      </c>
      <c r="L21338">
        <v>216</v>
      </c>
      <c r="M21338">
        <v>1</v>
      </c>
      <c r="N21338">
        <v>2.2941100000000001E-76</v>
      </c>
      <c r="O21338">
        <v>723</v>
      </c>
    </row>
    <row r="21339" spans="1:15" x14ac:dyDescent="0.25">
      <c r="A21339" t="s">
        <v>21352</v>
      </c>
      <c r="B21339">
        <v>227</v>
      </c>
      <c r="C21339" s="1" t="str">
        <f>HYPERLINK("http://www.rosaceae.org/gb/gbrowse/malus_x_domestica/?name=MDP0000274485","MDP0000274485")</f>
        <v>MDP0000274485</v>
      </c>
      <c r="D21339">
        <v>30.39</v>
      </c>
      <c r="E21339">
        <v>227</v>
      </c>
      <c r="F21339">
        <v>158</v>
      </c>
      <c r="G21339">
        <v>45</v>
      </c>
      <c r="H21339">
        <v>22</v>
      </c>
      <c r="I21339">
        <v>204</v>
      </c>
      <c r="J21339">
        <v>1</v>
      </c>
      <c r="K21339">
        <v>6</v>
      </c>
      <c r="L21339">
        <v>231</v>
      </c>
      <c r="M21339">
        <v>1</v>
      </c>
      <c r="N21339">
        <v>8.7195200000000003E-21</v>
      </c>
      <c r="O21339">
        <v>242</v>
      </c>
    </row>
    <row r="21340" spans="1:15" x14ac:dyDescent="0.25">
      <c r="A21340" t="s">
        <v>21353</v>
      </c>
      <c r="B21340">
        <v>214</v>
      </c>
      <c r="C21340" s="1" t="str">
        <f>HYPERLINK("http://www.rosaceae.org/gb/gbrowse/malus_x_domestica/?name=MDP0000491271","MDP0000491271")</f>
        <v>MDP0000491271</v>
      </c>
      <c r="D21340">
        <v>56.25</v>
      </c>
      <c r="E21340">
        <v>240</v>
      </c>
      <c r="F21340">
        <v>105</v>
      </c>
      <c r="G21340">
        <v>37</v>
      </c>
      <c r="H21340">
        <v>1</v>
      </c>
      <c r="I21340">
        <v>204</v>
      </c>
      <c r="J21340">
        <v>1</v>
      </c>
      <c r="K21340">
        <v>1</v>
      </c>
      <c r="L21340">
        <v>239</v>
      </c>
      <c r="M21340">
        <v>1</v>
      </c>
      <c r="N21340">
        <v>3.0714099999999997E-67</v>
      </c>
      <c r="O21340">
        <v>642</v>
      </c>
    </row>
    <row r="21341" spans="1:15" x14ac:dyDescent="0.25">
      <c r="A21341" t="s">
        <v>21354</v>
      </c>
      <c r="B21341">
        <v>255</v>
      </c>
      <c r="C21341" s="1" t="str">
        <f>HYPERLINK("http://www.rosaceae.org/gb/gbrowse/malus_x_domestica/?name=MDP0000163774","MDP0000163774")</f>
        <v>MDP0000163774</v>
      </c>
      <c r="D21341">
        <v>33.33</v>
      </c>
      <c r="E21341">
        <v>174</v>
      </c>
      <c r="F21341">
        <v>116</v>
      </c>
      <c r="G21341">
        <v>3</v>
      </c>
      <c r="H21341">
        <v>75</v>
      </c>
      <c r="I21341">
        <v>247</v>
      </c>
      <c r="J21341">
        <v>1</v>
      </c>
      <c r="K21341">
        <v>449</v>
      </c>
      <c r="L21341">
        <v>620</v>
      </c>
      <c r="M21341">
        <v>1</v>
      </c>
      <c r="N21341">
        <v>5.4556700000000002E-17</v>
      </c>
      <c r="O21341">
        <v>210</v>
      </c>
    </row>
    <row r="21342" spans="1:15" x14ac:dyDescent="0.25">
      <c r="A21342" t="s">
        <v>21355</v>
      </c>
      <c r="B21342">
        <v>257</v>
      </c>
      <c r="C21342" s="1" t="str">
        <f>HYPERLINK("http://www.rosaceae.org/gb/gbrowse/malus_x_domestica/?name=MDP0000275088","MDP0000275088")</f>
        <v>MDP0000275088</v>
      </c>
      <c r="D21342">
        <v>70.45</v>
      </c>
      <c r="E21342">
        <v>176</v>
      </c>
      <c r="F21342">
        <v>52</v>
      </c>
      <c r="G21342">
        <v>1</v>
      </c>
      <c r="H21342">
        <v>1</v>
      </c>
      <c r="I21342">
        <v>176</v>
      </c>
      <c r="J21342">
        <v>1</v>
      </c>
      <c r="K21342">
        <v>88</v>
      </c>
      <c r="L21342">
        <v>262</v>
      </c>
      <c r="M21342">
        <v>1</v>
      </c>
      <c r="N21342">
        <v>6.4882500000000003E-68</v>
      </c>
      <c r="O21342">
        <v>649</v>
      </c>
    </row>
    <row r="21343" spans="1:15" x14ac:dyDescent="0.25">
      <c r="A21343" t="s">
        <v>21356</v>
      </c>
      <c r="B21343">
        <v>996</v>
      </c>
      <c r="C21343" s="1" t="str">
        <f>HYPERLINK("http://www.rosaceae.org/gb/gbrowse/malus_x_domestica/?name=MDP0000160859","MDP0000160859")</f>
        <v>MDP0000160859</v>
      </c>
      <c r="D21343">
        <v>79.61</v>
      </c>
      <c r="E21343">
        <v>309</v>
      </c>
      <c r="F21343">
        <v>63</v>
      </c>
      <c r="G21343">
        <v>10</v>
      </c>
      <c r="H21343">
        <v>462</v>
      </c>
      <c r="I21343">
        <v>770</v>
      </c>
      <c r="J21343">
        <v>1</v>
      </c>
      <c r="K21343">
        <v>135</v>
      </c>
      <c r="L21343">
        <v>433</v>
      </c>
      <c r="M21343">
        <v>1</v>
      </c>
      <c r="N21343">
        <v>2.26177E-144</v>
      </c>
      <c r="O21343">
        <v>1314</v>
      </c>
    </row>
    <row r="21344" spans="1:15" x14ac:dyDescent="0.25">
      <c r="A21344" t="s">
        <v>21357</v>
      </c>
      <c r="B21344">
        <v>426</v>
      </c>
      <c r="C21344" s="1" t="str">
        <f>HYPERLINK("http://www.rosaceae.org/gb/gbrowse/malus_x_domestica/?name=MDP0000292722","MDP0000292722")</f>
        <v>MDP0000292722</v>
      </c>
      <c r="D21344">
        <v>56.62</v>
      </c>
      <c r="E21344">
        <v>83</v>
      </c>
      <c r="F21344">
        <v>36</v>
      </c>
      <c r="G21344">
        <v>1</v>
      </c>
      <c r="H21344">
        <v>275</v>
      </c>
      <c r="I21344">
        <v>356</v>
      </c>
      <c r="J21344">
        <v>1</v>
      </c>
      <c r="K21344">
        <v>316</v>
      </c>
      <c r="L21344">
        <v>398</v>
      </c>
      <c r="M21344">
        <v>1</v>
      </c>
      <c r="N21344">
        <v>5.1585000000000004E-21</v>
      </c>
      <c r="O21344">
        <v>247</v>
      </c>
    </row>
    <row r="21345" spans="1:15" x14ac:dyDescent="0.25">
      <c r="A21345" t="s">
        <v>21358</v>
      </c>
      <c r="B21345">
        <v>1823</v>
      </c>
      <c r="C21345" s="1" t="str">
        <f>HYPERLINK("http://www.rosaceae.org/gb/gbrowse/malus_x_domestica/?name=MDP0000284572","MDP0000284572")</f>
        <v>MDP0000284572</v>
      </c>
      <c r="D21345">
        <v>63.11</v>
      </c>
      <c r="E21345">
        <v>1754</v>
      </c>
      <c r="F21345">
        <v>647</v>
      </c>
      <c r="G21345">
        <v>116</v>
      </c>
      <c r="H21345">
        <v>124</v>
      </c>
      <c r="I21345">
        <v>1823</v>
      </c>
      <c r="J21345">
        <v>1</v>
      </c>
      <c r="K21345">
        <v>4</v>
      </c>
      <c r="L21345">
        <v>1695</v>
      </c>
      <c r="M21345">
        <v>1</v>
      </c>
      <c r="N21345">
        <v>0</v>
      </c>
      <c r="O21345">
        <v>5180</v>
      </c>
    </row>
    <row r="21346" spans="1:15" x14ac:dyDescent="0.25">
      <c r="A21346" t="s">
        <v>21359</v>
      </c>
      <c r="B21346">
        <v>889</v>
      </c>
      <c r="C21346" s="1" t="str">
        <f>HYPERLINK("http://www.rosaceae.org/gb/gbrowse/malus_x_domestica/?name=MDP0000278580","MDP0000278580")</f>
        <v>MDP0000278580</v>
      </c>
      <c r="D21346">
        <v>64.78</v>
      </c>
      <c r="E21346">
        <v>460</v>
      </c>
      <c r="F21346">
        <v>162</v>
      </c>
      <c r="G21346">
        <v>44</v>
      </c>
      <c r="H21346">
        <v>347</v>
      </c>
      <c r="I21346">
        <v>801</v>
      </c>
      <c r="J21346">
        <v>1</v>
      </c>
      <c r="K21346">
        <v>504</v>
      </c>
      <c r="L21346">
        <v>924</v>
      </c>
      <c r="M21346">
        <v>1</v>
      </c>
      <c r="N21346">
        <v>1.3987600000000001E-165</v>
      </c>
      <c r="O21346">
        <v>1497</v>
      </c>
    </row>
    <row r="21347" spans="1:15" x14ac:dyDescent="0.25">
      <c r="A21347" t="s">
        <v>21360</v>
      </c>
      <c r="B21347">
        <v>497</v>
      </c>
      <c r="C21347" s="1" t="str">
        <f>HYPERLINK("http://www.rosaceae.org/gb/gbrowse/malus_x_domestica/?name=MDP0000126826","MDP0000126826")</f>
        <v>MDP0000126826</v>
      </c>
      <c r="D21347">
        <v>56.77</v>
      </c>
      <c r="E21347">
        <v>509</v>
      </c>
      <c r="F21347">
        <v>220</v>
      </c>
      <c r="G21347">
        <v>91</v>
      </c>
      <c r="H21347">
        <v>1</v>
      </c>
      <c r="I21347">
        <v>497</v>
      </c>
      <c r="J21347">
        <v>1</v>
      </c>
      <c r="K21347">
        <v>1</v>
      </c>
      <c r="L21347">
        <v>430</v>
      </c>
      <c r="M21347">
        <v>1</v>
      </c>
      <c r="N21347">
        <v>3.7899599999999998E-149</v>
      </c>
      <c r="O21347">
        <v>1353</v>
      </c>
    </row>
    <row r="21348" spans="1:15" x14ac:dyDescent="0.25">
      <c r="A21348" t="s">
        <v>21361</v>
      </c>
      <c r="B21348">
        <v>922</v>
      </c>
      <c r="C21348" s="1" t="str">
        <f>HYPERLINK("http://www.rosaceae.org/gb/gbrowse/malus_x_domestica/?name=MDP0000222790","MDP0000222790")</f>
        <v>MDP0000222790</v>
      </c>
      <c r="D21348">
        <v>39.04</v>
      </c>
      <c r="E21348">
        <v>794</v>
      </c>
      <c r="F21348">
        <v>484</v>
      </c>
      <c r="G21348">
        <v>94</v>
      </c>
      <c r="H21348">
        <v>40</v>
      </c>
      <c r="I21348">
        <v>771</v>
      </c>
      <c r="J21348">
        <v>1</v>
      </c>
      <c r="K21348">
        <v>78</v>
      </c>
      <c r="L21348">
        <v>839</v>
      </c>
      <c r="M21348">
        <v>1</v>
      </c>
      <c r="N21348">
        <v>5.4754000000000002E-131</v>
      </c>
      <c r="O21348">
        <v>1199</v>
      </c>
    </row>
    <row r="21349" spans="1:15" x14ac:dyDescent="0.25">
      <c r="A21349" t="s">
        <v>21362</v>
      </c>
      <c r="B21349">
        <v>593</v>
      </c>
      <c r="C21349" s="1" t="str">
        <f>HYPERLINK("http://www.rosaceae.org/gb/gbrowse/malus_x_domestica/?name=MDP0000158578","MDP0000158578")</f>
        <v>MDP0000158578</v>
      </c>
      <c r="D21349">
        <v>30.14</v>
      </c>
      <c r="E21349">
        <v>428</v>
      </c>
      <c r="F21349">
        <v>299</v>
      </c>
      <c r="G21349">
        <v>82</v>
      </c>
      <c r="H21349">
        <v>112</v>
      </c>
      <c r="I21349">
        <v>482</v>
      </c>
      <c r="J21349">
        <v>1</v>
      </c>
      <c r="K21349">
        <v>22</v>
      </c>
      <c r="L21349">
        <v>424</v>
      </c>
      <c r="M21349">
        <v>1</v>
      </c>
      <c r="N21349">
        <v>6.1315999999999998E-36</v>
      </c>
      <c r="O21349">
        <v>377</v>
      </c>
    </row>
    <row r="21350" spans="1:15" x14ac:dyDescent="0.25">
      <c r="A21350" t="s">
        <v>21363</v>
      </c>
      <c r="B21350">
        <v>323</v>
      </c>
      <c r="C21350" s="1" t="str">
        <f>HYPERLINK("http://www.rosaceae.org/gb/gbrowse/malus_x_domestica/?name=MDP0000147129","MDP0000147129")</f>
        <v>MDP0000147129</v>
      </c>
      <c r="D21350">
        <v>32</v>
      </c>
      <c r="E21350">
        <v>350</v>
      </c>
      <c r="F21350">
        <v>238</v>
      </c>
      <c r="G21350">
        <v>108</v>
      </c>
      <c r="H21350">
        <v>57</v>
      </c>
      <c r="I21350">
        <v>303</v>
      </c>
      <c r="J21350">
        <v>1</v>
      </c>
      <c r="K21350">
        <v>115</v>
      </c>
      <c r="L21350">
        <v>459</v>
      </c>
      <c r="M21350">
        <v>1</v>
      </c>
      <c r="N21350">
        <v>1.43123E-24</v>
      </c>
      <c r="O21350">
        <v>276</v>
      </c>
    </row>
    <row r="21351" spans="1:15" x14ac:dyDescent="0.25">
      <c r="A21351" t="s">
        <v>21364</v>
      </c>
      <c r="B21351">
        <v>229</v>
      </c>
      <c r="C21351" s="1" t="str">
        <f>HYPERLINK("http://www.rosaceae.org/gb/gbrowse/malus_x_domestica/?name=MDP0000277383","MDP0000277383")</f>
        <v>MDP0000277383</v>
      </c>
      <c r="D21351">
        <v>78.819999999999993</v>
      </c>
      <c r="E21351">
        <v>222</v>
      </c>
      <c r="F21351">
        <v>47</v>
      </c>
      <c r="G21351">
        <v>8</v>
      </c>
      <c r="H21351">
        <v>1</v>
      </c>
      <c r="I21351">
        <v>220</v>
      </c>
      <c r="J21351">
        <v>1</v>
      </c>
      <c r="K21351">
        <v>1</v>
      </c>
      <c r="L21351">
        <v>216</v>
      </c>
      <c r="M21351">
        <v>1</v>
      </c>
      <c r="N21351">
        <v>2.0450000000000001E-98</v>
      </c>
      <c r="O21351">
        <v>911</v>
      </c>
    </row>
    <row r="21352" spans="1:15" x14ac:dyDescent="0.25">
      <c r="A21352" t="s">
        <v>21365</v>
      </c>
      <c r="B21352">
        <v>169</v>
      </c>
      <c r="C21352" s="1" t="str">
        <f>HYPERLINK("http://www.rosaceae.org/gb/gbrowse/malus_x_domestica/?name=MDP0000728845","MDP0000728845")</f>
        <v>MDP0000728845</v>
      </c>
      <c r="D21352">
        <v>31.95</v>
      </c>
      <c r="E21352">
        <v>97</v>
      </c>
      <c r="F21352">
        <v>66</v>
      </c>
      <c r="G21352">
        <v>3</v>
      </c>
      <c r="H21352">
        <v>1</v>
      </c>
      <c r="I21352">
        <v>97</v>
      </c>
      <c r="J21352">
        <v>1</v>
      </c>
      <c r="K21352">
        <v>2</v>
      </c>
      <c r="L21352">
        <v>95</v>
      </c>
      <c r="M21352">
        <v>1</v>
      </c>
      <c r="N21352">
        <v>1.01127E-9</v>
      </c>
      <c r="O21352">
        <v>144</v>
      </c>
    </row>
    <row r="21353" spans="1:15" x14ac:dyDescent="0.25">
      <c r="A21353" t="s">
        <v>21366</v>
      </c>
      <c r="B21353">
        <v>802</v>
      </c>
      <c r="C21353" s="1" t="str">
        <f>HYPERLINK("http://www.rosaceae.org/gb/gbrowse/malus_x_domestica/?name=MDP0000216381","MDP0000216381")</f>
        <v>MDP0000216381</v>
      </c>
      <c r="D21353">
        <v>82.95</v>
      </c>
      <c r="E21353">
        <v>616</v>
      </c>
      <c r="F21353">
        <v>105</v>
      </c>
      <c r="G21353">
        <v>30</v>
      </c>
      <c r="H21353">
        <v>104</v>
      </c>
      <c r="I21353">
        <v>719</v>
      </c>
      <c r="J21353">
        <v>1</v>
      </c>
      <c r="K21353">
        <v>1</v>
      </c>
      <c r="L21353">
        <v>586</v>
      </c>
      <c r="M21353">
        <v>1</v>
      </c>
      <c r="N21353">
        <v>0</v>
      </c>
      <c r="O21353">
        <v>2721</v>
      </c>
    </row>
    <row r="21354" spans="1:15" x14ac:dyDescent="0.25">
      <c r="A21354" t="s">
        <v>21367</v>
      </c>
      <c r="B21354">
        <v>137</v>
      </c>
      <c r="C21354" s="1" t="str">
        <f>HYPERLINK("http://www.rosaceae.org/gb/gbrowse/malus_x_domestica/?name=MDP0000190538","MDP0000190538")</f>
        <v>MDP0000190538</v>
      </c>
      <c r="D21354">
        <v>37.69</v>
      </c>
      <c r="E21354">
        <v>130</v>
      </c>
      <c r="F21354">
        <v>81</v>
      </c>
      <c r="G21354">
        <v>5</v>
      </c>
      <c r="H21354">
        <v>2</v>
      </c>
      <c r="I21354">
        <v>131</v>
      </c>
      <c r="J21354">
        <v>1</v>
      </c>
      <c r="K21354">
        <v>193</v>
      </c>
      <c r="L21354">
        <v>317</v>
      </c>
      <c r="M21354">
        <v>1</v>
      </c>
      <c r="N21354">
        <v>5.33658E-20</v>
      </c>
      <c r="O21354">
        <v>231</v>
      </c>
    </row>
    <row r="21355" spans="1:15" x14ac:dyDescent="0.25">
      <c r="A21355" t="s">
        <v>21368</v>
      </c>
      <c r="B21355">
        <v>354</v>
      </c>
      <c r="C21355" s="1" t="str">
        <f>HYPERLINK("http://www.rosaceae.org/gb/gbrowse/malus_x_domestica/?name=MDP0000330297","MDP0000330297")</f>
        <v>MDP0000330297</v>
      </c>
      <c r="D21355">
        <v>62.09</v>
      </c>
      <c r="E21355">
        <v>248</v>
      </c>
      <c r="F21355">
        <v>94</v>
      </c>
      <c r="G21355">
        <v>64</v>
      </c>
      <c r="H21355">
        <v>78</v>
      </c>
      <c r="I21355">
        <v>261</v>
      </c>
      <c r="J21355">
        <v>1</v>
      </c>
      <c r="K21355">
        <v>285</v>
      </c>
      <c r="L21355">
        <v>532</v>
      </c>
      <c r="M21355">
        <v>1</v>
      </c>
      <c r="N21355">
        <v>1.2959299999999999E-77</v>
      </c>
      <c r="O21355">
        <v>734</v>
      </c>
    </row>
    <row r="21356" spans="1:15" x14ac:dyDescent="0.25">
      <c r="A21356" t="s">
        <v>21369</v>
      </c>
      <c r="B21356">
        <v>490</v>
      </c>
      <c r="C21356" s="1" t="str">
        <f>HYPERLINK("http://www.rosaceae.org/gb/gbrowse/malus_x_domestica/?name=MDP0000510770","MDP0000510770")</f>
        <v>MDP0000510770</v>
      </c>
      <c r="D21356">
        <v>75.2</v>
      </c>
      <c r="E21356">
        <v>492</v>
      </c>
      <c r="F21356">
        <v>122</v>
      </c>
      <c r="G21356">
        <v>3</v>
      </c>
      <c r="H21356">
        <v>1</v>
      </c>
      <c r="I21356">
        <v>490</v>
      </c>
      <c r="J21356">
        <v>1</v>
      </c>
      <c r="K21356">
        <v>1</v>
      </c>
      <c r="L21356">
        <v>491</v>
      </c>
      <c r="M21356">
        <v>1</v>
      </c>
      <c r="N21356">
        <v>0</v>
      </c>
      <c r="O21356">
        <v>1906</v>
      </c>
    </row>
    <row r="21357" spans="1:15" x14ac:dyDescent="0.25">
      <c r="A21357" t="s">
        <v>21370</v>
      </c>
      <c r="B21357">
        <v>267</v>
      </c>
      <c r="C21357" s="1" t="str">
        <f>HYPERLINK("http://www.rosaceae.org/gb/gbrowse/malus_x_domestica/?name=MDP0000234186","MDP0000234186")</f>
        <v>MDP0000234186</v>
      </c>
      <c r="D21357">
        <v>63.25</v>
      </c>
      <c r="E21357">
        <v>283</v>
      </c>
      <c r="F21357">
        <v>104</v>
      </c>
      <c r="G21357">
        <v>26</v>
      </c>
      <c r="H21357">
        <v>2</v>
      </c>
      <c r="I21357">
        <v>267</v>
      </c>
      <c r="J21357">
        <v>1</v>
      </c>
      <c r="K21357">
        <v>1</v>
      </c>
      <c r="L21357">
        <v>274</v>
      </c>
      <c r="M21357">
        <v>1</v>
      </c>
      <c r="N21357">
        <v>1.08308E-92</v>
      </c>
      <c r="O21357">
        <v>863</v>
      </c>
    </row>
    <row r="21358" spans="1:15" x14ac:dyDescent="0.25">
      <c r="A21358" t="s">
        <v>21371</v>
      </c>
      <c r="B21358">
        <v>755</v>
      </c>
      <c r="C21358" s="1" t="str">
        <f>HYPERLINK("http://www.rosaceae.org/gb/gbrowse/malus_x_domestica/?name=MDP0000219700","MDP0000219700")</f>
        <v>MDP0000219700</v>
      </c>
      <c r="D21358">
        <v>77.31</v>
      </c>
      <c r="E21358">
        <v>529</v>
      </c>
      <c r="F21358">
        <v>120</v>
      </c>
      <c r="G21358">
        <v>4</v>
      </c>
      <c r="H21358">
        <v>11</v>
      </c>
      <c r="I21358">
        <v>536</v>
      </c>
      <c r="J21358">
        <v>1</v>
      </c>
      <c r="K21358">
        <v>242</v>
      </c>
      <c r="L21358">
        <v>769</v>
      </c>
      <c r="M21358">
        <v>1</v>
      </c>
      <c r="N21358">
        <v>0</v>
      </c>
      <c r="O21358">
        <v>2114</v>
      </c>
    </row>
    <row r="21359" spans="1:15" x14ac:dyDescent="0.25">
      <c r="A21359" t="s">
        <v>21372</v>
      </c>
      <c r="B21359">
        <v>569</v>
      </c>
      <c r="C21359" s="1" t="str">
        <f>HYPERLINK("http://www.rosaceae.org/gb/gbrowse/malus_x_domestica/?name=MDP0000373095","MDP0000373095")</f>
        <v>MDP0000373095</v>
      </c>
      <c r="D21359">
        <v>91.26</v>
      </c>
      <c r="E21359">
        <v>103</v>
      </c>
      <c r="F21359">
        <v>9</v>
      </c>
      <c r="G21359">
        <v>0</v>
      </c>
      <c r="H21359">
        <v>467</v>
      </c>
      <c r="I21359">
        <v>569</v>
      </c>
      <c r="J21359">
        <v>1</v>
      </c>
      <c r="K21359">
        <v>1</v>
      </c>
      <c r="L21359">
        <v>103</v>
      </c>
      <c r="M21359">
        <v>1</v>
      </c>
      <c r="N21359">
        <v>2.56142E-51</v>
      </c>
      <c r="O21359">
        <v>510</v>
      </c>
    </row>
    <row r="21360" spans="1:15" x14ac:dyDescent="0.25">
      <c r="A21360" t="s">
        <v>21373</v>
      </c>
      <c r="B21360">
        <v>658</v>
      </c>
      <c r="C21360" s="1" t="str">
        <f>HYPERLINK("http://www.rosaceae.org/gb/gbrowse/malus_x_domestica/?name=MDP0000169047","MDP0000169047")</f>
        <v>MDP0000169047</v>
      </c>
      <c r="D21360">
        <v>64</v>
      </c>
      <c r="E21360">
        <v>650</v>
      </c>
      <c r="F21360">
        <v>234</v>
      </c>
      <c r="G21360">
        <v>16</v>
      </c>
      <c r="H21360">
        <v>16</v>
      </c>
      <c r="I21360">
        <v>658</v>
      </c>
      <c r="J21360">
        <v>1</v>
      </c>
      <c r="K21360">
        <v>15</v>
      </c>
      <c r="L21360">
        <v>655</v>
      </c>
      <c r="M21360">
        <v>1</v>
      </c>
      <c r="N21360">
        <v>0</v>
      </c>
      <c r="O21360">
        <v>2158</v>
      </c>
    </row>
    <row r="21361" spans="1:15" x14ac:dyDescent="0.25">
      <c r="A21361" t="s">
        <v>21374</v>
      </c>
      <c r="B21361">
        <v>276</v>
      </c>
      <c r="C21361" s="1" t="str">
        <f>HYPERLINK("http://www.rosaceae.org/gb/gbrowse/malus_x_domestica/?name=MDP0000226320","MDP0000226320")</f>
        <v>MDP0000226320</v>
      </c>
      <c r="D21361">
        <v>60</v>
      </c>
      <c r="E21361">
        <v>95</v>
      </c>
      <c r="F21361">
        <v>38</v>
      </c>
      <c r="G21361">
        <v>5</v>
      </c>
      <c r="H21361">
        <v>183</v>
      </c>
      <c r="I21361">
        <v>276</v>
      </c>
      <c r="J21361">
        <v>1</v>
      </c>
      <c r="K21361">
        <v>1</v>
      </c>
      <c r="L21361">
        <v>91</v>
      </c>
      <c r="M21361">
        <v>1</v>
      </c>
      <c r="N21361">
        <v>2.23581E-20</v>
      </c>
      <c r="O21361">
        <v>239</v>
      </c>
    </row>
    <row r="21362" spans="1:15" x14ac:dyDescent="0.25">
      <c r="A21362" t="s">
        <v>21375</v>
      </c>
      <c r="B21362">
        <v>142</v>
      </c>
      <c r="C21362" s="1" t="str">
        <f>HYPERLINK("http://www.rosaceae.org/gb/gbrowse/malus_x_domestica/?name=MDP0000946733","MDP0000946733")</f>
        <v>MDP0000946733</v>
      </c>
      <c r="D21362">
        <v>90</v>
      </c>
      <c r="E21362">
        <v>40</v>
      </c>
      <c r="F21362">
        <v>4</v>
      </c>
      <c r="G21362">
        <v>0</v>
      </c>
      <c r="H21362">
        <v>64</v>
      </c>
      <c r="I21362">
        <v>103</v>
      </c>
      <c r="J21362">
        <v>1</v>
      </c>
      <c r="K21362">
        <v>287</v>
      </c>
      <c r="L21362">
        <v>326</v>
      </c>
      <c r="M21362">
        <v>1</v>
      </c>
      <c r="N21362">
        <v>3.2316E-17</v>
      </c>
      <c r="O21362">
        <v>207</v>
      </c>
    </row>
    <row r="21363" spans="1:15" x14ac:dyDescent="0.25">
      <c r="A21363" t="s">
        <v>21376</v>
      </c>
      <c r="B21363">
        <v>407</v>
      </c>
      <c r="C21363" s="1" t="str">
        <f>HYPERLINK("http://www.rosaceae.org/gb/gbrowse/malus_x_domestica/?name=MDP0000120738","MDP0000120738")</f>
        <v>MDP0000120738</v>
      </c>
      <c r="D21363">
        <v>64.97</v>
      </c>
      <c r="E21363">
        <v>414</v>
      </c>
      <c r="F21363">
        <v>145</v>
      </c>
      <c r="G21363">
        <v>13</v>
      </c>
      <c r="H21363">
        <v>1</v>
      </c>
      <c r="I21363">
        <v>406</v>
      </c>
      <c r="J21363">
        <v>1</v>
      </c>
      <c r="K21363">
        <v>1</v>
      </c>
      <c r="L21363">
        <v>409</v>
      </c>
      <c r="M21363">
        <v>1</v>
      </c>
      <c r="N21363">
        <v>4.8050999999999999E-141</v>
      </c>
      <c r="O21363">
        <v>1282</v>
      </c>
    </row>
    <row r="21364" spans="1:15" x14ac:dyDescent="0.25">
      <c r="A21364" t="s">
        <v>21377</v>
      </c>
      <c r="B21364">
        <v>683</v>
      </c>
      <c r="C21364" s="1" t="str">
        <f>HYPERLINK("http://www.rosaceae.org/gb/gbrowse/malus_x_domestica/?name=MDP0000234949","MDP0000234949")</f>
        <v>MDP0000234949</v>
      </c>
      <c r="D21364">
        <v>89.09</v>
      </c>
      <c r="E21364">
        <v>275</v>
      </c>
      <c r="F21364">
        <v>30</v>
      </c>
      <c r="G21364">
        <v>15</v>
      </c>
      <c r="H21364">
        <v>30</v>
      </c>
      <c r="I21364">
        <v>301</v>
      </c>
      <c r="J21364">
        <v>1</v>
      </c>
      <c r="K21364">
        <v>116</v>
      </c>
      <c r="L21364">
        <v>378</v>
      </c>
      <c r="M21364">
        <v>1</v>
      </c>
      <c r="N21364">
        <v>1.14075E-132</v>
      </c>
      <c r="O21364">
        <v>1212</v>
      </c>
    </row>
    <row r="21365" spans="1:15" x14ac:dyDescent="0.25">
      <c r="A21365" t="s">
        <v>21378</v>
      </c>
      <c r="B21365">
        <v>190</v>
      </c>
      <c r="C21365" s="1" t="str">
        <f>HYPERLINK("http://www.rosaceae.org/gb/gbrowse/malus_x_domestica/?name=MDP0000257802","MDP0000257802")</f>
        <v>MDP0000257802</v>
      </c>
      <c r="D21365">
        <v>42.07</v>
      </c>
      <c r="E21365">
        <v>164</v>
      </c>
      <c r="F21365">
        <v>95</v>
      </c>
      <c r="G21365">
        <v>46</v>
      </c>
      <c r="H21365">
        <v>37</v>
      </c>
      <c r="I21365">
        <v>154</v>
      </c>
      <c r="J21365">
        <v>1</v>
      </c>
      <c r="K21365">
        <v>2</v>
      </c>
      <c r="L21365">
        <v>165</v>
      </c>
      <c r="M21365">
        <v>1</v>
      </c>
      <c r="N21365">
        <v>1.8635799999999999E-26</v>
      </c>
      <c r="O21365">
        <v>289</v>
      </c>
    </row>
    <row r="21366" spans="1:15" x14ac:dyDescent="0.25">
      <c r="A21366" t="s">
        <v>21379</v>
      </c>
      <c r="B21366">
        <v>985</v>
      </c>
      <c r="C21366" s="1" t="str">
        <f>HYPERLINK("http://www.rosaceae.org/gb/gbrowse/malus_x_domestica/?name=MDP0000314910","MDP0000314910")</f>
        <v>MDP0000314910</v>
      </c>
      <c r="D21366">
        <v>61.11</v>
      </c>
      <c r="E21366">
        <v>1057</v>
      </c>
      <c r="F21366">
        <v>411</v>
      </c>
      <c r="G21366">
        <v>79</v>
      </c>
      <c r="H21366">
        <v>1</v>
      </c>
      <c r="I21366">
        <v>984</v>
      </c>
      <c r="J21366">
        <v>1</v>
      </c>
      <c r="K21366">
        <v>1</v>
      </c>
      <c r="L21366">
        <v>1051</v>
      </c>
      <c r="M21366">
        <v>1</v>
      </c>
      <c r="N21366">
        <v>0</v>
      </c>
      <c r="O21366">
        <v>3051</v>
      </c>
    </row>
    <row r="21367" spans="1:15" x14ac:dyDescent="0.25">
      <c r="A21367" t="s">
        <v>21380</v>
      </c>
      <c r="B21367">
        <v>1338</v>
      </c>
      <c r="C21367" s="1" t="str">
        <f>HYPERLINK("http://www.rosaceae.org/gb/gbrowse/malus_x_domestica/?name=MDP0000306942","MDP0000306942")</f>
        <v>MDP0000306942</v>
      </c>
      <c r="D21367">
        <v>37.479999999999997</v>
      </c>
      <c r="E21367">
        <v>635</v>
      </c>
      <c r="F21367">
        <v>397</v>
      </c>
      <c r="G21367">
        <v>58</v>
      </c>
      <c r="H21367">
        <v>310</v>
      </c>
      <c r="I21367">
        <v>920</v>
      </c>
      <c r="J21367">
        <v>1</v>
      </c>
      <c r="K21367">
        <v>501</v>
      </c>
      <c r="L21367">
        <v>1101</v>
      </c>
      <c r="M21367">
        <v>1</v>
      </c>
      <c r="N21367">
        <v>1.7948100000000001E-94</v>
      </c>
      <c r="O21367">
        <v>885</v>
      </c>
    </row>
    <row r="21368" spans="1:15" x14ac:dyDescent="0.25">
      <c r="A21368" t="s">
        <v>21381</v>
      </c>
      <c r="B21368">
        <v>409</v>
      </c>
      <c r="C21368" s="1" t="str">
        <f>HYPERLINK("http://www.rosaceae.org/gb/gbrowse/malus_x_domestica/?name=MDP0000318279","MDP0000318279")</f>
        <v>MDP0000318279</v>
      </c>
      <c r="D21368">
        <v>33.17</v>
      </c>
      <c r="E21368">
        <v>205</v>
      </c>
      <c r="F21368">
        <v>137</v>
      </c>
      <c r="G21368">
        <v>34</v>
      </c>
      <c r="H21368">
        <v>119</v>
      </c>
      <c r="I21368">
        <v>291</v>
      </c>
      <c r="J21368">
        <v>1</v>
      </c>
      <c r="K21368">
        <v>126</v>
      </c>
      <c r="L21368">
        <v>328</v>
      </c>
      <c r="M21368">
        <v>1</v>
      </c>
      <c r="N21368">
        <v>1.0169999999999999E-23</v>
      </c>
      <c r="O21368">
        <v>270</v>
      </c>
    </row>
    <row r="21369" spans="1:15" x14ac:dyDescent="0.25">
      <c r="A21369" t="s">
        <v>21382</v>
      </c>
      <c r="B21369">
        <v>703</v>
      </c>
      <c r="C21369" s="1" t="str">
        <f>HYPERLINK("http://www.rosaceae.org/gb/gbrowse/malus_x_domestica/?name=MDP0000274039","MDP0000274039")</f>
        <v>MDP0000274039</v>
      </c>
      <c r="D21369">
        <v>80.930000000000007</v>
      </c>
      <c r="E21369">
        <v>703</v>
      </c>
      <c r="F21369">
        <v>134</v>
      </c>
      <c r="G21369">
        <v>0</v>
      </c>
      <c r="H21369">
        <v>1</v>
      </c>
      <c r="I21369">
        <v>703</v>
      </c>
      <c r="J21369">
        <v>1</v>
      </c>
      <c r="K21369">
        <v>114</v>
      </c>
      <c r="L21369">
        <v>816</v>
      </c>
      <c r="M21369">
        <v>1</v>
      </c>
      <c r="N21369">
        <v>0</v>
      </c>
      <c r="O21369">
        <v>3160</v>
      </c>
    </row>
    <row r="21370" spans="1:15" x14ac:dyDescent="0.25">
      <c r="A21370" t="s">
        <v>21383</v>
      </c>
      <c r="B21370">
        <v>97</v>
      </c>
      <c r="C21370" s="1" t="str">
        <f>HYPERLINK("http://www.rosaceae.org/gb/gbrowse/malus_x_domestica/?name=MDP0000206106","MDP0000206106")</f>
        <v>MDP0000206106</v>
      </c>
      <c r="D21370">
        <v>50</v>
      </c>
      <c r="E21370">
        <v>66</v>
      </c>
      <c r="F21370">
        <v>33</v>
      </c>
      <c r="G21370">
        <v>0</v>
      </c>
      <c r="H21370">
        <v>28</v>
      </c>
      <c r="I21370">
        <v>93</v>
      </c>
      <c r="J21370">
        <v>1</v>
      </c>
      <c r="K21370">
        <v>76</v>
      </c>
      <c r="L21370">
        <v>141</v>
      </c>
      <c r="M21370">
        <v>1</v>
      </c>
      <c r="N21370">
        <v>8.3611200000000005E-15</v>
      </c>
      <c r="O21370">
        <v>185</v>
      </c>
    </row>
    <row r="21371" spans="1:15" x14ac:dyDescent="0.25">
      <c r="A21371" t="s">
        <v>21384</v>
      </c>
      <c r="B21371">
        <v>166</v>
      </c>
      <c r="C21371" s="1" t="str">
        <f>HYPERLINK("http://www.rosaceae.org/gb/gbrowse/malus_x_domestica/?name=MDP0000261839","MDP0000261839")</f>
        <v>MDP0000261839</v>
      </c>
      <c r="D21371">
        <v>86.74</v>
      </c>
      <c r="E21371">
        <v>166</v>
      </c>
      <c r="F21371">
        <v>22</v>
      </c>
      <c r="G21371">
        <v>0</v>
      </c>
      <c r="H21371">
        <v>1</v>
      </c>
      <c r="I21371">
        <v>166</v>
      </c>
      <c r="J21371">
        <v>1</v>
      </c>
      <c r="K21371">
        <v>46</v>
      </c>
      <c r="L21371">
        <v>211</v>
      </c>
      <c r="M21371">
        <v>1</v>
      </c>
      <c r="N21371">
        <v>1.28167E-83</v>
      </c>
      <c r="O21371">
        <v>781</v>
      </c>
    </row>
    <row r="21372" spans="1:15" x14ac:dyDescent="0.25">
      <c r="A21372" t="s">
        <v>21385</v>
      </c>
      <c r="B21372">
        <v>229</v>
      </c>
      <c r="C21372" s="1" t="str">
        <f>HYPERLINK("http://www.rosaceae.org/gb/gbrowse/malus_x_domestica/?name=MDP0000249133","MDP0000249133")</f>
        <v>MDP0000249133</v>
      </c>
      <c r="D21372">
        <v>92.34</v>
      </c>
      <c r="E21372">
        <v>209</v>
      </c>
      <c r="F21372">
        <v>16</v>
      </c>
      <c r="G21372">
        <v>1</v>
      </c>
      <c r="H21372">
        <v>22</v>
      </c>
      <c r="I21372">
        <v>229</v>
      </c>
      <c r="J21372">
        <v>1</v>
      </c>
      <c r="K21372">
        <v>248</v>
      </c>
      <c r="L21372">
        <v>456</v>
      </c>
      <c r="M21372">
        <v>1</v>
      </c>
      <c r="N21372">
        <v>2.6190499999999999E-108</v>
      </c>
      <c r="O21372">
        <v>996</v>
      </c>
    </row>
    <row r="21373" spans="1:15" x14ac:dyDescent="0.25">
      <c r="A21373" t="s">
        <v>21386</v>
      </c>
      <c r="B21373">
        <v>1376</v>
      </c>
      <c r="C21373" s="1" t="str">
        <f>HYPERLINK("http://www.rosaceae.org/gb/gbrowse/malus_x_domestica/?name=MDP0000565847","MDP0000565847")</f>
        <v>MDP0000565847</v>
      </c>
      <c r="D21373">
        <v>78.790000000000006</v>
      </c>
      <c r="E21373">
        <v>1382</v>
      </c>
      <c r="F21373">
        <v>293</v>
      </c>
      <c r="G21373">
        <v>15</v>
      </c>
      <c r="H21373">
        <v>5</v>
      </c>
      <c r="I21373">
        <v>1376</v>
      </c>
      <c r="J21373">
        <v>1</v>
      </c>
      <c r="K21373">
        <v>8</v>
      </c>
      <c r="L21373">
        <v>1384</v>
      </c>
      <c r="M21373">
        <v>1</v>
      </c>
      <c r="N21373">
        <v>0</v>
      </c>
      <c r="O21373">
        <v>5855</v>
      </c>
    </row>
    <row r="21374" spans="1:15" x14ac:dyDescent="0.25">
      <c r="A21374" t="s">
        <v>21387</v>
      </c>
      <c r="B21374">
        <v>313</v>
      </c>
      <c r="C21374" s="1" t="str">
        <f>HYPERLINK("http://www.rosaceae.org/gb/gbrowse/malus_x_domestica/?name=MDP0000854922","MDP0000854922")</f>
        <v>MDP0000854922</v>
      </c>
      <c r="D21374">
        <v>43.5</v>
      </c>
      <c r="E21374">
        <v>331</v>
      </c>
      <c r="F21374">
        <v>187</v>
      </c>
      <c r="G21374">
        <v>33</v>
      </c>
      <c r="H21374">
        <v>1</v>
      </c>
      <c r="I21374">
        <v>313</v>
      </c>
      <c r="J21374">
        <v>1</v>
      </c>
      <c r="K21374">
        <v>1</v>
      </c>
      <c r="L21374">
        <v>316</v>
      </c>
      <c r="M21374">
        <v>1</v>
      </c>
      <c r="N21374">
        <v>1.1660699999999999E-52</v>
      </c>
      <c r="O21374">
        <v>518</v>
      </c>
    </row>
    <row r="21375" spans="1:15" x14ac:dyDescent="0.25">
      <c r="A21375" t="s">
        <v>21388</v>
      </c>
      <c r="B21375">
        <v>280</v>
      </c>
      <c r="C21375" s="1" t="str">
        <f>HYPERLINK("http://www.rosaceae.org/gb/gbrowse/malus_x_domestica/?name=MDP0000720785","MDP0000720785")</f>
        <v>MDP0000720785</v>
      </c>
      <c r="D21375">
        <v>44.52</v>
      </c>
      <c r="E21375">
        <v>137</v>
      </c>
      <c r="F21375">
        <v>76</v>
      </c>
      <c r="G21375">
        <v>8</v>
      </c>
      <c r="H21375">
        <v>1</v>
      </c>
      <c r="I21375">
        <v>137</v>
      </c>
      <c r="J21375">
        <v>1</v>
      </c>
      <c r="K21375">
        <v>1</v>
      </c>
      <c r="L21375">
        <v>129</v>
      </c>
      <c r="M21375">
        <v>1</v>
      </c>
      <c r="N21375">
        <v>4.8423500000000001E-23</v>
      </c>
      <c r="O21375">
        <v>262</v>
      </c>
    </row>
    <row r="21376" spans="1:15" x14ac:dyDescent="0.25">
      <c r="A21376" t="s">
        <v>21389</v>
      </c>
      <c r="B21376">
        <v>200</v>
      </c>
      <c r="C21376" s="1" t="str">
        <f>HYPERLINK("http://www.rosaceae.org/gb/gbrowse/malus_x_domestica/?name=MDP0000464598","MDP0000464598")</f>
        <v>MDP0000464598</v>
      </c>
      <c r="D21376">
        <v>71.28</v>
      </c>
      <c r="E21376">
        <v>202</v>
      </c>
      <c r="F21376">
        <v>58</v>
      </c>
      <c r="G21376">
        <v>2</v>
      </c>
      <c r="H21376">
        <v>1</v>
      </c>
      <c r="I21376">
        <v>200</v>
      </c>
      <c r="J21376">
        <v>1</v>
      </c>
      <c r="K21376">
        <v>1</v>
      </c>
      <c r="L21376">
        <v>202</v>
      </c>
      <c r="M21376">
        <v>1</v>
      </c>
      <c r="N21376">
        <v>8.0586599999999994E-80</v>
      </c>
      <c r="O21376">
        <v>750</v>
      </c>
    </row>
    <row r="21377" spans="1:15" x14ac:dyDescent="0.25">
      <c r="A21377" t="s">
        <v>21390</v>
      </c>
      <c r="B21377">
        <v>618</v>
      </c>
      <c r="C21377" s="1" t="str">
        <f>HYPERLINK("http://www.rosaceae.org/gb/gbrowse/malus_x_domestica/?name=MDP0000303337","MDP0000303337")</f>
        <v>MDP0000303337</v>
      </c>
      <c r="D21377">
        <v>37.32</v>
      </c>
      <c r="E21377">
        <v>209</v>
      </c>
      <c r="F21377">
        <v>131</v>
      </c>
      <c r="G21377">
        <v>25</v>
      </c>
      <c r="H21377">
        <v>168</v>
      </c>
      <c r="I21377">
        <v>352</v>
      </c>
      <c r="J21377">
        <v>1</v>
      </c>
      <c r="K21377">
        <v>6</v>
      </c>
      <c r="L21377">
        <v>213</v>
      </c>
      <c r="M21377">
        <v>1</v>
      </c>
      <c r="N21377">
        <v>4.1164700000000002E-30</v>
      </c>
      <c r="O21377">
        <v>327</v>
      </c>
    </row>
    <row r="21378" spans="1:15" x14ac:dyDescent="0.25">
      <c r="A21378" t="s">
        <v>21391</v>
      </c>
      <c r="B21378">
        <v>471</v>
      </c>
      <c r="C21378" s="1" t="str">
        <f>HYPERLINK("http://www.rosaceae.org/gb/gbrowse/malus_x_domestica/?name=MDP0000221114","MDP0000221114")</f>
        <v>MDP0000221114</v>
      </c>
      <c r="D21378">
        <v>88.91</v>
      </c>
      <c r="E21378">
        <v>442</v>
      </c>
      <c r="F21378">
        <v>49</v>
      </c>
      <c r="G21378">
        <v>1</v>
      </c>
      <c r="H21378">
        <v>30</v>
      </c>
      <c r="I21378">
        <v>471</v>
      </c>
      <c r="J21378">
        <v>1</v>
      </c>
      <c r="K21378">
        <v>35</v>
      </c>
      <c r="L21378">
        <v>475</v>
      </c>
      <c r="M21378">
        <v>1</v>
      </c>
      <c r="N21378">
        <v>0</v>
      </c>
      <c r="O21378">
        <v>2149</v>
      </c>
    </row>
    <row r="21379" spans="1:15" x14ac:dyDescent="0.25">
      <c r="A21379" t="s">
        <v>21392</v>
      </c>
      <c r="B21379">
        <v>593</v>
      </c>
      <c r="C21379" s="1" t="str">
        <f>HYPERLINK("http://www.rosaceae.org/gb/gbrowse/malus_x_domestica/?name=MDP0000223309","MDP0000223309")</f>
        <v>MDP0000223309</v>
      </c>
      <c r="D21379">
        <v>75</v>
      </c>
      <c r="E21379">
        <v>308</v>
      </c>
      <c r="F21379">
        <v>77</v>
      </c>
      <c r="G21379">
        <v>44</v>
      </c>
      <c r="H21379">
        <v>329</v>
      </c>
      <c r="I21379">
        <v>592</v>
      </c>
      <c r="J21379">
        <v>1</v>
      </c>
      <c r="K21379">
        <v>1</v>
      </c>
      <c r="L21379">
        <v>308</v>
      </c>
      <c r="M21379">
        <v>1</v>
      </c>
      <c r="N21379">
        <v>2.6607299999999999E-124</v>
      </c>
      <c r="O21379">
        <v>1139</v>
      </c>
    </row>
    <row r="21380" spans="1:15" x14ac:dyDescent="0.25">
      <c r="A21380" t="s">
        <v>21393</v>
      </c>
      <c r="B21380">
        <v>98</v>
      </c>
      <c r="C21380" s="1" t="str">
        <f>HYPERLINK("http://www.rosaceae.org/gb/gbrowse/malus_x_domestica/?name=MDP0000233948","MDP0000233948")</f>
        <v>MDP0000233948</v>
      </c>
      <c r="D21380">
        <v>77.77</v>
      </c>
      <c r="E21380">
        <v>54</v>
      </c>
      <c r="F21380">
        <v>12</v>
      </c>
      <c r="G21380">
        <v>0</v>
      </c>
      <c r="H21380">
        <v>44</v>
      </c>
      <c r="I21380">
        <v>97</v>
      </c>
      <c r="J21380">
        <v>1</v>
      </c>
      <c r="K21380">
        <v>2</v>
      </c>
      <c r="L21380">
        <v>55</v>
      </c>
      <c r="M21380">
        <v>1</v>
      </c>
      <c r="N21380">
        <v>3.7376E-18</v>
      </c>
      <c r="O21380">
        <v>214</v>
      </c>
    </row>
    <row r="21381" spans="1:15" x14ac:dyDescent="0.25">
      <c r="A21381" t="s">
        <v>21394</v>
      </c>
      <c r="B21381">
        <v>203</v>
      </c>
      <c r="C21381" s="1" t="str">
        <f>HYPERLINK("http://www.rosaceae.org/gb/gbrowse/malus_x_domestica/?name=MDP0000258871","MDP0000258871")</f>
        <v>MDP0000258871</v>
      </c>
      <c r="D21381">
        <v>49.5</v>
      </c>
      <c r="E21381">
        <v>204</v>
      </c>
      <c r="F21381">
        <v>103</v>
      </c>
      <c r="G21381">
        <v>9</v>
      </c>
      <c r="H21381">
        <v>1</v>
      </c>
      <c r="I21381">
        <v>199</v>
      </c>
      <c r="J21381">
        <v>1</v>
      </c>
      <c r="K21381">
        <v>10</v>
      </c>
      <c r="L21381">
        <v>209</v>
      </c>
      <c r="M21381">
        <v>1</v>
      </c>
      <c r="N21381">
        <v>2.2015100000000001E-51</v>
      </c>
      <c r="O21381">
        <v>505</v>
      </c>
    </row>
    <row r="21382" spans="1:15" x14ac:dyDescent="0.25">
      <c r="A21382" t="s">
        <v>21395</v>
      </c>
      <c r="B21382">
        <v>179</v>
      </c>
      <c r="C21382" s="1" t="str">
        <f>HYPERLINK("http://www.rosaceae.org/gb/gbrowse/malus_x_domestica/?name=MDP0000697477","MDP0000697477")</f>
        <v>MDP0000697477</v>
      </c>
      <c r="D21382">
        <v>65.55</v>
      </c>
      <c r="E21382">
        <v>180</v>
      </c>
      <c r="F21382">
        <v>62</v>
      </c>
      <c r="G21382">
        <v>3</v>
      </c>
      <c r="H21382">
        <v>1</v>
      </c>
      <c r="I21382">
        <v>179</v>
      </c>
      <c r="J21382">
        <v>1</v>
      </c>
      <c r="K21382">
        <v>1</v>
      </c>
      <c r="L21382">
        <v>178</v>
      </c>
      <c r="M21382">
        <v>1</v>
      </c>
      <c r="N21382">
        <v>6.1176600000000001E-60</v>
      </c>
      <c r="O21382">
        <v>578</v>
      </c>
    </row>
    <row r="21383" spans="1:15" x14ac:dyDescent="0.25">
      <c r="A21383" t="s">
        <v>21396</v>
      </c>
      <c r="B21383">
        <v>518</v>
      </c>
      <c r="C21383" s="1" t="str">
        <f>HYPERLINK("http://www.rosaceae.org/gb/gbrowse/malus_x_domestica/?name=MDP0000222925","MDP0000222925")</f>
        <v>MDP0000222925</v>
      </c>
      <c r="D21383">
        <v>41.93</v>
      </c>
      <c r="E21383">
        <v>124</v>
      </c>
      <c r="F21383">
        <v>72</v>
      </c>
      <c r="G21383">
        <v>10</v>
      </c>
      <c r="H21383">
        <v>57</v>
      </c>
      <c r="I21383">
        <v>170</v>
      </c>
      <c r="J21383">
        <v>1</v>
      </c>
      <c r="K21383">
        <v>23</v>
      </c>
      <c r="L21383">
        <v>146</v>
      </c>
      <c r="M21383">
        <v>1</v>
      </c>
      <c r="N21383">
        <v>2.8048099999999999E-16</v>
      </c>
      <c r="O21383">
        <v>207</v>
      </c>
    </row>
    <row r="21384" spans="1:15" x14ac:dyDescent="0.25">
      <c r="A21384" t="s">
        <v>21397</v>
      </c>
      <c r="B21384">
        <v>146</v>
      </c>
      <c r="C21384" s="1" t="str">
        <f>HYPERLINK("http://www.rosaceae.org/gb/gbrowse/malus_x_domestica/?name=MDP0000510232","MDP0000510232")</f>
        <v>MDP0000510232</v>
      </c>
      <c r="D21384">
        <v>59.45</v>
      </c>
      <c r="E21384">
        <v>37</v>
      </c>
      <c r="F21384">
        <v>15</v>
      </c>
      <c r="G21384">
        <v>0</v>
      </c>
      <c r="H21384">
        <v>24</v>
      </c>
      <c r="I21384">
        <v>60</v>
      </c>
      <c r="J21384">
        <v>1</v>
      </c>
      <c r="K21384">
        <v>181</v>
      </c>
      <c r="L21384">
        <v>217</v>
      </c>
      <c r="M21384">
        <v>1</v>
      </c>
      <c r="N21384">
        <v>3.1005800000000001E-7</v>
      </c>
      <c r="O21384">
        <v>121</v>
      </c>
    </row>
    <row r="21385" spans="1:15" x14ac:dyDescent="0.25">
      <c r="A21385" t="s">
        <v>21398</v>
      </c>
      <c r="B21385">
        <v>282</v>
      </c>
      <c r="C21385" s="1" t="str">
        <f>HYPERLINK("http://www.rosaceae.org/gb/gbrowse/malus_x_domestica/?name=MDP0000848695","MDP0000848695")</f>
        <v>MDP0000848695</v>
      </c>
      <c r="D21385">
        <v>54.63</v>
      </c>
      <c r="E21385">
        <v>313</v>
      </c>
      <c r="F21385">
        <v>142</v>
      </c>
      <c r="G21385">
        <v>44</v>
      </c>
      <c r="H21385">
        <v>1</v>
      </c>
      <c r="I21385">
        <v>271</v>
      </c>
      <c r="J21385">
        <v>1</v>
      </c>
      <c r="K21385">
        <v>1</v>
      </c>
      <c r="L21385">
        <v>311</v>
      </c>
      <c r="M21385">
        <v>1</v>
      </c>
      <c r="N21385">
        <v>4.2681400000000001E-94</v>
      </c>
      <c r="O21385">
        <v>875</v>
      </c>
    </row>
    <row r="21386" spans="1:15" x14ac:dyDescent="0.25">
      <c r="A21386" t="s">
        <v>21399</v>
      </c>
      <c r="B21386">
        <v>684</v>
      </c>
      <c r="C21386" s="1" t="str">
        <f>HYPERLINK("http://www.rosaceae.org/gb/gbrowse/malus_x_domestica/?name=MDP0000426020","MDP0000426020")</f>
        <v>MDP0000426020</v>
      </c>
      <c r="D21386">
        <v>60.42</v>
      </c>
      <c r="E21386">
        <v>652</v>
      </c>
      <c r="F21386">
        <v>258</v>
      </c>
      <c r="G21386">
        <v>13</v>
      </c>
      <c r="H21386">
        <v>9</v>
      </c>
      <c r="I21386">
        <v>655</v>
      </c>
      <c r="J21386">
        <v>1</v>
      </c>
      <c r="K21386">
        <v>7</v>
      </c>
      <c r="L21386">
        <v>650</v>
      </c>
      <c r="M21386">
        <v>1</v>
      </c>
      <c r="N21386">
        <v>0</v>
      </c>
      <c r="O21386">
        <v>2039</v>
      </c>
    </row>
    <row r="21387" spans="1:15" x14ac:dyDescent="0.25">
      <c r="A21387" t="s">
        <v>21400</v>
      </c>
      <c r="B21387">
        <v>892</v>
      </c>
      <c r="C21387" s="1" t="str">
        <f>HYPERLINK("http://www.rosaceae.org/gb/gbrowse/malus_x_domestica/?name=MDP0000293126","MDP0000293126")</f>
        <v>MDP0000293126</v>
      </c>
      <c r="D21387">
        <v>70.42</v>
      </c>
      <c r="E21387">
        <v>710</v>
      </c>
      <c r="F21387">
        <v>210</v>
      </c>
      <c r="G21387">
        <v>54</v>
      </c>
      <c r="H21387">
        <v>209</v>
      </c>
      <c r="I21387">
        <v>892</v>
      </c>
      <c r="J21387">
        <v>1</v>
      </c>
      <c r="K21387">
        <v>16</v>
      </c>
      <c r="L21387">
        <v>697</v>
      </c>
      <c r="M21387">
        <v>1</v>
      </c>
      <c r="N21387">
        <v>0</v>
      </c>
      <c r="O21387">
        <v>2543</v>
      </c>
    </row>
    <row r="21388" spans="1:15" x14ac:dyDescent="0.25">
      <c r="A21388" t="s">
        <v>21401</v>
      </c>
      <c r="B21388">
        <v>479</v>
      </c>
      <c r="C21388" s="1" t="str">
        <f>HYPERLINK("http://www.rosaceae.org/gb/gbrowse/malus_x_domestica/?name=MDP0000166087","MDP0000166087")</f>
        <v>MDP0000166087</v>
      </c>
      <c r="D21388">
        <v>73.83</v>
      </c>
      <c r="E21388">
        <v>386</v>
      </c>
      <c r="F21388">
        <v>101</v>
      </c>
      <c r="G21388">
        <v>14</v>
      </c>
      <c r="H21388">
        <v>32</v>
      </c>
      <c r="I21388">
        <v>416</v>
      </c>
      <c r="J21388">
        <v>1</v>
      </c>
      <c r="K21388">
        <v>33</v>
      </c>
      <c r="L21388">
        <v>405</v>
      </c>
      <c r="M21388">
        <v>1</v>
      </c>
      <c r="N21388">
        <v>1.30697E-169</v>
      </c>
      <c r="O21388">
        <v>1529</v>
      </c>
    </row>
    <row r="21389" spans="1:15" x14ac:dyDescent="0.25">
      <c r="A21389" t="s">
        <v>21402</v>
      </c>
      <c r="B21389">
        <v>204</v>
      </c>
      <c r="C21389" s="1" t="str">
        <f>HYPERLINK("http://www.rosaceae.org/gb/gbrowse/malus_x_domestica/?name=MDP0000255636","MDP0000255636")</f>
        <v>MDP0000255636</v>
      </c>
      <c r="D21389">
        <v>70.290000000000006</v>
      </c>
      <c r="E21389">
        <v>202</v>
      </c>
      <c r="F21389">
        <v>60</v>
      </c>
      <c r="G21389">
        <v>2</v>
      </c>
      <c r="H21389">
        <v>1</v>
      </c>
      <c r="I21389">
        <v>201</v>
      </c>
      <c r="J21389">
        <v>1</v>
      </c>
      <c r="K21389">
        <v>312</v>
      </c>
      <c r="L21389">
        <v>512</v>
      </c>
      <c r="M21389">
        <v>1</v>
      </c>
      <c r="N21389">
        <v>1.6491999999999999E-85</v>
      </c>
      <c r="O21389">
        <v>799</v>
      </c>
    </row>
    <row r="21390" spans="1:15" x14ac:dyDescent="0.25">
      <c r="A21390" t="s">
        <v>21403</v>
      </c>
      <c r="B21390">
        <v>221</v>
      </c>
      <c r="C21390" s="1" t="str">
        <f>HYPERLINK("http://www.rosaceae.org/gb/gbrowse/malus_x_domestica/?name=MDP0000249417","MDP0000249417")</f>
        <v>MDP0000249417</v>
      </c>
      <c r="D21390">
        <v>56.62</v>
      </c>
      <c r="E21390">
        <v>219</v>
      </c>
      <c r="F21390">
        <v>95</v>
      </c>
      <c r="G21390">
        <v>9</v>
      </c>
      <c r="H21390">
        <v>2</v>
      </c>
      <c r="I21390">
        <v>211</v>
      </c>
      <c r="J21390">
        <v>1</v>
      </c>
      <c r="K21390">
        <v>4</v>
      </c>
      <c r="L21390">
        <v>222</v>
      </c>
      <c r="M21390">
        <v>1</v>
      </c>
      <c r="N21390">
        <v>1.08375E-65</v>
      </c>
      <c r="O21390">
        <v>629</v>
      </c>
    </row>
    <row r="21391" spans="1:15" x14ac:dyDescent="0.25">
      <c r="A21391" t="s">
        <v>21404</v>
      </c>
      <c r="B21391">
        <v>524</v>
      </c>
      <c r="C21391" s="1" t="str">
        <f>HYPERLINK("http://www.rosaceae.org/gb/gbrowse/malus_x_domestica/?name=MDP0000238670","MDP0000238670")</f>
        <v>MDP0000238670</v>
      </c>
      <c r="D21391">
        <v>48.3</v>
      </c>
      <c r="E21391">
        <v>414</v>
      </c>
      <c r="F21391">
        <v>214</v>
      </c>
      <c r="G21391">
        <v>37</v>
      </c>
      <c r="H21391">
        <v>2</v>
      </c>
      <c r="I21391">
        <v>386</v>
      </c>
      <c r="J21391">
        <v>1</v>
      </c>
      <c r="K21391">
        <v>8</v>
      </c>
      <c r="L21391">
        <v>413</v>
      </c>
      <c r="M21391">
        <v>1</v>
      </c>
      <c r="N21391">
        <v>2.67551E-85</v>
      </c>
      <c r="O21391">
        <v>802</v>
      </c>
    </row>
    <row r="21392" spans="1:15" x14ac:dyDescent="0.25">
      <c r="A21392" t="s">
        <v>21405</v>
      </c>
      <c r="B21392">
        <v>126</v>
      </c>
      <c r="C21392" s="1" t="str">
        <f>HYPERLINK("http://www.rosaceae.org/gb/gbrowse/malus_x_domestica/?name=MDP0000191184","MDP0000191184")</f>
        <v>MDP0000191184</v>
      </c>
      <c r="D21392">
        <v>57.44</v>
      </c>
      <c r="E21392">
        <v>141</v>
      </c>
      <c r="F21392">
        <v>60</v>
      </c>
      <c r="G21392">
        <v>22</v>
      </c>
      <c r="H21392">
        <v>1</v>
      </c>
      <c r="I21392">
        <v>119</v>
      </c>
      <c r="J21392">
        <v>1</v>
      </c>
      <c r="K21392">
        <v>1</v>
      </c>
      <c r="L21392">
        <v>141</v>
      </c>
      <c r="M21392">
        <v>1</v>
      </c>
      <c r="N21392">
        <v>5.63761E-41</v>
      </c>
      <c r="O21392">
        <v>411</v>
      </c>
    </row>
    <row r="21393" spans="1:15" x14ac:dyDescent="0.25">
      <c r="A21393" t="s">
        <v>21406</v>
      </c>
      <c r="B21393">
        <v>310</v>
      </c>
      <c r="C21393" s="1" t="str">
        <f>HYPERLINK("http://www.rosaceae.org/gb/gbrowse/malus_x_domestica/?name=MDP0000608081","MDP0000608081")</f>
        <v>MDP0000608081</v>
      </c>
      <c r="D21393">
        <v>70.25</v>
      </c>
      <c r="E21393">
        <v>232</v>
      </c>
      <c r="F21393">
        <v>69</v>
      </c>
      <c r="G21393">
        <v>0</v>
      </c>
      <c r="H21393">
        <v>78</v>
      </c>
      <c r="I21393">
        <v>309</v>
      </c>
      <c r="J21393">
        <v>1</v>
      </c>
      <c r="K21393">
        <v>323</v>
      </c>
      <c r="L21393">
        <v>554</v>
      </c>
      <c r="M21393">
        <v>1</v>
      </c>
      <c r="N21393">
        <v>4.7269500000000002E-96</v>
      </c>
      <c r="O21393">
        <v>892</v>
      </c>
    </row>
    <row r="21394" spans="1:15" x14ac:dyDescent="0.25">
      <c r="A21394" t="s">
        <v>21407</v>
      </c>
      <c r="B21394">
        <v>324</v>
      </c>
      <c r="C21394" s="1" t="str">
        <f>HYPERLINK("http://www.rosaceae.org/gb/gbrowse/malus_x_domestica/?name=MDP0000878830","MDP0000878830")</f>
        <v>MDP0000878830</v>
      </c>
      <c r="D21394">
        <v>32.94</v>
      </c>
      <c r="E21394">
        <v>343</v>
      </c>
      <c r="F21394">
        <v>230</v>
      </c>
      <c r="G21394">
        <v>31</v>
      </c>
      <c r="H21394">
        <v>1</v>
      </c>
      <c r="I21394">
        <v>324</v>
      </c>
      <c r="J21394">
        <v>1</v>
      </c>
      <c r="K21394">
        <v>1</v>
      </c>
      <c r="L21394">
        <v>331</v>
      </c>
      <c r="M21394">
        <v>1</v>
      </c>
      <c r="N21394">
        <v>3.3986200000000002E-21</v>
      </c>
      <c r="O21394">
        <v>247</v>
      </c>
    </row>
    <row r="21395" spans="1:15" x14ac:dyDescent="0.25">
      <c r="A21395" t="s">
        <v>21408</v>
      </c>
      <c r="B21395">
        <v>363</v>
      </c>
      <c r="C21395" s="1" t="str">
        <f>HYPERLINK("http://www.rosaceae.org/gb/gbrowse/malus_x_domestica/?name=MDP0000267648","MDP0000267648")</f>
        <v>MDP0000267648</v>
      </c>
      <c r="D21395">
        <v>68.2</v>
      </c>
      <c r="E21395">
        <v>390</v>
      </c>
      <c r="F21395">
        <v>124</v>
      </c>
      <c r="G21395">
        <v>32</v>
      </c>
      <c r="H21395">
        <v>1</v>
      </c>
      <c r="I21395">
        <v>363</v>
      </c>
      <c r="J21395">
        <v>1</v>
      </c>
      <c r="K21395">
        <v>253</v>
      </c>
      <c r="L21395">
        <v>637</v>
      </c>
      <c r="M21395">
        <v>1</v>
      </c>
      <c r="N21395">
        <v>1.3475799999999999E-151</v>
      </c>
      <c r="O21395">
        <v>1372</v>
      </c>
    </row>
    <row r="21396" spans="1:15" x14ac:dyDescent="0.25">
      <c r="A21396" t="s">
        <v>21409</v>
      </c>
      <c r="B21396">
        <v>369</v>
      </c>
      <c r="C21396" s="1" t="str">
        <f>HYPERLINK("http://www.rosaceae.org/gb/gbrowse/malus_x_domestica/?name=MDP0000164592","MDP0000164592")</f>
        <v>MDP0000164592</v>
      </c>
      <c r="D21396">
        <v>78.69</v>
      </c>
      <c r="E21396">
        <v>230</v>
      </c>
      <c r="F21396">
        <v>49</v>
      </c>
      <c r="G21396">
        <v>12</v>
      </c>
      <c r="H21396">
        <v>150</v>
      </c>
      <c r="I21396">
        <v>369</v>
      </c>
      <c r="J21396">
        <v>1</v>
      </c>
      <c r="K21396">
        <v>5</v>
      </c>
      <c r="L21396">
        <v>232</v>
      </c>
      <c r="M21396">
        <v>1</v>
      </c>
      <c r="N21396">
        <v>1.43493E-100</v>
      </c>
      <c r="O21396">
        <v>932</v>
      </c>
    </row>
    <row r="21397" spans="1:15" x14ac:dyDescent="0.25">
      <c r="A21397" t="s">
        <v>21410</v>
      </c>
      <c r="B21397">
        <v>218</v>
      </c>
      <c r="C21397" s="1" t="str">
        <f>HYPERLINK("http://www.rosaceae.org/gb/gbrowse/malus_x_domestica/?name=MDP0000154206","MDP0000154206")</f>
        <v>MDP0000154206</v>
      </c>
      <c r="D21397">
        <v>66.819999999999993</v>
      </c>
      <c r="E21397">
        <v>217</v>
      </c>
      <c r="F21397">
        <v>72</v>
      </c>
      <c r="G21397">
        <v>6</v>
      </c>
      <c r="H21397">
        <v>3</v>
      </c>
      <c r="I21397">
        <v>218</v>
      </c>
      <c r="J21397">
        <v>1</v>
      </c>
      <c r="K21397">
        <v>4</v>
      </c>
      <c r="L21397">
        <v>215</v>
      </c>
      <c r="M21397">
        <v>1</v>
      </c>
      <c r="N21397">
        <v>4.2744100000000003E-81</v>
      </c>
      <c r="O21397">
        <v>761</v>
      </c>
    </row>
    <row r="21398" spans="1:15" x14ac:dyDescent="0.25">
      <c r="A21398" t="s">
        <v>21411</v>
      </c>
      <c r="B21398">
        <v>574</v>
      </c>
      <c r="C21398" s="1" t="str">
        <f>HYPERLINK("http://www.rosaceae.org/gb/gbrowse/malus_x_domestica/?name=MDP0000320671","MDP0000320671")</f>
        <v>MDP0000320671</v>
      </c>
      <c r="D21398">
        <v>70.72</v>
      </c>
      <c r="E21398">
        <v>263</v>
      </c>
      <c r="F21398">
        <v>77</v>
      </c>
      <c r="G21398">
        <v>3</v>
      </c>
      <c r="H21398">
        <v>159</v>
      </c>
      <c r="I21398">
        <v>418</v>
      </c>
      <c r="J21398">
        <v>1</v>
      </c>
      <c r="K21398">
        <v>242</v>
      </c>
      <c r="L21398">
        <v>504</v>
      </c>
      <c r="M21398">
        <v>1</v>
      </c>
      <c r="N21398">
        <v>4.5685699999999999E-107</v>
      </c>
      <c r="O21398">
        <v>990</v>
      </c>
    </row>
    <row r="21399" spans="1:15" x14ac:dyDescent="0.25">
      <c r="A21399" t="s">
        <v>21412</v>
      </c>
      <c r="B21399">
        <v>1110</v>
      </c>
      <c r="C21399" s="1" t="str">
        <f>HYPERLINK("http://www.rosaceae.org/gb/gbrowse/malus_x_domestica/?name=MDP0000120325","MDP0000120325")</f>
        <v>MDP0000120325</v>
      </c>
      <c r="D21399">
        <v>49.09</v>
      </c>
      <c r="E21399">
        <v>497</v>
      </c>
      <c r="F21399">
        <v>253</v>
      </c>
      <c r="G21399">
        <v>110</v>
      </c>
      <c r="H21399">
        <v>608</v>
      </c>
      <c r="I21399">
        <v>1004</v>
      </c>
      <c r="J21399">
        <v>1</v>
      </c>
      <c r="K21399">
        <v>938</v>
      </c>
      <c r="L21399">
        <v>1424</v>
      </c>
      <c r="M21399">
        <v>1</v>
      </c>
      <c r="N21399">
        <v>1.03006E-122</v>
      </c>
      <c r="O21399">
        <v>1128</v>
      </c>
    </row>
    <row r="21400" spans="1:15" x14ac:dyDescent="0.25">
      <c r="A21400" t="s">
        <v>21413</v>
      </c>
      <c r="B21400">
        <v>983</v>
      </c>
      <c r="C21400" s="1" t="str">
        <f>HYPERLINK("http://www.rosaceae.org/gb/gbrowse/malus_x_domestica/?name=MDP0000465174","MDP0000465174")</f>
        <v>MDP0000465174</v>
      </c>
      <c r="D21400">
        <v>37.700000000000003</v>
      </c>
      <c r="E21400">
        <v>801</v>
      </c>
      <c r="F21400">
        <v>499</v>
      </c>
      <c r="G21400">
        <v>142</v>
      </c>
      <c r="H21400">
        <v>291</v>
      </c>
      <c r="I21400">
        <v>969</v>
      </c>
      <c r="J21400">
        <v>1</v>
      </c>
      <c r="K21400">
        <v>516</v>
      </c>
      <c r="L21400">
        <v>1296</v>
      </c>
      <c r="M21400">
        <v>1</v>
      </c>
      <c r="N21400">
        <v>1.6114500000000001E-111</v>
      </c>
      <c r="O21400">
        <v>1031</v>
      </c>
    </row>
    <row r="21401" spans="1:15" x14ac:dyDescent="0.25">
      <c r="A21401" t="s">
        <v>21414</v>
      </c>
      <c r="B21401">
        <v>476</v>
      </c>
      <c r="C21401" s="1" t="str">
        <f>HYPERLINK("http://www.rosaceae.org/gb/gbrowse/malus_x_domestica/?name=MDP0000223149","MDP0000223149")</f>
        <v>MDP0000223149</v>
      </c>
      <c r="D21401">
        <v>28.67</v>
      </c>
      <c r="E21401">
        <v>136</v>
      </c>
      <c r="F21401">
        <v>97</v>
      </c>
      <c r="G21401">
        <v>2</v>
      </c>
      <c r="H21401">
        <v>335</v>
      </c>
      <c r="I21401">
        <v>468</v>
      </c>
      <c r="J21401">
        <v>1</v>
      </c>
      <c r="K21401">
        <v>315</v>
      </c>
      <c r="L21401">
        <v>450</v>
      </c>
      <c r="M21401">
        <v>1</v>
      </c>
      <c r="N21401">
        <v>1.3915900000000001E-11</v>
      </c>
      <c r="O21401">
        <v>166</v>
      </c>
    </row>
    <row r="21402" spans="1:15" x14ac:dyDescent="0.25">
      <c r="A21402" t="s">
        <v>21415</v>
      </c>
      <c r="B21402">
        <v>723</v>
      </c>
      <c r="C21402" s="1" t="str">
        <f>HYPERLINK("http://www.rosaceae.org/gb/gbrowse/malus_x_domestica/?name=MDP0000149513","MDP0000149513")</f>
        <v>MDP0000149513</v>
      </c>
      <c r="D21402">
        <v>71.040000000000006</v>
      </c>
      <c r="E21402">
        <v>739</v>
      </c>
      <c r="F21402">
        <v>214</v>
      </c>
      <c r="G21402">
        <v>36</v>
      </c>
      <c r="H21402">
        <v>16</v>
      </c>
      <c r="I21402">
        <v>719</v>
      </c>
      <c r="J21402">
        <v>1</v>
      </c>
      <c r="K21402">
        <v>18</v>
      </c>
      <c r="L21402">
        <v>755</v>
      </c>
      <c r="M21402">
        <v>1</v>
      </c>
      <c r="N21402">
        <v>0</v>
      </c>
      <c r="O21402">
        <v>2665</v>
      </c>
    </row>
    <row r="21403" spans="1:15" x14ac:dyDescent="0.25">
      <c r="A21403" t="s">
        <v>21416</v>
      </c>
      <c r="B21403">
        <v>270</v>
      </c>
      <c r="C21403" s="1" t="str">
        <f>HYPERLINK("http://www.rosaceae.org/gb/gbrowse/malus_x_domestica/?name=MDP0000244700","MDP0000244700")</f>
        <v>MDP0000244700</v>
      </c>
      <c r="D21403">
        <v>55.82</v>
      </c>
      <c r="E21403">
        <v>249</v>
      </c>
      <c r="F21403">
        <v>110</v>
      </c>
      <c r="G21403">
        <v>20</v>
      </c>
      <c r="H21403">
        <v>3</v>
      </c>
      <c r="I21403">
        <v>244</v>
      </c>
      <c r="J21403">
        <v>1</v>
      </c>
      <c r="K21403">
        <v>7</v>
      </c>
      <c r="L21403">
        <v>242</v>
      </c>
      <c r="M21403">
        <v>1</v>
      </c>
      <c r="N21403">
        <v>9.9263799999999993E-53</v>
      </c>
      <c r="O21403">
        <v>518</v>
      </c>
    </row>
    <row r="21404" spans="1:15" x14ac:dyDescent="0.25">
      <c r="A21404" t="s">
        <v>21417</v>
      </c>
      <c r="B21404">
        <v>459</v>
      </c>
      <c r="C21404" s="1" t="str">
        <f>HYPERLINK("http://www.rosaceae.org/gb/gbrowse/malus_x_domestica/?name=MDP0000265823","MDP0000265823")</f>
        <v>MDP0000265823</v>
      </c>
      <c r="D21404">
        <v>37.200000000000003</v>
      </c>
      <c r="E21404">
        <v>422</v>
      </c>
      <c r="F21404">
        <v>265</v>
      </c>
      <c r="G21404">
        <v>37</v>
      </c>
      <c r="H21404">
        <v>1</v>
      </c>
      <c r="I21404">
        <v>411</v>
      </c>
      <c r="J21404">
        <v>1</v>
      </c>
      <c r="K21404">
        <v>9</v>
      </c>
      <c r="L21404">
        <v>404</v>
      </c>
      <c r="M21404">
        <v>1</v>
      </c>
      <c r="N21404">
        <v>4.6924800000000003E-59</v>
      </c>
      <c r="O21404">
        <v>575</v>
      </c>
    </row>
    <row r="21405" spans="1:15" x14ac:dyDescent="0.25">
      <c r="A21405" t="s">
        <v>21418</v>
      </c>
      <c r="B21405">
        <v>196</v>
      </c>
      <c r="C21405" s="1" t="str">
        <f>HYPERLINK("http://www.rosaceae.org/gb/gbrowse/malus_x_domestica/?name=MDP0000136726","MDP0000136726")</f>
        <v>MDP0000136726</v>
      </c>
      <c r="D21405">
        <v>58.27</v>
      </c>
      <c r="E21405">
        <v>151</v>
      </c>
      <c r="F21405">
        <v>63</v>
      </c>
      <c r="G21405">
        <v>1</v>
      </c>
      <c r="H21405">
        <v>47</v>
      </c>
      <c r="I21405">
        <v>196</v>
      </c>
      <c r="J21405">
        <v>1</v>
      </c>
      <c r="K21405">
        <v>21</v>
      </c>
      <c r="L21405">
        <v>171</v>
      </c>
      <c r="M21405">
        <v>1</v>
      </c>
      <c r="N21405">
        <v>1.7702499999999999E-47</v>
      </c>
      <c r="O21405">
        <v>471</v>
      </c>
    </row>
    <row r="21406" spans="1:15" x14ac:dyDescent="0.25">
      <c r="A21406" t="s">
        <v>21419</v>
      </c>
      <c r="B21406">
        <v>492</v>
      </c>
      <c r="C21406" s="1" t="str">
        <f>HYPERLINK("http://www.rosaceae.org/gb/gbrowse/malus_x_domestica/?name=MDP0000292917","MDP0000292917")</f>
        <v>MDP0000292917</v>
      </c>
      <c r="D21406">
        <v>81.64</v>
      </c>
      <c r="E21406">
        <v>485</v>
      </c>
      <c r="F21406">
        <v>89</v>
      </c>
      <c r="G21406">
        <v>1</v>
      </c>
      <c r="H21406">
        <v>1</v>
      </c>
      <c r="I21406">
        <v>485</v>
      </c>
      <c r="J21406">
        <v>1</v>
      </c>
      <c r="K21406">
        <v>1</v>
      </c>
      <c r="L21406">
        <v>484</v>
      </c>
      <c r="M21406">
        <v>1</v>
      </c>
      <c r="N21406">
        <v>0</v>
      </c>
      <c r="O21406">
        <v>2082</v>
      </c>
    </row>
    <row r="21407" spans="1:15" x14ac:dyDescent="0.25">
      <c r="A21407" t="s">
        <v>21420</v>
      </c>
      <c r="B21407">
        <v>831</v>
      </c>
      <c r="C21407" s="1" t="str">
        <f>HYPERLINK("http://www.rosaceae.org/gb/gbrowse/malus_x_domestica/?name=MDP0000237539","MDP0000237539")</f>
        <v>MDP0000237539</v>
      </c>
      <c r="D21407">
        <v>54.09</v>
      </c>
      <c r="E21407">
        <v>488</v>
      </c>
      <c r="F21407">
        <v>224</v>
      </c>
      <c r="G21407">
        <v>43</v>
      </c>
      <c r="H21407">
        <v>336</v>
      </c>
      <c r="I21407">
        <v>811</v>
      </c>
      <c r="J21407">
        <v>1</v>
      </c>
      <c r="K21407">
        <v>580</v>
      </c>
      <c r="L21407">
        <v>1036</v>
      </c>
      <c r="M21407">
        <v>1</v>
      </c>
      <c r="N21407">
        <v>8.6699600000000001E-138</v>
      </c>
      <c r="O21407">
        <v>1257</v>
      </c>
    </row>
    <row r="21408" spans="1:15" x14ac:dyDescent="0.25">
      <c r="A21408" t="s">
        <v>21421</v>
      </c>
      <c r="B21408">
        <v>351</v>
      </c>
      <c r="C21408" s="1" t="str">
        <f>HYPERLINK("http://www.rosaceae.org/gb/gbrowse/malus_x_domestica/?name=MDP0000951190","MDP0000951190")</f>
        <v>MDP0000951190</v>
      </c>
      <c r="D21408">
        <v>67.98</v>
      </c>
      <c r="E21408">
        <v>353</v>
      </c>
      <c r="F21408">
        <v>113</v>
      </c>
      <c r="G21408">
        <v>11</v>
      </c>
      <c r="H21408">
        <v>1</v>
      </c>
      <c r="I21408">
        <v>349</v>
      </c>
      <c r="J21408">
        <v>1</v>
      </c>
      <c r="K21408">
        <v>1</v>
      </c>
      <c r="L21408">
        <v>346</v>
      </c>
      <c r="M21408">
        <v>1</v>
      </c>
      <c r="N21408">
        <v>2.35055E-138</v>
      </c>
      <c r="O21408">
        <v>1258</v>
      </c>
    </row>
    <row r="21409" spans="1:15" x14ac:dyDescent="0.25">
      <c r="A21409" t="s">
        <v>21422</v>
      </c>
      <c r="B21409">
        <v>393</v>
      </c>
      <c r="C21409" s="1" t="str">
        <f>HYPERLINK("http://www.rosaceae.org/gb/gbrowse/malus_x_domestica/?name=MDP0000435717","MDP0000435717")</f>
        <v>MDP0000435717</v>
      </c>
      <c r="D21409">
        <v>52.26</v>
      </c>
      <c r="E21409">
        <v>243</v>
      </c>
      <c r="F21409">
        <v>116</v>
      </c>
      <c r="G21409">
        <v>20</v>
      </c>
      <c r="H21409">
        <v>165</v>
      </c>
      <c r="I21409">
        <v>390</v>
      </c>
      <c r="J21409">
        <v>1</v>
      </c>
      <c r="K21409">
        <v>1</v>
      </c>
      <c r="L21409">
        <v>240</v>
      </c>
      <c r="M21409">
        <v>1</v>
      </c>
      <c r="N21409">
        <v>4.1364499999999998E-58</v>
      </c>
      <c r="O21409">
        <v>566</v>
      </c>
    </row>
    <row r="21410" spans="1:15" x14ac:dyDescent="0.25">
      <c r="A21410" t="s">
        <v>21423</v>
      </c>
      <c r="B21410">
        <v>195</v>
      </c>
      <c r="C21410" s="1" t="str">
        <f>HYPERLINK("http://www.rosaceae.org/gb/gbrowse/malus_x_domestica/?name=MDP0000514448","MDP0000514448")</f>
        <v>MDP0000514448</v>
      </c>
      <c r="D21410">
        <v>56.17</v>
      </c>
      <c r="E21410">
        <v>178</v>
      </c>
      <c r="F21410">
        <v>78</v>
      </c>
      <c r="G21410">
        <v>23</v>
      </c>
      <c r="H21410">
        <v>3</v>
      </c>
      <c r="I21410">
        <v>164</v>
      </c>
      <c r="J21410">
        <v>1</v>
      </c>
      <c r="K21410">
        <v>2</v>
      </c>
      <c r="L21410">
        <v>172</v>
      </c>
      <c r="M21410">
        <v>1</v>
      </c>
      <c r="N21410">
        <v>5.1943999999999996E-40</v>
      </c>
      <c r="O21410">
        <v>406</v>
      </c>
    </row>
    <row r="21411" spans="1:15" x14ac:dyDescent="0.25">
      <c r="A21411" t="s">
        <v>21424</v>
      </c>
      <c r="B21411">
        <v>149</v>
      </c>
      <c r="C21411" s="1" t="str">
        <f>HYPERLINK("http://www.rosaceae.org/gb/gbrowse/malus_x_domestica/?name=MDP0000638634","MDP0000638634")</f>
        <v>MDP0000638634</v>
      </c>
      <c r="D21411">
        <v>37.380000000000003</v>
      </c>
      <c r="E21411">
        <v>107</v>
      </c>
      <c r="F21411">
        <v>67</v>
      </c>
      <c r="G21411">
        <v>4</v>
      </c>
      <c r="H21411">
        <v>1</v>
      </c>
      <c r="I21411">
        <v>105</v>
      </c>
      <c r="J21411">
        <v>1</v>
      </c>
      <c r="K21411">
        <v>43</v>
      </c>
      <c r="L21411">
        <v>147</v>
      </c>
      <c r="M21411">
        <v>1</v>
      </c>
      <c r="N21411">
        <v>2.8919900000000001E-9</v>
      </c>
      <c r="O21411">
        <v>139</v>
      </c>
    </row>
    <row r="21412" spans="1:15" x14ac:dyDescent="0.25">
      <c r="A21412" t="s">
        <v>21425</v>
      </c>
      <c r="B21412">
        <v>126</v>
      </c>
      <c r="C21412" s="1" t="str">
        <f>HYPERLINK("http://www.rosaceae.org/gb/gbrowse/malus_x_domestica/?name=MDP0000238353","MDP0000238353")</f>
        <v>MDP0000238353</v>
      </c>
      <c r="D21412">
        <v>36.25</v>
      </c>
      <c r="E21412">
        <v>80</v>
      </c>
      <c r="F21412">
        <v>51</v>
      </c>
      <c r="G21412">
        <v>2</v>
      </c>
      <c r="H21412">
        <v>44</v>
      </c>
      <c r="I21412">
        <v>123</v>
      </c>
      <c r="J21412">
        <v>1</v>
      </c>
      <c r="K21412">
        <v>83</v>
      </c>
      <c r="L21412">
        <v>160</v>
      </c>
      <c r="M21412">
        <v>1</v>
      </c>
      <c r="N21412">
        <v>3.4800100000000002E-7</v>
      </c>
      <c r="O21412">
        <v>120</v>
      </c>
    </row>
    <row r="21413" spans="1:15" x14ac:dyDescent="0.25">
      <c r="A21413" t="s">
        <v>21426</v>
      </c>
      <c r="B21413">
        <v>472</v>
      </c>
      <c r="C21413" s="1" t="str">
        <f>HYPERLINK("http://www.rosaceae.org/gb/gbrowse/malus_x_domestica/?name=MDP0000260979","MDP0000260979")</f>
        <v>MDP0000260979</v>
      </c>
      <c r="D21413">
        <v>68.75</v>
      </c>
      <c r="E21413">
        <v>480</v>
      </c>
      <c r="F21413">
        <v>150</v>
      </c>
      <c r="G21413">
        <v>59</v>
      </c>
      <c r="H21413">
        <v>9</v>
      </c>
      <c r="I21413">
        <v>463</v>
      </c>
      <c r="J21413">
        <v>1</v>
      </c>
      <c r="K21413">
        <v>1</v>
      </c>
      <c r="L21413">
        <v>446</v>
      </c>
      <c r="M21413">
        <v>1</v>
      </c>
      <c r="N21413">
        <v>0</v>
      </c>
      <c r="O21413">
        <v>1689</v>
      </c>
    </row>
    <row r="21414" spans="1:15" x14ac:dyDescent="0.25">
      <c r="A21414" t="s">
        <v>21427</v>
      </c>
      <c r="B21414">
        <v>107</v>
      </c>
      <c r="C21414" s="1" t="str">
        <f>HYPERLINK("http://www.rosaceae.org/gb/gbrowse/malus_x_domestica/?name=MDP0000311504","MDP0000311504")</f>
        <v>MDP0000311504</v>
      </c>
      <c r="D21414">
        <v>82.24</v>
      </c>
      <c r="E21414">
        <v>107</v>
      </c>
      <c r="F21414">
        <v>19</v>
      </c>
      <c r="G21414">
        <v>0</v>
      </c>
      <c r="H21414">
        <v>1</v>
      </c>
      <c r="I21414">
        <v>107</v>
      </c>
      <c r="J21414">
        <v>1</v>
      </c>
      <c r="K21414">
        <v>1</v>
      </c>
      <c r="L21414">
        <v>107</v>
      </c>
      <c r="M21414">
        <v>1</v>
      </c>
      <c r="N21414">
        <v>2.27808E-49</v>
      </c>
      <c r="O21414">
        <v>483</v>
      </c>
    </row>
    <row r="21415" spans="1:15" x14ac:dyDescent="0.25">
      <c r="A21415" t="s">
        <v>21428</v>
      </c>
      <c r="B21415">
        <v>1057</v>
      </c>
      <c r="C21415" s="1" t="str">
        <f>HYPERLINK("http://www.rosaceae.org/gb/gbrowse/malus_x_domestica/?name=MDP0000284789","MDP0000284789")</f>
        <v>MDP0000284789</v>
      </c>
      <c r="D21415">
        <v>43.58</v>
      </c>
      <c r="E21415">
        <v>966</v>
      </c>
      <c r="F21415">
        <v>545</v>
      </c>
      <c r="G21415">
        <v>135</v>
      </c>
      <c r="H21415">
        <v>15</v>
      </c>
      <c r="I21415">
        <v>901</v>
      </c>
      <c r="J21415">
        <v>1</v>
      </c>
      <c r="K21415">
        <v>132</v>
      </c>
      <c r="L21415">
        <v>1041</v>
      </c>
      <c r="M21415">
        <v>1</v>
      </c>
      <c r="N21415">
        <v>0</v>
      </c>
      <c r="O21415">
        <v>1702</v>
      </c>
    </row>
    <row r="21416" spans="1:15" x14ac:dyDescent="0.25">
      <c r="A21416" t="s">
        <v>21429</v>
      </c>
      <c r="B21416">
        <v>182</v>
      </c>
      <c r="C21416" s="1" t="str">
        <f>HYPERLINK("http://www.rosaceae.org/gb/gbrowse/malus_x_domestica/?name=MDP0000225623","MDP0000225623")</f>
        <v>MDP0000225623</v>
      </c>
      <c r="D21416">
        <v>45.45</v>
      </c>
      <c r="E21416">
        <v>165</v>
      </c>
      <c r="F21416">
        <v>90</v>
      </c>
      <c r="G21416">
        <v>12</v>
      </c>
      <c r="H21416">
        <v>9</v>
      </c>
      <c r="I21416">
        <v>166</v>
      </c>
      <c r="J21416">
        <v>1</v>
      </c>
      <c r="K21416">
        <v>459</v>
      </c>
      <c r="L21416">
        <v>618</v>
      </c>
      <c r="M21416">
        <v>1</v>
      </c>
      <c r="N21416">
        <v>1.46204E-27</v>
      </c>
      <c r="O21416">
        <v>299</v>
      </c>
    </row>
    <row r="21417" spans="1:15" x14ac:dyDescent="0.25">
      <c r="A21417" t="s">
        <v>21430</v>
      </c>
      <c r="B21417">
        <v>464</v>
      </c>
      <c r="C21417" s="1" t="str">
        <f>HYPERLINK("http://www.rosaceae.org/gb/gbrowse/malus_x_domestica/?name=MDP0000290742","MDP0000290742")</f>
        <v>MDP0000290742</v>
      </c>
      <c r="D21417">
        <v>66.930000000000007</v>
      </c>
      <c r="E21417">
        <v>378</v>
      </c>
      <c r="F21417">
        <v>125</v>
      </c>
      <c r="G21417">
        <v>11</v>
      </c>
      <c r="H21417">
        <v>69</v>
      </c>
      <c r="I21417">
        <v>441</v>
      </c>
      <c r="J21417">
        <v>1</v>
      </c>
      <c r="K21417">
        <v>3</v>
      </c>
      <c r="L21417">
        <v>374</v>
      </c>
      <c r="M21417">
        <v>1</v>
      </c>
      <c r="N21417">
        <v>3.4565300000000001E-126</v>
      </c>
      <c r="O21417">
        <v>1154</v>
      </c>
    </row>
    <row r="21418" spans="1:15" x14ac:dyDescent="0.25">
      <c r="A21418" t="s">
        <v>21431</v>
      </c>
      <c r="B21418">
        <v>250</v>
      </c>
      <c r="C21418" s="1" t="str">
        <f>HYPERLINK("http://www.rosaceae.org/gb/gbrowse/malus_x_domestica/?name=MDP0000125576","MDP0000125576")</f>
        <v>MDP0000125576</v>
      </c>
      <c r="D21418">
        <v>67.48</v>
      </c>
      <c r="E21418">
        <v>243</v>
      </c>
      <c r="F21418">
        <v>79</v>
      </c>
      <c r="G21418">
        <v>4</v>
      </c>
      <c r="H21418">
        <v>1</v>
      </c>
      <c r="I21418">
        <v>241</v>
      </c>
      <c r="J21418">
        <v>1</v>
      </c>
      <c r="K21418">
        <v>1</v>
      </c>
      <c r="L21418">
        <v>241</v>
      </c>
      <c r="M21418">
        <v>1</v>
      </c>
      <c r="N21418">
        <v>2.7426899999999997E-88</v>
      </c>
      <c r="O21418">
        <v>824</v>
      </c>
    </row>
    <row r="21419" spans="1:15" x14ac:dyDescent="0.25">
      <c r="A21419" t="s">
        <v>21432</v>
      </c>
      <c r="B21419">
        <v>553</v>
      </c>
      <c r="C21419" s="1" t="str">
        <f>HYPERLINK("http://www.rosaceae.org/gb/gbrowse/malus_x_domestica/?name=MDP0000276798","MDP0000276798")</f>
        <v>MDP0000276798</v>
      </c>
      <c r="D21419">
        <v>88.76</v>
      </c>
      <c r="E21419">
        <v>525</v>
      </c>
      <c r="F21419">
        <v>59</v>
      </c>
      <c r="G21419">
        <v>1</v>
      </c>
      <c r="H21419">
        <v>1</v>
      </c>
      <c r="I21419">
        <v>525</v>
      </c>
      <c r="J21419">
        <v>1</v>
      </c>
      <c r="K21419">
        <v>1</v>
      </c>
      <c r="L21419">
        <v>524</v>
      </c>
      <c r="M21419">
        <v>1</v>
      </c>
      <c r="N21419">
        <v>0</v>
      </c>
      <c r="O21419">
        <v>2545</v>
      </c>
    </row>
    <row r="21420" spans="1:15" x14ac:dyDescent="0.25">
      <c r="A21420" t="s">
        <v>21433</v>
      </c>
      <c r="B21420">
        <v>535</v>
      </c>
      <c r="C21420" s="1" t="str">
        <f>HYPERLINK("http://www.rosaceae.org/gb/gbrowse/malus_x_domestica/?name=MDP0000195139","MDP0000195139")</f>
        <v>MDP0000195139</v>
      </c>
      <c r="D21420">
        <v>46.69</v>
      </c>
      <c r="E21420">
        <v>439</v>
      </c>
      <c r="F21420">
        <v>234</v>
      </c>
      <c r="G21420">
        <v>43</v>
      </c>
      <c r="H21420">
        <v>105</v>
      </c>
      <c r="I21420">
        <v>506</v>
      </c>
      <c r="J21420">
        <v>1</v>
      </c>
      <c r="K21420">
        <v>519</v>
      </c>
      <c r="L21420">
        <v>951</v>
      </c>
      <c r="M21420">
        <v>1</v>
      </c>
      <c r="N21420">
        <v>5.2905200000000004E-97</v>
      </c>
      <c r="O21420">
        <v>903</v>
      </c>
    </row>
    <row r="21421" spans="1:15" x14ac:dyDescent="0.25">
      <c r="A21421" t="s">
        <v>21434</v>
      </c>
      <c r="B21421">
        <v>682</v>
      </c>
      <c r="C21421" s="1" t="str">
        <f>HYPERLINK("http://www.rosaceae.org/gb/gbrowse/malus_x_domestica/?name=MDP0000186874","MDP0000186874")</f>
        <v>MDP0000186874</v>
      </c>
      <c r="D21421">
        <v>77.48</v>
      </c>
      <c r="E21421">
        <v>653</v>
      </c>
      <c r="F21421">
        <v>147</v>
      </c>
      <c r="G21421">
        <v>44</v>
      </c>
      <c r="H21421">
        <v>46</v>
      </c>
      <c r="I21421">
        <v>682</v>
      </c>
      <c r="J21421">
        <v>1</v>
      </c>
      <c r="K21421">
        <v>1</v>
      </c>
      <c r="L21421">
        <v>625</v>
      </c>
      <c r="M21421">
        <v>1</v>
      </c>
      <c r="N21421">
        <v>0</v>
      </c>
      <c r="O21421">
        <v>2590</v>
      </c>
    </row>
    <row r="21422" spans="1:15" x14ac:dyDescent="0.25">
      <c r="A21422" t="s">
        <v>21435</v>
      </c>
      <c r="B21422">
        <v>215</v>
      </c>
      <c r="C21422" s="1" t="str">
        <f>HYPERLINK("http://www.rosaceae.org/gb/gbrowse/malus_x_domestica/?name=MDP0000166262","MDP0000166262")</f>
        <v>MDP0000166262</v>
      </c>
      <c r="D21422">
        <v>67.59</v>
      </c>
      <c r="E21422">
        <v>216</v>
      </c>
      <c r="F21422">
        <v>70</v>
      </c>
      <c r="G21422">
        <v>2</v>
      </c>
      <c r="H21422">
        <v>1</v>
      </c>
      <c r="I21422">
        <v>214</v>
      </c>
      <c r="J21422">
        <v>1</v>
      </c>
      <c r="K21422">
        <v>1</v>
      </c>
      <c r="L21422">
        <v>216</v>
      </c>
      <c r="M21422">
        <v>1</v>
      </c>
      <c r="N21422">
        <v>1.2646900000000001E-78</v>
      </c>
      <c r="O21422">
        <v>740</v>
      </c>
    </row>
    <row r="21423" spans="1:15" x14ac:dyDescent="0.25">
      <c r="A21423" t="s">
        <v>21436</v>
      </c>
      <c r="B21423">
        <v>336</v>
      </c>
      <c r="C21423" s="1" t="str">
        <f>HYPERLINK("http://www.rosaceae.org/gb/gbrowse/malus_x_domestica/?name=MDP0000377327","MDP0000377327")</f>
        <v>MDP0000377327</v>
      </c>
      <c r="D21423">
        <v>38.07</v>
      </c>
      <c r="E21423">
        <v>239</v>
      </c>
      <c r="F21423">
        <v>148</v>
      </c>
      <c r="G21423">
        <v>32</v>
      </c>
      <c r="H21423">
        <v>1</v>
      </c>
      <c r="I21423">
        <v>210</v>
      </c>
      <c r="J21423">
        <v>1</v>
      </c>
      <c r="K21423">
        <v>1</v>
      </c>
      <c r="L21423">
        <v>236</v>
      </c>
      <c r="M21423">
        <v>1</v>
      </c>
      <c r="N21423">
        <v>8.14881E-37</v>
      </c>
      <c r="O21423">
        <v>382</v>
      </c>
    </row>
    <row r="21424" spans="1:15" x14ac:dyDescent="0.25">
      <c r="A21424" t="s">
        <v>21437</v>
      </c>
      <c r="B21424">
        <v>479</v>
      </c>
      <c r="C21424" s="1" t="str">
        <f>HYPERLINK("http://www.rosaceae.org/gb/gbrowse/malus_x_domestica/?name=MDP0000195139","MDP0000195139")</f>
        <v>MDP0000195139</v>
      </c>
      <c r="D21424">
        <v>38.81</v>
      </c>
      <c r="E21424">
        <v>353</v>
      </c>
      <c r="F21424">
        <v>216</v>
      </c>
      <c r="G21424">
        <v>16</v>
      </c>
      <c r="H21424">
        <v>135</v>
      </c>
      <c r="I21424">
        <v>474</v>
      </c>
      <c r="J21424">
        <v>1</v>
      </c>
      <c r="K21424">
        <v>601</v>
      </c>
      <c r="L21424">
        <v>950</v>
      </c>
      <c r="M21424">
        <v>1</v>
      </c>
      <c r="N21424">
        <v>8.4859499999999997E-48</v>
      </c>
      <c r="O21424">
        <v>478</v>
      </c>
    </row>
    <row r="21425" spans="1:15" x14ac:dyDescent="0.25">
      <c r="A21425" t="s">
        <v>21438</v>
      </c>
      <c r="B21425">
        <v>212</v>
      </c>
      <c r="C21425" s="1" t="str">
        <f>HYPERLINK("http://www.rosaceae.org/gb/gbrowse/malus_x_domestica/?name=MDP0000189652","MDP0000189652")</f>
        <v>MDP0000189652</v>
      </c>
      <c r="D21425">
        <v>71.22</v>
      </c>
      <c r="E21425">
        <v>212</v>
      </c>
      <c r="F21425">
        <v>61</v>
      </c>
      <c r="G21425">
        <v>8</v>
      </c>
      <c r="H21425">
        <v>1</v>
      </c>
      <c r="I21425">
        <v>212</v>
      </c>
      <c r="J21425">
        <v>1</v>
      </c>
      <c r="K21425">
        <v>1</v>
      </c>
      <c r="L21425">
        <v>204</v>
      </c>
      <c r="M21425">
        <v>1</v>
      </c>
      <c r="N21425">
        <v>2.3802400000000001E-80</v>
      </c>
      <c r="O21425">
        <v>755</v>
      </c>
    </row>
    <row r="21426" spans="1:15" x14ac:dyDescent="0.25">
      <c r="A21426" t="s">
        <v>21439</v>
      </c>
      <c r="B21426">
        <v>541</v>
      </c>
      <c r="C21426" s="1" t="str">
        <f>HYPERLINK("http://www.rosaceae.org/gb/gbrowse/malus_x_domestica/?name=MDP0000135679","MDP0000135679")</f>
        <v>MDP0000135679</v>
      </c>
      <c r="D21426">
        <v>79.510000000000005</v>
      </c>
      <c r="E21426">
        <v>166</v>
      </c>
      <c r="F21426">
        <v>34</v>
      </c>
      <c r="G21426">
        <v>0</v>
      </c>
      <c r="H21426">
        <v>368</v>
      </c>
      <c r="I21426">
        <v>533</v>
      </c>
      <c r="J21426">
        <v>1</v>
      </c>
      <c r="K21426">
        <v>712</v>
      </c>
      <c r="L21426">
        <v>877</v>
      </c>
      <c r="M21426">
        <v>1</v>
      </c>
      <c r="N21426">
        <v>2.8465199999999999E-67</v>
      </c>
      <c r="O21426">
        <v>647</v>
      </c>
    </row>
    <row r="21427" spans="1:15" x14ac:dyDescent="0.25">
      <c r="A21427" t="s">
        <v>21440</v>
      </c>
      <c r="B21427">
        <v>521</v>
      </c>
      <c r="C21427" s="1" t="str">
        <f>HYPERLINK("http://www.rosaceae.org/gb/gbrowse/malus_x_domestica/?name=MDP0000193366","MDP0000193366")</f>
        <v>MDP0000193366</v>
      </c>
      <c r="D21427">
        <v>59.37</v>
      </c>
      <c r="E21427">
        <v>512</v>
      </c>
      <c r="F21427">
        <v>208</v>
      </c>
      <c r="G21427">
        <v>64</v>
      </c>
      <c r="H21427">
        <v>1</v>
      </c>
      <c r="I21427">
        <v>449</v>
      </c>
      <c r="J21427">
        <v>1</v>
      </c>
      <c r="K21427">
        <v>1</v>
      </c>
      <c r="L21427">
        <v>511</v>
      </c>
      <c r="M21427">
        <v>1</v>
      </c>
      <c r="N21427">
        <v>2.8744600000000002E-158</v>
      </c>
      <c r="O21427">
        <v>1432</v>
      </c>
    </row>
    <row r="21428" spans="1:15" x14ac:dyDescent="0.25">
      <c r="A21428" t="s">
        <v>21441</v>
      </c>
      <c r="B21428">
        <v>1037</v>
      </c>
      <c r="C21428" s="1" t="str">
        <f>HYPERLINK("http://www.rosaceae.org/gb/gbrowse/malus_x_domestica/?name=MDP0000167949","MDP0000167949")</f>
        <v>MDP0000167949</v>
      </c>
      <c r="D21428">
        <v>60.11</v>
      </c>
      <c r="E21428">
        <v>168</v>
      </c>
      <c r="F21428">
        <v>67</v>
      </c>
      <c r="G21428">
        <v>7</v>
      </c>
      <c r="H21428">
        <v>870</v>
      </c>
      <c r="I21428">
        <v>1037</v>
      </c>
      <c r="J21428">
        <v>1</v>
      </c>
      <c r="K21428">
        <v>657</v>
      </c>
      <c r="L21428">
        <v>817</v>
      </c>
      <c r="M21428">
        <v>1</v>
      </c>
      <c r="N21428">
        <v>1.17211E-47</v>
      </c>
      <c r="O21428">
        <v>481</v>
      </c>
    </row>
    <row r="21429" spans="1:15" x14ac:dyDescent="0.25">
      <c r="A21429" t="s">
        <v>21442</v>
      </c>
      <c r="B21429">
        <v>1195</v>
      </c>
      <c r="C21429" s="1" t="str">
        <f>HYPERLINK("http://www.rosaceae.org/gb/gbrowse/malus_x_domestica/?name=MDP0000188777","MDP0000188777")</f>
        <v>MDP0000188777</v>
      </c>
      <c r="D21429">
        <v>79.88</v>
      </c>
      <c r="E21429">
        <v>353</v>
      </c>
      <c r="F21429">
        <v>71</v>
      </c>
      <c r="G21429">
        <v>11</v>
      </c>
      <c r="H21429">
        <v>769</v>
      </c>
      <c r="I21429">
        <v>1110</v>
      </c>
      <c r="J21429">
        <v>1</v>
      </c>
      <c r="K21429">
        <v>11</v>
      </c>
      <c r="L21429">
        <v>363</v>
      </c>
      <c r="M21429">
        <v>1</v>
      </c>
      <c r="N21429">
        <v>2.8454499999999999E-164</v>
      </c>
      <c r="O21429">
        <v>1487</v>
      </c>
    </row>
    <row r="21430" spans="1:15" x14ac:dyDescent="0.25">
      <c r="A21430" t="s">
        <v>21443</v>
      </c>
      <c r="B21430">
        <v>127</v>
      </c>
      <c r="C21430" s="1" t="str">
        <f>HYPERLINK("http://www.rosaceae.org/gb/gbrowse/malus_x_domestica/?name=MDP0000134320","MDP0000134320")</f>
        <v>MDP0000134320</v>
      </c>
      <c r="D21430">
        <v>60.6</v>
      </c>
      <c r="E21430">
        <v>66</v>
      </c>
      <c r="F21430">
        <v>26</v>
      </c>
      <c r="G21430">
        <v>8</v>
      </c>
      <c r="H21430">
        <v>39</v>
      </c>
      <c r="I21430">
        <v>101</v>
      </c>
      <c r="J21430">
        <v>1</v>
      </c>
      <c r="K21430">
        <v>255</v>
      </c>
      <c r="L21430">
        <v>315</v>
      </c>
      <c r="M21430">
        <v>1</v>
      </c>
      <c r="N21430">
        <v>3.1275700000000002E-12</v>
      </c>
      <c r="O21430">
        <v>163</v>
      </c>
    </row>
    <row r="21431" spans="1:15" x14ac:dyDescent="0.25">
      <c r="A21431" t="s">
        <v>21444</v>
      </c>
      <c r="B21431">
        <v>212</v>
      </c>
      <c r="C21431" s="1" t="str">
        <f>HYPERLINK("http://www.rosaceae.org/gb/gbrowse/malus_x_domestica/?name=MDP0000241313","MDP0000241313")</f>
        <v>MDP0000241313</v>
      </c>
      <c r="D21431">
        <v>71.95</v>
      </c>
      <c r="E21431">
        <v>189</v>
      </c>
      <c r="F21431">
        <v>53</v>
      </c>
      <c r="G21431">
        <v>11</v>
      </c>
      <c r="H21431">
        <v>30</v>
      </c>
      <c r="I21431">
        <v>208</v>
      </c>
      <c r="J21431">
        <v>1</v>
      </c>
      <c r="K21431">
        <v>243</v>
      </c>
      <c r="L21431">
        <v>430</v>
      </c>
      <c r="M21431">
        <v>1</v>
      </c>
      <c r="N21431">
        <v>5.1880500000000002E-69</v>
      </c>
      <c r="O21431">
        <v>657</v>
      </c>
    </row>
    <row r="21432" spans="1:15" x14ac:dyDescent="0.25">
      <c r="A21432" t="s">
        <v>21445</v>
      </c>
      <c r="B21432">
        <v>704</v>
      </c>
      <c r="C21432" s="1" t="str">
        <f>HYPERLINK("http://www.rosaceae.org/gb/gbrowse/malus_x_domestica/?name=MDP0000138382","MDP0000138382")</f>
        <v>MDP0000138382</v>
      </c>
      <c r="D21432">
        <v>77.31</v>
      </c>
      <c r="E21432">
        <v>313</v>
      </c>
      <c r="F21432">
        <v>71</v>
      </c>
      <c r="G21432">
        <v>0</v>
      </c>
      <c r="H21432">
        <v>1</v>
      </c>
      <c r="I21432">
        <v>313</v>
      </c>
      <c r="J21432">
        <v>1</v>
      </c>
      <c r="K21432">
        <v>17</v>
      </c>
      <c r="L21432">
        <v>329</v>
      </c>
      <c r="M21432">
        <v>1</v>
      </c>
      <c r="N21432">
        <v>3.1154199999999999E-139</v>
      </c>
      <c r="O21432">
        <v>1269</v>
      </c>
    </row>
    <row r="21433" spans="1:15" x14ac:dyDescent="0.25">
      <c r="A21433" t="s">
        <v>21446</v>
      </c>
      <c r="B21433">
        <v>582</v>
      </c>
      <c r="C21433" s="1" t="str">
        <f>HYPERLINK("http://www.rosaceae.org/gb/gbrowse/malus_x_domestica/?name=MDP0000538003","MDP0000538003")</f>
        <v>MDP0000538003</v>
      </c>
      <c r="D21433">
        <v>29.57</v>
      </c>
      <c r="E21433">
        <v>497</v>
      </c>
      <c r="F21433">
        <v>350</v>
      </c>
      <c r="G21433">
        <v>36</v>
      </c>
      <c r="H21433">
        <v>96</v>
      </c>
      <c r="I21433">
        <v>578</v>
      </c>
      <c r="J21433">
        <v>1</v>
      </c>
      <c r="K21433">
        <v>3</v>
      </c>
      <c r="L21433">
        <v>477</v>
      </c>
      <c r="M21433">
        <v>1</v>
      </c>
      <c r="N21433">
        <v>6.6938600000000002E-57</v>
      </c>
      <c r="O21433">
        <v>558</v>
      </c>
    </row>
    <row r="21434" spans="1:15" x14ac:dyDescent="0.25">
      <c r="A21434" t="s">
        <v>21447</v>
      </c>
      <c r="B21434">
        <v>216</v>
      </c>
      <c r="C21434" s="1" t="str">
        <f>HYPERLINK("http://www.rosaceae.org/gb/gbrowse/malus_x_domestica/?name=MDP0000147493","MDP0000147493")</f>
        <v>MDP0000147493</v>
      </c>
      <c r="D21434">
        <v>62.73</v>
      </c>
      <c r="E21434">
        <v>212</v>
      </c>
      <c r="F21434">
        <v>79</v>
      </c>
      <c r="G21434">
        <v>22</v>
      </c>
      <c r="H21434">
        <v>1</v>
      </c>
      <c r="I21434">
        <v>196</v>
      </c>
      <c r="J21434">
        <v>1</v>
      </c>
      <c r="K21434">
        <v>1</v>
      </c>
      <c r="L21434">
        <v>206</v>
      </c>
      <c r="M21434">
        <v>1</v>
      </c>
      <c r="N21434">
        <v>4.9874200000000004E-66</v>
      </c>
      <c r="O21434">
        <v>631</v>
      </c>
    </row>
    <row r="21435" spans="1:15" x14ac:dyDescent="0.25">
      <c r="A21435" t="s">
        <v>21448</v>
      </c>
      <c r="B21435">
        <v>491</v>
      </c>
      <c r="C21435" s="1" t="str">
        <f>HYPERLINK("http://www.rosaceae.org/gb/gbrowse/malus_x_domestica/?name=MDP0000285108","MDP0000285108")</f>
        <v>MDP0000285108</v>
      </c>
      <c r="D21435">
        <v>28.32</v>
      </c>
      <c r="E21435">
        <v>173</v>
      </c>
      <c r="F21435">
        <v>124</v>
      </c>
      <c r="G21435">
        <v>4</v>
      </c>
      <c r="H21435">
        <v>199</v>
      </c>
      <c r="I21435">
        <v>369</v>
      </c>
      <c r="J21435">
        <v>1</v>
      </c>
      <c r="K21435">
        <v>780</v>
      </c>
      <c r="L21435">
        <v>950</v>
      </c>
      <c r="M21435">
        <v>1</v>
      </c>
      <c r="N21435">
        <v>4.1449699999999999E-10</v>
      </c>
      <c r="O21435">
        <v>154</v>
      </c>
    </row>
    <row r="21436" spans="1:15" x14ac:dyDescent="0.25">
      <c r="A21436" t="s">
        <v>21449</v>
      </c>
      <c r="B21436">
        <v>702</v>
      </c>
      <c r="C21436" s="1" t="str">
        <f>HYPERLINK("http://www.rosaceae.org/gb/gbrowse/malus_x_domestica/?name=MDP0000779831","MDP0000779831")</f>
        <v>MDP0000779831</v>
      </c>
      <c r="D21436">
        <v>54.35</v>
      </c>
      <c r="E21436">
        <v>574</v>
      </c>
      <c r="F21436">
        <v>262</v>
      </c>
      <c r="G21436">
        <v>42</v>
      </c>
      <c r="H21436">
        <v>99</v>
      </c>
      <c r="I21436">
        <v>638</v>
      </c>
      <c r="J21436">
        <v>1</v>
      </c>
      <c r="K21436">
        <v>341</v>
      </c>
      <c r="L21436">
        <v>906</v>
      </c>
      <c r="M21436">
        <v>1</v>
      </c>
      <c r="N21436">
        <v>9.3053900000000008E-171</v>
      </c>
      <c r="O21436">
        <v>1541</v>
      </c>
    </row>
    <row r="21437" spans="1:15" x14ac:dyDescent="0.25">
      <c r="A21437" t="s">
        <v>21450</v>
      </c>
      <c r="B21437">
        <v>682</v>
      </c>
      <c r="C21437" s="1" t="str">
        <f>HYPERLINK("http://www.rosaceae.org/gb/gbrowse/malus_x_domestica/?name=MDP0000320123","MDP0000320123")</f>
        <v>MDP0000320123</v>
      </c>
      <c r="D21437">
        <v>69.48</v>
      </c>
      <c r="E21437">
        <v>675</v>
      </c>
      <c r="F21437">
        <v>206</v>
      </c>
      <c r="G21437">
        <v>35</v>
      </c>
      <c r="H21437">
        <v>31</v>
      </c>
      <c r="I21437">
        <v>681</v>
      </c>
      <c r="J21437">
        <v>1</v>
      </c>
      <c r="K21437">
        <v>249</v>
      </c>
      <c r="L21437">
        <v>912</v>
      </c>
      <c r="M21437">
        <v>1</v>
      </c>
      <c r="N21437">
        <v>0</v>
      </c>
      <c r="O21437">
        <v>2383</v>
      </c>
    </row>
    <row r="21438" spans="1:15" x14ac:dyDescent="0.25">
      <c r="A21438" t="s">
        <v>21451</v>
      </c>
      <c r="B21438">
        <v>460</v>
      </c>
      <c r="C21438" s="1" t="str">
        <f>HYPERLINK("http://www.rosaceae.org/gb/gbrowse/malus_x_domestica/?name=MDP0000145603","MDP0000145603")</f>
        <v>MDP0000145603</v>
      </c>
      <c r="D21438">
        <v>75.25</v>
      </c>
      <c r="E21438">
        <v>489</v>
      </c>
      <c r="F21438">
        <v>121</v>
      </c>
      <c r="G21438">
        <v>60</v>
      </c>
      <c r="H21438">
        <v>1</v>
      </c>
      <c r="I21438">
        <v>444</v>
      </c>
      <c r="J21438">
        <v>1</v>
      </c>
      <c r="K21438">
        <v>1</v>
      </c>
      <c r="L21438">
        <v>474</v>
      </c>
      <c r="M21438">
        <v>1</v>
      </c>
      <c r="N21438">
        <v>0</v>
      </c>
      <c r="O21438">
        <v>1775</v>
      </c>
    </row>
    <row r="21439" spans="1:15" x14ac:dyDescent="0.25">
      <c r="A21439" t="s">
        <v>21452</v>
      </c>
      <c r="B21439">
        <v>165</v>
      </c>
      <c r="C21439" s="1" t="str">
        <f>HYPERLINK("http://www.rosaceae.org/gb/gbrowse/malus_x_domestica/?name=MDP0000771567","MDP0000771567")</f>
        <v>MDP0000771567</v>
      </c>
      <c r="D21439">
        <v>75</v>
      </c>
      <c r="E21439">
        <v>144</v>
      </c>
      <c r="F21439">
        <v>36</v>
      </c>
      <c r="G21439">
        <v>2</v>
      </c>
      <c r="H21439">
        <v>8</v>
      </c>
      <c r="I21439">
        <v>149</v>
      </c>
      <c r="J21439">
        <v>1</v>
      </c>
      <c r="K21439">
        <v>40</v>
      </c>
      <c r="L21439">
        <v>183</v>
      </c>
      <c r="M21439">
        <v>1</v>
      </c>
      <c r="N21439">
        <v>5.3081899999999998E-53</v>
      </c>
      <c r="O21439">
        <v>517</v>
      </c>
    </row>
    <row r="21440" spans="1:15" x14ac:dyDescent="0.25">
      <c r="A21440" t="s">
        <v>21453</v>
      </c>
      <c r="B21440">
        <v>194</v>
      </c>
      <c r="C21440" s="1" t="str">
        <f>HYPERLINK("http://www.rosaceae.org/gb/gbrowse/malus_x_domestica/?name=MDP0000173540","MDP0000173540")</f>
        <v>MDP0000173540</v>
      </c>
      <c r="D21440">
        <v>41.09</v>
      </c>
      <c r="E21440">
        <v>73</v>
      </c>
      <c r="F21440">
        <v>43</v>
      </c>
      <c r="G21440">
        <v>0</v>
      </c>
      <c r="H21440">
        <v>18</v>
      </c>
      <c r="I21440">
        <v>90</v>
      </c>
      <c r="J21440">
        <v>1</v>
      </c>
      <c r="K21440">
        <v>6</v>
      </c>
      <c r="L21440">
        <v>78</v>
      </c>
      <c r="M21440">
        <v>1</v>
      </c>
      <c r="N21440">
        <v>1.62602E-10</v>
      </c>
      <c r="O21440">
        <v>152</v>
      </c>
    </row>
    <row r="21441" spans="1:15" x14ac:dyDescent="0.25">
      <c r="A21441" t="s">
        <v>21454</v>
      </c>
      <c r="B21441">
        <v>150</v>
      </c>
      <c r="C21441" s="1" t="str">
        <f>HYPERLINK("http://www.rosaceae.org/gb/gbrowse/malus_x_domestica/?name=MDP0000124256","MDP0000124256")</f>
        <v>MDP0000124256</v>
      </c>
      <c r="D21441">
        <v>36.880000000000003</v>
      </c>
      <c r="E21441">
        <v>122</v>
      </c>
      <c r="F21441">
        <v>77</v>
      </c>
      <c r="G21441">
        <v>0</v>
      </c>
      <c r="H21441">
        <v>2</v>
      </c>
      <c r="I21441">
        <v>123</v>
      </c>
      <c r="J21441">
        <v>1</v>
      </c>
      <c r="K21441">
        <v>51</v>
      </c>
      <c r="L21441">
        <v>172</v>
      </c>
      <c r="M21441">
        <v>1</v>
      </c>
      <c r="N21441">
        <v>5.7217399999999996E-20</v>
      </c>
      <c r="O21441">
        <v>232</v>
      </c>
    </row>
    <row r="21442" spans="1:15" x14ac:dyDescent="0.25">
      <c r="A21442" t="s">
        <v>21455</v>
      </c>
      <c r="B21442">
        <v>427</v>
      </c>
      <c r="C21442" s="1" t="str">
        <f>HYPERLINK("http://www.rosaceae.org/gb/gbrowse/malus_x_domestica/?name=MDP0000195027","MDP0000195027")</f>
        <v>MDP0000195027</v>
      </c>
      <c r="D21442">
        <v>79.849999999999994</v>
      </c>
      <c r="E21442">
        <v>427</v>
      </c>
      <c r="F21442">
        <v>86</v>
      </c>
      <c r="G21442">
        <v>6</v>
      </c>
      <c r="H21442">
        <v>2</v>
      </c>
      <c r="I21442">
        <v>426</v>
      </c>
      <c r="J21442">
        <v>1</v>
      </c>
      <c r="K21442">
        <v>4</v>
      </c>
      <c r="L21442">
        <v>426</v>
      </c>
      <c r="M21442">
        <v>1</v>
      </c>
      <c r="N21442">
        <v>0</v>
      </c>
      <c r="O21442">
        <v>1752</v>
      </c>
    </row>
    <row r="21443" spans="1:15" x14ac:dyDescent="0.25">
      <c r="A21443" t="s">
        <v>21456</v>
      </c>
      <c r="B21443">
        <v>104</v>
      </c>
      <c r="C21443" s="1" t="str">
        <f>HYPERLINK("http://www.rosaceae.org/gb/gbrowse/malus_x_domestica/?name=MDP0000322306","MDP0000322306")</f>
        <v>MDP0000322306</v>
      </c>
      <c r="D21443">
        <v>79.77</v>
      </c>
      <c r="E21443">
        <v>89</v>
      </c>
      <c r="F21443">
        <v>18</v>
      </c>
      <c r="G21443">
        <v>0</v>
      </c>
      <c r="H21443">
        <v>1</v>
      </c>
      <c r="I21443">
        <v>89</v>
      </c>
      <c r="J21443">
        <v>1</v>
      </c>
      <c r="K21443">
        <v>1</v>
      </c>
      <c r="L21443">
        <v>89</v>
      </c>
      <c r="M21443">
        <v>1</v>
      </c>
      <c r="N21443">
        <v>1.5462000000000001E-39</v>
      </c>
      <c r="O21443">
        <v>398</v>
      </c>
    </row>
    <row r="21444" spans="1:15" x14ac:dyDescent="0.25">
      <c r="A21444" t="s">
        <v>21457</v>
      </c>
      <c r="B21444">
        <v>331</v>
      </c>
      <c r="C21444" s="1" t="str">
        <f>HYPERLINK("http://www.rosaceae.org/gb/gbrowse/malus_x_domestica/?name=MDP0000483937","MDP0000483937")</f>
        <v>MDP0000483937</v>
      </c>
      <c r="D21444">
        <v>54.33</v>
      </c>
      <c r="E21444">
        <v>300</v>
      </c>
      <c r="F21444">
        <v>137</v>
      </c>
      <c r="G21444">
        <v>12</v>
      </c>
      <c r="H21444">
        <v>37</v>
      </c>
      <c r="I21444">
        <v>331</v>
      </c>
      <c r="J21444">
        <v>1</v>
      </c>
      <c r="K21444">
        <v>1</v>
      </c>
      <c r="L21444">
        <v>293</v>
      </c>
      <c r="M21444">
        <v>1</v>
      </c>
      <c r="N21444">
        <v>2.8536000000000001E-70</v>
      </c>
      <c r="O21444">
        <v>670</v>
      </c>
    </row>
    <row r="21445" spans="1:15" x14ac:dyDescent="0.25">
      <c r="A21445" t="s">
        <v>21458</v>
      </c>
      <c r="B21445">
        <v>774</v>
      </c>
      <c r="C21445" s="1" t="str">
        <f>HYPERLINK("http://www.rosaceae.org/gb/gbrowse/malus_x_domestica/?name=MDP0000220343","MDP0000220343")</f>
        <v>MDP0000220343</v>
      </c>
      <c r="D21445">
        <v>62.83</v>
      </c>
      <c r="E21445">
        <v>339</v>
      </c>
      <c r="F21445">
        <v>126</v>
      </c>
      <c r="G21445">
        <v>35</v>
      </c>
      <c r="H21445">
        <v>3</v>
      </c>
      <c r="I21445">
        <v>319</v>
      </c>
      <c r="J21445">
        <v>1</v>
      </c>
      <c r="K21445">
        <v>117</v>
      </c>
      <c r="L21445">
        <v>442</v>
      </c>
      <c r="M21445">
        <v>1</v>
      </c>
      <c r="N21445">
        <v>6.3372200000000002E-118</v>
      </c>
      <c r="O21445">
        <v>1085</v>
      </c>
    </row>
    <row r="21446" spans="1:15" x14ac:dyDescent="0.25">
      <c r="A21446" t="s">
        <v>21459</v>
      </c>
      <c r="B21446">
        <v>293</v>
      </c>
      <c r="C21446" s="1" t="str">
        <f>HYPERLINK("http://www.rosaceae.org/gb/gbrowse/malus_x_domestica/?name=MDP0000300654","MDP0000300654")</f>
        <v>MDP0000300654</v>
      </c>
      <c r="D21446">
        <v>83.95</v>
      </c>
      <c r="E21446">
        <v>293</v>
      </c>
      <c r="F21446">
        <v>47</v>
      </c>
      <c r="G21446">
        <v>1</v>
      </c>
      <c r="H21446">
        <v>1</v>
      </c>
      <c r="I21446">
        <v>293</v>
      </c>
      <c r="J21446">
        <v>1</v>
      </c>
      <c r="K21446">
        <v>8</v>
      </c>
      <c r="L21446">
        <v>299</v>
      </c>
      <c r="M21446">
        <v>1</v>
      </c>
      <c r="N21446">
        <v>1.64004E-142</v>
      </c>
      <c r="O21446">
        <v>1293</v>
      </c>
    </row>
    <row r="21447" spans="1:15" x14ac:dyDescent="0.25">
      <c r="A21447" t="s">
        <v>21460</v>
      </c>
      <c r="B21447">
        <v>442</v>
      </c>
      <c r="C21447" s="1" t="str">
        <f>HYPERLINK("http://www.rosaceae.org/gb/gbrowse/malus_x_domestica/?name=MDP0000308262","MDP0000308262")</f>
        <v>MDP0000308262</v>
      </c>
      <c r="D21447">
        <v>71.33</v>
      </c>
      <c r="E21447">
        <v>436</v>
      </c>
      <c r="F21447">
        <v>125</v>
      </c>
      <c r="G21447">
        <v>8</v>
      </c>
      <c r="H21447">
        <v>1</v>
      </c>
      <c r="I21447">
        <v>436</v>
      </c>
      <c r="J21447">
        <v>1</v>
      </c>
      <c r="K21447">
        <v>161</v>
      </c>
      <c r="L21447">
        <v>588</v>
      </c>
      <c r="M21447">
        <v>1</v>
      </c>
      <c r="N21447">
        <v>0</v>
      </c>
      <c r="O21447">
        <v>1656</v>
      </c>
    </row>
    <row r="21448" spans="1:15" x14ac:dyDescent="0.25">
      <c r="A21448" t="s">
        <v>21461</v>
      </c>
      <c r="B21448">
        <v>197</v>
      </c>
      <c r="C21448" s="1" t="str">
        <f>HYPERLINK("http://www.rosaceae.org/gb/gbrowse/malus_x_domestica/?name=MDP0000186368","MDP0000186368")</f>
        <v>MDP0000186368</v>
      </c>
      <c r="D21448">
        <v>74.84</v>
      </c>
      <c r="E21448">
        <v>159</v>
      </c>
      <c r="F21448">
        <v>40</v>
      </c>
      <c r="G21448">
        <v>1</v>
      </c>
      <c r="H21448">
        <v>39</v>
      </c>
      <c r="I21448">
        <v>197</v>
      </c>
      <c r="J21448">
        <v>1</v>
      </c>
      <c r="K21448">
        <v>276</v>
      </c>
      <c r="L21448">
        <v>433</v>
      </c>
      <c r="M21448">
        <v>1</v>
      </c>
      <c r="N21448">
        <v>5.44342E-64</v>
      </c>
      <c r="O21448">
        <v>613</v>
      </c>
    </row>
    <row r="21449" spans="1:15" x14ac:dyDescent="0.25">
      <c r="A21449" t="s">
        <v>21462</v>
      </c>
      <c r="B21449">
        <v>322</v>
      </c>
      <c r="C21449" s="1" t="str">
        <f>HYPERLINK("http://www.rosaceae.org/gb/gbrowse/malus_x_domestica/?name=MDP0000112940","MDP0000112940")</f>
        <v>MDP0000112940</v>
      </c>
      <c r="D21449">
        <v>73.56</v>
      </c>
      <c r="E21449">
        <v>227</v>
      </c>
      <c r="F21449">
        <v>60</v>
      </c>
      <c r="G21449">
        <v>0</v>
      </c>
      <c r="H21449">
        <v>10</v>
      </c>
      <c r="I21449">
        <v>236</v>
      </c>
      <c r="J21449">
        <v>1</v>
      </c>
      <c r="K21449">
        <v>48</v>
      </c>
      <c r="L21449">
        <v>274</v>
      </c>
      <c r="M21449">
        <v>1</v>
      </c>
      <c r="N21449">
        <v>1.5826699999999999E-93</v>
      </c>
      <c r="O21449">
        <v>871</v>
      </c>
    </row>
    <row r="21450" spans="1:15" x14ac:dyDescent="0.25">
      <c r="A21450" t="s">
        <v>21463</v>
      </c>
      <c r="B21450">
        <v>537</v>
      </c>
      <c r="C21450" s="1" t="str">
        <f>HYPERLINK("http://www.rosaceae.org/gb/gbrowse/malus_x_domestica/?name=MDP0000174766","MDP0000174766")</f>
        <v>MDP0000174766</v>
      </c>
      <c r="D21450">
        <v>69.739999999999995</v>
      </c>
      <c r="E21450">
        <v>542</v>
      </c>
      <c r="F21450">
        <v>164</v>
      </c>
      <c r="G21450">
        <v>10</v>
      </c>
      <c r="H21450">
        <v>1</v>
      </c>
      <c r="I21450">
        <v>537</v>
      </c>
      <c r="J21450">
        <v>1</v>
      </c>
      <c r="K21450">
        <v>1</v>
      </c>
      <c r="L21450">
        <v>537</v>
      </c>
      <c r="M21450">
        <v>1</v>
      </c>
      <c r="N21450">
        <v>0</v>
      </c>
      <c r="O21450">
        <v>1923</v>
      </c>
    </row>
    <row r="21451" spans="1:15" x14ac:dyDescent="0.25">
      <c r="A21451" t="s">
        <v>21464</v>
      </c>
      <c r="B21451">
        <v>124</v>
      </c>
      <c r="C21451" s="1" t="str">
        <f>HYPERLINK("http://www.rosaceae.org/gb/gbrowse/malus_x_domestica/?name=MDP0000144735","MDP0000144735")</f>
        <v>MDP0000144735</v>
      </c>
      <c r="D21451">
        <v>76.66</v>
      </c>
      <c r="E21451">
        <v>120</v>
      </c>
      <c r="F21451">
        <v>28</v>
      </c>
      <c r="G21451">
        <v>0</v>
      </c>
      <c r="H21451">
        <v>1</v>
      </c>
      <c r="I21451">
        <v>120</v>
      </c>
      <c r="J21451">
        <v>1</v>
      </c>
      <c r="K21451">
        <v>1</v>
      </c>
      <c r="L21451">
        <v>120</v>
      </c>
      <c r="M21451">
        <v>1</v>
      </c>
      <c r="N21451">
        <v>3.0052800000000002E-51</v>
      </c>
      <c r="O21451">
        <v>500</v>
      </c>
    </row>
    <row r="21452" spans="1:15" x14ac:dyDescent="0.25">
      <c r="A21452" t="s">
        <v>21465</v>
      </c>
      <c r="B21452">
        <v>902</v>
      </c>
      <c r="C21452" s="1" t="str">
        <f>HYPERLINK("http://www.rosaceae.org/gb/gbrowse/malus_x_domestica/?name=MDP0000168962","MDP0000168962")</f>
        <v>MDP0000168962</v>
      </c>
      <c r="D21452">
        <v>62.64</v>
      </c>
      <c r="E21452">
        <v>945</v>
      </c>
      <c r="F21452">
        <v>353</v>
      </c>
      <c r="G21452">
        <v>66</v>
      </c>
      <c r="H21452">
        <v>1</v>
      </c>
      <c r="I21452">
        <v>894</v>
      </c>
      <c r="J21452">
        <v>1</v>
      </c>
      <c r="K21452">
        <v>1</v>
      </c>
      <c r="L21452">
        <v>930</v>
      </c>
      <c r="M21452">
        <v>1</v>
      </c>
      <c r="N21452">
        <v>0</v>
      </c>
      <c r="O21452">
        <v>2882</v>
      </c>
    </row>
    <row r="21453" spans="1:15" x14ac:dyDescent="0.25">
      <c r="A21453" t="s">
        <v>21466</v>
      </c>
      <c r="B21453">
        <v>218</v>
      </c>
      <c r="C21453" s="1" t="str">
        <f>HYPERLINK("http://www.rosaceae.org/gb/gbrowse/malus_x_domestica/?name=MDP0000849609","MDP0000849609")</f>
        <v>MDP0000849609</v>
      </c>
      <c r="D21453">
        <v>76.03</v>
      </c>
      <c r="E21453">
        <v>217</v>
      </c>
      <c r="F21453">
        <v>52</v>
      </c>
      <c r="G21453">
        <v>6</v>
      </c>
      <c r="H21453">
        <v>5</v>
      </c>
      <c r="I21453">
        <v>218</v>
      </c>
      <c r="J21453">
        <v>1</v>
      </c>
      <c r="K21453">
        <v>34</v>
      </c>
      <c r="L21453">
        <v>247</v>
      </c>
      <c r="M21453">
        <v>1</v>
      </c>
      <c r="N21453">
        <v>1.34836E-89</v>
      </c>
      <c r="O21453">
        <v>835</v>
      </c>
    </row>
    <row r="21454" spans="1:15" x14ac:dyDescent="0.25">
      <c r="A21454" t="s">
        <v>21467</v>
      </c>
      <c r="B21454">
        <v>455</v>
      </c>
      <c r="C21454" s="1" t="str">
        <f>HYPERLINK("http://www.rosaceae.org/gb/gbrowse/malus_x_domestica/?name=MDP0000671808","MDP0000671808")</f>
        <v>MDP0000671808</v>
      </c>
      <c r="D21454">
        <v>35.53</v>
      </c>
      <c r="E21454">
        <v>470</v>
      </c>
      <c r="F21454">
        <v>303</v>
      </c>
      <c r="G21454">
        <v>41</v>
      </c>
      <c r="H21454">
        <v>2</v>
      </c>
      <c r="I21454">
        <v>453</v>
      </c>
      <c r="J21454">
        <v>1</v>
      </c>
      <c r="K21454">
        <v>4</v>
      </c>
      <c r="L21454">
        <v>450</v>
      </c>
      <c r="M21454">
        <v>1</v>
      </c>
      <c r="N21454">
        <v>9.6564100000000001E-63</v>
      </c>
      <c r="O21454">
        <v>607</v>
      </c>
    </row>
    <row r="21455" spans="1:15" x14ac:dyDescent="0.25">
      <c r="A21455" t="s">
        <v>21468</v>
      </c>
      <c r="B21455">
        <v>338</v>
      </c>
      <c r="C21455" s="1" t="str">
        <f>HYPERLINK("http://www.rosaceae.org/gb/gbrowse/malus_x_domestica/?name=MDP0000316899","MDP0000316899")</f>
        <v>MDP0000316899</v>
      </c>
      <c r="D21455">
        <v>31.15</v>
      </c>
      <c r="E21455">
        <v>321</v>
      </c>
      <c r="F21455">
        <v>221</v>
      </c>
      <c r="G21455">
        <v>68</v>
      </c>
      <c r="H21455">
        <v>25</v>
      </c>
      <c r="I21455">
        <v>321</v>
      </c>
      <c r="J21455">
        <v>1</v>
      </c>
      <c r="K21455">
        <v>431</v>
      </c>
      <c r="L21455">
        <v>707</v>
      </c>
      <c r="M21455">
        <v>1</v>
      </c>
      <c r="N21455">
        <v>2.8510000000000001E-34</v>
      </c>
      <c r="O21455">
        <v>360</v>
      </c>
    </row>
    <row r="21456" spans="1:15" x14ac:dyDescent="0.25">
      <c r="A21456" t="s">
        <v>21469</v>
      </c>
      <c r="B21456">
        <v>539</v>
      </c>
      <c r="C21456" s="1" t="str">
        <f>HYPERLINK("http://www.rosaceae.org/gb/gbrowse/malus_x_domestica/?name=MDP0000206106","MDP0000206106")</f>
        <v>MDP0000206106</v>
      </c>
      <c r="D21456">
        <v>46</v>
      </c>
      <c r="E21456">
        <v>313</v>
      </c>
      <c r="F21456">
        <v>169</v>
      </c>
      <c r="G21456">
        <v>23</v>
      </c>
      <c r="H21456">
        <v>32</v>
      </c>
      <c r="I21456">
        <v>341</v>
      </c>
      <c r="J21456">
        <v>1</v>
      </c>
      <c r="K21456">
        <v>31</v>
      </c>
      <c r="L21456">
        <v>323</v>
      </c>
      <c r="M21456">
        <v>1</v>
      </c>
      <c r="N21456">
        <v>7.8390400000000008E-68</v>
      </c>
      <c r="O21456">
        <v>652</v>
      </c>
    </row>
    <row r="21457" spans="1:15" x14ac:dyDescent="0.25">
      <c r="A21457" t="s">
        <v>21470</v>
      </c>
      <c r="B21457">
        <v>472</v>
      </c>
      <c r="C21457" s="1" t="str">
        <f>HYPERLINK("http://www.rosaceae.org/gb/gbrowse/malus_x_domestica/?name=MDP0000242756","MDP0000242756")</f>
        <v>MDP0000242756</v>
      </c>
      <c r="D21457">
        <v>34.83</v>
      </c>
      <c r="E21457">
        <v>399</v>
      </c>
      <c r="F21457">
        <v>260</v>
      </c>
      <c r="G21457">
        <v>57</v>
      </c>
      <c r="H21457">
        <v>86</v>
      </c>
      <c r="I21457">
        <v>449</v>
      </c>
      <c r="J21457">
        <v>1</v>
      </c>
      <c r="K21457">
        <v>105</v>
      </c>
      <c r="L21457">
        <v>481</v>
      </c>
      <c r="M21457">
        <v>1</v>
      </c>
      <c r="N21457">
        <v>3.90124E-44</v>
      </c>
      <c r="O21457">
        <v>447</v>
      </c>
    </row>
    <row r="21458" spans="1:15" x14ac:dyDescent="0.25">
      <c r="A21458" t="s">
        <v>21471</v>
      </c>
      <c r="B21458">
        <v>698</v>
      </c>
      <c r="C21458" s="1" t="str">
        <f>HYPERLINK("http://www.rosaceae.org/gb/gbrowse/malus_x_domestica/?name=MDP0000162763","MDP0000162763")</f>
        <v>MDP0000162763</v>
      </c>
      <c r="D21458">
        <v>47.34</v>
      </c>
      <c r="E21458">
        <v>207</v>
      </c>
      <c r="F21458">
        <v>109</v>
      </c>
      <c r="G21458">
        <v>1</v>
      </c>
      <c r="H21458">
        <v>490</v>
      </c>
      <c r="I21458">
        <v>695</v>
      </c>
      <c r="J21458">
        <v>1</v>
      </c>
      <c r="K21458">
        <v>161</v>
      </c>
      <c r="L21458">
        <v>367</v>
      </c>
      <c r="M21458">
        <v>1</v>
      </c>
      <c r="N21458">
        <v>5.3456299999999999E-45</v>
      </c>
      <c r="O21458">
        <v>456</v>
      </c>
    </row>
    <row r="21459" spans="1:15" x14ac:dyDescent="0.25">
      <c r="A21459" t="s">
        <v>21472</v>
      </c>
      <c r="B21459">
        <v>1099</v>
      </c>
      <c r="C21459" s="1" t="str">
        <f>HYPERLINK("http://www.rosaceae.org/gb/gbrowse/malus_x_domestica/?name=MDP0000306261","MDP0000306261")</f>
        <v>MDP0000306261</v>
      </c>
      <c r="D21459">
        <v>73.37</v>
      </c>
      <c r="E21459">
        <v>691</v>
      </c>
      <c r="F21459">
        <v>184</v>
      </c>
      <c r="G21459">
        <v>66</v>
      </c>
      <c r="H21459">
        <v>1</v>
      </c>
      <c r="I21459">
        <v>666</v>
      </c>
      <c r="J21459">
        <v>1</v>
      </c>
      <c r="K21459">
        <v>1</v>
      </c>
      <c r="L21459">
        <v>650</v>
      </c>
      <c r="M21459">
        <v>1</v>
      </c>
      <c r="N21459">
        <v>0</v>
      </c>
      <c r="O21459">
        <v>2540</v>
      </c>
    </row>
    <row r="21460" spans="1:15" x14ac:dyDescent="0.25">
      <c r="A21460" t="s">
        <v>21473</v>
      </c>
      <c r="B21460">
        <v>929</v>
      </c>
      <c r="C21460" s="1" t="str">
        <f>HYPERLINK("http://www.rosaceae.org/gb/gbrowse/malus_x_domestica/?name=MDP0000236081","MDP0000236081")</f>
        <v>MDP0000236081</v>
      </c>
      <c r="D21460">
        <v>72.98</v>
      </c>
      <c r="E21460">
        <v>929</v>
      </c>
      <c r="F21460">
        <v>251</v>
      </c>
      <c r="G21460">
        <v>16</v>
      </c>
      <c r="H21460">
        <v>1</v>
      </c>
      <c r="I21460">
        <v>929</v>
      </c>
      <c r="J21460">
        <v>1</v>
      </c>
      <c r="K21460">
        <v>1</v>
      </c>
      <c r="L21460">
        <v>913</v>
      </c>
      <c r="M21460">
        <v>1</v>
      </c>
      <c r="N21460">
        <v>0</v>
      </c>
      <c r="O21460">
        <v>3635</v>
      </c>
    </row>
    <row r="21461" spans="1:15" x14ac:dyDescent="0.25">
      <c r="A21461" t="s">
        <v>21474</v>
      </c>
      <c r="B21461">
        <v>117</v>
      </c>
      <c r="C21461" s="1" t="str">
        <f>HYPERLINK("http://www.rosaceae.org/gb/gbrowse/malus_x_domestica/?name=MDP0000317464","MDP0000317464")</f>
        <v>MDP0000317464</v>
      </c>
      <c r="D21461">
        <v>58.13</v>
      </c>
      <c r="E21461">
        <v>129</v>
      </c>
      <c r="F21461">
        <v>54</v>
      </c>
      <c r="G21461">
        <v>13</v>
      </c>
      <c r="H21461">
        <v>1</v>
      </c>
      <c r="I21461">
        <v>117</v>
      </c>
      <c r="J21461">
        <v>1</v>
      </c>
      <c r="K21461">
        <v>1</v>
      </c>
      <c r="L21461">
        <v>128</v>
      </c>
      <c r="M21461">
        <v>1</v>
      </c>
      <c r="N21461">
        <v>2.16144E-32</v>
      </c>
      <c r="O21461">
        <v>337</v>
      </c>
    </row>
    <row r="21462" spans="1:15" x14ac:dyDescent="0.25">
      <c r="A21462" t="s">
        <v>21475</v>
      </c>
      <c r="B21462">
        <v>688</v>
      </c>
      <c r="C21462" s="1" t="str">
        <f>HYPERLINK("http://www.rosaceae.org/gb/gbrowse/malus_x_domestica/?name=MDP0000208022","MDP0000208022")</f>
        <v>MDP0000208022</v>
      </c>
      <c r="D21462">
        <v>78.25</v>
      </c>
      <c r="E21462">
        <v>699</v>
      </c>
      <c r="F21462">
        <v>152</v>
      </c>
      <c r="G21462">
        <v>24</v>
      </c>
      <c r="H21462">
        <v>8</v>
      </c>
      <c r="I21462">
        <v>688</v>
      </c>
      <c r="J21462">
        <v>1</v>
      </c>
      <c r="K21462">
        <v>1</v>
      </c>
      <c r="L21462">
        <v>693</v>
      </c>
      <c r="M21462">
        <v>1</v>
      </c>
      <c r="N21462">
        <v>0</v>
      </c>
      <c r="O21462">
        <v>2698</v>
      </c>
    </row>
    <row r="21463" spans="1:15" x14ac:dyDescent="0.25">
      <c r="A21463" t="s">
        <v>21476</v>
      </c>
      <c r="B21463">
        <v>750</v>
      </c>
      <c r="C21463" s="1" t="str">
        <f>HYPERLINK("http://www.rosaceae.org/gb/gbrowse/malus_x_domestica/?name=MDP0000194935","MDP0000194935")</f>
        <v>MDP0000194935</v>
      </c>
      <c r="D21463">
        <v>58.72</v>
      </c>
      <c r="E21463">
        <v>722</v>
      </c>
      <c r="F21463">
        <v>298</v>
      </c>
      <c r="G21463">
        <v>22</v>
      </c>
      <c r="H21463">
        <v>1</v>
      </c>
      <c r="I21463">
        <v>700</v>
      </c>
      <c r="J21463">
        <v>1</v>
      </c>
      <c r="K21463">
        <v>1</v>
      </c>
      <c r="L21463">
        <v>722</v>
      </c>
      <c r="M21463">
        <v>1</v>
      </c>
      <c r="N21463">
        <v>0</v>
      </c>
      <c r="O21463">
        <v>2334</v>
      </c>
    </row>
    <row r="21464" spans="1:15" x14ac:dyDescent="0.25">
      <c r="A21464" t="s">
        <v>21477</v>
      </c>
      <c r="B21464">
        <v>658</v>
      </c>
      <c r="C21464" s="1" t="str">
        <f>HYPERLINK("http://www.rosaceae.org/gb/gbrowse/malus_x_domestica/?name=MDP0000781065","MDP0000781065")</f>
        <v>MDP0000781065</v>
      </c>
      <c r="D21464">
        <v>74.459999999999994</v>
      </c>
      <c r="E21464">
        <v>658</v>
      </c>
      <c r="F21464">
        <v>168</v>
      </c>
      <c r="G21464">
        <v>5</v>
      </c>
      <c r="H21464">
        <v>1</v>
      </c>
      <c r="I21464">
        <v>658</v>
      </c>
      <c r="J21464">
        <v>1</v>
      </c>
      <c r="K21464">
        <v>1</v>
      </c>
      <c r="L21464">
        <v>653</v>
      </c>
      <c r="M21464">
        <v>1</v>
      </c>
      <c r="N21464">
        <v>0</v>
      </c>
      <c r="O21464">
        <v>2594</v>
      </c>
    </row>
    <row r="21465" spans="1:15" x14ac:dyDescent="0.25">
      <c r="A21465" t="s">
        <v>21478</v>
      </c>
      <c r="B21465">
        <v>404</v>
      </c>
      <c r="C21465" s="1" t="str">
        <f>HYPERLINK("http://www.rosaceae.org/gb/gbrowse/malus_x_domestica/?name=MDP0000231454","MDP0000231454")</f>
        <v>MDP0000231454</v>
      </c>
      <c r="D21465">
        <v>54.73</v>
      </c>
      <c r="E21465">
        <v>190</v>
      </c>
      <c r="F21465">
        <v>86</v>
      </c>
      <c r="G21465">
        <v>32</v>
      </c>
      <c r="H21465">
        <v>99</v>
      </c>
      <c r="I21465">
        <v>259</v>
      </c>
      <c r="J21465">
        <v>1</v>
      </c>
      <c r="K21465">
        <v>158</v>
      </c>
      <c r="L21465">
        <v>344</v>
      </c>
      <c r="M21465">
        <v>1</v>
      </c>
      <c r="N21465">
        <v>8.3194199999999997E-55</v>
      </c>
      <c r="O21465">
        <v>538</v>
      </c>
    </row>
    <row r="21466" spans="1:15" x14ac:dyDescent="0.25">
      <c r="A21466" t="s">
        <v>21479</v>
      </c>
      <c r="B21466">
        <v>185</v>
      </c>
      <c r="C21466" s="1" t="str">
        <f>HYPERLINK("http://www.rosaceae.org/gb/gbrowse/malus_x_domestica/?name=MDP0000116543","MDP0000116543")</f>
        <v>MDP0000116543</v>
      </c>
      <c r="D21466">
        <v>68.34</v>
      </c>
      <c r="E21466">
        <v>199</v>
      </c>
      <c r="F21466">
        <v>63</v>
      </c>
      <c r="G21466">
        <v>37</v>
      </c>
      <c r="H21466">
        <v>23</v>
      </c>
      <c r="I21466">
        <v>185</v>
      </c>
      <c r="J21466">
        <v>1</v>
      </c>
      <c r="K21466">
        <v>24</v>
      </c>
      <c r="L21466">
        <v>221</v>
      </c>
      <c r="M21466">
        <v>1</v>
      </c>
      <c r="N21466">
        <v>2.00362E-67</v>
      </c>
      <c r="O21466">
        <v>642</v>
      </c>
    </row>
    <row r="21467" spans="1:15" x14ac:dyDescent="0.25">
      <c r="A21467" t="s">
        <v>21480</v>
      </c>
      <c r="B21467">
        <v>410</v>
      </c>
      <c r="C21467" s="1" t="str">
        <f>HYPERLINK("http://www.rosaceae.org/gb/gbrowse/malus_x_domestica/?name=MDP0000179749","MDP0000179749")</f>
        <v>MDP0000179749</v>
      </c>
      <c r="D21467">
        <v>38.67</v>
      </c>
      <c r="E21467">
        <v>181</v>
      </c>
      <c r="F21467">
        <v>111</v>
      </c>
      <c r="G21467">
        <v>17</v>
      </c>
      <c r="H21467">
        <v>3</v>
      </c>
      <c r="I21467">
        <v>166</v>
      </c>
      <c r="J21467">
        <v>1</v>
      </c>
      <c r="K21467">
        <v>58</v>
      </c>
      <c r="L21467">
        <v>238</v>
      </c>
      <c r="M21467">
        <v>1</v>
      </c>
      <c r="N21467">
        <v>5.8356899999999995E-23</v>
      </c>
      <c r="O21467">
        <v>264</v>
      </c>
    </row>
    <row r="21468" spans="1:15" x14ac:dyDescent="0.25">
      <c r="A21468" t="s">
        <v>21481</v>
      </c>
      <c r="B21468">
        <v>409</v>
      </c>
      <c r="C21468" s="1" t="str">
        <f>HYPERLINK("http://www.rosaceae.org/gb/gbrowse/malus_x_domestica/?name=MDP0000238581","MDP0000238581")</f>
        <v>MDP0000238581</v>
      </c>
      <c r="D21468">
        <v>80.819999999999993</v>
      </c>
      <c r="E21468">
        <v>412</v>
      </c>
      <c r="F21468">
        <v>79</v>
      </c>
      <c r="G21468">
        <v>3</v>
      </c>
      <c r="H21468">
        <v>1</v>
      </c>
      <c r="I21468">
        <v>409</v>
      </c>
      <c r="J21468">
        <v>1</v>
      </c>
      <c r="K21468">
        <v>1</v>
      </c>
      <c r="L21468">
        <v>412</v>
      </c>
      <c r="M21468">
        <v>1</v>
      </c>
      <c r="N21468">
        <v>0</v>
      </c>
      <c r="O21468">
        <v>1795</v>
      </c>
    </row>
    <row r="21469" spans="1:15" x14ac:dyDescent="0.25">
      <c r="A21469" t="s">
        <v>21482</v>
      </c>
      <c r="B21469">
        <v>570</v>
      </c>
      <c r="C21469" s="1" t="str">
        <f>HYPERLINK("http://www.rosaceae.org/gb/gbrowse/malus_x_domestica/?name=MDP0000844180","MDP0000844180")</f>
        <v>MDP0000844180</v>
      </c>
      <c r="D21469">
        <v>74.25</v>
      </c>
      <c r="E21469">
        <v>470</v>
      </c>
      <c r="F21469">
        <v>121</v>
      </c>
      <c r="G21469">
        <v>5</v>
      </c>
      <c r="H21469">
        <v>1</v>
      </c>
      <c r="I21469">
        <v>466</v>
      </c>
      <c r="J21469">
        <v>1</v>
      </c>
      <c r="K21469">
        <v>8</v>
      </c>
      <c r="L21469">
        <v>476</v>
      </c>
      <c r="M21469">
        <v>1</v>
      </c>
      <c r="N21469">
        <v>0</v>
      </c>
      <c r="O21469">
        <v>1730</v>
      </c>
    </row>
    <row r="21470" spans="1:15" x14ac:dyDescent="0.25">
      <c r="A21470" t="s">
        <v>21483</v>
      </c>
      <c r="B21470">
        <v>235</v>
      </c>
      <c r="C21470" s="1" t="str">
        <f>HYPERLINK("http://www.rosaceae.org/gb/gbrowse/malus_x_domestica/?name=MDP0000222925","MDP0000222925")</f>
        <v>MDP0000222925</v>
      </c>
      <c r="D21470">
        <v>30.41</v>
      </c>
      <c r="E21470">
        <v>240</v>
      </c>
      <c r="F21470">
        <v>167</v>
      </c>
      <c r="G21470">
        <v>63</v>
      </c>
      <c r="H21470">
        <v>59</v>
      </c>
      <c r="I21470">
        <v>235</v>
      </c>
      <c r="J21470">
        <v>1</v>
      </c>
      <c r="K21470">
        <v>27</v>
      </c>
      <c r="L21470">
        <v>266</v>
      </c>
      <c r="M21470">
        <v>1</v>
      </c>
      <c r="N21470">
        <v>3.4678599999999999E-16</v>
      </c>
      <c r="O21470">
        <v>202</v>
      </c>
    </row>
    <row r="21471" spans="1:15" x14ac:dyDescent="0.25">
      <c r="A21471" t="s">
        <v>21484</v>
      </c>
      <c r="B21471">
        <v>125</v>
      </c>
      <c r="C21471" s="1" t="str">
        <f>HYPERLINK("http://www.rosaceae.org/gb/gbrowse/malus_x_domestica/?name=MDP0000908013","MDP0000908013")</f>
        <v>MDP0000908013</v>
      </c>
      <c r="D21471">
        <v>50</v>
      </c>
      <c r="E21471">
        <v>94</v>
      </c>
      <c r="F21471">
        <v>47</v>
      </c>
      <c r="G21471">
        <v>1</v>
      </c>
      <c r="H21471">
        <v>27</v>
      </c>
      <c r="I21471">
        <v>120</v>
      </c>
      <c r="J21471">
        <v>1</v>
      </c>
      <c r="K21471">
        <v>19</v>
      </c>
      <c r="L21471">
        <v>111</v>
      </c>
      <c r="M21471">
        <v>1</v>
      </c>
      <c r="N21471">
        <v>1.39236E-16</v>
      </c>
      <c r="O21471">
        <v>201</v>
      </c>
    </row>
    <row r="21472" spans="1:15" x14ac:dyDescent="0.25">
      <c r="A21472" t="s">
        <v>21485</v>
      </c>
      <c r="B21472">
        <v>319</v>
      </c>
      <c r="C21472" s="1" t="str">
        <f>HYPERLINK("http://www.rosaceae.org/gb/gbrowse/malus_x_domestica/?name=MDP0000848695","MDP0000848695")</f>
        <v>MDP0000848695</v>
      </c>
      <c r="D21472">
        <v>51.15</v>
      </c>
      <c r="E21472">
        <v>346</v>
      </c>
      <c r="F21472">
        <v>169</v>
      </c>
      <c r="G21472">
        <v>62</v>
      </c>
      <c r="H21472">
        <v>1</v>
      </c>
      <c r="I21472">
        <v>316</v>
      </c>
      <c r="J21472">
        <v>1</v>
      </c>
      <c r="K21472">
        <v>1</v>
      </c>
      <c r="L21472">
        <v>314</v>
      </c>
      <c r="M21472">
        <v>1</v>
      </c>
      <c r="N21472">
        <v>1.48771E-86</v>
      </c>
      <c r="O21472">
        <v>811</v>
      </c>
    </row>
    <row r="21473" spans="1:15" x14ac:dyDescent="0.25">
      <c r="A21473" t="s">
        <v>21486</v>
      </c>
      <c r="B21473">
        <v>601</v>
      </c>
      <c r="C21473" s="1" t="str">
        <f>HYPERLINK("http://www.rosaceae.org/gb/gbrowse/malus_x_domestica/?name=MDP0000210772","MDP0000210772")</f>
        <v>MDP0000210772</v>
      </c>
      <c r="D21473">
        <v>33.24</v>
      </c>
      <c r="E21473">
        <v>391</v>
      </c>
      <c r="F21473">
        <v>261</v>
      </c>
      <c r="G21473">
        <v>84</v>
      </c>
      <c r="H21473">
        <v>4</v>
      </c>
      <c r="I21473">
        <v>342</v>
      </c>
      <c r="J21473">
        <v>1</v>
      </c>
      <c r="K21473">
        <v>655</v>
      </c>
      <c r="L21473">
        <v>1013</v>
      </c>
      <c r="M21473">
        <v>1</v>
      </c>
      <c r="N21473">
        <v>2.8366899999999999E-46</v>
      </c>
      <c r="O21473">
        <v>466</v>
      </c>
    </row>
    <row r="21474" spans="1:15" x14ac:dyDescent="0.25">
      <c r="A21474" t="s">
        <v>21487</v>
      </c>
      <c r="B21474">
        <v>530</v>
      </c>
      <c r="C21474" s="1" t="str">
        <f>HYPERLINK("http://www.rosaceae.org/gb/gbrowse/malus_x_domestica/?name=MDP0000126791","MDP0000126791")</f>
        <v>MDP0000126791</v>
      </c>
      <c r="D21474">
        <v>82.37</v>
      </c>
      <c r="E21474">
        <v>329</v>
      </c>
      <c r="F21474">
        <v>58</v>
      </c>
      <c r="G21474">
        <v>2</v>
      </c>
      <c r="H21474">
        <v>1</v>
      </c>
      <c r="I21474">
        <v>327</v>
      </c>
      <c r="J21474">
        <v>1</v>
      </c>
      <c r="K21474">
        <v>1</v>
      </c>
      <c r="L21474">
        <v>329</v>
      </c>
      <c r="M21474">
        <v>1</v>
      </c>
      <c r="N21474">
        <v>3.5005900000000002E-157</v>
      </c>
      <c r="O21474">
        <v>1422</v>
      </c>
    </row>
    <row r="21475" spans="1:15" x14ac:dyDescent="0.25">
      <c r="A21475" t="s">
        <v>21488</v>
      </c>
      <c r="B21475">
        <v>380</v>
      </c>
      <c r="C21475" s="1" t="str">
        <f>HYPERLINK("http://www.rosaceae.org/gb/gbrowse/malus_x_domestica/?name=MDP0000933138","MDP0000933138")</f>
        <v>MDP0000933138</v>
      </c>
      <c r="D21475">
        <v>77.61</v>
      </c>
      <c r="E21475">
        <v>344</v>
      </c>
      <c r="F21475">
        <v>77</v>
      </c>
      <c r="G21475">
        <v>7</v>
      </c>
      <c r="H21475">
        <v>40</v>
      </c>
      <c r="I21475">
        <v>380</v>
      </c>
      <c r="J21475">
        <v>1</v>
      </c>
      <c r="K21475">
        <v>1</v>
      </c>
      <c r="L21475">
        <v>340</v>
      </c>
      <c r="M21475">
        <v>1</v>
      </c>
      <c r="N21475">
        <v>1.2364300000000001E-150</v>
      </c>
      <c r="O21475">
        <v>1364</v>
      </c>
    </row>
    <row r="21476" spans="1:15" x14ac:dyDescent="0.25">
      <c r="A21476" t="s">
        <v>21489</v>
      </c>
      <c r="B21476">
        <v>309</v>
      </c>
      <c r="C21476" s="1" t="str">
        <f>HYPERLINK("http://www.rosaceae.org/gb/gbrowse/malus_x_domestica/?name=MDP0000249417","MDP0000249417")</f>
        <v>MDP0000249417</v>
      </c>
      <c r="D21476">
        <v>66.97</v>
      </c>
      <c r="E21476">
        <v>215</v>
      </c>
      <c r="F21476">
        <v>71</v>
      </c>
      <c r="G21476">
        <v>5</v>
      </c>
      <c r="H21476">
        <v>7</v>
      </c>
      <c r="I21476">
        <v>219</v>
      </c>
      <c r="J21476">
        <v>1</v>
      </c>
      <c r="K21476">
        <v>8</v>
      </c>
      <c r="L21476">
        <v>219</v>
      </c>
      <c r="M21476">
        <v>1</v>
      </c>
      <c r="N21476">
        <v>4.6935100000000001E-75</v>
      </c>
      <c r="O21476">
        <v>711</v>
      </c>
    </row>
    <row r="21477" spans="1:15" x14ac:dyDescent="0.25">
      <c r="A21477" t="s">
        <v>21490</v>
      </c>
      <c r="B21477">
        <v>305</v>
      </c>
      <c r="C21477" s="1" t="str">
        <f>HYPERLINK("http://www.rosaceae.org/gb/gbrowse/malus_x_domestica/?name=MDP0000525794","MDP0000525794")</f>
        <v>MDP0000525794</v>
      </c>
      <c r="D21477">
        <v>85.63</v>
      </c>
      <c r="E21477">
        <v>181</v>
      </c>
      <c r="F21477">
        <v>26</v>
      </c>
      <c r="G21477">
        <v>3</v>
      </c>
      <c r="H21477">
        <v>127</v>
      </c>
      <c r="I21477">
        <v>304</v>
      </c>
      <c r="J21477">
        <v>1</v>
      </c>
      <c r="K21477">
        <v>2</v>
      </c>
      <c r="L21477">
        <v>182</v>
      </c>
      <c r="M21477">
        <v>1</v>
      </c>
      <c r="N21477">
        <v>1.4147E-86</v>
      </c>
      <c r="O21477">
        <v>811</v>
      </c>
    </row>
    <row r="21478" spans="1:15" x14ac:dyDescent="0.25">
      <c r="A21478" t="s">
        <v>21491</v>
      </c>
      <c r="B21478">
        <v>220</v>
      </c>
      <c r="C21478" s="1" t="str">
        <f>HYPERLINK("http://www.rosaceae.org/gb/gbrowse/malus_x_domestica/?name=MDP0000819856","MDP0000819856")</f>
        <v>MDP0000819856</v>
      </c>
      <c r="D21478">
        <v>64.11</v>
      </c>
      <c r="E21478">
        <v>209</v>
      </c>
      <c r="F21478">
        <v>75</v>
      </c>
      <c r="G21478">
        <v>8</v>
      </c>
      <c r="H21478">
        <v>8</v>
      </c>
      <c r="I21478">
        <v>216</v>
      </c>
      <c r="J21478">
        <v>1</v>
      </c>
      <c r="K21478">
        <v>1</v>
      </c>
      <c r="L21478">
        <v>201</v>
      </c>
      <c r="M21478">
        <v>1</v>
      </c>
      <c r="N21478">
        <v>4.4347800000000001E-69</v>
      </c>
      <c r="O21478">
        <v>658</v>
      </c>
    </row>
    <row r="21479" spans="1:15" x14ac:dyDescent="0.25">
      <c r="A21479" t="s">
        <v>21492</v>
      </c>
      <c r="B21479">
        <v>1046</v>
      </c>
      <c r="C21479" s="1" t="str">
        <f>HYPERLINK("http://www.rosaceae.org/gb/gbrowse/malus_x_domestica/?name=MDP0000191460","MDP0000191460")</f>
        <v>MDP0000191460</v>
      </c>
      <c r="D21479">
        <v>70.239999999999995</v>
      </c>
      <c r="E21479">
        <v>457</v>
      </c>
      <c r="F21479">
        <v>136</v>
      </c>
      <c r="G21479">
        <v>13</v>
      </c>
      <c r="H21479">
        <v>591</v>
      </c>
      <c r="I21479">
        <v>1043</v>
      </c>
      <c r="J21479">
        <v>1</v>
      </c>
      <c r="K21479">
        <v>89</v>
      </c>
      <c r="L21479">
        <v>536</v>
      </c>
      <c r="M21479">
        <v>1</v>
      </c>
      <c r="N21479">
        <v>0</v>
      </c>
      <c r="O21479">
        <v>1693</v>
      </c>
    </row>
    <row r="21480" spans="1:15" x14ac:dyDescent="0.25">
      <c r="A21480" t="s">
        <v>21493</v>
      </c>
      <c r="B21480">
        <v>162</v>
      </c>
      <c r="C21480" s="1" t="str">
        <f>HYPERLINK("http://www.rosaceae.org/gb/gbrowse/malus_x_domestica/?name=MDP0000235455","MDP0000235455")</f>
        <v>MDP0000235455</v>
      </c>
      <c r="D21480">
        <v>47.64</v>
      </c>
      <c r="E21480">
        <v>170</v>
      </c>
      <c r="F21480">
        <v>89</v>
      </c>
      <c r="G21480">
        <v>42</v>
      </c>
      <c r="H21480">
        <v>1</v>
      </c>
      <c r="I21480">
        <v>138</v>
      </c>
      <c r="J21480">
        <v>1</v>
      </c>
      <c r="K21480">
        <v>103</v>
      </c>
      <c r="L21480">
        <v>262</v>
      </c>
      <c r="M21480">
        <v>1</v>
      </c>
      <c r="N21480">
        <v>8.4539499999999999E-28</v>
      </c>
      <c r="O21480">
        <v>300</v>
      </c>
    </row>
    <row r="21481" spans="1:15" x14ac:dyDescent="0.25">
      <c r="A21481" t="s">
        <v>21494</v>
      </c>
      <c r="B21481">
        <v>249</v>
      </c>
      <c r="C21481" s="1" t="str">
        <f>HYPERLINK("http://www.rosaceae.org/gb/gbrowse/malus_x_domestica/?name=MDP0000710378","MDP0000710378")</f>
        <v>MDP0000710378</v>
      </c>
      <c r="D21481">
        <v>81.3</v>
      </c>
      <c r="E21481">
        <v>107</v>
      </c>
      <c r="F21481">
        <v>20</v>
      </c>
      <c r="G21481">
        <v>0</v>
      </c>
      <c r="H21481">
        <v>3</v>
      </c>
      <c r="I21481">
        <v>109</v>
      </c>
      <c r="J21481">
        <v>1</v>
      </c>
      <c r="K21481">
        <v>57</v>
      </c>
      <c r="L21481">
        <v>163</v>
      </c>
      <c r="M21481">
        <v>1</v>
      </c>
      <c r="N21481">
        <v>1.25832E-47</v>
      </c>
      <c r="O21481">
        <v>474</v>
      </c>
    </row>
    <row r="21482" spans="1:15" x14ac:dyDescent="0.25">
      <c r="A21482" t="s">
        <v>21495</v>
      </c>
      <c r="B21482">
        <v>870</v>
      </c>
      <c r="C21482" s="1" t="str">
        <f>HYPERLINK("http://www.rosaceae.org/gb/gbrowse/malus_x_domestica/?name=MDP0000265803","MDP0000265803")</f>
        <v>MDP0000265803</v>
      </c>
      <c r="D21482">
        <v>82.69</v>
      </c>
      <c r="E21482">
        <v>52</v>
      </c>
      <c r="F21482">
        <v>9</v>
      </c>
      <c r="G21482">
        <v>0</v>
      </c>
      <c r="H21482">
        <v>37</v>
      </c>
      <c r="I21482">
        <v>88</v>
      </c>
      <c r="J21482">
        <v>1</v>
      </c>
      <c r="K21482">
        <v>1</v>
      </c>
      <c r="L21482">
        <v>52</v>
      </c>
      <c r="M21482">
        <v>1</v>
      </c>
      <c r="N21482">
        <v>2.9174699999999998E-19</v>
      </c>
      <c r="O21482">
        <v>235</v>
      </c>
    </row>
    <row r="21483" spans="1:15" x14ac:dyDescent="0.25">
      <c r="A21483" t="s">
        <v>21496</v>
      </c>
      <c r="B21483">
        <v>332</v>
      </c>
      <c r="C21483" s="1" t="str">
        <f>HYPERLINK("http://www.rosaceae.org/gb/gbrowse/malus_x_domestica/?name=MDP0000889757","MDP0000889757")</f>
        <v>MDP0000889757</v>
      </c>
      <c r="D21483">
        <v>72.22</v>
      </c>
      <c r="E21483">
        <v>324</v>
      </c>
      <c r="F21483">
        <v>90</v>
      </c>
      <c r="G21483">
        <v>2</v>
      </c>
      <c r="H21483">
        <v>11</v>
      </c>
      <c r="I21483">
        <v>332</v>
      </c>
      <c r="J21483">
        <v>1</v>
      </c>
      <c r="K21483">
        <v>5</v>
      </c>
      <c r="L21483">
        <v>328</v>
      </c>
      <c r="M21483">
        <v>1</v>
      </c>
      <c r="N21483">
        <v>4.9991600000000005E-137</v>
      </c>
      <c r="O21483">
        <v>1246</v>
      </c>
    </row>
    <row r="21484" spans="1:15" x14ac:dyDescent="0.25">
      <c r="A21484" t="s">
        <v>21497</v>
      </c>
      <c r="B21484">
        <v>135</v>
      </c>
      <c r="C21484" s="1" t="str">
        <f>HYPERLINK("http://www.rosaceae.org/gb/gbrowse/malus_x_domestica/?name=MDP0000320671","MDP0000320671")</f>
        <v>MDP0000320671</v>
      </c>
      <c r="D21484">
        <v>53.38</v>
      </c>
      <c r="E21484">
        <v>133</v>
      </c>
      <c r="F21484">
        <v>62</v>
      </c>
      <c r="G21484">
        <v>3</v>
      </c>
      <c r="H21484">
        <v>6</v>
      </c>
      <c r="I21484">
        <v>135</v>
      </c>
      <c r="J21484">
        <v>1</v>
      </c>
      <c r="K21484">
        <v>1171</v>
      </c>
      <c r="L21484">
        <v>1303</v>
      </c>
      <c r="M21484">
        <v>1</v>
      </c>
      <c r="N21484">
        <v>3.5846300000000002E-27</v>
      </c>
      <c r="O21484">
        <v>293</v>
      </c>
    </row>
    <row r="21485" spans="1:15" x14ac:dyDescent="0.25">
      <c r="A21485" t="s">
        <v>21498</v>
      </c>
      <c r="B21485">
        <v>723</v>
      </c>
      <c r="C21485" s="1" t="str">
        <f>HYPERLINK("http://www.rosaceae.org/gb/gbrowse/malus_x_domestica/?name=MDP0000874373","MDP0000874373")</f>
        <v>MDP0000874373</v>
      </c>
      <c r="D21485">
        <v>85.54</v>
      </c>
      <c r="E21485">
        <v>512</v>
      </c>
      <c r="F21485">
        <v>74</v>
      </c>
      <c r="G21485">
        <v>6</v>
      </c>
      <c r="H21485">
        <v>9</v>
      </c>
      <c r="I21485">
        <v>520</v>
      </c>
      <c r="J21485">
        <v>1</v>
      </c>
      <c r="K21485">
        <v>67</v>
      </c>
      <c r="L21485">
        <v>572</v>
      </c>
      <c r="M21485">
        <v>1</v>
      </c>
      <c r="N21485">
        <v>0</v>
      </c>
      <c r="O21485">
        <v>2405</v>
      </c>
    </row>
    <row r="21486" spans="1:15" x14ac:dyDescent="0.25">
      <c r="A21486" t="s">
        <v>21499</v>
      </c>
      <c r="B21486">
        <v>575</v>
      </c>
      <c r="C21486" s="1" t="str">
        <f>HYPERLINK("http://www.rosaceae.org/gb/gbrowse/malus_x_domestica/?name=MDP0000318606","MDP0000318606")</f>
        <v>MDP0000318606</v>
      </c>
      <c r="D21486">
        <v>55.21</v>
      </c>
      <c r="E21486">
        <v>547</v>
      </c>
      <c r="F21486">
        <v>245</v>
      </c>
      <c r="G21486">
        <v>42</v>
      </c>
      <c r="H21486">
        <v>67</v>
      </c>
      <c r="I21486">
        <v>575</v>
      </c>
      <c r="J21486">
        <v>1</v>
      </c>
      <c r="K21486">
        <v>32</v>
      </c>
      <c r="L21486">
        <v>574</v>
      </c>
      <c r="M21486">
        <v>1</v>
      </c>
      <c r="N21486">
        <v>7.7882200000000002E-174</v>
      </c>
      <c r="O21486">
        <v>1566</v>
      </c>
    </row>
    <row r="21487" spans="1:15" x14ac:dyDescent="0.25">
      <c r="A21487" t="s">
        <v>21500</v>
      </c>
      <c r="B21487">
        <v>1193</v>
      </c>
      <c r="C21487" s="1" t="str">
        <f>HYPERLINK("http://www.rosaceae.org/gb/gbrowse/malus_x_domestica/?name=MDP0000320733","MDP0000320733")</f>
        <v>MDP0000320733</v>
      </c>
      <c r="D21487">
        <v>81.900000000000006</v>
      </c>
      <c r="E21487">
        <v>1006</v>
      </c>
      <c r="F21487">
        <v>182</v>
      </c>
      <c r="G21487">
        <v>29</v>
      </c>
      <c r="H21487">
        <v>215</v>
      </c>
      <c r="I21487">
        <v>1193</v>
      </c>
      <c r="J21487">
        <v>1</v>
      </c>
      <c r="K21487">
        <v>310</v>
      </c>
      <c r="L21487">
        <v>1313</v>
      </c>
      <c r="M21487">
        <v>1</v>
      </c>
      <c r="N21487">
        <v>0</v>
      </c>
      <c r="O21487">
        <v>4269</v>
      </c>
    </row>
    <row r="21488" spans="1:15" x14ac:dyDescent="0.25">
      <c r="A21488" t="s">
        <v>21501</v>
      </c>
      <c r="B21488">
        <v>220</v>
      </c>
      <c r="C21488" s="1" t="str">
        <f>HYPERLINK("http://www.rosaceae.org/gb/gbrowse/malus_x_domestica/?name=MDP0000327504","MDP0000327504")</f>
        <v>MDP0000327504</v>
      </c>
      <c r="D21488">
        <v>75.97</v>
      </c>
      <c r="E21488">
        <v>154</v>
      </c>
      <c r="F21488">
        <v>37</v>
      </c>
      <c r="G21488">
        <v>8</v>
      </c>
      <c r="H21488">
        <v>17</v>
      </c>
      <c r="I21488">
        <v>162</v>
      </c>
      <c r="J21488">
        <v>1</v>
      </c>
      <c r="K21488">
        <v>22</v>
      </c>
      <c r="L21488">
        <v>175</v>
      </c>
      <c r="M21488">
        <v>1</v>
      </c>
      <c r="N21488">
        <v>1.2818300000000001E-62</v>
      </c>
      <c r="O21488">
        <v>602</v>
      </c>
    </row>
    <row r="21489" spans="1:15" x14ac:dyDescent="0.25">
      <c r="A21489" t="s">
        <v>21502</v>
      </c>
      <c r="B21489">
        <v>1425</v>
      </c>
      <c r="C21489" s="1" t="str">
        <f>HYPERLINK("http://www.rosaceae.org/gb/gbrowse/malus_x_domestica/?name=MDP0000259149","MDP0000259149")</f>
        <v>MDP0000259149</v>
      </c>
      <c r="D21489">
        <v>76.77</v>
      </c>
      <c r="E21489">
        <v>1072</v>
      </c>
      <c r="F21489">
        <v>249</v>
      </c>
      <c r="G21489">
        <v>27</v>
      </c>
      <c r="H21489">
        <v>1</v>
      </c>
      <c r="I21489">
        <v>1046</v>
      </c>
      <c r="J21489">
        <v>1</v>
      </c>
      <c r="K21489">
        <v>1</v>
      </c>
      <c r="L21489">
        <v>1071</v>
      </c>
      <c r="M21489">
        <v>1</v>
      </c>
      <c r="N21489">
        <v>0</v>
      </c>
      <c r="O21489">
        <v>4123</v>
      </c>
    </row>
    <row r="21490" spans="1:15" x14ac:dyDescent="0.25">
      <c r="A21490" t="s">
        <v>21503</v>
      </c>
      <c r="B21490">
        <v>596</v>
      </c>
      <c r="C21490" s="1" t="str">
        <f>HYPERLINK("http://www.rosaceae.org/gb/gbrowse/malus_x_domestica/?name=MDP0000864525","MDP0000864525")</f>
        <v>MDP0000864525</v>
      </c>
      <c r="D21490">
        <v>68.62</v>
      </c>
      <c r="E21490">
        <v>596</v>
      </c>
      <c r="F21490">
        <v>187</v>
      </c>
      <c r="G21490">
        <v>0</v>
      </c>
      <c r="H21490">
        <v>1</v>
      </c>
      <c r="I21490">
        <v>596</v>
      </c>
      <c r="J21490">
        <v>1</v>
      </c>
      <c r="K21490">
        <v>1</v>
      </c>
      <c r="L21490">
        <v>596</v>
      </c>
      <c r="M21490">
        <v>1</v>
      </c>
      <c r="N21490">
        <v>0</v>
      </c>
      <c r="O21490">
        <v>2043</v>
      </c>
    </row>
    <row r="21491" spans="1:15" x14ac:dyDescent="0.25">
      <c r="A21491" t="s">
        <v>21504</v>
      </c>
      <c r="B21491">
        <v>127</v>
      </c>
      <c r="C21491" s="1" t="str">
        <f>HYPERLINK("http://www.rosaceae.org/gb/gbrowse/malus_x_domestica/?name=MDP0000190324","MDP0000190324")</f>
        <v>MDP0000190324</v>
      </c>
      <c r="D21491">
        <v>81.099999999999994</v>
      </c>
      <c r="E21491">
        <v>127</v>
      </c>
      <c r="F21491">
        <v>24</v>
      </c>
      <c r="G21491">
        <v>0</v>
      </c>
      <c r="H21491">
        <v>1</v>
      </c>
      <c r="I21491">
        <v>127</v>
      </c>
      <c r="J21491">
        <v>1</v>
      </c>
      <c r="K21491">
        <v>411</v>
      </c>
      <c r="L21491">
        <v>537</v>
      </c>
      <c r="M21491">
        <v>1</v>
      </c>
      <c r="N21491">
        <v>6.8712199999999996E-60</v>
      </c>
      <c r="O21491">
        <v>574</v>
      </c>
    </row>
    <row r="21492" spans="1:15" x14ac:dyDescent="0.25">
      <c r="A21492" t="s">
        <v>21505</v>
      </c>
      <c r="B21492">
        <v>339</v>
      </c>
      <c r="C21492" s="1" t="str">
        <f>HYPERLINK("http://www.rosaceae.org/gb/gbrowse/malus_x_domestica/?name=MDP0000077683","MDP0000077683")</f>
        <v>MDP0000077683</v>
      </c>
      <c r="D21492">
        <v>88.23</v>
      </c>
      <c r="E21492">
        <v>323</v>
      </c>
      <c r="F21492">
        <v>38</v>
      </c>
      <c r="G21492">
        <v>11</v>
      </c>
      <c r="H21492">
        <v>27</v>
      </c>
      <c r="I21492">
        <v>338</v>
      </c>
      <c r="J21492">
        <v>1</v>
      </c>
      <c r="K21492">
        <v>1839</v>
      </c>
      <c r="L21492">
        <v>2161</v>
      </c>
      <c r="M21492">
        <v>1</v>
      </c>
      <c r="N21492">
        <v>2.4092E-169</v>
      </c>
      <c r="O21492">
        <v>1525</v>
      </c>
    </row>
    <row r="21493" spans="1:15" x14ac:dyDescent="0.25">
      <c r="A21493" t="s">
        <v>21506</v>
      </c>
      <c r="B21493">
        <v>853</v>
      </c>
      <c r="C21493" s="1" t="str">
        <f>HYPERLINK("http://www.rosaceae.org/gb/gbrowse/malus_x_domestica/?name=MDP0000774227","MDP0000774227")</f>
        <v>MDP0000774227</v>
      </c>
      <c r="D21493">
        <v>57.67</v>
      </c>
      <c r="E21493">
        <v>893</v>
      </c>
      <c r="F21493">
        <v>378</v>
      </c>
      <c r="G21493">
        <v>119</v>
      </c>
      <c r="H21493">
        <v>68</v>
      </c>
      <c r="I21493">
        <v>853</v>
      </c>
      <c r="J21493">
        <v>1</v>
      </c>
      <c r="K21493">
        <v>102</v>
      </c>
      <c r="L21493">
        <v>982</v>
      </c>
      <c r="M21493">
        <v>1</v>
      </c>
      <c r="N21493">
        <v>0</v>
      </c>
      <c r="O21493">
        <v>2479</v>
      </c>
    </row>
    <row r="21494" spans="1:15" x14ac:dyDescent="0.25">
      <c r="A21494" t="s">
        <v>21507</v>
      </c>
      <c r="B21494">
        <v>223</v>
      </c>
      <c r="C21494" s="1" t="str">
        <f>HYPERLINK("http://www.rosaceae.org/gb/gbrowse/malus_x_domestica/?name=MDP0000155233","MDP0000155233")</f>
        <v>MDP0000155233</v>
      </c>
      <c r="D21494">
        <v>77.95</v>
      </c>
      <c r="E21494">
        <v>254</v>
      </c>
      <c r="F21494">
        <v>56</v>
      </c>
      <c r="G21494">
        <v>34</v>
      </c>
      <c r="H21494">
        <v>1</v>
      </c>
      <c r="I21494">
        <v>223</v>
      </c>
      <c r="J21494">
        <v>1</v>
      </c>
      <c r="K21494">
        <v>1</v>
      </c>
      <c r="L21494">
        <v>251</v>
      </c>
      <c r="M21494">
        <v>1</v>
      </c>
      <c r="N21494">
        <v>9.7300100000000003E-108</v>
      </c>
      <c r="O21494">
        <v>991</v>
      </c>
    </row>
    <row r="21495" spans="1:15" x14ac:dyDescent="0.25">
      <c r="A21495" t="s">
        <v>21508</v>
      </c>
      <c r="B21495">
        <v>161</v>
      </c>
      <c r="C21495" s="1" t="str">
        <f>HYPERLINK("http://www.rosaceae.org/gb/gbrowse/malus_x_domestica/?name=MDP0000394762","MDP0000394762")</f>
        <v>MDP0000394762</v>
      </c>
      <c r="D21495">
        <v>48.59</v>
      </c>
      <c r="E21495">
        <v>107</v>
      </c>
      <c r="F21495">
        <v>55</v>
      </c>
      <c r="G21495">
        <v>3</v>
      </c>
      <c r="H21495">
        <v>36</v>
      </c>
      <c r="I21495">
        <v>142</v>
      </c>
      <c r="J21495">
        <v>1</v>
      </c>
      <c r="K21495">
        <v>730</v>
      </c>
      <c r="L21495">
        <v>833</v>
      </c>
      <c r="M21495">
        <v>1</v>
      </c>
      <c r="N21495">
        <v>2.0857199999999999E-26</v>
      </c>
      <c r="O21495">
        <v>288</v>
      </c>
    </row>
    <row r="21496" spans="1:15" x14ac:dyDescent="0.25">
      <c r="A21496" t="s">
        <v>21509</v>
      </c>
      <c r="B21496">
        <v>759</v>
      </c>
      <c r="C21496" s="1" t="str">
        <f>HYPERLINK("http://www.rosaceae.org/gb/gbrowse/malus_x_domestica/?name=MDP0000911416","MDP0000911416")</f>
        <v>MDP0000911416</v>
      </c>
      <c r="D21496">
        <v>61.05</v>
      </c>
      <c r="E21496">
        <v>778</v>
      </c>
      <c r="F21496">
        <v>303</v>
      </c>
      <c r="G21496">
        <v>59</v>
      </c>
      <c r="H21496">
        <v>1</v>
      </c>
      <c r="I21496">
        <v>731</v>
      </c>
      <c r="J21496">
        <v>1</v>
      </c>
      <c r="K21496">
        <v>1</v>
      </c>
      <c r="L21496">
        <v>766</v>
      </c>
      <c r="M21496">
        <v>1</v>
      </c>
      <c r="N21496">
        <v>0</v>
      </c>
      <c r="O21496">
        <v>2436</v>
      </c>
    </row>
    <row r="21497" spans="1:15" x14ac:dyDescent="0.25">
      <c r="A21497" t="s">
        <v>21510</v>
      </c>
      <c r="B21497">
        <v>1192</v>
      </c>
      <c r="C21497" s="1" t="str">
        <f>HYPERLINK("http://www.rosaceae.org/gb/gbrowse/malus_x_domestica/?name=MDP0000290409","MDP0000290409")</f>
        <v>MDP0000290409</v>
      </c>
      <c r="D21497">
        <v>67.900000000000006</v>
      </c>
      <c r="E21497">
        <v>1156</v>
      </c>
      <c r="F21497">
        <v>371</v>
      </c>
      <c r="G21497">
        <v>110</v>
      </c>
      <c r="H21497">
        <v>82</v>
      </c>
      <c r="I21497">
        <v>1190</v>
      </c>
      <c r="J21497">
        <v>1</v>
      </c>
      <c r="K21497">
        <v>58</v>
      </c>
      <c r="L21497">
        <v>1150</v>
      </c>
      <c r="M21497">
        <v>1</v>
      </c>
      <c r="N21497">
        <v>0</v>
      </c>
      <c r="O21497">
        <v>3854</v>
      </c>
    </row>
    <row r="21498" spans="1:15" x14ac:dyDescent="0.25">
      <c r="A21498" t="s">
        <v>21511</v>
      </c>
      <c r="B21498">
        <v>753</v>
      </c>
      <c r="C21498" s="1" t="str">
        <f>HYPERLINK("http://www.rosaceae.org/gb/gbrowse/malus_x_domestica/?name=MDP0000538003","MDP0000538003")</f>
        <v>MDP0000538003</v>
      </c>
      <c r="D21498">
        <v>26.9</v>
      </c>
      <c r="E21498">
        <v>498</v>
      </c>
      <c r="F21498">
        <v>364</v>
      </c>
      <c r="G21498">
        <v>33</v>
      </c>
      <c r="H21498">
        <v>262</v>
      </c>
      <c r="I21498">
        <v>749</v>
      </c>
      <c r="J21498">
        <v>1</v>
      </c>
      <c r="K21498">
        <v>3</v>
      </c>
      <c r="L21498">
        <v>477</v>
      </c>
      <c r="M21498">
        <v>1</v>
      </c>
      <c r="N21498">
        <v>1.03073E-55</v>
      </c>
      <c r="O21498">
        <v>549</v>
      </c>
    </row>
    <row r="21499" spans="1:15" x14ac:dyDescent="0.25">
      <c r="A21499" t="s">
        <v>21512</v>
      </c>
      <c r="B21499">
        <v>580</v>
      </c>
      <c r="C21499" s="1" t="str">
        <f>HYPERLINK("http://www.rosaceae.org/gb/gbrowse/malus_x_domestica/?name=MDP0000205866","MDP0000205866")</f>
        <v>MDP0000205866</v>
      </c>
      <c r="D21499">
        <v>74.17</v>
      </c>
      <c r="E21499">
        <v>422</v>
      </c>
      <c r="F21499">
        <v>109</v>
      </c>
      <c r="G21499">
        <v>1</v>
      </c>
      <c r="H21499">
        <v>128</v>
      </c>
      <c r="I21499">
        <v>549</v>
      </c>
      <c r="J21499">
        <v>1</v>
      </c>
      <c r="K21499">
        <v>198</v>
      </c>
      <c r="L21499">
        <v>618</v>
      </c>
      <c r="M21499">
        <v>1</v>
      </c>
      <c r="N21499">
        <v>0</v>
      </c>
      <c r="O21499">
        <v>1656</v>
      </c>
    </row>
    <row r="21500" spans="1:15" x14ac:dyDescent="0.25">
      <c r="A21500" t="s">
        <v>21513</v>
      </c>
      <c r="B21500">
        <v>969</v>
      </c>
      <c r="C21500" s="1" t="str">
        <f>HYPERLINK("http://www.rosaceae.org/gb/gbrowse/malus_x_domestica/?name=MDP0000320718","MDP0000320718")</f>
        <v>MDP0000320718</v>
      </c>
      <c r="D21500">
        <v>84.12</v>
      </c>
      <c r="E21500">
        <v>907</v>
      </c>
      <c r="F21500">
        <v>144</v>
      </c>
      <c r="G21500">
        <v>8</v>
      </c>
      <c r="H21500">
        <v>19</v>
      </c>
      <c r="I21500">
        <v>919</v>
      </c>
      <c r="J21500">
        <v>1</v>
      </c>
      <c r="K21500">
        <v>19</v>
      </c>
      <c r="L21500">
        <v>923</v>
      </c>
      <c r="M21500">
        <v>1</v>
      </c>
      <c r="N21500">
        <v>0</v>
      </c>
      <c r="O21500">
        <v>4092</v>
      </c>
    </row>
    <row r="21501" spans="1:15" x14ac:dyDescent="0.25">
      <c r="A21501" t="s">
        <v>21514</v>
      </c>
      <c r="B21501">
        <v>566</v>
      </c>
      <c r="C21501" s="1" t="str">
        <f>HYPERLINK("http://www.rosaceae.org/gb/gbrowse/malus_x_domestica/?name=MDP0000266669","MDP0000266669")</f>
        <v>MDP0000266669</v>
      </c>
      <c r="D21501">
        <v>27.05</v>
      </c>
      <c r="E21501">
        <v>499</v>
      </c>
      <c r="F21501">
        <v>364</v>
      </c>
      <c r="G21501">
        <v>33</v>
      </c>
      <c r="H21501">
        <v>45</v>
      </c>
      <c r="I21501">
        <v>531</v>
      </c>
      <c r="J21501">
        <v>1</v>
      </c>
      <c r="K21501">
        <v>117</v>
      </c>
      <c r="L21501">
        <v>594</v>
      </c>
      <c r="M21501">
        <v>1</v>
      </c>
      <c r="N21501">
        <v>1.7992100000000001E-38</v>
      </c>
      <c r="O21501">
        <v>399</v>
      </c>
    </row>
    <row r="21502" spans="1:15" x14ac:dyDescent="0.25">
      <c r="A21502" t="s">
        <v>21515</v>
      </c>
      <c r="B21502">
        <v>447</v>
      </c>
      <c r="C21502" s="1" t="str">
        <f>HYPERLINK("http://www.rosaceae.org/gb/gbrowse/malus_x_domestica/?name=MDP0000161978","MDP0000161978")</f>
        <v>MDP0000161978</v>
      </c>
      <c r="D21502">
        <v>75.61</v>
      </c>
      <c r="E21502">
        <v>447</v>
      </c>
      <c r="F21502">
        <v>109</v>
      </c>
      <c r="G21502">
        <v>0</v>
      </c>
      <c r="H21502">
        <v>1</v>
      </c>
      <c r="I21502">
        <v>447</v>
      </c>
      <c r="J21502">
        <v>1</v>
      </c>
      <c r="K21502">
        <v>3</v>
      </c>
      <c r="L21502">
        <v>449</v>
      </c>
      <c r="M21502">
        <v>1</v>
      </c>
      <c r="N21502">
        <v>0</v>
      </c>
      <c r="O21502">
        <v>1901</v>
      </c>
    </row>
    <row r="21503" spans="1:15" x14ac:dyDescent="0.25">
      <c r="A21503" t="s">
        <v>21516</v>
      </c>
      <c r="B21503">
        <v>910</v>
      </c>
      <c r="C21503" s="1" t="str">
        <f>HYPERLINK("http://www.rosaceae.org/gb/gbrowse/malus_x_domestica/?name=MDP0000173837","MDP0000173837")</f>
        <v>MDP0000173837</v>
      </c>
      <c r="D21503">
        <v>81.569999999999993</v>
      </c>
      <c r="E21503">
        <v>608</v>
      </c>
      <c r="F21503">
        <v>112</v>
      </c>
      <c r="G21503">
        <v>12</v>
      </c>
      <c r="H21503">
        <v>315</v>
      </c>
      <c r="I21503">
        <v>910</v>
      </c>
      <c r="J21503">
        <v>1</v>
      </c>
      <c r="K21503">
        <v>1</v>
      </c>
      <c r="L21503">
        <v>608</v>
      </c>
      <c r="M21503">
        <v>1</v>
      </c>
      <c r="N21503">
        <v>0</v>
      </c>
      <c r="O21503">
        <v>2587</v>
      </c>
    </row>
    <row r="21504" spans="1:15" x14ac:dyDescent="0.25">
      <c r="A21504" t="s">
        <v>21517</v>
      </c>
      <c r="B21504">
        <v>473</v>
      </c>
      <c r="C21504" s="1" t="str">
        <f>HYPERLINK("http://www.rosaceae.org/gb/gbrowse/malus_x_domestica/?name=MDP0000297962","MDP0000297962")</f>
        <v>MDP0000297962</v>
      </c>
      <c r="D21504">
        <v>63.86</v>
      </c>
      <c r="E21504">
        <v>429</v>
      </c>
      <c r="F21504">
        <v>155</v>
      </c>
      <c r="G21504">
        <v>22</v>
      </c>
      <c r="H21504">
        <v>55</v>
      </c>
      <c r="I21504">
        <v>471</v>
      </c>
      <c r="J21504">
        <v>1</v>
      </c>
      <c r="K21504">
        <v>52</v>
      </c>
      <c r="L21504">
        <v>470</v>
      </c>
      <c r="M21504">
        <v>1</v>
      </c>
      <c r="N21504">
        <v>2.0435799999999999E-154</v>
      </c>
      <c r="O21504">
        <v>1398</v>
      </c>
    </row>
    <row r="21505" spans="1:15" x14ac:dyDescent="0.25">
      <c r="A21505" t="s">
        <v>21518</v>
      </c>
      <c r="B21505">
        <v>363</v>
      </c>
      <c r="C21505" s="1" t="str">
        <f>HYPERLINK("http://www.rosaceae.org/gb/gbrowse/malus_x_domestica/?name=MDP0000460430","MDP0000460430")</f>
        <v>MDP0000460430</v>
      </c>
      <c r="D21505">
        <v>57.39</v>
      </c>
      <c r="E21505">
        <v>392</v>
      </c>
      <c r="F21505">
        <v>167</v>
      </c>
      <c r="G21505">
        <v>54</v>
      </c>
      <c r="H21505">
        <v>2</v>
      </c>
      <c r="I21505">
        <v>363</v>
      </c>
      <c r="J21505">
        <v>1</v>
      </c>
      <c r="K21505">
        <v>1</v>
      </c>
      <c r="L21505">
        <v>368</v>
      </c>
      <c r="M21505">
        <v>1</v>
      </c>
      <c r="N21505">
        <v>9.8462199999999997E-112</v>
      </c>
      <c r="O21505">
        <v>1029</v>
      </c>
    </row>
    <row r="21506" spans="1:15" x14ac:dyDescent="0.25">
      <c r="A21506" t="s">
        <v>21519</v>
      </c>
      <c r="B21506">
        <v>214</v>
      </c>
      <c r="C21506" s="1" t="str">
        <f>HYPERLINK("http://www.rosaceae.org/gb/gbrowse/malus_x_domestica/?name=MDP0000166262","MDP0000166262")</f>
        <v>MDP0000166262</v>
      </c>
      <c r="D21506">
        <v>57.87</v>
      </c>
      <c r="E21506">
        <v>216</v>
      </c>
      <c r="F21506">
        <v>91</v>
      </c>
      <c r="G21506">
        <v>3</v>
      </c>
      <c r="H21506">
        <v>1</v>
      </c>
      <c r="I21506">
        <v>213</v>
      </c>
      <c r="J21506">
        <v>1</v>
      </c>
      <c r="K21506">
        <v>1</v>
      </c>
      <c r="L21506">
        <v>216</v>
      </c>
      <c r="M21506">
        <v>1</v>
      </c>
      <c r="N21506">
        <v>2.33486E-63</v>
      </c>
      <c r="O21506">
        <v>608</v>
      </c>
    </row>
    <row r="21507" spans="1:15" x14ac:dyDescent="0.25">
      <c r="A21507" t="s">
        <v>21520</v>
      </c>
      <c r="B21507">
        <v>780</v>
      </c>
      <c r="C21507" s="1" t="str">
        <f>HYPERLINK("http://www.rosaceae.org/gb/gbrowse/malus_x_domestica/?name=MDP0000231722","MDP0000231722")</f>
        <v>MDP0000231722</v>
      </c>
      <c r="D21507">
        <v>67.09</v>
      </c>
      <c r="E21507">
        <v>772</v>
      </c>
      <c r="F21507">
        <v>254</v>
      </c>
      <c r="G21507">
        <v>53</v>
      </c>
      <c r="H21507">
        <v>1</v>
      </c>
      <c r="I21507">
        <v>766</v>
      </c>
      <c r="J21507">
        <v>1</v>
      </c>
      <c r="K21507">
        <v>1</v>
      </c>
      <c r="L21507">
        <v>725</v>
      </c>
      <c r="M21507">
        <v>1</v>
      </c>
      <c r="N21507">
        <v>0</v>
      </c>
      <c r="O21507">
        <v>2685</v>
      </c>
    </row>
    <row r="21508" spans="1:15" x14ac:dyDescent="0.25">
      <c r="A21508" t="s">
        <v>21521</v>
      </c>
      <c r="B21508">
        <v>166</v>
      </c>
      <c r="C21508" s="1" t="str">
        <f>HYPERLINK("http://www.rosaceae.org/gb/gbrowse/malus_x_domestica/?name=MDP0000125183","MDP0000125183")</f>
        <v>MDP0000125183</v>
      </c>
      <c r="D21508">
        <v>76.72</v>
      </c>
      <c r="E21508">
        <v>116</v>
      </c>
      <c r="F21508">
        <v>27</v>
      </c>
      <c r="G21508">
        <v>0</v>
      </c>
      <c r="H21508">
        <v>51</v>
      </c>
      <c r="I21508">
        <v>166</v>
      </c>
      <c r="J21508">
        <v>1</v>
      </c>
      <c r="K21508">
        <v>4</v>
      </c>
      <c r="L21508">
        <v>119</v>
      </c>
      <c r="M21508">
        <v>1</v>
      </c>
      <c r="N21508">
        <v>1.7604599999999999E-53</v>
      </c>
      <c r="O21508">
        <v>521</v>
      </c>
    </row>
    <row r="21509" spans="1:15" x14ac:dyDescent="0.25">
      <c r="A21509" t="s">
        <v>21522</v>
      </c>
      <c r="B21509">
        <v>486</v>
      </c>
      <c r="C21509" s="1" t="str">
        <f>HYPERLINK("http://www.rosaceae.org/gb/gbrowse/malus_x_domestica/?name=MDP0000199164","MDP0000199164")</f>
        <v>MDP0000199164</v>
      </c>
      <c r="D21509">
        <v>60.44</v>
      </c>
      <c r="E21509">
        <v>445</v>
      </c>
      <c r="F21509">
        <v>176</v>
      </c>
      <c r="G21509">
        <v>4</v>
      </c>
      <c r="H21509">
        <v>38</v>
      </c>
      <c r="I21509">
        <v>480</v>
      </c>
      <c r="J21509">
        <v>1</v>
      </c>
      <c r="K21509">
        <v>162</v>
      </c>
      <c r="L21509">
        <v>604</v>
      </c>
      <c r="M21509">
        <v>1</v>
      </c>
      <c r="N21509">
        <v>2.8223700000000001E-168</v>
      </c>
      <c r="O21509">
        <v>1518</v>
      </c>
    </row>
    <row r="21510" spans="1:15" x14ac:dyDescent="0.25">
      <c r="A21510" t="s">
        <v>21523</v>
      </c>
      <c r="B21510">
        <v>379</v>
      </c>
      <c r="C21510" s="1" t="str">
        <f>HYPERLINK("http://www.rosaceae.org/gb/gbrowse/malus_x_domestica/?name=MDP0000764366","MDP0000764366")</f>
        <v>MDP0000764366</v>
      </c>
      <c r="D21510">
        <v>83.88</v>
      </c>
      <c r="E21510">
        <v>360</v>
      </c>
      <c r="F21510">
        <v>58</v>
      </c>
      <c r="G21510">
        <v>0</v>
      </c>
      <c r="H21510">
        <v>20</v>
      </c>
      <c r="I21510">
        <v>379</v>
      </c>
      <c r="J21510">
        <v>1</v>
      </c>
      <c r="K21510">
        <v>21</v>
      </c>
      <c r="L21510">
        <v>380</v>
      </c>
      <c r="M21510">
        <v>1</v>
      </c>
      <c r="N21510">
        <v>0</v>
      </c>
      <c r="O21510">
        <v>1663</v>
      </c>
    </row>
    <row r="21511" spans="1:15" x14ac:dyDescent="0.25">
      <c r="A21511" t="s">
        <v>21524</v>
      </c>
      <c r="B21511">
        <v>256</v>
      </c>
      <c r="C21511" s="1" t="str">
        <f>HYPERLINK("http://www.rosaceae.org/gb/gbrowse/malus_x_domestica/?name=MDP0000266900","MDP0000266900")</f>
        <v>MDP0000266900</v>
      </c>
      <c r="D21511">
        <v>41.58</v>
      </c>
      <c r="E21511">
        <v>101</v>
      </c>
      <c r="F21511">
        <v>59</v>
      </c>
      <c r="G21511">
        <v>9</v>
      </c>
      <c r="H21511">
        <v>160</v>
      </c>
      <c r="I21511">
        <v>256</v>
      </c>
      <c r="J21511">
        <v>1</v>
      </c>
      <c r="K21511">
        <v>117</v>
      </c>
      <c r="L21511">
        <v>212</v>
      </c>
      <c r="M21511">
        <v>1</v>
      </c>
      <c r="N21511">
        <v>6.8352599999999998E-10</v>
      </c>
      <c r="O21511">
        <v>148</v>
      </c>
    </row>
    <row r="21512" spans="1:15" x14ac:dyDescent="0.25">
      <c r="A21512" t="s">
        <v>21525</v>
      </c>
      <c r="B21512">
        <v>835</v>
      </c>
      <c r="C21512" s="1" t="str">
        <f>HYPERLINK("http://www.rosaceae.org/gb/gbrowse/malus_x_domestica/?name=MDP0000163811","MDP0000163811")</f>
        <v>MDP0000163811</v>
      </c>
      <c r="D21512">
        <v>60.75</v>
      </c>
      <c r="E21512">
        <v>869</v>
      </c>
      <c r="F21512">
        <v>341</v>
      </c>
      <c r="G21512">
        <v>65</v>
      </c>
      <c r="H21512">
        <v>2</v>
      </c>
      <c r="I21512">
        <v>835</v>
      </c>
      <c r="J21512">
        <v>1</v>
      </c>
      <c r="K21512">
        <v>3</v>
      </c>
      <c r="L21512">
        <v>841</v>
      </c>
      <c r="M21512">
        <v>1</v>
      </c>
      <c r="N21512">
        <v>0</v>
      </c>
      <c r="O21512">
        <v>2675</v>
      </c>
    </row>
    <row r="21513" spans="1:15" x14ac:dyDescent="0.25">
      <c r="A21513" t="s">
        <v>21526</v>
      </c>
      <c r="B21513">
        <v>463</v>
      </c>
      <c r="C21513" s="1" t="str">
        <f>HYPERLINK("http://www.rosaceae.org/gb/gbrowse/malus_x_domestica/?name=MDP0000749634","MDP0000749634")</f>
        <v>MDP0000749634</v>
      </c>
      <c r="D21513">
        <v>75.989999999999995</v>
      </c>
      <c r="E21513">
        <v>454</v>
      </c>
      <c r="F21513">
        <v>109</v>
      </c>
      <c r="G21513">
        <v>3</v>
      </c>
      <c r="H21513">
        <v>1</v>
      </c>
      <c r="I21513">
        <v>451</v>
      </c>
      <c r="J21513">
        <v>1</v>
      </c>
      <c r="K21513">
        <v>1</v>
      </c>
      <c r="L21513">
        <v>454</v>
      </c>
      <c r="M21513">
        <v>1</v>
      </c>
      <c r="N21513">
        <v>0</v>
      </c>
      <c r="O21513">
        <v>1662</v>
      </c>
    </row>
    <row r="21514" spans="1:15" x14ac:dyDescent="0.25">
      <c r="A21514" t="s">
        <v>21527</v>
      </c>
      <c r="B21514">
        <v>883</v>
      </c>
      <c r="C21514" s="1" t="str">
        <f>HYPERLINK("http://www.rosaceae.org/gb/gbrowse/malus_x_domestica/?name=MDP0000273602","MDP0000273602")</f>
        <v>MDP0000273602</v>
      </c>
      <c r="D21514">
        <v>66.739999999999995</v>
      </c>
      <c r="E21514">
        <v>836</v>
      </c>
      <c r="F21514">
        <v>278</v>
      </c>
      <c r="G21514">
        <v>21</v>
      </c>
      <c r="H21514">
        <v>45</v>
      </c>
      <c r="I21514">
        <v>878</v>
      </c>
      <c r="J21514">
        <v>1</v>
      </c>
      <c r="K21514">
        <v>346</v>
      </c>
      <c r="L21514">
        <v>1162</v>
      </c>
      <c r="M21514">
        <v>1</v>
      </c>
      <c r="N21514">
        <v>0</v>
      </c>
      <c r="O21514">
        <v>2998</v>
      </c>
    </row>
    <row r="21515" spans="1:15" x14ac:dyDescent="0.25">
      <c r="A21515" t="s">
        <v>21528</v>
      </c>
      <c r="B21515">
        <v>370</v>
      </c>
      <c r="C21515" s="1" t="str">
        <f>HYPERLINK("http://www.rosaceae.org/gb/gbrowse/malus_x_domestica/?name=MDP0000281397","MDP0000281397")</f>
        <v>MDP0000281397</v>
      </c>
      <c r="D21515">
        <v>72.72</v>
      </c>
      <c r="E21515">
        <v>319</v>
      </c>
      <c r="F21515">
        <v>87</v>
      </c>
      <c r="G21515">
        <v>29</v>
      </c>
      <c r="H21515">
        <v>27</v>
      </c>
      <c r="I21515">
        <v>328</v>
      </c>
      <c r="J21515">
        <v>1</v>
      </c>
      <c r="K21515">
        <v>28</v>
      </c>
      <c r="L21515">
        <v>334</v>
      </c>
      <c r="M21515">
        <v>1</v>
      </c>
      <c r="N21515">
        <v>1.69938E-134</v>
      </c>
      <c r="O21515">
        <v>1225</v>
      </c>
    </row>
    <row r="21516" spans="1:15" x14ac:dyDescent="0.25">
      <c r="A21516" t="s">
        <v>21529</v>
      </c>
      <c r="B21516">
        <v>1627</v>
      </c>
      <c r="C21516" s="1" t="str">
        <f>HYPERLINK("http://www.rosaceae.org/gb/gbrowse/malus_x_domestica/?name=MDP0000172088","MDP0000172088")</f>
        <v>MDP0000172088</v>
      </c>
      <c r="D21516">
        <v>47.43</v>
      </c>
      <c r="E21516">
        <v>740</v>
      </c>
      <c r="F21516">
        <v>389</v>
      </c>
      <c r="G21516">
        <v>33</v>
      </c>
      <c r="H21516">
        <v>777</v>
      </c>
      <c r="I21516">
        <v>1493</v>
      </c>
      <c r="J21516">
        <v>1</v>
      </c>
      <c r="K21516">
        <v>1</v>
      </c>
      <c r="L21516">
        <v>730</v>
      </c>
      <c r="M21516">
        <v>1</v>
      </c>
      <c r="N21516">
        <v>0</v>
      </c>
      <c r="O21516">
        <v>1666</v>
      </c>
    </row>
    <row r="21517" spans="1:15" x14ac:dyDescent="0.25">
      <c r="A21517" t="s">
        <v>21530</v>
      </c>
      <c r="B21517">
        <v>460</v>
      </c>
      <c r="C21517" s="1" t="str">
        <f>HYPERLINK("http://www.rosaceae.org/gb/gbrowse/malus_x_domestica/?name=MDP0000305478","MDP0000305478")</f>
        <v>MDP0000305478</v>
      </c>
      <c r="D21517">
        <v>83.21</v>
      </c>
      <c r="E21517">
        <v>435</v>
      </c>
      <c r="F21517">
        <v>73</v>
      </c>
      <c r="G21517">
        <v>2</v>
      </c>
      <c r="H21517">
        <v>28</v>
      </c>
      <c r="I21517">
        <v>460</v>
      </c>
      <c r="J21517">
        <v>1</v>
      </c>
      <c r="K21517">
        <v>28</v>
      </c>
      <c r="L21517">
        <v>462</v>
      </c>
      <c r="M21517">
        <v>1</v>
      </c>
      <c r="N21517">
        <v>0</v>
      </c>
      <c r="O21517">
        <v>1957</v>
      </c>
    </row>
    <row r="21518" spans="1:15" x14ac:dyDescent="0.25">
      <c r="A21518" t="s">
        <v>21531</v>
      </c>
      <c r="B21518">
        <v>796</v>
      </c>
      <c r="C21518" s="1" t="str">
        <f>HYPERLINK("http://www.rosaceae.org/gb/gbrowse/malus_x_domestica/?name=MDP0000251510","MDP0000251510")</f>
        <v>MDP0000251510</v>
      </c>
      <c r="D21518">
        <v>78.040000000000006</v>
      </c>
      <c r="E21518">
        <v>451</v>
      </c>
      <c r="F21518">
        <v>99</v>
      </c>
      <c r="G21518">
        <v>39</v>
      </c>
      <c r="H21518">
        <v>1</v>
      </c>
      <c r="I21518">
        <v>451</v>
      </c>
      <c r="J21518">
        <v>1</v>
      </c>
      <c r="K21518">
        <v>22</v>
      </c>
      <c r="L21518">
        <v>433</v>
      </c>
      <c r="M21518">
        <v>1</v>
      </c>
      <c r="N21518">
        <v>0</v>
      </c>
      <c r="O21518">
        <v>1838</v>
      </c>
    </row>
    <row r="21519" spans="1:15" x14ac:dyDescent="0.25">
      <c r="A21519" t="s">
        <v>21532</v>
      </c>
      <c r="B21519">
        <v>695</v>
      </c>
      <c r="C21519" s="1" t="str">
        <f>HYPERLINK("http://www.rosaceae.org/gb/gbrowse/malus_x_domestica/?name=MDP0000148377","MDP0000148377")</f>
        <v>MDP0000148377</v>
      </c>
      <c r="D21519">
        <v>64.41</v>
      </c>
      <c r="E21519">
        <v>666</v>
      </c>
      <c r="F21519">
        <v>237</v>
      </c>
      <c r="G21519">
        <v>13</v>
      </c>
      <c r="H21519">
        <v>38</v>
      </c>
      <c r="I21519">
        <v>695</v>
      </c>
      <c r="J21519">
        <v>1</v>
      </c>
      <c r="K21519">
        <v>12</v>
      </c>
      <c r="L21519">
        <v>672</v>
      </c>
      <c r="M21519">
        <v>1</v>
      </c>
      <c r="N21519">
        <v>0</v>
      </c>
      <c r="O21519">
        <v>2185</v>
      </c>
    </row>
    <row r="21520" spans="1:15" x14ac:dyDescent="0.25">
      <c r="A21520" t="s">
        <v>21533</v>
      </c>
      <c r="B21520">
        <v>399</v>
      </c>
      <c r="C21520" s="1" t="str">
        <f>HYPERLINK("http://www.rosaceae.org/gb/gbrowse/malus_x_domestica/?name=MDP0000145603","MDP0000145603")</f>
        <v>MDP0000145603</v>
      </c>
      <c r="D21520">
        <v>61.32</v>
      </c>
      <c r="E21520">
        <v>393</v>
      </c>
      <c r="F21520">
        <v>152</v>
      </c>
      <c r="G21520">
        <v>49</v>
      </c>
      <c r="H21520">
        <v>1</v>
      </c>
      <c r="I21520">
        <v>370</v>
      </c>
      <c r="J21520">
        <v>1</v>
      </c>
      <c r="K21520">
        <v>1</v>
      </c>
      <c r="L21520">
        <v>367</v>
      </c>
      <c r="M21520">
        <v>1</v>
      </c>
      <c r="N21520">
        <v>1.2709E-117</v>
      </c>
      <c r="O21520">
        <v>1080</v>
      </c>
    </row>
    <row r="21521" spans="1:15" x14ac:dyDescent="0.25">
      <c r="A21521" t="s">
        <v>21534</v>
      </c>
      <c r="B21521">
        <v>524</v>
      </c>
      <c r="C21521" s="1" t="str">
        <f>HYPERLINK("http://www.rosaceae.org/gb/gbrowse/malus_x_domestica/?name=MDP0000504734","MDP0000504734")</f>
        <v>MDP0000504734</v>
      </c>
      <c r="D21521">
        <v>82.51</v>
      </c>
      <c r="E21521">
        <v>532</v>
      </c>
      <c r="F21521">
        <v>93</v>
      </c>
      <c r="G21521">
        <v>21</v>
      </c>
      <c r="H21521">
        <v>1</v>
      </c>
      <c r="I21521">
        <v>523</v>
      </c>
      <c r="J21521">
        <v>1</v>
      </c>
      <c r="K21521">
        <v>1</v>
      </c>
      <c r="L21521">
        <v>520</v>
      </c>
      <c r="M21521">
        <v>1</v>
      </c>
      <c r="N21521">
        <v>0</v>
      </c>
      <c r="O21521">
        <v>2284</v>
      </c>
    </row>
    <row r="21522" spans="1:15" x14ac:dyDescent="0.25">
      <c r="A21522" t="s">
        <v>21535</v>
      </c>
      <c r="B21522">
        <v>332</v>
      </c>
      <c r="C21522" s="1" t="str">
        <f>HYPERLINK("http://www.rosaceae.org/gb/gbrowse/malus_x_domestica/?name=MDP0000298505","MDP0000298505")</f>
        <v>MDP0000298505</v>
      </c>
      <c r="D21522">
        <v>42.85</v>
      </c>
      <c r="E21522">
        <v>217</v>
      </c>
      <c r="F21522">
        <v>124</v>
      </c>
      <c r="G21522">
        <v>41</v>
      </c>
      <c r="H21522">
        <v>13</v>
      </c>
      <c r="I21522">
        <v>197</v>
      </c>
      <c r="J21522">
        <v>1</v>
      </c>
      <c r="K21522">
        <v>366</v>
      </c>
      <c r="L21522">
        <v>573</v>
      </c>
      <c r="M21522">
        <v>1</v>
      </c>
      <c r="N21522">
        <v>6.2276999999999995E-41</v>
      </c>
      <c r="O21522">
        <v>417</v>
      </c>
    </row>
    <row r="21523" spans="1:15" x14ac:dyDescent="0.25">
      <c r="A21523" t="s">
        <v>21536</v>
      </c>
      <c r="B21523">
        <v>191</v>
      </c>
      <c r="C21523" s="1" t="str">
        <f>HYPERLINK("http://www.rosaceae.org/gb/gbrowse/malus_x_domestica/?name=MDP0000234186","MDP0000234186")</f>
        <v>MDP0000234186</v>
      </c>
      <c r="D21523">
        <v>70.680000000000007</v>
      </c>
      <c r="E21523">
        <v>191</v>
      </c>
      <c r="F21523">
        <v>56</v>
      </c>
      <c r="G21523">
        <v>1</v>
      </c>
      <c r="H21523">
        <v>1</v>
      </c>
      <c r="I21523">
        <v>191</v>
      </c>
      <c r="J21523">
        <v>1</v>
      </c>
      <c r="K21523">
        <v>85</v>
      </c>
      <c r="L21523">
        <v>274</v>
      </c>
      <c r="M21523">
        <v>1</v>
      </c>
      <c r="N21523">
        <v>1.25549E-73</v>
      </c>
      <c r="O21523">
        <v>696</v>
      </c>
    </row>
    <row r="21524" spans="1:15" x14ac:dyDescent="0.25">
      <c r="A21524" t="s">
        <v>21537</v>
      </c>
      <c r="B21524">
        <v>198</v>
      </c>
      <c r="C21524" s="1" t="str">
        <f>HYPERLINK("http://www.rosaceae.org/gb/gbrowse/malus_x_domestica/?name=MDP0000274034","MDP0000274034")</f>
        <v>MDP0000274034</v>
      </c>
      <c r="D21524">
        <v>33.82</v>
      </c>
      <c r="E21524">
        <v>136</v>
      </c>
      <c r="F21524">
        <v>90</v>
      </c>
      <c r="G21524">
        <v>7</v>
      </c>
      <c r="H21524">
        <v>45</v>
      </c>
      <c r="I21524">
        <v>180</v>
      </c>
      <c r="J21524">
        <v>1</v>
      </c>
      <c r="K21524">
        <v>104</v>
      </c>
      <c r="L21524">
        <v>232</v>
      </c>
      <c r="M21524">
        <v>1</v>
      </c>
      <c r="N21524">
        <v>3.7656800000000001E-17</v>
      </c>
      <c r="O21524">
        <v>209</v>
      </c>
    </row>
    <row r="21525" spans="1:15" x14ac:dyDescent="0.25">
      <c r="A21525" t="s">
        <v>21538</v>
      </c>
      <c r="B21525">
        <v>492</v>
      </c>
      <c r="C21525" s="1" t="str">
        <f>HYPERLINK("http://www.rosaceae.org/gb/gbrowse/malus_x_domestica/?name=MDP0000315108","MDP0000315108")</f>
        <v>MDP0000315108</v>
      </c>
      <c r="D21525">
        <v>71.459999999999994</v>
      </c>
      <c r="E21525">
        <v>417</v>
      </c>
      <c r="F21525">
        <v>119</v>
      </c>
      <c r="G21525">
        <v>0</v>
      </c>
      <c r="H21525">
        <v>76</v>
      </c>
      <c r="I21525">
        <v>492</v>
      </c>
      <c r="J21525">
        <v>1</v>
      </c>
      <c r="K21525">
        <v>621</v>
      </c>
      <c r="L21525">
        <v>1037</v>
      </c>
      <c r="M21525">
        <v>1</v>
      </c>
      <c r="N21525">
        <v>1.4339099999999999E-176</v>
      </c>
      <c r="O21525">
        <v>1589</v>
      </c>
    </row>
    <row r="21526" spans="1:15" x14ac:dyDescent="0.25">
      <c r="A21526" t="s">
        <v>21539</v>
      </c>
      <c r="B21526">
        <v>191</v>
      </c>
      <c r="C21526" s="1" t="str">
        <f>HYPERLINK("http://www.rosaceae.org/gb/gbrowse/malus_x_domestica/?name=MDP0000162025","MDP0000162025")</f>
        <v>MDP0000162025</v>
      </c>
      <c r="D21526">
        <v>84.67</v>
      </c>
      <c r="E21526">
        <v>137</v>
      </c>
      <c r="F21526">
        <v>21</v>
      </c>
      <c r="G21526">
        <v>0</v>
      </c>
      <c r="H21526">
        <v>55</v>
      </c>
      <c r="I21526">
        <v>191</v>
      </c>
      <c r="J21526">
        <v>1</v>
      </c>
      <c r="K21526">
        <v>57</v>
      </c>
      <c r="L21526">
        <v>193</v>
      </c>
      <c r="M21526">
        <v>1</v>
      </c>
      <c r="N21526">
        <v>1.12E-64</v>
      </c>
      <c r="O21526">
        <v>619</v>
      </c>
    </row>
    <row r="21527" spans="1:15" x14ac:dyDescent="0.25">
      <c r="A21527" t="s">
        <v>21540</v>
      </c>
      <c r="B21527">
        <v>239</v>
      </c>
      <c r="C21527" s="1" t="str">
        <f>HYPERLINK("http://www.rosaceae.org/gb/gbrowse/malus_x_domestica/?name=MDP0000211938","MDP0000211938")</f>
        <v>MDP0000211938</v>
      </c>
      <c r="D21527">
        <v>74.58</v>
      </c>
      <c r="E21527">
        <v>240</v>
      </c>
      <c r="F21527">
        <v>61</v>
      </c>
      <c r="G21527">
        <v>2</v>
      </c>
      <c r="H21527">
        <v>1</v>
      </c>
      <c r="I21527">
        <v>238</v>
      </c>
      <c r="J21527">
        <v>1</v>
      </c>
      <c r="K21527">
        <v>1</v>
      </c>
      <c r="L21527">
        <v>240</v>
      </c>
      <c r="M21527">
        <v>1</v>
      </c>
      <c r="N21527">
        <v>1.0150699999999999E-95</v>
      </c>
      <c r="O21527">
        <v>888</v>
      </c>
    </row>
    <row r="21528" spans="1:15" x14ac:dyDescent="0.25">
      <c r="A21528" t="s">
        <v>21541</v>
      </c>
      <c r="B21528">
        <v>331</v>
      </c>
      <c r="C21528" s="1" t="str">
        <f>HYPERLINK("http://www.rosaceae.org/gb/gbrowse/malus_x_domestica/?name=MDP0000204783","MDP0000204783")</f>
        <v>MDP0000204783</v>
      </c>
      <c r="D21528">
        <v>41.53</v>
      </c>
      <c r="E21528">
        <v>130</v>
      </c>
      <c r="F21528">
        <v>76</v>
      </c>
      <c r="G21528">
        <v>29</v>
      </c>
      <c r="H21528">
        <v>19</v>
      </c>
      <c r="I21528">
        <v>122</v>
      </c>
      <c r="J21528">
        <v>1</v>
      </c>
      <c r="K21528">
        <v>87</v>
      </c>
      <c r="L21528">
        <v>213</v>
      </c>
      <c r="M21528">
        <v>1</v>
      </c>
      <c r="N21528">
        <v>7.2596899999999994E-15</v>
      </c>
      <c r="O21528">
        <v>193</v>
      </c>
    </row>
    <row r="21529" spans="1:15" x14ac:dyDescent="0.25">
      <c r="A21529" t="s">
        <v>21542</v>
      </c>
      <c r="B21529">
        <v>1328</v>
      </c>
      <c r="C21529" s="1" t="str">
        <f>HYPERLINK("http://www.rosaceae.org/gb/gbrowse/malus_x_domestica/?name=MDP0000288583","MDP0000288583")</f>
        <v>MDP0000288583</v>
      </c>
      <c r="D21529">
        <v>58.34</v>
      </c>
      <c r="E21529">
        <v>881</v>
      </c>
      <c r="F21529">
        <v>367</v>
      </c>
      <c r="G21529">
        <v>61</v>
      </c>
      <c r="H21529">
        <v>486</v>
      </c>
      <c r="I21529">
        <v>1328</v>
      </c>
      <c r="J21529">
        <v>1</v>
      </c>
      <c r="K21529">
        <v>425</v>
      </c>
      <c r="L21529">
        <v>1282</v>
      </c>
      <c r="M21529">
        <v>1</v>
      </c>
      <c r="N21529">
        <v>0</v>
      </c>
      <c r="O21529">
        <v>2313</v>
      </c>
    </row>
    <row r="21530" spans="1:15" x14ac:dyDescent="0.25">
      <c r="A21530" t="s">
        <v>21543</v>
      </c>
      <c r="B21530">
        <v>573</v>
      </c>
      <c r="C21530" s="1" t="str">
        <f>HYPERLINK("http://www.rosaceae.org/gb/gbrowse/malus_x_domestica/?name=MDP0000472001","MDP0000472001")</f>
        <v>MDP0000472001</v>
      </c>
      <c r="D21530">
        <v>71.56</v>
      </c>
      <c r="E21530">
        <v>538</v>
      </c>
      <c r="F21530">
        <v>153</v>
      </c>
      <c r="G21530">
        <v>10</v>
      </c>
      <c r="H21530">
        <v>43</v>
      </c>
      <c r="I21530">
        <v>571</v>
      </c>
      <c r="J21530">
        <v>1</v>
      </c>
      <c r="K21530">
        <v>52</v>
      </c>
      <c r="L21530">
        <v>588</v>
      </c>
      <c r="M21530">
        <v>1</v>
      </c>
      <c r="N21530">
        <v>0</v>
      </c>
      <c r="O21530">
        <v>1967</v>
      </c>
    </row>
    <row r="21531" spans="1:15" x14ac:dyDescent="0.25">
      <c r="A21531" t="s">
        <v>21544</v>
      </c>
      <c r="B21531">
        <v>445</v>
      </c>
      <c r="C21531" s="1" t="str">
        <f>HYPERLINK("http://www.rosaceae.org/gb/gbrowse/malus_x_domestica/?name=MDP0000314981","MDP0000314981")</f>
        <v>MDP0000314981</v>
      </c>
      <c r="D21531">
        <v>62.22</v>
      </c>
      <c r="E21531">
        <v>368</v>
      </c>
      <c r="F21531">
        <v>139</v>
      </c>
      <c r="G21531">
        <v>9</v>
      </c>
      <c r="H21531">
        <v>84</v>
      </c>
      <c r="I21531">
        <v>444</v>
      </c>
      <c r="J21531">
        <v>1</v>
      </c>
      <c r="K21531">
        <v>1</v>
      </c>
      <c r="L21531">
        <v>366</v>
      </c>
      <c r="M21531">
        <v>1</v>
      </c>
      <c r="N21531">
        <v>7.6714700000000002E-123</v>
      </c>
      <c r="O21531">
        <v>1125</v>
      </c>
    </row>
    <row r="21532" spans="1:15" x14ac:dyDescent="0.25">
      <c r="A21532" t="s">
        <v>21545</v>
      </c>
      <c r="B21532">
        <v>1367</v>
      </c>
      <c r="C21532" s="1" t="str">
        <f>HYPERLINK("http://www.rosaceae.org/gb/gbrowse/malus_x_domestica/?name=MDP0000275407","MDP0000275407")</f>
        <v>MDP0000275407</v>
      </c>
      <c r="D21532">
        <v>66.75</v>
      </c>
      <c r="E21532">
        <v>743</v>
      </c>
      <c r="F21532">
        <v>247</v>
      </c>
      <c r="G21532">
        <v>62</v>
      </c>
      <c r="H21532">
        <v>642</v>
      </c>
      <c r="I21532">
        <v>1367</v>
      </c>
      <c r="J21532">
        <v>1</v>
      </c>
      <c r="K21532">
        <v>71</v>
      </c>
      <c r="L21532">
        <v>768</v>
      </c>
      <c r="M21532">
        <v>1</v>
      </c>
      <c r="N21532">
        <v>0</v>
      </c>
      <c r="O21532">
        <v>2446</v>
      </c>
    </row>
    <row r="21533" spans="1:15" x14ac:dyDescent="0.25">
      <c r="A21533" t="s">
        <v>21546</v>
      </c>
      <c r="B21533">
        <v>172</v>
      </c>
      <c r="C21533" s="1" t="str">
        <f>HYPERLINK("http://www.rosaceae.org/gb/gbrowse/malus_x_domestica/?name=MDP0000214642","MDP0000214642")</f>
        <v>MDP0000214642</v>
      </c>
      <c r="D21533">
        <v>39.78</v>
      </c>
      <c r="E21533">
        <v>93</v>
      </c>
      <c r="F21533">
        <v>56</v>
      </c>
      <c r="G21533">
        <v>3</v>
      </c>
      <c r="H21533">
        <v>34</v>
      </c>
      <c r="I21533">
        <v>123</v>
      </c>
      <c r="J21533">
        <v>1</v>
      </c>
      <c r="K21533">
        <v>37</v>
      </c>
      <c r="L21533">
        <v>129</v>
      </c>
      <c r="M21533">
        <v>1</v>
      </c>
      <c r="N21533">
        <v>1.15403E-9</v>
      </c>
      <c r="O21533">
        <v>144</v>
      </c>
    </row>
    <row r="21534" spans="1:15" x14ac:dyDescent="0.25">
      <c r="A21534" t="s">
        <v>21547</v>
      </c>
      <c r="B21534">
        <v>369</v>
      </c>
      <c r="C21534" s="1" t="str">
        <f>HYPERLINK("http://www.rosaceae.org/gb/gbrowse/malus_x_domestica/?name=MDP0000157130","MDP0000157130")</f>
        <v>MDP0000157130</v>
      </c>
      <c r="D21534">
        <v>44.87</v>
      </c>
      <c r="E21534">
        <v>156</v>
      </c>
      <c r="F21534">
        <v>86</v>
      </c>
      <c r="G21534">
        <v>64</v>
      </c>
      <c r="H21534">
        <v>260</v>
      </c>
      <c r="I21534">
        <v>351</v>
      </c>
      <c r="J21534">
        <v>1</v>
      </c>
      <c r="K21534">
        <v>42</v>
      </c>
      <c r="L21534">
        <v>197</v>
      </c>
      <c r="M21534">
        <v>1</v>
      </c>
      <c r="N21534">
        <v>1.7772300000000001E-24</v>
      </c>
      <c r="O21534">
        <v>276</v>
      </c>
    </row>
    <row r="21535" spans="1:15" x14ac:dyDescent="0.25">
      <c r="A21535" t="s">
        <v>21548</v>
      </c>
      <c r="B21535">
        <v>604</v>
      </c>
      <c r="C21535" s="1" t="str">
        <f>HYPERLINK("http://www.rosaceae.org/gb/gbrowse/malus_x_domestica/?name=MDP0000300116","MDP0000300116")</f>
        <v>MDP0000300116</v>
      </c>
      <c r="D21535">
        <v>69.61</v>
      </c>
      <c r="E21535">
        <v>599</v>
      </c>
      <c r="F21535">
        <v>182</v>
      </c>
      <c r="G21535">
        <v>23</v>
      </c>
      <c r="H21535">
        <v>20</v>
      </c>
      <c r="I21535">
        <v>604</v>
      </c>
      <c r="J21535">
        <v>1</v>
      </c>
      <c r="K21535">
        <v>553</v>
      </c>
      <c r="L21535">
        <v>1142</v>
      </c>
      <c r="M21535">
        <v>1</v>
      </c>
      <c r="N21535">
        <v>0</v>
      </c>
      <c r="O21535">
        <v>2210</v>
      </c>
    </row>
    <row r="21536" spans="1:15" x14ac:dyDescent="0.25">
      <c r="A21536" t="s">
        <v>21549</v>
      </c>
      <c r="B21536">
        <v>140</v>
      </c>
      <c r="C21536" s="1" t="str">
        <f>HYPERLINK("http://www.rosaceae.org/gb/gbrowse/malus_x_domestica/?name=MDP0000242756","MDP0000242756")</f>
        <v>MDP0000242756</v>
      </c>
      <c r="D21536">
        <v>47.58</v>
      </c>
      <c r="E21536">
        <v>124</v>
      </c>
      <c r="F21536">
        <v>65</v>
      </c>
      <c r="G21536">
        <v>0</v>
      </c>
      <c r="H21536">
        <v>1</v>
      </c>
      <c r="I21536">
        <v>124</v>
      </c>
      <c r="J21536">
        <v>1</v>
      </c>
      <c r="K21536">
        <v>654</v>
      </c>
      <c r="L21536">
        <v>777</v>
      </c>
      <c r="M21536">
        <v>1</v>
      </c>
      <c r="N21536">
        <v>3.5038099999999998E-26</v>
      </c>
      <c r="O21536">
        <v>285</v>
      </c>
    </row>
    <row r="21537" spans="1:15" x14ac:dyDescent="0.25">
      <c r="A21537" t="s">
        <v>21550</v>
      </c>
      <c r="B21537">
        <v>1003</v>
      </c>
      <c r="C21537" s="1" t="str">
        <f>HYPERLINK("http://www.rosaceae.org/gb/gbrowse/malus_x_domestica/?name=MDP0000150383","MDP0000150383")</f>
        <v>MDP0000150383</v>
      </c>
      <c r="D21537">
        <v>41.84</v>
      </c>
      <c r="E21537">
        <v>779</v>
      </c>
      <c r="F21537">
        <v>453</v>
      </c>
      <c r="G21537">
        <v>110</v>
      </c>
      <c r="H21537">
        <v>220</v>
      </c>
      <c r="I21537">
        <v>926</v>
      </c>
      <c r="J21537">
        <v>1</v>
      </c>
      <c r="K21537">
        <v>5</v>
      </c>
      <c r="L21537">
        <v>745</v>
      </c>
      <c r="M21537">
        <v>1</v>
      </c>
      <c r="N21537">
        <v>4.6000999999999997E-140</v>
      </c>
      <c r="O21537">
        <v>1277</v>
      </c>
    </row>
    <row r="21538" spans="1:15" x14ac:dyDescent="0.25">
      <c r="A21538" t="s">
        <v>21551</v>
      </c>
      <c r="B21538">
        <v>4028</v>
      </c>
      <c r="C21538" s="1" t="str">
        <f>HYPERLINK("http://www.rosaceae.org/gb/gbrowse/malus_x_domestica/?name=MDP0000177219","MDP0000177219")</f>
        <v>MDP0000177219</v>
      </c>
      <c r="D21538">
        <v>84.26</v>
      </c>
      <c r="E21538">
        <v>1798</v>
      </c>
      <c r="F21538">
        <v>283</v>
      </c>
      <c r="G21538">
        <v>132</v>
      </c>
      <c r="H21538">
        <v>2271</v>
      </c>
      <c r="I21538">
        <v>4006</v>
      </c>
      <c r="J21538">
        <v>1</v>
      </c>
      <c r="K21538">
        <v>829</v>
      </c>
      <c r="L21538">
        <v>2556</v>
      </c>
      <c r="M21538">
        <v>1</v>
      </c>
      <c r="N21538">
        <v>0</v>
      </c>
      <c r="O21538">
        <v>7952</v>
      </c>
    </row>
    <row r="21539" spans="1:15" x14ac:dyDescent="0.25">
      <c r="A21539" t="s">
        <v>21552</v>
      </c>
      <c r="B21539">
        <v>393</v>
      </c>
      <c r="C21539" s="1" t="str">
        <f>HYPERLINK("http://www.rosaceae.org/gb/gbrowse/malus_x_domestica/?name=MDP0000774306","MDP0000774306")</f>
        <v>MDP0000774306</v>
      </c>
      <c r="D21539">
        <v>37.71</v>
      </c>
      <c r="E21539">
        <v>342</v>
      </c>
      <c r="F21539">
        <v>213</v>
      </c>
      <c r="G21539">
        <v>50</v>
      </c>
      <c r="H21539">
        <v>72</v>
      </c>
      <c r="I21539">
        <v>369</v>
      </c>
      <c r="J21539">
        <v>1</v>
      </c>
      <c r="K21539">
        <v>1</v>
      </c>
      <c r="L21539">
        <v>336</v>
      </c>
      <c r="M21539">
        <v>1</v>
      </c>
      <c r="N21539">
        <v>9.6550799999999992E-41</v>
      </c>
      <c r="O21539">
        <v>417</v>
      </c>
    </row>
    <row r="21540" spans="1:15" x14ac:dyDescent="0.25">
      <c r="A21540" t="s">
        <v>21553</v>
      </c>
      <c r="B21540">
        <v>266</v>
      </c>
      <c r="C21540" s="1" t="str">
        <f>HYPERLINK("http://www.rosaceae.org/gb/gbrowse/malus_x_domestica/?name=MDP0000870821","MDP0000870821")</f>
        <v>MDP0000870821</v>
      </c>
      <c r="D21540">
        <v>69.06</v>
      </c>
      <c r="E21540">
        <v>181</v>
      </c>
      <c r="F21540">
        <v>56</v>
      </c>
      <c r="G21540">
        <v>1</v>
      </c>
      <c r="H21540">
        <v>86</v>
      </c>
      <c r="I21540">
        <v>266</v>
      </c>
      <c r="J21540">
        <v>1</v>
      </c>
      <c r="K21540">
        <v>85</v>
      </c>
      <c r="L21540">
        <v>264</v>
      </c>
      <c r="M21540">
        <v>1</v>
      </c>
      <c r="N21540">
        <v>1.5514300000000001E-69</v>
      </c>
      <c r="O21540">
        <v>663</v>
      </c>
    </row>
    <row r="21541" spans="1:15" x14ac:dyDescent="0.25">
      <c r="A21541" t="s">
        <v>21554</v>
      </c>
      <c r="B21541">
        <v>376</v>
      </c>
      <c r="C21541" s="1" t="str">
        <f>HYPERLINK("http://www.rosaceae.org/gb/gbrowse/malus_x_domestica/?name=MDP0000141637","MDP0000141637")</f>
        <v>MDP0000141637</v>
      </c>
      <c r="D21541">
        <v>69.540000000000006</v>
      </c>
      <c r="E21541">
        <v>394</v>
      </c>
      <c r="F21541">
        <v>120</v>
      </c>
      <c r="G21541">
        <v>30</v>
      </c>
      <c r="H21541">
        <v>4</v>
      </c>
      <c r="I21541">
        <v>373</v>
      </c>
      <c r="J21541">
        <v>1</v>
      </c>
      <c r="K21541">
        <v>13</v>
      </c>
      <c r="L21541">
        <v>400</v>
      </c>
      <c r="M21541">
        <v>1</v>
      </c>
      <c r="N21541">
        <v>1.3780900000000001E-157</v>
      </c>
      <c r="O21541">
        <v>1424</v>
      </c>
    </row>
    <row r="21542" spans="1:15" x14ac:dyDescent="0.25">
      <c r="A21542" t="s">
        <v>21555</v>
      </c>
      <c r="B21542">
        <v>227</v>
      </c>
      <c r="C21542" s="1" t="str">
        <f>HYPERLINK("http://www.rosaceae.org/gb/gbrowse/malus_x_domestica/?name=MDP0000775949","MDP0000775949")</f>
        <v>MDP0000775949</v>
      </c>
      <c r="D21542">
        <v>84.88</v>
      </c>
      <c r="E21542">
        <v>225</v>
      </c>
      <c r="F21542">
        <v>34</v>
      </c>
      <c r="G21542">
        <v>0</v>
      </c>
      <c r="H21542">
        <v>3</v>
      </c>
      <c r="I21542">
        <v>227</v>
      </c>
      <c r="J21542">
        <v>1</v>
      </c>
      <c r="K21542">
        <v>6</v>
      </c>
      <c r="L21542">
        <v>230</v>
      </c>
      <c r="M21542">
        <v>1</v>
      </c>
      <c r="N21542">
        <v>5.5046699999999999E-111</v>
      </c>
      <c r="O21542">
        <v>1019</v>
      </c>
    </row>
    <row r="21543" spans="1:15" x14ac:dyDescent="0.25">
      <c r="A21543" t="s">
        <v>21556</v>
      </c>
      <c r="B21543">
        <v>342</v>
      </c>
      <c r="C21543" s="1" t="str">
        <f>HYPERLINK("http://www.rosaceae.org/gb/gbrowse/malus_x_domestica/?name=MDP0000241014","MDP0000241014")</f>
        <v>MDP0000241014</v>
      </c>
      <c r="D21543">
        <v>65.19</v>
      </c>
      <c r="E21543">
        <v>339</v>
      </c>
      <c r="F21543">
        <v>118</v>
      </c>
      <c r="G21543">
        <v>21</v>
      </c>
      <c r="H21543">
        <v>9</v>
      </c>
      <c r="I21543">
        <v>342</v>
      </c>
      <c r="J21543">
        <v>1</v>
      </c>
      <c r="K21543">
        <v>279</v>
      </c>
      <c r="L21543">
        <v>601</v>
      </c>
      <c r="M21543">
        <v>1</v>
      </c>
      <c r="N21543">
        <v>1.3413499999999999E-103</v>
      </c>
      <c r="O21543">
        <v>958</v>
      </c>
    </row>
    <row r="21544" spans="1:15" x14ac:dyDescent="0.25">
      <c r="A21544" t="s">
        <v>21557</v>
      </c>
      <c r="B21544">
        <v>486</v>
      </c>
      <c r="C21544" s="1" t="str">
        <f>HYPERLINK("http://www.rosaceae.org/gb/gbrowse/malus_x_domestica/?name=MDP0000228686","MDP0000228686")</f>
        <v>MDP0000228686</v>
      </c>
      <c r="D21544">
        <v>64.92</v>
      </c>
      <c r="E21544">
        <v>345</v>
      </c>
      <c r="F21544">
        <v>121</v>
      </c>
      <c r="G21544">
        <v>9</v>
      </c>
      <c r="H21544">
        <v>12</v>
      </c>
      <c r="I21544">
        <v>350</v>
      </c>
      <c r="J21544">
        <v>1</v>
      </c>
      <c r="K21544">
        <v>13</v>
      </c>
      <c r="L21544">
        <v>354</v>
      </c>
      <c r="M21544">
        <v>1</v>
      </c>
      <c r="N21544">
        <v>6.9064300000000002E-132</v>
      </c>
      <c r="O21544">
        <v>1204</v>
      </c>
    </row>
    <row r="21545" spans="1:15" x14ac:dyDescent="0.25">
      <c r="A21545" t="s">
        <v>21558</v>
      </c>
      <c r="B21545">
        <v>387</v>
      </c>
      <c r="C21545" s="1" t="str">
        <f>HYPERLINK("http://www.rosaceae.org/gb/gbrowse/malus_x_domestica/?name=MDP0000377452","MDP0000377452")</f>
        <v>MDP0000377452</v>
      </c>
      <c r="D21545">
        <v>43.1</v>
      </c>
      <c r="E21545">
        <v>399</v>
      </c>
      <c r="F21545">
        <v>227</v>
      </c>
      <c r="G21545">
        <v>43</v>
      </c>
      <c r="H21545">
        <v>1</v>
      </c>
      <c r="I21545">
        <v>387</v>
      </c>
      <c r="J21545">
        <v>1</v>
      </c>
      <c r="K21545">
        <v>1</v>
      </c>
      <c r="L21545">
        <v>368</v>
      </c>
      <c r="M21545">
        <v>1</v>
      </c>
      <c r="N21545">
        <v>7.6340500000000001E-59</v>
      </c>
      <c r="O21545">
        <v>573</v>
      </c>
    </row>
    <row r="21546" spans="1:15" x14ac:dyDescent="0.25">
      <c r="A21546" t="s">
        <v>21559</v>
      </c>
      <c r="B21546">
        <v>454</v>
      </c>
      <c r="C21546" s="1" t="str">
        <f>HYPERLINK("http://www.rosaceae.org/gb/gbrowse/malus_x_domestica/?name=MDP0000174019","MDP0000174019")</f>
        <v>MDP0000174019</v>
      </c>
      <c r="D21546">
        <v>68.099999999999994</v>
      </c>
      <c r="E21546">
        <v>395</v>
      </c>
      <c r="F21546">
        <v>126</v>
      </c>
      <c r="G21546">
        <v>13</v>
      </c>
      <c r="H21546">
        <v>5</v>
      </c>
      <c r="I21546">
        <v>398</v>
      </c>
      <c r="J21546">
        <v>1</v>
      </c>
      <c r="K21546">
        <v>3</v>
      </c>
      <c r="L21546">
        <v>385</v>
      </c>
      <c r="M21546">
        <v>1</v>
      </c>
      <c r="N21546">
        <v>3.1191699999999998E-152</v>
      </c>
      <c r="O21546">
        <v>1379</v>
      </c>
    </row>
    <row r="21547" spans="1:15" x14ac:dyDescent="0.25">
      <c r="A21547" t="s">
        <v>21560</v>
      </c>
      <c r="B21547">
        <v>407</v>
      </c>
      <c r="C21547" s="1" t="str">
        <f>HYPERLINK("http://www.rosaceae.org/gb/gbrowse/malus_x_domestica/?name=MDP0000243498","MDP0000243498")</f>
        <v>MDP0000243498</v>
      </c>
      <c r="D21547">
        <v>46.33</v>
      </c>
      <c r="E21547">
        <v>300</v>
      </c>
      <c r="F21547">
        <v>161</v>
      </c>
      <c r="G21547">
        <v>40</v>
      </c>
      <c r="H21547">
        <v>68</v>
      </c>
      <c r="I21547">
        <v>327</v>
      </c>
      <c r="J21547">
        <v>1</v>
      </c>
      <c r="K21547">
        <v>466</v>
      </c>
      <c r="L21547">
        <v>765</v>
      </c>
      <c r="M21547">
        <v>1</v>
      </c>
      <c r="N21547">
        <v>7.2145699999999995E-63</v>
      </c>
      <c r="O21547">
        <v>608</v>
      </c>
    </row>
    <row r="21548" spans="1:15" x14ac:dyDescent="0.25">
      <c r="A21548" t="s">
        <v>21561</v>
      </c>
      <c r="B21548">
        <v>383</v>
      </c>
      <c r="C21548" s="1" t="str">
        <f>HYPERLINK("http://www.rosaceae.org/gb/gbrowse/malus_x_domestica/?name=MDP0000516398","MDP0000516398")</f>
        <v>MDP0000516398</v>
      </c>
      <c r="D21548">
        <v>55.23</v>
      </c>
      <c r="E21548">
        <v>210</v>
      </c>
      <c r="F21548">
        <v>94</v>
      </c>
      <c r="G21548">
        <v>0</v>
      </c>
      <c r="H21548">
        <v>174</v>
      </c>
      <c r="I21548">
        <v>383</v>
      </c>
      <c r="J21548">
        <v>1</v>
      </c>
      <c r="K21548">
        <v>422</v>
      </c>
      <c r="L21548">
        <v>631</v>
      </c>
      <c r="M21548">
        <v>1</v>
      </c>
      <c r="N21548">
        <v>1.0393E-67</v>
      </c>
      <c r="O21548">
        <v>649</v>
      </c>
    </row>
    <row r="21549" spans="1:15" x14ac:dyDescent="0.25">
      <c r="A21549" t="s">
        <v>21562</v>
      </c>
      <c r="B21549">
        <v>271</v>
      </c>
      <c r="C21549" s="1" t="str">
        <f>HYPERLINK("http://www.rosaceae.org/gb/gbrowse/malus_x_domestica/?name=MDP0000599819","MDP0000599819")</f>
        <v>MDP0000599819</v>
      </c>
      <c r="D21549">
        <v>49.65</v>
      </c>
      <c r="E21549">
        <v>143</v>
      </c>
      <c r="F21549">
        <v>72</v>
      </c>
      <c r="G21549">
        <v>26</v>
      </c>
      <c r="H21549">
        <v>135</v>
      </c>
      <c r="I21549">
        <v>251</v>
      </c>
      <c r="J21549">
        <v>1</v>
      </c>
      <c r="K21549">
        <v>68</v>
      </c>
      <c r="L21549">
        <v>210</v>
      </c>
      <c r="M21549">
        <v>1</v>
      </c>
      <c r="N21549">
        <v>8.5048200000000005E-31</v>
      </c>
      <c r="O21549">
        <v>329</v>
      </c>
    </row>
    <row r="21550" spans="1:15" x14ac:dyDescent="0.25">
      <c r="A21550" t="s">
        <v>21563</v>
      </c>
      <c r="B21550">
        <v>448</v>
      </c>
      <c r="C21550" s="1" t="str">
        <f>HYPERLINK("http://www.rosaceae.org/gb/gbrowse/malus_x_domestica/?name=MDP0000843722","MDP0000843722")</f>
        <v>MDP0000843722</v>
      </c>
      <c r="D21550">
        <v>87.27</v>
      </c>
      <c r="E21550">
        <v>440</v>
      </c>
      <c r="F21550">
        <v>56</v>
      </c>
      <c r="G21550">
        <v>1</v>
      </c>
      <c r="H21550">
        <v>9</v>
      </c>
      <c r="I21550">
        <v>448</v>
      </c>
      <c r="J21550">
        <v>1</v>
      </c>
      <c r="K21550">
        <v>25</v>
      </c>
      <c r="L21550">
        <v>463</v>
      </c>
      <c r="M21550">
        <v>1</v>
      </c>
      <c r="N21550">
        <v>0</v>
      </c>
      <c r="O21550">
        <v>2076</v>
      </c>
    </row>
    <row r="21551" spans="1:15" x14ac:dyDescent="0.25">
      <c r="A21551" t="s">
        <v>21564</v>
      </c>
      <c r="B21551">
        <v>124</v>
      </c>
      <c r="C21551" s="1" t="str">
        <f>HYPERLINK("http://www.rosaceae.org/gb/gbrowse/malus_x_domestica/?name=MDP0000231337","MDP0000231337")</f>
        <v>MDP0000231337</v>
      </c>
      <c r="D21551">
        <v>92.79</v>
      </c>
      <c r="E21551">
        <v>111</v>
      </c>
      <c r="F21551">
        <v>8</v>
      </c>
      <c r="G21551">
        <v>0</v>
      </c>
      <c r="H21551">
        <v>14</v>
      </c>
      <c r="I21551">
        <v>124</v>
      </c>
      <c r="J21551">
        <v>1</v>
      </c>
      <c r="K21551">
        <v>9</v>
      </c>
      <c r="L21551">
        <v>119</v>
      </c>
      <c r="M21551">
        <v>1</v>
      </c>
      <c r="N21551">
        <v>5.3353300000000004E-57</v>
      </c>
      <c r="O21551">
        <v>549</v>
      </c>
    </row>
    <row r="21552" spans="1:15" x14ac:dyDescent="0.25">
      <c r="A21552" t="s">
        <v>21565</v>
      </c>
      <c r="B21552">
        <v>466</v>
      </c>
      <c r="C21552" s="1" t="str">
        <f>HYPERLINK("http://www.rosaceae.org/gb/gbrowse/malus_x_domestica/?name=MDP0000518257","MDP0000518257")</f>
        <v>MDP0000518257</v>
      </c>
      <c r="D21552">
        <v>82.01</v>
      </c>
      <c r="E21552">
        <v>467</v>
      </c>
      <c r="F21552">
        <v>84</v>
      </c>
      <c r="G21552">
        <v>2</v>
      </c>
      <c r="H21552">
        <v>1</v>
      </c>
      <c r="I21552">
        <v>466</v>
      </c>
      <c r="J21552">
        <v>1</v>
      </c>
      <c r="K21552">
        <v>1</v>
      </c>
      <c r="L21552">
        <v>466</v>
      </c>
      <c r="M21552">
        <v>1</v>
      </c>
      <c r="N21552">
        <v>0</v>
      </c>
      <c r="O21552">
        <v>1957</v>
      </c>
    </row>
    <row r="21553" spans="1:15" x14ac:dyDescent="0.25">
      <c r="A21553" t="s">
        <v>21566</v>
      </c>
      <c r="B21553">
        <v>534</v>
      </c>
      <c r="C21553" s="1" t="str">
        <f>HYPERLINK("http://www.rosaceae.org/gb/gbrowse/malus_x_domestica/?name=MDP0000479652","MDP0000479652")</f>
        <v>MDP0000479652</v>
      </c>
      <c r="D21553">
        <v>63.58</v>
      </c>
      <c r="E21553">
        <v>508</v>
      </c>
      <c r="F21553">
        <v>185</v>
      </c>
      <c r="G21553">
        <v>33</v>
      </c>
      <c r="H21553">
        <v>1</v>
      </c>
      <c r="I21553">
        <v>492</v>
      </c>
      <c r="J21553">
        <v>1</v>
      </c>
      <c r="K21553">
        <v>1</v>
      </c>
      <c r="L21553">
        <v>491</v>
      </c>
      <c r="M21553">
        <v>1</v>
      </c>
      <c r="N21553">
        <v>1.0166700000000001E-166</v>
      </c>
      <c r="O21553">
        <v>1505</v>
      </c>
    </row>
    <row r="21554" spans="1:15" x14ac:dyDescent="0.25">
      <c r="A21554" t="s">
        <v>21567</v>
      </c>
      <c r="B21554">
        <v>109</v>
      </c>
      <c r="C21554" s="1" t="str">
        <f>HYPERLINK("http://www.rosaceae.org/gb/gbrowse/malus_x_domestica/?name=MDP0000608081","MDP0000608081")</f>
        <v>MDP0000608081</v>
      </c>
      <c r="D21554">
        <v>54.74</v>
      </c>
      <c r="E21554">
        <v>137</v>
      </c>
      <c r="F21554">
        <v>62</v>
      </c>
      <c r="G21554">
        <v>29</v>
      </c>
      <c r="H21554">
        <v>1</v>
      </c>
      <c r="I21554">
        <v>108</v>
      </c>
      <c r="J21554">
        <v>1</v>
      </c>
      <c r="K21554">
        <v>388</v>
      </c>
      <c r="L21554">
        <v>524</v>
      </c>
      <c r="M21554">
        <v>1</v>
      </c>
      <c r="N21554">
        <v>3.47795E-34</v>
      </c>
      <c r="O21554">
        <v>352</v>
      </c>
    </row>
    <row r="21555" spans="1:15" x14ac:dyDescent="0.25">
      <c r="A21555" t="s">
        <v>21568</v>
      </c>
      <c r="B21555">
        <v>448</v>
      </c>
      <c r="C21555" s="1" t="str">
        <f>HYPERLINK("http://www.rosaceae.org/gb/gbrowse/malus_x_domestica/?name=MDP0000283274","MDP0000283274")</f>
        <v>MDP0000283274</v>
      </c>
      <c r="D21555">
        <v>90.66</v>
      </c>
      <c r="E21555">
        <v>418</v>
      </c>
      <c r="F21555">
        <v>39</v>
      </c>
      <c r="G21555">
        <v>1</v>
      </c>
      <c r="H21555">
        <v>7</v>
      </c>
      <c r="I21555">
        <v>424</v>
      </c>
      <c r="J21555">
        <v>1</v>
      </c>
      <c r="K21555">
        <v>345</v>
      </c>
      <c r="L21555">
        <v>761</v>
      </c>
      <c r="M21555">
        <v>1</v>
      </c>
      <c r="N21555">
        <v>0</v>
      </c>
      <c r="O21555">
        <v>1946</v>
      </c>
    </row>
    <row r="21556" spans="1:15" x14ac:dyDescent="0.25">
      <c r="A21556" t="s">
        <v>21569</v>
      </c>
      <c r="B21556">
        <v>666</v>
      </c>
      <c r="C21556" s="1" t="str">
        <f>HYPERLINK("http://www.rosaceae.org/gb/gbrowse/malus_x_domestica/?name=MDP0000138035","MDP0000138035")</f>
        <v>MDP0000138035</v>
      </c>
      <c r="D21556">
        <v>83</v>
      </c>
      <c r="E21556">
        <v>618</v>
      </c>
      <c r="F21556">
        <v>105</v>
      </c>
      <c r="G21556">
        <v>40</v>
      </c>
      <c r="H21556">
        <v>1</v>
      </c>
      <c r="I21556">
        <v>605</v>
      </c>
      <c r="J21556">
        <v>1</v>
      </c>
      <c r="K21556">
        <v>11</v>
      </c>
      <c r="L21556">
        <v>601</v>
      </c>
      <c r="M21556">
        <v>1</v>
      </c>
      <c r="N21556">
        <v>0</v>
      </c>
      <c r="O21556">
        <v>2611</v>
      </c>
    </row>
    <row r="21557" spans="1:15" x14ac:dyDescent="0.25">
      <c r="A21557" t="s">
        <v>21570</v>
      </c>
      <c r="B21557">
        <v>485</v>
      </c>
      <c r="C21557" s="1" t="str">
        <f>HYPERLINK("http://www.rosaceae.org/gb/gbrowse/malus_x_domestica/?name=MDP0000276859","MDP0000276859")</f>
        <v>MDP0000276859</v>
      </c>
      <c r="D21557">
        <v>79.87</v>
      </c>
      <c r="E21557">
        <v>482</v>
      </c>
      <c r="F21557">
        <v>97</v>
      </c>
      <c r="G21557">
        <v>3</v>
      </c>
      <c r="H21557">
        <v>1</v>
      </c>
      <c r="I21557">
        <v>480</v>
      </c>
      <c r="J21557">
        <v>1</v>
      </c>
      <c r="K21557">
        <v>1</v>
      </c>
      <c r="L21557">
        <v>481</v>
      </c>
      <c r="M21557">
        <v>1</v>
      </c>
      <c r="N21557">
        <v>0</v>
      </c>
      <c r="O21557">
        <v>2065</v>
      </c>
    </row>
    <row r="21558" spans="1:15" x14ac:dyDescent="0.25">
      <c r="A21558" t="s">
        <v>21571</v>
      </c>
      <c r="B21558">
        <v>863</v>
      </c>
      <c r="C21558" s="1" t="str">
        <f>HYPERLINK("http://www.rosaceae.org/gb/gbrowse/malus_x_domestica/?name=MDP0000199846","MDP0000199846")</f>
        <v>MDP0000199846</v>
      </c>
      <c r="D21558">
        <v>77.09</v>
      </c>
      <c r="E21558">
        <v>502</v>
      </c>
      <c r="F21558">
        <v>115</v>
      </c>
      <c r="G21558">
        <v>0</v>
      </c>
      <c r="H21558">
        <v>361</v>
      </c>
      <c r="I21558">
        <v>862</v>
      </c>
      <c r="J21558">
        <v>1</v>
      </c>
      <c r="K21558">
        <v>86</v>
      </c>
      <c r="L21558">
        <v>587</v>
      </c>
      <c r="M21558">
        <v>1</v>
      </c>
      <c r="N21558">
        <v>0</v>
      </c>
      <c r="O21558">
        <v>2057</v>
      </c>
    </row>
    <row r="21559" spans="1:15" x14ac:dyDescent="0.25">
      <c r="A21559" t="s">
        <v>21572</v>
      </c>
      <c r="B21559">
        <v>240</v>
      </c>
      <c r="C21559" s="1" t="str">
        <f>HYPERLINK("http://www.rosaceae.org/gb/gbrowse/malus_x_domestica/?name=MDP0000267648","MDP0000267648")</f>
        <v>MDP0000267648</v>
      </c>
      <c r="D21559">
        <v>88.88</v>
      </c>
      <c r="E21559">
        <v>99</v>
      </c>
      <c r="F21559">
        <v>11</v>
      </c>
      <c r="G21559">
        <v>0</v>
      </c>
      <c r="H21559">
        <v>3</v>
      </c>
      <c r="I21559">
        <v>101</v>
      </c>
      <c r="J21559">
        <v>1</v>
      </c>
      <c r="K21559">
        <v>49</v>
      </c>
      <c r="L21559">
        <v>147</v>
      </c>
      <c r="M21559">
        <v>1</v>
      </c>
      <c r="N21559">
        <v>8.5567699999999999E-48</v>
      </c>
      <c r="O21559">
        <v>475</v>
      </c>
    </row>
    <row r="21560" spans="1:15" x14ac:dyDescent="0.25">
      <c r="A21560" t="s">
        <v>21573</v>
      </c>
      <c r="B21560">
        <v>83</v>
      </c>
      <c r="C21560" s="1" t="str">
        <f>HYPERLINK("http://www.rosaceae.org/gb/gbrowse/malus_x_domestica/?name=MDP0000433647","MDP0000433647")</f>
        <v>MDP0000433647</v>
      </c>
      <c r="D21560">
        <v>84.72</v>
      </c>
      <c r="E21560">
        <v>72</v>
      </c>
      <c r="F21560">
        <v>11</v>
      </c>
      <c r="G21560">
        <v>0</v>
      </c>
      <c r="H21560">
        <v>8</v>
      </c>
      <c r="I21560">
        <v>79</v>
      </c>
      <c r="J21560">
        <v>1</v>
      </c>
      <c r="K21560">
        <v>134</v>
      </c>
      <c r="L21560">
        <v>205</v>
      </c>
      <c r="M21560">
        <v>1</v>
      </c>
      <c r="N21560">
        <v>1.79322E-28</v>
      </c>
      <c r="O21560">
        <v>303</v>
      </c>
    </row>
    <row r="21561" spans="1:15" x14ac:dyDescent="0.25">
      <c r="A21561" t="s">
        <v>21574</v>
      </c>
      <c r="B21561">
        <v>198</v>
      </c>
      <c r="C21561" s="1" t="str">
        <f>HYPERLINK("http://www.rosaceae.org/gb/gbrowse/malus_x_domestica/?name=MDP0000325860","MDP0000325860")</f>
        <v>MDP0000325860</v>
      </c>
      <c r="D21561">
        <v>67.91</v>
      </c>
      <c r="E21561">
        <v>187</v>
      </c>
      <c r="F21561">
        <v>60</v>
      </c>
      <c r="G21561">
        <v>7</v>
      </c>
      <c r="H21561">
        <v>19</v>
      </c>
      <c r="I21561">
        <v>198</v>
      </c>
      <c r="J21561">
        <v>1</v>
      </c>
      <c r="K21561">
        <v>40</v>
      </c>
      <c r="L21561">
        <v>226</v>
      </c>
      <c r="M21561">
        <v>1</v>
      </c>
      <c r="N21561">
        <v>1.3894399999999999E-60</v>
      </c>
      <c r="O21561">
        <v>584</v>
      </c>
    </row>
    <row r="21562" spans="1:15" x14ac:dyDescent="0.25">
      <c r="A21562" t="s">
        <v>21575</v>
      </c>
      <c r="B21562">
        <v>632</v>
      </c>
      <c r="C21562" s="1" t="str">
        <f>HYPERLINK("http://www.rosaceae.org/gb/gbrowse/malus_x_domestica/?name=MDP0000320671","MDP0000320671")</f>
        <v>MDP0000320671</v>
      </c>
      <c r="D21562">
        <v>83.28</v>
      </c>
      <c r="E21562">
        <v>383</v>
      </c>
      <c r="F21562">
        <v>64</v>
      </c>
      <c r="G21562">
        <v>39</v>
      </c>
      <c r="H21562">
        <v>285</v>
      </c>
      <c r="I21562">
        <v>628</v>
      </c>
      <c r="J21562">
        <v>1</v>
      </c>
      <c r="K21562">
        <v>783</v>
      </c>
      <c r="L21562">
        <v>1165</v>
      </c>
      <c r="M21562">
        <v>1</v>
      </c>
      <c r="N21562">
        <v>0</v>
      </c>
      <c r="O21562">
        <v>1647</v>
      </c>
    </row>
    <row r="21563" spans="1:15" x14ac:dyDescent="0.25">
      <c r="A21563" t="s">
        <v>21576</v>
      </c>
      <c r="B21563">
        <v>354</v>
      </c>
      <c r="C21563" s="1" t="str">
        <f>HYPERLINK("http://www.rosaceae.org/gb/gbrowse/malus_x_domestica/?name=MDP0000212627","MDP0000212627")</f>
        <v>MDP0000212627</v>
      </c>
      <c r="D21563">
        <v>71.42</v>
      </c>
      <c r="E21563">
        <v>315</v>
      </c>
      <c r="F21563">
        <v>90</v>
      </c>
      <c r="G21563">
        <v>13</v>
      </c>
      <c r="H21563">
        <v>1</v>
      </c>
      <c r="I21563">
        <v>304</v>
      </c>
      <c r="J21563">
        <v>1</v>
      </c>
      <c r="K21563">
        <v>1</v>
      </c>
      <c r="L21563">
        <v>313</v>
      </c>
      <c r="M21563">
        <v>1</v>
      </c>
      <c r="N21563">
        <v>4.5481499999999999E-121</v>
      </c>
      <c r="O21563">
        <v>1109</v>
      </c>
    </row>
    <row r="21564" spans="1:15" x14ac:dyDescent="0.25">
      <c r="A21564" t="s">
        <v>21577</v>
      </c>
      <c r="B21564">
        <v>309</v>
      </c>
      <c r="C21564" s="1" t="str">
        <f>HYPERLINK("http://www.rosaceae.org/gb/gbrowse/malus_x_domestica/?name=MDP0000912183","MDP0000912183")</f>
        <v>MDP0000912183</v>
      </c>
      <c r="D21564">
        <v>62.25</v>
      </c>
      <c r="E21564">
        <v>355</v>
      </c>
      <c r="F21564">
        <v>134</v>
      </c>
      <c r="G21564">
        <v>49</v>
      </c>
      <c r="H21564">
        <v>1</v>
      </c>
      <c r="I21564">
        <v>306</v>
      </c>
      <c r="J21564">
        <v>1</v>
      </c>
      <c r="K21564">
        <v>1</v>
      </c>
      <c r="L21564">
        <v>355</v>
      </c>
      <c r="M21564">
        <v>1</v>
      </c>
      <c r="N21564">
        <v>1.5542199999999999E-117</v>
      </c>
      <c r="O21564">
        <v>1078</v>
      </c>
    </row>
    <row r="21565" spans="1:15" x14ac:dyDescent="0.25">
      <c r="A21565" t="s">
        <v>21578</v>
      </c>
      <c r="B21565">
        <v>170</v>
      </c>
      <c r="C21565" s="1" t="str">
        <f>HYPERLINK("http://www.rosaceae.org/gb/gbrowse/malus_x_domestica/?name=MDP0000232422","MDP0000232422")</f>
        <v>MDP0000232422</v>
      </c>
      <c r="D21565">
        <v>85.29</v>
      </c>
      <c r="E21565">
        <v>170</v>
      </c>
      <c r="F21565">
        <v>25</v>
      </c>
      <c r="G21565">
        <v>5</v>
      </c>
      <c r="H21565">
        <v>1</v>
      </c>
      <c r="I21565">
        <v>170</v>
      </c>
      <c r="J21565">
        <v>1</v>
      </c>
      <c r="K21565">
        <v>166</v>
      </c>
      <c r="L21565">
        <v>330</v>
      </c>
      <c r="M21565">
        <v>1</v>
      </c>
      <c r="N21565">
        <v>1.0735600000000001E-80</v>
      </c>
      <c r="O21565">
        <v>756</v>
      </c>
    </row>
    <row r="21566" spans="1:15" x14ac:dyDescent="0.25">
      <c r="A21566" t="s">
        <v>21579</v>
      </c>
      <c r="B21566">
        <v>522</v>
      </c>
      <c r="C21566" s="1" t="str">
        <f>HYPERLINK("http://www.rosaceae.org/gb/gbrowse/malus_x_domestica/?name=MDP0000559039","MDP0000559039")</f>
        <v>MDP0000559039</v>
      </c>
      <c r="D21566">
        <v>63.02</v>
      </c>
      <c r="E21566">
        <v>522</v>
      </c>
      <c r="F21566">
        <v>193</v>
      </c>
      <c r="G21566">
        <v>9</v>
      </c>
      <c r="H21566">
        <v>1</v>
      </c>
      <c r="I21566">
        <v>521</v>
      </c>
      <c r="J21566">
        <v>1</v>
      </c>
      <c r="K21566">
        <v>43</v>
      </c>
      <c r="L21566">
        <v>556</v>
      </c>
      <c r="M21566">
        <v>1</v>
      </c>
      <c r="N21566">
        <v>0</v>
      </c>
      <c r="O21566">
        <v>1764</v>
      </c>
    </row>
    <row r="21567" spans="1:15" x14ac:dyDescent="0.25">
      <c r="A21567" t="s">
        <v>21580</v>
      </c>
      <c r="B21567">
        <v>754</v>
      </c>
      <c r="C21567" s="1" t="str">
        <f>HYPERLINK("http://www.rosaceae.org/gb/gbrowse/malus_x_domestica/?name=MDP0000196358","MDP0000196358")</f>
        <v>MDP0000196358</v>
      </c>
      <c r="D21567">
        <v>80.900000000000006</v>
      </c>
      <c r="E21567">
        <v>754</v>
      </c>
      <c r="F21567">
        <v>144</v>
      </c>
      <c r="G21567">
        <v>11</v>
      </c>
      <c r="H21567">
        <v>1</v>
      </c>
      <c r="I21567">
        <v>743</v>
      </c>
      <c r="J21567">
        <v>1</v>
      </c>
      <c r="K21567">
        <v>1</v>
      </c>
      <c r="L21567">
        <v>754</v>
      </c>
      <c r="M21567">
        <v>1</v>
      </c>
      <c r="N21567">
        <v>0</v>
      </c>
      <c r="O21567">
        <v>3214</v>
      </c>
    </row>
    <row r="21568" spans="1:15" x14ac:dyDescent="0.25">
      <c r="A21568" t="s">
        <v>21581</v>
      </c>
      <c r="B21568">
        <v>478</v>
      </c>
      <c r="C21568" s="1" t="str">
        <f>HYPERLINK("http://www.rosaceae.org/gb/gbrowse/malus_x_domestica/?name=MDP0000537161","MDP0000537161")</f>
        <v>MDP0000537161</v>
      </c>
      <c r="D21568">
        <v>56.87</v>
      </c>
      <c r="E21568">
        <v>320</v>
      </c>
      <c r="F21568">
        <v>138</v>
      </c>
      <c r="G21568">
        <v>15</v>
      </c>
      <c r="H21568">
        <v>1</v>
      </c>
      <c r="I21568">
        <v>318</v>
      </c>
      <c r="J21568">
        <v>1</v>
      </c>
      <c r="K21568">
        <v>50</v>
      </c>
      <c r="L21568">
        <v>356</v>
      </c>
      <c r="M21568">
        <v>1</v>
      </c>
      <c r="N21568">
        <v>2.1825399999999999E-89</v>
      </c>
      <c r="O21568">
        <v>837</v>
      </c>
    </row>
    <row r="21569" spans="1:15" x14ac:dyDescent="0.25">
      <c r="A21569" t="s">
        <v>21582</v>
      </c>
      <c r="B21569">
        <v>358</v>
      </c>
      <c r="C21569" s="1" t="str">
        <f>HYPERLINK("http://www.rosaceae.org/gb/gbrowse/malus_x_domestica/?name=MDP0000568274","MDP0000568274")</f>
        <v>MDP0000568274</v>
      </c>
      <c r="D21569">
        <v>62.7</v>
      </c>
      <c r="E21569">
        <v>362</v>
      </c>
      <c r="F21569">
        <v>135</v>
      </c>
      <c r="G21569">
        <v>9</v>
      </c>
      <c r="H21569">
        <v>1</v>
      </c>
      <c r="I21569">
        <v>358</v>
      </c>
      <c r="J21569">
        <v>1</v>
      </c>
      <c r="K21569">
        <v>1</v>
      </c>
      <c r="L21569">
        <v>357</v>
      </c>
      <c r="M21569">
        <v>1</v>
      </c>
      <c r="N21569">
        <v>8.1035200000000001E-112</v>
      </c>
      <c r="O21569">
        <v>1029</v>
      </c>
    </row>
    <row r="21570" spans="1:15" x14ac:dyDescent="0.25">
      <c r="A21570" t="s">
        <v>21583</v>
      </c>
      <c r="B21570">
        <v>396</v>
      </c>
      <c r="C21570" s="1" t="str">
        <f>HYPERLINK("http://www.rosaceae.org/gb/gbrowse/malus_x_domestica/?name=MDP0000190324","MDP0000190324")</f>
        <v>MDP0000190324</v>
      </c>
      <c r="D21570">
        <v>83.87</v>
      </c>
      <c r="E21570">
        <v>366</v>
      </c>
      <c r="F21570">
        <v>59</v>
      </c>
      <c r="G21570">
        <v>5</v>
      </c>
      <c r="H21570">
        <v>28</v>
      </c>
      <c r="I21570">
        <v>388</v>
      </c>
      <c r="J21570">
        <v>1</v>
      </c>
      <c r="K21570">
        <v>46</v>
      </c>
      <c r="L21570">
        <v>411</v>
      </c>
      <c r="M21570">
        <v>1</v>
      </c>
      <c r="N21570">
        <v>3.42414E-174</v>
      </c>
      <c r="O21570">
        <v>1568</v>
      </c>
    </row>
    <row r="21571" spans="1:15" x14ac:dyDescent="0.25">
      <c r="A21571" t="s">
        <v>21584</v>
      </c>
      <c r="B21571">
        <v>1070</v>
      </c>
      <c r="C21571" s="1" t="str">
        <f>HYPERLINK("http://www.rosaceae.org/gb/gbrowse/malus_x_domestica/?name=MDP0000774227","MDP0000774227")</f>
        <v>MDP0000774227</v>
      </c>
      <c r="D21571">
        <v>71.040000000000006</v>
      </c>
      <c r="E21571">
        <v>884</v>
      </c>
      <c r="F21571">
        <v>256</v>
      </c>
      <c r="G21571">
        <v>14</v>
      </c>
      <c r="H21571">
        <v>198</v>
      </c>
      <c r="I21571">
        <v>1070</v>
      </c>
      <c r="J21571">
        <v>1</v>
      </c>
      <c r="K21571">
        <v>102</v>
      </c>
      <c r="L21571">
        <v>982</v>
      </c>
      <c r="M21571">
        <v>1</v>
      </c>
      <c r="N21571">
        <v>0</v>
      </c>
      <c r="O21571">
        <v>3358</v>
      </c>
    </row>
    <row r="21572" spans="1:15" x14ac:dyDescent="0.25">
      <c r="A21572" t="s">
        <v>21585</v>
      </c>
      <c r="B21572">
        <v>344</v>
      </c>
      <c r="C21572" s="1" t="str">
        <f>HYPERLINK("http://www.rosaceae.org/gb/gbrowse/malus_x_domestica/?name=MDP0000134680","MDP0000134680")</f>
        <v>MDP0000134680</v>
      </c>
      <c r="D21572">
        <v>63.35</v>
      </c>
      <c r="E21572">
        <v>352</v>
      </c>
      <c r="F21572">
        <v>129</v>
      </c>
      <c r="G21572">
        <v>30</v>
      </c>
      <c r="H21572">
        <v>1</v>
      </c>
      <c r="I21572">
        <v>344</v>
      </c>
      <c r="J21572">
        <v>1</v>
      </c>
      <c r="K21572">
        <v>1</v>
      </c>
      <c r="L21572">
        <v>330</v>
      </c>
      <c r="M21572">
        <v>1</v>
      </c>
      <c r="N21572">
        <v>9.0335200000000006E-115</v>
      </c>
      <c r="O21572">
        <v>1054</v>
      </c>
    </row>
    <row r="21573" spans="1:15" x14ac:dyDescent="0.25">
      <c r="A21573" t="s">
        <v>21586</v>
      </c>
      <c r="B21573">
        <v>170</v>
      </c>
      <c r="C21573" s="1" t="str">
        <f>HYPERLINK("http://www.rosaceae.org/gb/gbrowse/malus_x_domestica/?name=MDP0000819495","MDP0000819495")</f>
        <v>MDP0000819495</v>
      </c>
      <c r="D21573">
        <v>85.71</v>
      </c>
      <c r="E21573">
        <v>133</v>
      </c>
      <c r="F21573">
        <v>19</v>
      </c>
      <c r="G21573">
        <v>0</v>
      </c>
      <c r="H21573">
        <v>2</v>
      </c>
      <c r="I21573">
        <v>134</v>
      </c>
      <c r="J21573">
        <v>1</v>
      </c>
      <c r="K21573">
        <v>35</v>
      </c>
      <c r="L21573">
        <v>167</v>
      </c>
      <c r="M21573">
        <v>1</v>
      </c>
      <c r="N21573">
        <v>4.6851799999999997E-63</v>
      </c>
      <c r="O21573">
        <v>604</v>
      </c>
    </row>
    <row r="21574" spans="1:15" x14ac:dyDescent="0.25">
      <c r="A21574" t="s">
        <v>21587</v>
      </c>
      <c r="B21574">
        <v>580</v>
      </c>
      <c r="C21574" s="1" t="str">
        <f>HYPERLINK("http://www.rosaceae.org/gb/gbrowse/malus_x_domestica/?name=MDP0000132683","MDP0000132683")</f>
        <v>MDP0000132683</v>
      </c>
      <c r="D21574">
        <v>56.68</v>
      </c>
      <c r="E21574">
        <v>187</v>
      </c>
      <c r="F21574">
        <v>81</v>
      </c>
      <c r="G21574">
        <v>14</v>
      </c>
      <c r="H21574">
        <v>167</v>
      </c>
      <c r="I21574">
        <v>350</v>
      </c>
      <c r="J21574">
        <v>1</v>
      </c>
      <c r="K21574">
        <v>2</v>
      </c>
      <c r="L21574">
        <v>177</v>
      </c>
      <c r="M21574">
        <v>1</v>
      </c>
      <c r="N21574">
        <v>1.9960500000000001E-43</v>
      </c>
      <c r="O21574">
        <v>442</v>
      </c>
    </row>
    <row r="21575" spans="1:15" x14ac:dyDescent="0.25">
      <c r="A21575" t="s">
        <v>21588</v>
      </c>
      <c r="B21575">
        <v>1665</v>
      </c>
      <c r="C21575" s="1" t="str">
        <f>HYPERLINK("http://www.rosaceae.org/gb/gbrowse/malus_x_domestica/?name=MDP0000243380","MDP0000243380")</f>
        <v>MDP0000243380</v>
      </c>
      <c r="D21575">
        <v>72.12</v>
      </c>
      <c r="E21575">
        <v>1693</v>
      </c>
      <c r="F21575">
        <v>472</v>
      </c>
      <c r="G21575">
        <v>54</v>
      </c>
      <c r="H21575">
        <v>1</v>
      </c>
      <c r="I21575">
        <v>1665</v>
      </c>
      <c r="J21575">
        <v>1</v>
      </c>
      <c r="K21575">
        <v>110</v>
      </c>
      <c r="L21575">
        <v>1776</v>
      </c>
      <c r="M21575">
        <v>1</v>
      </c>
      <c r="N21575">
        <v>0</v>
      </c>
      <c r="O21575">
        <v>6197</v>
      </c>
    </row>
    <row r="21576" spans="1:15" x14ac:dyDescent="0.25">
      <c r="A21576" t="s">
        <v>21589</v>
      </c>
      <c r="B21576">
        <v>901</v>
      </c>
      <c r="C21576" s="1" t="str">
        <f>HYPERLINK("http://www.rosaceae.org/gb/gbrowse/malus_x_domestica/?name=MDP0000196513","MDP0000196513")</f>
        <v>MDP0000196513</v>
      </c>
      <c r="D21576">
        <v>51.72</v>
      </c>
      <c r="E21576">
        <v>959</v>
      </c>
      <c r="F21576">
        <v>463</v>
      </c>
      <c r="G21576">
        <v>154</v>
      </c>
      <c r="H21576">
        <v>1</v>
      </c>
      <c r="I21576">
        <v>893</v>
      </c>
      <c r="J21576">
        <v>1</v>
      </c>
      <c r="K21576">
        <v>36</v>
      </c>
      <c r="L21576">
        <v>906</v>
      </c>
      <c r="M21576">
        <v>1</v>
      </c>
      <c r="N21576">
        <v>0</v>
      </c>
      <c r="O21576">
        <v>2150</v>
      </c>
    </row>
    <row r="21577" spans="1:15" x14ac:dyDescent="0.25">
      <c r="A21577" t="s">
        <v>21590</v>
      </c>
      <c r="B21577">
        <v>580</v>
      </c>
      <c r="C21577" s="1" t="str">
        <f>HYPERLINK("http://www.rosaceae.org/gb/gbrowse/malus_x_domestica/?name=MDP0000283213","MDP0000283213")</f>
        <v>MDP0000283213</v>
      </c>
      <c r="D21577">
        <v>37.71</v>
      </c>
      <c r="E21577">
        <v>578</v>
      </c>
      <c r="F21577">
        <v>360</v>
      </c>
      <c r="G21577">
        <v>15</v>
      </c>
      <c r="H21577">
        <v>6</v>
      </c>
      <c r="I21577">
        <v>579</v>
      </c>
      <c r="J21577">
        <v>1</v>
      </c>
      <c r="K21577">
        <v>620</v>
      </c>
      <c r="L21577">
        <v>1186</v>
      </c>
      <c r="M21577">
        <v>1</v>
      </c>
      <c r="N21577">
        <v>5.1547100000000002E-109</v>
      </c>
      <c r="O21577">
        <v>1007</v>
      </c>
    </row>
    <row r="21578" spans="1:15" x14ac:dyDescent="0.25">
      <c r="A21578" t="s">
        <v>21591</v>
      </c>
      <c r="B21578">
        <v>401</v>
      </c>
      <c r="C21578" s="1" t="str">
        <f>HYPERLINK("http://www.rosaceae.org/gb/gbrowse/malus_x_domestica/?name=MDP0000124256","MDP0000124256")</f>
        <v>MDP0000124256</v>
      </c>
      <c r="D21578">
        <v>33.630000000000003</v>
      </c>
      <c r="E21578">
        <v>110</v>
      </c>
      <c r="F21578">
        <v>73</v>
      </c>
      <c r="G21578">
        <v>5</v>
      </c>
      <c r="H21578">
        <v>294</v>
      </c>
      <c r="I21578">
        <v>398</v>
      </c>
      <c r="J21578">
        <v>1</v>
      </c>
      <c r="K21578">
        <v>94</v>
      </c>
      <c r="L21578">
        <v>203</v>
      </c>
      <c r="M21578">
        <v>1</v>
      </c>
      <c r="N21578">
        <v>1.2044999999999999E-9</v>
      </c>
      <c r="O21578">
        <v>149</v>
      </c>
    </row>
    <row r="21579" spans="1:15" x14ac:dyDescent="0.25">
      <c r="A21579" t="s">
        <v>21592</v>
      </c>
      <c r="B21579">
        <v>217</v>
      </c>
      <c r="C21579" s="1" t="str">
        <f>HYPERLINK("http://www.rosaceae.org/gb/gbrowse/malus_x_domestica/?name=MDP0000158077","MDP0000158077")</f>
        <v>MDP0000158077</v>
      </c>
      <c r="D21579">
        <v>39.04</v>
      </c>
      <c r="E21579">
        <v>146</v>
      </c>
      <c r="F21579">
        <v>89</v>
      </c>
      <c r="G21579">
        <v>15</v>
      </c>
      <c r="H21579">
        <v>10</v>
      </c>
      <c r="I21579">
        <v>142</v>
      </c>
      <c r="J21579">
        <v>1</v>
      </c>
      <c r="K21579">
        <v>15</v>
      </c>
      <c r="L21579">
        <v>158</v>
      </c>
      <c r="M21579">
        <v>1</v>
      </c>
      <c r="N21579">
        <v>2.1770999999999999E-19</v>
      </c>
      <c r="O21579">
        <v>229</v>
      </c>
    </row>
    <row r="21580" spans="1:15" x14ac:dyDescent="0.25">
      <c r="A21580" t="s">
        <v>21593</v>
      </c>
      <c r="B21580">
        <v>250</v>
      </c>
      <c r="C21580" s="1" t="str">
        <f>HYPERLINK("http://www.rosaceae.org/gb/gbrowse/malus_x_domestica/?name=MDP0000210077","MDP0000210077")</f>
        <v>MDP0000210077</v>
      </c>
      <c r="D21580">
        <v>82.74</v>
      </c>
      <c r="E21580">
        <v>255</v>
      </c>
      <c r="F21580">
        <v>44</v>
      </c>
      <c r="G21580">
        <v>5</v>
      </c>
      <c r="H21580">
        <v>1</v>
      </c>
      <c r="I21580">
        <v>250</v>
      </c>
      <c r="J21580">
        <v>1</v>
      </c>
      <c r="K21580">
        <v>87</v>
      </c>
      <c r="L21580">
        <v>341</v>
      </c>
      <c r="M21580">
        <v>1</v>
      </c>
      <c r="N21580">
        <v>7.5810799999999998E-121</v>
      </c>
      <c r="O21580">
        <v>1105</v>
      </c>
    </row>
    <row r="21581" spans="1:15" x14ac:dyDescent="0.25">
      <c r="A21581" t="s">
        <v>21594</v>
      </c>
      <c r="B21581">
        <v>269</v>
      </c>
      <c r="C21581" s="1" t="str">
        <f>HYPERLINK("http://www.rosaceae.org/gb/gbrowse/malus_x_domestica/?name=MDP0000225623","MDP0000225623")</f>
        <v>MDP0000225623</v>
      </c>
      <c r="D21581">
        <v>32.64</v>
      </c>
      <c r="E21581">
        <v>193</v>
      </c>
      <c r="F21581">
        <v>130</v>
      </c>
      <c r="G21581">
        <v>41</v>
      </c>
      <c r="H21581">
        <v>52</v>
      </c>
      <c r="I21581">
        <v>216</v>
      </c>
      <c r="J21581">
        <v>1</v>
      </c>
      <c r="K21581">
        <v>105</v>
      </c>
      <c r="L21581">
        <v>284</v>
      </c>
      <c r="M21581">
        <v>1</v>
      </c>
      <c r="N21581">
        <v>2.8285300000000002E-17</v>
      </c>
      <c r="O21581">
        <v>212</v>
      </c>
    </row>
    <row r="21582" spans="1:15" x14ac:dyDescent="0.25">
      <c r="A21582" t="s">
        <v>21595</v>
      </c>
      <c r="B21582">
        <v>143</v>
      </c>
      <c r="C21582" s="1" t="str">
        <f>HYPERLINK("http://www.rosaceae.org/gb/gbrowse/malus_x_domestica/?name=MDP0000405349","MDP0000405349")</f>
        <v>MDP0000405349</v>
      </c>
      <c r="D21582">
        <v>86.27</v>
      </c>
      <c r="E21582">
        <v>51</v>
      </c>
      <c r="F21582">
        <v>7</v>
      </c>
      <c r="G21582">
        <v>1</v>
      </c>
      <c r="H21582">
        <v>35</v>
      </c>
      <c r="I21582">
        <v>84</v>
      </c>
      <c r="J21582">
        <v>1</v>
      </c>
      <c r="K21582">
        <v>10</v>
      </c>
      <c r="L21582">
        <v>60</v>
      </c>
      <c r="M21582">
        <v>1</v>
      </c>
      <c r="N21582">
        <v>3.0581100000000001E-18</v>
      </c>
      <c r="O21582">
        <v>216</v>
      </c>
    </row>
    <row r="21583" spans="1:15" x14ac:dyDescent="0.25">
      <c r="A21583" t="s">
        <v>21596</v>
      </c>
      <c r="B21583">
        <v>297</v>
      </c>
      <c r="C21583" s="1" t="str">
        <f>HYPERLINK("http://www.rosaceae.org/gb/gbrowse/malus_x_domestica/?name=MDP0000179027","MDP0000179027")</f>
        <v>MDP0000179027</v>
      </c>
      <c r="D21583">
        <v>91</v>
      </c>
      <c r="E21583">
        <v>278</v>
      </c>
      <c r="F21583">
        <v>25</v>
      </c>
      <c r="G21583">
        <v>0</v>
      </c>
      <c r="H21583">
        <v>20</v>
      </c>
      <c r="I21583">
        <v>297</v>
      </c>
      <c r="J21583">
        <v>1</v>
      </c>
      <c r="K21583">
        <v>21</v>
      </c>
      <c r="L21583">
        <v>298</v>
      </c>
      <c r="M21583">
        <v>1</v>
      </c>
      <c r="N21583">
        <v>2.2015399999999999E-148</v>
      </c>
      <c r="O21583">
        <v>1344</v>
      </c>
    </row>
    <row r="21584" spans="1:15" x14ac:dyDescent="0.25">
      <c r="A21584" t="s">
        <v>21597</v>
      </c>
      <c r="B21584">
        <v>941</v>
      </c>
      <c r="C21584" s="1" t="str">
        <f>HYPERLINK("http://www.rosaceae.org/gb/gbrowse/malus_x_domestica/?name=MDP0000198782","MDP0000198782")</f>
        <v>MDP0000198782</v>
      </c>
      <c r="D21584">
        <v>51.59</v>
      </c>
      <c r="E21584">
        <v>940</v>
      </c>
      <c r="F21584">
        <v>455</v>
      </c>
      <c r="G21584">
        <v>35</v>
      </c>
      <c r="H21584">
        <v>13</v>
      </c>
      <c r="I21584">
        <v>938</v>
      </c>
      <c r="J21584">
        <v>1</v>
      </c>
      <c r="K21584">
        <v>27</v>
      </c>
      <c r="L21584">
        <v>945</v>
      </c>
      <c r="M21584">
        <v>1</v>
      </c>
      <c r="N21584">
        <v>0</v>
      </c>
      <c r="O21584">
        <v>2161</v>
      </c>
    </row>
    <row r="21585" spans="1:15" x14ac:dyDescent="0.25">
      <c r="A21585" t="s">
        <v>21598</v>
      </c>
      <c r="B21585">
        <v>111</v>
      </c>
      <c r="C21585" s="1" t="str">
        <f>HYPERLINK("http://www.rosaceae.org/gb/gbrowse/malus_x_domestica/?name=MDP0000707990","MDP0000707990")</f>
        <v>MDP0000707990</v>
      </c>
      <c r="D21585">
        <v>49.33</v>
      </c>
      <c r="E21585">
        <v>75</v>
      </c>
      <c r="F21585">
        <v>38</v>
      </c>
      <c r="G21585">
        <v>1</v>
      </c>
      <c r="H21585">
        <v>4</v>
      </c>
      <c r="I21585">
        <v>77</v>
      </c>
      <c r="J21585">
        <v>1</v>
      </c>
      <c r="K21585">
        <v>132</v>
      </c>
      <c r="L21585">
        <v>206</v>
      </c>
      <c r="M21585">
        <v>1</v>
      </c>
      <c r="N21585">
        <v>3.2047899999999998E-11</v>
      </c>
      <c r="O21585">
        <v>154</v>
      </c>
    </row>
    <row r="21586" spans="1:15" x14ac:dyDescent="0.25">
      <c r="A21586" t="s">
        <v>21599</v>
      </c>
      <c r="B21586">
        <v>340</v>
      </c>
      <c r="C21586" s="1" t="str">
        <f>HYPERLINK("http://www.rosaceae.org/gb/gbrowse/malus_x_domestica/?name=MDP0000249772","MDP0000249772")</f>
        <v>MDP0000249772</v>
      </c>
      <c r="D21586">
        <v>48.26</v>
      </c>
      <c r="E21586">
        <v>433</v>
      </c>
      <c r="F21586">
        <v>224</v>
      </c>
      <c r="G21586">
        <v>126</v>
      </c>
      <c r="H21586">
        <v>34</v>
      </c>
      <c r="I21586">
        <v>340</v>
      </c>
      <c r="J21586">
        <v>1</v>
      </c>
      <c r="K21586">
        <v>29</v>
      </c>
      <c r="L21586">
        <v>461</v>
      </c>
      <c r="M21586">
        <v>1</v>
      </c>
      <c r="N21586">
        <v>1.43672E-96</v>
      </c>
      <c r="O21586">
        <v>897</v>
      </c>
    </row>
    <row r="21587" spans="1:15" x14ac:dyDescent="0.25">
      <c r="A21587" t="s">
        <v>21600</v>
      </c>
      <c r="B21587">
        <v>176</v>
      </c>
      <c r="C21587" s="1" t="str">
        <f>HYPERLINK("http://www.rosaceae.org/gb/gbrowse/malus_x_domestica/?name=MDP0000203230","MDP0000203230")</f>
        <v>MDP0000203230</v>
      </c>
      <c r="D21587">
        <v>63.63</v>
      </c>
      <c r="E21587">
        <v>176</v>
      </c>
      <c r="F21587">
        <v>64</v>
      </c>
      <c r="G21587">
        <v>0</v>
      </c>
      <c r="H21587">
        <v>1</v>
      </c>
      <c r="I21587">
        <v>176</v>
      </c>
      <c r="J21587">
        <v>1</v>
      </c>
      <c r="K21587">
        <v>5</v>
      </c>
      <c r="L21587">
        <v>180</v>
      </c>
      <c r="M21587">
        <v>1</v>
      </c>
      <c r="N21587">
        <v>1.36776E-62</v>
      </c>
      <c r="O21587">
        <v>600</v>
      </c>
    </row>
    <row r="21588" spans="1:15" x14ac:dyDescent="0.25">
      <c r="A21588" t="s">
        <v>21601</v>
      </c>
      <c r="B21588">
        <v>427</v>
      </c>
      <c r="C21588" s="1" t="str">
        <f>HYPERLINK("http://www.rosaceae.org/gb/gbrowse/malus_x_domestica/?name=MDP0000772731","MDP0000772731")</f>
        <v>MDP0000772731</v>
      </c>
      <c r="D21588">
        <v>45.97</v>
      </c>
      <c r="E21588">
        <v>211</v>
      </c>
      <c r="F21588">
        <v>114</v>
      </c>
      <c r="G21588">
        <v>14</v>
      </c>
      <c r="H21588">
        <v>9</v>
      </c>
      <c r="I21588">
        <v>216</v>
      </c>
      <c r="J21588">
        <v>1</v>
      </c>
      <c r="K21588">
        <v>10</v>
      </c>
      <c r="L21588">
        <v>209</v>
      </c>
      <c r="M21588">
        <v>1</v>
      </c>
      <c r="N21588">
        <v>7.6766099999999995E-42</v>
      </c>
      <c r="O21588">
        <v>427</v>
      </c>
    </row>
    <row r="21589" spans="1:15" x14ac:dyDescent="0.25">
      <c r="A21589" t="s">
        <v>21602</v>
      </c>
      <c r="B21589">
        <v>164</v>
      </c>
      <c r="C21589" s="1" t="str">
        <f>HYPERLINK("http://www.rosaceae.org/gb/gbrowse/malus_x_domestica/?name=MDP0000932247","MDP0000932247")</f>
        <v>MDP0000932247</v>
      </c>
      <c r="D21589">
        <v>31.32</v>
      </c>
      <c r="E21589">
        <v>166</v>
      </c>
      <c r="F21589">
        <v>114</v>
      </c>
      <c r="G21589">
        <v>32</v>
      </c>
      <c r="H21589">
        <v>18</v>
      </c>
      <c r="I21589">
        <v>157</v>
      </c>
      <c r="J21589">
        <v>1</v>
      </c>
      <c r="K21589">
        <v>20</v>
      </c>
      <c r="L21589">
        <v>179</v>
      </c>
      <c r="M21589">
        <v>1</v>
      </c>
      <c r="N21589">
        <v>1.34816E-10</v>
      </c>
      <c r="O21589">
        <v>151</v>
      </c>
    </row>
    <row r="21590" spans="1:15" x14ac:dyDescent="0.25">
      <c r="A21590" t="s">
        <v>21603</v>
      </c>
      <c r="B21590">
        <v>271</v>
      </c>
      <c r="C21590" s="1" t="str">
        <f>HYPERLINK("http://www.rosaceae.org/gb/gbrowse/malus_x_domestica/?name=MDP0000153077","MDP0000153077")</f>
        <v>MDP0000153077</v>
      </c>
      <c r="D21590">
        <v>33.119999999999997</v>
      </c>
      <c r="E21590">
        <v>163</v>
      </c>
      <c r="F21590">
        <v>109</v>
      </c>
      <c r="G21590">
        <v>22</v>
      </c>
      <c r="H21590">
        <v>10</v>
      </c>
      <c r="I21590">
        <v>165</v>
      </c>
      <c r="J21590">
        <v>1</v>
      </c>
      <c r="K21590">
        <v>1</v>
      </c>
      <c r="L21590">
        <v>148</v>
      </c>
      <c r="M21590">
        <v>1</v>
      </c>
      <c r="N21590">
        <v>3.1665899999999999E-14</v>
      </c>
      <c r="O21590">
        <v>186</v>
      </c>
    </row>
    <row r="21591" spans="1:15" x14ac:dyDescent="0.25">
      <c r="A21591" t="s">
        <v>21604</v>
      </c>
      <c r="B21591">
        <v>101</v>
      </c>
      <c r="C21591" s="1" t="str">
        <f>HYPERLINK("http://www.rosaceae.org/gb/gbrowse/malus_x_domestica/?name=MDP0000320189","MDP0000320189")</f>
        <v>MDP0000320189</v>
      </c>
      <c r="D21591">
        <v>86.31</v>
      </c>
      <c r="E21591">
        <v>95</v>
      </c>
      <c r="F21591">
        <v>13</v>
      </c>
      <c r="G21591">
        <v>0</v>
      </c>
      <c r="H21591">
        <v>7</v>
      </c>
      <c r="I21591">
        <v>101</v>
      </c>
      <c r="J21591">
        <v>1</v>
      </c>
      <c r="K21591">
        <v>115</v>
      </c>
      <c r="L21591">
        <v>209</v>
      </c>
      <c r="M21591">
        <v>1</v>
      </c>
      <c r="N21591">
        <v>6.2804299999999998E-45</v>
      </c>
      <c r="O21591">
        <v>445</v>
      </c>
    </row>
    <row r="21592" spans="1:15" x14ac:dyDescent="0.25">
      <c r="A21592" t="s">
        <v>21605</v>
      </c>
      <c r="B21592">
        <v>445</v>
      </c>
      <c r="C21592" s="1" t="str">
        <f>HYPERLINK("http://www.rosaceae.org/gb/gbrowse/malus_x_domestica/?name=MDP0000140360","MDP0000140360")</f>
        <v>MDP0000140360</v>
      </c>
      <c r="D21592">
        <v>84.51</v>
      </c>
      <c r="E21592">
        <v>439</v>
      </c>
      <c r="F21592">
        <v>68</v>
      </c>
      <c r="G21592">
        <v>0</v>
      </c>
      <c r="H21592">
        <v>1</v>
      </c>
      <c r="I21592">
        <v>439</v>
      </c>
      <c r="J21592">
        <v>1</v>
      </c>
      <c r="K21592">
        <v>73</v>
      </c>
      <c r="L21592">
        <v>511</v>
      </c>
      <c r="M21592">
        <v>1</v>
      </c>
      <c r="N21592">
        <v>0</v>
      </c>
      <c r="O21592">
        <v>1988</v>
      </c>
    </row>
    <row r="21593" spans="1:15" x14ac:dyDescent="0.25">
      <c r="A21593" t="s">
        <v>21606</v>
      </c>
      <c r="B21593">
        <v>382</v>
      </c>
      <c r="C21593" s="1" t="str">
        <f>HYPERLINK("http://www.rosaceae.org/gb/gbrowse/malus_x_domestica/?name=MDP0000263077","MDP0000263077")</f>
        <v>MDP0000263077</v>
      </c>
      <c r="D21593">
        <v>72.540000000000006</v>
      </c>
      <c r="E21593">
        <v>357</v>
      </c>
      <c r="F21593">
        <v>98</v>
      </c>
      <c r="G21593">
        <v>2</v>
      </c>
      <c r="H21593">
        <v>26</v>
      </c>
      <c r="I21593">
        <v>382</v>
      </c>
      <c r="J21593">
        <v>1</v>
      </c>
      <c r="K21593">
        <v>27</v>
      </c>
      <c r="L21593">
        <v>381</v>
      </c>
      <c r="M21593">
        <v>1</v>
      </c>
      <c r="N21593">
        <v>4.4231499999999998E-153</v>
      </c>
      <c r="O21593">
        <v>1385</v>
      </c>
    </row>
    <row r="21594" spans="1:15" x14ac:dyDescent="0.25">
      <c r="A21594" t="s">
        <v>21607</v>
      </c>
      <c r="B21594">
        <v>1158</v>
      </c>
      <c r="C21594" s="1" t="str">
        <f>HYPERLINK("http://www.rosaceae.org/gb/gbrowse/malus_x_domestica/?name=MDP0000177228","MDP0000177228")</f>
        <v>MDP0000177228</v>
      </c>
      <c r="D21594">
        <v>35.51</v>
      </c>
      <c r="E21594">
        <v>107</v>
      </c>
      <c r="F21594">
        <v>69</v>
      </c>
      <c r="G21594">
        <v>0</v>
      </c>
      <c r="H21594">
        <v>768</v>
      </c>
      <c r="I21594">
        <v>874</v>
      </c>
      <c r="J21594">
        <v>1</v>
      </c>
      <c r="K21594">
        <v>94</v>
      </c>
      <c r="L21594">
        <v>200</v>
      </c>
      <c r="M21594">
        <v>1</v>
      </c>
      <c r="N21594">
        <v>8.74613E-15</v>
      </c>
      <c r="O21594">
        <v>198</v>
      </c>
    </row>
    <row r="21595" spans="1:15" x14ac:dyDescent="0.25">
      <c r="A21595" t="s">
        <v>21608</v>
      </c>
      <c r="B21595">
        <v>271</v>
      </c>
      <c r="C21595" s="1" t="str">
        <f>HYPERLINK("http://www.rosaceae.org/gb/gbrowse/malus_x_domestica/?name=MDP0000228102","MDP0000228102")</f>
        <v>MDP0000228102</v>
      </c>
      <c r="D21595">
        <v>75</v>
      </c>
      <c r="E21595">
        <v>164</v>
      </c>
      <c r="F21595">
        <v>41</v>
      </c>
      <c r="G21595">
        <v>3</v>
      </c>
      <c r="H21595">
        <v>1</v>
      </c>
      <c r="I21595">
        <v>161</v>
      </c>
      <c r="J21595">
        <v>1</v>
      </c>
      <c r="K21595">
        <v>1</v>
      </c>
      <c r="L21595">
        <v>164</v>
      </c>
      <c r="M21595">
        <v>1</v>
      </c>
      <c r="N21595">
        <v>1.03597E-69</v>
      </c>
      <c r="O21595">
        <v>665</v>
      </c>
    </row>
    <row r="21596" spans="1:15" x14ac:dyDescent="0.25">
      <c r="A21596" t="s">
        <v>21609</v>
      </c>
      <c r="B21596">
        <v>1604</v>
      </c>
      <c r="C21596" s="1" t="str">
        <f>HYPERLINK("http://www.rosaceae.org/gb/gbrowse/malus_x_domestica/?name=MDP0000148828","MDP0000148828")</f>
        <v>MDP0000148828</v>
      </c>
      <c r="D21596">
        <v>36.21</v>
      </c>
      <c r="E21596">
        <v>776</v>
      </c>
      <c r="F21596">
        <v>495</v>
      </c>
      <c r="G21596">
        <v>208</v>
      </c>
      <c r="H21596">
        <v>684</v>
      </c>
      <c r="I21596">
        <v>1440</v>
      </c>
      <c r="J21596">
        <v>1</v>
      </c>
      <c r="K21596">
        <v>234</v>
      </c>
      <c r="L21596">
        <v>820</v>
      </c>
      <c r="M21596">
        <v>1</v>
      </c>
      <c r="N21596">
        <v>7.4128500000000001E-96</v>
      </c>
      <c r="O21596">
        <v>898</v>
      </c>
    </row>
    <row r="21597" spans="1:15" x14ac:dyDescent="0.25">
      <c r="A21597" t="s">
        <v>21610</v>
      </c>
      <c r="B21597">
        <v>114</v>
      </c>
      <c r="C21597" s="1" t="str">
        <f>HYPERLINK("http://www.rosaceae.org/gb/gbrowse/malus_x_domestica/?name=MDP0000155705","MDP0000155705")</f>
        <v>MDP0000155705</v>
      </c>
      <c r="D21597">
        <v>56.86</v>
      </c>
      <c r="E21597">
        <v>51</v>
      </c>
      <c r="F21597">
        <v>22</v>
      </c>
      <c r="G21597">
        <v>5</v>
      </c>
      <c r="H21597">
        <v>30</v>
      </c>
      <c r="I21597">
        <v>75</v>
      </c>
      <c r="J21597">
        <v>1</v>
      </c>
      <c r="K21597">
        <v>206</v>
      </c>
      <c r="L21597">
        <v>256</v>
      </c>
      <c r="M21597">
        <v>1</v>
      </c>
      <c r="N21597">
        <v>5.8359800000000004E-9</v>
      </c>
      <c r="O21597">
        <v>135</v>
      </c>
    </row>
    <row r="21598" spans="1:15" x14ac:dyDescent="0.25">
      <c r="A21598" t="s">
        <v>21611</v>
      </c>
      <c r="B21598">
        <v>403</v>
      </c>
      <c r="C21598" s="1" t="str">
        <f>HYPERLINK("http://www.rosaceae.org/gb/gbrowse/malus_x_domestica/?name=MDP0000286457","MDP0000286457")</f>
        <v>MDP0000286457</v>
      </c>
      <c r="D21598">
        <v>43.61</v>
      </c>
      <c r="E21598">
        <v>282</v>
      </c>
      <c r="F21598">
        <v>159</v>
      </c>
      <c r="G21598">
        <v>39</v>
      </c>
      <c r="H21598">
        <v>31</v>
      </c>
      <c r="I21598">
        <v>273</v>
      </c>
      <c r="J21598">
        <v>1</v>
      </c>
      <c r="K21598">
        <v>65</v>
      </c>
      <c r="L21598">
        <v>346</v>
      </c>
      <c r="M21598">
        <v>1</v>
      </c>
      <c r="N21598">
        <v>1.18494E-60</v>
      </c>
      <c r="O21598">
        <v>589</v>
      </c>
    </row>
    <row r="21599" spans="1:15" x14ac:dyDescent="0.25">
      <c r="A21599" t="s">
        <v>21612</v>
      </c>
      <c r="B21599">
        <v>569</v>
      </c>
      <c r="C21599" s="1" t="str">
        <f>HYPERLINK("http://www.rosaceae.org/gb/gbrowse/malus_x_domestica/?name=MDP0000230908","MDP0000230908")</f>
        <v>MDP0000230908</v>
      </c>
      <c r="D21599">
        <v>66.58</v>
      </c>
      <c r="E21599">
        <v>386</v>
      </c>
      <c r="F21599">
        <v>129</v>
      </c>
      <c r="G21599">
        <v>32</v>
      </c>
      <c r="H21599">
        <v>60</v>
      </c>
      <c r="I21599">
        <v>428</v>
      </c>
      <c r="J21599">
        <v>1</v>
      </c>
      <c r="K21599">
        <v>67</v>
      </c>
      <c r="L21599">
        <v>437</v>
      </c>
      <c r="M21599">
        <v>1</v>
      </c>
      <c r="N21599">
        <v>6.6373899999999999E-134</v>
      </c>
      <c r="O21599">
        <v>1222</v>
      </c>
    </row>
    <row r="21600" spans="1:15" x14ac:dyDescent="0.25">
      <c r="A21600" t="s">
        <v>21613</v>
      </c>
      <c r="B21600">
        <v>271</v>
      </c>
      <c r="C21600" s="1" t="str">
        <f>HYPERLINK("http://www.rosaceae.org/gb/gbrowse/malus_x_domestica/?name=MDP0000796914","MDP0000796914")</f>
        <v>MDP0000796914</v>
      </c>
      <c r="D21600">
        <v>69.709999999999994</v>
      </c>
      <c r="E21600">
        <v>208</v>
      </c>
      <c r="F21600">
        <v>63</v>
      </c>
      <c r="G21600">
        <v>6</v>
      </c>
      <c r="H21600">
        <v>27</v>
      </c>
      <c r="I21600">
        <v>232</v>
      </c>
      <c r="J21600">
        <v>1</v>
      </c>
      <c r="K21600">
        <v>1</v>
      </c>
      <c r="L21600">
        <v>204</v>
      </c>
      <c r="M21600">
        <v>1</v>
      </c>
      <c r="N21600">
        <v>4.7694999999999996E-69</v>
      </c>
      <c r="O21600">
        <v>659</v>
      </c>
    </row>
    <row r="21601" spans="1:15" x14ac:dyDescent="0.25">
      <c r="A21601" t="s">
        <v>21614</v>
      </c>
      <c r="B21601">
        <v>748</v>
      </c>
      <c r="C21601" s="1" t="str">
        <f>HYPERLINK("http://www.rosaceae.org/gb/gbrowse/malus_x_domestica/?name=MDP0000254144","MDP0000254144")</f>
        <v>MDP0000254144</v>
      </c>
      <c r="D21601">
        <v>82.62</v>
      </c>
      <c r="E21601">
        <v>731</v>
      </c>
      <c r="F21601">
        <v>127</v>
      </c>
      <c r="G21601">
        <v>0</v>
      </c>
      <c r="H21601">
        <v>1</v>
      </c>
      <c r="I21601">
        <v>731</v>
      </c>
      <c r="J21601">
        <v>1</v>
      </c>
      <c r="K21601">
        <v>1</v>
      </c>
      <c r="L21601">
        <v>731</v>
      </c>
      <c r="M21601">
        <v>1</v>
      </c>
      <c r="N21601">
        <v>0</v>
      </c>
      <c r="O21601">
        <v>3273</v>
      </c>
    </row>
    <row r="21602" spans="1:15" x14ac:dyDescent="0.25">
      <c r="A21602" t="s">
        <v>21615</v>
      </c>
      <c r="B21602">
        <v>532</v>
      </c>
      <c r="C21602" s="1" t="str">
        <f>HYPERLINK("http://www.rosaceae.org/gb/gbrowse/malus_x_domestica/?name=MDP0000265164","MDP0000265164")</f>
        <v>MDP0000265164</v>
      </c>
      <c r="D21602">
        <v>38.340000000000003</v>
      </c>
      <c r="E21602">
        <v>472</v>
      </c>
      <c r="F21602">
        <v>291</v>
      </c>
      <c r="G21602">
        <v>52</v>
      </c>
      <c r="H21602">
        <v>80</v>
      </c>
      <c r="I21602">
        <v>527</v>
      </c>
      <c r="J21602">
        <v>1</v>
      </c>
      <c r="K21602">
        <v>622</v>
      </c>
      <c r="L21602">
        <v>1065</v>
      </c>
      <c r="M21602">
        <v>1</v>
      </c>
      <c r="N21602">
        <v>7.7876200000000002E-63</v>
      </c>
      <c r="O21602">
        <v>609</v>
      </c>
    </row>
    <row r="21603" spans="1:15" x14ac:dyDescent="0.25">
      <c r="A21603" t="s">
        <v>21616</v>
      </c>
      <c r="B21603">
        <v>312</v>
      </c>
      <c r="C21603" s="1" t="str">
        <f>HYPERLINK("http://www.rosaceae.org/gb/gbrowse/malus_x_domestica/?name=MDP0000247605","MDP0000247605")</f>
        <v>MDP0000247605</v>
      </c>
      <c r="D21603">
        <v>63.84</v>
      </c>
      <c r="E21603">
        <v>343</v>
      </c>
      <c r="F21603">
        <v>124</v>
      </c>
      <c r="G21603">
        <v>38</v>
      </c>
      <c r="H21603">
        <v>1</v>
      </c>
      <c r="I21603">
        <v>312</v>
      </c>
      <c r="J21603">
        <v>1</v>
      </c>
      <c r="K21603">
        <v>1</v>
      </c>
      <c r="L21603">
        <v>336</v>
      </c>
      <c r="M21603">
        <v>1</v>
      </c>
      <c r="N21603">
        <v>1.9093399999999999E-119</v>
      </c>
      <c r="O21603">
        <v>1094</v>
      </c>
    </row>
    <row r="21604" spans="1:15" x14ac:dyDescent="0.25">
      <c r="A21604" t="s">
        <v>21617</v>
      </c>
      <c r="B21604">
        <v>140</v>
      </c>
      <c r="C21604" s="1" t="str">
        <f>HYPERLINK("http://www.rosaceae.org/gb/gbrowse/malus_x_domestica/?name=MDP0000534175","MDP0000534175")</f>
        <v>MDP0000534175</v>
      </c>
      <c r="D21604">
        <v>77.14</v>
      </c>
      <c r="E21604">
        <v>140</v>
      </c>
      <c r="F21604">
        <v>32</v>
      </c>
      <c r="G21604">
        <v>0</v>
      </c>
      <c r="H21604">
        <v>1</v>
      </c>
      <c r="I21604">
        <v>140</v>
      </c>
      <c r="J21604">
        <v>1</v>
      </c>
      <c r="K21604">
        <v>1</v>
      </c>
      <c r="L21604">
        <v>140</v>
      </c>
      <c r="M21604">
        <v>1</v>
      </c>
      <c r="N21604">
        <v>2.79608E-56</v>
      </c>
      <c r="O21604">
        <v>544</v>
      </c>
    </row>
    <row r="21605" spans="1:15" x14ac:dyDescent="0.25">
      <c r="A21605" t="s">
        <v>21618</v>
      </c>
      <c r="B21605">
        <v>1436</v>
      </c>
      <c r="C21605" s="1" t="str">
        <f>HYPERLINK("http://www.rosaceae.org/gb/gbrowse/malus_x_domestica/?name=MDP0000145604","MDP0000145604")</f>
        <v>MDP0000145604</v>
      </c>
      <c r="D21605">
        <v>73.13</v>
      </c>
      <c r="E21605">
        <v>1273</v>
      </c>
      <c r="F21605">
        <v>342</v>
      </c>
      <c r="G21605">
        <v>80</v>
      </c>
      <c r="H21605">
        <v>190</v>
      </c>
      <c r="I21605">
        <v>1436</v>
      </c>
      <c r="J21605">
        <v>1</v>
      </c>
      <c r="K21605">
        <v>325</v>
      </c>
      <c r="L21605">
        <v>1543</v>
      </c>
      <c r="M21605">
        <v>1</v>
      </c>
      <c r="N21605">
        <v>0</v>
      </c>
      <c r="O21605">
        <v>4537</v>
      </c>
    </row>
    <row r="21606" spans="1:15" x14ac:dyDescent="0.25">
      <c r="A21606" t="s">
        <v>21619</v>
      </c>
      <c r="B21606">
        <v>800</v>
      </c>
      <c r="C21606" s="1" t="str">
        <f>HYPERLINK("http://www.rosaceae.org/gb/gbrowse/malus_x_domestica/?name=MDP0000297707","MDP0000297707")</f>
        <v>MDP0000297707</v>
      </c>
      <c r="D21606">
        <v>59.85</v>
      </c>
      <c r="E21606">
        <v>568</v>
      </c>
      <c r="F21606">
        <v>228</v>
      </c>
      <c r="G21606">
        <v>4</v>
      </c>
      <c r="H21606">
        <v>198</v>
      </c>
      <c r="I21606">
        <v>763</v>
      </c>
      <c r="J21606">
        <v>1</v>
      </c>
      <c r="K21606">
        <v>1011</v>
      </c>
      <c r="L21606">
        <v>1576</v>
      </c>
      <c r="M21606">
        <v>1</v>
      </c>
      <c r="N21606">
        <v>0</v>
      </c>
      <c r="O21606">
        <v>1703</v>
      </c>
    </row>
    <row r="21607" spans="1:15" x14ac:dyDescent="0.25">
      <c r="A21607" t="s">
        <v>21620</v>
      </c>
      <c r="B21607">
        <v>185</v>
      </c>
      <c r="C21607" s="1" t="str">
        <f>HYPERLINK("http://www.rosaceae.org/gb/gbrowse/malus_x_domestica/?name=MDP0000034109","MDP0000034109")</f>
        <v>MDP0000034109</v>
      </c>
      <c r="D21607">
        <v>74.59</v>
      </c>
      <c r="E21607">
        <v>185</v>
      </c>
      <c r="F21607">
        <v>47</v>
      </c>
      <c r="G21607">
        <v>0</v>
      </c>
      <c r="H21607">
        <v>1</v>
      </c>
      <c r="I21607">
        <v>185</v>
      </c>
      <c r="J21607">
        <v>1</v>
      </c>
      <c r="K21607">
        <v>1</v>
      </c>
      <c r="L21607">
        <v>185</v>
      </c>
      <c r="M21607">
        <v>1</v>
      </c>
      <c r="N21607">
        <v>3.3814100000000002E-75</v>
      </c>
      <c r="O21607">
        <v>710</v>
      </c>
    </row>
    <row r="21608" spans="1:15" x14ac:dyDescent="0.25">
      <c r="A21608" t="s">
        <v>21621</v>
      </c>
      <c r="B21608">
        <v>681</v>
      </c>
      <c r="C21608" s="1" t="str">
        <f>HYPERLINK("http://www.rosaceae.org/gb/gbrowse/malus_x_domestica/?name=MDP0000153639","MDP0000153639")</f>
        <v>MDP0000153639</v>
      </c>
      <c r="D21608">
        <v>68.010000000000005</v>
      </c>
      <c r="E21608">
        <v>669</v>
      </c>
      <c r="F21608">
        <v>214</v>
      </c>
      <c r="G21608">
        <v>25</v>
      </c>
      <c r="H21608">
        <v>34</v>
      </c>
      <c r="I21608">
        <v>680</v>
      </c>
      <c r="J21608">
        <v>1</v>
      </c>
      <c r="K21608">
        <v>35</v>
      </c>
      <c r="L21608">
        <v>700</v>
      </c>
      <c r="M21608">
        <v>1</v>
      </c>
      <c r="N21608">
        <v>0</v>
      </c>
      <c r="O21608">
        <v>2235</v>
      </c>
    </row>
    <row r="21609" spans="1:15" x14ac:dyDescent="0.25">
      <c r="A21609" t="s">
        <v>21622</v>
      </c>
      <c r="B21609">
        <v>212</v>
      </c>
      <c r="C21609" s="1" t="str">
        <f>HYPERLINK("http://www.rosaceae.org/gb/gbrowse/malus_x_domestica/?name=MDP0000172982","MDP0000172982")</f>
        <v>MDP0000172982</v>
      </c>
      <c r="D21609">
        <v>79.8</v>
      </c>
      <c r="E21609">
        <v>203</v>
      </c>
      <c r="F21609">
        <v>41</v>
      </c>
      <c r="G21609">
        <v>3</v>
      </c>
      <c r="H21609">
        <v>11</v>
      </c>
      <c r="I21609">
        <v>212</v>
      </c>
      <c r="J21609">
        <v>1</v>
      </c>
      <c r="K21609">
        <v>539</v>
      </c>
      <c r="L21609">
        <v>739</v>
      </c>
      <c r="M21609">
        <v>1</v>
      </c>
      <c r="N21609">
        <v>9.8856200000000006E-90</v>
      </c>
      <c r="O21609">
        <v>836</v>
      </c>
    </row>
    <row r="21610" spans="1:15" x14ac:dyDescent="0.25">
      <c r="A21610" t="s">
        <v>21623</v>
      </c>
      <c r="B21610">
        <v>284</v>
      </c>
      <c r="C21610" s="1" t="str">
        <f>HYPERLINK("http://www.rosaceae.org/gb/gbrowse/malus_x_domestica/?name=MDP0000881155","MDP0000881155")</f>
        <v>MDP0000881155</v>
      </c>
      <c r="D21610">
        <v>68.42</v>
      </c>
      <c r="E21610">
        <v>114</v>
      </c>
      <c r="F21610">
        <v>36</v>
      </c>
      <c r="G21610">
        <v>3</v>
      </c>
      <c r="H21610">
        <v>171</v>
      </c>
      <c r="I21610">
        <v>284</v>
      </c>
      <c r="J21610">
        <v>1</v>
      </c>
      <c r="K21610">
        <v>180</v>
      </c>
      <c r="L21610">
        <v>290</v>
      </c>
      <c r="M21610">
        <v>1</v>
      </c>
      <c r="N21610">
        <v>5.6370099999999999E-36</v>
      </c>
      <c r="O21610">
        <v>374</v>
      </c>
    </row>
    <row r="21611" spans="1:15" x14ac:dyDescent="0.25">
      <c r="A21611" t="s">
        <v>21624</v>
      </c>
      <c r="B21611">
        <v>180</v>
      </c>
      <c r="C21611" s="1" t="str">
        <f>HYPERLINK("http://www.rosaceae.org/gb/gbrowse/malus_x_domestica/?name=MDP0000223749","MDP0000223749")</f>
        <v>MDP0000223749</v>
      </c>
      <c r="D21611">
        <v>64.17</v>
      </c>
      <c r="E21611">
        <v>201</v>
      </c>
      <c r="F21611">
        <v>72</v>
      </c>
      <c r="G21611">
        <v>25</v>
      </c>
      <c r="H21611">
        <v>1</v>
      </c>
      <c r="I21611">
        <v>180</v>
      </c>
      <c r="J21611">
        <v>1</v>
      </c>
      <c r="K21611">
        <v>1</v>
      </c>
      <c r="L21611">
        <v>197</v>
      </c>
      <c r="M21611">
        <v>1</v>
      </c>
      <c r="N21611">
        <v>6.7756999999999998E-66</v>
      </c>
      <c r="O21611">
        <v>629</v>
      </c>
    </row>
    <row r="21612" spans="1:15" x14ac:dyDescent="0.25">
      <c r="A21612" t="s">
        <v>21625</v>
      </c>
      <c r="B21612">
        <v>368</v>
      </c>
      <c r="C21612" s="1" t="str">
        <f>HYPERLINK("http://www.rosaceae.org/gb/gbrowse/malus_x_domestica/?name=MDP0000554950","MDP0000554950")</f>
        <v>MDP0000554950</v>
      </c>
      <c r="D21612">
        <v>68.180000000000007</v>
      </c>
      <c r="E21612">
        <v>308</v>
      </c>
      <c r="F21612">
        <v>98</v>
      </c>
      <c r="G21612">
        <v>3</v>
      </c>
      <c r="H21612">
        <v>1</v>
      </c>
      <c r="I21612">
        <v>307</v>
      </c>
      <c r="J21612">
        <v>1</v>
      </c>
      <c r="K21612">
        <v>1</v>
      </c>
      <c r="L21612">
        <v>306</v>
      </c>
      <c r="M21612">
        <v>1</v>
      </c>
      <c r="N21612">
        <v>1.42206E-118</v>
      </c>
      <c r="O21612">
        <v>1088</v>
      </c>
    </row>
    <row r="21613" spans="1:15" x14ac:dyDescent="0.25">
      <c r="A21613" t="s">
        <v>21626</v>
      </c>
      <c r="B21613">
        <v>126</v>
      </c>
      <c r="C21613" s="1" t="str">
        <f>HYPERLINK("http://www.rosaceae.org/gb/gbrowse/malus_x_domestica/?name=MDP0000195070","MDP0000195070")</f>
        <v>MDP0000195070</v>
      </c>
      <c r="D21613">
        <v>65.760000000000005</v>
      </c>
      <c r="E21613">
        <v>111</v>
      </c>
      <c r="F21613">
        <v>38</v>
      </c>
      <c r="G21613">
        <v>0</v>
      </c>
      <c r="H21613">
        <v>9</v>
      </c>
      <c r="I21613">
        <v>119</v>
      </c>
      <c r="J21613">
        <v>1</v>
      </c>
      <c r="K21613">
        <v>16</v>
      </c>
      <c r="L21613">
        <v>126</v>
      </c>
      <c r="M21613">
        <v>1</v>
      </c>
      <c r="N21613">
        <v>5.83063E-40</v>
      </c>
      <c r="O21613">
        <v>402</v>
      </c>
    </row>
    <row r="21614" spans="1:15" x14ac:dyDescent="0.25">
      <c r="A21614" t="s">
        <v>21627</v>
      </c>
      <c r="B21614">
        <v>572</v>
      </c>
      <c r="C21614" s="1" t="str">
        <f>HYPERLINK("http://www.rosaceae.org/gb/gbrowse/malus_x_domestica/?name=MDP0000315108","MDP0000315108")</f>
        <v>MDP0000315108</v>
      </c>
      <c r="D21614">
        <v>65.75</v>
      </c>
      <c r="E21614">
        <v>587</v>
      </c>
      <c r="F21614">
        <v>201</v>
      </c>
      <c r="G21614">
        <v>33</v>
      </c>
      <c r="H21614">
        <v>1</v>
      </c>
      <c r="I21614">
        <v>565</v>
      </c>
      <c r="J21614">
        <v>1</v>
      </c>
      <c r="K21614">
        <v>8</v>
      </c>
      <c r="L21614">
        <v>583</v>
      </c>
      <c r="M21614">
        <v>1</v>
      </c>
      <c r="N21614">
        <v>0</v>
      </c>
      <c r="O21614">
        <v>1914</v>
      </c>
    </row>
    <row r="21615" spans="1:15" x14ac:dyDescent="0.25">
      <c r="A21615" t="s">
        <v>21628</v>
      </c>
      <c r="B21615">
        <v>147</v>
      </c>
      <c r="C21615" s="1" t="str">
        <f>HYPERLINK("http://www.rosaceae.org/gb/gbrowse/malus_x_domestica/?name=MDP0000255401","MDP0000255401")</f>
        <v>MDP0000255401</v>
      </c>
      <c r="D21615">
        <v>47.55</v>
      </c>
      <c r="E21615">
        <v>143</v>
      </c>
      <c r="F21615">
        <v>75</v>
      </c>
      <c r="G21615">
        <v>5</v>
      </c>
      <c r="H21615">
        <v>1</v>
      </c>
      <c r="I21615">
        <v>143</v>
      </c>
      <c r="J21615">
        <v>1</v>
      </c>
      <c r="K21615">
        <v>106</v>
      </c>
      <c r="L21615">
        <v>243</v>
      </c>
      <c r="M21615">
        <v>1</v>
      </c>
      <c r="N21615">
        <v>5.3148000000000002E-27</v>
      </c>
      <c r="O21615">
        <v>292</v>
      </c>
    </row>
    <row r="21616" spans="1:15" x14ac:dyDescent="0.25">
      <c r="A21616" t="s">
        <v>21629</v>
      </c>
      <c r="B21616">
        <v>192</v>
      </c>
      <c r="C21616" s="1" t="str">
        <f>HYPERLINK("http://www.rosaceae.org/gb/gbrowse/malus_x_domestica/?name=MDP0000782661","MDP0000782661")</f>
        <v>MDP0000782661</v>
      </c>
      <c r="D21616">
        <v>42.22</v>
      </c>
      <c r="E21616">
        <v>90</v>
      </c>
      <c r="F21616">
        <v>52</v>
      </c>
      <c r="G21616">
        <v>9</v>
      </c>
      <c r="H21616">
        <v>55</v>
      </c>
      <c r="I21616">
        <v>139</v>
      </c>
      <c r="J21616">
        <v>1</v>
      </c>
      <c r="K21616">
        <v>193</v>
      </c>
      <c r="L21616">
        <v>278</v>
      </c>
      <c r="M21616">
        <v>1</v>
      </c>
      <c r="N21616">
        <v>2.97167E-16</v>
      </c>
      <c r="O21616">
        <v>201</v>
      </c>
    </row>
    <row r="21617" spans="1:15" x14ac:dyDescent="0.25">
      <c r="A21617" t="s">
        <v>21630</v>
      </c>
      <c r="B21617">
        <v>701</v>
      </c>
      <c r="C21617" s="1" t="str">
        <f>HYPERLINK("http://www.rosaceae.org/gb/gbrowse/malus_x_domestica/?name=MDP0000173897","MDP0000173897")</f>
        <v>MDP0000173897</v>
      </c>
      <c r="D21617">
        <v>94.48</v>
      </c>
      <c r="E21617">
        <v>290</v>
      </c>
      <c r="F21617">
        <v>16</v>
      </c>
      <c r="G21617">
        <v>0</v>
      </c>
      <c r="H21617">
        <v>179</v>
      </c>
      <c r="I21617">
        <v>468</v>
      </c>
      <c r="J21617">
        <v>1</v>
      </c>
      <c r="K21617">
        <v>28</v>
      </c>
      <c r="L21617">
        <v>317</v>
      </c>
      <c r="M21617">
        <v>1</v>
      </c>
      <c r="N21617">
        <v>2.5969499999999999E-164</v>
      </c>
      <c r="O21617">
        <v>1485</v>
      </c>
    </row>
    <row r="21618" spans="1:15" x14ac:dyDescent="0.25">
      <c r="A21618" t="s">
        <v>21631</v>
      </c>
      <c r="B21618">
        <v>397</v>
      </c>
      <c r="C21618" s="1" t="str">
        <f>HYPERLINK("http://www.rosaceae.org/gb/gbrowse/malus_x_domestica/?name=MDP0000257802","MDP0000257802")</f>
        <v>MDP0000257802</v>
      </c>
      <c r="D21618">
        <v>64.12</v>
      </c>
      <c r="E21618">
        <v>223</v>
      </c>
      <c r="F21618">
        <v>80</v>
      </c>
      <c r="G21618">
        <v>6</v>
      </c>
      <c r="H21618">
        <v>181</v>
      </c>
      <c r="I21618">
        <v>397</v>
      </c>
      <c r="J21618">
        <v>1</v>
      </c>
      <c r="K21618">
        <v>2</v>
      </c>
      <c r="L21618">
        <v>224</v>
      </c>
      <c r="M21618">
        <v>1</v>
      </c>
      <c r="N21618">
        <v>1.42325E-77</v>
      </c>
      <c r="O21618">
        <v>734</v>
      </c>
    </row>
    <row r="21619" spans="1:15" x14ac:dyDescent="0.25">
      <c r="A21619" t="s">
        <v>21632</v>
      </c>
      <c r="B21619">
        <v>217</v>
      </c>
      <c r="C21619" s="1" t="str">
        <f>HYPERLINK("http://www.rosaceae.org/gb/gbrowse/malus_x_domestica/?name=MDP0000670228","MDP0000670228")</f>
        <v>MDP0000670228</v>
      </c>
      <c r="D21619">
        <v>37.659999999999997</v>
      </c>
      <c r="E21619">
        <v>154</v>
      </c>
      <c r="F21619">
        <v>96</v>
      </c>
      <c r="G21619">
        <v>33</v>
      </c>
      <c r="H21619">
        <v>92</v>
      </c>
      <c r="I21619">
        <v>212</v>
      </c>
      <c r="J21619">
        <v>1</v>
      </c>
      <c r="K21619">
        <v>155</v>
      </c>
      <c r="L21619">
        <v>308</v>
      </c>
      <c r="M21619">
        <v>1</v>
      </c>
      <c r="N21619">
        <v>7.4847499999999998E-19</v>
      </c>
      <c r="O21619">
        <v>225</v>
      </c>
    </row>
    <row r="21620" spans="1:15" x14ac:dyDescent="0.25">
      <c r="A21620" t="s">
        <v>21633</v>
      </c>
      <c r="B21620">
        <v>113</v>
      </c>
      <c r="C21620" s="1" t="str">
        <f>HYPERLINK("http://www.rosaceae.org/gb/gbrowse/malus_x_domestica/?name=MDP0000662880","MDP0000662880")</f>
        <v>MDP0000662880</v>
      </c>
      <c r="D21620">
        <v>70.75</v>
      </c>
      <c r="E21620">
        <v>106</v>
      </c>
      <c r="F21620">
        <v>31</v>
      </c>
      <c r="G21620">
        <v>0</v>
      </c>
      <c r="H21620">
        <v>1</v>
      </c>
      <c r="I21620">
        <v>106</v>
      </c>
      <c r="J21620">
        <v>1</v>
      </c>
      <c r="K21620">
        <v>1</v>
      </c>
      <c r="L21620">
        <v>106</v>
      </c>
      <c r="M21620">
        <v>1</v>
      </c>
      <c r="N21620">
        <v>9.2549899999999999E-42</v>
      </c>
      <c r="O21620">
        <v>418</v>
      </c>
    </row>
    <row r="21621" spans="1:15" x14ac:dyDescent="0.25">
      <c r="A21621" t="s">
        <v>21634</v>
      </c>
      <c r="B21621">
        <v>374</v>
      </c>
      <c r="C21621" s="1" t="str">
        <f>HYPERLINK("http://www.rosaceae.org/gb/gbrowse/malus_x_domestica/?name=MDP0000182101","MDP0000182101")</f>
        <v>MDP0000182101</v>
      </c>
      <c r="D21621">
        <v>33.33</v>
      </c>
      <c r="E21621">
        <v>147</v>
      </c>
      <c r="F21621">
        <v>98</v>
      </c>
      <c r="G21621">
        <v>1</v>
      </c>
      <c r="H21621">
        <v>201</v>
      </c>
      <c r="I21621">
        <v>346</v>
      </c>
      <c r="J21621">
        <v>1</v>
      </c>
      <c r="K21621">
        <v>206</v>
      </c>
      <c r="L21621">
        <v>352</v>
      </c>
      <c r="M21621">
        <v>1</v>
      </c>
      <c r="N21621">
        <v>3.1211199999999999E-17</v>
      </c>
      <c r="O21621">
        <v>214</v>
      </c>
    </row>
    <row r="21622" spans="1:15" x14ac:dyDescent="0.25">
      <c r="A21622" t="s">
        <v>21635</v>
      </c>
      <c r="B21622">
        <v>128</v>
      </c>
      <c r="C21622" s="1" t="str">
        <f>HYPERLINK("http://www.rosaceae.org/gb/gbrowse/malus_x_domestica/?name=MDP0000240828","MDP0000240828")</f>
        <v>MDP0000240828</v>
      </c>
      <c r="D21622">
        <v>93.75</v>
      </c>
      <c r="E21622">
        <v>32</v>
      </c>
      <c r="F21622">
        <v>2</v>
      </c>
      <c r="G21622">
        <v>0</v>
      </c>
      <c r="H21622">
        <v>16</v>
      </c>
      <c r="I21622">
        <v>47</v>
      </c>
      <c r="J21622">
        <v>1</v>
      </c>
      <c r="K21622">
        <v>191</v>
      </c>
      <c r="L21622">
        <v>222</v>
      </c>
      <c r="M21622">
        <v>1</v>
      </c>
      <c r="N21622">
        <v>1.46718E-12</v>
      </c>
      <c r="O21622">
        <v>166</v>
      </c>
    </row>
    <row r="21623" spans="1:15" x14ac:dyDescent="0.25">
      <c r="A21623" t="s">
        <v>21636</v>
      </c>
      <c r="B21623">
        <v>218</v>
      </c>
      <c r="C21623" s="1" t="str">
        <f>HYPERLINK("http://www.rosaceae.org/gb/gbrowse/malus_x_domestica/?name=MDP0000247933","MDP0000247933")</f>
        <v>MDP0000247933</v>
      </c>
      <c r="D21623">
        <v>40</v>
      </c>
      <c r="E21623">
        <v>90</v>
      </c>
      <c r="F21623">
        <v>54</v>
      </c>
      <c r="G21623">
        <v>22</v>
      </c>
      <c r="H21623">
        <v>100</v>
      </c>
      <c r="I21623">
        <v>188</v>
      </c>
      <c r="J21623">
        <v>1</v>
      </c>
      <c r="K21623">
        <v>35</v>
      </c>
      <c r="L21623">
        <v>103</v>
      </c>
      <c r="M21623">
        <v>1</v>
      </c>
      <c r="N21623">
        <v>2.0432200000000001E-8</v>
      </c>
      <c r="O21623">
        <v>135</v>
      </c>
    </row>
    <row r="21624" spans="1:15" x14ac:dyDescent="0.25">
      <c r="A21624" t="s">
        <v>21637</v>
      </c>
      <c r="B21624">
        <v>326</v>
      </c>
      <c r="C21624" s="1" t="str">
        <f>HYPERLINK("http://www.rosaceae.org/gb/gbrowse/malus_x_domestica/?name=MDP0000264519","MDP0000264519")</f>
        <v>MDP0000264519</v>
      </c>
      <c r="D21624">
        <v>71.23</v>
      </c>
      <c r="E21624">
        <v>292</v>
      </c>
      <c r="F21624">
        <v>84</v>
      </c>
      <c r="G21624">
        <v>0</v>
      </c>
      <c r="H21624">
        <v>35</v>
      </c>
      <c r="I21624">
        <v>326</v>
      </c>
      <c r="J21624">
        <v>1</v>
      </c>
      <c r="K21624">
        <v>37</v>
      </c>
      <c r="L21624">
        <v>328</v>
      </c>
      <c r="M21624">
        <v>1</v>
      </c>
      <c r="N21624">
        <v>2.9916599999999998E-118</v>
      </c>
      <c r="O21624">
        <v>1084</v>
      </c>
    </row>
    <row r="21625" spans="1:15" x14ac:dyDescent="0.25">
      <c r="A21625" t="s">
        <v>21638</v>
      </c>
      <c r="B21625">
        <v>697</v>
      </c>
      <c r="C21625" s="1" t="str">
        <f>HYPERLINK("http://www.rosaceae.org/gb/gbrowse/malus_x_domestica/?name=MDP0000607364","MDP0000607364")</f>
        <v>MDP0000607364</v>
      </c>
      <c r="D21625">
        <v>83.11</v>
      </c>
      <c r="E21625">
        <v>699</v>
      </c>
      <c r="F21625">
        <v>118</v>
      </c>
      <c r="G21625">
        <v>7</v>
      </c>
      <c r="H21625">
        <v>1</v>
      </c>
      <c r="I21625">
        <v>697</v>
      </c>
      <c r="J21625">
        <v>1</v>
      </c>
      <c r="K21625">
        <v>1</v>
      </c>
      <c r="L21625">
        <v>694</v>
      </c>
      <c r="M21625">
        <v>1</v>
      </c>
      <c r="N21625">
        <v>0</v>
      </c>
      <c r="O21625">
        <v>2967</v>
      </c>
    </row>
    <row r="21626" spans="1:15" x14ac:dyDescent="0.25">
      <c r="A21626" t="s">
        <v>21639</v>
      </c>
      <c r="B21626">
        <v>363</v>
      </c>
      <c r="C21626" s="1" t="str">
        <f>HYPERLINK("http://www.rosaceae.org/gb/gbrowse/malus_x_domestica/?name=MDP0000767331","MDP0000767331")</f>
        <v>MDP0000767331</v>
      </c>
      <c r="D21626">
        <v>62.06</v>
      </c>
      <c r="E21626">
        <v>377</v>
      </c>
      <c r="F21626">
        <v>143</v>
      </c>
      <c r="G21626">
        <v>40</v>
      </c>
      <c r="H21626">
        <v>1</v>
      </c>
      <c r="I21626">
        <v>363</v>
      </c>
      <c r="J21626">
        <v>1</v>
      </c>
      <c r="K21626">
        <v>1</v>
      </c>
      <c r="L21626">
        <v>351</v>
      </c>
      <c r="M21626">
        <v>1</v>
      </c>
      <c r="N21626">
        <v>1.80734E-117</v>
      </c>
      <c r="O21626">
        <v>1078</v>
      </c>
    </row>
    <row r="21627" spans="1:15" x14ac:dyDescent="0.25">
      <c r="A21627" t="s">
        <v>21640</v>
      </c>
      <c r="B21627">
        <v>144</v>
      </c>
      <c r="C21627" s="1" t="str">
        <f>HYPERLINK("http://www.rosaceae.org/gb/gbrowse/malus_x_domestica/?name=MDP0000129942","MDP0000129942")</f>
        <v>MDP0000129942</v>
      </c>
      <c r="D21627">
        <v>81.94</v>
      </c>
      <c r="E21627">
        <v>144</v>
      </c>
      <c r="F21627">
        <v>26</v>
      </c>
      <c r="G21627">
        <v>1</v>
      </c>
      <c r="H21627">
        <v>1</v>
      </c>
      <c r="I21627">
        <v>144</v>
      </c>
      <c r="J21627">
        <v>1</v>
      </c>
      <c r="K21627">
        <v>1</v>
      </c>
      <c r="L21627">
        <v>143</v>
      </c>
      <c r="M21627">
        <v>1</v>
      </c>
      <c r="N21627">
        <v>6.6932699999999999E-61</v>
      </c>
      <c r="O21627">
        <v>584</v>
      </c>
    </row>
    <row r="21628" spans="1:15" x14ac:dyDescent="0.25">
      <c r="A21628" t="s">
        <v>21641</v>
      </c>
      <c r="B21628">
        <v>529</v>
      </c>
      <c r="C21628" s="1" t="str">
        <f>HYPERLINK("http://www.rosaceae.org/gb/gbrowse/malus_x_domestica/?name=MDP0000163230","MDP0000163230")</f>
        <v>MDP0000163230</v>
      </c>
      <c r="D21628">
        <v>55.18</v>
      </c>
      <c r="E21628">
        <v>482</v>
      </c>
      <c r="F21628">
        <v>216</v>
      </c>
      <c r="G21628">
        <v>8</v>
      </c>
      <c r="H21628">
        <v>46</v>
      </c>
      <c r="I21628">
        <v>526</v>
      </c>
      <c r="J21628">
        <v>1</v>
      </c>
      <c r="K21628">
        <v>56</v>
      </c>
      <c r="L21628">
        <v>530</v>
      </c>
      <c r="M21628">
        <v>1</v>
      </c>
      <c r="N21628">
        <v>1.09249E-165</v>
      </c>
      <c r="O21628">
        <v>1496</v>
      </c>
    </row>
    <row r="21629" spans="1:15" x14ac:dyDescent="0.25">
      <c r="A21629" t="s">
        <v>21642</v>
      </c>
      <c r="B21629">
        <v>657</v>
      </c>
      <c r="C21629" s="1" t="str">
        <f>HYPERLINK("http://www.rosaceae.org/gb/gbrowse/malus_x_domestica/?name=MDP0000173545","MDP0000173545")</f>
        <v>MDP0000173545</v>
      </c>
      <c r="D21629">
        <v>48.97</v>
      </c>
      <c r="E21629">
        <v>633</v>
      </c>
      <c r="F21629">
        <v>323</v>
      </c>
      <c r="G21629">
        <v>31</v>
      </c>
      <c r="H21629">
        <v>28</v>
      </c>
      <c r="I21629">
        <v>646</v>
      </c>
      <c r="J21629">
        <v>1</v>
      </c>
      <c r="K21629">
        <v>28</v>
      </c>
      <c r="L21629">
        <v>643</v>
      </c>
      <c r="M21629">
        <v>1</v>
      </c>
      <c r="N21629">
        <v>2.71085E-152</v>
      </c>
      <c r="O21629">
        <v>1381</v>
      </c>
    </row>
    <row r="21630" spans="1:15" x14ac:dyDescent="0.25">
      <c r="A21630" t="s">
        <v>21643</v>
      </c>
      <c r="B21630">
        <v>329</v>
      </c>
      <c r="C21630" s="1" t="str">
        <f>HYPERLINK("http://www.rosaceae.org/gb/gbrowse/malus_x_domestica/?name=MDP0000146618","MDP0000146618")</f>
        <v>MDP0000146618</v>
      </c>
      <c r="D21630">
        <v>50.87</v>
      </c>
      <c r="E21630">
        <v>285</v>
      </c>
      <c r="F21630">
        <v>140</v>
      </c>
      <c r="G21630">
        <v>33</v>
      </c>
      <c r="H21630">
        <v>58</v>
      </c>
      <c r="I21630">
        <v>329</v>
      </c>
      <c r="J21630">
        <v>1</v>
      </c>
      <c r="K21630">
        <v>65</v>
      </c>
      <c r="L21630">
        <v>329</v>
      </c>
      <c r="M21630">
        <v>1</v>
      </c>
      <c r="N21630">
        <v>1.8472200000000001E-43</v>
      </c>
      <c r="O21630">
        <v>439</v>
      </c>
    </row>
    <row r="21631" spans="1:15" x14ac:dyDescent="0.25">
      <c r="A21631" t="s">
        <v>21644</v>
      </c>
      <c r="B21631">
        <v>207</v>
      </c>
      <c r="C21631" s="1" t="str">
        <f>HYPERLINK("http://www.rosaceae.org/gb/gbrowse/malus_x_domestica/?name=MDP0000291461","MDP0000291461")</f>
        <v>MDP0000291461</v>
      </c>
      <c r="D21631">
        <v>90.79</v>
      </c>
      <c r="E21631">
        <v>163</v>
      </c>
      <c r="F21631">
        <v>15</v>
      </c>
      <c r="G21631">
        <v>0</v>
      </c>
      <c r="H21631">
        <v>1</v>
      </c>
      <c r="I21631">
        <v>163</v>
      </c>
      <c r="J21631">
        <v>1</v>
      </c>
      <c r="K21631">
        <v>1</v>
      </c>
      <c r="L21631">
        <v>163</v>
      </c>
      <c r="M21631">
        <v>1</v>
      </c>
      <c r="N21631">
        <v>5.1889099999999996E-85</v>
      </c>
      <c r="O21631">
        <v>795</v>
      </c>
    </row>
    <row r="21632" spans="1:15" x14ac:dyDescent="0.25">
      <c r="A21632" t="s">
        <v>21645</v>
      </c>
      <c r="B21632">
        <v>423</v>
      </c>
      <c r="C21632" s="1" t="str">
        <f>HYPERLINK("http://www.rosaceae.org/gb/gbrowse/malus_x_domestica/?name=MDP0000299820","MDP0000299820")</f>
        <v>MDP0000299820</v>
      </c>
      <c r="D21632">
        <v>78.03</v>
      </c>
      <c r="E21632">
        <v>428</v>
      </c>
      <c r="F21632">
        <v>94</v>
      </c>
      <c r="G21632">
        <v>8</v>
      </c>
      <c r="H21632">
        <v>1</v>
      </c>
      <c r="I21632">
        <v>420</v>
      </c>
      <c r="J21632">
        <v>1</v>
      </c>
      <c r="K21632">
        <v>1</v>
      </c>
      <c r="L21632">
        <v>428</v>
      </c>
      <c r="M21632">
        <v>1</v>
      </c>
      <c r="N21632">
        <v>0</v>
      </c>
      <c r="O21632">
        <v>1814</v>
      </c>
    </row>
    <row r="21633" spans="1:15" x14ac:dyDescent="0.25">
      <c r="A21633" t="s">
        <v>21646</v>
      </c>
      <c r="B21633">
        <v>424</v>
      </c>
      <c r="C21633" s="1" t="str">
        <f>HYPERLINK("http://www.rosaceae.org/gb/gbrowse/malus_x_domestica/?name=MDP0000241014","MDP0000241014")</f>
        <v>MDP0000241014</v>
      </c>
      <c r="D21633">
        <v>69.92</v>
      </c>
      <c r="E21633">
        <v>256</v>
      </c>
      <c r="F21633">
        <v>77</v>
      </c>
      <c r="G21633">
        <v>26</v>
      </c>
      <c r="H21633">
        <v>175</v>
      </c>
      <c r="I21633">
        <v>413</v>
      </c>
      <c r="J21633">
        <v>1</v>
      </c>
      <c r="K21633">
        <v>1</v>
      </c>
      <c r="L21633">
        <v>247</v>
      </c>
      <c r="M21633">
        <v>1</v>
      </c>
      <c r="N21633">
        <v>9.4707500000000001E-91</v>
      </c>
      <c r="O21633">
        <v>848</v>
      </c>
    </row>
    <row r="21634" spans="1:15" x14ac:dyDescent="0.25">
      <c r="A21634" t="s">
        <v>21647</v>
      </c>
      <c r="B21634">
        <v>789</v>
      </c>
      <c r="C21634" s="1" t="str">
        <f>HYPERLINK("http://www.rosaceae.org/gb/gbrowse/malus_x_domestica/?name=MDP0000142740","MDP0000142740")</f>
        <v>MDP0000142740</v>
      </c>
      <c r="D21634">
        <v>64.72</v>
      </c>
      <c r="E21634">
        <v>771</v>
      </c>
      <c r="F21634">
        <v>272</v>
      </c>
      <c r="G21634">
        <v>91</v>
      </c>
      <c r="H21634">
        <v>79</v>
      </c>
      <c r="I21634">
        <v>789</v>
      </c>
      <c r="J21634">
        <v>1</v>
      </c>
      <c r="K21634">
        <v>29</v>
      </c>
      <c r="L21634">
        <v>768</v>
      </c>
      <c r="M21634">
        <v>1</v>
      </c>
      <c r="N21634">
        <v>0</v>
      </c>
      <c r="O21634">
        <v>2336</v>
      </c>
    </row>
    <row r="21635" spans="1:15" x14ac:dyDescent="0.25">
      <c r="A21635" t="s">
        <v>21648</v>
      </c>
      <c r="B21635">
        <v>1228</v>
      </c>
      <c r="C21635" s="1" t="str">
        <f>HYPERLINK("http://www.rosaceae.org/gb/gbrowse/malus_x_domestica/?name=MDP0000297622","MDP0000297622")</f>
        <v>MDP0000297622</v>
      </c>
      <c r="D21635">
        <v>76.22</v>
      </c>
      <c r="E21635">
        <v>1102</v>
      </c>
      <c r="F21635">
        <v>262</v>
      </c>
      <c r="G21635">
        <v>83</v>
      </c>
      <c r="H21635">
        <v>173</v>
      </c>
      <c r="I21635">
        <v>1195</v>
      </c>
      <c r="J21635">
        <v>1</v>
      </c>
      <c r="K21635">
        <v>1</v>
      </c>
      <c r="L21635">
        <v>1098</v>
      </c>
      <c r="M21635">
        <v>1</v>
      </c>
      <c r="N21635">
        <v>0</v>
      </c>
      <c r="O21635">
        <v>4262</v>
      </c>
    </row>
    <row r="21636" spans="1:15" x14ac:dyDescent="0.25">
      <c r="A21636" t="s">
        <v>21649</v>
      </c>
      <c r="B21636">
        <v>220</v>
      </c>
      <c r="C21636" s="1" t="str">
        <f>HYPERLINK("http://www.rosaceae.org/gb/gbrowse/malus_x_domestica/?name=MDP0000418727","MDP0000418727")</f>
        <v>MDP0000418727</v>
      </c>
      <c r="D21636">
        <v>36.15</v>
      </c>
      <c r="E21636">
        <v>130</v>
      </c>
      <c r="F21636">
        <v>83</v>
      </c>
      <c r="G21636">
        <v>24</v>
      </c>
      <c r="H21636">
        <v>69</v>
      </c>
      <c r="I21636">
        <v>180</v>
      </c>
      <c r="J21636">
        <v>1</v>
      </c>
      <c r="K21636">
        <v>132</v>
      </c>
      <c r="L21636">
        <v>255</v>
      </c>
      <c r="M21636">
        <v>1</v>
      </c>
      <c r="N21636">
        <v>5.37835E-8</v>
      </c>
      <c r="O21636">
        <v>131</v>
      </c>
    </row>
    <row r="21637" spans="1:15" x14ac:dyDescent="0.25">
      <c r="A21637" t="s">
        <v>21650</v>
      </c>
      <c r="B21637">
        <v>457</v>
      </c>
      <c r="C21637" s="1" t="str">
        <f>HYPERLINK("http://www.rosaceae.org/gb/gbrowse/malus_x_domestica/?name=MDP0000871602","MDP0000871602")</f>
        <v>MDP0000871602</v>
      </c>
      <c r="D21637">
        <v>68.349999999999994</v>
      </c>
      <c r="E21637">
        <v>455</v>
      </c>
      <c r="F21637">
        <v>144</v>
      </c>
      <c r="G21637">
        <v>10</v>
      </c>
      <c r="H21637">
        <v>4</v>
      </c>
      <c r="I21637">
        <v>455</v>
      </c>
      <c r="J21637">
        <v>1</v>
      </c>
      <c r="K21637">
        <v>55</v>
      </c>
      <c r="L21637">
        <v>502</v>
      </c>
      <c r="M21637">
        <v>1</v>
      </c>
      <c r="N21637">
        <v>0</v>
      </c>
      <c r="O21637">
        <v>1651</v>
      </c>
    </row>
    <row r="21638" spans="1:15" x14ac:dyDescent="0.25">
      <c r="A21638" t="s">
        <v>21651</v>
      </c>
      <c r="B21638">
        <v>610</v>
      </c>
      <c r="C21638" s="1" t="str">
        <f>HYPERLINK("http://www.rosaceae.org/gb/gbrowse/malus_x_domestica/?name=MDP0000303676","MDP0000303676")</f>
        <v>MDP0000303676</v>
      </c>
      <c r="D21638">
        <v>72.86</v>
      </c>
      <c r="E21638">
        <v>409</v>
      </c>
      <c r="F21638">
        <v>111</v>
      </c>
      <c r="G21638">
        <v>27</v>
      </c>
      <c r="H21638">
        <v>136</v>
      </c>
      <c r="I21638">
        <v>521</v>
      </c>
      <c r="J21638">
        <v>1</v>
      </c>
      <c r="K21638">
        <v>1</v>
      </c>
      <c r="L21638">
        <v>405</v>
      </c>
      <c r="M21638">
        <v>1</v>
      </c>
      <c r="N21638">
        <v>1.2308600000000001E-168</v>
      </c>
      <c r="O21638">
        <v>1522</v>
      </c>
    </row>
    <row r="21639" spans="1:15" x14ac:dyDescent="0.25">
      <c r="A21639" t="s">
        <v>21652</v>
      </c>
      <c r="B21639">
        <v>848</v>
      </c>
      <c r="C21639" s="1" t="str">
        <f>HYPERLINK("http://www.rosaceae.org/gb/gbrowse/malus_x_domestica/?name=MDP0000139742","MDP0000139742")</f>
        <v>MDP0000139742</v>
      </c>
      <c r="D21639">
        <v>41.7</v>
      </c>
      <c r="E21639">
        <v>211</v>
      </c>
      <c r="F21639">
        <v>123</v>
      </c>
      <c r="G21639">
        <v>4</v>
      </c>
      <c r="H21639">
        <v>639</v>
      </c>
      <c r="I21639">
        <v>847</v>
      </c>
      <c r="J21639">
        <v>1</v>
      </c>
      <c r="K21639">
        <v>353</v>
      </c>
      <c r="L21639">
        <v>561</v>
      </c>
      <c r="M21639">
        <v>1</v>
      </c>
      <c r="N21639">
        <v>5.9714100000000001E-37</v>
      </c>
      <c r="O21639">
        <v>387</v>
      </c>
    </row>
    <row r="21640" spans="1:15" x14ac:dyDescent="0.25">
      <c r="A21640" t="s">
        <v>21653</v>
      </c>
      <c r="B21640">
        <v>424</v>
      </c>
      <c r="C21640" s="1" t="str">
        <f>HYPERLINK("http://www.rosaceae.org/gb/gbrowse/malus_x_domestica/?name=MDP0000848695","MDP0000848695")</f>
        <v>MDP0000848695</v>
      </c>
      <c r="D21640">
        <v>58.97</v>
      </c>
      <c r="E21640">
        <v>312</v>
      </c>
      <c r="F21640">
        <v>128</v>
      </c>
      <c r="G21640">
        <v>5</v>
      </c>
      <c r="H21640">
        <v>1</v>
      </c>
      <c r="I21640">
        <v>311</v>
      </c>
      <c r="J21640">
        <v>1</v>
      </c>
      <c r="K21640">
        <v>1</v>
      </c>
      <c r="L21640">
        <v>308</v>
      </c>
      <c r="M21640">
        <v>1</v>
      </c>
      <c r="N21640">
        <v>2.2476700000000001E-102</v>
      </c>
      <c r="O21640">
        <v>949</v>
      </c>
    </row>
    <row r="21641" spans="1:15" x14ac:dyDescent="0.25">
      <c r="A21641" t="s">
        <v>21654</v>
      </c>
      <c r="B21641">
        <v>609</v>
      </c>
      <c r="C21641" s="1" t="str">
        <f>HYPERLINK("http://www.rosaceae.org/gb/gbrowse/malus_x_domestica/?name=MDP0000275731","MDP0000275731")</f>
        <v>MDP0000275731</v>
      </c>
      <c r="D21641">
        <v>70.89</v>
      </c>
      <c r="E21641">
        <v>323</v>
      </c>
      <c r="F21641">
        <v>94</v>
      </c>
      <c r="G21641">
        <v>4</v>
      </c>
      <c r="H21641">
        <v>1</v>
      </c>
      <c r="I21641">
        <v>320</v>
      </c>
      <c r="J21641">
        <v>1</v>
      </c>
      <c r="K21641">
        <v>71</v>
      </c>
      <c r="L21641">
        <v>392</v>
      </c>
      <c r="M21641">
        <v>1</v>
      </c>
      <c r="N21641">
        <v>4.7155199999999997E-133</v>
      </c>
      <c r="O21641">
        <v>1215</v>
      </c>
    </row>
    <row r="21642" spans="1:15" x14ac:dyDescent="0.25">
      <c r="A21642" t="s">
        <v>21655</v>
      </c>
      <c r="B21642">
        <v>227</v>
      </c>
      <c r="C21642" s="1" t="str">
        <f>HYPERLINK("http://www.rosaceae.org/gb/gbrowse/malus_x_domestica/?name=MDP0000585979","MDP0000585979")</f>
        <v>MDP0000585979</v>
      </c>
      <c r="D21642">
        <v>62.67</v>
      </c>
      <c r="E21642">
        <v>209</v>
      </c>
      <c r="F21642">
        <v>78</v>
      </c>
      <c r="G21642">
        <v>5</v>
      </c>
      <c r="H21642">
        <v>14</v>
      </c>
      <c r="I21642">
        <v>222</v>
      </c>
      <c r="J21642">
        <v>1</v>
      </c>
      <c r="K21642">
        <v>117</v>
      </c>
      <c r="L21642">
        <v>320</v>
      </c>
      <c r="M21642">
        <v>1</v>
      </c>
      <c r="N21642">
        <v>1.02399E-70</v>
      </c>
      <c r="O21642">
        <v>672</v>
      </c>
    </row>
    <row r="21643" spans="1:15" x14ac:dyDescent="0.25">
      <c r="A21643" t="s">
        <v>21656</v>
      </c>
      <c r="B21643">
        <v>242</v>
      </c>
      <c r="C21643" s="1" t="str">
        <f>HYPERLINK("http://www.rosaceae.org/gb/gbrowse/malus_x_domestica/?name=MDP0000093883","MDP0000093883")</f>
        <v>MDP0000093883</v>
      </c>
      <c r="D21643">
        <v>80.989999999999995</v>
      </c>
      <c r="E21643">
        <v>242</v>
      </c>
      <c r="F21643">
        <v>46</v>
      </c>
      <c r="G21643">
        <v>0</v>
      </c>
      <c r="H21643">
        <v>1</v>
      </c>
      <c r="I21643">
        <v>242</v>
      </c>
      <c r="J21643">
        <v>1</v>
      </c>
      <c r="K21643">
        <v>1</v>
      </c>
      <c r="L21643">
        <v>242</v>
      </c>
      <c r="M21643">
        <v>1</v>
      </c>
      <c r="N21643">
        <v>1.6391899999999999E-119</v>
      </c>
      <c r="O21643">
        <v>1093</v>
      </c>
    </row>
    <row r="21644" spans="1:15" x14ac:dyDescent="0.25">
      <c r="A21644" t="s">
        <v>21657</v>
      </c>
      <c r="B21644">
        <v>695</v>
      </c>
      <c r="C21644" s="1" t="str">
        <f>HYPERLINK("http://www.rosaceae.org/gb/gbrowse/malus_x_domestica/?name=MDP0000278996","MDP0000278996")</f>
        <v>MDP0000278996</v>
      </c>
      <c r="D21644">
        <v>89.75</v>
      </c>
      <c r="E21644">
        <v>283</v>
      </c>
      <c r="F21644">
        <v>29</v>
      </c>
      <c r="G21644">
        <v>5</v>
      </c>
      <c r="H21644">
        <v>418</v>
      </c>
      <c r="I21644">
        <v>695</v>
      </c>
      <c r="J21644">
        <v>1</v>
      </c>
      <c r="K21644">
        <v>1</v>
      </c>
      <c r="L21644">
        <v>283</v>
      </c>
      <c r="M21644">
        <v>1</v>
      </c>
      <c r="N21644">
        <v>6.9025099999999996E-153</v>
      </c>
      <c r="O21644">
        <v>1386</v>
      </c>
    </row>
    <row r="21645" spans="1:15" x14ac:dyDescent="0.25">
      <c r="A21645" t="s">
        <v>21658</v>
      </c>
      <c r="B21645">
        <v>664</v>
      </c>
      <c r="C21645" s="1" t="str">
        <f>HYPERLINK("http://www.rosaceae.org/gb/gbrowse/malus_x_domestica/?name=MDP0000178806","MDP0000178806")</f>
        <v>MDP0000178806</v>
      </c>
      <c r="D21645">
        <v>75.17</v>
      </c>
      <c r="E21645">
        <v>439</v>
      </c>
      <c r="F21645">
        <v>109</v>
      </c>
      <c r="G21645">
        <v>34</v>
      </c>
      <c r="H21645">
        <v>16</v>
      </c>
      <c r="I21645">
        <v>425</v>
      </c>
      <c r="J21645">
        <v>1</v>
      </c>
      <c r="K21645">
        <v>15</v>
      </c>
      <c r="L21645">
        <v>448</v>
      </c>
      <c r="M21645">
        <v>1</v>
      </c>
      <c r="N21645">
        <v>0</v>
      </c>
      <c r="O21645">
        <v>1718</v>
      </c>
    </row>
    <row r="21646" spans="1:15" x14ac:dyDescent="0.25">
      <c r="A21646" t="s">
        <v>21659</v>
      </c>
      <c r="B21646">
        <v>1301</v>
      </c>
      <c r="C21646" s="1" t="str">
        <f>HYPERLINK("http://www.rosaceae.org/gb/gbrowse/malus_x_domestica/?name=MDP0000314916","MDP0000314916")</f>
        <v>MDP0000314916</v>
      </c>
      <c r="D21646">
        <v>83.99</v>
      </c>
      <c r="E21646">
        <v>837</v>
      </c>
      <c r="F21646">
        <v>134</v>
      </c>
      <c r="G21646">
        <v>17</v>
      </c>
      <c r="H21646">
        <v>20</v>
      </c>
      <c r="I21646">
        <v>843</v>
      </c>
      <c r="J21646">
        <v>1</v>
      </c>
      <c r="K21646">
        <v>19</v>
      </c>
      <c r="L21646">
        <v>851</v>
      </c>
      <c r="M21646">
        <v>1</v>
      </c>
      <c r="N21646">
        <v>0</v>
      </c>
      <c r="O21646">
        <v>3634</v>
      </c>
    </row>
    <row r="21647" spans="1:15" x14ac:dyDescent="0.25">
      <c r="A21647" t="s">
        <v>21660</v>
      </c>
      <c r="B21647">
        <v>319</v>
      </c>
      <c r="C21647" s="1" t="str">
        <f>HYPERLINK("http://www.rosaceae.org/gb/gbrowse/malus_x_domestica/?name=MDP0000124990","MDP0000124990")</f>
        <v>MDP0000124990</v>
      </c>
      <c r="D21647">
        <v>60.62</v>
      </c>
      <c r="E21647">
        <v>287</v>
      </c>
      <c r="F21647">
        <v>113</v>
      </c>
      <c r="G21647">
        <v>15</v>
      </c>
      <c r="H21647">
        <v>41</v>
      </c>
      <c r="I21647">
        <v>317</v>
      </c>
      <c r="J21647">
        <v>1</v>
      </c>
      <c r="K21647">
        <v>45</v>
      </c>
      <c r="L21647">
        <v>326</v>
      </c>
      <c r="M21647">
        <v>1</v>
      </c>
      <c r="N21647">
        <v>5.2928600000000001E-83</v>
      </c>
      <c r="O21647">
        <v>780</v>
      </c>
    </row>
    <row r="21648" spans="1:15" x14ac:dyDescent="0.25">
      <c r="A21648" t="s">
        <v>21661</v>
      </c>
      <c r="B21648">
        <v>191</v>
      </c>
      <c r="C21648" s="1" t="str">
        <f>HYPERLINK("http://www.rosaceae.org/gb/gbrowse/malus_x_domestica/?name=MDP0000463584","MDP0000463584")</f>
        <v>MDP0000463584</v>
      </c>
      <c r="D21648">
        <v>65.510000000000005</v>
      </c>
      <c r="E21648">
        <v>87</v>
      </c>
      <c r="F21648">
        <v>30</v>
      </c>
      <c r="G21648">
        <v>3</v>
      </c>
      <c r="H21648">
        <v>107</v>
      </c>
      <c r="I21648">
        <v>191</v>
      </c>
      <c r="J21648">
        <v>1</v>
      </c>
      <c r="K21648">
        <v>262</v>
      </c>
      <c r="L21648">
        <v>347</v>
      </c>
      <c r="M21648">
        <v>1</v>
      </c>
      <c r="N21648">
        <v>1.63519E-25</v>
      </c>
      <c r="O21648">
        <v>281</v>
      </c>
    </row>
    <row r="21649" spans="1:15" x14ac:dyDescent="0.25">
      <c r="A21649" t="s">
        <v>21662</v>
      </c>
      <c r="B21649">
        <v>291</v>
      </c>
      <c r="C21649" s="1" t="str">
        <f>HYPERLINK("http://www.rosaceae.org/gb/gbrowse/malus_x_domestica/?name=MDP0000298698","MDP0000298698")</f>
        <v>MDP0000298698</v>
      </c>
      <c r="D21649">
        <v>87.19</v>
      </c>
      <c r="E21649">
        <v>242</v>
      </c>
      <c r="F21649">
        <v>31</v>
      </c>
      <c r="G21649">
        <v>0</v>
      </c>
      <c r="H21649">
        <v>50</v>
      </c>
      <c r="I21649">
        <v>291</v>
      </c>
      <c r="J21649">
        <v>1</v>
      </c>
      <c r="K21649">
        <v>1</v>
      </c>
      <c r="L21649">
        <v>242</v>
      </c>
      <c r="M21649">
        <v>1</v>
      </c>
      <c r="N21649">
        <v>1.0476599999999999E-126</v>
      </c>
      <c r="O21649">
        <v>1156</v>
      </c>
    </row>
    <row r="21650" spans="1:15" x14ac:dyDescent="0.25">
      <c r="A21650" t="s">
        <v>21663</v>
      </c>
      <c r="B21650">
        <v>621</v>
      </c>
      <c r="C21650" s="1" t="str">
        <f>HYPERLINK("http://www.rosaceae.org/gb/gbrowse/malus_x_domestica/?name=MDP0000811081","MDP0000811081")</f>
        <v>MDP0000811081</v>
      </c>
      <c r="D21650">
        <v>89.39</v>
      </c>
      <c r="E21650">
        <v>481</v>
      </c>
      <c r="F21650">
        <v>51</v>
      </c>
      <c r="G21650">
        <v>0</v>
      </c>
      <c r="H21650">
        <v>141</v>
      </c>
      <c r="I21650">
        <v>621</v>
      </c>
      <c r="J21650">
        <v>1</v>
      </c>
      <c r="K21650">
        <v>15</v>
      </c>
      <c r="L21650">
        <v>495</v>
      </c>
      <c r="M21650">
        <v>1</v>
      </c>
      <c r="N21650">
        <v>0</v>
      </c>
      <c r="O21650">
        <v>2315</v>
      </c>
    </row>
    <row r="21651" spans="1:15" x14ac:dyDescent="0.25">
      <c r="A21651" t="s">
        <v>21664</v>
      </c>
      <c r="B21651">
        <v>1047</v>
      </c>
      <c r="C21651" s="1" t="str">
        <f>HYPERLINK("http://www.rosaceae.org/gb/gbrowse/malus_x_domestica/?name=MDP0000268494","MDP0000268494")</f>
        <v>MDP0000268494</v>
      </c>
      <c r="D21651">
        <v>35.450000000000003</v>
      </c>
      <c r="E21651">
        <v>660</v>
      </c>
      <c r="F21651">
        <v>426</v>
      </c>
      <c r="G21651">
        <v>128</v>
      </c>
      <c r="H21651">
        <v>411</v>
      </c>
      <c r="I21651">
        <v>968</v>
      </c>
      <c r="J21651">
        <v>1</v>
      </c>
      <c r="K21651">
        <v>694</v>
      </c>
      <c r="L21651">
        <v>1327</v>
      </c>
      <c r="M21651">
        <v>1</v>
      </c>
      <c r="N21651">
        <v>3.9963699999999998E-84</v>
      </c>
      <c r="O21651">
        <v>795</v>
      </c>
    </row>
    <row r="21652" spans="1:15" x14ac:dyDescent="0.25">
      <c r="A21652" t="s">
        <v>21665</v>
      </c>
      <c r="B21652">
        <v>209</v>
      </c>
      <c r="C21652" s="1" t="str">
        <f>HYPERLINK("http://www.rosaceae.org/gb/gbrowse/malus_x_domestica/?name=MDP0000796501","MDP0000796501")</f>
        <v>MDP0000796501</v>
      </c>
      <c r="D21652">
        <v>58.97</v>
      </c>
      <c r="E21652">
        <v>39</v>
      </c>
      <c r="F21652">
        <v>16</v>
      </c>
      <c r="G21652">
        <v>2</v>
      </c>
      <c r="H21652">
        <v>7</v>
      </c>
      <c r="I21652">
        <v>43</v>
      </c>
      <c r="J21652">
        <v>1</v>
      </c>
      <c r="K21652">
        <v>28</v>
      </c>
      <c r="L21652">
        <v>66</v>
      </c>
      <c r="M21652">
        <v>1</v>
      </c>
      <c r="N21652">
        <v>6.9434500000000004E-7</v>
      </c>
      <c r="O21652">
        <v>121</v>
      </c>
    </row>
    <row r="21653" spans="1:15" x14ac:dyDescent="0.25">
      <c r="A21653" t="s">
        <v>21666</v>
      </c>
      <c r="B21653">
        <v>864</v>
      </c>
      <c r="C21653" s="1" t="str">
        <f>HYPERLINK("http://www.rosaceae.org/gb/gbrowse/malus_x_domestica/?name=MDP0000216269","MDP0000216269")</f>
        <v>MDP0000216269</v>
      </c>
      <c r="D21653">
        <v>59.39</v>
      </c>
      <c r="E21653">
        <v>362</v>
      </c>
      <c r="F21653">
        <v>147</v>
      </c>
      <c r="G21653">
        <v>46</v>
      </c>
      <c r="H21653">
        <v>473</v>
      </c>
      <c r="I21653">
        <v>789</v>
      </c>
      <c r="J21653">
        <v>1</v>
      </c>
      <c r="K21653">
        <v>1824</v>
      </c>
      <c r="L21653">
        <v>2184</v>
      </c>
      <c r="M21653">
        <v>1</v>
      </c>
      <c r="N21653">
        <v>1.20047E-119</v>
      </c>
      <c r="O21653">
        <v>1101</v>
      </c>
    </row>
    <row r="21654" spans="1:15" x14ac:dyDescent="0.25">
      <c r="A21654" t="s">
        <v>21667</v>
      </c>
      <c r="B21654">
        <v>245</v>
      </c>
      <c r="C21654" s="1" t="str">
        <f>HYPERLINK("http://www.rosaceae.org/gb/gbrowse/malus_x_domestica/?name=MDP0000912183","MDP0000912183")</f>
        <v>MDP0000912183</v>
      </c>
      <c r="D21654">
        <v>64.849999999999994</v>
      </c>
      <c r="E21654">
        <v>239</v>
      </c>
      <c r="F21654">
        <v>84</v>
      </c>
      <c r="G21654">
        <v>0</v>
      </c>
      <c r="H21654">
        <v>2</v>
      </c>
      <c r="I21654">
        <v>240</v>
      </c>
      <c r="J21654">
        <v>1</v>
      </c>
      <c r="K21654">
        <v>364</v>
      </c>
      <c r="L21654">
        <v>602</v>
      </c>
      <c r="M21654">
        <v>1</v>
      </c>
      <c r="N21654">
        <v>6.8599900000000002E-89</v>
      </c>
      <c r="O21654">
        <v>829</v>
      </c>
    </row>
    <row r="21655" spans="1:15" x14ac:dyDescent="0.25">
      <c r="A21655" t="s">
        <v>21668</v>
      </c>
      <c r="B21655">
        <v>154</v>
      </c>
      <c r="C21655" s="1" t="str">
        <f>HYPERLINK("http://www.rosaceae.org/gb/gbrowse/malus_x_domestica/?name=MDP0000319696","MDP0000319696")</f>
        <v>MDP0000319696</v>
      </c>
      <c r="D21655">
        <v>65.099999999999994</v>
      </c>
      <c r="E21655">
        <v>149</v>
      </c>
      <c r="F21655">
        <v>52</v>
      </c>
      <c r="G21655">
        <v>0</v>
      </c>
      <c r="H21655">
        <v>1</v>
      </c>
      <c r="I21655">
        <v>149</v>
      </c>
      <c r="J21655">
        <v>1</v>
      </c>
      <c r="K21655">
        <v>94</v>
      </c>
      <c r="L21655">
        <v>242</v>
      </c>
      <c r="M21655">
        <v>1</v>
      </c>
      <c r="N21655">
        <v>4.6427199999999998E-45</v>
      </c>
      <c r="O21655">
        <v>448</v>
      </c>
    </row>
    <row r="21656" spans="1:15" x14ac:dyDescent="0.25">
      <c r="A21656" t="s">
        <v>21669</v>
      </c>
      <c r="B21656">
        <v>567</v>
      </c>
      <c r="C21656" s="1" t="str">
        <f>HYPERLINK("http://www.rosaceae.org/gb/gbrowse/malus_x_domestica/?name=MDP0000259231","MDP0000259231")</f>
        <v>MDP0000259231</v>
      </c>
      <c r="D21656">
        <v>82.37</v>
      </c>
      <c r="E21656">
        <v>539</v>
      </c>
      <c r="F21656">
        <v>95</v>
      </c>
      <c r="G21656">
        <v>36</v>
      </c>
      <c r="H21656">
        <v>35</v>
      </c>
      <c r="I21656">
        <v>567</v>
      </c>
      <c r="J21656">
        <v>1</v>
      </c>
      <c r="K21656">
        <v>27</v>
      </c>
      <c r="L21656">
        <v>535</v>
      </c>
      <c r="M21656">
        <v>1</v>
      </c>
      <c r="N21656">
        <v>0</v>
      </c>
      <c r="O21656">
        <v>2289</v>
      </c>
    </row>
    <row r="21657" spans="1:15" x14ac:dyDescent="0.25">
      <c r="A21657" t="s">
        <v>21670</v>
      </c>
      <c r="B21657">
        <v>147</v>
      </c>
      <c r="C21657" s="1" t="str">
        <f>HYPERLINK("http://www.rosaceae.org/gb/gbrowse/malus_x_domestica/?name=MDP0000941928","MDP0000941928")</f>
        <v>MDP0000941928</v>
      </c>
      <c r="D21657">
        <v>56.08</v>
      </c>
      <c r="E21657">
        <v>148</v>
      </c>
      <c r="F21657">
        <v>65</v>
      </c>
      <c r="G21657">
        <v>1</v>
      </c>
      <c r="H21657">
        <v>1</v>
      </c>
      <c r="I21657">
        <v>147</v>
      </c>
      <c r="J21657">
        <v>1</v>
      </c>
      <c r="K21657">
        <v>1</v>
      </c>
      <c r="L21657">
        <v>148</v>
      </c>
      <c r="M21657">
        <v>1</v>
      </c>
      <c r="N21657">
        <v>6.2098000000000003E-37</v>
      </c>
      <c r="O21657">
        <v>378</v>
      </c>
    </row>
    <row r="21658" spans="1:15" x14ac:dyDescent="0.25">
      <c r="A21658" t="s">
        <v>21671</v>
      </c>
      <c r="B21658">
        <v>325</v>
      </c>
      <c r="C21658" s="1" t="str">
        <f>HYPERLINK("http://www.rosaceae.org/gb/gbrowse/malus_x_domestica/?name=MDP0000537161","MDP0000537161")</f>
        <v>MDP0000537161</v>
      </c>
      <c r="D21658">
        <v>49.84</v>
      </c>
      <c r="E21658">
        <v>319</v>
      </c>
      <c r="F21658">
        <v>160</v>
      </c>
      <c r="G21658">
        <v>22</v>
      </c>
      <c r="H21658">
        <v>4</v>
      </c>
      <c r="I21658">
        <v>319</v>
      </c>
      <c r="J21658">
        <v>1</v>
      </c>
      <c r="K21658">
        <v>49</v>
      </c>
      <c r="L21658">
        <v>348</v>
      </c>
      <c r="M21658">
        <v>1</v>
      </c>
      <c r="N21658">
        <v>2.5315999999999999E-74</v>
      </c>
      <c r="O21658">
        <v>705</v>
      </c>
    </row>
    <row r="21659" spans="1:15" x14ac:dyDescent="0.25">
      <c r="A21659" t="s">
        <v>21672</v>
      </c>
      <c r="B21659">
        <v>282</v>
      </c>
      <c r="C21659" s="1" t="str">
        <f>HYPERLINK("http://www.rosaceae.org/gb/gbrowse/malus_x_domestica/?name=MDP0000665847","MDP0000665847")</f>
        <v>MDP0000665847</v>
      </c>
      <c r="D21659">
        <v>89.36</v>
      </c>
      <c r="E21659">
        <v>282</v>
      </c>
      <c r="F21659">
        <v>30</v>
      </c>
      <c r="G21659">
        <v>1</v>
      </c>
      <c r="H21659">
        <v>1</v>
      </c>
      <c r="I21659">
        <v>282</v>
      </c>
      <c r="J21659">
        <v>1</v>
      </c>
      <c r="K21659">
        <v>1</v>
      </c>
      <c r="L21659">
        <v>281</v>
      </c>
      <c r="M21659">
        <v>1</v>
      </c>
      <c r="N21659">
        <v>1.14394E-146</v>
      </c>
      <c r="O21659">
        <v>1328</v>
      </c>
    </row>
    <row r="21660" spans="1:15" x14ac:dyDescent="0.25">
      <c r="A21660" t="s">
        <v>21673</v>
      </c>
      <c r="B21660">
        <v>180</v>
      </c>
      <c r="C21660" s="1" t="str">
        <f>HYPERLINK("http://www.rosaceae.org/gb/gbrowse/malus_x_domestica/?name=MDP0000308507","MDP0000308507")</f>
        <v>MDP0000308507</v>
      </c>
      <c r="D21660">
        <v>68.92</v>
      </c>
      <c r="E21660">
        <v>177</v>
      </c>
      <c r="F21660">
        <v>55</v>
      </c>
      <c r="G21660">
        <v>0</v>
      </c>
      <c r="H21660">
        <v>1</v>
      </c>
      <c r="I21660">
        <v>177</v>
      </c>
      <c r="J21660">
        <v>1</v>
      </c>
      <c r="K21660">
        <v>39</v>
      </c>
      <c r="L21660">
        <v>215</v>
      </c>
      <c r="M21660">
        <v>1</v>
      </c>
      <c r="N21660">
        <v>1.6684299999999999E-65</v>
      </c>
      <c r="O21660">
        <v>626</v>
      </c>
    </row>
    <row r="21661" spans="1:15" x14ac:dyDescent="0.25">
      <c r="A21661" t="s">
        <v>21674</v>
      </c>
      <c r="B21661">
        <v>972</v>
      </c>
      <c r="C21661" s="1" t="str">
        <f>HYPERLINK("http://www.rosaceae.org/gb/gbrowse/malus_x_domestica/?name=MDP0000247287","MDP0000247287")</f>
        <v>MDP0000247287</v>
      </c>
      <c r="D21661">
        <v>67.56</v>
      </c>
      <c r="E21661">
        <v>484</v>
      </c>
      <c r="F21661">
        <v>157</v>
      </c>
      <c r="G21661">
        <v>14</v>
      </c>
      <c r="H21661">
        <v>1</v>
      </c>
      <c r="I21661">
        <v>477</v>
      </c>
      <c r="J21661">
        <v>1</v>
      </c>
      <c r="K21661">
        <v>329</v>
      </c>
      <c r="L21661">
        <v>805</v>
      </c>
      <c r="M21661">
        <v>1</v>
      </c>
      <c r="N21661">
        <v>0</v>
      </c>
      <c r="O21661">
        <v>1696</v>
      </c>
    </row>
    <row r="21662" spans="1:15" x14ac:dyDescent="0.25">
      <c r="A21662" t="s">
        <v>21675</v>
      </c>
      <c r="B21662">
        <v>366</v>
      </c>
      <c r="C21662" s="1" t="str">
        <f>HYPERLINK("http://www.rosaceae.org/gb/gbrowse/malus_x_domestica/?name=MDP0000238773","MDP0000238773")</f>
        <v>MDP0000238773</v>
      </c>
      <c r="D21662">
        <v>45.38</v>
      </c>
      <c r="E21662">
        <v>390</v>
      </c>
      <c r="F21662">
        <v>213</v>
      </c>
      <c r="G21662">
        <v>52</v>
      </c>
      <c r="H21662">
        <v>1</v>
      </c>
      <c r="I21662">
        <v>365</v>
      </c>
      <c r="J21662">
        <v>1</v>
      </c>
      <c r="K21662">
        <v>1</v>
      </c>
      <c r="L21662">
        <v>363</v>
      </c>
      <c r="M21662">
        <v>1</v>
      </c>
      <c r="N21662">
        <v>4.1997299999999999E-69</v>
      </c>
      <c r="O21662">
        <v>661</v>
      </c>
    </row>
    <row r="21663" spans="1:15" x14ac:dyDescent="0.25">
      <c r="A21663" t="s">
        <v>21676</v>
      </c>
      <c r="B21663">
        <v>851</v>
      </c>
      <c r="C21663" s="1" t="str">
        <f>HYPERLINK("http://www.rosaceae.org/gb/gbrowse/malus_x_domestica/?name=MDP0000290618","MDP0000290618")</f>
        <v>MDP0000290618</v>
      </c>
      <c r="D21663">
        <v>50.52</v>
      </c>
      <c r="E21663">
        <v>855</v>
      </c>
      <c r="F21663">
        <v>423</v>
      </c>
      <c r="G21663">
        <v>145</v>
      </c>
      <c r="H21663">
        <v>1</v>
      </c>
      <c r="I21663">
        <v>831</v>
      </c>
      <c r="J21663">
        <v>1</v>
      </c>
      <c r="K21663">
        <v>1</v>
      </c>
      <c r="L21663">
        <v>734</v>
      </c>
      <c r="M21663">
        <v>1</v>
      </c>
      <c r="N21663">
        <v>0</v>
      </c>
      <c r="O21663">
        <v>1927</v>
      </c>
    </row>
    <row r="21664" spans="1:15" x14ac:dyDescent="0.25">
      <c r="A21664" t="s">
        <v>21677</v>
      </c>
      <c r="B21664">
        <v>491</v>
      </c>
      <c r="C21664" s="1" t="str">
        <f>HYPERLINK("http://www.rosaceae.org/gb/gbrowse/malus_x_domestica/?name=MDP0000243737","MDP0000243737")</f>
        <v>MDP0000243737</v>
      </c>
      <c r="D21664">
        <v>58.73</v>
      </c>
      <c r="E21664">
        <v>555</v>
      </c>
      <c r="F21664">
        <v>229</v>
      </c>
      <c r="G21664">
        <v>65</v>
      </c>
      <c r="H21664">
        <v>1</v>
      </c>
      <c r="I21664">
        <v>490</v>
      </c>
      <c r="J21664">
        <v>1</v>
      </c>
      <c r="K21664">
        <v>1</v>
      </c>
      <c r="L21664">
        <v>555</v>
      </c>
      <c r="M21664">
        <v>1</v>
      </c>
      <c r="N21664">
        <v>5.1801300000000002E-162</v>
      </c>
      <c r="O21664">
        <v>1464</v>
      </c>
    </row>
    <row r="21665" spans="1:15" x14ac:dyDescent="0.25">
      <c r="A21665" t="s">
        <v>21678</v>
      </c>
      <c r="B21665">
        <v>298</v>
      </c>
      <c r="C21665" s="1" t="str">
        <f>HYPERLINK("http://www.rosaceae.org/gb/gbrowse/malus_x_domestica/?name=MDP0000177547","MDP0000177547")</f>
        <v>MDP0000177547</v>
      </c>
      <c r="D21665">
        <v>45.68</v>
      </c>
      <c r="E21665">
        <v>313</v>
      </c>
      <c r="F21665">
        <v>170</v>
      </c>
      <c r="G21665">
        <v>22</v>
      </c>
      <c r="H21665">
        <v>1</v>
      </c>
      <c r="I21665">
        <v>298</v>
      </c>
      <c r="J21665">
        <v>1</v>
      </c>
      <c r="K21665">
        <v>1</v>
      </c>
      <c r="L21665">
        <v>306</v>
      </c>
      <c r="M21665">
        <v>1</v>
      </c>
      <c r="N21665">
        <v>8.5520900000000005E-61</v>
      </c>
      <c r="O21665">
        <v>588</v>
      </c>
    </row>
    <row r="21666" spans="1:15" x14ac:dyDescent="0.25">
      <c r="A21666" t="s">
        <v>21679</v>
      </c>
      <c r="B21666">
        <v>201</v>
      </c>
      <c r="C21666" s="1" t="str">
        <f>HYPERLINK("http://www.rosaceae.org/gb/gbrowse/malus_x_domestica/?name=MDP0000243502","MDP0000243502")</f>
        <v>MDP0000243502</v>
      </c>
      <c r="D21666">
        <v>79.72</v>
      </c>
      <c r="E21666">
        <v>217</v>
      </c>
      <c r="F21666">
        <v>44</v>
      </c>
      <c r="G21666">
        <v>16</v>
      </c>
      <c r="H21666">
        <v>1</v>
      </c>
      <c r="I21666">
        <v>201</v>
      </c>
      <c r="J21666">
        <v>1</v>
      </c>
      <c r="K21666">
        <v>132</v>
      </c>
      <c r="L21666">
        <v>348</v>
      </c>
      <c r="M21666">
        <v>1</v>
      </c>
      <c r="N21666">
        <v>8.5084299999999998E-99</v>
      </c>
      <c r="O21666">
        <v>914</v>
      </c>
    </row>
    <row r="21667" spans="1:15" x14ac:dyDescent="0.25">
      <c r="A21667" t="s">
        <v>21680</v>
      </c>
      <c r="B21667">
        <v>756</v>
      </c>
      <c r="C21667" s="1" t="str">
        <f>HYPERLINK("http://www.rosaceae.org/gb/gbrowse/malus_x_domestica/?name=MDP0000796605","MDP0000796605")</f>
        <v>MDP0000796605</v>
      </c>
      <c r="D21667">
        <v>49.09</v>
      </c>
      <c r="E21667">
        <v>442</v>
      </c>
      <c r="F21667">
        <v>225</v>
      </c>
      <c r="G21667">
        <v>31</v>
      </c>
      <c r="H21667">
        <v>335</v>
      </c>
      <c r="I21667">
        <v>756</v>
      </c>
      <c r="J21667">
        <v>1</v>
      </c>
      <c r="K21667">
        <v>386</v>
      </c>
      <c r="L21667">
        <v>816</v>
      </c>
      <c r="M21667">
        <v>1</v>
      </c>
      <c r="N21667">
        <v>1.99364E-98</v>
      </c>
      <c r="O21667">
        <v>917</v>
      </c>
    </row>
    <row r="21668" spans="1:15" x14ac:dyDescent="0.25">
      <c r="A21668" t="s">
        <v>21681</v>
      </c>
      <c r="B21668">
        <v>853</v>
      </c>
      <c r="C21668" s="1" t="str">
        <f>HYPERLINK("http://www.rosaceae.org/gb/gbrowse/malus_x_domestica/?name=MDP0000213471","MDP0000213471")</f>
        <v>MDP0000213471</v>
      </c>
      <c r="D21668">
        <v>58.53</v>
      </c>
      <c r="E21668">
        <v>328</v>
      </c>
      <c r="F21668">
        <v>136</v>
      </c>
      <c r="G21668">
        <v>24</v>
      </c>
      <c r="H21668">
        <v>524</v>
      </c>
      <c r="I21668">
        <v>838</v>
      </c>
      <c r="J21668">
        <v>1</v>
      </c>
      <c r="K21668">
        <v>338</v>
      </c>
      <c r="L21668">
        <v>654</v>
      </c>
      <c r="M21668">
        <v>1</v>
      </c>
      <c r="N21668">
        <v>8.9825700000000004E-91</v>
      </c>
      <c r="O21668">
        <v>852</v>
      </c>
    </row>
    <row r="21669" spans="1:15" x14ac:dyDescent="0.25">
      <c r="A21669" t="s">
        <v>21682</v>
      </c>
      <c r="B21669">
        <v>494</v>
      </c>
      <c r="C21669" s="1" t="str">
        <f>HYPERLINK("http://www.rosaceae.org/gb/gbrowse/malus_x_domestica/?name=MDP0000181135","MDP0000181135")</f>
        <v>MDP0000181135</v>
      </c>
      <c r="D21669">
        <v>44.08</v>
      </c>
      <c r="E21669">
        <v>431</v>
      </c>
      <c r="F21669">
        <v>241</v>
      </c>
      <c r="G21669">
        <v>29</v>
      </c>
      <c r="H21669">
        <v>32</v>
      </c>
      <c r="I21669">
        <v>446</v>
      </c>
      <c r="J21669">
        <v>1</v>
      </c>
      <c r="K21669">
        <v>11</v>
      </c>
      <c r="L21669">
        <v>428</v>
      </c>
      <c r="M21669">
        <v>1</v>
      </c>
      <c r="N21669">
        <v>3.0147500000000001E-77</v>
      </c>
      <c r="O21669">
        <v>733</v>
      </c>
    </row>
    <row r="21670" spans="1:15" x14ac:dyDescent="0.25">
      <c r="A21670" t="s">
        <v>21683</v>
      </c>
      <c r="B21670">
        <v>541</v>
      </c>
      <c r="C21670" s="1" t="str">
        <f>HYPERLINK("http://www.rosaceae.org/gb/gbrowse/malus_x_domestica/?name=MDP0000676705","MDP0000676705")</f>
        <v>MDP0000676705</v>
      </c>
      <c r="D21670">
        <v>48.69</v>
      </c>
      <c r="E21670">
        <v>499</v>
      </c>
      <c r="F21670">
        <v>256</v>
      </c>
      <c r="G21670">
        <v>9</v>
      </c>
      <c r="H21670">
        <v>38</v>
      </c>
      <c r="I21670">
        <v>529</v>
      </c>
      <c r="J21670">
        <v>1</v>
      </c>
      <c r="K21670">
        <v>1</v>
      </c>
      <c r="L21670">
        <v>497</v>
      </c>
      <c r="M21670">
        <v>1</v>
      </c>
      <c r="N21670">
        <v>7.9105200000000005E-139</v>
      </c>
      <c r="O21670">
        <v>1264</v>
      </c>
    </row>
    <row r="21671" spans="1:15" x14ac:dyDescent="0.25">
      <c r="A21671" t="s">
        <v>21684</v>
      </c>
      <c r="B21671">
        <v>525</v>
      </c>
      <c r="C21671" s="1" t="str">
        <f>HYPERLINK("http://www.rosaceae.org/gb/gbrowse/malus_x_domestica/?name=MDP0000278938","MDP0000278938")</f>
        <v>MDP0000278938</v>
      </c>
      <c r="D21671">
        <v>77.25</v>
      </c>
      <c r="E21671">
        <v>510</v>
      </c>
      <c r="F21671">
        <v>116</v>
      </c>
      <c r="G21671">
        <v>4</v>
      </c>
      <c r="H21671">
        <v>2</v>
      </c>
      <c r="I21671">
        <v>511</v>
      </c>
      <c r="J21671">
        <v>1</v>
      </c>
      <c r="K21671">
        <v>3</v>
      </c>
      <c r="L21671">
        <v>508</v>
      </c>
      <c r="M21671">
        <v>1</v>
      </c>
      <c r="N21671">
        <v>0</v>
      </c>
      <c r="O21671">
        <v>2022</v>
      </c>
    </row>
    <row r="21672" spans="1:15" x14ac:dyDescent="0.25">
      <c r="A21672" t="s">
        <v>21685</v>
      </c>
      <c r="B21672">
        <v>491</v>
      </c>
      <c r="C21672" s="1" t="str">
        <f>HYPERLINK("http://www.rosaceae.org/gb/gbrowse/malus_x_domestica/?name=MDP0000196672","MDP0000196672")</f>
        <v>MDP0000196672</v>
      </c>
      <c r="D21672">
        <v>36.53</v>
      </c>
      <c r="E21672">
        <v>479</v>
      </c>
      <c r="F21672">
        <v>304</v>
      </c>
      <c r="G21672">
        <v>125</v>
      </c>
      <c r="H21672">
        <v>31</v>
      </c>
      <c r="I21672">
        <v>437</v>
      </c>
      <c r="J21672">
        <v>1</v>
      </c>
      <c r="K21672">
        <v>43</v>
      </c>
      <c r="L21672">
        <v>468</v>
      </c>
      <c r="M21672">
        <v>1</v>
      </c>
      <c r="N21672">
        <v>1.0311600000000001E-60</v>
      </c>
      <c r="O21672">
        <v>590</v>
      </c>
    </row>
    <row r="21673" spans="1:15" x14ac:dyDescent="0.25">
      <c r="A21673" t="s">
        <v>21686</v>
      </c>
      <c r="B21673">
        <v>853</v>
      </c>
      <c r="C21673" s="1" t="str">
        <f>HYPERLINK("http://www.rosaceae.org/gb/gbrowse/malus_x_domestica/?name=MDP0000226294","MDP0000226294")</f>
        <v>MDP0000226294</v>
      </c>
      <c r="D21673">
        <v>48.07</v>
      </c>
      <c r="E21673">
        <v>882</v>
      </c>
      <c r="F21673">
        <v>458</v>
      </c>
      <c r="G21673">
        <v>124</v>
      </c>
      <c r="H21673">
        <v>5</v>
      </c>
      <c r="I21673">
        <v>844</v>
      </c>
      <c r="J21673">
        <v>1</v>
      </c>
      <c r="K21673">
        <v>1</v>
      </c>
      <c r="L21673">
        <v>800</v>
      </c>
      <c r="M21673">
        <v>1</v>
      </c>
      <c r="N21673">
        <v>0</v>
      </c>
      <c r="O21673">
        <v>2026</v>
      </c>
    </row>
    <row r="21674" spans="1:15" x14ac:dyDescent="0.25">
      <c r="A21674" t="s">
        <v>21687</v>
      </c>
      <c r="B21674">
        <v>535</v>
      </c>
      <c r="C21674" s="1" t="str">
        <f>HYPERLINK("http://www.rosaceae.org/gb/gbrowse/malus_x_domestica/?name=MDP0000228003","MDP0000228003")</f>
        <v>MDP0000228003</v>
      </c>
      <c r="D21674">
        <v>66.98</v>
      </c>
      <c r="E21674">
        <v>312</v>
      </c>
      <c r="F21674">
        <v>103</v>
      </c>
      <c r="G21674">
        <v>3</v>
      </c>
      <c r="H21674">
        <v>1</v>
      </c>
      <c r="I21674">
        <v>309</v>
      </c>
      <c r="J21674">
        <v>1</v>
      </c>
      <c r="K21674">
        <v>1</v>
      </c>
      <c r="L21674">
        <v>312</v>
      </c>
      <c r="M21674">
        <v>1</v>
      </c>
      <c r="N21674">
        <v>1.4683E-115</v>
      </c>
      <c r="O21674">
        <v>1063</v>
      </c>
    </row>
    <row r="21675" spans="1:15" x14ac:dyDescent="0.25">
      <c r="A21675" t="s">
        <v>21688</v>
      </c>
      <c r="B21675">
        <v>112</v>
      </c>
      <c r="C21675" s="1" t="str">
        <f>HYPERLINK("http://www.rosaceae.org/gb/gbrowse/malus_x_domestica/?name=MDP0000206983","MDP0000206983")</f>
        <v>MDP0000206983</v>
      </c>
      <c r="D21675">
        <v>56.25</v>
      </c>
      <c r="E21675">
        <v>112</v>
      </c>
      <c r="F21675">
        <v>49</v>
      </c>
      <c r="G21675">
        <v>2</v>
      </c>
      <c r="H21675">
        <v>2</v>
      </c>
      <c r="I21675">
        <v>112</v>
      </c>
      <c r="J21675">
        <v>1</v>
      </c>
      <c r="K21675">
        <v>1</v>
      </c>
      <c r="L21675">
        <v>111</v>
      </c>
      <c r="M21675">
        <v>1</v>
      </c>
      <c r="N21675">
        <v>2.5820400000000001E-25</v>
      </c>
      <c r="O21675">
        <v>276</v>
      </c>
    </row>
    <row r="21676" spans="1:15" x14ac:dyDescent="0.25">
      <c r="A21676" t="s">
        <v>21689</v>
      </c>
      <c r="B21676">
        <v>590</v>
      </c>
      <c r="C21676" s="1" t="str">
        <f>HYPERLINK("http://www.rosaceae.org/gb/gbrowse/malus_x_domestica/?name=MDP0000147190","MDP0000147190")</f>
        <v>MDP0000147190</v>
      </c>
      <c r="D21676">
        <v>47.21</v>
      </c>
      <c r="E21676">
        <v>377</v>
      </c>
      <c r="F21676">
        <v>199</v>
      </c>
      <c r="G21676">
        <v>72</v>
      </c>
      <c r="H21676">
        <v>1</v>
      </c>
      <c r="I21676">
        <v>377</v>
      </c>
      <c r="J21676">
        <v>1</v>
      </c>
      <c r="K21676">
        <v>321</v>
      </c>
      <c r="L21676">
        <v>625</v>
      </c>
      <c r="M21676">
        <v>1</v>
      </c>
      <c r="N21676">
        <v>4.4463299999999999E-87</v>
      </c>
      <c r="O21676">
        <v>818</v>
      </c>
    </row>
    <row r="21677" spans="1:15" x14ac:dyDescent="0.25">
      <c r="A21677" t="s">
        <v>21690</v>
      </c>
      <c r="B21677">
        <v>669</v>
      </c>
      <c r="C21677" s="1" t="str">
        <f>HYPERLINK("http://www.rosaceae.org/gb/gbrowse/malus_x_domestica/?name=MDP0000315220","MDP0000315220")</f>
        <v>MDP0000315220</v>
      </c>
      <c r="D21677">
        <v>78.38</v>
      </c>
      <c r="E21677">
        <v>680</v>
      </c>
      <c r="F21677">
        <v>147</v>
      </c>
      <c r="G21677">
        <v>39</v>
      </c>
      <c r="H21677">
        <v>1</v>
      </c>
      <c r="I21677">
        <v>669</v>
      </c>
      <c r="J21677">
        <v>1</v>
      </c>
      <c r="K21677">
        <v>1</v>
      </c>
      <c r="L21677">
        <v>652</v>
      </c>
      <c r="M21677">
        <v>1</v>
      </c>
      <c r="N21677">
        <v>0</v>
      </c>
      <c r="O21677">
        <v>2808</v>
      </c>
    </row>
    <row r="21678" spans="1:15" x14ac:dyDescent="0.25">
      <c r="A21678" t="s">
        <v>21691</v>
      </c>
      <c r="B21678">
        <v>289</v>
      </c>
      <c r="C21678" s="1" t="str">
        <f>HYPERLINK("http://www.rosaceae.org/gb/gbrowse/malus_x_domestica/?name=MDP0000547690","MDP0000547690")</f>
        <v>MDP0000547690</v>
      </c>
      <c r="D21678">
        <v>79.459999999999994</v>
      </c>
      <c r="E21678">
        <v>297</v>
      </c>
      <c r="F21678">
        <v>61</v>
      </c>
      <c r="G21678">
        <v>14</v>
      </c>
      <c r="H21678">
        <v>1</v>
      </c>
      <c r="I21678">
        <v>289</v>
      </c>
      <c r="J21678">
        <v>1</v>
      </c>
      <c r="K21678">
        <v>1</v>
      </c>
      <c r="L21678">
        <v>291</v>
      </c>
      <c r="M21678">
        <v>1</v>
      </c>
      <c r="N21678">
        <v>3.8055799999999998E-132</v>
      </c>
      <c r="O21678">
        <v>1203</v>
      </c>
    </row>
    <row r="21679" spans="1:15" x14ac:dyDescent="0.25">
      <c r="A21679" t="s">
        <v>21692</v>
      </c>
      <c r="B21679">
        <v>968</v>
      </c>
      <c r="C21679" s="1" t="str">
        <f>HYPERLINK("http://www.rosaceae.org/gb/gbrowse/malus_x_domestica/?name=MDP0000200325","MDP0000200325")</f>
        <v>MDP0000200325</v>
      </c>
      <c r="D21679">
        <v>36.72</v>
      </c>
      <c r="E21679">
        <v>629</v>
      </c>
      <c r="F21679">
        <v>398</v>
      </c>
      <c r="G21679">
        <v>147</v>
      </c>
      <c r="H21679">
        <v>1</v>
      </c>
      <c r="I21679">
        <v>526</v>
      </c>
      <c r="J21679">
        <v>1</v>
      </c>
      <c r="K21679">
        <v>43</v>
      </c>
      <c r="L21679">
        <v>627</v>
      </c>
      <c r="M21679">
        <v>1</v>
      </c>
      <c r="N21679">
        <v>3.2484400000000001E-108</v>
      </c>
      <c r="O21679">
        <v>1003</v>
      </c>
    </row>
    <row r="21680" spans="1:15" x14ac:dyDescent="0.25">
      <c r="A21680" t="s">
        <v>21693</v>
      </c>
      <c r="B21680">
        <v>312</v>
      </c>
      <c r="C21680" s="1" t="str">
        <f>HYPERLINK("http://www.rosaceae.org/gb/gbrowse/malus_x_domestica/?name=MDP0000253287","MDP0000253287")</f>
        <v>MDP0000253287</v>
      </c>
      <c r="D21680">
        <v>84.92</v>
      </c>
      <c r="E21680">
        <v>272</v>
      </c>
      <c r="F21680">
        <v>41</v>
      </c>
      <c r="G21680">
        <v>1</v>
      </c>
      <c r="H21680">
        <v>32</v>
      </c>
      <c r="I21680">
        <v>303</v>
      </c>
      <c r="J21680">
        <v>1</v>
      </c>
      <c r="K21680">
        <v>410</v>
      </c>
      <c r="L21680">
        <v>680</v>
      </c>
      <c r="M21680">
        <v>1</v>
      </c>
      <c r="N21680">
        <v>2.1700499999999999E-138</v>
      </c>
      <c r="O21680">
        <v>1258</v>
      </c>
    </row>
    <row r="21681" spans="1:15" x14ac:dyDescent="0.25">
      <c r="A21681" t="s">
        <v>21694</v>
      </c>
      <c r="B21681">
        <v>454</v>
      </c>
      <c r="C21681" s="1" t="str">
        <f>HYPERLINK("http://www.rosaceae.org/gb/gbrowse/malus_x_domestica/?name=MDP0000267128","MDP0000267128")</f>
        <v>MDP0000267128</v>
      </c>
      <c r="D21681">
        <v>31.67</v>
      </c>
      <c r="E21681">
        <v>281</v>
      </c>
      <c r="F21681">
        <v>192</v>
      </c>
      <c r="G21681">
        <v>70</v>
      </c>
      <c r="H21681">
        <v>225</v>
      </c>
      <c r="I21681">
        <v>435</v>
      </c>
      <c r="J21681">
        <v>1</v>
      </c>
      <c r="K21681">
        <v>226</v>
      </c>
      <c r="L21681">
        <v>506</v>
      </c>
      <c r="M21681">
        <v>1</v>
      </c>
      <c r="N21681">
        <v>5.4630799999999998E-32</v>
      </c>
      <c r="O21681">
        <v>342</v>
      </c>
    </row>
    <row r="21682" spans="1:15" x14ac:dyDescent="0.25">
      <c r="A21682" t="s">
        <v>21695</v>
      </c>
      <c r="B21682">
        <v>173</v>
      </c>
      <c r="C21682" s="1" t="str">
        <f>HYPERLINK("http://www.rosaceae.org/gb/gbrowse/malus_x_domestica/?name=MDP0000128559","MDP0000128559")</f>
        <v>MDP0000128559</v>
      </c>
      <c r="D21682">
        <v>76.430000000000007</v>
      </c>
      <c r="E21682">
        <v>174</v>
      </c>
      <c r="F21682">
        <v>41</v>
      </c>
      <c r="G21682">
        <v>3</v>
      </c>
      <c r="H21682">
        <v>1</v>
      </c>
      <c r="I21682">
        <v>173</v>
      </c>
      <c r="J21682">
        <v>1</v>
      </c>
      <c r="K21682">
        <v>1</v>
      </c>
      <c r="L21682">
        <v>172</v>
      </c>
      <c r="M21682">
        <v>1</v>
      </c>
      <c r="N21682">
        <v>8.7324700000000002E-67</v>
      </c>
      <c r="O21682">
        <v>636</v>
      </c>
    </row>
    <row r="21683" spans="1:15" x14ac:dyDescent="0.25">
      <c r="A21683" t="s">
        <v>21696</v>
      </c>
      <c r="B21683">
        <v>362</v>
      </c>
      <c r="C21683" s="1" t="str">
        <f>HYPERLINK("http://www.rosaceae.org/gb/gbrowse/malus_x_domestica/?name=MDP0000511674","MDP0000511674")</f>
        <v>MDP0000511674</v>
      </c>
      <c r="D21683">
        <v>50.45</v>
      </c>
      <c r="E21683">
        <v>327</v>
      </c>
      <c r="F21683">
        <v>162</v>
      </c>
      <c r="G21683">
        <v>20</v>
      </c>
      <c r="H21683">
        <v>46</v>
      </c>
      <c r="I21683">
        <v>362</v>
      </c>
      <c r="J21683">
        <v>1</v>
      </c>
      <c r="K21683">
        <v>133</v>
      </c>
      <c r="L21683">
        <v>449</v>
      </c>
      <c r="M21683">
        <v>1</v>
      </c>
      <c r="N21683">
        <v>7.7808999999999999E-76</v>
      </c>
      <c r="O21683">
        <v>719</v>
      </c>
    </row>
    <row r="21684" spans="1:15" x14ac:dyDescent="0.25">
      <c r="A21684" t="s">
        <v>21697</v>
      </c>
      <c r="B21684">
        <v>1660</v>
      </c>
      <c r="C21684" s="1" t="str">
        <f>HYPERLINK("http://www.rosaceae.org/gb/gbrowse/malus_x_domestica/?name=MDP0000218486","MDP0000218486")</f>
        <v>MDP0000218486</v>
      </c>
      <c r="D21684">
        <v>70.39</v>
      </c>
      <c r="E21684">
        <v>1611</v>
      </c>
      <c r="F21684">
        <v>477</v>
      </c>
      <c r="G21684">
        <v>252</v>
      </c>
      <c r="H21684">
        <v>93</v>
      </c>
      <c r="I21684">
        <v>1585</v>
      </c>
      <c r="J21684">
        <v>1</v>
      </c>
      <c r="K21684">
        <v>1</v>
      </c>
      <c r="L21684">
        <v>1477</v>
      </c>
      <c r="M21684">
        <v>1</v>
      </c>
      <c r="N21684">
        <v>0</v>
      </c>
      <c r="O21684">
        <v>5714</v>
      </c>
    </row>
    <row r="21685" spans="1:15" x14ac:dyDescent="0.25">
      <c r="A21685" t="s">
        <v>21698</v>
      </c>
      <c r="B21685">
        <v>179</v>
      </c>
      <c r="C21685" s="1" t="str">
        <f>HYPERLINK("http://www.rosaceae.org/gb/gbrowse/malus_x_domestica/?name=MDP0000254471","MDP0000254471")</f>
        <v>MDP0000254471</v>
      </c>
      <c r="D21685">
        <v>66.510000000000005</v>
      </c>
      <c r="E21685">
        <v>215</v>
      </c>
      <c r="F21685">
        <v>72</v>
      </c>
      <c r="G21685">
        <v>38</v>
      </c>
      <c r="H21685">
        <v>2</v>
      </c>
      <c r="I21685">
        <v>179</v>
      </c>
      <c r="J21685">
        <v>1</v>
      </c>
      <c r="K21685">
        <v>248</v>
      </c>
      <c r="L21685">
        <v>461</v>
      </c>
      <c r="M21685">
        <v>1</v>
      </c>
      <c r="N21685">
        <v>3.26157E-71</v>
      </c>
      <c r="O21685">
        <v>675</v>
      </c>
    </row>
    <row r="21686" spans="1:15" x14ac:dyDescent="0.25">
      <c r="A21686" t="s">
        <v>21699</v>
      </c>
      <c r="B21686">
        <v>308</v>
      </c>
      <c r="C21686" s="1" t="str">
        <f>HYPERLINK("http://www.rosaceae.org/gb/gbrowse/malus_x_domestica/?name=MDP0000314006","MDP0000314006")</f>
        <v>MDP0000314006</v>
      </c>
      <c r="D21686">
        <v>64.680000000000007</v>
      </c>
      <c r="E21686">
        <v>269</v>
      </c>
      <c r="F21686">
        <v>95</v>
      </c>
      <c r="G21686">
        <v>2</v>
      </c>
      <c r="H21686">
        <v>40</v>
      </c>
      <c r="I21686">
        <v>308</v>
      </c>
      <c r="J21686">
        <v>1</v>
      </c>
      <c r="K21686">
        <v>157</v>
      </c>
      <c r="L21686">
        <v>423</v>
      </c>
      <c r="M21686">
        <v>1</v>
      </c>
      <c r="N21686">
        <v>9.2548600000000005E-105</v>
      </c>
      <c r="O21686">
        <v>968</v>
      </c>
    </row>
    <row r="21687" spans="1:15" x14ac:dyDescent="0.25">
      <c r="A21687" t="s">
        <v>21700</v>
      </c>
      <c r="B21687">
        <v>1177</v>
      </c>
      <c r="C21687" s="1" t="str">
        <f>HYPERLINK("http://www.rosaceae.org/gb/gbrowse/malus_x_domestica/?name=MDP0000310751","MDP0000310751")</f>
        <v>MDP0000310751</v>
      </c>
      <c r="D21687">
        <v>68.22</v>
      </c>
      <c r="E21687">
        <v>535</v>
      </c>
      <c r="F21687">
        <v>170</v>
      </c>
      <c r="G21687">
        <v>29</v>
      </c>
      <c r="H21687">
        <v>649</v>
      </c>
      <c r="I21687">
        <v>1155</v>
      </c>
      <c r="J21687">
        <v>1</v>
      </c>
      <c r="K21687">
        <v>1</v>
      </c>
      <c r="L21687">
        <v>534</v>
      </c>
      <c r="M21687">
        <v>1</v>
      </c>
      <c r="N21687">
        <v>0</v>
      </c>
      <c r="O21687">
        <v>1855</v>
      </c>
    </row>
    <row r="21688" spans="1:15" x14ac:dyDescent="0.25">
      <c r="A21688" t="s">
        <v>21701</v>
      </c>
      <c r="B21688">
        <v>459</v>
      </c>
      <c r="C21688" s="1" t="str">
        <f>HYPERLINK("http://www.rosaceae.org/gb/gbrowse/malus_x_domestica/?name=MDP0000607000","MDP0000607000")</f>
        <v>MDP0000607000</v>
      </c>
      <c r="D21688">
        <v>51.59</v>
      </c>
      <c r="E21688">
        <v>469</v>
      </c>
      <c r="F21688">
        <v>227</v>
      </c>
      <c r="G21688">
        <v>34</v>
      </c>
      <c r="H21688">
        <v>8</v>
      </c>
      <c r="I21688">
        <v>458</v>
      </c>
      <c r="J21688">
        <v>1</v>
      </c>
      <c r="K21688">
        <v>6</v>
      </c>
      <c r="L21688">
        <v>458</v>
      </c>
      <c r="M21688">
        <v>1</v>
      </c>
      <c r="N21688">
        <v>3.1065399999999998E-129</v>
      </c>
      <c r="O21688">
        <v>1181</v>
      </c>
    </row>
    <row r="21689" spans="1:15" x14ac:dyDescent="0.25">
      <c r="A21689" t="s">
        <v>21702</v>
      </c>
      <c r="B21689">
        <v>451</v>
      </c>
      <c r="C21689" s="1" t="str">
        <f>HYPERLINK("http://www.rosaceae.org/gb/gbrowse/malus_x_domestica/?name=MDP0000224810","MDP0000224810")</f>
        <v>MDP0000224810</v>
      </c>
      <c r="D21689">
        <v>32.24</v>
      </c>
      <c r="E21689">
        <v>521</v>
      </c>
      <c r="F21689">
        <v>353</v>
      </c>
      <c r="G21689">
        <v>119</v>
      </c>
      <c r="H21689">
        <v>8</v>
      </c>
      <c r="I21689">
        <v>451</v>
      </c>
      <c r="J21689">
        <v>1</v>
      </c>
      <c r="K21689">
        <v>1</v>
      </c>
      <c r="L21689">
        <v>479</v>
      </c>
      <c r="M21689">
        <v>1</v>
      </c>
      <c r="N21689">
        <v>1.75021E-43</v>
      </c>
      <c r="O21689">
        <v>441</v>
      </c>
    </row>
    <row r="21690" spans="1:15" x14ac:dyDescent="0.25">
      <c r="A21690" t="s">
        <v>21703</v>
      </c>
      <c r="B21690">
        <v>661</v>
      </c>
      <c r="C21690" s="1" t="str">
        <f>HYPERLINK("http://www.rosaceae.org/gb/gbrowse/malus_x_domestica/?name=MDP0000459816","MDP0000459816")</f>
        <v>MDP0000459816</v>
      </c>
      <c r="D21690">
        <v>51.01</v>
      </c>
      <c r="E21690">
        <v>494</v>
      </c>
      <c r="F21690">
        <v>242</v>
      </c>
      <c r="G21690">
        <v>55</v>
      </c>
      <c r="H21690">
        <v>220</v>
      </c>
      <c r="I21690">
        <v>661</v>
      </c>
      <c r="J21690">
        <v>1</v>
      </c>
      <c r="K21690">
        <v>62</v>
      </c>
      <c r="L21690">
        <v>552</v>
      </c>
      <c r="M21690">
        <v>1</v>
      </c>
      <c r="N21690">
        <v>6.4570800000000004E-119</v>
      </c>
      <c r="O21690">
        <v>1093</v>
      </c>
    </row>
    <row r="21691" spans="1:15" x14ac:dyDescent="0.25">
      <c r="A21691" t="s">
        <v>21704</v>
      </c>
      <c r="B21691">
        <v>575</v>
      </c>
      <c r="C21691" s="1" t="str">
        <f>HYPERLINK("http://www.rosaceae.org/gb/gbrowse/malus_x_domestica/?name=MDP0000754021","MDP0000754021")</f>
        <v>MDP0000754021</v>
      </c>
      <c r="D21691">
        <v>89.03</v>
      </c>
      <c r="E21691">
        <v>228</v>
      </c>
      <c r="F21691">
        <v>25</v>
      </c>
      <c r="G21691">
        <v>0</v>
      </c>
      <c r="H21691">
        <v>347</v>
      </c>
      <c r="I21691">
        <v>574</v>
      </c>
      <c r="J21691">
        <v>1</v>
      </c>
      <c r="K21691">
        <v>151</v>
      </c>
      <c r="L21691">
        <v>378</v>
      </c>
      <c r="M21691">
        <v>1</v>
      </c>
      <c r="N21691">
        <v>1.7193400000000001E-118</v>
      </c>
      <c r="O21691">
        <v>1089</v>
      </c>
    </row>
    <row r="21692" spans="1:15" x14ac:dyDescent="0.25">
      <c r="A21692" t="s">
        <v>21705</v>
      </c>
      <c r="B21692">
        <v>334</v>
      </c>
      <c r="C21692" s="1" t="str">
        <f>HYPERLINK("http://www.rosaceae.org/gb/gbrowse/malus_x_domestica/?name=MDP0000312266","MDP0000312266")</f>
        <v>MDP0000312266</v>
      </c>
      <c r="D21692">
        <v>42.29</v>
      </c>
      <c r="E21692">
        <v>331</v>
      </c>
      <c r="F21692">
        <v>191</v>
      </c>
      <c r="G21692">
        <v>69</v>
      </c>
      <c r="H21692">
        <v>27</v>
      </c>
      <c r="I21692">
        <v>315</v>
      </c>
      <c r="J21692">
        <v>1</v>
      </c>
      <c r="K21692">
        <v>32</v>
      </c>
      <c r="L21692">
        <v>335</v>
      </c>
      <c r="M21692">
        <v>1</v>
      </c>
      <c r="N21692">
        <v>9.9892800000000003E-53</v>
      </c>
      <c r="O21692">
        <v>519</v>
      </c>
    </row>
    <row r="21693" spans="1:15" x14ac:dyDescent="0.25">
      <c r="A21693" t="s">
        <v>21706</v>
      </c>
      <c r="B21693">
        <v>434</v>
      </c>
      <c r="C21693" s="1" t="str">
        <f>HYPERLINK("http://www.rosaceae.org/gb/gbrowse/malus_x_domestica/?name=MDP0000797531","MDP0000797531")</f>
        <v>MDP0000797531</v>
      </c>
      <c r="D21693">
        <v>33.56</v>
      </c>
      <c r="E21693">
        <v>423</v>
      </c>
      <c r="F21693">
        <v>281</v>
      </c>
      <c r="G21693">
        <v>34</v>
      </c>
      <c r="H21693">
        <v>29</v>
      </c>
      <c r="I21693">
        <v>430</v>
      </c>
      <c r="J21693">
        <v>1</v>
      </c>
      <c r="K21693">
        <v>36</v>
      </c>
      <c r="L21693">
        <v>445</v>
      </c>
      <c r="M21693">
        <v>1</v>
      </c>
      <c r="N21693">
        <v>2.7586799999999998E-49</v>
      </c>
      <c r="O21693">
        <v>491</v>
      </c>
    </row>
    <row r="21694" spans="1:15" x14ac:dyDescent="0.25">
      <c r="A21694" t="s">
        <v>21707</v>
      </c>
      <c r="B21694">
        <v>221</v>
      </c>
      <c r="C21694" s="1" t="str">
        <f>HYPERLINK("http://www.rosaceae.org/gb/gbrowse/malus_x_domestica/?name=MDP0000296128","MDP0000296128")</f>
        <v>MDP0000296128</v>
      </c>
      <c r="D21694">
        <v>42.06</v>
      </c>
      <c r="E21694">
        <v>145</v>
      </c>
      <c r="F21694">
        <v>84</v>
      </c>
      <c r="G21694">
        <v>18</v>
      </c>
      <c r="H21694">
        <v>93</v>
      </c>
      <c r="I21694">
        <v>220</v>
      </c>
      <c r="J21694">
        <v>1</v>
      </c>
      <c r="K21694">
        <v>205</v>
      </c>
      <c r="L21694">
        <v>348</v>
      </c>
      <c r="M21694">
        <v>1</v>
      </c>
      <c r="N21694">
        <v>5.2250699999999997E-21</v>
      </c>
      <c r="O21694">
        <v>243</v>
      </c>
    </row>
    <row r="21695" spans="1:15" x14ac:dyDescent="0.25">
      <c r="A21695" t="s">
        <v>21708</v>
      </c>
      <c r="B21695">
        <v>248</v>
      </c>
      <c r="C21695" s="1" t="str">
        <f>HYPERLINK("http://www.rosaceae.org/gb/gbrowse/malus_x_domestica/?name=MDP0000271764","MDP0000271764")</f>
        <v>MDP0000271764</v>
      </c>
      <c r="D21695">
        <v>28.57</v>
      </c>
      <c r="E21695">
        <v>175</v>
      </c>
      <c r="F21695">
        <v>125</v>
      </c>
      <c r="G21695">
        <v>31</v>
      </c>
      <c r="H21695">
        <v>22</v>
      </c>
      <c r="I21695">
        <v>195</v>
      </c>
      <c r="J21695">
        <v>1</v>
      </c>
      <c r="K21695">
        <v>674</v>
      </c>
      <c r="L21695">
        <v>818</v>
      </c>
      <c r="M21695">
        <v>1</v>
      </c>
      <c r="N21695">
        <v>1.39755E-7</v>
      </c>
      <c r="O21695">
        <v>128</v>
      </c>
    </row>
    <row r="21696" spans="1:15" x14ac:dyDescent="0.25">
      <c r="A21696" t="s">
        <v>21709</v>
      </c>
      <c r="B21696">
        <v>536</v>
      </c>
      <c r="C21696" s="1" t="str">
        <f>HYPERLINK("http://www.rosaceae.org/gb/gbrowse/malus_x_domestica/?name=MDP0000212290","MDP0000212290")</f>
        <v>MDP0000212290</v>
      </c>
      <c r="D21696">
        <v>25.98</v>
      </c>
      <c r="E21696">
        <v>304</v>
      </c>
      <c r="F21696">
        <v>225</v>
      </c>
      <c r="G21696">
        <v>54</v>
      </c>
      <c r="H21696">
        <v>85</v>
      </c>
      <c r="I21696">
        <v>340</v>
      </c>
      <c r="J21696">
        <v>1</v>
      </c>
      <c r="K21696">
        <v>50</v>
      </c>
      <c r="L21696">
        <v>347</v>
      </c>
      <c r="M21696">
        <v>1</v>
      </c>
      <c r="N21696">
        <v>3.6867199999999999E-27</v>
      </c>
      <c r="O21696">
        <v>301</v>
      </c>
    </row>
    <row r="21697" spans="1:15" x14ac:dyDescent="0.25">
      <c r="A21697" t="s">
        <v>21710</v>
      </c>
      <c r="B21697">
        <v>149</v>
      </c>
      <c r="C21697" s="1" t="str">
        <f>HYPERLINK("http://www.rosaceae.org/gb/gbrowse/malus_x_domestica/?name=MDP0000800539","MDP0000800539")</f>
        <v>MDP0000800539</v>
      </c>
      <c r="D21697">
        <v>40.9</v>
      </c>
      <c r="E21697">
        <v>66</v>
      </c>
      <c r="F21697">
        <v>39</v>
      </c>
      <c r="G21697">
        <v>0</v>
      </c>
      <c r="H21697">
        <v>1</v>
      </c>
      <c r="I21697">
        <v>66</v>
      </c>
      <c r="J21697">
        <v>1</v>
      </c>
      <c r="K21697">
        <v>295</v>
      </c>
      <c r="L21697">
        <v>360</v>
      </c>
      <c r="M21697">
        <v>1</v>
      </c>
      <c r="N21697">
        <v>6.6059700000000001E-9</v>
      </c>
      <c r="O21697">
        <v>136</v>
      </c>
    </row>
    <row r="21698" spans="1:15" x14ac:dyDescent="0.25">
      <c r="A21698" t="s">
        <v>21711</v>
      </c>
      <c r="B21698">
        <v>356</v>
      </c>
      <c r="C21698" s="1" t="str">
        <f>HYPERLINK("http://www.rosaceae.org/gb/gbrowse/malus_x_domestica/?name=MDP0000203189","MDP0000203189")</f>
        <v>MDP0000203189</v>
      </c>
      <c r="D21698">
        <v>68.81</v>
      </c>
      <c r="E21698">
        <v>295</v>
      </c>
      <c r="F21698">
        <v>92</v>
      </c>
      <c r="G21698">
        <v>32</v>
      </c>
      <c r="H21698">
        <v>1</v>
      </c>
      <c r="I21698">
        <v>263</v>
      </c>
      <c r="J21698">
        <v>1</v>
      </c>
      <c r="K21698">
        <v>214</v>
      </c>
      <c r="L21698">
        <v>508</v>
      </c>
      <c r="M21698">
        <v>1</v>
      </c>
      <c r="N21698">
        <v>5.0718999999999996E-118</v>
      </c>
      <c r="O21698">
        <v>1083</v>
      </c>
    </row>
    <row r="21699" spans="1:15" x14ac:dyDescent="0.25">
      <c r="A21699" t="s">
        <v>21712</v>
      </c>
      <c r="B21699">
        <v>800</v>
      </c>
      <c r="C21699" s="1" t="str">
        <f>HYPERLINK("http://www.rosaceae.org/gb/gbrowse/malus_x_domestica/?name=MDP0000388289","MDP0000388289")</f>
        <v>MDP0000388289</v>
      </c>
      <c r="D21699">
        <v>67.3</v>
      </c>
      <c r="E21699">
        <v>575</v>
      </c>
      <c r="F21699">
        <v>188</v>
      </c>
      <c r="G21699">
        <v>16</v>
      </c>
      <c r="H21699">
        <v>233</v>
      </c>
      <c r="I21699">
        <v>800</v>
      </c>
      <c r="J21699">
        <v>1</v>
      </c>
      <c r="K21699">
        <v>1</v>
      </c>
      <c r="L21699">
        <v>566</v>
      </c>
      <c r="M21699">
        <v>1</v>
      </c>
      <c r="N21699">
        <v>0</v>
      </c>
      <c r="O21699">
        <v>2063</v>
      </c>
    </row>
    <row r="21700" spans="1:15" x14ac:dyDescent="0.25">
      <c r="A21700" t="s">
        <v>21713</v>
      </c>
      <c r="B21700">
        <v>925</v>
      </c>
      <c r="C21700" s="1" t="str">
        <f>HYPERLINK("http://www.rosaceae.org/gb/gbrowse/malus_x_domestica/?name=MDP0000288584","MDP0000288584")</f>
        <v>MDP0000288584</v>
      </c>
      <c r="D21700">
        <v>61.93</v>
      </c>
      <c r="E21700">
        <v>943</v>
      </c>
      <c r="F21700">
        <v>359</v>
      </c>
      <c r="G21700">
        <v>61</v>
      </c>
      <c r="H21700">
        <v>1</v>
      </c>
      <c r="I21700">
        <v>925</v>
      </c>
      <c r="J21700">
        <v>1</v>
      </c>
      <c r="K21700">
        <v>1</v>
      </c>
      <c r="L21700">
        <v>900</v>
      </c>
      <c r="M21700">
        <v>1</v>
      </c>
      <c r="N21700">
        <v>0</v>
      </c>
      <c r="O21700">
        <v>2704</v>
      </c>
    </row>
    <row r="21701" spans="1:15" x14ac:dyDescent="0.25">
      <c r="A21701" t="s">
        <v>21714</v>
      </c>
      <c r="B21701">
        <v>848</v>
      </c>
      <c r="C21701" s="1" t="str">
        <f>HYPERLINK("http://www.rosaceae.org/gb/gbrowse/malus_x_domestica/?name=MDP0000671900","MDP0000671900")</f>
        <v>MDP0000671900</v>
      </c>
      <c r="D21701">
        <v>66.41</v>
      </c>
      <c r="E21701">
        <v>917</v>
      </c>
      <c r="F21701">
        <v>308</v>
      </c>
      <c r="G21701">
        <v>77</v>
      </c>
      <c r="H21701">
        <v>1</v>
      </c>
      <c r="I21701">
        <v>842</v>
      </c>
      <c r="J21701">
        <v>1</v>
      </c>
      <c r="K21701">
        <v>1</v>
      </c>
      <c r="L21701">
        <v>915</v>
      </c>
      <c r="M21701">
        <v>1</v>
      </c>
      <c r="N21701">
        <v>0</v>
      </c>
      <c r="O21701">
        <v>3138</v>
      </c>
    </row>
    <row r="21702" spans="1:15" x14ac:dyDescent="0.25">
      <c r="A21702" t="s">
        <v>21715</v>
      </c>
      <c r="B21702">
        <v>316</v>
      </c>
      <c r="C21702" s="1" t="str">
        <f>HYPERLINK("http://www.rosaceae.org/gb/gbrowse/malus_x_domestica/?name=MDP0000561268","MDP0000561268")</f>
        <v>MDP0000561268</v>
      </c>
      <c r="D21702">
        <v>44.88</v>
      </c>
      <c r="E21702">
        <v>127</v>
      </c>
      <c r="F21702">
        <v>70</v>
      </c>
      <c r="G21702">
        <v>15</v>
      </c>
      <c r="H21702">
        <v>30</v>
      </c>
      <c r="I21702">
        <v>141</v>
      </c>
      <c r="J21702">
        <v>1</v>
      </c>
      <c r="K21702">
        <v>130</v>
      </c>
      <c r="L21702">
        <v>256</v>
      </c>
      <c r="M21702">
        <v>1</v>
      </c>
      <c r="N21702">
        <v>5.4991300000000003E-18</v>
      </c>
      <c r="O21702">
        <v>219</v>
      </c>
    </row>
    <row r="21703" spans="1:15" x14ac:dyDescent="0.25">
      <c r="A21703" t="s">
        <v>21716</v>
      </c>
      <c r="B21703">
        <v>451</v>
      </c>
      <c r="C21703" s="1" t="str">
        <f>HYPERLINK("http://www.rosaceae.org/gb/gbrowse/malus_x_domestica/?name=MDP0000924909","MDP0000924909")</f>
        <v>MDP0000924909</v>
      </c>
      <c r="D21703">
        <v>73.61</v>
      </c>
      <c r="E21703">
        <v>307</v>
      </c>
      <c r="F21703">
        <v>81</v>
      </c>
      <c r="G21703">
        <v>4</v>
      </c>
      <c r="H21703">
        <v>1</v>
      </c>
      <c r="I21703">
        <v>306</v>
      </c>
      <c r="J21703">
        <v>1</v>
      </c>
      <c r="K21703">
        <v>1</v>
      </c>
      <c r="L21703">
        <v>304</v>
      </c>
      <c r="M21703">
        <v>1</v>
      </c>
      <c r="N21703">
        <v>1.7214099999999999E-129</v>
      </c>
      <c r="O21703">
        <v>1183</v>
      </c>
    </row>
    <row r="21704" spans="1:15" x14ac:dyDescent="0.25">
      <c r="A21704" t="s">
        <v>21717</v>
      </c>
      <c r="B21704">
        <v>455</v>
      </c>
      <c r="C21704" s="1" t="str">
        <f>HYPERLINK("http://www.rosaceae.org/gb/gbrowse/malus_x_domestica/?name=MDP0000250455","MDP0000250455")</f>
        <v>MDP0000250455</v>
      </c>
      <c r="D21704">
        <v>36.65</v>
      </c>
      <c r="E21704">
        <v>341</v>
      </c>
      <c r="F21704">
        <v>216</v>
      </c>
      <c r="G21704">
        <v>29</v>
      </c>
      <c r="H21704">
        <v>127</v>
      </c>
      <c r="I21704">
        <v>450</v>
      </c>
      <c r="J21704">
        <v>1</v>
      </c>
      <c r="K21704">
        <v>541</v>
      </c>
      <c r="L21704">
        <v>869</v>
      </c>
      <c r="M21704">
        <v>1</v>
      </c>
      <c r="N21704">
        <v>7.1800499999999997E-49</v>
      </c>
      <c r="O21704">
        <v>487</v>
      </c>
    </row>
    <row r="21705" spans="1:15" x14ac:dyDescent="0.25">
      <c r="A21705" t="s">
        <v>21718</v>
      </c>
      <c r="B21705">
        <v>575</v>
      </c>
      <c r="C21705" s="1" t="str">
        <f>HYPERLINK("http://www.rosaceae.org/gb/gbrowse/malus_x_domestica/?name=MDP0000858983","MDP0000858983")</f>
        <v>MDP0000858983</v>
      </c>
      <c r="D21705">
        <v>82.89</v>
      </c>
      <c r="E21705">
        <v>532</v>
      </c>
      <c r="F21705">
        <v>91</v>
      </c>
      <c r="G21705">
        <v>4</v>
      </c>
      <c r="H21705">
        <v>33</v>
      </c>
      <c r="I21705">
        <v>563</v>
      </c>
      <c r="J21705">
        <v>1</v>
      </c>
      <c r="K21705">
        <v>1</v>
      </c>
      <c r="L21705">
        <v>529</v>
      </c>
      <c r="M21705">
        <v>1</v>
      </c>
      <c r="N21705">
        <v>0</v>
      </c>
      <c r="O21705">
        <v>2386</v>
      </c>
    </row>
    <row r="21706" spans="1:15" x14ac:dyDescent="0.25">
      <c r="A21706" t="s">
        <v>21719</v>
      </c>
      <c r="B21706">
        <v>133</v>
      </c>
      <c r="C21706" s="1" t="str">
        <f>HYPERLINK("http://www.rosaceae.org/gb/gbrowse/malus_x_domestica/?name=MDP0000232052","MDP0000232052")</f>
        <v>MDP0000232052</v>
      </c>
      <c r="D21706">
        <v>55.55</v>
      </c>
      <c r="E21706">
        <v>36</v>
      </c>
      <c r="F21706">
        <v>16</v>
      </c>
      <c r="G21706">
        <v>0</v>
      </c>
      <c r="H21706">
        <v>70</v>
      </c>
      <c r="I21706">
        <v>105</v>
      </c>
      <c r="J21706">
        <v>1</v>
      </c>
      <c r="K21706">
        <v>166</v>
      </c>
      <c r="L21706">
        <v>201</v>
      </c>
      <c r="M21706">
        <v>1</v>
      </c>
      <c r="N21706">
        <v>1.2115E-7</v>
      </c>
      <c r="O21706">
        <v>124</v>
      </c>
    </row>
    <row r="21707" spans="1:15" x14ac:dyDescent="0.25">
      <c r="A21707" t="s">
        <v>21720</v>
      </c>
      <c r="B21707">
        <v>279</v>
      </c>
      <c r="C21707" s="1" t="str">
        <f>HYPERLINK("http://www.rosaceae.org/gb/gbrowse/malus_x_domestica/?name=MDP0000267409","MDP0000267409")</f>
        <v>MDP0000267409</v>
      </c>
      <c r="D21707">
        <v>35.58</v>
      </c>
      <c r="E21707">
        <v>326</v>
      </c>
      <c r="F21707">
        <v>210</v>
      </c>
      <c r="G21707">
        <v>62</v>
      </c>
      <c r="H21707">
        <v>11</v>
      </c>
      <c r="I21707">
        <v>277</v>
      </c>
      <c r="J21707">
        <v>1</v>
      </c>
      <c r="K21707">
        <v>675</v>
      </c>
      <c r="L21707">
        <v>997</v>
      </c>
      <c r="M21707">
        <v>1</v>
      </c>
      <c r="N21707">
        <v>3.2427500000000001E-34</v>
      </c>
      <c r="O21707">
        <v>359</v>
      </c>
    </row>
    <row r="21708" spans="1:15" x14ac:dyDescent="0.25">
      <c r="A21708" t="s">
        <v>21721</v>
      </c>
      <c r="B21708">
        <v>930</v>
      </c>
      <c r="C21708" s="1" t="str">
        <f>HYPERLINK("http://www.rosaceae.org/gb/gbrowse/malus_x_domestica/?name=MDP0000561556","MDP0000561556")</f>
        <v>MDP0000561556</v>
      </c>
      <c r="D21708">
        <v>54.52</v>
      </c>
      <c r="E21708">
        <v>972</v>
      </c>
      <c r="F21708">
        <v>442</v>
      </c>
      <c r="G21708">
        <v>60</v>
      </c>
      <c r="H21708">
        <v>1</v>
      </c>
      <c r="I21708">
        <v>926</v>
      </c>
      <c r="J21708">
        <v>1</v>
      </c>
      <c r="K21708">
        <v>440</v>
      </c>
      <c r="L21708">
        <v>1397</v>
      </c>
      <c r="M21708">
        <v>1</v>
      </c>
      <c r="N21708">
        <v>0</v>
      </c>
      <c r="O21708">
        <v>2357</v>
      </c>
    </row>
    <row r="21709" spans="1:15" x14ac:dyDescent="0.25">
      <c r="A21709" t="s">
        <v>21722</v>
      </c>
      <c r="B21709">
        <v>603</v>
      </c>
      <c r="C21709" s="1" t="str">
        <f>HYPERLINK("http://www.rosaceae.org/gb/gbrowse/malus_x_domestica/?name=MDP0000232843","MDP0000232843")</f>
        <v>MDP0000232843</v>
      </c>
      <c r="D21709">
        <v>81.47</v>
      </c>
      <c r="E21709">
        <v>529</v>
      </c>
      <c r="F21709">
        <v>98</v>
      </c>
      <c r="G21709">
        <v>22</v>
      </c>
      <c r="H21709">
        <v>19</v>
      </c>
      <c r="I21709">
        <v>525</v>
      </c>
      <c r="J21709">
        <v>1</v>
      </c>
      <c r="K21709">
        <v>29</v>
      </c>
      <c r="L21709">
        <v>557</v>
      </c>
      <c r="M21709">
        <v>1</v>
      </c>
      <c r="N21709">
        <v>0</v>
      </c>
      <c r="O21709">
        <v>2266</v>
      </c>
    </row>
    <row r="21710" spans="1:15" x14ac:dyDescent="0.25">
      <c r="A21710" t="s">
        <v>21723</v>
      </c>
      <c r="B21710">
        <v>1193</v>
      </c>
      <c r="C21710" s="1" t="str">
        <f>HYPERLINK("http://www.rosaceae.org/gb/gbrowse/malus_x_domestica/?name=MDP0000242756","MDP0000242756")</f>
        <v>MDP0000242756</v>
      </c>
      <c r="D21710">
        <v>47.68</v>
      </c>
      <c r="E21710">
        <v>1168</v>
      </c>
      <c r="F21710">
        <v>611</v>
      </c>
      <c r="G21710">
        <v>115</v>
      </c>
      <c r="H21710">
        <v>32</v>
      </c>
      <c r="I21710">
        <v>1171</v>
      </c>
      <c r="J21710">
        <v>1</v>
      </c>
      <c r="K21710">
        <v>51</v>
      </c>
      <c r="L21710">
        <v>1131</v>
      </c>
      <c r="M21710">
        <v>1</v>
      </c>
      <c r="N21710">
        <v>0</v>
      </c>
      <c r="O21710">
        <v>2491</v>
      </c>
    </row>
    <row r="21711" spans="1:15" x14ac:dyDescent="0.25">
      <c r="A21711" t="s">
        <v>21724</v>
      </c>
      <c r="B21711">
        <v>202</v>
      </c>
      <c r="C21711" s="1" t="str">
        <f>HYPERLINK("http://www.rosaceae.org/gb/gbrowse/malus_x_domestica/?name=MDP0000137075","MDP0000137075")</f>
        <v>MDP0000137075</v>
      </c>
      <c r="D21711">
        <v>99.45</v>
      </c>
      <c r="E21711">
        <v>184</v>
      </c>
      <c r="F21711">
        <v>1</v>
      </c>
      <c r="G21711">
        <v>0</v>
      </c>
      <c r="H21711">
        <v>19</v>
      </c>
      <c r="I21711">
        <v>202</v>
      </c>
      <c r="J21711">
        <v>1</v>
      </c>
      <c r="K21711">
        <v>233</v>
      </c>
      <c r="L21711">
        <v>416</v>
      </c>
      <c r="M21711">
        <v>1</v>
      </c>
      <c r="N21711">
        <v>4.0823699999999999E-104</v>
      </c>
      <c r="O21711">
        <v>960</v>
      </c>
    </row>
    <row r="21712" spans="1:15" x14ac:dyDescent="0.25">
      <c r="A21712" t="s">
        <v>21725</v>
      </c>
      <c r="B21712">
        <v>906</v>
      </c>
      <c r="C21712" s="1" t="str">
        <f>HYPERLINK("http://www.rosaceae.org/gb/gbrowse/malus_x_domestica/?name=MDP0000171628","MDP0000171628")</f>
        <v>MDP0000171628</v>
      </c>
      <c r="D21712">
        <v>69.91</v>
      </c>
      <c r="E21712">
        <v>718</v>
      </c>
      <c r="F21712">
        <v>216</v>
      </c>
      <c r="G21712">
        <v>65</v>
      </c>
      <c r="H21712">
        <v>1</v>
      </c>
      <c r="I21712">
        <v>663</v>
      </c>
      <c r="J21712">
        <v>1</v>
      </c>
      <c r="K21712">
        <v>1</v>
      </c>
      <c r="L21712">
        <v>708</v>
      </c>
      <c r="M21712">
        <v>1</v>
      </c>
      <c r="N21712">
        <v>0</v>
      </c>
      <c r="O21712">
        <v>2448</v>
      </c>
    </row>
    <row r="21713" spans="1:15" x14ac:dyDescent="0.25">
      <c r="A21713" t="s">
        <v>21726</v>
      </c>
      <c r="B21713">
        <v>512</v>
      </c>
      <c r="C21713" s="1" t="str">
        <f>HYPERLINK("http://www.rosaceae.org/gb/gbrowse/malus_x_domestica/?name=MDP0000212975","MDP0000212975")</f>
        <v>MDP0000212975</v>
      </c>
      <c r="D21713">
        <v>77.36</v>
      </c>
      <c r="E21713">
        <v>517</v>
      </c>
      <c r="F21713">
        <v>117</v>
      </c>
      <c r="G21713">
        <v>15</v>
      </c>
      <c r="H21713">
        <v>11</v>
      </c>
      <c r="I21713">
        <v>512</v>
      </c>
      <c r="J21713">
        <v>1</v>
      </c>
      <c r="K21713">
        <v>1</v>
      </c>
      <c r="L21713">
        <v>517</v>
      </c>
      <c r="M21713">
        <v>1</v>
      </c>
      <c r="N21713">
        <v>0</v>
      </c>
      <c r="O21713">
        <v>2143</v>
      </c>
    </row>
    <row r="21714" spans="1:15" x14ac:dyDescent="0.25">
      <c r="A21714" t="s">
        <v>21727</v>
      </c>
      <c r="B21714">
        <v>708</v>
      </c>
      <c r="C21714" s="1" t="str">
        <f>HYPERLINK("http://www.rosaceae.org/gb/gbrowse/malus_x_domestica/?name=MDP0000950999","MDP0000950999")</f>
        <v>MDP0000950999</v>
      </c>
      <c r="D21714">
        <v>63.65</v>
      </c>
      <c r="E21714">
        <v>520</v>
      </c>
      <c r="F21714">
        <v>189</v>
      </c>
      <c r="G21714">
        <v>10</v>
      </c>
      <c r="H21714">
        <v>162</v>
      </c>
      <c r="I21714">
        <v>672</v>
      </c>
      <c r="J21714">
        <v>1</v>
      </c>
      <c r="K21714">
        <v>368</v>
      </c>
      <c r="L21714">
        <v>886</v>
      </c>
      <c r="M21714">
        <v>1</v>
      </c>
      <c r="N21714">
        <v>0</v>
      </c>
      <c r="O21714">
        <v>1687</v>
      </c>
    </row>
    <row r="21715" spans="1:15" x14ac:dyDescent="0.25">
      <c r="A21715" t="s">
        <v>21728</v>
      </c>
      <c r="B21715">
        <v>194</v>
      </c>
      <c r="C21715" s="1" t="str">
        <f>HYPERLINK("http://www.rosaceae.org/gb/gbrowse/malus_x_domestica/?name=MDP0000257227","MDP0000257227")</f>
        <v>MDP0000257227</v>
      </c>
      <c r="D21715">
        <v>44.82</v>
      </c>
      <c r="E21715">
        <v>87</v>
      </c>
      <c r="F21715">
        <v>48</v>
      </c>
      <c r="G21715">
        <v>2</v>
      </c>
      <c r="H21715">
        <v>3</v>
      </c>
      <c r="I21715">
        <v>89</v>
      </c>
      <c r="J21715">
        <v>1</v>
      </c>
      <c r="K21715">
        <v>28</v>
      </c>
      <c r="L21715">
        <v>112</v>
      </c>
      <c r="M21715">
        <v>1</v>
      </c>
      <c r="N21715">
        <v>9.6705799999999994E-19</v>
      </c>
      <c r="O21715">
        <v>223</v>
      </c>
    </row>
    <row r="21716" spans="1:15" x14ac:dyDescent="0.25">
      <c r="A21716" t="s">
        <v>21729</v>
      </c>
      <c r="B21716">
        <v>753</v>
      </c>
      <c r="C21716" s="1" t="str">
        <f>HYPERLINK("http://www.rosaceae.org/gb/gbrowse/malus_x_domestica/?name=MDP0000315011","MDP0000315011")</f>
        <v>MDP0000315011</v>
      </c>
      <c r="D21716">
        <v>47.11</v>
      </c>
      <c r="E21716">
        <v>450</v>
      </c>
      <c r="F21716">
        <v>238</v>
      </c>
      <c r="G21716">
        <v>72</v>
      </c>
      <c r="H21716">
        <v>249</v>
      </c>
      <c r="I21716">
        <v>640</v>
      </c>
      <c r="J21716">
        <v>1</v>
      </c>
      <c r="K21716">
        <v>118</v>
      </c>
      <c r="L21716">
        <v>553</v>
      </c>
      <c r="M21716">
        <v>1</v>
      </c>
      <c r="N21716">
        <v>3.5228899999999998E-104</v>
      </c>
      <c r="O21716">
        <v>967</v>
      </c>
    </row>
    <row r="21717" spans="1:15" x14ac:dyDescent="0.25">
      <c r="A21717" t="s">
        <v>21730</v>
      </c>
      <c r="B21717">
        <v>764</v>
      </c>
      <c r="C21717" s="1" t="str">
        <f>HYPERLINK("http://www.rosaceae.org/gb/gbrowse/malus_x_domestica/?name=MDP0000334586","MDP0000334586")</f>
        <v>MDP0000334586</v>
      </c>
      <c r="D21717">
        <v>79.67</v>
      </c>
      <c r="E21717">
        <v>187</v>
      </c>
      <c r="F21717">
        <v>38</v>
      </c>
      <c r="G21717">
        <v>0</v>
      </c>
      <c r="H21717">
        <v>578</v>
      </c>
      <c r="I21717">
        <v>764</v>
      </c>
      <c r="J21717">
        <v>1</v>
      </c>
      <c r="K21717">
        <v>1</v>
      </c>
      <c r="L21717">
        <v>187</v>
      </c>
      <c r="M21717">
        <v>1</v>
      </c>
      <c r="N21717">
        <v>6.9133899999999997E-82</v>
      </c>
      <c r="O21717">
        <v>775</v>
      </c>
    </row>
    <row r="21718" spans="1:15" x14ac:dyDescent="0.25">
      <c r="A21718" t="s">
        <v>21731</v>
      </c>
      <c r="B21718">
        <v>777</v>
      </c>
      <c r="C21718" s="1" t="str">
        <f>HYPERLINK("http://www.rosaceae.org/gb/gbrowse/malus_x_domestica/?name=MDP0000299819","MDP0000299819")</f>
        <v>MDP0000299819</v>
      </c>
      <c r="D21718">
        <v>75.849999999999994</v>
      </c>
      <c r="E21718">
        <v>410</v>
      </c>
      <c r="F21718">
        <v>99</v>
      </c>
      <c r="G21718">
        <v>6</v>
      </c>
      <c r="H21718">
        <v>370</v>
      </c>
      <c r="I21718">
        <v>777</v>
      </c>
      <c r="J21718">
        <v>1</v>
      </c>
      <c r="K21718">
        <v>1</v>
      </c>
      <c r="L21718">
        <v>406</v>
      </c>
      <c r="M21718">
        <v>1</v>
      </c>
      <c r="N21718">
        <v>5.2084800000000001E-177</v>
      </c>
      <c r="O21718">
        <v>1595</v>
      </c>
    </row>
    <row r="21719" spans="1:15" x14ac:dyDescent="0.25">
      <c r="A21719" t="s">
        <v>21732</v>
      </c>
      <c r="B21719">
        <v>447</v>
      </c>
      <c r="C21719" s="1" t="str">
        <f>HYPERLINK("http://www.rosaceae.org/gb/gbrowse/malus_x_domestica/?name=MDP0000294324","MDP0000294324")</f>
        <v>MDP0000294324</v>
      </c>
      <c r="D21719">
        <v>83.03</v>
      </c>
      <c r="E21719">
        <v>448</v>
      </c>
      <c r="F21719">
        <v>76</v>
      </c>
      <c r="G21719">
        <v>7</v>
      </c>
      <c r="H21719">
        <v>1</v>
      </c>
      <c r="I21719">
        <v>447</v>
      </c>
      <c r="J21719">
        <v>1</v>
      </c>
      <c r="K21719">
        <v>1</v>
      </c>
      <c r="L21719">
        <v>442</v>
      </c>
      <c r="M21719">
        <v>1</v>
      </c>
      <c r="N21719">
        <v>0</v>
      </c>
      <c r="O21719">
        <v>1930</v>
      </c>
    </row>
    <row r="21720" spans="1:15" x14ac:dyDescent="0.25">
      <c r="A21720" t="s">
        <v>21733</v>
      </c>
      <c r="B21720">
        <v>118</v>
      </c>
      <c r="C21720" s="1" t="str">
        <f>HYPERLINK("http://www.rosaceae.org/gb/gbrowse/malus_x_domestica/?name=MDP0000241015","MDP0000241015")</f>
        <v>MDP0000241015</v>
      </c>
      <c r="D21720">
        <v>49.33</v>
      </c>
      <c r="E21720">
        <v>75</v>
      </c>
      <c r="F21720">
        <v>38</v>
      </c>
      <c r="G21720">
        <v>11</v>
      </c>
      <c r="H21720">
        <v>26</v>
      </c>
      <c r="I21720">
        <v>98</v>
      </c>
      <c r="J21720">
        <v>1</v>
      </c>
      <c r="K21720">
        <v>47</v>
      </c>
      <c r="L21720">
        <v>112</v>
      </c>
      <c r="M21720">
        <v>1</v>
      </c>
      <c r="N21720">
        <v>9.48431E-13</v>
      </c>
      <c r="O21720">
        <v>167</v>
      </c>
    </row>
    <row r="21721" spans="1:15" x14ac:dyDescent="0.25">
      <c r="A21721" t="s">
        <v>21734</v>
      </c>
      <c r="B21721">
        <v>522</v>
      </c>
      <c r="C21721" s="1" t="str">
        <f>HYPERLINK("http://www.rosaceae.org/gb/gbrowse/malus_x_domestica/?name=MDP0000538596","MDP0000538596")</f>
        <v>MDP0000538596</v>
      </c>
      <c r="D21721">
        <v>69.05</v>
      </c>
      <c r="E21721">
        <v>517</v>
      </c>
      <c r="F21721">
        <v>160</v>
      </c>
      <c r="G21721">
        <v>4</v>
      </c>
      <c r="H21721">
        <v>6</v>
      </c>
      <c r="I21721">
        <v>521</v>
      </c>
      <c r="J21721">
        <v>1</v>
      </c>
      <c r="K21721">
        <v>8</v>
      </c>
      <c r="L21721">
        <v>521</v>
      </c>
      <c r="M21721">
        <v>1</v>
      </c>
      <c r="N21721">
        <v>0</v>
      </c>
      <c r="O21721">
        <v>1875</v>
      </c>
    </row>
    <row r="21722" spans="1:15" x14ac:dyDescent="0.25">
      <c r="A21722" t="s">
        <v>21735</v>
      </c>
      <c r="B21722">
        <v>271</v>
      </c>
      <c r="C21722" s="1" t="str">
        <f>HYPERLINK("http://www.rosaceae.org/gb/gbrowse/malus_x_domestica/?name=MDP0000183712","MDP0000183712")</f>
        <v>MDP0000183712</v>
      </c>
      <c r="D21722">
        <v>28.97</v>
      </c>
      <c r="E21722">
        <v>176</v>
      </c>
      <c r="F21722">
        <v>125</v>
      </c>
      <c r="G21722">
        <v>27</v>
      </c>
      <c r="H21722">
        <v>87</v>
      </c>
      <c r="I21722">
        <v>262</v>
      </c>
      <c r="J21722">
        <v>1</v>
      </c>
      <c r="K21722">
        <v>81</v>
      </c>
      <c r="L21722">
        <v>229</v>
      </c>
      <c r="M21722">
        <v>1</v>
      </c>
      <c r="N21722">
        <v>1.2140900000000001E-11</v>
      </c>
      <c r="O21722">
        <v>164</v>
      </c>
    </row>
    <row r="21723" spans="1:15" x14ac:dyDescent="0.25">
      <c r="A21723" t="s">
        <v>21736</v>
      </c>
      <c r="B21723">
        <v>776</v>
      </c>
      <c r="C21723" s="1" t="str">
        <f>HYPERLINK("http://www.rosaceae.org/gb/gbrowse/malus_x_domestica/?name=MDP0000299188","MDP0000299188")</f>
        <v>MDP0000299188</v>
      </c>
      <c r="D21723">
        <v>94.58</v>
      </c>
      <c r="E21723">
        <v>425</v>
      </c>
      <c r="F21723">
        <v>23</v>
      </c>
      <c r="G21723">
        <v>0</v>
      </c>
      <c r="H21723">
        <v>352</v>
      </c>
      <c r="I21723">
        <v>776</v>
      </c>
      <c r="J21723">
        <v>1</v>
      </c>
      <c r="K21723">
        <v>1</v>
      </c>
      <c r="L21723">
        <v>425</v>
      </c>
      <c r="M21723">
        <v>1</v>
      </c>
      <c r="N21723">
        <v>0</v>
      </c>
      <c r="O21723">
        <v>2152</v>
      </c>
    </row>
    <row r="21724" spans="1:15" x14ac:dyDescent="0.25">
      <c r="A21724" t="s">
        <v>21737</v>
      </c>
      <c r="B21724">
        <v>146</v>
      </c>
      <c r="C21724" s="1" t="str">
        <f>HYPERLINK("http://www.rosaceae.org/gb/gbrowse/malus_x_domestica/?name=MDP0000242230","MDP0000242230")</f>
        <v>MDP0000242230</v>
      </c>
      <c r="D21724">
        <v>53.71</v>
      </c>
      <c r="E21724">
        <v>121</v>
      </c>
      <c r="F21724">
        <v>56</v>
      </c>
      <c r="G21724">
        <v>6</v>
      </c>
      <c r="H21724">
        <v>1</v>
      </c>
      <c r="I21724">
        <v>115</v>
      </c>
      <c r="J21724">
        <v>1</v>
      </c>
      <c r="K21724">
        <v>1</v>
      </c>
      <c r="L21724">
        <v>121</v>
      </c>
      <c r="M21724">
        <v>1</v>
      </c>
      <c r="N21724">
        <v>3.2251800000000001E-15</v>
      </c>
      <c r="O21724">
        <v>190</v>
      </c>
    </row>
    <row r="21725" spans="1:15" x14ac:dyDescent="0.25">
      <c r="A21725" t="s">
        <v>21738</v>
      </c>
      <c r="B21725">
        <v>485</v>
      </c>
      <c r="C21725" s="1" t="str">
        <f>HYPERLINK("http://www.rosaceae.org/gb/gbrowse/malus_x_domestica/?name=MDP0000304679","MDP0000304679")</f>
        <v>MDP0000304679</v>
      </c>
      <c r="D21725">
        <v>57.09</v>
      </c>
      <c r="E21725">
        <v>331</v>
      </c>
      <c r="F21725">
        <v>142</v>
      </c>
      <c r="G21725">
        <v>4</v>
      </c>
      <c r="H21725">
        <v>139</v>
      </c>
      <c r="I21725">
        <v>467</v>
      </c>
      <c r="J21725">
        <v>1</v>
      </c>
      <c r="K21725">
        <v>51</v>
      </c>
      <c r="L21725">
        <v>379</v>
      </c>
      <c r="M21725">
        <v>1</v>
      </c>
      <c r="N21725">
        <v>2.1605900000000001E-102</v>
      </c>
      <c r="O21725">
        <v>949</v>
      </c>
    </row>
    <row r="21726" spans="1:15" x14ac:dyDescent="0.25">
      <c r="A21726" t="s">
        <v>21739</v>
      </c>
      <c r="B21726">
        <v>552</v>
      </c>
      <c r="C21726" s="1" t="str">
        <f>HYPERLINK("http://www.rosaceae.org/gb/gbrowse/malus_x_domestica/?name=MDP0000289629","MDP0000289629")</f>
        <v>MDP0000289629</v>
      </c>
      <c r="D21726">
        <v>73.489999999999995</v>
      </c>
      <c r="E21726">
        <v>547</v>
      </c>
      <c r="F21726">
        <v>145</v>
      </c>
      <c r="G21726">
        <v>5</v>
      </c>
      <c r="H21726">
        <v>11</v>
      </c>
      <c r="I21726">
        <v>552</v>
      </c>
      <c r="J21726">
        <v>1</v>
      </c>
      <c r="K21726">
        <v>13</v>
      </c>
      <c r="L21726">
        <v>559</v>
      </c>
      <c r="M21726">
        <v>1</v>
      </c>
      <c r="N21726">
        <v>0</v>
      </c>
      <c r="O21726">
        <v>2085</v>
      </c>
    </row>
    <row r="21727" spans="1:15" x14ac:dyDescent="0.25">
      <c r="A21727" t="s">
        <v>21740</v>
      </c>
      <c r="B21727">
        <v>407</v>
      </c>
      <c r="C21727" s="1" t="str">
        <f>HYPERLINK("http://www.rosaceae.org/gb/gbrowse/malus_x_domestica/?name=MDP0000171517","MDP0000171517")</f>
        <v>MDP0000171517</v>
      </c>
      <c r="D21727">
        <v>76.66</v>
      </c>
      <c r="E21727">
        <v>60</v>
      </c>
      <c r="F21727">
        <v>14</v>
      </c>
      <c r="G21727">
        <v>3</v>
      </c>
      <c r="H21727">
        <v>341</v>
      </c>
      <c r="I21727">
        <v>397</v>
      </c>
      <c r="J21727">
        <v>1</v>
      </c>
      <c r="K21727">
        <v>1032</v>
      </c>
      <c r="L21727">
        <v>1091</v>
      </c>
      <c r="M21727">
        <v>1</v>
      </c>
      <c r="N21727">
        <v>4.6206399999999998E-17</v>
      </c>
      <c r="O21727">
        <v>213</v>
      </c>
    </row>
    <row r="21728" spans="1:15" x14ac:dyDescent="0.25">
      <c r="A21728" t="s">
        <v>21741</v>
      </c>
      <c r="B21728">
        <v>767</v>
      </c>
      <c r="C21728" s="1" t="str">
        <f>HYPERLINK("http://www.rosaceae.org/gb/gbrowse/malus_x_domestica/?name=MDP0000218938","MDP0000218938")</f>
        <v>MDP0000218938</v>
      </c>
      <c r="D21728">
        <v>70.13</v>
      </c>
      <c r="E21728">
        <v>606</v>
      </c>
      <c r="F21728">
        <v>181</v>
      </c>
      <c r="G21728">
        <v>74</v>
      </c>
      <c r="H21728">
        <v>1</v>
      </c>
      <c r="I21728">
        <v>536</v>
      </c>
      <c r="J21728">
        <v>1</v>
      </c>
      <c r="K21728">
        <v>1</v>
      </c>
      <c r="L21728">
        <v>602</v>
      </c>
      <c r="M21728">
        <v>1</v>
      </c>
      <c r="N21728">
        <v>0</v>
      </c>
      <c r="O21728">
        <v>2072</v>
      </c>
    </row>
    <row r="21729" spans="1:15" x14ac:dyDescent="0.25">
      <c r="A21729" t="s">
        <v>21742</v>
      </c>
      <c r="B21729">
        <v>941</v>
      </c>
      <c r="C21729" s="1" t="str">
        <f>HYPERLINK("http://www.rosaceae.org/gb/gbrowse/malus_x_domestica/?name=MDP0000268541","MDP0000268541")</f>
        <v>MDP0000268541</v>
      </c>
      <c r="D21729">
        <v>68.94</v>
      </c>
      <c r="E21729">
        <v>219</v>
      </c>
      <c r="F21729">
        <v>68</v>
      </c>
      <c r="G21729">
        <v>28</v>
      </c>
      <c r="H21729">
        <v>751</v>
      </c>
      <c r="I21729">
        <v>941</v>
      </c>
      <c r="J21729">
        <v>1</v>
      </c>
      <c r="K21729">
        <v>186</v>
      </c>
      <c r="L21729">
        <v>404</v>
      </c>
      <c r="M21729">
        <v>1</v>
      </c>
      <c r="N21729">
        <v>5.5103600000000002E-74</v>
      </c>
      <c r="O21729">
        <v>707</v>
      </c>
    </row>
    <row r="21730" spans="1:15" x14ac:dyDescent="0.25">
      <c r="A21730" t="s">
        <v>21743</v>
      </c>
      <c r="B21730">
        <v>213</v>
      </c>
      <c r="C21730" s="1" t="str">
        <f>HYPERLINK("http://www.rosaceae.org/gb/gbrowse/malus_x_domestica/?name=MDP0000140915","MDP0000140915")</f>
        <v>MDP0000140915</v>
      </c>
      <c r="D21730">
        <v>43.2</v>
      </c>
      <c r="E21730">
        <v>162</v>
      </c>
      <c r="F21730">
        <v>92</v>
      </c>
      <c r="G21730">
        <v>17</v>
      </c>
      <c r="H21730">
        <v>3</v>
      </c>
      <c r="I21730">
        <v>147</v>
      </c>
      <c r="J21730">
        <v>1</v>
      </c>
      <c r="K21730">
        <v>440</v>
      </c>
      <c r="L21730">
        <v>601</v>
      </c>
      <c r="M21730">
        <v>1</v>
      </c>
      <c r="N21730">
        <v>7.3314300000000004E-29</v>
      </c>
      <c r="O21730">
        <v>311</v>
      </c>
    </row>
    <row r="21731" spans="1:15" x14ac:dyDescent="0.25">
      <c r="A21731" t="s">
        <v>21744</v>
      </c>
      <c r="B21731">
        <v>425</v>
      </c>
      <c r="C21731" s="1" t="str">
        <f>HYPERLINK("http://www.rosaceae.org/gb/gbrowse/malus_x_domestica/?name=MDP0000176747","MDP0000176747")</f>
        <v>MDP0000176747</v>
      </c>
      <c r="D21731">
        <v>53.52</v>
      </c>
      <c r="E21731">
        <v>482</v>
      </c>
      <c r="F21731">
        <v>224</v>
      </c>
      <c r="G21731">
        <v>61</v>
      </c>
      <c r="H21731">
        <v>1</v>
      </c>
      <c r="I21731">
        <v>425</v>
      </c>
      <c r="J21731">
        <v>1</v>
      </c>
      <c r="K21731">
        <v>392</v>
      </c>
      <c r="L21731">
        <v>869</v>
      </c>
      <c r="M21731">
        <v>1</v>
      </c>
      <c r="N21731">
        <v>6.9367299999999995E-111</v>
      </c>
      <c r="O21731">
        <v>1022</v>
      </c>
    </row>
    <row r="21732" spans="1:15" x14ac:dyDescent="0.25">
      <c r="A21732" t="s">
        <v>21745</v>
      </c>
      <c r="B21732">
        <v>849</v>
      </c>
      <c r="C21732" s="1" t="str">
        <f>HYPERLINK("http://www.rosaceae.org/gb/gbrowse/malus_x_domestica/?name=MDP0000143754","MDP0000143754")</f>
        <v>MDP0000143754</v>
      </c>
      <c r="D21732">
        <v>56.74</v>
      </c>
      <c r="E21732">
        <v>860</v>
      </c>
      <c r="F21732">
        <v>372</v>
      </c>
      <c r="G21732">
        <v>100</v>
      </c>
      <c r="H21732">
        <v>1</v>
      </c>
      <c r="I21732">
        <v>841</v>
      </c>
      <c r="J21732">
        <v>1</v>
      </c>
      <c r="K21732">
        <v>1</v>
      </c>
      <c r="L21732">
        <v>779</v>
      </c>
      <c r="M21732">
        <v>1</v>
      </c>
      <c r="N21732">
        <v>0</v>
      </c>
      <c r="O21732">
        <v>2173</v>
      </c>
    </row>
    <row r="21733" spans="1:15" x14ac:dyDescent="0.25">
      <c r="A21733" t="s">
        <v>21746</v>
      </c>
      <c r="B21733">
        <v>734</v>
      </c>
      <c r="C21733" s="1" t="str">
        <f>HYPERLINK("http://www.rosaceae.org/gb/gbrowse/malus_x_domestica/?name=MDP0000231153","MDP0000231153")</f>
        <v>MDP0000231153</v>
      </c>
      <c r="D21733">
        <v>65.13</v>
      </c>
      <c r="E21733">
        <v>456</v>
      </c>
      <c r="F21733">
        <v>159</v>
      </c>
      <c r="G21733">
        <v>57</v>
      </c>
      <c r="H21733">
        <v>276</v>
      </c>
      <c r="I21733">
        <v>685</v>
      </c>
      <c r="J21733">
        <v>1</v>
      </c>
      <c r="K21733">
        <v>285</v>
      </c>
      <c r="L21733">
        <v>729</v>
      </c>
      <c r="M21733">
        <v>1</v>
      </c>
      <c r="N21733">
        <v>1.21539E-160</v>
      </c>
      <c r="O21733">
        <v>1454</v>
      </c>
    </row>
    <row r="21734" spans="1:15" x14ac:dyDescent="0.25">
      <c r="A21734" t="s">
        <v>21747</v>
      </c>
      <c r="B21734">
        <v>1084</v>
      </c>
      <c r="C21734" s="1" t="str">
        <f>HYPERLINK("http://www.rosaceae.org/gb/gbrowse/malus_x_domestica/?name=MDP0000182451","MDP0000182451")</f>
        <v>MDP0000182451</v>
      </c>
      <c r="D21734">
        <v>59.81</v>
      </c>
      <c r="E21734">
        <v>1065</v>
      </c>
      <c r="F21734">
        <v>428</v>
      </c>
      <c r="G21734">
        <v>119</v>
      </c>
      <c r="H21734">
        <v>1</v>
      </c>
      <c r="I21734">
        <v>1045</v>
      </c>
      <c r="J21734">
        <v>1</v>
      </c>
      <c r="K21734">
        <v>1</v>
      </c>
      <c r="L21734">
        <v>966</v>
      </c>
      <c r="M21734">
        <v>1</v>
      </c>
      <c r="N21734">
        <v>0</v>
      </c>
      <c r="O21734">
        <v>2986</v>
      </c>
    </row>
    <row r="21735" spans="1:15" x14ac:dyDescent="0.25">
      <c r="A21735" t="s">
        <v>21748</v>
      </c>
      <c r="B21735">
        <v>542</v>
      </c>
      <c r="C21735" s="1" t="str">
        <f>HYPERLINK("http://www.rosaceae.org/gb/gbrowse/malus_x_domestica/?name=MDP0000308907","MDP0000308907")</f>
        <v>MDP0000308907</v>
      </c>
      <c r="D21735">
        <v>86.36</v>
      </c>
      <c r="E21735">
        <v>484</v>
      </c>
      <c r="F21735">
        <v>66</v>
      </c>
      <c r="G21735">
        <v>0</v>
      </c>
      <c r="H21735">
        <v>58</v>
      </c>
      <c r="I21735">
        <v>541</v>
      </c>
      <c r="J21735">
        <v>1</v>
      </c>
      <c r="K21735">
        <v>8</v>
      </c>
      <c r="L21735">
        <v>491</v>
      </c>
      <c r="M21735">
        <v>1</v>
      </c>
      <c r="N21735">
        <v>0</v>
      </c>
      <c r="O21735">
        <v>2307</v>
      </c>
    </row>
    <row r="21736" spans="1:15" x14ac:dyDescent="0.25">
      <c r="A21736" t="s">
        <v>21749</v>
      </c>
      <c r="B21736">
        <v>320</v>
      </c>
      <c r="C21736" s="1" t="str">
        <f>HYPERLINK("http://www.rosaceae.org/gb/gbrowse/malus_x_domestica/?name=MDP0000159326","MDP0000159326")</f>
        <v>MDP0000159326</v>
      </c>
      <c r="D21736">
        <v>51.09</v>
      </c>
      <c r="E21736">
        <v>229</v>
      </c>
      <c r="F21736">
        <v>112</v>
      </c>
      <c r="G21736">
        <v>11</v>
      </c>
      <c r="H21736">
        <v>67</v>
      </c>
      <c r="I21736">
        <v>294</v>
      </c>
      <c r="J21736">
        <v>1</v>
      </c>
      <c r="K21736">
        <v>41</v>
      </c>
      <c r="L21736">
        <v>259</v>
      </c>
      <c r="M21736">
        <v>1</v>
      </c>
      <c r="N21736">
        <v>8.1123599999999997E-65</v>
      </c>
      <c r="O21736">
        <v>623</v>
      </c>
    </row>
    <row r="21737" spans="1:15" x14ac:dyDescent="0.25">
      <c r="A21737" t="s">
        <v>21750</v>
      </c>
      <c r="B21737">
        <v>222</v>
      </c>
      <c r="C21737" s="1" t="str">
        <f>HYPERLINK("http://www.rosaceae.org/gb/gbrowse/malus_x_domestica/?name=MDP0000319193","MDP0000319193")</f>
        <v>MDP0000319193</v>
      </c>
      <c r="D21737">
        <v>60.3</v>
      </c>
      <c r="E21737">
        <v>194</v>
      </c>
      <c r="F21737">
        <v>77</v>
      </c>
      <c r="G21737">
        <v>7</v>
      </c>
      <c r="H21737">
        <v>28</v>
      </c>
      <c r="I21737">
        <v>217</v>
      </c>
      <c r="J21737">
        <v>1</v>
      </c>
      <c r="K21737">
        <v>416</v>
      </c>
      <c r="L21737">
        <v>606</v>
      </c>
      <c r="M21737">
        <v>1</v>
      </c>
      <c r="N21737">
        <v>7.2659599999999998E-51</v>
      </c>
      <c r="O21737">
        <v>501</v>
      </c>
    </row>
    <row r="21738" spans="1:15" x14ac:dyDescent="0.25">
      <c r="A21738" t="s">
        <v>21751</v>
      </c>
      <c r="B21738">
        <v>656</v>
      </c>
      <c r="C21738" s="1" t="str">
        <f>HYPERLINK("http://www.rosaceae.org/gb/gbrowse/malus_x_domestica/?name=MDP0000244695","MDP0000244695")</f>
        <v>MDP0000244695</v>
      </c>
      <c r="D21738">
        <v>74.19</v>
      </c>
      <c r="E21738">
        <v>655</v>
      </c>
      <c r="F21738">
        <v>169</v>
      </c>
      <c r="G21738">
        <v>31</v>
      </c>
      <c r="H21738">
        <v>1</v>
      </c>
      <c r="I21738">
        <v>655</v>
      </c>
      <c r="J21738">
        <v>1</v>
      </c>
      <c r="K21738">
        <v>95</v>
      </c>
      <c r="L21738">
        <v>718</v>
      </c>
      <c r="M21738">
        <v>1</v>
      </c>
      <c r="N21738">
        <v>0</v>
      </c>
      <c r="O21738">
        <v>2514</v>
      </c>
    </row>
    <row r="21739" spans="1:15" x14ac:dyDescent="0.25">
      <c r="A21739" t="s">
        <v>21752</v>
      </c>
      <c r="B21739">
        <v>1483</v>
      </c>
      <c r="C21739" s="1" t="str">
        <f>HYPERLINK("http://www.rosaceae.org/gb/gbrowse/malus_x_domestica/?name=MDP0000138090","MDP0000138090")</f>
        <v>MDP0000138090</v>
      </c>
      <c r="D21739">
        <v>76.12</v>
      </c>
      <c r="E21739">
        <v>1466</v>
      </c>
      <c r="F21739">
        <v>350</v>
      </c>
      <c r="G21739">
        <v>40</v>
      </c>
      <c r="H21739">
        <v>20</v>
      </c>
      <c r="I21739">
        <v>1451</v>
      </c>
      <c r="J21739">
        <v>1</v>
      </c>
      <c r="K21739">
        <v>18</v>
      </c>
      <c r="L21739">
        <v>1477</v>
      </c>
      <c r="M21739">
        <v>1</v>
      </c>
      <c r="N21739">
        <v>0</v>
      </c>
      <c r="O21739">
        <v>5858</v>
      </c>
    </row>
    <row r="21740" spans="1:15" x14ac:dyDescent="0.25">
      <c r="A21740" t="s">
        <v>21753</v>
      </c>
      <c r="B21740">
        <v>523</v>
      </c>
      <c r="C21740" s="1" t="str">
        <f>HYPERLINK("http://www.rosaceae.org/gb/gbrowse/malus_x_domestica/?name=MDP0000281758","MDP0000281758")</f>
        <v>MDP0000281758</v>
      </c>
      <c r="D21740">
        <v>56.25</v>
      </c>
      <c r="E21740">
        <v>512</v>
      </c>
      <c r="F21740">
        <v>224</v>
      </c>
      <c r="G21740">
        <v>8</v>
      </c>
      <c r="H21740">
        <v>10</v>
      </c>
      <c r="I21740">
        <v>514</v>
      </c>
      <c r="J21740">
        <v>1</v>
      </c>
      <c r="K21740">
        <v>11</v>
      </c>
      <c r="L21740">
        <v>521</v>
      </c>
      <c r="M21740">
        <v>1</v>
      </c>
      <c r="N21740">
        <v>1.4301700000000001E-165</v>
      </c>
      <c r="O21740">
        <v>1495</v>
      </c>
    </row>
    <row r="21741" spans="1:15" x14ac:dyDescent="0.25">
      <c r="A21741" t="s">
        <v>21754</v>
      </c>
      <c r="B21741">
        <v>330</v>
      </c>
      <c r="C21741" s="1" t="str">
        <f>HYPERLINK("http://www.rosaceae.org/gb/gbrowse/malus_x_domestica/?name=MDP0000252833","MDP0000252833")</f>
        <v>MDP0000252833</v>
      </c>
      <c r="D21741">
        <v>85.53</v>
      </c>
      <c r="E21741">
        <v>325</v>
      </c>
      <c r="F21741">
        <v>47</v>
      </c>
      <c r="G21741">
        <v>1</v>
      </c>
      <c r="H21741">
        <v>6</v>
      </c>
      <c r="I21741">
        <v>330</v>
      </c>
      <c r="J21741">
        <v>1</v>
      </c>
      <c r="K21741">
        <v>27</v>
      </c>
      <c r="L21741">
        <v>350</v>
      </c>
      <c r="M21741">
        <v>1</v>
      </c>
      <c r="N21741">
        <v>9.6506600000000006E-169</v>
      </c>
      <c r="O21741">
        <v>1520</v>
      </c>
    </row>
    <row r="21742" spans="1:15" x14ac:dyDescent="0.25">
      <c r="A21742" t="s">
        <v>21755</v>
      </c>
      <c r="B21742">
        <v>342</v>
      </c>
      <c r="C21742" s="1" t="str">
        <f>HYPERLINK("http://www.rosaceae.org/gb/gbrowse/malus_x_domestica/?name=MDP0000274386","MDP0000274386")</f>
        <v>MDP0000274386</v>
      </c>
      <c r="D21742">
        <v>56.08</v>
      </c>
      <c r="E21742">
        <v>312</v>
      </c>
      <c r="F21742">
        <v>137</v>
      </c>
      <c r="G21742">
        <v>16</v>
      </c>
      <c r="H21742">
        <v>35</v>
      </c>
      <c r="I21742">
        <v>340</v>
      </c>
      <c r="J21742">
        <v>1</v>
      </c>
      <c r="K21742">
        <v>557</v>
      </c>
      <c r="L21742">
        <v>858</v>
      </c>
      <c r="M21742">
        <v>1</v>
      </c>
      <c r="N21742">
        <v>1.33755E-84</v>
      </c>
      <c r="O21742">
        <v>794</v>
      </c>
    </row>
    <row r="21743" spans="1:15" x14ac:dyDescent="0.25">
      <c r="A21743" t="s">
        <v>21756</v>
      </c>
      <c r="B21743">
        <v>718</v>
      </c>
      <c r="C21743" s="1" t="str">
        <f>HYPERLINK("http://www.rosaceae.org/gb/gbrowse/malus_x_domestica/?name=MDP0000170095","MDP0000170095")</f>
        <v>MDP0000170095</v>
      </c>
      <c r="D21743">
        <v>78</v>
      </c>
      <c r="E21743">
        <v>741</v>
      </c>
      <c r="F21743">
        <v>163</v>
      </c>
      <c r="G21743">
        <v>23</v>
      </c>
      <c r="H21743">
        <v>1</v>
      </c>
      <c r="I21743">
        <v>718</v>
      </c>
      <c r="J21743">
        <v>1</v>
      </c>
      <c r="K21743">
        <v>1156</v>
      </c>
      <c r="L21743">
        <v>1896</v>
      </c>
      <c r="M21743">
        <v>1</v>
      </c>
      <c r="N21743">
        <v>0</v>
      </c>
      <c r="O21743">
        <v>3070</v>
      </c>
    </row>
    <row r="21744" spans="1:15" x14ac:dyDescent="0.25">
      <c r="A21744" t="s">
        <v>21757</v>
      </c>
      <c r="B21744">
        <v>253</v>
      </c>
      <c r="C21744" s="1" t="str">
        <f>HYPERLINK("http://www.rosaceae.org/gb/gbrowse/malus_x_domestica/?name=MDP0000325949","MDP0000325949")</f>
        <v>MDP0000325949</v>
      </c>
      <c r="D21744">
        <v>91.53</v>
      </c>
      <c r="E21744">
        <v>248</v>
      </c>
      <c r="F21744">
        <v>21</v>
      </c>
      <c r="G21744">
        <v>0</v>
      </c>
      <c r="H21744">
        <v>3</v>
      </c>
      <c r="I21744">
        <v>250</v>
      </c>
      <c r="J21744">
        <v>1</v>
      </c>
      <c r="K21744">
        <v>32</v>
      </c>
      <c r="L21744">
        <v>279</v>
      </c>
      <c r="M21744">
        <v>1</v>
      </c>
      <c r="N21744">
        <v>5.6598199999999996E-133</v>
      </c>
      <c r="O21744">
        <v>1210</v>
      </c>
    </row>
    <row r="21745" spans="1:15" x14ac:dyDescent="0.25">
      <c r="A21745" t="s">
        <v>21758</v>
      </c>
      <c r="B21745">
        <v>316</v>
      </c>
      <c r="C21745" s="1" t="str">
        <f>HYPERLINK("http://www.rosaceae.org/gb/gbrowse/malus_x_domestica/?name=MDP0000162184","MDP0000162184")</f>
        <v>MDP0000162184</v>
      </c>
      <c r="D21745">
        <v>68.02</v>
      </c>
      <c r="E21745">
        <v>294</v>
      </c>
      <c r="F21745">
        <v>94</v>
      </c>
      <c r="G21745">
        <v>5</v>
      </c>
      <c r="H21745">
        <v>25</v>
      </c>
      <c r="I21745">
        <v>316</v>
      </c>
      <c r="J21745">
        <v>1</v>
      </c>
      <c r="K21745">
        <v>20</v>
      </c>
      <c r="L21745">
        <v>310</v>
      </c>
      <c r="M21745">
        <v>1</v>
      </c>
      <c r="N21745">
        <v>9.3538800000000001E-114</v>
      </c>
      <c r="O21745">
        <v>1045</v>
      </c>
    </row>
    <row r="21746" spans="1:15" x14ac:dyDescent="0.25">
      <c r="A21746" t="s">
        <v>21759</v>
      </c>
      <c r="B21746">
        <v>707</v>
      </c>
      <c r="C21746" s="1" t="str">
        <f>HYPERLINK("http://www.rosaceae.org/gb/gbrowse/malus_x_domestica/?name=MDP0000261992","MDP0000261992")</f>
        <v>MDP0000261992</v>
      </c>
      <c r="D21746">
        <v>71.94</v>
      </c>
      <c r="E21746">
        <v>695</v>
      </c>
      <c r="F21746">
        <v>195</v>
      </c>
      <c r="G21746">
        <v>20</v>
      </c>
      <c r="H21746">
        <v>18</v>
      </c>
      <c r="I21746">
        <v>703</v>
      </c>
      <c r="J21746">
        <v>1</v>
      </c>
      <c r="K21746">
        <v>27</v>
      </c>
      <c r="L21746">
        <v>710</v>
      </c>
      <c r="M21746">
        <v>1</v>
      </c>
      <c r="N21746">
        <v>0</v>
      </c>
      <c r="O21746">
        <v>2597</v>
      </c>
    </row>
    <row r="21747" spans="1:15" x14ac:dyDescent="0.25">
      <c r="A21747" t="s">
        <v>21760</v>
      </c>
      <c r="B21747">
        <v>207</v>
      </c>
      <c r="C21747" s="1" t="str">
        <f>HYPERLINK("http://www.rosaceae.org/gb/gbrowse/malus_x_domestica/?name=MDP0000152585","MDP0000152585")</f>
        <v>MDP0000152585</v>
      </c>
      <c r="D21747">
        <v>74.650000000000006</v>
      </c>
      <c r="E21747">
        <v>217</v>
      </c>
      <c r="F21747">
        <v>55</v>
      </c>
      <c r="G21747">
        <v>11</v>
      </c>
      <c r="H21747">
        <v>1</v>
      </c>
      <c r="I21747">
        <v>207</v>
      </c>
      <c r="J21747">
        <v>1</v>
      </c>
      <c r="K21747">
        <v>1</v>
      </c>
      <c r="L21747">
        <v>216</v>
      </c>
      <c r="M21747">
        <v>1</v>
      </c>
      <c r="N21747">
        <v>1.4839E-86</v>
      </c>
      <c r="O21747">
        <v>808</v>
      </c>
    </row>
    <row r="21748" spans="1:15" x14ac:dyDescent="0.25">
      <c r="A21748" t="s">
        <v>21761</v>
      </c>
      <c r="B21748">
        <v>67</v>
      </c>
      <c r="C21748" s="1" t="str">
        <f>HYPERLINK("http://www.rosaceae.org/gb/gbrowse/malus_x_domestica/?name=MDP0000800717","MDP0000800717")</f>
        <v>MDP0000800717</v>
      </c>
      <c r="D21748">
        <v>93.33</v>
      </c>
      <c r="E21748">
        <v>60</v>
      </c>
      <c r="F21748">
        <v>4</v>
      </c>
      <c r="G21748">
        <v>0</v>
      </c>
      <c r="H21748">
        <v>1</v>
      </c>
      <c r="I21748">
        <v>60</v>
      </c>
      <c r="J21748">
        <v>1</v>
      </c>
      <c r="K21748">
        <v>1</v>
      </c>
      <c r="L21748">
        <v>60</v>
      </c>
      <c r="M21748">
        <v>1</v>
      </c>
      <c r="N21748">
        <v>4.2804900000000001E-29</v>
      </c>
      <c r="O21748">
        <v>308</v>
      </c>
    </row>
    <row r="21749" spans="1:15" x14ac:dyDescent="0.25">
      <c r="A21749" t="s">
        <v>21762</v>
      </c>
      <c r="B21749">
        <v>708</v>
      </c>
      <c r="C21749" s="1" t="str">
        <f>HYPERLINK("http://www.rosaceae.org/gb/gbrowse/malus_x_domestica/?name=MDP0000308507","MDP0000308507")</f>
        <v>MDP0000308507</v>
      </c>
      <c r="D21749">
        <v>77.55</v>
      </c>
      <c r="E21749">
        <v>196</v>
      </c>
      <c r="F21749">
        <v>44</v>
      </c>
      <c r="G21749">
        <v>2</v>
      </c>
      <c r="H21749">
        <v>1</v>
      </c>
      <c r="I21749">
        <v>196</v>
      </c>
      <c r="J21749">
        <v>1</v>
      </c>
      <c r="K21749">
        <v>268</v>
      </c>
      <c r="L21749">
        <v>461</v>
      </c>
      <c r="M21749">
        <v>1</v>
      </c>
      <c r="N21749">
        <v>1.7618000000000001E-85</v>
      </c>
      <c r="O21749">
        <v>805</v>
      </c>
    </row>
    <row r="21750" spans="1:15" x14ac:dyDescent="0.25">
      <c r="A21750" t="s">
        <v>21763</v>
      </c>
      <c r="B21750">
        <v>1403</v>
      </c>
      <c r="C21750" s="1" t="str">
        <f>HYPERLINK("http://www.rosaceae.org/gb/gbrowse/malus_x_domestica/?name=MDP0000293965","MDP0000293965")</f>
        <v>MDP0000293965</v>
      </c>
      <c r="D21750">
        <v>74.64</v>
      </c>
      <c r="E21750">
        <v>702</v>
      </c>
      <c r="F21750">
        <v>178</v>
      </c>
      <c r="G21750">
        <v>35</v>
      </c>
      <c r="H21750">
        <v>732</v>
      </c>
      <c r="I21750">
        <v>1400</v>
      </c>
      <c r="J21750">
        <v>1</v>
      </c>
      <c r="K21750">
        <v>747</v>
      </c>
      <c r="L21750">
        <v>1446</v>
      </c>
      <c r="M21750">
        <v>1</v>
      </c>
      <c r="N21750">
        <v>0</v>
      </c>
      <c r="O21750">
        <v>2695</v>
      </c>
    </row>
    <row r="21751" spans="1:15" x14ac:dyDescent="0.25">
      <c r="A21751" t="s">
        <v>21764</v>
      </c>
      <c r="B21751">
        <v>273</v>
      </c>
      <c r="C21751" s="1" t="str">
        <f>HYPERLINK("http://www.rosaceae.org/gb/gbrowse/malus_x_domestica/?name=MDP0000292914","MDP0000292914")</f>
        <v>MDP0000292914</v>
      </c>
      <c r="D21751">
        <v>69.73</v>
      </c>
      <c r="E21751">
        <v>152</v>
      </c>
      <c r="F21751">
        <v>46</v>
      </c>
      <c r="G21751">
        <v>2</v>
      </c>
      <c r="H21751">
        <v>1</v>
      </c>
      <c r="I21751">
        <v>152</v>
      </c>
      <c r="J21751">
        <v>1</v>
      </c>
      <c r="K21751">
        <v>25</v>
      </c>
      <c r="L21751">
        <v>174</v>
      </c>
      <c r="M21751">
        <v>1</v>
      </c>
      <c r="N21751">
        <v>3.3566400000000003E-55</v>
      </c>
      <c r="O21751">
        <v>539</v>
      </c>
    </row>
    <row r="21752" spans="1:15" x14ac:dyDescent="0.25">
      <c r="A21752" t="s">
        <v>21765</v>
      </c>
      <c r="B21752">
        <v>212</v>
      </c>
      <c r="C21752" s="1" t="str">
        <f>HYPERLINK("http://www.rosaceae.org/gb/gbrowse/malus_x_domestica/?name=MDP0000247287","MDP0000247287")</f>
        <v>MDP0000247287</v>
      </c>
      <c r="D21752">
        <v>72.849999999999994</v>
      </c>
      <c r="E21752">
        <v>70</v>
      </c>
      <c r="F21752">
        <v>19</v>
      </c>
      <c r="G21752">
        <v>0</v>
      </c>
      <c r="H21752">
        <v>35</v>
      </c>
      <c r="I21752">
        <v>104</v>
      </c>
      <c r="J21752">
        <v>1</v>
      </c>
      <c r="K21752">
        <v>378</v>
      </c>
      <c r="L21752">
        <v>447</v>
      </c>
      <c r="M21752">
        <v>1</v>
      </c>
      <c r="N21752">
        <v>9.7401899999999996E-26</v>
      </c>
      <c r="O21752">
        <v>284</v>
      </c>
    </row>
    <row r="21753" spans="1:15" x14ac:dyDescent="0.25">
      <c r="A21753" t="s">
        <v>21766</v>
      </c>
      <c r="B21753">
        <v>410</v>
      </c>
      <c r="C21753" s="1" t="str">
        <f>HYPERLINK("http://www.rosaceae.org/gb/gbrowse/malus_x_domestica/?name=MDP0000125377","MDP0000125377")</f>
        <v>MDP0000125377</v>
      </c>
      <c r="D21753">
        <v>67.48</v>
      </c>
      <c r="E21753">
        <v>243</v>
      </c>
      <c r="F21753">
        <v>79</v>
      </c>
      <c r="G21753">
        <v>27</v>
      </c>
      <c r="H21753">
        <v>166</v>
      </c>
      <c r="I21753">
        <v>408</v>
      </c>
      <c r="J21753">
        <v>1</v>
      </c>
      <c r="K21753">
        <v>4</v>
      </c>
      <c r="L21753">
        <v>219</v>
      </c>
      <c r="M21753">
        <v>1</v>
      </c>
      <c r="N21753">
        <v>3.9968099999999999E-91</v>
      </c>
      <c r="O21753">
        <v>851</v>
      </c>
    </row>
    <row r="21754" spans="1:15" x14ac:dyDescent="0.25">
      <c r="A21754" t="s">
        <v>21767</v>
      </c>
      <c r="B21754">
        <v>191</v>
      </c>
      <c r="C21754" s="1" t="str">
        <f>HYPERLINK("http://www.rosaceae.org/gb/gbrowse/malus_x_domestica/?name=MDP0000192203","MDP0000192203")</f>
        <v>MDP0000192203</v>
      </c>
      <c r="D21754">
        <v>63.69</v>
      </c>
      <c r="E21754">
        <v>157</v>
      </c>
      <c r="F21754">
        <v>57</v>
      </c>
      <c r="G21754">
        <v>3</v>
      </c>
      <c r="H21754">
        <v>2</v>
      </c>
      <c r="I21754">
        <v>157</v>
      </c>
      <c r="J21754">
        <v>1</v>
      </c>
      <c r="K21754">
        <v>33</v>
      </c>
      <c r="L21754">
        <v>187</v>
      </c>
      <c r="M21754">
        <v>1</v>
      </c>
      <c r="N21754">
        <v>3.9973599999999999E-50</v>
      </c>
      <c r="O21754">
        <v>493</v>
      </c>
    </row>
    <row r="21755" spans="1:15" x14ac:dyDescent="0.25">
      <c r="A21755" t="s">
        <v>21768</v>
      </c>
      <c r="B21755">
        <v>275</v>
      </c>
      <c r="C21755" s="1" t="str">
        <f>HYPERLINK("http://www.rosaceae.org/gb/gbrowse/malus_x_domestica/?name=MDP0000299496","MDP0000299496")</f>
        <v>MDP0000299496</v>
      </c>
      <c r="D21755">
        <v>26.06</v>
      </c>
      <c r="E21755">
        <v>211</v>
      </c>
      <c r="F21755">
        <v>156</v>
      </c>
      <c r="G21755">
        <v>41</v>
      </c>
      <c r="H21755">
        <v>74</v>
      </c>
      <c r="I21755">
        <v>272</v>
      </c>
      <c r="J21755">
        <v>1</v>
      </c>
      <c r="K21755">
        <v>732</v>
      </c>
      <c r="L21755">
        <v>913</v>
      </c>
      <c r="M21755">
        <v>1</v>
      </c>
      <c r="N21755">
        <v>3.4404900000000001E-10</v>
      </c>
      <c r="O21755">
        <v>151</v>
      </c>
    </row>
    <row r="21756" spans="1:15" x14ac:dyDescent="0.25">
      <c r="A21756" t="s">
        <v>21769</v>
      </c>
      <c r="B21756">
        <v>813</v>
      </c>
      <c r="C21756" s="1" t="str">
        <f>HYPERLINK("http://www.rosaceae.org/gb/gbrowse/malus_x_domestica/?name=MDP0000866499","MDP0000866499")</f>
        <v>MDP0000866499</v>
      </c>
      <c r="D21756">
        <v>83.98</v>
      </c>
      <c r="E21756">
        <v>256</v>
      </c>
      <c r="F21756">
        <v>41</v>
      </c>
      <c r="G21756">
        <v>0</v>
      </c>
      <c r="H21756">
        <v>355</v>
      </c>
      <c r="I21756">
        <v>610</v>
      </c>
      <c r="J21756">
        <v>1</v>
      </c>
      <c r="K21756">
        <v>1</v>
      </c>
      <c r="L21756">
        <v>256</v>
      </c>
      <c r="M21756">
        <v>1</v>
      </c>
      <c r="N21756">
        <v>5.4540099999999998E-124</v>
      </c>
      <c r="O21756">
        <v>1138</v>
      </c>
    </row>
    <row r="21757" spans="1:15" x14ac:dyDescent="0.25">
      <c r="A21757" t="s">
        <v>21770</v>
      </c>
      <c r="B21757">
        <v>117</v>
      </c>
      <c r="C21757" s="1" t="str">
        <f>HYPERLINK("http://www.rosaceae.org/gb/gbrowse/malus_x_domestica/?name=MDP0000250406","MDP0000250406")</f>
        <v>MDP0000250406</v>
      </c>
      <c r="D21757">
        <v>52.29</v>
      </c>
      <c r="E21757">
        <v>109</v>
      </c>
      <c r="F21757">
        <v>52</v>
      </c>
      <c r="G21757">
        <v>8</v>
      </c>
      <c r="H21757">
        <v>1</v>
      </c>
      <c r="I21757">
        <v>108</v>
      </c>
      <c r="J21757">
        <v>1</v>
      </c>
      <c r="K21757">
        <v>1</v>
      </c>
      <c r="L21757">
        <v>102</v>
      </c>
      <c r="M21757">
        <v>1</v>
      </c>
      <c r="N21757">
        <v>9.8062599999999996E-25</v>
      </c>
      <c r="O21757">
        <v>271</v>
      </c>
    </row>
    <row r="21758" spans="1:15" x14ac:dyDescent="0.25">
      <c r="A21758" t="s">
        <v>21771</v>
      </c>
      <c r="B21758">
        <v>606</v>
      </c>
      <c r="C21758" s="1" t="str">
        <f>HYPERLINK("http://www.rosaceae.org/gb/gbrowse/malus_x_domestica/?name=MDP0000270582","MDP0000270582")</f>
        <v>MDP0000270582</v>
      </c>
      <c r="D21758">
        <v>79</v>
      </c>
      <c r="E21758">
        <v>524</v>
      </c>
      <c r="F21758">
        <v>110</v>
      </c>
      <c r="G21758">
        <v>12</v>
      </c>
      <c r="H21758">
        <v>94</v>
      </c>
      <c r="I21758">
        <v>606</v>
      </c>
      <c r="J21758">
        <v>1</v>
      </c>
      <c r="K21758">
        <v>160</v>
      </c>
      <c r="L21758">
        <v>682</v>
      </c>
      <c r="M21758">
        <v>1</v>
      </c>
      <c r="N21758">
        <v>0</v>
      </c>
      <c r="O21758">
        <v>2184</v>
      </c>
    </row>
    <row r="21759" spans="1:15" x14ac:dyDescent="0.25">
      <c r="A21759" t="s">
        <v>21772</v>
      </c>
      <c r="B21759">
        <v>243</v>
      </c>
      <c r="C21759" s="1" t="str">
        <f>HYPERLINK("http://www.rosaceae.org/gb/gbrowse/malus_x_domestica/?name=MDP0000141863","MDP0000141863")</f>
        <v>MDP0000141863</v>
      </c>
      <c r="D21759">
        <v>76</v>
      </c>
      <c r="E21759">
        <v>50</v>
      </c>
      <c r="F21759">
        <v>12</v>
      </c>
      <c r="G21759">
        <v>2</v>
      </c>
      <c r="H21759">
        <v>188</v>
      </c>
      <c r="I21759">
        <v>235</v>
      </c>
      <c r="J21759">
        <v>1</v>
      </c>
      <c r="K21759">
        <v>443</v>
      </c>
      <c r="L21759">
        <v>492</v>
      </c>
      <c r="M21759">
        <v>1</v>
      </c>
      <c r="N21759">
        <v>6.35998E-14</v>
      </c>
      <c r="O21759">
        <v>183</v>
      </c>
    </row>
    <row r="21760" spans="1:15" x14ac:dyDescent="0.25">
      <c r="A21760" t="s">
        <v>21773</v>
      </c>
      <c r="B21760">
        <v>580</v>
      </c>
      <c r="C21760" s="1" t="str">
        <f>HYPERLINK("http://www.rosaceae.org/gb/gbrowse/malus_x_domestica/?name=MDP0000708770","MDP0000708770")</f>
        <v>MDP0000708770</v>
      </c>
      <c r="D21760">
        <v>80.45</v>
      </c>
      <c r="E21760">
        <v>174</v>
      </c>
      <c r="F21760">
        <v>34</v>
      </c>
      <c r="G21760">
        <v>1</v>
      </c>
      <c r="H21760">
        <v>146</v>
      </c>
      <c r="I21760">
        <v>318</v>
      </c>
      <c r="J21760">
        <v>1</v>
      </c>
      <c r="K21760">
        <v>29</v>
      </c>
      <c r="L21760">
        <v>202</v>
      </c>
      <c r="M21760">
        <v>1</v>
      </c>
      <c r="N21760">
        <v>5.20124E-78</v>
      </c>
      <c r="O21760">
        <v>740</v>
      </c>
    </row>
    <row r="21761" spans="1:15" x14ac:dyDescent="0.25">
      <c r="A21761" t="s">
        <v>21774</v>
      </c>
      <c r="B21761">
        <v>346</v>
      </c>
      <c r="C21761" s="1" t="str">
        <f>HYPERLINK("http://www.rosaceae.org/gb/gbrowse/malus_x_domestica/?name=MDP0000812055","MDP0000812055")</f>
        <v>MDP0000812055</v>
      </c>
      <c r="D21761">
        <v>68.569999999999993</v>
      </c>
      <c r="E21761">
        <v>140</v>
      </c>
      <c r="F21761">
        <v>44</v>
      </c>
      <c r="G21761">
        <v>18</v>
      </c>
      <c r="H21761">
        <v>61</v>
      </c>
      <c r="I21761">
        <v>184</v>
      </c>
      <c r="J21761">
        <v>1</v>
      </c>
      <c r="K21761">
        <v>17</v>
      </c>
      <c r="L21761">
        <v>154</v>
      </c>
      <c r="M21761">
        <v>1</v>
      </c>
      <c r="N21761">
        <v>2.2157E-41</v>
      </c>
      <c r="O21761">
        <v>422</v>
      </c>
    </row>
    <row r="21762" spans="1:15" x14ac:dyDescent="0.25">
      <c r="A21762" t="s">
        <v>21775</v>
      </c>
      <c r="B21762">
        <v>447</v>
      </c>
      <c r="C21762" s="1" t="str">
        <f>HYPERLINK("http://www.rosaceae.org/gb/gbrowse/malus_x_domestica/?name=MDP0000689386","MDP0000689386")</f>
        <v>MDP0000689386</v>
      </c>
      <c r="D21762">
        <v>78.290000000000006</v>
      </c>
      <c r="E21762">
        <v>447</v>
      </c>
      <c r="F21762">
        <v>97</v>
      </c>
      <c r="G21762">
        <v>0</v>
      </c>
      <c r="H21762">
        <v>1</v>
      </c>
      <c r="I21762">
        <v>447</v>
      </c>
      <c r="J21762">
        <v>1</v>
      </c>
      <c r="K21762">
        <v>1</v>
      </c>
      <c r="L21762">
        <v>447</v>
      </c>
      <c r="M21762">
        <v>1</v>
      </c>
      <c r="N21762">
        <v>0</v>
      </c>
      <c r="O21762">
        <v>1962</v>
      </c>
    </row>
    <row r="21763" spans="1:15" x14ac:dyDescent="0.25">
      <c r="A21763" t="s">
        <v>21776</v>
      </c>
      <c r="B21763">
        <v>287</v>
      </c>
      <c r="C21763" s="1" t="str">
        <f>HYPERLINK("http://www.rosaceae.org/gb/gbrowse/malus_x_domestica/?name=MDP0000479436","MDP0000479436")</f>
        <v>MDP0000479436</v>
      </c>
      <c r="D21763">
        <v>84.42</v>
      </c>
      <c r="E21763">
        <v>289</v>
      </c>
      <c r="F21763">
        <v>45</v>
      </c>
      <c r="G21763">
        <v>3</v>
      </c>
      <c r="H21763">
        <v>1</v>
      </c>
      <c r="I21763">
        <v>286</v>
      </c>
      <c r="J21763">
        <v>1</v>
      </c>
      <c r="K21763">
        <v>85</v>
      </c>
      <c r="L21763">
        <v>373</v>
      </c>
      <c r="M21763">
        <v>1</v>
      </c>
      <c r="N21763">
        <v>7.5055100000000005E-141</v>
      </c>
      <c r="O21763">
        <v>1278</v>
      </c>
    </row>
    <row r="21764" spans="1:15" x14ac:dyDescent="0.25">
      <c r="A21764" t="s">
        <v>21777</v>
      </c>
      <c r="B21764">
        <v>1018</v>
      </c>
      <c r="C21764" s="1" t="str">
        <f>HYPERLINK("http://www.rosaceae.org/gb/gbrowse/malus_x_domestica/?name=MDP0000177114","MDP0000177114")</f>
        <v>MDP0000177114</v>
      </c>
      <c r="D21764">
        <v>53.1</v>
      </c>
      <c r="E21764">
        <v>853</v>
      </c>
      <c r="F21764">
        <v>400</v>
      </c>
      <c r="G21764">
        <v>80</v>
      </c>
      <c r="H21764">
        <v>137</v>
      </c>
      <c r="I21764">
        <v>912</v>
      </c>
      <c r="J21764">
        <v>1</v>
      </c>
      <c r="K21764">
        <v>57</v>
      </c>
      <c r="L21764">
        <v>906</v>
      </c>
      <c r="M21764">
        <v>1</v>
      </c>
      <c r="N21764">
        <v>0</v>
      </c>
      <c r="O21764">
        <v>2187</v>
      </c>
    </row>
    <row r="21765" spans="1:15" x14ac:dyDescent="0.25">
      <c r="A21765" t="s">
        <v>21778</v>
      </c>
      <c r="B21765">
        <v>611</v>
      </c>
      <c r="C21765" s="1" t="str">
        <f>HYPERLINK("http://www.rosaceae.org/gb/gbrowse/malus_x_domestica/?name=MDP0000326288","MDP0000326288")</f>
        <v>MDP0000326288</v>
      </c>
      <c r="D21765">
        <v>72.03</v>
      </c>
      <c r="E21765">
        <v>658</v>
      </c>
      <c r="F21765">
        <v>184</v>
      </c>
      <c r="G21765">
        <v>62</v>
      </c>
      <c r="H21765">
        <v>1</v>
      </c>
      <c r="I21765">
        <v>611</v>
      </c>
      <c r="J21765">
        <v>1</v>
      </c>
      <c r="K21765">
        <v>1</v>
      </c>
      <c r="L21765">
        <v>643</v>
      </c>
      <c r="M21765">
        <v>1</v>
      </c>
      <c r="N21765">
        <v>0</v>
      </c>
      <c r="O21765">
        <v>2445</v>
      </c>
    </row>
    <row r="21766" spans="1:15" x14ac:dyDescent="0.25">
      <c r="A21766" t="s">
        <v>21779</v>
      </c>
      <c r="B21766">
        <v>111</v>
      </c>
      <c r="C21766" s="1" t="str">
        <f>HYPERLINK("http://www.rosaceae.org/gb/gbrowse/malus_x_domestica/?name=MDP0000173550","MDP0000173550")</f>
        <v>MDP0000173550</v>
      </c>
      <c r="D21766">
        <v>35.92</v>
      </c>
      <c r="E21766">
        <v>103</v>
      </c>
      <c r="F21766">
        <v>66</v>
      </c>
      <c r="G21766">
        <v>2</v>
      </c>
      <c r="H21766">
        <v>8</v>
      </c>
      <c r="I21766">
        <v>108</v>
      </c>
      <c r="J21766">
        <v>1</v>
      </c>
      <c r="K21766">
        <v>246</v>
      </c>
      <c r="L21766">
        <v>348</v>
      </c>
      <c r="M21766">
        <v>1</v>
      </c>
      <c r="N21766">
        <v>1.8934700000000001E-13</v>
      </c>
      <c r="O21766">
        <v>173</v>
      </c>
    </row>
    <row r="21767" spans="1:15" x14ac:dyDescent="0.25">
      <c r="A21767" t="s">
        <v>21780</v>
      </c>
      <c r="B21767">
        <v>183</v>
      </c>
      <c r="C21767" s="1" t="str">
        <f>HYPERLINK("http://www.rosaceae.org/gb/gbrowse/malus_x_domestica/?name=MDP0000285251","MDP0000285251")</f>
        <v>MDP0000285251</v>
      </c>
      <c r="D21767">
        <v>53.16</v>
      </c>
      <c r="E21767">
        <v>158</v>
      </c>
      <c r="F21767">
        <v>74</v>
      </c>
      <c r="G21767">
        <v>26</v>
      </c>
      <c r="H21767">
        <v>51</v>
      </c>
      <c r="I21767">
        <v>183</v>
      </c>
      <c r="J21767">
        <v>1</v>
      </c>
      <c r="K21767">
        <v>196</v>
      </c>
      <c r="L21767">
        <v>352</v>
      </c>
      <c r="M21767">
        <v>1</v>
      </c>
      <c r="N21767">
        <v>6.1525199999999997E-32</v>
      </c>
      <c r="O21767">
        <v>336</v>
      </c>
    </row>
    <row r="21768" spans="1:15" x14ac:dyDescent="0.25">
      <c r="A21768" t="s">
        <v>21781</v>
      </c>
      <c r="B21768">
        <v>84</v>
      </c>
      <c r="C21768" s="1" t="str">
        <f>HYPERLINK("http://www.rosaceae.org/gb/gbrowse/malus_x_domestica/?name=MDP0000144167","MDP0000144167")</f>
        <v>MDP0000144167</v>
      </c>
      <c r="D21768">
        <v>43.18</v>
      </c>
      <c r="E21768">
        <v>88</v>
      </c>
      <c r="F21768">
        <v>50</v>
      </c>
      <c r="G21768">
        <v>6</v>
      </c>
      <c r="H21768">
        <v>3</v>
      </c>
      <c r="I21768">
        <v>84</v>
      </c>
      <c r="J21768">
        <v>1</v>
      </c>
      <c r="K21768">
        <v>2</v>
      </c>
      <c r="L21768">
        <v>89</v>
      </c>
      <c r="M21768">
        <v>1</v>
      </c>
      <c r="N21768">
        <v>2.9162900000000001E-9</v>
      </c>
      <c r="O21768">
        <v>137</v>
      </c>
    </row>
    <row r="21769" spans="1:15" x14ac:dyDescent="0.25">
      <c r="A21769" t="s">
        <v>21782</v>
      </c>
      <c r="B21769">
        <v>344</v>
      </c>
      <c r="C21769" s="1" t="str">
        <f>HYPERLINK("http://www.rosaceae.org/gb/gbrowse/malus_x_domestica/?name=MDP0000884150","MDP0000884150")</f>
        <v>MDP0000884150</v>
      </c>
      <c r="D21769">
        <v>46.04</v>
      </c>
      <c r="E21769">
        <v>367</v>
      </c>
      <c r="F21769">
        <v>198</v>
      </c>
      <c r="G21769">
        <v>44</v>
      </c>
      <c r="H21769">
        <v>1</v>
      </c>
      <c r="I21769">
        <v>340</v>
      </c>
      <c r="J21769">
        <v>1</v>
      </c>
      <c r="K21769">
        <v>100</v>
      </c>
      <c r="L21769">
        <v>449</v>
      </c>
      <c r="M21769">
        <v>1</v>
      </c>
      <c r="N21769">
        <v>5.4526099999999995E-72</v>
      </c>
      <c r="O21769">
        <v>686</v>
      </c>
    </row>
    <row r="21770" spans="1:15" x14ac:dyDescent="0.25">
      <c r="A21770" t="s">
        <v>21783</v>
      </c>
      <c r="B21770">
        <v>346</v>
      </c>
      <c r="C21770" s="1" t="str">
        <f>HYPERLINK("http://www.rosaceae.org/gb/gbrowse/malus_x_domestica/?name=MDP0000253936","MDP0000253936")</f>
        <v>MDP0000253936</v>
      </c>
      <c r="D21770">
        <v>58.78</v>
      </c>
      <c r="E21770">
        <v>279</v>
      </c>
      <c r="F21770">
        <v>115</v>
      </c>
      <c r="G21770">
        <v>37</v>
      </c>
      <c r="H21770">
        <v>41</v>
      </c>
      <c r="I21770">
        <v>316</v>
      </c>
      <c r="J21770">
        <v>1</v>
      </c>
      <c r="K21770">
        <v>47</v>
      </c>
      <c r="L21770">
        <v>291</v>
      </c>
      <c r="M21770">
        <v>1</v>
      </c>
      <c r="N21770">
        <v>7.9070099999999997E-85</v>
      </c>
      <c r="O21770">
        <v>796</v>
      </c>
    </row>
    <row r="21771" spans="1:15" x14ac:dyDescent="0.25">
      <c r="A21771" t="s">
        <v>21784</v>
      </c>
      <c r="B21771">
        <v>71</v>
      </c>
      <c r="C21771" s="1" t="str">
        <f>HYPERLINK("http://www.rosaceae.org/gb/gbrowse/malus_x_domestica/?name=MDP0000206473","MDP0000206473")</f>
        <v>MDP0000206473</v>
      </c>
      <c r="D21771">
        <v>53.52</v>
      </c>
      <c r="E21771">
        <v>71</v>
      </c>
      <c r="F21771">
        <v>33</v>
      </c>
      <c r="G21771">
        <v>0</v>
      </c>
      <c r="H21771">
        <v>1</v>
      </c>
      <c r="I21771">
        <v>71</v>
      </c>
      <c r="J21771">
        <v>1</v>
      </c>
      <c r="K21771">
        <v>1</v>
      </c>
      <c r="L21771">
        <v>71</v>
      </c>
      <c r="M21771">
        <v>1</v>
      </c>
      <c r="N21771">
        <v>3.6552300000000002E-14</v>
      </c>
      <c r="O21771">
        <v>180</v>
      </c>
    </row>
    <row r="21772" spans="1:15" x14ac:dyDescent="0.25">
      <c r="A21772" t="s">
        <v>21785</v>
      </c>
      <c r="B21772">
        <v>454</v>
      </c>
      <c r="C21772" s="1" t="str">
        <f>HYPERLINK("http://www.rosaceae.org/gb/gbrowse/malus_x_domestica/?name=MDP0000511674","MDP0000511674")</f>
        <v>MDP0000511674</v>
      </c>
      <c r="D21772">
        <v>58.79</v>
      </c>
      <c r="E21772">
        <v>466</v>
      </c>
      <c r="F21772">
        <v>192</v>
      </c>
      <c r="G21772">
        <v>21</v>
      </c>
      <c r="H21772">
        <v>1</v>
      </c>
      <c r="I21772">
        <v>453</v>
      </c>
      <c r="J21772">
        <v>1</v>
      </c>
      <c r="K21772">
        <v>1</v>
      </c>
      <c r="L21772">
        <v>458</v>
      </c>
      <c r="M21772">
        <v>1</v>
      </c>
      <c r="N21772">
        <v>2.82036E-154</v>
      </c>
      <c r="O21772">
        <v>1396</v>
      </c>
    </row>
    <row r="21773" spans="1:15" x14ac:dyDescent="0.25">
      <c r="A21773" t="s">
        <v>21786</v>
      </c>
      <c r="B21773">
        <v>247</v>
      </c>
      <c r="C21773" s="1" t="str">
        <f>HYPERLINK("http://www.rosaceae.org/gb/gbrowse/malus_x_domestica/?name=MDP0000153077","MDP0000153077")</f>
        <v>MDP0000153077</v>
      </c>
      <c r="D21773">
        <v>44.8</v>
      </c>
      <c r="E21773">
        <v>125</v>
      </c>
      <c r="F21773">
        <v>69</v>
      </c>
      <c r="G21773">
        <v>3</v>
      </c>
      <c r="H21773">
        <v>22</v>
      </c>
      <c r="I21773">
        <v>143</v>
      </c>
      <c r="J21773">
        <v>1</v>
      </c>
      <c r="K21773">
        <v>16</v>
      </c>
      <c r="L21773">
        <v>140</v>
      </c>
      <c r="M21773">
        <v>1</v>
      </c>
      <c r="N21773">
        <v>2.01352E-19</v>
      </c>
      <c r="O21773">
        <v>230</v>
      </c>
    </row>
    <row r="21774" spans="1:15" x14ac:dyDescent="0.25">
      <c r="A21774" t="s">
        <v>21787</v>
      </c>
      <c r="B21774">
        <v>343</v>
      </c>
      <c r="C21774" s="1" t="str">
        <f>HYPERLINK("http://www.rosaceae.org/gb/gbrowse/malus_x_domestica/?name=MDP0000318573","MDP0000318573")</f>
        <v>MDP0000318573</v>
      </c>
      <c r="D21774">
        <v>82.52</v>
      </c>
      <c r="E21774">
        <v>309</v>
      </c>
      <c r="F21774">
        <v>54</v>
      </c>
      <c r="G21774">
        <v>0</v>
      </c>
      <c r="H21774">
        <v>35</v>
      </c>
      <c r="I21774">
        <v>343</v>
      </c>
      <c r="J21774">
        <v>1</v>
      </c>
      <c r="K21774">
        <v>125</v>
      </c>
      <c r="L21774">
        <v>433</v>
      </c>
      <c r="M21774">
        <v>1</v>
      </c>
      <c r="N21774">
        <v>2.8646599999999999E-148</v>
      </c>
      <c r="O21774">
        <v>1343</v>
      </c>
    </row>
    <row r="21775" spans="1:15" x14ac:dyDescent="0.25">
      <c r="A21775" t="s">
        <v>21788</v>
      </c>
      <c r="B21775">
        <v>292</v>
      </c>
      <c r="C21775" s="1" t="str">
        <f>HYPERLINK("http://www.rosaceae.org/gb/gbrowse/malus_x_domestica/?name=MDP0000254471","MDP0000254471")</f>
        <v>MDP0000254471</v>
      </c>
      <c r="D21775">
        <v>86.77</v>
      </c>
      <c r="E21775">
        <v>257</v>
      </c>
      <c r="F21775">
        <v>34</v>
      </c>
      <c r="G21775">
        <v>0</v>
      </c>
      <c r="H21775">
        <v>34</v>
      </c>
      <c r="I21775">
        <v>290</v>
      </c>
      <c r="J21775">
        <v>1</v>
      </c>
      <c r="K21775">
        <v>1</v>
      </c>
      <c r="L21775">
        <v>257</v>
      </c>
      <c r="M21775">
        <v>1</v>
      </c>
      <c r="N21775">
        <v>9.3629800000000003E-130</v>
      </c>
      <c r="O21775">
        <v>1183</v>
      </c>
    </row>
    <row r="21776" spans="1:15" x14ac:dyDescent="0.25">
      <c r="A21776" t="s">
        <v>21789</v>
      </c>
      <c r="B21776">
        <v>155</v>
      </c>
      <c r="C21776" s="1" t="str">
        <f>HYPERLINK("http://www.rosaceae.org/gb/gbrowse/malus_x_domestica/?name=MDP0000636700","MDP0000636700")</f>
        <v>MDP0000636700</v>
      </c>
      <c r="D21776">
        <v>59.61</v>
      </c>
      <c r="E21776">
        <v>156</v>
      </c>
      <c r="F21776">
        <v>63</v>
      </c>
      <c r="G21776">
        <v>15</v>
      </c>
      <c r="H21776">
        <v>1</v>
      </c>
      <c r="I21776">
        <v>155</v>
      </c>
      <c r="J21776">
        <v>1</v>
      </c>
      <c r="K21776">
        <v>1</v>
      </c>
      <c r="L21776">
        <v>142</v>
      </c>
      <c r="M21776">
        <v>1</v>
      </c>
      <c r="N21776">
        <v>1.5319900000000001E-42</v>
      </c>
      <c r="O21776">
        <v>426</v>
      </c>
    </row>
    <row r="21777" spans="1:15" x14ac:dyDescent="0.25">
      <c r="A21777" t="s">
        <v>21790</v>
      </c>
      <c r="B21777">
        <v>622</v>
      </c>
      <c r="C21777" s="1" t="str">
        <f>HYPERLINK("http://www.rosaceae.org/gb/gbrowse/malus_x_domestica/?name=MDP0000320226","MDP0000320226")</f>
        <v>MDP0000320226</v>
      </c>
      <c r="D21777">
        <v>40.61</v>
      </c>
      <c r="E21777">
        <v>458</v>
      </c>
      <c r="F21777">
        <v>272</v>
      </c>
      <c r="G21777">
        <v>50</v>
      </c>
      <c r="H21777">
        <v>8</v>
      </c>
      <c r="I21777">
        <v>428</v>
      </c>
      <c r="J21777">
        <v>1</v>
      </c>
      <c r="K21777">
        <v>10</v>
      </c>
      <c r="L21777">
        <v>454</v>
      </c>
      <c r="M21777">
        <v>1</v>
      </c>
      <c r="N21777">
        <v>3.58744E-71</v>
      </c>
      <c r="O21777">
        <v>681</v>
      </c>
    </row>
    <row r="21778" spans="1:15" x14ac:dyDescent="0.25">
      <c r="A21778" t="s">
        <v>21791</v>
      </c>
      <c r="B21778">
        <v>1430</v>
      </c>
      <c r="C21778" s="1" t="str">
        <f>HYPERLINK("http://www.rosaceae.org/gb/gbrowse/malus_x_domestica/?name=MDP0000311389","MDP0000311389")</f>
        <v>MDP0000311389</v>
      </c>
      <c r="D21778">
        <v>88.64</v>
      </c>
      <c r="E21778">
        <v>925</v>
      </c>
      <c r="F21778">
        <v>105</v>
      </c>
      <c r="G21778">
        <v>0</v>
      </c>
      <c r="H21778">
        <v>1</v>
      </c>
      <c r="I21778">
        <v>925</v>
      </c>
      <c r="J21778">
        <v>1</v>
      </c>
      <c r="K21778">
        <v>69</v>
      </c>
      <c r="L21778">
        <v>993</v>
      </c>
      <c r="M21778">
        <v>1</v>
      </c>
      <c r="N21778">
        <v>0</v>
      </c>
      <c r="O21778">
        <v>4392</v>
      </c>
    </row>
    <row r="21779" spans="1:15" x14ac:dyDescent="0.25">
      <c r="A21779" t="s">
        <v>21792</v>
      </c>
      <c r="B21779">
        <v>324</v>
      </c>
      <c r="C21779" s="1" t="str">
        <f>HYPERLINK("http://www.rosaceae.org/gb/gbrowse/malus_x_domestica/?name=MDP0000168305","MDP0000168305")</f>
        <v>MDP0000168305</v>
      </c>
      <c r="D21779">
        <v>50.31</v>
      </c>
      <c r="E21779">
        <v>316</v>
      </c>
      <c r="F21779">
        <v>157</v>
      </c>
      <c r="G21779">
        <v>5</v>
      </c>
      <c r="H21779">
        <v>7</v>
      </c>
      <c r="I21779">
        <v>318</v>
      </c>
      <c r="J21779">
        <v>1</v>
      </c>
      <c r="K21779">
        <v>13</v>
      </c>
      <c r="L21779">
        <v>327</v>
      </c>
      <c r="M21779">
        <v>1</v>
      </c>
      <c r="N21779">
        <v>8.7666099999999996E-91</v>
      </c>
      <c r="O21779">
        <v>847</v>
      </c>
    </row>
    <row r="21780" spans="1:15" x14ac:dyDescent="0.25">
      <c r="A21780" t="s">
        <v>21793</v>
      </c>
      <c r="B21780">
        <v>348</v>
      </c>
      <c r="C21780" s="1" t="str">
        <f>HYPERLINK("http://www.rosaceae.org/gb/gbrowse/malus_x_domestica/?name=MDP0000243161","MDP0000243161")</f>
        <v>MDP0000243161</v>
      </c>
      <c r="D21780">
        <v>77.900000000000006</v>
      </c>
      <c r="E21780">
        <v>258</v>
      </c>
      <c r="F21780">
        <v>57</v>
      </c>
      <c r="G21780">
        <v>4</v>
      </c>
      <c r="H21780">
        <v>92</v>
      </c>
      <c r="I21780">
        <v>345</v>
      </c>
      <c r="J21780">
        <v>1</v>
      </c>
      <c r="K21780">
        <v>163</v>
      </c>
      <c r="L21780">
        <v>420</v>
      </c>
      <c r="M21780">
        <v>1</v>
      </c>
      <c r="N21780">
        <v>6.2029500000000003E-116</v>
      </c>
      <c r="O21780">
        <v>1065</v>
      </c>
    </row>
    <row r="21781" spans="1:15" x14ac:dyDescent="0.25">
      <c r="A21781" t="s">
        <v>21794</v>
      </c>
      <c r="B21781">
        <v>356</v>
      </c>
      <c r="C21781" s="1" t="str">
        <f>HYPERLINK("http://www.rosaceae.org/gb/gbrowse/malus_x_domestica/?name=MDP0000226326","MDP0000226326")</f>
        <v>MDP0000226326</v>
      </c>
      <c r="D21781">
        <v>61.34</v>
      </c>
      <c r="E21781">
        <v>326</v>
      </c>
      <c r="F21781">
        <v>126</v>
      </c>
      <c r="G21781">
        <v>4</v>
      </c>
      <c r="H21781">
        <v>29</v>
      </c>
      <c r="I21781">
        <v>353</v>
      </c>
      <c r="J21781">
        <v>1</v>
      </c>
      <c r="K21781">
        <v>42</v>
      </c>
      <c r="L21781">
        <v>364</v>
      </c>
      <c r="M21781">
        <v>1</v>
      </c>
      <c r="N21781">
        <v>1.8932300000000001E-121</v>
      </c>
      <c r="O21781">
        <v>1112</v>
      </c>
    </row>
    <row r="21782" spans="1:15" x14ac:dyDescent="0.25">
      <c r="A21782" t="s">
        <v>21795</v>
      </c>
      <c r="B21782">
        <v>407</v>
      </c>
      <c r="C21782" s="1" t="str">
        <f>HYPERLINK("http://www.rosaceae.org/gb/gbrowse/malus_x_domestica/?name=MDP0000130931","MDP0000130931")</f>
        <v>MDP0000130931</v>
      </c>
      <c r="D21782">
        <v>85.57</v>
      </c>
      <c r="E21782">
        <v>409</v>
      </c>
      <c r="F21782">
        <v>59</v>
      </c>
      <c r="G21782">
        <v>7</v>
      </c>
      <c r="H21782">
        <v>5</v>
      </c>
      <c r="I21782">
        <v>406</v>
      </c>
      <c r="J21782">
        <v>1</v>
      </c>
      <c r="K21782">
        <v>8</v>
      </c>
      <c r="L21782">
        <v>416</v>
      </c>
      <c r="M21782">
        <v>1</v>
      </c>
      <c r="N21782">
        <v>0</v>
      </c>
      <c r="O21782">
        <v>1890</v>
      </c>
    </row>
    <row r="21783" spans="1:15" x14ac:dyDescent="0.25">
      <c r="A21783" t="s">
        <v>21796</v>
      </c>
      <c r="B21783">
        <v>467</v>
      </c>
      <c r="C21783" s="1" t="str">
        <f>HYPERLINK("http://www.rosaceae.org/gb/gbrowse/malus_x_domestica/?name=MDP0000266979","MDP0000266979")</f>
        <v>MDP0000266979</v>
      </c>
      <c r="D21783">
        <v>59.42</v>
      </c>
      <c r="E21783">
        <v>414</v>
      </c>
      <c r="F21783">
        <v>168</v>
      </c>
      <c r="G21783">
        <v>63</v>
      </c>
      <c r="H21783">
        <v>92</v>
      </c>
      <c r="I21783">
        <v>467</v>
      </c>
      <c r="J21783">
        <v>1</v>
      </c>
      <c r="K21783">
        <v>211</v>
      </c>
      <c r="L21783">
        <v>599</v>
      </c>
      <c r="M21783">
        <v>1</v>
      </c>
      <c r="N21783">
        <v>2.4757399999999999E-126</v>
      </c>
      <c r="O21783">
        <v>1156</v>
      </c>
    </row>
    <row r="21784" spans="1:15" x14ac:dyDescent="0.25">
      <c r="A21784" t="s">
        <v>21797</v>
      </c>
      <c r="B21784">
        <v>221</v>
      </c>
      <c r="C21784" s="1" t="str">
        <f>HYPERLINK("http://www.rosaceae.org/gb/gbrowse/malus_x_domestica/?name=MDP0000296128","MDP0000296128")</f>
        <v>MDP0000296128</v>
      </c>
      <c r="D21784">
        <v>35.17</v>
      </c>
      <c r="E21784">
        <v>145</v>
      </c>
      <c r="F21784">
        <v>94</v>
      </c>
      <c r="G21784">
        <v>24</v>
      </c>
      <c r="H21784">
        <v>99</v>
      </c>
      <c r="I21784">
        <v>220</v>
      </c>
      <c r="J21784">
        <v>1</v>
      </c>
      <c r="K21784">
        <v>205</v>
      </c>
      <c r="L21784">
        <v>348</v>
      </c>
      <c r="M21784">
        <v>1</v>
      </c>
      <c r="N21784">
        <v>3.5956999999999996E-15</v>
      </c>
      <c r="O21784">
        <v>193</v>
      </c>
    </row>
    <row r="21785" spans="1:15" x14ac:dyDescent="0.25">
      <c r="A21785" t="s">
        <v>21798</v>
      </c>
      <c r="B21785">
        <v>758</v>
      </c>
      <c r="C21785" s="1" t="str">
        <f>HYPERLINK("http://www.rosaceae.org/gb/gbrowse/malus_x_domestica/?name=MDP0000151626","MDP0000151626")</f>
        <v>MDP0000151626</v>
      </c>
      <c r="D21785">
        <v>80.83</v>
      </c>
      <c r="E21785">
        <v>762</v>
      </c>
      <c r="F21785">
        <v>146</v>
      </c>
      <c r="G21785">
        <v>5</v>
      </c>
      <c r="H21785">
        <v>1</v>
      </c>
      <c r="I21785">
        <v>758</v>
      </c>
      <c r="J21785">
        <v>1</v>
      </c>
      <c r="K21785">
        <v>1</v>
      </c>
      <c r="L21785">
        <v>761</v>
      </c>
      <c r="M21785">
        <v>1</v>
      </c>
      <c r="N21785">
        <v>0</v>
      </c>
      <c r="O21785">
        <v>3159</v>
      </c>
    </row>
    <row r="21786" spans="1:15" x14ac:dyDescent="0.25">
      <c r="A21786" t="s">
        <v>21799</v>
      </c>
      <c r="B21786">
        <v>283</v>
      </c>
      <c r="C21786" s="1" t="str">
        <f>HYPERLINK("http://www.rosaceae.org/gb/gbrowse/malus_x_domestica/?name=MDP0000878686","MDP0000878686")</f>
        <v>MDP0000878686</v>
      </c>
      <c r="D21786">
        <v>36.020000000000003</v>
      </c>
      <c r="E21786">
        <v>136</v>
      </c>
      <c r="F21786">
        <v>87</v>
      </c>
      <c r="G21786">
        <v>18</v>
      </c>
      <c r="H21786">
        <v>15</v>
      </c>
      <c r="I21786">
        <v>137</v>
      </c>
      <c r="J21786">
        <v>1</v>
      </c>
      <c r="K21786">
        <v>98</v>
      </c>
      <c r="L21786">
        <v>228</v>
      </c>
      <c r="M21786">
        <v>1</v>
      </c>
      <c r="N21786">
        <v>1.21633E-11</v>
      </c>
      <c r="O21786">
        <v>164</v>
      </c>
    </row>
    <row r="21787" spans="1:15" x14ac:dyDescent="0.25">
      <c r="A21787" t="s">
        <v>21800</v>
      </c>
      <c r="B21787">
        <v>89</v>
      </c>
      <c r="C21787" s="1" t="str">
        <f>HYPERLINK("http://www.rosaceae.org/gb/gbrowse/malus_x_domestica/?name=MDP0000232843","MDP0000232843")</f>
        <v>MDP0000232843</v>
      </c>
      <c r="D21787">
        <v>40.22</v>
      </c>
      <c r="E21787">
        <v>87</v>
      </c>
      <c r="F21787">
        <v>52</v>
      </c>
      <c r="G21787">
        <v>2</v>
      </c>
      <c r="H21787">
        <v>4</v>
      </c>
      <c r="I21787">
        <v>89</v>
      </c>
      <c r="J21787">
        <v>1</v>
      </c>
      <c r="K21787">
        <v>226</v>
      </c>
      <c r="L21787">
        <v>311</v>
      </c>
      <c r="M21787">
        <v>1</v>
      </c>
      <c r="N21787">
        <v>1.6317E-13</v>
      </c>
      <c r="O21787">
        <v>174</v>
      </c>
    </row>
    <row r="21788" spans="1:15" x14ac:dyDescent="0.25">
      <c r="A21788" t="s">
        <v>21801</v>
      </c>
      <c r="B21788">
        <v>361</v>
      </c>
      <c r="C21788" s="1" t="str">
        <f>HYPERLINK("http://www.rosaceae.org/gb/gbrowse/malus_x_domestica/?name=MDP0000317067","MDP0000317067")</f>
        <v>MDP0000317067</v>
      </c>
      <c r="D21788">
        <v>59.81</v>
      </c>
      <c r="E21788">
        <v>321</v>
      </c>
      <c r="F21788">
        <v>129</v>
      </c>
      <c r="G21788">
        <v>65</v>
      </c>
      <c r="H21788">
        <v>1</v>
      </c>
      <c r="I21788">
        <v>300</v>
      </c>
      <c r="J21788">
        <v>1</v>
      </c>
      <c r="K21788">
        <v>1</v>
      </c>
      <c r="L21788">
        <v>277</v>
      </c>
      <c r="M21788">
        <v>1</v>
      </c>
      <c r="N21788">
        <v>8.86729E-101</v>
      </c>
      <c r="O21788">
        <v>934</v>
      </c>
    </row>
    <row r="21789" spans="1:15" x14ac:dyDescent="0.25">
      <c r="A21789" t="s">
        <v>21802</v>
      </c>
      <c r="B21789">
        <v>312</v>
      </c>
      <c r="C21789" s="1" t="str">
        <f>HYPERLINK("http://www.rosaceae.org/gb/gbrowse/malus_x_domestica/?name=MDP0000279719","MDP0000279719")</f>
        <v>MDP0000279719</v>
      </c>
      <c r="D21789">
        <v>65.03</v>
      </c>
      <c r="E21789">
        <v>306</v>
      </c>
      <c r="F21789">
        <v>107</v>
      </c>
      <c r="G21789">
        <v>1</v>
      </c>
      <c r="H21789">
        <v>7</v>
      </c>
      <c r="I21789">
        <v>312</v>
      </c>
      <c r="J21789">
        <v>1</v>
      </c>
      <c r="K21789">
        <v>797</v>
      </c>
      <c r="L21789">
        <v>1101</v>
      </c>
      <c r="M21789">
        <v>1</v>
      </c>
      <c r="N21789">
        <v>6.0457500000000004E-115</v>
      </c>
      <c r="O21789">
        <v>1055</v>
      </c>
    </row>
    <row r="21790" spans="1:15" x14ac:dyDescent="0.25">
      <c r="A21790" t="s">
        <v>21803</v>
      </c>
      <c r="B21790">
        <v>519</v>
      </c>
      <c r="C21790" s="1" t="str">
        <f>HYPERLINK("http://www.rosaceae.org/gb/gbrowse/malus_x_domestica/?name=MDP0000288533","MDP0000288533")</f>
        <v>MDP0000288533</v>
      </c>
      <c r="D21790">
        <v>76.77</v>
      </c>
      <c r="E21790">
        <v>521</v>
      </c>
      <c r="F21790">
        <v>121</v>
      </c>
      <c r="G21790">
        <v>4</v>
      </c>
      <c r="H21790">
        <v>1</v>
      </c>
      <c r="I21790">
        <v>519</v>
      </c>
      <c r="J21790">
        <v>1</v>
      </c>
      <c r="K21790">
        <v>1</v>
      </c>
      <c r="L21790">
        <v>519</v>
      </c>
      <c r="M21790">
        <v>1</v>
      </c>
      <c r="N21790">
        <v>0</v>
      </c>
      <c r="O21790">
        <v>2072</v>
      </c>
    </row>
    <row r="21791" spans="1:15" x14ac:dyDescent="0.25">
      <c r="A21791" t="s">
        <v>21804</v>
      </c>
      <c r="B21791">
        <v>180</v>
      </c>
      <c r="C21791" s="1" t="str">
        <f>HYPERLINK("http://www.rosaceae.org/gb/gbrowse/malus_x_domestica/?name=MDP0000335223","MDP0000335223")</f>
        <v>MDP0000335223</v>
      </c>
      <c r="D21791">
        <v>77.22</v>
      </c>
      <c r="E21791">
        <v>180</v>
      </c>
      <c r="F21791">
        <v>41</v>
      </c>
      <c r="G21791">
        <v>0</v>
      </c>
      <c r="H21791">
        <v>1</v>
      </c>
      <c r="I21791">
        <v>180</v>
      </c>
      <c r="J21791">
        <v>1</v>
      </c>
      <c r="K21791">
        <v>1</v>
      </c>
      <c r="L21791">
        <v>180</v>
      </c>
      <c r="M21791">
        <v>1</v>
      </c>
      <c r="N21791">
        <v>6.1106200000000001E-77</v>
      </c>
      <c r="O21791">
        <v>724</v>
      </c>
    </row>
    <row r="21792" spans="1:15" x14ac:dyDescent="0.25">
      <c r="A21792" t="s">
        <v>21805</v>
      </c>
      <c r="B21792">
        <v>320</v>
      </c>
      <c r="C21792" s="1" t="str">
        <f>HYPERLINK("http://www.rosaceae.org/gb/gbrowse/malus_x_domestica/?name=MDP0000537889","MDP0000537889")</f>
        <v>MDP0000537889</v>
      </c>
      <c r="D21792">
        <v>55.64</v>
      </c>
      <c r="E21792">
        <v>239</v>
      </c>
      <c r="F21792">
        <v>106</v>
      </c>
      <c r="G21792">
        <v>48</v>
      </c>
      <c r="H21792">
        <v>78</v>
      </c>
      <c r="I21792">
        <v>268</v>
      </c>
      <c r="J21792">
        <v>1</v>
      </c>
      <c r="K21792">
        <v>1</v>
      </c>
      <c r="L21792">
        <v>239</v>
      </c>
      <c r="M21792">
        <v>1</v>
      </c>
      <c r="N21792">
        <v>3.7337799999999998E-65</v>
      </c>
      <c r="O21792">
        <v>626</v>
      </c>
    </row>
    <row r="21793" spans="1:15" x14ac:dyDescent="0.25">
      <c r="A21793" t="s">
        <v>21806</v>
      </c>
      <c r="B21793">
        <v>432</v>
      </c>
      <c r="C21793" s="1" t="str">
        <f>HYPERLINK("http://www.rosaceae.org/gb/gbrowse/malus_x_domestica/?name=MDP0000221986","MDP0000221986")</f>
        <v>MDP0000221986</v>
      </c>
      <c r="D21793">
        <v>56.58</v>
      </c>
      <c r="E21793">
        <v>281</v>
      </c>
      <c r="F21793">
        <v>122</v>
      </c>
      <c r="G21793">
        <v>40</v>
      </c>
      <c r="H21793">
        <v>132</v>
      </c>
      <c r="I21793">
        <v>372</v>
      </c>
      <c r="J21793">
        <v>1</v>
      </c>
      <c r="K21793">
        <v>1</v>
      </c>
      <c r="L21793">
        <v>281</v>
      </c>
      <c r="M21793">
        <v>1</v>
      </c>
      <c r="N21793">
        <v>8.6662000000000005E-80</v>
      </c>
      <c r="O21793">
        <v>754</v>
      </c>
    </row>
    <row r="21794" spans="1:15" x14ac:dyDescent="0.25">
      <c r="A21794" t="s">
        <v>21807</v>
      </c>
      <c r="B21794">
        <v>311</v>
      </c>
      <c r="C21794" s="1" t="str">
        <f>HYPERLINK("http://www.rosaceae.org/gb/gbrowse/malus_x_domestica/?name=MDP0000255045","MDP0000255045")</f>
        <v>MDP0000255045</v>
      </c>
      <c r="D21794">
        <v>88.55</v>
      </c>
      <c r="E21794">
        <v>166</v>
      </c>
      <c r="F21794">
        <v>19</v>
      </c>
      <c r="G21794">
        <v>0</v>
      </c>
      <c r="H21794">
        <v>146</v>
      </c>
      <c r="I21794">
        <v>311</v>
      </c>
      <c r="J21794">
        <v>1</v>
      </c>
      <c r="K21794">
        <v>3203</v>
      </c>
      <c r="L21794">
        <v>3368</v>
      </c>
      <c r="M21794">
        <v>1</v>
      </c>
      <c r="N21794">
        <v>3.9967799999999999E-87</v>
      </c>
      <c r="O21794">
        <v>816</v>
      </c>
    </row>
    <row r="21795" spans="1:15" x14ac:dyDescent="0.25">
      <c r="A21795" t="s">
        <v>21808</v>
      </c>
      <c r="B21795">
        <v>460</v>
      </c>
      <c r="C21795" s="1" t="str">
        <f>HYPERLINK("http://www.rosaceae.org/gb/gbrowse/malus_x_domestica/?name=MDP0000320443","MDP0000320443")</f>
        <v>MDP0000320443</v>
      </c>
      <c r="D21795">
        <v>27.97</v>
      </c>
      <c r="E21795">
        <v>168</v>
      </c>
      <c r="F21795">
        <v>121</v>
      </c>
      <c r="G21795">
        <v>21</v>
      </c>
      <c r="H21795">
        <v>27</v>
      </c>
      <c r="I21795">
        <v>181</v>
      </c>
      <c r="J21795">
        <v>1</v>
      </c>
      <c r="K21795">
        <v>61</v>
      </c>
      <c r="L21795">
        <v>220</v>
      </c>
      <c r="M21795">
        <v>1</v>
      </c>
      <c r="N21795">
        <v>3.6799400000000004E-15</v>
      </c>
      <c r="O21795">
        <v>197</v>
      </c>
    </row>
    <row r="21796" spans="1:15" x14ac:dyDescent="0.25">
      <c r="A21796" t="s">
        <v>21809</v>
      </c>
      <c r="B21796">
        <v>468</v>
      </c>
      <c r="C21796" s="1" t="str">
        <f>HYPERLINK("http://www.rosaceae.org/gb/gbrowse/malus_x_domestica/?name=MDP0000883315","MDP0000883315")</f>
        <v>MDP0000883315</v>
      </c>
      <c r="D21796">
        <v>33.18</v>
      </c>
      <c r="E21796">
        <v>458</v>
      </c>
      <c r="F21796">
        <v>306</v>
      </c>
      <c r="G21796">
        <v>25</v>
      </c>
      <c r="H21796">
        <v>24</v>
      </c>
      <c r="I21796">
        <v>464</v>
      </c>
      <c r="J21796">
        <v>1</v>
      </c>
      <c r="K21796">
        <v>20</v>
      </c>
      <c r="L21796">
        <v>469</v>
      </c>
      <c r="M21796">
        <v>1</v>
      </c>
      <c r="N21796">
        <v>1.2354899999999999E-58</v>
      </c>
      <c r="O21796">
        <v>572</v>
      </c>
    </row>
    <row r="21797" spans="1:15" x14ac:dyDescent="0.25">
      <c r="A21797" t="s">
        <v>21810</v>
      </c>
      <c r="B21797">
        <v>210</v>
      </c>
      <c r="C21797" s="1" t="str">
        <f>HYPERLINK("http://www.rosaceae.org/gb/gbrowse/malus_x_domestica/?name=MDP0000303337","MDP0000303337")</f>
        <v>MDP0000303337</v>
      </c>
      <c r="D21797">
        <v>23.4</v>
      </c>
      <c r="E21797">
        <v>188</v>
      </c>
      <c r="F21797">
        <v>144</v>
      </c>
      <c r="G21797">
        <v>45</v>
      </c>
      <c r="H21797">
        <v>9</v>
      </c>
      <c r="I21797">
        <v>151</v>
      </c>
      <c r="J21797">
        <v>1</v>
      </c>
      <c r="K21797">
        <v>174</v>
      </c>
      <c r="L21797">
        <v>361</v>
      </c>
      <c r="M21797">
        <v>1</v>
      </c>
      <c r="N21797">
        <v>1.5577399999999999E-13</v>
      </c>
      <c r="O21797">
        <v>179</v>
      </c>
    </row>
    <row r="21798" spans="1:15" x14ac:dyDescent="0.25">
      <c r="A21798" t="s">
        <v>21811</v>
      </c>
      <c r="B21798">
        <v>333</v>
      </c>
      <c r="C21798" s="1" t="str">
        <f>HYPERLINK("http://www.rosaceae.org/gb/gbrowse/malus_x_domestica/?name=MDP0000166379","MDP0000166379")</f>
        <v>MDP0000166379</v>
      </c>
      <c r="D21798">
        <v>57.18</v>
      </c>
      <c r="E21798">
        <v>320</v>
      </c>
      <c r="F21798">
        <v>137</v>
      </c>
      <c r="G21798">
        <v>7</v>
      </c>
      <c r="H21798">
        <v>1</v>
      </c>
      <c r="I21798">
        <v>319</v>
      </c>
      <c r="J21798">
        <v>1</v>
      </c>
      <c r="K21798">
        <v>3</v>
      </c>
      <c r="L21798">
        <v>316</v>
      </c>
      <c r="M21798">
        <v>1</v>
      </c>
      <c r="N21798">
        <v>1.17173E-91</v>
      </c>
      <c r="O21798">
        <v>855</v>
      </c>
    </row>
    <row r="21799" spans="1:15" x14ac:dyDescent="0.25">
      <c r="A21799" t="s">
        <v>21812</v>
      </c>
      <c r="B21799">
        <v>599</v>
      </c>
      <c r="C21799" s="1" t="str">
        <f>HYPERLINK("http://www.rosaceae.org/gb/gbrowse/malus_x_domestica/?name=MDP0000141889","MDP0000141889")</f>
        <v>MDP0000141889</v>
      </c>
      <c r="D21799">
        <v>65.760000000000005</v>
      </c>
      <c r="E21799">
        <v>406</v>
      </c>
      <c r="F21799">
        <v>139</v>
      </c>
      <c r="G21799">
        <v>14</v>
      </c>
      <c r="H21799">
        <v>92</v>
      </c>
      <c r="I21799">
        <v>494</v>
      </c>
      <c r="J21799">
        <v>1</v>
      </c>
      <c r="K21799">
        <v>193</v>
      </c>
      <c r="L21799">
        <v>587</v>
      </c>
      <c r="M21799">
        <v>1</v>
      </c>
      <c r="N21799">
        <v>3.1553499999999999E-154</v>
      </c>
      <c r="O21799">
        <v>1397</v>
      </c>
    </row>
    <row r="21800" spans="1:15" x14ac:dyDescent="0.25">
      <c r="A21800" t="s">
        <v>21813</v>
      </c>
      <c r="B21800">
        <v>939</v>
      </c>
      <c r="C21800" s="1" t="str">
        <f>HYPERLINK("http://www.rosaceae.org/gb/gbrowse/malus_x_domestica/?name=MDP0000282879","MDP0000282879")</f>
        <v>MDP0000282879</v>
      </c>
      <c r="D21800">
        <v>47.25</v>
      </c>
      <c r="E21800">
        <v>891</v>
      </c>
      <c r="F21800">
        <v>470</v>
      </c>
      <c r="G21800">
        <v>73</v>
      </c>
      <c r="H21800">
        <v>106</v>
      </c>
      <c r="I21800">
        <v>939</v>
      </c>
      <c r="J21800">
        <v>1</v>
      </c>
      <c r="K21800">
        <v>61</v>
      </c>
      <c r="L21800">
        <v>935</v>
      </c>
      <c r="M21800">
        <v>1</v>
      </c>
      <c r="N21800">
        <v>0</v>
      </c>
      <c r="O21800">
        <v>1775</v>
      </c>
    </row>
    <row r="21801" spans="1:15" x14ac:dyDescent="0.25">
      <c r="A21801" t="s">
        <v>21814</v>
      </c>
      <c r="B21801">
        <v>179</v>
      </c>
      <c r="C21801" s="1" t="str">
        <f>HYPERLINK("http://www.rosaceae.org/gb/gbrowse/malus_x_domestica/?name=MDP0000245896","MDP0000245896")</f>
        <v>MDP0000245896</v>
      </c>
      <c r="D21801">
        <v>73.97</v>
      </c>
      <c r="E21801">
        <v>146</v>
      </c>
      <c r="F21801">
        <v>38</v>
      </c>
      <c r="G21801">
        <v>1</v>
      </c>
      <c r="H21801">
        <v>34</v>
      </c>
      <c r="I21801">
        <v>179</v>
      </c>
      <c r="J21801">
        <v>1</v>
      </c>
      <c r="K21801">
        <v>78</v>
      </c>
      <c r="L21801">
        <v>222</v>
      </c>
      <c r="M21801">
        <v>1</v>
      </c>
      <c r="N21801">
        <v>1.16408E-56</v>
      </c>
      <c r="O21801">
        <v>549</v>
      </c>
    </row>
    <row r="21802" spans="1:15" x14ac:dyDescent="0.25">
      <c r="A21802" t="s">
        <v>21815</v>
      </c>
      <c r="B21802">
        <v>636</v>
      </c>
      <c r="C21802" s="1" t="str">
        <f>HYPERLINK("http://www.rosaceae.org/gb/gbrowse/malus_x_domestica/?name=MDP0000438458","MDP0000438458")</f>
        <v>MDP0000438458</v>
      </c>
      <c r="D21802">
        <v>82.57</v>
      </c>
      <c r="E21802">
        <v>505</v>
      </c>
      <c r="F21802">
        <v>88</v>
      </c>
      <c r="G21802">
        <v>4</v>
      </c>
      <c r="H21802">
        <v>132</v>
      </c>
      <c r="I21802">
        <v>636</v>
      </c>
      <c r="J21802">
        <v>1</v>
      </c>
      <c r="K21802">
        <v>1</v>
      </c>
      <c r="L21802">
        <v>501</v>
      </c>
      <c r="M21802">
        <v>1</v>
      </c>
      <c r="N21802">
        <v>0</v>
      </c>
      <c r="O21802">
        <v>2236</v>
      </c>
    </row>
    <row r="21803" spans="1:15" x14ac:dyDescent="0.25">
      <c r="A21803" t="s">
        <v>21816</v>
      </c>
      <c r="B21803">
        <v>1767</v>
      </c>
      <c r="C21803" s="1" t="str">
        <f>HYPERLINK("http://www.rosaceae.org/gb/gbrowse/malus_x_domestica/?name=MDP0000915307","MDP0000915307")</f>
        <v>MDP0000915307</v>
      </c>
      <c r="D21803">
        <v>78.72</v>
      </c>
      <c r="E21803">
        <v>1753</v>
      </c>
      <c r="F21803">
        <v>373</v>
      </c>
      <c r="G21803">
        <v>9</v>
      </c>
      <c r="H21803">
        <v>20</v>
      </c>
      <c r="I21803">
        <v>1767</v>
      </c>
      <c r="J21803">
        <v>1</v>
      </c>
      <c r="K21803">
        <v>24</v>
      </c>
      <c r="L21803">
        <v>1772</v>
      </c>
      <c r="M21803">
        <v>1</v>
      </c>
      <c r="N21803">
        <v>0</v>
      </c>
      <c r="O21803">
        <v>7394</v>
      </c>
    </row>
    <row r="21804" spans="1:15" x14ac:dyDescent="0.25">
      <c r="A21804" t="s">
        <v>21817</v>
      </c>
      <c r="B21804">
        <v>168</v>
      </c>
      <c r="C21804" s="1" t="str">
        <f>HYPERLINK("http://www.rosaceae.org/gb/gbrowse/malus_x_domestica/?name=MDP0000153290","MDP0000153290")</f>
        <v>MDP0000153290</v>
      </c>
      <c r="D21804">
        <v>42.85</v>
      </c>
      <c r="E21804">
        <v>105</v>
      </c>
      <c r="F21804">
        <v>60</v>
      </c>
      <c r="G21804">
        <v>0</v>
      </c>
      <c r="H21804">
        <v>5</v>
      </c>
      <c r="I21804">
        <v>109</v>
      </c>
      <c r="J21804">
        <v>1</v>
      </c>
      <c r="K21804">
        <v>70</v>
      </c>
      <c r="L21804">
        <v>174</v>
      </c>
      <c r="M21804">
        <v>1</v>
      </c>
      <c r="N21804">
        <v>6.6059000000000002E-21</v>
      </c>
      <c r="O21804">
        <v>241</v>
      </c>
    </row>
    <row r="21805" spans="1:15" x14ac:dyDescent="0.25">
      <c r="A21805" t="s">
        <v>21818</v>
      </c>
      <c r="B21805">
        <v>159</v>
      </c>
      <c r="C21805" s="1" t="str">
        <f>HYPERLINK("http://www.rosaceae.org/gb/gbrowse/malus_x_domestica/?name=MDP0000139560","MDP0000139560")</f>
        <v>MDP0000139560</v>
      </c>
      <c r="D21805">
        <v>81.2</v>
      </c>
      <c r="E21805">
        <v>133</v>
      </c>
      <c r="F21805">
        <v>25</v>
      </c>
      <c r="G21805">
        <v>1</v>
      </c>
      <c r="H21805">
        <v>1</v>
      </c>
      <c r="I21805">
        <v>133</v>
      </c>
      <c r="J21805">
        <v>1</v>
      </c>
      <c r="K21805">
        <v>1</v>
      </c>
      <c r="L21805">
        <v>132</v>
      </c>
      <c r="M21805">
        <v>1</v>
      </c>
      <c r="N21805">
        <v>5.22945E-59</v>
      </c>
      <c r="O21805">
        <v>569</v>
      </c>
    </row>
    <row r="21806" spans="1:15" x14ac:dyDescent="0.25">
      <c r="A21806" t="s">
        <v>21819</v>
      </c>
      <c r="B21806">
        <v>189</v>
      </c>
      <c r="C21806" s="1" t="str">
        <f>HYPERLINK("http://www.rosaceae.org/gb/gbrowse/malus_x_domestica/?name=MDP0000900034","MDP0000900034")</f>
        <v>MDP0000900034</v>
      </c>
      <c r="D21806">
        <v>67.08</v>
      </c>
      <c r="E21806">
        <v>79</v>
      </c>
      <c r="F21806">
        <v>26</v>
      </c>
      <c r="G21806">
        <v>2</v>
      </c>
      <c r="H21806">
        <v>106</v>
      </c>
      <c r="I21806">
        <v>182</v>
      </c>
      <c r="J21806">
        <v>1</v>
      </c>
      <c r="K21806">
        <v>214</v>
      </c>
      <c r="L21806">
        <v>292</v>
      </c>
      <c r="M21806">
        <v>1</v>
      </c>
      <c r="N21806">
        <v>6.9524700000000005E-23</v>
      </c>
      <c r="O21806">
        <v>258</v>
      </c>
    </row>
    <row r="21807" spans="1:15" x14ac:dyDescent="0.25">
      <c r="A21807" t="s">
        <v>21820</v>
      </c>
      <c r="B21807">
        <v>230</v>
      </c>
      <c r="C21807" s="1" t="str">
        <f>HYPERLINK("http://www.rosaceae.org/gb/gbrowse/malus_x_domestica/?name=MDP0000158963","MDP0000158963")</f>
        <v>MDP0000158963</v>
      </c>
      <c r="D21807">
        <v>39.14</v>
      </c>
      <c r="E21807">
        <v>235</v>
      </c>
      <c r="F21807">
        <v>143</v>
      </c>
      <c r="G21807">
        <v>57</v>
      </c>
      <c r="H21807">
        <v>40</v>
      </c>
      <c r="I21807">
        <v>227</v>
      </c>
      <c r="J21807">
        <v>1</v>
      </c>
      <c r="K21807">
        <v>36</v>
      </c>
      <c r="L21807">
        <v>260</v>
      </c>
      <c r="M21807">
        <v>1</v>
      </c>
      <c r="N21807">
        <v>3.7304300000000001E-37</v>
      </c>
      <c r="O21807">
        <v>383</v>
      </c>
    </row>
    <row r="21808" spans="1:15" x14ac:dyDescent="0.25">
      <c r="A21808" t="s">
        <v>21821</v>
      </c>
      <c r="B21808">
        <v>254</v>
      </c>
      <c r="C21808" s="1" t="str">
        <f>HYPERLINK("http://www.rosaceae.org/gb/gbrowse/malus_x_domestica/?name=MDP0000328533","MDP0000328533")</f>
        <v>MDP0000328533</v>
      </c>
      <c r="D21808">
        <v>75.22</v>
      </c>
      <c r="E21808">
        <v>226</v>
      </c>
      <c r="F21808">
        <v>56</v>
      </c>
      <c r="G21808">
        <v>16</v>
      </c>
      <c r="H21808">
        <v>1</v>
      </c>
      <c r="I21808">
        <v>210</v>
      </c>
      <c r="J21808">
        <v>1</v>
      </c>
      <c r="K21808">
        <v>9</v>
      </c>
      <c r="L21808">
        <v>234</v>
      </c>
      <c r="M21808">
        <v>1</v>
      </c>
      <c r="N21808">
        <v>1.22022E-95</v>
      </c>
      <c r="O21808">
        <v>888</v>
      </c>
    </row>
    <row r="21809" spans="1:15" x14ac:dyDescent="0.25">
      <c r="A21809" t="s">
        <v>21822</v>
      </c>
      <c r="B21809">
        <v>261</v>
      </c>
      <c r="C21809" s="1" t="str">
        <f>HYPERLINK("http://www.rosaceae.org/gb/gbrowse/malus_x_domestica/?name=MDP0000241015","MDP0000241015")</f>
        <v>MDP0000241015</v>
      </c>
      <c r="D21809">
        <v>82.06</v>
      </c>
      <c r="E21809">
        <v>262</v>
      </c>
      <c r="F21809">
        <v>47</v>
      </c>
      <c r="G21809">
        <v>1</v>
      </c>
      <c r="H21809">
        <v>1</v>
      </c>
      <c r="I21809">
        <v>261</v>
      </c>
      <c r="J21809">
        <v>1</v>
      </c>
      <c r="K21809">
        <v>111</v>
      </c>
      <c r="L21809">
        <v>372</v>
      </c>
      <c r="M21809">
        <v>1</v>
      </c>
      <c r="N21809">
        <v>1.3628499999999999E-127</v>
      </c>
      <c r="O21809">
        <v>1164</v>
      </c>
    </row>
    <row r="21810" spans="1:15" x14ac:dyDescent="0.25">
      <c r="A21810" t="s">
        <v>21823</v>
      </c>
      <c r="B21810">
        <v>134</v>
      </c>
      <c r="C21810" s="1" t="str">
        <f>HYPERLINK("http://www.rosaceae.org/gb/gbrowse/malus_x_domestica/?name=MDP0000228686","MDP0000228686")</f>
        <v>MDP0000228686</v>
      </c>
      <c r="D21810">
        <v>64.599999999999994</v>
      </c>
      <c r="E21810">
        <v>113</v>
      </c>
      <c r="F21810">
        <v>40</v>
      </c>
      <c r="G21810">
        <v>4</v>
      </c>
      <c r="H21810">
        <v>26</v>
      </c>
      <c r="I21810">
        <v>134</v>
      </c>
      <c r="J21810">
        <v>1</v>
      </c>
      <c r="K21810">
        <v>40</v>
      </c>
      <c r="L21810">
        <v>152</v>
      </c>
      <c r="M21810">
        <v>1</v>
      </c>
      <c r="N21810">
        <v>3.7321200000000001E-37</v>
      </c>
      <c r="O21810">
        <v>379</v>
      </c>
    </row>
    <row r="21811" spans="1:15" x14ac:dyDescent="0.25">
      <c r="A21811" t="s">
        <v>21824</v>
      </c>
      <c r="B21811">
        <v>157</v>
      </c>
      <c r="C21811" s="1" t="str">
        <f>HYPERLINK("http://www.rosaceae.org/gb/gbrowse/malus_x_domestica/?name=MDP0000295540","MDP0000295540")</f>
        <v>MDP0000295540</v>
      </c>
      <c r="D21811">
        <v>84.27</v>
      </c>
      <c r="E21811">
        <v>159</v>
      </c>
      <c r="F21811">
        <v>25</v>
      </c>
      <c r="G21811">
        <v>2</v>
      </c>
      <c r="H21811">
        <v>1</v>
      </c>
      <c r="I21811">
        <v>157</v>
      </c>
      <c r="J21811">
        <v>1</v>
      </c>
      <c r="K21811">
        <v>1</v>
      </c>
      <c r="L21811">
        <v>159</v>
      </c>
      <c r="M21811">
        <v>1</v>
      </c>
      <c r="N21811">
        <v>4.5281799999999996E-72</v>
      </c>
      <c r="O21811">
        <v>681</v>
      </c>
    </row>
    <row r="21812" spans="1:15" x14ac:dyDescent="0.25">
      <c r="A21812" t="s">
        <v>21825</v>
      </c>
      <c r="B21812">
        <v>556</v>
      </c>
      <c r="C21812" s="1" t="str">
        <f>HYPERLINK("http://www.rosaceae.org/gb/gbrowse/malus_x_domestica/?name=MDP0000881647","MDP0000881647")</f>
        <v>MDP0000881647</v>
      </c>
      <c r="D21812">
        <v>71.25</v>
      </c>
      <c r="E21812">
        <v>567</v>
      </c>
      <c r="F21812">
        <v>163</v>
      </c>
      <c r="G21812">
        <v>29</v>
      </c>
      <c r="H21812">
        <v>17</v>
      </c>
      <c r="I21812">
        <v>555</v>
      </c>
      <c r="J21812">
        <v>1</v>
      </c>
      <c r="K21812">
        <v>15</v>
      </c>
      <c r="L21812">
        <v>580</v>
      </c>
      <c r="M21812">
        <v>1</v>
      </c>
      <c r="N21812">
        <v>0</v>
      </c>
      <c r="O21812">
        <v>2026</v>
      </c>
    </row>
    <row r="21813" spans="1:15" x14ac:dyDescent="0.25">
      <c r="A21813" t="s">
        <v>21826</v>
      </c>
      <c r="B21813">
        <v>436</v>
      </c>
      <c r="C21813" s="1" t="str">
        <f>HYPERLINK("http://www.rosaceae.org/gb/gbrowse/malus_x_domestica/?name=MDP0000251219","MDP0000251219")</f>
        <v>MDP0000251219</v>
      </c>
      <c r="D21813">
        <v>58.1</v>
      </c>
      <c r="E21813">
        <v>432</v>
      </c>
      <c r="F21813">
        <v>181</v>
      </c>
      <c r="G21813">
        <v>40</v>
      </c>
      <c r="H21813">
        <v>11</v>
      </c>
      <c r="I21813">
        <v>433</v>
      </c>
      <c r="J21813">
        <v>1</v>
      </c>
      <c r="K21813">
        <v>5</v>
      </c>
      <c r="L21813">
        <v>405</v>
      </c>
      <c r="M21813">
        <v>1</v>
      </c>
      <c r="N21813">
        <v>1.2582500000000001E-130</v>
      </c>
      <c r="O21813">
        <v>1192</v>
      </c>
    </row>
    <row r="21814" spans="1:15" x14ac:dyDescent="0.25">
      <c r="A21814" t="s">
        <v>21827</v>
      </c>
      <c r="B21814">
        <v>231</v>
      </c>
      <c r="C21814" s="1" t="str">
        <f>HYPERLINK("http://www.rosaceae.org/gb/gbrowse/malus_x_domestica/?name=MDP0000298567","MDP0000298567")</f>
        <v>MDP0000298567</v>
      </c>
      <c r="D21814">
        <v>55.1</v>
      </c>
      <c r="E21814">
        <v>147</v>
      </c>
      <c r="F21814">
        <v>66</v>
      </c>
      <c r="G21814">
        <v>0</v>
      </c>
      <c r="H21814">
        <v>28</v>
      </c>
      <c r="I21814">
        <v>174</v>
      </c>
      <c r="J21814">
        <v>1</v>
      </c>
      <c r="K21814">
        <v>109</v>
      </c>
      <c r="L21814">
        <v>255</v>
      </c>
      <c r="M21814">
        <v>1</v>
      </c>
      <c r="N21814">
        <v>8.0206299999999998E-42</v>
      </c>
      <c r="O21814">
        <v>423</v>
      </c>
    </row>
    <row r="21815" spans="1:15" x14ac:dyDescent="0.25">
      <c r="A21815" t="s">
        <v>21828</v>
      </c>
      <c r="B21815">
        <v>279</v>
      </c>
      <c r="C21815" s="1" t="str">
        <f>HYPERLINK("http://www.rosaceae.org/gb/gbrowse/malus_x_domestica/?name=MDP0000848695","MDP0000848695")</f>
        <v>MDP0000848695</v>
      </c>
      <c r="D21815">
        <v>65.349999999999994</v>
      </c>
      <c r="E21815">
        <v>280</v>
      </c>
      <c r="F21815">
        <v>97</v>
      </c>
      <c r="G21815">
        <v>3</v>
      </c>
      <c r="H21815">
        <v>1</v>
      </c>
      <c r="I21815">
        <v>279</v>
      </c>
      <c r="J21815">
        <v>1</v>
      </c>
      <c r="K21815">
        <v>33</v>
      </c>
      <c r="L21815">
        <v>310</v>
      </c>
      <c r="M21815">
        <v>1</v>
      </c>
      <c r="N21815">
        <v>3.7601200000000002E-99</v>
      </c>
      <c r="O21815">
        <v>919</v>
      </c>
    </row>
    <row r="21816" spans="1:15" x14ac:dyDescent="0.25">
      <c r="A21816" t="s">
        <v>21829</v>
      </c>
      <c r="B21816">
        <v>615</v>
      </c>
      <c r="C21816" s="1" t="str">
        <f>HYPERLINK("http://www.rosaceae.org/gb/gbrowse/malus_x_domestica/?name=MDP0000252465","MDP0000252465")</f>
        <v>MDP0000252465</v>
      </c>
      <c r="D21816">
        <v>80.11</v>
      </c>
      <c r="E21816">
        <v>347</v>
      </c>
      <c r="F21816">
        <v>69</v>
      </c>
      <c r="G21816">
        <v>1</v>
      </c>
      <c r="H21816">
        <v>31</v>
      </c>
      <c r="I21816">
        <v>377</v>
      </c>
      <c r="J21816">
        <v>1</v>
      </c>
      <c r="K21816">
        <v>940</v>
      </c>
      <c r="L21816">
        <v>1285</v>
      </c>
      <c r="M21816">
        <v>1</v>
      </c>
      <c r="N21816">
        <v>1.4962199999999999E-162</v>
      </c>
      <c r="O21816">
        <v>1469</v>
      </c>
    </row>
    <row r="21817" spans="1:15" x14ac:dyDescent="0.25">
      <c r="A21817" t="s">
        <v>21830</v>
      </c>
      <c r="B21817">
        <v>319</v>
      </c>
      <c r="C21817" s="1" t="str">
        <f>HYPERLINK("http://www.rosaceae.org/gb/gbrowse/malus_x_domestica/?name=MDP0000275309","MDP0000275309")</f>
        <v>MDP0000275309</v>
      </c>
      <c r="D21817">
        <v>83</v>
      </c>
      <c r="E21817">
        <v>306</v>
      </c>
      <c r="F21817">
        <v>52</v>
      </c>
      <c r="G21817">
        <v>7</v>
      </c>
      <c r="H21817">
        <v>2</v>
      </c>
      <c r="I21817">
        <v>307</v>
      </c>
      <c r="J21817">
        <v>1</v>
      </c>
      <c r="K21817">
        <v>4</v>
      </c>
      <c r="L21817">
        <v>302</v>
      </c>
      <c r="M21817">
        <v>1</v>
      </c>
      <c r="N21817">
        <v>5.1985700000000003E-145</v>
      </c>
      <c r="O21817">
        <v>1315</v>
      </c>
    </row>
    <row r="21818" spans="1:15" x14ac:dyDescent="0.25">
      <c r="A21818" t="s">
        <v>21831</v>
      </c>
      <c r="B21818">
        <v>1153</v>
      </c>
      <c r="C21818" s="1" t="str">
        <f>HYPERLINK("http://www.rosaceae.org/gb/gbrowse/malus_x_domestica/?name=MDP0000249607","MDP0000249607")</f>
        <v>MDP0000249607</v>
      </c>
      <c r="D21818">
        <v>63.38</v>
      </c>
      <c r="E21818">
        <v>426</v>
      </c>
      <c r="F21818">
        <v>156</v>
      </c>
      <c r="G21818">
        <v>24</v>
      </c>
      <c r="H21818">
        <v>1</v>
      </c>
      <c r="I21818">
        <v>412</v>
      </c>
      <c r="J21818">
        <v>1</v>
      </c>
      <c r="K21818">
        <v>924</v>
      </c>
      <c r="L21818">
        <v>1339</v>
      </c>
      <c r="M21818">
        <v>1</v>
      </c>
      <c r="N21818">
        <v>2.4835100000000001E-139</v>
      </c>
      <c r="O21818">
        <v>1272</v>
      </c>
    </row>
    <row r="21819" spans="1:15" x14ac:dyDescent="0.25">
      <c r="A21819" t="s">
        <v>21832</v>
      </c>
      <c r="B21819">
        <v>193</v>
      </c>
      <c r="C21819" s="1" t="str">
        <f>HYPERLINK("http://www.rosaceae.org/gb/gbrowse/malus_x_domestica/?name=MDP0000231154","MDP0000231154")</f>
        <v>MDP0000231154</v>
      </c>
      <c r="D21819">
        <v>85.62</v>
      </c>
      <c r="E21819">
        <v>167</v>
      </c>
      <c r="F21819">
        <v>24</v>
      </c>
      <c r="G21819">
        <v>0</v>
      </c>
      <c r="H21819">
        <v>24</v>
      </c>
      <c r="I21819">
        <v>190</v>
      </c>
      <c r="J21819">
        <v>1</v>
      </c>
      <c r="K21819">
        <v>97</v>
      </c>
      <c r="L21819">
        <v>263</v>
      </c>
      <c r="M21819">
        <v>1</v>
      </c>
      <c r="N21819">
        <v>2.07596E-81</v>
      </c>
      <c r="O21819">
        <v>763</v>
      </c>
    </row>
    <row r="21820" spans="1:15" x14ac:dyDescent="0.25">
      <c r="A21820" t="s">
        <v>21833</v>
      </c>
      <c r="B21820">
        <v>242</v>
      </c>
      <c r="C21820" s="1" t="str">
        <f>HYPERLINK("http://www.rosaceae.org/gb/gbrowse/malus_x_domestica/?name=MDP0000213166","MDP0000213166")</f>
        <v>MDP0000213166</v>
      </c>
      <c r="D21820">
        <v>50.34</v>
      </c>
      <c r="E21820">
        <v>143</v>
      </c>
      <c r="F21820">
        <v>71</v>
      </c>
      <c r="G21820">
        <v>48</v>
      </c>
      <c r="H21820">
        <v>148</v>
      </c>
      <c r="I21820">
        <v>242</v>
      </c>
      <c r="J21820">
        <v>1</v>
      </c>
      <c r="K21820">
        <v>1</v>
      </c>
      <c r="L21820">
        <v>143</v>
      </c>
      <c r="M21820">
        <v>1</v>
      </c>
      <c r="N21820">
        <v>3.6231399999999998E-31</v>
      </c>
      <c r="O21820">
        <v>332</v>
      </c>
    </row>
    <row r="21821" spans="1:15" x14ac:dyDescent="0.25">
      <c r="A21821" t="s">
        <v>21834</v>
      </c>
      <c r="B21821">
        <v>470</v>
      </c>
      <c r="C21821" s="1" t="str">
        <f>HYPERLINK("http://www.rosaceae.org/gb/gbrowse/malus_x_domestica/?name=MDP0000219160","MDP0000219160")</f>
        <v>MDP0000219160</v>
      </c>
      <c r="D21821">
        <v>71.95</v>
      </c>
      <c r="E21821">
        <v>485</v>
      </c>
      <c r="F21821">
        <v>136</v>
      </c>
      <c r="G21821">
        <v>17</v>
      </c>
      <c r="H21821">
        <v>1</v>
      </c>
      <c r="I21821">
        <v>470</v>
      </c>
      <c r="J21821">
        <v>1</v>
      </c>
      <c r="K21821">
        <v>1</v>
      </c>
      <c r="L21821">
        <v>483</v>
      </c>
      <c r="M21821">
        <v>1</v>
      </c>
      <c r="N21821">
        <v>0</v>
      </c>
      <c r="O21821">
        <v>1674</v>
      </c>
    </row>
    <row r="21822" spans="1:15" x14ac:dyDescent="0.25">
      <c r="A21822" t="s">
        <v>21835</v>
      </c>
      <c r="B21822">
        <v>282</v>
      </c>
      <c r="C21822" s="1" t="str">
        <f>HYPERLINK("http://www.rosaceae.org/gb/gbrowse/malus_x_domestica/?name=MDP0000181936","MDP0000181936")</f>
        <v>MDP0000181936</v>
      </c>
      <c r="D21822">
        <v>47.58</v>
      </c>
      <c r="E21822">
        <v>269</v>
      </c>
      <c r="F21822">
        <v>141</v>
      </c>
      <c r="G21822">
        <v>23</v>
      </c>
      <c r="H21822">
        <v>26</v>
      </c>
      <c r="I21822">
        <v>275</v>
      </c>
      <c r="J21822">
        <v>1</v>
      </c>
      <c r="K21822">
        <v>24</v>
      </c>
      <c r="L21822">
        <v>288</v>
      </c>
      <c r="M21822">
        <v>1</v>
      </c>
      <c r="N21822">
        <v>1.1990600000000001E-70</v>
      </c>
      <c r="O21822">
        <v>673</v>
      </c>
    </row>
    <row r="21823" spans="1:15" x14ac:dyDescent="0.25">
      <c r="A21823" t="s">
        <v>21836</v>
      </c>
      <c r="B21823">
        <v>500</v>
      </c>
      <c r="C21823" s="1" t="str">
        <f>HYPERLINK("http://www.rosaceae.org/gb/gbrowse/malus_x_domestica/?name=MDP0000319193","MDP0000319193")</f>
        <v>MDP0000319193</v>
      </c>
      <c r="D21823">
        <v>68.400000000000006</v>
      </c>
      <c r="E21823">
        <v>459</v>
      </c>
      <c r="F21823">
        <v>145</v>
      </c>
      <c r="G21823">
        <v>3</v>
      </c>
      <c r="H21823">
        <v>42</v>
      </c>
      <c r="I21823">
        <v>499</v>
      </c>
      <c r="J21823">
        <v>1</v>
      </c>
      <c r="K21823">
        <v>439</v>
      </c>
      <c r="L21823">
        <v>895</v>
      </c>
      <c r="M21823">
        <v>1</v>
      </c>
      <c r="N21823">
        <v>8.1695599999999995E-174</v>
      </c>
      <c r="O21823">
        <v>1565</v>
      </c>
    </row>
    <row r="21824" spans="1:15" x14ac:dyDescent="0.25">
      <c r="A21824" t="s">
        <v>21837</v>
      </c>
      <c r="B21824">
        <v>431</v>
      </c>
      <c r="C21824" s="1" t="str">
        <f>HYPERLINK("http://www.rosaceae.org/gb/gbrowse/malus_x_domestica/?name=MDP0000235973","MDP0000235973")</f>
        <v>MDP0000235973</v>
      </c>
      <c r="D21824">
        <v>73.27</v>
      </c>
      <c r="E21824">
        <v>333</v>
      </c>
      <c r="F21824">
        <v>89</v>
      </c>
      <c r="G21824">
        <v>11</v>
      </c>
      <c r="H21824">
        <v>1</v>
      </c>
      <c r="I21824">
        <v>322</v>
      </c>
      <c r="J21824">
        <v>1</v>
      </c>
      <c r="K21824">
        <v>1</v>
      </c>
      <c r="L21824">
        <v>333</v>
      </c>
      <c r="M21824">
        <v>1</v>
      </c>
      <c r="N21824">
        <v>1.13603E-142</v>
      </c>
      <c r="O21824">
        <v>1296</v>
      </c>
    </row>
    <row r="21825" spans="1:15" x14ac:dyDescent="0.25">
      <c r="A21825" t="s">
        <v>21838</v>
      </c>
      <c r="B21825">
        <v>453</v>
      </c>
      <c r="C21825" s="1" t="str">
        <f>HYPERLINK("http://www.rosaceae.org/gb/gbrowse/malus_x_domestica/?name=MDP0000392495","MDP0000392495")</f>
        <v>MDP0000392495</v>
      </c>
      <c r="D21825">
        <v>53.55</v>
      </c>
      <c r="E21825">
        <v>422</v>
      </c>
      <c r="F21825">
        <v>196</v>
      </c>
      <c r="G21825">
        <v>2</v>
      </c>
      <c r="H21825">
        <v>30</v>
      </c>
      <c r="I21825">
        <v>451</v>
      </c>
      <c r="J21825">
        <v>1</v>
      </c>
      <c r="K21825">
        <v>74</v>
      </c>
      <c r="L21825">
        <v>493</v>
      </c>
      <c r="M21825">
        <v>1</v>
      </c>
      <c r="N21825">
        <v>8.0218100000000001E-136</v>
      </c>
      <c r="O21825">
        <v>1237</v>
      </c>
    </row>
    <row r="21826" spans="1:15" x14ac:dyDescent="0.25">
      <c r="A21826" t="s">
        <v>21839</v>
      </c>
      <c r="B21826">
        <v>792</v>
      </c>
      <c r="C21826" s="1" t="str">
        <f>HYPERLINK("http://www.rosaceae.org/gb/gbrowse/malus_x_domestica/?name=MDP0000241635","MDP0000241635")</f>
        <v>MDP0000241635</v>
      </c>
      <c r="D21826">
        <v>48.78</v>
      </c>
      <c r="E21826">
        <v>410</v>
      </c>
      <c r="F21826">
        <v>210</v>
      </c>
      <c r="G21826">
        <v>17</v>
      </c>
      <c r="H21826">
        <v>1</v>
      </c>
      <c r="I21826">
        <v>397</v>
      </c>
      <c r="J21826">
        <v>1</v>
      </c>
      <c r="K21826">
        <v>58</v>
      </c>
      <c r="L21826">
        <v>463</v>
      </c>
      <c r="M21826">
        <v>1</v>
      </c>
      <c r="N21826">
        <v>3.5678399999999998E-91</v>
      </c>
      <c r="O21826">
        <v>855</v>
      </c>
    </row>
    <row r="21827" spans="1:15" x14ac:dyDescent="0.25">
      <c r="A21827" t="s">
        <v>21840</v>
      </c>
      <c r="B21827">
        <v>1339</v>
      </c>
      <c r="C21827" s="1" t="str">
        <f>HYPERLINK("http://www.rosaceae.org/gb/gbrowse/malus_x_domestica/?name=MDP0000294672","MDP0000294672")</f>
        <v>MDP0000294672</v>
      </c>
      <c r="D21827">
        <v>65.87</v>
      </c>
      <c r="E21827">
        <v>1257</v>
      </c>
      <c r="F21827">
        <v>429</v>
      </c>
      <c r="G21827">
        <v>49</v>
      </c>
      <c r="H21827">
        <v>1</v>
      </c>
      <c r="I21827">
        <v>1249</v>
      </c>
      <c r="J21827">
        <v>1</v>
      </c>
      <c r="K21827">
        <v>1</v>
      </c>
      <c r="L21827">
        <v>1216</v>
      </c>
      <c r="M21827">
        <v>1</v>
      </c>
      <c r="N21827">
        <v>0</v>
      </c>
      <c r="O21827">
        <v>3964</v>
      </c>
    </row>
    <row r="21828" spans="1:15" x14ac:dyDescent="0.25">
      <c r="A21828" t="s">
        <v>21841</v>
      </c>
      <c r="B21828">
        <v>861</v>
      </c>
      <c r="C21828" s="1" t="str">
        <f>HYPERLINK("http://www.rosaceae.org/gb/gbrowse/malus_x_domestica/?name=MDP0000641885","MDP0000641885")</f>
        <v>MDP0000641885</v>
      </c>
      <c r="D21828">
        <v>72.650000000000006</v>
      </c>
      <c r="E21828">
        <v>501</v>
      </c>
      <c r="F21828">
        <v>137</v>
      </c>
      <c r="G21828">
        <v>3</v>
      </c>
      <c r="H21828">
        <v>38</v>
      </c>
      <c r="I21828">
        <v>535</v>
      </c>
      <c r="J21828">
        <v>1</v>
      </c>
      <c r="K21828">
        <v>15</v>
      </c>
      <c r="L21828">
        <v>515</v>
      </c>
      <c r="M21828">
        <v>1</v>
      </c>
      <c r="N21828">
        <v>0</v>
      </c>
      <c r="O21828">
        <v>1940</v>
      </c>
    </row>
    <row r="21829" spans="1:15" x14ac:dyDescent="0.25">
      <c r="A21829" t="s">
        <v>21842</v>
      </c>
      <c r="B21829">
        <v>273</v>
      </c>
      <c r="C21829" s="1" t="str">
        <f>HYPERLINK("http://www.rosaceae.org/gb/gbrowse/malus_x_domestica/?name=MDP0000385436","MDP0000385436")</f>
        <v>MDP0000385436</v>
      </c>
      <c r="D21829">
        <v>67.75</v>
      </c>
      <c r="E21829">
        <v>183</v>
      </c>
      <c r="F21829">
        <v>59</v>
      </c>
      <c r="G21829">
        <v>13</v>
      </c>
      <c r="H21829">
        <v>81</v>
      </c>
      <c r="I21829">
        <v>259</v>
      </c>
      <c r="J21829">
        <v>1</v>
      </c>
      <c r="K21829">
        <v>291</v>
      </c>
      <c r="L21829">
        <v>464</v>
      </c>
      <c r="M21829">
        <v>1</v>
      </c>
      <c r="N21829">
        <v>3.5513100000000002E-62</v>
      </c>
      <c r="O21829">
        <v>600</v>
      </c>
    </row>
    <row r="21830" spans="1:15" x14ac:dyDescent="0.25">
      <c r="A21830" t="s">
        <v>21843</v>
      </c>
      <c r="B21830">
        <v>1342</v>
      </c>
      <c r="C21830" s="1" t="str">
        <f>HYPERLINK("http://www.rosaceae.org/gb/gbrowse/malus_x_domestica/?name=MDP0000186903","MDP0000186903")</f>
        <v>MDP0000186903</v>
      </c>
      <c r="D21830">
        <v>67.52</v>
      </c>
      <c r="E21830">
        <v>1358</v>
      </c>
      <c r="F21830">
        <v>441</v>
      </c>
      <c r="G21830">
        <v>73</v>
      </c>
      <c r="H21830">
        <v>1</v>
      </c>
      <c r="I21830">
        <v>1323</v>
      </c>
      <c r="J21830">
        <v>1</v>
      </c>
      <c r="K21830">
        <v>1</v>
      </c>
      <c r="L21830">
        <v>1320</v>
      </c>
      <c r="M21830">
        <v>1</v>
      </c>
      <c r="N21830">
        <v>0</v>
      </c>
      <c r="O21830">
        <v>4436</v>
      </c>
    </row>
    <row r="21831" spans="1:15" x14ac:dyDescent="0.25">
      <c r="A21831" t="s">
        <v>21844</v>
      </c>
      <c r="B21831">
        <v>297</v>
      </c>
      <c r="C21831" s="1" t="str">
        <f>HYPERLINK("http://www.rosaceae.org/gb/gbrowse/malus_x_domestica/?name=MDP0000169686","MDP0000169686")</f>
        <v>MDP0000169686</v>
      </c>
      <c r="D21831">
        <v>74.06</v>
      </c>
      <c r="E21831">
        <v>293</v>
      </c>
      <c r="F21831">
        <v>76</v>
      </c>
      <c r="G21831">
        <v>2</v>
      </c>
      <c r="H21831">
        <v>2</v>
      </c>
      <c r="I21831">
        <v>292</v>
      </c>
      <c r="J21831">
        <v>1</v>
      </c>
      <c r="K21831">
        <v>10</v>
      </c>
      <c r="L21831">
        <v>302</v>
      </c>
      <c r="M21831">
        <v>1</v>
      </c>
      <c r="N21831">
        <v>1.6545099999999999E-126</v>
      </c>
      <c r="O21831">
        <v>1155</v>
      </c>
    </row>
    <row r="21832" spans="1:15" x14ac:dyDescent="0.25">
      <c r="A21832" t="s">
        <v>21845</v>
      </c>
      <c r="B21832">
        <v>566</v>
      </c>
      <c r="C21832" s="1" t="str">
        <f>HYPERLINK("http://www.rosaceae.org/gb/gbrowse/malus_x_domestica/?name=MDP0000295452","MDP0000295452")</f>
        <v>MDP0000295452</v>
      </c>
      <c r="D21832">
        <v>61.38</v>
      </c>
      <c r="E21832">
        <v>518</v>
      </c>
      <c r="F21832">
        <v>200</v>
      </c>
      <c r="G21832">
        <v>13</v>
      </c>
      <c r="H21832">
        <v>58</v>
      </c>
      <c r="I21832">
        <v>564</v>
      </c>
      <c r="J21832">
        <v>1</v>
      </c>
      <c r="K21832">
        <v>73</v>
      </c>
      <c r="L21832">
        <v>588</v>
      </c>
      <c r="M21832">
        <v>1</v>
      </c>
      <c r="N21832">
        <v>0</v>
      </c>
      <c r="O21832">
        <v>1666</v>
      </c>
    </row>
    <row r="21833" spans="1:15" x14ac:dyDescent="0.25">
      <c r="A21833" t="s">
        <v>21846</v>
      </c>
      <c r="B21833">
        <v>396</v>
      </c>
      <c r="C21833" s="1" t="str">
        <f>HYPERLINK("http://www.rosaceae.org/gb/gbrowse/malus_x_domestica/?name=MDP0000290618","MDP0000290618")</f>
        <v>MDP0000290618</v>
      </c>
      <c r="D21833">
        <v>62.4</v>
      </c>
      <c r="E21833">
        <v>391</v>
      </c>
      <c r="F21833">
        <v>147</v>
      </c>
      <c r="G21833">
        <v>22</v>
      </c>
      <c r="H21833">
        <v>7</v>
      </c>
      <c r="I21833">
        <v>389</v>
      </c>
      <c r="J21833">
        <v>1</v>
      </c>
      <c r="K21833">
        <v>973</v>
      </c>
      <c r="L21833">
        <v>1349</v>
      </c>
      <c r="M21833">
        <v>1</v>
      </c>
      <c r="N21833">
        <v>1.1439299999999999E-128</v>
      </c>
      <c r="O21833">
        <v>1175</v>
      </c>
    </row>
    <row r="21834" spans="1:15" x14ac:dyDescent="0.25">
      <c r="A21834" t="s">
        <v>21847</v>
      </c>
      <c r="B21834">
        <v>118</v>
      </c>
      <c r="C21834" s="1" t="str">
        <f>HYPERLINK("http://www.rosaceae.org/gb/gbrowse/malus_x_domestica/?name=MDP0000779067","MDP0000779067")</f>
        <v>MDP0000779067</v>
      </c>
      <c r="D21834">
        <v>50</v>
      </c>
      <c r="E21834">
        <v>134</v>
      </c>
      <c r="F21834">
        <v>67</v>
      </c>
      <c r="G21834">
        <v>20</v>
      </c>
      <c r="H21834">
        <v>1</v>
      </c>
      <c r="I21834">
        <v>118</v>
      </c>
      <c r="J21834">
        <v>1</v>
      </c>
      <c r="K21834">
        <v>1</v>
      </c>
      <c r="L21834">
        <v>130</v>
      </c>
      <c r="M21834">
        <v>1</v>
      </c>
      <c r="N21834">
        <v>5.1816299999999995E-26</v>
      </c>
      <c r="O21834">
        <v>282</v>
      </c>
    </row>
    <row r="21835" spans="1:15" x14ac:dyDescent="0.25">
      <c r="A21835" t="s">
        <v>21848</v>
      </c>
      <c r="B21835">
        <v>335</v>
      </c>
      <c r="C21835" s="1" t="str">
        <f>HYPERLINK("http://www.rosaceae.org/gb/gbrowse/malus_x_domestica/?name=MDP0000251957","MDP0000251957")</f>
        <v>MDP0000251957</v>
      </c>
      <c r="D21835">
        <v>75.22</v>
      </c>
      <c r="E21835">
        <v>226</v>
      </c>
      <c r="F21835">
        <v>56</v>
      </c>
      <c r="G21835">
        <v>17</v>
      </c>
      <c r="H21835">
        <v>92</v>
      </c>
      <c r="I21835">
        <v>300</v>
      </c>
      <c r="J21835">
        <v>1</v>
      </c>
      <c r="K21835">
        <v>181</v>
      </c>
      <c r="L21835">
        <v>406</v>
      </c>
      <c r="M21835">
        <v>1</v>
      </c>
      <c r="N21835">
        <v>1.8198100000000001E-99</v>
      </c>
      <c r="O21835">
        <v>922</v>
      </c>
    </row>
    <row r="21836" spans="1:15" x14ac:dyDescent="0.25">
      <c r="A21836" t="s">
        <v>21849</v>
      </c>
      <c r="B21836">
        <v>214</v>
      </c>
      <c r="C21836" s="1" t="str">
        <f>HYPERLINK("http://www.rosaceae.org/gb/gbrowse/malus_x_domestica/?name=MDP0000637264","MDP0000637264")</f>
        <v>MDP0000637264</v>
      </c>
      <c r="D21836">
        <v>61.46</v>
      </c>
      <c r="E21836">
        <v>205</v>
      </c>
      <c r="F21836">
        <v>79</v>
      </c>
      <c r="G21836">
        <v>6</v>
      </c>
      <c r="H21836">
        <v>13</v>
      </c>
      <c r="I21836">
        <v>214</v>
      </c>
      <c r="J21836">
        <v>1</v>
      </c>
      <c r="K21836">
        <v>13</v>
      </c>
      <c r="L21836">
        <v>214</v>
      </c>
      <c r="M21836">
        <v>1</v>
      </c>
      <c r="N21836">
        <v>2.7148100000000002E-61</v>
      </c>
      <c r="O21836">
        <v>591</v>
      </c>
    </row>
    <row r="21837" spans="1:15" x14ac:dyDescent="0.25">
      <c r="A21837" t="s">
        <v>21850</v>
      </c>
      <c r="B21837">
        <v>252</v>
      </c>
      <c r="C21837" s="1" t="str">
        <f>HYPERLINK("http://www.rosaceae.org/gb/gbrowse/malus_x_domestica/?name=MDP0000265024","MDP0000265024")</f>
        <v>MDP0000265024</v>
      </c>
      <c r="D21837">
        <v>57.37</v>
      </c>
      <c r="E21837">
        <v>251</v>
      </c>
      <c r="F21837">
        <v>107</v>
      </c>
      <c r="G21837">
        <v>5</v>
      </c>
      <c r="H21837">
        <v>1</v>
      </c>
      <c r="I21837">
        <v>248</v>
      </c>
      <c r="J21837">
        <v>1</v>
      </c>
      <c r="K21837">
        <v>1</v>
      </c>
      <c r="L21837">
        <v>249</v>
      </c>
      <c r="M21837">
        <v>1</v>
      </c>
      <c r="N21837">
        <v>3.6198700000000001E-69</v>
      </c>
      <c r="O21837">
        <v>659</v>
      </c>
    </row>
    <row r="21838" spans="1:15" x14ac:dyDescent="0.25">
      <c r="A21838" t="s">
        <v>21851</v>
      </c>
      <c r="B21838">
        <v>410</v>
      </c>
      <c r="C21838" s="1" t="str">
        <f>HYPERLINK("http://www.rosaceae.org/gb/gbrowse/malus_x_domestica/?name=MDP0000263830","MDP0000263830")</f>
        <v>MDP0000263830</v>
      </c>
      <c r="D21838">
        <v>70.45</v>
      </c>
      <c r="E21838">
        <v>396</v>
      </c>
      <c r="F21838">
        <v>117</v>
      </c>
      <c r="G21838">
        <v>43</v>
      </c>
      <c r="H21838">
        <v>6</v>
      </c>
      <c r="I21838">
        <v>397</v>
      </c>
      <c r="J21838">
        <v>1</v>
      </c>
      <c r="K21838">
        <v>119</v>
      </c>
      <c r="L21838">
        <v>475</v>
      </c>
      <c r="M21838">
        <v>1</v>
      </c>
      <c r="N21838">
        <v>1.72056E-149</v>
      </c>
      <c r="O21838">
        <v>1355</v>
      </c>
    </row>
    <row r="21839" spans="1:15" x14ac:dyDescent="0.25">
      <c r="A21839" t="s">
        <v>21852</v>
      </c>
      <c r="B21839">
        <v>174</v>
      </c>
      <c r="C21839" s="1" t="str">
        <f>HYPERLINK("http://www.rosaceae.org/gb/gbrowse/malus_x_domestica/?name=MDP0000134087","MDP0000134087")</f>
        <v>MDP0000134087</v>
      </c>
      <c r="D21839">
        <v>54.9</v>
      </c>
      <c r="E21839">
        <v>153</v>
      </c>
      <c r="F21839">
        <v>69</v>
      </c>
      <c r="G21839">
        <v>4</v>
      </c>
      <c r="H21839">
        <v>21</v>
      </c>
      <c r="I21839">
        <v>171</v>
      </c>
      <c r="J21839">
        <v>1</v>
      </c>
      <c r="K21839">
        <v>25</v>
      </c>
      <c r="L21839">
        <v>175</v>
      </c>
      <c r="M21839">
        <v>1</v>
      </c>
      <c r="N21839">
        <v>2.6149600000000002E-40</v>
      </c>
      <c r="O21839">
        <v>408</v>
      </c>
    </row>
    <row r="21840" spans="1:15" x14ac:dyDescent="0.25">
      <c r="A21840" t="s">
        <v>21853</v>
      </c>
      <c r="B21840">
        <v>442</v>
      </c>
      <c r="C21840" s="1" t="str">
        <f>HYPERLINK("http://www.rosaceae.org/gb/gbrowse/malus_x_domestica/?name=MDP0000200319","MDP0000200319")</f>
        <v>MDP0000200319</v>
      </c>
      <c r="D21840">
        <v>62.37</v>
      </c>
      <c r="E21840">
        <v>412</v>
      </c>
      <c r="F21840">
        <v>155</v>
      </c>
      <c r="G21840">
        <v>30</v>
      </c>
      <c r="H21840">
        <v>49</v>
      </c>
      <c r="I21840">
        <v>442</v>
      </c>
      <c r="J21840">
        <v>1</v>
      </c>
      <c r="K21840">
        <v>70</v>
      </c>
      <c r="L21840">
        <v>469</v>
      </c>
      <c r="M21840">
        <v>1</v>
      </c>
      <c r="N21840">
        <v>1.7138900000000002E-139</v>
      </c>
      <c r="O21840">
        <v>1269</v>
      </c>
    </row>
    <row r="21841" spans="1:15" x14ac:dyDescent="0.25">
      <c r="A21841" t="s">
        <v>21854</v>
      </c>
      <c r="B21841">
        <v>241</v>
      </c>
      <c r="C21841" s="1" t="str">
        <f>HYPERLINK("http://www.rosaceae.org/gb/gbrowse/malus_x_domestica/?name=MDP0000247921","MDP0000247921")</f>
        <v>MDP0000247921</v>
      </c>
      <c r="D21841">
        <v>39.64</v>
      </c>
      <c r="E21841">
        <v>227</v>
      </c>
      <c r="F21841">
        <v>137</v>
      </c>
      <c r="G21841">
        <v>13</v>
      </c>
      <c r="H21841">
        <v>6</v>
      </c>
      <c r="I21841">
        <v>227</v>
      </c>
      <c r="J21841">
        <v>1</v>
      </c>
      <c r="K21841">
        <v>600</v>
      </c>
      <c r="L21841">
        <v>818</v>
      </c>
      <c r="M21841">
        <v>1</v>
      </c>
      <c r="N21841">
        <v>4.6391500000000002E-46</v>
      </c>
      <c r="O21841">
        <v>460</v>
      </c>
    </row>
    <row r="21842" spans="1:15" x14ac:dyDescent="0.25">
      <c r="A21842" t="s">
        <v>21855</v>
      </c>
      <c r="B21842">
        <v>522</v>
      </c>
      <c r="C21842" s="1" t="str">
        <f>HYPERLINK("http://www.rosaceae.org/gb/gbrowse/malus_x_domestica/?name=MDP0000191119","MDP0000191119")</f>
        <v>MDP0000191119</v>
      </c>
      <c r="D21842">
        <v>64.28</v>
      </c>
      <c r="E21842">
        <v>378</v>
      </c>
      <c r="F21842">
        <v>135</v>
      </c>
      <c r="G21842">
        <v>3</v>
      </c>
      <c r="H21842">
        <v>148</v>
      </c>
      <c r="I21842">
        <v>522</v>
      </c>
      <c r="J21842">
        <v>1</v>
      </c>
      <c r="K21842">
        <v>26</v>
      </c>
      <c r="L21842">
        <v>403</v>
      </c>
      <c r="M21842">
        <v>1</v>
      </c>
      <c r="N21842">
        <v>1.16992E-130</v>
      </c>
      <c r="O21842">
        <v>1193</v>
      </c>
    </row>
    <row r="21843" spans="1:15" x14ac:dyDescent="0.25">
      <c r="A21843" t="s">
        <v>21856</v>
      </c>
      <c r="B21843">
        <v>399</v>
      </c>
      <c r="C21843" s="1" t="str">
        <f>HYPERLINK("http://www.rosaceae.org/gb/gbrowse/malus_x_domestica/?name=MDP0000282839","MDP0000282839")</f>
        <v>MDP0000282839</v>
      </c>
      <c r="D21843">
        <v>51.48</v>
      </c>
      <c r="E21843">
        <v>336</v>
      </c>
      <c r="F21843">
        <v>163</v>
      </c>
      <c r="G21843">
        <v>53</v>
      </c>
      <c r="H21843">
        <v>78</v>
      </c>
      <c r="I21843">
        <v>365</v>
      </c>
      <c r="J21843">
        <v>1</v>
      </c>
      <c r="K21843">
        <v>1</v>
      </c>
      <c r="L21843">
        <v>331</v>
      </c>
      <c r="M21843">
        <v>1</v>
      </c>
      <c r="N21843">
        <v>1.67921E-77</v>
      </c>
      <c r="O21843">
        <v>734</v>
      </c>
    </row>
    <row r="21844" spans="1:15" x14ac:dyDescent="0.25">
      <c r="A21844" t="s">
        <v>21857</v>
      </c>
      <c r="B21844">
        <v>600</v>
      </c>
      <c r="C21844" s="1" t="str">
        <f>HYPERLINK("http://www.rosaceae.org/gb/gbrowse/malus_x_domestica/?name=MDP0000278055","MDP0000278055")</f>
        <v>MDP0000278055</v>
      </c>
      <c r="D21844">
        <v>52.3</v>
      </c>
      <c r="E21844">
        <v>608</v>
      </c>
      <c r="F21844">
        <v>290</v>
      </c>
      <c r="G21844">
        <v>21</v>
      </c>
      <c r="H21844">
        <v>1</v>
      </c>
      <c r="I21844">
        <v>599</v>
      </c>
      <c r="J21844">
        <v>1</v>
      </c>
      <c r="K21844">
        <v>1</v>
      </c>
      <c r="L21844">
        <v>596</v>
      </c>
      <c r="M21844">
        <v>1</v>
      </c>
      <c r="N21844">
        <v>1.76055E-159</v>
      </c>
      <c r="O21844">
        <v>1443</v>
      </c>
    </row>
    <row r="21845" spans="1:15" x14ac:dyDescent="0.25">
      <c r="A21845" t="s">
        <v>21858</v>
      </c>
      <c r="B21845">
        <v>496</v>
      </c>
      <c r="C21845" s="1" t="str">
        <f>HYPERLINK("http://www.rosaceae.org/gb/gbrowse/malus_x_domestica/?name=MDP0000133743","MDP0000133743")</f>
        <v>MDP0000133743</v>
      </c>
      <c r="D21845">
        <v>56.61</v>
      </c>
      <c r="E21845">
        <v>431</v>
      </c>
      <c r="F21845">
        <v>187</v>
      </c>
      <c r="G21845">
        <v>13</v>
      </c>
      <c r="H21845">
        <v>37</v>
      </c>
      <c r="I21845">
        <v>454</v>
      </c>
      <c r="J21845">
        <v>1</v>
      </c>
      <c r="K21845">
        <v>41</v>
      </c>
      <c r="L21845">
        <v>471</v>
      </c>
      <c r="M21845">
        <v>1</v>
      </c>
      <c r="N21845">
        <v>1.42702E-142</v>
      </c>
      <c r="O21845">
        <v>1296</v>
      </c>
    </row>
    <row r="21846" spans="1:15" x14ac:dyDescent="0.25">
      <c r="A21846" t="s">
        <v>21859</v>
      </c>
      <c r="B21846">
        <v>338</v>
      </c>
      <c r="C21846" s="1" t="str">
        <f>HYPERLINK("http://www.rosaceae.org/gb/gbrowse/malus_x_domestica/?name=MDP0000265817","MDP0000265817")</f>
        <v>MDP0000265817</v>
      </c>
      <c r="D21846">
        <v>42.25</v>
      </c>
      <c r="E21846">
        <v>310</v>
      </c>
      <c r="F21846">
        <v>179</v>
      </c>
      <c r="G21846">
        <v>40</v>
      </c>
      <c r="H21846">
        <v>34</v>
      </c>
      <c r="I21846">
        <v>327</v>
      </c>
      <c r="J21846">
        <v>1</v>
      </c>
      <c r="K21846">
        <v>38</v>
      </c>
      <c r="L21846">
        <v>323</v>
      </c>
      <c r="M21846">
        <v>1</v>
      </c>
      <c r="N21846">
        <v>3.4026800000000001E-57</v>
      </c>
      <c r="O21846">
        <v>558</v>
      </c>
    </row>
    <row r="21847" spans="1:15" x14ac:dyDescent="0.25">
      <c r="A21847" t="s">
        <v>21860</v>
      </c>
      <c r="B21847">
        <v>865</v>
      </c>
      <c r="C21847" s="1" t="str">
        <f>HYPERLINK("http://www.rosaceae.org/gb/gbrowse/malus_x_domestica/?name=MDP0000193684","MDP0000193684")</f>
        <v>MDP0000193684</v>
      </c>
      <c r="D21847">
        <v>36.49</v>
      </c>
      <c r="E21847">
        <v>137</v>
      </c>
      <c r="F21847">
        <v>87</v>
      </c>
      <c r="G21847">
        <v>11</v>
      </c>
      <c r="H21847">
        <v>614</v>
      </c>
      <c r="I21847">
        <v>742</v>
      </c>
      <c r="J21847">
        <v>1</v>
      </c>
      <c r="K21847">
        <v>971</v>
      </c>
      <c r="L21847">
        <v>1104</v>
      </c>
      <c r="M21847">
        <v>1</v>
      </c>
      <c r="N21847">
        <v>5.2348900000000001E-23</v>
      </c>
      <c r="O21847">
        <v>267</v>
      </c>
    </row>
    <row r="21848" spans="1:15" x14ac:dyDescent="0.25">
      <c r="A21848" t="s">
        <v>21861</v>
      </c>
      <c r="B21848">
        <v>144</v>
      </c>
      <c r="C21848" s="1" t="str">
        <f>HYPERLINK("http://www.rosaceae.org/gb/gbrowse/malus_x_domestica/?name=MDP0000267951","MDP0000267951")</f>
        <v>MDP0000267951</v>
      </c>
      <c r="D21848">
        <v>83.7</v>
      </c>
      <c r="E21848">
        <v>135</v>
      </c>
      <c r="F21848">
        <v>22</v>
      </c>
      <c r="G21848">
        <v>0</v>
      </c>
      <c r="H21848">
        <v>4</v>
      </c>
      <c r="I21848">
        <v>138</v>
      </c>
      <c r="J21848">
        <v>1</v>
      </c>
      <c r="K21848">
        <v>278</v>
      </c>
      <c r="L21848">
        <v>412</v>
      </c>
      <c r="M21848">
        <v>1</v>
      </c>
      <c r="N21848">
        <v>4.01876E-65</v>
      </c>
      <c r="O21848">
        <v>621</v>
      </c>
    </row>
    <row r="21849" spans="1:15" x14ac:dyDescent="0.25">
      <c r="A21849" t="s">
        <v>21862</v>
      </c>
      <c r="B21849">
        <v>169</v>
      </c>
      <c r="C21849" s="1" t="str">
        <f>HYPERLINK("http://www.rosaceae.org/gb/gbrowse/malus_x_domestica/?name=MDP0000457509","MDP0000457509")</f>
        <v>MDP0000457509</v>
      </c>
      <c r="D21849">
        <v>55.12</v>
      </c>
      <c r="E21849">
        <v>78</v>
      </c>
      <c r="F21849">
        <v>35</v>
      </c>
      <c r="G21849">
        <v>4</v>
      </c>
      <c r="H21849">
        <v>7</v>
      </c>
      <c r="I21849">
        <v>80</v>
      </c>
      <c r="J21849">
        <v>1</v>
      </c>
      <c r="K21849">
        <v>42</v>
      </c>
      <c r="L21849">
        <v>119</v>
      </c>
      <c r="M21849">
        <v>1</v>
      </c>
      <c r="N21849">
        <v>5.2642999999999999E-17</v>
      </c>
      <c r="O21849">
        <v>207</v>
      </c>
    </row>
    <row r="21850" spans="1:15" x14ac:dyDescent="0.25">
      <c r="A21850" t="s">
        <v>21863</v>
      </c>
      <c r="B21850">
        <v>259</v>
      </c>
      <c r="C21850" s="1" t="str">
        <f>HYPERLINK("http://www.rosaceae.org/gb/gbrowse/malus_x_domestica/?name=MDP0000702868","MDP0000702868")</f>
        <v>MDP0000702868</v>
      </c>
      <c r="D21850">
        <v>57.62</v>
      </c>
      <c r="E21850">
        <v>269</v>
      </c>
      <c r="F21850">
        <v>114</v>
      </c>
      <c r="G21850">
        <v>17</v>
      </c>
      <c r="H21850">
        <v>8</v>
      </c>
      <c r="I21850">
        <v>259</v>
      </c>
      <c r="J21850">
        <v>1</v>
      </c>
      <c r="K21850">
        <v>4</v>
      </c>
      <c r="L21850">
        <v>272</v>
      </c>
      <c r="M21850">
        <v>1</v>
      </c>
      <c r="N21850">
        <v>1.67682E-88</v>
      </c>
      <c r="O21850">
        <v>826</v>
      </c>
    </row>
    <row r="21851" spans="1:15" x14ac:dyDescent="0.25">
      <c r="A21851" t="s">
        <v>21864</v>
      </c>
      <c r="B21851">
        <v>201</v>
      </c>
      <c r="C21851" s="1" t="str">
        <f>HYPERLINK("http://www.rosaceae.org/gb/gbrowse/malus_x_domestica/?name=MDP0000295053","MDP0000295053")</f>
        <v>MDP0000295053</v>
      </c>
      <c r="D21851">
        <v>39.74</v>
      </c>
      <c r="E21851">
        <v>78</v>
      </c>
      <c r="F21851">
        <v>47</v>
      </c>
      <c r="G21851">
        <v>0</v>
      </c>
      <c r="H21851">
        <v>116</v>
      </c>
      <c r="I21851">
        <v>193</v>
      </c>
      <c r="J21851">
        <v>1</v>
      </c>
      <c r="K21851">
        <v>15</v>
      </c>
      <c r="L21851">
        <v>92</v>
      </c>
      <c r="M21851">
        <v>1</v>
      </c>
      <c r="N21851">
        <v>6.4136600000000004E-9</v>
      </c>
      <c r="O21851">
        <v>139</v>
      </c>
    </row>
    <row r="21852" spans="1:15" x14ac:dyDescent="0.25">
      <c r="A21852" t="s">
        <v>21865</v>
      </c>
      <c r="B21852">
        <v>557</v>
      </c>
      <c r="C21852" s="1" t="str">
        <f>HYPERLINK("http://www.rosaceae.org/gb/gbrowse/malus_x_domestica/?name=MDP0000294224","MDP0000294224")</f>
        <v>MDP0000294224</v>
      </c>
      <c r="D21852">
        <v>64.069999999999993</v>
      </c>
      <c r="E21852">
        <v>540</v>
      </c>
      <c r="F21852">
        <v>194</v>
      </c>
      <c r="G21852">
        <v>10</v>
      </c>
      <c r="H21852">
        <v>1</v>
      </c>
      <c r="I21852">
        <v>532</v>
      </c>
      <c r="J21852">
        <v>1</v>
      </c>
      <c r="K21852">
        <v>1</v>
      </c>
      <c r="L21852">
        <v>538</v>
      </c>
      <c r="M21852">
        <v>1</v>
      </c>
      <c r="N21852">
        <v>0</v>
      </c>
      <c r="O21852">
        <v>1658</v>
      </c>
    </row>
    <row r="21853" spans="1:15" x14ac:dyDescent="0.25">
      <c r="A21853" t="s">
        <v>21866</v>
      </c>
      <c r="B21853">
        <v>128</v>
      </c>
      <c r="C21853" s="1" t="str">
        <f>HYPERLINK("http://www.rosaceae.org/gb/gbrowse/malus_x_domestica/?name=MDP0000206473","MDP0000206473")</f>
        <v>MDP0000206473</v>
      </c>
      <c r="D21853">
        <v>82.35</v>
      </c>
      <c r="E21853">
        <v>34</v>
      </c>
      <c r="F21853">
        <v>6</v>
      </c>
      <c r="G21853">
        <v>0</v>
      </c>
      <c r="H21853">
        <v>1</v>
      </c>
      <c r="I21853">
        <v>34</v>
      </c>
      <c r="J21853">
        <v>1</v>
      </c>
      <c r="K21853">
        <v>1</v>
      </c>
      <c r="L21853">
        <v>34</v>
      </c>
      <c r="M21853">
        <v>1</v>
      </c>
      <c r="N21853">
        <v>1.72072E-9</v>
      </c>
      <c r="O21853">
        <v>140</v>
      </c>
    </row>
    <row r="21854" spans="1:15" x14ac:dyDescent="0.25">
      <c r="A21854" t="s">
        <v>21867</v>
      </c>
      <c r="B21854">
        <v>213</v>
      </c>
      <c r="C21854" s="1" t="str">
        <f>HYPERLINK("http://www.rosaceae.org/gb/gbrowse/malus_x_domestica/?name=MDP0000311865","MDP0000311865")</f>
        <v>MDP0000311865</v>
      </c>
      <c r="D21854">
        <v>81.209999999999994</v>
      </c>
      <c r="E21854">
        <v>197</v>
      </c>
      <c r="F21854">
        <v>37</v>
      </c>
      <c r="G21854">
        <v>14</v>
      </c>
      <c r="H21854">
        <v>14</v>
      </c>
      <c r="I21854">
        <v>209</v>
      </c>
      <c r="J21854">
        <v>1</v>
      </c>
      <c r="K21854">
        <v>14</v>
      </c>
      <c r="L21854">
        <v>197</v>
      </c>
      <c r="M21854">
        <v>1</v>
      </c>
      <c r="N21854">
        <v>2.0275200000000001E-88</v>
      </c>
      <c r="O21854">
        <v>824</v>
      </c>
    </row>
    <row r="21855" spans="1:15" x14ac:dyDescent="0.25">
      <c r="A21855" t="s">
        <v>21868</v>
      </c>
      <c r="B21855">
        <v>449</v>
      </c>
      <c r="C21855" s="1" t="str">
        <f>HYPERLINK("http://www.rosaceae.org/gb/gbrowse/malus_x_domestica/?name=MDP0000511674","MDP0000511674")</f>
        <v>MDP0000511674</v>
      </c>
      <c r="D21855">
        <v>59.17</v>
      </c>
      <c r="E21855">
        <v>458</v>
      </c>
      <c r="F21855">
        <v>187</v>
      </c>
      <c r="G21855">
        <v>11</v>
      </c>
      <c r="H21855">
        <v>1</v>
      </c>
      <c r="I21855">
        <v>448</v>
      </c>
      <c r="J21855">
        <v>1</v>
      </c>
      <c r="K21855">
        <v>1</v>
      </c>
      <c r="L21855">
        <v>457</v>
      </c>
      <c r="M21855">
        <v>1</v>
      </c>
      <c r="N21855">
        <v>3.8821499999999998E-153</v>
      </c>
      <c r="O21855">
        <v>1387</v>
      </c>
    </row>
    <row r="21856" spans="1:15" x14ac:dyDescent="0.25">
      <c r="A21856" t="s">
        <v>21869</v>
      </c>
      <c r="B21856">
        <v>1496</v>
      </c>
      <c r="C21856" s="1" t="str">
        <f>HYPERLINK("http://www.rosaceae.org/gb/gbrowse/malus_x_domestica/?name=MDP0000196734","MDP0000196734")</f>
        <v>MDP0000196734</v>
      </c>
      <c r="D21856">
        <v>49.59</v>
      </c>
      <c r="E21856">
        <v>857</v>
      </c>
      <c r="F21856">
        <v>432</v>
      </c>
      <c r="G21856">
        <v>97</v>
      </c>
      <c r="H21856">
        <v>58</v>
      </c>
      <c r="I21856">
        <v>884</v>
      </c>
      <c r="J21856">
        <v>1</v>
      </c>
      <c r="K21856">
        <v>9</v>
      </c>
      <c r="L21856">
        <v>798</v>
      </c>
      <c r="M21856">
        <v>1</v>
      </c>
      <c r="N21856">
        <v>0</v>
      </c>
      <c r="O21856">
        <v>1923</v>
      </c>
    </row>
    <row r="21857" spans="1:15" x14ac:dyDescent="0.25">
      <c r="A21857" t="s">
        <v>21870</v>
      </c>
      <c r="B21857">
        <v>324</v>
      </c>
      <c r="C21857" s="1" t="str">
        <f>HYPERLINK("http://www.rosaceae.org/gb/gbrowse/malus_x_domestica/?name=MDP0000288370","MDP0000288370")</f>
        <v>MDP0000288370</v>
      </c>
      <c r="D21857">
        <v>51.42</v>
      </c>
      <c r="E21857">
        <v>210</v>
      </c>
      <c r="F21857">
        <v>102</v>
      </c>
      <c r="G21857">
        <v>21</v>
      </c>
      <c r="H21857">
        <v>14</v>
      </c>
      <c r="I21857">
        <v>205</v>
      </c>
      <c r="J21857">
        <v>1</v>
      </c>
      <c r="K21857">
        <v>852</v>
      </c>
      <c r="L21857">
        <v>1058</v>
      </c>
      <c r="M21857">
        <v>1</v>
      </c>
      <c r="N21857">
        <v>3.6591800000000001E-54</v>
      </c>
      <c r="O21857">
        <v>531</v>
      </c>
    </row>
    <row r="21858" spans="1:15" x14ac:dyDescent="0.25">
      <c r="A21858" t="s">
        <v>21871</v>
      </c>
      <c r="B21858">
        <v>226</v>
      </c>
      <c r="C21858" s="1" t="str">
        <f>HYPERLINK("http://www.rosaceae.org/gb/gbrowse/malus_x_domestica/?name=MDP0000279178","MDP0000279178")</f>
        <v>MDP0000279178</v>
      </c>
      <c r="D21858">
        <v>61.29</v>
      </c>
      <c r="E21858">
        <v>248</v>
      </c>
      <c r="F21858">
        <v>96</v>
      </c>
      <c r="G21858">
        <v>25</v>
      </c>
      <c r="H21858">
        <v>1</v>
      </c>
      <c r="I21858">
        <v>225</v>
      </c>
      <c r="J21858">
        <v>1</v>
      </c>
      <c r="K21858">
        <v>1</v>
      </c>
      <c r="L21858">
        <v>246</v>
      </c>
      <c r="M21858">
        <v>1</v>
      </c>
      <c r="N21858">
        <v>7.9596400000000002E-78</v>
      </c>
      <c r="O21858">
        <v>733</v>
      </c>
    </row>
    <row r="21859" spans="1:15" x14ac:dyDescent="0.25">
      <c r="A21859" t="s">
        <v>21872</v>
      </c>
      <c r="B21859">
        <v>459</v>
      </c>
      <c r="C21859" s="1" t="str">
        <f>HYPERLINK("http://www.rosaceae.org/gb/gbrowse/malus_x_domestica/?name=MDP0000312471","MDP0000312471")</f>
        <v>MDP0000312471</v>
      </c>
      <c r="D21859">
        <v>39.76</v>
      </c>
      <c r="E21859">
        <v>337</v>
      </c>
      <c r="F21859">
        <v>203</v>
      </c>
      <c r="G21859">
        <v>49</v>
      </c>
      <c r="H21859">
        <v>132</v>
      </c>
      <c r="I21859">
        <v>422</v>
      </c>
      <c r="J21859">
        <v>1</v>
      </c>
      <c r="K21859">
        <v>60</v>
      </c>
      <c r="L21859">
        <v>393</v>
      </c>
      <c r="M21859">
        <v>1</v>
      </c>
      <c r="N21859">
        <v>1.4112299999999999E-59</v>
      </c>
      <c r="O21859">
        <v>580</v>
      </c>
    </row>
    <row r="21860" spans="1:15" x14ac:dyDescent="0.25">
      <c r="A21860" t="s">
        <v>21873</v>
      </c>
      <c r="B21860">
        <v>670</v>
      </c>
      <c r="C21860" s="1" t="str">
        <f>HYPERLINK("http://www.rosaceae.org/gb/gbrowse/malus_x_domestica/?name=MDP0000255245","MDP0000255245")</f>
        <v>MDP0000255245</v>
      </c>
      <c r="D21860">
        <v>62.46</v>
      </c>
      <c r="E21860">
        <v>626</v>
      </c>
      <c r="F21860">
        <v>235</v>
      </c>
      <c r="G21860">
        <v>28</v>
      </c>
      <c r="H21860">
        <v>61</v>
      </c>
      <c r="I21860">
        <v>659</v>
      </c>
      <c r="J21860">
        <v>1</v>
      </c>
      <c r="K21860">
        <v>251</v>
      </c>
      <c r="L21860">
        <v>875</v>
      </c>
      <c r="M21860">
        <v>1</v>
      </c>
      <c r="N21860">
        <v>0</v>
      </c>
      <c r="O21860">
        <v>1961</v>
      </c>
    </row>
    <row r="21861" spans="1:15" x14ac:dyDescent="0.25">
      <c r="A21861" t="s">
        <v>21874</v>
      </c>
      <c r="B21861">
        <v>327</v>
      </c>
      <c r="C21861" s="1" t="str">
        <f>HYPERLINK("http://www.rosaceae.org/gb/gbrowse/malus_x_domestica/?name=MDP0000170906","MDP0000170906")</f>
        <v>MDP0000170906</v>
      </c>
      <c r="D21861">
        <v>36.36</v>
      </c>
      <c r="E21861">
        <v>297</v>
      </c>
      <c r="F21861">
        <v>189</v>
      </c>
      <c r="G21861">
        <v>57</v>
      </c>
      <c r="H21861">
        <v>37</v>
      </c>
      <c r="I21861">
        <v>307</v>
      </c>
      <c r="J21861">
        <v>1</v>
      </c>
      <c r="K21861">
        <v>28</v>
      </c>
      <c r="L21861">
        <v>293</v>
      </c>
      <c r="M21861">
        <v>1</v>
      </c>
      <c r="N21861">
        <v>6.6824500000000001E-38</v>
      </c>
      <c r="O21861">
        <v>391</v>
      </c>
    </row>
    <row r="21862" spans="1:15" x14ac:dyDescent="0.25">
      <c r="A21862" t="s">
        <v>21875</v>
      </c>
      <c r="B21862">
        <v>736</v>
      </c>
      <c r="C21862" s="1" t="str">
        <f>HYPERLINK("http://www.rosaceae.org/gb/gbrowse/malus_x_domestica/?name=MDP0000592035","MDP0000592035")</f>
        <v>MDP0000592035</v>
      </c>
      <c r="D21862">
        <v>77.36</v>
      </c>
      <c r="E21862">
        <v>676</v>
      </c>
      <c r="F21862">
        <v>153</v>
      </c>
      <c r="G21862">
        <v>6</v>
      </c>
      <c r="H21862">
        <v>1</v>
      </c>
      <c r="I21862">
        <v>671</v>
      </c>
      <c r="J21862">
        <v>1</v>
      </c>
      <c r="K21862">
        <v>1</v>
      </c>
      <c r="L21862">
        <v>675</v>
      </c>
      <c r="M21862">
        <v>1</v>
      </c>
      <c r="N21862">
        <v>0</v>
      </c>
      <c r="O21862">
        <v>2705</v>
      </c>
    </row>
    <row r="21863" spans="1:15" x14ac:dyDescent="0.25">
      <c r="A21863" t="s">
        <v>21876</v>
      </c>
      <c r="B21863">
        <v>99</v>
      </c>
      <c r="C21863" s="1" t="str">
        <f>HYPERLINK("http://www.rosaceae.org/gb/gbrowse/malus_x_domestica/?name=MDP0000127691","MDP0000127691")</f>
        <v>MDP0000127691</v>
      </c>
      <c r="D21863">
        <v>76.540000000000006</v>
      </c>
      <c r="E21863">
        <v>81</v>
      </c>
      <c r="F21863">
        <v>19</v>
      </c>
      <c r="G21863">
        <v>0</v>
      </c>
      <c r="H21863">
        <v>3</v>
      </c>
      <c r="I21863">
        <v>83</v>
      </c>
      <c r="J21863">
        <v>1</v>
      </c>
      <c r="K21863">
        <v>6</v>
      </c>
      <c r="L21863">
        <v>86</v>
      </c>
      <c r="M21863">
        <v>1</v>
      </c>
      <c r="N21863">
        <v>1.95155E-32</v>
      </c>
      <c r="O21863">
        <v>337</v>
      </c>
    </row>
    <row r="21864" spans="1:15" x14ac:dyDescent="0.25">
      <c r="A21864" t="s">
        <v>21877</v>
      </c>
      <c r="B21864">
        <v>99</v>
      </c>
      <c r="C21864" s="1" t="str">
        <f>HYPERLINK("http://www.rosaceae.org/gb/gbrowse/malus_x_domestica/?name=MDP0000286444","MDP0000286444")</f>
        <v>MDP0000286444</v>
      </c>
      <c r="D21864">
        <v>40.21</v>
      </c>
      <c r="E21864">
        <v>92</v>
      </c>
      <c r="F21864">
        <v>55</v>
      </c>
      <c r="G21864">
        <v>8</v>
      </c>
      <c r="H21864">
        <v>3</v>
      </c>
      <c r="I21864">
        <v>92</v>
      </c>
      <c r="J21864">
        <v>1</v>
      </c>
      <c r="K21864">
        <v>973</v>
      </c>
      <c r="L21864">
        <v>1058</v>
      </c>
      <c r="M21864">
        <v>1</v>
      </c>
      <c r="N21864">
        <v>1.97877E-13</v>
      </c>
      <c r="O21864">
        <v>173</v>
      </c>
    </row>
    <row r="21865" spans="1:15" x14ac:dyDescent="0.25">
      <c r="A21865" t="s">
        <v>21878</v>
      </c>
      <c r="B21865">
        <v>139</v>
      </c>
      <c r="C21865" s="1" t="str">
        <f>HYPERLINK("http://www.rosaceae.org/gb/gbrowse/malus_x_domestica/?name=MDP0000588068","MDP0000588068")</f>
        <v>MDP0000588068</v>
      </c>
      <c r="D21865">
        <v>33.979999999999997</v>
      </c>
      <c r="E21865">
        <v>103</v>
      </c>
      <c r="F21865">
        <v>68</v>
      </c>
      <c r="G21865">
        <v>8</v>
      </c>
      <c r="H21865">
        <v>4</v>
      </c>
      <c r="I21865">
        <v>105</v>
      </c>
      <c r="J21865">
        <v>1</v>
      </c>
      <c r="K21865">
        <v>1</v>
      </c>
      <c r="L21865">
        <v>96</v>
      </c>
      <c r="M21865">
        <v>1</v>
      </c>
      <c r="N21865">
        <v>1.0451099999999999E-9</v>
      </c>
      <c r="O21865">
        <v>142</v>
      </c>
    </row>
    <row r="21866" spans="1:15" x14ac:dyDescent="0.25">
      <c r="A21866" t="s">
        <v>21879</v>
      </c>
      <c r="B21866">
        <v>529</v>
      </c>
      <c r="C21866" s="1" t="str">
        <f>HYPERLINK("http://www.rosaceae.org/gb/gbrowse/malus_x_domestica/?name=MDP0000189780","MDP0000189780")</f>
        <v>MDP0000189780</v>
      </c>
      <c r="D21866">
        <v>46.42</v>
      </c>
      <c r="E21866">
        <v>489</v>
      </c>
      <c r="F21866">
        <v>262</v>
      </c>
      <c r="G21866">
        <v>68</v>
      </c>
      <c r="H21866">
        <v>66</v>
      </c>
      <c r="I21866">
        <v>520</v>
      </c>
      <c r="J21866">
        <v>1</v>
      </c>
      <c r="K21866">
        <v>7</v>
      </c>
      <c r="L21866">
        <v>461</v>
      </c>
      <c r="M21866">
        <v>1</v>
      </c>
      <c r="N21866">
        <v>1.24868E-107</v>
      </c>
      <c r="O21866">
        <v>995</v>
      </c>
    </row>
    <row r="21867" spans="1:15" x14ac:dyDescent="0.25">
      <c r="A21867" t="s">
        <v>21880</v>
      </c>
      <c r="B21867">
        <v>886</v>
      </c>
      <c r="C21867" s="1" t="str">
        <f>HYPERLINK("http://www.rosaceae.org/gb/gbrowse/malus_x_domestica/?name=MDP0000214528","MDP0000214528")</f>
        <v>MDP0000214528</v>
      </c>
      <c r="D21867">
        <v>78.790000000000006</v>
      </c>
      <c r="E21867">
        <v>632</v>
      </c>
      <c r="F21867">
        <v>134</v>
      </c>
      <c r="G21867">
        <v>12</v>
      </c>
      <c r="H21867">
        <v>150</v>
      </c>
      <c r="I21867">
        <v>776</v>
      </c>
      <c r="J21867">
        <v>1</v>
      </c>
      <c r="K21867">
        <v>164</v>
      </c>
      <c r="L21867">
        <v>788</v>
      </c>
      <c r="M21867">
        <v>1</v>
      </c>
      <c r="N21867">
        <v>0</v>
      </c>
      <c r="O21867">
        <v>2541</v>
      </c>
    </row>
    <row r="21868" spans="1:15" x14ac:dyDescent="0.25">
      <c r="A21868" t="s">
        <v>21881</v>
      </c>
      <c r="B21868">
        <v>280</v>
      </c>
      <c r="C21868" s="1" t="str">
        <f>HYPERLINK("http://www.rosaceae.org/gb/gbrowse/malus_x_domestica/?name=MDP0000037177","MDP0000037177")</f>
        <v>MDP0000037177</v>
      </c>
      <c r="D21868">
        <v>75.760000000000005</v>
      </c>
      <c r="E21868">
        <v>260</v>
      </c>
      <c r="F21868">
        <v>63</v>
      </c>
      <c r="G21868">
        <v>3</v>
      </c>
      <c r="H21868">
        <v>1</v>
      </c>
      <c r="I21868">
        <v>260</v>
      </c>
      <c r="J21868">
        <v>1</v>
      </c>
      <c r="K21868">
        <v>1</v>
      </c>
      <c r="L21868">
        <v>257</v>
      </c>
      <c r="M21868">
        <v>1</v>
      </c>
      <c r="N21868">
        <v>7.2345500000000002E-106</v>
      </c>
      <c r="O21868">
        <v>977</v>
      </c>
    </row>
    <row r="21869" spans="1:15" x14ac:dyDescent="0.25">
      <c r="A21869" t="s">
        <v>21882</v>
      </c>
      <c r="B21869">
        <v>128</v>
      </c>
      <c r="C21869" s="1" t="str">
        <f>HYPERLINK("http://www.rosaceae.org/gb/gbrowse/malus_x_domestica/?name=MDP0000696847","MDP0000696847")</f>
        <v>MDP0000696847</v>
      </c>
      <c r="D21869">
        <v>72.22</v>
      </c>
      <c r="E21869">
        <v>54</v>
      </c>
      <c r="F21869">
        <v>15</v>
      </c>
      <c r="G21869">
        <v>2</v>
      </c>
      <c r="H21869">
        <v>71</v>
      </c>
      <c r="I21869">
        <v>122</v>
      </c>
      <c r="J21869">
        <v>1</v>
      </c>
      <c r="K21869">
        <v>15</v>
      </c>
      <c r="L21869">
        <v>68</v>
      </c>
      <c r="M21869">
        <v>1</v>
      </c>
      <c r="N21869">
        <v>2.08053E-16</v>
      </c>
      <c r="O21869">
        <v>199</v>
      </c>
    </row>
    <row r="21870" spans="1:15" x14ac:dyDescent="0.25">
      <c r="A21870" t="s">
        <v>21883</v>
      </c>
      <c r="B21870">
        <v>245</v>
      </c>
      <c r="C21870" s="1" t="str">
        <f>HYPERLINK("http://www.rosaceae.org/gb/gbrowse/malus_x_domestica/?name=MDP0000163984","MDP0000163984")</f>
        <v>MDP0000163984</v>
      </c>
      <c r="D21870">
        <v>60</v>
      </c>
      <c r="E21870">
        <v>140</v>
      </c>
      <c r="F21870">
        <v>56</v>
      </c>
      <c r="G21870">
        <v>41</v>
      </c>
      <c r="H21870">
        <v>144</v>
      </c>
      <c r="I21870">
        <v>242</v>
      </c>
      <c r="J21870">
        <v>1</v>
      </c>
      <c r="K21870">
        <v>102</v>
      </c>
      <c r="L21870">
        <v>241</v>
      </c>
      <c r="M21870">
        <v>1</v>
      </c>
      <c r="N21870">
        <v>2.7150399999999998E-34</v>
      </c>
      <c r="O21870">
        <v>359</v>
      </c>
    </row>
    <row r="21871" spans="1:15" x14ac:dyDescent="0.25">
      <c r="A21871" t="s">
        <v>21884</v>
      </c>
      <c r="B21871">
        <v>348</v>
      </c>
      <c r="C21871" s="1" t="str">
        <f>HYPERLINK("http://www.rosaceae.org/gb/gbrowse/malus_x_domestica/?name=MDP0000146240","MDP0000146240")</f>
        <v>MDP0000146240</v>
      </c>
      <c r="D21871">
        <v>82.91</v>
      </c>
      <c r="E21871">
        <v>322</v>
      </c>
      <c r="F21871">
        <v>55</v>
      </c>
      <c r="G21871">
        <v>4</v>
      </c>
      <c r="H21871">
        <v>31</v>
      </c>
      <c r="I21871">
        <v>348</v>
      </c>
      <c r="J21871">
        <v>1</v>
      </c>
      <c r="K21871">
        <v>46</v>
      </c>
      <c r="L21871">
        <v>367</v>
      </c>
      <c r="M21871">
        <v>1</v>
      </c>
      <c r="N21871">
        <v>1.46023E-155</v>
      </c>
      <c r="O21871">
        <v>1406</v>
      </c>
    </row>
    <row r="21872" spans="1:15" x14ac:dyDescent="0.25">
      <c r="A21872" t="s">
        <v>21885</v>
      </c>
      <c r="B21872">
        <v>602</v>
      </c>
      <c r="C21872" s="1" t="str">
        <f>HYPERLINK("http://www.rosaceae.org/gb/gbrowse/malus_x_domestica/?name=MDP0000138249","MDP0000138249")</f>
        <v>MDP0000138249</v>
      </c>
      <c r="D21872">
        <v>82.95</v>
      </c>
      <c r="E21872">
        <v>616</v>
      </c>
      <c r="F21872">
        <v>105</v>
      </c>
      <c r="G21872">
        <v>16</v>
      </c>
      <c r="H21872">
        <v>1</v>
      </c>
      <c r="I21872">
        <v>602</v>
      </c>
      <c r="J21872">
        <v>1</v>
      </c>
      <c r="K21872">
        <v>1</v>
      </c>
      <c r="L21872">
        <v>614</v>
      </c>
      <c r="M21872">
        <v>1</v>
      </c>
      <c r="N21872">
        <v>0</v>
      </c>
      <c r="O21872">
        <v>2696</v>
      </c>
    </row>
    <row r="21873" spans="1:15" x14ac:dyDescent="0.25">
      <c r="A21873" t="s">
        <v>21886</v>
      </c>
      <c r="B21873">
        <v>313</v>
      </c>
      <c r="C21873" s="1" t="str">
        <f>HYPERLINK("http://www.rosaceae.org/gb/gbrowse/malus_x_domestica/?name=MDP0000279719","MDP0000279719")</f>
        <v>MDP0000279719</v>
      </c>
      <c r="D21873">
        <v>73.28</v>
      </c>
      <c r="E21873">
        <v>307</v>
      </c>
      <c r="F21873">
        <v>82</v>
      </c>
      <c r="G21873">
        <v>2</v>
      </c>
      <c r="H21873">
        <v>7</v>
      </c>
      <c r="I21873">
        <v>313</v>
      </c>
      <c r="J21873">
        <v>1</v>
      </c>
      <c r="K21873">
        <v>797</v>
      </c>
      <c r="L21873">
        <v>1101</v>
      </c>
      <c r="M21873">
        <v>1</v>
      </c>
      <c r="N21873">
        <v>1.3028200000000001E-130</v>
      </c>
      <c r="O21873">
        <v>1191</v>
      </c>
    </row>
    <row r="21874" spans="1:15" x14ac:dyDescent="0.25">
      <c r="A21874" t="s">
        <v>21887</v>
      </c>
      <c r="B21874">
        <v>99</v>
      </c>
      <c r="C21874" s="1" t="str">
        <f>HYPERLINK("http://www.rosaceae.org/gb/gbrowse/malus_x_domestica/?name=MDP0000653934","MDP0000653934")</f>
        <v>MDP0000653934</v>
      </c>
      <c r="D21874">
        <v>38.770000000000003</v>
      </c>
      <c r="E21874">
        <v>98</v>
      </c>
      <c r="F21874">
        <v>60</v>
      </c>
      <c r="G21874">
        <v>2</v>
      </c>
      <c r="H21874">
        <v>1</v>
      </c>
      <c r="I21874">
        <v>98</v>
      </c>
      <c r="J21874">
        <v>1</v>
      </c>
      <c r="K21874">
        <v>1</v>
      </c>
      <c r="L21874">
        <v>96</v>
      </c>
      <c r="M21874">
        <v>1</v>
      </c>
      <c r="N21874">
        <v>8.4485899999999995E-14</v>
      </c>
      <c r="O21874">
        <v>176</v>
      </c>
    </row>
    <row r="21875" spans="1:15" x14ac:dyDescent="0.25">
      <c r="A21875" t="s">
        <v>21888</v>
      </c>
      <c r="B21875">
        <v>166</v>
      </c>
      <c r="C21875" s="1" t="str">
        <f>HYPERLINK("http://www.rosaceae.org/gb/gbrowse/malus_x_domestica/?name=MDP0000289039","MDP0000289039")</f>
        <v>MDP0000289039</v>
      </c>
      <c r="D21875">
        <v>76.31</v>
      </c>
      <c r="E21875">
        <v>152</v>
      </c>
      <c r="F21875">
        <v>36</v>
      </c>
      <c r="G21875">
        <v>2</v>
      </c>
      <c r="H21875">
        <v>15</v>
      </c>
      <c r="I21875">
        <v>166</v>
      </c>
      <c r="J21875">
        <v>1</v>
      </c>
      <c r="K21875">
        <v>36</v>
      </c>
      <c r="L21875">
        <v>185</v>
      </c>
      <c r="M21875">
        <v>1</v>
      </c>
      <c r="N21875">
        <v>9.6431999999999996E-58</v>
      </c>
      <c r="O21875">
        <v>558</v>
      </c>
    </row>
    <row r="21876" spans="1:15" x14ac:dyDescent="0.25">
      <c r="A21876" t="s">
        <v>21889</v>
      </c>
      <c r="B21876">
        <v>412</v>
      </c>
      <c r="C21876" s="1" t="str">
        <f>HYPERLINK("http://www.rosaceae.org/gb/gbrowse/malus_x_domestica/?name=MDP0000289123","MDP0000289123")</f>
        <v>MDP0000289123</v>
      </c>
      <c r="D21876">
        <v>32.72</v>
      </c>
      <c r="E21876">
        <v>437</v>
      </c>
      <c r="F21876">
        <v>294</v>
      </c>
      <c r="G21876">
        <v>66</v>
      </c>
      <c r="H21876">
        <v>4</v>
      </c>
      <c r="I21876">
        <v>403</v>
      </c>
      <c r="J21876">
        <v>1</v>
      </c>
      <c r="K21876">
        <v>7</v>
      </c>
      <c r="L21876">
        <v>414</v>
      </c>
      <c r="M21876">
        <v>1</v>
      </c>
      <c r="N21876">
        <v>2.0574999999999999E-44</v>
      </c>
      <c r="O21876">
        <v>449</v>
      </c>
    </row>
    <row r="21877" spans="1:15" x14ac:dyDescent="0.25">
      <c r="A21877" t="s">
        <v>21890</v>
      </c>
      <c r="B21877">
        <v>144</v>
      </c>
      <c r="C21877" s="1" t="str">
        <f>HYPERLINK("http://www.rosaceae.org/gb/gbrowse/malus_x_domestica/?name=MDP0000128021","MDP0000128021")</f>
        <v>MDP0000128021</v>
      </c>
      <c r="D21877">
        <v>82.3</v>
      </c>
      <c r="E21877">
        <v>130</v>
      </c>
      <c r="F21877">
        <v>23</v>
      </c>
      <c r="G21877">
        <v>0</v>
      </c>
      <c r="H21877">
        <v>1</v>
      </c>
      <c r="I21877">
        <v>130</v>
      </c>
      <c r="J21877">
        <v>1</v>
      </c>
      <c r="K21877">
        <v>1</v>
      </c>
      <c r="L21877">
        <v>130</v>
      </c>
      <c r="M21877">
        <v>1</v>
      </c>
      <c r="N21877">
        <v>5.6678300000000001E-59</v>
      </c>
      <c r="O21877">
        <v>568</v>
      </c>
    </row>
    <row r="21878" spans="1:15" x14ac:dyDescent="0.25">
      <c r="A21878" t="s">
        <v>21891</v>
      </c>
      <c r="B21878">
        <v>539</v>
      </c>
      <c r="C21878" s="1" t="str">
        <f>HYPERLINK("http://www.rosaceae.org/gb/gbrowse/malus_x_domestica/?name=MDP0000161139","MDP0000161139")</f>
        <v>MDP0000161139</v>
      </c>
      <c r="D21878">
        <v>40.86</v>
      </c>
      <c r="E21878">
        <v>465</v>
      </c>
      <c r="F21878">
        <v>275</v>
      </c>
      <c r="G21878">
        <v>67</v>
      </c>
      <c r="H21878">
        <v>130</v>
      </c>
      <c r="I21878">
        <v>537</v>
      </c>
      <c r="J21878">
        <v>1</v>
      </c>
      <c r="K21878">
        <v>96</v>
      </c>
      <c r="L21878">
        <v>550</v>
      </c>
      <c r="M21878">
        <v>1</v>
      </c>
      <c r="N21878">
        <v>2.2212099999999999E-72</v>
      </c>
      <c r="O21878">
        <v>691</v>
      </c>
    </row>
    <row r="21879" spans="1:15" x14ac:dyDescent="0.25">
      <c r="A21879" t="s">
        <v>21892</v>
      </c>
      <c r="B21879">
        <v>524</v>
      </c>
      <c r="C21879" s="1" t="str">
        <f>HYPERLINK("http://www.rosaceae.org/gb/gbrowse/malus_x_domestica/?name=MDP0000640815","MDP0000640815")</f>
        <v>MDP0000640815</v>
      </c>
      <c r="D21879">
        <v>51.96</v>
      </c>
      <c r="E21879">
        <v>102</v>
      </c>
      <c r="F21879">
        <v>49</v>
      </c>
      <c r="G21879">
        <v>1</v>
      </c>
      <c r="H21879">
        <v>268</v>
      </c>
      <c r="I21879">
        <v>368</v>
      </c>
      <c r="J21879">
        <v>1</v>
      </c>
      <c r="K21879">
        <v>3</v>
      </c>
      <c r="L21879">
        <v>104</v>
      </c>
      <c r="M21879">
        <v>1</v>
      </c>
      <c r="N21879">
        <v>5.8710199999999996E-22</v>
      </c>
      <c r="O21879">
        <v>256</v>
      </c>
    </row>
    <row r="21880" spans="1:15" x14ac:dyDescent="0.25">
      <c r="A21880" t="s">
        <v>21893</v>
      </c>
      <c r="B21880">
        <v>399</v>
      </c>
      <c r="C21880" s="1" t="str">
        <f>HYPERLINK("http://www.rosaceae.org/gb/gbrowse/malus_x_domestica/?name=MDP0000810486","MDP0000810486")</f>
        <v>MDP0000810486</v>
      </c>
      <c r="D21880">
        <v>80.89</v>
      </c>
      <c r="E21880">
        <v>335</v>
      </c>
      <c r="F21880">
        <v>64</v>
      </c>
      <c r="G21880">
        <v>4</v>
      </c>
      <c r="H21880">
        <v>48</v>
      </c>
      <c r="I21880">
        <v>379</v>
      </c>
      <c r="J21880">
        <v>1</v>
      </c>
      <c r="K21880">
        <v>451</v>
      </c>
      <c r="L21880">
        <v>784</v>
      </c>
      <c r="M21880">
        <v>1</v>
      </c>
      <c r="N21880">
        <v>5.9268400000000005E-159</v>
      </c>
      <c r="O21880">
        <v>1436</v>
      </c>
    </row>
    <row r="21881" spans="1:15" x14ac:dyDescent="0.25">
      <c r="A21881" t="s">
        <v>21894</v>
      </c>
      <c r="B21881">
        <v>335</v>
      </c>
      <c r="C21881" s="1" t="str">
        <f>HYPERLINK("http://www.rosaceae.org/gb/gbrowse/malus_x_domestica/?name=MDP0000305508","MDP0000305508")</f>
        <v>MDP0000305508</v>
      </c>
      <c r="D21881">
        <v>76.92</v>
      </c>
      <c r="E21881">
        <v>260</v>
      </c>
      <c r="F21881">
        <v>60</v>
      </c>
      <c r="G21881">
        <v>0</v>
      </c>
      <c r="H21881">
        <v>76</v>
      </c>
      <c r="I21881">
        <v>335</v>
      </c>
      <c r="J21881">
        <v>1</v>
      </c>
      <c r="K21881">
        <v>55</v>
      </c>
      <c r="L21881">
        <v>314</v>
      </c>
      <c r="M21881">
        <v>1</v>
      </c>
      <c r="N21881">
        <v>4.6050099999999997E-120</v>
      </c>
      <c r="O21881">
        <v>1100</v>
      </c>
    </row>
    <row r="21882" spans="1:15" x14ac:dyDescent="0.25">
      <c r="A21882" t="s">
        <v>21895</v>
      </c>
      <c r="B21882">
        <v>459</v>
      </c>
      <c r="C21882" s="1" t="str">
        <f>HYPERLINK("http://www.rosaceae.org/gb/gbrowse/malus_x_domestica/?name=MDP0000201484","MDP0000201484")</f>
        <v>MDP0000201484</v>
      </c>
      <c r="D21882">
        <v>81.37</v>
      </c>
      <c r="E21882">
        <v>408</v>
      </c>
      <c r="F21882">
        <v>76</v>
      </c>
      <c r="G21882">
        <v>1</v>
      </c>
      <c r="H21882">
        <v>52</v>
      </c>
      <c r="I21882">
        <v>459</v>
      </c>
      <c r="J21882">
        <v>1</v>
      </c>
      <c r="K21882">
        <v>54</v>
      </c>
      <c r="L21882">
        <v>460</v>
      </c>
      <c r="M21882">
        <v>1</v>
      </c>
      <c r="N21882">
        <v>0</v>
      </c>
      <c r="O21882">
        <v>1821</v>
      </c>
    </row>
    <row r="21883" spans="1:15" x14ac:dyDescent="0.25">
      <c r="A21883" t="s">
        <v>21896</v>
      </c>
      <c r="B21883">
        <v>79</v>
      </c>
      <c r="C21883" s="1" t="str">
        <f>HYPERLINK("http://www.rosaceae.org/gb/gbrowse/malus_x_domestica/?name=MDP0000261585","MDP0000261585")</f>
        <v>MDP0000261585</v>
      </c>
      <c r="D21883">
        <v>63.75</v>
      </c>
      <c r="E21883">
        <v>80</v>
      </c>
      <c r="F21883">
        <v>29</v>
      </c>
      <c r="G21883">
        <v>3</v>
      </c>
      <c r="H21883">
        <v>1</v>
      </c>
      <c r="I21883">
        <v>79</v>
      </c>
      <c r="J21883">
        <v>1</v>
      </c>
      <c r="K21883">
        <v>1</v>
      </c>
      <c r="L21883">
        <v>78</v>
      </c>
      <c r="M21883">
        <v>1</v>
      </c>
      <c r="N21883">
        <v>6.0497899999999999E-21</v>
      </c>
      <c r="O21883">
        <v>238</v>
      </c>
    </row>
    <row r="21884" spans="1:15" x14ac:dyDescent="0.25">
      <c r="A21884" t="s">
        <v>21897</v>
      </c>
      <c r="B21884">
        <v>734</v>
      </c>
      <c r="C21884" s="1" t="str">
        <f>HYPERLINK("http://www.rosaceae.org/gb/gbrowse/malus_x_domestica/?name=MDP0000648338","MDP0000648338")</f>
        <v>MDP0000648338</v>
      </c>
      <c r="D21884">
        <v>76.98</v>
      </c>
      <c r="E21884">
        <v>743</v>
      </c>
      <c r="F21884">
        <v>171</v>
      </c>
      <c r="G21884">
        <v>19</v>
      </c>
      <c r="H21884">
        <v>1</v>
      </c>
      <c r="I21884">
        <v>734</v>
      </c>
      <c r="J21884">
        <v>1</v>
      </c>
      <c r="K21884">
        <v>1</v>
      </c>
      <c r="L21884">
        <v>733</v>
      </c>
      <c r="M21884">
        <v>1</v>
      </c>
      <c r="N21884">
        <v>0</v>
      </c>
      <c r="O21884">
        <v>2962</v>
      </c>
    </row>
    <row r="21885" spans="1:15" x14ac:dyDescent="0.25">
      <c r="A21885" t="s">
        <v>21898</v>
      </c>
      <c r="B21885">
        <v>513</v>
      </c>
      <c r="C21885" s="1" t="str">
        <f>HYPERLINK("http://www.rosaceae.org/gb/gbrowse/malus_x_domestica/?name=MDP0000307572","MDP0000307572")</f>
        <v>MDP0000307572</v>
      </c>
      <c r="D21885">
        <v>33.450000000000003</v>
      </c>
      <c r="E21885">
        <v>272</v>
      </c>
      <c r="F21885">
        <v>181</v>
      </c>
      <c r="G21885">
        <v>38</v>
      </c>
      <c r="H21885">
        <v>253</v>
      </c>
      <c r="I21885">
        <v>509</v>
      </c>
      <c r="J21885">
        <v>1</v>
      </c>
      <c r="K21885">
        <v>310</v>
      </c>
      <c r="L21885">
        <v>558</v>
      </c>
      <c r="M21885">
        <v>1</v>
      </c>
      <c r="N21885">
        <v>5.8102800000000002E-23</v>
      </c>
      <c r="O21885">
        <v>265</v>
      </c>
    </row>
    <row r="21886" spans="1:15" x14ac:dyDescent="0.25">
      <c r="A21886" t="s">
        <v>21899</v>
      </c>
      <c r="B21886">
        <v>508</v>
      </c>
      <c r="C21886" s="1" t="str">
        <f>HYPERLINK("http://www.rosaceae.org/gb/gbrowse/malus_x_domestica/?name=MDP0000094255","MDP0000094255")</f>
        <v>MDP0000094255</v>
      </c>
      <c r="D21886">
        <v>95.6</v>
      </c>
      <c r="E21886">
        <v>432</v>
      </c>
      <c r="F21886">
        <v>19</v>
      </c>
      <c r="G21886">
        <v>0</v>
      </c>
      <c r="H21886">
        <v>59</v>
      </c>
      <c r="I21886">
        <v>490</v>
      </c>
      <c r="J21886">
        <v>1</v>
      </c>
      <c r="K21886">
        <v>1</v>
      </c>
      <c r="L21886">
        <v>432</v>
      </c>
      <c r="M21886">
        <v>1</v>
      </c>
      <c r="N21886">
        <v>0</v>
      </c>
      <c r="O21886">
        <v>2224</v>
      </c>
    </row>
    <row r="21887" spans="1:15" x14ac:dyDescent="0.25">
      <c r="A21887" t="s">
        <v>21900</v>
      </c>
      <c r="B21887">
        <v>506</v>
      </c>
      <c r="C21887" s="1" t="str">
        <f>HYPERLINK("http://www.rosaceae.org/gb/gbrowse/malus_x_domestica/?name=MDP0000438458","MDP0000438458")</f>
        <v>MDP0000438458</v>
      </c>
      <c r="D21887">
        <v>80.03</v>
      </c>
      <c r="E21887">
        <v>506</v>
      </c>
      <c r="F21887">
        <v>101</v>
      </c>
      <c r="G21887">
        <v>5</v>
      </c>
      <c r="H21887">
        <v>1</v>
      </c>
      <c r="I21887">
        <v>506</v>
      </c>
      <c r="J21887">
        <v>1</v>
      </c>
      <c r="K21887">
        <v>1</v>
      </c>
      <c r="L21887">
        <v>501</v>
      </c>
      <c r="M21887">
        <v>1</v>
      </c>
      <c r="N21887">
        <v>0</v>
      </c>
      <c r="O21887">
        <v>2165</v>
      </c>
    </row>
    <row r="21888" spans="1:15" x14ac:dyDescent="0.25">
      <c r="A21888" t="s">
        <v>21901</v>
      </c>
      <c r="B21888">
        <v>458</v>
      </c>
      <c r="C21888" s="1" t="str">
        <f>HYPERLINK("http://www.rosaceae.org/gb/gbrowse/malus_x_domestica/?name=MDP0000319144","MDP0000319144")</f>
        <v>MDP0000319144</v>
      </c>
      <c r="D21888">
        <v>57.98</v>
      </c>
      <c r="E21888">
        <v>119</v>
      </c>
      <c r="F21888">
        <v>50</v>
      </c>
      <c r="G21888">
        <v>4</v>
      </c>
      <c r="H21888">
        <v>27</v>
      </c>
      <c r="I21888">
        <v>141</v>
      </c>
      <c r="J21888">
        <v>1</v>
      </c>
      <c r="K21888">
        <v>27</v>
      </c>
      <c r="L21888">
        <v>145</v>
      </c>
      <c r="M21888">
        <v>1</v>
      </c>
      <c r="N21888">
        <v>2.76393E-33</v>
      </c>
      <c r="O21888">
        <v>353</v>
      </c>
    </row>
    <row r="21889" spans="1:15" x14ac:dyDescent="0.25">
      <c r="A21889" t="s">
        <v>21902</v>
      </c>
      <c r="B21889">
        <v>479</v>
      </c>
      <c r="C21889" s="1" t="str">
        <f>HYPERLINK("http://www.rosaceae.org/gb/gbrowse/malus_x_domestica/?name=MDP0000760376","MDP0000760376")</f>
        <v>MDP0000760376</v>
      </c>
      <c r="D21889">
        <v>83.22</v>
      </c>
      <c r="E21889">
        <v>447</v>
      </c>
      <c r="F21889">
        <v>75</v>
      </c>
      <c r="G21889">
        <v>0</v>
      </c>
      <c r="H21889">
        <v>33</v>
      </c>
      <c r="I21889">
        <v>479</v>
      </c>
      <c r="J21889">
        <v>1</v>
      </c>
      <c r="K21889">
        <v>3</v>
      </c>
      <c r="L21889">
        <v>449</v>
      </c>
      <c r="M21889">
        <v>1</v>
      </c>
      <c r="N21889">
        <v>0</v>
      </c>
      <c r="O21889">
        <v>2031</v>
      </c>
    </row>
    <row r="21890" spans="1:15" x14ac:dyDescent="0.25">
      <c r="A21890" t="s">
        <v>21903</v>
      </c>
      <c r="B21890">
        <v>677</v>
      </c>
      <c r="C21890" s="1" t="str">
        <f>HYPERLINK("http://www.rosaceae.org/gb/gbrowse/malus_x_domestica/?name=MDP0000020140","MDP0000020140")</f>
        <v>MDP0000020140</v>
      </c>
      <c r="D21890">
        <v>59.36</v>
      </c>
      <c r="E21890">
        <v>689</v>
      </c>
      <c r="F21890">
        <v>280</v>
      </c>
      <c r="G21890">
        <v>20</v>
      </c>
      <c r="H21890">
        <v>1</v>
      </c>
      <c r="I21890">
        <v>672</v>
      </c>
      <c r="J21890">
        <v>1</v>
      </c>
      <c r="K21890">
        <v>1</v>
      </c>
      <c r="L21890">
        <v>686</v>
      </c>
      <c r="M21890">
        <v>1</v>
      </c>
      <c r="N21890">
        <v>0</v>
      </c>
      <c r="O21890">
        <v>2096</v>
      </c>
    </row>
    <row r="21891" spans="1:15" x14ac:dyDescent="0.25">
      <c r="A21891" t="s">
        <v>21904</v>
      </c>
      <c r="B21891">
        <v>1366</v>
      </c>
      <c r="C21891" s="1" t="str">
        <f>HYPERLINK("http://www.rosaceae.org/gb/gbrowse/malus_x_domestica/?name=MDP0000157711","MDP0000157711")</f>
        <v>MDP0000157711</v>
      </c>
      <c r="D21891">
        <v>61.09</v>
      </c>
      <c r="E21891">
        <v>676</v>
      </c>
      <c r="F21891">
        <v>263</v>
      </c>
      <c r="G21891">
        <v>50</v>
      </c>
      <c r="H21891">
        <v>1</v>
      </c>
      <c r="I21891">
        <v>659</v>
      </c>
      <c r="J21891">
        <v>1</v>
      </c>
      <c r="K21891">
        <v>38</v>
      </c>
      <c r="L21891">
        <v>680</v>
      </c>
      <c r="M21891">
        <v>1</v>
      </c>
      <c r="N21891">
        <v>0</v>
      </c>
      <c r="O21891">
        <v>1971</v>
      </c>
    </row>
    <row r="21892" spans="1:15" x14ac:dyDescent="0.25">
      <c r="A21892" t="s">
        <v>21905</v>
      </c>
      <c r="B21892">
        <v>98</v>
      </c>
      <c r="C21892" s="1" t="str">
        <f>HYPERLINK("http://www.rosaceae.org/gb/gbrowse/malus_x_domestica/?name=MDP0000210979","MDP0000210979")</f>
        <v>MDP0000210979</v>
      </c>
      <c r="D21892">
        <v>86.84</v>
      </c>
      <c r="E21892">
        <v>76</v>
      </c>
      <c r="F21892">
        <v>10</v>
      </c>
      <c r="G21892">
        <v>1</v>
      </c>
      <c r="H21892">
        <v>23</v>
      </c>
      <c r="I21892">
        <v>98</v>
      </c>
      <c r="J21892">
        <v>1</v>
      </c>
      <c r="K21892">
        <v>22</v>
      </c>
      <c r="L21892">
        <v>96</v>
      </c>
      <c r="M21892">
        <v>1</v>
      </c>
      <c r="N21892">
        <v>2.62278E-31</v>
      </c>
      <c r="O21892">
        <v>327</v>
      </c>
    </row>
    <row r="21893" spans="1:15" x14ac:dyDescent="0.25">
      <c r="A21893" t="s">
        <v>21906</v>
      </c>
      <c r="B21893">
        <v>1388</v>
      </c>
      <c r="C21893" s="1" t="str">
        <f>HYPERLINK("http://www.rosaceae.org/gb/gbrowse/malus_x_domestica/?name=MDP0000210170","MDP0000210170")</f>
        <v>MDP0000210170</v>
      </c>
      <c r="D21893">
        <v>79.58</v>
      </c>
      <c r="E21893">
        <v>926</v>
      </c>
      <c r="F21893">
        <v>189</v>
      </c>
      <c r="G21893">
        <v>9</v>
      </c>
      <c r="H21893">
        <v>472</v>
      </c>
      <c r="I21893">
        <v>1388</v>
      </c>
      <c r="J21893">
        <v>1</v>
      </c>
      <c r="K21893">
        <v>40</v>
      </c>
      <c r="L21893">
        <v>965</v>
      </c>
      <c r="M21893">
        <v>1</v>
      </c>
      <c r="N21893">
        <v>0</v>
      </c>
      <c r="O21893">
        <v>3939</v>
      </c>
    </row>
    <row r="21894" spans="1:15" x14ac:dyDescent="0.25">
      <c r="A21894" t="s">
        <v>21907</v>
      </c>
      <c r="B21894">
        <v>248</v>
      </c>
      <c r="C21894" s="1" t="str">
        <f>HYPERLINK("http://www.rosaceae.org/gb/gbrowse/malus_x_domestica/?name=MDP0000228686","MDP0000228686")</f>
        <v>MDP0000228686</v>
      </c>
      <c r="D21894">
        <v>67.19</v>
      </c>
      <c r="E21894">
        <v>189</v>
      </c>
      <c r="F21894">
        <v>62</v>
      </c>
      <c r="G21894">
        <v>6</v>
      </c>
      <c r="H21894">
        <v>1</v>
      </c>
      <c r="I21894">
        <v>187</v>
      </c>
      <c r="J21894">
        <v>1</v>
      </c>
      <c r="K21894">
        <v>170</v>
      </c>
      <c r="L21894">
        <v>354</v>
      </c>
      <c r="M21894">
        <v>1</v>
      </c>
      <c r="N21894">
        <v>7.2137900000000004E-73</v>
      </c>
      <c r="O21894">
        <v>691</v>
      </c>
    </row>
    <row r="21895" spans="1:15" x14ac:dyDescent="0.25">
      <c r="A21895" t="s">
        <v>21908</v>
      </c>
      <c r="B21895">
        <v>51</v>
      </c>
      <c r="C21895" s="1" t="str">
        <f>HYPERLINK("http://www.rosaceae.org/gb/gbrowse/malus_x_domestica/?name=MDP0000203531","MDP0000203531")</f>
        <v>MDP0000203531</v>
      </c>
      <c r="D21895">
        <v>85.18</v>
      </c>
      <c r="E21895">
        <v>27</v>
      </c>
      <c r="F21895">
        <v>4</v>
      </c>
      <c r="G21895">
        <v>0</v>
      </c>
      <c r="H21895">
        <v>25</v>
      </c>
      <c r="I21895">
        <v>51</v>
      </c>
      <c r="J21895">
        <v>1</v>
      </c>
      <c r="K21895">
        <v>764</v>
      </c>
      <c r="L21895">
        <v>790</v>
      </c>
      <c r="M21895">
        <v>1</v>
      </c>
      <c r="N21895">
        <v>4.7554100000000002E-9</v>
      </c>
      <c r="O21895">
        <v>136</v>
      </c>
    </row>
    <row r="21896" spans="1:15" x14ac:dyDescent="0.25">
      <c r="A21896" t="s">
        <v>21909</v>
      </c>
      <c r="B21896">
        <v>167</v>
      </c>
      <c r="C21896" s="1" t="str">
        <f>HYPERLINK("http://www.rosaceae.org/gb/gbrowse/malus_x_domestica/?name=MDP0000872167","MDP0000872167")</f>
        <v>MDP0000872167</v>
      </c>
      <c r="D21896">
        <v>33.729999999999997</v>
      </c>
      <c r="E21896">
        <v>166</v>
      </c>
      <c r="F21896">
        <v>110</v>
      </c>
      <c r="G21896">
        <v>32</v>
      </c>
      <c r="H21896">
        <v>1</v>
      </c>
      <c r="I21896">
        <v>139</v>
      </c>
      <c r="J21896">
        <v>1</v>
      </c>
      <c r="K21896">
        <v>97</v>
      </c>
      <c r="L21896">
        <v>257</v>
      </c>
      <c r="M21896">
        <v>1</v>
      </c>
      <c r="N21896">
        <v>1.1035100000000001E-15</v>
      </c>
      <c r="O21896">
        <v>195</v>
      </c>
    </row>
    <row r="21897" spans="1:15" x14ac:dyDescent="0.25">
      <c r="A21897" t="s">
        <v>21910</v>
      </c>
      <c r="B21897">
        <v>287</v>
      </c>
      <c r="C21897" s="1" t="str">
        <f>HYPERLINK("http://www.rosaceae.org/gb/gbrowse/malus_x_domestica/?name=MDP0000177228","MDP0000177228")</f>
        <v>MDP0000177228</v>
      </c>
      <c r="D21897">
        <v>67.3</v>
      </c>
      <c r="E21897">
        <v>52</v>
      </c>
      <c r="F21897">
        <v>17</v>
      </c>
      <c r="G21897">
        <v>0</v>
      </c>
      <c r="H21897">
        <v>197</v>
      </c>
      <c r="I21897">
        <v>248</v>
      </c>
      <c r="J21897">
        <v>1</v>
      </c>
      <c r="K21897">
        <v>156</v>
      </c>
      <c r="L21897">
        <v>207</v>
      </c>
      <c r="M21897">
        <v>1</v>
      </c>
      <c r="N21897">
        <v>7.1574200000000005E-17</v>
      </c>
      <c r="O21897">
        <v>209</v>
      </c>
    </row>
    <row r="21898" spans="1:15" x14ac:dyDescent="0.25">
      <c r="A21898" t="s">
        <v>21911</v>
      </c>
      <c r="B21898">
        <v>676</v>
      </c>
      <c r="C21898" s="1" t="str">
        <f>HYPERLINK("http://www.rosaceae.org/gb/gbrowse/malus_x_domestica/?name=MDP0000263387","MDP0000263387")</f>
        <v>MDP0000263387</v>
      </c>
      <c r="D21898">
        <v>51.62</v>
      </c>
      <c r="E21898">
        <v>583</v>
      </c>
      <c r="F21898">
        <v>282</v>
      </c>
      <c r="G21898">
        <v>83</v>
      </c>
      <c r="H21898">
        <v>144</v>
      </c>
      <c r="I21898">
        <v>653</v>
      </c>
      <c r="J21898">
        <v>1</v>
      </c>
      <c r="K21898">
        <v>148</v>
      </c>
      <c r="L21898">
        <v>720</v>
      </c>
      <c r="M21898">
        <v>1</v>
      </c>
      <c r="N21898">
        <v>2.36169E-141</v>
      </c>
      <c r="O21898">
        <v>1287</v>
      </c>
    </row>
    <row r="21899" spans="1:15" x14ac:dyDescent="0.25">
      <c r="A21899" t="s">
        <v>21912</v>
      </c>
      <c r="B21899">
        <v>499</v>
      </c>
      <c r="C21899" s="1" t="str">
        <f>HYPERLINK("http://www.rosaceae.org/gb/gbrowse/malus_x_domestica/?name=MDP0000318637","MDP0000318637")</f>
        <v>MDP0000318637</v>
      </c>
      <c r="D21899">
        <v>44.32</v>
      </c>
      <c r="E21899">
        <v>379</v>
      </c>
      <c r="F21899">
        <v>211</v>
      </c>
      <c r="G21899">
        <v>25</v>
      </c>
      <c r="H21899">
        <v>14</v>
      </c>
      <c r="I21899">
        <v>376</v>
      </c>
      <c r="J21899">
        <v>1</v>
      </c>
      <c r="K21899">
        <v>29</v>
      </c>
      <c r="L21899">
        <v>398</v>
      </c>
      <c r="M21899">
        <v>1</v>
      </c>
      <c r="N21899">
        <v>2.1678000000000001E-79</v>
      </c>
      <c r="O21899">
        <v>751</v>
      </c>
    </row>
    <row r="21900" spans="1:15" x14ac:dyDescent="0.25">
      <c r="A21900" t="s">
        <v>21913</v>
      </c>
      <c r="B21900">
        <v>675</v>
      </c>
      <c r="C21900" s="1" t="str">
        <f>HYPERLINK("http://www.rosaceae.org/gb/gbrowse/malus_x_domestica/?name=MDP0000848695","MDP0000848695")</f>
        <v>MDP0000848695</v>
      </c>
      <c r="D21900">
        <v>53.87</v>
      </c>
      <c r="E21900">
        <v>297</v>
      </c>
      <c r="F21900">
        <v>137</v>
      </c>
      <c r="G21900">
        <v>12</v>
      </c>
      <c r="H21900">
        <v>380</v>
      </c>
      <c r="I21900">
        <v>668</v>
      </c>
      <c r="J21900">
        <v>1</v>
      </c>
      <c r="K21900">
        <v>18</v>
      </c>
      <c r="L21900">
        <v>310</v>
      </c>
      <c r="M21900">
        <v>1</v>
      </c>
      <c r="N21900">
        <v>2.0997000000000001E-80</v>
      </c>
      <c r="O21900">
        <v>761</v>
      </c>
    </row>
    <row r="21901" spans="1:15" x14ac:dyDescent="0.25">
      <c r="A21901" t="s">
        <v>21914</v>
      </c>
      <c r="B21901">
        <v>900</v>
      </c>
      <c r="C21901" s="1" t="str">
        <f>HYPERLINK("http://www.rosaceae.org/gb/gbrowse/malus_x_domestica/?name=MDP0000842413","MDP0000842413")</f>
        <v>MDP0000842413</v>
      </c>
      <c r="D21901">
        <v>81.12</v>
      </c>
      <c r="E21901">
        <v>816</v>
      </c>
      <c r="F21901">
        <v>154</v>
      </c>
      <c r="G21901">
        <v>1</v>
      </c>
      <c r="H21901">
        <v>86</v>
      </c>
      <c r="I21901">
        <v>900</v>
      </c>
      <c r="J21901">
        <v>1</v>
      </c>
      <c r="K21901">
        <v>16</v>
      </c>
      <c r="L21901">
        <v>831</v>
      </c>
      <c r="M21901">
        <v>1</v>
      </c>
      <c r="N21901">
        <v>0</v>
      </c>
      <c r="O21901">
        <v>3523</v>
      </c>
    </row>
    <row r="21902" spans="1:15" x14ac:dyDescent="0.25">
      <c r="A21902" t="s">
        <v>21915</v>
      </c>
      <c r="B21902">
        <v>518</v>
      </c>
      <c r="C21902" s="1" t="str">
        <f>HYPERLINK("http://www.rosaceae.org/gb/gbrowse/malus_x_domestica/?name=MDP0000193564","MDP0000193564")</f>
        <v>MDP0000193564</v>
      </c>
      <c r="D21902">
        <v>75.58</v>
      </c>
      <c r="E21902">
        <v>86</v>
      </c>
      <c r="F21902">
        <v>21</v>
      </c>
      <c r="G21902">
        <v>0</v>
      </c>
      <c r="H21902">
        <v>427</v>
      </c>
      <c r="I21902">
        <v>512</v>
      </c>
      <c r="J21902">
        <v>1</v>
      </c>
      <c r="K21902">
        <v>614</v>
      </c>
      <c r="L21902">
        <v>699</v>
      </c>
      <c r="M21902">
        <v>1</v>
      </c>
      <c r="N21902">
        <v>3.6494099999999998E-29</v>
      </c>
      <c r="O21902">
        <v>318</v>
      </c>
    </row>
    <row r="21903" spans="1:15" x14ac:dyDescent="0.25">
      <c r="A21903" t="s">
        <v>21916</v>
      </c>
      <c r="B21903">
        <v>256</v>
      </c>
      <c r="C21903" s="1" t="str">
        <f>HYPERLINK("http://www.rosaceae.org/gb/gbrowse/malus_x_domestica/?name=MDP0000302467","MDP0000302467")</f>
        <v>MDP0000302467</v>
      </c>
      <c r="D21903">
        <v>58.46</v>
      </c>
      <c r="E21903">
        <v>65</v>
      </c>
      <c r="F21903">
        <v>27</v>
      </c>
      <c r="G21903">
        <v>0</v>
      </c>
      <c r="H21903">
        <v>36</v>
      </c>
      <c r="I21903">
        <v>100</v>
      </c>
      <c r="J21903">
        <v>1</v>
      </c>
      <c r="K21903">
        <v>418</v>
      </c>
      <c r="L21903">
        <v>482</v>
      </c>
      <c r="M21903">
        <v>1</v>
      </c>
      <c r="N21903">
        <v>2.5936300000000001E-14</v>
      </c>
      <c r="O21903">
        <v>187</v>
      </c>
    </row>
    <row r="21904" spans="1:15" x14ac:dyDescent="0.25">
      <c r="A21904" t="s">
        <v>21917</v>
      </c>
      <c r="B21904">
        <v>292</v>
      </c>
      <c r="C21904" s="1" t="str">
        <f>HYPERLINK("http://www.rosaceae.org/gb/gbrowse/malus_x_domestica/?name=MDP0000176749","MDP0000176749")</f>
        <v>MDP0000176749</v>
      </c>
      <c r="D21904">
        <v>73.48</v>
      </c>
      <c r="E21904">
        <v>298</v>
      </c>
      <c r="F21904">
        <v>79</v>
      </c>
      <c r="G21904">
        <v>6</v>
      </c>
      <c r="H21904">
        <v>1</v>
      </c>
      <c r="I21904">
        <v>292</v>
      </c>
      <c r="J21904">
        <v>1</v>
      </c>
      <c r="K21904">
        <v>70</v>
      </c>
      <c r="L21904">
        <v>367</v>
      </c>
      <c r="M21904">
        <v>1</v>
      </c>
      <c r="N21904">
        <v>2.5801100000000002E-115</v>
      </c>
      <c r="O21904">
        <v>1058</v>
      </c>
    </row>
    <row r="21905" spans="1:15" x14ac:dyDescent="0.25">
      <c r="A21905" t="s">
        <v>21918</v>
      </c>
      <c r="B21905">
        <v>615</v>
      </c>
      <c r="C21905" s="1" t="str">
        <f>HYPERLINK("http://www.rosaceae.org/gb/gbrowse/malus_x_domestica/?name=MDP0000290971","MDP0000290971")</f>
        <v>MDP0000290971</v>
      </c>
      <c r="D21905">
        <v>59.61</v>
      </c>
      <c r="E21905">
        <v>359</v>
      </c>
      <c r="F21905">
        <v>145</v>
      </c>
      <c r="G21905">
        <v>5</v>
      </c>
      <c r="H21905">
        <v>87</v>
      </c>
      <c r="I21905">
        <v>440</v>
      </c>
      <c r="J21905">
        <v>1</v>
      </c>
      <c r="K21905">
        <v>8</v>
      </c>
      <c r="L21905">
        <v>366</v>
      </c>
      <c r="M21905">
        <v>1</v>
      </c>
      <c r="N21905">
        <v>4.7873400000000002E-122</v>
      </c>
      <c r="O21905">
        <v>1120</v>
      </c>
    </row>
    <row r="21906" spans="1:15" x14ac:dyDescent="0.25">
      <c r="A21906" t="s">
        <v>21919</v>
      </c>
      <c r="B21906">
        <v>632</v>
      </c>
      <c r="C21906" s="1" t="str">
        <f>HYPERLINK("http://www.rosaceae.org/gb/gbrowse/malus_x_domestica/?name=MDP0000277469","MDP0000277469")</f>
        <v>MDP0000277469</v>
      </c>
      <c r="D21906">
        <v>76.22</v>
      </c>
      <c r="E21906">
        <v>614</v>
      </c>
      <c r="F21906">
        <v>146</v>
      </c>
      <c r="G21906">
        <v>19</v>
      </c>
      <c r="H21906">
        <v>20</v>
      </c>
      <c r="I21906">
        <v>632</v>
      </c>
      <c r="J21906">
        <v>1</v>
      </c>
      <c r="K21906">
        <v>95</v>
      </c>
      <c r="L21906">
        <v>690</v>
      </c>
      <c r="M21906">
        <v>1</v>
      </c>
      <c r="N21906">
        <v>0</v>
      </c>
      <c r="O21906">
        <v>2484</v>
      </c>
    </row>
    <row r="21907" spans="1:15" x14ac:dyDescent="0.25">
      <c r="A21907" t="s">
        <v>21920</v>
      </c>
      <c r="B21907">
        <v>447</v>
      </c>
      <c r="C21907" s="1" t="str">
        <f>HYPERLINK("http://www.rosaceae.org/gb/gbrowse/malus_x_domestica/?name=MDP0000216501","MDP0000216501")</f>
        <v>MDP0000216501</v>
      </c>
      <c r="D21907">
        <v>93.93</v>
      </c>
      <c r="E21907">
        <v>429</v>
      </c>
      <c r="F21907">
        <v>26</v>
      </c>
      <c r="G21907">
        <v>0</v>
      </c>
      <c r="H21907">
        <v>1</v>
      </c>
      <c r="I21907">
        <v>429</v>
      </c>
      <c r="J21907">
        <v>1</v>
      </c>
      <c r="K21907">
        <v>1</v>
      </c>
      <c r="L21907">
        <v>429</v>
      </c>
      <c r="M21907">
        <v>1</v>
      </c>
      <c r="N21907">
        <v>0</v>
      </c>
      <c r="O21907">
        <v>2189</v>
      </c>
    </row>
    <row r="21908" spans="1:15" x14ac:dyDescent="0.25">
      <c r="A21908" t="s">
        <v>21921</v>
      </c>
      <c r="B21908">
        <v>833</v>
      </c>
      <c r="C21908" s="1" t="str">
        <f>HYPERLINK("http://www.rosaceae.org/gb/gbrowse/malus_x_domestica/?name=MDP0000163774","MDP0000163774")</f>
        <v>MDP0000163774</v>
      </c>
      <c r="D21908">
        <v>31.59</v>
      </c>
      <c r="E21908">
        <v>288</v>
      </c>
      <c r="F21908">
        <v>197</v>
      </c>
      <c r="G21908">
        <v>63</v>
      </c>
      <c r="H21908">
        <v>462</v>
      </c>
      <c r="I21908">
        <v>691</v>
      </c>
      <c r="J21908">
        <v>1</v>
      </c>
      <c r="K21908">
        <v>53</v>
      </c>
      <c r="L21908">
        <v>335</v>
      </c>
      <c r="M21908">
        <v>1</v>
      </c>
      <c r="N21908">
        <v>2.48044E-32</v>
      </c>
      <c r="O21908">
        <v>348</v>
      </c>
    </row>
    <row r="21909" spans="1:15" x14ac:dyDescent="0.25">
      <c r="A21909" t="s">
        <v>21922</v>
      </c>
      <c r="B21909">
        <v>448</v>
      </c>
      <c r="C21909" s="1" t="str">
        <f>HYPERLINK("http://www.rosaceae.org/gb/gbrowse/malus_x_domestica/?name=MDP0000307326","MDP0000307326")</f>
        <v>MDP0000307326</v>
      </c>
      <c r="D21909">
        <v>77.97</v>
      </c>
      <c r="E21909">
        <v>395</v>
      </c>
      <c r="F21909">
        <v>87</v>
      </c>
      <c r="G21909">
        <v>20</v>
      </c>
      <c r="H21909">
        <v>41</v>
      </c>
      <c r="I21909">
        <v>422</v>
      </c>
      <c r="J21909">
        <v>1</v>
      </c>
      <c r="K21909">
        <v>46</v>
      </c>
      <c r="L21909">
        <v>433</v>
      </c>
      <c r="M21909">
        <v>1</v>
      </c>
      <c r="N21909">
        <v>1.3222999999999999E-174</v>
      </c>
      <c r="O21909">
        <v>1572</v>
      </c>
    </row>
    <row r="21910" spans="1:15" x14ac:dyDescent="0.25">
      <c r="A21910" t="s">
        <v>21923</v>
      </c>
      <c r="B21910">
        <v>218</v>
      </c>
      <c r="C21910" s="1" t="str">
        <f>HYPERLINK("http://www.rosaceae.org/gb/gbrowse/malus_x_domestica/?name=MDP0000119843","MDP0000119843")</f>
        <v>MDP0000119843</v>
      </c>
      <c r="D21910">
        <v>46.66</v>
      </c>
      <c r="E21910">
        <v>90</v>
      </c>
      <c r="F21910">
        <v>48</v>
      </c>
      <c r="G21910">
        <v>1</v>
      </c>
      <c r="H21910">
        <v>23</v>
      </c>
      <c r="I21910">
        <v>111</v>
      </c>
      <c r="J21910">
        <v>1</v>
      </c>
      <c r="K21910">
        <v>138</v>
      </c>
      <c r="L21910">
        <v>227</v>
      </c>
      <c r="M21910">
        <v>1</v>
      </c>
      <c r="N21910">
        <v>3.7193100000000001E-14</v>
      </c>
      <c r="O21910">
        <v>184</v>
      </c>
    </row>
    <row r="21911" spans="1:15" x14ac:dyDescent="0.25">
      <c r="A21911" t="s">
        <v>21924</v>
      </c>
      <c r="B21911">
        <v>178</v>
      </c>
      <c r="C21911" s="1" t="str">
        <f>HYPERLINK("http://www.rosaceae.org/gb/gbrowse/malus_x_domestica/?name=MDP0000368163","MDP0000368163")</f>
        <v>MDP0000368163</v>
      </c>
      <c r="D21911">
        <v>68.08</v>
      </c>
      <c r="E21911">
        <v>188</v>
      </c>
      <c r="F21911">
        <v>60</v>
      </c>
      <c r="G21911">
        <v>19</v>
      </c>
      <c r="H21911">
        <v>1</v>
      </c>
      <c r="I21911">
        <v>170</v>
      </c>
      <c r="J21911">
        <v>1</v>
      </c>
      <c r="K21911">
        <v>10</v>
      </c>
      <c r="L21911">
        <v>196</v>
      </c>
      <c r="M21911">
        <v>1</v>
      </c>
      <c r="N21911">
        <v>5.4124500000000004E-66</v>
      </c>
      <c r="O21911">
        <v>630</v>
      </c>
    </row>
    <row r="21912" spans="1:15" x14ac:dyDescent="0.25">
      <c r="A21912" t="s">
        <v>21925</v>
      </c>
      <c r="B21912">
        <v>1642</v>
      </c>
      <c r="C21912" s="1" t="str">
        <f>HYPERLINK("http://www.rosaceae.org/gb/gbrowse/malus_x_domestica/?name=MDP0000321249","MDP0000321249")</f>
        <v>MDP0000321249</v>
      </c>
      <c r="D21912">
        <v>67.86</v>
      </c>
      <c r="E21912">
        <v>865</v>
      </c>
      <c r="F21912">
        <v>278</v>
      </c>
      <c r="G21912">
        <v>142</v>
      </c>
      <c r="H21912">
        <v>3</v>
      </c>
      <c r="I21912">
        <v>823</v>
      </c>
      <c r="J21912">
        <v>1</v>
      </c>
      <c r="K21912">
        <v>11</v>
      </c>
      <c r="L21912">
        <v>777</v>
      </c>
      <c r="M21912">
        <v>1</v>
      </c>
      <c r="N21912">
        <v>0</v>
      </c>
      <c r="O21912">
        <v>2943</v>
      </c>
    </row>
    <row r="21913" spans="1:15" x14ac:dyDescent="0.25">
      <c r="A21913" t="s">
        <v>21926</v>
      </c>
      <c r="B21913">
        <v>211</v>
      </c>
      <c r="C21913" s="1" t="str">
        <f>HYPERLINK("http://www.rosaceae.org/gb/gbrowse/malus_x_domestica/?name=MDP0000241635","MDP0000241635")</f>
        <v>MDP0000241635</v>
      </c>
      <c r="D21913">
        <v>47.87</v>
      </c>
      <c r="E21913">
        <v>188</v>
      </c>
      <c r="F21913">
        <v>98</v>
      </c>
      <c r="G21913">
        <v>9</v>
      </c>
      <c r="H21913">
        <v>1</v>
      </c>
      <c r="I21913">
        <v>186</v>
      </c>
      <c r="J21913">
        <v>1</v>
      </c>
      <c r="K21913">
        <v>58</v>
      </c>
      <c r="L21913">
        <v>238</v>
      </c>
      <c r="M21913">
        <v>1</v>
      </c>
      <c r="N21913">
        <v>1.8143399999999999E-36</v>
      </c>
      <c r="O21913">
        <v>376</v>
      </c>
    </row>
    <row r="21914" spans="1:15" x14ac:dyDescent="0.25">
      <c r="A21914" t="s">
        <v>21927</v>
      </c>
      <c r="B21914">
        <v>299</v>
      </c>
      <c r="C21914" s="1" t="str">
        <f>HYPERLINK("http://www.rosaceae.org/gb/gbrowse/malus_x_domestica/?name=MDP0000294673","MDP0000294673")</f>
        <v>MDP0000294673</v>
      </c>
      <c r="D21914">
        <v>67.56</v>
      </c>
      <c r="E21914">
        <v>259</v>
      </c>
      <c r="F21914">
        <v>84</v>
      </c>
      <c r="G21914">
        <v>9</v>
      </c>
      <c r="H21914">
        <v>43</v>
      </c>
      <c r="I21914">
        <v>294</v>
      </c>
      <c r="J21914">
        <v>1</v>
      </c>
      <c r="K21914">
        <v>4</v>
      </c>
      <c r="L21914">
        <v>260</v>
      </c>
      <c r="M21914">
        <v>1</v>
      </c>
      <c r="N21914">
        <v>2.9969500000000002E-98</v>
      </c>
      <c r="O21914">
        <v>911</v>
      </c>
    </row>
    <row r="21915" spans="1:15" x14ac:dyDescent="0.25">
      <c r="A21915" t="s">
        <v>21928</v>
      </c>
      <c r="B21915">
        <v>249</v>
      </c>
      <c r="C21915" s="1" t="str">
        <f>HYPERLINK("http://www.rosaceae.org/gb/gbrowse/malus_x_domestica/?name=MDP0000134946","MDP0000134946")</f>
        <v>MDP0000134946</v>
      </c>
      <c r="D21915">
        <v>77.25</v>
      </c>
      <c r="E21915">
        <v>211</v>
      </c>
      <c r="F21915">
        <v>48</v>
      </c>
      <c r="G21915">
        <v>9</v>
      </c>
      <c r="H21915">
        <v>12</v>
      </c>
      <c r="I21915">
        <v>214</v>
      </c>
      <c r="J21915">
        <v>1</v>
      </c>
      <c r="K21915">
        <v>51</v>
      </c>
      <c r="L21915">
        <v>260</v>
      </c>
      <c r="M21915">
        <v>1</v>
      </c>
      <c r="N21915">
        <v>6.0169099999999998E-89</v>
      </c>
      <c r="O21915">
        <v>830</v>
      </c>
    </row>
    <row r="21916" spans="1:15" x14ac:dyDescent="0.25">
      <c r="A21916" t="s">
        <v>21929</v>
      </c>
      <c r="B21916">
        <v>208</v>
      </c>
      <c r="C21916" s="1" t="str">
        <f>HYPERLINK("http://www.rosaceae.org/gb/gbrowse/malus_x_domestica/?name=MDP0000120176","MDP0000120176")</f>
        <v>MDP0000120176</v>
      </c>
      <c r="D21916">
        <v>59.13</v>
      </c>
      <c r="E21916">
        <v>208</v>
      </c>
      <c r="F21916">
        <v>85</v>
      </c>
      <c r="G21916">
        <v>2</v>
      </c>
      <c r="H21916">
        <v>1</v>
      </c>
      <c r="I21916">
        <v>208</v>
      </c>
      <c r="J21916">
        <v>1</v>
      </c>
      <c r="K21916">
        <v>368</v>
      </c>
      <c r="L21916">
        <v>573</v>
      </c>
      <c r="M21916">
        <v>1</v>
      </c>
      <c r="N21916">
        <v>1.5714299999999999E-64</v>
      </c>
      <c r="O21916">
        <v>618</v>
      </c>
    </row>
    <row r="21917" spans="1:15" x14ac:dyDescent="0.25">
      <c r="A21917" t="s">
        <v>21930</v>
      </c>
      <c r="B21917">
        <v>272</v>
      </c>
      <c r="C21917" s="1" t="str">
        <f>HYPERLINK("http://www.rosaceae.org/gb/gbrowse/malus_x_domestica/?name=MDP0000779747","MDP0000779747")</f>
        <v>MDP0000779747</v>
      </c>
      <c r="D21917">
        <v>64.7</v>
      </c>
      <c r="E21917">
        <v>238</v>
      </c>
      <c r="F21917">
        <v>84</v>
      </c>
      <c r="G21917">
        <v>39</v>
      </c>
      <c r="H21917">
        <v>35</v>
      </c>
      <c r="I21917">
        <v>271</v>
      </c>
      <c r="J21917">
        <v>1</v>
      </c>
      <c r="K21917">
        <v>51</v>
      </c>
      <c r="L21917">
        <v>250</v>
      </c>
      <c r="M21917">
        <v>1</v>
      </c>
      <c r="N21917">
        <v>3.6001499999999998E-81</v>
      </c>
      <c r="O21917">
        <v>763</v>
      </c>
    </row>
    <row r="21918" spans="1:15" x14ac:dyDescent="0.25">
      <c r="A21918" t="s">
        <v>21931</v>
      </c>
      <c r="B21918">
        <v>444</v>
      </c>
      <c r="C21918" s="1" t="str">
        <f>HYPERLINK("http://www.rosaceae.org/gb/gbrowse/malus_x_domestica/?name=MDP0000893203","MDP0000893203")</f>
        <v>MDP0000893203</v>
      </c>
      <c r="D21918">
        <v>64.48</v>
      </c>
      <c r="E21918">
        <v>459</v>
      </c>
      <c r="F21918">
        <v>163</v>
      </c>
      <c r="G21918">
        <v>30</v>
      </c>
      <c r="H21918">
        <v>1</v>
      </c>
      <c r="I21918">
        <v>443</v>
      </c>
      <c r="J21918">
        <v>1</v>
      </c>
      <c r="K21918">
        <v>1</v>
      </c>
      <c r="L21918">
        <v>445</v>
      </c>
      <c r="M21918">
        <v>1</v>
      </c>
      <c r="N21918">
        <v>1.40146E-163</v>
      </c>
      <c r="O21918">
        <v>1477</v>
      </c>
    </row>
    <row r="21919" spans="1:15" x14ac:dyDescent="0.25">
      <c r="A21919" t="s">
        <v>21932</v>
      </c>
      <c r="B21919">
        <v>1292</v>
      </c>
      <c r="C21919" s="1" t="str">
        <f>HYPERLINK("http://www.rosaceae.org/gb/gbrowse/malus_x_domestica/?name=MDP0000298017","MDP0000298017")</f>
        <v>MDP0000298017</v>
      </c>
      <c r="D21919">
        <v>80.069999999999993</v>
      </c>
      <c r="E21919">
        <v>1275</v>
      </c>
      <c r="F21919">
        <v>254</v>
      </c>
      <c r="G21919">
        <v>28</v>
      </c>
      <c r="H21919">
        <v>38</v>
      </c>
      <c r="I21919">
        <v>1292</v>
      </c>
      <c r="J21919">
        <v>1</v>
      </c>
      <c r="K21919">
        <v>292</v>
      </c>
      <c r="L21919">
        <v>1558</v>
      </c>
      <c r="M21919">
        <v>1</v>
      </c>
      <c r="N21919">
        <v>0</v>
      </c>
      <c r="O21919">
        <v>5323</v>
      </c>
    </row>
    <row r="21920" spans="1:15" x14ac:dyDescent="0.25">
      <c r="A21920" t="s">
        <v>21933</v>
      </c>
      <c r="B21920">
        <v>282</v>
      </c>
      <c r="C21920" s="1" t="str">
        <f>HYPERLINK("http://www.rosaceae.org/gb/gbrowse/malus_x_domestica/?name=MDP0000259142","MDP0000259142")</f>
        <v>MDP0000259142</v>
      </c>
      <c r="D21920">
        <v>43.6</v>
      </c>
      <c r="E21920">
        <v>305</v>
      </c>
      <c r="F21920">
        <v>172</v>
      </c>
      <c r="G21920">
        <v>77</v>
      </c>
      <c r="H21920">
        <v>39</v>
      </c>
      <c r="I21920">
        <v>270</v>
      </c>
      <c r="J21920">
        <v>1</v>
      </c>
      <c r="K21920">
        <v>665</v>
      </c>
      <c r="L21920">
        <v>965</v>
      </c>
      <c r="M21920">
        <v>1</v>
      </c>
      <c r="N21920">
        <v>3.9472600000000001E-47</v>
      </c>
      <c r="O21920">
        <v>470</v>
      </c>
    </row>
    <row r="21921" spans="1:15" x14ac:dyDescent="0.25">
      <c r="A21921" t="s">
        <v>21934</v>
      </c>
      <c r="B21921">
        <v>315</v>
      </c>
      <c r="C21921" s="1" t="str">
        <f>HYPERLINK("http://www.rosaceae.org/gb/gbrowse/malus_x_domestica/?name=MDP0000311319","MDP0000311319")</f>
        <v>MDP0000311319</v>
      </c>
      <c r="D21921">
        <v>58.84</v>
      </c>
      <c r="E21921">
        <v>294</v>
      </c>
      <c r="F21921">
        <v>121</v>
      </c>
      <c r="G21921">
        <v>3</v>
      </c>
      <c r="H21921">
        <v>23</v>
      </c>
      <c r="I21921">
        <v>315</v>
      </c>
      <c r="J21921">
        <v>1</v>
      </c>
      <c r="K21921">
        <v>371</v>
      </c>
      <c r="L21921">
        <v>662</v>
      </c>
      <c r="M21921">
        <v>1</v>
      </c>
      <c r="N21921">
        <v>2.6587199999999998E-91</v>
      </c>
      <c r="O21921">
        <v>852</v>
      </c>
    </row>
    <row r="21922" spans="1:15" x14ac:dyDescent="0.25">
      <c r="A21922" t="s">
        <v>21935</v>
      </c>
      <c r="B21922">
        <v>268</v>
      </c>
      <c r="C21922" s="1" t="str">
        <f>HYPERLINK("http://www.rosaceae.org/gb/gbrowse/malus_x_domestica/?name=MDP0000952156","MDP0000952156")</f>
        <v>MDP0000952156</v>
      </c>
      <c r="D21922">
        <v>45.73</v>
      </c>
      <c r="E21922">
        <v>164</v>
      </c>
      <c r="F21922">
        <v>89</v>
      </c>
      <c r="G21922">
        <v>11</v>
      </c>
      <c r="H21922">
        <v>1</v>
      </c>
      <c r="I21922">
        <v>155</v>
      </c>
      <c r="J21922">
        <v>1</v>
      </c>
      <c r="K21922">
        <v>1</v>
      </c>
      <c r="L21922">
        <v>162</v>
      </c>
      <c r="M21922">
        <v>1</v>
      </c>
      <c r="N21922">
        <v>2.0778699999999999E-24</v>
      </c>
      <c r="O21922">
        <v>274</v>
      </c>
    </row>
    <row r="21923" spans="1:15" x14ac:dyDescent="0.25">
      <c r="A21923" t="s">
        <v>21936</v>
      </c>
      <c r="B21923">
        <v>104</v>
      </c>
      <c r="C21923" s="1" t="str">
        <f>HYPERLINK("http://www.rosaceae.org/gb/gbrowse/malus_x_domestica/?name=MDP0000134337","MDP0000134337")</f>
        <v>MDP0000134337</v>
      </c>
      <c r="D21923">
        <v>42.85</v>
      </c>
      <c r="E21923">
        <v>77</v>
      </c>
      <c r="F21923">
        <v>44</v>
      </c>
      <c r="G21923">
        <v>1</v>
      </c>
      <c r="H21923">
        <v>26</v>
      </c>
      <c r="I21923">
        <v>102</v>
      </c>
      <c r="J21923">
        <v>1</v>
      </c>
      <c r="K21923">
        <v>34</v>
      </c>
      <c r="L21923">
        <v>109</v>
      </c>
      <c r="M21923">
        <v>1</v>
      </c>
      <c r="N21923">
        <v>2.9389299999999998E-11</v>
      </c>
      <c r="O21923">
        <v>155</v>
      </c>
    </row>
    <row r="21924" spans="1:15" x14ac:dyDescent="0.25">
      <c r="A21924" t="s">
        <v>21937</v>
      </c>
      <c r="B21924">
        <v>248</v>
      </c>
      <c r="C21924" s="1" t="str">
        <f>HYPERLINK("http://www.rosaceae.org/gb/gbrowse/malus_x_domestica/?name=MDP0000256937","MDP0000256937")</f>
        <v>MDP0000256937</v>
      </c>
      <c r="D21924">
        <v>95.13</v>
      </c>
      <c r="E21924">
        <v>226</v>
      </c>
      <c r="F21924">
        <v>11</v>
      </c>
      <c r="G21924">
        <v>0</v>
      </c>
      <c r="H21924">
        <v>3</v>
      </c>
      <c r="I21924">
        <v>228</v>
      </c>
      <c r="J21924">
        <v>1</v>
      </c>
      <c r="K21924">
        <v>2</v>
      </c>
      <c r="L21924">
        <v>227</v>
      </c>
      <c r="M21924">
        <v>1</v>
      </c>
      <c r="N21924">
        <v>1.0874799999999999E-124</v>
      </c>
      <c r="O21924">
        <v>1138</v>
      </c>
    </row>
    <row r="21925" spans="1:15" x14ac:dyDescent="0.25">
      <c r="A21925" t="s">
        <v>21938</v>
      </c>
      <c r="B21925">
        <v>854</v>
      </c>
      <c r="C21925" s="1" t="str">
        <f>HYPERLINK("http://www.rosaceae.org/gb/gbrowse/malus_x_domestica/?name=MDP0000300217","MDP0000300217")</f>
        <v>MDP0000300217</v>
      </c>
      <c r="D21925">
        <v>86.53</v>
      </c>
      <c r="E21925">
        <v>854</v>
      </c>
      <c r="F21925">
        <v>115</v>
      </c>
      <c r="G21925">
        <v>24</v>
      </c>
      <c r="H21925">
        <v>1</v>
      </c>
      <c r="I21925">
        <v>854</v>
      </c>
      <c r="J21925">
        <v>1</v>
      </c>
      <c r="K21925">
        <v>1</v>
      </c>
      <c r="L21925">
        <v>830</v>
      </c>
      <c r="M21925">
        <v>1</v>
      </c>
      <c r="N21925">
        <v>0</v>
      </c>
      <c r="O21925">
        <v>3990</v>
      </c>
    </row>
    <row r="21926" spans="1:15" x14ac:dyDescent="0.25">
      <c r="A21926" t="s">
        <v>21939</v>
      </c>
      <c r="B21926">
        <v>503</v>
      </c>
      <c r="C21926" s="1" t="str">
        <f>HYPERLINK("http://www.rosaceae.org/gb/gbrowse/malus_x_domestica/?name=MDP0000126939","MDP0000126939")</f>
        <v>MDP0000126939</v>
      </c>
      <c r="D21926">
        <v>73.099999999999994</v>
      </c>
      <c r="E21926">
        <v>290</v>
      </c>
      <c r="F21926">
        <v>78</v>
      </c>
      <c r="G21926">
        <v>14</v>
      </c>
      <c r="H21926">
        <v>1</v>
      </c>
      <c r="I21926">
        <v>290</v>
      </c>
      <c r="J21926">
        <v>1</v>
      </c>
      <c r="K21926">
        <v>1</v>
      </c>
      <c r="L21926">
        <v>276</v>
      </c>
      <c r="M21926">
        <v>1</v>
      </c>
      <c r="N21926">
        <v>1.67427E-113</v>
      </c>
      <c r="O21926">
        <v>1045</v>
      </c>
    </row>
    <row r="21927" spans="1:15" x14ac:dyDescent="0.25">
      <c r="A21927" t="s">
        <v>21940</v>
      </c>
      <c r="B21927">
        <v>131</v>
      </c>
      <c r="C21927" s="1" t="str">
        <f>HYPERLINK("http://www.rosaceae.org/gb/gbrowse/malus_x_domestica/?name=MDP0000227657","MDP0000227657")</f>
        <v>MDP0000227657</v>
      </c>
      <c r="D21927">
        <v>61.9</v>
      </c>
      <c r="E21927">
        <v>42</v>
      </c>
      <c r="F21927">
        <v>16</v>
      </c>
      <c r="G21927">
        <v>1</v>
      </c>
      <c r="H21927">
        <v>18</v>
      </c>
      <c r="I21927">
        <v>59</v>
      </c>
      <c r="J21927">
        <v>1</v>
      </c>
      <c r="K21927">
        <v>25</v>
      </c>
      <c r="L21927">
        <v>65</v>
      </c>
      <c r="M21927">
        <v>1</v>
      </c>
      <c r="N21927">
        <v>5.7655500000000003E-8</v>
      </c>
      <c r="O21927">
        <v>127</v>
      </c>
    </row>
    <row r="21928" spans="1:15" x14ac:dyDescent="0.25">
      <c r="A21928" t="s">
        <v>21941</v>
      </c>
      <c r="B21928">
        <v>1191</v>
      </c>
      <c r="C21928" s="1" t="str">
        <f>HYPERLINK("http://www.rosaceae.org/gb/gbrowse/malus_x_domestica/?name=MDP0000162900","MDP0000162900")</f>
        <v>MDP0000162900</v>
      </c>
      <c r="D21928">
        <v>75.95</v>
      </c>
      <c r="E21928">
        <v>886</v>
      </c>
      <c r="F21928">
        <v>213</v>
      </c>
      <c r="G21928">
        <v>27</v>
      </c>
      <c r="H21928">
        <v>1</v>
      </c>
      <c r="I21928">
        <v>871</v>
      </c>
      <c r="J21928">
        <v>1</v>
      </c>
      <c r="K21928">
        <v>1</v>
      </c>
      <c r="L21928">
        <v>874</v>
      </c>
      <c r="M21928">
        <v>1</v>
      </c>
      <c r="N21928">
        <v>0</v>
      </c>
      <c r="O21928">
        <v>3461</v>
      </c>
    </row>
    <row r="21929" spans="1:15" x14ac:dyDescent="0.25">
      <c r="A21929" t="s">
        <v>21942</v>
      </c>
      <c r="B21929">
        <v>309</v>
      </c>
      <c r="C21929" s="1" t="str">
        <f>HYPERLINK("http://www.rosaceae.org/gb/gbrowse/malus_x_domestica/?name=MDP0000868556","MDP0000868556")</f>
        <v>MDP0000868556</v>
      </c>
      <c r="D21929">
        <v>65.67</v>
      </c>
      <c r="E21929">
        <v>303</v>
      </c>
      <c r="F21929">
        <v>104</v>
      </c>
      <c r="G21929">
        <v>19</v>
      </c>
      <c r="H21929">
        <v>4</v>
      </c>
      <c r="I21929">
        <v>306</v>
      </c>
      <c r="J21929">
        <v>1</v>
      </c>
      <c r="K21929">
        <v>11</v>
      </c>
      <c r="L21929">
        <v>294</v>
      </c>
      <c r="M21929">
        <v>1</v>
      </c>
      <c r="N21929">
        <v>4.81078E-105</v>
      </c>
      <c r="O21929">
        <v>970</v>
      </c>
    </row>
    <row r="21930" spans="1:15" x14ac:dyDescent="0.25">
      <c r="A21930" t="s">
        <v>21943</v>
      </c>
      <c r="B21930">
        <v>156</v>
      </c>
      <c r="C21930" s="1" t="str">
        <f>HYPERLINK("http://www.rosaceae.org/gb/gbrowse/malus_x_domestica/?name=MDP0000643705","MDP0000643705")</f>
        <v>MDP0000643705</v>
      </c>
      <c r="D21930">
        <v>79.48</v>
      </c>
      <c r="E21930">
        <v>156</v>
      </c>
      <c r="F21930">
        <v>32</v>
      </c>
      <c r="G21930">
        <v>4</v>
      </c>
      <c r="H21930">
        <v>1</v>
      </c>
      <c r="I21930">
        <v>156</v>
      </c>
      <c r="J21930">
        <v>1</v>
      </c>
      <c r="K21930">
        <v>1</v>
      </c>
      <c r="L21930">
        <v>152</v>
      </c>
      <c r="M21930">
        <v>1</v>
      </c>
      <c r="N21930">
        <v>1.13689E-63</v>
      </c>
      <c r="O21930">
        <v>609</v>
      </c>
    </row>
    <row r="21931" spans="1:15" x14ac:dyDescent="0.25">
      <c r="A21931" t="s">
        <v>21944</v>
      </c>
      <c r="B21931">
        <v>432</v>
      </c>
      <c r="C21931" s="1" t="str">
        <f>HYPERLINK("http://www.rosaceae.org/gb/gbrowse/malus_x_domestica/?name=MDP0000161842","MDP0000161842")</f>
        <v>MDP0000161842</v>
      </c>
      <c r="D21931">
        <v>75.459999999999994</v>
      </c>
      <c r="E21931">
        <v>428</v>
      </c>
      <c r="F21931">
        <v>105</v>
      </c>
      <c r="G21931">
        <v>25</v>
      </c>
      <c r="H21931">
        <v>5</v>
      </c>
      <c r="I21931">
        <v>432</v>
      </c>
      <c r="J21931">
        <v>1</v>
      </c>
      <c r="K21931">
        <v>3</v>
      </c>
      <c r="L21931">
        <v>405</v>
      </c>
      <c r="M21931">
        <v>1</v>
      </c>
      <c r="N21931">
        <v>0</v>
      </c>
      <c r="O21931">
        <v>1686</v>
      </c>
    </row>
    <row r="21932" spans="1:15" x14ac:dyDescent="0.25">
      <c r="A21932" t="s">
        <v>21945</v>
      </c>
      <c r="B21932">
        <v>120</v>
      </c>
      <c r="C21932" s="1" t="str">
        <f>HYPERLINK("http://www.rosaceae.org/gb/gbrowse/malus_x_domestica/?name=MDP0000415894","MDP0000415894")</f>
        <v>MDP0000415894</v>
      </c>
      <c r="D21932">
        <v>62.8</v>
      </c>
      <c r="E21932">
        <v>121</v>
      </c>
      <c r="F21932">
        <v>45</v>
      </c>
      <c r="G21932">
        <v>3</v>
      </c>
      <c r="H21932">
        <v>1</v>
      </c>
      <c r="I21932">
        <v>120</v>
      </c>
      <c r="J21932">
        <v>1</v>
      </c>
      <c r="K21932">
        <v>910</v>
      </c>
      <c r="L21932">
        <v>1028</v>
      </c>
      <c r="M21932">
        <v>1</v>
      </c>
      <c r="N21932">
        <v>2.6539699999999998E-36</v>
      </c>
      <c r="O21932">
        <v>370</v>
      </c>
    </row>
    <row r="21933" spans="1:15" x14ac:dyDescent="0.25">
      <c r="A21933" t="s">
        <v>21946</v>
      </c>
      <c r="B21933">
        <v>298</v>
      </c>
      <c r="C21933" s="1" t="str">
        <f>HYPERLINK("http://www.rosaceae.org/gb/gbrowse/malus_x_domestica/?name=MDP0000134730","MDP0000134730")</f>
        <v>MDP0000134730</v>
      </c>
      <c r="D21933">
        <v>71.02</v>
      </c>
      <c r="E21933">
        <v>283</v>
      </c>
      <c r="F21933">
        <v>82</v>
      </c>
      <c r="G21933">
        <v>21</v>
      </c>
      <c r="H21933">
        <v>17</v>
      </c>
      <c r="I21933">
        <v>278</v>
      </c>
      <c r="J21933">
        <v>1</v>
      </c>
      <c r="K21933">
        <v>204</v>
      </c>
      <c r="L21933">
        <v>486</v>
      </c>
      <c r="M21933">
        <v>1</v>
      </c>
      <c r="N21933">
        <v>2.0971799999999999E-103</v>
      </c>
      <c r="O21933">
        <v>956</v>
      </c>
    </row>
    <row r="21934" spans="1:15" x14ac:dyDescent="0.25">
      <c r="A21934" t="s">
        <v>21947</v>
      </c>
      <c r="B21934">
        <v>419</v>
      </c>
      <c r="C21934" s="1" t="str">
        <f>HYPERLINK("http://www.rosaceae.org/gb/gbrowse/malus_x_domestica/?name=MDP0000251865","MDP0000251865")</f>
        <v>MDP0000251865</v>
      </c>
      <c r="D21934">
        <v>51.47</v>
      </c>
      <c r="E21934">
        <v>68</v>
      </c>
      <c r="F21934">
        <v>33</v>
      </c>
      <c r="G21934">
        <v>5</v>
      </c>
      <c r="H21934">
        <v>294</v>
      </c>
      <c r="I21934">
        <v>361</v>
      </c>
      <c r="J21934">
        <v>1</v>
      </c>
      <c r="K21934">
        <v>128</v>
      </c>
      <c r="L21934">
        <v>190</v>
      </c>
      <c r="M21934">
        <v>1</v>
      </c>
      <c r="N21934">
        <v>4.5728800000000003E-15</v>
      </c>
      <c r="O21934">
        <v>196</v>
      </c>
    </row>
    <row r="21935" spans="1:15" x14ac:dyDescent="0.25">
      <c r="A21935" t="s">
        <v>21948</v>
      </c>
      <c r="B21935">
        <v>958</v>
      </c>
      <c r="C21935" s="1" t="str">
        <f>HYPERLINK("http://www.rosaceae.org/gb/gbrowse/malus_x_domestica/?name=MDP0000144081","MDP0000144081")</f>
        <v>MDP0000144081</v>
      </c>
      <c r="D21935">
        <v>65.89</v>
      </c>
      <c r="E21935">
        <v>604</v>
      </c>
      <c r="F21935">
        <v>206</v>
      </c>
      <c r="G21935">
        <v>52</v>
      </c>
      <c r="H21935">
        <v>234</v>
      </c>
      <c r="I21935">
        <v>830</v>
      </c>
      <c r="J21935">
        <v>1</v>
      </c>
      <c r="K21935">
        <v>356</v>
      </c>
      <c r="L21935">
        <v>914</v>
      </c>
      <c r="M21935">
        <v>1</v>
      </c>
      <c r="N21935">
        <v>0</v>
      </c>
      <c r="O21935">
        <v>2004</v>
      </c>
    </row>
    <row r="21936" spans="1:15" x14ac:dyDescent="0.25">
      <c r="A21936" t="s">
        <v>21949</v>
      </c>
      <c r="B21936">
        <v>216</v>
      </c>
      <c r="C21936" s="1" t="str">
        <f>HYPERLINK("http://www.rosaceae.org/gb/gbrowse/malus_x_domestica/?name=MDP0000153244","MDP0000153244")</f>
        <v>MDP0000153244</v>
      </c>
      <c r="D21936">
        <v>45.04</v>
      </c>
      <c r="E21936">
        <v>111</v>
      </c>
      <c r="F21936">
        <v>61</v>
      </c>
      <c r="G21936">
        <v>0</v>
      </c>
      <c r="H21936">
        <v>44</v>
      </c>
      <c r="I21936">
        <v>154</v>
      </c>
      <c r="J21936">
        <v>1</v>
      </c>
      <c r="K21936">
        <v>211</v>
      </c>
      <c r="L21936">
        <v>321</v>
      </c>
      <c r="M21936">
        <v>1</v>
      </c>
      <c r="N21936">
        <v>2.0865800000000002E-21</v>
      </c>
      <c r="O21936">
        <v>247</v>
      </c>
    </row>
    <row r="21937" spans="1:15" x14ac:dyDescent="0.25">
      <c r="A21937" t="s">
        <v>21950</v>
      </c>
      <c r="B21937">
        <v>487</v>
      </c>
      <c r="C21937" s="1" t="str">
        <f>HYPERLINK("http://www.rosaceae.org/gb/gbrowse/malus_x_domestica/?name=MDP0000291504","MDP0000291504")</f>
        <v>MDP0000291504</v>
      </c>
      <c r="D21937">
        <v>75.900000000000006</v>
      </c>
      <c r="E21937">
        <v>498</v>
      </c>
      <c r="F21937">
        <v>120</v>
      </c>
      <c r="G21937">
        <v>15</v>
      </c>
      <c r="H21937">
        <v>4</v>
      </c>
      <c r="I21937">
        <v>486</v>
      </c>
      <c r="J21937">
        <v>1</v>
      </c>
      <c r="K21937">
        <v>2</v>
      </c>
      <c r="L21937">
        <v>499</v>
      </c>
      <c r="M21937">
        <v>1</v>
      </c>
      <c r="N21937">
        <v>0</v>
      </c>
      <c r="O21937">
        <v>2005</v>
      </c>
    </row>
    <row r="21938" spans="1:15" x14ac:dyDescent="0.25">
      <c r="A21938" t="s">
        <v>21951</v>
      </c>
      <c r="B21938">
        <v>1609</v>
      </c>
      <c r="C21938" s="1" t="str">
        <f>HYPERLINK("http://www.rosaceae.org/gb/gbrowse/malus_x_domestica/?name=MDP0000167949","MDP0000167949")</f>
        <v>MDP0000167949</v>
      </c>
      <c r="D21938">
        <v>47.94</v>
      </c>
      <c r="E21938">
        <v>876</v>
      </c>
      <c r="F21938">
        <v>456</v>
      </c>
      <c r="G21938">
        <v>173</v>
      </c>
      <c r="H21938">
        <v>884</v>
      </c>
      <c r="I21938">
        <v>1609</v>
      </c>
      <c r="J21938">
        <v>1</v>
      </c>
      <c r="K21938">
        <v>26</v>
      </c>
      <c r="L21938">
        <v>878</v>
      </c>
      <c r="M21938">
        <v>1</v>
      </c>
      <c r="N21938">
        <v>0</v>
      </c>
      <c r="O21938">
        <v>1852</v>
      </c>
    </row>
    <row r="21939" spans="1:15" x14ac:dyDescent="0.25">
      <c r="A21939" t="s">
        <v>21952</v>
      </c>
      <c r="B21939">
        <v>138</v>
      </c>
      <c r="C21939" s="1" t="str">
        <f>HYPERLINK("http://www.rosaceae.org/gb/gbrowse/malus_x_domestica/?name=MDP0000285463","MDP0000285463")</f>
        <v>MDP0000285463</v>
      </c>
      <c r="D21939">
        <v>55.26</v>
      </c>
      <c r="E21939">
        <v>38</v>
      </c>
      <c r="F21939">
        <v>17</v>
      </c>
      <c r="G21939">
        <v>0</v>
      </c>
      <c r="H21939">
        <v>65</v>
      </c>
      <c r="I21939">
        <v>102</v>
      </c>
      <c r="J21939">
        <v>1</v>
      </c>
      <c r="K21939">
        <v>89</v>
      </c>
      <c r="L21939">
        <v>126</v>
      </c>
      <c r="M21939">
        <v>1</v>
      </c>
      <c r="N21939">
        <v>3.604E-9</v>
      </c>
      <c r="O21939">
        <v>138</v>
      </c>
    </row>
    <row r="21940" spans="1:15" x14ac:dyDescent="0.25">
      <c r="A21940" t="s">
        <v>21953</v>
      </c>
      <c r="B21940">
        <v>717</v>
      </c>
      <c r="C21940" s="1" t="str">
        <f>HYPERLINK("http://www.rosaceae.org/gb/gbrowse/malus_x_domestica/?name=MDP0000190470","MDP0000190470")</f>
        <v>MDP0000190470</v>
      </c>
      <c r="D21940">
        <v>75.099999999999994</v>
      </c>
      <c r="E21940">
        <v>245</v>
      </c>
      <c r="F21940">
        <v>61</v>
      </c>
      <c r="G21940">
        <v>0</v>
      </c>
      <c r="H21940">
        <v>327</v>
      </c>
      <c r="I21940">
        <v>571</v>
      </c>
      <c r="J21940">
        <v>1</v>
      </c>
      <c r="K21940">
        <v>222</v>
      </c>
      <c r="L21940">
        <v>466</v>
      </c>
      <c r="M21940">
        <v>1</v>
      </c>
      <c r="N21940">
        <v>1.7355799999999999E-102</v>
      </c>
      <c r="O21940">
        <v>952</v>
      </c>
    </row>
    <row r="21941" spans="1:15" x14ac:dyDescent="0.25">
      <c r="A21941" t="s">
        <v>21954</v>
      </c>
      <c r="B21941">
        <v>464</v>
      </c>
      <c r="C21941" s="1" t="str">
        <f>HYPERLINK("http://www.rosaceae.org/gb/gbrowse/malus_x_domestica/?name=MDP0000511674","MDP0000511674")</f>
        <v>MDP0000511674</v>
      </c>
      <c r="D21941">
        <v>58.17</v>
      </c>
      <c r="E21941">
        <v>471</v>
      </c>
      <c r="F21941">
        <v>197</v>
      </c>
      <c r="G21941">
        <v>27</v>
      </c>
      <c r="H21941">
        <v>1</v>
      </c>
      <c r="I21941">
        <v>459</v>
      </c>
      <c r="J21941">
        <v>1</v>
      </c>
      <c r="K21941">
        <v>1</v>
      </c>
      <c r="L21941">
        <v>456</v>
      </c>
      <c r="M21941">
        <v>1</v>
      </c>
      <c r="N21941">
        <v>3.0752600000000001E-155</v>
      </c>
      <c r="O21941">
        <v>1405</v>
      </c>
    </row>
    <row r="21942" spans="1:15" x14ac:dyDescent="0.25">
      <c r="A21942" t="s">
        <v>21955</v>
      </c>
      <c r="B21942">
        <v>188</v>
      </c>
      <c r="C21942" s="1" t="str">
        <f>HYPERLINK("http://www.rosaceae.org/gb/gbrowse/malus_x_domestica/?name=MDP0000190538","MDP0000190538")</f>
        <v>MDP0000190538</v>
      </c>
      <c r="D21942">
        <v>39.659999999999997</v>
      </c>
      <c r="E21942">
        <v>179</v>
      </c>
      <c r="F21942">
        <v>108</v>
      </c>
      <c r="G21942">
        <v>7</v>
      </c>
      <c r="H21942">
        <v>1</v>
      </c>
      <c r="I21942">
        <v>174</v>
      </c>
      <c r="J21942">
        <v>1</v>
      </c>
      <c r="K21942">
        <v>1</v>
      </c>
      <c r="L21942">
        <v>177</v>
      </c>
      <c r="M21942">
        <v>1</v>
      </c>
      <c r="N21942">
        <v>3.6638899999999999E-29</v>
      </c>
      <c r="O21942">
        <v>313</v>
      </c>
    </row>
    <row r="21943" spans="1:15" x14ac:dyDescent="0.25">
      <c r="A21943" t="s">
        <v>21956</v>
      </c>
      <c r="B21943">
        <v>1974</v>
      </c>
      <c r="C21943" s="1" t="str">
        <f>HYPERLINK("http://www.rosaceae.org/gb/gbrowse/malus_x_domestica/?name=MDP0000229527","MDP0000229527")</f>
        <v>MDP0000229527</v>
      </c>
      <c r="D21943">
        <v>85.62</v>
      </c>
      <c r="E21943">
        <v>1976</v>
      </c>
      <c r="F21943">
        <v>284</v>
      </c>
      <c r="G21943">
        <v>116</v>
      </c>
      <c r="H21943">
        <v>44</v>
      </c>
      <c r="I21943">
        <v>1974</v>
      </c>
      <c r="J21943">
        <v>1</v>
      </c>
      <c r="K21943">
        <v>28</v>
      </c>
      <c r="L21943">
        <v>1932</v>
      </c>
      <c r="M21943">
        <v>1</v>
      </c>
      <c r="N21943">
        <v>0</v>
      </c>
      <c r="O21943">
        <v>8938</v>
      </c>
    </row>
    <row r="21944" spans="1:15" x14ac:dyDescent="0.25">
      <c r="A21944" t="s">
        <v>21957</v>
      </c>
      <c r="B21944">
        <v>210</v>
      </c>
      <c r="C21944" s="1" t="str">
        <f>HYPERLINK("http://www.rosaceae.org/gb/gbrowse/malus_x_domestica/?name=MDP0000254470","MDP0000254470")</f>
        <v>MDP0000254470</v>
      </c>
      <c r="D21944">
        <v>83.06</v>
      </c>
      <c r="E21944">
        <v>183</v>
      </c>
      <c r="F21944">
        <v>31</v>
      </c>
      <c r="G21944">
        <v>0</v>
      </c>
      <c r="H21944">
        <v>1</v>
      </c>
      <c r="I21944">
        <v>183</v>
      </c>
      <c r="J21944">
        <v>1</v>
      </c>
      <c r="K21944">
        <v>1</v>
      </c>
      <c r="L21944">
        <v>183</v>
      </c>
      <c r="M21944">
        <v>1</v>
      </c>
      <c r="N21944">
        <v>7.8960999999999998E-84</v>
      </c>
      <c r="O21944">
        <v>785</v>
      </c>
    </row>
    <row r="21945" spans="1:15" x14ac:dyDescent="0.25">
      <c r="A21945" t="s">
        <v>21958</v>
      </c>
      <c r="B21945">
        <v>534</v>
      </c>
      <c r="C21945" s="1" t="str">
        <f>HYPERLINK("http://www.rosaceae.org/gb/gbrowse/malus_x_domestica/?name=MDP0000320226","MDP0000320226")</f>
        <v>MDP0000320226</v>
      </c>
      <c r="D21945">
        <v>59.5</v>
      </c>
      <c r="E21945">
        <v>526</v>
      </c>
      <c r="F21945">
        <v>213</v>
      </c>
      <c r="G21945">
        <v>31</v>
      </c>
      <c r="H21945">
        <v>16</v>
      </c>
      <c r="I21945">
        <v>516</v>
      </c>
      <c r="J21945">
        <v>1</v>
      </c>
      <c r="K21945">
        <v>13</v>
      </c>
      <c r="L21945">
        <v>532</v>
      </c>
      <c r="M21945">
        <v>1</v>
      </c>
      <c r="N21945">
        <v>1.1615400000000001E-167</v>
      </c>
      <c r="O21945">
        <v>1513</v>
      </c>
    </row>
    <row r="21946" spans="1:15" x14ac:dyDescent="0.25">
      <c r="A21946" t="s">
        <v>21959</v>
      </c>
      <c r="B21946">
        <v>696</v>
      </c>
      <c r="C21946" s="1" t="str">
        <f>HYPERLINK("http://www.rosaceae.org/gb/gbrowse/malus_x_domestica/?name=MDP0000255245","MDP0000255245")</f>
        <v>MDP0000255245</v>
      </c>
      <c r="D21946">
        <v>64.67</v>
      </c>
      <c r="E21946">
        <v>637</v>
      </c>
      <c r="F21946">
        <v>225</v>
      </c>
      <c r="G21946">
        <v>28</v>
      </c>
      <c r="H21946">
        <v>73</v>
      </c>
      <c r="I21946">
        <v>684</v>
      </c>
      <c r="J21946">
        <v>1</v>
      </c>
      <c r="K21946">
        <v>264</v>
      </c>
      <c r="L21946">
        <v>897</v>
      </c>
      <c r="M21946">
        <v>1</v>
      </c>
      <c r="N21946">
        <v>0</v>
      </c>
      <c r="O21946">
        <v>2124</v>
      </c>
    </row>
    <row r="21947" spans="1:15" x14ac:dyDescent="0.25">
      <c r="A21947" t="s">
        <v>21960</v>
      </c>
      <c r="B21947">
        <v>454</v>
      </c>
      <c r="C21947" s="1" t="str">
        <f>HYPERLINK("http://www.rosaceae.org/gb/gbrowse/malus_x_domestica/?name=MDP0000607000","MDP0000607000")</f>
        <v>MDP0000607000</v>
      </c>
      <c r="D21947">
        <v>49.88</v>
      </c>
      <c r="E21947">
        <v>443</v>
      </c>
      <c r="F21947">
        <v>222</v>
      </c>
      <c r="G21947">
        <v>27</v>
      </c>
      <c r="H21947">
        <v>8</v>
      </c>
      <c r="I21947">
        <v>430</v>
      </c>
      <c r="J21947">
        <v>1</v>
      </c>
      <c r="K21947">
        <v>6</v>
      </c>
      <c r="L21947">
        <v>441</v>
      </c>
      <c r="M21947">
        <v>1</v>
      </c>
      <c r="N21947">
        <v>1.48702E-117</v>
      </c>
      <c r="O21947">
        <v>1080</v>
      </c>
    </row>
    <row r="21948" spans="1:15" x14ac:dyDescent="0.25">
      <c r="A21948" t="s">
        <v>21961</v>
      </c>
      <c r="B21948">
        <v>303</v>
      </c>
      <c r="C21948" s="1" t="str">
        <f>HYPERLINK("http://www.rosaceae.org/gb/gbrowse/malus_x_domestica/?name=MDP0000241185","MDP0000241185")</f>
        <v>MDP0000241185</v>
      </c>
      <c r="D21948">
        <v>56.93</v>
      </c>
      <c r="E21948">
        <v>281</v>
      </c>
      <c r="F21948">
        <v>121</v>
      </c>
      <c r="G21948">
        <v>9</v>
      </c>
      <c r="H21948">
        <v>1</v>
      </c>
      <c r="I21948">
        <v>274</v>
      </c>
      <c r="J21948">
        <v>1</v>
      </c>
      <c r="K21948">
        <v>1</v>
      </c>
      <c r="L21948">
        <v>279</v>
      </c>
      <c r="M21948">
        <v>1</v>
      </c>
      <c r="N21948">
        <v>6.5723900000000003E-78</v>
      </c>
      <c r="O21948">
        <v>736</v>
      </c>
    </row>
    <row r="21949" spans="1:15" x14ac:dyDescent="0.25">
      <c r="A21949" t="s">
        <v>21962</v>
      </c>
      <c r="B21949">
        <v>887</v>
      </c>
      <c r="C21949" s="1" t="str">
        <f>HYPERLINK("http://www.rosaceae.org/gb/gbrowse/malus_x_domestica/?name=MDP0000263740","MDP0000263740")</f>
        <v>MDP0000263740</v>
      </c>
      <c r="D21949">
        <v>41.83</v>
      </c>
      <c r="E21949">
        <v>196</v>
      </c>
      <c r="F21949">
        <v>114</v>
      </c>
      <c r="G21949">
        <v>7</v>
      </c>
      <c r="H21949">
        <v>268</v>
      </c>
      <c r="I21949">
        <v>463</v>
      </c>
      <c r="J21949">
        <v>1</v>
      </c>
      <c r="K21949">
        <v>573</v>
      </c>
      <c r="L21949">
        <v>761</v>
      </c>
      <c r="M21949">
        <v>1</v>
      </c>
      <c r="N21949">
        <v>4.3182799999999999E-38</v>
      </c>
      <c r="O21949">
        <v>397</v>
      </c>
    </row>
    <row r="21950" spans="1:15" x14ac:dyDescent="0.25">
      <c r="A21950" t="s">
        <v>21963</v>
      </c>
      <c r="B21950">
        <v>500</v>
      </c>
      <c r="C21950" s="1" t="str">
        <f>HYPERLINK("http://www.rosaceae.org/gb/gbrowse/malus_x_domestica/?name=MDP0000224715","MDP0000224715")</f>
        <v>MDP0000224715</v>
      </c>
      <c r="D21950">
        <v>67.62</v>
      </c>
      <c r="E21950">
        <v>312</v>
      </c>
      <c r="F21950">
        <v>101</v>
      </c>
      <c r="G21950">
        <v>21</v>
      </c>
      <c r="H21950">
        <v>22</v>
      </c>
      <c r="I21950">
        <v>312</v>
      </c>
      <c r="J21950">
        <v>1</v>
      </c>
      <c r="K21950">
        <v>19</v>
      </c>
      <c r="L21950">
        <v>330</v>
      </c>
      <c r="M21950">
        <v>1</v>
      </c>
      <c r="N21950">
        <v>5.2023499999999999E-119</v>
      </c>
      <c r="O21950">
        <v>1093</v>
      </c>
    </row>
    <row r="21951" spans="1:15" x14ac:dyDescent="0.25">
      <c r="A21951" t="s">
        <v>21964</v>
      </c>
      <c r="B21951">
        <v>598</v>
      </c>
      <c r="C21951" s="1" t="str">
        <f>HYPERLINK("http://www.rosaceae.org/gb/gbrowse/malus_x_domestica/?name=MDP0000227061","MDP0000227061")</f>
        <v>MDP0000227061</v>
      </c>
      <c r="D21951">
        <v>68.25</v>
      </c>
      <c r="E21951">
        <v>189</v>
      </c>
      <c r="F21951">
        <v>60</v>
      </c>
      <c r="G21951">
        <v>10</v>
      </c>
      <c r="H21951">
        <v>183</v>
      </c>
      <c r="I21951">
        <v>371</v>
      </c>
      <c r="J21951">
        <v>1</v>
      </c>
      <c r="K21951">
        <v>454</v>
      </c>
      <c r="L21951">
        <v>632</v>
      </c>
      <c r="M21951">
        <v>1</v>
      </c>
      <c r="N21951">
        <v>2.78384E-61</v>
      </c>
      <c r="O21951">
        <v>596</v>
      </c>
    </row>
    <row r="21952" spans="1:15" x14ac:dyDescent="0.25">
      <c r="A21952" t="s">
        <v>21965</v>
      </c>
      <c r="B21952">
        <v>1203</v>
      </c>
      <c r="C21952" s="1" t="str">
        <f>HYPERLINK("http://www.rosaceae.org/gb/gbrowse/malus_x_domestica/?name=MDP0000178821","MDP0000178821")</f>
        <v>MDP0000178821</v>
      </c>
      <c r="D21952">
        <v>88.92</v>
      </c>
      <c r="E21952">
        <v>316</v>
      </c>
      <c r="F21952">
        <v>35</v>
      </c>
      <c r="G21952">
        <v>5</v>
      </c>
      <c r="H21952">
        <v>893</v>
      </c>
      <c r="I21952">
        <v>1203</v>
      </c>
      <c r="J21952">
        <v>1</v>
      </c>
      <c r="K21952">
        <v>53</v>
      </c>
      <c r="L21952">
        <v>368</v>
      </c>
      <c r="M21952">
        <v>1</v>
      </c>
      <c r="N21952">
        <v>2.9851799999999999E-168</v>
      </c>
      <c r="O21952">
        <v>1521</v>
      </c>
    </row>
    <row r="21953" spans="1:15" x14ac:dyDescent="0.25">
      <c r="A21953" t="s">
        <v>21966</v>
      </c>
      <c r="B21953">
        <v>555</v>
      </c>
      <c r="C21953" s="1" t="str">
        <f>HYPERLINK("http://www.rosaceae.org/gb/gbrowse/malus_x_domestica/?name=MDP0000378930","MDP0000378930")</f>
        <v>MDP0000378930</v>
      </c>
      <c r="D21953">
        <v>38.090000000000003</v>
      </c>
      <c r="E21953">
        <v>357</v>
      </c>
      <c r="F21953">
        <v>221</v>
      </c>
      <c r="G21953">
        <v>29</v>
      </c>
      <c r="H21953">
        <v>48</v>
      </c>
      <c r="I21953">
        <v>396</v>
      </c>
      <c r="J21953">
        <v>1</v>
      </c>
      <c r="K21953">
        <v>6</v>
      </c>
      <c r="L21953">
        <v>341</v>
      </c>
      <c r="M21953">
        <v>1</v>
      </c>
      <c r="N21953">
        <v>7.6492700000000001E-56</v>
      </c>
      <c r="O21953">
        <v>549</v>
      </c>
    </row>
    <row r="21954" spans="1:15" x14ac:dyDescent="0.25">
      <c r="A21954" t="s">
        <v>21967</v>
      </c>
      <c r="B21954">
        <v>531</v>
      </c>
      <c r="C21954" s="1" t="str">
        <f>HYPERLINK("http://www.rosaceae.org/gb/gbrowse/malus_x_domestica/?name=MDP0000554950","MDP0000554950")</f>
        <v>MDP0000554950</v>
      </c>
      <c r="D21954">
        <v>62.05</v>
      </c>
      <c r="E21954">
        <v>311</v>
      </c>
      <c r="F21954">
        <v>118</v>
      </c>
      <c r="G21954">
        <v>5</v>
      </c>
      <c r="H21954">
        <v>1</v>
      </c>
      <c r="I21954">
        <v>311</v>
      </c>
      <c r="J21954">
        <v>1</v>
      </c>
      <c r="K21954">
        <v>1</v>
      </c>
      <c r="L21954">
        <v>306</v>
      </c>
      <c r="M21954">
        <v>1</v>
      </c>
      <c r="N21954">
        <v>1.8105999999999998E-108</v>
      </c>
      <c r="O21954">
        <v>1002</v>
      </c>
    </row>
    <row r="21955" spans="1:15" x14ac:dyDescent="0.25">
      <c r="A21955" t="s">
        <v>21968</v>
      </c>
      <c r="B21955">
        <v>731</v>
      </c>
      <c r="C21955" s="1" t="str">
        <f>HYPERLINK("http://www.rosaceae.org/gb/gbrowse/malus_x_domestica/?name=MDP0000304817","MDP0000304817")</f>
        <v>MDP0000304817</v>
      </c>
      <c r="D21955">
        <v>54.95</v>
      </c>
      <c r="E21955">
        <v>515</v>
      </c>
      <c r="F21955">
        <v>232</v>
      </c>
      <c r="G21955">
        <v>72</v>
      </c>
      <c r="H21955">
        <v>60</v>
      </c>
      <c r="I21955">
        <v>508</v>
      </c>
      <c r="J21955">
        <v>1</v>
      </c>
      <c r="K21955">
        <v>17</v>
      </c>
      <c r="L21955">
        <v>525</v>
      </c>
      <c r="M21955">
        <v>1</v>
      </c>
      <c r="N21955">
        <v>4.6455199999999999E-152</v>
      </c>
      <c r="O21955">
        <v>1379</v>
      </c>
    </row>
    <row r="21956" spans="1:15" x14ac:dyDescent="0.25">
      <c r="A21956" t="s">
        <v>21969</v>
      </c>
      <c r="B21956">
        <v>411</v>
      </c>
      <c r="C21956" s="1" t="str">
        <f>HYPERLINK("http://www.rosaceae.org/gb/gbrowse/malus_x_domestica/?name=MDP0000163984","MDP0000163984")</f>
        <v>MDP0000163984</v>
      </c>
      <c r="D21956">
        <v>70.13</v>
      </c>
      <c r="E21956">
        <v>432</v>
      </c>
      <c r="F21956">
        <v>129</v>
      </c>
      <c r="G21956">
        <v>58</v>
      </c>
      <c r="H21956">
        <v>12</v>
      </c>
      <c r="I21956">
        <v>393</v>
      </c>
      <c r="J21956">
        <v>1</v>
      </c>
      <c r="K21956">
        <v>1</v>
      </c>
      <c r="L21956">
        <v>424</v>
      </c>
      <c r="M21956">
        <v>1</v>
      </c>
      <c r="N21956">
        <v>1.6594299999999998E-170</v>
      </c>
      <c r="O21956">
        <v>1536</v>
      </c>
    </row>
    <row r="21957" spans="1:15" x14ac:dyDescent="0.25">
      <c r="A21957" t="s">
        <v>21970</v>
      </c>
      <c r="B21957">
        <v>218</v>
      </c>
      <c r="C21957" s="1" t="str">
        <f>HYPERLINK("http://www.rosaceae.org/gb/gbrowse/malus_x_domestica/?name=MDP0000188766","MDP0000188766")</f>
        <v>MDP0000188766</v>
      </c>
      <c r="D21957">
        <v>42.36</v>
      </c>
      <c r="E21957">
        <v>203</v>
      </c>
      <c r="F21957">
        <v>117</v>
      </c>
      <c r="G21957">
        <v>18</v>
      </c>
      <c r="H21957">
        <v>26</v>
      </c>
      <c r="I21957">
        <v>217</v>
      </c>
      <c r="J21957">
        <v>1</v>
      </c>
      <c r="K21957">
        <v>25</v>
      </c>
      <c r="L21957">
        <v>220</v>
      </c>
      <c r="M21957">
        <v>1</v>
      </c>
      <c r="N21957">
        <v>4.05091E-36</v>
      </c>
      <c r="O21957">
        <v>374</v>
      </c>
    </row>
    <row r="21958" spans="1:15" x14ac:dyDescent="0.25">
      <c r="A21958" t="s">
        <v>21971</v>
      </c>
      <c r="B21958">
        <v>111</v>
      </c>
      <c r="C21958" s="1" t="str">
        <f>HYPERLINK("http://www.rosaceae.org/gb/gbrowse/malus_x_domestica/?name=MDP0000279719","MDP0000279719")</f>
        <v>MDP0000279719</v>
      </c>
      <c r="D21958">
        <v>73.069999999999993</v>
      </c>
      <c r="E21958">
        <v>78</v>
      </c>
      <c r="F21958">
        <v>21</v>
      </c>
      <c r="G21958">
        <v>0</v>
      </c>
      <c r="H21958">
        <v>7</v>
      </c>
      <c r="I21958">
        <v>84</v>
      </c>
      <c r="J21958">
        <v>1</v>
      </c>
      <c r="K21958">
        <v>941</v>
      </c>
      <c r="L21958">
        <v>1018</v>
      </c>
      <c r="M21958">
        <v>1</v>
      </c>
      <c r="N21958">
        <v>2.0831800000000001E-29</v>
      </c>
      <c r="O21958">
        <v>311</v>
      </c>
    </row>
    <row r="21959" spans="1:15" x14ac:dyDescent="0.25">
      <c r="A21959" t="s">
        <v>21972</v>
      </c>
      <c r="B21959">
        <v>95</v>
      </c>
      <c r="C21959" s="1" t="str">
        <f>HYPERLINK("http://www.rosaceae.org/gb/gbrowse/malus_x_domestica/?name=MDP0000185014","MDP0000185014")</f>
        <v>MDP0000185014</v>
      </c>
      <c r="D21959">
        <v>51.47</v>
      </c>
      <c r="E21959">
        <v>68</v>
      </c>
      <c r="F21959">
        <v>33</v>
      </c>
      <c r="G21959">
        <v>4</v>
      </c>
      <c r="H21959">
        <v>27</v>
      </c>
      <c r="I21959">
        <v>94</v>
      </c>
      <c r="J21959">
        <v>1</v>
      </c>
      <c r="K21959">
        <v>27</v>
      </c>
      <c r="L21959">
        <v>90</v>
      </c>
      <c r="M21959">
        <v>1</v>
      </c>
      <c r="N21959">
        <v>5.92969E-14</v>
      </c>
      <c r="O21959">
        <v>178</v>
      </c>
    </row>
    <row r="21960" spans="1:15" x14ac:dyDescent="0.25">
      <c r="A21960" t="s">
        <v>21973</v>
      </c>
      <c r="B21960">
        <v>967</v>
      </c>
      <c r="C21960" s="1" t="str">
        <f>HYPERLINK("http://www.rosaceae.org/gb/gbrowse/malus_x_domestica/?name=MDP0000122556","MDP0000122556")</f>
        <v>MDP0000122556</v>
      </c>
      <c r="D21960">
        <v>78.400000000000006</v>
      </c>
      <c r="E21960">
        <v>778</v>
      </c>
      <c r="F21960">
        <v>168</v>
      </c>
      <c r="G21960">
        <v>8</v>
      </c>
      <c r="H21960">
        <v>1</v>
      </c>
      <c r="I21960">
        <v>774</v>
      </c>
      <c r="J21960">
        <v>1</v>
      </c>
      <c r="K21960">
        <v>1</v>
      </c>
      <c r="L21960">
        <v>774</v>
      </c>
      <c r="M21960">
        <v>1</v>
      </c>
      <c r="N21960">
        <v>0</v>
      </c>
      <c r="O21960">
        <v>3216</v>
      </c>
    </row>
    <row r="21961" spans="1:15" x14ac:dyDescent="0.25">
      <c r="A21961" t="s">
        <v>21974</v>
      </c>
      <c r="B21961">
        <v>648</v>
      </c>
      <c r="C21961" s="1" t="str">
        <f>HYPERLINK("http://www.rosaceae.org/gb/gbrowse/malus_x_domestica/?name=MDP0000146709","MDP0000146709")</f>
        <v>MDP0000146709</v>
      </c>
      <c r="D21961">
        <v>81.27</v>
      </c>
      <c r="E21961">
        <v>550</v>
      </c>
      <c r="F21961">
        <v>103</v>
      </c>
      <c r="G21961">
        <v>0</v>
      </c>
      <c r="H21961">
        <v>99</v>
      </c>
      <c r="I21961">
        <v>648</v>
      </c>
      <c r="J21961">
        <v>1</v>
      </c>
      <c r="K21961">
        <v>30</v>
      </c>
      <c r="L21961">
        <v>579</v>
      </c>
      <c r="M21961">
        <v>1</v>
      </c>
      <c r="N21961">
        <v>0</v>
      </c>
      <c r="O21961">
        <v>2400</v>
      </c>
    </row>
    <row r="21962" spans="1:15" x14ac:dyDescent="0.25">
      <c r="A21962" t="s">
        <v>21975</v>
      </c>
      <c r="B21962">
        <v>2866</v>
      </c>
      <c r="C21962" s="1" t="str">
        <f>HYPERLINK("http://www.rosaceae.org/gb/gbrowse/malus_x_domestica/?name=MDP0000255045","MDP0000255045")</f>
        <v>MDP0000255045</v>
      </c>
      <c r="D21962">
        <v>64.3</v>
      </c>
      <c r="E21962">
        <v>2950</v>
      </c>
      <c r="F21962">
        <v>1053</v>
      </c>
      <c r="G21962">
        <v>211</v>
      </c>
      <c r="H21962">
        <v>1</v>
      </c>
      <c r="I21962">
        <v>2821</v>
      </c>
      <c r="J21962">
        <v>1</v>
      </c>
      <c r="K21962">
        <v>123</v>
      </c>
      <c r="L21962">
        <v>2990</v>
      </c>
      <c r="M21962">
        <v>1</v>
      </c>
      <c r="N21962">
        <v>0</v>
      </c>
      <c r="O21962">
        <v>9061</v>
      </c>
    </row>
    <row r="21963" spans="1:15" x14ac:dyDescent="0.25">
      <c r="A21963" t="s">
        <v>21976</v>
      </c>
      <c r="B21963">
        <v>963</v>
      </c>
      <c r="C21963" s="1" t="str">
        <f>HYPERLINK("http://www.rosaceae.org/gb/gbrowse/malus_x_domestica/?name=MDP0000144734","MDP0000144734")</f>
        <v>MDP0000144734</v>
      </c>
      <c r="D21963">
        <v>66.94</v>
      </c>
      <c r="E21963">
        <v>962</v>
      </c>
      <c r="F21963">
        <v>318</v>
      </c>
      <c r="G21963">
        <v>26</v>
      </c>
      <c r="H21963">
        <v>6</v>
      </c>
      <c r="I21963">
        <v>961</v>
      </c>
      <c r="J21963">
        <v>1</v>
      </c>
      <c r="K21963">
        <v>1</v>
      </c>
      <c r="L21963">
        <v>942</v>
      </c>
      <c r="M21963">
        <v>1</v>
      </c>
      <c r="N21963">
        <v>0</v>
      </c>
      <c r="O21963">
        <v>3056</v>
      </c>
    </row>
    <row r="21964" spans="1:15" x14ac:dyDescent="0.25">
      <c r="A21964" t="s">
        <v>21977</v>
      </c>
      <c r="B21964">
        <v>824</v>
      </c>
      <c r="C21964" s="1" t="str">
        <f>HYPERLINK("http://www.rosaceae.org/gb/gbrowse/malus_x_domestica/?name=MDP0000051968","MDP0000051968")</f>
        <v>MDP0000051968</v>
      </c>
      <c r="D21964">
        <v>87.42</v>
      </c>
      <c r="E21964">
        <v>827</v>
      </c>
      <c r="F21964">
        <v>104</v>
      </c>
      <c r="G21964">
        <v>14</v>
      </c>
      <c r="H21964">
        <v>10</v>
      </c>
      <c r="I21964">
        <v>824</v>
      </c>
      <c r="J21964">
        <v>1</v>
      </c>
      <c r="K21964">
        <v>160</v>
      </c>
      <c r="L21964">
        <v>984</v>
      </c>
      <c r="M21964">
        <v>1</v>
      </c>
      <c r="N21964">
        <v>0</v>
      </c>
      <c r="O21964">
        <v>3895</v>
      </c>
    </row>
    <row r="21965" spans="1:15" x14ac:dyDescent="0.25">
      <c r="A21965" t="s">
        <v>21978</v>
      </c>
      <c r="B21965">
        <v>178</v>
      </c>
      <c r="C21965" s="1" t="str">
        <f>HYPERLINK("http://www.rosaceae.org/gb/gbrowse/malus_x_domestica/?name=MDP0000234152","MDP0000234152")</f>
        <v>MDP0000234152</v>
      </c>
      <c r="D21965">
        <v>31.54</v>
      </c>
      <c r="E21965">
        <v>149</v>
      </c>
      <c r="F21965">
        <v>102</v>
      </c>
      <c r="G21965">
        <v>10</v>
      </c>
      <c r="H21965">
        <v>1</v>
      </c>
      <c r="I21965">
        <v>148</v>
      </c>
      <c r="J21965">
        <v>1</v>
      </c>
      <c r="K21965">
        <v>1</v>
      </c>
      <c r="L21965">
        <v>140</v>
      </c>
      <c r="M21965">
        <v>1</v>
      </c>
      <c r="N21965">
        <v>2.5079500000000001E-14</v>
      </c>
      <c r="O21965">
        <v>184</v>
      </c>
    </row>
    <row r="21966" spans="1:15" x14ac:dyDescent="0.25">
      <c r="A21966" t="s">
        <v>21979</v>
      </c>
      <c r="B21966">
        <v>455</v>
      </c>
      <c r="C21966" s="1" t="str">
        <f>HYPERLINK("http://www.rosaceae.org/gb/gbrowse/malus_x_domestica/?name=MDP0000289009","MDP0000289009")</f>
        <v>MDP0000289009</v>
      </c>
      <c r="D21966">
        <v>39.21</v>
      </c>
      <c r="E21966">
        <v>255</v>
      </c>
      <c r="F21966">
        <v>155</v>
      </c>
      <c r="G21966">
        <v>70</v>
      </c>
      <c r="H21966">
        <v>261</v>
      </c>
      <c r="I21966">
        <v>448</v>
      </c>
      <c r="J21966">
        <v>1</v>
      </c>
      <c r="K21966">
        <v>933</v>
      </c>
      <c r="L21966">
        <v>1184</v>
      </c>
      <c r="M21966">
        <v>1</v>
      </c>
      <c r="N21966">
        <v>3.3739500000000001E-35</v>
      </c>
      <c r="O21966">
        <v>370</v>
      </c>
    </row>
    <row r="21967" spans="1:15" x14ac:dyDescent="0.25">
      <c r="A21967" t="s">
        <v>21980</v>
      </c>
      <c r="B21967">
        <v>318</v>
      </c>
      <c r="C21967" s="1" t="str">
        <f>HYPERLINK("http://www.rosaceae.org/gb/gbrowse/malus_x_domestica/?name=MDP0000234123","MDP0000234123")</f>
        <v>MDP0000234123</v>
      </c>
      <c r="D21967">
        <v>80.19</v>
      </c>
      <c r="E21967">
        <v>303</v>
      </c>
      <c r="F21967">
        <v>60</v>
      </c>
      <c r="G21967">
        <v>0</v>
      </c>
      <c r="H21967">
        <v>16</v>
      </c>
      <c r="I21967">
        <v>318</v>
      </c>
      <c r="J21967">
        <v>1</v>
      </c>
      <c r="K21967">
        <v>67</v>
      </c>
      <c r="L21967">
        <v>369</v>
      </c>
      <c r="M21967">
        <v>1</v>
      </c>
      <c r="N21967">
        <v>4.3715999999999998E-151</v>
      </c>
      <c r="O21967">
        <v>1367</v>
      </c>
    </row>
    <row r="21968" spans="1:15" x14ac:dyDescent="0.25">
      <c r="A21968" t="s">
        <v>21981</v>
      </c>
      <c r="B21968">
        <v>396</v>
      </c>
      <c r="C21968" s="1" t="str">
        <f>HYPERLINK("http://www.rosaceae.org/gb/gbrowse/malus_x_domestica/?name=MDP0000141889","MDP0000141889")</f>
        <v>MDP0000141889</v>
      </c>
      <c r="D21968">
        <v>62.82</v>
      </c>
      <c r="E21968">
        <v>269</v>
      </c>
      <c r="F21968">
        <v>100</v>
      </c>
      <c r="G21968">
        <v>14</v>
      </c>
      <c r="H21968">
        <v>127</v>
      </c>
      <c r="I21968">
        <v>391</v>
      </c>
      <c r="J21968">
        <v>1</v>
      </c>
      <c r="K21968">
        <v>329</v>
      </c>
      <c r="L21968">
        <v>587</v>
      </c>
      <c r="M21968">
        <v>1</v>
      </c>
      <c r="N21968">
        <v>1.0551700000000001E-90</v>
      </c>
      <c r="O21968">
        <v>848</v>
      </c>
    </row>
    <row r="21969" spans="1:15" x14ac:dyDescent="0.25">
      <c r="A21969" t="s">
        <v>21982</v>
      </c>
      <c r="B21969">
        <v>318</v>
      </c>
      <c r="C21969" s="1" t="str">
        <f>HYPERLINK("http://www.rosaceae.org/gb/gbrowse/malus_x_domestica/?name=MDP0000949756","MDP0000949756")</f>
        <v>MDP0000949756</v>
      </c>
      <c r="D21969">
        <v>46.3</v>
      </c>
      <c r="E21969">
        <v>311</v>
      </c>
      <c r="F21969">
        <v>167</v>
      </c>
      <c r="G21969">
        <v>19</v>
      </c>
      <c r="H21969">
        <v>10</v>
      </c>
      <c r="I21969">
        <v>314</v>
      </c>
      <c r="J21969">
        <v>1</v>
      </c>
      <c r="K21969">
        <v>9</v>
      </c>
      <c r="L21969">
        <v>306</v>
      </c>
      <c r="M21969">
        <v>1</v>
      </c>
      <c r="N21969">
        <v>1.99399E-67</v>
      </c>
      <c r="O21969">
        <v>646</v>
      </c>
    </row>
    <row r="21970" spans="1:15" x14ac:dyDescent="0.25">
      <c r="A21970" t="s">
        <v>21983</v>
      </c>
      <c r="B21970">
        <v>325</v>
      </c>
      <c r="C21970" s="1" t="str">
        <f>HYPERLINK("http://www.rosaceae.org/gb/gbrowse/malus_x_domestica/?name=MDP0000278892","MDP0000278892")</f>
        <v>MDP0000278892</v>
      </c>
      <c r="D21970">
        <v>63.3</v>
      </c>
      <c r="E21970">
        <v>139</v>
      </c>
      <c r="F21970">
        <v>51</v>
      </c>
      <c r="G21970">
        <v>0</v>
      </c>
      <c r="H21970">
        <v>177</v>
      </c>
      <c r="I21970">
        <v>315</v>
      </c>
      <c r="J21970">
        <v>1</v>
      </c>
      <c r="K21970">
        <v>180</v>
      </c>
      <c r="L21970">
        <v>318</v>
      </c>
      <c r="M21970">
        <v>1</v>
      </c>
      <c r="N21970">
        <v>4.4676799999999999E-43</v>
      </c>
      <c r="O21970">
        <v>436</v>
      </c>
    </row>
    <row r="21971" spans="1:15" x14ac:dyDescent="0.25">
      <c r="A21971" t="s">
        <v>21984</v>
      </c>
      <c r="B21971">
        <v>506</v>
      </c>
      <c r="C21971" s="1" t="str">
        <f>HYPERLINK("http://www.rosaceae.org/gb/gbrowse/malus_x_domestica/?name=MDP0000212975","MDP0000212975")</f>
        <v>MDP0000212975</v>
      </c>
      <c r="D21971">
        <v>78.84</v>
      </c>
      <c r="E21971">
        <v>520</v>
      </c>
      <c r="F21971">
        <v>110</v>
      </c>
      <c r="G21971">
        <v>17</v>
      </c>
      <c r="H21971">
        <v>1</v>
      </c>
      <c r="I21971">
        <v>506</v>
      </c>
      <c r="J21971">
        <v>1</v>
      </c>
      <c r="K21971">
        <v>1</v>
      </c>
      <c r="L21971">
        <v>517</v>
      </c>
      <c r="M21971">
        <v>1</v>
      </c>
      <c r="N21971">
        <v>0</v>
      </c>
      <c r="O21971">
        <v>2183</v>
      </c>
    </row>
    <row r="21972" spans="1:15" x14ac:dyDescent="0.25">
      <c r="A21972" t="s">
        <v>21985</v>
      </c>
      <c r="B21972">
        <v>1191</v>
      </c>
      <c r="C21972" s="1" t="str">
        <f>HYPERLINK("http://www.rosaceae.org/gb/gbrowse/malus_x_domestica/?name=MDP0000315973","MDP0000315973")</f>
        <v>MDP0000315973</v>
      </c>
      <c r="D21972">
        <v>93.27</v>
      </c>
      <c r="E21972">
        <v>1159</v>
      </c>
      <c r="F21972">
        <v>78</v>
      </c>
      <c r="G21972">
        <v>5</v>
      </c>
      <c r="H21972">
        <v>25</v>
      </c>
      <c r="I21972">
        <v>1178</v>
      </c>
      <c r="J21972">
        <v>1</v>
      </c>
      <c r="K21972">
        <v>26</v>
      </c>
      <c r="L21972">
        <v>1184</v>
      </c>
      <c r="M21972">
        <v>1</v>
      </c>
      <c r="N21972">
        <v>0</v>
      </c>
      <c r="O21972">
        <v>5877</v>
      </c>
    </row>
    <row r="21973" spans="1:15" x14ac:dyDescent="0.25">
      <c r="A21973" t="s">
        <v>21986</v>
      </c>
      <c r="B21973">
        <v>482</v>
      </c>
      <c r="C21973" s="1" t="str">
        <f>HYPERLINK("http://www.rosaceae.org/gb/gbrowse/malus_x_domestica/?name=MDP0000188286","MDP0000188286")</f>
        <v>MDP0000188286</v>
      </c>
      <c r="D21973">
        <v>86.54</v>
      </c>
      <c r="E21973">
        <v>483</v>
      </c>
      <c r="F21973">
        <v>65</v>
      </c>
      <c r="G21973">
        <v>1</v>
      </c>
      <c r="H21973">
        <v>1</v>
      </c>
      <c r="I21973">
        <v>482</v>
      </c>
      <c r="J21973">
        <v>1</v>
      </c>
      <c r="K21973">
        <v>1</v>
      </c>
      <c r="L21973">
        <v>483</v>
      </c>
      <c r="M21973">
        <v>1</v>
      </c>
      <c r="N21973">
        <v>0</v>
      </c>
      <c r="O21973">
        <v>2259</v>
      </c>
    </row>
    <row r="21974" spans="1:15" x14ac:dyDescent="0.25">
      <c r="A21974" t="s">
        <v>21987</v>
      </c>
      <c r="B21974">
        <v>741</v>
      </c>
      <c r="C21974" s="1" t="str">
        <f>HYPERLINK("http://www.rosaceae.org/gb/gbrowse/malus_x_domestica/?name=MDP0000020140","MDP0000020140")</f>
        <v>MDP0000020140</v>
      </c>
      <c r="D21974">
        <v>61.85</v>
      </c>
      <c r="E21974">
        <v>742</v>
      </c>
      <c r="F21974">
        <v>283</v>
      </c>
      <c r="G21974">
        <v>8</v>
      </c>
      <c r="H21974">
        <v>4</v>
      </c>
      <c r="I21974">
        <v>741</v>
      </c>
      <c r="J21974">
        <v>1</v>
      </c>
      <c r="K21974">
        <v>5</v>
      </c>
      <c r="L21974">
        <v>742</v>
      </c>
      <c r="M21974">
        <v>1</v>
      </c>
      <c r="N21974">
        <v>0</v>
      </c>
      <c r="O21974">
        <v>2429</v>
      </c>
    </row>
    <row r="21975" spans="1:15" x14ac:dyDescent="0.25">
      <c r="A21975" t="s">
        <v>21988</v>
      </c>
      <c r="B21975">
        <v>544</v>
      </c>
      <c r="C21975" s="1" t="str">
        <f>HYPERLINK("http://www.rosaceae.org/gb/gbrowse/malus_x_domestica/?name=MDP0000157711","MDP0000157711")</f>
        <v>MDP0000157711</v>
      </c>
      <c r="D21975">
        <v>72.48</v>
      </c>
      <c r="E21975">
        <v>378</v>
      </c>
      <c r="F21975">
        <v>104</v>
      </c>
      <c r="G21975">
        <v>17</v>
      </c>
      <c r="H21975">
        <v>183</v>
      </c>
      <c r="I21975">
        <v>543</v>
      </c>
      <c r="J21975">
        <v>1</v>
      </c>
      <c r="K21975">
        <v>302</v>
      </c>
      <c r="L21975">
        <v>679</v>
      </c>
      <c r="M21975">
        <v>1</v>
      </c>
      <c r="N21975">
        <v>2.22982E-156</v>
      </c>
      <c r="O21975">
        <v>1415</v>
      </c>
    </row>
    <row r="21976" spans="1:15" x14ac:dyDescent="0.25">
      <c r="A21976" t="s">
        <v>21989</v>
      </c>
      <c r="B21976">
        <v>243</v>
      </c>
      <c r="C21976" s="1" t="str">
        <f>HYPERLINK("http://www.rosaceae.org/gb/gbrowse/malus_x_domestica/?name=MDP0000174389","MDP0000174389")</f>
        <v>MDP0000174389</v>
      </c>
      <c r="D21976">
        <v>76.47</v>
      </c>
      <c r="E21976">
        <v>238</v>
      </c>
      <c r="F21976">
        <v>56</v>
      </c>
      <c r="G21976">
        <v>3</v>
      </c>
      <c r="H21976">
        <v>1</v>
      </c>
      <c r="I21976">
        <v>237</v>
      </c>
      <c r="J21976">
        <v>1</v>
      </c>
      <c r="K21976">
        <v>75</v>
      </c>
      <c r="L21976">
        <v>310</v>
      </c>
      <c r="M21976">
        <v>1</v>
      </c>
      <c r="N21976">
        <v>7.8992800000000005E-101</v>
      </c>
      <c r="O21976">
        <v>932</v>
      </c>
    </row>
    <row r="21977" spans="1:15" x14ac:dyDescent="0.25">
      <c r="A21977" t="s">
        <v>21990</v>
      </c>
      <c r="B21977">
        <v>1709</v>
      </c>
      <c r="C21977" s="1" t="str">
        <f>HYPERLINK("http://www.rosaceae.org/gb/gbrowse/malus_x_domestica/?name=MDP0000170757","MDP0000170757")</f>
        <v>MDP0000170757</v>
      </c>
      <c r="D21977">
        <v>58.56</v>
      </c>
      <c r="E21977">
        <v>1641</v>
      </c>
      <c r="F21977">
        <v>680</v>
      </c>
      <c r="G21977">
        <v>171</v>
      </c>
      <c r="H21977">
        <v>122</v>
      </c>
      <c r="I21977">
        <v>1702</v>
      </c>
      <c r="J21977">
        <v>1</v>
      </c>
      <c r="K21977">
        <v>1</v>
      </c>
      <c r="L21977">
        <v>1530</v>
      </c>
      <c r="M21977">
        <v>1</v>
      </c>
      <c r="N21977">
        <v>0</v>
      </c>
      <c r="O21977">
        <v>4412</v>
      </c>
    </row>
    <row r="21978" spans="1:15" x14ac:dyDescent="0.25">
      <c r="A21978" t="s">
        <v>21991</v>
      </c>
      <c r="B21978">
        <v>243</v>
      </c>
      <c r="C21978" s="1" t="str">
        <f>HYPERLINK("http://www.rosaceae.org/gb/gbrowse/malus_x_domestica/?name=MDP0000149088","MDP0000149088")</f>
        <v>MDP0000149088</v>
      </c>
      <c r="D21978">
        <v>85.9</v>
      </c>
      <c r="E21978">
        <v>227</v>
      </c>
      <c r="F21978">
        <v>32</v>
      </c>
      <c r="G21978">
        <v>0</v>
      </c>
      <c r="H21978">
        <v>1</v>
      </c>
      <c r="I21978">
        <v>227</v>
      </c>
      <c r="J21978">
        <v>1</v>
      </c>
      <c r="K21978">
        <v>1</v>
      </c>
      <c r="L21978">
        <v>227</v>
      </c>
      <c r="M21978">
        <v>1</v>
      </c>
      <c r="N21978">
        <v>1.2863799999999999E-116</v>
      </c>
      <c r="O21978">
        <v>1068</v>
      </c>
    </row>
    <row r="21979" spans="1:15" x14ac:dyDescent="0.25">
      <c r="A21979" t="s">
        <v>21992</v>
      </c>
      <c r="B21979">
        <v>273</v>
      </c>
      <c r="C21979" s="1" t="str">
        <f>HYPERLINK("http://www.rosaceae.org/gb/gbrowse/malus_x_domestica/?name=MDP0000274034","MDP0000274034")</f>
        <v>MDP0000274034</v>
      </c>
      <c r="D21979">
        <v>25.13</v>
      </c>
      <c r="E21979">
        <v>183</v>
      </c>
      <c r="F21979">
        <v>137</v>
      </c>
      <c r="G21979">
        <v>14</v>
      </c>
      <c r="H21979">
        <v>4</v>
      </c>
      <c r="I21979">
        <v>176</v>
      </c>
      <c r="J21979">
        <v>1</v>
      </c>
      <c r="K21979">
        <v>564</v>
      </c>
      <c r="L21979">
        <v>742</v>
      </c>
      <c r="M21979">
        <v>1</v>
      </c>
      <c r="N21979">
        <v>5.8493500000000001E-10</v>
      </c>
      <c r="O21979">
        <v>149</v>
      </c>
    </row>
    <row r="21980" spans="1:15" x14ac:dyDescent="0.25">
      <c r="A21980" t="s">
        <v>21993</v>
      </c>
      <c r="B21980">
        <v>413</v>
      </c>
      <c r="C21980" s="1" t="str">
        <f>HYPERLINK("http://www.rosaceae.org/gb/gbrowse/malus_x_domestica/?name=MDP0000277399","MDP0000277399")</f>
        <v>MDP0000277399</v>
      </c>
      <c r="D21980">
        <v>39.89</v>
      </c>
      <c r="E21980">
        <v>183</v>
      </c>
      <c r="F21980">
        <v>110</v>
      </c>
      <c r="G21980">
        <v>9</v>
      </c>
      <c r="H21980">
        <v>12</v>
      </c>
      <c r="I21980">
        <v>190</v>
      </c>
      <c r="J21980">
        <v>1</v>
      </c>
      <c r="K21980">
        <v>401</v>
      </c>
      <c r="L21980">
        <v>578</v>
      </c>
      <c r="M21980">
        <v>1</v>
      </c>
      <c r="N21980">
        <v>3.7200800000000003E-27</v>
      </c>
      <c r="O21980">
        <v>300</v>
      </c>
    </row>
    <row r="21981" spans="1:15" x14ac:dyDescent="0.25">
      <c r="A21981" t="s">
        <v>21994</v>
      </c>
      <c r="B21981">
        <v>325</v>
      </c>
      <c r="C21981" s="1" t="str">
        <f>HYPERLINK("http://www.rosaceae.org/gb/gbrowse/malus_x_domestica/?name=MDP0000204225","MDP0000204225")</f>
        <v>MDP0000204225</v>
      </c>
      <c r="D21981">
        <v>39.880000000000003</v>
      </c>
      <c r="E21981">
        <v>356</v>
      </c>
      <c r="F21981">
        <v>214</v>
      </c>
      <c r="G21981">
        <v>152</v>
      </c>
      <c r="H21981">
        <v>1</v>
      </c>
      <c r="I21981">
        <v>204</v>
      </c>
      <c r="J21981">
        <v>1</v>
      </c>
      <c r="K21981">
        <v>1101</v>
      </c>
      <c r="L21981">
        <v>1456</v>
      </c>
      <c r="M21981">
        <v>1</v>
      </c>
      <c r="N21981">
        <v>6.5408899999999997E-52</v>
      </c>
      <c r="O21981">
        <v>512</v>
      </c>
    </row>
    <row r="21982" spans="1:15" x14ac:dyDescent="0.25">
      <c r="A21982" t="s">
        <v>21995</v>
      </c>
      <c r="B21982">
        <v>297</v>
      </c>
      <c r="C21982" s="1" t="str">
        <f>HYPERLINK("http://www.rosaceae.org/gb/gbrowse/malus_x_domestica/?name=MDP0000848291","MDP0000848291")</f>
        <v>MDP0000848291</v>
      </c>
      <c r="D21982">
        <v>37.409999999999997</v>
      </c>
      <c r="E21982">
        <v>155</v>
      </c>
      <c r="F21982">
        <v>97</v>
      </c>
      <c r="G21982">
        <v>4</v>
      </c>
      <c r="H21982">
        <v>69</v>
      </c>
      <c r="I21982">
        <v>222</v>
      </c>
      <c r="J21982">
        <v>1</v>
      </c>
      <c r="K21982">
        <v>35</v>
      </c>
      <c r="L21982">
        <v>186</v>
      </c>
      <c r="M21982">
        <v>1</v>
      </c>
      <c r="N21982">
        <v>9.8425100000000007E-19</v>
      </c>
      <c r="O21982">
        <v>225</v>
      </c>
    </row>
    <row r="21983" spans="1:15" x14ac:dyDescent="0.25">
      <c r="A21983" t="s">
        <v>21996</v>
      </c>
      <c r="B21983">
        <v>676</v>
      </c>
      <c r="C21983" s="1" t="str">
        <f>HYPERLINK("http://www.rosaceae.org/gb/gbrowse/malus_x_domestica/?name=MDP0000263387","MDP0000263387")</f>
        <v>MDP0000263387</v>
      </c>
      <c r="D21983">
        <v>64.11</v>
      </c>
      <c r="E21983">
        <v>340</v>
      </c>
      <c r="F21983">
        <v>122</v>
      </c>
      <c r="G21983">
        <v>11</v>
      </c>
      <c r="H21983">
        <v>299</v>
      </c>
      <c r="I21983">
        <v>636</v>
      </c>
      <c r="J21983">
        <v>1</v>
      </c>
      <c r="K21983">
        <v>390</v>
      </c>
      <c r="L21983">
        <v>720</v>
      </c>
      <c r="M21983">
        <v>1</v>
      </c>
      <c r="N21983">
        <v>5.5619500000000001E-122</v>
      </c>
      <c r="O21983">
        <v>1120</v>
      </c>
    </row>
    <row r="21984" spans="1:15" x14ac:dyDescent="0.25">
      <c r="A21984" t="s">
        <v>21997</v>
      </c>
      <c r="B21984">
        <v>427</v>
      </c>
      <c r="C21984" s="1" t="str">
        <f>HYPERLINK("http://www.rosaceae.org/gb/gbrowse/malus_x_domestica/?name=MDP0000318637","MDP0000318637")</f>
        <v>MDP0000318637</v>
      </c>
      <c r="D21984">
        <v>50.25</v>
      </c>
      <c r="E21984">
        <v>386</v>
      </c>
      <c r="F21984">
        <v>192</v>
      </c>
      <c r="G21984">
        <v>47</v>
      </c>
      <c r="H21984">
        <v>14</v>
      </c>
      <c r="I21984">
        <v>392</v>
      </c>
      <c r="J21984">
        <v>1</v>
      </c>
      <c r="K21984">
        <v>23</v>
      </c>
      <c r="L21984">
        <v>368</v>
      </c>
      <c r="M21984">
        <v>1</v>
      </c>
      <c r="N21984">
        <v>1.36781E-92</v>
      </c>
      <c r="O21984">
        <v>864</v>
      </c>
    </row>
    <row r="21985" spans="1:15" x14ac:dyDescent="0.25">
      <c r="A21985" t="s">
        <v>21998</v>
      </c>
      <c r="B21985">
        <v>248</v>
      </c>
      <c r="C21985" s="1" t="str">
        <f>HYPERLINK("http://www.rosaceae.org/gb/gbrowse/malus_x_domestica/?name=MDP0000319446","MDP0000319446")</f>
        <v>MDP0000319446</v>
      </c>
      <c r="D21985">
        <v>44.36</v>
      </c>
      <c r="E21985">
        <v>133</v>
      </c>
      <c r="F21985">
        <v>74</v>
      </c>
      <c r="G21985">
        <v>15</v>
      </c>
      <c r="H21985">
        <v>15</v>
      </c>
      <c r="I21985">
        <v>138</v>
      </c>
      <c r="J21985">
        <v>1</v>
      </c>
      <c r="K21985">
        <v>20</v>
      </c>
      <c r="L21985">
        <v>146</v>
      </c>
      <c r="M21985">
        <v>1</v>
      </c>
      <c r="N21985">
        <v>7.6397799999999999E-19</v>
      </c>
      <c r="O21985">
        <v>225</v>
      </c>
    </row>
    <row r="21986" spans="1:15" x14ac:dyDescent="0.25">
      <c r="A21986" t="s">
        <v>21999</v>
      </c>
      <c r="B21986">
        <v>301</v>
      </c>
      <c r="C21986" s="1" t="str">
        <f>HYPERLINK("http://www.rosaceae.org/gb/gbrowse/malus_x_domestica/?name=MDP0000315272","MDP0000315272")</f>
        <v>MDP0000315272</v>
      </c>
      <c r="D21986">
        <v>69.400000000000006</v>
      </c>
      <c r="E21986">
        <v>317</v>
      </c>
      <c r="F21986">
        <v>97</v>
      </c>
      <c r="G21986">
        <v>26</v>
      </c>
      <c r="H21986">
        <v>7</v>
      </c>
      <c r="I21986">
        <v>297</v>
      </c>
      <c r="J21986">
        <v>1</v>
      </c>
      <c r="K21986">
        <v>1</v>
      </c>
      <c r="L21986">
        <v>317</v>
      </c>
      <c r="M21986">
        <v>1</v>
      </c>
      <c r="N21986">
        <v>1.46786E-120</v>
      </c>
      <c r="O21986">
        <v>1104</v>
      </c>
    </row>
    <row r="21987" spans="1:15" x14ac:dyDescent="0.25">
      <c r="A21987" t="s">
        <v>22000</v>
      </c>
      <c r="B21987">
        <v>498</v>
      </c>
      <c r="C21987" s="1" t="str">
        <f>HYPERLINK("http://www.rosaceae.org/gb/gbrowse/malus_x_domestica/?name=MDP0000426862","MDP0000426862")</f>
        <v>MDP0000426862</v>
      </c>
      <c r="D21987">
        <v>58.49</v>
      </c>
      <c r="E21987">
        <v>465</v>
      </c>
      <c r="F21987">
        <v>193</v>
      </c>
      <c r="G21987">
        <v>29</v>
      </c>
      <c r="H21987">
        <v>19</v>
      </c>
      <c r="I21987">
        <v>477</v>
      </c>
      <c r="J21987">
        <v>1</v>
      </c>
      <c r="K21987">
        <v>23</v>
      </c>
      <c r="L21987">
        <v>464</v>
      </c>
      <c r="M21987">
        <v>1</v>
      </c>
      <c r="N21987">
        <v>4.9668800000000002E-146</v>
      </c>
      <c r="O21987">
        <v>1326</v>
      </c>
    </row>
    <row r="21988" spans="1:15" x14ac:dyDescent="0.25">
      <c r="A21988" t="s">
        <v>22001</v>
      </c>
      <c r="B21988">
        <v>418</v>
      </c>
      <c r="C21988" s="1" t="str">
        <f>HYPERLINK("http://www.rosaceae.org/gb/gbrowse/malus_x_domestica/?name=MDP0000491428","MDP0000491428")</f>
        <v>MDP0000491428</v>
      </c>
      <c r="D21988">
        <v>82.54</v>
      </c>
      <c r="E21988">
        <v>424</v>
      </c>
      <c r="F21988">
        <v>74</v>
      </c>
      <c r="G21988">
        <v>9</v>
      </c>
      <c r="H21988">
        <v>1</v>
      </c>
      <c r="I21988">
        <v>418</v>
      </c>
      <c r="J21988">
        <v>1</v>
      </c>
      <c r="K21988">
        <v>1</v>
      </c>
      <c r="L21988">
        <v>421</v>
      </c>
      <c r="M21988">
        <v>1</v>
      </c>
      <c r="N21988">
        <v>0</v>
      </c>
      <c r="O21988">
        <v>1843</v>
      </c>
    </row>
    <row r="21989" spans="1:15" x14ac:dyDescent="0.25">
      <c r="A21989" t="s">
        <v>22002</v>
      </c>
      <c r="B21989">
        <v>359</v>
      </c>
      <c r="C21989" s="1" t="str">
        <f>HYPERLINK("http://www.rosaceae.org/gb/gbrowse/malus_x_domestica/?name=MDP0000126071","MDP0000126071")</f>
        <v>MDP0000126071</v>
      </c>
      <c r="D21989">
        <v>75.180000000000007</v>
      </c>
      <c r="E21989">
        <v>274</v>
      </c>
      <c r="F21989">
        <v>68</v>
      </c>
      <c r="G21989">
        <v>10</v>
      </c>
      <c r="H21989">
        <v>95</v>
      </c>
      <c r="I21989">
        <v>359</v>
      </c>
      <c r="J21989">
        <v>1</v>
      </c>
      <c r="K21989">
        <v>23</v>
      </c>
      <c r="L21989">
        <v>295</v>
      </c>
      <c r="M21989">
        <v>1</v>
      </c>
      <c r="N21989">
        <v>8.5432899999999997E-116</v>
      </c>
      <c r="O21989">
        <v>1063</v>
      </c>
    </row>
    <row r="21990" spans="1:15" x14ac:dyDescent="0.25">
      <c r="A21990" t="s">
        <v>22003</v>
      </c>
      <c r="B21990">
        <v>123</v>
      </c>
      <c r="C21990" s="1" t="str">
        <f>HYPERLINK("http://www.rosaceae.org/gb/gbrowse/malus_x_domestica/?name=MDP0000503361","MDP0000503361")</f>
        <v>MDP0000503361</v>
      </c>
      <c r="D21990">
        <v>66.66</v>
      </c>
      <c r="E21990">
        <v>84</v>
      </c>
      <c r="F21990">
        <v>28</v>
      </c>
      <c r="G21990">
        <v>0</v>
      </c>
      <c r="H21990">
        <v>13</v>
      </c>
      <c r="I21990">
        <v>96</v>
      </c>
      <c r="J21990">
        <v>1</v>
      </c>
      <c r="K21990">
        <v>126</v>
      </c>
      <c r="L21990">
        <v>209</v>
      </c>
      <c r="M21990">
        <v>1</v>
      </c>
      <c r="N21990">
        <v>7.9232600000000002E-29</v>
      </c>
      <c r="O21990">
        <v>306</v>
      </c>
    </row>
    <row r="21991" spans="1:15" x14ac:dyDescent="0.25">
      <c r="A21991" t="s">
        <v>22004</v>
      </c>
      <c r="B21991">
        <v>385</v>
      </c>
      <c r="C21991" s="1" t="str">
        <f>HYPERLINK("http://www.rosaceae.org/gb/gbrowse/malus_x_domestica/?name=MDP0000219162","MDP0000219162")</f>
        <v>MDP0000219162</v>
      </c>
      <c r="D21991">
        <v>53.18</v>
      </c>
      <c r="E21991">
        <v>408</v>
      </c>
      <c r="F21991">
        <v>191</v>
      </c>
      <c r="G21991">
        <v>51</v>
      </c>
      <c r="H21991">
        <v>1</v>
      </c>
      <c r="I21991">
        <v>385</v>
      </c>
      <c r="J21991">
        <v>1</v>
      </c>
      <c r="K21991">
        <v>1</v>
      </c>
      <c r="L21991">
        <v>380</v>
      </c>
      <c r="M21991">
        <v>1</v>
      </c>
      <c r="N21991">
        <v>3.7865499999999999E-93</v>
      </c>
      <c r="O21991">
        <v>869</v>
      </c>
    </row>
    <row r="21992" spans="1:15" x14ac:dyDescent="0.25">
      <c r="A21992" t="s">
        <v>22005</v>
      </c>
      <c r="B21992">
        <v>345</v>
      </c>
      <c r="C21992" s="1" t="str">
        <f>HYPERLINK("http://www.rosaceae.org/gb/gbrowse/malus_x_domestica/?name=MDP0000159326","MDP0000159326")</f>
        <v>MDP0000159326</v>
      </c>
      <c r="D21992">
        <v>49.32</v>
      </c>
      <c r="E21992">
        <v>223</v>
      </c>
      <c r="F21992">
        <v>113</v>
      </c>
      <c r="G21992">
        <v>6</v>
      </c>
      <c r="H21992">
        <v>118</v>
      </c>
      <c r="I21992">
        <v>339</v>
      </c>
      <c r="J21992">
        <v>1</v>
      </c>
      <c r="K21992">
        <v>35</v>
      </c>
      <c r="L21992">
        <v>252</v>
      </c>
      <c r="M21992">
        <v>1</v>
      </c>
      <c r="N21992">
        <v>2.6123999999999999E-63</v>
      </c>
      <c r="O21992">
        <v>611</v>
      </c>
    </row>
    <row r="21993" spans="1:15" x14ac:dyDescent="0.25">
      <c r="A21993" t="s">
        <v>22006</v>
      </c>
      <c r="B21993">
        <v>319</v>
      </c>
      <c r="C21993" s="1" t="str">
        <f>HYPERLINK("http://www.rosaceae.org/gb/gbrowse/malus_x_domestica/?name=MDP0000307326","MDP0000307326")</f>
        <v>MDP0000307326</v>
      </c>
      <c r="D21993">
        <v>71.34</v>
      </c>
      <c r="E21993">
        <v>164</v>
      </c>
      <c r="F21993">
        <v>47</v>
      </c>
      <c r="G21993">
        <v>1</v>
      </c>
      <c r="H21993">
        <v>29</v>
      </c>
      <c r="I21993">
        <v>192</v>
      </c>
      <c r="J21993">
        <v>1</v>
      </c>
      <c r="K21993">
        <v>551</v>
      </c>
      <c r="L21993">
        <v>713</v>
      </c>
      <c r="M21993">
        <v>1</v>
      </c>
      <c r="N21993">
        <v>2.0381499999999998E-65</v>
      </c>
      <c r="O21993">
        <v>628</v>
      </c>
    </row>
    <row r="21994" spans="1:15" x14ac:dyDescent="0.25">
      <c r="A21994" t="s">
        <v>22007</v>
      </c>
      <c r="B21994">
        <v>189</v>
      </c>
      <c r="C21994" s="1" t="str">
        <f>HYPERLINK("http://www.rosaceae.org/gb/gbrowse/malus_x_domestica/?name=MDP0000405003","MDP0000405003")</f>
        <v>MDP0000405003</v>
      </c>
      <c r="D21994">
        <v>41.97</v>
      </c>
      <c r="E21994">
        <v>162</v>
      </c>
      <c r="F21994">
        <v>94</v>
      </c>
      <c r="G21994">
        <v>11</v>
      </c>
      <c r="H21994">
        <v>6</v>
      </c>
      <c r="I21994">
        <v>163</v>
      </c>
      <c r="J21994">
        <v>1</v>
      </c>
      <c r="K21994">
        <v>5</v>
      </c>
      <c r="L21994">
        <v>159</v>
      </c>
      <c r="M21994">
        <v>1</v>
      </c>
      <c r="N21994">
        <v>1.82854E-25</v>
      </c>
      <c r="O21994">
        <v>281</v>
      </c>
    </row>
    <row r="21995" spans="1:15" x14ac:dyDescent="0.25">
      <c r="A21995" t="s">
        <v>22008</v>
      </c>
      <c r="B21995">
        <v>607</v>
      </c>
      <c r="C21995" s="1" t="str">
        <f>HYPERLINK("http://www.rosaceae.org/gb/gbrowse/malus_x_domestica/?name=MDP0000546823","MDP0000546823")</f>
        <v>MDP0000546823</v>
      </c>
      <c r="D21995">
        <v>50.87</v>
      </c>
      <c r="E21995">
        <v>401</v>
      </c>
      <c r="F21995">
        <v>197</v>
      </c>
      <c r="G21995">
        <v>27</v>
      </c>
      <c r="H21995">
        <v>218</v>
      </c>
      <c r="I21995">
        <v>593</v>
      </c>
      <c r="J21995">
        <v>1</v>
      </c>
      <c r="K21995">
        <v>4</v>
      </c>
      <c r="L21995">
        <v>402</v>
      </c>
      <c r="M21995">
        <v>1</v>
      </c>
      <c r="N21995">
        <v>8.0929800000000006E-98</v>
      </c>
      <c r="O21995">
        <v>911</v>
      </c>
    </row>
    <row r="21996" spans="1:15" x14ac:dyDescent="0.25">
      <c r="A21996" t="s">
        <v>22009</v>
      </c>
      <c r="B21996">
        <v>695</v>
      </c>
      <c r="C21996" s="1" t="str">
        <f>HYPERLINK("http://www.rosaceae.org/gb/gbrowse/malus_x_domestica/?name=MDP0000262840","MDP0000262840")</f>
        <v>MDP0000262840</v>
      </c>
      <c r="D21996">
        <v>58.5</v>
      </c>
      <c r="E21996">
        <v>335</v>
      </c>
      <c r="F21996">
        <v>139</v>
      </c>
      <c r="G21996">
        <v>11</v>
      </c>
      <c r="H21996">
        <v>366</v>
      </c>
      <c r="I21996">
        <v>694</v>
      </c>
      <c r="J21996">
        <v>1</v>
      </c>
      <c r="K21996">
        <v>15</v>
      </c>
      <c r="L21996">
        <v>344</v>
      </c>
      <c r="M21996">
        <v>1</v>
      </c>
      <c r="N21996">
        <v>1.07054E-106</v>
      </c>
      <c r="O21996">
        <v>988</v>
      </c>
    </row>
    <row r="21997" spans="1:15" x14ac:dyDescent="0.25">
      <c r="A21997" t="s">
        <v>22010</v>
      </c>
      <c r="B21997">
        <v>444</v>
      </c>
      <c r="C21997" s="1" t="str">
        <f>HYPERLINK("http://www.rosaceae.org/gb/gbrowse/malus_x_domestica/?name=MDP0000163752","MDP0000163752")</f>
        <v>MDP0000163752</v>
      </c>
      <c r="D21997">
        <v>76.290000000000006</v>
      </c>
      <c r="E21997">
        <v>308</v>
      </c>
      <c r="F21997">
        <v>73</v>
      </c>
      <c r="G21997">
        <v>34</v>
      </c>
      <c r="H21997">
        <v>170</v>
      </c>
      <c r="I21997">
        <v>443</v>
      </c>
      <c r="J21997">
        <v>1</v>
      </c>
      <c r="K21997">
        <v>95</v>
      </c>
      <c r="L21997">
        <v>402</v>
      </c>
      <c r="M21997">
        <v>1</v>
      </c>
      <c r="N21997">
        <v>1.2246100000000001E-139</v>
      </c>
      <c r="O21997">
        <v>1270</v>
      </c>
    </row>
    <row r="21998" spans="1:15" x14ac:dyDescent="0.25">
      <c r="A21998" t="s">
        <v>22011</v>
      </c>
      <c r="B21998">
        <v>166</v>
      </c>
      <c r="C21998" s="1" t="str">
        <f>HYPERLINK("http://www.rosaceae.org/gb/gbrowse/malus_x_domestica/?name=MDP0000250657","MDP0000250657")</f>
        <v>MDP0000250657</v>
      </c>
      <c r="D21998">
        <v>60.24</v>
      </c>
      <c r="E21998">
        <v>166</v>
      </c>
      <c r="F21998">
        <v>66</v>
      </c>
      <c r="G21998">
        <v>10</v>
      </c>
      <c r="H21998">
        <v>4</v>
      </c>
      <c r="I21998">
        <v>164</v>
      </c>
      <c r="J21998">
        <v>1</v>
      </c>
      <c r="K21998">
        <v>2</v>
      </c>
      <c r="L21998">
        <v>162</v>
      </c>
      <c r="M21998">
        <v>1</v>
      </c>
      <c r="N21998">
        <v>2.5043899999999999E-46</v>
      </c>
      <c r="O21998">
        <v>460</v>
      </c>
    </row>
    <row r="21999" spans="1:15" x14ac:dyDescent="0.25">
      <c r="A21999" t="s">
        <v>22012</v>
      </c>
      <c r="B21999">
        <v>270</v>
      </c>
      <c r="C21999" s="1" t="str">
        <f>HYPERLINK("http://www.rosaceae.org/gb/gbrowse/malus_x_domestica/?name=MDP0000203143","MDP0000203143")</f>
        <v>MDP0000203143</v>
      </c>
      <c r="D21999">
        <v>66.150000000000006</v>
      </c>
      <c r="E21999">
        <v>263</v>
      </c>
      <c r="F21999">
        <v>89</v>
      </c>
      <c r="G21999">
        <v>5</v>
      </c>
      <c r="H21999">
        <v>9</v>
      </c>
      <c r="I21999">
        <v>270</v>
      </c>
      <c r="J21999">
        <v>1</v>
      </c>
      <c r="K21999">
        <v>31</v>
      </c>
      <c r="L21999">
        <v>289</v>
      </c>
      <c r="M21999">
        <v>1</v>
      </c>
      <c r="N21999">
        <v>3.0474800000000001E-97</v>
      </c>
      <c r="O21999">
        <v>902</v>
      </c>
    </row>
    <row r="22000" spans="1:15" x14ac:dyDescent="0.25">
      <c r="A22000" t="s">
        <v>22013</v>
      </c>
      <c r="B22000">
        <v>316</v>
      </c>
      <c r="C22000" s="1" t="str">
        <f>HYPERLINK("http://www.rosaceae.org/gb/gbrowse/malus_x_domestica/?name=MDP0000228047","MDP0000228047")</f>
        <v>MDP0000228047</v>
      </c>
      <c r="D22000">
        <v>72.81</v>
      </c>
      <c r="E22000">
        <v>298</v>
      </c>
      <c r="F22000">
        <v>81</v>
      </c>
      <c r="G22000">
        <v>28</v>
      </c>
      <c r="H22000">
        <v>47</v>
      </c>
      <c r="I22000">
        <v>316</v>
      </c>
      <c r="J22000">
        <v>1</v>
      </c>
      <c r="K22000">
        <v>1</v>
      </c>
      <c r="L22000">
        <v>298</v>
      </c>
      <c r="M22000">
        <v>1</v>
      </c>
      <c r="N22000">
        <v>3.8893699999999998E-119</v>
      </c>
      <c r="O22000">
        <v>1092</v>
      </c>
    </row>
    <row r="22001" spans="1:15" x14ac:dyDescent="0.25">
      <c r="A22001" t="s">
        <v>22014</v>
      </c>
      <c r="B22001">
        <v>411</v>
      </c>
      <c r="C22001" s="1" t="str">
        <f>HYPERLINK("http://www.rosaceae.org/gb/gbrowse/malus_x_domestica/?name=MDP0000286564","MDP0000286564")</f>
        <v>MDP0000286564</v>
      </c>
      <c r="D22001">
        <v>71.25</v>
      </c>
      <c r="E22001">
        <v>334</v>
      </c>
      <c r="F22001">
        <v>96</v>
      </c>
      <c r="G22001">
        <v>49</v>
      </c>
      <c r="H22001">
        <v>53</v>
      </c>
      <c r="I22001">
        <v>373</v>
      </c>
      <c r="J22001">
        <v>1</v>
      </c>
      <c r="K22001">
        <v>491</v>
      </c>
      <c r="L22001">
        <v>788</v>
      </c>
      <c r="M22001">
        <v>1</v>
      </c>
      <c r="N22001">
        <v>7.05117E-130</v>
      </c>
      <c r="O22001">
        <v>1186</v>
      </c>
    </row>
    <row r="22002" spans="1:15" x14ac:dyDescent="0.25">
      <c r="A22002" t="s">
        <v>22015</v>
      </c>
      <c r="B22002">
        <v>445</v>
      </c>
      <c r="C22002" s="1" t="str">
        <f>HYPERLINK("http://www.rosaceae.org/gb/gbrowse/malus_x_domestica/?name=MDP0000898514","MDP0000898514")</f>
        <v>MDP0000898514</v>
      </c>
      <c r="D22002">
        <v>34.57</v>
      </c>
      <c r="E22002">
        <v>431</v>
      </c>
      <c r="F22002">
        <v>282</v>
      </c>
      <c r="G22002">
        <v>88</v>
      </c>
      <c r="H22002">
        <v>45</v>
      </c>
      <c r="I22002">
        <v>444</v>
      </c>
      <c r="J22002">
        <v>1</v>
      </c>
      <c r="K22002">
        <v>94</v>
      </c>
      <c r="L22002">
        <v>467</v>
      </c>
      <c r="M22002">
        <v>1</v>
      </c>
      <c r="N22002">
        <v>2.5264700000000002E-40</v>
      </c>
      <c r="O22002">
        <v>414</v>
      </c>
    </row>
    <row r="22003" spans="1:15" x14ac:dyDescent="0.25">
      <c r="A22003" t="s">
        <v>22016</v>
      </c>
      <c r="B22003">
        <v>342</v>
      </c>
      <c r="C22003" s="1" t="str">
        <f>HYPERLINK("http://www.rosaceae.org/gb/gbrowse/malus_x_domestica/?name=MDP0000322036","MDP0000322036")</f>
        <v>MDP0000322036</v>
      </c>
      <c r="D22003">
        <v>39.01</v>
      </c>
      <c r="E22003">
        <v>264</v>
      </c>
      <c r="F22003">
        <v>161</v>
      </c>
      <c r="G22003">
        <v>42</v>
      </c>
      <c r="H22003">
        <v>39</v>
      </c>
      <c r="I22003">
        <v>302</v>
      </c>
      <c r="J22003">
        <v>1</v>
      </c>
      <c r="K22003">
        <v>95</v>
      </c>
      <c r="L22003">
        <v>316</v>
      </c>
      <c r="M22003">
        <v>1</v>
      </c>
      <c r="N22003">
        <v>5.5910400000000004E-43</v>
      </c>
      <c r="O22003">
        <v>435</v>
      </c>
    </row>
    <row r="22004" spans="1:15" x14ac:dyDescent="0.25">
      <c r="A22004" t="s">
        <v>22017</v>
      </c>
      <c r="B22004">
        <v>293</v>
      </c>
      <c r="C22004" s="1" t="str">
        <f>HYPERLINK("http://www.rosaceae.org/gb/gbrowse/malus_x_domestica/?name=MDP0000293965","MDP0000293965")</f>
        <v>MDP0000293965</v>
      </c>
      <c r="D22004">
        <v>94.77</v>
      </c>
      <c r="E22004">
        <v>134</v>
      </c>
      <c r="F22004">
        <v>7</v>
      </c>
      <c r="G22004">
        <v>0</v>
      </c>
      <c r="H22004">
        <v>60</v>
      </c>
      <c r="I22004">
        <v>193</v>
      </c>
      <c r="J22004">
        <v>1</v>
      </c>
      <c r="K22004">
        <v>1447</v>
      </c>
      <c r="L22004">
        <v>1580</v>
      </c>
      <c r="M22004">
        <v>1</v>
      </c>
      <c r="N22004">
        <v>1.3349100000000001E-75</v>
      </c>
      <c r="O22004">
        <v>716</v>
      </c>
    </row>
    <row r="22005" spans="1:15" x14ac:dyDescent="0.25">
      <c r="A22005" t="s">
        <v>22018</v>
      </c>
      <c r="B22005">
        <v>88</v>
      </c>
      <c r="C22005" s="1" t="str">
        <f>HYPERLINK("http://www.rosaceae.org/gb/gbrowse/malus_x_domestica/?name=MDP0000388583","MDP0000388583")</f>
        <v>MDP0000388583</v>
      </c>
      <c r="D22005">
        <v>87.5</v>
      </c>
      <c r="E22005">
        <v>32</v>
      </c>
      <c r="F22005">
        <v>4</v>
      </c>
      <c r="G22005">
        <v>0</v>
      </c>
      <c r="H22005">
        <v>1</v>
      </c>
      <c r="I22005">
        <v>32</v>
      </c>
      <c r="J22005">
        <v>1</v>
      </c>
      <c r="K22005">
        <v>124</v>
      </c>
      <c r="L22005">
        <v>155</v>
      </c>
      <c r="M22005">
        <v>1</v>
      </c>
      <c r="N22005">
        <v>7.0884400000000004E-10</v>
      </c>
      <c r="O22005">
        <v>143</v>
      </c>
    </row>
    <row r="22006" spans="1:15" x14ac:dyDescent="0.25">
      <c r="A22006" t="s">
        <v>22019</v>
      </c>
      <c r="B22006">
        <v>142</v>
      </c>
      <c r="C22006" s="1" t="str">
        <f>HYPERLINK("http://www.rosaceae.org/gb/gbrowse/malus_x_domestica/?name=MDP0000214824","MDP0000214824")</f>
        <v>MDP0000214824</v>
      </c>
      <c r="D22006">
        <v>75.67</v>
      </c>
      <c r="E22006">
        <v>37</v>
      </c>
      <c r="F22006">
        <v>9</v>
      </c>
      <c r="G22006">
        <v>0</v>
      </c>
      <c r="H22006">
        <v>42</v>
      </c>
      <c r="I22006">
        <v>78</v>
      </c>
      <c r="J22006">
        <v>1</v>
      </c>
      <c r="K22006">
        <v>191</v>
      </c>
      <c r="L22006">
        <v>227</v>
      </c>
      <c r="M22006">
        <v>1</v>
      </c>
      <c r="N22006">
        <v>1.4066500000000001E-8</v>
      </c>
      <c r="O22006">
        <v>133</v>
      </c>
    </row>
    <row r="22007" spans="1:15" x14ac:dyDescent="0.25">
      <c r="A22007" t="s">
        <v>22020</v>
      </c>
      <c r="B22007">
        <v>163</v>
      </c>
      <c r="C22007" s="1" t="str">
        <f>HYPERLINK("http://www.rosaceae.org/gb/gbrowse/malus_x_domestica/?name=MDP0000286477","MDP0000286477")</f>
        <v>MDP0000286477</v>
      </c>
      <c r="D22007">
        <v>47.59</v>
      </c>
      <c r="E22007">
        <v>166</v>
      </c>
      <c r="F22007">
        <v>87</v>
      </c>
      <c r="G22007">
        <v>29</v>
      </c>
      <c r="H22007">
        <v>1</v>
      </c>
      <c r="I22007">
        <v>163</v>
      </c>
      <c r="J22007">
        <v>1</v>
      </c>
      <c r="K22007">
        <v>1</v>
      </c>
      <c r="L22007">
        <v>140</v>
      </c>
      <c r="M22007">
        <v>1</v>
      </c>
      <c r="N22007">
        <v>9.3803900000000005E-37</v>
      </c>
      <c r="O22007">
        <v>377</v>
      </c>
    </row>
    <row r="22008" spans="1:15" x14ac:dyDescent="0.25">
      <c r="A22008" t="s">
        <v>22021</v>
      </c>
      <c r="B22008">
        <v>1951</v>
      </c>
      <c r="C22008" s="1" t="str">
        <f>HYPERLINK("http://www.rosaceae.org/gb/gbrowse/malus_x_domestica/?name=MDP0000319777","MDP0000319777")</f>
        <v>MDP0000319777</v>
      </c>
      <c r="D22008">
        <v>77.790000000000006</v>
      </c>
      <c r="E22008">
        <v>2054</v>
      </c>
      <c r="F22008">
        <v>456</v>
      </c>
      <c r="G22008">
        <v>119</v>
      </c>
      <c r="H22008">
        <v>4</v>
      </c>
      <c r="I22008">
        <v>1951</v>
      </c>
      <c r="J22008">
        <v>1</v>
      </c>
      <c r="K22008">
        <v>274</v>
      </c>
      <c r="L22008">
        <v>2314</v>
      </c>
      <c r="M22008">
        <v>1</v>
      </c>
      <c r="N22008">
        <v>0</v>
      </c>
      <c r="O22008">
        <v>8362</v>
      </c>
    </row>
    <row r="22009" spans="1:15" x14ac:dyDescent="0.25">
      <c r="A22009" t="s">
        <v>22022</v>
      </c>
      <c r="B22009">
        <v>331</v>
      </c>
      <c r="C22009" s="1" t="str">
        <f>HYPERLINK("http://www.rosaceae.org/gb/gbrowse/malus_x_domestica/?name=MDP0000710349","MDP0000710349")</f>
        <v>MDP0000710349</v>
      </c>
      <c r="D22009">
        <v>63.45</v>
      </c>
      <c r="E22009">
        <v>301</v>
      </c>
      <c r="F22009">
        <v>110</v>
      </c>
      <c r="G22009">
        <v>8</v>
      </c>
      <c r="H22009">
        <v>20</v>
      </c>
      <c r="I22009">
        <v>313</v>
      </c>
      <c r="J22009">
        <v>1</v>
      </c>
      <c r="K22009">
        <v>16</v>
      </c>
      <c r="L22009">
        <v>315</v>
      </c>
      <c r="M22009">
        <v>1</v>
      </c>
      <c r="N22009">
        <v>1.04567E-108</v>
      </c>
      <c r="O22009">
        <v>1002</v>
      </c>
    </row>
    <row r="22010" spans="1:15" x14ac:dyDescent="0.25">
      <c r="A22010" t="s">
        <v>22023</v>
      </c>
      <c r="B22010">
        <v>597</v>
      </c>
      <c r="C22010" s="1" t="str">
        <f>HYPERLINK("http://www.rosaceae.org/gb/gbrowse/malus_x_domestica/?name=MDP0000246831","MDP0000246831")</f>
        <v>MDP0000246831</v>
      </c>
      <c r="D22010">
        <v>55.39</v>
      </c>
      <c r="E22010">
        <v>213</v>
      </c>
      <c r="F22010">
        <v>95</v>
      </c>
      <c r="G22010">
        <v>10</v>
      </c>
      <c r="H22010">
        <v>4</v>
      </c>
      <c r="I22010">
        <v>210</v>
      </c>
      <c r="J22010">
        <v>1</v>
      </c>
      <c r="K22010">
        <v>2</v>
      </c>
      <c r="L22010">
        <v>210</v>
      </c>
      <c r="M22010">
        <v>1</v>
      </c>
      <c r="N22010">
        <v>1.96255E-51</v>
      </c>
      <c r="O22010">
        <v>511</v>
      </c>
    </row>
    <row r="22011" spans="1:15" x14ac:dyDescent="0.25">
      <c r="A22011" t="s">
        <v>22024</v>
      </c>
      <c r="B22011">
        <v>276</v>
      </c>
      <c r="C22011" s="1" t="str">
        <f>HYPERLINK("http://www.rosaceae.org/gb/gbrowse/malus_x_domestica/?name=MDP0000186860","MDP0000186860")</f>
        <v>MDP0000186860</v>
      </c>
      <c r="D22011">
        <v>76.86</v>
      </c>
      <c r="E22011">
        <v>255</v>
      </c>
      <c r="F22011">
        <v>59</v>
      </c>
      <c r="G22011">
        <v>11</v>
      </c>
      <c r="H22011">
        <v>3</v>
      </c>
      <c r="I22011">
        <v>252</v>
      </c>
      <c r="J22011">
        <v>1</v>
      </c>
      <c r="K22011">
        <v>20</v>
      </c>
      <c r="L22011">
        <v>268</v>
      </c>
      <c r="M22011">
        <v>1</v>
      </c>
      <c r="N22011">
        <v>1.2873200000000001E-111</v>
      </c>
      <c r="O22011">
        <v>1026</v>
      </c>
    </row>
    <row r="22012" spans="1:15" x14ac:dyDescent="0.25">
      <c r="A22012" t="s">
        <v>22025</v>
      </c>
      <c r="B22012">
        <v>428</v>
      </c>
      <c r="C22012" s="1" t="str">
        <f>HYPERLINK("http://www.rosaceae.org/gb/gbrowse/malus_x_domestica/?name=MDP0000207848","MDP0000207848")</f>
        <v>MDP0000207848</v>
      </c>
      <c r="D22012">
        <v>73.209999999999994</v>
      </c>
      <c r="E22012">
        <v>351</v>
      </c>
      <c r="F22012">
        <v>94</v>
      </c>
      <c r="G22012">
        <v>5</v>
      </c>
      <c r="H22012">
        <v>1</v>
      </c>
      <c r="I22012">
        <v>347</v>
      </c>
      <c r="J22012">
        <v>1</v>
      </c>
      <c r="K22012">
        <v>1</v>
      </c>
      <c r="L22012">
        <v>350</v>
      </c>
      <c r="M22012">
        <v>1</v>
      </c>
      <c r="N22012">
        <v>3.3193400000000002E-153</v>
      </c>
      <c r="O22012">
        <v>1387</v>
      </c>
    </row>
    <row r="22013" spans="1:15" x14ac:dyDescent="0.25">
      <c r="A22013" t="s">
        <v>22026</v>
      </c>
      <c r="B22013">
        <v>341</v>
      </c>
      <c r="C22013" s="1" t="str">
        <f>HYPERLINK("http://www.rosaceae.org/gb/gbrowse/malus_x_domestica/?name=MDP0000181135","MDP0000181135")</f>
        <v>MDP0000181135</v>
      </c>
      <c r="D22013">
        <v>43.58</v>
      </c>
      <c r="E22013">
        <v>156</v>
      </c>
      <c r="F22013">
        <v>88</v>
      </c>
      <c r="G22013">
        <v>7</v>
      </c>
      <c r="H22013">
        <v>14</v>
      </c>
      <c r="I22013">
        <v>166</v>
      </c>
      <c r="J22013">
        <v>1</v>
      </c>
      <c r="K22013">
        <v>138</v>
      </c>
      <c r="L22013">
        <v>289</v>
      </c>
      <c r="M22013">
        <v>1</v>
      </c>
      <c r="N22013">
        <v>2.0066600000000001E-23</v>
      </c>
      <c r="O22013">
        <v>267</v>
      </c>
    </row>
    <row r="22014" spans="1:15" x14ac:dyDescent="0.25">
      <c r="A22014" t="s">
        <v>22027</v>
      </c>
      <c r="B22014">
        <v>283</v>
      </c>
      <c r="C22014" s="1" t="str">
        <f>HYPERLINK("http://www.rosaceae.org/gb/gbrowse/malus_x_domestica/?name=MDP0000267759","MDP0000267759")</f>
        <v>MDP0000267759</v>
      </c>
      <c r="D22014">
        <v>73.260000000000005</v>
      </c>
      <c r="E22014">
        <v>288</v>
      </c>
      <c r="F22014">
        <v>77</v>
      </c>
      <c r="G22014">
        <v>6</v>
      </c>
      <c r="H22014">
        <v>1</v>
      </c>
      <c r="I22014">
        <v>283</v>
      </c>
      <c r="J22014">
        <v>1</v>
      </c>
      <c r="K22014">
        <v>1</v>
      </c>
      <c r="L22014">
        <v>287</v>
      </c>
      <c r="M22014">
        <v>1</v>
      </c>
      <c r="N22014">
        <v>1.4278199999999999E-120</v>
      </c>
      <c r="O22014">
        <v>1103</v>
      </c>
    </row>
    <row r="22015" spans="1:15" x14ac:dyDescent="0.25">
      <c r="A22015" t="s">
        <v>22028</v>
      </c>
      <c r="B22015">
        <v>1737</v>
      </c>
      <c r="C22015" s="1" t="str">
        <f>HYPERLINK("http://www.rosaceae.org/gb/gbrowse/malus_x_domestica/?name=MDP0000525602","MDP0000525602")</f>
        <v>MDP0000525602</v>
      </c>
      <c r="D22015">
        <v>57.39</v>
      </c>
      <c r="E22015">
        <v>974</v>
      </c>
      <c r="F22015">
        <v>415</v>
      </c>
      <c r="G22015">
        <v>21</v>
      </c>
      <c r="H22015">
        <v>672</v>
      </c>
      <c r="I22015">
        <v>1633</v>
      </c>
      <c r="J22015">
        <v>1</v>
      </c>
      <c r="K22015">
        <v>30</v>
      </c>
      <c r="L22015">
        <v>994</v>
      </c>
      <c r="M22015">
        <v>1</v>
      </c>
      <c r="N22015">
        <v>0</v>
      </c>
      <c r="O22015">
        <v>2585</v>
      </c>
    </row>
    <row r="22016" spans="1:15" x14ac:dyDescent="0.25">
      <c r="A22016" t="s">
        <v>22029</v>
      </c>
      <c r="B22016">
        <v>455</v>
      </c>
      <c r="C22016" s="1" t="str">
        <f>HYPERLINK("http://www.rosaceae.org/gb/gbrowse/malus_x_domestica/?name=MDP0000146452","MDP0000146452")</f>
        <v>MDP0000146452</v>
      </c>
      <c r="D22016">
        <v>32.26</v>
      </c>
      <c r="E22016">
        <v>468</v>
      </c>
      <c r="F22016">
        <v>317</v>
      </c>
      <c r="G22016">
        <v>33</v>
      </c>
      <c r="H22016">
        <v>1</v>
      </c>
      <c r="I22016">
        <v>452</v>
      </c>
      <c r="J22016">
        <v>1</v>
      </c>
      <c r="K22016">
        <v>17</v>
      </c>
      <c r="L22016">
        <v>467</v>
      </c>
      <c r="M22016">
        <v>1</v>
      </c>
      <c r="N22016">
        <v>2.2623199999999999E-61</v>
      </c>
      <c r="O22016">
        <v>595</v>
      </c>
    </row>
    <row r="22017" spans="1:15" x14ac:dyDescent="0.25">
      <c r="A22017" t="s">
        <v>22030</v>
      </c>
      <c r="B22017">
        <v>228</v>
      </c>
      <c r="C22017" s="1" t="str">
        <f>HYPERLINK("http://www.rosaceae.org/gb/gbrowse/malus_x_domestica/?name=MDP0000214532","MDP0000214532")</f>
        <v>MDP0000214532</v>
      </c>
      <c r="D22017">
        <v>57.36</v>
      </c>
      <c r="E22017">
        <v>190</v>
      </c>
      <c r="F22017">
        <v>81</v>
      </c>
      <c r="G22017">
        <v>7</v>
      </c>
      <c r="H22017">
        <v>40</v>
      </c>
      <c r="I22017">
        <v>226</v>
      </c>
      <c r="J22017">
        <v>1</v>
      </c>
      <c r="K22017">
        <v>739</v>
      </c>
      <c r="L22017">
        <v>924</v>
      </c>
      <c r="M22017">
        <v>1</v>
      </c>
      <c r="N22017">
        <v>8.28426E-52</v>
      </c>
      <c r="O22017">
        <v>509</v>
      </c>
    </row>
    <row r="22018" spans="1:15" x14ac:dyDescent="0.25">
      <c r="A22018" t="s">
        <v>22031</v>
      </c>
      <c r="B22018">
        <v>539</v>
      </c>
      <c r="C22018" s="1" t="str">
        <f>HYPERLINK("http://www.rosaceae.org/gb/gbrowse/malus_x_domestica/?name=MDP0000436999","MDP0000436999")</f>
        <v>MDP0000436999</v>
      </c>
      <c r="D22018">
        <v>55.39</v>
      </c>
      <c r="E22018">
        <v>473</v>
      </c>
      <c r="F22018">
        <v>211</v>
      </c>
      <c r="G22018">
        <v>39</v>
      </c>
      <c r="H22018">
        <v>34</v>
      </c>
      <c r="I22018">
        <v>479</v>
      </c>
      <c r="J22018">
        <v>1</v>
      </c>
      <c r="K22018">
        <v>39</v>
      </c>
      <c r="L22018">
        <v>499</v>
      </c>
      <c r="M22018">
        <v>1</v>
      </c>
      <c r="N22018">
        <v>1.81E-145</v>
      </c>
      <c r="O22018">
        <v>1321</v>
      </c>
    </row>
    <row r="22019" spans="1:15" x14ac:dyDescent="0.25">
      <c r="A22019" t="s">
        <v>22032</v>
      </c>
      <c r="B22019">
        <v>1079</v>
      </c>
      <c r="C22019" s="1" t="str">
        <f>HYPERLINK("http://www.rosaceae.org/gb/gbrowse/malus_x_domestica/?name=MDP0000304607","MDP0000304607")</f>
        <v>MDP0000304607</v>
      </c>
      <c r="D22019">
        <v>81.41</v>
      </c>
      <c r="E22019">
        <v>1076</v>
      </c>
      <c r="F22019">
        <v>200</v>
      </c>
      <c r="G22019">
        <v>9</v>
      </c>
      <c r="H22019">
        <v>4</v>
      </c>
      <c r="I22019">
        <v>1079</v>
      </c>
      <c r="J22019">
        <v>1</v>
      </c>
      <c r="K22019">
        <v>5</v>
      </c>
      <c r="L22019">
        <v>1071</v>
      </c>
      <c r="M22019">
        <v>1</v>
      </c>
      <c r="N22019">
        <v>0</v>
      </c>
      <c r="O22019">
        <v>4585</v>
      </c>
    </row>
    <row r="22020" spans="1:15" x14ac:dyDescent="0.25">
      <c r="A22020" t="s">
        <v>22033</v>
      </c>
      <c r="B22020">
        <v>466</v>
      </c>
      <c r="C22020" s="1" t="str">
        <f>HYPERLINK("http://www.rosaceae.org/gb/gbrowse/malus_x_domestica/?name=MDP0000446321","MDP0000446321")</f>
        <v>MDP0000446321</v>
      </c>
      <c r="D22020">
        <v>65.39</v>
      </c>
      <c r="E22020">
        <v>341</v>
      </c>
      <c r="F22020">
        <v>118</v>
      </c>
      <c r="G22020">
        <v>5</v>
      </c>
      <c r="H22020">
        <v>1</v>
      </c>
      <c r="I22020">
        <v>336</v>
      </c>
      <c r="J22020">
        <v>1</v>
      </c>
      <c r="K22020">
        <v>1</v>
      </c>
      <c r="L22020">
        <v>341</v>
      </c>
      <c r="M22020">
        <v>1</v>
      </c>
      <c r="N22020">
        <v>4.8880200000000004E-130</v>
      </c>
      <c r="O22020">
        <v>1188</v>
      </c>
    </row>
    <row r="22021" spans="1:15" x14ac:dyDescent="0.25">
      <c r="A22021" t="s">
        <v>22034</v>
      </c>
      <c r="B22021">
        <v>248</v>
      </c>
      <c r="C22021" s="1" t="str">
        <f>HYPERLINK("http://www.rosaceae.org/gb/gbrowse/malus_x_domestica/?name=MDP0000153928","MDP0000153928")</f>
        <v>MDP0000153928</v>
      </c>
      <c r="D22021">
        <v>71.680000000000007</v>
      </c>
      <c r="E22021">
        <v>226</v>
      </c>
      <c r="F22021">
        <v>64</v>
      </c>
      <c r="G22021">
        <v>4</v>
      </c>
      <c r="H22021">
        <v>1</v>
      </c>
      <c r="I22021">
        <v>224</v>
      </c>
      <c r="J22021">
        <v>1</v>
      </c>
      <c r="K22021">
        <v>884</v>
      </c>
      <c r="L22021">
        <v>1107</v>
      </c>
      <c r="M22021">
        <v>1</v>
      </c>
      <c r="N22021">
        <v>2.07482E-83</v>
      </c>
      <c r="O22021">
        <v>782</v>
      </c>
    </row>
    <row r="22022" spans="1:15" x14ac:dyDescent="0.25">
      <c r="A22022" t="s">
        <v>22035</v>
      </c>
      <c r="B22022">
        <v>272</v>
      </c>
      <c r="C22022" s="1" t="str">
        <f>HYPERLINK("http://www.rosaceae.org/gb/gbrowse/malus_x_domestica/?name=MDP0000293780","MDP0000293780")</f>
        <v>MDP0000293780</v>
      </c>
      <c r="D22022">
        <v>56.14</v>
      </c>
      <c r="E22022">
        <v>244</v>
      </c>
      <c r="F22022">
        <v>107</v>
      </c>
      <c r="G22022">
        <v>22</v>
      </c>
      <c r="H22022">
        <v>1</v>
      </c>
      <c r="I22022">
        <v>230</v>
      </c>
      <c r="J22022">
        <v>1</v>
      </c>
      <c r="K22022">
        <v>1</v>
      </c>
      <c r="L22022">
        <v>236</v>
      </c>
      <c r="M22022">
        <v>1</v>
      </c>
      <c r="N22022">
        <v>1.9512400000000001E-64</v>
      </c>
      <c r="O22022">
        <v>619</v>
      </c>
    </row>
    <row r="22023" spans="1:15" x14ac:dyDescent="0.25">
      <c r="A22023" t="s">
        <v>22036</v>
      </c>
      <c r="B22023">
        <v>791</v>
      </c>
      <c r="C22023" s="1" t="str">
        <f>HYPERLINK("http://www.rosaceae.org/gb/gbrowse/malus_x_domestica/?name=MDP0000171121","MDP0000171121")</f>
        <v>MDP0000171121</v>
      </c>
      <c r="D22023">
        <v>40.090000000000003</v>
      </c>
      <c r="E22023">
        <v>813</v>
      </c>
      <c r="F22023">
        <v>487</v>
      </c>
      <c r="G22023">
        <v>96</v>
      </c>
      <c r="H22023">
        <v>29</v>
      </c>
      <c r="I22023">
        <v>762</v>
      </c>
      <c r="J22023">
        <v>1</v>
      </c>
      <c r="K22023">
        <v>21</v>
      </c>
      <c r="L22023">
        <v>816</v>
      </c>
      <c r="M22023">
        <v>1</v>
      </c>
      <c r="N22023">
        <v>6.7023600000000001E-156</v>
      </c>
      <c r="O22023">
        <v>1413</v>
      </c>
    </row>
    <row r="22024" spans="1:15" x14ac:dyDescent="0.25">
      <c r="A22024" t="s">
        <v>22037</v>
      </c>
      <c r="B22024">
        <v>140</v>
      </c>
      <c r="C22024" s="1" t="str">
        <f>HYPERLINK("http://www.rosaceae.org/gb/gbrowse/malus_x_domestica/?name=MDP0000289300","MDP0000289300")</f>
        <v>MDP0000289300</v>
      </c>
      <c r="D22024">
        <v>85.14</v>
      </c>
      <c r="E22024">
        <v>101</v>
      </c>
      <c r="F22024">
        <v>15</v>
      </c>
      <c r="G22024">
        <v>0</v>
      </c>
      <c r="H22024">
        <v>21</v>
      </c>
      <c r="I22024">
        <v>121</v>
      </c>
      <c r="J22024">
        <v>1</v>
      </c>
      <c r="K22024">
        <v>41</v>
      </c>
      <c r="L22024">
        <v>141</v>
      </c>
      <c r="M22024">
        <v>1</v>
      </c>
      <c r="N22024">
        <v>7.20122E-45</v>
      </c>
      <c r="O22024">
        <v>446</v>
      </c>
    </row>
    <row r="22025" spans="1:15" x14ac:dyDescent="0.25">
      <c r="A22025" t="s">
        <v>22038</v>
      </c>
      <c r="B22025">
        <v>397</v>
      </c>
      <c r="C22025" s="1" t="str">
        <f>HYPERLINK("http://www.rosaceae.org/gb/gbrowse/malus_x_domestica/?name=MDP0000639264","MDP0000639264")</f>
        <v>MDP0000639264</v>
      </c>
      <c r="D22025">
        <v>60.08</v>
      </c>
      <c r="E22025">
        <v>451</v>
      </c>
      <c r="F22025">
        <v>180</v>
      </c>
      <c r="G22025">
        <v>58</v>
      </c>
      <c r="H22025">
        <v>1</v>
      </c>
      <c r="I22025">
        <v>394</v>
      </c>
      <c r="J22025">
        <v>1</v>
      </c>
      <c r="K22025">
        <v>1</v>
      </c>
      <c r="L22025">
        <v>450</v>
      </c>
      <c r="M22025">
        <v>1</v>
      </c>
      <c r="N22025">
        <v>2.27776E-153</v>
      </c>
      <c r="O22025">
        <v>1388</v>
      </c>
    </row>
    <row r="22026" spans="1:15" x14ac:dyDescent="0.25">
      <c r="A22026" t="s">
        <v>22039</v>
      </c>
      <c r="B22026">
        <v>1332</v>
      </c>
      <c r="C22026" s="1" t="str">
        <f>HYPERLINK("http://www.rosaceae.org/gb/gbrowse/malus_x_domestica/?name=MDP0000391472","MDP0000391472")</f>
        <v>MDP0000391472</v>
      </c>
      <c r="D22026">
        <v>53.28</v>
      </c>
      <c r="E22026">
        <v>1201</v>
      </c>
      <c r="F22026">
        <v>561</v>
      </c>
      <c r="G22026">
        <v>119</v>
      </c>
      <c r="H22026">
        <v>123</v>
      </c>
      <c r="I22026">
        <v>1293</v>
      </c>
      <c r="J22026">
        <v>1</v>
      </c>
      <c r="K22026">
        <v>37</v>
      </c>
      <c r="L22026">
        <v>1148</v>
      </c>
      <c r="M22026">
        <v>1</v>
      </c>
      <c r="N22026">
        <v>0</v>
      </c>
      <c r="O22026">
        <v>2871</v>
      </c>
    </row>
    <row r="22027" spans="1:15" x14ac:dyDescent="0.25">
      <c r="A22027" t="s">
        <v>22040</v>
      </c>
      <c r="B22027">
        <v>272</v>
      </c>
      <c r="C22027" s="1" t="str">
        <f>HYPERLINK("http://www.rosaceae.org/gb/gbrowse/malus_x_domestica/?name=MDP0000239645","MDP0000239645")</f>
        <v>MDP0000239645</v>
      </c>
      <c r="D22027">
        <v>69.06</v>
      </c>
      <c r="E22027">
        <v>139</v>
      </c>
      <c r="F22027">
        <v>43</v>
      </c>
      <c r="G22027">
        <v>1</v>
      </c>
      <c r="H22027">
        <v>1</v>
      </c>
      <c r="I22027">
        <v>138</v>
      </c>
      <c r="J22027">
        <v>1</v>
      </c>
      <c r="K22027">
        <v>1</v>
      </c>
      <c r="L22027">
        <v>139</v>
      </c>
      <c r="M22027">
        <v>1</v>
      </c>
      <c r="N22027">
        <v>1.62968E-52</v>
      </c>
      <c r="O22027">
        <v>516</v>
      </c>
    </row>
    <row r="22028" spans="1:15" x14ac:dyDescent="0.25">
      <c r="A22028" t="s">
        <v>22041</v>
      </c>
      <c r="B22028">
        <v>186</v>
      </c>
      <c r="C22028" s="1" t="str">
        <f>HYPERLINK("http://www.rosaceae.org/gb/gbrowse/malus_x_domestica/?name=MDP0000254142","MDP0000254142")</f>
        <v>MDP0000254142</v>
      </c>
      <c r="D22028">
        <v>66.89</v>
      </c>
      <c r="E22028">
        <v>148</v>
      </c>
      <c r="F22028">
        <v>49</v>
      </c>
      <c r="G22028">
        <v>3</v>
      </c>
      <c r="H22028">
        <v>8</v>
      </c>
      <c r="I22028">
        <v>154</v>
      </c>
      <c r="J22028">
        <v>1</v>
      </c>
      <c r="K22028">
        <v>9</v>
      </c>
      <c r="L22028">
        <v>154</v>
      </c>
      <c r="M22028">
        <v>1</v>
      </c>
      <c r="N22028">
        <v>5.3221300000000001E-46</v>
      </c>
      <c r="O22028">
        <v>458</v>
      </c>
    </row>
    <row r="22029" spans="1:15" x14ac:dyDescent="0.25">
      <c r="A22029" t="s">
        <v>22042</v>
      </c>
      <c r="B22029">
        <v>388</v>
      </c>
      <c r="C22029" s="1" t="str">
        <f>HYPERLINK("http://www.rosaceae.org/gb/gbrowse/malus_x_domestica/?name=MDP0000549646","MDP0000549646")</f>
        <v>MDP0000549646</v>
      </c>
      <c r="D22029">
        <v>87.53</v>
      </c>
      <c r="E22029">
        <v>329</v>
      </c>
      <c r="F22029">
        <v>41</v>
      </c>
      <c r="G22029">
        <v>0</v>
      </c>
      <c r="H22029">
        <v>44</v>
      </c>
      <c r="I22029">
        <v>372</v>
      </c>
      <c r="J22029">
        <v>1</v>
      </c>
      <c r="K22029">
        <v>16</v>
      </c>
      <c r="L22029">
        <v>344</v>
      </c>
      <c r="M22029">
        <v>1</v>
      </c>
      <c r="N22029">
        <v>1.3644899999999999E-168</v>
      </c>
      <c r="O22029">
        <v>1519</v>
      </c>
    </row>
    <row r="22030" spans="1:15" x14ac:dyDescent="0.25">
      <c r="A22030" t="s">
        <v>22043</v>
      </c>
      <c r="B22030">
        <v>573</v>
      </c>
      <c r="C22030" s="1" t="str">
        <f>HYPERLINK("http://www.rosaceae.org/gb/gbrowse/malus_x_domestica/?name=MDP0000154359","MDP0000154359")</f>
        <v>MDP0000154359</v>
      </c>
      <c r="D22030">
        <v>60.51</v>
      </c>
      <c r="E22030">
        <v>466</v>
      </c>
      <c r="F22030">
        <v>184</v>
      </c>
      <c r="G22030">
        <v>18</v>
      </c>
      <c r="H22030">
        <v>95</v>
      </c>
      <c r="I22030">
        <v>544</v>
      </c>
      <c r="J22030">
        <v>1</v>
      </c>
      <c r="K22030">
        <v>258</v>
      </c>
      <c r="L22030">
        <v>721</v>
      </c>
      <c r="M22030">
        <v>1</v>
      </c>
      <c r="N22030">
        <v>7.7082200000000006E-166</v>
      </c>
      <c r="O22030">
        <v>1497</v>
      </c>
    </row>
    <row r="22031" spans="1:15" x14ac:dyDescent="0.25">
      <c r="A22031" t="s">
        <v>22044</v>
      </c>
      <c r="B22031">
        <v>403</v>
      </c>
      <c r="C22031" s="1" t="str">
        <f>HYPERLINK("http://www.rosaceae.org/gb/gbrowse/malus_x_domestica/?name=MDP0000170906","MDP0000170906")</f>
        <v>MDP0000170906</v>
      </c>
      <c r="D22031">
        <v>42.89</v>
      </c>
      <c r="E22031">
        <v>373</v>
      </c>
      <c r="F22031">
        <v>213</v>
      </c>
      <c r="G22031">
        <v>54</v>
      </c>
      <c r="H22031">
        <v>38</v>
      </c>
      <c r="I22031">
        <v>402</v>
      </c>
      <c r="J22031">
        <v>1</v>
      </c>
      <c r="K22031">
        <v>28</v>
      </c>
      <c r="L22031">
        <v>354</v>
      </c>
      <c r="M22031">
        <v>1</v>
      </c>
      <c r="N22031">
        <v>7.1720999999999996E-66</v>
      </c>
      <c r="O22031">
        <v>634</v>
      </c>
    </row>
    <row r="22032" spans="1:15" x14ac:dyDescent="0.25">
      <c r="A22032" t="s">
        <v>22045</v>
      </c>
      <c r="B22032">
        <v>483</v>
      </c>
      <c r="C22032" s="1" t="str">
        <f>HYPERLINK("http://www.rosaceae.org/gb/gbrowse/malus_x_domestica/?name=MDP0000178669","MDP0000178669")</f>
        <v>MDP0000178669</v>
      </c>
      <c r="D22032">
        <v>38.9</v>
      </c>
      <c r="E22032">
        <v>329</v>
      </c>
      <c r="F22032">
        <v>201</v>
      </c>
      <c r="G22032">
        <v>17</v>
      </c>
      <c r="H22032">
        <v>164</v>
      </c>
      <c r="I22032">
        <v>479</v>
      </c>
      <c r="J22032">
        <v>1</v>
      </c>
      <c r="K22032">
        <v>141</v>
      </c>
      <c r="L22032">
        <v>465</v>
      </c>
      <c r="M22032">
        <v>1</v>
      </c>
      <c r="N22032">
        <v>1.00909E-62</v>
      </c>
      <c r="O22032">
        <v>607</v>
      </c>
    </row>
    <row r="22033" spans="1:15" x14ac:dyDescent="0.25">
      <c r="A22033" t="s">
        <v>22046</v>
      </c>
      <c r="B22033">
        <v>533</v>
      </c>
      <c r="C22033" s="1" t="str">
        <f>HYPERLINK("http://www.rosaceae.org/gb/gbrowse/malus_x_domestica/?name=MDP0000218244","MDP0000218244")</f>
        <v>MDP0000218244</v>
      </c>
      <c r="D22033">
        <v>67.37</v>
      </c>
      <c r="E22033">
        <v>521</v>
      </c>
      <c r="F22033">
        <v>170</v>
      </c>
      <c r="G22033">
        <v>7</v>
      </c>
      <c r="H22033">
        <v>16</v>
      </c>
      <c r="I22033">
        <v>532</v>
      </c>
      <c r="J22033">
        <v>1</v>
      </c>
      <c r="K22033">
        <v>1</v>
      </c>
      <c r="L22033">
        <v>518</v>
      </c>
      <c r="M22033">
        <v>1</v>
      </c>
      <c r="N22033">
        <v>0</v>
      </c>
      <c r="O22033">
        <v>1835</v>
      </c>
    </row>
    <row r="22034" spans="1:15" x14ac:dyDescent="0.25">
      <c r="A22034" t="s">
        <v>22047</v>
      </c>
      <c r="B22034">
        <v>221</v>
      </c>
      <c r="C22034" s="1" t="str">
        <f>HYPERLINK("http://www.rosaceae.org/gb/gbrowse/malus_x_domestica/?name=MDP0000189391","MDP0000189391")</f>
        <v>MDP0000189391</v>
      </c>
      <c r="D22034">
        <v>92.1</v>
      </c>
      <c r="E22034">
        <v>38</v>
      </c>
      <c r="F22034">
        <v>3</v>
      </c>
      <c r="G22034">
        <v>0</v>
      </c>
      <c r="H22034">
        <v>1</v>
      </c>
      <c r="I22034">
        <v>38</v>
      </c>
      <c r="J22034">
        <v>1</v>
      </c>
      <c r="K22034">
        <v>456</v>
      </c>
      <c r="L22034">
        <v>493</v>
      </c>
      <c r="M22034">
        <v>1</v>
      </c>
      <c r="N22034">
        <v>4.8976099999999998E-14</v>
      </c>
      <c r="O22034">
        <v>183</v>
      </c>
    </row>
    <row r="22035" spans="1:15" x14ac:dyDescent="0.25">
      <c r="A22035" t="s">
        <v>22048</v>
      </c>
      <c r="B22035">
        <v>112</v>
      </c>
      <c r="C22035" s="1" t="str">
        <f>HYPERLINK("http://www.rosaceae.org/gb/gbrowse/malus_x_domestica/?name=MDP0000873928","MDP0000873928")</f>
        <v>MDP0000873928</v>
      </c>
      <c r="D22035">
        <v>85.33</v>
      </c>
      <c r="E22035">
        <v>75</v>
      </c>
      <c r="F22035">
        <v>11</v>
      </c>
      <c r="G22035">
        <v>0</v>
      </c>
      <c r="H22035">
        <v>35</v>
      </c>
      <c r="I22035">
        <v>109</v>
      </c>
      <c r="J22035">
        <v>1</v>
      </c>
      <c r="K22035">
        <v>211</v>
      </c>
      <c r="L22035">
        <v>285</v>
      </c>
      <c r="M22035">
        <v>1</v>
      </c>
      <c r="N22035">
        <v>6.8339200000000004E-35</v>
      </c>
      <c r="O22035">
        <v>358</v>
      </c>
    </row>
    <row r="22036" spans="1:15" x14ac:dyDescent="0.25">
      <c r="A22036" t="s">
        <v>22049</v>
      </c>
      <c r="B22036">
        <v>578</v>
      </c>
      <c r="C22036" s="1" t="str">
        <f>HYPERLINK("http://www.rosaceae.org/gb/gbrowse/malus_x_domestica/?name=MDP0000193684","MDP0000193684")</f>
        <v>MDP0000193684</v>
      </c>
      <c r="D22036">
        <v>49.66</v>
      </c>
      <c r="E22036">
        <v>449</v>
      </c>
      <c r="F22036">
        <v>226</v>
      </c>
      <c r="G22036">
        <v>6</v>
      </c>
      <c r="H22036">
        <v>110</v>
      </c>
      <c r="I22036">
        <v>555</v>
      </c>
      <c r="J22036">
        <v>1</v>
      </c>
      <c r="K22036">
        <v>925</v>
      </c>
      <c r="L22036">
        <v>1370</v>
      </c>
      <c r="M22036">
        <v>1</v>
      </c>
      <c r="N22036">
        <v>3.4190299999999997E-129</v>
      </c>
      <c r="O22036">
        <v>1181</v>
      </c>
    </row>
    <row r="22037" spans="1:15" x14ac:dyDescent="0.25">
      <c r="A22037" t="s">
        <v>22050</v>
      </c>
      <c r="B22037">
        <v>245</v>
      </c>
      <c r="C22037" s="1" t="str">
        <f>HYPERLINK("http://www.rosaceae.org/gb/gbrowse/malus_x_domestica/?name=MDP0000290488","MDP0000290488")</f>
        <v>MDP0000290488</v>
      </c>
      <c r="D22037">
        <v>81.86</v>
      </c>
      <c r="E22037">
        <v>204</v>
      </c>
      <c r="F22037">
        <v>37</v>
      </c>
      <c r="G22037">
        <v>2</v>
      </c>
      <c r="H22037">
        <v>1</v>
      </c>
      <c r="I22037">
        <v>203</v>
      </c>
      <c r="J22037">
        <v>1</v>
      </c>
      <c r="K22037">
        <v>202</v>
      </c>
      <c r="L22037">
        <v>404</v>
      </c>
      <c r="M22037">
        <v>1</v>
      </c>
      <c r="N22037">
        <v>1.9578E-97</v>
      </c>
      <c r="O22037">
        <v>903</v>
      </c>
    </row>
    <row r="22038" spans="1:15" x14ac:dyDescent="0.25">
      <c r="A22038" t="s">
        <v>22051</v>
      </c>
      <c r="B22038">
        <v>154</v>
      </c>
      <c r="C22038" s="1" t="str">
        <f>HYPERLINK("http://www.rosaceae.org/gb/gbrowse/malus_x_domestica/?name=MDP0000277508","MDP0000277508")</f>
        <v>MDP0000277508</v>
      </c>
      <c r="D22038">
        <v>42.25</v>
      </c>
      <c r="E22038">
        <v>71</v>
      </c>
      <c r="F22038">
        <v>41</v>
      </c>
      <c r="G22038">
        <v>1</v>
      </c>
      <c r="H22038">
        <v>26</v>
      </c>
      <c r="I22038">
        <v>95</v>
      </c>
      <c r="J22038">
        <v>1</v>
      </c>
      <c r="K22038">
        <v>39</v>
      </c>
      <c r="L22038">
        <v>109</v>
      </c>
      <c r="M22038">
        <v>1</v>
      </c>
      <c r="N22038">
        <v>1.38636E-12</v>
      </c>
      <c r="O22038">
        <v>168</v>
      </c>
    </row>
    <row r="22039" spans="1:15" x14ac:dyDescent="0.25">
      <c r="A22039" t="s">
        <v>22052</v>
      </c>
      <c r="B22039">
        <v>392</v>
      </c>
      <c r="C22039" s="1" t="str">
        <f>HYPERLINK("http://www.rosaceae.org/gb/gbrowse/malus_x_domestica/?name=MDP0000388292","MDP0000388292")</f>
        <v>MDP0000388292</v>
      </c>
      <c r="D22039">
        <v>60.89</v>
      </c>
      <c r="E22039">
        <v>404</v>
      </c>
      <c r="F22039">
        <v>158</v>
      </c>
      <c r="G22039">
        <v>44</v>
      </c>
      <c r="H22039">
        <v>1</v>
      </c>
      <c r="I22039">
        <v>391</v>
      </c>
      <c r="J22039">
        <v>1</v>
      </c>
      <c r="K22039">
        <v>1</v>
      </c>
      <c r="L22039">
        <v>373</v>
      </c>
      <c r="M22039">
        <v>1</v>
      </c>
      <c r="N22039">
        <v>1.44081E-115</v>
      </c>
      <c r="O22039">
        <v>1062</v>
      </c>
    </row>
    <row r="22040" spans="1:15" x14ac:dyDescent="0.25">
      <c r="A22040" t="s">
        <v>22053</v>
      </c>
      <c r="B22040">
        <v>323</v>
      </c>
      <c r="C22040" s="1" t="str">
        <f>HYPERLINK("http://www.rosaceae.org/gb/gbrowse/malus_x_domestica/?name=MDP0000279719","MDP0000279719")</f>
        <v>MDP0000279719</v>
      </c>
      <c r="D22040">
        <v>73.5</v>
      </c>
      <c r="E22040">
        <v>317</v>
      </c>
      <c r="F22040">
        <v>84</v>
      </c>
      <c r="G22040">
        <v>12</v>
      </c>
      <c r="H22040">
        <v>7</v>
      </c>
      <c r="I22040">
        <v>323</v>
      </c>
      <c r="J22040">
        <v>1</v>
      </c>
      <c r="K22040">
        <v>797</v>
      </c>
      <c r="L22040">
        <v>1101</v>
      </c>
      <c r="M22040">
        <v>1</v>
      </c>
      <c r="N22040">
        <v>3.55904E-134</v>
      </c>
      <c r="O22040">
        <v>1221</v>
      </c>
    </row>
    <row r="22041" spans="1:15" x14ac:dyDescent="0.25">
      <c r="A22041" t="s">
        <v>22054</v>
      </c>
      <c r="B22041">
        <v>369</v>
      </c>
      <c r="C22041" s="1" t="str">
        <f>HYPERLINK("http://www.rosaceae.org/gb/gbrowse/malus_x_domestica/?name=MDP0000807177","MDP0000807177")</f>
        <v>MDP0000807177</v>
      </c>
      <c r="D22041">
        <v>76.739999999999995</v>
      </c>
      <c r="E22041">
        <v>258</v>
      </c>
      <c r="F22041">
        <v>60</v>
      </c>
      <c r="G22041">
        <v>3</v>
      </c>
      <c r="H22041">
        <v>1</v>
      </c>
      <c r="I22041">
        <v>255</v>
      </c>
      <c r="J22041">
        <v>1</v>
      </c>
      <c r="K22041">
        <v>1</v>
      </c>
      <c r="L22041">
        <v>258</v>
      </c>
      <c r="M22041">
        <v>1</v>
      </c>
      <c r="N22041">
        <v>1.8130899999999999E-99</v>
      </c>
      <c r="O22041">
        <v>923</v>
      </c>
    </row>
    <row r="22042" spans="1:15" x14ac:dyDescent="0.25">
      <c r="A22042" t="s">
        <v>22055</v>
      </c>
      <c r="B22042">
        <v>246</v>
      </c>
      <c r="C22042" s="1" t="str">
        <f>HYPERLINK("http://www.rosaceae.org/gb/gbrowse/malus_x_domestica/?name=MDP0000686466","MDP0000686466")</f>
        <v>MDP0000686466</v>
      </c>
      <c r="D22042">
        <v>44.37</v>
      </c>
      <c r="E22042">
        <v>151</v>
      </c>
      <c r="F22042">
        <v>84</v>
      </c>
      <c r="G22042">
        <v>2</v>
      </c>
      <c r="H22042">
        <v>37</v>
      </c>
      <c r="I22042">
        <v>187</v>
      </c>
      <c r="J22042">
        <v>1</v>
      </c>
      <c r="K22042">
        <v>36</v>
      </c>
      <c r="L22042">
        <v>184</v>
      </c>
      <c r="M22042">
        <v>1</v>
      </c>
      <c r="N22042">
        <v>3.1824600000000001E-28</v>
      </c>
      <c r="O22042">
        <v>306</v>
      </c>
    </row>
    <row r="22043" spans="1:15" x14ac:dyDescent="0.25">
      <c r="A22043" t="s">
        <v>22056</v>
      </c>
      <c r="B22043">
        <v>118</v>
      </c>
      <c r="C22043" s="1" t="str">
        <f>HYPERLINK("http://www.rosaceae.org/gb/gbrowse/malus_x_domestica/?name=MDP0000670228","MDP0000670228")</f>
        <v>MDP0000670228</v>
      </c>
      <c r="D22043">
        <v>56.41</v>
      </c>
      <c r="E22043">
        <v>39</v>
      </c>
      <c r="F22043">
        <v>17</v>
      </c>
      <c r="G22043">
        <v>6</v>
      </c>
      <c r="H22043">
        <v>79</v>
      </c>
      <c r="I22043">
        <v>117</v>
      </c>
      <c r="J22043">
        <v>1</v>
      </c>
      <c r="K22043">
        <v>276</v>
      </c>
      <c r="L22043">
        <v>308</v>
      </c>
      <c r="M22043">
        <v>1</v>
      </c>
      <c r="N22043">
        <v>1.23018E-7</v>
      </c>
      <c r="O22043">
        <v>123</v>
      </c>
    </row>
    <row r="22044" spans="1:15" x14ac:dyDescent="0.25">
      <c r="A22044" t="s">
        <v>22057</v>
      </c>
      <c r="B22044">
        <v>464</v>
      </c>
      <c r="C22044" s="1" t="str">
        <f>HYPERLINK("http://www.rosaceae.org/gb/gbrowse/malus_x_domestica/?name=MDP0000302917","MDP0000302917")</f>
        <v>MDP0000302917</v>
      </c>
      <c r="D22044">
        <v>47.77</v>
      </c>
      <c r="E22044">
        <v>90</v>
      </c>
      <c r="F22044">
        <v>47</v>
      </c>
      <c r="G22044">
        <v>15</v>
      </c>
      <c r="H22044">
        <v>153</v>
      </c>
      <c r="I22044">
        <v>227</v>
      </c>
      <c r="J22044">
        <v>1</v>
      </c>
      <c r="K22044">
        <v>1</v>
      </c>
      <c r="L22044">
        <v>90</v>
      </c>
      <c r="M22044">
        <v>1</v>
      </c>
      <c r="N22044">
        <v>8.8709700000000001E-12</v>
      </c>
      <c r="O22044">
        <v>168</v>
      </c>
    </row>
    <row r="22045" spans="1:15" x14ac:dyDescent="0.25">
      <c r="A22045" t="s">
        <v>22058</v>
      </c>
      <c r="B22045">
        <v>309</v>
      </c>
      <c r="C22045" s="1" t="str">
        <f>HYPERLINK("http://www.rosaceae.org/gb/gbrowse/malus_x_domestica/?name=MDP0000300997","MDP0000300997")</f>
        <v>MDP0000300997</v>
      </c>
      <c r="D22045">
        <v>65.39</v>
      </c>
      <c r="E22045">
        <v>315</v>
      </c>
      <c r="F22045">
        <v>109</v>
      </c>
      <c r="G22045">
        <v>18</v>
      </c>
      <c r="H22045">
        <v>1</v>
      </c>
      <c r="I22045">
        <v>297</v>
      </c>
      <c r="J22045">
        <v>1</v>
      </c>
      <c r="K22045">
        <v>1</v>
      </c>
      <c r="L22045">
        <v>315</v>
      </c>
      <c r="M22045">
        <v>1</v>
      </c>
      <c r="N22045">
        <v>9.5136499999999998E-113</v>
      </c>
      <c r="O22045">
        <v>1036</v>
      </c>
    </row>
    <row r="22046" spans="1:15" x14ac:dyDescent="0.25">
      <c r="A22046" t="s">
        <v>22059</v>
      </c>
      <c r="B22046">
        <v>1000</v>
      </c>
      <c r="C22046" s="1" t="str">
        <f>HYPERLINK("http://www.rosaceae.org/gb/gbrowse/malus_x_domestica/?name=MDP0000809893","MDP0000809893")</f>
        <v>MDP0000809893</v>
      </c>
      <c r="D22046">
        <v>81.2</v>
      </c>
      <c r="E22046">
        <v>1000</v>
      </c>
      <c r="F22046">
        <v>188</v>
      </c>
      <c r="G22046">
        <v>4</v>
      </c>
      <c r="H22046">
        <v>1</v>
      </c>
      <c r="I22046">
        <v>999</v>
      </c>
      <c r="J22046">
        <v>1</v>
      </c>
      <c r="K22046">
        <v>1</v>
      </c>
      <c r="L22046">
        <v>997</v>
      </c>
      <c r="M22046">
        <v>1</v>
      </c>
      <c r="N22046">
        <v>0</v>
      </c>
      <c r="O22046">
        <v>4338</v>
      </c>
    </row>
    <row r="22047" spans="1:15" x14ac:dyDescent="0.25">
      <c r="A22047" t="s">
        <v>22060</v>
      </c>
      <c r="B22047">
        <v>202</v>
      </c>
      <c r="C22047" s="1" t="str">
        <f>HYPERLINK("http://www.rosaceae.org/gb/gbrowse/malus_x_domestica/?name=MDP0000299139","MDP0000299139")</f>
        <v>MDP0000299139</v>
      </c>
      <c r="D22047">
        <v>43.95</v>
      </c>
      <c r="E22047">
        <v>182</v>
      </c>
      <c r="F22047">
        <v>102</v>
      </c>
      <c r="G22047">
        <v>31</v>
      </c>
      <c r="H22047">
        <v>4</v>
      </c>
      <c r="I22047">
        <v>163</v>
      </c>
      <c r="J22047">
        <v>1</v>
      </c>
      <c r="K22047">
        <v>357</v>
      </c>
      <c r="L22047">
        <v>529</v>
      </c>
      <c r="M22047">
        <v>1</v>
      </c>
      <c r="N22047">
        <v>9.07259E-26</v>
      </c>
      <c r="O22047">
        <v>284</v>
      </c>
    </row>
    <row r="22048" spans="1:15" x14ac:dyDescent="0.25">
      <c r="A22048" t="s">
        <v>22061</v>
      </c>
      <c r="B22048">
        <v>1085</v>
      </c>
      <c r="C22048" s="1" t="str">
        <f>HYPERLINK("http://www.rosaceae.org/gb/gbrowse/malus_x_domestica/?name=MDP0000321985","MDP0000321985")</f>
        <v>MDP0000321985</v>
      </c>
      <c r="D22048">
        <v>81.86</v>
      </c>
      <c r="E22048">
        <v>728</v>
      </c>
      <c r="F22048">
        <v>132</v>
      </c>
      <c r="G22048">
        <v>4</v>
      </c>
      <c r="H22048">
        <v>266</v>
      </c>
      <c r="I22048">
        <v>990</v>
      </c>
      <c r="J22048">
        <v>1</v>
      </c>
      <c r="K22048">
        <v>283</v>
      </c>
      <c r="L22048">
        <v>1009</v>
      </c>
      <c r="M22048">
        <v>1</v>
      </c>
      <c r="N22048">
        <v>0</v>
      </c>
      <c r="O22048">
        <v>3136</v>
      </c>
    </row>
    <row r="22049" spans="1:15" x14ac:dyDescent="0.25">
      <c r="A22049" t="s">
        <v>22062</v>
      </c>
      <c r="B22049">
        <v>1122</v>
      </c>
      <c r="C22049" s="1" t="str">
        <f>HYPERLINK("http://www.rosaceae.org/gb/gbrowse/malus_x_domestica/?name=MDP0000295151","MDP0000295151")</f>
        <v>MDP0000295151</v>
      </c>
      <c r="D22049">
        <v>63.42</v>
      </c>
      <c r="E22049">
        <v>555</v>
      </c>
      <c r="F22049">
        <v>203</v>
      </c>
      <c r="G22049">
        <v>37</v>
      </c>
      <c r="H22049">
        <v>263</v>
      </c>
      <c r="I22049">
        <v>802</v>
      </c>
      <c r="J22049">
        <v>1</v>
      </c>
      <c r="K22049">
        <v>776</v>
      </c>
      <c r="L22049">
        <v>1308</v>
      </c>
      <c r="M22049">
        <v>1</v>
      </c>
      <c r="N22049">
        <v>0</v>
      </c>
      <c r="O22049">
        <v>1742</v>
      </c>
    </row>
    <row r="22050" spans="1:15" x14ac:dyDescent="0.25">
      <c r="A22050" t="s">
        <v>22063</v>
      </c>
      <c r="B22050">
        <v>173</v>
      </c>
      <c r="C22050" s="1" t="str">
        <f>HYPERLINK("http://www.rosaceae.org/gb/gbrowse/malus_x_domestica/?name=MDP0000142000","MDP0000142000")</f>
        <v>MDP0000142000</v>
      </c>
      <c r="D22050">
        <v>48.32</v>
      </c>
      <c r="E22050">
        <v>149</v>
      </c>
      <c r="F22050">
        <v>77</v>
      </c>
      <c r="G22050">
        <v>7</v>
      </c>
      <c r="H22050">
        <v>26</v>
      </c>
      <c r="I22050">
        <v>170</v>
      </c>
      <c r="J22050">
        <v>1</v>
      </c>
      <c r="K22050">
        <v>23</v>
      </c>
      <c r="L22050">
        <v>168</v>
      </c>
      <c r="M22050">
        <v>1</v>
      </c>
      <c r="N22050">
        <v>6.2263300000000003E-25</v>
      </c>
      <c r="O22050">
        <v>276</v>
      </c>
    </row>
    <row r="22051" spans="1:15" x14ac:dyDescent="0.25">
      <c r="A22051" t="s">
        <v>22064</v>
      </c>
      <c r="B22051">
        <v>463</v>
      </c>
      <c r="C22051" s="1" t="str">
        <f>HYPERLINK("http://www.rosaceae.org/gb/gbrowse/malus_x_domestica/?name=MDP0000250047","MDP0000250047")</f>
        <v>MDP0000250047</v>
      </c>
      <c r="D22051">
        <v>68.569999999999993</v>
      </c>
      <c r="E22051">
        <v>455</v>
      </c>
      <c r="F22051">
        <v>143</v>
      </c>
      <c r="G22051">
        <v>5</v>
      </c>
      <c r="H22051">
        <v>3</v>
      </c>
      <c r="I22051">
        <v>457</v>
      </c>
      <c r="J22051">
        <v>1</v>
      </c>
      <c r="K22051">
        <v>56</v>
      </c>
      <c r="L22051">
        <v>505</v>
      </c>
      <c r="M22051">
        <v>1</v>
      </c>
      <c r="N22051">
        <v>0</v>
      </c>
      <c r="O22051">
        <v>1689</v>
      </c>
    </row>
    <row r="22052" spans="1:15" x14ac:dyDescent="0.25">
      <c r="A22052" t="s">
        <v>22065</v>
      </c>
      <c r="B22052">
        <v>570</v>
      </c>
      <c r="C22052" s="1" t="str">
        <f>HYPERLINK("http://www.rosaceae.org/gb/gbrowse/malus_x_domestica/?name=MDP0000479177","MDP0000479177")</f>
        <v>MDP0000479177</v>
      </c>
      <c r="D22052">
        <v>59.28</v>
      </c>
      <c r="E22052">
        <v>528</v>
      </c>
      <c r="F22052">
        <v>215</v>
      </c>
      <c r="G22052">
        <v>32</v>
      </c>
      <c r="H22052">
        <v>1</v>
      </c>
      <c r="I22052">
        <v>521</v>
      </c>
      <c r="J22052">
        <v>1</v>
      </c>
      <c r="K22052">
        <v>1</v>
      </c>
      <c r="L22052">
        <v>503</v>
      </c>
      <c r="M22052">
        <v>1</v>
      </c>
      <c r="N22052">
        <v>2.4381899999999999E-171</v>
      </c>
      <c r="O22052">
        <v>1545</v>
      </c>
    </row>
    <row r="22053" spans="1:15" x14ac:dyDescent="0.25">
      <c r="A22053" t="s">
        <v>22066</v>
      </c>
      <c r="B22053">
        <v>364</v>
      </c>
      <c r="C22053" s="1" t="str">
        <f>HYPERLINK("http://www.rosaceae.org/gb/gbrowse/malus_x_domestica/?name=MDP0000201853","MDP0000201853")</f>
        <v>MDP0000201853</v>
      </c>
      <c r="D22053">
        <v>64.040000000000006</v>
      </c>
      <c r="E22053">
        <v>89</v>
      </c>
      <c r="F22053">
        <v>32</v>
      </c>
      <c r="G22053">
        <v>23</v>
      </c>
      <c r="H22053">
        <v>295</v>
      </c>
      <c r="I22053">
        <v>360</v>
      </c>
      <c r="J22053">
        <v>1</v>
      </c>
      <c r="K22053">
        <v>79</v>
      </c>
      <c r="L22053">
        <v>167</v>
      </c>
      <c r="M22053">
        <v>1</v>
      </c>
      <c r="N22053">
        <v>7.0301800000000001E-21</v>
      </c>
      <c r="O22053">
        <v>245</v>
      </c>
    </row>
    <row r="22054" spans="1:15" x14ac:dyDescent="0.25">
      <c r="A22054" t="s">
        <v>22067</v>
      </c>
      <c r="B22054">
        <v>359</v>
      </c>
      <c r="C22054" s="1" t="str">
        <f>HYPERLINK("http://www.rosaceae.org/gb/gbrowse/malus_x_domestica/?name=MDP0000305508","MDP0000305508")</f>
        <v>MDP0000305508</v>
      </c>
      <c r="D22054">
        <v>59.21</v>
      </c>
      <c r="E22054">
        <v>255</v>
      </c>
      <c r="F22054">
        <v>104</v>
      </c>
      <c r="G22054">
        <v>0</v>
      </c>
      <c r="H22054">
        <v>84</v>
      </c>
      <c r="I22054">
        <v>338</v>
      </c>
      <c r="J22054">
        <v>1</v>
      </c>
      <c r="K22054">
        <v>56</v>
      </c>
      <c r="L22054">
        <v>310</v>
      </c>
      <c r="M22054">
        <v>1</v>
      </c>
      <c r="N22054">
        <v>2.5872699999999999E-92</v>
      </c>
      <c r="O22054">
        <v>861</v>
      </c>
    </row>
    <row r="22055" spans="1:15" x14ac:dyDescent="0.25">
      <c r="A22055" t="s">
        <v>22068</v>
      </c>
      <c r="B22055">
        <v>457</v>
      </c>
      <c r="C22055" s="1" t="str">
        <f>HYPERLINK("http://www.rosaceae.org/gb/gbrowse/malus_x_domestica/?name=MDP0000214906","MDP0000214906")</f>
        <v>MDP0000214906</v>
      </c>
      <c r="D22055">
        <v>86.26</v>
      </c>
      <c r="E22055">
        <v>284</v>
      </c>
      <c r="F22055">
        <v>39</v>
      </c>
      <c r="G22055">
        <v>0</v>
      </c>
      <c r="H22055">
        <v>10</v>
      </c>
      <c r="I22055">
        <v>293</v>
      </c>
      <c r="J22055">
        <v>1</v>
      </c>
      <c r="K22055">
        <v>27</v>
      </c>
      <c r="L22055">
        <v>310</v>
      </c>
      <c r="M22055">
        <v>1</v>
      </c>
      <c r="N22055">
        <v>2.3352499999999999E-144</v>
      </c>
      <c r="O22055">
        <v>1311</v>
      </c>
    </row>
    <row r="22056" spans="1:15" x14ac:dyDescent="0.25">
      <c r="A22056" t="s">
        <v>22069</v>
      </c>
      <c r="B22056">
        <v>122</v>
      </c>
      <c r="C22056" s="1" t="str">
        <f>HYPERLINK("http://www.rosaceae.org/gb/gbrowse/malus_x_domestica/?name=MDP0000214612","MDP0000214612")</f>
        <v>MDP0000214612</v>
      </c>
      <c r="D22056">
        <v>72.5</v>
      </c>
      <c r="E22056">
        <v>120</v>
      </c>
      <c r="F22056">
        <v>33</v>
      </c>
      <c r="G22056">
        <v>4</v>
      </c>
      <c r="H22056">
        <v>1</v>
      </c>
      <c r="I22056">
        <v>116</v>
      </c>
      <c r="J22056">
        <v>1</v>
      </c>
      <c r="K22056">
        <v>111</v>
      </c>
      <c r="L22056">
        <v>230</v>
      </c>
      <c r="M22056">
        <v>1</v>
      </c>
      <c r="N22056">
        <v>6.6942099999999998E-47</v>
      </c>
      <c r="O22056">
        <v>462</v>
      </c>
    </row>
    <row r="22057" spans="1:15" x14ac:dyDescent="0.25">
      <c r="A22057" t="s">
        <v>22070</v>
      </c>
      <c r="B22057">
        <v>136</v>
      </c>
      <c r="C22057" s="1" t="str">
        <f>HYPERLINK("http://www.rosaceae.org/gb/gbrowse/malus_x_domestica/?name=MDP0000341885","MDP0000341885")</f>
        <v>MDP0000341885</v>
      </c>
      <c r="D22057">
        <v>52.44</v>
      </c>
      <c r="E22057">
        <v>143</v>
      </c>
      <c r="F22057">
        <v>68</v>
      </c>
      <c r="G22057">
        <v>8</v>
      </c>
      <c r="H22057">
        <v>1</v>
      </c>
      <c r="I22057">
        <v>136</v>
      </c>
      <c r="J22057">
        <v>1</v>
      </c>
      <c r="K22057">
        <v>22</v>
      </c>
      <c r="L22057">
        <v>163</v>
      </c>
      <c r="M22057">
        <v>1</v>
      </c>
      <c r="N22057">
        <v>4.5934699999999999E-28</v>
      </c>
      <c r="O22057">
        <v>301</v>
      </c>
    </row>
    <row r="22058" spans="1:15" x14ac:dyDescent="0.25">
      <c r="A22058" t="s">
        <v>22071</v>
      </c>
      <c r="B22058">
        <v>322</v>
      </c>
      <c r="C22058" s="1" t="str">
        <f>HYPERLINK("http://www.rosaceae.org/gb/gbrowse/malus_x_domestica/?name=MDP0000288462","MDP0000288462")</f>
        <v>MDP0000288462</v>
      </c>
      <c r="D22058">
        <v>46.12</v>
      </c>
      <c r="E22058">
        <v>310</v>
      </c>
      <c r="F22058">
        <v>167</v>
      </c>
      <c r="G22058">
        <v>14</v>
      </c>
      <c r="H22058">
        <v>9</v>
      </c>
      <c r="I22058">
        <v>312</v>
      </c>
      <c r="J22058">
        <v>1</v>
      </c>
      <c r="K22058">
        <v>2</v>
      </c>
      <c r="L22058">
        <v>303</v>
      </c>
      <c r="M22058">
        <v>1</v>
      </c>
      <c r="N22058">
        <v>2.9219899999999998E-79</v>
      </c>
      <c r="O22058">
        <v>748</v>
      </c>
    </row>
    <row r="22059" spans="1:15" x14ac:dyDescent="0.25">
      <c r="A22059" t="s">
        <v>22072</v>
      </c>
      <c r="B22059">
        <v>118</v>
      </c>
      <c r="C22059" s="1" t="str">
        <f>HYPERLINK("http://www.rosaceae.org/gb/gbrowse/malus_x_domestica/?name=MDP0000161041","MDP0000161041")</f>
        <v>MDP0000161041</v>
      </c>
      <c r="D22059">
        <v>57</v>
      </c>
      <c r="E22059">
        <v>107</v>
      </c>
      <c r="F22059">
        <v>46</v>
      </c>
      <c r="G22059">
        <v>10</v>
      </c>
      <c r="H22059">
        <v>14</v>
      </c>
      <c r="I22059">
        <v>118</v>
      </c>
      <c r="J22059">
        <v>1</v>
      </c>
      <c r="K22059">
        <v>14</v>
      </c>
      <c r="L22059">
        <v>112</v>
      </c>
      <c r="M22059">
        <v>1</v>
      </c>
      <c r="N22059">
        <v>6.3396299999999998E-21</v>
      </c>
      <c r="O22059">
        <v>238</v>
      </c>
    </row>
    <row r="22060" spans="1:15" x14ac:dyDescent="0.25">
      <c r="A22060" t="s">
        <v>22073</v>
      </c>
      <c r="B22060">
        <v>276</v>
      </c>
      <c r="C22060" s="1" t="str">
        <f>HYPERLINK("http://www.rosaceae.org/gb/gbrowse/malus_x_domestica/?name=MDP0000144545","MDP0000144545")</f>
        <v>MDP0000144545</v>
      </c>
      <c r="D22060">
        <v>47.5</v>
      </c>
      <c r="E22060">
        <v>120</v>
      </c>
      <c r="F22060">
        <v>63</v>
      </c>
      <c r="G22060">
        <v>10</v>
      </c>
      <c r="H22060">
        <v>67</v>
      </c>
      <c r="I22060">
        <v>184</v>
      </c>
      <c r="J22060">
        <v>1</v>
      </c>
      <c r="K22060">
        <v>61</v>
      </c>
      <c r="L22060">
        <v>172</v>
      </c>
      <c r="M22060">
        <v>1</v>
      </c>
      <c r="N22060">
        <v>2.16368E-18</v>
      </c>
      <c r="O22060">
        <v>222</v>
      </c>
    </row>
    <row r="22061" spans="1:15" x14ac:dyDescent="0.25">
      <c r="A22061" t="s">
        <v>22074</v>
      </c>
      <c r="B22061">
        <v>342</v>
      </c>
      <c r="C22061" s="1" t="str">
        <f>HYPERLINK("http://www.rosaceae.org/gb/gbrowse/malus_x_domestica/?name=MDP0000136713","MDP0000136713")</f>
        <v>MDP0000136713</v>
      </c>
      <c r="D22061">
        <v>78.2</v>
      </c>
      <c r="E22061">
        <v>78</v>
      </c>
      <c r="F22061">
        <v>17</v>
      </c>
      <c r="G22061">
        <v>0</v>
      </c>
      <c r="H22061">
        <v>133</v>
      </c>
      <c r="I22061">
        <v>210</v>
      </c>
      <c r="J22061">
        <v>1</v>
      </c>
      <c r="K22061">
        <v>30</v>
      </c>
      <c r="L22061">
        <v>107</v>
      </c>
      <c r="M22061">
        <v>1</v>
      </c>
      <c r="N22061">
        <v>1.1230399999999999E-25</v>
      </c>
      <c r="O22061">
        <v>286</v>
      </c>
    </row>
    <row r="22062" spans="1:15" x14ac:dyDescent="0.25">
      <c r="A22062" t="s">
        <v>22075</v>
      </c>
      <c r="B22062">
        <v>77</v>
      </c>
      <c r="C22062" s="1" t="str">
        <f>HYPERLINK("http://www.rosaceae.org/gb/gbrowse/malus_x_domestica/?name=MDP0000203790","MDP0000203790")</f>
        <v>MDP0000203790</v>
      </c>
      <c r="D22062">
        <v>42.02</v>
      </c>
      <c r="E22062">
        <v>69</v>
      </c>
      <c r="F22062">
        <v>40</v>
      </c>
      <c r="G22062">
        <v>17</v>
      </c>
      <c r="H22062">
        <v>1</v>
      </c>
      <c r="I22062">
        <v>69</v>
      </c>
      <c r="J22062">
        <v>1</v>
      </c>
      <c r="K22062">
        <v>377</v>
      </c>
      <c r="L22062">
        <v>428</v>
      </c>
      <c r="M22062">
        <v>1</v>
      </c>
      <c r="N22062">
        <v>1.1997000000000001E-11</v>
      </c>
      <c r="O22062">
        <v>158</v>
      </c>
    </row>
    <row r="22063" spans="1:15" x14ac:dyDescent="0.25">
      <c r="A22063" t="s">
        <v>22076</v>
      </c>
      <c r="B22063">
        <v>567</v>
      </c>
      <c r="C22063" s="1" t="str">
        <f>HYPERLINK("http://www.rosaceae.org/gb/gbrowse/malus_x_domestica/?name=MDP0000777702","MDP0000777702")</f>
        <v>MDP0000777702</v>
      </c>
      <c r="D22063">
        <v>89.33</v>
      </c>
      <c r="E22063">
        <v>544</v>
      </c>
      <c r="F22063">
        <v>58</v>
      </c>
      <c r="G22063">
        <v>1</v>
      </c>
      <c r="H22063">
        <v>25</v>
      </c>
      <c r="I22063">
        <v>567</v>
      </c>
      <c r="J22063">
        <v>1</v>
      </c>
      <c r="K22063">
        <v>30</v>
      </c>
      <c r="L22063">
        <v>573</v>
      </c>
      <c r="M22063">
        <v>1</v>
      </c>
      <c r="N22063">
        <v>0</v>
      </c>
      <c r="O22063">
        <v>2635</v>
      </c>
    </row>
    <row r="22064" spans="1:15" x14ac:dyDescent="0.25">
      <c r="A22064" t="s">
        <v>22077</v>
      </c>
      <c r="B22064">
        <v>346</v>
      </c>
      <c r="C22064" s="1" t="str">
        <f>HYPERLINK("http://www.rosaceae.org/gb/gbrowse/malus_x_domestica/?name=MDP0000298224","MDP0000298224")</f>
        <v>MDP0000298224</v>
      </c>
      <c r="D22064">
        <v>50.94</v>
      </c>
      <c r="E22064">
        <v>53</v>
      </c>
      <c r="F22064">
        <v>26</v>
      </c>
      <c r="G22064">
        <v>0</v>
      </c>
      <c r="H22064">
        <v>1</v>
      </c>
      <c r="I22064">
        <v>53</v>
      </c>
      <c r="J22064">
        <v>1</v>
      </c>
      <c r="K22064">
        <v>386</v>
      </c>
      <c r="L22064">
        <v>438</v>
      </c>
      <c r="M22064">
        <v>1</v>
      </c>
      <c r="N22064">
        <v>1.6147000000000001E-10</v>
      </c>
      <c r="O22064">
        <v>155</v>
      </c>
    </row>
    <row r="22065" spans="1:15" x14ac:dyDescent="0.25">
      <c r="A22065" t="s">
        <v>22078</v>
      </c>
      <c r="B22065">
        <v>410</v>
      </c>
      <c r="C22065" s="1" t="str">
        <f>HYPERLINK("http://www.rosaceae.org/gb/gbrowse/malus_x_domestica/?name=MDP0000167253","MDP0000167253")</f>
        <v>MDP0000167253</v>
      </c>
      <c r="D22065">
        <v>65.38</v>
      </c>
      <c r="E22065">
        <v>416</v>
      </c>
      <c r="F22065">
        <v>144</v>
      </c>
      <c r="G22065">
        <v>17</v>
      </c>
      <c r="H22065">
        <v>4</v>
      </c>
      <c r="I22065">
        <v>410</v>
      </c>
      <c r="J22065">
        <v>1</v>
      </c>
      <c r="K22065">
        <v>10</v>
      </c>
      <c r="L22065">
        <v>417</v>
      </c>
      <c r="M22065">
        <v>1</v>
      </c>
      <c r="N22065">
        <v>1.12686E-141</v>
      </c>
      <c r="O22065">
        <v>1287</v>
      </c>
    </row>
    <row r="22066" spans="1:15" x14ac:dyDescent="0.25">
      <c r="A22066" t="s">
        <v>22079</v>
      </c>
      <c r="B22066">
        <v>263</v>
      </c>
      <c r="C22066" s="1" t="str">
        <f>HYPERLINK("http://www.rosaceae.org/gb/gbrowse/malus_x_domestica/?name=MDP0000230727","MDP0000230727")</f>
        <v>MDP0000230727</v>
      </c>
      <c r="D22066">
        <v>67.66</v>
      </c>
      <c r="E22066">
        <v>266</v>
      </c>
      <c r="F22066">
        <v>86</v>
      </c>
      <c r="G22066">
        <v>28</v>
      </c>
      <c r="H22066">
        <v>1</v>
      </c>
      <c r="I22066">
        <v>263</v>
      </c>
      <c r="J22066">
        <v>1</v>
      </c>
      <c r="K22066">
        <v>4</v>
      </c>
      <c r="L22066">
        <v>244</v>
      </c>
      <c r="M22066">
        <v>1</v>
      </c>
      <c r="N22066">
        <v>6.2409100000000003E-102</v>
      </c>
      <c r="O22066">
        <v>942</v>
      </c>
    </row>
    <row r="22067" spans="1:15" x14ac:dyDescent="0.25">
      <c r="A22067" t="s">
        <v>22080</v>
      </c>
      <c r="B22067">
        <v>285</v>
      </c>
      <c r="C22067" s="1" t="str">
        <f>HYPERLINK("http://www.rosaceae.org/gb/gbrowse/malus_x_domestica/?name=MDP0000874828","MDP0000874828")</f>
        <v>MDP0000874828</v>
      </c>
      <c r="D22067">
        <v>68.959999999999994</v>
      </c>
      <c r="E22067">
        <v>290</v>
      </c>
      <c r="F22067">
        <v>90</v>
      </c>
      <c r="G22067">
        <v>9</v>
      </c>
      <c r="H22067">
        <v>1</v>
      </c>
      <c r="I22067">
        <v>284</v>
      </c>
      <c r="J22067">
        <v>1</v>
      </c>
      <c r="K22067">
        <v>1</v>
      </c>
      <c r="L22067">
        <v>287</v>
      </c>
      <c r="M22067">
        <v>1</v>
      </c>
      <c r="N22067">
        <v>9.3009200000000006E-112</v>
      </c>
      <c r="O22067">
        <v>1027</v>
      </c>
    </row>
    <row r="22068" spans="1:15" x14ac:dyDescent="0.25">
      <c r="A22068" t="s">
        <v>22081</v>
      </c>
      <c r="B22068">
        <v>541</v>
      </c>
      <c r="C22068" s="1" t="str">
        <f>HYPERLINK("http://www.rosaceae.org/gb/gbrowse/malus_x_domestica/?name=MDP0000261590","MDP0000261590")</f>
        <v>MDP0000261590</v>
      </c>
      <c r="D22068">
        <v>90.47</v>
      </c>
      <c r="E22068">
        <v>315</v>
      </c>
      <c r="F22068">
        <v>30</v>
      </c>
      <c r="G22068">
        <v>0</v>
      </c>
      <c r="H22068">
        <v>1</v>
      </c>
      <c r="I22068">
        <v>315</v>
      </c>
      <c r="J22068">
        <v>1</v>
      </c>
      <c r="K22068">
        <v>80</v>
      </c>
      <c r="L22068">
        <v>394</v>
      </c>
      <c r="M22068">
        <v>1</v>
      </c>
      <c r="N22068">
        <v>1.6361100000000001E-164</v>
      </c>
      <c r="O22068">
        <v>1486</v>
      </c>
    </row>
    <row r="22069" spans="1:15" x14ac:dyDescent="0.25">
      <c r="A22069" t="s">
        <v>22082</v>
      </c>
      <c r="B22069">
        <v>100</v>
      </c>
      <c r="C22069" s="1" t="str">
        <f>HYPERLINK("http://www.rosaceae.org/gb/gbrowse/malus_x_domestica/?name=MDP0000503361","MDP0000503361")</f>
        <v>MDP0000503361</v>
      </c>
      <c r="D22069">
        <v>67.459999999999994</v>
      </c>
      <c r="E22069">
        <v>83</v>
      </c>
      <c r="F22069">
        <v>27</v>
      </c>
      <c r="G22069">
        <v>0</v>
      </c>
      <c r="H22069">
        <v>18</v>
      </c>
      <c r="I22069">
        <v>100</v>
      </c>
      <c r="J22069">
        <v>1</v>
      </c>
      <c r="K22069">
        <v>127</v>
      </c>
      <c r="L22069">
        <v>209</v>
      </c>
      <c r="M22069">
        <v>1</v>
      </c>
      <c r="N22069">
        <v>4.3513599999999998E-27</v>
      </c>
      <c r="O22069">
        <v>291</v>
      </c>
    </row>
    <row r="22070" spans="1:15" x14ac:dyDescent="0.25">
      <c r="A22070" t="s">
        <v>22083</v>
      </c>
      <c r="B22070">
        <v>250</v>
      </c>
      <c r="C22070" s="1" t="str">
        <f>HYPERLINK("http://www.rosaceae.org/gb/gbrowse/malus_x_domestica/?name=MDP0000931048","MDP0000931048")</f>
        <v>MDP0000931048</v>
      </c>
      <c r="D22070">
        <v>89.86</v>
      </c>
      <c r="E22070">
        <v>227</v>
      </c>
      <c r="F22070">
        <v>23</v>
      </c>
      <c r="G22070">
        <v>0</v>
      </c>
      <c r="H22070">
        <v>21</v>
      </c>
      <c r="I22070">
        <v>247</v>
      </c>
      <c r="J22070">
        <v>1</v>
      </c>
      <c r="K22070">
        <v>23</v>
      </c>
      <c r="L22070">
        <v>249</v>
      </c>
      <c r="M22070">
        <v>1</v>
      </c>
      <c r="N22070">
        <v>4.5570999999999998E-121</v>
      </c>
      <c r="O22070">
        <v>1107</v>
      </c>
    </row>
    <row r="22071" spans="1:15" x14ac:dyDescent="0.25">
      <c r="A22071" t="s">
        <v>22084</v>
      </c>
      <c r="B22071">
        <v>583</v>
      </c>
      <c r="C22071" s="1" t="str">
        <f>HYPERLINK("http://www.rosaceae.org/gb/gbrowse/malus_x_domestica/?name=MDP0000188133","MDP0000188133")</f>
        <v>MDP0000188133</v>
      </c>
      <c r="D22071">
        <v>50.61</v>
      </c>
      <c r="E22071">
        <v>490</v>
      </c>
      <c r="F22071">
        <v>242</v>
      </c>
      <c r="G22071">
        <v>21</v>
      </c>
      <c r="H22071">
        <v>105</v>
      </c>
      <c r="I22071">
        <v>582</v>
      </c>
      <c r="J22071">
        <v>1</v>
      </c>
      <c r="K22071">
        <v>115</v>
      </c>
      <c r="L22071">
        <v>595</v>
      </c>
      <c r="M22071">
        <v>1</v>
      </c>
      <c r="N22071">
        <v>2.01479E-119</v>
      </c>
      <c r="O22071">
        <v>1097</v>
      </c>
    </row>
    <row r="22072" spans="1:15" x14ac:dyDescent="0.25">
      <c r="A22072" t="s">
        <v>22085</v>
      </c>
      <c r="B22072">
        <v>320</v>
      </c>
      <c r="C22072" s="1" t="str">
        <f>HYPERLINK("http://www.rosaceae.org/gb/gbrowse/malus_x_domestica/?name=MDP0000307326","MDP0000307326")</f>
        <v>MDP0000307326</v>
      </c>
      <c r="D22072">
        <v>71.33</v>
      </c>
      <c r="E22072">
        <v>157</v>
      </c>
      <c r="F22072">
        <v>45</v>
      </c>
      <c r="G22072">
        <v>1</v>
      </c>
      <c r="H22072">
        <v>43</v>
      </c>
      <c r="I22072">
        <v>199</v>
      </c>
      <c r="J22072">
        <v>1</v>
      </c>
      <c r="K22072">
        <v>562</v>
      </c>
      <c r="L22072">
        <v>717</v>
      </c>
      <c r="M22072">
        <v>1</v>
      </c>
      <c r="N22072">
        <v>2.5444099999999999E-64</v>
      </c>
      <c r="O22072">
        <v>619</v>
      </c>
    </row>
    <row r="22073" spans="1:15" x14ac:dyDescent="0.25">
      <c r="A22073" t="s">
        <v>22086</v>
      </c>
      <c r="B22073">
        <v>632</v>
      </c>
      <c r="C22073" s="1" t="str">
        <f>HYPERLINK("http://www.rosaceae.org/gb/gbrowse/malus_x_domestica/?name=MDP0000124959","MDP0000124959")</f>
        <v>MDP0000124959</v>
      </c>
      <c r="D22073">
        <v>81.739999999999995</v>
      </c>
      <c r="E22073">
        <v>471</v>
      </c>
      <c r="F22073">
        <v>86</v>
      </c>
      <c r="G22073">
        <v>6</v>
      </c>
      <c r="H22073">
        <v>160</v>
      </c>
      <c r="I22073">
        <v>629</v>
      </c>
      <c r="J22073">
        <v>1</v>
      </c>
      <c r="K22073">
        <v>1</v>
      </c>
      <c r="L22073">
        <v>466</v>
      </c>
      <c r="M22073">
        <v>1</v>
      </c>
      <c r="N22073">
        <v>0</v>
      </c>
      <c r="O22073">
        <v>2035</v>
      </c>
    </row>
    <row r="22074" spans="1:15" x14ac:dyDescent="0.25">
      <c r="A22074" t="s">
        <v>22087</v>
      </c>
      <c r="B22074">
        <v>659</v>
      </c>
      <c r="C22074" s="1" t="str">
        <f>HYPERLINK("http://www.rosaceae.org/gb/gbrowse/malus_x_domestica/?name=MDP0000229034","MDP0000229034")</f>
        <v>MDP0000229034</v>
      </c>
      <c r="D22074">
        <v>44.62</v>
      </c>
      <c r="E22074">
        <v>661</v>
      </c>
      <c r="F22074">
        <v>366</v>
      </c>
      <c r="G22074">
        <v>168</v>
      </c>
      <c r="H22074">
        <v>9</v>
      </c>
      <c r="I22074">
        <v>588</v>
      </c>
      <c r="J22074">
        <v>1</v>
      </c>
      <c r="K22074">
        <v>193</v>
      </c>
      <c r="L22074">
        <v>766</v>
      </c>
      <c r="M22074">
        <v>1</v>
      </c>
      <c r="N22074">
        <v>6.6747499999999999E-136</v>
      </c>
      <c r="O22074">
        <v>1240</v>
      </c>
    </row>
    <row r="22075" spans="1:15" x14ac:dyDescent="0.25">
      <c r="A22075" t="s">
        <v>22088</v>
      </c>
      <c r="B22075">
        <v>412</v>
      </c>
      <c r="C22075" s="1" t="str">
        <f>HYPERLINK("http://www.rosaceae.org/gb/gbrowse/malus_x_domestica/?name=MDP0000232513","MDP0000232513")</f>
        <v>MDP0000232513</v>
      </c>
      <c r="D22075">
        <v>46.38</v>
      </c>
      <c r="E22075">
        <v>429</v>
      </c>
      <c r="F22075">
        <v>230</v>
      </c>
      <c r="G22075">
        <v>33</v>
      </c>
      <c r="H22075">
        <v>1</v>
      </c>
      <c r="I22075">
        <v>412</v>
      </c>
      <c r="J22075">
        <v>1</v>
      </c>
      <c r="K22075">
        <v>12</v>
      </c>
      <c r="L22075">
        <v>424</v>
      </c>
      <c r="M22075">
        <v>1</v>
      </c>
      <c r="N22075">
        <v>5.2182400000000002E-86</v>
      </c>
      <c r="O22075">
        <v>807</v>
      </c>
    </row>
    <row r="22076" spans="1:15" x14ac:dyDescent="0.25">
      <c r="A22076" t="s">
        <v>22089</v>
      </c>
      <c r="B22076">
        <v>275</v>
      </c>
      <c r="C22076" s="1" t="str">
        <f>HYPERLINK("http://www.rosaceae.org/gb/gbrowse/malus_x_domestica/?name=MDP0000218600","MDP0000218600")</f>
        <v>MDP0000218600</v>
      </c>
      <c r="D22076">
        <v>72.17</v>
      </c>
      <c r="E22076">
        <v>230</v>
      </c>
      <c r="F22076">
        <v>64</v>
      </c>
      <c r="G22076">
        <v>5</v>
      </c>
      <c r="H22076">
        <v>1</v>
      </c>
      <c r="I22076">
        <v>225</v>
      </c>
      <c r="J22076">
        <v>1</v>
      </c>
      <c r="K22076">
        <v>1</v>
      </c>
      <c r="L22076">
        <v>230</v>
      </c>
      <c r="M22076">
        <v>1</v>
      </c>
      <c r="N22076">
        <v>9.5334900000000003E-92</v>
      </c>
      <c r="O22076">
        <v>855</v>
      </c>
    </row>
    <row r="22077" spans="1:15" x14ac:dyDescent="0.25">
      <c r="A22077" t="s">
        <v>22090</v>
      </c>
      <c r="B22077">
        <v>405</v>
      </c>
      <c r="C22077" s="1" t="str">
        <f>HYPERLINK("http://www.rosaceae.org/gb/gbrowse/malus_x_domestica/?name=MDP0000418846","MDP0000418846")</f>
        <v>MDP0000418846</v>
      </c>
      <c r="D22077">
        <v>84.77</v>
      </c>
      <c r="E22077">
        <v>243</v>
      </c>
      <c r="F22077">
        <v>37</v>
      </c>
      <c r="G22077">
        <v>1</v>
      </c>
      <c r="H22077">
        <v>157</v>
      </c>
      <c r="I22077">
        <v>399</v>
      </c>
      <c r="J22077">
        <v>1</v>
      </c>
      <c r="K22077">
        <v>174</v>
      </c>
      <c r="L22077">
        <v>415</v>
      </c>
      <c r="M22077">
        <v>1</v>
      </c>
      <c r="N22077">
        <v>9.3750199999999994E-115</v>
      </c>
      <c r="O22077">
        <v>1055</v>
      </c>
    </row>
    <row r="22078" spans="1:15" x14ac:dyDescent="0.25">
      <c r="A22078" t="s">
        <v>22091</v>
      </c>
      <c r="B22078">
        <v>303</v>
      </c>
      <c r="C22078" s="1" t="str">
        <f>HYPERLINK("http://www.rosaceae.org/gb/gbrowse/malus_x_domestica/?name=MDP0000583378","MDP0000583378")</f>
        <v>MDP0000583378</v>
      </c>
      <c r="D22078">
        <v>81.42</v>
      </c>
      <c r="E22078">
        <v>253</v>
      </c>
      <c r="F22078">
        <v>47</v>
      </c>
      <c r="G22078">
        <v>0</v>
      </c>
      <c r="H22078">
        <v>49</v>
      </c>
      <c r="I22078">
        <v>301</v>
      </c>
      <c r="J22078">
        <v>1</v>
      </c>
      <c r="K22078">
        <v>342</v>
      </c>
      <c r="L22078">
        <v>594</v>
      </c>
      <c r="M22078">
        <v>1</v>
      </c>
      <c r="N22078">
        <v>1.0264999999999999E-122</v>
      </c>
      <c r="O22078">
        <v>1122</v>
      </c>
    </row>
    <row r="22079" spans="1:15" x14ac:dyDescent="0.25">
      <c r="A22079" t="s">
        <v>22092</v>
      </c>
      <c r="B22079">
        <v>146</v>
      </c>
      <c r="C22079" s="1" t="str">
        <f>HYPERLINK("http://www.rosaceae.org/gb/gbrowse/malus_x_domestica/?name=MDP0000613143","MDP0000613143")</f>
        <v>MDP0000613143</v>
      </c>
      <c r="D22079">
        <v>60.65</v>
      </c>
      <c r="E22079">
        <v>122</v>
      </c>
      <c r="F22079">
        <v>48</v>
      </c>
      <c r="G22079">
        <v>4</v>
      </c>
      <c r="H22079">
        <v>1</v>
      </c>
      <c r="I22079">
        <v>118</v>
      </c>
      <c r="J22079">
        <v>1</v>
      </c>
      <c r="K22079">
        <v>1</v>
      </c>
      <c r="L22079">
        <v>122</v>
      </c>
      <c r="M22079">
        <v>1</v>
      </c>
      <c r="N22079">
        <v>4.2583400000000001E-35</v>
      </c>
      <c r="O22079">
        <v>362</v>
      </c>
    </row>
    <row r="22080" spans="1:15" x14ac:dyDescent="0.25">
      <c r="A22080" t="s">
        <v>22093</v>
      </c>
      <c r="B22080">
        <v>592</v>
      </c>
      <c r="C22080" s="1" t="str">
        <f>HYPERLINK("http://www.rosaceae.org/gb/gbrowse/malus_x_domestica/?name=MDP0000186491","MDP0000186491")</f>
        <v>MDP0000186491</v>
      </c>
      <c r="D22080">
        <v>73.47</v>
      </c>
      <c r="E22080">
        <v>460</v>
      </c>
      <c r="F22080">
        <v>122</v>
      </c>
      <c r="G22080">
        <v>5</v>
      </c>
      <c r="H22080">
        <v>116</v>
      </c>
      <c r="I22080">
        <v>571</v>
      </c>
      <c r="J22080">
        <v>1</v>
      </c>
      <c r="K22080">
        <v>154</v>
      </c>
      <c r="L22080">
        <v>612</v>
      </c>
      <c r="M22080">
        <v>1</v>
      </c>
      <c r="N22080">
        <v>0</v>
      </c>
      <c r="O22080">
        <v>1738</v>
      </c>
    </row>
    <row r="22081" spans="1:15" x14ac:dyDescent="0.25">
      <c r="A22081" t="s">
        <v>22094</v>
      </c>
      <c r="B22081">
        <v>515</v>
      </c>
      <c r="C22081" s="1" t="str">
        <f>HYPERLINK("http://www.rosaceae.org/gb/gbrowse/malus_x_domestica/?name=MDP0000413406","MDP0000413406")</f>
        <v>MDP0000413406</v>
      </c>
      <c r="D22081">
        <v>76.900000000000006</v>
      </c>
      <c r="E22081">
        <v>524</v>
      </c>
      <c r="F22081">
        <v>121</v>
      </c>
      <c r="G22081">
        <v>10</v>
      </c>
      <c r="H22081">
        <v>1</v>
      </c>
      <c r="I22081">
        <v>515</v>
      </c>
      <c r="J22081">
        <v>1</v>
      </c>
      <c r="K22081">
        <v>1</v>
      </c>
      <c r="L22081">
        <v>523</v>
      </c>
      <c r="M22081">
        <v>1</v>
      </c>
      <c r="N22081">
        <v>0</v>
      </c>
      <c r="O22081">
        <v>2085</v>
      </c>
    </row>
    <row r="22082" spans="1:15" x14ac:dyDescent="0.25">
      <c r="A22082" t="s">
        <v>22095</v>
      </c>
      <c r="B22082">
        <v>247</v>
      </c>
      <c r="C22082" s="1" t="str">
        <f>HYPERLINK("http://www.rosaceae.org/gb/gbrowse/malus_x_domestica/?name=MDP0000151976","MDP0000151976")</f>
        <v>MDP0000151976</v>
      </c>
      <c r="D22082">
        <v>61.5</v>
      </c>
      <c r="E22082">
        <v>252</v>
      </c>
      <c r="F22082">
        <v>97</v>
      </c>
      <c r="G22082">
        <v>39</v>
      </c>
      <c r="H22082">
        <v>1</v>
      </c>
      <c r="I22082">
        <v>247</v>
      </c>
      <c r="J22082">
        <v>1</v>
      </c>
      <c r="K22082">
        <v>1</v>
      </c>
      <c r="L22082">
        <v>218</v>
      </c>
      <c r="M22082">
        <v>1</v>
      </c>
      <c r="N22082">
        <v>4.7507199999999998E-80</v>
      </c>
      <c r="O22082">
        <v>753</v>
      </c>
    </row>
    <row r="22083" spans="1:15" x14ac:dyDescent="0.25">
      <c r="A22083" t="s">
        <v>22096</v>
      </c>
      <c r="B22083">
        <v>117</v>
      </c>
      <c r="C22083" s="1" t="str">
        <f>HYPERLINK("http://www.rosaceae.org/gb/gbrowse/malus_x_domestica/?name=MDP0000849234","MDP0000849234")</f>
        <v>MDP0000849234</v>
      </c>
      <c r="D22083">
        <v>60.41</v>
      </c>
      <c r="E22083">
        <v>96</v>
      </c>
      <c r="F22083">
        <v>38</v>
      </c>
      <c r="G22083">
        <v>0</v>
      </c>
      <c r="H22083">
        <v>14</v>
      </c>
      <c r="I22083">
        <v>109</v>
      </c>
      <c r="J22083">
        <v>1</v>
      </c>
      <c r="K22083">
        <v>107</v>
      </c>
      <c r="L22083">
        <v>202</v>
      </c>
      <c r="M22083">
        <v>1</v>
      </c>
      <c r="N22083">
        <v>1.47592E-24</v>
      </c>
      <c r="O22083">
        <v>269</v>
      </c>
    </row>
    <row r="22084" spans="1:15" x14ac:dyDescent="0.25">
      <c r="A22084" t="s">
        <v>22097</v>
      </c>
      <c r="B22084">
        <v>697</v>
      </c>
      <c r="C22084" s="1" t="str">
        <f>HYPERLINK("http://www.rosaceae.org/gb/gbrowse/malus_x_domestica/?name=MDP0000131708","MDP0000131708")</f>
        <v>MDP0000131708</v>
      </c>
      <c r="D22084">
        <v>62.87</v>
      </c>
      <c r="E22084">
        <v>396</v>
      </c>
      <c r="F22084">
        <v>147</v>
      </c>
      <c r="G22084">
        <v>76</v>
      </c>
      <c r="H22084">
        <v>200</v>
      </c>
      <c r="I22084">
        <v>522</v>
      </c>
      <c r="J22084">
        <v>1</v>
      </c>
      <c r="K22084">
        <v>19</v>
      </c>
      <c r="L22084">
        <v>411</v>
      </c>
      <c r="M22084">
        <v>1</v>
      </c>
      <c r="N22084">
        <v>4.0864499999999998E-131</v>
      </c>
      <c r="O22084">
        <v>1199</v>
      </c>
    </row>
    <row r="22085" spans="1:15" x14ac:dyDescent="0.25">
      <c r="A22085" t="s">
        <v>22098</v>
      </c>
      <c r="B22085">
        <v>269</v>
      </c>
      <c r="C22085" s="1" t="str">
        <f>HYPERLINK("http://www.rosaceae.org/gb/gbrowse/malus_x_domestica/?name=MDP0000875621","MDP0000875621")</f>
        <v>MDP0000875621</v>
      </c>
      <c r="D22085">
        <v>77.08</v>
      </c>
      <c r="E22085">
        <v>48</v>
      </c>
      <c r="F22085">
        <v>11</v>
      </c>
      <c r="G22085">
        <v>0</v>
      </c>
      <c r="H22085">
        <v>191</v>
      </c>
      <c r="I22085">
        <v>238</v>
      </c>
      <c r="J22085">
        <v>1</v>
      </c>
      <c r="K22085">
        <v>130</v>
      </c>
      <c r="L22085">
        <v>177</v>
      </c>
      <c r="M22085">
        <v>1</v>
      </c>
      <c r="N22085">
        <v>8.9432899999999995E-18</v>
      </c>
      <c r="O22085">
        <v>217</v>
      </c>
    </row>
    <row r="22086" spans="1:15" x14ac:dyDescent="0.25">
      <c r="A22086" t="s">
        <v>22099</v>
      </c>
      <c r="B22086">
        <v>145</v>
      </c>
      <c r="C22086" s="1" t="str">
        <f>HYPERLINK("http://www.rosaceae.org/gb/gbrowse/malus_x_domestica/?name=MDP0000873258","MDP0000873258")</f>
        <v>MDP0000873258</v>
      </c>
      <c r="D22086">
        <v>56.46</v>
      </c>
      <c r="E22086">
        <v>147</v>
      </c>
      <c r="F22086">
        <v>64</v>
      </c>
      <c r="G22086">
        <v>6</v>
      </c>
      <c r="H22086">
        <v>3</v>
      </c>
      <c r="I22086">
        <v>145</v>
      </c>
      <c r="J22086">
        <v>1</v>
      </c>
      <c r="K22086">
        <v>59</v>
      </c>
      <c r="L22086">
        <v>203</v>
      </c>
      <c r="M22086">
        <v>1</v>
      </c>
      <c r="N22086">
        <v>2.51198E-33</v>
      </c>
      <c r="O22086">
        <v>346</v>
      </c>
    </row>
    <row r="22087" spans="1:15" x14ac:dyDescent="0.25">
      <c r="A22087" t="s">
        <v>22100</v>
      </c>
      <c r="B22087">
        <v>353</v>
      </c>
      <c r="C22087" s="1" t="str">
        <f>HYPERLINK("http://www.rosaceae.org/gb/gbrowse/malus_x_domestica/?name=MDP0000196515","MDP0000196515")</f>
        <v>MDP0000196515</v>
      </c>
      <c r="D22087">
        <v>77.88</v>
      </c>
      <c r="E22087">
        <v>208</v>
      </c>
      <c r="F22087">
        <v>46</v>
      </c>
      <c r="G22087">
        <v>33</v>
      </c>
      <c r="H22087">
        <v>87</v>
      </c>
      <c r="I22087">
        <v>263</v>
      </c>
      <c r="J22087">
        <v>1</v>
      </c>
      <c r="K22087">
        <v>30</v>
      </c>
      <c r="L22087">
        <v>235</v>
      </c>
      <c r="M22087">
        <v>1</v>
      </c>
      <c r="N22087">
        <v>3.9663000000000001E-88</v>
      </c>
      <c r="O22087">
        <v>825</v>
      </c>
    </row>
    <row r="22088" spans="1:15" x14ac:dyDescent="0.25">
      <c r="A22088" t="s">
        <v>22101</v>
      </c>
      <c r="B22088">
        <v>188</v>
      </c>
      <c r="C22088" s="1" t="str">
        <f>HYPERLINK("http://www.rosaceae.org/gb/gbrowse/malus_x_domestica/?name=MDP0000289009","MDP0000289009")</f>
        <v>MDP0000289009</v>
      </c>
      <c r="D22088">
        <v>37.270000000000003</v>
      </c>
      <c r="E22088">
        <v>110</v>
      </c>
      <c r="F22088">
        <v>69</v>
      </c>
      <c r="G22088">
        <v>11</v>
      </c>
      <c r="H22088">
        <v>14</v>
      </c>
      <c r="I22088">
        <v>117</v>
      </c>
      <c r="J22088">
        <v>1</v>
      </c>
      <c r="K22088">
        <v>647</v>
      </c>
      <c r="L22088">
        <v>751</v>
      </c>
      <c r="M22088">
        <v>1</v>
      </c>
      <c r="N22088">
        <v>2.9878999999999998E-13</v>
      </c>
      <c r="O22088">
        <v>175</v>
      </c>
    </row>
    <row r="22089" spans="1:15" x14ac:dyDescent="0.25">
      <c r="A22089" t="s">
        <v>22102</v>
      </c>
      <c r="B22089">
        <v>236</v>
      </c>
      <c r="C22089" s="1" t="str">
        <f>HYPERLINK("http://www.rosaceae.org/gb/gbrowse/malus_x_domestica/?name=MDP0000229885","MDP0000229885")</f>
        <v>MDP0000229885</v>
      </c>
      <c r="D22089">
        <v>48.73</v>
      </c>
      <c r="E22089">
        <v>277</v>
      </c>
      <c r="F22089">
        <v>142</v>
      </c>
      <c r="G22089">
        <v>44</v>
      </c>
      <c r="H22089">
        <v>1</v>
      </c>
      <c r="I22089">
        <v>236</v>
      </c>
      <c r="J22089">
        <v>1</v>
      </c>
      <c r="K22089">
        <v>1</v>
      </c>
      <c r="L22089">
        <v>274</v>
      </c>
      <c r="M22089">
        <v>1</v>
      </c>
      <c r="N22089">
        <v>3.1206400000000002E-60</v>
      </c>
      <c r="O22089">
        <v>582</v>
      </c>
    </row>
    <row r="22090" spans="1:15" x14ac:dyDescent="0.25">
      <c r="A22090" t="s">
        <v>22103</v>
      </c>
      <c r="B22090">
        <v>366</v>
      </c>
      <c r="C22090" s="1" t="str">
        <f>HYPERLINK("http://www.rosaceae.org/gb/gbrowse/malus_x_domestica/?name=MDP0000442611","MDP0000442611")</f>
        <v>MDP0000442611</v>
      </c>
      <c r="D22090">
        <v>55.29</v>
      </c>
      <c r="E22090">
        <v>387</v>
      </c>
      <c r="F22090">
        <v>173</v>
      </c>
      <c r="G22090">
        <v>84</v>
      </c>
      <c r="H22090">
        <v>1</v>
      </c>
      <c r="I22090">
        <v>354</v>
      </c>
      <c r="J22090">
        <v>1</v>
      </c>
      <c r="K22090">
        <v>1</v>
      </c>
      <c r="L22090">
        <v>336</v>
      </c>
      <c r="M22090">
        <v>1</v>
      </c>
      <c r="N22090">
        <v>1.6129E-89</v>
      </c>
      <c r="O22090">
        <v>837</v>
      </c>
    </row>
    <row r="22091" spans="1:15" x14ac:dyDescent="0.25">
      <c r="A22091" t="s">
        <v>22104</v>
      </c>
      <c r="B22091">
        <v>231</v>
      </c>
      <c r="C22091" s="1" t="str">
        <f>HYPERLINK("http://www.rosaceae.org/gb/gbrowse/malus_x_domestica/?name=MDP0000134732","MDP0000134732")</f>
        <v>MDP0000134732</v>
      </c>
      <c r="D22091">
        <v>42.35</v>
      </c>
      <c r="E22091">
        <v>170</v>
      </c>
      <c r="F22091">
        <v>98</v>
      </c>
      <c r="G22091">
        <v>22</v>
      </c>
      <c r="H22091">
        <v>40</v>
      </c>
      <c r="I22091">
        <v>190</v>
      </c>
      <c r="J22091">
        <v>1</v>
      </c>
      <c r="K22091">
        <v>251</v>
      </c>
      <c r="L22091">
        <v>417</v>
      </c>
      <c r="M22091">
        <v>1</v>
      </c>
      <c r="N22091">
        <v>8.9785199999999999E-27</v>
      </c>
      <c r="O22091">
        <v>293</v>
      </c>
    </row>
    <row r="22092" spans="1:15" x14ac:dyDescent="0.25">
      <c r="A22092" t="s">
        <v>22105</v>
      </c>
      <c r="B22092">
        <v>2503</v>
      </c>
      <c r="C22092" s="1" t="str">
        <f>HYPERLINK("http://www.rosaceae.org/gb/gbrowse/malus_x_domestica/?name=MDP0000321447","MDP0000321447")</f>
        <v>MDP0000321447</v>
      </c>
      <c r="D22092">
        <v>69.489999999999995</v>
      </c>
      <c r="E22092">
        <v>2495</v>
      </c>
      <c r="F22092">
        <v>761</v>
      </c>
      <c r="G22092">
        <v>114</v>
      </c>
      <c r="H22092">
        <v>3</v>
      </c>
      <c r="I22092">
        <v>2417</v>
      </c>
      <c r="J22092">
        <v>1</v>
      </c>
      <c r="K22092">
        <v>164</v>
      </c>
      <c r="L22092">
        <v>2624</v>
      </c>
      <c r="M22092">
        <v>1</v>
      </c>
      <c r="N22092">
        <v>0</v>
      </c>
      <c r="O22092">
        <v>8957</v>
      </c>
    </row>
    <row r="22093" spans="1:15" x14ac:dyDescent="0.25">
      <c r="A22093" t="s">
        <v>22106</v>
      </c>
      <c r="B22093">
        <v>257</v>
      </c>
      <c r="C22093" s="1" t="str">
        <f>HYPERLINK("http://www.rosaceae.org/gb/gbrowse/malus_x_domestica/?name=MDP0000319827","MDP0000319827")</f>
        <v>MDP0000319827</v>
      </c>
      <c r="D22093">
        <v>69.53</v>
      </c>
      <c r="E22093">
        <v>256</v>
      </c>
      <c r="F22093">
        <v>78</v>
      </c>
      <c r="G22093">
        <v>2</v>
      </c>
      <c r="H22093">
        <v>3</v>
      </c>
      <c r="I22093">
        <v>257</v>
      </c>
      <c r="J22093">
        <v>1</v>
      </c>
      <c r="K22093">
        <v>6</v>
      </c>
      <c r="L22093">
        <v>260</v>
      </c>
      <c r="M22093">
        <v>1</v>
      </c>
      <c r="N22093">
        <v>8.98041E-98</v>
      </c>
      <c r="O22093">
        <v>906</v>
      </c>
    </row>
    <row r="22094" spans="1:15" x14ac:dyDescent="0.25">
      <c r="A22094" t="s">
        <v>22107</v>
      </c>
      <c r="B22094">
        <v>123</v>
      </c>
      <c r="C22094" s="1" t="str">
        <f>HYPERLINK("http://www.rosaceae.org/gb/gbrowse/malus_x_domestica/?name=MDP0000473154","MDP0000473154")</f>
        <v>MDP0000473154</v>
      </c>
      <c r="D22094">
        <v>54.4</v>
      </c>
      <c r="E22094">
        <v>125</v>
      </c>
      <c r="F22094">
        <v>57</v>
      </c>
      <c r="G22094">
        <v>2</v>
      </c>
      <c r="H22094">
        <v>1</v>
      </c>
      <c r="I22094">
        <v>123</v>
      </c>
      <c r="J22094">
        <v>1</v>
      </c>
      <c r="K22094">
        <v>937</v>
      </c>
      <c r="L22094">
        <v>1061</v>
      </c>
      <c r="M22094">
        <v>1</v>
      </c>
      <c r="N22094">
        <v>6.5907000000000001E-31</v>
      </c>
      <c r="O22094">
        <v>324</v>
      </c>
    </row>
    <row r="22095" spans="1:15" x14ac:dyDescent="0.25">
      <c r="A22095" t="s">
        <v>22108</v>
      </c>
      <c r="B22095">
        <v>438</v>
      </c>
      <c r="C22095" s="1" t="str">
        <f>HYPERLINK("http://www.rosaceae.org/gb/gbrowse/malus_x_domestica/?name=MDP0000312342","MDP0000312342")</f>
        <v>MDP0000312342</v>
      </c>
      <c r="D22095">
        <v>33.409999999999997</v>
      </c>
      <c r="E22095">
        <v>395</v>
      </c>
      <c r="F22095">
        <v>263</v>
      </c>
      <c r="G22095">
        <v>57</v>
      </c>
      <c r="H22095">
        <v>1</v>
      </c>
      <c r="I22095">
        <v>368</v>
      </c>
      <c r="J22095">
        <v>1</v>
      </c>
      <c r="K22095">
        <v>1</v>
      </c>
      <c r="L22095">
        <v>365</v>
      </c>
      <c r="M22095">
        <v>1</v>
      </c>
      <c r="N22095">
        <v>6.2314800000000002E-43</v>
      </c>
      <c r="O22095">
        <v>436</v>
      </c>
    </row>
    <row r="22096" spans="1:15" x14ac:dyDescent="0.25">
      <c r="A22096" t="s">
        <v>22109</v>
      </c>
      <c r="B22096">
        <v>131</v>
      </c>
      <c r="C22096" s="1" t="str">
        <f>HYPERLINK("http://www.rosaceae.org/gb/gbrowse/malus_x_domestica/?name=MDP0000200779","MDP0000200779")</f>
        <v>MDP0000200779</v>
      </c>
      <c r="D22096">
        <v>70.66</v>
      </c>
      <c r="E22096">
        <v>75</v>
      </c>
      <c r="F22096">
        <v>22</v>
      </c>
      <c r="G22096">
        <v>3</v>
      </c>
      <c r="H22096">
        <v>49</v>
      </c>
      <c r="I22096">
        <v>120</v>
      </c>
      <c r="J22096">
        <v>1</v>
      </c>
      <c r="K22096">
        <v>29</v>
      </c>
      <c r="L22096">
        <v>103</v>
      </c>
      <c r="M22096">
        <v>1</v>
      </c>
      <c r="N22096">
        <v>3.6846399999999999E-27</v>
      </c>
      <c r="O22096">
        <v>292</v>
      </c>
    </row>
    <row r="22097" spans="1:15" x14ac:dyDescent="0.25">
      <c r="A22097" t="s">
        <v>22110</v>
      </c>
      <c r="B22097">
        <v>533</v>
      </c>
      <c r="C22097" s="1" t="str">
        <f>HYPERLINK("http://www.rosaceae.org/gb/gbrowse/malus_x_domestica/?name=MDP0000274891","MDP0000274891")</f>
        <v>MDP0000274891</v>
      </c>
      <c r="D22097">
        <v>36.22</v>
      </c>
      <c r="E22097">
        <v>392</v>
      </c>
      <c r="F22097">
        <v>250</v>
      </c>
      <c r="G22097">
        <v>33</v>
      </c>
      <c r="H22097">
        <v>141</v>
      </c>
      <c r="I22097">
        <v>515</v>
      </c>
      <c r="J22097">
        <v>1</v>
      </c>
      <c r="K22097">
        <v>88</v>
      </c>
      <c r="L22097">
        <v>463</v>
      </c>
      <c r="M22097">
        <v>1</v>
      </c>
      <c r="N22097">
        <v>1.2859299999999999E-67</v>
      </c>
      <c r="O22097">
        <v>650</v>
      </c>
    </row>
    <row r="22098" spans="1:15" x14ac:dyDescent="0.25">
      <c r="A22098" t="s">
        <v>22111</v>
      </c>
      <c r="B22098">
        <v>1305</v>
      </c>
      <c r="C22098" s="1" t="str">
        <f>HYPERLINK("http://www.rosaceae.org/gb/gbrowse/malus_x_domestica/?name=MDP0000197971","MDP0000197971")</f>
        <v>MDP0000197971</v>
      </c>
      <c r="D22098">
        <v>81.98</v>
      </c>
      <c r="E22098">
        <v>1338</v>
      </c>
      <c r="F22098">
        <v>241</v>
      </c>
      <c r="G22098">
        <v>43</v>
      </c>
      <c r="H22098">
        <v>1</v>
      </c>
      <c r="I22098">
        <v>1305</v>
      </c>
      <c r="J22098">
        <v>1</v>
      </c>
      <c r="K22098">
        <v>1</v>
      </c>
      <c r="L22098">
        <v>1328</v>
      </c>
      <c r="M22098">
        <v>1</v>
      </c>
      <c r="N22098">
        <v>0</v>
      </c>
      <c r="O22098">
        <v>5496</v>
      </c>
    </row>
    <row r="22099" spans="1:15" x14ac:dyDescent="0.25">
      <c r="A22099" t="s">
        <v>22112</v>
      </c>
      <c r="B22099">
        <v>741</v>
      </c>
      <c r="C22099" s="1" t="str">
        <f>HYPERLINK("http://www.rosaceae.org/gb/gbrowse/malus_x_domestica/?name=MDP0000557234","MDP0000557234")</f>
        <v>MDP0000557234</v>
      </c>
      <c r="D22099">
        <v>88.93</v>
      </c>
      <c r="E22099">
        <v>741</v>
      </c>
      <c r="F22099">
        <v>82</v>
      </c>
      <c r="G22099">
        <v>0</v>
      </c>
      <c r="H22099">
        <v>1</v>
      </c>
      <c r="I22099">
        <v>741</v>
      </c>
      <c r="J22099">
        <v>1</v>
      </c>
      <c r="K22099">
        <v>95</v>
      </c>
      <c r="L22099">
        <v>835</v>
      </c>
      <c r="M22099">
        <v>1</v>
      </c>
      <c r="N22099">
        <v>0</v>
      </c>
      <c r="O22099">
        <v>3519</v>
      </c>
    </row>
    <row r="22100" spans="1:15" x14ac:dyDescent="0.25">
      <c r="A22100" t="s">
        <v>22113</v>
      </c>
      <c r="B22100">
        <v>381</v>
      </c>
      <c r="C22100" s="1" t="str">
        <f>HYPERLINK("http://www.rosaceae.org/gb/gbrowse/malus_x_domestica/?name=MDP0000298955","MDP0000298955")</f>
        <v>MDP0000298955</v>
      </c>
      <c r="D22100">
        <v>71.650000000000006</v>
      </c>
      <c r="E22100">
        <v>321</v>
      </c>
      <c r="F22100">
        <v>91</v>
      </c>
      <c r="G22100">
        <v>7</v>
      </c>
      <c r="H22100">
        <v>62</v>
      </c>
      <c r="I22100">
        <v>378</v>
      </c>
      <c r="J22100">
        <v>1</v>
      </c>
      <c r="K22100">
        <v>23</v>
      </c>
      <c r="L22100">
        <v>340</v>
      </c>
      <c r="M22100">
        <v>1</v>
      </c>
      <c r="N22100">
        <v>1.5230899999999999E-134</v>
      </c>
      <c r="O22100">
        <v>1225</v>
      </c>
    </row>
    <row r="22101" spans="1:15" x14ac:dyDescent="0.25">
      <c r="A22101" t="s">
        <v>22114</v>
      </c>
      <c r="B22101">
        <v>424</v>
      </c>
      <c r="C22101" s="1" t="str">
        <f>HYPERLINK("http://www.rosaceae.org/gb/gbrowse/malus_x_domestica/?name=MDP0000573988","MDP0000573988")</f>
        <v>MDP0000573988</v>
      </c>
      <c r="D22101">
        <v>59.45</v>
      </c>
      <c r="E22101">
        <v>259</v>
      </c>
      <c r="F22101">
        <v>105</v>
      </c>
      <c r="G22101">
        <v>4</v>
      </c>
      <c r="H22101">
        <v>156</v>
      </c>
      <c r="I22101">
        <v>414</v>
      </c>
      <c r="J22101">
        <v>1</v>
      </c>
      <c r="K22101">
        <v>1</v>
      </c>
      <c r="L22101">
        <v>255</v>
      </c>
      <c r="M22101">
        <v>1</v>
      </c>
      <c r="N22101">
        <v>2.2413100000000002E-83</v>
      </c>
      <c r="O22101">
        <v>785</v>
      </c>
    </row>
    <row r="22102" spans="1:15" x14ac:dyDescent="0.25">
      <c r="A22102" t="s">
        <v>22115</v>
      </c>
      <c r="B22102">
        <v>961</v>
      </c>
      <c r="C22102" s="1" t="str">
        <f>HYPERLINK("http://www.rosaceae.org/gb/gbrowse/malus_x_domestica/?name=MDP0000153928","MDP0000153928")</f>
        <v>MDP0000153928</v>
      </c>
      <c r="D22102">
        <v>67.25</v>
      </c>
      <c r="E22102">
        <v>846</v>
      </c>
      <c r="F22102">
        <v>277</v>
      </c>
      <c r="G22102">
        <v>28</v>
      </c>
      <c r="H22102">
        <v>1</v>
      </c>
      <c r="I22102">
        <v>823</v>
      </c>
      <c r="J22102">
        <v>1</v>
      </c>
      <c r="K22102">
        <v>1</v>
      </c>
      <c r="L22102">
        <v>841</v>
      </c>
      <c r="M22102">
        <v>1</v>
      </c>
      <c r="N22102">
        <v>0</v>
      </c>
      <c r="O22102">
        <v>2803</v>
      </c>
    </row>
    <row r="22103" spans="1:15" x14ac:dyDescent="0.25">
      <c r="A22103" t="s">
        <v>22116</v>
      </c>
      <c r="B22103">
        <v>159</v>
      </c>
      <c r="C22103" s="1" t="str">
        <f>HYPERLINK("http://www.rosaceae.org/gb/gbrowse/malus_x_domestica/?name=MDP0000547986","MDP0000547986")</f>
        <v>MDP0000547986</v>
      </c>
      <c r="D22103">
        <v>42</v>
      </c>
      <c r="E22103">
        <v>150</v>
      </c>
      <c r="F22103">
        <v>87</v>
      </c>
      <c r="G22103">
        <v>11</v>
      </c>
      <c r="H22103">
        <v>1</v>
      </c>
      <c r="I22103">
        <v>149</v>
      </c>
      <c r="J22103">
        <v>1</v>
      </c>
      <c r="K22103">
        <v>104</v>
      </c>
      <c r="L22103">
        <v>243</v>
      </c>
      <c r="M22103">
        <v>1</v>
      </c>
      <c r="N22103">
        <v>1.9438100000000001E-19</v>
      </c>
      <c r="O22103">
        <v>227</v>
      </c>
    </row>
    <row r="22104" spans="1:15" x14ac:dyDescent="0.25">
      <c r="A22104" t="s">
        <v>22117</v>
      </c>
      <c r="B22104">
        <v>756</v>
      </c>
      <c r="C22104" s="1" t="str">
        <f>HYPERLINK("http://www.rosaceae.org/gb/gbrowse/malus_x_domestica/?name=MDP0000167949","MDP0000167949")</f>
        <v>MDP0000167949</v>
      </c>
      <c r="D22104">
        <v>50.41</v>
      </c>
      <c r="E22104">
        <v>851</v>
      </c>
      <c r="F22104">
        <v>422</v>
      </c>
      <c r="G22104">
        <v>142</v>
      </c>
      <c r="H22104">
        <v>29</v>
      </c>
      <c r="I22104">
        <v>756</v>
      </c>
      <c r="J22104">
        <v>1</v>
      </c>
      <c r="K22104">
        <v>47</v>
      </c>
      <c r="L22104">
        <v>878</v>
      </c>
      <c r="M22104">
        <v>1</v>
      </c>
      <c r="N22104">
        <v>0</v>
      </c>
      <c r="O22104">
        <v>1847</v>
      </c>
    </row>
    <row r="22105" spans="1:15" x14ac:dyDescent="0.25">
      <c r="A22105" t="s">
        <v>22118</v>
      </c>
      <c r="B22105">
        <v>1402</v>
      </c>
      <c r="C22105" s="1" t="str">
        <f>HYPERLINK("http://www.rosaceae.org/gb/gbrowse/malus_x_domestica/?name=MDP0000300347","MDP0000300347")</f>
        <v>MDP0000300347</v>
      </c>
      <c r="D22105">
        <v>47.33</v>
      </c>
      <c r="E22105">
        <v>921</v>
      </c>
      <c r="F22105">
        <v>485</v>
      </c>
      <c r="G22105">
        <v>219</v>
      </c>
      <c r="H22105">
        <v>567</v>
      </c>
      <c r="I22105">
        <v>1402</v>
      </c>
      <c r="J22105">
        <v>1</v>
      </c>
      <c r="K22105">
        <v>281</v>
      </c>
      <c r="L22105">
        <v>1067</v>
      </c>
      <c r="M22105">
        <v>1</v>
      </c>
      <c r="N22105">
        <v>0</v>
      </c>
      <c r="O22105">
        <v>1811</v>
      </c>
    </row>
    <row r="22106" spans="1:15" x14ac:dyDescent="0.25">
      <c r="A22106" t="s">
        <v>22119</v>
      </c>
      <c r="B22106">
        <v>502</v>
      </c>
      <c r="C22106" s="1" t="str">
        <f>HYPERLINK("http://www.rosaceae.org/gb/gbrowse/malus_x_domestica/?name=MDP0000154794","MDP0000154794")</f>
        <v>MDP0000154794</v>
      </c>
      <c r="D22106">
        <v>76.58</v>
      </c>
      <c r="E22106">
        <v>299</v>
      </c>
      <c r="F22106">
        <v>70</v>
      </c>
      <c r="G22106">
        <v>10</v>
      </c>
      <c r="H22106">
        <v>211</v>
      </c>
      <c r="I22106">
        <v>499</v>
      </c>
      <c r="J22106">
        <v>1</v>
      </c>
      <c r="K22106">
        <v>297</v>
      </c>
      <c r="L22106">
        <v>595</v>
      </c>
      <c r="M22106">
        <v>1</v>
      </c>
      <c r="N22106">
        <v>2.53811E-137</v>
      </c>
      <c r="O22106">
        <v>1251</v>
      </c>
    </row>
    <row r="22107" spans="1:15" x14ac:dyDescent="0.25">
      <c r="A22107" t="s">
        <v>22120</v>
      </c>
      <c r="B22107">
        <v>365</v>
      </c>
      <c r="C22107" s="1" t="str">
        <f>HYPERLINK("http://www.rosaceae.org/gb/gbrowse/malus_x_domestica/?name=MDP0000153077","MDP0000153077")</f>
        <v>MDP0000153077</v>
      </c>
      <c r="D22107">
        <v>32.67</v>
      </c>
      <c r="E22107">
        <v>355</v>
      </c>
      <c r="F22107">
        <v>239</v>
      </c>
      <c r="G22107">
        <v>50</v>
      </c>
      <c r="H22107">
        <v>17</v>
      </c>
      <c r="I22107">
        <v>362</v>
      </c>
      <c r="J22107">
        <v>1</v>
      </c>
      <c r="K22107">
        <v>11</v>
      </c>
      <c r="L22107">
        <v>324</v>
      </c>
      <c r="M22107">
        <v>1</v>
      </c>
      <c r="N22107">
        <v>2.4388099999999999E-31</v>
      </c>
      <c r="O22107">
        <v>335</v>
      </c>
    </row>
    <row r="22108" spans="1:15" x14ac:dyDescent="0.25">
      <c r="A22108" t="s">
        <v>22121</v>
      </c>
      <c r="B22108">
        <v>561</v>
      </c>
      <c r="C22108" s="1" t="str">
        <f>HYPERLINK("http://www.rosaceae.org/gb/gbrowse/malus_x_domestica/?name=MDP0000309960","MDP0000309960")</f>
        <v>MDP0000309960</v>
      </c>
      <c r="D22108">
        <v>61.53</v>
      </c>
      <c r="E22108">
        <v>364</v>
      </c>
      <c r="F22108">
        <v>140</v>
      </c>
      <c r="G22108">
        <v>9</v>
      </c>
      <c r="H22108">
        <v>199</v>
      </c>
      <c r="I22108">
        <v>560</v>
      </c>
      <c r="J22108">
        <v>1</v>
      </c>
      <c r="K22108">
        <v>327</v>
      </c>
      <c r="L22108">
        <v>683</v>
      </c>
      <c r="M22108">
        <v>1</v>
      </c>
      <c r="N22108">
        <v>1.72029E-126</v>
      </c>
      <c r="O22108">
        <v>1158</v>
      </c>
    </row>
    <row r="22109" spans="1:15" x14ac:dyDescent="0.25">
      <c r="A22109" t="s">
        <v>22122</v>
      </c>
      <c r="B22109">
        <v>340</v>
      </c>
      <c r="C22109" s="1" t="str">
        <f>HYPERLINK("http://www.rosaceae.org/gb/gbrowse/malus_x_domestica/?name=MDP0000314006","MDP0000314006")</f>
        <v>MDP0000314006</v>
      </c>
      <c r="D22109">
        <v>73.88</v>
      </c>
      <c r="E22109">
        <v>314</v>
      </c>
      <c r="F22109">
        <v>82</v>
      </c>
      <c r="G22109">
        <v>3</v>
      </c>
      <c r="H22109">
        <v>29</v>
      </c>
      <c r="I22109">
        <v>340</v>
      </c>
      <c r="J22109">
        <v>1</v>
      </c>
      <c r="K22109">
        <v>111</v>
      </c>
      <c r="L22109">
        <v>423</v>
      </c>
      <c r="M22109">
        <v>1</v>
      </c>
      <c r="N22109">
        <v>1.11429E-138</v>
      </c>
      <c r="O22109">
        <v>1261</v>
      </c>
    </row>
    <row r="22110" spans="1:15" x14ac:dyDescent="0.25">
      <c r="A22110" t="s">
        <v>22123</v>
      </c>
      <c r="B22110">
        <v>550</v>
      </c>
      <c r="C22110" s="1" t="str">
        <f>HYPERLINK("http://www.rosaceae.org/gb/gbrowse/malus_x_domestica/?name=MDP0000207132","MDP0000207132")</f>
        <v>MDP0000207132</v>
      </c>
      <c r="D22110">
        <v>34.36</v>
      </c>
      <c r="E22110">
        <v>291</v>
      </c>
      <c r="F22110">
        <v>191</v>
      </c>
      <c r="G22110">
        <v>24</v>
      </c>
      <c r="H22110">
        <v>259</v>
      </c>
      <c r="I22110">
        <v>540</v>
      </c>
      <c r="J22110">
        <v>1</v>
      </c>
      <c r="K22110">
        <v>9</v>
      </c>
      <c r="L22110">
        <v>284</v>
      </c>
      <c r="M22110">
        <v>1</v>
      </c>
      <c r="N22110">
        <v>5.4722999999999998E-42</v>
      </c>
      <c r="O22110">
        <v>429</v>
      </c>
    </row>
    <row r="22111" spans="1:15" x14ac:dyDescent="0.25">
      <c r="A22111" t="s">
        <v>22124</v>
      </c>
      <c r="B22111">
        <v>192</v>
      </c>
      <c r="C22111" s="1" t="str">
        <f>HYPERLINK("http://www.rosaceae.org/gb/gbrowse/malus_x_domestica/?name=MDP0000606998","MDP0000606998")</f>
        <v>MDP0000606998</v>
      </c>
      <c r="D22111">
        <v>72.72</v>
      </c>
      <c r="E22111">
        <v>176</v>
      </c>
      <c r="F22111">
        <v>48</v>
      </c>
      <c r="G22111">
        <v>6</v>
      </c>
      <c r="H22111">
        <v>23</v>
      </c>
      <c r="I22111">
        <v>192</v>
      </c>
      <c r="J22111">
        <v>1</v>
      </c>
      <c r="K22111">
        <v>106</v>
      </c>
      <c r="L22111">
        <v>281</v>
      </c>
      <c r="M22111">
        <v>1</v>
      </c>
      <c r="N22111">
        <v>2.3774600000000002E-66</v>
      </c>
      <c r="O22111">
        <v>633</v>
      </c>
    </row>
    <row r="22112" spans="1:15" x14ac:dyDescent="0.25">
      <c r="A22112" t="s">
        <v>22125</v>
      </c>
      <c r="B22112">
        <v>349</v>
      </c>
      <c r="C22112" s="1" t="str">
        <f>HYPERLINK("http://www.rosaceae.org/gb/gbrowse/malus_x_domestica/?name=MDP0000319553","MDP0000319553")</f>
        <v>MDP0000319553</v>
      </c>
      <c r="D22112">
        <v>72.59</v>
      </c>
      <c r="E22112">
        <v>208</v>
      </c>
      <c r="F22112">
        <v>57</v>
      </c>
      <c r="G22112">
        <v>1</v>
      </c>
      <c r="H22112">
        <v>40</v>
      </c>
      <c r="I22112">
        <v>247</v>
      </c>
      <c r="J22112">
        <v>1</v>
      </c>
      <c r="K22112">
        <v>1</v>
      </c>
      <c r="L22112">
        <v>207</v>
      </c>
      <c r="M22112">
        <v>1</v>
      </c>
      <c r="N22112">
        <v>9.8731999999999993E-81</v>
      </c>
      <c r="O22112">
        <v>761</v>
      </c>
    </row>
    <row r="22113" spans="1:15" x14ac:dyDescent="0.25">
      <c r="A22113" t="s">
        <v>22126</v>
      </c>
      <c r="B22113">
        <v>228</v>
      </c>
      <c r="C22113" s="1" t="str">
        <f>HYPERLINK("http://www.rosaceae.org/gb/gbrowse/malus_x_domestica/?name=MDP0000164532","MDP0000164532")</f>
        <v>MDP0000164532</v>
      </c>
      <c r="D22113">
        <v>70.680000000000007</v>
      </c>
      <c r="E22113">
        <v>191</v>
      </c>
      <c r="F22113">
        <v>56</v>
      </c>
      <c r="G22113">
        <v>27</v>
      </c>
      <c r="H22113">
        <v>1</v>
      </c>
      <c r="I22113">
        <v>177</v>
      </c>
      <c r="J22113">
        <v>1</v>
      </c>
      <c r="K22113">
        <v>1</v>
      </c>
      <c r="L22113">
        <v>178</v>
      </c>
      <c r="M22113">
        <v>1</v>
      </c>
      <c r="N22113">
        <v>1.16026E-69</v>
      </c>
      <c r="O22113">
        <v>663</v>
      </c>
    </row>
    <row r="22114" spans="1:15" x14ac:dyDescent="0.25">
      <c r="A22114" t="s">
        <v>22127</v>
      </c>
      <c r="B22114">
        <v>243</v>
      </c>
      <c r="C22114" s="1" t="str">
        <f>HYPERLINK("http://www.rosaceae.org/gb/gbrowse/malus_x_domestica/?name=MDP0000246198","MDP0000246198")</f>
        <v>MDP0000246198</v>
      </c>
      <c r="D22114">
        <v>82.71</v>
      </c>
      <c r="E22114">
        <v>243</v>
      </c>
      <c r="F22114">
        <v>42</v>
      </c>
      <c r="G22114">
        <v>0</v>
      </c>
      <c r="H22114">
        <v>1</v>
      </c>
      <c r="I22114">
        <v>243</v>
      </c>
      <c r="J22114">
        <v>1</v>
      </c>
      <c r="K22114">
        <v>1</v>
      </c>
      <c r="L22114">
        <v>243</v>
      </c>
      <c r="M22114">
        <v>1</v>
      </c>
      <c r="N22114">
        <v>3.2468800000000003E-117</v>
      </c>
      <c r="O22114">
        <v>1074</v>
      </c>
    </row>
    <row r="22115" spans="1:15" x14ac:dyDescent="0.25">
      <c r="A22115" t="s">
        <v>22128</v>
      </c>
      <c r="B22115">
        <v>534</v>
      </c>
      <c r="C22115" s="1" t="str">
        <f>HYPERLINK("http://www.rosaceae.org/gb/gbrowse/malus_x_domestica/?name=MDP0000298765","MDP0000298765")</f>
        <v>MDP0000298765</v>
      </c>
      <c r="D22115">
        <v>27.5</v>
      </c>
      <c r="E22115">
        <v>160</v>
      </c>
      <c r="F22115">
        <v>116</v>
      </c>
      <c r="G22115">
        <v>3</v>
      </c>
      <c r="H22115">
        <v>265</v>
      </c>
      <c r="I22115">
        <v>424</v>
      </c>
      <c r="J22115">
        <v>1</v>
      </c>
      <c r="K22115">
        <v>818</v>
      </c>
      <c r="L22115">
        <v>974</v>
      </c>
      <c r="M22115">
        <v>1</v>
      </c>
      <c r="N22115">
        <v>3.6527399999999998E-14</v>
      </c>
      <c r="O22115">
        <v>189</v>
      </c>
    </row>
    <row r="22116" spans="1:15" x14ac:dyDescent="0.25">
      <c r="A22116" t="s">
        <v>22129</v>
      </c>
      <c r="B22116">
        <v>1431</v>
      </c>
      <c r="C22116" s="1" t="str">
        <f>HYPERLINK("http://www.rosaceae.org/gb/gbrowse/malus_x_domestica/?name=MDP0000134282","MDP0000134282")</f>
        <v>MDP0000134282</v>
      </c>
      <c r="D22116">
        <v>80.02</v>
      </c>
      <c r="E22116">
        <v>796</v>
      </c>
      <c r="F22116">
        <v>159</v>
      </c>
      <c r="G22116">
        <v>37</v>
      </c>
      <c r="H22116">
        <v>4</v>
      </c>
      <c r="I22116">
        <v>762</v>
      </c>
      <c r="J22116">
        <v>1</v>
      </c>
      <c r="K22116">
        <v>35</v>
      </c>
      <c r="L22116">
        <v>830</v>
      </c>
      <c r="M22116">
        <v>1</v>
      </c>
      <c r="N22116">
        <v>0</v>
      </c>
      <c r="O22116">
        <v>3459</v>
      </c>
    </row>
    <row r="22117" spans="1:15" x14ac:dyDescent="0.25">
      <c r="A22117" t="s">
        <v>22130</v>
      </c>
      <c r="B22117">
        <v>1213</v>
      </c>
      <c r="C22117" s="1" t="str">
        <f>HYPERLINK("http://www.rosaceae.org/gb/gbrowse/malus_x_domestica/?name=MDP0000204069","MDP0000204069")</f>
        <v>MDP0000204069</v>
      </c>
      <c r="D22117">
        <v>59.6</v>
      </c>
      <c r="E22117">
        <v>916</v>
      </c>
      <c r="F22117">
        <v>370</v>
      </c>
      <c r="G22117">
        <v>98</v>
      </c>
      <c r="H22117">
        <v>205</v>
      </c>
      <c r="I22117">
        <v>1041</v>
      </c>
      <c r="J22117">
        <v>1</v>
      </c>
      <c r="K22117">
        <v>2</v>
      </c>
      <c r="L22117">
        <v>898</v>
      </c>
      <c r="M22117">
        <v>1</v>
      </c>
      <c r="N22117">
        <v>0</v>
      </c>
      <c r="O22117">
        <v>2669</v>
      </c>
    </row>
    <row r="22118" spans="1:15" x14ac:dyDescent="0.25">
      <c r="A22118" t="s">
        <v>22131</v>
      </c>
      <c r="B22118">
        <v>214</v>
      </c>
      <c r="C22118" s="1" t="str">
        <f>HYPERLINK("http://www.rosaceae.org/gb/gbrowse/malus_x_domestica/?name=MDP0000255682","MDP0000255682")</f>
        <v>MDP0000255682</v>
      </c>
      <c r="D22118">
        <v>88.48</v>
      </c>
      <c r="E22118">
        <v>191</v>
      </c>
      <c r="F22118">
        <v>22</v>
      </c>
      <c r="G22118">
        <v>0</v>
      </c>
      <c r="H22118">
        <v>24</v>
      </c>
      <c r="I22118">
        <v>214</v>
      </c>
      <c r="J22118">
        <v>1</v>
      </c>
      <c r="K22118">
        <v>21</v>
      </c>
      <c r="L22118">
        <v>211</v>
      </c>
      <c r="M22118">
        <v>1</v>
      </c>
      <c r="N22118">
        <v>5.3284000000000003E-95</v>
      </c>
      <c r="O22118">
        <v>881</v>
      </c>
    </row>
    <row r="22119" spans="1:15" x14ac:dyDescent="0.25">
      <c r="A22119" t="s">
        <v>22132</v>
      </c>
      <c r="B22119">
        <v>413</v>
      </c>
      <c r="C22119" s="1" t="str">
        <f>HYPERLINK("http://www.rosaceae.org/gb/gbrowse/malus_x_domestica/?name=MDP0000754128","MDP0000754128")</f>
        <v>MDP0000754128</v>
      </c>
      <c r="D22119">
        <v>78.38</v>
      </c>
      <c r="E22119">
        <v>273</v>
      </c>
      <c r="F22119">
        <v>59</v>
      </c>
      <c r="G22119">
        <v>3</v>
      </c>
      <c r="H22119">
        <v>116</v>
      </c>
      <c r="I22119">
        <v>385</v>
      </c>
      <c r="J22119">
        <v>1</v>
      </c>
      <c r="K22119">
        <v>211</v>
      </c>
      <c r="L22119">
        <v>483</v>
      </c>
      <c r="M22119">
        <v>1</v>
      </c>
      <c r="N22119">
        <v>5.4893600000000003E-124</v>
      </c>
      <c r="O22119">
        <v>1135</v>
      </c>
    </row>
    <row r="22120" spans="1:15" x14ac:dyDescent="0.25">
      <c r="A22120" t="s">
        <v>22133</v>
      </c>
      <c r="B22120">
        <v>438</v>
      </c>
      <c r="C22120" s="1" t="str">
        <f>HYPERLINK("http://www.rosaceae.org/gb/gbrowse/malus_x_domestica/?name=MDP0000927926","MDP0000927926")</f>
        <v>MDP0000927926</v>
      </c>
      <c r="D22120">
        <v>79.94</v>
      </c>
      <c r="E22120">
        <v>399</v>
      </c>
      <c r="F22120">
        <v>80</v>
      </c>
      <c r="G22120">
        <v>3</v>
      </c>
      <c r="H22120">
        <v>37</v>
      </c>
      <c r="I22120">
        <v>435</v>
      </c>
      <c r="J22120">
        <v>1</v>
      </c>
      <c r="K22120">
        <v>3</v>
      </c>
      <c r="L22120">
        <v>398</v>
      </c>
      <c r="M22120">
        <v>1</v>
      </c>
      <c r="N22120">
        <v>0</v>
      </c>
      <c r="O22120">
        <v>1759</v>
      </c>
    </row>
    <row r="22121" spans="1:15" x14ac:dyDescent="0.25">
      <c r="A22121" t="s">
        <v>22134</v>
      </c>
      <c r="B22121">
        <v>161</v>
      </c>
      <c r="C22121" s="1" t="str">
        <f>HYPERLINK("http://www.rosaceae.org/gb/gbrowse/malus_x_domestica/?name=MDP0000275177","MDP0000275177")</f>
        <v>MDP0000275177</v>
      </c>
      <c r="D22121">
        <v>50.74</v>
      </c>
      <c r="E22121">
        <v>67</v>
      </c>
      <c r="F22121">
        <v>33</v>
      </c>
      <c r="G22121">
        <v>15</v>
      </c>
      <c r="H22121">
        <v>106</v>
      </c>
      <c r="I22121">
        <v>157</v>
      </c>
      <c r="J22121">
        <v>1</v>
      </c>
      <c r="K22121">
        <v>186</v>
      </c>
      <c r="L22121">
        <v>252</v>
      </c>
      <c r="M22121">
        <v>1</v>
      </c>
      <c r="N22121">
        <v>4.0159500000000002E-11</v>
      </c>
      <c r="O22121">
        <v>156</v>
      </c>
    </row>
    <row r="22122" spans="1:15" x14ac:dyDescent="0.25">
      <c r="A22122" t="s">
        <v>22135</v>
      </c>
      <c r="B22122">
        <v>657</v>
      </c>
      <c r="C22122" s="1" t="str">
        <f>HYPERLINK("http://www.rosaceae.org/gb/gbrowse/malus_x_domestica/?name=MDP0000891532","MDP0000891532")</f>
        <v>MDP0000891532</v>
      </c>
      <c r="D22122">
        <v>71.88</v>
      </c>
      <c r="E22122">
        <v>601</v>
      </c>
      <c r="F22122">
        <v>169</v>
      </c>
      <c r="G22122">
        <v>2</v>
      </c>
      <c r="H22122">
        <v>58</v>
      </c>
      <c r="I22122">
        <v>657</v>
      </c>
      <c r="J22122">
        <v>1</v>
      </c>
      <c r="K22122">
        <v>58</v>
      </c>
      <c r="L22122">
        <v>657</v>
      </c>
      <c r="M22122">
        <v>1</v>
      </c>
      <c r="N22122">
        <v>0</v>
      </c>
      <c r="O22122">
        <v>2154</v>
      </c>
    </row>
    <row r="22123" spans="1:15" x14ac:dyDescent="0.25">
      <c r="A22123" t="s">
        <v>22136</v>
      </c>
      <c r="B22123">
        <v>149</v>
      </c>
      <c r="C22123" s="1" t="str">
        <f>HYPERLINK("http://www.rosaceae.org/gb/gbrowse/malus_x_domestica/?name=MDP0000487271","MDP0000487271")</f>
        <v>MDP0000487271</v>
      </c>
      <c r="D22123">
        <v>87.27</v>
      </c>
      <c r="E22123">
        <v>55</v>
      </c>
      <c r="F22123">
        <v>7</v>
      </c>
      <c r="G22123">
        <v>0</v>
      </c>
      <c r="H22123">
        <v>95</v>
      </c>
      <c r="I22123">
        <v>149</v>
      </c>
      <c r="J22123">
        <v>1</v>
      </c>
      <c r="K22123">
        <v>74</v>
      </c>
      <c r="L22123">
        <v>128</v>
      </c>
      <c r="M22123">
        <v>1</v>
      </c>
      <c r="N22123">
        <v>1.64683E-23</v>
      </c>
      <c r="O22123">
        <v>262</v>
      </c>
    </row>
    <row r="22124" spans="1:15" x14ac:dyDescent="0.25">
      <c r="A22124" t="s">
        <v>22137</v>
      </c>
      <c r="B22124">
        <v>210</v>
      </c>
      <c r="C22124" s="1" t="str">
        <f>HYPERLINK("http://www.rosaceae.org/gb/gbrowse/malus_x_domestica/?name=MDP0000782661","MDP0000782661")</f>
        <v>MDP0000782661</v>
      </c>
      <c r="D22124">
        <v>29.24</v>
      </c>
      <c r="E22124">
        <v>106</v>
      </c>
      <c r="F22124">
        <v>75</v>
      </c>
      <c r="G22124">
        <v>14</v>
      </c>
      <c r="H22124">
        <v>101</v>
      </c>
      <c r="I22124">
        <v>205</v>
      </c>
      <c r="J22124">
        <v>1</v>
      </c>
      <c r="K22124">
        <v>184</v>
      </c>
      <c r="L22124">
        <v>276</v>
      </c>
      <c r="M22124">
        <v>1</v>
      </c>
      <c r="N22124">
        <v>2.7735099999999999E-9</v>
      </c>
      <c r="O22124">
        <v>142</v>
      </c>
    </row>
    <row r="22125" spans="1:15" x14ac:dyDescent="0.25">
      <c r="A22125" t="s">
        <v>22138</v>
      </c>
      <c r="B22125">
        <v>909</v>
      </c>
      <c r="C22125" s="1" t="str">
        <f>HYPERLINK("http://www.rosaceae.org/gb/gbrowse/malus_x_domestica/?name=MDP0000302168","MDP0000302168")</f>
        <v>MDP0000302168</v>
      </c>
      <c r="D22125">
        <v>64.03</v>
      </c>
      <c r="E22125">
        <v>912</v>
      </c>
      <c r="F22125">
        <v>328</v>
      </c>
      <c r="G22125">
        <v>172</v>
      </c>
      <c r="H22125">
        <v>112</v>
      </c>
      <c r="I22125">
        <v>909</v>
      </c>
      <c r="J22125">
        <v>1</v>
      </c>
      <c r="K22125">
        <v>118</v>
      </c>
      <c r="L22125">
        <v>971</v>
      </c>
      <c r="M22125">
        <v>1</v>
      </c>
      <c r="N22125">
        <v>0</v>
      </c>
      <c r="O22125">
        <v>2836</v>
      </c>
    </row>
    <row r="22126" spans="1:15" x14ac:dyDescent="0.25">
      <c r="A22126" t="s">
        <v>22139</v>
      </c>
      <c r="B22126">
        <v>478</v>
      </c>
      <c r="C22126" s="1" t="str">
        <f>HYPERLINK("http://www.rosaceae.org/gb/gbrowse/malus_x_domestica/?name=MDP0000069412","MDP0000069412")</f>
        <v>MDP0000069412</v>
      </c>
      <c r="D22126">
        <v>89.85</v>
      </c>
      <c r="E22126">
        <v>424</v>
      </c>
      <c r="F22126">
        <v>43</v>
      </c>
      <c r="G22126">
        <v>0</v>
      </c>
      <c r="H22126">
        <v>41</v>
      </c>
      <c r="I22126">
        <v>464</v>
      </c>
      <c r="J22126">
        <v>1</v>
      </c>
      <c r="K22126">
        <v>51</v>
      </c>
      <c r="L22126">
        <v>474</v>
      </c>
      <c r="M22126">
        <v>1</v>
      </c>
      <c r="N22126">
        <v>0</v>
      </c>
      <c r="O22126">
        <v>2079</v>
      </c>
    </row>
    <row r="22127" spans="1:15" x14ac:dyDescent="0.25">
      <c r="A22127" t="s">
        <v>22140</v>
      </c>
      <c r="B22127">
        <v>155</v>
      </c>
      <c r="C22127" s="1" t="str">
        <f>HYPERLINK("http://www.rosaceae.org/gb/gbrowse/malus_x_domestica/?name=MDP0000187841","MDP0000187841")</f>
        <v>MDP0000187841</v>
      </c>
      <c r="D22127">
        <v>57.51</v>
      </c>
      <c r="E22127">
        <v>153</v>
      </c>
      <c r="F22127">
        <v>65</v>
      </c>
      <c r="G22127">
        <v>2</v>
      </c>
      <c r="H22127">
        <v>1</v>
      </c>
      <c r="I22127">
        <v>153</v>
      </c>
      <c r="J22127">
        <v>1</v>
      </c>
      <c r="K22127">
        <v>1</v>
      </c>
      <c r="L22127">
        <v>151</v>
      </c>
      <c r="M22127">
        <v>1</v>
      </c>
      <c r="N22127">
        <v>9.4233300000000001E-50</v>
      </c>
      <c r="O22127">
        <v>489</v>
      </c>
    </row>
    <row r="22128" spans="1:15" x14ac:dyDescent="0.25">
      <c r="A22128" t="s">
        <v>22141</v>
      </c>
      <c r="B22128">
        <v>1929</v>
      </c>
      <c r="C22128" s="1" t="str">
        <f>HYPERLINK("http://www.rosaceae.org/gb/gbrowse/malus_x_domestica/?name=MDP0000661983","MDP0000661983")</f>
        <v>MDP0000661983</v>
      </c>
      <c r="D22128">
        <v>52.66</v>
      </c>
      <c r="E22128">
        <v>1650</v>
      </c>
      <c r="F22128">
        <v>781</v>
      </c>
      <c r="G22128">
        <v>193</v>
      </c>
      <c r="H22128">
        <v>13</v>
      </c>
      <c r="I22128">
        <v>1553</v>
      </c>
      <c r="J22128">
        <v>1</v>
      </c>
      <c r="K22128">
        <v>2</v>
      </c>
      <c r="L22128">
        <v>1567</v>
      </c>
      <c r="M22128">
        <v>1</v>
      </c>
      <c r="N22128">
        <v>0</v>
      </c>
      <c r="O22128">
        <v>3762</v>
      </c>
    </row>
    <row r="22129" spans="1:15" x14ac:dyDescent="0.25">
      <c r="A22129" t="s">
        <v>22142</v>
      </c>
      <c r="B22129">
        <v>184</v>
      </c>
      <c r="C22129" s="1" t="str">
        <f>HYPERLINK("http://www.rosaceae.org/gb/gbrowse/malus_x_domestica/?name=MDP0000844367","MDP0000844367")</f>
        <v>MDP0000844367</v>
      </c>
      <c r="D22129">
        <v>80.97</v>
      </c>
      <c r="E22129">
        <v>184</v>
      </c>
      <c r="F22129">
        <v>35</v>
      </c>
      <c r="G22129">
        <v>1</v>
      </c>
      <c r="H22129">
        <v>1</v>
      </c>
      <c r="I22129">
        <v>184</v>
      </c>
      <c r="J22129">
        <v>1</v>
      </c>
      <c r="K22129">
        <v>1</v>
      </c>
      <c r="L22129">
        <v>183</v>
      </c>
      <c r="M22129">
        <v>1</v>
      </c>
      <c r="N22129">
        <v>4.4305399999999999E-82</v>
      </c>
      <c r="O22129">
        <v>769</v>
      </c>
    </row>
    <row r="22130" spans="1:15" x14ac:dyDescent="0.25">
      <c r="A22130" t="s">
        <v>22143</v>
      </c>
      <c r="B22130">
        <v>104</v>
      </c>
      <c r="C22130" s="1" t="str">
        <f>HYPERLINK("http://www.rosaceae.org/gb/gbrowse/malus_x_domestica/?name=MDP0000330078","MDP0000330078")</f>
        <v>MDP0000330078</v>
      </c>
      <c r="D22130">
        <v>86.04</v>
      </c>
      <c r="E22130">
        <v>43</v>
      </c>
      <c r="F22130">
        <v>6</v>
      </c>
      <c r="G22130">
        <v>0</v>
      </c>
      <c r="H22130">
        <v>1</v>
      </c>
      <c r="I22130">
        <v>43</v>
      </c>
      <c r="J22130">
        <v>1</v>
      </c>
      <c r="K22130">
        <v>7</v>
      </c>
      <c r="L22130">
        <v>49</v>
      </c>
      <c r="M22130">
        <v>1</v>
      </c>
      <c r="N22130">
        <v>7.5950199999999995E-17</v>
      </c>
      <c r="O22130">
        <v>203</v>
      </c>
    </row>
    <row r="22131" spans="1:15" x14ac:dyDescent="0.25">
      <c r="A22131" t="s">
        <v>22144</v>
      </c>
      <c r="B22131">
        <v>136</v>
      </c>
      <c r="C22131" s="1" t="str">
        <f>HYPERLINK("http://www.rosaceae.org/gb/gbrowse/malus_x_domestica/?name=MDP0000437657","MDP0000437657")</f>
        <v>MDP0000437657</v>
      </c>
      <c r="D22131">
        <v>46.21</v>
      </c>
      <c r="E22131">
        <v>132</v>
      </c>
      <c r="F22131">
        <v>71</v>
      </c>
      <c r="G22131">
        <v>9</v>
      </c>
      <c r="H22131">
        <v>4</v>
      </c>
      <c r="I22131">
        <v>129</v>
      </c>
      <c r="J22131">
        <v>1</v>
      </c>
      <c r="K22131">
        <v>100</v>
      </c>
      <c r="L22131">
        <v>228</v>
      </c>
      <c r="M22131">
        <v>1</v>
      </c>
      <c r="N22131">
        <v>6.1126100000000003E-21</v>
      </c>
      <c r="O22131">
        <v>239</v>
      </c>
    </row>
    <row r="22132" spans="1:15" x14ac:dyDescent="0.25">
      <c r="A22132" t="s">
        <v>22145</v>
      </c>
      <c r="B22132">
        <v>516</v>
      </c>
      <c r="C22132" s="1" t="str">
        <f>HYPERLINK("http://www.rosaceae.org/gb/gbrowse/malus_x_domestica/?name=MDP0000726867","MDP0000726867")</f>
        <v>MDP0000726867</v>
      </c>
      <c r="D22132">
        <v>33.39</v>
      </c>
      <c r="E22132">
        <v>572</v>
      </c>
      <c r="F22132">
        <v>381</v>
      </c>
      <c r="G22132">
        <v>103</v>
      </c>
      <c r="H22132">
        <v>3</v>
      </c>
      <c r="I22132">
        <v>474</v>
      </c>
      <c r="J22132">
        <v>1</v>
      </c>
      <c r="K22132">
        <v>47</v>
      </c>
      <c r="L22132">
        <v>615</v>
      </c>
      <c r="M22132">
        <v>1</v>
      </c>
      <c r="N22132">
        <v>2.06968E-69</v>
      </c>
      <c r="O22132">
        <v>665</v>
      </c>
    </row>
    <row r="22133" spans="1:15" x14ac:dyDescent="0.25">
      <c r="A22133" t="s">
        <v>22146</v>
      </c>
      <c r="B22133">
        <v>373</v>
      </c>
      <c r="C22133" s="1" t="str">
        <f>HYPERLINK("http://www.rosaceae.org/gb/gbrowse/malus_x_domestica/?name=MDP0000244493","MDP0000244493")</f>
        <v>MDP0000244493</v>
      </c>
      <c r="D22133">
        <v>29.57</v>
      </c>
      <c r="E22133">
        <v>142</v>
      </c>
      <c r="F22133">
        <v>100</v>
      </c>
      <c r="G22133">
        <v>7</v>
      </c>
      <c r="H22133">
        <v>101</v>
      </c>
      <c r="I22133">
        <v>236</v>
      </c>
      <c r="J22133">
        <v>1</v>
      </c>
      <c r="K22133">
        <v>14</v>
      </c>
      <c r="L22133">
        <v>154</v>
      </c>
      <c r="M22133">
        <v>1</v>
      </c>
      <c r="N22133">
        <v>1.5728500000000001E-8</v>
      </c>
      <c r="O22133">
        <v>139</v>
      </c>
    </row>
    <row r="22134" spans="1:15" x14ac:dyDescent="0.25">
      <c r="A22134" t="s">
        <v>22147</v>
      </c>
      <c r="B22134">
        <v>271</v>
      </c>
      <c r="C22134" s="1" t="str">
        <f>HYPERLINK("http://www.rosaceae.org/gb/gbrowse/malus_x_domestica/?name=MDP0000279955","MDP0000279955")</f>
        <v>MDP0000279955</v>
      </c>
      <c r="D22134">
        <v>39</v>
      </c>
      <c r="E22134">
        <v>141</v>
      </c>
      <c r="F22134">
        <v>86</v>
      </c>
      <c r="G22134">
        <v>6</v>
      </c>
      <c r="H22134">
        <v>53</v>
      </c>
      <c r="I22134">
        <v>188</v>
      </c>
      <c r="J22134">
        <v>1</v>
      </c>
      <c r="K22134">
        <v>207</v>
      </c>
      <c r="L22134">
        <v>346</v>
      </c>
      <c r="M22134">
        <v>1</v>
      </c>
      <c r="N22134">
        <v>1.7345499999999999E-18</v>
      </c>
      <c r="O22134">
        <v>223</v>
      </c>
    </row>
    <row r="22135" spans="1:15" x14ac:dyDescent="0.25">
      <c r="A22135" t="s">
        <v>22148</v>
      </c>
      <c r="B22135">
        <v>150</v>
      </c>
      <c r="C22135" s="1" t="str">
        <f>HYPERLINK("http://www.rosaceae.org/gb/gbrowse/malus_x_domestica/?name=MDP0000145898","MDP0000145898")</f>
        <v>MDP0000145898</v>
      </c>
      <c r="D22135">
        <v>53.21</v>
      </c>
      <c r="E22135">
        <v>109</v>
      </c>
      <c r="F22135">
        <v>51</v>
      </c>
      <c r="G22135">
        <v>9</v>
      </c>
      <c r="H22135">
        <v>42</v>
      </c>
      <c r="I22135">
        <v>150</v>
      </c>
      <c r="J22135">
        <v>1</v>
      </c>
      <c r="K22135">
        <v>463</v>
      </c>
      <c r="L22135">
        <v>562</v>
      </c>
      <c r="M22135">
        <v>1</v>
      </c>
      <c r="N22135">
        <v>1.28274E-26</v>
      </c>
      <c r="O22135">
        <v>289</v>
      </c>
    </row>
    <row r="22136" spans="1:15" x14ac:dyDescent="0.25">
      <c r="A22136" t="s">
        <v>22149</v>
      </c>
      <c r="B22136">
        <v>306</v>
      </c>
      <c r="C22136" s="1" t="str">
        <f>HYPERLINK("http://www.rosaceae.org/gb/gbrowse/malus_x_domestica/?name=MDP0000234120","MDP0000234120")</f>
        <v>MDP0000234120</v>
      </c>
      <c r="D22136">
        <v>49.52</v>
      </c>
      <c r="E22136">
        <v>317</v>
      </c>
      <c r="F22136">
        <v>160</v>
      </c>
      <c r="G22136">
        <v>48</v>
      </c>
      <c r="H22136">
        <v>1</v>
      </c>
      <c r="I22136">
        <v>306</v>
      </c>
      <c r="J22136">
        <v>1</v>
      </c>
      <c r="K22136">
        <v>146</v>
      </c>
      <c r="L22136">
        <v>425</v>
      </c>
      <c r="M22136">
        <v>1</v>
      </c>
      <c r="N22136">
        <v>3.2720700000000001E-60</v>
      </c>
      <c r="O22136">
        <v>583</v>
      </c>
    </row>
    <row r="22137" spans="1:15" x14ac:dyDescent="0.25">
      <c r="A22137" t="s">
        <v>22150</v>
      </c>
      <c r="B22137">
        <v>577</v>
      </c>
      <c r="C22137" s="1" t="str">
        <f>HYPERLINK("http://www.rosaceae.org/gb/gbrowse/malus_x_domestica/?name=MDP0000091346","MDP0000091346")</f>
        <v>MDP0000091346</v>
      </c>
      <c r="D22137">
        <v>67.95</v>
      </c>
      <c r="E22137">
        <v>493</v>
      </c>
      <c r="F22137">
        <v>158</v>
      </c>
      <c r="G22137">
        <v>70</v>
      </c>
      <c r="H22137">
        <v>94</v>
      </c>
      <c r="I22137">
        <v>577</v>
      </c>
      <c r="J22137">
        <v>1</v>
      </c>
      <c r="K22137">
        <v>14</v>
      </c>
      <c r="L22137">
        <v>445</v>
      </c>
      <c r="M22137">
        <v>1</v>
      </c>
      <c r="N22137">
        <v>2.6407100000000001E-178</v>
      </c>
      <c r="O22137">
        <v>1605</v>
      </c>
    </row>
    <row r="22138" spans="1:15" x14ac:dyDescent="0.25">
      <c r="A22138" t="s">
        <v>22151</v>
      </c>
      <c r="B22138">
        <v>106</v>
      </c>
      <c r="C22138" s="1" t="str">
        <f>HYPERLINK("http://www.rosaceae.org/gb/gbrowse/malus_x_domestica/?name=MDP0000198736","MDP0000198736")</f>
        <v>MDP0000198736</v>
      </c>
      <c r="D22138">
        <v>64.650000000000006</v>
      </c>
      <c r="E22138">
        <v>116</v>
      </c>
      <c r="F22138">
        <v>41</v>
      </c>
      <c r="G22138">
        <v>13</v>
      </c>
      <c r="H22138">
        <v>1</v>
      </c>
      <c r="I22138">
        <v>106</v>
      </c>
      <c r="J22138">
        <v>1</v>
      </c>
      <c r="K22138">
        <v>408</v>
      </c>
      <c r="L22138">
        <v>520</v>
      </c>
      <c r="M22138">
        <v>1</v>
      </c>
      <c r="N22138">
        <v>5.8954699999999998E-33</v>
      </c>
      <c r="O22138">
        <v>342</v>
      </c>
    </row>
    <row r="22139" spans="1:15" x14ac:dyDescent="0.25">
      <c r="A22139" t="s">
        <v>22152</v>
      </c>
      <c r="B22139">
        <v>207</v>
      </c>
      <c r="C22139" s="1" t="str">
        <f>HYPERLINK("http://www.rosaceae.org/gb/gbrowse/malus_x_domestica/?name=MDP0000055639","MDP0000055639")</f>
        <v>MDP0000055639</v>
      </c>
      <c r="D22139">
        <v>55.88</v>
      </c>
      <c r="E22139">
        <v>238</v>
      </c>
      <c r="F22139">
        <v>105</v>
      </c>
      <c r="G22139">
        <v>33</v>
      </c>
      <c r="H22139">
        <v>1</v>
      </c>
      <c r="I22139">
        <v>206</v>
      </c>
      <c r="J22139">
        <v>1</v>
      </c>
      <c r="K22139">
        <v>129</v>
      </c>
      <c r="L22139">
        <v>365</v>
      </c>
      <c r="M22139">
        <v>1</v>
      </c>
      <c r="N22139">
        <v>1.3941300000000001E-71</v>
      </c>
      <c r="O22139">
        <v>679</v>
      </c>
    </row>
    <row r="22140" spans="1:15" x14ac:dyDescent="0.25">
      <c r="A22140" t="s">
        <v>22153</v>
      </c>
      <c r="B22140">
        <v>763</v>
      </c>
      <c r="C22140" s="1" t="str">
        <f>HYPERLINK("http://www.rosaceae.org/gb/gbrowse/malus_x_domestica/?name=MDP0000204905","MDP0000204905")</f>
        <v>MDP0000204905</v>
      </c>
      <c r="D22140">
        <v>78.44</v>
      </c>
      <c r="E22140">
        <v>668</v>
      </c>
      <c r="F22140">
        <v>144</v>
      </c>
      <c r="G22140">
        <v>11</v>
      </c>
      <c r="H22140">
        <v>1</v>
      </c>
      <c r="I22140">
        <v>657</v>
      </c>
      <c r="J22140">
        <v>1</v>
      </c>
      <c r="K22140">
        <v>1</v>
      </c>
      <c r="L22140">
        <v>668</v>
      </c>
      <c r="M22140">
        <v>1</v>
      </c>
      <c r="N22140">
        <v>0</v>
      </c>
      <c r="O22140">
        <v>2747</v>
      </c>
    </row>
    <row r="22141" spans="1:15" x14ac:dyDescent="0.25">
      <c r="A22141" t="s">
        <v>22154</v>
      </c>
      <c r="B22141">
        <v>177</v>
      </c>
      <c r="C22141" s="1" t="str">
        <f>HYPERLINK("http://www.rosaceae.org/gb/gbrowse/malus_x_domestica/?name=MDP0000177288","MDP0000177288")</f>
        <v>MDP0000177288</v>
      </c>
      <c r="D22141">
        <v>69.010000000000005</v>
      </c>
      <c r="E22141">
        <v>142</v>
      </c>
      <c r="F22141">
        <v>44</v>
      </c>
      <c r="G22141">
        <v>1</v>
      </c>
      <c r="H22141">
        <v>26</v>
      </c>
      <c r="I22141">
        <v>166</v>
      </c>
      <c r="J22141">
        <v>1</v>
      </c>
      <c r="K22141">
        <v>95</v>
      </c>
      <c r="L22141">
        <v>236</v>
      </c>
      <c r="M22141">
        <v>1</v>
      </c>
      <c r="N22141">
        <v>4.7318300000000002E-55</v>
      </c>
      <c r="O22141">
        <v>535</v>
      </c>
    </row>
    <row r="22142" spans="1:15" x14ac:dyDescent="0.25">
      <c r="A22142" t="s">
        <v>22155</v>
      </c>
      <c r="B22142">
        <v>716</v>
      </c>
      <c r="C22142" s="1" t="str">
        <f>HYPERLINK("http://www.rosaceae.org/gb/gbrowse/malus_x_domestica/?name=MDP0000160938","MDP0000160938")</f>
        <v>MDP0000160938</v>
      </c>
      <c r="D22142">
        <v>83.56</v>
      </c>
      <c r="E22142">
        <v>651</v>
      </c>
      <c r="F22142">
        <v>107</v>
      </c>
      <c r="G22142">
        <v>0</v>
      </c>
      <c r="H22142">
        <v>1</v>
      </c>
      <c r="I22142">
        <v>651</v>
      </c>
      <c r="J22142">
        <v>1</v>
      </c>
      <c r="K22142">
        <v>1</v>
      </c>
      <c r="L22142">
        <v>651</v>
      </c>
      <c r="M22142">
        <v>1</v>
      </c>
      <c r="N22142">
        <v>0</v>
      </c>
      <c r="O22142">
        <v>2861</v>
      </c>
    </row>
    <row r="22143" spans="1:15" x14ac:dyDescent="0.25">
      <c r="A22143" t="s">
        <v>22156</v>
      </c>
      <c r="B22143">
        <v>386</v>
      </c>
      <c r="C22143" s="1" t="str">
        <f>HYPERLINK("http://www.rosaceae.org/gb/gbrowse/malus_x_domestica/?name=MDP0000153790","MDP0000153790")</f>
        <v>MDP0000153790</v>
      </c>
      <c r="D22143">
        <v>38.090000000000003</v>
      </c>
      <c r="E22143">
        <v>336</v>
      </c>
      <c r="F22143">
        <v>208</v>
      </c>
      <c r="G22143">
        <v>10</v>
      </c>
      <c r="H22143">
        <v>1</v>
      </c>
      <c r="I22143">
        <v>328</v>
      </c>
      <c r="J22143">
        <v>1</v>
      </c>
      <c r="K22143">
        <v>91</v>
      </c>
      <c r="L22143">
        <v>424</v>
      </c>
      <c r="M22143">
        <v>1</v>
      </c>
      <c r="N22143">
        <v>1.5331999999999999E-58</v>
      </c>
      <c r="O22143">
        <v>570</v>
      </c>
    </row>
    <row r="22144" spans="1:15" x14ac:dyDescent="0.25">
      <c r="A22144" t="s">
        <v>22157</v>
      </c>
      <c r="B22144">
        <v>117</v>
      </c>
      <c r="C22144" s="1" t="str">
        <f>HYPERLINK("http://www.rosaceae.org/gb/gbrowse/malus_x_domestica/?name=MDP0000214612","MDP0000214612")</f>
        <v>MDP0000214612</v>
      </c>
      <c r="D22144">
        <v>47.11</v>
      </c>
      <c r="E22144">
        <v>104</v>
      </c>
      <c r="F22144">
        <v>55</v>
      </c>
      <c r="G22144">
        <v>0</v>
      </c>
      <c r="H22144">
        <v>6</v>
      </c>
      <c r="I22144">
        <v>109</v>
      </c>
      <c r="J22144">
        <v>1</v>
      </c>
      <c r="K22144">
        <v>2</v>
      </c>
      <c r="L22144">
        <v>105</v>
      </c>
      <c r="M22144">
        <v>1</v>
      </c>
      <c r="N22144">
        <v>2.13555E-16</v>
      </c>
      <c r="O22144">
        <v>199</v>
      </c>
    </row>
    <row r="22145" spans="1:15" x14ac:dyDescent="0.25">
      <c r="A22145" t="s">
        <v>22158</v>
      </c>
      <c r="B22145">
        <v>362</v>
      </c>
      <c r="C22145" s="1" t="str">
        <f>HYPERLINK("http://www.rosaceae.org/gb/gbrowse/malus_x_domestica/?name=MDP0000269015","MDP0000269015")</f>
        <v>MDP0000269015</v>
      </c>
      <c r="D22145">
        <v>73.56</v>
      </c>
      <c r="E22145">
        <v>367</v>
      </c>
      <c r="F22145">
        <v>97</v>
      </c>
      <c r="G22145">
        <v>7</v>
      </c>
      <c r="H22145">
        <v>3</v>
      </c>
      <c r="I22145">
        <v>362</v>
      </c>
      <c r="J22145">
        <v>1</v>
      </c>
      <c r="K22145">
        <v>2</v>
      </c>
      <c r="L22145">
        <v>368</v>
      </c>
      <c r="M22145">
        <v>1</v>
      </c>
      <c r="N22145">
        <v>2.5697099999999998E-156</v>
      </c>
      <c r="O22145">
        <v>1413</v>
      </c>
    </row>
    <row r="22146" spans="1:15" x14ac:dyDescent="0.25">
      <c r="A22146" t="s">
        <v>22159</v>
      </c>
      <c r="B22146">
        <v>596</v>
      </c>
      <c r="C22146" s="1" t="str">
        <f>HYPERLINK("http://www.rosaceae.org/gb/gbrowse/malus_x_domestica/?name=MDP0000850943","MDP0000850943")</f>
        <v>MDP0000850943</v>
      </c>
      <c r="D22146">
        <v>69.959999999999994</v>
      </c>
      <c r="E22146">
        <v>636</v>
      </c>
      <c r="F22146">
        <v>191</v>
      </c>
      <c r="G22146">
        <v>44</v>
      </c>
      <c r="H22146">
        <v>1</v>
      </c>
      <c r="I22146">
        <v>596</v>
      </c>
      <c r="J22146">
        <v>1</v>
      </c>
      <c r="K22146">
        <v>1</v>
      </c>
      <c r="L22146">
        <v>632</v>
      </c>
      <c r="M22146">
        <v>1</v>
      </c>
      <c r="N22146">
        <v>0</v>
      </c>
      <c r="O22146">
        <v>2203</v>
      </c>
    </row>
    <row r="22147" spans="1:15" x14ac:dyDescent="0.25">
      <c r="A22147" t="s">
        <v>22160</v>
      </c>
      <c r="B22147">
        <v>449</v>
      </c>
      <c r="C22147" s="1" t="str">
        <f>HYPERLINK("http://www.rosaceae.org/gb/gbrowse/malus_x_domestica/?name=MDP0000176250","MDP0000176250")</f>
        <v>MDP0000176250</v>
      </c>
      <c r="D22147">
        <v>66.66</v>
      </c>
      <c r="E22147">
        <v>321</v>
      </c>
      <c r="F22147">
        <v>107</v>
      </c>
      <c r="G22147">
        <v>6</v>
      </c>
      <c r="H22147">
        <v>1</v>
      </c>
      <c r="I22147">
        <v>316</v>
      </c>
      <c r="J22147">
        <v>1</v>
      </c>
      <c r="K22147">
        <v>1</v>
      </c>
      <c r="L22147">
        <v>320</v>
      </c>
      <c r="M22147">
        <v>1</v>
      </c>
      <c r="N22147">
        <v>1.2286100000000001E-121</v>
      </c>
      <c r="O22147">
        <v>1115</v>
      </c>
    </row>
    <row r="22148" spans="1:15" x14ac:dyDescent="0.25">
      <c r="A22148" t="s">
        <v>22161</v>
      </c>
      <c r="B22148">
        <v>613</v>
      </c>
      <c r="C22148" s="1" t="str">
        <f>HYPERLINK("http://www.rosaceae.org/gb/gbrowse/malus_x_domestica/?name=MDP0000500661","MDP0000500661")</f>
        <v>MDP0000500661</v>
      </c>
      <c r="D22148">
        <v>76.2</v>
      </c>
      <c r="E22148">
        <v>395</v>
      </c>
      <c r="F22148">
        <v>94</v>
      </c>
      <c r="G22148">
        <v>9</v>
      </c>
      <c r="H22148">
        <v>222</v>
      </c>
      <c r="I22148">
        <v>612</v>
      </c>
      <c r="J22148">
        <v>1</v>
      </c>
      <c r="K22148">
        <v>1</v>
      </c>
      <c r="L22148">
        <v>390</v>
      </c>
      <c r="M22148">
        <v>1</v>
      </c>
      <c r="N22148">
        <v>4.83152E-163</v>
      </c>
      <c r="O22148">
        <v>1473</v>
      </c>
    </row>
    <row r="22149" spans="1:15" x14ac:dyDescent="0.25">
      <c r="A22149" t="s">
        <v>22162</v>
      </c>
      <c r="B22149">
        <v>1353</v>
      </c>
      <c r="C22149" s="1" t="str">
        <f>HYPERLINK("http://www.rosaceae.org/gb/gbrowse/malus_x_domestica/?name=MDP0000237182","MDP0000237182")</f>
        <v>MDP0000237182</v>
      </c>
      <c r="D22149">
        <v>20.27</v>
      </c>
      <c r="E22149">
        <v>222</v>
      </c>
      <c r="F22149">
        <v>177</v>
      </c>
      <c r="G22149">
        <v>11</v>
      </c>
      <c r="H22149">
        <v>680</v>
      </c>
      <c r="I22149">
        <v>896</v>
      </c>
      <c r="J22149">
        <v>1</v>
      </c>
      <c r="K22149">
        <v>258</v>
      </c>
      <c r="L22149">
        <v>473</v>
      </c>
      <c r="M22149">
        <v>1</v>
      </c>
      <c r="N22149">
        <v>3.7231200000000002E-8</v>
      </c>
      <c r="O22149">
        <v>141</v>
      </c>
    </row>
    <row r="22150" spans="1:15" x14ac:dyDescent="0.25">
      <c r="A22150" t="s">
        <v>22163</v>
      </c>
      <c r="B22150">
        <v>204</v>
      </c>
      <c r="C22150" s="1" t="str">
        <f>HYPERLINK("http://www.rosaceae.org/gb/gbrowse/malus_x_domestica/?name=MDP0000872167","MDP0000872167")</f>
        <v>MDP0000872167</v>
      </c>
      <c r="D22150">
        <v>32.909999999999997</v>
      </c>
      <c r="E22150">
        <v>161</v>
      </c>
      <c r="F22150">
        <v>108</v>
      </c>
      <c r="G22150">
        <v>35</v>
      </c>
      <c r="H22150">
        <v>63</v>
      </c>
      <c r="I22150">
        <v>190</v>
      </c>
      <c r="J22150">
        <v>1</v>
      </c>
      <c r="K22150">
        <v>100</v>
      </c>
      <c r="L22150">
        <v>258</v>
      </c>
      <c r="M22150">
        <v>1</v>
      </c>
      <c r="N22150">
        <v>7.7529300000000004E-13</v>
      </c>
      <c r="O22150">
        <v>172</v>
      </c>
    </row>
    <row r="22151" spans="1:15" x14ac:dyDescent="0.25">
      <c r="A22151" t="s">
        <v>22164</v>
      </c>
      <c r="B22151">
        <v>709</v>
      </c>
      <c r="C22151" s="1" t="str">
        <f>HYPERLINK("http://www.rosaceae.org/gb/gbrowse/malus_x_domestica/?name=MDP0000287393","MDP0000287393")</f>
        <v>MDP0000287393</v>
      </c>
      <c r="D22151">
        <v>30.12</v>
      </c>
      <c r="E22151">
        <v>239</v>
      </c>
      <c r="F22151">
        <v>167</v>
      </c>
      <c r="G22151">
        <v>36</v>
      </c>
      <c r="H22151">
        <v>38</v>
      </c>
      <c r="I22151">
        <v>252</v>
      </c>
      <c r="J22151">
        <v>1</v>
      </c>
      <c r="K22151">
        <v>313</v>
      </c>
      <c r="L22151">
        <v>539</v>
      </c>
      <c r="M22151">
        <v>1</v>
      </c>
      <c r="N22151">
        <v>1.14801E-14</v>
      </c>
      <c r="O22151">
        <v>194</v>
      </c>
    </row>
    <row r="22152" spans="1:15" x14ac:dyDescent="0.25">
      <c r="A22152" t="s">
        <v>22165</v>
      </c>
      <c r="B22152">
        <v>272</v>
      </c>
      <c r="C22152" s="1" t="str">
        <f>HYPERLINK("http://www.rosaceae.org/gb/gbrowse/malus_x_domestica/?name=MDP0000215071","MDP0000215071")</f>
        <v>MDP0000215071</v>
      </c>
      <c r="D22152">
        <v>63.11</v>
      </c>
      <c r="E22152">
        <v>122</v>
      </c>
      <c r="F22152">
        <v>45</v>
      </c>
      <c r="G22152">
        <v>14</v>
      </c>
      <c r="H22152">
        <v>161</v>
      </c>
      <c r="I22152">
        <v>270</v>
      </c>
      <c r="J22152">
        <v>1</v>
      </c>
      <c r="K22152">
        <v>390</v>
      </c>
      <c r="L22152">
        <v>509</v>
      </c>
      <c r="M22152">
        <v>1</v>
      </c>
      <c r="N22152">
        <v>1.9525E-33</v>
      </c>
      <c r="O22152">
        <v>352</v>
      </c>
    </row>
    <row r="22153" spans="1:15" x14ac:dyDescent="0.25">
      <c r="A22153" t="s">
        <v>22166</v>
      </c>
      <c r="B22153">
        <v>536</v>
      </c>
      <c r="C22153" s="1" t="str">
        <f>HYPERLINK("http://www.rosaceae.org/gb/gbrowse/malus_x_domestica/?name=MDP0000282889","MDP0000282889")</f>
        <v>MDP0000282889</v>
      </c>
      <c r="D22153">
        <v>54.13</v>
      </c>
      <c r="E22153">
        <v>266</v>
      </c>
      <c r="F22153">
        <v>122</v>
      </c>
      <c r="G22153">
        <v>45</v>
      </c>
      <c r="H22153">
        <v>1</v>
      </c>
      <c r="I22153">
        <v>224</v>
      </c>
      <c r="J22153">
        <v>1</v>
      </c>
      <c r="K22153">
        <v>1</v>
      </c>
      <c r="L22153">
        <v>263</v>
      </c>
      <c r="M22153">
        <v>1</v>
      </c>
      <c r="N22153">
        <v>2.6963400000000001E-70</v>
      </c>
      <c r="O22153">
        <v>673</v>
      </c>
    </row>
    <row r="22154" spans="1:15" x14ac:dyDescent="0.25">
      <c r="A22154" t="s">
        <v>22167</v>
      </c>
      <c r="B22154">
        <v>326</v>
      </c>
      <c r="C22154" s="1" t="str">
        <f>HYPERLINK("http://www.rosaceae.org/gb/gbrowse/malus_x_domestica/?name=MDP0000848695","MDP0000848695")</f>
        <v>MDP0000848695</v>
      </c>
      <c r="D22154">
        <v>63.23</v>
      </c>
      <c r="E22154">
        <v>321</v>
      </c>
      <c r="F22154">
        <v>118</v>
      </c>
      <c r="G22154">
        <v>8</v>
      </c>
      <c r="H22154">
        <v>1</v>
      </c>
      <c r="I22154">
        <v>320</v>
      </c>
      <c r="J22154">
        <v>1</v>
      </c>
      <c r="K22154">
        <v>1</v>
      </c>
      <c r="L22154">
        <v>314</v>
      </c>
      <c r="M22154">
        <v>1</v>
      </c>
      <c r="N22154">
        <v>8.4186900000000004E-118</v>
      </c>
      <c r="O22154">
        <v>1080</v>
      </c>
    </row>
    <row r="22155" spans="1:15" x14ac:dyDescent="0.25">
      <c r="A22155" t="s">
        <v>22168</v>
      </c>
      <c r="B22155">
        <v>712</v>
      </c>
      <c r="C22155" s="1" t="str">
        <f>HYPERLINK("http://www.rosaceae.org/gb/gbrowse/malus_x_domestica/?name=MDP0000318606","MDP0000318606")</f>
        <v>MDP0000318606</v>
      </c>
      <c r="D22155">
        <v>53.38</v>
      </c>
      <c r="E22155">
        <v>487</v>
      </c>
      <c r="F22155">
        <v>227</v>
      </c>
      <c r="G22155">
        <v>21</v>
      </c>
      <c r="H22155">
        <v>211</v>
      </c>
      <c r="I22155">
        <v>694</v>
      </c>
      <c r="J22155">
        <v>1</v>
      </c>
      <c r="K22155">
        <v>92</v>
      </c>
      <c r="L22155">
        <v>560</v>
      </c>
      <c r="M22155">
        <v>1</v>
      </c>
      <c r="N22155">
        <v>3.0117999999999999E-158</v>
      </c>
      <c r="O22155">
        <v>1433</v>
      </c>
    </row>
    <row r="22156" spans="1:15" x14ac:dyDescent="0.25">
      <c r="A22156" t="s">
        <v>22169</v>
      </c>
      <c r="B22156">
        <v>314</v>
      </c>
      <c r="C22156" s="1" t="str">
        <f>HYPERLINK("http://www.rosaceae.org/gb/gbrowse/malus_x_domestica/?name=MDP0000230727","MDP0000230727")</f>
        <v>MDP0000230727</v>
      </c>
      <c r="D22156">
        <v>80</v>
      </c>
      <c r="E22156">
        <v>50</v>
      </c>
      <c r="F22156">
        <v>10</v>
      </c>
      <c r="G22156">
        <v>4</v>
      </c>
      <c r="H22156">
        <v>268</v>
      </c>
      <c r="I22156">
        <v>314</v>
      </c>
      <c r="J22156">
        <v>1</v>
      </c>
      <c r="K22156">
        <v>196</v>
      </c>
      <c r="L22156">
        <v>244</v>
      </c>
      <c r="M22156">
        <v>1</v>
      </c>
      <c r="N22156">
        <v>1.9386300000000001E-13</v>
      </c>
      <c r="O22156">
        <v>180</v>
      </c>
    </row>
    <row r="22157" spans="1:15" x14ac:dyDescent="0.25">
      <c r="A22157" t="s">
        <v>22170</v>
      </c>
      <c r="B22157">
        <v>541</v>
      </c>
      <c r="C22157" s="1" t="str">
        <f>HYPERLINK("http://www.rosaceae.org/gb/gbrowse/malus_x_domestica/?name=MDP0000218998","MDP0000218998")</f>
        <v>MDP0000218998</v>
      </c>
      <c r="D22157">
        <v>87.44</v>
      </c>
      <c r="E22157">
        <v>462</v>
      </c>
      <c r="F22157">
        <v>58</v>
      </c>
      <c r="G22157">
        <v>1</v>
      </c>
      <c r="H22157">
        <v>44</v>
      </c>
      <c r="I22157">
        <v>505</v>
      </c>
      <c r="J22157">
        <v>1</v>
      </c>
      <c r="K22157">
        <v>141</v>
      </c>
      <c r="L22157">
        <v>601</v>
      </c>
      <c r="M22157">
        <v>1</v>
      </c>
      <c r="N22157">
        <v>0</v>
      </c>
      <c r="O22157">
        <v>2124</v>
      </c>
    </row>
    <row r="22158" spans="1:15" x14ac:dyDescent="0.25">
      <c r="A22158" t="s">
        <v>22171</v>
      </c>
      <c r="B22158">
        <v>189</v>
      </c>
      <c r="C22158" s="1" t="str">
        <f>HYPERLINK("http://www.rosaceae.org/gb/gbrowse/malus_x_domestica/?name=MDP0000303142","MDP0000303142")</f>
        <v>MDP0000303142</v>
      </c>
      <c r="D22158">
        <v>61.13</v>
      </c>
      <c r="E22158">
        <v>193</v>
      </c>
      <c r="F22158">
        <v>75</v>
      </c>
      <c r="G22158">
        <v>20</v>
      </c>
      <c r="H22158">
        <v>8</v>
      </c>
      <c r="I22158">
        <v>188</v>
      </c>
      <c r="J22158">
        <v>1</v>
      </c>
      <c r="K22158">
        <v>4</v>
      </c>
      <c r="L22158">
        <v>188</v>
      </c>
      <c r="M22158">
        <v>1</v>
      </c>
      <c r="N22158">
        <v>6.8742999999999998E-62</v>
      </c>
      <c r="O22158">
        <v>595</v>
      </c>
    </row>
    <row r="22159" spans="1:15" x14ac:dyDescent="0.25">
      <c r="A22159" t="s">
        <v>22172</v>
      </c>
      <c r="B22159">
        <v>493</v>
      </c>
      <c r="C22159" s="1" t="str">
        <f>HYPERLINK("http://www.rosaceae.org/gb/gbrowse/malus_x_domestica/?name=MDP0000257517","MDP0000257517")</f>
        <v>MDP0000257517</v>
      </c>
      <c r="D22159">
        <v>50.78</v>
      </c>
      <c r="E22159">
        <v>508</v>
      </c>
      <c r="F22159">
        <v>250</v>
      </c>
      <c r="G22159">
        <v>53</v>
      </c>
      <c r="H22159">
        <v>18</v>
      </c>
      <c r="I22159">
        <v>491</v>
      </c>
      <c r="J22159">
        <v>1</v>
      </c>
      <c r="K22159">
        <v>109</v>
      </c>
      <c r="L22159">
        <v>597</v>
      </c>
      <c r="M22159">
        <v>1</v>
      </c>
      <c r="N22159">
        <v>2.0120200000000001E-139</v>
      </c>
      <c r="O22159">
        <v>1269</v>
      </c>
    </row>
    <row r="22160" spans="1:15" x14ac:dyDescent="0.25">
      <c r="A22160" t="s">
        <v>22173</v>
      </c>
      <c r="B22160">
        <v>395</v>
      </c>
      <c r="C22160" s="1" t="str">
        <f>HYPERLINK("http://www.rosaceae.org/gb/gbrowse/malus_x_domestica/?name=MDP0000185125","MDP0000185125")</f>
        <v>MDP0000185125</v>
      </c>
      <c r="D22160">
        <v>33.159999999999997</v>
      </c>
      <c r="E22160">
        <v>193</v>
      </c>
      <c r="F22160">
        <v>129</v>
      </c>
      <c r="G22160">
        <v>9</v>
      </c>
      <c r="H22160">
        <v>194</v>
      </c>
      <c r="I22160">
        <v>386</v>
      </c>
      <c r="J22160">
        <v>1</v>
      </c>
      <c r="K22160">
        <v>3</v>
      </c>
      <c r="L22160">
        <v>186</v>
      </c>
      <c r="M22160">
        <v>1</v>
      </c>
      <c r="N22160">
        <v>1.58743E-22</v>
      </c>
      <c r="O22160">
        <v>260</v>
      </c>
    </row>
    <row r="22161" spans="1:15" x14ac:dyDescent="0.25">
      <c r="A22161" t="s">
        <v>22174</v>
      </c>
      <c r="B22161">
        <v>131</v>
      </c>
      <c r="C22161" s="1" t="str">
        <f>HYPERLINK("http://www.rosaceae.org/gb/gbrowse/malus_x_domestica/?name=MDP0000503361","MDP0000503361")</f>
        <v>MDP0000503361</v>
      </c>
      <c r="D22161">
        <v>71.08</v>
      </c>
      <c r="E22161">
        <v>83</v>
      </c>
      <c r="F22161">
        <v>24</v>
      </c>
      <c r="G22161">
        <v>2</v>
      </c>
      <c r="H22161">
        <v>51</v>
      </c>
      <c r="I22161">
        <v>131</v>
      </c>
      <c r="J22161">
        <v>1</v>
      </c>
      <c r="K22161">
        <v>127</v>
      </c>
      <c r="L22161">
        <v>209</v>
      </c>
      <c r="M22161">
        <v>1</v>
      </c>
      <c r="N22161">
        <v>1.0986000000000001E-28</v>
      </c>
      <c r="O22161">
        <v>305</v>
      </c>
    </row>
    <row r="22162" spans="1:15" x14ac:dyDescent="0.25">
      <c r="A22162" t="s">
        <v>22175</v>
      </c>
      <c r="B22162">
        <v>682</v>
      </c>
      <c r="C22162" s="1" t="str">
        <f>HYPERLINK("http://www.rosaceae.org/gb/gbrowse/malus_x_domestica/?name=MDP0000312705","MDP0000312705")</f>
        <v>MDP0000312705</v>
      </c>
      <c r="D22162">
        <v>72.61</v>
      </c>
      <c r="E22162">
        <v>650</v>
      </c>
      <c r="F22162">
        <v>178</v>
      </c>
      <c r="G22162">
        <v>2</v>
      </c>
      <c r="H22162">
        <v>35</v>
      </c>
      <c r="I22162">
        <v>682</v>
      </c>
      <c r="J22162">
        <v>1</v>
      </c>
      <c r="K22162">
        <v>50</v>
      </c>
      <c r="L22162">
        <v>699</v>
      </c>
      <c r="M22162">
        <v>1</v>
      </c>
      <c r="N22162">
        <v>0</v>
      </c>
      <c r="O22162">
        <v>2578</v>
      </c>
    </row>
    <row r="22163" spans="1:15" x14ac:dyDescent="0.25">
      <c r="A22163" t="s">
        <v>22176</v>
      </c>
      <c r="B22163">
        <v>181</v>
      </c>
      <c r="C22163" s="1" t="str">
        <f>HYPERLINK("http://www.rosaceae.org/gb/gbrowse/malus_x_domestica/?name=MDP0000463584","MDP0000463584")</f>
        <v>MDP0000463584</v>
      </c>
      <c r="D22163">
        <v>50.75</v>
      </c>
      <c r="E22163">
        <v>199</v>
      </c>
      <c r="F22163">
        <v>98</v>
      </c>
      <c r="G22163">
        <v>42</v>
      </c>
      <c r="H22163">
        <v>5</v>
      </c>
      <c r="I22163">
        <v>161</v>
      </c>
      <c r="J22163">
        <v>1</v>
      </c>
      <c r="K22163">
        <v>9</v>
      </c>
      <c r="L22163">
        <v>207</v>
      </c>
      <c r="M22163">
        <v>1</v>
      </c>
      <c r="N22163">
        <v>8.6349499999999999E-48</v>
      </c>
      <c r="O22163">
        <v>473</v>
      </c>
    </row>
    <row r="22164" spans="1:15" x14ac:dyDescent="0.25">
      <c r="A22164" t="s">
        <v>22177</v>
      </c>
      <c r="B22164">
        <v>434</v>
      </c>
      <c r="C22164" s="1" t="str">
        <f>HYPERLINK("http://www.rosaceae.org/gb/gbrowse/malus_x_domestica/?name=MDP0000188292","MDP0000188292")</f>
        <v>MDP0000188292</v>
      </c>
      <c r="D22164">
        <v>32.58</v>
      </c>
      <c r="E22164">
        <v>178</v>
      </c>
      <c r="F22164">
        <v>120</v>
      </c>
      <c r="G22164">
        <v>35</v>
      </c>
      <c r="H22164">
        <v>30</v>
      </c>
      <c r="I22164">
        <v>207</v>
      </c>
      <c r="J22164">
        <v>1</v>
      </c>
      <c r="K22164">
        <v>33</v>
      </c>
      <c r="L22164">
        <v>175</v>
      </c>
      <c r="M22164">
        <v>1</v>
      </c>
      <c r="N22164">
        <v>3.9167200000000002E-20</v>
      </c>
      <c r="O22164">
        <v>239</v>
      </c>
    </row>
    <row r="22165" spans="1:15" x14ac:dyDescent="0.25">
      <c r="A22165" t="s">
        <v>22178</v>
      </c>
      <c r="B22165">
        <v>172</v>
      </c>
      <c r="C22165" s="1" t="str">
        <f>HYPERLINK("http://www.rosaceae.org/gb/gbrowse/malus_x_domestica/?name=MDP0000906067","MDP0000906067")</f>
        <v>MDP0000906067</v>
      </c>
      <c r="D22165">
        <v>85</v>
      </c>
      <c r="E22165">
        <v>140</v>
      </c>
      <c r="F22165">
        <v>21</v>
      </c>
      <c r="G22165">
        <v>4</v>
      </c>
      <c r="H22165">
        <v>37</v>
      </c>
      <c r="I22165">
        <v>172</v>
      </c>
      <c r="J22165">
        <v>1</v>
      </c>
      <c r="K22165">
        <v>34</v>
      </c>
      <c r="L22165">
        <v>173</v>
      </c>
      <c r="M22165">
        <v>1</v>
      </c>
      <c r="N22165">
        <v>1.4466999999999999E-64</v>
      </c>
      <c r="O22165">
        <v>617</v>
      </c>
    </row>
    <row r="22166" spans="1:15" x14ac:dyDescent="0.25">
      <c r="A22166" t="s">
        <v>22179</v>
      </c>
      <c r="B22166">
        <v>326</v>
      </c>
      <c r="C22166" s="1" t="str">
        <f>HYPERLINK("http://www.rosaceae.org/gb/gbrowse/malus_x_domestica/?name=MDP0000422586","MDP0000422586")</f>
        <v>MDP0000422586</v>
      </c>
      <c r="D22166">
        <v>77.91</v>
      </c>
      <c r="E22166">
        <v>326</v>
      </c>
      <c r="F22166">
        <v>72</v>
      </c>
      <c r="G22166">
        <v>10</v>
      </c>
      <c r="H22166">
        <v>1</v>
      </c>
      <c r="I22166">
        <v>326</v>
      </c>
      <c r="J22166">
        <v>1</v>
      </c>
      <c r="K22166">
        <v>1</v>
      </c>
      <c r="L22166">
        <v>316</v>
      </c>
      <c r="M22166">
        <v>1</v>
      </c>
      <c r="N22166">
        <v>4.0360699999999999E-150</v>
      </c>
      <c r="O22166">
        <v>1359</v>
      </c>
    </row>
    <row r="22167" spans="1:15" x14ac:dyDescent="0.25">
      <c r="A22167" t="s">
        <v>22180</v>
      </c>
      <c r="B22167">
        <v>388</v>
      </c>
      <c r="C22167" s="1" t="str">
        <f>HYPERLINK("http://www.rosaceae.org/gb/gbrowse/malus_x_domestica/?name=MDP0000492916","MDP0000492916")</f>
        <v>MDP0000492916</v>
      </c>
      <c r="D22167">
        <v>74.650000000000006</v>
      </c>
      <c r="E22167">
        <v>363</v>
      </c>
      <c r="F22167">
        <v>92</v>
      </c>
      <c r="G22167">
        <v>6</v>
      </c>
      <c r="H22167">
        <v>24</v>
      </c>
      <c r="I22167">
        <v>380</v>
      </c>
      <c r="J22167">
        <v>1</v>
      </c>
      <c r="K22167">
        <v>39</v>
      </c>
      <c r="L22167">
        <v>401</v>
      </c>
      <c r="M22167">
        <v>1</v>
      </c>
      <c r="N22167">
        <v>5.9002299999999999E-154</v>
      </c>
      <c r="O22167">
        <v>1393</v>
      </c>
    </row>
    <row r="22168" spans="1:15" x14ac:dyDescent="0.25">
      <c r="A22168" t="s">
        <v>22181</v>
      </c>
      <c r="B22168">
        <v>519</v>
      </c>
      <c r="C22168" s="1" t="str">
        <f>HYPERLINK("http://www.rosaceae.org/gb/gbrowse/malus_x_domestica/?name=MDP0000454027","MDP0000454027")</f>
        <v>MDP0000454027</v>
      </c>
      <c r="D22168">
        <v>79.319999999999993</v>
      </c>
      <c r="E22168">
        <v>474</v>
      </c>
      <c r="F22168">
        <v>98</v>
      </c>
      <c r="G22168">
        <v>20</v>
      </c>
      <c r="H22168">
        <v>50</v>
      </c>
      <c r="I22168">
        <v>517</v>
      </c>
      <c r="J22168">
        <v>1</v>
      </c>
      <c r="K22168">
        <v>111</v>
      </c>
      <c r="L22168">
        <v>570</v>
      </c>
      <c r="M22168">
        <v>1</v>
      </c>
      <c r="N22168">
        <v>0</v>
      </c>
      <c r="O22168">
        <v>1926</v>
      </c>
    </row>
    <row r="22169" spans="1:15" x14ac:dyDescent="0.25">
      <c r="A22169" t="s">
        <v>22182</v>
      </c>
      <c r="B22169">
        <v>410</v>
      </c>
      <c r="C22169" s="1" t="str">
        <f>HYPERLINK("http://www.rosaceae.org/gb/gbrowse/malus_x_domestica/?name=MDP0000218600","MDP0000218600")</f>
        <v>MDP0000218600</v>
      </c>
      <c r="D22169">
        <v>58.35</v>
      </c>
      <c r="E22169">
        <v>389</v>
      </c>
      <c r="F22169">
        <v>162</v>
      </c>
      <c r="G22169">
        <v>21</v>
      </c>
      <c r="H22169">
        <v>26</v>
      </c>
      <c r="I22169">
        <v>410</v>
      </c>
      <c r="J22169">
        <v>1</v>
      </c>
      <c r="K22169">
        <v>247</v>
      </c>
      <c r="L22169">
        <v>618</v>
      </c>
      <c r="M22169">
        <v>1</v>
      </c>
      <c r="N22169">
        <v>1.5766200000000001E-105</v>
      </c>
      <c r="O22169">
        <v>976</v>
      </c>
    </row>
    <row r="22170" spans="1:15" x14ac:dyDescent="0.25">
      <c r="A22170" t="s">
        <v>22183</v>
      </c>
      <c r="B22170">
        <v>500</v>
      </c>
      <c r="C22170" s="1" t="str">
        <f>HYPERLINK("http://www.rosaceae.org/gb/gbrowse/malus_x_domestica/?name=MDP0000120176","MDP0000120176")</f>
        <v>MDP0000120176</v>
      </c>
      <c r="D22170">
        <v>60.8</v>
      </c>
      <c r="E22170">
        <v>500</v>
      </c>
      <c r="F22170">
        <v>196</v>
      </c>
      <c r="G22170">
        <v>8</v>
      </c>
      <c r="H22170">
        <v>2</v>
      </c>
      <c r="I22170">
        <v>500</v>
      </c>
      <c r="J22170">
        <v>1</v>
      </c>
      <c r="K22170">
        <v>81</v>
      </c>
      <c r="L22170">
        <v>573</v>
      </c>
      <c r="M22170">
        <v>1</v>
      </c>
      <c r="N22170">
        <v>8.3693500000000001E-177</v>
      </c>
      <c r="O22170">
        <v>1591</v>
      </c>
    </row>
    <row r="22171" spans="1:15" x14ac:dyDescent="0.25">
      <c r="A22171" t="s">
        <v>22184</v>
      </c>
      <c r="B22171">
        <v>218</v>
      </c>
      <c r="C22171" s="1" t="str">
        <f>HYPERLINK("http://www.rosaceae.org/gb/gbrowse/malus_x_domestica/?name=MDP0000286564","MDP0000286564")</f>
        <v>MDP0000286564</v>
      </c>
      <c r="D22171">
        <v>73.91</v>
      </c>
      <c r="E22171">
        <v>207</v>
      </c>
      <c r="F22171">
        <v>54</v>
      </c>
      <c r="G22171">
        <v>4</v>
      </c>
      <c r="H22171">
        <v>14</v>
      </c>
      <c r="I22171">
        <v>216</v>
      </c>
      <c r="J22171">
        <v>1</v>
      </c>
      <c r="K22171">
        <v>1</v>
      </c>
      <c r="L22171">
        <v>207</v>
      </c>
      <c r="M22171">
        <v>1</v>
      </c>
      <c r="N22171">
        <v>2.3616700000000001E-84</v>
      </c>
      <c r="O22171">
        <v>790</v>
      </c>
    </row>
    <row r="22172" spans="1:15" x14ac:dyDescent="0.25">
      <c r="A22172" t="s">
        <v>22185</v>
      </c>
      <c r="B22172">
        <v>203</v>
      </c>
      <c r="C22172" s="1" t="str">
        <f>HYPERLINK("http://www.rosaceae.org/gb/gbrowse/malus_x_domestica/?name=MDP0000259140","MDP0000259140")</f>
        <v>MDP0000259140</v>
      </c>
      <c r="D22172">
        <v>94.58</v>
      </c>
      <c r="E22172">
        <v>203</v>
      </c>
      <c r="F22172">
        <v>11</v>
      </c>
      <c r="G22172">
        <v>1</v>
      </c>
      <c r="H22172">
        <v>1</v>
      </c>
      <c r="I22172">
        <v>203</v>
      </c>
      <c r="J22172">
        <v>1</v>
      </c>
      <c r="K22172">
        <v>1</v>
      </c>
      <c r="L22172">
        <v>202</v>
      </c>
      <c r="M22172">
        <v>1</v>
      </c>
      <c r="N22172">
        <v>5.79271E-110</v>
      </c>
      <c r="O22172">
        <v>1010</v>
      </c>
    </row>
    <row r="22173" spans="1:15" x14ac:dyDescent="0.25">
      <c r="A22173" t="s">
        <v>22186</v>
      </c>
      <c r="B22173">
        <v>441</v>
      </c>
      <c r="C22173" s="1" t="str">
        <f>HYPERLINK("http://www.rosaceae.org/gb/gbrowse/malus_x_domestica/?name=MDP0000587731","MDP0000587731")</f>
        <v>MDP0000587731</v>
      </c>
      <c r="D22173">
        <v>57.51</v>
      </c>
      <c r="E22173">
        <v>459</v>
      </c>
      <c r="F22173">
        <v>195</v>
      </c>
      <c r="G22173">
        <v>25</v>
      </c>
      <c r="H22173">
        <v>1</v>
      </c>
      <c r="I22173">
        <v>441</v>
      </c>
      <c r="J22173">
        <v>1</v>
      </c>
      <c r="K22173">
        <v>1</v>
      </c>
      <c r="L22173">
        <v>452</v>
      </c>
      <c r="M22173">
        <v>1</v>
      </c>
      <c r="N22173">
        <v>2.8550700000000002E-124</v>
      </c>
      <c r="O22173">
        <v>1138</v>
      </c>
    </row>
    <row r="22174" spans="1:15" x14ac:dyDescent="0.25">
      <c r="A22174" t="s">
        <v>22187</v>
      </c>
      <c r="B22174">
        <v>1068</v>
      </c>
      <c r="C22174" s="1" t="str">
        <f>HYPERLINK("http://www.rosaceae.org/gb/gbrowse/malus_x_domestica/?name=MDP0000144996","MDP0000144996")</f>
        <v>MDP0000144996</v>
      </c>
      <c r="D22174">
        <v>69.59</v>
      </c>
      <c r="E22174">
        <v>1092</v>
      </c>
      <c r="F22174">
        <v>332</v>
      </c>
      <c r="G22174">
        <v>95</v>
      </c>
      <c r="H22174">
        <v>1</v>
      </c>
      <c r="I22174">
        <v>1068</v>
      </c>
      <c r="J22174">
        <v>1</v>
      </c>
      <c r="K22174">
        <v>1</v>
      </c>
      <c r="L22174">
        <v>1021</v>
      </c>
      <c r="M22174">
        <v>1</v>
      </c>
      <c r="N22174">
        <v>0</v>
      </c>
      <c r="O22174">
        <v>3756</v>
      </c>
    </row>
    <row r="22175" spans="1:15" x14ac:dyDescent="0.25">
      <c r="A22175" t="s">
        <v>22188</v>
      </c>
      <c r="B22175">
        <v>360</v>
      </c>
      <c r="C22175" s="1" t="str">
        <f>HYPERLINK("http://www.rosaceae.org/gb/gbrowse/malus_x_domestica/?name=MDP0000918577","MDP0000918577")</f>
        <v>MDP0000918577</v>
      </c>
      <c r="D22175">
        <v>52.88</v>
      </c>
      <c r="E22175">
        <v>208</v>
      </c>
      <c r="F22175">
        <v>98</v>
      </c>
      <c r="G22175">
        <v>19</v>
      </c>
      <c r="H22175">
        <v>4</v>
      </c>
      <c r="I22175">
        <v>192</v>
      </c>
      <c r="J22175">
        <v>1</v>
      </c>
      <c r="K22175">
        <v>21</v>
      </c>
      <c r="L22175">
        <v>228</v>
      </c>
      <c r="M22175">
        <v>1</v>
      </c>
      <c r="N22175">
        <v>1.8680700000000002E-49</v>
      </c>
      <c r="O22175">
        <v>491</v>
      </c>
    </row>
    <row r="22176" spans="1:15" x14ac:dyDescent="0.25">
      <c r="A22176" t="s">
        <v>22189</v>
      </c>
      <c r="B22176">
        <v>623</v>
      </c>
      <c r="C22176" s="1" t="str">
        <f>HYPERLINK("http://www.rosaceae.org/gb/gbrowse/malus_x_domestica/?name=MDP0000158370","MDP0000158370")</f>
        <v>MDP0000158370</v>
      </c>
      <c r="D22176">
        <v>80</v>
      </c>
      <c r="E22176">
        <v>110</v>
      </c>
      <c r="F22176">
        <v>22</v>
      </c>
      <c r="G22176">
        <v>2</v>
      </c>
      <c r="H22176">
        <v>77</v>
      </c>
      <c r="I22176">
        <v>184</v>
      </c>
      <c r="J22176">
        <v>1</v>
      </c>
      <c r="K22176">
        <v>59</v>
      </c>
      <c r="L22176">
        <v>168</v>
      </c>
      <c r="M22176">
        <v>1</v>
      </c>
      <c r="N22176">
        <v>1.9735700000000001E-47</v>
      </c>
      <c r="O22176">
        <v>476</v>
      </c>
    </row>
    <row r="22177" spans="1:15" x14ac:dyDescent="0.25">
      <c r="A22177" t="s">
        <v>22190</v>
      </c>
      <c r="B22177">
        <v>348</v>
      </c>
      <c r="C22177" s="1" t="str">
        <f>HYPERLINK("http://www.rosaceae.org/gb/gbrowse/malus_x_domestica/?name=MDP0000256936","MDP0000256936")</f>
        <v>MDP0000256936</v>
      </c>
      <c r="D22177">
        <v>84.7</v>
      </c>
      <c r="E22177">
        <v>353</v>
      </c>
      <c r="F22177">
        <v>54</v>
      </c>
      <c r="G22177">
        <v>11</v>
      </c>
      <c r="H22177">
        <v>1</v>
      </c>
      <c r="I22177">
        <v>347</v>
      </c>
      <c r="J22177">
        <v>1</v>
      </c>
      <c r="K22177">
        <v>1</v>
      </c>
      <c r="L22177">
        <v>348</v>
      </c>
      <c r="M22177">
        <v>1</v>
      </c>
      <c r="N22177">
        <v>4.7460700000000002E-176</v>
      </c>
      <c r="O22177">
        <v>1583</v>
      </c>
    </row>
    <row r="22178" spans="1:15" x14ac:dyDescent="0.25">
      <c r="A22178" t="s">
        <v>22191</v>
      </c>
      <c r="B22178">
        <v>416</v>
      </c>
      <c r="C22178" s="1" t="str">
        <f>HYPERLINK("http://www.rosaceae.org/gb/gbrowse/malus_x_domestica/?name=MDP0000186398","MDP0000186398")</f>
        <v>MDP0000186398</v>
      </c>
      <c r="D22178">
        <v>78.650000000000006</v>
      </c>
      <c r="E22178">
        <v>178</v>
      </c>
      <c r="F22178">
        <v>38</v>
      </c>
      <c r="G22178">
        <v>31</v>
      </c>
      <c r="H22178">
        <v>270</v>
      </c>
      <c r="I22178">
        <v>416</v>
      </c>
      <c r="J22178">
        <v>1</v>
      </c>
      <c r="K22178">
        <v>1</v>
      </c>
      <c r="L22178">
        <v>178</v>
      </c>
      <c r="M22178">
        <v>1</v>
      </c>
      <c r="N22178">
        <v>2.0333300000000001E-72</v>
      </c>
      <c r="O22178">
        <v>690</v>
      </c>
    </row>
    <row r="22179" spans="1:15" x14ac:dyDescent="0.25">
      <c r="A22179" t="s">
        <v>22192</v>
      </c>
      <c r="B22179">
        <v>974</v>
      </c>
      <c r="C22179" s="1" t="str">
        <f>HYPERLINK("http://www.rosaceae.org/gb/gbrowse/malus_x_domestica/?name=MDP0000298527","MDP0000298527")</f>
        <v>MDP0000298527</v>
      </c>
      <c r="D22179">
        <v>75.81</v>
      </c>
      <c r="E22179">
        <v>769</v>
      </c>
      <c r="F22179">
        <v>186</v>
      </c>
      <c r="G22179">
        <v>11</v>
      </c>
      <c r="H22179">
        <v>14</v>
      </c>
      <c r="I22179">
        <v>772</v>
      </c>
      <c r="J22179">
        <v>1</v>
      </c>
      <c r="K22179">
        <v>4</v>
      </c>
      <c r="L22179">
        <v>771</v>
      </c>
      <c r="M22179">
        <v>1</v>
      </c>
      <c r="N22179">
        <v>0</v>
      </c>
      <c r="O22179">
        <v>3139</v>
      </c>
    </row>
    <row r="22180" spans="1:15" x14ac:dyDescent="0.25">
      <c r="A22180" t="s">
        <v>22193</v>
      </c>
      <c r="B22180">
        <v>440</v>
      </c>
      <c r="C22180" s="1" t="str">
        <f>HYPERLINK("http://www.rosaceae.org/gb/gbrowse/malus_x_domestica/?name=MDP0000297059","MDP0000297059")</f>
        <v>MDP0000297059</v>
      </c>
      <c r="D22180">
        <v>21.22</v>
      </c>
      <c r="E22180">
        <v>344</v>
      </c>
      <c r="F22180">
        <v>271</v>
      </c>
      <c r="G22180">
        <v>54</v>
      </c>
      <c r="H22180">
        <v>13</v>
      </c>
      <c r="I22180">
        <v>326</v>
      </c>
      <c r="J22180">
        <v>1</v>
      </c>
      <c r="K22180">
        <v>8</v>
      </c>
      <c r="L22180">
        <v>327</v>
      </c>
      <c r="M22180">
        <v>1</v>
      </c>
      <c r="N22180">
        <v>2.25208E-11</v>
      </c>
      <c r="O22180">
        <v>164</v>
      </c>
    </row>
    <row r="22181" spans="1:15" x14ac:dyDescent="0.25">
      <c r="A22181" t="s">
        <v>22194</v>
      </c>
      <c r="B22181">
        <v>320</v>
      </c>
      <c r="C22181" s="1" t="str">
        <f>HYPERLINK("http://www.rosaceae.org/gb/gbrowse/malus_x_domestica/?name=MDP0000138669","MDP0000138669")</f>
        <v>MDP0000138669</v>
      </c>
      <c r="D22181">
        <v>53.26</v>
      </c>
      <c r="E22181">
        <v>291</v>
      </c>
      <c r="F22181">
        <v>136</v>
      </c>
      <c r="G22181">
        <v>25</v>
      </c>
      <c r="H22181">
        <v>34</v>
      </c>
      <c r="I22181">
        <v>320</v>
      </c>
      <c r="J22181">
        <v>1</v>
      </c>
      <c r="K22181">
        <v>35</v>
      </c>
      <c r="L22181">
        <v>304</v>
      </c>
      <c r="M22181">
        <v>1</v>
      </c>
      <c r="N22181">
        <v>5.8086600000000003E-66</v>
      </c>
      <c r="O22181">
        <v>633</v>
      </c>
    </row>
    <row r="22182" spans="1:15" x14ac:dyDescent="0.25">
      <c r="A22182" t="s">
        <v>22195</v>
      </c>
      <c r="B22182">
        <v>274</v>
      </c>
      <c r="C22182" s="1" t="str">
        <f>HYPERLINK("http://www.rosaceae.org/gb/gbrowse/malus_x_domestica/?name=MDP0000717197","MDP0000717197")</f>
        <v>MDP0000717197</v>
      </c>
      <c r="D22182">
        <v>61.87</v>
      </c>
      <c r="E22182">
        <v>278</v>
      </c>
      <c r="F22182">
        <v>106</v>
      </c>
      <c r="G22182">
        <v>4</v>
      </c>
      <c r="H22182">
        <v>1</v>
      </c>
      <c r="I22182">
        <v>274</v>
      </c>
      <c r="J22182">
        <v>1</v>
      </c>
      <c r="K22182">
        <v>1</v>
      </c>
      <c r="L22182">
        <v>278</v>
      </c>
      <c r="M22182">
        <v>1</v>
      </c>
      <c r="N22182">
        <v>2.0760200000000001E-92</v>
      </c>
      <c r="O22182">
        <v>860</v>
      </c>
    </row>
    <row r="22183" spans="1:15" x14ac:dyDescent="0.25">
      <c r="A22183" t="s">
        <v>22196</v>
      </c>
      <c r="B22183">
        <v>158</v>
      </c>
      <c r="C22183" s="1" t="str">
        <f>HYPERLINK("http://www.rosaceae.org/gb/gbrowse/malus_x_domestica/?name=MDP0000129163","MDP0000129163")</f>
        <v>MDP0000129163</v>
      </c>
      <c r="D22183">
        <v>87.5</v>
      </c>
      <c r="E22183">
        <v>120</v>
      </c>
      <c r="F22183">
        <v>15</v>
      </c>
      <c r="G22183">
        <v>0</v>
      </c>
      <c r="H22183">
        <v>39</v>
      </c>
      <c r="I22183">
        <v>158</v>
      </c>
      <c r="J22183">
        <v>1</v>
      </c>
      <c r="K22183">
        <v>39</v>
      </c>
      <c r="L22183">
        <v>158</v>
      </c>
      <c r="M22183">
        <v>1</v>
      </c>
      <c r="N22183">
        <v>1.8287700000000001E-60</v>
      </c>
      <c r="O22183">
        <v>581</v>
      </c>
    </row>
    <row r="22184" spans="1:15" x14ac:dyDescent="0.25">
      <c r="A22184" t="s">
        <v>22197</v>
      </c>
      <c r="B22184">
        <v>252</v>
      </c>
      <c r="C22184" s="1" t="str">
        <f>HYPERLINK("http://www.rosaceae.org/gb/gbrowse/malus_x_domestica/?name=MDP0000186861","MDP0000186861")</f>
        <v>MDP0000186861</v>
      </c>
      <c r="D22184">
        <v>48.45</v>
      </c>
      <c r="E22184">
        <v>194</v>
      </c>
      <c r="F22184">
        <v>100</v>
      </c>
      <c r="G22184">
        <v>51</v>
      </c>
      <c r="H22184">
        <v>1</v>
      </c>
      <c r="I22184">
        <v>143</v>
      </c>
      <c r="J22184">
        <v>1</v>
      </c>
      <c r="K22184">
        <v>29</v>
      </c>
      <c r="L22184">
        <v>222</v>
      </c>
      <c r="M22184">
        <v>1</v>
      </c>
      <c r="N22184">
        <v>5.0572999999999997E-38</v>
      </c>
      <c r="O22184">
        <v>391</v>
      </c>
    </row>
    <row r="22185" spans="1:15" x14ac:dyDescent="0.25">
      <c r="A22185" t="s">
        <v>22198</v>
      </c>
      <c r="B22185">
        <v>284</v>
      </c>
      <c r="C22185" s="1" t="str">
        <f>HYPERLINK("http://www.rosaceae.org/gb/gbrowse/malus_x_domestica/?name=MDP0000134732","MDP0000134732")</f>
        <v>MDP0000134732</v>
      </c>
      <c r="D22185">
        <v>41.42</v>
      </c>
      <c r="E22185">
        <v>210</v>
      </c>
      <c r="F22185">
        <v>123</v>
      </c>
      <c r="G22185">
        <v>27</v>
      </c>
      <c r="H22185">
        <v>72</v>
      </c>
      <c r="I22185">
        <v>271</v>
      </c>
      <c r="J22185">
        <v>1</v>
      </c>
      <c r="K22185">
        <v>567</v>
      </c>
      <c r="L22185">
        <v>759</v>
      </c>
      <c r="M22185">
        <v>1</v>
      </c>
      <c r="N22185">
        <v>1.75435E-33</v>
      </c>
      <c r="O22185">
        <v>352</v>
      </c>
    </row>
    <row r="22186" spans="1:15" x14ac:dyDescent="0.25">
      <c r="A22186" t="s">
        <v>22199</v>
      </c>
      <c r="B22186">
        <v>410</v>
      </c>
      <c r="C22186" s="1" t="str">
        <f>HYPERLINK("http://www.rosaceae.org/gb/gbrowse/malus_x_domestica/?name=MDP0000276433","MDP0000276433")</f>
        <v>MDP0000276433</v>
      </c>
      <c r="D22186">
        <v>51.75</v>
      </c>
      <c r="E22186">
        <v>199</v>
      </c>
      <c r="F22186">
        <v>96</v>
      </c>
      <c r="G22186">
        <v>11</v>
      </c>
      <c r="H22186">
        <v>104</v>
      </c>
      <c r="I22186">
        <v>291</v>
      </c>
      <c r="J22186">
        <v>1</v>
      </c>
      <c r="K22186">
        <v>48</v>
      </c>
      <c r="L22186">
        <v>246</v>
      </c>
      <c r="M22186">
        <v>1</v>
      </c>
      <c r="N22186">
        <v>2.8472799999999999E-52</v>
      </c>
      <c r="O22186">
        <v>516</v>
      </c>
    </row>
    <row r="22187" spans="1:15" x14ac:dyDescent="0.25">
      <c r="A22187" t="s">
        <v>22200</v>
      </c>
      <c r="B22187">
        <v>510</v>
      </c>
      <c r="C22187" s="1" t="str">
        <f>HYPERLINK("http://www.rosaceae.org/gb/gbrowse/malus_x_domestica/?name=MDP0000290525","MDP0000290525")</f>
        <v>MDP0000290525</v>
      </c>
      <c r="D22187">
        <v>77.17</v>
      </c>
      <c r="E22187">
        <v>482</v>
      </c>
      <c r="F22187">
        <v>110</v>
      </c>
      <c r="G22187">
        <v>8</v>
      </c>
      <c r="H22187">
        <v>34</v>
      </c>
      <c r="I22187">
        <v>510</v>
      </c>
      <c r="J22187">
        <v>1</v>
      </c>
      <c r="K22187">
        <v>1</v>
      </c>
      <c r="L22187">
        <v>479</v>
      </c>
      <c r="M22187">
        <v>1</v>
      </c>
      <c r="N22187">
        <v>0</v>
      </c>
      <c r="O22187">
        <v>1930</v>
      </c>
    </row>
    <row r="22188" spans="1:15" x14ac:dyDescent="0.25">
      <c r="A22188" t="s">
        <v>22201</v>
      </c>
      <c r="B22188">
        <v>229</v>
      </c>
      <c r="C22188" s="1" t="str">
        <f>HYPERLINK("http://www.rosaceae.org/gb/gbrowse/malus_x_domestica/?name=MDP0000473154","MDP0000473154")</f>
        <v>MDP0000473154</v>
      </c>
      <c r="D22188">
        <v>58.59</v>
      </c>
      <c r="E22188">
        <v>128</v>
      </c>
      <c r="F22188">
        <v>53</v>
      </c>
      <c r="G22188">
        <v>3</v>
      </c>
      <c r="H22188">
        <v>105</v>
      </c>
      <c r="I22188">
        <v>229</v>
      </c>
      <c r="J22188">
        <v>1</v>
      </c>
      <c r="K22188">
        <v>934</v>
      </c>
      <c r="L22188">
        <v>1061</v>
      </c>
      <c r="M22188">
        <v>1</v>
      </c>
      <c r="N22188">
        <v>3.1599600000000001E-36</v>
      </c>
      <c r="O22188">
        <v>375</v>
      </c>
    </row>
    <row r="22189" spans="1:15" x14ac:dyDescent="0.25">
      <c r="A22189" t="s">
        <v>22202</v>
      </c>
      <c r="B22189">
        <v>1045</v>
      </c>
      <c r="C22189" s="1" t="str">
        <f>HYPERLINK("http://www.rosaceae.org/gb/gbrowse/malus_x_domestica/?name=MDP0000303908","MDP0000303908")</f>
        <v>MDP0000303908</v>
      </c>
      <c r="D22189">
        <v>44.03</v>
      </c>
      <c r="E22189">
        <v>243</v>
      </c>
      <c r="F22189">
        <v>136</v>
      </c>
      <c r="G22189">
        <v>14</v>
      </c>
      <c r="H22189">
        <v>815</v>
      </c>
      <c r="I22189">
        <v>1045</v>
      </c>
      <c r="J22189">
        <v>1</v>
      </c>
      <c r="K22189">
        <v>85</v>
      </c>
      <c r="L22189">
        <v>325</v>
      </c>
      <c r="M22189">
        <v>1</v>
      </c>
      <c r="N22189">
        <v>7.5995599999999996E-47</v>
      </c>
      <c r="O22189">
        <v>474</v>
      </c>
    </row>
    <row r="22190" spans="1:15" x14ac:dyDescent="0.25">
      <c r="A22190" t="s">
        <v>22203</v>
      </c>
      <c r="B22190">
        <v>198</v>
      </c>
      <c r="C22190" s="1" t="str">
        <f>HYPERLINK("http://www.rosaceae.org/gb/gbrowse/malus_x_domestica/?name=MDP0000729320","MDP0000729320")</f>
        <v>MDP0000729320</v>
      </c>
      <c r="D22190">
        <v>52.29</v>
      </c>
      <c r="E22190">
        <v>218</v>
      </c>
      <c r="F22190">
        <v>104</v>
      </c>
      <c r="G22190">
        <v>22</v>
      </c>
      <c r="H22190">
        <v>2</v>
      </c>
      <c r="I22190">
        <v>197</v>
      </c>
      <c r="J22190">
        <v>1</v>
      </c>
      <c r="K22190">
        <v>193</v>
      </c>
      <c r="L22190">
        <v>410</v>
      </c>
      <c r="M22190">
        <v>1</v>
      </c>
      <c r="N22190">
        <v>6.9554999999999996E-59</v>
      </c>
      <c r="O22190">
        <v>569</v>
      </c>
    </row>
    <row r="22191" spans="1:15" x14ac:dyDescent="0.25">
      <c r="A22191" t="s">
        <v>22204</v>
      </c>
      <c r="B22191">
        <v>343</v>
      </c>
      <c r="C22191" s="1" t="str">
        <f>HYPERLINK("http://www.rosaceae.org/gb/gbrowse/malus_x_domestica/?name=MDP0000251865","MDP0000251865")</f>
        <v>MDP0000251865</v>
      </c>
      <c r="D22191">
        <v>32.67</v>
      </c>
      <c r="E22191">
        <v>355</v>
      </c>
      <c r="F22191">
        <v>239</v>
      </c>
      <c r="G22191">
        <v>91</v>
      </c>
      <c r="H22191">
        <v>10</v>
      </c>
      <c r="I22191">
        <v>301</v>
      </c>
      <c r="J22191">
        <v>1</v>
      </c>
      <c r="K22191">
        <v>160</v>
      </c>
      <c r="L22191">
        <v>486</v>
      </c>
      <c r="M22191">
        <v>1</v>
      </c>
      <c r="N22191">
        <v>1.1332599999999999E-37</v>
      </c>
      <c r="O22191">
        <v>390</v>
      </c>
    </row>
    <row r="22192" spans="1:15" x14ac:dyDescent="0.25">
      <c r="A22192" t="s">
        <v>22205</v>
      </c>
      <c r="B22192">
        <v>502</v>
      </c>
      <c r="C22192" s="1" t="str">
        <f>HYPERLINK("http://www.rosaceae.org/gb/gbrowse/malus_x_domestica/?name=MDP0000279446","MDP0000279446")</f>
        <v>MDP0000279446</v>
      </c>
      <c r="D22192">
        <v>74.790000000000006</v>
      </c>
      <c r="E22192">
        <v>488</v>
      </c>
      <c r="F22192">
        <v>123</v>
      </c>
      <c r="G22192">
        <v>0</v>
      </c>
      <c r="H22192">
        <v>1</v>
      </c>
      <c r="I22192">
        <v>488</v>
      </c>
      <c r="J22192">
        <v>1</v>
      </c>
      <c r="K22192">
        <v>81</v>
      </c>
      <c r="L22192">
        <v>568</v>
      </c>
      <c r="M22192">
        <v>1</v>
      </c>
      <c r="N22192">
        <v>0</v>
      </c>
      <c r="O22192">
        <v>1967</v>
      </c>
    </row>
    <row r="22193" spans="1:15" x14ac:dyDescent="0.25">
      <c r="A22193" t="s">
        <v>22206</v>
      </c>
      <c r="B22193">
        <v>231</v>
      </c>
      <c r="C22193" s="1" t="str">
        <f>HYPERLINK("http://www.rosaceae.org/gb/gbrowse/malus_x_domestica/?name=MDP0000212040","MDP0000212040")</f>
        <v>MDP0000212040</v>
      </c>
      <c r="D22193">
        <v>65.28</v>
      </c>
      <c r="E22193">
        <v>193</v>
      </c>
      <c r="F22193">
        <v>67</v>
      </c>
      <c r="G22193">
        <v>12</v>
      </c>
      <c r="H22193">
        <v>26</v>
      </c>
      <c r="I22193">
        <v>218</v>
      </c>
      <c r="J22193">
        <v>1</v>
      </c>
      <c r="K22193">
        <v>22</v>
      </c>
      <c r="L22193">
        <v>202</v>
      </c>
      <c r="M22193">
        <v>1</v>
      </c>
      <c r="N22193">
        <v>1.5806299999999998E-61</v>
      </c>
      <c r="O22193">
        <v>593</v>
      </c>
    </row>
    <row r="22194" spans="1:15" x14ac:dyDescent="0.25">
      <c r="A22194" t="s">
        <v>22207</v>
      </c>
      <c r="B22194">
        <v>575</v>
      </c>
      <c r="C22194" s="1" t="str">
        <f>HYPERLINK("http://www.rosaceae.org/gb/gbrowse/malus_x_domestica/?name=MDP0000786706","MDP0000786706")</f>
        <v>MDP0000786706</v>
      </c>
      <c r="D22194">
        <v>81.87</v>
      </c>
      <c r="E22194">
        <v>513</v>
      </c>
      <c r="F22194">
        <v>93</v>
      </c>
      <c r="G22194">
        <v>0</v>
      </c>
      <c r="H22194">
        <v>63</v>
      </c>
      <c r="I22194">
        <v>575</v>
      </c>
      <c r="J22194">
        <v>1</v>
      </c>
      <c r="K22194">
        <v>4</v>
      </c>
      <c r="L22194">
        <v>516</v>
      </c>
      <c r="M22194">
        <v>1</v>
      </c>
      <c r="N22194">
        <v>0</v>
      </c>
      <c r="O22194">
        <v>2326</v>
      </c>
    </row>
    <row r="22195" spans="1:15" x14ac:dyDescent="0.25">
      <c r="A22195" t="s">
        <v>22208</v>
      </c>
      <c r="B22195">
        <v>497</v>
      </c>
      <c r="C22195" s="1" t="str">
        <f>HYPERLINK("http://www.rosaceae.org/gb/gbrowse/malus_x_domestica/?name=MDP0000282778","MDP0000282778")</f>
        <v>MDP0000282778</v>
      </c>
      <c r="D22195">
        <v>45.99</v>
      </c>
      <c r="E22195">
        <v>474</v>
      </c>
      <c r="F22195">
        <v>256</v>
      </c>
      <c r="G22195">
        <v>11</v>
      </c>
      <c r="H22195">
        <v>2</v>
      </c>
      <c r="I22195">
        <v>470</v>
      </c>
      <c r="J22195">
        <v>1</v>
      </c>
      <c r="K22195">
        <v>9</v>
      </c>
      <c r="L22195">
        <v>476</v>
      </c>
      <c r="M22195">
        <v>1</v>
      </c>
      <c r="N22195">
        <v>1.5186099999999999E-109</v>
      </c>
      <c r="O22195">
        <v>1011</v>
      </c>
    </row>
    <row r="22196" spans="1:15" x14ac:dyDescent="0.25">
      <c r="A22196" t="s">
        <v>22209</v>
      </c>
      <c r="B22196">
        <v>86</v>
      </c>
      <c r="C22196" s="1" t="str">
        <f>HYPERLINK("http://www.rosaceae.org/gb/gbrowse/malus_x_domestica/?name=MDP0000250222","MDP0000250222")</f>
        <v>MDP0000250222</v>
      </c>
      <c r="D22196">
        <v>50</v>
      </c>
      <c r="E22196">
        <v>66</v>
      </c>
      <c r="F22196">
        <v>33</v>
      </c>
      <c r="G22196">
        <v>2</v>
      </c>
      <c r="H22196">
        <v>3</v>
      </c>
      <c r="I22196">
        <v>66</v>
      </c>
      <c r="J22196">
        <v>1</v>
      </c>
      <c r="K22196">
        <v>358</v>
      </c>
      <c r="L22196">
        <v>423</v>
      </c>
      <c r="M22196">
        <v>1</v>
      </c>
      <c r="N22196">
        <v>8.7127300000000006E-11</v>
      </c>
      <c r="O22196">
        <v>150</v>
      </c>
    </row>
    <row r="22197" spans="1:15" x14ac:dyDescent="0.25">
      <c r="A22197" t="s">
        <v>22210</v>
      </c>
      <c r="B22197">
        <v>96</v>
      </c>
      <c r="C22197" s="1" t="str">
        <f>HYPERLINK("http://www.rosaceae.org/gb/gbrowse/malus_x_domestica/?name=MDP0000123229","MDP0000123229")</f>
        <v>MDP0000123229</v>
      </c>
      <c r="D22197">
        <v>92.98</v>
      </c>
      <c r="E22197">
        <v>57</v>
      </c>
      <c r="F22197">
        <v>4</v>
      </c>
      <c r="G22197">
        <v>1</v>
      </c>
      <c r="H22197">
        <v>26</v>
      </c>
      <c r="I22197">
        <v>81</v>
      </c>
      <c r="J22197">
        <v>1</v>
      </c>
      <c r="K22197">
        <v>27</v>
      </c>
      <c r="L22197">
        <v>83</v>
      </c>
      <c r="M22197">
        <v>1</v>
      </c>
      <c r="N22197">
        <v>7.9557900000000003E-25</v>
      </c>
      <c r="O22197">
        <v>271</v>
      </c>
    </row>
    <row r="22198" spans="1:15" x14ac:dyDescent="0.25">
      <c r="A22198" t="s">
        <v>22211</v>
      </c>
      <c r="B22198">
        <v>225</v>
      </c>
      <c r="C22198" s="1" t="str">
        <f>HYPERLINK("http://www.rosaceae.org/gb/gbrowse/malus_x_domestica/?name=MDP0000205052","MDP0000205052")</f>
        <v>MDP0000205052</v>
      </c>
      <c r="D22198">
        <v>60.36</v>
      </c>
      <c r="E22198">
        <v>222</v>
      </c>
      <c r="F22198">
        <v>88</v>
      </c>
      <c r="G22198">
        <v>19</v>
      </c>
      <c r="H22198">
        <v>6</v>
      </c>
      <c r="I22198">
        <v>216</v>
      </c>
      <c r="J22198">
        <v>1</v>
      </c>
      <c r="K22198">
        <v>11</v>
      </c>
      <c r="L22198">
        <v>224</v>
      </c>
      <c r="M22198">
        <v>1</v>
      </c>
      <c r="N22198">
        <v>1.2036599999999999E-62</v>
      </c>
      <c r="O22198">
        <v>603</v>
      </c>
    </row>
    <row r="22199" spans="1:15" x14ac:dyDescent="0.25">
      <c r="A22199" t="s">
        <v>22212</v>
      </c>
      <c r="B22199">
        <v>353</v>
      </c>
      <c r="C22199" s="1" t="str">
        <f>HYPERLINK("http://www.rosaceae.org/gb/gbrowse/malus_x_domestica/?name=MDP0000227333","MDP0000227333")</f>
        <v>MDP0000227333</v>
      </c>
      <c r="D22199">
        <v>69.81</v>
      </c>
      <c r="E22199">
        <v>371</v>
      </c>
      <c r="F22199">
        <v>112</v>
      </c>
      <c r="G22199">
        <v>23</v>
      </c>
      <c r="H22199">
        <v>1</v>
      </c>
      <c r="I22199">
        <v>353</v>
      </c>
      <c r="J22199">
        <v>1</v>
      </c>
      <c r="K22199">
        <v>77</v>
      </c>
      <c r="L22199">
        <v>442</v>
      </c>
      <c r="M22199">
        <v>1</v>
      </c>
      <c r="N22199">
        <v>8.13234E-144</v>
      </c>
      <c r="O22199">
        <v>1305</v>
      </c>
    </row>
    <row r="22200" spans="1:15" x14ac:dyDescent="0.25">
      <c r="A22200" t="s">
        <v>22213</v>
      </c>
      <c r="B22200">
        <v>513</v>
      </c>
      <c r="C22200" s="1" t="str">
        <f>HYPERLINK("http://www.rosaceae.org/gb/gbrowse/malus_x_domestica/?name=MDP0000670847","MDP0000670847")</f>
        <v>MDP0000670847</v>
      </c>
      <c r="D22200">
        <v>76.94</v>
      </c>
      <c r="E22200">
        <v>373</v>
      </c>
      <c r="F22200">
        <v>86</v>
      </c>
      <c r="G22200">
        <v>3</v>
      </c>
      <c r="H22200">
        <v>1</v>
      </c>
      <c r="I22200">
        <v>371</v>
      </c>
      <c r="J22200">
        <v>1</v>
      </c>
      <c r="K22200">
        <v>7</v>
      </c>
      <c r="L22200">
        <v>378</v>
      </c>
      <c r="M22200">
        <v>1</v>
      </c>
      <c r="N22200">
        <v>7.5772599999999994E-172</v>
      </c>
      <c r="O22200">
        <v>1549</v>
      </c>
    </row>
    <row r="22201" spans="1:15" x14ac:dyDescent="0.25">
      <c r="A22201" t="s">
        <v>22214</v>
      </c>
      <c r="B22201">
        <v>335</v>
      </c>
      <c r="C22201" s="1" t="str">
        <f>HYPERLINK("http://www.rosaceae.org/gb/gbrowse/malus_x_domestica/?name=MDP0000314006","MDP0000314006")</f>
        <v>MDP0000314006</v>
      </c>
      <c r="D22201">
        <v>76.11</v>
      </c>
      <c r="E22201">
        <v>314</v>
      </c>
      <c r="F22201">
        <v>75</v>
      </c>
      <c r="G22201">
        <v>6</v>
      </c>
      <c r="H22201">
        <v>27</v>
      </c>
      <c r="I22201">
        <v>335</v>
      </c>
      <c r="J22201">
        <v>1</v>
      </c>
      <c r="K22201">
        <v>111</v>
      </c>
      <c r="L22201">
        <v>423</v>
      </c>
      <c r="M22201">
        <v>1</v>
      </c>
      <c r="N22201">
        <v>1.10807E-141</v>
      </c>
      <c r="O22201">
        <v>1286</v>
      </c>
    </row>
    <row r="22202" spans="1:15" x14ac:dyDescent="0.25">
      <c r="A22202" t="s">
        <v>22215</v>
      </c>
      <c r="B22202">
        <v>281</v>
      </c>
      <c r="C22202" s="1" t="str">
        <f>HYPERLINK("http://www.rosaceae.org/gb/gbrowse/malus_x_domestica/?name=MDP0000122951","MDP0000122951")</f>
        <v>MDP0000122951</v>
      </c>
      <c r="D22202">
        <v>49.85</v>
      </c>
      <c r="E22202">
        <v>337</v>
      </c>
      <c r="F22202">
        <v>169</v>
      </c>
      <c r="G22202">
        <v>61</v>
      </c>
      <c r="H22202">
        <v>1</v>
      </c>
      <c r="I22202">
        <v>281</v>
      </c>
      <c r="J22202">
        <v>1</v>
      </c>
      <c r="K22202">
        <v>1</v>
      </c>
      <c r="L22202">
        <v>332</v>
      </c>
      <c r="M22202">
        <v>1</v>
      </c>
      <c r="N22202">
        <v>2.6708999999999998E-80</v>
      </c>
      <c r="O22202">
        <v>756</v>
      </c>
    </row>
    <row r="22203" spans="1:15" x14ac:dyDescent="0.25">
      <c r="A22203" t="s">
        <v>22216</v>
      </c>
      <c r="B22203">
        <v>125</v>
      </c>
      <c r="C22203" s="1" t="str">
        <f>HYPERLINK("http://www.rosaceae.org/gb/gbrowse/malus_x_domestica/?name=MDP0000572534","MDP0000572534")</f>
        <v>MDP0000572534</v>
      </c>
      <c r="D22203">
        <v>72</v>
      </c>
      <c r="E22203">
        <v>100</v>
      </c>
      <c r="F22203">
        <v>28</v>
      </c>
      <c r="G22203">
        <v>0</v>
      </c>
      <c r="H22203">
        <v>1</v>
      </c>
      <c r="I22203">
        <v>100</v>
      </c>
      <c r="J22203">
        <v>1</v>
      </c>
      <c r="K22203">
        <v>1</v>
      </c>
      <c r="L22203">
        <v>100</v>
      </c>
      <c r="M22203">
        <v>1</v>
      </c>
      <c r="N22203">
        <v>1.40761E-36</v>
      </c>
      <c r="O22203">
        <v>373</v>
      </c>
    </row>
    <row r="22204" spans="1:15" x14ac:dyDescent="0.25">
      <c r="A22204" t="s">
        <v>22217</v>
      </c>
      <c r="B22204">
        <v>1068</v>
      </c>
      <c r="C22204" s="1" t="str">
        <f>HYPERLINK("http://www.rosaceae.org/gb/gbrowse/malus_x_domestica/?name=MDP0000320119","MDP0000320119")</f>
        <v>MDP0000320119</v>
      </c>
      <c r="D22204">
        <v>61.48</v>
      </c>
      <c r="E22204">
        <v>1075</v>
      </c>
      <c r="F22204">
        <v>414</v>
      </c>
      <c r="G22204">
        <v>86</v>
      </c>
      <c r="H22204">
        <v>1</v>
      </c>
      <c r="I22204">
        <v>1068</v>
      </c>
      <c r="J22204">
        <v>1</v>
      </c>
      <c r="K22204">
        <v>1</v>
      </c>
      <c r="L22204">
        <v>996</v>
      </c>
      <c r="M22204">
        <v>1</v>
      </c>
      <c r="N22204">
        <v>0</v>
      </c>
      <c r="O22204">
        <v>3106</v>
      </c>
    </row>
    <row r="22205" spans="1:15" x14ac:dyDescent="0.25">
      <c r="A22205" t="s">
        <v>22218</v>
      </c>
      <c r="B22205">
        <v>786</v>
      </c>
      <c r="C22205" s="1" t="str">
        <f>HYPERLINK("http://www.rosaceae.org/gb/gbrowse/malus_x_domestica/?name=MDP0000262685","MDP0000262685")</f>
        <v>MDP0000262685</v>
      </c>
      <c r="D22205">
        <v>76.790000000000006</v>
      </c>
      <c r="E22205">
        <v>793</v>
      </c>
      <c r="F22205">
        <v>184</v>
      </c>
      <c r="G22205">
        <v>9</v>
      </c>
      <c r="H22205">
        <v>1</v>
      </c>
      <c r="I22205">
        <v>786</v>
      </c>
      <c r="J22205">
        <v>1</v>
      </c>
      <c r="K22205">
        <v>1</v>
      </c>
      <c r="L22205">
        <v>791</v>
      </c>
      <c r="M22205">
        <v>1</v>
      </c>
      <c r="N22205">
        <v>0</v>
      </c>
      <c r="O22205">
        <v>3251</v>
      </c>
    </row>
    <row r="22206" spans="1:15" x14ac:dyDescent="0.25">
      <c r="A22206" t="s">
        <v>22219</v>
      </c>
      <c r="B22206">
        <v>232</v>
      </c>
      <c r="C22206" s="1" t="str">
        <f>HYPERLINK("http://www.rosaceae.org/gb/gbrowse/malus_x_domestica/?name=MDP0000250222","MDP0000250222")</f>
        <v>MDP0000250222</v>
      </c>
      <c r="D22206">
        <v>62.85</v>
      </c>
      <c r="E22206">
        <v>70</v>
      </c>
      <c r="F22206">
        <v>26</v>
      </c>
      <c r="G22206">
        <v>1</v>
      </c>
      <c r="H22206">
        <v>94</v>
      </c>
      <c r="I22206">
        <v>162</v>
      </c>
      <c r="J22206">
        <v>1</v>
      </c>
      <c r="K22206">
        <v>388</v>
      </c>
      <c r="L22206">
        <v>457</v>
      </c>
      <c r="M22206">
        <v>1</v>
      </c>
      <c r="N22206">
        <v>1.57144E-21</v>
      </c>
      <c r="O22206">
        <v>248</v>
      </c>
    </row>
    <row r="22207" spans="1:15" x14ac:dyDescent="0.25">
      <c r="A22207" t="s">
        <v>22220</v>
      </c>
      <c r="B22207">
        <v>123</v>
      </c>
      <c r="C22207" s="1" t="str">
        <f>HYPERLINK("http://www.rosaceae.org/gb/gbrowse/malus_x_domestica/?name=MDP0000338330","MDP0000338330")</f>
        <v>MDP0000338330</v>
      </c>
      <c r="D22207">
        <v>92.68</v>
      </c>
      <c r="E22207">
        <v>41</v>
      </c>
      <c r="F22207">
        <v>3</v>
      </c>
      <c r="G22207">
        <v>0</v>
      </c>
      <c r="H22207">
        <v>1</v>
      </c>
      <c r="I22207">
        <v>41</v>
      </c>
      <c r="J22207">
        <v>1</v>
      </c>
      <c r="K22207">
        <v>1</v>
      </c>
      <c r="L22207">
        <v>41</v>
      </c>
      <c r="M22207">
        <v>1</v>
      </c>
      <c r="N22207">
        <v>3.6605100000000002E-16</v>
      </c>
      <c r="O22207">
        <v>197</v>
      </c>
    </row>
    <row r="22208" spans="1:15" x14ac:dyDescent="0.25">
      <c r="A22208" t="s">
        <v>22221</v>
      </c>
      <c r="B22208">
        <v>93</v>
      </c>
      <c r="C22208" s="1" t="str">
        <f>HYPERLINK("http://www.rosaceae.org/gb/gbrowse/malus_x_domestica/?name=MDP0000264668","MDP0000264668")</f>
        <v>MDP0000264668</v>
      </c>
      <c r="D22208">
        <v>75.3</v>
      </c>
      <c r="E22208">
        <v>81</v>
      </c>
      <c r="F22208">
        <v>20</v>
      </c>
      <c r="G22208">
        <v>2</v>
      </c>
      <c r="H22208">
        <v>5</v>
      </c>
      <c r="I22208">
        <v>85</v>
      </c>
      <c r="J22208">
        <v>1</v>
      </c>
      <c r="K22208">
        <v>175</v>
      </c>
      <c r="L22208">
        <v>253</v>
      </c>
      <c r="M22208">
        <v>1</v>
      </c>
      <c r="N22208">
        <v>7.0235800000000003E-28</v>
      </c>
      <c r="O22208">
        <v>298</v>
      </c>
    </row>
    <row r="22209" spans="1:15" x14ac:dyDescent="0.25">
      <c r="A22209" t="s">
        <v>22222</v>
      </c>
      <c r="B22209">
        <v>807</v>
      </c>
      <c r="C22209" s="1" t="str">
        <f>HYPERLINK("http://www.rosaceae.org/gb/gbrowse/malus_x_domestica/?name=MDP0000277120","MDP0000277120")</f>
        <v>MDP0000277120</v>
      </c>
      <c r="D22209">
        <v>76.37</v>
      </c>
      <c r="E22209">
        <v>817</v>
      </c>
      <c r="F22209">
        <v>193</v>
      </c>
      <c r="G22209">
        <v>15</v>
      </c>
      <c r="H22209">
        <v>3</v>
      </c>
      <c r="I22209">
        <v>807</v>
      </c>
      <c r="J22209">
        <v>1</v>
      </c>
      <c r="K22209">
        <v>162</v>
      </c>
      <c r="L22209">
        <v>975</v>
      </c>
      <c r="M22209">
        <v>1</v>
      </c>
      <c r="N22209">
        <v>0</v>
      </c>
      <c r="O22209">
        <v>3253</v>
      </c>
    </row>
    <row r="22210" spans="1:15" x14ac:dyDescent="0.25">
      <c r="A22210" t="s">
        <v>22223</v>
      </c>
      <c r="B22210">
        <v>653</v>
      </c>
      <c r="C22210" s="1" t="str">
        <f>HYPERLINK("http://www.rosaceae.org/gb/gbrowse/malus_x_domestica/?name=MDP0000376042","MDP0000376042")</f>
        <v>MDP0000376042</v>
      </c>
      <c r="D22210">
        <v>50.86</v>
      </c>
      <c r="E22210">
        <v>578</v>
      </c>
      <c r="F22210">
        <v>284</v>
      </c>
      <c r="G22210">
        <v>21</v>
      </c>
      <c r="H22210">
        <v>5</v>
      </c>
      <c r="I22210">
        <v>570</v>
      </c>
      <c r="J22210">
        <v>1</v>
      </c>
      <c r="K22210">
        <v>4</v>
      </c>
      <c r="L22210">
        <v>572</v>
      </c>
      <c r="M22210">
        <v>1</v>
      </c>
      <c r="N22210">
        <v>9.6955899999999999E-163</v>
      </c>
      <c r="O22210">
        <v>1471</v>
      </c>
    </row>
    <row r="22211" spans="1:15" x14ac:dyDescent="0.25">
      <c r="A22211" t="s">
        <v>22224</v>
      </c>
      <c r="B22211">
        <v>2475</v>
      </c>
      <c r="C22211" s="1" t="str">
        <f>HYPERLINK("http://www.rosaceae.org/gb/gbrowse/malus_x_domestica/?name=MDP0000144421","MDP0000144421")</f>
        <v>MDP0000144421</v>
      </c>
      <c r="D22211">
        <v>62.39</v>
      </c>
      <c r="E22211">
        <v>1888</v>
      </c>
      <c r="F22211">
        <v>710</v>
      </c>
      <c r="G22211">
        <v>82</v>
      </c>
      <c r="H22211">
        <v>652</v>
      </c>
      <c r="I22211">
        <v>2475</v>
      </c>
      <c r="J22211">
        <v>1</v>
      </c>
      <c r="K22211">
        <v>661</v>
      </c>
      <c r="L22211">
        <v>2530</v>
      </c>
      <c r="M22211">
        <v>1</v>
      </c>
      <c r="N22211">
        <v>0</v>
      </c>
      <c r="O22211">
        <v>5505</v>
      </c>
    </row>
    <row r="22212" spans="1:15" x14ac:dyDescent="0.25">
      <c r="A22212" t="s">
        <v>22225</v>
      </c>
      <c r="B22212">
        <v>348</v>
      </c>
      <c r="C22212" s="1" t="str">
        <f>HYPERLINK("http://www.rosaceae.org/gb/gbrowse/malus_x_domestica/?name=MDP0000718544","MDP0000718544")</f>
        <v>MDP0000718544</v>
      </c>
      <c r="D22212">
        <v>68.900000000000006</v>
      </c>
      <c r="E22212">
        <v>357</v>
      </c>
      <c r="F22212">
        <v>111</v>
      </c>
      <c r="G22212">
        <v>15</v>
      </c>
      <c r="H22212">
        <v>1</v>
      </c>
      <c r="I22212">
        <v>345</v>
      </c>
      <c r="J22212">
        <v>1</v>
      </c>
      <c r="K22212">
        <v>1</v>
      </c>
      <c r="L22212">
        <v>354</v>
      </c>
      <c r="M22212">
        <v>1</v>
      </c>
      <c r="N22212">
        <v>1.99993E-135</v>
      </c>
      <c r="O22212">
        <v>1233</v>
      </c>
    </row>
    <row r="22213" spans="1:15" x14ac:dyDescent="0.25">
      <c r="A22213" t="s">
        <v>22226</v>
      </c>
      <c r="B22213">
        <v>610</v>
      </c>
      <c r="C22213" s="1" t="str">
        <f>HYPERLINK("http://www.rosaceae.org/gb/gbrowse/malus_x_domestica/?name=MDP0000177378","MDP0000177378")</f>
        <v>MDP0000177378</v>
      </c>
      <c r="D22213">
        <v>58.54</v>
      </c>
      <c r="E22213">
        <v>620</v>
      </c>
      <c r="F22213">
        <v>257</v>
      </c>
      <c r="G22213">
        <v>21</v>
      </c>
      <c r="H22213">
        <v>1</v>
      </c>
      <c r="I22213">
        <v>610</v>
      </c>
      <c r="J22213">
        <v>1</v>
      </c>
      <c r="K22213">
        <v>1</v>
      </c>
      <c r="L22213">
        <v>609</v>
      </c>
      <c r="M22213">
        <v>1</v>
      </c>
      <c r="N22213">
        <v>0</v>
      </c>
      <c r="O22213">
        <v>1658</v>
      </c>
    </row>
    <row r="22214" spans="1:15" x14ac:dyDescent="0.25">
      <c r="A22214" t="s">
        <v>22227</v>
      </c>
      <c r="B22214">
        <v>274</v>
      </c>
      <c r="C22214" s="1" t="str">
        <f>HYPERLINK("http://www.rosaceae.org/gb/gbrowse/malus_x_domestica/?name=MDP0000275177","MDP0000275177")</f>
        <v>MDP0000275177</v>
      </c>
      <c r="D22214">
        <v>69.319999999999993</v>
      </c>
      <c r="E22214">
        <v>238</v>
      </c>
      <c r="F22214">
        <v>73</v>
      </c>
      <c r="G22214">
        <v>3</v>
      </c>
      <c r="H22214">
        <v>36</v>
      </c>
      <c r="I22214">
        <v>273</v>
      </c>
      <c r="J22214">
        <v>1</v>
      </c>
      <c r="K22214">
        <v>23</v>
      </c>
      <c r="L22214">
        <v>257</v>
      </c>
      <c r="M22214">
        <v>1</v>
      </c>
      <c r="N22214">
        <v>1.90817E-95</v>
      </c>
      <c r="O22214">
        <v>887</v>
      </c>
    </row>
    <row r="22215" spans="1:15" x14ac:dyDescent="0.25">
      <c r="A22215" t="s">
        <v>22228</v>
      </c>
      <c r="B22215">
        <v>489</v>
      </c>
      <c r="C22215" s="1" t="str">
        <f>HYPERLINK("http://www.rosaceae.org/gb/gbrowse/malus_x_domestica/?name=MDP0000192249","MDP0000192249")</f>
        <v>MDP0000192249</v>
      </c>
      <c r="D22215">
        <v>62.79</v>
      </c>
      <c r="E22215">
        <v>215</v>
      </c>
      <c r="F22215">
        <v>80</v>
      </c>
      <c r="G22215">
        <v>15</v>
      </c>
      <c r="H22215">
        <v>2</v>
      </c>
      <c r="I22215">
        <v>208</v>
      </c>
      <c r="J22215">
        <v>1</v>
      </c>
      <c r="K22215">
        <v>3</v>
      </c>
      <c r="L22215">
        <v>210</v>
      </c>
      <c r="M22215">
        <v>1</v>
      </c>
      <c r="N22215">
        <v>3.1269100000000001E-72</v>
      </c>
      <c r="O22215">
        <v>689</v>
      </c>
    </row>
    <row r="22216" spans="1:15" x14ac:dyDescent="0.25">
      <c r="A22216" t="s">
        <v>22229</v>
      </c>
      <c r="B22216">
        <v>255</v>
      </c>
      <c r="C22216" s="1" t="str">
        <f>HYPERLINK("http://www.rosaceae.org/gb/gbrowse/malus_x_domestica/?name=MDP0000156841","MDP0000156841")</f>
        <v>MDP0000156841</v>
      </c>
      <c r="D22216">
        <v>85.03</v>
      </c>
      <c r="E22216">
        <v>127</v>
      </c>
      <c r="F22216">
        <v>19</v>
      </c>
      <c r="G22216">
        <v>0</v>
      </c>
      <c r="H22216">
        <v>121</v>
      </c>
      <c r="I22216">
        <v>247</v>
      </c>
      <c r="J22216">
        <v>1</v>
      </c>
      <c r="K22216">
        <v>18</v>
      </c>
      <c r="L22216">
        <v>144</v>
      </c>
      <c r="M22216">
        <v>1</v>
      </c>
      <c r="N22216">
        <v>1.10457E-58</v>
      </c>
      <c r="O22216">
        <v>569</v>
      </c>
    </row>
    <row r="22217" spans="1:15" x14ac:dyDescent="0.25">
      <c r="A22217" t="s">
        <v>22230</v>
      </c>
      <c r="B22217">
        <v>189</v>
      </c>
      <c r="C22217" s="1" t="str">
        <f>HYPERLINK("http://www.rosaceae.org/gb/gbrowse/malus_x_domestica/?name=MDP0000207520","MDP0000207520")</f>
        <v>MDP0000207520</v>
      </c>
      <c r="D22217">
        <v>48.11</v>
      </c>
      <c r="E22217">
        <v>106</v>
      </c>
      <c r="F22217">
        <v>55</v>
      </c>
      <c r="G22217">
        <v>19</v>
      </c>
      <c r="H22217">
        <v>1</v>
      </c>
      <c r="I22217">
        <v>87</v>
      </c>
      <c r="J22217">
        <v>1</v>
      </c>
      <c r="K22217">
        <v>1</v>
      </c>
      <c r="L22217">
        <v>106</v>
      </c>
      <c r="M22217">
        <v>1</v>
      </c>
      <c r="N22217">
        <v>1.3816900000000001E-13</v>
      </c>
      <c r="O22217">
        <v>178</v>
      </c>
    </row>
    <row r="22218" spans="1:15" x14ac:dyDescent="0.25">
      <c r="A22218" t="s">
        <v>22231</v>
      </c>
      <c r="B22218">
        <v>181</v>
      </c>
      <c r="C22218" s="1" t="str">
        <f>HYPERLINK("http://www.rosaceae.org/gb/gbrowse/malus_x_domestica/?name=MDP0000573988","MDP0000573988")</f>
        <v>MDP0000573988</v>
      </c>
      <c r="D22218">
        <v>52.63</v>
      </c>
      <c r="E22218">
        <v>171</v>
      </c>
      <c r="F22218">
        <v>81</v>
      </c>
      <c r="G22218">
        <v>6</v>
      </c>
      <c r="H22218">
        <v>2</v>
      </c>
      <c r="I22218">
        <v>172</v>
      </c>
      <c r="J22218">
        <v>1</v>
      </c>
      <c r="K22218">
        <v>70</v>
      </c>
      <c r="L22218">
        <v>234</v>
      </c>
      <c r="M22218">
        <v>1</v>
      </c>
      <c r="N22218">
        <v>3.0229900000000003E-42</v>
      </c>
      <c r="O22218">
        <v>425</v>
      </c>
    </row>
    <row r="22219" spans="1:15" x14ac:dyDescent="0.25">
      <c r="A22219" t="s">
        <v>22232</v>
      </c>
      <c r="B22219">
        <v>548</v>
      </c>
      <c r="C22219" s="1" t="str">
        <f>HYPERLINK("http://www.rosaceae.org/gb/gbrowse/malus_x_domestica/?name=MDP0000247737","MDP0000247737")</f>
        <v>MDP0000247737</v>
      </c>
      <c r="D22219">
        <v>39.61</v>
      </c>
      <c r="E22219">
        <v>260</v>
      </c>
      <c r="F22219">
        <v>157</v>
      </c>
      <c r="G22219">
        <v>21</v>
      </c>
      <c r="H22219">
        <v>14</v>
      </c>
      <c r="I22219">
        <v>252</v>
      </c>
      <c r="J22219">
        <v>1</v>
      </c>
      <c r="K22219">
        <v>1201</v>
      </c>
      <c r="L22219">
        <v>1460</v>
      </c>
      <c r="M22219">
        <v>1</v>
      </c>
      <c r="N22219">
        <v>1.2202100000000001E-51</v>
      </c>
      <c r="O22219">
        <v>512</v>
      </c>
    </row>
    <row r="22220" spans="1:15" x14ac:dyDescent="0.25">
      <c r="A22220" t="s">
        <v>22233</v>
      </c>
      <c r="B22220">
        <v>543</v>
      </c>
      <c r="C22220" s="1" t="str">
        <f>HYPERLINK("http://www.rosaceae.org/gb/gbrowse/malus_x_domestica/?name=MDP0000215302","MDP0000215302")</f>
        <v>MDP0000215302</v>
      </c>
      <c r="D22220">
        <v>65.02</v>
      </c>
      <c r="E22220">
        <v>486</v>
      </c>
      <c r="F22220">
        <v>170</v>
      </c>
      <c r="G22220">
        <v>12</v>
      </c>
      <c r="H22220">
        <v>66</v>
      </c>
      <c r="I22220">
        <v>543</v>
      </c>
      <c r="J22220">
        <v>1</v>
      </c>
      <c r="K22220">
        <v>95</v>
      </c>
      <c r="L22220">
        <v>576</v>
      </c>
      <c r="M22220">
        <v>1</v>
      </c>
      <c r="N22220">
        <v>3.9335599999999999E-176</v>
      </c>
      <c r="O22220">
        <v>1586</v>
      </c>
    </row>
    <row r="22221" spans="1:15" x14ac:dyDescent="0.25">
      <c r="A22221" t="s">
        <v>22234</v>
      </c>
      <c r="B22221">
        <v>629</v>
      </c>
      <c r="C22221" s="1" t="str">
        <f>HYPERLINK("http://www.rosaceae.org/gb/gbrowse/malus_x_domestica/?name=MDP0000800974","MDP0000800974")</f>
        <v>MDP0000800974</v>
      </c>
      <c r="D22221">
        <v>55.43</v>
      </c>
      <c r="E22221">
        <v>644</v>
      </c>
      <c r="F22221">
        <v>287</v>
      </c>
      <c r="G22221">
        <v>70</v>
      </c>
      <c r="H22221">
        <v>1</v>
      </c>
      <c r="I22221">
        <v>629</v>
      </c>
      <c r="J22221">
        <v>1</v>
      </c>
      <c r="K22221">
        <v>1</v>
      </c>
      <c r="L22221">
        <v>589</v>
      </c>
      <c r="M22221">
        <v>1</v>
      </c>
      <c r="N22221">
        <v>0</v>
      </c>
      <c r="O22221">
        <v>1642</v>
      </c>
    </row>
    <row r="22222" spans="1:15" x14ac:dyDescent="0.25">
      <c r="A22222" t="s">
        <v>22235</v>
      </c>
      <c r="B22222">
        <v>183</v>
      </c>
      <c r="C22222" s="1" t="str">
        <f>HYPERLINK("http://www.rosaceae.org/gb/gbrowse/malus_x_domestica/?name=MDP0000167828","MDP0000167828")</f>
        <v>MDP0000167828</v>
      </c>
      <c r="D22222">
        <v>76.7</v>
      </c>
      <c r="E22222">
        <v>176</v>
      </c>
      <c r="F22222">
        <v>41</v>
      </c>
      <c r="G22222">
        <v>0</v>
      </c>
      <c r="H22222">
        <v>2</v>
      </c>
      <c r="I22222">
        <v>177</v>
      </c>
      <c r="J22222">
        <v>1</v>
      </c>
      <c r="K22222">
        <v>192</v>
      </c>
      <c r="L22222">
        <v>367</v>
      </c>
      <c r="M22222">
        <v>1</v>
      </c>
      <c r="N22222">
        <v>3.9966999999999998E-81</v>
      </c>
      <c r="O22222">
        <v>761</v>
      </c>
    </row>
    <row r="22223" spans="1:15" x14ac:dyDescent="0.25">
      <c r="A22223" t="s">
        <v>22236</v>
      </c>
      <c r="B22223">
        <v>158</v>
      </c>
      <c r="C22223" s="1" t="str">
        <f>HYPERLINK("http://www.rosaceae.org/gb/gbrowse/malus_x_domestica/?name=MDP0000240766","MDP0000240766")</f>
        <v>MDP0000240766</v>
      </c>
      <c r="D22223">
        <v>45.55</v>
      </c>
      <c r="E22223">
        <v>90</v>
      </c>
      <c r="F22223">
        <v>49</v>
      </c>
      <c r="G22223">
        <v>1</v>
      </c>
      <c r="H22223">
        <v>45</v>
      </c>
      <c r="I22223">
        <v>134</v>
      </c>
      <c r="J22223">
        <v>1</v>
      </c>
      <c r="K22223">
        <v>1266</v>
      </c>
      <c r="L22223">
        <v>1354</v>
      </c>
      <c r="M22223">
        <v>1</v>
      </c>
      <c r="N22223">
        <v>3.2657300000000003E-17</v>
      </c>
      <c r="O22223">
        <v>208</v>
      </c>
    </row>
    <row r="22224" spans="1:15" x14ac:dyDescent="0.25">
      <c r="A22224" t="s">
        <v>22237</v>
      </c>
      <c r="B22224">
        <v>269</v>
      </c>
      <c r="C22224" s="1" t="str">
        <f>HYPERLINK("http://www.rosaceae.org/gb/gbrowse/malus_x_domestica/?name=MDP0000128857","MDP0000128857")</f>
        <v>MDP0000128857</v>
      </c>
      <c r="D22224">
        <v>30.62</v>
      </c>
      <c r="E22224">
        <v>209</v>
      </c>
      <c r="F22224">
        <v>145</v>
      </c>
      <c r="G22224">
        <v>10</v>
      </c>
      <c r="H22224">
        <v>20</v>
      </c>
      <c r="I22224">
        <v>227</v>
      </c>
      <c r="J22224">
        <v>1</v>
      </c>
      <c r="K22224">
        <v>506</v>
      </c>
      <c r="L22224">
        <v>705</v>
      </c>
      <c r="M22224">
        <v>1</v>
      </c>
      <c r="N22224">
        <v>4.6168699999999999E-25</v>
      </c>
      <c r="O22224">
        <v>279</v>
      </c>
    </row>
    <row r="22225" spans="1:15" x14ac:dyDescent="0.25">
      <c r="A22225" t="s">
        <v>22238</v>
      </c>
      <c r="B22225">
        <v>194</v>
      </c>
      <c r="C22225" s="1" t="str">
        <f>HYPERLINK("http://www.rosaceae.org/gb/gbrowse/malus_x_domestica/?name=MDP0000161222","MDP0000161222")</f>
        <v>MDP0000161222</v>
      </c>
      <c r="D22225">
        <v>33.33</v>
      </c>
      <c r="E22225">
        <v>93</v>
      </c>
      <c r="F22225">
        <v>62</v>
      </c>
      <c r="G22225">
        <v>4</v>
      </c>
      <c r="H22225">
        <v>42</v>
      </c>
      <c r="I22225">
        <v>133</v>
      </c>
      <c r="J22225">
        <v>1</v>
      </c>
      <c r="K22225">
        <v>657</v>
      </c>
      <c r="L22225">
        <v>746</v>
      </c>
      <c r="M22225">
        <v>1</v>
      </c>
      <c r="N22225">
        <v>1.3884400000000001E-8</v>
      </c>
      <c r="O22225">
        <v>135</v>
      </c>
    </row>
    <row r="22226" spans="1:15" x14ac:dyDescent="0.25">
      <c r="A22226" t="s">
        <v>22239</v>
      </c>
      <c r="B22226">
        <v>968</v>
      </c>
      <c r="C22226" s="1" t="str">
        <f>HYPERLINK("http://www.rosaceae.org/gb/gbrowse/malus_x_domestica/?name=MDP0000088156","MDP0000088156")</f>
        <v>MDP0000088156</v>
      </c>
      <c r="D22226">
        <v>95.42</v>
      </c>
      <c r="E22226">
        <v>415</v>
      </c>
      <c r="F22226">
        <v>19</v>
      </c>
      <c r="G22226">
        <v>6</v>
      </c>
      <c r="H22226">
        <v>551</v>
      </c>
      <c r="I22226">
        <v>965</v>
      </c>
      <c r="J22226">
        <v>1</v>
      </c>
      <c r="K22226">
        <v>1</v>
      </c>
      <c r="L22226">
        <v>409</v>
      </c>
      <c r="M22226">
        <v>1</v>
      </c>
      <c r="N22226">
        <v>0</v>
      </c>
      <c r="O22226">
        <v>2134</v>
      </c>
    </row>
    <row r="22227" spans="1:15" x14ac:dyDescent="0.25">
      <c r="A22227" t="s">
        <v>22240</v>
      </c>
      <c r="B22227">
        <v>139</v>
      </c>
      <c r="C22227" s="1" t="str">
        <f>HYPERLINK("http://www.rosaceae.org/gb/gbrowse/malus_x_domestica/?name=MDP0000760071","MDP0000760071")</f>
        <v>MDP0000760071</v>
      </c>
      <c r="D22227">
        <v>76.19</v>
      </c>
      <c r="E22227">
        <v>105</v>
      </c>
      <c r="F22227">
        <v>25</v>
      </c>
      <c r="G22227">
        <v>3</v>
      </c>
      <c r="H22227">
        <v>35</v>
      </c>
      <c r="I22227">
        <v>139</v>
      </c>
      <c r="J22227">
        <v>1</v>
      </c>
      <c r="K22227">
        <v>1</v>
      </c>
      <c r="L22227">
        <v>102</v>
      </c>
      <c r="M22227">
        <v>1</v>
      </c>
      <c r="N22227">
        <v>1.6118E-40</v>
      </c>
      <c r="O22227">
        <v>408</v>
      </c>
    </row>
    <row r="22228" spans="1:15" x14ac:dyDescent="0.25">
      <c r="A22228" t="s">
        <v>22241</v>
      </c>
      <c r="B22228">
        <v>1302</v>
      </c>
      <c r="C22228" s="1" t="str">
        <f>HYPERLINK("http://www.rosaceae.org/gb/gbrowse/malus_x_domestica/?name=MDP0000178636","MDP0000178636")</f>
        <v>MDP0000178636</v>
      </c>
      <c r="D22228">
        <v>52.53</v>
      </c>
      <c r="E22228">
        <v>571</v>
      </c>
      <c r="F22228">
        <v>271</v>
      </c>
      <c r="G22228">
        <v>129</v>
      </c>
      <c r="H22228">
        <v>15</v>
      </c>
      <c r="I22228">
        <v>514</v>
      </c>
      <c r="J22228">
        <v>1</v>
      </c>
      <c r="K22228">
        <v>7</v>
      </c>
      <c r="L22228">
        <v>519</v>
      </c>
      <c r="M22228">
        <v>1</v>
      </c>
      <c r="N22228">
        <v>2.7297400000000002E-115</v>
      </c>
      <c r="O22228">
        <v>1065</v>
      </c>
    </row>
    <row r="22229" spans="1:15" x14ac:dyDescent="0.25">
      <c r="A22229" t="s">
        <v>22242</v>
      </c>
      <c r="B22229">
        <v>249</v>
      </c>
      <c r="C22229" s="1" t="str">
        <f>HYPERLINK("http://www.rosaceae.org/gb/gbrowse/malus_x_domestica/?name=MDP0000145027","MDP0000145027")</f>
        <v>MDP0000145027</v>
      </c>
      <c r="D22229">
        <v>76.81</v>
      </c>
      <c r="E22229">
        <v>220</v>
      </c>
      <c r="F22229">
        <v>51</v>
      </c>
      <c r="G22229">
        <v>16</v>
      </c>
      <c r="H22229">
        <v>1</v>
      </c>
      <c r="I22229">
        <v>208</v>
      </c>
      <c r="J22229">
        <v>1</v>
      </c>
      <c r="K22229">
        <v>1</v>
      </c>
      <c r="L22229">
        <v>216</v>
      </c>
      <c r="M22229">
        <v>1</v>
      </c>
      <c r="N22229">
        <v>1.23205E-91</v>
      </c>
      <c r="O22229">
        <v>853</v>
      </c>
    </row>
    <row r="22230" spans="1:15" x14ac:dyDescent="0.25">
      <c r="A22230" t="s">
        <v>22243</v>
      </c>
      <c r="B22230">
        <v>416</v>
      </c>
      <c r="C22230" s="1" t="str">
        <f>HYPERLINK("http://www.rosaceae.org/gb/gbrowse/malus_x_domestica/?name=MDP0000140046","MDP0000140046")</f>
        <v>MDP0000140046</v>
      </c>
      <c r="D22230">
        <v>74.87</v>
      </c>
      <c r="E22230">
        <v>414</v>
      </c>
      <c r="F22230">
        <v>104</v>
      </c>
      <c r="G22230">
        <v>52</v>
      </c>
      <c r="H22230">
        <v>3</v>
      </c>
      <c r="I22230">
        <v>416</v>
      </c>
      <c r="J22230">
        <v>1</v>
      </c>
      <c r="K22230">
        <v>4</v>
      </c>
      <c r="L22230">
        <v>365</v>
      </c>
      <c r="M22230">
        <v>1</v>
      </c>
      <c r="N22230">
        <v>2.3098599999999998E-179</v>
      </c>
      <c r="O22230">
        <v>1612</v>
      </c>
    </row>
    <row r="22231" spans="1:15" x14ac:dyDescent="0.25">
      <c r="A22231" t="s">
        <v>22244</v>
      </c>
      <c r="B22231">
        <v>248</v>
      </c>
      <c r="C22231" s="1" t="str">
        <f>HYPERLINK("http://www.rosaceae.org/gb/gbrowse/malus_x_domestica/?name=MDP0000612763","MDP0000612763")</f>
        <v>MDP0000612763</v>
      </c>
      <c r="D22231">
        <v>54.31</v>
      </c>
      <c r="E22231">
        <v>197</v>
      </c>
      <c r="F22231">
        <v>90</v>
      </c>
      <c r="G22231">
        <v>12</v>
      </c>
      <c r="H22231">
        <v>3</v>
      </c>
      <c r="I22231">
        <v>199</v>
      </c>
      <c r="J22231">
        <v>1</v>
      </c>
      <c r="K22231">
        <v>2</v>
      </c>
      <c r="L22231">
        <v>186</v>
      </c>
      <c r="M22231">
        <v>1</v>
      </c>
      <c r="N22231">
        <v>3.42912E-48</v>
      </c>
      <c r="O22231">
        <v>478</v>
      </c>
    </row>
    <row r="22232" spans="1:15" x14ac:dyDescent="0.25">
      <c r="A22232" t="s">
        <v>22245</v>
      </c>
      <c r="B22232">
        <v>44</v>
      </c>
      <c r="C22232" s="1" t="str">
        <f>HYPERLINK("http://www.rosaceae.org/gb/gbrowse/malus_x_domestica/?name=MDP0000211411","MDP0000211411")</f>
        <v>MDP0000211411</v>
      </c>
      <c r="D22232">
        <v>83.33</v>
      </c>
      <c r="E22232">
        <v>30</v>
      </c>
      <c r="F22232">
        <v>5</v>
      </c>
      <c r="G22232">
        <v>0</v>
      </c>
      <c r="H22232">
        <v>1</v>
      </c>
      <c r="I22232">
        <v>30</v>
      </c>
      <c r="J22232">
        <v>1</v>
      </c>
      <c r="K22232">
        <v>17</v>
      </c>
      <c r="L22232">
        <v>46</v>
      </c>
      <c r="M22232">
        <v>1</v>
      </c>
      <c r="N22232">
        <v>6.4515000000000006E-8</v>
      </c>
      <c r="O22232">
        <v>126</v>
      </c>
    </row>
    <row r="22233" spans="1:15" x14ac:dyDescent="0.25">
      <c r="A22233" t="s">
        <v>22246</v>
      </c>
      <c r="B22233">
        <v>125</v>
      </c>
      <c r="C22233" s="1" t="str">
        <f>HYPERLINK("http://www.rosaceae.org/gb/gbrowse/malus_x_domestica/?name=MDP0000350023","MDP0000350023")</f>
        <v>MDP0000350023</v>
      </c>
      <c r="D22233">
        <v>80.849999999999994</v>
      </c>
      <c r="E22233">
        <v>94</v>
      </c>
      <c r="F22233">
        <v>18</v>
      </c>
      <c r="G22233">
        <v>0</v>
      </c>
      <c r="H22233">
        <v>32</v>
      </c>
      <c r="I22233">
        <v>125</v>
      </c>
      <c r="J22233">
        <v>1</v>
      </c>
      <c r="K22233">
        <v>39</v>
      </c>
      <c r="L22233">
        <v>132</v>
      </c>
      <c r="M22233">
        <v>1</v>
      </c>
      <c r="N22233">
        <v>3.7309400000000002E-41</v>
      </c>
      <c r="O22233">
        <v>412</v>
      </c>
    </row>
    <row r="22234" spans="1:15" x14ac:dyDescent="0.25">
      <c r="A22234" t="s">
        <v>22247</v>
      </c>
      <c r="B22234">
        <v>552</v>
      </c>
      <c r="C22234" s="1" t="str">
        <f>HYPERLINK("http://www.rosaceae.org/gb/gbrowse/malus_x_domestica/?name=MDP0000233283","MDP0000233283")</f>
        <v>MDP0000233283</v>
      </c>
      <c r="D22234">
        <v>52.91</v>
      </c>
      <c r="E22234">
        <v>514</v>
      </c>
      <c r="F22234">
        <v>242</v>
      </c>
      <c r="G22234">
        <v>73</v>
      </c>
      <c r="H22234">
        <v>31</v>
      </c>
      <c r="I22234">
        <v>505</v>
      </c>
      <c r="J22234">
        <v>1</v>
      </c>
      <c r="K22234">
        <v>1</v>
      </c>
      <c r="L22234">
        <v>480</v>
      </c>
      <c r="M22234">
        <v>1</v>
      </c>
      <c r="N22234">
        <v>3.9116499999999998E-122</v>
      </c>
      <c r="O22234">
        <v>1120</v>
      </c>
    </row>
    <row r="22235" spans="1:15" x14ac:dyDescent="0.25">
      <c r="A22235" t="s">
        <v>22248</v>
      </c>
      <c r="B22235">
        <v>772</v>
      </c>
      <c r="C22235" s="1" t="str">
        <f>HYPERLINK("http://www.rosaceae.org/gb/gbrowse/malus_x_domestica/?name=MDP0000069231","MDP0000069231")</f>
        <v>MDP0000069231</v>
      </c>
      <c r="D22235">
        <v>86.88</v>
      </c>
      <c r="E22235">
        <v>625</v>
      </c>
      <c r="F22235">
        <v>82</v>
      </c>
      <c r="G22235">
        <v>1</v>
      </c>
      <c r="H22235">
        <v>148</v>
      </c>
      <c r="I22235">
        <v>772</v>
      </c>
      <c r="J22235">
        <v>1</v>
      </c>
      <c r="K22235">
        <v>1</v>
      </c>
      <c r="L22235">
        <v>624</v>
      </c>
      <c r="M22235">
        <v>1</v>
      </c>
      <c r="N22235">
        <v>0</v>
      </c>
      <c r="O22235">
        <v>2881</v>
      </c>
    </row>
    <row r="22236" spans="1:15" x14ac:dyDescent="0.25">
      <c r="A22236" t="s">
        <v>22249</v>
      </c>
      <c r="B22236">
        <v>557</v>
      </c>
      <c r="C22236" s="1" t="str">
        <f>HYPERLINK("http://www.rosaceae.org/gb/gbrowse/malus_x_domestica/?name=MDP0000136634","MDP0000136634")</f>
        <v>MDP0000136634</v>
      </c>
      <c r="D22236">
        <v>43.91</v>
      </c>
      <c r="E22236">
        <v>567</v>
      </c>
      <c r="F22236">
        <v>318</v>
      </c>
      <c r="G22236">
        <v>123</v>
      </c>
      <c r="H22236">
        <v>3</v>
      </c>
      <c r="I22236">
        <v>557</v>
      </c>
      <c r="J22236">
        <v>1</v>
      </c>
      <c r="K22236">
        <v>5</v>
      </c>
      <c r="L22236">
        <v>460</v>
      </c>
      <c r="M22236">
        <v>1</v>
      </c>
      <c r="N22236">
        <v>7.5340699999999998E-95</v>
      </c>
      <c r="O22236">
        <v>885</v>
      </c>
    </row>
    <row r="22237" spans="1:15" x14ac:dyDescent="0.25">
      <c r="A22237" t="s">
        <v>22250</v>
      </c>
      <c r="B22237">
        <v>453</v>
      </c>
      <c r="C22237" s="1" t="str">
        <f>HYPERLINK("http://www.rosaceae.org/gb/gbrowse/malus_x_domestica/?name=MDP0000270051","MDP0000270051")</f>
        <v>MDP0000270051</v>
      </c>
      <c r="D22237">
        <v>71.27</v>
      </c>
      <c r="E22237">
        <v>456</v>
      </c>
      <c r="F22237">
        <v>131</v>
      </c>
      <c r="G22237">
        <v>6</v>
      </c>
      <c r="H22237">
        <v>1</v>
      </c>
      <c r="I22237">
        <v>453</v>
      </c>
      <c r="J22237">
        <v>1</v>
      </c>
      <c r="K22237">
        <v>1</v>
      </c>
      <c r="L22237">
        <v>453</v>
      </c>
      <c r="M22237">
        <v>1</v>
      </c>
      <c r="N22237">
        <v>0</v>
      </c>
      <c r="O22237">
        <v>1699</v>
      </c>
    </row>
    <row r="22238" spans="1:15" x14ac:dyDescent="0.25">
      <c r="A22238" t="s">
        <v>22251</v>
      </c>
      <c r="B22238">
        <v>419</v>
      </c>
      <c r="C22238" s="1" t="str">
        <f>HYPERLINK("http://www.rosaceae.org/gb/gbrowse/malus_x_domestica/?name=MDP0000176097","MDP0000176097")</f>
        <v>MDP0000176097</v>
      </c>
      <c r="D22238">
        <v>34.479999999999997</v>
      </c>
      <c r="E22238">
        <v>174</v>
      </c>
      <c r="F22238">
        <v>114</v>
      </c>
      <c r="G22238">
        <v>13</v>
      </c>
      <c r="H22238">
        <v>234</v>
      </c>
      <c r="I22238">
        <v>404</v>
      </c>
      <c r="J22238">
        <v>1</v>
      </c>
      <c r="K22238">
        <v>45</v>
      </c>
      <c r="L22238">
        <v>208</v>
      </c>
      <c r="M22238">
        <v>1</v>
      </c>
      <c r="N22238">
        <v>1.7801900000000001E-17</v>
      </c>
      <c r="O22238">
        <v>216</v>
      </c>
    </row>
    <row r="22239" spans="1:15" x14ac:dyDescent="0.25">
      <c r="A22239" t="s">
        <v>22252</v>
      </c>
      <c r="B22239">
        <v>717</v>
      </c>
      <c r="C22239" s="1" t="str">
        <f>HYPERLINK("http://www.rosaceae.org/gb/gbrowse/malus_x_domestica/?name=MDP0000203534","MDP0000203534")</f>
        <v>MDP0000203534</v>
      </c>
      <c r="D22239">
        <v>71.739999999999995</v>
      </c>
      <c r="E22239">
        <v>630</v>
      </c>
      <c r="F22239">
        <v>178</v>
      </c>
      <c r="G22239">
        <v>3</v>
      </c>
      <c r="H22239">
        <v>88</v>
      </c>
      <c r="I22239">
        <v>717</v>
      </c>
      <c r="J22239">
        <v>1</v>
      </c>
      <c r="K22239">
        <v>30</v>
      </c>
      <c r="L22239">
        <v>656</v>
      </c>
      <c r="M22239">
        <v>1</v>
      </c>
      <c r="N22239">
        <v>0</v>
      </c>
      <c r="O22239">
        <v>2259</v>
      </c>
    </row>
    <row r="22240" spans="1:15" x14ac:dyDescent="0.25">
      <c r="A22240" t="s">
        <v>22253</v>
      </c>
      <c r="B22240">
        <v>483</v>
      </c>
      <c r="C22240" s="1" t="str">
        <f>HYPERLINK("http://www.rosaceae.org/gb/gbrowse/malus_x_domestica/?name=MDP0000280980","MDP0000280980")</f>
        <v>MDP0000280980</v>
      </c>
      <c r="D22240">
        <v>41.02</v>
      </c>
      <c r="E22240">
        <v>468</v>
      </c>
      <c r="F22240">
        <v>276</v>
      </c>
      <c r="G22240">
        <v>27</v>
      </c>
      <c r="H22240">
        <v>38</v>
      </c>
      <c r="I22240">
        <v>482</v>
      </c>
      <c r="J22240">
        <v>1</v>
      </c>
      <c r="K22240">
        <v>30</v>
      </c>
      <c r="L22240">
        <v>493</v>
      </c>
      <c r="M22240">
        <v>1</v>
      </c>
      <c r="N22240">
        <v>1.73104E-100</v>
      </c>
      <c r="O22240">
        <v>933</v>
      </c>
    </row>
    <row r="22241" spans="1:15" x14ac:dyDescent="0.25">
      <c r="A22241" t="s">
        <v>22254</v>
      </c>
      <c r="B22241">
        <v>867</v>
      </c>
      <c r="C22241" s="1" t="str">
        <f>HYPERLINK("http://www.rosaceae.org/gb/gbrowse/malus_x_domestica/?name=MDP0000328601","MDP0000328601")</f>
        <v>MDP0000328601</v>
      </c>
      <c r="D22241">
        <v>75.37</v>
      </c>
      <c r="E22241">
        <v>861</v>
      </c>
      <c r="F22241">
        <v>212</v>
      </c>
      <c r="G22241">
        <v>31</v>
      </c>
      <c r="H22241">
        <v>17</v>
      </c>
      <c r="I22241">
        <v>867</v>
      </c>
      <c r="J22241">
        <v>1</v>
      </c>
      <c r="K22241">
        <v>54</v>
      </c>
      <c r="L22241">
        <v>893</v>
      </c>
      <c r="M22241">
        <v>1</v>
      </c>
      <c r="N22241">
        <v>0</v>
      </c>
      <c r="O22241">
        <v>3410</v>
      </c>
    </row>
    <row r="22242" spans="1:15" x14ac:dyDescent="0.25">
      <c r="A22242" t="s">
        <v>22255</v>
      </c>
      <c r="B22242">
        <v>1323</v>
      </c>
      <c r="C22242" s="1" t="str">
        <f>HYPERLINK("http://www.rosaceae.org/gb/gbrowse/malus_x_domestica/?name=MDP0000127185","MDP0000127185")</f>
        <v>MDP0000127185</v>
      </c>
      <c r="D22242">
        <v>65.290000000000006</v>
      </c>
      <c r="E22242">
        <v>510</v>
      </c>
      <c r="F22242">
        <v>177</v>
      </c>
      <c r="G22242">
        <v>31</v>
      </c>
      <c r="H22242">
        <v>1</v>
      </c>
      <c r="I22242">
        <v>486</v>
      </c>
      <c r="J22242">
        <v>1</v>
      </c>
      <c r="K22242">
        <v>1</v>
      </c>
      <c r="L22242">
        <v>503</v>
      </c>
      <c r="M22242">
        <v>1</v>
      </c>
      <c r="N22242">
        <v>0</v>
      </c>
      <c r="O22242">
        <v>1633</v>
      </c>
    </row>
    <row r="22243" spans="1:15" x14ac:dyDescent="0.25">
      <c r="A22243" t="s">
        <v>22256</v>
      </c>
      <c r="B22243">
        <v>490</v>
      </c>
      <c r="C22243" s="1" t="str">
        <f>HYPERLINK("http://www.rosaceae.org/gb/gbrowse/malus_x_domestica/?name=MDP0000282889","MDP0000282889")</f>
        <v>MDP0000282889</v>
      </c>
      <c r="D22243">
        <v>71.17</v>
      </c>
      <c r="E22243">
        <v>503</v>
      </c>
      <c r="F22243">
        <v>145</v>
      </c>
      <c r="G22243">
        <v>22</v>
      </c>
      <c r="H22243">
        <v>1</v>
      </c>
      <c r="I22243">
        <v>490</v>
      </c>
      <c r="J22243">
        <v>1</v>
      </c>
      <c r="K22243">
        <v>1</v>
      </c>
      <c r="L22243">
        <v>494</v>
      </c>
      <c r="M22243">
        <v>1</v>
      </c>
      <c r="N22243">
        <v>0</v>
      </c>
      <c r="O22243">
        <v>1765</v>
      </c>
    </row>
    <row r="22244" spans="1:15" x14ac:dyDescent="0.25">
      <c r="A22244" t="s">
        <v>22257</v>
      </c>
      <c r="B22244">
        <v>520</v>
      </c>
      <c r="C22244" s="1" t="str">
        <f>HYPERLINK("http://www.rosaceae.org/gb/gbrowse/malus_x_domestica/?name=MDP0000211180","MDP0000211180")</f>
        <v>MDP0000211180</v>
      </c>
      <c r="D22244">
        <v>76.62</v>
      </c>
      <c r="E22244">
        <v>338</v>
      </c>
      <c r="F22244">
        <v>79</v>
      </c>
      <c r="G22244">
        <v>18</v>
      </c>
      <c r="H22244">
        <v>199</v>
      </c>
      <c r="I22244">
        <v>520</v>
      </c>
      <c r="J22244">
        <v>1</v>
      </c>
      <c r="K22244">
        <v>3</v>
      </c>
      <c r="L22244">
        <v>338</v>
      </c>
      <c r="M22244">
        <v>1</v>
      </c>
      <c r="N22244">
        <v>4.2201099999999998E-149</v>
      </c>
      <c r="O22244">
        <v>1352</v>
      </c>
    </row>
    <row r="22245" spans="1:15" x14ac:dyDescent="0.25">
      <c r="A22245" t="s">
        <v>22258</v>
      </c>
      <c r="B22245">
        <v>366</v>
      </c>
      <c r="C22245" s="1" t="str">
        <f>HYPERLINK("http://www.rosaceae.org/gb/gbrowse/malus_x_domestica/?name=MDP0000780896","MDP0000780896")</f>
        <v>MDP0000780896</v>
      </c>
      <c r="D22245">
        <v>34.39</v>
      </c>
      <c r="E22245">
        <v>314</v>
      </c>
      <c r="F22245">
        <v>206</v>
      </c>
      <c r="G22245">
        <v>33</v>
      </c>
      <c r="H22245">
        <v>65</v>
      </c>
      <c r="I22245">
        <v>358</v>
      </c>
      <c r="J22245">
        <v>1</v>
      </c>
      <c r="K22245">
        <v>122</v>
      </c>
      <c r="L22245">
        <v>422</v>
      </c>
      <c r="M22245">
        <v>1</v>
      </c>
      <c r="N22245">
        <v>1.3097800000000001E-30</v>
      </c>
      <c r="O22245">
        <v>329</v>
      </c>
    </row>
    <row r="22246" spans="1:15" x14ac:dyDescent="0.25">
      <c r="A22246" t="s">
        <v>22259</v>
      </c>
      <c r="B22246">
        <v>1420</v>
      </c>
      <c r="C22246" s="1" t="str">
        <f>HYPERLINK("http://www.rosaceae.org/gb/gbrowse/malus_x_domestica/?name=MDP0000180405","MDP0000180405")</f>
        <v>MDP0000180405</v>
      </c>
      <c r="D22246">
        <v>46.28</v>
      </c>
      <c r="E22246">
        <v>1480</v>
      </c>
      <c r="F22246">
        <v>795</v>
      </c>
      <c r="G22246">
        <v>101</v>
      </c>
      <c r="H22246">
        <v>32</v>
      </c>
      <c r="I22246">
        <v>1420</v>
      </c>
      <c r="J22246">
        <v>1</v>
      </c>
      <c r="K22246">
        <v>17</v>
      </c>
      <c r="L22246">
        <v>1486</v>
      </c>
      <c r="M22246">
        <v>1</v>
      </c>
      <c r="N22246">
        <v>0</v>
      </c>
      <c r="O22246">
        <v>3418</v>
      </c>
    </row>
    <row r="22247" spans="1:15" x14ac:dyDescent="0.25">
      <c r="A22247" t="s">
        <v>22260</v>
      </c>
      <c r="B22247">
        <v>1036</v>
      </c>
      <c r="C22247" s="1" t="str">
        <f>HYPERLINK("http://www.rosaceae.org/gb/gbrowse/malus_x_domestica/?name=MDP0000143749","MDP0000143749")</f>
        <v>MDP0000143749</v>
      </c>
      <c r="D22247">
        <v>77.23</v>
      </c>
      <c r="E22247">
        <v>927</v>
      </c>
      <c r="F22247">
        <v>211</v>
      </c>
      <c r="G22247">
        <v>63</v>
      </c>
      <c r="H22247">
        <v>133</v>
      </c>
      <c r="I22247">
        <v>1036</v>
      </c>
      <c r="J22247">
        <v>1</v>
      </c>
      <c r="K22247">
        <v>5</v>
      </c>
      <c r="L22247">
        <v>891</v>
      </c>
      <c r="M22247">
        <v>1</v>
      </c>
      <c r="N22247">
        <v>0</v>
      </c>
      <c r="O22247">
        <v>3683</v>
      </c>
    </row>
    <row r="22248" spans="1:15" x14ac:dyDescent="0.25">
      <c r="A22248" t="s">
        <v>22261</v>
      </c>
      <c r="B22248">
        <v>1171</v>
      </c>
      <c r="C22248" s="1" t="str">
        <f>HYPERLINK("http://www.rosaceae.org/gb/gbrowse/malus_x_domestica/?name=MDP0000320752","MDP0000320752")</f>
        <v>MDP0000320752</v>
      </c>
      <c r="D22248">
        <v>53.69</v>
      </c>
      <c r="E22248">
        <v>704</v>
      </c>
      <c r="F22248">
        <v>326</v>
      </c>
      <c r="G22248">
        <v>108</v>
      </c>
      <c r="H22248">
        <v>516</v>
      </c>
      <c r="I22248">
        <v>1171</v>
      </c>
      <c r="J22248">
        <v>1</v>
      </c>
      <c r="K22248">
        <v>1</v>
      </c>
      <c r="L22248">
        <v>644</v>
      </c>
      <c r="M22248">
        <v>1</v>
      </c>
      <c r="N22248">
        <v>0</v>
      </c>
      <c r="O22248">
        <v>1655</v>
      </c>
    </row>
    <row r="22249" spans="1:15" x14ac:dyDescent="0.25">
      <c r="A22249" t="s">
        <v>22262</v>
      </c>
      <c r="B22249">
        <v>275</v>
      </c>
      <c r="C22249" s="1" t="str">
        <f>HYPERLINK("http://www.rosaceae.org/gb/gbrowse/malus_x_domestica/?name=MDP0000188711","MDP0000188711")</f>
        <v>MDP0000188711</v>
      </c>
      <c r="D22249">
        <v>81.88</v>
      </c>
      <c r="E22249">
        <v>254</v>
      </c>
      <c r="F22249">
        <v>46</v>
      </c>
      <c r="G22249">
        <v>10</v>
      </c>
      <c r="H22249">
        <v>1</v>
      </c>
      <c r="I22249">
        <v>247</v>
      </c>
      <c r="J22249">
        <v>1</v>
      </c>
      <c r="K22249">
        <v>1</v>
      </c>
      <c r="L22249">
        <v>251</v>
      </c>
      <c r="M22249">
        <v>1</v>
      </c>
      <c r="N22249">
        <v>1.54935E-114</v>
      </c>
      <c r="O22249">
        <v>1051</v>
      </c>
    </row>
    <row r="22250" spans="1:15" x14ac:dyDescent="0.25">
      <c r="A22250" t="s">
        <v>22263</v>
      </c>
      <c r="B22250">
        <v>170</v>
      </c>
      <c r="C22250" s="1" t="str">
        <f>HYPERLINK("http://www.rosaceae.org/gb/gbrowse/malus_x_domestica/?name=MDP0000780674","MDP0000780674")</f>
        <v>MDP0000780674</v>
      </c>
      <c r="D22250">
        <v>73.709999999999994</v>
      </c>
      <c r="E22250">
        <v>175</v>
      </c>
      <c r="F22250">
        <v>46</v>
      </c>
      <c r="G22250">
        <v>6</v>
      </c>
      <c r="H22250">
        <v>1</v>
      </c>
      <c r="I22250">
        <v>170</v>
      </c>
      <c r="J22250">
        <v>1</v>
      </c>
      <c r="K22250">
        <v>1</v>
      </c>
      <c r="L22250">
        <v>174</v>
      </c>
      <c r="M22250">
        <v>1</v>
      </c>
      <c r="N22250">
        <v>1.37221E-68</v>
      </c>
      <c r="O22250">
        <v>652</v>
      </c>
    </row>
    <row r="22251" spans="1:15" x14ac:dyDescent="0.25">
      <c r="A22251" t="s">
        <v>22264</v>
      </c>
      <c r="B22251">
        <v>325</v>
      </c>
      <c r="C22251" s="1" t="str">
        <f>HYPERLINK("http://www.rosaceae.org/gb/gbrowse/malus_x_domestica/?name=MDP0000173271","MDP0000173271")</f>
        <v>MDP0000173271</v>
      </c>
      <c r="D22251">
        <v>76.83</v>
      </c>
      <c r="E22251">
        <v>354</v>
      </c>
      <c r="F22251">
        <v>82</v>
      </c>
      <c r="G22251">
        <v>31</v>
      </c>
      <c r="H22251">
        <v>1</v>
      </c>
      <c r="I22251">
        <v>325</v>
      </c>
      <c r="J22251">
        <v>1</v>
      </c>
      <c r="K22251">
        <v>1</v>
      </c>
      <c r="L22251">
        <v>352</v>
      </c>
      <c r="M22251">
        <v>1</v>
      </c>
      <c r="N22251">
        <v>8.9353599999999996E-156</v>
      </c>
      <c r="O22251">
        <v>1408</v>
      </c>
    </row>
    <row r="22252" spans="1:15" x14ac:dyDescent="0.25">
      <c r="A22252" t="s">
        <v>22265</v>
      </c>
      <c r="B22252">
        <v>159</v>
      </c>
      <c r="C22252" s="1" t="str">
        <f>HYPERLINK("http://www.rosaceae.org/gb/gbrowse/malus_x_domestica/?name=MDP0000271360","MDP0000271360")</f>
        <v>MDP0000271360</v>
      </c>
      <c r="D22252">
        <v>77.98</v>
      </c>
      <c r="E22252">
        <v>159</v>
      </c>
      <c r="F22252">
        <v>35</v>
      </c>
      <c r="G22252">
        <v>1</v>
      </c>
      <c r="H22252">
        <v>2</v>
      </c>
      <c r="I22252">
        <v>159</v>
      </c>
      <c r="J22252">
        <v>1</v>
      </c>
      <c r="K22252">
        <v>3</v>
      </c>
      <c r="L22252">
        <v>161</v>
      </c>
      <c r="M22252">
        <v>1</v>
      </c>
      <c r="N22252">
        <v>1.9638300000000001E-70</v>
      </c>
      <c r="O22252">
        <v>667</v>
      </c>
    </row>
    <row r="22253" spans="1:15" x14ac:dyDescent="0.25">
      <c r="A22253" t="s">
        <v>22266</v>
      </c>
      <c r="B22253">
        <v>422</v>
      </c>
      <c r="C22253" s="1" t="str">
        <f>HYPERLINK("http://www.rosaceae.org/gb/gbrowse/malus_x_domestica/?name=MDP0000933051","MDP0000933051")</f>
        <v>MDP0000933051</v>
      </c>
      <c r="D22253">
        <v>78.19</v>
      </c>
      <c r="E22253">
        <v>422</v>
      </c>
      <c r="F22253">
        <v>92</v>
      </c>
      <c r="G22253">
        <v>3</v>
      </c>
      <c r="H22253">
        <v>1</v>
      </c>
      <c r="I22253">
        <v>421</v>
      </c>
      <c r="J22253">
        <v>1</v>
      </c>
      <c r="K22253">
        <v>1</v>
      </c>
      <c r="L22253">
        <v>420</v>
      </c>
      <c r="M22253">
        <v>1</v>
      </c>
      <c r="N22253">
        <v>0</v>
      </c>
      <c r="O22253">
        <v>1724</v>
      </c>
    </row>
    <row r="22254" spans="1:15" x14ac:dyDescent="0.25">
      <c r="A22254" t="s">
        <v>22267</v>
      </c>
      <c r="B22254">
        <v>175</v>
      </c>
      <c r="C22254" s="1" t="str">
        <f>HYPERLINK("http://www.rosaceae.org/gb/gbrowse/malus_x_domestica/?name=MDP0000277510","MDP0000277510")</f>
        <v>MDP0000277510</v>
      </c>
      <c r="D22254">
        <v>55.34</v>
      </c>
      <c r="E22254">
        <v>159</v>
      </c>
      <c r="F22254">
        <v>71</v>
      </c>
      <c r="G22254">
        <v>10</v>
      </c>
      <c r="H22254">
        <v>10</v>
      </c>
      <c r="I22254">
        <v>158</v>
      </c>
      <c r="J22254">
        <v>1</v>
      </c>
      <c r="K22254">
        <v>9</v>
      </c>
      <c r="L22254">
        <v>167</v>
      </c>
      <c r="M22254">
        <v>1</v>
      </c>
      <c r="N22254">
        <v>2.2381800000000001E-45</v>
      </c>
      <c r="O22254">
        <v>452</v>
      </c>
    </row>
    <row r="22255" spans="1:15" x14ac:dyDescent="0.25">
      <c r="A22255" t="s">
        <v>22268</v>
      </c>
      <c r="B22255">
        <v>201</v>
      </c>
      <c r="C22255" s="1" t="str">
        <f>HYPERLINK("http://www.rosaceae.org/gb/gbrowse/malus_x_domestica/?name=MDP0000272952","MDP0000272952")</f>
        <v>MDP0000272952</v>
      </c>
      <c r="D22255">
        <v>51.76</v>
      </c>
      <c r="E22255">
        <v>170</v>
      </c>
      <c r="F22255">
        <v>82</v>
      </c>
      <c r="G22255">
        <v>31</v>
      </c>
      <c r="H22255">
        <v>1</v>
      </c>
      <c r="I22255">
        <v>140</v>
      </c>
      <c r="J22255">
        <v>1</v>
      </c>
      <c r="K22255">
        <v>123</v>
      </c>
      <c r="L22255">
        <v>291</v>
      </c>
      <c r="M22255">
        <v>1</v>
      </c>
      <c r="N22255">
        <v>3.1828700000000001E-37</v>
      </c>
      <c r="O22255">
        <v>383</v>
      </c>
    </row>
    <row r="22256" spans="1:15" x14ac:dyDescent="0.25">
      <c r="A22256" t="s">
        <v>22269</v>
      </c>
      <c r="B22256">
        <v>171</v>
      </c>
      <c r="C22256" s="1" t="str">
        <f>HYPERLINK("http://www.rosaceae.org/gb/gbrowse/malus_x_domestica/?name=MDP0000418846","MDP0000418846")</f>
        <v>MDP0000418846</v>
      </c>
      <c r="D22256">
        <v>86.47</v>
      </c>
      <c r="E22256">
        <v>170</v>
      </c>
      <c r="F22256">
        <v>23</v>
      </c>
      <c r="G22256">
        <v>1</v>
      </c>
      <c r="H22256">
        <v>1</v>
      </c>
      <c r="I22256">
        <v>170</v>
      </c>
      <c r="J22256">
        <v>1</v>
      </c>
      <c r="K22256">
        <v>428</v>
      </c>
      <c r="L22256">
        <v>596</v>
      </c>
      <c r="M22256">
        <v>1</v>
      </c>
      <c r="N22256">
        <v>1.7320900000000001E-88</v>
      </c>
      <c r="O22256">
        <v>824</v>
      </c>
    </row>
    <row r="22257" spans="1:15" x14ac:dyDescent="0.25">
      <c r="A22257" t="s">
        <v>22270</v>
      </c>
      <c r="B22257">
        <v>141</v>
      </c>
      <c r="C22257" s="1" t="str">
        <f>HYPERLINK("http://www.rosaceae.org/gb/gbrowse/malus_x_domestica/?name=MDP0000240010","MDP0000240010")</f>
        <v>MDP0000240010</v>
      </c>
      <c r="D22257">
        <v>81.3</v>
      </c>
      <c r="E22257">
        <v>123</v>
      </c>
      <c r="F22257">
        <v>23</v>
      </c>
      <c r="G22257">
        <v>3</v>
      </c>
      <c r="H22257">
        <v>2</v>
      </c>
      <c r="I22257">
        <v>121</v>
      </c>
      <c r="J22257">
        <v>1</v>
      </c>
      <c r="K22257">
        <v>9</v>
      </c>
      <c r="L22257">
        <v>131</v>
      </c>
      <c r="M22257">
        <v>1</v>
      </c>
      <c r="N22257">
        <v>3.6383500000000003E-55</v>
      </c>
      <c r="O22257">
        <v>535</v>
      </c>
    </row>
    <row r="22258" spans="1:15" x14ac:dyDescent="0.25">
      <c r="A22258" t="s">
        <v>22271</v>
      </c>
      <c r="B22258">
        <v>295</v>
      </c>
      <c r="C22258" s="1" t="str">
        <f>HYPERLINK("http://www.rosaceae.org/gb/gbrowse/malus_x_domestica/?name=MDP0000298017","MDP0000298017")</f>
        <v>MDP0000298017</v>
      </c>
      <c r="D22258">
        <v>78.77</v>
      </c>
      <c r="E22258">
        <v>278</v>
      </c>
      <c r="F22258">
        <v>59</v>
      </c>
      <c r="G22258">
        <v>0</v>
      </c>
      <c r="H22258">
        <v>1</v>
      </c>
      <c r="I22258">
        <v>278</v>
      </c>
      <c r="J22258">
        <v>1</v>
      </c>
      <c r="K22258">
        <v>1</v>
      </c>
      <c r="L22258">
        <v>278</v>
      </c>
      <c r="M22258">
        <v>1</v>
      </c>
      <c r="N22258">
        <v>3.2372300000000002E-135</v>
      </c>
      <c r="O22258">
        <v>1230</v>
      </c>
    </row>
    <row r="22259" spans="1:15" x14ac:dyDescent="0.25">
      <c r="A22259" t="s">
        <v>22272</v>
      </c>
      <c r="B22259">
        <v>205</v>
      </c>
      <c r="C22259" s="1" t="str">
        <f>HYPERLINK("http://www.rosaceae.org/gb/gbrowse/malus_x_domestica/?name=MDP0000259139","MDP0000259139")</f>
        <v>MDP0000259139</v>
      </c>
      <c r="D22259">
        <v>69.010000000000005</v>
      </c>
      <c r="E22259">
        <v>142</v>
      </c>
      <c r="F22259">
        <v>44</v>
      </c>
      <c r="G22259">
        <v>6</v>
      </c>
      <c r="H22259">
        <v>31</v>
      </c>
      <c r="I22259">
        <v>171</v>
      </c>
      <c r="J22259">
        <v>1</v>
      </c>
      <c r="K22259">
        <v>13</v>
      </c>
      <c r="L22259">
        <v>149</v>
      </c>
      <c r="M22259">
        <v>1</v>
      </c>
      <c r="N22259">
        <v>6.5569600000000005E-48</v>
      </c>
      <c r="O22259">
        <v>475</v>
      </c>
    </row>
    <row r="22260" spans="1:15" x14ac:dyDescent="0.25">
      <c r="A22260" t="s">
        <v>22273</v>
      </c>
      <c r="B22260">
        <v>579</v>
      </c>
      <c r="C22260" s="1" t="str">
        <f>HYPERLINK("http://www.rosaceae.org/gb/gbrowse/malus_x_domestica/?name=MDP0000202888","MDP0000202888")</f>
        <v>MDP0000202888</v>
      </c>
      <c r="D22260">
        <v>63.88</v>
      </c>
      <c r="E22260">
        <v>180</v>
      </c>
      <c r="F22260">
        <v>65</v>
      </c>
      <c r="G22260">
        <v>15</v>
      </c>
      <c r="H22260">
        <v>1</v>
      </c>
      <c r="I22260">
        <v>177</v>
      </c>
      <c r="J22260">
        <v>1</v>
      </c>
      <c r="K22260">
        <v>58</v>
      </c>
      <c r="L22260">
        <v>225</v>
      </c>
      <c r="M22260">
        <v>1</v>
      </c>
      <c r="N22260">
        <v>3.6152300000000001E-59</v>
      </c>
      <c r="O22260">
        <v>577</v>
      </c>
    </row>
    <row r="22261" spans="1:15" x14ac:dyDescent="0.25">
      <c r="A22261" t="s">
        <v>22274</v>
      </c>
      <c r="B22261">
        <v>860</v>
      </c>
      <c r="C22261" s="1" t="str">
        <f>HYPERLINK("http://www.rosaceae.org/gb/gbrowse/malus_x_domestica/?name=MDP0000146893","MDP0000146893")</f>
        <v>MDP0000146893</v>
      </c>
      <c r="D22261">
        <v>75.760000000000005</v>
      </c>
      <c r="E22261">
        <v>813</v>
      </c>
      <c r="F22261">
        <v>197</v>
      </c>
      <c r="G22261">
        <v>2</v>
      </c>
      <c r="H22261">
        <v>5</v>
      </c>
      <c r="I22261">
        <v>815</v>
      </c>
      <c r="J22261">
        <v>1</v>
      </c>
      <c r="K22261">
        <v>4</v>
      </c>
      <c r="L22261">
        <v>816</v>
      </c>
      <c r="M22261">
        <v>1</v>
      </c>
      <c r="N22261">
        <v>0</v>
      </c>
      <c r="O22261">
        <v>3046</v>
      </c>
    </row>
    <row r="22262" spans="1:15" x14ac:dyDescent="0.25">
      <c r="A22262" t="s">
        <v>22275</v>
      </c>
      <c r="B22262">
        <v>421</v>
      </c>
      <c r="C22262" s="1" t="str">
        <f>HYPERLINK("http://www.rosaceae.org/gb/gbrowse/malus_x_domestica/?name=MDP0000241291","MDP0000241291")</f>
        <v>MDP0000241291</v>
      </c>
      <c r="D22262">
        <v>67.12</v>
      </c>
      <c r="E22262">
        <v>365</v>
      </c>
      <c r="F22262">
        <v>120</v>
      </c>
      <c r="G22262">
        <v>12</v>
      </c>
      <c r="H22262">
        <v>46</v>
      </c>
      <c r="I22262">
        <v>409</v>
      </c>
      <c r="J22262">
        <v>1</v>
      </c>
      <c r="K22262">
        <v>54</v>
      </c>
      <c r="L22262">
        <v>407</v>
      </c>
      <c r="M22262">
        <v>1</v>
      </c>
      <c r="N22262">
        <v>1.68998E-132</v>
      </c>
      <c r="O22262">
        <v>1208</v>
      </c>
    </row>
    <row r="22263" spans="1:15" x14ac:dyDescent="0.25">
      <c r="A22263" t="s">
        <v>22276</v>
      </c>
      <c r="B22263">
        <v>88</v>
      </c>
      <c r="C22263" s="1" t="str">
        <f>HYPERLINK("http://www.rosaceae.org/gb/gbrowse/malus_x_domestica/?name=MDP0000388583","MDP0000388583")</f>
        <v>MDP0000388583</v>
      </c>
      <c r="D22263">
        <v>86.48</v>
      </c>
      <c r="E22263">
        <v>37</v>
      </c>
      <c r="F22263">
        <v>5</v>
      </c>
      <c r="G22263">
        <v>0</v>
      </c>
      <c r="H22263">
        <v>1</v>
      </c>
      <c r="I22263">
        <v>37</v>
      </c>
      <c r="J22263">
        <v>1</v>
      </c>
      <c r="K22263">
        <v>124</v>
      </c>
      <c r="L22263">
        <v>160</v>
      </c>
      <c r="M22263">
        <v>1</v>
      </c>
      <c r="N22263">
        <v>3.45673E-12</v>
      </c>
      <c r="O22263">
        <v>162</v>
      </c>
    </row>
    <row r="22264" spans="1:15" x14ac:dyDescent="0.25">
      <c r="A22264" t="s">
        <v>22277</v>
      </c>
      <c r="B22264">
        <v>122</v>
      </c>
      <c r="C22264" s="1" t="str">
        <f>HYPERLINK("http://www.rosaceae.org/gb/gbrowse/malus_x_domestica/?name=MDP0000258622","MDP0000258622")</f>
        <v>MDP0000258622</v>
      </c>
      <c r="D22264">
        <v>40.49</v>
      </c>
      <c r="E22264">
        <v>121</v>
      </c>
      <c r="F22264">
        <v>72</v>
      </c>
      <c r="G22264">
        <v>4</v>
      </c>
      <c r="H22264">
        <v>3</v>
      </c>
      <c r="I22264">
        <v>121</v>
      </c>
      <c r="J22264">
        <v>1</v>
      </c>
      <c r="K22264">
        <v>6</v>
      </c>
      <c r="L22264">
        <v>124</v>
      </c>
      <c r="M22264">
        <v>1</v>
      </c>
      <c r="N22264">
        <v>2.3049199999999998E-12</v>
      </c>
      <c r="O22264">
        <v>164</v>
      </c>
    </row>
    <row r="22265" spans="1:15" x14ac:dyDescent="0.25">
      <c r="A22265" t="s">
        <v>22278</v>
      </c>
      <c r="B22265">
        <v>421</v>
      </c>
      <c r="C22265" s="1" t="str">
        <f>HYPERLINK("http://www.rosaceae.org/gb/gbrowse/malus_x_domestica/?name=MDP0000212068","MDP0000212068")</f>
        <v>MDP0000212068</v>
      </c>
      <c r="D22265">
        <v>57.26</v>
      </c>
      <c r="E22265">
        <v>227</v>
      </c>
      <c r="F22265">
        <v>97</v>
      </c>
      <c r="G22265">
        <v>3</v>
      </c>
      <c r="H22265">
        <v>11</v>
      </c>
      <c r="I22265">
        <v>234</v>
      </c>
      <c r="J22265">
        <v>1</v>
      </c>
      <c r="K22265">
        <v>55</v>
      </c>
      <c r="L22265">
        <v>281</v>
      </c>
      <c r="M22265">
        <v>1</v>
      </c>
      <c r="N22265">
        <v>2.8615700000000001E-71</v>
      </c>
      <c r="O22265">
        <v>680</v>
      </c>
    </row>
    <row r="22266" spans="1:15" x14ac:dyDescent="0.25">
      <c r="A22266" t="s">
        <v>22279</v>
      </c>
      <c r="B22266">
        <v>408</v>
      </c>
      <c r="C22266" s="1" t="str">
        <f>HYPERLINK("http://www.rosaceae.org/gb/gbrowse/malus_x_domestica/?name=MDP0000208497","MDP0000208497")</f>
        <v>MDP0000208497</v>
      </c>
      <c r="D22266">
        <v>50</v>
      </c>
      <c r="E22266">
        <v>114</v>
      </c>
      <c r="F22266">
        <v>57</v>
      </c>
      <c r="G22266">
        <v>2</v>
      </c>
      <c r="H22266">
        <v>64</v>
      </c>
      <c r="I22266">
        <v>177</v>
      </c>
      <c r="J22266">
        <v>1</v>
      </c>
      <c r="K22266">
        <v>53</v>
      </c>
      <c r="L22266">
        <v>164</v>
      </c>
      <c r="M22266">
        <v>1</v>
      </c>
      <c r="N22266">
        <v>6.1441900000000003E-24</v>
      </c>
      <c r="O22266">
        <v>272</v>
      </c>
    </row>
    <row r="22267" spans="1:15" x14ac:dyDescent="0.25">
      <c r="A22267" t="s">
        <v>22280</v>
      </c>
      <c r="B22267">
        <v>94</v>
      </c>
      <c r="C22267" s="1" t="str">
        <f>HYPERLINK("http://www.rosaceae.org/gb/gbrowse/malus_x_domestica/?name=MDP0000243227","MDP0000243227")</f>
        <v>MDP0000243227</v>
      </c>
      <c r="D22267">
        <v>58.45</v>
      </c>
      <c r="E22267">
        <v>142</v>
      </c>
      <c r="F22267">
        <v>59</v>
      </c>
      <c r="G22267">
        <v>49</v>
      </c>
      <c r="H22267">
        <v>2</v>
      </c>
      <c r="I22267">
        <v>94</v>
      </c>
      <c r="J22267">
        <v>1</v>
      </c>
      <c r="K22267">
        <v>66</v>
      </c>
      <c r="L22267">
        <v>207</v>
      </c>
      <c r="M22267">
        <v>1</v>
      </c>
      <c r="N22267">
        <v>9.4290999999999998E-37</v>
      </c>
      <c r="O22267">
        <v>374</v>
      </c>
    </row>
    <row r="22268" spans="1:15" x14ac:dyDescent="0.25">
      <c r="A22268" t="s">
        <v>22281</v>
      </c>
      <c r="B22268">
        <v>178</v>
      </c>
      <c r="C22268" s="1" t="str">
        <f>HYPERLINK("http://www.rosaceae.org/gb/gbrowse/malus_x_domestica/?name=MDP0000290966","MDP0000290966")</f>
        <v>MDP0000290966</v>
      </c>
      <c r="D22268">
        <v>32.25</v>
      </c>
      <c r="E22268">
        <v>124</v>
      </c>
      <c r="F22268">
        <v>84</v>
      </c>
      <c r="G22268">
        <v>0</v>
      </c>
      <c r="H22268">
        <v>18</v>
      </c>
      <c r="I22268">
        <v>141</v>
      </c>
      <c r="J22268">
        <v>1</v>
      </c>
      <c r="K22268">
        <v>133</v>
      </c>
      <c r="L22268">
        <v>256</v>
      </c>
      <c r="M22268">
        <v>1</v>
      </c>
      <c r="N22268">
        <v>4.7311500000000001E-12</v>
      </c>
      <c r="O22268">
        <v>165</v>
      </c>
    </row>
    <row r="22269" spans="1:15" x14ac:dyDescent="0.25">
      <c r="A22269" t="s">
        <v>22282</v>
      </c>
      <c r="B22269">
        <v>271</v>
      </c>
      <c r="C22269" s="1" t="str">
        <f>HYPERLINK("http://www.rosaceae.org/gb/gbrowse/malus_x_domestica/?name=MDP0000229885","MDP0000229885")</f>
        <v>MDP0000229885</v>
      </c>
      <c r="D22269">
        <v>64.25</v>
      </c>
      <c r="E22269">
        <v>277</v>
      </c>
      <c r="F22269">
        <v>99</v>
      </c>
      <c r="G22269">
        <v>9</v>
      </c>
      <c r="H22269">
        <v>1</v>
      </c>
      <c r="I22269">
        <v>271</v>
      </c>
      <c r="J22269">
        <v>1</v>
      </c>
      <c r="K22269">
        <v>1</v>
      </c>
      <c r="L22269">
        <v>274</v>
      </c>
      <c r="M22269">
        <v>1</v>
      </c>
      <c r="N22269">
        <v>2.1267E-92</v>
      </c>
      <c r="O22269">
        <v>860</v>
      </c>
    </row>
    <row r="22270" spans="1:15" x14ac:dyDescent="0.25">
      <c r="A22270" t="s">
        <v>22283</v>
      </c>
      <c r="B22270">
        <v>569</v>
      </c>
      <c r="C22270" s="1" t="str">
        <f>HYPERLINK("http://www.rosaceae.org/gb/gbrowse/malus_x_domestica/?name=MDP0000129868","MDP0000129868")</f>
        <v>MDP0000129868</v>
      </c>
      <c r="D22270">
        <v>37.630000000000003</v>
      </c>
      <c r="E22270">
        <v>449</v>
      </c>
      <c r="F22270">
        <v>280</v>
      </c>
      <c r="G22270">
        <v>68</v>
      </c>
      <c r="H22270">
        <v>184</v>
      </c>
      <c r="I22270">
        <v>569</v>
      </c>
      <c r="J22270">
        <v>1</v>
      </c>
      <c r="K22270">
        <v>11</v>
      </c>
      <c r="L22270">
        <v>454</v>
      </c>
      <c r="M22270">
        <v>1</v>
      </c>
      <c r="N22270">
        <v>1.08825E-68</v>
      </c>
      <c r="O22270">
        <v>659</v>
      </c>
    </row>
    <row r="22271" spans="1:15" x14ac:dyDescent="0.25">
      <c r="A22271" t="s">
        <v>22284</v>
      </c>
      <c r="B22271">
        <v>528</v>
      </c>
      <c r="C22271" s="1" t="str">
        <f>HYPERLINK("http://www.rosaceae.org/gb/gbrowse/malus_x_domestica/?name=MDP0000194606","MDP0000194606")</f>
        <v>MDP0000194606</v>
      </c>
      <c r="D22271">
        <v>66.430000000000007</v>
      </c>
      <c r="E22271">
        <v>429</v>
      </c>
      <c r="F22271">
        <v>144</v>
      </c>
      <c r="G22271">
        <v>22</v>
      </c>
      <c r="H22271">
        <v>1</v>
      </c>
      <c r="I22271">
        <v>414</v>
      </c>
      <c r="J22271">
        <v>1</v>
      </c>
      <c r="K22271">
        <v>112</v>
      </c>
      <c r="L22271">
        <v>533</v>
      </c>
      <c r="M22271">
        <v>1</v>
      </c>
      <c r="N22271">
        <v>1.3676599999999999E-159</v>
      </c>
      <c r="O22271">
        <v>1443</v>
      </c>
    </row>
    <row r="22272" spans="1:15" x14ac:dyDescent="0.25">
      <c r="A22272" t="s">
        <v>22285</v>
      </c>
      <c r="B22272">
        <v>192</v>
      </c>
      <c r="C22272" s="1" t="str">
        <f>HYPERLINK("http://www.rosaceae.org/gb/gbrowse/malus_x_domestica/?name=MDP0000743449","MDP0000743449")</f>
        <v>MDP0000743449</v>
      </c>
      <c r="D22272">
        <v>57.92</v>
      </c>
      <c r="E22272">
        <v>183</v>
      </c>
      <c r="F22272">
        <v>77</v>
      </c>
      <c r="G22272">
        <v>2</v>
      </c>
      <c r="H22272">
        <v>11</v>
      </c>
      <c r="I22272">
        <v>192</v>
      </c>
      <c r="J22272">
        <v>1</v>
      </c>
      <c r="K22272">
        <v>18</v>
      </c>
      <c r="L22272">
        <v>199</v>
      </c>
      <c r="M22272">
        <v>1</v>
      </c>
      <c r="N22272">
        <v>6.3382399999999997E-51</v>
      </c>
      <c r="O22272">
        <v>500</v>
      </c>
    </row>
    <row r="22273" spans="1:15" x14ac:dyDescent="0.25">
      <c r="A22273" t="s">
        <v>22286</v>
      </c>
      <c r="B22273">
        <v>422</v>
      </c>
      <c r="C22273" s="1" t="str">
        <f>HYPERLINK("http://www.rosaceae.org/gb/gbrowse/malus_x_domestica/?name=MDP0000138204","MDP0000138204")</f>
        <v>MDP0000138204</v>
      </c>
      <c r="D22273">
        <v>77.66</v>
      </c>
      <c r="E22273">
        <v>412</v>
      </c>
      <c r="F22273">
        <v>92</v>
      </c>
      <c r="G22273">
        <v>37</v>
      </c>
      <c r="H22273">
        <v>10</v>
      </c>
      <c r="I22273">
        <v>386</v>
      </c>
      <c r="J22273">
        <v>1</v>
      </c>
      <c r="K22273">
        <v>44</v>
      </c>
      <c r="L22273">
        <v>453</v>
      </c>
      <c r="M22273">
        <v>1</v>
      </c>
      <c r="N22273">
        <v>0</v>
      </c>
      <c r="O22273">
        <v>1629</v>
      </c>
    </row>
    <row r="22274" spans="1:15" x14ac:dyDescent="0.25">
      <c r="A22274" t="s">
        <v>22287</v>
      </c>
      <c r="B22274">
        <v>416</v>
      </c>
      <c r="C22274" s="1" t="str">
        <f>HYPERLINK("http://www.rosaceae.org/gb/gbrowse/malus_x_domestica/?name=MDP0000221735","MDP0000221735")</f>
        <v>MDP0000221735</v>
      </c>
      <c r="D22274">
        <v>61.53</v>
      </c>
      <c r="E22274">
        <v>416</v>
      </c>
      <c r="F22274">
        <v>160</v>
      </c>
      <c r="G22274">
        <v>4</v>
      </c>
      <c r="H22274">
        <v>1</v>
      </c>
      <c r="I22274">
        <v>414</v>
      </c>
      <c r="J22274">
        <v>1</v>
      </c>
      <c r="K22274">
        <v>466</v>
      </c>
      <c r="L22274">
        <v>879</v>
      </c>
      <c r="M22274">
        <v>1</v>
      </c>
      <c r="N22274">
        <v>8.0407900000000004E-136</v>
      </c>
      <c r="O22274">
        <v>1237</v>
      </c>
    </row>
    <row r="22275" spans="1:15" x14ac:dyDescent="0.25">
      <c r="A22275" t="s">
        <v>22288</v>
      </c>
      <c r="B22275">
        <v>354</v>
      </c>
      <c r="C22275" s="1" t="str">
        <f>HYPERLINK("http://www.rosaceae.org/gb/gbrowse/malus_x_domestica/?name=MDP0000230524","MDP0000230524")</f>
        <v>MDP0000230524</v>
      </c>
      <c r="D22275">
        <v>44.87</v>
      </c>
      <c r="E22275">
        <v>283</v>
      </c>
      <c r="F22275">
        <v>156</v>
      </c>
      <c r="G22275">
        <v>54</v>
      </c>
      <c r="H22275">
        <v>30</v>
      </c>
      <c r="I22275">
        <v>265</v>
      </c>
      <c r="J22275">
        <v>1</v>
      </c>
      <c r="K22275">
        <v>27</v>
      </c>
      <c r="L22275">
        <v>302</v>
      </c>
      <c r="M22275">
        <v>1</v>
      </c>
      <c r="N22275">
        <v>5.5588300000000001E-62</v>
      </c>
      <c r="O22275">
        <v>599</v>
      </c>
    </row>
    <row r="22276" spans="1:15" x14ac:dyDescent="0.25">
      <c r="A22276" t="s">
        <v>22289</v>
      </c>
      <c r="B22276">
        <v>245</v>
      </c>
      <c r="C22276" s="1" t="str">
        <f>HYPERLINK("http://www.rosaceae.org/gb/gbrowse/malus_x_domestica/?name=MDP0000209383","MDP0000209383")</f>
        <v>MDP0000209383</v>
      </c>
      <c r="D22276">
        <v>72.34</v>
      </c>
      <c r="E22276">
        <v>264</v>
      </c>
      <c r="F22276">
        <v>73</v>
      </c>
      <c r="G22276">
        <v>22</v>
      </c>
      <c r="H22276">
        <v>1</v>
      </c>
      <c r="I22276">
        <v>243</v>
      </c>
      <c r="J22276">
        <v>1</v>
      </c>
      <c r="K22276">
        <v>1</v>
      </c>
      <c r="L22276">
        <v>263</v>
      </c>
      <c r="M22276">
        <v>1</v>
      </c>
      <c r="N22276">
        <v>1.5619900000000001E-99</v>
      </c>
      <c r="O22276">
        <v>921</v>
      </c>
    </row>
    <row r="22277" spans="1:15" x14ac:dyDescent="0.25">
      <c r="A22277" t="s">
        <v>22290</v>
      </c>
      <c r="B22277">
        <v>224</v>
      </c>
      <c r="C22277" s="1" t="str">
        <f>HYPERLINK("http://www.rosaceae.org/gb/gbrowse/malus_x_domestica/?name=MDP0000209705","MDP0000209705")</f>
        <v>MDP0000209705</v>
      </c>
      <c r="D22277">
        <v>67.84</v>
      </c>
      <c r="E22277">
        <v>227</v>
      </c>
      <c r="F22277">
        <v>73</v>
      </c>
      <c r="G22277">
        <v>33</v>
      </c>
      <c r="H22277">
        <v>1</v>
      </c>
      <c r="I22277">
        <v>195</v>
      </c>
      <c r="J22277">
        <v>1</v>
      </c>
      <c r="K22277">
        <v>1</v>
      </c>
      <c r="L22277">
        <v>226</v>
      </c>
      <c r="M22277">
        <v>1</v>
      </c>
      <c r="N22277">
        <v>2.0966900000000001E-77</v>
      </c>
      <c r="O22277">
        <v>730</v>
      </c>
    </row>
    <row r="22278" spans="1:15" x14ac:dyDescent="0.25">
      <c r="A22278" t="s">
        <v>22291</v>
      </c>
      <c r="B22278">
        <v>752</v>
      </c>
      <c r="C22278" s="1" t="str">
        <f>HYPERLINK("http://www.rosaceae.org/gb/gbrowse/malus_x_domestica/?name=MDP0000212039","MDP0000212039")</f>
        <v>MDP0000212039</v>
      </c>
      <c r="D22278">
        <v>34.090000000000003</v>
      </c>
      <c r="E22278">
        <v>616</v>
      </c>
      <c r="F22278">
        <v>406</v>
      </c>
      <c r="G22278">
        <v>93</v>
      </c>
      <c r="H22278">
        <v>10</v>
      </c>
      <c r="I22278">
        <v>561</v>
      </c>
      <c r="J22278">
        <v>1</v>
      </c>
      <c r="K22278">
        <v>11</v>
      </c>
      <c r="L22278">
        <v>597</v>
      </c>
      <c r="M22278">
        <v>1</v>
      </c>
      <c r="N22278">
        <v>2.1830899999999998E-80</v>
      </c>
      <c r="O22278">
        <v>762</v>
      </c>
    </row>
    <row r="22279" spans="1:15" x14ac:dyDescent="0.25">
      <c r="A22279" t="s">
        <v>22292</v>
      </c>
      <c r="B22279">
        <v>274</v>
      </c>
      <c r="C22279" s="1" t="str">
        <f>HYPERLINK("http://www.rosaceae.org/gb/gbrowse/malus_x_domestica/?name=MDP0000245732","MDP0000245732")</f>
        <v>MDP0000245732</v>
      </c>
      <c r="D22279">
        <v>88.52</v>
      </c>
      <c r="E22279">
        <v>61</v>
      </c>
      <c r="F22279">
        <v>7</v>
      </c>
      <c r="G22279">
        <v>0</v>
      </c>
      <c r="H22279">
        <v>1</v>
      </c>
      <c r="I22279">
        <v>61</v>
      </c>
      <c r="J22279">
        <v>1</v>
      </c>
      <c r="K22279">
        <v>1</v>
      </c>
      <c r="L22279">
        <v>61</v>
      </c>
      <c r="M22279">
        <v>1</v>
      </c>
      <c r="N22279">
        <v>6.6927300000000005E-26</v>
      </c>
      <c r="O22279">
        <v>287</v>
      </c>
    </row>
    <row r="22280" spans="1:15" x14ac:dyDescent="0.25">
      <c r="A22280" t="s">
        <v>22293</v>
      </c>
      <c r="B22280">
        <v>152</v>
      </c>
      <c r="C22280" s="1" t="str">
        <f>HYPERLINK("http://www.rosaceae.org/gb/gbrowse/malus_x_domestica/?name=MDP0000242277","MDP0000242277")</f>
        <v>MDP0000242277</v>
      </c>
      <c r="D22280">
        <v>52.48</v>
      </c>
      <c r="E22280">
        <v>141</v>
      </c>
      <c r="F22280">
        <v>67</v>
      </c>
      <c r="G22280">
        <v>4</v>
      </c>
      <c r="H22280">
        <v>9</v>
      </c>
      <c r="I22280">
        <v>146</v>
      </c>
      <c r="J22280">
        <v>1</v>
      </c>
      <c r="K22280">
        <v>13</v>
      </c>
      <c r="L22280">
        <v>152</v>
      </c>
      <c r="M22280">
        <v>1</v>
      </c>
      <c r="N22280">
        <v>8.52012E-34</v>
      </c>
      <c r="O22280">
        <v>351</v>
      </c>
    </row>
    <row r="22281" spans="1:15" x14ac:dyDescent="0.25">
      <c r="A22281" t="s">
        <v>22294</v>
      </c>
      <c r="B22281">
        <v>805</v>
      </c>
      <c r="C22281" s="1" t="str">
        <f>HYPERLINK("http://www.rosaceae.org/gb/gbrowse/malus_x_domestica/?name=MDP0000900893","MDP0000900893")</f>
        <v>MDP0000900893</v>
      </c>
      <c r="D22281">
        <v>62.31</v>
      </c>
      <c r="E22281">
        <v>337</v>
      </c>
      <c r="F22281">
        <v>127</v>
      </c>
      <c r="G22281">
        <v>39</v>
      </c>
      <c r="H22281">
        <v>506</v>
      </c>
      <c r="I22281">
        <v>805</v>
      </c>
      <c r="J22281">
        <v>1</v>
      </c>
      <c r="K22281">
        <v>5</v>
      </c>
      <c r="L22281">
        <v>339</v>
      </c>
      <c r="M22281">
        <v>1</v>
      </c>
      <c r="N22281">
        <v>1.7141999999999999E-105</v>
      </c>
      <c r="O22281">
        <v>978</v>
      </c>
    </row>
    <row r="22282" spans="1:15" x14ac:dyDescent="0.25">
      <c r="A22282" t="s">
        <v>22295</v>
      </c>
      <c r="B22282">
        <v>204</v>
      </c>
      <c r="C22282" s="1" t="str">
        <f>HYPERLINK("http://www.rosaceae.org/gb/gbrowse/malus_x_domestica/?name=MDP0000300351","MDP0000300351")</f>
        <v>MDP0000300351</v>
      </c>
      <c r="D22282">
        <v>40.76</v>
      </c>
      <c r="E22282">
        <v>157</v>
      </c>
      <c r="F22282">
        <v>93</v>
      </c>
      <c r="G22282">
        <v>15</v>
      </c>
      <c r="H22282">
        <v>24</v>
      </c>
      <c r="I22282">
        <v>166</v>
      </c>
      <c r="J22282">
        <v>1</v>
      </c>
      <c r="K22282">
        <v>10</v>
      </c>
      <c r="L22282">
        <v>165</v>
      </c>
      <c r="M22282">
        <v>1</v>
      </c>
      <c r="N22282">
        <v>1.7526799999999999E-19</v>
      </c>
      <c r="O22282">
        <v>230</v>
      </c>
    </row>
    <row r="22283" spans="1:15" x14ac:dyDescent="0.25">
      <c r="A22283" t="s">
        <v>22296</v>
      </c>
      <c r="B22283">
        <v>448</v>
      </c>
      <c r="C22283" s="1" t="str">
        <f>HYPERLINK("http://www.rosaceae.org/gb/gbrowse/malus_x_domestica/?name=MDP0000923039","MDP0000923039")</f>
        <v>MDP0000923039</v>
      </c>
      <c r="D22283">
        <v>67.28</v>
      </c>
      <c r="E22283">
        <v>162</v>
      </c>
      <c r="F22283">
        <v>53</v>
      </c>
      <c r="G22283">
        <v>19</v>
      </c>
      <c r="H22283">
        <v>78</v>
      </c>
      <c r="I22283">
        <v>234</v>
      </c>
      <c r="J22283">
        <v>1</v>
      </c>
      <c r="K22283">
        <v>6</v>
      </c>
      <c r="L22283">
        <v>153</v>
      </c>
      <c r="M22283">
        <v>1</v>
      </c>
      <c r="N22283">
        <v>2.1153000000000001E-50</v>
      </c>
      <c r="O22283">
        <v>501</v>
      </c>
    </row>
    <row r="22284" spans="1:15" x14ac:dyDescent="0.25">
      <c r="A22284" t="s">
        <v>22297</v>
      </c>
      <c r="B22284">
        <v>873</v>
      </c>
      <c r="C22284" s="1" t="str">
        <f>HYPERLINK("http://www.rosaceae.org/gb/gbrowse/malus_x_domestica/?name=MDP0000854536","MDP0000854536")</f>
        <v>MDP0000854536</v>
      </c>
      <c r="D22284">
        <v>69.25</v>
      </c>
      <c r="E22284">
        <v>631</v>
      </c>
      <c r="F22284">
        <v>194</v>
      </c>
      <c r="G22284">
        <v>64</v>
      </c>
      <c r="H22284">
        <v>289</v>
      </c>
      <c r="I22284">
        <v>873</v>
      </c>
      <c r="J22284">
        <v>1</v>
      </c>
      <c r="K22284">
        <v>34</v>
      </c>
      <c r="L22284">
        <v>646</v>
      </c>
      <c r="M22284">
        <v>1</v>
      </c>
      <c r="N22284">
        <v>0</v>
      </c>
      <c r="O22284">
        <v>2193</v>
      </c>
    </row>
    <row r="22285" spans="1:15" x14ac:dyDescent="0.25">
      <c r="A22285" t="s">
        <v>22298</v>
      </c>
      <c r="B22285">
        <v>146</v>
      </c>
      <c r="C22285" s="1" t="str">
        <f>HYPERLINK("http://www.rosaceae.org/gb/gbrowse/malus_x_domestica/?name=MDP0000286457","MDP0000286457")</f>
        <v>MDP0000286457</v>
      </c>
      <c r="D22285">
        <v>68.64</v>
      </c>
      <c r="E22285">
        <v>118</v>
      </c>
      <c r="F22285">
        <v>37</v>
      </c>
      <c r="G22285">
        <v>7</v>
      </c>
      <c r="H22285">
        <v>28</v>
      </c>
      <c r="I22285">
        <v>140</v>
      </c>
      <c r="J22285">
        <v>1</v>
      </c>
      <c r="K22285">
        <v>270</v>
      </c>
      <c r="L22285">
        <v>385</v>
      </c>
      <c r="M22285">
        <v>1</v>
      </c>
      <c r="N22285">
        <v>5.5121499999999999E-37</v>
      </c>
      <c r="O22285">
        <v>378</v>
      </c>
    </row>
    <row r="22286" spans="1:15" x14ac:dyDescent="0.25">
      <c r="A22286" t="s">
        <v>22299</v>
      </c>
      <c r="B22286">
        <v>732</v>
      </c>
      <c r="C22286" s="1" t="str">
        <f>HYPERLINK("http://www.rosaceae.org/gb/gbrowse/malus_x_domestica/?name=MDP0000258989","MDP0000258989")</f>
        <v>MDP0000258989</v>
      </c>
      <c r="D22286">
        <v>71.63</v>
      </c>
      <c r="E22286">
        <v>677</v>
      </c>
      <c r="F22286">
        <v>192</v>
      </c>
      <c r="G22286">
        <v>5</v>
      </c>
      <c r="H22286">
        <v>37</v>
      </c>
      <c r="I22286">
        <v>712</v>
      </c>
      <c r="J22286">
        <v>1</v>
      </c>
      <c r="K22286">
        <v>202</v>
      </c>
      <c r="L22286">
        <v>874</v>
      </c>
      <c r="M22286">
        <v>1</v>
      </c>
      <c r="N22286">
        <v>0</v>
      </c>
      <c r="O22286">
        <v>2435</v>
      </c>
    </row>
    <row r="22287" spans="1:15" x14ac:dyDescent="0.25">
      <c r="A22287" t="s">
        <v>22300</v>
      </c>
      <c r="B22287">
        <v>419</v>
      </c>
      <c r="C22287" s="1" t="str">
        <f>HYPERLINK("http://www.rosaceae.org/gb/gbrowse/malus_x_domestica/?name=MDP0000160291","MDP0000160291")</f>
        <v>MDP0000160291</v>
      </c>
      <c r="D22287">
        <v>76.78</v>
      </c>
      <c r="E22287">
        <v>280</v>
      </c>
      <c r="F22287">
        <v>65</v>
      </c>
      <c r="G22287">
        <v>21</v>
      </c>
      <c r="H22287">
        <v>138</v>
      </c>
      <c r="I22287">
        <v>417</v>
      </c>
      <c r="J22287">
        <v>1</v>
      </c>
      <c r="K22287">
        <v>9</v>
      </c>
      <c r="L22287">
        <v>267</v>
      </c>
      <c r="M22287">
        <v>1</v>
      </c>
      <c r="N22287">
        <v>2.1976299999999999E-125</v>
      </c>
      <c r="O22287">
        <v>1147</v>
      </c>
    </row>
    <row r="22288" spans="1:15" x14ac:dyDescent="0.25">
      <c r="A22288" t="s">
        <v>22301</v>
      </c>
      <c r="B22288">
        <v>1145</v>
      </c>
      <c r="C22288" s="1" t="str">
        <f>HYPERLINK("http://www.rosaceae.org/gb/gbrowse/malus_x_domestica/?name=MDP0000314005","MDP0000314005")</f>
        <v>MDP0000314005</v>
      </c>
      <c r="D22288">
        <v>73.28</v>
      </c>
      <c r="E22288">
        <v>891</v>
      </c>
      <c r="F22288">
        <v>238</v>
      </c>
      <c r="G22288">
        <v>17</v>
      </c>
      <c r="H22288">
        <v>264</v>
      </c>
      <c r="I22288">
        <v>1145</v>
      </c>
      <c r="J22288">
        <v>1</v>
      </c>
      <c r="K22288">
        <v>1</v>
      </c>
      <c r="L22288">
        <v>883</v>
      </c>
      <c r="M22288">
        <v>1</v>
      </c>
      <c r="N22288">
        <v>0</v>
      </c>
      <c r="O22288">
        <v>3386</v>
      </c>
    </row>
    <row r="22289" spans="1:15" x14ac:dyDescent="0.25">
      <c r="A22289" t="s">
        <v>22302</v>
      </c>
      <c r="B22289">
        <v>213</v>
      </c>
      <c r="C22289" s="1" t="str">
        <f>HYPERLINK("http://www.rosaceae.org/gb/gbrowse/malus_x_domestica/?name=MDP0000475549","MDP0000475549")</f>
        <v>MDP0000475549</v>
      </c>
      <c r="D22289">
        <v>98.33</v>
      </c>
      <c r="E22289">
        <v>60</v>
      </c>
      <c r="F22289">
        <v>1</v>
      </c>
      <c r="G22289">
        <v>0</v>
      </c>
      <c r="H22289">
        <v>1</v>
      </c>
      <c r="I22289">
        <v>60</v>
      </c>
      <c r="J22289">
        <v>1</v>
      </c>
      <c r="K22289">
        <v>1</v>
      </c>
      <c r="L22289">
        <v>60</v>
      </c>
      <c r="M22289">
        <v>1</v>
      </c>
      <c r="N22289">
        <v>2.7859399999999998E-28</v>
      </c>
      <c r="O22289">
        <v>306</v>
      </c>
    </row>
    <row r="22290" spans="1:15" x14ac:dyDescent="0.25">
      <c r="A22290" t="s">
        <v>22303</v>
      </c>
      <c r="B22290">
        <v>769</v>
      </c>
      <c r="C22290" s="1" t="str">
        <f>HYPERLINK("http://www.rosaceae.org/gb/gbrowse/malus_x_domestica/?name=MDP0000231635","MDP0000231635")</f>
        <v>MDP0000231635</v>
      </c>
      <c r="D22290">
        <v>69.83</v>
      </c>
      <c r="E22290">
        <v>779</v>
      </c>
      <c r="F22290">
        <v>235</v>
      </c>
      <c r="G22290">
        <v>18</v>
      </c>
      <c r="H22290">
        <v>8</v>
      </c>
      <c r="I22290">
        <v>768</v>
      </c>
      <c r="J22290">
        <v>1</v>
      </c>
      <c r="K22290">
        <v>102</v>
      </c>
      <c r="L22290">
        <v>880</v>
      </c>
      <c r="M22290">
        <v>1</v>
      </c>
      <c r="N22290">
        <v>0</v>
      </c>
      <c r="O22290">
        <v>2760</v>
      </c>
    </row>
    <row r="22291" spans="1:15" x14ac:dyDescent="0.25">
      <c r="A22291" t="s">
        <v>22304</v>
      </c>
      <c r="B22291">
        <v>480</v>
      </c>
      <c r="C22291" s="1" t="str">
        <f>HYPERLINK("http://www.rosaceae.org/gb/gbrowse/malus_x_domestica/?name=MDP0000164531","MDP0000164531")</f>
        <v>MDP0000164531</v>
      </c>
      <c r="D22291">
        <v>53.48</v>
      </c>
      <c r="E22291">
        <v>344</v>
      </c>
      <c r="F22291">
        <v>160</v>
      </c>
      <c r="G22291">
        <v>45</v>
      </c>
      <c r="H22291">
        <v>25</v>
      </c>
      <c r="I22291">
        <v>356</v>
      </c>
      <c r="J22291">
        <v>1</v>
      </c>
      <c r="K22291">
        <v>4</v>
      </c>
      <c r="L22291">
        <v>314</v>
      </c>
      <c r="M22291">
        <v>1</v>
      </c>
      <c r="N22291">
        <v>2.8184300000000002E-89</v>
      </c>
      <c r="O22291">
        <v>836</v>
      </c>
    </row>
    <row r="22292" spans="1:15" x14ac:dyDescent="0.25">
      <c r="A22292" t="s">
        <v>22305</v>
      </c>
      <c r="B22292">
        <v>224</v>
      </c>
      <c r="C22292" s="1" t="str">
        <f>HYPERLINK("http://www.rosaceae.org/gb/gbrowse/malus_x_domestica/?name=MDP0000632046","MDP0000632046")</f>
        <v>MDP0000632046</v>
      </c>
      <c r="D22292">
        <v>38.46</v>
      </c>
      <c r="E22292">
        <v>104</v>
      </c>
      <c r="F22292">
        <v>64</v>
      </c>
      <c r="G22292">
        <v>21</v>
      </c>
      <c r="H22292">
        <v>30</v>
      </c>
      <c r="I22292">
        <v>116</v>
      </c>
      <c r="J22292">
        <v>1</v>
      </c>
      <c r="K22292">
        <v>63</v>
      </c>
      <c r="L22292">
        <v>162</v>
      </c>
      <c r="M22292">
        <v>1</v>
      </c>
      <c r="N22292">
        <v>2.1212799999999999E-8</v>
      </c>
      <c r="O22292">
        <v>135</v>
      </c>
    </row>
    <row r="22293" spans="1:15" x14ac:dyDescent="0.25">
      <c r="A22293" t="s">
        <v>22306</v>
      </c>
      <c r="B22293">
        <v>1001</v>
      </c>
      <c r="C22293" s="1" t="str">
        <f>HYPERLINK("http://www.rosaceae.org/gb/gbrowse/malus_x_domestica/?name=MDP0000309582","MDP0000309582")</f>
        <v>MDP0000309582</v>
      </c>
      <c r="D22293">
        <v>34.71</v>
      </c>
      <c r="E22293">
        <v>602</v>
      </c>
      <c r="F22293">
        <v>393</v>
      </c>
      <c r="G22293">
        <v>58</v>
      </c>
      <c r="H22293">
        <v>316</v>
      </c>
      <c r="I22293">
        <v>872</v>
      </c>
      <c r="J22293">
        <v>1</v>
      </c>
      <c r="K22293">
        <v>440</v>
      </c>
      <c r="L22293">
        <v>1028</v>
      </c>
      <c r="M22293">
        <v>1</v>
      </c>
      <c r="N22293">
        <v>1.58364E-69</v>
      </c>
      <c r="O22293">
        <v>669</v>
      </c>
    </row>
    <row r="22294" spans="1:15" x14ac:dyDescent="0.25">
      <c r="A22294" t="s">
        <v>22307</v>
      </c>
      <c r="B22294">
        <v>279</v>
      </c>
      <c r="C22294" s="1" t="str">
        <f>HYPERLINK("http://www.rosaceae.org/gb/gbrowse/malus_x_domestica/?name=MDP0000208667","MDP0000208667")</f>
        <v>MDP0000208667</v>
      </c>
      <c r="D22294">
        <v>67.3</v>
      </c>
      <c r="E22294">
        <v>263</v>
      </c>
      <c r="F22294">
        <v>86</v>
      </c>
      <c r="G22294">
        <v>16</v>
      </c>
      <c r="H22294">
        <v>31</v>
      </c>
      <c r="I22294">
        <v>279</v>
      </c>
      <c r="J22294">
        <v>1</v>
      </c>
      <c r="K22294">
        <v>24</v>
      </c>
      <c r="L22294">
        <v>284</v>
      </c>
      <c r="M22294">
        <v>1</v>
      </c>
      <c r="N22294">
        <v>1.33503E-102</v>
      </c>
      <c r="O22294">
        <v>948</v>
      </c>
    </row>
    <row r="22295" spans="1:15" x14ac:dyDescent="0.25">
      <c r="A22295" t="s">
        <v>22308</v>
      </c>
      <c r="B22295">
        <v>480</v>
      </c>
      <c r="C22295" s="1" t="str">
        <f>HYPERLINK("http://www.rosaceae.org/gb/gbrowse/malus_x_domestica/?name=MDP0000216956","MDP0000216956")</f>
        <v>MDP0000216956</v>
      </c>
      <c r="D22295">
        <v>34.08</v>
      </c>
      <c r="E22295">
        <v>223</v>
      </c>
      <c r="F22295">
        <v>147</v>
      </c>
      <c r="G22295">
        <v>18</v>
      </c>
      <c r="H22295">
        <v>266</v>
      </c>
      <c r="I22295">
        <v>477</v>
      </c>
      <c r="J22295">
        <v>1</v>
      </c>
      <c r="K22295">
        <v>25</v>
      </c>
      <c r="L22295">
        <v>240</v>
      </c>
      <c r="M22295">
        <v>1</v>
      </c>
      <c r="N22295">
        <v>1.61448E-25</v>
      </c>
      <c r="O22295">
        <v>286</v>
      </c>
    </row>
    <row r="22296" spans="1:15" x14ac:dyDescent="0.25">
      <c r="A22296" t="s">
        <v>22309</v>
      </c>
      <c r="B22296">
        <v>733</v>
      </c>
      <c r="C22296" s="1" t="str">
        <f>HYPERLINK("http://www.rosaceae.org/gb/gbrowse/malus_x_domestica/?name=MDP0000186236","MDP0000186236")</f>
        <v>MDP0000186236</v>
      </c>
      <c r="D22296">
        <v>88.67</v>
      </c>
      <c r="E22296">
        <v>53</v>
      </c>
      <c r="F22296">
        <v>6</v>
      </c>
      <c r="G22296">
        <v>0</v>
      </c>
      <c r="H22296">
        <v>194</v>
      </c>
      <c r="I22296">
        <v>246</v>
      </c>
      <c r="J22296">
        <v>1</v>
      </c>
      <c r="K22296">
        <v>1</v>
      </c>
      <c r="L22296">
        <v>53</v>
      </c>
      <c r="M22296">
        <v>1</v>
      </c>
      <c r="N22296">
        <v>2.46341E-20</v>
      </c>
      <c r="O22296">
        <v>244</v>
      </c>
    </row>
    <row r="22297" spans="1:15" x14ac:dyDescent="0.25">
      <c r="A22297" t="s">
        <v>22310</v>
      </c>
      <c r="B22297">
        <v>194</v>
      </c>
      <c r="C22297" s="1" t="str">
        <f>HYPERLINK("http://www.rosaceae.org/gb/gbrowse/malus_x_domestica/?name=MDP0000179768","MDP0000179768")</f>
        <v>MDP0000179768</v>
      </c>
      <c r="D22297">
        <v>77.66</v>
      </c>
      <c r="E22297">
        <v>197</v>
      </c>
      <c r="F22297">
        <v>44</v>
      </c>
      <c r="G22297">
        <v>4</v>
      </c>
      <c r="H22297">
        <v>1</v>
      </c>
      <c r="I22297">
        <v>194</v>
      </c>
      <c r="J22297">
        <v>1</v>
      </c>
      <c r="K22297">
        <v>1</v>
      </c>
      <c r="L22297">
        <v>196</v>
      </c>
      <c r="M22297">
        <v>1</v>
      </c>
      <c r="N22297">
        <v>1.9965299999999999E-79</v>
      </c>
      <c r="O22297">
        <v>746</v>
      </c>
    </row>
    <row r="22298" spans="1:15" x14ac:dyDescent="0.25">
      <c r="A22298" t="s">
        <v>22311</v>
      </c>
      <c r="B22298">
        <v>145</v>
      </c>
      <c r="C22298" s="1" t="str">
        <f>HYPERLINK("http://www.rosaceae.org/gb/gbrowse/malus_x_domestica/?name=MDP0000275177","MDP0000275177")</f>
        <v>MDP0000275177</v>
      </c>
      <c r="D22298">
        <v>56.33</v>
      </c>
      <c r="E22298">
        <v>71</v>
      </c>
      <c r="F22298">
        <v>31</v>
      </c>
      <c r="G22298">
        <v>3</v>
      </c>
      <c r="H22298">
        <v>58</v>
      </c>
      <c r="I22298">
        <v>128</v>
      </c>
      <c r="J22298">
        <v>1</v>
      </c>
      <c r="K22298">
        <v>183</v>
      </c>
      <c r="L22298">
        <v>250</v>
      </c>
      <c r="M22298">
        <v>1</v>
      </c>
      <c r="N22298">
        <v>7.3427299999999998E-17</v>
      </c>
      <c r="O22298">
        <v>204</v>
      </c>
    </row>
    <row r="22299" spans="1:15" x14ac:dyDescent="0.25">
      <c r="A22299" t="s">
        <v>22312</v>
      </c>
      <c r="B22299">
        <v>1521</v>
      </c>
      <c r="C22299" s="1" t="str">
        <f>HYPERLINK("http://www.rosaceae.org/gb/gbrowse/malus_x_domestica/?name=MDP0000312812","MDP0000312812")</f>
        <v>MDP0000312812</v>
      </c>
      <c r="D22299">
        <v>40.51</v>
      </c>
      <c r="E22299">
        <v>1545</v>
      </c>
      <c r="F22299">
        <v>919</v>
      </c>
      <c r="G22299">
        <v>146</v>
      </c>
      <c r="H22299">
        <v>5</v>
      </c>
      <c r="I22299">
        <v>1480</v>
      </c>
      <c r="J22299">
        <v>1</v>
      </c>
      <c r="K22299">
        <v>1</v>
      </c>
      <c r="L22299">
        <v>1468</v>
      </c>
      <c r="M22299">
        <v>1</v>
      </c>
      <c r="N22299">
        <v>0</v>
      </c>
      <c r="O22299">
        <v>2400</v>
      </c>
    </row>
    <row r="22300" spans="1:15" x14ac:dyDescent="0.25">
      <c r="A22300" t="s">
        <v>22313</v>
      </c>
      <c r="B22300">
        <v>729</v>
      </c>
      <c r="C22300" s="1" t="str">
        <f>HYPERLINK("http://www.rosaceae.org/gb/gbrowse/malus_x_domestica/?name=MDP0000562446","MDP0000562446")</f>
        <v>MDP0000562446</v>
      </c>
      <c r="D22300">
        <v>61.69</v>
      </c>
      <c r="E22300">
        <v>778</v>
      </c>
      <c r="F22300">
        <v>298</v>
      </c>
      <c r="G22300">
        <v>72</v>
      </c>
      <c r="H22300">
        <v>2</v>
      </c>
      <c r="I22300">
        <v>729</v>
      </c>
      <c r="J22300">
        <v>1</v>
      </c>
      <c r="K22300">
        <v>70</v>
      </c>
      <c r="L22300">
        <v>825</v>
      </c>
      <c r="M22300">
        <v>1</v>
      </c>
      <c r="N22300">
        <v>0</v>
      </c>
      <c r="O22300">
        <v>2396</v>
      </c>
    </row>
    <row r="22301" spans="1:15" x14ac:dyDescent="0.25">
      <c r="A22301" t="s">
        <v>22314</v>
      </c>
      <c r="B22301">
        <v>471</v>
      </c>
      <c r="C22301" s="1" t="str">
        <f>HYPERLINK("http://www.rosaceae.org/gb/gbrowse/malus_x_domestica/?name=MDP0000250947","MDP0000250947")</f>
        <v>MDP0000250947</v>
      </c>
      <c r="D22301">
        <v>46.25</v>
      </c>
      <c r="E22301">
        <v>320</v>
      </c>
      <c r="F22301">
        <v>172</v>
      </c>
      <c r="G22301">
        <v>50</v>
      </c>
      <c r="H22301">
        <v>136</v>
      </c>
      <c r="I22301">
        <v>445</v>
      </c>
      <c r="J22301">
        <v>1</v>
      </c>
      <c r="K22301">
        <v>1</v>
      </c>
      <c r="L22301">
        <v>280</v>
      </c>
      <c r="M22301">
        <v>1</v>
      </c>
      <c r="N22301">
        <v>1.9729300000000001E-55</v>
      </c>
      <c r="O22301">
        <v>544</v>
      </c>
    </row>
    <row r="22302" spans="1:15" x14ac:dyDescent="0.25">
      <c r="A22302" t="s">
        <v>22315</v>
      </c>
      <c r="B22302">
        <v>362</v>
      </c>
      <c r="C22302" s="1" t="str">
        <f>HYPERLINK("http://www.rosaceae.org/gb/gbrowse/malus_x_domestica/?name=MDP0000121258","MDP0000121258")</f>
        <v>MDP0000121258</v>
      </c>
      <c r="D22302">
        <v>79.38</v>
      </c>
      <c r="E22302">
        <v>359</v>
      </c>
      <c r="F22302">
        <v>74</v>
      </c>
      <c r="G22302">
        <v>0</v>
      </c>
      <c r="H22302">
        <v>1</v>
      </c>
      <c r="I22302">
        <v>359</v>
      </c>
      <c r="J22302">
        <v>1</v>
      </c>
      <c r="K22302">
        <v>69</v>
      </c>
      <c r="L22302">
        <v>427</v>
      </c>
      <c r="M22302">
        <v>1</v>
      </c>
      <c r="N22302">
        <v>1.8188800000000001E-168</v>
      </c>
      <c r="O22302">
        <v>1518</v>
      </c>
    </row>
    <row r="22303" spans="1:15" x14ac:dyDescent="0.25">
      <c r="A22303" t="s">
        <v>22316</v>
      </c>
      <c r="B22303">
        <v>171</v>
      </c>
      <c r="C22303" s="1" t="str">
        <f>HYPERLINK("http://www.rosaceae.org/gb/gbrowse/malus_x_domestica/?name=MDP0000253399","MDP0000253399")</f>
        <v>MDP0000253399</v>
      </c>
      <c r="D22303">
        <v>89.56</v>
      </c>
      <c r="E22303">
        <v>115</v>
      </c>
      <c r="F22303">
        <v>12</v>
      </c>
      <c r="G22303">
        <v>0</v>
      </c>
      <c r="H22303">
        <v>57</v>
      </c>
      <c r="I22303">
        <v>171</v>
      </c>
      <c r="J22303">
        <v>1</v>
      </c>
      <c r="K22303">
        <v>24</v>
      </c>
      <c r="L22303">
        <v>138</v>
      </c>
      <c r="M22303">
        <v>1</v>
      </c>
      <c r="N22303">
        <v>1.6623900000000001E-57</v>
      </c>
      <c r="O22303">
        <v>556</v>
      </c>
    </row>
    <row r="22304" spans="1:15" x14ac:dyDescent="0.25">
      <c r="A22304" t="s">
        <v>22317</v>
      </c>
      <c r="B22304">
        <v>376</v>
      </c>
      <c r="C22304" s="1" t="str">
        <f>HYPERLINK("http://www.rosaceae.org/gb/gbrowse/malus_x_domestica/?name=MDP0000220135","MDP0000220135")</f>
        <v>MDP0000220135</v>
      </c>
      <c r="D22304">
        <v>45.94</v>
      </c>
      <c r="E22304">
        <v>74</v>
      </c>
      <c r="F22304">
        <v>40</v>
      </c>
      <c r="G22304">
        <v>0</v>
      </c>
      <c r="H22304">
        <v>301</v>
      </c>
      <c r="I22304">
        <v>374</v>
      </c>
      <c r="J22304">
        <v>1</v>
      </c>
      <c r="K22304">
        <v>106</v>
      </c>
      <c r="L22304">
        <v>179</v>
      </c>
      <c r="M22304">
        <v>1</v>
      </c>
      <c r="N22304">
        <v>1.8615199999999999E-12</v>
      </c>
      <c r="O22304">
        <v>173</v>
      </c>
    </row>
    <row r="22305" spans="1:15" x14ac:dyDescent="0.25">
      <c r="A22305" t="s">
        <v>22318</v>
      </c>
      <c r="B22305">
        <v>263</v>
      </c>
      <c r="C22305" s="1" t="str">
        <f>HYPERLINK("http://www.rosaceae.org/gb/gbrowse/malus_x_domestica/?name=MDP0000161222","MDP0000161222")</f>
        <v>MDP0000161222</v>
      </c>
      <c r="D22305">
        <v>27.38</v>
      </c>
      <c r="E22305">
        <v>168</v>
      </c>
      <c r="F22305">
        <v>122</v>
      </c>
      <c r="G22305">
        <v>12</v>
      </c>
      <c r="H22305">
        <v>63</v>
      </c>
      <c r="I22305">
        <v>229</v>
      </c>
      <c r="J22305">
        <v>1</v>
      </c>
      <c r="K22305">
        <v>657</v>
      </c>
      <c r="L22305">
        <v>813</v>
      </c>
      <c r="M22305">
        <v>1</v>
      </c>
      <c r="N22305">
        <v>2.0785700000000002E-9</v>
      </c>
      <c r="O22305">
        <v>144</v>
      </c>
    </row>
    <row r="22306" spans="1:15" x14ac:dyDescent="0.25">
      <c r="A22306" t="s">
        <v>22319</v>
      </c>
      <c r="B22306">
        <v>137</v>
      </c>
      <c r="C22306" s="1" t="str">
        <f>HYPERLINK("http://www.rosaceae.org/gb/gbrowse/malus_x_domestica/?name=MDP0000204620","MDP0000204620")</f>
        <v>MDP0000204620</v>
      </c>
      <c r="D22306">
        <v>42.47</v>
      </c>
      <c r="E22306">
        <v>113</v>
      </c>
      <c r="F22306">
        <v>65</v>
      </c>
      <c r="G22306">
        <v>11</v>
      </c>
      <c r="H22306">
        <v>2</v>
      </c>
      <c r="I22306">
        <v>105</v>
      </c>
      <c r="J22306">
        <v>1</v>
      </c>
      <c r="K22306">
        <v>731</v>
      </c>
      <c r="L22306">
        <v>841</v>
      </c>
      <c r="M22306">
        <v>1</v>
      </c>
      <c r="N22306">
        <v>1.9806400000000001E-14</v>
      </c>
      <c r="O22306">
        <v>183</v>
      </c>
    </row>
    <row r="22307" spans="1:15" x14ac:dyDescent="0.25">
      <c r="A22307" t="s">
        <v>22320</v>
      </c>
      <c r="B22307">
        <v>112</v>
      </c>
      <c r="C22307" s="1" t="str">
        <f>HYPERLINK("http://www.rosaceae.org/gb/gbrowse/malus_x_domestica/?name=MDP0000335890","MDP0000335890")</f>
        <v>MDP0000335890</v>
      </c>
      <c r="D22307">
        <v>64.150000000000006</v>
      </c>
      <c r="E22307">
        <v>53</v>
      </c>
      <c r="F22307">
        <v>19</v>
      </c>
      <c r="G22307">
        <v>4</v>
      </c>
      <c r="H22307">
        <v>14</v>
      </c>
      <c r="I22307">
        <v>63</v>
      </c>
      <c r="J22307">
        <v>1</v>
      </c>
      <c r="K22307">
        <v>55</v>
      </c>
      <c r="L22307">
        <v>106</v>
      </c>
      <c r="M22307">
        <v>1</v>
      </c>
      <c r="N22307">
        <v>2.28821E-10</v>
      </c>
      <c r="O22307">
        <v>147</v>
      </c>
    </row>
    <row r="22308" spans="1:15" x14ac:dyDescent="0.25">
      <c r="A22308" t="s">
        <v>22321</v>
      </c>
      <c r="B22308">
        <v>280</v>
      </c>
      <c r="C22308" s="1" t="str">
        <f>HYPERLINK("http://www.rosaceae.org/gb/gbrowse/malus_x_domestica/?name=MDP0000384250","MDP0000384250")</f>
        <v>MDP0000384250</v>
      </c>
      <c r="D22308">
        <v>70.319999999999993</v>
      </c>
      <c r="E22308">
        <v>273</v>
      </c>
      <c r="F22308">
        <v>81</v>
      </c>
      <c r="G22308">
        <v>0</v>
      </c>
      <c r="H22308">
        <v>8</v>
      </c>
      <c r="I22308">
        <v>280</v>
      </c>
      <c r="J22308">
        <v>1</v>
      </c>
      <c r="K22308">
        <v>17</v>
      </c>
      <c r="L22308">
        <v>289</v>
      </c>
      <c r="M22308">
        <v>1</v>
      </c>
      <c r="N22308">
        <v>3.0081499999999999E-111</v>
      </c>
      <c r="O22308">
        <v>1023</v>
      </c>
    </row>
    <row r="22309" spans="1:15" x14ac:dyDescent="0.25">
      <c r="A22309" t="s">
        <v>22322</v>
      </c>
      <c r="B22309">
        <v>363</v>
      </c>
      <c r="C22309" s="1" t="str">
        <f>HYPERLINK("http://www.rosaceae.org/gb/gbrowse/malus_x_domestica/?name=MDP0000453114","MDP0000453114")</f>
        <v>MDP0000453114</v>
      </c>
      <c r="D22309">
        <v>80.8</v>
      </c>
      <c r="E22309">
        <v>323</v>
      </c>
      <c r="F22309">
        <v>62</v>
      </c>
      <c r="G22309">
        <v>4</v>
      </c>
      <c r="H22309">
        <v>44</v>
      </c>
      <c r="I22309">
        <v>363</v>
      </c>
      <c r="J22309">
        <v>1</v>
      </c>
      <c r="K22309">
        <v>1</v>
      </c>
      <c r="L22309">
        <v>322</v>
      </c>
      <c r="M22309">
        <v>1</v>
      </c>
      <c r="N22309">
        <v>9.48385E-155</v>
      </c>
      <c r="O22309">
        <v>1399</v>
      </c>
    </row>
    <row r="22310" spans="1:15" x14ac:dyDescent="0.25">
      <c r="A22310" t="s">
        <v>22323</v>
      </c>
      <c r="B22310">
        <v>329</v>
      </c>
      <c r="C22310" s="1" t="str">
        <f>HYPERLINK("http://www.rosaceae.org/gb/gbrowse/malus_x_domestica/?name=MDP0000028677","MDP0000028677")</f>
        <v>MDP0000028677</v>
      </c>
      <c r="D22310">
        <v>74.75</v>
      </c>
      <c r="E22310">
        <v>305</v>
      </c>
      <c r="F22310">
        <v>77</v>
      </c>
      <c r="G22310">
        <v>1</v>
      </c>
      <c r="H22310">
        <v>25</v>
      </c>
      <c r="I22310">
        <v>329</v>
      </c>
      <c r="J22310">
        <v>1</v>
      </c>
      <c r="K22310">
        <v>38</v>
      </c>
      <c r="L22310">
        <v>341</v>
      </c>
      <c r="M22310">
        <v>1</v>
      </c>
      <c r="N22310">
        <v>1.3212600000000001E-134</v>
      </c>
      <c r="O22310">
        <v>1225</v>
      </c>
    </row>
    <row r="22311" spans="1:15" x14ac:dyDescent="0.25">
      <c r="A22311" t="s">
        <v>22324</v>
      </c>
      <c r="B22311">
        <v>237</v>
      </c>
      <c r="C22311" s="1" t="str">
        <f>HYPERLINK("http://www.rosaceae.org/gb/gbrowse/malus_x_domestica/?name=MDP0000311595","MDP0000311595")</f>
        <v>MDP0000311595</v>
      </c>
      <c r="D22311">
        <v>48.14</v>
      </c>
      <c r="E22311">
        <v>54</v>
      </c>
      <c r="F22311">
        <v>28</v>
      </c>
      <c r="G22311">
        <v>0</v>
      </c>
      <c r="H22311">
        <v>74</v>
      </c>
      <c r="I22311">
        <v>127</v>
      </c>
      <c r="J22311">
        <v>1</v>
      </c>
      <c r="K22311">
        <v>1204</v>
      </c>
      <c r="L22311">
        <v>1257</v>
      </c>
      <c r="M22311">
        <v>1</v>
      </c>
      <c r="N22311">
        <v>3.4960700000000002E-10</v>
      </c>
      <c r="O22311">
        <v>150</v>
      </c>
    </row>
    <row r="22312" spans="1:15" x14ac:dyDescent="0.25">
      <c r="A22312" t="s">
        <v>22325</v>
      </c>
      <c r="B22312">
        <v>264</v>
      </c>
      <c r="C22312" s="1" t="str">
        <f>HYPERLINK("http://www.rosaceae.org/gb/gbrowse/malus_x_domestica/?name=MDP0000319146","MDP0000319146")</f>
        <v>MDP0000319146</v>
      </c>
      <c r="D22312">
        <v>76.099999999999994</v>
      </c>
      <c r="E22312">
        <v>113</v>
      </c>
      <c r="F22312">
        <v>27</v>
      </c>
      <c r="G22312">
        <v>0</v>
      </c>
      <c r="H22312">
        <v>72</v>
      </c>
      <c r="I22312">
        <v>184</v>
      </c>
      <c r="J22312">
        <v>1</v>
      </c>
      <c r="K22312">
        <v>14</v>
      </c>
      <c r="L22312">
        <v>126</v>
      </c>
      <c r="M22312">
        <v>1</v>
      </c>
      <c r="N22312">
        <v>7.5996500000000002E-43</v>
      </c>
      <c r="O22312">
        <v>433</v>
      </c>
    </row>
    <row r="22313" spans="1:15" x14ac:dyDescent="0.25">
      <c r="A22313" t="s">
        <v>22326</v>
      </c>
      <c r="B22313">
        <v>324</v>
      </c>
      <c r="C22313" s="1" t="str">
        <f>HYPERLINK("http://www.rosaceae.org/gb/gbrowse/malus_x_domestica/?name=MDP0000482107","MDP0000482107")</f>
        <v>MDP0000482107</v>
      </c>
      <c r="D22313">
        <v>84.78</v>
      </c>
      <c r="E22313">
        <v>322</v>
      </c>
      <c r="F22313">
        <v>49</v>
      </c>
      <c r="G22313">
        <v>8</v>
      </c>
      <c r="H22313">
        <v>1</v>
      </c>
      <c r="I22313">
        <v>317</v>
      </c>
      <c r="J22313">
        <v>1</v>
      </c>
      <c r="K22313">
        <v>20</v>
      </c>
      <c r="L22313">
        <v>338</v>
      </c>
      <c r="M22313">
        <v>1</v>
      </c>
      <c r="N22313">
        <v>9.8996599999999998E-161</v>
      </c>
      <c r="O22313">
        <v>1450</v>
      </c>
    </row>
    <row r="22314" spans="1:15" x14ac:dyDescent="0.25">
      <c r="A22314" t="s">
        <v>22327</v>
      </c>
      <c r="B22314">
        <v>355</v>
      </c>
      <c r="C22314" s="1" t="str">
        <f>HYPERLINK("http://www.rosaceae.org/gb/gbrowse/malus_x_domestica/?name=MDP0000153790","MDP0000153790")</f>
        <v>MDP0000153790</v>
      </c>
      <c r="D22314">
        <v>36.01</v>
      </c>
      <c r="E22314">
        <v>336</v>
      </c>
      <c r="F22314">
        <v>215</v>
      </c>
      <c r="G22314">
        <v>41</v>
      </c>
      <c r="H22314">
        <v>1</v>
      </c>
      <c r="I22314">
        <v>297</v>
      </c>
      <c r="J22314">
        <v>1</v>
      </c>
      <c r="K22314">
        <v>91</v>
      </c>
      <c r="L22314">
        <v>424</v>
      </c>
      <c r="M22314">
        <v>1</v>
      </c>
      <c r="N22314">
        <v>6.5589200000000002E-52</v>
      </c>
      <c r="O22314">
        <v>512</v>
      </c>
    </row>
    <row r="22315" spans="1:15" x14ac:dyDescent="0.25">
      <c r="A22315" t="s">
        <v>22328</v>
      </c>
      <c r="B22315">
        <v>541</v>
      </c>
      <c r="C22315" s="1" t="str">
        <f>HYPERLINK("http://www.rosaceae.org/gb/gbrowse/malus_x_domestica/?name=MDP0000320888","MDP0000320888")</f>
        <v>MDP0000320888</v>
      </c>
      <c r="D22315">
        <v>81.86</v>
      </c>
      <c r="E22315">
        <v>557</v>
      </c>
      <c r="F22315">
        <v>101</v>
      </c>
      <c r="G22315">
        <v>46</v>
      </c>
      <c r="H22315">
        <v>1</v>
      </c>
      <c r="I22315">
        <v>517</v>
      </c>
      <c r="J22315">
        <v>1</v>
      </c>
      <c r="K22315">
        <v>1</v>
      </c>
      <c r="L22315">
        <v>551</v>
      </c>
      <c r="M22315">
        <v>1</v>
      </c>
      <c r="N22315">
        <v>0</v>
      </c>
      <c r="O22315">
        <v>2337</v>
      </c>
    </row>
    <row r="22316" spans="1:15" x14ac:dyDescent="0.25">
      <c r="A22316" t="s">
        <v>22329</v>
      </c>
      <c r="B22316">
        <v>471</v>
      </c>
      <c r="C22316" s="1" t="str">
        <f>HYPERLINK("http://www.rosaceae.org/gb/gbrowse/malus_x_domestica/?name=MDP0000160207","MDP0000160207")</f>
        <v>MDP0000160207</v>
      </c>
      <c r="D22316">
        <v>88.86</v>
      </c>
      <c r="E22316">
        <v>431</v>
      </c>
      <c r="F22316">
        <v>48</v>
      </c>
      <c r="G22316">
        <v>8</v>
      </c>
      <c r="H22316">
        <v>8</v>
      </c>
      <c r="I22316">
        <v>430</v>
      </c>
      <c r="J22316">
        <v>1</v>
      </c>
      <c r="K22316">
        <v>7</v>
      </c>
      <c r="L22316">
        <v>437</v>
      </c>
      <c r="M22316">
        <v>1</v>
      </c>
      <c r="N22316">
        <v>0</v>
      </c>
      <c r="O22316">
        <v>2003</v>
      </c>
    </row>
    <row r="22317" spans="1:15" x14ac:dyDescent="0.25">
      <c r="A22317" t="s">
        <v>22330</v>
      </c>
      <c r="B22317">
        <v>298</v>
      </c>
      <c r="C22317" s="1" t="str">
        <f>HYPERLINK("http://www.rosaceae.org/gb/gbrowse/malus_x_domestica/?name=MDP0000423596","MDP0000423596")</f>
        <v>MDP0000423596</v>
      </c>
      <c r="D22317">
        <v>74.02</v>
      </c>
      <c r="E22317">
        <v>308</v>
      </c>
      <c r="F22317">
        <v>80</v>
      </c>
      <c r="G22317">
        <v>32</v>
      </c>
      <c r="H22317">
        <v>1</v>
      </c>
      <c r="I22317">
        <v>298</v>
      </c>
      <c r="J22317">
        <v>1</v>
      </c>
      <c r="K22317">
        <v>147</v>
      </c>
      <c r="L22317">
        <v>432</v>
      </c>
      <c r="M22317">
        <v>1</v>
      </c>
      <c r="N22317">
        <v>7.7497700000000005E-113</v>
      </c>
      <c r="O22317">
        <v>1037</v>
      </c>
    </row>
    <row r="22318" spans="1:15" x14ac:dyDescent="0.25">
      <c r="A22318" t="s">
        <v>22331</v>
      </c>
      <c r="B22318">
        <v>425</v>
      </c>
      <c r="C22318" s="1" t="str">
        <f>HYPERLINK("http://www.rosaceae.org/gb/gbrowse/malus_x_domestica/?name=MDP0000270051","MDP0000270051")</f>
        <v>MDP0000270051</v>
      </c>
      <c r="D22318">
        <v>60.61</v>
      </c>
      <c r="E22318">
        <v>457</v>
      </c>
      <c r="F22318">
        <v>180</v>
      </c>
      <c r="G22318">
        <v>36</v>
      </c>
      <c r="H22318">
        <v>1</v>
      </c>
      <c r="I22318">
        <v>425</v>
      </c>
      <c r="J22318">
        <v>1</v>
      </c>
      <c r="K22318">
        <v>1</v>
      </c>
      <c r="L22318">
        <v>453</v>
      </c>
      <c r="M22318">
        <v>1</v>
      </c>
      <c r="N22318">
        <v>3.5417800000000002E-156</v>
      </c>
      <c r="O22318">
        <v>1413</v>
      </c>
    </row>
    <row r="22319" spans="1:15" x14ac:dyDescent="0.25">
      <c r="A22319" t="s">
        <v>22332</v>
      </c>
      <c r="B22319">
        <v>1234</v>
      </c>
      <c r="C22319" s="1" t="str">
        <f>HYPERLINK("http://www.rosaceae.org/gb/gbrowse/malus_x_domestica/?name=MDP0000319314","MDP0000319314")</f>
        <v>MDP0000319314</v>
      </c>
      <c r="D22319">
        <v>75.540000000000006</v>
      </c>
      <c r="E22319">
        <v>319</v>
      </c>
      <c r="F22319">
        <v>78</v>
      </c>
      <c r="G22319">
        <v>30</v>
      </c>
      <c r="H22319">
        <v>363</v>
      </c>
      <c r="I22319">
        <v>651</v>
      </c>
      <c r="J22319">
        <v>1</v>
      </c>
      <c r="K22319">
        <v>318</v>
      </c>
      <c r="L22319">
        <v>636</v>
      </c>
      <c r="M22319">
        <v>1</v>
      </c>
      <c r="N22319">
        <v>7.0784999999999999E-136</v>
      </c>
      <c r="O22319">
        <v>1242</v>
      </c>
    </row>
    <row r="22320" spans="1:15" x14ac:dyDescent="0.25">
      <c r="A22320" t="s">
        <v>22333</v>
      </c>
      <c r="B22320">
        <v>478</v>
      </c>
      <c r="C22320" s="1" t="str">
        <f>HYPERLINK("http://www.rosaceae.org/gb/gbrowse/malus_x_domestica/?name=MDP0000679688","MDP0000679688")</f>
        <v>MDP0000679688</v>
      </c>
      <c r="D22320">
        <v>65.27</v>
      </c>
      <c r="E22320">
        <v>504</v>
      </c>
      <c r="F22320">
        <v>175</v>
      </c>
      <c r="G22320">
        <v>47</v>
      </c>
      <c r="H22320">
        <v>5</v>
      </c>
      <c r="I22320">
        <v>478</v>
      </c>
      <c r="J22320">
        <v>1</v>
      </c>
      <c r="K22320">
        <v>7</v>
      </c>
      <c r="L22320">
        <v>493</v>
      </c>
      <c r="M22320">
        <v>1</v>
      </c>
      <c r="N22320">
        <v>2.1909999999999999E-162</v>
      </c>
      <c r="O22320">
        <v>1467</v>
      </c>
    </row>
    <row r="22321" spans="1:15" x14ac:dyDescent="0.25">
      <c r="A22321" t="s">
        <v>22334</v>
      </c>
      <c r="B22321">
        <v>484</v>
      </c>
      <c r="C22321" s="1" t="str">
        <f>HYPERLINK("http://www.rosaceae.org/gb/gbrowse/malus_x_domestica/?name=MDP0000303735","MDP0000303735")</f>
        <v>MDP0000303735</v>
      </c>
      <c r="D22321">
        <v>57.98</v>
      </c>
      <c r="E22321">
        <v>338</v>
      </c>
      <c r="F22321">
        <v>142</v>
      </c>
      <c r="G22321">
        <v>28</v>
      </c>
      <c r="H22321">
        <v>1</v>
      </c>
      <c r="I22321">
        <v>313</v>
      </c>
      <c r="J22321">
        <v>1</v>
      </c>
      <c r="K22321">
        <v>1</v>
      </c>
      <c r="L22321">
        <v>335</v>
      </c>
      <c r="M22321">
        <v>1</v>
      </c>
      <c r="N22321">
        <v>8.0297E-112</v>
      </c>
      <c r="O22321">
        <v>1031</v>
      </c>
    </row>
    <row r="22322" spans="1:15" x14ac:dyDescent="0.25">
      <c r="A22322" t="s">
        <v>22335</v>
      </c>
      <c r="B22322">
        <v>417</v>
      </c>
      <c r="C22322" s="1" t="str">
        <f>HYPERLINK("http://www.rosaceae.org/gb/gbrowse/malus_x_domestica/?name=MDP0000141116","MDP0000141116")</f>
        <v>MDP0000141116</v>
      </c>
      <c r="D22322">
        <v>70.7</v>
      </c>
      <c r="E22322">
        <v>437</v>
      </c>
      <c r="F22322">
        <v>128</v>
      </c>
      <c r="G22322">
        <v>35</v>
      </c>
      <c r="H22322">
        <v>1</v>
      </c>
      <c r="I22322">
        <v>402</v>
      </c>
      <c r="J22322">
        <v>1</v>
      </c>
      <c r="K22322">
        <v>1</v>
      </c>
      <c r="L22322">
        <v>437</v>
      </c>
      <c r="M22322">
        <v>1</v>
      </c>
      <c r="N22322">
        <v>8.0381999999999996E-177</v>
      </c>
      <c r="O22322">
        <v>1591</v>
      </c>
    </row>
    <row r="22323" spans="1:15" x14ac:dyDescent="0.25">
      <c r="A22323" t="s">
        <v>22336</v>
      </c>
      <c r="B22323">
        <v>712</v>
      </c>
      <c r="C22323" s="1" t="str">
        <f>HYPERLINK("http://www.rosaceae.org/gb/gbrowse/malus_x_domestica/?name=MDP0000294429","MDP0000294429")</f>
        <v>MDP0000294429</v>
      </c>
      <c r="D22323">
        <v>72.760000000000005</v>
      </c>
      <c r="E22323">
        <v>683</v>
      </c>
      <c r="F22323">
        <v>186</v>
      </c>
      <c r="G22323">
        <v>52</v>
      </c>
      <c r="H22323">
        <v>46</v>
      </c>
      <c r="I22323">
        <v>712</v>
      </c>
      <c r="J22323">
        <v>1</v>
      </c>
      <c r="K22323">
        <v>1</v>
      </c>
      <c r="L22323">
        <v>647</v>
      </c>
      <c r="M22323">
        <v>1</v>
      </c>
      <c r="N22323">
        <v>0</v>
      </c>
      <c r="O22323">
        <v>2517</v>
      </c>
    </row>
    <row r="22324" spans="1:15" x14ac:dyDescent="0.25">
      <c r="A22324" t="s">
        <v>22337</v>
      </c>
      <c r="B22324">
        <v>937</v>
      </c>
      <c r="C22324" s="1" t="str">
        <f>HYPERLINK("http://www.rosaceae.org/gb/gbrowse/malus_x_domestica/?name=MDP0000154138","MDP0000154138")</f>
        <v>MDP0000154138</v>
      </c>
      <c r="D22324">
        <v>60.72</v>
      </c>
      <c r="E22324">
        <v>825</v>
      </c>
      <c r="F22324">
        <v>324</v>
      </c>
      <c r="G22324">
        <v>83</v>
      </c>
      <c r="H22324">
        <v>18</v>
      </c>
      <c r="I22324">
        <v>819</v>
      </c>
      <c r="J22324">
        <v>1</v>
      </c>
      <c r="K22324">
        <v>1</v>
      </c>
      <c r="L22324">
        <v>765</v>
      </c>
      <c r="M22324">
        <v>1</v>
      </c>
      <c r="N22324">
        <v>0</v>
      </c>
      <c r="O22324">
        <v>2481</v>
      </c>
    </row>
    <row r="22325" spans="1:15" x14ac:dyDescent="0.25">
      <c r="A22325" t="s">
        <v>22338</v>
      </c>
      <c r="B22325">
        <v>339</v>
      </c>
      <c r="C22325" s="1" t="str">
        <f>HYPERLINK("http://www.rosaceae.org/gb/gbrowse/malus_x_domestica/?name=MDP0000416305","MDP0000416305")</f>
        <v>MDP0000416305</v>
      </c>
      <c r="D22325">
        <v>41.96</v>
      </c>
      <c r="E22325">
        <v>336</v>
      </c>
      <c r="F22325">
        <v>195</v>
      </c>
      <c r="G22325">
        <v>11</v>
      </c>
      <c r="H22325">
        <v>1</v>
      </c>
      <c r="I22325">
        <v>332</v>
      </c>
      <c r="J22325">
        <v>1</v>
      </c>
      <c r="K22325">
        <v>1</v>
      </c>
      <c r="L22325">
        <v>329</v>
      </c>
      <c r="M22325">
        <v>1</v>
      </c>
      <c r="N22325">
        <v>4.15914E-70</v>
      </c>
      <c r="O22325">
        <v>669</v>
      </c>
    </row>
    <row r="22326" spans="1:15" x14ac:dyDescent="0.25">
      <c r="A22326" t="s">
        <v>22339</v>
      </c>
      <c r="B22326">
        <v>336</v>
      </c>
      <c r="C22326" s="1" t="str">
        <f>HYPERLINK("http://www.rosaceae.org/gb/gbrowse/malus_x_domestica/?name=MDP0000252463","MDP0000252463")</f>
        <v>MDP0000252463</v>
      </c>
      <c r="D22326">
        <v>67.81</v>
      </c>
      <c r="E22326">
        <v>348</v>
      </c>
      <c r="F22326">
        <v>112</v>
      </c>
      <c r="G22326">
        <v>44</v>
      </c>
      <c r="H22326">
        <v>18</v>
      </c>
      <c r="I22326">
        <v>336</v>
      </c>
      <c r="J22326">
        <v>1</v>
      </c>
      <c r="K22326">
        <v>10</v>
      </c>
      <c r="L22326">
        <v>342</v>
      </c>
      <c r="M22326">
        <v>1</v>
      </c>
      <c r="N22326">
        <v>2.4509399999999999E-123</v>
      </c>
      <c r="O22326">
        <v>1128</v>
      </c>
    </row>
    <row r="22327" spans="1:15" x14ac:dyDescent="0.25">
      <c r="A22327" t="s">
        <v>22340</v>
      </c>
      <c r="B22327">
        <v>382</v>
      </c>
      <c r="C22327" s="1" t="str">
        <f>HYPERLINK("http://www.rosaceae.org/gb/gbrowse/malus_x_domestica/?name=MDP0000507084","MDP0000507084")</f>
        <v>MDP0000507084</v>
      </c>
      <c r="D22327">
        <v>73.180000000000007</v>
      </c>
      <c r="E22327">
        <v>179</v>
      </c>
      <c r="F22327">
        <v>48</v>
      </c>
      <c r="G22327">
        <v>3</v>
      </c>
      <c r="H22327">
        <v>1</v>
      </c>
      <c r="I22327">
        <v>178</v>
      </c>
      <c r="J22327">
        <v>1</v>
      </c>
      <c r="K22327">
        <v>1</v>
      </c>
      <c r="L22327">
        <v>177</v>
      </c>
      <c r="M22327">
        <v>1</v>
      </c>
      <c r="N22327">
        <v>1.2746400000000001E-70</v>
      </c>
      <c r="O22327">
        <v>674</v>
      </c>
    </row>
    <row r="22328" spans="1:15" x14ac:dyDescent="0.25">
      <c r="A22328" t="s">
        <v>22341</v>
      </c>
      <c r="B22328">
        <v>206</v>
      </c>
      <c r="C22328" s="1" t="str">
        <f>HYPERLINK("http://www.rosaceae.org/gb/gbrowse/malus_x_domestica/?name=MDP0000243685","MDP0000243685")</f>
        <v>MDP0000243685</v>
      </c>
      <c r="D22328">
        <v>70.05</v>
      </c>
      <c r="E22328">
        <v>187</v>
      </c>
      <c r="F22328">
        <v>56</v>
      </c>
      <c r="G22328">
        <v>11</v>
      </c>
      <c r="H22328">
        <v>1</v>
      </c>
      <c r="I22328">
        <v>178</v>
      </c>
      <c r="J22328">
        <v>1</v>
      </c>
      <c r="K22328">
        <v>1</v>
      </c>
      <c r="L22328">
        <v>185</v>
      </c>
      <c r="M22328">
        <v>1</v>
      </c>
      <c r="N22328">
        <v>8.9892300000000001E-57</v>
      </c>
      <c r="O22328">
        <v>551</v>
      </c>
    </row>
    <row r="22329" spans="1:15" x14ac:dyDescent="0.25">
      <c r="A22329" t="s">
        <v>22342</v>
      </c>
      <c r="B22329">
        <v>1083</v>
      </c>
      <c r="C22329" s="1" t="str">
        <f>HYPERLINK("http://www.rosaceae.org/gb/gbrowse/malus_x_domestica/?name=MDP0000295807","MDP0000295807")</f>
        <v>MDP0000295807</v>
      </c>
      <c r="D22329">
        <v>65.47</v>
      </c>
      <c r="E22329">
        <v>1060</v>
      </c>
      <c r="F22329">
        <v>366</v>
      </c>
      <c r="G22329">
        <v>103</v>
      </c>
      <c r="H22329">
        <v>29</v>
      </c>
      <c r="I22329">
        <v>1058</v>
      </c>
      <c r="J22329">
        <v>1</v>
      </c>
      <c r="K22329">
        <v>478</v>
      </c>
      <c r="L22329">
        <v>1464</v>
      </c>
      <c r="M22329">
        <v>1</v>
      </c>
      <c r="N22329">
        <v>0</v>
      </c>
      <c r="O22329">
        <v>3367</v>
      </c>
    </row>
    <row r="22330" spans="1:15" x14ac:dyDescent="0.25">
      <c r="A22330" t="s">
        <v>22343</v>
      </c>
      <c r="B22330">
        <v>601</v>
      </c>
      <c r="C22330" s="1" t="str">
        <f>HYPERLINK("http://www.rosaceae.org/gb/gbrowse/malus_x_domestica/?name=MDP0000188710","MDP0000188710")</f>
        <v>MDP0000188710</v>
      </c>
      <c r="D22330">
        <v>68.989999999999995</v>
      </c>
      <c r="E22330">
        <v>616</v>
      </c>
      <c r="F22330">
        <v>191</v>
      </c>
      <c r="G22330">
        <v>23</v>
      </c>
      <c r="H22330">
        <v>1</v>
      </c>
      <c r="I22330">
        <v>598</v>
      </c>
      <c r="J22330">
        <v>1</v>
      </c>
      <c r="K22330">
        <v>1</v>
      </c>
      <c r="L22330">
        <v>611</v>
      </c>
      <c r="M22330">
        <v>1</v>
      </c>
      <c r="N22330">
        <v>0</v>
      </c>
      <c r="O22330">
        <v>2296</v>
      </c>
    </row>
    <row r="22331" spans="1:15" x14ac:dyDescent="0.25">
      <c r="A22331" t="s">
        <v>22344</v>
      </c>
      <c r="B22331">
        <v>227</v>
      </c>
      <c r="C22331" s="1" t="str">
        <f>HYPERLINK("http://www.rosaceae.org/gb/gbrowse/malus_x_domestica/?name=MDP0000296959","MDP0000296959")</f>
        <v>MDP0000296959</v>
      </c>
      <c r="D22331">
        <v>80.28</v>
      </c>
      <c r="E22331">
        <v>213</v>
      </c>
      <c r="F22331">
        <v>42</v>
      </c>
      <c r="G22331">
        <v>2</v>
      </c>
      <c r="H22331">
        <v>6</v>
      </c>
      <c r="I22331">
        <v>216</v>
      </c>
      <c r="J22331">
        <v>1</v>
      </c>
      <c r="K22331">
        <v>1</v>
      </c>
      <c r="L22331">
        <v>213</v>
      </c>
      <c r="M22331">
        <v>1</v>
      </c>
      <c r="N22331">
        <v>1.3826699999999999E-99</v>
      </c>
      <c r="O22331">
        <v>921</v>
      </c>
    </row>
    <row r="22332" spans="1:15" x14ac:dyDescent="0.25">
      <c r="A22332" t="s">
        <v>22345</v>
      </c>
      <c r="B22332">
        <v>353</v>
      </c>
      <c r="C22332" s="1" t="str">
        <f>HYPERLINK("http://www.rosaceae.org/gb/gbrowse/malus_x_domestica/?name=MDP0000703981","MDP0000703981")</f>
        <v>MDP0000703981</v>
      </c>
      <c r="D22332">
        <v>66.66</v>
      </c>
      <c r="E22332">
        <v>366</v>
      </c>
      <c r="F22332">
        <v>122</v>
      </c>
      <c r="G22332">
        <v>17</v>
      </c>
      <c r="H22332">
        <v>1</v>
      </c>
      <c r="I22332">
        <v>353</v>
      </c>
      <c r="J22332">
        <v>1</v>
      </c>
      <c r="K22332">
        <v>3</v>
      </c>
      <c r="L22332">
        <v>364</v>
      </c>
      <c r="M22332">
        <v>1</v>
      </c>
      <c r="N22332">
        <v>1.9704900000000001E-141</v>
      </c>
      <c r="O22332">
        <v>1285</v>
      </c>
    </row>
    <row r="22333" spans="1:15" x14ac:dyDescent="0.25">
      <c r="A22333" t="s">
        <v>22346</v>
      </c>
      <c r="B22333">
        <v>1266</v>
      </c>
      <c r="C22333" s="1" t="str">
        <f>HYPERLINK("http://www.rosaceae.org/gb/gbrowse/malus_x_domestica/?name=MDP0000199580","MDP0000199580")</f>
        <v>MDP0000199580</v>
      </c>
      <c r="D22333">
        <v>54.26</v>
      </c>
      <c r="E22333">
        <v>868</v>
      </c>
      <c r="F22333">
        <v>397</v>
      </c>
      <c r="G22333">
        <v>51</v>
      </c>
      <c r="H22333">
        <v>434</v>
      </c>
      <c r="I22333">
        <v>1266</v>
      </c>
      <c r="J22333">
        <v>1</v>
      </c>
      <c r="K22333">
        <v>74</v>
      </c>
      <c r="L22333">
        <v>925</v>
      </c>
      <c r="M22333">
        <v>1</v>
      </c>
      <c r="N22333">
        <v>0</v>
      </c>
      <c r="O22333">
        <v>2306</v>
      </c>
    </row>
    <row r="22334" spans="1:15" x14ac:dyDescent="0.25">
      <c r="A22334" t="s">
        <v>22347</v>
      </c>
      <c r="B22334">
        <v>256</v>
      </c>
      <c r="C22334" s="1" t="str">
        <f>HYPERLINK("http://www.rosaceae.org/gb/gbrowse/malus_x_domestica/?name=MDP0000740071","MDP0000740071")</f>
        <v>MDP0000740071</v>
      </c>
      <c r="D22334">
        <v>51.83</v>
      </c>
      <c r="E22334">
        <v>191</v>
      </c>
      <c r="F22334">
        <v>92</v>
      </c>
      <c r="G22334">
        <v>15</v>
      </c>
      <c r="H22334">
        <v>52</v>
      </c>
      <c r="I22334">
        <v>232</v>
      </c>
      <c r="J22334">
        <v>1</v>
      </c>
      <c r="K22334">
        <v>415</v>
      </c>
      <c r="L22334">
        <v>600</v>
      </c>
      <c r="M22334">
        <v>1</v>
      </c>
      <c r="N22334">
        <v>8.7559600000000005E-48</v>
      </c>
      <c r="O22334">
        <v>475</v>
      </c>
    </row>
    <row r="22335" spans="1:15" x14ac:dyDescent="0.25">
      <c r="A22335" t="s">
        <v>22348</v>
      </c>
      <c r="B22335">
        <v>400</v>
      </c>
      <c r="C22335" s="1" t="str">
        <f>HYPERLINK("http://www.rosaceae.org/gb/gbrowse/malus_x_domestica/?name=MDP0000585643","MDP0000585643")</f>
        <v>MDP0000585643</v>
      </c>
      <c r="D22335">
        <v>62.55</v>
      </c>
      <c r="E22335">
        <v>227</v>
      </c>
      <c r="F22335">
        <v>85</v>
      </c>
      <c r="G22335">
        <v>15</v>
      </c>
      <c r="H22335">
        <v>38</v>
      </c>
      <c r="I22335">
        <v>254</v>
      </c>
      <c r="J22335">
        <v>1</v>
      </c>
      <c r="K22335">
        <v>80</v>
      </c>
      <c r="L22335">
        <v>301</v>
      </c>
      <c r="M22335">
        <v>1</v>
      </c>
      <c r="N22335">
        <v>3.58074E-67</v>
      </c>
      <c r="O22335">
        <v>645</v>
      </c>
    </row>
    <row r="22336" spans="1:15" x14ac:dyDescent="0.25">
      <c r="A22336" t="s">
        <v>22349</v>
      </c>
      <c r="B22336">
        <v>706</v>
      </c>
      <c r="C22336" s="1" t="str">
        <f>HYPERLINK("http://www.rosaceae.org/gb/gbrowse/malus_x_domestica/?name=MDP0000307465","MDP0000307465")</f>
        <v>MDP0000307465</v>
      </c>
      <c r="D22336">
        <v>40.880000000000003</v>
      </c>
      <c r="E22336">
        <v>724</v>
      </c>
      <c r="F22336">
        <v>428</v>
      </c>
      <c r="G22336">
        <v>83</v>
      </c>
      <c r="H22336">
        <v>1</v>
      </c>
      <c r="I22336">
        <v>702</v>
      </c>
      <c r="J22336">
        <v>1</v>
      </c>
      <c r="K22336">
        <v>117</v>
      </c>
      <c r="L22336">
        <v>779</v>
      </c>
      <c r="M22336">
        <v>1</v>
      </c>
      <c r="N22336">
        <v>1.26552E-121</v>
      </c>
      <c r="O22336">
        <v>1117</v>
      </c>
    </row>
    <row r="22337" spans="1:15" x14ac:dyDescent="0.25">
      <c r="A22337" t="s">
        <v>22350</v>
      </c>
      <c r="B22337">
        <v>565</v>
      </c>
      <c r="C22337" s="1" t="str">
        <f>HYPERLINK("http://www.rosaceae.org/gb/gbrowse/malus_x_domestica/?name=MDP0000292279","MDP0000292279")</f>
        <v>MDP0000292279</v>
      </c>
      <c r="D22337">
        <v>61.64</v>
      </c>
      <c r="E22337">
        <v>571</v>
      </c>
      <c r="F22337">
        <v>219</v>
      </c>
      <c r="G22337">
        <v>7</v>
      </c>
      <c r="H22337">
        <v>1</v>
      </c>
      <c r="I22337">
        <v>565</v>
      </c>
      <c r="J22337">
        <v>1</v>
      </c>
      <c r="K22337">
        <v>1</v>
      </c>
      <c r="L22337">
        <v>570</v>
      </c>
      <c r="M22337">
        <v>1</v>
      </c>
      <c r="N22337">
        <v>0</v>
      </c>
      <c r="O22337">
        <v>1788</v>
      </c>
    </row>
    <row r="22338" spans="1:15" x14ac:dyDescent="0.25">
      <c r="A22338" t="s">
        <v>22351</v>
      </c>
      <c r="B22338">
        <v>623</v>
      </c>
      <c r="C22338" s="1" t="str">
        <f>HYPERLINK("http://www.rosaceae.org/gb/gbrowse/malus_x_domestica/?name=MDP0000135060","MDP0000135060")</f>
        <v>MDP0000135060</v>
      </c>
      <c r="D22338">
        <v>84.7</v>
      </c>
      <c r="E22338">
        <v>634</v>
      </c>
      <c r="F22338">
        <v>97</v>
      </c>
      <c r="G22338">
        <v>42</v>
      </c>
      <c r="H22338">
        <v>26</v>
      </c>
      <c r="I22338">
        <v>622</v>
      </c>
      <c r="J22338">
        <v>1</v>
      </c>
      <c r="K22338">
        <v>142</v>
      </c>
      <c r="L22338">
        <v>770</v>
      </c>
      <c r="M22338">
        <v>1</v>
      </c>
      <c r="N22338">
        <v>0</v>
      </c>
      <c r="O22338">
        <v>2790</v>
      </c>
    </row>
    <row r="22339" spans="1:15" x14ac:dyDescent="0.25">
      <c r="A22339" t="s">
        <v>22352</v>
      </c>
      <c r="B22339">
        <v>433</v>
      </c>
      <c r="C22339" s="1" t="str">
        <f>HYPERLINK("http://www.rosaceae.org/gb/gbrowse/malus_x_domestica/?name=MDP0000202156","MDP0000202156")</f>
        <v>MDP0000202156</v>
      </c>
      <c r="D22339">
        <v>73.510000000000005</v>
      </c>
      <c r="E22339">
        <v>370</v>
      </c>
      <c r="F22339">
        <v>98</v>
      </c>
      <c r="G22339">
        <v>4</v>
      </c>
      <c r="H22339">
        <v>68</v>
      </c>
      <c r="I22339">
        <v>433</v>
      </c>
      <c r="J22339">
        <v>1</v>
      </c>
      <c r="K22339">
        <v>47</v>
      </c>
      <c r="L22339">
        <v>416</v>
      </c>
      <c r="M22339">
        <v>1</v>
      </c>
      <c r="N22339">
        <v>1.08745E-170</v>
      </c>
      <c r="O22339">
        <v>1538</v>
      </c>
    </row>
    <row r="22340" spans="1:15" x14ac:dyDescent="0.25">
      <c r="A22340" t="s">
        <v>22353</v>
      </c>
      <c r="B22340">
        <v>305</v>
      </c>
      <c r="C22340" s="1" t="str">
        <f>HYPERLINK("http://www.rosaceae.org/gb/gbrowse/malus_x_domestica/?name=MDP0000645154","MDP0000645154")</f>
        <v>MDP0000645154</v>
      </c>
      <c r="D22340">
        <v>58.35</v>
      </c>
      <c r="E22340">
        <v>317</v>
      </c>
      <c r="F22340">
        <v>132</v>
      </c>
      <c r="G22340">
        <v>19</v>
      </c>
      <c r="H22340">
        <v>1</v>
      </c>
      <c r="I22340">
        <v>305</v>
      </c>
      <c r="J22340">
        <v>1</v>
      </c>
      <c r="K22340">
        <v>1</v>
      </c>
      <c r="L22340">
        <v>310</v>
      </c>
      <c r="M22340">
        <v>1</v>
      </c>
      <c r="N22340">
        <v>3.1734199999999999E-91</v>
      </c>
      <c r="O22340">
        <v>851</v>
      </c>
    </row>
    <row r="22341" spans="1:15" x14ac:dyDescent="0.25">
      <c r="A22341" t="s">
        <v>22354</v>
      </c>
      <c r="B22341">
        <v>232</v>
      </c>
      <c r="C22341" s="1" t="str">
        <f>HYPERLINK("http://www.rosaceae.org/gb/gbrowse/malus_x_domestica/?name=MDP0000244081","MDP0000244081")</f>
        <v>MDP0000244081</v>
      </c>
      <c r="D22341">
        <v>41.25</v>
      </c>
      <c r="E22341">
        <v>240</v>
      </c>
      <c r="F22341">
        <v>141</v>
      </c>
      <c r="G22341">
        <v>14</v>
      </c>
      <c r="H22341">
        <v>1</v>
      </c>
      <c r="I22341">
        <v>232</v>
      </c>
      <c r="J22341">
        <v>1</v>
      </c>
      <c r="K22341">
        <v>1</v>
      </c>
      <c r="L22341">
        <v>234</v>
      </c>
      <c r="M22341">
        <v>1</v>
      </c>
      <c r="N22341">
        <v>1.3710699999999999E-31</v>
      </c>
      <c r="O22341">
        <v>335</v>
      </c>
    </row>
    <row r="22342" spans="1:15" x14ac:dyDescent="0.25">
      <c r="A22342" t="s">
        <v>22355</v>
      </c>
      <c r="B22342">
        <v>203</v>
      </c>
      <c r="C22342" s="1" t="str">
        <f>HYPERLINK("http://www.rosaceae.org/gb/gbrowse/malus_x_domestica/?name=MDP0000127549","MDP0000127549")</f>
        <v>MDP0000127549</v>
      </c>
      <c r="D22342">
        <v>87.75</v>
      </c>
      <c r="E22342">
        <v>196</v>
      </c>
      <c r="F22342">
        <v>24</v>
      </c>
      <c r="G22342">
        <v>2</v>
      </c>
      <c r="H22342">
        <v>10</v>
      </c>
      <c r="I22342">
        <v>203</v>
      </c>
      <c r="J22342">
        <v>1</v>
      </c>
      <c r="K22342">
        <v>1</v>
      </c>
      <c r="L22342">
        <v>196</v>
      </c>
      <c r="M22342">
        <v>1</v>
      </c>
      <c r="N22342">
        <v>3.8655499999999998E-95</v>
      </c>
      <c r="O22342">
        <v>882</v>
      </c>
    </row>
    <row r="22343" spans="1:15" x14ac:dyDescent="0.25">
      <c r="A22343" t="s">
        <v>22356</v>
      </c>
      <c r="B22343">
        <v>619</v>
      </c>
      <c r="C22343" s="1" t="str">
        <f>HYPERLINK("http://www.rosaceae.org/gb/gbrowse/malus_x_domestica/?name=MDP0000202889","MDP0000202889")</f>
        <v>MDP0000202889</v>
      </c>
      <c r="D22343">
        <v>63.63</v>
      </c>
      <c r="E22343">
        <v>484</v>
      </c>
      <c r="F22343">
        <v>176</v>
      </c>
      <c r="G22343">
        <v>19</v>
      </c>
      <c r="H22343">
        <v>145</v>
      </c>
      <c r="I22343">
        <v>619</v>
      </c>
      <c r="J22343">
        <v>1</v>
      </c>
      <c r="K22343">
        <v>110</v>
      </c>
      <c r="L22343">
        <v>583</v>
      </c>
      <c r="M22343">
        <v>1</v>
      </c>
      <c r="N22343">
        <v>1.3750000000000001E-164</v>
      </c>
      <c r="O22343">
        <v>1487</v>
      </c>
    </row>
    <row r="22344" spans="1:15" x14ac:dyDescent="0.25">
      <c r="A22344" t="s">
        <v>22357</v>
      </c>
      <c r="B22344">
        <v>553</v>
      </c>
      <c r="C22344" s="1" t="str">
        <f>HYPERLINK("http://www.rosaceae.org/gb/gbrowse/malus_x_domestica/?name=MDP0000144997","MDP0000144997")</f>
        <v>MDP0000144997</v>
      </c>
      <c r="D22344">
        <v>67.73</v>
      </c>
      <c r="E22344">
        <v>564</v>
      </c>
      <c r="F22344">
        <v>182</v>
      </c>
      <c r="G22344">
        <v>50</v>
      </c>
      <c r="H22344">
        <v>1</v>
      </c>
      <c r="I22344">
        <v>553</v>
      </c>
      <c r="J22344">
        <v>1</v>
      </c>
      <c r="K22344">
        <v>1</v>
      </c>
      <c r="L22344">
        <v>525</v>
      </c>
      <c r="M22344">
        <v>1</v>
      </c>
      <c r="N22344">
        <v>0</v>
      </c>
      <c r="O22344">
        <v>1999</v>
      </c>
    </row>
    <row r="22345" spans="1:15" x14ac:dyDescent="0.25">
      <c r="A22345" t="s">
        <v>22358</v>
      </c>
      <c r="B22345">
        <v>1148</v>
      </c>
      <c r="C22345" s="1" t="str">
        <f>HYPERLINK("http://www.rosaceae.org/gb/gbrowse/malus_x_domestica/?name=MDP0000148376","MDP0000148376")</f>
        <v>MDP0000148376</v>
      </c>
      <c r="D22345">
        <v>52.29</v>
      </c>
      <c r="E22345">
        <v>893</v>
      </c>
      <c r="F22345">
        <v>426</v>
      </c>
      <c r="G22345">
        <v>151</v>
      </c>
      <c r="H22345">
        <v>120</v>
      </c>
      <c r="I22345">
        <v>942</v>
      </c>
      <c r="J22345">
        <v>1</v>
      </c>
      <c r="K22345">
        <v>13</v>
      </c>
      <c r="L22345">
        <v>824</v>
      </c>
      <c r="M22345">
        <v>1</v>
      </c>
      <c r="N22345">
        <v>0</v>
      </c>
      <c r="O22345">
        <v>2105</v>
      </c>
    </row>
    <row r="22346" spans="1:15" x14ac:dyDescent="0.25">
      <c r="A22346" t="s">
        <v>22359</v>
      </c>
      <c r="B22346">
        <v>673</v>
      </c>
      <c r="C22346" s="1" t="str">
        <f>HYPERLINK("http://www.rosaceae.org/gb/gbrowse/malus_x_domestica/?name=MDP0000204329","MDP0000204329")</f>
        <v>MDP0000204329</v>
      </c>
      <c r="D22346">
        <v>75.03</v>
      </c>
      <c r="E22346">
        <v>677</v>
      </c>
      <c r="F22346">
        <v>169</v>
      </c>
      <c r="G22346">
        <v>47</v>
      </c>
      <c r="H22346">
        <v>36</v>
      </c>
      <c r="I22346">
        <v>673</v>
      </c>
      <c r="J22346">
        <v>1</v>
      </c>
      <c r="K22346">
        <v>45</v>
      </c>
      <c r="L22346">
        <v>713</v>
      </c>
      <c r="M22346">
        <v>1</v>
      </c>
      <c r="N22346">
        <v>0</v>
      </c>
      <c r="O22346">
        <v>2697</v>
      </c>
    </row>
    <row r="22347" spans="1:15" x14ac:dyDescent="0.25">
      <c r="A22347" t="s">
        <v>22360</v>
      </c>
      <c r="B22347">
        <v>758</v>
      </c>
      <c r="C22347" s="1" t="str">
        <f>HYPERLINK("http://www.rosaceae.org/gb/gbrowse/malus_x_domestica/?name=MDP0000751527","MDP0000751527")</f>
        <v>MDP0000751527</v>
      </c>
      <c r="D22347">
        <v>60.33</v>
      </c>
      <c r="E22347">
        <v>774</v>
      </c>
      <c r="F22347">
        <v>307</v>
      </c>
      <c r="G22347">
        <v>27</v>
      </c>
      <c r="H22347">
        <v>1</v>
      </c>
      <c r="I22347">
        <v>753</v>
      </c>
      <c r="J22347">
        <v>1</v>
      </c>
      <c r="K22347">
        <v>1</v>
      </c>
      <c r="L22347">
        <v>768</v>
      </c>
      <c r="M22347">
        <v>1</v>
      </c>
      <c r="N22347">
        <v>0</v>
      </c>
      <c r="O22347">
        <v>2284</v>
      </c>
    </row>
    <row r="22348" spans="1:15" x14ac:dyDescent="0.25">
      <c r="A22348" t="s">
        <v>22361</v>
      </c>
      <c r="B22348">
        <v>258</v>
      </c>
      <c r="C22348" s="1" t="str">
        <f>HYPERLINK("http://www.rosaceae.org/gb/gbrowse/malus_x_domestica/?name=MDP0000285776","MDP0000285776")</f>
        <v>MDP0000285776</v>
      </c>
      <c r="D22348">
        <v>33.58</v>
      </c>
      <c r="E22348">
        <v>268</v>
      </c>
      <c r="F22348">
        <v>178</v>
      </c>
      <c r="G22348">
        <v>33</v>
      </c>
      <c r="H22348">
        <v>1</v>
      </c>
      <c r="I22348">
        <v>245</v>
      </c>
      <c r="J22348">
        <v>1</v>
      </c>
      <c r="K22348">
        <v>1311</v>
      </c>
      <c r="L22348">
        <v>1568</v>
      </c>
      <c r="M22348">
        <v>1</v>
      </c>
      <c r="N22348">
        <v>8.7703400000000004E-29</v>
      </c>
      <c r="O22348">
        <v>311</v>
      </c>
    </row>
    <row r="22349" spans="1:15" x14ac:dyDescent="0.25">
      <c r="A22349" t="s">
        <v>22362</v>
      </c>
      <c r="B22349">
        <v>419</v>
      </c>
      <c r="C22349" s="1" t="str">
        <f>HYPERLINK("http://www.rosaceae.org/gb/gbrowse/malus_x_domestica/?name=MDP0000214655","MDP0000214655")</f>
        <v>MDP0000214655</v>
      </c>
      <c r="D22349">
        <v>32.770000000000003</v>
      </c>
      <c r="E22349">
        <v>418</v>
      </c>
      <c r="F22349">
        <v>281</v>
      </c>
      <c r="G22349">
        <v>42</v>
      </c>
      <c r="H22349">
        <v>14</v>
      </c>
      <c r="I22349">
        <v>413</v>
      </c>
      <c r="J22349">
        <v>1</v>
      </c>
      <c r="K22349">
        <v>4</v>
      </c>
      <c r="L22349">
        <v>397</v>
      </c>
      <c r="M22349">
        <v>1</v>
      </c>
      <c r="N22349">
        <v>9.9521399999999995E-38</v>
      </c>
      <c r="O22349">
        <v>391</v>
      </c>
    </row>
    <row r="22350" spans="1:15" x14ac:dyDescent="0.25">
      <c r="A22350" t="s">
        <v>22363</v>
      </c>
      <c r="B22350">
        <v>647</v>
      </c>
      <c r="C22350" s="1" t="str">
        <f>HYPERLINK("http://www.rosaceae.org/gb/gbrowse/malus_x_domestica/?name=MDP0000314708","MDP0000314708")</f>
        <v>MDP0000314708</v>
      </c>
      <c r="D22350">
        <v>42.12</v>
      </c>
      <c r="E22350">
        <v>254</v>
      </c>
      <c r="F22350">
        <v>147</v>
      </c>
      <c r="G22350">
        <v>40</v>
      </c>
      <c r="H22350">
        <v>2</v>
      </c>
      <c r="I22350">
        <v>221</v>
      </c>
      <c r="J22350">
        <v>1</v>
      </c>
      <c r="K22350">
        <v>224</v>
      </c>
      <c r="L22350">
        <v>471</v>
      </c>
      <c r="M22350">
        <v>1</v>
      </c>
      <c r="N22350">
        <v>6.6515400000000004E-43</v>
      </c>
      <c r="O22350">
        <v>438</v>
      </c>
    </row>
    <row r="22351" spans="1:15" x14ac:dyDescent="0.25">
      <c r="A22351" t="s">
        <v>22364</v>
      </c>
      <c r="B22351">
        <v>278</v>
      </c>
      <c r="C22351" s="1" t="str">
        <f>HYPERLINK("http://www.rosaceae.org/gb/gbrowse/malus_x_domestica/?name=MDP0000229885","MDP0000229885")</f>
        <v>MDP0000229885</v>
      </c>
      <c r="D22351">
        <v>62.14</v>
      </c>
      <c r="E22351">
        <v>280</v>
      </c>
      <c r="F22351">
        <v>106</v>
      </c>
      <c r="G22351">
        <v>8</v>
      </c>
      <c r="H22351">
        <v>1</v>
      </c>
      <c r="I22351">
        <v>278</v>
      </c>
      <c r="J22351">
        <v>1</v>
      </c>
      <c r="K22351">
        <v>1</v>
      </c>
      <c r="L22351">
        <v>274</v>
      </c>
      <c r="M22351">
        <v>1</v>
      </c>
      <c r="N22351">
        <v>4.5390699999999997E-92</v>
      </c>
      <c r="O22351">
        <v>858</v>
      </c>
    </row>
    <row r="22352" spans="1:15" x14ac:dyDescent="0.25">
      <c r="A22352" t="s">
        <v>22365</v>
      </c>
      <c r="B22352">
        <v>350</v>
      </c>
      <c r="C22352" s="1" t="str">
        <f>HYPERLINK("http://www.rosaceae.org/gb/gbrowse/malus_x_domestica/?name=MDP0000161236","MDP0000161236")</f>
        <v>MDP0000161236</v>
      </c>
      <c r="D22352">
        <v>57.77</v>
      </c>
      <c r="E22352">
        <v>360</v>
      </c>
      <c r="F22352">
        <v>152</v>
      </c>
      <c r="G22352">
        <v>69</v>
      </c>
      <c r="H22352">
        <v>1</v>
      </c>
      <c r="I22352">
        <v>292</v>
      </c>
      <c r="J22352">
        <v>1</v>
      </c>
      <c r="K22352">
        <v>1</v>
      </c>
      <c r="L22352">
        <v>359</v>
      </c>
      <c r="M22352">
        <v>1</v>
      </c>
      <c r="N22352">
        <v>2.04919E-108</v>
      </c>
      <c r="O22352">
        <v>1000</v>
      </c>
    </row>
    <row r="22353" spans="1:15" x14ac:dyDescent="0.25">
      <c r="A22353" t="s">
        <v>22366</v>
      </c>
      <c r="B22353">
        <v>313</v>
      </c>
      <c r="C22353" s="1" t="str">
        <f>HYPERLINK("http://www.rosaceae.org/gb/gbrowse/malus_x_domestica/?name=MDP0000282782","MDP0000282782")</f>
        <v>MDP0000282782</v>
      </c>
      <c r="D22353">
        <v>77.349999999999994</v>
      </c>
      <c r="E22353">
        <v>53</v>
      </c>
      <c r="F22353">
        <v>12</v>
      </c>
      <c r="G22353">
        <v>1</v>
      </c>
      <c r="H22353">
        <v>195</v>
      </c>
      <c r="I22353">
        <v>246</v>
      </c>
      <c r="J22353">
        <v>1</v>
      </c>
      <c r="K22353">
        <v>109</v>
      </c>
      <c r="L22353">
        <v>161</v>
      </c>
      <c r="M22353">
        <v>1</v>
      </c>
      <c r="N22353">
        <v>5.9480100000000002E-15</v>
      </c>
      <c r="O22353">
        <v>193</v>
      </c>
    </row>
    <row r="22354" spans="1:15" x14ac:dyDescent="0.25">
      <c r="A22354" t="s">
        <v>22367</v>
      </c>
      <c r="B22354">
        <v>250</v>
      </c>
      <c r="C22354" s="1" t="str">
        <f>HYPERLINK("http://www.rosaceae.org/gb/gbrowse/malus_x_domestica/?name=MDP0000170286","MDP0000170286")</f>
        <v>MDP0000170286</v>
      </c>
      <c r="D22354">
        <v>57.61</v>
      </c>
      <c r="E22354">
        <v>210</v>
      </c>
      <c r="F22354">
        <v>89</v>
      </c>
      <c r="G22354">
        <v>9</v>
      </c>
      <c r="H22354">
        <v>1</v>
      </c>
      <c r="I22354">
        <v>208</v>
      </c>
      <c r="J22354">
        <v>1</v>
      </c>
      <c r="K22354">
        <v>3</v>
      </c>
      <c r="L22354">
        <v>205</v>
      </c>
      <c r="M22354">
        <v>1</v>
      </c>
      <c r="N22354">
        <v>7.2891199999999994E-55</v>
      </c>
      <c r="O22354">
        <v>536</v>
      </c>
    </row>
    <row r="22355" spans="1:15" x14ac:dyDescent="0.25">
      <c r="A22355" t="s">
        <v>22368</v>
      </c>
      <c r="B22355">
        <v>219</v>
      </c>
      <c r="C22355" s="1" t="str">
        <f>HYPERLINK("http://www.rosaceae.org/gb/gbrowse/malus_x_domestica/?name=MDP0000153759","MDP0000153759")</f>
        <v>MDP0000153759</v>
      </c>
      <c r="D22355">
        <v>63.76</v>
      </c>
      <c r="E22355">
        <v>218</v>
      </c>
      <c r="F22355">
        <v>79</v>
      </c>
      <c r="G22355">
        <v>1</v>
      </c>
      <c r="H22355">
        <v>1</v>
      </c>
      <c r="I22355">
        <v>217</v>
      </c>
      <c r="J22355">
        <v>1</v>
      </c>
      <c r="K22355">
        <v>1</v>
      </c>
      <c r="L22355">
        <v>218</v>
      </c>
      <c r="M22355">
        <v>1</v>
      </c>
      <c r="N22355">
        <v>1.58876E-70</v>
      </c>
      <c r="O22355">
        <v>670</v>
      </c>
    </row>
    <row r="22356" spans="1:15" x14ac:dyDescent="0.25">
      <c r="A22356" t="s">
        <v>22369</v>
      </c>
      <c r="B22356">
        <v>854</v>
      </c>
      <c r="C22356" s="1" t="str">
        <f>HYPERLINK("http://www.rosaceae.org/gb/gbrowse/malus_x_domestica/?name=MDP0000185190","MDP0000185190")</f>
        <v>MDP0000185190</v>
      </c>
      <c r="D22356">
        <v>71.930000000000007</v>
      </c>
      <c r="E22356">
        <v>930</v>
      </c>
      <c r="F22356">
        <v>261</v>
      </c>
      <c r="G22356">
        <v>79</v>
      </c>
      <c r="H22356">
        <v>1</v>
      </c>
      <c r="I22356">
        <v>854</v>
      </c>
      <c r="J22356">
        <v>1</v>
      </c>
      <c r="K22356">
        <v>1</v>
      </c>
      <c r="L22356">
        <v>927</v>
      </c>
      <c r="M22356">
        <v>1</v>
      </c>
      <c r="N22356">
        <v>0</v>
      </c>
      <c r="O22356">
        <v>3392</v>
      </c>
    </row>
    <row r="22357" spans="1:15" x14ac:dyDescent="0.25">
      <c r="A22357" t="s">
        <v>22370</v>
      </c>
      <c r="B22357">
        <v>83</v>
      </c>
      <c r="C22357" s="1" t="str">
        <f>HYPERLINK("http://www.rosaceae.org/gb/gbrowse/malus_x_domestica/?name=MDP0000146735","MDP0000146735")</f>
        <v>MDP0000146735</v>
      </c>
      <c r="D22357">
        <v>54.9</v>
      </c>
      <c r="E22357">
        <v>51</v>
      </c>
      <c r="F22357">
        <v>23</v>
      </c>
      <c r="G22357">
        <v>0</v>
      </c>
      <c r="H22357">
        <v>29</v>
      </c>
      <c r="I22357">
        <v>79</v>
      </c>
      <c r="J22357">
        <v>1</v>
      </c>
      <c r="K22357">
        <v>274</v>
      </c>
      <c r="L22357">
        <v>324</v>
      </c>
      <c r="M22357">
        <v>1</v>
      </c>
      <c r="N22357">
        <v>7.8914700000000001E-11</v>
      </c>
      <c r="O22357">
        <v>151</v>
      </c>
    </row>
    <row r="22358" spans="1:15" x14ac:dyDescent="0.25">
      <c r="A22358" t="s">
        <v>22371</v>
      </c>
      <c r="B22358">
        <v>181</v>
      </c>
      <c r="C22358" s="1" t="str">
        <f>HYPERLINK("http://www.rosaceae.org/gb/gbrowse/malus_x_domestica/?name=MDP0000294158","MDP0000294158")</f>
        <v>MDP0000294158</v>
      </c>
      <c r="D22358">
        <v>62.26</v>
      </c>
      <c r="E22358">
        <v>53</v>
      </c>
      <c r="F22358">
        <v>20</v>
      </c>
      <c r="G22358">
        <v>0</v>
      </c>
      <c r="H22358">
        <v>32</v>
      </c>
      <c r="I22358">
        <v>84</v>
      </c>
      <c r="J22358">
        <v>1</v>
      </c>
      <c r="K22358">
        <v>44</v>
      </c>
      <c r="L22358">
        <v>96</v>
      </c>
      <c r="M22358">
        <v>1</v>
      </c>
      <c r="N22358">
        <v>1.5120800000000001E-14</v>
      </c>
      <c r="O22358">
        <v>186</v>
      </c>
    </row>
    <row r="22359" spans="1:15" x14ac:dyDescent="0.25">
      <c r="A22359" t="s">
        <v>22372</v>
      </c>
      <c r="B22359">
        <v>444</v>
      </c>
      <c r="C22359" s="1" t="str">
        <f>HYPERLINK("http://www.rosaceae.org/gb/gbrowse/malus_x_domestica/?name=MDP0000294615","MDP0000294615")</f>
        <v>MDP0000294615</v>
      </c>
      <c r="D22359">
        <v>92.56</v>
      </c>
      <c r="E22359">
        <v>444</v>
      </c>
      <c r="F22359">
        <v>33</v>
      </c>
      <c r="G22359">
        <v>1</v>
      </c>
      <c r="H22359">
        <v>1</v>
      </c>
      <c r="I22359">
        <v>444</v>
      </c>
      <c r="J22359">
        <v>1</v>
      </c>
      <c r="K22359">
        <v>442</v>
      </c>
      <c r="L22359">
        <v>884</v>
      </c>
      <c r="M22359">
        <v>1</v>
      </c>
      <c r="N22359">
        <v>0</v>
      </c>
      <c r="O22359">
        <v>2235</v>
      </c>
    </row>
    <row r="22360" spans="1:15" x14ac:dyDescent="0.25">
      <c r="A22360" t="s">
        <v>22373</v>
      </c>
      <c r="B22360">
        <v>1514</v>
      </c>
      <c r="C22360" s="1" t="str">
        <f>HYPERLINK("http://www.rosaceae.org/gb/gbrowse/malus_x_domestica/?name=MDP0000279319","MDP0000279319")</f>
        <v>MDP0000279319</v>
      </c>
      <c r="D22360">
        <v>72.48</v>
      </c>
      <c r="E22360">
        <v>556</v>
      </c>
      <c r="F22360">
        <v>153</v>
      </c>
      <c r="G22360">
        <v>0</v>
      </c>
      <c r="H22360">
        <v>800</v>
      </c>
      <c r="I22360">
        <v>1355</v>
      </c>
      <c r="J22360">
        <v>1</v>
      </c>
      <c r="K22360">
        <v>1</v>
      </c>
      <c r="L22360">
        <v>556</v>
      </c>
      <c r="M22360">
        <v>1</v>
      </c>
      <c r="N22360">
        <v>0</v>
      </c>
      <c r="O22360">
        <v>2251</v>
      </c>
    </row>
    <row r="22361" spans="1:15" x14ac:dyDescent="0.25">
      <c r="A22361" t="s">
        <v>22374</v>
      </c>
      <c r="B22361">
        <v>773</v>
      </c>
      <c r="C22361" s="1" t="str">
        <f>HYPERLINK("http://www.rosaceae.org/gb/gbrowse/malus_x_domestica/?name=MDP0000212039","MDP0000212039")</f>
        <v>MDP0000212039</v>
      </c>
      <c r="D22361">
        <v>40.72</v>
      </c>
      <c r="E22361">
        <v>388</v>
      </c>
      <c r="F22361">
        <v>230</v>
      </c>
      <c r="G22361">
        <v>49</v>
      </c>
      <c r="H22361">
        <v>34</v>
      </c>
      <c r="I22361">
        <v>372</v>
      </c>
      <c r="J22361">
        <v>1</v>
      </c>
      <c r="K22361">
        <v>11</v>
      </c>
      <c r="L22361">
        <v>398</v>
      </c>
      <c r="M22361">
        <v>1</v>
      </c>
      <c r="N22361">
        <v>1.2714499999999999E-70</v>
      </c>
      <c r="O22361">
        <v>677</v>
      </c>
    </row>
    <row r="22362" spans="1:15" x14ac:dyDescent="0.25">
      <c r="A22362" t="s">
        <v>22375</v>
      </c>
      <c r="B22362">
        <v>496</v>
      </c>
      <c r="C22362" s="1" t="str">
        <f>HYPERLINK("http://www.rosaceae.org/gb/gbrowse/malus_x_domestica/?name=MDP0000140143","MDP0000140143")</f>
        <v>MDP0000140143</v>
      </c>
      <c r="D22362">
        <v>74.44</v>
      </c>
      <c r="E22362">
        <v>493</v>
      </c>
      <c r="F22362">
        <v>126</v>
      </c>
      <c r="G22362">
        <v>52</v>
      </c>
      <c r="H22362">
        <v>19</v>
      </c>
      <c r="I22362">
        <v>496</v>
      </c>
      <c r="J22362">
        <v>1</v>
      </c>
      <c r="K22362">
        <v>166</v>
      </c>
      <c r="L22362">
        <v>621</v>
      </c>
      <c r="M22362">
        <v>1</v>
      </c>
      <c r="N22362">
        <v>0</v>
      </c>
      <c r="O22362">
        <v>1909</v>
      </c>
    </row>
    <row r="22363" spans="1:15" x14ac:dyDescent="0.25">
      <c r="A22363" t="s">
        <v>22376</v>
      </c>
      <c r="B22363">
        <v>110</v>
      </c>
      <c r="C22363" s="1" t="str">
        <f>HYPERLINK("http://www.rosaceae.org/gb/gbrowse/malus_x_domestica/?name=MDP0000838018","MDP0000838018")</f>
        <v>MDP0000838018</v>
      </c>
      <c r="D22363">
        <v>67.849999999999994</v>
      </c>
      <c r="E22363">
        <v>56</v>
      </c>
      <c r="F22363">
        <v>18</v>
      </c>
      <c r="G22363">
        <v>0</v>
      </c>
      <c r="H22363">
        <v>6</v>
      </c>
      <c r="I22363">
        <v>61</v>
      </c>
      <c r="J22363">
        <v>1</v>
      </c>
      <c r="K22363">
        <v>131</v>
      </c>
      <c r="L22363">
        <v>186</v>
      </c>
      <c r="M22363">
        <v>1</v>
      </c>
      <c r="N22363">
        <v>1.36816E-17</v>
      </c>
      <c r="O22363">
        <v>209</v>
      </c>
    </row>
    <row r="22364" spans="1:15" x14ac:dyDescent="0.25">
      <c r="A22364" t="s">
        <v>22377</v>
      </c>
      <c r="B22364">
        <v>510</v>
      </c>
      <c r="C22364" s="1" t="str">
        <f>HYPERLINK("http://www.rosaceae.org/gb/gbrowse/malus_x_domestica/?name=MDP0000201076","MDP0000201076")</f>
        <v>MDP0000201076</v>
      </c>
      <c r="D22364">
        <v>56.17</v>
      </c>
      <c r="E22364">
        <v>162</v>
      </c>
      <c r="F22364">
        <v>71</v>
      </c>
      <c r="G22364">
        <v>16</v>
      </c>
      <c r="H22364">
        <v>142</v>
      </c>
      <c r="I22364">
        <v>303</v>
      </c>
      <c r="J22364">
        <v>1</v>
      </c>
      <c r="K22364">
        <v>6</v>
      </c>
      <c r="L22364">
        <v>151</v>
      </c>
      <c r="M22364">
        <v>1</v>
      </c>
      <c r="N22364">
        <v>1.28659E-46</v>
      </c>
      <c r="O22364">
        <v>469</v>
      </c>
    </row>
    <row r="22365" spans="1:15" x14ac:dyDescent="0.25">
      <c r="A22365" t="s">
        <v>22378</v>
      </c>
      <c r="B22365">
        <v>242</v>
      </c>
      <c r="C22365" s="1" t="str">
        <f>HYPERLINK("http://www.rosaceae.org/gb/gbrowse/malus_x_domestica/?name=MDP0000205054","MDP0000205054")</f>
        <v>MDP0000205054</v>
      </c>
      <c r="D22365">
        <v>75.2</v>
      </c>
      <c r="E22365">
        <v>242</v>
      </c>
      <c r="F22365">
        <v>60</v>
      </c>
      <c r="G22365">
        <v>1</v>
      </c>
      <c r="H22365">
        <v>1</v>
      </c>
      <c r="I22365">
        <v>242</v>
      </c>
      <c r="J22365">
        <v>1</v>
      </c>
      <c r="K22365">
        <v>1</v>
      </c>
      <c r="L22365">
        <v>241</v>
      </c>
      <c r="M22365">
        <v>1</v>
      </c>
      <c r="N22365">
        <v>2.9771300000000001E-104</v>
      </c>
      <c r="O22365">
        <v>962</v>
      </c>
    </row>
    <row r="22366" spans="1:15" x14ac:dyDescent="0.25">
      <c r="A22366" t="s">
        <v>22379</v>
      </c>
      <c r="B22366">
        <v>189</v>
      </c>
      <c r="C22366" s="1" t="str">
        <f>HYPERLINK("http://www.rosaceae.org/gb/gbrowse/malus_x_domestica/?name=MDP0000244560","MDP0000244560")</f>
        <v>MDP0000244560</v>
      </c>
      <c r="D22366">
        <v>61.93</v>
      </c>
      <c r="E22366">
        <v>155</v>
      </c>
      <c r="F22366">
        <v>59</v>
      </c>
      <c r="G22366">
        <v>8</v>
      </c>
      <c r="H22366">
        <v>3</v>
      </c>
      <c r="I22366">
        <v>155</v>
      </c>
      <c r="J22366">
        <v>1</v>
      </c>
      <c r="K22366">
        <v>281</v>
      </c>
      <c r="L22366">
        <v>429</v>
      </c>
      <c r="M22366">
        <v>1</v>
      </c>
      <c r="N22366">
        <v>4.4687300000000001E-51</v>
      </c>
      <c r="O22366">
        <v>502</v>
      </c>
    </row>
    <row r="22367" spans="1:15" x14ac:dyDescent="0.25">
      <c r="A22367" t="s">
        <v>22380</v>
      </c>
      <c r="B22367">
        <v>425</v>
      </c>
      <c r="C22367" s="1" t="str">
        <f>HYPERLINK("http://www.rosaceae.org/gb/gbrowse/malus_x_domestica/?name=MDP0000854535","MDP0000854535")</f>
        <v>MDP0000854535</v>
      </c>
      <c r="D22367">
        <v>78.819999999999993</v>
      </c>
      <c r="E22367">
        <v>425</v>
      </c>
      <c r="F22367">
        <v>90</v>
      </c>
      <c r="G22367">
        <v>1</v>
      </c>
      <c r="H22367">
        <v>1</v>
      </c>
      <c r="I22367">
        <v>425</v>
      </c>
      <c r="J22367">
        <v>1</v>
      </c>
      <c r="K22367">
        <v>1</v>
      </c>
      <c r="L22367">
        <v>424</v>
      </c>
      <c r="M22367">
        <v>1</v>
      </c>
      <c r="N22367">
        <v>0</v>
      </c>
      <c r="O22367">
        <v>1857</v>
      </c>
    </row>
    <row r="22368" spans="1:15" x14ac:dyDescent="0.25">
      <c r="A22368" t="s">
        <v>22381</v>
      </c>
      <c r="B22368">
        <v>571</v>
      </c>
      <c r="C22368" s="1" t="str">
        <f>HYPERLINK("http://www.rosaceae.org/gb/gbrowse/malus_x_domestica/?name=MDP0000309172","MDP0000309172")</f>
        <v>MDP0000309172</v>
      </c>
      <c r="D22368">
        <v>31.98</v>
      </c>
      <c r="E22368">
        <v>397</v>
      </c>
      <c r="F22368">
        <v>270</v>
      </c>
      <c r="G22368">
        <v>37</v>
      </c>
      <c r="H22368">
        <v>21</v>
      </c>
      <c r="I22368">
        <v>398</v>
      </c>
      <c r="J22368">
        <v>1</v>
      </c>
      <c r="K22368">
        <v>202</v>
      </c>
      <c r="L22368">
        <v>580</v>
      </c>
      <c r="M22368">
        <v>1</v>
      </c>
      <c r="N22368">
        <v>7.6242000000000002E-45</v>
      </c>
      <c r="O22368">
        <v>454</v>
      </c>
    </row>
    <row r="22369" spans="1:15" x14ac:dyDescent="0.25">
      <c r="A22369" t="s">
        <v>22382</v>
      </c>
      <c r="B22369">
        <v>283</v>
      </c>
      <c r="C22369" s="1" t="str">
        <f>HYPERLINK("http://www.rosaceae.org/gb/gbrowse/malus_x_domestica/?name=MDP0000168885","MDP0000168885")</f>
        <v>MDP0000168885</v>
      </c>
      <c r="D22369">
        <v>72.489999999999995</v>
      </c>
      <c r="E22369">
        <v>269</v>
      </c>
      <c r="F22369">
        <v>74</v>
      </c>
      <c r="G22369">
        <v>2</v>
      </c>
      <c r="H22369">
        <v>15</v>
      </c>
      <c r="I22369">
        <v>283</v>
      </c>
      <c r="J22369">
        <v>1</v>
      </c>
      <c r="K22369">
        <v>36</v>
      </c>
      <c r="L22369">
        <v>302</v>
      </c>
      <c r="M22369">
        <v>1</v>
      </c>
      <c r="N22369">
        <v>1.88642E-109</v>
      </c>
      <c r="O22369">
        <v>1008</v>
      </c>
    </row>
    <row r="22370" spans="1:15" x14ac:dyDescent="0.25">
      <c r="A22370" t="s">
        <v>22383</v>
      </c>
      <c r="B22370">
        <v>352</v>
      </c>
      <c r="C22370" s="1" t="str">
        <f>HYPERLINK("http://www.rosaceae.org/gb/gbrowse/malus_x_domestica/?name=MDP0000309960","MDP0000309960")</f>
        <v>MDP0000309960</v>
      </c>
      <c r="D22370">
        <v>60.33</v>
      </c>
      <c r="E22370">
        <v>353</v>
      </c>
      <c r="F22370">
        <v>140</v>
      </c>
      <c r="G22370">
        <v>10</v>
      </c>
      <c r="H22370">
        <v>7</v>
      </c>
      <c r="I22370">
        <v>351</v>
      </c>
      <c r="J22370">
        <v>1</v>
      </c>
      <c r="K22370">
        <v>333</v>
      </c>
      <c r="L22370">
        <v>683</v>
      </c>
      <c r="M22370">
        <v>1</v>
      </c>
      <c r="N22370">
        <v>1.14698E-123</v>
      </c>
      <c r="O22370">
        <v>1131</v>
      </c>
    </row>
    <row r="22371" spans="1:15" x14ac:dyDescent="0.25">
      <c r="A22371" t="s">
        <v>22384</v>
      </c>
      <c r="B22371">
        <v>381</v>
      </c>
      <c r="C22371" s="1" t="str">
        <f>HYPERLINK("http://www.rosaceae.org/gb/gbrowse/malus_x_domestica/?name=MDP0000244087","MDP0000244087")</f>
        <v>MDP0000244087</v>
      </c>
      <c r="D22371">
        <v>86.87</v>
      </c>
      <c r="E22371">
        <v>381</v>
      </c>
      <c r="F22371">
        <v>50</v>
      </c>
      <c r="G22371">
        <v>0</v>
      </c>
      <c r="H22371">
        <v>1</v>
      </c>
      <c r="I22371">
        <v>381</v>
      </c>
      <c r="J22371">
        <v>1</v>
      </c>
      <c r="K22371">
        <v>1</v>
      </c>
      <c r="L22371">
        <v>381</v>
      </c>
      <c r="M22371">
        <v>1</v>
      </c>
      <c r="N22371">
        <v>0</v>
      </c>
      <c r="O22371">
        <v>1796</v>
      </c>
    </row>
    <row r="22372" spans="1:15" x14ac:dyDescent="0.25">
      <c r="A22372" t="s">
        <v>22385</v>
      </c>
      <c r="B22372">
        <v>277</v>
      </c>
      <c r="C22372" s="1" t="str">
        <f>HYPERLINK("http://www.rosaceae.org/gb/gbrowse/malus_x_domestica/?name=MDP0000220114","MDP0000220114")</f>
        <v>MDP0000220114</v>
      </c>
      <c r="D22372">
        <v>33.33</v>
      </c>
      <c r="E22372">
        <v>315</v>
      </c>
      <c r="F22372">
        <v>210</v>
      </c>
      <c r="G22372">
        <v>88</v>
      </c>
      <c r="H22372">
        <v>3</v>
      </c>
      <c r="I22372">
        <v>260</v>
      </c>
      <c r="J22372">
        <v>1</v>
      </c>
      <c r="K22372">
        <v>122</v>
      </c>
      <c r="L22372">
        <v>405</v>
      </c>
      <c r="M22372">
        <v>1</v>
      </c>
      <c r="N22372">
        <v>9.1819499999999994E-31</v>
      </c>
      <c r="O22372">
        <v>329</v>
      </c>
    </row>
    <row r="22373" spans="1:15" x14ac:dyDescent="0.25">
      <c r="A22373" t="s">
        <v>22386</v>
      </c>
      <c r="B22373">
        <v>171</v>
      </c>
      <c r="C22373" s="1" t="str">
        <f>HYPERLINK("http://www.rosaceae.org/gb/gbrowse/malus_x_domestica/?name=MDP0000225222","MDP0000225222")</f>
        <v>MDP0000225222</v>
      </c>
      <c r="D22373">
        <v>72.72</v>
      </c>
      <c r="E22373">
        <v>77</v>
      </c>
      <c r="F22373">
        <v>21</v>
      </c>
      <c r="G22373">
        <v>0</v>
      </c>
      <c r="H22373">
        <v>1</v>
      </c>
      <c r="I22373">
        <v>77</v>
      </c>
      <c r="J22373">
        <v>1</v>
      </c>
      <c r="K22373">
        <v>1</v>
      </c>
      <c r="L22373">
        <v>77</v>
      </c>
      <c r="M22373">
        <v>1</v>
      </c>
      <c r="N22373">
        <v>4.4884800000000002E-27</v>
      </c>
      <c r="O22373">
        <v>294</v>
      </c>
    </row>
    <row r="22374" spans="1:15" x14ac:dyDescent="0.25">
      <c r="A22374" t="s">
        <v>22387</v>
      </c>
      <c r="B22374">
        <v>682</v>
      </c>
      <c r="C22374" s="1" t="str">
        <f>HYPERLINK("http://www.rosaceae.org/gb/gbrowse/malus_x_domestica/?name=MDP0000164529","MDP0000164529")</f>
        <v>MDP0000164529</v>
      </c>
      <c r="D22374">
        <v>81.2</v>
      </c>
      <c r="E22374">
        <v>532</v>
      </c>
      <c r="F22374">
        <v>100</v>
      </c>
      <c r="G22374">
        <v>20</v>
      </c>
      <c r="H22374">
        <v>95</v>
      </c>
      <c r="I22374">
        <v>614</v>
      </c>
      <c r="J22374">
        <v>1</v>
      </c>
      <c r="K22374">
        <v>10</v>
      </c>
      <c r="L22374">
        <v>533</v>
      </c>
      <c r="M22374">
        <v>1</v>
      </c>
      <c r="N22374">
        <v>0</v>
      </c>
      <c r="O22374">
        <v>2332</v>
      </c>
    </row>
    <row r="22375" spans="1:15" x14ac:dyDescent="0.25">
      <c r="A22375" t="s">
        <v>22388</v>
      </c>
      <c r="B22375">
        <v>250</v>
      </c>
      <c r="C22375" s="1" t="str">
        <f>HYPERLINK("http://www.rosaceae.org/gb/gbrowse/malus_x_domestica/?name=MDP0000184906","MDP0000184906")</f>
        <v>MDP0000184906</v>
      </c>
      <c r="D22375">
        <v>39.43</v>
      </c>
      <c r="E22375">
        <v>71</v>
      </c>
      <c r="F22375">
        <v>43</v>
      </c>
      <c r="G22375">
        <v>2</v>
      </c>
      <c r="H22375">
        <v>131</v>
      </c>
      <c r="I22375">
        <v>201</v>
      </c>
      <c r="J22375">
        <v>1</v>
      </c>
      <c r="K22375">
        <v>327</v>
      </c>
      <c r="L22375">
        <v>395</v>
      </c>
      <c r="M22375">
        <v>1</v>
      </c>
      <c r="N22375">
        <v>5.56079E-10</v>
      </c>
      <c r="O22375">
        <v>149</v>
      </c>
    </row>
    <row r="22376" spans="1:15" x14ac:dyDescent="0.25">
      <c r="A22376" t="s">
        <v>22389</v>
      </c>
      <c r="B22376">
        <v>995</v>
      </c>
      <c r="C22376" s="1" t="str">
        <f>HYPERLINK("http://www.rosaceae.org/gb/gbrowse/malus_x_domestica/?name=MDP0000585239","MDP0000585239")</f>
        <v>MDP0000585239</v>
      </c>
      <c r="D22376">
        <v>62.7</v>
      </c>
      <c r="E22376">
        <v>968</v>
      </c>
      <c r="F22376">
        <v>361</v>
      </c>
      <c r="G22376">
        <v>72</v>
      </c>
      <c r="H22376">
        <v>1</v>
      </c>
      <c r="I22376">
        <v>923</v>
      </c>
      <c r="J22376">
        <v>1</v>
      </c>
      <c r="K22376">
        <v>1</v>
      </c>
      <c r="L22376">
        <v>941</v>
      </c>
      <c r="M22376">
        <v>1</v>
      </c>
      <c r="N22376">
        <v>0</v>
      </c>
      <c r="O22376">
        <v>2919</v>
      </c>
    </row>
    <row r="22377" spans="1:15" x14ac:dyDescent="0.25">
      <c r="A22377" t="s">
        <v>22390</v>
      </c>
      <c r="B22377">
        <v>176</v>
      </c>
      <c r="C22377" s="1" t="str">
        <f>HYPERLINK("http://www.rosaceae.org/gb/gbrowse/malus_x_domestica/?name=MDP0000303239","MDP0000303239")</f>
        <v>MDP0000303239</v>
      </c>
      <c r="D22377">
        <v>64.77</v>
      </c>
      <c r="E22377">
        <v>88</v>
      </c>
      <c r="F22377">
        <v>31</v>
      </c>
      <c r="G22377">
        <v>0</v>
      </c>
      <c r="H22377">
        <v>42</v>
      </c>
      <c r="I22377">
        <v>129</v>
      </c>
      <c r="J22377">
        <v>1</v>
      </c>
      <c r="K22377">
        <v>293</v>
      </c>
      <c r="L22377">
        <v>380</v>
      </c>
      <c r="M22377">
        <v>1</v>
      </c>
      <c r="N22377">
        <v>1.4294299999999999E-25</v>
      </c>
      <c r="O22377">
        <v>281</v>
      </c>
    </row>
    <row r="22378" spans="1:15" x14ac:dyDescent="0.25">
      <c r="A22378" t="s">
        <v>22391</v>
      </c>
      <c r="B22378">
        <v>518</v>
      </c>
      <c r="C22378" s="1" t="str">
        <f>HYPERLINK("http://www.rosaceae.org/gb/gbrowse/malus_x_domestica/?name=MDP0000143543","MDP0000143543")</f>
        <v>MDP0000143543</v>
      </c>
      <c r="D22378">
        <v>58.52</v>
      </c>
      <c r="E22378">
        <v>299</v>
      </c>
      <c r="F22378">
        <v>124</v>
      </c>
      <c r="G22378">
        <v>37</v>
      </c>
      <c r="H22378">
        <v>252</v>
      </c>
      <c r="I22378">
        <v>518</v>
      </c>
      <c r="J22378">
        <v>1</v>
      </c>
      <c r="K22378">
        <v>1</v>
      </c>
      <c r="L22378">
        <v>294</v>
      </c>
      <c r="M22378">
        <v>1</v>
      </c>
      <c r="N22378">
        <v>4.3414499999999997E-92</v>
      </c>
      <c r="O22378">
        <v>861</v>
      </c>
    </row>
    <row r="22379" spans="1:15" x14ac:dyDescent="0.25">
      <c r="A22379" t="s">
        <v>22392</v>
      </c>
      <c r="B22379">
        <v>443</v>
      </c>
      <c r="C22379" s="1" t="str">
        <f>HYPERLINK("http://www.rosaceae.org/gb/gbrowse/malus_x_domestica/?name=MDP0000199578","MDP0000199578")</f>
        <v>MDP0000199578</v>
      </c>
      <c r="D22379">
        <v>81</v>
      </c>
      <c r="E22379">
        <v>479</v>
      </c>
      <c r="F22379">
        <v>91</v>
      </c>
      <c r="G22379">
        <v>37</v>
      </c>
      <c r="H22379">
        <v>1</v>
      </c>
      <c r="I22379">
        <v>442</v>
      </c>
      <c r="J22379">
        <v>1</v>
      </c>
      <c r="K22379">
        <v>231</v>
      </c>
      <c r="L22379">
        <v>709</v>
      </c>
      <c r="M22379">
        <v>1</v>
      </c>
      <c r="N22379">
        <v>0</v>
      </c>
      <c r="O22379">
        <v>2046</v>
      </c>
    </row>
    <row r="22380" spans="1:15" x14ac:dyDescent="0.25">
      <c r="A22380" t="s">
        <v>22393</v>
      </c>
      <c r="B22380">
        <v>235</v>
      </c>
      <c r="C22380" s="1" t="str">
        <f>HYPERLINK("http://www.rosaceae.org/gb/gbrowse/malus_x_domestica/?name=MDP0000242698","MDP0000242698")</f>
        <v>MDP0000242698</v>
      </c>
      <c r="D22380">
        <v>61.97</v>
      </c>
      <c r="E22380">
        <v>142</v>
      </c>
      <c r="F22380">
        <v>54</v>
      </c>
      <c r="G22380">
        <v>0</v>
      </c>
      <c r="H22380">
        <v>92</v>
      </c>
      <c r="I22380">
        <v>233</v>
      </c>
      <c r="J22380">
        <v>1</v>
      </c>
      <c r="K22380">
        <v>212</v>
      </c>
      <c r="L22380">
        <v>353</v>
      </c>
      <c r="M22380">
        <v>1</v>
      </c>
      <c r="N22380">
        <v>1.8213100000000001E-50</v>
      </c>
      <c r="O22380">
        <v>498</v>
      </c>
    </row>
    <row r="22381" spans="1:15" x14ac:dyDescent="0.25">
      <c r="A22381" t="s">
        <v>22394</v>
      </c>
      <c r="B22381">
        <v>348</v>
      </c>
      <c r="C22381" s="1" t="str">
        <f>HYPERLINK("http://www.rosaceae.org/gb/gbrowse/malus_x_domestica/?name=MDP0000243254","MDP0000243254")</f>
        <v>MDP0000243254</v>
      </c>
      <c r="D22381">
        <v>56.58</v>
      </c>
      <c r="E22381">
        <v>205</v>
      </c>
      <c r="F22381">
        <v>89</v>
      </c>
      <c r="G22381">
        <v>40</v>
      </c>
      <c r="H22381">
        <v>129</v>
      </c>
      <c r="I22381">
        <v>333</v>
      </c>
      <c r="J22381">
        <v>1</v>
      </c>
      <c r="K22381">
        <v>478</v>
      </c>
      <c r="L22381">
        <v>642</v>
      </c>
      <c r="M22381">
        <v>1</v>
      </c>
      <c r="N22381">
        <v>2.0153099999999999E-51</v>
      </c>
      <c r="O22381">
        <v>508</v>
      </c>
    </row>
    <row r="22382" spans="1:15" x14ac:dyDescent="0.25">
      <c r="A22382" t="s">
        <v>22395</v>
      </c>
      <c r="B22382">
        <v>383</v>
      </c>
      <c r="C22382" s="1" t="str">
        <f>HYPERLINK("http://www.rosaceae.org/gb/gbrowse/malus_x_domestica/?name=MDP0000286055","MDP0000286055")</f>
        <v>MDP0000286055</v>
      </c>
      <c r="D22382">
        <v>65.02</v>
      </c>
      <c r="E22382">
        <v>386</v>
      </c>
      <c r="F22382">
        <v>135</v>
      </c>
      <c r="G22382">
        <v>3</v>
      </c>
      <c r="H22382">
        <v>1</v>
      </c>
      <c r="I22382">
        <v>383</v>
      </c>
      <c r="J22382">
        <v>1</v>
      </c>
      <c r="K22382">
        <v>2</v>
      </c>
      <c r="L22382">
        <v>387</v>
      </c>
      <c r="M22382">
        <v>1</v>
      </c>
      <c r="N22382">
        <v>9.9295500000000004E-139</v>
      </c>
      <c r="O22382">
        <v>1262</v>
      </c>
    </row>
    <row r="22383" spans="1:15" x14ac:dyDescent="0.25">
      <c r="A22383" t="s">
        <v>22396</v>
      </c>
      <c r="B22383">
        <v>440</v>
      </c>
      <c r="C22383" s="1" t="str">
        <f>HYPERLINK("http://www.rosaceae.org/gb/gbrowse/malus_x_domestica/?name=MDP0000177377","MDP0000177377")</f>
        <v>MDP0000177377</v>
      </c>
      <c r="D22383">
        <v>82.47</v>
      </c>
      <c r="E22383">
        <v>331</v>
      </c>
      <c r="F22383">
        <v>58</v>
      </c>
      <c r="G22383">
        <v>4</v>
      </c>
      <c r="H22383">
        <v>110</v>
      </c>
      <c r="I22383">
        <v>440</v>
      </c>
      <c r="J22383">
        <v>1</v>
      </c>
      <c r="K22383">
        <v>35</v>
      </c>
      <c r="L22383">
        <v>361</v>
      </c>
      <c r="M22383">
        <v>1</v>
      </c>
      <c r="N22383">
        <v>4.63922E-166</v>
      </c>
      <c r="O22383">
        <v>1498</v>
      </c>
    </row>
    <row r="22384" spans="1:15" x14ac:dyDescent="0.25">
      <c r="A22384" t="s">
        <v>22397</v>
      </c>
      <c r="B22384">
        <v>1324</v>
      </c>
      <c r="C22384" s="1" t="str">
        <f>HYPERLINK("http://www.rosaceae.org/gb/gbrowse/malus_x_domestica/?name=MDP0000201148","MDP0000201148")</f>
        <v>MDP0000201148</v>
      </c>
      <c r="D22384">
        <v>45.21</v>
      </c>
      <c r="E22384">
        <v>188</v>
      </c>
      <c r="F22384">
        <v>103</v>
      </c>
      <c r="G22384">
        <v>0</v>
      </c>
      <c r="H22384">
        <v>1078</v>
      </c>
      <c r="I22384">
        <v>1265</v>
      </c>
      <c r="J22384">
        <v>1</v>
      </c>
      <c r="K22384">
        <v>414</v>
      </c>
      <c r="L22384">
        <v>601</v>
      </c>
      <c r="M22384">
        <v>1</v>
      </c>
      <c r="N22384">
        <v>6.7030400000000001E-44</v>
      </c>
      <c r="O22384">
        <v>449</v>
      </c>
    </row>
    <row r="22385" spans="1:15" x14ac:dyDescent="0.25">
      <c r="A22385" t="s">
        <v>22398</v>
      </c>
      <c r="B22385">
        <v>144</v>
      </c>
      <c r="C22385" s="1" t="str">
        <f>HYPERLINK("http://www.rosaceae.org/gb/gbrowse/malus_x_domestica/?name=MDP0000197862","MDP0000197862")</f>
        <v>MDP0000197862</v>
      </c>
      <c r="D22385">
        <v>39.659999999999997</v>
      </c>
      <c r="E22385">
        <v>121</v>
      </c>
      <c r="F22385">
        <v>73</v>
      </c>
      <c r="G22385">
        <v>51</v>
      </c>
      <c r="H22385">
        <v>24</v>
      </c>
      <c r="I22385">
        <v>93</v>
      </c>
      <c r="J22385">
        <v>1</v>
      </c>
      <c r="K22385">
        <v>252</v>
      </c>
      <c r="L22385">
        <v>372</v>
      </c>
      <c r="M22385">
        <v>1</v>
      </c>
      <c r="N22385">
        <v>1.10085E-13</v>
      </c>
      <c r="O22385">
        <v>177</v>
      </c>
    </row>
    <row r="22386" spans="1:15" x14ac:dyDescent="0.25">
      <c r="A22386" t="s">
        <v>22399</v>
      </c>
      <c r="B22386">
        <v>210</v>
      </c>
      <c r="C22386" s="1" t="str">
        <f>HYPERLINK("http://www.rosaceae.org/gb/gbrowse/malus_x_domestica/?name=MDP0000782661","MDP0000782661")</f>
        <v>MDP0000782661</v>
      </c>
      <c r="D22386">
        <v>29.24</v>
      </c>
      <c r="E22386">
        <v>106</v>
      </c>
      <c r="F22386">
        <v>75</v>
      </c>
      <c r="G22386">
        <v>14</v>
      </c>
      <c r="H22386">
        <v>101</v>
      </c>
      <c r="I22386">
        <v>205</v>
      </c>
      <c r="J22386">
        <v>1</v>
      </c>
      <c r="K22386">
        <v>184</v>
      </c>
      <c r="L22386">
        <v>276</v>
      </c>
      <c r="M22386">
        <v>1</v>
      </c>
      <c r="N22386">
        <v>2.1413900000000002E-9</v>
      </c>
      <c r="O22386">
        <v>143</v>
      </c>
    </row>
    <row r="22387" spans="1:15" x14ac:dyDescent="0.25">
      <c r="A22387" t="s">
        <v>22400</v>
      </c>
      <c r="B22387">
        <v>351</v>
      </c>
      <c r="C22387" s="1" t="str">
        <f>HYPERLINK("http://www.rosaceae.org/gb/gbrowse/malus_x_domestica/?name=MDP0000277999","MDP0000277999")</f>
        <v>MDP0000277999</v>
      </c>
      <c r="D22387">
        <v>79.42</v>
      </c>
      <c r="E22387">
        <v>350</v>
      </c>
      <c r="F22387">
        <v>72</v>
      </c>
      <c r="G22387">
        <v>3</v>
      </c>
      <c r="H22387">
        <v>1</v>
      </c>
      <c r="I22387">
        <v>348</v>
      </c>
      <c r="J22387">
        <v>1</v>
      </c>
      <c r="K22387">
        <v>370</v>
      </c>
      <c r="L22387">
        <v>718</v>
      </c>
      <c r="M22387">
        <v>1</v>
      </c>
      <c r="N22387">
        <v>5.9411399999999998E-163</v>
      </c>
      <c r="O22387">
        <v>1470</v>
      </c>
    </row>
    <row r="22388" spans="1:15" x14ac:dyDescent="0.25">
      <c r="A22388" t="s">
        <v>22401</v>
      </c>
      <c r="B22388">
        <v>326</v>
      </c>
      <c r="C22388" s="1" t="str">
        <f>HYPERLINK("http://www.rosaceae.org/gb/gbrowse/malus_x_domestica/?name=MDP0000130244","MDP0000130244")</f>
        <v>MDP0000130244</v>
      </c>
      <c r="D22388">
        <v>74</v>
      </c>
      <c r="E22388">
        <v>350</v>
      </c>
      <c r="F22388">
        <v>91</v>
      </c>
      <c r="G22388">
        <v>25</v>
      </c>
      <c r="H22388">
        <v>1</v>
      </c>
      <c r="I22388">
        <v>325</v>
      </c>
      <c r="J22388">
        <v>1</v>
      </c>
      <c r="K22388">
        <v>1</v>
      </c>
      <c r="L22388">
        <v>350</v>
      </c>
      <c r="M22388">
        <v>1</v>
      </c>
      <c r="N22388">
        <v>2.6785300000000002E-154</v>
      </c>
      <c r="O22388">
        <v>1395</v>
      </c>
    </row>
    <row r="22389" spans="1:15" x14ac:dyDescent="0.25">
      <c r="A22389" t="s">
        <v>22402</v>
      </c>
      <c r="B22389">
        <v>288</v>
      </c>
      <c r="C22389" s="1" t="str">
        <f>HYPERLINK("http://www.rosaceae.org/gb/gbrowse/malus_x_domestica/?name=MDP0000435938","MDP0000435938")</f>
        <v>MDP0000435938</v>
      </c>
      <c r="D22389">
        <v>72.72</v>
      </c>
      <c r="E22389">
        <v>33</v>
      </c>
      <c r="F22389">
        <v>9</v>
      </c>
      <c r="G22389">
        <v>0</v>
      </c>
      <c r="H22389">
        <v>62</v>
      </c>
      <c r="I22389">
        <v>94</v>
      </c>
      <c r="J22389">
        <v>1</v>
      </c>
      <c r="K22389">
        <v>238</v>
      </c>
      <c r="L22389">
        <v>270</v>
      </c>
      <c r="M22389">
        <v>1</v>
      </c>
      <c r="N22389">
        <v>1.7613099999999999E-8</v>
      </c>
      <c r="O22389">
        <v>137</v>
      </c>
    </row>
    <row r="22390" spans="1:15" x14ac:dyDescent="0.25">
      <c r="A22390" t="s">
        <v>22403</v>
      </c>
      <c r="B22390">
        <v>140</v>
      </c>
      <c r="C22390" s="1" t="str">
        <f>HYPERLINK("http://www.rosaceae.org/gb/gbrowse/malus_x_domestica/?name=MDP0000207355","MDP0000207355")</f>
        <v>MDP0000207355</v>
      </c>
      <c r="D22390">
        <v>48.36</v>
      </c>
      <c r="E22390">
        <v>122</v>
      </c>
      <c r="F22390">
        <v>63</v>
      </c>
      <c r="G22390">
        <v>9</v>
      </c>
      <c r="H22390">
        <v>13</v>
      </c>
      <c r="I22390">
        <v>126</v>
      </c>
      <c r="J22390">
        <v>1</v>
      </c>
      <c r="K22390">
        <v>790</v>
      </c>
      <c r="L22390">
        <v>910</v>
      </c>
      <c r="M22390">
        <v>1</v>
      </c>
      <c r="N22390">
        <v>1.0717900000000001E-25</v>
      </c>
      <c r="O22390">
        <v>280</v>
      </c>
    </row>
    <row r="22391" spans="1:15" x14ac:dyDescent="0.25">
      <c r="A22391" t="s">
        <v>22404</v>
      </c>
      <c r="B22391">
        <v>153</v>
      </c>
      <c r="C22391" s="1" t="str">
        <f>HYPERLINK("http://www.rosaceae.org/gb/gbrowse/malus_x_domestica/?name=MDP0000298224","MDP0000298224")</f>
        <v>MDP0000298224</v>
      </c>
      <c r="D22391">
        <v>51.58</v>
      </c>
      <c r="E22391">
        <v>126</v>
      </c>
      <c r="F22391">
        <v>61</v>
      </c>
      <c r="G22391">
        <v>2</v>
      </c>
      <c r="H22391">
        <v>30</v>
      </c>
      <c r="I22391">
        <v>153</v>
      </c>
      <c r="J22391">
        <v>1</v>
      </c>
      <c r="K22391">
        <v>44</v>
      </c>
      <c r="L22391">
        <v>169</v>
      </c>
      <c r="M22391">
        <v>1</v>
      </c>
      <c r="N22391">
        <v>4.9984500000000002E-33</v>
      </c>
      <c r="O22391">
        <v>344</v>
      </c>
    </row>
    <row r="22392" spans="1:15" x14ac:dyDescent="0.25">
      <c r="A22392" t="s">
        <v>22405</v>
      </c>
      <c r="B22392">
        <v>477</v>
      </c>
      <c r="C22392" s="1" t="str">
        <f>HYPERLINK("http://www.rosaceae.org/gb/gbrowse/malus_x_domestica/?name=MDP0000128857","MDP0000128857")</f>
        <v>MDP0000128857</v>
      </c>
      <c r="D22392">
        <v>29.28</v>
      </c>
      <c r="E22392">
        <v>181</v>
      </c>
      <c r="F22392">
        <v>128</v>
      </c>
      <c r="G22392">
        <v>9</v>
      </c>
      <c r="H22392">
        <v>3</v>
      </c>
      <c r="I22392">
        <v>183</v>
      </c>
      <c r="J22392">
        <v>1</v>
      </c>
      <c r="K22392">
        <v>507</v>
      </c>
      <c r="L22392">
        <v>678</v>
      </c>
      <c r="M22392">
        <v>1</v>
      </c>
      <c r="N22392">
        <v>9.5607100000000007E-21</v>
      </c>
      <c r="O22392">
        <v>245</v>
      </c>
    </row>
    <row r="22393" spans="1:15" x14ac:dyDescent="0.25">
      <c r="A22393" t="s">
        <v>22406</v>
      </c>
      <c r="B22393">
        <v>174</v>
      </c>
      <c r="C22393" s="1" t="str">
        <f>HYPERLINK("http://www.rosaceae.org/gb/gbrowse/malus_x_domestica/?name=MDP0000213552","MDP0000213552")</f>
        <v>MDP0000213552</v>
      </c>
      <c r="D22393">
        <v>52</v>
      </c>
      <c r="E22393">
        <v>175</v>
      </c>
      <c r="F22393">
        <v>84</v>
      </c>
      <c r="G22393">
        <v>2</v>
      </c>
      <c r="H22393">
        <v>2</v>
      </c>
      <c r="I22393">
        <v>174</v>
      </c>
      <c r="J22393">
        <v>1</v>
      </c>
      <c r="K22393">
        <v>222</v>
      </c>
      <c r="L22393">
        <v>396</v>
      </c>
      <c r="M22393">
        <v>1</v>
      </c>
      <c r="N22393">
        <v>5.3915600000000002E-48</v>
      </c>
      <c r="O22393">
        <v>474</v>
      </c>
    </row>
    <row r="22394" spans="1:15" x14ac:dyDescent="0.25">
      <c r="A22394" t="s">
        <v>22407</v>
      </c>
      <c r="B22394">
        <v>537</v>
      </c>
      <c r="C22394" s="1" t="str">
        <f>HYPERLINK("http://www.rosaceae.org/gb/gbrowse/malus_x_domestica/?name=MDP0000535048","MDP0000535048")</f>
        <v>MDP0000535048</v>
      </c>
      <c r="D22394">
        <v>36.770000000000003</v>
      </c>
      <c r="E22394">
        <v>329</v>
      </c>
      <c r="F22394">
        <v>208</v>
      </c>
      <c r="G22394">
        <v>44</v>
      </c>
      <c r="H22394">
        <v>41</v>
      </c>
      <c r="I22394">
        <v>334</v>
      </c>
      <c r="J22394">
        <v>1</v>
      </c>
      <c r="K22394">
        <v>27</v>
      </c>
      <c r="L22394">
        <v>346</v>
      </c>
      <c r="M22394">
        <v>1</v>
      </c>
      <c r="N22394">
        <v>5.1206600000000002E-53</v>
      </c>
      <c r="O22394">
        <v>524</v>
      </c>
    </row>
    <row r="22395" spans="1:15" x14ac:dyDescent="0.25">
      <c r="A22395" t="s">
        <v>22408</v>
      </c>
      <c r="B22395">
        <v>329</v>
      </c>
      <c r="C22395" s="1" t="str">
        <f>HYPERLINK("http://www.rosaceae.org/gb/gbrowse/malus_x_domestica/?name=MDP0000274583","MDP0000274583")</f>
        <v>MDP0000274583</v>
      </c>
      <c r="D22395">
        <v>85</v>
      </c>
      <c r="E22395">
        <v>340</v>
      </c>
      <c r="F22395">
        <v>51</v>
      </c>
      <c r="G22395">
        <v>14</v>
      </c>
      <c r="H22395">
        <v>1</v>
      </c>
      <c r="I22395">
        <v>329</v>
      </c>
      <c r="J22395">
        <v>1</v>
      </c>
      <c r="K22395">
        <v>1</v>
      </c>
      <c r="L22395">
        <v>337</v>
      </c>
      <c r="M22395">
        <v>1</v>
      </c>
      <c r="N22395">
        <v>2.4258000000000002E-168</v>
      </c>
      <c r="O22395">
        <v>1516</v>
      </c>
    </row>
    <row r="22396" spans="1:15" x14ac:dyDescent="0.25">
      <c r="A22396" t="s">
        <v>22409</v>
      </c>
      <c r="B22396">
        <v>588</v>
      </c>
      <c r="C22396" s="1" t="str">
        <f>HYPERLINK("http://www.rosaceae.org/gb/gbrowse/malus_x_domestica/?name=MDP0000441454","MDP0000441454")</f>
        <v>MDP0000441454</v>
      </c>
      <c r="D22396">
        <v>51.95</v>
      </c>
      <c r="E22396">
        <v>564</v>
      </c>
      <c r="F22396">
        <v>271</v>
      </c>
      <c r="G22396">
        <v>79</v>
      </c>
      <c r="H22396">
        <v>61</v>
      </c>
      <c r="I22396">
        <v>585</v>
      </c>
      <c r="J22396">
        <v>1</v>
      </c>
      <c r="K22396">
        <v>45</v>
      </c>
      <c r="L22396">
        <v>568</v>
      </c>
      <c r="M22396">
        <v>1</v>
      </c>
      <c r="N22396">
        <v>3.1105599999999998E-125</v>
      </c>
      <c r="O22396">
        <v>1147</v>
      </c>
    </row>
    <row r="22397" spans="1:15" x14ac:dyDescent="0.25">
      <c r="A22397" t="s">
        <v>22410</v>
      </c>
      <c r="B22397">
        <v>595</v>
      </c>
      <c r="C22397" s="1" t="str">
        <f>HYPERLINK("http://www.rosaceae.org/gb/gbrowse/malus_x_domestica/?name=MDP0000052541","MDP0000052541")</f>
        <v>MDP0000052541</v>
      </c>
      <c r="D22397">
        <v>82.41</v>
      </c>
      <c r="E22397">
        <v>529</v>
      </c>
      <c r="F22397">
        <v>93</v>
      </c>
      <c r="G22397">
        <v>3</v>
      </c>
      <c r="H22397">
        <v>1</v>
      </c>
      <c r="I22397">
        <v>528</v>
      </c>
      <c r="J22397">
        <v>1</v>
      </c>
      <c r="K22397">
        <v>1</v>
      </c>
      <c r="L22397">
        <v>527</v>
      </c>
      <c r="M22397">
        <v>1</v>
      </c>
      <c r="N22397">
        <v>0</v>
      </c>
      <c r="O22397">
        <v>2389</v>
      </c>
    </row>
    <row r="22398" spans="1:15" x14ac:dyDescent="0.25">
      <c r="A22398" t="s">
        <v>22411</v>
      </c>
      <c r="B22398">
        <v>315</v>
      </c>
      <c r="C22398" s="1" t="str">
        <f>HYPERLINK("http://www.rosaceae.org/gb/gbrowse/malus_x_domestica/?name=MDP0000276291","MDP0000276291")</f>
        <v>MDP0000276291</v>
      </c>
      <c r="D22398">
        <v>45.45</v>
      </c>
      <c r="E22398">
        <v>121</v>
      </c>
      <c r="F22398">
        <v>66</v>
      </c>
      <c r="G22398">
        <v>27</v>
      </c>
      <c r="H22398">
        <v>20</v>
      </c>
      <c r="I22398">
        <v>122</v>
      </c>
      <c r="J22398">
        <v>1</v>
      </c>
      <c r="K22398">
        <v>9</v>
      </c>
      <c r="L22398">
        <v>120</v>
      </c>
      <c r="M22398">
        <v>1</v>
      </c>
      <c r="N22398">
        <v>2.6530700000000001E-12</v>
      </c>
      <c r="O22398">
        <v>170</v>
      </c>
    </row>
    <row r="22399" spans="1:15" x14ac:dyDescent="0.25">
      <c r="A22399" t="s">
        <v>22412</v>
      </c>
      <c r="B22399">
        <v>317</v>
      </c>
      <c r="C22399" s="1" t="str">
        <f>HYPERLINK("http://www.rosaceae.org/gb/gbrowse/malus_x_domestica/?name=MDP0000191667","MDP0000191667")</f>
        <v>MDP0000191667</v>
      </c>
      <c r="D22399">
        <v>70.849999999999994</v>
      </c>
      <c r="E22399">
        <v>199</v>
      </c>
      <c r="F22399">
        <v>58</v>
      </c>
      <c r="G22399">
        <v>14</v>
      </c>
      <c r="H22399">
        <v>1</v>
      </c>
      <c r="I22399">
        <v>189</v>
      </c>
      <c r="J22399">
        <v>1</v>
      </c>
      <c r="K22399">
        <v>1</v>
      </c>
      <c r="L22399">
        <v>195</v>
      </c>
      <c r="M22399">
        <v>1</v>
      </c>
      <c r="N22399">
        <v>6.7007100000000001E-72</v>
      </c>
      <c r="O22399">
        <v>684</v>
      </c>
    </row>
    <row r="22400" spans="1:15" x14ac:dyDescent="0.25">
      <c r="A22400" t="s">
        <v>22413</v>
      </c>
      <c r="B22400">
        <v>103</v>
      </c>
      <c r="C22400" s="1" t="str">
        <f>HYPERLINK("http://www.rosaceae.org/gb/gbrowse/malus_x_domestica/?name=MDP0000281940","MDP0000281940")</f>
        <v>MDP0000281940</v>
      </c>
      <c r="D22400">
        <v>46.31</v>
      </c>
      <c r="E22400">
        <v>95</v>
      </c>
      <c r="F22400">
        <v>51</v>
      </c>
      <c r="G22400">
        <v>7</v>
      </c>
      <c r="H22400">
        <v>1</v>
      </c>
      <c r="I22400">
        <v>89</v>
      </c>
      <c r="J22400">
        <v>1</v>
      </c>
      <c r="K22400">
        <v>1</v>
      </c>
      <c r="L22400">
        <v>94</v>
      </c>
      <c r="M22400">
        <v>1</v>
      </c>
      <c r="N22400">
        <v>1.2374499999999999E-13</v>
      </c>
      <c r="O22400">
        <v>175</v>
      </c>
    </row>
    <row r="22401" spans="1:15" x14ac:dyDescent="0.25">
      <c r="A22401" t="s">
        <v>22414</v>
      </c>
      <c r="B22401">
        <v>320</v>
      </c>
      <c r="C22401" s="1" t="str">
        <f>HYPERLINK("http://www.rosaceae.org/gb/gbrowse/malus_x_domestica/?name=MDP0000906801","MDP0000906801")</f>
        <v>MDP0000906801</v>
      </c>
      <c r="D22401">
        <v>68.05</v>
      </c>
      <c r="E22401">
        <v>144</v>
      </c>
      <c r="F22401">
        <v>46</v>
      </c>
      <c r="G22401">
        <v>11</v>
      </c>
      <c r="H22401">
        <v>1</v>
      </c>
      <c r="I22401">
        <v>136</v>
      </c>
      <c r="J22401">
        <v>1</v>
      </c>
      <c r="K22401">
        <v>1</v>
      </c>
      <c r="L22401">
        <v>141</v>
      </c>
      <c r="M22401">
        <v>1</v>
      </c>
      <c r="N22401">
        <v>5.0276899999999998E-46</v>
      </c>
      <c r="O22401">
        <v>461</v>
      </c>
    </row>
    <row r="22402" spans="1:15" x14ac:dyDescent="0.25">
      <c r="A22402" t="s">
        <v>22415</v>
      </c>
      <c r="B22402">
        <v>420</v>
      </c>
      <c r="C22402" s="1" t="str">
        <f>HYPERLINK("http://www.rosaceae.org/gb/gbrowse/malus_x_domestica/?name=MDP0000240977","MDP0000240977")</f>
        <v>MDP0000240977</v>
      </c>
      <c r="D22402">
        <v>60.24</v>
      </c>
      <c r="E22402">
        <v>166</v>
      </c>
      <c r="F22402">
        <v>66</v>
      </c>
      <c r="G22402">
        <v>0</v>
      </c>
      <c r="H22402">
        <v>44</v>
      </c>
      <c r="I22402">
        <v>209</v>
      </c>
      <c r="J22402">
        <v>1</v>
      </c>
      <c r="K22402">
        <v>199</v>
      </c>
      <c r="L22402">
        <v>364</v>
      </c>
      <c r="M22402">
        <v>1</v>
      </c>
      <c r="N22402">
        <v>8.4808200000000004E-54</v>
      </c>
      <c r="O22402">
        <v>530</v>
      </c>
    </row>
    <row r="22403" spans="1:15" x14ac:dyDescent="0.25">
      <c r="A22403" t="s">
        <v>22416</v>
      </c>
      <c r="B22403">
        <v>500</v>
      </c>
      <c r="C22403" s="1" t="str">
        <f>HYPERLINK("http://www.rosaceae.org/gb/gbrowse/malus_x_domestica/?name=MDP0000293167","MDP0000293167")</f>
        <v>MDP0000293167</v>
      </c>
      <c r="D22403">
        <v>39.270000000000003</v>
      </c>
      <c r="E22403">
        <v>247</v>
      </c>
      <c r="F22403">
        <v>150</v>
      </c>
      <c r="G22403">
        <v>24</v>
      </c>
      <c r="H22403">
        <v>1</v>
      </c>
      <c r="I22403">
        <v>230</v>
      </c>
      <c r="J22403">
        <v>1</v>
      </c>
      <c r="K22403">
        <v>98</v>
      </c>
      <c r="L22403">
        <v>337</v>
      </c>
      <c r="M22403">
        <v>1</v>
      </c>
      <c r="N22403">
        <v>5.4155799999999995E-38</v>
      </c>
      <c r="O22403">
        <v>394</v>
      </c>
    </row>
    <row r="22404" spans="1:15" x14ac:dyDescent="0.25">
      <c r="A22404" t="s">
        <v>22417</v>
      </c>
      <c r="B22404">
        <v>194</v>
      </c>
      <c r="C22404" s="1" t="str">
        <f>HYPERLINK("http://www.rosaceae.org/gb/gbrowse/malus_x_domestica/?name=MDP0000598064","MDP0000598064")</f>
        <v>MDP0000598064</v>
      </c>
      <c r="D22404">
        <v>68.87</v>
      </c>
      <c r="E22404">
        <v>151</v>
      </c>
      <c r="F22404">
        <v>47</v>
      </c>
      <c r="G22404">
        <v>0</v>
      </c>
      <c r="H22404">
        <v>44</v>
      </c>
      <c r="I22404">
        <v>194</v>
      </c>
      <c r="J22404">
        <v>1</v>
      </c>
      <c r="K22404">
        <v>374</v>
      </c>
      <c r="L22404">
        <v>524</v>
      </c>
      <c r="M22404">
        <v>1</v>
      </c>
      <c r="N22404">
        <v>5.4718699999999997E-55</v>
      </c>
      <c r="O22404">
        <v>536</v>
      </c>
    </row>
    <row r="22405" spans="1:15" x14ac:dyDescent="0.25">
      <c r="A22405" t="s">
        <v>22418</v>
      </c>
      <c r="B22405">
        <v>462</v>
      </c>
      <c r="C22405" s="1" t="str">
        <f>HYPERLINK("http://www.rosaceae.org/gb/gbrowse/malus_x_domestica/?name=MDP0000230836","MDP0000230836")</f>
        <v>MDP0000230836</v>
      </c>
      <c r="D22405">
        <v>69.45</v>
      </c>
      <c r="E22405">
        <v>478</v>
      </c>
      <c r="F22405">
        <v>146</v>
      </c>
      <c r="G22405">
        <v>25</v>
      </c>
      <c r="H22405">
        <v>1</v>
      </c>
      <c r="I22405">
        <v>462</v>
      </c>
      <c r="J22405">
        <v>1</v>
      </c>
      <c r="K22405">
        <v>1</v>
      </c>
      <c r="L22405">
        <v>469</v>
      </c>
      <c r="M22405">
        <v>1</v>
      </c>
      <c r="N22405">
        <v>0</v>
      </c>
      <c r="O22405">
        <v>1754</v>
      </c>
    </row>
    <row r="22406" spans="1:15" x14ac:dyDescent="0.25">
      <c r="A22406" t="s">
        <v>22419</v>
      </c>
      <c r="B22406">
        <v>495</v>
      </c>
      <c r="C22406" s="1" t="str">
        <f>HYPERLINK("http://www.rosaceae.org/gb/gbrowse/malus_x_domestica/?name=MDP0000319315","MDP0000319315")</f>
        <v>MDP0000319315</v>
      </c>
      <c r="D22406">
        <v>46.61</v>
      </c>
      <c r="E22406">
        <v>399</v>
      </c>
      <c r="F22406">
        <v>213</v>
      </c>
      <c r="G22406">
        <v>44</v>
      </c>
      <c r="H22406">
        <v>1</v>
      </c>
      <c r="I22406">
        <v>385</v>
      </c>
      <c r="J22406">
        <v>1</v>
      </c>
      <c r="K22406">
        <v>1</v>
      </c>
      <c r="L22406">
        <v>369</v>
      </c>
      <c r="M22406">
        <v>1</v>
      </c>
      <c r="N22406">
        <v>1.9378299999999999E-85</v>
      </c>
      <c r="O22406">
        <v>803</v>
      </c>
    </row>
    <row r="22407" spans="1:15" x14ac:dyDescent="0.25">
      <c r="A22407" t="s">
        <v>22420</v>
      </c>
      <c r="B22407">
        <v>457</v>
      </c>
      <c r="C22407" s="1" t="str">
        <f>HYPERLINK("http://www.rosaceae.org/gb/gbrowse/malus_x_domestica/?name=MDP0000391769","MDP0000391769")</f>
        <v>MDP0000391769</v>
      </c>
      <c r="D22407">
        <v>63.94</v>
      </c>
      <c r="E22407">
        <v>466</v>
      </c>
      <c r="F22407">
        <v>168</v>
      </c>
      <c r="G22407">
        <v>21</v>
      </c>
      <c r="H22407">
        <v>1</v>
      </c>
      <c r="I22407">
        <v>457</v>
      </c>
      <c r="J22407">
        <v>1</v>
      </c>
      <c r="K22407">
        <v>1</v>
      </c>
      <c r="L22407">
        <v>454</v>
      </c>
      <c r="M22407">
        <v>1</v>
      </c>
      <c r="N22407">
        <v>6.8649599999999997E-166</v>
      </c>
      <c r="O22407">
        <v>1497</v>
      </c>
    </row>
    <row r="22408" spans="1:15" x14ac:dyDescent="0.25">
      <c r="A22408" t="s">
        <v>22421</v>
      </c>
      <c r="B22408">
        <v>660</v>
      </c>
      <c r="C22408" s="1" t="str">
        <f>HYPERLINK("http://www.rosaceae.org/gb/gbrowse/malus_x_domestica/?name=MDP0000783034","MDP0000783034")</f>
        <v>MDP0000783034</v>
      </c>
      <c r="D22408">
        <v>68.069999999999993</v>
      </c>
      <c r="E22408">
        <v>520</v>
      </c>
      <c r="F22408">
        <v>166</v>
      </c>
      <c r="G22408">
        <v>27</v>
      </c>
      <c r="H22408">
        <v>29</v>
      </c>
      <c r="I22408">
        <v>528</v>
      </c>
      <c r="J22408">
        <v>1</v>
      </c>
      <c r="K22408">
        <v>25</v>
      </c>
      <c r="L22408">
        <v>537</v>
      </c>
      <c r="M22408">
        <v>1</v>
      </c>
      <c r="N22408">
        <v>0</v>
      </c>
      <c r="O22408">
        <v>1870</v>
      </c>
    </row>
    <row r="22409" spans="1:15" x14ac:dyDescent="0.25">
      <c r="A22409" t="s">
        <v>22422</v>
      </c>
      <c r="B22409">
        <v>438</v>
      </c>
      <c r="C22409" s="1" t="str">
        <f>HYPERLINK("http://www.rosaceae.org/gb/gbrowse/malus_x_domestica/?name=MDP0000321050","MDP0000321050")</f>
        <v>MDP0000321050</v>
      </c>
      <c r="D22409">
        <v>41.85</v>
      </c>
      <c r="E22409">
        <v>227</v>
      </c>
      <c r="F22409">
        <v>132</v>
      </c>
      <c r="G22409">
        <v>9</v>
      </c>
      <c r="H22409">
        <v>168</v>
      </c>
      <c r="I22409">
        <v>390</v>
      </c>
      <c r="J22409">
        <v>1</v>
      </c>
      <c r="K22409">
        <v>302</v>
      </c>
      <c r="L22409">
        <v>523</v>
      </c>
      <c r="M22409">
        <v>1</v>
      </c>
      <c r="N22409">
        <v>1.69552E-43</v>
      </c>
      <c r="O22409">
        <v>441</v>
      </c>
    </row>
    <row r="22410" spans="1:15" x14ac:dyDescent="0.25">
      <c r="A22410" t="s">
        <v>22423</v>
      </c>
      <c r="B22410">
        <v>369</v>
      </c>
      <c r="C22410" s="1" t="str">
        <f>HYPERLINK("http://www.rosaceae.org/gb/gbrowse/malus_x_domestica/?name=MDP0000229807","MDP0000229807")</f>
        <v>MDP0000229807</v>
      </c>
      <c r="D22410">
        <v>78.44</v>
      </c>
      <c r="E22410">
        <v>167</v>
      </c>
      <c r="F22410">
        <v>36</v>
      </c>
      <c r="G22410">
        <v>3</v>
      </c>
      <c r="H22410">
        <v>1</v>
      </c>
      <c r="I22410">
        <v>164</v>
      </c>
      <c r="J22410">
        <v>1</v>
      </c>
      <c r="K22410">
        <v>1</v>
      </c>
      <c r="L22410">
        <v>167</v>
      </c>
      <c r="M22410">
        <v>1</v>
      </c>
      <c r="N22410">
        <v>1.1735799999999999E-74</v>
      </c>
      <c r="O22410">
        <v>709</v>
      </c>
    </row>
    <row r="22411" spans="1:15" x14ac:dyDescent="0.25">
      <c r="A22411" t="s">
        <v>22424</v>
      </c>
      <c r="B22411">
        <v>436</v>
      </c>
      <c r="C22411" s="1" t="str">
        <f>HYPERLINK("http://www.rosaceae.org/gb/gbrowse/malus_x_domestica/?name=MDP0000293408","MDP0000293408")</f>
        <v>MDP0000293408</v>
      </c>
      <c r="D22411">
        <v>79.09</v>
      </c>
      <c r="E22411">
        <v>397</v>
      </c>
      <c r="F22411">
        <v>83</v>
      </c>
      <c r="G22411">
        <v>2</v>
      </c>
      <c r="H22411">
        <v>10</v>
      </c>
      <c r="I22411">
        <v>404</v>
      </c>
      <c r="J22411">
        <v>1</v>
      </c>
      <c r="K22411">
        <v>569</v>
      </c>
      <c r="L22411">
        <v>965</v>
      </c>
      <c r="M22411">
        <v>1</v>
      </c>
      <c r="N22411">
        <v>0</v>
      </c>
      <c r="O22411">
        <v>1725</v>
      </c>
    </row>
    <row r="22412" spans="1:15" x14ac:dyDescent="0.25">
      <c r="A22412" t="s">
        <v>22425</v>
      </c>
      <c r="B22412">
        <v>310</v>
      </c>
      <c r="C22412" s="1" t="str">
        <f>HYPERLINK("http://www.rosaceae.org/gb/gbrowse/malus_x_domestica/?name=MDP0000124152","MDP0000124152")</f>
        <v>MDP0000124152</v>
      </c>
      <c r="D22412">
        <v>82.92</v>
      </c>
      <c r="E22412">
        <v>82</v>
      </c>
      <c r="F22412">
        <v>14</v>
      </c>
      <c r="G22412">
        <v>0</v>
      </c>
      <c r="H22412">
        <v>65</v>
      </c>
      <c r="I22412">
        <v>146</v>
      </c>
      <c r="J22412">
        <v>1</v>
      </c>
      <c r="K22412">
        <v>67</v>
      </c>
      <c r="L22412">
        <v>148</v>
      </c>
      <c r="M22412">
        <v>1</v>
      </c>
      <c r="N22412">
        <v>1.4960699999999999E-35</v>
      </c>
      <c r="O22412">
        <v>371</v>
      </c>
    </row>
    <row r="22413" spans="1:15" x14ac:dyDescent="0.25">
      <c r="A22413" t="s">
        <v>22426</v>
      </c>
      <c r="B22413">
        <v>411</v>
      </c>
      <c r="C22413" s="1" t="str">
        <f>HYPERLINK("http://www.rosaceae.org/gb/gbrowse/malus_x_domestica/?name=MDP0000153127","MDP0000153127")</f>
        <v>MDP0000153127</v>
      </c>
      <c r="D22413">
        <v>66.33</v>
      </c>
      <c r="E22413">
        <v>303</v>
      </c>
      <c r="F22413">
        <v>102</v>
      </c>
      <c r="G22413">
        <v>10</v>
      </c>
      <c r="H22413">
        <v>115</v>
      </c>
      <c r="I22413">
        <v>411</v>
      </c>
      <c r="J22413">
        <v>1</v>
      </c>
      <c r="K22413">
        <v>2</v>
      </c>
      <c r="L22413">
        <v>300</v>
      </c>
      <c r="M22413">
        <v>1</v>
      </c>
      <c r="N22413">
        <v>8.4552699999999996E-108</v>
      </c>
      <c r="O22413">
        <v>995</v>
      </c>
    </row>
    <row r="22414" spans="1:15" x14ac:dyDescent="0.25">
      <c r="A22414" t="s">
        <v>22427</v>
      </c>
      <c r="B22414">
        <v>677</v>
      </c>
      <c r="C22414" s="1" t="str">
        <f>HYPERLINK("http://www.rosaceae.org/gb/gbrowse/malus_x_domestica/?name=MDP0000303666","MDP0000303666")</f>
        <v>MDP0000303666</v>
      </c>
      <c r="D22414">
        <v>56.68</v>
      </c>
      <c r="E22414">
        <v>718</v>
      </c>
      <c r="F22414">
        <v>311</v>
      </c>
      <c r="G22414">
        <v>80</v>
      </c>
      <c r="H22414">
        <v>7</v>
      </c>
      <c r="I22414">
        <v>677</v>
      </c>
      <c r="J22414">
        <v>1</v>
      </c>
      <c r="K22414">
        <v>33</v>
      </c>
      <c r="L22414">
        <v>717</v>
      </c>
      <c r="M22414">
        <v>1</v>
      </c>
      <c r="N22414">
        <v>0</v>
      </c>
      <c r="O22414">
        <v>1952</v>
      </c>
    </row>
    <row r="22415" spans="1:15" x14ac:dyDescent="0.25">
      <c r="A22415" t="s">
        <v>22428</v>
      </c>
      <c r="B22415">
        <v>467</v>
      </c>
      <c r="C22415" s="1" t="str">
        <f>HYPERLINK("http://www.rosaceae.org/gb/gbrowse/malus_x_domestica/?name=MDP0000193502","MDP0000193502")</f>
        <v>MDP0000193502</v>
      </c>
      <c r="D22415">
        <v>74.239999999999995</v>
      </c>
      <c r="E22415">
        <v>466</v>
      </c>
      <c r="F22415">
        <v>120</v>
      </c>
      <c r="G22415">
        <v>19</v>
      </c>
      <c r="H22415">
        <v>3</v>
      </c>
      <c r="I22415">
        <v>467</v>
      </c>
      <c r="J22415">
        <v>1</v>
      </c>
      <c r="K22415">
        <v>4</v>
      </c>
      <c r="L22415">
        <v>451</v>
      </c>
      <c r="M22415">
        <v>1</v>
      </c>
      <c r="N22415">
        <v>0</v>
      </c>
      <c r="O22415">
        <v>1688</v>
      </c>
    </row>
    <row r="22416" spans="1:15" x14ac:dyDescent="0.25">
      <c r="A22416" t="s">
        <v>22429</v>
      </c>
      <c r="B22416">
        <v>250</v>
      </c>
      <c r="C22416" s="1" t="str">
        <f>HYPERLINK("http://www.rosaceae.org/gb/gbrowse/malus_x_domestica/?name=MDP0000213864","MDP0000213864")</f>
        <v>MDP0000213864</v>
      </c>
      <c r="D22416">
        <v>54.72</v>
      </c>
      <c r="E22416">
        <v>254</v>
      </c>
      <c r="F22416">
        <v>115</v>
      </c>
      <c r="G22416">
        <v>29</v>
      </c>
      <c r="H22416">
        <v>2</v>
      </c>
      <c r="I22416">
        <v>250</v>
      </c>
      <c r="J22416">
        <v>1</v>
      </c>
      <c r="K22416">
        <v>91</v>
      </c>
      <c r="L22416">
        <v>320</v>
      </c>
      <c r="M22416">
        <v>1</v>
      </c>
      <c r="N22416">
        <v>1.67264E-67</v>
      </c>
      <c r="O22416">
        <v>645</v>
      </c>
    </row>
    <row r="22417" spans="1:15" x14ac:dyDescent="0.25">
      <c r="A22417" t="s">
        <v>22430</v>
      </c>
      <c r="B22417">
        <v>1140</v>
      </c>
      <c r="C22417" s="1" t="str">
        <f>HYPERLINK("http://www.rosaceae.org/gb/gbrowse/malus_x_domestica/?name=MDP0000288948","MDP0000288948")</f>
        <v>MDP0000288948</v>
      </c>
      <c r="D22417">
        <v>85.29</v>
      </c>
      <c r="E22417">
        <v>442</v>
      </c>
      <c r="F22417">
        <v>65</v>
      </c>
      <c r="G22417">
        <v>6</v>
      </c>
      <c r="H22417">
        <v>705</v>
      </c>
      <c r="I22417">
        <v>1140</v>
      </c>
      <c r="J22417">
        <v>1</v>
      </c>
      <c r="K22417">
        <v>152</v>
      </c>
      <c r="L22417">
        <v>593</v>
      </c>
      <c r="M22417">
        <v>1</v>
      </c>
      <c r="N22417">
        <v>0</v>
      </c>
      <c r="O22417">
        <v>1992</v>
      </c>
    </row>
    <row r="22418" spans="1:15" x14ac:dyDescent="0.25">
      <c r="A22418" t="s">
        <v>22431</v>
      </c>
      <c r="B22418">
        <v>909</v>
      </c>
      <c r="C22418" s="1" t="str">
        <f>HYPERLINK("http://www.rosaceae.org/gb/gbrowse/malus_x_domestica/?name=MDP0000520325","MDP0000520325")</f>
        <v>MDP0000520325</v>
      </c>
      <c r="D22418">
        <v>63.73</v>
      </c>
      <c r="E22418">
        <v>910</v>
      </c>
      <c r="F22418">
        <v>330</v>
      </c>
      <c r="G22418">
        <v>11</v>
      </c>
      <c r="H22418">
        <v>1</v>
      </c>
      <c r="I22418">
        <v>901</v>
      </c>
      <c r="J22418">
        <v>1</v>
      </c>
      <c r="K22418">
        <v>1</v>
      </c>
      <c r="L22418">
        <v>908</v>
      </c>
      <c r="M22418">
        <v>1</v>
      </c>
      <c r="N22418">
        <v>0</v>
      </c>
      <c r="O22418">
        <v>2642</v>
      </c>
    </row>
    <row r="22419" spans="1:15" x14ac:dyDescent="0.25">
      <c r="A22419" t="s">
        <v>22432</v>
      </c>
      <c r="B22419">
        <v>643</v>
      </c>
      <c r="C22419" s="1" t="str">
        <f>HYPERLINK("http://www.rosaceae.org/gb/gbrowse/malus_x_domestica/?name=MDP0000142734","MDP0000142734")</f>
        <v>MDP0000142734</v>
      </c>
      <c r="D22419">
        <v>61.88</v>
      </c>
      <c r="E22419">
        <v>648</v>
      </c>
      <c r="F22419">
        <v>247</v>
      </c>
      <c r="G22419">
        <v>20</v>
      </c>
      <c r="H22419">
        <v>1</v>
      </c>
      <c r="I22419">
        <v>637</v>
      </c>
      <c r="J22419">
        <v>1</v>
      </c>
      <c r="K22419">
        <v>1</v>
      </c>
      <c r="L22419">
        <v>639</v>
      </c>
      <c r="M22419">
        <v>1</v>
      </c>
      <c r="N22419">
        <v>0</v>
      </c>
      <c r="O22419">
        <v>1828</v>
      </c>
    </row>
    <row r="22420" spans="1:15" x14ac:dyDescent="0.25">
      <c r="A22420" t="s">
        <v>22433</v>
      </c>
      <c r="B22420">
        <v>277</v>
      </c>
      <c r="C22420" s="1" t="str">
        <f>HYPERLINK("http://www.rosaceae.org/gb/gbrowse/malus_x_domestica/?name=MDP0000179976","MDP0000179976")</f>
        <v>MDP0000179976</v>
      </c>
      <c r="D22420">
        <v>56.31</v>
      </c>
      <c r="E22420">
        <v>277</v>
      </c>
      <c r="F22420">
        <v>121</v>
      </c>
      <c r="G22420">
        <v>16</v>
      </c>
      <c r="H22420">
        <v>1</v>
      </c>
      <c r="I22420">
        <v>268</v>
      </c>
      <c r="J22420">
        <v>1</v>
      </c>
      <c r="K22420">
        <v>1</v>
      </c>
      <c r="L22420">
        <v>270</v>
      </c>
      <c r="M22420">
        <v>1</v>
      </c>
      <c r="N22420">
        <v>6.1688399999999997E-79</v>
      </c>
      <c r="O22420">
        <v>744</v>
      </c>
    </row>
    <row r="22421" spans="1:15" x14ac:dyDescent="0.25">
      <c r="A22421" t="s">
        <v>22434</v>
      </c>
      <c r="B22421">
        <v>352</v>
      </c>
      <c r="C22421" s="1" t="str">
        <f>HYPERLINK("http://www.rosaceae.org/gb/gbrowse/malus_x_domestica/?name=MDP0000177048","MDP0000177048")</f>
        <v>MDP0000177048</v>
      </c>
      <c r="D22421">
        <v>58.62</v>
      </c>
      <c r="E22421">
        <v>319</v>
      </c>
      <c r="F22421">
        <v>132</v>
      </c>
      <c r="G22421">
        <v>66</v>
      </c>
      <c r="H22421">
        <v>93</v>
      </c>
      <c r="I22421">
        <v>352</v>
      </c>
      <c r="J22421">
        <v>1</v>
      </c>
      <c r="K22421">
        <v>65</v>
      </c>
      <c r="L22421">
        <v>376</v>
      </c>
      <c r="M22421">
        <v>1</v>
      </c>
      <c r="N22421">
        <v>3.9457899999999999E-92</v>
      </c>
      <c r="O22421">
        <v>859</v>
      </c>
    </row>
    <row r="22422" spans="1:15" x14ac:dyDescent="0.25">
      <c r="A22422" t="s">
        <v>22435</v>
      </c>
      <c r="B22422">
        <v>535</v>
      </c>
      <c r="C22422" s="1" t="str">
        <f>HYPERLINK("http://www.rosaceae.org/gb/gbrowse/malus_x_domestica/?name=MDP0000763506","MDP0000763506")</f>
        <v>MDP0000763506</v>
      </c>
      <c r="D22422">
        <v>74.06</v>
      </c>
      <c r="E22422">
        <v>536</v>
      </c>
      <c r="F22422">
        <v>139</v>
      </c>
      <c r="G22422">
        <v>40</v>
      </c>
      <c r="H22422">
        <v>2</v>
      </c>
      <c r="I22422">
        <v>535</v>
      </c>
      <c r="J22422">
        <v>1</v>
      </c>
      <c r="K22422">
        <v>3</v>
      </c>
      <c r="L22422">
        <v>500</v>
      </c>
      <c r="M22422">
        <v>1</v>
      </c>
      <c r="N22422">
        <v>0</v>
      </c>
      <c r="O22422">
        <v>2076</v>
      </c>
    </row>
    <row r="22423" spans="1:15" x14ac:dyDescent="0.25">
      <c r="A22423" t="s">
        <v>22436</v>
      </c>
      <c r="B22423">
        <v>496</v>
      </c>
      <c r="C22423" s="1" t="str">
        <f>HYPERLINK("http://www.rosaceae.org/gb/gbrowse/malus_x_domestica/?name=MDP0000676705","MDP0000676705")</f>
        <v>MDP0000676705</v>
      </c>
      <c r="D22423">
        <v>61.61</v>
      </c>
      <c r="E22423">
        <v>495</v>
      </c>
      <c r="F22423">
        <v>190</v>
      </c>
      <c r="G22423">
        <v>9</v>
      </c>
      <c r="H22423">
        <v>1</v>
      </c>
      <c r="I22423">
        <v>493</v>
      </c>
      <c r="J22423">
        <v>1</v>
      </c>
      <c r="K22423">
        <v>10</v>
      </c>
      <c r="L22423">
        <v>497</v>
      </c>
      <c r="M22423">
        <v>1</v>
      </c>
      <c r="N22423">
        <v>3.5675900000000001E-176</v>
      </c>
      <c r="O22423">
        <v>1586</v>
      </c>
    </row>
    <row r="22424" spans="1:15" x14ac:dyDescent="0.25">
      <c r="A22424" t="s">
        <v>22437</v>
      </c>
      <c r="B22424">
        <v>1209</v>
      </c>
      <c r="C22424" s="1" t="str">
        <f>HYPERLINK("http://www.rosaceae.org/gb/gbrowse/malus_x_domestica/?name=MDP0000261517","MDP0000261517")</f>
        <v>MDP0000261517</v>
      </c>
      <c r="D22424">
        <v>77.540000000000006</v>
      </c>
      <c r="E22424">
        <v>1247</v>
      </c>
      <c r="F22424">
        <v>280</v>
      </c>
      <c r="G22424">
        <v>45</v>
      </c>
      <c r="H22424">
        <v>1</v>
      </c>
      <c r="I22424">
        <v>1208</v>
      </c>
      <c r="J22424">
        <v>1</v>
      </c>
      <c r="K22424">
        <v>9</v>
      </c>
      <c r="L22424">
        <v>1249</v>
      </c>
      <c r="M22424">
        <v>1</v>
      </c>
      <c r="N22424">
        <v>0</v>
      </c>
      <c r="O22424">
        <v>5118</v>
      </c>
    </row>
    <row r="22425" spans="1:15" x14ac:dyDescent="0.25">
      <c r="A22425" t="s">
        <v>22438</v>
      </c>
      <c r="B22425">
        <v>472</v>
      </c>
      <c r="C22425" s="1" t="str">
        <f>HYPERLINK("http://www.rosaceae.org/gb/gbrowse/malus_x_domestica/?name=MDP0000258998","MDP0000258998")</f>
        <v>MDP0000258998</v>
      </c>
      <c r="D22425">
        <v>45.38</v>
      </c>
      <c r="E22425">
        <v>379</v>
      </c>
      <c r="F22425">
        <v>207</v>
      </c>
      <c r="G22425">
        <v>48</v>
      </c>
      <c r="H22425">
        <v>127</v>
      </c>
      <c r="I22425">
        <v>466</v>
      </c>
      <c r="J22425">
        <v>1</v>
      </c>
      <c r="K22425">
        <v>1366</v>
      </c>
      <c r="L22425">
        <v>1735</v>
      </c>
      <c r="M22425">
        <v>1</v>
      </c>
      <c r="N22425">
        <v>7.6176700000000002E-67</v>
      </c>
      <c r="O22425">
        <v>643</v>
      </c>
    </row>
    <row r="22426" spans="1:15" x14ac:dyDescent="0.25">
      <c r="A22426" t="s">
        <v>22439</v>
      </c>
      <c r="B22426">
        <v>798</v>
      </c>
      <c r="C22426" s="1" t="str">
        <f>HYPERLINK("http://www.rosaceae.org/gb/gbrowse/malus_x_domestica/?name=MDP0000279299","MDP0000279299")</f>
        <v>MDP0000279299</v>
      </c>
      <c r="D22426">
        <v>65.819999999999993</v>
      </c>
      <c r="E22426">
        <v>79</v>
      </c>
      <c r="F22426">
        <v>27</v>
      </c>
      <c r="G22426">
        <v>0</v>
      </c>
      <c r="H22426">
        <v>713</v>
      </c>
      <c r="I22426">
        <v>791</v>
      </c>
      <c r="J22426">
        <v>1</v>
      </c>
      <c r="K22426">
        <v>265</v>
      </c>
      <c r="L22426">
        <v>343</v>
      </c>
      <c r="M22426">
        <v>1</v>
      </c>
      <c r="N22426">
        <v>1.50834E-22</v>
      </c>
      <c r="O22426">
        <v>263</v>
      </c>
    </row>
    <row r="22427" spans="1:15" x14ac:dyDescent="0.25">
      <c r="A22427" t="s">
        <v>22440</v>
      </c>
      <c r="B22427">
        <v>125</v>
      </c>
      <c r="C22427" s="1" t="str">
        <f>HYPERLINK("http://www.rosaceae.org/gb/gbrowse/malus_x_domestica/?name=MDP0000241889","MDP0000241889")</f>
        <v>MDP0000241889</v>
      </c>
      <c r="D22427">
        <v>51.35</v>
      </c>
      <c r="E22427">
        <v>111</v>
      </c>
      <c r="F22427">
        <v>54</v>
      </c>
      <c r="G22427">
        <v>10</v>
      </c>
      <c r="H22427">
        <v>3</v>
      </c>
      <c r="I22427">
        <v>105</v>
      </c>
      <c r="J22427">
        <v>1</v>
      </c>
      <c r="K22427">
        <v>4</v>
      </c>
      <c r="L22427">
        <v>112</v>
      </c>
      <c r="M22427">
        <v>1</v>
      </c>
      <c r="N22427">
        <v>4.0128399999999998E-20</v>
      </c>
      <c r="O22427">
        <v>231</v>
      </c>
    </row>
    <row r="22428" spans="1:15" x14ac:dyDescent="0.25">
      <c r="A22428" t="s">
        <v>22441</v>
      </c>
      <c r="B22428">
        <v>68</v>
      </c>
      <c r="C22428" s="1" t="str">
        <f>HYPERLINK("http://www.rosaceae.org/gb/gbrowse/malus_x_domestica/?name=MDP0000193853","MDP0000193853")</f>
        <v>MDP0000193853</v>
      </c>
      <c r="D22428">
        <v>65.62</v>
      </c>
      <c r="E22428">
        <v>64</v>
      </c>
      <c r="F22428">
        <v>22</v>
      </c>
      <c r="G22428">
        <v>14</v>
      </c>
      <c r="H22428">
        <v>1</v>
      </c>
      <c r="I22428">
        <v>50</v>
      </c>
      <c r="J22428">
        <v>1</v>
      </c>
      <c r="K22428">
        <v>1</v>
      </c>
      <c r="L22428">
        <v>64</v>
      </c>
      <c r="M22428">
        <v>1</v>
      </c>
      <c r="N22428">
        <v>2.71116E-11</v>
      </c>
      <c r="O22428">
        <v>155</v>
      </c>
    </row>
    <row r="22429" spans="1:15" x14ac:dyDescent="0.25">
      <c r="A22429" t="s">
        <v>22442</v>
      </c>
      <c r="B22429">
        <v>118</v>
      </c>
      <c r="C22429" s="1" t="str">
        <f>HYPERLINK("http://www.rosaceae.org/gb/gbrowse/malus_x_domestica/?name=MDP0000904013","MDP0000904013")</f>
        <v>MDP0000904013</v>
      </c>
      <c r="D22429">
        <v>67.56</v>
      </c>
      <c r="E22429">
        <v>111</v>
      </c>
      <c r="F22429">
        <v>36</v>
      </c>
      <c r="G22429">
        <v>7</v>
      </c>
      <c r="H22429">
        <v>1</v>
      </c>
      <c r="I22429">
        <v>105</v>
      </c>
      <c r="J22429">
        <v>1</v>
      </c>
      <c r="K22429">
        <v>1</v>
      </c>
      <c r="L22429">
        <v>110</v>
      </c>
      <c r="M22429">
        <v>1</v>
      </c>
      <c r="N22429">
        <v>1.9957800000000001E-36</v>
      </c>
      <c r="O22429">
        <v>372</v>
      </c>
    </row>
    <row r="22430" spans="1:15" x14ac:dyDescent="0.25">
      <c r="A22430" t="s">
        <v>22443</v>
      </c>
      <c r="B22430">
        <v>415</v>
      </c>
      <c r="C22430" s="1" t="str">
        <f>HYPERLINK("http://www.rosaceae.org/gb/gbrowse/malus_x_domestica/?name=MDP0000161595","MDP0000161595")</f>
        <v>MDP0000161595</v>
      </c>
      <c r="D22430">
        <v>82.5</v>
      </c>
      <c r="E22430">
        <v>160</v>
      </c>
      <c r="F22430">
        <v>28</v>
      </c>
      <c r="G22430">
        <v>6</v>
      </c>
      <c r="H22430">
        <v>52</v>
      </c>
      <c r="I22430">
        <v>206</v>
      </c>
      <c r="J22430">
        <v>1</v>
      </c>
      <c r="K22430">
        <v>74</v>
      </c>
      <c r="L22430">
        <v>232</v>
      </c>
      <c r="M22430">
        <v>1</v>
      </c>
      <c r="N22430">
        <v>1.5784099999999999E-71</v>
      </c>
      <c r="O22430">
        <v>682</v>
      </c>
    </row>
    <row r="22431" spans="1:15" x14ac:dyDescent="0.25">
      <c r="A22431" t="s">
        <v>22444</v>
      </c>
      <c r="B22431">
        <v>580</v>
      </c>
      <c r="C22431" s="1" t="str">
        <f>HYPERLINK("http://www.rosaceae.org/gb/gbrowse/malus_x_domestica/?name=MDP0000851291","MDP0000851291")</f>
        <v>MDP0000851291</v>
      </c>
      <c r="D22431">
        <v>77.59</v>
      </c>
      <c r="E22431">
        <v>183</v>
      </c>
      <c r="F22431">
        <v>41</v>
      </c>
      <c r="G22431">
        <v>1</v>
      </c>
      <c r="H22431">
        <v>396</v>
      </c>
      <c r="I22431">
        <v>578</v>
      </c>
      <c r="J22431">
        <v>1</v>
      </c>
      <c r="K22431">
        <v>5</v>
      </c>
      <c r="L22431">
        <v>186</v>
      </c>
      <c r="M22431">
        <v>1</v>
      </c>
      <c r="N22431">
        <v>1.1860200000000001E-83</v>
      </c>
      <c r="O22431">
        <v>789</v>
      </c>
    </row>
    <row r="22432" spans="1:15" x14ac:dyDescent="0.25">
      <c r="A22432" t="s">
        <v>22445</v>
      </c>
      <c r="B22432">
        <v>747</v>
      </c>
      <c r="C22432" s="1" t="str">
        <f>HYPERLINK("http://www.rosaceae.org/gb/gbrowse/malus_x_domestica/?name=MDP0000751527","MDP0000751527")</f>
        <v>MDP0000751527</v>
      </c>
      <c r="D22432">
        <v>63.51</v>
      </c>
      <c r="E22432">
        <v>773</v>
      </c>
      <c r="F22432">
        <v>282</v>
      </c>
      <c r="G22432">
        <v>30</v>
      </c>
      <c r="H22432">
        <v>1</v>
      </c>
      <c r="I22432">
        <v>747</v>
      </c>
      <c r="J22432">
        <v>1</v>
      </c>
      <c r="K22432">
        <v>1</v>
      </c>
      <c r="L22432">
        <v>769</v>
      </c>
      <c r="M22432">
        <v>1</v>
      </c>
      <c r="N22432">
        <v>0</v>
      </c>
      <c r="O22432">
        <v>2365</v>
      </c>
    </row>
    <row r="22433" spans="1:15" x14ac:dyDescent="0.25">
      <c r="A22433" t="s">
        <v>22446</v>
      </c>
      <c r="B22433">
        <v>485</v>
      </c>
      <c r="C22433" s="1" t="str">
        <f>HYPERLINK("http://www.rosaceae.org/gb/gbrowse/malus_x_domestica/?name=MDP0000186402","MDP0000186402")</f>
        <v>MDP0000186402</v>
      </c>
      <c r="D22433">
        <v>71.73</v>
      </c>
      <c r="E22433">
        <v>513</v>
      </c>
      <c r="F22433">
        <v>145</v>
      </c>
      <c r="G22433">
        <v>86</v>
      </c>
      <c r="H22433">
        <v>1</v>
      </c>
      <c r="I22433">
        <v>440</v>
      </c>
      <c r="J22433">
        <v>1</v>
      </c>
      <c r="K22433">
        <v>67</v>
      </c>
      <c r="L22433">
        <v>566</v>
      </c>
      <c r="M22433">
        <v>1</v>
      </c>
      <c r="N22433">
        <v>0</v>
      </c>
      <c r="O22433">
        <v>1787</v>
      </c>
    </row>
    <row r="22434" spans="1:15" x14ac:dyDescent="0.25">
      <c r="A22434" t="s">
        <v>22447</v>
      </c>
      <c r="B22434">
        <v>675</v>
      </c>
      <c r="C22434" s="1" t="str">
        <f>HYPERLINK("http://www.rosaceae.org/gb/gbrowse/malus_x_domestica/?name=MDP0000291386","MDP0000291386")</f>
        <v>MDP0000291386</v>
      </c>
      <c r="D22434">
        <v>50.7</v>
      </c>
      <c r="E22434">
        <v>568</v>
      </c>
      <c r="F22434">
        <v>280</v>
      </c>
      <c r="G22434">
        <v>86</v>
      </c>
      <c r="H22434">
        <v>175</v>
      </c>
      <c r="I22434">
        <v>672</v>
      </c>
      <c r="J22434">
        <v>1</v>
      </c>
      <c r="K22434">
        <v>99</v>
      </c>
      <c r="L22434">
        <v>650</v>
      </c>
      <c r="M22434">
        <v>1</v>
      </c>
      <c r="N22434">
        <v>1.3241E-145</v>
      </c>
      <c r="O22434">
        <v>1323</v>
      </c>
    </row>
    <row r="22435" spans="1:15" x14ac:dyDescent="0.25">
      <c r="A22435" t="s">
        <v>22448</v>
      </c>
      <c r="B22435">
        <v>496</v>
      </c>
      <c r="C22435" s="1" t="str">
        <f>HYPERLINK("http://www.rosaceae.org/gb/gbrowse/malus_x_domestica/?name=MDP0000246501","MDP0000246501")</f>
        <v>MDP0000246501</v>
      </c>
      <c r="D22435">
        <v>85.44</v>
      </c>
      <c r="E22435">
        <v>481</v>
      </c>
      <c r="F22435">
        <v>70</v>
      </c>
      <c r="G22435">
        <v>11</v>
      </c>
      <c r="H22435">
        <v>17</v>
      </c>
      <c r="I22435">
        <v>496</v>
      </c>
      <c r="J22435">
        <v>1</v>
      </c>
      <c r="K22435">
        <v>17</v>
      </c>
      <c r="L22435">
        <v>487</v>
      </c>
      <c r="M22435">
        <v>1</v>
      </c>
      <c r="N22435">
        <v>0</v>
      </c>
      <c r="O22435">
        <v>2199</v>
      </c>
    </row>
    <row r="22436" spans="1:15" x14ac:dyDescent="0.25">
      <c r="A22436" t="s">
        <v>22449</v>
      </c>
      <c r="B22436">
        <v>194</v>
      </c>
      <c r="C22436" s="1" t="str">
        <f>HYPERLINK("http://www.rosaceae.org/gb/gbrowse/malus_x_domestica/?name=MDP0000317482","MDP0000317482")</f>
        <v>MDP0000317482</v>
      </c>
      <c r="D22436">
        <v>61.45</v>
      </c>
      <c r="E22436">
        <v>179</v>
      </c>
      <c r="F22436">
        <v>69</v>
      </c>
      <c r="G22436">
        <v>25</v>
      </c>
      <c r="H22436">
        <v>41</v>
      </c>
      <c r="I22436">
        <v>194</v>
      </c>
      <c r="J22436">
        <v>1</v>
      </c>
      <c r="K22436">
        <v>55</v>
      </c>
      <c r="L22436">
        <v>233</v>
      </c>
      <c r="M22436">
        <v>1</v>
      </c>
      <c r="N22436">
        <v>1.5270199999999999E-54</v>
      </c>
      <c r="O22436">
        <v>532</v>
      </c>
    </row>
    <row r="22437" spans="1:15" x14ac:dyDescent="0.25">
      <c r="A22437" t="s">
        <v>22450</v>
      </c>
      <c r="B22437">
        <v>561</v>
      </c>
      <c r="C22437" s="1" t="str">
        <f>HYPERLINK("http://www.rosaceae.org/gb/gbrowse/malus_x_domestica/?name=MDP0000297459","MDP0000297459")</f>
        <v>MDP0000297459</v>
      </c>
      <c r="D22437">
        <v>39.28</v>
      </c>
      <c r="E22437">
        <v>112</v>
      </c>
      <c r="F22437">
        <v>68</v>
      </c>
      <c r="G22437">
        <v>13</v>
      </c>
      <c r="H22437">
        <v>440</v>
      </c>
      <c r="I22437">
        <v>538</v>
      </c>
      <c r="J22437">
        <v>1</v>
      </c>
      <c r="K22437">
        <v>60</v>
      </c>
      <c r="L22437">
        <v>171</v>
      </c>
      <c r="M22437">
        <v>1</v>
      </c>
      <c r="N22437">
        <v>1.6110200000000001E-7</v>
      </c>
      <c r="O22437">
        <v>132</v>
      </c>
    </row>
    <row r="22438" spans="1:15" x14ac:dyDescent="0.25">
      <c r="A22438" t="s">
        <v>22451</v>
      </c>
      <c r="B22438">
        <v>243</v>
      </c>
      <c r="C22438" s="1" t="str">
        <f>HYPERLINK("http://www.rosaceae.org/gb/gbrowse/malus_x_domestica/?name=MDP0000884408","MDP0000884408")</f>
        <v>MDP0000884408</v>
      </c>
      <c r="D22438">
        <v>45.54</v>
      </c>
      <c r="E22438">
        <v>191</v>
      </c>
      <c r="F22438">
        <v>104</v>
      </c>
      <c r="G22438">
        <v>31</v>
      </c>
      <c r="H22438">
        <v>30</v>
      </c>
      <c r="I22438">
        <v>189</v>
      </c>
      <c r="J22438">
        <v>1</v>
      </c>
      <c r="K22438">
        <v>204</v>
      </c>
      <c r="L22438">
        <v>394</v>
      </c>
      <c r="M22438">
        <v>1</v>
      </c>
      <c r="N22438">
        <v>1.0247200000000001E-37</v>
      </c>
      <c r="O22438">
        <v>388</v>
      </c>
    </row>
    <row r="22439" spans="1:15" x14ac:dyDescent="0.25">
      <c r="A22439" t="s">
        <v>22452</v>
      </c>
      <c r="B22439">
        <v>383</v>
      </c>
      <c r="C22439" s="1" t="str">
        <f>HYPERLINK("http://www.rosaceae.org/gb/gbrowse/malus_x_domestica/?name=MDP0000380467","MDP0000380467")</f>
        <v>MDP0000380467</v>
      </c>
      <c r="D22439">
        <v>47.59</v>
      </c>
      <c r="E22439">
        <v>187</v>
      </c>
      <c r="F22439">
        <v>98</v>
      </c>
      <c r="G22439">
        <v>5</v>
      </c>
      <c r="H22439">
        <v>200</v>
      </c>
      <c r="I22439">
        <v>383</v>
      </c>
      <c r="J22439">
        <v>1</v>
      </c>
      <c r="K22439">
        <v>25</v>
      </c>
      <c r="L22439">
        <v>209</v>
      </c>
      <c r="M22439">
        <v>1</v>
      </c>
      <c r="N22439">
        <v>1.2896700000000001E-42</v>
      </c>
      <c r="O22439">
        <v>433</v>
      </c>
    </row>
    <row r="22440" spans="1:15" x14ac:dyDescent="0.25">
      <c r="A22440" t="s">
        <v>22453</v>
      </c>
      <c r="B22440">
        <v>298</v>
      </c>
      <c r="C22440" s="1" t="str">
        <f>HYPERLINK("http://www.rosaceae.org/gb/gbrowse/malus_x_domestica/?name=MDP0000500222","MDP0000500222")</f>
        <v>MDP0000500222</v>
      </c>
      <c r="D22440">
        <v>35.01</v>
      </c>
      <c r="E22440">
        <v>257</v>
      </c>
      <c r="F22440">
        <v>167</v>
      </c>
      <c r="G22440">
        <v>35</v>
      </c>
      <c r="H22440">
        <v>1</v>
      </c>
      <c r="I22440">
        <v>247</v>
      </c>
      <c r="J22440">
        <v>1</v>
      </c>
      <c r="K22440">
        <v>190</v>
      </c>
      <c r="L22440">
        <v>421</v>
      </c>
      <c r="M22440">
        <v>1</v>
      </c>
      <c r="N22440">
        <v>2.1438999999999999E-27</v>
      </c>
      <c r="O22440">
        <v>300</v>
      </c>
    </row>
    <row r="22441" spans="1:15" x14ac:dyDescent="0.25">
      <c r="A22441" t="s">
        <v>22454</v>
      </c>
      <c r="B22441">
        <v>236</v>
      </c>
      <c r="C22441" s="1" t="str">
        <f>HYPERLINK("http://www.rosaceae.org/gb/gbrowse/malus_x_domestica/?name=MDP0000149947","MDP0000149947")</f>
        <v>MDP0000149947</v>
      </c>
      <c r="D22441">
        <v>61.01</v>
      </c>
      <c r="E22441">
        <v>236</v>
      </c>
      <c r="F22441">
        <v>92</v>
      </c>
      <c r="G22441">
        <v>1</v>
      </c>
      <c r="H22441">
        <v>1</v>
      </c>
      <c r="I22441">
        <v>236</v>
      </c>
      <c r="J22441">
        <v>1</v>
      </c>
      <c r="K22441">
        <v>815</v>
      </c>
      <c r="L22441">
        <v>1049</v>
      </c>
      <c r="M22441">
        <v>1</v>
      </c>
      <c r="N22441">
        <v>5.80936E-75</v>
      </c>
      <c r="O22441">
        <v>709</v>
      </c>
    </row>
    <row r="22442" spans="1:15" x14ac:dyDescent="0.25">
      <c r="A22442" t="s">
        <v>22455</v>
      </c>
      <c r="B22442">
        <v>231</v>
      </c>
      <c r="C22442" s="1" t="str">
        <f>HYPERLINK("http://www.rosaceae.org/gb/gbrowse/malus_x_domestica/?name=MDP0000337353","MDP0000337353")</f>
        <v>MDP0000337353</v>
      </c>
      <c r="D22442">
        <v>69.760000000000005</v>
      </c>
      <c r="E22442">
        <v>215</v>
      </c>
      <c r="F22442">
        <v>65</v>
      </c>
      <c r="G22442">
        <v>10</v>
      </c>
      <c r="H22442">
        <v>17</v>
      </c>
      <c r="I22442">
        <v>231</v>
      </c>
      <c r="J22442">
        <v>1</v>
      </c>
      <c r="K22442">
        <v>17</v>
      </c>
      <c r="L22442">
        <v>221</v>
      </c>
      <c r="M22442">
        <v>1</v>
      </c>
      <c r="N22442">
        <v>1.03605E-79</v>
      </c>
      <c r="O22442">
        <v>750</v>
      </c>
    </row>
    <row r="22443" spans="1:15" x14ac:dyDescent="0.25">
      <c r="A22443" t="s">
        <v>22456</v>
      </c>
      <c r="B22443">
        <v>358</v>
      </c>
      <c r="C22443" s="1" t="str">
        <f>HYPERLINK("http://www.rosaceae.org/gb/gbrowse/malus_x_domestica/?name=MDP0000087653","MDP0000087653")</f>
        <v>MDP0000087653</v>
      </c>
      <c r="D22443">
        <v>78.17</v>
      </c>
      <c r="E22443">
        <v>362</v>
      </c>
      <c r="F22443">
        <v>79</v>
      </c>
      <c r="G22443">
        <v>4</v>
      </c>
      <c r="H22443">
        <v>1</v>
      </c>
      <c r="I22443">
        <v>358</v>
      </c>
      <c r="J22443">
        <v>1</v>
      </c>
      <c r="K22443">
        <v>1</v>
      </c>
      <c r="L22443">
        <v>362</v>
      </c>
      <c r="M22443">
        <v>1</v>
      </c>
      <c r="N22443">
        <v>3.26507E-168</v>
      </c>
      <c r="O22443">
        <v>1516</v>
      </c>
    </row>
    <row r="22444" spans="1:15" x14ac:dyDescent="0.25">
      <c r="A22444" t="s">
        <v>22457</v>
      </c>
      <c r="B22444">
        <v>383</v>
      </c>
      <c r="C22444" s="1" t="str">
        <f>HYPERLINK("http://www.rosaceae.org/gb/gbrowse/malus_x_domestica/?name=MDP0000171590","MDP0000171590")</f>
        <v>MDP0000171590</v>
      </c>
      <c r="D22444">
        <v>54.27</v>
      </c>
      <c r="E22444">
        <v>304</v>
      </c>
      <c r="F22444">
        <v>139</v>
      </c>
      <c r="G22444">
        <v>14</v>
      </c>
      <c r="H22444">
        <v>12</v>
      </c>
      <c r="I22444">
        <v>301</v>
      </c>
      <c r="J22444">
        <v>1</v>
      </c>
      <c r="K22444">
        <v>14</v>
      </c>
      <c r="L22444">
        <v>317</v>
      </c>
      <c r="M22444">
        <v>1</v>
      </c>
      <c r="N22444">
        <v>3.7943099999999999E-90</v>
      </c>
      <c r="O22444">
        <v>843</v>
      </c>
    </row>
    <row r="22445" spans="1:15" x14ac:dyDescent="0.25">
      <c r="A22445" t="s">
        <v>22458</v>
      </c>
      <c r="B22445">
        <v>152</v>
      </c>
      <c r="C22445" s="1" t="str">
        <f>HYPERLINK("http://www.rosaceae.org/gb/gbrowse/malus_x_domestica/?name=MDP0000188670","MDP0000188670")</f>
        <v>MDP0000188670</v>
      </c>
      <c r="D22445">
        <v>64.64</v>
      </c>
      <c r="E22445">
        <v>99</v>
      </c>
      <c r="F22445">
        <v>35</v>
      </c>
      <c r="G22445">
        <v>0</v>
      </c>
      <c r="H22445">
        <v>51</v>
      </c>
      <c r="I22445">
        <v>149</v>
      </c>
      <c r="J22445">
        <v>1</v>
      </c>
      <c r="K22445">
        <v>124</v>
      </c>
      <c r="L22445">
        <v>222</v>
      </c>
      <c r="M22445">
        <v>1</v>
      </c>
      <c r="N22445">
        <v>1.2651499999999999E-22</v>
      </c>
      <c r="O22445">
        <v>255</v>
      </c>
    </row>
    <row r="22446" spans="1:15" x14ac:dyDescent="0.25">
      <c r="A22446" t="s">
        <v>22459</v>
      </c>
      <c r="B22446">
        <v>213</v>
      </c>
      <c r="C22446" s="1" t="str">
        <f>HYPERLINK("http://www.rosaceae.org/gb/gbrowse/malus_x_domestica/?name=MDP0000850643","MDP0000850643")</f>
        <v>MDP0000850643</v>
      </c>
      <c r="D22446">
        <v>50.89</v>
      </c>
      <c r="E22446">
        <v>167</v>
      </c>
      <c r="F22446">
        <v>82</v>
      </c>
      <c r="G22446">
        <v>8</v>
      </c>
      <c r="H22446">
        <v>47</v>
      </c>
      <c r="I22446">
        <v>213</v>
      </c>
      <c r="J22446">
        <v>1</v>
      </c>
      <c r="K22446">
        <v>7</v>
      </c>
      <c r="L22446">
        <v>165</v>
      </c>
      <c r="M22446">
        <v>1</v>
      </c>
      <c r="N22446">
        <v>8.4560600000000006E-26</v>
      </c>
      <c r="O22446">
        <v>284</v>
      </c>
    </row>
    <row r="22447" spans="1:15" x14ac:dyDescent="0.25">
      <c r="A22447" t="s">
        <v>22460</v>
      </c>
      <c r="B22447">
        <v>156</v>
      </c>
      <c r="C22447" s="1" t="str">
        <f>HYPERLINK("http://www.rosaceae.org/gb/gbrowse/malus_x_domestica/?name=MDP0000596604","MDP0000596604")</f>
        <v>MDP0000596604</v>
      </c>
      <c r="D22447">
        <v>76.040000000000006</v>
      </c>
      <c r="E22447">
        <v>96</v>
      </c>
      <c r="F22447">
        <v>23</v>
      </c>
      <c r="G22447">
        <v>0</v>
      </c>
      <c r="H22447">
        <v>61</v>
      </c>
      <c r="I22447">
        <v>156</v>
      </c>
      <c r="J22447">
        <v>1</v>
      </c>
      <c r="K22447">
        <v>1</v>
      </c>
      <c r="L22447">
        <v>96</v>
      </c>
      <c r="M22447">
        <v>1</v>
      </c>
      <c r="N22447">
        <v>8.0639100000000001E-40</v>
      </c>
      <c r="O22447">
        <v>403</v>
      </c>
    </row>
    <row r="22448" spans="1:15" x14ac:dyDescent="0.25">
      <c r="A22448" t="s">
        <v>22461</v>
      </c>
      <c r="B22448">
        <v>2334</v>
      </c>
      <c r="C22448" s="1" t="str">
        <f>HYPERLINK("http://www.rosaceae.org/gb/gbrowse/malus_x_domestica/?name=MDP0000253970","MDP0000253970")</f>
        <v>MDP0000253970</v>
      </c>
      <c r="D22448">
        <v>79.540000000000006</v>
      </c>
      <c r="E22448">
        <v>1330</v>
      </c>
      <c r="F22448">
        <v>272</v>
      </c>
      <c r="G22448">
        <v>60</v>
      </c>
      <c r="H22448">
        <v>1</v>
      </c>
      <c r="I22448">
        <v>1297</v>
      </c>
      <c r="J22448">
        <v>1</v>
      </c>
      <c r="K22448">
        <v>1</v>
      </c>
      <c r="L22448">
        <v>1303</v>
      </c>
      <c r="M22448">
        <v>1</v>
      </c>
      <c r="N22448">
        <v>0</v>
      </c>
      <c r="O22448">
        <v>5604</v>
      </c>
    </row>
    <row r="22449" spans="1:15" x14ac:dyDescent="0.25">
      <c r="A22449" t="s">
        <v>22462</v>
      </c>
      <c r="B22449">
        <v>226</v>
      </c>
      <c r="C22449" s="1" t="str">
        <f>HYPERLINK("http://www.rosaceae.org/gb/gbrowse/malus_x_domestica/?name=MDP0000854534","MDP0000854534")</f>
        <v>MDP0000854534</v>
      </c>
      <c r="D22449">
        <v>88</v>
      </c>
      <c r="E22449">
        <v>225</v>
      </c>
      <c r="F22449">
        <v>27</v>
      </c>
      <c r="G22449">
        <v>0</v>
      </c>
      <c r="H22449">
        <v>1</v>
      </c>
      <c r="I22449">
        <v>225</v>
      </c>
      <c r="J22449">
        <v>1</v>
      </c>
      <c r="K22449">
        <v>1</v>
      </c>
      <c r="L22449">
        <v>225</v>
      </c>
      <c r="M22449">
        <v>1</v>
      </c>
      <c r="N22449">
        <v>2.8692899999999999E-115</v>
      </c>
      <c r="O22449">
        <v>1056</v>
      </c>
    </row>
    <row r="22450" spans="1:15" x14ac:dyDescent="0.25">
      <c r="A22450" t="s">
        <v>22463</v>
      </c>
      <c r="B22450">
        <v>778</v>
      </c>
      <c r="C22450" s="1" t="str">
        <f>HYPERLINK("http://www.rosaceae.org/gb/gbrowse/malus_x_domestica/?name=MDP0000242491","MDP0000242491")</f>
        <v>MDP0000242491</v>
      </c>
      <c r="D22450">
        <v>77.38</v>
      </c>
      <c r="E22450">
        <v>199</v>
      </c>
      <c r="F22450">
        <v>45</v>
      </c>
      <c r="G22450">
        <v>0</v>
      </c>
      <c r="H22450">
        <v>98</v>
      </c>
      <c r="I22450">
        <v>296</v>
      </c>
      <c r="J22450">
        <v>1</v>
      </c>
      <c r="K22450">
        <v>47</v>
      </c>
      <c r="L22450">
        <v>245</v>
      </c>
      <c r="M22450">
        <v>1</v>
      </c>
      <c r="N22450">
        <v>1.16195E-90</v>
      </c>
      <c r="O22450">
        <v>850</v>
      </c>
    </row>
    <row r="22451" spans="1:15" x14ac:dyDescent="0.25">
      <c r="A22451" t="s">
        <v>22464</v>
      </c>
      <c r="B22451">
        <v>685</v>
      </c>
      <c r="C22451" s="1" t="str">
        <f>HYPERLINK("http://www.rosaceae.org/gb/gbrowse/malus_x_domestica/?name=MDP0000716991","MDP0000716991")</f>
        <v>MDP0000716991</v>
      </c>
      <c r="D22451">
        <v>33.03</v>
      </c>
      <c r="E22451">
        <v>112</v>
      </c>
      <c r="F22451">
        <v>75</v>
      </c>
      <c r="G22451">
        <v>31</v>
      </c>
      <c r="H22451">
        <v>517</v>
      </c>
      <c r="I22451">
        <v>597</v>
      </c>
      <c r="J22451">
        <v>1</v>
      </c>
      <c r="K22451">
        <v>473</v>
      </c>
      <c r="L22451">
        <v>584</v>
      </c>
      <c r="M22451">
        <v>1</v>
      </c>
      <c r="N22451">
        <v>5.0141700000000002E-16</v>
      </c>
      <c r="O22451">
        <v>206</v>
      </c>
    </row>
    <row r="22452" spans="1:15" x14ac:dyDescent="0.25">
      <c r="A22452" t="s">
        <v>22465</v>
      </c>
      <c r="B22452">
        <v>545</v>
      </c>
      <c r="C22452" s="1" t="str">
        <f>HYPERLINK("http://www.rosaceae.org/gb/gbrowse/malus_x_domestica/?name=MDP0000231632","MDP0000231632")</f>
        <v>MDP0000231632</v>
      </c>
      <c r="D22452">
        <v>79.13</v>
      </c>
      <c r="E22452">
        <v>484</v>
      </c>
      <c r="F22452">
        <v>101</v>
      </c>
      <c r="G22452">
        <v>20</v>
      </c>
      <c r="H22452">
        <v>69</v>
      </c>
      <c r="I22452">
        <v>542</v>
      </c>
      <c r="J22452">
        <v>1</v>
      </c>
      <c r="K22452">
        <v>30</v>
      </c>
      <c r="L22452">
        <v>503</v>
      </c>
      <c r="M22452">
        <v>1</v>
      </c>
      <c r="N22452">
        <v>0</v>
      </c>
      <c r="O22452">
        <v>2047</v>
      </c>
    </row>
    <row r="22453" spans="1:15" x14ac:dyDescent="0.25">
      <c r="A22453" t="s">
        <v>22466</v>
      </c>
      <c r="B22453">
        <v>692</v>
      </c>
      <c r="C22453" s="1" t="str">
        <f>HYPERLINK("http://www.rosaceae.org/gb/gbrowse/malus_x_domestica/?name=MDP0000244622","MDP0000244622")</f>
        <v>MDP0000244622</v>
      </c>
      <c r="D22453">
        <v>74.33</v>
      </c>
      <c r="E22453">
        <v>604</v>
      </c>
      <c r="F22453">
        <v>155</v>
      </c>
      <c r="G22453">
        <v>30</v>
      </c>
      <c r="H22453">
        <v>1</v>
      </c>
      <c r="I22453">
        <v>574</v>
      </c>
      <c r="J22453">
        <v>1</v>
      </c>
      <c r="K22453">
        <v>514</v>
      </c>
      <c r="L22453">
        <v>1117</v>
      </c>
      <c r="M22453">
        <v>1</v>
      </c>
      <c r="N22453">
        <v>0</v>
      </c>
      <c r="O22453">
        <v>2318</v>
      </c>
    </row>
    <row r="22454" spans="1:15" x14ac:dyDescent="0.25">
      <c r="A22454" t="s">
        <v>22467</v>
      </c>
      <c r="B22454">
        <v>281</v>
      </c>
      <c r="C22454" s="1" t="str">
        <f>HYPERLINK("http://www.rosaceae.org/gb/gbrowse/malus_x_domestica/?name=MDP0000241111","MDP0000241111")</f>
        <v>MDP0000241111</v>
      </c>
      <c r="D22454">
        <v>64.400000000000006</v>
      </c>
      <c r="E22454">
        <v>295</v>
      </c>
      <c r="F22454">
        <v>105</v>
      </c>
      <c r="G22454">
        <v>25</v>
      </c>
      <c r="H22454">
        <v>1</v>
      </c>
      <c r="I22454">
        <v>281</v>
      </c>
      <c r="J22454">
        <v>1</v>
      </c>
      <c r="K22454">
        <v>43</v>
      </c>
      <c r="L22454">
        <v>326</v>
      </c>
      <c r="M22454">
        <v>1</v>
      </c>
      <c r="N22454">
        <v>4.5321499999999999E-98</v>
      </c>
      <c r="O22454">
        <v>909</v>
      </c>
    </row>
    <row r="22455" spans="1:15" x14ac:dyDescent="0.25">
      <c r="A22455" t="s">
        <v>22468</v>
      </c>
      <c r="B22455">
        <v>475</v>
      </c>
      <c r="C22455" s="1" t="str">
        <f>HYPERLINK("http://www.rosaceae.org/gb/gbrowse/malus_x_domestica/?name=MDP0000615196","MDP0000615196")</f>
        <v>MDP0000615196</v>
      </c>
      <c r="D22455">
        <v>50.2</v>
      </c>
      <c r="E22455">
        <v>482</v>
      </c>
      <c r="F22455">
        <v>240</v>
      </c>
      <c r="G22455">
        <v>55</v>
      </c>
      <c r="H22455">
        <v>1</v>
      </c>
      <c r="I22455">
        <v>475</v>
      </c>
      <c r="J22455">
        <v>1</v>
      </c>
      <c r="K22455">
        <v>1</v>
      </c>
      <c r="L22455">
        <v>434</v>
      </c>
      <c r="M22455">
        <v>1</v>
      </c>
      <c r="N22455">
        <v>1.70247E-112</v>
      </c>
      <c r="O22455">
        <v>1036</v>
      </c>
    </row>
    <row r="22456" spans="1:15" x14ac:dyDescent="0.25">
      <c r="A22456" t="s">
        <v>22469</v>
      </c>
      <c r="B22456">
        <v>566</v>
      </c>
      <c r="C22456" s="1" t="str">
        <f>HYPERLINK("http://www.rosaceae.org/gb/gbrowse/malus_x_domestica/?name=MDP0000199578","MDP0000199578")</f>
        <v>MDP0000199578</v>
      </c>
      <c r="D22456">
        <v>59</v>
      </c>
      <c r="E22456">
        <v>200</v>
      </c>
      <c r="F22456">
        <v>82</v>
      </c>
      <c r="G22456">
        <v>44</v>
      </c>
      <c r="H22456">
        <v>384</v>
      </c>
      <c r="I22456">
        <v>545</v>
      </c>
      <c r="J22456">
        <v>1</v>
      </c>
      <c r="K22456">
        <v>1</v>
      </c>
      <c r="L22456">
        <v>194</v>
      </c>
      <c r="M22456">
        <v>1</v>
      </c>
      <c r="N22456">
        <v>3.9588299999999997E-52</v>
      </c>
      <c r="O22456">
        <v>517</v>
      </c>
    </row>
    <row r="22457" spans="1:15" x14ac:dyDescent="0.25">
      <c r="A22457" t="s">
        <v>22470</v>
      </c>
      <c r="B22457">
        <v>547</v>
      </c>
      <c r="C22457" s="1" t="str">
        <f>HYPERLINK("http://www.rosaceae.org/gb/gbrowse/malus_x_domestica/?name=MDP0000125644","MDP0000125644")</f>
        <v>MDP0000125644</v>
      </c>
      <c r="D22457">
        <v>36.57</v>
      </c>
      <c r="E22457">
        <v>216</v>
      </c>
      <c r="F22457">
        <v>137</v>
      </c>
      <c r="G22457">
        <v>45</v>
      </c>
      <c r="H22457">
        <v>138</v>
      </c>
      <c r="I22457">
        <v>347</v>
      </c>
      <c r="J22457">
        <v>1</v>
      </c>
      <c r="K22457">
        <v>1</v>
      </c>
      <c r="L22457">
        <v>177</v>
      </c>
      <c r="M22457">
        <v>1</v>
      </c>
      <c r="N22457">
        <v>4.8725300000000003E-16</v>
      </c>
      <c r="O22457">
        <v>205</v>
      </c>
    </row>
    <row r="22458" spans="1:15" x14ac:dyDescent="0.25">
      <c r="A22458" t="s">
        <v>22471</v>
      </c>
      <c r="B22458">
        <v>224</v>
      </c>
      <c r="C22458" s="1" t="str">
        <f>HYPERLINK("http://www.rosaceae.org/gb/gbrowse/malus_x_domestica/?name=MDP0000142665","MDP0000142665")</f>
        <v>MDP0000142665</v>
      </c>
      <c r="D22458">
        <v>85.71</v>
      </c>
      <c r="E22458">
        <v>28</v>
      </c>
      <c r="F22458">
        <v>4</v>
      </c>
      <c r="G22458">
        <v>0</v>
      </c>
      <c r="H22458">
        <v>100</v>
      </c>
      <c r="I22458">
        <v>127</v>
      </c>
      <c r="J22458">
        <v>1</v>
      </c>
      <c r="K22458">
        <v>394</v>
      </c>
      <c r="L22458">
        <v>421</v>
      </c>
      <c r="M22458">
        <v>1</v>
      </c>
      <c r="N22458">
        <v>1.7224000000000001E-7</v>
      </c>
      <c r="O22458">
        <v>127</v>
      </c>
    </row>
    <row r="22459" spans="1:15" x14ac:dyDescent="0.25">
      <c r="A22459" t="s">
        <v>22472</v>
      </c>
      <c r="B22459">
        <v>518</v>
      </c>
      <c r="C22459" s="1" t="str">
        <f>HYPERLINK("http://www.rosaceae.org/gb/gbrowse/malus_x_domestica/?name=MDP0000163448","MDP0000163448")</f>
        <v>MDP0000163448</v>
      </c>
      <c r="D22459">
        <v>37.85</v>
      </c>
      <c r="E22459">
        <v>523</v>
      </c>
      <c r="F22459">
        <v>325</v>
      </c>
      <c r="G22459">
        <v>94</v>
      </c>
      <c r="H22459">
        <v>5</v>
      </c>
      <c r="I22459">
        <v>495</v>
      </c>
      <c r="J22459">
        <v>1</v>
      </c>
      <c r="K22459">
        <v>46</v>
      </c>
      <c r="L22459">
        <v>506</v>
      </c>
      <c r="M22459">
        <v>1</v>
      </c>
      <c r="N22459">
        <v>1.2409E-66</v>
      </c>
      <c r="O22459">
        <v>641</v>
      </c>
    </row>
    <row r="22460" spans="1:15" x14ac:dyDescent="0.25">
      <c r="A22460" t="s">
        <v>22473</v>
      </c>
      <c r="B22460">
        <v>192</v>
      </c>
      <c r="C22460" s="1" t="str">
        <f>HYPERLINK("http://www.rosaceae.org/gb/gbrowse/malus_x_domestica/?name=MDP0000284501","MDP0000284501")</f>
        <v>MDP0000284501</v>
      </c>
      <c r="D22460">
        <v>43.71</v>
      </c>
      <c r="E22460">
        <v>167</v>
      </c>
      <c r="F22460">
        <v>94</v>
      </c>
      <c r="G22460">
        <v>9</v>
      </c>
      <c r="H22460">
        <v>32</v>
      </c>
      <c r="I22460">
        <v>192</v>
      </c>
      <c r="J22460">
        <v>1</v>
      </c>
      <c r="K22460">
        <v>75</v>
      </c>
      <c r="L22460">
        <v>238</v>
      </c>
      <c r="M22460">
        <v>1</v>
      </c>
      <c r="N22460">
        <v>4.6176799999999998E-21</v>
      </c>
      <c r="O22460">
        <v>243</v>
      </c>
    </row>
    <row r="22461" spans="1:15" x14ac:dyDescent="0.25">
      <c r="A22461" t="s">
        <v>22474</v>
      </c>
      <c r="B22461">
        <v>179</v>
      </c>
      <c r="C22461" s="1" t="str">
        <f>HYPERLINK("http://www.rosaceae.org/gb/gbrowse/malus_x_domestica/?name=MDP0000302114","MDP0000302114")</f>
        <v>MDP0000302114</v>
      </c>
      <c r="D22461">
        <v>60.12</v>
      </c>
      <c r="E22461">
        <v>163</v>
      </c>
      <c r="F22461">
        <v>65</v>
      </c>
      <c r="G22461">
        <v>12</v>
      </c>
      <c r="H22461">
        <v>26</v>
      </c>
      <c r="I22461">
        <v>176</v>
      </c>
      <c r="J22461">
        <v>1</v>
      </c>
      <c r="K22461">
        <v>23</v>
      </c>
      <c r="L22461">
        <v>185</v>
      </c>
      <c r="M22461">
        <v>1</v>
      </c>
      <c r="N22461">
        <v>1.7561E-48</v>
      </c>
      <c r="O22461">
        <v>479</v>
      </c>
    </row>
    <row r="22462" spans="1:15" x14ac:dyDescent="0.25">
      <c r="A22462" t="s">
        <v>22475</v>
      </c>
      <c r="B22462">
        <v>1130</v>
      </c>
      <c r="C22462" s="1" t="str">
        <f>HYPERLINK("http://www.rosaceae.org/gb/gbrowse/malus_x_domestica/?name=MDP0000163192","MDP0000163192")</f>
        <v>MDP0000163192</v>
      </c>
      <c r="D22462">
        <v>80.59</v>
      </c>
      <c r="E22462">
        <v>572</v>
      </c>
      <c r="F22462">
        <v>111</v>
      </c>
      <c r="G22462">
        <v>4</v>
      </c>
      <c r="H22462">
        <v>544</v>
      </c>
      <c r="I22462">
        <v>1112</v>
      </c>
      <c r="J22462">
        <v>1</v>
      </c>
      <c r="K22462">
        <v>5</v>
      </c>
      <c r="L22462">
        <v>575</v>
      </c>
      <c r="M22462">
        <v>1</v>
      </c>
      <c r="N22462">
        <v>0</v>
      </c>
      <c r="O22462">
        <v>2337</v>
      </c>
    </row>
    <row r="22463" spans="1:15" x14ac:dyDescent="0.25">
      <c r="A22463" t="s">
        <v>22476</v>
      </c>
      <c r="B22463">
        <v>271</v>
      </c>
      <c r="C22463" s="1" t="str">
        <f>HYPERLINK("http://www.rosaceae.org/gb/gbrowse/malus_x_domestica/?name=MDP0000924863","MDP0000924863")</f>
        <v>MDP0000924863</v>
      </c>
      <c r="D22463">
        <v>85.23</v>
      </c>
      <c r="E22463">
        <v>271</v>
      </c>
      <c r="F22463">
        <v>40</v>
      </c>
      <c r="G22463">
        <v>3</v>
      </c>
      <c r="H22463">
        <v>1</v>
      </c>
      <c r="I22463">
        <v>271</v>
      </c>
      <c r="J22463">
        <v>1</v>
      </c>
      <c r="K22463">
        <v>1</v>
      </c>
      <c r="L22463">
        <v>268</v>
      </c>
      <c r="M22463">
        <v>1</v>
      </c>
      <c r="N22463">
        <v>1.1823999999999999E-131</v>
      </c>
      <c r="O22463">
        <v>1199</v>
      </c>
    </row>
    <row r="22464" spans="1:15" x14ac:dyDescent="0.25">
      <c r="A22464" t="s">
        <v>22477</v>
      </c>
      <c r="B22464">
        <v>382</v>
      </c>
      <c r="C22464" s="1" t="str">
        <f>HYPERLINK("http://www.rosaceae.org/gb/gbrowse/malus_x_domestica/?name=MDP0000130244","MDP0000130244")</f>
        <v>MDP0000130244</v>
      </c>
      <c r="D22464">
        <v>76</v>
      </c>
      <c r="E22464">
        <v>350</v>
      </c>
      <c r="F22464">
        <v>84</v>
      </c>
      <c r="G22464">
        <v>0</v>
      </c>
      <c r="H22464">
        <v>32</v>
      </c>
      <c r="I22464">
        <v>381</v>
      </c>
      <c r="J22464">
        <v>1</v>
      </c>
      <c r="K22464">
        <v>1</v>
      </c>
      <c r="L22464">
        <v>350</v>
      </c>
      <c r="M22464">
        <v>1</v>
      </c>
      <c r="N22464">
        <v>9.4155699999999998E-166</v>
      </c>
      <c r="O22464">
        <v>1495</v>
      </c>
    </row>
    <row r="22465" spans="1:15" x14ac:dyDescent="0.25">
      <c r="A22465" t="s">
        <v>22478</v>
      </c>
      <c r="B22465">
        <v>707</v>
      </c>
      <c r="C22465" s="1" t="str">
        <f>HYPERLINK("http://www.rosaceae.org/gb/gbrowse/malus_x_domestica/?name=MDP0000140979","MDP0000140979")</f>
        <v>MDP0000140979</v>
      </c>
      <c r="D22465">
        <v>69.849999999999994</v>
      </c>
      <c r="E22465">
        <v>710</v>
      </c>
      <c r="F22465">
        <v>214</v>
      </c>
      <c r="G22465">
        <v>16</v>
      </c>
      <c r="H22465">
        <v>1</v>
      </c>
      <c r="I22465">
        <v>706</v>
      </c>
      <c r="J22465">
        <v>1</v>
      </c>
      <c r="K22465">
        <v>1</v>
      </c>
      <c r="L22465">
        <v>698</v>
      </c>
      <c r="M22465">
        <v>1</v>
      </c>
      <c r="N22465">
        <v>0</v>
      </c>
      <c r="O22465">
        <v>2643</v>
      </c>
    </row>
    <row r="22466" spans="1:15" x14ac:dyDescent="0.25">
      <c r="A22466" t="s">
        <v>22479</v>
      </c>
      <c r="B22466">
        <v>319</v>
      </c>
      <c r="C22466" s="1" t="str">
        <f>HYPERLINK("http://www.rosaceae.org/gb/gbrowse/malus_x_domestica/?name=MDP0000130897","MDP0000130897")</f>
        <v>MDP0000130897</v>
      </c>
      <c r="D22466">
        <v>32.5</v>
      </c>
      <c r="E22466">
        <v>200</v>
      </c>
      <c r="F22466">
        <v>135</v>
      </c>
      <c r="G22466">
        <v>46</v>
      </c>
      <c r="H22466">
        <v>11</v>
      </c>
      <c r="I22466">
        <v>167</v>
      </c>
      <c r="J22466">
        <v>1</v>
      </c>
      <c r="K22466">
        <v>8</v>
      </c>
      <c r="L22466">
        <v>204</v>
      </c>
      <c r="M22466">
        <v>1</v>
      </c>
      <c r="N22466">
        <v>3.5783700000000001E-23</v>
      </c>
      <c r="O22466">
        <v>264</v>
      </c>
    </row>
    <row r="22467" spans="1:15" x14ac:dyDescent="0.25">
      <c r="A22467" t="s">
        <v>22480</v>
      </c>
      <c r="B22467">
        <v>167</v>
      </c>
      <c r="C22467" s="1" t="str">
        <f>HYPERLINK("http://www.rosaceae.org/gb/gbrowse/malus_x_domestica/?name=MDP0000161222","MDP0000161222")</f>
        <v>MDP0000161222</v>
      </c>
      <c r="D22467">
        <v>28.69</v>
      </c>
      <c r="E22467">
        <v>115</v>
      </c>
      <c r="F22467">
        <v>82</v>
      </c>
      <c r="G22467">
        <v>4</v>
      </c>
      <c r="H22467">
        <v>20</v>
      </c>
      <c r="I22467">
        <v>133</v>
      </c>
      <c r="J22467">
        <v>1</v>
      </c>
      <c r="K22467">
        <v>635</v>
      </c>
      <c r="L22467">
        <v>746</v>
      </c>
      <c r="M22467">
        <v>1</v>
      </c>
      <c r="N22467">
        <v>1.7212200000000001E-7</v>
      </c>
      <c r="O22467">
        <v>125</v>
      </c>
    </row>
    <row r="22468" spans="1:15" x14ac:dyDescent="0.25">
      <c r="A22468" t="s">
        <v>22481</v>
      </c>
      <c r="B22468">
        <v>418</v>
      </c>
      <c r="C22468" s="1" t="str">
        <f>HYPERLINK("http://www.rosaceae.org/gb/gbrowse/malus_x_domestica/?name=MDP0000180612","MDP0000180612")</f>
        <v>MDP0000180612</v>
      </c>
      <c r="D22468">
        <v>50</v>
      </c>
      <c r="E22468">
        <v>98</v>
      </c>
      <c r="F22468">
        <v>49</v>
      </c>
      <c r="G22468">
        <v>6</v>
      </c>
      <c r="H22468">
        <v>159</v>
      </c>
      <c r="I22468">
        <v>250</v>
      </c>
      <c r="J22468">
        <v>1</v>
      </c>
      <c r="K22468">
        <v>100</v>
      </c>
      <c r="L22468">
        <v>197</v>
      </c>
      <c r="M22468">
        <v>1</v>
      </c>
      <c r="N22468">
        <v>4.8268299999999996E-19</v>
      </c>
      <c r="O22468">
        <v>230</v>
      </c>
    </row>
    <row r="22469" spans="1:15" x14ac:dyDescent="0.25">
      <c r="A22469" t="s">
        <v>22482</v>
      </c>
      <c r="B22469">
        <v>1241</v>
      </c>
      <c r="C22469" s="1" t="str">
        <f>HYPERLINK("http://www.rosaceae.org/gb/gbrowse/malus_x_domestica/?name=MDP0000274582","MDP0000274582")</f>
        <v>MDP0000274582</v>
      </c>
      <c r="D22469">
        <v>69.31</v>
      </c>
      <c r="E22469">
        <v>844</v>
      </c>
      <c r="F22469">
        <v>259</v>
      </c>
      <c r="G22469">
        <v>64</v>
      </c>
      <c r="H22469">
        <v>415</v>
      </c>
      <c r="I22469">
        <v>1241</v>
      </c>
      <c r="J22469">
        <v>1</v>
      </c>
      <c r="K22469">
        <v>1</v>
      </c>
      <c r="L22469">
        <v>797</v>
      </c>
      <c r="M22469">
        <v>1</v>
      </c>
      <c r="N22469">
        <v>0</v>
      </c>
      <c r="O22469">
        <v>3018</v>
      </c>
    </row>
    <row r="22470" spans="1:15" x14ac:dyDescent="0.25">
      <c r="A22470" t="s">
        <v>22483</v>
      </c>
      <c r="B22470">
        <v>666</v>
      </c>
      <c r="C22470" s="1" t="str">
        <f>HYPERLINK("http://www.rosaceae.org/gb/gbrowse/malus_x_domestica/?name=MDP0000126615","MDP0000126615")</f>
        <v>MDP0000126615</v>
      </c>
      <c r="D22470">
        <v>51.02</v>
      </c>
      <c r="E22470">
        <v>635</v>
      </c>
      <c r="F22470">
        <v>311</v>
      </c>
      <c r="G22470">
        <v>106</v>
      </c>
      <c r="H22470">
        <v>1</v>
      </c>
      <c r="I22470">
        <v>542</v>
      </c>
      <c r="J22470">
        <v>1</v>
      </c>
      <c r="K22470">
        <v>90</v>
      </c>
      <c r="L22470">
        <v>711</v>
      </c>
      <c r="M22470">
        <v>1</v>
      </c>
      <c r="N22470">
        <v>8.9538199999999998E-145</v>
      </c>
      <c r="O22470">
        <v>1316</v>
      </c>
    </row>
    <row r="22471" spans="1:15" x14ac:dyDescent="0.25">
      <c r="A22471" t="s">
        <v>22484</v>
      </c>
      <c r="B22471">
        <v>535</v>
      </c>
      <c r="C22471" s="1" t="str">
        <f>HYPERLINK("http://www.rosaceae.org/gb/gbrowse/malus_x_domestica/?name=MDP0000891103","MDP0000891103")</f>
        <v>MDP0000891103</v>
      </c>
      <c r="D22471">
        <v>74.790000000000006</v>
      </c>
      <c r="E22471">
        <v>492</v>
      </c>
      <c r="F22471">
        <v>124</v>
      </c>
      <c r="G22471">
        <v>3</v>
      </c>
      <c r="H22471">
        <v>47</v>
      </c>
      <c r="I22471">
        <v>535</v>
      </c>
      <c r="J22471">
        <v>1</v>
      </c>
      <c r="K22471">
        <v>80</v>
      </c>
      <c r="L22471">
        <v>571</v>
      </c>
      <c r="M22471">
        <v>1</v>
      </c>
      <c r="N22471">
        <v>0</v>
      </c>
      <c r="O22471">
        <v>1887</v>
      </c>
    </row>
    <row r="22472" spans="1:15" x14ac:dyDescent="0.25">
      <c r="A22472" t="s">
        <v>22485</v>
      </c>
      <c r="B22472">
        <v>164</v>
      </c>
      <c r="C22472" s="1" t="str">
        <f>HYPERLINK("http://www.rosaceae.org/gb/gbrowse/malus_x_domestica/?name=MDP0000928355","MDP0000928355")</f>
        <v>MDP0000928355</v>
      </c>
      <c r="D22472">
        <v>37.93</v>
      </c>
      <c r="E22472">
        <v>116</v>
      </c>
      <c r="F22472">
        <v>72</v>
      </c>
      <c r="G22472">
        <v>14</v>
      </c>
      <c r="H22472">
        <v>5</v>
      </c>
      <c r="I22472">
        <v>110</v>
      </c>
      <c r="J22472">
        <v>1</v>
      </c>
      <c r="K22472">
        <v>172</v>
      </c>
      <c r="L22472">
        <v>283</v>
      </c>
      <c r="M22472">
        <v>1</v>
      </c>
      <c r="N22472">
        <v>6.2515799999999994E-14</v>
      </c>
      <c r="O22472">
        <v>180</v>
      </c>
    </row>
    <row r="22473" spans="1:15" x14ac:dyDescent="0.25">
      <c r="A22473" t="s">
        <v>22486</v>
      </c>
      <c r="B22473">
        <v>527</v>
      </c>
      <c r="C22473" s="1" t="str">
        <f>HYPERLINK("http://www.rosaceae.org/gb/gbrowse/malus_x_domestica/?name=MDP0000320233","MDP0000320233")</f>
        <v>MDP0000320233</v>
      </c>
      <c r="D22473">
        <v>71.400000000000006</v>
      </c>
      <c r="E22473">
        <v>521</v>
      </c>
      <c r="F22473">
        <v>149</v>
      </c>
      <c r="G22473">
        <v>5</v>
      </c>
      <c r="H22473">
        <v>2</v>
      </c>
      <c r="I22473">
        <v>519</v>
      </c>
      <c r="J22473">
        <v>1</v>
      </c>
      <c r="K22473">
        <v>4</v>
      </c>
      <c r="L22473">
        <v>522</v>
      </c>
      <c r="M22473">
        <v>1</v>
      </c>
      <c r="N22473">
        <v>0</v>
      </c>
      <c r="O22473">
        <v>1991</v>
      </c>
    </row>
    <row r="22474" spans="1:15" x14ac:dyDescent="0.25">
      <c r="A22474" t="s">
        <v>22487</v>
      </c>
      <c r="B22474">
        <v>361</v>
      </c>
      <c r="C22474" s="1" t="str">
        <f>HYPERLINK("http://www.rosaceae.org/gb/gbrowse/malus_x_domestica/?name=MDP0000243895","MDP0000243895")</f>
        <v>MDP0000243895</v>
      </c>
      <c r="D22474">
        <v>74.25</v>
      </c>
      <c r="E22474">
        <v>334</v>
      </c>
      <c r="F22474">
        <v>86</v>
      </c>
      <c r="G22474">
        <v>9</v>
      </c>
      <c r="H22474">
        <v>28</v>
      </c>
      <c r="I22474">
        <v>354</v>
      </c>
      <c r="J22474">
        <v>1</v>
      </c>
      <c r="K22474">
        <v>28</v>
      </c>
      <c r="L22474">
        <v>359</v>
      </c>
      <c r="M22474">
        <v>1</v>
      </c>
      <c r="N22474">
        <v>2.2541499999999999E-134</v>
      </c>
      <c r="O22474">
        <v>1224</v>
      </c>
    </row>
    <row r="22475" spans="1:15" x14ac:dyDescent="0.25">
      <c r="A22475" t="s">
        <v>22488</v>
      </c>
      <c r="B22475">
        <v>515</v>
      </c>
      <c r="C22475" s="1" t="str">
        <f>HYPERLINK("http://www.rosaceae.org/gb/gbrowse/malus_x_domestica/?name=MDP0000073044","MDP0000073044")</f>
        <v>MDP0000073044</v>
      </c>
      <c r="D22475">
        <v>75.91</v>
      </c>
      <c r="E22475">
        <v>465</v>
      </c>
      <c r="F22475">
        <v>112</v>
      </c>
      <c r="G22475">
        <v>6</v>
      </c>
      <c r="H22475">
        <v>34</v>
      </c>
      <c r="I22475">
        <v>497</v>
      </c>
      <c r="J22475">
        <v>1</v>
      </c>
      <c r="K22475">
        <v>1</v>
      </c>
      <c r="L22475">
        <v>460</v>
      </c>
      <c r="M22475">
        <v>1</v>
      </c>
      <c r="N22475">
        <v>0</v>
      </c>
      <c r="O22475">
        <v>1809</v>
      </c>
    </row>
    <row r="22476" spans="1:15" x14ac:dyDescent="0.25">
      <c r="A22476" t="s">
        <v>22489</v>
      </c>
      <c r="B22476">
        <v>254</v>
      </c>
      <c r="C22476" s="1" t="str">
        <f>HYPERLINK("http://www.rosaceae.org/gb/gbrowse/malus_x_domestica/?name=MDP0000266220","MDP0000266220")</f>
        <v>MDP0000266220</v>
      </c>
      <c r="D22476">
        <v>92.3</v>
      </c>
      <c r="E22476">
        <v>117</v>
      </c>
      <c r="F22476">
        <v>9</v>
      </c>
      <c r="G22476">
        <v>0</v>
      </c>
      <c r="H22476">
        <v>138</v>
      </c>
      <c r="I22476">
        <v>254</v>
      </c>
      <c r="J22476">
        <v>1</v>
      </c>
      <c r="K22476">
        <v>17</v>
      </c>
      <c r="L22476">
        <v>133</v>
      </c>
      <c r="M22476">
        <v>1</v>
      </c>
      <c r="N22476">
        <v>3.3849799999999998E-58</v>
      </c>
      <c r="O22476">
        <v>565</v>
      </c>
    </row>
    <row r="22477" spans="1:15" x14ac:dyDescent="0.25">
      <c r="A22477" t="s">
        <v>22490</v>
      </c>
      <c r="B22477">
        <v>400</v>
      </c>
      <c r="C22477" s="1" t="str">
        <f>HYPERLINK("http://www.rosaceae.org/gb/gbrowse/malus_x_domestica/?name=MDP0000144809","MDP0000144809")</f>
        <v>MDP0000144809</v>
      </c>
      <c r="D22477">
        <v>38.49</v>
      </c>
      <c r="E22477">
        <v>252</v>
      </c>
      <c r="F22477">
        <v>155</v>
      </c>
      <c r="G22477">
        <v>23</v>
      </c>
      <c r="H22477">
        <v>121</v>
      </c>
      <c r="I22477">
        <v>369</v>
      </c>
      <c r="J22477">
        <v>1</v>
      </c>
      <c r="K22477">
        <v>9</v>
      </c>
      <c r="L22477">
        <v>240</v>
      </c>
      <c r="M22477">
        <v>1</v>
      </c>
      <c r="N22477">
        <v>4.1588599999999996E-40</v>
      </c>
      <c r="O22477">
        <v>411</v>
      </c>
    </row>
    <row r="22478" spans="1:15" x14ac:dyDescent="0.25">
      <c r="A22478" t="s">
        <v>22491</v>
      </c>
      <c r="B22478">
        <v>530</v>
      </c>
      <c r="C22478" s="1" t="str">
        <f>HYPERLINK("http://www.rosaceae.org/gb/gbrowse/malus_x_domestica/?name=MDP0000210970","MDP0000210970")</f>
        <v>MDP0000210970</v>
      </c>
      <c r="D22478">
        <v>81.2</v>
      </c>
      <c r="E22478">
        <v>447</v>
      </c>
      <c r="F22478">
        <v>84</v>
      </c>
      <c r="G22478">
        <v>9</v>
      </c>
      <c r="H22478">
        <v>86</v>
      </c>
      <c r="I22478">
        <v>530</v>
      </c>
      <c r="J22478">
        <v>1</v>
      </c>
      <c r="K22478">
        <v>27</v>
      </c>
      <c r="L22478">
        <v>466</v>
      </c>
      <c r="M22478">
        <v>1</v>
      </c>
      <c r="N22478">
        <v>0</v>
      </c>
      <c r="O22478">
        <v>1884</v>
      </c>
    </row>
    <row r="22479" spans="1:15" x14ac:dyDescent="0.25">
      <c r="A22479" t="s">
        <v>22492</v>
      </c>
      <c r="B22479">
        <v>452</v>
      </c>
      <c r="C22479" s="1" t="str">
        <f>HYPERLINK("http://www.rosaceae.org/gb/gbrowse/malus_x_domestica/?name=MDP0000267409","MDP0000267409")</f>
        <v>MDP0000267409</v>
      </c>
      <c r="D22479">
        <v>37.47</v>
      </c>
      <c r="E22479">
        <v>499</v>
      </c>
      <c r="F22479">
        <v>312</v>
      </c>
      <c r="G22479">
        <v>104</v>
      </c>
      <c r="H22479">
        <v>16</v>
      </c>
      <c r="I22479">
        <v>448</v>
      </c>
      <c r="J22479">
        <v>1</v>
      </c>
      <c r="K22479">
        <v>537</v>
      </c>
      <c r="L22479">
        <v>997</v>
      </c>
      <c r="M22479">
        <v>1</v>
      </c>
      <c r="N22479">
        <v>7.7730299999999999E-62</v>
      </c>
      <c r="O22479">
        <v>599</v>
      </c>
    </row>
    <row r="22480" spans="1:15" x14ac:dyDescent="0.25">
      <c r="A22480" t="s">
        <v>22493</v>
      </c>
      <c r="B22480">
        <v>356</v>
      </c>
      <c r="C22480" s="1" t="str">
        <f>HYPERLINK("http://www.rosaceae.org/gb/gbrowse/malus_x_domestica/?name=MDP0000500656","MDP0000500656")</f>
        <v>MDP0000500656</v>
      </c>
      <c r="D22480">
        <v>47.08</v>
      </c>
      <c r="E22480">
        <v>446</v>
      </c>
      <c r="F22480">
        <v>236</v>
      </c>
      <c r="G22480">
        <v>97</v>
      </c>
      <c r="H22480">
        <v>1</v>
      </c>
      <c r="I22480">
        <v>356</v>
      </c>
      <c r="J22480">
        <v>1</v>
      </c>
      <c r="K22480">
        <v>1</v>
      </c>
      <c r="L22480">
        <v>439</v>
      </c>
      <c r="M22480">
        <v>1</v>
      </c>
      <c r="N22480">
        <v>1.5686400000000001E-79</v>
      </c>
      <c r="O22480">
        <v>751</v>
      </c>
    </row>
    <row r="22481" spans="1:15" x14ac:dyDescent="0.25">
      <c r="A22481" t="s">
        <v>22494</v>
      </c>
      <c r="B22481">
        <v>765</v>
      </c>
      <c r="C22481" s="1" t="str">
        <f>HYPERLINK("http://www.rosaceae.org/gb/gbrowse/malus_x_domestica/?name=MDP0000296691","MDP0000296691")</f>
        <v>MDP0000296691</v>
      </c>
      <c r="D22481">
        <v>26</v>
      </c>
      <c r="E22481">
        <v>300</v>
      </c>
      <c r="F22481">
        <v>222</v>
      </c>
      <c r="G22481">
        <v>66</v>
      </c>
      <c r="H22481">
        <v>29</v>
      </c>
      <c r="I22481">
        <v>308</v>
      </c>
      <c r="J22481">
        <v>1</v>
      </c>
      <c r="K22481">
        <v>346</v>
      </c>
      <c r="L22481">
        <v>599</v>
      </c>
      <c r="M22481">
        <v>1</v>
      </c>
      <c r="N22481">
        <v>3.9413000000000003E-11</v>
      </c>
      <c r="O22481">
        <v>164</v>
      </c>
    </row>
    <row r="22482" spans="1:15" x14ac:dyDescent="0.25">
      <c r="A22482" t="s">
        <v>22495</v>
      </c>
      <c r="B22482">
        <v>71</v>
      </c>
      <c r="C22482" s="1" t="str">
        <f>HYPERLINK("http://www.rosaceae.org/gb/gbrowse/malus_x_domestica/?name=MDP0000131161","MDP0000131161")</f>
        <v>MDP0000131161</v>
      </c>
      <c r="D22482">
        <v>48.38</v>
      </c>
      <c r="E22482">
        <v>62</v>
      </c>
      <c r="F22482">
        <v>32</v>
      </c>
      <c r="G22482">
        <v>2</v>
      </c>
      <c r="H22482">
        <v>10</v>
      </c>
      <c r="I22482">
        <v>71</v>
      </c>
      <c r="J22482">
        <v>1</v>
      </c>
      <c r="K22482">
        <v>126</v>
      </c>
      <c r="L22482">
        <v>185</v>
      </c>
      <c r="M22482">
        <v>1</v>
      </c>
      <c r="N22482">
        <v>2.3522899999999999E-9</v>
      </c>
      <c r="O22482">
        <v>138</v>
      </c>
    </row>
    <row r="22483" spans="1:15" x14ac:dyDescent="0.25">
      <c r="A22483" t="s">
        <v>22496</v>
      </c>
      <c r="B22483">
        <v>454</v>
      </c>
      <c r="C22483" s="1" t="str">
        <f>HYPERLINK("http://www.rosaceae.org/gb/gbrowse/malus_x_domestica/?name=MDP0000194473","MDP0000194473")</f>
        <v>MDP0000194473</v>
      </c>
      <c r="D22483">
        <v>70.569999999999993</v>
      </c>
      <c r="E22483">
        <v>401</v>
      </c>
      <c r="F22483">
        <v>118</v>
      </c>
      <c r="G22483">
        <v>0</v>
      </c>
      <c r="H22483">
        <v>54</v>
      </c>
      <c r="I22483">
        <v>454</v>
      </c>
      <c r="J22483">
        <v>1</v>
      </c>
      <c r="K22483">
        <v>58</v>
      </c>
      <c r="L22483">
        <v>458</v>
      </c>
      <c r="M22483">
        <v>1</v>
      </c>
      <c r="N22483">
        <v>4.9524900000000001E-169</v>
      </c>
      <c r="O22483">
        <v>1524</v>
      </c>
    </row>
    <row r="22484" spans="1:15" x14ac:dyDescent="0.25">
      <c r="A22484" t="s">
        <v>22497</v>
      </c>
      <c r="B22484">
        <v>175</v>
      </c>
      <c r="C22484" s="1" t="str">
        <f>HYPERLINK("http://www.rosaceae.org/gb/gbrowse/malus_x_domestica/?name=MDP0000672840","MDP0000672840")</f>
        <v>MDP0000672840</v>
      </c>
      <c r="D22484">
        <v>31.95</v>
      </c>
      <c r="E22484">
        <v>169</v>
      </c>
      <c r="F22484">
        <v>115</v>
      </c>
      <c r="G22484">
        <v>25</v>
      </c>
      <c r="H22484">
        <v>25</v>
      </c>
      <c r="I22484">
        <v>175</v>
      </c>
      <c r="J22484">
        <v>1</v>
      </c>
      <c r="K22484">
        <v>241</v>
      </c>
      <c r="L22484">
        <v>402</v>
      </c>
      <c r="M22484">
        <v>1</v>
      </c>
      <c r="N22484">
        <v>1.4383599999999999E-16</v>
      </c>
      <c r="O22484">
        <v>204</v>
      </c>
    </row>
    <row r="22485" spans="1:15" x14ac:dyDescent="0.25">
      <c r="A22485" t="s">
        <v>22498</v>
      </c>
      <c r="B22485">
        <v>467</v>
      </c>
      <c r="C22485" s="1" t="str">
        <f>HYPERLINK("http://www.rosaceae.org/gb/gbrowse/malus_x_domestica/?name=MDP0000231072","MDP0000231072")</f>
        <v>MDP0000231072</v>
      </c>
      <c r="D22485">
        <v>38.880000000000003</v>
      </c>
      <c r="E22485">
        <v>468</v>
      </c>
      <c r="F22485">
        <v>286</v>
      </c>
      <c r="G22485">
        <v>72</v>
      </c>
      <c r="H22485">
        <v>26</v>
      </c>
      <c r="I22485">
        <v>464</v>
      </c>
      <c r="J22485">
        <v>1</v>
      </c>
      <c r="K22485">
        <v>4</v>
      </c>
      <c r="L22485">
        <v>428</v>
      </c>
      <c r="M22485">
        <v>1</v>
      </c>
      <c r="N22485">
        <v>2.31551E-69</v>
      </c>
      <c r="O22485">
        <v>664</v>
      </c>
    </row>
    <row r="22486" spans="1:15" x14ac:dyDescent="0.25">
      <c r="A22486" t="s">
        <v>22499</v>
      </c>
      <c r="B22486">
        <v>142</v>
      </c>
      <c r="C22486" s="1" t="str">
        <f>HYPERLINK("http://www.rosaceae.org/gb/gbrowse/malus_x_domestica/?name=MDP0000322220","MDP0000322220")</f>
        <v>MDP0000322220</v>
      </c>
      <c r="D22486">
        <v>93.75</v>
      </c>
      <c r="E22486">
        <v>64</v>
      </c>
      <c r="F22486">
        <v>4</v>
      </c>
      <c r="G22486">
        <v>0</v>
      </c>
      <c r="H22486">
        <v>10</v>
      </c>
      <c r="I22486">
        <v>73</v>
      </c>
      <c r="J22486">
        <v>1</v>
      </c>
      <c r="K22486">
        <v>442</v>
      </c>
      <c r="L22486">
        <v>505</v>
      </c>
      <c r="M22486">
        <v>1</v>
      </c>
      <c r="N22486">
        <v>9.0544300000000005E-32</v>
      </c>
      <c r="O22486">
        <v>333</v>
      </c>
    </row>
    <row r="22487" spans="1:15" x14ac:dyDescent="0.25">
      <c r="A22487" t="s">
        <v>22500</v>
      </c>
      <c r="B22487">
        <v>897</v>
      </c>
      <c r="C22487" s="1" t="str">
        <f>HYPERLINK("http://www.rosaceae.org/gb/gbrowse/malus_x_domestica/?name=MDP0000176755","MDP0000176755")</f>
        <v>MDP0000176755</v>
      </c>
      <c r="D22487">
        <v>61.3</v>
      </c>
      <c r="E22487">
        <v>584</v>
      </c>
      <c r="F22487">
        <v>226</v>
      </c>
      <c r="G22487">
        <v>21</v>
      </c>
      <c r="H22487">
        <v>1</v>
      </c>
      <c r="I22487">
        <v>572</v>
      </c>
      <c r="J22487">
        <v>1</v>
      </c>
      <c r="K22487">
        <v>1</v>
      </c>
      <c r="L22487">
        <v>575</v>
      </c>
      <c r="M22487">
        <v>1</v>
      </c>
      <c r="N22487">
        <v>0</v>
      </c>
      <c r="O22487">
        <v>1689</v>
      </c>
    </row>
    <row r="22488" spans="1:15" x14ac:dyDescent="0.25">
      <c r="A22488" t="s">
        <v>22501</v>
      </c>
      <c r="B22488">
        <v>1091</v>
      </c>
      <c r="C22488" s="1" t="str">
        <f>HYPERLINK("http://www.rosaceae.org/gb/gbrowse/malus_x_domestica/?name=MDP0000293856","MDP0000293856")</f>
        <v>MDP0000293856</v>
      </c>
      <c r="D22488">
        <v>69.290000000000006</v>
      </c>
      <c r="E22488">
        <v>1052</v>
      </c>
      <c r="F22488">
        <v>323</v>
      </c>
      <c r="G22488">
        <v>53</v>
      </c>
      <c r="H22488">
        <v>33</v>
      </c>
      <c r="I22488">
        <v>1059</v>
      </c>
      <c r="J22488">
        <v>1</v>
      </c>
      <c r="K22488">
        <v>33</v>
      </c>
      <c r="L22488">
        <v>1056</v>
      </c>
      <c r="M22488">
        <v>1</v>
      </c>
      <c r="N22488">
        <v>0</v>
      </c>
      <c r="O22488">
        <v>3574</v>
      </c>
    </row>
    <row r="22489" spans="1:15" x14ac:dyDescent="0.25">
      <c r="A22489" t="s">
        <v>22502</v>
      </c>
      <c r="B22489">
        <v>583</v>
      </c>
      <c r="C22489" s="1" t="str">
        <f>HYPERLINK("http://www.rosaceae.org/gb/gbrowse/malus_x_domestica/?name=MDP0000280867","MDP0000280867")</f>
        <v>MDP0000280867</v>
      </c>
      <c r="D22489">
        <v>84.92</v>
      </c>
      <c r="E22489">
        <v>564</v>
      </c>
      <c r="F22489">
        <v>85</v>
      </c>
      <c r="G22489">
        <v>17</v>
      </c>
      <c r="H22489">
        <v>16</v>
      </c>
      <c r="I22489">
        <v>569</v>
      </c>
      <c r="J22489">
        <v>1</v>
      </c>
      <c r="K22489">
        <v>57</v>
      </c>
      <c r="L22489">
        <v>613</v>
      </c>
      <c r="M22489">
        <v>1</v>
      </c>
      <c r="N22489">
        <v>0</v>
      </c>
      <c r="O22489">
        <v>2525</v>
      </c>
    </row>
    <row r="22490" spans="1:15" x14ac:dyDescent="0.25">
      <c r="A22490" t="s">
        <v>22503</v>
      </c>
      <c r="B22490">
        <v>880</v>
      </c>
      <c r="C22490" s="1" t="str">
        <f>HYPERLINK("http://www.rosaceae.org/gb/gbrowse/malus_x_domestica/?name=MDP0000290485","MDP0000290485")</f>
        <v>MDP0000290485</v>
      </c>
      <c r="D22490">
        <v>75.13</v>
      </c>
      <c r="E22490">
        <v>901</v>
      </c>
      <c r="F22490">
        <v>224</v>
      </c>
      <c r="G22490">
        <v>32</v>
      </c>
      <c r="H22490">
        <v>1</v>
      </c>
      <c r="I22490">
        <v>878</v>
      </c>
      <c r="J22490">
        <v>1</v>
      </c>
      <c r="K22490">
        <v>1080</v>
      </c>
      <c r="L22490">
        <v>1971</v>
      </c>
      <c r="M22490">
        <v>1</v>
      </c>
      <c r="N22490">
        <v>0</v>
      </c>
      <c r="O22490">
        <v>3536</v>
      </c>
    </row>
    <row r="22491" spans="1:15" x14ac:dyDescent="0.25">
      <c r="A22491" t="s">
        <v>22504</v>
      </c>
      <c r="B22491">
        <v>300</v>
      </c>
      <c r="C22491" s="1" t="str">
        <f>HYPERLINK("http://www.rosaceae.org/gb/gbrowse/malus_x_domestica/?name=MDP0000181936","MDP0000181936")</f>
        <v>MDP0000181936</v>
      </c>
      <c r="D22491">
        <v>46.62</v>
      </c>
      <c r="E22491">
        <v>296</v>
      </c>
      <c r="F22491">
        <v>158</v>
      </c>
      <c r="G22491">
        <v>43</v>
      </c>
      <c r="H22491">
        <v>18</v>
      </c>
      <c r="I22491">
        <v>297</v>
      </c>
      <c r="J22491">
        <v>1</v>
      </c>
      <c r="K22491">
        <v>20</v>
      </c>
      <c r="L22491">
        <v>288</v>
      </c>
      <c r="M22491">
        <v>1</v>
      </c>
      <c r="N22491">
        <v>2.6110299999999999E-73</v>
      </c>
      <c r="O22491">
        <v>696</v>
      </c>
    </row>
    <row r="22492" spans="1:15" x14ac:dyDescent="0.25">
      <c r="A22492" t="s">
        <v>22505</v>
      </c>
      <c r="B22492">
        <v>267</v>
      </c>
      <c r="C22492" s="1" t="str">
        <f>HYPERLINK("http://www.rosaceae.org/gb/gbrowse/malus_x_domestica/?name=MDP0000299693","MDP0000299693")</f>
        <v>MDP0000299693</v>
      </c>
      <c r="D22492">
        <v>78.209999999999994</v>
      </c>
      <c r="E22492">
        <v>257</v>
      </c>
      <c r="F22492">
        <v>56</v>
      </c>
      <c r="G22492">
        <v>0</v>
      </c>
      <c r="H22492">
        <v>1</v>
      </c>
      <c r="I22492">
        <v>257</v>
      </c>
      <c r="J22492">
        <v>1</v>
      </c>
      <c r="K22492">
        <v>339</v>
      </c>
      <c r="L22492">
        <v>595</v>
      </c>
      <c r="M22492">
        <v>1</v>
      </c>
      <c r="N22492">
        <v>6.2513799999999996E-118</v>
      </c>
      <c r="O22492">
        <v>1080</v>
      </c>
    </row>
    <row r="22493" spans="1:15" x14ac:dyDescent="0.25">
      <c r="A22493" t="s">
        <v>22506</v>
      </c>
      <c r="B22493">
        <v>132</v>
      </c>
      <c r="C22493" s="1" t="str">
        <f>HYPERLINK("http://www.rosaceae.org/gb/gbrowse/malus_x_domestica/?name=MDP0000200718","MDP0000200718")</f>
        <v>MDP0000200718</v>
      </c>
      <c r="D22493">
        <v>50.76</v>
      </c>
      <c r="E22493">
        <v>130</v>
      </c>
      <c r="F22493">
        <v>64</v>
      </c>
      <c r="G22493">
        <v>5</v>
      </c>
      <c r="H22493">
        <v>1</v>
      </c>
      <c r="I22493">
        <v>127</v>
      </c>
      <c r="J22493">
        <v>1</v>
      </c>
      <c r="K22493">
        <v>1</v>
      </c>
      <c r="L22493">
        <v>128</v>
      </c>
      <c r="M22493">
        <v>1</v>
      </c>
      <c r="N22493">
        <v>5.3236799999999997E-25</v>
      </c>
      <c r="O22493">
        <v>274</v>
      </c>
    </row>
    <row r="22494" spans="1:15" x14ac:dyDescent="0.25">
      <c r="A22494" t="s">
        <v>22507</v>
      </c>
      <c r="B22494">
        <v>156</v>
      </c>
      <c r="C22494" s="1" t="str">
        <f>HYPERLINK("http://www.rosaceae.org/gb/gbrowse/malus_x_domestica/?name=MDP0000321320","MDP0000321320")</f>
        <v>MDP0000321320</v>
      </c>
      <c r="D22494">
        <v>42.44</v>
      </c>
      <c r="E22494">
        <v>139</v>
      </c>
      <c r="F22494">
        <v>80</v>
      </c>
      <c r="G22494">
        <v>39</v>
      </c>
      <c r="H22494">
        <v>25</v>
      </c>
      <c r="I22494">
        <v>124</v>
      </c>
      <c r="J22494">
        <v>1</v>
      </c>
      <c r="K22494">
        <v>64</v>
      </c>
      <c r="L22494">
        <v>202</v>
      </c>
      <c r="M22494">
        <v>1</v>
      </c>
      <c r="N22494">
        <v>6.1586200000000005E-20</v>
      </c>
      <c r="O22494">
        <v>232</v>
      </c>
    </row>
    <row r="22495" spans="1:15" x14ac:dyDescent="0.25">
      <c r="A22495" t="s">
        <v>22508</v>
      </c>
      <c r="B22495">
        <v>1054</v>
      </c>
      <c r="C22495" s="1" t="str">
        <f>HYPERLINK("http://www.rosaceae.org/gb/gbrowse/malus_x_domestica/?name=MDP0000234006","MDP0000234006")</f>
        <v>MDP0000234006</v>
      </c>
      <c r="D22495">
        <v>61.6</v>
      </c>
      <c r="E22495">
        <v>750</v>
      </c>
      <c r="F22495">
        <v>288</v>
      </c>
      <c r="G22495">
        <v>40</v>
      </c>
      <c r="H22495">
        <v>321</v>
      </c>
      <c r="I22495">
        <v>1054</v>
      </c>
      <c r="J22495">
        <v>1</v>
      </c>
      <c r="K22495">
        <v>150</v>
      </c>
      <c r="L22495">
        <v>875</v>
      </c>
      <c r="M22495">
        <v>1</v>
      </c>
      <c r="N22495">
        <v>0</v>
      </c>
      <c r="O22495">
        <v>2177</v>
      </c>
    </row>
    <row r="22496" spans="1:15" x14ac:dyDescent="0.25">
      <c r="A22496" t="s">
        <v>22509</v>
      </c>
      <c r="B22496">
        <v>198</v>
      </c>
      <c r="C22496" s="1" t="str">
        <f>HYPERLINK("http://www.rosaceae.org/gb/gbrowse/malus_x_domestica/?name=MDP0000176124","MDP0000176124")</f>
        <v>MDP0000176124</v>
      </c>
      <c r="D22496">
        <v>84.96</v>
      </c>
      <c r="E22496">
        <v>133</v>
      </c>
      <c r="F22496">
        <v>20</v>
      </c>
      <c r="G22496">
        <v>0</v>
      </c>
      <c r="H22496">
        <v>66</v>
      </c>
      <c r="I22496">
        <v>198</v>
      </c>
      <c r="J22496">
        <v>1</v>
      </c>
      <c r="K22496">
        <v>1</v>
      </c>
      <c r="L22496">
        <v>133</v>
      </c>
      <c r="M22496">
        <v>1</v>
      </c>
      <c r="N22496">
        <v>2.1087300000000001E-60</v>
      </c>
      <c r="O22496">
        <v>582</v>
      </c>
    </row>
    <row r="22497" spans="1:15" x14ac:dyDescent="0.25">
      <c r="A22497" t="s">
        <v>22510</v>
      </c>
      <c r="B22497">
        <v>876</v>
      </c>
      <c r="C22497" s="1" t="str">
        <f>HYPERLINK("http://www.rosaceae.org/gb/gbrowse/malus_x_domestica/?name=MDP0000233409","MDP0000233409")</f>
        <v>MDP0000233409</v>
      </c>
      <c r="D22497">
        <v>53.56</v>
      </c>
      <c r="E22497">
        <v>842</v>
      </c>
      <c r="F22497">
        <v>391</v>
      </c>
      <c r="G22497">
        <v>152</v>
      </c>
      <c r="H22497">
        <v>98</v>
      </c>
      <c r="I22497">
        <v>857</v>
      </c>
      <c r="J22497">
        <v>1</v>
      </c>
      <c r="K22497">
        <v>209</v>
      </c>
      <c r="L22497">
        <v>980</v>
      </c>
      <c r="M22497">
        <v>1</v>
      </c>
      <c r="N22497">
        <v>0</v>
      </c>
      <c r="O22497">
        <v>2199</v>
      </c>
    </row>
    <row r="22498" spans="1:15" x14ac:dyDescent="0.25">
      <c r="A22498" t="s">
        <v>22511</v>
      </c>
      <c r="B22498">
        <v>369</v>
      </c>
      <c r="C22498" s="1" t="str">
        <f>HYPERLINK("http://www.rosaceae.org/gb/gbrowse/malus_x_domestica/?name=MDP0000177422","MDP0000177422")</f>
        <v>MDP0000177422</v>
      </c>
      <c r="D22498">
        <v>58.91</v>
      </c>
      <c r="E22498">
        <v>370</v>
      </c>
      <c r="F22498">
        <v>152</v>
      </c>
      <c r="G22498">
        <v>5</v>
      </c>
      <c r="H22498">
        <v>1</v>
      </c>
      <c r="I22498">
        <v>368</v>
      </c>
      <c r="J22498">
        <v>1</v>
      </c>
      <c r="K22498">
        <v>1</v>
      </c>
      <c r="L22498">
        <v>367</v>
      </c>
      <c r="M22498">
        <v>1</v>
      </c>
      <c r="N22498">
        <v>5.6863199999999997E-128</v>
      </c>
      <c r="O22498">
        <v>1169</v>
      </c>
    </row>
    <row r="22499" spans="1:15" x14ac:dyDescent="0.25">
      <c r="A22499" t="s">
        <v>22512</v>
      </c>
      <c r="B22499">
        <v>261</v>
      </c>
      <c r="C22499" s="1" t="str">
        <f>HYPERLINK("http://www.rosaceae.org/gb/gbrowse/malus_x_domestica/?name=MDP0000258359","MDP0000258359")</f>
        <v>MDP0000258359</v>
      </c>
      <c r="D22499">
        <v>87.05</v>
      </c>
      <c r="E22499">
        <v>224</v>
      </c>
      <c r="F22499">
        <v>29</v>
      </c>
      <c r="G22499">
        <v>0</v>
      </c>
      <c r="H22499">
        <v>30</v>
      </c>
      <c r="I22499">
        <v>253</v>
      </c>
      <c r="J22499">
        <v>1</v>
      </c>
      <c r="K22499">
        <v>32</v>
      </c>
      <c r="L22499">
        <v>255</v>
      </c>
      <c r="M22499">
        <v>1</v>
      </c>
      <c r="N22499">
        <v>4.21355E-119</v>
      </c>
      <c r="O22499">
        <v>1090</v>
      </c>
    </row>
    <row r="22500" spans="1:15" x14ac:dyDescent="0.25">
      <c r="A22500" t="s">
        <v>22513</v>
      </c>
      <c r="B22500">
        <v>500</v>
      </c>
      <c r="C22500" s="1" t="str">
        <f>HYPERLINK("http://www.rosaceae.org/gb/gbrowse/malus_x_domestica/?name=MDP0000143844","MDP0000143844")</f>
        <v>MDP0000143844</v>
      </c>
      <c r="D22500">
        <v>47.44</v>
      </c>
      <c r="E22500">
        <v>430</v>
      </c>
      <c r="F22500">
        <v>226</v>
      </c>
      <c r="G22500">
        <v>50</v>
      </c>
      <c r="H22500">
        <v>106</v>
      </c>
      <c r="I22500">
        <v>500</v>
      </c>
      <c r="J22500">
        <v>1</v>
      </c>
      <c r="K22500">
        <v>50</v>
      </c>
      <c r="L22500">
        <v>464</v>
      </c>
      <c r="M22500">
        <v>1</v>
      </c>
      <c r="N22500">
        <v>9.8653899999999999E-99</v>
      </c>
      <c r="O22500">
        <v>918</v>
      </c>
    </row>
    <row r="22501" spans="1:15" x14ac:dyDescent="0.25">
      <c r="A22501" t="s">
        <v>22514</v>
      </c>
      <c r="B22501">
        <v>739</v>
      </c>
      <c r="C22501" s="1" t="str">
        <f>HYPERLINK("http://www.rosaceae.org/gb/gbrowse/malus_x_domestica/?name=MDP0000247287","MDP0000247287")</f>
        <v>MDP0000247287</v>
      </c>
      <c r="D22501">
        <v>65.03</v>
      </c>
      <c r="E22501">
        <v>489</v>
      </c>
      <c r="F22501">
        <v>171</v>
      </c>
      <c r="G22501">
        <v>8</v>
      </c>
      <c r="H22501">
        <v>1</v>
      </c>
      <c r="I22501">
        <v>485</v>
      </c>
      <c r="J22501">
        <v>1</v>
      </c>
      <c r="K22501">
        <v>329</v>
      </c>
      <c r="L22501">
        <v>813</v>
      </c>
      <c r="M22501">
        <v>1</v>
      </c>
      <c r="N22501">
        <v>0</v>
      </c>
      <c r="O22501">
        <v>1678</v>
      </c>
    </row>
    <row r="22502" spans="1:15" x14ac:dyDescent="0.25">
      <c r="A22502" t="s">
        <v>22515</v>
      </c>
      <c r="B22502">
        <v>205</v>
      </c>
      <c r="C22502" s="1" t="str">
        <f>HYPERLINK("http://www.rosaceae.org/gb/gbrowse/malus_x_domestica/?name=MDP0000256937","MDP0000256937")</f>
        <v>MDP0000256937</v>
      </c>
      <c r="D22502">
        <v>86.15</v>
      </c>
      <c r="E22502">
        <v>195</v>
      </c>
      <c r="F22502">
        <v>27</v>
      </c>
      <c r="G22502">
        <v>12</v>
      </c>
      <c r="H22502">
        <v>21</v>
      </c>
      <c r="I22502">
        <v>204</v>
      </c>
      <c r="J22502">
        <v>1</v>
      </c>
      <c r="K22502">
        <v>12</v>
      </c>
      <c r="L22502">
        <v>205</v>
      </c>
      <c r="M22502">
        <v>1</v>
      </c>
      <c r="N22502">
        <v>6.4181999999999998E-93</v>
      </c>
      <c r="O22502">
        <v>863</v>
      </c>
    </row>
    <row r="22503" spans="1:15" x14ac:dyDescent="0.25">
      <c r="A22503" t="s">
        <v>22516</v>
      </c>
      <c r="B22503">
        <v>117</v>
      </c>
      <c r="C22503" s="1" t="str">
        <f>HYPERLINK("http://www.rosaceae.org/gb/gbrowse/malus_x_domestica/?name=MDP0000257243","MDP0000257243")</f>
        <v>MDP0000257243</v>
      </c>
      <c r="D22503">
        <v>60.68</v>
      </c>
      <c r="E22503">
        <v>117</v>
      </c>
      <c r="F22503">
        <v>46</v>
      </c>
      <c r="G22503">
        <v>1</v>
      </c>
      <c r="H22503">
        <v>1</v>
      </c>
      <c r="I22503">
        <v>116</v>
      </c>
      <c r="J22503">
        <v>1</v>
      </c>
      <c r="K22503">
        <v>499</v>
      </c>
      <c r="L22503">
        <v>615</v>
      </c>
      <c r="M22503">
        <v>1</v>
      </c>
      <c r="N22503">
        <v>3.8031399999999998E-40</v>
      </c>
      <c r="O22503">
        <v>404</v>
      </c>
    </row>
    <row r="22504" spans="1:15" x14ac:dyDescent="0.25">
      <c r="A22504" t="s">
        <v>22517</v>
      </c>
      <c r="B22504">
        <v>345</v>
      </c>
      <c r="C22504" s="1" t="str">
        <f>HYPERLINK("http://www.rosaceae.org/gb/gbrowse/malus_x_domestica/?name=MDP0000809657","MDP0000809657")</f>
        <v>MDP0000809657</v>
      </c>
      <c r="D22504">
        <v>73.45</v>
      </c>
      <c r="E22504">
        <v>226</v>
      </c>
      <c r="F22504">
        <v>60</v>
      </c>
      <c r="G22504">
        <v>0</v>
      </c>
      <c r="H22504">
        <v>92</v>
      </c>
      <c r="I22504">
        <v>317</v>
      </c>
      <c r="J22504">
        <v>1</v>
      </c>
      <c r="K22504">
        <v>1</v>
      </c>
      <c r="L22504">
        <v>226</v>
      </c>
      <c r="M22504">
        <v>1</v>
      </c>
      <c r="N22504">
        <v>1.4658799999999999E-99</v>
      </c>
      <c r="O22504">
        <v>923</v>
      </c>
    </row>
    <row r="22505" spans="1:15" x14ac:dyDescent="0.25">
      <c r="A22505" t="s">
        <v>22518</v>
      </c>
      <c r="B22505">
        <v>111</v>
      </c>
      <c r="C22505" s="1" t="str">
        <f>HYPERLINK("http://www.rosaceae.org/gb/gbrowse/malus_x_domestica/?name=MDP0000124128","MDP0000124128")</f>
        <v>MDP0000124128</v>
      </c>
      <c r="D22505">
        <v>83.33</v>
      </c>
      <c r="E22505">
        <v>96</v>
      </c>
      <c r="F22505">
        <v>16</v>
      </c>
      <c r="G22505">
        <v>0</v>
      </c>
      <c r="H22505">
        <v>15</v>
      </c>
      <c r="I22505">
        <v>110</v>
      </c>
      <c r="J22505">
        <v>1</v>
      </c>
      <c r="K22505">
        <v>22</v>
      </c>
      <c r="L22505">
        <v>117</v>
      </c>
      <c r="M22505">
        <v>1</v>
      </c>
      <c r="N22505">
        <v>1.9075500000000001E-45</v>
      </c>
      <c r="O22505">
        <v>449</v>
      </c>
    </row>
    <row r="22506" spans="1:15" x14ac:dyDescent="0.25">
      <c r="A22506" t="s">
        <v>22519</v>
      </c>
      <c r="B22506">
        <v>101</v>
      </c>
      <c r="C22506" s="1" t="str">
        <f>HYPERLINK("http://www.rosaceae.org/gb/gbrowse/malus_x_domestica/?name=MDP0000144081","MDP0000144081")</f>
        <v>MDP0000144081</v>
      </c>
      <c r="D22506">
        <v>77.099999999999994</v>
      </c>
      <c r="E22506">
        <v>83</v>
      </c>
      <c r="F22506">
        <v>19</v>
      </c>
      <c r="G22506">
        <v>0</v>
      </c>
      <c r="H22506">
        <v>1</v>
      </c>
      <c r="I22506">
        <v>83</v>
      </c>
      <c r="J22506">
        <v>1</v>
      </c>
      <c r="K22506">
        <v>326</v>
      </c>
      <c r="L22506">
        <v>408</v>
      </c>
      <c r="M22506">
        <v>1</v>
      </c>
      <c r="N22506">
        <v>7.2024200000000001E-33</v>
      </c>
      <c r="O22506">
        <v>341</v>
      </c>
    </row>
    <row r="22507" spans="1:15" x14ac:dyDescent="0.25">
      <c r="A22507" t="s">
        <v>22520</v>
      </c>
      <c r="B22507">
        <v>351</v>
      </c>
      <c r="C22507" s="1" t="str">
        <f>HYPERLINK("http://www.rosaceae.org/gb/gbrowse/malus_x_domestica/?name=MDP0000157809","MDP0000157809")</f>
        <v>MDP0000157809</v>
      </c>
      <c r="D22507">
        <v>61.09</v>
      </c>
      <c r="E22507">
        <v>311</v>
      </c>
      <c r="F22507">
        <v>121</v>
      </c>
      <c r="G22507">
        <v>23</v>
      </c>
      <c r="H22507">
        <v>1</v>
      </c>
      <c r="I22507">
        <v>309</v>
      </c>
      <c r="J22507">
        <v>1</v>
      </c>
      <c r="K22507">
        <v>1</v>
      </c>
      <c r="L22507">
        <v>290</v>
      </c>
      <c r="M22507">
        <v>1</v>
      </c>
      <c r="N22507">
        <v>1.152E-94</v>
      </c>
      <c r="O22507">
        <v>881</v>
      </c>
    </row>
    <row r="22508" spans="1:15" x14ac:dyDescent="0.25">
      <c r="A22508" t="s">
        <v>22521</v>
      </c>
      <c r="B22508">
        <v>1253</v>
      </c>
      <c r="C22508" s="1" t="str">
        <f>HYPERLINK("http://www.rosaceae.org/gb/gbrowse/malus_x_domestica/?name=MDP0000751527","MDP0000751527")</f>
        <v>MDP0000751527</v>
      </c>
      <c r="D22508">
        <v>47.78</v>
      </c>
      <c r="E22508">
        <v>678</v>
      </c>
      <c r="F22508">
        <v>354</v>
      </c>
      <c r="G22508">
        <v>30</v>
      </c>
      <c r="H22508">
        <v>595</v>
      </c>
      <c r="I22508">
        <v>1249</v>
      </c>
      <c r="J22508">
        <v>1</v>
      </c>
      <c r="K22508">
        <v>101</v>
      </c>
      <c r="L22508">
        <v>771</v>
      </c>
      <c r="M22508">
        <v>1</v>
      </c>
      <c r="N22508">
        <v>6.5237500000000002E-159</v>
      </c>
      <c r="O22508">
        <v>1441</v>
      </c>
    </row>
    <row r="22509" spans="1:15" x14ac:dyDescent="0.25">
      <c r="A22509" t="s">
        <v>22522</v>
      </c>
      <c r="B22509">
        <v>692</v>
      </c>
      <c r="C22509" s="1" t="str">
        <f>HYPERLINK("http://www.rosaceae.org/gb/gbrowse/malus_x_domestica/?name=MDP0000245553","MDP0000245553")</f>
        <v>MDP0000245553</v>
      </c>
      <c r="D22509">
        <v>59.21</v>
      </c>
      <c r="E22509">
        <v>282</v>
      </c>
      <c r="F22509">
        <v>115</v>
      </c>
      <c r="G22509">
        <v>1</v>
      </c>
      <c r="H22509">
        <v>101</v>
      </c>
      <c r="I22509">
        <v>381</v>
      </c>
      <c r="J22509">
        <v>1</v>
      </c>
      <c r="K22509">
        <v>30</v>
      </c>
      <c r="L22509">
        <v>311</v>
      </c>
      <c r="M22509">
        <v>1</v>
      </c>
      <c r="N22509">
        <v>2.7667999999999998E-94</v>
      </c>
      <c r="O22509">
        <v>881</v>
      </c>
    </row>
    <row r="22510" spans="1:15" x14ac:dyDescent="0.25">
      <c r="A22510" t="s">
        <v>22523</v>
      </c>
      <c r="B22510">
        <v>973</v>
      </c>
      <c r="C22510" s="1" t="str">
        <f>HYPERLINK("http://www.rosaceae.org/gb/gbrowse/malus_x_domestica/?name=MDP0000285776","MDP0000285776")</f>
        <v>MDP0000285776</v>
      </c>
      <c r="D22510">
        <v>36.869999999999997</v>
      </c>
      <c r="E22510">
        <v>640</v>
      </c>
      <c r="F22510">
        <v>404</v>
      </c>
      <c r="G22510">
        <v>92</v>
      </c>
      <c r="H22510">
        <v>378</v>
      </c>
      <c r="I22510">
        <v>959</v>
      </c>
      <c r="J22510">
        <v>1</v>
      </c>
      <c r="K22510">
        <v>968</v>
      </c>
      <c r="L22510">
        <v>1573</v>
      </c>
      <c r="M22510">
        <v>1</v>
      </c>
      <c r="N22510">
        <v>2.5786199999999999E-90</v>
      </c>
      <c r="O22510">
        <v>848</v>
      </c>
    </row>
    <row r="22511" spans="1:15" x14ac:dyDescent="0.25">
      <c r="A22511" t="s">
        <v>22524</v>
      </c>
      <c r="B22511">
        <v>497</v>
      </c>
      <c r="C22511" s="1" t="str">
        <f>HYPERLINK("http://www.rosaceae.org/gb/gbrowse/malus_x_domestica/?name=MDP0000243227","MDP0000243227")</f>
        <v>MDP0000243227</v>
      </c>
      <c r="D22511">
        <v>81.28</v>
      </c>
      <c r="E22511">
        <v>374</v>
      </c>
      <c r="F22511">
        <v>70</v>
      </c>
      <c r="G22511">
        <v>19</v>
      </c>
      <c r="H22511">
        <v>4</v>
      </c>
      <c r="I22511">
        <v>359</v>
      </c>
      <c r="J22511">
        <v>1</v>
      </c>
      <c r="K22511">
        <v>12</v>
      </c>
      <c r="L22511">
        <v>384</v>
      </c>
      <c r="M22511">
        <v>1</v>
      </c>
      <c r="N22511">
        <v>5.85178E-176</v>
      </c>
      <c r="O22511">
        <v>1584</v>
      </c>
    </row>
    <row r="22512" spans="1:15" x14ac:dyDescent="0.25">
      <c r="A22512" t="s">
        <v>22525</v>
      </c>
      <c r="B22512">
        <v>271</v>
      </c>
      <c r="C22512" s="1" t="str">
        <f>HYPERLINK("http://www.rosaceae.org/gb/gbrowse/malus_x_domestica/?name=MDP0000229885","MDP0000229885")</f>
        <v>MDP0000229885</v>
      </c>
      <c r="D22512">
        <v>64.62</v>
      </c>
      <c r="E22512">
        <v>277</v>
      </c>
      <c r="F22512">
        <v>98</v>
      </c>
      <c r="G22512">
        <v>9</v>
      </c>
      <c r="H22512">
        <v>1</v>
      </c>
      <c r="I22512">
        <v>271</v>
      </c>
      <c r="J22512">
        <v>1</v>
      </c>
      <c r="K22512">
        <v>1</v>
      </c>
      <c r="L22512">
        <v>274</v>
      </c>
      <c r="M22512">
        <v>1</v>
      </c>
      <c r="N22512">
        <v>5.1485799999999999E-93</v>
      </c>
      <c r="O22512">
        <v>866</v>
      </c>
    </row>
    <row r="22513" spans="1:15" x14ac:dyDescent="0.25">
      <c r="A22513" t="s">
        <v>22526</v>
      </c>
      <c r="B22513">
        <v>308</v>
      </c>
      <c r="C22513" s="1" t="str">
        <f>HYPERLINK("http://www.rosaceae.org/gb/gbrowse/malus_x_domestica/?name=MDP0000299726","MDP0000299726")</f>
        <v>MDP0000299726</v>
      </c>
      <c r="D22513">
        <v>31.33</v>
      </c>
      <c r="E22513">
        <v>150</v>
      </c>
      <c r="F22513">
        <v>103</v>
      </c>
      <c r="G22513">
        <v>10</v>
      </c>
      <c r="H22513">
        <v>121</v>
      </c>
      <c r="I22513">
        <v>264</v>
      </c>
      <c r="J22513">
        <v>1</v>
      </c>
      <c r="K22513">
        <v>480</v>
      </c>
      <c r="L22513">
        <v>625</v>
      </c>
      <c r="M22513">
        <v>1</v>
      </c>
      <c r="N22513">
        <v>4.2311599999999998E-13</v>
      </c>
      <c r="O22513">
        <v>177</v>
      </c>
    </row>
    <row r="22514" spans="1:15" x14ac:dyDescent="0.25">
      <c r="A22514" t="s">
        <v>22527</v>
      </c>
      <c r="B22514">
        <v>180</v>
      </c>
      <c r="C22514" s="1" t="str">
        <f>HYPERLINK("http://www.rosaceae.org/gb/gbrowse/malus_x_domestica/?name=MDP0000445218","MDP0000445218")</f>
        <v>MDP0000445218</v>
      </c>
      <c r="D22514">
        <v>83.56</v>
      </c>
      <c r="E22514">
        <v>73</v>
      </c>
      <c r="F22514">
        <v>12</v>
      </c>
      <c r="G22514">
        <v>0</v>
      </c>
      <c r="H22514">
        <v>97</v>
      </c>
      <c r="I22514">
        <v>169</v>
      </c>
      <c r="J22514">
        <v>1</v>
      </c>
      <c r="K22514">
        <v>1</v>
      </c>
      <c r="L22514">
        <v>73</v>
      </c>
      <c r="M22514">
        <v>1</v>
      </c>
      <c r="N22514">
        <v>7.88792E-31</v>
      </c>
      <c r="O22514">
        <v>327</v>
      </c>
    </row>
    <row r="22515" spans="1:15" x14ac:dyDescent="0.25">
      <c r="A22515" t="s">
        <v>22528</v>
      </c>
      <c r="B22515">
        <v>105</v>
      </c>
      <c r="C22515" s="1" t="str">
        <f>HYPERLINK("http://www.rosaceae.org/gb/gbrowse/malus_x_domestica/?name=MDP0000134732","MDP0000134732")</f>
        <v>MDP0000134732</v>
      </c>
      <c r="D22515">
        <v>52</v>
      </c>
      <c r="E22515">
        <v>100</v>
      </c>
      <c r="F22515">
        <v>48</v>
      </c>
      <c r="G22515">
        <v>3</v>
      </c>
      <c r="H22515">
        <v>5</v>
      </c>
      <c r="I22515">
        <v>104</v>
      </c>
      <c r="J22515">
        <v>1</v>
      </c>
      <c r="K22515">
        <v>636</v>
      </c>
      <c r="L22515">
        <v>732</v>
      </c>
      <c r="M22515">
        <v>1</v>
      </c>
      <c r="N22515">
        <v>4.1155199999999997E-18</v>
      </c>
      <c r="O22515">
        <v>214</v>
      </c>
    </row>
    <row r="22516" spans="1:15" x14ac:dyDescent="0.25">
      <c r="A22516" t="s">
        <v>22529</v>
      </c>
      <c r="B22516">
        <v>1754</v>
      </c>
      <c r="C22516" s="1" t="str">
        <f>HYPERLINK("http://www.rosaceae.org/gb/gbrowse/malus_x_domestica/?name=MDP0000516911","MDP0000516911")</f>
        <v>MDP0000516911</v>
      </c>
      <c r="D22516">
        <v>72.239999999999995</v>
      </c>
      <c r="E22516">
        <v>789</v>
      </c>
      <c r="F22516">
        <v>219</v>
      </c>
      <c r="G22516">
        <v>12</v>
      </c>
      <c r="H22516">
        <v>970</v>
      </c>
      <c r="I22516">
        <v>1754</v>
      </c>
      <c r="J22516">
        <v>1</v>
      </c>
      <c r="K22516">
        <v>14</v>
      </c>
      <c r="L22516">
        <v>794</v>
      </c>
      <c r="M22516">
        <v>1</v>
      </c>
      <c r="N22516">
        <v>0</v>
      </c>
      <c r="O22516">
        <v>3001</v>
      </c>
    </row>
    <row r="22517" spans="1:15" x14ac:dyDescent="0.25">
      <c r="A22517" t="s">
        <v>22530</v>
      </c>
      <c r="B22517">
        <v>337</v>
      </c>
      <c r="C22517" s="1" t="str">
        <f>HYPERLINK("http://www.rosaceae.org/gb/gbrowse/malus_x_domestica/?name=MDP0000294557","MDP0000294557")</f>
        <v>MDP0000294557</v>
      </c>
      <c r="D22517">
        <v>74.3</v>
      </c>
      <c r="E22517">
        <v>144</v>
      </c>
      <c r="F22517">
        <v>37</v>
      </c>
      <c r="G22517">
        <v>0</v>
      </c>
      <c r="H22517">
        <v>12</v>
      </c>
      <c r="I22517">
        <v>155</v>
      </c>
      <c r="J22517">
        <v>1</v>
      </c>
      <c r="K22517">
        <v>6</v>
      </c>
      <c r="L22517">
        <v>149</v>
      </c>
      <c r="M22517">
        <v>1</v>
      </c>
      <c r="N22517">
        <v>2.6144300000000001E-59</v>
      </c>
      <c r="O22517">
        <v>576</v>
      </c>
    </row>
    <row r="22518" spans="1:15" x14ac:dyDescent="0.25">
      <c r="A22518" t="s">
        <v>22531</v>
      </c>
      <c r="B22518">
        <v>620</v>
      </c>
      <c r="C22518" s="1" t="str">
        <f>HYPERLINK("http://www.rosaceae.org/gb/gbrowse/malus_x_domestica/?name=MDP0000478473","MDP0000478473")</f>
        <v>MDP0000478473</v>
      </c>
      <c r="D22518">
        <v>45.34</v>
      </c>
      <c r="E22518">
        <v>483</v>
      </c>
      <c r="F22518">
        <v>264</v>
      </c>
      <c r="G22518">
        <v>35</v>
      </c>
      <c r="H22518">
        <v>6</v>
      </c>
      <c r="I22518">
        <v>477</v>
      </c>
      <c r="J22518">
        <v>1</v>
      </c>
      <c r="K22518">
        <v>4</v>
      </c>
      <c r="L22518">
        <v>462</v>
      </c>
      <c r="M22518">
        <v>1</v>
      </c>
      <c r="N22518">
        <v>1.74847E-119</v>
      </c>
      <c r="O22518">
        <v>1098</v>
      </c>
    </row>
    <row r="22519" spans="1:15" x14ac:dyDescent="0.25">
      <c r="A22519" t="s">
        <v>22532</v>
      </c>
      <c r="B22519">
        <v>1095</v>
      </c>
      <c r="C22519" s="1" t="str">
        <f>HYPERLINK("http://www.rosaceae.org/gb/gbrowse/malus_x_domestica/?name=MDP0000235802","MDP0000235802")</f>
        <v>MDP0000235802</v>
      </c>
      <c r="D22519">
        <v>42.13</v>
      </c>
      <c r="E22519">
        <v>750</v>
      </c>
      <c r="F22519">
        <v>434</v>
      </c>
      <c r="G22519">
        <v>67</v>
      </c>
      <c r="H22519">
        <v>342</v>
      </c>
      <c r="I22519">
        <v>1072</v>
      </c>
      <c r="J22519">
        <v>1</v>
      </c>
      <c r="K22519">
        <v>67</v>
      </c>
      <c r="L22519">
        <v>768</v>
      </c>
      <c r="M22519">
        <v>1</v>
      </c>
      <c r="N22519">
        <v>1.74253E-127</v>
      </c>
      <c r="O22519">
        <v>1169</v>
      </c>
    </row>
    <row r="22520" spans="1:15" x14ac:dyDescent="0.25">
      <c r="A22520" t="s">
        <v>22533</v>
      </c>
      <c r="B22520">
        <v>210</v>
      </c>
      <c r="C22520" s="1" t="str">
        <f>HYPERLINK("http://www.rosaceae.org/gb/gbrowse/malus_x_domestica/?name=MDP0000312371","MDP0000312371")</f>
        <v>MDP0000312371</v>
      </c>
      <c r="D22520">
        <v>53.33</v>
      </c>
      <c r="E22520">
        <v>45</v>
      </c>
      <c r="F22520">
        <v>21</v>
      </c>
      <c r="G22520">
        <v>0</v>
      </c>
      <c r="H22520">
        <v>15</v>
      </c>
      <c r="I22520">
        <v>59</v>
      </c>
      <c r="J22520">
        <v>1</v>
      </c>
      <c r="K22520">
        <v>309</v>
      </c>
      <c r="L22520">
        <v>353</v>
      </c>
      <c r="M22520">
        <v>1</v>
      </c>
      <c r="N22520">
        <v>3.17054E-8</v>
      </c>
      <c r="O22520">
        <v>133</v>
      </c>
    </row>
    <row r="22521" spans="1:15" x14ac:dyDescent="0.25">
      <c r="A22521" t="s">
        <v>22534</v>
      </c>
      <c r="B22521">
        <v>564</v>
      </c>
      <c r="C22521" s="1" t="str">
        <f>HYPERLINK("http://www.rosaceae.org/gb/gbrowse/malus_x_domestica/?name=MDP0000129063","MDP0000129063")</f>
        <v>MDP0000129063</v>
      </c>
      <c r="D22521">
        <v>90.75</v>
      </c>
      <c r="E22521">
        <v>411</v>
      </c>
      <c r="F22521">
        <v>38</v>
      </c>
      <c r="G22521">
        <v>0</v>
      </c>
      <c r="H22521">
        <v>50</v>
      </c>
      <c r="I22521">
        <v>460</v>
      </c>
      <c r="J22521">
        <v>1</v>
      </c>
      <c r="K22521">
        <v>175</v>
      </c>
      <c r="L22521">
        <v>585</v>
      </c>
      <c r="M22521">
        <v>1</v>
      </c>
      <c r="N22521">
        <v>0</v>
      </c>
      <c r="O22521">
        <v>2003</v>
      </c>
    </row>
    <row r="22522" spans="1:15" x14ac:dyDescent="0.25">
      <c r="A22522" t="s">
        <v>22535</v>
      </c>
      <c r="B22522">
        <v>316</v>
      </c>
      <c r="C22522" s="1" t="str">
        <f>HYPERLINK("http://www.rosaceae.org/gb/gbrowse/malus_x_domestica/?name=MDP0000514510","MDP0000514510")</f>
        <v>MDP0000514510</v>
      </c>
      <c r="D22522">
        <v>78.83</v>
      </c>
      <c r="E22522">
        <v>293</v>
      </c>
      <c r="F22522">
        <v>62</v>
      </c>
      <c r="G22522">
        <v>3</v>
      </c>
      <c r="H22522">
        <v>27</v>
      </c>
      <c r="I22522">
        <v>316</v>
      </c>
      <c r="J22522">
        <v>1</v>
      </c>
      <c r="K22522">
        <v>11</v>
      </c>
      <c r="L22522">
        <v>303</v>
      </c>
      <c r="M22522">
        <v>1</v>
      </c>
      <c r="N22522">
        <v>2.28664E-138</v>
      </c>
      <c r="O22522">
        <v>1258</v>
      </c>
    </row>
    <row r="22523" spans="1:15" x14ac:dyDescent="0.25">
      <c r="A22523" t="s">
        <v>22536</v>
      </c>
      <c r="B22523">
        <v>79</v>
      </c>
      <c r="C22523" s="1" t="str">
        <f>HYPERLINK("http://www.rosaceae.org/gb/gbrowse/malus_x_domestica/?name=MDP0000309677","MDP0000309677")</f>
        <v>MDP0000309677</v>
      </c>
      <c r="D22523">
        <v>84.09</v>
      </c>
      <c r="E22523">
        <v>44</v>
      </c>
      <c r="F22523">
        <v>7</v>
      </c>
      <c r="G22523">
        <v>0</v>
      </c>
      <c r="H22523">
        <v>1</v>
      </c>
      <c r="I22523">
        <v>44</v>
      </c>
      <c r="J22523">
        <v>1</v>
      </c>
      <c r="K22523">
        <v>283</v>
      </c>
      <c r="L22523">
        <v>326</v>
      </c>
      <c r="M22523">
        <v>1</v>
      </c>
      <c r="N22523">
        <v>6.9178399999999996E-19</v>
      </c>
      <c r="O22523">
        <v>220</v>
      </c>
    </row>
    <row r="22524" spans="1:15" x14ac:dyDescent="0.25">
      <c r="A22524" t="s">
        <v>22537</v>
      </c>
      <c r="B22524">
        <v>444</v>
      </c>
      <c r="C22524" s="1" t="str">
        <f>HYPERLINK("http://www.rosaceae.org/gb/gbrowse/malus_x_domestica/?name=MDP0000181135","MDP0000181135")</f>
        <v>MDP0000181135</v>
      </c>
      <c r="D22524">
        <v>43.86</v>
      </c>
      <c r="E22524">
        <v>440</v>
      </c>
      <c r="F22524">
        <v>247</v>
      </c>
      <c r="G22524">
        <v>18</v>
      </c>
      <c r="H22524">
        <v>1</v>
      </c>
      <c r="I22524">
        <v>432</v>
      </c>
      <c r="J22524">
        <v>1</v>
      </c>
      <c r="K22524">
        <v>1</v>
      </c>
      <c r="L22524">
        <v>430</v>
      </c>
      <c r="M22524">
        <v>1</v>
      </c>
      <c r="N22524">
        <v>2.5945199999999999E-82</v>
      </c>
      <c r="O22524">
        <v>776</v>
      </c>
    </row>
    <row r="22525" spans="1:15" x14ac:dyDescent="0.25">
      <c r="A22525" t="s">
        <v>22538</v>
      </c>
      <c r="B22525">
        <v>216</v>
      </c>
      <c r="C22525" s="1" t="str">
        <f>HYPERLINK("http://www.rosaceae.org/gb/gbrowse/malus_x_domestica/?name=MDP0000767832","MDP0000767832")</f>
        <v>MDP0000767832</v>
      </c>
      <c r="D22525">
        <v>70.81</v>
      </c>
      <c r="E22525">
        <v>233</v>
      </c>
      <c r="F22525">
        <v>68</v>
      </c>
      <c r="G22525">
        <v>37</v>
      </c>
      <c r="H22525">
        <v>21</v>
      </c>
      <c r="I22525">
        <v>216</v>
      </c>
      <c r="J22525">
        <v>1</v>
      </c>
      <c r="K22525">
        <v>28</v>
      </c>
      <c r="L22525">
        <v>260</v>
      </c>
      <c r="M22525">
        <v>1</v>
      </c>
      <c r="N22525">
        <v>1.8514700000000001E-88</v>
      </c>
      <c r="O22525">
        <v>825</v>
      </c>
    </row>
    <row r="22526" spans="1:15" x14ac:dyDescent="0.25">
      <c r="A22526" t="s">
        <v>22539</v>
      </c>
      <c r="B22526">
        <v>200</v>
      </c>
      <c r="C22526" s="1" t="str">
        <f>HYPERLINK("http://www.rosaceae.org/gb/gbrowse/malus_x_domestica/?name=MDP0000292968","MDP0000292968")</f>
        <v>MDP0000292968</v>
      </c>
      <c r="D22526">
        <v>59.71</v>
      </c>
      <c r="E22526">
        <v>139</v>
      </c>
      <c r="F22526">
        <v>56</v>
      </c>
      <c r="G22526">
        <v>4</v>
      </c>
      <c r="H22526">
        <v>54</v>
      </c>
      <c r="I22526">
        <v>192</v>
      </c>
      <c r="J22526">
        <v>1</v>
      </c>
      <c r="K22526">
        <v>120</v>
      </c>
      <c r="L22526">
        <v>254</v>
      </c>
      <c r="M22526">
        <v>1</v>
      </c>
      <c r="N22526">
        <v>1.4225799999999999E-47</v>
      </c>
      <c r="O22526">
        <v>472</v>
      </c>
    </row>
    <row r="22527" spans="1:15" x14ac:dyDescent="0.25">
      <c r="A22527" t="s">
        <v>22540</v>
      </c>
      <c r="B22527">
        <v>869</v>
      </c>
      <c r="C22527" s="1" t="str">
        <f>HYPERLINK("http://www.rosaceae.org/gb/gbrowse/malus_x_domestica/?name=MDP0000162375","MDP0000162375")</f>
        <v>MDP0000162375</v>
      </c>
      <c r="D22527">
        <v>48</v>
      </c>
      <c r="E22527">
        <v>852</v>
      </c>
      <c r="F22527">
        <v>443</v>
      </c>
      <c r="G22527">
        <v>83</v>
      </c>
      <c r="H22527">
        <v>27</v>
      </c>
      <c r="I22527">
        <v>864</v>
      </c>
      <c r="J22527">
        <v>1</v>
      </c>
      <c r="K22527">
        <v>23</v>
      </c>
      <c r="L22527">
        <v>805</v>
      </c>
      <c r="M22527">
        <v>1</v>
      </c>
      <c r="N22527">
        <v>0</v>
      </c>
      <c r="O22527">
        <v>1730</v>
      </c>
    </row>
    <row r="22528" spans="1:15" x14ac:dyDescent="0.25">
      <c r="A22528" t="s">
        <v>22541</v>
      </c>
      <c r="B22528">
        <v>81</v>
      </c>
      <c r="C22528" s="1" t="str">
        <f>HYPERLINK("http://www.rosaceae.org/gb/gbrowse/malus_x_domestica/?name=MDP0000298212","MDP0000298212")</f>
        <v>MDP0000298212</v>
      </c>
      <c r="D22528">
        <v>84.74</v>
      </c>
      <c r="E22528">
        <v>59</v>
      </c>
      <c r="F22528">
        <v>9</v>
      </c>
      <c r="G22528">
        <v>0</v>
      </c>
      <c r="H22528">
        <v>10</v>
      </c>
      <c r="I22528">
        <v>68</v>
      </c>
      <c r="J22528">
        <v>1</v>
      </c>
      <c r="K22528">
        <v>132</v>
      </c>
      <c r="L22528">
        <v>190</v>
      </c>
      <c r="M22528">
        <v>1</v>
      </c>
      <c r="N22528">
        <v>8.31007E-27</v>
      </c>
      <c r="O22528">
        <v>289</v>
      </c>
    </row>
    <row r="22529" spans="1:15" x14ac:dyDescent="0.25">
      <c r="A22529" t="s">
        <v>22542</v>
      </c>
      <c r="B22529">
        <v>130</v>
      </c>
      <c r="C22529" s="1" t="str">
        <f>HYPERLINK("http://www.rosaceae.org/gb/gbrowse/malus_x_domestica/?name=MDP0000219706","MDP0000219706")</f>
        <v>MDP0000219706</v>
      </c>
      <c r="D22529">
        <v>25.3</v>
      </c>
      <c r="E22529">
        <v>166</v>
      </c>
      <c r="F22529">
        <v>124</v>
      </c>
      <c r="G22529">
        <v>51</v>
      </c>
      <c r="H22529">
        <v>1</v>
      </c>
      <c r="I22529">
        <v>118</v>
      </c>
      <c r="J22529">
        <v>1</v>
      </c>
      <c r="K22529">
        <v>358</v>
      </c>
      <c r="L22529">
        <v>520</v>
      </c>
      <c r="M22529">
        <v>1</v>
      </c>
      <c r="N22529">
        <v>3.7149699999999997E-11</v>
      </c>
      <c r="O22529">
        <v>154</v>
      </c>
    </row>
    <row r="22530" spans="1:15" x14ac:dyDescent="0.25">
      <c r="A22530" t="s">
        <v>22543</v>
      </c>
      <c r="B22530">
        <v>750</v>
      </c>
      <c r="C22530" s="1" t="str">
        <f>HYPERLINK("http://www.rosaceae.org/gb/gbrowse/malus_x_domestica/?name=MDP0000543908","MDP0000543908")</f>
        <v>MDP0000543908</v>
      </c>
      <c r="D22530">
        <v>82.14</v>
      </c>
      <c r="E22530">
        <v>745</v>
      </c>
      <c r="F22530">
        <v>133</v>
      </c>
      <c r="G22530">
        <v>10</v>
      </c>
      <c r="H22530">
        <v>3</v>
      </c>
      <c r="I22530">
        <v>746</v>
      </c>
      <c r="J22530">
        <v>1</v>
      </c>
      <c r="K22530">
        <v>2</v>
      </c>
      <c r="L22530">
        <v>737</v>
      </c>
      <c r="M22530">
        <v>1</v>
      </c>
      <c r="N22530">
        <v>0</v>
      </c>
      <c r="O22530">
        <v>3233</v>
      </c>
    </row>
    <row r="22531" spans="1:15" x14ac:dyDescent="0.25">
      <c r="A22531" t="s">
        <v>22544</v>
      </c>
      <c r="B22531">
        <v>339</v>
      </c>
      <c r="C22531" s="1" t="str">
        <f>HYPERLINK("http://www.rosaceae.org/gb/gbrowse/malus_x_domestica/?name=MDP0000254470","MDP0000254470")</f>
        <v>MDP0000254470</v>
      </c>
      <c r="D22531">
        <v>69.09</v>
      </c>
      <c r="E22531">
        <v>220</v>
      </c>
      <c r="F22531">
        <v>68</v>
      </c>
      <c r="G22531">
        <v>18</v>
      </c>
      <c r="H22531">
        <v>20</v>
      </c>
      <c r="I22531">
        <v>230</v>
      </c>
      <c r="J22531">
        <v>1</v>
      </c>
      <c r="K22531">
        <v>1</v>
      </c>
      <c r="L22531">
        <v>211</v>
      </c>
      <c r="M22531">
        <v>1</v>
      </c>
      <c r="N22531">
        <v>6.0455799999999998E-75</v>
      </c>
      <c r="O22531">
        <v>711</v>
      </c>
    </row>
    <row r="22532" spans="1:15" x14ac:dyDescent="0.25">
      <c r="A22532" t="s">
        <v>22545</v>
      </c>
      <c r="B22532">
        <v>333</v>
      </c>
      <c r="C22532" s="1" t="str">
        <f>HYPERLINK("http://www.rosaceae.org/gb/gbrowse/malus_x_domestica/?name=MDP0000259495","MDP0000259495")</f>
        <v>MDP0000259495</v>
      </c>
      <c r="D22532">
        <v>58.66</v>
      </c>
      <c r="E22532">
        <v>254</v>
      </c>
      <c r="F22532">
        <v>105</v>
      </c>
      <c r="G22532">
        <v>14</v>
      </c>
      <c r="H22532">
        <v>1</v>
      </c>
      <c r="I22532">
        <v>244</v>
      </c>
      <c r="J22532">
        <v>1</v>
      </c>
      <c r="K22532">
        <v>1</v>
      </c>
      <c r="L22532">
        <v>250</v>
      </c>
      <c r="M22532">
        <v>1</v>
      </c>
      <c r="N22532">
        <v>5.4290599999999997E-69</v>
      </c>
      <c r="O22532">
        <v>659</v>
      </c>
    </row>
    <row r="22533" spans="1:15" x14ac:dyDescent="0.25">
      <c r="A22533" t="s">
        <v>22546</v>
      </c>
      <c r="B22533">
        <v>376</v>
      </c>
      <c r="C22533" s="1" t="str">
        <f>HYPERLINK("http://www.rosaceae.org/gb/gbrowse/malus_x_domestica/?name=MDP0000160924","MDP0000160924")</f>
        <v>MDP0000160924</v>
      </c>
      <c r="D22533">
        <v>51.87</v>
      </c>
      <c r="E22533">
        <v>266</v>
      </c>
      <c r="F22533">
        <v>128</v>
      </c>
      <c r="G22533">
        <v>6</v>
      </c>
      <c r="H22533">
        <v>114</v>
      </c>
      <c r="I22533">
        <v>376</v>
      </c>
      <c r="J22533">
        <v>1</v>
      </c>
      <c r="K22533">
        <v>26</v>
      </c>
      <c r="L22533">
        <v>288</v>
      </c>
      <c r="M22533">
        <v>1</v>
      </c>
      <c r="N22533">
        <v>1.6059099999999999E-61</v>
      </c>
      <c r="O22533">
        <v>596</v>
      </c>
    </row>
    <row r="22534" spans="1:15" x14ac:dyDescent="0.25">
      <c r="A22534" t="s">
        <v>22547</v>
      </c>
      <c r="B22534">
        <v>244</v>
      </c>
      <c r="C22534" s="1" t="str">
        <f>HYPERLINK("http://www.rosaceae.org/gb/gbrowse/malus_x_domestica/?name=MDP0000303240","MDP0000303240")</f>
        <v>MDP0000303240</v>
      </c>
      <c r="D22534">
        <v>46.09</v>
      </c>
      <c r="E22534">
        <v>269</v>
      </c>
      <c r="F22534">
        <v>145</v>
      </c>
      <c r="G22534">
        <v>53</v>
      </c>
      <c r="H22534">
        <v>20</v>
      </c>
      <c r="I22534">
        <v>243</v>
      </c>
      <c r="J22534">
        <v>1</v>
      </c>
      <c r="K22534">
        <v>16</v>
      </c>
      <c r="L22534">
        <v>276</v>
      </c>
      <c r="M22534">
        <v>1</v>
      </c>
      <c r="N22534">
        <v>2.1214999999999998E-55</v>
      </c>
      <c r="O22534">
        <v>541</v>
      </c>
    </row>
    <row r="22535" spans="1:15" x14ac:dyDescent="0.25">
      <c r="A22535" t="s">
        <v>22548</v>
      </c>
      <c r="B22535">
        <v>880</v>
      </c>
      <c r="C22535" s="1" t="str">
        <f>HYPERLINK("http://www.rosaceae.org/gb/gbrowse/malus_x_domestica/?name=MDP0000737130","MDP0000737130")</f>
        <v>MDP0000737130</v>
      </c>
      <c r="D22535">
        <v>71.760000000000005</v>
      </c>
      <c r="E22535">
        <v>471</v>
      </c>
      <c r="F22535">
        <v>133</v>
      </c>
      <c r="G22535">
        <v>21</v>
      </c>
      <c r="H22535">
        <v>350</v>
      </c>
      <c r="I22535">
        <v>802</v>
      </c>
      <c r="J22535">
        <v>1</v>
      </c>
      <c r="K22535">
        <v>1</v>
      </c>
      <c r="L22535">
        <v>468</v>
      </c>
      <c r="M22535">
        <v>1</v>
      </c>
      <c r="N22535">
        <v>0</v>
      </c>
      <c r="O22535">
        <v>1714</v>
      </c>
    </row>
    <row r="22536" spans="1:15" x14ac:dyDescent="0.25">
      <c r="A22536" t="s">
        <v>22549</v>
      </c>
      <c r="B22536">
        <v>500</v>
      </c>
      <c r="C22536" s="1" t="str">
        <f>HYPERLINK("http://www.rosaceae.org/gb/gbrowse/malus_x_domestica/?name=MDP0000219010","MDP0000219010")</f>
        <v>MDP0000219010</v>
      </c>
      <c r="D22536">
        <v>97.3</v>
      </c>
      <c r="E22536">
        <v>446</v>
      </c>
      <c r="F22536">
        <v>12</v>
      </c>
      <c r="G22536">
        <v>0</v>
      </c>
      <c r="H22536">
        <v>1</v>
      </c>
      <c r="I22536">
        <v>446</v>
      </c>
      <c r="J22536">
        <v>1</v>
      </c>
      <c r="K22536">
        <v>1</v>
      </c>
      <c r="L22536">
        <v>446</v>
      </c>
      <c r="M22536">
        <v>1</v>
      </c>
      <c r="N22536">
        <v>0</v>
      </c>
      <c r="O22536">
        <v>2327</v>
      </c>
    </row>
    <row r="22537" spans="1:15" x14ac:dyDescent="0.25">
      <c r="A22537" t="s">
        <v>22550</v>
      </c>
      <c r="B22537">
        <v>405</v>
      </c>
      <c r="C22537" s="1" t="str">
        <f>HYPERLINK("http://www.rosaceae.org/gb/gbrowse/malus_x_domestica/?name=MDP0000250703","MDP0000250703")</f>
        <v>MDP0000250703</v>
      </c>
      <c r="D22537">
        <v>32.770000000000003</v>
      </c>
      <c r="E22537">
        <v>119</v>
      </c>
      <c r="F22537">
        <v>80</v>
      </c>
      <c r="G22537">
        <v>0</v>
      </c>
      <c r="H22537">
        <v>238</v>
      </c>
      <c r="I22537">
        <v>356</v>
      </c>
      <c r="J22537">
        <v>1</v>
      </c>
      <c r="K22537">
        <v>403</v>
      </c>
      <c r="L22537">
        <v>521</v>
      </c>
      <c r="M22537">
        <v>1</v>
      </c>
      <c r="N22537">
        <v>2.0597299999999999E-18</v>
      </c>
      <c r="O22537">
        <v>224</v>
      </c>
    </row>
    <row r="22538" spans="1:15" x14ac:dyDescent="0.25">
      <c r="A22538" t="s">
        <v>22551</v>
      </c>
      <c r="B22538">
        <v>340</v>
      </c>
      <c r="C22538" s="1" t="str">
        <f>HYPERLINK("http://www.rosaceae.org/gb/gbrowse/malus_x_domestica/?name=MDP0000775472","MDP0000775472")</f>
        <v>MDP0000775472</v>
      </c>
      <c r="D22538">
        <v>70.39</v>
      </c>
      <c r="E22538">
        <v>358</v>
      </c>
      <c r="F22538">
        <v>106</v>
      </c>
      <c r="G22538">
        <v>26</v>
      </c>
      <c r="H22538">
        <v>1</v>
      </c>
      <c r="I22538">
        <v>340</v>
      </c>
      <c r="J22538">
        <v>1</v>
      </c>
      <c r="K22538">
        <v>1</v>
      </c>
      <c r="L22538">
        <v>350</v>
      </c>
      <c r="M22538">
        <v>1</v>
      </c>
      <c r="N22538">
        <v>4.5265799999999999E-138</v>
      </c>
      <c r="O22538">
        <v>1255</v>
      </c>
    </row>
    <row r="22539" spans="1:15" x14ac:dyDescent="0.25">
      <c r="A22539" t="s">
        <v>22552</v>
      </c>
      <c r="B22539">
        <v>360</v>
      </c>
      <c r="C22539" s="1" t="str">
        <f>HYPERLINK("http://www.rosaceae.org/gb/gbrowse/malus_x_domestica/?name=MDP0000668869","MDP0000668869")</f>
        <v>MDP0000668869</v>
      </c>
      <c r="D22539">
        <v>77.8</v>
      </c>
      <c r="E22539">
        <v>374</v>
      </c>
      <c r="F22539">
        <v>83</v>
      </c>
      <c r="G22539">
        <v>14</v>
      </c>
      <c r="H22539">
        <v>1</v>
      </c>
      <c r="I22539">
        <v>360</v>
      </c>
      <c r="J22539">
        <v>1</v>
      </c>
      <c r="K22539">
        <v>1</v>
      </c>
      <c r="L22539">
        <v>374</v>
      </c>
      <c r="M22539">
        <v>1</v>
      </c>
      <c r="N22539">
        <v>8.5193799999999995E-168</v>
      </c>
      <c r="O22539">
        <v>1512</v>
      </c>
    </row>
    <row r="22540" spans="1:15" x14ac:dyDescent="0.25">
      <c r="A22540" t="s">
        <v>22553</v>
      </c>
      <c r="B22540">
        <v>151</v>
      </c>
      <c r="C22540" s="1" t="str">
        <f>HYPERLINK("http://www.rosaceae.org/gb/gbrowse/malus_x_domestica/?name=MDP0000477923","MDP0000477923")</f>
        <v>MDP0000477923</v>
      </c>
      <c r="D22540">
        <v>65.33</v>
      </c>
      <c r="E22540">
        <v>150</v>
      </c>
      <c r="F22540">
        <v>52</v>
      </c>
      <c r="G22540">
        <v>3</v>
      </c>
      <c r="H22540">
        <v>1</v>
      </c>
      <c r="I22540">
        <v>150</v>
      </c>
      <c r="J22540">
        <v>1</v>
      </c>
      <c r="K22540">
        <v>1</v>
      </c>
      <c r="L22540">
        <v>147</v>
      </c>
      <c r="M22540">
        <v>1</v>
      </c>
      <c r="N22540">
        <v>3.9615899999999998E-54</v>
      </c>
      <c r="O22540">
        <v>526</v>
      </c>
    </row>
    <row r="22541" spans="1:15" x14ac:dyDescent="0.25">
      <c r="A22541" t="s">
        <v>22554</v>
      </c>
      <c r="B22541">
        <v>473</v>
      </c>
      <c r="C22541" s="1" t="str">
        <f>HYPERLINK("http://www.rosaceae.org/gb/gbrowse/malus_x_domestica/?name=MDP0000808264","MDP0000808264")</f>
        <v>MDP0000808264</v>
      </c>
      <c r="D22541">
        <v>58.55</v>
      </c>
      <c r="E22541">
        <v>456</v>
      </c>
      <c r="F22541">
        <v>189</v>
      </c>
      <c r="G22541">
        <v>13</v>
      </c>
      <c r="H22541">
        <v>9</v>
      </c>
      <c r="I22541">
        <v>457</v>
      </c>
      <c r="J22541">
        <v>1</v>
      </c>
      <c r="K22541">
        <v>8</v>
      </c>
      <c r="L22541">
        <v>457</v>
      </c>
      <c r="M22541">
        <v>1</v>
      </c>
      <c r="N22541">
        <v>1.32239E-130</v>
      </c>
      <c r="O22541">
        <v>1193</v>
      </c>
    </row>
    <row r="22542" spans="1:15" x14ac:dyDescent="0.25">
      <c r="A22542" t="s">
        <v>22555</v>
      </c>
      <c r="B22542">
        <v>464</v>
      </c>
      <c r="C22542" s="1" t="str">
        <f>HYPERLINK("http://www.rosaceae.org/gb/gbrowse/malus_x_domestica/?name=MDP0000289855","MDP0000289855")</f>
        <v>MDP0000289855</v>
      </c>
      <c r="D22542">
        <v>58.19</v>
      </c>
      <c r="E22542">
        <v>409</v>
      </c>
      <c r="F22542">
        <v>171</v>
      </c>
      <c r="G22542">
        <v>44</v>
      </c>
      <c r="H22542">
        <v>1</v>
      </c>
      <c r="I22542">
        <v>406</v>
      </c>
      <c r="J22542">
        <v>1</v>
      </c>
      <c r="K22542">
        <v>1</v>
      </c>
      <c r="L22542">
        <v>368</v>
      </c>
      <c r="M22542">
        <v>1</v>
      </c>
      <c r="N22542">
        <v>2.3005799999999999E-120</v>
      </c>
      <c r="O22542">
        <v>1104</v>
      </c>
    </row>
    <row r="22543" spans="1:15" x14ac:dyDescent="0.25">
      <c r="A22543" t="s">
        <v>22556</v>
      </c>
      <c r="B22543">
        <v>343</v>
      </c>
      <c r="C22543" s="1" t="str">
        <f>HYPERLINK("http://www.rosaceae.org/gb/gbrowse/malus_x_domestica/?name=MDP0000656552","MDP0000656552")</f>
        <v>MDP0000656552</v>
      </c>
      <c r="D22543">
        <v>80.569999999999993</v>
      </c>
      <c r="E22543">
        <v>345</v>
      </c>
      <c r="F22543">
        <v>67</v>
      </c>
      <c r="G22543">
        <v>2</v>
      </c>
      <c r="H22543">
        <v>1</v>
      </c>
      <c r="I22543">
        <v>343</v>
      </c>
      <c r="J22543">
        <v>1</v>
      </c>
      <c r="K22543">
        <v>1</v>
      </c>
      <c r="L22543">
        <v>345</v>
      </c>
      <c r="M22543">
        <v>1</v>
      </c>
      <c r="N22543">
        <v>1.12128E-160</v>
      </c>
      <c r="O22543">
        <v>1450</v>
      </c>
    </row>
    <row r="22544" spans="1:15" x14ac:dyDescent="0.25">
      <c r="A22544" t="s">
        <v>22557</v>
      </c>
      <c r="B22544">
        <v>598</v>
      </c>
      <c r="C22544" s="1" t="str">
        <f>HYPERLINK("http://www.rosaceae.org/gb/gbrowse/malus_x_domestica/?name=MDP0000173674","MDP0000173674")</f>
        <v>MDP0000173674</v>
      </c>
      <c r="D22544">
        <v>48.28</v>
      </c>
      <c r="E22544">
        <v>350</v>
      </c>
      <c r="F22544">
        <v>181</v>
      </c>
      <c r="G22544">
        <v>104</v>
      </c>
      <c r="H22544">
        <v>184</v>
      </c>
      <c r="I22544">
        <v>429</v>
      </c>
      <c r="J22544">
        <v>1</v>
      </c>
      <c r="K22544">
        <v>131</v>
      </c>
      <c r="L22544">
        <v>480</v>
      </c>
      <c r="M22544">
        <v>1</v>
      </c>
      <c r="N22544">
        <v>5.2004299999999999E-64</v>
      </c>
      <c r="O22544">
        <v>619</v>
      </c>
    </row>
    <row r="22545" spans="1:15" x14ac:dyDescent="0.25">
      <c r="A22545" t="s">
        <v>22558</v>
      </c>
      <c r="B22545">
        <v>459</v>
      </c>
      <c r="C22545" s="1" t="str">
        <f>HYPERLINK("http://www.rosaceae.org/gb/gbrowse/malus_x_domestica/?name=MDP0000792725","MDP0000792725")</f>
        <v>MDP0000792725</v>
      </c>
      <c r="D22545">
        <v>54.22</v>
      </c>
      <c r="E22545">
        <v>225</v>
      </c>
      <c r="F22545">
        <v>103</v>
      </c>
      <c r="G22545">
        <v>8</v>
      </c>
      <c r="H22545">
        <v>68</v>
      </c>
      <c r="I22545">
        <v>284</v>
      </c>
      <c r="J22545">
        <v>1</v>
      </c>
      <c r="K22545">
        <v>112</v>
      </c>
      <c r="L22545">
        <v>336</v>
      </c>
      <c r="M22545">
        <v>1</v>
      </c>
      <c r="N22545">
        <v>8.3955700000000003E-67</v>
      </c>
      <c r="O22545">
        <v>642</v>
      </c>
    </row>
    <row r="22546" spans="1:15" x14ac:dyDescent="0.25">
      <c r="A22546" t="s">
        <v>22559</v>
      </c>
      <c r="B22546">
        <v>670</v>
      </c>
      <c r="C22546" s="1" t="str">
        <f>HYPERLINK("http://www.rosaceae.org/gb/gbrowse/malus_x_domestica/?name=MDP0000130244","MDP0000130244")</f>
        <v>MDP0000130244</v>
      </c>
      <c r="D22546">
        <v>78.569999999999993</v>
      </c>
      <c r="E22546">
        <v>350</v>
      </c>
      <c r="F22546">
        <v>75</v>
      </c>
      <c r="G22546">
        <v>0</v>
      </c>
      <c r="H22546">
        <v>318</v>
      </c>
      <c r="I22546">
        <v>667</v>
      </c>
      <c r="J22546">
        <v>1</v>
      </c>
      <c r="K22546">
        <v>1</v>
      </c>
      <c r="L22546">
        <v>350</v>
      </c>
      <c r="M22546">
        <v>1</v>
      </c>
      <c r="N22546">
        <v>2.1151199999999999E-168</v>
      </c>
      <c r="O22546">
        <v>1520</v>
      </c>
    </row>
    <row r="22547" spans="1:15" x14ac:dyDescent="0.25">
      <c r="A22547" t="s">
        <v>22560</v>
      </c>
      <c r="B22547">
        <v>601</v>
      </c>
      <c r="C22547" s="1" t="str">
        <f>HYPERLINK("http://www.rosaceae.org/gb/gbrowse/malus_x_domestica/?name=MDP0000139742","MDP0000139742")</f>
        <v>MDP0000139742</v>
      </c>
      <c r="D22547">
        <v>30.67</v>
      </c>
      <c r="E22547">
        <v>603</v>
      </c>
      <c r="F22547">
        <v>418</v>
      </c>
      <c r="G22547">
        <v>136</v>
      </c>
      <c r="H22547">
        <v>82</v>
      </c>
      <c r="I22547">
        <v>599</v>
      </c>
      <c r="J22547">
        <v>1</v>
      </c>
      <c r="K22547">
        <v>8</v>
      </c>
      <c r="L22547">
        <v>559</v>
      </c>
      <c r="M22547">
        <v>1</v>
      </c>
      <c r="N22547">
        <v>1.40173E-60</v>
      </c>
      <c r="O22547">
        <v>590</v>
      </c>
    </row>
    <row r="22548" spans="1:15" x14ac:dyDescent="0.25">
      <c r="A22548" t="s">
        <v>22561</v>
      </c>
      <c r="B22548">
        <v>457</v>
      </c>
      <c r="C22548" s="1" t="str">
        <f>HYPERLINK("http://www.rosaceae.org/gb/gbrowse/malus_x_domestica/?name=MDP0000147216","MDP0000147216")</f>
        <v>MDP0000147216</v>
      </c>
      <c r="D22548">
        <v>56.43</v>
      </c>
      <c r="E22548">
        <v>482</v>
      </c>
      <c r="F22548">
        <v>210</v>
      </c>
      <c r="G22548">
        <v>58</v>
      </c>
      <c r="H22548">
        <v>5</v>
      </c>
      <c r="I22548">
        <v>431</v>
      </c>
      <c r="J22548">
        <v>1</v>
      </c>
      <c r="K22548">
        <v>7</v>
      </c>
      <c r="L22548">
        <v>485</v>
      </c>
      <c r="M22548">
        <v>1</v>
      </c>
      <c r="N22548">
        <v>5.1192800000000003E-142</v>
      </c>
      <c r="O22548">
        <v>1291</v>
      </c>
    </row>
    <row r="22549" spans="1:15" x14ac:dyDescent="0.25">
      <c r="A22549" t="s">
        <v>22562</v>
      </c>
      <c r="B22549">
        <v>54</v>
      </c>
      <c r="C22549" s="1" t="str">
        <f>HYPERLINK("http://www.rosaceae.org/gb/gbrowse/malus_x_domestica/?name=MDP0000301441","MDP0000301441")</f>
        <v>MDP0000301441</v>
      </c>
      <c r="D22549">
        <v>92.5</v>
      </c>
      <c r="E22549">
        <v>40</v>
      </c>
      <c r="F22549">
        <v>3</v>
      </c>
      <c r="G22549">
        <v>0</v>
      </c>
      <c r="H22549">
        <v>15</v>
      </c>
      <c r="I22549">
        <v>54</v>
      </c>
      <c r="J22549">
        <v>1</v>
      </c>
      <c r="K22549">
        <v>132</v>
      </c>
      <c r="L22549">
        <v>171</v>
      </c>
      <c r="M22549">
        <v>1</v>
      </c>
      <c r="N22549">
        <v>3.7558899999999999E-16</v>
      </c>
      <c r="O22549">
        <v>197</v>
      </c>
    </row>
    <row r="22550" spans="1:15" x14ac:dyDescent="0.25">
      <c r="A22550" t="s">
        <v>22563</v>
      </c>
      <c r="B22550">
        <v>491</v>
      </c>
      <c r="C22550" s="1" t="str">
        <f>HYPERLINK("http://www.rosaceae.org/gb/gbrowse/malus_x_domestica/?name=MDP0000204794","MDP0000204794")</f>
        <v>MDP0000204794</v>
      </c>
      <c r="D22550">
        <v>30.2</v>
      </c>
      <c r="E22550">
        <v>245</v>
      </c>
      <c r="F22550">
        <v>171</v>
      </c>
      <c r="G22550">
        <v>11</v>
      </c>
      <c r="H22550">
        <v>1</v>
      </c>
      <c r="I22550">
        <v>244</v>
      </c>
      <c r="J22550">
        <v>1</v>
      </c>
      <c r="K22550">
        <v>314</v>
      </c>
      <c r="L22550">
        <v>548</v>
      </c>
      <c r="M22550">
        <v>1</v>
      </c>
      <c r="N22550">
        <v>1.9923599999999998E-33</v>
      </c>
      <c r="O22550">
        <v>355</v>
      </c>
    </row>
    <row r="22551" spans="1:15" x14ac:dyDescent="0.25">
      <c r="A22551" t="s">
        <v>22564</v>
      </c>
      <c r="B22551">
        <v>199</v>
      </c>
      <c r="C22551" s="1" t="str">
        <f>HYPERLINK("http://www.rosaceae.org/gb/gbrowse/malus_x_domestica/?name=MDP0000159766","MDP0000159766")</f>
        <v>MDP0000159766</v>
      </c>
      <c r="D22551">
        <v>72.150000000000006</v>
      </c>
      <c r="E22551">
        <v>158</v>
      </c>
      <c r="F22551">
        <v>44</v>
      </c>
      <c r="G22551">
        <v>7</v>
      </c>
      <c r="H22551">
        <v>18</v>
      </c>
      <c r="I22551">
        <v>170</v>
      </c>
      <c r="J22551">
        <v>1</v>
      </c>
      <c r="K22551">
        <v>10</v>
      </c>
      <c r="L22551">
        <v>165</v>
      </c>
      <c r="M22551">
        <v>1</v>
      </c>
      <c r="N22551">
        <v>2.0759600000000002E-62</v>
      </c>
      <c r="O22551">
        <v>600</v>
      </c>
    </row>
    <row r="22552" spans="1:15" x14ac:dyDescent="0.25">
      <c r="A22552" t="s">
        <v>22565</v>
      </c>
      <c r="B22552">
        <v>598</v>
      </c>
      <c r="C22552" s="1" t="str">
        <f>HYPERLINK("http://www.rosaceae.org/gb/gbrowse/malus_x_domestica/?name=MDP0000853667","MDP0000853667")</f>
        <v>MDP0000853667</v>
      </c>
      <c r="D22552">
        <v>46.32</v>
      </c>
      <c r="E22552">
        <v>231</v>
      </c>
      <c r="F22552">
        <v>124</v>
      </c>
      <c r="G22552">
        <v>12</v>
      </c>
      <c r="H22552">
        <v>198</v>
      </c>
      <c r="I22552">
        <v>428</v>
      </c>
      <c r="J22552">
        <v>1</v>
      </c>
      <c r="K22552">
        <v>1</v>
      </c>
      <c r="L22552">
        <v>219</v>
      </c>
      <c r="M22552">
        <v>1</v>
      </c>
      <c r="N22552">
        <v>7.3471599999999995E-52</v>
      </c>
      <c r="O22552">
        <v>515</v>
      </c>
    </row>
    <row r="22553" spans="1:15" x14ac:dyDescent="0.25">
      <c r="A22553" t="s">
        <v>22566</v>
      </c>
      <c r="B22553">
        <v>458</v>
      </c>
      <c r="C22553" s="1" t="str">
        <f>HYPERLINK("http://www.rosaceae.org/gb/gbrowse/malus_x_domestica/?name=MDP0000322550","MDP0000322550")</f>
        <v>MDP0000322550</v>
      </c>
      <c r="D22553">
        <v>83.14</v>
      </c>
      <c r="E22553">
        <v>433</v>
      </c>
      <c r="F22553">
        <v>73</v>
      </c>
      <c r="G22553">
        <v>4</v>
      </c>
      <c r="H22553">
        <v>1</v>
      </c>
      <c r="I22553">
        <v>430</v>
      </c>
      <c r="J22553">
        <v>1</v>
      </c>
      <c r="K22553">
        <v>727</v>
      </c>
      <c r="L22553">
        <v>1158</v>
      </c>
      <c r="M22553">
        <v>1</v>
      </c>
      <c r="N22553">
        <v>0</v>
      </c>
      <c r="O22553">
        <v>1927</v>
      </c>
    </row>
    <row r="22554" spans="1:15" x14ac:dyDescent="0.25">
      <c r="A22554" t="s">
        <v>22567</v>
      </c>
      <c r="B22554">
        <v>497</v>
      </c>
      <c r="C22554" s="1" t="str">
        <f>HYPERLINK("http://www.rosaceae.org/gb/gbrowse/malus_x_domestica/?name=MDP0000587459","MDP0000587459")</f>
        <v>MDP0000587459</v>
      </c>
      <c r="D22554">
        <v>78.84</v>
      </c>
      <c r="E22554">
        <v>449</v>
      </c>
      <c r="F22554">
        <v>95</v>
      </c>
      <c r="G22554">
        <v>1</v>
      </c>
      <c r="H22554">
        <v>1</v>
      </c>
      <c r="I22554">
        <v>449</v>
      </c>
      <c r="J22554">
        <v>1</v>
      </c>
      <c r="K22554">
        <v>1</v>
      </c>
      <c r="L22554">
        <v>448</v>
      </c>
      <c r="M22554">
        <v>1</v>
      </c>
      <c r="N22554">
        <v>0</v>
      </c>
      <c r="O22554">
        <v>1917</v>
      </c>
    </row>
    <row r="22555" spans="1:15" x14ac:dyDescent="0.25">
      <c r="A22555" t="s">
        <v>22568</v>
      </c>
      <c r="B22555">
        <v>804</v>
      </c>
      <c r="C22555" s="1" t="str">
        <f>HYPERLINK("http://www.rosaceae.org/gb/gbrowse/malus_x_domestica/?name=MDP0000445291","MDP0000445291")</f>
        <v>MDP0000445291</v>
      </c>
      <c r="D22555">
        <v>51.17</v>
      </c>
      <c r="E22555">
        <v>895</v>
      </c>
      <c r="F22555">
        <v>437</v>
      </c>
      <c r="G22555">
        <v>134</v>
      </c>
      <c r="H22555">
        <v>1</v>
      </c>
      <c r="I22555">
        <v>804</v>
      </c>
      <c r="J22555">
        <v>1</v>
      </c>
      <c r="K22555">
        <v>1</v>
      </c>
      <c r="L22555">
        <v>852</v>
      </c>
      <c r="M22555">
        <v>1</v>
      </c>
      <c r="N22555">
        <v>0</v>
      </c>
      <c r="O22555">
        <v>1932</v>
      </c>
    </row>
    <row r="22556" spans="1:15" x14ac:dyDescent="0.25">
      <c r="A22556" t="s">
        <v>22569</v>
      </c>
      <c r="B22556">
        <v>923</v>
      </c>
      <c r="C22556" s="1" t="str">
        <f>HYPERLINK("http://www.rosaceae.org/gb/gbrowse/malus_x_domestica/?name=MDP0000312342","MDP0000312342")</f>
        <v>MDP0000312342</v>
      </c>
      <c r="D22556">
        <v>30.32</v>
      </c>
      <c r="E22556">
        <v>366</v>
      </c>
      <c r="F22556">
        <v>255</v>
      </c>
      <c r="G22556">
        <v>69</v>
      </c>
      <c r="H22556">
        <v>506</v>
      </c>
      <c r="I22556">
        <v>847</v>
      </c>
      <c r="J22556">
        <v>1</v>
      </c>
      <c r="K22556">
        <v>5</v>
      </c>
      <c r="L22556">
        <v>325</v>
      </c>
      <c r="M22556">
        <v>1</v>
      </c>
      <c r="N22556">
        <v>1.6991899999999999E-27</v>
      </c>
      <c r="O22556">
        <v>306</v>
      </c>
    </row>
    <row r="22557" spans="1:15" x14ac:dyDescent="0.25">
      <c r="A22557" t="s">
        <v>22570</v>
      </c>
      <c r="B22557">
        <v>172</v>
      </c>
      <c r="C22557" s="1" t="str">
        <f>HYPERLINK("http://www.rosaceae.org/gb/gbrowse/malus_x_domestica/?name=MDP0000249171","MDP0000249171")</f>
        <v>MDP0000249171</v>
      </c>
      <c r="D22557">
        <v>55.12</v>
      </c>
      <c r="E22557">
        <v>156</v>
      </c>
      <c r="F22557">
        <v>70</v>
      </c>
      <c r="G22557">
        <v>11</v>
      </c>
      <c r="H22557">
        <v>7</v>
      </c>
      <c r="I22557">
        <v>151</v>
      </c>
      <c r="J22557">
        <v>1</v>
      </c>
      <c r="K22557">
        <v>64</v>
      </c>
      <c r="L22557">
        <v>219</v>
      </c>
      <c r="M22557">
        <v>1</v>
      </c>
      <c r="N22557">
        <v>1.66583E-38</v>
      </c>
      <c r="O22557">
        <v>393</v>
      </c>
    </row>
    <row r="22558" spans="1:15" x14ac:dyDescent="0.25">
      <c r="A22558" t="s">
        <v>22571</v>
      </c>
      <c r="B22558">
        <v>362</v>
      </c>
      <c r="C22558" s="1" t="str">
        <f>HYPERLINK("http://www.rosaceae.org/gb/gbrowse/malus_x_domestica/?name=MDP0000776727","MDP0000776727")</f>
        <v>MDP0000776727</v>
      </c>
      <c r="D22558">
        <v>69.349999999999994</v>
      </c>
      <c r="E22558">
        <v>124</v>
      </c>
      <c r="F22558">
        <v>38</v>
      </c>
      <c r="G22558">
        <v>20</v>
      </c>
      <c r="H22558">
        <v>205</v>
      </c>
      <c r="I22558">
        <v>308</v>
      </c>
      <c r="J22558">
        <v>1</v>
      </c>
      <c r="K22558">
        <v>4</v>
      </c>
      <c r="L22558">
        <v>127</v>
      </c>
      <c r="M22558">
        <v>1</v>
      </c>
      <c r="N22558">
        <v>6.8719499999999999E-44</v>
      </c>
      <c r="O22558">
        <v>443</v>
      </c>
    </row>
    <row r="22559" spans="1:15" x14ac:dyDescent="0.25">
      <c r="A22559" t="s">
        <v>22572</v>
      </c>
      <c r="B22559">
        <v>242</v>
      </c>
      <c r="C22559" s="1" t="str">
        <f>HYPERLINK("http://www.rosaceae.org/gb/gbrowse/malus_x_domestica/?name=MDP0000889931","MDP0000889931")</f>
        <v>MDP0000889931</v>
      </c>
      <c r="D22559">
        <v>66.08</v>
      </c>
      <c r="E22559">
        <v>230</v>
      </c>
      <c r="F22559">
        <v>78</v>
      </c>
      <c r="G22559">
        <v>2</v>
      </c>
      <c r="H22559">
        <v>1</v>
      </c>
      <c r="I22559">
        <v>229</v>
      </c>
      <c r="J22559">
        <v>1</v>
      </c>
      <c r="K22559">
        <v>1</v>
      </c>
      <c r="L22559">
        <v>229</v>
      </c>
      <c r="M22559">
        <v>1</v>
      </c>
      <c r="N22559">
        <v>7.3691499999999995E-86</v>
      </c>
      <c r="O22559">
        <v>803</v>
      </c>
    </row>
    <row r="22560" spans="1:15" x14ac:dyDescent="0.25">
      <c r="A22560" t="s">
        <v>22573</v>
      </c>
      <c r="B22560">
        <v>529</v>
      </c>
      <c r="C22560" s="1" t="str">
        <f>HYPERLINK("http://www.rosaceae.org/gb/gbrowse/malus_x_domestica/?name=MDP0000148030","MDP0000148030")</f>
        <v>MDP0000148030</v>
      </c>
      <c r="D22560">
        <v>74.27</v>
      </c>
      <c r="E22560">
        <v>548</v>
      </c>
      <c r="F22560">
        <v>141</v>
      </c>
      <c r="G22560">
        <v>20</v>
      </c>
      <c r="H22560">
        <v>1</v>
      </c>
      <c r="I22560">
        <v>528</v>
      </c>
      <c r="J22560">
        <v>1</v>
      </c>
      <c r="K22560">
        <v>3</v>
      </c>
      <c r="L22560">
        <v>550</v>
      </c>
      <c r="M22560">
        <v>1</v>
      </c>
      <c r="N22560">
        <v>0</v>
      </c>
      <c r="O22560">
        <v>2121</v>
      </c>
    </row>
    <row r="22561" spans="1:15" x14ac:dyDescent="0.25">
      <c r="A22561" t="s">
        <v>22574</v>
      </c>
      <c r="B22561">
        <v>113</v>
      </c>
      <c r="C22561" s="1" t="str">
        <f>HYPERLINK("http://www.rosaceae.org/gb/gbrowse/malus_x_domestica/?name=MDP0000073044","MDP0000073044")</f>
        <v>MDP0000073044</v>
      </c>
      <c r="D22561">
        <v>89.38</v>
      </c>
      <c r="E22561">
        <v>113</v>
      </c>
      <c r="F22561">
        <v>12</v>
      </c>
      <c r="G22561">
        <v>0</v>
      </c>
      <c r="H22561">
        <v>1</v>
      </c>
      <c r="I22561">
        <v>113</v>
      </c>
      <c r="J22561">
        <v>1</v>
      </c>
      <c r="K22561">
        <v>479</v>
      </c>
      <c r="L22561">
        <v>591</v>
      </c>
      <c r="M22561">
        <v>1</v>
      </c>
      <c r="N22561">
        <v>2.1409200000000002E-55</v>
      </c>
      <c r="O22561">
        <v>535</v>
      </c>
    </row>
    <row r="22562" spans="1:15" x14ac:dyDescent="0.25">
      <c r="A22562" t="s">
        <v>22575</v>
      </c>
      <c r="B22562">
        <v>87</v>
      </c>
      <c r="C22562" s="1" t="str">
        <f>HYPERLINK("http://www.rosaceae.org/gb/gbrowse/malus_x_domestica/?name=MDP0000166330","MDP0000166330")</f>
        <v>MDP0000166330</v>
      </c>
      <c r="D22562">
        <v>94.11</v>
      </c>
      <c r="E22562">
        <v>85</v>
      </c>
      <c r="F22562">
        <v>5</v>
      </c>
      <c r="G22562">
        <v>0</v>
      </c>
      <c r="H22562">
        <v>3</v>
      </c>
      <c r="I22562">
        <v>87</v>
      </c>
      <c r="J22562">
        <v>1</v>
      </c>
      <c r="K22562">
        <v>2</v>
      </c>
      <c r="L22562">
        <v>86</v>
      </c>
      <c r="M22562">
        <v>1</v>
      </c>
      <c r="N22562">
        <v>1.8071700000000001E-44</v>
      </c>
      <c r="O22562">
        <v>441</v>
      </c>
    </row>
    <row r="22563" spans="1:15" x14ac:dyDescent="0.25">
      <c r="A22563" t="s">
        <v>22576</v>
      </c>
      <c r="B22563">
        <v>194</v>
      </c>
      <c r="C22563" s="1" t="str">
        <f>HYPERLINK("http://www.rosaceae.org/gb/gbrowse/malus_x_domestica/?name=MDP0000620422","MDP0000620422")</f>
        <v>MDP0000620422</v>
      </c>
      <c r="D22563">
        <v>71.849999999999994</v>
      </c>
      <c r="E22563">
        <v>167</v>
      </c>
      <c r="F22563">
        <v>47</v>
      </c>
      <c r="G22563">
        <v>6</v>
      </c>
      <c r="H22563">
        <v>24</v>
      </c>
      <c r="I22563">
        <v>184</v>
      </c>
      <c r="J22563">
        <v>1</v>
      </c>
      <c r="K22563">
        <v>23</v>
      </c>
      <c r="L22563">
        <v>189</v>
      </c>
      <c r="M22563">
        <v>1</v>
      </c>
      <c r="N22563">
        <v>1.06481E-60</v>
      </c>
      <c r="O22563">
        <v>585</v>
      </c>
    </row>
    <row r="22564" spans="1:15" x14ac:dyDescent="0.25">
      <c r="A22564" t="s">
        <v>22577</v>
      </c>
      <c r="B22564">
        <v>332</v>
      </c>
      <c r="C22564" s="1" t="str">
        <f>HYPERLINK("http://www.rosaceae.org/gb/gbrowse/malus_x_domestica/?name=MDP0000165524","MDP0000165524")</f>
        <v>MDP0000165524</v>
      </c>
      <c r="D22564">
        <v>92.08</v>
      </c>
      <c r="E22564">
        <v>316</v>
      </c>
      <c r="F22564">
        <v>25</v>
      </c>
      <c r="G22564">
        <v>0</v>
      </c>
      <c r="H22564">
        <v>1</v>
      </c>
      <c r="I22564">
        <v>316</v>
      </c>
      <c r="J22564">
        <v>1</v>
      </c>
      <c r="K22564">
        <v>1</v>
      </c>
      <c r="L22564">
        <v>316</v>
      </c>
      <c r="M22564">
        <v>1</v>
      </c>
      <c r="N22564">
        <v>1.94376E-172</v>
      </c>
      <c r="O22564">
        <v>1552</v>
      </c>
    </row>
    <row r="22565" spans="1:15" x14ac:dyDescent="0.25">
      <c r="A22565" t="s">
        <v>22578</v>
      </c>
      <c r="B22565">
        <v>451</v>
      </c>
      <c r="C22565" s="1" t="str">
        <f>HYPERLINK("http://www.rosaceae.org/gb/gbrowse/malus_x_domestica/?name=MDP0000267409","MDP0000267409")</f>
        <v>MDP0000267409</v>
      </c>
      <c r="D22565">
        <v>35.549999999999997</v>
      </c>
      <c r="E22565">
        <v>495</v>
      </c>
      <c r="F22565">
        <v>319</v>
      </c>
      <c r="G22565">
        <v>108</v>
      </c>
      <c r="H22565">
        <v>27</v>
      </c>
      <c r="I22565">
        <v>447</v>
      </c>
      <c r="J22565">
        <v>1</v>
      </c>
      <c r="K22565">
        <v>537</v>
      </c>
      <c r="L22565">
        <v>997</v>
      </c>
      <c r="M22565">
        <v>1</v>
      </c>
      <c r="N22565">
        <v>4.9066499999999998E-56</v>
      </c>
      <c r="O22565">
        <v>549</v>
      </c>
    </row>
    <row r="22566" spans="1:15" x14ac:dyDescent="0.25">
      <c r="A22566" t="s">
        <v>22579</v>
      </c>
      <c r="B22566">
        <v>436</v>
      </c>
      <c r="C22566" s="1" t="str">
        <f>HYPERLINK("http://www.rosaceae.org/gb/gbrowse/malus_x_domestica/?name=MDP0000215984","MDP0000215984")</f>
        <v>MDP0000215984</v>
      </c>
      <c r="D22566">
        <v>65.88</v>
      </c>
      <c r="E22566">
        <v>85</v>
      </c>
      <c r="F22566">
        <v>29</v>
      </c>
      <c r="G22566">
        <v>0</v>
      </c>
      <c r="H22566">
        <v>136</v>
      </c>
      <c r="I22566">
        <v>220</v>
      </c>
      <c r="J22566">
        <v>1</v>
      </c>
      <c r="K22566">
        <v>111</v>
      </c>
      <c r="L22566">
        <v>195</v>
      </c>
      <c r="M22566">
        <v>1</v>
      </c>
      <c r="N22566">
        <v>1.66415E-29</v>
      </c>
      <c r="O22566">
        <v>320</v>
      </c>
    </row>
    <row r="22567" spans="1:15" x14ac:dyDescent="0.25">
      <c r="A22567" t="s">
        <v>22580</v>
      </c>
      <c r="B22567">
        <v>741</v>
      </c>
      <c r="C22567" s="1" t="str">
        <f>HYPERLINK("http://www.rosaceae.org/gb/gbrowse/malus_x_domestica/?name=MDP0000155304","MDP0000155304")</f>
        <v>MDP0000155304</v>
      </c>
      <c r="D22567">
        <v>40.799999999999997</v>
      </c>
      <c r="E22567">
        <v>642</v>
      </c>
      <c r="F22567">
        <v>380</v>
      </c>
      <c r="G22567">
        <v>190</v>
      </c>
      <c r="H22567">
        <v>1</v>
      </c>
      <c r="I22567">
        <v>529</v>
      </c>
      <c r="J22567">
        <v>1</v>
      </c>
      <c r="K22567">
        <v>1</v>
      </c>
      <c r="L22567">
        <v>565</v>
      </c>
      <c r="M22567">
        <v>1</v>
      </c>
      <c r="N22567">
        <v>4.3706299999999999E-101</v>
      </c>
      <c r="O22567">
        <v>940</v>
      </c>
    </row>
    <row r="22568" spans="1:15" x14ac:dyDescent="0.25">
      <c r="A22568" t="s">
        <v>22581</v>
      </c>
      <c r="B22568">
        <v>268</v>
      </c>
      <c r="C22568" s="1" t="str">
        <f>HYPERLINK("http://www.rosaceae.org/gb/gbrowse/malus_x_domestica/?name=MDP0000783034","MDP0000783034")</f>
        <v>MDP0000783034</v>
      </c>
      <c r="D22568">
        <v>61.29</v>
      </c>
      <c r="E22568">
        <v>279</v>
      </c>
      <c r="F22568">
        <v>108</v>
      </c>
      <c r="G22568">
        <v>13</v>
      </c>
      <c r="H22568">
        <v>1</v>
      </c>
      <c r="I22568">
        <v>267</v>
      </c>
      <c r="J22568">
        <v>1</v>
      </c>
      <c r="K22568">
        <v>272</v>
      </c>
      <c r="L22568">
        <v>549</v>
      </c>
      <c r="M22568">
        <v>1</v>
      </c>
      <c r="N22568">
        <v>8.9963500000000006E-92</v>
      </c>
      <c r="O22568">
        <v>855</v>
      </c>
    </row>
    <row r="22569" spans="1:15" x14ac:dyDescent="0.25">
      <c r="A22569" t="s">
        <v>22582</v>
      </c>
      <c r="B22569">
        <v>177</v>
      </c>
      <c r="C22569" s="1" t="str">
        <f>HYPERLINK("http://www.rosaceae.org/gb/gbrowse/malus_x_domestica/?name=MDP0000713750","MDP0000713750")</f>
        <v>MDP0000713750</v>
      </c>
      <c r="D22569">
        <v>57.83</v>
      </c>
      <c r="E22569">
        <v>166</v>
      </c>
      <c r="F22569">
        <v>70</v>
      </c>
      <c r="G22569">
        <v>13</v>
      </c>
      <c r="H22569">
        <v>12</v>
      </c>
      <c r="I22569">
        <v>176</v>
      </c>
      <c r="J22569">
        <v>1</v>
      </c>
      <c r="K22569">
        <v>30</v>
      </c>
      <c r="L22569">
        <v>183</v>
      </c>
      <c r="M22569">
        <v>1</v>
      </c>
      <c r="N22569">
        <v>6.2140899999999995E-36</v>
      </c>
      <c r="O22569">
        <v>371</v>
      </c>
    </row>
    <row r="22570" spans="1:15" x14ac:dyDescent="0.25">
      <c r="A22570" t="s">
        <v>22583</v>
      </c>
      <c r="B22570">
        <v>188</v>
      </c>
      <c r="C22570" s="1" t="str">
        <f>HYPERLINK("http://www.rosaceae.org/gb/gbrowse/malus_x_domestica/?name=MDP0000250869","MDP0000250869")</f>
        <v>MDP0000250869</v>
      </c>
      <c r="D22570">
        <v>48.29</v>
      </c>
      <c r="E22570">
        <v>176</v>
      </c>
      <c r="F22570">
        <v>91</v>
      </c>
      <c r="G22570">
        <v>21</v>
      </c>
      <c r="H22570">
        <v>23</v>
      </c>
      <c r="I22570">
        <v>188</v>
      </c>
      <c r="J22570">
        <v>1</v>
      </c>
      <c r="K22570">
        <v>74</v>
      </c>
      <c r="L22570">
        <v>238</v>
      </c>
      <c r="M22570">
        <v>1</v>
      </c>
      <c r="N22570">
        <v>2.4789100000000002E-24</v>
      </c>
      <c r="O22570">
        <v>271</v>
      </c>
    </row>
    <row r="22571" spans="1:15" x14ac:dyDescent="0.25">
      <c r="A22571" t="s">
        <v>22584</v>
      </c>
      <c r="B22571">
        <v>201</v>
      </c>
      <c r="C22571" s="1" t="str">
        <f>HYPERLINK("http://www.rosaceae.org/gb/gbrowse/malus_x_domestica/?name=MDP0000923528","MDP0000923528")</f>
        <v>MDP0000923528</v>
      </c>
      <c r="D22571">
        <v>55.12</v>
      </c>
      <c r="E22571">
        <v>234</v>
      </c>
      <c r="F22571">
        <v>105</v>
      </c>
      <c r="G22571">
        <v>35</v>
      </c>
      <c r="H22571">
        <v>1</v>
      </c>
      <c r="I22571">
        <v>201</v>
      </c>
      <c r="J22571">
        <v>1</v>
      </c>
      <c r="K22571">
        <v>1</v>
      </c>
      <c r="L22571">
        <v>232</v>
      </c>
      <c r="M22571">
        <v>1</v>
      </c>
      <c r="N22571">
        <v>4.4591000000000001E-54</v>
      </c>
      <c r="O22571">
        <v>528</v>
      </c>
    </row>
    <row r="22572" spans="1:15" x14ac:dyDescent="0.25">
      <c r="A22572" t="s">
        <v>22585</v>
      </c>
      <c r="B22572">
        <v>190</v>
      </c>
      <c r="C22572" s="1" t="str">
        <f>HYPERLINK("http://www.rosaceae.org/gb/gbrowse/malus_x_domestica/?name=MDP0000011552","MDP0000011552")</f>
        <v>MDP0000011552</v>
      </c>
      <c r="D22572">
        <v>85.71</v>
      </c>
      <c r="E22572">
        <v>168</v>
      </c>
      <c r="F22572">
        <v>24</v>
      </c>
      <c r="G22572">
        <v>10</v>
      </c>
      <c r="H22572">
        <v>33</v>
      </c>
      <c r="I22572">
        <v>190</v>
      </c>
      <c r="J22572">
        <v>1</v>
      </c>
      <c r="K22572">
        <v>1</v>
      </c>
      <c r="L22572">
        <v>168</v>
      </c>
      <c r="M22572">
        <v>1</v>
      </c>
      <c r="N22572">
        <v>4.7851E-83</v>
      </c>
      <c r="O22572">
        <v>777</v>
      </c>
    </row>
    <row r="22573" spans="1:15" x14ac:dyDescent="0.25">
      <c r="A22573" t="s">
        <v>22586</v>
      </c>
      <c r="B22573">
        <v>537</v>
      </c>
      <c r="C22573" s="1" t="str">
        <f>HYPERLINK("http://www.rosaceae.org/gb/gbrowse/malus_x_domestica/?name=MDP0000289999","MDP0000289999")</f>
        <v>MDP0000289999</v>
      </c>
      <c r="D22573">
        <v>75.430000000000007</v>
      </c>
      <c r="E22573">
        <v>521</v>
      </c>
      <c r="F22573">
        <v>128</v>
      </c>
      <c r="G22573">
        <v>24</v>
      </c>
      <c r="H22573">
        <v>2</v>
      </c>
      <c r="I22573">
        <v>517</v>
      </c>
      <c r="J22573">
        <v>1</v>
      </c>
      <c r="K22573">
        <v>3</v>
      </c>
      <c r="L22573">
        <v>504</v>
      </c>
      <c r="M22573">
        <v>1</v>
      </c>
      <c r="N22573">
        <v>0</v>
      </c>
      <c r="O22573">
        <v>2046</v>
      </c>
    </row>
    <row r="22574" spans="1:15" x14ac:dyDescent="0.25">
      <c r="A22574" t="s">
        <v>22587</v>
      </c>
      <c r="B22574">
        <v>106</v>
      </c>
      <c r="C22574" s="1" t="str">
        <f>HYPERLINK("http://www.rosaceae.org/gb/gbrowse/malus_x_domestica/?name=MDP0000203028","MDP0000203028")</f>
        <v>MDP0000203028</v>
      </c>
      <c r="D22574">
        <v>93.26</v>
      </c>
      <c r="E22574">
        <v>104</v>
      </c>
      <c r="F22574">
        <v>7</v>
      </c>
      <c r="G22574">
        <v>0</v>
      </c>
      <c r="H22574">
        <v>1</v>
      </c>
      <c r="I22574">
        <v>104</v>
      </c>
      <c r="J22574">
        <v>1</v>
      </c>
      <c r="K22574">
        <v>1</v>
      </c>
      <c r="L22574">
        <v>104</v>
      </c>
      <c r="M22574">
        <v>1</v>
      </c>
      <c r="N22574">
        <v>2.20818E-53</v>
      </c>
      <c r="O22574">
        <v>518</v>
      </c>
    </row>
    <row r="22575" spans="1:15" x14ac:dyDescent="0.25">
      <c r="A22575" t="s">
        <v>22588</v>
      </c>
      <c r="B22575">
        <v>276</v>
      </c>
      <c r="C22575" s="1" t="str">
        <f>HYPERLINK("http://www.rosaceae.org/gb/gbrowse/malus_x_domestica/?name=MDP0000320758","MDP0000320758")</f>
        <v>MDP0000320758</v>
      </c>
      <c r="D22575">
        <v>66.08</v>
      </c>
      <c r="E22575">
        <v>286</v>
      </c>
      <c r="F22575">
        <v>97</v>
      </c>
      <c r="G22575">
        <v>27</v>
      </c>
      <c r="H22575">
        <v>1</v>
      </c>
      <c r="I22575">
        <v>261</v>
      </c>
      <c r="J22575">
        <v>1</v>
      </c>
      <c r="K22575">
        <v>1</v>
      </c>
      <c r="L22575">
        <v>284</v>
      </c>
      <c r="M22575">
        <v>1</v>
      </c>
      <c r="N22575">
        <v>1.33449E-102</v>
      </c>
      <c r="O22575">
        <v>948</v>
      </c>
    </row>
    <row r="22576" spans="1:15" x14ac:dyDescent="0.25">
      <c r="A22576" t="s">
        <v>22589</v>
      </c>
      <c r="B22576">
        <v>655</v>
      </c>
      <c r="C22576" s="1" t="str">
        <f>HYPERLINK("http://www.rosaceae.org/gb/gbrowse/malus_x_domestica/?name=MDP0000290485","MDP0000290485")</f>
        <v>MDP0000290485</v>
      </c>
      <c r="D22576">
        <v>75.41</v>
      </c>
      <c r="E22576">
        <v>606</v>
      </c>
      <c r="F22576">
        <v>149</v>
      </c>
      <c r="G22576">
        <v>0</v>
      </c>
      <c r="H22576">
        <v>43</v>
      </c>
      <c r="I22576">
        <v>648</v>
      </c>
      <c r="J22576">
        <v>1</v>
      </c>
      <c r="K22576">
        <v>437</v>
      </c>
      <c r="L22576">
        <v>1042</v>
      </c>
      <c r="M22576">
        <v>1</v>
      </c>
      <c r="N22576">
        <v>0</v>
      </c>
      <c r="O22576">
        <v>2446</v>
      </c>
    </row>
    <row r="22577" spans="1:15" x14ac:dyDescent="0.25">
      <c r="A22577" t="s">
        <v>22590</v>
      </c>
      <c r="B22577">
        <v>359</v>
      </c>
      <c r="C22577" s="1" t="str">
        <f>HYPERLINK("http://www.rosaceae.org/gb/gbrowse/malus_x_domestica/?name=MDP0000703981","MDP0000703981")</f>
        <v>MDP0000703981</v>
      </c>
      <c r="D22577">
        <v>63.31</v>
      </c>
      <c r="E22577">
        <v>368</v>
      </c>
      <c r="F22577">
        <v>135</v>
      </c>
      <c r="G22577">
        <v>15</v>
      </c>
      <c r="H22577">
        <v>1</v>
      </c>
      <c r="I22577">
        <v>359</v>
      </c>
      <c r="J22577">
        <v>1</v>
      </c>
      <c r="K22577">
        <v>3</v>
      </c>
      <c r="L22577">
        <v>364</v>
      </c>
      <c r="M22577">
        <v>1</v>
      </c>
      <c r="N22577">
        <v>1.4740699999999999E-133</v>
      </c>
      <c r="O22577">
        <v>1217</v>
      </c>
    </row>
    <row r="22578" spans="1:15" x14ac:dyDescent="0.25">
      <c r="A22578" t="s">
        <v>22591</v>
      </c>
      <c r="B22578">
        <v>290</v>
      </c>
      <c r="C22578" s="1" t="str">
        <f>HYPERLINK("http://www.rosaceae.org/gb/gbrowse/malus_x_domestica/?name=MDP0000242922","MDP0000242922")</f>
        <v>MDP0000242922</v>
      </c>
      <c r="D22578">
        <v>65.95</v>
      </c>
      <c r="E22578">
        <v>235</v>
      </c>
      <c r="F22578">
        <v>80</v>
      </c>
      <c r="G22578">
        <v>1</v>
      </c>
      <c r="H22578">
        <v>6</v>
      </c>
      <c r="I22578">
        <v>239</v>
      </c>
      <c r="J22578">
        <v>1</v>
      </c>
      <c r="K22578">
        <v>12</v>
      </c>
      <c r="L22578">
        <v>246</v>
      </c>
      <c r="M22578">
        <v>1</v>
      </c>
      <c r="N22578">
        <v>1.63771E-92</v>
      </c>
      <c r="O22578">
        <v>862</v>
      </c>
    </row>
    <row r="22579" spans="1:15" x14ac:dyDescent="0.25">
      <c r="A22579" t="s">
        <v>22592</v>
      </c>
      <c r="B22579">
        <v>861</v>
      </c>
      <c r="C22579" s="1" t="str">
        <f>HYPERLINK("http://www.rosaceae.org/gb/gbrowse/malus_x_domestica/?name=MDP0000817891","MDP0000817891")</f>
        <v>MDP0000817891</v>
      </c>
      <c r="D22579">
        <v>68.14</v>
      </c>
      <c r="E22579">
        <v>427</v>
      </c>
      <c r="F22579">
        <v>136</v>
      </c>
      <c r="G22579">
        <v>59</v>
      </c>
      <c r="H22579">
        <v>1</v>
      </c>
      <c r="I22579">
        <v>427</v>
      </c>
      <c r="J22579">
        <v>1</v>
      </c>
      <c r="K22579">
        <v>1</v>
      </c>
      <c r="L22579">
        <v>368</v>
      </c>
      <c r="M22579">
        <v>1</v>
      </c>
      <c r="N22579">
        <v>2.9583899999999997E-160</v>
      </c>
      <c r="O22579">
        <v>1451</v>
      </c>
    </row>
    <row r="22580" spans="1:15" x14ac:dyDescent="0.25">
      <c r="A22580" t="s">
        <v>22593</v>
      </c>
      <c r="B22580">
        <v>232</v>
      </c>
      <c r="C22580" s="1" t="str">
        <f>HYPERLINK("http://www.rosaceae.org/gb/gbrowse/malus_x_domestica/?name=MDP0000297031","MDP0000297031")</f>
        <v>MDP0000297031</v>
      </c>
      <c r="D22580">
        <v>36.950000000000003</v>
      </c>
      <c r="E22580">
        <v>230</v>
      </c>
      <c r="F22580">
        <v>145</v>
      </c>
      <c r="G22580">
        <v>15</v>
      </c>
      <c r="H22580">
        <v>1</v>
      </c>
      <c r="I22580">
        <v>222</v>
      </c>
      <c r="J22580">
        <v>1</v>
      </c>
      <c r="K22580">
        <v>13</v>
      </c>
      <c r="L22580">
        <v>235</v>
      </c>
      <c r="M22580">
        <v>1</v>
      </c>
      <c r="N22580">
        <v>5.7075700000000003E-33</v>
      </c>
      <c r="O22580">
        <v>347</v>
      </c>
    </row>
    <row r="22581" spans="1:15" x14ac:dyDescent="0.25">
      <c r="A22581" t="s">
        <v>22594</v>
      </c>
      <c r="B22581">
        <v>128</v>
      </c>
      <c r="C22581" s="1" t="str">
        <f>HYPERLINK("http://www.rosaceae.org/gb/gbrowse/malus_x_domestica/?name=MDP0000133483","MDP0000133483")</f>
        <v>MDP0000133483</v>
      </c>
      <c r="D22581">
        <v>93.26</v>
      </c>
      <c r="E22581">
        <v>104</v>
      </c>
      <c r="F22581">
        <v>7</v>
      </c>
      <c r="G22581">
        <v>0</v>
      </c>
      <c r="H22581">
        <v>23</v>
      </c>
      <c r="I22581">
        <v>126</v>
      </c>
      <c r="J22581">
        <v>1</v>
      </c>
      <c r="K22581">
        <v>16</v>
      </c>
      <c r="L22581">
        <v>119</v>
      </c>
      <c r="M22581">
        <v>1</v>
      </c>
      <c r="N22581">
        <v>1.30119E-52</v>
      </c>
      <c r="O22581">
        <v>512</v>
      </c>
    </row>
    <row r="22582" spans="1:15" x14ac:dyDescent="0.25">
      <c r="A22582" t="s">
        <v>22595</v>
      </c>
      <c r="B22582">
        <v>250</v>
      </c>
      <c r="C22582" s="1" t="str">
        <f>HYPERLINK("http://www.rosaceae.org/gb/gbrowse/malus_x_domestica/?name=MDP0000122753","MDP0000122753")</f>
        <v>MDP0000122753</v>
      </c>
      <c r="D22582">
        <v>63.44</v>
      </c>
      <c r="E22582">
        <v>279</v>
      </c>
      <c r="F22582">
        <v>102</v>
      </c>
      <c r="G22582">
        <v>30</v>
      </c>
      <c r="H22582">
        <v>1</v>
      </c>
      <c r="I22582">
        <v>250</v>
      </c>
      <c r="J22582">
        <v>1</v>
      </c>
      <c r="K22582">
        <v>3</v>
      </c>
      <c r="L22582">
        <v>280</v>
      </c>
      <c r="M22582">
        <v>1</v>
      </c>
      <c r="N22582">
        <v>9.6794699999999998E-84</v>
      </c>
      <c r="O22582">
        <v>785</v>
      </c>
    </row>
    <row r="22583" spans="1:15" x14ac:dyDescent="0.25">
      <c r="A22583" t="s">
        <v>22596</v>
      </c>
      <c r="B22583">
        <v>467</v>
      </c>
      <c r="C22583" s="1" t="str">
        <f>HYPERLINK("http://www.rosaceae.org/gb/gbrowse/malus_x_domestica/?name=MDP0000258998","MDP0000258998")</f>
        <v>MDP0000258998</v>
      </c>
      <c r="D22583">
        <v>57.66</v>
      </c>
      <c r="E22583">
        <v>411</v>
      </c>
      <c r="F22583">
        <v>174</v>
      </c>
      <c r="G22583">
        <v>30</v>
      </c>
      <c r="H22583">
        <v>41</v>
      </c>
      <c r="I22583">
        <v>423</v>
      </c>
      <c r="J22583">
        <v>1</v>
      </c>
      <c r="K22583">
        <v>861</v>
      </c>
      <c r="L22583">
        <v>1269</v>
      </c>
      <c r="M22583">
        <v>1</v>
      </c>
      <c r="N22583">
        <v>1.9419699999999999E-129</v>
      </c>
      <c r="O22583">
        <v>1182</v>
      </c>
    </row>
    <row r="22584" spans="1:15" x14ac:dyDescent="0.25">
      <c r="A22584" t="s">
        <v>22597</v>
      </c>
      <c r="B22584">
        <v>548</v>
      </c>
      <c r="C22584" s="1" t="str">
        <f>HYPERLINK("http://www.rosaceae.org/gb/gbrowse/malus_x_domestica/?name=MDP0000889223","MDP0000889223")</f>
        <v>MDP0000889223</v>
      </c>
      <c r="D22584">
        <v>40.1</v>
      </c>
      <c r="E22584">
        <v>576</v>
      </c>
      <c r="F22584">
        <v>345</v>
      </c>
      <c r="G22584">
        <v>86</v>
      </c>
      <c r="H22584">
        <v>32</v>
      </c>
      <c r="I22584">
        <v>546</v>
      </c>
      <c r="J22584">
        <v>1</v>
      </c>
      <c r="K22584">
        <v>31</v>
      </c>
      <c r="L22584">
        <v>581</v>
      </c>
      <c r="M22584">
        <v>1</v>
      </c>
      <c r="N22584">
        <v>9.7402200000000006E-81</v>
      </c>
      <c r="O22584">
        <v>763</v>
      </c>
    </row>
    <row r="22585" spans="1:15" x14ac:dyDescent="0.25">
      <c r="A22585" t="s">
        <v>22598</v>
      </c>
      <c r="B22585">
        <v>452</v>
      </c>
      <c r="C22585" s="1" t="str">
        <f>HYPERLINK("http://www.rosaceae.org/gb/gbrowse/malus_x_domestica/?name=MDP0000188322","MDP0000188322")</f>
        <v>MDP0000188322</v>
      </c>
      <c r="D22585">
        <v>75.849999999999994</v>
      </c>
      <c r="E22585">
        <v>410</v>
      </c>
      <c r="F22585">
        <v>99</v>
      </c>
      <c r="G22585">
        <v>8</v>
      </c>
      <c r="H22585">
        <v>44</v>
      </c>
      <c r="I22585">
        <v>452</v>
      </c>
      <c r="J22585">
        <v>1</v>
      </c>
      <c r="K22585">
        <v>56</v>
      </c>
      <c r="L22585">
        <v>458</v>
      </c>
      <c r="M22585">
        <v>1</v>
      </c>
      <c r="N22585">
        <v>0</v>
      </c>
      <c r="O22585">
        <v>1666</v>
      </c>
    </row>
    <row r="22586" spans="1:15" x14ac:dyDescent="0.25">
      <c r="A22586" t="s">
        <v>22599</v>
      </c>
      <c r="B22586">
        <v>471</v>
      </c>
      <c r="C22586" s="1" t="str">
        <f>HYPERLINK("http://www.rosaceae.org/gb/gbrowse/malus_x_domestica/?name=MDP0000241889","MDP0000241889")</f>
        <v>MDP0000241889</v>
      </c>
      <c r="D22586">
        <v>61.12</v>
      </c>
      <c r="E22586">
        <v>409</v>
      </c>
      <c r="F22586">
        <v>159</v>
      </c>
      <c r="G22586">
        <v>20</v>
      </c>
      <c r="H22586">
        <v>38</v>
      </c>
      <c r="I22586">
        <v>436</v>
      </c>
      <c r="J22586">
        <v>1</v>
      </c>
      <c r="K22586">
        <v>151</v>
      </c>
      <c r="L22586">
        <v>549</v>
      </c>
      <c r="M22586">
        <v>1</v>
      </c>
      <c r="N22586">
        <v>1.71467E-136</v>
      </c>
      <c r="O22586">
        <v>1243</v>
      </c>
    </row>
    <row r="22587" spans="1:15" x14ac:dyDescent="0.25">
      <c r="A22587" t="s">
        <v>22600</v>
      </c>
      <c r="B22587">
        <v>77</v>
      </c>
      <c r="C22587" s="1" t="str">
        <f>HYPERLINK("http://www.rosaceae.org/gb/gbrowse/malus_x_domestica/?name=MDP0000700517","MDP0000700517")</f>
        <v>MDP0000700517</v>
      </c>
      <c r="D22587">
        <v>34.479999999999997</v>
      </c>
      <c r="E22587">
        <v>58</v>
      </c>
      <c r="F22587">
        <v>38</v>
      </c>
      <c r="G22587">
        <v>6</v>
      </c>
      <c r="H22587">
        <v>17</v>
      </c>
      <c r="I22587">
        <v>68</v>
      </c>
      <c r="J22587">
        <v>1</v>
      </c>
      <c r="K22587">
        <v>186</v>
      </c>
      <c r="L22587">
        <v>243</v>
      </c>
      <c r="M22587">
        <v>1</v>
      </c>
      <c r="N22587">
        <v>1.9981099999999999E-7</v>
      </c>
      <c r="O22587">
        <v>122</v>
      </c>
    </row>
    <row r="22588" spans="1:15" x14ac:dyDescent="0.25">
      <c r="A22588" t="s">
        <v>22601</v>
      </c>
      <c r="B22588">
        <v>316</v>
      </c>
      <c r="C22588" s="1" t="str">
        <f>HYPERLINK("http://www.rosaceae.org/gb/gbrowse/malus_x_domestica/?name=MDP0000264615","MDP0000264615")</f>
        <v>MDP0000264615</v>
      </c>
      <c r="D22588">
        <v>65.39</v>
      </c>
      <c r="E22588">
        <v>315</v>
      </c>
      <c r="F22588">
        <v>109</v>
      </c>
      <c r="G22588">
        <v>11</v>
      </c>
      <c r="H22588">
        <v>1</v>
      </c>
      <c r="I22588">
        <v>310</v>
      </c>
      <c r="J22588">
        <v>1</v>
      </c>
      <c r="K22588">
        <v>182</v>
      </c>
      <c r="L22588">
        <v>490</v>
      </c>
      <c r="M22588">
        <v>1</v>
      </c>
      <c r="N22588">
        <v>3.7704399999999999E-111</v>
      </c>
      <c r="O22588">
        <v>1023</v>
      </c>
    </row>
    <row r="22589" spans="1:15" x14ac:dyDescent="0.25">
      <c r="A22589" t="s">
        <v>22602</v>
      </c>
      <c r="B22589">
        <v>433</v>
      </c>
      <c r="C22589" s="1" t="str">
        <f>HYPERLINK("http://www.rosaceae.org/gb/gbrowse/malus_x_domestica/?name=MDP0000446865","MDP0000446865")</f>
        <v>MDP0000446865</v>
      </c>
      <c r="D22589">
        <v>65.5</v>
      </c>
      <c r="E22589">
        <v>429</v>
      </c>
      <c r="F22589">
        <v>148</v>
      </c>
      <c r="G22589">
        <v>35</v>
      </c>
      <c r="H22589">
        <v>10</v>
      </c>
      <c r="I22589">
        <v>409</v>
      </c>
      <c r="J22589">
        <v>1</v>
      </c>
      <c r="K22589">
        <v>5</v>
      </c>
      <c r="L22589">
        <v>427</v>
      </c>
      <c r="M22589">
        <v>1</v>
      </c>
      <c r="N22589">
        <v>5.5053199999999996E-159</v>
      </c>
      <c r="O22589">
        <v>1437</v>
      </c>
    </row>
    <row r="22590" spans="1:15" x14ac:dyDescent="0.25">
      <c r="A22590" t="s">
        <v>22603</v>
      </c>
      <c r="B22590">
        <v>176</v>
      </c>
      <c r="C22590" s="1" t="str">
        <f>HYPERLINK("http://www.rosaceae.org/gb/gbrowse/malus_x_domestica/?name=MDP0000125950","MDP0000125950")</f>
        <v>MDP0000125950</v>
      </c>
      <c r="D22590">
        <v>72.92</v>
      </c>
      <c r="E22590">
        <v>181</v>
      </c>
      <c r="F22590">
        <v>49</v>
      </c>
      <c r="G22590">
        <v>6</v>
      </c>
      <c r="H22590">
        <v>1</v>
      </c>
      <c r="I22590">
        <v>176</v>
      </c>
      <c r="J22590">
        <v>1</v>
      </c>
      <c r="K22590">
        <v>1</v>
      </c>
      <c r="L22590">
        <v>180</v>
      </c>
      <c r="M22590">
        <v>1</v>
      </c>
      <c r="N22590">
        <v>6.2842599999999999E-69</v>
      </c>
      <c r="O22590">
        <v>655</v>
      </c>
    </row>
    <row r="22591" spans="1:15" x14ac:dyDescent="0.25">
      <c r="A22591" t="s">
        <v>22604</v>
      </c>
      <c r="B22591">
        <v>100</v>
      </c>
      <c r="C22591" s="1" t="str">
        <f>HYPERLINK("http://www.rosaceae.org/gb/gbrowse/malus_x_domestica/?name=MDP0000258767","MDP0000258767")</f>
        <v>MDP0000258767</v>
      </c>
      <c r="D22591">
        <v>83.01</v>
      </c>
      <c r="E22591">
        <v>53</v>
      </c>
      <c r="F22591">
        <v>9</v>
      </c>
      <c r="G22591">
        <v>6</v>
      </c>
      <c r="H22591">
        <v>15</v>
      </c>
      <c r="I22591">
        <v>67</v>
      </c>
      <c r="J22591">
        <v>1</v>
      </c>
      <c r="K22591">
        <v>173</v>
      </c>
      <c r="L22591">
        <v>219</v>
      </c>
      <c r="M22591">
        <v>1</v>
      </c>
      <c r="N22591">
        <v>2.9221199999999999E-19</v>
      </c>
      <c r="O22591">
        <v>224</v>
      </c>
    </row>
    <row r="22592" spans="1:15" x14ac:dyDescent="0.25">
      <c r="A22592" t="s">
        <v>22605</v>
      </c>
      <c r="B22592">
        <v>413</v>
      </c>
      <c r="C22592" s="1" t="str">
        <f>HYPERLINK("http://www.rosaceae.org/gb/gbrowse/malus_x_domestica/?name=MDP0000243738","MDP0000243738")</f>
        <v>MDP0000243738</v>
      </c>
      <c r="D22592">
        <v>81.52</v>
      </c>
      <c r="E22592">
        <v>341</v>
      </c>
      <c r="F22592">
        <v>63</v>
      </c>
      <c r="G22592">
        <v>9</v>
      </c>
      <c r="H22592">
        <v>82</v>
      </c>
      <c r="I22592">
        <v>413</v>
      </c>
      <c r="J22592">
        <v>1</v>
      </c>
      <c r="K22592">
        <v>109</v>
      </c>
      <c r="L22592">
        <v>449</v>
      </c>
      <c r="M22592">
        <v>1</v>
      </c>
      <c r="N22592">
        <v>9.5038499999999999E-159</v>
      </c>
      <c r="O22592">
        <v>1435</v>
      </c>
    </row>
    <row r="22593" spans="1:15" x14ac:dyDescent="0.25">
      <c r="A22593" t="s">
        <v>22606</v>
      </c>
      <c r="B22593">
        <v>86</v>
      </c>
      <c r="C22593" s="1" t="str">
        <f>HYPERLINK("http://www.rosaceae.org/gb/gbrowse/malus_x_domestica/?name=MDP0000319777","MDP0000319777")</f>
        <v>MDP0000319777</v>
      </c>
      <c r="D22593">
        <v>76.739999999999995</v>
      </c>
      <c r="E22593">
        <v>86</v>
      </c>
      <c r="F22593">
        <v>20</v>
      </c>
      <c r="G22593">
        <v>6</v>
      </c>
      <c r="H22593">
        <v>1</v>
      </c>
      <c r="I22593">
        <v>86</v>
      </c>
      <c r="J22593">
        <v>1</v>
      </c>
      <c r="K22593">
        <v>36</v>
      </c>
      <c r="L22593">
        <v>115</v>
      </c>
      <c r="M22593">
        <v>1</v>
      </c>
      <c r="N22593">
        <v>1.07454E-35</v>
      </c>
      <c r="O22593">
        <v>365</v>
      </c>
    </row>
    <row r="22594" spans="1:15" x14ac:dyDescent="0.25">
      <c r="A22594" t="s">
        <v>22607</v>
      </c>
      <c r="B22594">
        <v>337</v>
      </c>
      <c r="C22594" s="1" t="str">
        <f>HYPERLINK("http://www.rosaceae.org/gb/gbrowse/malus_x_domestica/?name=MDP0000305085","MDP0000305085")</f>
        <v>MDP0000305085</v>
      </c>
      <c r="D22594">
        <v>37.03</v>
      </c>
      <c r="E22594">
        <v>162</v>
      </c>
      <c r="F22594">
        <v>102</v>
      </c>
      <c r="G22594">
        <v>0</v>
      </c>
      <c r="H22594">
        <v>143</v>
      </c>
      <c r="I22594">
        <v>304</v>
      </c>
      <c r="J22594">
        <v>1</v>
      </c>
      <c r="K22594">
        <v>106</v>
      </c>
      <c r="L22594">
        <v>267</v>
      </c>
      <c r="M22594">
        <v>1</v>
      </c>
      <c r="N22594">
        <v>1.82848E-26</v>
      </c>
      <c r="O22594">
        <v>293</v>
      </c>
    </row>
    <row r="22595" spans="1:15" x14ac:dyDescent="0.25">
      <c r="A22595" t="s">
        <v>22608</v>
      </c>
      <c r="B22595">
        <v>291</v>
      </c>
      <c r="C22595" s="1" t="str">
        <f>HYPERLINK("http://www.rosaceae.org/gb/gbrowse/malus_x_domestica/?name=MDP0000137105","MDP0000137105")</f>
        <v>MDP0000137105</v>
      </c>
      <c r="D22595">
        <v>53</v>
      </c>
      <c r="E22595">
        <v>283</v>
      </c>
      <c r="F22595">
        <v>133</v>
      </c>
      <c r="G22595">
        <v>11</v>
      </c>
      <c r="H22595">
        <v>1</v>
      </c>
      <c r="I22595">
        <v>283</v>
      </c>
      <c r="J22595">
        <v>1</v>
      </c>
      <c r="K22595">
        <v>1</v>
      </c>
      <c r="L22595">
        <v>272</v>
      </c>
      <c r="M22595">
        <v>1</v>
      </c>
      <c r="N22595">
        <v>6.7719099999999999E-78</v>
      </c>
      <c r="O22595">
        <v>736</v>
      </c>
    </row>
    <row r="22596" spans="1:15" x14ac:dyDescent="0.25">
      <c r="A22596" t="s">
        <v>22609</v>
      </c>
      <c r="B22596">
        <v>439</v>
      </c>
      <c r="C22596" s="1" t="str">
        <f>HYPERLINK("http://www.rosaceae.org/gb/gbrowse/malus_x_domestica/?name=MDP0000163774","MDP0000163774")</f>
        <v>MDP0000163774</v>
      </c>
      <c r="D22596">
        <v>30.82</v>
      </c>
      <c r="E22596">
        <v>146</v>
      </c>
      <c r="F22596">
        <v>101</v>
      </c>
      <c r="G22596">
        <v>27</v>
      </c>
      <c r="H22596">
        <v>317</v>
      </c>
      <c r="I22596">
        <v>435</v>
      </c>
      <c r="J22596">
        <v>1</v>
      </c>
      <c r="K22596">
        <v>244</v>
      </c>
      <c r="L22596">
        <v>389</v>
      </c>
      <c r="M22596">
        <v>1</v>
      </c>
      <c r="N22596">
        <v>9.1147399999999997E-8</v>
      </c>
      <c r="O22596">
        <v>133</v>
      </c>
    </row>
    <row r="22597" spans="1:15" x14ac:dyDescent="0.25">
      <c r="A22597" t="s">
        <v>22610</v>
      </c>
      <c r="B22597">
        <v>333</v>
      </c>
      <c r="C22597" s="1" t="str">
        <f>HYPERLINK("http://www.rosaceae.org/gb/gbrowse/malus_x_domestica/?name=MDP0000239791","MDP0000239791")</f>
        <v>MDP0000239791</v>
      </c>
      <c r="D22597">
        <v>57.02</v>
      </c>
      <c r="E22597">
        <v>363</v>
      </c>
      <c r="F22597">
        <v>156</v>
      </c>
      <c r="G22597">
        <v>63</v>
      </c>
      <c r="H22597">
        <v>1</v>
      </c>
      <c r="I22597">
        <v>333</v>
      </c>
      <c r="J22597">
        <v>1</v>
      </c>
      <c r="K22597">
        <v>1</v>
      </c>
      <c r="L22597">
        <v>330</v>
      </c>
      <c r="M22597">
        <v>1</v>
      </c>
      <c r="N22597">
        <v>1.11065E-103</v>
      </c>
      <c r="O22597">
        <v>959</v>
      </c>
    </row>
    <row r="22598" spans="1:15" x14ac:dyDescent="0.25">
      <c r="A22598" t="s">
        <v>22611</v>
      </c>
      <c r="B22598">
        <v>667</v>
      </c>
      <c r="C22598" s="1" t="str">
        <f>HYPERLINK("http://www.rosaceae.org/gb/gbrowse/malus_x_domestica/?name=MDP0000841642","MDP0000841642")</f>
        <v>MDP0000841642</v>
      </c>
      <c r="D22598">
        <v>65</v>
      </c>
      <c r="E22598">
        <v>703</v>
      </c>
      <c r="F22598">
        <v>246</v>
      </c>
      <c r="G22598">
        <v>42</v>
      </c>
      <c r="H22598">
        <v>1</v>
      </c>
      <c r="I22598">
        <v>667</v>
      </c>
      <c r="J22598">
        <v>1</v>
      </c>
      <c r="K22598">
        <v>1</v>
      </c>
      <c r="L22598">
        <v>697</v>
      </c>
      <c r="M22598">
        <v>1</v>
      </c>
      <c r="N22598">
        <v>0</v>
      </c>
      <c r="O22598">
        <v>2215</v>
      </c>
    </row>
    <row r="22599" spans="1:15" x14ac:dyDescent="0.25">
      <c r="A22599" t="s">
        <v>22612</v>
      </c>
      <c r="B22599">
        <v>788</v>
      </c>
      <c r="C22599" s="1" t="str">
        <f>HYPERLINK("http://www.rosaceae.org/gb/gbrowse/malus_x_domestica/?name=MDP0000516911","MDP0000516911")</f>
        <v>MDP0000516911</v>
      </c>
      <c r="D22599">
        <v>69.25</v>
      </c>
      <c r="E22599">
        <v>797</v>
      </c>
      <c r="F22599">
        <v>245</v>
      </c>
      <c r="G22599">
        <v>15</v>
      </c>
      <c r="H22599">
        <v>1</v>
      </c>
      <c r="I22599">
        <v>787</v>
      </c>
      <c r="J22599">
        <v>1</v>
      </c>
      <c r="K22599">
        <v>1</v>
      </c>
      <c r="L22599">
        <v>792</v>
      </c>
      <c r="M22599">
        <v>1</v>
      </c>
      <c r="N22599">
        <v>0</v>
      </c>
      <c r="O22599">
        <v>2922</v>
      </c>
    </row>
    <row r="22600" spans="1:15" x14ac:dyDescent="0.25">
      <c r="A22600" t="s">
        <v>22613</v>
      </c>
      <c r="B22600">
        <v>152</v>
      </c>
      <c r="C22600" s="1" t="str">
        <f>HYPERLINK("http://www.rosaceae.org/gb/gbrowse/malus_x_domestica/?name=MDP0000294557","MDP0000294557")</f>
        <v>MDP0000294557</v>
      </c>
      <c r="D22600">
        <v>73.099999999999994</v>
      </c>
      <c r="E22600">
        <v>145</v>
      </c>
      <c r="F22600">
        <v>39</v>
      </c>
      <c r="G22600">
        <v>0</v>
      </c>
      <c r="H22600">
        <v>3</v>
      </c>
      <c r="I22600">
        <v>147</v>
      </c>
      <c r="J22600">
        <v>1</v>
      </c>
      <c r="K22600">
        <v>5</v>
      </c>
      <c r="L22600">
        <v>149</v>
      </c>
      <c r="M22600">
        <v>1</v>
      </c>
      <c r="N22600">
        <v>2.3605099999999999E-58</v>
      </c>
      <c r="O22600">
        <v>563</v>
      </c>
    </row>
    <row r="22601" spans="1:15" x14ac:dyDescent="0.25">
      <c r="A22601" t="s">
        <v>22614</v>
      </c>
      <c r="B22601">
        <v>843</v>
      </c>
      <c r="C22601" s="1" t="str">
        <f>HYPERLINK("http://www.rosaceae.org/gb/gbrowse/malus_x_domestica/?name=MDP0000253525","MDP0000253525")</f>
        <v>MDP0000253525</v>
      </c>
      <c r="D22601">
        <v>44.01</v>
      </c>
      <c r="E22601">
        <v>743</v>
      </c>
      <c r="F22601">
        <v>416</v>
      </c>
      <c r="G22601">
        <v>119</v>
      </c>
      <c r="H22601">
        <v>49</v>
      </c>
      <c r="I22601">
        <v>738</v>
      </c>
      <c r="J22601">
        <v>1</v>
      </c>
      <c r="K22601">
        <v>52</v>
      </c>
      <c r="L22601">
        <v>728</v>
      </c>
      <c r="M22601">
        <v>1</v>
      </c>
      <c r="N22601">
        <v>5.6903600000000003E-151</v>
      </c>
      <c r="O22601">
        <v>1371</v>
      </c>
    </row>
    <row r="22602" spans="1:15" x14ac:dyDescent="0.25">
      <c r="A22602" t="s">
        <v>22615</v>
      </c>
      <c r="B22602">
        <v>583</v>
      </c>
      <c r="C22602" s="1" t="str">
        <f>HYPERLINK("http://www.rosaceae.org/gb/gbrowse/malus_x_domestica/?name=MDP0000317117","MDP0000317117")</f>
        <v>MDP0000317117</v>
      </c>
      <c r="D22602">
        <v>50.78</v>
      </c>
      <c r="E22602">
        <v>508</v>
      </c>
      <c r="F22602">
        <v>250</v>
      </c>
      <c r="G22602">
        <v>62</v>
      </c>
      <c r="H22602">
        <v>105</v>
      </c>
      <c r="I22602">
        <v>581</v>
      </c>
      <c r="J22602">
        <v>1</v>
      </c>
      <c r="K22602">
        <v>121</v>
      </c>
      <c r="L22602">
        <v>597</v>
      </c>
      <c r="M22602">
        <v>1</v>
      </c>
      <c r="N22602">
        <v>6.0002900000000003E-125</v>
      </c>
      <c r="O22602">
        <v>1145</v>
      </c>
    </row>
    <row r="22603" spans="1:15" x14ac:dyDescent="0.25">
      <c r="A22603" t="s">
        <v>22616</v>
      </c>
      <c r="B22603">
        <v>318</v>
      </c>
      <c r="C22603" s="1" t="str">
        <f>HYPERLINK("http://www.rosaceae.org/gb/gbrowse/malus_x_domestica/?name=MDP0000243650","MDP0000243650")</f>
        <v>MDP0000243650</v>
      </c>
      <c r="D22603">
        <v>77.69</v>
      </c>
      <c r="E22603">
        <v>260</v>
      </c>
      <c r="F22603">
        <v>58</v>
      </c>
      <c r="G22603">
        <v>0</v>
      </c>
      <c r="H22603">
        <v>14</v>
      </c>
      <c r="I22603">
        <v>273</v>
      </c>
      <c r="J22603">
        <v>1</v>
      </c>
      <c r="K22603">
        <v>15</v>
      </c>
      <c r="L22603">
        <v>274</v>
      </c>
      <c r="M22603">
        <v>1</v>
      </c>
      <c r="N22603">
        <v>1.0186900000000001E-110</v>
      </c>
      <c r="O22603">
        <v>1019</v>
      </c>
    </row>
    <row r="22604" spans="1:15" x14ac:dyDescent="0.25">
      <c r="A22604" t="s">
        <v>22617</v>
      </c>
      <c r="B22604">
        <v>557</v>
      </c>
      <c r="C22604" s="1" t="str">
        <f>HYPERLINK("http://www.rosaceae.org/gb/gbrowse/malus_x_domestica/?name=MDP0000315711","MDP0000315711")</f>
        <v>MDP0000315711</v>
      </c>
      <c r="D22604">
        <v>77.53</v>
      </c>
      <c r="E22604">
        <v>325</v>
      </c>
      <c r="F22604">
        <v>73</v>
      </c>
      <c r="G22604">
        <v>2</v>
      </c>
      <c r="H22604">
        <v>1</v>
      </c>
      <c r="I22604">
        <v>323</v>
      </c>
      <c r="J22604">
        <v>1</v>
      </c>
      <c r="K22604">
        <v>138</v>
      </c>
      <c r="L22604">
        <v>462</v>
      </c>
      <c r="M22604">
        <v>1</v>
      </c>
      <c r="N22604">
        <v>8.8425799999999995E-147</v>
      </c>
      <c r="O22604">
        <v>1333</v>
      </c>
    </row>
    <row r="22605" spans="1:15" x14ac:dyDescent="0.25">
      <c r="A22605" t="s">
        <v>22618</v>
      </c>
      <c r="B22605">
        <v>306</v>
      </c>
      <c r="C22605" s="1" t="str">
        <f>HYPERLINK("http://www.rosaceae.org/gb/gbrowse/malus_x_domestica/?name=MDP0000202145","MDP0000202145")</f>
        <v>MDP0000202145</v>
      </c>
      <c r="D22605">
        <v>34.090000000000003</v>
      </c>
      <c r="E22605">
        <v>132</v>
      </c>
      <c r="F22605">
        <v>87</v>
      </c>
      <c r="G22605">
        <v>21</v>
      </c>
      <c r="H22605">
        <v>115</v>
      </c>
      <c r="I22605">
        <v>225</v>
      </c>
      <c r="J22605">
        <v>1</v>
      </c>
      <c r="K22605">
        <v>143</v>
      </c>
      <c r="L22605">
        <v>274</v>
      </c>
      <c r="M22605">
        <v>1</v>
      </c>
      <c r="N22605">
        <v>1.7163199999999999E-12</v>
      </c>
      <c r="O22605">
        <v>172</v>
      </c>
    </row>
    <row r="22606" spans="1:15" x14ac:dyDescent="0.25">
      <c r="A22606" t="s">
        <v>22619</v>
      </c>
      <c r="B22606">
        <v>261</v>
      </c>
      <c r="C22606" s="1" t="str">
        <f>HYPERLINK("http://www.rosaceae.org/gb/gbrowse/malus_x_domestica/?name=MDP0000176924","MDP0000176924")</f>
        <v>MDP0000176924</v>
      </c>
      <c r="D22606">
        <v>75.19</v>
      </c>
      <c r="E22606">
        <v>258</v>
      </c>
      <c r="F22606">
        <v>64</v>
      </c>
      <c r="G22606">
        <v>7</v>
      </c>
      <c r="H22606">
        <v>6</v>
      </c>
      <c r="I22606">
        <v>261</v>
      </c>
      <c r="J22606">
        <v>1</v>
      </c>
      <c r="K22606">
        <v>61</v>
      </c>
      <c r="L22606">
        <v>313</v>
      </c>
      <c r="M22606">
        <v>1</v>
      </c>
      <c r="N22606">
        <v>6.8149499999999998E-101</v>
      </c>
      <c r="O22606">
        <v>933</v>
      </c>
    </row>
    <row r="22607" spans="1:15" x14ac:dyDescent="0.25">
      <c r="A22607" t="s">
        <v>22620</v>
      </c>
      <c r="B22607">
        <v>472</v>
      </c>
      <c r="C22607" s="1" t="str">
        <f>HYPERLINK("http://www.rosaceae.org/gb/gbrowse/malus_x_domestica/?name=MDP0000219010","MDP0000219010")</f>
        <v>MDP0000219010</v>
      </c>
      <c r="D22607">
        <v>97.09</v>
      </c>
      <c r="E22607">
        <v>447</v>
      </c>
      <c r="F22607">
        <v>13</v>
      </c>
      <c r="G22607">
        <v>0</v>
      </c>
      <c r="H22607">
        <v>26</v>
      </c>
      <c r="I22607">
        <v>472</v>
      </c>
      <c r="J22607">
        <v>1</v>
      </c>
      <c r="K22607">
        <v>1</v>
      </c>
      <c r="L22607">
        <v>447</v>
      </c>
      <c r="M22607">
        <v>1</v>
      </c>
      <c r="N22607">
        <v>0</v>
      </c>
      <c r="O22607">
        <v>2335</v>
      </c>
    </row>
    <row r="22608" spans="1:15" x14ac:dyDescent="0.25">
      <c r="A22608" t="s">
        <v>22621</v>
      </c>
      <c r="B22608">
        <v>113</v>
      </c>
      <c r="C22608" s="1" t="str">
        <f>HYPERLINK("http://www.rosaceae.org/gb/gbrowse/malus_x_domestica/?name=MDP0000164131","MDP0000164131")</f>
        <v>MDP0000164131</v>
      </c>
      <c r="D22608">
        <v>57.6</v>
      </c>
      <c r="E22608">
        <v>92</v>
      </c>
      <c r="F22608">
        <v>39</v>
      </c>
      <c r="G22608">
        <v>0</v>
      </c>
      <c r="H22608">
        <v>22</v>
      </c>
      <c r="I22608">
        <v>113</v>
      </c>
      <c r="J22608">
        <v>1</v>
      </c>
      <c r="K22608">
        <v>79</v>
      </c>
      <c r="L22608">
        <v>170</v>
      </c>
      <c r="M22608">
        <v>1</v>
      </c>
      <c r="N22608">
        <v>6.7134000000000001E-27</v>
      </c>
      <c r="O22608">
        <v>289</v>
      </c>
    </row>
    <row r="22609" spans="1:15" x14ac:dyDescent="0.25">
      <c r="A22609" t="s">
        <v>22622</v>
      </c>
      <c r="B22609">
        <v>817</v>
      </c>
      <c r="C22609" s="1" t="str">
        <f>HYPERLINK("http://www.rosaceae.org/gb/gbrowse/malus_x_domestica/?name=MDP0000162375","MDP0000162375")</f>
        <v>MDP0000162375</v>
      </c>
      <c r="D22609">
        <v>60.41</v>
      </c>
      <c r="E22609">
        <v>816</v>
      </c>
      <c r="F22609">
        <v>323</v>
      </c>
      <c r="G22609">
        <v>13</v>
      </c>
      <c r="H22609">
        <v>1</v>
      </c>
      <c r="I22609">
        <v>814</v>
      </c>
      <c r="J22609">
        <v>1</v>
      </c>
      <c r="K22609">
        <v>1</v>
      </c>
      <c r="L22609">
        <v>805</v>
      </c>
      <c r="M22609">
        <v>1</v>
      </c>
      <c r="N22609">
        <v>0</v>
      </c>
      <c r="O22609">
        <v>2514</v>
      </c>
    </row>
    <row r="22610" spans="1:15" x14ac:dyDescent="0.25">
      <c r="A22610" t="s">
        <v>22623</v>
      </c>
      <c r="B22610">
        <v>162</v>
      </c>
      <c r="C22610" s="1" t="str">
        <f>HYPERLINK("http://www.rosaceae.org/gb/gbrowse/malus_x_domestica/?name=MDP0000263391","MDP0000263391")</f>
        <v>MDP0000263391</v>
      </c>
      <c r="D22610">
        <v>47.61</v>
      </c>
      <c r="E22610">
        <v>84</v>
      </c>
      <c r="F22610">
        <v>44</v>
      </c>
      <c r="G22610">
        <v>6</v>
      </c>
      <c r="H22610">
        <v>69</v>
      </c>
      <c r="I22610">
        <v>151</v>
      </c>
      <c r="J22610">
        <v>1</v>
      </c>
      <c r="K22610">
        <v>32</v>
      </c>
      <c r="L22610">
        <v>110</v>
      </c>
      <c r="M22610">
        <v>1</v>
      </c>
      <c r="N22610">
        <v>9.6950199999999991E-16</v>
      </c>
      <c r="O22610">
        <v>196</v>
      </c>
    </row>
    <row r="22611" spans="1:15" x14ac:dyDescent="0.25">
      <c r="A22611" t="s">
        <v>22624</v>
      </c>
      <c r="B22611">
        <v>440</v>
      </c>
      <c r="C22611" s="1" t="str">
        <f>HYPERLINK("http://www.rosaceae.org/gb/gbrowse/malus_x_domestica/?name=MDP0000196032","MDP0000196032")</f>
        <v>MDP0000196032</v>
      </c>
      <c r="D22611">
        <v>65.06</v>
      </c>
      <c r="E22611">
        <v>146</v>
      </c>
      <c r="F22611">
        <v>51</v>
      </c>
      <c r="G22611">
        <v>3</v>
      </c>
      <c r="H22611">
        <v>60</v>
      </c>
      <c r="I22611">
        <v>205</v>
      </c>
      <c r="J22611">
        <v>1</v>
      </c>
      <c r="K22611">
        <v>34</v>
      </c>
      <c r="L22611">
        <v>176</v>
      </c>
      <c r="M22611">
        <v>1</v>
      </c>
      <c r="N22611">
        <v>1.65994E-56</v>
      </c>
      <c r="O22611">
        <v>553</v>
      </c>
    </row>
    <row r="22612" spans="1:15" x14ac:dyDescent="0.25">
      <c r="A22612" t="s">
        <v>22625</v>
      </c>
      <c r="B22612">
        <v>762</v>
      </c>
      <c r="C22612" s="1" t="str">
        <f>HYPERLINK("http://www.rosaceae.org/gb/gbrowse/malus_x_domestica/?name=MDP0000167949","MDP0000167949")</f>
        <v>MDP0000167949</v>
      </c>
      <c r="D22612">
        <v>61.68</v>
      </c>
      <c r="E22612">
        <v>308</v>
      </c>
      <c r="F22612">
        <v>118</v>
      </c>
      <c r="G22612">
        <v>12</v>
      </c>
      <c r="H22612">
        <v>455</v>
      </c>
      <c r="I22612">
        <v>762</v>
      </c>
      <c r="J22612">
        <v>1</v>
      </c>
      <c r="K22612">
        <v>583</v>
      </c>
      <c r="L22612">
        <v>878</v>
      </c>
      <c r="M22612">
        <v>1</v>
      </c>
      <c r="N22612">
        <v>1.0133800000000001E-104</v>
      </c>
      <c r="O22612">
        <v>971</v>
      </c>
    </row>
    <row r="22613" spans="1:15" x14ac:dyDescent="0.25">
      <c r="A22613" t="s">
        <v>22626</v>
      </c>
      <c r="B22613">
        <v>383</v>
      </c>
      <c r="C22613" s="1" t="str">
        <f>HYPERLINK("http://www.rosaceae.org/gb/gbrowse/malus_x_domestica/?name=MDP0000285103","MDP0000285103")</f>
        <v>MDP0000285103</v>
      </c>
      <c r="D22613">
        <v>39.1</v>
      </c>
      <c r="E22613">
        <v>381</v>
      </c>
      <c r="F22613">
        <v>232</v>
      </c>
      <c r="G22613">
        <v>66</v>
      </c>
      <c r="H22613">
        <v>13</v>
      </c>
      <c r="I22613">
        <v>350</v>
      </c>
      <c r="J22613">
        <v>1</v>
      </c>
      <c r="K22613">
        <v>12</v>
      </c>
      <c r="L22613">
        <v>369</v>
      </c>
      <c r="M22613">
        <v>1</v>
      </c>
      <c r="N22613">
        <v>7.27874E-59</v>
      </c>
      <c r="O22613">
        <v>573</v>
      </c>
    </row>
    <row r="22614" spans="1:15" x14ac:dyDescent="0.25">
      <c r="A22614" t="s">
        <v>22627</v>
      </c>
      <c r="B22614">
        <v>385</v>
      </c>
      <c r="C22614" s="1" t="str">
        <f>HYPERLINK("http://www.rosaceae.org/gb/gbrowse/malus_x_domestica/?name=MDP0000264579","MDP0000264579")</f>
        <v>MDP0000264579</v>
      </c>
      <c r="D22614">
        <v>58.41</v>
      </c>
      <c r="E22614">
        <v>101</v>
      </c>
      <c r="F22614">
        <v>42</v>
      </c>
      <c r="G22614">
        <v>4</v>
      </c>
      <c r="H22614">
        <v>157</v>
      </c>
      <c r="I22614">
        <v>257</v>
      </c>
      <c r="J22614">
        <v>1</v>
      </c>
      <c r="K22614">
        <v>213</v>
      </c>
      <c r="L22614">
        <v>309</v>
      </c>
      <c r="M22614">
        <v>1</v>
      </c>
      <c r="N22614">
        <v>1.0599E-24</v>
      </c>
      <c r="O22614">
        <v>278</v>
      </c>
    </row>
    <row r="22615" spans="1:15" x14ac:dyDescent="0.25">
      <c r="A22615" t="s">
        <v>22628</v>
      </c>
      <c r="B22615">
        <v>164</v>
      </c>
      <c r="C22615" s="1" t="str">
        <f>HYPERLINK("http://www.rosaceae.org/gb/gbrowse/malus_x_domestica/?name=MDP0000155303","MDP0000155303")</f>
        <v>MDP0000155303</v>
      </c>
      <c r="D22615">
        <v>75.69</v>
      </c>
      <c r="E22615">
        <v>144</v>
      </c>
      <c r="F22615">
        <v>35</v>
      </c>
      <c r="G22615">
        <v>7</v>
      </c>
      <c r="H22615">
        <v>28</v>
      </c>
      <c r="I22615">
        <v>164</v>
      </c>
      <c r="J22615">
        <v>1</v>
      </c>
      <c r="K22615">
        <v>24</v>
      </c>
      <c r="L22615">
        <v>167</v>
      </c>
      <c r="M22615">
        <v>1</v>
      </c>
      <c r="N22615">
        <v>3.9709999999999999E-54</v>
      </c>
      <c r="O22615">
        <v>527</v>
      </c>
    </row>
    <row r="22616" spans="1:15" x14ac:dyDescent="0.25">
      <c r="A22616" t="s">
        <v>22629</v>
      </c>
      <c r="B22616">
        <v>519</v>
      </c>
      <c r="C22616" s="1" t="str">
        <f>HYPERLINK("http://www.rosaceae.org/gb/gbrowse/malus_x_domestica/?name=MDP0000448747","MDP0000448747")</f>
        <v>MDP0000448747</v>
      </c>
      <c r="D22616">
        <v>64.06</v>
      </c>
      <c r="E22616">
        <v>384</v>
      </c>
      <c r="F22616">
        <v>138</v>
      </c>
      <c r="G22616">
        <v>20</v>
      </c>
      <c r="H22616">
        <v>117</v>
      </c>
      <c r="I22616">
        <v>499</v>
      </c>
      <c r="J22616">
        <v>1</v>
      </c>
      <c r="K22616">
        <v>78</v>
      </c>
      <c r="L22616">
        <v>442</v>
      </c>
      <c r="M22616">
        <v>1</v>
      </c>
      <c r="N22616">
        <v>3.6083400000000001E-134</v>
      </c>
      <c r="O22616">
        <v>1224</v>
      </c>
    </row>
    <row r="22617" spans="1:15" x14ac:dyDescent="0.25">
      <c r="A22617" t="s">
        <v>22630</v>
      </c>
      <c r="B22617">
        <v>327</v>
      </c>
      <c r="C22617" s="1" t="str">
        <f>HYPERLINK("http://www.rosaceae.org/gb/gbrowse/malus_x_domestica/?name=MDP0000250951","MDP0000250951")</f>
        <v>MDP0000250951</v>
      </c>
      <c r="D22617">
        <v>43.65</v>
      </c>
      <c r="E22617">
        <v>126</v>
      </c>
      <c r="F22617">
        <v>71</v>
      </c>
      <c r="G22617">
        <v>4</v>
      </c>
      <c r="H22617">
        <v>5</v>
      </c>
      <c r="I22617">
        <v>128</v>
      </c>
      <c r="J22617">
        <v>1</v>
      </c>
      <c r="K22617">
        <v>156</v>
      </c>
      <c r="L22617">
        <v>279</v>
      </c>
      <c r="M22617">
        <v>1</v>
      </c>
      <c r="N22617">
        <v>3.9415499999999998E-17</v>
      </c>
      <c r="O22617">
        <v>212</v>
      </c>
    </row>
    <row r="22618" spans="1:15" x14ac:dyDescent="0.25">
      <c r="A22618" t="s">
        <v>22631</v>
      </c>
      <c r="B22618">
        <v>679</v>
      </c>
      <c r="C22618" s="1" t="str">
        <f>HYPERLINK("http://www.rosaceae.org/gb/gbrowse/malus_x_domestica/?name=MDP0000217973","MDP0000217973")</f>
        <v>MDP0000217973</v>
      </c>
      <c r="D22618">
        <v>62.27</v>
      </c>
      <c r="E22618">
        <v>546</v>
      </c>
      <c r="F22618">
        <v>206</v>
      </c>
      <c r="G22618">
        <v>31</v>
      </c>
      <c r="H22618">
        <v>22</v>
      </c>
      <c r="I22618">
        <v>540</v>
      </c>
      <c r="J22618">
        <v>1</v>
      </c>
      <c r="K22618">
        <v>1</v>
      </c>
      <c r="L22618">
        <v>542</v>
      </c>
      <c r="M22618">
        <v>1</v>
      </c>
      <c r="N22618">
        <v>1.39019E-174</v>
      </c>
      <c r="O22618">
        <v>1573</v>
      </c>
    </row>
    <row r="22619" spans="1:15" x14ac:dyDescent="0.25">
      <c r="A22619" t="s">
        <v>22632</v>
      </c>
      <c r="B22619">
        <v>96</v>
      </c>
      <c r="C22619" s="1" t="str">
        <f>HYPERLINK("http://www.rosaceae.org/gb/gbrowse/malus_x_domestica/?name=MDP0000757192","MDP0000757192")</f>
        <v>MDP0000757192</v>
      </c>
      <c r="D22619">
        <v>53.98</v>
      </c>
      <c r="E22619">
        <v>113</v>
      </c>
      <c r="F22619">
        <v>52</v>
      </c>
      <c r="G22619">
        <v>17</v>
      </c>
      <c r="H22619">
        <v>1</v>
      </c>
      <c r="I22619">
        <v>96</v>
      </c>
      <c r="J22619">
        <v>1</v>
      </c>
      <c r="K22619">
        <v>30</v>
      </c>
      <c r="L22619">
        <v>142</v>
      </c>
      <c r="M22619">
        <v>1</v>
      </c>
      <c r="N22619">
        <v>8.5098900000000005E-23</v>
      </c>
      <c r="O22619">
        <v>254</v>
      </c>
    </row>
    <row r="22620" spans="1:15" x14ac:dyDescent="0.25">
      <c r="A22620" t="s">
        <v>22633</v>
      </c>
      <c r="B22620">
        <v>193</v>
      </c>
      <c r="C22620" s="1" t="str">
        <f>HYPERLINK("http://www.rosaceae.org/gb/gbrowse/malus_x_domestica/?name=MDP0000303240","MDP0000303240")</f>
        <v>MDP0000303240</v>
      </c>
      <c r="D22620">
        <v>51.65</v>
      </c>
      <c r="E22620">
        <v>242</v>
      </c>
      <c r="F22620">
        <v>117</v>
      </c>
      <c r="G22620">
        <v>73</v>
      </c>
      <c r="H22620">
        <v>1</v>
      </c>
      <c r="I22620">
        <v>170</v>
      </c>
      <c r="J22620">
        <v>1</v>
      </c>
      <c r="K22620">
        <v>287</v>
      </c>
      <c r="L22620">
        <v>527</v>
      </c>
      <c r="M22620">
        <v>1</v>
      </c>
      <c r="N22620">
        <v>2.4495700000000001E-57</v>
      </c>
      <c r="O22620">
        <v>556</v>
      </c>
    </row>
    <row r="22621" spans="1:15" x14ac:dyDescent="0.25">
      <c r="A22621" t="s">
        <v>22634</v>
      </c>
      <c r="B22621">
        <v>250</v>
      </c>
      <c r="C22621" s="1" t="str">
        <f>HYPERLINK("http://www.rosaceae.org/gb/gbrowse/malus_x_domestica/?name=MDP0000645274","MDP0000645274")</f>
        <v>MDP0000645274</v>
      </c>
      <c r="D22621">
        <v>86.4</v>
      </c>
      <c r="E22621">
        <v>250</v>
      </c>
      <c r="F22621">
        <v>34</v>
      </c>
      <c r="G22621">
        <v>0</v>
      </c>
      <c r="H22621">
        <v>1</v>
      </c>
      <c r="I22621">
        <v>250</v>
      </c>
      <c r="J22621">
        <v>1</v>
      </c>
      <c r="K22621">
        <v>1</v>
      </c>
      <c r="L22621">
        <v>250</v>
      </c>
      <c r="M22621">
        <v>1</v>
      </c>
      <c r="N22621">
        <v>4.2885999999999999E-129</v>
      </c>
      <c r="O22621">
        <v>1176</v>
      </c>
    </row>
    <row r="22622" spans="1:15" x14ac:dyDescent="0.25">
      <c r="A22622" t="s">
        <v>22635</v>
      </c>
      <c r="B22622">
        <v>617</v>
      </c>
      <c r="C22622" s="1" t="str">
        <f>HYPERLINK("http://www.rosaceae.org/gb/gbrowse/malus_x_domestica/?name=MDP0000184265","MDP0000184265")</f>
        <v>MDP0000184265</v>
      </c>
      <c r="D22622">
        <v>75.48</v>
      </c>
      <c r="E22622">
        <v>412</v>
      </c>
      <c r="F22622">
        <v>101</v>
      </c>
      <c r="G22622">
        <v>7</v>
      </c>
      <c r="H22622">
        <v>210</v>
      </c>
      <c r="I22622">
        <v>616</v>
      </c>
      <c r="J22622">
        <v>1</v>
      </c>
      <c r="K22622">
        <v>180</v>
      </c>
      <c r="L22622">
        <v>589</v>
      </c>
      <c r="M22622">
        <v>1</v>
      </c>
      <c r="N22622">
        <v>2.3294399999999999E-174</v>
      </c>
      <c r="O22622">
        <v>1571</v>
      </c>
    </row>
    <row r="22623" spans="1:15" x14ac:dyDescent="0.25">
      <c r="A22623" t="s">
        <v>22636</v>
      </c>
      <c r="B22623">
        <v>182</v>
      </c>
      <c r="C22623" s="1" t="str">
        <f>HYPERLINK("http://www.rosaceae.org/gb/gbrowse/malus_x_domestica/?name=MDP0000851291","MDP0000851291")</f>
        <v>MDP0000851291</v>
      </c>
      <c r="D22623">
        <v>86.88</v>
      </c>
      <c r="E22623">
        <v>183</v>
      </c>
      <c r="F22623">
        <v>24</v>
      </c>
      <c r="G22623">
        <v>1</v>
      </c>
      <c r="H22623">
        <v>1</v>
      </c>
      <c r="I22623">
        <v>182</v>
      </c>
      <c r="J22623">
        <v>1</v>
      </c>
      <c r="K22623">
        <v>5</v>
      </c>
      <c r="L22623">
        <v>187</v>
      </c>
      <c r="M22623">
        <v>1</v>
      </c>
      <c r="N22623">
        <v>2.0182199999999999E-95</v>
      </c>
      <c r="O22623">
        <v>884</v>
      </c>
    </row>
    <row r="22624" spans="1:15" x14ac:dyDescent="0.25">
      <c r="A22624" t="s">
        <v>22637</v>
      </c>
      <c r="B22624">
        <v>211</v>
      </c>
      <c r="C22624" s="1" t="str">
        <f>HYPERLINK("http://www.rosaceae.org/gb/gbrowse/malus_x_domestica/?name=MDP0000277508","MDP0000277508")</f>
        <v>MDP0000277508</v>
      </c>
      <c r="D22624">
        <v>56.96</v>
      </c>
      <c r="E22624">
        <v>79</v>
      </c>
      <c r="F22624">
        <v>34</v>
      </c>
      <c r="G22624">
        <v>4</v>
      </c>
      <c r="H22624">
        <v>35</v>
      </c>
      <c r="I22624">
        <v>109</v>
      </c>
      <c r="J22624">
        <v>1</v>
      </c>
      <c r="K22624">
        <v>44</v>
      </c>
      <c r="L22624">
        <v>122</v>
      </c>
      <c r="M22624">
        <v>1</v>
      </c>
      <c r="N22624">
        <v>4.4166399999999998E-18</v>
      </c>
      <c r="O22624">
        <v>218</v>
      </c>
    </row>
    <row r="22625" spans="1:15" x14ac:dyDescent="0.25">
      <c r="A22625" t="s">
        <v>22638</v>
      </c>
      <c r="B22625">
        <v>155</v>
      </c>
      <c r="C22625" s="1" t="str">
        <f>HYPERLINK("http://www.rosaceae.org/gb/gbrowse/malus_x_domestica/?name=MDP0000171695","MDP0000171695")</f>
        <v>MDP0000171695</v>
      </c>
      <c r="D22625">
        <v>55.78</v>
      </c>
      <c r="E22625">
        <v>147</v>
      </c>
      <c r="F22625">
        <v>65</v>
      </c>
      <c r="G22625">
        <v>1</v>
      </c>
      <c r="H22625">
        <v>1</v>
      </c>
      <c r="I22625">
        <v>147</v>
      </c>
      <c r="J22625">
        <v>1</v>
      </c>
      <c r="K22625">
        <v>1</v>
      </c>
      <c r="L22625">
        <v>146</v>
      </c>
      <c r="M22625">
        <v>1</v>
      </c>
      <c r="N22625">
        <v>1.1466700000000001E-34</v>
      </c>
      <c r="O22625">
        <v>359</v>
      </c>
    </row>
    <row r="22626" spans="1:15" x14ac:dyDescent="0.25">
      <c r="A22626" t="s">
        <v>22639</v>
      </c>
      <c r="B22626">
        <v>529</v>
      </c>
      <c r="C22626" s="1" t="str">
        <f>HYPERLINK("http://www.rosaceae.org/gb/gbrowse/malus_x_domestica/?name=MDP0000821124","MDP0000821124")</f>
        <v>MDP0000821124</v>
      </c>
      <c r="D22626">
        <v>75.14</v>
      </c>
      <c r="E22626">
        <v>531</v>
      </c>
      <c r="F22626">
        <v>132</v>
      </c>
      <c r="G22626">
        <v>9</v>
      </c>
      <c r="H22626">
        <v>1</v>
      </c>
      <c r="I22626">
        <v>529</v>
      </c>
      <c r="J22626">
        <v>1</v>
      </c>
      <c r="K22626">
        <v>4</v>
      </c>
      <c r="L22626">
        <v>527</v>
      </c>
      <c r="M22626">
        <v>1</v>
      </c>
      <c r="N22626">
        <v>0</v>
      </c>
      <c r="O22626">
        <v>2017</v>
      </c>
    </row>
    <row r="22627" spans="1:15" x14ac:dyDescent="0.25">
      <c r="A22627" t="s">
        <v>22640</v>
      </c>
      <c r="B22627">
        <v>394</v>
      </c>
      <c r="C22627" s="1" t="str">
        <f>HYPERLINK("http://www.rosaceae.org/gb/gbrowse/malus_x_domestica/?name=MDP0000492221","MDP0000492221")</f>
        <v>MDP0000492221</v>
      </c>
      <c r="D22627">
        <v>72.180000000000007</v>
      </c>
      <c r="E22627">
        <v>302</v>
      </c>
      <c r="F22627">
        <v>84</v>
      </c>
      <c r="G22627">
        <v>10</v>
      </c>
      <c r="H22627">
        <v>1</v>
      </c>
      <c r="I22627">
        <v>299</v>
      </c>
      <c r="J22627">
        <v>1</v>
      </c>
      <c r="K22627">
        <v>1</v>
      </c>
      <c r="L22627">
        <v>295</v>
      </c>
      <c r="M22627">
        <v>1</v>
      </c>
      <c r="N22627">
        <v>1.8033399999999999E-117</v>
      </c>
      <c r="O22627">
        <v>1078</v>
      </c>
    </row>
    <row r="22628" spans="1:15" x14ac:dyDescent="0.25">
      <c r="A22628" t="s">
        <v>22641</v>
      </c>
      <c r="B22628">
        <v>421</v>
      </c>
      <c r="C22628" s="1" t="str">
        <f>HYPERLINK("http://www.rosaceae.org/gb/gbrowse/malus_x_domestica/?name=MDP0000162834","MDP0000162834")</f>
        <v>MDP0000162834</v>
      </c>
      <c r="D22628">
        <v>72.099999999999994</v>
      </c>
      <c r="E22628">
        <v>423</v>
      </c>
      <c r="F22628">
        <v>118</v>
      </c>
      <c r="G22628">
        <v>8</v>
      </c>
      <c r="H22628">
        <v>1</v>
      </c>
      <c r="I22628">
        <v>420</v>
      </c>
      <c r="J22628">
        <v>1</v>
      </c>
      <c r="K22628">
        <v>1</v>
      </c>
      <c r="L22628">
        <v>418</v>
      </c>
      <c r="M22628">
        <v>1</v>
      </c>
      <c r="N22628">
        <v>2.36678E-179</v>
      </c>
      <c r="O22628">
        <v>1612</v>
      </c>
    </row>
    <row r="22629" spans="1:15" x14ac:dyDescent="0.25">
      <c r="A22629" t="s">
        <v>22642</v>
      </c>
      <c r="B22629">
        <v>507</v>
      </c>
      <c r="C22629" s="1" t="str">
        <f>HYPERLINK("http://www.rosaceae.org/gb/gbrowse/malus_x_domestica/?name=MDP0000253397","MDP0000253397")</f>
        <v>MDP0000253397</v>
      </c>
      <c r="D22629">
        <v>69.23</v>
      </c>
      <c r="E22629">
        <v>520</v>
      </c>
      <c r="F22629">
        <v>160</v>
      </c>
      <c r="G22629">
        <v>52</v>
      </c>
      <c r="H22629">
        <v>39</v>
      </c>
      <c r="I22629">
        <v>507</v>
      </c>
      <c r="J22629">
        <v>1</v>
      </c>
      <c r="K22629">
        <v>46</v>
      </c>
      <c r="L22629">
        <v>564</v>
      </c>
      <c r="M22629">
        <v>1</v>
      </c>
      <c r="N22629">
        <v>0</v>
      </c>
      <c r="O22629">
        <v>1657</v>
      </c>
    </row>
    <row r="22630" spans="1:15" x14ac:dyDescent="0.25">
      <c r="A22630" t="s">
        <v>22643</v>
      </c>
      <c r="B22630">
        <v>130</v>
      </c>
      <c r="C22630" s="1" t="str">
        <f>HYPERLINK("http://www.rosaceae.org/gb/gbrowse/malus_x_domestica/?name=MDP0000332618","MDP0000332618")</f>
        <v>MDP0000332618</v>
      </c>
      <c r="D22630">
        <v>91.48</v>
      </c>
      <c r="E22630">
        <v>94</v>
      </c>
      <c r="F22630">
        <v>8</v>
      </c>
      <c r="G22630">
        <v>0</v>
      </c>
      <c r="H22630">
        <v>1</v>
      </c>
      <c r="I22630">
        <v>94</v>
      </c>
      <c r="J22630">
        <v>1</v>
      </c>
      <c r="K22630">
        <v>171</v>
      </c>
      <c r="L22630">
        <v>264</v>
      </c>
      <c r="M22630">
        <v>1</v>
      </c>
      <c r="N22630">
        <v>3.3539999999999998E-47</v>
      </c>
      <c r="O22630">
        <v>465</v>
      </c>
    </row>
    <row r="22631" spans="1:15" x14ac:dyDescent="0.25">
      <c r="A22631" t="s">
        <v>22644</v>
      </c>
      <c r="B22631">
        <v>97</v>
      </c>
      <c r="C22631" s="1" t="str">
        <f>HYPERLINK("http://www.rosaceae.org/gb/gbrowse/malus_x_domestica/?name=MDP0000237910","MDP0000237910")</f>
        <v>MDP0000237910</v>
      </c>
      <c r="D22631">
        <v>78.260000000000005</v>
      </c>
      <c r="E22631">
        <v>69</v>
      </c>
      <c r="F22631">
        <v>15</v>
      </c>
      <c r="G22631">
        <v>0</v>
      </c>
      <c r="H22631">
        <v>1</v>
      </c>
      <c r="I22631">
        <v>69</v>
      </c>
      <c r="J22631">
        <v>1</v>
      </c>
      <c r="K22631">
        <v>1</v>
      </c>
      <c r="L22631">
        <v>69</v>
      </c>
      <c r="M22631">
        <v>1</v>
      </c>
      <c r="N22631">
        <v>6.4870000000000003E-27</v>
      </c>
      <c r="O22631">
        <v>289</v>
      </c>
    </row>
    <row r="22632" spans="1:15" x14ac:dyDescent="0.25">
      <c r="A22632" t="s">
        <v>22645</v>
      </c>
      <c r="B22632">
        <v>121</v>
      </c>
      <c r="C22632" s="1" t="str">
        <f>HYPERLINK("http://www.rosaceae.org/gb/gbrowse/malus_x_domestica/?name=MDP0000307717","MDP0000307717")</f>
        <v>MDP0000307717</v>
      </c>
      <c r="D22632">
        <v>70.900000000000006</v>
      </c>
      <c r="E22632">
        <v>110</v>
      </c>
      <c r="F22632">
        <v>32</v>
      </c>
      <c r="G22632">
        <v>0</v>
      </c>
      <c r="H22632">
        <v>7</v>
      </c>
      <c r="I22632">
        <v>116</v>
      </c>
      <c r="J22632">
        <v>1</v>
      </c>
      <c r="K22632">
        <v>2</v>
      </c>
      <c r="L22632">
        <v>111</v>
      </c>
      <c r="M22632">
        <v>1</v>
      </c>
      <c r="N22632">
        <v>1.3133499999999999E-36</v>
      </c>
      <c r="O22632">
        <v>373</v>
      </c>
    </row>
    <row r="22633" spans="1:15" x14ac:dyDescent="0.25">
      <c r="A22633" t="s">
        <v>22646</v>
      </c>
      <c r="B22633">
        <v>305</v>
      </c>
      <c r="C22633" s="1" t="str">
        <f>HYPERLINK("http://www.rosaceae.org/gb/gbrowse/malus_x_domestica/?name=MDP0000163205","MDP0000163205")</f>
        <v>MDP0000163205</v>
      </c>
      <c r="D22633">
        <v>76.27</v>
      </c>
      <c r="E22633">
        <v>295</v>
      </c>
      <c r="F22633">
        <v>70</v>
      </c>
      <c r="G22633">
        <v>0</v>
      </c>
      <c r="H22633">
        <v>1</v>
      </c>
      <c r="I22633">
        <v>295</v>
      </c>
      <c r="J22633">
        <v>1</v>
      </c>
      <c r="K22633">
        <v>1</v>
      </c>
      <c r="L22633">
        <v>295</v>
      </c>
      <c r="M22633">
        <v>1</v>
      </c>
      <c r="N22633">
        <v>3.21075E-137</v>
      </c>
      <c r="O22633">
        <v>1247</v>
      </c>
    </row>
    <row r="22634" spans="1:15" x14ac:dyDescent="0.25">
      <c r="A22634" t="s">
        <v>22647</v>
      </c>
      <c r="B22634">
        <v>223</v>
      </c>
      <c r="C22634" s="1" t="str">
        <f>HYPERLINK("http://www.rosaceae.org/gb/gbrowse/malus_x_domestica/?name=MDP0000217090","MDP0000217090")</f>
        <v>MDP0000217090</v>
      </c>
      <c r="D22634">
        <v>53</v>
      </c>
      <c r="E22634">
        <v>200</v>
      </c>
      <c r="F22634">
        <v>94</v>
      </c>
      <c r="G22634">
        <v>9</v>
      </c>
      <c r="H22634">
        <v>10</v>
      </c>
      <c r="I22634">
        <v>206</v>
      </c>
      <c r="J22634">
        <v>1</v>
      </c>
      <c r="K22634">
        <v>317</v>
      </c>
      <c r="L22634">
        <v>510</v>
      </c>
      <c r="M22634">
        <v>1</v>
      </c>
      <c r="N22634">
        <v>2.5608599999999999E-50</v>
      </c>
      <c r="O22634">
        <v>496</v>
      </c>
    </row>
    <row r="22635" spans="1:15" x14ac:dyDescent="0.25">
      <c r="A22635" t="s">
        <v>22648</v>
      </c>
      <c r="B22635">
        <v>304</v>
      </c>
      <c r="C22635" s="1" t="str">
        <f>HYPERLINK("http://www.rosaceae.org/gb/gbrowse/malus_x_domestica/?name=MDP0000296128","MDP0000296128")</f>
        <v>MDP0000296128</v>
      </c>
      <c r="D22635">
        <v>35.56</v>
      </c>
      <c r="E22635">
        <v>194</v>
      </c>
      <c r="F22635">
        <v>125</v>
      </c>
      <c r="G22635">
        <v>47</v>
      </c>
      <c r="H22635">
        <v>157</v>
      </c>
      <c r="I22635">
        <v>303</v>
      </c>
      <c r="J22635">
        <v>1</v>
      </c>
      <c r="K22635">
        <v>235</v>
      </c>
      <c r="L22635">
        <v>428</v>
      </c>
      <c r="M22635">
        <v>1</v>
      </c>
      <c r="N22635">
        <v>5.4525600000000005E-20</v>
      </c>
      <c r="O22635">
        <v>236</v>
      </c>
    </row>
    <row r="22636" spans="1:15" x14ac:dyDescent="0.25">
      <c r="A22636" t="s">
        <v>22649</v>
      </c>
      <c r="B22636">
        <v>565</v>
      </c>
      <c r="C22636" s="1" t="str">
        <f>HYPERLINK("http://www.rosaceae.org/gb/gbrowse/malus_x_domestica/?name=MDP0000283610","MDP0000283610")</f>
        <v>MDP0000283610</v>
      </c>
      <c r="D22636">
        <v>64.11</v>
      </c>
      <c r="E22636">
        <v>209</v>
      </c>
      <c r="F22636">
        <v>75</v>
      </c>
      <c r="G22636">
        <v>43</v>
      </c>
      <c r="H22636">
        <v>213</v>
      </c>
      <c r="I22636">
        <v>378</v>
      </c>
      <c r="J22636">
        <v>1</v>
      </c>
      <c r="K22636">
        <v>1644</v>
      </c>
      <c r="L22636">
        <v>1852</v>
      </c>
      <c r="M22636">
        <v>1</v>
      </c>
      <c r="N22636">
        <v>4.9296599999999997E-65</v>
      </c>
      <c r="O22636">
        <v>628</v>
      </c>
    </row>
    <row r="22637" spans="1:15" x14ac:dyDescent="0.25">
      <c r="A22637" t="s">
        <v>22650</v>
      </c>
      <c r="B22637">
        <v>197</v>
      </c>
      <c r="C22637" s="1" t="str">
        <f>HYPERLINK("http://www.rosaceae.org/gb/gbrowse/malus_x_domestica/?name=MDP0000392177","MDP0000392177")</f>
        <v>MDP0000392177</v>
      </c>
      <c r="D22637">
        <v>74.45</v>
      </c>
      <c r="E22637">
        <v>137</v>
      </c>
      <c r="F22637">
        <v>35</v>
      </c>
      <c r="G22637">
        <v>2</v>
      </c>
      <c r="H22637">
        <v>56</v>
      </c>
      <c r="I22637">
        <v>191</v>
      </c>
      <c r="J22637">
        <v>1</v>
      </c>
      <c r="K22637">
        <v>304</v>
      </c>
      <c r="L22637">
        <v>439</v>
      </c>
      <c r="M22637">
        <v>1</v>
      </c>
      <c r="N22637">
        <v>4.1191600000000001E-47</v>
      </c>
      <c r="O22637">
        <v>468</v>
      </c>
    </row>
    <row r="22638" spans="1:15" x14ac:dyDescent="0.25">
      <c r="A22638" t="s">
        <v>22651</v>
      </c>
      <c r="B22638">
        <v>436</v>
      </c>
      <c r="C22638" s="1" t="str">
        <f>HYPERLINK("http://www.rosaceae.org/gb/gbrowse/malus_x_domestica/?name=MDP0000243706","MDP0000243706")</f>
        <v>MDP0000243706</v>
      </c>
      <c r="D22638">
        <v>57.63</v>
      </c>
      <c r="E22638">
        <v>406</v>
      </c>
      <c r="F22638">
        <v>172</v>
      </c>
      <c r="G22638">
        <v>55</v>
      </c>
      <c r="H22638">
        <v>59</v>
      </c>
      <c r="I22638">
        <v>435</v>
      </c>
      <c r="J22638">
        <v>1</v>
      </c>
      <c r="K22638">
        <v>514</v>
      </c>
      <c r="L22638">
        <v>893</v>
      </c>
      <c r="M22638">
        <v>1</v>
      </c>
      <c r="N22638">
        <v>3.08593E-115</v>
      </c>
      <c r="O22638">
        <v>1060</v>
      </c>
    </row>
    <row r="22639" spans="1:15" x14ac:dyDescent="0.25">
      <c r="A22639" t="s">
        <v>22652</v>
      </c>
      <c r="B22639">
        <v>359</v>
      </c>
      <c r="C22639" s="1" t="str">
        <f>HYPERLINK("http://www.rosaceae.org/gb/gbrowse/malus_x_domestica/?name=MDP0000293167","MDP0000293167")</f>
        <v>MDP0000293167</v>
      </c>
      <c r="D22639">
        <v>42.1</v>
      </c>
      <c r="E22639">
        <v>247</v>
      </c>
      <c r="F22639">
        <v>143</v>
      </c>
      <c r="G22639">
        <v>17</v>
      </c>
      <c r="H22639">
        <v>74</v>
      </c>
      <c r="I22639">
        <v>309</v>
      </c>
      <c r="J22639">
        <v>1</v>
      </c>
      <c r="K22639">
        <v>94</v>
      </c>
      <c r="L22639">
        <v>334</v>
      </c>
      <c r="M22639">
        <v>1</v>
      </c>
      <c r="N22639">
        <v>2.6478100000000001E-41</v>
      </c>
      <c r="O22639">
        <v>421</v>
      </c>
    </row>
    <row r="22640" spans="1:15" x14ac:dyDescent="0.25">
      <c r="A22640" t="s">
        <v>22653</v>
      </c>
      <c r="B22640">
        <v>135</v>
      </c>
      <c r="C22640" s="1" t="str">
        <f>HYPERLINK("http://www.rosaceae.org/gb/gbrowse/malus_x_domestica/?name=MDP0000141283","MDP0000141283")</f>
        <v>MDP0000141283</v>
      </c>
      <c r="D22640">
        <v>43.85</v>
      </c>
      <c r="E22640">
        <v>114</v>
      </c>
      <c r="F22640">
        <v>64</v>
      </c>
      <c r="G22640">
        <v>9</v>
      </c>
      <c r="H22640">
        <v>1</v>
      </c>
      <c r="I22640">
        <v>113</v>
      </c>
      <c r="J22640">
        <v>1</v>
      </c>
      <c r="K22640">
        <v>1</v>
      </c>
      <c r="L22640">
        <v>106</v>
      </c>
      <c r="M22640">
        <v>1</v>
      </c>
      <c r="N22640">
        <v>5.9858200000000005E-14</v>
      </c>
      <c r="O22640">
        <v>179</v>
      </c>
    </row>
    <row r="22641" spans="1:15" x14ac:dyDescent="0.25">
      <c r="A22641" t="s">
        <v>22654</v>
      </c>
      <c r="B22641">
        <v>496</v>
      </c>
      <c r="C22641" s="1" t="str">
        <f>HYPERLINK("http://www.rosaceae.org/gb/gbrowse/malus_x_domestica/?name=MDP0000236352","MDP0000236352")</f>
        <v>MDP0000236352</v>
      </c>
      <c r="D22641">
        <v>56.57</v>
      </c>
      <c r="E22641">
        <v>251</v>
      </c>
      <c r="F22641">
        <v>109</v>
      </c>
      <c r="G22641">
        <v>8</v>
      </c>
      <c r="H22641">
        <v>220</v>
      </c>
      <c r="I22641">
        <v>463</v>
      </c>
      <c r="J22641">
        <v>1</v>
      </c>
      <c r="K22641">
        <v>855</v>
      </c>
      <c r="L22641">
        <v>1104</v>
      </c>
      <c r="M22641">
        <v>1</v>
      </c>
      <c r="N22641">
        <v>1.37446E-70</v>
      </c>
      <c r="O22641">
        <v>675</v>
      </c>
    </row>
    <row r="22642" spans="1:15" x14ac:dyDescent="0.25">
      <c r="A22642" t="s">
        <v>22655</v>
      </c>
      <c r="B22642">
        <v>226</v>
      </c>
      <c r="C22642" s="1" t="str">
        <f>HYPERLINK("http://www.rosaceae.org/gb/gbrowse/malus_x_domestica/?name=MDP0000322572","MDP0000322572")</f>
        <v>MDP0000322572</v>
      </c>
      <c r="D22642">
        <v>46.52</v>
      </c>
      <c r="E22642">
        <v>230</v>
      </c>
      <c r="F22642">
        <v>123</v>
      </c>
      <c r="G22642">
        <v>40</v>
      </c>
      <c r="H22642">
        <v>17</v>
      </c>
      <c r="I22642">
        <v>226</v>
      </c>
      <c r="J22642">
        <v>1</v>
      </c>
      <c r="K22642">
        <v>17</v>
      </c>
      <c r="L22642">
        <v>226</v>
      </c>
      <c r="M22642">
        <v>1</v>
      </c>
      <c r="N22642">
        <v>7.3548399999999996E-34</v>
      </c>
      <c r="O22642">
        <v>354</v>
      </c>
    </row>
    <row r="22643" spans="1:15" x14ac:dyDescent="0.25">
      <c r="A22643" t="s">
        <v>22656</v>
      </c>
      <c r="B22643">
        <v>293</v>
      </c>
      <c r="C22643" s="1" t="str">
        <f>HYPERLINK("http://www.rosaceae.org/gb/gbrowse/malus_x_domestica/?name=MDP0000168788","MDP0000168788")</f>
        <v>MDP0000168788</v>
      </c>
      <c r="D22643">
        <v>78.34</v>
      </c>
      <c r="E22643">
        <v>254</v>
      </c>
      <c r="F22643">
        <v>55</v>
      </c>
      <c r="G22643">
        <v>1</v>
      </c>
      <c r="H22643">
        <v>41</v>
      </c>
      <c r="I22643">
        <v>293</v>
      </c>
      <c r="J22643">
        <v>1</v>
      </c>
      <c r="K22643">
        <v>51</v>
      </c>
      <c r="L22643">
        <v>304</v>
      </c>
      <c r="M22643">
        <v>1</v>
      </c>
      <c r="N22643">
        <v>4.1042100000000002E-115</v>
      </c>
      <c r="O22643">
        <v>1057</v>
      </c>
    </row>
    <row r="22644" spans="1:15" x14ac:dyDescent="0.25">
      <c r="A22644" t="s">
        <v>22657</v>
      </c>
      <c r="B22644">
        <v>106</v>
      </c>
      <c r="C22644" s="1" t="str">
        <f>HYPERLINK("http://www.rosaceae.org/gb/gbrowse/malus_x_domestica/?name=MDP0000635631","MDP0000635631")</f>
        <v>MDP0000635631</v>
      </c>
      <c r="D22644">
        <v>89.52</v>
      </c>
      <c r="E22644">
        <v>105</v>
      </c>
      <c r="F22644">
        <v>11</v>
      </c>
      <c r="G22644">
        <v>0</v>
      </c>
      <c r="H22644">
        <v>1</v>
      </c>
      <c r="I22644">
        <v>105</v>
      </c>
      <c r="J22644">
        <v>1</v>
      </c>
      <c r="K22644">
        <v>62</v>
      </c>
      <c r="L22644">
        <v>166</v>
      </c>
      <c r="M22644">
        <v>1</v>
      </c>
      <c r="N22644">
        <v>7.9813300000000003E-53</v>
      </c>
      <c r="O22644">
        <v>513</v>
      </c>
    </row>
    <row r="22645" spans="1:15" x14ac:dyDescent="0.25">
      <c r="A22645" t="s">
        <v>22658</v>
      </c>
      <c r="B22645">
        <v>569</v>
      </c>
      <c r="C22645" s="1" t="str">
        <f>HYPERLINK("http://www.rosaceae.org/gb/gbrowse/malus_x_domestica/?name=MDP0000685160","MDP0000685160")</f>
        <v>MDP0000685160</v>
      </c>
      <c r="D22645">
        <v>73.89</v>
      </c>
      <c r="E22645">
        <v>590</v>
      </c>
      <c r="F22645">
        <v>154</v>
      </c>
      <c r="G22645">
        <v>21</v>
      </c>
      <c r="H22645">
        <v>1</v>
      </c>
      <c r="I22645">
        <v>569</v>
      </c>
      <c r="J22645">
        <v>1</v>
      </c>
      <c r="K22645">
        <v>1</v>
      </c>
      <c r="L22645">
        <v>590</v>
      </c>
      <c r="M22645">
        <v>1</v>
      </c>
      <c r="N22645">
        <v>0</v>
      </c>
      <c r="O22645">
        <v>2091</v>
      </c>
    </row>
    <row r="22646" spans="1:15" x14ac:dyDescent="0.25">
      <c r="A22646" t="s">
        <v>22659</v>
      </c>
      <c r="B22646">
        <v>1095</v>
      </c>
      <c r="C22646" s="1" t="str">
        <f>HYPERLINK("http://www.rosaceae.org/gb/gbrowse/malus_x_domestica/?name=MDP0000130792","MDP0000130792")</f>
        <v>MDP0000130792</v>
      </c>
      <c r="D22646">
        <v>66.760000000000005</v>
      </c>
      <c r="E22646">
        <v>1044</v>
      </c>
      <c r="F22646">
        <v>347</v>
      </c>
      <c r="G22646">
        <v>99</v>
      </c>
      <c r="H22646">
        <v>107</v>
      </c>
      <c r="I22646">
        <v>1095</v>
      </c>
      <c r="J22646">
        <v>1</v>
      </c>
      <c r="K22646">
        <v>1</v>
      </c>
      <c r="L22646">
        <v>1000</v>
      </c>
      <c r="M22646">
        <v>1</v>
      </c>
      <c r="N22646">
        <v>0</v>
      </c>
      <c r="O22646">
        <v>3379</v>
      </c>
    </row>
    <row r="22647" spans="1:15" x14ac:dyDescent="0.25">
      <c r="A22647" t="s">
        <v>22660</v>
      </c>
      <c r="B22647">
        <v>327</v>
      </c>
      <c r="C22647" s="1" t="str">
        <f>HYPERLINK("http://www.rosaceae.org/gb/gbrowse/malus_x_domestica/?name=MDP0000135634","MDP0000135634")</f>
        <v>MDP0000135634</v>
      </c>
      <c r="D22647">
        <v>81.84</v>
      </c>
      <c r="E22647">
        <v>336</v>
      </c>
      <c r="F22647">
        <v>61</v>
      </c>
      <c r="G22647">
        <v>9</v>
      </c>
      <c r="H22647">
        <v>1</v>
      </c>
      <c r="I22647">
        <v>327</v>
      </c>
      <c r="J22647">
        <v>1</v>
      </c>
      <c r="K22647">
        <v>1</v>
      </c>
      <c r="L22647">
        <v>336</v>
      </c>
      <c r="M22647">
        <v>1</v>
      </c>
      <c r="N22647">
        <v>3.98022E-156</v>
      </c>
      <c r="O22647">
        <v>1411</v>
      </c>
    </row>
    <row r="22648" spans="1:15" x14ac:dyDescent="0.25">
      <c r="A22648" t="s">
        <v>22661</v>
      </c>
      <c r="B22648">
        <v>424</v>
      </c>
      <c r="C22648" s="1" t="str">
        <f>HYPERLINK("http://www.rosaceae.org/gb/gbrowse/malus_x_domestica/?name=MDP0000219003","MDP0000219003")</f>
        <v>MDP0000219003</v>
      </c>
      <c r="D22648">
        <v>64.84</v>
      </c>
      <c r="E22648">
        <v>421</v>
      </c>
      <c r="F22648">
        <v>148</v>
      </c>
      <c r="G22648">
        <v>42</v>
      </c>
      <c r="H22648">
        <v>1</v>
      </c>
      <c r="I22648">
        <v>421</v>
      </c>
      <c r="J22648">
        <v>1</v>
      </c>
      <c r="K22648">
        <v>1</v>
      </c>
      <c r="L22648">
        <v>379</v>
      </c>
      <c r="M22648">
        <v>1</v>
      </c>
      <c r="N22648">
        <v>7.7488200000000002E-150</v>
      </c>
      <c r="O22648">
        <v>1358</v>
      </c>
    </row>
    <row r="22649" spans="1:15" x14ac:dyDescent="0.25">
      <c r="A22649" t="s">
        <v>22662</v>
      </c>
      <c r="B22649">
        <v>585</v>
      </c>
      <c r="C22649" s="1" t="str">
        <f>HYPERLINK("http://www.rosaceae.org/gb/gbrowse/malus_x_domestica/?name=MDP0000202123","MDP0000202123")</f>
        <v>MDP0000202123</v>
      </c>
      <c r="D22649">
        <v>85.68</v>
      </c>
      <c r="E22649">
        <v>489</v>
      </c>
      <c r="F22649">
        <v>70</v>
      </c>
      <c r="G22649">
        <v>1</v>
      </c>
      <c r="H22649">
        <v>95</v>
      </c>
      <c r="I22649">
        <v>582</v>
      </c>
      <c r="J22649">
        <v>1</v>
      </c>
      <c r="K22649">
        <v>68</v>
      </c>
      <c r="L22649">
        <v>556</v>
      </c>
      <c r="M22649">
        <v>1</v>
      </c>
      <c r="N22649">
        <v>0</v>
      </c>
      <c r="O22649">
        <v>2326</v>
      </c>
    </row>
    <row r="22650" spans="1:15" x14ac:dyDescent="0.25">
      <c r="A22650" t="s">
        <v>22663</v>
      </c>
      <c r="B22650">
        <v>511</v>
      </c>
      <c r="C22650" s="1" t="str">
        <f>HYPERLINK("http://www.rosaceae.org/gb/gbrowse/malus_x_domestica/?name=MDP0000941173","MDP0000941173")</f>
        <v>MDP0000941173</v>
      </c>
      <c r="D22650">
        <v>85.3</v>
      </c>
      <c r="E22650">
        <v>449</v>
      </c>
      <c r="F22650">
        <v>66</v>
      </c>
      <c r="G22650">
        <v>4</v>
      </c>
      <c r="H22650">
        <v>33</v>
      </c>
      <c r="I22650">
        <v>481</v>
      </c>
      <c r="J22650">
        <v>1</v>
      </c>
      <c r="K22650">
        <v>38</v>
      </c>
      <c r="L22650">
        <v>482</v>
      </c>
      <c r="M22650">
        <v>1</v>
      </c>
      <c r="N22650">
        <v>0</v>
      </c>
      <c r="O22650">
        <v>2045</v>
      </c>
    </row>
    <row r="22651" spans="1:15" x14ac:dyDescent="0.25">
      <c r="A22651" t="s">
        <v>22664</v>
      </c>
      <c r="B22651">
        <v>314</v>
      </c>
      <c r="C22651" s="1" t="str">
        <f>HYPERLINK("http://www.rosaceae.org/gb/gbrowse/malus_x_domestica/?name=MDP0000936735","MDP0000936735")</f>
        <v>MDP0000936735</v>
      </c>
      <c r="D22651">
        <v>29.74</v>
      </c>
      <c r="E22651">
        <v>158</v>
      </c>
      <c r="F22651">
        <v>111</v>
      </c>
      <c r="G22651">
        <v>12</v>
      </c>
      <c r="H22651">
        <v>142</v>
      </c>
      <c r="I22651">
        <v>295</v>
      </c>
      <c r="J22651">
        <v>1</v>
      </c>
      <c r="K22651">
        <v>25</v>
      </c>
      <c r="L22651">
        <v>174</v>
      </c>
      <c r="M22651">
        <v>1</v>
      </c>
      <c r="N22651">
        <v>3.4805899999999999E-9</v>
      </c>
      <c r="O22651">
        <v>143</v>
      </c>
    </row>
    <row r="22652" spans="1:15" x14ac:dyDescent="0.25">
      <c r="A22652" t="s">
        <v>22665</v>
      </c>
      <c r="B22652">
        <v>166</v>
      </c>
      <c r="C22652" s="1" t="str">
        <f>HYPERLINK("http://www.rosaceae.org/gb/gbrowse/malus_x_domestica/?name=MDP0000520335","MDP0000520335")</f>
        <v>MDP0000520335</v>
      </c>
      <c r="D22652">
        <v>34.299999999999997</v>
      </c>
      <c r="E22652">
        <v>137</v>
      </c>
      <c r="F22652">
        <v>90</v>
      </c>
      <c r="G22652">
        <v>21</v>
      </c>
      <c r="H22652">
        <v>1</v>
      </c>
      <c r="I22652">
        <v>125</v>
      </c>
      <c r="J22652">
        <v>1</v>
      </c>
      <c r="K22652">
        <v>27</v>
      </c>
      <c r="L22652">
        <v>154</v>
      </c>
      <c r="M22652">
        <v>1</v>
      </c>
      <c r="N22652">
        <v>1.6531099999999998E-11</v>
      </c>
      <c r="O22652">
        <v>159</v>
      </c>
    </row>
    <row r="22653" spans="1:15" x14ac:dyDescent="0.25">
      <c r="A22653" t="s">
        <v>22666</v>
      </c>
      <c r="B22653">
        <v>631</v>
      </c>
      <c r="C22653" s="1" t="str">
        <f>HYPERLINK("http://www.rosaceae.org/gb/gbrowse/malus_x_domestica/?name=MDP0000128438","MDP0000128438")</f>
        <v>MDP0000128438</v>
      </c>
      <c r="D22653">
        <v>58.42</v>
      </c>
      <c r="E22653">
        <v>190</v>
      </c>
      <c r="F22653">
        <v>79</v>
      </c>
      <c r="G22653">
        <v>9</v>
      </c>
      <c r="H22653">
        <v>330</v>
      </c>
      <c r="I22653">
        <v>512</v>
      </c>
      <c r="J22653">
        <v>1</v>
      </c>
      <c r="K22653">
        <v>305</v>
      </c>
      <c r="L22653">
        <v>492</v>
      </c>
      <c r="M22653">
        <v>1</v>
      </c>
      <c r="N22653">
        <v>4.5757399999999998E-49</v>
      </c>
      <c r="O22653">
        <v>491</v>
      </c>
    </row>
    <row r="22654" spans="1:15" x14ac:dyDescent="0.25">
      <c r="A22654" t="s">
        <v>22667</v>
      </c>
      <c r="B22654">
        <v>229</v>
      </c>
      <c r="C22654" s="1" t="str">
        <f>HYPERLINK("http://www.rosaceae.org/gb/gbrowse/malus_x_domestica/?name=MDP0000547615","MDP0000547615")</f>
        <v>MDP0000547615</v>
      </c>
      <c r="D22654">
        <v>30.18</v>
      </c>
      <c r="E22654">
        <v>106</v>
      </c>
      <c r="F22654">
        <v>74</v>
      </c>
      <c r="G22654">
        <v>16</v>
      </c>
      <c r="H22654">
        <v>6</v>
      </c>
      <c r="I22654">
        <v>96</v>
      </c>
      <c r="J22654">
        <v>1</v>
      </c>
      <c r="K22654">
        <v>64</v>
      </c>
      <c r="L22654">
        <v>168</v>
      </c>
      <c r="M22654">
        <v>1</v>
      </c>
      <c r="N22654">
        <v>2.11665E-8</v>
      </c>
      <c r="O22654">
        <v>135</v>
      </c>
    </row>
    <row r="22655" spans="1:15" x14ac:dyDescent="0.25">
      <c r="A22655" t="s">
        <v>22668</v>
      </c>
      <c r="B22655">
        <v>292</v>
      </c>
      <c r="C22655" s="1" t="str">
        <f>HYPERLINK("http://www.rosaceae.org/gb/gbrowse/malus_x_domestica/?name=MDP0000296631","MDP0000296631")</f>
        <v>MDP0000296631</v>
      </c>
      <c r="D22655">
        <v>67.38</v>
      </c>
      <c r="E22655">
        <v>279</v>
      </c>
      <c r="F22655">
        <v>91</v>
      </c>
      <c r="G22655">
        <v>15</v>
      </c>
      <c r="H22655">
        <v>2</v>
      </c>
      <c r="I22655">
        <v>273</v>
      </c>
      <c r="J22655">
        <v>1</v>
      </c>
      <c r="K22655">
        <v>540</v>
      </c>
      <c r="L22655">
        <v>810</v>
      </c>
      <c r="M22655">
        <v>1</v>
      </c>
      <c r="N22655">
        <v>2.08599E-100</v>
      </c>
      <c r="O22655">
        <v>930</v>
      </c>
    </row>
    <row r="22656" spans="1:15" x14ac:dyDescent="0.25">
      <c r="A22656" t="s">
        <v>22669</v>
      </c>
      <c r="B22656">
        <v>355</v>
      </c>
      <c r="C22656" s="1" t="str">
        <f>HYPERLINK("http://www.rosaceae.org/gb/gbrowse/malus_x_domestica/?name=MDP0000297031","MDP0000297031")</f>
        <v>MDP0000297031</v>
      </c>
      <c r="D22656">
        <v>33.1</v>
      </c>
      <c r="E22656">
        <v>148</v>
      </c>
      <c r="F22656">
        <v>99</v>
      </c>
      <c r="G22656">
        <v>6</v>
      </c>
      <c r="H22656">
        <v>56</v>
      </c>
      <c r="I22656">
        <v>203</v>
      </c>
      <c r="J22656">
        <v>1</v>
      </c>
      <c r="K22656">
        <v>55</v>
      </c>
      <c r="L22656">
        <v>196</v>
      </c>
      <c r="M22656">
        <v>1</v>
      </c>
      <c r="N22656">
        <v>2.1302200000000001E-17</v>
      </c>
      <c r="O22656">
        <v>215</v>
      </c>
    </row>
    <row r="22657" spans="1:15" x14ac:dyDescent="0.25">
      <c r="A22657" t="s">
        <v>22670</v>
      </c>
      <c r="B22657">
        <v>421</v>
      </c>
      <c r="C22657" s="1" t="str">
        <f>HYPERLINK("http://www.rosaceae.org/gb/gbrowse/malus_x_domestica/?name=MDP0000482907","MDP0000482907")</f>
        <v>MDP0000482907</v>
      </c>
      <c r="D22657">
        <v>39.9</v>
      </c>
      <c r="E22657">
        <v>431</v>
      </c>
      <c r="F22657">
        <v>259</v>
      </c>
      <c r="G22657">
        <v>58</v>
      </c>
      <c r="H22657">
        <v>1</v>
      </c>
      <c r="I22657">
        <v>414</v>
      </c>
      <c r="J22657">
        <v>1</v>
      </c>
      <c r="K22657">
        <v>1</v>
      </c>
      <c r="L22657">
        <v>390</v>
      </c>
      <c r="M22657">
        <v>1</v>
      </c>
      <c r="N22657">
        <v>1.11625E-66</v>
      </c>
      <c r="O22657">
        <v>641</v>
      </c>
    </row>
    <row r="22658" spans="1:15" x14ac:dyDescent="0.25">
      <c r="A22658" t="s">
        <v>22671</v>
      </c>
      <c r="B22658">
        <v>816</v>
      </c>
      <c r="C22658" s="1" t="str">
        <f>HYPERLINK("http://www.rosaceae.org/gb/gbrowse/malus_x_domestica/?name=MDP0000672481","MDP0000672481")</f>
        <v>MDP0000672481</v>
      </c>
      <c r="D22658">
        <v>88.5</v>
      </c>
      <c r="E22658">
        <v>748</v>
      </c>
      <c r="F22658">
        <v>86</v>
      </c>
      <c r="G22658">
        <v>4</v>
      </c>
      <c r="H22658">
        <v>72</v>
      </c>
      <c r="I22658">
        <v>816</v>
      </c>
      <c r="J22658">
        <v>1</v>
      </c>
      <c r="K22658">
        <v>65</v>
      </c>
      <c r="L22658">
        <v>811</v>
      </c>
      <c r="M22658">
        <v>1</v>
      </c>
      <c r="N22658">
        <v>0</v>
      </c>
      <c r="O22658">
        <v>3534</v>
      </c>
    </row>
    <row r="22659" spans="1:15" x14ac:dyDescent="0.25">
      <c r="A22659" t="s">
        <v>22672</v>
      </c>
      <c r="B22659">
        <v>944</v>
      </c>
      <c r="C22659" s="1" t="str">
        <f>HYPERLINK("http://www.rosaceae.org/gb/gbrowse/malus_x_domestica/?name=MDP0000281042","MDP0000281042")</f>
        <v>MDP0000281042</v>
      </c>
      <c r="D22659">
        <v>60.11</v>
      </c>
      <c r="E22659">
        <v>346</v>
      </c>
      <c r="F22659">
        <v>138</v>
      </c>
      <c r="G22659">
        <v>29</v>
      </c>
      <c r="H22659">
        <v>124</v>
      </c>
      <c r="I22659">
        <v>469</v>
      </c>
      <c r="J22659">
        <v>1</v>
      </c>
      <c r="K22659">
        <v>48</v>
      </c>
      <c r="L22659">
        <v>364</v>
      </c>
      <c r="M22659">
        <v>1</v>
      </c>
      <c r="N22659">
        <v>6.5756399999999998E-110</v>
      </c>
      <c r="O22659">
        <v>1017</v>
      </c>
    </row>
    <row r="22660" spans="1:15" x14ac:dyDescent="0.25">
      <c r="A22660" t="s">
        <v>22673</v>
      </c>
      <c r="B22660">
        <v>515</v>
      </c>
      <c r="C22660" s="1" t="str">
        <f>HYPERLINK("http://www.rosaceae.org/gb/gbrowse/malus_x_domestica/?name=MDP0000319444","MDP0000319444")</f>
        <v>MDP0000319444</v>
      </c>
      <c r="D22660">
        <v>82.46</v>
      </c>
      <c r="E22660">
        <v>519</v>
      </c>
      <c r="F22660">
        <v>91</v>
      </c>
      <c r="G22660">
        <v>9</v>
      </c>
      <c r="H22660">
        <v>1</v>
      </c>
      <c r="I22660">
        <v>514</v>
      </c>
      <c r="J22660">
        <v>1</v>
      </c>
      <c r="K22660">
        <v>1</v>
      </c>
      <c r="L22660">
        <v>515</v>
      </c>
      <c r="M22660">
        <v>1</v>
      </c>
      <c r="N22660">
        <v>0</v>
      </c>
      <c r="O22660">
        <v>2206</v>
      </c>
    </row>
    <row r="22661" spans="1:15" x14ac:dyDescent="0.25">
      <c r="A22661" t="s">
        <v>22674</v>
      </c>
      <c r="B22661">
        <v>1564</v>
      </c>
      <c r="C22661" s="1" t="str">
        <f>HYPERLINK("http://www.rosaceae.org/gb/gbrowse/malus_x_domestica/?name=MDP0000319777","MDP0000319777")</f>
        <v>MDP0000319777</v>
      </c>
      <c r="D22661">
        <v>67.03</v>
      </c>
      <c r="E22661">
        <v>1614</v>
      </c>
      <c r="F22661">
        <v>532</v>
      </c>
      <c r="G22661">
        <v>54</v>
      </c>
      <c r="H22661">
        <v>1</v>
      </c>
      <c r="I22661">
        <v>1562</v>
      </c>
      <c r="J22661">
        <v>1</v>
      </c>
      <c r="K22661">
        <v>701</v>
      </c>
      <c r="L22661">
        <v>2312</v>
      </c>
      <c r="M22661">
        <v>1</v>
      </c>
      <c r="N22661">
        <v>0</v>
      </c>
      <c r="O22661">
        <v>5758</v>
      </c>
    </row>
    <row r="22662" spans="1:15" x14ac:dyDescent="0.25">
      <c r="A22662" t="s">
        <v>22675</v>
      </c>
      <c r="B22662">
        <v>122</v>
      </c>
      <c r="C22662" s="1" t="str">
        <f>HYPERLINK("http://www.rosaceae.org/gb/gbrowse/malus_x_domestica/?name=MDP0000246970","MDP0000246970")</f>
        <v>MDP0000246970</v>
      </c>
      <c r="D22662">
        <v>54.34</v>
      </c>
      <c r="E22662">
        <v>138</v>
      </c>
      <c r="F22662">
        <v>63</v>
      </c>
      <c r="G22662">
        <v>22</v>
      </c>
      <c r="H22662">
        <v>1</v>
      </c>
      <c r="I22662">
        <v>116</v>
      </c>
      <c r="J22662">
        <v>1</v>
      </c>
      <c r="K22662">
        <v>1</v>
      </c>
      <c r="L22662">
        <v>138</v>
      </c>
      <c r="M22662">
        <v>1</v>
      </c>
      <c r="N22662">
        <v>1.7708500000000001E-29</v>
      </c>
      <c r="O22662">
        <v>312</v>
      </c>
    </row>
    <row r="22663" spans="1:15" x14ac:dyDescent="0.25">
      <c r="A22663" t="s">
        <v>22676</v>
      </c>
      <c r="B22663">
        <v>382</v>
      </c>
      <c r="C22663" s="1" t="str">
        <f>HYPERLINK("http://www.rosaceae.org/gb/gbrowse/malus_x_domestica/?name=MDP0000150429","MDP0000150429")</f>
        <v>MDP0000150429</v>
      </c>
      <c r="D22663">
        <v>50.32</v>
      </c>
      <c r="E22663">
        <v>306</v>
      </c>
      <c r="F22663">
        <v>152</v>
      </c>
      <c r="G22663">
        <v>32</v>
      </c>
      <c r="H22663">
        <v>1</v>
      </c>
      <c r="I22663">
        <v>286</v>
      </c>
      <c r="J22663">
        <v>1</v>
      </c>
      <c r="K22663">
        <v>49</v>
      </c>
      <c r="L22663">
        <v>342</v>
      </c>
      <c r="M22663">
        <v>1</v>
      </c>
      <c r="N22663">
        <v>5.0470499999999997E-72</v>
      </c>
      <c r="O22663">
        <v>686</v>
      </c>
    </row>
    <row r="22664" spans="1:15" x14ac:dyDescent="0.25">
      <c r="A22664" t="s">
        <v>22677</v>
      </c>
      <c r="B22664">
        <v>564</v>
      </c>
      <c r="C22664" s="1" t="str">
        <f>HYPERLINK("http://www.rosaceae.org/gb/gbrowse/malus_x_domestica/?name=MDP0000156343","MDP0000156343")</f>
        <v>MDP0000156343</v>
      </c>
      <c r="D22664">
        <v>63.39</v>
      </c>
      <c r="E22664">
        <v>459</v>
      </c>
      <c r="F22664">
        <v>168</v>
      </c>
      <c r="G22664">
        <v>48</v>
      </c>
      <c r="H22664">
        <v>144</v>
      </c>
      <c r="I22664">
        <v>554</v>
      </c>
      <c r="J22664">
        <v>1</v>
      </c>
      <c r="K22664">
        <v>1</v>
      </c>
      <c r="L22664">
        <v>459</v>
      </c>
      <c r="M22664">
        <v>1</v>
      </c>
      <c r="N22664">
        <v>2.15173E-154</v>
      </c>
      <c r="O22664">
        <v>1398</v>
      </c>
    </row>
    <row r="22665" spans="1:15" x14ac:dyDescent="0.25">
      <c r="A22665" t="s">
        <v>22678</v>
      </c>
      <c r="B22665">
        <v>501</v>
      </c>
      <c r="C22665" s="1" t="str">
        <f>HYPERLINK("http://www.rosaceae.org/gb/gbrowse/malus_x_domestica/?name=MDP0000157828","MDP0000157828")</f>
        <v>MDP0000157828</v>
      </c>
      <c r="D22665">
        <v>59.9</v>
      </c>
      <c r="E22665">
        <v>212</v>
      </c>
      <c r="F22665">
        <v>85</v>
      </c>
      <c r="G22665">
        <v>25</v>
      </c>
      <c r="H22665">
        <v>214</v>
      </c>
      <c r="I22665">
        <v>408</v>
      </c>
      <c r="J22665">
        <v>1</v>
      </c>
      <c r="K22665">
        <v>30</v>
      </c>
      <c r="L22665">
        <v>233</v>
      </c>
      <c r="M22665">
        <v>1</v>
      </c>
      <c r="N22665">
        <v>7.9853299999999998E-60</v>
      </c>
      <c r="O22665">
        <v>582</v>
      </c>
    </row>
    <row r="22666" spans="1:15" x14ac:dyDescent="0.25">
      <c r="A22666" t="s">
        <v>22679</v>
      </c>
      <c r="B22666">
        <v>404</v>
      </c>
      <c r="C22666" s="1" t="str">
        <f>HYPERLINK("http://www.rosaceae.org/gb/gbrowse/malus_x_domestica/?name=MDP0000290966","MDP0000290966")</f>
        <v>MDP0000290966</v>
      </c>
      <c r="D22666">
        <v>29.6</v>
      </c>
      <c r="E22666">
        <v>250</v>
      </c>
      <c r="F22666">
        <v>176</v>
      </c>
      <c r="G22666">
        <v>11</v>
      </c>
      <c r="H22666">
        <v>143</v>
      </c>
      <c r="I22666">
        <v>391</v>
      </c>
      <c r="J22666">
        <v>1</v>
      </c>
      <c r="K22666">
        <v>41</v>
      </c>
      <c r="L22666">
        <v>280</v>
      </c>
      <c r="M22666">
        <v>1</v>
      </c>
      <c r="N22666">
        <v>1.5578399999999999E-20</v>
      </c>
      <c r="O22666">
        <v>243</v>
      </c>
    </row>
    <row r="22667" spans="1:15" x14ac:dyDescent="0.25">
      <c r="A22667" t="s">
        <v>22680</v>
      </c>
      <c r="B22667">
        <v>479</v>
      </c>
      <c r="C22667" s="1" t="str">
        <f>HYPERLINK("http://www.rosaceae.org/gb/gbrowse/malus_x_domestica/?name=MDP0000933711","MDP0000933711")</f>
        <v>MDP0000933711</v>
      </c>
      <c r="D22667">
        <v>42.82</v>
      </c>
      <c r="E22667">
        <v>474</v>
      </c>
      <c r="F22667">
        <v>271</v>
      </c>
      <c r="G22667">
        <v>7</v>
      </c>
      <c r="H22667">
        <v>11</v>
      </c>
      <c r="I22667">
        <v>478</v>
      </c>
      <c r="J22667">
        <v>1</v>
      </c>
      <c r="K22667">
        <v>3</v>
      </c>
      <c r="L22667">
        <v>475</v>
      </c>
      <c r="M22667">
        <v>1</v>
      </c>
      <c r="N22667">
        <v>4.3089799999999996E-112</v>
      </c>
      <c r="O22667">
        <v>1033</v>
      </c>
    </row>
    <row r="22668" spans="1:15" x14ac:dyDescent="0.25">
      <c r="A22668" t="s">
        <v>22681</v>
      </c>
      <c r="B22668">
        <v>581</v>
      </c>
      <c r="C22668" s="1" t="str">
        <f>HYPERLINK("http://www.rosaceae.org/gb/gbrowse/malus_x_domestica/?name=MDP0000446864","MDP0000446864")</f>
        <v>MDP0000446864</v>
      </c>
      <c r="D22668">
        <v>48.34</v>
      </c>
      <c r="E22668">
        <v>453</v>
      </c>
      <c r="F22668">
        <v>234</v>
      </c>
      <c r="G22668">
        <v>32</v>
      </c>
      <c r="H22668">
        <v>153</v>
      </c>
      <c r="I22668">
        <v>580</v>
      </c>
      <c r="J22668">
        <v>1</v>
      </c>
      <c r="K22668">
        <v>1</v>
      </c>
      <c r="L22668">
        <v>446</v>
      </c>
      <c r="M22668">
        <v>1</v>
      </c>
      <c r="N22668">
        <v>1.14686E-91</v>
      </c>
      <c r="O22668">
        <v>858</v>
      </c>
    </row>
    <row r="22669" spans="1:15" x14ac:dyDescent="0.25">
      <c r="A22669" t="s">
        <v>22682</v>
      </c>
      <c r="B22669">
        <v>238</v>
      </c>
      <c r="C22669" s="1" t="str">
        <f>HYPERLINK("http://www.rosaceae.org/gb/gbrowse/malus_x_domestica/?name=MDP0000335223","MDP0000335223")</f>
        <v>MDP0000335223</v>
      </c>
      <c r="D22669">
        <v>95</v>
      </c>
      <c r="E22669">
        <v>180</v>
      </c>
      <c r="F22669">
        <v>9</v>
      </c>
      <c r="G22669">
        <v>0</v>
      </c>
      <c r="H22669">
        <v>59</v>
      </c>
      <c r="I22669">
        <v>238</v>
      </c>
      <c r="J22669">
        <v>1</v>
      </c>
      <c r="K22669">
        <v>1</v>
      </c>
      <c r="L22669">
        <v>180</v>
      </c>
      <c r="M22669">
        <v>1</v>
      </c>
      <c r="N22669">
        <v>1.5804699999999999E-97</v>
      </c>
      <c r="O22669">
        <v>904</v>
      </c>
    </row>
    <row r="22670" spans="1:15" x14ac:dyDescent="0.25">
      <c r="A22670" t="s">
        <v>22683</v>
      </c>
      <c r="B22670">
        <v>448</v>
      </c>
      <c r="C22670" s="1" t="str">
        <f>HYPERLINK("http://www.rosaceae.org/gb/gbrowse/malus_x_domestica/?name=MDP0000289009","MDP0000289009")</f>
        <v>MDP0000289009</v>
      </c>
      <c r="D22670">
        <v>37.270000000000003</v>
      </c>
      <c r="E22670">
        <v>499</v>
      </c>
      <c r="F22670">
        <v>313</v>
      </c>
      <c r="G22670">
        <v>98</v>
      </c>
      <c r="H22670">
        <v>22</v>
      </c>
      <c r="I22670">
        <v>428</v>
      </c>
      <c r="J22670">
        <v>1</v>
      </c>
      <c r="K22670">
        <v>587</v>
      </c>
      <c r="L22670">
        <v>1079</v>
      </c>
      <c r="M22670">
        <v>1</v>
      </c>
      <c r="N22670">
        <v>2.1538800000000002E-74</v>
      </c>
      <c r="O22670">
        <v>708</v>
      </c>
    </row>
    <row r="22671" spans="1:15" x14ac:dyDescent="0.25">
      <c r="A22671" t="s">
        <v>22684</v>
      </c>
      <c r="B22671">
        <v>207</v>
      </c>
      <c r="C22671" s="1" t="str">
        <f>HYPERLINK("http://www.rosaceae.org/gb/gbrowse/malus_x_domestica/?name=MDP0000200785","MDP0000200785")</f>
        <v>MDP0000200785</v>
      </c>
      <c r="D22671">
        <v>97.1</v>
      </c>
      <c r="E22671">
        <v>207</v>
      </c>
      <c r="F22671">
        <v>6</v>
      </c>
      <c r="G22671">
        <v>0</v>
      </c>
      <c r="H22671">
        <v>1</v>
      </c>
      <c r="I22671">
        <v>207</v>
      </c>
      <c r="J22671">
        <v>1</v>
      </c>
      <c r="K22671">
        <v>1</v>
      </c>
      <c r="L22671">
        <v>207</v>
      </c>
      <c r="M22671">
        <v>1</v>
      </c>
      <c r="N22671">
        <v>8.1348199999999998E-117</v>
      </c>
      <c r="O22671">
        <v>1069</v>
      </c>
    </row>
    <row r="22672" spans="1:15" x14ac:dyDescent="0.25">
      <c r="A22672" t="s">
        <v>22685</v>
      </c>
      <c r="B22672">
        <v>445</v>
      </c>
      <c r="C22672" s="1" t="str">
        <f>HYPERLINK("http://www.rosaceae.org/gb/gbrowse/malus_x_domestica/?name=MDP0000511968","MDP0000511968")</f>
        <v>MDP0000511968</v>
      </c>
      <c r="D22672">
        <v>50.12</v>
      </c>
      <c r="E22672">
        <v>395</v>
      </c>
      <c r="F22672">
        <v>197</v>
      </c>
      <c r="G22672">
        <v>56</v>
      </c>
      <c r="H22672">
        <v>65</v>
      </c>
      <c r="I22672">
        <v>445</v>
      </c>
      <c r="J22672">
        <v>1</v>
      </c>
      <c r="K22672">
        <v>1</v>
      </c>
      <c r="L22672">
        <v>353</v>
      </c>
      <c r="M22672">
        <v>1</v>
      </c>
      <c r="N22672">
        <v>2.6232600000000001E-83</v>
      </c>
      <c r="O22672">
        <v>784</v>
      </c>
    </row>
    <row r="22673" spans="1:15" x14ac:dyDescent="0.25">
      <c r="A22673" t="s">
        <v>22686</v>
      </c>
      <c r="B22673">
        <v>281</v>
      </c>
      <c r="C22673" s="1" t="str">
        <f>HYPERLINK("http://www.rosaceae.org/gb/gbrowse/malus_x_domestica/?name=MDP0000317482","MDP0000317482")</f>
        <v>MDP0000317482</v>
      </c>
      <c r="D22673">
        <v>65.48</v>
      </c>
      <c r="E22673">
        <v>281</v>
      </c>
      <c r="F22673">
        <v>97</v>
      </c>
      <c r="G22673">
        <v>6</v>
      </c>
      <c r="H22673">
        <v>1</v>
      </c>
      <c r="I22673">
        <v>281</v>
      </c>
      <c r="J22673">
        <v>1</v>
      </c>
      <c r="K22673">
        <v>1</v>
      </c>
      <c r="L22673">
        <v>275</v>
      </c>
      <c r="M22673">
        <v>1</v>
      </c>
      <c r="N22673">
        <v>1.1446000000000001E-96</v>
      </c>
      <c r="O22673">
        <v>897</v>
      </c>
    </row>
    <row r="22674" spans="1:15" x14ac:dyDescent="0.25">
      <c r="A22674" t="s">
        <v>22687</v>
      </c>
      <c r="B22674">
        <v>418</v>
      </c>
      <c r="C22674" s="1" t="str">
        <f>HYPERLINK("http://www.rosaceae.org/gb/gbrowse/malus_x_domestica/?name=MDP0000230600","MDP0000230600")</f>
        <v>MDP0000230600</v>
      </c>
      <c r="D22674">
        <v>70.45</v>
      </c>
      <c r="E22674">
        <v>396</v>
      </c>
      <c r="F22674">
        <v>117</v>
      </c>
      <c r="G22674">
        <v>31</v>
      </c>
      <c r="H22674">
        <v>44</v>
      </c>
      <c r="I22674">
        <v>418</v>
      </c>
      <c r="J22674">
        <v>1</v>
      </c>
      <c r="K22674">
        <v>1</v>
      </c>
      <c r="L22674">
        <v>386</v>
      </c>
      <c r="M22674">
        <v>1</v>
      </c>
      <c r="N22674">
        <v>1.07006E-150</v>
      </c>
      <c r="O22674">
        <v>1365</v>
      </c>
    </row>
    <row r="22675" spans="1:15" x14ac:dyDescent="0.25">
      <c r="A22675" t="s">
        <v>22688</v>
      </c>
      <c r="B22675">
        <v>904</v>
      </c>
      <c r="C22675" s="1" t="str">
        <f>HYPERLINK("http://www.rosaceae.org/gb/gbrowse/malus_x_domestica/?name=MDP0000200812","MDP0000200812")</f>
        <v>MDP0000200812</v>
      </c>
      <c r="D22675">
        <v>49.23</v>
      </c>
      <c r="E22675">
        <v>914</v>
      </c>
      <c r="F22675">
        <v>464</v>
      </c>
      <c r="G22675">
        <v>118</v>
      </c>
      <c r="H22675">
        <v>1</v>
      </c>
      <c r="I22675">
        <v>887</v>
      </c>
      <c r="J22675">
        <v>1</v>
      </c>
      <c r="K22675">
        <v>1</v>
      </c>
      <c r="L22675">
        <v>823</v>
      </c>
      <c r="M22675">
        <v>1</v>
      </c>
      <c r="N22675">
        <v>0</v>
      </c>
      <c r="O22675">
        <v>1928</v>
      </c>
    </row>
    <row r="22676" spans="1:15" x14ac:dyDescent="0.25">
      <c r="A22676" t="s">
        <v>22689</v>
      </c>
      <c r="B22676">
        <v>449</v>
      </c>
      <c r="C22676" s="1" t="str">
        <f>HYPERLINK("http://www.rosaceae.org/gb/gbrowse/malus_x_domestica/?name=MDP0000266964","MDP0000266964")</f>
        <v>MDP0000266964</v>
      </c>
      <c r="D22676">
        <v>68.81</v>
      </c>
      <c r="E22676">
        <v>449</v>
      </c>
      <c r="F22676">
        <v>140</v>
      </c>
      <c r="G22676">
        <v>13</v>
      </c>
      <c r="H22676">
        <v>1</v>
      </c>
      <c r="I22676">
        <v>449</v>
      </c>
      <c r="J22676">
        <v>1</v>
      </c>
      <c r="K22676">
        <v>1</v>
      </c>
      <c r="L22676">
        <v>436</v>
      </c>
      <c r="M22676">
        <v>1</v>
      </c>
      <c r="N22676">
        <v>1.2427E-168</v>
      </c>
      <c r="O22676">
        <v>1520</v>
      </c>
    </row>
    <row r="22677" spans="1:15" x14ac:dyDescent="0.25">
      <c r="A22677" t="s">
        <v>22690</v>
      </c>
      <c r="B22677">
        <v>227</v>
      </c>
      <c r="C22677" s="1" t="str">
        <f>HYPERLINK("http://www.rosaceae.org/gb/gbrowse/malus_x_domestica/?name=MDP0000228329","MDP0000228329")</f>
        <v>MDP0000228329</v>
      </c>
      <c r="D22677">
        <v>76.31</v>
      </c>
      <c r="E22677">
        <v>152</v>
      </c>
      <c r="F22677">
        <v>36</v>
      </c>
      <c r="G22677">
        <v>0</v>
      </c>
      <c r="H22677">
        <v>53</v>
      </c>
      <c r="I22677">
        <v>204</v>
      </c>
      <c r="J22677">
        <v>1</v>
      </c>
      <c r="K22677">
        <v>4</v>
      </c>
      <c r="L22677">
        <v>155</v>
      </c>
      <c r="M22677">
        <v>1</v>
      </c>
      <c r="N22677">
        <v>4.6430500000000003E-65</v>
      </c>
      <c r="O22677">
        <v>623</v>
      </c>
    </row>
    <row r="22678" spans="1:15" x14ac:dyDescent="0.25">
      <c r="A22678" t="s">
        <v>22691</v>
      </c>
      <c r="B22678">
        <v>236</v>
      </c>
      <c r="C22678" s="1" t="str">
        <f>HYPERLINK("http://www.rosaceae.org/gb/gbrowse/malus_x_domestica/?name=MDP0000249502","MDP0000249502")</f>
        <v>MDP0000249502</v>
      </c>
      <c r="D22678">
        <v>76.81</v>
      </c>
      <c r="E22678">
        <v>138</v>
      </c>
      <c r="F22678">
        <v>32</v>
      </c>
      <c r="G22678">
        <v>17</v>
      </c>
      <c r="H22678">
        <v>116</v>
      </c>
      <c r="I22678">
        <v>236</v>
      </c>
      <c r="J22678">
        <v>1</v>
      </c>
      <c r="K22678">
        <v>105</v>
      </c>
      <c r="L22678">
        <v>242</v>
      </c>
      <c r="M22678">
        <v>1</v>
      </c>
      <c r="N22678">
        <v>4.3283399999999999E-54</v>
      </c>
      <c r="O22678">
        <v>529</v>
      </c>
    </row>
    <row r="22679" spans="1:15" x14ac:dyDescent="0.25">
      <c r="A22679" t="s">
        <v>22692</v>
      </c>
      <c r="B22679">
        <v>141</v>
      </c>
      <c r="C22679" s="1" t="str">
        <f>HYPERLINK("http://www.rosaceae.org/gb/gbrowse/malus_x_domestica/?name=MDP0000724101","MDP0000724101")</f>
        <v>MDP0000724101</v>
      </c>
      <c r="D22679">
        <v>81.89</v>
      </c>
      <c r="E22679">
        <v>116</v>
      </c>
      <c r="F22679">
        <v>21</v>
      </c>
      <c r="G22679">
        <v>0</v>
      </c>
      <c r="H22679">
        <v>26</v>
      </c>
      <c r="I22679">
        <v>141</v>
      </c>
      <c r="J22679">
        <v>1</v>
      </c>
      <c r="K22679">
        <v>77</v>
      </c>
      <c r="L22679">
        <v>192</v>
      </c>
      <c r="M22679">
        <v>1</v>
      </c>
      <c r="N22679">
        <v>2.3787599999999998E-53</v>
      </c>
      <c r="O22679">
        <v>519</v>
      </c>
    </row>
    <row r="22680" spans="1:15" x14ac:dyDescent="0.25">
      <c r="A22680" t="s">
        <v>22693</v>
      </c>
      <c r="B22680">
        <v>408</v>
      </c>
      <c r="C22680" s="1" t="str">
        <f>HYPERLINK("http://www.rosaceae.org/gb/gbrowse/malus_x_domestica/?name=MDP0000197484","MDP0000197484")</f>
        <v>MDP0000197484</v>
      </c>
      <c r="D22680">
        <v>50.11</v>
      </c>
      <c r="E22680">
        <v>443</v>
      </c>
      <c r="F22680">
        <v>221</v>
      </c>
      <c r="G22680">
        <v>86</v>
      </c>
      <c r="H22680">
        <v>1</v>
      </c>
      <c r="I22680">
        <v>361</v>
      </c>
      <c r="J22680">
        <v>1</v>
      </c>
      <c r="K22680">
        <v>1</v>
      </c>
      <c r="L22680">
        <v>439</v>
      </c>
      <c r="M22680">
        <v>1</v>
      </c>
      <c r="N22680">
        <v>3.22837E-114</v>
      </c>
      <c r="O22680">
        <v>1051</v>
      </c>
    </row>
    <row r="22681" spans="1:15" x14ac:dyDescent="0.25">
      <c r="A22681" t="s">
        <v>22694</v>
      </c>
      <c r="B22681">
        <v>217</v>
      </c>
      <c r="C22681" s="1" t="str">
        <f>HYPERLINK("http://www.rosaceae.org/gb/gbrowse/malus_x_domestica/?name=MDP0000169428","MDP0000169428")</f>
        <v>MDP0000169428</v>
      </c>
      <c r="D22681">
        <v>72.81</v>
      </c>
      <c r="E22681">
        <v>217</v>
      </c>
      <c r="F22681">
        <v>59</v>
      </c>
      <c r="G22681">
        <v>0</v>
      </c>
      <c r="H22681">
        <v>1</v>
      </c>
      <c r="I22681">
        <v>217</v>
      </c>
      <c r="J22681">
        <v>1</v>
      </c>
      <c r="K22681">
        <v>85</v>
      </c>
      <c r="L22681">
        <v>301</v>
      </c>
      <c r="M22681">
        <v>1</v>
      </c>
      <c r="N22681">
        <v>1.6170700000000001E-95</v>
      </c>
      <c r="O22681">
        <v>886</v>
      </c>
    </row>
    <row r="22682" spans="1:15" x14ac:dyDescent="0.25">
      <c r="A22682" t="s">
        <v>22695</v>
      </c>
      <c r="B22682">
        <v>142</v>
      </c>
      <c r="C22682" s="1" t="str">
        <f>HYPERLINK("http://www.rosaceae.org/gb/gbrowse/malus_x_domestica/?name=MDP0000738639","MDP0000738639")</f>
        <v>MDP0000738639</v>
      </c>
      <c r="D22682">
        <v>90.74</v>
      </c>
      <c r="E22682">
        <v>54</v>
      </c>
      <c r="F22682">
        <v>5</v>
      </c>
      <c r="G22682">
        <v>0</v>
      </c>
      <c r="H22682">
        <v>63</v>
      </c>
      <c r="I22682">
        <v>116</v>
      </c>
      <c r="J22682">
        <v>1</v>
      </c>
      <c r="K22682">
        <v>150</v>
      </c>
      <c r="L22682">
        <v>203</v>
      </c>
      <c r="M22682">
        <v>1</v>
      </c>
      <c r="N22682">
        <v>2.0044200000000001E-24</v>
      </c>
      <c r="O22682">
        <v>270</v>
      </c>
    </row>
    <row r="22683" spans="1:15" x14ac:dyDescent="0.25">
      <c r="A22683" t="s">
        <v>22696</v>
      </c>
      <c r="B22683">
        <v>278</v>
      </c>
      <c r="C22683" s="1" t="str">
        <f>HYPERLINK("http://www.rosaceae.org/gb/gbrowse/malus_x_domestica/?name=MDP0000925348","MDP0000925348")</f>
        <v>MDP0000925348</v>
      </c>
      <c r="D22683">
        <v>52.98</v>
      </c>
      <c r="E22683">
        <v>268</v>
      </c>
      <c r="F22683">
        <v>126</v>
      </c>
      <c r="G22683">
        <v>22</v>
      </c>
      <c r="H22683">
        <v>1</v>
      </c>
      <c r="I22683">
        <v>266</v>
      </c>
      <c r="J22683">
        <v>1</v>
      </c>
      <c r="K22683">
        <v>1</v>
      </c>
      <c r="L22683">
        <v>248</v>
      </c>
      <c r="M22683">
        <v>1</v>
      </c>
      <c r="N22683">
        <v>1.28735E-64</v>
      </c>
      <c r="O22683">
        <v>621</v>
      </c>
    </row>
    <row r="22684" spans="1:15" x14ac:dyDescent="0.25">
      <c r="A22684" t="s">
        <v>22697</v>
      </c>
      <c r="B22684">
        <v>272</v>
      </c>
      <c r="C22684" s="1" t="str">
        <f>HYPERLINK("http://www.rosaceae.org/gb/gbrowse/malus_x_domestica/?name=MDP0000127028","MDP0000127028")</f>
        <v>MDP0000127028</v>
      </c>
      <c r="D22684">
        <v>35.43</v>
      </c>
      <c r="E22684">
        <v>254</v>
      </c>
      <c r="F22684">
        <v>164</v>
      </c>
      <c r="G22684">
        <v>43</v>
      </c>
      <c r="H22684">
        <v>28</v>
      </c>
      <c r="I22684">
        <v>262</v>
      </c>
      <c r="J22684">
        <v>1</v>
      </c>
      <c r="K22684">
        <v>26</v>
      </c>
      <c r="L22684">
        <v>255</v>
      </c>
      <c r="M22684">
        <v>1</v>
      </c>
      <c r="N22684">
        <v>1.9728600000000001E-26</v>
      </c>
      <c r="O22684">
        <v>291</v>
      </c>
    </row>
    <row r="22685" spans="1:15" x14ac:dyDescent="0.25">
      <c r="A22685" t="s">
        <v>22698</v>
      </c>
      <c r="B22685">
        <v>152</v>
      </c>
      <c r="C22685" s="1" t="str">
        <f>HYPERLINK("http://www.rosaceae.org/gb/gbrowse/malus_x_domestica/?name=MDP0000164131","MDP0000164131")</f>
        <v>MDP0000164131</v>
      </c>
      <c r="D22685">
        <v>52.63</v>
      </c>
      <c r="E22685">
        <v>171</v>
      </c>
      <c r="F22685">
        <v>81</v>
      </c>
      <c r="G22685">
        <v>22</v>
      </c>
      <c r="H22685">
        <v>1</v>
      </c>
      <c r="I22685">
        <v>149</v>
      </c>
      <c r="J22685">
        <v>1</v>
      </c>
      <c r="K22685">
        <v>1</v>
      </c>
      <c r="L22685">
        <v>171</v>
      </c>
      <c r="M22685">
        <v>1</v>
      </c>
      <c r="N22685">
        <v>1.4845400000000001E-46</v>
      </c>
      <c r="O22685">
        <v>461</v>
      </c>
    </row>
    <row r="22686" spans="1:15" x14ac:dyDescent="0.25">
      <c r="A22686" t="s">
        <v>22699</v>
      </c>
      <c r="B22686">
        <v>839</v>
      </c>
      <c r="C22686" s="1" t="str">
        <f>HYPERLINK("http://www.rosaceae.org/gb/gbrowse/malus_x_domestica/?name=MDP0000162375","MDP0000162375")</f>
        <v>MDP0000162375</v>
      </c>
      <c r="D22686">
        <v>61.11</v>
      </c>
      <c r="E22686">
        <v>792</v>
      </c>
      <c r="F22686">
        <v>308</v>
      </c>
      <c r="G22686">
        <v>16</v>
      </c>
      <c r="H22686">
        <v>11</v>
      </c>
      <c r="I22686">
        <v>799</v>
      </c>
      <c r="J22686">
        <v>1</v>
      </c>
      <c r="K22686">
        <v>15</v>
      </c>
      <c r="L22686">
        <v>793</v>
      </c>
      <c r="M22686">
        <v>1</v>
      </c>
      <c r="N22686">
        <v>0</v>
      </c>
      <c r="O22686">
        <v>2444</v>
      </c>
    </row>
    <row r="22687" spans="1:15" x14ac:dyDescent="0.25">
      <c r="A22687" t="s">
        <v>22700</v>
      </c>
      <c r="B22687">
        <v>1063</v>
      </c>
      <c r="C22687" s="1" t="str">
        <f>HYPERLINK("http://www.rosaceae.org/gb/gbrowse/malus_x_domestica/?name=MDP0000247868","MDP0000247868")</f>
        <v>MDP0000247868</v>
      </c>
      <c r="D22687">
        <v>59.63</v>
      </c>
      <c r="E22687">
        <v>872</v>
      </c>
      <c r="F22687">
        <v>352</v>
      </c>
      <c r="G22687">
        <v>13</v>
      </c>
      <c r="H22687">
        <v>180</v>
      </c>
      <c r="I22687">
        <v>1042</v>
      </c>
      <c r="J22687">
        <v>1</v>
      </c>
      <c r="K22687">
        <v>455</v>
      </c>
      <c r="L22687">
        <v>1322</v>
      </c>
      <c r="M22687">
        <v>1</v>
      </c>
      <c r="N22687">
        <v>0</v>
      </c>
      <c r="O22687">
        <v>2720</v>
      </c>
    </row>
    <row r="22688" spans="1:15" x14ac:dyDescent="0.25">
      <c r="A22688" t="s">
        <v>22701</v>
      </c>
      <c r="B22688">
        <v>335</v>
      </c>
      <c r="C22688" s="1" t="str">
        <f>HYPERLINK("http://www.rosaceae.org/gb/gbrowse/malus_x_domestica/?name=MDP0000207149","MDP0000207149")</f>
        <v>MDP0000207149</v>
      </c>
      <c r="D22688">
        <v>58.19</v>
      </c>
      <c r="E22688">
        <v>122</v>
      </c>
      <c r="F22688">
        <v>51</v>
      </c>
      <c r="G22688">
        <v>9</v>
      </c>
      <c r="H22688">
        <v>39</v>
      </c>
      <c r="I22688">
        <v>154</v>
      </c>
      <c r="J22688">
        <v>1</v>
      </c>
      <c r="K22688">
        <v>20</v>
      </c>
      <c r="L22688">
        <v>138</v>
      </c>
      <c r="M22688">
        <v>1</v>
      </c>
      <c r="N22688">
        <v>2.8874599999999999E-32</v>
      </c>
      <c r="O22688">
        <v>343</v>
      </c>
    </row>
    <row r="22689" spans="1:15" x14ac:dyDescent="0.25">
      <c r="A22689" t="s">
        <v>22702</v>
      </c>
      <c r="B22689">
        <v>556</v>
      </c>
      <c r="C22689" s="1" t="str">
        <f>HYPERLINK("http://www.rosaceae.org/gb/gbrowse/malus_x_domestica/?name=MDP0000195139","MDP0000195139")</f>
        <v>MDP0000195139</v>
      </c>
      <c r="D22689">
        <v>45.73</v>
      </c>
      <c r="E22689">
        <v>422</v>
      </c>
      <c r="F22689">
        <v>229</v>
      </c>
      <c r="G22689">
        <v>24</v>
      </c>
      <c r="H22689">
        <v>123</v>
      </c>
      <c r="I22689">
        <v>524</v>
      </c>
      <c r="J22689">
        <v>1</v>
      </c>
      <c r="K22689">
        <v>508</v>
      </c>
      <c r="L22689">
        <v>925</v>
      </c>
      <c r="M22689">
        <v>1</v>
      </c>
      <c r="N22689">
        <v>9.9859399999999991E-94</v>
      </c>
      <c r="O22689">
        <v>875</v>
      </c>
    </row>
    <row r="22690" spans="1:15" x14ac:dyDescent="0.25">
      <c r="A22690" t="s">
        <v>22703</v>
      </c>
      <c r="B22690">
        <v>884</v>
      </c>
      <c r="C22690" s="1" t="str">
        <f>HYPERLINK("http://www.rosaceae.org/gb/gbrowse/malus_x_domestica/?name=MDP0000138643","MDP0000138643")</f>
        <v>MDP0000138643</v>
      </c>
      <c r="D22690">
        <v>76.61</v>
      </c>
      <c r="E22690">
        <v>838</v>
      </c>
      <c r="F22690">
        <v>196</v>
      </c>
      <c r="G22690">
        <v>6</v>
      </c>
      <c r="H22690">
        <v>48</v>
      </c>
      <c r="I22690">
        <v>884</v>
      </c>
      <c r="J22690">
        <v>1</v>
      </c>
      <c r="K22690">
        <v>53</v>
      </c>
      <c r="L22690">
        <v>885</v>
      </c>
      <c r="M22690">
        <v>1</v>
      </c>
      <c r="N22690">
        <v>0</v>
      </c>
      <c r="O22690">
        <v>3268</v>
      </c>
    </row>
    <row r="22691" spans="1:15" x14ac:dyDescent="0.25">
      <c r="A22691" t="s">
        <v>22704</v>
      </c>
      <c r="B22691">
        <v>361</v>
      </c>
      <c r="C22691" s="1" t="str">
        <f>HYPERLINK("http://www.rosaceae.org/gb/gbrowse/malus_x_domestica/?name=MDP0000170174","MDP0000170174")</f>
        <v>MDP0000170174</v>
      </c>
      <c r="D22691">
        <v>91.94</v>
      </c>
      <c r="E22691">
        <v>335</v>
      </c>
      <c r="F22691">
        <v>27</v>
      </c>
      <c r="G22691">
        <v>0</v>
      </c>
      <c r="H22691">
        <v>27</v>
      </c>
      <c r="I22691">
        <v>361</v>
      </c>
      <c r="J22691">
        <v>1</v>
      </c>
      <c r="K22691">
        <v>852</v>
      </c>
      <c r="L22691">
        <v>1186</v>
      </c>
      <c r="M22691">
        <v>1</v>
      </c>
      <c r="N22691">
        <v>0</v>
      </c>
      <c r="O22691">
        <v>1690</v>
      </c>
    </row>
    <row r="22692" spans="1:15" x14ac:dyDescent="0.25">
      <c r="A22692" t="s">
        <v>22705</v>
      </c>
      <c r="B22692">
        <v>697</v>
      </c>
      <c r="C22692" s="1" t="str">
        <f>HYPERLINK("http://www.rosaceae.org/gb/gbrowse/malus_x_domestica/?name=MDP0000168881","MDP0000168881")</f>
        <v>MDP0000168881</v>
      </c>
      <c r="D22692">
        <v>60.02</v>
      </c>
      <c r="E22692">
        <v>738</v>
      </c>
      <c r="F22692">
        <v>295</v>
      </c>
      <c r="G22692">
        <v>60</v>
      </c>
      <c r="H22692">
        <v>14</v>
      </c>
      <c r="I22692">
        <v>696</v>
      </c>
      <c r="J22692">
        <v>1</v>
      </c>
      <c r="K22692">
        <v>14</v>
      </c>
      <c r="L22692">
        <v>746</v>
      </c>
      <c r="M22692">
        <v>1</v>
      </c>
      <c r="N22692">
        <v>0</v>
      </c>
      <c r="O22692">
        <v>2367</v>
      </c>
    </row>
    <row r="22693" spans="1:15" x14ac:dyDescent="0.25">
      <c r="A22693" t="s">
        <v>22706</v>
      </c>
      <c r="B22693">
        <v>3238</v>
      </c>
      <c r="C22693" s="1" t="str">
        <f>HYPERLINK("http://www.rosaceae.org/gb/gbrowse/malus_x_domestica/?name=MDP0000213729","MDP0000213729")</f>
        <v>MDP0000213729</v>
      </c>
      <c r="D22693">
        <v>66.180000000000007</v>
      </c>
      <c r="E22693">
        <v>893</v>
      </c>
      <c r="F22693">
        <v>302</v>
      </c>
      <c r="G22693">
        <v>83</v>
      </c>
      <c r="H22693">
        <v>1297</v>
      </c>
      <c r="I22693">
        <v>2177</v>
      </c>
      <c r="J22693">
        <v>1</v>
      </c>
      <c r="K22693">
        <v>1</v>
      </c>
      <c r="L22693">
        <v>822</v>
      </c>
      <c r="M22693">
        <v>1</v>
      </c>
      <c r="N22693">
        <v>0</v>
      </c>
      <c r="O22693">
        <v>2923</v>
      </c>
    </row>
    <row r="22694" spans="1:15" x14ac:dyDescent="0.25">
      <c r="A22694" t="s">
        <v>22707</v>
      </c>
      <c r="B22694">
        <v>99</v>
      </c>
      <c r="C22694" s="1" t="str">
        <f>HYPERLINK("http://www.rosaceae.org/gb/gbrowse/malus_x_domestica/?name=MDP0000240081","MDP0000240081")</f>
        <v>MDP0000240081</v>
      </c>
      <c r="D22694">
        <v>55.28</v>
      </c>
      <c r="E22694">
        <v>123</v>
      </c>
      <c r="F22694">
        <v>55</v>
      </c>
      <c r="G22694">
        <v>28</v>
      </c>
      <c r="H22694">
        <v>2</v>
      </c>
      <c r="I22694">
        <v>96</v>
      </c>
      <c r="J22694">
        <v>1</v>
      </c>
      <c r="K22694">
        <v>145</v>
      </c>
      <c r="L22694">
        <v>267</v>
      </c>
      <c r="M22694">
        <v>1</v>
      </c>
      <c r="N22694">
        <v>4.7272900000000003E-31</v>
      </c>
      <c r="O22694">
        <v>325</v>
      </c>
    </row>
    <row r="22695" spans="1:15" x14ac:dyDescent="0.25">
      <c r="A22695" t="s">
        <v>22708</v>
      </c>
      <c r="B22695">
        <v>402</v>
      </c>
      <c r="C22695" s="1" t="str">
        <f>HYPERLINK("http://www.rosaceae.org/gb/gbrowse/malus_x_domestica/?name=MDP0000808664","MDP0000808664")</f>
        <v>MDP0000808664</v>
      </c>
      <c r="D22695">
        <v>51.49</v>
      </c>
      <c r="E22695">
        <v>402</v>
      </c>
      <c r="F22695">
        <v>195</v>
      </c>
      <c r="G22695">
        <v>31</v>
      </c>
      <c r="H22695">
        <v>3</v>
      </c>
      <c r="I22695">
        <v>395</v>
      </c>
      <c r="J22695">
        <v>1</v>
      </c>
      <c r="K22695">
        <v>4</v>
      </c>
      <c r="L22695">
        <v>383</v>
      </c>
      <c r="M22695">
        <v>1</v>
      </c>
      <c r="N22695">
        <v>3.60801E-93</v>
      </c>
      <c r="O22695">
        <v>869</v>
      </c>
    </row>
    <row r="22696" spans="1:15" x14ac:dyDescent="0.25">
      <c r="A22696" t="s">
        <v>22709</v>
      </c>
      <c r="B22696">
        <v>110</v>
      </c>
      <c r="C22696" s="1" t="str">
        <f>HYPERLINK("http://www.rosaceae.org/gb/gbrowse/malus_x_domestica/?name=MDP0000874687","MDP0000874687")</f>
        <v>MDP0000874687</v>
      </c>
      <c r="D22696">
        <v>71.010000000000005</v>
      </c>
      <c r="E22696">
        <v>69</v>
      </c>
      <c r="F22696">
        <v>20</v>
      </c>
      <c r="G22696">
        <v>0</v>
      </c>
      <c r="H22696">
        <v>1</v>
      </c>
      <c r="I22696">
        <v>69</v>
      </c>
      <c r="J22696">
        <v>1</v>
      </c>
      <c r="K22696">
        <v>1</v>
      </c>
      <c r="L22696">
        <v>69</v>
      </c>
      <c r="M22696">
        <v>1</v>
      </c>
      <c r="N22696">
        <v>5.64487E-21</v>
      </c>
      <c r="O22696">
        <v>238</v>
      </c>
    </row>
    <row r="22697" spans="1:15" x14ac:dyDescent="0.25">
      <c r="A22697" t="s">
        <v>22710</v>
      </c>
      <c r="B22697">
        <v>610</v>
      </c>
      <c r="C22697" s="1" t="str">
        <f>HYPERLINK("http://www.rosaceae.org/gb/gbrowse/malus_x_domestica/?name=MDP0000286871","MDP0000286871")</f>
        <v>MDP0000286871</v>
      </c>
      <c r="D22697">
        <v>80.08</v>
      </c>
      <c r="E22697">
        <v>472</v>
      </c>
      <c r="F22697">
        <v>94</v>
      </c>
      <c r="G22697">
        <v>31</v>
      </c>
      <c r="H22697">
        <v>136</v>
      </c>
      <c r="I22697">
        <v>607</v>
      </c>
      <c r="J22697">
        <v>1</v>
      </c>
      <c r="K22697">
        <v>1</v>
      </c>
      <c r="L22697">
        <v>441</v>
      </c>
      <c r="M22697">
        <v>1</v>
      </c>
      <c r="N22697">
        <v>0</v>
      </c>
      <c r="O22697">
        <v>1939</v>
      </c>
    </row>
    <row r="22698" spans="1:15" x14ac:dyDescent="0.25">
      <c r="A22698" t="s">
        <v>22711</v>
      </c>
      <c r="B22698">
        <v>408</v>
      </c>
      <c r="C22698" s="1" t="str">
        <f>HYPERLINK("http://www.rosaceae.org/gb/gbrowse/malus_x_domestica/?name=MDP0000255102","MDP0000255102")</f>
        <v>MDP0000255102</v>
      </c>
      <c r="D22698">
        <v>65.44</v>
      </c>
      <c r="E22698">
        <v>408</v>
      </c>
      <c r="F22698">
        <v>141</v>
      </c>
      <c r="G22698">
        <v>56</v>
      </c>
      <c r="H22698">
        <v>52</v>
      </c>
      <c r="I22698">
        <v>408</v>
      </c>
      <c r="J22698">
        <v>1</v>
      </c>
      <c r="K22698">
        <v>63</v>
      </c>
      <c r="L22698">
        <v>465</v>
      </c>
      <c r="M22698">
        <v>1</v>
      </c>
      <c r="N22698">
        <v>2.49677E-137</v>
      </c>
      <c r="O22698">
        <v>1250</v>
      </c>
    </row>
    <row r="22699" spans="1:15" x14ac:dyDescent="0.25">
      <c r="A22699" t="s">
        <v>22712</v>
      </c>
      <c r="B22699">
        <v>580</v>
      </c>
      <c r="C22699" s="1" t="str">
        <f>HYPERLINK("http://www.rosaceae.org/gb/gbrowse/malus_x_domestica/?name=MDP0000065975","MDP0000065975")</f>
        <v>MDP0000065975</v>
      </c>
      <c r="D22699">
        <v>70.78</v>
      </c>
      <c r="E22699">
        <v>558</v>
      </c>
      <c r="F22699">
        <v>163</v>
      </c>
      <c r="G22699">
        <v>6</v>
      </c>
      <c r="H22699">
        <v>1</v>
      </c>
      <c r="I22699">
        <v>556</v>
      </c>
      <c r="J22699">
        <v>1</v>
      </c>
      <c r="K22699">
        <v>1</v>
      </c>
      <c r="L22699">
        <v>554</v>
      </c>
      <c r="M22699">
        <v>1</v>
      </c>
      <c r="N22699">
        <v>0</v>
      </c>
      <c r="O22699">
        <v>1970</v>
      </c>
    </row>
    <row r="22700" spans="1:15" x14ac:dyDescent="0.25">
      <c r="A22700" t="s">
        <v>22713</v>
      </c>
      <c r="B22700">
        <v>660</v>
      </c>
      <c r="C22700" s="1" t="str">
        <f>HYPERLINK("http://www.rosaceae.org/gb/gbrowse/malus_x_domestica/?name=MDP0000265637","MDP0000265637")</f>
        <v>MDP0000265637</v>
      </c>
      <c r="D22700">
        <v>76.58</v>
      </c>
      <c r="E22700">
        <v>632</v>
      </c>
      <c r="F22700">
        <v>148</v>
      </c>
      <c r="G22700">
        <v>5</v>
      </c>
      <c r="H22700">
        <v>29</v>
      </c>
      <c r="I22700">
        <v>660</v>
      </c>
      <c r="J22700">
        <v>1</v>
      </c>
      <c r="K22700">
        <v>52</v>
      </c>
      <c r="L22700">
        <v>678</v>
      </c>
      <c r="M22700">
        <v>1</v>
      </c>
      <c r="N22700">
        <v>0</v>
      </c>
      <c r="O22700">
        <v>2581</v>
      </c>
    </row>
    <row r="22701" spans="1:15" x14ac:dyDescent="0.25">
      <c r="A22701" t="s">
        <v>22714</v>
      </c>
      <c r="B22701">
        <v>525</v>
      </c>
      <c r="C22701" s="1" t="str">
        <f>HYPERLINK("http://www.rosaceae.org/gb/gbrowse/malus_x_domestica/?name=MDP0000162833","MDP0000162833")</f>
        <v>MDP0000162833</v>
      </c>
      <c r="D22701">
        <v>74.099999999999994</v>
      </c>
      <c r="E22701">
        <v>529</v>
      </c>
      <c r="F22701">
        <v>137</v>
      </c>
      <c r="G22701">
        <v>5</v>
      </c>
      <c r="H22701">
        <v>1</v>
      </c>
      <c r="I22701">
        <v>525</v>
      </c>
      <c r="J22701">
        <v>1</v>
      </c>
      <c r="K22701">
        <v>1</v>
      </c>
      <c r="L22701">
        <v>528</v>
      </c>
      <c r="M22701">
        <v>1</v>
      </c>
      <c r="N22701">
        <v>0</v>
      </c>
      <c r="O22701">
        <v>2097</v>
      </c>
    </row>
    <row r="22702" spans="1:15" x14ac:dyDescent="0.25">
      <c r="A22702" t="s">
        <v>22715</v>
      </c>
      <c r="B22702">
        <v>542</v>
      </c>
      <c r="C22702" s="1" t="str">
        <f>HYPERLINK("http://www.rosaceae.org/gb/gbrowse/malus_x_domestica/?name=MDP0000260393","MDP0000260393")</f>
        <v>MDP0000260393</v>
      </c>
      <c r="D22702">
        <v>66.2</v>
      </c>
      <c r="E22702">
        <v>364</v>
      </c>
      <c r="F22702">
        <v>123</v>
      </c>
      <c r="G22702">
        <v>0</v>
      </c>
      <c r="H22702">
        <v>33</v>
      </c>
      <c r="I22702">
        <v>396</v>
      </c>
      <c r="J22702">
        <v>1</v>
      </c>
      <c r="K22702">
        <v>34</v>
      </c>
      <c r="L22702">
        <v>397</v>
      </c>
      <c r="M22702">
        <v>1</v>
      </c>
      <c r="N22702">
        <v>1.8839000000000001E-146</v>
      </c>
      <c r="O22702">
        <v>1330</v>
      </c>
    </row>
    <row r="22703" spans="1:15" x14ac:dyDescent="0.25">
      <c r="A22703" t="s">
        <v>22716</v>
      </c>
      <c r="B22703">
        <v>573</v>
      </c>
      <c r="C22703" s="1" t="str">
        <f>HYPERLINK("http://www.rosaceae.org/gb/gbrowse/malus_x_domestica/?name=MDP0000281525","MDP0000281525")</f>
        <v>MDP0000281525</v>
      </c>
      <c r="D22703">
        <v>69.98</v>
      </c>
      <c r="E22703">
        <v>613</v>
      </c>
      <c r="F22703">
        <v>184</v>
      </c>
      <c r="G22703">
        <v>73</v>
      </c>
      <c r="H22703">
        <v>5</v>
      </c>
      <c r="I22703">
        <v>544</v>
      </c>
      <c r="J22703">
        <v>1</v>
      </c>
      <c r="K22703">
        <v>128</v>
      </c>
      <c r="L22703">
        <v>740</v>
      </c>
      <c r="M22703">
        <v>1</v>
      </c>
      <c r="N22703">
        <v>0</v>
      </c>
      <c r="O22703">
        <v>2259</v>
      </c>
    </row>
    <row r="22704" spans="1:15" x14ac:dyDescent="0.25">
      <c r="A22704" t="s">
        <v>22717</v>
      </c>
      <c r="B22704">
        <v>421</v>
      </c>
      <c r="C22704" s="1" t="str">
        <f>HYPERLINK("http://www.rosaceae.org/gb/gbrowse/malus_x_domestica/?name=MDP0000308863","MDP0000308863")</f>
        <v>MDP0000308863</v>
      </c>
      <c r="D22704">
        <v>53.89</v>
      </c>
      <c r="E22704">
        <v>321</v>
      </c>
      <c r="F22704">
        <v>148</v>
      </c>
      <c r="G22704">
        <v>50</v>
      </c>
      <c r="H22704">
        <v>1</v>
      </c>
      <c r="I22704">
        <v>295</v>
      </c>
      <c r="J22704">
        <v>1</v>
      </c>
      <c r="K22704">
        <v>1</v>
      </c>
      <c r="L22704">
        <v>297</v>
      </c>
      <c r="M22704">
        <v>1</v>
      </c>
      <c r="N22704">
        <v>3.03105E-74</v>
      </c>
      <c r="O22704">
        <v>706</v>
      </c>
    </row>
    <row r="22705" spans="1:15" x14ac:dyDescent="0.25">
      <c r="A22705" t="s">
        <v>22718</v>
      </c>
      <c r="B22705">
        <v>73</v>
      </c>
      <c r="C22705" s="1" t="str">
        <f>HYPERLINK("http://www.rosaceae.org/gb/gbrowse/malus_x_domestica/?name=MDP0000305085","MDP0000305085")</f>
        <v>MDP0000305085</v>
      </c>
      <c r="D22705">
        <v>36.229999999999997</v>
      </c>
      <c r="E22705">
        <v>69</v>
      </c>
      <c r="F22705">
        <v>44</v>
      </c>
      <c r="G22705">
        <v>0</v>
      </c>
      <c r="H22705">
        <v>5</v>
      </c>
      <c r="I22705">
        <v>73</v>
      </c>
      <c r="J22705">
        <v>1</v>
      </c>
      <c r="K22705">
        <v>1</v>
      </c>
      <c r="L22705">
        <v>69</v>
      </c>
      <c r="M22705">
        <v>1</v>
      </c>
      <c r="N22705">
        <v>1.5538700000000001E-8</v>
      </c>
      <c r="O22705">
        <v>131</v>
      </c>
    </row>
    <row r="22706" spans="1:15" x14ac:dyDescent="0.25">
      <c r="A22706" t="s">
        <v>22719</v>
      </c>
      <c r="B22706">
        <v>605</v>
      </c>
      <c r="C22706" s="1" t="str">
        <f>HYPERLINK("http://www.rosaceae.org/gb/gbrowse/malus_x_domestica/?name=MDP0000319550","MDP0000319550")</f>
        <v>MDP0000319550</v>
      </c>
      <c r="D22706">
        <v>60.38</v>
      </c>
      <c r="E22706">
        <v>573</v>
      </c>
      <c r="F22706">
        <v>227</v>
      </c>
      <c r="G22706">
        <v>13</v>
      </c>
      <c r="H22706">
        <v>18</v>
      </c>
      <c r="I22706">
        <v>580</v>
      </c>
      <c r="J22706">
        <v>1</v>
      </c>
      <c r="K22706">
        <v>19</v>
      </c>
      <c r="L22706">
        <v>588</v>
      </c>
      <c r="M22706">
        <v>1</v>
      </c>
      <c r="N22706">
        <v>0</v>
      </c>
      <c r="O22706">
        <v>1808</v>
      </c>
    </row>
    <row r="22707" spans="1:15" x14ac:dyDescent="0.25">
      <c r="A22707" t="s">
        <v>22720</v>
      </c>
      <c r="B22707">
        <v>167</v>
      </c>
      <c r="C22707" s="1" t="str">
        <f>HYPERLINK("http://www.rosaceae.org/gb/gbrowse/malus_x_domestica/?name=MDP0000704938","MDP0000704938")</f>
        <v>MDP0000704938</v>
      </c>
      <c r="D22707">
        <v>34.450000000000003</v>
      </c>
      <c r="E22707">
        <v>119</v>
      </c>
      <c r="F22707">
        <v>78</v>
      </c>
      <c r="G22707">
        <v>12</v>
      </c>
      <c r="H22707">
        <v>34</v>
      </c>
      <c r="I22707">
        <v>143</v>
      </c>
      <c r="J22707">
        <v>1</v>
      </c>
      <c r="K22707">
        <v>26</v>
      </c>
      <c r="L22707">
        <v>141</v>
      </c>
      <c r="M22707">
        <v>1</v>
      </c>
      <c r="N22707">
        <v>1.4545699999999999E-12</v>
      </c>
      <c r="O22707">
        <v>169</v>
      </c>
    </row>
    <row r="22708" spans="1:15" x14ac:dyDescent="0.25">
      <c r="A22708" t="s">
        <v>22721</v>
      </c>
      <c r="B22708">
        <v>156</v>
      </c>
      <c r="C22708" s="1" t="str">
        <f>HYPERLINK("http://www.rosaceae.org/gb/gbrowse/malus_x_domestica/?name=MDP0000299726","MDP0000299726")</f>
        <v>MDP0000299726</v>
      </c>
      <c r="D22708">
        <v>36.119999999999997</v>
      </c>
      <c r="E22708">
        <v>155</v>
      </c>
      <c r="F22708">
        <v>99</v>
      </c>
      <c r="G22708">
        <v>32</v>
      </c>
      <c r="H22708">
        <v>2</v>
      </c>
      <c r="I22708">
        <v>156</v>
      </c>
      <c r="J22708">
        <v>1</v>
      </c>
      <c r="K22708">
        <v>485</v>
      </c>
      <c r="L22708">
        <v>607</v>
      </c>
      <c r="M22708">
        <v>1</v>
      </c>
      <c r="N22708">
        <v>1.6347399999999999E-19</v>
      </c>
      <c r="O22708">
        <v>228</v>
      </c>
    </row>
    <row r="22709" spans="1:15" x14ac:dyDescent="0.25">
      <c r="A22709" t="s">
        <v>22722</v>
      </c>
      <c r="B22709">
        <v>317</v>
      </c>
      <c r="C22709" s="1" t="str">
        <f>HYPERLINK("http://www.rosaceae.org/gb/gbrowse/malus_x_domestica/?name=MDP0000950999","MDP0000950999")</f>
        <v>MDP0000950999</v>
      </c>
      <c r="D22709">
        <v>37.44</v>
      </c>
      <c r="E22709">
        <v>219</v>
      </c>
      <c r="F22709">
        <v>137</v>
      </c>
      <c r="G22709">
        <v>22</v>
      </c>
      <c r="H22709">
        <v>83</v>
      </c>
      <c r="I22709">
        <v>293</v>
      </c>
      <c r="J22709">
        <v>1</v>
      </c>
      <c r="K22709">
        <v>154</v>
      </c>
      <c r="L22709">
        <v>358</v>
      </c>
      <c r="M22709">
        <v>1</v>
      </c>
      <c r="N22709">
        <v>4.4769500000000001E-24</v>
      </c>
      <c r="O22709">
        <v>272</v>
      </c>
    </row>
    <row r="22710" spans="1:15" x14ac:dyDescent="0.25">
      <c r="A22710" t="s">
        <v>22723</v>
      </c>
      <c r="B22710">
        <v>696</v>
      </c>
      <c r="C22710" s="1" t="str">
        <f>HYPERLINK("http://www.rosaceae.org/gb/gbrowse/malus_x_domestica/?name=MDP0000306640","MDP0000306640")</f>
        <v>MDP0000306640</v>
      </c>
      <c r="D22710">
        <v>58.01</v>
      </c>
      <c r="E22710">
        <v>686</v>
      </c>
      <c r="F22710">
        <v>288</v>
      </c>
      <c r="G22710">
        <v>38</v>
      </c>
      <c r="H22710">
        <v>24</v>
      </c>
      <c r="I22710">
        <v>696</v>
      </c>
      <c r="J22710">
        <v>1</v>
      </c>
      <c r="K22710">
        <v>149</v>
      </c>
      <c r="L22710">
        <v>809</v>
      </c>
      <c r="M22710">
        <v>1</v>
      </c>
      <c r="N22710">
        <v>0</v>
      </c>
      <c r="O22710">
        <v>1897</v>
      </c>
    </row>
    <row r="22711" spans="1:15" x14ac:dyDescent="0.25">
      <c r="A22711" t="s">
        <v>22724</v>
      </c>
      <c r="B22711">
        <v>300</v>
      </c>
      <c r="C22711" s="1" t="str">
        <f>HYPERLINK("http://www.rosaceae.org/gb/gbrowse/malus_x_domestica/?name=MDP0000211241","MDP0000211241")</f>
        <v>MDP0000211241</v>
      </c>
      <c r="D22711">
        <v>55.04</v>
      </c>
      <c r="E22711">
        <v>307</v>
      </c>
      <c r="F22711">
        <v>138</v>
      </c>
      <c r="G22711">
        <v>45</v>
      </c>
      <c r="H22711">
        <v>1</v>
      </c>
      <c r="I22711">
        <v>282</v>
      </c>
      <c r="J22711">
        <v>1</v>
      </c>
      <c r="K22711">
        <v>1</v>
      </c>
      <c r="L22711">
        <v>287</v>
      </c>
      <c r="M22711">
        <v>1</v>
      </c>
      <c r="N22711">
        <v>7.7940099999999992E-71</v>
      </c>
      <c r="O22711">
        <v>675</v>
      </c>
    </row>
    <row r="22712" spans="1:15" x14ac:dyDescent="0.25">
      <c r="A22712" t="s">
        <v>22725</v>
      </c>
      <c r="B22712">
        <v>761</v>
      </c>
      <c r="C22712" s="1" t="str">
        <f>HYPERLINK("http://www.rosaceae.org/gb/gbrowse/malus_x_domestica/?name=MDP0000234124","MDP0000234124")</f>
        <v>MDP0000234124</v>
      </c>
      <c r="D22712">
        <v>71.290000000000006</v>
      </c>
      <c r="E22712">
        <v>749</v>
      </c>
      <c r="F22712">
        <v>215</v>
      </c>
      <c r="G22712">
        <v>46</v>
      </c>
      <c r="H22712">
        <v>50</v>
      </c>
      <c r="I22712">
        <v>759</v>
      </c>
      <c r="J22712">
        <v>1</v>
      </c>
      <c r="K22712">
        <v>56</v>
      </c>
      <c r="L22712">
        <v>797</v>
      </c>
      <c r="M22712">
        <v>1</v>
      </c>
      <c r="N22712">
        <v>0</v>
      </c>
      <c r="O22712">
        <v>2806</v>
      </c>
    </row>
    <row r="22713" spans="1:15" x14ac:dyDescent="0.25">
      <c r="A22713" t="s">
        <v>22726</v>
      </c>
      <c r="B22713">
        <v>337</v>
      </c>
      <c r="C22713" s="1" t="str">
        <f>HYPERLINK("http://www.rosaceae.org/gb/gbrowse/malus_x_domestica/?name=MDP0000445291","MDP0000445291")</f>
        <v>MDP0000445291</v>
      </c>
      <c r="D22713">
        <v>58.46</v>
      </c>
      <c r="E22713">
        <v>313</v>
      </c>
      <c r="F22713">
        <v>130</v>
      </c>
      <c r="G22713">
        <v>42</v>
      </c>
      <c r="H22713">
        <v>1</v>
      </c>
      <c r="I22713">
        <v>282</v>
      </c>
      <c r="J22713">
        <v>1</v>
      </c>
      <c r="K22713">
        <v>190</v>
      </c>
      <c r="L22713">
        <v>491</v>
      </c>
      <c r="M22713">
        <v>1</v>
      </c>
      <c r="N22713">
        <v>1.81253E-85</v>
      </c>
      <c r="O22713">
        <v>802</v>
      </c>
    </row>
    <row r="22714" spans="1:15" x14ac:dyDescent="0.25">
      <c r="A22714" t="s">
        <v>22727</v>
      </c>
      <c r="B22714">
        <v>410</v>
      </c>
      <c r="C22714" s="1" t="str">
        <f>HYPERLINK("http://www.rosaceae.org/gb/gbrowse/malus_x_domestica/?name=MDP0000312342","MDP0000312342")</f>
        <v>MDP0000312342</v>
      </c>
      <c r="D22714">
        <v>27.59</v>
      </c>
      <c r="E22714">
        <v>366</v>
      </c>
      <c r="F22714">
        <v>265</v>
      </c>
      <c r="G22714">
        <v>58</v>
      </c>
      <c r="H22714">
        <v>13</v>
      </c>
      <c r="I22714">
        <v>361</v>
      </c>
      <c r="J22714">
        <v>1</v>
      </c>
      <c r="K22714">
        <v>5</v>
      </c>
      <c r="L22714">
        <v>329</v>
      </c>
      <c r="M22714">
        <v>1</v>
      </c>
      <c r="N22714">
        <v>3.7199799999999999E-22</v>
      </c>
      <c r="O22714">
        <v>257</v>
      </c>
    </row>
    <row r="22715" spans="1:15" x14ac:dyDescent="0.25">
      <c r="A22715" t="s">
        <v>22728</v>
      </c>
      <c r="B22715">
        <v>637</v>
      </c>
      <c r="C22715" s="1" t="str">
        <f>HYPERLINK("http://www.rosaceae.org/gb/gbrowse/malus_x_domestica/?name=MDP0000254260","MDP0000254260")</f>
        <v>MDP0000254260</v>
      </c>
      <c r="D22715">
        <v>54.84</v>
      </c>
      <c r="E22715">
        <v>485</v>
      </c>
      <c r="F22715">
        <v>219</v>
      </c>
      <c r="G22715">
        <v>39</v>
      </c>
      <c r="H22715">
        <v>187</v>
      </c>
      <c r="I22715">
        <v>634</v>
      </c>
      <c r="J22715">
        <v>1</v>
      </c>
      <c r="K22715">
        <v>46</v>
      </c>
      <c r="L22715">
        <v>528</v>
      </c>
      <c r="M22715">
        <v>1</v>
      </c>
      <c r="N22715">
        <v>8.9432100000000004E-137</v>
      </c>
      <c r="O22715">
        <v>1247</v>
      </c>
    </row>
    <row r="22716" spans="1:15" x14ac:dyDescent="0.25">
      <c r="A22716" t="s">
        <v>22729</v>
      </c>
      <c r="B22716">
        <v>240</v>
      </c>
      <c r="C22716" s="1" t="str">
        <f>HYPERLINK("http://www.rosaceae.org/gb/gbrowse/malus_x_domestica/?name=MDP0000307742","MDP0000307742")</f>
        <v>MDP0000307742</v>
      </c>
      <c r="D22716">
        <v>71.75</v>
      </c>
      <c r="E22716">
        <v>216</v>
      </c>
      <c r="F22716">
        <v>61</v>
      </c>
      <c r="G22716">
        <v>1</v>
      </c>
      <c r="H22716">
        <v>1</v>
      </c>
      <c r="I22716">
        <v>216</v>
      </c>
      <c r="J22716">
        <v>1</v>
      </c>
      <c r="K22716">
        <v>37</v>
      </c>
      <c r="L22716">
        <v>251</v>
      </c>
      <c r="M22716">
        <v>1</v>
      </c>
      <c r="N22716">
        <v>8.3181500000000002E-88</v>
      </c>
      <c r="O22716">
        <v>820</v>
      </c>
    </row>
    <row r="22717" spans="1:15" x14ac:dyDescent="0.25">
      <c r="A22717" t="s">
        <v>22730</v>
      </c>
      <c r="B22717">
        <v>716</v>
      </c>
      <c r="C22717" s="1" t="str">
        <f>HYPERLINK("http://www.rosaceae.org/gb/gbrowse/malus_x_domestica/?name=MDP0000302966","MDP0000302966")</f>
        <v>MDP0000302966</v>
      </c>
      <c r="D22717">
        <v>71.849999999999994</v>
      </c>
      <c r="E22717">
        <v>675</v>
      </c>
      <c r="F22717">
        <v>190</v>
      </c>
      <c r="G22717">
        <v>33</v>
      </c>
      <c r="H22717">
        <v>43</v>
      </c>
      <c r="I22717">
        <v>714</v>
      </c>
      <c r="J22717">
        <v>1</v>
      </c>
      <c r="K22717">
        <v>5</v>
      </c>
      <c r="L22717">
        <v>649</v>
      </c>
      <c r="M22717">
        <v>1</v>
      </c>
      <c r="N22717">
        <v>0</v>
      </c>
      <c r="O22717">
        <v>2537</v>
      </c>
    </row>
    <row r="22718" spans="1:15" x14ac:dyDescent="0.25">
      <c r="A22718" t="s">
        <v>22731</v>
      </c>
      <c r="B22718">
        <v>634</v>
      </c>
      <c r="C22718" s="1" t="str">
        <f>HYPERLINK("http://www.rosaceae.org/gb/gbrowse/malus_x_domestica/?name=MDP0000148030","MDP0000148030")</f>
        <v>MDP0000148030</v>
      </c>
      <c r="D22718">
        <v>74.61</v>
      </c>
      <c r="E22718">
        <v>516</v>
      </c>
      <c r="F22718">
        <v>131</v>
      </c>
      <c r="G22718">
        <v>18</v>
      </c>
      <c r="H22718">
        <v>136</v>
      </c>
      <c r="I22718">
        <v>633</v>
      </c>
      <c r="J22718">
        <v>1</v>
      </c>
      <c r="K22718">
        <v>35</v>
      </c>
      <c r="L22718">
        <v>550</v>
      </c>
      <c r="M22718">
        <v>1</v>
      </c>
      <c r="N22718">
        <v>0</v>
      </c>
      <c r="O22718">
        <v>2024</v>
      </c>
    </row>
    <row r="22719" spans="1:15" x14ac:dyDescent="0.25">
      <c r="A22719" t="s">
        <v>22732</v>
      </c>
      <c r="B22719">
        <v>397</v>
      </c>
      <c r="C22719" s="1" t="str">
        <f>HYPERLINK("http://www.rosaceae.org/gb/gbrowse/malus_x_domestica/?name=MDP0000305810","MDP0000305810")</f>
        <v>MDP0000305810</v>
      </c>
      <c r="D22719">
        <v>25.43</v>
      </c>
      <c r="E22719">
        <v>405</v>
      </c>
      <c r="F22719">
        <v>302</v>
      </c>
      <c r="G22719">
        <v>82</v>
      </c>
      <c r="H22719">
        <v>4</v>
      </c>
      <c r="I22719">
        <v>340</v>
      </c>
      <c r="J22719">
        <v>1</v>
      </c>
      <c r="K22719">
        <v>122</v>
      </c>
      <c r="L22719">
        <v>512</v>
      </c>
      <c r="M22719">
        <v>1</v>
      </c>
      <c r="N22719">
        <v>6.6655700000000002E-18</v>
      </c>
      <c r="O22719">
        <v>220</v>
      </c>
    </row>
    <row r="22720" spans="1:15" x14ac:dyDescent="0.25">
      <c r="A22720" t="s">
        <v>22733</v>
      </c>
      <c r="B22720">
        <v>377</v>
      </c>
      <c r="C22720" s="1" t="str">
        <f>HYPERLINK("http://www.rosaceae.org/gb/gbrowse/malus_x_domestica/?name=MDP0000293167","MDP0000293167")</f>
        <v>MDP0000293167</v>
      </c>
      <c r="D22720">
        <v>37.549999999999997</v>
      </c>
      <c r="E22720">
        <v>237</v>
      </c>
      <c r="F22720">
        <v>148</v>
      </c>
      <c r="G22720">
        <v>13</v>
      </c>
      <c r="H22720">
        <v>147</v>
      </c>
      <c r="I22720">
        <v>375</v>
      </c>
      <c r="J22720">
        <v>1</v>
      </c>
      <c r="K22720">
        <v>9</v>
      </c>
      <c r="L22720">
        <v>240</v>
      </c>
      <c r="M22720">
        <v>1</v>
      </c>
      <c r="N22720">
        <v>6.4899899999999997E-34</v>
      </c>
      <c r="O22720">
        <v>358</v>
      </c>
    </row>
    <row r="22721" spans="1:15" x14ac:dyDescent="0.25">
      <c r="A22721" t="s">
        <v>22734</v>
      </c>
      <c r="B22721">
        <v>465</v>
      </c>
      <c r="C22721" s="1" t="str">
        <f>HYPERLINK("http://www.rosaceae.org/gb/gbrowse/malus_x_domestica/?name=MDP0000165526","MDP0000165526")</f>
        <v>MDP0000165526</v>
      </c>
      <c r="D22721">
        <v>88.67</v>
      </c>
      <c r="E22721">
        <v>371</v>
      </c>
      <c r="F22721">
        <v>42</v>
      </c>
      <c r="G22721">
        <v>7</v>
      </c>
      <c r="H22721">
        <v>100</v>
      </c>
      <c r="I22721">
        <v>464</v>
      </c>
      <c r="J22721">
        <v>1</v>
      </c>
      <c r="K22721">
        <v>55</v>
      </c>
      <c r="L22721">
        <v>424</v>
      </c>
      <c r="M22721">
        <v>1</v>
      </c>
      <c r="N22721">
        <v>0</v>
      </c>
      <c r="O22721">
        <v>1731</v>
      </c>
    </row>
    <row r="22722" spans="1:15" x14ac:dyDescent="0.25">
      <c r="A22722" t="s">
        <v>22735</v>
      </c>
      <c r="B22722">
        <v>249</v>
      </c>
      <c r="C22722" s="1" t="str">
        <f>HYPERLINK("http://www.rosaceae.org/gb/gbrowse/malus_x_domestica/?name=MDP0000321595","MDP0000321595")</f>
        <v>MDP0000321595</v>
      </c>
      <c r="D22722">
        <v>80.319999999999993</v>
      </c>
      <c r="E22722">
        <v>249</v>
      </c>
      <c r="F22722">
        <v>49</v>
      </c>
      <c r="G22722">
        <v>0</v>
      </c>
      <c r="H22722">
        <v>1</v>
      </c>
      <c r="I22722">
        <v>249</v>
      </c>
      <c r="J22722">
        <v>1</v>
      </c>
      <c r="K22722">
        <v>1</v>
      </c>
      <c r="L22722">
        <v>249</v>
      </c>
      <c r="M22722">
        <v>1</v>
      </c>
      <c r="N22722">
        <v>9.51468E-120</v>
      </c>
      <c r="O22722">
        <v>1096</v>
      </c>
    </row>
    <row r="22723" spans="1:15" x14ac:dyDescent="0.25">
      <c r="A22723" t="s">
        <v>22736</v>
      </c>
      <c r="B22723">
        <v>1392</v>
      </c>
      <c r="C22723" s="1" t="str">
        <f>HYPERLINK("http://www.rosaceae.org/gb/gbrowse/malus_x_domestica/?name=MDP0000257884","MDP0000257884")</f>
        <v>MDP0000257884</v>
      </c>
      <c r="D22723">
        <v>70.42</v>
      </c>
      <c r="E22723">
        <v>1109</v>
      </c>
      <c r="F22723">
        <v>328</v>
      </c>
      <c r="G22723">
        <v>4</v>
      </c>
      <c r="H22723">
        <v>22</v>
      </c>
      <c r="I22723">
        <v>1128</v>
      </c>
      <c r="J22723">
        <v>1</v>
      </c>
      <c r="K22723">
        <v>80</v>
      </c>
      <c r="L22723">
        <v>1186</v>
      </c>
      <c r="M22723">
        <v>1</v>
      </c>
      <c r="N22723">
        <v>0</v>
      </c>
      <c r="O22723">
        <v>4017</v>
      </c>
    </row>
    <row r="22724" spans="1:15" x14ac:dyDescent="0.25">
      <c r="A22724" t="s">
        <v>22737</v>
      </c>
      <c r="B22724">
        <v>276</v>
      </c>
      <c r="C22724" s="1" t="str">
        <f>HYPERLINK("http://www.rosaceae.org/gb/gbrowse/malus_x_domestica/?name=MDP0000412490","MDP0000412490")</f>
        <v>MDP0000412490</v>
      </c>
      <c r="D22724">
        <v>54.1</v>
      </c>
      <c r="E22724">
        <v>268</v>
      </c>
      <c r="F22724">
        <v>123</v>
      </c>
      <c r="G22724">
        <v>1</v>
      </c>
      <c r="H22724">
        <v>7</v>
      </c>
      <c r="I22724">
        <v>273</v>
      </c>
      <c r="J22724">
        <v>1</v>
      </c>
      <c r="K22724">
        <v>5</v>
      </c>
      <c r="L22724">
        <v>272</v>
      </c>
      <c r="M22724">
        <v>1</v>
      </c>
      <c r="N22724">
        <v>8.7756599999999992E-81</v>
      </c>
      <c r="O22724">
        <v>760</v>
      </c>
    </row>
    <row r="22725" spans="1:15" x14ac:dyDescent="0.25">
      <c r="A22725" t="s">
        <v>22738</v>
      </c>
      <c r="B22725">
        <v>953</v>
      </c>
      <c r="C22725" s="1" t="str">
        <f>HYPERLINK("http://www.rosaceae.org/gb/gbrowse/malus_x_domestica/?name=MDP0000303799","MDP0000303799")</f>
        <v>MDP0000303799</v>
      </c>
      <c r="D22725">
        <v>83.12</v>
      </c>
      <c r="E22725">
        <v>954</v>
      </c>
      <c r="F22725">
        <v>161</v>
      </c>
      <c r="G22725">
        <v>5</v>
      </c>
      <c r="H22725">
        <v>1</v>
      </c>
      <c r="I22725">
        <v>953</v>
      </c>
      <c r="J22725">
        <v>1</v>
      </c>
      <c r="K22725">
        <v>1</v>
      </c>
      <c r="L22725">
        <v>950</v>
      </c>
      <c r="M22725">
        <v>1</v>
      </c>
      <c r="N22725">
        <v>0</v>
      </c>
      <c r="O22725">
        <v>4172</v>
      </c>
    </row>
    <row r="22726" spans="1:15" x14ac:dyDescent="0.25">
      <c r="A22726" t="s">
        <v>22739</v>
      </c>
      <c r="B22726">
        <v>892</v>
      </c>
      <c r="C22726" s="1" t="str">
        <f>HYPERLINK("http://www.rosaceae.org/gb/gbrowse/malus_x_domestica/?name=MDP0000798878","MDP0000798878")</f>
        <v>MDP0000798878</v>
      </c>
      <c r="D22726">
        <v>92.26</v>
      </c>
      <c r="E22726">
        <v>672</v>
      </c>
      <c r="F22726">
        <v>52</v>
      </c>
      <c r="G22726">
        <v>0</v>
      </c>
      <c r="H22726">
        <v>221</v>
      </c>
      <c r="I22726">
        <v>892</v>
      </c>
      <c r="J22726">
        <v>1</v>
      </c>
      <c r="K22726">
        <v>43</v>
      </c>
      <c r="L22726">
        <v>714</v>
      </c>
      <c r="M22726">
        <v>1</v>
      </c>
      <c r="N22726">
        <v>0</v>
      </c>
      <c r="O22726">
        <v>3300</v>
      </c>
    </row>
    <row r="22727" spans="1:15" x14ac:dyDescent="0.25">
      <c r="A22727" t="s">
        <v>22740</v>
      </c>
      <c r="B22727">
        <v>1717</v>
      </c>
      <c r="C22727" s="1" t="str">
        <f>HYPERLINK("http://www.rosaceae.org/gb/gbrowse/malus_x_domestica/?name=MDP0000300726","MDP0000300726")</f>
        <v>MDP0000300726</v>
      </c>
      <c r="D22727">
        <v>76.33</v>
      </c>
      <c r="E22727">
        <v>672</v>
      </c>
      <c r="F22727">
        <v>159</v>
      </c>
      <c r="G22727">
        <v>13</v>
      </c>
      <c r="H22727">
        <v>974</v>
      </c>
      <c r="I22727">
        <v>1635</v>
      </c>
      <c r="J22727">
        <v>1</v>
      </c>
      <c r="K22727">
        <v>966</v>
      </c>
      <c r="L22727">
        <v>1634</v>
      </c>
      <c r="M22727">
        <v>1</v>
      </c>
      <c r="N22727">
        <v>0</v>
      </c>
      <c r="O22727">
        <v>2713</v>
      </c>
    </row>
    <row r="22728" spans="1:15" x14ac:dyDescent="0.25">
      <c r="A22728" t="s">
        <v>22741</v>
      </c>
      <c r="B22728">
        <v>422</v>
      </c>
      <c r="C22728" s="1" t="str">
        <f>HYPERLINK("http://www.rosaceae.org/gb/gbrowse/malus_x_domestica/?name=MDP0000659191","MDP0000659191")</f>
        <v>MDP0000659191</v>
      </c>
      <c r="D22728">
        <v>53.95</v>
      </c>
      <c r="E22728">
        <v>417</v>
      </c>
      <c r="F22728">
        <v>192</v>
      </c>
      <c r="G22728">
        <v>50</v>
      </c>
      <c r="H22728">
        <v>1</v>
      </c>
      <c r="I22728">
        <v>395</v>
      </c>
      <c r="J22728">
        <v>1</v>
      </c>
      <c r="K22728">
        <v>1</v>
      </c>
      <c r="L22728">
        <v>389</v>
      </c>
      <c r="M22728">
        <v>1</v>
      </c>
      <c r="N22728">
        <v>2.97737E-89</v>
      </c>
      <c r="O22728">
        <v>835</v>
      </c>
    </row>
    <row r="22729" spans="1:15" x14ac:dyDescent="0.25">
      <c r="A22729" t="s">
        <v>22742</v>
      </c>
      <c r="B22729">
        <v>521</v>
      </c>
      <c r="C22729" s="1" t="str">
        <f>HYPERLINK("http://www.rosaceae.org/gb/gbrowse/malus_x_domestica/?name=MDP0000219003","MDP0000219003")</f>
        <v>MDP0000219003</v>
      </c>
      <c r="D22729">
        <v>55.36</v>
      </c>
      <c r="E22729">
        <v>531</v>
      </c>
      <c r="F22729">
        <v>237</v>
      </c>
      <c r="G22729">
        <v>67</v>
      </c>
      <c r="H22729">
        <v>35</v>
      </c>
      <c r="I22729">
        <v>521</v>
      </c>
      <c r="J22729">
        <v>1</v>
      </c>
      <c r="K22729">
        <v>497</v>
      </c>
      <c r="L22729">
        <v>1004</v>
      </c>
      <c r="M22729">
        <v>1</v>
      </c>
      <c r="N22729">
        <v>1.25047E-151</v>
      </c>
      <c r="O22729">
        <v>1374</v>
      </c>
    </row>
    <row r="22730" spans="1:15" x14ac:dyDescent="0.25">
      <c r="A22730" t="s">
        <v>22743</v>
      </c>
      <c r="B22730">
        <v>1052</v>
      </c>
      <c r="C22730" s="1" t="str">
        <f>HYPERLINK("http://www.rosaceae.org/gb/gbrowse/malus_x_domestica/?name=MDP0000206000","MDP0000206000")</f>
        <v>MDP0000206000</v>
      </c>
      <c r="D22730">
        <v>70.37</v>
      </c>
      <c r="E22730">
        <v>1097</v>
      </c>
      <c r="F22730">
        <v>325</v>
      </c>
      <c r="G22730">
        <v>55</v>
      </c>
      <c r="H22730">
        <v>1</v>
      </c>
      <c r="I22730">
        <v>1050</v>
      </c>
      <c r="J22730">
        <v>1</v>
      </c>
      <c r="K22730">
        <v>1</v>
      </c>
      <c r="L22730">
        <v>1089</v>
      </c>
      <c r="M22730">
        <v>1</v>
      </c>
      <c r="N22730">
        <v>0</v>
      </c>
      <c r="O22730">
        <v>3940</v>
      </c>
    </row>
    <row r="22731" spans="1:15" x14ac:dyDescent="0.25">
      <c r="A22731" t="s">
        <v>22744</v>
      </c>
      <c r="B22731">
        <v>742</v>
      </c>
      <c r="C22731" s="1" t="str">
        <f>HYPERLINK("http://www.rosaceae.org/gb/gbrowse/malus_x_domestica/?name=MDP0000303610","MDP0000303610")</f>
        <v>MDP0000303610</v>
      </c>
      <c r="D22731">
        <v>43.6</v>
      </c>
      <c r="E22731">
        <v>305</v>
      </c>
      <c r="F22731">
        <v>172</v>
      </c>
      <c r="G22731">
        <v>40</v>
      </c>
      <c r="H22731">
        <v>6</v>
      </c>
      <c r="I22731">
        <v>307</v>
      </c>
      <c r="J22731">
        <v>1</v>
      </c>
      <c r="K22731">
        <v>17</v>
      </c>
      <c r="L22731">
        <v>284</v>
      </c>
      <c r="M22731">
        <v>1</v>
      </c>
      <c r="N22731">
        <v>3.1682500000000001E-65</v>
      </c>
      <c r="O22731">
        <v>631</v>
      </c>
    </row>
    <row r="22732" spans="1:15" x14ac:dyDescent="0.25">
      <c r="A22732" t="s">
        <v>22745</v>
      </c>
      <c r="B22732">
        <v>124</v>
      </c>
      <c r="C22732" s="1" t="str">
        <f>HYPERLINK("http://www.rosaceae.org/gb/gbrowse/malus_x_domestica/?name=MDP0000290485","MDP0000290485")</f>
        <v>MDP0000290485</v>
      </c>
      <c r="D22732">
        <v>79.03</v>
      </c>
      <c r="E22732">
        <v>124</v>
      </c>
      <c r="F22732">
        <v>26</v>
      </c>
      <c r="G22732">
        <v>0</v>
      </c>
      <c r="H22732">
        <v>1</v>
      </c>
      <c r="I22732">
        <v>124</v>
      </c>
      <c r="J22732">
        <v>1</v>
      </c>
      <c r="K22732">
        <v>1</v>
      </c>
      <c r="L22732">
        <v>124</v>
      </c>
      <c r="M22732">
        <v>1</v>
      </c>
      <c r="N22732">
        <v>9.9899700000000001E-52</v>
      </c>
      <c r="O22732">
        <v>504</v>
      </c>
    </row>
    <row r="22733" spans="1:15" x14ac:dyDescent="0.25">
      <c r="A22733" t="s">
        <v>22746</v>
      </c>
      <c r="B22733">
        <v>1053</v>
      </c>
      <c r="C22733" s="1" t="str">
        <f>HYPERLINK("http://www.rosaceae.org/gb/gbrowse/malus_x_domestica/?name=MDP0000296958","MDP0000296958")</f>
        <v>MDP0000296958</v>
      </c>
      <c r="D22733">
        <v>73.599999999999994</v>
      </c>
      <c r="E22733">
        <v>1004</v>
      </c>
      <c r="F22733">
        <v>265</v>
      </c>
      <c r="G22733">
        <v>39</v>
      </c>
      <c r="H22733">
        <v>1</v>
      </c>
      <c r="I22733">
        <v>998</v>
      </c>
      <c r="J22733">
        <v>1</v>
      </c>
      <c r="K22733">
        <v>1</v>
      </c>
      <c r="L22733">
        <v>971</v>
      </c>
      <c r="M22733">
        <v>1</v>
      </c>
      <c r="N22733">
        <v>0</v>
      </c>
      <c r="O22733">
        <v>3709</v>
      </c>
    </row>
    <row r="22734" spans="1:15" x14ac:dyDescent="0.25">
      <c r="A22734" t="s">
        <v>22747</v>
      </c>
      <c r="B22734">
        <v>145</v>
      </c>
      <c r="C22734" s="1" t="str">
        <f>HYPERLINK("http://www.rosaceae.org/gb/gbrowse/malus_x_domestica/?name=MDP0000309933","MDP0000309933")</f>
        <v>MDP0000309933</v>
      </c>
      <c r="D22734">
        <v>87.75</v>
      </c>
      <c r="E22734">
        <v>49</v>
      </c>
      <c r="F22734">
        <v>6</v>
      </c>
      <c r="G22734">
        <v>0</v>
      </c>
      <c r="H22734">
        <v>67</v>
      </c>
      <c r="I22734">
        <v>115</v>
      </c>
      <c r="J22734">
        <v>1</v>
      </c>
      <c r="K22734">
        <v>477</v>
      </c>
      <c r="L22734">
        <v>525</v>
      </c>
      <c r="M22734">
        <v>1</v>
      </c>
      <c r="N22734">
        <v>6.5803100000000002E-21</v>
      </c>
      <c r="O22734">
        <v>239</v>
      </c>
    </row>
    <row r="22735" spans="1:15" x14ac:dyDescent="0.25">
      <c r="A22735" t="s">
        <v>22748</v>
      </c>
      <c r="B22735">
        <v>307</v>
      </c>
      <c r="C22735" s="1" t="str">
        <f>HYPERLINK("http://www.rosaceae.org/gb/gbrowse/malus_x_domestica/?name=MDP0000314934","MDP0000314934")</f>
        <v>MDP0000314934</v>
      </c>
      <c r="D22735">
        <v>71.09</v>
      </c>
      <c r="E22735">
        <v>301</v>
      </c>
      <c r="F22735">
        <v>87</v>
      </c>
      <c r="G22735">
        <v>14</v>
      </c>
      <c r="H22735">
        <v>15</v>
      </c>
      <c r="I22735">
        <v>306</v>
      </c>
      <c r="J22735">
        <v>1</v>
      </c>
      <c r="K22735">
        <v>17</v>
      </c>
      <c r="L22735">
        <v>312</v>
      </c>
      <c r="M22735">
        <v>1</v>
      </c>
      <c r="N22735">
        <v>4.0527000000000001E-116</v>
      </c>
      <c r="O22735">
        <v>1065</v>
      </c>
    </row>
    <row r="22736" spans="1:15" x14ac:dyDescent="0.25">
      <c r="A22736" t="s">
        <v>22749</v>
      </c>
      <c r="B22736">
        <v>756</v>
      </c>
      <c r="C22736" s="1" t="str">
        <f>HYPERLINK("http://www.rosaceae.org/gb/gbrowse/malus_x_domestica/?name=MDP0000297031","MDP0000297031")</f>
        <v>MDP0000297031</v>
      </c>
      <c r="D22736">
        <v>49.38</v>
      </c>
      <c r="E22736">
        <v>814</v>
      </c>
      <c r="F22736">
        <v>412</v>
      </c>
      <c r="G22736">
        <v>130</v>
      </c>
      <c r="H22736">
        <v>46</v>
      </c>
      <c r="I22736">
        <v>755</v>
      </c>
      <c r="J22736">
        <v>1</v>
      </c>
      <c r="K22736">
        <v>55</v>
      </c>
      <c r="L22736">
        <v>842</v>
      </c>
      <c r="M22736">
        <v>1</v>
      </c>
      <c r="N22736">
        <v>0</v>
      </c>
      <c r="O22736">
        <v>1676</v>
      </c>
    </row>
    <row r="22737" spans="1:15" x14ac:dyDescent="0.25">
      <c r="A22737" t="s">
        <v>22750</v>
      </c>
      <c r="B22737">
        <v>448</v>
      </c>
      <c r="C22737" s="1" t="str">
        <f>HYPERLINK("http://www.rosaceae.org/gb/gbrowse/malus_x_domestica/?name=MDP0000273752","MDP0000273752")</f>
        <v>MDP0000273752</v>
      </c>
      <c r="D22737">
        <v>64.569999999999993</v>
      </c>
      <c r="E22737">
        <v>350</v>
      </c>
      <c r="F22737">
        <v>124</v>
      </c>
      <c r="G22737">
        <v>64</v>
      </c>
      <c r="H22737">
        <v>1</v>
      </c>
      <c r="I22737">
        <v>318</v>
      </c>
      <c r="J22737">
        <v>1</v>
      </c>
      <c r="K22737">
        <v>1</v>
      </c>
      <c r="L22737">
        <v>318</v>
      </c>
      <c r="M22737">
        <v>1</v>
      </c>
      <c r="N22737">
        <v>9.0849200000000003E-117</v>
      </c>
      <c r="O22737">
        <v>1073</v>
      </c>
    </row>
    <row r="22738" spans="1:15" x14ac:dyDescent="0.25">
      <c r="A22738" t="s">
        <v>22751</v>
      </c>
      <c r="B22738">
        <v>159</v>
      </c>
      <c r="C22738" s="1" t="str">
        <f>HYPERLINK("http://www.rosaceae.org/gb/gbrowse/malus_x_domestica/?name=MDP0000135806","MDP0000135806")</f>
        <v>MDP0000135806</v>
      </c>
      <c r="D22738">
        <v>68.349999999999994</v>
      </c>
      <c r="E22738">
        <v>158</v>
      </c>
      <c r="F22738">
        <v>50</v>
      </c>
      <c r="G22738">
        <v>2</v>
      </c>
      <c r="H22738">
        <v>2</v>
      </c>
      <c r="I22738">
        <v>159</v>
      </c>
      <c r="J22738">
        <v>1</v>
      </c>
      <c r="K22738">
        <v>5</v>
      </c>
      <c r="L22738">
        <v>160</v>
      </c>
      <c r="M22738">
        <v>1</v>
      </c>
      <c r="N22738">
        <v>3.1963999999999998E-59</v>
      </c>
      <c r="O22738">
        <v>571</v>
      </c>
    </row>
    <row r="22739" spans="1:15" x14ac:dyDescent="0.25">
      <c r="A22739" t="s">
        <v>22752</v>
      </c>
      <c r="B22739">
        <v>202</v>
      </c>
      <c r="C22739" s="1" t="str">
        <f>HYPERLINK("http://www.rosaceae.org/gb/gbrowse/malus_x_domestica/?name=MDP0000146212","MDP0000146212")</f>
        <v>MDP0000146212</v>
      </c>
      <c r="D22739">
        <v>78.209999999999994</v>
      </c>
      <c r="E22739">
        <v>202</v>
      </c>
      <c r="F22739">
        <v>44</v>
      </c>
      <c r="G22739">
        <v>0</v>
      </c>
      <c r="H22739">
        <v>1</v>
      </c>
      <c r="I22739">
        <v>202</v>
      </c>
      <c r="J22739">
        <v>1</v>
      </c>
      <c r="K22739">
        <v>1</v>
      </c>
      <c r="L22739">
        <v>202</v>
      </c>
      <c r="M22739">
        <v>1</v>
      </c>
      <c r="N22739">
        <v>1.1333999999999999E-92</v>
      </c>
      <c r="O22739">
        <v>861</v>
      </c>
    </row>
    <row r="22740" spans="1:15" x14ac:dyDescent="0.25">
      <c r="A22740" t="s">
        <v>22753</v>
      </c>
      <c r="B22740">
        <v>416</v>
      </c>
      <c r="C22740" s="1" t="str">
        <f>HYPERLINK("http://www.rosaceae.org/gb/gbrowse/malus_x_domestica/?name=MDP0000288128","MDP0000288128")</f>
        <v>MDP0000288128</v>
      </c>
      <c r="D22740">
        <v>30.14</v>
      </c>
      <c r="E22740">
        <v>282</v>
      </c>
      <c r="F22740">
        <v>197</v>
      </c>
      <c r="G22740">
        <v>44</v>
      </c>
      <c r="H22740">
        <v>98</v>
      </c>
      <c r="I22740">
        <v>373</v>
      </c>
      <c r="J22740">
        <v>1</v>
      </c>
      <c r="K22740">
        <v>139</v>
      </c>
      <c r="L22740">
        <v>382</v>
      </c>
      <c r="M22740">
        <v>1</v>
      </c>
      <c r="N22740">
        <v>2.45383E-28</v>
      </c>
      <c r="O22740">
        <v>310</v>
      </c>
    </row>
    <row r="22741" spans="1:15" x14ac:dyDescent="0.25">
      <c r="A22741" t="s">
        <v>22754</v>
      </c>
      <c r="B22741">
        <v>357</v>
      </c>
      <c r="C22741" s="1" t="str">
        <f>HYPERLINK("http://www.rosaceae.org/gb/gbrowse/malus_x_domestica/?name=MDP0000319444","MDP0000319444")</f>
        <v>MDP0000319444</v>
      </c>
      <c r="D22741">
        <v>92.15</v>
      </c>
      <c r="E22741">
        <v>357</v>
      </c>
      <c r="F22741">
        <v>28</v>
      </c>
      <c r="G22741">
        <v>0</v>
      </c>
      <c r="H22741">
        <v>1</v>
      </c>
      <c r="I22741">
        <v>357</v>
      </c>
      <c r="J22741">
        <v>1</v>
      </c>
      <c r="K22741">
        <v>561</v>
      </c>
      <c r="L22741">
        <v>917</v>
      </c>
      <c r="M22741">
        <v>1</v>
      </c>
      <c r="N22741">
        <v>0</v>
      </c>
      <c r="O22741">
        <v>1781</v>
      </c>
    </row>
    <row r="22742" spans="1:15" x14ac:dyDescent="0.25">
      <c r="A22742" t="s">
        <v>22755</v>
      </c>
      <c r="B22742">
        <v>388</v>
      </c>
      <c r="C22742" s="1" t="str">
        <f>HYPERLINK("http://www.rosaceae.org/gb/gbrowse/malus_x_domestica/?name=MDP0000311908","MDP0000311908")</f>
        <v>MDP0000311908</v>
      </c>
      <c r="D22742">
        <v>28.44</v>
      </c>
      <c r="E22742">
        <v>348</v>
      </c>
      <c r="F22742">
        <v>249</v>
      </c>
      <c r="G22742">
        <v>38</v>
      </c>
      <c r="H22742">
        <v>12</v>
      </c>
      <c r="I22742">
        <v>341</v>
      </c>
      <c r="J22742">
        <v>1</v>
      </c>
      <c r="K22742">
        <v>172</v>
      </c>
      <c r="L22742">
        <v>499</v>
      </c>
      <c r="M22742">
        <v>1</v>
      </c>
      <c r="N22742">
        <v>2.4867500000000001E-26</v>
      </c>
      <c r="O22742">
        <v>292</v>
      </c>
    </row>
    <row r="22743" spans="1:15" x14ac:dyDescent="0.25">
      <c r="A22743" t="s">
        <v>22756</v>
      </c>
      <c r="B22743">
        <v>380</v>
      </c>
      <c r="C22743" s="1" t="str">
        <f>HYPERLINK("http://www.rosaceae.org/gb/gbrowse/malus_x_domestica/?name=MDP0000233802","MDP0000233802")</f>
        <v>MDP0000233802</v>
      </c>
      <c r="D22743">
        <v>69.72</v>
      </c>
      <c r="E22743">
        <v>360</v>
      </c>
      <c r="F22743">
        <v>109</v>
      </c>
      <c r="G22743">
        <v>7</v>
      </c>
      <c r="H22743">
        <v>1</v>
      </c>
      <c r="I22743">
        <v>358</v>
      </c>
      <c r="J22743">
        <v>1</v>
      </c>
      <c r="K22743">
        <v>1</v>
      </c>
      <c r="L22743">
        <v>355</v>
      </c>
      <c r="M22743">
        <v>1</v>
      </c>
      <c r="N22743">
        <v>3.37493E-140</v>
      </c>
      <c r="O22743">
        <v>1274</v>
      </c>
    </row>
    <row r="22744" spans="1:15" x14ac:dyDescent="0.25">
      <c r="A22744" t="s">
        <v>22757</v>
      </c>
      <c r="B22744">
        <v>1275</v>
      </c>
      <c r="C22744" s="1" t="str">
        <f>HYPERLINK("http://www.rosaceae.org/gb/gbrowse/malus_x_domestica/?name=MDP0000263026","MDP0000263026")</f>
        <v>MDP0000263026</v>
      </c>
      <c r="D22744">
        <v>67.47</v>
      </c>
      <c r="E22744">
        <v>1273</v>
      </c>
      <c r="F22744">
        <v>414</v>
      </c>
      <c r="G22744">
        <v>26</v>
      </c>
      <c r="H22744">
        <v>27</v>
      </c>
      <c r="I22744">
        <v>1274</v>
      </c>
      <c r="J22744">
        <v>1</v>
      </c>
      <c r="K22744">
        <v>102</v>
      </c>
      <c r="L22744">
        <v>1373</v>
      </c>
      <c r="M22744">
        <v>1</v>
      </c>
      <c r="N22744">
        <v>0</v>
      </c>
      <c r="O22744">
        <v>4421</v>
      </c>
    </row>
    <row r="22745" spans="1:15" x14ac:dyDescent="0.25">
      <c r="A22745" t="s">
        <v>22758</v>
      </c>
      <c r="B22745">
        <v>569</v>
      </c>
      <c r="C22745" s="1" t="str">
        <f>HYPERLINK("http://www.rosaceae.org/gb/gbrowse/malus_x_domestica/?name=MDP0000331623","MDP0000331623")</f>
        <v>MDP0000331623</v>
      </c>
      <c r="D22745">
        <v>67.989999999999995</v>
      </c>
      <c r="E22745">
        <v>428</v>
      </c>
      <c r="F22745">
        <v>137</v>
      </c>
      <c r="G22745">
        <v>10</v>
      </c>
      <c r="H22745">
        <v>64</v>
      </c>
      <c r="I22745">
        <v>490</v>
      </c>
      <c r="J22745">
        <v>1</v>
      </c>
      <c r="K22745">
        <v>1</v>
      </c>
      <c r="L22745">
        <v>419</v>
      </c>
      <c r="M22745">
        <v>1</v>
      </c>
      <c r="N22745">
        <v>4.3604199999999998E-173</v>
      </c>
      <c r="O22745">
        <v>1560</v>
      </c>
    </row>
    <row r="22746" spans="1:15" x14ac:dyDescent="0.25">
      <c r="A22746" t="s">
        <v>22759</v>
      </c>
      <c r="B22746">
        <v>326</v>
      </c>
      <c r="C22746" s="1" t="str">
        <f>HYPERLINK("http://www.rosaceae.org/gb/gbrowse/malus_x_domestica/?name=MDP0000252992","MDP0000252992")</f>
        <v>MDP0000252992</v>
      </c>
      <c r="D22746">
        <v>46.53</v>
      </c>
      <c r="E22746">
        <v>303</v>
      </c>
      <c r="F22746">
        <v>162</v>
      </c>
      <c r="G22746">
        <v>22</v>
      </c>
      <c r="H22746">
        <v>14</v>
      </c>
      <c r="I22746">
        <v>314</v>
      </c>
      <c r="J22746">
        <v>1</v>
      </c>
      <c r="K22746">
        <v>30</v>
      </c>
      <c r="L22746">
        <v>312</v>
      </c>
      <c r="M22746">
        <v>1</v>
      </c>
      <c r="N22746">
        <v>6.6980799999999996E-72</v>
      </c>
      <c r="O22746">
        <v>684</v>
      </c>
    </row>
    <row r="22747" spans="1:15" x14ac:dyDescent="0.25">
      <c r="A22747" t="s">
        <v>22760</v>
      </c>
      <c r="B22747">
        <v>666</v>
      </c>
      <c r="C22747" s="1" t="str">
        <f>HYPERLINK("http://www.rosaceae.org/gb/gbrowse/malus_x_domestica/?name=MDP0000839371","MDP0000839371")</f>
        <v>MDP0000839371</v>
      </c>
      <c r="D22747">
        <v>86.41</v>
      </c>
      <c r="E22747">
        <v>162</v>
      </c>
      <c r="F22747">
        <v>22</v>
      </c>
      <c r="G22747">
        <v>0</v>
      </c>
      <c r="H22747">
        <v>378</v>
      </c>
      <c r="I22747">
        <v>539</v>
      </c>
      <c r="J22747">
        <v>1</v>
      </c>
      <c r="K22747">
        <v>5</v>
      </c>
      <c r="L22747">
        <v>166</v>
      </c>
      <c r="M22747">
        <v>1</v>
      </c>
      <c r="N22747">
        <v>2.7918100000000001E-78</v>
      </c>
      <c r="O22747">
        <v>743</v>
      </c>
    </row>
    <row r="22748" spans="1:15" x14ac:dyDescent="0.25">
      <c r="A22748" t="s">
        <v>22761</v>
      </c>
      <c r="B22748">
        <v>61</v>
      </c>
      <c r="C22748" s="1" t="str">
        <f>HYPERLINK("http://www.rosaceae.org/gb/gbrowse/malus_x_domestica/?name=MDP0000565338","MDP0000565338")</f>
        <v>MDP0000565338</v>
      </c>
      <c r="D22748">
        <v>61.36</v>
      </c>
      <c r="E22748">
        <v>44</v>
      </c>
      <c r="F22748">
        <v>17</v>
      </c>
      <c r="G22748">
        <v>0</v>
      </c>
      <c r="H22748">
        <v>1</v>
      </c>
      <c r="I22748">
        <v>44</v>
      </c>
      <c r="J22748">
        <v>1</v>
      </c>
      <c r="K22748">
        <v>142</v>
      </c>
      <c r="L22748">
        <v>185</v>
      </c>
      <c r="M22748">
        <v>1</v>
      </c>
      <c r="N22748">
        <v>1.2563999999999999E-10</v>
      </c>
      <c r="O22748">
        <v>149</v>
      </c>
    </row>
    <row r="22749" spans="1:15" x14ac:dyDescent="0.25">
      <c r="A22749" t="s">
        <v>22762</v>
      </c>
      <c r="B22749">
        <v>678</v>
      </c>
      <c r="C22749" s="1" t="str">
        <f>HYPERLINK("http://www.rosaceae.org/gb/gbrowse/malus_x_domestica/?name=MDP0000149064","MDP0000149064")</f>
        <v>MDP0000149064</v>
      </c>
      <c r="D22749">
        <v>85.77</v>
      </c>
      <c r="E22749">
        <v>661</v>
      </c>
      <c r="F22749">
        <v>94</v>
      </c>
      <c r="G22749">
        <v>0</v>
      </c>
      <c r="H22749">
        <v>18</v>
      </c>
      <c r="I22749">
        <v>678</v>
      </c>
      <c r="J22749">
        <v>1</v>
      </c>
      <c r="K22749">
        <v>24</v>
      </c>
      <c r="L22749">
        <v>684</v>
      </c>
      <c r="M22749">
        <v>1</v>
      </c>
      <c r="N22749">
        <v>0</v>
      </c>
      <c r="O22749">
        <v>3021</v>
      </c>
    </row>
    <row r="22750" spans="1:15" x14ac:dyDescent="0.25">
      <c r="A22750" t="s">
        <v>22763</v>
      </c>
      <c r="B22750">
        <v>355</v>
      </c>
      <c r="C22750" s="1" t="str">
        <f>HYPERLINK("http://www.rosaceae.org/gb/gbrowse/malus_x_domestica/?name=MDP0000266757","MDP0000266757")</f>
        <v>MDP0000266757</v>
      </c>
      <c r="D22750">
        <v>80.069999999999993</v>
      </c>
      <c r="E22750">
        <v>261</v>
      </c>
      <c r="F22750">
        <v>52</v>
      </c>
      <c r="G22750">
        <v>1</v>
      </c>
      <c r="H22750">
        <v>96</v>
      </c>
      <c r="I22750">
        <v>355</v>
      </c>
      <c r="J22750">
        <v>1</v>
      </c>
      <c r="K22750">
        <v>1</v>
      </c>
      <c r="L22750">
        <v>261</v>
      </c>
      <c r="M22750">
        <v>1</v>
      </c>
      <c r="N22750">
        <v>2.7711500000000001E-117</v>
      </c>
      <c r="O22750">
        <v>1076</v>
      </c>
    </row>
    <row r="22751" spans="1:15" x14ac:dyDescent="0.25">
      <c r="A22751" t="s">
        <v>22764</v>
      </c>
      <c r="B22751">
        <v>388</v>
      </c>
      <c r="C22751" s="1" t="str">
        <f>HYPERLINK("http://www.rosaceae.org/gb/gbrowse/malus_x_domestica/?name=MDP0000147527","MDP0000147527")</f>
        <v>MDP0000147527</v>
      </c>
      <c r="D22751">
        <v>79.05</v>
      </c>
      <c r="E22751">
        <v>296</v>
      </c>
      <c r="F22751">
        <v>62</v>
      </c>
      <c r="G22751">
        <v>15</v>
      </c>
      <c r="H22751">
        <v>92</v>
      </c>
      <c r="I22751">
        <v>387</v>
      </c>
      <c r="J22751">
        <v>1</v>
      </c>
      <c r="K22751">
        <v>381</v>
      </c>
      <c r="L22751">
        <v>661</v>
      </c>
      <c r="M22751">
        <v>1</v>
      </c>
      <c r="N22751">
        <v>2.36815E-137</v>
      </c>
      <c r="O22751">
        <v>1250</v>
      </c>
    </row>
    <row r="22752" spans="1:15" x14ac:dyDescent="0.25">
      <c r="A22752" t="s">
        <v>22765</v>
      </c>
      <c r="B22752">
        <v>365</v>
      </c>
      <c r="C22752" s="1" t="str">
        <f>HYPERLINK("http://www.rosaceae.org/gb/gbrowse/malus_x_domestica/?name=MDP0000891893","MDP0000891893")</f>
        <v>MDP0000891893</v>
      </c>
      <c r="D22752">
        <v>72.67</v>
      </c>
      <c r="E22752">
        <v>366</v>
      </c>
      <c r="F22752">
        <v>100</v>
      </c>
      <c r="G22752">
        <v>42</v>
      </c>
      <c r="H22752">
        <v>42</v>
      </c>
      <c r="I22752">
        <v>365</v>
      </c>
      <c r="J22752">
        <v>1</v>
      </c>
      <c r="K22752">
        <v>34</v>
      </c>
      <c r="L22752">
        <v>399</v>
      </c>
      <c r="M22752">
        <v>1</v>
      </c>
      <c r="N22752">
        <v>9.0099199999999997E-157</v>
      </c>
      <c r="O22752">
        <v>1417</v>
      </c>
    </row>
    <row r="22753" spans="1:15" x14ac:dyDescent="0.25">
      <c r="A22753" t="s">
        <v>22766</v>
      </c>
      <c r="B22753">
        <v>633</v>
      </c>
      <c r="C22753" s="1" t="str">
        <f>HYPERLINK("http://www.rosaceae.org/gb/gbrowse/malus_x_domestica/?name=MDP0000386775","MDP0000386775")</f>
        <v>MDP0000386775</v>
      </c>
      <c r="D22753">
        <v>76.56</v>
      </c>
      <c r="E22753">
        <v>640</v>
      </c>
      <c r="F22753">
        <v>150</v>
      </c>
      <c r="G22753">
        <v>7</v>
      </c>
      <c r="H22753">
        <v>1</v>
      </c>
      <c r="I22753">
        <v>633</v>
      </c>
      <c r="J22753">
        <v>1</v>
      </c>
      <c r="K22753">
        <v>1</v>
      </c>
      <c r="L22753">
        <v>640</v>
      </c>
      <c r="M22753">
        <v>1</v>
      </c>
      <c r="N22753">
        <v>0</v>
      </c>
      <c r="O22753">
        <v>2477</v>
      </c>
    </row>
    <row r="22754" spans="1:15" x14ac:dyDescent="0.25">
      <c r="A22754" t="s">
        <v>22767</v>
      </c>
      <c r="B22754">
        <v>614</v>
      </c>
      <c r="C22754" s="1" t="str">
        <f>HYPERLINK("http://www.rosaceae.org/gb/gbrowse/malus_x_domestica/?name=MDP0000213515","MDP0000213515")</f>
        <v>MDP0000213515</v>
      </c>
      <c r="D22754">
        <v>70.680000000000007</v>
      </c>
      <c r="E22754">
        <v>597</v>
      </c>
      <c r="F22754">
        <v>175</v>
      </c>
      <c r="G22754">
        <v>53</v>
      </c>
      <c r="H22754">
        <v>15</v>
      </c>
      <c r="I22754">
        <v>565</v>
      </c>
      <c r="J22754">
        <v>1</v>
      </c>
      <c r="K22754">
        <v>591</v>
      </c>
      <c r="L22754">
        <v>1180</v>
      </c>
      <c r="M22754">
        <v>1</v>
      </c>
      <c r="N22754">
        <v>0</v>
      </c>
      <c r="O22754">
        <v>2182</v>
      </c>
    </row>
    <row r="22755" spans="1:15" x14ac:dyDescent="0.25">
      <c r="A22755" t="s">
        <v>22768</v>
      </c>
      <c r="B22755">
        <v>462</v>
      </c>
      <c r="C22755" s="1" t="str">
        <f>HYPERLINK("http://www.rosaceae.org/gb/gbrowse/malus_x_domestica/?name=MDP0000145734","MDP0000145734")</f>
        <v>MDP0000145734</v>
      </c>
      <c r="D22755">
        <v>66.319999999999993</v>
      </c>
      <c r="E22755">
        <v>392</v>
      </c>
      <c r="F22755">
        <v>132</v>
      </c>
      <c r="G22755">
        <v>10</v>
      </c>
      <c r="H22755">
        <v>68</v>
      </c>
      <c r="I22755">
        <v>459</v>
      </c>
      <c r="J22755">
        <v>1</v>
      </c>
      <c r="K22755">
        <v>65</v>
      </c>
      <c r="L22755">
        <v>446</v>
      </c>
      <c r="M22755">
        <v>1</v>
      </c>
      <c r="N22755">
        <v>2.385E-149</v>
      </c>
      <c r="O22755">
        <v>1354</v>
      </c>
    </row>
    <row r="22756" spans="1:15" x14ac:dyDescent="0.25">
      <c r="A22756" t="s">
        <v>22769</v>
      </c>
      <c r="B22756">
        <v>331</v>
      </c>
      <c r="C22756" s="1" t="str">
        <f>HYPERLINK("http://www.rosaceae.org/gb/gbrowse/malus_x_domestica/?name=MDP0000285175","MDP0000285175")</f>
        <v>MDP0000285175</v>
      </c>
      <c r="D22756">
        <v>57.06</v>
      </c>
      <c r="E22756">
        <v>177</v>
      </c>
      <c r="F22756">
        <v>76</v>
      </c>
      <c r="G22756">
        <v>26</v>
      </c>
      <c r="H22756">
        <v>52</v>
      </c>
      <c r="I22756">
        <v>227</v>
      </c>
      <c r="J22756">
        <v>1</v>
      </c>
      <c r="K22756">
        <v>266</v>
      </c>
      <c r="L22756">
        <v>417</v>
      </c>
      <c r="M22756">
        <v>1</v>
      </c>
      <c r="N22756">
        <v>1.35608E-46</v>
      </c>
      <c r="O22756">
        <v>466</v>
      </c>
    </row>
    <row r="22757" spans="1:15" x14ac:dyDescent="0.25">
      <c r="A22757" t="s">
        <v>22770</v>
      </c>
      <c r="B22757">
        <v>304</v>
      </c>
      <c r="C22757" s="1" t="str">
        <f>HYPERLINK("http://www.rosaceae.org/gb/gbrowse/malus_x_domestica/?name=MDP0000180565","MDP0000180565")</f>
        <v>MDP0000180565</v>
      </c>
      <c r="D22757">
        <v>74.75</v>
      </c>
      <c r="E22757">
        <v>305</v>
      </c>
      <c r="F22757">
        <v>77</v>
      </c>
      <c r="G22757">
        <v>3</v>
      </c>
      <c r="H22757">
        <v>1</v>
      </c>
      <c r="I22757">
        <v>304</v>
      </c>
      <c r="J22757">
        <v>1</v>
      </c>
      <c r="K22757">
        <v>1</v>
      </c>
      <c r="L22757">
        <v>303</v>
      </c>
      <c r="M22757">
        <v>1</v>
      </c>
      <c r="N22757">
        <v>8.5763099999999993E-127</v>
      </c>
      <c r="O22757">
        <v>1157</v>
      </c>
    </row>
    <row r="22758" spans="1:15" x14ac:dyDescent="0.25">
      <c r="A22758" t="s">
        <v>22771</v>
      </c>
      <c r="B22758">
        <v>667</v>
      </c>
      <c r="C22758" s="1" t="str">
        <f>HYPERLINK("http://www.rosaceae.org/gb/gbrowse/malus_x_domestica/?name=MDP0000316757","MDP0000316757")</f>
        <v>MDP0000316757</v>
      </c>
      <c r="D22758">
        <v>66.66</v>
      </c>
      <c r="E22758">
        <v>666</v>
      </c>
      <c r="F22758">
        <v>222</v>
      </c>
      <c r="G22758">
        <v>3</v>
      </c>
      <c r="H22758">
        <v>1</v>
      </c>
      <c r="I22758">
        <v>665</v>
      </c>
      <c r="J22758">
        <v>1</v>
      </c>
      <c r="K22758">
        <v>35</v>
      </c>
      <c r="L22758">
        <v>698</v>
      </c>
      <c r="M22758">
        <v>1</v>
      </c>
      <c r="N22758">
        <v>0</v>
      </c>
      <c r="O22758">
        <v>2323</v>
      </c>
    </row>
    <row r="22759" spans="1:15" x14ac:dyDescent="0.25">
      <c r="A22759" t="s">
        <v>22772</v>
      </c>
      <c r="B22759">
        <v>283</v>
      </c>
      <c r="C22759" s="1" t="str">
        <f>HYPERLINK("http://www.rosaceae.org/gb/gbrowse/malus_x_domestica/?name=MDP0000135530","MDP0000135530")</f>
        <v>MDP0000135530</v>
      </c>
      <c r="D22759">
        <v>69.87</v>
      </c>
      <c r="E22759">
        <v>166</v>
      </c>
      <c r="F22759">
        <v>50</v>
      </c>
      <c r="G22759">
        <v>2</v>
      </c>
      <c r="H22759">
        <v>117</v>
      </c>
      <c r="I22759">
        <v>281</v>
      </c>
      <c r="J22759">
        <v>1</v>
      </c>
      <c r="K22759">
        <v>52</v>
      </c>
      <c r="L22759">
        <v>216</v>
      </c>
      <c r="M22759">
        <v>1</v>
      </c>
      <c r="N22759">
        <v>9.9981400000000004E-55</v>
      </c>
      <c r="O22759">
        <v>536</v>
      </c>
    </row>
    <row r="22760" spans="1:15" x14ac:dyDescent="0.25">
      <c r="A22760" t="s">
        <v>22773</v>
      </c>
      <c r="B22760">
        <v>583</v>
      </c>
      <c r="C22760" s="1" t="str">
        <f>HYPERLINK("http://www.rosaceae.org/gb/gbrowse/malus_x_domestica/?name=MDP0000817203","MDP0000817203")</f>
        <v>MDP0000817203</v>
      </c>
      <c r="D22760">
        <v>64.08</v>
      </c>
      <c r="E22760">
        <v>582</v>
      </c>
      <c r="F22760">
        <v>209</v>
      </c>
      <c r="G22760">
        <v>18</v>
      </c>
      <c r="H22760">
        <v>13</v>
      </c>
      <c r="I22760">
        <v>579</v>
      </c>
      <c r="J22760">
        <v>1</v>
      </c>
      <c r="K22760">
        <v>1</v>
      </c>
      <c r="L22760">
        <v>579</v>
      </c>
      <c r="M22760">
        <v>1</v>
      </c>
      <c r="N22760">
        <v>0</v>
      </c>
      <c r="O22760">
        <v>1950</v>
      </c>
    </row>
    <row r="22761" spans="1:15" x14ac:dyDescent="0.25">
      <c r="A22761" t="s">
        <v>22774</v>
      </c>
      <c r="B22761">
        <v>177</v>
      </c>
      <c r="C22761" s="1" t="str">
        <f>HYPERLINK("http://www.rosaceae.org/gb/gbrowse/malus_x_domestica/?name=MDP0000119031","MDP0000119031")</f>
        <v>MDP0000119031</v>
      </c>
      <c r="D22761">
        <v>54.12</v>
      </c>
      <c r="E22761">
        <v>109</v>
      </c>
      <c r="F22761">
        <v>50</v>
      </c>
      <c r="G22761">
        <v>1</v>
      </c>
      <c r="H22761">
        <v>60</v>
      </c>
      <c r="I22761">
        <v>168</v>
      </c>
      <c r="J22761">
        <v>1</v>
      </c>
      <c r="K22761">
        <v>57</v>
      </c>
      <c r="L22761">
        <v>164</v>
      </c>
      <c r="M22761">
        <v>1</v>
      </c>
      <c r="N22761">
        <v>4.6551600000000001E-25</v>
      </c>
      <c r="O22761">
        <v>277</v>
      </c>
    </row>
    <row r="22762" spans="1:15" x14ac:dyDescent="0.25">
      <c r="A22762" t="s">
        <v>22775</v>
      </c>
      <c r="B22762">
        <v>699</v>
      </c>
      <c r="C22762" s="1" t="str">
        <f>HYPERLINK("http://www.rosaceae.org/gb/gbrowse/malus_x_domestica/?name=MDP0000176185","MDP0000176185")</f>
        <v>MDP0000176185</v>
      </c>
      <c r="D22762">
        <v>57</v>
      </c>
      <c r="E22762">
        <v>407</v>
      </c>
      <c r="F22762">
        <v>175</v>
      </c>
      <c r="G22762">
        <v>65</v>
      </c>
      <c r="H22762">
        <v>227</v>
      </c>
      <c r="I22762">
        <v>626</v>
      </c>
      <c r="J22762">
        <v>1</v>
      </c>
      <c r="K22762">
        <v>1</v>
      </c>
      <c r="L22762">
        <v>349</v>
      </c>
      <c r="M22762">
        <v>1</v>
      </c>
      <c r="N22762">
        <v>3.5226499999999997E-108</v>
      </c>
      <c r="O22762">
        <v>1001</v>
      </c>
    </row>
    <row r="22763" spans="1:15" x14ac:dyDescent="0.25">
      <c r="A22763" t="s">
        <v>22776</v>
      </c>
      <c r="B22763">
        <v>209</v>
      </c>
      <c r="C22763" s="1" t="str">
        <f>HYPERLINK("http://www.rosaceae.org/gb/gbrowse/malus_x_domestica/?name=MDP0000803194","MDP0000803194")</f>
        <v>MDP0000803194</v>
      </c>
      <c r="D22763">
        <v>75</v>
      </c>
      <c r="E22763">
        <v>212</v>
      </c>
      <c r="F22763">
        <v>53</v>
      </c>
      <c r="G22763">
        <v>10</v>
      </c>
      <c r="H22763">
        <v>1</v>
      </c>
      <c r="I22763">
        <v>209</v>
      </c>
      <c r="J22763">
        <v>1</v>
      </c>
      <c r="K22763">
        <v>1</v>
      </c>
      <c r="L22763">
        <v>205</v>
      </c>
      <c r="M22763">
        <v>1</v>
      </c>
      <c r="N22763">
        <v>6.6797400000000003E-83</v>
      </c>
      <c r="O22763">
        <v>777</v>
      </c>
    </row>
    <row r="22764" spans="1:15" x14ac:dyDescent="0.25">
      <c r="A22764" t="s">
        <v>22777</v>
      </c>
      <c r="B22764">
        <v>982</v>
      </c>
      <c r="C22764" s="1" t="str">
        <f>HYPERLINK("http://www.rosaceae.org/gb/gbrowse/malus_x_domestica/?name=MDP0000275265","MDP0000275265")</f>
        <v>MDP0000275265</v>
      </c>
      <c r="D22764">
        <v>80.900000000000006</v>
      </c>
      <c r="E22764">
        <v>969</v>
      </c>
      <c r="F22764">
        <v>185</v>
      </c>
      <c r="G22764">
        <v>36</v>
      </c>
      <c r="H22764">
        <v>15</v>
      </c>
      <c r="I22764">
        <v>982</v>
      </c>
      <c r="J22764">
        <v>1</v>
      </c>
      <c r="K22764">
        <v>20</v>
      </c>
      <c r="L22764">
        <v>953</v>
      </c>
      <c r="M22764">
        <v>1</v>
      </c>
      <c r="N22764">
        <v>0</v>
      </c>
      <c r="O22764">
        <v>4047</v>
      </c>
    </row>
    <row r="22765" spans="1:15" x14ac:dyDescent="0.25">
      <c r="A22765" t="s">
        <v>22778</v>
      </c>
      <c r="B22765">
        <v>328</v>
      </c>
      <c r="C22765" s="1" t="str">
        <f>HYPERLINK("http://www.rosaceae.org/gb/gbrowse/malus_x_domestica/?name=MDP0000394762","MDP0000394762")</f>
        <v>MDP0000394762</v>
      </c>
      <c r="D22765">
        <v>30.29</v>
      </c>
      <c r="E22765">
        <v>274</v>
      </c>
      <c r="F22765">
        <v>191</v>
      </c>
      <c r="G22765">
        <v>18</v>
      </c>
      <c r="H22765">
        <v>19</v>
      </c>
      <c r="I22765">
        <v>286</v>
      </c>
      <c r="J22765">
        <v>1</v>
      </c>
      <c r="K22765">
        <v>573</v>
      </c>
      <c r="L22765">
        <v>834</v>
      </c>
      <c r="M22765">
        <v>1</v>
      </c>
      <c r="N22765">
        <v>3.8115400000000002E-33</v>
      </c>
      <c r="O22765">
        <v>350</v>
      </c>
    </row>
    <row r="22766" spans="1:15" x14ac:dyDescent="0.25">
      <c r="A22766" t="s">
        <v>22779</v>
      </c>
      <c r="B22766">
        <v>502</v>
      </c>
      <c r="C22766" s="1" t="str">
        <f>HYPERLINK("http://www.rosaceae.org/gb/gbrowse/malus_x_domestica/?name=MDP0000321910","MDP0000321910")</f>
        <v>MDP0000321910</v>
      </c>
      <c r="D22766">
        <v>77.180000000000007</v>
      </c>
      <c r="E22766">
        <v>355</v>
      </c>
      <c r="F22766">
        <v>81</v>
      </c>
      <c r="G22766">
        <v>5</v>
      </c>
      <c r="H22766">
        <v>153</v>
      </c>
      <c r="I22766">
        <v>502</v>
      </c>
      <c r="J22766">
        <v>1</v>
      </c>
      <c r="K22766">
        <v>1020</v>
      </c>
      <c r="L22766">
        <v>1374</v>
      </c>
      <c r="M22766">
        <v>1</v>
      </c>
      <c r="N22766">
        <v>1.48875E-164</v>
      </c>
      <c r="O22766">
        <v>1486</v>
      </c>
    </row>
    <row r="22767" spans="1:15" x14ac:dyDescent="0.25">
      <c r="A22767" t="s">
        <v>22780</v>
      </c>
      <c r="B22767">
        <v>173</v>
      </c>
      <c r="C22767" s="1" t="str">
        <f>HYPERLINK("http://www.rosaceae.org/gb/gbrowse/malus_x_domestica/?name=MDP0000177175","MDP0000177175")</f>
        <v>MDP0000177175</v>
      </c>
      <c r="D22767">
        <v>82.82</v>
      </c>
      <c r="E22767">
        <v>163</v>
      </c>
      <c r="F22767">
        <v>28</v>
      </c>
      <c r="G22767">
        <v>3</v>
      </c>
      <c r="H22767">
        <v>1</v>
      </c>
      <c r="I22767">
        <v>162</v>
      </c>
      <c r="J22767">
        <v>1</v>
      </c>
      <c r="K22767">
        <v>1</v>
      </c>
      <c r="L22767">
        <v>161</v>
      </c>
      <c r="M22767">
        <v>1</v>
      </c>
      <c r="N22767">
        <v>5.5552599999999998E-73</v>
      </c>
      <c r="O22767">
        <v>690</v>
      </c>
    </row>
    <row r="22768" spans="1:15" x14ac:dyDescent="0.25">
      <c r="A22768" t="s">
        <v>22781</v>
      </c>
      <c r="B22768">
        <v>100</v>
      </c>
      <c r="C22768" s="1" t="str">
        <f>HYPERLINK("http://www.rosaceae.org/gb/gbrowse/malus_x_domestica/?name=MDP0000320239","MDP0000320239")</f>
        <v>MDP0000320239</v>
      </c>
      <c r="D22768">
        <v>69.41</v>
      </c>
      <c r="E22768">
        <v>85</v>
      </c>
      <c r="F22768">
        <v>26</v>
      </c>
      <c r="G22768">
        <v>2</v>
      </c>
      <c r="H22768">
        <v>1</v>
      </c>
      <c r="I22768">
        <v>85</v>
      </c>
      <c r="J22768">
        <v>1</v>
      </c>
      <c r="K22768">
        <v>522</v>
      </c>
      <c r="L22768">
        <v>604</v>
      </c>
      <c r="M22768">
        <v>1</v>
      </c>
      <c r="N22768">
        <v>6.9991799999999997E-28</v>
      </c>
      <c r="O22768">
        <v>298</v>
      </c>
    </row>
    <row r="22769" spans="1:15" x14ac:dyDescent="0.25">
      <c r="A22769" t="s">
        <v>22782</v>
      </c>
      <c r="B22769">
        <v>151</v>
      </c>
      <c r="C22769" s="1" t="str">
        <f>HYPERLINK("http://www.rosaceae.org/gb/gbrowse/malus_x_domestica/?name=MDP0000312793","MDP0000312793")</f>
        <v>MDP0000312793</v>
      </c>
      <c r="D22769">
        <v>40.159999999999997</v>
      </c>
      <c r="E22769">
        <v>122</v>
      </c>
      <c r="F22769">
        <v>73</v>
      </c>
      <c r="G22769">
        <v>15</v>
      </c>
      <c r="H22769">
        <v>27</v>
      </c>
      <c r="I22769">
        <v>148</v>
      </c>
      <c r="J22769">
        <v>1</v>
      </c>
      <c r="K22769">
        <v>282</v>
      </c>
      <c r="L22769">
        <v>388</v>
      </c>
      <c r="M22769">
        <v>1</v>
      </c>
      <c r="N22769">
        <v>3.6510400000000001E-19</v>
      </c>
      <c r="O22769">
        <v>225</v>
      </c>
    </row>
    <row r="22770" spans="1:15" x14ac:dyDescent="0.25">
      <c r="A22770" t="s">
        <v>22783</v>
      </c>
      <c r="B22770">
        <v>220</v>
      </c>
      <c r="C22770" s="1" t="str">
        <f>HYPERLINK("http://www.rosaceae.org/gb/gbrowse/malus_x_domestica/?name=MDP0000337339","MDP0000337339")</f>
        <v>MDP0000337339</v>
      </c>
      <c r="D22770">
        <v>65</v>
      </c>
      <c r="E22770">
        <v>220</v>
      </c>
      <c r="F22770">
        <v>77</v>
      </c>
      <c r="G22770">
        <v>1</v>
      </c>
      <c r="H22770">
        <v>1</v>
      </c>
      <c r="I22770">
        <v>220</v>
      </c>
      <c r="J22770">
        <v>1</v>
      </c>
      <c r="K22770">
        <v>1</v>
      </c>
      <c r="L22770">
        <v>219</v>
      </c>
      <c r="M22770">
        <v>1</v>
      </c>
      <c r="N22770">
        <v>7.6918900000000004E-69</v>
      </c>
      <c r="O22770">
        <v>656</v>
      </c>
    </row>
    <row r="22771" spans="1:15" x14ac:dyDescent="0.25">
      <c r="A22771" t="s">
        <v>22784</v>
      </c>
      <c r="B22771">
        <v>537</v>
      </c>
      <c r="C22771" s="1" t="str">
        <f>HYPERLINK("http://www.rosaceae.org/gb/gbrowse/malus_x_domestica/?name=MDP0000186495","MDP0000186495")</f>
        <v>MDP0000186495</v>
      </c>
      <c r="D22771">
        <v>77.459999999999994</v>
      </c>
      <c r="E22771">
        <v>537</v>
      </c>
      <c r="F22771">
        <v>121</v>
      </c>
      <c r="G22771">
        <v>8</v>
      </c>
      <c r="H22771">
        <v>1</v>
      </c>
      <c r="I22771">
        <v>537</v>
      </c>
      <c r="J22771">
        <v>1</v>
      </c>
      <c r="K22771">
        <v>12</v>
      </c>
      <c r="L22771">
        <v>540</v>
      </c>
      <c r="M22771">
        <v>1</v>
      </c>
      <c r="N22771">
        <v>0</v>
      </c>
      <c r="O22771">
        <v>2227</v>
      </c>
    </row>
    <row r="22772" spans="1:15" x14ac:dyDescent="0.25">
      <c r="A22772" t="s">
        <v>22785</v>
      </c>
      <c r="B22772">
        <v>359</v>
      </c>
      <c r="C22772" s="1" t="str">
        <f>HYPERLINK("http://www.rosaceae.org/gb/gbrowse/malus_x_domestica/?name=MDP0000350866","MDP0000350866")</f>
        <v>MDP0000350866</v>
      </c>
      <c r="D22772">
        <v>73.260000000000005</v>
      </c>
      <c r="E22772">
        <v>389</v>
      </c>
      <c r="F22772">
        <v>104</v>
      </c>
      <c r="G22772">
        <v>32</v>
      </c>
      <c r="H22772">
        <v>1</v>
      </c>
      <c r="I22772">
        <v>357</v>
      </c>
      <c r="J22772">
        <v>1</v>
      </c>
      <c r="K22772">
        <v>1</v>
      </c>
      <c r="L22772">
        <v>389</v>
      </c>
      <c r="M22772">
        <v>1</v>
      </c>
      <c r="N22772">
        <v>2.7789999999999998E-162</v>
      </c>
      <c r="O22772">
        <v>1464</v>
      </c>
    </row>
    <row r="22773" spans="1:15" x14ac:dyDescent="0.25">
      <c r="A22773" t="s">
        <v>22786</v>
      </c>
      <c r="B22773">
        <v>442</v>
      </c>
      <c r="C22773" s="1" t="str">
        <f>HYPERLINK("http://www.rosaceae.org/gb/gbrowse/malus_x_domestica/?name=MDP0000267275","MDP0000267275")</f>
        <v>MDP0000267275</v>
      </c>
      <c r="D22773">
        <v>86.81</v>
      </c>
      <c r="E22773">
        <v>440</v>
      </c>
      <c r="F22773">
        <v>58</v>
      </c>
      <c r="G22773">
        <v>2</v>
      </c>
      <c r="H22773">
        <v>5</v>
      </c>
      <c r="I22773">
        <v>442</v>
      </c>
      <c r="J22773">
        <v>1</v>
      </c>
      <c r="K22773">
        <v>168</v>
      </c>
      <c r="L22773">
        <v>607</v>
      </c>
      <c r="M22773">
        <v>1</v>
      </c>
      <c r="N22773">
        <v>0</v>
      </c>
      <c r="O22773">
        <v>2094</v>
      </c>
    </row>
    <row r="22774" spans="1:15" x14ac:dyDescent="0.25">
      <c r="A22774" t="s">
        <v>22787</v>
      </c>
      <c r="B22774">
        <v>275</v>
      </c>
      <c r="C22774" s="1" t="str">
        <f>HYPERLINK("http://www.rosaceae.org/gb/gbrowse/malus_x_domestica/?name=MDP0000127028","MDP0000127028")</f>
        <v>MDP0000127028</v>
      </c>
      <c r="D22774">
        <v>55.13</v>
      </c>
      <c r="E22774">
        <v>263</v>
      </c>
      <c r="F22774">
        <v>118</v>
      </c>
      <c r="G22774">
        <v>22</v>
      </c>
      <c r="H22774">
        <v>21</v>
      </c>
      <c r="I22774">
        <v>275</v>
      </c>
      <c r="J22774">
        <v>1</v>
      </c>
      <c r="K22774">
        <v>19</v>
      </c>
      <c r="L22774">
        <v>267</v>
      </c>
      <c r="M22774">
        <v>1</v>
      </c>
      <c r="N22774">
        <v>2.1590900000000001E-63</v>
      </c>
      <c r="O22774">
        <v>610</v>
      </c>
    </row>
    <row r="22775" spans="1:15" x14ac:dyDescent="0.25">
      <c r="A22775" t="s">
        <v>22788</v>
      </c>
      <c r="B22775">
        <v>152</v>
      </c>
      <c r="C22775" s="1" t="str">
        <f>HYPERLINK("http://www.rosaceae.org/gb/gbrowse/malus_x_domestica/?name=MDP0000164131","MDP0000164131")</f>
        <v>MDP0000164131</v>
      </c>
      <c r="D22775">
        <v>62.06</v>
      </c>
      <c r="E22775">
        <v>174</v>
      </c>
      <c r="F22775">
        <v>66</v>
      </c>
      <c r="G22775">
        <v>22</v>
      </c>
      <c r="H22775">
        <v>1</v>
      </c>
      <c r="I22775">
        <v>152</v>
      </c>
      <c r="J22775">
        <v>1</v>
      </c>
      <c r="K22775">
        <v>1</v>
      </c>
      <c r="L22775">
        <v>174</v>
      </c>
      <c r="M22775">
        <v>1</v>
      </c>
      <c r="N22775">
        <v>1.19122E-57</v>
      </c>
      <c r="O22775">
        <v>557</v>
      </c>
    </row>
    <row r="22776" spans="1:15" x14ac:dyDescent="0.25">
      <c r="A22776" t="s">
        <v>22789</v>
      </c>
      <c r="B22776">
        <v>948</v>
      </c>
      <c r="C22776" s="1" t="str">
        <f>HYPERLINK("http://www.rosaceae.org/gb/gbrowse/malus_x_domestica/?name=MDP0000245031","MDP0000245031")</f>
        <v>MDP0000245031</v>
      </c>
      <c r="D22776">
        <v>91.3</v>
      </c>
      <c r="E22776">
        <v>529</v>
      </c>
      <c r="F22776">
        <v>46</v>
      </c>
      <c r="G22776">
        <v>6</v>
      </c>
      <c r="H22776">
        <v>421</v>
      </c>
      <c r="I22776">
        <v>948</v>
      </c>
      <c r="J22776">
        <v>1</v>
      </c>
      <c r="K22776">
        <v>1</v>
      </c>
      <c r="L22776">
        <v>524</v>
      </c>
      <c r="M22776">
        <v>1</v>
      </c>
      <c r="N22776">
        <v>0</v>
      </c>
      <c r="O22776">
        <v>2623</v>
      </c>
    </row>
    <row r="22777" spans="1:15" x14ac:dyDescent="0.25">
      <c r="A22777" t="s">
        <v>22790</v>
      </c>
      <c r="B22777">
        <v>855</v>
      </c>
      <c r="C22777" s="1" t="str">
        <f>HYPERLINK("http://www.rosaceae.org/gb/gbrowse/malus_x_domestica/?name=MDP0000222790","MDP0000222790")</f>
        <v>MDP0000222790</v>
      </c>
      <c r="D22777">
        <v>57.97</v>
      </c>
      <c r="E22777">
        <v>859</v>
      </c>
      <c r="F22777">
        <v>361</v>
      </c>
      <c r="G22777">
        <v>62</v>
      </c>
      <c r="H22777">
        <v>17</v>
      </c>
      <c r="I22777">
        <v>855</v>
      </c>
      <c r="J22777">
        <v>1</v>
      </c>
      <c r="K22777">
        <v>52</v>
      </c>
      <c r="L22777">
        <v>868</v>
      </c>
      <c r="M22777">
        <v>1</v>
      </c>
      <c r="N22777">
        <v>0</v>
      </c>
      <c r="O22777">
        <v>2386</v>
      </c>
    </row>
    <row r="22778" spans="1:15" x14ac:dyDescent="0.25">
      <c r="A22778" t="s">
        <v>22791</v>
      </c>
      <c r="B22778">
        <v>1141</v>
      </c>
      <c r="C22778" s="1" t="str">
        <f>HYPERLINK("http://www.rosaceae.org/gb/gbrowse/malus_x_domestica/?name=MDP0000247868","MDP0000247868")</f>
        <v>MDP0000247868</v>
      </c>
      <c r="D22778">
        <v>57.38</v>
      </c>
      <c r="E22778">
        <v>1042</v>
      </c>
      <c r="F22778">
        <v>444</v>
      </c>
      <c r="G22778">
        <v>86</v>
      </c>
      <c r="H22778">
        <v>180</v>
      </c>
      <c r="I22778">
        <v>1139</v>
      </c>
      <c r="J22778">
        <v>1</v>
      </c>
      <c r="K22778">
        <v>455</v>
      </c>
      <c r="L22778">
        <v>1492</v>
      </c>
      <c r="M22778">
        <v>1</v>
      </c>
      <c r="N22778">
        <v>0</v>
      </c>
      <c r="O22778">
        <v>3047</v>
      </c>
    </row>
    <row r="22779" spans="1:15" x14ac:dyDescent="0.25">
      <c r="A22779" t="s">
        <v>22792</v>
      </c>
      <c r="B22779">
        <v>511</v>
      </c>
      <c r="C22779" s="1" t="str">
        <f>HYPERLINK("http://www.rosaceae.org/gb/gbrowse/malus_x_domestica/?name=MDP0000170127","MDP0000170127")</f>
        <v>MDP0000170127</v>
      </c>
      <c r="D22779">
        <v>55.31</v>
      </c>
      <c r="E22779">
        <v>564</v>
      </c>
      <c r="F22779">
        <v>252</v>
      </c>
      <c r="G22779">
        <v>100</v>
      </c>
      <c r="H22779">
        <v>1</v>
      </c>
      <c r="I22779">
        <v>482</v>
      </c>
      <c r="J22779">
        <v>1</v>
      </c>
      <c r="K22779">
        <v>1</v>
      </c>
      <c r="L22779">
        <v>546</v>
      </c>
      <c r="M22779">
        <v>1</v>
      </c>
      <c r="N22779">
        <v>2.7512499999999998E-167</v>
      </c>
      <c r="O22779">
        <v>1509</v>
      </c>
    </row>
    <row r="22780" spans="1:15" x14ac:dyDescent="0.25">
      <c r="A22780" t="s">
        <v>22793</v>
      </c>
      <c r="B22780">
        <v>629</v>
      </c>
      <c r="C22780" s="1" t="str">
        <f>HYPERLINK("http://www.rosaceae.org/gb/gbrowse/malus_x_domestica/?name=MDP0000316665","MDP0000316665")</f>
        <v>MDP0000316665</v>
      </c>
      <c r="D22780">
        <v>39.25</v>
      </c>
      <c r="E22780">
        <v>321</v>
      </c>
      <c r="F22780">
        <v>195</v>
      </c>
      <c r="G22780">
        <v>60</v>
      </c>
      <c r="H22780">
        <v>243</v>
      </c>
      <c r="I22780">
        <v>535</v>
      </c>
      <c r="J22780">
        <v>1</v>
      </c>
      <c r="K22780">
        <v>273</v>
      </c>
      <c r="L22780">
        <v>561</v>
      </c>
      <c r="M22780">
        <v>1</v>
      </c>
      <c r="N22780">
        <v>2.9274200000000001E-51</v>
      </c>
      <c r="O22780">
        <v>510</v>
      </c>
    </row>
    <row r="22781" spans="1:15" x14ac:dyDescent="0.25">
      <c r="A22781" t="s">
        <v>22794</v>
      </c>
      <c r="B22781">
        <v>185</v>
      </c>
      <c r="C22781" s="1" t="str">
        <f>HYPERLINK("http://www.rosaceae.org/gb/gbrowse/malus_x_domestica/?name=MDP0000138642","MDP0000138642")</f>
        <v>MDP0000138642</v>
      </c>
      <c r="D22781">
        <v>62.19</v>
      </c>
      <c r="E22781">
        <v>164</v>
      </c>
      <c r="F22781">
        <v>62</v>
      </c>
      <c r="G22781">
        <v>2</v>
      </c>
      <c r="H22781">
        <v>23</v>
      </c>
      <c r="I22781">
        <v>184</v>
      </c>
      <c r="J22781">
        <v>1</v>
      </c>
      <c r="K22781">
        <v>66</v>
      </c>
      <c r="L22781">
        <v>229</v>
      </c>
      <c r="M22781">
        <v>1</v>
      </c>
      <c r="N22781">
        <v>3.8567599999999999E-53</v>
      </c>
      <c r="O22781">
        <v>519</v>
      </c>
    </row>
    <row r="22782" spans="1:15" x14ac:dyDescent="0.25">
      <c r="A22782" t="s">
        <v>22795</v>
      </c>
      <c r="B22782">
        <v>390</v>
      </c>
      <c r="C22782" s="1" t="str">
        <f>HYPERLINK("http://www.rosaceae.org/gb/gbrowse/malus_x_domestica/?name=MDP0000890680","MDP0000890680")</f>
        <v>MDP0000890680</v>
      </c>
      <c r="D22782">
        <v>70.760000000000005</v>
      </c>
      <c r="E22782">
        <v>260</v>
      </c>
      <c r="F22782">
        <v>76</v>
      </c>
      <c r="G22782">
        <v>18</v>
      </c>
      <c r="H22782">
        <v>1</v>
      </c>
      <c r="I22782">
        <v>253</v>
      </c>
      <c r="J22782">
        <v>1</v>
      </c>
      <c r="K22782">
        <v>1</v>
      </c>
      <c r="L22782">
        <v>249</v>
      </c>
      <c r="M22782">
        <v>1</v>
      </c>
      <c r="N22782">
        <v>2.06257E-91</v>
      </c>
      <c r="O22782">
        <v>854</v>
      </c>
    </row>
    <row r="22783" spans="1:15" x14ac:dyDescent="0.25">
      <c r="A22783" t="s">
        <v>22796</v>
      </c>
      <c r="B22783">
        <v>436</v>
      </c>
      <c r="C22783" s="1" t="str">
        <f>HYPERLINK("http://www.rosaceae.org/gb/gbrowse/malus_x_domestica/?name=MDP0000161033","MDP0000161033")</f>
        <v>MDP0000161033</v>
      </c>
      <c r="D22783">
        <v>80</v>
      </c>
      <c r="E22783">
        <v>60</v>
      </c>
      <c r="F22783">
        <v>12</v>
      </c>
      <c r="G22783">
        <v>0</v>
      </c>
      <c r="H22783">
        <v>203</v>
      </c>
      <c r="I22783">
        <v>262</v>
      </c>
      <c r="J22783">
        <v>1</v>
      </c>
      <c r="K22783">
        <v>74</v>
      </c>
      <c r="L22783">
        <v>133</v>
      </c>
      <c r="M22783">
        <v>1</v>
      </c>
      <c r="N22783">
        <v>8.3403999999999995E-24</v>
      </c>
      <c r="O22783">
        <v>271</v>
      </c>
    </row>
    <row r="22784" spans="1:15" x14ac:dyDescent="0.25">
      <c r="A22784" t="s">
        <v>22797</v>
      </c>
      <c r="B22784">
        <v>313</v>
      </c>
      <c r="C22784" s="1" t="str">
        <f>HYPERLINK("http://www.rosaceae.org/gb/gbrowse/malus_x_domestica/?name=MDP0000121362","MDP0000121362")</f>
        <v>MDP0000121362</v>
      </c>
      <c r="D22784">
        <v>31.46</v>
      </c>
      <c r="E22784">
        <v>178</v>
      </c>
      <c r="F22784">
        <v>122</v>
      </c>
      <c r="G22784">
        <v>38</v>
      </c>
      <c r="H22784">
        <v>1</v>
      </c>
      <c r="I22784">
        <v>177</v>
      </c>
      <c r="J22784">
        <v>1</v>
      </c>
      <c r="K22784">
        <v>232</v>
      </c>
      <c r="L22784">
        <v>372</v>
      </c>
      <c r="M22784">
        <v>1</v>
      </c>
      <c r="N22784">
        <v>2.1087899999999999E-23</v>
      </c>
      <c r="O22784">
        <v>266</v>
      </c>
    </row>
    <row r="22785" spans="1:15" x14ac:dyDescent="0.25">
      <c r="A22785" t="s">
        <v>22798</v>
      </c>
      <c r="B22785">
        <v>389</v>
      </c>
      <c r="C22785" s="1" t="str">
        <f>HYPERLINK("http://www.rosaceae.org/gb/gbrowse/malus_x_domestica/?name=MDP0000686661","MDP0000686661")</f>
        <v>MDP0000686661</v>
      </c>
      <c r="D22785">
        <v>93.05</v>
      </c>
      <c r="E22785">
        <v>389</v>
      </c>
      <c r="F22785">
        <v>27</v>
      </c>
      <c r="G22785">
        <v>0</v>
      </c>
      <c r="H22785">
        <v>1</v>
      </c>
      <c r="I22785">
        <v>389</v>
      </c>
      <c r="J22785">
        <v>1</v>
      </c>
      <c r="K22785">
        <v>1</v>
      </c>
      <c r="L22785">
        <v>389</v>
      </c>
      <c r="M22785">
        <v>1</v>
      </c>
      <c r="N22785">
        <v>0</v>
      </c>
      <c r="O22785">
        <v>1976</v>
      </c>
    </row>
    <row r="22786" spans="1:15" x14ac:dyDescent="0.25">
      <c r="A22786" t="s">
        <v>22799</v>
      </c>
      <c r="B22786">
        <v>295</v>
      </c>
      <c r="C22786" s="1" t="str">
        <f>HYPERLINK("http://www.rosaceae.org/gb/gbrowse/malus_x_domestica/?name=MDP0000297138","MDP0000297138")</f>
        <v>MDP0000297138</v>
      </c>
      <c r="D22786">
        <v>71.12</v>
      </c>
      <c r="E22786">
        <v>232</v>
      </c>
      <c r="F22786">
        <v>67</v>
      </c>
      <c r="G22786">
        <v>28</v>
      </c>
      <c r="H22786">
        <v>35</v>
      </c>
      <c r="I22786">
        <v>264</v>
      </c>
      <c r="J22786">
        <v>1</v>
      </c>
      <c r="K22786">
        <v>3</v>
      </c>
      <c r="L22786">
        <v>208</v>
      </c>
      <c r="M22786">
        <v>1</v>
      </c>
      <c r="N22786">
        <v>1.3763499999999999E-92</v>
      </c>
      <c r="O22786">
        <v>862</v>
      </c>
    </row>
    <row r="22787" spans="1:15" x14ac:dyDescent="0.25">
      <c r="A22787" t="s">
        <v>22800</v>
      </c>
      <c r="B22787">
        <v>1126</v>
      </c>
      <c r="C22787" s="1" t="str">
        <f>HYPERLINK("http://www.rosaceae.org/gb/gbrowse/malus_x_domestica/?name=MDP0000303241","MDP0000303241")</f>
        <v>MDP0000303241</v>
      </c>
      <c r="D22787">
        <v>69.930000000000007</v>
      </c>
      <c r="E22787">
        <v>1131</v>
      </c>
      <c r="F22787">
        <v>340</v>
      </c>
      <c r="G22787">
        <v>33</v>
      </c>
      <c r="H22787">
        <v>6</v>
      </c>
      <c r="I22787">
        <v>1126</v>
      </c>
      <c r="J22787">
        <v>1</v>
      </c>
      <c r="K22787">
        <v>591</v>
      </c>
      <c r="L22787">
        <v>1698</v>
      </c>
      <c r="M22787">
        <v>1</v>
      </c>
      <c r="N22787">
        <v>0</v>
      </c>
      <c r="O22787">
        <v>4052</v>
      </c>
    </row>
    <row r="22788" spans="1:15" x14ac:dyDescent="0.25">
      <c r="A22788" t="s">
        <v>22801</v>
      </c>
      <c r="B22788">
        <v>925</v>
      </c>
      <c r="C22788" s="1" t="str">
        <f>HYPERLINK("http://www.rosaceae.org/gb/gbrowse/malus_x_domestica/?name=MDP0000269585","MDP0000269585")</f>
        <v>MDP0000269585</v>
      </c>
      <c r="D22788">
        <v>74.25</v>
      </c>
      <c r="E22788">
        <v>404</v>
      </c>
      <c r="F22788">
        <v>104</v>
      </c>
      <c r="G22788">
        <v>1</v>
      </c>
      <c r="H22788">
        <v>2</v>
      </c>
      <c r="I22788">
        <v>404</v>
      </c>
      <c r="J22788">
        <v>1</v>
      </c>
      <c r="K22788">
        <v>12</v>
      </c>
      <c r="L22788">
        <v>415</v>
      </c>
      <c r="M22788">
        <v>1</v>
      </c>
      <c r="N22788">
        <v>0</v>
      </c>
      <c r="O22788">
        <v>1665</v>
      </c>
    </row>
    <row r="22789" spans="1:15" x14ac:dyDescent="0.25">
      <c r="A22789" t="s">
        <v>22802</v>
      </c>
      <c r="B22789">
        <v>113</v>
      </c>
      <c r="C22789" s="1" t="str">
        <f>HYPERLINK("http://www.rosaceae.org/gb/gbrowse/malus_x_domestica/?name=MDP0000148002","MDP0000148002")</f>
        <v>MDP0000148002</v>
      </c>
      <c r="D22789">
        <v>53.26</v>
      </c>
      <c r="E22789">
        <v>92</v>
      </c>
      <c r="F22789">
        <v>43</v>
      </c>
      <c r="G22789">
        <v>0</v>
      </c>
      <c r="H22789">
        <v>22</v>
      </c>
      <c r="I22789">
        <v>113</v>
      </c>
      <c r="J22789">
        <v>1</v>
      </c>
      <c r="K22789">
        <v>264</v>
      </c>
      <c r="L22789">
        <v>355</v>
      </c>
      <c r="M22789">
        <v>1</v>
      </c>
      <c r="N22789">
        <v>1.03783E-20</v>
      </c>
      <c r="O22789">
        <v>236</v>
      </c>
    </row>
    <row r="22790" spans="1:15" x14ac:dyDescent="0.25">
      <c r="A22790" t="s">
        <v>22803</v>
      </c>
      <c r="B22790">
        <v>705</v>
      </c>
      <c r="C22790" s="1" t="str">
        <f>HYPERLINK("http://www.rosaceae.org/gb/gbrowse/malus_x_domestica/?name=MDP0000119905","MDP0000119905")</f>
        <v>MDP0000119905</v>
      </c>
      <c r="D22790">
        <v>70.98</v>
      </c>
      <c r="E22790">
        <v>748</v>
      </c>
      <c r="F22790">
        <v>217</v>
      </c>
      <c r="G22790">
        <v>83</v>
      </c>
      <c r="H22790">
        <v>1</v>
      </c>
      <c r="I22790">
        <v>705</v>
      </c>
      <c r="J22790">
        <v>1</v>
      </c>
      <c r="K22790">
        <v>1</v>
      </c>
      <c r="L22790">
        <v>708</v>
      </c>
      <c r="M22790">
        <v>1</v>
      </c>
      <c r="N22790">
        <v>0</v>
      </c>
      <c r="O22790">
        <v>2605</v>
      </c>
    </row>
    <row r="22791" spans="1:15" x14ac:dyDescent="0.25">
      <c r="A22791" t="s">
        <v>22804</v>
      </c>
      <c r="B22791">
        <v>322</v>
      </c>
      <c r="C22791" s="1" t="str">
        <f>HYPERLINK("http://www.rosaceae.org/gb/gbrowse/malus_x_domestica/?name=MDP0000233714","MDP0000233714")</f>
        <v>MDP0000233714</v>
      </c>
      <c r="D22791">
        <v>73.989999999999995</v>
      </c>
      <c r="E22791">
        <v>323</v>
      </c>
      <c r="F22791">
        <v>84</v>
      </c>
      <c r="G22791">
        <v>9</v>
      </c>
      <c r="H22791">
        <v>1</v>
      </c>
      <c r="I22791">
        <v>321</v>
      </c>
      <c r="J22791">
        <v>1</v>
      </c>
      <c r="K22791">
        <v>85</v>
      </c>
      <c r="L22791">
        <v>400</v>
      </c>
      <c r="M22791">
        <v>1</v>
      </c>
      <c r="N22791">
        <v>1.09406E-129</v>
      </c>
      <c r="O22791">
        <v>1183</v>
      </c>
    </row>
    <row r="22792" spans="1:15" x14ac:dyDescent="0.25">
      <c r="A22792" t="s">
        <v>22805</v>
      </c>
      <c r="B22792">
        <v>391</v>
      </c>
      <c r="C22792" s="1" t="str">
        <f>HYPERLINK("http://www.rosaceae.org/gb/gbrowse/malus_x_domestica/?name=MDP0000304724","MDP0000304724")</f>
        <v>MDP0000304724</v>
      </c>
      <c r="D22792">
        <v>34.270000000000003</v>
      </c>
      <c r="E22792">
        <v>353</v>
      </c>
      <c r="F22792">
        <v>232</v>
      </c>
      <c r="G22792">
        <v>80</v>
      </c>
      <c r="H22792">
        <v>5</v>
      </c>
      <c r="I22792">
        <v>340</v>
      </c>
      <c r="J22792">
        <v>1</v>
      </c>
      <c r="K22792">
        <v>102</v>
      </c>
      <c r="L22792">
        <v>391</v>
      </c>
      <c r="M22792">
        <v>1</v>
      </c>
      <c r="N22792">
        <v>3.4161000000000001E-32</v>
      </c>
      <c r="O22792">
        <v>343</v>
      </c>
    </row>
    <row r="22793" spans="1:15" x14ac:dyDescent="0.25">
      <c r="A22793" t="s">
        <v>22806</v>
      </c>
      <c r="B22793">
        <v>1028</v>
      </c>
      <c r="C22793" s="1" t="str">
        <f>HYPERLINK("http://www.rosaceae.org/gb/gbrowse/malus_x_domestica/?name=MDP0000255157","MDP0000255157")</f>
        <v>MDP0000255157</v>
      </c>
      <c r="D22793">
        <v>60.94</v>
      </c>
      <c r="E22793">
        <v>1078</v>
      </c>
      <c r="F22793">
        <v>421</v>
      </c>
      <c r="G22793">
        <v>107</v>
      </c>
      <c r="H22793">
        <v>6</v>
      </c>
      <c r="I22793">
        <v>1028</v>
      </c>
      <c r="J22793">
        <v>1</v>
      </c>
      <c r="K22793">
        <v>5</v>
      </c>
      <c r="L22793">
        <v>1030</v>
      </c>
      <c r="M22793">
        <v>1</v>
      </c>
      <c r="N22793">
        <v>0</v>
      </c>
      <c r="O22793">
        <v>3152</v>
      </c>
    </row>
    <row r="22794" spans="1:15" x14ac:dyDescent="0.25">
      <c r="A22794" t="s">
        <v>22807</v>
      </c>
      <c r="B22794">
        <v>2235</v>
      </c>
      <c r="C22794" s="1" t="str">
        <f>HYPERLINK("http://www.rosaceae.org/gb/gbrowse/malus_x_domestica/?name=MDP0000231385","MDP0000231385")</f>
        <v>MDP0000231385</v>
      </c>
      <c r="D22794">
        <v>75.81</v>
      </c>
      <c r="E22794">
        <v>1902</v>
      </c>
      <c r="F22794">
        <v>460</v>
      </c>
      <c r="G22794">
        <v>106</v>
      </c>
      <c r="H22794">
        <v>400</v>
      </c>
      <c r="I22794">
        <v>2208</v>
      </c>
      <c r="J22794">
        <v>1</v>
      </c>
      <c r="K22794">
        <v>4</v>
      </c>
      <c r="L22794">
        <v>1892</v>
      </c>
      <c r="M22794">
        <v>1</v>
      </c>
      <c r="N22794">
        <v>0</v>
      </c>
      <c r="O22794">
        <v>7370</v>
      </c>
    </row>
    <row r="22795" spans="1:15" x14ac:dyDescent="0.25">
      <c r="A22795" t="s">
        <v>22808</v>
      </c>
      <c r="B22795">
        <v>267</v>
      </c>
      <c r="C22795" s="1" t="str">
        <f>HYPERLINK("http://www.rosaceae.org/gb/gbrowse/malus_x_domestica/?name=MDP0000700517","MDP0000700517")</f>
        <v>MDP0000700517</v>
      </c>
      <c r="D22795">
        <v>28</v>
      </c>
      <c r="E22795">
        <v>250</v>
      </c>
      <c r="F22795">
        <v>180</v>
      </c>
      <c r="G22795">
        <v>30</v>
      </c>
      <c r="H22795">
        <v>29</v>
      </c>
      <c r="I22795">
        <v>266</v>
      </c>
      <c r="J22795">
        <v>1</v>
      </c>
      <c r="K22795">
        <v>169</v>
      </c>
      <c r="L22795">
        <v>400</v>
      </c>
      <c r="M22795">
        <v>1</v>
      </c>
      <c r="N22795">
        <v>6.5378599999999999E-21</v>
      </c>
      <c r="O22795">
        <v>244</v>
      </c>
    </row>
    <row r="22796" spans="1:15" x14ac:dyDescent="0.25">
      <c r="A22796" t="s">
        <v>22809</v>
      </c>
      <c r="B22796">
        <v>264</v>
      </c>
      <c r="C22796" s="1" t="str">
        <f>HYPERLINK("http://www.rosaceae.org/gb/gbrowse/malus_x_domestica/?name=MDP0000275386","MDP0000275386")</f>
        <v>MDP0000275386</v>
      </c>
      <c r="D22796">
        <v>64.75</v>
      </c>
      <c r="E22796">
        <v>261</v>
      </c>
      <c r="F22796">
        <v>92</v>
      </c>
      <c r="G22796">
        <v>4</v>
      </c>
      <c r="H22796">
        <v>8</v>
      </c>
      <c r="I22796">
        <v>264</v>
      </c>
      <c r="J22796">
        <v>1</v>
      </c>
      <c r="K22796">
        <v>219</v>
      </c>
      <c r="L22796">
        <v>479</v>
      </c>
      <c r="M22796">
        <v>1</v>
      </c>
      <c r="N22796">
        <v>1.6987099999999999E-88</v>
      </c>
      <c r="O22796">
        <v>826</v>
      </c>
    </row>
    <row r="22797" spans="1:15" x14ac:dyDescent="0.25">
      <c r="A22797" t="s">
        <v>22810</v>
      </c>
      <c r="B22797">
        <v>147</v>
      </c>
      <c r="C22797" s="1" t="str">
        <f>HYPERLINK("http://www.rosaceae.org/gb/gbrowse/malus_x_domestica/?name=MDP0000190256","MDP0000190256")</f>
        <v>MDP0000190256</v>
      </c>
      <c r="D22797">
        <v>62.42</v>
      </c>
      <c r="E22797">
        <v>173</v>
      </c>
      <c r="F22797">
        <v>65</v>
      </c>
      <c r="G22797">
        <v>26</v>
      </c>
      <c r="H22797">
        <v>1</v>
      </c>
      <c r="I22797">
        <v>147</v>
      </c>
      <c r="J22797">
        <v>1</v>
      </c>
      <c r="K22797">
        <v>38</v>
      </c>
      <c r="L22797">
        <v>210</v>
      </c>
      <c r="M22797">
        <v>1</v>
      </c>
      <c r="N22797">
        <v>9.1463600000000004E-54</v>
      </c>
      <c r="O22797">
        <v>523</v>
      </c>
    </row>
    <row r="22798" spans="1:15" x14ac:dyDescent="0.25">
      <c r="A22798" t="s">
        <v>22811</v>
      </c>
      <c r="B22798">
        <v>111</v>
      </c>
      <c r="C22798" s="1" t="str">
        <f>HYPERLINK("http://www.rosaceae.org/gb/gbrowse/malus_x_domestica/?name=MDP0000124256","MDP0000124256")</f>
        <v>MDP0000124256</v>
      </c>
      <c r="D22798">
        <v>42.5</v>
      </c>
      <c r="E22798">
        <v>80</v>
      </c>
      <c r="F22798">
        <v>46</v>
      </c>
      <c r="G22798">
        <v>0</v>
      </c>
      <c r="H22798">
        <v>17</v>
      </c>
      <c r="I22798">
        <v>96</v>
      </c>
      <c r="J22798">
        <v>1</v>
      </c>
      <c r="K22798">
        <v>122</v>
      </c>
      <c r="L22798">
        <v>201</v>
      </c>
      <c r="M22798">
        <v>1</v>
      </c>
      <c r="N22798">
        <v>1.12001E-11</v>
      </c>
      <c r="O22798">
        <v>158</v>
      </c>
    </row>
    <row r="22799" spans="1:15" x14ac:dyDescent="0.25">
      <c r="A22799" t="s">
        <v>22812</v>
      </c>
      <c r="B22799">
        <v>72</v>
      </c>
      <c r="C22799" s="1" t="str">
        <f>HYPERLINK("http://www.rosaceae.org/gb/gbrowse/malus_x_domestica/?name=MDP0000053760","MDP0000053760")</f>
        <v>MDP0000053760</v>
      </c>
      <c r="D22799">
        <v>62.92</v>
      </c>
      <c r="E22799">
        <v>89</v>
      </c>
      <c r="F22799">
        <v>33</v>
      </c>
      <c r="G22799">
        <v>29</v>
      </c>
      <c r="H22799">
        <v>1</v>
      </c>
      <c r="I22799">
        <v>60</v>
      </c>
      <c r="J22799">
        <v>1</v>
      </c>
      <c r="K22799">
        <v>1</v>
      </c>
      <c r="L22799">
        <v>89</v>
      </c>
      <c r="M22799">
        <v>1</v>
      </c>
      <c r="N22799">
        <v>4.9080899999999998E-23</v>
      </c>
      <c r="O22799">
        <v>256</v>
      </c>
    </row>
    <row r="22800" spans="1:15" x14ac:dyDescent="0.25">
      <c r="A22800" t="s">
        <v>22813</v>
      </c>
      <c r="B22800">
        <v>322</v>
      </c>
      <c r="C22800" s="1" t="str">
        <f>HYPERLINK("http://www.rosaceae.org/gb/gbrowse/malus_x_domestica/?name=MDP0000400398","MDP0000400398")</f>
        <v>MDP0000400398</v>
      </c>
      <c r="D22800">
        <v>34.89</v>
      </c>
      <c r="E22800">
        <v>149</v>
      </c>
      <c r="F22800">
        <v>97</v>
      </c>
      <c r="G22800">
        <v>3</v>
      </c>
      <c r="H22800">
        <v>30</v>
      </c>
      <c r="I22800">
        <v>175</v>
      </c>
      <c r="J22800">
        <v>1</v>
      </c>
      <c r="K22800">
        <v>725</v>
      </c>
      <c r="L22800">
        <v>873</v>
      </c>
      <c r="M22800">
        <v>1</v>
      </c>
      <c r="N22800">
        <v>8.9496500000000001E-17</v>
      </c>
      <c r="O22800">
        <v>209</v>
      </c>
    </row>
    <row r="22801" spans="1:15" x14ac:dyDescent="0.25">
      <c r="A22801" t="s">
        <v>22814</v>
      </c>
      <c r="B22801">
        <v>239</v>
      </c>
      <c r="C22801" s="1" t="str">
        <f>HYPERLINK("http://www.rosaceae.org/gb/gbrowse/malus_x_domestica/?name=MDP0000536422","MDP0000536422")</f>
        <v>MDP0000536422</v>
      </c>
      <c r="D22801">
        <v>44.18</v>
      </c>
      <c r="E22801">
        <v>129</v>
      </c>
      <c r="F22801">
        <v>72</v>
      </c>
      <c r="G22801">
        <v>4</v>
      </c>
      <c r="H22801">
        <v>31</v>
      </c>
      <c r="I22801">
        <v>159</v>
      </c>
      <c r="J22801">
        <v>1</v>
      </c>
      <c r="K22801">
        <v>2</v>
      </c>
      <c r="L22801">
        <v>126</v>
      </c>
      <c r="M22801">
        <v>1</v>
      </c>
      <c r="N22801">
        <v>2.7275899999999999E-24</v>
      </c>
      <c r="O22801">
        <v>272</v>
      </c>
    </row>
    <row r="22802" spans="1:15" x14ac:dyDescent="0.25">
      <c r="A22802" t="s">
        <v>22815</v>
      </c>
      <c r="B22802">
        <v>817</v>
      </c>
      <c r="C22802" s="1" t="str">
        <f>HYPERLINK("http://www.rosaceae.org/gb/gbrowse/malus_x_domestica/?name=MDP0000274228","MDP0000274228")</f>
        <v>MDP0000274228</v>
      </c>
      <c r="D22802">
        <v>71.010000000000005</v>
      </c>
      <c r="E22802">
        <v>721</v>
      </c>
      <c r="F22802">
        <v>209</v>
      </c>
      <c r="G22802">
        <v>25</v>
      </c>
      <c r="H22802">
        <v>110</v>
      </c>
      <c r="I22802">
        <v>817</v>
      </c>
      <c r="J22802">
        <v>1</v>
      </c>
      <c r="K22802">
        <v>110</v>
      </c>
      <c r="L22802">
        <v>818</v>
      </c>
      <c r="M22802">
        <v>1</v>
      </c>
      <c r="N22802">
        <v>0</v>
      </c>
      <c r="O22802">
        <v>2511</v>
      </c>
    </row>
    <row r="22803" spans="1:15" x14ac:dyDescent="0.25">
      <c r="A22803" t="s">
        <v>22816</v>
      </c>
      <c r="B22803">
        <v>163</v>
      </c>
      <c r="C22803" s="1" t="str">
        <f>HYPERLINK("http://www.rosaceae.org/gb/gbrowse/malus_x_domestica/?name=MDP0000445291","MDP0000445291")</f>
        <v>MDP0000445291</v>
      </c>
      <c r="D22803">
        <v>80.98</v>
      </c>
      <c r="E22803">
        <v>163</v>
      </c>
      <c r="F22803">
        <v>31</v>
      </c>
      <c r="G22803">
        <v>1</v>
      </c>
      <c r="H22803">
        <v>1</v>
      </c>
      <c r="I22803">
        <v>163</v>
      </c>
      <c r="J22803">
        <v>1</v>
      </c>
      <c r="K22803">
        <v>1</v>
      </c>
      <c r="L22803">
        <v>162</v>
      </c>
      <c r="M22803">
        <v>1</v>
      </c>
      <c r="N22803">
        <v>1.6642499999999998E-73</v>
      </c>
      <c r="O22803">
        <v>694</v>
      </c>
    </row>
    <row r="22804" spans="1:15" x14ac:dyDescent="0.25">
      <c r="A22804" t="s">
        <v>22817</v>
      </c>
      <c r="B22804">
        <v>708</v>
      </c>
      <c r="C22804" s="1" t="str">
        <f>HYPERLINK("http://www.rosaceae.org/gb/gbrowse/malus_x_domestica/?name=MDP0000167819","MDP0000167819")</f>
        <v>MDP0000167819</v>
      </c>
      <c r="D22804">
        <v>72.59</v>
      </c>
      <c r="E22804">
        <v>489</v>
      </c>
      <c r="F22804">
        <v>134</v>
      </c>
      <c r="G22804">
        <v>3</v>
      </c>
      <c r="H22804">
        <v>166</v>
      </c>
      <c r="I22804">
        <v>654</v>
      </c>
      <c r="J22804">
        <v>1</v>
      </c>
      <c r="K22804">
        <v>149</v>
      </c>
      <c r="L22804">
        <v>634</v>
      </c>
      <c r="M22804">
        <v>1</v>
      </c>
      <c r="N22804">
        <v>0</v>
      </c>
      <c r="O22804">
        <v>1885</v>
      </c>
    </row>
    <row r="22805" spans="1:15" x14ac:dyDescent="0.25">
      <c r="A22805" t="s">
        <v>22818</v>
      </c>
      <c r="B22805">
        <v>465</v>
      </c>
      <c r="C22805" s="1" t="str">
        <f>HYPERLINK("http://www.rosaceae.org/gb/gbrowse/malus_x_domestica/?name=MDP0000175922","MDP0000175922")</f>
        <v>MDP0000175922</v>
      </c>
      <c r="D22805">
        <v>59.95</v>
      </c>
      <c r="E22805">
        <v>472</v>
      </c>
      <c r="F22805">
        <v>189</v>
      </c>
      <c r="G22805">
        <v>49</v>
      </c>
      <c r="H22805">
        <v>1</v>
      </c>
      <c r="I22805">
        <v>464</v>
      </c>
      <c r="J22805">
        <v>1</v>
      </c>
      <c r="K22805">
        <v>1</v>
      </c>
      <c r="L22805">
        <v>431</v>
      </c>
      <c r="M22805">
        <v>1</v>
      </c>
      <c r="N22805">
        <v>6.2640499999999994E-157</v>
      </c>
      <c r="O22805">
        <v>1419</v>
      </c>
    </row>
    <row r="22806" spans="1:15" x14ac:dyDescent="0.25">
      <c r="A22806" t="s">
        <v>22819</v>
      </c>
      <c r="B22806">
        <v>358</v>
      </c>
      <c r="C22806" s="1" t="str">
        <f>HYPERLINK("http://www.rosaceae.org/gb/gbrowse/malus_x_domestica/?name=MDP0000643235","MDP0000643235")</f>
        <v>MDP0000643235</v>
      </c>
      <c r="D22806">
        <v>67.569999999999993</v>
      </c>
      <c r="E22806">
        <v>256</v>
      </c>
      <c r="F22806">
        <v>83</v>
      </c>
      <c r="G22806">
        <v>3</v>
      </c>
      <c r="H22806">
        <v>1</v>
      </c>
      <c r="I22806">
        <v>253</v>
      </c>
      <c r="J22806">
        <v>1</v>
      </c>
      <c r="K22806">
        <v>1</v>
      </c>
      <c r="L22806">
        <v>256</v>
      </c>
      <c r="M22806">
        <v>1</v>
      </c>
      <c r="N22806">
        <v>8.4904799999999998E-95</v>
      </c>
      <c r="O22806">
        <v>882</v>
      </c>
    </row>
    <row r="22807" spans="1:15" x14ac:dyDescent="0.25">
      <c r="A22807" t="s">
        <v>22820</v>
      </c>
      <c r="B22807">
        <v>448</v>
      </c>
      <c r="C22807" s="1" t="str">
        <f>HYPERLINK("http://www.rosaceae.org/gb/gbrowse/malus_x_domestica/?name=MDP0000392177","MDP0000392177")</f>
        <v>MDP0000392177</v>
      </c>
      <c r="D22807">
        <v>75.22</v>
      </c>
      <c r="E22807">
        <v>452</v>
      </c>
      <c r="F22807">
        <v>112</v>
      </c>
      <c r="G22807">
        <v>7</v>
      </c>
      <c r="H22807">
        <v>1</v>
      </c>
      <c r="I22807">
        <v>448</v>
      </c>
      <c r="J22807">
        <v>1</v>
      </c>
      <c r="K22807">
        <v>1</v>
      </c>
      <c r="L22807">
        <v>449</v>
      </c>
      <c r="M22807">
        <v>1</v>
      </c>
      <c r="N22807">
        <v>0</v>
      </c>
      <c r="O22807">
        <v>1660</v>
      </c>
    </row>
    <row r="22808" spans="1:15" x14ac:dyDescent="0.25">
      <c r="A22808" t="s">
        <v>22821</v>
      </c>
      <c r="B22808">
        <v>265</v>
      </c>
      <c r="C22808" s="1" t="str">
        <f>HYPERLINK("http://www.rosaceae.org/gb/gbrowse/malus_x_domestica/?name=MDP0000834570","MDP0000834570")</f>
        <v>MDP0000834570</v>
      </c>
      <c r="D22808">
        <v>80.760000000000005</v>
      </c>
      <c r="E22808">
        <v>130</v>
      </c>
      <c r="F22808">
        <v>25</v>
      </c>
      <c r="G22808">
        <v>0</v>
      </c>
      <c r="H22808">
        <v>136</v>
      </c>
      <c r="I22808">
        <v>265</v>
      </c>
      <c r="J22808">
        <v>1</v>
      </c>
      <c r="K22808">
        <v>3</v>
      </c>
      <c r="L22808">
        <v>132</v>
      </c>
      <c r="M22808">
        <v>1</v>
      </c>
      <c r="N22808">
        <v>3.06353E-61</v>
      </c>
      <c r="O22808">
        <v>591</v>
      </c>
    </row>
    <row r="22809" spans="1:15" x14ac:dyDescent="0.25">
      <c r="A22809" t="s">
        <v>22822</v>
      </c>
      <c r="B22809">
        <v>444</v>
      </c>
      <c r="C22809" s="1" t="str">
        <f>HYPERLINK("http://www.rosaceae.org/gb/gbrowse/malus_x_domestica/?name=MDP0000134429","MDP0000134429")</f>
        <v>MDP0000134429</v>
      </c>
      <c r="D22809">
        <v>60.4</v>
      </c>
      <c r="E22809">
        <v>447</v>
      </c>
      <c r="F22809">
        <v>177</v>
      </c>
      <c r="G22809">
        <v>38</v>
      </c>
      <c r="H22809">
        <v>1</v>
      </c>
      <c r="I22809">
        <v>440</v>
      </c>
      <c r="J22809">
        <v>1</v>
      </c>
      <c r="K22809">
        <v>1</v>
      </c>
      <c r="L22809">
        <v>416</v>
      </c>
      <c r="M22809">
        <v>1</v>
      </c>
      <c r="N22809">
        <v>2.6984399999999999E-148</v>
      </c>
      <c r="O22809">
        <v>1345</v>
      </c>
    </row>
    <row r="22810" spans="1:15" x14ac:dyDescent="0.25">
      <c r="A22810" t="s">
        <v>22823</v>
      </c>
      <c r="B22810">
        <v>229</v>
      </c>
      <c r="C22810" s="1" t="str">
        <f>HYPERLINK("http://www.rosaceae.org/gb/gbrowse/malus_x_domestica/?name=MDP0000620349","MDP0000620349")</f>
        <v>MDP0000620349</v>
      </c>
      <c r="D22810">
        <v>67.400000000000006</v>
      </c>
      <c r="E22810">
        <v>227</v>
      </c>
      <c r="F22810">
        <v>74</v>
      </c>
      <c r="G22810">
        <v>1</v>
      </c>
      <c r="H22810">
        <v>2</v>
      </c>
      <c r="I22810">
        <v>227</v>
      </c>
      <c r="J22810">
        <v>1</v>
      </c>
      <c r="K22810">
        <v>130</v>
      </c>
      <c r="L22810">
        <v>356</v>
      </c>
      <c r="M22810">
        <v>1</v>
      </c>
      <c r="N22810">
        <v>3.8279900000000002E-94</v>
      </c>
      <c r="O22810">
        <v>874</v>
      </c>
    </row>
    <row r="22811" spans="1:15" x14ac:dyDescent="0.25">
      <c r="A22811" t="s">
        <v>22824</v>
      </c>
      <c r="B22811">
        <v>564</v>
      </c>
      <c r="C22811" s="1" t="str">
        <f>HYPERLINK("http://www.rosaceae.org/gb/gbrowse/malus_x_domestica/?name=MDP0000257698","MDP0000257698")</f>
        <v>MDP0000257698</v>
      </c>
      <c r="D22811">
        <v>71.2</v>
      </c>
      <c r="E22811">
        <v>566</v>
      </c>
      <c r="F22811">
        <v>163</v>
      </c>
      <c r="G22811">
        <v>4</v>
      </c>
      <c r="H22811">
        <v>1</v>
      </c>
      <c r="I22811">
        <v>564</v>
      </c>
      <c r="J22811">
        <v>1</v>
      </c>
      <c r="K22811">
        <v>1</v>
      </c>
      <c r="L22811">
        <v>564</v>
      </c>
      <c r="M22811">
        <v>1</v>
      </c>
      <c r="N22811">
        <v>0</v>
      </c>
      <c r="O22811">
        <v>2098</v>
      </c>
    </row>
    <row r="22812" spans="1:15" x14ac:dyDescent="0.25">
      <c r="A22812" t="s">
        <v>22825</v>
      </c>
      <c r="B22812">
        <v>326</v>
      </c>
      <c r="C22812" s="1" t="str">
        <f>HYPERLINK("http://www.rosaceae.org/gb/gbrowse/malus_x_domestica/?name=MDP0000778955","MDP0000778955")</f>
        <v>MDP0000778955</v>
      </c>
      <c r="D22812">
        <v>63.77</v>
      </c>
      <c r="E22812">
        <v>323</v>
      </c>
      <c r="F22812">
        <v>117</v>
      </c>
      <c r="G22812">
        <v>60</v>
      </c>
      <c r="H22812">
        <v>15</v>
      </c>
      <c r="I22812">
        <v>323</v>
      </c>
      <c r="J22812">
        <v>1</v>
      </c>
      <c r="K22812">
        <v>15</v>
      </c>
      <c r="L22812">
        <v>291</v>
      </c>
      <c r="M22812">
        <v>1</v>
      </c>
      <c r="N22812">
        <v>2.3318800000000001E-114</v>
      </c>
      <c r="O22812">
        <v>1051</v>
      </c>
    </row>
    <row r="22813" spans="1:15" x14ac:dyDescent="0.25">
      <c r="A22813" t="s">
        <v>22826</v>
      </c>
      <c r="B22813">
        <v>64</v>
      </c>
      <c r="C22813" s="1" t="str">
        <f>HYPERLINK("http://www.rosaceae.org/gb/gbrowse/malus_x_domestica/?name=MDP0000547283","MDP0000547283")</f>
        <v>MDP0000547283</v>
      </c>
      <c r="D22813">
        <v>61.7</v>
      </c>
      <c r="E22813">
        <v>47</v>
      </c>
      <c r="F22813">
        <v>18</v>
      </c>
      <c r="G22813">
        <v>2</v>
      </c>
      <c r="H22813">
        <v>8</v>
      </c>
      <c r="I22813">
        <v>52</v>
      </c>
      <c r="J22813">
        <v>1</v>
      </c>
      <c r="K22813">
        <v>51</v>
      </c>
      <c r="L22813">
        <v>97</v>
      </c>
      <c r="M22813">
        <v>1</v>
      </c>
      <c r="N22813">
        <v>2.4838E-9</v>
      </c>
      <c r="O22813">
        <v>138</v>
      </c>
    </row>
    <row r="22814" spans="1:15" x14ac:dyDescent="0.25">
      <c r="A22814" t="s">
        <v>22827</v>
      </c>
      <c r="B22814">
        <v>507</v>
      </c>
      <c r="C22814" s="1" t="str">
        <f>HYPERLINK("http://www.rosaceae.org/gb/gbrowse/malus_x_domestica/?name=MDP0000236306","MDP0000236306")</f>
        <v>MDP0000236306</v>
      </c>
      <c r="D22814">
        <v>64.28</v>
      </c>
      <c r="E22814">
        <v>490</v>
      </c>
      <c r="F22814">
        <v>175</v>
      </c>
      <c r="G22814">
        <v>16</v>
      </c>
      <c r="H22814">
        <v>28</v>
      </c>
      <c r="I22814">
        <v>507</v>
      </c>
      <c r="J22814">
        <v>1</v>
      </c>
      <c r="K22814">
        <v>1</v>
      </c>
      <c r="L22814">
        <v>484</v>
      </c>
      <c r="M22814">
        <v>1</v>
      </c>
      <c r="N22814">
        <v>1.71112E-159</v>
      </c>
      <c r="O22814">
        <v>1442</v>
      </c>
    </row>
    <row r="22815" spans="1:15" x14ac:dyDescent="0.25">
      <c r="A22815" t="s">
        <v>22828</v>
      </c>
      <c r="B22815">
        <v>532</v>
      </c>
      <c r="C22815" s="1" t="str">
        <f>HYPERLINK("http://www.rosaceae.org/gb/gbrowse/malus_x_domestica/?name=MDP0000906645","MDP0000906645")</f>
        <v>MDP0000906645</v>
      </c>
      <c r="D22815">
        <v>79.790000000000006</v>
      </c>
      <c r="E22815">
        <v>99</v>
      </c>
      <c r="F22815">
        <v>20</v>
      </c>
      <c r="G22815">
        <v>3</v>
      </c>
      <c r="H22815">
        <v>1</v>
      </c>
      <c r="I22815">
        <v>99</v>
      </c>
      <c r="J22815">
        <v>1</v>
      </c>
      <c r="K22815">
        <v>1</v>
      </c>
      <c r="L22815">
        <v>96</v>
      </c>
      <c r="M22815">
        <v>1</v>
      </c>
      <c r="N22815">
        <v>5.2088499999999999E-40</v>
      </c>
      <c r="O22815">
        <v>412</v>
      </c>
    </row>
    <row r="22816" spans="1:15" x14ac:dyDescent="0.25">
      <c r="A22816" t="s">
        <v>22829</v>
      </c>
      <c r="B22816">
        <v>926</v>
      </c>
      <c r="C22816" s="1" t="str">
        <f>HYPERLINK("http://www.rosaceae.org/gb/gbrowse/malus_x_domestica/?name=MDP0000186701","MDP0000186701")</f>
        <v>MDP0000186701</v>
      </c>
      <c r="D22816">
        <v>66.13</v>
      </c>
      <c r="E22816">
        <v>694</v>
      </c>
      <c r="F22816">
        <v>235</v>
      </c>
      <c r="G22816">
        <v>29</v>
      </c>
      <c r="H22816">
        <v>1</v>
      </c>
      <c r="I22816">
        <v>672</v>
      </c>
      <c r="J22816">
        <v>1</v>
      </c>
      <c r="K22816">
        <v>1</v>
      </c>
      <c r="L22816">
        <v>687</v>
      </c>
      <c r="M22816">
        <v>1</v>
      </c>
      <c r="N22816">
        <v>0</v>
      </c>
      <c r="O22816">
        <v>2400</v>
      </c>
    </row>
    <row r="22817" spans="1:15" x14ac:dyDescent="0.25">
      <c r="A22817" t="s">
        <v>22830</v>
      </c>
      <c r="B22817">
        <v>130</v>
      </c>
      <c r="C22817" s="1" t="str">
        <f>HYPERLINK("http://www.rosaceae.org/gb/gbrowse/malus_x_domestica/?name=MDP0000266658","MDP0000266658")</f>
        <v>MDP0000266658</v>
      </c>
      <c r="D22817">
        <v>52.54</v>
      </c>
      <c r="E22817">
        <v>118</v>
      </c>
      <c r="F22817">
        <v>56</v>
      </c>
      <c r="G22817">
        <v>10</v>
      </c>
      <c r="H22817">
        <v>21</v>
      </c>
      <c r="I22817">
        <v>130</v>
      </c>
      <c r="J22817">
        <v>1</v>
      </c>
      <c r="K22817">
        <v>331</v>
      </c>
      <c r="L22817">
        <v>446</v>
      </c>
      <c r="M22817">
        <v>1</v>
      </c>
      <c r="N22817">
        <v>4.1583800000000003E-25</v>
      </c>
      <c r="O22817">
        <v>275</v>
      </c>
    </row>
    <row r="22818" spans="1:15" x14ac:dyDescent="0.25">
      <c r="A22818" t="s">
        <v>22831</v>
      </c>
      <c r="B22818">
        <v>635</v>
      </c>
      <c r="C22818" s="1" t="str">
        <f>HYPERLINK("http://www.rosaceae.org/gb/gbrowse/malus_x_domestica/?name=MDP0000807190","MDP0000807190")</f>
        <v>MDP0000807190</v>
      </c>
      <c r="D22818">
        <v>72.849999999999994</v>
      </c>
      <c r="E22818">
        <v>711</v>
      </c>
      <c r="F22818">
        <v>193</v>
      </c>
      <c r="G22818">
        <v>82</v>
      </c>
      <c r="H22818">
        <v>1</v>
      </c>
      <c r="I22818">
        <v>635</v>
      </c>
      <c r="J22818">
        <v>1</v>
      </c>
      <c r="K22818">
        <v>1</v>
      </c>
      <c r="L22818">
        <v>705</v>
      </c>
      <c r="M22818">
        <v>1</v>
      </c>
      <c r="N22818">
        <v>0</v>
      </c>
      <c r="O22818">
        <v>2555</v>
      </c>
    </row>
    <row r="22819" spans="1:15" x14ac:dyDescent="0.25">
      <c r="A22819" t="s">
        <v>22832</v>
      </c>
      <c r="B22819">
        <v>406</v>
      </c>
      <c r="C22819" s="1" t="str">
        <f>HYPERLINK("http://www.rosaceae.org/gb/gbrowse/malus_x_domestica/?name=MDP0000247921","MDP0000247921")</f>
        <v>MDP0000247921</v>
      </c>
      <c r="D22819">
        <v>26.46</v>
      </c>
      <c r="E22819">
        <v>427</v>
      </c>
      <c r="F22819">
        <v>314</v>
      </c>
      <c r="G22819">
        <v>45</v>
      </c>
      <c r="H22819">
        <v>3</v>
      </c>
      <c r="I22819">
        <v>406</v>
      </c>
      <c r="J22819">
        <v>1</v>
      </c>
      <c r="K22819">
        <v>689</v>
      </c>
      <c r="L22819">
        <v>1093</v>
      </c>
      <c r="M22819">
        <v>1</v>
      </c>
      <c r="N22819">
        <v>3.3634900000000003E-36</v>
      </c>
      <c r="O22819">
        <v>378</v>
      </c>
    </row>
    <row r="22820" spans="1:15" x14ac:dyDescent="0.25">
      <c r="A22820" t="s">
        <v>22833</v>
      </c>
      <c r="B22820">
        <v>357</v>
      </c>
      <c r="C22820" s="1" t="str">
        <f>HYPERLINK("http://www.rosaceae.org/gb/gbrowse/malus_x_domestica/?name=MDP0000322632","MDP0000322632")</f>
        <v>MDP0000322632</v>
      </c>
      <c r="D22820">
        <v>85.93</v>
      </c>
      <c r="E22820">
        <v>128</v>
      </c>
      <c r="F22820">
        <v>18</v>
      </c>
      <c r="G22820">
        <v>0</v>
      </c>
      <c r="H22820">
        <v>21</v>
      </c>
      <c r="I22820">
        <v>148</v>
      </c>
      <c r="J22820">
        <v>1</v>
      </c>
      <c r="K22820">
        <v>19</v>
      </c>
      <c r="L22820">
        <v>146</v>
      </c>
      <c r="M22820">
        <v>1</v>
      </c>
      <c r="N22820">
        <v>1.0695599999999999E-61</v>
      </c>
      <c r="O22820">
        <v>597</v>
      </c>
    </row>
    <row r="22821" spans="1:15" x14ac:dyDescent="0.25">
      <c r="A22821" t="s">
        <v>22834</v>
      </c>
      <c r="B22821">
        <v>204</v>
      </c>
      <c r="C22821" s="1" t="str">
        <f>HYPERLINK("http://www.rosaceae.org/gb/gbrowse/malus_x_domestica/?name=MDP0000363054","MDP0000363054")</f>
        <v>MDP0000363054</v>
      </c>
      <c r="D22821">
        <v>80.39</v>
      </c>
      <c r="E22821">
        <v>204</v>
      </c>
      <c r="F22821">
        <v>40</v>
      </c>
      <c r="G22821">
        <v>0</v>
      </c>
      <c r="H22821">
        <v>1</v>
      </c>
      <c r="I22821">
        <v>204</v>
      </c>
      <c r="J22821">
        <v>1</v>
      </c>
      <c r="K22821">
        <v>1</v>
      </c>
      <c r="L22821">
        <v>204</v>
      </c>
      <c r="M22821">
        <v>1</v>
      </c>
      <c r="N22821">
        <v>1.1219099999999999E-90</v>
      </c>
      <c r="O22821">
        <v>844</v>
      </c>
    </row>
    <row r="22822" spans="1:15" x14ac:dyDescent="0.25">
      <c r="A22822" t="s">
        <v>22835</v>
      </c>
      <c r="B22822">
        <v>1323</v>
      </c>
      <c r="C22822" s="1" t="str">
        <f>HYPERLINK("http://www.rosaceae.org/gb/gbrowse/malus_x_domestica/?name=MDP0000281970","MDP0000281970")</f>
        <v>MDP0000281970</v>
      </c>
      <c r="D22822">
        <v>71.73</v>
      </c>
      <c r="E22822">
        <v>605</v>
      </c>
      <c r="F22822">
        <v>171</v>
      </c>
      <c r="G22822">
        <v>15</v>
      </c>
      <c r="H22822">
        <v>1</v>
      </c>
      <c r="I22822">
        <v>595</v>
      </c>
      <c r="J22822">
        <v>1</v>
      </c>
      <c r="K22822">
        <v>1</v>
      </c>
      <c r="L22822">
        <v>600</v>
      </c>
      <c r="M22822">
        <v>1</v>
      </c>
      <c r="N22822">
        <v>0</v>
      </c>
      <c r="O22822">
        <v>2324</v>
      </c>
    </row>
    <row r="22823" spans="1:15" x14ac:dyDescent="0.25">
      <c r="A22823" t="s">
        <v>22836</v>
      </c>
      <c r="B22823">
        <v>308</v>
      </c>
      <c r="C22823" s="1" t="str">
        <f>HYPERLINK("http://www.rosaceae.org/gb/gbrowse/malus_x_domestica/?name=MDP0000919900","MDP0000919900")</f>
        <v>MDP0000919900</v>
      </c>
      <c r="D22823">
        <v>65.180000000000007</v>
      </c>
      <c r="E22823">
        <v>316</v>
      </c>
      <c r="F22823">
        <v>110</v>
      </c>
      <c r="G22823">
        <v>8</v>
      </c>
      <c r="H22823">
        <v>1</v>
      </c>
      <c r="I22823">
        <v>308</v>
      </c>
      <c r="J22823">
        <v>1</v>
      </c>
      <c r="K22823">
        <v>1</v>
      </c>
      <c r="L22823">
        <v>316</v>
      </c>
      <c r="M22823">
        <v>1</v>
      </c>
      <c r="N22823">
        <v>2.3305699999999999E-113</v>
      </c>
      <c r="O22823">
        <v>1042</v>
      </c>
    </row>
    <row r="22824" spans="1:15" x14ac:dyDescent="0.25">
      <c r="A22824" t="s">
        <v>22837</v>
      </c>
      <c r="B22824">
        <v>157</v>
      </c>
      <c r="C22824" s="1" t="str">
        <f>HYPERLINK("http://www.rosaceae.org/gb/gbrowse/malus_x_domestica/?name=MDP0000130885","MDP0000130885")</f>
        <v>MDP0000130885</v>
      </c>
      <c r="D22824">
        <v>99.21</v>
      </c>
      <c r="E22824">
        <v>127</v>
      </c>
      <c r="F22824">
        <v>1</v>
      </c>
      <c r="G22824">
        <v>0</v>
      </c>
      <c r="H22824">
        <v>2</v>
      </c>
      <c r="I22824">
        <v>128</v>
      </c>
      <c r="J22824">
        <v>1</v>
      </c>
      <c r="K22824">
        <v>49</v>
      </c>
      <c r="L22824">
        <v>175</v>
      </c>
      <c r="M22824">
        <v>1</v>
      </c>
      <c r="N22824">
        <v>2.10159E-72</v>
      </c>
      <c r="O22824">
        <v>684</v>
      </c>
    </row>
    <row r="22825" spans="1:15" x14ac:dyDescent="0.25">
      <c r="A22825" t="s">
        <v>22838</v>
      </c>
      <c r="B22825">
        <v>216</v>
      </c>
      <c r="C22825" s="1" t="str">
        <f>HYPERLINK("http://www.rosaceae.org/gb/gbrowse/malus_x_domestica/?name=MDP0000520335","MDP0000520335")</f>
        <v>MDP0000520335</v>
      </c>
      <c r="D22825">
        <v>64.09</v>
      </c>
      <c r="E22825">
        <v>220</v>
      </c>
      <c r="F22825">
        <v>79</v>
      </c>
      <c r="G22825">
        <v>22</v>
      </c>
      <c r="H22825">
        <v>1</v>
      </c>
      <c r="I22825">
        <v>212</v>
      </c>
      <c r="J22825">
        <v>1</v>
      </c>
      <c r="K22825">
        <v>27</v>
      </c>
      <c r="L22825">
        <v>232</v>
      </c>
      <c r="M22825">
        <v>1</v>
      </c>
      <c r="N22825">
        <v>3.8132E-71</v>
      </c>
      <c r="O22825">
        <v>676</v>
      </c>
    </row>
    <row r="22826" spans="1:15" x14ac:dyDescent="0.25">
      <c r="A22826" t="s">
        <v>22839</v>
      </c>
      <c r="B22826">
        <v>148</v>
      </c>
      <c r="C22826" s="1" t="str">
        <f>HYPERLINK("http://www.rosaceae.org/gb/gbrowse/malus_x_domestica/?name=MDP0000130405","MDP0000130405")</f>
        <v>MDP0000130405</v>
      </c>
      <c r="D22826">
        <v>62.85</v>
      </c>
      <c r="E22826">
        <v>140</v>
      </c>
      <c r="F22826">
        <v>52</v>
      </c>
      <c r="G22826">
        <v>6</v>
      </c>
      <c r="H22826">
        <v>1</v>
      </c>
      <c r="I22826">
        <v>134</v>
      </c>
      <c r="J22826">
        <v>1</v>
      </c>
      <c r="K22826">
        <v>33</v>
      </c>
      <c r="L22826">
        <v>172</v>
      </c>
      <c r="M22826">
        <v>1</v>
      </c>
      <c r="N22826">
        <v>4.23283E-42</v>
      </c>
      <c r="O22826">
        <v>422</v>
      </c>
    </row>
    <row r="22827" spans="1:15" x14ac:dyDescent="0.25">
      <c r="A22827" t="s">
        <v>22840</v>
      </c>
      <c r="B22827">
        <v>178</v>
      </c>
      <c r="C22827" s="1" t="str">
        <f>HYPERLINK("http://www.rosaceae.org/gb/gbrowse/malus_x_domestica/?name=MDP0000299496","MDP0000299496")</f>
        <v>MDP0000299496</v>
      </c>
      <c r="D22827">
        <v>42.26</v>
      </c>
      <c r="E22827">
        <v>168</v>
      </c>
      <c r="F22827">
        <v>97</v>
      </c>
      <c r="G22827">
        <v>1</v>
      </c>
      <c r="H22827">
        <v>10</v>
      </c>
      <c r="I22827">
        <v>176</v>
      </c>
      <c r="J22827">
        <v>1</v>
      </c>
      <c r="K22827">
        <v>527</v>
      </c>
      <c r="L22827">
        <v>694</v>
      </c>
      <c r="M22827">
        <v>1</v>
      </c>
      <c r="N22827">
        <v>2.4325099999999999E-33</v>
      </c>
      <c r="O22827">
        <v>348</v>
      </c>
    </row>
    <row r="22828" spans="1:15" x14ac:dyDescent="0.25">
      <c r="A22828" t="s">
        <v>22841</v>
      </c>
      <c r="B22828">
        <v>703</v>
      </c>
      <c r="C22828" s="1" t="str">
        <f>HYPERLINK("http://www.rosaceae.org/gb/gbrowse/malus_x_domestica/?name=MDP0000224533","MDP0000224533")</f>
        <v>MDP0000224533</v>
      </c>
      <c r="D22828">
        <v>69.709999999999994</v>
      </c>
      <c r="E22828">
        <v>700</v>
      </c>
      <c r="F22828">
        <v>212</v>
      </c>
      <c r="G22828">
        <v>7</v>
      </c>
      <c r="H22828">
        <v>11</v>
      </c>
      <c r="I22828">
        <v>703</v>
      </c>
      <c r="J22828">
        <v>1</v>
      </c>
      <c r="K22828">
        <v>13</v>
      </c>
      <c r="L22828">
        <v>712</v>
      </c>
      <c r="M22828">
        <v>1</v>
      </c>
      <c r="N22828">
        <v>0</v>
      </c>
      <c r="O22828">
        <v>2654</v>
      </c>
    </row>
    <row r="22829" spans="1:15" x14ac:dyDescent="0.25">
      <c r="A22829" t="s">
        <v>22842</v>
      </c>
      <c r="B22829">
        <v>301</v>
      </c>
      <c r="C22829" s="1" t="str">
        <f>HYPERLINK("http://www.rosaceae.org/gb/gbrowse/malus_x_domestica/?name=MDP0000136037","MDP0000136037")</f>
        <v>MDP0000136037</v>
      </c>
      <c r="D22829">
        <v>73.02</v>
      </c>
      <c r="E22829">
        <v>304</v>
      </c>
      <c r="F22829">
        <v>82</v>
      </c>
      <c r="G22829">
        <v>7</v>
      </c>
      <c r="H22829">
        <v>1</v>
      </c>
      <c r="I22829">
        <v>300</v>
      </c>
      <c r="J22829">
        <v>1</v>
      </c>
      <c r="K22829">
        <v>1</v>
      </c>
      <c r="L22829">
        <v>301</v>
      </c>
      <c r="M22829">
        <v>1</v>
      </c>
      <c r="N22829">
        <v>1.3869999999999999E-114</v>
      </c>
      <c r="O22829">
        <v>1052</v>
      </c>
    </row>
    <row r="22830" spans="1:15" x14ac:dyDescent="0.25">
      <c r="A22830" t="s">
        <v>22843</v>
      </c>
      <c r="B22830">
        <v>1006</v>
      </c>
      <c r="C22830" s="1" t="str">
        <f>HYPERLINK("http://www.rosaceae.org/gb/gbrowse/malus_x_domestica/?name=MDP0000129770","MDP0000129770")</f>
        <v>MDP0000129770</v>
      </c>
      <c r="D22830">
        <v>40.98</v>
      </c>
      <c r="E22830">
        <v>61</v>
      </c>
      <c r="F22830">
        <v>36</v>
      </c>
      <c r="G22830">
        <v>7</v>
      </c>
      <c r="H22830">
        <v>27</v>
      </c>
      <c r="I22830">
        <v>80</v>
      </c>
      <c r="J22830">
        <v>1</v>
      </c>
      <c r="K22830">
        <v>582</v>
      </c>
      <c r="L22830">
        <v>642</v>
      </c>
      <c r="M22830">
        <v>1</v>
      </c>
      <c r="N22830">
        <v>9.4267900000000002E-8</v>
      </c>
      <c r="O22830">
        <v>136</v>
      </c>
    </row>
    <row r="22831" spans="1:15" x14ac:dyDescent="0.25">
      <c r="A22831" t="s">
        <v>22844</v>
      </c>
      <c r="B22831">
        <v>510</v>
      </c>
      <c r="C22831" s="1" t="str">
        <f>HYPERLINK("http://www.rosaceae.org/gb/gbrowse/malus_x_domestica/?name=MDP0000233010","MDP0000233010")</f>
        <v>MDP0000233010</v>
      </c>
      <c r="D22831">
        <v>48.32</v>
      </c>
      <c r="E22831">
        <v>387</v>
      </c>
      <c r="F22831">
        <v>200</v>
      </c>
      <c r="G22831">
        <v>37</v>
      </c>
      <c r="H22831">
        <v>14</v>
      </c>
      <c r="I22831">
        <v>379</v>
      </c>
      <c r="J22831">
        <v>1</v>
      </c>
      <c r="K22831">
        <v>12</v>
      </c>
      <c r="L22831">
        <v>382</v>
      </c>
      <c r="M22831">
        <v>1</v>
      </c>
      <c r="N22831">
        <v>3.2434500000000001E-80</v>
      </c>
      <c r="O22831">
        <v>758</v>
      </c>
    </row>
    <row r="22832" spans="1:15" x14ac:dyDescent="0.25">
      <c r="A22832" t="s">
        <v>22845</v>
      </c>
      <c r="B22832">
        <v>223</v>
      </c>
      <c r="C22832" s="1" t="str">
        <f>HYPERLINK("http://www.rosaceae.org/gb/gbrowse/malus_x_domestica/?name=MDP0000252713","MDP0000252713")</f>
        <v>MDP0000252713</v>
      </c>
      <c r="D22832">
        <v>39.17</v>
      </c>
      <c r="E22832">
        <v>217</v>
      </c>
      <c r="F22832">
        <v>132</v>
      </c>
      <c r="G22832">
        <v>23</v>
      </c>
      <c r="H22832">
        <v>26</v>
      </c>
      <c r="I22832">
        <v>223</v>
      </c>
      <c r="J22832">
        <v>1</v>
      </c>
      <c r="K22832">
        <v>286</v>
      </c>
      <c r="L22832">
        <v>498</v>
      </c>
      <c r="M22832">
        <v>1</v>
      </c>
      <c r="N22832">
        <v>1.1763400000000001E-28</v>
      </c>
      <c r="O22832">
        <v>309</v>
      </c>
    </row>
    <row r="22833" spans="1:15" x14ac:dyDescent="0.25">
      <c r="A22833" t="s">
        <v>22846</v>
      </c>
      <c r="B22833">
        <v>506</v>
      </c>
      <c r="C22833" s="1" t="str">
        <f>HYPERLINK("http://www.rosaceae.org/gb/gbrowse/malus_x_domestica/?name=MDP0000919408","MDP0000919408")</f>
        <v>MDP0000919408</v>
      </c>
      <c r="D22833">
        <v>45.58</v>
      </c>
      <c r="E22833">
        <v>283</v>
      </c>
      <c r="F22833">
        <v>154</v>
      </c>
      <c r="G22833">
        <v>13</v>
      </c>
      <c r="H22833">
        <v>6</v>
      </c>
      <c r="I22833">
        <v>277</v>
      </c>
      <c r="J22833">
        <v>1</v>
      </c>
      <c r="K22833">
        <v>6</v>
      </c>
      <c r="L22833">
        <v>286</v>
      </c>
      <c r="M22833">
        <v>1</v>
      </c>
      <c r="N22833">
        <v>3.1993E-64</v>
      </c>
      <c r="O22833">
        <v>620</v>
      </c>
    </row>
    <row r="22834" spans="1:15" x14ac:dyDescent="0.25">
      <c r="A22834" t="s">
        <v>22847</v>
      </c>
      <c r="B22834">
        <v>328</v>
      </c>
      <c r="C22834" s="1" t="str">
        <f>HYPERLINK("http://www.rosaceae.org/gb/gbrowse/malus_x_domestica/?name=MDP0000278295","MDP0000278295")</f>
        <v>MDP0000278295</v>
      </c>
      <c r="D22834">
        <v>68.180000000000007</v>
      </c>
      <c r="E22834">
        <v>330</v>
      </c>
      <c r="F22834">
        <v>105</v>
      </c>
      <c r="G22834">
        <v>15</v>
      </c>
      <c r="H22834">
        <v>1</v>
      </c>
      <c r="I22834">
        <v>328</v>
      </c>
      <c r="J22834">
        <v>1</v>
      </c>
      <c r="K22834">
        <v>1</v>
      </c>
      <c r="L22834">
        <v>317</v>
      </c>
      <c r="M22834">
        <v>1</v>
      </c>
      <c r="N22834">
        <v>1.88964E-122</v>
      </c>
      <c r="O22834">
        <v>1120</v>
      </c>
    </row>
    <row r="22835" spans="1:15" x14ac:dyDescent="0.25">
      <c r="A22835" t="s">
        <v>22848</v>
      </c>
      <c r="B22835">
        <v>526</v>
      </c>
      <c r="C22835" s="1" t="str">
        <f>HYPERLINK("http://www.rosaceae.org/gb/gbrowse/malus_x_domestica/?name=MDP0000192092","MDP0000192092")</f>
        <v>MDP0000192092</v>
      </c>
      <c r="D22835">
        <v>86.91</v>
      </c>
      <c r="E22835">
        <v>512</v>
      </c>
      <c r="F22835">
        <v>67</v>
      </c>
      <c r="G22835">
        <v>11</v>
      </c>
      <c r="H22835">
        <v>22</v>
      </c>
      <c r="I22835">
        <v>526</v>
      </c>
      <c r="J22835">
        <v>1</v>
      </c>
      <c r="K22835">
        <v>22</v>
      </c>
      <c r="L22835">
        <v>529</v>
      </c>
      <c r="M22835">
        <v>1</v>
      </c>
      <c r="N22835">
        <v>0</v>
      </c>
      <c r="O22835">
        <v>2360</v>
      </c>
    </row>
    <row r="22836" spans="1:15" x14ac:dyDescent="0.25">
      <c r="A22836" t="s">
        <v>22849</v>
      </c>
      <c r="B22836">
        <v>292</v>
      </c>
      <c r="C22836" s="1" t="str">
        <f>HYPERLINK("http://www.rosaceae.org/gb/gbrowse/malus_x_domestica/?name=MDP0000265206","MDP0000265206")</f>
        <v>MDP0000265206</v>
      </c>
      <c r="D22836">
        <v>62.5</v>
      </c>
      <c r="E22836">
        <v>56</v>
      </c>
      <c r="F22836">
        <v>21</v>
      </c>
      <c r="G22836">
        <v>1</v>
      </c>
      <c r="H22836">
        <v>131</v>
      </c>
      <c r="I22836">
        <v>185</v>
      </c>
      <c r="J22836">
        <v>1</v>
      </c>
      <c r="K22836">
        <v>21</v>
      </c>
      <c r="L22836">
        <v>76</v>
      </c>
      <c r="M22836">
        <v>1</v>
      </c>
      <c r="N22836">
        <v>2.4859399999999999E-13</v>
      </c>
      <c r="O22836">
        <v>179</v>
      </c>
    </row>
    <row r="22837" spans="1:15" x14ac:dyDescent="0.25">
      <c r="A22837" t="s">
        <v>22850</v>
      </c>
      <c r="B22837">
        <v>532</v>
      </c>
      <c r="C22837" s="1" t="str">
        <f>HYPERLINK("http://www.rosaceae.org/gb/gbrowse/malus_x_domestica/?name=MDP0000331623","MDP0000331623")</f>
        <v>MDP0000331623</v>
      </c>
      <c r="D22837">
        <v>59.7</v>
      </c>
      <c r="E22837">
        <v>474</v>
      </c>
      <c r="F22837">
        <v>191</v>
      </c>
      <c r="G22837">
        <v>6</v>
      </c>
      <c r="H22837">
        <v>61</v>
      </c>
      <c r="I22837">
        <v>530</v>
      </c>
      <c r="J22837">
        <v>1</v>
      </c>
      <c r="K22837">
        <v>1</v>
      </c>
      <c r="L22837">
        <v>472</v>
      </c>
      <c r="M22837">
        <v>1</v>
      </c>
      <c r="N22837">
        <v>2.6598100000000001E-171</v>
      </c>
      <c r="O22837">
        <v>1544</v>
      </c>
    </row>
    <row r="22838" spans="1:15" x14ac:dyDescent="0.25">
      <c r="A22838" t="s">
        <v>22851</v>
      </c>
      <c r="B22838">
        <v>508</v>
      </c>
      <c r="C22838" s="1" t="str">
        <f>HYPERLINK("http://www.rosaceae.org/gb/gbrowse/malus_x_domestica/?name=MDP0000156337","MDP0000156337")</f>
        <v>MDP0000156337</v>
      </c>
      <c r="D22838">
        <v>42.66</v>
      </c>
      <c r="E22838">
        <v>532</v>
      </c>
      <c r="F22838">
        <v>305</v>
      </c>
      <c r="G22838">
        <v>66</v>
      </c>
      <c r="H22838">
        <v>36</v>
      </c>
      <c r="I22838">
        <v>506</v>
      </c>
      <c r="J22838">
        <v>1</v>
      </c>
      <c r="K22838">
        <v>18</v>
      </c>
      <c r="L22838">
        <v>544</v>
      </c>
      <c r="M22838">
        <v>1</v>
      </c>
      <c r="N22838">
        <v>4.2710500000000002E-92</v>
      </c>
      <c r="O22838">
        <v>861</v>
      </c>
    </row>
    <row r="22839" spans="1:15" x14ac:dyDescent="0.25">
      <c r="A22839" t="s">
        <v>22852</v>
      </c>
      <c r="B22839">
        <v>236</v>
      </c>
      <c r="C22839" s="1" t="str">
        <f>HYPERLINK("http://www.rosaceae.org/gb/gbrowse/malus_x_domestica/?name=MDP0000750789","MDP0000750789")</f>
        <v>MDP0000750789</v>
      </c>
      <c r="D22839">
        <v>51.61</v>
      </c>
      <c r="E22839">
        <v>62</v>
      </c>
      <c r="F22839">
        <v>30</v>
      </c>
      <c r="G22839">
        <v>1</v>
      </c>
      <c r="H22839">
        <v>1</v>
      </c>
      <c r="I22839">
        <v>61</v>
      </c>
      <c r="J22839">
        <v>1</v>
      </c>
      <c r="K22839">
        <v>1</v>
      </c>
      <c r="L22839">
        <v>62</v>
      </c>
      <c r="M22839">
        <v>1</v>
      </c>
      <c r="N22839">
        <v>8.8307000000000003E-12</v>
      </c>
      <c r="O22839">
        <v>164</v>
      </c>
    </row>
    <row r="22840" spans="1:15" x14ac:dyDescent="0.25">
      <c r="A22840" t="s">
        <v>22853</v>
      </c>
      <c r="B22840">
        <v>917</v>
      </c>
      <c r="C22840" s="1" t="str">
        <f>HYPERLINK("http://www.rosaceae.org/gb/gbrowse/malus_x_domestica/?name=MDP0000156477","MDP0000156477")</f>
        <v>MDP0000156477</v>
      </c>
      <c r="D22840">
        <v>74.34</v>
      </c>
      <c r="E22840">
        <v>920</v>
      </c>
      <c r="F22840">
        <v>236</v>
      </c>
      <c r="G22840">
        <v>21</v>
      </c>
      <c r="H22840">
        <v>8</v>
      </c>
      <c r="I22840">
        <v>912</v>
      </c>
      <c r="J22840">
        <v>1</v>
      </c>
      <c r="K22840">
        <v>3</v>
      </c>
      <c r="L22840">
        <v>916</v>
      </c>
      <c r="M22840">
        <v>1</v>
      </c>
      <c r="N22840">
        <v>0</v>
      </c>
      <c r="O22840">
        <v>3642</v>
      </c>
    </row>
    <row r="22841" spans="1:15" x14ac:dyDescent="0.25">
      <c r="A22841" t="s">
        <v>22854</v>
      </c>
      <c r="B22841">
        <v>392</v>
      </c>
      <c r="C22841" s="1" t="str">
        <f>HYPERLINK("http://www.rosaceae.org/gb/gbrowse/malus_x_domestica/?name=MDP0000185222","MDP0000185222")</f>
        <v>MDP0000185222</v>
      </c>
      <c r="D22841">
        <v>79.11</v>
      </c>
      <c r="E22841">
        <v>383</v>
      </c>
      <c r="F22841">
        <v>80</v>
      </c>
      <c r="G22841">
        <v>2</v>
      </c>
      <c r="H22841">
        <v>12</v>
      </c>
      <c r="I22841">
        <v>392</v>
      </c>
      <c r="J22841">
        <v>1</v>
      </c>
      <c r="K22841">
        <v>239</v>
      </c>
      <c r="L22841">
        <v>621</v>
      </c>
      <c r="M22841">
        <v>1</v>
      </c>
      <c r="N22841">
        <v>1.0045700000000001E-179</v>
      </c>
      <c r="O22841">
        <v>1615</v>
      </c>
    </row>
    <row r="22842" spans="1:15" x14ac:dyDescent="0.25">
      <c r="A22842" t="s">
        <v>22855</v>
      </c>
      <c r="B22842">
        <v>687</v>
      </c>
      <c r="C22842" s="1" t="str">
        <f>HYPERLINK("http://www.rosaceae.org/gb/gbrowse/malus_x_domestica/?name=MDP0000124388","MDP0000124388")</f>
        <v>MDP0000124388</v>
      </c>
      <c r="D22842">
        <v>71.53</v>
      </c>
      <c r="E22842">
        <v>267</v>
      </c>
      <c r="F22842">
        <v>76</v>
      </c>
      <c r="G22842">
        <v>6</v>
      </c>
      <c r="H22842">
        <v>423</v>
      </c>
      <c r="I22842">
        <v>686</v>
      </c>
      <c r="J22842">
        <v>1</v>
      </c>
      <c r="K22842">
        <v>1</v>
      </c>
      <c r="L22842">
        <v>264</v>
      </c>
      <c r="M22842">
        <v>1</v>
      </c>
      <c r="N22842">
        <v>7.3145000000000003E-107</v>
      </c>
      <c r="O22842">
        <v>989</v>
      </c>
    </row>
    <row r="22843" spans="1:15" x14ac:dyDescent="0.25">
      <c r="A22843" t="s">
        <v>22856</v>
      </c>
      <c r="B22843">
        <v>1313</v>
      </c>
      <c r="C22843" s="1" t="str">
        <f>HYPERLINK("http://www.rosaceae.org/gb/gbrowse/malus_x_domestica/?name=MDP0000259104","MDP0000259104")</f>
        <v>MDP0000259104</v>
      </c>
      <c r="D22843">
        <v>55.57</v>
      </c>
      <c r="E22843">
        <v>547</v>
      </c>
      <c r="F22843">
        <v>243</v>
      </c>
      <c r="G22843">
        <v>76</v>
      </c>
      <c r="H22843">
        <v>277</v>
      </c>
      <c r="I22843">
        <v>820</v>
      </c>
      <c r="J22843">
        <v>1</v>
      </c>
      <c r="K22843">
        <v>2</v>
      </c>
      <c r="L22843">
        <v>475</v>
      </c>
      <c r="M22843">
        <v>1</v>
      </c>
      <c r="N22843">
        <v>5.8054499999999996E-163</v>
      </c>
      <c r="O22843">
        <v>1476</v>
      </c>
    </row>
    <row r="22844" spans="1:15" x14ac:dyDescent="0.25">
      <c r="A22844" t="s">
        <v>22857</v>
      </c>
      <c r="B22844">
        <v>428</v>
      </c>
      <c r="C22844" s="1" t="str">
        <f>HYPERLINK("http://www.rosaceae.org/gb/gbrowse/malus_x_domestica/?name=MDP0000781136","MDP0000781136")</f>
        <v>MDP0000781136</v>
      </c>
      <c r="D22844">
        <v>61.16</v>
      </c>
      <c r="E22844">
        <v>430</v>
      </c>
      <c r="F22844">
        <v>167</v>
      </c>
      <c r="G22844">
        <v>25</v>
      </c>
      <c r="H22844">
        <v>6</v>
      </c>
      <c r="I22844">
        <v>428</v>
      </c>
      <c r="J22844">
        <v>1</v>
      </c>
      <c r="K22844">
        <v>7</v>
      </c>
      <c r="L22844">
        <v>418</v>
      </c>
      <c r="M22844">
        <v>1</v>
      </c>
      <c r="N22844">
        <v>1.3177499999999999E-145</v>
      </c>
      <c r="O22844">
        <v>1321</v>
      </c>
    </row>
    <row r="22845" spans="1:15" x14ac:dyDescent="0.25">
      <c r="A22845" t="s">
        <v>22858</v>
      </c>
      <c r="B22845">
        <v>167</v>
      </c>
      <c r="C22845" s="1" t="str">
        <f>HYPERLINK("http://www.rosaceae.org/gb/gbrowse/malus_x_domestica/?name=MDP0000741562","MDP0000741562")</f>
        <v>MDP0000741562</v>
      </c>
      <c r="D22845">
        <v>64.36</v>
      </c>
      <c r="E22845">
        <v>174</v>
      </c>
      <c r="F22845">
        <v>62</v>
      </c>
      <c r="G22845">
        <v>9</v>
      </c>
      <c r="H22845">
        <v>1</v>
      </c>
      <c r="I22845">
        <v>167</v>
      </c>
      <c r="J22845">
        <v>1</v>
      </c>
      <c r="K22845">
        <v>1</v>
      </c>
      <c r="L22845">
        <v>172</v>
      </c>
      <c r="M22845">
        <v>1</v>
      </c>
      <c r="N22845">
        <v>9.0005899999999999E-57</v>
      </c>
      <c r="O22845">
        <v>550</v>
      </c>
    </row>
    <row r="22846" spans="1:15" x14ac:dyDescent="0.25">
      <c r="A22846" t="s">
        <v>22859</v>
      </c>
      <c r="B22846">
        <v>769</v>
      </c>
      <c r="C22846" s="1" t="str">
        <f>HYPERLINK("http://www.rosaceae.org/gb/gbrowse/malus_x_domestica/?name=MDP0000231172","MDP0000231172")</f>
        <v>MDP0000231172</v>
      </c>
      <c r="D22846">
        <v>73.38</v>
      </c>
      <c r="E22846">
        <v>759</v>
      </c>
      <c r="F22846">
        <v>202</v>
      </c>
      <c r="G22846">
        <v>8</v>
      </c>
      <c r="H22846">
        <v>10</v>
      </c>
      <c r="I22846">
        <v>763</v>
      </c>
      <c r="J22846">
        <v>1</v>
      </c>
      <c r="K22846">
        <v>1</v>
      </c>
      <c r="L22846">
        <v>756</v>
      </c>
      <c r="M22846">
        <v>1</v>
      </c>
      <c r="N22846">
        <v>0</v>
      </c>
      <c r="O22846">
        <v>2991</v>
      </c>
    </row>
    <row r="22847" spans="1:15" x14ac:dyDescent="0.25">
      <c r="A22847" t="s">
        <v>22860</v>
      </c>
      <c r="B22847">
        <v>255</v>
      </c>
      <c r="C22847" s="1" t="str">
        <f>HYPERLINK("http://www.rosaceae.org/gb/gbrowse/malus_x_domestica/?name=MDP0000285175","MDP0000285175")</f>
        <v>MDP0000285175</v>
      </c>
      <c r="D22847">
        <v>74.13</v>
      </c>
      <c r="E22847">
        <v>174</v>
      </c>
      <c r="F22847">
        <v>45</v>
      </c>
      <c r="G22847">
        <v>14</v>
      </c>
      <c r="H22847">
        <v>30</v>
      </c>
      <c r="I22847">
        <v>189</v>
      </c>
      <c r="J22847">
        <v>1</v>
      </c>
      <c r="K22847">
        <v>33</v>
      </c>
      <c r="L22847">
        <v>206</v>
      </c>
      <c r="M22847">
        <v>1</v>
      </c>
      <c r="N22847">
        <v>3.8457200000000001E-72</v>
      </c>
      <c r="O22847">
        <v>685</v>
      </c>
    </row>
    <row r="22848" spans="1:15" x14ac:dyDescent="0.25">
      <c r="A22848" t="s">
        <v>22861</v>
      </c>
      <c r="B22848">
        <v>894</v>
      </c>
      <c r="C22848" s="1" t="str">
        <f>HYPERLINK("http://www.rosaceae.org/gb/gbrowse/malus_x_domestica/?name=MDP0000319841","MDP0000319841")</f>
        <v>MDP0000319841</v>
      </c>
      <c r="D22848">
        <v>68.55</v>
      </c>
      <c r="E22848">
        <v>830</v>
      </c>
      <c r="F22848">
        <v>261</v>
      </c>
      <c r="G22848">
        <v>85</v>
      </c>
      <c r="H22848">
        <v>106</v>
      </c>
      <c r="I22848">
        <v>891</v>
      </c>
      <c r="J22848">
        <v>1</v>
      </c>
      <c r="K22848">
        <v>1</v>
      </c>
      <c r="L22848">
        <v>789</v>
      </c>
      <c r="M22848">
        <v>1</v>
      </c>
      <c r="N22848">
        <v>0</v>
      </c>
      <c r="O22848">
        <v>2857</v>
      </c>
    </row>
    <row r="22849" spans="1:15" x14ac:dyDescent="0.25">
      <c r="A22849" t="s">
        <v>22862</v>
      </c>
      <c r="B22849">
        <v>372</v>
      </c>
      <c r="C22849" s="1" t="str">
        <f>HYPERLINK("http://www.rosaceae.org/gb/gbrowse/malus_x_domestica/?name=MDP0000177861","MDP0000177861")</f>
        <v>MDP0000177861</v>
      </c>
      <c r="D22849">
        <v>77.150000000000006</v>
      </c>
      <c r="E22849">
        <v>372</v>
      </c>
      <c r="F22849">
        <v>85</v>
      </c>
      <c r="G22849">
        <v>1</v>
      </c>
      <c r="H22849">
        <v>1</v>
      </c>
      <c r="I22849">
        <v>372</v>
      </c>
      <c r="J22849">
        <v>1</v>
      </c>
      <c r="K22849">
        <v>1</v>
      </c>
      <c r="L22849">
        <v>371</v>
      </c>
      <c r="M22849">
        <v>1</v>
      </c>
      <c r="N22849">
        <v>7.4093099999999998E-175</v>
      </c>
      <c r="O22849">
        <v>1573</v>
      </c>
    </row>
    <row r="22850" spans="1:15" x14ac:dyDescent="0.25">
      <c r="A22850" t="s">
        <v>22863</v>
      </c>
      <c r="B22850">
        <v>668</v>
      </c>
      <c r="C22850" s="1" t="str">
        <f>HYPERLINK("http://www.rosaceae.org/gb/gbrowse/malus_x_domestica/?name=MDP0000153122","MDP0000153122")</f>
        <v>MDP0000153122</v>
      </c>
      <c r="D22850">
        <v>68.510000000000005</v>
      </c>
      <c r="E22850">
        <v>667</v>
      </c>
      <c r="F22850">
        <v>210</v>
      </c>
      <c r="G22850">
        <v>33</v>
      </c>
      <c r="H22850">
        <v>7</v>
      </c>
      <c r="I22850">
        <v>651</v>
      </c>
      <c r="J22850">
        <v>1</v>
      </c>
      <c r="K22850">
        <v>11</v>
      </c>
      <c r="L22850">
        <v>666</v>
      </c>
      <c r="M22850">
        <v>1</v>
      </c>
      <c r="N22850">
        <v>0</v>
      </c>
      <c r="O22850">
        <v>2198</v>
      </c>
    </row>
    <row r="22851" spans="1:15" x14ac:dyDescent="0.25">
      <c r="A22851" t="s">
        <v>22864</v>
      </c>
      <c r="B22851">
        <v>248</v>
      </c>
      <c r="C22851" s="1" t="str">
        <f>HYPERLINK("http://www.rosaceae.org/gb/gbrowse/malus_x_domestica/?name=MDP0000263016","MDP0000263016")</f>
        <v>MDP0000263016</v>
      </c>
      <c r="D22851">
        <v>60.71</v>
      </c>
      <c r="E22851">
        <v>252</v>
      </c>
      <c r="F22851">
        <v>99</v>
      </c>
      <c r="G22851">
        <v>9</v>
      </c>
      <c r="H22851">
        <v>1</v>
      </c>
      <c r="I22851">
        <v>244</v>
      </c>
      <c r="J22851">
        <v>1</v>
      </c>
      <c r="K22851">
        <v>1</v>
      </c>
      <c r="L22851">
        <v>251</v>
      </c>
      <c r="M22851">
        <v>1</v>
      </c>
      <c r="N22851">
        <v>1.2700399999999999E-78</v>
      </c>
      <c r="O22851">
        <v>741</v>
      </c>
    </row>
    <row r="22852" spans="1:15" x14ac:dyDescent="0.25">
      <c r="A22852" t="s">
        <v>22865</v>
      </c>
      <c r="B22852">
        <v>310</v>
      </c>
      <c r="C22852" s="1" t="str">
        <f>HYPERLINK("http://www.rosaceae.org/gb/gbrowse/malus_x_domestica/?name=MDP0000245405","MDP0000245405")</f>
        <v>MDP0000245405</v>
      </c>
      <c r="D22852">
        <v>47.82</v>
      </c>
      <c r="E22852">
        <v>299</v>
      </c>
      <c r="F22852">
        <v>156</v>
      </c>
      <c r="G22852">
        <v>22</v>
      </c>
      <c r="H22852">
        <v>1</v>
      </c>
      <c r="I22852">
        <v>283</v>
      </c>
      <c r="J22852">
        <v>1</v>
      </c>
      <c r="K22852">
        <v>1</v>
      </c>
      <c r="L22852">
        <v>293</v>
      </c>
      <c r="M22852">
        <v>1</v>
      </c>
      <c r="N22852">
        <v>5.45715E-61</v>
      </c>
      <c r="O22852">
        <v>590</v>
      </c>
    </row>
    <row r="22853" spans="1:15" x14ac:dyDescent="0.25">
      <c r="A22853" t="s">
        <v>22866</v>
      </c>
      <c r="B22853">
        <v>950</v>
      </c>
      <c r="C22853" s="1" t="str">
        <f>HYPERLINK("http://www.rosaceae.org/gb/gbrowse/malus_x_domestica/?name=MDP0000126049","MDP0000126049")</f>
        <v>MDP0000126049</v>
      </c>
      <c r="D22853">
        <v>64.38</v>
      </c>
      <c r="E22853">
        <v>966</v>
      </c>
      <c r="F22853">
        <v>344</v>
      </c>
      <c r="G22853">
        <v>25</v>
      </c>
      <c r="H22853">
        <v>1</v>
      </c>
      <c r="I22853">
        <v>950</v>
      </c>
      <c r="J22853">
        <v>1</v>
      </c>
      <c r="K22853">
        <v>1</v>
      </c>
      <c r="L22853">
        <v>957</v>
      </c>
      <c r="M22853">
        <v>1</v>
      </c>
      <c r="N22853">
        <v>0</v>
      </c>
      <c r="O22853">
        <v>3090</v>
      </c>
    </row>
    <row r="22854" spans="1:15" x14ac:dyDescent="0.25">
      <c r="A22854" t="s">
        <v>22867</v>
      </c>
      <c r="B22854">
        <v>1063</v>
      </c>
      <c r="C22854" s="1" t="str">
        <f>HYPERLINK("http://www.rosaceae.org/gb/gbrowse/malus_x_domestica/?name=MDP0000185801","MDP0000185801")</f>
        <v>MDP0000185801</v>
      </c>
      <c r="D22854">
        <v>35.479999999999997</v>
      </c>
      <c r="E22854">
        <v>310</v>
      </c>
      <c r="F22854">
        <v>200</v>
      </c>
      <c r="G22854">
        <v>17</v>
      </c>
      <c r="H22854">
        <v>658</v>
      </c>
      <c r="I22854">
        <v>965</v>
      </c>
      <c r="J22854">
        <v>1</v>
      </c>
      <c r="K22854">
        <v>86</v>
      </c>
      <c r="L22854">
        <v>380</v>
      </c>
      <c r="M22854">
        <v>1</v>
      </c>
      <c r="N22854">
        <v>9.1400499999999998E-52</v>
      </c>
      <c r="O22854">
        <v>516</v>
      </c>
    </row>
    <row r="22855" spans="1:15" x14ac:dyDescent="0.25">
      <c r="A22855" t="s">
        <v>22868</v>
      </c>
      <c r="B22855">
        <v>261</v>
      </c>
      <c r="C22855" s="1" t="str">
        <f>HYPERLINK("http://www.rosaceae.org/gb/gbrowse/malus_x_domestica/?name=MDP0000179176","MDP0000179176")</f>
        <v>MDP0000179176</v>
      </c>
      <c r="D22855">
        <v>38.340000000000003</v>
      </c>
      <c r="E22855">
        <v>193</v>
      </c>
      <c r="F22855">
        <v>119</v>
      </c>
      <c r="G22855">
        <v>36</v>
      </c>
      <c r="H22855">
        <v>1</v>
      </c>
      <c r="I22855">
        <v>157</v>
      </c>
      <c r="J22855">
        <v>1</v>
      </c>
      <c r="K22855">
        <v>433</v>
      </c>
      <c r="L22855">
        <v>625</v>
      </c>
      <c r="M22855">
        <v>1</v>
      </c>
      <c r="N22855">
        <v>1.47326E-31</v>
      </c>
      <c r="O22855">
        <v>335</v>
      </c>
    </row>
    <row r="22856" spans="1:15" x14ac:dyDescent="0.25">
      <c r="A22856" t="s">
        <v>22869</v>
      </c>
      <c r="B22856">
        <v>1216</v>
      </c>
      <c r="C22856" s="1" t="str">
        <f>HYPERLINK("http://www.rosaceae.org/gb/gbrowse/malus_x_domestica/?name=MDP0000279332","MDP0000279332")</f>
        <v>MDP0000279332</v>
      </c>
      <c r="D22856">
        <v>66.66</v>
      </c>
      <c r="E22856">
        <v>465</v>
      </c>
      <c r="F22856">
        <v>155</v>
      </c>
      <c r="G22856">
        <v>1</v>
      </c>
      <c r="H22856">
        <v>1</v>
      </c>
      <c r="I22856">
        <v>465</v>
      </c>
      <c r="J22856">
        <v>1</v>
      </c>
      <c r="K22856">
        <v>1</v>
      </c>
      <c r="L22856">
        <v>464</v>
      </c>
      <c r="M22856">
        <v>1</v>
      </c>
      <c r="N22856">
        <v>1.9927400000000001E-164</v>
      </c>
      <c r="O22856">
        <v>1488</v>
      </c>
    </row>
    <row r="22857" spans="1:15" x14ac:dyDescent="0.25">
      <c r="A22857" t="s">
        <v>22870</v>
      </c>
      <c r="B22857">
        <v>606</v>
      </c>
      <c r="C22857" s="1" t="str">
        <f>HYPERLINK("http://www.rosaceae.org/gb/gbrowse/malus_x_domestica/?name=MDP0000295614","MDP0000295614")</f>
        <v>MDP0000295614</v>
      </c>
      <c r="D22857">
        <v>79.459999999999994</v>
      </c>
      <c r="E22857">
        <v>409</v>
      </c>
      <c r="F22857">
        <v>84</v>
      </c>
      <c r="G22857">
        <v>12</v>
      </c>
      <c r="H22857">
        <v>1</v>
      </c>
      <c r="I22857">
        <v>404</v>
      </c>
      <c r="J22857">
        <v>1</v>
      </c>
      <c r="K22857">
        <v>392</v>
      </c>
      <c r="L22857">
        <v>793</v>
      </c>
      <c r="M22857">
        <v>1</v>
      </c>
      <c r="N22857">
        <v>5.70286E-176</v>
      </c>
      <c r="O22857">
        <v>1585</v>
      </c>
    </row>
    <row r="22858" spans="1:15" x14ac:dyDescent="0.25">
      <c r="A22858" t="s">
        <v>22871</v>
      </c>
      <c r="B22858">
        <v>219</v>
      </c>
      <c r="C22858" s="1" t="str">
        <f>HYPERLINK("http://www.rosaceae.org/gb/gbrowse/malus_x_domestica/?name=MDP0000243651","MDP0000243651")</f>
        <v>MDP0000243651</v>
      </c>
      <c r="D22858">
        <v>83.9</v>
      </c>
      <c r="E22858">
        <v>205</v>
      </c>
      <c r="F22858">
        <v>33</v>
      </c>
      <c r="G22858">
        <v>2</v>
      </c>
      <c r="H22858">
        <v>1</v>
      </c>
      <c r="I22858">
        <v>203</v>
      </c>
      <c r="J22858">
        <v>1</v>
      </c>
      <c r="K22858">
        <v>1</v>
      </c>
      <c r="L22858">
        <v>205</v>
      </c>
      <c r="M22858">
        <v>1</v>
      </c>
      <c r="N22858">
        <v>1.5905000000000001E-95</v>
      </c>
      <c r="O22858">
        <v>886</v>
      </c>
    </row>
    <row r="22859" spans="1:15" x14ac:dyDescent="0.25">
      <c r="A22859" t="s">
        <v>22872</v>
      </c>
      <c r="B22859">
        <v>1102</v>
      </c>
      <c r="C22859" s="1" t="str">
        <f>HYPERLINK("http://www.rosaceae.org/gb/gbrowse/malus_x_domestica/?name=MDP0000415434","MDP0000415434")</f>
        <v>MDP0000415434</v>
      </c>
      <c r="D22859">
        <v>68.94</v>
      </c>
      <c r="E22859">
        <v>847</v>
      </c>
      <c r="F22859">
        <v>263</v>
      </c>
      <c r="G22859">
        <v>12</v>
      </c>
      <c r="H22859">
        <v>1</v>
      </c>
      <c r="I22859">
        <v>839</v>
      </c>
      <c r="J22859">
        <v>1</v>
      </c>
      <c r="K22859">
        <v>1</v>
      </c>
      <c r="L22859">
        <v>843</v>
      </c>
      <c r="M22859">
        <v>1</v>
      </c>
      <c r="N22859">
        <v>0</v>
      </c>
      <c r="O22859">
        <v>3208</v>
      </c>
    </row>
    <row r="22860" spans="1:15" x14ac:dyDescent="0.25">
      <c r="A22860" t="s">
        <v>22873</v>
      </c>
      <c r="B22860">
        <v>238</v>
      </c>
      <c r="C22860" s="1" t="str">
        <f>HYPERLINK("http://www.rosaceae.org/gb/gbrowse/malus_x_domestica/?name=MDP0000189006","MDP0000189006")</f>
        <v>MDP0000189006</v>
      </c>
      <c r="D22860">
        <v>36.869999999999997</v>
      </c>
      <c r="E22860">
        <v>179</v>
      </c>
      <c r="F22860">
        <v>113</v>
      </c>
      <c r="G22860">
        <v>12</v>
      </c>
      <c r="H22860">
        <v>8</v>
      </c>
      <c r="I22860">
        <v>186</v>
      </c>
      <c r="J22860">
        <v>1</v>
      </c>
      <c r="K22860">
        <v>43</v>
      </c>
      <c r="L22860">
        <v>209</v>
      </c>
      <c r="M22860">
        <v>1</v>
      </c>
      <c r="N22860">
        <v>1.11695E-28</v>
      </c>
      <c r="O22860">
        <v>310</v>
      </c>
    </row>
    <row r="22861" spans="1:15" x14ac:dyDescent="0.25">
      <c r="A22861" t="s">
        <v>22874</v>
      </c>
      <c r="B22861">
        <v>372</v>
      </c>
      <c r="C22861" s="1" t="str">
        <f>HYPERLINK("http://www.rosaceae.org/gb/gbrowse/malus_x_domestica/?name=MDP0000321996","MDP0000321996")</f>
        <v>MDP0000321996</v>
      </c>
      <c r="D22861">
        <v>57.55</v>
      </c>
      <c r="E22861">
        <v>384</v>
      </c>
      <c r="F22861">
        <v>163</v>
      </c>
      <c r="G22861">
        <v>22</v>
      </c>
      <c r="H22861">
        <v>1</v>
      </c>
      <c r="I22861">
        <v>372</v>
      </c>
      <c r="J22861">
        <v>1</v>
      </c>
      <c r="K22861">
        <v>1</v>
      </c>
      <c r="L22861">
        <v>374</v>
      </c>
      <c r="M22861">
        <v>1</v>
      </c>
      <c r="N22861">
        <v>1.1445600000000001E-113</v>
      </c>
      <c r="O22861">
        <v>1045</v>
      </c>
    </row>
    <row r="22862" spans="1:15" x14ac:dyDescent="0.25">
      <c r="A22862" t="s">
        <v>22875</v>
      </c>
      <c r="B22862">
        <v>637</v>
      </c>
      <c r="C22862" s="1" t="str">
        <f>HYPERLINK("http://www.rosaceae.org/gb/gbrowse/malus_x_domestica/?name=MDP0000267275","MDP0000267275")</f>
        <v>MDP0000267275</v>
      </c>
      <c r="D22862">
        <v>68.680000000000007</v>
      </c>
      <c r="E22862">
        <v>447</v>
      </c>
      <c r="F22862">
        <v>140</v>
      </c>
      <c r="G22862">
        <v>2</v>
      </c>
      <c r="H22862">
        <v>190</v>
      </c>
      <c r="I22862">
        <v>635</v>
      </c>
      <c r="J22862">
        <v>1</v>
      </c>
      <c r="K22862">
        <v>159</v>
      </c>
      <c r="L22862">
        <v>604</v>
      </c>
      <c r="M22862">
        <v>1</v>
      </c>
      <c r="N22862">
        <v>0</v>
      </c>
      <c r="O22862">
        <v>1694</v>
      </c>
    </row>
    <row r="22863" spans="1:15" x14ac:dyDescent="0.25">
      <c r="A22863" t="s">
        <v>22876</v>
      </c>
      <c r="B22863">
        <v>699</v>
      </c>
      <c r="C22863" s="1" t="str">
        <f>HYPERLINK("http://www.rosaceae.org/gb/gbrowse/malus_x_domestica/?name=MDP0000226363","MDP0000226363")</f>
        <v>MDP0000226363</v>
      </c>
      <c r="D22863">
        <v>47.28</v>
      </c>
      <c r="E22863">
        <v>516</v>
      </c>
      <c r="F22863">
        <v>272</v>
      </c>
      <c r="G22863">
        <v>51</v>
      </c>
      <c r="H22863">
        <v>1</v>
      </c>
      <c r="I22863">
        <v>512</v>
      </c>
      <c r="J22863">
        <v>1</v>
      </c>
      <c r="K22863">
        <v>1</v>
      </c>
      <c r="L22863">
        <v>469</v>
      </c>
      <c r="M22863">
        <v>1</v>
      </c>
      <c r="N22863">
        <v>3.1587199999999999E-110</v>
      </c>
      <c r="O22863">
        <v>1019</v>
      </c>
    </row>
    <row r="22864" spans="1:15" x14ac:dyDescent="0.25">
      <c r="A22864" t="s">
        <v>22877</v>
      </c>
      <c r="B22864">
        <v>152</v>
      </c>
      <c r="C22864" s="1" t="str">
        <f>HYPERLINK("http://www.rosaceae.org/gb/gbrowse/malus_x_domestica/?name=MDP0000164131","MDP0000164131")</f>
        <v>MDP0000164131</v>
      </c>
      <c r="D22864">
        <v>56.89</v>
      </c>
      <c r="E22864">
        <v>174</v>
      </c>
      <c r="F22864">
        <v>75</v>
      </c>
      <c r="G22864">
        <v>22</v>
      </c>
      <c r="H22864">
        <v>1</v>
      </c>
      <c r="I22864">
        <v>152</v>
      </c>
      <c r="J22864">
        <v>1</v>
      </c>
      <c r="K22864">
        <v>1</v>
      </c>
      <c r="L22864">
        <v>174</v>
      </c>
      <c r="M22864">
        <v>1</v>
      </c>
      <c r="N22864">
        <v>1.0447700000000001E-49</v>
      </c>
      <c r="O22864">
        <v>488</v>
      </c>
    </row>
    <row r="22865" spans="1:15" x14ac:dyDescent="0.25">
      <c r="A22865" t="s">
        <v>22878</v>
      </c>
      <c r="B22865">
        <v>952</v>
      </c>
      <c r="C22865" s="1" t="str">
        <f>HYPERLINK("http://www.rosaceae.org/gb/gbrowse/malus_x_domestica/?name=MDP0000292294","MDP0000292294")</f>
        <v>MDP0000292294</v>
      </c>
      <c r="D22865">
        <v>63.89</v>
      </c>
      <c r="E22865">
        <v>817</v>
      </c>
      <c r="F22865">
        <v>295</v>
      </c>
      <c r="G22865">
        <v>57</v>
      </c>
      <c r="H22865">
        <v>33</v>
      </c>
      <c r="I22865">
        <v>809</v>
      </c>
      <c r="J22865">
        <v>1</v>
      </c>
      <c r="K22865">
        <v>30</v>
      </c>
      <c r="L22865">
        <v>829</v>
      </c>
      <c r="M22865">
        <v>1</v>
      </c>
      <c r="N22865">
        <v>0</v>
      </c>
      <c r="O22865">
        <v>2583</v>
      </c>
    </row>
    <row r="22866" spans="1:15" x14ac:dyDescent="0.25">
      <c r="A22866" t="s">
        <v>22879</v>
      </c>
      <c r="B22866">
        <v>402</v>
      </c>
      <c r="C22866" s="1" t="str">
        <f>HYPERLINK("http://www.rosaceae.org/gb/gbrowse/malus_x_domestica/?name=MDP0000522745","MDP0000522745")</f>
        <v>MDP0000522745</v>
      </c>
      <c r="D22866">
        <v>41.19</v>
      </c>
      <c r="E22866">
        <v>420</v>
      </c>
      <c r="F22866">
        <v>247</v>
      </c>
      <c r="G22866">
        <v>84</v>
      </c>
      <c r="H22866">
        <v>1</v>
      </c>
      <c r="I22866">
        <v>390</v>
      </c>
      <c r="J22866">
        <v>1</v>
      </c>
      <c r="K22866">
        <v>76</v>
      </c>
      <c r="L22866">
        <v>441</v>
      </c>
      <c r="M22866">
        <v>1</v>
      </c>
      <c r="N22866">
        <v>4.82775E-67</v>
      </c>
      <c r="O22866">
        <v>644</v>
      </c>
    </row>
    <row r="22867" spans="1:15" x14ac:dyDescent="0.25">
      <c r="A22867" t="s">
        <v>22880</v>
      </c>
      <c r="B22867">
        <v>204</v>
      </c>
      <c r="C22867" s="1" t="str">
        <f>HYPERLINK("http://www.rosaceae.org/gb/gbrowse/malus_x_domestica/?name=MDP0000842161","MDP0000842161")</f>
        <v>MDP0000842161</v>
      </c>
      <c r="D22867">
        <v>78.81</v>
      </c>
      <c r="E22867">
        <v>118</v>
      </c>
      <c r="F22867">
        <v>25</v>
      </c>
      <c r="G22867">
        <v>0</v>
      </c>
      <c r="H22867">
        <v>85</v>
      </c>
      <c r="I22867">
        <v>202</v>
      </c>
      <c r="J22867">
        <v>1</v>
      </c>
      <c r="K22867">
        <v>5</v>
      </c>
      <c r="L22867">
        <v>122</v>
      </c>
      <c r="M22867">
        <v>1</v>
      </c>
      <c r="N22867">
        <v>4.1355300000000001E-51</v>
      </c>
      <c r="O22867">
        <v>502</v>
      </c>
    </row>
    <row r="22868" spans="1:15" x14ac:dyDescent="0.25">
      <c r="A22868" t="s">
        <v>22881</v>
      </c>
      <c r="B22868">
        <v>759</v>
      </c>
      <c r="C22868" s="1" t="str">
        <f>HYPERLINK("http://www.rosaceae.org/gb/gbrowse/malus_x_domestica/?name=MDP0000170127","MDP0000170127")</f>
        <v>MDP0000170127</v>
      </c>
      <c r="D22868">
        <v>69.790000000000006</v>
      </c>
      <c r="E22868">
        <v>341</v>
      </c>
      <c r="F22868">
        <v>103</v>
      </c>
      <c r="G22868">
        <v>1</v>
      </c>
      <c r="H22868">
        <v>404</v>
      </c>
      <c r="I22868">
        <v>743</v>
      </c>
      <c r="J22868">
        <v>1</v>
      </c>
      <c r="K22868">
        <v>201</v>
      </c>
      <c r="L22868">
        <v>541</v>
      </c>
      <c r="M22868">
        <v>1</v>
      </c>
      <c r="N22868">
        <v>2.73094E-151</v>
      </c>
      <c r="O22868">
        <v>1373</v>
      </c>
    </row>
    <row r="22869" spans="1:15" x14ac:dyDescent="0.25">
      <c r="A22869" t="s">
        <v>22882</v>
      </c>
      <c r="B22869">
        <v>296</v>
      </c>
      <c r="C22869" s="1" t="str">
        <f>HYPERLINK("http://www.rosaceae.org/gb/gbrowse/malus_x_domestica/?name=MDP0000247921","MDP0000247921")</f>
        <v>MDP0000247921</v>
      </c>
      <c r="D22869">
        <v>28.77</v>
      </c>
      <c r="E22869">
        <v>139</v>
      </c>
      <c r="F22869">
        <v>99</v>
      </c>
      <c r="G22869">
        <v>21</v>
      </c>
      <c r="H22869">
        <v>2</v>
      </c>
      <c r="I22869">
        <v>121</v>
      </c>
      <c r="J22869">
        <v>1</v>
      </c>
      <c r="K22869">
        <v>798</v>
      </c>
      <c r="L22869">
        <v>934</v>
      </c>
      <c r="M22869">
        <v>1</v>
      </c>
      <c r="N22869">
        <v>8.5116699999999998E-13</v>
      </c>
      <c r="O22869">
        <v>174</v>
      </c>
    </row>
    <row r="22870" spans="1:15" x14ac:dyDescent="0.25">
      <c r="A22870" t="s">
        <v>22883</v>
      </c>
      <c r="B22870">
        <v>1191</v>
      </c>
      <c r="C22870" s="1" t="str">
        <f>HYPERLINK("http://www.rosaceae.org/gb/gbrowse/malus_x_domestica/?name=MDP0000182792","MDP0000182792")</f>
        <v>MDP0000182792</v>
      </c>
      <c r="D22870">
        <v>70.760000000000005</v>
      </c>
      <c r="E22870">
        <v>407</v>
      </c>
      <c r="F22870">
        <v>119</v>
      </c>
      <c r="G22870">
        <v>62</v>
      </c>
      <c r="H22870">
        <v>412</v>
      </c>
      <c r="I22870">
        <v>807</v>
      </c>
      <c r="J22870">
        <v>1</v>
      </c>
      <c r="K22870">
        <v>573</v>
      </c>
      <c r="L22870">
        <v>928</v>
      </c>
      <c r="M22870">
        <v>1</v>
      </c>
      <c r="N22870">
        <v>1.52108E-153</v>
      </c>
      <c r="O22870">
        <v>1394</v>
      </c>
    </row>
    <row r="22871" spans="1:15" x14ac:dyDescent="0.25">
      <c r="A22871" t="s">
        <v>22884</v>
      </c>
      <c r="B22871">
        <v>688</v>
      </c>
      <c r="C22871" s="1" t="str">
        <f>HYPERLINK("http://www.rosaceae.org/gb/gbrowse/malus_x_domestica/?name=MDP0000672726","MDP0000672726")</f>
        <v>MDP0000672726</v>
      </c>
      <c r="D22871">
        <v>40.72</v>
      </c>
      <c r="E22871">
        <v>631</v>
      </c>
      <c r="F22871">
        <v>374</v>
      </c>
      <c r="G22871">
        <v>43</v>
      </c>
      <c r="H22871">
        <v>1</v>
      </c>
      <c r="I22871">
        <v>620</v>
      </c>
      <c r="J22871">
        <v>1</v>
      </c>
      <c r="K22871">
        <v>1</v>
      </c>
      <c r="L22871">
        <v>599</v>
      </c>
      <c r="M22871">
        <v>1</v>
      </c>
      <c r="N22871">
        <v>6.9911999999999998E-125</v>
      </c>
      <c r="O22871">
        <v>1145</v>
      </c>
    </row>
    <row r="22872" spans="1:15" x14ac:dyDescent="0.25">
      <c r="A22872" t="s">
        <v>22885</v>
      </c>
      <c r="B22872">
        <v>523</v>
      </c>
      <c r="C22872" s="1" t="str">
        <f>HYPERLINK("http://www.rosaceae.org/gb/gbrowse/malus_x_domestica/?name=MDP0000732602","MDP0000732602")</f>
        <v>MDP0000732602</v>
      </c>
      <c r="D22872">
        <v>79.650000000000006</v>
      </c>
      <c r="E22872">
        <v>344</v>
      </c>
      <c r="F22872">
        <v>70</v>
      </c>
      <c r="G22872">
        <v>4</v>
      </c>
      <c r="H22872">
        <v>178</v>
      </c>
      <c r="I22872">
        <v>519</v>
      </c>
      <c r="J22872">
        <v>1</v>
      </c>
      <c r="K22872">
        <v>1</v>
      </c>
      <c r="L22872">
        <v>342</v>
      </c>
      <c r="M22872">
        <v>1</v>
      </c>
      <c r="N22872">
        <v>8.06752E-155</v>
      </c>
      <c r="O22872">
        <v>1402</v>
      </c>
    </row>
    <row r="22873" spans="1:15" x14ac:dyDescent="0.25">
      <c r="A22873" t="s">
        <v>22886</v>
      </c>
      <c r="B22873">
        <v>389</v>
      </c>
      <c r="C22873" s="1" t="str">
        <f>HYPERLINK("http://www.rosaceae.org/gb/gbrowse/malus_x_domestica/?name=MDP0000686661","MDP0000686661")</f>
        <v>MDP0000686661</v>
      </c>
      <c r="D22873">
        <v>93.31</v>
      </c>
      <c r="E22873">
        <v>389</v>
      </c>
      <c r="F22873">
        <v>26</v>
      </c>
      <c r="G22873">
        <v>0</v>
      </c>
      <c r="H22873">
        <v>1</v>
      </c>
      <c r="I22873">
        <v>389</v>
      </c>
      <c r="J22873">
        <v>1</v>
      </c>
      <c r="K22873">
        <v>1</v>
      </c>
      <c r="L22873">
        <v>389</v>
      </c>
      <c r="M22873">
        <v>1</v>
      </c>
      <c r="N22873">
        <v>0</v>
      </c>
      <c r="O22873">
        <v>1976</v>
      </c>
    </row>
    <row r="22874" spans="1:15" x14ac:dyDescent="0.25">
      <c r="A22874" t="s">
        <v>22887</v>
      </c>
      <c r="B22874">
        <v>655</v>
      </c>
      <c r="C22874" s="1" t="str">
        <f>HYPERLINK("http://www.rosaceae.org/gb/gbrowse/malus_x_domestica/?name=MDP0000239328","MDP0000239328")</f>
        <v>MDP0000239328</v>
      </c>
      <c r="D22874">
        <v>80.72</v>
      </c>
      <c r="E22874">
        <v>441</v>
      </c>
      <c r="F22874">
        <v>85</v>
      </c>
      <c r="G22874">
        <v>35</v>
      </c>
      <c r="H22874">
        <v>57</v>
      </c>
      <c r="I22874">
        <v>497</v>
      </c>
      <c r="J22874">
        <v>1</v>
      </c>
      <c r="K22874">
        <v>1</v>
      </c>
      <c r="L22874">
        <v>406</v>
      </c>
      <c r="M22874">
        <v>1</v>
      </c>
      <c r="N22874">
        <v>0</v>
      </c>
      <c r="O22874">
        <v>1897</v>
      </c>
    </row>
    <row r="22875" spans="1:15" x14ac:dyDescent="0.25">
      <c r="A22875" t="s">
        <v>22888</v>
      </c>
      <c r="B22875">
        <v>485</v>
      </c>
      <c r="C22875" s="1" t="str">
        <f>HYPERLINK("http://www.rosaceae.org/gb/gbrowse/malus_x_domestica/?name=MDP0000248475","MDP0000248475")</f>
        <v>MDP0000248475</v>
      </c>
      <c r="D22875">
        <v>49.65</v>
      </c>
      <c r="E22875">
        <v>286</v>
      </c>
      <c r="F22875">
        <v>144</v>
      </c>
      <c r="G22875">
        <v>29</v>
      </c>
      <c r="H22875">
        <v>138</v>
      </c>
      <c r="I22875">
        <v>399</v>
      </c>
      <c r="J22875">
        <v>1</v>
      </c>
      <c r="K22875">
        <v>326</v>
      </c>
      <c r="L22875">
        <v>606</v>
      </c>
      <c r="M22875">
        <v>1</v>
      </c>
      <c r="N22875">
        <v>3.6018400000000001E-66</v>
      </c>
      <c r="O22875">
        <v>637</v>
      </c>
    </row>
    <row r="22876" spans="1:15" x14ac:dyDescent="0.25">
      <c r="A22876" t="s">
        <v>22889</v>
      </c>
      <c r="B22876">
        <v>444</v>
      </c>
      <c r="C22876" s="1" t="str">
        <f>HYPERLINK("http://www.rosaceae.org/gb/gbrowse/malus_x_domestica/?name=MDP0000212465","MDP0000212465")</f>
        <v>MDP0000212465</v>
      </c>
      <c r="D22876">
        <v>71.33</v>
      </c>
      <c r="E22876">
        <v>443</v>
      </c>
      <c r="F22876">
        <v>127</v>
      </c>
      <c r="G22876">
        <v>2</v>
      </c>
      <c r="H22876">
        <v>1</v>
      </c>
      <c r="I22876">
        <v>442</v>
      </c>
      <c r="J22876">
        <v>1</v>
      </c>
      <c r="K22876">
        <v>1</v>
      </c>
      <c r="L22876">
        <v>442</v>
      </c>
      <c r="M22876">
        <v>1</v>
      </c>
      <c r="N22876">
        <v>0</v>
      </c>
      <c r="O22876">
        <v>1769</v>
      </c>
    </row>
    <row r="22877" spans="1:15" x14ac:dyDescent="0.25">
      <c r="A22877" t="s">
        <v>22890</v>
      </c>
      <c r="B22877">
        <v>1395</v>
      </c>
      <c r="C22877" s="1" t="str">
        <f>HYPERLINK("http://www.rosaceae.org/gb/gbrowse/malus_x_domestica/?name=MDP0000252227","MDP0000252227")</f>
        <v>MDP0000252227</v>
      </c>
      <c r="D22877">
        <v>52.7</v>
      </c>
      <c r="E22877">
        <v>554</v>
      </c>
      <c r="F22877">
        <v>262</v>
      </c>
      <c r="G22877">
        <v>44</v>
      </c>
      <c r="H22877">
        <v>499</v>
      </c>
      <c r="I22877">
        <v>1043</v>
      </c>
      <c r="J22877">
        <v>1</v>
      </c>
      <c r="K22877">
        <v>23</v>
      </c>
      <c r="L22877">
        <v>541</v>
      </c>
      <c r="M22877">
        <v>1</v>
      </c>
      <c r="N22877">
        <v>4.6559899999999998E-129</v>
      </c>
      <c r="O22877">
        <v>1184</v>
      </c>
    </row>
    <row r="22878" spans="1:15" x14ac:dyDescent="0.25">
      <c r="A22878" t="s">
        <v>22891</v>
      </c>
      <c r="B22878">
        <v>1534</v>
      </c>
      <c r="C22878" s="1" t="str">
        <f>HYPERLINK("http://www.rosaceae.org/gb/gbrowse/malus_x_domestica/?name=MDP0000185125","MDP0000185125")</f>
        <v>MDP0000185125</v>
      </c>
      <c r="D22878">
        <v>38.04</v>
      </c>
      <c r="E22878">
        <v>184</v>
      </c>
      <c r="F22878">
        <v>114</v>
      </c>
      <c r="G22878">
        <v>6</v>
      </c>
      <c r="H22878">
        <v>1327</v>
      </c>
      <c r="I22878">
        <v>1504</v>
      </c>
      <c r="J22878">
        <v>1</v>
      </c>
      <c r="K22878">
        <v>33</v>
      </c>
      <c r="L22878">
        <v>216</v>
      </c>
      <c r="M22878">
        <v>1</v>
      </c>
      <c r="N22878">
        <v>2.5337800000000001E-35</v>
      </c>
      <c r="O22878">
        <v>376</v>
      </c>
    </row>
    <row r="22879" spans="1:15" x14ac:dyDescent="0.25">
      <c r="A22879" t="s">
        <v>22892</v>
      </c>
      <c r="B22879">
        <v>1039</v>
      </c>
      <c r="C22879" s="1" t="str">
        <f>HYPERLINK("http://www.rosaceae.org/gb/gbrowse/malus_x_domestica/?name=MDP0000125644","MDP0000125644")</f>
        <v>MDP0000125644</v>
      </c>
      <c r="D22879">
        <v>36.119999999999997</v>
      </c>
      <c r="E22879">
        <v>263</v>
      </c>
      <c r="F22879">
        <v>168</v>
      </c>
      <c r="G22879">
        <v>38</v>
      </c>
      <c r="H22879">
        <v>209</v>
      </c>
      <c r="I22879">
        <v>461</v>
      </c>
      <c r="J22879">
        <v>1</v>
      </c>
      <c r="K22879">
        <v>4</v>
      </c>
      <c r="L22879">
        <v>238</v>
      </c>
      <c r="M22879">
        <v>1</v>
      </c>
      <c r="N22879">
        <v>5.2186800000000004E-26</v>
      </c>
      <c r="O22879">
        <v>294</v>
      </c>
    </row>
    <row r="22880" spans="1:15" x14ac:dyDescent="0.25">
      <c r="A22880" t="s">
        <v>22893</v>
      </c>
      <c r="B22880">
        <v>303</v>
      </c>
      <c r="C22880" s="1" t="str">
        <f>HYPERLINK("http://www.rosaceae.org/gb/gbrowse/malus_x_domestica/?name=MDP0000247482","MDP0000247482")</f>
        <v>MDP0000247482</v>
      </c>
      <c r="D22880">
        <v>84.95</v>
      </c>
      <c r="E22880">
        <v>226</v>
      </c>
      <c r="F22880">
        <v>34</v>
      </c>
      <c r="G22880">
        <v>2</v>
      </c>
      <c r="H22880">
        <v>78</v>
      </c>
      <c r="I22880">
        <v>303</v>
      </c>
      <c r="J22880">
        <v>1</v>
      </c>
      <c r="K22880">
        <v>713</v>
      </c>
      <c r="L22880">
        <v>936</v>
      </c>
      <c r="M22880">
        <v>1</v>
      </c>
      <c r="N22880">
        <v>2.6620099999999999E-116</v>
      </c>
      <c r="O22880">
        <v>1067</v>
      </c>
    </row>
    <row r="22881" spans="1:15" x14ac:dyDescent="0.25">
      <c r="A22881" t="s">
        <v>22894</v>
      </c>
      <c r="B22881">
        <v>483</v>
      </c>
      <c r="C22881" s="1" t="str">
        <f>HYPERLINK("http://www.rosaceae.org/gb/gbrowse/malus_x_domestica/?name=MDP0000933711","MDP0000933711")</f>
        <v>MDP0000933711</v>
      </c>
      <c r="D22881">
        <v>69.78</v>
      </c>
      <c r="E22881">
        <v>470</v>
      </c>
      <c r="F22881">
        <v>142</v>
      </c>
      <c r="G22881">
        <v>5</v>
      </c>
      <c r="H22881">
        <v>4</v>
      </c>
      <c r="I22881">
        <v>470</v>
      </c>
      <c r="J22881">
        <v>1</v>
      </c>
      <c r="K22881">
        <v>2</v>
      </c>
      <c r="L22881">
        <v>469</v>
      </c>
      <c r="M22881">
        <v>1</v>
      </c>
      <c r="N22881">
        <v>0</v>
      </c>
      <c r="O22881">
        <v>1690</v>
      </c>
    </row>
    <row r="22882" spans="1:15" x14ac:dyDescent="0.25">
      <c r="A22882" t="s">
        <v>22895</v>
      </c>
      <c r="B22882">
        <v>298</v>
      </c>
      <c r="C22882" s="1" t="str">
        <f>HYPERLINK("http://www.rosaceae.org/gb/gbrowse/malus_x_domestica/?name=MDP0000866809","MDP0000866809")</f>
        <v>MDP0000866809</v>
      </c>
      <c r="D22882">
        <v>42.49</v>
      </c>
      <c r="E22882">
        <v>313</v>
      </c>
      <c r="F22882">
        <v>180</v>
      </c>
      <c r="G22882">
        <v>46</v>
      </c>
      <c r="H22882">
        <v>1</v>
      </c>
      <c r="I22882">
        <v>294</v>
      </c>
      <c r="J22882">
        <v>1</v>
      </c>
      <c r="K22882">
        <v>1</v>
      </c>
      <c r="L22882">
        <v>286</v>
      </c>
      <c r="M22882">
        <v>1</v>
      </c>
      <c r="N22882">
        <v>1.81744E-50</v>
      </c>
      <c r="O22882">
        <v>499</v>
      </c>
    </row>
    <row r="22883" spans="1:15" x14ac:dyDescent="0.25">
      <c r="A22883" t="s">
        <v>22896</v>
      </c>
      <c r="B22883">
        <v>700</v>
      </c>
      <c r="C22883" s="1" t="str">
        <f>HYPERLINK("http://www.rosaceae.org/gb/gbrowse/malus_x_domestica/?name=MDP0000067245","MDP0000067245")</f>
        <v>MDP0000067245</v>
      </c>
      <c r="D22883">
        <v>65.75</v>
      </c>
      <c r="E22883">
        <v>403</v>
      </c>
      <c r="F22883">
        <v>138</v>
      </c>
      <c r="G22883">
        <v>2</v>
      </c>
      <c r="H22883">
        <v>12</v>
      </c>
      <c r="I22883">
        <v>413</v>
      </c>
      <c r="J22883">
        <v>1</v>
      </c>
      <c r="K22883">
        <v>1</v>
      </c>
      <c r="L22883">
        <v>402</v>
      </c>
      <c r="M22883">
        <v>1</v>
      </c>
      <c r="N22883">
        <v>1.19775E-151</v>
      </c>
      <c r="O22883">
        <v>1376</v>
      </c>
    </row>
    <row r="22884" spans="1:15" x14ac:dyDescent="0.25">
      <c r="A22884" t="s">
        <v>22897</v>
      </c>
      <c r="B22884">
        <v>205</v>
      </c>
      <c r="C22884" s="1" t="str">
        <f>HYPERLINK("http://www.rosaceae.org/gb/gbrowse/malus_x_domestica/?name=MDP0000311341","MDP0000311341")</f>
        <v>MDP0000311341</v>
      </c>
      <c r="D22884">
        <v>50</v>
      </c>
      <c r="E22884">
        <v>46</v>
      </c>
      <c r="F22884">
        <v>23</v>
      </c>
      <c r="G22884">
        <v>0</v>
      </c>
      <c r="H22884">
        <v>151</v>
      </c>
      <c r="I22884">
        <v>196</v>
      </c>
      <c r="J22884">
        <v>1</v>
      </c>
      <c r="K22884">
        <v>582</v>
      </c>
      <c r="L22884">
        <v>627</v>
      </c>
      <c r="M22884">
        <v>1</v>
      </c>
      <c r="N22884">
        <v>1.3358200000000001E-10</v>
      </c>
      <c r="O22884">
        <v>153</v>
      </c>
    </row>
    <row r="22885" spans="1:15" x14ac:dyDescent="0.25">
      <c r="A22885" t="s">
        <v>22898</v>
      </c>
      <c r="B22885">
        <v>157</v>
      </c>
      <c r="C22885" s="1" t="str">
        <f>HYPERLINK("http://www.rosaceae.org/gb/gbrowse/malus_x_domestica/?name=MDP0000271528","MDP0000271528")</f>
        <v>MDP0000271528</v>
      </c>
      <c r="D22885">
        <v>70.239999999999995</v>
      </c>
      <c r="E22885">
        <v>121</v>
      </c>
      <c r="F22885">
        <v>36</v>
      </c>
      <c r="G22885">
        <v>5</v>
      </c>
      <c r="H22885">
        <v>34</v>
      </c>
      <c r="I22885">
        <v>149</v>
      </c>
      <c r="J22885">
        <v>1</v>
      </c>
      <c r="K22885">
        <v>48</v>
      </c>
      <c r="L22885">
        <v>168</v>
      </c>
      <c r="M22885">
        <v>1</v>
      </c>
      <c r="N22885">
        <v>3.6098000000000003E-48</v>
      </c>
      <c r="O22885">
        <v>475</v>
      </c>
    </row>
    <row r="22886" spans="1:15" x14ac:dyDescent="0.25">
      <c r="A22886" t="s">
        <v>22899</v>
      </c>
      <c r="B22886">
        <v>139</v>
      </c>
      <c r="C22886" s="1" t="str">
        <f>HYPERLINK("http://www.rosaceae.org/gb/gbrowse/malus_x_domestica/?name=MDP0000325082","MDP0000325082")</f>
        <v>MDP0000325082</v>
      </c>
      <c r="D22886">
        <v>78.569999999999993</v>
      </c>
      <c r="E22886">
        <v>70</v>
      </c>
      <c r="F22886">
        <v>15</v>
      </c>
      <c r="G22886">
        <v>2</v>
      </c>
      <c r="H22886">
        <v>47</v>
      </c>
      <c r="I22886">
        <v>116</v>
      </c>
      <c r="J22886">
        <v>1</v>
      </c>
      <c r="K22886">
        <v>51</v>
      </c>
      <c r="L22886">
        <v>118</v>
      </c>
      <c r="M22886">
        <v>1</v>
      </c>
      <c r="N22886">
        <v>1.00583E-26</v>
      </c>
      <c r="O22886">
        <v>289</v>
      </c>
    </row>
    <row r="22887" spans="1:15" x14ac:dyDescent="0.25">
      <c r="A22887" t="s">
        <v>22900</v>
      </c>
      <c r="B22887">
        <v>591</v>
      </c>
      <c r="C22887" s="1" t="str">
        <f>HYPERLINK("http://www.rosaceae.org/gb/gbrowse/malus_x_domestica/?name=MDP0000163192","MDP0000163192")</f>
        <v>MDP0000163192</v>
      </c>
      <c r="D22887">
        <v>48.12</v>
      </c>
      <c r="E22887">
        <v>586</v>
      </c>
      <c r="F22887">
        <v>304</v>
      </c>
      <c r="G22887">
        <v>26</v>
      </c>
      <c r="H22887">
        <v>9</v>
      </c>
      <c r="I22887">
        <v>577</v>
      </c>
      <c r="J22887">
        <v>1</v>
      </c>
      <c r="K22887">
        <v>7</v>
      </c>
      <c r="L22887">
        <v>583</v>
      </c>
      <c r="M22887">
        <v>1</v>
      </c>
      <c r="N22887">
        <v>3.8393E-140</v>
      </c>
      <c r="O22887">
        <v>1276</v>
      </c>
    </row>
    <row r="22888" spans="1:15" x14ac:dyDescent="0.25">
      <c r="A22888" t="s">
        <v>22901</v>
      </c>
      <c r="B22888">
        <v>519</v>
      </c>
      <c r="C22888" s="1" t="str">
        <f>HYPERLINK("http://www.rosaceae.org/gb/gbrowse/malus_x_domestica/?name=MDP0000245931","MDP0000245931")</f>
        <v>MDP0000245931</v>
      </c>
      <c r="D22888">
        <v>54.65</v>
      </c>
      <c r="E22888">
        <v>333</v>
      </c>
      <c r="F22888">
        <v>151</v>
      </c>
      <c r="G22888">
        <v>20</v>
      </c>
      <c r="H22888">
        <v>4</v>
      </c>
      <c r="I22888">
        <v>325</v>
      </c>
      <c r="J22888">
        <v>1</v>
      </c>
      <c r="K22888">
        <v>15</v>
      </c>
      <c r="L22888">
        <v>338</v>
      </c>
      <c r="M22888">
        <v>1</v>
      </c>
      <c r="N22888">
        <v>1.21627E-86</v>
      </c>
      <c r="O22888">
        <v>814</v>
      </c>
    </row>
    <row r="22889" spans="1:15" x14ac:dyDescent="0.25">
      <c r="A22889" t="s">
        <v>22902</v>
      </c>
      <c r="B22889">
        <v>110</v>
      </c>
      <c r="C22889" s="1" t="str">
        <f>HYPERLINK("http://www.rosaceae.org/gb/gbrowse/malus_x_domestica/?name=MDP0000129532","MDP0000129532")</f>
        <v>MDP0000129532</v>
      </c>
      <c r="D22889">
        <v>79.8</v>
      </c>
      <c r="E22889">
        <v>104</v>
      </c>
      <c r="F22889">
        <v>21</v>
      </c>
      <c r="G22889">
        <v>0</v>
      </c>
      <c r="H22889">
        <v>2</v>
      </c>
      <c r="I22889">
        <v>105</v>
      </c>
      <c r="J22889">
        <v>1</v>
      </c>
      <c r="K22889">
        <v>192</v>
      </c>
      <c r="L22889">
        <v>295</v>
      </c>
      <c r="M22889">
        <v>1</v>
      </c>
      <c r="N22889">
        <v>6.2461700000000001E-46</v>
      </c>
      <c r="O22889">
        <v>453</v>
      </c>
    </row>
    <row r="22890" spans="1:15" x14ac:dyDescent="0.25">
      <c r="A22890" t="s">
        <v>22903</v>
      </c>
      <c r="B22890">
        <v>683</v>
      </c>
      <c r="C22890" s="1" t="str">
        <f>HYPERLINK("http://www.rosaceae.org/gb/gbrowse/malus_x_domestica/?name=MDP0000161222","MDP0000161222")</f>
        <v>MDP0000161222</v>
      </c>
      <c r="D22890">
        <v>33.869999999999997</v>
      </c>
      <c r="E22890">
        <v>183</v>
      </c>
      <c r="F22890">
        <v>121</v>
      </c>
      <c r="G22890">
        <v>21</v>
      </c>
      <c r="H22890">
        <v>479</v>
      </c>
      <c r="I22890">
        <v>656</v>
      </c>
      <c r="J22890">
        <v>1</v>
      </c>
      <c r="K22890">
        <v>647</v>
      </c>
      <c r="L22890">
        <v>813</v>
      </c>
      <c r="M22890">
        <v>1</v>
      </c>
      <c r="N22890">
        <v>4.7925599999999995E-16</v>
      </c>
      <c r="O22890">
        <v>206</v>
      </c>
    </row>
    <row r="22891" spans="1:15" x14ac:dyDescent="0.25">
      <c r="A22891" t="s">
        <v>22904</v>
      </c>
      <c r="B22891">
        <v>182</v>
      </c>
      <c r="C22891" s="1" t="str">
        <f>HYPERLINK("http://www.rosaceae.org/gb/gbrowse/malus_x_domestica/?name=MDP0000130897","MDP0000130897")</f>
        <v>MDP0000130897</v>
      </c>
      <c r="D22891">
        <v>28.26</v>
      </c>
      <c r="E22891">
        <v>138</v>
      </c>
      <c r="F22891">
        <v>99</v>
      </c>
      <c r="G22891">
        <v>14</v>
      </c>
      <c r="H22891">
        <v>46</v>
      </c>
      <c r="I22891">
        <v>176</v>
      </c>
      <c r="J22891">
        <v>1</v>
      </c>
      <c r="K22891">
        <v>415</v>
      </c>
      <c r="L22891">
        <v>545</v>
      </c>
      <c r="M22891">
        <v>1</v>
      </c>
      <c r="N22891">
        <v>1.66612E-8</v>
      </c>
      <c r="O22891">
        <v>134</v>
      </c>
    </row>
    <row r="22892" spans="1:15" x14ac:dyDescent="0.25">
      <c r="A22892" t="s">
        <v>22905</v>
      </c>
      <c r="B22892">
        <v>391</v>
      </c>
      <c r="C22892" s="1" t="str">
        <f>HYPERLINK("http://www.rosaceae.org/gb/gbrowse/malus_x_domestica/?name=MDP0000163205","MDP0000163205")</f>
        <v>MDP0000163205</v>
      </c>
      <c r="D22892">
        <v>77.209999999999994</v>
      </c>
      <c r="E22892">
        <v>294</v>
      </c>
      <c r="F22892">
        <v>67</v>
      </c>
      <c r="G22892">
        <v>4</v>
      </c>
      <c r="H22892">
        <v>79</v>
      </c>
      <c r="I22892">
        <v>368</v>
      </c>
      <c r="J22892">
        <v>1</v>
      </c>
      <c r="K22892">
        <v>1</v>
      </c>
      <c r="L22892">
        <v>294</v>
      </c>
      <c r="M22892">
        <v>1</v>
      </c>
      <c r="N22892">
        <v>3.1509600000000002E-138</v>
      </c>
      <c r="O22892">
        <v>1257</v>
      </c>
    </row>
    <row r="22893" spans="1:15" x14ac:dyDescent="0.25">
      <c r="A22893" t="s">
        <v>22906</v>
      </c>
      <c r="B22893">
        <v>114</v>
      </c>
      <c r="C22893" s="1" t="str">
        <f>HYPERLINK("http://www.rosaceae.org/gb/gbrowse/malus_x_domestica/?name=MDP0000148337","MDP0000148337")</f>
        <v>MDP0000148337</v>
      </c>
      <c r="D22893">
        <v>64.599999999999994</v>
      </c>
      <c r="E22893">
        <v>113</v>
      </c>
      <c r="F22893">
        <v>40</v>
      </c>
      <c r="G22893">
        <v>7</v>
      </c>
      <c r="H22893">
        <v>1</v>
      </c>
      <c r="I22893">
        <v>109</v>
      </c>
      <c r="J22893">
        <v>1</v>
      </c>
      <c r="K22893">
        <v>258</v>
      </c>
      <c r="L22893">
        <v>367</v>
      </c>
      <c r="M22893">
        <v>1</v>
      </c>
      <c r="N22893">
        <v>1.22735E-34</v>
      </c>
      <c r="O22893">
        <v>356</v>
      </c>
    </row>
    <row r="22894" spans="1:15" x14ac:dyDescent="0.25">
      <c r="A22894" t="s">
        <v>22907</v>
      </c>
      <c r="B22894">
        <v>1105</v>
      </c>
      <c r="C22894" s="1" t="str">
        <f>HYPERLINK("http://www.rosaceae.org/gb/gbrowse/malus_x_domestica/?name=MDP0000473844","MDP0000473844")</f>
        <v>MDP0000473844</v>
      </c>
      <c r="D22894">
        <v>76.05</v>
      </c>
      <c r="E22894">
        <v>998</v>
      </c>
      <c r="F22894">
        <v>239</v>
      </c>
      <c r="G22894">
        <v>15</v>
      </c>
      <c r="H22894">
        <v>116</v>
      </c>
      <c r="I22894">
        <v>1105</v>
      </c>
      <c r="J22894">
        <v>1</v>
      </c>
      <c r="K22894">
        <v>5</v>
      </c>
      <c r="L22894">
        <v>995</v>
      </c>
      <c r="M22894">
        <v>1</v>
      </c>
      <c r="N22894">
        <v>0</v>
      </c>
      <c r="O22894">
        <v>3989</v>
      </c>
    </row>
    <row r="22895" spans="1:15" x14ac:dyDescent="0.25">
      <c r="A22895" t="s">
        <v>22908</v>
      </c>
      <c r="B22895">
        <v>198</v>
      </c>
      <c r="C22895" s="1" t="str">
        <f>HYPERLINK("http://www.rosaceae.org/gb/gbrowse/malus_x_domestica/?name=MDP0000179620","MDP0000179620")</f>
        <v>MDP0000179620</v>
      </c>
      <c r="D22895">
        <v>88.44</v>
      </c>
      <c r="E22895">
        <v>199</v>
      </c>
      <c r="F22895">
        <v>23</v>
      </c>
      <c r="G22895">
        <v>1</v>
      </c>
      <c r="H22895">
        <v>1</v>
      </c>
      <c r="I22895">
        <v>198</v>
      </c>
      <c r="J22895">
        <v>1</v>
      </c>
      <c r="K22895">
        <v>1</v>
      </c>
      <c r="L22895">
        <v>199</v>
      </c>
      <c r="M22895">
        <v>1</v>
      </c>
      <c r="N22895">
        <v>1.1914499999999999E-101</v>
      </c>
      <c r="O22895">
        <v>938</v>
      </c>
    </row>
    <row r="22896" spans="1:15" x14ac:dyDescent="0.25">
      <c r="A22896" t="s">
        <v>22909</v>
      </c>
      <c r="B22896">
        <v>516</v>
      </c>
      <c r="C22896" s="1" t="str">
        <f>HYPERLINK("http://www.rosaceae.org/gb/gbrowse/malus_x_domestica/?name=MDP0000898292","MDP0000898292")</f>
        <v>MDP0000898292</v>
      </c>
      <c r="D22896">
        <v>77.989999999999995</v>
      </c>
      <c r="E22896">
        <v>518</v>
      </c>
      <c r="F22896">
        <v>114</v>
      </c>
      <c r="G22896">
        <v>31</v>
      </c>
      <c r="H22896">
        <v>3</v>
      </c>
      <c r="I22896">
        <v>516</v>
      </c>
      <c r="J22896">
        <v>1</v>
      </c>
      <c r="K22896">
        <v>2</v>
      </c>
      <c r="L22896">
        <v>492</v>
      </c>
      <c r="M22896">
        <v>1</v>
      </c>
      <c r="N22896">
        <v>0</v>
      </c>
      <c r="O22896">
        <v>2140</v>
      </c>
    </row>
    <row r="22897" spans="1:15" x14ac:dyDescent="0.25">
      <c r="A22897" t="s">
        <v>22910</v>
      </c>
      <c r="B22897">
        <v>520</v>
      </c>
      <c r="C22897" s="1" t="str">
        <f>HYPERLINK("http://www.rosaceae.org/gb/gbrowse/malus_x_domestica/?name=MDP0000811641","MDP0000811641")</f>
        <v>MDP0000811641</v>
      </c>
      <c r="D22897">
        <v>64.92</v>
      </c>
      <c r="E22897">
        <v>499</v>
      </c>
      <c r="F22897">
        <v>175</v>
      </c>
      <c r="G22897">
        <v>32</v>
      </c>
      <c r="H22897">
        <v>27</v>
      </c>
      <c r="I22897">
        <v>517</v>
      </c>
      <c r="J22897">
        <v>1</v>
      </c>
      <c r="K22897">
        <v>4</v>
      </c>
      <c r="L22897">
        <v>478</v>
      </c>
      <c r="M22897">
        <v>1</v>
      </c>
      <c r="N22897">
        <v>0</v>
      </c>
      <c r="O22897">
        <v>1652</v>
      </c>
    </row>
    <row r="22898" spans="1:15" x14ac:dyDescent="0.25">
      <c r="A22898" t="s">
        <v>22911</v>
      </c>
      <c r="B22898">
        <v>569</v>
      </c>
      <c r="C22898" s="1" t="str">
        <f>HYPERLINK("http://www.rosaceae.org/gb/gbrowse/malus_x_domestica/?name=MDP0000217250","MDP0000217250")</f>
        <v>MDP0000217250</v>
      </c>
      <c r="D22898">
        <v>60.42</v>
      </c>
      <c r="E22898">
        <v>657</v>
      </c>
      <c r="F22898">
        <v>260</v>
      </c>
      <c r="G22898">
        <v>95</v>
      </c>
      <c r="H22898">
        <v>3</v>
      </c>
      <c r="I22898">
        <v>569</v>
      </c>
      <c r="J22898">
        <v>1</v>
      </c>
      <c r="K22898">
        <v>42</v>
      </c>
      <c r="L22898">
        <v>693</v>
      </c>
      <c r="M22898">
        <v>1</v>
      </c>
      <c r="N22898">
        <v>0</v>
      </c>
      <c r="O22898">
        <v>1925</v>
      </c>
    </row>
    <row r="22899" spans="1:15" x14ac:dyDescent="0.25">
      <c r="A22899" t="s">
        <v>22912</v>
      </c>
      <c r="B22899">
        <v>535</v>
      </c>
      <c r="C22899" s="1" t="str">
        <f>HYPERLINK("http://www.rosaceae.org/gb/gbrowse/malus_x_domestica/?name=MDP0000158963","MDP0000158963")</f>
        <v>MDP0000158963</v>
      </c>
      <c r="D22899">
        <v>46.18</v>
      </c>
      <c r="E22899">
        <v>236</v>
      </c>
      <c r="F22899">
        <v>127</v>
      </c>
      <c r="G22899">
        <v>26</v>
      </c>
      <c r="H22899">
        <v>312</v>
      </c>
      <c r="I22899">
        <v>532</v>
      </c>
      <c r="J22899">
        <v>1</v>
      </c>
      <c r="K22899">
        <v>36</v>
      </c>
      <c r="L22899">
        <v>260</v>
      </c>
      <c r="M22899">
        <v>1</v>
      </c>
      <c r="N22899">
        <v>2.7528099999999999E-48</v>
      </c>
      <c r="O22899">
        <v>483</v>
      </c>
    </row>
    <row r="22900" spans="1:15" x14ac:dyDescent="0.25">
      <c r="A22900" t="s">
        <v>22913</v>
      </c>
      <c r="B22900">
        <v>255</v>
      </c>
      <c r="C22900" s="1" t="str">
        <f>HYPERLINK("http://www.rosaceae.org/gb/gbrowse/malus_x_domestica/?name=MDP0000252251","MDP0000252251")</f>
        <v>MDP0000252251</v>
      </c>
      <c r="D22900">
        <v>29.62</v>
      </c>
      <c r="E22900">
        <v>270</v>
      </c>
      <c r="F22900">
        <v>190</v>
      </c>
      <c r="G22900">
        <v>63</v>
      </c>
      <c r="H22900">
        <v>9</v>
      </c>
      <c r="I22900">
        <v>251</v>
      </c>
      <c r="J22900">
        <v>1</v>
      </c>
      <c r="K22900">
        <v>311</v>
      </c>
      <c r="L22900">
        <v>544</v>
      </c>
      <c r="M22900">
        <v>1</v>
      </c>
      <c r="N22900">
        <v>3.9086600000000001E-16</v>
      </c>
      <c r="O22900">
        <v>202</v>
      </c>
    </row>
    <row r="22901" spans="1:15" x14ac:dyDescent="0.25">
      <c r="A22901" t="s">
        <v>22914</v>
      </c>
      <c r="B22901">
        <v>454</v>
      </c>
      <c r="C22901" s="1" t="str">
        <f>HYPERLINK("http://www.rosaceae.org/gb/gbrowse/malus_x_domestica/?name=MDP0000620349","MDP0000620349")</f>
        <v>MDP0000620349</v>
      </c>
      <c r="D22901">
        <v>64.59</v>
      </c>
      <c r="E22901">
        <v>257</v>
      </c>
      <c r="F22901">
        <v>91</v>
      </c>
      <c r="G22901">
        <v>4</v>
      </c>
      <c r="H22901">
        <v>201</v>
      </c>
      <c r="I22901">
        <v>454</v>
      </c>
      <c r="J22901">
        <v>1</v>
      </c>
      <c r="K22901">
        <v>101</v>
      </c>
      <c r="L22901">
        <v>356</v>
      </c>
      <c r="M22901">
        <v>1</v>
      </c>
      <c r="N22901">
        <v>2.4674900000000001E-97</v>
      </c>
      <c r="O22901">
        <v>905</v>
      </c>
    </row>
    <row r="22902" spans="1:15" x14ac:dyDescent="0.25">
      <c r="A22902" t="s">
        <v>22915</v>
      </c>
      <c r="B22902">
        <v>1211</v>
      </c>
      <c r="C22902" s="1" t="str">
        <f>HYPERLINK("http://www.rosaceae.org/gb/gbrowse/malus_x_domestica/?name=MDP0000219909","MDP0000219909")</f>
        <v>MDP0000219909</v>
      </c>
      <c r="D22902">
        <v>73.069999999999993</v>
      </c>
      <c r="E22902">
        <v>312</v>
      </c>
      <c r="F22902">
        <v>84</v>
      </c>
      <c r="G22902">
        <v>0</v>
      </c>
      <c r="H22902">
        <v>899</v>
      </c>
      <c r="I22902">
        <v>1210</v>
      </c>
      <c r="J22902">
        <v>1</v>
      </c>
      <c r="K22902">
        <v>485</v>
      </c>
      <c r="L22902">
        <v>796</v>
      </c>
      <c r="M22902">
        <v>1</v>
      </c>
      <c r="N22902">
        <v>3.9960900000000001E-137</v>
      </c>
      <c r="O22902">
        <v>1253</v>
      </c>
    </row>
    <row r="22903" spans="1:15" x14ac:dyDescent="0.25">
      <c r="A22903" t="s">
        <v>22916</v>
      </c>
      <c r="B22903">
        <v>773</v>
      </c>
      <c r="C22903" s="1" t="str">
        <f>HYPERLINK("http://www.rosaceae.org/gb/gbrowse/malus_x_domestica/?name=MDP0000250821","MDP0000250821")</f>
        <v>MDP0000250821</v>
      </c>
      <c r="D22903">
        <v>61.62</v>
      </c>
      <c r="E22903">
        <v>529</v>
      </c>
      <c r="F22903">
        <v>203</v>
      </c>
      <c r="G22903">
        <v>59</v>
      </c>
      <c r="H22903">
        <v>273</v>
      </c>
      <c r="I22903">
        <v>773</v>
      </c>
      <c r="J22903">
        <v>1</v>
      </c>
      <c r="K22903">
        <v>1</v>
      </c>
      <c r="L22903">
        <v>498</v>
      </c>
      <c r="M22903">
        <v>1</v>
      </c>
      <c r="N22903">
        <v>0</v>
      </c>
      <c r="O22903">
        <v>1649</v>
      </c>
    </row>
    <row r="22904" spans="1:15" x14ac:dyDescent="0.25">
      <c r="A22904" t="s">
        <v>22917</v>
      </c>
      <c r="B22904">
        <v>475</v>
      </c>
      <c r="C22904" s="1" t="str">
        <f>HYPERLINK("http://www.rosaceae.org/gb/gbrowse/malus_x_domestica/?name=MDP0000244928","MDP0000244928")</f>
        <v>MDP0000244928</v>
      </c>
      <c r="D22904">
        <v>79.150000000000006</v>
      </c>
      <c r="E22904">
        <v>475</v>
      </c>
      <c r="F22904">
        <v>99</v>
      </c>
      <c r="G22904">
        <v>1</v>
      </c>
      <c r="H22904">
        <v>1</v>
      </c>
      <c r="I22904">
        <v>474</v>
      </c>
      <c r="J22904">
        <v>1</v>
      </c>
      <c r="K22904">
        <v>1</v>
      </c>
      <c r="L22904">
        <v>475</v>
      </c>
      <c r="M22904">
        <v>1</v>
      </c>
      <c r="N22904">
        <v>0</v>
      </c>
      <c r="O22904">
        <v>1994</v>
      </c>
    </row>
    <row r="22905" spans="1:15" x14ac:dyDescent="0.25">
      <c r="A22905" t="s">
        <v>22918</v>
      </c>
      <c r="B22905">
        <v>346</v>
      </c>
      <c r="C22905" s="1" t="str">
        <f>HYPERLINK("http://www.rosaceae.org/gb/gbrowse/malus_x_domestica/?name=MDP0000620579","MDP0000620579")</f>
        <v>MDP0000620579</v>
      </c>
      <c r="D22905">
        <v>69.64</v>
      </c>
      <c r="E22905">
        <v>313</v>
      </c>
      <c r="F22905">
        <v>95</v>
      </c>
      <c r="G22905">
        <v>6</v>
      </c>
      <c r="H22905">
        <v>36</v>
      </c>
      <c r="I22905">
        <v>346</v>
      </c>
      <c r="J22905">
        <v>1</v>
      </c>
      <c r="K22905">
        <v>143</v>
      </c>
      <c r="L22905">
        <v>451</v>
      </c>
      <c r="M22905">
        <v>1</v>
      </c>
      <c r="N22905">
        <v>4.6551399999999997E-128</v>
      </c>
      <c r="O22905">
        <v>1169</v>
      </c>
    </row>
    <row r="22906" spans="1:15" x14ac:dyDescent="0.25">
      <c r="A22906" t="s">
        <v>22919</v>
      </c>
      <c r="B22906">
        <v>357</v>
      </c>
      <c r="C22906" s="1" t="str">
        <f>HYPERLINK("http://www.rosaceae.org/gb/gbrowse/malus_x_domestica/?name=MDP0000215569","MDP0000215569")</f>
        <v>MDP0000215569</v>
      </c>
      <c r="D22906">
        <v>62.4</v>
      </c>
      <c r="E22906">
        <v>391</v>
      </c>
      <c r="F22906">
        <v>147</v>
      </c>
      <c r="G22906">
        <v>41</v>
      </c>
      <c r="H22906">
        <v>1</v>
      </c>
      <c r="I22906">
        <v>357</v>
      </c>
      <c r="J22906">
        <v>1</v>
      </c>
      <c r="K22906">
        <v>1</v>
      </c>
      <c r="L22906">
        <v>384</v>
      </c>
      <c r="M22906">
        <v>1</v>
      </c>
      <c r="N22906">
        <v>1.1498199999999999E-128</v>
      </c>
      <c r="O22906">
        <v>1174</v>
      </c>
    </row>
    <row r="22907" spans="1:15" x14ac:dyDescent="0.25">
      <c r="A22907" t="s">
        <v>22920</v>
      </c>
      <c r="B22907">
        <v>365</v>
      </c>
      <c r="C22907" s="1" t="str">
        <f>HYPERLINK("http://www.rosaceae.org/gb/gbrowse/malus_x_domestica/?name=MDP0000417211","MDP0000417211")</f>
        <v>MDP0000417211</v>
      </c>
      <c r="D22907">
        <v>52.75</v>
      </c>
      <c r="E22907">
        <v>127</v>
      </c>
      <c r="F22907">
        <v>60</v>
      </c>
      <c r="G22907">
        <v>1</v>
      </c>
      <c r="H22907">
        <v>239</v>
      </c>
      <c r="I22907">
        <v>365</v>
      </c>
      <c r="J22907">
        <v>1</v>
      </c>
      <c r="K22907">
        <v>28</v>
      </c>
      <c r="L22907">
        <v>153</v>
      </c>
      <c r="M22907">
        <v>1</v>
      </c>
      <c r="N22907">
        <v>9.1167399999999995E-30</v>
      </c>
      <c r="O22907">
        <v>322</v>
      </c>
    </row>
    <row r="22908" spans="1:15" x14ac:dyDescent="0.25">
      <c r="A22908" t="s">
        <v>22921</v>
      </c>
      <c r="B22908">
        <v>516</v>
      </c>
      <c r="C22908" s="1" t="str">
        <f>HYPERLINK("http://www.rosaceae.org/gb/gbrowse/malus_x_domestica/?name=MDP0000247050","MDP0000247050")</f>
        <v>MDP0000247050</v>
      </c>
      <c r="D22908">
        <v>30.92</v>
      </c>
      <c r="E22908">
        <v>291</v>
      </c>
      <c r="F22908">
        <v>201</v>
      </c>
      <c r="G22908">
        <v>17</v>
      </c>
      <c r="H22908">
        <v>35</v>
      </c>
      <c r="I22908">
        <v>319</v>
      </c>
      <c r="J22908">
        <v>1</v>
      </c>
      <c r="K22908">
        <v>514</v>
      </c>
      <c r="L22908">
        <v>793</v>
      </c>
      <c r="M22908">
        <v>1</v>
      </c>
      <c r="N22908">
        <v>1.3466800000000001E-26</v>
      </c>
      <c r="O22908">
        <v>296</v>
      </c>
    </row>
    <row r="22909" spans="1:15" x14ac:dyDescent="0.25">
      <c r="A22909" t="s">
        <v>22922</v>
      </c>
      <c r="B22909">
        <v>1003</v>
      </c>
      <c r="C22909" s="1" t="str">
        <f>HYPERLINK("http://www.rosaceae.org/gb/gbrowse/malus_x_domestica/?name=MDP0000167387","MDP0000167387")</f>
        <v>MDP0000167387</v>
      </c>
      <c r="D22909">
        <v>64.38</v>
      </c>
      <c r="E22909">
        <v>963</v>
      </c>
      <c r="F22909">
        <v>343</v>
      </c>
      <c r="G22909">
        <v>70</v>
      </c>
      <c r="H22909">
        <v>55</v>
      </c>
      <c r="I22909">
        <v>993</v>
      </c>
      <c r="J22909">
        <v>1</v>
      </c>
      <c r="K22909">
        <v>79</v>
      </c>
      <c r="L22909">
        <v>995</v>
      </c>
      <c r="M22909">
        <v>1</v>
      </c>
      <c r="N22909">
        <v>0</v>
      </c>
      <c r="O22909">
        <v>3272</v>
      </c>
    </row>
    <row r="22910" spans="1:15" x14ac:dyDescent="0.25">
      <c r="A22910" t="s">
        <v>22923</v>
      </c>
      <c r="B22910">
        <v>208</v>
      </c>
      <c r="C22910" s="1" t="str">
        <f>HYPERLINK("http://www.rosaceae.org/gb/gbrowse/malus_x_domestica/?name=MDP0000257010","MDP0000257010")</f>
        <v>MDP0000257010</v>
      </c>
      <c r="D22910">
        <v>82.69</v>
      </c>
      <c r="E22910">
        <v>208</v>
      </c>
      <c r="F22910">
        <v>36</v>
      </c>
      <c r="G22910">
        <v>1</v>
      </c>
      <c r="H22910">
        <v>2</v>
      </c>
      <c r="I22910">
        <v>208</v>
      </c>
      <c r="J22910">
        <v>1</v>
      </c>
      <c r="K22910">
        <v>9</v>
      </c>
      <c r="L22910">
        <v>216</v>
      </c>
      <c r="M22910">
        <v>1</v>
      </c>
      <c r="N22910">
        <v>2.1894299999999999E-100</v>
      </c>
      <c r="O22910">
        <v>928</v>
      </c>
    </row>
    <row r="22911" spans="1:15" x14ac:dyDescent="0.25">
      <c r="A22911" t="s">
        <v>22924</v>
      </c>
      <c r="B22911">
        <v>371</v>
      </c>
      <c r="C22911" s="1" t="str">
        <f>HYPERLINK("http://www.rosaceae.org/gb/gbrowse/malus_x_domestica/?name=MDP0000878686","MDP0000878686")</f>
        <v>MDP0000878686</v>
      </c>
      <c r="D22911">
        <v>37.590000000000003</v>
      </c>
      <c r="E22911">
        <v>407</v>
      </c>
      <c r="F22911">
        <v>254</v>
      </c>
      <c r="G22911">
        <v>77</v>
      </c>
      <c r="H22911">
        <v>2</v>
      </c>
      <c r="I22911">
        <v>371</v>
      </c>
      <c r="J22911">
        <v>1</v>
      </c>
      <c r="K22911">
        <v>10</v>
      </c>
      <c r="L22911">
        <v>376</v>
      </c>
      <c r="M22911">
        <v>1</v>
      </c>
      <c r="N22911">
        <v>1.23966E-55</v>
      </c>
      <c r="O22911">
        <v>545</v>
      </c>
    </row>
    <row r="22912" spans="1:15" x14ac:dyDescent="0.25">
      <c r="A22912" t="s">
        <v>22925</v>
      </c>
      <c r="B22912">
        <v>460</v>
      </c>
      <c r="C22912" s="1" t="str">
        <f>HYPERLINK("http://www.rosaceae.org/gb/gbrowse/malus_x_domestica/?name=MDP0000192034","MDP0000192034")</f>
        <v>MDP0000192034</v>
      </c>
      <c r="D22912">
        <v>77.22</v>
      </c>
      <c r="E22912">
        <v>439</v>
      </c>
      <c r="F22912">
        <v>100</v>
      </c>
      <c r="G22912">
        <v>2</v>
      </c>
      <c r="H22912">
        <v>20</v>
      </c>
      <c r="I22912">
        <v>458</v>
      </c>
      <c r="J22912">
        <v>1</v>
      </c>
      <c r="K22912">
        <v>33</v>
      </c>
      <c r="L22912">
        <v>469</v>
      </c>
      <c r="M22912">
        <v>1</v>
      </c>
      <c r="N22912">
        <v>0</v>
      </c>
      <c r="O22912">
        <v>1837</v>
      </c>
    </row>
    <row r="22913" spans="1:15" x14ac:dyDescent="0.25">
      <c r="A22913" t="s">
        <v>22926</v>
      </c>
      <c r="B22913">
        <v>384</v>
      </c>
      <c r="C22913" s="1" t="str">
        <f>HYPERLINK("http://www.rosaceae.org/gb/gbrowse/malus_x_domestica/?name=MDP0000296958","MDP0000296958")</f>
        <v>MDP0000296958</v>
      </c>
      <c r="D22913">
        <v>63.04</v>
      </c>
      <c r="E22913">
        <v>387</v>
      </c>
      <c r="F22913">
        <v>143</v>
      </c>
      <c r="G22913">
        <v>53</v>
      </c>
      <c r="H22913">
        <v>1</v>
      </c>
      <c r="I22913">
        <v>384</v>
      </c>
      <c r="J22913">
        <v>1</v>
      </c>
      <c r="K22913">
        <v>1168</v>
      </c>
      <c r="L22913">
        <v>1504</v>
      </c>
      <c r="M22913">
        <v>1</v>
      </c>
      <c r="N22913">
        <v>9.1861500000000006E-132</v>
      </c>
      <c r="O22913">
        <v>1202</v>
      </c>
    </row>
    <row r="22914" spans="1:15" x14ac:dyDescent="0.25">
      <c r="A22914" t="s">
        <v>22927</v>
      </c>
      <c r="B22914">
        <v>633</v>
      </c>
      <c r="C22914" s="1" t="str">
        <f>HYPERLINK("http://www.rosaceae.org/gb/gbrowse/malus_x_domestica/?name=MDP0000573751","MDP0000573751")</f>
        <v>MDP0000573751</v>
      </c>
      <c r="D22914">
        <v>78.989999999999995</v>
      </c>
      <c r="E22914">
        <v>338</v>
      </c>
      <c r="F22914">
        <v>71</v>
      </c>
      <c r="G22914">
        <v>1</v>
      </c>
      <c r="H22914">
        <v>297</v>
      </c>
      <c r="I22914">
        <v>633</v>
      </c>
      <c r="J22914">
        <v>1</v>
      </c>
      <c r="K22914">
        <v>294</v>
      </c>
      <c r="L22914">
        <v>631</v>
      </c>
      <c r="M22914">
        <v>1</v>
      </c>
      <c r="N22914">
        <v>2.04894E-157</v>
      </c>
      <c r="O22914">
        <v>1425</v>
      </c>
    </row>
    <row r="22915" spans="1:15" x14ac:dyDescent="0.25">
      <c r="A22915" t="s">
        <v>22928</v>
      </c>
      <c r="B22915">
        <v>389</v>
      </c>
      <c r="C22915" s="1" t="str">
        <f>HYPERLINK("http://www.rosaceae.org/gb/gbrowse/malus_x_domestica/?name=MDP0000169820","MDP0000169820")</f>
        <v>MDP0000169820</v>
      </c>
      <c r="D22915">
        <v>63.5</v>
      </c>
      <c r="E22915">
        <v>274</v>
      </c>
      <c r="F22915">
        <v>100</v>
      </c>
      <c r="G22915">
        <v>15</v>
      </c>
      <c r="H22915">
        <v>1</v>
      </c>
      <c r="I22915">
        <v>266</v>
      </c>
      <c r="J22915">
        <v>1</v>
      </c>
      <c r="K22915">
        <v>1</v>
      </c>
      <c r="L22915">
        <v>267</v>
      </c>
      <c r="M22915">
        <v>1</v>
      </c>
      <c r="N22915">
        <v>1.43779E-86</v>
      </c>
      <c r="O22915">
        <v>812</v>
      </c>
    </row>
    <row r="22916" spans="1:15" x14ac:dyDescent="0.25">
      <c r="A22916" t="s">
        <v>22929</v>
      </c>
      <c r="B22916">
        <v>897</v>
      </c>
      <c r="C22916" s="1" t="str">
        <f>HYPERLINK("http://www.rosaceae.org/gb/gbrowse/malus_x_domestica/?name=MDP0000222253","MDP0000222253")</f>
        <v>MDP0000222253</v>
      </c>
      <c r="D22916">
        <v>72.17</v>
      </c>
      <c r="E22916">
        <v>823</v>
      </c>
      <c r="F22916">
        <v>229</v>
      </c>
      <c r="G22916">
        <v>69</v>
      </c>
      <c r="H22916">
        <v>1</v>
      </c>
      <c r="I22916">
        <v>760</v>
      </c>
      <c r="J22916">
        <v>1</v>
      </c>
      <c r="K22916">
        <v>1</v>
      </c>
      <c r="L22916">
        <v>817</v>
      </c>
      <c r="M22916">
        <v>1</v>
      </c>
      <c r="N22916">
        <v>0</v>
      </c>
      <c r="O22916">
        <v>3028</v>
      </c>
    </row>
    <row r="22917" spans="1:15" x14ac:dyDescent="0.25">
      <c r="A22917" t="s">
        <v>22930</v>
      </c>
      <c r="B22917">
        <v>258</v>
      </c>
      <c r="C22917" s="1" t="str">
        <f>HYPERLINK("http://www.rosaceae.org/gb/gbrowse/malus_x_domestica/?name=MDP0000284664","MDP0000284664")</f>
        <v>MDP0000284664</v>
      </c>
      <c r="D22917">
        <v>68.5</v>
      </c>
      <c r="E22917">
        <v>254</v>
      </c>
      <c r="F22917">
        <v>80</v>
      </c>
      <c r="G22917">
        <v>0</v>
      </c>
      <c r="H22917">
        <v>5</v>
      </c>
      <c r="I22917">
        <v>258</v>
      </c>
      <c r="J22917">
        <v>1</v>
      </c>
      <c r="K22917">
        <v>66</v>
      </c>
      <c r="L22917">
        <v>319</v>
      </c>
      <c r="M22917">
        <v>1</v>
      </c>
      <c r="N22917">
        <v>1.1702499999999999E-98</v>
      </c>
      <c r="O22917">
        <v>914</v>
      </c>
    </row>
    <row r="22918" spans="1:15" x14ac:dyDescent="0.25">
      <c r="A22918" t="s">
        <v>22931</v>
      </c>
      <c r="B22918">
        <v>683</v>
      </c>
      <c r="C22918" s="1" t="str">
        <f>HYPERLINK("http://www.rosaceae.org/gb/gbrowse/malus_x_domestica/?name=MDP0000320489","MDP0000320489")</f>
        <v>MDP0000320489</v>
      </c>
      <c r="D22918">
        <v>51.73</v>
      </c>
      <c r="E22918">
        <v>663</v>
      </c>
      <c r="F22918">
        <v>320</v>
      </c>
      <c r="G22918">
        <v>86</v>
      </c>
      <c r="H22918">
        <v>92</v>
      </c>
      <c r="I22918">
        <v>683</v>
      </c>
      <c r="J22918">
        <v>1</v>
      </c>
      <c r="K22918">
        <v>16</v>
      </c>
      <c r="L22918">
        <v>663</v>
      </c>
      <c r="M22918">
        <v>1</v>
      </c>
      <c r="N22918">
        <v>1.43753E-169</v>
      </c>
      <c r="O22918">
        <v>1530</v>
      </c>
    </row>
    <row r="22919" spans="1:15" x14ac:dyDescent="0.25">
      <c r="A22919" t="s">
        <v>22932</v>
      </c>
      <c r="B22919">
        <v>76</v>
      </c>
      <c r="C22919" s="1" t="str">
        <f>HYPERLINK("http://www.rosaceae.org/gb/gbrowse/malus_x_domestica/?name=MDP0000630768","MDP0000630768")</f>
        <v>MDP0000630768</v>
      </c>
      <c r="D22919">
        <v>66.66</v>
      </c>
      <c r="E22919">
        <v>60</v>
      </c>
      <c r="F22919">
        <v>20</v>
      </c>
      <c r="G22919">
        <v>0</v>
      </c>
      <c r="H22919">
        <v>2</v>
      </c>
      <c r="I22919">
        <v>61</v>
      </c>
      <c r="J22919">
        <v>1</v>
      </c>
      <c r="K22919">
        <v>186</v>
      </c>
      <c r="L22919">
        <v>245</v>
      </c>
      <c r="M22919">
        <v>1</v>
      </c>
      <c r="N22919">
        <v>2.4900200000000002E-19</v>
      </c>
      <c r="O22919">
        <v>224</v>
      </c>
    </row>
    <row r="22920" spans="1:15" x14ac:dyDescent="0.25">
      <c r="A22920" t="s">
        <v>22933</v>
      </c>
      <c r="B22920">
        <v>387</v>
      </c>
      <c r="C22920" s="1" t="str">
        <f>HYPERLINK("http://www.rosaceae.org/gb/gbrowse/malus_x_domestica/?name=MDP0000315400","MDP0000315400")</f>
        <v>MDP0000315400</v>
      </c>
      <c r="D22920">
        <v>72.92</v>
      </c>
      <c r="E22920">
        <v>373</v>
      </c>
      <c r="F22920">
        <v>101</v>
      </c>
      <c r="G22920">
        <v>30</v>
      </c>
      <c r="H22920">
        <v>15</v>
      </c>
      <c r="I22920">
        <v>382</v>
      </c>
      <c r="J22920">
        <v>1</v>
      </c>
      <c r="K22920">
        <v>27</v>
      </c>
      <c r="L22920">
        <v>374</v>
      </c>
      <c r="M22920">
        <v>1</v>
      </c>
      <c r="N22920">
        <v>7.0701700000000004E-151</v>
      </c>
      <c r="O22920">
        <v>1366</v>
      </c>
    </row>
    <row r="22921" spans="1:15" x14ac:dyDescent="0.25">
      <c r="A22921" t="s">
        <v>22934</v>
      </c>
      <c r="B22921">
        <v>566</v>
      </c>
      <c r="C22921" s="1" t="str">
        <f>HYPERLINK("http://www.rosaceae.org/gb/gbrowse/malus_x_domestica/?name=MDP0000372490","MDP0000372490")</f>
        <v>MDP0000372490</v>
      </c>
      <c r="D22921">
        <v>80.28</v>
      </c>
      <c r="E22921">
        <v>558</v>
      </c>
      <c r="F22921">
        <v>110</v>
      </c>
      <c r="G22921">
        <v>12</v>
      </c>
      <c r="H22921">
        <v>17</v>
      </c>
      <c r="I22921">
        <v>565</v>
      </c>
      <c r="J22921">
        <v>1</v>
      </c>
      <c r="K22921">
        <v>15</v>
      </c>
      <c r="L22921">
        <v>569</v>
      </c>
      <c r="M22921">
        <v>1</v>
      </c>
      <c r="N22921">
        <v>0</v>
      </c>
      <c r="O22921">
        <v>2234</v>
      </c>
    </row>
    <row r="22922" spans="1:15" x14ac:dyDescent="0.25">
      <c r="A22922" t="s">
        <v>22935</v>
      </c>
      <c r="B22922">
        <v>171</v>
      </c>
      <c r="C22922" s="1" t="str">
        <f>HYPERLINK("http://www.rosaceae.org/gb/gbrowse/malus_x_domestica/?name=MDP0000867916","MDP0000867916")</f>
        <v>MDP0000867916</v>
      </c>
      <c r="D22922">
        <v>87.05</v>
      </c>
      <c r="E22922">
        <v>170</v>
      </c>
      <c r="F22922">
        <v>22</v>
      </c>
      <c r="G22922">
        <v>2</v>
      </c>
      <c r="H22922">
        <v>2</v>
      </c>
      <c r="I22922">
        <v>171</v>
      </c>
      <c r="J22922">
        <v>1</v>
      </c>
      <c r="K22922">
        <v>6</v>
      </c>
      <c r="L22922">
        <v>173</v>
      </c>
      <c r="M22922">
        <v>1</v>
      </c>
      <c r="N22922">
        <v>3.7676799999999998E-84</v>
      </c>
      <c r="O22922">
        <v>786</v>
      </c>
    </row>
    <row r="22923" spans="1:15" x14ac:dyDescent="0.25">
      <c r="A22923" t="s">
        <v>22936</v>
      </c>
      <c r="B22923">
        <v>215</v>
      </c>
      <c r="C22923" s="1" t="str">
        <f>HYPERLINK("http://www.rosaceae.org/gb/gbrowse/malus_x_domestica/?name=MDP0000147838","MDP0000147838")</f>
        <v>MDP0000147838</v>
      </c>
      <c r="D22923">
        <v>31.78</v>
      </c>
      <c r="E22923">
        <v>129</v>
      </c>
      <c r="F22923">
        <v>88</v>
      </c>
      <c r="G22923">
        <v>19</v>
      </c>
      <c r="H22923">
        <v>36</v>
      </c>
      <c r="I22923">
        <v>145</v>
      </c>
      <c r="J22923">
        <v>1</v>
      </c>
      <c r="K22923">
        <v>48</v>
      </c>
      <c r="L22923">
        <v>176</v>
      </c>
      <c r="M22923">
        <v>1</v>
      </c>
      <c r="N22923">
        <v>2.2526800000000002E-15</v>
      </c>
      <c r="O22923">
        <v>195</v>
      </c>
    </row>
    <row r="22924" spans="1:15" x14ac:dyDescent="0.25">
      <c r="A22924" t="s">
        <v>22937</v>
      </c>
      <c r="B22924">
        <v>941</v>
      </c>
      <c r="C22924" s="1" t="str">
        <f>HYPERLINK("http://www.rosaceae.org/gb/gbrowse/malus_x_domestica/?name=MDP0000442056","MDP0000442056")</f>
        <v>MDP0000442056</v>
      </c>
      <c r="D22924">
        <v>76.63</v>
      </c>
      <c r="E22924">
        <v>950</v>
      </c>
      <c r="F22924">
        <v>222</v>
      </c>
      <c r="G22924">
        <v>11</v>
      </c>
      <c r="H22924">
        <v>1</v>
      </c>
      <c r="I22924">
        <v>941</v>
      </c>
      <c r="J22924">
        <v>1</v>
      </c>
      <c r="K22924">
        <v>1</v>
      </c>
      <c r="L22924">
        <v>948</v>
      </c>
      <c r="M22924">
        <v>1</v>
      </c>
      <c r="N22924">
        <v>0</v>
      </c>
      <c r="O22924">
        <v>3865</v>
      </c>
    </row>
    <row r="22925" spans="1:15" x14ac:dyDescent="0.25">
      <c r="A22925" t="s">
        <v>22938</v>
      </c>
      <c r="B22925">
        <v>388</v>
      </c>
      <c r="C22925" s="1" t="str">
        <f>HYPERLINK("http://www.rosaceae.org/gb/gbrowse/malus_x_domestica/?name=MDP0000208815","MDP0000208815")</f>
        <v>MDP0000208815</v>
      </c>
      <c r="D22925">
        <v>43.64</v>
      </c>
      <c r="E22925">
        <v>401</v>
      </c>
      <c r="F22925">
        <v>226</v>
      </c>
      <c r="G22925">
        <v>31</v>
      </c>
      <c r="H22925">
        <v>5</v>
      </c>
      <c r="I22925">
        <v>378</v>
      </c>
      <c r="J22925">
        <v>1</v>
      </c>
      <c r="K22925">
        <v>6</v>
      </c>
      <c r="L22925">
        <v>402</v>
      </c>
      <c r="M22925">
        <v>1</v>
      </c>
      <c r="N22925">
        <v>1.3007400000000001E-74</v>
      </c>
      <c r="O22925">
        <v>709</v>
      </c>
    </row>
    <row r="22926" spans="1:15" x14ac:dyDescent="0.25">
      <c r="A22926" t="s">
        <v>22939</v>
      </c>
      <c r="B22926">
        <v>161</v>
      </c>
      <c r="C22926" s="1" t="str">
        <f>HYPERLINK("http://www.rosaceae.org/gb/gbrowse/malus_x_domestica/?name=MDP0000242811","MDP0000242811")</f>
        <v>MDP0000242811</v>
      </c>
      <c r="D22926">
        <v>80.88</v>
      </c>
      <c r="E22926">
        <v>136</v>
      </c>
      <c r="F22926">
        <v>26</v>
      </c>
      <c r="G22926">
        <v>1</v>
      </c>
      <c r="H22926">
        <v>4</v>
      </c>
      <c r="I22926">
        <v>138</v>
      </c>
      <c r="J22926">
        <v>1</v>
      </c>
      <c r="K22926">
        <v>184</v>
      </c>
      <c r="L22926">
        <v>319</v>
      </c>
      <c r="M22926">
        <v>1</v>
      </c>
      <c r="N22926">
        <v>8.1166799999999995E-59</v>
      </c>
      <c r="O22926">
        <v>567</v>
      </c>
    </row>
    <row r="22927" spans="1:15" x14ac:dyDescent="0.25">
      <c r="A22927" t="s">
        <v>22940</v>
      </c>
      <c r="B22927">
        <v>496</v>
      </c>
      <c r="C22927" s="1" t="str">
        <f>HYPERLINK("http://www.rosaceae.org/gb/gbrowse/malus_x_domestica/?name=MDP0000426862","MDP0000426862")</f>
        <v>MDP0000426862</v>
      </c>
      <c r="D22927">
        <v>59.54</v>
      </c>
      <c r="E22927">
        <v>487</v>
      </c>
      <c r="F22927">
        <v>197</v>
      </c>
      <c r="G22927">
        <v>35</v>
      </c>
      <c r="H22927">
        <v>1</v>
      </c>
      <c r="I22927">
        <v>475</v>
      </c>
      <c r="J22927">
        <v>1</v>
      </c>
      <c r="K22927">
        <v>1</v>
      </c>
      <c r="L22927">
        <v>464</v>
      </c>
      <c r="M22927">
        <v>1</v>
      </c>
      <c r="N22927">
        <v>2.68191E-153</v>
      </c>
      <c r="O22927">
        <v>1388</v>
      </c>
    </row>
    <row r="22928" spans="1:15" x14ac:dyDescent="0.25">
      <c r="A22928" t="s">
        <v>22941</v>
      </c>
      <c r="B22928">
        <v>385</v>
      </c>
      <c r="C22928" s="1" t="str">
        <f>HYPERLINK("http://www.rosaceae.org/gb/gbrowse/malus_x_domestica/?name=MDP0000256927","MDP0000256927")</f>
        <v>MDP0000256927</v>
      </c>
      <c r="D22928">
        <v>78.16</v>
      </c>
      <c r="E22928">
        <v>348</v>
      </c>
      <c r="F22928">
        <v>76</v>
      </c>
      <c r="G22928">
        <v>3</v>
      </c>
      <c r="H22928">
        <v>1</v>
      </c>
      <c r="I22928">
        <v>348</v>
      </c>
      <c r="J22928">
        <v>1</v>
      </c>
      <c r="K22928">
        <v>191</v>
      </c>
      <c r="L22928">
        <v>535</v>
      </c>
      <c r="M22928">
        <v>1</v>
      </c>
      <c r="N22928">
        <v>7.7390799999999996E-160</v>
      </c>
      <c r="O22928">
        <v>1444</v>
      </c>
    </row>
    <row r="22929" spans="1:15" x14ac:dyDescent="0.25">
      <c r="A22929" t="s">
        <v>22942</v>
      </c>
      <c r="B22929">
        <v>616</v>
      </c>
      <c r="C22929" s="1" t="str">
        <f>HYPERLINK("http://www.rosaceae.org/gb/gbrowse/malus_x_domestica/?name=MDP0000931198","MDP0000931198")</f>
        <v>MDP0000931198</v>
      </c>
      <c r="D22929">
        <v>64.400000000000006</v>
      </c>
      <c r="E22929">
        <v>677</v>
      </c>
      <c r="F22929">
        <v>241</v>
      </c>
      <c r="G22929">
        <v>80</v>
      </c>
      <c r="H22929">
        <v>1</v>
      </c>
      <c r="I22929">
        <v>616</v>
      </c>
      <c r="J22929">
        <v>1</v>
      </c>
      <c r="K22929">
        <v>1</v>
      </c>
      <c r="L22929">
        <v>658</v>
      </c>
      <c r="M22929">
        <v>1</v>
      </c>
      <c r="N22929">
        <v>0</v>
      </c>
      <c r="O22929">
        <v>2153</v>
      </c>
    </row>
    <row r="22930" spans="1:15" x14ac:dyDescent="0.25">
      <c r="A22930" t="s">
        <v>22943</v>
      </c>
      <c r="B22930">
        <v>170</v>
      </c>
      <c r="C22930" s="1" t="str">
        <f>HYPERLINK("http://www.rosaceae.org/gb/gbrowse/malus_x_domestica/?name=MDP0000277868","MDP0000277868")</f>
        <v>MDP0000277868</v>
      </c>
      <c r="D22930">
        <v>62.91</v>
      </c>
      <c r="E22930">
        <v>151</v>
      </c>
      <c r="F22930">
        <v>56</v>
      </c>
      <c r="G22930">
        <v>1</v>
      </c>
      <c r="H22930">
        <v>19</v>
      </c>
      <c r="I22930">
        <v>169</v>
      </c>
      <c r="J22930">
        <v>1</v>
      </c>
      <c r="K22930">
        <v>12</v>
      </c>
      <c r="L22930">
        <v>161</v>
      </c>
      <c r="M22930">
        <v>1</v>
      </c>
      <c r="N22930">
        <v>2.9212199999999999E-52</v>
      </c>
      <c r="O22930">
        <v>511</v>
      </c>
    </row>
    <row r="22931" spans="1:15" x14ac:dyDescent="0.25">
      <c r="A22931" t="s">
        <v>22944</v>
      </c>
      <c r="B22931">
        <v>349</v>
      </c>
      <c r="C22931" s="1" t="str">
        <f>HYPERLINK("http://www.rosaceae.org/gb/gbrowse/malus_x_domestica/?name=MDP0000306669","MDP0000306669")</f>
        <v>MDP0000306669</v>
      </c>
      <c r="D22931">
        <v>74.92</v>
      </c>
      <c r="E22931">
        <v>315</v>
      </c>
      <c r="F22931">
        <v>79</v>
      </c>
      <c r="G22931">
        <v>13</v>
      </c>
      <c r="H22931">
        <v>48</v>
      </c>
      <c r="I22931">
        <v>349</v>
      </c>
      <c r="J22931">
        <v>1</v>
      </c>
      <c r="K22931">
        <v>14</v>
      </c>
      <c r="L22931">
        <v>328</v>
      </c>
      <c r="M22931">
        <v>1</v>
      </c>
      <c r="N22931">
        <v>1.02396E-127</v>
      </c>
      <c r="O22931">
        <v>1166</v>
      </c>
    </row>
    <row r="22932" spans="1:15" x14ac:dyDescent="0.25">
      <c r="A22932" t="s">
        <v>22945</v>
      </c>
      <c r="B22932">
        <v>311</v>
      </c>
      <c r="C22932" s="1" t="str">
        <f>HYPERLINK("http://www.rosaceae.org/gb/gbrowse/malus_x_domestica/?name=MDP0000191931","MDP0000191931")</f>
        <v>MDP0000191931</v>
      </c>
      <c r="D22932">
        <v>72.92</v>
      </c>
      <c r="E22932">
        <v>325</v>
      </c>
      <c r="F22932">
        <v>88</v>
      </c>
      <c r="G22932">
        <v>14</v>
      </c>
      <c r="H22932">
        <v>1</v>
      </c>
      <c r="I22932">
        <v>311</v>
      </c>
      <c r="J22932">
        <v>1</v>
      </c>
      <c r="K22932">
        <v>1125</v>
      </c>
      <c r="L22932">
        <v>1449</v>
      </c>
      <c r="M22932">
        <v>1</v>
      </c>
      <c r="N22932">
        <v>1.27524E-142</v>
      </c>
      <c r="O22932">
        <v>1294</v>
      </c>
    </row>
    <row r="22933" spans="1:15" x14ac:dyDescent="0.25">
      <c r="A22933" t="s">
        <v>22946</v>
      </c>
      <c r="B22933">
        <v>153</v>
      </c>
      <c r="C22933" s="1" t="str">
        <f>HYPERLINK("http://www.rosaceae.org/gb/gbrowse/malus_x_domestica/?name=MDP0000849143","MDP0000849143")</f>
        <v>MDP0000849143</v>
      </c>
      <c r="D22933">
        <v>82.71</v>
      </c>
      <c r="E22933">
        <v>81</v>
      </c>
      <c r="F22933">
        <v>14</v>
      </c>
      <c r="G22933">
        <v>0</v>
      </c>
      <c r="H22933">
        <v>1</v>
      </c>
      <c r="I22933">
        <v>81</v>
      </c>
      <c r="J22933">
        <v>1</v>
      </c>
      <c r="K22933">
        <v>1</v>
      </c>
      <c r="L22933">
        <v>81</v>
      </c>
      <c r="M22933">
        <v>1</v>
      </c>
      <c r="N22933">
        <v>5.2898699999999997E-39</v>
      </c>
      <c r="O22933">
        <v>396</v>
      </c>
    </row>
    <row r="22934" spans="1:15" x14ac:dyDescent="0.25">
      <c r="A22934" t="s">
        <v>22947</v>
      </c>
      <c r="B22934">
        <v>288</v>
      </c>
      <c r="C22934" s="1" t="str">
        <f>HYPERLINK("http://www.rosaceae.org/gb/gbrowse/malus_x_domestica/?name=MDP0000731537","MDP0000731537")</f>
        <v>MDP0000731537</v>
      </c>
      <c r="D22934">
        <v>88.37</v>
      </c>
      <c r="E22934">
        <v>43</v>
      </c>
      <c r="F22934">
        <v>5</v>
      </c>
      <c r="G22934">
        <v>0</v>
      </c>
      <c r="H22934">
        <v>17</v>
      </c>
      <c r="I22934">
        <v>59</v>
      </c>
      <c r="J22934">
        <v>1</v>
      </c>
      <c r="K22934">
        <v>34</v>
      </c>
      <c r="L22934">
        <v>76</v>
      </c>
      <c r="M22934">
        <v>1</v>
      </c>
      <c r="N22934">
        <v>3.42546E-16</v>
      </c>
      <c r="O22934">
        <v>203</v>
      </c>
    </row>
    <row r="22935" spans="1:15" x14ac:dyDescent="0.25">
      <c r="A22935" t="s">
        <v>22948</v>
      </c>
      <c r="B22935">
        <v>96</v>
      </c>
      <c r="C22935" s="1" t="str">
        <f>HYPERLINK("http://www.rosaceae.org/gb/gbrowse/malus_x_domestica/?name=MDP0000216038","MDP0000216038")</f>
        <v>MDP0000216038</v>
      </c>
      <c r="D22935">
        <v>75.53</v>
      </c>
      <c r="E22935">
        <v>94</v>
      </c>
      <c r="F22935">
        <v>23</v>
      </c>
      <c r="G22935">
        <v>1</v>
      </c>
      <c r="H22935">
        <v>3</v>
      </c>
      <c r="I22935">
        <v>96</v>
      </c>
      <c r="J22935">
        <v>1</v>
      </c>
      <c r="K22935">
        <v>2</v>
      </c>
      <c r="L22935">
        <v>94</v>
      </c>
      <c r="M22935">
        <v>1</v>
      </c>
      <c r="N22935">
        <v>1.32957E-37</v>
      </c>
      <c r="O22935">
        <v>382</v>
      </c>
    </row>
    <row r="22936" spans="1:15" x14ac:dyDescent="0.25">
      <c r="A22936" t="s">
        <v>22949</v>
      </c>
      <c r="B22936">
        <v>112</v>
      </c>
      <c r="C22936" s="1" t="str">
        <f>HYPERLINK("http://www.rosaceae.org/gb/gbrowse/malus_x_domestica/?name=MDP0000263016","MDP0000263016")</f>
        <v>MDP0000263016</v>
      </c>
      <c r="D22936">
        <v>83.16</v>
      </c>
      <c r="E22936">
        <v>101</v>
      </c>
      <c r="F22936">
        <v>17</v>
      </c>
      <c r="G22936">
        <v>0</v>
      </c>
      <c r="H22936">
        <v>1</v>
      </c>
      <c r="I22936">
        <v>101</v>
      </c>
      <c r="J22936">
        <v>1</v>
      </c>
      <c r="K22936">
        <v>266</v>
      </c>
      <c r="L22936">
        <v>366</v>
      </c>
      <c r="M22936">
        <v>1</v>
      </c>
      <c r="N22936">
        <v>3.95934E-47</v>
      </c>
      <c r="O22936">
        <v>464</v>
      </c>
    </row>
    <row r="22937" spans="1:15" x14ac:dyDescent="0.25">
      <c r="A22937" t="s">
        <v>22950</v>
      </c>
      <c r="B22937">
        <v>539</v>
      </c>
      <c r="C22937" s="1" t="str">
        <f>HYPERLINK("http://www.rosaceae.org/gb/gbrowse/malus_x_domestica/?name=MDP0000189249","MDP0000189249")</f>
        <v>MDP0000189249</v>
      </c>
      <c r="D22937">
        <v>68.95</v>
      </c>
      <c r="E22937">
        <v>583</v>
      </c>
      <c r="F22937">
        <v>181</v>
      </c>
      <c r="G22937">
        <v>51</v>
      </c>
      <c r="H22937">
        <v>1</v>
      </c>
      <c r="I22937">
        <v>539</v>
      </c>
      <c r="J22937">
        <v>1</v>
      </c>
      <c r="K22937">
        <v>1</v>
      </c>
      <c r="L22937">
        <v>576</v>
      </c>
      <c r="M22937">
        <v>1</v>
      </c>
      <c r="N22937">
        <v>0</v>
      </c>
      <c r="O22937">
        <v>2071</v>
      </c>
    </row>
    <row r="22938" spans="1:15" x14ac:dyDescent="0.25">
      <c r="A22938" t="s">
        <v>22951</v>
      </c>
      <c r="B22938">
        <v>441</v>
      </c>
      <c r="C22938" s="1" t="str">
        <f>HYPERLINK("http://www.rosaceae.org/gb/gbrowse/malus_x_domestica/?name=MDP0000298087","MDP0000298087")</f>
        <v>MDP0000298087</v>
      </c>
      <c r="D22938">
        <v>51.29</v>
      </c>
      <c r="E22938">
        <v>154</v>
      </c>
      <c r="F22938">
        <v>75</v>
      </c>
      <c r="G22938">
        <v>35</v>
      </c>
      <c r="H22938">
        <v>220</v>
      </c>
      <c r="I22938">
        <v>364</v>
      </c>
      <c r="J22938">
        <v>1</v>
      </c>
      <c r="K22938">
        <v>13</v>
      </c>
      <c r="L22938">
        <v>140</v>
      </c>
      <c r="M22938">
        <v>1</v>
      </c>
      <c r="N22938">
        <v>5.7772600000000002E-24</v>
      </c>
      <c r="O22938">
        <v>273</v>
      </c>
    </row>
    <row r="22939" spans="1:15" x14ac:dyDescent="0.25">
      <c r="A22939" t="s">
        <v>22952</v>
      </c>
      <c r="B22939">
        <v>543</v>
      </c>
      <c r="C22939" s="1" t="str">
        <f>HYPERLINK("http://www.rosaceae.org/gb/gbrowse/malus_x_domestica/?name=MDP0000232001","MDP0000232001")</f>
        <v>MDP0000232001</v>
      </c>
      <c r="D22939">
        <v>89.4</v>
      </c>
      <c r="E22939">
        <v>472</v>
      </c>
      <c r="F22939">
        <v>50</v>
      </c>
      <c r="G22939">
        <v>12</v>
      </c>
      <c r="H22939">
        <v>82</v>
      </c>
      <c r="I22939">
        <v>541</v>
      </c>
      <c r="J22939">
        <v>1</v>
      </c>
      <c r="K22939">
        <v>81</v>
      </c>
      <c r="L22939">
        <v>552</v>
      </c>
      <c r="M22939">
        <v>1</v>
      </c>
      <c r="N22939">
        <v>0</v>
      </c>
      <c r="O22939">
        <v>2246</v>
      </c>
    </row>
    <row r="22940" spans="1:15" x14ac:dyDescent="0.25">
      <c r="A22940" t="s">
        <v>22953</v>
      </c>
      <c r="B22940">
        <v>253</v>
      </c>
      <c r="C22940" s="1" t="str">
        <f>HYPERLINK("http://www.rosaceae.org/gb/gbrowse/malus_x_domestica/?name=MDP0000930939","MDP0000930939")</f>
        <v>MDP0000930939</v>
      </c>
      <c r="D22940">
        <v>76.67</v>
      </c>
      <c r="E22940">
        <v>253</v>
      </c>
      <c r="F22940">
        <v>59</v>
      </c>
      <c r="G22940">
        <v>3</v>
      </c>
      <c r="H22940">
        <v>1</v>
      </c>
      <c r="I22940">
        <v>253</v>
      </c>
      <c r="J22940">
        <v>1</v>
      </c>
      <c r="K22940">
        <v>1</v>
      </c>
      <c r="L22940">
        <v>250</v>
      </c>
      <c r="M22940">
        <v>1</v>
      </c>
      <c r="N22940">
        <v>1.35654E-110</v>
      </c>
      <c r="O22940">
        <v>1017</v>
      </c>
    </row>
    <row r="22941" spans="1:15" x14ac:dyDescent="0.25">
      <c r="A22941" t="s">
        <v>22954</v>
      </c>
      <c r="B22941">
        <v>978</v>
      </c>
      <c r="C22941" s="1" t="str">
        <f>HYPERLINK("http://www.rosaceae.org/gb/gbrowse/malus_x_domestica/?name=MDP0000307409","MDP0000307409")</f>
        <v>MDP0000307409</v>
      </c>
      <c r="D22941">
        <v>47.35</v>
      </c>
      <c r="E22941">
        <v>568</v>
      </c>
      <c r="F22941">
        <v>299</v>
      </c>
      <c r="G22941">
        <v>83</v>
      </c>
      <c r="H22941">
        <v>116</v>
      </c>
      <c r="I22941">
        <v>613</v>
      </c>
      <c r="J22941">
        <v>1</v>
      </c>
      <c r="K22941">
        <v>36</v>
      </c>
      <c r="L22941">
        <v>590</v>
      </c>
      <c r="M22941">
        <v>1</v>
      </c>
      <c r="N22941">
        <v>1.5938499999999999E-129</v>
      </c>
      <c r="O22941">
        <v>1186</v>
      </c>
    </row>
    <row r="22942" spans="1:15" x14ac:dyDescent="0.25">
      <c r="A22942" t="s">
        <v>22955</v>
      </c>
      <c r="B22942">
        <v>267</v>
      </c>
      <c r="C22942" s="1" t="str">
        <f>HYPERLINK("http://www.rosaceae.org/gb/gbrowse/malus_x_domestica/?name=MDP0000286006","MDP0000286006")</f>
        <v>MDP0000286006</v>
      </c>
      <c r="D22942">
        <v>24.19</v>
      </c>
      <c r="E22942">
        <v>310</v>
      </c>
      <c r="F22942">
        <v>235</v>
      </c>
      <c r="G22942">
        <v>74</v>
      </c>
      <c r="H22942">
        <v>9</v>
      </c>
      <c r="I22942">
        <v>263</v>
      </c>
      <c r="J22942">
        <v>1</v>
      </c>
      <c r="K22942">
        <v>3</v>
      </c>
      <c r="L22942">
        <v>293</v>
      </c>
      <c r="M22942">
        <v>1</v>
      </c>
      <c r="N22942">
        <v>4.6572099999999998E-11</v>
      </c>
      <c r="O22942">
        <v>159</v>
      </c>
    </row>
    <row r="22943" spans="1:15" x14ac:dyDescent="0.25">
      <c r="A22943" t="s">
        <v>22956</v>
      </c>
      <c r="B22943">
        <v>468</v>
      </c>
      <c r="C22943" s="1" t="str">
        <f>HYPERLINK("http://www.rosaceae.org/gb/gbrowse/malus_x_domestica/?name=MDP0000391495","MDP0000391495")</f>
        <v>MDP0000391495</v>
      </c>
      <c r="D22943">
        <v>50.57</v>
      </c>
      <c r="E22943">
        <v>526</v>
      </c>
      <c r="F22943">
        <v>260</v>
      </c>
      <c r="G22943">
        <v>128</v>
      </c>
      <c r="H22943">
        <v>1</v>
      </c>
      <c r="I22943">
        <v>468</v>
      </c>
      <c r="J22943">
        <v>1</v>
      </c>
      <c r="K22943">
        <v>1</v>
      </c>
      <c r="L22943">
        <v>456</v>
      </c>
      <c r="M22943">
        <v>1</v>
      </c>
      <c r="N22943">
        <v>3.39035E-116</v>
      </c>
      <c r="O22943">
        <v>1068</v>
      </c>
    </row>
    <row r="22944" spans="1:15" x14ac:dyDescent="0.25">
      <c r="A22944" t="s">
        <v>22957</v>
      </c>
      <c r="B22944">
        <v>521</v>
      </c>
      <c r="C22944" s="1" t="str">
        <f>HYPERLINK("http://www.rosaceae.org/gb/gbrowse/malus_x_domestica/?name=MDP0000438056","MDP0000438056")</f>
        <v>MDP0000438056</v>
      </c>
      <c r="D22944">
        <v>43.31</v>
      </c>
      <c r="E22944">
        <v>464</v>
      </c>
      <c r="F22944">
        <v>263</v>
      </c>
      <c r="G22944">
        <v>51</v>
      </c>
      <c r="H22944">
        <v>1</v>
      </c>
      <c r="I22944">
        <v>417</v>
      </c>
      <c r="J22944">
        <v>1</v>
      </c>
      <c r="K22944">
        <v>1</v>
      </c>
      <c r="L22944">
        <v>460</v>
      </c>
      <c r="M22944">
        <v>1</v>
      </c>
      <c r="N22944">
        <v>1.47818E-92</v>
      </c>
      <c r="O22944">
        <v>865</v>
      </c>
    </row>
    <row r="22945" spans="1:15" x14ac:dyDescent="0.25">
      <c r="A22945" t="s">
        <v>22958</v>
      </c>
      <c r="B22945">
        <v>715</v>
      </c>
      <c r="C22945" s="1" t="str">
        <f>HYPERLINK("http://www.rosaceae.org/gb/gbrowse/malus_x_domestica/?name=MDP0000233409","MDP0000233409")</f>
        <v>MDP0000233409</v>
      </c>
      <c r="D22945">
        <v>67.010000000000005</v>
      </c>
      <c r="E22945">
        <v>385</v>
      </c>
      <c r="F22945">
        <v>127</v>
      </c>
      <c r="G22945">
        <v>39</v>
      </c>
      <c r="H22945">
        <v>330</v>
      </c>
      <c r="I22945">
        <v>701</v>
      </c>
      <c r="J22945">
        <v>1</v>
      </c>
      <c r="K22945">
        <v>622</v>
      </c>
      <c r="L22945">
        <v>980</v>
      </c>
      <c r="M22945">
        <v>1</v>
      </c>
      <c r="N22945">
        <v>1.0281499999999999E-141</v>
      </c>
      <c r="O22945">
        <v>1290</v>
      </c>
    </row>
    <row r="22946" spans="1:15" x14ac:dyDescent="0.25">
      <c r="A22946" t="s">
        <v>22959</v>
      </c>
      <c r="B22946">
        <v>312</v>
      </c>
      <c r="C22946" s="1" t="str">
        <f>HYPERLINK("http://www.rosaceae.org/gb/gbrowse/malus_x_domestica/?name=MDP0000165802","MDP0000165802")</f>
        <v>MDP0000165802</v>
      </c>
      <c r="D22946">
        <v>33.57</v>
      </c>
      <c r="E22946">
        <v>271</v>
      </c>
      <c r="F22946">
        <v>180</v>
      </c>
      <c r="G22946">
        <v>65</v>
      </c>
      <c r="H22946">
        <v>9</v>
      </c>
      <c r="I22946">
        <v>223</v>
      </c>
      <c r="J22946">
        <v>1</v>
      </c>
      <c r="K22946">
        <v>458</v>
      </c>
      <c r="L22946">
        <v>719</v>
      </c>
      <c r="M22946">
        <v>1</v>
      </c>
      <c r="N22946">
        <v>8.1023700000000003E-26</v>
      </c>
      <c r="O22946">
        <v>287</v>
      </c>
    </row>
    <row r="22947" spans="1:15" x14ac:dyDescent="0.25">
      <c r="A22947" t="s">
        <v>22960</v>
      </c>
      <c r="B22947">
        <v>768</v>
      </c>
      <c r="C22947" s="1" t="str">
        <f>HYPERLINK("http://www.rosaceae.org/gb/gbrowse/malus_x_domestica/?name=MDP0000239826","MDP0000239826")</f>
        <v>MDP0000239826</v>
      </c>
      <c r="D22947">
        <v>32.479999999999997</v>
      </c>
      <c r="E22947">
        <v>274</v>
      </c>
      <c r="F22947">
        <v>185</v>
      </c>
      <c r="G22947">
        <v>2</v>
      </c>
      <c r="H22947">
        <v>420</v>
      </c>
      <c r="I22947">
        <v>691</v>
      </c>
      <c r="J22947">
        <v>1</v>
      </c>
      <c r="K22947">
        <v>191</v>
      </c>
      <c r="L22947">
        <v>464</v>
      </c>
      <c r="M22947">
        <v>1</v>
      </c>
      <c r="N22947">
        <v>4.7105000000000002E-45</v>
      </c>
      <c r="O22947">
        <v>457</v>
      </c>
    </row>
    <row r="22948" spans="1:15" x14ac:dyDescent="0.25">
      <c r="A22948" t="s">
        <v>22961</v>
      </c>
      <c r="B22948">
        <v>818</v>
      </c>
      <c r="C22948" s="1" t="str">
        <f>HYPERLINK("http://www.rosaceae.org/gb/gbrowse/malus_x_domestica/?name=MDP0000129248","MDP0000129248")</f>
        <v>MDP0000129248</v>
      </c>
      <c r="D22948">
        <v>78.760000000000005</v>
      </c>
      <c r="E22948">
        <v>824</v>
      </c>
      <c r="F22948">
        <v>175</v>
      </c>
      <c r="G22948">
        <v>8</v>
      </c>
      <c r="H22948">
        <v>1</v>
      </c>
      <c r="I22948">
        <v>818</v>
      </c>
      <c r="J22948">
        <v>1</v>
      </c>
      <c r="K22948">
        <v>1</v>
      </c>
      <c r="L22948">
        <v>822</v>
      </c>
      <c r="M22948">
        <v>1</v>
      </c>
      <c r="N22948">
        <v>0</v>
      </c>
      <c r="O22948">
        <v>3440</v>
      </c>
    </row>
    <row r="22949" spans="1:15" x14ac:dyDescent="0.25">
      <c r="A22949" t="s">
        <v>22962</v>
      </c>
      <c r="B22949">
        <v>436</v>
      </c>
      <c r="C22949" s="1" t="str">
        <f>HYPERLINK("http://www.rosaceae.org/gb/gbrowse/malus_x_domestica/?name=MDP0000203851","MDP0000203851")</f>
        <v>MDP0000203851</v>
      </c>
      <c r="D22949">
        <v>61.86</v>
      </c>
      <c r="E22949">
        <v>236</v>
      </c>
      <c r="F22949">
        <v>90</v>
      </c>
      <c r="G22949">
        <v>0</v>
      </c>
      <c r="H22949">
        <v>180</v>
      </c>
      <c r="I22949">
        <v>415</v>
      </c>
      <c r="J22949">
        <v>1</v>
      </c>
      <c r="K22949">
        <v>144</v>
      </c>
      <c r="L22949">
        <v>379</v>
      </c>
      <c r="M22949">
        <v>1</v>
      </c>
      <c r="N22949">
        <v>1.3406099999999999E-84</v>
      </c>
      <c r="O22949">
        <v>795</v>
      </c>
    </row>
    <row r="22950" spans="1:15" x14ac:dyDescent="0.25">
      <c r="A22950" t="s">
        <v>22963</v>
      </c>
      <c r="B22950">
        <v>499</v>
      </c>
      <c r="C22950" s="1" t="str">
        <f>HYPERLINK("http://www.rosaceae.org/gb/gbrowse/malus_x_domestica/?name=MDP0000840031","MDP0000840031")</f>
        <v>MDP0000840031</v>
      </c>
      <c r="D22950">
        <v>78</v>
      </c>
      <c r="E22950">
        <v>491</v>
      </c>
      <c r="F22950">
        <v>108</v>
      </c>
      <c r="G22950">
        <v>7</v>
      </c>
      <c r="H22950">
        <v>3</v>
      </c>
      <c r="I22950">
        <v>486</v>
      </c>
      <c r="J22950">
        <v>1</v>
      </c>
      <c r="K22950">
        <v>2</v>
      </c>
      <c r="L22950">
        <v>492</v>
      </c>
      <c r="M22950">
        <v>1</v>
      </c>
      <c r="N22950">
        <v>0</v>
      </c>
      <c r="O22950">
        <v>1992</v>
      </c>
    </row>
    <row r="22951" spans="1:15" x14ac:dyDescent="0.25">
      <c r="A22951" t="s">
        <v>22964</v>
      </c>
      <c r="B22951">
        <v>544</v>
      </c>
      <c r="C22951" s="1" t="str">
        <f>HYPERLINK("http://www.rosaceae.org/gb/gbrowse/malus_x_domestica/?name=MDP0000648216","MDP0000648216")</f>
        <v>MDP0000648216</v>
      </c>
      <c r="D22951">
        <v>40.94</v>
      </c>
      <c r="E22951">
        <v>337</v>
      </c>
      <c r="F22951">
        <v>199</v>
      </c>
      <c r="G22951">
        <v>52</v>
      </c>
      <c r="H22951">
        <v>140</v>
      </c>
      <c r="I22951">
        <v>444</v>
      </c>
      <c r="J22951">
        <v>1</v>
      </c>
      <c r="K22951">
        <v>1</v>
      </c>
      <c r="L22951">
        <v>317</v>
      </c>
      <c r="M22951">
        <v>1</v>
      </c>
      <c r="N22951">
        <v>1.11775E-63</v>
      </c>
      <c r="O22951">
        <v>616</v>
      </c>
    </row>
    <row r="22952" spans="1:15" x14ac:dyDescent="0.25">
      <c r="A22952" t="s">
        <v>22965</v>
      </c>
      <c r="B22952">
        <v>636</v>
      </c>
      <c r="C22952" s="1" t="str">
        <f>HYPERLINK("http://www.rosaceae.org/gb/gbrowse/malus_x_domestica/?name=MDP0000622972","MDP0000622972")</f>
        <v>MDP0000622972</v>
      </c>
      <c r="D22952">
        <v>88.97</v>
      </c>
      <c r="E22952">
        <v>635</v>
      </c>
      <c r="F22952">
        <v>70</v>
      </c>
      <c r="G22952">
        <v>0</v>
      </c>
      <c r="H22952">
        <v>2</v>
      </c>
      <c r="I22952">
        <v>636</v>
      </c>
      <c r="J22952">
        <v>1</v>
      </c>
      <c r="K22952">
        <v>3</v>
      </c>
      <c r="L22952">
        <v>637</v>
      </c>
      <c r="M22952">
        <v>1</v>
      </c>
      <c r="N22952">
        <v>0</v>
      </c>
      <c r="O22952">
        <v>2971</v>
      </c>
    </row>
    <row r="22953" spans="1:15" x14ac:dyDescent="0.25">
      <c r="A22953" t="s">
        <v>22966</v>
      </c>
      <c r="B22953">
        <v>119</v>
      </c>
      <c r="C22953" s="1" t="str">
        <f>HYPERLINK("http://www.rosaceae.org/gb/gbrowse/malus_x_domestica/?name=MDP0000791177","MDP0000791177")</f>
        <v>MDP0000791177</v>
      </c>
      <c r="D22953">
        <v>86.44</v>
      </c>
      <c r="E22953">
        <v>118</v>
      </c>
      <c r="F22953">
        <v>16</v>
      </c>
      <c r="G22953">
        <v>1</v>
      </c>
      <c r="H22953">
        <v>1</v>
      </c>
      <c r="I22953">
        <v>118</v>
      </c>
      <c r="J22953">
        <v>1</v>
      </c>
      <c r="K22953">
        <v>1</v>
      </c>
      <c r="L22953">
        <v>117</v>
      </c>
      <c r="M22953">
        <v>1</v>
      </c>
      <c r="N22953">
        <v>3.3198499999999999E-53</v>
      </c>
      <c r="O22953">
        <v>516</v>
      </c>
    </row>
    <row r="22954" spans="1:15" x14ac:dyDescent="0.25">
      <c r="A22954" t="s">
        <v>22967</v>
      </c>
      <c r="B22954">
        <v>129</v>
      </c>
      <c r="C22954" s="1" t="str">
        <f>HYPERLINK("http://www.rosaceae.org/gb/gbrowse/malus_x_domestica/?name=MDP0000607943","MDP0000607943")</f>
        <v>MDP0000607943</v>
      </c>
      <c r="D22954">
        <v>40</v>
      </c>
      <c r="E22954">
        <v>105</v>
      </c>
      <c r="F22954">
        <v>63</v>
      </c>
      <c r="G22954">
        <v>5</v>
      </c>
      <c r="H22954">
        <v>26</v>
      </c>
      <c r="I22954">
        <v>129</v>
      </c>
      <c r="J22954">
        <v>1</v>
      </c>
      <c r="K22954">
        <v>331</v>
      </c>
      <c r="L22954">
        <v>431</v>
      </c>
      <c r="M22954">
        <v>1</v>
      </c>
      <c r="N22954">
        <v>3.1364900000000001E-16</v>
      </c>
      <c r="O22954">
        <v>198</v>
      </c>
    </row>
    <row r="22955" spans="1:15" x14ac:dyDescent="0.25">
      <c r="A22955" t="s">
        <v>22968</v>
      </c>
      <c r="B22955">
        <v>1283</v>
      </c>
      <c r="C22955" s="1" t="str">
        <f>HYPERLINK("http://www.rosaceae.org/gb/gbrowse/malus_x_domestica/?name=MDP0000672726","MDP0000672726")</f>
        <v>MDP0000672726</v>
      </c>
      <c r="D22955">
        <v>70.3</v>
      </c>
      <c r="E22955">
        <v>623</v>
      </c>
      <c r="F22955">
        <v>185</v>
      </c>
      <c r="G22955">
        <v>9</v>
      </c>
      <c r="H22955">
        <v>1</v>
      </c>
      <c r="I22955">
        <v>618</v>
      </c>
      <c r="J22955">
        <v>1</v>
      </c>
      <c r="K22955">
        <v>1</v>
      </c>
      <c r="L22955">
        <v>619</v>
      </c>
      <c r="M22955">
        <v>1</v>
      </c>
      <c r="N22955">
        <v>0</v>
      </c>
      <c r="O22955">
        <v>2322</v>
      </c>
    </row>
    <row r="22956" spans="1:15" x14ac:dyDescent="0.25">
      <c r="A22956" t="s">
        <v>22969</v>
      </c>
      <c r="B22956">
        <v>419</v>
      </c>
      <c r="C22956" s="1" t="str">
        <f>HYPERLINK("http://www.rosaceae.org/gb/gbrowse/malus_x_domestica/?name=MDP0000285103","MDP0000285103")</f>
        <v>MDP0000285103</v>
      </c>
      <c r="D22956">
        <v>42.71</v>
      </c>
      <c r="E22956">
        <v>398</v>
      </c>
      <c r="F22956">
        <v>228</v>
      </c>
      <c r="G22956">
        <v>48</v>
      </c>
      <c r="H22956">
        <v>11</v>
      </c>
      <c r="I22956">
        <v>393</v>
      </c>
      <c r="J22956">
        <v>1</v>
      </c>
      <c r="K22956">
        <v>12</v>
      </c>
      <c r="L22956">
        <v>376</v>
      </c>
      <c r="M22956">
        <v>1</v>
      </c>
      <c r="N22956">
        <v>7.80821E-69</v>
      </c>
      <c r="O22956">
        <v>659</v>
      </c>
    </row>
    <row r="22957" spans="1:15" x14ac:dyDescent="0.25">
      <c r="A22957" t="s">
        <v>22970</v>
      </c>
      <c r="B22957">
        <v>504</v>
      </c>
      <c r="C22957" s="1" t="str">
        <f>HYPERLINK("http://www.rosaceae.org/gb/gbrowse/malus_x_domestica/?name=MDP0000835140","MDP0000835140")</f>
        <v>MDP0000835140</v>
      </c>
      <c r="D22957">
        <v>66.06</v>
      </c>
      <c r="E22957">
        <v>495</v>
      </c>
      <c r="F22957">
        <v>168</v>
      </c>
      <c r="G22957">
        <v>13</v>
      </c>
      <c r="H22957">
        <v>20</v>
      </c>
      <c r="I22957">
        <v>502</v>
      </c>
      <c r="J22957">
        <v>1</v>
      </c>
      <c r="K22957">
        <v>20</v>
      </c>
      <c r="L22957">
        <v>513</v>
      </c>
      <c r="M22957">
        <v>1</v>
      </c>
      <c r="N22957">
        <v>0</v>
      </c>
      <c r="O22957">
        <v>1758</v>
      </c>
    </row>
    <row r="22958" spans="1:15" x14ac:dyDescent="0.25">
      <c r="A22958" t="s">
        <v>22971</v>
      </c>
      <c r="B22958">
        <v>818</v>
      </c>
      <c r="C22958" s="1" t="str">
        <f>HYPERLINK("http://www.rosaceae.org/gb/gbrowse/malus_x_domestica/?name=MDP0000275959","MDP0000275959")</f>
        <v>MDP0000275959</v>
      </c>
      <c r="D22958">
        <v>55.52</v>
      </c>
      <c r="E22958">
        <v>823</v>
      </c>
      <c r="F22958">
        <v>366</v>
      </c>
      <c r="G22958">
        <v>67</v>
      </c>
      <c r="H22958">
        <v>19</v>
      </c>
      <c r="I22958">
        <v>818</v>
      </c>
      <c r="J22958">
        <v>1</v>
      </c>
      <c r="K22958">
        <v>25</v>
      </c>
      <c r="L22958">
        <v>803</v>
      </c>
      <c r="M22958">
        <v>1</v>
      </c>
      <c r="N22958">
        <v>0</v>
      </c>
      <c r="O22958">
        <v>2005</v>
      </c>
    </row>
    <row r="22959" spans="1:15" x14ac:dyDescent="0.25">
      <c r="A22959" t="s">
        <v>22972</v>
      </c>
      <c r="B22959">
        <v>408</v>
      </c>
      <c r="C22959" s="1" t="str">
        <f>HYPERLINK("http://www.rosaceae.org/gb/gbrowse/malus_x_domestica/?name=MDP0000308222","MDP0000308222")</f>
        <v>MDP0000308222</v>
      </c>
      <c r="D22959">
        <v>27.67</v>
      </c>
      <c r="E22959">
        <v>224</v>
      </c>
      <c r="F22959">
        <v>162</v>
      </c>
      <c r="G22959">
        <v>41</v>
      </c>
      <c r="H22959">
        <v>206</v>
      </c>
      <c r="I22959">
        <v>407</v>
      </c>
      <c r="J22959">
        <v>1</v>
      </c>
      <c r="K22959">
        <v>238</v>
      </c>
      <c r="L22959">
        <v>442</v>
      </c>
      <c r="M22959">
        <v>1</v>
      </c>
      <c r="N22959">
        <v>2.7708299999999999E-8</v>
      </c>
      <c r="O22959">
        <v>137</v>
      </c>
    </row>
    <row r="22960" spans="1:15" x14ac:dyDescent="0.25">
      <c r="A22960" t="s">
        <v>22973</v>
      </c>
      <c r="B22960">
        <v>629</v>
      </c>
      <c r="C22960" s="1" t="str">
        <f>HYPERLINK("http://www.rosaceae.org/gb/gbrowse/malus_x_domestica/?name=MDP0000320084","MDP0000320084")</f>
        <v>MDP0000320084</v>
      </c>
      <c r="D22960">
        <v>42.94</v>
      </c>
      <c r="E22960">
        <v>312</v>
      </c>
      <c r="F22960">
        <v>178</v>
      </c>
      <c r="G22960">
        <v>49</v>
      </c>
      <c r="H22960">
        <v>102</v>
      </c>
      <c r="I22960">
        <v>406</v>
      </c>
      <c r="J22960">
        <v>1</v>
      </c>
      <c r="K22960">
        <v>302</v>
      </c>
      <c r="L22960">
        <v>571</v>
      </c>
      <c r="M22960">
        <v>1</v>
      </c>
      <c r="N22960">
        <v>5.7841500000000002E-62</v>
      </c>
      <c r="O22960">
        <v>602</v>
      </c>
    </row>
    <row r="22961" spans="1:15" x14ac:dyDescent="0.25">
      <c r="A22961" t="s">
        <v>22974</v>
      </c>
      <c r="B22961">
        <v>160</v>
      </c>
      <c r="C22961" s="1" t="str">
        <f>HYPERLINK("http://www.rosaceae.org/gb/gbrowse/malus_x_domestica/?name=MDP0000309136","MDP0000309136")</f>
        <v>MDP0000309136</v>
      </c>
      <c r="D22961">
        <v>77.41</v>
      </c>
      <c r="E22961">
        <v>31</v>
      </c>
      <c r="F22961">
        <v>7</v>
      </c>
      <c r="G22961">
        <v>0</v>
      </c>
      <c r="H22961">
        <v>45</v>
      </c>
      <c r="I22961">
        <v>75</v>
      </c>
      <c r="J22961">
        <v>1</v>
      </c>
      <c r="K22961">
        <v>349</v>
      </c>
      <c r="L22961">
        <v>379</v>
      </c>
      <c r="M22961">
        <v>1</v>
      </c>
      <c r="N22961">
        <v>1.88433E-7</v>
      </c>
      <c r="O22961">
        <v>124</v>
      </c>
    </row>
    <row r="22962" spans="1:15" x14ac:dyDescent="0.25">
      <c r="A22962" t="s">
        <v>22975</v>
      </c>
      <c r="B22962">
        <v>201</v>
      </c>
      <c r="C22962" s="1" t="str">
        <f>HYPERLINK("http://www.rosaceae.org/gb/gbrowse/malus_x_domestica/?name=MDP0000268221","MDP0000268221")</f>
        <v>MDP0000268221</v>
      </c>
      <c r="D22962">
        <v>77.430000000000007</v>
      </c>
      <c r="E22962">
        <v>195</v>
      </c>
      <c r="F22962">
        <v>44</v>
      </c>
      <c r="G22962">
        <v>0</v>
      </c>
      <c r="H22962">
        <v>6</v>
      </c>
      <c r="I22962">
        <v>200</v>
      </c>
      <c r="J22962">
        <v>1</v>
      </c>
      <c r="K22962">
        <v>145</v>
      </c>
      <c r="L22962">
        <v>339</v>
      </c>
      <c r="M22962">
        <v>1</v>
      </c>
      <c r="N22962">
        <v>9.9130700000000008E-90</v>
      </c>
      <c r="O22962">
        <v>835</v>
      </c>
    </row>
    <row r="22963" spans="1:15" x14ac:dyDescent="0.25">
      <c r="A22963" t="s">
        <v>22976</v>
      </c>
      <c r="B22963">
        <v>493</v>
      </c>
      <c r="C22963" s="1" t="str">
        <f>HYPERLINK("http://www.rosaceae.org/gb/gbrowse/malus_x_domestica/?name=MDP0000818140","MDP0000818140")</f>
        <v>MDP0000818140</v>
      </c>
      <c r="D22963">
        <v>60.53</v>
      </c>
      <c r="E22963">
        <v>484</v>
      </c>
      <c r="F22963">
        <v>191</v>
      </c>
      <c r="G22963">
        <v>23</v>
      </c>
      <c r="H22963">
        <v>4</v>
      </c>
      <c r="I22963">
        <v>484</v>
      </c>
      <c r="J22963">
        <v>1</v>
      </c>
      <c r="K22963">
        <v>3</v>
      </c>
      <c r="L22963">
        <v>466</v>
      </c>
      <c r="M22963">
        <v>1</v>
      </c>
      <c r="N22963">
        <v>6.0038099999999999E-167</v>
      </c>
      <c r="O22963">
        <v>1506</v>
      </c>
    </row>
    <row r="22964" spans="1:15" x14ac:dyDescent="0.25">
      <c r="A22964" t="s">
        <v>22977</v>
      </c>
      <c r="B22964">
        <v>262</v>
      </c>
      <c r="C22964" s="1" t="str">
        <f>HYPERLINK("http://www.rosaceae.org/gb/gbrowse/malus_x_domestica/?name=MDP0000249969","MDP0000249969")</f>
        <v>MDP0000249969</v>
      </c>
      <c r="D22964">
        <v>69.510000000000005</v>
      </c>
      <c r="E22964">
        <v>269</v>
      </c>
      <c r="F22964">
        <v>82</v>
      </c>
      <c r="G22964">
        <v>8</v>
      </c>
      <c r="H22964">
        <v>1</v>
      </c>
      <c r="I22964">
        <v>262</v>
      </c>
      <c r="J22964">
        <v>1</v>
      </c>
      <c r="K22964">
        <v>1</v>
      </c>
      <c r="L22964">
        <v>268</v>
      </c>
      <c r="M22964">
        <v>1</v>
      </c>
      <c r="N22964">
        <v>1.00835E-94</v>
      </c>
      <c r="O22964">
        <v>880</v>
      </c>
    </row>
    <row r="22965" spans="1:15" x14ac:dyDescent="0.25">
      <c r="A22965" t="s">
        <v>22978</v>
      </c>
      <c r="B22965">
        <v>533</v>
      </c>
      <c r="C22965" s="1" t="str">
        <f>HYPERLINK("http://www.rosaceae.org/gb/gbrowse/malus_x_domestica/?name=MDP0000717000","MDP0000717000")</f>
        <v>MDP0000717000</v>
      </c>
      <c r="D22965">
        <v>80.709999999999994</v>
      </c>
      <c r="E22965">
        <v>534</v>
      </c>
      <c r="F22965">
        <v>103</v>
      </c>
      <c r="G22965">
        <v>1</v>
      </c>
      <c r="H22965">
        <v>1</v>
      </c>
      <c r="I22965">
        <v>533</v>
      </c>
      <c r="J22965">
        <v>1</v>
      </c>
      <c r="K22965">
        <v>1</v>
      </c>
      <c r="L22965">
        <v>534</v>
      </c>
      <c r="M22965">
        <v>1</v>
      </c>
      <c r="N22965">
        <v>0</v>
      </c>
      <c r="O22965">
        <v>2402</v>
      </c>
    </row>
    <row r="22966" spans="1:15" x14ac:dyDescent="0.25">
      <c r="A22966" t="s">
        <v>22979</v>
      </c>
      <c r="B22966">
        <v>181</v>
      </c>
      <c r="C22966" s="1" t="str">
        <f>HYPERLINK("http://www.rosaceae.org/gb/gbrowse/malus_x_domestica/?name=MDP0000791959","MDP0000791959")</f>
        <v>MDP0000791959</v>
      </c>
      <c r="D22966">
        <v>60.33</v>
      </c>
      <c r="E22966">
        <v>179</v>
      </c>
      <c r="F22966">
        <v>71</v>
      </c>
      <c r="G22966">
        <v>1</v>
      </c>
      <c r="H22966">
        <v>1</v>
      </c>
      <c r="I22966">
        <v>178</v>
      </c>
      <c r="J22966">
        <v>1</v>
      </c>
      <c r="K22966">
        <v>1</v>
      </c>
      <c r="L22966">
        <v>179</v>
      </c>
      <c r="M22966">
        <v>1</v>
      </c>
      <c r="N22966">
        <v>6.0090600000000002E-61</v>
      </c>
      <c r="O22966">
        <v>586</v>
      </c>
    </row>
    <row r="22967" spans="1:15" x14ac:dyDescent="0.25">
      <c r="A22967" t="s">
        <v>22980</v>
      </c>
      <c r="B22967">
        <v>420</v>
      </c>
      <c r="C22967" s="1" t="str">
        <f>HYPERLINK("http://www.rosaceae.org/gb/gbrowse/malus_x_domestica/?name=MDP0000067245","MDP0000067245")</f>
        <v>MDP0000067245</v>
      </c>
      <c r="D22967">
        <v>70.73</v>
      </c>
      <c r="E22967">
        <v>410</v>
      </c>
      <c r="F22967">
        <v>120</v>
      </c>
      <c r="G22967">
        <v>12</v>
      </c>
      <c r="H22967">
        <v>14</v>
      </c>
      <c r="I22967">
        <v>417</v>
      </c>
      <c r="J22967">
        <v>1</v>
      </c>
      <c r="K22967">
        <v>1</v>
      </c>
      <c r="L22967">
        <v>404</v>
      </c>
      <c r="M22967">
        <v>1</v>
      </c>
      <c r="N22967">
        <v>9.3769800000000005E-168</v>
      </c>
      <c r="O22967">
        <v>1512</v>
      </c>
    </row>
    <row r="22968" spans="1:15" x14ac:dyDescent="0.25">
      <c r="A22968" t="s">
        <v>22981</v>
      </c>
      <c r="B22968">
        <v>411</v>
      </c>
      <c r="C22968" s="1" t="str">
        <f>HYPERLINK("http://www.rosaceae.org/gb/gbrowse/malus_x_domestica/?name=MDP0000902285","MDP0000902285")</f>
        <v>MDP0000902285</v>
      </c>
      <c r="D22968">
        <v>66.14</v>
      </c>
      <c r="E22968">
        <v>387</v>
      </c>
      <c r="F22968">
        <v>131</v>
      </c>
      <c r="G22968">
        <v>21</v>
      </c>
      <c r="H22968">
        <v>26</v>
      </c>
      <c r="I22968">
        <v>411</v>
      </c>
      <c r="J22968">
        <v>1</v>
      </c>
      <c r="K22968">
        <v>28</v>
      </c>
      <c r="L22968">
        <v>394</v>
      </c>
      <c r="M22968">
        <v>1</v>
      </c>
      <c r="N22968">
        <v>1.2471E-148</v>
      </c>
      <c r="O22968">
        <v>1347</v>
      </c>
    </row>
    <row r="22969" spans="1:15" x14ac:dyDescent="0.25">
      <c r="A22969" t="s">
        <v>22982</v>
      </c>
      <c r="B22969">
        <v>293</v>
      </c>
      <c r="C22969" s="1" t="str">
        <f>HYPERLINK("http://www.rosaceae.org/gb/gbrowse/malus_x_domestica/?name=MDP0000141727","MDP0000141727")</f>
        <v>MDP0000141727</v>
      </c>
      <c r="D22969">
        <v>78.599999999999994</v>
      </c>
      <c r="E22969">
        <v>201</v>
      </c>
      <c r="F22969">
        <v>43</v>
      </c>
      <c r="G22969">
        <v>0</v>
      </c>
      <c r="H22969">
        <v>1</v>
      </c>
      <c r="I22969">
        <v>201</v>
      </c>
      <c r="J22969">
        <v>1</v>
      </c>
      <c r="K22969">
        <v>1</v>
      </c>
      <c r="L22969">
        <v>201</v>
      </c>
      <c r="M22969">
        <v>1</v>
      </c>
      <c r="N22969">
        <v>5.9643899999999997E-92</v>
      </c>
      <c r="O22969">
        <v>857</v>
      </c>
    </row>
    <row r="22970" spans="1:15" x14ac:dyDescent="0.25">
      <c r="A22970" t="s">
        <v>22983</v>
      </c>
      <c r="B22970">
        <v>181</v>
      </c>
      <c r="C22970" s="1" t="str">
        <f>HYPERLINK("http://www.rosaceae.org/gb/gbrowse/malus_x_domestica/?name=MDP0000121035","MDP0000121035")</f>
        <v>MDP0000121035</v>
      </c>
      <c r="D22970">
        <v>56.47</v>
      </c>
      <c r="E22970">
        <v>193</v>
      </c>
      <c r="F22970">
        <v>84</v>
      </c>
      <c r="G22970">
        <v>23</v>
      </c>
      <c r="H22970">
        <v>12</v>
      </c>
      <c r="I22970">
        <v>181</v>
      </c>
      <c r="J22970">
        <v>1</v>
      </c>
      <c r="K22970">
        <v>10</v>
      </c>
      <c r="L22970">
        <v>202</v>
      </c>
      <c r="M22970">
        <v>1</v>
      </c>
      <c r="N22970">
        <v>2.0021300000000001E-53</v>
      </c>
      <c r="O22970">
        <v>522</v>
      </c>
    </row>
    <row r="22971" spans="1:15" x14ac:dyDescent="0.25">
      <c r="A22971" t="s">
        <v>22984</v>
      </c>
      <c r="B22971">
        <v>133</v>
      </c>
      <c r="C22971" s="1" t="str">
        <f>HYPERLINK("http://www.rosaceae.org/gb/gbrowse/malus_x_domestica/?name=MDP0000317741","MDP0000317741")</f>
        <v>MDP0000317741</v>
      </c>
      <c r="D22971">
        <v>48.68</v>
      </c>
      <c r="E22971">
        <v>76</v>
      </c>
      <c r="F22971">
        <v>39</v>
      </c>
      <c r="G22971">
        <v>1</v>
      </c>
      <c r="H22971">
        <v>57</v>
      </c>
      <c r="I22971">
        <v>132</v>
      </c>
      <c r="J22971">
        <v>1</v>
      </c>
      <c r="K22971">
        <v>58</v>
      </c>
      <c r="L22971">
        <v>132</v>
      </c>
      <c r="M22971">
        <v>1</v>
      </c>
      <c r="N22971">
        <v>3.1021399999999999E-16</v>
      </c>
      <c r="O22971">
        <v>198</v>
      </c>
    </row>
    <row r="22972" spans="1:15" x14ac:dyDescent="0.25">
      <c r="A22972" t="s">
        <v>22985</v>
      </c>
      <c r="B22972">
        <v>749</v>
      </c>
      <c r="C22972" s="1" t="str">
        <f>HYPERLINK("http://www.rosaceae.org/gb/gbrowse/malus_x_domestica/?name=MDP0000254164","MDP0000254164")</f>
        <v>MDP0000254164</v>
      </c>
      <c r="D22972">
        <v>78.180000000000007</v>
      </c>
      <c r="E22972">
        <v>784</v>
      </c>
      <c r="F22972">
        <v>171</v>
      </c>
      <c r="G22972">
        <v>46</v>
      </c>
      <c r="H22972">
        <v>1</v>
      </c>
      <c r="I22972">
        <v>740</v>
      </c>
      <c r="J22972">
        <v>1</v>
      </c>
      <c r="K22972">
        <v>73</v>
      </c>
      <c r="L22972">
        <v>854</v>
      </c>
      <c r="M22972">
        <v>1</v>
      </c>
      <c r="N22972">
        <v>0</v>
      </c>
      <c r="O22972">
        <v>3201</v>
      </c>
    </row>
    <row r="22973" spans="1:15" x14ac:dyDescent="0.25">
      <c r="A22973" t="s">
        <v>22986</v>
      </c>
      <c r="B22973">
        <v>223</v>
      </c>
      <c r="C22973" s="1" t="str">
        <f>HYPERLINK("http://www.rosaceae.org/gb/gbrowse/malus_x_domestica/?name=MDP0000285219","MDP0000285219")</f>
        <v>MDP0000285219</v>
      </c>
      <c r="D22973">
        <v>36.659999999999997</v>
      </c>
      <c r="E22973">
        <v>240</v>
      </c>
      <c r="F22973">
        <v>152</v>
      </c>
      <c r="G22973">
        <v>47</v>
      </c>
      <c r="H22973">
        <v>12</v>
      </c>
      <c r="I22973">
        <v>223</v>
      </c>
      <c r="J22973">
        <v>1</v>
      </c>
      <c r="K22973">
        <v>215</v>
      </c>
      <c r="L22973">
        <v>435</v>
      </c>
      <c r="M22973">
        <v>1</v>
      </c>
      <c r="N22973">
        <v>6.83706E-30</v>
      </c>
      <c r="O22973">
        <v>320</v>
      </c>
    </row>
    <row r="22974" spans="1:15" x14ac:dyDescent="0.25">
      <c r="A22974" t="s">
        <v>22987</v>
      </c>
      <c r="B22974">
        <v>272</v>
      </c>
      <c r="C22974" s="1" t="str">
        <f>HYPERLINK("http://www.rosaceae.org/gb/gbrowse/malus_x_domestica/?name=MDP0000318279","MDP0000318279")</f>
        <v>MDP0000318279</v>
      </c>
      <c r="D22974">
        <v>31.44</v>
      </c>
      <c r="E22974">
        <v>194</v>
      </c>
      <c r="F22974">
        <v>133</v>
      </c>
      <c r="G22974">
        <v>2</v>
      </c>
      <c r="H22974">
        <v>65</v>
      </c>
      <c r="I22974">
        <v>258</v>
      </c>
      <c r="J22974">
        <v>1</v>
      </c>
      <c r="K22974">
        <v>126</v>
      </c>
      <c r="L22974">
        <v>317</v>
      </c>
      <c r="M22974">
        <v>1</v>
      </c>
      <c r="N22974">
        <v>4.21426E-27</v>
      </c>
      <c r="O22974">
        <v>297</v>
      </c>
    </row>
    <row r="22975" spans="1:15" x14ac:dyDescent="0.25">
      <c r="A22975" t="s">
        <v>22988</v>
      </c>
      <c r="B22975">
        <v>474</v>
      </c>
      <c r="C22975" s="1" t="str">
        <f>HYPERLINK("http://www.rosaceae.org/gb/gbrowse/malus_x_domestica/?name=MDP0000201897","MDP0000201897")</f>
        <v>MDP0000201897</v>
      </c>
      <c r="D22975">
        <v>30.22</v>
      </c>
      <c r="E22975">
        <v>225</v>
      </c>
      <c r="F22975">
        <v>157</v>
      </c>
      <c r="G22975">
        <v>11</v>
      </c>
      <c r="H22975">
        <v>103</v>
      </c>
      <c r="I22975">
        <v>323</v>
      </c>
      <c r="J22975">
        <v>1</v>
      </c>
      <c r="K22975">
        <v>608</v>
      </c>
      <c r="L22975">
        <v>825</v>
      </c>
      <c r="M22975">
        <v>1</v>
      </c>
      <c r="N22975">
        <v>2.7362599999999998E-20</v>
      </c>
      <c r="O22975">
        <v>241</v>
      </c>
    </row>
    <row r="22976" spans="1:15" x14ac:dyDescent="0.25">
      <c r="A22976" t="s">
        <v>22989</v>
      </c>
      <c r="B22976">
        <v>170</v>
      </c>
      <c r="C22976" s="1" t="str">
        <f>HYPERLINK("http://www.rosaceae.org/gb/gbrowse/malus_x_domestica/?name=MDP0000124256","MDP0000124256")</f>
        <v>MDP0000124256</v>
      </c>
      <c r="D22976">
        <v>42.2</v>
      </c>
      <c r="E22976">
        <v>154</v>
      </c>
      <c r="F22976">
        <v>89</v>
      </c>
      <c r="G22976">
        <v>0</v>
      </c>
      <c r="H22976">
        <v>2</v>
      </c>
      <c r="I22976">
        <v>155</v>
      </c>
      <c r="J22976">
        <v>1</v>
      </c>
      <c r="K22976">
        <v>48</v>
      </c>
      <c r="L22976">
        <v>201</v>
      </c>
      <c r="M22976">
        <v>1</v>
      </c>
      <c r="N22976">
        <v>1.4712899999999999E-29</v>
      </c>
      <c r="O22976">
        <v>315</v>
      </c>
    </row>
    <row r="22977" spans="1:15" x14ac:dyDescent="0.25">
      <c r="A22977" t="s">
        <v>22990</v>
      </c>
      <c r="B22977">
        <v>317</v>
      </c>
      <c r="C22977" s="1" t="str">
        <f>HYPERLINK("http://www.rosaceae.org/gb/gbrowse/malus_x_domestica/?name=MDP0000700517","MDP0000700517")</f>
        <v>MDP0000700517</v>
      </c>
      <c r="D22977">
        <v>28.14</v>
      </c>
      <c r="E22977">
        <v>199</v>
      </c>
      <c r="F22977">
        <v>143</v>
      </c>
      <c r="G22977">
        <v>29</v>
      </c>
      <c r="H22977">
        <v>53</v>
      </c>
      <c r="I22977">
        <v>228</v>
      </c>
      <c r="J22977">
        <v>1</v>
      </c>
      <c r="K22977">
        <v>140</v>
      </c>
      <c r="L22977">
        <v>332</v>
      </c>
      <c r="M22977">
        <v>1</v>
      </c>
      <c r="N22977">
        <v>9.1174399999999995E-17</v>
      </c>
      <c r="O22977">
        <v>209</v>
      </c>
    </row>
    <row r="22978" spans="1:15" x14ac:dyDescent="0.25">
      <c r="A22978" t="s">
        <v>22991</v>
      </c>
      <c r="B22978">
        <v>351</v>
      </c>
      <c r="C22978" s="1" t="str">
        <f>HYPERLINK("http://www.rosaceae.org/gb/gbrowse/malus_x_domestica/?name=MDP0000201897","MDP0000201897")</f>
        <v>MDP0000201897</v>
      </c>
      <c r="D22978">
        <v>27.95</v>
      </c>
      <c r="E22978">
        <v>186</v>
      </c>
      <c r="F22978">
        <v>134</v>
      </c>
      <c r="G22978">
        <v>5</v>
      </c>
      <c r="H22978">
        <v>124</v>
      </c>
      <c r="I22978">
        <v>308</v>
      </c>
      <c r="J22978">
        <v>1</v>
      </c>
      <c r="K22978">
        <v>638</v>
      </c>
      <c r="L22978">
        <v>819</v>
      </c>
      <c r="M22978">
        <v>1</v>
      </c>
      <c r="N22978">
        <v>2.1673300000000001E-15</v>
      </c>
      <c r="O22978">
        <v>198</v>
      </c>
    </row>
    <row r="22979" spans="1:15" x14ac:dyDescent="0.25">
      <c r="A22979" t="s">
        <v>22992</v>
      </c>
      <c r="B22979">
        <v>678</v>
      </c>
      <c r="C22979" s="1" t="str">
        <f>HYPERLINK("http://www.rosaceae.org/gb/gbrowse/malus_x_domestica/?name=MDP0000942994","MDP0000942994")</f>
        <v>MDP0000942994</v>
      </c>
      <c r="D22979">
        <v>58.7</v>
      </c>
      <c r="E22979">
        <v>632</v>
      </c>
      <c r="F22979">
        <v>261</v>
      </c>
      <c r="G22979">
        <v>29</v>
      </c>
      <c r="H22979">
        <v>21</v>
      </c>
      <c r="I22979">
        <v>630</v>
      </c>
      <c r="J22979">
        <v>1</v>
      </c>
      <c r="K22979">
        <v>18</v>
      </c>
      <c r="L22979">
        <v>642</v>
      </c>
      <c r="M22979">
        <v>1</v>
      </c>
      <c r="N22979">
        <v>0</v>
      </c>
      <c r="O22979">
        <v>1857</v>
      </c>
    </row>
    <row r="22980" spans="1:15" x14ac:dyDescent="0.25">
      <c r="A22980" t="s">
        <v>22993</v>
      </c>
      <c r="B22980">
        <v>429</v>
      </c>
      <c r="C22980" s="1" t="str">
        <f>HYPERLINK("http://www.rosaceae.org/gb/gbrowse/malus_x_domestica/?name=MDP0000499050","MDP0000499050")</f>
        <v>MDP0000499050</v>
      </c>
      <c r="D22980">
        <v>43.14</v>
      </c>
      <c r="E22980">
        <v>299</v>
      </c>
      <c r="F22980">
        <v>170</v>
      </c>
      <c r="G22980">
        <v>5</v>
      </c>
      <c r="H22980">
        <v>10</v>
      </c>
      <c r="I22980">
        <v>306</v>
      </c>
      <c r="J22980">
        <v>1</v>
      </c>
      <c r="K22980">
        <v>130</v>
      </c>
      <c r="L22980">
        <v>425</v>
      </c>
      <c r="M22980">
        <v>1</v>
      </c>
      <c r="N22980">
        <v>9.6980700000000004E-63</v>
      </c>
      <c r="O22980">
        <v>607</v>
      </c>
    </row>
    <row r="22981" spans="1:15" x14ac:dyDescent="0.25">
      <c r="A22981" t="s">
        <v>22994</v>
      </c>
      <c r="B22981">
        <v>255</v>
      </c>
      <c r="C22981" s="1" t="str">
        <f>HYPERLINK("http://www.rosaceae.org/gb/gbrowse/malus_x_domestica/?name=MDP0000163205","MDP0000163205")</f>
        <v>MDP0000163205</v>
      </c>
      <c r="D22981">
        <v>61.9</v>
      </c>
      <c r="E22981">
        <v>294</v>
      </c>
      <c r="F22981">
        <v>112</v>
      </c>
      <c r="G22981">
        <v>48</v>
      </c>
      <c r="H22981">
        <v>1</v>
      </c>
      <c r="I22981">
        <v>246</v>
      </c>
      <c r="J22981">
        <v>1</v>
      </c>
      <c r="K22981">
        <v>1</v>
      </c>
      <c r="L22981">
        <v>294</v>
      </c>
      <c r="M22981">
        <v>1</v>
      </c>
      <c r="N22981">
        <v>2.8939699999999999E-103</v>
      </c>
      <c r="O22981">
        <v>954</v>
      </c>
    </row>
    <row r="22982" spans="1:15" x14ac:dyDescent="0.25">
      <c r="A22982" t="s">
        <v>22995</v>
      </c>
      <c r="B22982">
        <v>196</v>
      </c>
      <c r="C22982" s="1" t="str">
        <f>HYPERLINK("http://www.rosaceae.org/gb/gbrowse/malus_x_domestica/?name=MDP0000148337","MDP0000148337")</f>
        <v>MDP0000148337</v>
      </c>
      <c r="D22982">
        <v>64.540000000000006</v>
      </c>
      <c r="E22982">
        <v>110</v>
      </c>
      <c r="F22982">
        <v>39</v>
      </c>
      <c r="G22982">
        <v>4</v>
      </c>
      <c r="H22982">
        <v>4</v>
      </c>
      <c r="I22982">
        <v>110</v>
      </c>
      <c r="J22982">
        <v>1</v>
      </c>
      <c r="K22982">
        <v>259</v>
      </c>
      <c r="L22982">
        <v>367</v>
      </c>
      <c r="M22982">
        <v>1</v>
      </c>
      <c r="N22982">
        <v>3.5814399999999999E-34</v>
      </c>
      <c r="O22982">
        <v>356</v>
      </c>
    </row>
    <row r="22983" spans="1:15" x14ac:dyDescent="0.25">
      <c r="A22983" t="s">
        <v>22996</v>
      </c>
      <c r="B22983">
        <v>1158</v>
      </c>
      <c r="C22983" s="1" t="str">
        <f>HYPERLINK("http://www.rosaceae.org/gb/gbrowse/malus_x_domestica/?name=MDP0000231789","MDP0000231789")</f>
        <v>MDP0000231789</v>
      </c>
      <c r="D22983">
        <v>54.8</v>
      </c>
      <c r="E22983">
        <v>416</v>
      </c>
      <c r="F22983">
        <v>188</v>
      </c>
      <c r="G22983">
        <v>94</v>
      </c>
      <c r="H22983">
        <v>722</v>
      </c>
      <c r="I22983">
        <v>1123</v>
      </c>
      <c r="J22983">
        <v>1</v>
      </c>
      <c r="K22983">
        <v>6</v>
      </c>
      <c r="L22983">
        <v>341</v>
      </c>
      <c r="M22983">
        <v>1</v>
      </c>
      <c r="N22983">
        <v>1.0643000000000001E-114</v>
      </c>
      <c r="O22983">
        <v>1059</v>
      </c>
    </row>
    <row r="22984" spans="1:15" x14ac:dyDescent="0.25">
      <c r="A22984" t="s">
        <v>22997</v>
      </c>
      <c r="B22984">
        <v>285</v>
      </c>
      <c r="C22984" s="1" t="str">
        <f>HYPERLINK("http://www.rosaceae.org/gb/gbrowse/malus_x_domestica/?name=MDP0000457988","MDP0000457988")</f>
        <v>MDP0000457988</v>
      </c>
      <c r="D22984">
        <v>37.32</v>
      </c>
      <c r="E22984">
        <v>292</v>
      </c>
      <c r="F22984">
        <v>183</v>
      </c>
      <c r="G22984">
        <v>43</v>
      </c>
      <c r="H22984">
        <v>1</v>
      </c>
      <c r="I22984">
        <v>256</v>
      </c>
      <c r="J22984">
        <v>1</v>
      </c>
      <c r="K22984">
        <v>1</v>
      </c>
      <c r="L22984">
        <v>285</v>
      </c>
      <c r="M22984">
        <v>1</v>
      </c>
      <c r="N22984">
        <v>7.0534000000000004E-30</v>
      </c>
      <c r="O22984">
        <v>321</v>
      </c>
    </row>
    <row r="22985" spans="1:15" x14ac:dyDescent="0.25">
      <c r="A22985" t="s">
        <v>22998</v>
      </c>
      <c r="B22985">
        <v>456</v>
      </c>
      <c r="C22985" s="1" t="str">
        <f>HYPERLINK("http://www.rosaceae.org/gb/gbrowse/malus_x_domestica/?name=MDP0000302965","MDP0000302965")</f>
        <v>MDP0000302965</v>
      </c>
      <c r="D22985">
        <v>55.69</v>
      </c>
      <c r="E22985">
        <v>404</v>
      </c>
      <c r="F22985">
        <v>179</v>
      </c>
      <c r="G22985">
        <v>22</v>
      </c>
      <c r="H22985">
        <v>63</v>
      </c>
      <c r="I22985">
        <v>446</v>
      </c>
      <c r="J22985">
        <v>1</v>
      </c>
      <c r="K22985">
        <v>94</v>
      </c>
      <c r="L22985">
        <v>495</v>
      </c>
      <c r="M22985">
        <v>1</v>
      </c>
      <c r="N22985">
        <v>3.5701000000000001E-109</v>
      </c>
      <c r="O22985">
        <v>1008</v>
      </c>
    </row>
    <row r="22986" spans="1:15" x14ac:dyDescent="0.25">
      <c r="A22986" t="s">
        <v>22999</v>
      </c>
      <c r="B22986">
        <v>343</v>
      </c>
      <c r="C22986" s="1" t="str">
        <f>HYPERLINK("http://www.rosaceae.org/gb/gbrowse/malus_x_domestica/?name=MDP0000308790","MDP0000308790")</f>
        <v>MDP0000308790</v>
      </c>
      <c r="D22986">
        <v>78.98</v>
      </c>
      <c r="E22986">
        <v>314</v>
      </c>
      <c r="F22986">
        <v>66</v>
      </c>
      <c r="G22986">
        <v>5</v>
      </c>
      <c r="H22986">
        <v>1</v>
      </c>
      <c r="I22986">
        <v>311</v>
      </c>
      <c r="J22986">
        <v>1</v>
      </c>
      <c r="K22986">
        <v>201</v>
      </c>
      <c r="L22986">
        <v>512</v>
      </c>
      <c r="M22986">
        <v>1</v>
      </c>
      <c r="N22986">
        <v>5.02623E-137</v>
      </c>
      <c r="O22986">
        <v>1246</v>
      </c>
    </row>
    <row r="22987" spans="1:15" x14ac:dyDescent="0.25">
      <c r="A22987" t="s">
        <v>23000</v>
      </c>
      <c r="B22987">
        <v>631</v>
      </c>
      <c r="C22987" s="1" t="str">
        <f>HYPERLINK("http://www.rosaceae.org/gb/gbrowse/malus_x_domestica/?name=MDP0000461409","MDP0000461409")</f>
        <v>MDP0000461409</v>
      </c>
      <c r="D22987">
        <v>67.89</v>
      </c>
      <c r="E22987">
        <v>623</v>
      </c>
      <c r="F22987">
        <v>200</v>
      </c>
      <c r="G22987">
        <v>8</v>
      </c>
      <c r="H22987">
        <v>17</v>
      </c>
      <c r="I22987">
        <v>631</v>
      </c>
      <c r="J22987">
        <v>1</v>
      </c>
      <c r="K22987">
        <v>1</v>
      </c>
      <c r="L22987">
        <v>623</v>
      </c>
      <c r="M22987">
        <v>1</v>
      </c>
      <c r="N22987">
        <v>0</v>
      </c>
      <c r="O22987">
        <v>2334</v>
      </c>
    </row>
    <row r="22988" spans="1:15" x14ac:dyDescent="0.25">
      <c r="A22988" t="s">
        <v>23001</v>
      </c>
      <c r="B22988">
        <v>642</v>
      </c>
      <c r="C22988" s="1" t="str">
        <f>HYPERLINK("http://www.rosaceae.org/gb/gbrowse/malus_x_domestica/?name=MDP0000255245","MDP0000255245")</f>
        <v>MDP0000255245</v>
      </c>
      <c r="D22988">
        <v>50.39</v>
      </c>
      <c r="E22988">
        <v>633</v>
      </c>
      <c r="F22988">
        <v>314</v>
      </c>
      <c r="G22988">
        <v>114</v>
      </c>
      <c r="H22988">
        <v>100</v>
      </c>
      <c r="I22988">
        <v>623</v>
      </c>
      <c r="J22988">
        <v>1</v>
      </c>
      <c r="K22988">
        <v>274</v>
      </c>
      <c r="L22988">
        <v>901</v>
      </c>
      <c r="M22988">
        <v>1</v>
      </c>
      <c r="N22988">
        <v>5.8112400000000003E-160</v>
      </c>
      <c r="O22988">
        <v>1447</v>
      </c>
    </row>
    <row r="22989" spans="1:15" x14ac:dyDescent="0.25">
      <c r="A22989" t="s">
        <v>23002</v>
      </c>
      <c r="B22989">
        <v>670</v>
      </c>
      <c r="C22989" s="1" t="str">
        <f>HYPERLINK("http://www.rosaceae.org/gb/gbrowse/malus_x_domestica/?name=MDP0000620422","MDP0000620422")</f>
        <v>MDP0000620422</v>
      </c>
      <c r="D22989">
        <v>71.95</v>
      </c>
      <c r="E22989">
        <v>656</v>
      </c>
      <c r="F22989">
        <v>184</v>
      </c>
      <c r="G22989">
        <v>7</v>
      </c>
      <c r="H22989">
        <v>20</v>
      </c>
      <c r="I22989">
        <v>670</v>
      </c>
      <c r="J22989">
        <v>1</v>
      </c>
      <c r="K22989">
        <v>23</v>
      </c>
      <c r="L22989">
        <v>676</v>
      </c>
      <c r="M22989">
        <v>1</v>
      </c>
      <c r="N22989">
        <v>0</v>
      </c>
      <c r="O22989">
        <v>2390</v>
      </c>
    </row>
    <row r="22990" spans="1:15" x14ac:dyDescent="0.25">
      <c r="A22990" t="s">
        <v>23003</v>
      </c>
      <c r="B22990">
        <v>762</v>
      </c>
      <c r="C22990" s="1" t="str">
        <f>HYPERLINK("http://www.rosaceae.org/gb/gbrowse/malus_x_domestica/?name=MDP0000737134","MDP0000737134")</f>
        <v>MDP0000737134</v>
      </c>
      <c r="D22990">
        <v>59.76</v>
      </c>
      <c r="E22990">
        <v>502</v>
      </c>
      <c r="F22990">
        <v>202</v>
      </c>
      <c r="G22990">
        <v>3</v>
      </c>
      <c r="H22990">
        <v>262</v>
      </c>
      <c r="I22990">
        <v>761</v>
      </c>
      <c r="J22990">
        <v>1</v>
      </c>
      <c r="K22990">
        <v>92</v>
      </c>
      <c r="L22990">
        <v>592</v>
      </c>
      <c r="M22990">
        <v>1</v>
      </c>
      <c r="N22990">
        <v>7.7559800000000006E-164</v>
      </c>
      <c r="O22990">
        <v>1481</v>
      </c>
    </row>
    <row r="22991" spans="1:15" x14ac:dyDescent="0.25">
      <c r="A22991" t="s">
        <v>23004</v>
      </c>
      <c r="B22991">
        <v>256</v>
      </c>
      <c r="C22991" s="1" t="str">
        <f>HYPERLINK("http://www.rosaceae.org/gb/gbrowse/malus_x_domestica/?name=MDP0000620349","MDP0000620349")</f>
        <v>MDP0000620349</v>
      </c>
      <c r="D22991">
        <v>73.209999999999994</v>
      </c>
      <c r="E22991">
        <v>224</v>
      </c>
      <c r="F22991">
        <v>60</v>
      </c>
      <c r="G22991">
        <v>0</v>
      </c>
      <c r="H22991">
        <v>33</v>
      </c>
      <c r="I22991">
        <v>256</v>
      </c>
      <c r="J22991">
        <v>1</v>
      </c>
      <c r="K22991">
        <v>133</v>
      </c>
      <c r="L22991">
        <v>356</v>
      </c>
      <c r="M22991">
        <v>1</v>
      </c>
      <c r="N22991">
        <v>2.0516899999999999E-103</v>
      </c>
      <c r="O22991">
        <v>955</v>
      </c>
    </row>
    <row r="22992" spans="1:15" x14ac:dyDescent="0.25">
      <c r="A22992" t="s">
        <v>23005</v>
      </c>
      <c r="B22992">
        <v>576</v>
      </c>
      <c r="C22992" s="1" t="str">
        <f>HYPERLINK("http://www.rosaceae.org/gb/gbrowse/malus_x_domestica/?name=MDP0000311438","MDP0000311438")</f>
        <v>MDP0000311438</v>
      </c>
      <c r="D22992">
        <v>70.040000000000006</v>
      </c>
      <c r="E22992">
        <v>404</v>
      </c>
      <c r="F22992">
        <v>121</v>
      </c>
      <c r="G22992">
        <v>22</v>
      </c>
      <c r="H22992">
        <v>160</v>
      </c>
      <c r="I22992">
        <v>561</v>
      </c>
      <c r="J22992">
        <v>1</v>
      </c>
      <c r="K22992">
        <v>1</v>
      </c>
      <c r="L22992">
        <v>384</v>
      </c>
      <c r="M22992">
        <v>1</v>
      </c>
      <c r="N22992">
        <v>2.6080399999999999E-156</v>
      </c>
      <c r="O22992">
        <v>1415</v>
      </c>
    </row>
    <row r="22993" spans="1:15" x14ac:dyDescent="0.25">
      <c r="A22993" t="s">
        <v>23006</v>
      </c>
      <c r="B22993">
        <v>752</v>
      </c>
      <c r="C22993" s="1" t="str">
        <f>HYPERLINK("http://www.rosaceae.org/gb/gbrowse/malus_x_domestica/?name=MDP0000184039","MDP0000184039")</f>
        <v>MDP0000184039</v>
      </c>
      <c r="D22993">
        <v>79.36</v>
      </c>
      <c r="E22993">
        <v>761</v>
      </c>
      <c r="F22993">
        <v>157</v>
      </c>
      <c r="G22993">
        <v>10</v>
      </c>
      <c r="H22993">
        <v>1</v>
      </c>
      <c r="I22993">
        <v>752</v>
      </c>
      <c r="J22993">
        <v>1</v>
      </c>
      <c r="K22993">
        <v>121</v>
      </c>
      <c r="L22993">
        <v>880</v>
      </c>
      <c r="M22993">
        <v>1</v>
      </c>
      <c r="N22993">
        <v>0</v>
      </c>
      <c r="O22993">
        <v>3108</v>
      </c>
    </row>
    <row r="22994" spans="1:15" x14ac:dyDescent="0.25">
      <c r="A22994" t="s">
        <v>23007</v>
      </c>
      <c r="B22994">
        <v>1245</v>
      </c>
      <c r="C22994" s="1" t="str">
        <f>HYPERLINK("http://www.rosaceae.org/gb/gbrowse/malus_x_domestica/?name=MDP0000232860","MDP0000232860")</f>
        <v>MDP0000232860</v>
      </c>
      <c r="D22994">
        <v>61.58</v>
      </c>
      <c r="E22994">
        <v>1208</v>
      </c>
      <c r="F22994">
        <v>464</v>
      </c>
      <c r="G22994">
        <v>103</v>
      </c>
      <c r="H22994">
        <v>10</v>
      </c>
      <c r="I22994">
        <v>1155</v>
      </c>
      <c r="J22994">
        <v>1</v>
      </c>
      <c r="K22994">
        <v>107</v>
      </c>
      <c r="L22994">
        <v>1273</v>
      </c>
      <c r="M22994">
        <v>1</v>
      </c>
      <c r="N22994">
        <v>0</v>
      </c>
      <c r="O22994">
        <v>3646</v>
      </c>
    </row>
    <row r="22995" spans="1:15" x14ac:dyDescent="0.25">
      <c r="A22995" t="s">
        <v>23008</v>
      </c>
      <c r="B22995">
        <v>406</v>
      </c>
      <c r="C22995" s="1" t="str">
        <f>HYPERLINK("http://www.rosaceae.org/gb/gbrowse/malus_x_domestica/?name=MDP0000131342","MDP0000131342")</f>
        <v>MDP0000131342</v>
      </c>
      <c r="D22995">
        <v>60.41</v>
      </c>
      <c r="E22995">
        <v>432</v>
      </c>
      <c r="F22995">
        <v>171</v>
      </c>
      <c r="G22995">
        <v>31</v>
      </c>
      <c r="H22995">
        <v>1</v>
      </c>
      <c r="I22995">
        <v>406</v>
      </c>
      <c r="J22995">
        <v>1</v>
      </c>
      <c r="K22995">
        <v>51</v>
      </c>
      <c r="L22995">
        <v>477</v>
      </c>
      <c r="M22995">
        <v>1</v>
      </c>
      <c r="N22995">
        <v>1.8996E-136</v>
      </c>
      <c r="O22995">
        <v>1242</v>
      </c>
    </row>
    <row r="22996" spans="1:15" x14ac:dyDescent="0.25">
      <c r="A22996" t="s">
        <v>23009</v>
      </c>
      <c r="B22996">
        <v>550</v>
      </c>
      <c r="C22996" s="1" t="str">
        <f>HYPERLINK("http://www.rosaceae.org/gb/gbrowse/malus_x_domestica/?name=MDP0000241635","MDP0000241635")</f>
        <v>MDP0000241635</v>
      </c>
      <c r="D22996">
        <v>52.63</v>
      </c>
      <c r="E22996">
        <v>380</v>
      </c>
      <c r="F22996">
        <v>180</v>
      </c>
      <c r="G22996">
        <v>14</v>
      </c>
      <c r="H22996">
        <v>1</v>
      </c>
      <c r="I22996">
        <v>371</v>
      </c>
      <c r="J22996">
        <v>1</v>
      </c>
      <c r="K22996">
        <v>58</v>
      </c>
      <c r="L22996">
        <v>432</v>
      </c>
      <c r="M22996">
        <v>1</v>
      </c>
      <c r="N22996">
        <v>6.2926800000000001E-107</v>
      </c>
      <c r="O22996">
        <v>989</v>
      </c>
    </row>
    <row r="22997" spans="1:15" x14ac:dyDescent="0.25">
      <c r="A22997" t="s">
        <v>23010</v>
      </c>
      <c r="B22997">
        <v>351</v>
      </c>
      <c r="C22997" s="1" t="str">
        <f>HYPERLINK("http://www.rosaceae.org/gb/gbrowse/malus_x_domestica/?name=MDP0000247921","MDP0000247921")</f>
        <v>MDP0000247921</v>
      </c>
      <c r="D22997">
        <v>25</v>
      </c>
      <c r="E22997">
        <v>348</v>
      </c>
      <c r="F22997">
        <v>261</v>
      </c>
      <c r="G22997">
        <v>58</v>
      </c>
      <c r="H22997">
        <v>9</v>
      </c>
      <c r="I22997">
        <v>340</v>
      </c>
      <c r="J22997">
        <v>1</v>
      </c>
      <c r="K22997">
        <v>775</v>
      </c>
      <c r="L22997">
        <v>1080</v>
      </c>
      <c r="M22997">
        <v>1</v>
      </c>
      <c r="N22997">
        <v>3.5982000000000001E-22</v>
      </c>
      <c r="O22997">
        <v>256</v>
      </c>
    </row>
    <row r="22998" spans="1:15" x14ac:dyDescent="0.25">
      <c r="A22998" t="s">
        <v>23011</v>
      </c>
      <c r="B22998">
        <v>146</v>
      </c>
      <c r="C22998" s="1" t="str">
        <f>HYPERLINK("http://www.rosaceae.org/gb/gbrowse/malus_x_domestica/?name=MDP0000200882","MDP0000200882")</f>
        <v>MDP0000200882</v>
      </c>
      <c r="D22998">
        <v>85.33</v>
      </c>
      <c r="E22998">
        <v>150</v>
      </c>
      <c r="F22998">
        <v>22</v>
      </c>
      <c r="G22998">
        <v>5</v>
      </c>
      <c r="H22998">
        <v>1</v>
      </c>
      <c r="I22998">
        <v>146</v>
      </c>
      <c r="J22998">
        <v>1</v>
      </c>
      <c r="K22998">
        <v>1</v>
      </c>
      <c r="L22998">
        <v>149</v>
      </c>
      <c r="M22998">
        <v>1</v>
      </c>
      <c r="N22998">
        <v>1.87755E-68</v>
      </c>
      <c r="O22998">
        <v>649</v>
      </c>
    </row>
    <row r="22999" spans="1:15" x14ac:dyDescent="0.25">
      <c r="A22999" t="s">
        <v>23012</v>
      </c>
      <c r="B22999">
        <v>153</v>
      </c>
      <c r="C22999" s="1" t="str">
        <f>HYPERLINK("http://www.rosaceae.org/gb/gbrowse/malus_x_domestica/?name=MDP0000864538","MDP0000864538")</f>
        <v>MDP0000864538</v>
      </c>
      <c r="D22999">
        <v>80</v>
      </c>
      <c r="E22999">
        <v>45</v>
      </c>
      <c r="F22999">
        <v>9</v>
      </c>
      <c r="G22999">
        <v>4</v>
      </c>
      <c r="H22999">
        <v>99</v>
      </c>
      <c r="I22999">
        <v>139</v>
      </c>
      <c r="J22999">
        <v>1</v>
      </c>
      <c r="K22999">
        <v>163</v>
      </c>
      <c r="L22999">
        <v>207</v>
      </c>
      <c r="M22999">
        <v>1</v>
      </c>
      <c r="N22999">
        <v>1.15769E-13</v>
      </c>
      <c r="O22999">
        <v>177</v>
      </c>
    </row>
    <row r="23000" spans="1:15" x14ac:dyDescent="0.25">
      <c r="A23000" t="s">
        <v>23013</v>
      </c>
      <c r="B23000">
        <v>158</v>
      </c>
      <c r="C23000" s="1" t="str">
        <f>HYPERLINK("http://www.rosaceae.org/gb/gbrowse/malus_x_domestica/?name=MDP0000207407","MDP0000207407")</f>
        <v>MDP0000207407</v>
      </c>
      <c r="D23000">
        <v>68.319999999999993</v>
      </c>
      <c r="E23000">
        <v>161</v>
      </c>
      <c r="F23000">
        <v>51</v>
      </c>
      <c r="G23000">
        <v>6</v>
      </c>
      <c r="H23000">
        <v>1</v>
      </c>
      <c r="I23000">
        <v>157</v>
      </c>
      <c r="J23000">
        <v>1</v>
      </c>
      <c r="K23000">
        <v>1</v>
      </c>
      <c r="L23000">
        <v>159</v>
      </c>
      <c r="M23000">
        <v>1</v>
      </c>
      <c r="N23000">
        <v>1.02273E-50</v>
      </c>
      <c r="O23000">
        <v>497</v>
      </c>
    </row>
    <row r="23001" spans="1:15" x14ac:dyDescent="0.25">
      <c r="A23001" t="s">
        <v>23014</v>
      </c>
      <c r="B23001">
        <v>359</v>
      </c>
      <c r="C23001" s="1" t="str">
        <f>HYPERLINK("http://www.rosaceae.org/gb/gbrowse/malus_x_domestica/?name=MDP0000033699","MDP0000033699")</f>
        <v>MDP0000033699</v>
      </c>
      <c r="D23001">
        <v>73.97</v>
      </c>
      <c r="E23001">
        <v>73</v>
      </c>
      <c r="F23001">
        <v>19</v>
      </c>
      <c r="G23001">
        <v>0</v>
      </c>
      <c r="H23001">
        <v>10</v>
      </c>
      <c r="I23001">
        <v>82</v>
      </c>
      <c r="J23001">
        <v>1</v>
      </c>
      <c r="K23001">
        <v>20</v>
      </c>
      <c r="L23001">
        <v>92</v>
      </c>
      <c r="M23001">
        <v>1</v>
      </c>
      <c r="N23001">
        <v>1.6395699999999999E-25</v>
      </c>
      <c r="O23001">
        <v>285</v>
      </c>
    </row>
    <row r="23002" spans="1:15" x14ac:dyDescent="0.25">
      <c r="A23002" t="s">
        <v>23015</v>
      </c>
      <c r="B23002">
        <v>529</v>
      </c>
      <c r="C23002" s="1" t="str">
        <f>HYPERLINK("http://www.rosaceae.org/gb/gbrowse/malus_x_domestica/?name=MDP0000147635","MDP0000147635")</f>
        <v>MDP0000147635</v>
      </c>
      <c r="D23002">
        <v>69.430000000000007</v>
      </c>
      <c r="E23002">
        <v>494</v>
      </c>
      <c r="F23002">
        <v>151</v>
      </c>
      <c r="G23002">
        <v>33</v>
      </c>
      <c r="H23002">
        <v>42</v>
      </c>
      <c r="I23002">
        <v>504</v>
      </c>
      <c r="J23002">
        <v>1</v>
      </c>
      <c r="K23002">
        <v>43</v>
      </c>
      <c r="L23002">
        <v>534</v>
      </c>
      <c r="M23002">
        <v>1</v>
      </c>
      <c r="N23002">
        <v>0</v>
      </c>
      <c r="O23002">
        <v>1808</v>
      </c>
    </row>
    <row r="23003" spans="1:15" x14ac:dyDescent="0.25">
      <c r="A23003" t="s">
        <v>23016</v>
      </c>
      <c r="B23003">
        <v>410</v>
      </c>
      <c r="C23003" s="1" t="str">
        <f>HYPERLINK("http://www.rosaceae.org/gb/gbrowse/malus_x_domestica/?name=MDP0000878686","MDP0000878686")</f>
        <v>MDP0000878686</v>
      </c>
      <c r="D23003">
        <v>35.74</v>
      </c>
      <c r="E23003">
        <v>414</v>
      </c>
      <c r="F23003">
        <v>266</v>
      </c>
      <c r="G23003">
        <v>54</v>
      </c>
      <c r="H23003">
        <v>2</v>
      </c>
      <c r="I23003">
        <v>410</v>
      </c>
      <c r="J23003">
        <v>1</v>
      </c>
      <c r="K23003">
        <v>12</v>
      </c>
      <c r="L23003">
        <v>376</v>
      </c>
      <c r="M23003">
        <v>1</v>
      </c>
      <c r="N23003">
        <v>3.01941E-51</v>
      </c>
      <c r="O23003">
        <v>507</v>
      </c>
    </row>
    <row r="23004" spans="1:15" x14ac:dyDescent="0.25">
      <c r="A23004" t="s">
        <v>23017</v>
      </c>
      <c r="B23004">
        <v>328</v>
      </c>
      <c r="C23004" s="1" t="str">
        <f>HYPERLINK("http://www.rosaceae.org/gb/gbrowse/malus_x_domestica/?name=MDP0000222367","MDP0000222367")</f>
        <v>MDP0000222367</v>
      </c>
      <c r="D23004">
        <v>77.77</v>
      </c>
      <c r="E23004">
        <v>252</v>
      </c>
      <c r="F23004">
        <v>56</v>
      </c>
      <c r="G23004">
        <v>12</v>
      </c>
      <c r="H23004">
        <v>1</v>
      </c>
      <c r="I23004">
        <v>250</v>
      </c>
      <c r="J23004">
        <v>1</v>
      </c>
      <c r="K23004">
        <v>1</v>
      </c>
      <c r="L23004">
        <v>242</v>
      </c>
      <c r="M23004">
        <v>1</v>
      </c>
      <c r="N23004">
        <v>1.4771799999999999E-108</v>
      </c>
      <c r="O23004">
        <v>1001</v>
      </c>
    </row>
    <row r="23005" spans="1:15" x14ac:dyDescent="0.25">
      <c r="A23005" t="s">
        <v>23018</v>
      </c>
      <c r="B23005">
        <v>691</v>
      </c>
      <c r="C23005" s="1" t="str">
        <f>HYPERLINK("http://www.rosaceae.org/gb/gbrowse/malus_x_domestica/?name=MDP0000294142","MDP0000294142")</f>
        <v>MDP0000294142</v>
      </c>
      <c r="D23005">
        <v>74.45</v>
      </c>
      <c r="E23005">
        <v>646</v>
      </c>
      <c r="F23005">
        <v>165</v>
      </c>
      <c r="G23005">
        <v>43</v>
      </c>
      <c r="H23005">
        <v>77</v>
      </c>
      <c r="I23005">
        <v>691</v>
      </c>
      <c r="J23005">
        <v>1</v>
      </c>
      <c r="K23005">
        <v>1</v>
      </c>
      <c r="L23005">
        <v>634</v>
      </c>
      <c r="M23005">
        <v>1</v>
      </c>
      <c r="N23005">
        <v>0</v>
      </c>
      <c r="O23005">
        <v>2363</v>
      </c>
    </row>
    <row r="23006" spans="1:15" x14ac:dyDescent="0.25">
      <c r="A23006" t="s">
        <v>23019</v>
      </c>
      <c r="B23006">
        <v>267</v>
      </c>
      <c r="C23006" s="1" t="str">
        <f>HYPERLINK("http://www.rosaceae.org/gb/gbrowse/malus_x_domestica/?name=MDP0000219580","MDP0000219580")</f>
        <v>MDP0000219580</v>
      </c>
      <c r="D23006">
        <v>79.709999999999994</v>
      </c>
      <c r="E23006">
        <v>281</v>
      </c>
      <c r="F23006">
        <v>57</v>
      </c>
      <c r="G23006">
        <v>20</v>
      </c>
      <c r="H23006">
        <v>1</v>
      </c>
      <c r="I23006">
        <v>262</v>
      </c>
      <c r="J23006">
        <v>1</v>
      </c>
      <c r="K23006">
        <v>1</v>
      </c>
      <c r="L23006">
        <v>280</v>
      </c>
      <c r="M23006">
        <v>1</v>
      </c>
      <c r="N23006">
        <v>4.2148600000000001E-125</v>
      </c>
      <c r="O23006">
        <v>1142</v>
      </c>
    </row>
    <row r="23007" spans="1:15" x14ac:dyDescent="0.25">
      <c r="A23007" t="s">
        <v>23020</v>
      </c>
      <c r="B23007">
        <v>106</v>
      </c>
      <c r="C23007" s="1" t="str">
        <f>HYPERLINK("http://www.rosaceae.org/gb/gbrowse/malus_x_domestica/?name=MDP0000157247","MDP0000157247")</f>
        <v>MDP0000157247</v>
      </c>
      <c r="D23007">
        <v>69.69</v>
      </c>
      <c r="E23007">
        <v>99</v>
      </c>
      <c r="F23007">
        <v>30</v>
      </c>
      <c r="G23007">
        <v>2</v>
      </c>
      <c r="H23007">
        <v>8</v>
      </c>
      <c r="I23007">
        <v>106</v>
      </c>
      <c r="J23007">
        <v>1</v>
      </c>
      <c r="K23007">
        <v>255</v>
      </c>
      <c r="L23007">
        <v>351</v>
      </c>
      <c r="M23007">
        <v>1</v>
      </c>
      <c r="N23007">
        <v>5.5593900000000003E-34</v>
      </c>
      <c r="O23007">
        <v>350</v>
      </c>
    </row>
    <row r="23008" spans="1:15" x14ac:dyDescent="0.25">
      <c r="A23008" t="s">
        <v>23021</v>
      </c>
      <c r="B23008">
        <v>1135</v>
      </c>
      <c r="C23008" s="1" t="str">
        <f>HYPERLINK("http://www.rosaceae.org/gb/gbrowse/malus_x_domestica/?name=MDP0000150383","MDP0000150383")</f>
        <v>MDP0000150383</v>
      </c>
      <c r="D23008">
        <v>45.74</v>
      </c>
      <c r="E23008">
        <v>599</v>
      </c>
      <c r="F23008">
        <v>325</v>
      </c>
      <c r="G23008">
        <v>70</v>
      </c>
      <c r="H23008">
        <v>486</v>
      </c>
      <c r="I23008">
        <v>1026</v>
      </c>
      <c r="J23008">
        <v>1</v>
      </c>
      <c r="K23008">
        <v>153</v>
      </c>
      <c r="L23008">
        <v>739</v>
      </c>
      <c r="M23008">
        <v>1</v>
      </c>
      <c r="N23008">
        <v>1.96911E-131</v>
      </c>
      <c r="O23008">
        <v>1203</v>
      </c>
    </row>
    <row r="23009" spans="1:15" x14ac:dyDescent="0.25">
      <c r="A23009" t="s">
        <v>23022</v>
      </c>
      <c r="B23009">
        <v>351</v>
      </c>
      <c r="C23009" s="1" t="str">
        <f>HYPERLINK("http://www.rosaceae.org/gb/gbrowse/malus_x_domestica/?name=MDP0000268211","MDP0000268211")</f>
        <v>MDP0000268211</v>
      </c>
      <c r="D23009">
        <v>76.17</v>
      </c>
      <c r="E23009">
        <v>319</v>
      </c>
      <c r="F23009">
        <v>76</v>
      </c>
      <c r="G23009">
        <v>13</v>
      </c>
      <c r="H23009">
        <v>1</v>
      </c>
      <c r="I23009">
        <v>317</v>
      </c>
      <c r="J23009">
        <v>1</v>
      </c>
      <c r="K23009">
        <v>1</v>
      </c>
      <c r="L23009">
        <v>308</v>
      </c>
      <c r="M23009">
        <v>1</v>
      </c>
      <c r="N23009">
        <v>3.4256000000000001E-134</v>
      </c>
      <c r="O23009">
        <v>1222</v>
      </c>
    </row>
    <row r="23010" spans="1:15" x14ac:dyDescent="0.25">
      <c r="A23010" t="s">
        <v>23023</v>
      </c>
      <c r="B23010">
        <v>486</v>
      </c>
      <c r="C23010" s="1" t="str">
        <f>HYPERLINK("http://www.rosaceae.org/gb/gbrowse/malus_x_domestica/?name=MDP0000203079","MDP0000203079")</f>
        <v>MDP0000203079</v>
      </c>
      <c r="D23010">
        <v>29.52</v>
      </c>
      <c r="E23010">
        <v>403</v>
      </c>
      <c r="F23010">
        <v>284</v>
      </c>
      <c r="G23010">
        <v>92</v>
      </c>
      <c r="H23010">
        <v>24</v>
      </c>
      <c r="I23010">
        <v>360</v>
      </c>
      <c r="J23010">
        <v>1</v>
      </c>
      <c r="K23010">
        <v>24</v>
      </c>
      <c r="L23010">
        <v>400</v>
      </c>
      <c r="M23010">
        <v>1</v>
      </c>
      <c r="N23010">
        <v>8.3260999999999995E-34</v>
      </c>
      <c r="O23010">
        <v>358</v>
      </c>
    </row>
    <row r="23011" spans="1:15" x14ac:dyDescent="0.25">
      <c r="A23011" t="s">
        <v>23024</v>
      </c>
      <c r="B23011">
        <v>101</v>
      </c>
      <c r="C23011" s="1" t="str">
        <f>HYPERLINK("http://www.rosaceae.org/gb/gbrowse/malus_x_domestica/?name=MDP0000197744","MDP0000197744")</f>
        <v>MDP0000197744</v>
      </c>
      <c r="D23011">
        <v>65.62</v>
      </c>
      <c r="E23011">
        <v>32</v>
      </c>
      <c r="F23011">
        <v>11</v>
      </c>
      <c r="G23011">
        <v>0</v>
      </c>
      <c r="H23011">
        <v>54</v>
      </c>
      <c r="I23011">
        <v>85</v>
      </c>
      <c r="J23011">
        <v>1</v>
      </c>
      <c r="K23011">
        <v>38</v>
      </c>
      <c r="L23011">
        <v>69</v>
      </c>
      <c r="M23011">
        <v>1</v>
      </c>
      <c r="N23011">
        <v>4.2900500000000002E-7</v>
      </c>
      <c r="O23011">
        <v>119</v>
      </c>
    </row>
    <row r="23012" spans="1:15" x14ac:dyDescent="0.25">
      <c r="A23012" t="s">
        <v>23025</v>
      </c>
      <c r="B23012">
        <v>297</v>
      </c>
      <c r="C23012" s="1" t="str">
        <f>HYPERLINK("http://www.rosaceae.org/gb/gbrowse/malus_x_domestica/?name=MDP0000284664","MDP0000284664")</f>
        <v>MDP0000284664</v>
      </c>
      <c r="D23012">
        <v>41.66</v>
      </c>
      <c r="E23012">
        <v>288</v>
      </c>
      <c r="F23012">
        <v>168</v>
      </c>
      <c r="G23012">
        <v>15</v>
      </c>
      <c r="H23012">
        <v>6</v>
      </c>
      <c r="I23012">
        <v>290</v>
      </c>
      <c r="J23012">
        <v>1</v>
      </c>
      <c r="K23012">
        <v>43</v>
      </c>
      <c r="L23012">
        <v>318</v>
      </c>
      <c r="M23012">
        <v>1</v>
      </c>
      <c r="N23012">
        <v>8.3844300000000002E-54</v>
      </c>
      <c r="O23012">
        <v>528</v>
      </c>
    </row>
    <row r="23013" spans="1:15" x14ac:dyDescent="0.25">
      <c r="A23013" t="s">
        <v>23026</v>
      </c>
      <c r="B23013">
        <v>142</v>
      </c>
      <c r="C23013" s="1" t="str">
        <f>HYPERLINK("http://www.rosaceae.org/gb/gbrowse/malus_x_domestica/?name=MDP0000265164","MDP0000265164")</f>
        <v>MDP0000265164</v>
      </c>
      <c r="D23013">
        <v>44.66</v>
      </c>
      <c r="E23013">
        <v>150</v>
      </c>
      <c r="F23013">
        <v>83</v>
      </c>
      <c r="G23013">
        <v>20</v>
      </c>
      <c r="H23013">
        <v>1</v>
      </c>
      <c r="I23013">
        <v>141</v>
      </c>
      <c r="J23013">
        <v>1</v>
      </c>
      <c r="K23013">
        <v>927</v>
      </c>
      <c r="L23013">
        <v>1065</v>
      </c>
      <c r="M23013">
        <v>1</v>
      </c>
      <c r="N23013">
        <v>1.3433200000000001E-23</v>
      </c>
      <c r="O23013">
        <v>262</v>
      </c>
    </row>
    <row r="23014" spans="1:15" x14ac:dyDescent="0.25">
      <c r="A23014" t="s">
        <v>23027</v>
      </c>
      <c r="B23014">
        <v>544</v>
      </c>
      <c r="C23014" s="1" t="str">
        <f>HYPERLINK("http://www.rosaceae.org/gb/gbrowse/malus_x_domestica/?name=MDP0000296347","MDP0000296347")</f>
        <v>MDP0000296347</v>
      </c>
      <c r="D23014">
        <v>86.82</v>
      </c>
      <c r="E23014">
        <v>296</v>
      </c>
      <c r="F23014">
        <v>39</v>
      </c>
      <c r="G23014">
        <v>0</v>
      </c>
      <c r="H23014">
        <v>1</v>
      </c>
      <c r="I23014">
        <v>296</v>
      </c>
      <c r="J23014">
        <v>1</v>
      </c>
      <c r="K23014">
        <v>217</v>
      </c>
      <c r="L23014">
        <v>512</v>
      </c>
      <c r="M23014">
        <v>1</v>
      </c>
      <c r="N23014">
        <v>1.21338E-154</v>
      </c>
      <c r="O23014">
        <v>1400</v>
      </c>
    </row>
    <row r="23015" spans="1:15" x14ac:dyDescent="0.25">
      <c r="A23015" t="s">
        <v>23028</v>
      </c>
      <c r="B23015">
        <v>1067</v>
      </c>
      <c r="C23015" s="1" t="str">
        <f>HYPERLINK("http://www.rosaceae.org/gb/gbrowse/malus_x_domestica/?name=MDP0000559798","MDP0000559798")</f>
        <v>MDP0000559798</v>
      </c>
      <c r="D23015">
        <v>60.33</v>
      </c>
      <c r="E23015">
        <v>1084</v>
      </c>
      <c r="F23015">
        <v>430</v>
      </c>
      <c r="G23015">
        <v>68</v>
      </c>
      <c r="H23015">
        <v>2</v>
      </c>
      <c r="I23015">
        <v>1050</v>
      </c>
      <c r="J23015">
        <v>1</v>
      </c>
      <c r="K23015">
        <v>12</v>
      </c>
      <c r="L23015">
        <v>1062</v>
      </c>
      <c r="M23015">
        <v>1</v>
      </c>
      <c r="N23015">
        <v>0</v>
      </c>
      <c r="O23015">
        <v>3132</v>
      </c>
    </row>
    <row r="23016" spans="1:15" x14ac:dyDescent="0.25">
      <c r="A23016" t="s">
        <v>23029</v>
      </c>
      <c r="B23016">
        <v>574</v>
      </c>
      <c r="C23016" s="1" t="str">
        <f>HYPERLINK("http://www.rosaceae.org/gb/gbrowse/malus_x_domestica/?name=MDP0000139264","MDP0000139264")</f>
        <v>MDP0000139264</v>
      </c>
      <c r="D23016">
        <v>33.68</v>
      </c>
      <c r="E23016">
        <v>190</v>
      </c>
      <c r="F23016">
        <v>126</v>
      </c>
      <c r="G23016">
        <v>22</v>
      </c>
      <c r="H23016">
        <v>33</v>
      </c>
      <c r="I23016">
        <v>202</v>
      </c>
      <c r="J23016">
        <v>1</v>
      </c>
      <c r="K23016">
        <v>1</v>
      </c>
      <c r="L23016">
        <v>188</v>
      </c>
      <c r="M23016">
        <v>1</v>
      </c>
      <c r="N23016">
        <v>4.5354200000000002E-17</v>
      </c>
      <c r="O23016">
        <v>214</v>
      </c>
    </row>
    <row r="23017" spans="1:15" x14ac:dyDescent="0.25">
      <c r="A23017" t="s">
        <v>23030</v>
      </c>
      <c r="B23017">
        <v>503</v>
      </c>
      <c r="C23017" s="1" t="str">
        <f>HYPERLINK("http://www.rosaceae.org/gb/gbrowse/malus_x_domestica/?name=MDP0000867915","MDP0000867915")</f>
        <v>MDP0000867915</v>
      </c>
      <c r="D23017">
        <v>84.17</v>
      </c>
      <c r="E23017">
        <v>512</v>
      </c>
      <c r="F23017">
        <v>81</v>
      </c>
      <c r="G23017">
        <v>9</v>
      </c>
      <c r="H23017">
        <v>1</v>
      </c>
      <c r="I23017">
        <v>503</v>
      </c>
      <c r="J23017">
        <v>1</v>
      </c>
      <c r="K23017">
        <v>1</v>
      </c>
      <c r="L23017">
        <v>512</v>
      </c>
      <c r="M23017">
        <v>1</v>
      </c>
      <c r="N23017">
        <v>0</v>
      </c>
      <c r="O23017">
        <v>2207</v>
      </c>
    </row>
    <row r="23018" spans="1:15" x14ac:dyDescent="0.25">
      <c r="A23018" t="s">
        <v>23031</v>
      </c>
      <c r="B23018">
        <v>390</v>
      </c>
      <c r="C23018" s="1" t="str">
        <f>HYPERLINK("http://www.rosaceae.org/gb/gbrowse/malus_x_domestica/?name=MDP0000263935","MDP0000263935")</f>
        <v>MDP0000263935</v>
      </c>
      <c r="D23018">
        <v>41.19</v>
      </c>
      <c r="E23018">
        <v>352</v>
      </c>
      <c r="F23018">
        <v>207</v>
      </c>
      <c r="G23018">
        <v>50</v>
      </c>
      <c r="H23018">
        <v>59</v>
      </c>
      <c r="I23018">
        <v>390</v>
      </c>
      <c r="J23018">
        <v>1</v>
      </c>
      <c r="K23018">
        <v>38</v>
      </c>
      <c r="L23018">
        <v>359</v>
      </c>
      <c r="M23018">
        <v>1</v>
      </c>
      <c r="N23018">
        <v>1.54434E-53</v>
      </c>
      <c r="O23018">
        <v>527</v>
      </c>
    </row>
    <row r="23019" spans="1:15" x14ac:dyDescent="0.25">
      <c r="A23019" t="s">
        <v>23032</v>
      </c>
      <c r="B23019">
        <v>261</v>
      </c>
      <c r="C23019" s="1" t="str">
        <f>HYPERLINK("http://www.rosaceae.org/gb/gbrowse/malus_x_domestica/?name=MDP0000720497","MDP0000720497")</f>
        <v>MDP0000720497</v>
      </c>
      <c r="D23019">
        <v>77.92</v>
      </c>
      <c r="E23019">
        <v>77</v>
      </c>
      <c r="F23019">
        <v>17</v>
      </c>
      <c r="G23019">
        <v>0</v>
      </c>
      <c r="H23019">
        <v>7</v>
      </c>
      <c r="I23019">
        <v>83</v>
      </c>
      <c r="J23019">
        <v>1</v>
      </c>
      <c r="K23019">
        <v>48</v>
      </c>
      <c r="L23019">
        <v>124</v>
      </c>
      <c r="M23019">
        <v>1</v>
      </c>
      <c r="N23019">
        <v>2.2742199999999999E-30</v>
      </c>
      <c r="O23019">
        <v>325</v>
      </c>
    </row>
    <row r="23020" spans="1:15" x14ac:dyDescent="0.25">
      <c r="A23020" t="s">
        <v>23033</v>
      </c>
      <c r="B23020">
        <v>348</v>
      </c>
      <c r="C23020" s="1" t="str">
        <f>HYPERLINK("http://www.rosaceae.org/gb/gbrowse/malus_x_domestica/?name=MDP0000213797","MDP0000213797")</f>
        <v>MDP0000213797</v>
      </c>
      <c r="D23020">
        <v>29.47</v>
      </c>
      <c r="E23020">
        <v>190</v>
      </c>
      <c r="F23020">
        <v>134</v>
      </c>
      <c r="G23020">
        <v>29</v>
      </c>
      <c r="H23020">
        <v>183</v>
      </c>
      <c r="I23020">
        <v>347</v>
      </c>
      <c r="J23020">
        <v>1</v>
      </c>
      <c r="K23020">
        <v>207</v>
      </c>
      <c r="L23020">
        <v>392</v>
      </c>
      <c r="M23020">
        <v>1</v>
      </c>
      <c r="N23020">
        <v>2.3300099999999999E-11</v>
      </c>
      <c r="O23020">
        <v>163</v>
      </c>
    </row>
    <row r="23021" spans="1:15" x14ac:dyDescent="0.25">
      <c r="A23021" t="s">
        <v>23034</v>
      </c>
      <c r="B23021">
        <v>181</v>
      </c>
      <c r="C23021" s="1" t="str">
        <f>HYPERLINK("http://www.rosaceae.org/gb/gbrowse/malus_x_domestica/?name=MDP0000334368","MDP0000334368")</f>
        <v>MDP0000334368</v>
      </c>
      <c r="D23021">
        <v>59.64</v>
      </c>
      <c r="E23021">
        <v>57</v>
      </c>
      <c r="F23021">
        <v>23</v>
      </c>
      <c r="G23021">
        <v>11</v>
      </c>
      <c r="H23021">
        <v>46</v>
      </c>
      <c r="I23021">
        <v>91</v>
      </c>
      <c r="J23021">
        <v>1</v>
      </c>
      <c r="K23021">
        <v>57</v>
      </c>
      <c r="L23021">
        <v>113</v>
      </c>
      <c r="M23021">
        <v>1</v>
      </c>
      <c r="N23021">
        <v>1.7450500000000001E-9</v>
      </c>
      <c r="O23021">
        <v>143</v>
      </c>
    </row>
    <row r="23022" spans="1:15" x14ac:dyDescent="0.25">
      <c r="A23022" t="s">
        <v>23035</v>
      </c>
      <c r="B23022">
        <v>492</v>
      </c>
      <c r="C23022" s="1" t="str">
        <f>HYPERLINK("http://www.rosaceae.org/gb/gbrowse/malus_x_domestica/?name=MDP0000426862","MDP0000426862")</f>
        <v>MDP0000426862</v>
      </c>
      <c r="D23022">
        <v>60.17</v>
      </c>
      <c r="E23022">
        <v>462</v>
      </c>
      <c r="F23022">
        <v>184</v>
      </c>
      <c r="G23022">
        <v>29</v>
      </c>
      <c r="H23022">
        <v>16</v>
      </c>
      <c r="I23022">
        <v>471</v>
      </c>
      <c r="J23022">
        <v>1</v>
      </c>
      <c r="K23022">
        <v>26</v>
      </c>
      <c r="L23022">
        <v>464</v>
      </c>
      <c r="M23022">
        <v>1</v>
      </c>
      <c r="N23022">
        <v>2.0328799999999998E-152</v>
      </c>
      <c r="O23022">
        <v>1381</v>
      </c>
    </row>
    <row r="23023" spans="1:15" x14ac:dyDescent="0.25">
      <c r="A23023" t="s">
        <v>23036</v>
      </c>
      <c r="B23023">
        <v>247</v>
      </c>
      <c r="C23023" s="1" t="str">
        <f>HYPERLINK("http://www.rosaceae.org/gb/gbrowse/malus_x_domestica/?name=MDP0000201979","MDP0000201979")</f>
        <v>MDP0000201979</v>
      </c>
      <c r="D23023">
        <v>30.63</v>
      </c>
      <c r="E23023">
        <v>284</v>
      </c>
      <c r="F23023">
        <v>197</v>
      </c>
      <c r="G23023">
        <v>62</v>
      </c>
      <c r="H23023">
        <v>4</v>
      </c>
      <c r="I23023">
        <v>230</v>
      </c>
      <c r="J23023">
        <v>1</v>
      </c>
      <c r="K23023">
        <v>22</v>
      </c>
      <c r="L23023">
        <v>300</v>
      </c>
      <c r="M23023">
        <v>1</v>
      </c>
      <c r="N23023">
        <v>3.39615E-29</v>
      </c>
      <c r="O23023">
        <v>315</v>
      </c>
    </row>
    <row r="23024" spans="1:15" x14ac:dyDescent="0.25">
      <c r="A23024" t="s">
        <v>23037</v>
      </c>
      <c r="B23024">
        <v>582</v>
      </c>
      <c r="C23024" s="1" t="str">
        <f>HYPERLINK("http://www.rosaceae.org/gb/gbrowse/malus_x_domestica/?name=MDP0000260481","MDP0000260481")</f>
        <v>MDP0000260481</v>
      </c>
      <c r="D23024">
        <v>77.14</v>
      </c>
      <c r="E23024">
        <v>582</v>
      </c>
      <c r="F23024">
        <v>133</v>
      </c>
      <c r="G23024">
        <v>0</v>
      </c>
      <c r="H23024">
        <v>1</v>
      </c>
      <c r="I23024">
        <v>582</v>
      </c>
      <c r="J23024">
        <v>1</v>
      </c>
      <c r="K23024">
        <v>363</v>
      </c>
      <c r="L23024">
        <v>944</v>
      </c>
      <c r="M23024">
        <v>1</v>
      </c>
      <c r="N23024">
        <v>0</v>
      </c>
      <c r="O23024">
        <v>2404</v>
      </c>
    </row>
    <row r="23025" spans="1:15" x14ac:dyDescent="0.25">
      <c r="A23025" t="s">
        <v>23038</v>
      </c>
      <c r="B23025">
        <v>306</v>
      </c>
      <c r="C23025" s="1" t="str">
        <f>HYPERLINK("http://www.rosaceae.org/gb/gbrowse/malus_x_domestica/?name=MDP0000272612","MDP0000272612")</f>
        <v>MDP0000272612</v>
      </c>
      <c r="D23025">
        <v>49.21</v>
      </c>
      <c r="E23025">
        <v>317</v>
      </c>
      <c r="F23025">
        <v>161</v>
      </c>
      <c r="G23025">
        <v>24</v>
      </c>
      <c r="H23025">
        <v>1</v>
      </c>
      <c r="I23025">
        <v>306</v>
      </c>
      <c r="J23025">
        <v>1</v>
      </c>
      <c r="K23025">
        <v>1</v>
      </c>
      <c r="L23025">
        <v>304</v>
      </c>
      <c r="M23025">
        <v>1</v>
      </c>
      <c r="N23025">
        <v>4.3441E-61</v>
      </c>
      <c r="O23025">
        <v>591</v>
      </c>
    </row>
    <row r="23026" spans="1:15" x14ac:dyDescent="0.25">
      <c r="A23026" t="s">
        <v>23039</v>
      </c>
      <c r="B23026">
        <v>337</v>
      </c>
      <c r="C23026" s="1" t="str">
        <f>HYPERLINK("http://www.rosaceae.org/gb/gbrowse/malus_x_domestica/?name=MDP0000301641","MDP0000301641")</f>
        <v>MDP0000301641</v>
      </c>
      <c r="D23026">
        <v>27.27</v>
      </c>
      <c r="E23026">
        <v>143</v>
      </c>
      <c r="F23026">
        <v>104</v>
      </c>
      <c r="G23026">
        <v>7</v>
      </c>
      <c r="H23026">
        <v>32</v>
      </c>
      <c r="I23026">
        <v>171</v>
      </c>
      <c r="J23026">
        <v>1</v>
      </c>
      <c r="K23026">
        <v>118</v>
      </c>
      <c r="L23026">
        <v>256</v>
      </c>
      <c r="M23026">
        <v>1</v>
      </c>
      <c r="N23026">
        <v>6.81192E-8</v>
      </c>
      <c r="O23026">
        <v>133</v>
      </c>
    </row>
    <row r="23027" spans="1:15" x14ac:dyDescent="0.25">
      <c r="A23027" t="s">
        <v>23040</v>
      </c>
      <c r="B23027">
        <v>274</v>
      </c>
      <c r="C23027" s="1" t="str">
        <f>HYPERLINK("http://www.rosaceae.org/gb/gbrowse/malus_x_domestica/?name=MDP0000717197","MDP0000717197")</f>
        <v>MDP0000717197</v>
      </c>
      <c r="D23027">
        <v>66.900000000000006</v>
      </c>
      <c r="E23027">
        <v>278</v>
      </c>
      <c r="F23027">
        <v>92</v>
      </c>
      <c r="G23027">
        <v>4</v>
      </c>
      <c r="H23027">
        <v>1</v>
      </c>
      <c r="I23027">
        <v>274</v>
      </c>
      <c r="J23027">
        <v>1</v>
      </c>
      <c r="K23027">
        <v>1</v>
      </c>
      <c r="L23027">
        <v>278</v>
      </c>
      <c r="M23027">
        <v>1</v>
      </c>
      <c r="N23027">
        <v>2.5707500000000001E-103</v>
      </c>
      <c r="O23027">
        <v>954</v>
      </c>
    </row>
    <row r="23028" spans="1:15" x14ac:dyDescent="0.25">
      <c r="A23028" t="s">
        <v>23041</v>
      </c>
      <c r="B23028">
        <v>674</v>
      </c>
      <c r="C23028" s="1" t="str">
        <f>HYPERLINK("http://www.rosaceae.org/gb/gbrowse/malus_x_domestica/?name=MDP0000937086","MDP0000937086")</f>
        <v>MDP0000937086</v>
      </c>
      <c r="D23028">
        <v>65.56</v>
      </c>
      <c r="E23028">
        <v>543</v>
      </c>
      <c r="F23028">
        <v>187</v>
      </c>
      <c r="G23028">
        <v>19</v>
      </c>
      <c r="H23028">
        <v>105</v>
      </c>
      <c r="I23028">
        <v>636</v>
      </c>
      <c r="J23028">
        <v>1</v>
      </c>
      <c r="K23028">
        <v>151</v>
      </c>
      <c r="L23028">
        <v>685</v>
      </c>
      <c r="M23028">
        <v>1</v>
      </c>
      <c r="N23028">
        <v>0</v>
      </c>
      <c r="O23028">
        <v>1690</v>
      </c>
    </row>
    <row r="23029" spans="1:15" x14ac:dyDescent="0.25">
      <c r="A23029" t="s">
        <v>23042</v>
      </c>
      <c r="B23029">
        <v>360</v>
      </c>
      <c r="C23029" s="1" t="str">
        <f>HYPERLINK("http://www.rosaceae.org/gb/gbrowse/malus_x_domestica/?name=MDP0000500222","MDP0000500222")</f>
        <v>MDP0000500222</v>
      </c>
      <c r="D23029">
        <v>28.89</v>
      </c>
      <c r="E23029">
        <v>308</v>
      </c>
      <c r="F23029">
        <v>219</v>
      </c>
      <c r="G23029">
        <v>44</v>
      </c>
      <c r="H23029">
        <v>8</v>
      </c>
      <c r="I23029">
        <v>292</v>
      </c>
      <c r="J23029">
        <v>1</v>
      </c>
      <c r="K23029">
        <v>73</v>
      </c>
      <c r="L23029">
        <v>359</v>
      </c>
      <c r="M23029">
        <v>1</v>
      </c>
      <c r="N23029">
        <v>1.4287600000000001E-24</v>
      </c>
      <c r="O23029">
        <v>277</v>
      </c>
    </row>
    <row r="23030" spans="1:15" x14ac:dyDescent="0.25">
      <c r="A23030" t="s">
        <v>23043</v>
      </c>
      <c r="B23030">
        <v>958</v>
      </c>
      <c r="C23030" s="1" t="str">
        <f>HYPERLINK("http://www.rosaceae.org/gb/gbrowse/malus_x_domestica/?name=MDP0000197330","MDP0000197330")</f>
        <v>MDP0000197330</v>
      </c>
      <c r="D23030">
        <v>49.39</v>
      </c>
      <c r="E23030">
        <v>658</v>
      </c>
      <c r="F23030">
        <v>333</v>
      </c>
      <c r="G23030">
        <v>76</v>
      </c>
      <c r="H23030">
        <v>308</v>
      </c>
      <c r="I23030">
        <v>958</v>
      </c>
      <c r="J23030">
        <v>1</v>
      </c>
      <c r="K23030">
        <v>4</v>
      </c>
      <c r="L23030">
        <v>592</v>
      </c>
      <c r="M23030">
        <v>1</v>
      </c>
      <c r="N23030">
        <v>7.8096300000000002E-150</v>
      </c>
      <c r="O23030">
        <v>1361</v>
      </c>
    </row>
    <row r="23031" spans="1:15" x14ac:dyDescent="0.25">
      <c r="A23031" t="s">
        <v>23044</v>
      </c>
      <c r="B23031">
        <v>96</v>
      </c>
      <c r="C23031" s="1" t="str">
        <f>HYPERLINK("http://www.rosaceae.org/gb/gbrowse/malus_x_domestica/?name=MDP0000222270","MDP0000222270")</f>
        <v>MDP0000222270</v>
      </c>
      <c r="D23031">
        <v>67.7</v>
      </c>
      <c r="E23031">
        <v>96</v>
      </c>
      <c r="F23031">
        <v>31</v>
      </c>
      <c r="G23031">
        <v>6</v>
      </c>
      <c r="H23031">
        <v>6</v>
      </c>
      <c r="I23031">
        <v>95</v>
      </c>
      <c r="J23031">
        <v>1</v>
      </c>
      <c r="K23031">
        <v>359</v>
      </c>
      <c r="L23031">
        <v>454</v>
      </c>
      <c r="M23031">
        <v>1</v>
      </c>
      <c r="N23031">
        <v>1.5216700000000001E-32</v>
      </c>
      <c r="O23031">
        <v>338</v>
      </c>
    </row>
    <row r="23032" spans="1:15" x14ac:dyDescent="0.25">
      <c r="A23032" t="s">
        <v>23045</v>
      </c>
      <c r="B23032">
        <v>625</v>
      </c>
      <c r="C23032" s="1" t="str">
        <f>HYPERLINK("http://www.rosaceae.org/gb/gbrowse/malus_x_domestica/?name=MDP0000256162","MDP0000256162")</f>
        <v>MDP0000256162</v>
      </c>
      <c r="D23032">
        <v>75.63</v>
      </c>
      <c r="E23032">
        <v>357</v>
      </c>
      <c r="F23032">
        <v>87</v>
      </c>
      <c r="G23032">
        <v>17</v>
      </c>
      <c r="H23032">
        <v>266</v>
      </c>
      <c r="I23032">
        <v>620</v>
      </c>
      <c r="J23032">
        <v>1</v>
      </c>
      <c r="K23032">
        <v>36</v>
      </c>
      <c r="L23032">
        <v>377</v>
      </c>
      <c r="M23032">
        <v>1</v>
      </c>
      <c r="N23032">
        <v>6.9383999999999997E-156</v>
      </c>
      <c r="O23032">
        <v>1412</v>
      </c>
    </row>
    <row r="23033" spans="1:15" x14ac:dyDescent="0.25">
      <c r="A23033" t="s">
        <v>23046</v>
      </c>
      <c r="B23033">
        <v>264</v>
      </c>
      <c r="C23033" s="1" t="str">
        <f>HYPERLINK("http://www.rosaceae.org/gb/gbrowse/malus_x_domestica/?name=MDP0000695917","MDP0000695917")</f>
        <v>MDP0000695917</v>
      </c>
      <c r="D23033">
        <v>55.55</v>
      </c>
      <c r="E23033">
        <v>198</v>
      </c>
      <c r="F23033">
        <v>88</v>
      </c>
      <c r="G23033">
        <v>3</v>
      </c>
      <c r="H23033">
        <v>69</v>
      </c>
      <c r="I23033">
        <v>264</v>
      </c>
      <c r="J23033">
        <v>1</v>
      </c>
      <c r="K23033">
        <v>31</v>
      </c>
      <c r="L23033">
        <v>227</v>
      </c>
      <c r="M23033">
        <v>1</v>
      </c>
      <c r="N23033">
        <v>5.3760300000000003E-57</v>
      </c>
      <c r="O23033">
        <v>555</v>
      </c>
    </row>
    <row r="23034" spans="1:15" x14ac:dyDescent="0.25">
      <c r="A23034" t="s">
        <v>23047</v>
      </c>
      <c r="B23034">
        <v>402</v>
      </c>
      <c r="C23034" s="1" t="str">
        <f>HYPERLINK("http://www.rosaceae.org/gb/gbrowse/malus_x_domestica/?name=MDP0000306587","MDP0000306587")</f>
        <v>MDP0000306587</v>
      </c>
      <c r="D23034">
        <v>29.7</v>
      </c>
      <c r="E23034">
        <v>377</v>
      </c>
      <c r="F23034">
        <v>265</v>
      </c>
      <c r="G23034">
        <v>37</v>
      </c>
      <c r="H23034">
        <v>7</v>
      </c>
      <c r="I23034">
        <v>364</v>
      </c>
      <c r="J23034">
        <v>1</v>
      </c>
      <c r="K23034">
        <v>116</v>
      </c>
      <c r="L23034">
        <v>474</v>
      </c>
      <c r="M23034">
        <v>1</v>
      </c>
      <c r="N23034">
        <v>1.0233500000000001E-36</v>
      </c>
      <c r="O23034">
        <v>382</v>
      </c>
    </row>
    <row r="23035" spans="1:15" x14ac:dyDescent="0.25">
      <c r="A23035" t="s">
        <v>23048</v>
      </c>
      <c r="B23035">
        <v>366</v>
      </c>
      <c r="C23035" s="1" t="str">
        <f>HYPERLINK("http://www.rosaceae.org/gb/gbrowse/malus_x_domestica/?name=MDP0000259036","MDP0000259036")</f>
        <v>MDP0000259036</v>
      </c>
      <c r="D23035">
        <v>47.13</v>
      </c>
      <c r="E23035">
        <v>437</v>
      </c>
      <c r="F23035">
        <v>231</v>
      </c>
      <c r="G23035">
        <v>71</v>
      </c>
      <c r="H23035">
        <v>1</v>
      </c>
      <c r="I23035">
        <v>366</v>
      </c>
      <c r="J23035">
        <v>1</v>
      </c>
      <c r="K23035">
        <v>228</v>
      </c>
      <c r="L23035">
        <v>664</v>
      </c>
      <c r="M23035">
        <v>1</v>
      </c>
      <c r="N23035">
        <v>5.2605599999999998E-98</v>
      </c>
      <c r="O23035">
        <v>910</v>
      </c>
    </row>
    <row r="23036" spans="1:15" x14ac:dyDescent="0.25">
      <c r="A23036" t="s">
        <v>23049</v>
      </c>
      <c r="B23036">
        <v>354</v>
      </c>
      <c r="C23036" s="1" t="str">
        <f>HYPERLINK("http://www.rosaceae.org/gb/gbrowse/malus_x_domestica/?name=MDP0000276900","MDP0000276900")</f>
        <v>MDP0000276900</v>
      </c>
      <c r="D23036">
        <v>63.42</v>
      </c>
      <c r="E23036">
        <v>339</v>
      </c>
      <c r="F23036">
        <v>124</v>
      </c>
      <c r="G23036">
        <v>15</v>
      </c>
      <c r="H23036">
        <v>1</v>
      </c>
      <c r="I23036">
        <v>331</v>
      </c>
      <c r="J23036">
        <v>1</v>
      </c>
      <c r="K23036">
        <v>1</v>
      </c>
      <c r="L23036">
        <v>332</v>
      </c>
      <c r="M23036">
        <v>1</v>
      </c>
      <c r="N23036">
        <v>9.5879199999999995E-110</v>
      </c>
      <c r="O23036">
        <v>1011</v>
      </c>
    </row>
    <row r="23037" spans="1:15" x14ac:dyDescent="0.25">
      <c r="A23037" t="s">
        <v>23050</v>
      </c>
      <c r="B23037">
        <v>240</v>
      </c>
      <c r="C23037" s="1" t="str">
        <f>HYPERLINK("http://www.rosaceae.org/gb/gbrowse/malus_x_domestica/?name=MDP0000279333","MDP0000279333")</f>
        <v>MDP0000279333</v>
      </c>
      <c r="D23037">
        <v>80.680000000000007</v>
      </c>
      <c r="E23037">
        <v>176</v>
      </c>
      <c r="F23037">
        <v>34</v>
      </c>
      <c r="G23037">
        <v>5</v>
      </c>
      <c r="H23037">
        <v>66</v>
      </c>
      <c r="I23037">
        <v>236</v>
      </c>
      <c r="J23037">
        <v>1</v>
      </c>
      <c r="K23037">
        <v>1</v>
      </c>
      <c r="L23037">
        <v>176</v>
      </c>
      <c r="M23037">
        <v>1</v>
      </c>
      <c r="N23037">
        <v>2.9893500000000001E-78</v>
      </c>
      <c r="O23037">
        <v>738</v>
      </c>
    </row>
    <row r="23038" spans="1:15" x14ac:dyDescent="0.25">
      <c r="A23038" t="s">
        <v>23051</v>
      </c>
      <c r="B23038">
        <v>477</v>
      </c>
      <c r="C23038" s="1" t="str">
        <f>HYPERLINK("http://www.rosaceae.org/gb/gbrowse/malus_x_domestica/?name=MDP0000827125","MDP0000827125")</f>
        <v>MDP0000827125</v>
      </c>
      <c r="D23038">
        <v>57.89</v>
      </c>
      <c r="E23038">
        <v>114</v>
      </c>
      <c r="F23038">
        <v>48</v>
      </c>
      <c r="G23038">
        <v>2</v>
      </c>
      <c r="H23038">
        <v>1</v>
      </c>
      <c r="I23038">
        <v>114</v>
      </c>
      <c r="J23038">
        <v>1</v>
      </c>
      <c r="K23038">
        <v>1</v>
      </c>
      <c r="L23038">
        <v>112</v>
      </c>
      <c r="M23038">
        <v>1</v>
      </c>
      <c r="N23038">
        <v>6.5469800000000003E-32</v>
      </c>
      <c r="O23038">
        <v>341</v>
      </c>
    </row>
    <row r="23039" spans="1:15" x14ac:dyDescent="0.25">
      <c r="A23039" t="s">
        <v>23052</v>
      </c>
      <c r="B23039">
        <v>209</v>
      </c>
      <c r="C23039" s="1" t="str">
        <f>HYPERLINK("http://www.rosaceae.org/gb/gbrowse/malus_x_domestica/?name=MDP0000132406","MDP0000132406")</f>
        <v>MDP0000132406</v>
      </c>
      <c r="D23039">
        <v>31.31</v>
      </c>
      <c r="E23039">
        <v>182</v>
      </c>
      <c r="F23039">
        <v>125</v>
      </c>
      <c r="G23039">
        <v>27</v>
      </c>
      <c r="H23039">
        <v>1</v>
      </c>
      <c r="I23039">
        <v>157</v>
      </c>
      <c r="J23039">
        <v>1</v>
      </c>
      <c r="K23039">
        <v>168</v>
      </c>
      <c r="L23039">
        <v>347</v>
      </c>
      <c r="M23039">
        <v>1</v>
      </c>
      <c r="N23039">
        <v>2.17337E-13</v>
      </c>
      <c r="O23039">
        <v>177</v>
      </c>
    </row>
    <row r="23040" spans="1:15" x14ac:dyDescent="0.25">
      <c r="A23040" t="s">
        <v>23053</v>
      </c>
      <c r="B23040">
        <v>338</v>
      </c>
      <c r="C23040" s="1" t="str">
        <f>HYPERLINK("http://www.rosaceae.org/gb/gbrowse/malus_x_domestica/?name=MDP0000298769","MDP0000298769")</f>
        <v>MDP0000298769</v>
      </c>
      <c r="D23040">
        <v>70.260000000000005</v>
      </c>
      <c r="E23040">
        <v>343</v>
      </c>
      <c r="F23040">
        <v>102</v>
      </c>
      <c r="G23040">
        <v>18</v>
      </c>
      <c r="H23040">
        <v>1</v>
      </c>
      <c r="I23040">
        <v>335</v>
      </c>
      <c r="J23040">
        <v>1</v>
      </c>
      <c r="K23040">
        <v>328</v>
      </c>
      <c r="L23040">
        <v>660</v>
      </c>
      <c r="M23040">
        <v>1</v>
      </c>
      <c r="N23040">
        <v>4.4703199999999997E-123</v>
      </c>
      <c r="O23040">
        <v>1126</v>
      </c>
    </row>
    <row r="23041" spans="1:15" x14ac:dyDescent="0.25">
      <c r="A23041" t="s">
        <v>23054</v>
      </c>
      <c r="B23041">
        <v>215</v>
      </c>
      <c r="C23041" s="1" t="str">
        <f>HYPERLINK("http://www.rosaceae.org/gb/gbrowse/malus_x_domestica/?name=MDP0000303737","MDP0000303737")</f>
        <v>MDP0000303737</v>
      </c>
      <c r="D23041">
        <v>38.29</v>
      </c>
      <c r="E23041">
        <v>94</v>
      </c>
      <c r="F23041">
        <v>58</v>
      </c>
      <c r="G23041">
        <v>10</v>
      </c>
      <c r="H23041">
        <v>5</v>
      </c>
      <c r="I23041">
        <v>90</v>
      </c>
      <c r="J23041">
        <v>1</v>
      </c>
      <c r="K23041">
        <v>359</v>
      </c>
      <c r="L23041">
        <v>450</v>
      </c>
      <c r="M23041">
        <v>1</v>
      </c>
      <c r="N23041">
        <v>1.27841E-12</v>
      </c>
      <c r="O23041">
        <v>171</v>
      </c>
    </row>
    <row r="23042" spans="1:15" x14ac:dyDescent="0.25">
      <c r="A23042" t="s">
        <v>23055</v>
      </c>
      <c r="B23042">
        <v>171</v>
      </c>
      <c r="C23042" s="1" t="str">
        <f>HYPERLINK("http://www.rosaceae.org/gb/gbrowse/malus_x_domestica/?name=MDP0000147610","MDP0000147610")</f>
        <v>MDP0000147610</v>
      </c>
      <c r="D23042">
        <v>78.36</v>
      </c>
      <c r="E23042">
        <v>171</v>
      </c>
      <c r="F23042">
        <v>37</v>
      </c>
      <c r="G23042">
        <v>3</v>
      </c>
      <c r="H23042">
        <v>1</v>
      </c>
      <c r="I23042">
        <v>171</v>
      </c>
      <c r="J23042">
        <v>1</v>
      </c>
      <c r="K23042">
        <v>1</v>
      </c>
      <c r="L23042">
        <v>168</v>
      </c>
      <c r="M23042">
        <v>1</v>
      </c>
      <c r="N23042">
        <v>2.6615800000000001E-74</v>
      </c>
      <c r="O23042">
        <v>701</v>
      </c>
    </row>
    <row r="23043" spans="1:15" x14ac:dyDescent="0.25">
      <c r="A23043" t="s">
        <v>23056</v>
      </c>
      <c r="B23043">
        <v>328</v>
      </c>
      <c r="C23043" s="1" t="str">
        <f>HYPERLINK("http://www.rosaceae.org/gb/gbrowse/malus_x_domestica/?name=MDP0000147916","MDP0000147916")</f>
        <v>MDP0000147916</v>
      </c>
      <c r="D23043">
        <v>74.92</v>
      </c>
      <c r="E23043">
        <v>339</v>
      </c>
      <c r="F23043">
        <v>85</v>
      </c>
      <c r="G23043">
        <v>17</v>
      </c>
      <c r="H23043">
        <v>1</v>
      </c>
      <c r="I23043">
        <v>328</v>
      </c>
      <c r="J23043">
        <v>1</v>
      </c>
      <c r="K23043">
        <v>40</v>
      </c>
      <c r="L23043">
        <v>372</v>
      </c>
      <c r="M23043">
        <v>1</v>
      </c>
      <c r="N23043">
        <v>1.37931E-143</v>
      </c>
      <c r="O23043">
        <v>1303</v>
      </c>
    </row>
    <row r="23044" spans="1:15" x14ac:dyDescent="0.25">
      <c r="A23044" t="s">
        <v>23057</v>
      </c>
      <c r="B23044">
        <v>448</v>
      </c>
      <c r="C23044" s="1" t="str">
        <f>HYPERLINK("http://www.rosaceae.org/gb/gbrowse/malus_x_domestica/?name=MDP0000174316","MDP0000174316")</f>
        <v>MDP0000174316</v>
      </c>
      <c r="D23044">
        <v>77.5</v>
      </c>
      <c r="E23044">
        <v>369</v>
      </c>
      <c r="F23044">
        <v>83</v>
      </c>
      <c r="G23044">
        <v>2</v>
      </c>
      <c r="H23044">
        <v>31</v>
      </c>
      <c r="I23044">
        <v>399</v>
      </c>
      <c r="J23044">
        <v>1</v>
      </c>
      <c r="K23044">
        <v>1</v>
      </c>
      <c r="L23044">
        <v>367</v>
      </c>
      <c r="M23044">
        <v>1</v>
      </c>
      <c r="N23044">
        <v>7.0701799999999994E-176</v>
      </c>
      <c r="O23044">
        <v>1583</v>
      </c>
    </row>
    <row r="23045" spans="1:15" x14ac:dyDescent="0.25">
      <c r="A23045" t="s">
        <v>23058</v>
      </c>
      <c r="B23045">
        <v>1734</v>
      </c>
      <c r="C23045" s="1" t="str">
        <f>HYPERLINK("http://www.rosaceae.org/gb/gbrowse/malus_x_domestica/?name=MDP0000162375","MDP0000162375")</f>
        <v>MDP0000162375</v>
      </c>
      <c r="D23045">
        <v>59.9</v>
      </c>
      <c r="E23045">
        <v>803</v>
      </c>
      <c r="F23045">
        <v>322</v>
      </c>
      <c r="G23045">
        <v>12</v>
      </c>
      <c r="H23045">
        <v>1</v>
      </c>
      <c r="I23045">
        <v>802</v>
      </c>
      <c r="J23045">
        <v>1</v>
      </c>
      <c r="K23045">
        <v>1</v>
      </c>
      <c r="L23045">
        <v>792</v>
      </c>
      <c r="M23045">
        <v>1</v>
      </c>
      <c r="N23045">
        <v>0</v>
      </c>
      <c r="O23045">
        <v>2432</v>
      </c>
    </row>
    <row r="23046" spans="1:15" x14ac:dyDescent="0.25">
      <c r="A23046" t="s">
        <v>23059</v>
      </c>
      <c r="B23046">
        <v>167</v>
      </c>
      <c r="C23046" s="1" t="str">
        <f>HYPERLINK("http://www.rosaceae.org/gb/gbrowse/malus_x_domestica/?name=MDP0000263391","MDP0000263391")</f>
        <v>MDP0000263391</v>
      </c>
      <c r="D23046">
        <v>50</v>
      </c>
      <c r="E23046">
        <v>80</v>
      </c>
      <c r="F23046">
        <v>40</v>
      </c>
      <c r="G23046">
        <v>5</v>
      </c>
      <c r="H23046">
        <v>74</v>
      </c>
      <c r="I23046">
        <v>153</v>
      </c>
      <c r="J23046">
        <v>1</v>
      </c>
      <c r="K23046">
        <v>33</v>
      </c>
      <c r="L23046">
        <v>107</v>
      </c>
      <c r="M23046">
        <v>1</v>
      </c>
      <c r="N23046">
        <v>5.0790000000000003E-16</v>
      </c>
      <c r="O23046">
        <v>198</v>
      </c>
    </row>
    <row r="23047" spans="1:15" x14ac:dyDescent="0.25">
      <c r="A23047" t="s">
        <v>23060</v>
      </c>
      <c r="B23047">
        <v>827</v>
      </c>
      <c r="C23047" s="1" t="str">
        <f>HYPERLINK("http://www.rosaceae.org/gb/gbrowse/malus_x_domestica/?name=MDP0000132406","MDP0000132406")</f>
        <v>MDP0000132406</v>
      </c>
      <c r="D23047">
        <v>41.29</v>
      </c>
      <c r="E23047">
        <v>385</v>
      </c>
      <c r="F23047">
        <v>226</v>
      </c>
      <c r="G23047">
        <v>44</v>
      </c>
      <c r="H23047">
        <v>124</v>
      </c>
      <c r="I23047">
        <v>488</v>
      </c>
      <c r="J23047">
        <v>1</v>
      </c>
      <c r="K23047">
        <v>40</v>
      </c>
      <c r="L23047">
        <v>400</v>
      </c>
      <c r="M23047">
        <v>1</v>
      </c>
      <c r="N23047">
        <v>1.63613E-57</v>
      </c>
      <c r="O23047">
        <v>565</v>
      </c>
    </row>
    <row r="23048" spans="1:15" x14ac:dyDescent="0.25">
      <c r="A23048" t="s">
        <v>23061</v>
      </c>
      <c r="B23048">
        <v>326</v>
      </c>
      <c r="C23048" s="1" t="str">
        <f>HYPERLINK("http://www.rosaceae.org/gb/gbrowse/malus_x_domestica/?name=MDP0000675233","MDP0000675233")</f>
        <v>MDP0000675233</v>
      </c>
      <c r="D23048">
        <v>62.88</v>
      </c>
      <c r="E23048">
        <v>326</v>
      </c>
      <c r="F23048">
        <v>121</v>
      </c>
      <c r="G23048">
        <v>41</v>
      </c>
      <c r="H23048">
        <v>1</v>
      </c>
      <c r="I23048">
        <v>326</v>
      </c>
      <c r="J23048">
        <v>1</v>
      </c>
      <c r="K23048">
        <v>1</v>
      </c>
      <c r="L23048">
        <v>285</v>
      </c>
      <c r="M23048">
        <v>1</v>
      </c>
      <c r="N23048">
        <v>2.89598E-115</v>
      </c>
      <c r="O23048">
        <v>1058</v>
      </c>
    </row>
    <row r="23049" spans="1:15" x14ac:dyDescent="0.25">
      <c r="A23049" t="s">
        <v>23062</v>
      </c>
      <c r="B23049">
        <v>347</v>
      </c>
      <c r="C23049" s="1" t="str">
        <f>HYPERLINK("http://www.rosaceae.org/gb/gbrowse/malus_x_domestica/?name=MDP0000167289","MDP0000167289")</f>
        <v>MDP0000167289</v>
      </c>
      <c r="D23049">
        <v>58.4</v>
      </c>
      <c r="E23049">
        <v>125</v>
      </c>
      <c r="F23049">
        <v>52</v>
      </c>
      <c r="G23049">
        <v>8</v>
      </c>
      <c r="H23049">
        <v>105</v>
      </c>
      <c r="I23049">
        <v>227</v>
      </c>
      <c r="J23049">
        <v>1</v>
      </c>
      <c r="K23049">
        <v>378</v>
      </c>
      <c r="L23049">
        <v>496</v>
      </c>
      <c r="M23049">
        <v>1</v>
      </c>
      <c r="N23049">
        <v>2.4670099999999999E-30</v>
      </c>
      <c r="O23049">
        <v>326</v>
      </c>
    </row>
    <row r="23050" spans="1:15" x14ac:dyDescent="0.25">
      <c r="A23050" t="s">
        <v>23063</v>
      </c>
      <c r="B23050">
        <v>1653</v>
      </c>
      <c r="C23050" s="1" t="str">
        <f>HYPERLINK("http://www.rosaceae.org/gb/gbrowse/malus_x_domestica/?name=MDP0000192242","MDP0000192242")</f>
        <v>MDP0000192242</v>
      </c>
      <c r="D23050">
        <v>74.739999999999995</v>
      </c>
      <c r="E23050">
        <v>396</v>
      </c>
      <c r="F23050">
        <v>100</v>
      </c>
      <c r="G23050">
        <v>13</v>
      </c>
      <c r="H23050">
        <v>60</v>
      </c>
      <c r="I23050">
        <v>442</v>
      </c>
      <c r="J23050">
        <v>1</v>
      </c>
      <c r="K23050">
        <v>17</v>
      </c>
      <c r="L23050">
        <v>412</v>
      </c>
      <c r="M23050">
        <v>1</v>
      </c>
      <c r="N23050">
        <v>2.5078200000000002E-176</v>
      </c>
      <c r="O23050">
        <v>1592</v>
      </c>
    </row>
    <row r="23051" spans="1:15" x14ac:dyDescent="0.25">
      <c r="A23051" t="s">
        <v>23064</v>
      </c>
      <c r="B23051">
        <v>833</v>
      </c>
      <c r="C23051" s="1" t="str">
        <f>HYPERLINK("http://www.rosaceae.org/gb/gbrowse/malus_x_domestica/?name=MDP0000291514","MDP0000291514")</f>
        <v>MDP0000291514</v>
      </c>
      <c r="D23051">
        <v>68.36</v>
      </c>
      <c r="E23051">
        <v>784</v>
      </c>
      <c r="F23051">
        <v>248</v>
      </c>
      <c r="G23051">
        <v>46</v>
      </c>
      <c r="H23051">
        <v>1</v>
      </c>
      <c r="I23051">
        <v>781</v>
      </c>
      <c r="J23051">
        <v>1</v>
      </c>
      <c r="K23051">
        <v>5</v>
      </c>
      <c r="L23051">
        <v>745</v>
      </c>
      <c r="M23051">
        <v>1</v>
      </c>
      <c r="N23051">
        <v>0</v>
      </c>
      <c r="O23051">
        <v>2867</v>
      </c>
    </row>
    <row r="23052" spans="1:15" x14ac:dyDescent="0.25">
      <c r="A23052" t="s">
        <v>23065</v>
      </c>
      <c r="B23052">
        <v>156</v>
      </c>
      <c r="C23052" s="1" t="str">
        <f>HYPERLINK("http://www.rosaceae.org/gb/gbrowse/malus_x_domestica/?name=MDP0000866236","MDP0000866236")</f>
        <v>MDP0000866236</v>
      </c>
      <c r="D23052">
        <v>87.31</v>
      </c>
      <c r="E23052">
        <v>134</v>
      </c>
      <c r="F23052">
        <v>17</v>
      </c>
      <c r="G23052">
        <v>0</v>
      </c>
      <c r="H23052">
        <v>1</v>
      </c>
      <c r="I23052">
        <v>134</v>
      </c>
      <c r="J23052">
        <v>1</v>
      </c>
      <c r="K23052">
        <v>45</v>
      </c>
      <c r="L23052">
        <v>178</v>
      </c>
      <c r="M23052">
        <v>1</v>
      </c>
      <c r="N23052">
        <v>2.0874400000000001E-68</v>
      </c>
      <c r="O23052">
        <v>650</v>
      </c>
    </row>
    <row r="23053" spans="1:15" x14ac:dyDescent="0.25">
      <c r="A23053" t="s">
        <v>23066</v>
      </c>
      <c r="B23053">
        <v>328</v>
      </c>
      <c r="C23053" s="1" t="str">
        <f>HYPERLINK("http://www.rosaceae.org/gb/gbrowse/malus_x_domestica/?name=MDP0000315478","MDP0000315478")</f>
        <v>MDP0000315478</v>
      </c>
      <c r="D23053">
        <v>84.45</v>
      </c>
      <c r="E23053">
        <v>328</v>
      </c>
      <c r="F23053">
        <v>51</v>
      </c>
      <c r="G23053">
        <v>4</v>
      </c>
      <c r="H23053">
        <v>1</v>
      </c>
      <c r="I23053">
        <v>328</v>
      </c>
      <c r="J23053">
        <v>1</v>
      </c>
      <c r="K23053">
        <v>1</v>
      </c>
      <c r="L23053">
        <v>324</v>
      </c>
      <c r="M23053">
        <v>1</v>
      </c>
      <c r="N23053">
        <v>7.6469400000000005E-164</v>
      </c>
      <c r="O23053">
        <v>1477</v>
      </c>
    </row>
    <row r="23054" spans="1:15" x14ac:dyDescent="0.25">
      <c r="A23054" t="s">
        <v>23067</v>
      </c>
      <c r="B23054">
        <v>511</v>
      </c>
      <c r="C23054" s="1" t="str">
        <f>HYPERLINK("http://www.rosaceae.org/gb/gbrowse/malus_x_domestica/?name=MDP0000265388","MDP0000265388")</f>
        <v>MDP0000265388</v>
      </c>
      <c r="D23054">
        <v>54.06</v>
      </c>
      <c r="E23054">
        <v>320</v>
      </c>
      <c r="F23054">
        <v>147</v>
      </c>
      <c r="G23054">
        <v>40</v>
      </c>
      <c r="H23054">
        <v>1</v>
      </c>
      <c r="I23054">
        <v>314</v>
      </c>
      <c r="J23054">
        <v>1</v>
      </c>
      <c r="K23054">
        <v>360</v>
      </c>
      <c r="L23054">
        <v>645</v>
      </c>
      <c r="M23054">
        <v>1</v>
      </c>
      <c r="N23054">
        <v>4.5777899999999997E-80</v>
      </c>
      <c r="O23054">
        <v>757</v>
      </c>
    </row>
    <row r="23055" spans="1:15" x14ac:dyDescent="0.25">
      <c r="A23055" t="s">
        <v>23068</v>
      </c>
      <c r="B23055">
        <v>1112</v>
      </c>
      <c r="C23055" s="1" t="str">
        <f>HYPERLINK("http://www.rosaceae.org/gb/gbrowse/malus_x_domestica/?name=MDP0000262273","MDP0000262273")</f>
        <v>MDP0000262273</v>
      </c>
      <c r="D23055">
        <v>57.58</v>
      </c>
      <c r="E23055">
        <v>1174</v>
      </c>
      <c r="F23055">
        <v>498</v>
      </c>
      <c r="G23055">
        <v>100</v>
      </c>
      <c r="H23055">
        <v>1</v>
      </c>
      <c r="I23055">
        <v>1112</v>
      </c>
      <c r="J23055">
        <v>1</v>
      </c>
      <c r="K23055">
        <v>56</v>
      </c>
      <c r="L23055">
        <v>1191</v>
      </c>
      <c r="M23055">
        <v>1</v>
      </c>
      <c r="N23055">
        <v>0</v>
      </c>
      <c r="O23055">
        <v>3096</v>
      </c>
    </row>
    <row r="23056" spans="1:15" x14ac:dyDescent="0.25">
      <c r="A23056" t="s">
        <v>23069</v>
      </c>
      <c r="B23056">
        <v>273</v>
      </c>
      <c r="C23056" s="1" t="str">
        <f>HYPERLINK("http://www.rosaceae.org/gb/gbrowse/malus_x_domestica/?name=MDP0000302770","MDP0000302770")</f>
        <v>MDP0000302770</v>
      </c>
      <c r="D23056">
        <v>95.83</v>
      </c>
      <c r="E23056">
        <v>216</v>
      </c>
      <c r="F23056">
        <v>9</v>
      </c>
      <c r="G23056">
        <v>0</v>
      </c>
      <c r="H23056">
        <v>58</v>
      </c>
      <c r="I23056">
        <v>273</v>
      </c>
      <c r="J23056">
        <v>1</v>
      </c>
      <c r="K23056">
        <v>1</v>
      </c>
      <c r="L23056">
        <v>216</v>
      </c>
      <c r="M23056">
        <v>1</v>
      </c>
      <c r="N23056">
        <v>2.5228399999999999E-119</v>
      </c>
      <c r="O23056">
        <v>1092</v>
      </c>
    </row>
    <row r="23057" spans="1:15" x14ac:dyDescent="0.25">
      <c r="A23057" t="s">
        <v>23070</v>
      </c>
      <c r="B23057">
        <v>256</v>
      </c>
      <c r="C23057" s="1" t="str">
        <f>HYPERLINK("http://www.rosaceae.org/gb/gbrowse/malus_x_domestica/?name=MDP0000310987","MDP0000310987")</f>
        <v>MDP0000310987</v>
      </c>
      <c r="D23057">
        <v>59.47</v>
      </c>
      <c r="E23057">
        <v>190</v>
      </c>
      <c r="F23057">
        <v>77</v>
      </c>
      <c r="G23057">
        <v>5</v>
      </c>
      <c r="H23057">
        <v>45</v>
      </c>
      <c r="I23057">
        <v>233</v>
      </c>
      <c r="J23057">
        <v>1</v>
      </c>
      <c r="K23057">
        <v>357</v>
      </c>
      <c r="L23057">
        <v>542</v>
      </c>
      <c r="M23057">
        <v>1</v>
      </c>
      <c r="N23057">
        <v>1.79239E-51</v>
      </c>
      <c r="O23057">
        <v>507</v>
      </c>
    </row>
    <row r="23058" spans="1:15" x14ac:dyDescent="0.25">
      <c r="A23058" t="s">
        <v>23071</v>
      </c>
      <c r="B23058">
        <v>714</v>
      </c>
      <c r="C23058" s="1" t="str">
        <f>HYPERLINK("http://www.rosaceae.org/gb/gbrowse/malus_x_domestica/?name=MDP0000139714","MDP0000139714")</f>
        <v>MDP0000139714</v>
      </c>
      <c r="D23058">
        <v>76.59</v>
      </c>
      <c r="E23058">
        <v>722</v>
      </c>
      <c r="F23058">
        <v>169</v>
      </c>
      <c r="G23058">
        <v>41</v>
      </c>
      <c r="H23058">
        <v>3</v>
      </c>
      <c r="I23058">
        <v>698</v>
      </c>
      <c r="J23058">
        <v>1</v>
      </c>
      <c r="K23058">
        <v>2</v>
      </c>
      <c r="L23058">
        <v>708</v>
      </c>
      <c r="M23058">
        <v>1</v>
      </c>
      <c r="N23058">
        <v>0</v>
      </c>
      <c r="O23058">
        <v>2814</v>
      </c>
    </row>
    <row r="23059" spans="1:15" x14ac:dyDescent="0.25">
      <c r="A23059" t="s">
        <v>23072</v>
      </c>
      <c r="B23059">
        <v>432</v>
      </c>
      <c r="C23059" s="1" t="str">
        <f>HYPERLINK("http://www.rosaceae.org/gb/gbrowse/malus_x_domestica/?name=MDP0000400262","MDP0000400262")</f>
        <v>MDP0000400262</v>
      </c>
      <c r="D23059">
        <v>55.19</v>
      </c>
      <c r="E23059">
        <v>462</v>
      </c>
      <c r="F23059">
        <v>207</v>
      </c>
      <c r="G23059">
        <v>47</v>
      </c>
      <c r="H23059">
        <v>1</v>
      </c>
      <c r="I23059">
        <v>432</v>
      </c>
      <c r="J23059">
        <v>1</v>
      </c>
      <c r="K23059">
        <v>1</v>
      </c>
      <c r="L23059">
        <v>445</v>
      </c>
      <c r="M23059">
        <v>1</v>
      </c>
      <c r="N23059">
        <v>2.35783E-109</v>
      </c>
      <c r="O23059">
        <v>1009</v>
      </c>
    </row>
    <row r="23060" spans="1:15" x14ac:dyDescent="0.25">
      <c r="A23060" t="s">
        <v>23073</v>
      </c>
      <c r="B23060">
        <v>676</v>
      </c>
      <c r="C23060" s="1" t="str">
        <f>HYPERLINK("http://www.rosaceae.org/gb/gbrowse/malus_x_domestica/?name=MDP0000144890","MDP0000144890")</f>
        <v>MDP0000144890</v>
      </c>
      <c r="D23060">
        <v>62.51</v>
      </c>
      <c r="E23060">
        <v>635</v>
      </c>
      <c r="F23060">
        <v>238</v>
      </c>
      <c r="G23060">
        <v>19</v>
      </c>
      <c r="H23060">
        <v>45</v>
      </c>
      <c r="I23060">
        <v>672</v>
      </c>
      <c r="J23060">
        <v>1</v>
      </c>
      <c r="K23060">
        <v>102</v>
      </c>
      <c r="L23060">
        <v>724</v>
      </c>
      <c r="M23060">
        <v>1</v>
      </c>
      <c r="N23060">
        <v>0</v>
      </c>
      <c r="O23060">
        <v>2070</v>
      </c>
    </row>
    <row r="23061" spans="1:15" x14ac:dyDescent="0.25">
      <c r="A23061" t="s">
        <v>23074</v>
      </c>
      <c r="B23061">
        <v>184</v>
      </c>
      <c r="C23061" s="1" t="str">
        <f>HYPERLINK("http://www.rosaceae.org/gb/gbrowse/malus_x_domestica/?name=MDP0000515760","MDP0000515760")</f>
        <v>MDP0000515760</v>
      </c>
      <c r="D23061">
        <v>54.95</v>
      </c>
      <c r="E23061">
        <v>202</v>
      </c>
      <c r="F23061">
        <v>91</v>
      </c>
      <c r="G23061">
        <v>34</v>
      </c>
      <c r="H23061">
        <v>1</v>
      </c>
      <c r="I23061">
        <v>182</v>
      </c>
      <c r="J23061">
        <v>1</v>
      </c>
      <c r="K23061">
        <v>1</v>
      </c>
      <c r="L23061">
        <v>188</v>
      </c>
      <c r="M23061">
        <v>1</v>
      </c>
      <c r="N23061">
        <v>7.8302099999999995E-46</v>
      </c>
      <c r="O23061">
        <v>456</v>
      </c>
    </row>
    <row r="23062" spans="1:15" x14ac:dyDescent="0.25">
      <c r="A23062" t="s">
        <v>23075</v>
      </c>
      <c r="B23062">
        <v>114</v>
      </c>
      <c r="C23062" s="1" t="str">
        <f>HYPERLINK("http://www.rosaceae.org/gb/gbrowse/malus_x_domestica/?name=MDP0000662880","MDP0000662880")</f>
        <v>MDP0000662880</v>
      </c>
      <c r="D23062">
        <v>82.07</v>
      </c>
      <c r="E23062">
        <v>106</v>
      </c>
      <c r="F23062">
        <v>19</v>
      </c>
      <c r="G23062">
        <v>0</v>
      </c>
      <c r="H23062">
        <v>1</v>
      </c>
      <c r="I23062">
        <v>106</v>
      </c>
      <c r="J23062">
        <v>1</v>
      </c>
      <c r="K23062">
        <v>1</v>
      </c>
      <c r="L23062">
        <v>106</v>
      </c>
      <c r="M23062">
        <v>1</v>
      </c>
      <c r="N23062">
        <v>3.325E-50</v>
      </c>
      <c r="O23062">
        <v>490</v>
      </c>
    </row>
    <row r="23063" spans="1:15" x14ac:dyDescent="0.25">
      <c r="A23063" t="s">
        <v>23076</v>
      </c>
      <c r="B23063">
        <v>210</v>
      </c>
      <c r="C23063" s="1" t="str">
        <f>HYPERLINK("http://www.rosaceae.org/gb/gbrowse/malus_x_domestica/?name=MDP0000314254","MDP0000314254")</f>
        <v>MDP0000314254</v>
      </c>
      <c r="D23063">
        <v>36.4</v>
      </c>
      <c r="E23063">
        <v>206</v>
      </c>
      <c r="F23063">
        <v>131</v>
      </c>
      <c r="G23063">
        <v>6</v>
      </c>
      <c r="H23063">
        <v>2</v>
      </c>
      <c r="I23063">
        <v>202</v>
      </c>
      <c r="J23063">
        <v>1</v>
      </c>
      <c r="K23063">
        <v>330</v>
      </c>
      <c r="L23063">
        <v>534</v>
      </c>
      <c r="M23063">
        <v>1</v>
      </c>
      <c r="N23063">
        <v>1.74215E-30</v>
      </c>
      <c r="O23063">
        <v>325</v>
      </c>
    </row>
    <row r="23064" spans="1:15" x14ac:dyDescent="0.25">
      <c r="A23064" t="s">
        <v>23077</v>
      </c>
      <c r="B23064">
        <v>97</v>
      </c>
      <c r="C23064" s="1" t="str">
        <f>HYPERLINK("http://www.rosaceae.org/gb/gbrowse/malus_x_domestica/?name=MDP0000314958","MDP0000314958")</f>
        <v>MDP0000314958</v>
      </c>
      <c r="D23064">
        <v>65.97</v>
      </c>
      <c r="E23064">
        <v>97</v>
      </c>
      <c r="F23064">
        <v>33</v>
      </c>
      <c r="G23064">
        <v>0</v>
      </c>
      <c r="H23064">
        <v>1</v>
      </c>
      <c r="I23064">
        <v>97</v>
      </c>
      <c r="J23064">
        <v>1</v>
      </c>
      <c r="K23064">
        <v>205</v>
      </c>
      <c r="L23064">
        <v>301</v>
      </c>
      <c r="M23064">
        <v>1</v>
      </c>
      <c r="N23064">
        <v>5.5263600000000002E-33</v>
      </c>
      <c r="O23064">
        <v>342</v>
      </c>
    </row>
    <row r="23065" spans="1:15" x14ac:dyDescent="0.25">
      <c r="A23065" t="s">
        <v>23078</v>
      </c>
      <c r="B23065">
        <v>436</v>
      </c>
      <c r="C23065" s="1" t="str">
        <f>HYPERLINK("http://www.rosaceae.org/gb/gbrowse/malus_x_domestica/?name=MDP0000499050","MDP0000499050")</f>
        <v>MDP0000499050</v>
      </c>
      <c r="D23065">
        <v>43.61</v>
      </c>
      <c r="E23065">
        <v>282</v>
      </c>
      <c r="F23065">
        <v>159</v>
      </c>
      <c r="G23065">
        <v>18</v>
      </c>
      <c r="H23065">
        <v>10</v>
      </c>
      <c r="I23065">
        <v>276</v>
      </c>
      <c r="J23065">
        <v>1</v>
      </c>
      <c r="K23065">
        <v>130</v>
      </c>
      <c r="L23065">
        <v>408</v>
      </c>
      <c r="M23065">
        <v>1</v>
      </c>
      <c r="N23065">
        <v>6.0128699999999996E-59</v>
      </c>
      <c r="O23065">
        <v>574</v>
      </c>
    </row>
    <row r="23066" spans="1:15" x14ac:dyDescent="0.25">
      <c r="A23066" t="s">
        <v>23079</v>
      </c>
      <c r="B23066">
        <v>174</v>
      </c>
      <c r="C23066" s="1" t="str">
        <f>HYPERLINK("http://www.rosaceae.org/gb/gbrowse/malus_x_domestica/?name=MDP0000308680","MDP0000308680")</f>
        <v>MDP0000308680</v>
      </c>
      <c r="D23066">
        <v>38.03</v>
      </c>
      <c r="E23066">
        <v>163</v>
      </c>
      <c r="F23066">
        <v>101</v>
      </c>
      <c r="G23066">
        <v>2</v>
      </c>
      <c r="H23066">
        <v>5</v>
      </c>
      <c r="I23066">
        <v>167</v>
      </c>
      <c r="J23066">
        <v>1</v>
      </c>
      <c r="K23066">
        <v>137</v>
      </c>
      <c r="L23066">
        <v>297</v>
      </c>
      <c r="M23066">
        <v>1</v>
      </c>
      <c r="N23066">
        <v>3.8219999999999999E-26</v>
      </c>
      <c r="O23066">
        <v>286</v>
      </c>
    </row>
    <row r="23067" spans="1:15" x14ac:dyDescent="0.25">
      <c r="A23067" t="s">
        <v>23080</v>
      </c>
      <c r="B23067">
        <v>488</v>
      </c>
      <c r="C23067" s="1" t="str">
        <f>HYPERLINK("http://www.rosaceae.org/gb/gbrowse/malus_x_domestica/?name=MDP0000739342","MDP0000739342")</f>
        <v>MDP0000739342</v>
      </c>
      <c r="D23067">
        <v>23.86</v>
      </c>
      <c r="E23067">
        <v>176</v>
      </c>
      <c r="F23067">
        <v>134</v>
      </c>
      <c r="G23067">
        <v>11</v>
      </c>
      <c r="H23067">
        <v>319</v>
      </c>
      <c r="I23067">
        <v>487</v>
      </c>
      <c r="J23067">
        <v>1</v>
      </c>
      <c r="K23067">
        <v>245</v>
      </c>
      <c r="L23067">
        <v>416</v>
      </c>
      <c r="M23067">
        <v>1</v>
      </c>
      <c r="N23067">
        <v>3.7240000000000003E-7</v>
      </c>
      <c r="O23067">
        <v>128</v>
      </c>
    </row>
    <row r="23068" spans="1:15" x14ac:dyDescent="0.25">
      <c r="A23068" t="s">
        <v>23081</v>
      </c>
      <c r="B23068">
        <v>282</v>
      </c>
      <c r="C23068" s="1" t="str">
        <f>HYPERLINK("http://www.rosaceae.org/gb/gbrowse/malus_x_domestica/?name=MDP0000703056","MDP0000703056")</f>
        <v>MDP0000703056</v>
      </c>
      <c r="D23068">
        <v>67.97</v>
      </c>
      <c r="E23068">
        <v>281</v>
      </c>
      <c r="F23068">
        <v>90</v>
      </c>
      <c r="G23068">
        <v>0</v>
      </c>
      <c r="H23068">
        <v>1</v>
      </c>
      <c r="I23068">
        <v>281</v>
      </c>
      <c r="J23068">
        <v>1</v>
      </c>
      <c r="K23068">
        <v>95</v>
      </c>
      <c r="L23068">
        <v>375</v>
      </c>
      <c r="M23068">
        <v>1</v>
      </c>
      <c r="N23068">
        <v>3.7701599999999999E-119</v>
      </c>
      <c r="O23068">
        <v>1091</v>
      </c>
    </row>
    <row r="23069" spans="1:15" x14ac:dyDescent="0.25">
      <c r="A23069" t="s">
        <v>23082</v>
      </c>
      <c r="B23069">
        <v>664</v>
      </c>
      <c r="C23069" s="1" t="str">
        <f>HYPERLINK("http://www.rosaceae.org/gb/gbrowse/malus_x_domestica/?name=MDP0000179622","MDP0000179622")</f>
        <v>MDP0000179622</v>
      </c>
      <c r="D23069">
        <v>54.1</v>
      </c>
      <c r="E23069">
        <v>706</v>
      </c>
      <c r="F23069">
        <v>324</v>
      </c>
      <c r="G23069">
        <v>96</v>
      </c>
      <c r="H23069">
        <v>45</v>
      </c>
      <c r="I23069">
        <v>663</v>
      </c>
      <c r="J23069">
        <v>1</v>
      </c>
      <c r="K23069">
        <v>1</v>
      </c>
      <c r="L23069">
        <v>697</v>
      </c>
      <c r="M23069">
        <v>1</v>
      </c>
      <c r="N23069">
        <v>0</v>
      </c>
      <c r="O23069">
        <v>1699</v>
      </c>
    </row>
    <row r="23070" spans="1:15" x14ac:dyDescent="0.25">
      <c r="A23070" t="s">
        <v>23083</v>
      </c>
      <c r="B23070">
        <v>218</v>
      </c>
      <c r="C23070" s="1" t="str">
        <f>HYPERLINK("http://www.rosaceae.org/gb/gbrowse/malus_x_domestica/?name=MDP0000853667","MDP0000853667")</f>
        <v>MDP0000853667</v>
      </c>
      <c r="D23070">
        <v>53.15</v>
      </c>
      <c r="E23070">
        <v>111</v>
      </c>
      <c r="F23070">
        <v>52</v>
      </c>
      <c r="G23070">
        <v>1</v>
      </c>
      <c r="H23070">
        <v>93</v>
      </c>
      <c r="I23070">
        <v>203</v>
      </c>
      <c r="J23070">
        <v>1</v>
      </c>
      <c r="K23070">
        <v>61</v>
      </c>
      <c r="L23070">
        <v>170</v>
      </c>
      <c r="M23070">
        <v>1</v>
      </c>
      <c r="N23070">
        <v>1.2313400000000001E-28</v>
      </c>
      <c r="O23070">
        <v>309</v>
      </c>
    </row>
    <row r="23071" spans="1:15" x14ac:dyDescent="0.25">
      <c r="A23071" t="s">
        <v>23084</v>
      </c>
      <c r="B23071">
        <v>599</v>
      </c>
      <c r="C23071" s="1" t="str">
        <f>HYPERLINK("http://www.rosaceae.org/gb/gbrowse/malus_x_domestica/?name=MDP0000255245","MDP0000255245")</f>
        <v>MDP0000255245</v>
      </c>
      <c r="D23071">
        <v>56.4</v>
      </c>
      <c r="E23071">
        <v>640</v>
      </c>
      <c r="F23071">
        <v>279</v>
      </c>
      <c r="G23071">
        <v>73</v>
      </c>
      <c r="H23071">
        <v>13</v>
      </c>
      <c r="I23071">
        <v>588</v>
      </c>
      <c r="J23071">
        <v>1</v>
      </c>
      <c r="K23071">
        <v>274</v>
      </c>
      <c r="L23071">
        <v>904</v>
      </c>
      <c r="M23071">
        <v>1</v>
      </c>
      <c r="N23071">
        <v>0</v>
      </c>
      <c r="O23071">
        <v>1764</v>
      </c>
    </row>
    <row r="23072" spans="1:15" x14ac:dyDescent="0.25">
      <c r="A23072" t="s">
        <v>23085</v>
      </c>
      <c r="B23072">
        <v>779</v>
      </c>
      <c r="C23072" s="1" t="str">
        <f>HYPERLINK("http://www.rosaceae.org/gb/gbrowse/malus_x_domestica/?name=MDP0000236072","MDP0000236072")</f>
        <v>MDP0000236072</v>
      </c>
      <c r="D23072">
        <v>57.83</v>
      </c>
      <c r="E23072">
        <v>830</v>
      </c>
      <c r="F23072">
        <v>350</v>
      </c>
      <c r="G23072">
        <v>68</v>
      </c>
      <c r="H23072">
        <v>1</v>
      </c>
      <c r="I23072">
        <v>777</v>
      </c>
      <c r="J23072">
        <v>1</v>
      </c>
      <c r="K23072">
        <v>1</v>
      </c>
      <c r="L23072">
        <v>815</v>
      </c>
      <c r="M23072">
        <v>1</v>
      </c>
      <c r="N23072">
        <v>0</v>
      </c>
      <c r="O23072">
        <v>2371</v>
      </c>
    </row>
    <row r="23073" spans="1:15" x14ac:dyDescent="0.25">
      <c r="A23073" t="s">
        <v>23086</v>
      </c>
      <c r="B23073">
        <v>591</v>
      </c>
      <c r="C23073" s="1" t="str">
        <f>HYPERLINK("http://www.rosaceae.org/gb/gbrowse/malus_x_domestica/?name=MDP0000874482","MDP0000874482")</f>
        <v>MDP0000874482</v>
      </c>
      <c r="D23073">
        <v>51.48</v>
      </c>
      <c r="E23073">
        <v>606</v>
      </c>
      <c r="F23073">
        <v>294</v>
      </c>
      <c r="G23073">
        <v>61</v>
      </c>
      <c r="H23073">
        <v>1</v>
      </c>
      <c r="I23073">
        <v>591</v>
      </c>
      <c r="J23073">
        <v>1</v>
      </c>
      <c r="K23073">
        <v>1</v>
      </c>
      <c r="L23073">
        <v>560</v>
      </c>
      <c r="M23073">
        <v>1</v>
      </c>
      <c r="N23073">
        <v>9.1987200000000005E-148</v>
      </c>
      <c r="O23073">
        <v>1342</v>
      </c>
    </row>
    <row r="23074" spans="1:15" x14ac:dyDescent="0.25">
      <c r="A23074" t="s">
        <v>23087</v>
      </c>
      <c r="B23074">
        <v>1191</v>
      </c>
      <c r="C23074" s="1" t="str">
        <f>HYPERLINK("http://www.rosaceae.org/gb/gbrowse/malus_x_domestica/?name=MDP0000257359","MDP0000257359")</f>
        <v>MDP0000257359</v>
      </c>
      <c r="D23074">
        <v>86.22</v>
      </c>
      <c r="E23074">
        <v>617</v>
      </c>
      <c r="F23074">
        <v>85</v>
      </c>
      <c r="G23074">
        <v>6</v>
      </c>
      <c r="H23074">
        <v>580</v>
      </c>
      <c r="I23074">
        <v>1191</v>
      </c>
      <c r="J23074">
        <v>1</v>
      </c>
      <c r="K23074">
        <v>93</v>
      </c>
      <c r="L23074">
        <v>708</v>
      </c>
      <c r="M23074">
        <v>1</v>
      </c>
      <c r="N23074">
        <v>0</v>
      </c>
      <c r="O23074">
        <v>2911</v>
      </c>
    </row>
    <row r="23075" spans="1:15" x14ac:dyDescent="0.25">
      <c r="A23075" t="s">
        <v>23088</v>
      </c>
      <c r="B23075">
        <v>876</v>
      </c>
      <c r="C23075" s="1" t="str">
        <f>HYPERLINK("http://www.rosaceae.org/gb/gbrowse/malus_x_domestica/?name=MDP0000671726","MDP0000671726")</f>
        <v>MDP0000671726</v>
      </c>
      <c r="D23075">
        <v>65.38</v>
      </c>
      <c r="E23075">
        <v>650</v>
      </c>
      <c r="F23075">
        <v>225</v>
      </c>
      <c r="G23075">
        <v>51</v>
      </c>
      <c r="H23075">
        <v>168</v>
      </c>
      <c r="I23075">
        <v>766</v>
      </c>
      <c r="J23075">
        <v>1</v>
      </c>
      <c r="K23075">
        <v>163</v>
      </c>
      <c r="L23075">
        <v>812</v>
      </c>
      <c r="M23075">
        <v>1</v>
      </c>
      <c r="N23075">
        <v>0</v>
      </c>
      <c r="O23075">
        <v>2051</v>
      </c>
    </row>
    <row r="23076" spans="1:15" x14ac:dyDescent="0.25">
      <c r="A23076" t="s">
        <v>23089</v>
      </c>
      <c r="B23076">
        <v>373</v>
      </c>
      <c r="C23076" s="1" t="str">
        <f>HYPERLINK("http://www.rosaceae.org/gb/gbrowse/malus_x_domestica/?name=MDP0000281231","MDP0000281231")</f>
        <v>MDP0000281231</v>
      </c>
      <c r="D23076">
        <v>57.93</v>
      </c>
      <c r="E23076">
        <v>359</v>
      </c>
      <c r="F23076">
        <v>151</v>
      </c>
      <c r="G23076">
        <v>2</v>
      </c>
      <c r="H23076">
        <v>6</v>
      </c>
      <c r="I23076">
        <v>364</v>
      </c>
      <c r="J23076">
        <v>1</v>
      </c>
      <c r="K23076">
        <v>1047</v>
      </c>
      <c r="L23076">
        <v>1403</v>
      </c>
      <c r="M23076">
        <v>1</v>
      </c>
      <c r="N23076">
        <v>3.8998799999999998E-128</v>
      </c>
      <c r="O23076">
        <v>1170</v>
      </c>
    </row>
    <row r="23077" spans="1:15" x14ac:dyDescent="0.25">
      <c r="A23077" t="s">
        <v>23090</v>
      </c>
      <c r="B23077">
        <v>424</v>
      </c>
      <c r="C23077" s="1" t="str">
        <f>HYPERLINK("http://www.rosaceae.org/gb/gbrowse/malus_x_domestica/?name=MDP0000243995","MDP0000243995")</f>
        <v>MDP0000243995</v>
      </c>
      <c r="D23077">
        <v>66.78</v>
      </c>
      <c r="E23077">
        <v>289</v>
      </c>
      <c r="F23077">
        <v>96</v>
      </c>
      <c r="G23077">
        <v>6</v>
      </c>
      <c r="H23077">
        <v>106</v>
      </c>
      <c r="I23077">
        <v>389</v>
      </c>
      <c r="J23077">
        <v>1</v>
      </c>
      <c r="K23077">
        <v>119</v>
      </c>
      <c r="L23077">
        <v>406</v>
      </c>
      <c r="M23077">
        <v>1</v>
      </c>
      <c r="N23077">
        <v>1.8082800000000001E-104</v>
      </c>
      <c r="O23077">
        <v>967</v>
      </c>
    </row>
    <row r="23078" spans="1:15" x14ac:dyDescent="0.25">
      <c r="A23078" t="s">
        <v>23091</v>
      </c>
      <c r="B23078">
        <v>182</v>
      </c>
      <c r="C23078" s="1" t="str">
        <f>HYPERLINK("http://www.rosaceae.org/gb/gbrowse/malus_x_domestica/?name=MDP0000549333","MDP0000549333")</f>
        <v>MDP0000549333</v>
      </c>
      <c r="D23078">
        <v>31.13</v>
      </c>
      <c r="E23078">
        <v>106</v>
      </c>
      <c r="F23078">
        <v>73</v>
      </c>
      <c r="G23078">
        <v>12</v>
      </c>
      <c r="H23078">
        <v>48</v>
      </c>
      <c r="I23078">
        <v>141</v>
      </c>
      <c r="J23078">
        <v>1</v>
      </c>
      <c r="K23078">
        <v>1652</v>
      </c>
      <c r="L23078">
        <v>1757</v>
      </c>
      <c r="M23078">
        <v>1</v>
      </c>
      <c r="N23078">
        <v>3.80582E-8</v>
      </c>
      <c r="O23078">
        <v>131</v>
      </c>
    </row>
    <row r="23079" spans="1:15" x14ac:dyDescent="0.25">
      <c r="A23079" t="s">
        <v>23092</v>
      </c>
      <c r="B23079">
        <v>292</v>
      </c>
      <c r="C23079" s="1" t="str">
        <f>HYPERLINK("http://www.rosaceae.org/gb/gbrowse/malus_x_domestica/?name=MDP0000555484","MDP0000555484")</f>
        <v>MDP0000555484</v>
      </c>
      <c r="D23079">
        <v>57.51</v>
      </c>
      <c r="E23079">
        <v>266</v>
      </c>
      <c r="F23079">
        <v>113</v>
      </c>
      <c r="G23079">
        <v>12</v>
      </c>
      <c r="H23079">
        <v>18</v>
      </c>
      <c r="I23079">
        <v>277</v>
      </c>
      <c r="J23079">
        <v>1</v>
      </c>
      <c r="K23079">
        <v>21</v>
      </c>
      <c r="L23079">
        <v>280</v>
      </c>
      <c r="M23079">
        <v>1</v>
      </c>
      <c r="N23079">
        <v>1.3840500000000001E-76</v>
      </c>
      <c r="O23079">
        <v>724</v>
      </c>
    </row>
    <row r="23080" spans="1:15" x14ac:dyDescent="0.25">
      <c r="A23080" t="s">
        <v>23093</v>
      </c>
      <c r="B23080">
        <v>531</v>
      </c>
      <c r="C23080" s="1" t="str">
        <f>HYPERLINK("http://www.rosaceae.org/gb/gbrowse/malus_x_domestica/?name=MDP0000308201","MDP0000308201")</f>
        <v>MDP0000308201</v>
      </c>
      <c r="D23080">
        <v>65.56</v>
      </c>
      <c r="E23080">
        <v>482</v>
      </c>
      <c r="F23080">
        <v>166</v>
      </c>
      <c r="G23080">
        <v>59</v>
      </c>
      <c r="H23080">
        <v>54</v>
      </c>
      <c r="I23080">
        <v>528</v>
      </c>
      <c r="J23080">
        <v>1</v>
      </c>
      <c r="K23080">
        <v>16</v>
      </c>
      <c r="L23080">
        <v>445</v>
      </c>
      <c r="M23080">
        <v>1</v>
      </c>
      <c r="N23080">
        <v>1.80565E-175</v>
      </c>
      <c r="O23080">
        <v>1580</v>
      </c>
    </row>
    <row r="23081" spans="1:15" x14ac:dyDescent="0.25">
      <c r="A23081" t="s">
        <v>23094</v>
      </c>
      <c r="B23081">
        <v>166</v>
      </c>
      <c r="C23081" s="1" t="str">
        <f>HYPERLINK("http://www.rosaceae.org/gb/gbrowse/malus_x_domestica/?name=MDP0000837149","MDP0000837149")</f>
        <v>MDP0000837149</v>
      </c>
      <c r="D23081">
        <v>93.03</v>
      </c>
      <c r="E23081">
        <v>158</v>
      </c>
      <c r="F23081">
        <v>11</v>
      </c>
      <c r="G23081">
        <v>0</v>
      </c>
      <c r="H23081">
        <v>9</v>
      </c>
      <c r="I23081">
        <v>166</v>
      </c>
      <c r="J23081">
        <v>1</v>
      </c>
      <c r="K23081">
        <v>145</v>
      </c>
      <c r="L23081">
        <v>302</v>
      </c>
      <c r="M23081">
        <v>1</v>
      </c>
      <c r="N23081">
        <v>7.8995800000000003E-84</v>
      </c>
      <c r="O23081">
        <v>783</v>
      </c>
    </row>
    <row r="23082" spans="1:15" x14ac:dyDescent="0.25">
      <c r="A23082" t="s">
        <v>23095</v>
      </c>
      <c r="B23082">
        <v>536</v>
      </c>
      <c r="C23082" s="1" t="str">
        <f>HYPERLINK("http://www.rosaceae.org/gb/gbrowse/malus_x_domestica/?name=MDP0000247050","MDP0000247050")</f>
        <v>MDP0000247050</v>
      </c>
      <c r="D23082">
        <v>30.71</v>
      </c>
      <c r="E23082">
        <v>267</v>
      </c>
      <c r="F23082">
        <v>185</v>
      </c>
      <c r="G23082">
        <v>20</v>
      </c>
      <c r="H23082">
        <v>49</v>
      </c>
      <c r="I23082">
        <v>309</v>
      </c>
      <c r="J23082">
        <v>1</v>
      </c>
      <c r="K23082">
        <v>529</v>
      </c>
      <c r="L23082">
        <v>781</v>
      </c>
      <c r="M23082">
        <v>1</v>
      </c>
      <c r="N23082">
        <v>1.1490400000000001E-19</v>
      </c>
      <c r="O23082">
        <v>236</v>
      </c>
    </row>
    <row r="23083" spans="1:15" x14ac:dyDescent="0.25">
      <c r="A23083" t="s">
        <v>23096</v>
      </c>
      <c r="B23083">
        <v>190</v>
      </c>
      <c r="C23083" s="1" t="str">
        <f>HYPERLINK("http://www.rosaceae.org/gb/gbrowse/malus_x_domestica/?name=MDP0000231376","MDP0000231376")</f>
        <v>MDP0000231376</v>
      </c>
      <c r="D23083">
        <v>58.22</v>
      </c>
      <c r="E23083">
        <v>79</v>
      </c>
      <c r="F23083">
        <v>33</v>
      </c>
      <c r="G23083">
        <v>10</v>
      </c>
      <c r="H23083">
        <v>56</v>
      </c>
      <c r="I23083">
        <v>125</v>
      </c>
      <c r="J23083">
        <v>1</v>
      </c>
      <c r="K23083">
        <v>65</v>
      </c>
      <c r="L23083">
        <v>142</v>
      </c>
      <c r="M23083">
        <v>1</v>
      </c>
      <c r="N23083">
        <v>7.2885100000000004E-13</v>
      </c>
      <c r="O23083">
        <v>172</v>
      </c>
    </row>
    <row r="23084" spans="1:15" x14ac:dyDescent="0.25">
      <c r="A23084" t="s">
        <v>23097</v>
      </c>
      <c r="B23084">
        <v>635</v>
      </c>
      <c r="C23084" s="1" t="str">
        <f>HYPERLINK("http://www.rosaceae.org/gb/gbrowse/malus_x_domestica/?name=MDP0000266452","MDP0000266452")</f>
        <v>MDP0000266452</v>
      </c>
      <c r="D23084">
        <v>31.54</v>
      </c>
      <c r="E23084">
        <v>466</v>
      </c>
      <c r="F23084">
        <v>319</v>
      </c>
      <c r="G23084">
        <v>22</v>
      </c>
      <c r="H23084">
        <v>33</v>
      </c>
      <c r="I23084">
        <v>476</v>
      </c>
      <c r="J23084">
        <v>1</v>
      </c>
      <c r="K23084">
        <v>6</v>
      </c>
      <c r="L23084">
        <v>471</v>
      </c>
      <c r="M23084">
        <v>1</v>
      </c>
      <c r="N23084">
        <v>5.1953999999999996E-69</v>
      </c>
      <c r="O23084">
        <v>663</v>
      </c>
    </row>
    <row r="23085" spans="1:15" x14ac:dyDescent="0.25">
      <c r="A23085" t="s">
        <v>23098</v>
      </c>
      <c r="B23085">
        <v>539</v>
      </c>
      <c r="C23085" s="1" t="str">
        <f>HYPERLINK("http://www.rosaceae.org/gb/gbrowse/malus_x_domestica/?name=MDP0000252971","MDP0000252971")</f>
        <v>MDP0000252971</v>
      </c>
      <c r="D23085">
        <v>80.459999999999994</v>
      </c>
      <c r="E23085">
        <v>517</v>
      </c>
      <c r="F23085">
        <v>101</v>
      </c>
      <c r="G23085">
        <v>6</v>
      </c>
      <c r="H23085">
        <v>1</v>
      </c>
      <c r="I23085">
        <v>512</v>
      </c>
      <c r="J23085">
        <v>1</v>
      </c>
      <c r="K23085">
        <v>1</v>
      </c>
      <c r="L23085">
        <v>516</v>
      </c>
      <c r="M23085">
        <v>1</v>
      </c>
      <c r="N23085">
        <v>0</v>
      </c>
      <c r="O23085">
        <v>2217</v>
      </c>
    </row>
    <row r="23086" spans="1:15" x14ac:dyDescent="0.25">
      <c r="A23086" t="s">
        <v>23099</v>
      </c>
      <c r="B23086">
        <v>364</v>
      </c>
      <c r="C23086" s="1" t="str">
        <f>HYPERLINK("http://www.rosaceae.org/gb/gbrowse/malus_x_domestica/?name=MDP0000802924","MDP0000802924")</f>
        <v>MDP0000802924</v>
      </c>
      <c r="D23086">
        <v>74.239999999999995</v>
      </c>
      <c r="E23086">
        <v>365</v>
      </c>
      <c r="F23086">
        <v>94</v>
      </c>
      <c r="G23086">
        <v>20</v>
      </c>
      <c r="H23086">
        <v>4</v>
      </c>
      <c r="I23086">
        <v>361</v>
      </c>
      <c r="J23086">
        <v>1</v>
      </c>
      <c r="K23086">
        <v>1</v>
      </c>
      <c r="L23086">
        <v>352</v>
      </c>
      <c r="M23086">
        <v>1</v>
      </c>
      <c r="N23086">
        <v>5.2332199999999997E-147</v>
      </c>
      <c r="O23086">
        <v>1333</v>
      </c>
    </row>
    <row r="23087" spans="1:15" x14ac:dyDescent="0.25">
      <c r="A23087" t="s">
        <v>23100</v>
      </c>
      <c r="B23087">
        <v>124</v>
      </c>
      <c r="C23087" s="1" t="str">
        <f>HYPERLINK("http://www.rosaceae.org/gb/gbrowse/malus_x_domestica/?name=MDP0000366847","MDP0000366847")</f>
        <v>MDP0000366847</v>
      </c>
      <c r="D23087">
        <v>47.36</v>
      </c>
      <c r="E23087">
        <v>114</v>
      </c>
      <c r="F23087">
        <v>60</v>
      </c>
      <c r="G23087">
        <v>15</v>
      </c>
      <c r="H23087">
        <v>1</v>
      </c>
      <c r="I23087">
        <v>100</v>
      </c>
      <c r="J23087">
        <v>1</v>
      </c>
      <c r="K23087">
        <v>1</v>
      </c>
      <c r="L23087">
        <v>113</v>
      </c>
      <c r="M23087">
        <v>1</v>
      </c>
      <c r="N23087">
        <v>1.0086E-18</v>
      </c>
      <c r="O23087">
        <v>219</v>
      </c>
    </row>
    <row r="23088" spans="1:15" x14ac:dyDescent="0.25">
      <c r="A23088" t="s">
        <v>23101</v>
      </c>
      <c r="B23088">
        <v>2253</v>
      </c>
      <c r="C23088" s="1" t="str">
        <f>HYPERLINK("http://www.rosaceae.org/gb/gbrowse/malus_x_domestica/?name=MDP0000194261","MDP0000194261")</f>
        <v>MDP0000194261</v>
      </c>
      <c r="D23088">
        <v>62.36</v>
      </c>
      <c r="E23088">
        <v>760</v>
      </c>
      <c r="F23088">
        <v>286</v>
      </c>
      <c r="G23088">
        <v>31</v>
      </c>
      <c r="H23088">
        <v>1480</v>
      </c>
      <c r="I23088">
        <v>2230</v>
      </c>
      <c r="J23088">
        <v>1</v>
      </c>
      <c r="K23088">
        <v>13</v>
      </c>
      <c r="L23088">
        <v>750</v>
      </c>
      <c r="M23088">
        <v>1</v>
      </c>
      <c r="N23088">
        <v>0</v>
      </c>
      <c r="O23088">
        <v>2279</v>
      </c>
    </row>
    <row r="23089" spans="1:15" x14ac:dyDescent="0.25">
      <c r="A23089" t="s">
        <v>23102</v>
      </c>
      <c r="B23089">
        <v>197</v>
      </c>
      <c r="C23089" s="1" t="str">
        <f>HYPERLINK("http://www.rosaceae.org/gb/gbrowse/malus_x_domestica/?name=MDP0000254203","MDP0000254203")</f>
        <v>MDP0000254203</v>
      </c>
      <c r="D23089">
        <v>61.65</v>
      </c>
      <c r="E23089">
        <v>193</v>
      </c>
      <c r="F23089">
        <v>74</v>
      </c>
      <c r="G23089">
        <v>3</v>
      </c>
      <c r="H23089">
        <v>6</v>
      </c>
      <c r="I23089">
        <v>196</v>
      </c>
      <c r="J23089">
        <v>1</v>
      </c>
      <c r="K23089">
        <v>8</v>
      </c>
      <c r="L23089">
        <v>199</v>
      </c>
      <c r="M23089">
        <v>1</v>
      </c>
      <c r="N23089">
        <v>6.0705899999999998E-62</v>
      </c>
      <c r="O23089">
        <v>596</v>
      </c>
    </row>
    <row r="23090" spans="1:15" x14ac:dyDescent="0.25">
      <c r="A23090" t="s">
        <v>23103</v>
      </c>
      <c r="B23090">
        <v>291</v>
      </c>
      <c r="C23090" s="1" t="str">
        <f>HYPERLINK("http://www.rosaceae.org/gb/gbrowse/malus_x_domestica/?name=MDP0000772731","MDP0000772731")</f>
        <v>MDP0000772731</v>
      </c>
      <c r="D23090">
        <v>37.44</v>
      </c>
      <c r="E23090">
        <v>219</v>
      </c>
      <c r="F23090">
        <v>137</v>
      </c>
      <c r="G23090">
        <v>23</v>
      </c>
      <c r="H23090">
        <v>3</v>
      </c>
      <c r="I23090">
        <v>213</v>
      </c>
      <c r="J23090">
        <v>1</v>
      </c>
      <c r="K23090">
        <v>9</v>
      </c>
      <c r="L23090">
        <v>212</v>
      </c>
      <c r="M23090">
        <v>1</v>
      </c>
      <c r="N23090">
        <v>2.3203600000000001E-31</v>
      </c>
      <c r="O23090">
        <v>334</v>
      </c>
    </row>
    <row r="23091" spans="1:15" x14ac:dyDescent="0.25">
      <c r="A23091" t="s">
        <v>23104</v>
      </c>
      <c r="B23091">
        <v>1001</v>
      </c>
      <c r="C23091" s="1" t="str">
        <f>HYPERLINK("http://www.rosaceae.org/gb/gbrowse/malus_x_domestica/?name=MDP0000171170","MDP0000171170")</f>
        <v>MDP0000171170</v>
      </c>
      <c r="D23091">
        <v>64.88</v>
      </c>
      <c r="E23091">
        <v>900</v>
      </c>
      <c r="F23091">
        <v>316</v>
      </c>
      <c r="G23091">
        <v>87</v>
      </c>
      <c r="H23091">
        <v>1</v>
      </c>
      <c r="I23091">
        <v>866</v>
      </c>
      <c r="J23091">
        <v>1</v>
      </c>
      <c r="K23091">
        <v>1</v>
      </c>
      <c r="L23091">
        <v>847</v>
      </c>
      <c r="M23091">
        <v>1</v>
      </c>
      <c r="N23091">
        <v>0</v>
      </c>
      <c r="O23091">
        <v>2768</v>
      </c>
    </row>
    <row r="23092" spans="1:15" x14ac:dyDescent="0.25">
      <c r="A23092" t="s">
        <v>23105</v>
      </c>
      <c r="B23092">
        <v>517</v>
      </c>
      <c r="C23092" s="1" t="str">
        <f>HYPERLINK("http://www.rosaceae.org/gb/gbrowse/malus_x_domestica/?name=MDP0000895594","MDP0000895594")</f>
        <v>MDP0000895594</v>
      </c>
      <c r="D23092">
        <v>72.58</v>
      </c>
      <c r="E23092">
        <v>507</v>
      </c>
      <c r="F23092">
        <v>139</v>
      </c>
      <c r="G23092">
        <v>18</v>
      </c>
      <c r="H23092">
        <v>29</v>
      </c>
      <c r="I23092">
        <v>517</v>
      </c>
      <c r="J23092">
        <v>1</v>
      </c>
      <c r="K23092">
        <v>31</v>
      </c>
      <c r="L23092">
        <v>537</v>
      </c>
      <c r="M23092">
        <v>1</v>
      </c>
      <c r="N23092">
        <v>0</v>
      </c>
      <c r="O23092">
        <v>1869</v>
      </c>
    </row>
    <row r="23093" spans="1:15" x14ac:dyDescent="0.25">
      <c r="A23093" t="s">
        <v>23106</v>
      </c>
      <c r="B23093">
        <v>562</v>
      </c>
      <c r="C23093" s="1" t="str">
        <f>HYPERLINK("http://www.rosaceae.org/gb/gbrowse/malus_x_domestica/?name=MDP0000836165","MDP0000836165")</f>
        <v>MDP0000836165</v>
      </c>
      <c r="D23093">
        <v>70.03</v>
      </c>
      <c r="E23093">
        <v>544</v>
      </c>
      <c r="F23093">
        <v>163</v>
      </c>
      <c r="G23093">
        <v>14</v>
      </c>
      <c r="H23093">
        <v>27</v>
      </c>
      <c r="I23093">
        <v>562</v>
      </c>
      <c r="J23093">
        <v>1</v>
      </c>
      <c r="K23093">
        <v>27</v>
      </c>
      <c r="L23093">
        <v>564</v>
      </c>
      <c r="M23093">
        <v>1</v>
      </c>
      <c r="N23093">
        <v>0</v>
      </c>
      <c r="O23093">
        <v>1959</v>
      </c>
    </row>
    <row r="23094" spans="1:15" x14ac:dyDescent="0.25">
      <c r="A23094" t="s">
        <v>23107</v>
      </c>
      <c r="B23094">
        <v>214</v>
      </c>
      <c r="C23094" s="1" t="str">
        <f>HYPERLINK("http://www.rosaceae.org/gb/gbrowse/malus_x_domestica/?name=MDP0000630768","MDP0000630768")</f>
        <v>MDP0000630768</v>
      </c>
      <c r="D23094">
        <v>68.33</v>
      </c>
      <c r="E23094">
        <v>60</v>
      </c>
      <c r="F23094">
        <v>19</v>
      </c>
      <c r="G23094">
        <v>0</v>
      </c>
      <c r="H23094">
        <v>140</v>
      </c>
      <c r="I23094">
        <v>199</v>
      </c>
      <c r="J23094">
        <v>1</v>
      </c>
      <c r="K23094">
        <v>186</v>
      </c>
      <c r="L23094">
        <v>245</v>
      </c>
      <c r="M23094">
        <v>1</v>
      </c>
      <c r="N23094">
        <v>3.6811199999999999E-18</v>
      </c>
      <c r="O23094">
        <v>219</v>
      </c>
    </row>
    <row r="23095" spans="1:15" x14ac:dyDescent="0.25">
      <c r="A23095" t="s">
        <v>23108</v>
      </c>
      <c r="B23095">
        <v>1547</v>
      </c>
      <c r="C23095" s="1" t="str">
        <f>HYPERLINK("http://www.rosaceae.org/gb/gbrowse/malus_x_domestica/?name=MDP0000138487","MDP0000138487")</f>
        <v>MDP0000138487</v>
      </c>
      <c r="D23095">
        <v>80.239999999999995</v>
      </c>
      <c r="E23095">
        <v>1154</v>
      </c>
      <c r="F23095">
        <v>228</v>
      </c>
      <c r="G23095">
        <v>16</v>
      </c>
      <c r="H23095">
        <v>409</v>
      </c>
      <c r="I23095">
        <v>1547</v>
      </c>
      <c r="J23095">
        <v>1</v>
      </c>
      <c r="K23095">
        <v>47</v>
      </c>
      <c r="L23095">
        <v>1199</v>
      </c>
      <c r="M23095">
        <v>1</v>
      </c>
      <c r="N23095">
        <v>0</v>
      </c>
      <c r="O23095">
        <v>4921</v>
      </c>
    </row>
    <row r="23096" spans="1:15" x14ac:dyDescent="0.25">
      <c r="A23096" t="s">
        <v>23109</v>
      </c>
      <c r="B23096">
        <v>927</v>
      </c>
      <c r="C23096" s="1" t="str">
        <f>HYPERLINK("http://www.rosaceae.org/gb/gbrowse/malus_x_domestica/?name=MDP0000204639","MDP0000204639")</f>
        <v>MDP0000204639</v>
      </c>
      <c r="D23096">
        <v>59.79</v>
      </c>
      <c r="E23096">
        <v>786</v>
      </c>
      <c r="F23096">
        <v>316</v>
      </c>
      <c r="G23096">
        <v>34</v>
      </c>
      <c r="H23096">
        <v>20</v>
      </c>
      <c r="I23096">
        <v>788</v>
      </c>
      <c r="J23096">
        <v>1</v>
      </c>
      <c r="K23096">
        <v>24</v>
      </c>
      <c r="L23096">
        <v>792</v>
      </c>
      <c r="M23096">
        <v>1</v>
      </c>
      <c r="N23096">
        <v>0</v>
      </c>
      <c r="O23096">
        <v>2269</v>
      </c>
    </row>
    <row r="23097" spans="1:15" x14ac:dyDescent="0.25">
      <c r="A23097" t="s">
        <v>23110</v>
      </c>
      <c r="B23097">
        <v>218</v>
      </c>
      <c r="C23097" s="1" t="str">
        <f>HYPERLINK("http://www.rosaceae.org/gb/gbrowse/malus_x_domestica/?name=MDP0000139052","MDP0000139052")</f>
        <v>MDP0000139052</v>
      </c>
      <c r="D23097">
        <v>67.510000000000005</v>
      </c>
      <c r="E23097">
        <v>197</v>
      </c>
      <c r="F23097">
        <v>64</v>
      </c>
      <c r="G23097">
        <v>4</v>
      </c>
      <c r="H23097">
        <v>21</v>
      </c>
      <c r="I23097">
        <v>215</v>
      </c>
      <c r="J23097">
        <v>1</v>
      </c>
      <c r="K23097">
        <v>14</v>
      </c>
      <c r="L23097">
        <v>208</v>
      </c>
      <c r="M23097">
        <v>1</v>
      </c>
      <c r="N23097">
        <v>4.3602200000000002E-70</v>
      </c>
      <c r="O23097">
        <v>667</v>
      </c>
    </row>
    <row r="23098" spans="1:15" x14ac:dyDescent="0.25">
      <c r="A23098" t="s">
        <v>23111</v>
      </c>
      <c r="B23098">
        <v>192</v>
      </c>
      <c r="C23098" s="1" t="str">
        <f>HYPERLINK("http://www.rosaceae.org/gb/gbrowse/malus_x_domestica/?name=MDP0000720497","MDP0000720497")</f>
        <v>MDP0000720497</v>
      </c>
      <c r="D23098">
        <v>76.92</v>
      </c>
      <c r="E23098">
        <v>91</v>
      </c>
      <c r="F23098">
        <v>21</v>
      </c>
      <c r="G23098">
        <v>6</v>
      </c>
      <c r="H23098">
        <v>102</v>
      </c>
      <c r="I23098">
        <v>192</v>
      </c>
      <c r="J23098">
        <v>1</v>
      </c>
      <c r="K23098">
        <v>40</v>
      </c>
      <c r="L23098">
        <v>124</v>
      </c>
      <c r="M23098">
        <v>1</v>
      </c>
      <c r="N23098">
        <v>2.4003200000000001E-33</v>
      </c>
      <c r="O23098">
        <v>349</v>
      </c>
    </row>
    <row r="23099" spans="1:15" x14ac:dyDescent="0.25">
      <c r="A23099" t="s">
        <v>23112</v>
      </c>
      <c r="B23099">
        <v>480</v>
      </c>
      <c r="C23099" s="1" t="str">
        <f>HYPERLINK("http://www.rosaceae.org/gb/gbrowse/malus_x_domestica/?name=MDP0000207564","MDP0000207564")</f>
        <v>MDP0000207564</v>
      </c>
      <c r="D23099">
        <v>82.81</v>
      </c>
      <c r="E23099">
        <v>384</v>
      </c>
      <c r="F23099">
        <v>66</v>
      </c>
      <c r="G23099">
        <v>9</v>
      </c>
      <c r="H23099">
        <v>105</v>
      </c>
      <c r="I23099">
        <v>480</v>
      </c>
      <c r="J23099">
        <v>1</v>
      </c>
      <c r="K23099">
        <v>1</v>
      </c>
      <c r="L23099">
        <v>383</v>
      </c>
      <c r="M23099">
        <v>1</v>
      </c>
      <c r="N23099">
        <v>0</v>
      </c>
      <c r="O23099">
        <v>1648</v>
      </c>
    </row>
    <row r="23100" spans="1:15" x14ac:dyDescent="0.25">
      <c r="A23100" t="s">
        <v>23113</v>
      </c>
      <c r="B23100">
        <v>205</v>
      </c>
      <c r="C23100" s="1" t="str">
        <f>HYPERLINK("http://www.rosaceae.org/gb/gbrowse/malus_x_domestica/?name=MDP0000134818","MDP0000134818")</f>
        <v>MDP0000134818</v>
      </c>
      <c r="D23100">
        <v>87.74</v>
      </c>
      <c r="E23100">
        <v>204</v>
      </c>
      <c r="F23100">
        <v>25</v>
      </c>
      <c r="G23100">
        <v>0</v>
      </c>
      <c r="H23100">
        <v>1</v>
      </c>
      <c r="I23100">
        <v>204</v>
      </c>
      <c r="J23100">
        <v>1</v>
      </c>
      <c r="K23100">
        <v>74</v>
      </c>
      <c r="L23100">
        <v>277</v>
      </c>
      <c r="M23100">
        <v>1</v>
      </c>
      <c r="N23100">
        <v>4.8105500000000003E-109</v>
      </c>
      <c r="O23100">
        <v>1002</v>
      </c>
    </row>
    <row r="23101" spans="1:15" x14ac:dyDescent="0.25">
      <c r="A23101" t="s">
        <v>23114</v>
      </c>
      <c r="B23101">
        <v>629</v>
      </c>
      <c r="C23101" s="1" t="str">
        <f>HYPERLINK("http://www.rosaceae.org/gb/gbrowse/malus_x_domestica/?name=MDP0000120231","MDP0000120231")</f>
        <v>MDP0000120231</v>
      </c>
      <c r="D23101">
        <v>56.67</v>
      </c>
      <c r="E23101">
        <v>607</v>
      </c>
      <c r="F23101">
        <v>263</v>
      </c>
      <c r="G23101">
        <v>80</v>
      </c>
      <c r="H23101">
        <v>1</v>
      </c>
      <c r="I23101">
        <v>562</v>
      </c>
      <c r="J23101">
        <v>1</v>
      </c>
      <c r="K23101">
        <v>1</v>
      </c>
      <c r="L23101">
        <v>572</v>
      </c>
      <c r="M23101">
        <v>1</v>
      </c>
      <c r="N23101">
        <v>9.0091999999999999E-174</v>
      </c>
      <c r="O23101">
        <v>1566</v>
      </c>
    </row>
    <row r="23102" spans="1:15" x14ac:dyDescent="0.25">
      <c r="A23102" t="s">
        <v>23115</v>
      </c>
      <c r="B23102">
        <v>233</v>
      </c>
      <c r="C23102" s="1" t="str">
        <f>HYPERLINK("http://www.rosaceae.org/gb/gbrowse/malus_x_domestica/?name=MDP0000160640","MDP0000160640")</f>
        <v>MDP0000160640</v>
      </c>
      <c r="D23102">
        <v>88.54</v>
      </c>
      <c r="E23102">
        <v>96</v>
      </c>
      <c r="F23102">
        <v>11</v>
      </c>
      <c r="G23102">
        <v>0</v>
      </c>
      <c r="H23102">
        <v>1</v>
      </c>
      <c r="I23102">
        <v>96</v>
      </c>
      <c r="J23102">
        <v>1</v>
      </c>
      <c r="K23102">
        <v>64</v>
      </c>
      <c r="L23102">
        <v>159</v>
      </c>
      <c r="M23102">
        <v>1</v>
      </c>
      <c r="N23102">
        <v>6.8223999999999999E-48</v>
      </c>
      <c r="O23102">
        <v>476</v>
      </c>
    </row>
    <row r="23103" spans="1:15" x14ac:dyDescent="0.25">
      <c r="A23103" t="s">
        <v>23116</v>
      </c>
      <c r="B23103">
        <v>143</v>
      </c>
      <c r="C23103" s="1" t="str">
        <f>HYPERLINK("http://www.rosaceae.org/gb/gbrowse/malus_x_domestica/?name=MDP0000188831","MDP0000188831")</f>
        <v>MDP0000188831</v>
      </c>
      <c r="D23103">
        <v>97.05</v>
      </c>
      <c r="E23103">
        <v>34</v>
      </c>
      <c r="F23103">
        <v>1</v>
      </c>
      <c r="G23103">
        <v>0</v>
      </c>
      <c r="H23103">
        <v>47</v>
      </c>
      <c r="I23103">
        <v>80</v>
      </c>
      <c r="J23103">
        <v>1</v>
      </c>
      <c r="K23103">
        <v>7</v>
      </c>
      <c r="L23103">
        <v>40</v>
      </c>
      <c r="M23103">
        <v>1</v>
      </c>
      <c r="N23103">
        <v>2.2497500000000002E-12</v>
      </c>
      <c r="O23103">
        <v>166</v>
      </c>
    </row>
    <row r="23104" spans="1:15" x14ac:dyDescent="0.25">
      <c r="A23104" t="s">
        <v>23117</v>
      </c>
      <c r="B23104">
        <v>426</v>
      </c>
      <c r="C23104" s="1" t="str">
        <f>HYPERLINK("http://www.rosaceae.org/gb/gbrowse/malus_x_domestica/?name=MDP0000257646","MDP0000257646")</f>
        <v>MDP0000257646</v>
      </c>
      <c r="D23104">
        <v>88.64</v>
      </c>
      <c r="E23104">
        <v>185</v>
      </c>
      <c r="F23104">
        <v>21</v>
      </c>
      <c r="G23104">
        <v>0</v>
      </c>
      <c r="H23104">
        <v>208</v>
      </c>
      <c r="I23104">
        <v>392</v>
      </c>
      <c r="J23104">
        <v>1</v>
      </c>
      <c r="K23104">
        <v>453</v>
      </c>
      <c r="L23104">
        <v>637</v>
      </c>
      <c r="M23104">
        <v>1</v>
      </c>
      <c r="N23104">
        <v>5.8134100000000001E-98</v>
      </c>
      <c r="O23104">
        <v>911</v>
      </c>
    </row>
    <row r="23105" spans="1:15" x14ac:dyDescent="0.25">
      <c r="A23105" t="s">
        <v>23118</v>
      </c>
      <c r="B23105">
        <v>141</v>
      </c>
      <c r="C23105" s="1" t="str">
        <f>HYPERLINK("http://www.rosaceae.org/gb/gbrowse/malus_x_domestica/?name=MDP0000842063","MDP0000842063")</f>
        <v>MDP0000842063</v>
      </c>
      <c r="D23105">
        <v>55.38</v>
      </c>
      <c r="E23105">
        <v>65</v>
      </c>
      <c r="F23105">
        <v>29</v>
      </c>
      <c r="G23105">
        <v>4</v>
      </c>
      <c r="H23105">
        <v>80</v>
      </c>
      <c r="I23105">
        <v>140</v>
      </c>
      <c r="J23105">
        <v>1</v>
      </c>
      <c r="K23105">
        <v>291</v>
      </c>
      <c r="L23105">
        <v>355</v>
      </c>
      <c r="M23105">
        <v>1</v>
      </c>
      <c r="N23105">
        <v>1.37754E-9</v>
      </c>
      <c r="O23105">
        <v>141</v>
      </c>
    </row>
    <row r="23106" spans="1:15" x14ac:dyDescent="0.25">
      <c r="A23106" t="s">
        <v>23119</v>
      </c>
      <c r="B23106">
        <v>424</v>
      </c>
      <c r="C23106" s="1" t="str">
        <f>HYPERLINK("http://www.rosaceae.org/gb/gbrowse/malus_x_domestica/?name=MDP0000899408","MDP0000899408")</f>
        <v>MDP0000899408</v>
      </c>
      <c r="D23106">
        <v>73.61</v>
      </c>
      <c r="E23106">
        <v>360</v>
      </c>
      <c r="F23106">
        <v>95</v>
      </c>
      <c r="G23106">
        <v>12</v>
      </c>
      <c r="H23106">
        <v>70</v>
      </c>
      <c r="I23106">
        <v>424</v>
      </c>
      <c r="J23106">
        <v>1</v>
      </c>
      <c r="K23106">
        <v>66</v>
      </c>
      <c r="L23106">
        <v>418</v>
      </c>
      <c r="M23106">
        <v>1</v>
      </c>
      <c r="N23106">
        <v>2.9975700000000001E-145</v>
      </c>
      <c r="O23106">
        <v>1318</v>
      </c>
    </row>
    <row r="23107" spans="1:15" x14ac:dyDescent="0.25">
      <c r="A23107" t="s">
        <v>23120</v>
      </c>
      <c r="B23107">
        <v>267</v>
      </c>
      <c r="C23107" s="1" t="str">
        <f>HYPERLINK("http://www.rosaceae.org/gb/gbrowse/malus_x_domestica/?name=MDP0000387755","MDP0000387755")</f>
        <v>MDP0000387755</v>
      </c>
      <c r="D23107">
        <v>93.33</v>
      </c>
      <c r="E23107">
        <v>30</v>
      </c>
      <c r="F23107">
        <v>2</v>
      </c>
      <c r="G23107">
        <v>0</v>
      </c>
      <c r="H23107">
        <v>45</v>
      </c>
      <c r="I23107">
        <v>74</v>
      </c>
      <c r="J23107">
        <v>1</v>
      </c>
      <c r="K23107">
        <v>4</v>
      </c>
      <c r="L23107">
        <v>33</v>
      </c>
      <c r="M23107">
        <v>1</v>
      </c>
      <c r="N23107">
        <v>6.9552399999999997E-9</v>
      </c>
      <c r="O23107">
        <v>140</v>
      </c>
    </row>
    <row r="23108" spans="1:15" x14ac:dyDescent="0.25">
      <c r="A23108" t="s">
        <v>23121</v>
      </c>
      <c r="B23108">
        <v>273</v>
      </c>
      <c r="C23108" s="1" t="str">
        <f>HYPERLINK("http://www.rosaceae.org/gb/gbrowse/malus_x_domestica/?name=MDP0000317482","MDP0000317482")</f>
        <v>MDP0000317482</v>
      </c>
      <c r="D23108">
        <v>53.26</v>
      </c>
      <c r="E23108">
        <v>276</v>
      </c>
      <c r="F23108">
        <v>129</v>
      </c>
      <c r="G23108">
        <v>3</v>
      </c>
      <c r="H23108">
        <v>1</v>
      </c>
      <c r="I23108">
        <v>273</v>
      </c>
      <c r="J23108">
        <v>1</v>
      </c>
      <c r="K23108">
        <v>1</v>
      </c>
      <c r="L23108">
        <v>276</v>
      </c>
      <c r="M23108">
        <v>1</v>
      </c>
      <c r="N23108">
        <v>6.6206900000000004E-72</v>
      </c>
      <c r="O23108">
        <v>684</v>
      </c>
    </row>
    <row r="23109" spans="1:15" x14ac:dyDescent="0.25">
      <c r="A23109" t="s">
        <v>23122</v>
      </c>
      <c r="B23109">
        <v>458</v>
      </c>
      <c r="C23109" s="1" t="str">
        <f>HYPERLINK("http://www.rosaceae.org/gb/gbrowse/malus_x_domestica/?name=MDP0000256767","MDP0000256767")</f>
        <v>MDP0000256767</v>
      </c>
      <c r="D23109">
        <v>71.7</v>
      </c>
      <c r="E23109">
        <v>417</v>
      </c>
      <c r="F23109">
        <v>118</v>
      </c>
      <c r="G23109">
        <v>11</v>
      </c>
      <c r="H23109">
        <v>19</v>
      </c>
      <c r="I23109">
        <v>435</v>
      </c>
      <c r="J23109">
        <v>1</v>
      </c>
      <c r="K23109">
        <v>61</v>
      </c>
      <c r="L23109">
        <v>466</v>
      </c>
      <c r="M23109">
        <v>1</v>
      </c>
      <c r="N23109">
        <v>2.82425E-160</v>
      </c>
      <c r="O23109">
        <v>1448</v>
      </c>
    </row>
    <row r="23110" spans="1:15" x14ac:dyDescent="0.25">
      <c r="A23110" t="s">
        <v>23123</v>
      </c>
      <c r="B23110">
        <v>580</v>
      </c>
      <c r="C23110" s="1" t="str">
        <f>HYPERLINK("http://www.rosaceae.org/gb/gbrowse/malus_x_domestica/?name=MDP0000133327","MDP0000133327")</f>
        <v>MDP0000133327</v>
      </c>
      <c r="D23110">
        <v>59.18</v>
      </c>
      <c r="E23110">
        <v>245</v>
      </c>
      <c r="F23110">
        <v>100</v>
      </c>
      <c r="G23110">
        <v>7</v>
      </c>
      <c r="H23110">
        <v>1</v>
      </c>
      <c r="I23110">
        <v>238</v>
      </c>
      <c r="J23110">
        <v>1</v>
      </c>
      <c r="K23110">
        <v>1</v>
      </c>
      <c r="L23110">
        <v>245</v>
      </c>
      <c r="M23110">
        <v>1</v>
      </c>
      <c r="N23110">
        <v>1.80628E-71</v>
      </c>
      <c r="O23110">
        <v>683</v>
      </c>
    </row>
    <row r="23111" spans="1:15" x14ac:dyDescent="0.25">
      <c r="A23111" t="s">
        <v>23124</v>
      </c>
      <c r="B23111">
        <v>312</v>
      </c>
      <c r="C23111" s="1" t="str">
        <f>HYPERLINK("http://www.rosaceae.org/gb/gbrowse/malus_x_domestica/?name=MDP0000508748","MDP0000508748")</f>
        <v>MDP0000508748</v>
      </c>
      <c r="D23111">
        <v>65.61</v>
      </c>
      <c r="E23111">
        <v>221</v>
      </c>
      <c r="F23111">
        <v>76</v>
      </c>
      <c r="G23111">
        <v>6</v>
      </c>
      <c r="H23111">
        <v>96</v>
      </c>
      <c r="I23111">
        <v>312</v>
      </c>
      <c r="J23111">
        <v>1</v>
      </c>
      <c r="K23111">
        <v>57</v>
      </c>
      <c r="L23111">
        <v>275</v>
      </c>
      <c r="M23111">
        <v>1</v>
      </c>
      <c r="N23111">
        <v>1.1728900000000001E-73</v>
      </c>
      <c r="O23111">
        <v>699</v>
      </c>
    </row>
    <row r="23112" spans="1:15" x14ac:dyDescent="0.25">
      <c r="A23112" t="s">
        <v>23125</v>
      </c>
      <c r="B23112">
        <v>2248</v>
      </c>
      <c r="C23112" s="1" t="str">
        <f>HYPERLINK("http://www.rosaceae.org/gb/gbrowse/malus_x_domestica/?name=MDP0000294450","MDP0000294450")</f>
        <v>MDP0000294450</v>
      </c>
      <c r="D23112">
        <v>67.209999999999994</v>
      </c>
      <c r="E23112">
        <v>2013</v>
      </c>
      <c r="F23112">
        <v>660</v>
      </c>
      <c r="G23112">
        <v>55</v>
      </c>
      <c r="H23112">
        <v>30</v>
      </c>
      <c r="I23112">
        <v>2026</v>
      </c>
      <c r="J23112">
        <v>1</v>
      </c>
      <c r="K23112">
        <v>1</v>
      </c>
      <c r="L23112">
        <v>1974</v>
      </c>
      <c r="M23112">
        <v>1</v>
      </c>
      <c r="N23112">
        <v>0</v>
      </c>
      <c r="O23112">
        <v>6834</v>
      </c>
    </row>
    <row r="23113" spans="1:15" x14ac:dyDescent="0.25">
      <c r="A23113" t="s">
        <v>23126</v>
      </c>
      <c r="B23113">
        <v>203</v>
      </c>
      <c r="C23113" s="1" t="str">
        <f>HYPERLINK("http://www.rosaceae.org/gb/gbrowse/malus_x_domestica/?name=MDP0000222270","MDP0000222270")</f>
        <v>MDP0000222270</v>
      </c>
      <c r="D23113">
        <v>65.48</v>
      </c>
      <c r="E23113">
        <v>197</v>
      </c>
      <c r="F23113">
        <v>68</v>
      </c>
      <c r="G23113">
        <v>19</v>
      </c>
      <c r="H23113">
        <v>2</v>
      </c>
      <c r="I23113">
        <v>179</v>
      </c>
      <c r="J23113">
        <v>1</v>
      </c>
      <c r="K23113">
        <v>4</v>
      </c>
      <c r="L23113">
        <v>200</v>
      </c>
      <c r="M23113">
        <v>1</v>
      </c>
      <c r="N23113">
        <v>1.6373099999999999E-65</v>
      </c>
      <c r="O23113">
        <v>627</v>
      </c>
    </row>
    <row r="23114" spans="1:15" x14ac:dyDescent="0.25">
      <c r="A23114" t="s">
        <v>23127</v>
      </c>
      <c r="B23114">
        <v>352</v>
      </c>
      <c r="C23114" s="1" t="str">
        <f>HYPERLINK("http://www.rosaceae.org/gb/gbrowse/malus_x_domestica/?name=MDP0000256162","MDP0000256162")</f>
        <v>MDP0000256162</v>
      </c>
      <c r="D23114">
        <v>82.63</v>
      </c>
      <c r="E23114">
        <v>357</v>
      </c>
      <c r="F23114">
        <v>62</v>
      </c>
      <c r="G23114">
        <v>29</v>
      </c>
      <c r="H23114">
        <v>20</v>
      </c>
      <c r="I23114">
        <v>347</v>
      </c>
      <c r="J23114">
        <v>1</v>
      </c>
      <c r="K23114">
        <v>21</v>
      </c>
      <c r="L23114">
        <v>377</v>
      </c>
      <c r="M23114">
        <v>1</v>
      </c>
      <c r="N23114">
        <v>1.4304699999999999E-167</v>
      </c>
      <c r="O23114">
        <v>1510</v>
      </c>
    </row>
    <row r="23115" spans="1:15" x14ac:dyDescent="0.25">
      <c r="A23115" t="s">
        <v>23128</v>
      </c>
      <c r="B23115">
        <v>2261</v>
      </c>
      <c r="C23115" s="1" t="str">
        <f>HYPERLINK("http://www.rosaceae.org/gb/gbrowse/malus_x_domestica/?name=MDP0000119720","MDP0000119720")</f>
        <v>MDP0000119720</v>
      </c>
      <c r="D23115">
        <v>72.69</v>
      </c>
      <c r="E23115">
        <v>2326</v>
      </c>
      <c r="F23115">
        <v>635</v>
      </c>
      <c r="G23115">
        <v>77</v>
      </c>
      <c r="H23115">
        <v>1</v>
      </c>
      <c r="I23115">
        <v>2261</v>
      </c>
      <c r="J23115">
        <v>1</v>
      </c>
      <c r="K23115">
        <v>1</v>
      </c>
      <c r="L23115">
        <v>2314</v>
      </c>
      <c r="M23115">
        <v>1</v>
      </c>
      <c r="N23115">
        <v>0</v>
      </c>
      <c r="O23115">
        <v>8689</v>
      </c>
    </row>
    <row r="23116" spans="1:15" x14ac:dyDescent="0.25">
      <c r="A23116" t="s">
        <v>23129</v>
      </c>
      <c r="B23116">
        <v>234</v>
      </c>
      <c r="C23116" s="1" t="str">
        <f>HYPERLINK("http://www.rosaceae.org/gb/gbrowse/malus_x_domestica/?name=MDP0000306587","MDP0000306587")</f>
        <v>MDP0000306587</v>
      </c>
      <c r="D23116">
        <v>26.63</v>
      </c>
      <c r="E23116">
        <v>199</v>
      </c>
      <c r="F23116">
        <v>146</v>
      </c>
      <c r="G23116">
        <v>24</v>
      </c>
      <c r="H23116">
        <v>2</v>
      </c>
      <c r="I23116">
        <v>193</v>
      </c>
      <c r="J23116">
        <v>1</v>
      </c>
      <c r="K23116">
        <v>293</v>
      </c>
      <c r="L23116">
        <v>474</v>
      </c>
      <c r="M23116">
        <v>1</v>
      </c>
      <c r="N23116">
        <v>1.07931E-16</v>
      </c>
      <c r="O23116">
        <v>207</v>
      </c>
    </row>
    <row r="23117" spans="1:15" x14ac:dyDescent="0.25">
      <c r="A23117" t="s">
        <v>23130</v>
      </c>
      <c r="B23117">
        <v>215</v>
      </c>
      <c r="C23117" s="1" t="str">
        <f>HYPERLINK("http://www.rosaceae.org/gb/gbrowse/malus_x_domestica/?name=MDP0000201559","MDP0000201559")</f>
        <v>MDP0000201559</v>
      </c>
      <c r="D23117">
        <v>83.33</v>
      </c>
      <c r="E23117">
        <v>132</v>
      </c>
      <c r="F23117">
        <v>22</v>
      </c>
      <c r="G23117">
        <v>0</v>
      </c>
      <c r="H23117">
        <v>1</v>
      </c>
      <c r="I23117">
        <v>132</v>
      </c>
      <c r="J23117">
        <v>1</v>
      </c>
      <c r="K23117">
        <v>1</v>
      </c>
      <c r="L23117">
        <v>132</v>
      </c>
      <c r="M23117">
        <v>1</v>
      </c>
      <c r="N23117">
        <v>5.5833400000000002E-50</v>
      </c>
      <c r="O23117">
        <v>493</v>
      </c>
    </row>
    <row r="23118" spans="1:15" x14ac:dyDescent="0.25">
      <c r="A23118" t="s">
        <v>23131</v>
      </c>
      <c r="B23118">
        <v>943</v>
      </c>
      <c r="C23118" s="1" t="str">
        <f>HYPERLINK("http://www.rosaceae.org/gb/gbrowse/malus_x_domestica/?name=MDP0000766375","MDP0000766375")</f>
        <v>MDP0000766375</v>
      </c>
      <c r="D23118">
        <v>58.95</v>
      </c>
      <c r="E23118">
        <v>1016</v>
      </c>
      <c r="F23118">
        <v>417</v>
      </c>
      <c r="G23118">
        <v>100</v>
      </c>
      <c r="H23118">
        <v>1</v>
      </c>
      <c r="I23118">
        <v>942</v>
      </c>
      <c r="J23118">
        <v>1</v>
      </c>
      <c r="K23118">
        <v>1</v>
      </c>
      <c r="L23118">
        <v>990</v>
      </c>
      <c r="M23118">
        <v>1</v>
      </c>
      <c r="N23118">
        <v>0</v>
      </c>
      <c r="O23118">
        <v>2747</v>
      </c>
    </row>
    <row r="23119" spans="1:15" x14ac:dyDescent="0.25">
      <c r="A23119" t="s">
        <v>23132</v>
      </c>
      <c r="B23119">
        <v>331</v>
      </c>
      <c r="C23119" s="1" t="str">
        <f>HYPERLINK("http://www.rosaceae.org/gb/gbrowse/malus_x_domestica/?name=MDP0000278288","MDP0000278288")</f>
        <v>MDP0000278288</v>
      </c>
      <c r="D23119">
        <v>80.06</v>
      </c>
      <c r="E23119">
        <v>331</v>
      </c>
      <c r="F23119">
        <v>66</v>
      </c>
      <c r="G23119">
        <v>2</v>
      </c>
      <c r="H23119">
        <v>2</v>
      </c>
      <c r="I23119">
        <v>331</v>
      </c>
      <c r="J23119">
        <v>1</v>
      </c>
      <c r="K23119">
        <v>3</v>
      </c>
      <c r="L23119">
        <v>332</v>
      </c>
      <c r="M23119">
        <v>1</v>
      </c>
      <c r="N23119">
        <v>6.4278000000000005E-147</v>
      </c>
      <c r="O23119">
        <v>1331</v>
      </c>
    </row>
    <row r="23120" spans="1:15" x14ac:dyDescent="0.25">
      <c r="A23120" t="s">
        <v>23133</v>
      </c>
      <c r="B23120">
        <v>411</v>
      </c>
      <c r="C23120" s="1" t="str">
        <f>HYPERLINK("http://www.rosaceae.org/gb/gbrowse/malus_x_domestica/?name=MDP0000499580","MDP0000499580")</f>
        <v>MDP0000499580</v>
      </c>
      <c r="D23120">
        <v>88.67</v>
      </c>
      <c r="E23120">
        <v>265</v>
      </c>
      <c r="F23120">
        <v>30</v>
      </c>
      <c r="G23120">
        <v>0</v>
      </c>
      <c r="H23120">
        <v>143</v>
      </c>
      <c r="I23120">
        <v>407</v>
      </c>
      <c r="J23120">
        <v>1</v>
      </c>
      <c r="K23120">
        <v>1</v>
      </c>
      <c r="L23120">
        <v>265</v>
      </c>
      <c r="M23120">
        <v>1</v>
      </c>
      <c r="N23120">
        <v>2.62671E-140</v>
      </c>
      <c r="O23120">
        <v>1276</v>
      </c>
    </row>
    <row r="23121" spans="1:15" x14ac:dyDescent="0.25">
      <c r="A23121" t="s">
        <v>23134</v>
      </c>
      <c r="B23121">
        <v>232</v>
      </c>
      <c r="C23121" s="1" t="str">
        <f>HYPERLINK("http://www.rosaceae.org/gb/gbrowse/malus_x_domestica/?name=MDP0000189006","MDP0000189006")</f>
        <v>MDP0000189006</v>
      </c>
      <c r="D23121">
        <v>34.78</v>
      </c>
      <c r="E23121">
        <v>184</v>
      </c>
      <c r="F23121">
        <v>120</v>
      </c>
      <c r="G23121">
        <v>6</v>
      </c>
      <c r="H23121">
        <v>3</v>
      </c>
      <c r="I23121">
        <v>185</v>
      </c>
      <c r="J23121">
        <v>1</v>
      </c>
      <c r="K23121">
        <v>31</v>
      </c>
      <c r="L23121">
        <v>209</v>
      </c>
      <c r="M23121">
        <v>1</v>
      </c>
      <c r="N23121">
        <v>8.7475599999999992E-28</v>
      </c>
      <c r="O23121">
        <v>302</v>
      </c>
    </row>
    <row r="23122" spans="1:15" x14ac:dyDescent="0.25">
      <c r="A23122" t="s">
        <v>23135</v>
      </c>
      <c r="B23122">
        <v>728</v>
      </c>
      <c r="C23122" s="1" t="str">
        <f>HYPERLINK("http://www.rosaceae.org/gb/gbrowse/malus_x_domestica/?name=MDP0000302739","MDP0000302739")</f>
        <v>MDP0000302739</v>
      </c>
      <c r="D23122">
        <v>72.06</v>
      </c>
      <c r="E23122">
        <v>537</v>
      </c>
      <c r="F23122">
        <v>150</v>
      </c>
      <c r="G23122">
        <v>0</v>
      </c>
      <c r="H23122">
        <v>1</v>
      </c>
      <c r="I23122">
        <v>537</v>
      </c>
      <c r="J23122">
        <v>1</v>
      </c>
      <c r="K23122">
        <v>1</v>
      </c>
      <c r="L23122">
        <v>537</v>
      </c>
      <c r="M23122">
        <v>1</v>
      </c>
      <c r="N23122">
        <v>0</v>
      </c>
      <c r="O23122">
        <v>2063</v>
      </c>
    </row>
    <row r="23123" spans="1:15" x14ac:dyDescent="0.25">
      <c r="A23123" t="s">
        <v>23136</v>
      </c>
      <c r="B23123">
        <v>367</v>
      </c>
      <c r="C23123" s="1" t="str">
        <f>HYPERLINK("http://www.rosaceae.org/gb/gbrowse/malus_x_domestica/?name=MDP0000181135","MDP0000181135")</f>
        <v>MDP0000181135</v>
      </c>
      <c r="D23123">
        <v>38.159999999999997</v>
      </c>
      <c r="E23123">
        <v>338</v>
      </c>
      <c r="F23123">
        <v>209</v>
      </c>
      <c r="G23123">
        <v>27</v>
      </c>
      <c r="H23123">
        <v>23</v>
      </c>
      <c r="I23123">
        <v>346</v>
      </c>
      <c r="J23123">
        <v>1</v>
      </c>
      <c r="K23123">
        <v>10</v>
      </c>
      <c r="L23123">
        <v>334</v>
      </c>
      <c r="M23123">
        <v>1</v>
      </c>
      <c r="N23123">
        <v>1.38783E-45</v>
      </c>
      <c r="O23123">
        <v>458</v>
      </c>
    </row>
    <row r="23124" spans="1:15" x14ac:dyDescent="0.25">
      <c r="A23124" t="s">
        <v>23137</v>
      </c>
      <c r="B23124">
        <v>196</v>
      </c>
      <c r="C23124" s="1" t="str">
        <f>HYPERLINK("http://www.rosaceae.org/gb/gbrowse/malus_x_domestica/?name=MDP0000917723","MDP0000917723")</f>
        <v>MDP0000917723</v>
      </c>
      <c r="D23124">
        <v>78.5</v>
      </c>
      <c r="E23124">
        <v>200</v>
      </c>
      <c r="F23124">
        <v>43</v>
      </c>
      <c r="G23124">
        <v>5</v>
      </c>
      <c r="H23124">
        <v>1</v>
      </c>
      <c r="I23124">
        <v>196</v>
      </c>
      <c r="J23124">
        <v>1</v>
      </c>
      <c r="K23124">
        <v>1</v>
      </c>
      <c r="L23124">
        <v>199</v>
      </c>
      <c r="M23124">
        <v>1</v>
      </c>
      <c r="N23124">
        <v>2.3473700000000001E-81</v>
      </c>
      <c r="O23124">
        <v>763</v>
      </c>
    </row>
    <row r="23125" spans="1:15" x14ac:dyDescent="0.25">
      <c r="A23125" t="s">
        <v>23138</v>
      </c>
      <c r="B23125">
        <v>716</v>
      </c>
      <c r="C23125" s="1" t="str">
        <f>HYPERLINK("http://www.rosaceae.org/gb/gbrowse/malus_x_domestica/?name=MDP0000921094","MDP0000921094")</f>
        <v>MDP0000921094</v>
      </c>
      <c r="D23125">
        <v>60.19</v>
      </c>
      <c r="E23125">
        <v>736</v>
      </c>
      <c r="F23125">
        <v>293</v>
      </c>
      <c r="G23125">
        <v>27</v>
      </c>
      <c r="H23125">
        <v>1</v>
      </c>
      <c r="I23125">
        <v>714</v>
      </c>
      <c r="J23125">
        <v>1</v>
      </c>
      <c r="K23125">
        <v>8</v>
      </c>
      <c r="L23125">
        <v>738</v>
      </c>
      <c r="M23125">
        <v>1</v>
      </c>
      <c r="N23125">
        <v>0</v>
      </c>
      <c r="O23125">
        <v>2224</v>
      </c>
    </row>
    <row r="23126" spans="1:15" x14ac:dyDescent="0.25">
      <c r="A23126" t="s">
        <v>23139</v>
      </c>
      <c r="B23126">
        <v>1060</v>
      </c>
      <c r="C23126" s="1" t="str">
        <f>HYPERLINK("http://www.rosaceae.org/gb/gbrowse/malus_x_domestica/?name=MDP0000162375","MDP0000162375")</f>
        <v>MDP0000162375</v>
      </c>
      <c r="D23126">
        <v>60.61</v>
      </c>
      <c r="E23126">
        <v>810</v>
      </c>
      <c r="F23126">
        <v>319</v>
      </c>
      <c r="G23126">
        <v>14</v>
      </c>
      <c r="H23126">
        <v>1</v>
      </c>
      <c r="I23126">
        <v>809</v>
      </c>
      <c r="J23126">
        <v>1</v>
      </c>
      <c r="K23126">
        <v>1</v>
      </c>
      <c r="L23126">
        <v>797</v>
      </c>
      <c r="M23126">
        <v>1</v>
      </c>
      <c r="N23126">
        <v>0</v>
      </c>
      <c r="O23126">
        <v>2430</v>
      </c>
    </row>
    <row r="23127" spans="1:15" x14ac:dyDescent="0.25">
      <c r="A23127" t="s">
        <v>23140</v>
      </c>
      <c r="B23127">
        <v>300</v>
      </c>
      <c r="C23127" s="1" t="str">
        <f>HYPERLINK("http://www.rosaceae.org/gb/gbrowse/malus_x_domestica/?name=MDP0000130160","MDP0000130160")</f>
        <v>MDP0000130160</v>
      </c>
      <c r="D23127">
        <v>70.58</v>
      </c>
      <c r="E23127">
        <v>289</v>
      </c>
      <c r="F23127">
        <v>85</v>
      </c>
      <c r="G23127">
        <v>21</v>
      </c>
      <c r="H23127">
        <v>30</v>
      </c>
      <c r="I23127">
        <v>297</v>
      </c>
      <c r="J23127">
        <v>1</v>
      </c>
      <c r="K23127">
        <v>1</v>
      </c>
      <c r="L23127">
        <v>289</v>
      </c>
      <c r="M23127">
        <v>1</v>
      </c>
      <c r="N23127">
        <v>2.6273999999999998E-109</v>
      </c>
      <c r="O23127">
        <v>1007</v>
      </c>
    </row>
    <row r="23128" spans="1:15" x14ac:dyDescent="0.25">
      <c r="A23128" t="s">
        <v>23141</v>
      </c>
      <c r="B23128">
        <v>197</v>
      </c>
      <c r="C23128" s="1" t="str">
        <f>HYPERLINK("http://www.rosaceae.org/gb/gbrowse/malus_x_domestica/?name=MDP0000321125","MDP0000321125")</f>
        <v>MDP0000321125</v>
      </c>
      <c r="D23128">
        <v>50</v>
      </c>
      <c r="E23128">
        <v>170</v>
      </c>
      <c r="F23128">
        <v>85</v>
      </c>
      <c r="G23128">
        <v>29</v>
      </c>
      <c r="H23128">
        <v>1</v>
      </c>
      <c r="I23128">
        <v>170</v>
      </c>
      <c r="J23128">
        <v>1</v>
      </c>
      <c r="K23128">
        <v>1</v>
      </c>
      <c r="L23128">
        <v>141</v>
      </c>
      <c r="M23128">
        <v>1</v>
      </c>
      <c r="N23128">
        <v>1.76434E-36</v>
      </c>
      <c r="O23128">
        <v>376</v>
      </c>
    </row>
    <row r="23129" spans="1:15" x14ac:dyDescent="0.25">
      <c r="A23129" t="s">
        <v>23142</v>
      </c>
      <c r="B23129">
        <v>824</v>
      </c>
      <c r="C23129" s="1" t="str">
        <f>HYPERLINK("http://www.rosaceae.org/gb/gbrowse/malus_x_domestica/?name=MDP0000086517","MDP0000086517")</f>
        <v>MDP0000086517</v>
      </c>
      <c r="D23129">
        <v>65.34</v>
      </c>
      <c r="E23129">
        <v>834</v>
      </c>
      <c r="F23129">
        <v>289</v>
      </c>
      <c r="G23129">
        <v>59</v>
      </c>
      <c r="H23129">
        <v>1</v>
      </c>
      <c r="I23129">
        <v>783</v>
      </c>
      <c r="J23129">
        <v>1</v>
      </c>
      <c r="K23129">
        <v>1</v>
      </c>
      <c r="L23129">
        <v>826</v>
      </c>
      <c r="M23129">
        <v>1</v>
      </c>
      <c r="N23129">
        <v>0</v>
      </c>
      <c r="O23129">
        <v>2758</v>
      </c>
    </row>
    <row r="23130" spans="1:15" x14ac:dyDescent="0.25">
      <c r="A23130" t="s">
        <v>23143</v>
      </c>
      <c r="B23130">
        <v>645</v>
      </c>
      <c r="C23130" s="1" t="str">
        <f>HYPERLINK("http://www.rosaceae.org/gb/gbrowse/malus_x_domestica/?name=MDP0000568668","MDP0000568668")</f>
        <v>MDP0000568668</v>
      </c>
      <c r="D23130">
        <v>63.03</v>
      </c>
      <c r="E23130">
        <v>660</v>
      </c>
      <c r="F23130">
        <v>244</v>
      </c>
      <c r="G23130">
        <v>34</v>
      </c>
      <c r="H23130">
        <v>10</v>
      </c>
      <c r="I23130">
        <v>645</v>
      </c>
      <c r="J23130">
        <v>1</v>
      </c>
      <c r="K23130">
        <v>26</v>
      </c>
      <c r="L23130">
        <v>675</v>
      </c>
      <c r="M23130">
        <v>1</v>
      </c>
      <c r="N23130">
        <v>0</v>
      </c>
      <c r="O23130">
        <v>1905</v>
      </c>
    </row>
    <row r="23131" spans="1:15" x14ac:dyDescent="0.25">
      <c r="A23131" t="s">
        <v>23144</v>
      </c>
      <c r="B23131">
        <v>762</v>
      </c>
      <c r="C23131" s="1" t="str">
        <f>HYPERLINK("http://www.rosaceae.org/gb/gbrowse/malus_x_domestica/?name=MDP0000215030","MDP0000215030")</f>
        <v>MDP0000215030</v>
      </c>
      <c r="D23131">
        <v>49.78</v>
      </c>
      <c r="E23131">
        <v>472</v>
      </c>
      <c r="F23131">
        <v>237</v>
      </c>
      <c r="G23131">
        <v>33</v>
      </c>
      <c r="H23131">
        <v>154</v>
      </c>
      <c r="I23131">
        <v>608</v>
      </c>
      <c r="J23131">
        <v>1</v>
      </c>
      <c r="K23131">
        <v>464</v>
      </c>
      <c r="L23131">
        <v>919</v>
      </c>
      <c r="M23131">
        <v>1</v>
      </c>
      <c r="N23131">
        <v>2.6899300000000001E-104</v>
      </c>
      <c r="O23131">
        <v>968</v>
      </c>
    </row>
    <row r="23132" spans="1:15" x14ac:dyDescent="0.25">
      <c r="A23132" t="s">
        <v>23145</v>
      </c>
      <c r="B23132">
        <v>1439</v>
      </c>
      <c r="C23132" s="1" t="str">
        <f>HYPERLINK("http://www.rosaceae.org/gb/gbrowse/malus_x_domestica/?name=MDP0000122078","MDP0000122078")</f>
        <v>MDP0000122078</v>
      </c>
      <c r="D23132">
        <v>43.1</v>
      </c>
      <c r="E23132">
        <v>761</v>
      </c>
      <c r="F23132">
        <v>433</v>
      </c>
      <c r="G23132">
        <v>117</v>
      </c>
      <c r="H23132">
        <v>42</v>
      </c>
      <c r="I23132">
        <v>763</v>
      </c>
      <c r="J23132">
        <v>1</v>
      </c>
      <c r="K23132">
        <v>53</v>
      </c>
      <c r="L23132">
        <v>735</v>
      </c>
      <c r="M23132">
        <v>1</v>
      </c>
      <c r="N23132">
        <v>1.7342300000000001E-141</v>
      </c>
      <c r="O23132">
        <v>1291</v>
      </c>
    </row>
    <row r="23133" spans="1:15" x14ac:dyDescent="0.25">
      <c r="A23133" t="s">
        <v>23146</v>
      </c>
      <c r="B23133">
        <v>502</v>
      </c>
      <c r="C23133" s="1" t="str">
        <f>HYPERLINK("http://www.rosaceae.org/gb/gbrowse/malus_x_domestica/?name=MDP0000155194","MDP0000155194")</f>
        <v>MDP0000155194</v>
      </c>
      <c r="D23133">
        <v>71.88</v>
      </c>
      <c r="E23133">
        <v>498</v>
      </c>
      <c r="F23133">
        <v>140</v>
      </c>
      <c r="G23133">
        <v>11</v>
      </c>
      <c r="H23133">
        <v>15</v>
      </c>
      <c r="I23133">
        <v>502</v>
      </c>
      <c r="J23133">
        <v>1</v>
      </c>
      <c r="K23133">
        <v>16</v>
      </c>
      <c r="L23133">
        <v>512</v>
      </c>
      <c r="M23133">
        <v>1</v>
      </c>
      <c r="N23133">
        <v>0</v>
      </c>
      <c r="O23133">
        <v>1938</v>
      </c>
    </row>
    <row r="23134" spans="1:15" x14ac:dyDescent="0.25">
      <c r="A23134" t="s">
        <v>23147</v>
      </c>
      <c r="B23134">
        <v>1287</v>
      </c>
      <c r="C23134" s="1" t="str">
        <f>HYPERLINK("http://www.rosaceae.org/gb/gbrowse/malus_x_domestica/?name=MDP0000188604","MDP0000188604")</f>
        <v>MDP0000188604</v>
      </c>
      <c r="D23134">
        <v>68.83</v>
      </c>
      <c r="E23134">
        <v>921</v>
      </c>
      <c r="F23134">
        <v>287</v>
      </c>
      <c r="G23134">
        <v>65</v>
      </c>
      <c r="H23134">
        <v>119</v>
      </c>
      <c r="I23134">
        <v>993</v>
      </c>
      <c r="J23134">
        <v>1</v>
      </c>
      <c r="K23134">
        <v>98</v>
      </c>
      <c r="L23134">
        <v>999</v>
      </c>
      <c r="M23134">
        <v>1</v>
      </c>
      <c r="N23134">
        <v>0</v>
      </c>
      <c r="O23134">
        <v>3158</v>
      </c>
    </row>
    <row r="23135" spans="1:15" x14ac:dyDescent="0.25">
      <c r="A23135" t="s">
        <v>23148</v>
      </c>
      <c r="B23135">
        <v>906</v>
      </c>
      <c r="C23135" s="1" t="str">
        <f>HYPERLINK("http://www.rosaceae.org/gb/gbrowse/malus_x_domestica/?name=MDP0000738653","MDP0000738653")</f>
        <v>MDP0000738653</v>
      </c>
      <c r="D23135">
        <v>57.5</v>
      </c>
      <c r="E23135">
        <v>939</v>
      </c>
      <c r="F23135">
        <v>399</v>
      </c>
      <c r="G23135">
        <v>35</v>
      </c>
      <c r="H23135">
        <v>1</v>
      </c>
      <c r="I23135">
        <v>905</v>
      </c>
      <c r="J23135">
        <v>1</v>
      </c>
      <c r="K23135">
        <v>1</v>
      </c>
      <c r="L23135">
        <v>938</v>
      </c>
      <c r="M23135">
        <v>1</v>
      </c>
      <c r="N23135">
        <v>0</v>
      </c>
      <c r="O23135">
        <v>2485</v>
      </c>
    </row>
    <row r="23136" spans="1:15" x14ac:dyDescent="0.25">
      <c r="A23136" t="s">
        <v>23149</v>
      </c>
      <c r="B23136">
        <v>193</v>
      </c>
      <c r="C23136" s="1" t="str">
        <f>HYPERLINK("http://www.rosaceae.org/gb/gbrowse/malus_x_domestica/?name=MDP0000459936","MDP0000459936")</f>
        <v>MDP0000459936</v>
      </c>
      <c r="D23136">
        <v>78.8</v>
      </c>
      <c r="E23136">
        <v>184</v>
      </c>
      <c r="F23136">
        <v>39</v>
      </c>
      <c r="G23136">
        <v>10</v>
      </c>
      <c r="H23136">
        <v>20</v>
      </c>
      <c r="I23136">
        <v>193</v>
      </c>
      <c r="J23136">
        <v>1</v>
      </c>
      <c r="K23136">
        <v>19</v>
      </c>
      <c r="L23136">
        <v>202</v>
      </c>
      <c r="M23136">
        <v>1</v>
      </c>
      <c r="N23136">
        <v>2.4713699999999999E-84</v>
      </c>
      <c r="O23136">
        <v>789</v>
      </c>
    </row>
    <row r="23137" spans="1:15" x14ac:dyDescent="0.25">
      <c r="A23137" t="s">
        <v>23150</v>
      </c>
      <c r="B23137">
        <v>212</v>
      </c>
      <c r="C23137" s="1" t="str">
        <f>HYPERLINK("http://www.rosaceae.org/gb/gbrowse/malus_x_domestica/?name=MDP0000670228","MDP0000670228")</f>
        <v>MDP0000670228</v>
      </c>
      <c r="D23137">
        <v>29.68</v>
      </c>
      <c r="E23137">
        <v>192</v>
      </c>
      <c r="F23137">
        <v>135</v>
      </c>
      <c r="G23137">
        <v>47</v>
      </c>
      <c r="H23137">
        <v>56</v>
      </c>
      <c r="I23137">
        <v>206</v>
      </c>
      <c r="J23137">
        <v>1</v>
      </c>
      <c r="K23137">
        <v>122</v>
      </c>
      <c r="L23137">
        <v>307</v>
      </c>
      <c r="M23137">
        <v>1</v>
      </c>
      <c r="N23137">
        <v>6.5523200000000001E-12</v>
      </c>
      <c r="O23137">
        <v>165</v>
      </c>
    </row>
    <row r="23138" spans="1:15" x14ac:dyDescent="0.25">
      <c r="A23138" t="s">
        <v>23151</v>
      </c>
      <c r="B23138">
        <v>463</v>
      </c>
      <c r="C23138" s="1" t="str">
        <f>HYPERLINK("http://www.rosaceae.org/gb/gbrowse/malus_x_domestica/?name=MDP0000186402","MDP0000186402")</f>
        <v>MDP0000186402</v>
      </c>
      <c r="D23138">
        <v>31.79</v>
      </c>
      <c r="E23138">
        <v>434</v>
      </c>
      <c r="F23138">
        <v>296</v>
      </c>
      <c r="G23138">
        <v>80</v>
      </c>
      <c r="H23138">
        <v>38</v>
      </c>
      <c r="I23138">
        <v>396</v>
      </c>
      <c r="J23138">
        <v>1</v>
      </c>
      <c r="K23138">
        <v>113</v>
      </c>
      <c r="L23138">
        <v>541</v>
      </c>
      <c r="M23138">
        <v>1</v>
      </c>
      <c r="N23138">
        <v>1.0618600000000001E-43</v>
      </c>
      <c r="O23138">
        <v>443</v>
      </c>
    </row>
    <row r="23139" spans="1:15" x14ac:dyDescent="0.25">
      <c r="A23139" t="s">
        <v>23152</v>
      </c>
      <c r="B23139">
        <v>585</v>
      </c>
      <c r="C23139" s="1" t="str">
        <f>HYPERLINK("http://www.rosaceae.org/gb/gbrowse/malus_x_domestica/?name=MDP0000247838","MDP0000247838")</f>
        <v>MDP0000247838</v>
      </c>
      <c r="D23139">
        <v>64.05</v>
      </c>
      <c r="E23139">
        <v>548</v>
      </c>
      <c r="F23139">
        <v>197</v>
      </c>
      <c r="G23139">
        <v>21</v>
      </c>
      <c r="H23139">
        <v>35</v>
      </c>
      <c r="I23139">
        <v>575</v>
      </c>
      <c r="J23139">
        <v>1</v>
      </c>
      <c r="K23139">
        <v>1</v>
      </c>
      <c r="L23139">
        <v>534</v>
      </c>
      <c r="M23139">
        <v>1</v>
      </c>
      <c r="N23139">
        <v>0</v>
      </c>
      <c r="O23139">
        <v>1761</v>
      </c>
    </row>
    <row r="23140" spans="1:15" x14ac:dyDescent="0.25">
      <c r="A23140" t="s">
        <v>23153</v>
      </c>
      <c r="B23140">
        <v>396</v>
      </c>
      <c r="C23140" s="1" t="str">
        <f>HYPERLINK("http://www.rosaceae.org/gb/gbrowse/malus_x_domestica/?name=MDP0000271312","MDP0000271312")</f>
        <v>MDP0000271312</v>
      </c>
      <c r="D23140">
        <v>20.97</v>
      </c>
      <c r="E23140">
        <v>143</v>
      </c>
      <c r="F23140">
        <v>113</v>
      </c>
      <c r="G23140">
        <v>2</v>
      </c>
      <c r="H23140">
        <v>33</v>
      </c>
      <c r="I23140">
        <v>175</v>
      </c>
      <c r="J23140">
        <v>1</v>
      </c>
      <c r="K23140">
        <v>258</v>
      </c>
      <c r="L23140">
        <v>398</v>
      </c>
      <c r="M23140">
        <v>1</v>
      </c>
      <c r="N23140">
        <v>1.10827E-7</v>
      </c>
      <c r="O23140">
        <v>132</v>
      </c>
    </row>
    <row r="23141" spans="1:15" x14ac:dyDescent="0.25">
      <c r="A23141" t="s">
        <v>23154</v>
      </c>
      <c r="B23141">
        <v>553</v>
      </c>
      <c r="C23141" s="1" t="str">
        <f>HYPERLINK("http://www.rosaceae.org/gb/gbrowse/malus_x_domestica/?name=MDP0000285108","MDP0000285108")</f>
        <v>MDP0000285108</v>
      </c>
      <c r="D23141">
        <v>29.1</v>
      </c>
      <c r="E23141">
        <v>134</v>
      </c>
      <c r="F23141">
        <v>95</v>
      </c>
      <c r="G23141">
        <v>8</v>
      </c>
      <c r="H23141">
        <v>325</v>
      </c>
      <c r="I23141">
        <v>454</v>
      </c>
      <c r="J23141">
        <v>1</v>
      </c>
      <c r="K23141">
        <v>786</v>
      </c>
      <c r="L23141">
        <v>915</v>
      </c>
      <c r="M23141">
        <v>1</v>
      </c>
      <c r="N23141">
        <v>2.17229E-8</v>
      </c>
      <c r="O23141">
        <v>139</v>
      </c>
    </row>
    <row r="23142" spans="1:15" x14ac:dyDescent="0.25">
      <c r="A23142" t="s">
        <v>23155</v>
      </c>
      <c r="B23142">
        <v>89</v>
      </c>
      <c r="C23142" s="1" t="str">
        <f>HYPERLINK("http://www.rosaceae.org/gb/gbrowse/malus_x_domestica/?name=MDP0000310987","MDP0000310987")</f>
        <v>MDP0000310987</v>
      </c>
      <c r="D23142">
        <v>63.15</v>
      </c>
      <c r="E23142">
        <v>57</v>
      </c>
      <c r="F23142">
        <v>21</v>
      </c>
      <c r="G23142">
        <v>0</v>
      </c>
      <c r="H23142">
        <v>32</v>
      </c>
      <c r="I23142">
        <v>88</v>
      </c>
      <c r="J23142">
        <v>1</v>
      </c>
      <c r="K23142">
        <v>540</v>
      </c>
      <c r="L23142">
        <v>596</v>
      </c>
      <c r="M23142">
        <v>1</v>
      </c>
      <c r="N23142">
        <v>1.80092E-18</v>
      </c>
      <c r="O23142">
        <v>217</v>
      </c>
    </row>
    <row r="23143" spans="1:15" x14ac:dyDescent="0.25">
      <c r="A23143" t="s">
        <v>23156</v>
      </c>
      <c r="B23143">
        <v>431</v>
      </c>
      <c r="C23143" s="1" t="str">
        <f>HYPERLINK("http://www.rosaceae.org/gb/gbrowse/malus_x_domestica/?name=MDP0000251139","MDP0000251139")</f>
        <v>MDP0000251139</v>
      </c>
      <c r="D23143">
        <v>70.66</v>
      </c>
      <c r="E23143">
        <v>433</v>
      </c>
      <c r="F23143">
        <v>127</v>
      </c>
      <c r="G23143">
        <v>19</v>
      </c>
      <c r="H23143">
        <v>13</v>
      </c>
      <c r="I23143">
        <v>431</v>
      </c>
      <c r="J23143">
        <v>1</v>
      </c>
      <c r="K23143">
        <v>17</v>
      </c>
      <c r="L23143">
        <v>444</v>
      </c>
      <c r="M23143">
        <v>1</v>
      </c>
      <c r="N23143">
        <v>1.7591499999999999E-159</v>
      </c>
      <c r="O23143">
        <v>1441</v>
      </c>
    </row>
    <row r="23144" spans="1:15" x14ac:dyDescent="0.25">
      <c r="A23144" t="s">
        <v>23157</v>
      </c>
      <c r="B23144">
        <v>802</v>
      </c>
      <c r="C23144" s="1" t="str">
        <f>HYPERLINK("http://www.rosaceae.org/gb/gbrowse/malus_x_domestica/?name=MDP0000280733","MDP0000280733")</f>
        <v>MDP0000280733</v>
      </c>
      <c r="D23144">
        <v>74.14</v>
      </c>
      <c r="E23144">
        <v>785</v>
      </c>
      <c r="F23144">
        <v>203</v>
      </c>
      <c r="G23144">
        <v>8</v>
      </c>
      <c r="H23144">
        <v>16</v>
      </c>
      <c r="I23144">
        <v>800</v>
      </c>
      <c r="J23144">
        <v>1</v>
      </c>
      <c r="K23144">
        <v>48</v>
      </c>
      <c r="L23144">
        <v>824</v>
      </c>
      <c r="M23144">
        <v>1</v>
      </c>
      <c r="N23144">
        <v>0</v>
      </c>
      <c r="O23144">
        <v>3154</v>
      </c>
    </row>
    <row r="23145" spans="1:15" x14ac:dyDescent="0.25">
      <c r="A23145" t="s">
        <v>23158</v>
      </c>
      <c r="B23145">
        <v>214</v>
      </c>
      <c r="C23145" s="1" t="str">
        <f>HYPERLINK("http://www.rosaceae.org/gb/gbrowse/malus_x_domestica/?name=MDP0000555589","MDP0000555589")</f>
        <v>MDP0000555589</v>
      </c>
      <c r="D23145">
        <v>58.01</v>
      </c>
      <c r="E23145">
        <v>212</v>
      </c>
      <c r="F23145">
        <v>89</v>
      </c>
      <c r="G23145">
        <v>11</v>
      </c>
      <c r="H23145">
        <v>12</v>
      </c>
      <c r="I23145">
        <v>213</v>
      </c>
      <c r="J23145">
        <v>1</v>
      </c>
      <c r="K23145">
        <v>20</v>
      </c>
      <c r="L23145">
        <v>230</v>
      </c>
      <c r="M23145">
        <v>1</v>
      </c>
      <c r="N23145">
        <v>1.55493E-55</v>
      </c>
      <c r="O23145">
        <v>541</v>
      </c>
    </row>
    <row r="23146" spans="1:15" x14ac:dyDescent="0.25">
      <c r="A23146" t="s">
        <v>23159</v>
      </c>
      <c r="B23146">
        <v>344</v>
      </c>
      <c r="C23146" s="1" t="str">
        <f>HYPERLINK("http://www.rosaceae.org/gb/gbrowse/malus_x_domestica/?name=MDP0000333807","MDP0000333807")</f>
        <v>MDP0000333807</v>
      </c>
      <c r="D23146">
        <v>56.59</v>
      </c>
      <c r="E23146">
        <v>341</v>
      </c>
      <c r="F23146">
        <v>148</v>
      </c>
      <c r="G23146">
        <v>26</v>
      </c>
      <c r="H23146">
        <v>4</v>
      </c>
      <c r="I23146">
        <v>344</v>
      </c>
      <c r="J23146">
        <v>1</v>
      </c>
      <c r="K23146">
        <v>55</v>
      </c>
      <c r="L23146">
        <v>369</v>
      </c>
      <c r="M23146">
        <v>1</v>
      </c>
      <c r="N23146">
        <v>1.4118800000000001E-99</v>
      </c>
      <c r="O23146">
        <v>923</v>
      </c>
    </row>
    <row r="23147" spans="1:15" x14ac:dyDescent="0.25">
      <c r="A23147" t="s">
        <v>23160</v>
      </c>
      <c r="B23147">
        <v>619</v>
      </c>
      <c r="C23147" s="1" t="str">
        <f>HYPERLINK("http://www.rosaceae.org/gb/gbrowse/malus_x_domestica/?name=MDP0000144890","MDP0000144890")</f>
        <v>MDP0000144890</v>
      </c>
      <c r="D23147">
        <v>61.2</v>
      </c>
      <c r="E23147">
        <v>616</v>
      </c>
      <c r="F23147">
        <v>239</v>
      </c>
      <c r="G23147">
        <v>48</v>
      </c>
      <c r="H23147">
        <v>41</v>
      </c>
      <c r="I23147">
        <v>619</v>
      </c>
      <c r="J23147">
        <v>1</v>
      </c>
      <c r="K23147">
        <v>96</v>
      </c>
      <c r="L23147">
        <v>700</v>
      </c>
      <c r="M23147">
        <v>1</v>
      </c>
      <c r="N23147">
        <v>0</v>
      </c>
      <c r="O23147">
        <v>1905</v>
      </c>
    </row>
    <row r="23148" spans="1:15" x14ac:dyDescent="0.25">
      <c r="A23148" t="s">
        <v>23161</v>
      </c>
      <c r="B23148">
        <v>409</v>
      </c>
      <c r="C23148" s="1" t="str">
        <f>HYPERLINK("http://www.rosaceae.org/gb/gbrowse/malus_x_domestica/?name=MDP0000641805","MDP0000641805")</f>
        <v>MDP0000641805</v>
      </c>
      <c r="D23148">
        <v>56.22</v>
      </c>
      <c r="E23148">
        <v>217</v>
      </c>
      <c r="F23148">
        <v>95</v>
      </c>
      <c r="G23148">
        <v>11</v>
      </c>
      <c r="H23148">
        <v>184</v>
      </c>
      <c r="I23148">
        <v>395</v>
      </c>
      <c r="J23148">
        <v>1</v>
      </c>
      <c r="K23148">
        <v>373</v>
      </c>
      <c r="L23148">
        <v>583</v>
      </c>
      <c r="M23148">
        <v>1</v>
      </c>
      <c r="N23148">
        <v>2.26155E-58</v>
      </c>
      <c r="O23148">
        <v>569</v>
      </c>
    </row>
    <row r="23149" spans="1:15" x14ac:dyDescent="0.25">
      <c r="A23149" t="s">
        <v>23162</v>
      </c>
      <c r="B23149">
        <v>825</v>
      </c>
      <c r="C23149" s="1" t="str">
        <f>HYPERLINK("http://www.rosaceae.org/gb/gbrowse/malus_x_domestica/?name=MDP0000319957","MDP0000319957")</f>
        <v>MDP0000319957</v>
      </c>
      <c r="D23149">
        <v>55.48</v>
      </c>
      <c r="E23149">
        <v>829</v>
      </c>
      <c r="F23149">
        <v>369</v>
      </c>
      <c r="G23149">
        <v>97</v>
      </c>
      <c r="H23149">
        <v>55</v>
      </c>
      <c r="I23149">
        <v>825</v>
      </c>
      <c r="J23149">
        <v>1</v>
      </c>
      <c r="K23149">
        <v>186</v>
      </c>
      <c r="L23149">
        <v>975</v>
      </c>
      <c r="M23149">
        <v>1</v>
      </c>
      <c r="N23149">
        <v>0</v>
      </c>
      <c r="O23149">
        <v>2058</v>
      </c>
    </row>
    <row r="23150" spans="1:15" x14ac:dyDescent="0.25">
      <c r="A23150" t="s">
        <v>23163</v>
      </c>
      <c r="B23150">
        <v>653</v>
      </c>
      <c r="C23150" s="1" t="str">
        <f>HYPERLINK("http://www.rosaceae.org/gb/gbrowse/malus_x_domestica/?name=MDP0000236857","MDP0000236857")</f>
        <v>MDP0000236857</v>
      </c>
      <c r="D23150">
        <v>72.2</v>
      </c>
      <c r="E23150">
        <v>626</v>
      </c>
      <c r="F23150">
        <v>174</v>
      </c>
      <c r="G23150">
        <v>11</v>
      </c>
      <c r="H23150">
        <v>10</v>
      </c>
      <c r="I23150">
        <v>633</v>
      </c>
      <c r="J23150">
        <v>1</v>
      </c>
      <c r="K23150">
        <v>21</v>
      </c>
      <c r="L23150">
        <v>637</v>
      </c>
      <c r="M23150">
        <v>1</v>
      </c>
      <c r="N23150">
        <v>0</v>
      </c>
      <c r="O23150">
        <v>2393</v>
      </c>
    </row>
    <row r="23151" spans="1:15" x14ac:dyDescent="0.25">
      <c r="A23151" t="s">
        <v>23164</v>
      </c>
      <c r="B23151">
        <v>226</v>
      </c>
      <c r="C23151" s="1" t="str">
        <f>HYPERLINK("http://www.rosaceae.org/gb/gbrowse/malus_x_domestica/?name=MDP0000128619","MDP0000128619")</f>
        <v>MDP0000128619</v>
      </c>
      <c r="D23151">
        <v>80.55</v>
      </c>
      <c r="E23151">
        <v>36</v>
      </c>
      <c r="F23151">
        <v>7</v>
      </c>
      <c r="G23151">
        <v>0</v>
      </c>
      <c r="H23151">
        <v>191</v>
      </c>
      <c r="I23151">
        <v>226</v>
      </c>
      <c r="J23151">
        <v>1</v>
      </c>
      <c r="K23151">
        <v>183</v>
      </c>
      <c r="L23151">
        <v>218</v>
      </c>
      <c r="M23151">
        <v>1</v>
      </c>
      <c r="N23151">
        <v>8.6759799999999994E-11</v>
      </c>
      <c r="O23151">
        <v>155</v>
      </c>
    </row>
    <row r="23152" spans="1:15" x14ac:dyDescent="0.25">
      <c r="A23152" t="s">
        <v>23165</v>
      </c>
      <c r="B23152">
        <v>130</v>
      </c>
      <c r="C23152" s="1" t="str">
        <f>HYPERLINK("http://www.rosaceae.org/gb/gbrowse/malus_x_domestica/?name=MDP0000436958","MDP0000436958")</f>
        <v>MDP0000436958</v>
      </c>
      <c r="D23152">
        <v>89.21</v>
      </c>
      <c r="E23152">
        <v>102</v>
      </c>
      <c r="F23152">
        <v>11</v>
      </c>
      <c r="G23152">
        <v>0</v>
      </c>
      <c r="H23152">
        <v>10</v>
      </c>
      <c r="I23152">
        <v>111</v>
      </c>
      <c r="J23152">
        <v>1</v>
      </c>
      <c r="K23152">
        <v>63</v>
      </c>
      <c r="L23152">
        <v>164</v>
      </c>
      <c r="M23152">
        <v>1</v>
      </c>
      <c r="N23152">
        <v>6.8777799999999999E-45</v>
      </c>
      <c r="O23152">
        <v>445</v>
      </c>
    </row>
    <row r="23153" spans="1:15" x14ac:dyDescent="0.25">
      <c r="A23153" t="s">
        <v>23166</v>
      </c>
      <c r="B23153">
        <v>370</v>
      </c>
      <c r="C23153" s="1" t="str">
        <f>HYPERLINK("http://www.rosaceae.org/gb/gbrowse/malus_x_domestica/?name=MDP0000317700","MDP0000317700")</f>
        <v>MDP0000317700</v>
      </c>
      <c r="D23153">
        <v>32.950000000000003</v>
      </c>
      <c r="E23153">
        <v>261</v>
      </c>
      <c r="F23153">
        <v>175</v>
      </c>
      <c r="G23153">
        <v>28</v>
      </c>
      <c r="H23153">
        <v>13</v>
      </c>
      <c r="I23153">
        <v>250</v>
      </c>
      <c r="J23153">
        <v>1</v>
      </c>
      <c r="K23153">
        <v>467</v>
      </c>
      <c r="L23153">
        <v>722</v>
      </c>
      <c r="M23153">
        <v>1</v>
      </c>
      <c r="N23153">
        <v>3.0950799999999999E-23</v>
      </c>
      <c r="O23153">
        <v>265</v>
      </c>
    </row>
    <row r="23154" spans="1:15" x14ac:dyDescent="0.25">
      <c r="A23154" t="s">
        <v>23167</v>
      </c>
      <c r="B23154">
        <v>290</v>
      </c>
      <c r="C23154" s="1" t="str">
        <f>HYPERLINK("http://www.rosaceae.org/gb/gbrowse/malus_x_domestica/?name=MDP0000700517","MDP0000700517")</f>
        <v>MDP0000700517</v>
      </c>
      <c r="D23154">
        <v>28.57</v>
      </c>
      <c r="E23154">
        <v>203</v>
      </c>
      <c r="F23154">
        <v>145</v>
      </c>
      <c r="G23154">
        <v>6</v>
      </c>
      <c r="H23154">
        <v>94</v>
      </c>
      <c r="I23154">
        <v>290</v>
      </c>
      <c r="J23154">
        <v>1</v>
      </c>
      <c r="K23154">
        <v>91</v>
      </c>
      <c r="L23154">
        <v>293</v>
      </c>
      <c r="M23154">
        <v>1</v>
      </c>
      <c r="N23154">
        <v>6.7387000000000004E-19</v>
      </c>
      <c r="O23154">
        <v>227</v>
      </c>
    </row>
    <row r="23155" spans="1:15" x14ac:dyDescent="0.25">
      <c r="A23155" t="s">
        <v>23168</v>
      </c>
      <c r="B23155">
        <v>239</v>
      </c>
      <c r="C23155" s="1" t="str">
        <f>HYPERLINK("http://www.rosaceae.org/gb/gbrowse/malus_x_domestica/?name=MDP0000293051","MDP0000293051")</f>
        <v>MDP0000293051</v>
      </c>
      <c r="D23155">
        <v>72</v>
      </c>
      <c r="E23155">
        <v>200</v>
      </c>
      <c r="F23155">
        <v>56</v>
      </c>
      <c r="G23155">
        <v>19</v>
      </c>
      <c r="H23155">
        <v>36</v>
      </c>
      <c r="I23155">
        <v>218</v>
      </c>
      <c r="J23155">
        <v>1</v>
      </c>
      <c r="K23155">
        <v>19</v>
      </c>
      <c r="L23155">
        <v>216</v>
      </c>
      <c r="M23155">
        <v>1</v>
      </c>
      <c r="N23155">
        <v>3.3090000000000002E-77</v>
      </c>
      <c r="O23155">
        <v>729</v>
      </c>
    </row>
    <row r="23156" spans="1:15" x14ac:dyDescent="0.25">
      <c r="A23156" t="s">
        <v>23169</v>
      </c>
      <c r="B23156">
        <v>142</v>
      </c>
      <c r="C23156" s="1" t="str">
        <f>HYPERLINK("http://www.rosaceae.org/gb/gbrowse/malus_x_domestica/?name=MDP0000698897","MDP0000698897")</f>
        <v>MDP0000698897</v>
      </c>
      <c r="D23156">
        <v>42.66</v>
      </c>
      <c r="E23156">
        <v>75</v>
      </c>
      <c r="F23156">
        <v>43</v>
      </c>
      <c r="G23156">
        <v>0</v>
      </c>
      <c r="H23156">
        <v>66</v>
      </c>
      <c r="I23156">
        <v>140</v>
      </c>
      <c r="J23156">
        <v>1</v>
      </c>
      <c r="K23156">
        <v>96</v>
      </c>
      <c r="L23156">
        <v>170</v>
      </c>
      <c r="M23156">
        <v>1</v>
      </c>
      <c r="N23156">
        <v>4.3351199999999999E-11</v>
      </c>
      <c r="O23156">
        <v>155</v>
      </c>
    </row>
    <row r="23157" spans="1:15" x14ac:dyDescent="0.25">
      <c r="A23157" t="s">
        <v>23170</v>
      </c>
      <c r="B23157">
        <v>101</v>
      </c>
      <c r="C23157" s="1" t="str">
        <f>HYPERLINK("http://www.rosaceae.org/gb/gbrowse/malus_x_domestica/?name=MDP0000318195","MDP0000318195")</f>
        <v>MDP0000318195</v>
      </c>
      <c r="D23157">
        <v>53.33</v>
      </c>
      <c r="E23157">
        <v>75</v>
      </c>
      <c r="F23157">
        <v>35</v>
      </c>
      <c r="G23157">
        <v>1</v>
      </c>
      <c r="H23157">
        <v>2</v>
      </c>
      <c r="I23157">
        <v>75</v>
      </c>
      <c r="J23157">
        <v>1</v>
      </c>
      <c r="K23157">
        <v>422</v>
      </c>
      <c r="L23157">
        <v>496</v>
      </c>
      <c r="M23157">
        <v>1</v>
      </c>
      <c r="N23157">
        <v>3.0912400000000001E-15</v>
      </c>
      <c r="O23157">
        <v>189</v>
      </c>
    </row>
    <row r="23158" spans="1:15" x14ac:dyDescent="0.25">
      <c r="A23158" t="s">
        <v>23171</v>
      </c>
      <c r="B23158">
        <v>505</v>
      </c>
      <c r="C23158" s="1" t="str">
        <f>HYPERLINK("http://www.rosaceae.org/gb/gbrowse/malus_x_domestica/?name=MDP0000857732","MDP0000857732")</f>
        <v>MDP0000857732</v>
      </c>
      <c r="D23158">
        <v>62.81</v>
      </c>
      <c r="E23158">
        <v>433</v>
      </c>
      <c r="F23158">
        <v>161</v>
      </c>
      <c r="G23158">
        <v>43</v>
      </c>
      <c r="H23158">
        <v>1</v>
      </c>
      <c r="I23158">
        <v>391</v>
      </c>
      <c r="J23158">
        <v>1</v>
      </c>
      <c r="K23158">
        <v>1</v>
      </c>
      <c r="L23158">
        <v>432</v>
      </c>
      <c r="M23158">
        <v>1</v>
      </c>
      <c r="N23158">
        <v>6.8966800000000001E-140</v>
      </c>
      <c r="O23158">
        <v>1273</v>
      </c>
    </row>
    <row r="23159" spans="1:15" x14ac:dyDescent="0.25">
      <c r="A23159" t="s">
        <v>23172</v>
      </c>
      <c r="B23159">
        <v>396</v>
      </c>
      <c r="C23159" s="1" t="str">
        <f>HYPERLINK("http://www.rosaceae.org/gb/gbrowse/malus_x_domestica/?name=MDP0000255134","MDP0000255134")</f>
        <v>MDP0000255134</v>
      </c>
      <c r="D23159">
        <v>30</v>
      </c>
      <c r="E23159">
        <v>290</v>
      </c>
      <c r="F23159">
        <v>203</v>
      </c>
      <c r="G23159">
        <v>59</v>
      </c>
      <c r="H23159">
        <v>11</v>
      </c>
      <c r="I23159">
        <v>291</v>
      </c>
      <c r="J23159">
        <v>1</v>
      </c>
      <c r="K23159">
        <v>12</v>
      </c>
      <c r="L23159">
        <v>251</v>
      </c>
      <c r="M23159">
        <v>1</v>
      </c>
      <c r="N23159">
        <v>9.2053899999999995E-15</v>
      </c>
      <c r="O23159">
        <v>193</v>
      </c>
    </row>
    <row r="23160" spans="1:15" x14ac:dyDescent="0.25">
      <c r="A23160" t="s">
        <v>23173</v>
      </c>
      <c r="B23160">
        <v>477</v>
      </c>
      <c r="C23160" s="1" t="str">
        <f>HYPERLINK("http://www.rosaceae.org/gb/gbrowse/malus_x_domestica/?name=MDP0000660874","MDP0000660874")</f>
        <v>MDP0000660874</v>
      </c>
      <c r="D23160">
        <v>88.27</v>
      </c>
      <c r="E23160">
        <v>452</v>
      </c>
      <c r="F23160">
        <v>53</v>
      </c>
      <c r="G23160">
        <v>6</v>
      </c>
      <c r="H23160">
        <v>24</v>
      </c>
      <c r="I23160">
        <v>475</v>
      </c>
      <c r="J23160">
        <v>1</v>
      </c>
      <c r="K23160">
        <v>30</v>
      </c>
      <c r="L23160">
        <v>475</v>
      </c>
      <c r="M23160">
        <v>1</v>
      </c>
      <c r="N23160">
        <v>0</v>
      </c>
      <c r="O23160">
        <v>2156</v>
      </c>
    </row>
    <row r="23161" spans="1:15" x14ac:dyDescent="0.25">
      <c r="A23161" t="s">
        <v>23174</v>
      </c>
      <c r="B23161">
        <v>753</v>
      </c>
      <c r="C23161" s="1" t="str">
        <f>HYPERLINK("http://www.rosaceae.org/gb/gbrowse/malus_x_domestica/?name=MDP0000236138","MDP0000236138")</f>
        <v>MDP0000236138</v>
      </c>
      <c r="D23161">
        <v>65.28</v>
      </c>
      <c r="E23161">
        <v>749</v>
      </c>
      <c r="F23161">
        <v>260</v>
      </c>
      <c r="G23161">
        <v>12</v>
      </c>
      <c r="H23161">
        <v>9</v>
      </c>
      <c r="I23161">
        <v>751</v>
      </c>
      <c r="J23161">
        <v>1</v>
      </c>
      <c r="K23161">
        <v>29</v>
      </c>
      <c r="L23161">
        <v>771</v>
      </c>
      <c r="M23161">
        <v>1</v>
      </c>
      <c r="N23161">
        <v>0</v>
      </c>
      <c r="O23161">
        <v>2558</v>
      </c>
    </row>
    <row r="23162" spans="1:15" x14ac:dyDescent="0.25">
      <c r="A23162" t="s">
        <v>23175</v>
      </c>
      <c r="B23162">
        <v>893</v>
      </c>
      <c r="C23162" s="1" t="str">
        <f>HYPERLINK("http://www.rosaceae.org/gb/gbrowse/malus_x_domestica/?name=MDP0000899075","MDP0000899075")</f>
        <v>MDP0000899075</v>
      </c>
      <c r="D23162">
        <v>66.87</v>
      </c>
      <c r="E23162">
        <v>643</v>
      </c>
      <c r="F23162">
        <v>213</v>
      </c>
      <c r="G23162">
        <v>35</v>
      </c>
      <c r="H23162">
        <v>258</v>
      </c>
      <c r="I23162">
        <v>893</v>
      </c>
      <c r="J23162">
        <v>1</v>
      </c>
      <c r="K23162">
        <v>16</v>
      </c>
      <c r="L23162">
        <v>630</v>
      </c>
      <c r="M23162">
        <v>1</v>
      </c>
      <c r="N23162">
        <v>0</v>
      </c>
      <c r="O23162">
        <v>2188</v>
      </c>
    </row>
    <row r="23163" spans="1:15" x14ac:dyDescent="0.25">
      <c r="A23163" t="s">
        <v>23176</v>
      </c>
      <c r="B23163">
        <v>914</v>
      </c>
      <c r="C23163" s="1" t="str">
        <f>HYPERLINK("http://www.rosaceae.org/gb/gbrowse/malus_x_domestica/?name=MDP0000488113","MDP0000488113")</f>
        <v>MDP0000488113</v>
      </c>
      <c r="D23163">
        <v>70.760000000000005</v>
      </c>
      <c r="E23163">
        <v>920</v>
      </c>
      <c r="F23163">
        <v>269</v>
      </c>
      <c r="G23163">
        <v>11</v>
      </c>
      <c r="H23163">
        <v>1</v>
      </c>
      <c r="I23163">
        <v>914</v>
      </c>
      <c r="J23163">
        <v>1</v>
      </c>
      <c r="K23163">
        <v>8</v>
      </c>
      <c r="L23163">
        <v>922</v>
      </c>
      <c r="M23163">
        <v>1</v>
      </c>
      <c r="N23163">
        <v>0</v>
      </c>
      <c r="O23163">
        <v>3352</v>
      </c>
    </row>
    <row r="23164" spans="1:15" x14ac:dyDescent="0.25">
      <c r="A23164" t="s">
        <v>23177</v>
      </c>
      <c r="B23164">
        <v>302</v>
      </c>
      <c r="C23164" s="1" t="str">
        <f>HYPERLINK("http://www.rosaceae.org/gb/gbrowse/malus_x_domestica/?name=MDP0000308790","MDP0000308790")</f>
        <v>MDP0000308790</v>
      </c>
      <c r="D23164">
        <v>38.65</v>
      </c>
      <c r="E23164">
        <v>194</v>
      </c>
      <c r="F23164">
        <v>119</v>
      </c>
      <c r="G23164">
        <v>34</v>
      </c>
      <c r="H23164">
        <v>65</v>
      </c>
      <c r="I23164">
        <v>257</v>
      </c>
      <c r="J23164">
        <v>1</v>
      </c>
      <c r="K23164">
        <v>33</v>
      </c>
      <c r="L23164">
        <v>193</v>
      </c>
      <c r="M23164">
        <v>1</v>
      </c>
      <c r="N23164">
        <v>4.0625800000000002E-22</v>
      </c>
      <c r="O23164">
        <v>255</v>
      </c>
    </row>
    <row r="23165" spans="1:15" x14ac:dyDescent="0.25">
      <c r="A23165" t="s">
        <v>23178</v>
      </c>
      <c r="B23165">
        <v>340</v>
      </c>
      <c r="C23165" s="1" t="str">
        <f>HYPERLINK("http://www.rosaceae.org/gb/gbrowse/malus_x_domestica/?name=MDP0000261311","MDP0000261311")</f>
        <v>MDP0000261311</v>
      </c>
      <c r="D23165">
        <v>22.45</v>
      </c>
      <c r="E23165">
        <v>236</v>
      </c>
      <c r="F23165">
        <v>183</v>
      </c>
      <c r="G23165">
        <v>17</v>
      </c>
      <c r="H23165">
        <v>1</v>
      </c>
      <c r="I23165">
        <v>230</v>
      </c>
      <c r="J23165">
        <v>1</v>
      </c>
      <c r="K23165">
        <v>476</v>
      </c>
      <c r="L23165">
        <v>700</v>
      </c>
      <c r="M23165">
        <v>1</v>
      </c>
      <c r="N23165">
        <v>2.49238E-9</v>
      </c>
      <c r="O23165">
        <v>145</v>
      </c>
    </row>
    <row r="23166" spans="1:15" x14ac:dyDescent="0.25">
      <c r="A23166" t="s">
        <v>23179</v>
      </c>
      <c r="B23166">
        <v>129</v>
      </c>
      <c r="C23166" s="1" t="str">
        <f>HYPERLINK("http://www.rosaceae.org/gb/gbrowse/malus_x_domestica/?name=MDP0000551700","MDP0000551700")</f>
        <v>MDP0000551700</v>
      </c>
      <c r="D23166">
        <v>64.38</v>
      </c>
      <c r="E23166">
        <v>73</v>
      </c>
      <c r="F23166">
        <v>26</v>
      </c>
      <c r="G23166">
        <v>1</v>
      </c>
      <c r="H23166">
        <v>11</v>
      </c>
      <c r="I23166">
        <v>83</v>
      </c>
      <c r="J23166">
        <v>1</v>
      </c>
      <c r="K23166">
        <v>14</v>
      </c>
      <c r="L23166">
        <v>85</v>
      </c>
      <c r="M23166">
        <v>1</v>
      </c>
      <c r="N23166">
        <v>7.2723700000000001E-22</v>
      </c>
      <c r="O23166">
        <v>247</v>
      </c>
    </row>
    <row r="23167" spans="1:15" x14ac:dyDescent="0.25">
      <c r="A23167" t="s">
        <v>23180</v>
      </c>
      <c r="B23167">
        <v>402</v>
      </c>
      <c r="C23167" s="1" t="str">
        <f>HYPERLINK("http://www.rosaceae.org/gb/gbrowse/malus_x_domestica/?name=MDP0000236072","MDP0000236072")</f>
        <v>MDP0000236072</v>
      </c>
      <c r="D23167">
        <v>66.83</v>
      </c>
      <c r="E23167">
        <v>392</v>
      </c>
      <c r="F23167">
        <v>130</v>
      </c>
      <c r="G23167">
        <v>6</v>
      </c>
      <c r="H23167">
        <v>6</v>
      </c>
      <c r="I23167">
        <v>393</v>
      </c>
      <c r="J23167">
        <v>1</v>
      </c>
      <c r="K23167">
        <v>3</v>
      </c>
      <c r="L23167">
        <v>392</v>
      </c>
      <c r="M23167">
        <v>1</v>
      </c>
      <c r="N23167">
        <v>3.5775699999999999E-151</v>
      </c>
      <c r="O23167">
        <v>1369</v>
      </c>
    </row>
    <row r="23168" spans="1:15" x14ac:dyDescent="0.25">
      <c r="A23168" t="s">
        <v>23181</v>
      </c>
      <c r="B23168">
        <v>724</v>
      </c>
      <c r="C23168" s="1" t="str">
        <f>HYPERLINK("http://www.rosaceae.org/gb/gbrowse/malus_x_domestica/?name=MDP0000167933","MDP0000167933")</f>
        <v>MDP0000167933</v>
      </c>
      <c r="D23168">
        <v>63.15</v>
      </c>
      <c r="E23168">
        <v>741</v>
      </c>
      <c r="F23168">
        <v>273</v>
      </c>
      <c r="G23168">
        <v>26</v>
      </c>
      <c r="H23168">
        <v>1</v>
      </c>
      <c r="I23168">
        <v>724</v>
      </c>
      <c r="J23168">
        <v>1</v>
      </c>
      <c r="K23168">
        <v>1</v>
      </c>
      <c r="L23168">
        <v>732</v>
      </c>
      <c r="M23168">
        <v>1</v>
      </c>
      <c r="N23168">
        <v>0</v>
      </c>
      <c r="O23168">
        <v>2391</v>
      </c>
    </row>
    <row r="23169" spans="1:15" x14ac:dyDescent="0.25">
      <c r="A23169" t="s">
        <v>23182</v>
      </c>
      <c r="B23169">
        <v>1316</v>
      </c>
      <c r="C23169" s="1" t="str">
        <f>HYPERLINK("http://www.rosaceae.org/gb/gbrowse/malus_x_domestica/?name=MDP0000304705","MDP0000304705")</f>
        <v>MDP0000304705</v>
      </c>
      <c r="D23169">
        <v>46.47</v>
      </c>
      <c r="E23169">
        <v>1306</v>
      </c>
      <c r="F23169">
        <v>699</v>
      </c>
      <c r="G23169">
        <v>78</v>
      </c>
      <c r="H23169">
        <v>1</v>
      </c>
      <c r="I23169">
        <v>1270</v>
      </c>
      <c r="J23169">
        <v>1</v>
      </c>
      <c r="K23169">
        <v>1345</v>
      </c>
      <c r="L23169">
        <v>2608</v>
      </c>
      <c r="M23169">
        <v>1</v>
      </c>
      <c r="N23169">
        <v>0</v>
      </c>
      <c r="O23169">
        <v>2491</v>
      </c>
    </row>
    <row r="23170" spans="1:15" x14ac:dyDescent="0.25">
      <c r="A23170" t="s">
        <v>23183</v>
      </c>
      <c r="B23170">
        <v>129</v>
      </c>
      <c r="C23170" s="1" t="str">
        <f>HYPERLINK("http://www.rosaceae.org/gb/gbrowse/malus_x_domestica/?name=MDP0000235575","MDP0000235575")</f>
        <v>MDP0000235575</v>
      </c>
      <c r="D23170">
        <v>65.62</v>
      </c>
      <c r="E23170">
        <v>128</v>
      </c>
      <c r="F23170">
        <v>44</v>
      </c>
      <c r="G23170">
        <v>7</v>
      </c>
      <c r="H23170">
        <v>1</v>
      </c>
      <c r="I23170">
        <v>128</v>
      </c>
      <c r="J23170">
        <v>1</v>
      </c>
      <c r="K23170">
        <v>55</v>
      </c>
      <c r="L23170">
        <v>175</v>
      </c>
      <c r="M23170">
        <v>1</v>
      </c>
      <c r="N23170">
        <v>1.3406300000000001E-41</v>
      </c>
      <c r="O23170">
        <v>417</v>
      </c>
    </row>
    <row r="23171" spans="1:15" x14ac:dyDescent="0.25">
      <c r="A23171" t="s">
        <v>23184</v>
      </c>
      <c r="B23171">
        <v>377</v>
      </c>
      <c r="C23171" s="1" t="str">
        <f>HYPERLINK("http://www.rosaceae.org/gb/gbrowse/malus_x_domestica/?name=MDP0000317079","MDP0000317079")</f>
        <v>MDP0000317079</v>
      </c>
      <c r="D23171">
        <v>86.92</v>
      </c>
      <c r="E23171">
        <v>260</v>
      </c>
      <c r="F23171">
        <v>34</v>
      </c>
      <c r="G23171">
        <v>2</v>
      </c>
      <c r="H23171">
        <v>7</v>
      </c>
      <c r="I23171">
        <v>264</v>
      </c>
      <c r="J23171">
        <v>1</v>
      </c>
      <c r="K23171">
        <v>2</v>
      </c>
      <c r="L23171">
        <v>261</v>
      </c>
      <c r="M23171">
        <v>1</v>
      </c>
      <c r="N23171">
        <v>8.5872500000000005E-133</v>
      </c>
      <c r="O23171">
        <v>1210</v>
      </c>
    </row>
    <row r="23172" spans="1:15" x14ac:dyDescent="0.25">
      <c r="A23172" t="s">
        <v>23185</v>
      </c>
      <c r="B23172">
        <v>83</v>
      </c>
      <c r="C23172" s="1" t="str">
        <f>HYPERLINK("http://www.rosaceae.org/gb/gbrowse/malus_x_domestica/?name=MDP0000250561","MDP0000250561")</f>
        <v>MDP0000250561</v>
      </c>
      <c r="D23172">
        <v>67.849999999999994</v>
      </c>
      <c r="E23172">
        <v>84</v>
      </c>
      <c r="F23172">
        <v>27</v>
      </c>
      <c r="G23172">
        <v>3</v>
      </c>
      <c r="H23172">
        <v>1</v>
      </c>
      <c r="I23172">
        <v>83</v>
      </c>
      <c r="J23172">
        <v>1</v>
      </c>
      <c r="K23172">
        <v>1</v>
      </c>
      <c r="L23172">
        <v>82</v>
      </c>
      <c r="M23172">
        <v>1</v>
      </c>
      <c r="N23172">
        <v>6.1190800000000003E-25</v>
      </c>
      <c r="O23172">
        <v>272</v>
      </c>
    </row>
    <row r="23173" spans="1:15" x14ac:dyDescent="0.25">
      <c r="A23173" t="s">
        <v>23186</v>
      </c>
      <c r="B23173">
        <v>147</v>
      </c>
      <c r="C23173" s="1" t="str">
        <f>HYPERLINK("http://www.rosaceae.org/gb/gbrowse/malus_x_domestica/?name=MDP0000243994","MDP0000243994")</f>
        <v>MDP0000243994</v>
      </c>
      <c r="D23173">
        <v>85.43</v>
      </c>
      <c r="E23173">
        <v>151</v>
      </c>
      <c r="F23173">
        <v>22</v>
      </c>
      <c r="G23173">
        <v>4</v>
      </c>
      <c r="H23173">
        <v>1</v>
      </c>
      <c r="I23173">
        <v>147</v>
      </c>
      <c r="J23173">
        <v>1</v>
      </c>
      <c r="K23173">
        <v>62</v>
      </c>
      <c r="L23173">
        <v>212</v>
      </c>
      <c r="M23173">
        <v>1</v>
      </c>
      <c r="N23173">
        <v>1.3809100000000001E-71</v>
      </c>
      <c r="O23173">
        <v>677</v>
      </c>
    </row>
    <row r="23174" spans="1:15" x14ac:dyDescent="0.25">
      <c r="A23174" t="s">
        <v>23187</v>
      </c>
      <c r="B23174">
        <v>509</v>
      </c>
      <c r="C23174" s="1" t="str">
        <f>HYPERLINK("http://www.rosaceae.org/gb/gbrowse/malus_x_domestica/?name=MDP0000241635","MDP0000241635")</f>
        <v>MDP0000241635</v>
      </c>
      <c r="D23174">
        <v>43.53</v>
      </c>
      <c r="E23174">
        <v>379</v>
      </c>
      <c r="F23174">
        <v>214</v>
      </c>
      <c r="G23174">
        <v>13</v>
      </c>
      <c r="H23174">
        <v>17</v>
      </c>
      <c r="I23174">
        <v>389</v>
      </c>
      <c r="J23174">
        <v>1</v>
      </c>
      <c r="K23174">
        <v>61</v>
      </c>
      <c r="L23174">
        <v>432</v>
      </c>
      <c r="M23174">
        <v>1</v>
      </c>
      <c r="N23174">
        <v>2.2245400000000001E-77</v>
      </c>
      <c r="O23174">
        <v>734</v>
      </c>
    </row>
    <row r="23175" spans="1:15" x14ac:dyDescent="0.25">
      <c r="A23175" t="s">
        <v>23188</v>
      </c>
      <c r="B23175">
        <v>506</v>
      </c>
      <c r="C23175" s="1" t="str">
        <f>HYPERLINK("http://www.rosaceae.org/gb/gbrowse/malus_x_domestica/?name=MDP0000126755","MDP0000126755")</f>
        <v>MDP0000126755</v>
      </c>
      <c r="D23175">
        <v>33.51</v>
      </c>
      <c r="E23175">
        <v>370</v>
      </c>
      <c r="F23175">
        <v>246</v>
      </c>
      <c r="G23175">
        <v>68</v>
      </c>
      <c r="H23175">
        <v>159</v>
      </c>
      <c r="I23175">
        <v>496</v>
      </c>
      <c r="J23175">
        <v>1</v>
      </c>
      <c r="K23175">
        <v>99</v>
      </c>
      <c r="L23175">
        <v>432</v>
      </c>
      <c r="M23175">
        <v>1</v>
      </c>
      <c r="N23175">
        <v>3.7328699999999999E-50</v>
      </c>
      <c r="O23175">
        <v>499</v>
      </c>
    </row>
    <row r="23176" spans="1:15" x14ac:dyDescent="0.25">
      <c r="A23176" t="s">
        <v>23189</v>
      </c>
      <c r="B23176">
        <v>518</v>
      </c>
      <c r="C23176" s="1" t="str">
        <f>HYPERLINK("http://www.rosaceae.org/gb/gbrowse/malus_x_domestica/?name=MDP0000308201","MDP0000308201")</f>
        <v>MDP0000308201</v>
      </c>
      <c r="D23176">
        <v>64.11</v>
      </c>
      <c r="E23176">
        <v>471</v>
      </c>
      <c r="F23176">
        <v>169</v>
      </c>
      <c r="G23176">
        <v>52</v>
      </c>
      <c r="H23176">
        <v>40</v>
      </c>
      <c r="I23176">
        <v>510</v>
      </c>
      <c r="J23176">
        <v>1</v>
      </c>
      <c r="K23176">
        <v>16</v>
      </c>
      <c r="L23176">
        <v>434</v>
      </c>
      <c r="M23176">
        <v>1</v>
      </c>
      <c r="N23176">
        <v>6.7723300000000004E-170</v>
      </c>
      <c r="O23176">
        <v>1532</v>
      </c>
    </row>
    <row r="23177" spans="1:15" x14ac:dyDescent="0.25">
      <c r="A23177" t="s">
        <v>23190</v>
      </c>
      <c r="B23177">
        <v>159</v>
      </c>
      <c r="C23177" s="1" t="str">
        <f>HYPERLINK("http://www.rosaceae.org/gb/gbrowse/malus_x_domestica/?name=MDP0000837149","MDP0000837149")</f>
        <v>MDP0000837149</v>
      </c>
      <c r="D23177">
        <v>88.96</v>
      </c>
      <c r="E23177">
        <v>154</v>
      </c>
      <c r="F23177">
        <v>17</v>
      </c>
      <c r="G23177">
        <v>4</v>
      </c>
      <c r="H23177">
        <v>1</v>
      </c>
      <c r="I23177">
        <v>154</v>
      </c>
      <c r="J23177">
        <v>1</v>
      </c>
      <c r="K23177">
        <v>1</v>
      </c>
      <c r="L23177">
        <v>150</v>
      </c>
      <c r="M23177">
        <v>1</v>
      </c>
      <c r="N23177">
        <v>3.40221E-74</v>
      </c>
      <c r="O23177">
        <v>700</v>
      </c>
    </row>
    <row r="23178" spans="1:15" x14ac:dyDescent="0.25">
      <c r="A23178" t="s">
        <v>23191</v>
      </c>
      <c r="B23178">
        <v>519</v>
      </c>
      <c r="C23178" s="1" t="str">
        <f>HYPERLINK("http://www.rosaceae.org/gb/gbrowse/malus_x_domestica/?name=MDP0000247050","MDP0000247050")</f>
        <v>MDP0000247050</v>
      </c>
      <c r="D23178">
        <v>30.96</v>
      </c>
      <c r="E23178">
        <v>281</v>
      </c>
      <c r="F23178">
        <v>194</v>
      </c>
      <c r="G23178">
        <v>22</v>
      </c>
      <c r="H23178">
        <v>39</v>
      </c>
      <c r="I23178">
        <v>311</v>
      </c>
      <c r="J23178">
        <v>1</v>
      </c>
      <c r="K23178">
        <v>516</v>
      </c>
      <c r="L23178">
        <v>782</v>
      </c>
      <c r="M23178">
        <v>1</v>
      </c>
      <c r="N23178">
        <v>2.2789799999999999E-21</v>
      </c>
      <c r="O23178">
        <v>251</v>
      </c>
    </row>
    <row r="23179" spans="1:15" x14ac:dyDescent="0.25">
      <c r="A23179" t="s">
        <v>23192</v>
      </c>
      <c r="B23179">
        <v>312</v>
      </c>
      <c r="C23179" s="1" t="str">
        <f>HYPERLINK("http://www.rosaceae.org/gb/gbrowse/malus_x_domestica/?name=MDP0000207937","MDP0000207937")</f>
        <v>MDP0000207937</v>
      </c>
      <c r="D23179">
        <v>78.2</v>
      </c>
      <c r="E23179">
        <v>312</v>
      </c>
      <c r="F23179">
        <v>68</v>
      </c>
      <c r="G23179">
        <v>3</v>
      </c>
      <c r="H23179">
        <v>1</v>
      </c>
      <c r="I23179">
        <v>312</v>
      </c>
      <c r="J23179">
        <v>1</v>
      </c>
      <c r="K23179">
        <v>1</v>
      </c>
      <c r="L23179">
        <v>309</v>
      </c>
      <c r="M23179">
        <v>1</v>
      </c>
      <c r="N23179">
        <v>6.6897499999999999E-140</v>
      </c>
      <c r="O23179">
        <v>1271</v>
      </c>
    </row>
    <row r="23180" spans="1:15" x14ac:dyDescent="0.25">
      <c r="A23180" t="s">
        <v>23193</v>
      </c>
      <c r="B23180">
        <v>114</v>
      </c>
      <c r="C23180" s="1" t="str">
        <f>HYPERLINK("http://www.rosaceae.org/gb/gbrowse/malus_x_domestica/?name=MDP0000318279","MDP0000318279")</f>
        <v>MDP0000318279</v>
      </c>
      <c r="D23180">
        <v>35.51</v>
      </c>
      <c r="E23180">
        <v>107</v>
      </c>
      <c r="F23180">
        <v>69</v>
      </c>
      <c r="G23180">
        <v>2</v>
      </c>
      <c r="H23180">
        <v>1</v>
      </c>
      <c r="I23180">
        <v>107</v>
      </c>
      <c r="J23180">
        <v>1</v>
      </c>
      <c r="K23180">
        <v>203</v>
      </c>
      <c r="L23180">
        <v>307</v>
      </c>
      <c r="M23180">
        <v>1</v>
      </c>
      <c r="N23180">
        <v>1.87248E-16</v>
      </c>
      <c r="O23180">
        <v>199</v>
      </c>
    </row>
    <row r="23181" spans="1:15" x14ac:dyDescent="0.25">
      <c r="A23181" t="s">
        <v>23194</v>
      </c>
      <c r="B23181">
        <v>310</v>
      </c>
      <c r="C23181" s="1" t="str">
        <f>HYPERLINK("http://www.rosaceae.org/gb/gbrowse/malus_x_domestica/?name=MDP0000295306","MDP0000295306")</f>
        <v>MDP0000295306</v>
      </c>
      <c r="D23181">
        <v>30.71</v>
      </c>
      <c r="E23181">
        <v>140</v>
      </c>
      <c r="F23181">
        <v>97</v>
      </c>
      <c r="G23181">
        <v>3</v>
      </c>
      <c r="H23181">
        <v>12</v>
      </c>
      <c r="I23181">
        <v>149</v>
      </c>
      <c r="J23181">
        <v>1</v>
      </c>
      <c r="K23181">
        <v>265</v>
      </c>
      <c r="L23181">
        <v>403</v>
      </c>
      <c r="M23181">
        <v>1</v>
      </c>
      <c r="N23181">
        <v>6.8131599999999997E-15</v>
      </c>
      <c r="O23181">
        <v>193</v>
      </c>
    </row>
    <row r="23182" spans="1:15" x14ac:dyDescent="0.25">
      <c r="A23182" t="s">
        <v>23195</v>
      </c>
      <c r="B23182">
        <v>385</v>
      </c>
      <c r="C23182" s="1" t="str">
        <f>HYPERLINK("http://www.rosaceae.org/gb/gbrowse/malus_x_domestica/?name=MDP0000878686","MDP0000878686")</f>
        <v>MDP0000878686</v>
      </c>
      <c r="D23182">
        <v>36.01</v>
      </c>
      <c r="E23182">
        <v>361</v>
      </c>
      <c r="F23182">
        <v>231</v>
      </c>
      <c r="G23182">
        <v>59</v>
      </c>
      <c r="H23182">
        <v>2</v>
      </c>
      <c r="I23182">
        <v>321</v>
      </c>
      <c r="J23182">
        <v>1</v>
      </c>
      <c r="K23182">
        <v>10</v>
      </c>
      <c r="L23182">
        <v>352</v>
      </c>
      <c r="M23182">
        <v>1</v>
      </c>
      <c r="N23182">
        <v>5.0074299999999999E-50</v>
      </c>
      <c r="O23182">
        <v>497</v>
      </c>
    </row>
    <row r="23183" spans="1:15" x14ac:dyDescent="0.25">
      <c r="A23183" t="s">
        <v>23196</v>
      </c>
      <c r="B23183">
        <v>198</v>
      </c>
      <c r="C23183" s="1" t="str">
        <f>HYPERLINK("http://www.rosaceae.org/gb/gbrowse/malus_x_domestica/?name=MDP0000280166","MDP0000280166")</f>
        <v>MDP0000280166</v>
      </c>
      <c r="D23183">
        <v>67.72</v>
      </c>
      <c r="E23183">
        <v>189</v>
      </c>
      <c r="F23183">
        <v>61</v>
      </c>
      <c r="G23183">
        <v>18</v>
      </c>
      <c r="H23183">
        <v>1</v>
      </c>
      <c r="I23183">
        <v>173</v>
      </c>
      <c r="J23183">
        <v>1</v>
      </c>
      <c r="K23183">
        <v>65</v>
      </c>
      <c r="L23183">
        <v>251</v>
      </c>
      <c r="M23183">
        <v>1</v>
      </c>
      <c r="N23183">
        <v>5.5958000000000003E-61</v>
      </c>
      <c r="O23183">
        <v>587</v>
      </c>
    </row>
    <row r="23184" spans="1:15" x14ac:dyDescent="0.25">
      <c r="A23184" t="s">
        <v>23197</v>
      </c>
      <c r="B23184">
        <v>464</v>
      </c>
      <c r="C23184" s="1" t="str">
        <f>HYPERLINK("http://www.rosaceae.org/gb/gbrowse/malus_x_domestica/?name=MDP0000826293","MDP0000826293")</f>
        <v>MDP0000826293</v>
      </c>
      <c r="D23184">
        <v>56.88</v>
      </c>
      <c r="E23184">
        <v>494</v>
      </c>
      <c r="F23184">
        <v>213</v>
      </c>
      <c r="G23184">
        <v>69</v>
      </c>
      <c r="H23184">
        <v>2</v>
      </c>
      <c r="I23184">
        <v>432</v>
      </c>
      <c r="J23184">
        <v>1</v>
      </c>
      <c r="K23184">
        <v>1</v>
      </c>
      <c r="L23184">
        <v>488</v>
      </c>
      <c r="M23184">
        <v>1</v>
      </c>
      <c r="N23184">
        <v>7.1494999999999999E-123</v>
      </c>
      <c r="O23184">
        <v>1126</v>
      </c>
    </row>
    <row r="23185" spans="1:15" x14ac:dyDescent="0.25">
      <c r="A23185" t="s">
        <v>23198</v>
      </c>
      <c r="B23185">
        <v>488</v>
      </c>
      <c r="C23185" s="1" t="str">
        <f>HYPERLINK("http://www.rosaceae.org/gb/gbrowse/malus_x_domestica/?name=MDP0000394944","MDP0000394944")</f>
        <v>MDP0000394944</v>
      </c>
      <c r="D23185">
        <v>86.64</v>
      </c>
      <c r="E23185">
        <v>382</v>
      </c>
      <c r="F23185">
        <v>51</v>
      </c>
      <c r="G23185">
        <v>1</v>
      </c>
      <c r="H23185">
        <v>107</v>
      </c>
      <c r="I23185">
        <v>488</v>
      </c>
      <c r="J23185">
        <v>1</v>
      </c>
      <c r="K23185">
        <v>31</v>
      </c>
      <c r="L23185">
        <v>411</v>
      </c>
      <c r="M23185">
        <v>1</v>
      </c>
      <c r="N23185">
        <v>0</v>
      </c>
      <c r="O23185">
        <v>1815</v>
      </c>
    </row>
    <row r="23186" spans="1:15" x14ac:dyDescent="0.25">
      <c r="A23186" t="s">
        <v>23199</v>
      </c>
      <c r="B23186">
        <v>516</v>
      </c>
      <c r="C23186" s="1" t="str">
        <f>HYPERLINK("http://www.rosaceae.org/gb/gbrowse/malus_x_domestica/?name=MDP0000149366","MDP0000149366")</f>
        <v>MDP0000149366</v>
      </c>
      <c r="D23186">
        <v>88.91</v>
      </c>
      <c r="E23186">
        <v>496</v>
      </c>
      <c r="F23186">
        <v>55</v>
      </c>
      <c r="G23186">
        <v>1</v>
      </c>
      <c r="H23186">
        <v>19</v>
      </c>
      <c r="I23186">
        <v>513</v>
      </c>
      <c r="J23186">
        <v>1</v>
      </c>
      <c r="K23186">
        <v>19</v>
      </c>
      <c r="L23186">
        <v>514</v>
      </c>
      <c r="M23186">
        <v>1</v>
      </c>
      <c r="N23186">
        <v>0</v>
      </c>
      <c r="O23186">
        <v>2410</v>
      </c>
    </row>
    <row r="23187" spans="1:15" x14ac:dyDescent="0.25">
      <c r="A23187" t="s">
        <v>23200</v>
      </c>
      <c r="B23187">
        <v>364</v>
      </c>
      <c r="C23187" s="1" t="str">
        <f>HYPERLINK("http://www.rosaceae.org/gb/gbrowse/malus_x_domestica/?name=MDP0000474746","MDP0000474746")</f>
        <v>MDP0000474746</v>
      </c>
      <c r="D23187">
        <v>69.39</v>
      </c>
      <c r="E23187">
        <v>379</v>
      </c>
      <c r="F23187">
        <v>116</v>
      </c>
      <c r="G23187">
        <v>21</v>
      </c>
      <c r="H23187">
        <v>1</v>
      </c>
      <c r="I23187">
        <v>360</v>
      </c>
      <c r="J23187">
        <v>1</v>
      </c>
      <c r="K23187">
        <v>404</v>
      </c>
      <c r="L23187">
        <v>780</v>
      </c>
      <c r="M23187">
        <v>1</v>
      </c>
      <c r="N23187">
        <v>1.79291E-158</v>
      </c>
      <c r="O23187">
        <v>1432</v>
      </c>
    </row>
    <row r="23188" spans="1:15" x14ac:dyDescent="0.25">
      <c r="A23188" t="s">
        <v>23201</v>
      </c>
      <c r="B23188">
        <v>519</v>
      </c>
      <c r="C23188" s="1" t="str">
        <f>HYPERLINK("http://www.rosaceae.org/gb/gbrowse/malus_x_domestica/?name=MDP0000498527","MDP0000498527")</f>
        <v>MDP0000498527</v>
      </c>
      <c r="D23188">
        <v>30.63</v>
      </c>
      <c r="E23188">
        <v>173</v>
      </c>
      <c r="F23188">
        <v>120</v>
      </c>
      <c r="G23188">
        <v>5</v>
      </c>
      <c r="H23188">
        <v>60</v>
      </c>
      <c r="I23188">
        <v>231</v>
      </c>
      <c r="J23188">
        <v>1</v>
      </c>
      <c r="K23188">
        <v>177</v>
      </c>
      <c r="L23188">
        <v>345</v>
      </c>
      <c r="M23188">
        <v>1</v>
      </c>
      <c r="N23188">
        <v>4.0600100000000003E-15</v>
      </c>
      <c r="O23188">
        <v>197</v>
      </c>
    </row>
    <row r="23189" spans="1:15" x14ac:dyDescent="0.25">
      <c r="A23189" t="s">
        <v>23202</v>
      </c>
      <c r="B23189">
        <v>361</v>
      </c>
      <c r="C23189" s="1" t="str">
        <f>HYPERLINK("http://www.rosaceae.org/gb/gbrowse/malus_x_domestica/?name=MDP0000147698","MDP0000147698")</f>
        <v>MDP0000147698</v>
      </c>
      <c r="D23189">
        <v>60.77</v>
      </c>
      <c r="E23189">
        <v>283</v>
      </c>
      <c r="F23189">
        <v>111</v>
      </c>
      <c r="G23189">
        <v>32</v>
      </c>
      <c r="H23189">
        <v>109</v>
      </c>
      <c r="I23189">
        <v>361</v>
      </c>
      <c r="J23189">
        <v>1</v>
      </c>
      <c r="K23189">
        <v>30</v>
      </c>
      <c r="L23189">
        <v>310</v>
      </c>
      <c r="M23189">
        <v>1</v>
      </c>
      <c r="N23189">
        <v>1.14623E-78</v>
      </c>
      <c r="O23189">
        <v>743</v>
      </c>
    </row>
    <row r="23190" spans="1:15" x14ac:dyDescent="0.25">
      <c r="A23190" t="s">
        <v>23203</v>
      </c>
      <c r="B23190">
        <v>566</v>
      </c>
      <c r="C23190" s="1" t="str">
        <f>HYPERLINK("http://www.rosaceae.org/gb/gbrowse/malus_x_domestica/?name=MDP0000836165","MDP0000836165")</f>
        <v>MDP0000836165</v>
      </c>
      <c r="D23190">
        <v>74.16</v>
      </c>
      <c r="E23190">
        <v>542</v>
      </c>
      <c r="F23190">
        <v>140</v>
      </c>
      <c r="G23190">
        <v>7</v>
      </c>
      <c r="H23190">
        <v>30</v>
      </c>
      <c r="I23190">
        <v>566</v>
      </c>
      <c r="J23190">
        <v>1</v>
      </c>
      <c r="K23190">
        <v>25</v>
      </c>
      <c r="L23190">
        <v>564</v>
      </c>
      <c r="M23190">
        <v>1</v>
      </c>
      <c r="N23190">
        <v>0</v>
      </c>
      <c r="O23190">
        <v>2108</v>
      </c>
    </row>
    <row r="23191" spans="1:15" x14ac:dyDescent="0.25">
      <c r="A23191" t="s">
        <v>23204</v>
      </c>
      <c r="B23191">
        <v>362</v>
      </c>
      <c r="C23191" s="1" t="str">
        <f>HYPERLINK("http://www.rosaceae.org/gb/gbrowse/malus_x_domestica/?name=MDP0000138467","MDP0000138467")</f>
        <v>MDP0000138467</v>
      </c>
      <c r="D23191">
        <v>48.31</v>
      </c>
      <c r="E23191">
        <v>327</v>
      </c>
      <c r="F23191">
        <v>169</v>
      </c>
      <c r="G23191">
        <v>32</v>
      </c>
      <c r="H23191">
        <v>6</v>
      </c>
      <c r="I23191">
        <v>326</v>
      </c>
      <c r="J23191">
        <v>1</v>
      </c>
      <c r="K23191">
        <v>4</v>
      </c>
      <c r="L23191">
        <v>304</v>
      </c>
      <c r="M23191">
        <v>1</v>
      </c>
      <c r="N23191">
        <v>1.4510099999999999E-84</v>
      </c>
      <c r="O23191">
        <v>794</v>
      </c>
    </row>
    <row r="23192" spans="1:15" x14ac:dyDescent="0.25">
      <c r="A23192" t="s">
        <v>23205</v>
      </c>
      <c r="B23192">
        <v>628</v>
      </c>
      <c r="C23192" s="1" t="str">
        <f>HYPERLINK("http://www.rosaceae.org/gb/gbrowse/malus_x_domestica/?name=MDP0000131323","MDP0000131323")</f>
        <v>MDP0000131323</v>
      </c>
      <c r="D23192">
        <v>54.84</v>
      </c>
      <c r="E23192">
        <v>640</v>
      </c>
      <c r="F23192">
        <v>289</v>
      </c>
      <c r="G23192">
        <v>25</v>
      </c>
      <c r="H23192">
        <v>1</v>
      </c>
      <c r="I23192">
        <v>628</v>
      </c>
      <c r="J23192">
        <v>1</v>
      </c>
      <c r="K23192">
        <v>1</v>
      </c>
      <c r="L23192">
        <v>627</v>
      </c>
      <c r="M23192">
        <v>1</v>
      </c>
      <c r="N23192">
        <v>3.4395400000000003E-179</v>
      </c>
      <c r="O23192">
        <v>1613</v>
      </c>
    </row>
    <row r="23193" spans="1:15" x14ac:dyDescent="0.25">
      <c r="A23193" t="s">
        <v>23206</v>
      </c>
      <c r="B23193">
        <v>166</v>
      </c>
      <c r="C23193" s="1" t="str">
        <f>HYPERLINK("http://www.rosaceae.org/gb/gbrowse/malus_x_domestica/?name=MDP0000161898","MDP0000161898")</f>
        <v>MDP0000161898</v>
      </c>
      <c r="D23193">
        <v>91.59</v>
      </c>
      <c r="E23193">
        <v>119</v>
      </c>
      <c r="F23193">
        <v>10</v>
      </c>
      <c r="G23193">
        <v>0</v>
      </c>
      <c r="H23193">
        <v>1</v>
      </c>
      <c r="I23193">
        <v>119</v>
      </c>
      <c r="J23193">
        <v>1</v>
      </c>
      <c r="K23193">
        <v>1</v>
      </c>
      <c r="L23193">
        <v>119</v>
      </c>
      <c r="M23193">
        <v>1</v>
      </c>
      <c r="N23193">
        <v>1.52456E-60</v>
      </c>
      <c r="O23193">
        <v>582</v>
      </c>
    </row>
    <row r="23194" spans="1:15" x14ac:dyDescent="0.25">
      <c r="A23194" t="s">
        <v>23207</v>
      </c>
      <c r="B23194">
        <v>223</v>
      </c>
      <c r="C23194" s="1" t="str">
        <f>HYPERLINK("http://www.rosaceae.org/gb/gbrowse/malus_x_domestica/?name=MDP0000478758","MDP0000478758")</f>
        <v>MDP0000478758</v>
      </c>
      <c r="D23194">
        <v>52.82</v>
      </c>
      <c r="E23194">
        <v>248</v>
      </c>
      <c r="F23194">
        <v>117</v>
      </c>
      <c r="G23194">
        <v>30</v>
      </c>
      <c r="H23194">
        <v>1</v>
      </c>
      <c r="I23194">
        <v>223</v>
      </c>
      <c r="J23194">
        <v>1</v>
      </c>
      <c r="K23194">
        <v>1</v>
      </c>
      <c r="L23194">
        <v>243</v>
      </c>
      <c r="M23194">
        <v>1</v>
      </c>
      <c r="N23194">
        <v>1.57839E-50</v>
      </c>
      <c r="O23194">
        <v>498</v>
      </c>
    </row>
    <row r="23195" spans="1:15" x14ac:dyDescent="0.25">
      <c r="A23195" t="s">
        <v>23208</v>
      </c>
      <c r="B23195">
        <v>99</v>
      </c>
      <c r="C23195" s="1" t="str">
        <f>HYPERLINK("http://www.rosaceae.org/gb/gbrowse/malus_x_domestica/?name=MDP0000720497","MDP0000720497")</f>
        <v>MDP0000720497</v>
      </c>
      <c r="D23195">
        <v>85.55</v>
      </c>
      <c r="E23195">
        <v>90</v>
      </c>
      <c r="F23195">
        <v>13</v>
      </c>
      <c r="G23195">
        <v>0</v>
      </c>
      <c r="H23195">
        <v>10</v>
      </c>
      <c r="I23195">
        <v>99</v>
      </c>
      <c r="J23195">
        <v>1</v>
      </c>
      <c r="K23195">
        <v>35</v>
      </c>
      <c r="L23195">
        <v>124</v>
      </c>
      <c r="M23195">
        <v>1</v>
      </c>
      <c r="N23195">
        <v>1.5547499999999999E-39</v>
      </c>
      <c r="O23195">
        <v>398</v>
      </c>
    </row>
    <row r="23196" spans="1:15" x14ac:dyDescent="0.25">
      <c r="A23196" t="s">
        <v>23209</v>
      </c>
      <c r="B23196">
        <v>1054</v>
      </c>
      <c r="C23196" s="1" t="str">
        <f>HYPERLINK("http://www.rosaceae.org/gb/gbrowse/malus_x_domestica/?name=MDP0000132885","MDP0000132885")</f>
        <v>MDP0000132885</v>
      </c>
      <c r="D23196">
        <v>70.78</v>
      </c>
      <c r="E23196">
        <v>421</v>
      </c>
      <c r="F23196">
        <v>123</v>
      </c>
      <c r="G23196">
        <v>20</v>
      </c>
      <c r="H23196">
        <v>25</v>
      </c>
      <c r="I23196">
        <v>430</v>
      </c>
      <c r="J23196">
        <v>1</v>
      </c>
      <c r="K23196">
        <v>66</v>
      </c>
      <c r="L23196">
        <v>481</v>
      </c>
      <c r="M23196">
        <v>1</v>
      </c>
      <c r="N23196">
        <v>4.6471399999999996E-165</v>
      </c>
      <c r="O23196">
        <v>1493</v>
      </c>
    </row>
    <row r="23197" spans="1:15" x14ac:dyDescent="0.25">
      <c r="A23197" t="s">
        <v>23210</v>
      </c>
      <c r="B23197">
        <v>204</v>
      </c>
      <c r="C23197" s="1" t="str">
        <f>HYPERLINK("http://www.rosaceae.org/gb/gbrowse/malus_x_domestica/?name=MDP0000127739","MDP0000127739")</f>
        <v>MDP0000127739</v>
      </c>
      <c r="D23197">
        <v>83</v>
      </c>
      <c r="E23197">
        <v>200</v>
      </c>
      <c r="F23197">
        <v>34</v>
      </c>
      <c r="G23197">
        <v>0</v>
      </c>
      <c r="H23197">
        <v>5</v>
      </c>
      <c r="I23197">
        <v>204</v>
      </c>
      <c r="J23197">
        <v>1</v>
      </c>
      <c r="K23197">
        <v>3</v>
      </c>
      <c r="L23197">
        <v>202</v>
      </c>
      <c r="M23197">
        <v>1</v>
      </c>
      <c r="N23197">
        <v>2.9959799999999997E-98</v>
      </c>
      <c r="O23197">
        <v>909</v>
      </c>
    </row>
    <row r="23198" spans="1:15" x14ac:dyDescent="0.25">
      <c r="A23198" t="s">
        <v>23211</v>
      </c>
      <c r="B23198">
        <v>1213</v>
      </c>
      <c r="C23198" s="1" t="str">
        <f>HYPERLINK("http://www.rosaceae.org/gb/gbrowse/malus_x_domestica/?name=MDP0000259542","MDP0000259542")</f>
        <v>MDP0000259542</v>
      </c>
      <c r="D23198">
        <v>62.77</v>
      </c>
      <c r="E23198">
        <v>1241</v>
      </c>
      <c r="F23198">
        <v>462</v>
      </c>
      <c r="G23198">
        <v>82</v>
      </c>
      <c r="H23198">
        <v>1</v>
      </c>
      <c r="I23198">
        <v>1201</v>
      </c>
      <c r="J23198">
        <v>1</v>
      </c>
      <c r="K23198">
        <v>555</v>
      </c>
      <c r="L23198">
        <v>1753</v>
      </c>
      <c r="M23198">
        <v>1</v>
      </c>
      <c r="N23198">
        <v>0</v>
      </c>
      <c r="O23198">
        <v>3708</v>
      </c>
    </row>
    <row r="23199" spans="1:15" x14ac:dyDescent="0.25">
      <c r="A23199" t="s">
        <v>23212</v>
      </c>
      <c r="B23199">
        <v>462</v>
      </c>
      <c r="C23199" s="1" t="str">
        <f>HYPERLINK("http://www.rosaceae.org/gb/gbrowse/malus_x_domestica/?name=MDP0000285653","MDP0000285653")</f>
        <v>MDP0000285653</v>
      </c>
      <c r="D23199">
        <v>43.86</v>
      </c>
      <c r="E23199">
        <v>440</v>
      </c>
      <c r="F23199">
        <v>247</v>
      </c>
      <c r="G23199">
        <v>18</v>
      </c>
      <c r="H23199">
        <v>2</v>
      </c>
      <c r="I23199">
        <v>426</v>
      </c>
      <c r="J23199">
        <v>1</v>
      </c>
      <c r="K23199">
        <v>113</v>
      </c>
      <c r="L23199">
        <v>549</v>
      </c>
      <c r="M23199">
        <v>1</v>
      </c>
      <c r="N23199">
        <v>4.6084999999999998E-93</v>
      </c>
      <c r="O23199">
        <v>869</v>
      </c>
    </row>
    <row r="23200" spans="1:15" x14ac:dyDescent="0.25">
      <c r="A23200" t="s">
        <v>23213</v>
      </c>
      <c r="B23200">
        <v>55</v>
      </c>
      <c r="C23200" s="1" t="str">
        <f>HYPERLINK("http://www.rosaceae.org/gb/gbrowse/malus_x_domestica/?name=MDP0000050893","MDP0000050893")</f>
        <v>MDP0000050893</v>
      </c>
      <c r="D23200">
        <v>88.63</v>
      </c>
      <c r="E23200">
        <v>44</v>
      </c>
      <c r="F23200">
        <v>5</v>
      </c>
      <c r="G23200">
        <v>0</v>
      </c>
      <c r="H23200">
        <v>1</v>
      </c>
      <c r="I23200">
        <v>44</v>
      </c>
      <c r="J23200">
        <v>1</v>
      </c>
      <c r="K23200">
        <v>1</v>
      </c>
      <c r="L23200">
        <v>44</v>
      </c>
      <c r="M23200">
        <v>1</v>
      </c>
      <c r="N23200">
        <v>1.01022E-17</v>
      </c>
      <c r="O23200">
        <v>210</v>
      </c>
    </row>
    <row r="23201" spans="1:15" x14ac:dyDescent="0.25">
      <c r="A23201" t="s">
        <v>23214</v>
      </c>
      <c r="B23201">
        <v>618</v>
      </c>
      <c r="C23201" s="1" t="str">
        <f>HYPERLINK("http://www.rosaceae.org/gb/gbrowse/malus_x_domestica/?name=MDP0000291677","MDP0000291677")</f>
        <v>MDP0000291677</v>
      </c>
      <c r="D23201">
        <v>38.200000000000003</v>
      </c>
      <c r="E23201">
        <v>589</v>
      </c>
      <c r="F23201">
        <v>364</v>
      </c>
      <c r="G23201">
        <v>65</v>
      </c>
      <c r="H23201">
        <v>63</v>
      </c>
      <c r="I23201">
        <v>616</v>
      </c>
      <c r="J23201">
        <v>1</v>
      </c>
      <c r="K23201">
        <v>969</v>
      </c>
      <c r="L23201">
        <v>1527</v>
      </c>
      <c r="M23201">
        <v>1</v>
      </c>
      <c r="N23201">
        <v>5.5612600000000002E-86</v>
      </c>
      <c r="O23201">
        <v>809</v>
      </c>
    </row>
    <row r="23202" spans="1:15" x14ac:dyDescent="0.25">
      <c r="A23202" t="s">
        <v>23215</v>
      </c>
      <c r="B23202">
        <v>636</v>
      </c>
      <c r="C23202" s="1" t="str">
        <f>HYPERLINK("http://www.rosaceae.org/gb/gbrowse/malus_x_domestica/?name=MDP0000292272","MDP0000292272")</f>
        <v>MDP0000292272</v>
      </c>
      <c r="D23202">
        <v>84.06</v>
      </c>
      <c r="E23202">
        <v>571</v>
      </c>
      <c r="F23202">
        <v>91</v>
      </c>
      <c r="G23202">
        <v>2</v>
      </c>
      <c r="H23202">
        <v>52</v>
      </c>
      <c r="I23202">
        <v>622</v>
      </c>
      <c r="J23202">
        <v>1</v>
      </c>
      <c r="K23202">
        <v>1</v>
      </c>
      <c r="L23202">
        <v>569</v>
      </c>
      <c r="M23202">
        <v>1</v>
      </c>
      <c r="N23202">
        <v>0</v>
      </c>
      <c r="O23202">
        <v>2627</v>
      </c>
    </row>
    <row r="23203" spans="1:15" x14ac:dyDescent="0.25">
      <c r="A23203" t="s">
        <v>23216</v>
      </c>
      <c r="B23203">
        <v>271</v>
      </c>
      <c r="C23203" s="1" t="str">
        <f>HYPERLINK("http://www.rosaceae.org/gb/gbrowse/malus_x_domestica/?name=MDP0000144150","MDP0000144150")</f>
        <v>MDP0000144150</v>
      </c>
      <c r="D23203">
        <v>70.95</v>
      </c>
      <c r="E23203">
        <v>241</v>
      </c>
      <c r="F23203">
        <v>70</v>
      </c>
      <c r="G23203">
        <v>0</v>
      </c>
      <c r="H23203">
        <v>1</v>
      </c>
      <c r="I23203">
        <v>241</v>
      </c>
      <c r="J23203">
        <v>1</v>
      </c>
      <c r="K23203">
        <v>120</v>
      </c>
      <c r="L23203">
        <v>360</v>
      </c>
      <c r="M23203">
        <v>1</v>
      </c>
      <c r="N23203">
        <v>3.9671E-100</v>
      </c>
      <c r="O23203">
        <v>927</v>
      </c>
    </row>
    <row r="23204" spans="1:15" x14ac:dyDescent="0.25">
      <c r="A23204" t="s">
        <v>23217</v>
      </c>
      <c r="B23204">
        <v>277</v>
      </c>
      <c r="C23204" s="1" t="str">
        <f>HYPERLINK("http://www.rosaceae.org/gb/gbrowse/malus_x_domestica/?name=MDP0000229885","MDP0000229885")</f>
        <v>MDP0000229885</v>
      </c>
      <c r="D23204">
        <v>62.09</v>
      </c>
      <c r="E23204">
        <v>277</v>
      </c>
      <c r="F23204">
        <v>105</v>
      </c>
      <c r="G23204">
        <v>3</v>
      </c>
      <c r="H23204">
        <v>1</v>
      </c>
      <c r="I23204">
        <v>277</v>
      </c>
      <c r="J23204">
        <v>1</v>
      </c>
      <c r="K23204">
        <v>1</v>
      </c>
      <c r="L23204">
        <v>274</v>
      </c>
      <c r="M23204">
        <v>1</v>
      </c>
      <c r="N23204">
        <v>6.7363900000000007E-92</v>
      </c>
      <c r="O23204">
        <v>856</v>
      </c>
    </row>
    <row r="23205" spans="1:15" x14ac:dyDescent="0.25">
      <c r="A23205" t="s">
        <v>23218</v>
      </c>
      <c r="B23205">
        <v>157</v>
      </c>
      <c r="C23205" s="1" t="str">
        <f>HYPERLINK("http://www.rosaceae.org/gb/gbrowse/malus_x_domestica/?name=MDP0000596604","MDP0000596604")</f>
        <v>MDP0000596604</v>
      </c>
      <c r="D23205">
        <v>73.95</v>
      </c>
      <c r="E23205">
        <v>96</v>
      </c>
      <c r="F23205">
        <v>25</v>
      </c>
      <c r="G23205">
        <v>0</v>
      </c>
      <c r="H23205">
        <v>1</v>
      </c>
      <c r="I23205">
        <v>96</v>
      </c>
      <c r="J23205">
        <v>1</v>
      </c>
      <c r="K23205">
        <v>1</v>
      </c>
      <c r="L23205">
        <v>96</v>
      </c>
      <c r="M23205">
        <v>1</v>
      </c>
      <c r="N23205">
        <v>7.6713199999999999E-38</v>
      </c>
      <c r="O23205">
        <v>386</v>
      </c>
    </row>
    <row r="23206" spans="1:15" x14ac:dyDescent="0.25">
      <c r="A23206" t="s">
        <v>23219</v>
      </c>
      <c r="B23206">
        <v>769</v>
      </c>
      <c r="C23206" s="1" t="str">
        <f>HYPERLINK("http://www.rosaceae.org/gb/gbrowse/malus_x_domestica/?name=MDP0000937088","MDP0000937088")</f>
        <v>MDP0000937088</v>
      </c>
      <c r="D23206">
        <v>51.54</v>
      </c>
      <c r="E23206">
        <v>291</v>
      </c>
      <c r="F23206">
        <v>141</v>
      </c>
      <c r="G23206">
        <v>35</v>
      </c>
      <c r="H23206">
        <v>296</v>
      </c>
      <c r="I23206">
        <v>580</v>
      </c>
      <c r="J23206">
        <v>1</v>
      </c>
      <c r="K23206">
        <v>375</v>
      </c>
      <c r="L23206">
        <v>636</v>
      </c>
      <c r="M23206">
        <v>1</v>
      </c>
      <c r="N23206">
        <v>2.16443E-56</v>
      </c>
      <c r="O23206">
        <v>555</v>
      </c>
    </row>
    <row r="23207" spans="1:15" x14ac:dyDescent="0.25">
      <c r="A23207" t="s">
        <v>23220</v>
      </c>
      <c r="B23207">
        <v>664</v>
      </c>
      <c r="C23207" s="1" t="str">
        <f>HYPERLINK("http://www.rosaceae.org/gb/gbrowse/malus_x_domestica/?name=MDP0000508747","MDP0000508747")</f>
        <v>MDP0000508747</v>
      </c>
      <c r="D23207">
        <v>73.61</v>
      </c>
      <c r="E23207">
        <v>667</v>
      </c>
      <c r="F23207">
        <v>176</v>
      </c>
      <c r="G23207">
        <v>4</v>
      </c>
      <c r="H23207">
        <v>1</v>
      </c>
      <c r="I23207">
        <v>663</v>
      </c>
      <c r="J23207">
        <v>1</v>
      </c>
      <c r="K23207">
        <v>1</v>
      </c>
      <c r="L23207">
        <v>667</v>
      </c>
      <c r="M23207">
        <v>1</v>
      </c>
      <c r="N23207">
        <v>0</v>
      </c>
      <c r="O23207">
        <v>2649</v>
      </c>
    </row>
    <row r="23208" spans="1:15" x14ac:dyDescent="0.25">
      <c r="A23208" t="s">
        <v>23221</v>
      </c>
      <c r="B23208">
        <v>598</v>
      </c>
      <c r="C23208" s="1" t="str">
        <f>HYPERLINK("http://www.rosaceae.org/gb/gbrowse/malus_x_domestica/?name=MDP0000209399","MDP0000209399")</f>
        <v>MDP0000209399</v>
      </c>
      <c r="D23208">
        <v>56.14</v>
      </c>
      <c r="E23208">
        <v>643</v>
      </c>
      <c r="F23208">
        <v>282</v>
      </c>
      <c r="G23208">
        <v>69</v>
      </c>
      <c r="H23208">
        <v>1</v>
      </c>
      <c r="I23208">
        <v>598</v>
      </c>
      <c r="J23208">
        <v>1</v>
      </c>
      <c r="K23208">
        <v>1</v>
      </c>
      <c r="L23208">
        <v>619</v>
      </c>
      <c r="M23208">
        <v>1</v>
      </c>
      <c r="N23208">
        <v>1.4551099999999999E-169</v>
      </c>
      <c r="O23208">
        <v>1530</v>
      </c>
    </row>
    <row r="23209" spans="1:15" x14ac:dyDescent="0.25">
      <c r="A23209" t="s">
        <v>23222</v>
      </c>
      <c r="B23209">
        <v>884</v>
      </c>
      <c r="C23209" s="1" t="str">
        <f>HYPERLINK("http://www.rosaceae.org/gb/gbrowse/malus_x_domestica/?name=MDP0000164177","MDP0000164177")</f>
        <v>MDP0000164177</v>
      </c>
      <c r="D23209">
        <v>57.77</v>
      </c>
      <c r="E23209">
        <v>772</v>
      </c>
      <c r="F23209">
        <v>326</v>
      </c>
      <c r="G23209">
        <v>50</v>
      </c>
      <c r="H23209">
        <v>5</v>
      </c>
      <c r="I23209">
        <v>730</v>
      </c>
      <c r="J23209">
        <v>1</v>
      </c>
      <c r="K23209">
        <v>5</v>
      </c>
      <c r="L23209">
        <v>772</v>
      </c>
      <c r="M23209">
        <v>1</v>
      </c>
      <c r="N23209">
        <v>0</v>
      </c>
      <c r="O23209">
        <v>2269</v>
      </c>
    </row>
    <row r="23210" spans="1:15" x14ac:dyDescent="0.25">
      <c r="A23210" t="s">
        <v>23223</v>
      </c>
      <c r="B23210">
        <v>532</v>
      </c>
      <c r="C23210" s="1" t="str">
        <f>HYPERLINK("http://www.rosaceae.org/gb/gbrowse/malus_x_domestica/?name=MDP0000134252","MDP0000134252")</f>
        <v>MDP0000134252</v>
      </c>
      <c r="D23210">
        <v>78.25</v>
      </c>
      <c r="E23210">
        <v>469</v>
      </c>
      <c r="F23210">
        <v>102</v>
      </c>
      <c r="G23210">
        <v>12</v>
      </c>
      <c r="H23210">
        <v>1</v>
      </c>
      <c r="I23210">
        <v>465</v>
      </c>
      <c r="J23210">
        <v>1</v>
      </c>
      <c r="K23210">
        <v>1</v>
      </c>
      <c r="L23210">
        <v>461</v>
      </c>
      <c r="M23210">
        <v>1</v>
      </c>
      <c r="N23210">
        <v>0</v>
      </c>
      <c r="O23210">
        <v>1919</v>
      </c>
    </row>
    <row r="23211" spans="1:15" x14ac:dyDescent="0.25">
      <c r="A23211" t="s">
        <v>23224</v>
      </c>
      <c r="B23211">
        <v>656</v>
      </c>
      <c r="C23211" s="1" t="str">
        <f>HYPERLINK("http://www.rosaceae.org/gb/gbrowse/malus_x_domestica/?name=MDP0000222900","MDP0000222900")</f>
        <v>MDP0000222900</v>
      </c>
      <c r="D23211">
        <v>59.55</v>
      </c>
      <c r="E23211">
        <v>712</v>
      </c>
      <c r="F23211">
        <v>288</v>
      </c>
      <c r="G23211">
        <v>84</v>
      </c>
      <c r="H23211">
        <v>1</v>
      </c>
      <c r="I23211">
        <v>634</v>
      </c>
      <c r="J23211">
        <v>1</v>
      </c>
      <c r="K23211">
        <v>1</v>
      </c>
      <c r="L23211">
        <v>706</v>
      </c>
      <c r="M23211">
        <v>1</v>
      </c>
      <c r="N23211">
        <v>0</v>
      </c>
      <c r="O23211">
        <v>2064</v>
      </c>
    </row>
    <row r="23212" spans="1:15" x14ac:dyDescent="0.25">
      <c r="A23212" t="s">
        <v>23225</v>
      </c>
      <c r="B23212">
        <v>936</v>
      </c>
      <c r="C23212" s="1" t="str">
        <f>HYPERLINK("http://www.rosaceae.org/gb/gbrowse/malus_x_domestica/?name=MDP0000297702","MDP0000297702")</f>
        <v>MDP0000297702</v>
      </c>
      <c r="D23212">
        <v>80.95</v>
      </c>
      <c r="E23212">
        <v>814</v>
      </c>
      <c r="F23212">
        <v>155</v>
      </c>
      <c r="G23212">
        <v>41</v>
      </c>
      <c r="H23212">
        <v>1</v>
      </c>
      <c r="I23212">
        <v>813</v>
      </c>
      <c r="J23212">
        <v>1</v>
      </c>
      <c r="K23212">
        <v>1</v>
      </c>
      <c r="L23212">
        <v>774</v>
      </c>
      <c r="M23212">
        <v>1</v>
      </c>
      <c r="N23212">
        <v>0</v>
      </c>
      <c r="O23212">
        <v>3466</v>
      </c>
    </row>
    <row r="23213" spans="1:15" x14ac:dyDescent="0.25">
      <c r="A23213" t="s">
        <v>23226</v>
      </c>
      <c r="B23213">
        <v>256</v>
      </c>
      <c r="C23213" s="1" t="str">
        <f>HYPERLINK("http://www.rosaceae.org/gb/gbrowse/malus_x_domestica/?name=MDP0000210279","MDP0000210279")</f>
        <v>MDP0000210279</v>
      </c>
      <c r="D23213">
        <v>76.59</v>
      </c>
      <c r="E23213">
        <v>235</v>
      </c>
      <c r="F23213">
        <v>55</v>
      </c>
      <c r="G23213">
        <v>0</v>
      </c>
      <c r="H23213">
        <v>1</v>
      </c>
      <c r="I23213">
        <v>235</v>
      </c>
      <c r="J23213">
        <v>1</v>
      </c>
      <c r="K23213">
        <v>1</v>
      </c>
      <c r="L23213">
        <v>235</v>
      </c>
      <c r="M23213">
        <v>1</v>
      </c>
      <c r="N23213">
        <v>1.41961E-107</v>
      </c>
      <c r="O23213">
        <v>991</v>
      </c>
    </row>
    <row r="23214" spans="1:15" x14ac:dyDescent="0.25">
      <c r="A23214" t="s">
        <v>23227</v>
      </c>
      <c r="B23214">
        <v>1184</v>
      </c>
      <c r="C23214" s="1" t="str">
        <f>HYPERLINK("http://www.rosaceae.org/gb/gbrowse/malus_x_domestica/?name=MDP0000659362","MDP0000659362")</f>
        <v>MDP0000659362</v>
      </c>
      <c r="D23214">
        <v>77.239999999999995</v>
      </c>
      <c r="E23214">
        <v>1160</v>
      </c>
      <c r="F23214">
        <v>264</v>
      </c>
      <c r="G23214">
        <v>11</v>
      </c>
      <c r="H23214">
        <v>32</v>
      </c>
      <c r="I23214">
        <v>1180</v>
      </c>
      <c r="J23214">
        <v>1</v>
      </c>
      <c r="K23214">
        <v>77</v>
      </c>
      <c r="L23214">
        <v>1236</v>
      </c>
      <c r="M23214">
        <v>1</v>
      </c>
      <c r="N23214">
        <v>0</v>
      </c>
      <c r="O23214">
        <v>4474</v>
      </c>
    </row>
    <row r="23215" spans="1:15" x14ac:dyDescent="0.25">
      <c r="A23215" t="s">
        <v>23228</v>
      </c>
      <c r="B23215">
        <v>226</v>
      </c>
      <c r="C23215" s="1" t="str">
        <f>HYPERLINK("http://www.rosaceae.org/gb/gbrowse/malus_x_domestica/?name=MDP0000127232","MDP0000127232")</f>
        <v>MDP0000127232</v>
      </c>
      <c r="D23215">
        <v>66.38</v>
      </c>
      <c r="E23215">
        <v>238</v>
      </c>
      <c r="F23215">
        <v>80</v>
      </c>
      <c r="G23215">
        <v>39</v>
      </c>
      <c r="H23215">
        <v>1</v>
      </c>
      <c r="I23215">
        <v>204</v>
      </c>
      <c r="J23215">
        <v>1</v>
      </c>
      <c r="K23215">
        <v>1</v>
      </c>
      <c r="L23215">
        <v>233</v>
      </c>
      <c r="M23215">
        <v>1</v>
      </c>
      <c r="N23215">
        <v>5.6001099999999999E-82</v>
      </c>
      <c r="O23215">
        <v>769</v>
      </c>
    </row>
    <row r="23216" spans="1:15" x14ac:dyDescent="0.25">
      <c r="A23216" t="s">
        <v>23229</v>
      </c>
      <c r="B23216">
        <v>356</v>
      </c>
      <c r="C23216" s="1" t="str">
        <f>HYPERLINK("http://www.rosaceae.org/gb/gbrowse/malus_x_domestica/?name=MDP0000202115","MDP0000202115")</f>
        <v>MDP0000202115</v>
      </c>
      <c r="D23216">
        <v>37.83</v>
      </c>
      <c r="E23216">
        <v>148</v>
      </c>
      <c r="F23216">
        <v>92</v>
      </c>
      <c r="G23216">
        <v>14</v>
      </c>
      <c r="H23216">
        <v>134</v>
      </c>
      <c r="I23216">
        <v>277</v>
      </c>
      <c r="J23216">
        <v>1</v>
      </c>
      <c r="K23216">
        <v>66</v>
      </c>
      <c r="L23216">
        <v>203</v>
      </c>
      <c r="M23216">
        <v>1</v>
      </c>
      <c r="N23216">
        <v>9.2771599999999999E-21</v>
      </c>
      <c r="O23216">
        <v>244</v>
      </c>
    </row>
    <row r="23217" spans="1:15" x14ac:dyDescent="0.25">
      <c r="A23217" t="s">
        <v>23230</v>
      </c>
      <c r="B23217">
        <v>698</v>
      </c>
      <c r="C23217" s="1" t="str">
        <f>HYPERLINK("http://www.rosaceae.org/gb/gbrowse/malus_x_domestica/?name=MDP0000310918","MDP0000310918")</f>
        <v>MDP0000310918</v>
      </c>
      <c r="D23217">
        <v>49.5</v>
      </c>
      <c r="E23217">
        <v>711</v>
      </c>
      <c r="F23217">
        <v>359</v>
      </c>
      <c r="G23217">
        <v>94</v>
      </c>
      <c r="H23217">
        <v>4</v>
      </c>
      <c r="I23217">
        <v>683</v>
      </c>
      <c r="J23217">
        <v>1</v>
      </c>
      <c r="K23217">
        <v>13</v>
      </c>
      <c r="L23217">
        <v>660</v>
      </c>
      <c r="M23217">
        <v>1</v>
      </c>
      <c r="N23217">
        <v>5.5304500000000001E-158</v>
      </c>
      <c r="O23217">
        <v>1430</v>
      </c>
    </row>
    <row r="23218" spans="1:15" x14ac:dyDescent="0.25">
      <c r="A23218" t="s">
        <v>23231</v>
      </c>
      <c r="B23218">
        <v>441</v>
      </c>
      <c r="C23218" s="1" t="str">
        <f>HYPERLINK("http://www.rosaceae.org/gb/gbrowse/malus_x_domestica/?name=MDP0000921094","MDP0000921094")</f>
        <v>MDP0000921094</v>
      </c>
      <c r="D23218">
        <v>67.39</v>
      </c>
      <c r="E23218">
        <v>273</v>
      </c>
      <c r="F23218">
        <v>89</v>
      </c>
      <c r="G23218">
        <v>7</v>
      </c>
      <c r="H23218">
        <v>1</v>
      </c>
      <c r="I23218">
        <v>272</v>
      </c>
      <c r="J23218">
        <v>1</v>
      </c>
      <c r="K23218">
        <v>46</v>
      </c>
      <c r="L23218">
        <v>312</v>
      </c>
      <c r="M23218">
        <v>1</v>
      </c>
      <c r="N23218">
        <v>2.4947999999999998E-100</v>
      </c>
      <c r="O23218">
        <v>931</v>
      </c>
    </row>
    <row r="23219" spans="1:15" x14ac:dyDescent="0.25">
      <c r="A23219" t="s">
        <v>23232</v>
      </c>
      <c r="B23219">
        <v>270</v>
      </c>
      <c r="C23219" s="1" t="str">
        <f>HYPERLINK("http://www.rosaceae.org/gb/gbrowse/malus_x_domestica/?name=MDP0000222790","MDP0000222790")</f>
        <v>MDP0000222790</v>
      </c>
      <c r="D23219">
        <v>63.67</v>
      </c>
      <c r="E23219">
        <v>267</v>
      </c>
      <c r="F23219">
        <v>97</v>
      </c>
      <c r="G23219">
        <v>3</v>
      </c>
      <c r="H23219">
        <v>2</v>
      </c>
      <c r="I23219">
        <v>265</v>
      </c>
      <c r="J23219">
        <v>1</v>
      </c>
      <c r="K23219">
        <v>597</v>
      </c>
      <c r="L23219">
        <v>863</v>
      </c>
      <c r="M23219">
        <v>1</v>
      </c>
      <c r="N23219">
        <v>6.80089E-91</v>
      </c>
      <c r="O23219">
        <v>847</v>
      </c>
    </row>
    <row r="23220" spans="1:15" x14ac:dyDescent="0.25">
      <c r="A23220" t="s">
        <v>23233</v>
      </c>
      <c r="B23220">
        <v>607</v>
      </c>
      <c r="C23220" s="1" t="str">
        <f>HYPERLINK("http://www.rosaceae.org/gb/gbrowse/malus_x_domestica/?name=MDP0000215486","MDP0000215486")</f>
        <v>MDP0000215486</v>
      </c>
      <c r="D23220">
        <v>70.510000000000005</v>
      </c>
      <c r="E23220">
        <v>607</v>
      </c>
      <c r="F23220">
        <v>179</v>
      </c>
      <c r="G23220">
        <v>17</v>
      </c>
      <c r="H23220">
        <v>1</v>
      </c>
      <c r="I23220">
        <v>607</v>
      </c>
      <c r="J23220">
        <v>1</v>
      </c>
      <c r="K23220">
        <v>1</v>
      </c>
      <c r="L23220">
        <v>590</v>
      </c>
      <c r="M23220">
        <v>1</v>
      </c>
      <c r="N23220">
        <v>0</v>
      </c>
      <c r="O23220">
        <v>2225</v>
      </c>
    </row>
    <row r="23221" spans="1:15" x14ac:dyDescent="0.25">
      <c r="A23221" t="s">
        <v>23234</v>
      </c>
      <c r="B23221">
        <v>484</v>
      </c>
      <c r="C23221" s="1" t="str">
        <f>HYPERLINK("http://www.rosaceae.org/gb/gbrowse/malus_x_domestica/?name=MDP0000132406","MDP0000132406")</f>
        <v>MDP0000132406</v>
      </c>
      <c r="D23221">
        <v>39</v>
      </c>
      <c r="E23221">
        <v>423</v>
      </c>
      <c r="F23221">
        <v>258</v>
      </c>
      <c r="G23221">
        <v>64</v>
      </c>
      <c r="H23221">
        <v>53</v>
      </c>
      <c r="I23221">
        <v>447</v>
      </c>
      <c r="J23221">
        <v>1</v>
      </c>
      <c r="K23221">
        <v>32</v>
      </c>
      <c r="L23221">
        <v>418</v>
      </c>
      <c r="M23221">
        <v>1</v>
      </c>
      <c r="N23221">
        <v>1.4154999999999999E-55</v>
      </c>
      <c r="O23221">
        <v>546</v>
      </c>
    </row>
    <row r="23222" spans="1:15" x14ac:dyDescent="0.25">
      <c r="A23222" t="s">
        <v>23235</v>
      </c>
      <c r="B23222">
        <v>805</v>
      </c>
      <c r="C23222" s="1" t="str">
        <f>HYPERLINK("http://www.rosaceae.org/gb/gbrowse/malus_x_domestica/?name=MDP0000261851","MDP0000261851")</f>
        <v>MDP0000261851</v>
      </c>
      <c r="D23222">
        <v>56.98</v>
      </c>
      <c r="E23222">
        <v>795</v>
      </c>
      <c r="F23222">
        <v>342</v>
      </c>
      <c r="G23222">
        <v>44</v>
      </c>
      <c r="H23222">
        <v>1</v>
      </c>
      <c r="I23222">
        <v>770</v>
      </c>
      <c r="J23222">
        <v>1</v>
      </c>
      <c r="K23222">
        <v>110</v>
      </c>
      <c r="L23222">
        <v>885</v>
      </c>
      <c r="M23222">
        <v>1</v>
      </c>
      <c r="N23222">
        <v>0</v>
      </c>
      <c r="O23222">
        <v>2338</v>
      </c>
    </row>
    <row r="23223" spans="1:15" x14ac:dyDescent="0.25">
      <c r="A23223" t="s">
        <v>23236</v>
      </c>
      <c r="B23223">
        <v>136</v>
      </c>
      <c r="C23223" s="1" t="str">
        <f>HYPERLINK("http://www.rosaceae.org/gb/gbrowse/malus_x_domestica/?name=MDP0000242913","MDP0000242913")</f>
        <v>MDP0000242913</v>
      </c>
      <c r="D23223">
        <v>97.77</v>
      </c>
      <c r="E23223">
        <v>135</v>
      </c>
      <c r="F23223">
        <v>3</v>
      </c>
      <c r="G23223">
        <v>0</v>
      </c>
      <c r="H23223">
        <v>1</v>
      </c>
      <c r="I23223">
        <v>135</v>
      </c>
      <c r="J23223">
        <v>1</v>
      </c>
      <c r="K23223">
        <v>38</v>
      </c>
      <c r="L23223">
        <v>172</v>
      </c>
      <c r="M23223">
        <v>1</v>
      </c>
      <c r="N23223">
        <v>5.8167600000000003E-77</v>
      </c>
      <c r="O23223">
        <v>722</v>
      </c>
    </row>
    <row r="23224" spans="1:15" x14ac:dyDescent="0.25">
      <c r="A23224" t="s">
        <v>23237</v>
      </c>
      <c r="B23224">
        <v>749</v>
      </c>
      <c r="C23224" s="1" t="str">
        <f>HYPERLINK("http://www.rosaceae.org/gb/gbrowse/malus_x_domestica/?name=MDP0000672731","MDP0000672731")</f>
        <v>MDP0000672731</v>
      </c>
      <c r="D23224">
        <v>63.57</v>
      </c>
      <c r="E23224">
        <v>313</v>
      </c>
      <c r="F23224">
        <v>114</v>
      </c>
      <c r="G23224">
        <v>17</v>
      </c>
      <c r="H23224">
        <v>110</v>
      </c>
      <c r="I23224">
        <v>422</v>
      </c>
      <c r="J23224">
        <v>1</v>
      </c>
      <c r="K23224">
        <v>30</v>
      </c>
      <c r="L23224">
        <v>325</v>
      </c>
      <c r="M23224">
        <v>1</v>
      </c>
      <c r="N23224">
        <v>1.7922999999999998E-111</v>
      </c>
      <c r="O23224">
        <v>1030</v>
      </c>
    </row>
    <row r="23225" spans="1:15" x14ac:dyDescent="0.25">
      <c r="A23225" t="s">
        <v>23238</v>
      </c>
      <c r="B23225">
        <v>357</v>
      </c>
      <c r="C23225" s="1" t="str">
        <f>HYPERLINK("http://www.rosaceae.org/gb/gbrowse/malus_x_domestica/?name=MDP0000131298","MDP0000131298")</f>
        <v>MDP0000131298</v>
      </c>
      <c r="D23225">
        <v>50</v>
      </c>
      <c r="E23225">
        <v>228</v>
      </c>
      <c r="F23225">
        <v>114</v>
      </c>
      <c r="G23225">
        <v>20</v>
      </c>
      <c r="H23225">
        <v>97</v>
      </c>
      <c r="I23225">
        <v>304</v>
      </c>
      <c r="J23225">
        <v>1</v>
      </c>
      <c r="K23225">
        <v>155</v>
      </c>
      <c r="L23225">
        <v>382</v>
      </c>
      <c r="M23225">
        <v>1</v>
      </c>
      <c r="N23225">
        <v>5.4395699999999995E-63</v>
      </c>
      <c r="O23225">
        <v>608</v>
      </c>
    </row>
    <row r="23226" spans="1:15" x14ac:dyDescent="0.25">
      <c r="A23226" t="s">
        <v>23239</v>
      </c>
      <c r="B23226">
        <v>260</v>
      </c>
      <c r="C23226" s="1" t="str">
        <f>HYPERLINK("http://www.rosaceae.org/gb/gbrowse/malus_x_domestica/?name=MDP0000329721","MDP0000329721")</f>
        <v>MDP0000329721</v>
      </c>
      <c r="D23226">
        <v>81.010000000000005</v>
      </c>
      <c r="E23226">
        <v>158</v>
      </c>
      <c r="F23226">
        <v>30</v>
      </c>
      <c r="G23226">
        <v>1</v>
      </c>
      <c r="H23226">
        <v>103</v>
      </c>
      <c r="I23226">
        <v>260</v>
      </c>
      <c r="J23226">
        <v>1</v>
      </c>
      <c r="K23226">
        <v>1</v>
      </c>
      <c r="L23226">
        <v>157</v>
      </c>
      <c r="M23226">
        <v>1</v>
      </c>
      <c r="N23226">
        <v>1.4962800000000001E-71</v>
      </c>
      <c r="O23226">
        <v>680</v>
      </c>
    </row>
    <row r="23227" spans="1:15" x14ac:dyDescent="0.25">
      <c r="A23227" t="s">
        <v>23240</v>
      </c>
      <c r="B23227">
        <v>324</v>
      </c>
      <c r="C23227" s="1" t="str">
        <f>HYPERLINK("http://www.rosaceae.org/gb/gbrowse/malus_x_domestica/?name=MDP0000456476","MDP0000456476")</f>
        <v>MDP0000456476</v>
      </c>
      <c r="D23227">
        <v>71.290000000000006</v>
      </c>
      <c r="E23227">
        <v>331</v>
      </c>
      <c r="F23227">
        <v>95</v>
      </c>
      <c r="G23227">
        <v>7</v>
      </c>
      <c r="H23227">
        <v>1</v>
      </c>
      <c r="I23227">
        <v>324</v>
      </c>
      <c r="J23227">
        <v>1</v>
      </c>
      <c r="K23227">
        <v>1</v>
      </c>
      <c r="L23227">
        <v>331</v>
      </c>
      <c r="M23227">
        <v>1</v>
      </c>
      <c r="N23227">
        <v>9.0346999999999996E-131</v>
      </c>
      <c r="O23227">
        <v>1192</v>
      </c>
    </row>
    <row r="23228" spans="1:15" x14ac:dyDescent="0.25">
      <c r="A23228" t="s">
        <v>23241</v>
      </c>
      <c r="B23228">
        <v>458</v>
      </c>
      <c r="C23228" s="1" t="str">
        <f>HYPERLINK("http://www.rosaceae.org/gb/gbrowse/malus_x_domestica/?name=MDP0000286576","MDP0000286576")</f>
        <v>MDP0000286576</v>
      </c>
      <c r="D23228">
        <v>28.5</v>
      </c>
      <c r="E23228">
        <v>214</v>
      </c>
      <c r="F23228">
        <v>153</v>
      </c>
      <c r="G23228">
        <v>34</v>
      </c>
      <c r="H23228">
        <v>234</v>
      </c>
      <c r="I23228">
        <v>430</v>
      </c>
      <c r="J23228">
        <v>1</v>
      </c>
      <c r="K23228">
        <v>235</v>
      </c>
      <c r="L23228">
        <v>431</v>
      </c>
      <c r="M23228">
        <v>1</v>
      </c>
      <c r="N23228">
        <v>5.65828E-8</v>
      </c>
      <c r="O23228">
        <v>135</v>
      </c>
    </row>
    <row r="23229" spans="1:15" x14ac:dyDescent="0.25">
      <c r="A23229" t="s">
        <v>23242</v>
      </c>
      <c r="B23229">
        <v>520</v>
      </c>
      <c r="C23229" s="1" t="str">
        <f>HYPERLINK("http://www.rosaceae.org/gb/gbrowse/malus_x_domestica/?name=MDP0000315480","MDP0000315480")</f>
        <v>MDP0000315480</v>
      </c>
      <c r="D23229">
        <v>85.77</v>
      </c>
      <c r="E23229">
        <v>506</v>
      </c>
      <c r="F23229">
        <v>72</v>
      </c>
      <c r="G23229">
        <v>3</v>
      </c>
      <c r="H23229">
        <v>1</v>
      </c>
      <c r="I23229">
        <v>505</v>
      </c>
      <c r="J23229">
        <v>1</v>
      </c>
      <c r="K23229">
        <v>1</v>
      </c>
      <c r="L23229">
        <v>504</v>
      </c>
      <c r="M23229">
        <v>1</v>
      </c>
      <c r="N23229">
        <v>0</v>
      </c>
      <c r="O23229">
        <v>2282</v>
      </c>
    </row>
    <row r="23230" spans="1:15" x14ac:dyDescent="0.25">
      <c r="A23230" t="s">
        <v>23243</v>
      </c>
      <c r="B23230">
        <v>476</v>
      </c>
      <c r="C23230" s="1" t="str">
        <f>HYPERLINK("http://www.rosaceae.org/gb/gbrowse/malus_x_domestica/?name=MDP0000479020","MDP0000479020")</f>
        <v>MDP0000479020</v>
      </c>
      <c r="D23230">
        <v>80.599999999999994</v>
      </c>
      <c r="E23230">
        <v>464</v>
      </c>
      <c r="F23230">
        <v>90</v>
      </c>
      <c r="G23230">
        <v>16</v>
      </c>
      <c r="H23230">
        <v>1</v>
      </c>
      <c r="I23230">
        <v>449</v>
      </c>
      <c r="J23230">
        <v>1</v>
      </c>
      <c r="K23230">
        <v>1</v>
      </c>
      <c r="L23230">
        <v>463</v>
      </c>
      <c r="M23230">
        <v>1</v>
      </c>
      <c r="N23230">
        <v>0</v>
      </c>
      <c r="O23230">
        <v>1934</v>
      </c>
    </row>
    <row r="23231" spans="1:15" x14ac:dyDescent="0.25">
      <c r="A23231" t="s">
        <v>23244</v>
      </c>
      <c r="B23231">
        <v>1160</v>
      </c>
      <c r="C23231" s="1" t="str">
        <f>HYPERLINK("http://www.rosaceae.org/gb/gbrowse/malus_x_domestica/?name=MDP0000888429","MDP0000888429")</f>
        <v>MDP0000888429</v>
      </c>
      <c r="D23231">
        <v>81.09</v>
      </c>
      <c r="E23231">
        <v>1164</v>
      </c>
      <c r="F23231">
        <v>220</v>
      </c>
      <c r="G23231">
        <v>7</v>
      </c>
      <c r="H23231">
        <v>1</v>
      </c>
      <c r="I23231">
        <v>1160</v>
      </c>
      <c r="J23231">
        <v>1</v>
      </c>
      <c r="K23231">
        <v>1</v>
      </c>
      <c r="L23231">
        <v>1161</v>
      </c>
      <c r="M23231">
        <v>1</v>
      </c>
      <c r="N23231">
        <v>0</v>
      </c>
      <c r="O23231">
        <v>5062</v>
      </c>
    </row>
    <row r="23232" spans="1:15" x14ac:dyDescent="0.25">
      <c r="A23232" t="s">
        <v>23245</v>
      </c>
      <c r="B23232">
        <v>581</v>
      </c>
      <c r="C23232" s="1" t="str">
        <f>HYPERLINK("http://www.rosaceae.org/gb/gbrowse/malus_x_domestica/?name=MDP0000167354","MDP0000167354")</f>
        <v>MDP0000167354</v>
      </c>
      <c r="D23232">
        <v>71.22</v>
      </c>
      <c r="E23232">
        <v>358</v>
      </c>
      <c r="F23232">
        <v>103</v>
      </c>
      <c r="G23232">
        <v>6</v>
      </c>
      <c r="H23232">
        <v>224</v>
      </c>
      <c r="I23232">
        <v>581</v>
      </c>
      <c r="J23232">
        <v>1</v>
      </c>
      <c r="K23232">
        <v>76</v>
      </c>
      <c r="L23232">
        <v>427</v>
      </c>
      <c r="M23232">
        <v>1</v>
      </c>
      <c r="N23232">
        <v>1.0729799999999999E-148</v>
      </c>
      <c r="O23232">
        <v>1349</v>
      </c>
    </row>
    <row r="23233" spans="1:15" x14ac:dyDescent="0.25">
      <c r="A23233" t="s">
        <v>23246</v>
      </c>
      <c r="B23233">
        <v>1007</v>
      </c>
      <c r="C23233" s="1" t="str">
        <f>HYPERLINK("http://www.rosaceae.org/gb/gbrowse/malus_x_domestica/?name=MDP0000071268","MDP0000071268")</f>
        <v>MDP0000071268</v>
      </c>
      <c r="D23233">
        <v>90.25</v>
      </c>
      <c r="E23233">
        <v>985</v>
      </c>
      <c r="F23233">
        <v>96</v>
      </c>
      <c r="G23233">
        <v>6</v>
      </c>
      <c r="H23233">
        <v>2</v>
      </c>
      <c r="I23233">
        <v>985</v>
      </c>
      <c r="J23233">
        <v>1</v>
      </c>
      <c r="K23233">
        <v>6</v>
      </c>
      <c r="L23233">
        <v>985</v>
      </c>
      <c r="M23233">
        <v>1</v>
      </c>
      <c r="N23233">
        <v>0</v>
      </c>
      <c r="O23233">
        <v>4773</v>
      </c>
    </row>
    <row r="23234" spans="1:15" x14ac:dyDescent="0.25">
      <c r="A23234" t="s">
        <v>23247</v>
      </c>
      <c r="B23234">
        <v>247</v>
      </c>
      <c r="C23234" s="1" t="str">
        <f>HYPERLINK("http://www.rosaceae.org/gb/gbrowse/malus_x_domestica/?name=MDP0000183712","MDP0000183712")</f>
        <v>MDP0000183712</v>
      </c>
      <c r="D23234">
        <v>37.68</v>
      </c>
      <c r="E23234">
        <v>69</v>
      </c>
      <c r="F23234">
        <v>43</v>
      </c>
      <c r="G23234">
        <v>0</v>
      </c>
      <c r="H23234">
        <v>134</v>
      </c>
      <c r="I23234">
        <v>202</v>
      </c>
      <c r="J23234">
        <v>1</v>
      </c>
      <c r="K23234">
        <v>93</v>
      </c>
      <c r="L23234">
        <v>161</v>
      </c>
      <c r="M23234">
        <v>1</v>
      </c>
      <c r="N23234">
        <v>1.6812100000000001E-8</v>
      </c>
      <c r="O23234">
        <v>136</v>
      </c>
    </row>
    <row r="23235" spans="1:15" x14ac:dyDescent="0.25">
      <c r="A23235" t="s">
        <v>23248</v>
      </c>
      <c r="B23235">
        <v>241</v>
      </c>
      <c r="C23235" s="1" t="str">
        <f>HYPERLINK("http://www.rosaceae.org/gb/gbrowse/malus_x_domestica/?name=MDP0000310987","MDP0000310987")</f>
        <v>MDP0000310987</v>
      </c>
      <c r="D23235">
        <v>66.52</v>
      </c>
      <c r="E23235">
        <v>230</v>
      </c>
      <c r="F23235">
        <v>77</v>
      </c>
      <c r="G23235">
        <v>4</v>
      </c>
      <c r="H23235">
        <v>13</v>
      </c>
      <c r="I23235">
        <v>238</v>
      </c>
      <c r="J23235">
        <v>1</v>
      </c>
      <c r="K23235">
        <v>367</v>
      </c>
      <c r="L23235">
        <v>596</v>
      </c>
      <c r="M23235">
        <v>1</v>
      </c>
      <c r="N23235">
        <v>2.8542000000000002E-81</v>
      </c>
      <c r="O23235">
        <v>764</v>
      </c>
    </row>
    <row r="23236" spans="1:15" x14ac:dyDescent="0.25">
      <c r="A23236" t="s">
        <v>23249</v>
      </c>
      <c r="B23236">
        <v>353</v>
      </c>
      <c r="C23236" s="1" t="str">
        <f>HYPERLINK("http://www.rosaceae.org/gb/gbrowse/malus_x_domestica/?name=MDP0000709988","MDP0000709988")</f>
        <v>MDP0000709988</v>
      </c>
      <c r="D23236">
        <v>72.66</v>
      </c>
      <c r="E23236">
        <v>278</v>
      </c>
      <c r="F23236">
        <v>76</v>
      </c>
      <c r="G23236">
        <v>4</v>
      </c>
      <c r="H23236">
        <v>1</v>
      </c>
      <c r="I23236">
        <v>276</v>
      </c>
      <c r="J23236">
        <v>1</v>
      </c>
      <c r="K23236">
        <v>1</v>
      </c>
      <c r="L23236">
        <v>276</v>
      </c>
      <c r="M23236">
        <v>1</v>
      </c>
      <c r="N23236">
        <v>9.3078799999999997E-110</v>
      </c>
      <c r="O23236">
        <v>1011</v>
      </c>
    </row>
    <row r="23237" spans="1:15" x14ac:dyDescent="0.25">
      <c r="A23237" t="s">
        <v>23250</v>
      </c>
      <c r="B23237">
        <v>230</v>
      </c>
      <c r="C23237" s="1" t="str">
        <f>HYPERLINK("http://www.rosaceae.org/gb/gbrowse/malus_x_domestica/?name=MDP0000148952","MDP0000148952")</f>
        <v>MDP0000148952</v>
      </c>
      <c r="D23237">
        <v>88.52</v>
      </c>
      <c r="E23237">
        <v>183</v>
      </c>
      <c r="F23237">
        <v>21</v>
      </c>
      <c r="G23237">
        <v>1</v>
      </c>
      <c r="H23237">
        <v>49</v>
      </c>
      <c r="I23237">
        <v>230</v>
      </c>
      <c r="J23237">
        <v>1</v>
      </c>
      <c r="K23237">
        <v>51</v>
      </c>
      <c r="L23237">
        <v>233</v>
      </c>
      <c r="M23237">
        <v>1</v>
      </c>
      <c r="N23237">
        <v>2.8363000000000001E-90</v>
      </c>
      <c r="O23237">
        <v>841</v>
      </c>
    </row>
    <row r="23238" spans="1:15" x14ac:dyDescent="0.25">
      <c r="A23238" t="s">
        <v>23251</v>
      </c>
      <c r="B23238">
        <v>156</v>
      </c>
      <c r="C23238" s="1" t="str">
        <f>HYPERLINK("http://www.rosaceae.org/gb/gbrowse/malus_x_domestica/?name=MDP0000249183","MDP0000249183")</f>
        <v>MDP0000249183</v>
      </c>
      <c r="D23238">
        <v>68.88</v>
      </c>
      <c r="E23238">
        <v>135</v>
      </c>
      <c r="F23238">
        <v>42</v>
      </c>
      <c r="G23238">
        <v>0</v>
      </c>
      <c r="H23238">
        <v>22</v>
      </c>
      <c r="I23238">
        <v>156</v>
      </c>
      <c r="J23238">
        <v>1</v>
      </c>
      <c r="K23238">
        <v>88</v>
      </c>
      <c r="L23238">
        <v>222</v>
      </c>
      <c r="M23238">
        <v>1</v>
      </c>
      <c r="N23238">
        <v>6.7560599999999999E-46</v>
      </c>
      <c r="O23238">
        <v>455</v>
      </c>
    </row>
    <row r="23239" spans="1:15" x14ac:dyDescent="0.25">
      <c r="A23239" t="s">
        <v>23252</v>
      </c>
      <c r="B23239">
        <v>398</v>
      </c>
      <c r="C23239" s="1" t="str">
        <f>HYPERLINK("http://www.rosaceae.org/gb/gbrowse/malus_x_domestica/?name=MDP0000752092","MDP0000752092")</f>
        <v>MDP0000752092</v>
      </c>
      <c r="D23239">
        <v>56.04</v>
      </c>
      <c r="E23239">
        <v>389</v>
      </c>
      <c r="F23239">
        <v>171</v>
      </c>
      <c r="G23239">
        <v>12</v>
      </c>
      <c r="H23239">
        <v>15</v>
      </c>
      <c r="I23239">
        <v>396</v>
      </c>
      <c r="J23239">
        <v>1</v>
      </c>
      <c r="K23239">
        <v>3</v>
      </c>
      <c r="L23239">
        <v>386</v>
      </c>
      <c r="M23239">
        <v>1</v>
      </c>
      <c r="N23239">
        <v>2.0537499999999999E-119</v>
      </c>
      <c r="O23239">
        <v>1095</v>
      </c>
    </row>
    <row r="23240" spans="1:15" x14ac:dyDescent="0.25">
      <c r="A23240" t="s">
        <v>23253</v>
      </c>
      <c r="B23240">
        <v>320</v>
      </c>
      <c r="C23240" s="1" t="str">
        <f>HYPERLINK("http://www.rosaceae.org/gb/gbrowse/malus_x_domestica/?name=MDP0000319933","MDP0000319933")</f>
        <v>MDP0000319933</v>
      </c>
      <c r="D23240">
        <v>66.77</v>
      </c>
      <c r="E23240">
        <v>313</v>
      </c>
      <c r="F23240">
        <v>104</v>
      </c>
      <c r="G23240">
        <v>7</v>
      </c>
      <c r="H23240">
        <v>1</v>
      </c>
      <c r="I23240">
        <v>310</v>
      </c>
      <c r="J23240">
        <v>1</v>
      </c>
      <c r="K23240">
        <v>1</v>
      </c>
      <c r="L23240">
        <v>309</v>
      </c>
      <c r="M23240">
        <v>1</v>
      </c>
      <c r="N23240">
        <v>1.34089E-115</v>
      </c>
      <c r="O23240">
        <v>1061</v>
      </c>
    </row>
    <row r="23241" spans="1:15" x14ac:dyDescent="0.25">
      <c r="A23241" t="s">
        <v>23254</v>
      </c>
      <c r="B23241">
        <v>145</v>
      </c>
      <c r="C23241" s="1" t="str">
        <f>HYPERLINK("http://www.rosaceae.org/gb/gbrowse/malus_x_domestica/?name=MDP0000320866","MDP0000320866")</f>
        <v>MDP0000320866</v>
      </c>
      <c r="D23241">
        <v>51.07</v>
      </c>
      <c r="E23241">
        <v>139</v>
      </c>
      <c r="F23241">
        <v>68</v>
      </c>
      <c r="G23241">
        <v>4</v>
      </c>
      <c r="H23241">
        <v>1</v>
      </c>
      <c r="I23241">
        <v>138</v>
      </c>
      <c r="J23241">
        <v>1</v>
      </c>
      <c r="K23241">
        <v>694</v>
      </c>
      <c r="L23241">
        <v>829</v>
      </c>
      <c r="M23241">
        <v>1</v>
      </c>
      <c r="N23241">
        <v>8.5667900000000004E-32</v>
      </c>
      <c r="O23241">
        <v>333</v>
      </c>
    </row>
    <row r="23242" spans="1:15" x14ac:dyDescent="0.25">
      <c r="A23242" t="s">
        <v>23255</v>
      </c>
      <c r="B23242">
        <v>266</v>
      </c>
      <c r="C23242" s="1" t="str">
        <f>HYPERLINK("http://www.rosaceae.org/gb/gbrowse/malus_x_domestica/?name=MDP0000299648","MDP0000299648")</f>
        <v>MDP0000299648</v>
      </c>
      <c r="D23242">
        <v>62.31</v>
      </c>
      <c r="E23242">
        <v>69</v>
      </c>
      <c r="F23242">
        <v>26</v>
      </c>
      <c r="G23242">
        <v>0</v>
      </c>
      <c r="H23242">
        <v>130</v>
      </c>
      <c r="I23242">
        <v>198</v>
      </c>
      <c r="J23242">
        <v>1</v>
      </c>
      <c r="K23242">
        <v>494</v>
      </c>
      <c r="L23242">
        <v>562</v>
      </c>
      <c r="M23242">
        <v>1</v>
      </c>
      <c r="N23242">
        <v>1.4852099999999999E-18</v>
      </c>
      <c r="O23242">
        <v>223</v>
      </c>
    </row>
    <row r="23243" spans="1:15" x14ac:dyDescent="0.25">
      <c r="A23243" t="s">
        <v>23256</v>
      </c>
      <c r="B23243">
        <v>764</v>
      </c>
      <c r="C23243" s="1" t="str">
        <f>HYPERLINK("http://www.rosaceae.org/gb/gbrowse/malus_x_domestica/?name=MDP0000195916","MDP0000195916")</f>
        <v>MDP0000195916</v>
      </c>
      <c r="D23243">
        <v>79.3</v>
      </c>
      <c r="E23243">
        <v>749</v>
      </c>
      <c r="F23243">
        <v>155</v>
      </c>
      <c r="G23243">
        <v>4</v>
      </c>
      <c r="H23243">
        <v>17</v>
      </c>
      <c r="I23243">
        <v>762</v>
      </c>
      <c r="J23243">
        <v>1</v>
      </c>
      <c r="K23243">
        <v>17</v>
      </c>
      <c r="L23243">
        <v>764</v>
      </c>
      <c r="M23243">
        <v>1</v>
      </c>
      <c r="N23243">
        <v>0</v>
      </c>
      <c r="O23243">
        <v>3156</v>
      </c>
    </row>
    <row r="23244" spans="1:15" x14ac:dyDescent="0.25">
      <c r="A23244" t="s">
        <v>23257</v>
      </c>
      <c r="B23244">
        <v>152</v>
      </c>
      <c r="C23244" s="1" t="str">
        <f>HYPERLINK("http://www.rosaceae.org/gb/gbrowse/malus_x_domestica/?name=MDP0000317700","MDP0000317700")</f>
        <v>MDP0000317700</v>
      </c>
      <c r="D23244">
        <v>41.88</v>
      </c>
      <c r="E23244">
        <v>117</v>
      </c>
      <c r="F23244">
        <v>68</v>
      </c>
      <c r="G23244">
        <v>18</v>
      </c>
      <c r="H23244">
        <v>1</v>
      </c>
      <c r="I23244">
        <v>108</v>
      </c>
      <c r="J23244">
        <v>1</v>
      </c>
      <c r="K23244">
        <v>251</v>
      </c>
      <c r="L23244">
        <v>358</v>
      </c>
      <c r="M23244">
        <v>1</v>
      </c>
      <c r="N23244">
        <v>2.1235400000000001E-20</v>
      </c>
      <c r="O23244">
        <v>235</v>
      </c>
    </row>
    <row r="23245" spans="1:15" x14ac:dyDescent="0.25">
      <c r="A23245" t="s">
        <v>23258</v>
      </c>
      <c r="B23245">
        <v>713</v>
      </c>
      <c r="C23245" s="1" t="str">
        <f>HYPERLINK("http://www.rosaceae.org/gb/gbrowse/malus_x_domestica/?name=MDP0000204794","MDP0000204794")</f>
        <v>MDP0000204794</v>
      </c>
      <c r="D23245">
        <v>28.34</v>
      </c>
      <c r="E23245">
        <v>247</v>
      </c>
      <c r="F23245">
        <v>177</v>
      </c>
      <c r="G23245">
        <v>15</v>
      </c>
      <c r="H23245">
        <v>1</v>
      </c>
      <c r="I23245">
        <v>244</v>
      </c>
      <c r="J23245">
        <v>1</v>
      </c>
      <c r="K23245">
        <v>314</v>
      </c>
      <c r="L23245">
        <v>548</v>
      </c>
      <c r="M23245">
        <v>1</v>
      </c>
      <c r="N23245">
        <v>9.9937500000000004E-27</v>
      </c>
      <c r="O23245">
        <v>299</v>
      </c>
    </row>
    <row r="23246" spans="1:15" x14ac:dyDescent="0.25">
      <c r="A23246" t="s">
        <v>23259</v>
      </c>
      <c r="B23246">
        <v>267</v>
      </c>
      <c r="C23246" s="1" t="str">
        <f>HYPERLINK("http://www.rosaceae.org/gb/gbrowse/malus_x_domestica/?name=MDP0000293051","MDP0000293051")</f>
        <v>MDP0000293051</v>
      </c>
      <c r="D23246">
        <v>91.76</v>
      </c>
      <c r="E23246">
        <v>267</v>
      </c>
      <c r="F23246">
        <v>22</v>
      </c>
      <c r="G23246">
        <v>2</v>
      </c>
      <c r="H23246">
        <v>1</v>
      </c>
      <c r="I23246">
        <v>267</v>
      </c>
      <c r="J23246">
        <v>1</v>
      </c>
      <c r="K23246">
        <v>1</v>
      </c>
      <c r="L23246">
        <v>265</v>
      </c>
      <c r="M23246">
        <v>1</v>
      </c>
      <c r="N23246">
        <v>5.90318E-143</v>
      </c>
      <c r="O23246">
        <v>1296</v>
      </c>
    </row>
    <row r="23247" spans="1:15" x14ac:dyDescent="0.25">
      <c r="A23247" t="s">
        <v>23260</v>
      </c>
      <c r="B23247">
        <v>517</v>
      </c>
      <c r="C23247" s="1" t="str">
        <f>HYPERLINK("http://www.rosaceae.org/gb/gbrowse/malus_x_domestica/?name=MDP0000700517","MDP0000700517")</f>
        <v>MDP0000700517</v>
      </c>
      <c r="D23247">
        <v>28.11</v>
      </c>
      <c r="E23247">
        <v>217</v>
      </c>
      <c r="F23247">
        <v>156</v>
      </c>
      <c r="G23247">
        <v>13</v>
      </c>
      <c r="H23247">
        <v>299</v>
      </c>
      <c r="I23247">
        <v>502</v>
      </c>
      <c r="J23247">
        <v>1</v>
      </c>
      <c r="K23247">
        <v>91</v>
      </c>
      <c r="L23247">
        <v>307</v>
      </c>
      <c r="M23247">
        <v>1</v>
      </c>
      <c r="N23247">
        <v>1.9861900000000001E-18</v>
      </c>
      <c r="O23247">
        <v>226</v>
      </c>
    </row>
    <row r="23248" spans="1:15" x14ac:dyDescent="0.25">
      <c r="A23248" t="s">
        <v>23261</v>
      </c>
      <c r="B23248">
        <v>320</v>
      </c>
      <c r="C23248" s="1" t="str">
        <f>HYPERLINK("http://www.rosaceae.org/gb/gbrowse/malus_x_domestica/?name=MDP0000485715","MDP0000485715")</f>
        <v>MDP0000485715</v>
      </c>
      <c r="D23248">
        <v>26.69</v>
      </c>
      <c r="E23248">
        <v>206</v>
      </c>
      <c r="F23248">
        <v>151</v>
      </c>
      <c r="G23248">
        <v>35</v>
      </c>
      <c r="H23248">
        <v>122</v>
      </c>
      <c r="I23248">
        <v>296</v>
      </c>
      <c r="J23248">
        <v>1</v>
      </c>
      <c r="K23248">
        <v>88</v>
      </c>
      <c r="L23248">
        <v>289</v>
      </c>
      <c r="M23248">
        <v>1</v>
      </c>
      <c r="N23248">
        <v>1.8806599999999999E-13</v>
      </c>
      <c r="O23248">
        <v>180</v>
      </c>
    </row>
    <row r="23249" spans="1:15" x14ac:dyDescent="0.25">
      <c r="A23249" t="s">
        <v>23262</v>
      </c>
      <c r="B23249">
        <v>649</v>
      </c>
      <c r="C23249" s="1" t="str">
        <f>HYPERLINK("http://www.rosaceae.org/gb/gbrowse/malus_x_domestica/?name=MDP0000306640","MDP0000306640")</f>
        <v>MDP0000306640</v>
      </c>
      <c r="D23249">
        <v>70.63</v>
      </c>
      <c r="E23249">
        <v>269</v>
      </c>
      <c r="F23249">
        <v>79</v>
      </c>
      <c r="G23249">
        <v>2</v>
      </c>
      <c r="H23249">
        <v>341</v>
      </c>
      <c r="I23249">
        <v>607</v>
      </c>
      <c r="J23249">
        <v>1</v>
      </c>
      <c r="K23249">
        <v>495</v>
      </c>
      <c r="L23249">
        <v>763</v>
      </c>
      <c r="M23249">
        <v>1</v>
      </c>
      <c r="N23249">
        <v>4.4211799999999998E-112</v>
      </c>
      <c r="O23249">
        <v>1034</v>
      </c>
    </row>
    <row r="23250" spans="1:15" x14ac:dyDescent="0.25">
      <c r="A23250" t="s">
        <v>23263</v>
      </c>
      <c r="B23250">
        <v>1122</v>
      </c>
      <c r="C23250" s="1" t="str">
        <f>HYPERLINK("http://www.rosaceae.org/gb/gbrowse/malus_x_domestica/?name=MDP0000857732","MDP0000857732")</f>
        <v>MDP0000857732</v>
      </c>
      <c r="D23250">
        <v>68.59</v>
      </c>
      <c r="E23250">
        <v>1108</v>
      </c>
      <c r="F23250">
        <v>348</v>
      </c>
      <c r="G23250">
        <v>86</v>
      </c>
      <c r="H23250">
        <v>1</v>
      </c>
      <c r="I23250">
        <v>1067</v>
      </c>
      <c r="J23250">
        <v>1</v>
      </c>
      <c r="K23250">
        <v>1</v>
      </c>
      <c r="L23250">
        <v>1063</v>
      </c>
      <c r="M23250">
        <v>1</v>
      </c>
      <c r="N23250">
        <v>0</v>
      </c>
      <c r="O23250">
        <v>3792</v>
      </c>
    </row>
    <row r="23251" spans="1:15" x14ac:dyDescent="0.25">
      <c r="A23251" t="s">
        <v>23264</v>
      </c>
      <c r="B23251">
        <v>275</v>
      </c>
      <c r="C23251" s="1" t="str">
        <f>HYPERLINK("http://www.rosaceae.org/gb/gbrowse/malus_x_domestica/?name=MDP0000314584","MDP0000314584")</f>
        <v>MDP0000314584</v>
      </c>
      <c r="D23251">
        <v>78.83</v>
      </c>
      <c r="E23251">
        <v>274</v>
      </c>
      <c r="F23251">
        <v>58</v>
      </c>
      <c r="G23251">
        <v>0</v>
      </c>
      <c r="H23251">
        <v>2</v>
      </c>
      <c r="I23251">
        <v>275</v>
      </c>
      <c r="J23251">
        <v>1</v>
      </c>
      <c r="K23251">
        <v>12</v>
      </c>
      <c r="L23251">
        <v>285</v>
      </c>
      <c r="M23251">
        <v>1</v>
      </c>
      <c r="N23251">
        <v>1.1727E-125</v>
      </c>
      <c r="O23251">
        <v>1147</v>
      </c>
    </row>
    <row r="23252" spans="1:15" x14ac:dyDescent="0.25">
      <c r="A23252" t="s">
        <v>23265</v>
      </c>
      <c r="B23252">
        <v>149</v>
      </c>
      <c r="C23252" s="1" t="str">
        <f>HYPERLINK("http://www.rosaceae.org/gb/gbrowse/malus_x_domestica/?name=MDP0000298074","MDP0000298074")</f>
        <v>MDP0000298074</v>
      </c>
      <c r="D23252">
        <v>90.81</v>
      </c>
      <c r="E23252">
        <v>98</v>
      </c>
      <c r="F23252">
        <v>9</v>
      </c>
      <c r="G23252">
        <v>0</v>
      </c>
      <c r="H23252">
        <v>52</v>
      </c>
      <c r="I23252">
        <v>149</v>
      </c>
      <c r="J23252">
        <v>1</v>
      </c>
      <c r="K23252">
        <v>39</v>
      </c>
      <c r="L23252">
        <v>136</v>
      </c>
      <c r="M23252">
        <v>1</v>
      </c>
      <c r="N23252">
        <v>6.9805500000000001E-49</v>
      </c>
      <c r="O23252">
        <v>481</v>
      </c>
    </row>
    <row r="23253" spans="1:15" x14ac:dyDescent="0.25">
      <c r="A23253" t="s">
        <v>23266</v>
      </c>
      <c r="B23253">
        <v>396</v>
      </c>
      <c r="C23253" s="1" t="str">
        <f>HYPERLINK("http://www.rosaceae.org/gb/gbrowse/malus_x_domestica/?name=MDP0000500222","MDP0000500222")</f>
        <v>MDP0000500222</v>
      </c>
      <c r="D23253">
        <v>31.65</v>
      </c>
      <c r="E23253">
        <v>398</v>
      </c>
      <c r="F23253">
        <v>272</v>
      </c>
      <c r="G23253">
        <v>65</v>
      </c>
      <c r="H23253">
        <v>11</v>
      </c>
      <c r="I23253">
        <v>393</v>
      </c>
      <c r="J23253">
        <v>1</v>
      </c>
      <c r="K23253">
        <v>73</v>
      </c>
      <c r="L23253">
        <v>420</v>
      </c>
      <c r="M23253">
        <v>1</v>
      </c>
      <c r="N23253">
        <v>8.7833000000000003E-33</v>
      </c>
      <c r="O23253">
        <v>348</v>
      </c>
    </row>
    <row r="23254" spans="1:15" x14ac:dyDescent="0.25">
      <c r="A23254" t="s">
        <v>23267</v>
      </c>
      <c r="B23254">
        <v>1865</v>
      </c>
      <c r="C23254" s="1" t="str">
        <f>HYPERLINK("http://www.rosaceae.org/gb/gbrowse/malus_x_domestica/?name=MDP0000703059","MDP0000703059")</f>
        <v>MDP0000703059</v>
      </c>
      <c r="D23254">
        <v>73.17</v>
      </c>
      <c r="E23254">
        <v>932</v>
      </c>
      <c r="F23254">
        <v>250</v>
      </c>
      <c r="G23254">
        <v>61</v>
      </c>
      <c r="H23254">
        <v>988</v>
      </c>
      <c r="I23254">
        <v>1865</v>
      </c>
      <c r="J23254">
        <v>1</v>
      </c>
      <c r="K23254">
        <v>2</v>
      </c>
      <c r="L23254">
        <v>926</v>
      </c>
      <c r="M23254">
        <v>1</v>
      </c>
      <c r="N23254">
        <v>0</v>
      </c>
      <c r="O23254">
        <v>3480</v>
      </c>
    </row>
    <row r="23255" spans="1:15" x14ac:dyDescent="0.25">
      <c r="A23255" t="s">
        <v>23268</v>
      </c>
      <c r="B23255">
        <v>683</v>
      </c>
      <c r="C23255" s="1" t="str">
        <f>HYPERLINK("http://www.rosaceae.org/gb/gbrowse/malus_x_domestica/?name=MDP0000832457","MDP0000832457")</f>
        <v>MDP0000832457</v>
      </c>
      <c r="D23255">
        <v>50.66</v>
      </c>
      <c r="E23255">
        <v>448</v>
      </c>
      <c r="F23255">
        <v>221</v>
      </c>
      <c r="G23255">
        <v>80</v>
      </c>
      <c r="H23255">
        <v>275</v>
      </c>
      <c r="I23255">
        <v>682</v>
      </c>
      <c r="J23255">
        <v>1</v>
      </c>
      <c r="K23255">
        <v>302</v>
      </c>
      <c r="L23255">
        <v>709</v>
      </c>
      <c r="M23255">
        <v>1</v>
      </c>
      <c r="N23255">
        <v>1.1085E-87</v>
      </c>
      <c r="O23255">
        <v>824</v>
      </c>
    </row>
    <row r="23256" spans="1:15" x14ac:dyDescent="0.25">
      <c r="A23256" t="s">
        <v>23269</v>
      </c>
      <c r="B23256">
        <v>502</v>
      </c>
      <c r="C23256" s="1" t="str">
        <f>HYPERLINK("http://www.rosaceae.org/gb/gbrowse/malus_x_domestica/?name=MDP0000208546","MDP0000208546")</f>
        <v>MDP0000208546</v>
      </c>
      <c r="D23256">
        <v>75.52</v>
      </c>
      <c r="E23256">
        <v>523</v>
      </c>
      <c r="F23256">
        <v>128</v>
      </c>
      <c r="G23256">
        <v>25</v>
      </c>
      <c r="H23256">
        <v>1</v>
      </c>
      <c r="I23256">
        <v>498</v>
      </c>
      <c r="J23256">
        <v>1</v>
      </c>
      <c r="K23256">
        <v>1</v>
      </c>
      <c r="L23256">
        <v>523</v>
      </c>
      <c r="M23256">
        <v>1</v>
      </c>
      <c r="N23256">
        <v>0</v>
      </c>
      <c r="O23256">
        <v>2044</v>
      </c>
    </row>
    <row r="23257" spans="1:15" x14ac:dyDescent="0.25">
      <c r="A23257" t="s">
        <v>23270</v>
      </c>
      <c r="B23257">
        <v>262</v>
      </c>
      <c r="C23257" s="1" t="str">
        <f>HYPERLINK("http://www.rosaceae.org/gb/gbrowse/malus_x_domestica/?name=MDP0000289041","MDP0000289041")</f>
        <v>MDP0000289041</v>
      </c>
      <c r="D23257">
        <v>80.88</v>
      </c>
      <c r="E23257">
        <v>204</v>
      </c>
      <c r="F23257">
        <v>39</v>
      </c>
      <c r="G23257">
        <v>2</v>
      </c>
      <c r="H23257">
        <v>1</v>
      </c>
      <c r="I23257">
        <v>202</v>
      </c>
      <c r="J23257">
        <v>1</v>
      </c>
      <c r="K23257">
        <v>1</v>
      </c>
      <c r="L23257">
        <v>204</v>
      </c>
      <c r="M23257">
        <v>1</v>
      </c>
      <c r="N23257">
        <v>8.2512200000000005E-96</v>
      </c>
      <c r="O23257">
        <v>889</v>
      </c>
    </row>
    <row r="23258" spans="1:15" x14ac:dyDescent="0.25">
      <c r="A23258" t="s">
        <v>23271</v>
      </c>
      <c r="B23258">
        <v>947</v>
      </c>
      <c r="C23258" s="1" t="str">
        <f>HYPERLINK("http://www.rosaceae.org/gb/gbrowse/malus_x_domestica/?name=MDP0000197828","MDP0000197828")</f>
        <v>MDP0000197828</v>
      </c>
      <c r="D23258">
        <v>71.650000000000006</v>
      </c>
      <c r="E23258">
        <v>561</v>
      </c>
      <c r="F23258">
        <v>159</v>
      </c>
      <c r="G23258">
        <v>15</v>
      </c>
      <c r="H23258">
        <v>1</v>
      </c>
      <c r="I23258">
        <v>557</v>
      </c>
      <c r="J23258">
        <v>1</v>
      </c>
      <c r="K23258">
        <v>200</v>
      </c>
      <c r="L23258">
        <v>749</v>
      </c>
      <c r="M23258">
        <v>1</v>
      </c>
      <c r="N23258">
        <v>0</v>
      </c>
      <c r="O23258">
        <v>2113</v>
      </c>
    </row>
    <row r="23259" spans="1:15" x14ac:dyDescent="0.25">
      <c r="A23259" t="s">
        <v>23272</v>
      </c>
      <c r="B23259">
        <v>152</v>
      </c>
      <c r="C23259" s="1" t="str">
        <f>HYPERLINK("http://www.rosaceae.org/gb/gbrowse/malus_x_domestica/?name=MDP0000272292","MDP0000272292")</f>
        <v>MDP0000272292</v>
      </c>
      <c r="D23259">
        <v>99.34</v>
      </c>
      <c r="E23259">
        <v>152</v>
      </c>
      <c r="F23259">
        <v>1</v>
      </c>
      <c r="G23259">
        <v>0</v>
      </c>
      <c r="H23259">
        <v>1</v>
      </c>
      <c r="I23259">
        <v>152</v>
      </c>
      <c r="J23259">
        <v>1</v>
      </c>
      <c r="K23259">
        <v>1</v>
      </c>
      <c r="L23259">
        <v>152</v>
      </c>
      <c r="M23259">
        <v>1</v>
      </c>
      <c r="N23259">
        <v>6.9831700000000004E-87</v>
      </c>
      <c r="O23259">
        <v>809</v>
      </c>
    </row>
    <row r="23260" spans="1:15" x14ac:dyDescent="0.25">
      <c r="A23260" t="s">
        <v>23273</v>
      </c>
      <c r="B23260">
        <v>281</v>
      </c>
      <c r="C23260" s="1" t="str">
        <f>HYPERLINK("http://www.rosaceae.org/gb/gbrowse/malus_x_domestica/?name=MDP0000296128","MDP0000296128")</f>
        <v>MDP0000296128</v>
      </c>
      <c r="D23260">
        <v>45</v>
      </c>
      <c r="E23260">
        <v>100</v>
      </c>
      <c r="F23260">
        <v>55</v>
      </c>
      <c r="G23260">
        <v>10</v>
      </c>
      <c r="H23260">
        <v>191</v>
      </c>
      <c r="I23260">
        <v>280</v>
      </c>
      <c r="J23260">
        <v>1</v>
      </c>
      <c r="K23260">
        <v>247</v>
      </c>
      <c r="L23260">
        <v>346</v>
      </c>
      <c r="M23260">
        <v>1</v>
      </c>
      <c r="N23260">
        <v>1.6905999999999999E-17</v>
      </c>
      <c r="O23260">
        <v>215</v>
      </c>
    </row>
    <row r="23261" spans="1:15" x14ac:dyDescent="0.25">
      <c r="A23261" t="s">
        <v>23274</v>
      </c>
      <c r="B23261">
        <v>295</v>
      </c>
      <c r="C23261" s="1" t="str">
        <f>HYPERLINK("http://www.rosaceae.org/gb/gbrowse/malus_x_domestica/?name=MDP0000332261","MDP0000332261")</f>
        <v>MDP0000332261</v>
      </c>
      <c r="D23261">
        <v>77.11</v>
      </c>
      <c r="E23261">
        <v>201</v>
      </c>
      <c r="F23261">
        <v>46</v>
      </c>
      <c r="G23261">
        <v>5</v>
      </c>
      <c r="H23261">
        <v>52</v>
      </c>
      <c r="I23261">
        <v>248</v>
      </c>
      <c r="J23261">
        <v>1</v>
      </c>
      <c r="K23261">
        <v>1</v>
      </c>
      <c r="L23261">
        <v>200</v>
      </c>
      <c r="M23261">
        <v>1</v>
      </c>
      <c r="N23261">
        <v>1.0047E-84</v>
      </c>
      <c r="O23261">
        <v>795</v>
      </c>
    </row>
    <row r="23262" spans="1:15" x14ac:dyDescent="0.25">
      <c r="A23262" t="s">
        <v>23275</v>
      </c>
      <c r="B23262">
        <v>772</v>
      </c>
      <c r="C23262" s="1" t="str">
        <f>HYPERLINK("http://www.rosaceae.org/gb/gbrowse/malus_x_domestica/?name=MDP0000533216","MDP0000533216")</f>
        <v>MDP0000533216</v>
      </c>
      <c r="D23262">
        <v>39.1</v>
      </c>
      <c r="E23262">
        <v>964</v>
      </c>
      <c r="F23262">
        <v>587</v>
      </c>
      <c r="G23262">
        <v>249</v>
      </c>
      <c r="H23262">
        <v>23</v>
      </c>
      <c r="I23262">
        <v>755</v>
      </c>
      <c r="J23262">
        <v>1</v>
      </c>
      <c r="K23262">
        <v>71</v>
      </c>
      <c r="L23262">
        <v>1016</v>
      </c>
      <c r="M23262">
        <v>1</v>
      </c>
      <c r="N23262">
        <v>1.2122200000000001E-143</v>
      </c>
      <c r="O23262">
        <v>1307</v>
      </c>
    </row>
    <row r="23263" spans="1:15" x14ac:dyDescent="0.25">
      <c r="A23263" t="s">
        <v>23276</v>
      </c>
      <c r="B23263">
        <v>99</v>
      </c>
      <c r="C23263" s="1" t="str">
        <f>HYPERLINK("http://www.rosaceae.org/gb/gbrowse/malus_x_domestica/?name=MDP0000555752","MDP0000555752")</f>
        <v>MDP0000555752</v>
      </c>
      <c r="D23263">
        <v>62.62</v>
      </c>
      <c r="E23263">
        <v>99</v>
      </c>
      <c r="F23263">
        <v>37</v>
      </c>
      <c r="G23263">
        <v>1</v>
      </c>
      <c r="H23263">
        <v>1</v>
      </c>
      <c r="I23263">
        <v>99</v>
      </c>
      <c r="J23263">
        <v>1</v>
      </c>
      <c r="K23263">
        <v>83</v>
      </c>
      <c r="L23263">
        <v>180</v>
      </c>
      <c r="M23263">
        <v>1</v>
      </c>
      <c r="N23263">
        <v>3.5027800000000002E-29</v>
      </c>
      <c r="O23263">
        <v>309</v>
      </c>
    </row>
    <row r="23264" spans="1:15" x14ac:dyDescent="0.25">
      <c r="A23264" t="s">
        <v>23277</v>
      </c>
      <c r="B23264">
        <v>125</v>
      </c>
      <c r="C23264" s="1" t="str">
        <f>HYPERLINK("http://www.rosaceae.org/gb/gbrowse/malus_x_domestica/?name=MDP0000175839","MDP0000175839")</f>
        <v>MDP0000175839</v>
      </c>
      <c r="D23264">
        <v>63.24</v>
      </c>
      <c r="E23264">
        <v>117</v>
      </c>
      <c r="F23264">
        <v>43</v>
      </c>
      <c r="G23264">
        <v>4</v>
      </c>
      <c r="H23264">
        <v>13</v>
      </c>
      <c r="I23264">
        <v>125</v>
      </c>
      <c r="J23264">
        <v>1</v>
      </c>
      <c r="K23264">
        <v>77</v>
      </c>
      <c r="L23264">
        <v>193</v>
      </c>
      <c r="M23264">
        <v>1</v>
      </c>
      <c r="N23264">
        <v>2.1185600000000001E-36</v>
      </c>
      <c r="O23264">
        <v>371</v>
      </c>
    </row>
    <row r="23265" spans="1:15" x14ac:dyDescent="0.25">
      <c r="A23265" t="s">
        <v>23278</v>
      </c>
      <c r="B23265">
        <v>118</v>
      </c>
      <c r="C23265" s="1" t="str">
        <f>HYPERLINK("http://www.rosaceae.org/gb/gbrowse/malus_x_domestica/?name=MDP0000131337","MDP0000131337")</f>
        <v>MDP0000131337</v>
      </c>
      <c r="D23265">
        <v>44.95</v>
      </c>
      <c r="E23265">
        <v>109</v>
      </c>
      <c r="F23265">
        <v>60</v>
      </c>
      <c r="G23265">
        <v>12</v>
      </c>
      <c r="H23265">
        <v>13</v>
      </c>
      <c r="I23265">
        <v>116</v>
      </c>
      <c r="J23265">
        <v>1</v>
      </c>
      <c r="K23265">
        <v>6</v>
      </c>
      <c r="L23265">
        <v>107</v>
      </c>
      <c r="M23265">
        <v>1</v>
      </c>
      <c r="N23265">
        <v>2.22007E-14</v>
      </c>
      <c r="O23265">
        <v>181</v>
      </c>
    </row>
    <row r="23266" spans="1:15" x14ac:dyDescent="0.25">
      <c r="A23266" t="s">
        <v>23279</v>
      </c>
      <c r="B23266">
        <v>378</v>
      </c>
      <c r="C23266" s="1" t="str">
        <f>HYPERLINK("http://www.rosaceae.org/gb/gbrowse/malus_x_domestica/?name=MDP0000268541","MDP0000268541")</f>
        <v>MDP0000268541</v>
      </c>
      <c r="D23266">
        <v>33.119999999999997</v>
      </c>
      <c r="E23266">
        <v>163</v>
      </c>
      <c r="F23266">
        <v>109</v>
      </c>
      <c r="G23266">
        <v>1</v>
      </c>
      <c r="H23266">
        <v>136</v>
      </c>
      <c r="I23266">
        <v>298</v>
      </c>
      <c r="J23266">
        <v>1</v>
      </c>
      <c r="K23266">
        <v>174</v>
      </c>
      <c r="L23266">
        <v>335</v>
      </c>
      <c r="M23266">
        <v>1</v>
      </c>
      <c r="N23266">
        <v>2.9869599999999999E-18</v>
      </c>
      <c r="O23266">
        <v>223</v>
      </c>
    </row>
    <row r="23267" spans="1:15" x14ac:dyDescent="0.25">
      <c r="A23267" t="s">
        <v>23280</v>
      </c>
      <c r="B23267">
        <v>488</v>
      </c>
      <c r="C23267" s="1" t="str">
        <f>HYPERLINK("http://www.rosaceae.org/gb/gbrowse/malus_x_domestica/?name=MDP0000241635","MDP0000241635")</f>
        <v>MDP0000241635</v>
      </c>
      <c r="D23267">
        <v>40.869999999999997</v>
      </c>
      <c r="E23267">
        <v>389</v>
      </c>
      <c r="F23267">
        <v>230</v>
      </c>
      <c r="G23267">
        <v>27</v>
      </c>
      <c r="H23267">
        <v>1</v>
      </c>
      <c r="I23267">
        <v>373</v>
      </c>
      <c r="J23267">
        <v>1</v>
      </c>
      <c r="K23267">
        <v>58</v>
      </c>
      <c r="L23267">
        <v>435</v>
      </c>
      <c r="M23267">
        <v>1</v>
      </c>
      <c r="N23267">
        <v>6.72752E-68</v>
      </c>
      <c r="O23267">
        <v>652</v>
      </c>
    </row>
    <row r="23268" spans="1:15" x14ac:dyDescent="0.25">
      <c r="A23268" t="s">
        <v>23281</v>
      </c>
      <c r="B23268">
        <v>1128</v>
      </c>
      <c r="C23268" s="1" t="str">
        <f>HYPERLINK("http://www.rosaceae.org/gb/gbrowse/malus_x_domestica/?name=MDP0000305843","MDP0000305843")</f>
        <v>MDP0000305843</v>
      </c>
      <c r="D23268">
        <v>55.37</v>
      </c>
      <c r="E23268">
        <v>1163</v>
      </c>
      <c r="F23268">
        <v>519</v>
      </c>
      <c r="G23268">
        <v>81</v>
      </c>
      <c r="H23268">
        <v>24</v>
      </c>
      <c r="I23268">
        <v>1127</v>
      </c>
      <c r="J23268">
        <v>1</v>
      </c>
      <c r="K23268">
        <v>104</v>
      </c>
      <c r="L23268">
        <v>1244</v>
      </c>
      <c r="M23268">
        <v>1</v>
      </c>
      <c r="N23268">
        <v>0</v>
      </c>
      <c r="O23268">
        <v>2906</v>
      </c>
    </row>
    <row r="23269" spans="1:15" x14ac:dyDescent="0.25">
      <c r="A23269" t="s">
        <v>23282</v>
      </c>
      <c r="B23269">
        <v>638</v>
      </c>
      <c r="C23269" s="1" t="str">
        <f>HYPERLINK("http://www.rosaceae.org/gb/gbrowse/malus_x_domestica/?name=MDP0000863012","MDP0000863012")</f>
        <v>MDP0000863012</v>
      </c>
      <c r="D23269">
        <v>85.24</v>
      </c>
      <c r="E23269">
        <v>603</v>
      </c>
      <c r="F23269">
        <v>89</v>
      </c>
      <c r="G23269">
        <v>9</v>
      </c>
      <c r="H23269">
        <v>34</v>
      </c>
      <c r="I23269">
        <v>636</v>
      </c>
      <c r="J23269">
        <v>1</v>
      </c>
      <c r="K23269">
        <v>29</v>
      </c>
      <c r="L23269">
        <v>622</v>
      </c>
      <c r="M23269">
        <v>1</v>
      </c>
      <c r="N23269">
        <v>0</v>
      </c>
      <c r="O23269">
        <v>2745</v>
      </c>
    </row>
    <row r="23270" spans="1:15" x14ac:dyDescent="0.25">
      <c r="A23270" t="s">
        <v>23283</v>
      </c>
      <c r="B23270">
        <v>449</v>
      </c>
      <c r="C23270" s="1" t="str">
        <f>HYPERLINK("http://www.rosaceae.org/gb/gbrowse/malus_x_domestica/?name=MDP0000319493","MDP0000319493")</f>
        <v>MDP0000319493</v>
      </c>
      <c r="D23270">
        <v>55.3</v>
      </c>
      <c r="E23270">
        <v>311</v>
      </c>
      <c r="F23270">
        <v>139</v>
      </c>
      <c r="G23270">
        <v>19</v>
      </c>
      <c r="H23270">
        <v>156</v>
      </c>
      <c r="I23270">
        <v>448</v>
      </c>
      <c r="J23270">
        <v>1</v>
      </c>
      <c r="K23270">
        <v>39</v>
      </c>
      <c r="L23270">
        <v>348</v>
      </c>
      <c r="M23270">
        <v>1</v>
      </c>
      <c r="N23270">
        <v>1.7484100000000001E-84</v>
      </c>
      <c r="O23270">
        <v>795</v>
      </c>
    </row>
    <row r="23271" spans="1:15" x14ac:dyDescent="0.25">
      <c r="A23271" t="s">
        <v>23284</v>
      </c>
      <c r="B23271">
        <v>191</v>
      </c>
      <c r="C23271" s="1" t="str">
        <f>HYPERLINK("http://www.rosaceae.org/gb/gbrowse/malus_x_domestica/?name=MDP0000295373","MDP0000295373")</f>
        <v>MDP0000295373</v>
      </c>
      <c r="D23271">
        <v>63.15</v>
      </c>
      <c r="E23271">
        <v>171</v>
      </c>
      <c r="F23271">
        <v>63</v>
      </c>
      <c r="G23271">
        <v>2</v>
      </c>
      <c r="H23271">
        <v>22</v>
      </c>
      <c r="I23271">
        <v>191</v>
      </c>
      <c r="J23271">
        <v>1</v>
      </c>
      <c r="K23271">
        <v>21</v>
      </c>
      <c r="L23271">
        <v>190</v>
      </c>
      <c r="M23271">
        <v>1</v>
      </c>
      <c r="N23271">
        <v>4.8318099999999999E-58</v>
      </c>
      <c r="O23271">
        <v>562</v>
      </c>
    </row>
    <row r="23272" spans="1:15" x14ac:dyDescent="0.25">
      <c r="A23272" t="s">
        <v>23285</v>
      </c>
      <c r="B23272">
        <v>591</v>
      </c>
      <c r="C23272" s="1" t="str">
        <f>HYPERLINK("http://www.rosaceae.org/gb/gbrowse/malus_x_domestica/?name=MDP0000194134","MDP0000194134")</f>
        <v>MDP0000194134</v>
      </c>
      <c r="D23272">
        <v>77.010000000000005</v>
      </c>
      <c r="E23272">
        <v>522</v>
      </c>
      <c r="F23272">
        <v>120</v>
      </c>
      <c r="G23272">
        <v>14</v>
      </c>
      <c r="H23272">
        <v>1</v>
      </c>
      <c r="I23272">
        <v>515</v>
      </c>
      <c r="J23272">
        <v>1</v>
      </c>
      <c r="K23272">
        <v>1</v>
      </c>
      <c r="L23272">
        <v>515</v>
      </c>
      <c r="M23272">
        <v>1</v>
      </c>
      <c r="N23272">
        <v>0</v>
      </c>
      <c r="O23272">
        <v>2084</v>
      </c>
    </row>
    <row r="23273" spans="1:15" x14ac:dyDescent="0.25">
      <c r="A23273" t="s">
        <v>23286</v>
      </c>
      <c r="B23273">
        <v>339</v>
      </c>
      <c r="C23273" s="1" t="str">
        <f>HYPERLINK("http://www.rosaceae.org/gb/gbrowse/malus_x_domestica/?name=MDP0000140067","MDP0000140067")</f>
        <v>MDP0000140067</v>
      </c>
      <c r="D23273">
        <v>72.87</v>
      </c>
      <c r="E23273">
        <v>317</v>
      </c>
      <c r="F23273">
        <v>86</v>
      </c>
      <c r="G23273">
        <v>34</v>
      </c>
      <c r="H23273">
        <v>1</v>
      </c>
      <c r="I23273">
        <v>286</v>
      </c>
      <c r="J23273">
        <v>1</v>
      </c>
      <c r="K23273">
        <v>210</v>
      </c>
      <c r="L23273">
        <v>523</v>
      </c>
      <c r="M23273">
        <v>1</v>
      </c>
      <c r="N23273">
        <v>1.82163E-126</v>
      </c>
      <c r="O23273">
        <v>1155</v>
      </c>
    </row>
    <row r="23274" spans="1:15" x14ac:dyDescent="0.25">
      <c r="A23274" t="s">
        <v>23287</v>
      </c>
      <c r="B23274">
        <v>400</v>
      </c>
      <c r="C23274" s="1" t="str">
        <f>HYPERLINK("http://www.rosaceae.org/gb/gbrowse/malus_x_domestica/?name=MDP0000878686","MDP0000878686")</f>
        <v>MDP0000878686</v>
      </c>
      <c r="D23274">
        <v>38.380000000000003</v>
      </c>
      <c r="E23274">
        <v>409</v>
      </c>
      <c r="F23274">
        <v>252</v>
      </c>
      <c r="G23274">
        <v>52</v>
      </c>
      <c r="H23274">
        <v>2</v>
      </c>
      <c r="I23274">
        <v>400</v>
      </c>
      <c r="J23274">
        <v>1</v>
      </c>
      <c r="K23274">
        <v>10</v>
      </c>
      <c r="L23274">
        <v>376</v>
      </c>
      <c r="M23274">
        <v>1</v>
      </c>
      <c r="N23274">
        <v>1.14397E-60</v>
      </c>
      <c r="O23274">
        <v>589</v>
      </c>
    </row>
    <row r="23275" spans="1:15" x14ac:dyDescent="0.25">
      <c r="A23275" t="s">
        <v>23288</v>
      </c>
      <c r="B23275">
        <v>541</v>
      </c>
      <c r="C23275" s="1" t="str">
        <f>HYPERLINK("http://www.rosaceae.org/gb/gbrowse/malus_x_domestica/?name=MDP0000224968","MDP0000224968")</f>
        <v>MDP0000224968</v>
      </c>
      <c r="D23275">
        <v>77.77</v>
      </c>
      <c r="E23275">
        <v>576</v>
      </c>
      <c r="F23275">
        <v>128</v>
      </c>
      <c r="G23275">
        <v>54</v>
      </c>
      <c r="H23275">
        <v>1</v>
      </c>
      <c r="I23275">
        <v>541</v>
      </c>
      <c r="J23275">
        <v>1</v>
      </c>
      <c r="K23275">
        <v>1</v>
      </c>
      <c r="L23275">
        <v>557</v>
      </c>
      <c r="M23275">
        <v>1</v>
      </c>
      <c r="N23275">
        <v>0</v>
      </c>
      <c r="O23275">
        <v>2320</v>
      </c>
    </row>
    <row r="23276" spans="1:15" x14ac:dyDescent="0.25">
      <c r="A23276" t="s">
        <v>23289</v>
      </c>
      <c r="B23276">
        <v>976</v>
      </c>
      <c r="C23276" s="1" t="str">
        <f>HYPERLINK("http://www.rosaceae.org/gb/gbrowse/malus_x_domestica/?name=MDP0000280305","MDP0000280305")</f>
        <v>MDP0000280305</v>
      </c>
      <c r="D23276">
        <v>80.209999999999994</v>
      </c>
      <c r="E23276">
        <v>566</v>
      </c>
      <c r="F23276">
        <v>112</v>
      </c>
      <c r="G23276">
        <v>5</v>
      </c>
      <c r="H23276">
        <v>1</v>
      </c>
      <c r="I23276">
        <v>564</v>
      </c>
      <c r="J23276">
        <v>1</v>
      </c>
      <c r="K23276">
        <v>1</v>
      </c>
      <c r="L23276">
        <v>563</v>
      </c>
      <c r="M23276">
        <v>1</v>
      </c>
      <c r="N23276">
        <v>0</v>
      </c>
      <c r="O23276">
        <v>2484</v>
      </c>
    </row>
    <row r="23277" spans="1:15" x14ac:dyDescent="0.25">
      <c r="A23277" t="s">
        <v>23290</v>
      </c>
      <c r="B23277">
        <v>477</v>
      </c>
      <c r="C23277" s="1" t="str">
        <f>HYPERLINK("http://www.rosaceae.org/gb/gbrowse/malus_x_domestica/?name=MDP0000256746","MDP0000256746")</f>
        <v>MDP0000256746</v>
      </c>
      <c r="D23277">
        <v>74.819999999999993</v>
      </c>
      <c r="E23277">
        <v>429</v>
      </c>
      <c r="F23277">
        <v>108</v>
      </c>
      <c r="G23277">
        <v>4</v>
      </c>
      <c r="H23277">
        <v>35</v>
      </c>
      <c r="I23277">
        <v>459</v>
      </c>
      <c r="J23277">
        <v>1</v>
      </c>
      <c r="K23277">
        <v>455</v>
      </c>
      <c r="L23277">
        <v>883</v>
      </c>
      <c r="M23277">
        <v>1</v>
      </c>
      <c r="N23277">
        <v>9.6819400000000002E-179</v>
      </c>
      <c r="O23277">
        <v>1608</v>
      </c>
    </row>
    <row r="23278" spans="1:15" x14ac:dyDescent="0.25">
      <c r="A23278" t="s">
        <v>23291</v>
      </c>
      <c r="B23278">
        <v>368</v>
      </c>
      <c r="C23278" s="1" t="str">
        <f>HYPERLINK("http://www.rosaceae.org/gb/gbrowse/malus_x_domestica/?name=MDP0000199471","MDP0000199471")</f>
        <v>MDP0000199471</v>
      </c>
      <c r="D23278">
        <v>36.11</v>
      </c>
      <c r="E23278">
        <v>216</v>
      </c>
      <c r="F23278">
        <v>138</v>
      </c>
      <c r="G23278">
        <v>20</v>
      </c>
      <c r="H23278">
        <v>18</v>
      </c>
      <c r="I23278">
        <v>223</v>
      </c>
      <c r="J23278">
        <v>1</v>
      </c>
      <c r="K23278">
        <v>31</v>
      </c>
      <c r="L23278">
        <v>236</v>
      </c>
      <c r="M23278">
        <v>1</v>
      </c>
      <c r="N23278">
        <v>2.1077300000000001E-27</v>
      </c>
      <c r="O23278">
        <v>301</v>
      </c>
    </row>
    <row r="23279" spans="1:15" x14ac:dyDescent="0.25">
      <c r="A23279" t="s">
        <v>23292</v>
      </c>
      <c r="B23279">
        <v>443</v>
      </c>
      <c r="C23279" s="1" t="str">
        <f>HYPERLINK("http://www.rosaceae.org/gb/gbrowse/malus_x_domestica/?name=MDP0000946923","MDP0000946923")</f>
        <v>MDP0000946923</v>
      </c>
      <c r="D23279">
        <v>75.87</v>
      </c>
      <c r="E23279">
        <v>257</v>
      </c>
      <c r="F23279">
        <v>62</v>
      </c>
      <c r="G23279">
        <v>7</v>
      </c>
      <c r="H23279">
        <v>187</v>
      </c>
      <c r="I23279">
        <v>443</v>
      </c>
      <c r="J23279">
        <v>1</v>
      </c>
      <c r="K23279">
        <v>163</v>
      </c>
      <c r="L23279">
        <v>412</v>
      </c>
      <c r="M23279">
        <v>1</v>
      </c>
      <c r="N23279">
        <v>5.8696399999999999E-105</v>
      </c>
      <c r="O23279">
        <v>971</v>
      </c>
    </row>
    <row r="23280" spans="1:15" x14ac:dyDescent="0.25">
      <c r="A23280" t="s">
        <v>23293</v>
      </c>
      <c r="B23280">
        <v>535</v>
      </c>
      <c r="C23280" s="1" t="str">
        <f>HYPERLINK("http://www.rosaceae.org/gb/gbrowse/malus_x_domestica/?name=MDP0000316092","MDP0000316092")</f>
        <v>MDP0000316092</v>
      </c>
      <c r="D23280">
        <v>76.05</v>
      </c>
      <c r="E23280">
        <v>547</v>
      </c>
      <c r="F23280">
        <v>131</v>
      </c>
      <c r="G23280">
        <v>65</v>
      </c>
      <c r="H23280">
        <v>1</v>
      </c>
      <c r="I23280">
        <v>535</v>
      </c>
      <c r="J23280">
        <v>1</v>
      </c>
      <c r="K23280">
        <v>1</v>
      </c>
      <c r="L23280">
        <v>494</v>
      </c>
      <c r="M23280">
        <v>1</v>
      </c>
      <c r="N23280">
        <v>0</v>
      </c>
      <c r="O23280">
        <v>2033</v>
      </c>
    </row>
    <row r="23281" spans="1:15" x14ac:dyDescent="0.25">
      <c r="A23281" t="s">
        <v>23294</v>
      </c>
      <c r="B23281">
        <v>464</v>
      </c>
      <c r="C23281" s="1" t="str">
        <f>HYPERLINK("http://www.rosaceae.org/gb/gbrowse/malus_x_domestica/?name=MDP0000196436","MDP0000196436")</f>
        <v>MDP0000196436</v>
      </c>
      <c r="D23281">
        <v>78.36</v>
      </c>
      <c r="E23281">
        <v>476</v>
      </c>
      <c r="F23281">
        <v>103</v>
      </c>
      <c r="G23281">
        <v>25</v>
      </c>
      <c r="H23281">
        <v>3</v>
      </c>
      <c r="I23281">
        <v>458</v>
      </c>
      <c r="J23281">
        <v>1</v>
      </c>
      <c r="K23281">
        <v>56</v>
      </c>
      <c r="L23281">
        <v>526</v>
      </c>
      <c r="M23281">
        <v>1</v>
      </c>
      <c r="N23281">
        <v>0</v>
      </c>
      <c r="O23281">
        <v>1912</v>
      </c>
    </row>
    <row r="23282" spans="1:15" x14ac:dyDescent="0.25">
      <c r="A23282" t="s">
        <v>23295</v>
      </c>
      <c r="B23282">
        <v>565</v>
      </c>
      <c r="C23282" s="1" t="str">
        <f>HYPERLINK("http://www.rosaceae.org/gb/gbrowse/malus_x_domestica/?name=MDP0000836165","MDP0000836165")</f>
        <v>MDP0000836165</v>
      </c>
      <c r="D23282">
        <v>73.88</v>
      </c>
      <c r="E23282">
        <v>540</v>
      </c>
      <c r="F23282">
        <v>141</v>
      </c>
      <c r="G23282">
        <v>8</v>
      </c>
      <c r="H23282">
        <v>31</v>
      </c>
      <c r="I23282">
        <v>565</v>
      </c>
      <c r="J23282">
        <v>1</v>
      </c>
      <c r="K23282">
        <v>28</v>
      </c>
      <c r="L23282">
        <v>564</v>
      </c>
      <c r="M23282">
        <v>1</v>
      </c>
      <c r="N23282">
        <v>0</v>
      </c>
      <c r="O23282">
        <v>2055</v>
      </c>
    </row>
    <row r="23283" spans="1:15" x14ac:dyDescent="0.25">
      <c r="A23283" t="s">
        <v>23296</v>
      </c>
      <c r="B23283">
        <v>964</v>
      </c>
      <c r="C23283" s="1" t="str">
        <f>HYPERLINK("http://www.rosaceae.org/gb/gbrowse/malus_x_domestica/?name=MDP0000293098","MDP0000293098")</f>
        <v>MDP0000293098</v>
      </c>
      <c r="D23283">
        <v>53.48</v>
      </c>
      <c r="E23283">
        <v>946</v>
      </c>
      <c r="F23283">
        <v>440</v>
      </c>
      <c r="G23283">
        <v>37</v>
      </c>
      <c r="H23283">
        <v>1</v>
      </c>
      <c r="I23283">
        <v>917</v>
      </c>
      <c r="J23283">
        <v>1</v>
      </c>
      <c r="K23283">
        <v>1</v>
      </c>
      <c r="L23283">
        <v>938</v>
      </c>
      <c r="M23283">
        <v>1</v>
      </c>
      <c r="N23283">
        <v>0</v>
      </c>
      <c r="O23283">
        <v>2409</v>
      </c>
    </row>
    <row r="23284" spans="1:15" x14ac:dyDescent="0.25">
      <c r="A23284" t="s">
        <v>23297</v>
      </c>
      <c r="B23284">
        <v>499</v>
      </c>
      <c r="C23284" s="1" t="str">
        <f>HYPERLINK("http://www.rosaceae.org/gb/gbrowse/malus_x_domestica/?name=MDP0000285653","MDP0000285653")</f>
        <v>MDP0000285653</v>
      </c>
      <c r="D23284">
        <v>61.98</v>
      </c>
      <c r="E23284">
        <v>505</v>
      </c>
      <c r="F23284">
        <v>192</v>
      </c>
      <c r="G23284">
        <v>42</v>
      </c>
      <c r="H23284">
        <v>1</v>
      </c>
      <c r="I23284">
        <v>499</v>
      </c>
      <c r="J23284">
        <v>1</v>
      </c>
      <c r="K23284">
        <v>115</v>
      </c>
      <c r="L23284">
        <v>583</v>
      </c>
      <c r="M23284">
        <v>1</v>
      </c>
      <c r="N23284">
        <v>5.2833799999999996E-172</v>
      </c>
      <c r="O23284">
        <v>1550</v>
      </c>
    </row>
    <row r="23285" spans="1:15" x14ac:dyDescent="0.25">
      <c r="A23285" t="s">
        <v>23298</v>
      </c>
      <c r="B23285">
        <v>278</v>
      </c>
      <c r="C23285" s="1" t="str">
        <f>HYPERLINK("http://www.rosaceae.org/gb/gbrowse/malus_x_domestica/?name=MDP0000283975","MDP0000283975")</f>
        <v>MDP0000283975</v>
      </c>
      <c r="D23285">
        <v>33.83</v>
      </c>
      <c r="E23285">
        <v>133</v>
      </c>
      <c r="F23285">
        <v>88</v>
      </c>
      <c r="G23285">
        <v>15</v>
      </c>
      <c r="H23285">
        <v>136</v>
      </c>
      <c r="I23285">
        <v>261</v>
      </c>
      <c r="J23285">
        <v>1</v>
      </c>
      <c r="K23285">
        <v>246</v>
      </c>
      <c r="L23285">
        <v>370</v>
      </c>
      <c r="M23285">
        <v>1</v>
      </c>
      <c r="N23285">
        <v>3.1666699999999998E-10</v>
      </c>
      <c r="O23285">
        <v>152</v>
      </c>
    </row>
    <row r="23286" spans="1:15" x14ac:dyDescent="0.25">
      <c r="A23286" t="s">
        <v>23299</v>
      </c>
      <c r="B23286">
        <v>371</v>
      </c>
      <c r="C23286" s="1" t="str">
        <f>HYPERLINK("http://www.rosaceae.org/gb/gbrowse/malus_x_domestica/?name=MDP0000279958","MDP0000279958")</f>
        <v>MDP0000279958</v>
      </c>
      <c r="D23286">
        <v>64.02</v>
      </c>
      <c r="E23286">
        <v>278</v>
      </c>
      <c r="F23286">
        <v>100</v>
      </c>
      <c r="G23286">
        <v>2</v>
      </c>
      <c r="H23286">
        <v>1</v>
      </c>
      <c r="I23286">
        <v>277</v>
      </c>
      <c r="J23286">
        <v>1</v>
      </c>
      <c r="K23286">
        <v>43</v>
      </c>
      <c r="L23286">
        <v>319</v>
      </c>
      <c r="M23286">
        <v>1</v>
      </c>
      <c r="N23286">
        <v>4.77441E-95</v>
      </c>
      <c r="O23286">
        <v>885</v>
      </c>
    </row>
    <row r="23287" spans="1:15" x14ac:dyDescent="0.25">
      <c r="A23287" t="s">
        <v>23300</v>
      </c>
      <c r="B23287">
        <v>202</v>
      </c>
      <c r="C23287" s="1" t="str">
        <f>HYPERLINK("http://www.rosaceae.org/gb/gbrowse/malus_x_domestica/?name=MDP0000557254","MDP0000557254")</f>
        <v>MDP0000557254</v>
      </c>
      <c r="D23287">
        <v>59.4</v>
      </c>
      <c r="E23287">
        <v>202</v>
      </c>
      <c r="F23287">
        <v>82</v>
      </c>
      <c r="G23287">
        <v>0</v>
      </c>
      <c r="H23287">
        <v>1</v>
      </c>
      <c r="I23287">
        <v>202</v>
      </c>
      <c r="J23287">
        <v>1</v>
      </c>
      <c r="K23287">
        <v>1</v>
      </c>
      <c r="L23287">
        <v>202</v>
      </c>
      <c r="M23287">
        <v>1</v>
      </c>
      <c r="N23287">
        <v>1.9625200000000001E-69</v>
      </c>
      <c r="O23287">
        <v>660</v>
      </c>
    </row>
    <row r="23288" spans="1:15" x14ac:dyDescent="0.25">
      <c r="A23288" t="s">
        <v>23301</v>
      </c>
      <c r="B23288">
        <v>606</v>
      </c>
      <c r="C23288" s="1" t="str">
        <f>HYPERLINK("http://www.rosaceae.org/gb/gbrowse/malus_x_domestica/?name=MDP0000231608","MDP0000231608")</f>
        <v>MDP0000231608</v>
      </c>
      <c r="D23288">
        <v>47.65</v>
      </c>
      <c r="E23288">
        <v>128</v>
      </c>
      <c r="F23288">
        <v>67</v>
      </c>
      <c r="G23288">
        <v>1</v>
      </c>
      <c r="H23288">
        <v>334</v>
      </c>
      <c r="I23288">
        <v>461</v>
      </c>
      <c r="J23288">
        <v>1</v>
      </c>
      <c r="K23288">
        <v>245</v>
      </c>
      <c r="L23288">
        <v>371</v>
      </c>
      <c r="M23288">
        <v>1</v>
      </c>
      <c r="N23288">
        <v>1.79028E-28</v>
      </c>
      <c r="O23288">
        <v>313</v>
      </c>
    </row>
    <row r="23289" spans="1:15" x14ac:dyDescent="0.25">
      <c r="A23289" t="s">
        <v>23302</v>
      </c>
      <c r="B23289">
        <v>373</v>
      </c>
      <c r="C23289" s="1" t="str">
        <f>HYPERLINK("http://www.rosaceae.org/gb/gbrowse/malus_x_domestica/?name=MDP0000164538","MDP0000164538")</f>
        <v>MDP0000164538</v>
      </c>
      <c r="D23289">
        <v>66.75</v>
      </c>
      <c r="E23289">
        <v>358</v>
      </c>
      <c r="F23289">
        <v>119</v>
      </c>
      <c r="G23289">
        <v>22</v>
      </c>
      <c r="H23289">
        <v>1</v>
      </c>
      <c r="I23289">
        <v>341</v>
      </c>
      <c r="J23289">
        <v>1</v>
      </c>
      <c r="K23289">
        <v>312</v>
      </c>
      <c r="L23289">
        <v>664</v>
      </c>
      <c r="M23289">
        <v>1</v>
      </c>
      <c r="N23289">
        <v>2.0660899999999999E-132</v>
      </c>
      <c r="O23289">
        <v>1207</v>
      </c>
    </row>
    <row r="23290" spans="1:15" x14ac:dyDescent="0.25">
      <c r="A23290" t="s">
        <v>23303</v>
      </c>
      <c r="B23290">
        <v>511</v>
      </c>
      <c r="C23290" s="1" t="str">
        <f>HYPERLINK("http://www.rosaceae.org/gb/gbrowse/malus_x_domestica/?name=MDP0000259542","MDP0000259542")</f>
        <v>MDP0000259542</v>
      </c>
      <c r="D23290">
        <v>79.27</v>
      </c>
      <c r="E23290">
        <v>497</v>
      </c>
      <c r="F23290">
        <v>103</v>
      </c>
      <c r="G23290">
        <v>14</v>
      </c>
      <c r="H23290">
        <v>1</v>
      </c>
      <c r="I23290">
        <v>485</v>
      </c>
      <c r="J23290">
        <v>1</v>
      </c>
      <c r="K23290">
        <v>1</v>
      </c>
      <c r="L23290">
        <v>495</v>
      </c>
      <c r="M23290">
        <v>1</v>
      </c>
      <c r="N23290">
        <v>0</v>
      </c>
      <c r="O23290">
        <v>2023</v>
      </c>
    </row>
    <row r="23291" spans="1:15" x14ac:dyDescent="0.25">
      <c r="A23291" t="s">
        <v>23304</v>
      </c>
      <c r="B23291">
        <v>493</v>
      </c>
      <c r="C23291" s="1" t="str">
        <f>HYPERLINK("http://www.rosaceae.org/gb/gbrowse/malus_x_domestica/?name=MDP0000201979","MDP0000201979")</f>
        <v>MDP0000201979</v>
      </c>
      <c r="D23291">
        <v>65.989999999999995</v>
      </c>
      <c r="E23291">
        <v>494</v>
      </c>
      <c r="F23291">
        <v>168</v>
      </c>
      <c r="G23291">
        <v>6</v>
      </c>
      <c r="H23291">
        <v>1</v>
      </c>
      <c r="I23291">
        <v>492</v>
      </c>
      <c r="J23291">
        <v>1</v>
      </c>
      <c r="K23291">
        <v>1</v>
      </c>
      <c r="L23291">
        <v>490</v>
      </c>
      <c r="M23291">
        <v>1</v>
      </c>
      <c r="N23291">
        <v>0</v>
      </c>
      <c r="O23291">
        <v>1695</v>
      </c>
    </row>
    <row r="23292" spans="1:15" x14ac:dyDescent="0.25">
      <c r="A23292" t="s">
        <v>23305</v>
      </c>
      <c r="B23292">
        <v>534</v>
      </c>
      <c r="C23292" s="1" t="str">
        <f>HYPERLINK("http://www.rosaceae.org/gb/gbrowse/malus_x_domestica/?name=MDP0000257646","MDP0000257646")</f>
        <v>MDP0000257646</v>
      </c>
      <c r="D23292">
        <v>82.01</v>
      </c>
      <c r="E23292">
        <v>228</v>
      </c>
      <c r="F23292">
        <v>41</v>
      </c>
      <c r="G23292">
        <v>0</v>
      </c>
      <c r="H23292">
        <v>116</v>
      </c>
      <c r="I23292">
        <v>343</v>
      </c>
      <c r="J23292">
        <v>1</v>
      </c>
      <c r="K23292">
        <v>698</v>
      </c>
      <c r="L23292">
        <v>925</v>
      </c>
      <c r="M23292">
        <v>1</v>
      </c>
      <c r="N23292">
        <v>7.2137999999999995E-113</v>
      </c>
      <c r="O23292">
        <v>1040</v>
      </c>
    </row>
    <row r="23293" spans="1:15" x14ac:dyDescent="0.25">
      <c r="A23293" t="s">
        <v>23306</v>
      </c>
      <c r="B23293">
        <v>466</v>
      </c>
      <c r="C23293" s="1" t="str">
        <f>HYPERLINK("http://www.rosaceae.org/gb/gbrowse/malus_x_domestica/?name=MDP0000317856","MDP0000317856")</f>
        <v>MDP0000317856</v>
      </c>
      <c r="D23293">
        <v>62.13</v>
      </c>
      <c r="E23293">
        <v>169</v>
      </c>
      <c r="F23293">
        <v>64</v>
      </c>
      <c r="G23293">
        <v>3</v>
      </c>
      <c r="H23293">
        <v>66</v>
      </c>
      <c r="I23293">
        <v>232</v>
      </c>
      <c r="J23293">
        <v>1</v>
      </c>
      <c r="K23293">
        <v>20</v>
      </c>
      <c r="L23293">
        <v>187</v>
      </c>
      <c r="M23293">
        <v>1</v>
      </c>
      <c r="N23293">
        <v>7.2071599999999998E-57</v>
      </c>
      <c r="O23293">
        <v>557</v>
      </c>
    </row>
    <row r="23294" spans="1:15" x14ac:dyDescent="0.25">
      <c r="A23294" t="s">
        <v>23307</v>
      </c>
      <c r="B23294">
        <v>700</v>
      </c>
      <c r="C23294" s="1" t="str">
        <f>HYPERLINK("http://www.rosaceae.org/gb/gbrowse/malus_x_domestica/?name=MDP0000179065","MDP0000179065")</f>
        <v>MDP0000179065</v>
      </c>
      <c r="D23294">
        <v>60.81</v>
      </c>
      <c r="E23294">
        <v>370</v>
      </c>
      <c r="F23294">
        <v>145</v>
      </c>
      <c r="G23294">
        <v>15</v>
      </c>
      <c r="H23294">
        <v>1</v>
      </c>
      <c r="I23294">
        <v>359</v>
      </c>
      <c r="J23294">
        <v>1</v>
      </c>
      <c r="K23294">
        <v>1</v>
      </c>
      <c r="L23294">
        <v>366</v>
      </c>
      <c r="M23294">
        <v>1</v>
      </c>
      <c r="N23294">
        <v>6.3132699999999996E-116</v>
      </c>
      <c r="O23294">
        <v>1068</v>
      </c>
    </row>
    <row r="23295" spans="1:15" x14ac:dyDescent="0.25">
      <c r="A23295" t="s">
        <v>23308</v>
      </c>
      <c r="B23295">
        <v>245</v>
      </c>
      <c r="C23295" s="1" t="str">
        <f>HYPERLINK("http://www.rosaceae.org/gb/gbrowse/malus_x_domestica/?name=MDP0000253745","MDP0000253745")</f>
        <v>MDP0000253745</v>
      </c>
      <c r="D23295">
        <v>79.41</v>
      </c>
      <c r="E23295">
        <v>170</v>
      </c>
      <c r="F23295">
        <v>35</v>
      </c>
      <c r="G23295">
        <v>0</v>
      </c>
      <c r="H23295">
        <v>70</v>
      </c>
      <c r="I23295">
        <v>239</v>
      </c>
      <c r="J23295">
        <v>1</v>
      </c>
      <c r="K23295">
        <v>1</v>
      </c>
      <c r="L23295">
        <v>170</v>
      </c>
      <c r="M23295">
        <v>1</v>
      </c>
      <c r="N23295">
        <v>8.6930099999999992E-78</v>
      </c>
      <c r="O23295">
        <v>734</v>
      </c>
    </row>
    <row r="23296" spans="1:15" x14ac:dyDescent="0.25">
      <c r="A23296" t="s">
        <v>23309</v>
      </c>
      <c r="B23296">
        <v>314</v>
      </c>
      <c r="C23296" s="1" t="str">
        <f>HYPERLINK("http://www.rosaceae.org/gb/gbrowse/malus_x_domestica/?name=MDP0000430422","MDP0000430422")</f>
        <v>MDP0000430422</v>
      </c>
      <c r="D23296">
        <v>41.46</v>
      </c>
      <c r="E23296">
        <v>82</v>
      </c>
      <c r="F23296">
        <v>48</v>
      </c>
      <c r="G23296">
        <v>4</v>
      </c>
      <c r="H23296">
        <v>179</v>
      </c>
      <c r="I23296">
        <v>260</v>
      </c>
      <c r="J23296">
        <v>1</v>
      </c>
      <c r="K23296">
        <v>264</v>
      </c>
      <c r="L23296">
        <v>341</v>
      </c>
      <c r="M23296">
        <v>1</v>
      </c>
      <c r="N23296">
        <v>3.0194300000000002E-10</v>
      </c>
      <c r="O23296">
        <v>153</v>
      </c>
    </row>
    <row r="23297" spans="1:15" x14ac:dyDescent="0.25">
      <c r="A23297" t="s">
        <v>23310</v>
      </c>
      <c r="B23297">
        <v>464</v>
      </c>
      <c r="C23297" s="1" t="str">
        <f>HYPERLINK("http://www.rosaceae.org/gb/gbrowse/malus_x_domestica/?name=MDP0000317482","MDP0000317482")</f>
        <v>MDP0000317482</v>
      </c>
      <c r="D23297">
        <v>57.62</v>
      </c>
      <c r="E23297">
        <v>236</v>
      </c>
      <c r="F23297">
        <v>100</v>
      </c>
      <c r="G23297">
        <v>3</v>
      </c>
      <c r="H23297">
        <v>1</v>
      </c>
      <c r="I23297">
        <v>234</v>
      </c>
      <c r="J23297">
        <v>1</v>
      </c>
      <c r="K23297">
        <v>1</v>
      </c>
      <c r="L23297">
        <v>235</v>
      </c>
      <c r="M23297">
        <v>1</v>
      </c>
      <c r="N23297">
        <v>9.0946700000000006E-70</v>
      </c>
      <c r="O23297">
        <v>668</v>
      </c>
    </row>
    <row r="23298" spans="1:15" x14ac:dyDescent="0.25">
      <c r="A23298" t="s">
        <v>23311</v>
      </c>
      <c r="B23298">
        <v>518</v>
      </c>
      <c r="C23298" s="1" t="str">
        <f>HYPERLINK("http://www.rosaceae.org/gb/gbrowse/malus_x_domestica/?name=MDP0000256768","MDP0000256768")</f>
        <v>MDP0000256768</v>
      </c>
      <c r="D23298">
        <v>69.2</v>
      </c>
      <c r="E23298">
        <v>539</v>
      </c>
      <c r="F23298">
        <v>166</v>
      </c>
      <c r="G23298">
        <v>38</v>
      </c>
      <c r="H23298">
        <v>2</v>
      </c>
      <c r="I23298">
        <v>516</v>
      </c>
      <c r="J23298">
        <v>1</v>
      </c>
      <c r="K23298">
        <v>548</v>
      </c>
      <c r="L23298">
        <v>1072</v>
      </c>
      <c r="M23298">
        <v>1</v>
      </c>
      <c r="N23298">
        <v>0</v>
      </c>
      <c r="O23298">
        <v>1854</v>
      </c>
    </row>
    <row r="23299" spans="1:15" x14ac:dyDescent="0.25">
      <c r="A23299" t="s">
        <v>23312</v>
      </c>
      <c r="B23299">
        <v>738</v>
      </c>
      <c r="C23299" s="1" t="str">
        <f>HYPERLINK("http://www.rosaceae.org/gb/gbrowse/malus_x_domestica/?name=MDP0000252062","MDP0000252062")</f>
        <v>MDP0000252062</v>
      </c>
      <c r="D23299">
        <v>51.35</v>
      </c>
      <c r="E23299">
        <v>222</v>
      </c>
      <c r="F23299">
        <v>108</v>
      </c>
      <c r="G23299">
        <v>22</v>
      </c>
      <c r="H23299">
        <v>515</v>
      </c>
      <c r="I23299">
        <v>715</v>
      </c>
      <c r="J23299">
        <v>1</v>
      </c>
      <c r="K23299">
        <v>963</v>
      </c>
      <c r="L23299">
        <v>1183</v>
      </c>
      <c r="M23299">
        <v>1</v>
      </c>
      <c r="N23299">
        <v>3.3481799999999997E-54</v>
      </c>
      <c r="O23299">
        <v>536</v>
      </c>
    </row>
    <row r="23300" spans="1:15" x14ac:dyDescent="0.25">
      <c r="A23300" t="s">
        <v>23313</v>
      </c>
      <c r="B23300">
        <v>204</v>
      </c>
      <c r="C23300" s="1" t="str">
        <f>HYPERLINK("http://www.rosaceae.org/gb/gbrowse/malus_x_domestica/?name=MDP0000216956","MDP0000216956")</f>
        <v>MDP0000216956</v>
      </c>
      <c r="D23300">
        <v>26.55</v>
      </c>
      <c r="E23300">
        <v>241</v>
      </c>
      <c r="F23300">
        <v>177</v>
      </c>
      <c r="G23300">
        <v>59</v>
      </c>
      <c r="H23300">
        <v>11</v>
      </c>
      <c r="I23300">
        <v>195</v>
      </c>
      <c r="J23300">
        <v>1</v>
      </c>
      <c r="K23300">
        <v>4</v>
      </c>
      <c r="L23300">
        <v>241</v>
      </c>
      <c r="M23300">
        <v>1</v>
      </c>
      <c r="N23300">
        <v>1.0125600000000001E-12</v>
      </c>
      <c r="O23300">
        <v>171</v>
      </c>
    </row>
    <row r="23301" spans="1:15" x14ac:dyDescent="0.25">
      <c r="A23301" t="s">
        <v>23314</v>
      </c>
      <c r="B23301">
        <v>345</v>
      </c>
      <c r="C23301" s="1" t="str">
        <f>HYPERLINK("http://www.rosaceae.org/gb/gbrowse/malus_x_domestica/?name=MDP0000909869","MDP0000909869")</f>
        <v>MDP0000909869</v>
      </c>
      <c r="D23301">
        <v>60.5</v>
      </c>
      <c r="E23301">
        <v>276</v>
      </c>
      <c r="F23301">
        <v>109</v>
      </c>
      <c r="G23301">
        <v>29</v>
      </c>
      <c r="H23301">
        <v>80</v>
      </c>
      <c r="I23301">
        <v>336</v>
      </c>
      <c r="J23301">
        <v>1</v>
      </c>
      <c r="K23301">
        <v>71</v>
      </c>
      <c r="L23301">
        <v>336</v>
      </c>
      <c r="M23301">
        <v>1</v>
      </c>
      <c r="N23301">
        <v>1.03794E-81</v>
      </c>
      <c r="O23301">
        <v>769</v>
      </c>
    </row>
    <row r="23302" spans="1:15" x14ac:dyDescent="0.25">
      <c r="A23302" t="s">
        <v>23315</v>
      </c>
      <c r="B23302">
        <v>230</v>
      </c>
      <c r="C23302" s="1" t="str">
        <f>HYPERLINK("http://www.rosaceae.org/gb/gbrowse/malus_x_domestica/?name=MDP0000149068","MDP0000149068")</f>
        <v>MDP0000149068</v>
      </c>
      <c r="D23302">
        <v>72.41</v>
      </c>
      <c r="E23302">
        <v>174</v>
      </c>
      <c r="F23302">
        <v>48</v>
      </c>
      <c r="G23302">
        <v>5</v>
      </c>
      <c r="H23302">
        <v>1</v>
      </c>
      <c r="I23302">
        <v>170</v>
      </c>
      <c r="J23302">
        <v>1</v>
      </c>
      <c r="K23302">
        <v>1</v>
      </c>
      <c r="L23302">
        <v>173</v>
      </c>
      <c r="M23302">
        <v>1</v>
      </c>
      <c r="N23302">
        <v>8.3699100000000003E-70</v>
      </c>
      <c r="O23302">
        <v>664</v>
      </c>
    </row>
    <row r="23303" spans="1:15" x14ac:dyDescent="0.25">
      <c r="A23303" t="s">
        <v>23316</v>
      </c>
      <c r="B23303">
        <v>1463</v>
      </c>
      <c r="C23303" s="1" t="str">
        <f>HYPERLINK("http://www.rosaceae.org/gb/gbrowse/malus_x_domestica/?name=MDP0000924219","MDP0000924219")</f>
        <v>MDP0000924219</v>
      </c>
      <c r="D23303">
        <v>69.89</v>
      </c>
      <c r="E23303">
        <v>1013</v>
      </c>
      <c r="F23303">
        <v>305</v>
      </c>
      <c r="G23303">
        <v>16</v>
      </c>
      <c r="H23303">
        <v>118</v>
      </c>
      <c r="I23303">
        <v>1120</v>
      </c>
      <c r="J23303">
        <v>1</v>
      </c>
      <c r="K23303">
        <v>1</v>
      </c>
      <c r="L23303">
        <v>1007</v>
      </c>
      <c r="M23303">
        <v>1</v>
      </c>
      <c r="N23303">
        <v>0</v>
      </c>
      <c r="O23303">
        <v>3692</v>
      </c>
    </row>
    <row r="23304" spans="1:15" x14ac:dyDescent="0.25">
      <c r="A23304" t="s">
        <v>23317</v>
      </c>
      <c r="B23304">
        <v>694</v>
      </c>
      <c r="C23304" s="1" t="str">
        <f>HYPERLINK("http://www.rosaceae.org/gb/gbrowse/malus_x_domestica/?name=MDP0000740788","MDP0000740788")</f>
        <v>MDP0000740788</v>
      </c>
      <c r="D23304">
        <v>70.069999999999993</v>
      </c>
      <c r="E23304">
        <v>568</v>
      </c>
      <c r="F23304">
        <v>170</v>
      </c>
      <c r="G23304">
        <v>14</v>
      </c>
      <c r="H23304">
        <v>127</v>
      </c>
      <c r="I23304">
        <v>692</v>
      </c>
      <c r="J23304">
        <v>1</v>
      </c>
      <c r="K23304">
        <v>153</v>
      </c>
      <c r="L23304">
        <v>708</v>
      </c>
      <c r="M23304">
        <v>1</v>
      </c>
      <c r="N23304">
        <v>0</v>
      </c>
      <c r="O23304">
        <v>2035</v>
      </c>
    </row>
    <row r="23305" spans="1:15" x14ac:dyDescent="0.25">
      <c r="A23305" t="s">
        <v>23318</v>
      </c>
      <c r="B23305">
        <v>1422</v>
      </c>
      <c r="C23305" s="1" t="str">
        <f>HYPERLINK("http://www.rosaceae.org/gb/gbrowse/malus_x_domestica/?name=MDP0000279550","MDP0000279550")</f>
        <v>MDP0000279550</v>
      </c>
      <c r="D23305">
        <v>55.26</v>
      </c>
      <c r="E23305">
        <v>979</v>
      </c>
      <c r="F23305">
        <v>438</v>
      </c>
      <c r="G23305">
        <v>28</v>
      </c>
      <c r="H23305">
        <v>466</v>
      </c>
      <c r="I23305">
        <v>1422</v>
      </c>
      <c r="J23305">
        <v>1</v>
      </c>
      <c r="K23305">
        <v>10</v>
      </c>
      <c r="L23305">
        <v>982</v>
      </c>
      <c r="M23305">
        <v>1</v>
      </c>
      <c r="N23305">
        <v>0</v>
      </c>
      <c r="O23305">
        <v>2518</v>
      </c>
    </row>
    <row r="23306" spans="1:15" x14ac:dyDescent="0.25">
      <c r="A23306" t="s">
        <v>23319</v>
      </c>
      <c r="B23306">
        <v>185</v>
      </c>
      <c r="C23306" s="1" t="str">
        <f>HYPERLINK("http://www.rosaceae.org/gb/gbrowse/malus_x_domestica/?name=MDP0000716623","MDP0000716623")</f>
        <v>MDP0000716623</v>
      </c>
      <c r="D23306">
        <v>73.400000000000006</v>
      </c>
      <c r="E23306">
        <v>188</v>
      </c>
      <c r="F23306">
        <v>50</v>
      </c>
      <c r="G23306">
        <v>3</v>
      </c>
      <c r="H23306">
        <v>1</v>
      </c>
      <c r="I23306">
        <v>185</v>
      </c>
      <c r="J23306">
        <v>1</v>
      </c>
      <c r="K23306">
        <v>153</v>
      </c>
      <c r="L23306">
        <v>340</v>
      </c>
      <c r="M23306">
        <v>1</v>
      </c>
      <c r="N23306">
        <v>6.9299600000000004E-75</v>
      </c>
      <c r="O23306">
        <v>707</v>
      </c>
    </row>
    <row r="23307" spans="1:15" x14ac:dyDescent="0.25">
      <c r="A23307" t="s">
        <v>23320</v>
      </c>
      <c r="B23307">
        <v>214</v>
      </c>
      <c r="C23307" s="1" t="str">
        <f>HYPERLINK("http://www.rosaceae.org/gb/gbrowse/malus_x_domestica/?name=MDP0000189006","MDP0000189006")</f>
        <v>MDP0000189006</v>
      </c>
      <c r="D23307">
        <v>43.03</v>
      </c>
      <c r="E23307">
        <v>158</v>
      </c>
      <c r="F23307">
        <v>90</v>
      </c>
      <c r="G23307">
        <v>5</v>
      </c>
      <c r="H23307">
        <v>44</v>
      </c>
      <c r="I23307">
        <v>201</v>
      </c>
      <c r="J23307">
        <v>1</v>
      </c>
      <c r="K23307">
        <v>57</v>
      </c>
      <c r="L23307">
        <v>209</v>
      </c>
      <c r="M23307">
        <v>1</v>
      </c>
      <c r="N23307">
        <v>2.06211E-31</v>
      </c>
      <c r="O23307">
        <v>333</v>
      </c>
    </row>
    <row r="23308" spans="1:15" x14ac:dyDescent="0.25">
      <c r="A23308" t="s">
        <v>23321</v>
      </c>
      <c r="B23308">
        <v>688</v>
      </c>
      <c r="C23308" s="1" t="str">
        <f>HYPERLINK("http://www.rosaceae.org/gb/gbrowse/malus_x_domestica/?name=MDP0000144055","MDP0000144055")</f>
        <v>MDP0000144055</v>
      </c>
      <c r="D23308">
        <v>68.5</v>
      </c>
      <c r="E23308">
        <v>381</v>
      </c>
      <c r="F23308">
        <v>120</v>
      </c>
      <c r="G23308">
        <v>21</v>
      </c>
      <c r="H23308">
        <v>307</v>
      </c>
      <c r="I23308">
        <v>686</v>
      </c>
      <c r="J23308">
        <v>1</v>
      </c>
      <c r="K23308">
        <v>14</v>
      </c>
      <c r="L23308">
        <v>374</v>
      </c>
      <c r="M23308">
        <v>1</v>
      </c>
      <c r="N23308">
        <v>2.5422E-132</v>
      </c>
      <c r="O23308">
        <v>1209</v>
      </c>
    </row>
    <row r="23309" spans="1:15" x14ac:dyDescent="0.25">
      <c r="A23309" t="s">
        <v>23322</v>
      </c>
      <c r="B23309">
        <v>352</v>
      </c>
      <c r="C23309" s="1" t="str">
        <f>HYPERLINK("http://www.rosaceae.org/gb/gbrowse/malus_x_domestica/?name=MDP0000054634","MDP0000054634")</f>
        <v>MDP0000054634</v>
      </c>
      <c r="D23309">
        <v>82.77</v>
      </c>
      <c r="E23309">
        <v>331</v>
      </c>
      <c r="F23309">
        <v>57</v>
      </c>
      <c r="G23309">
        <v>3</v>
      </c>
      <c r="H23309">
        <v>22</v>
      </c>
      <c r="I23309">
        <v>352</v>
      </c>
      <c r="J23309">
        <v>1</v>
      </c>
      <c r="K23309">
        <v>4</v>
      </c>
      <c r="L23309">
        <v>331</v>
      </c>
      <c r="M23309">
        <v>1</v>
      </c>
      <c r="N23309">
        <v>1.18721E-148</v>
      </c>
      <c r="O23309">
        <v>1347</v>
      </c>
    </row>
    <row r="23310" spans="1:15" x14ac:dyDescent="0.25">
      <c r="A23310" t="s">
        <v>23323</v>
      </c>
      <c r="B23310">
        <v>366</v>
      </c>
      <c r="C23310" s="1" t="str">
        <f>HYPERLINK("http://www.rosaceae.org/gb/gbrowse/malus_x_domestica/?name=MDP0000146743","MDP0000146743")</f>
        <v>MDP0000146743</v>
      </c>
      <c r="D23310">
        <v>78.739999999999995</v>
      </c>
      <c r="E23310">
        <v>334</v>
      </c>
      <c r="F23310">
        <v>71</v>
      </c>
      <c r="G23310">
        <v>1</v>
      </c>
      <c r="H23310">
        <v>33</v>
      </c>
      <c r="I23310">
        <v>366</v>
      </c>
      <c r="J23310">
        <v>1</v>
      </c>
      <c r="K23310">
        <v>29</v>
      </c>
      <c r="L23310">
        <v>361</v>
      </c>
      <c r="M23310">
        <v>1</v>
      </c>
      <c r="N23310">
        <v>1.28293E-159</v>
      </c>
      <c r="O23310">
        <v>1442</v>
      </c>
    </row>
    <row r="23311" spans="1:15" x14ac:dyDescent="0.25">
      <c r="A23311" t="s">
        <v>23324</v>
      </c>
      <c r="B23311">
        <v>414</v>
      </c>
      <c r="C23311" s="1" t="str">
        <f>HYPERLINK("http://www.rosaceae.org/gb/gbrowse/malus_x_domestica/?name=MDP0000181794","MDP0000181794")</f>
        <v>MDP0000181794</v>
      </c>
      <c r="D23311">
        <v>37.729999999999997</v>
      </c>
      <c r="E23311">
        <v>432</v>
      </c>
      <c r="F23311">
        <v>269</v>
      </c>
      <c r="G23311">
        <v>104</v>
      </c>
      <c r="H23311">
        <v>70</v>
      </c>
      <c r="I23311">
        <v>401</v>
      </c>
      <c r="J23311">
        <v>1</v>
      </c>
      <c r="K23311">
        <v>49</v>
      </c>
      <c r="L23311">
        <v>476</v>
      </c>
      <c r="M23311">
        <v>1</v>
      </c>
      <c r="N23311">
        <v>7.3716600000000002E-68</v>
      </c>
      <c r="O23311">
        <v>651</v>
      </c>
    </row>
    <row r="23312" spans="1:15" x14ac:dyDescent="0.25">
      <c r="A23312" t="s">
        <v>23325</v>
      </c>
      <c r="B23312">
        <v>543</v>
      </c>
      <c r="C23312" s="1" t="str">
        <f>HYPERLINK("http://www.rosaceae.org/gb/gbrowse/malus_x_domestica/?name=MDP0000222790","MDP0000222790")</f>
        <v>MDP0000222790</v>
      </c>
      <c r="D23312">
        <v>43.1</v>
      </c>
      <c r="E23312">
        <v>515</v>
      </c>
      <c r="F23312">
        <v>293</v>
      </c>
      <c r="G23312">
        <v>64</v>
      </c>
      <c r="H23312">
        <v>9</v>
      </c>
      <c r="I23312">
        <v>516</v>
      </c>
      <c r="J23312">
        <v>1</v>
      </c>
      <c r="K23312">
        <v>52</v>
      </c>
      <c r="L23312">
        <v>509</v>
      </c>
      <c r="M23312">
        <v>1</v>
      </c>
      <c r="N23312">
        <v>1.52063E-87</v>
      </c>
      <c r="O23312">
        <v>822</v>
      </c>
    </row>
    <row r="23313" spans="1:15" x14ac:dyDescent="0.25">
      <c r="A23313" t="s">
        <v>23326</v>
      </c>
      <c r="B23313">
        <v>345</v>
      </c>
      <c r="C23313" s="1" t="str">
        <f>HYPERLINK("http://www.rosaceae.org/gb/gbrowse/malus_x_domestica/?name=MDP0000485280","MDP0000485280")</f>
        <v>MDP0000485280</v>
      </c>
      <c r="D23313">
        <v>70.44</v>
      </c>
      <c r="E23313">
        <v>362</v>
      </c>
      <c r="F23313">
        <v>107</v>
      </c>
      <c r="G23313">
        <v>28</v>
      </c>
      <c r="H23313">
        <v>1</v>
      </c>
      <c r="I23313">
        <v>344</v>
      </c>
      <c r="J23313">
        <v>1</v>
      </c>
      <c r="K23313">
        <v>1</v>
      </c>
      <c r="L23313">
        <v>352</v>
      </c>
      <c r="M23313">
        <v>1</v>
      </c>
      <c r="N23313">
        <v>2.6194799999999998E-140</v>
      </c>
      <c r="O23313">
        <v>1275</v>
      </c>
    </row>
    <row r="23314" spans="1:15" x14ac:dyDescent="0.25">
      <c r="A23314" t="s">
        <v>23327</v>
      </c>
      <c r="B23314">
        <v>360</v>
      </c>
      <c r="C23314" s="1" t="str">
        <f>HYPERLINK("http://www.rosaceae.org/gb/gbrowse/malus_x_domestica/?name=MDP0000611302","MDP0000611302")</f>
        <v>MDP0000611302</v>
      </c>
      <c r="D23314">
        <v>53.33</v>
      </c>
      <c r="E23314">
        <v>330</v>
      </c>
      <c r="F23314">
        <v>154</v>
      </c>
      <c r="G23314">
        <v>39</v>
      </c>
      <c r="H23314">
        <v>40</v>
      </c>
      <c r="I23314">
        <v>360</v>
      </c>
      <c r="J23314">
        <v>1</v>
      </c>
      <c r="K23314">
        <v>3</v>
      </c>
      <c r="L23314">
        <v>302</v>
      </c>
      <c r="M23314">
        <v>1</v>
      </c>
      <c r="N23314">
        <v>3.52587E-74</v>
      </c>
      <c r="O23314">
        <v>705</v>
      </c>
    </row>
    <row r="23315" spans="1:15" x14ac:dyDescent="0.25">
      <c r="A23315" t="s">
        <v>23328</v>
      </c>
      <c r="B23315">
        <v>652</v>
      </c>
      <c r="C23315" s="1" t="str">
        <f>HYPERLINK("http://www.rosaceae.org/gb/gbrowse/malus_x_domestica/?name=MDP0000672726","MDP0000672726")</f>
        <v>MDP0000672726</v>
      </c>
      <c r="D23315">
        <v>50</v>
      </c>
      <c r="E23315">
        <v>666</v>
      </c>
      <c r="F23315">
        <v>333</v>
      </c>
      <c r="G23315">
        <v>51</v>
      </c>
      <c r="H23315">
        <v>1</v>
      </c>
      <c r="I23315">
        <v>652</v>
      </c>
      <c r="J23315">
        <v>1</v>
      </c>
      <c r="K23315">
        <v>1</v>
      </c>
      <c r="L23315">
        <v>629</v>
      </c>
      <c r="M23315">
        <v>1</v>
      </c>
      <c r="N23315">
        <v>2.5791399999999999E-177</v>
      </c>
      <c r="O23315">
        <v>1597</v>
      </c>
    </row>
    <row r="23316" spans="1:15" x14ac:dyDescent="0.25">
      <c r="A23316" t="s">
        <v>23329</v>
      </c>
      <c r="B23316">
        <v>560</v>
      </c>
      <c r="C23316" s="1" t="str">
        <f>HYPERLINK("http://www.rosaceae.org/gb/gbrowse/malus_x_domestica/?name=MDP0000131298","MDP0000131298")</f>
        <v>MDP0000131298</v>
      </c>
      <c r="D23316">
        <v>45.28</v>
      </c>
      <c r="E23316">
        <v>477</v>
      </c>
      <c r="F23316">
        <v>261</v>
      </c>
      <c r="G23316">
        <v>22</v>
      </c>
      <c r="H23316">
        <v>99</v>
      </c>
      <c r="I23316">
        <v>554</v>
      </c>
      <c r="J23316">
        <v>1</v>
      </c>
      <c r="K23316">
        <v>155</v>
      </c>
      <c r="L23316">
        <v>630</v>
      </c>
      <c r="M23316">
        <v>1</v>
      </c>
      <c r="N23316">
        <v>1.8067000000000001E-122</v>
      </c>
      <c r="O23316">
        <v>1123</v>
      </c>
    </row>
    <row r="23317" spans="1:15" x14ac:dyDescent="0.25">
      <c r="A23317" t="s">
        <v>23330</v>
      </c>
      <c r="B23317">
        <v>461</v>
      </c>
      <c r="C23317" s="1" t="str">
        <f>HYPERLINK("http://www.rosaceae.org/gb/gbrowse/malus_x_domestica/?name=MDP0000827385","MDP0000827385")</f>
        <v>MDP0000827385</v>
      </c>
      <c r="D23317">
        <v>64.650000000000006</v>
      </c>
      <c r="E23317">
        <v>464</v>
      </c>
      <c r="F23317">
        <v>164</v>
      </c>
      <c r="G23317">
        <v>4</v>
      </c>
      <c r="H23317">
        <v>2</v>
      </c>
      <c r="I23317">
        <v>461</v>
      </c>
      <c r="J23317">
        <v>1</v>
      </c>
      <c r="K23317">
        <v>1</v>
      </c>
      <c r="L23317">
        <v>464</v>
      </c>
      <c r="M23317">
        <v>1</v>
      </c>
      <c r="N23317">
        <v>2.3624799999999999E-172</v>
      </c>
      <c r="O23317">
        <v>1552</v>
      </c>
    </row>
    <row r="23318" spans="1:15" x14ac:dyDescent="0.25">
      <c r="A23318" t="s">
        <v>23331</v>
      </c>
      <c r="B23318">
        <v>182</v>
      </c>
      <c r="C23318" s="1" t="str">
        <f>HYPERLINK("http://www.rosaceae.org/gb/gbrowse/malus_x_domestica/?name=MDP0000649022","MDP0000649022")</f>
        <v>MDP0000649022</v>
      </c>
      <c r="D23318">
        <v>42.44</v>
      </c>
      <c r="E23318">
        <v>172</v>
      </c>
      <c r="F23318">
        <v>99</v>
      </c>
      <c r="G23318">
        <v>14</v>
      </c>
      <c r="H23318">
        <v>15</v>
      </c>
      <c r="I23318">
        <v>180</v>
      </c>
      <c r="J23318">
        <v>1</v>
      </c>
      <c r="K23318">
        <v>11</v>
      </c>
      <c r="L23318">
        <v>174</v>
      </c>
      <c r="M23318">
        <v>1</v>
      </c>
      <c r="N23318">
        <v>8.4951599999999999E-30</v>
      </c>
      <c r="O23318">
        <v>318</v>
      </c>
    </row>
    <row r="23319" spans="1:15" x14ac:dyDescent="0.25">
      <c r="A23319" t="s">
        <v>23332</v>
      </c>
      <c r="B23319">
        <v>238</v>
      </c>
      <c r="C23319" s="1" t="str">
        <f>HYPERLINK("http://www.rosaceae.org/gb/gbrowse/malus_x_domestica/?name=MDP0000158939","MDP0000158939")</f>
        <v>MDP0000158939</v>
      </c>
      <c r="D23319">
        <v>81.569999999999993</v>
      </c>
      <c r="E23319">
        <v>38</v>
      </c>
      <c r="F23319">
        <v>7</v>
      </c>
      <c r="G23319">
        <v>0</v>
      </c>
      <c r="H23319">
        <v>200</v>
      </c>
      <c r="I23319">
        <v>237</v>
      </c>
      <c r="J23319">
        <v>1</v>
      </c>
      <c r="K23319">
        <v>40</v>
      </c>
      <c r="L23319">
        <v>77</v>
      </c>
      <c r="M23319">
        <v>1</v>
      </c>
      <c r="N23319">
        <v>6.86087E-12</v>
      </c>
      <c r="O23319">
        <v>165</v>
      </c>
    </row>
    <row r="23320" spans="1:15" x14ac:dyDescent="0.25">
      <c r="A23320" t="s">
        <v>23333</v>
      </c>
      <c r="B23320">
        <v>257</v>
      </c>
      <c r="C23320" s="1" t="str">
        <f>HYPERLINK("http://www.rosaceae.org/gb/gbrowse/malus_x_domestica/?name=MDP0000190843","MDP0000190843")</f>
        <v>MDP0000190843</v>
      </c>
      <c r="D23320">
        <v>58.75</v>
      </c>
      <c r="E23320">
        <v>240</v>
      </c>
      <c r="F23320">
        <v>99</v>
      </c>
      <c r="G23320">
        <v>31</v>
      </c>
      <c r="H23320">
        <v>49</v>
      </c>
      <c r="I23320">
        <v>257</v>
      </c>
      <c r="J23320">
        <v>1</v>
      </c>
      <c r="K23320">
        <v>13</v>
      </c>
      <c r="L23320">
        <v>252</v>
      </c>
      <c r="M23320">
        <v>1</v>
      </c>
      <c r="N23320">
        <v>3.3543400000000002E-70</v>
      </c>
      <c r="O23320">
        <v>669</v>
      </c>
    </row>
    <row r="23321" spans="1:15" x14ac:dyDescent="0.25">
      <c r="A23321" t="s">
        <v>23334</v>
      </c>
      <c r="B23321">
        <v>208</v>
      </c>
      <c r="C23321" s="1" t="str">
        <f>HYPERLINK("http://www.rosaceae.org/gb/gbrowse/malus_x_domestica/?name=MDP0000186402","MDP0000186402")</f>
        <v>MDP0000186402</v>
      </c>
      <c r="D23321">
        <v>33.72</v>
      </c>
      <c r="E23321">
        <v>86</v>
      </c>
      <c r="F23321">
        <v>57</v>
      </c>
      <c r="G23321">
        <v>0</v>
      </c>
      <c r="H23321">
        <v>110</v>
      </c>
      <c r="I23321">
        <v>195</v>
      </c>
      <c r="J23321">
        <v>1</v>
      </c>
      <c r="K23321">
        <v>425</v>
      </c>
      <c r="L23321">
        <v>510</v>
      </c>
      <c r="M23321">
        <v>1</v>
      </c>
      <c r="N23321">
        <v>1.29645E-8</v>
      </c>
      <c r="O23321">
        <v>136</v>
      </c>
    </row>
    <row r="23322" spans="1:15" x14ac:dyDescent="0.25">
      <c r="A23322" t="s">
        <v>23335</v>
      </c>
      <c r="B23322">
        <v>524</v>
      </c>
      <c r="C23322" s="1" t="str">
        <f>HYPERLINK("http://www.rosaceae.org/gb/gbrowse/malus_x_domestica/?name=MDP0000259742","MDP0000259742")</f>
        <v>MDP0000259742</v>
      </c>
      <c r="D23322">
        <v>88.29</v>
      </c>
      <c r="E23322">
        <v>410</v>
      </c>
      <c r="F23322">
        <v>48</v>
      </c>
      <c r="G23322">
        <v>2</v>
      </c>
      <c r="H23322">
        <v>117</v>
      </c>
      <c r="I23322">
        <v>524</v>
      </c>
      <c r="J23322">
        <v>1</v>
      </c>
      <c r="K23322">
        <v>3</v>
      </c>
      <c r="L23322">
        <v>412</v>
      </c>
      <c r="M23322">
        <v>1</v>
      </c>
      <c r="N23322">
        <v>0</v>
      </c>
      <c r="O23322">
        <v>1904</v>
      </c>
    </row>
    <row r="23323" spans="1:15" x14ac:dyDescent="0.25">
      <c r="A23323" t="s">
        <v>23336</v>
      </c>
      <c r="B23323">
        <v>177</v>
      </c>
      <c r="C23323" s="1" t="str">
        <f>HYPERLINK("http://www.rosaceae.org/gb/gbrowse/malus_x_domestica/?name=MDP0000951858","MDP0000951858")</f>
        <v>MDP0000951858</v>
      </c>
      <c r="D23323">
        <v>71.83</v>
      </c>
      <c r="E23323">
        <v>142</v>
      </c>
      <c r="F23323">
        <v>40</v>
      </c>
      <c r="G23323">
        <v>1</v>
      </c>
      <c r="H23323">
        <v>22</v>
      </c>
      <c r="I23323">
        <v>163</v>
      </c>
      <c r="J23323">
        <v>1</v>
      </c>
      <c r="K23323">
        <v>70</v>
      </c>
      <c r="L23323">
        <v>210</v>
      </c>
      <c r="M23323">
        <v>1</v>
      </c>
      <c r="N23323">
        <v>2.7740600000000002E-55</v>
      </c>
      <c r="O23323">
        <v>537</v>
      </c>
    </row>
    <row r="23324" spans="1:15" x14ac:dyDescent="0.25">
      <c r="A23324" t="s">
        <v>23337</v>
      </c>
      <c r="B23324">
        <v>342</v>
      </c>
      <c r="C23324" s="1" t="str">
        <f>HYPERLINK("http://www.rosaceae.org/gb/gbrowse/malus_x_domestica/?name=MDP0000826790","MDP0000826790")</f>
        <v>MDP0000826790</v>
      </c>
      <c r="D23324">
        <v>61.02</v>
      </c>
      <c r="E23324">
        <v>313</v>
      </c>
      <c r="F23324">
        <v>122</v>
      </c>
      <c r="G23324">
        <v>46</v>
      </c>
      <c r="H23324">
        <v>72</v>
      </c>
      <c r="I23324">
        <v>342</v>
      </c>
      <c r="J23324">
        <v>1</v>
      </c>
      <c r="K23324">
        <v>75</v>
      </c>
      <c r="L23324">
        <v>383</v>
      </c>
      <c r="M23324">
        <v>1</v>
      </c>
      <c r="N23324">
        <v>1.79731E-101</v>
      </c>
      <c r="O23324">
        <v>940</v>
      </c>
    </row>
    <row r="23325" spans="1:15" x14ac:dyDescent="0.25">
      <c r="A23325" t="s">
        <v>23338</v>
      </c>
      <c r="B23325">
        <v>480</v>
      </c>
      <c r="C23325" s="1" t="str">
        <f>HYPERLINK("http://www.rosaceae.org/gb/gbrowse/malus_x_domestica/?name=MDP0000933711","MDP0000933711")</f>
        <v>MDP0000933711</v>
      </c>
      <c r="D23325">
        <v>49.36</v>
      </c>
      <c r="E23325">
        <v>472</v>
      </c>
      <c r="F23325">
        <v>239</v>
      </c>
      <c r="G23325">
        <v>13</v>
      </c>
      <c r="H23325">
        <v>4</v>
      </c>
      <c r="I23325">
        <v>465</v>
      </c>
      <c r="J23325">
        <v>1</v>
      </c>
      <c r="K23325">
        <v>1</v>
      </c>
      <c r="L23325">
        <v>469</v>
      </c>
      <c r="M23325">
        <v>1</v>
      </c>
      <c r="N23325">
        <v>7.9146200000000001E-125</v>
      </c>
      <c r="O23325">
        <v>1143</v>
      </c>
    </row>
    <row r="23326" spans="1:15" x14ac:dyDescent="0.25">
      <c r="A23326" t="s">
        <v>23339</v>
      </c>
      <c r="B23326">
        <v>349</v>
      </c>
      <c r="C23326" s="1" t="str">
        <f>HYPERLINK("http://www.rosaceae.org/gb/gbrowse/malus_x_domestica/?name=MDP0000250047","MDP0000250047")</f>
        <v>MDP0000250047</v>
      </c>
      <c r="D23326">
        <v>54.97</v>
      </c>
      <c r="E23326">
        <v>362</v>
      </c>
      <c r="F23326">
        <v>163</v>
      </c>
      <c r="G23326">
        <v>61</v>
      </c>
      <c r="H23326">
        <v>34</v>
      </c>
      <c r="I23326">
        <v>340</v>
      </c>
      <c r="J23326">
        <v>1</v>
      </c>
      <c r="K23326">
        <v>79</v>
      </c>
      <c r="L23326">
        <v>434</v>
      </c>
      <c r="M23326">
        <v>1</v>
      </c>
      <c r="N23326">
        <v>2.64713E-103</v>
      </c>
      <c r="O23326">
        <v>956</v>
      </c>
    </row>
    <row r="23327" spans="1:15" x14ac:dyDescent="0.25">
      <c r="A23327" t="s">
        <v>23340</v>
      </c>
      <c r="B23327">
        <v>587</v>
      </c>
      <c r="C23327" s="1" t="str">
        <f>HYPERLINK("http://www.rosaceae.org/gb/gbrowse/malus_x_domestica/?name=MDP0000609966","MDP0000609966")</f>
        <v>MDP0000609966</v>
      </c>
      <c r="D23327">
        <v>70.98</v>
      </c>
      <c r="E23327">
        <v>548</v>
      </c>
      <c r="F23327">
        <v>159</v>
      </c>
      <c r="G23327">
        <v>13</v>
      </c>
      <c r="H23327">
        <v>28</v>
      </c>
      <c r="I23327">
        <v>568</v>
      </c>
      <c r="J23327">
        <v>1</v>
      </c>
      <c r="K23327">
        <v>26</v>
      </c>
      <c r="L23327">
        <v>567</v>
      </c>
      <c r="M23327">
        <v>1</v>
      </c>
      <c r="N23327">
        <v>0</v>
      </c>
      <c r="O23327">
        <v>2037</v>
      </c>
    </row>
    <row r="23328" spans="1:15" x14ac:dyDescent="0.25">
      <c r="A23328" t="s">
        <v>23341</v>
      </c>
      <c r="B23328">
        <v>182</v>
      </c>
      <c r="C23328" s="1" t="str">
        <f>HYPERLINK("http://www.rosaceae.org/gb/gbrowse/malus_x_domestica/?name=MDP0000242903","MDP0000242903")</f>
        <v>MDP0000242903</v>
      </c>
      <c r="D23328">
        <v>53.84</v>
      </c>
      <c r="E23328">
        <v>182</v>
      </c>
      <c r="F23328">
        <v>84</v>
      </c>
      <c r="G23328">
        <v>32</v>
      </c>
      <c r="H23328">
        <v>1</v>
      </c>
      <c r="I23328">
        <v>153</v>
      </c>
      <c r="J23328">
        <v>1</v>
      </c>
      <c r="K23328">
        <v>1</v>
      </c>
      <c r="L23328">
        <v>179</v>
      </c>
      <c r="M23328">
        <v>1</v>
      </c>
      <c r="N23328">
        <v>1.87028E-41</v>
      </c>
      <c r="O23328">
        <v>418</v>
      </c>
    </row>
    <row r="23329" spans="1:15" x14ac:dyDescent="0.25">
      <c r="A23329" t="s">
        <v>23342</v>
      </c>
      <c r="B23329">
        <v>1121</v>
      </c>
      <c r="C23329" s="1" t="str">
        <f>HYPERLINK("http://www.rosaceae.org/gb/gbrowse/malus_x_domestica/?name=MDP0000641805","MDP0000641805")</f>
        <v>MDP0000641805</v>
      </c>
      <c r="D23329">
        <v>47.44</v>
      </c>
      <c r="E23329">
        <v>489</v>
      </c>
      <c r="F23329">
        <v>257</v>
      </c>
      <c r="G23329">
        <v>27</v>
      </c>
      <c r="H23329">
        <v>1</v>
      </c>
      <c r="I23329">
        <v>466</v>
      </c>
      <c r="J23329">
        <v>1</v>
      </c>
      <c r="K23329">
        <v>1</v>
      </c>
      <c r="L23329">
        <v>485</v>
      </c>
      <c r="M23329">
        <v>1</v>
      </c>
      <c r="N23329">
        <v>2.7972600000000002E-110</v>
      </c>
      <c r="O23329">
        <v>1021</v>
      </c>
    </row>
    <row r="23330" spans="1:15" x14ac:dyDescent="0.25">
      <c r="A23330" t="s">
        <v>23343</v>
      </c>
      <c r="B23330">
        <v>86</v>
      </c>
      <c r="C23330" s="1" t="str">
        <f>HYPERLINK("http://www.rosaceae.org/gb/gbrowse/malus_x_domestica/?name=MDP0000123429","MDP0000123429")</f>
        <v>MDP0000123429</v>
      </c>
      <c r="D23330">
        <v>84.48</v>
      </c>
      <c r="E23330">
        <v>58</v>
      </c>
      <c r="F23330">
        <v>9</v>
      </c>
      <c r="G23330">
        <v>0</v>
      </c>
      <c r="H23330">
        <v>21</v>
      </c>
      <c r="I23330">
        <v>78</v>
      </c>
      <c r="J23330">
        <v>1</v>
      </c>
      <c r="K23330">
        <v>34</v>
      </c>
      <c r="L23330">
        <v>91</v>
      </c>
      <c r="M23330">
        <v>1</v>
      </c>
      <c r="N23330">
        <v>1.7938E-23</v>
      </c>
      <c r="O23330">
        <v>260</v>
      </c>
    </row>
    <row r="23331" spans="1:15" x14ac:dyDescent="0.25">
      <c r="A23331" t="s">
        <v>23344</v>
      </c>
      <c r="B23331">
        <v>415</v>
      </c>
      <c r="C23331" s="1" t="str">
        <f>HYPERLINK("http://www.rosaceae.org/gb/gbrowse/malus_x_domestica/?name=MDP0000317700","MDP0000317700")</f>
        <v>MDP0000317700</v>
      </c>
      <c r="D23331">
        <v>30.57</v>
      </c>
      <c r="E23331">
        <v>157</v>
      </c>
      <c r="F23331">
        <v>109</v>
      </c>
      <c r="G23331">
        <v>14</v>
      </c>
      <c r="H23331">
        <v>39</v>
      </c>
      <c r="I23331">
        <v>186</v>
      </c>
      <c r="J23331">
        <v>1</v>
      </c>
      <c r="K23331">
        <v>465</v>
      </c>
      <c r="L23331">
        <v>616</v>
      </c>
      <c r="M23331">
        <v>1</v>
      </c>
      <c r="N23331">
        <v>1.19077E-7</v>
      </c>
      <c r="O23331">
        <v>132</v>
      </c>
    </row>
    <row r="23332" spans="1:15" x14ac:dyDescent="0.25">
      <c r="A23332" t="s">
        <v>23345</v>
      </c>
      <c r="B23332">
        <v>287</v>
      </c>
      <c r="C23332" s="1" t="str">
        <f>HYPERLINK("http://www.rosaceae.org/gb/gbrowse/malus_x_domestica/?name=MDP0000579770","MDP0000579770")</f>
        <v>MDP0000579770</v>
      </c>
      <c r="D23332">
        <v>65.209999999999994</v>
      </c>
      <c r="E23332">
        <v>299</v>
      </c>
      <c r="F23332">
        <v>104</v>
      </c>
      <c r="G23332">
        <v>18</v>
      </c>
      <c r="H23332">
        <v>1</v>
      </c>
      <c r="I23332">
        <v>287</v>
      </c>
      <c r="J23332">
        <v>1</v>
      </c>
      <c r="K23332">
        <v>1</v>
      </c>
      <c r="L23332">
        <v>293</v>
      </c>
      <c r="M23332">
        <v>1</v>
      </c>
      <c r="N23332">
        <v>1.0795400000000001E-95</v>
      </c>
      <c r="O23332">
        <v>889</v>
      </c>
    </row>
    <row r="23333" spans="1:15" x14ac:dyDescent="0.25">
      <c r="A23333" t="s">
        <v>23346</v>
      </c>
      <c r="B23333">
        <v>121</v>
      </c>
      <c r="C23333" s="1" t="str">
        <f>HYPERLINK("http://www.rosaceae.org/gb/gbrowse/malus_x_domestica/?name=MDP0000281935","MDP0000281935")</f>
        <v>MDP0000281935</v>
      </c>
      <c r="D23333">
        <v>86.04</v>
      </c>
      <c r="E23333">
        <v>43</v>
      </c>
      <c r="F23333">
        <v>6</v>
      </c>
      <c r="G23333">
        <v>0</v>
      </c>
      <c r="H23333">
        <v>2</v>
      </c>
      <c r="I23333">
        <v>44</v>
      </c>
      <c r="J23333">
        <v>1</v>
      </c>
      <c r="K23333">
        <v>237</v>
      </c>
      <c r="L23333">
        <v>279</v>
      </c>
      <c r="M23333">
        <v>1</v>
      </c>
      <c r="N23333">
        <v>1.9881800000000001E-16</v>
      </c>
      <c r="O23333">
        <v>199</v>
      </c>
    </row>
    <row r="23334" spans="1:15" x14ac:dyDescent="0.25">
      <c r="A23334" t="s">
        <v>23347</v>
      </c>
      <c r="B23334">
        <v>235</v>
      </c>
      <c r="C23334" s="1" t="str">
        <f>HYPERLINK("http://www.rosaceae.org/gb/gbrowse/malus_x_domestica/?name=MDP0000266790","MDP0000266790")</f>
        <v>MDP0000266790</v>
      </c>
      <c r="D23334">
        <v>57.24</v>
      </c>
      <c r="E23334">
        <v>145</v>
      </c>
      <c r="F23334">
        <v>62</v>
      </c>
      <c r="G23334">
        <v>11</v>
      </c>
      <c r="H23334">
        <v>1</v>
      </c>
      <c r="I23334">
        <v>134</v>
      </c>
      <c r="J23334">
        <v>1</v>
      </c>
      <c r="K23334">
        <v>178</v>
      </c>
      <c r="L23334">
        <v>322</v>
      </c>
      <c r="M23334">
        <v>1</v>
      </c>
      <c r="N23334">
        <v>1.67892E-43</v>
      </c>
      <c r="O23334">
        <v>438</v>
      </c>
    </row>
    <row r="23335" spans="1:15" x14ac:dyDescent="0.25">
      <c r="A23335" t="s">
        <v>23348</v>
      </c>
      <c r="B23335">
        <v>102</v>
      </c>
      <c r="C23335" s="1" t="str">
        <f>HYPERLINK("http://www.rosaceae.org/gb/gbrowse/malus_x_domestica/?name=MDP0000699531","MDP0000699531")</f>
        <v>MDP0000699531</v>
      </c>
      <c r="D23335">
        <v>59.63</v>
      </c>
      <c r="E23335">
        <v>109</v>
      </c>
      <c r="F23335">
        <v>44</v>
      </c>
      <c r="G23335">
        <v>10</v>
      </c>
      <c r="H23335">
        <v>1</v>
      </c>
      <c r="I23335">
        <v>102</v>
      </c>
      <c r="J23335">
        <v>1</v>
      </c>
      <c r="K23335">
        <v>1</v>
      </c>
      <c r="L23335">
        <v>106</v>
      </c>
      <c r="M23335">
        <v>1</v>
      </c>
      <c r="N23335">
        <v>1.18601E-27</v>
      </c>
      <c r="O23335">
        <v>296</v>
      </c>
    </row>
    <row r="23336" spans="1:15" x14ac:dyDescent="0.25">
      <c r="A23336" t="s">
        <v>23349</v>
      </c>
      <c r="B23336">
        <v>592</v>
      </c>
      <c r="C23336" s="1" t="str">
        <f>HYPERLINK("http://www.rosaceae.org/gb/gbrowse/malus_x_domestica/?name=MDP0000307711","MDP0000307711")</f>
        <v>MDP0000307711</v>
      </c>
      <c r="D23336">
        <v>83.67</v>
      </c>
      <c r="E23336">
        <v>594</v>
      </c>
      <c r="F23336">
        <v>97</v>
      </c>
      <c r="G23336">
        <v>18</v>
      </c>
      <c r="H23336">
        <v>16</v>
      </c>
      <c r="I23336">
        <v>592</v>
      </c>
      <c r="J23336">
        <v>1</v>
      </c>
      <c r="K23336">
        <v>17</v>
      </c>
      <c r="L23336">
        <v>609</v>
      </c>
      <c r="M23336">
        <v>1</v>
      </c>
      <c r="N23336">
        <v>0</v>
      </c>
      <c r="O23336">
        <v>2629</v>
      </c>
    </row>
    <row r="23337" spans="1:15" x14ac:dyDescent="0.25">
      <c r="A23337" t="s">
        <v>23350</v>
      </c>
      <c r="B23337">
        <v>702</v>
      </c>
      <c r="C23337" s="1" t="str">
        <f>HYPERLINK("http://www.rosaceae.org/gb/gbrowse/malus_x_domestica/?name=MDP0000315975","MDP0000315975")</f>
        <v>MDP0000315975</v>
      </c>
      <c r="D23337">
        <v>67.19</v>
      </c>
      <c r="E23337">
        <v>567</v>
      </c>
      <c r="F23337">
        <v>186</v>
      </c>
      <c r="G23337">
        <v>40</v>
      </c>
      <c r="H23337">
        <v>6</v>
      </c>
      <c r="I23337">
        <v>532</v>
      </c>
      <c r="J23337">
        <v>1</v>
      </c>
      <c r="K23337">
        <v>17</v>
      </c>
      <c r="L23337">
        <v>583</v>
      </c>
      <c r="M23337">
        <v>1</v>
      </c>
      <c r="N23337">
        <v>0</v>
      </c>
      <c r="O23337">
        <v>1918</v>
      </c>
    </row>
    <row r="23338" spans="1:15" x14ac:dyDescent="0.25">
      <c r="A23338" t="s">
        <v>23351</v>
      </c>
      <c r="B23338">
        <v>78</v>
      </c>
      <c r="C23338" s="1" t="str">
        <f>HYPERLINK("http://www.rosaceae.org/gb/gbrowse/malus_x_domestica/?name=MDP0000208709","MDP0000208709")</f>
        <v>MDP0000208709</v>
      </c>
      <c r="D23338">
        <v>69.87</v>
      </c>
      <c r="E23338">
        <v>83</v>
      </c>
      <c r="F23338">
        <v>25</v>
      </c>
      <c r="G23338">
        <v>11</v>
      </c>
      <c r="H23338">
        <v>1</v>
      </c>
      <c r="I23338">
        <v>72</v>
      </c>
      <c r="J23338">
        <v>1</v>
      </c>
      <c r="K23338">
        <v>1</v>
      </c>
      <c r="L23338">
        <v>83</v>
      </c>
      <c r="M23338">
        <v>1</v>
      </c>
      <c r="N23338">
        <v>4.1664799999999997E-23</v>
      </c>
      <c r="O23338">
        <v>257</v>
      </c>
    </row>
    <row r="23339" spans="1:15" x14ac:dyDescent="0.25">
      <c r="A23339" t="s">
        <v>23352</v>
      </c>
      <c r="B23339">
        <v>110</v>
      </c>
      <c r="C23339" s="1" t="str">
        <f>HYPERLINK("http://www.rosaceae.org/gb/gbrowse/malus_x_domestica/?name=MDP0000193898","MDP0000193898")</f>
        <v>MDP0000193898</v>
      </c>
      <c r="D23339">
        <v>42.3</v>
      </c>
      <c r="E23339">
        <v>104</v>
      </c>
      <c r="F23339">
        <v>60</v>
      </c>
      <c r="G23339">
        <v>13</v>
      </c>
      <c r="H23339">
        <v>4</v>
      </c>
      <c r="I23339">
        <v>97</v>
      </c>
      <c r="J23339">
        <v>1</v>
      </c>
      <c r="K23339">
        <v>51</v>
      </c>
      <c r="L23339">
        <v>151</v>
      </c>
      <c r="M23339">
        <v>1</v>
      </c>
      <c r="N23339">
        <v>2.5419599999999998E-10</v>
      </c>
      <c r="O23339">
        <v>146</v>
      </c>
    </row>
    <row r="23340" spans="1:15" x14ac:dyDescent="0.25">
      <c r="A23340" t="s">
        <v>23353</v>
      </c>
      <c r="B23340">
        <v>1080</v>
      </c>
      <c r="C23340" s="1" t="str">
        <f>HYPERLINK("http://www.rosaceae.org/gb/gbrowse/malus_x_domestica/?name=MDP0000922576","MDP0000922576")</f>
        <v>MDP0000922576</v>
      </c>
      <c r="D23340">
        <v>65.349999999999994</v>
      </c>
      <c r="E23340">
        <v>1091</v>
      </c>
      <c r="F23340">
        <v>378</v>
      </c>
      <c r="G23340">
        <v>65</v>
      </c>
      <c r="H23340">
        <v>30</v>
      </c>
      <c r="I23340">
        <v>1079</v>
      </c>
      <c r="J23340">
        <v>1</v>
      </c>
      <c r="K23340">
        <v>20</v>
      </c>
      <c r="L23340">
        <v>1086</v>
      </c>
      <c r="M23340">
        <v>1</v>
      </c>
      <c r="N23340">
        <v>0</v>
      </c>
      <c r="O23340">
        <v>3492</v>
      </c>
    </row>
    <row r="23341" spans="1:15" x14ac:dyDescent="0.25">
      <c r="A23341" t="s">
        <v>23354</v>
      </c>
      <c r="B23341">
        <v>634</v>
      </c>
      <c r="C23341" s="1" t="str">
        <f>HYPERLINK("http://www.rosaceae.org/gb/gbrowse/malus_x_domestica/?name=MDP0000143280","MDP0000143280")</f>
        <v>MDP0000143280</v>
      </c>
      <c r="D23341">
        <v>66</v>
      </c>
      <c r="E23341">
        <v>203</v>
      </c>
      <c r="F23341">
        <v>69</v>
      </c>
      <c r="G23341">
        <v>13</v>
      </c>
      <c r="H23341">
        <v>222</v>
      </c>
      <c r="I23341">
        <v>415</v>
      </c>
      <c r="J23341">
        <v>1</v>
      </c>
      <c r="K23341">
        <v>74</v>
      </c>
      <c r="L23341">
        <v>272</v>
      </c>
      <c r="M23341">
        <v>1</v>
      </c>
      <c r="N23341">
        <v>3.7505799999999999E-64</v>
      </c>
      <c r="O23341">
        <v>621</v>
      </c>
    </row>
    <row r="23342" spans="1:15" x14ac:dyDescent="0.25">
      <c r="A23342" t="s">
        <v>23355</v>
      </c>
      <c r="B23342">
        <v>194</v>
      </c>
      <c r="C23342" s="1" t="str">
        <f>HYPERLINK("http://www.rosaceae.org/gb/gbrowse/malus_x_domestica/?name=MDP0000288573","MDP0000288573")</f>
        <v>MDP0000288573</v>
      </c>
      <c r="D23342">
        <v>51.51</v>
      </c>
      <c r="E23342">
        <v>132</v>
      </c>
      <c r="F23342">
        <v>64</v>
      </c>
      <c r="G23342">
        <v>38</v>
      </c>
      <c r="H23342">
        <v>101</v>
      </c>
      <c r="I23342">
        <v>194</v>
      </c>
      <c r="J23342">
        <v>1</v>
      </c>
      <c r="K23342">
        <v>16</v>
      </c>
      <c r="L23342">
        <v>147</v>
      </c>
      <c r="M23342">
        <v>1</v>
      </c>
      <c r="N23342">
        <v>8.4375300000000005E-29</v>
      </c>
      <c r="O23342">
        <v>310</v>
      </c>
    </row>
    <row r="23343" spans="1:15" x14ac:dyDescent="0.25">
      <c r="A23343" t="s">
        <v>23356</v>
      </c>
      <c r="B23343">
        <v>601</v>
      </c>
      <c r="C23343" s="1" t="str">
        <f>HYPERLINK("http://www.rosaceae.org/gb/gbrowse/malus_x_domestica/?name=MDP0000289042","MDP0000289042")</f>
        <v>MDP0000289042</v>
      </c>
      <c r="D23343">
        <v>73.92</v>
      </c>
      <c r="E23343">
        <v>303</v>
      </c>
      <c r="F23343">
        <v>79</v>
      </c>
      <c r="G23343">
        <v>1</v>
      </c>
      <c r="H23343">
        <v>300</v>
      </c>
      <c r="I23343">
        <v>601</v>
      </c>
      <c r="J23343">
        <v>1</v>
      </c>
      <c r="K23343">
        <v>38</v>
      </c>
      <c r="L23343">
        <v>340</v>
      </c>
      <c r="M23343">
        <v>1</v>
      </c>
      <c r="N23343">
        <v>1.92501E-117</v>
      </c>
      <c r="O23343">
        <v>1080</v>
      </c>
    </row>
    <row r="23344" spans="1:15" x14ac:dyDescent="0.25">
      <c r="A23344" t="s">
        <v>23357</v>
      </c>
      <c r="B23344">
        <v>614</v>
      </c>
      <c r="C23344" s="1" t="str">
        <f>HYPERLINK("http://www.rosaceae.org/gb/gbrowse/malus_x_domestica/?name=MDP0000461409","MDP0000461409")</f>
        <v>MDP0000461409</v>
      </c>
      <c r="D23344">
        <v>71.489999999999995</v>
      </c>
      <c r="E23344">
        <v>614</v>
      </c>
      <c r="F23344">
        <v>175</v>
      </c>
      <c r="G23344">
        <v>4</v>
      </c>
      <c r="H23344">
        <v>1</v>
      </c>
      <c r="I23344">
        <v>610</v>
      </c>
      <c r="J23344">
        <v>1</v>
      </c>
      <c r="K23344">
        <v>1</v>
      </c>
      <c r="L23344">
        <v>614</v>
      </c>
      <c r="M23344">
        <v>1</v>
      </c>
      <c r="N23344">
        <v>0</v>
      </c>
      <c r="O23344">
        <v>2394</v>
      </c>
    </row>
    <row r="23345" spans="1:15" x14ac:dyDescent="0.25">
      <c r="A23345" t="s">
        <v>23358</v>
      </c>
      <c r="B23345">
        <v>1657</v>
      </c>
      <c r="C23345" s="1" t="str">
        <f>HYPERLINK("http://www.rosaceae.org/gb/gbrowse/malus_x_domestica/?name=MDP0000276770","MDP0000276770")</f>
        <v>MDP0000276770</v>
      </c>
      <c r="D23345">
        <v>64.92</v>
      </c>
      <c r="E23345">
        <v>1209</v>
      </c>
      <c r="F23345">
        <v>424</v>
      </c>
      <c r="G23345">
        <v>69</v>
      </c>
      <c r="H23345">
        <v>1</v>
      </c>
      <c r="I23345">
        <v>1168</v>
      </c>
      <c r="J23345">
        <v>1</v>
      </c>
      <c r="K23345">
        <v>1</v>
      </c>
      <c r="L23345">
        <v>1181</v>
      </c>
      <c r="M23345">
        <v>1</v>
      </c>
      <c r="N23345">
        <v>0</v>
      </c>
      <c r="O23345">
        <v>4042</v>
      </c>
    </row>
    <row r="23346" spans="1:15" x14ac:dyDescent="0.25">
      <c r="A23346" t="s">
        <v>23359</v>
      </c>
      <c r="B23346">
        <v>619</v>
      </c>
      <c r="C23346" s="1" t="str">
        <f>HYPERLINK("http://www.rosaceae.org/gb/gbrowse/malus_x_domestica/?name=MDP0000180993","MDP0000180993")</f>
        <v>MDP0000180993</v>
      </c>
      <c r="D23346">
        <v>67.260000000000005</v>
      </c>
      <c r="E23346">
        <v>617</v>
      </c>
      <c r="F23346">
        <v>202</v>
      </c>
      <c r="G23346">
        <v>0</v>
      </c>
      <c r="H23346">
        <v>1</v>
      </c>
      <c r="I23346">
        <v>617</v>
      </c>
      <c r="J23346">
        <v>1</v>
      </c>
      <c r="K23346">
        <v>1</v>
      </c>
      <c r="L23346">
        <v>617</v>
      </c>
      <c r="M23346">
        <v>1</v>
      </c>
      <c r="N23346">
        <v>0</v>
      </c>
      <c r="O23346">
        <v>2302</v>
      </c>
    </row>
    <row r="23347" spans="1:15" x14ac:dyDescent="0.25">
      <c r="A23347" t="s">
        <v>23360</v>
      </c>
      <c r="B23347">
        <v>1990</v>
      </c>
      <c r="C23347" s="1" t="str">
        <f>HYPERLINK("http://www.rosaceae.org/gb/gbrowse/malus_x_domestica/?name=MDP0000804233","MDP0000804233")</f>
        <v>MDP0000804233</v>
      </c>
      <c r="D23347">
        <v>74.91</v>
      </c>
      <c r="E23347">
        <v>1439</v>
      </c>
      <c r="F23347">
        <v>361</v>
      </c>
      <c r="G23347">
        <v>15</v>
      </c>
      <c r="H23347">
        <v>546</v>
      </c>
      <c r="I23347">
        <v>1976</v>
      </c>
      <c r="J23347">
        <v>1</v>
      </c>
      <c r="K23347">
        <v>1</v>
      </c>
      <c r="L23347">
        <v>1432</v>
      </c>
      <c r="M23347">
        <v>1</v>
      </c>
      <c r="N23347">
        <v>0</v>
      </c>
      <c r="O23347">
        <v>5581</v>
      </c>
    </row>
    <row r="23348" spans="1:15" x14ac:dyDescent="0.25">
      <c r="A23348" t="s">
        <v>23361</v>
      </c>
      <c r="B23348">
        <v>450</v>
      </c>
      <c r="C23348" s="1" t="str">
        <f>HYPERLINK("http://www.rosaceae.org/gb/gbrowse/malus_x_domestica/?name=MDP0000808501","MDP0000808501")</f>
        <v>MDP0000808501</v>
      </c>
      <c r="D23348">
        <v>33.979999999999997</v>
      </c>
      <c r="E23348">
        <v>459</v>
      </c>
      <c r="F23348">
        <v>303</v>
      </c>
      <c r="G23348">
        <v>96</v>
      </c>
      <c r="H23348">
        <v>18</v>
      </c>
      <c r="I23348">
        <v>450</v>
      </c>
      <c r="J23348">
        <v>1</v>
      </c>
      <c r="K23348">
        <v>10</v>
      </c>
      <c r="L23348">
        <v>398</v>
      </c>
      <c r="M23348">
        <v>1</v>
      </c>
      <c r="N23348">
        <v>2.6447100000000001E-48</v>
      </c>
      <c r="O23348">
        <v>483</v>
      </c>
    </row>
    <row r="23349" spans="1:15" x14ac:dyDescent="0.25">
      <c r="A23349" t="s">
        <v>23362</v>
      </c>
      <c r="B23349">
        <v>622</v>
      </c>
      <c r="C23349" s="1" t="str">
        <f>HYPERLINK("http://www.rosaceae.org/gb/gbrowse/malus_x_domestica/?name=MDP0000138646","MDP0000138646")</f>
        <v>MDP0000138646</v>
      </c>
      <c r="D23349">
        <v>59.9</v>
      </c>
      <c r="E23349">
        <v>434</v>
      </c>
      <c r="F23349">
        <v>174</v>
      </c>
      <c r="G23349">
        <v>9</v>
      </c>
      <c r="H23349">
        <v>135</v>
      </c>
      <c r="I23349">
        <v>563</v>
      </c>
      <c r="J23349">
        <v>1</v>
      </c>
      <c r="K23349">
        <v>28</v>
      </c>
      <c r="L23349">
        <v>457</v>
      </c>
      <c r="M23349">
        <v>1</v>
      </c>
      <c r="N23349">
        <v>2.03091E-134</v>
      </c>
      <c r="O23349">
        <v>1227</v>
      </c>
    </row>
    <row r="23350" spans="1:15" x14ac:dyDescent="0.25">
      <c r="A23350" t="s">
        <v>23363</v>
      </c>
      <c r="B23350">
        <v>3662</v>
      </c>
      <c r="C23350" s="1" t="str">
        <f>HYPERLINK("http://www.rosaceae.org/gb/gbrowse/malus_x_domestica/?name=MDP0000317611","MDP0000317611")</f>
        <v>MDP0000317611</v>
      </c>
      <c r="D23350">
        <v>65.34</v>
      </c>
      <c r="E23350">
        <v>3180</v>
      </c>
      <c r="F23350">
        <v>1102</v>
      </c>
      <c r="G23350">
        <v>248</v>
      </c>
      <c r="H23350">
        <v>565</v>
      </c>
      <c r="I23350">
        <v>3651</v>
      </c>
      <c r="J23350">
        <v>1</v>
      </c>
      <c r="K23350">
        <v>1</v>
      </c>
      <c r="L23350">
        <v>3025</v>
      </c>
      <c r="M23350">
        <v>1</v>
      </c>
      <c r="N23350">
        <v>0</v>
      </c>
      <c r="O23350">
        <v>10241</v>
      </c>
    </row>
    <row r="23351" spans="1:15" x14ac:dyDescent="0.25">
      <c r="A23351" t="s">
        <v>23364</v>
      </c>
      <c r="B23351">
        <v>835</v>
      </c>
      <c r="C23351" s="1" t="str">
        <f>HYPERLINK("http://www.rosaceae.org/gb/gbrowse/malus_x_domestica/?name=MDP0000613689","MDP0000613689")</f>
        <v>MDP0000613689</v>
      </c>
      <c r="D23351">
        <v>55.89</v>
      </c>
      <c r="E23351">
        <v>229</v>
      </c>
      <c r="F23351">
        <v>101</v>
      </c>
      <c r="G23351">
        <v>2</v>
      </c>
      <c r="H23351">
        <v>1</v>
      </c>
      <c r="I23351">
        <v>229</v>
      </c>
      <c r="J23351">
        <v>1</v>
      </c>
      <c r="K23351">
        <v>36</v>
      </c>
      <c r="L23351">
        <v>262</v>
      </c>
      <c r="M23351">
        <v>1</v>
      </c>
      <c r="N23351">
        <v>2.54799E-64</v>
      </c>
      <c r="O23351">
        <v>623</v>
      </c>
    </row>
    <row r="23352" spans="1:15" x14ac:dyDescent="0.25">
      <c r="A23352" t="s">
        <v>23365</v>
      </c>
      <c r="B23352">
        <v>168</v>
      </c>
      <c r="C23352" s="1" t="str">
        <f>HYPERLINK("http://www.rosaceae.org/gb/gbrowse/malus_x_domestica/?name=MDP0000863012","MDP0000863012")</f>
        <v>MDP0000863012</v>
      </c>
      <c r="D23352">
        <v>72.27</v>
      </c>
      <c r="E23352">
        <v>202</v>
      </c>
      <c r="F23352">
        <v>56</v>
      </c>
      <c r="G23352">
        <v>37</v>
      </c>
      <c r="H23352">
        <v>4</v>
      </c>
      <c r="I23352">
        <v>168</v>
      </c>
      <c r="J23352">
        <v>1</v>
      </c>
      <c r="K23352">
        <v>608</v>
      </c>
      <c r="L23352">
        <v>809</v>
      </c>
      <c r="M23352">
        <v>1</v>
      </c>
      <c r="N23352">
        <v>6.5501799999999997E-79</v>
      </c>
      <c r="O23352">
        <v>741</v>
      </c>
    </row>
    <row r="23353" spans="1:15" x14ac:dyDescent="0.25">
      <c r="A23353" t="s">
        <v>23366</v>
      </c>
      <c r="B23353">
        <v>321</v>
      </c>
      <c r="C23353" s="1" t="str">
        <f>HYPERLINK("http://www.rosaceae.org/gb/gbrowse/malus_x_domestica/?name=MDP0000316694","MDP0000316694")</f>
        <v>MDP0000316694</v>
      </c>
      <c r="D23353">
        <v>54.07</v>
      </c>
      <c r="E23353">
        <v>233</v>
      </c>
      <c r="F23353">
        <v>107</v>
      </c>
      <c r="G23353">
        <v>20</v>
      </c>
      <c r="H23353">
        <v>38</v>
      </c>
      <c r="I23353">
        <v>258</v>
      </c>
      <c r="J23353">
        <v>1</v>
      </c>
      <c r="K23353">
        <v>80</v>
      </c>
      <c r="L23353">
        <v>304</v>
      </c>
      <c r="M23353">
        <v>1</v>
      </c>
      <c r="N23353">
        <v>2.06545E-51</v>
      </c>
      <c r="O23353">
        <v>508</v>
      </c>
    </row>
    <row r="23354" spans="1:15" x14ac:dyDescent="0.25">
      <c r="A23354" t="s">
        <v>23367</v>
      </c>
      <c r="B23354">
        <v>190</v>
      </c>
      <c r="C23354" s="1" t="str">
        <f>HYPERLINK("http://www.rosaceae.org/gb/gbrowse/malus_x_domestica/?name=MDP0000810477","MDP0000810477")</f>
        <v>MDP0000810477</v>
      </c>
      <c r="D23354">
        <v>68.040000000000006</v>
      </c>
      <c r="E23354">
        <v>194</v>
      </c>
      <c r="F23354">
        <v>62</v>
      </c>
      <c r="G23354">
        <v>9</v>
      </c>
      <c r="H23354">
        <v>5</v>
      </c>
      <c r="I23354">
        <v>190</v>
      </c>
      <c r="J23354">
        <v>1</v>
      </c>
      <c r="K23354">
        <v>1</v>
      </c>
      <c r="L23354">
        <v>193</v>
      </c>
      <c r="M23354">
        <v>1</v>
      </c>
      <c r="N23354">
        <v>6.4785099999999999E-74</v>
      </c>
      <c r="O23354">
        <v>699</v>
      </c>
    </row>
    <row r="23355" spans="1:15" x14ac:dyDescent="0.25">
      <c r="A23355" t="s">
        <v>23368</v>
      </c>
      <c r="B23355">
        <v>181</v>
      </c>
      <c r="C23355" s="1" t="str">
        <f>HYPERLINK("http://www.rosaceae.org/gb/gbrowse/malus_x_domestica/?name=MDP0000136726","MDP0000136726")</f>
        <v>MDP0000136726</v>
      </c>
      <c r="D23355">
        <v>52.5</v>
      </c>
      <c r="E23355">
        <v>160</v>
      </c>
      <c r="F23355">
        <v>76</v>
      </c>
      <c r="G23355">
        <v>10</v>
      </c>
      <c r="H23355">
        <v>22</v>
      </c>
      <c r="I23355">
        <v>181</v>
      </c>
      <c r="J23355">
        <v>1</v>
      </c>
      <c r="K23355">
        <v>22</v>
      </c>
      <c r="L23355">
        <v>171</v>
      </c>
      <c r="M23355">
        <v>1</v>
      </c>
      <c r="N23355">
        <v>4.1532399999999997E-40</v>
      </c>
      <c r="O23355">
        <v>407</v>
      </c>
    </row>
    <row r="23356" spans="1:15" x14ac:dyDescent="0.25">
      <c r="A23356" t="s">
        <v>23369</v>
      </c>
      <c r="B23356">
        <v>126</v>
      </c>
      <c r="C23356" s="1" t="str">
        <f>HYPERLINK("http://www.rosaceae.org/gb/gbrowse/malus_x_domestica/?name=MDP0000907632","MDP0000907632")</f>
        <v>MDP0000907632</v>
      </c>
      <c r="D23356">
        <v>92.3</v>
      </c>
      <c r="E23356">
        <v>52</v>
      </c>
      <c r="F23356">
        <v>4</v>
      </c>
      <c r="G23356">
        <v>0</v>
      </c>
      <c r="H23356">
        <v>1</v>
      </c>
      <c r="I23356">
        <v>52</v>
      </c>
      <c r="J23356">
        <v>1</v>
      </c>
      <c r="K23356">
        <v>1</v>
      </c>
      <c r="L23356">
        <v>52</v>
      </c>
      <c r="M23356">
        <v>1</v>
      </c>
      <c r="N23356">
        <v>1.2625E-22</v>
      </c>
      <c r="O23356">
        <v>253</v>
      </c>
    </row>
    <row r="23357" spans="1:15" x14ac:dyDescent="0.25">
      <c r="A23357" t="s">
        <v>23370</v>
      </c>
      <c r="B23357">
        <v>431</v>
      </c>
      <c r="C23357" s="1" t="str">
        <f>HYPERLINK("http://www.rosaceae.org/gb/gbrowse/malus_x_domestica/?name=MDP0000171055","MDP0000171055")</f>
        <v>MDP0000171055</v>
      </c>
      <c r="D23357">
        <v>76.489999999999995</v>
      </c>
      <c r="E23357">
        <v>434</v>
      </c>
      <c r="F23357">
        <v>102</v>
      </c>
      <c r="G23357">
        <v>5</v>
      </c>
      <c r="H23357">
        <v>1</v>
      </c>
      <c r="I23357">
        <v>431</v>
      </c>
      <c r="J23357">
        <v>1</v>
      </c>
      <c r="K23357">
        <v>92</v>
      </c>
      <c r="L23357">
        <v>523</v>
      </c>
      <c r="M23357">
        <v>1</v>
      </c>
      <c r="N23357">
        <v>0</v>
      </c>
      <c r="O23357">
        <v>1707</v>
      </c>
    </row>
    <row r="23358" spans="1:15" x14ac:dyDescent="0.25">
      <c r="A23358" t="s">
        <v>23371</v>
      </c>
      <c r="B23358">
        <v>354</v>
      </c>
      <c r="C23358" s="1" t="str">
        <f>HYPERLINK("http://www.rosaceae.org/gb/gbrowse/malus_x_domestica/?name=MDP0000150438","MDP0000150438")</f>
        <v>MDP0000150438</v>
      </c>
      <c r="D23358">
        <v>44.5</v>
      </c>
      <c r="E23358">
        <v>355</v>
      </c>
      <c r="F23358">
        <v>197</v>
      </c>
      <c r="G23358">
        <v>33</v>
      </c>
      <c r="H23358">
        <v>5</v>
      </c>
      <c r="I23358">
        <v>354</v>
      </c>
      <c r="J23358">
        <v>1</v>
      </c>
      <c r="K23358">
        <v>58</v>
      </c>
      <c r="L23358">
        <v>384</v>
      </c>
      <c r="M23358">
        <v>1</v>
      </c>
      <c r="N23358">
        <v>2.05715E-66</v>
      </c>
      <c r="O23358">
        <v>638</v>
      </c>
    </row>
    <row r="23359" spans="1:15" x14ac:dyDescent="0.25">
      <c r="A23359" t="s">
        <v>23372</v>
      </c>
      <c r="B23359">
        <v>324</v>
      </c>
      <c r="C23359" s="1" t="str">
        <f>HYPERLINK("http://www.rosaceae.org/gb/gbrowse/malus_x_domestica/?name=MDP0000449224","MDP0000449224")</f>
        <v>MDP0000449224</v>
      </c>
      <c r="D23359">
        <v>91.27</v>
      </c>
      <c r="E23359">
        <v>172</v>
      </c>
      <c r="F23359">
        <v>15</v>
      </c>
      <c r="G23359">
        <v>0</v>
      </c>
      <c r="H23359">
        <v>153</v>
      </c>
      <c r="I23359">
        <v>324</v>
      </c>
      <c r="J23359">
        <v>1</v>
      </c>
      <c r="K23359">
        <v>1</v>
      </c>
      <c r="L23359">
        <v>172</v>
      </c>
      <c r="M23359">
        <v>1</v>
      </c>
      <c r="N23359">
        <v>6.0206300000000002E-92</v>
      </c>
      <c r="O23359">
        <v>857</v>
      </c>
    </row>
    <row r="23360" spans="1:15" x14ac:dyDescent="0.25">
      <c r="A23360" t="s">
        <v>23373</v>
      </c>
      <c r="B23360">
        <v>246</v>
      </c>
      <c r="C23360" s="1" t="str">
        <f>HYPERLINK("http://www.rosaceae.org/gb/gbrowse/malus_x_domestica/?name=MDP0000686466","MDP0000686466")</f>
        <v>MDP0000686466</v>
      </c>
      <c r="D23360">
        <v>77.63</v>
      </c>
      <c r="E23360">
        <v>152</v>
      </c>
      <c r="F23360">
        <v>34</v>
      </c>
      <c r="G23360">
        <v>0</v>
      </c>
      <c r="H23360">
        <v>36</v>
      </c>
      <c r="I23360">
        <v>187</v>
      </c>
      <c r="J23360">
        <v>1</v>
      </c>
      <c r="K23360">
        <v>35</v>
      </c>
      <c r="L23360">
        <v>186</v>
      </c>
      <c r="M23360">
        <v>1</v>
      </c>
      <c r="N23360">
        <v>4.2884999999999997E-64</v>
      </c>
      <c r="O23360">
        <v>616</v>
      </c>
    </row>
    <row r="23361" spans="1:15" x14ac:dyDescent="0.25">
      <c r="A23361" t="s">
        <v>23374</v>
      </c>
      <c r="B23361">
        <v>434</v>
      </c>
      <c r="C23361" s="1" t="str">
        <f>HYPERLINK("http://www.rosaceae.org/gb/gbrowse/malus_x_domestica/?name=MDP0000151000","MDP0000151000")</f>
        <v>MDP0000151000</v>
      </c>
      <c r="D23361">
        <v>76.03</v>
      </c>
      <c r="E23361">
        <v>363</v>
      </c>
      <c r="F23361">
        <v>87</v>
      </c>
      <c r="G23361">
        <v>10</v>
      </c>
      <c r="H23361">
        <v>72</v>
      </c>
      <c r="I23361">
        <v>433</v>
      </c>
      <c r="J23361">
        <v>1</v>
      </c>
      <c r="K23361">
        <v>6</v>
      </c>
      <c r="L23361">
        <v>359</v>
      </c>
      <c r="M23361">
        <v>1</v>
      </c>
      <c r="N23361">
        <v>5.4810399999999996E-156</v>
      </c>
      <c r="O23361">
        <v>1411</v>
      </c>
    </row>
    <row r="23362" spans="1:15" x14ac:dyDescent="0.25">
      <c r="A23362" t="s">
        <v>23375</v>
      </c>
      <c r="B23362">
        <v>82</v>
      </c>
      <c r="C23362" s="1" t="str">
        <f>HYPERLINK("http://www.rosaceae.org/gb/gbrowse/malus_x_domestica/?name=MDP0000254471","MDP0000254471")</f>
        <v>MDP0000254471</v>
      </c>
      <c r="D23362">
        <v>84.09</v>
      </c>
      <c r="E23362">
        <v>44</v>
      </c>
      <c r="F23362">
        <v>7</v>
      </c>
      <c r="G23362">
        <v>0</v>
      </c>
      <c r="H23362">
        <v>39</v>
      </c>
      <c r="I23362">
        <v>82</v>
      </c>
      <c r="J23362">
        <v>1</v>
      </c>
      <c r="K23362">
        <v>141</v>
      </c>
      <c r="L23362">
        <v>184</v>
      </c>
      <c r="M23362">
        <v>1</v>
      </c>
      <c r="N23362">
        <v>4.8707199999999999E-17</v>
      </c>
      <c r="O23362">
        <v>204</v>
      </c>
    </row>
    <row r="23363" spans="1:15" x14ac:dyDescent="0.25">
      <c r="A23363" t="s">
        <v>23376</v>
      </c>
      <c r="B23363">
        <v>456</v>
      </c>
      <c r="C23363" s="1" t="str">
        <f>HYPERLINK("http://www.rosaceae.org/gb/gbrowse/malus_x_domestica/?name=MDP0000245918","MDP0000245918")</f>
        <v>MDP0000245918</v>
      </c>
      <c r="D23363">
        <v>84.94</v>
      </c>
      <c r="E23363">
        <v>299</v>
      </c>
      <c r="F23363">
        <v>45</v>
      </c>
      <c r="G23363">
        <v>4</v>
      </c>
      <c r="H23363">
        <v>162</v>
      </c>
      <c r="I23363">
        <v>456</v>
      </c>
      <c r="J23363">
        <v>1</v>
      </c>
      <c r="K23363">
        <v>9</v>
      </c>
      <c r="L23363">
        <v>307</v>
      </c>
      <c r="M23363">
        <v>1</v>
      </c>
      <c r="N23363">
        <v>4.4937000000000001E-150</v>
      </c>
      <c r="O23363">
        <v>1360</v>
      </c>
    </row>
    <row r="23364" spans="1:15" x14ac:dyDescent="0.25">
      <c r="A23364" t="s">
        <v>23377</v>
      </c>
      <c r="B23364">
        <v>259</v>
      </c>
      <c r="C23364" s="1" t="str">
        <f>HYPERLINK("http://www.rosaceae.org/gb/gbrowse/malus_x_domestica/?name=MDP0000320196","MDP0000320196")</f>
        <v>MDP0000320196</v>
      </c>
      <c r="D23364">
        <v>62.2</v>
      </c>
      <c r="E23364">
        <v>127</v>
      </c>
      <c r="F23364">
        <v>48</v>
      </c>
      <c r="G23364">
        <v>2</v>
      </c>
      <c r="H23364">
        <v>2</v>
      </c>
      <c r="I23364">
        <v>126</v>
      </c>
      <c r="J23364">
        <v>1</v>
      </c>
      <c r="K23364">
        <v>185</v>
      </c>
      <c r="L23364">
        <v>311</v>
      </c>
      <c r="M23364">
        <v>1</v>
      </c>
      <c r="N23364">
        <v>5.5601799999999997E-40</v>
      </c>
      <c r="O23364">
        <v>408</v>
      </c>
    </row>
    <row r="23365" spans="1:15" x14ac:dyDescent="0.25">
      <c r="A23365" t="s">
        <v>23378</v>
      </c>
      <c r="B23365">
        <v>211</v>
      </c>
      <c r="C23365" s="1" t="str">
        <f>HYPERLINK("http://www.rosaceae.org/gb/gbrowse/malus_x_domestica/?name=MDP0000727270","MDP0000727270")</f>
        <v>MDP0000727270</v>
      </c>
      <c r="D23365">
        <v>87.02</v>
      </c>
      <c r="E23365">
        <v>185</v>
      </c>
      <c r="F23365">
        <v>24</v>
      </c>
      <c r="G23365">
        <v>0</v>
      </c>
      <c r="H23365">
        <v>27</v>
      </c>
      <c r="I23365">
        <v>211</v>
      </c>
      <c r="J23365">
        <v>1</v>
      </c>
      <c r="K23365">
        <v>1</v>
      </c>
      <c r="L23365">
        <v>185</v>
      </c>
      <c r="M23365">
        <v>1</v>
      </c>
      <c r="N23365">
        <v>4.54482E-92</v>
      </c>
      <c r="O23365">
        <v>856</v>
      </c>
    </row>
    <row r="23366" spans="1:15" x14ac:dyDescent="0.25">
      <c r="A23366" t="s">
        <v>23379</v>
      </c>
      <c r="B23366">
        <v>586</v>
      </c>
      <c r="C23366" s="1" t="str">
        <f>HYPERLINK("http://www.rosaceae.org/gb/gbrowse/malus_x_domestica/?name=MDP0000836166","MDP0000836166")</f>
        <v>MDP0000836166</v>
      </c>
      <c r="D23366">
        <v>60.81</v>
      </c>
      <c r="E23366">
        <v>416</v>
      </c>
      <c r="F23366">
        <v>163</v>
      </c>
      <c r="G23366">
        <v>20</v>
      </c>
      <c r="H23366">
        <v>1</v>
      </c>
      <c r="I23366">
        <v>400</v>
      </c>
      <c r="J23366">
        <v>1</v>
      </c>
      <c r="K23366">
        <v>1</v>
      </c>
      <c r="L23366">
        <v>412</v>
      </c>
      <c r="M23366">
        <v>1</v>
      </c>
      <c r="N23366">
        <v>6.5428000000000001E-136</v>
      </c>
      <c r="O23366">
        <v>1239</v>
      </c>
    </row>
    <row r="23367" spans="1:15" x14ac:dyDescent="0.25">
      <c r="A23367" t="s">
        <v>23380</v>
      </c>
      <c r="B23367">
        <v>357</v>
      </c>
      <c r="C23367" s="1" t="str">
        <f>HYPERLINK("http://www.rosaceae.org/gb/gbrowse/malus_x_domestica/?name=MDP0000888237","MDP0000888237")</f>
        <v>MDP0000888237</v>
      </c>
      <c r="D23367">
        <v>84.04</v>
      </c>
      <c r="E23367">
        <v>188</v>
      </c>
      <c r="F23367">
        <v>30</v>
      </c>
      <c r="G23367">
        <v>1</v>
      </c>
      <c r="H23367">
        <v>170</v>
      </c>
      <c r="I23367">
        <v>356</v>
      </c>
      <c r="J23367">
        <v>1</v>
      </c>
      <c r="K23367">
        <v>2</v>
      </c>
      <c r="L23367">
        <v>189</v>
      </c>
      <c r="M23367">
        <v>1</v>
      </c>
      <c r="N23367">
        <v>4.2044299999999998E-88</v>
      </c>
      <c r="O23367">
        <v>825</v>
      </c>
    </row>
    <row r="23368" spans="1:15" x14ac:dyDescent="0.25">
      <c r="A23368" t="s">
        <v>23381</v>
      </c>
      <c r="B23368">
        <v>689</v>
      </c>
      <c r="C23368" s="1" t="str">
        <f>HYPERLINK("http://www.rosaceae.org/gb/gbrowse/malus_x_domestica/?name=MDP0000311595","MDP0000311595")</f>
        <v>MDP0000311595</v>
      </c>
      <c r="D23368">
        <v>86.18</v>
      </c>
      <c r="E23368">
        <v>181</v>
      </c>
      <c r="F23368">
        <v>25</v>
      </c>
      <c r="G23368">
        <v>0</v>
      </c>
      <c r="H23368">
        <v>168</v>
      </c>
      <c r="I23368">
        <v>348</v>
      </c>
      <c r="J23368">
        <v>1</v>
      </c>
      <c r="K23368">
        <v>849</v>
      </c>
      <c r="L23368">
        <v>1029</v>
      </c>
      <c r="M23368">
        <v>1</v>
      </c>
      <c r="N23368">
        <v>4.6174199999999998E-94</v>
      </c>
      <c r="O23368">
        <v>879</v>
      </c>
    </row>
    <row r="23369" spans="1:15" x14ac:dyDescent="0.25">
      <c r="A23369" t="s">
        <v>23382</v>
      </c>
      <c r="B23369">
        <v>443</v>
      </c>
      <c r="C23369" s="1" t="str">
        <f>HYPERLINK("http://www.rosaceae.org/gb/gbrowse/malus_x_domestica/?name=MDP0000283975","MDP0000283975")</f>
        <v>MDP0000283975</v>
      </c>
      <c r="D23369">
        <v>35.64</v>
      </c>
      <c r="E23369">
        <v>432</v>
      </c>
      <c r="F23369">
        <v>278</v>
      </c>
      <c r="G23369">
        <v>76</v>
      </c>
      <c r="H23369">
        <v>9</v>
      </c>
      <c r="I23369">
        <v>411</v>
      </c>
      <c r="J23369">
        <v>1</v>
      </c>
      <c r="K23369">
        <v>13</v>
      </c>
      <c r="L23369">
        <v>397</v>
      </c>
      <c r="M23369">
        <v>1</v>
      </c>
      <c r="N23369">
        <v>1.0187800000000001E-44</v>
      </c>
      <c r="O23369">
        <v>452</v>
      </c>
    </row>
    <row r="23370" spans="1:15" x14ac:dyDescent="0.25">
      <c r="A23370" t="s">
        <v>23383</v>
      </c>
      <c r="B23370">
        <v>1423</v>
      </c>
      <c r="C23370" s="1" t="str">
        <f>HYPERLINK("http://www.rosaceae.org/gb/gbrowse/malus_x_domestica/?name=MDP0000240375","MDP0000240375")</f>
        <v>MDP0000240375</v>
      </c>
      <c r="D23370">
        <v>58.62</v>
      </c>
      <c r="E23370">
        <v>858</v>
      </c>
      <c r="F23370">
        <v>355</v>
      </c>
      <c r="G23370">
        <v>94</v>
      </c>
      <c r="H23370">
        <v>165</v>
      </c>
      <c r="I23370">
        <v>937</v>
      </c>
      <c r="J23370">
        <v>1</v>
      </c>
      <c r="K23370">
        <v>12</v>
      </c>
      <c r="L23370">
        <v>860</v>
      </c>
      <c r="M23370">
        <v>1</v>
      </c>
      <c r="N23370">
        <v>0</v>
      </c>
      <c r="O23370">
        <v>2536</v>
      </c>
    </row>
    <row r="23371" spans="1:15" x14ac:dyDescent="0.25">
      <c r="A23371" t="s">
        <v>23384</v>
      </c>
      <c r="B23371">
        <v>213</v>
      </c>
      <c r="C23371" s="1" t="str">
        <f>HYPERLINK("http://www.rosaceae.org/gb/gbrowse/malus_x_domestica/?name=MDP0000229027","MDP0000229027")</f>
        <v>MDP0000229027</v>
      </c>
      <c r="D23371">
        <v>56.06</v>
      </c>
      <c r="E23371">
        <v>198</v>
      </c>
      <c r="F23371">
        <v>87</v>
      </c>
      <c r="G23371">
        <v>1</v>
      </c>
      <c r="H23371">
        <v>16</v>
      </c>
      <c r="I23371">
        <v>213</v>
      </c>
      <c r="J23371">
        <v>1</v>
      </c>
      <c r="K23371">
        <v>6</v>
      </c>
      <c r="L23371">
        <v>202</v>
      </c>
      <c r="M23371">
        <v>1</v>
      </c>
      <c r="N23371">
        <v>7.4564800000000005E-57</v>
      </c>
      <c r="O23371">
        <v>552</v>
      </c>
    </row>
    <row r="23372" spans="1:15" x14ac:dyDescent="0.25">
      <c r="A23372" t="s">
        <v>23385</v>
      </c>
      <c r="B23372">
        <v>439</v>
      </c>
      <c r="C23372" s="1" t="str">
        <f>HYPERLINK("http://www.rosaceae.org/gb/gbrowse/malus_x_domestica/?name=MDP0000265983","MDP0000265983")</f>
        <v>MDP0000265983</v>
      </c>
      <c r="D23372">
        <v>85.35</v>
      </c>
      <c r="E23372">
        <v>314</v>
      </c>
      <c r="F23372">
        <v>46</v>
      </c>
      <c r="G23372">
        <v>0</v>
      </c>
      <c r="H23372">
        <v>123</v>
      </c>
      <c r="I23372">
        <v>436</v>
      </c>
      <c r="J23372">
        <v>1</v>
      </c>
      <c r="K23372">
        <v>35</v>
      </c>
      <c r="L23372">
        <v>348</v>
      </c>
      <c r="M23372">
        <v>1</v>
      </c>
      <c r="N23372">
        <v>1.5890300000000001E-162</v>
      </c>
      <c r="O23372">
        <v>1467</v>
      </c>
    </row>
    <row r="23373" spans="1:15" x14ac:dyDescent="0.25">
      <c r="A23373" t="s">
        <v>23386</v>
      </c>
      <c r="B23373">
        <v>381</v>
      </c>
      <c r="C23373" s="1" t="str">
        <f>HYPERLINK("http://www.rosaceae.org/gb/gbrowse/malus_x_domestica/?name=MDP0000242051","MDP0000242051")</f>
        <v>MDP0000242051</v>
      </c>
      <c r="D23373">
        <v>66.86</v>
      </c>
      <c r="E23373">
        <v>344</v>
      </c>
      <c r="F23373">
        <v>114</v>
      </c>
      <c r="G23373">
        <v>10</v>
      </c>
      <c r="H23373">
        <v>45</v>
      </c>
      <c r="I23373">
        <v>378</v>
      </c>
      <c r="J23373">
        <v>1</v>
      </c>
      <c r="K23373">
        <v>32</v>
      </c>
      <c r="L23373">
        <v>375</v>
      </c>
      <c r="M23373">
        <v>1</v>
      </c>
      <c r="N23373">
        <v>1.1706000000000001E-121</v>
      </c>
      <c r="O23373">
        <v>1114</v>
      </c>
    </row>
    <row r="23374" spans="1:15" x14ac:dyDescent="0.25">
      <c r="A23374" t="s">
        <v>23387</v>
      </c>
      <c r="B23374">
        <v>108</v>
      </c>
      <c r="C23374" s="1" t="str">
        <f>HYPERLINK("http://www.rosaceae.org/gb/gbrowse/malus_x_domestica/?name=MDP0000239496","MDP0000239496")</f>
        <v>MDP0000239496</v>
      </c>
      <c r="D23374">
        <v>65.55</v>
      </c>
      <c r="E23374">
        <v>90</v>
      </c>
      <c r="F23374">
        <v>31</v>
      </c>
      <c r="G23374">
        <v>6</v>
      </c>
      <c r="H23374">
        <v>20</v>
      </c>
      <c r="I23374">
        <v>107</v>
      </c>
      <c r="J23374">
        <v>1</v>
      </c>
      <c r="K23374">
        <v>28</v>
      </c>
      <c r="L23374">
        <v>113</v>
      </c>
      <c r="M23374">
        <v>1</v>
      </c>
      <c r="N23374">
        <v>4.2415500000000002E-23</v>
      </c>
      <c r="O23374">
        <v>257</v>
      </c>
    </row>
    <row r="23375" spans="1:15" x14ac:dyDescent="0.25">
      <c r="A23375" t="s">
        <v>23388</v>
      </c>
      <c r="B23375">
        <v>251</v>
      </c>
      <c r="C23375" s="1" t="str">
        <f>HYPERLINK("http://www.rosaceae.org/gb/gbrowse/malus_x_domestica/?name=MDP0000169853","MDP0000169853")</f>
        <v>MDP0000169853</v>
      </c>
      <c r="D23375">
        <v>43.81</v>
      </c>
      <c r="E23375">
        <v>194</v>
      </c>
      <c r="F23375">
        <v>109</v>
      </c>
      <c r="G23375">
        <v>29</v>
      </c>
      <c r="H23375">
        <v>5</v>
      </c>
      <c r="I23375">
        <v>175</v>
      </c>
      <c r="J23375">
        <v>1</v>
      </c>
      <c r="K23375">
        <v>8</v>
      </c>
      <c r="L23375">
        <v>195</v>
      </c>
      <c r="M23375">
        <v>1</v>
      </c>
      <c r="N23375">
        <v>7.5787700000000003E-30</v>
      </c>
      <c r="O23375">
        <v>320</v>
      </c>
    </row>
    <row r="23376" spans="1:15" x14ac:dyDescent="0.25">
      <c r="A23376" t="s">
        <v>23389</v>
      </c>
      <c r="B23376">
        <v>740</v>
      </c>
      <c r="C23376" s="1" t="str">
        <f>HYPERLINK("http://www.rosaceae.org/gb/gbrowse/malus_x_domestica/?name=MDP0000148489","MDP0000148489")</f>
        <v>MDP0000148489</v>
      </c>
      <c r="D23376">
        <v>88.44</v>
      </c>
      <c r="E23376">
        <v>329</v>
      </c>
      <c r="F23376">
        <v>38</v>
      </c>
      <c r="G23376">
        <v>0</v>
      </c>
      <c r="H23376">
        <v>412</v>
      </c>
      <c r="I23376">
        <v>740</v>
      </c>
      <c r="J23376">
        <v>1</v>
      </c>
      <c r="K23376">
        <v>1486</v>
      </c>
      <c r="L23376">
        <v>1814</v>
      </c>
      <c r="M23376">
        <v>1</v>
      </c>
      <c r="N23376">
        <v>1.29601E-173</v>
      </c>
      <c r="O23376">
        <v>1565</v>
      </c>
    </row>
    <row r="23377" spans="1:15" x14ac:dyDescent="0.25">
      <c r="A23377" t="s">
        <v>23390</v>
      </c>
      <c r="B23377">
        <v>316</v>
      </c>
      <c r="C23377" s="1" t="str">
        <f>HYPERLINK("http://www.rosaceae.org/gb/gbrowse/malus_x_domestica/?name=MDP0000253809","MDP0000253809")</f>
        <v>MDP0000253809</v>
      </c>
      <c r="D23377">
        <v>71.11</v>
      </c>
      <c r="E23377">
        <v>322</v>
      </c>
      <c r="F23377">
        <v>93</v>
      </c>
      <c r="G23377">
        <v>10</v>
      </c>
      <c r="H23377">
        <v>1</v>
      </c>
      <c r="I23377">
        <v>312</v>
      </c>
      <c r="J23377">
        <v>1</v>
      </c>
      <c r="K23377">
        <v>1</v>
      </c>
      <c r="L23377">
        <v>322</v>
      </c>
      <c r="M23377">
        <v>1</v>
      </c>
      <c r="N23377">
        <v>2.2899600000000002E-133</v>
      </c>
      <c r="O23377">
        <v>1214</v>
      </c>
    </row>
    <row r="23378" spans="1:15" x14ac:dyDescent="0.25">
      <c r="A23378" t="s">
        <v>23391</v>
      </c>
      <c r="B23378">
        <v>454</v>
      </c>
      <c r="C23378" s="1" t="str">
        <f>HYPERLINK("http://www.rosaceae.org/gb/gbrowse/malus_x_domestica/?name=MDP0000776499","MDP0000776499")</f>
        <v>MDP0000776499</v>
      </c>
      <c r="D23378">
        <v>75.33</v>
      </c>
      <c r="E23378">
        <v>373</v>
      </c>
      <c r="F23378">
        <v>92</v>
      </c>
      <c r="G23378">
        <v>2</v>
      </c>
      <c r="H23378">
        <v>84</v>
      </c>
      <c r="I23378">
        <v>454</v>
      </c>
      <c r="J23378">
        <v>1</v>
      </c>
      <c r="K23378">
        <v>77</v>
      </c>
      <c r="L23378">
        <v>449</v>
      </c>
      <c r="M23378">
        <v>1</v>
      </c>
      <c r="N23378">
        <v>6.3228999999999997E-161</v>
      </c>
      <c r="O23378">
        <v>1454</v>
      </c>
    </row>
    <row r="23379" spans="1:15" x14ac:dyDescent="0.25">
      <c r="A23379" t="s">
        <v>23392</v>
      </c>
      <c r="B23379">
        <v>627</v>
      </c>
      <c r="C23379" s="1" t="str">
        <f>HYPERLINK("http://www.rosaceae.org/gb/gbrowse/malus_x_domestica/?name=MDP0000121984","MDP0000121984")</f>
        <v>MDP0000121984</v>
      </c>
      <c r="D23379">
        <v>43.5</v>
      </c>
      <c r="E23379">
        <v>554</v>
      </c>
      <c r="F23379">
        <v>313</v>
      </c>
      <c r="G23379">
        <v>86</v>
      </c>
      <c r="H23379">
        <v>54</v>
      </c>
      <c r="I23379">
        <v>588</v>
      </c>
      <c r="J23379">
        <v>1</v>
      </c>
      <c r="K23379">
        <v>1</v>
      </c>
      <c r="L23379">
        <v>487</v>
      </c>
      <c r="M23379">
        <v>1</v>
      </c>
      <c r="N23379">
        <v>8.8681199999999998E-100</v>
      </c>
      <c r="O23379">
        <v>928</v>
      </c>
    </row>
    <row r="23380" spans="1:15" x14ac:dyDescent="0.25">
      <c r="A23380" t="s">
        <v>23393</v>
      </c>
      <c r="B23380">
        <v>139</v>
      </c>
      <c r="C23380" s="1" t="str">
        <f>HYPERLINK("http://www.rosaceae.org/gb/gbrowse/malus_x_domestica/?name=MDP0000317482","MDP0000317482")</f>
        <v>MDP0000317482</v>
      </c>
      <c r="D23380">
        <v>50.45</v>
      </c>
      <c r="E23380">
        <v>109</v>
      </c>
      <c r="F23380">
        <v>54</v>
      </c>
      <c r="G23380">
        <v>0</v>
      </c>
      <c r="H23380">
        <v>1</v>
      </c>
      <c r="I23380">
        <v>109</v>
      </c>
      <c r="J23380">
        <v>1</v>
      </c>
      <c r="K23380">
        <v>1</v>
      </c>
      <c r="L23380">
        <v>109</v>
      </c>
      <c r="M23380">
        <v>1</v>
      </c>
      <c r="N23380">
        <v>5.2496799999999999E-25</v>
      </c>
      <c r="O23380">
        <v>274</v>
      </c>
    </row>
    <row r="23381" spans="1:15" x14ac:dyDescent="0.25">
      <c r="A23381" t="s">
        <v>23394</v>
      </c>
      <c r="B23381">
        <v>708</v>
      </c>
      <c r="C23381" s="1" t="str">
        <f>HYPERLINK("http://www.rosaceae.org/gb/gbrowse/malus_x_domestica/?name=MDP0000180127","MDP0000180127")</f>
        <v>MDP0000180127</v>
      </c>
      <c r="D23381">
        <v>58.08</v>
      </c>
      <c r="E23381">
        <v>470</v>
      </c>
      <c r="F23381">
        <v>197</v>
      </c>
      <c r="G23381">
        <v>85</v>
      </c>
      <c r="H23381">
        <v>185</v>
      </c>
      <c r="I23381">
        <v>613</v>
      </c>
      <c r="J23381">
        <v>1</v>
      </c>
      <c r="K23381">
        <v>71</v>
      </c>
      <c r="L23381">
        <v>496</v>
      </c>
      <c r="M23381">
        <v>1</v>
      </c>
      <c r="N23381">
        <v>8.9694200000000004E-141</v>
      </c>
      <c r="O23381">
        <v>1282</v>
      </c>
    </row>
    <row r="23382" spans="1:15" x14ac:dyDescent="0.25">
      <c r="A23382" t="s">
        <v>23395</v>
      </c>
      <c r="B23382">
        <v>791</v>
      </c>
      <c r="C23382" s="1" t="str">
        <f>HYPERLINK("http://www.rosaceae.org/gb/gbrowse/malus_x_domestica/?name=MDP0000215367","MDP0000215367")</f>
        <v>MDP0000215367</v>
      </c>
      <c r="D23382">
        <v>69.37</v>
      </c>
      <c r="E23382">
        <v>369</v>
      </c>
      <c r="F23382">
        <v>113</v>
      </c>
      <c r="G23382">
        <v>21</v>
      </c>
      <c r="H23382">
        <v>22</v>
      </c>
      <c r="I23382">
        <v>376</v>
      </c>
      <c r="J23382">
        <v>1</v>
      </c>
      <c r="K23382">
        <v>15</v>
      </c>
      <c r="L23382">
        <v>376</v>
      </c>
      <c r="M23382">
        <v>1</v>
      </c>
      <c r="N23382">
        <v>2.6631099999999999E-145</v>
      </c>
      <c r="O23382">
        <v>1322</v>
      </c>
    </row>
    <row r="23383" spans="1:15" x14ac:dyDescent="0.25">
      <c r="A23383" t="s">
        <v>23396</v>
      </c>
      <c r="B23383">
        <v>413</v>
      </c>
      <c r="C23383" s="1" t="str">
        <f>HYPERLINK("http://www.rosaceae.org/gb/gbrowse/malus_x_domestica/?name=MDP0000252062","MDP0000252062")</f>
        <v>MDP0000252062</v>
      </c>
      <c r="D23383">
        <v>54.88</v>
      </c>
      <c r="E23383">
        <v>215</v>
      </c>
      <c r="F23383">
        <v>97</v>
      </c>
      <c r="G23383">
        <v>5</v>
      </c>
      <c r="H23383">
        <v>203</v>
      </c>
      <c r="I23383">
        <v>412</v>
      </c>
      <c r="J23383">
        <v>1</v>
      </c>
      <c r="K23383">
        <v>993</v>
      </c>
      <c r="L23383">
        <v>1207</v>
      </c>
      <c r="M23383">
        <v>1</v>
      </c>
      <c r="N23383">
        <v>2.0898499999999999E-59</v>
      </c>
      <c r="O23383">
        <v>578</v>
      </c>
    </row>
    <row r="23384" spans="1:15" x14ac:dyDescent="0.25">
      <c r="A23384" t="s">
        <v>23397</v>
      </c>
      <c r="B23384">
        <v>301</v>
      </c>
      <c r="C23384" s="1" t="str">
        <f>HYPERLINK("http://www.rosaceae.org/gb/gbrowse/malus_x_domestica/?name=MDP0000263222","MDP0000263222")</f>
        <v>MDP0000263222</v>
      </c>
      <c r="D23384">
        <v>76.08</v>
      </c>
      <c r="E23384">
        <v>184</v>
      </c>
      <c r="F23384">
        <v>44</v>
      </c>
      <c r="G23384">
        <v>0</v>
      </c>
      <c r="H23384">
        <v>18</v>
      </c>
      <c r="I23384">
        <v>201</v>
      </c>
      <c r="J23384">
        <v>1</v>
      </c>
      <c r="K23384">
        <v>136</v>
      </c>
      <c r="L23384">
        <v>319</v>
      </c>
      <c r="M23384">
        <v>1</v>
      </c>
      <c r="N23384">
        <v>1.7122799999999999E-78</v>
      </c>
      <c r="O23384">
        <v>741</v>
      </c>
    </row>
    <row r="23385" spans="1:15" x14ac:dyDescent="0.25">
      <c r="A23385" t="s">
        <v>23398</v>
      </c>
      <c r="B23385">
        <v>339</v>
      </c>
      <c r="C23385" s="1" t="str">
        <f>HYPERLINK("http://www.rosaceae.org/gb/gbrowse/malus_x_domestica/?name=MDP0000512727","MDP0000512727")</f>
        <v>MDP0000512727</v>
      </c>
      <c r="D23385">
        <v>81.59</v>
      </c>
      <c r="E23385">
        <v>326</v>
      </c>
      <c r="F23385">
        <v>60</v>
      </c>
      <c r="G23385">
        <v>3</v>
      </c>
      <c r="H23385">
        <v>10</v>
      </c>
      <c r="I23385">
        <v>334</v>
      </c>
      <c r="J23385">
        <v>1</v>
      </c>
      <c r="K23385">
        <v>7</v>
      </c>
      <c r="L23385">
        <v>330</v>
      </c>
      <c r="M23385">
        <v>1</v>
      </c>
      <c r="N23385">
        <v>2.83456E-155</v>
      </c>
      <c r="O23385">
        <v>1404</v>
      </c>
    </row>
    <row r="23386" spans="1:15" x14ac:dyDescent="0.25">
      <c r="A23386" t="s">
        <v>23399</v>
      </c>
      <c r="B23386">
        <v>156</v>
      </c>
      <c r="C23386" s="1" t="str">
        <f>HYPERLINK("http://www.rosaceae.org/gb/gbrowse/malus_x_domestica/?name=MDP0000802237","MDP0000802237")</f>
        <v>MDP0000802237</v>
      </c>
      <c r="D23386">
        <v>44.3</v>
      </c>
      <c r="E23386">
        <v>158</v>
      </c>
      <c r="F23386">
        <v>88</v>
      </c>
      <c r="G23386">
        <v>14</v>
      </c>
      <c r="H23386">
        <v>1</v>
      </c>
      <c r="I23386">
        <v>152</v>
      </c>
      <c r="J23386">
        <v>1</v>
      </c>
      <c r="K23386">
        <v>145</v>
      </c>
      <c r="L23386">
        <v>294</v>
      </c>
      <c r="M23386">
        <v>1</v>
      </c>
      <c r="N23386">
        <v>1.08427E-25</v>
      </c>
      <c r="O23386">
        <v>281</v>
      </c>
    </row>
    <row r="23387" spans="1:15" x14ac:dyDescent="0.25">
      <c r="A23387" t="s">
        <v>23400</v>
      </c>
      <c r="B23387">
        <v>310</v>
      </c>
      <c r="C23387" s="1" t="str">
        <f>HYPERLINK("http://www.rosaceae.org/gb/gbrowse/malus_x_domestica/?name=MDP0000126693","MDP0000126693")</f>
        <v>MDP0000126693</v>
      </c>
      <c r="D23387">
        <v>61.32</v>
      </c>
      <c r="E23387">
        <v>362</v>
      </c>
      <c r="F23387">
        <v>140</v>
      </c>
      <c r="G23387">
        <v>55</v>
      </c>
      <c r="H23387">
        <v>1</v>
      </c>
      <c r="I23387">
        <v>310</v>
      </c>
      <c r="J23387">
        <v>1</v>
      </c>
      <c r="K23387">
        <v>1</v>
      </c>
      <c r="L23387">
        <v>359</v>
      </c>
      <c r="M23387">
        <v>1</v>
      </c>
      <c r="N23387">
        <v>3.3312900000000002E-123</v>
      </c>
      <c r="O23387">
        <v>1127</v>
      </c>
    </row>
    <row r="23388" spans="1:15" x14ac:dyDescent="0.25">
      <c r="A23388" t="s">
        <v>23401</v>
      </c>
      <c r="B23388">
        <v>880</v>
      </c>
      <c r="C23388" s="1" t="str">
        <f>HYPERLINK("http://www.rosaceae.org/gb/gbrowse/malus_x_domestica/?name=MDP0000088815","MDP0000088815")</f>
        <v>MDP0000088815</v>
      </c>
      <c r="D23388">
        <v>49.26</v>
      </c>
      <c r="E23388">
        <v>1025</v>
      </c>
      <c r="F23388">
        <v>520</v>
      </c>
      <c r="G23388">
        <v>157</v>
      </c>
      <c r="H23388">
        <v>2</v>
      </c>
      <c r="I23388">
        <v>880</v>
      </c>
      <c r="J23388">
        <v>1</v>
      </c>
      <c r="K23388">
        <v>4</v>
      </c>
      <c r="L23388">
        <v>1017</v>
      </c>
      <c r="M23388">
        <v>1</v>
      </c>
      <c r="N23388">
        <v>0</v>
      </c>
      <c r="O23388">
        <v>2221</v>
      </c>
    </row>
    <row r="23389" spans="1:15" x14ac:dyDescent="0.25">
      <c r="A23389" t="s">
        <v>23402</v>
      </c>
      <c r="B23389">
        <v>773</v>
      </c>
      <c r="C23389" s="1" t="str">
        <f>HYPERLINK("http://www.rosaceae.org/gb/gbrowse/malus_x_domestica/?name=MDP0000227287","MDP0000227287")</f>
        <v>MDP0000227287</v>
      </c>
      <c r="D23389">
        <v>76.91</v>
      </c>
      <c r="E23389">
        <v>771</v>
      </c>
      <c r="F23389">
        <v>178</v>
      </c>
      <c r="G23389">
        <v>29</v>
      </c>
      <c r="H23389">
        <v>1</v>
      </c>
      <c r="I23389">
        <v>751</v>
      </c>
      <c r="J23389">
        <v>1</v>
      </c>
      <c r="K23389">
        <v>1</v>
      </c>
      <c r="L23389">
        <v>762</v>
      </c>
      <c r="M23389">
        <v>1</v>
      </c>
      <c r="N23389">
        <v>0</v>
      </c>
      <c r="O23389">
        <v>3139</v>
      </c>
    </row>
    <row r="23390" spans="1:15" x14ac:dyDescent="0.25">
      <c r="A23390" t="s">
        <v>23403</v>
      </c>
      <c r="B23390">
        <v>1223</v>
      </c>
      <c r="C23390" s="1" t="str">
        <f>HYPERLINK("http://www.rosaceae.org/gb/gbrowse/malus_x_domestica/?name=MDP0000215538","MDP0000215538")</f>
        <v>MDP0000215538</v>
      </c>
      <c r="D23390">
        <v>51.63</v>
      </c>
      <c r="E23390">
        <v>610</v>
      </c>
      <c r="F23390">
        <v>295</v>
      </c>
      <c r="G23390">
        <v>67</v>
      </c>
      <c r="H23390">
        <v>26</v>
      </c>
      <c r="I23390">
        <v>579</v>
      </c>
      <c r="J23390">
        <v>1</v>
      </c>
      <c r="K23390">
        <v>6</v>
      </c>
      <c r="L23390">
        <v>604</v>
      </c>
      <c r="M23390">
        <v>1</v>
      </c>
      <c r="N23390">
        <v>2.05684E-163</v>
      </c>
      <c r="O23390">
        <v>1480</v>
      </c>
    </row>
    <row r="23391" spans="1:15" x14ac:dyDescent="0.25">
      <c r="A23391" t="s">
        <v>23404</v>
      </c>
      <c r="B23391">
        <v>224</v>
      </c>
      <c r="C23391" s="1" t="str">
        <f>HYPERLINK("http://www.rosaceae.org/gb/gbrowse/malus_x_domestica/?name=MDP0000879799","MDP0000879799")</f>
        <v>MDP0000879799</v>
      </c>
      <c r="D23391">
        <v>75.900000000000006</v>
      </c>
      <c r="E23391">
        <v>166</v>
      </c>
      <c r="F23391">
        <v>40</v>
      </c>
      <c r="G23391">
        <v>15</v>
      </c>
      <c r="H23391">
        <v>59</v>
      </c>
      <c r="I23391">
        <v>224</v>
      </c>
      <c r="J23391">
        <v>1</v>
      </c>
      <c r="K23391">
        <v>82</v>
      </c>
      <c r="L23391">
        <v>232</v>
      </c>
      <c r="M23391">
        <v>1</v>
      </c>
      <c r="N23391">
        <v>3.71068E-65</v>
      </c>
      <c r="O23391">
        <v>624</v>
      </c>
    </row>
    <row r="23392" spans="1:15" x14ac:dyDescent="0.25">
      <c r="A23392" t="s">
        <v>23405</v>
      </c>
      <c r="B23392">
        <v>1473</v>
      </c>
      <c r="C23392" s="1" t="str">
        <f>HYPERLINK("http://www.rosaceae.org/gb/gbrowse/malus_x_domestica/?name=MDP0000282378","MDP0000282378")</f>
        <v>MDP0000282378</v>
      </c>
      <c r="D23392">
        <v>66.28</v>
      </c>
      <c r="E23392">
        <v>697</v>
      </c>
      <c r="F23392">
        <v>235</v>
      </c>
      <c r="G23392">
        <v>55</v>
      </c>
      <c r="H23392">
        <v>817</v>
      </c>
      <c r="I23392">
        <v>1468</v>
      </c>
      <c r="J23392">
        <v>1</v>
      </c>
      <c r="K23392">
        <v>1</v>
      </c>
      <c r="L23392">
        <v>687</v>
      </c>
      <c r="M23392">
        <v>1</v>
      </c>
      <c r="N23392">
        <v>0</v>
      </c>
      <c r="O23392">
        <v>2317</v>
      </c>
    </row>
    <row r="23393" spans="1:15" x14ac:dyDescent="0.25">
      <c r="A23393" t="s">
        <v>23406</v>
      </c>
      <c r="B23393">
        <v>318</v>
      </c>
      <c r="C23393" s="1" t="str">
        <f>HYPERLINK("http://www.rosaceae.org/gb/gbrowse/malus_x_domestica/?name=MDP0000214071","MDP0000214071")</f>
        <v>MDP0000214071</v>
      </c>
      <c r="D23393">
        <v>60.86</v>
      </c>
      <c r="E23393">
        <v>322</v>
      </c>
      <c r="F23393">
        <v>126</v>
      </c>
      <c r="G23393">
        <v>9</v>
      </c>
      <c r="H23393">
        <v>1</v>
      </c>
      <c r="I23393">
        <v>318</v>
      </c>
      <c r="J23393">
        <v>1</v>
      </c>
      <c r="K23393">
        <v>1</v>
      </c>
      <c r="L23393">
        <v>317</v>
      </c>
      <c r="M23393">
        <v>1</v>
      </c>
      <c r="N23393">
        <v>2.6478899999999998E-96</v>
      </c>
      <c r="O23393">
        <v>895</v>
      </c>
    </row>
    <row r="23394" spans="1:15" x14ac:dyDescent="0.25">
      <c r="A23394" t="s">
        <v>23407</v>
      </c>
      <c r="B23394">
        <v>883</v>
      </c>
      <c r="C23394" s="1" t="str">
        <f>HYPERLINK("http://www.rosaceae.org/gb/gbrowse/malus_x_domestica/?name=MDP0000291035","MDP0000291035")</f>
        <v>MDP0000291035</v>
      </c>
      <c r="D23394">
        <v>58.35</v>
      </c>
      <c r="E23394">
        <v>886</v>
      </c>
      <c r="F23394">
        <v>369</v>
      </c>
      <c r="G23394">
        <v>84</v>
      </c>
      <c r="H23394">
        <v>17</v>
      </c>
      <c r="I23394">
        <v>883</v>
      </c>
      <c r="J23394">
        <v>1</v>
      </c>
      <c r="K23394">
        <v>142</v>
      </c>
      <c r="L23394">
        <v>962</v>
      </c>
      <c r="M23394">
        <v>1</v>
      </c>
      <c r="N23394">
        <v>0</v>
      </c>
      <c r="O23394">
        <v>2436</v>
      </c>
    </row>
    <row r="23395" spans="1:15" x14ac:dyDescent="0.25">
      <c r="A23395" t="s">
        <v>23408</v>
      </c>
      <c r="B23395">
        <v>678</v>
      </c>
      <c r="C23395" s="1" t="str">
        <f>HYPERLINK("http://www.rosaceae.org/gb/gbrowse/malus_x_domestica/?name=MDP0000207723","MDP0000207723")</f>
        <v>MDP0000207723</v>
      </c>
      <c r="D23395">
        <v>76.239999999999995</v>
      </c>
      <c r="E23395">
        <v>543</v>
      </c>
      <c r="F23395">
        <v>129</v>
      </c>
      <c r="G23395">
        <v>2</v>
      </c>
      <c r="H23395">
        <v>117</v>
      </c>
      <c r="I23395">
        <v>657</v>
      </c>
      <c r="J23395">
        <v>1</v>
      </c>
      <c r="K23395">
        <v>179</v>
      </c>
      <c r="L23395">
        <v>721</v>
      </c>
      <c r="M23395">
        <v>1</v>
      </c>
      <c r="N23395">
        <v>0</v>
      </c>
      <c r="O23395">
        <v>2104</v>
      </c>
    </row>
    <row r="23396" spans="1:15" x14ac:dyDescent="0.25">
      <c r="A23396" t="s">
        <v>23409</v>
      </c>
      <c r="B23396">
        <v>366</v>
      </c>
      <c r="C23396" s="1" t="str">
        <f>HYPERLINK("http://www.rosaceae.org/gb/gbrowse/malus_x_domestica/?name=MDP0000177380","MDP0000177380")</f>
        <v>MDP0000177380</v>
      </c>
      <c r="D23396">
        <v>87.98</v>
      </c>
      <c r="E23396">
        <v>308</v>
      </c>
      <c r="F23396">
        <v>37</v>
      </c>
      <c r="G23396">
        <v>0</v>
      </c>
      <c r="H23396">
        <v>1</v>
      </c>
      <c r="I23396">
        <v>308</v>
      </c>
      <c r="J23396">
        <v>1</v>
      </c>
      <c r="K23396">
        <v>1</v>
      </c>
      <c r="L23396">
        <v>308</v>
      </c>
      <c r="M23396">
        <v>1</v>
      </c>
      <c r="N23396">
        <v>1.0844899999999999E-163</v>
      </c>
      <c r="O23396">
        <v>1477</v>
      </c>
    </row>
    <row r="23397" spans="1:15" x14ac:dyDescent="0.25">
      <c r="A23397" t="s">
        <v>23410</v>
      </c>
      <c r="B23397">
        <v>239</v>
      </c>
      <c r="C23397" s="1" t="str">
        <f>HYPERLINK("http://www.rosaceae.org/gb/gbrowse/malus_x_domestica/?name=MDP0000174710","MDP0000174710")</f>
        <v>MDP0000174710</v>
      </c>
      <c r="D23397">
        <v>42.42</v>
      </c>
      <c r="E23397">
        <v>165</v>
      </c>
      <c r="F23397">
        <v>95</v>
      </c>
      <c r="G23397">
        <v>8</v>
      </c>
      <c r="H23397">
        <v>65</v>
      </c>
      <c r="I23397">
        <v>224</v>
      </c>
      <c r="J23397">
        <v>1</v>
      </c>
      <c r="K23397">
        <v>544</v>
      </c>
      <c r="L23397">
        <v>705</v>
      </c>
      <c r="M23397">
        <v>1</v>
      </c>
      <c r="N23397">
        <v>1.8258599999999998E-27</v>
      </c>
      <c r="O23397">
        <v>300</v>
      </c>
    </row>
    <row r="23398" spans="1:15" x14ac:dyDescent="0.25">
      <c r="A23398" t="s">
        <v>23411</v>
      </c>
      <c r="B23398">
        <v>421</v>
      </c>
      <c r="C23398" s="1" t="str">
        <f>HYPERLINK("http://www.rosaceae.org/gb/gbrowse/malus_x_domestica/?name=MDP0000303132","MDP0000303132")</f>
        <v>MDP0000303132</v>
      </c>
      <c r="D23398">
        <v>64.849999999999994</v>
      </c>
      <c r="E23398">
        <v>424</v>
      </c>
      <c r="F23398">
        <v>149</v>
      </c>
      <c r="G23398">
        <v>61</v>
      </c>
      <c r="H23398">
        <v>31</v>
      </c>
      <c r="I23398">
        <v>421</v>
      </c>
      <c r="J23398">
        <v>1</v>
      </c>
      <c r="K23398">
        <v>27</v>
      </c>
      <c r="L23398">
        <v>422</v>
      </c>
      <c r="M23398">
        <v>1</v>
      </c>
      <c r="N23398">
        <v>1.6623899999999999E-160</v>
      </c>
      <c r="O23398">
        <v>1450</v>
      </c>
    </row>
    <row r="23399" spans="1:15" x14ac:dyDescent="0.25">
      <c r="A23399" t="s">
        <v>23412</v>
      </c>
      <c r="B23399">
        <v>492</v>
      </c>
      <c r="C23399" s="1" t="str">
        <f>HYPERLINK("http://www.rosaceae.org/gb/gbrowse/malus_x_domestica/?name=MDP0000198964","MDP0000198964")</f>
        <v>MDP0000198964</v>
      </c>
      <c r="D23399">
        <v>28.57</v>
      </c>
      <c r="E23399">
        <v>434</v>
      </c>
      <c r="F23399">
        <v>310</v>
      </c>
      <c r="G23399">
        <v>46</v>
      </c>
      <c r="H23399">
        <v>79</v>
      </c>
      <c r="I23399">
        <v>489</v>
      </c>
      <c r="J23399">
        <v>1</v>
      </c>
      <c r="K23399">
        <v>32</v>
      </c>
      <c r="L23399">
        <v>442</v>
      </c>
      <c r="M23399">
        <v>1</v>
      </c>
      <c r="N23399">
        <v>1.1612699999999999E-40</v>
      </c>
      <c r="O23399">
        <v>417</v>
      </c>
    </row>
    <row r="23400" spans="1:15" x14ac:dyDescent="0.25">
      <c r="A23400" t="s">
        <v>23413</v>
      </c>
      <c r="B23400">
        <v>163</v>
      </c>
      <c r="C23400" s="1" t="str">
        <f>HYPERLINK("http://www.rosaceae.org/gb/gbrowse/malus_x_domestica/?name=MDP0000481254","MDP0000481254")</f>
        <v>MDP0000481254</v>
      </c>
      <c r="D23400">
        <v>93.9</v>
      </c>
      <c r="E23400">
        <v>82</v>
      </c>
      <c r="F23400">
        <v>5</v>
      </c>
      <c r="G23400">
        <v>0</v>
      </c>
      <c r="H23400">
        <v>66</v>
      </c>
      <c r="I23400">
        <v>147</v>
      </c>
      <c r="J23400">
        <v>1</v>
      </c>
      <c r="K23400">
        <v>1</v>
      </c>
      <c r="L23400">
        <v>82</v>
      </c>
      <c r="M23400">
        <v>1</v>
      </c>
      <c r="N23400">
        <v>7.2925899999999996E-42</v>
      </c>
      <c r="O23400">
        <v>421</v>
      </c>
    </row>
    <row r="23401" spans="1:15" x14ac:dyDescent="0.25">
      <c r="A23401" t="s">
        <v>23414</v>
      </c>
      <c r="B23401">
        <v>295</v>
      </c>
      <c r="C23401" s="1" t="str">
        <f>HYPERLINK("http://www.rosaceae.org/gb/gbrowse/malus_x_domestica/?name=MDP0000305085","MDP0000305085")</f>
        <v>MDP0000305085</v>
      </c>
      <c r="D23401">
        <v>36.54</v>
      </c>
      <c r="E23401">
        <v>197</v>
      </c>
      <c r="F23401">
        <v>125</v>
      </c>
      <c r="G23401">
        <v>13</v>
      </c>
      <c r="H23401">
        <v>73</v>
      </c>
      <c r="I23401">
        <v>259</v>
      </c>
      <c r="J23401">
        <v>1</v>
      </c>
      <c r="K23401">
        <v>109</v>
      </c>
      <c r="L23401">
        <v>302</v>
      </c>
      <c r="M23401">
        <v>1</v>
      </c>
      <c r="N23401">
        <v>1.5254599999999999E-25</v>
      </c>
      <c r="O23401">
        <v>284</v>
      </c>
    </row>
    <row r="23402" spans="1:15" x14ac:dyDescent="0.25">
      <c r="A23402" t="s">
        <v>23415</v>
      </c>
      <c r="B23402">
        <v>194</v>
      </c>
      <c r="C23402" s="1" t="str">
        <f>HYPERLINK("http://www.rosaceae.org/gb/gbrowse/malus_x_domestica/?name=MDP0000248478","MDP0000248478")</f>
        <v>MDP0000248478</v>
      </c>
      <c r="D23402">
        <v>76.12</v>
      </c>
      <c r="E23402">
        <v>155</v>
      </c>
      <c r="F23402">
        <v>37</v>
      </c>
      <c r="G23402">
        <v>0</v>
      </c>
      <c r="H23402">
        <v>20</v>
      </c>
      <c r="I23402">
        <v>174</v>
      </c>
      <c r="J23402">
        <v>1</v>
      </c>
      <c r="K23402">
        <v>24</v>
      </c>
      <c r="L23402">
        <v>178</v>
      </c>
      <c r="M23402">
        <v>1</v>
      </c>
      <c r="N23402">
        <v>1.02012E-64</v>
      </c>
      <c r="O23402">
        <v>619</v>
      </c>
    </row>
    <row r="23403" spans="1:15" x14ac:dyDescent="0.25">
      <c r="A23403" t="s">
        <v>23416</v>
      </c>
      <c r="B23403">
        <v>2185</v>
      </c>
      <c r="C23403" s="1" t="str">
        <f>HYPERLINK("http://www.rosaceae.org/gb/gbrowse/malus_x_domestica/?name=MDP0000309080","MDP0000309080")</f>
        <v>MDP0000309080</v>
      </c>
      <c r="D23403">
        <v>74.790000000000006</v>
      </c>
      <c r="E23403">
        <v>2226</v>
      </c>
      <c r="F23403">
        <v>561</v>
      </c>
      <c r="G23403">
        <v>115</v>
      </c>
      <c r="H23403">
        <v>15</v>
      </c>
      <c r="I23403">
        <v>2185</v>
      </c>
      <c r="J23403">
        <v>1</v>
      </c>
      <c r="K23403">
        <v>221</v>
      </c>
      <c r="L23403">
        <v>2386</v>
      </c>
      <c r="M23403">
        <v>1</v>
      </c>
      <c r="N23403">
        <v>0</v>
      </c>
      <c r="O23403">
        <v>8564</v>
      </c>
    </row>
    <row r="23404" spans="1:15" x14ac:dyDescent="0.25">
      <c r="A23404" t="s">
        <v>23417</v>
      </c>
      <c r="B23404">
        <v>315</v>
      </c>
      <c r="C23404" s="1" t="str">
        <f>HYPERLINK("http://www.rosaceae.org/gb/gbrowse/malus_x_domestica/?name=MDP0000157174","MDP0000157174")</f>
        <v>MDP0000157174</v>
      </c>
      <c r="D23404">
        <v>58.24</v>
      </c>
      <c r="E23404">
        <v>182</v>
      </c>
      <c r="F23404">
        <v>76</v>
      </c>
      <c r="G23404">
        <v>64</v>
      </c>
      <c r="H23404">
        <v>117</v>
      </c>
      <c r="I23404">
        <v>298</v>
      </c>
      <c r="J23404">
        <v>1</v>
      </c>
      <c r="K23404">
        <v>119</v>
      </c>
      <c r="L23404">
        <v>236</v>
      </c>
      <c r="M23404">
        <v>1</v>
      </c>
      <c r="N23404">
        <v>9.4843099999999999E-50</v>
      </c>
      <c r="O23404">
        <v>493</v>
      </c>
    </row>
    <row r="23405" spans="1:15" x14ac:dyDescent="0.25">
      <c r="A23405" t="s">
        <v>23418</v>
      </c>
      <c r="B23405">
        <v>985</v>
      </c>
      <c r="C23405" s="1" t="str">
        <f>HYPERLINK("http://www.rosaceae.org/gb/gbrowse/malus_x_domestica/?name=MDP0000309582","MDP0000309582")</f>
        <v>MDP0000309582</v>
      </c>
      <c r="D23405">
        <v>54.4</v>
      </c>
      <c r="E23405">
        <v>965</v>
      </c>
      <c r="F23405">
        <v>440</v>
      </c>
      <c r="G23405">
        <v>38</v>
      </c>
      <c r="H23405">
        <v>1</v>
      </c>
      <c r="I23405">
        <v>949</v>
      </c>
      <c r="J23405">
        <v>1</v>
      </c>
      <c r="K23405">
        <v>151</v>
      </c>
      <c r="L23405">
        <v>1093</v>
      </c>
      <c r="M23405">
        <v>1</v>
      </c>
      <c r="N23405">
        <v>0</v>
      </c>
      <c r="O23405">
        <v>2463</v>
      </c>
    </row>
    <row r="23406" spans="1:15" x14ac:dyDescent="0.25">
      <c r="A23406" t="s">
        <v>23419</v>
      </c>
      <c r="B23406">
        <v>101</v>
      </c>
      <c r="C23406" s="1" t="str">
        <f>HYPERLINK("http://www.rosaceae.org/gb/gbrowse/malus_x_domestica/?name=MDP0000951858","MDP0000951858")</f>
        <v>MDP0000951858</v>
      </c>
      <c r="D23406">
        <v>77.010000000000005</v>
      </c>
      <c r="E23406">
        <v>87</v>
      </c>
      <c r="F23406">
        <v>20</v>
      </c>
      <c r="G23406">
        <v>1</v>
      </c>
      <c r="H23406">
        <v>15</v>
      </c>
      <c r="I23406">
        <v>101</v>
      </c>
      <c r="J23406">
        <v>1</v>
      </c>
      <c r="K23406">
        <v>132</v>
      </c>
      <c r="L23406">
        <v>217</v>
      </c>
      <c r="M23406">
        <v>1</v>
      </c>
      <c r="N23406">
        <v>1.2484999999999999E-34</v>
      </c>
      <c r="O23406">
        <v>356</v>
      </c>
    </row>
    <row r="23407" spans="1:15" x14ac:dyDescent="0.25">
      <c r="A23407" t="s">
        <v>23420</v>
      </c>
      <c r="B23407">
        <v>178</v>
      </c>
      <c r="C23407" s="1" t="str">
        <f>HYPERLINK("http://www.rosaceae.org/gb/gbrowse/malus_x_domestica/?name=MDP0000174676","MDP0000174676")</f>
        <v>MDP0000174676</v>
      </c>
      <c r="D23407">
        <v>41.53</v>
      </c>
      <c r="E23407">
        <v>65</v>
      </c>
      <c r="F23407">
        <v>38</v>
      </c>
      <c r="G23407">
        <v>0</v>
      </c>
      <c r="H23407">
        <v>105</v>
      </c>
      <c r="I23407">
        <v>169</v>
      </c>
      <c r="J23407">
        <v>1</v>
      </c>
      <c r="K23407">
        <v>914</v>
      </c>
      <c r="L23407">
        <v>978</v>
      </c>
      <c r="M23407">
        <v>1</v>
      </c>
      <c r="N23407">
        <v>3.5656700000000002E-9</v>
      </c>
      <c r="O23407">
        <v>140</v>
      </c>
    </row>
    <row r="23408" spans="1:15" x14ac:dyDescent="0.25">
      <c r="A23408" t="s">
        <v>23421</v>
      </c>
      <c r="B23408">
        <v>262</v>
      </c>
      <c r="C23408" s="1" t="str">
        <f>HYPERLINK("http://www.rosaceae.org/gb/gbrowse/malus_x_domestica/?name=MDP0000055639","MDP0000055639")</f>
        <v>MDP0000055639</v>
      </c>
      <c r="D23408">
        <v>61.56</v>
      </c>
      <c r="E23408">
        <v>281</v>
      </c>
      <c r="F23408">
        <v>108</v>
      </c>
      <c r="G23408">
        <v>31</v>
      </c>
      <c r="H23408">
        <v>4</v>
      </c>
      <c r="I23408">
        <v>258</v>
      </c>
      <c r="J23408">
        <v>1</v>
      </c>
      <c r="K23408">
        <v>5</v>
      </c>
      <c r="L23408">
        <v>280</v>
      </c>
      <c r="M23408">
        <v>1</v>
      </c>
      <c r="N23408">
        <v>5.0507100000000004E-91</v>
      </c>
      <c r="O23408">
        <v>848</v>
      </c>
    </row>
    <row r="23409" spans="1:15" x14ac:dyDescent="0.25">
      <c r="A23409" t="s">
        <v>23422</v>
      </c>
      <c r="B23409">
        <v>444</v>
      </c>
      <c r="C23409" s="1" t="str">
        <f>HYPERLINK("http://www.rosaceae.org/gb/gbrowse/malus_x_domestica/?name=MDP0000179036","MDP0000179036")</f>
        <v>MDP0000179036</v>
      </c>
      <c r="D23409">
        <v>95.72</v>
      </c>
      <c r="E23409">
        <v>444</v>
      </c>
      <c r="F23409">
        <v>19</v>
      </c>
      <c r="G23409">
        <v>0</v>
      </c>
      <c r="H23409">
        <v>1</v>
      </c>
      <c r="I23409">
        <v>444</v>
      </c>
      <c r="J23409">
        <v>1</v>
      </c>
      <c r="K23409">
        <v>1</v>
      </c>
      <c r="L23409">
        <v>444</v>
      </c>
      <c r="M23409">
        <v>1</v>
      </c>
      <c r="N23409">
        <v>0</v>
      </c>
      <c r="O23409">
        <v>2252</v>
      </c>
    </row>
    <row r="23410" spans="1:15" x14ac:dyDescent="0.25">
      <c r="A23410" t="s">
        <v>23423</v>
      </c>
      <c r="B23410">
        <v>594</v>
      </c>
      <c r="C23410" s="1" t="str">
        <f>HYPERLINK("http://www.rosaceae.org/gb/gbrowse/malus_x_domestica/?name=MDP0000699845","MDP0000699845")</f>
        <v>MDP0000699845</v>
      </c>
      <c r="D23410">
        <v>66.66</v>
      </c>
      <c r="E23410">
        <v>567</v>
      </c>
      <c r="F23410">
        <v>189</v>
      </c>
      <c r="G23410">
        <v>29</v>
      </c>
      <c r="H23410">
        <v>29</v>
      </c>
      <c r="I23410">
        <v>594</v>
      </c>
      <c r="J23410">
        <v>1</v>
      </c>
      <c r="K23410">
        <v>31</v>
      </c>
      <c r="L23410">
        <v>569</v>
      </c>
      <c r="M23410">
        <v>1</v>
      </c>
      <c r="N23410">
        <v>0</v>
      </c>
      <c r="O23410">
        <v>1973</v>
      </c>
    </row>
    <row r="23411" spans="1:15" x14ac:dyDescent="0.25">
      <c r="A23411" t="s">
        <v>23424</v>
      </c>
      <c r="B23411">
        <v>430</v>
      </c>
      <c r="C23411" s="1" t="str">
        <f>HYPERLINK("http://www.rosaceae.org/gb/gbrowse/malus_x_domestica/?name=MDP0000528435","MDP0000528435")</f>
        <v>MDP0000528435</v>
      </c>
      <c r="D23411">
        <v>52.77</v>
      </c>
      <c r="E23411">
        <v>396</v>
      </c>
      <c r="F23411">
        <v>187</v>
      </c>
      <c r="G23411">
        <v>29</v>
      </c>
      <c r="H23411">
        <v>56</v>
      </c>
      <c r="I23411">
        <v>424</v>
      </c>
      <c r="J23411">
        <v>1</v>
      </c>
      <c r="K23411">
        <v>53</v>
      </c>
      <c r="L23411">
        <v>446</v>
      </c>
      <c r="M23411">
        <v>1</v>
      </c>
      <c r="N23411">
        <v>8.5458799999999999E-107</v>
      </c>
      <c r="O23411">
        <v>987</v>
      </c>
    </row>
    <row r="23412" spans="1:15" x14ac:dyDescent="0.25">
      <c r="A23412" t="s">
        <v>23425</v>
      </c>
      <c r="B23412">
        <v>133</v>
      </c>
      <c r="C23412" s="1" t="str">
        <f>HYPERLINK("http://www.rosaceae.org/gb/gbrowse/malus_x_domestica/?name=MDP0000158230","MDP0000158230")</f>
        <v>MDP0000158230</v>
      </c>
      <c r="D23412">
        <v>73.430000000000007</v>
      </c>
      <c r="E23412">
        <v>128</v>
      </c>
      <c r="F23412">
        <v>34</v>
      </c>
      <c r="G23412">
        <v>1</v>
      </c>
      <c r="H23412">
        <v>5</v>
      </c>
      <c r="I23412">
        <v>132</v>
      </c>
      <c r="J23412">
        <v>1</v>
      </c>
      <c r="K23412">
        <v>3</v>
      </c>
      <c r="L23412">
        <v>129</v>
      </c>
      <c r="M23412">
        <v>1</v>
      </c>
      <c r="N23412">
        <v>2.1284600000000001E-49</v>
      </c>
      <c r="O23412">
        <v>484</v>
      </c>
    </row>
    <row r="23413" spans="1:15" x14ac:dyDescent="0.25">
      <c r="A23413" t="s">
        <v>23426</v>
      </c>
      <c r="B23413">
        <v>587</v>
      </c>
      <c r="C23413" s="1" t="str">
        <f>HYPERLINK("http://www.rosaceae.org/gb/gbrowse/malus_x_domestica/?name=MDP0000299648","MDP0000299648")</f>
        <v>MDP0000299648</v>
      </c>
      <c r="D23413">
        <v>65.760000000000005</v>
      </c>
      <c r="E23413">
        <v>260</v>
      </c>
      <c r="F23413">
        <v>89</v>
      </c>
      <c r="G23413">
        <v>44</v>
      </c>
      <c r="H23413">
        <v>365</v>
      </c>
      <c r="I23413">
        <v>580</v>
      </c>
      <c r="J23413">
        <v>1</v>
      </c>
      <c r="K23413">
        <v>328</v>
      </c>
      <c r="L23413">
        <v>587</v>
      </c>
      <c r="M23413">
        <v>1</v>
      </c>
      <c r="N23413">
        <v>1.01629E-91</v>
      </c>
      <c r="O23413">
        <v>858</v>
      </c>
    </row>
    <row r="23414" spans="1:15" x14ac:dyDescent="0.25">
      <c r="A23414" t="s">
        <v>23427</v>
      </c>
      <c r="B23414">
        <v>274</v>
      </c>
      <c r="C23414" s="1" t="str">
        <f>HYPERLINK("http://www.rosaceae.org/gb/gbrowse/malus_x_domestica/?name=MDP0000311548","MDP0000311548")</f>
        <v>MDP0000311548</v>
      </c>
      <c r="D23414">
        <v>39.47</v>
      </c>
      <c r="E23414">
        <v>152</v>
      </c>
      <c r="F23414">
        <v>92</v>
      </c>
      <c r="G23414">
        <v>17</v>
      </c>
      <c r="H23414">
        <v>61</v>
      </c>
      <c r="I23414">
        <v>198</v>
      </c>
      <c r="J23414">
        <v>1</v>
      </c>
      <c r="K23414">
        <v>1</v>
      </c>
      <c r="L23414">
        <v>149</v>
      </c>
      <c r="M23414">
        <v>1</v>
      </c>
      <c r="N23414">
        <v>3.8944300000000001E-23</v>
      </c>
      <c r="O23414">
        <v>263</v>
      </c>
    </row>
    <row r="23415" spans="1:15" x14ac:dyDescent="0.25">
      <c r="A23415" t="s">
        <v>23428</v>
      </c>
      <c r="B23415">
        <v>182</v>
      </c>
      <c r="C23415" s="1" t="str">
        <f>HYPERLINK("http://www.rosaceae.org/gb/gbrowse/malus_x_domestica/?name=MDP0000365970","MDP0000365970")</f>
        <v>MDP0000365970</v>
      </c>
      <c r="D23415">
        <v>92.85</v>
      </c>
      <c r="E23415">
        <v>182</v>
      </c>
      <c r="F23415">
        <v>13</v>
      </c>
      <c r="G23415">
        <v>0</v>
      </c>
      <c r="H23415">
        <v>1</v>
      </c>
      <c r="I23415">
        <v>182</v>
      </c>
      <c r="J23415">
        <v>1</v>
      </c>
      <c r="K23415">
        <v>1</v>
      </c>
      <c r="L23415">
        <v>182</v>
      </c>
      <c r="M23415">
        <v>1</v>
      </c>
      <c r="N23415">
        <v>2.44519E-95</v>
      </c>
      <c r="O23415">
        <v>883</v>
      </c>
    </row>
    <row r="23416" spans="1:15" x14ac:dyDescent="0.25">
      <c r="A23416" t="s">
        <v>23429</v>
      </c>
      <c r="B23416">
        <v>207</v>
      </c>
      <c r="C23416" s="1" t="str">
        <f>HYPERLINK("http://www.rosaceae.org/gb/gbrowse/malus_x_domestica/?name=MDP0000672184","MDP0000672184")</f>
        <v>MDP0000672184</v>
      </c>
      <c r="D23416">
        <v>57.36</v>
      </c>
      <c r="E23416">
        <v>190</v>
      </c>
      <c r="F23416">
        <v>81</v>
      </c>
      <c r="G23416">
        <v>3</v>
      </c>
      <c r="H23416">
        <v>20</v>
      </c>
      <c r="I23416">
        <v>207</v>
      </c>
      <c r="J23416">
        <v>1</v>
      </c>
      <c r="K23416">
        <v>1</v>
      </c>
      <c r="L23416">
        <v>189</v>
      </c>
      <c r="M23416">
        <v>1</v>
      </c>
      <c r="N23416">
        <v>8.9179099999999992E-59</v>
      </c>
      <c r="O23416">
        <v>569</v>
      </c>
    </row>
    <row r="23417" spans="1:15" x14ac:dyDescent="0.25">
      <c r="A23417" t="s">
        <v>23430</v>
      </c>
      <c r="B23417">
        <v>127</v>
      </c>
      <c r="C23417" s="1" t="str">
        <f>HYPERLINK("http://www.rosaceae.org/gb/gbrowse/malus_x_domestica/?name=MDP0000186417","MDP0000186417")</f>
        <v>MDP0000186417</v>
      </c>
      <c r="D23417">
        <v>69.23</v>
      </c>
      <c r="E23417">
        <v>91</v>
      </c>
      <c r="F23417">
        <v>28</v>
      </c>
      <c r="G23417">
        <v>1</v>
      </c>
      <c r="H23417">
        <v>3</v>
      </c>
      <c r="I23417">
        <v>93</v>
      </c>
      <c r="J23417">
        <v>1</v>
      </c>
      <c r="K23417">
        <v>588</v>
      </c>
      <c r="L23417">
        <v>677</v>
      </c>
      <c r="M23417">
        <v>1</v>
      </c>
      <c r="N23417">
        <v>1.4560899999999999E-30</v>
      </c>
      <c r="O23417">
        <v>321</v>
      </c>
    </row>
    <row r="23418" spans="1:15" x14ac:dyDescent="0.25">
      <c r="A23418" t="s">
        <v>23431</v>
      </c>
      <c r="B23418">
        <v>174</v>
      </c>
      <c r="C23418" s="1" t="str">
        <f>HYPERLINK("http://www.rosaceae.org/gb/gbrowse/malus_x_domestica/?name=MDP0000219448","MDP0000219448")</f>
        <v>MDP0000219448</v>
      </c>
      <c r="D23418">
        <v>42.04</v>
      </c>
      <c r="E23418">
        <v>88</v>
      </c>
      <c r="F23418">
        <v>51</v>
      </c>
      <c r="G23418">
        <v>0</v>
      </c>
      <c r="H23418">
        <v>46</v>
      </c>
      <c r="I23418">
        <v>133</v>
      </c>
      <c r="J23418">
        <v>1</v>
      </c>
      <c r="K23418">
        <v>1</v>
      </c>
      <c r="L23418">
        <v>88</v>
      </c>
      <c r="M23418">
        <v>1</v>
      </c>
      <c r="N23418">
        <v>3.4114999999999999E-15</v>
      </c>
      <c r="O23418">
        <v>192</v>
      </c>
    </row>
    <row r="23419" spans="1:15" x14ac:dyDescent="0.25">
      <c r="A23419" t="s">
        <v>23432</v>
      </c>
      <c r="B23419">
        <v>518</v>
      </c>
      <c r="C23419" s="1" t="str">
        <f>HYPERLINK("http://www.rosaceae.org/gb/gbrowse/malus_x_domestica/?name=MDP0000150000","MDP0000150000")</f>
        <v>MDP0000150000</v>
      </c>
      <c r="D23419">
        <v>23.03</v>
      </c>
      <c r="E23419">
        <v>356</v>
      </c>
      <c r="F23419">
        <v>274</v>
      </c>
      <c r="G23419">
        <v>87</v>
      </c>
      <c r="H23419">
        <v>89</v>
      </c>
      <c r="I23419">
        <v>437</v>
      </c>
      <c r="J23419">
        <v>1</v>
      </c>
      <c r="K23419">
        <v>310</v>
      </c>
      <c r="L23419">
        <v>585</v>
      </c>
      <c r="M23419">
        <v>1</v>
      </c>
      <c r="N23419">
        <v>3.1001800000000002E-16</v>
      </c>
      <c r="O23419">
        <v>207</v>
      </c>
    </row>
    <row r="23420" spans="1:15" x14ac:dyDescent="0.25">
      <c r="A23420" t="s">
        <v>23433</v>
      </c>
      <c r="B23420">
        <v>227</v>
      </c>
      <c r="C23420" s="1" t="str">
        <f>HYPERLINK("http://www.rosaceae.org/gb/gbrowse/malus_x_domestica/?name=MDP0000237091","MDP0000237091")</f>
        <v>MDP0000237091</v>
      </c>
      <c r="D23420">
        <v>54.02</v>
      </c>
      <c r="E23420">
        <v>211</v>
      </c>
      <c r="F23420">
        <v>97</v>
      </c>
      <c r="G23420">
        <v>8</v>
      </c>
      <c r="H23420">
        <v>1</v>
      </c>
      <c r="I23420">
        <v>205</v>
      </c>
      <c r="J23420">
        <v>1</v>
      </c>
      <c r="K23420">
        <v>7</v>
      </c>
      <c r="L23420">
        <v>215</v>
      </c>
      <c r="M23420">
        <v>1</v>
      </c>
      <c r="N23420">
        <v>3.56434E-56</v>
      </c>
      <c r="O23420">
        <v>547</v>
      </c>
    </row>
    <row r="23421" spans="1:15" x14ac:dyDescent="0.25">
      <c r="A23421" t="s">
        <v>23434</v>
      </c>
      <c r="B23421">
        <v>151</v>
      </c>
      <c r="C23421" s="1" t="str">
        <f>HYPERLINK("http://www.rosaceae.org/gb/gbrowse/malus_x_domestica/?name=MDP0000466825","MDP0000466825")</f>
        <v>MDP0000466825</v>
      </c>
      <c r="D23421">
        <v>78.989999999999995</v>
      </c>
      <c r="E23421">
        <v>119</v>
      </c>
      <c r="F23421">
        <v>25</v>
      </c>
      <c r="G23421">
        <v>0</v>
      </c>
      <c r="H23421">
        <v>31</v>
      </c>
      <c r="I23421">
        <v>149</v>
      </c>
      <c r="J23421">
        <v>1</v>
      </c>
      <c r="K23421">
        <v>93</v>
      </c>
      <c r="L23421">
        <v>211</v>
      </c>
      <c r="M23421">
        <v>1</v>
      </c>
      <c r="N23421">
        <v>9.9305799999999997E-50</v>
      </c>
      <c r="O23421">
        <v>488</v>
      </c>
    </row>
    <row r="23422" spans="1:15" x14ac:dyDescent="0.25">
      <c r="A23422" t="s">
        <v>23435</v>
      </c>
      <c r="B23422">
        <v>798</v>
      </c>
      <c r="C23422" s="1" t="str">
        <f>HYPERLINK("http://www.rosaceae.org/gb/gbrowse/malus_x_domestica/?name=MDP0000198739","MDP0000198739")</f>
        <v>MDP0000198739</v>
      </c>
      <c r="D23422">
        <v>59.37</v>
      </c>
      <c r="E23422">
        <v>256</v>
      </c>
      <c r="F23422">
        <v>104</v>
      </c>
      <c r="G23422">
        <v>45</v>
      </c>
      <c r="H23422">
        <v>272</v>
      </c>
      <c r="I23422">
        <v>482</v>
      </c>
      <c r="J23422">
        <v>1</v>
      </c>
      <c r="K23422">
        <v>595</v>
      </c>
      <c r="L23422">
        <v>850</v>
      </c>
      <c r="M23422">
        <v>1</v>
      </c>
      <c r="N23422">
        <v>4.8656299999999999E-69</v>
      </c>
      <c r="O23422">
        <v>664</v>
      </c>
    </row>
    <row r="23423" spans="1:15" x14ac:dyDescent="0.25">
      <c r="A23423" t="s">
        <v>23436</v>
      </c>
      <c r="B23423">
        <v>189</v>
      </c>
      <c r="C23423" s="1" t="str">
        <f>HYPERLINK("http://www.rosaceae.org/gb/gbrowse/malus_x_domestica/?name=MDP0000281875","MDP0000281875")</f>
        <v>MDP0000281875</v>
      </c>
      <c r="D23423">
        <v>83.66</v>
      </c>
      <c r="E23423">
        <v>153</v>
      </c>
      <c r="F23423">
        <v>25</v>
      </c>
      <c r="G23423">
        <v>1</v>
      </c>
      <c r="H23423">
        <v>35</v>
      </c>
      <c r="I23423">
        <v>186</v>
      </c>
      <c r="J23423">
        <v>1</v>
      </c>
      <c r="K23423">
        <v>163</v>
      </c>
      <c r="L23423">
        <v>315</v>
      </c>
      <c r="M23423">
        <v>1</v>
      </c>
      <c r="N23423">
        <v>4.9079199999999999E-73</v>
      </c>
      <c r="O23423">
        <v>691</v>
      </c>
    </row>
    <row r="23424" spans="1:15" x14ac:dyDescent="0.25">
      <c r="A23424" t="s">
        <v>23437</v>
      </c>
      <c r="B23424">
        <v>322</v>
      </c>
      <c r="C23424" s="1" t="str">
        <f>HYPERLINK("http://www.rosaceae.org/gb/gbrowse/malus_x_domestica/?name=MDP0000226594","MDP0000226594")</f>
        <v>MDP0000226594</v>
      </c>
      <c r="D23424">
        <v>30.94</v>
      </c>
      <c r="E23424">
        <v>307</v>
      </c>
      <c r="F23424">
        <v>212</v>
      </c>
      <c r="G23424">
        <v>36</v>
      </c>
      <c r="H23424">
        <v>8</v>
      </c>
      <c r="I23424">
        <v>309</v>
      </c>
      <c r="J23424">
        <v>1</v>
      </c>
      <c r="K23424">
        <v>427</v>
      </c>
      <c r="L23424">
        <v>702</v>
      </c>
      <c r="M23424">
        <v>1</v>
      </c>
      <c r="N23424">
        <v>1.9095400000000002E-21</v>
      </c>
      <c r="O23424">
        <v>249</v>
      </c>
    </row>
    <row r="23425" spans="1:15" x14ac:dyDescent="0.25">
      <c r="A23425" t="s">
        <v>23438</v>
      </c>
      <c r="B23425">
        <v>406</v>
      </c>
      <c r="C23425" s="1" t="str">
        <f>HYPERLINK("http://www.rosaceae.org/gb/gbrowse/malus_x_domestica/?name=MDP0000218683","MDP0000218683")</f>
        <v>MDP0000218683</v>
      </c>
      <c r="D23425">
        <v>80.45</v>
      </c>
      <c r="E23425">
        <v>353</v>
      </c>
      <c r="F23425">
        <v>69</v>
      </c>
      <c r="G23425">
        <v>1</v>
      </c>
      <c r="H23425">
        <v>1</v>
      </c>
      <c r="I23425">
        <v>353</v>
      </c>
      <c r="J23425">
        <v>1</v>
      </c>
      <c r="K23425">
        <v>28</v>
      </c>
      <c r="L23425">
        <v>379</v>
      </c>
      <c r="M23425">
        <v>1</v>
      </c>
      <c r="N23425">
        <v>3.0455900000000001E-177</v>
      </c>
      <c r="O23425">
        <v>1594</v>
      </c>
    </row>
    <row r="23426" spans="1:15" x14ac:dyDescent="0.25">
      <c r="A23426" t="s">
        <v>23439</v>
      </c>
      <c r="B23426">
        <v>698</v>
      </c>
      <c r="C23426" s="1" t="str">
        <f>HYPERLINK("http://www.rosaceae.org/gb/gbrowse/malus_x_domestica/?name=MDP0000455634","MDP0000455634")</f>
        <v>MDP0000455634</v>
      </c>
      <c r="D23426">
        <v>64.39</v>
      </c>
      <c r="E23426">
        <v>632</v>
      </c>
      <c r="F23426">
        <v>225</v>
      </c>
      <c r="G23426">
        <v>10</v>
      </c>
      <c r="H23426">
        <v>58</v>
      </c>
      <c r="I23426">
        <v>681</v>
      </c>
      <c r="J23426">
        <v>1</v>
      </c>
      <c r="K23426">
        <v>38</v>
      </c>
      <c r="L23426">
        <v>667</v>
      </c>
      <c r="M23426">
        <v>1</v>
      </c>
      <c r="N23426">
        <v>0</v>
      </c>
      <c r="O23426">
        <v>2043</v>
      </c>
    </row>
    <row r="23427" spans="1:15" x14ac:dyDescent="0.25">
      <c r="A23427" t="s">
        <v>23440</v>
      </c>
      <c r="B23427">
        <v>279</v>
      </c>
      <c r="C23427" s="1" t="str">
        <f>HYPERLINK("http://www.rosaceae.org/gb/gbrowse/malus_x_domestica/?name=MDP0000026750","MDP0000026750")</f>
        <v>MDP0000026750</v>
      </c>
      <c r="D23427">
        <v>68.02</v>
      </c>
      <c r="E23427">
        <v>269</v>
      </c>
      <c r="F23427">
        <v>86</v>
      </c>
      <c r="G23427">
        <v>7</v>
      </c>
      <c r="H23427">
        <v>14</v>
      </c>
      <c r="I23427">
        <v>276</v>
      </c>
      <c r="J23427">
        <v>1</v>
      </c>
      <c r="K23427">
        <v>86</v>
      </c>
      <c r="L23427">
        <v>353</v>
      </c>
      <c r="M23427">
        <v>1</v>
      </c>
      <c r="N23427">
        <v>4.36187E-105</v>
      </c>
      <c r="O23427">
        <v>970</v>
      </c>
    </row>
    <row r="23428" spans="1:15" x14ac:dyDescent="0.25">
      <c r="A23428" t="s">
        <v>23441</v>
      </c>
      <c r="B23428">
        <v>442</v>
      </c>
      <c r="C23428" s="1" t="str">
        <f>HYPERLINK("http://www.rosaceae.org/gb/gbrowse/malus_x_domestica/?name=MDP0000273852","MDP0000273852")</f>
        <v>MDP0000273852</v>
      </c>
      <c r="D23428">
        <v>65.37</v>
      </c>
      <c r="E23428">
        <v>439</v>
      </c>
      <c r="F23428">
        <v>152</v>
      </c>
      <c r="G23428">
        <v>1</v>
      </c>
      <c r="H23428">
        <v>5</v>
      </c>
      <c r="I23428">
        <v>442</v>
      </c>
      <c r="J23428">
        <v>1</v>
      </c>
      <c r="K23428">
        <v>453</v>
      </c>
      <c r="L23428">
        <v>891</v>
      </c>
      <c r="M23428">
        <v>1</v>
      </c>
      <c r="N23428">
        <v>3.6335900000000001E-166</v>
      </c>
      <c r="O23428">
        <v>1499</v>
      </c>
    </row>
    <row r="23429" spans="1:15" x14ac:dyDescent="0.25">
      <c r="A23429" t="s">
        <v>23442</v>
      </c>
      <c r="B23429">
        <v>279</v>
      </c>
      <c r="C23429" s="1" t="str">
        <f>HYPERLINK("http://www.rosaceae.org/gb/gbrowse/malus_x_domestica/?name=MDP0000147848","MDP0000147848")</f>
        <v>MDP0000147848</v>
      </c>
      <c r="D23429">
        <v>59.33</v>
      </c>
      <c r="E23429">
        <v>150</v>
      </c>
      <c r="F23429">
        <v>61</v>
      </c>
      <c r="G23429">
        <v>8</v>
      </c>
      <c r="H23429">
        <v>1</v>
      </c>
      <c r="I23429">
        <v>144</v>
      </c>
      <c r="J23429">
        <v>1</v>
      </c>
      <c r="K23429">
        <v>74</v>
      </c>
      <c r="L23429">
        <v>221</v>
      </c>
      <c r="M23429">
        <v>1</v>
      </c>
      <c r="N23429">
        <v>2.2999300000000002E-39</v>
      </c>
      <c r="O23429">
        <v>403</v>
      </c>
    </row>
    <row r="23430" spans="1:15" x14ac:dyDescent="0.25">
      <c r="A23430" t="s">
        <v>23443</v>
      </c>
      <c r="B23430">
        <v>190</v>
      </c>
      <c r="C23430" s="1" t="str">
        <f>HYPERLINK("http://www.rosaceae.org/gb/gbrowse/malus_x_domestica/?name=MDP0000210968","MDP0000210968")</f>
        <v>MDP0000210968</v>
      </c>
      <c r="D23430">
        <v>46.77</v>
      </c>
      <c r="E23430">
        <v>186</v>
      </c>
      <c r="F23430">
        <v>99</v>
      </c>
      <c r="G23430">
        <v>25</v>
      </c>
      <c r="H23430">
        <v>18</v>
      </c>
      <c r="I23430">
        <v>190</v>
      </c>
      <c r="J23430">
        <v>1</v>
      </c>
      <c r="K23430">
        <v>41</v>
      </c>
      <c r="L23430">
        <v>214</v>
      </c>
      <c r="M23430">
        <v>1</v>
      </c>
      <c r="N23430">
        <v>2.7783000000000001E-30</v>
      </c>
      <c r="O23430">
        <v>322</v>
      </c>
    </row>
    <row r="23431" spans="1:15" x14ac:dyDescent="0.25">
      <c r="A23431" t="s">
        <v>23444</v>
      </c>
      <c r="B23431">
        <v>333</v>
      </c>
      <c r="C23431" s="1" t="str">
        <f>HYPERLINK("http://www.rosaceae.org/gb/gbrowse/malus_x_domestica/?name=MDP0000138646","MDP0000138646")</f>
        <v>MDP0000138646</v>
      </c>
      <c r="D23431">
        <v>55.32</v>
      </c>
      <c r="E23431">
        <v>244</v>
      </c>
      <c r="F23431">
        <v>109</v>
      </c>
      <c r="G23431">
        <v>13</v>
      </c>
      <c r="H23431">
        <v>89</v>
      </c>
      <c r="I23431">
        <v>319</v>
      </c>
      <c r="J23431">
        <v>1</v>
      </c>
      <c r="K23431">
        <v>116</v>
      </c>
      <c r="L23431">
        <v>359</v>
      </c>
      <c r="M23431">
        <v>1</v>
      </c>
      <c r="N23431">
        <v>4.0952100000000003E-63</v>
      </c>
      <c r="O23431">
        <v>609</v>
      </c>
    </row>
    <row r="23432" spans="1:15" x14ac:dyDescent="0.25">
      <c r="A23432" t="s">
        <v>23445</v>
      </c>
      <c r="B23432">
        <v>291</v>
      </c>
      <c r="C23432" s="1" t="str">
        <f>HYPERLINK("http://www.rosaceae.org/gb/gbrowse/malus_x_domestica/?name=MDP0000258661","MDP0000258661")</f>
        <v>MDP0000258661</v>
      </c>
      <c r="D23432">
        <v>76.55</v>
      </c>
      <c r="E23432">
        <v>273</v>
      </c>
      <c r="F23432">
        <v>64</v>
      </c>
      <c r="G23432">
        <v>5</v>
      </c>
      <c r="H23432">
        <v>19</v>
      </c>
      <c r="I23432">
        <v>291</v>
      </c>
      <c r="J23432">
        <v>1</v>
      </c>
      <c r="K23432">
        <v>22</v>
      </c>
      <c r="L23432">
        <v>289</v>
      </c>
      <c r="M23432">
        <v>1</v>
      </c>
      <c r="N23432">
        <v>4.0480799999999999E-126</v>
      </c>
      <c r="O23432">
        <v>1151</v>
      </c>
    </row>
    <row r="23433" spans="1:15" x14ac:dyDescent="0.25">
      <c r="A23433" t="s">
        <v>23446</v>
      </c>
      <c r="B23433">
        <v>456</v>
      </c>
      <c r="C23433" s="1" t="str">
        <f>HYPERLINK("http://www.rosaceae.org/gb/gbrowse/malus_x_domestica/?name=MDP0000228193","MDP0000228193")</f>
        <v>MDP0000228193</v>
      </c>
      <c r="D23433">
        <v>76.22</v>
      </c>
      <c r="E23433">
        <v>450</v>
      </c>
      <c r="F23433">
        <v>107</v>
      </c>
      <c r="G23433">
        <v>9</v>
      </c>
      <c r="H23433">
        <v>1</v>
      </c>
      <c r="I23433">
        <v>442</v>
      </c>
      <c r="J23433">
        <v>1</v>
      </c>
      <c r="K23433">
        <v>1</v>
      </c>
      <c r="L23433">
        <v>449</v>
      </c>
      <c r="M23433">
        <v>1</v>
      </c>
      <c r="N23433">
        <v>0</v>
      </c>
      <c r="O23433">
        <v>1719</v>
      </c>
    </row>
    <row r="23434" spans="1:15" x14ac:dyDescent="0.25">
      <c r="A23434" t="s">
        <v>23447</v>
      </c>
      <c r="B23434">
        <v>110</v>
      </c>
      <c r="C23434" s="1" t="str">
        <f>HYPERLINK("http://www.rosaceae.org/gb/gbrowse/malus_x_domestica/?name=MDP0000231348","MDP0000231348")</f>
        <v>MDP0000231348</v>
      </c>
      <c r="D23434">
        <v>81.81</v>
      </c>
      <c r="E23434">
        <v>110</v>
      </c>
      <c r="F23434">
        <v>20</v>
      </c>
      <c r="G23434">
        <v>0</v>
      </c>
      <c r="H23434">
        <v>1</v>
      </c>
      <c r="I23434">
        <v>110</v>
      </c>
      <c r="J23434">
        <v>1</v>
      </c>
      <c r="K23434">
        <v>1</v>
      </c>
      <c r="L23434">
        <v>110</v>
      </c>
      <c r="M23434">
        <v>1</v>
      </c>
      <c r="N23434">
        <v>5.5017900000000001E-52</v>
      </c>
      <c r="O23434">
        <v>506</v>
      </c>
    </row>
    <row r="23435" spans="1:15" x14ac:dyDescent="0.25">
      <c r="A23435" t="s">
        <v>23448</v>
      </c>
      <c r="B23435">
        <v>610</v>
      </c>
      <c r="C23435" s="1" t="str">
        <f>HYPERLINK("http://www.rosaceae.org/gb/gbrowse/malus_x_domestica/?name=MDP0000251984","MDP0000251984")</f>
        <v>MDP0000251984</v>
      </c>
      <c r="D23435">
        <v>72.84</v>
      </c>
      <c r="E23435">
        <v>637</v>
      </c>
      <c r="F23435">
        <v>173</v>
      </c>
      <c r="G23435">
        <v>30</v>
      </c>
      <c r="H23435">
        <v>1</v>
      </c>
      <c r="I23435">
        <v>610</v>
      </c>
      <c r="J23435">
        <v>1</v>
      </c>
      <c r="K23435">
        <v>1</v>
      </c>
      <c r="L23435">
        <v>634</v>
      </c>
      <c r="M23435">
        <v>1</v>
      </c>
      <c r="N23435">
        <v>0</v>
      </c>
      <c r="O23435">
        <v>2492</v>
      </c>
    </row>
    <row r="23436" spans="1:15" x14ac:dyDescent="0.25">
      <c r="A23436" t="s">
        <v>23449</v>
      </c>
      <c r="B23436">
        <v>118</v>
      </c>
      <c r="C23436" s="1" t="str">
        <f>HYPERLINK("http://www.rosaceae.org/gb/gbrowse/malus_x_domestica/?name=MDP0000714036","MDP0000714036")</f>
        <v>MDP0000714036</v>
      </c>
      <c r="D23436">
        <v>71</v>
      </c>
      <c r="E23436">
        <v>100</v>
      </c>
      <c r="F23436">
        <v>29</v>
      </c>
      <c r="G23436">
        <v>0</v>
      </c>
      <c r="H23436">
        <v>15</v>
      </c>
      <c r="I23436">
        <v>114</v>
      </c>
      <c r="J23436">
        <v>1</v>
      </c>
      <c r="K23436">
        <v>1</v>
      </c>
      <c r="L23436">
        <v>100</v>
      </c>
      <c r="M23436">
        <v>1</v>
      </c>
      <c r="N23436">
        <v>6.8004299999999996E-38</v>
      </c>
      <c r="O23436">
        <v>384</v>
      </c>
    </row>
    <row r="23437" spans="1:15" x14ac:dyDescent="0.25">
      <c r="A23437" t="s">
        <v>23450</v>
      </c>
      <c r="B23437">
        <v>3592</v>
      </c>
      <c r="C23437" s="1" t="str">
        <f>HYPERLINK("http://www.rosaceae.org/gb/gbrowse/malus_x_domestica/?name=MDP0000253320","MDP0000253320")</f>
        <v>MDP0000253320</v>
      </c>
      <c r="D23437">
        <v>33.85</v>
      </c>
      <c r="E23437">
        <v>127</v>
      </c>
      <c r="F23437">
        <v>84</v>
      </c>
      <c r="G23437">
        <v>16</v>
      </c>
      <c r="H23437">
        <v>991</v>
      </c>
      <c r="I23437">
        <v>1101</v>
      </c>
      <c r="J23437">
        <v>1</v>
      </c>
      <c r="K23437">
        <v>502</v>
      </c>
      <c r="L23437">
        <v>628</v>
      </c>
      <c r="M23437">
        <v>1</v>
      </c>
      <c r="N23437">
        <v>7.4433000000000001E-15</v>
      </c>
      <c r="O23437">
        <v>203</v>
      </c>
    </row>
    <row r="23438" spans="1:15" x14ac:dyDescent="0.25">
      <c r="A23438" t="s">
        <v>23451</v>
      </c>
      <c r="B23438">
        <v>614</v>
      </c>
      <c r="C23438" s="1" t="str">
        <f>HYPERLINK("http://www.rosaceae.org/gb/gbrowse/malus_x_domestica/?name=MDP0000949589","MDP0000949589")</f>
        <v>MDP0000949589</v>
      </c>
      <c r="D23438">
        <v>69.95</v>
      </c>
      <c r="E23438">
        <v>619</v>
      </c>
      <c r="F23438">
        <v>186</v>
      </c>
      <c r="G23438">
        <v>5</v>
      </c>
      <c r="H23438">
        <v>1</v>
      </c>
      <c r="I23438">
        <v>614</v>
      </c>
      <c r="J23438">
        <v>1</v>
      </c>
      <c r="K23438">
        <v>1</v>
      </c>
      <c r="L23438">
        <v>619</v>
      </c>
      <c r="M23438">
        <v>1</v>
      </c>
      <c r="N23438">
        <v>0</v>
      </c>
      <c r="O23438">
        <v>2199</v>
      </c>
    </row>
    <row r="23439" spans="1:15" x14ac:dyDescent="0.25">
      <c r="A23439" t="s">
        <v>23452</v>
      </c>
      <c r="B23439">
        <v>285</v>
      </c>
      <c r="C23439" s="1" t="str">
        <f>HYPERLINK("http://www.rosaceae.org/gb/gbrowse/malus_x_domestica/?name=MDP0000155797","MDP0000155797")</f>
        <v>MDP0000155797</v>
      </c>
      <c r="D23439">
        <v>67.03</v>
      </c>
      <c r="E23439">
        <v>270</v>
      </c>
      <c r="F23439">
        <v>89</v>
      </c>
      <c r="G23439">
        <v>24</v>
      </c>
      <c r="H23439">
        <v>40</v>
      </c>
      <c r="I23439">
        <v>285</v>
      </c>
      <c r="J23439">
        <v>1</v>
      </c>
      <c r="K23439">
        <v>49</v>
      </c>
      <c r="L23439">
        <v>318</v>
      </c>
      <c r="M23439">
        <v>1</v>
      </c>
      <c r="N23439">
        <v>3.2891300000000002E-100</v>
      </c>
      <c r="O23439">
        <v>928</v>
      </c>
    </row>
    <row r="23440" spans="1:15" x14ac:dyDescent="0.25">
      <c r="A23440" t="s">
        <v>23453</v>
      </c>
      <c r="B23440">
        <v>147</v>
      </c>
      <c r="C23440" s="1" t="str">
        <f>HYPERLINK("http://www.rosaceae.org/gb/gbrowse/malus_x_domestica/?name=MDP0000658191","MDP0000658191")</f>
        <v>MDP0000658191</v>
      </c>
      <c r="D23440">
        <v>62.99</v>
      </c>
      <c r="E23440">
        <v>127</v>
      </c>
      <c r="F23440">
        <v>47</v>
      </c>
      <c r="G23440">
        <v>2</v>
      </c>
      <c r="H23440">
        <v>1</v>
      </c>
      <c r="I23440">
        <v>126</v>
      </c>
      <c r="J23440">
        <v>1</v>
      </c>
      <c r="K23440">
        <v>39</v>
      </c>
      <c r="L23440">
        <v>164</v>
      </c>
      <c r="M23440">
        <v>1</v>
      </c>
      <c r="N23440">
        <v>1.5805199999999999E-37</v>
      </c>
      <c r="O23440">
        <v>383</v>
      </c>
    </row>
    <row r="23441" spans="1:15" x14ac:dyDescent="0.25">
      <c r="A23441" t="s">
        <v>23454</v>
      </c>
      <c r="B23441">
        <v>720</v>
      </c>
      <c r="C23441" s="1" t="str">
        <f>HYPERLINK("http://www.rosaceae.org/gb/gbrowse/malus_x_domestica/?name=MDP0000874507","MDP0000874507")</f>
        <v>MDP0000874507</v>
      </c>
      <c r="D23441">
        <v>54.95</v>
      </c>
      <c r="E23441">
        <v>313</v>
      </c>
      <c r="F23441">
        <v>141</v>
      </c>
      <c r="G23441">
        <v>19</v>
      </c>
      <c r="H23441">
        <v>280</v>
      </c>
      <c r="I23441">
        <v>573</v>
      </c>
      <c r="J23441">
        <v>1</v>
      </c>
      <c r="K23441">
        <v>354</v>
      </c>
      <c r="L23441">
        <v>666</v>
      </c>
      <c r="M23441">
        <v>1</v>
      </c>
      <c r="N23441">
        <v>3.62126E-86</v>
      </c>
      <c r="O23441">
        <v>811</v>
      </c>
    </row>
    <row r="23442" spans="1:15" x14ac:dyDescent="0.25">
      <c r="A23442" t="s">
        <v>23455</v>
      </c>
      <c r="B23442">
        <v>583</v>
      </c>
      <c r="C23442" s="1" t="str">
        <f>HYPERLINK("http://www.rosaceae.org/gb/gbrowse/malus_x_domestica/?name=MDP0000130884","MDP0000130884")</f>
        <v>MDP0000130884</v>
      </c>
      <c r="D23442">
        <v>72.400000000000006</v>
      </c>
      <c r="E23442">
        <v>424</v>
      </c>
      <c r="F23442">
        <v>117</v>
      </c>
      <c r="G23442">
        <v>40</v>
      </c>
      <c r="H23442">
        <v>3</v>
      </c>
      <c r="I23442">
        <v>395</v>
      </c>
      <c r="J23442">
        <v>1</v>
      </c>
      <c r="K23442">
        <v>10</v>
      </c>
      <c r="L23442">
        <v>424</v>
      </c>
      <c r="M23442">
        <v>1</v>
      </c>
      <c r="N23442">
        <v>1.53321E-169</v>
      </c>
      <c r="O23442">
        <v>1529</v>
      </c>
    </row>
    <row r="23443" spans="1:15" x14ac:dyDescent="0.25">
      <c r="A23443" t="s">
        <v>23456</v>
      </c>
      <c r="B23443">
        <v>1104</v>
      </c>
      <c r="C23443" s="1" t="str">
        <f>HYPERLINK("http://www.rosaceae.org/gb/gbrowse/malus_x_domestica/?name=MDP0000549002","MDP0000549002")</f>
        <v>MDP0000549002</v>
      </c>
      <c r="D23443">
        <v>66.11</v>
      </c>
      <c r="E23443">
        <v>540</v>
      </c>
      <c r="F23443">
        <v>183</v>
      </c>
      <c r="G23443">
        <v>13</v>
      </c>
      <c r="H23443">
        <v>169</v>
      </c>
      <c r="I23443">
        <v>701</v>
      </c>
      <c r="J23443">
        <v>1</v>
      </c>
      <c r="K23443">
        <v>21</v>
      </c>
      <c r="L23443">
        <v>554</v>
      </c>
      <c r="M23443">
        <v>1</v>
      </c>
      <c r="N23443">
        <v>0</v>
      </c>
      <c r="O23443">
        <v>1849</v>
      </c>
    </row>
    <row r="23444" spans="1:15" x14ac:dyDescent="0.25">
      <c r="A23444" t="s">
        <v>23457</v>
      </c>
      <c r="B23444">
        <v>191</v>
      </c>
      <c r="C23444" s="1" t="str">
        <f>HYPERLINK("http://www.rosaceae.org/gb/gbrowse/malus_x_domestica/?name=MDP0000211677","MDP0000211677")</f>
        <v>MDP0000211677</v>
      </c>
      <c r="D23444">
        <v>74.61</v>
      </c>
      <c r="E23444">
        <v>197</v>
      </c>
      <c r="F23444">
        <v>50</v>
      </c>
      <c r="G23444">
        <v>11</v>
      </c>
      <c r="H23444">
        <v>1</v>
      </c>
      <c r="I23444">
        <v>188</v>
      </c>
      <c r="J23444">
        <v>1</v>
      </c>
      <c r="K23444">
        <v>1</v>
      </c>
      <c r="L23444">
        <v>195</v>
      </c>
      <c r="M23444">
        <v>1</v>
      </c>
      <c r="N23444">
        <v>8.19417E-78</v>
      </c>
      <c r="O23444">
        <v>732</v>
      </c>
    </row>
    <row r="23445" spans="1:15" x14ac:dyDescent="0.25">
      <c r="A23445" t="s">
        <v>23458</v>
      </c>
      <c r="B23445">
        <v>409</v>
      </c>
      <c r="C23445" s="1" t="str">
        <f>HYPERLINK("http://www.rosaceae.org/gb/gbrowse/malus_x_domestica/?name=MDP0000643284","MDP0000643284")</f>
        <v>MDP0000643284</v>
      </c>
      <c r="D23445">
        <v>83.12</v>
      </c>
      <c r="E23445">
        <v>160</v>
      </c>
      <c r="F23445">
        <v>27</v>
      </c>
      <c r="G23445">
        <v>0</v>
      </c>
      <c r="H23445">
        <v>250</v>
      </c>
      <c r="I23445">
        <v>409</v>
      </c>
      <c r="J23445">
        <v>1</v>
      </c>
      <c r="K23445">
        <v>36</v>
      </c>
      <c r="L23445">
        <v>195</v>
      </c>
      <c r="M23445">
        <v>1</v>
      </c>
      <c r="N23445">
        <v>1.13436E-78</v>
      </c>
      <c r="O23445">
        <v>744</v>
      </c>
    </row>
    <row r="23446" spans="1:15" x14ac:dyDescent="0.25">
      <c r="A23446" t="s">
        <v>23459</v>
      </c>
      <c r="B23446">
        <v>200</v>
      </c>
      <c r="C23446" s="1" t="str">
        <f>HYPERLINK("http://www.rosaceae.org/gb/gbrowse/malus_x_domestica/?name=MDP0000247933","MDP0000247933")</f>
        <v>MDP0000247933</v>
      </c>
      <c r="D23446">
        <v>48.6</v>
      </c>
      <c r="E23446">
        <v>179</v>
      </c>
      <c r="F23446">
        <v>92</v>
      </c>
      <c r="G23446">
        <v>14</v>
      </c>
      <c r="H23446">
        <v>27</v>
      </c>
      <c r="I23446">
        <v>197</v>
      </c>
      <c r="J23446">
        <v>1</v>
      </c>
      <c r="K23446">
        <v>20</v>
      </c>
      <c r="L23446">
        <v>192</v>
      </c>
      <c r="M23446">
        <v>1</v>
      </c>
      <c r="N23446">
        <v>6.0443799999999994E-36</v>
      </c>
      <c r="O23446">
        <v>372</v>
      </c>
    </row>
    <row r="23447" spans="1:15" x14ac:dyDescent="0.25">
      <c r="A23447" t="s">
        <v>23460</v>
      </c>
      <c r="B23447">
        <v>124</v>
      </c>
      <c r="C23447" s="1" t="str">
        <f>HYPERLINK("http://www.rosaceae.org/gb/gbrowse/malus_x_domestica/?name=MDP0000291704","MDP0000291704")</f>
        <v>MDP0000291704</v>
      </c>
      <c r="D23447">
        <v>81.900000000000006</v>
      </c>
      <c r="E23447">
        <v>105</v>
      </c>
      <c r="F23447">
        <v>19</v>
      </c>
      <c r="G23447">
        <v>0</v>
      </c>
      <c r="H23447">
        <v>17</v>
      </c>
      <c r="I23447">
        <v>121</v>
      </c>
      <c r="J23447">
        <v>1</v>
      </c>
      <c r="K23447">
        <v>18</v>
      </c>
      <c r="L23447">
        <v>122</v>
      </c>
      <c r="M23447">
        <v>1</v>
      </c>
      <c r="N23447">
        <v>1.43305E-44</v>
      </c>
      <c r="O23447">
        <v>442</v>
      </c>
    </row>
    <row r="23448" spans="1:15" x14ac:dyDescent="0.25">
      <c r="A23448" t="s">
        <v>23461</v>
      </c>
      <c r="B23448">
        <v>505</v>
      </c>
      <c r="C23448" s="1" t="str">
        <f>HYPERLINK("http://www.rosaceae.org/gb/gbrowse/malus_x_domestica/?name=MDP0000177806","MDP0000177806")</f>
        <v>MDP0000177806</v>
      </c>
      <c r="D23448">
        <v>87.5</v>
      </c>
      <c r="E23448">
        <v>232</v>
      </c>
      <c r="F23448">
        <v>29</v>
      </c>
      <c r="G23448">
        <v>2</v>
      </c>
      <c r="H23448">
        <v>276</v>
      </c>
      <c r="I23448">
        <v>505</v>
      </c>
      <c r="J23448">
        <v>1</v>
      </c>
      <c r="K23448">
        <v>241</v>
      </c>
      <c r="L23448">
        <v>472</v>
      </c>
      <c r="M23448">
        <v>1</v>
      </c>
      <c r="N23448">
        <v>8.6920499999999996E-119</v>
      </c>
      <c r="O23448">
        <v>1091</v>
      </c>
    </row>
    <row r="23449" spans="1:15" x14ac:dyDescent="0.25">
      <c r="A23449" t="s">
        <v>23462</v>
      </c>
      <c r="B23449">
        <v>597</v>
      </c>
      <c r="C23449" s="1" t="str">
        <f>HYPERLINK("http://www.rosaceae.org/gb/gbrowse/malus_x_domestica/?name=MDP0000321031","MDP0000321031")</f>
        <v>MDP0000321031</v>
      </c>
      <c r="D23449">
        <v>54.57</v>
      </c>
      <c r="E23449">
        <v>546</v>
      </c>
      <c r="F23449">
        <v>248</v>
      </c>
      <c r="G23449">
        <v>66</v>
      </c>
      <c r="H23449">
        <v>92</v>
      </c>
      <c r="I23449">
        <v>597</v>
      </c>
      <c r="J23449">
        <v>1</v>
      </c>
      <c r="K23449">
        <v>1</v>
      </c>
      <c r="L23449">
        <v>520</v>
      </c>
      <c r="M23449">
        <v>1</v>
      </c>
      <c r="N23449">
        <v>3.9775399999999999E-147</v>
      </c>
      <c r="O23449">
        <v>1336</v>
      </c>
    </row>
    <row r="23450" spans="1:15" x14ac:dyDescent="0.25">
      <c r="A23450" t="s">
        <v>23463</v>
      </c>
      <c r="B23450">
        <v>437</v>
      </c>
      <c r="C23450" s="1" t="str">
        <f>HYPERLINK("http://www.rosaceae.org/gb/gbrowse/malus_x_domestica/?name=MDP0000301576","MDP0000301576")</f>
        <v>MDP0000301576</v>
      </c>
      <c r="D23450">
        <v>76.47</v>
      </c>
      <c r="E23450">
        <v>442</v>
      </c>
      <c r="F23450">
        <v>104</v>
      </c>
      <c r="G23450">
        <v>5</v>
      </c>
      <c r="H23450">
        <v>1</v>
      </c>
      <c r="I23450">
        <v>437</v>
      </c>
      <c r="J23450">
        <v>1</v>
      </c>
      <c r="K23450">
        <v>27</v>
      </c>
      <c r="L23450">
        <v>468</v>
      </c>
      <c r="M23450">
        <v>1</v>
      </c>
      <c r="N23450">
        <v>0</v>
      </c>
      <c r="O23450">
        <v>1700</v>
      </c>
    </row>
    <row r="23451" spans="1:15" x14ac:dyDescent="0.25">
      <c r="A23451" t="s">
        <v>23464</v>
      </c>
      <c r="B23451">
        <v>252</v>
      </c>
      <c r="C23451" s="1" t="str">
        <f>HYPERLINK("http://www.rosaceae.org/gb/gbrowse/malus_x_domestica/?name=MDP0000321779","MDP0000321779")</f>
        <v>MDP0000321779</v>
      </c>
      <c r="D23451">
        <v>74.23</v>
      </c>
      <c r="E23451">
        <v>260</v>
      </c>
      <c r="F23451">
        <v>67</v>
      </c>
      <c r="G23451">
        <v>30</v>
      </c>
      <c r="H23451">
        <v>1</v>
      </c>
      <c r="I23451">
        <v>252</v>
      </c>
      <c r="J23451">
        <v>1</v>
      </c>
      <c r="K23451">
        <v>1</v>
      </c>
      <c r="L23451">
        <v>238</v>
      </c>
      <c r="M23451">
        <v>1</v>
      </c>
      <c r="N23451">
        <v>9.22609E-94</v>
      </c>
      <c r="O23451">
        <v>872</v>
      </c>
    </row>
    <row r="23452" spans="1:15" x14ac:dyDescent="0.25">
      <c r="A23452" t="s">
        <v>23465</v>
      </c>
      <c r="B23452">
        <v>309</v>
      </c>
      <c r="C23452" s="1" t="str">
        <f>HYPERLINK("http://www.rosaceae.org/gb/gbrowse/malus_x_domestica/?name=MDP0000311595","MDP0000311595")</f>
        <v>MDP0000311595</v>
      </c>
      <c r="D23452">
        <v>58.97</v>
      </c>
      <c r="E23452">
        <v>312</v>
      </c>
      <c r="F23452">
        <v>128</v>
      </c>
      <c r="G23452">
        <v>7</v>
      </c>
      <c r="H23452">
        <v>1</v>
      </c>
      <c r="I23452">
        <v>309</v>
      </c>
      <c r="J23452">
        <v>1</v>
      </c>
      <c r="K23452">
        <v>436</v>
      </c>
      <c r="L23452">
        <v>743</v>
      </c>
      <c r="M23452">
        <v>1</v>
      </c>
      <c r="N23452">
        <v>6.0526099999999997E-90</v>
      </c>
      <c r="O23452">
        <v>840</v>
      </c>
    </row>
    <row r="23453" spans="1:15" x14ac:dyDescent="0.25">
      <c r="A23453" t="s">
        <v>23466</v>
      </c>
      <c r="B23453">
        <v>226</v>
      </c>
      <c r="C23453" s="1" t="str">
        <f>HYPERLINK("http://www.rosaceae.org/gb/gbrowse/malus_x_domestica/?name=MDP0000826052","MDP0000826052")</f>
        <v>MDP0000826052</v>
      </c>
      <c r="D23453">
        <v>29.64</v>
      </c>
      <c r="E23453">
        <v>199</v>
      </c>
      <c r="F23453">
        <v>140</v>
      </c>
      <c r="G23453">
        <v>17</v>
      </c>
      <c r="H23453">
        <v>30</v>
      </c>
      <c r="I23453">
        <v>215</v>
      </c>
      <c r="J23453">
        <v>1</v>
      </c>
      <c r="K23453">
        <v>27</v>
      </c>
      <c r="L23453">
        <v>221</v>
      </c>
      <c r="M23453">
        <v>1</v>
      </c>
      <c r="N23453">
        <v>2.8831799999999998E-12</v>
      </c>
      <c r="O23453">
        <v>168</v>
      </c>
    </row>
    <row r="23454" spans="1:15" x14ac:dyDescent="0.25">
      <c r="A23454" t="s">
        <v>23467</v>
      </c>
      <c r="B23454">
        <v>646</v>
      </c>
      <c r="C23454" s="1" t="str">
        <f>HYPERLINK("http://www.rosaceae.org/gb/gbrowse/malus_x_domestica/?name=MDP0000278349","MDP0000278349")</f>
        <v>MDP0000278349</v>
      </c>
      <c r="D23454">
        <v>79.23</v>
      </c>
      <c r="E23454">
        <v>655</v>
      </c>
      <c r="F23454">
        <v>136</v>
      </c>
      <c r="G23454">
        <v>17</v>
      </c>
      <c r="H23454">
        <v>1</v>
      </c>
      <c r="I23454">
        <v>646</v>
      </c>
      <c r="J23454">
        <v>1</v>
      </c>
      <c r="K23454">
        <v>1</v>
      </c>
      <c r="L23454">
        <v>647</v>
      </c>
      <c r="M23454">
        <v>1</v>
      </c>
      <c r="N23454">
        <v>0</v>
      </c>
      <c r="O23454">
        <v>2758</v>
      </c>
    </row>
    <row r="23455" spans="1:15" x14ac:dyDescent="0.25">
      <c r="A23455" t="s">
        <v>23468</v>
      </c>
      <c r="B23455">
        <v>318</v>
      </c>
      <c r="C23455" s="1" t="str">
        <f>HYPERLINK("http://www.rosaceae.org/gb/gbrowse/malus_x_domestica/?name=MDP0000915810","MDP0000915810")</f>
        <v>MDP0000915810</v>
      </c>
      <c r="D23455">
        <v>41.88</v>
      </c>
      <c r="E23455">
        <v>308</v>
      </c>
      <c r="F23455">
        <v>179</v>
      </c>
      <c r="G23455">
        <v>24</v>
      </c>
      <c r="H23455">
        <v>31</v>
      </c>
      <c r="I23455">
        <v>318</v>
      </c>
      <c r="J23455">
        <v>1</v>
      </c>
      <c r="K23455">
        <v>48</v>
      </c>
      <c r="L23455">
        <v>351</v>
      </c>
      <c r="M23455">
        <v>1</v>
      </c>
      <c r="N23455">
        <v>4.0972199999999997E-58</v>
      </c>
      <c r="O23455">
        <v>565</v>
      </c>
    </row>
    <row r="23456" spans="1:15" x14ac:dyDescent="0.25">
      <c r="A23456" t="s">
        <v>23469</v>
      </c>
      <c r="B23456">
        <v>816</v>
      </c>
      <c r="C23456" s="1" t="str">
        <f>HYPERLINK("http://www.rosaceae.org/gb/gbrowse/malus_x_domestica/?name=MDP0000238281","MDP0000238281")</f>
        <v>MDP0000238281</v>
      </c>
      <c r="D23456">
        <v>50.22</v>
      </c>
      <c r="E23456">
        <v>880</v>
      </c>
      <c r="F23456">
        <v>438</v>
      </c>
      <c r="G23456">
        <v>124</v>
      </c>
      <c r="H23456">
        <v>6</v>
      </c>
      <c r="I23456">
        <v>772</v>
      </c>
      <c r="J23456">
        <v>1</v>
      </c>
      <c r="K23456">
        <v>2</v>
      </c>
      <c r="L23456">
        <v>870</v>
      </c>
      <c r="M23456">
        <v>1</v>
      </c>
      <c r="N23456">
        <v>0</v>
      </c>
      <c r="O23456">
        <v>1975</v>
      </c>
    </row>
    <row r="23457" spans="1:15" x14ac:dyDescent="0.25">
      <c r="A23457" t="s">
        <v>23470</v>
      </c>
      <c r="B23457">
        <v>535</v>
      </c>
      <c r="C23457" s="1" t="str">
        <f>HYPERLINK("http://www.rosaceae.org/gb/gbrowse/malus_x_domestica/?name=MDP0000508991","MDP0000508991")</f>
        <v>MDP0000508991</v>
      </c>
      <c r="D23457">
        <v>70.28</v>
      </c>
      <c r="E23457">
        <v>488</v>
      </c>
      <c r="F23457">
        <v>145</v>
      </c>
      <c r="G23457">
        <v>2</v>
      </c>
      <c r="H23457">
        <v>1</v>
      </c>
      <c r="I23457">
        <v>487</v>
      </c>
      <c r="J23457">
        <v>1</v>
      </c>
      <c r="K23457">
        <v>1</v>
      </c>
      <c r="L23457">
        <v>487</v>
      </c>
      <c r="M23457">
        <v>1</v>
      </c>
      <c r="N23457">
        <v>0</v>
      </c>
      <c r="O23457">
        <v>1829</v>
      </c>
    </row>
    <row r="23458" spans="1:15" x14ac:dyDescent="0.25">
      <c r="A23458" t="s">
        <v>23471</v>
      </c>
      <c r="B23458">
        <v>180</v>
      </c>
      <c r="C23458" s="1" t="str">
        <f>HYPERLINK("http://www.rosaceae.org/gb/gbrowse/malus_x_domestica/?name=MDP0000242052","MDP0000242052")</f>
        <v>MDP0000242052</v>
      </c>
      <c r="D23458">
        <v>71.59</v>
      </c>
      <c r="E23458">
        <v>176</v>
      </c>
      <c r="F23458">
        <v>50</v>
      </c>
      <c r="G23458">
        <v>4</v>
      </c>
      <c r="H23458">
        <v>6</v>
      </c>
      <c r="I23458">
        <v>180</v>
      </c>
      <c r="J23458">
        <v>1</v>
      </c>
      <c r="K23458">
        <v>9</v>
      </c>
      <c r="L23458">
        <v>181</v>
      </c>
      <c r="M23458">
        <v>1</v>
      </c>
      <c r="N23458">
        <v>6.60437E-68</v>
      </c>
      <c r="O23458">
        <v>646</v>
      </c>
    </row>
    <row r="23459" spans="1:15" x14ac:dyDescent="0.25">
      <c r="A23459" t="s">
        <v>23472</v>
      </c>
      <c r="B23459">
        <v>262</v>
      </c>
      <c r="C23459" s="1" t="str">
        <f>HYPERLINK("http://www.rosaceae.org/gb/gbrowse/malus_x_domestica/?name=MDP0000213892","MDP0000213892")</f>
        <v>MDP0000213892</v>
      </c>
      <c r="D23459">
        <v>66.52</v>
      </c>
      <c r="E23459">
        <v>242</v>
      </c>
      <c r="F23459">
        <v>81</v>
      </c>
      <c r="G23459">
        <v>33</v>
      </c>
      <c r="H23459">
        <v>1</v>
      </c>
      <c r="I23459">
        <v>236</v>
      </c>
      <c r="J23459">
        <v>1</v>
      </c>
      <c r="K23459">
        <v>1</v>
      </c>
      <c r="L23459">
        <v>215</v>
      </c>
      <c r="M23459">
        <v>1</v>
      </c>
      <c r="N23459">
        <v>1.1681E-76</v>
      </c>
      <c r="O23459">
        <v>724</v>
      </c>
    </row>
    <row r="23460" spans="1:15" x14ac:dyDescent="0.25">
      <c r="A23460" t="s">
        <v>23473</v>
      </c>
      <c r="B23460">
        <v>207</v>
      </c>
      <c r="C23460" s="1" t="str">
        <f>HYPERLINK("http://www.rosaceae.org/gb/gbrowse/malus_x_domestica/?name=MDP0000548066","MDP0000548066")</f>
        <v>MDP0000548066</v>
      </c>
      <c r="D23460">
        <v>75.73</v>
      </c>
      <c r="E23460">
        <v>136</v>
      </c>
      <c r="F23460">
        <v>33</v>
      </c>
      <c r="G23460">
        <v>0</v>
      </c>
      <c r="H23460">
        <v>4</v>
      </c>
      <c r="I23460">
        <v>139</v>
      </c>
      <c r="J23460">
        <v>1</v>
      </c>
      <c r="K23460">
        <v>3</v>
      </c>
      <c r="L23460">
        <v>138</v>
      </c>
      <c r="M23460">
        <v>1</v>
      </c>
      <c r="N23460">
        <v>1.4708099999999999E-59</v>
      </c>
      <c r="O23460">
        <v>575</v>
      </c>
    </row>
    <row r="23461" spans="1:15" x14ac:dyDescent="0.25">
      <c r="A23461" t="s">
        <v>23474</v>
      </c>
      <c r="B23461">
        <v>765</v>
      </c>
      <c r="C23461" s="1" t="str">
        <f>HYPERLINK("http://www.rosaceae.org/gb/gbrowse/malus_x_domestica/?name=MDP0000148489","MDP0000148489")</f>
        <v>MDP0000148489</v>
      </c>
      <c r="D23461">
        <v>72.760000000000005</v>
      </c>
      <c r="E23461">
        <v>672</v>
      </c>
      <c r="F23461">
        <v>183</v>
      </c>
      <c r="G23461">
        <v>8</v>
      </c>
      <c r="H23461">
        <v>86</v>
      </c>
      <c r="I23461">
        <v>749</v>
      </c>
      <c r="J23461">
        <v>1</v>
      </c>
      <c r="K23461">
        <v>7</v>
      </c>
      <c r="L23461">
        <v>678</v>
      </c>
      <c r="M23461">
        <v>1</v>
      </c>
      <c r="N23461">
        <v>0</v>
      </c>
      <c r="O23461">
        <v>2691</v>
      </c>
    </row>
    <row r="23462" spans="1:15" x14ac:dyDescent="0.25">
      <c r="A23462" t="s">
        <v>23475</v>
      </c>
      <c r="B23462">
        <v>316</v>
      </c>
      <c r="C23462" s="1" t="str">
        <f>HYPERLINK("http://www.rosaceae.org/gb/gbrowse/malus_x_domestica/?name=MDP0000170409","MDP0000170409")</f>
        <v>MDP0000170409</v>
      </c>
      <c r="D23462">
        <v>61.94</v>
      </c>
      <c r="E23462">
        <v>134</v>
      </c>
      <c r="F23462">
        <v>51</v>
      </c>
      <c r="G23462">
        <v>0</v>
      </c>
      <c r="H23462">
        <v>1</v>
      </c>
      <c r="I23462">
        <v>134</v>
      </c>
      <c r="J23462">
        <v>1</v>
      </c>
      <c r="K23462">
        <v>233</v>
      </c>
      <c r="L23462">
        <v>366</v>
      </c>
      <c r="M23462">
        <v>1</v>
      </c>
      <c r="N23462">
        <v>1.2578700000000001E-41</v>
      </c>
      <c r="O23462">
        <v>423</v>
      </c>
    </row>
    <row r="23463" spans="1:15" x14ac:dyDescent="0.25">
      <c r="A23463" t="s">
        <v>23476</v>
      </c>
      <c r="B23463">
        <v>308</v>
      </c>
      <c r="C23463" s="1" t="str">
        <f>HYPERLINK("http://www.rosaceae.org/gb/gbrowse/malus_x_domestica/?name=MDP0000253809","MDP0000253809")</f>
        <v>MDP0000253809</v>
      </c>
      <c r="D23463">
        <v>66.040000000000006</v>
      </c>
      <c r="E23463">
        <v>324</v>
      </c>
      <c r="F23463">
        <v>110</v>
      </c>
      <c r="G23463">
        <v>18</v>
      </c>
      <c r="H23463">
        <v>1</v>
      </c>
      <c r="I23463">
        <v>306</v>
      </c>
      <c r="J23463">
        <v>1</v>
      </c>
      <c r="K23463">
        <v>1</v>
      </c>
      <c r="L23463">
        <v>324</v>
      </c>
      <c r="M23463">
        <v>1</v>
      </c>
      <c r="N23463">
        <v>1.04554E-115</v>
      </c>
      <c r="O23463">
        <v>1062</v>
      </c>
    </row>
    <row r="23464" spans="1:15" x14ac:dyDescent="0.25">
      <c r="A23464" t="s">
        <v>23477</v>
      </c>
      <c r="B23464">
        <v>243</v>
      </c>
      <c r="C23464" s="1" t="str">
        <f>HYPERLINK("http://www.rosaceae.org/gb/gbrowse/malus_x_domestica/?name=MDP0000322279","MDP0000322279")</f>
        <v>MDP0000322279</v>
      </c>
      <c r="D23464">
        <v>58.33</v>
      </c>
      <c r="E23464">
        <v>216</v>
      </c>
      <c r="F23464">
        <v>90</v>
      </c>
      <c r="G23464">
        <v>9</v>
      </c>
      <c r="H23464">
        <v>32</v>
      </c>
      <c r="I23464">
        <v>242</v>
      </c>
      <c r="J23464">
        <v>1</v>
      </c>
      <c r="K23464">
        <v>35</v>
      </c>
      <c r="L23464">
        <v>246</v>
      </c>
      <c r="M23464">
        <v>1</v>
      </c>
      <c r="N23464">
        <v>7.7291000000000003E-61</v>
      </c>
      <c r="O23464">
        <v>587</v>
      </c>
    </row>
    <row r="23465" spans="1:15" x14ac:dyDescent="0.25">
      <c r="A23465" t="s">
        <v>23478</v>
      </c>
      <c r="B23465">
        <v>103</v>
      </c>
      <c r="C23465" s="1" t="str">
        <f>HYPERLINK("http://www.rosaceae.org/gb/gbrowse/malus_x_domestica/?name=MDP0000241704","MDP0000241704")</f>
        <v>MDP0000241704</v>
      </c>
      <c r="D23465">
        <v>38.46</v>
      </c>
      <c r="E23465">
        <v>78</v>
      </c>
      <c r="F23465">
        <v>48</v>
      </c>
      <c r="G23465">
        <v>0</v>
      </c>
      <c r="H23465">
        <v>2</v>
      </c>
      <c r="I23465">
        <v>79</v>
      </c>
      <c r="J23465">
        <v>1</v>
      </c>
      <c r="K23465">
        <v>400</v>
      </c>
      <c r="L23465">
        <v>477</v>
      </c>
      <c r="M23465">
        <v>1</v>
      </c>
      <c r="N23465">
        <v>3.1260999999999999E-11</v>
      </c>
      <c r="O23465">
        <v>154</v>
      </c>
    </row>
    <row r="23466" spans="1:15" x14ac:dyDescent="0.25">
      <c r="A23466" t="s">
        <v>23479</v>
      </c>
      <c r="B23466">
        <v>255</v>
      </c>
      <c r="C23466" s="1" t="str">
        <f>HYPERLINK("http://www.rosaceae.org/gb/gbrowse/malus_x_domestica/?name=MDP0000229885","MDP0000229885")</f>
        <v>MDP0000229885</v>
      </c>
      <c r="D23466">
        <v>50.23</v>
      </c>
      <c r="E23466">
        <v>209</v>
      </c>
      <c r="F23466">
        <v>104</v>
      </c>
      <c r="G23466">
        <v>65</v>
      </c>
      <c r="H23466">
        <v>99</v>
      </c>
      <c r="I23466">
        <v>244</v>
      </c>
      <c r="J23466">
        <v>1</v>
      </c>
      <c r="K23466">
        <v>62</v>
      </c>
      <c r="L23466">
        <v>268</v>
      </c>
      <c r="M23466">
        <v>1</v>
      </c>
      <c r="N23466">
        <v>2.9490199999999998E-38</v>
      </c>
      <c r="O23466">
        <v>393</v>
      </c>
    </row>
    <row r="23467" spans="1:15" x14ac:dyDescent="0.25">
      <c r="A23467" t="s">
        <v>23480</v>
      </c>
      <c r="B23467">
        <v>516</v>
      </c>
      <c r="C23467" s="1" t="str">
        <f>HYPERLINK("http://www.rosaceae.org/gb/gbrowse/malus_x_domestica/?name=MDP0000615636","MDP0000615636")</f>
        <v>MDP0000615636</v>
      </c>
      <c r="D23467">
        <v>70.66</v>
      </c>
      <c r="E23467">
        <v>508</v>
      </c>
      <c r="F23467">
        <v>149</v>
      </c>
      <c r="G23467">
        <v>27</v>
      </c>
      <c r="H23467">
        <v>9</v>
      </c>
      <c r="I23467">
        <v>513</v>
      </c>
      <c r="J23467">
        <v>1</v>
      </c>
      <c r="K23467">
        <v>14</v>
      </c>
      <c r="L23467">
        <v>497</v>
      </c>
      <c r="M23467">
        <v>1</v>
      </c>
      <c r="N23467">
        <v>0</v>
      </c>
      <c r="O23467">
        <v>1837</v>
      </c>
    </row>
    <row r="23468" spans="1:15" x14ac:dyDescent="0.25">
      <c r="A23468" t="s">
        <v>23481</v>
      </c>
      <c r="B23468">
        <v>357</v>
      </c>
      <c r="C23468" s="1" t="str">
        <f>HYPERLINK("http://www.rosaceae.org/gb/gbrowse/malus_x_domestica/?name=MDP0000708334","MDP0000708334")</f>
        <v>MDP0000708334</v>
      </c>
      <c r="D23468">
        <v>83.47</v>
      </c>
      <c r="E23468">
        <v>357</v>
      </c>
      <c r="F23468">
        <v>59</v>
      </c>
      <c r="G23468">
        <v>6</v>
      </c>
      <c r="H23468">
        <v>3</v>
      </c>
      <c r="I23468">
        <v>357</v>
      </c>
      <c r="J23468">
        <v>1</v>
      </c>
      <c r="K23468">
        <v>1</v>
      </c>
      <c r="L23468">
        <v>353</v>
      </c>
      <c r="M23468">
        <v>1</v>
      </c>
      <c r="N23468">
        <v>1.3199800000000001E-170</v>
      </c>
      <c r="O23468">
        <v>1536</v>
      </c>
    </row>
    <row r="23469" spans="1:15" x14ac:dyDescent="0.25">
      <c r="A23469" t="s">
        <v>23482</v>
      </c>
      <c r="B23469">
        <v>591</v>
      </c>
      <c r="C23469" s="1" t="str">
        <f>HYPERLINK("http://www.rosaceae.org/gb/gbrowse/malus_x_domestica/?name=MDP0000152854","MDP0000152854")</f>
        <v>MDP0000152854</v>
      </c>
      <c r="D23469">
        <v>77.28</v>
      </c>
      <c r="E23469">
        <v>590</v>
      </c>
      <c r="F23469">
        <v>134</v>
      </c>
      <c r="G23469">
        <v>2</v>
      </c>
      <c r="H23469">
        <v>1</v>
      </c>
      <c r="I23469">
        <v>590</v>
      </c>
      <c r="J23469">
        <v>1</v>
      </c>
      <c r="K23469">
        <v>1</v>
      </c>
      <c r="L23469">
        <v>588</v>
      </c>
      <c r="M23469">
        <v>1</v>
      </c>
      <c r="N23469">
        <v>0</v>
      </c>
      <c r="O23469">
        <v>2462</v>
      </c>
    </row>
    <row r="23470" spans="1:15" x14ac:dyDescent="0.25">
      <c r="A23470" t="s">
        <v>23483</v>
      </c>
      <c r="B23470">
        <v>837</v>
      </c>
      <c r="C23470" s="1" t="str">
        <f>HYPERLINK("http://www.rosaceae.org/gb/gbrowse/malus_x_domestica/?name=MDP0000073670","MDP0000073670")</f>
        <v>MDP0000073670</v>
      </c>
      <c r="D23470">
        <v>89.16</v>
      </c>
      <c r="E23470">
        <v>794</v>
      </c>
      <c r="F23470">
        <v>86</v>
      </c>
      <c r="G23470">
        <v>5</v>
      </c>
      <c r="H23470">
        <v>31</v>
      </c>
      <c r="I23470">
        <v>821</v>
      </c>
      <c r="J23470">
        <v>1</v>
      </c>
      <c r="K23470">
        <v>17</v>
      </c>
      <c r="L23470">
        <v>808</v>
      </c>
      <c r="M23470">
        <v>1</v>
      </c>
      <c r="N23470">
        <v>0</v>
      </c>
      <c r="O23470">
        <v>3690</v>
      </c>
    </row>
    <row r="23471" spans="1:15" x14ac:dyDescent="0.25">
      <c r="A23471" t="s">
        <v>23484</v>
      </c>
      <c r="B23471">
        <v>653</v>
      </c>
      <c r="C23471" s="1" t="str">
        <f>HYPERLINK("http://www.rosaceae.org/gb/gbrowse/malus_x_domestica/?name=MDP0000309179","MDP0000309179")</f>
        <v>MDP0000309179</v>
      </c>
      <c r="D23471">
        <v>67.87</v>
      </c>
      <c r="E23471">
        <v>660</v>
      </c>
      <c r="F23471">
        <v>212</v>
      </c>
      <c r="G23471">
        <v>56</v>
      </c>
      <c r="H23471">
        <v>6</v>
      </c>
      <c r="I23471">
        <v>610</v>
      </c>
      <c r="J23471">
        <v>1</v>
      </c>
      <c r="K23471">
        <v>3</v>
      </c>
      <c r="L23471">
        <v>661</v>
      </c>
      <c r="M23471">
        <v>1</v>
      </c>
      <c r="N23471">
        <v>0</v>
      </c>
      <c r="O23471">
        <v>2261</v>
      </c>
    </row>
    <row r="23472" spans="1:15" x14ac:dyDescent="0.25">
      <c r="A23472" t="s">
        <v>23485</v>
      </c>
      <c r="B23472">
        <v>204</v>
      </c>
      <c r="C23472" s="1" t="str">
        <f>HYPERLINK("http://www.rosaceae.org/gb/gbrowse/malus_x_domestica/?name=MDP0000289515","MDP0000289515")</f>
        <v>MDP0000289515</v>
      </c>
      <c r="D23472">
        <v>47.22</v>
      </c>
      <c r="E23472">
        <v>144</v>
      </c>
      <c r="F23472">
        <v>76</v>
      </c>
      <c r="G23472">
        <v>21</v>
      </c>
      <c r="H23472">
        <v>1</v>
      </c>
      <c r="I23472">
        <v>130</v>
      </c>
      <c r="J23472">
        <v>1</v>
      </c>
      <c r="K23472">
        <v>1</v>
      </c>
      <c r="L23472">
        <v>137</v>
      </c>
      <c r="M23472">
        <v>1</v>
      </c>
      <c r="N23472">
        <v>2.24857E-23</v>
      </c>
      <c r="O23472">
        <v>263</v>
      </c>
    </row>
    <row r="23473" spans="1:15" x14ac:dyDescent="0.25">
      <c r="A23473" t="s">
        <v>23486</v>
      </c>
      <c r="B23473">
        <v>265</v>
      </c>
      <c r="C23473" s="1" t="str">
        <f>HYPERLINK("http://www.rosaceae.org/gb/gbrowse/malus_x_domestica/?name=MDP0000197472","MDP0000197472")</f>
        <v>MDP0000197472</v>
      </c>
      <c r="D23473">
        <v>74.5</v>
      </c>
      <c r="E23473">
        <v>200</v>
      </c>
      <c r="F23473">
        <v>51</v>
      </c>
      <c r="G23473">
        <v>0</v>
      </c>
      <c r="H23473">
        <v>36</v>
      </c>
      <c r="I23473">
        <v>235</v>
      </c>
      <c r="J23473">
        <v>1</v>
      </c>
      <c r="K23473">
        <v>184</v>
      </c>
      <c r="L23473">
        <v>383</v>
      </c>
      <c r="M23473">
        <v>1</v>
      </c>
      <c r="N23473">
        <v>1.7565899999999999E-80</v>
      </c>
      <c r="O23473">
        <v>757</v>
      </c>
    </row>
    <row r="23474" spans="1:15" x14ac:dyDescent="0.25">
      <c r="A23474" t="s">
        <v>23487</v>
      </c>
      <c r="B23474">
        <v>241</v>
      </c>
      <c r="C23474" s="1" t="str">
        <f>HYPERLINK("http://www.rosaceae.org/gb/gbrowse/malus_x_domestica/?name=MDP0000225880","MDP0000225880")</f>
        <v>MDP0000225880</v>
      </c>
      <c r="D23474">
        <v>37.64</v>
      </c>
      <c r="E23474">
        <v>85</v>
      </c>
      <c r="F23474">
        <v>53</v>
      </c>
      <c r="G23474">
        <v>0</v>
      </c>
      <c r="H23474">
        <v>86</v>
      </c>
      <c r="I23474">
        <v>170</v>
      </c>
      <c r="J23474">
        <v>1</v>
      </c>
      <c r="K23474">
        <v>242</v>
      </c>
      <c r="L23474">
        <v>326</v>
      </c>
      <c r="M23474">
        <v>1</v>
      </c>
      <c r="N23474">
        <v>9.0544400000000001E-13</v>
      </c>
      <c r="O23474">
        <v>173</v>
      </c>
    </row>
    <row r="23475" spans="1:15" x14ac:dyDescent="0.25">
      <c r="A23475" t="s">
        <v>23488</v>
      </c>
      <c r="B23475">
        <v>739</v>
      </c>
      <c r="C23475" s="1" t="str">
        <f>HYPERLINK("http://www.rosaceae.org/gb/gbrowse/malus_x_domestica/?name=MDP0000253540","MDP0000253540")</f>
        <v>MDP0000253540</v>
      </c>
      <c r="D23475">
        <v>69.94</v>
      </c>
      <c r="E23475">
        <v>762</v>
      </c>
      <c r="F23475">
        <v>229</v>
      </c>
      <c r="G23475">
        <v>41</v>
      </c>
      <c r="H23475">
        <v>1</v>
      </c>
      <c r="I23475">
        <v>733</v>
      </c>
      <c r="J23475">
        <v>1</v>
      </c>
      <c r="K23475">
        <v>1</v>
      </c>
      <c r="L23475">
        <v>750</v>
      </c>
      <c r="M23475">
        <v>1</v>
      </c>
      <c r="N23475">
        <v>0</v>
      </c>
      <c r="O23475">
        <v>2641</v>
      </c>
    </row>
    <row r="23476" spans="1:15" x14ac:dyDescent="0.25">
      <c r="A23476" t="s">
        <v>23489</v>
      </c>
      <c r="B23476">
        <v>278</v>
      </c>
      <c r="C23476" s="1" t="str">
        <f>HYPERLINK("http://www.rosaceae.org/gb/gbrowse/malus_x_domestica/?name=MDP0000130804","MDP0000130804")</f>
        <v>MDP0000130804</v>
      </c>
      <c r="D23476">
        <v>43.81</v>
      </c>
      <c r="E23476">
        <v>283</v>
      </c>
      <c r="F23476">
        <v>159</v>
      </c>
      <c r="G23476">
        <v>29</v>
      </c>
      <c r="H23476">
        <v>1</v>
      </c>
      <c r="I23476">
        <v>276</v>
      </c>
      <c r="J23476">
        <v>1</v>
      </c>
      <c r="K23476">
        <v>244</v>
      </c>
      <c r="L23476">
        <v>504</v>
      </c>
      <c r="M23476">
        <v>1</v>
      </c>
      <c r="N23476">
        <v>2.08155E-47</v>
      </c>
      <c r="O23476">
        <v>472</v>
      </c>
    </row>
    <row r="23477" spans="1:15" x14ac:dyDescent="0.25">
      <c r="A23477" t="s">
        <v>23490</v>
      </c>
      <c r="B23477">
        <v>137</v>
      </c>
      <c r="C23477" s="1" t="str">
        <f>HYPERLINK("http://www.rosaceae.org/gb/gbrowse/malus_x_domestica/?name=MDP0000786569","MDP0000786569")</f>
        <v>MDP0000786569</v>
      </c>
      <c r="D23477">
        <v>85.71</v>
      </c>
      <c r="E23477">
        <v>63</v>
      </c>
      <c r="F23477">
        <v>9</v>
      </c>
      <c r="G23477">
        <v>0</v>
      </c>
      <c r="H23477">
        <v>1</v>
      </c>
      <c r="I23477">
        <v>63</v>
      </c>
      <c r="J23477">
        <v>1</v>
      </c>
      <c r="K23477">
        <v>255</v>
      </c>
      <c r="L23477">
        <v>317</v>
      </c>
      <c r="M23477">
        <v>1</v>
      </c>
      <c r="N23477">
        <v>8.8597999999999993E-27</v>
      </c>
      <c r="O23477">
        <v>290</v>
      </c>
    </row>
    <row r="23478" spans="1:15" x14ac:dyDescent="0.25">
      <c r="A23478" t="s">
        <v>23491</v>
      </c>
      <c r="B23478">
        <v>510</v>
      </c>
      <c r="C23478" s="1" t="str">
        <f>HYPERLINK("http://www.rosaceae.org/gb/gbrowse/malus_x_domestica/?name=MDP0000282239","MDP0000282239")</f>
        <v>MDP0000282239</v>
      </c>
      <c r="D23478">
        <v>78.31</v>
      </c>
      <c r="E23478">
        <v>535</v>
      </c>
      <c r="F23478">
        <v>116</v>
      </c>
      <c r="G23478">
        <v>26</v>
      </c>
      <c r="H23478">
        <v>1</v>
      </c>
      <c r="I23478">
        <v>509</v>
      </c>
      <c r="J23478">
        <v>1</v>
      </c>
      <c r="K23478">
        <v>50</v>
      </c>
      <c r="L23478">
        <v>584</v>
      </c>
      <c r="M23478">
        <v>1</v>
      </c>
      <c r="N23478">
        <v>0</v>
      </c>
      <c r="O23478">
        <v>2161</v>
      </c>
    </row>
    <row r="23479" spans="1:15" x14ac:dyDescent="0.25">
      <c r="A23479" t="s">
        <v>23492</v>
      </c>
      <c r="B23479">
        <v>847</v>
      </c>
      <c r="C23479" s="1" t="str">
        <f>HYPERLINK("http://www.rosaceae.org/gb/gbrowse/malus_x_domestica/?name=MDP0000316149","MDP0000316149")</f>
        <v>MDP0000316149</v>
      </c>
      <c r="D23479">
        <v>65.22</v>
      </c>
      <c r="E23479">
        <v>716</v>
      </c>
      <c r="F23479">
        <v>249</v>
      </c>
      <c r="G23479">
        <v>1</v>
      </c>
      <c r="H23479">
        <v>29</v>
      </c>
      <c r="I23479">
        <v>744</v>
      </c>
      <c r="J23479">
        <v>1</v>
      </c>
      <c r="K23479">
        <v>30</v>
      </c>
      <c r="L23479">
        <v>744</v>
      </c>
      <c r="M23479">
        <v>1</v>
      </c>
      <c r="N23479">
        <v>0</v>
      </c>
      <c r="O23479">
        <v>2535</v>
      </c>
    </row>
    <row r="23480" spans="1:15" x14ac:dyDescent="0.25">
      <c r="A23480" t="s">
        <v>23493</v>
      </c>
      <c r="B23480">
        <v>331</v>
      </c>
      <c r="C23480" s="1" t="str">
        <f>HYPERLINK("http://www.rosaceae.org/gb/gbrowse/malus_x_domestica/?name=MDP0000150414","MDP0000150414")</f>
        <v>MDP0000150414</v>
      </c>
      <c r="D23480">
        <v>61.58</v>
      </c>
      <c r="E23480">
        <v>341</v>
      </c>
      <c r="F23480">
        <v>131</v>
      </c>
      <c r="G23480">
        <v>10</v>
      </c>
      <c r="H23480">
        <v>1</v>
      </c>
      <c r="I23480">
        <v>331</v>
      </c>
      <c r="J23480">
        <v>1</v>
      </c>
      <c r="K23480">
        <v>1</v>
      </c>
      <c r="L23480">
        <v>341</v>
      </c>
      <c r="M23480">
        <v>1</v>
      </c>
      <c r="N23480">
        <v>8.11757E-119</v>
      </c>
      <c r="O23480">
        <v>1089</v>
      </c>
    </row>
    <row r="23481" spans="1:15" x14ac:dyDescent="0.25">
      <c r="A23481" t="s">
        <v>23494</v>
      </c>
      <c r="B23481">
        <v>351</v>
      </c>
      <c r="C23481" s="1" t="str">
        <f>HYPERLINK("http://www.rosaceae.org/gb/gbrowse/malus_x_domestica/?name=MDP0000187103","MDP0000187103")</f>
        <v>MDP0000187103</v>
      </c>
      <c r="D23481">
        <v>64.28</v>
      </c>
      <c r="E23481">
        <v>350</v>
      </c>
      <c r="F23481">
        <v>125</v>
      </c>
      <c r="G23481">
        <v>1</v>
      </c>
      <c r="H23481">
        <v>1</v>
      </c>
      <c r="I23481">
        <v>350</v>
      </c>
      <c r="J23481">
        <v>1</v>
      </c>
      <c r="K23481">
        <v>1</v>
      </c>
      <c r="L23481">
        <v>349</v>
      </c>
      <c r="M23481">
        <v>1</v>
      </c>
      <c r="N23481">
        <v>1.3579699999999999E-131</v>
      </c>
      <c r="O23481">
        <v>1200</v>
      </c>
    </row>
    <row r="23482" spans="1:15" x14ac:dyDescent="0.25">
      <c r="A23482" t="s">
        <v>23495</v>
      </c>
      <c r="B23482">
        <v>862</v>
      </c>
      <c r="C23482" s="1" t="str">
        <f>HYPERLINK("http://www.rosaceae.org/gb/gbrowse/malus_x_domestica/?name=MDP0000222790","MDP0000222790")</f>
        <v>MDP0000222790</v>
      </c>
      <c r="D23482">
        <v>53.15</v>
      </c>
      <c r="E23482">
        <v>856</v>
      </c>
      <c r="F23482">
        <v>401</v>
      </c>
      <c r="G23482">
        <v>46</v>
      </c>
      <c r="H23482">
        <v>14</v>
      </c>
      <c r="I23482">
        <v>862</v>
      </c>
      <c r="J23482">
        <v>1</v>
      </c>
      <c r="K23482">
        <v>52</v>
      </c>
      <c r="L23482">
        <v>868</v>
      </c>
      <c r="M23482">
        <v>1</v>
      </c>
      <c r="N23482">
        <v>0</v>
      </c>
      <c r="O23482">
        <v>2165</v>
      </c>
    </row>
    <row r="23483" spans="1:15" x14ac:dyDescent="0.25">
      <c r="A23483" t="s">
        <v>23496</v>
      </c>
      <c r="B23483">
        <v>770</v>
      </c>
      <c r="C23483" s="1" t="str">
        <f>HYPERLINK("http://www.rosaceae.org/gb/gbrowse/malus_x_domestica/?name=MDP0000176045","MDP0000176045")</f>
        <v>MDP0000176045</v>
      </c>
      <c r="D23483">
        <v>29.26</v>
      </c>
      <c r="E23483">
        <v>205</v>
      </c>
      <c r="F23483">
        <v>145</v>
      </c>
      <c r="G23483">
        <v>24</v>
      </c>
      <c r="H23483">
        <v>56</v>
      </c>
      <c r="I23483">
        <v>243</v>
      </c>
      <c r="J23483">
        <v>1</v>
      </c>
      <c r="K23483">
        <v>136</v>
      </c>
      <c r="L23483">
        <v>333</v>
      </c>
      <c r="M23483">
        <v>1</v>
      </c>
      <c r="N23483">
        <v>1.9217199999999999E-11</v>
      </c>
      <c r="O23483">
        <v>167</v>
      </c>
    </row>
    <row r="23484" spans="1:15" x14ac:dyDescent="0.25">
      <c r="A23484" t="s">
        <v>23497</v>
      </c>
      <c r="B23484">
        <v>155</v>
      </c>
      <c r="C23484" s="1" t="str">
        <f>HYPERLINK("http://www.rosaceae.org/gb/gbrowse/malus_x_domestica/?name=MDP0000774306","MDP0000774306")</f>
        <v>MDP0000774306</v>
      </c>
      <c r="D23484">
        <v>43.22</v>
      </c>
      <c r="E23484">
        <v>118</v>
      </c>
      <c r="F23484">
        <v>67</v>
      </c>
      <c r="G23484">
        <v>4</v>
      </c>
      <c r="H23484">
        <v>29</v>
      </c>
      <c r="I23484">
        <v>142</v>
      </c>
      <c r="J23484">
        <v>1</v>
      </c>
      <c r="K23484">
        <v>190</v>
      </c>
      <c r="L23484">
        <v>307</v>
      </c>
      <c r="M23484">
        <v>1</v>
      </c>
      <c r="N23484">
        <v>4.8833700000000003E-15</v>
      </c>
      <c r="O23484">
        <v>189</v>
      </c>
    </row>
    <row r="23485" spans="1:15" x14ac:dyDescent="0.25">
      <c r="A23485" t="s">
        <v>23498</v>
      </c>
      <c r="B23485">
        <v>452</v>
      </c>
      <c r="C23485" s="1" t="str">
        <f>HYPERLINK("http://www.rosaceae.org/gb/gbrowse/malus_x_domestica/?name=MDP0000459932","MDP0000459932")</f>
        <v>MDP0000459932</v>
      </c>
      <c r="D23485">
        <v>33.33</v>
      </c>
      <c r="E23485">
        <v>138</v>
      </c>
      <c r="F23485">
        <v>92</v>
      </c>
      <c r="G23485">
        <v>12</v>
      </c>
      <c r="H23485">
        <v>238</v>
      </c>
      <c r="I23485">
        <v>366</v>
      </c>
      <c r="J23485">
        <v>1</v>
      </c>
      <c r="K23485">
        <v>30</v>
      </c>
      <c r="L23485">
        <v>164</v>
      </c>
      <c r="M23485">
        <v>1</v>
      </c>
      <c r="N23485">
        <v>5.3157799999999999E-20</v>
      </c>
      <c r="O23485">
        <v>238</v>
      </c>
    </row>
    <row r="23486" spans="1:15" x14ac:dyDescent="0.25">
      <c r="A23486" t="s">
        <v>23499</v>
      </c>
      <c r="B23486">
        <v>455</v>
      </c>
      <c r="C23486" s="1" t="str">
        <f>HYPERLINK("http://www.rosaceae.org/gb/gbrowse/malus_x_domestica/?name=MDP0000303132","MDP0000303132")</f>
        <v>MDP0000303132</v>
      </c>
      <c r="D23486">
        <v>71.8</v>
      </c>
      <c r="E23486">
        <v>422</v>
      </c>
      <c r="F23486">
        <v>119</v>
      </c>
      <c r="G23486">
        <v>29</v>
      </c>
      <c r="H23486">
        <v>34</v>
      </c>
      <c r="I23486">
        <v>455</v>
      </c>
      <c r="J23486">
        <v>1</v>
      </c>
      <c r="K23486">
        <v>30</v>
      </c>
      <c r="L23486">
        <v>422</v>
      </c>
      <c r="M23486">
        <v>1</v>
      </c>
      <c r="N23486">
        <v>0</v>
      </c>
      <c r="O23486">
        <v>1647</v>
      </c>
    </row>
    <row r="23487" spans="1:15" x14ac:dyDescent="0.25">
      <c r="A23487" t="s">
        <v>23500</v>
      </c>
      <c r="B23487">
        <v>260</v>
      </c>
      <c r="C23487" s="1" t="str">
        <f>HYPERLINK("http://www.rosaceae.org/gb/gbrowse/malus_x_domestica/?name=MDP0000188529","MDP0000188529")</f>
        <v>MDP0000188529</v>
      </c>
      <c r="D23487">
        <v>74.5</v>
      </c>
      <c r="E23487">
        <v>255</v>
      </c>
      <c r="F23487">
        <v>65</v>
      </c>
      <c r="G23487">
        <v>13</v>
      </c>
      <c r="H23487">
        <v>14</v>
      </c>
      <c r="I23487">
        <v>260</v>
      </c>
      <c r="J23487">
        <v>1</v>
      </c>
      <c r="K23487">
        <v>12</v>
      </c>
      <c r="L23487">
        <v>261</v>
      </c>
      <c r="M23487">
        <v>1</v>
      </c>
      <c r="N23487">
        <v>9.2137600000000001E-104</v>
      </c>
      <c r="O23487">
        <v>958</v>
      </c>
    </row>
    <row r="23488" spans="1:15" x14ac:dyDescent="0.25">
      <c r="A23488" t="s">
        <v>23501</v>
      </c>
      <c r="B23488">
        <v>109</v>
      </c>
      <c r="C23488" s="1" t="str">
        <f>HYPERLINK("http://www.rosaceae.org/gb/gbrowse/malus_x_domestica/?name=MDP0000249104","MDP0000249104")</f>
        <v>MDP0000249104</v>
      </c>
      <c r="D23488">
        <v>39.44</v>
      </c>
      <c r="E23488">
        <v>109</v>
      </c>
      <c r="F23488">
        <v>66</v>
      </c>
      <c r="G23488">
        <v>6</v>
      </c>
      <c r="H23488">
        <v>2</v>
      </c>
      <c r="I23488">
        <v>109</v>
      </c>
      <c r="J23488">
        <v>1</v>
      </c>
      <c r="K23488">
        <v>31</v>
      </c>
      <c r="L23488">
        <v>134</v>
      </c>
      <c r="M23488">
        <v>1</v>
      </c>
      <c r="N23488">
        <v>1.2221800000000001E-15</v>
      </c>
      <c r="O23488">
        <v>192</v>
      </c>
    </row>
    <row r="23489" spans="1:15" x14ac:dyDescent="0.25">
      <c r="A23489" t="s">
        <v>23502</v>
      </c>
      <c r="B23489">
        <v>275</v>
      </c>
      <c r="C23489" s="1" t="str">
        <f>HYPERLINK("http://www.rosaceae.org/gb/gbrowse/malus_x_domestica/?name=MDP0000213111","MDP0000213111")</f>
        <v>MDP0000213111</v>
      </c>
      <c r="D23489">
        <v>76.62</v>
      </c>
      <c r="E23489">
        <v>261</v>
      </c>
      <c r="F23489">
        <v>61</v>
      </c>
      <c r="G23489">
        <v>0</v>
      </c>
      <c r="H23489">
        <v>1</v>
      </c>
      <c r="I23489">
        <v>261</v>
      </c>
      <c r="J23489">
        <v>1</v>
      </c>
      <c r="K23489">
        <v>2</v>
      </c>
      <c r="L23489">
        <v>262</v>
      </c>
      <c r="M23489">
        <v>1</v>
      </c>
      <c r="N23489">
        <v>2.54865E-124</v>
      </c>
      <c r="O23489">
        <v>1136</v>
      </c>
    </row>
    <row r="23490" spans="1:15" x14ac:dyDescent="0.25">
      <c r="A23490" t="s">
        <v>23503</v>
      </c>
      <c r="B23490">
        <v>862</v>
      </c>
      <c r="C23490" s="1" t="str">
        <f>HYPERLINK("http://www.rosaceae.org/gb/gbrowse/malus_x_domestica/?name=MDP0000888428","MDP0000888428")</f>
        <v>MDP0000888428</v>
      </c>
      <c r="D23490">
        <v>69.77</v>
      </c>
      <c r="E23490">
        <v>483</v>
      </c>
      <c r="F23490">
        <v>146</v>
      </c>
      <c r="G23490">
        <v>12</v>
      </c>
      <c r="H23490">
        <v>129</v>
      </c>
      <c r="I23490">
        <v>603</v>
      </c>
      <c r="J23490">
        <v>1</v>
      </c>
      <c r="K23490">
        <v>140</v>
      </c>
      <c r="L23490">
        <v>618</v>
      </c>
      <c r="M23490">
        <v>1</v>
      </c>
      <c r="N23490">
        <v>7.3172200000000002E-178</v>
      </c>
      <c r="O23490">
        <v>1603</v>
      </c>
    </row>
    <row r="23491" spans="1:15" x14ac:dyDescent="0.25">
      <c r="A23491" t="s">
        <v>23504</v>
      </c>
      <c r="B23491">
        <v>999</v>
      </c>
      <c r="C23491" s="1" t="str">
        <f>HYPERLINK("http://www.rosaceae.org/gb/gbrowse/malus_x_domestica/?name=MDP0000708299","MDP0000708299")</f>
        <v>MDP0000708299</v>
      </c>
      <c r="D23491">
        <v>69.38</v>
      </c>
      <c r="E23491">
        <v>1019</v>
      </c>
      <c r="F23491">
        <v>312</v>
      </c>
      <c r="G23491">
        <v>31</v>
      </c>
      <c r="H23491">
        <v>3</v>
      </c>
      <c r="I23491">
        <v>990</v>
      </c>
      <c r="J23491">
        <v>1</v>
      </c>
      <c r="K23491">
        <v>74</v>
      </c>
      <c r="L23491">
        <v>1092</v>
      </c>
      <c r="M23491">
        <v>1</v>
      </c>
      <c r="N23491">
        <v>0</v>
      </c>
      <c r="O23491">
        <v>3637</v>
      </c>
    </row>
    <row r="23492" spans="1:15" x14ac:dyDescent="0.25">
      <c r="A23492" t="s">
        <v>23505</v>
      </c>
      <c r="B23492">
        <v>900</v>
      </c>
      <c r="C23492" s="1" t="str">
        <f>HYPERLINK("http://www.rosaceae.org/gb/gbrowse/malus_x_domestica/?name=MDP0000172441","MDP0000172441")</f>
        <v>MDP0000172441</v>
      </c>
      <c r="D23492">
        <v>81.33</v>
      </c>
      <c r="E23492">
        <v>75</v>
      </c>
      <c r="F23492">
        <v>14</v>
      </c>
      <c r="G23492">
        <v>1</v>
      </c>
      <c r="H23492">
        <v>10</v>
      </c>
      <c r="I23492">
        <v>83</v>
      </c>
      <c r="J23492">
        <v>1</v>
      </c>
      <c r="K23492">
        <v>938</v>
      </c>
      <c r="L23492">
        <v>1012</v>
      </c>
      <c r="M23492">
        <v>1</v>
      </c>
      <c r="N23492">
        <v>9.8949499999999994E-27</v>
      </c>
      <c r="O23492">
        <v>300</v>
      </c>
    </row>
    <row r="23493" spans="1:15" x14ac:dyDescent="0.25">
      <c r="A23493" t="s">
        <v>23506</v>
      </c>
      <c r="B23493">
        <v>488</v>
      </c>
      <c r="C23493" s="1" t="str">
        <f>HYPERLINK("http://www.rosaceae.org/gb/gbrowse/malus_x_domestica/?name=MDP0000933711","MDP0000933711")</f>
        <v>MDP0000933711</v>
      </c>
      <c r="D23493">
        <v>52.34</v>
      </c>
      <c r="E23493">
        <v>470</v>
      </c>
      <c r="F23493">
        <v>224</v>
      </c>
      <c r="G23493">
        <v>12</v>
      </c>
      <c r="H23493">
        <v>1</v>
      </c>
      <c r="I23493">
        <v>459</v>
      </c>
      <c r="J23493">
        <v>1</v>
      </c>
      <c r="K23493">
        <v>1</v>
      </c>
      <c r="L23493">
        <v>469</v>
      </c>
      <c r="M23493">
        <v>1</v>
      </c>
      <c r="N23493">
        <v>4.1327900000000002E-137</v>
      </c>
      <c r="O23493">
        <v>1249</v>
      </c>
    </row>
    <row r="23494" spans="1:15" x14ac:dyDescent="0.25">
      <c r="A23494" t="s">
        <v>23507</v>
      </c>
      <c r="B23494">
        <v>350</v>
      </c>
      <c r="C23494" s="1" t="str">
        <f>HYPERLINK("http://www.rosaceae.org/gb/gbrowse/malus_x_domestica/?name=MDP0000055639","MDP0000055639")</f>
        <v>MDP0000055639</v>
      </c>
      <c r="D23494">
        <v>58.51</v>
      </c>
      <c r="E23494">
        <v>364</v>
      </c>
      <c r="F23494">
        <v>151</v>
      </c>
      <c r="G23494">
        <v>21</v>
      </c>
      <c r="H23494">
        <v>4</v>
      </c>
      <c r="I23494">
        <v>349</v>
      </c>
      <c r="J23494">
        <v>1</v>
      </c>
      <c r="K23494">
        <v>5</v>
      </c>
      <c r="L23494">
        <v>365</v>
      </c>
      <c r="M23494">
        <v>1</v>
      </c>
      <c r="N23494">
        <v>1.48894E-116</v>
      </c>
      <c r="O23494">
        <v>1070</v>
      </c>
    </row>
    <row r="23495" spans="1:15" x14ac:dyDescent="0.25">
      <c r="A23495" t="s">
        <v>23508</v>
      </c>
      <c r="B23495">
        <v>321</v>
      </c>
      <c r="C23495" s="1" t="str">
        <f>HYPERLINK("http://www.rosaceae.org/gb/gbrowse/malus_x_domestica/?name=MDP0000179037","MDP0000179037")</f>
        <v>MDP0000179037</v>
      </c>
      <c r="D23495">
        <v>63.98</v>
      </c>
      <c r="E23495">
        <v>286</v>
      </c>
      <c r="F23495">
        <v>103</v>
      </c>
      <c r="G23495">
        <v>2</v>
      </c>
      <c r="H23495">
        <v>1</v>
      </c>
      <c r="I23495">
        <v>284</v>
      </c>
      <c r="J23495">
        <v>1</v>
      </c>
      <c r="K23495">
        <v>1</v>
      </c>
      <c r="L23495">
        <v>286</v>
      </c>
      <c r="M23495">
        <v>1</v>
      </c>
      <c r="N23495">
        <v>6.4459300000000005E-97</v>
      </c>
      <c r="O23495">
        <v>900</v>
      </c>
    </row>
    <row r="23496" spans="1:15" x14ac:dyDescent="0.25">
      <c r="A23496" t="s">
        <v>23509</v>
      </c>
      <c r="B23496">
        <v>607</v>
      </c>
      <c r="C23496" s="1" t="str">
        <f>HYPERLINK("http://www.rosaceae.org/gb/gbrowse/malus_x_domestica/?name=MDP0000699845","MDP0000699845")</f>
        <v>MDP0000699845</v>
      </c>
      <c r="D23496">
        <v>66.89</v>
      </c>
      <c r="E23496">
        <v>580</v>
      </c>
      <c r="F23496">
        <v>192</v>
      </c>
      <c r="G23496">
        <v>39</v>
      </c>
      <c r="H23496">
        <v>28</v>
      </c>
      <c r="I23496">
        <v>606</v>
      </c>
      <c r="J23496">
        <v>1</v>
      </c>
      <c r="K23496">
        <v>27</v>
      </c>
      <c r="L23496">
        <v>568</v>
      </c>
      <c r="M23496">
        <v>1</v>
      </c>
      <c r="N23496">
        <v>0</v>
      </c>
      <c r="O23496">
        <v>1985</v>
      </c>
    </row>
    <row r="23497" spans="1:15" x14ac:dyDescent="0.25">
      <c r="A23497" t="s">
        <v>23510</v>
      </c>
      <c r="B23497">
        <v>736</v>
      </c>
      <c r="C23497" s="1" t="str">
        <f>HYPERLINK("http://www.rosaceae.org/gb/gbrowse/malus_x_domestica/?name=MDP0000562446","MDP0000562446")</f>
        <v>MDP0000562446</v>
      </c>
      <c r="D23497">
        <v>66.400000000000006</v>
      </c>
      <c r="E23497">
        <v>765</v>
      </c>
      <c r="F23497">
        <v>257</v>
      </c>
      <c r="G23497">
        <v>39</v>
      </c>
      <c r="H23497">
        <v>2</v>
      </c>
      <c r="I23497">
        <v>736</v>
      </c>
      <c r="J23497">
        <v>1</v>
      </c>
      <c r="K23497">
        <v>70</v>
      </c>
      <c r="L23497">
        <v>825</v>
      </c>
      <c r="M23497">
        <v>1</v>
      </c>
      <c r="N23497">
        <v>0</v>
      </c>
      <c r="O23497">
        <v>2611</v>
      </c>
    </row>
    <row r="23498" spans="1:15" x14ac:dyDescent="0.25">
      <c r="A23498" t="s">
        <v>23511</v>
      </c>
      <c r="B23498">
        <v>291</v>
      </c>
      <c r="C23498" s="1" t="str">
        <f>HYPERLINK("http://www.rosaceae.org/gb/gbrowse/malus_x_domestica/?name=MDP0000231962","MDP0000231962")</f>
        <v>MDP0000231962</v>
      </c>
      <c r="D23498">
        <v>46.15</v>
      </c>
      <c r="E23498">
        <v>312</v>
      </c>
      <c r="F23498">
        <v>168</v>
      </c>
      <c r="G23498">
        <v>34</v>
      </c>
      <c r="H23498">
        <v>14</v>
      </c>
      <c r="I23498">
        <v>291</v>
      </c>
      <c r="J23498">
        <v>1</v>
      </c>
      <c r="K23498">
        <v>258</v>
      </c>
      <c r="L23498">
        <v>569</v>
      </c>
      <c r="M23498">
        <v>1</v>
      </c>
      <c r="N23498">
        <v>5.9787199999999994E-76</v>
      </c>
      <c r="O23498">
        <v>719</v>
      </c>
    </row>
    <row r="23499" spans="1:15" x14ac:dyDescent="0.25">
      <c r="A23499" t="s">
        <v>23512</v>
      </c>
      <c r="B23499">
        <v>619</v>
      </c>
      <c r="C23499" s="1" t="str">
        <f>HYPERLINK("http://www.rosaceae.org/gb/gbrowse/malus_x_domestica/?name=MDP0000228070","MDP0000228070")</f>
        <v>MDP0000228070</v>
      </c>
      <c r="D23499">
        <v>80.97</v>
      </c>
      <c r="E23499">
        <v>573</v>
      </c>
      <c r="F23499">
        <v>109</v>
      </c>
      <c r="G23499">
        <v>10</v>
      </c>
      <c r="H23499">
        <v>47</v>
      </c>
      <c r="I23499">
        <v>619</v>
      </c>
      <c r="J23499">
        <v>1</v>
      </c>
      <c r="K23499">
        <v>52</v>
      </c>
      <c r="L23499">
        <v>614</v>
      </c>
      <c r="M23499">
        <v>1</v>
      </c>
      <c r="N23499">
        <v>0</v>
      </c>
      <c r="O23499">
        <v>2487</v>
      </c>
    </row>
    <row r="23500" spans="1:15" x14ac:dyDescent="0.25">
      <c r="A23500" t="s">
        <v>23513</v>
      </c>
      <c r="B23500">
        <v>113</v>
      </c>
      <c r="C23500" s="1" t="str">
        <f>HYPERLINK("http://www.rosaceae.org/gb/gbrowse/malus_x_domestica/?name=MDP0000130897","MDP0000130897")</f>
        <v>MDP0000130897</v>
      </c>
      <c r="D23500">
        <v>35.78</v>
      </c>
      <c r="E23500">
        <v>95</v>
      </c>
      <c r="F23500">
        <v>61</v>
      </c>
      <c r="G23500">
        <v>1</v>
      </c>
      <c r="H23500">
        <v>1</v>
      </c>
      <c r="I23500">
        <v>95</v>
      </c>
      <c r="J23500">
        <v>1</v>
      </c>
      <c r="K23500">
        <v>474</v>
      </c>
      <c r="L23500">
        <v>567</v>
      </c>
      <c r="M23500">
        <v>1</v>
      </c>
      <c r="N23500">
        <v>1.25958E-14</v>
      </c>
      <c r="O23500">
        <v>184</v>
      </c>
    </row>
    <row r="23501" spans="1:15" x14ac:dyDescent="0.25">
      <c r="A23501" t="s">
        <v>23514</v>
      </c>
      <c r="B23501">
        <v>601</v>
      </c>
      <c r="C23501" s="1" t="str">
        <f>HYPERLINK("http://www.rosaceae.org/gb/gbrowse/malus_x_domestica/?name=MDP0000246537","MDP0000246537")</f>
        <v>MDP0000246537</v>
      </c>
      <c r="D23501">
        <v>55.4</v>
      </c>
      <c r="E23501">
        <v>444</v>
      </c>
      <c r="F23501">
        <v>198</v>
      </c>
      <c r="G23501">
        <v>7</v>
      </c>
      <c r="H23501">
        <v>160</v>
      </c>
      <c r="I23501">
        <v>601</v>
      </c>
      <c r="J23501">
        <v>1</v>
      </c>
      <c r="K23501">
        <v>367</v>
      </c>
      <c r="L23501">
        <v>805</v>
      </c>
      <c r="M23501">
        <v>1</v>
      </c>
      <c r="N23501">
        <v>6.7157999999999998E-124</v>
      </c>
      <c r="O23501">
        <v>1136</v>
      </c>
    </row>
    <row r="23502" spans="1:15" x14ac:dyDescent="0.25">
      <c r="A23502" t="s">
        <v>23515</v>
      </c>
      <c r="B23502">
        <v>125</v>
      </c>
      <c r="C23502" s="1" t="str">
        <f>HYPERLINK("http://www.rosaceae.org/gb/gbrowse/malus_x_domestica/?name=MDP0000318279","MDP0000318279")</f>
        <v>MDP0000318279</v>
      </c>
      <c r="D23502">
        <v>41.5</v>
      </c>
      <c r="E23502">
        <v>106</v>
      </c>
      <c r="F23502">
        <v>62</v>
      </c>
      <c r="G23502">
        <v>0</v>
      </c>
      <c r="H23502">
        <v>3</v>
      </c>
      <c r="I23502">
        <v>108</v>
      </c>
      <c r="J23502">
        <v>1</v>
      </c>
      <c r="K23502">
        <v>222</v>
      </c>
      <c r="L23502">
        <v>327</v>
      </c>
      <c r="M23502">
        <v>1</v>
      </c>
      <c r="N23502">
        <v>1.5244299999999999E-20</v>
      </c>
      <c r="O23502">
        <v>235</v>
      </c>
    </row>
    <row r="23503" spans="1:15" x14ac:dyDescent="0.25">
      <c r="A23503" t="s">
        <v>23516</v>
      </c>
      <c r="B23503">
        <v>104</v>
      </c>
      <c r="C23503" s="1" t="str">
        <f>HYPERLINK("http://www.rosaceae.org/gb/gbrowse/malus_x_domestica/?name=MDP0000302737","MDP0000302737")</f>
        <v>MDP0000302737</v>
      </c>
      <c r="D23503">
        <v>79.16</v>
      </c>
      <c r="E23503">
        <v>96</v>
      </c>
      <c r="F23503">
        <v>20</v>
      </c>
      <c r="G23503">
        <v>8</v>
      </c>
      <c r="H23503">
        <v>5</v>
      </c>
      <c r="I23503">
        <v>100</v>
      </c>
      <c r="J23503">
        <v>1</v>
      </c>
      <c r="K23503">
        <v>1350</v>
      </c>
      <c r="L23503">
        <v>1437</v>
      </c>
      <c r="M23503">
        <v>1</v>
      </c>
      <c r="N23503">
        <v>3.3866000000000001E-40</v>
      </c>
      <c r="O23503">
        <v>404</v>
      </c>
    </row>
    <row r="23504" spans="1:15" x14ac:dyDescent="0.25">
      <c r="A23504" t="s">
        <v>23517</v>
      </c>
      <c r="B23504">
        <v>133</v>
      </c>
      <c r="C23504" s="1" t="str">
        <f>HYPERLINK("http://www.rosaceae.org/gb/gbrowse/malus_x_domestica/?name=MDP0000225463","MDP0000225463")</f>
        <v>MDP0000225463</v>
      </c>
      <c r="D23504">
        <v>39.5</v>
      </c>
      <c r="E23504">
        <v>81</v>
      </c>
      <c r="F23504">
        <v>49</v>
      </c>
      <c r="G23504">
        <v>1</v>
      </c>
      <c r="H23504">
        <v>1</v>
      </c>
      <c r="I23504">
        <v>80</v>
      </c>
      <c r="J23504">
        <v>1</v>
      </c>
      <c r="K23504">
        <v>3</v>
      </c>
      <c r="L23504">
        <v>83</v>
      </c>
      <c r="M23504">
        <v>1</v>
      </c>
      <c r="N23504">
        <v>4.4448300000000001E-13</v>
      </c>
      <c r="O23504">
        <v>171</v>
      </c>
    </row>
    <row r="23505" spans="1:15" x14ac:dyDescent="0.25">
      <c r="A23505" t="s">
        <v>23518</v>
      </c>
      <c r="B23505">
        <v>371</v>
      </c>
      <c r="C23505" s="1" t="str">
        <f>HYPERLINK("http://www.rosaceae.org/gb/gbrowse/malus_x_domestica/?name=MDP0000274908","MDP0000274908")</f>
        <v>MDP0000274908</v>
      </c>
      <c r="D23505">
        <v>77.12</v>
      </c>
      <c r="E23505">
        <v>376</v>
      </c>
      <c r="F23505">
        <v>86</v>
      </c>
      <c r="G23505">
        <v>6</v>
      </c>
      <c r="H23505">
        <v>1</v>
      </c>
      <c r="I23505">
        <v>371</v>
      </c>
      <c r="J23505">
        <v>1</v>
      </c>
      <c r="K23505">
        <v>50</v>
      </c>
      <c r="L23505">
        <v>424</v>
      </c>
      <c r="M23505">
        <v>1</v>
      </c>
      <c r="N23505">
        <v>5.5233400000000002E-168</v>
      </c>
      <c r="O23505">
        <v>1514</v>
      </c>
    </row>
    <row r="23506" spans="1:15" x14ac:dyDescent="0.25">
      <c r="A23506" t="s">
        <v>23519</v>
      </c>
      <c r="B23506">
        <v>928</v>
      </c>
      <c r="C23506" s="1" t="str">
        <f>HYPERLINK("http://www.rosaceae.org/gb/gbrowse/malus_x_domestica/?name=MDP0000854432","MDP0000854432")</f>
        <v>MDP0000854432</v>
      </c>
      <c r="D23506">
        <v>56</v>
      </c>
      <c r="E23506">
        <v>916</v>
      </c>
      <c r="F23506">
        <v>403</v>
      </c>
      <c r="G23506">
        <v>41</v>
      </c>
      <c r="H23506">
        <v>22</v>
      </c>
      <c r="I23506">
        <v>924</v>
      </c>
      <c r="J23506">
        <v>1</v>
      </c>
      <c r="K23506">
        <v>25</v>
      </c>
      <c r="L23506">
        <v>912</v>
      </c>
      <c r="M23506">
        <v>1</v>
      </c>
      <c r="N23506">
        <v>0</v>
      </c>
      <c r="O23506">
        <v>2363</v>
      </c>
    </row>
    <row r="23507" spans="1:15" x14ac:dyDescent="0.25">
      <c r="A23507" t="s">
        <v>23520</v>
      </c>
      <c r="B23507">
        <v>336</v>
      </c>
      <c r="C23507" s="1" t="str">
        <f>HYPERLINK("http://www.rosaceae.org/gb/gbrowse/malus_x_domestica/?name=MDP0000135496","MDP0000135496")</f>
        <v>MDP0000135496</v>
      </c>
      <c r="D23507">
        <v>74.05</v>
      </c>
      <c r="E23507">
        <v>316</v>
      </c>
      <c r="F23507">
        <v>82</v>
      </c>
      <c r="G23507">
        <v>3</v>
      </c>
      <c r="H23507">
        <v>21</v>
      </c>
      <c r="I23507">
        <v>336</v>
      </c>
      <c r="J23507">
        <v>1</v>
      </c>
      <c r="K23507">
        <v>6</v>
      </c>
      <c r="L23507">
        <v>318</v>
      </c>
      <c r="M23507">
        <v>1</v>
      </c>
      <c r="N23507">
        <v>1.1218700000000001E-142</v>
      </c>
      <c r="O23507">
        <v>1295</v>
      </c>
    </row>
    <row r="23508" spans="1:15" x14ac:dyDescent="0.25">
      <c r="A23508" t="s">
        <v>23521</v>
      </c>
      <c r="B23508">
        <v>418</v>
      </c>
      <c r="C23508" s="1" t="str">
        <f>HYPERLINK("http://www.rosaceae.org/gb/gbrowse/malus_x_domestica/?name=MDP0000164579","MDP0000164579")</f>
        <v>MDP0000164579</v>
      </c>
      <c r="D23508">
        <v>32.33</v>
      </c>
      <c r="E23508">
        <v>201</v>
      </c>
      <c r="F23508">
        <v>136</v>
      </c>
      <c r="G23508">
        <v>19</v>
      </c>
      <c r="H23508">
        <v>1</v>
      </c>
      <c r="I23508">
        <v>197</v>
      </c>
      <c r="J23508">
        <v>1</v>
      </c>
      <c r="K23508">
        <v>43</v>
      </c>
      <c r="L23508">
        <v>228</v>
      </c>
      <c r="M23508">
        <v>1</v>
      </c>
      <c r="N23508">
        <v>2.9707100000000001E-24</v>
      </c>
      <c r="O23508">
        <v>275</v>
      </c>
    </row>
    <row r="23509" spans="1:15" x14ac:dyDescent="0.25">
      <c r="A23509" t="s">
        <v>23522</v>
      </c>
      <c r="B23509">
        <v>1551</v>
      </c>
      <c r="C23509" s="1" t="str">
        <f>HYPERLINK("http://www.rosaceae.org/gb/gbrowse/malus_x_domestica/?name=MDP0000198739","MDP0000198739")</f>
        <v>MDP0000198739</v>
      </c>
      <c r="D23509">
        <v>72.819999999999993</v>
      </c>
      <c r="E23509">
        <v>861</v>
      </c>
      <c r="F23509">
        <v>234</v>
      </c>
      <c r="G23509">
        <v>39</v>
      </c>
      <c r="H23509">
        <v>699</v>
      </c>
      <c r="I23509">
        <v>1550</v>
      </c>
      <c r="J23509">
        <v>1</v>
      </c>
      <c r="K23509">
        <v>546</v>
      </c>
      <c r="L23509">
        <v>1376</v>
      </c>
      <c r="M23509">
        <v>1</v>
      </c>
      <c r="N23509">
        <v>0</v>
      </c>
      <c r="O23509">
        <v>3083</v>
      </c>
    </row>
    <row r="23510" spans="1:15" x14ac:dyDescent="0.25">
      <c r="A23510" t="s">
        <v>23523</v>
      </c>
      <c r="B23510">
        <v>541</v>
      </c>
      <c r="C23510" s="1" t="str">
        <f>HYPERLINK("http://www.rosaceae.org/gb/gbrowse/malus_x_domestica/?name=MDP0000628052","MDP0000628052")</f>
        <v>MDP0000628052</v>
      </c>
      <c r="D23510">
        <v>48.24</v>
      </c>
      <c r="E23510">
        <v>257</v>
      </c>
      <c r="F23510">
        <v>133</v>
      </c>
      <c r="G23510">
        <v>32</v>
      </c>
      <c r="H23510">
        <v>28</v>
      </c>
      <c r="I23510">
        <v>254</v>
      </c>
      <c r="J23510">
        <v>1</v>
      </c>
      <c r="K23510">
        <v>46</v>
      </c>
      <c r="L23510">
        <v>300</v>
      </c>
      <c r="M23510">
        <v>1</v>
      </c>
      <c r="N23510">
        <v>1.0401899999999999E-57</v>
      </c>
      <c r="O23510">
        <v>565</v>
      </c>
    </row>
    <row r="23511" spans="1:15" x14ac:dyDescent="0.25">
      <c r="A23511" t="s">
        <v>23524</v>
      </c>
      <c r="B23511">
        <v>281</v>
      </c>
      <c r="C23511" s="1" t="str">
        <f>HYPERLINK("http://www.rosaceae.org/gb/gbrowse/malus_x_domestica/?name=MDP0000288574","MDP0000288574")</f>
        <v>MDP0000288574</v>
      </c>
      <c r="D23511">
        <v>56.99</v>
      </c>
      <c r="E23511">
        <v>286</v>
      </c>
      <c r="F23511">
        <v>123</v>
      </c>
      <c r="G23511">
        <v>79</v>
      </c>
      <c r="H23511">
        <v>1</v>
      </c>
      <c r="I23511">
        <v>264</v>
      </c>
      <c r="J23511">
        <v>1</v>
      </c>
      <c r="K23511">
        <v>237</v>
      </c>
      <c r="L23511">
        <v>465</v>
      </c>
      <c r="M23511">
        <v>1</v>
      </c>
      <c r="N23511">
        <v>1.08594E-76</v>
      </c>
      <c r="O23511">
        <v>725</v>
      </c>
    </row>
    <row r="23512" spans="1:15" x14ac:dyDescent="0.25">
      <c r="A23512" t="s">
        <v>23525</v>
      </c>
      <c r="B23512">
        <v>275</v>
      </c>
      <c r="C23512" s="1" t="str">
        <f>HYPERLINK("http://www.rosaceae.org/gb/gbrowse/malus_x_domestica/?name=MDP0000702868","MDP0000702868")</f>
        <v>MDP0000702868</v>
      </c>
      <c r="D23512">
        <v>62.22</v>
      </c>
      <c r="E23512">
        <v>270</v>
      </c>
      <c r="F23512">
        <v>102</v>
      </c>
      <c r="G23512">
        <v>3</v>
      </c>
      <c r="H23512">
        <v>8</v>
      </c>
      <c r="I23512">
        <v>275</v>
      </c>
      <c r="J23512">
        <v>1</v>
      </c>
      <c r="K23512">
        <v>4</v>
      </c>
      <c r="L23512">
        <v>272</v>
      </c>
      <c r="M23512">
        <v>1</v>
      </c>
      <c r="N23512">
        <v>6.59259E-98</v>
      </c>
      <c r="O23512">
        <v>908</v>
      </c>
    </row>
    <row r="23513" spans="1:15" x14ac:dyDescent="0.25">
      <c r="A23513" t="s">
        <v>23526</v>
      </c>
      <c r="B23513">
        <v>177</v>
      </c>
      <c r="C23513" s="1" t="str">
        <f>HYPERLINK("http://www.rosaceae.org/gb/gbrowse/malus_x_domestica/?name=MDP0000516853","MDP0000516853")</f>
        <v>MDP0000516853</v>
      </c>
      <c r="D23513">
        <v>73.41</v>
      </c>
      <c r="E23513">
        <v>173</v>
      </c>
      <c r="F23513">
        <v>46</v>
      </c>
      <c r="G23513">
        <v>0</v>
      </c>
      <c r="H23513">
        <v>1</v>
      </c>
      <c r="I23513">
        <v>173</v>
      </c>
      <c r="J23513">
        <v>1</v>
      </c>
      <c r="K23513">
        <v>1</v>
      </c>
      <c r="L23513">
        <v>173</v>
      </c>
      <c r="M23513">
        <v>1</v>
      </c>
      <c r="N23513">
        <v>4.1510300000000001E-75</v>
      </c>
      <c r="O23513">
        <v>708</v>
      </c>
    </row>
    <row r="23514" spans="1:15" x14ac:dyDescent="0.25">
      <c r="A23514" t="s">
        <v>23527</v>
      </c>
      <c r="B23514">
        <v>140</v>
      </c>
      <c r="C23514" s="1" t="str">
        <f>HYPERLINK("http://www.rosaceae.org/gb/gbrowse/malus_x_domestica/?name=MDP0000291888","MDP0000291888")</f>
        <v>MDP0000291888</v>
      </c>
      <c r="D23514">
        <v>67.62</v>
      </c>
      <c r="E23514">
        <v>139</v>
      </c>
      <c r="F23514">
        <v>45</v>
      </c>
      <c r="G23514">
        <v>7</v>
      </c>
      <c r="H23514">
        <v>1</v>
      </c>
      <c r="I23514">
        <v>139</v>
      </c>
      <c r="J23514">
        <v>1</v>
      </c>
      <c r="K23514">
        <v>1</v>
      </c>
      <c r="L23514">
        <v>132</v>
      </c>
      <c r="M23514">
        <v>1</v>
      </c>
      <c r="N23514">
        <v>6.7323200000000003E-47</v>
      </c>
      <c r="O23514">
        <v>463</v>
      </c>
    </row>
    <row r="23515" spans="1:15" x14ac:dyDescent="0.25">
      <c r="A23515" t="s">
        <v>23528</v>
      </c>
      <c r="B23515">
        <v>245</v>
      </c>
      <c r="C23515" s="1" t="str">
        <f>HYPERLINK("http://www.rosaceae.org/gb/gbrowse/malus_x_domestica/?name=MDP0000127502","MDP0000127502")</f>
        <v>MDP0000127502</v>
      </c>
      <c r="D23515">
        <v>63.63</v>
      </c>
      <c r="E23515">
        <v>231</v>
      </c>
      <c r="F23515">
        <v>84</v>
      </c>
      <c r="G23515">
        <v>21</v>
      </c>
      <c r="H23515">
        <v>1</v>
      </c>
      <c r="I23515">
        <v>226</v>
      </c>
      <c r="J23515">
        <v>1</v>
      </c>
      <c r="K23515">
        <v>1</v>
      </c>
      <c r="L23515">
        <v>215</v>
      </c>
      <c r="M23515">
        <v>1</v>
      </c>
      <c r="N23515">
        <v>1.5751799999999999E-70</v>
      </c>
      <c r="O23515">
        <v>671</v>
      </c>
    </row>
    <row r="23516" spans="1:15" x14ac:dyDescent="0.25">
      <c r="A23516" t="s">
        <v>23529</v>
      </c>
      <c r="B23516">
        <v>459</v>
      </c>
      <c r="C23516" s="1" t="str">
        <f>HYPERLINK("http://www.rosaceae.org/gb/gbrowse/malus_x_domestica/?name=MDP0000273852","MDP0000273852")</f>
        <v>MDP0000273852</v>
      </c>
      <c r="D23516">
        <v>57.83</v>
      </c>
      <c r="E23516">
        <v>453</v>
      </c>
      <c r="F23516">
        <v>191</v>
      </c>
      <c r="G23516">
        <v>13</v>
      </c>
      <c r="H23516">
        <v>6</v>
      </c>
      <c r="I23516">
        <v>458</v>
      </c>
      <c r="J23516">
        <v>1</v>
      </c>
      <c r="K23516">
        <v>9</v>
      </c>
      <c r="L23516">
        <v>448</v>
      </c>
      <c r="M23516">
        <v>1</v>
      </c>
      <c r="N23516">
        <v>8.0235399999999998E-137</v>
      </c>
      <c r="O23516">
        <v>1246</v>
      </c>
    </row>
    <row r="23517" spans="1:15" x14ac:dyDescent="0.25">
      <c r="A23517" t="s">
        <v>23530</v>
      </c>
      <c r="B23517">
        <v>526</v>
      </c>
      <c r="C23517" s="1" t="str">
        <f>HYPERLINK("http://www.rosaceae.org/gb/gbrowse/malus_x_domestica/?name=MDP0000549292","MDP0000549292")</f>
        <v>MDP0000549292</v>
      </c>
      <c r="D23517">
        <v>83.14</v>
      </c>
      <c r="E23517">
        <v>534</v>
      </c>
      <c r="F23517">
        <v>90</v>
      </c>
      <c r="G23517">
        <v>8</v>
      </c>
      <c r="H23517">
        <v>1</v>
      </c>
      <c r="I23517">
        <v>526</v>
      </c>
      <c r="J23517">
        <v>1</v>
      </c>
      <c r="K23517">
        <v>1</v>
      </c>
      <c r="L23517">
        <v>534</v>
      </c>
      <c r="M23517">
        <v>1</v>
      </c>
      <c r="N23517">
        <v>0</v>
      </c>
      <c r="O23517">
        <v>2334</v>
      </c>
    </row>
    <row r="23518" spans="1:15" x14ac:dyDescent="0.25">
      <c r="A23518" t="s">
        <v>23531</v>
      </c>
      <c r="B23518">
        <v>778</v>
      </c>
      <c r="C23518" s="1" t="str">
        <f>HYPERLINK("http://www.rosaceae.org/gb/gbrowse/malus_x_domestica/?name=MDP0000138646","MDP0000138646")</f>
        <v>MDP0000138646</v>
      </c>
      <c r="D23518">
        <v>56.16</v>
      </c>
      <c r="E23518">
        <v>454</v>
      </c>
      <c r="F23518">
        <v>199</v>
      </c>
      <c r="G23518">
        <v>53</v>
      </c>
      <c r="H23518">
        <v>301</v>
      </c>
      <c r="I23518">
        <v>704</v>
      </c>
      <c r="J23518">
        <v>1</v>
      </c>
      <c r="K23518">
        <v>41</v>
      </c>
      <c r="L23518">
        <v>491</v>
      </c>
      <c r="M23518">
        <v>1</v>
      </c>
      <c r="N23518">
        <v>7.3850199999999997E-129</v>
      </c>
      <c r="O23518">
        <v>1180</v>
      </c>
    </row>
    <row r="23519" spans="1:15" x14ac:dyDescent="0.25">
      <c r="A23519" t="s">
        <v>23532</v>
      </c>
      <c r="B23519">
        <v>102</v>
      </c>
      <c r="C23519" s="1" t="str">
        <f>HYPERLINK("http://www.rosaceae.org/gb/gbrowse/malus_x_domestica/?name=MDP0000225088","MDP0000225088")</f>
        <v>MDP0000225088</v>
      </c>
      <c r="D23519">
        <v>72.64</v>
      </c>
      <c r="E23519">
        <v>106</v>
      </c>
      <c r="F23519">
        <v>29</v>
      </c>
      <c r="G23519">
        <v>4</v>
      </c>
      <c r="H23519">
        <v>1</v>
      </c>
      <c r="I23519">
        <v>102</v>
      </c>
      <c r="J23519">
        <v>1</v>
      </c>
      <c r="K23519">
        <v>184</v>
      </c>
      <c r="L23519">
        <v>289</v>
      </c>
      <c r="M23519">
        <v>1</v>
      </c>
      <c r="N23519">
        <v>3.3799100000000001E-41</v>
      </c>
      <c r="O23519">
        <v>413</v>
      </c>
    </row>
    <row r="23520" spans="1:15" x14ac:dyDescent="0.25">
      <c r="A23520" t="s">
        <v>23533</v>
      </c>
      <c r="B23520">
        <v>2347</v>
      </c>
      <c r="C23520" s="1" t="str">
        <f>HYPERLINK("http://www.rosaceae.org/gb/gbrowse/malus_x_domestica/?name=MDP0000272113","MDP0000272113")</f>
        <v>MDP0000272113</v>
      </c>
      <c r="D23520">
        <v>69.39</v>
      </c>
      <c r="E23520">
        <v>2418</v>
      </c>
      <c r="F23520">
        <v>740</v>
      </c>
      <c r="G23520">
        <v>168</v>
      </c>
      <c r="H23520">
        <v>7</v>
      </c>
      <c r="I23520">
        <v>2328</v>
      </c>
      <c r="J23520">
        <v>1</v>
      </c>
      <c r="K23520">
        <v>1</v>
      </c>
      <c r="L23520">
        <v>2346</v>
      </c>
      <c r="M23520">
        <v>1</v>
      </c>
      <c r="N23520">
        <v>0</v>
      </c>
      <c r="O23520">
        <v>8481</v>
      </c>
    </row>
    <row r="23521" spans="1:15" x14ac:dyDescent="0.25">
      <c r="A23521" t="s">
        <v>23534</v>
      </c>
      <c r="B23521">
        <v>304</v>
      </c>
      <c r="C23521" s="1" t="str">
        <f>HYPERLINK("http://www.rosaceae.org/gb/gbrowse/malus_x_domestica/?name=MDP0000147066","MDP0000147066")</f>
        <v>MDP0000147066</v>
      </c>
      <c r="D23521">
        <v>78.28</v>
      </c>
      <c r="E23521">
        <v>327</v>
      </c>
      <c r="F23521">
        <v>71</v>
      </c>
      <c r="G23521">
        <v>47</v>
      </c>
      <c r="H23521">
        <v>25</v>
      </c>
      <c r="I23521">
        <v>304</v>
      </c>
      <c r="J23521">
        <v>1</v>
      </c>
      <c r="K23521">
        <v>24</v>
      </c>
      <c r="L23521">
        <v>350</v>
      </c>
      <c r="M23521">
        <v>1</v>
      </c>
      <c r="N23521">
        <v>3.9111099999999999E-130</v>
      </c>
      <c r="O23521">
        <v>1186</v>
      </c>
    </row>
    <row r="23522" spans="1:15" x14ac:dyDescent="0.25">
      <c r="A23522" t="s">
        <v>23535</v>
      </c>
      <c r="B23522">
        <v>338</v>
      </c>
      <c r="C23522" s="1" t="str">
        <f>HYPERLINK("http://www.rosaceae.org/gb/gbrowse/malus_x_domestica/?name=MDP0000190237","MDP0000190237")</f>
        <v>MDP0000190237</v>
      </c>
      <c r="D23522">
        <v>56.45</v>
      </c>
      <c r="E23522">
        <v>209</v>
      </c>
      <c r="F23522">
        <v>91</v>
      </c>
      <c r="G23522">
        <v>20</v>
      </c>
      <c r="H23522">
        <v>35</v>
      </c>
      <c r="I23522">
        <v>239</v>
      </c>
      <c r="J23522">
        <v>1</v>
      </c>
      <c r="K23522">
        <v>37</v>
      </c>
      <c r="L23522">
        <v>229</v>
      </c>
      <c r="M23522">
        <v>1</v>
      </c>
      <c r="N23522">
        <v>1.45745E-46</v>
      </c>
      <c r="O23522">
        <v>466</v>
      </c>
    </row>
    <row r="23523" spans="1:15" x14ac:dyDescent="0.25">
      <c r="A23523" t="s">
        <v>23536</v>
      </c>
      <c r="B23523">
        <v>312</v>
      </c>
      <c r="C23523" s="1" t="str">
        <f>HYPERLINK("http://www.rosaceae.org/gb/gbrowse/malus_x_domestica/?name=MDP0000416692","MDP0000416692")</f>
        <v>MDP0000416692</v>
      </c>
      <c r="D23523">
        <v>65.760000000000005</v>
      </c>
      <c r="E23523">
        <v>184</v>
      </c>
      <c r="F23523">
        <v>63</v>
      </c>
      <c r="G23523">
        <v>41</v>
      </c>
      <c r="H23523">
        <v>24</v>
      </c>
      <c r="I23523">
        <v>166</v>
      </c>
      <c r="J23523">
        <v>1</v>
      </c>
      <c r="K23523">
        <v>214</v>
      </c>
      <c r="L23523">
        <v>397</v>
      </c>
      <c r="M23523">
        <v>1</v>
      </c>
      <c r="N23523">
        <v>6.2426700000000001E-62</v>
      </c>
      <c r="O23523">
        <v>598</v>
      </c>
    </row>
    <row r="23524" spans="1:15" x14ac:dyDescent="0.25">
      <c r="A23524" t="s">
        <v>23537</v>
      </c>
      <c r="B23524">
        <v>337</v>
      </c>
      <c r="C23524" s="1" t="str">
        <f>HYPERLINK("http://www.rosaceae.org/gb/gbrowse/malus_x_domestica/?name=MDP0000174894","MDP0000174894")</f>
        <v>MDP0000174894</v>
      </c>
      <c r="D23524">
        <v>62.05</v>
      </c>
      <c r="E23524">
        <v>311</v>
      </c>
      <c r="F23524">
        <v>118</v>
      </c>
      <c r="G23524">
        <v>2</v>
      </c>
      <c r="H23524">
        <v>3</v>
      </c>
      <c r="I23524">
        <v>312</v>
      </c>
      <c r="J23524">
        <v>1</v>
      </c>
      <c r="K23524">
        <v>2</v>
      </c>
      <c r="L23524">
        <v>311</v>
      </c>
      <c r="M23524">
        <v>1</v>
      </c>
      <c r="N23524">
        <v>2.3353499999999999E-103</v>
      </c>
      <c r="O23524">
        <v>956</v>
      </c>
    </row>
    <row r="23525" spans="1:15" x14ac:dyDescent="0.25">
      <c r="A23525" t="s">
        <v>23538</v>
      </c>
      <c r="B23525">
        <v>679</v>
      </c>
      <c r="C23525" s="1" t="str">
        <f>HYPERLINK("http://www.rosaceae.org/gb/gbrowse/malus_x_domestica/?name=MDP0000186701","MDP0000186701")</f>
        <v>MDP0000186701</v>
      </c>
      <c r="D23525">
        <v>55.51</v>
      </c>
      <c r="E23525">
        <v>598</v>
      </c>
      <c r="F23525">
        <v>266</v>
      </c>
      <c r="G23525">
        <v>19</v>
      </c>
      <c r="H23525">
        <v>8</v>
      </c>
      <c r="I23525">
        <v>598</v>
      </c>
      <c r="J23525">
        <v>1</v>
      </c>
      <c r="K23525">
        <v>4</v>
      </c>
      <c r="L23525">
        <v>589</v>
      </c>
      <c r="M23525">
        <v>1</v>
      </c>
      <c r="N23525">
        <v>0</v>
      </c>
      <c r="O23525">
        <v>1748</v>
      </c>
    </row>
    <row r="23526" spans="1:15" x14ac:dyDescent="0.25">
      <c r="A23526" t="s">
        <v>23539</v>
      </c>
      <c r="B23526">
        <v>187</v>
      </c>
      <c r="C23526" s="1" t="str">
        <f>HYPERLINK("http://www.rosaceae.org/gb/gbrowse/malus_x_domestica/?name=MDP0000650624","MDP0000650624")</f>
        <v>MDP0000650624</v>
      </c>
      <c r="D23526">
        <v>82.19</v>
      </c>
      <c r="E23526">
        <v>146</v>
      </c>
      <c r="F23526">
        <v>26</v>
      </c>
      <c r="G23526">
        <v>1</v>
      </c>
      <c r="H23526">
        <v>42</v>
      </c>
      <c r="I23526">
        <v>187</v>
      </c>
      <c r="J23526">
        <v>1</v>
      </c>
      <c r="K23526">
        <v>48</v>
      </c>
      <c r="L23526">
        <v>192</v>
      </c>
      <c r="M23526">
        <v>1</v>
      </c>
      <c r="N23526">
        <v>6.5861799999999998E-69</v>
      </c>
      <c r="O23526">
        <v>655</v>
      </c>
    </row>
    <row r="23527" spans="1:15" x14ac:dyDescent="0.25">
      <c r="A23527" t="s">
        <v>23540</v>
      </c>
      <c r="B23527">
        <v>1132</v>
      </c>
      <c r="C23527" s="1" t="str">
        <f>HYPERLINK("http://www.rosaceae.org/gb/gbrowse/malus_x_domestica/?name=MDP0000194134","MDP0000194134")</f>
        <v>MDP0000194134</v>
      </c>
      <c r="D23527">
        <v>53.25</v>
      </c>
      <c r="E23527">
        <v>1228</v>
      </c>
      <c r="F23527">
        <v>574</v>
      </c>
      <c r="G23527">
        <v>119</v>
      </c>
      <c r="H23527">
        <v>7</v>
      </c>
      <c r="I23527">
        <v>1127</v>
      </c>
      <c r="J23527">
        <v>1</v>
      </c>
      <c r="K23527">
        <v>3</v>
      </c>
      <c r="L23527">
        <v>1218</v>
      </c>
      <c r="M23527">
        <v>1</v>
      </c>
      <c r="N23527">
        <v>0</v>
      </c>
      <c r="O23527">
        <v>3201</v>
      </c>
    </row>
    <row r="23528" spans="1:15" x14ac:dyDescent="0.25">
      <c r="A23528" t="s">
        <v>23541</v>
      </c>
      <c r="B23528">
        <v>80</v>
      </c>
      <c r="C23528" s="1" t="str">
        <f>HYPERLINK("http://www.rosaceae.org/gb/gbrowse/malus_x_domestica/?name=MDP0000143951","MDP0000143951")</f>
        <v>MDP0000143951</v>
      </c>
      <c r="D23528">
        <v>79.48</v>
      </c>
      <c r="E23528">
        <v>39</v>
      </c>
      <c r="F23528">
        <v>8</v>
      </c>
      <c r="G23528">
        <v>3</v>
      </c>
      <c r="H23528">
        <v>41</v>
      </c>
      <c r="I23528">
        <v>79</v>
      </c>
      <c r="J23528">
        <v>1</v>
      </c>
      <c r="K23528">
        <v>184</v>
      </c>
      <c r="L23528">
        <v>219</v>
      </c>
      <c r="M23528">
        <v>1</v>
      </c>
      <c r="N23528">
        <v>1.83536E-9</v>
      </c>
      <c r="O23528">
        <v>139</v>
      </c>
    </row>
    <row r="23529" spans="1:15" x14ac:dyDescent="0.25">
      <c r="A23529" t="s">
        <v>23542</v>
      </c>
      <c r="B23529">
        <v>167</v>
      </c>
      <c r="C23529" s="1" t="str">
        <f>HYPERLINK("http://www.rosaceae.org/gb/gbrowse/malus_x_domestica/?name=MDP0000634037","MDP0000634037")</f>
        <v>MDP0000634037</v>
      </c>
      <c r="D23529">
        <v>54.36</v>
      </c>
      <c r="E23529">
        <v>149</v>
      </c>
      <c r="F23529">
        <v>68</v>
      </c>
      <c r="G23529">
        <v>1</v>
      </c>
      <c r="H23529">
        <v>19</v>
      </c>
      <c r="I23529">
        <v>167</v>
      </c>
      <c r="J23529">
        <v>1</v>
      </c>
      <c r="K23529">
        <v>10</v>
      </c>
      <c r="L23529">
        <v>157</v>
      </c>
      <c r="M23529">
        <v>1</v>
      </c>
      <c r="N23529">
        <v>1.9629399999999998E-43</v>
      </c>
      <c r="O23529">
        <v>435</v>
      </c>
    </row>
    <row r="23530" spans="1:15" x14ac:dyDescent="0.25">
      <c r="A23530" t="s">
        <v>23543</v>
      </c>
      <c r="B23530">
        <v>604</v>
      </c>
      <c r="C23530" s="1" t="str">
        <f>HYPERLINK("http://www.rosaceae.org/gb/gbrowse/malus_x_domestica/?name=MDP0000236994","MDP0000236994")</f>
        <v>MDP0000236994</v>
      </c>
      <c r="D23530">
        <v>52.99</v>
      </c>
      <c r="E23530">
        <v>634</v>
      </c>
      <c r="F23530">
        <v>298</v>
      </c>
      <c r="G23530">
        <v>76</v>
      </c>
      <c r="H23530">
        <v>1</v>
      </c>
      <c r="I23530">
        <v>599</v>
      </c>
      <c r="J23530">
        <v>1</v>
      </c>
      <c r="K23530">
        <v>1</v>
      </c>
      <c r="L23530">
        <v>593</v>
      </c>
      <c r="M23530">
        <v>1</v>
      </c>
      <c r="N23530">
        <v>7.0400699999999997E-155</v>
      </c>
      <c r="O23530">
        <v>1403</v>
      </c>
    </row>
    <row r="23531" spans="1:15" x14ac:dyDescent="0.25">
      <c r="A23531" t="s">
        <v>23544</v>
      </c>
      <c r="B23531">
        <v>166</v>
      </c>
      <c r="C23531" s="1" t="str">
        <f>HYPERLINK("http://www.rosaceae.org/gb/gbrowse/malus_x_domestica/?name=MDP0000177070","MDP0000177070")</f>
        <v>MDP0000177070</v>
      </c>
      <c r="D23531">
        <v>65.430000000000007</v>
      </c>
      <c r="E23531">
        <v>162</v>
      </c>
      <c r="F23531">
        <v>56</v>
      </c>
      <c r="G23531">
        <v>30</v>
      </c>
      <c r="H23531">
        <v>1</v>
      </c>
      <c r="I23531">
        <v>137</v>
      </c>
      <c r="J23531">
        <v>1</v>
      </c>
      <c r="K23531">
        <v>73</v>
      </c>
      <c r="L23531">
        <v>229</v>
      </c>
      <c r="M23531">
        <v>1</v>
      </c>
      <c r="N23531">
        <v>1.72143E-44</v>
      </c>
      <c r="O23531">
        <v>444</v>
      </c>
    </row>
    <row r="23532" spans="1:15" x14ac:dyDescent="0.25">
      <c r="A23532" t="s">
        <v>23545</v>
      </c>
      <c r="B23532">
        <v>188</v>
      </c>
      <c r="C23532" s="1" t="str">
        <f>HYPERLINK("http://www.rosaceae.org/gb/gbrowse/malus_x_domestica/?name=MDP0000872821","MDP0000872821")</f>
        <v>MDP0000872821</v>
      </c>
      <c r="D23532">
        <v>84.25</v>
      </c>
      <c r="E23532">
        <v>127</v>
      </c>
      <c r="F23532">
        <v>20</v>
      </c>
      <c r="G23532">
        <v>0</v>
      </c>
      <c r="H23532">
        <v>1</v>
      </c>
      <c r="I23532">
        <v>127</v>
      </c>
      <c r="J23532">
        <v>1</v>
      </c>
      <c r="K23532">
        <v>1</v>
      </c>
      <c r="L23532">
        <v>127</v>
      </c>
      <c r="M23532">
        <v>1</v>
      </c>
      <c r="N23532">
        <v>9.1677800000000002E-60</v>
      </c>
      <c r="O23532">
        <v>577</v>
      </c>
    </row>
    <row r="23533" spans="1:15" x14ac:dyDescent="0.25">
      <c r="A23533" t="s">
        <v>23546</v>
      </c>
      <c r="B23533">
        <v>509</v>
      </c>
      <c r="C23533" s="1" t="str">
        <f>HYPERLINK("http://www.rosaceae.org/gb/gbrowse/malus_x_domestica/?name=MDP0000233522","MDP0000233522")</f>
        <v>MDP0000233522</v>
      </c>
      <c r="D23533">
        <v>71.97</v>
      </c>
      <c r="E23533">
        <v>496</v>
      </c>
      <c r="F23533">
        <v>139</v>
      </c>
      <c r="G23533">
        <v>29</v>
      </c>
      <c r="H23533">
        <v>17</v>
      </c>
      <c r="I23533">
        <v>483</v>
      </c>
      <c r="J23533">
        <v>1</v>
      </c>
      <c r="K23533">
        <v>20</v>
      </c>
      <c r="L23533">
        <v>515</v>
      </c>
      <c r="M23533">
        <v>1</v>
      </c>
      <c r="N23533">
        <v>0</v>
      </c>
      <c r="O23533">
        <v>1849</v>
      </c>
    </row>
    <row r="23534" spans="1:15" x14ac:dyDescent="0.25">
      <c r="A23534" t="s">
        <v>23547</v>
      </c>
      <c r="B23534">
        <v>190</v>
      </c>
      <c r="C23534" s="1" t="str">
        <f>HYPERLINK("http://www.rosaceae.org/gb/gbrowse/malus_x_domestica/?name=MDP0000643284","MDP0000643284")</f>
        <v>MDP0000643284</v>
      </c>
      <c r="D23534">
        <v>85.1</v>
      </c>
      <c r="E23534">
        <v>188</v>
      </c>
      <c r="F23534">
        <v>28</v>
      </c>
      <c r="G23534">
        <v>0</v>
      </c>
      <c r="H23534">
        <v>3</v>
      </c>
      <c r="I23534">
        <v>190</v>
      </c>
      <c r="J23534">
        <v>1</v>
      </c>
      <c r="K23534">
        <v>8</v>
      </c>
      <c r="L23534">
        <v>195</v>
      </c>
      <c r="M23534">
        <v>1</v>
      </c>
      <c r="N23534">
        <v>1.8729699999999999E-95</v>
      </c>
      <c r="O23534">
        <v>884</v>
      </c>
    </row>
    <row r="23535" spans="1:15" x14ac:dyDescent="0.25">
      <c r="A23535" t="s">
        <v>23548</v>
      </c>
      <c r="B23535">
        <v>144</v>
      </c>
      <c r="C23535" s="1" t="str">
        <f>HYPERLINK("http://www.rosaceae.org/gb/gbrowse/malus_x_domestica/?name=MDP0000254471","MDP0000254471")</f>
        <v>MDP0000254471</v>
      </c>
      <c r="D23535">
        <v>65.48</v>
      </c>
      <c r="E23535">
        <v>113</v>
      </c>
      <c r="F23535">
        <v>39</v>
      </c>
      <c r="G23535">
        <v>5</v>
      </c>
      <c r="H23535">
        <v>14</v>
      </c>
      <c r="I23535">
        <v>124</v>
      </c>
      <c r="J23535">
        <v>1</v>
      </c>
      <c r="K23535">
        <v>345</v>
      </c>
      <c r="L23535">
        <v>454</v>
      </c>
      <c r="M23535">
        <v>1</v>
      </c>
      <c r="N23535">
        <v>3.2632800000000001E-35</v>
      </c>
      <c r="O23535">
        <v>363</v>
      </c>
    </row>
    <row r="23536" spans="1:15" x14ac:dyDescent="0.25">
      <c r="A23536" t="s">
        <v>23549</v>
      </c>
      <c r="B23536">
        <v>201</v>
      </c>
      <c r="C23536" s="1" t="str">
        <f>HYPERLINK("http://www.rosaceae.org/gb/gbrowse/malus_x_domestica/?name=MDP0000635041","MDP0000635041")</f>
        <v>MDP0000635041</v>
      </c>
      <c r="D23536">
        <v>63.02</v>
      </c>
      <c r="E23536">
        <v>192</v>
      </c>
      <c r="F23536">
        <v>71</v>
      </c>
      <c r="G23536">
        <v>3</v>
      </c>
      <c r="H23536">
        <v>1</v>
      </c>
      <c r="I23536">
        <v>189</v>
      </c>
      <c r="J23536">
        <v>1</v>
      </c>
      <c r="K23536">
        <v>1</v>
      </c>
      <c r="L23536">
        <v>192</v>
      </c>
      <c r="M23536">
        <v>1</v>
      </c>
      <c r="N23536">
        <v>1.4180000000000001E-63</v>
      </c>
      <c r="O23536">
        <v>610</v>
      </c>
    </row>
    <row r="23537" spans="1:15" x14ac:dyDescent="0.25">
      <c r="A23537" t="s">
        <v>23550</v>
      </c>
      <c r="B23537">
        <v>420</v>
      </c>
      <c r="C23537" s="1" t="str">
        <f>HYPERLINK("http://www.rosaceae.org/gb/gbrowse/malus_x_domestica/?name=MDP0000286457","MDP0000286457")</f>
        <v>MDP0000286457</v>
      </c>
      <c r="D23537">
        <v>62.46</v>
      </c>
      <c r="E23537">
        <v>317</v>
      </c>
      <c r="F23537">
        <v>119</v>
      </c>
      <c r="G23537">
        <v>17</v>
      </c>
      <c r="H23537">
        <v>78</v>
      </c>
      <c r="I23537">
        <v>377</v>
      </c>
      <c r="J23537">
        <v>1</v>
      </c>
      <c r="K23537">
        <v>62</v>
      </c>
      <c r="L23537">
        <v>378</v>
      </c>
      <c r="M23537">
        <v>1</v>
      </c>
      <c r="N23537">
        <v>3.8405099999999998E-110</v>
      </c>
      <c r="O23537">
        <v>1016</v>
      </c>
    </row>
    <row r="23538" spans="1:15" x14ac:dyDescent="0.25">
      <c r="A23538" t="s">
        <v>23551</v>
      </c>
      <c r="B23538">
        <v>120</v>
      </c>
      <c r="C23538" s="1" t="str">
        <f>HYPERLINK("http://www.rosaceae.org/gb/gbrowse/malus_x_domestica/?name=MDP0000295340","MDP0000295340")</f>
        <v>MDP0000295340</v>
      </c>
      <c r="D23538">
        <v>83.33</v>
      </c>
      <c r="E23538">
        <v>66</v>
      </c>
      <c r="F23538">
        <v>11</v>
      </c>
      <c r="G23538">
        <v>1</v>
      </c>
      <c r="H23538">
        <v>54</v>
      </c>
      <c r="I23538">
        <v>119</v>
      </c>
      <c r="J23538">
        <v>1</v>
      </c>
      <c r="K23538">
        <v>59</v>
      </c>
      <c r="L23538">
        <v>123</v>
      </c>
      <c r="M23538">
        <v>1</v>
      </c>
      <c r="N23538">
        <v>7.7420600000000002E-27</v>
      </c>
      <c r="O23538">
        <v>289</v>
      </c>
    </row>
    <row r="23539" spans="1:15" x14ac:dyDescent="0.25">
      <c r="A23539" t="s">
        <v>23552</v>
      </c>
      <c r="B23539">
        <v>395</v>
      </c>
      <c r="C23539" s="1" t="str">
        <f>HYPERLINK("http://www.rosaceae.org/gb/gbrowse/malus_x_domestica/?name=MDP0000538042","MDP0000538042")</f>
        <v>MDP0000538042</v>
      </c>
      <c r="D23539">
        <v>84.13</v>
      </c>
      <c r="E23539">
        <v>145</v>
      </c>
      <c r="F23539">
        <v>23</v>
      </c>
      <c r="G23539">
        <v>4</v>
      </c>
      <c r="H23539">
        <v>1</v>
      </c>
      <c r="I23539">
        <v>142</v>
      </c>
      <c r="J23539">
        <v>1</v>
      </c>
      <c r="K23539">
        <v>1</v>
      </c>
      <c r="L23539">
        <v>144</v>
      </c>
      <c r="M23539">
        <v>1</v>
      </c>
      <c r="N23539">
        <v>3.2671E-65</v>
      </c>
      <c r="O23539">
        <v>628</v>
      </c>
    </row>
    <row r="23540" spans="1:15" x14ac:dyDescent="0.25">
      <c r="A23540" t="s">
        <v>23553</v>
      </c>
      <c r="B23540">
        <v>1553</v>
      </c>
      <c r="C23540" s="1" t="str">
        <f>HYPERLINK("http://www.rosaceae.org/gb/gbrowse/malus_x_domestica/?name=MDP0000950316","MDP0000950316")</f>
        <v>MDP0000950316</v>
      </c>
      <c r="D23540">
        <v>86.38</v>
      </c>
      <c r="E23540">
        <v>1219</v>
      </c>
      <c r="F23540">
        <v>166</v>
      </c>
      <c r="G23540">
        <v>6</v>
      </c>
      <c r="H23540">
        <v>1</v>
      </c>
      <c r="I23540">
        <v>1214</v>
      </c>
      <c r="J23540">
        <v>1</v>
      </c>
      <c r="K23540">
        <v>1</v>
      </c>
      <c r="L23540">
        <v>1218</v>
      </c>
      <c r="M23540">
        <v>1</v>
      </c>
      <c r="N23540">
        <v>0</v>
      </c>
      <c r="O23540">
        <v>5509</v>
      </c>
    </row>
    <row r="23541" spans="1:15" x14ac:dyDescent="0.25">
      <c r="A23541" t="s">
        <v>23554</v>
      </c>
      <c r="B23541">
        <v>1323</v>
      </c>
      <c r="C23541" s="1" t="str">
        <f>HYPERLINK("http://www.rosaceae.org/gb/gbrowse/malus_x_domestica/?name=MDP0000315158","MDP0000315158")</f>
        <v>MDP0000315158</v>
      </c>
      <c r="D23541">
        <v>74.8</v>
      </c>
      <c r="E23541">
        <v>1294</v>
      </c>
      <c r="F23541">
        <v>326</v>
      </c>
      <c r="G23541">
        <v>34</v>
      </c>
      <c r="H23541">
        <v>28</v>
      </c>
      <c r="I23541">
        <v>1319</v>
      </c>
      <c r="J23541">
        <v>1</v>
      </c>
      <c r="K23541">
        <v>75</v>
      </c>
      <c r="L23541">
        <v>1336</v>
      </c>
      <c r="M23541">
        <v>1</v>
      </c>
      <c r="N23541">
        <v>0</v>
      </c>
      <c r="O23541">
        <v>5009</v>
      </c>
    </row>
    <row r="23542" spans="1:15" x14ac:dyDescent="0.25">
      <c r="A23542" t="s">
        <v>23555</v>
      </c>
      <c r="B23542">
        <v>356</v>
      </c>
      <c r="C23542" s="1" t="str">
        <f>HYPERLINK("http://www.rosaceae.org/gb/gbrowse/malus_x_domestica/?name=MDP0000267309","MDP0000267309")</f>
        <v>MDP0000267309</v>
      </c>
      <c r="D23542">
        <v>43.45</v>
      </c>
      <c r="E23542">
        <v>359</v>
      </c>
      <c r="F23542">
        <v>203</v>
      </c>
      <c r="G23542">
        <v>50</v>
      </c>
      <c r="H23542">
        <v>34</v>
      </c>
      <c r="I23542">
        <v>348</v>
      </c>
      <c r="J23542">
        <v>1</v>
      </c>
      <c r="K23542">
        <v>135</v>
      </c>
      <c r="L23542">
        <v>487</v>
      </c>
      <c r="M23542">
        <v>1</v>
      </c>
      <c r="N23542">
        <v>6.3358599999999999E-70</v>
      </c>
      <c r="O23542">
        <v>668</v>
      </c>
    </row>
    <row r="23543" spans="1:15" x14ac:dyDescent="0.25">
      <c r="A23543" t="s">
        <v>23556</v>
      </c>
      <c r="B23543">
        <v>473</v>
      </c>
      <c r="C23543" s="1" t="str">
        <f>HYPERLINK("http://www.rosaceae.org/gb/gbrowse/malus_x_domestica/?name=MDP0000213797","MDP0000213797")</f>
        <v>MDP0000213797</v>
      </c>
      <c r="D23543">
        <v>26.5</v>
      </c>
      <c r="E23543">
        <v>400</v>
      </c>
      <c r="F23543">
        <v>294</v>
      </c>
      <c r="G23543">
        <v>90</v>
      </c>
      <c r="H23543">
        <v>22</v>
      </c>
      <c r="I23543">
        <v>352</v>
      </c>
      <c r="J23543">
        <v>1</v>
      </c>
      <c r="K23543">
        <v>12</v>
      </c>
      <c r="L23543">
        <v>390</v>
      </c>
      <c r="M23543">
        <v>1</v>
      </c>
      <c r="N23543">
        <v>1.2256199999999999E-18</v>
      </c>
      <c r="O23543">
        <v>227</v>
      </c>
    </row>
    <row r="23544" spans="1:15" x14ac:dyDescent="0.25">
      <c r="A23544" t="s">
        <v>23557</v>
      </c>
      <c r="B23544">
        <v>375</v>
      </c>
      <c r="C23544" s="1" t="str">
        <f>HYPERLINK("http://www.rosaceae.org/gb/gbrowse/malus_x_domestica/?name=MDP0000570395","MDP0000570395")</f>
        <v>MDP0000570395</v>
      </c>
      <c r="D23544">
        <v>66.42</v>
      </c>
      <c r="E23544">
        <v>280</v>
      </c>
      <c r="F23544">
        <v>94</v>
      </c>
      <c r="G23544">
        <v>3</v>
      </c>
      <c r="H23544">
        <v>1</v>
      </c>
      <c r="I23544">
        <v>278</v>
      </c>
      <c r="J23544">
        <v>1</v>
      </c>
      <c r="K23544">
        <v>52</v>
      </c>
      <c r="L23544">
        <v>330</v>
      </c>
      <c r="M23544">
        <v>1</v>
      </c>
      <c r="N23544">
        <v>4.84059E-99</v>
      </c>
      <c r="O23544">
        <v>919</v>
      </c>
    </row>
    <row r="23545" spans="1:15" x14ac:dyDescent="0.25">
      <c r="A23545" t="s">
        <v>23558</v>
      </c>
      <c r="B23545">
        <v>553</v>
      </c>
      <c r="C23545" s="1" t="str">
        <f>HYPERLINK("http://www.rosaceae.org/gb/gbrowse/malus_x_domestica/?name=MDP0000202051","MDP0000202051")</f>
        <v>MDP0000202051</v>
      </c>
      <c r="D23545">
        <v>64.790000000000006</v>
      </c>
      <c r="E23545">
        <v>534</v>
      </c>
      <c r="F23545">
        <v>188</v>
      </c>
      <c r="G23545">
        <v>49</v>
      </c>
      <c r="H23545">
        <v>18</v>
      </c>
      <c r="I23545">
        <v>551</v>
      </c>
      <c r="J23545">
        <v>1</v>
      </c>
      <c r="K23545">
        <v>20</v>
      </c>
      <c r="L23545">
        <v>504</v>
      </c>
      <c r="M23545">
        <v>1</v>
      </c>
      <c r="N23545">
        <v>0</v>
      </c>
      <c r="O23545">
        <v>1780</v>
      </c>
    </row>
    <row r="23546" spans="1:15" x14ac:dyDescent="0.25">
      <c r="A23546" t="s">
        <v>23559</v>
      </c>
      <c r="B23546">
        <v>156</v>
      </c>
      <c r="C23546" s="1" t="str">
        <f>HYPERLINK("http://www.rosaceae.org/gb/gbrowse/malus_x_domestica/?name=MDP0000700383","MDP0000700383")</f>
        <v>MDP0000700383</v>
      </c>
      <c r="D23546">
        <v>79.48</v>
      </c>
      <c r="E23546">
        <v>156</v>
      </c>
      <c r="F23546">
        <v>32</v>
      </c>
      <c r="G23546">
        <v>0</v>
      </c>
      <c r="H23546">
        <v>1</v>
      </c>
      <c r="I23546">
        <v>156</v>
      </c>
      <c r="J23546">
        <v>1</v>
      </c>
      <c r="K23546">
        <v>1</v>
      </c>
      <c r="L23546">
        <v>156</v>
      </c>
      <c r="M23546">
        <v>1</v>
      </c>
      <c r="N23546">
        <v>1.8308099999999999E-60</v>
      </c>
      <c r="O23546">
        <v>581</v>
      </c>
    </row>
    <row r="23547" spans="1:15" x14ac:dyDescent="0.25">
      <c r="A23547" t="s">
        <v>23560</v>
      </c>
      <c r="B23547">
        <v>744</v>
      </c>
      <c r="C23547" s="1" t="str">
        <f>HYPERLINK("http://www.rosaceae.org/gb/gbrowse/malus_x_domestica/?name=MDP0000215296","MDP0000215296")</f>
        <v>MDP0000215296</v>
      </c>
      <c r="D23547">
        <v>60.74</v>
      </c>
      <c r="E23547">
        <v>828</v>
      </c>
      <c r="F23547">
        <v>325</v>
      </c>
      <c r="G23547">
        <v>93</v>
      </c>
      <c r="H23547">
        <v>1</v>
      </c>
      <c r="I23547">
        <v>744</v>
      </c>
      <c r="J23547">
        <v>1</v>
      </c>
      <c r="K23547">
        <v>1</v>
      </c>
      <c r="L23547">
        <v>819</v>
      </c>
      <c r="M23547">
        <v>1</v>
      </c>
      <c r="N23547">
        <v>0</v>
      </c>
      <c r="O23547">
        <v>2292</v>
      </c>
    </row>
    <row r="23548" spans="1:15" x14ac:dyDescent="0.25">
      <c r="A23548" t="s">
        <v>23561</v>
      </c>
      <c r="B23548">
        <v>599</v>
      </c>
      <c r="C23548" s="1" t="str">
        <f>HYPERLINK("http://www.rosaceae.org/gb/gbrowse/malus_x_domestica/?name=MDP0000317856","MDP0000317856")</f>
        <v>MDP0000317856</v>
      </c>
      <c r="D23548">
        <v>56.61</v>
      </c>
      <c r="E23548">
        <v>136</v>
      </c>
      <c r="F23548">
        <v>59</v>
      </c>
      <c r="G23548">
        <v>3</v>
      </c>
      <c r="H23548">
        <v>91</v>
      </c>
      <c r="I23548">
        <v>224</v>
      </c>
      <c r="J23548">
        <v>1</v>
      </c>
      <c r="K23548">
        <v>20</v>
      </c>
      <c r="L23548">
        <v>154</v>
      </c>
      <c r="M23548">
        <v>1</v>
      </c>
      <c r="N23548">
        <v>1.9946099999999999E-38</v>
      </c>
      <c r="O23548">
        <v>399</v>
      </c>
    </row>
    <row r="23549" spans="1:15" x14ac:dyDescent="0.25">
      <c r="A23549" t="s">
        <v>23562</v>
      </c>
      <c r="B23549">
        <v>292</v>
      </c>
      <c r="C23549" s="1" t="str">
        <f>HYPERLINK("http://www.rosaceae.org/gb/gbrowse/malus_x_domestica/?name=MDP0000209004","MDP0000209004")</f>
        <v>MDP0000209004</v>
      </c>
      <c r="D23549">
        <v>77.7</v>
      </c>
      <c r="E23549">
        <v>296</v>
      </c>
      <c r="F23549">
        <v>66</v>
      </c>
      <c r="G23549">
        <v>10</v>
      </c>
      <c r="H23549">
        <v>6</v>
      </c>
      <c r="I23549">
        <v>292</v>
      </c>
      <c r="J23549">
        <v>1</v>
      </c>
      <c r="K23549">
        <v>7</v>
      </c>
      <c r="L23549">
        <v>301</v>
      </c>
      <c r="M23549">
        <v>1</v>
      </c>
      <c r="N23549">
        <v>3.0163399999999999E-123</v>
      </c>
      <c r="O23549">
        <v>1127</v>
      </c>
    </row>
    <row r="23550" spans="1:15" x14ac:dyDescent="0.25">
      <c r="A23550" t="s">
        <v>23563</v>
      </c>
      <c r="B23550">
        <v>563</v>
      </c>
      <c r="C23550" s="1" t="str">
        <f>HYPERLINK("http://www.rosaceae.org/gb/gbrowse/malus_x_domestica/?name=MDP0000308844","MDP0000308844")</f>
        <v>MDP0000308844</v>
      </c>
      <c r="D23550">
        <v>86.45</v>
      </c>
      <c r="E23550">
        <v>539</v>
      </c>
      <c r="F23550">
        <v>73</v>
      </c>
      <c r="G23550">
        <v>36</v>
      </c>
      <c r="H23550">
        <v>25</v>
      </c>
      <c r="I23550">
        <v>563</v>
      </c>
      <c r="J23550">
        <v>1</v>
      </c>
      <c r="K23550">
        <v>1</v>
      </c>
      <c r="L23550">
        <v>503</v>
      </c>
      <c r="M23550">
        <v>1</v>
      </c>
      <c r="N23550">
        <v>0</v>
      </c>
      <c r="O23550">
        <v>2493</v>
      </c>
    </row>
    <row r="23551" spans="1:15" x14ac:dyDescent="0.25">
      <c r="A23551" t="s">
        <v>23564</v>
      </c>
      <c r="B23551">
        <v>512</v>
      </c>
      <c r="C23551" s="1" t="str">
        <f>HYPERLINK("http://www.rosaceae.org/gb/gbrowse/malus_x_domestica/?name=MDP0000254012","MDP0000254012")</f>
        <v>MDP0000254012</v>
      </c>
      <c r="D23551">
        <v>71.900000000000006</v>
      </c>
      <c r="E23551">
        <v>484</v>
      </c>
      <c r="F23551">
        <v>136</v>
      </c>
      <c r="G23551">
        <v>33</v>
      </c>
      <c r="H23551">
        <v>31</v>
      </c>
      <c r="I23551">
        <v>512</v>
      </c>
      <c r="J23551">
        <v>1</v>
      </c>
      <c r="K23551">
        <v>59</v>
      </c>
      <c r="L23551">
        <v>511</v>
      </c>
      <c r="M23551">
        <v>1</v>
      </c>
      <c r="N23551">
        <v>0</v>
      </c>
      <c r="O23551">
        <v>1734</v>
      </c>
    </row>
    <row r="23552" spans="1:15" x14ac:dyDescent="0.25">
      <c r="A23552" t="s">
        <v>23565</v>
      </c>
      <c r="B23552">
        <v>462</v>
      </c>
      <c r="C23552" s="1" t="str">
        <f>HYPERLINK("http://www.rosaceae.org/gb/gbrowse/malus_x_domestica/?name=MDP0000233162","MDP0000233162")</f>
        <v>MDP0000233162</v>
      </c>
      <c r="D23552">
        <v>45.57</v>
      </c>
      <c r="E23552">
        <v>384</v>
      </c>
      <c r="F23552">
        <v>209</v>
      </c>
      <c r="G23552">
        <v>50</v>
      </c>
      <c r="H23552">
        <v>1</v>
      </c>
      <c r="I23552">
        <v>375</v>
      </c>
      <c r="J23552">
        <v>1</v>
      </c>
      <c r="K23552">
        <v>4</v>
      </c>
      <c r="L23552">
        <v>346</v>
      </c>
      <c r="M23552">
        <v>1</v>
      </c>
      <c r="N23552">
        <v>9.44267E-65</v>
      </c>
      <c r="O23552">
        <v>625</v>
      </c>
    </row>
    <row r="23553" spans="1:15" x14ac:dyDescent="0.25">
      <c r="A23553" t="s">
        <v>23566</v>
      </c>
      <c r="B23553">
        <v>238</v>
      </c>
      <c r="C23553" s="1" t="str">
        <f>HYPERLINK("http://www.rosaceae.org/gb/gbrowse/malus_x_domestica/?name=MDP0000161267","MDP0000161267")</f>
        <v>MDP0000161267</v>
      </c>
      <c r="D23553">
        <v>54.16</v>
      </c>
      <c r="E23553">
        <v>240</v>
      </c>
      <c r="F23553">
        <v>110</v>
      </c>
      <c r="G23553">
        <v>6</v>
      </c>
      <c r="H23553">
        <v>1</v>
      </c>
      <c r="I23553">
        <v>238</v>
      </c>
      <c r="J23553">
        <v>1</v>
      </c>
      <c r="K23553">
        <v>70</v>
      </c>
      <c r="L23553">
        <v>305</v>
      </c>
      <c r="M23553">
        <v>1</v>
      </c>
      <c r="N23553">
        <v>1.41851E-67</v>
      </c>
      <c r="O23553">
        <v>645</v>
      </c>
    </row>
    <row r="23554" spans="1:15" x14ac:dyDescent="0.25">
      <c r="A23554" t="s">
        <v>23567</v>
      </c>
      <c r="B23554">
        <v>438</v>
      </c>
      <c r="C23554" s="1" t="str">
        <f>HYPERLINK("http://www.rosaceae.org/gb/gbrowse/malus_x_domestica/?name=MDP0000131302","MDP0000131302")</f>
        <v>MDP0000131302</v>
      </c>
      <c r="D23554">
        <v>83.87</v>
      </c>
      <c r="E23554">
        <v>366</v>
      </c>
      <c r="F23554">
        <v>59</v>
      </c>
      <c r="G23554">
        <v>8</v>
      </c>
      <c r="H23554">
        <v>73</v>
      </c>
      <c r="I23554">
        <v>438</v>
      </c>
      <c r="J23554">
        <v>1</v>
      </c>
      <c r="K23554">
        <v>36</v>
      </c>
      <c r="L23554">
        <v>393</v>
      </c>
      <c r="M23554">
        <v>1</v>
      </c>
      <c r="N23554">
        <v>0</v>
      </c>
      <c r="O23554">
        <v>1662</v>
      </c>
    </row>
    <row r="23555" spans="1:15" x14ac:dyDescent="0.25">
      <c r="A23555" t="s">
        <v>23568</v>
      </c>
      <c r="B23555">
        <v>593</v>
      </c>
      <c r="C23555" s="1" t="str">
        <f>HYPERLINK("http://www.rosaceae.org/gb/gbrowse/malus_x_domestica/?name=MDP0000276831","MDP0000276831")</f>
        <v>MDP0000276831</v>
      </c>
      <c r="D23555">
        <v>50.85</v>
      </c>
      <c r="E23555">
        <v>468</v>
      </c>
      <c r="F23555">
        <v>230</v>
      </c>
      <c r="G23555">
        <v>36</v>
      </c>
      <c r="H23555">
        <v>132</v>
      </c>
      <c r="I23555">
        <v>593</v>
      </c>
      <c r="J23555">
        <v>1</v>
      </c>
      <c r="K23555">
        <v>182</v>
      </c>
      <c r="L23555">
        <v>619</v>
      </c>
      <c r="M23555">
        <v>1</v>
      </c>
      <c r="N23555">
        <v>5.3382599999999999E-111</v>
      </c>
      <c r="O23555">
        <v>1024</v>
      </c>
    </row>
    <row r="23556" spans="1:15" x14ac:dyDescent="0.25">
      <c r="A23556" t="s">
        <v>23569</v>
      </c>
      <c r="B23556">
        <v>520</v>
      </c>
      <c r="C23556" s="1" t="str">
        <f>HYPERLINK("http://www.rosaceae.org/gb/gbrowse/malus_x_domestica/?name=MDP0000144491","MDP0000144491")</f>
        <v>MDP0000144491</v>
      </c>
      <c r="D23556">
        <v>79.77</v>
      </c>
      <c r="E23556">
        <v>524</v>
      </c>
      <c r="F23556">
        <v>106</v>
      </c>
      <c r="G23556">
        <v>21</v>
      </c>
      <c r="H23556">
        <v>1</v>
      </c>
      <c r="I23556">
        <v>503</v>
      </c>
      <c r="J23556">
        <v>1</v>
      </c>
      <c r="K23556">
        <v>39</v>
      </c>
      <c r="L23556">
        <v>562</v>
      </c>
      <c r="M23556">
        <v>1</v>
      </c>
      <c r="N23556">
        <v>0</v>
      </c>
      <c r="O23556">
        <v>2238</v>
      </c>
    </row>
    <row r="23557" spans="1:15" x14ac:dyDescent="0.25">
      <c r="A23557" t="s">
        <v>23570</v>
      </c>
      <c r="B23557">
        <v>1375</v>
      </c>
      <c r="C23557" s="1" t="str">
        <f>HYPERLINK("http://www.rosaceae.org/gb/gbrowse/malus_x_domestica/?name=MDP0000194739","MDP0000194739")</f>
        <v>MDP0000194739</v>
      </c>
      <c r="D23557">
        <v>47.67</v>
      </c>
      <c r="E23557">
        <v>1399</v>
      </c>
      <c r="F23557">
        <v>732</v>
      </c>
      <c r="G23557">
        <v>246</v>
      </c>
      <c r="H23557">
        <v>57</v>
      </c>
      <c r="I23557">
        <v>1374</v>
      </c>
      <c r="J23557">
        <v>1</v>
      </c>
      <c r="K23557">
        <v>167</v>
      </c>
      <c r="L23557">
        <v>1400</v>
      </c>
      <c r="M23557">
        <v>1</v>
      </c>
      <c r="N23557">
        <v>0</v>
      </c>
      <c r="O23557">
        <v>2694</v>
      </c>
    </row>
    <row r="23558" spans="1:15" x14ac:dyDescent="0.25">
      <c r="A23558" t="s">
        <v>23571</v>
      </c>
      <c r="B23558">
        <v>104</v>
      </c>
      <c r="C23558" s="1" t="str">
        <f>HYPERLINK("http://www.rosaceae.org/gb/gbrowse/malus_x_domestica/?name=MDP0000459932","MDP0000459932")</f>
        <v>MDP0000459932</v>
      </c>
      <c r="D23558">
        <v>63.36</v>
      </c>
      <c r="E23558">
        <v>101</v>
      </c>
      <c r="F23558">
        <v>37</v>
      </c>
      <c r="G23558">
        <v>0</v>
      </c>
      <c r="H23558">
        <v>1</v>
      </c>
      <c r="I23558">
        <v>101</v>
      </c>
      <c r="J23558">
        <v>1</v>
      </c>
      <c r="K23558">
        <v>303</v>
      </c>
      <c r="L23558">
        <v>403</v>
      </c>
      <c r="M23558">
        <v>1</v>
      </c>
      <c r="N23558">
        <v>5.8857999999999997E-33</v>
      </c>
      <c r="O23558">
        <v>342</v>
      </c>
    </row>
    <row r="23559" spans="1:15" x14ac:dyDescent="0.25">
      <c r="A23559" t="s">
        <v>23572</v>
      </c>
      <c r="B23559">
        <v>342</v>
      </c>
      <c r="C23559" s="1" t="str">
        <f>HYPERLINK("http://www.rosaceae.org/gb/gbrowse/malus_x_domestica/?name=MDP0000276291","MDP0000276291")</f>
        <v>MDP0000276291</v>
      </c>
      <c r="D23559">
        <v>36.880000000000003</v>
      </c>
      <c r="E23559">
        <v>263</v>
      </c>
      <c r="F23559">
        <v>166</v>
      </c>
      <c r="G23559">
        <v>34</v>
      </c>
      <c r="H23559">
        <v>10</v>
      </c>
      <c r="I23559">
        <v>248</v>
      </c>
      <c r="J23559">
        <v>1</v>
      </c>
      <c r="K23559">
        <v>7</v>
      </c>
      <c r="L23559">
        <v>259</v>
      </c>
      <c r="M23559">
        <v>1</v>
      </c>
      <c r="N23559">
        <v>8.3813899999999991E-28</v>
      </c>
      <c r="O23559">
        <v>304</v>
      </c>
    </row>
    <row r="23560" spans="1:15" x14ac:dyDescent="0.25">
      <c r="A23560" t="s">
        <v>23573</v>
      </c>
      <c r="B23560">
        <v>221</v>
      </c>
      <c r="C23560" s="1" t="str">
        <f>HYPERLINK("http://www.rosaceae.org/gb/gbrowse/malus_x_domestica/?name=MDP0000273230","MDP0000273230")</f>
        <v>MDP0000273230</v>
      </c>
      <c r="D23560">
        <v>79.53</v>
      </c>
      <c r="E23560">
        <v>171</v>
      </c>
      <c r="F23560">
        <v>35</v>
      </c>
      <c r="G23560">
        <v>1</v>
      </c>
      <c r="H23560">
        <v>50</v>
      </c>
      <c r="I23560">
        <v>220</v>
      </c>
      <c r="J23560">
        <v>1</v>
      </c>
      <c r="K23560">
        <v>138</v>
      </c>
      <c r="L23560">
        <v>307</v>
      </c>
      <c r="M23560">
        <v>1</v>
      </c>
      <c r="N23560">
        <v>2.2499599999999999E-78</v>
      </c>
      <c r="O23560">
        <v>738</v>
      </c>
    </row>
    <row r="23561" spans="1:15" x14ac:dyDescent="0.25">
      <c r="A23561" t="s">
        <v>23574</v>
      </c>
      <c r="B23561">
        <v>107</v>
      </c>
      <c r="C23561" s="1" t="str">
        <f>HYPERLINK("http://www.rosaceae.org/gb/gbrowse/malus_x_domestica/?name=MDP0000185125","MDP0000185125")</f>
        <v>MDP0000185125</v>
      </c>
      <c r="D23561">
        <v>40.29</v>
      </c>
      <c r="E23561">
        <v>67</v>
      </c>
      <c r="F23561">
        <v>40</v>
      </c>
      <c r="G23561">
        <v>0</v>
      </c>
      <c r="H23561">
        <v>7</v>
      </c>
      <c r="I23561">
        <v>73</v>
      </c>
      <c r="J23561">
        <v>1</v>
      </c>
      <c r="K23561">
        <v>146</v>
      </c>
      <c r="L23561">
        <v>212</v>
      </c>
      <c r="M23561">
        <v>1</v>
      </c>
      <c r="N23561">
        <v>1.98269E-10</v>
      </c>
      <c r="O23561">
        <v>147</v>
      </c>
    </row>
    <row r="23562" spans="1:15" x14ac:dyDescent="0.25">
      <c r="A23562" t="s">
        <v>23575</v>
      </c>
      <c r="B23562">
        <v>205</v>
      </c>
      <c r="C23562" s="1" t="str">
        <f>HYPERLINK("http://www.rosaceae.org/gb/gbrowse/malus_x_domestica/?name=MDP0000303073","MDP0000303073")</f>
        <v>MDP0000303073</v>
      </c>
      <c r="D23562">
        <v>78.040000000000006</v>
      </c>
      <c r="E23562">
        <v>205</v>
      </c>
      <c r="F23562">
        <v>45</v>
      </c>
      <c r="G23562">
        <v>2</v>
      </c>
      <c r="H23562">
        <v>3</v>
      </c>
      <c r="I23562">
        <v>205</v>
      </c>
      <c r="J23562">
        <v>1</v>
      </c>
      <c r="K23562">
        <v>6</v>
      </c>
      <c r="L23562">
        <v>210</v>
      </c>
      <c r="M23562">
        <v>1</v>
      </c>
      <c r="N23562">
        <v>1.32754E-89</v>
      </c>
      <c r="O23562">
        <v>834</v>
      </c>
    </row>
    <row r="23563" spans="1:15" x14ac:dyDescent="0.25">
      <c r="A23563" t="s">
        <v>23576</v>
      </c>
      <c r="B23563">
        <v>190</v>
      </c>
      <c r="C23563" s="1" t="str">
        <f>HYPERLINK("http://www.rosaceae.org/gb/gbrowse/malus_x_domestica/?name=MDP0000253189","MDP0000253189")</f>
        <v>MDP0000253189</v>
      </c>
      <c r="D23563">
        <v>46.76</v>
      </c>
      <c r="E23563">
        <v>201</v>
      </c>
      <c r="F23563">
        <v>107</v>
      </c>
      <c r="G23563">
        <v>44</v>
      </c>
      <c r="H23563">
        <v>5</v>
      </c>
      <c r="I23563">
        <v>177</v>
      </c>
      <c r="J23563">
        <v>1</v>
      </c>
      <c r="K23563">
        <v>22</v>
      </c>
      <c r="L23563">
        <v>206</v>
      </c>
      <c r="M23563">
        <v>1</v>
      </c>
      <c r="N23563">
        <v>5.1395100000000002E-38</v>
      </c>
      <c r="O23563">
        <v>389</v>
      </c>
    </row>
    <row r="23564" spans="1:15" x14ac:dyDescent="0.25">
      <c r="A23564" t="s">
        <v>23577</v>
      </c>
      <c r="B23564">
        <v>496</v>
      </c>
      <c r="C23564" s="1" t="str">
        <f>HYPERLINK("http://www.rosaceae.org/gb/gbrowse/malus_x_domestica/?name=MDP0000254937","MDP0000254937")</f>
        <v>MDP0000254937</v>
      </c>
      <c r="D23564">
        <v>35.909999999999997</v>
      </c>
      <c r="E23564">
        <v>490</v>
      </c>
      <c r="F23564">
        <v>314</v>
      </c>
      <c r="G23564">
        <v>83</v>
      </c>
      <c r="H23564">
        <v>67</v>
      </c>
      <c r="I23564">
        <v>494</v>
      </c>
      <c r="J23564">
        <v>1</v>
      </c>
      <c r="K23564">
        <v>12</v>
      </c>
      <c r="L23564">
        <v>480</v>
      </c>
      <c r="M23564">
        <v>1</v>
      </c>
      <c r="N23564">
        <v>3.78094E-62</v>
      </c>
      <c r="O23564">
        <v>602</v>
      </c>
    </row>
    <row r="23565" spans="1:15" x14ac:dyDescent="0.25">
      <c r="A23565" t="s">
        <v>23578</v>
      </c>
      <c r="B23565">
        <v>984</v>
      </c>
      <c r="C23565" s="1" t="str">
        <f>HYPERLINK("http://www.rosaceae.org/gb/gbrowse/malus_x_domestica/?name=MDP0000303818","MDP0000303818")</f>
        <v>MDP0000303818</v>
      </c>
      <c r="D23565">
        <v>78.319999999999993</v>
      </c>
      <c r="E23565">
        <v>669</v>
      </c>
      <c r="F23565">
        <v>145</v>
      </c>
      <c r="G23565">
        <v>45</v>
      </c>
      <c r="H23565">
        <v>333</v>
      </c>
      <c r="I23565">
        <v>984</v>
      </c>
      <c r="J23565">
        <v>1</v>
      </c>
      <c r="K23565">
        <v>541</v>
      </c>
      <c r="L23565">
        <v>1181</v>
      </c>
      <c r="M23565">
        <v>1</v>
      </c>
      <c r="N23565">
        <v>0</v>
      </c>
      <c r="O23565">
        <v>2734</v>
      </c>
    </row>
    <row r="23566" spans="1:15" x14ac:dyDescent="0.25">
      <c r="A23566" t="s">
        <v>23579</v>
      </c>
      <c r="B23566">
        <v>180</v>
      </c>
      <c r="C23566" s="1" t="str">
        <f>HYPERLINK("http://www.rosaceae.org/gb/gbrowse/malus_x_domestica/?name=MDP0000062148","MDP0000062148")</f>
        <v>MDP0000062148</v>
      </c>
      <c r="D23566">
        <v>79.209999999999994</v>
      </c>
      <c r="E23566">
        <v>178</v>
      </c>
      <c r="F23566">
        <v>37</v>
      </c>
      <c r="G23566">
        <v>3</v>
      </c>
      <c r="H23566">
        <v>6</v>
      </c>
      <c r="I23566">
        <v>180</v>
      </c>
      <c r="J23566">
        <v>1</v>
      </c>
      <c r="K23566">
        <v>1</v>
      </c>
      <c r="L23566">
        <v>178</v>
      </c>
      <c r="M23566">
        <v>1</v>
      </c>
      <c r="N23566">
        <v>1.96173E-82</v>
      </c>
      <c r="O23566">
        <v>772</v>
      </c>
    </row>
    <row r="23567" spans="1:15" x14ac:dyDescent="0.25">
      <c r="A23567" t="s">
        <v>23580</v>
      </c>
      <c r="B23567">
        <v>324</v>
      </c>
      <c r="C23567" s="1" t="str">
        <f>HYPERLINK("http://www.rosaceae.org/gb/gbrowse/malus_x_domestica/?name=MDP0000269871","MDP0000269871")</f>
        <v>MDP0000269871</v>
      </c>
      <c r="D23567">
        <v>59.73</v>
      </c>
      <c r="E23567">
        <v>303</v>
      </c>
      <c r="F23567">
        <v>122</v>
      </c>
      <c r="G23567">
        <v>15</v>
      </c>
      <c r="H23567">
        <v>25</v>
      </c>
      <c r="I23567">
        <v>317</v>
      </c>
      <c r="J23567">
        <v>1</v>
      </c>
      <c r="K23567">
        <v>38</v>
      </c>
      <c r="L23567">
        <v>335</v>
      </c>
      <c r="M23567">
        <v>1</v>
      </c>
      <c r="N23567">
        <v>2.3613699999999998E-97</v>
      </c>
      <c r="O23567">
        <v>904</v>
      </c>
    </row>
    <row r="23568" spans="1:15" x14ac:dyDescent="0.25">
      <c r="A23568" t="s">
        <v>23581</v>
      </c>
      <c r="B23568">
        <v>1005</v>
      </c>
      <c r="C23568" s="1" t="str">
        <f>HYPERLINK("http://www.rosaceae.org/gb/gbrowse/malus_x_domestica/?name=MDP0000234427","MDP0000234427")</f>
        <v>MDP0000234427</v>
      </c>
      <c r="D23568">
        <v>65.680000000000007</v>
      </c>
      <c r="E23568">
        <v>102</v>
      </c>
      <c r="F23568">
        <v>35</v>
      </c>
      <c r="G23568">
        <v>0</v>
      </c>
      <c r="H23568">
        <v>291</v>
      </c>
      <c r="I23568">
        <v>392</v>
      </c>
      <c r="J23568">
        <v>1</v>
      </c>
      <c r="K23568">
        <v>1672</v>
      </c>
      <c r="L23568">
        <v>1773</v>
      </c>
      <c r="M23568">
        <v>1</v>
      </c>
      <c r="N23568">
        <v>6.2093299999999997E-34</v>
      </c>
      <c r="O23568">
        <v>362</v>
      </c>
    </row>
    <row r="23569" spans="1:15" x14ac:dyDescent="0.25">
      <c r="A23569" t="s">
        <v>23582</v>
      </c>
      <c r="B23569">
        <v>374</v>
      </c>
      <c r="C23569" s="1" t="str">
        <f>HYPERLINK("http://www.rosaceae.org/gb/gbrowse/malus_x_domestica/?name=MDP0000160972","MDP0000160972")</f>
        <v>MDP0000160972</v>
      </c>
      <c r="D23569">
        <v>74.739999999999995</v>
      </c>
      <c r="E23569">
        <v>396</v>
      </c>
      <c r="F23569">
        <v>100</v>
      </c>
      <c r="G23569">
        <v>22</v>
      </c>
      <c r="H23569">
        <v>1</v>
      </c>
      <c r="I23569">
        <v>374</v>
      </c>
      <c r="J23569">
        <v>1</v>
      </c>
      <c r="K23569">
        <v>1</v>
      </c>
      <c r="L23569">
        <v>396</v>
      </c>
      <c r="M23569">
        <v>1</v>
      </c>
      <c r="N23569">
        <v>1.3997499999999999E-164</v>
      </c>
      <c r="O23569">
        <v>1484</v>
      </c>
    </row>
    <row r="23570" spans="1:15" x14ac:dyDescent="0.25">
      <c r="A23570" t="s">
        <v>23583</v>
      </c>
      <c r="B23570">
        <v>582</v>
      </c>
      <c r="C23570" s="1" t="str">
        <f>HYPERLINK("http://www.rosaceae.org/gb/gbrowse/malus_x_domestica/?name=MDP0000484601","MDP0000484601")</f>
        <v>MDP0000484601</v>
      </c>
      <c r="D23570">
        <v>84.73</v>
      </c>
      <c r="E23570">
        <v>393</v>
      </c>
      <c r="F23570">
        <v>60</v>
      </c>
      <c r="G23570">
        <v>6</v>
      </c>
      <c r="H23570">
        <v>77</v>
      </c>
      <c r="I23570">
        <v>467</v>
      </c>
      <c r="J23570">
        <v>1</v>
      </c>
      <c r="K23570">
        <v>290</v>
      </c>
      <c r="L23570">
        <v>678</v>
      </c>
      <c r="M23570">
        <v>1</v>
      </c>
      <c r="N23570">
        <v>0</v>
      </c>
      <c r="O23570">
        <v>1738</v>
      </c>
    </row>
    <row r="23571" spans="1:15" x14ac:dyDescent="0.25">
      <c r="A23571" t="s">
        <v>23584</v>
      </c>
      <c r="B23571">
        <v>381</v>
      </c>
      <c r="C23571" s="1" t="str">
        <f>HYPERLINK("http://www.rosaceae.org/gb/gbrowse/malus_x_domestica/?name=MDP0000239575","MDP0000239575")</f>
        <v>MDP0000239575</v>
      </c>
      <c r="D23571">
        <v>52.38</v>
      </c>
      <c r="E23571">
        <v>147</v>
      </c>
      <c r="F23571">
        <v>70</v>
      </c>
      <c r="G23571">
        <v>6</v>
      </c>
      <c r="H23571">
        <v>106</v>
      </c>
      <c r="I23571">
        <v>247</v>
      </c>
      <c r="J23571">
        <v>1</v>
      </c>
      <c r="K23571">
        <v>17</v>
      </c>
      <c r="L23571">
        <v>162</v>
      </c>
      <c r="M23571">
        <v>1</v>
      </c>
      <c r="N23571">
        <v>4.09058E-36</v>
      </c>
      <c r="O23571">
        <v>377</v>
      </c>
    </row>
    <row r="23572" spans="1:15" x14ac:dyDescent="0.25">
      <c r="A23572" t="s">
        <v>23585</v>
      </c>
      <c r="B23572">
        <v>412</v>
      </c>
      <c r="C23572" s="1" t="str">
        <f>HYPERLINK("http://www.rosaceae.org/gb/gbrowse/malus_x_domestica/?name=MDP0000276307","MDP0000276307")</f>
        <v>MDP0000276307</v>
      </c>
      <c r="D23572">
        <v>76.319999999999993</v>
      </c>
      <c r="E23572">
        <v>397</v>
      </c>
      <c r="F23572">
        <v>94</v>
      </c>
      <c r="G23572">
        <v>18</v>
      </c>
      <c r="H23572">
        <v>1</v>
      </c>
      <c r="I23572">
        <v>382</v>
      </c>
      <c r="J23572">
        <v>1</v>
      </c>
      <c r="K23572">
        <v>1</v>
      </c>
      <c r="L23572">
        <v>394</v>
      </c>
      <c r="M23572">
        <v>1</v>
      </c>
      <c r="N23572">
        <v>6.7769300000000001E-163</v>
      </c>
      <c r="O23572">
        <v>1470</v>
      </c>
    </row>
    <row r="23573" spans="1:15" x14ac:dyDescent="0.25">
      <c r="A23573" t="s">
        <v>23586</v>
      </c>
      <c r="B23573">
        <v>655</v>
      </c>
      <c r="C23573" s="1" t="str">
        <f>HYPERLINK("http://www.rosaceae.org/gb/gbrowse/malus_x_domestica/?name=MDP0000268869","MDP0000268869")</f>
        <v>MDP0000268869</v>
      </c>
      <c r="D23573">
        <v>62.18</v>
      </c>
      <c r="E23573">
        <v>669</v>
      </c>
      <c r="F23573">
        <v>253</v>
      </c>
      <c r="G23573">
        <v>85</v>
      </c>
      <c r="H23573">
        <v>40</v>
      </c>
      <c r="I23573">
        <v>625</v>
      </c>
      <c r="J23573">
        <v>1</v>
      </c>
      <c r="K23573">
        <v>40</v>
      </c>
      <c r="L23573">
        <v>706</v>
      </c>
      <c r="M23573">
        <v>1</v>
      </c>
      <c r="N23573">
        <v>0</v>
      </c>
      <c r="O23573">
        <v>2039</v>
      </c>
    </row>
    <row r="23574" spans="1:15" x14ac:dyDescent="0.25">
      <c r="A23574" t="s">
        <v>23587</v>
      </c>
      <c r="B23574">
        <v>184</v>
      </c>
      <c r="C23574" s="1" t="str">
        <f>HYPERLINK("http://www.rosaceae.org/gb/gbrowse/malus_x_domestica/?name=MDP0000698897","MDP0000698897")</f>
        <v>MDP0000698897</v>
      </c>
      <c r="D23574">
        <v>51.89</v>
      </c>
      <c r="E23574">
        <v>79</v>
      </c>
      <c r="F23574">
        <v>38</v>
      </c>
      <c r="G23574">
        <v>6</v>
      </c>
      <c r="H23574">
        <v>47</v>
      </c>
      <c r="I23574">
        <v>122</v>
      </c>
      <c r="J23574">
        <v>1</v>
      </c>
      <c r="K23574">
        <v>87</v>
      </c>
      <c r="L23574">
        <v>162</v>
      </c>
      <c r="M23574">
        <v>1</v>
      </c>
      <c r="N23574">
        <v>1.8838199999999999E-10</v>
      </c>
      <c r="O23574">
        <v>151</v>
      </c>
    </row>
    <row r="23575" spans="1:15" x14ac:dyDescent="0.25">
      <c r="A23575" t="s">
        <v>23588</v>
      </c>
      <c r="B23575">
        <v>1342</v>
      </c>
      <c r="C23575" s="1" t="str">
        <f>HYPERLINK("http://www.rosaceae.org/gb/gbrowse/malus_x_domestica/?name=MDP0000195554","MDP0000195554")</f>
        <v>MDP0000195554</v>
      </c>
      <c r="D23575">
        <v>81.38</v>
      </c>
      <c r="E23575">
        <v>666</v>
      </c>
      <c r="F23575">
        <v>124</v>
      </c>
      <c r="G23575">
        <v>48</v>
      </c>
      <c r="H23575">
        <v>724</v>
      </c>
      <c r="I23575">
        <v>1342</v>
      </c>
      <c r="J23575">
        <v>1</v>
      </c>
      <c r="K23575">
        <v>73</v>
      </c>
      <c r="L23575">
        <v>737</v>
      </c>
      <c r="M23575">
        <v>1</v>
      </c>
      <c r="N23575">
        <v>0</v>
      </c>
      <c r="O23575">
        <v>2714</v>
      </c>
    </row>
    <row r="23576" spans="1:15" x14ac:dyDescent="0.25">
      <c r="A23576" t="s">
        <v>23589</v>
      </c>
      <c r="B23576">
        <v>294</v>
      </c>
      <c r="C23576" s="1" t="str">
        <f>HYPERLINK("http://www.rosaceae.org/gb/gbrowse/malus_x_domestica/?name=MDP0000411286","MDP0000411286")</f>
        <v>MDP0000411286</v>
      </c>
      <c r="D23576">
        <v>46.03</v>
      </c>
      <c r="E23576">
        <v>63</v>
      </c>
      <c r="F23576">
        <v>34</v>
      </c>
      <c r="G23576">
        <v>3</v>
      </c>
      <c r="H23576">
        <v>159</v>
      </c>
      <c r="I23576">
        <v>218</v>
      </c>
      <c r="J23576">
        <v>1</v>
      </c>
      <c r="K23576">
        <v>36</v>
      </c>
      <c r="L23576">
        <v>98</v>
      </c>
      <c r="M23576">
        <v>1</v>
      </c>
      <c r="N23576">
        <v>1.19691E-9</v>
      </c>
      <c r="O23576">
        <v>147</v>
      </c>
    </row>
    <row r="23577" spans="1:15" x14ac:dyDescent="0.25">
      <c r="A23577" t="s">
        <v>23590</v>
      </c>
      <c r="B23577">
        <v>318</v>
      </c>
      <c r="C23577" s="1" t="str">
        <f>HYPERLINK("http://www.rosaceae.org/gb/gbrowse/malus_x_domestica/?name=MDP0000317557","MDP0000317557")</f>
        <v>MDP0000317557</v>
      </c>
      <c r="D23577">
        <v>54.95</v>
      </c>
      <c r="E23577">
        <v>313</v>
      </c>
      <c r="F23577">
        <v>141</v>
      </c>
      <c r="G23577">
        <v>2</v>
      </c>
      <c r="H23577">
        <v>4</v>
      </c>
      <c r="I23577">
        <v>316</v>
      </c>
      <c r="J23577">
        <v>1</v>
      </c>
      <c r="K23577">
        <v>48</v>
      </c>
      <c r="L23577">
        <v>358</v>
      </c>
      <c r="M23577">
        <v>1</v>
      </c>
      <c r="N23577">
        <v>3.39806E-99</v>
      </c>
      <c r="O23577">
        <v>920</v>
      </c>
    </row>
    <row r="23578" spans="1:15" x14ac:dyDescent="0.25">
      <c r="A23578" t="s">
        <v>23591</v>
      </c>
      <c r="B23578">
        <v>148</v>
      </c>
      <c r="C23578" s="1" t="str">
        <f>HYPERLINK("http://www.rosaceae.org/gb/gbrowse/malus_x_domestica/?name=MDP0000133148","MDP0000133148")</f>
        <v>MDP0000133148</v>
      </c>
      <c r="D23578">
        <v>36.11</v>
      </c>
      <c r="E23578">
        <v>144</v>
      </c>
      <c r="F23578">
        <v>92</v>
      </c>
      <c r="G23578">
        <v>5</v>
      </c>
      <c r="H23578">
        <v>1</v>
      </c>
      <c r="I23578">
        <v>143</v>
      </c>
      <c r="J23578">
        <v>1</v>
      </c>
      <c r="K23578">
        <v>206</v>
      </c>
      <c r="L23578">
        <v>345</v>
      </c>
      <c r="M23578">
        <v>1</v>
      </c>
      <c r="N23578">
        <v>5.52379E-16</v>
      </c>
      <c r="O23578">
        <v>197</v>
      </c>
    </row>
    <row r="23579" spans="1:15" x14ac:dyDescent="0.25">
      <c r="A23579" t="s">
        <v>23592</v>
      </c>
      <c r="B23579">
        <v>502</v>
      </c>
      <c r="C23579" s="1" t="str">
        <f>HYPERLINK("http://www.rosaceae.org/gb/gbrowse/malus_x_domestica/?name=MDP0000157695","MDP0000157695")</f>
        <v>MDP0000157695</v>
      </c>
      <c r="D23579">
        <v>71.28</v>
      </c>
      <c r="E23579">
        <v>505</v>
      </c>
      <c r="F23579">
        <v>145</v>
      </c>
      <c r="G23579">
        <v>8</v>
      </c>
      <c r="H23579">
        <v>1</v>
      </c>
      <c r="I23579">
        <v>502</v>
      </c>
      <c r="J23579">
        <v>1</v>
      </c>
      <c r="K23579">
        <v>44</v>
      </c>
      <c r="L23579">
        <v>543</v>
      </c>
      <c r="M23579">
        <v>1</v>
      </c>
      <c r="N23579">
        <v>0</v>
      </c>
      <c r="O23579">
        <v>1863</v>
      </c>
    </row>
    <row r="23580" spans="1:15" x14ac:dyDescent="0.25">
      <c r="A23580" t="s">
        <v>23593</v>
      </c>
      <c r="B23580">
        <v>75</v>
      </c>
      <c r="C23580" s="1" t="str">
        <f>HYPERLINK("http://www.rosaceae.org/gb/gbrowse/malus_x_domestica/?name=MDP0000538003","MDP0000538003")</f>
        <v>MDP0000538003</v>
      </c>
      <c r="D23580">
        <v>54.41</v>
      </c>
      <c r="E23580">
        <v>68</v>
      </c>
      <c r="F23580">
        <v>31</v>
      </c>
      <c r="G23580">
        <v>2</v>
      </c>
      <c r="H23580">
        <v>4</v>
      </c>
      <c r="I23580">
        <v>71</v>
      </c>
      <c r="J23580">
        <v>1</v>
      </c>
      <c r="K23580">
        <v>237</v>
      </c>
      <c r="L23580">
        <v>302</v>
      </c>
      <c r="M23580">
        <v>1</v>
      </c>
      <c r="N23580">
        <v>9.2646499999999996E-16</v>
      </c>
      <c r="O23580">
        <v>193</v>
      </c>
    </row>
    <row r="23581" spans="1:15" x14ac:dyDescent="0.25">
      <c r="A23581" t="s">
        <v>23594</v>
      </c>
      <c r="B23581">
        <v>479</v>
      </c>
      <c r="C23581" s="1" t="str">
        <f>HYPERLINK("http://www.rosaceae.org/gb/gbrowse/malus_x_domestica/?name=MDP0000293970","MDP0000293970")</f>
        <v>MDP0000293970</v>
      </c>
      <c r="D23581">
        <v>36.729999999999997</v>
      </c>
      <c r="E23581">
        <v>98</v>
      </c>
      <c r="F23581">
        <v>62</v>
      </c>
      <c r="G23581">
        <v>2</v>
      </c>
      <c r="H23581">
        <v>121</v>
      </c>
      <c r="I23581">
        <v>218</v>
      </c>
      <c r="J23581">
        <v>1</v>
      </c>
      <c r="K23581">
        <v>30</v>
      </c>
      <c r="L23581">
        <v>125</v>
      </c>
      <c r="M23581">
        <v>1</v>
      </c>
      <c r="N23581">
        <v>6.9046900000000004E-11</v>
      </c>
      <c r="O23581">
        <v>160</v>
      </c>
    </row>
    <row r="23582" spans="1:15" x14ac:dyDescent="0.25">
      <c r="A23582" t="s">
        <v>23595</v>
      </c>
      <c r="B23582">
        <v>95</v>
      </c>
      <c r="C23582" s="1" t="str">
        <f>HYPERLINK("http://www.rosaceae.org/gb/gbrowse/malus_x_domestica/?name=MDP0000329640","MDP0000329640")</f>
        <v>MDP0000329640</v>
      </c>
      <c r="D23582">
        <v>94.2</v>
      </c>
      <c r="E23582">
        <v>69</v>
      </c>
      <c r="F23582">
        <v>4</v>
      </c>
      <c r="G23582">
        <v>0</v>
      </c>
      <c r="H23582">
        <v>27</v>
      </c>
      <c r="I23582">
        <v>95</v>
      </c>
      <c r="J23582">
        <v>1</v>
      </c>
      <c r="K23582">
        <v>54</v>
      </c>
      <c r="L23582">
        <v>122</v>
      </c>
      <c r="M23582">
        <v>1</v>
      </c>
      <c r="N23582">
        <v>3.2330400000000001E-34</v>
      </c>
      <c r="O23582">
        <v>352</v>
      </c>
    </row>
    <row r="23583" spans="1:15" x14ac:dyDescent="0.25">
      <c r="A23583" t="s">
        <v>23596</v>
      </c>
      <c r="B23583">
        <v>1123</v>
      </c>
      <c r="C23583" s="1" t="str">
        <f>HYPERLINK("http://www.rosaceae.org/gb/gbrowse/malus_x_domestica/?name=MDP0000301453","MDP0000301453")</f>
        <v>MDP0000301453</v>
      </c>
      <c r="D23583">
        <v>86.57</v>
      </c>
      <c r="E23583">
        <v>648</v>
      </c>
      <c r="F23583">
        <v>87</v>
      </c>
      <c r="G23583">
        <v>4</v>
      </c>
      <c r="H23583">
        <v>479</v>
      </c>
      <c r="I23583">
        <v>1123</v>
      </c>
      <c r="J23583">
        <v>1</v>
      </c>
      <c r="K23583">
        <v>311</v>
      </c>
      <c r="L23583">
        <v>957</v>
      </c>
      <c r="M23583">
        <v>1</v>
      </c>
      <c r="N23583">
        <v>0</v>
      </c>
      <c r="O23583">
        <v>3043</v>
      </c>
    </row>
    <row r="23584" spans="1:15" x14ac:dyDescent="0.25">
      <c r="A23584" t="s">
        <v>23597</v>
      </c>
      <c r="B23584">
        <v>292</v>
      </c>
      <c r="C23584" s="1" t="str">
        <f>HYPERLINK("http://www.rosaceae.org/gb/gbrowse/malus_x_domestica/?name=MDP0000289428","MDP0000289428")</f>
        <v>MDP0000289428</v>
      </c>
      <c r="D23584">
        <v>49.02</v>
      </c>
      <c r="E23584">
        <v>257</v>
      </c>
      <c r="F23584">
        <v>131</v>
      </c>
      <c r="G23584">
        <v>31</v>
      </c>
      <c r="H23584">
        <v>53</v>
      </c>
      <c r="I23584">
        <v>292</v>
      </c>
      <c r="J23584">
        <v>1</v>
      </c>
      <c r="K23584">
        <v>218</v>
      </c>
      <c r="L23584">
        <v>460</v>
      </c>
      <c r="M23584">
        <v>1</v>
      </c>
      <c r="N23584">
        <v>7.7093900000000003E-52</v>
      </c>
      <c r="O23584">
        <v>511</v>
      </c>
    </row>
    <row r="23585" spans="1:15" x14ac:dyDescent="0.25">
      <c r="A23585" t="s">
        <v>23598</v>
      </c>
      <c r="B23585">
        <v>1330</v>
      </c>
      <c r="C23585" s="1" t="str">
        <f>HYPERLINK("http://www.rosaceae.org/gb/gbrowse/malus_x_domestica/?name=MDP0000865880","MDP0000865880")</f>
        <v>MDP0000865880</v>
      </c>
      <c r="D23585">
        <v>55.12</v>
      </c>
      <c r="E23585">
        <v>887</v>
      </c>
      <c r="F23585">
        <v>398</v>
      </c>
      <c r="G23585">
        <v>71</v>
      </c>
      <c r="H23585">
        <v>2</v>
      </c>
      <c r="I23585">
        <v>868</v>
      </c>
      <c r="J23585">
        <v>1</v>
      </c>
      <c r="K23585">
        <v>3</v>
      </c>
      <c r="L23585">
        <v>838</v>
      </c>
      <c r="M23585">
        <v>1</v>
      </c>
      <c r="N23585">
        <v>0</v>
      </c>
      <c r="O23585">
        <v>2212</v>
      </c>
    </row>
    <row r="23586" spans="1:15" x14ac:dyDescent="0.25">
      <c r="A23586" t="s">
        <v>23599</v>
      </c>
      <c r="B23586">
        <v>259</v>
      </c>
      <c r="C23586" s="1" t="str">
        <f>HYPERLINK("http://www.rosaceae.org/gb/gbrowse/malus_x_domestica/?name=MDP0000131822","MDP0000131822")</f>
        <v>MDP0000131822</v>
      </c>
      <c r="D23586">
        <v>55.39</v>
      </c>
      <c r="E23586">
        <v>269</v>
      </c>
      <c r="F23586">
        <v>120</v>
      </c>
      <c r="G23586">
        <v>56</v>
      </c>
      <c r="H23586">
        <v>6</v>
      </c>
      <c r="I23586">
        <v>254</v>
      </c>
      <c r="J23586">
        <v>1</v>
      </c>
      <c r="K23586">
        <v>5</v>
      </c>
      <c r="L23586">
        <v>237</v>
      </c>
      <c r="M23586">
        <v>1</v>
      </c>
      <c r="N23586">
        <v>8.6569699999999996E-67</v>
      </c>
      <c r="O23586">
        <v>639</v>
      </c>
    </row>
    <row r="23587" spans="1:15" x14ac:dyDescent="0.25">
      <c r="A23587" t="s">
        <v>23600</v>
      </c>
      <c r="B23587">
        <v>281</v>
      </c>
      <c r="C23587" s="1" t="str">
        <f>HYPERLINK("http://www.rosaceae.org/gb/gbrowse/malus_x_domestica/?name=MDP0000700015","MDP0000700015")</f>
        <v>MDP0000700015</v>
      </c>
      <c r="D23587">
        <v>86.75</v>
      </c>
      <c r="E23587">
        <v>287</v>
      </c>
      <c r="F23587">
        <v>38</v>
      </c>
      <c r="G23587">
        <v>9</v>
      </c>
      <c r="H23587">
        <v>1</v>
      </c>
      <c r="I23587">
        <v>281</v>
      </c>
      <c r="J23587">
        <v>1</v>
      </c>
      <c r="K23587">
        <v>1</v>
      </c>
      <c r="L23587">
        <v>284</v>
      </c>
      <c r="M23587">
        <v>1</v>
      </c>
      <c r="N23587">
        <v>1.39302E-138</v>
      </c>
      <c r="O23587">
        <v>1259</v>
      </c>
    </row>
    <row r="23588" spans="1:15" x14ac:dyDescent="0.25">
      <c r="A23588" t="s">
        <v>23601</v>
      </c>
      <c r="B23588">
        <v>574</v>
      </c>
      <c r="C23588" s="1" t="str">
        <f>HYPERLINK("http://www.rosaceae.org/gb/gbrowse/malus_x_domestica/?name=MDP0000125182","MDP0000125182")</f>
        <v>MDP0000125182</v>
      </c>
      <c r="D23588">
        <v>60.67</v>
      </c>
      <c r="E23588">
        <v>562</v>
      </c>
      <c r="F23588">
        <v>221</v>
      </c>
      <c r="G23588">
        <v>15</v>
      </c>
      <c r="H23588">
        <v>17</v>
      </c>
      <c r="I23588">
        <v>574</v>
      </c>
      <c r="J23588">
        <v>1</v>
      </c>
      <c r="K23588">
        <v>152</v>
      </c>
      <c r="L23588">
        <v>702</v>
      </c>
      <c r="M23588">
        <v>1</v>
      </c>
      <c r="N23588">
        <v>0</v>
      </c>
      <c r="O23588">
        <v>1756</v>
      </c>
    </row>
    <row r="23589" spans="1:15" x14ac:dyDescent="0.25">
      <c r="A23589" t="s">
        <v>23602</v>
      </c>
      <c r="B23589">
        <v>83</v>
      </c>
      <c r="C23589" s="1" t="str">
        <f>HYPERLINK("http://www.rosaceae.org/gb/gbrowse/malus_x_domestica/?name=MDP0000244738","MDP0000244738")</f>
        <v>MDP0000244738</v>
      </c>
      <c r="D23589">
        <v>72.97</v>
      </c>
      <c r="E23589">
        <v>74</v>
      </c>
      <c r="F23589">
        <v>20</v>
      </c>
      <c r="G23589">
        <v>0</v>
      </c>
      <c r="H23589">
        <v>10</v>
      </c>
      <c r="I23589">
        <v>83</v>
      </c>
      <c r="J23589">
        <v>1</v>
      </c>
      <c r="K23589">
        <v>79</v>
      </c>
      <c r="L23589">
        <v>152</v>
      </c>
      <c r="M23589">
        <v>1</v>
      </c>
      <c r="N23589">
        <v>1.7378799999999999E-21</v>
      </c>
      <c r="O23589">
        <v>243</v>
      </c>
    </row>
    <row r="23590" spans="1:15" x14ac:dyDescent="0.25">
      <c r="A23590" t="s">
        <v>23603</v>
      </c>
      <c r="B23590">
        <v>930</v>
      </c>
      <c r="C23590" s="1" t="str">
        <f>HYPERLINK("http://www.rosaceae.org/gb/gbrowse/malus_x_domestica/?name=MDP0000239909","MDP0000239909")</f>
        <v>MDP0000239909</v>
      </c>
      <c r="D23590">
        <v>66.36</v>
      </c>
      <c r="E23590">
        <v>449</v>
      </c>
      <c r="F23590">
        <v>151</v>
      </c>
      <c r="G23590">
        <v>42</v>
      </c>
      <c r="H23590">
        <v>37</v>
      </c>
      <c r="I23590">
        <v>483</v>
      </c>
      <c r="J23590">
        <v>1</v>
      </c>
      <c r="K23590">
        <v>1</v>
      </c>
      <c r="L23590">
        <v>409</v>
      </c>
      <c r="M23590">
        <v>1</v>
      </c>
      <c r="N23590">
        <v>3.53872E-174</v>
      </c>
      <c r="O23590">
        <v>1571</v>
      </c>
    </row>
    <row r="23591" spans="1:15" x14ac:dyDescent="0.25">
      <c r="A23591" t="s">
        <v>23604</v>
      </c>
      <c r="B23591">
        <v>567</v>
      </c>
      <c r="C23591" s="1" t="str">
        <f>HYPERLINK("http://www.rosaceae.org/gb/gbrowse/malus_x_domestica/?name=MDP0000810034","MDP0000810034")</f>
        <v>MDP0000810034</v>
      </c>
      <c r="D23591">
        <v>73.22</v>
      </c>
      <c r="E23591">
        <v>295</v>
      </c>
      <c r="F23591">
        <v>79</v>
      </c>
      <c r="G23591">
        <v>9</v>
      </c>
      <c r="H23591">
        <v>1</v>
      </c>
      <c r="I23591">
        <v>287</v>
      </c>
      <c r="J23591">
        <v>1</v>
      </c>
      <c r="K23591">
        <v>146</v>
      </c>
      <c r="L23591">
        <v>439</v>
      </c>
      <c r="M23591">
        <v>1</v>
      </c>
      <c r="N23591">
        <v>2.4281000000000001E-134</v>
      </c>
      <c r="O23591">
        <v>1226</v>
      </c>
    </row>
    <row r="23592" spans="1:15" x14ac:dyDescent="0.25">
      <c r="A23592" t="s">
        <v>23605</v>
      </c>
      <c r="B23592">
        <v>112</v>
      </c>
      <c r="C23592" s="1" t="str">
        <f>HYPERLINK("http://www.rosaceae.org/gb/gbrowse/malus_x_domestica/?name=MDP0000305071","MDP0000305071")</f>
        <v>MDP0000305071</v>
      </c>
      <c r="D23592">
        <v>36.14</v>
      </c>
      <c r="E23592">
        <v>83</v>
      </c>
      <c r="F23592">
        <v>53</v>
      </c>
      <c r="G23592">
        <v>0</v>
      </c>
      <c r="H23592">
        <v>27</v>
      </c>
      <c r="I23592">
        <v>109</v>
      </c>
      <c r="J23592">
        <v>1</v>
      </c>
      <c r="K23592">
        <v>160</v>
      </c>
      <c r="L23592">
        <v>242</v>
      </c>
      <c r="M23592">
        <v>1</v>
      </c>
      <c r="N23592">
        <v>1.7092099999999999E-9</v>
      </c>
      <c r="O23592">
        <v>139</v>
      </c>
    </row>
    <row r="23593" spans="1:15" x14ac:dyDescent="0.25">
      <c r="A23593" t="s">
        <v>23606</v>
      </c>
      <c r="B23593">
        <v>419</v>
      </c>
      <c r="C23593" s="1" t="str">
        <f>HYPERLINK("http://www.rosaceae.org/gb/gbrowse/malus_x_domestica/?name=MDP0000201897","MDP0000201897")</f>
        <v>MDP0000201897</v>
      </c>
      <c r="D23593">
        <v>29.72</v>
      </c>
      <c r="E23593">
        <v>185</v>
      </c>
      <c r="F23593">
        <v>130</v>
      </c>
      <c r="G23593">
        <v>14</v>
      </c>
      <c r="H23593">
        <v>1</v>
      </c>
      <c r="I23593">
        <v>183</v>
      </c>
      <c r="J23593">
        <v>1</v>
      </c>
      <c r="K23593">
        <v>595</v>
      </c>
      <c r="L23593">
        <v>767</v>
      </c>
      <c r="M23593">
        <v>1</v>
      </c>
      <c r="N23593">
        <v>2.1918199999999998E-19</v>
      </c>
      <c r="O23593">
        <v>233</v>
      </c>
    </row>
    <row r="23594" spans="1:15" x14ac:dyDescent="0.25">
      <c r="A23594" t="s">
        <v>23607</v>
      </c>
      <c r="B23594">
        <v>226</v>
      </c>
      <c r="C23594" s="1" t="str">
        <f>HYPERLINK("http://www.rosaceae.org/gb/gbrowse/malus_x_domestica/?name=MDP0000187339","MDP0000187339")</f>
        <v>MDP0000187339</v>
      </c>
      <c r="D23594">
        <v>30.96</v>
      </c>
      <c r="E23594">
        <v>197</v>
      </c>
      <c r="F23594">
        <v>136</v>
      </c>
      <c r="G23594">
        <v>56</v>
      </c>
      <c r="H23594">
        <v>10</v>
      </c>
      <c r="I23594">
        <v>162</v>
      </c>
      <c r="J23594">
        <v>1</v>
      </c>
      <c r="K23594">
        <v>237</v>
      </c>
      <c r="L23594">
        <v>421</v>
      </c>
      <c r="M23594">
        <v>1</v>
      </c>
      <c r="N23594">
        <v>5.0382299999999998E-15</v>
      </c>
      <c r="O23594">
        <v>192</v>
      </c>
    </row>
    <row r="23595" spans="1:15" x14ac:dyDescent="0.25">
      <c r="A23595" t="s">
        <v>23608</v>
      </c>
      <c r="B23595">
        <v>950</v>
      </c>
      <c r="C23595" s="1" t="str">
        <f>HYPERLINK("http://www.rosaceae.org/gb/gbrowse/malus_x_domestica/?name=MDP0000213445","MDP0000213445")</f>
        <v>MDP0000213445</v>
      </c>
      <c r="D23595">
        <v>52.64</v>
      </c>
      <c r="E23595">
        <v>963</v>
      </c>
      <c r="F23595">
        <v>456</v>
      </c>
      <c r="G23595">
        <v>70</v>
      </c>
      <c r="H23595">
        <v>1</v>
      </c>
      <c r="I23595">
        <v>921</v>
      </c>
      <c r="J23595">
        <v>1</v>
      </c>
      <c r="K23595">
        <v>6</v>
      </c>
      <c r="L23595">
        <v>940</v>
      </c>
      <c r="M23595">
        <v>1</v>
      </c>
      <c r="N23595">
        <v>0</v>
      </c>
      <c r="O23595">
        <v>2293</v>
      </c>
    </row>
    <row r="23596" spans="1:15" x14ac:dyDescent="0.25">
      <c r="A23596" t="s">
        <v>23609</v>
      </c>
      <c r="B23596">
        <v>326</v>
      </c>
      <c r="C23596" s="1" t="str">
        <f>HYPERLINK("http://www.rosaceae.org/gb/gbrowse/malus_x_domestica/?name=MDP0000631883","MDP0000631883")</f>
        <v>MDP0000631883</v>
      </c>
      <c r="D23596">
        <v>54.22</v>
      </c>
      <c r="E23596">
        <v>343</v>
      </c>
      <c r="F23596">
        <v>157</v>
      </c>
      <c r="G23596">
        <v>28</v>
      </c>
      <c r="H23596">
        <v>6</v>
      </c>
      <c r="I23596">
        <v>326</v>
      </c>
      <c r="J23596">
        <v>1</v>
      </c>
      <c r="K23596">
        <v>14</v>
      </c>
      <c r="L23596">
        <v>350</v>
      </c>
      <c r="M23596">
        <v>1</v>
      </c>
      <c r="N23596">
        <v>2.4558600000000001E-108</v>
      </c>
      <c r="O23596">
        <v>999</v>
      </c>
    </row>
    <row r="23597" spans="1:15" x14ac:dyDescent="0.25">
      <c r="A23597" t="s">
        <v>23610</v>
      </c>
      <c r="B23597">
        <v>210</v>
      </c>
      <c r="C23597" s="1" t="str">
        <f>HYPERLINK("http://www.rosaceae.org/gb/gbrowse/malus_x_domestica/?name=MDP0000132866","MDP0000132866")</f>
        <v>MDP0000132866</v>
      </c>
      <c r="D23597">
        <v>44.79</v>
      </c>
      <c r="E23597">
        <v>192</v>
      </c>
      <c r="F23597">
        <v>106</v>
      </c>
      <c r="G23597">
        <v>11</v>
      </c>
      <c r="H23597">
        <v>1</v>
      </c>
      <c r="I23597">
        <v>192</v>
      </c>
      <c r="J23597">
        <v>1</v>
      </c>
      <c r="K23597">
        <v>70</v>
      </c>
      <c r="L23597">
        <v>250</v>
      </c>
      <c r="M23597">
        <v>1</v>
      </c>
      <c r="N23597">
        <v>7.6929600000000006E-30</v>
      </c>
      <c r="O23597">
        <v>319</v>
      </c>
    </row>
    <row r="23598" spans="1:15" x14ac:dyDescent="0.25">
      <c r="A23598" t="s">
        <v>23611</v>
      </c>
      <c r="B23598">
        <v>415</v>
      </c>
      <c r="C23598" s="1" t="str">
        <f>HYPERLINK("http://www.rosaceae.org/gb/gbrowse/malus_x_domestica/?name=MDP0000811085","MDP0000811085")</f>
        <v>MDP0000811085</v>
      </c>
      <c r="D23598">
        <v>46.08</v>
      </c>
      <c r="E23598">
        <v>434</v>
      </c>
      <c r="F23598">
        <v>234</v>
      </c>
      <c r="G23598">
        <v>42</v>
      </c>
      <c r="H23598">
        <v>1</v>
      </c>
      <c r="I23598">
        <v>414</v>
      </c>
      <c r="J23598">
        <v>1</v>
      </c>
      <c r="K23598">
        <v>1</v>
      </c>
      <c r="L23598">
        <v>412</v>
      </c>
      <c r="M23598">
        <v>1</v>
      </c>
      <c r="N23598">
        <v>1.8362099999999999E-96</v>
      </c>
      <c r="O23598">
        <v>897</v>
      </c>
    </row>
    <row r="23599" spans="1:15" x14ac:dyDescent="0.25">
      <c r="A23599" t="s">
        <v>23612</v>
      </c>
      <c r="B23599">
        <v>524</v>
      </c>
      <c r="C23599" s="1" t="str">
        <f>HYPERLINK("http://www.rosaceae.org/gb/gbrowse/malus_x_domestica/?name=MDP0000628052","MDP0000628052")</f>
        <v>MDP0000628052</v>
      </c>
      <c r="D23599">
        <v>42.33</v>
      </c>
      <c r="E23599">
        <v>274</v>
      </c>
      <c r="F23599">
        <v>158</v>
      </c>
      <c r="G23599">
        <v>54</v>
      </c>
      <c r="H23599">
        <v>238</v>
      </c>
      <c r="I23599">
        <v>458</v>
      </c>
      <c r="J23599">
        <v>1</v>
      </c>
      <c r="K23599">
        <v>32</v>
      </c>
      <c r="L23599">
        <v>304</v>
      </c>
      <c r="M23599">
        <v>1</v>
      </c>
      <c r="N23599">
        <v>7.2929099999999998E-51</v>
      </c>
      <c r="O23599">
        <v>505</v>
      </c>
    </row>
    <row r="23600" spans="1:15" x14ac:dyDescent="0.25">
      <c r="A23600" t="s">
        <v>23613</v>
      </c>
      <c r="B23600">
        <v>447</v>
      </c>
      <c r="C23600" s="1" t="str">
        <f>HYPERLINK("http://www.rosaceae.org/gb/gbrowse/malus_x_domestica/?name=MDP0000120204","MDP0000120204")</f>
        <v>MDP0000120204</v>
      </c>
      <c r="D23600">
        <v>59.49</v>
      </c>
      <c r="E23600">
        <v>437</v>
      </c>
      <c r="F23600">
        <v>177</v>
      </c>
      <c r="G23600">
        <v>28</v>
      </c>
      <c r="H23600">
        <v>5</v>
      </c>
      <c r="I23600">
        <v>437</v>
      </c>
      <c r="J23600">
        <v>1</v>
      </c>
      <c r="K23600">
        <v>4</v>
      </c>
      <c r="L23600">
        <v>416</v>
      </c>
      <c r="M23600">
        <v>1</v>
      </c>
      <c r="N23600">
        <v>1.33457E-132</v>
      </c>
      <c r="O23600">
        <v>1209</v>
      </c>
    </row>
    <row r="23601" spans="1:15" x14ac:dyDescent="0.25">
      <c r="A23601" t="s">
        <v>23614</v>
      </c>
      <c r="B23601">
        <v>706</v>
      </c>
      <c r="C23601" s="1" t="str">
        <f>HYPERLINK("http://www.rosaceae.org/gb/gbrowse/malus_x_domestica/?name=MDP0000182631","MDP0000182631")</f>
        <v>MDP0000182631</v>
      </c>
      <c r="D23601">
        <v>73.7</v>
      </c>
      <c r="E23601">
        <v>502</v>
      </c>
      <c r="F23601">
        <v>132</v>
      </c>
      <c r="G23601">
        <v>3</v>
      </c>
      <c r="H23601">
        <v>203</v>
      </c>
      <c r="I23601">
        <v>701</v>
      </c>
      <c r="J23601">
        <v>1</v>
      </c>
      <c r="K23601">
        <v>6</v>
      </c>
      <c r="L23601">
        <v>507</v>
      </c>
      <c r="M23601">
        <v>1</v>
      </c>
      <c r="N23601">
        <v>0</v>
      </c>
      <c r="O23601">
        <v>2049</v>
      </c>
    </row>
    <row r="23602" spans="1:15" x14ac:dyDescent="0.25">
      <c r="A23602" t="s">
        <v>23615</v>
      </c>
      <c r="B23602">
        <v>605</v>
      </c>
      <c r="C23602" s="1" t="str">
        <f>HYPERLINK("http://www.rosaceae.org/gb/gbrowse/malus_x_domestica/?name=MDP0000273851","MDP0000273851")</f>
        <v>MDP0000273851</v>
      </c>
      <c r="D23602">
        <v>52.79</v>
      </c>
      <c r="E23602">
        <v>572</v>
      </c>
      <c r="F23602">
        <v>270</v>
      </c>
      <c r="G23602">
        <v>80</v>
      </c>
      <c r="H23602">
        <v>49</v>
      </c>
      <c r="I23602">
        <v>588</v>
      </c>
      <c r="J23602">
        <v>1</v>
      </c>
      <c r="K23602">
        <v>24</v>
      </c>
      <c r="L23602">
        <v>547</v>
      </c>
      <c r="M23602">
        <v>1</v>
      </c>
      <c r="N23602">
        <v>2.24927E-126</v>
      </c>
      <c r="O23602">
        <v>1157</v>
      </c>
    </row>
    <row r="23603" spans="1:15" x14ac:dyDescent="0.25">
      <c r="A23603" t="s">
        <v>23616</v>
      </c>
      <c r="B23603">
        <v>143</v>
      </c>
      <c r="C23603" s="1" t="str">
        <f>HYPERLINK("http://www.rosaceae.org/gb/gbrowse/malus_x_domestica/?name=MDP0000327126","MDP0000327126")</f>
        <v>MDP0000327126</v>
      </c>
      <c r="D23603">
        <v>89.36</v>
      </c>
      <c r="E23603">
        <v>141</v>
      </c>
      <c r="F23603">
        <v>15</v>
      </c>
      <c r="G23603">
        <v>0</v>
      </c>
      <c r="H23603">
        <v>1</v>
      </c>
      <c r="I23603">
        <v>141</v>
      </c>
      <c r="J23603">
        <v>1</v>
      </c>
      <c r="K23603">
        <v>1</v>
      </c>
      <c r="L23603">
        <v>141</v>
      </c>
      <c r="M23603">
        <v>1</v>
      </c>
      <c r="N23603">
        <v>1.59682E-72</v>
      </c>
      <c r="O23603">
        <v>684</v>
      </c>
    </row>
    <row r="23604" spans="1:15" x14ac:dyDescent="0.25">
      <c r="A23604" t="s">
        <v>23617</v>
      </c>
      <c r="B23604">
        <v>299</v>
      </c>
      <c r="C23604" s="1" t="str">
        <f>HYPERLINK("http://www.rosaceae.org/gb/gbrowse/malus_x_domestica/?name=MDP0000261312","MDP0000261312")</f>
        <v>MDP0000261312</v>
      </c>
      <c r="D23604">
        <v>48.88</v>
      </c>
      <c r="E23604">
        <v>90</v>
      </c>
      <c r="F23604">
        <v>46</v>
      </c>
      <c r="G23604">
        <v>7</v>
      </c>
      <c r="H23604">
        <v>50</v>
      </c>
      <c r="I23604">
        <v>133</v>
      </c>
      <c r="J23604">
        <v>1</v>
      </c>
      <c r="K23604">
        <v>32</v>
      </c>
      <c r="L23604">
        <v>120</v>
      </c>
      <c r="M23604">
        <v>1</v>
      </c>
      <c r="N23604">
        <v>2.5787599999999998E-12</v>
      </c>
      <c r="O23604">
        <v>170</v>
      </c>
    </row>
    <row r="23605" spans="1:15" x14ac:dyDescent="0.25">
      <c r="A23605" t="s">
        <v>23618</v>
      </c>
      <c r="B23605">
        <v>88</v>
      </c>
      <c r="C23605" s="1" t="str">
        <f>HYPERLINK("http://www.rosaceae.org/gb/gbrowse/malus_x_domestica/?name=MDP0000319051","MDP0000319051")</f>
        <v>MDP0000319051</v>
      </c>
      <c r="D23605">
        <v>68.75</v>
      </c>
      <c r="E23605">
        <v>80</v>
      </c>
      <c r="F23605">
        <v>25</v>
      </c>
      <c r="G23605">
        <v>0</v>
      </c>
      <c r="H23605">
        <v>1</v>
      </c>
      <c r="I23605">
        <v>80</v>
      </c>
      <c r="J23605">
        <v>1</v>
      </c>
      <c r="K23605">
        <v>1</v>
      </c>
      <c r="L23605">
        <v>80</v>
      </c>
      <c r="M23605">
        <v>1</v>
      </c>
      <c r="N23605">
        <v>9.2096000000000006E-28</v>
      </c>
      <c r="O23605">
        <v>297</v>
      </c>
    </row>
    <row r="23606" spans="1:15" x14ac:dyDescent="0.25">
      <c r="A23606" t="s">
        <v>23619</v>
      </c>
      <c r="B23606">
        <v>164</v>
      </c>
      <c r="C23606" s="1" t="str">
        <f>HYPERLINK("http://www.rosaceae.org/gb/gbrowse/malus_x_domestica/?name=MDP0000272113","MDP0000272113")</f>
        <v>MDP0000272113</v>
      </c>
      <c r="D23606">
        <v>88.09</v>
      </c>
      <c r="E23606">
        <v>84</v>
      </c>
      <c r="F23606">
        <v>10</v>
      </c>
      <c r="G23606">
        <v>0</v>
      </c>
      <c r="H23606">
        <v>65</v>
      </c>
      <c r="I23606">
        <v>148</v>
      </c>
      <c r="J23606">
        <v>1</v>
      </c>
      <c r="K23606">
        <v>2435</v>
      </c>
      <c r="L23606">
        <v>2518</v>
      </c>
      <c r="M23606">
        <v>1</v>
      </c>
      <c r="N23606">
        <v>1.46879E-31</v>
      </c>
      <c r="O23606">
        <v>332</v>
      </c>
    </row>
    <row r="23607" spans="1:15" x14ac:dyDescent="0.25">
      <c r="A23607" t="s">
        <v>23620</v>
      </c>
      <c r="B23607">
        <v>720</v>
      </c>
      <c r="C23607" s="1" t="str">
        <f>HYPERLINK("http://www.rosaceae.org/gb/gbrowse/malus_x_domestica/?name=MDP0000606453","MDP0000606453")</f>
        <v>MDP0000606453</v>
      </c>
      <c r="D23607">
        <v>53.08</v>
      </c>
      <c r="E23607">
        <v>567</v>
      </c>
      <c r="F23607">
        <v>266</v>
      </c>
      <c r="G23607">
        <v>17</v>
      </c>
      <c r="H23607">
        <v>14</v>
      </c>
      <c r="I23607">
        <v>579</v>
      </c>
      <c r="J23607">
        <v>1</v>
      </c>
      <c r="K23607">
        <v>7</v>
      </c>
      <c r="L23607">
        <v>557</v>
      </c>
      <c r="M23607">
        <v>1</v>
      </c>
      <c r="N23607">
        <v>0</v>
      </c>
      <c r="O23607">
        <v>1677</v>
      </c>
    </row>
    <row r="23608" spans="1:15" x14ac:dyDescent="0.25">
      <c r="A23608" t="s">
        <v>23621</v>
      </c>
      <c r="B23608">
        <v>297</v>
      </c>
      <c r="C23608" s="1" t="str">
        <f>HYPERLINK("http://www.rosaceae.org/gb/gbrowse/malus_x_domestica/?name=MDP0000894895","MDP0000894895")</f>
        <v>MDP0000894895</v>
      </c>
      <c r="D23608">
        <v>42.97</v>
      </c>
      <c r="E23608">
        <v>242</v>
      </c>
      <c r="F23608">
        <v>138</v>
      </c>
      <c r="G23608">
        <v>25</v>
      </c>
      <c r="H23608">
        <v>53</v>
      </c>
      <c r="I23608">
        <v>271</v>
      </c>
      <c r="J23608">
        <v>1</v>
      </c>
      <c r="K23608">
        <v>11</v>
      </c>
      <c r="L23608">
        <v>250</v>
      </c>
      <c r="M23608">
        <v>1</v>
      </c>
      <c r="N23608">
        <v>3.0994199999999999E-33</v>
      </c>
      <c r="O23608">
        <v>351</v>
      </c>
    </row>
    <row r="23609" spans="1:15" x14ac:dyDescent="0.25">
      <c r="A23609" t="s">
        <v>23622</v>
      </c>
      <c r="B23609">
        <v>1323</v>
      </c>
      <c r="C23609" s="1" t="str">
        <f>HYPERLINK("http://www.rosaceae.org/gb/gbrowse/malus_x_domestica/?name=MDP0000212424","MDP0000212424")</f>
        <v>MDP0000212424</v>
      </c>
      <c r="D23609">
        <v>81.5</v>
      </c>
      <c r="E23609">
        <v>1373</v>
      </c>
      <c r="F23609">
        <v>254</v>
      </c>
      <c r="G23609">
        <v>78</v>
      </c>
      <c r="H23609">
        <v>1</v>
      </c>
      <c r="I23609">
        <v>1323</v>
      </c>
      <c r="J23609">
        <v>1</v>
      </c>
      <c r="K23609">
        <v>126</v>
      </c>
      <c r="L23609">
        <v>1470</v>
      </c>
      <c r="M23609">
        <v>1</v>
      </c>
      <c r="N23609">
        <v>0</v>
      </c>
      <c r="O23609">
        <v>5783</v>
      </c>
    </row>
    <row r="23610" spans="1:15" x14ac:dyDescent="0.25">
      <c r="A23610" t="s">
        <v>23623</v>
      </c>
      <c r="B23610">
        <v>107</v>
      </c>
      <c r="C23610" s="1" t="str">
        <f>HYPERLINK("http://www.rosaceae.org/gb/gbrowse/malus_x_domestica/?name=MDP0000949591","MDP0000949591")</f>
        <v>MDP0000949591</v>
      </c>
      <c r="D23610">
        <v>64.099999999999994</v>
      </c>
      <c r="E23610">
        <v>117</v>
      </c>
      <c r="F23610">
        <v>42</v>
      </c>
      <c r="G23610">
        <v>18</v>
      </c>
      <c r="H23610">
        <v>1</v>
      </c>
      <c r="I23610">
        <v>107</v>
      </c>
      <c r="J23610">
        <v>1</v>
      </c>
      <c r="K23610">
        <v>1</v>
      </c>
      <c r="L23610">
        <v>109</v>
      </c>
      <c r="M23610">
        <v>1</v>
      </c>
      <c r="N23610">
        <v>1.15497E-32</v>
      </c>
      <c r="O23610">
        <v>339</v>
      </c>
    </row>
    <row r="23611" spans="1:15" x14ac:dyDescent="0.25">
      <c r="A23611" t="s">
        <v>23624</v>
      </c>
      <c r="B23611">
        <v>408</v>
      </c>
      <c r="C23611" s="1" t="str">
        <f>HYPERLINK("http://www.rosaceae.org/gb/gbrowse/malus_x_domestica/?name=MDP0000254602","MDP0000254602")</f>
        <v>MDP0000254602</v>
      </c>
      <c r="D23611">
        <v>63.15</v>
      </c>
      <c r="E23611">
        <v>171</v>
      </c>
      <c r="F23611">
        <v>63</v>
      </c>
      <c r="G23611">
        <v>2</v>
      </c>
      <c r="H23611">
        <v>19</v>
      </c>
      <c r="I23611">
        <v>188</v>
      </c>
      <c r="J23611">
        <v>1</v>
      </c>
      <c r="K23611">
        <v>58</v>
      </c>
      <c r="L23611">
        <v>227</v>
      </c>
      <c r="M23611">
        <v>1</v>
      </c>
      <c r="N23611">
        <v>1.21709E-54</v>
      </c>
      <c r="O23611">
        <v>537</v>
      </c>
    </row>
    <row r="23612" spans="1:15" x14ac:dyDescent="0.25">
      <c r="A23612" t="s">
        <v>23625</v>
      </c>
      <c r="B23612">
        <v>754</v>
      </c>
      <c r="C23612" s="1" t="str">
        <f>HYPERLINK("http://www.rosaceae.org/gb/gbrowse/malus_x_domestica/?name=MDP0000277628","MDP0000277628")</f>
        <v>MDP0000277628</v>
      </c>
      <c r="D23612">
        <v>70.58</v>
      </c>
      <c r="E23612">
        <v>775</v>
      </c>
      <c r="F23612">
        <v>228</v>
      </c>
      <c r="G23612">
        <v>35</v>
      </c>
      <c r="H23612">
        <v>13</v>
      </c>
      <c r="I23612">
        <v>754</v>
      </c>
      <c r="J23612">
        <v>1</v>
      </c>
      <c r="K23612">
        <v>20</v>
      </c>
      <c r="L23612">
        <v>792</v>
      </c>
      <c r="M23612">
        <v>1</v>
      </c>
      <c r="N23612">
        <v>0</v>
      </c>
      <c r="O23612">
        <v>2690</v>
      </c>
    </row>
    <row r="23613" spans="1:15" x14ac:dyDescent="0.25">
      <c r="A23613" t="s">
        <v>23626</v>
      </c>
      <c r="B23613">
        <v>772</v>
      </c>
      <c r="C23613" s="1" t="str">
        <f>HYPERLINK("http://www.rosaceae.org/gb/gbrowse/malus_x_domestica/?name=MDP0000773502","MDP0000773502")</f>
        <v>MDP0000773502</v>
      </c>
      <c r="D23613">
        <v>79.34</v>
      </c>
      <c r="E23613">
        <v>276</v>
      </c>
      <c r="F23613">
        <v>57</v>
      </c>
      <c r="G23613">
        <v>2</v>
      </c>
      <c r="H23613">
        <v>476</v>
      </c>
      <c r="I23613">
        <v>749</v>
      </c>
      <c r="J23613">
        <v>1</v>
      </c>
      <c r="K23613">
        <v>99</v>
      </c>
      <c r="L23613">
        <v>374</v>
      </c>
      <c r="M23613">
        <v>1</v>
      </c>
      <c r="N23613">
        <v>2.9816600000000002E-118</v>
      </c>
      <c r="O23613">
        <v>1088</v>
      </c>
    </row>
    <row r="23614" spans="1:15" x14ac:dyDescent="0.25">
      <c r="A23614" t="s">
        <v>23627</v>
      </c>
      <c r="B23614">
        <v>169</v>
      </c>
      <c r="C23614" s="1" t="str">
        <f>HYPERLINK("http://www.rosaceae.org/gb/gbrowse/malus_x_domestica/?name=MDP0000264096","MDP0000264096")</f>
        <v>MDP0000264096</v>
      </c>
      <c r="D23614">
        <v>64.86</v>
      </c>
      <c r="E23614">
        <v>37</v>
      </c>
      <c r="F23614">
        <v>13</v>
      </c>
      <c r="G23614">
        <v>0</v>
      </c>
      <c r="H23614">
        <v>106</v>
      </c>
      <c r="I23614">
        <v>142</v>
      </c>
      <c r="J23614">
        <v>1</v>
      </c>
      <c r="K23614">
        <v>671</v>
      </c>
      <c r="L23614">
        <v>707</v>
      </c>
      <c r="M23614">
        <v>1</v>
      </c>
      <c r="N23614">
        <v>1.78402E-8</v>
      </c>
      <c r="O23614">
        <v>133</v>
      </c>
    </row>
    <row r="23615" spans="1:15" x14ac:dyDescent="0.25">
      <c r="A23615" t="s">
        <v>23628</v>
      </c>
      <c r="B23615">
        <v>1018</v>
      </c>
      <c r="C23615" s="1" t="str">
        <f>HYPERLINK("http://www.rosaceae.org/gb/gbrowse/malus_x_domestica/?name=MDP0000549002","MDP0000549002")</f>
        <v>MDP0000549002</v>
      </c>
      <c r="D23615">
        <v>63.32</v>
      </c>
      <c r="E23615">
        <v>848</v>
      </c>
      <c r="F23615">
        <v>311</v>
      </c>
      <c r="G23615">
        <v>21</v>
      </c>
      <c r="H23615">
        <v>151</v>
      </c>
      <c r="I23615">
        <v>984</v>
      </c>
      <c r="J23615">
        <v>1</v>
      </c>
      <c r="K23615">
        <v>20</v>
      </c>
      <c r="L23615">
        <v>860</v>
      </c>
      <c r="M23615">
        <v>1</v>
      </c>
      <c r="N23615">
        <v>0</v>
      </c>
      <c r="O23615">
        <v>2747</v>
      </c>
    </row>
    <row r="23616" spans="1:15" x14ac:dyDescent="0.25">
      <c r="A23616" t="s">
        <v>23629</v>
      </c>
      <c r="B23616">
        <v>609</v>
      </c>
      <c r="C23616" s="1" t="str">
        <f>HYPERLINK("http://www.rosaceae.org/gb/gbrowse/malus_x_domestica/?name=MDP0000631844","MDP0000631844")</f>
        <v>MDP0000631844</v>
      </c>
      <c r="D23616">
        <v>85.85</v>
      </c>
      <c r="E23616">
        <v>608</v>
      </c>
      <c r="F23616">
        <v>86</v>
      </c>
      <c r="G23616">
        <v>0</v>
      </c>
      <c r="H23616">
        <v>2</v>
      </c>
      <c r="I23616">
        <v>609</v>
      </c>
      <c r="J23616">
        <v>1</v>
      </c>
      <c r="K23616">
        <v>3</v>
      </c>
      <c r="L23616">
        <v>610</v>
      </c>
      <c r="M23616">
        <v>1</v>
      </c>
      <c r="N23616">
        <v>0</v>
      </c>
      <c r="O23616">
        <v>2814</v>
      </c>
    </row>
    <row r="23617" spans="1:15" x14ac:dyDescent="0.25">
      <c r="A23617" t="s">
        <v>23630</v>
      </c>
      <c r="B23617">
        <v>642</v>
      </c>
      <c r="C23617" s="1" t="str">
        <f>HYPERLINK("http://www.rosaceae.org/gb/gbrowse/malus_x_domestica/?name=MDP0000306339","MDP0000306339")</f>
        <v>MDP0000306339</v>
      </c>
      <c r="D23617">
        <v>55.26</v>
      </c>
      <c r="E23617">
        <v>456</v>
      </c>
      <c r="F23617">
        <v>204</v>
      </c>
      <c r="G23617">
        <v>29</v>
      </c>
      <c r="H23617">
        <v>192</v>
      </c>
      <c r="I23617">
        <v>641</v>
      </c>
      <c r="J23617">
        <v>1</v>
      </c>
      <c r="K23617">
        <v>11</v>
      </c>
      <c r="L23617">
        <v>443</v>
      </c>
      <c r="M23617">
        <v>1</v>
      </c>
      <c r="N23617">
        <v>1.27548E-124</v>
      </c>
      <c r="O23617">
        <v>1142</v>
      </c>
    </row>
    <row r="23618" spans="1:15" x14ac:dyDescent="0.25">
      <c r="A23618" t="s">
        <v>23631</v>
      </c>
      <c r="B23618">
        <v>364</v>
      </c>
      <c r="C23618" s="1" t="str">
        <f>HYPERLINK("http://www.rosaceae.org/gb/gbrowse/malus_x_domestica/?name=MDP0000928242","MDP0000928242")</f>
        <v>MDP0000928242</v>
      </c>
      <c r="D23618">
        <v>82.21</v>
      </c>
      <c r="E23618">
        <v>343</v>
      </c>
      <c r="F23618">
        <v>61</v>
      </c>
      <c r="G23618">
        <v>1</v>
      </c>
      <c r="H23618">
        <v>22</v>
      </c>
      <c r="I23618">
        <v>364</v>
      </c>
      <c r="J23618">
        <v>1</v>
      </c>
      <c r="K23618">
        <v>21</v>
      </c>
      <c r="L23618">
        <v>362</v>
      </c>
      <c r="M23618">
        <v>1</v>
      </c>
      <c r="N23618">
        <v>1.9249E-172</v>
      </c>
      <c r="O23618">
        <v>1552</v>
      </c>
    </row>
    <row r="23619" spans="1:15" x14ac:dyDescent="0.25">
      <c r="A23619" t="s">
        <v>23632</v>
      </c>
      <c r="B23619">
        <v>179</v>
      </c>
      <c r="C23619" s="1" t="str">
        <f>HYPERLINK("http://www.rosaceae.org/gb/gbrowse/malus_x_domestica/?name=MDP0000190055","MDP0000190055")</f>
        <v>MDP0000190055</v>
      </c>
      <c r="D23619">
        <v>60.65</v>
      </c>
      <c r="E23619">
        <v>183</v>
      </c>
      <c r="F23619">
        <v>72</v>
      </c>
      <c r="G23619">
        <v>5</v>
      </c>
      <c r="H23619">
        <v>1</v>
      </c>
      <c r="I23619">
        <v>179</v>
      </c>
      <c r="J23619">
        <v>1</v>
      </c>
      <c r="K23619">
        <v>4</v>
      </c>
      <c r="L23619">
        <v>185</v>
      </c>
      <c r="M23619">
        <v>1</v>
      </c>
      <c r="N23619">
        <v>3.0935200000000001E-52</v>
      </c>
      <c r="O23619">
        <v>511</v>
      </c>
    </row>
    <row r="23620" spans="1:15" x14ac:dyDescent="0.25">
      <c r="A23620" t="s">
        <v>23633</v>
      </c>
      <c r="B23620">
        <v>588</v>
      </c>
      <c r="C23620" s="1" t="str">
        <f>HYPERLINK("http://www.rosaceae.org/gb/gbrowse/malus_x_domestica/?name=MDP0000196606","MDP0000196606")</f>
        <v>MDP0000196606</v>
      </c>
      <c r="D23620">
        <v>82.69</v>
      </c>
      <c r="E23620">
        <v>520</v>
      </c>
      <c r="F23620">
        <v>90</v>
      </c>
      <c r="G23620">
        <v>3</v>
      </c>
      <c r="H23620">
        <v>1</v>
      </c>
      <c r="I23620">
        <v>520</v>
      </c>
      <c r="J23620">
        <v>1</v>
      </c>
      <c r="K23620">
        <v>1</v>
      </c>
      <c r="L23620">
        <v>517</v>
      </c>
      <c r="M23620">
        <v>1</v>
      </c>
      <c r="N23620">
        <v>0</v>
      </c>
      <c r="O23620">
        <v>2275</v>
      </c>
    </row>
    <row r="23621" spans="1:15" x14ac:dyDescent="0.25">
      <c r="A23621" t="s">
        <v>23634</v>
      </c>
      <c r="B23621">
        <v>444</v>
      </c>
      <c r="C23621" s="1" t="str">
        <f>HYPERLINK("http://www.rosaceae.org/gb/gbrowse/malus_x_domestica/?name=MDP0000286457","MDP0000286457")</f>
        <v>MDP0000286457</v>
      </c>
      <c r="D23621">
        <v>61.15</v>
      </c>
      <c r="E23621">
        <v>345</v>
      </c>
      <c r="F23621">
        <v>134</v>
      </c>
      <c r="G23621">
        <v>4</v>
      </c>
      <c r="H23621">
        <v>91</v>
      </c>
      <c r="I23621">
        <v>431</v>
      </c>
      <c r="J23621">
        <v>1</v>
      </c>
      <c r="K23621">
        <v>62</v>
      </c>
      <c r="L23621">
        <v>406</v>
      </c>
      <c r="M23621">
        <v>1</v>
      </c>
      <c r="N23621">
        <v>1.89974E-121</v>
      </c>
      <c r="O23621">
        <v>1113</v>
      </c>
    </row>
    <row r="23622" spans="1:15" x14ac:dyDescent="0.25">
      <c r="A23622" t="s">
        <v>23635</v>
      </c>
      <c r="B23622">
        <v>263</v>
      </c>
      <c r="C23622" s="1" t="str">
        <f>HYPERLINK("http://www.rosaceae.org/gb/gbrowse/malus_x_domestica/?name=MDP0000309172","MDP0000309172")</f>
        <v>MDP0000309172</v>
      </c>
      <c r="D23622">
        <v>29.26</v>
      </c>
      <c r="E23622">
        <v>246</v>
      </c>
      <c r="F23622">
        <v>174</v>
      </c>
      <c r="G23622">
        <v>33</v>
      </c>
      <c r="H23622">
        <v>14</v>
      </c>
      <c r="I23622">
        <v>240</v>
      </c>
      <c r="J23622">
        <v>1</v>
      </c>
      <c r="K23622">
        <v>10</v>
      </c>
      <c r="L23622">
        <v>241</v>
      </c>
      <c r="M23622">
        <v>1</v>
      </c>
      <c r="N23622">
        <v>1.4148099999999999E-12</v>
      </c>
      <c r="O23622">
        <v>172</v>
      </c>
    </row>
    <row r="23623" spans="1:15" x14ac:dyDescent="0.25">
      <c r="A23623" t="s">
        <v>23636</v>
      </c>
      <c r="B23623">
        <v>902</v>
      </c>
      <c r="C23623" s="1" t="str">
        <f>HYPERLINK("http://www.rosaceae.org/gb/gbrowse/malus_x_domestica/?name=MDP0000562257","MDP0000562257")</f>
        <v>MDP0000562257</v>
      </c>
      <c r="D23623">
        <v>62.89</v>
      </c>
      <c r="E23623">
        <v>973</v>
      </c>
      <c r="F23623">
        <v>361</v>
      </c>
      <c r="G23623">
        <v>90</v>
      </c>
      <c r="H23623">
        <v>1</v>
      </c>
      <c r="I23623">
        <v>901</v>
      </c>
      <c r="J23623">
        <v>1</v>
      </c>
      <c r="K23623">
        <v>1</v>
      </c>
      <c r="L23623">
        <v>955</v>
      </c>
      <c r="M23623">
        <v>1</v>
      </c>
      <c r="N23623">
        <v>0</v>
      </c>
      <c r="O23623">
        <v>2831</v>
      </c>
    </row>
    <row r="23624" spans="1:15" x14ac:dyDescent="0.25">
      <c r="A23624" t="s">
        <v>23637</v>
      </c>
      <c r="B23624">
        <v>289</v>
      </c>
      <c r="C23624" s="1" t="str">
        <f>HYPERLINK("http://www.rosaceae.org/gb/gbrowse/malus_x_domestica/?name=MDP0000216270","MDP0000216270")</f>
        <v>MDP0000216270</v>
      </c>
      <c r="D23624">
        <v>72.83</v>
      </c>
      <c r="E23624">
        <v>254</v>
      </c>
      <c r="F23624">
        <v>69</v>
      </c>
      <c r="G23624">
        <v>38</v>
      </c>
      <c r="H23624">
        <v>70</v>
      </c>
      <c r="I23624">
        <v>285</v>
      </c>
      <c r="J23624">
        <v>1</v>
      </c>
      <c r="K23624">
        <v>4</v>
      </c>
      <c r="L23624">
        <v>257</v>
      </c>
      <c r="M23624">
        <v>1</v>
      </c>
      <c r="N23624">
        <v>3.3006099999999999E-105</v>
      </c>
      <c r="O23624">
        <v>971</v>
      </c>
    </row>
    <row r="23625" spans="1:15" x14ac:dyDescent="0.25">
      <c r="A23625" t="s">
        <v>23638</v>
      </c>
      <c r="B23625">
        <v>2047</v>
      </c>
      <c r="C23625" s="1" t="str">
        <f>HYPERLINK("http://www.rosaceae.org/gb/gbrowse/malus_x_domestica/?name=MDP0000176073","MDP0000176073")</f>
        <v>MDP0000176073</v>
      </c>
      <c r="D23625">
        <v>75.95</v>
      </c>
      <c r="E23625">
        <v>2050</v>
      </c>
      <c r="F23625">
        <v>493</v>
      </c>
      <c r="G23625">
        <v>97</v>
      </c>
      <c r="H23625">
        <v>16</v>
      </c>
      <c r="I23625">
        <v>2045</v>
      </c>
      <c r="J23625">
        <v>1</v>
      </c>
      <c r="K23625">
        <v>15</v>
      </c>
      <c r="L23625">
        <v>1987</v>
      </c>
      <c r="M23625">
        <v>1</v>
      </c>
      <c r="N23625">
        <v>0</v>
      </c>
      <c r="O23625">
        <v>8027</v>
      </c>
    </row>
    <row r="23626" spans="1:15" x14ac:dyDescent="0.25">
      <c r="A23626" t="s">
        <v>23639</v>
      </c>
      <c r="B23626">
        <v>358</v>
      </c>
      <c r="C23626" s="1" t="str">
        <f>HYPERLINK("http://www.rosaceae.org/gb/gbrowse/malus_x_domestica/?name=MDP0000312415","MDP0000312415")</f>
        <v>MDP0000312415</v>
      </c>
      <c r="D23626">
        <v>43.08</v>
      </c>
      <c r="E23626">
        <v>383</v>
      </c>
      <c r="F23626">
        <v>218</v>
      </c>
      <c r="G23626">
        <v>38</v>
      </c>
      <c r="H23626">
        <v>1</v>
      </c>
      <c r="I23626">
        <v>353</v>
      </c>
      <c r="J23626">
        <v>1</v>
      </c>
      <c r="K23626">
        <v>1</v>
      </c>
      <c r="L23626">
        <v>375</v>
      </c>
      <c r="M23626">
        <v>1</v>
      </c>
      <c r="N23626">
        <v>1.1642E-70</v>
      </c>
      <c r="O23626">
        <v>674</v>
      </c>
    </row>
    <row r="23627" spans="1:15" x14ac:dyDescent="0.25">
      <c r="A23627" t="s">
        <v>23640</v>
      </c>
      <c r="B23627">
        <v>286</v>
      </c>
      <c r="C23627" s="1" t="str">
        <f>HYPERLINK("http://www.rosaceae.org/gb/gbrowse/malus_x_domestica/?name=MDP0000184950","MDP0000184950")</f>
        <v>MDP0000184950</v>
      </c>
      <c r="D23627">
        <v>58.57</v>
      </c>
      <c r="E23627">
        <v>280</v>
      </c>
      <c r="F23627">
        <v>116</v>
      </c>
      <c r="G23627">
        <v>17</v>
      </c>
      <c r="H23627">
        <v>1</v>
      </c>
      <c r="I23627">
        <v>269</v>
      </c>
      <c r="J23627">
        <v>1</v>
      </c>
      <c r="K23627">
        <v>88</v>
      </c>
      <c r="L23627">
        <v>361</v>
      </c>
      <c r="M23627">
        <v>1</v>
      </c>
      <c r="N23627">
        <v>5.1643000000000003E-88</v>
      </c>
      <c r="O23627">
        <v>823</v>
      </c>
    </row>
    <row r="23628" spans="1:15" x14ac:dyDescent="0.25">
      <c r="A23628" t="s">
        <v>23641</v>
      </c>
      <c r="B23628">
        <v>472</v>
      </c>
      <c r="C23628" s="1" t="str">
        <f>HYPERLINK("http://www.rosaceae.org/gb/gbrowse/malus_x_domestica/?name=MDP0000044099","MDP0000044099")</f>
        <v>MDP0000044099</v>
      </c>
      <c r="D23628">
        <v>90.25</v>
      </c>
      <c r="E23628">
        <v>472</v>
      </c>
      <c r="F23628">
        <v>46</v>
      </c>
      <c r="G23628">
        <v>0</v>
      </c>
      <c r="H23628">
        <v>1</v>
      </c>
      <c r="I23628">
        <v>472</v>
      </c>
      <c r="J23628">
        <v>1</v>
      </c>
      <c r="K23628">
        <v>1</v>
      </c>
      <c r="L23628">
        <v>472</v>
      </c>
      <c r="M23628">
        <v>1</v>
      </c>
      <c r="N23628">
        <v>0</v>
      </c>
      <c r="O23628">
        <v>2324</v>
      </c>
    </row>
    <row r="23629" spans="1:15" x14ac:dyDescent="0.25">
      <c r="A23629" t="s">
        <v>23642</v>
      </c>
      <c r="B23629">
        <v>182</v>
      </c>
      <c r="C23629" s="1" t="str">
        <f>HYPERLINK("http://www.rosaceae.org/gb/gbrowse/malus_x_domestica/?name=MDP0000820500","MDP0000820500")</f>
        <v>MDP0000820500</v>
      </c>
      <c r="D23629">
        <v>100</v>
      </c>
      <c r="E23629">
        <v>77</v>
      </c>
      <c r="F23629">
        <v>0</v>
      </c>
      <c r="G23629">
        <v>0</v>
      </c>
      <c r="H23629">
        <v>1</v>
      </c>
      <c r="I23629">
        <v>77</v>
      </c>
      <c r="J23629">
        <v>1</v>
      </c>
      <c r="K23629">
        <v>381</v>
      </c>
      <c r="L23629">
        <v>457</v>
      </c>
      <c r="M23629">
        <v>1</v>
      </c>
      <c r="N23629">
        <v>1.28557E-39</v>
      </c>
      <c r="O23629">
        <v>403</v>
      </c>
    </row>
    <row r="23630" spans="1:15" x14ac:dyDescent="0.25">
      <c r="A23630" t="s">
        <v>23643</v>
      </c>
      <c r="B23630">
        <v>141</v>
      </c>
      <c r="C23630" s="1" t="str">
        <f>HYPERLINK("http://www.rosaceae.org/gb/gbrowse/malus_x_domestica/?name=MDP0000238367","MDP0000238367")</f>
        <v>MDP0000238367</v>
      </c>
      <c r="D23630">
        <v>64.17</v>
      </c>
      <c r="E23630">
        <v>67</v>
      </c>
      <c r="F23630">
        <v>24</v>
      </c>
      <c r="G23630">
        <v>0</v>
      </c>
      <c r="H23630">
        <v>63</v>
      </c>
      <c r="I23630">
        <v>129</v>
      </c>
      <c r="J23630">
        <v>1</v>
      </c>
      <c r="K23630">
        <v>112</v>
      </c>
      <c r="L23630">
        <v>178</v>
      </c>
      <c r="M23630">
        <v>1</v>
      </c>
      <c r="N23630">
        <v>2.8158300000000001E-18</v>
      </c>
      <c r="O23630">
        <v>216</v>
      </c>
    </row>
    <row r="23631" spans="1:15" x14ac:dyDescent="0.25">
      <c r="A23631" t="s">
        <v>23644</v>
      </c>
      <c r="B23631">
        <v>945</v>
      </c>
      <c r="C23631" s="1" t="str">
        <f>HYPERLINK("http://www.rosaceae.org/gb/gbrowse/malus_x_domestica/?name=MDP0000250426","MDP0000250426")</f>
        <v>MDP0000250426</v>
      </c>
      <c r="D23631">
        <v>67.989999999999995</v>
      </c>
      <c r="E23631">
        <v>778</v>
      </c>
      <c r="F23631">
        <v>249</v>
      </c>
      <c r="G23631">
        <v>27</v>
      </c>
      <c r="H23631">
        <v>108</v>
      </c>
      <c r="I23631">
        <v>859</v>
      </c>
      <c r="J23631">
        <v>1</v>
      </c>
      <c r="K23631">
        <v>8</v>
      </c>
      <c r="L23631">
        <v>784</v>
      </c>
      <c r="M23631">
        <v>1</v>
      </c>
      <c r="N23631">
        <v>0</v>
      </c>
      <c r="O23631">
        <v>2754</v>
      </c>
    </row>
    <row r="23632" spans="1:15" x14ac:dyDescent="0.25">
      <c r="A23632" t="s">
        <v>23645</v>
      </c>
      <c r="B23632">
        <v>849</v>
      </c>
      <c r="C23632" s="1" t="str">
        <f>HYPERLINK("http://www.rosaceae.org/gb/gbrowse/malus_x_domestica/?name=MDP0000202051","MDP0000202051")</f>
        <v>MDP0000202051</v>
      </c>
      <c r="D23632">
        <v>69.290000000000006</v>
      </c>
      <c r="E23632">
        <v>508</v>
      </c>
      <c r="F23632">
        <v>156</v>
      </c>
      <c r="G23632">
        <v>24</v>
      </c>
      <c r="H23632">
        <v>17</v>
      </c>
      <c r="I23632">
        <v>524</v>
      </c>
      <c r="J23632">
        <v>1</v>
      </c>
      <c r="K23632">
        <v>20</v>
      </c>
      <c r="L23632">
        <v>503</v>
      </c>
      <c r="M23632">
        <v>1</v>
      </c>
      <c r="N23632">
        <v>0</v>
      </c>
      <c r="O23632">
        <v>1796</v>
      </c>
    </row>
    <row r="23633" spans="1:15" x14ac:dyDescent="0.25">
      <c r="A23633" t="s">
        <v>23646</v>
      </c>
      <c r="B23633">
        <v>524</v>
      </c>
      <c r="C23633" s="1" t="str">
        <f>HYPERLINK("http://www.rosaceae.org/gb/gbrowse/malus_x_domestica/?name=MDP0000144927","MDP0000144927")</f>
        <v>MDP0000144927</v>
      </c>
      <c r="D23633">
        <v>66.66</v>
      </c>
      <c r="E23633">
        <v>531</v>
      </c>
      <c r="F23633">
        <v>177</v>
      </c>
      <c r="G23633">
        <v>34</v>
      </c>
      <c r="H23633">
        <v>1</v>
      </c>
      <c r="I23633">
        <v>523</v>
      </c>
      <c r="J23633">
        <v>1</v>
      </c>
      <c r="K23633">
        <v>1</v>
      </c>
      <c r="L23633">
        <v>505</v>
      </c>
      <c r="M23633">
        <v>1</v>
      </c>
      <c r="N23633">
        <v>0</v>
      </c>
      <c r="O23633">
        <v>1772</v>
      </c>
    </row>
    <row r="23634" spans="1:15" x14ac:dyDescent="0.25">
      <c r="A23634" t="s">
        <v>23647</v>
      </c>
      <c r="B23634">
        <v>1125</v>
      </c>
      <c r="C23634" s="1" t="str">
        <f>HYPERLINK("http://www.rosaceae.org/gb/gbrowse/malus_x_domestica/?name=MDP0000285776","MDP0000285776")</f>
        <v>MDP0000285776</v>
      </c>
      <c r="D23634">
        <v>41.85</v>
      </c>
      <c r="E23634">
        <v>1080</v>
      </c>
      <c r="F23634">
        <v>628</v>
      </c>
      <c r="G23634">
        <v>159</v>
      </c>
      <c r="H23634">
        <v>170</v>
      </c>
      <c r="I23634">
        <v>1124</v>
      </c>
      <c r="J23634">
        <v>1</v>
      </c>
      <c r="K23634">
        <v>525</v>
      </c>
      <c r="L23634">
        <v>1570</v>
      </c>
      <c r="M23634">
        <v>1</v>
      </c>
      <c r="N23634">
        <v>0</v>
      </c>
      <c r="O23634">
        <v>1829</v>
      </c>
    </row>
    <row r="23635" spans="1:15" x14ac:dyDescent="0.25">
      <c r="A23635" t="s">
        <v>23648</v>
      </c>
      <c r="B23635">
        <v>207</v>
      </c>
      <c r="C23635" s="1" t="str">
        <f>HYPERLINK("http://www.rosaceae.org/gb/gbrowse/malus_x_domestica/?name=MDP0000885773","MDP0000885773")</f>
        <v>MDP0000885773</v>
      </c>
      <c r="D23635">
        <v>46.66</v>
      </c>
      <c r="E23635">
        <v>75</v>
      </c>
      <c r="F23635">
        <v>40</v>
      </c>
      <c r="G23635">
        <v>6</v>
      </c>
      <c r="H23635">
        <v>139</v>
      </c>
      <c r="I23635">
        <v>207</v>
      </c>
      <c r="J23635">
        <v>1</v>
      </c>
      <c r="K23635">
        <v>221</v>
      </c>
      <c r="L23635">
        <v>295</v>
      </c>
      <c r="M23635">
        <v>1</v>
      </c>
      <c r="N23635">
        <v>2.0674000000000001E-7</v>
      </c>
      <c r="O23635">
        <v>126</v>
      </c>
    </row>
    <row r="23636" spans="1:15" x14ac:dyDescent="0.25">
      <c r="A23636" t="s">
        <v>23649</v>
      </c>
      <c r="B23636">
        <v>313</v>
      </c>
      <c r="C23636" s="1" t="str">
        <f>HYPERLINK("http://www.rosaceae.org/gb/gbrowse/malus_x_domestica/?name=MDP0000148135","MDP0000148135")</f>
        <v>MDP0000148135</v>
      </c>
      <c r="D23636">
        <v>68.36</v>
      </c>
      <c r="E23636">
        <v>294</v>
      </c>
      <c r="F23636">
        <v>93</v>
      </c>
      <c r="G23636">
        <v>39</v>
      </c>
      <c r="H23636">
        <v>22</v>
      </c>
      <c r="I23636">
        <v>312</v>
      </c>
      <c r="J23636">
        <v>1</v>
      </c>
      <c r="K23636">
        <v>22</v>
      </c>
      <c r="L23636">
        <v>279</v>
      </c>
      <c r="M23636">
        <v>1</v>
      </c>
      <c r="N23636">
        <v>2.4123000000000002E-106</v>
      </c>
      <c r="O23636">
        <v>981</v>
      </c>
    </row>
    <row r="23637" spans="1:15" x14ac:dyDescent="0.25">
      <c r="A23637" t="s">
        <v>23650</v>
      </c>
      <c r="B23637">
        <v>141</v>
      </c>
      <c r="C23637" s="1" t="str">
        <f>HYPERLINK("http://www.rosaceae.org/gb/gbrowse/malus_x_domestica/?name=MDP0000293285","MDP0000293285")</f>
        <v>MDP0000293285</v>
      </c>
      <c r="D23637">
        <v>50</v>
      </c>
      <c r="E23637">
        <v>118</v>
      </c>
      <c r="F23637">
        <v>59</v>
      </c>
      <c r="G23637">
        <v>4</v>
      </c>
      <c r="H23637">
        <v>22</v>
      </c>
      <c r="I23637">
        <v>138</v>
      </c>
      <c r="J23637">
        <v>1</v>
      </c>
      <c r="K23637">
        <v>401</v>
      </c>
      <c r="L23637">
        <v>515</v>
      </c>
      <c r="M23637">
        <v>1</v>
      </c>
      <c r="N23637">
        <v>6.1019899999999998E-27</v>
      </c>
      <c r="O23637">
        <v>291</v>
      </c>
    </row>
    <row r="23638" spans="1:15" x14ac:dyDescent="0.25">
      <c r="A23638" t="s">
        <v>23651</v>
      </c>
      <c r="B23638">
        <v>313</v>
      </c>
      <c r="C23638" s="1" t="str">
        <f>HYPERLINK("http://www.rosaceae.org/gb/gbrowse/malus_x_domestica/?name=MDP0000137620","MDP0000137620")</f>
        <v>MDP0000137620</v>
      </c>
      <c r="D23638">
        <v>71.42</v>
      </c>
      <c r="E23638">
        <v>161</v>
      </c>
      <c r="F23638">
        <v>46</v>
      </c>
      <c r="G23638">
        <v>7</v>
      </c>
      <c r="H23638">
        <v>29</v>
      </c>
      <c r="I23638">
        <v>182</v>
      </c>
      <c r="J23638">
        <v>1</v>
      </c>
      <c r="K23638">
        <v>35</v>
      </c>
      <c r="L23638">
        <v>195</v>
      </c>
      <c r="M23638">
        <v>1</v>
      </c>
      <c r="N23638">
        <v>1.7504600000000001E-61</v>
      </c>
      <c r="O23638">
        <v>594</v>
      </c>
    </row>
    <row r="23639" spans="1:15" x14ac:dyDescent="0.25">
      <c r="A23639" t="s">
        <v>23652</v>
      </c>
      <c r="B23639">
        <v>493</v>
      </c>
      <c r="C23639" s="1" t="str">
        <f>HYPERLINK("http://www.rosaceae.org/gb/gbrowse/malus_x_domestica/?name=MDP0000123248","MDP0000123248")</f>
        <v>MDP0000123248</v>
      </c>
      <c r="D23639">
        <v>76.819999999999993</v>
      </c>
      <c r="E23639">
        <v>466</v>
      </c>
      <c r="F23639">
        <v>108</v>
      </c>
      <c r="G23639">
        <v>8</v>
      </c>
      <c r="H23639">
        <v>6</v>
      </c>
      <c r="I23639">
        <v>471</v>
      </c>
      <c r="J23639">
        <v>1</v>
      </c>
      <c r="K23639">
        <v>11</v>
      </c>
      <c r="L23639">
        <v>468</v>
      </c>
      <c r="M23639">
        <v>1</v>
      </c>
      <c r="N23639">
        <v>0</v>
      </c>
      <c r="O23639">
        <v>1982</v>
      </c>
    </row>
    <row r="23640" spans="1:15" x14ac:dyDescent="0.25">
      <c r="A23640" t="s">
        <v>23653</v>
      </c>
      <c r="B23640">
        <v>373</v>
      </c>
      <c r="C23640" s="1" t="str">
        <f>HYPERLINK("http://www.rosaceae.org/gb/gbrowse/malus_x_domestica/?name=MDP0000289861","MDP0000289861")</f>
        <v>MDP0000289861</v>
      </c>
      <c r="D23640">
        <v>80.8</v>
      </c>
      <c r="E23640">
        <v>375</v>
      </c>
      <c r="F23640">
        <v>72</v>
      </c>
      <c r="G23640">
        <v>5</v>
      </c>
      <c r="H23640">
        <v>1</v>
      </c>
      <c r="I23640">
        <v>372</v>
      </c>
      <c r="J23640">
        <v>1</v>
      </c>
      <c r="K23640">
        <v>618</v>
      </c>
      <c r="L23640">
        <v>990</v>
      </c>
      <c r="M23640">
        <v>1</v>
      </c>
      <c r="N23640">
        <v>9.6323899999999998E-175</v>
      </c>
      <c r="O23640">
        <v>1572</v>
      </c>
    </row>
    <row r="23641" spans="1:15" x14ac:dyDescent="0.25">
      <c r="A23641" t="s">
        <v>23654</v>
      </c>
      <c r="B23641">
        <v>632</v>
      </c>
      <c r="C23641" s="1" t="str">
        <f>HYPERLINK("http://www.rosaceae.org/gb/gbrowse/malus_x_domestica/?name=MDP0000276884","MDP0000276884")</f>
        <v>MDP0000276884</v>
      </c>
      <c r="D23641">
        <v>62.71</v>
      </c>
      <c r="E23641">
        <v>472</v>
      </c>
      <c r="F23641">
        <v>176</v>
      </c>
      <c r="G23641">
        <v>41</v>
      </c>
      <c r="H23641">
        <v>172</v>
      </c>
      <c r="I23641">
        <v>631</v>
      </c>
      <c r="J23641">
        <v>1</v>
      </c>
      <c r="K23641">
        <v>38</v>
      </c>
      <c r="L23641">
        <v>480</v>
      </c>
      <c r="M23641">
        <v>1</v>
      </c>
      <c r="N23641">
        <v>1.02611E-147</v>
      </c>
      <c r="O23641">
        <v>1341</v>
      </c>
    </row>
    <row r="23642" spans="1:15" x14ac:dyDescent="0.25">
      <c r="A23642" t="s">
        <v>23655</v>
      </c>
      <c r="B23642">
        <v>405</v>
      </c>
      <c r="C23642" s="1" t="str">
        <f>HYPERLINK("http://www.rosaceae.org/gb/gbrowse/malus_x_domestica/?name=MDP0000276291","MDP0000276291")</f>
        <v>MDP0000276291</v>
      </c>
      <c r="D23642">
        <v>35.200000000000003</v>
      </c>
      <c r="E23642">
        <v>267</v>
      </c>
      <c r="F23642">
        <v>173</v>
      </c>
      <c r="G23642">
        <v>48</v>
      </c>
      <c r="H23642">
        <v>13</v>
      </c>
      <c r="I23642">
        <v>248</v>
      </c>
      <c r="J23642">
        <v>1</v>
      </c>
      <c r="K23642">
        <v>10</v>
      </c>
      <c r="L23642">
        <v>259</v>
      </c>
      <c r="M23642">
        <v>1</v>
      </c>
      <c r="N23642">
        <v>2.59501E-27</v>
      </c>
      <c r="O23642">
        <v>301</v>
      </c>
    </row>
    <row r="23643" spans="1:15" x14ac:dyDescent="0.25">
      <c r="A23643" t="s">
        <v>23656</v>
      </c>
      <c r="B23643">
        <v>238</v>
      </c>
      <c r="C23643" s="1" t="str">
        <f>HYPERLINK("http://www.rosaceae.org/gb/gbrowse/malus_x_domestica/?name=MDP0000259279","MDP0000259279")</f>
        <v>MDP0000259279</v>
      </c>
      <c r="D23643">
        <v>57.25</v>
      </c>
      <c r="E23643">
        <v>255</v>
      </c>
      <c r="F23643">
        <v>109</v>
      </c>
      <c r="G23643">
        <v>25</v>
      </c>
      <c r="H23643">
        <v>6</v>
      </c>
      <c r="I23643">
        <v>238</v>
      </c>
      <c r="J23643">
        <v>1</v>
      </c>
      <c r="K23643">
        <v>19</v>
      </c>
      <c r="L23643">
        <v>270</v>
      </c>
      <c r="M23643">
        <v>1</v>
      </c>
      <c r="N23643">
        <v>3.0828899999999999E-66</v>
      </c>
      <c r="O23643">
        <v>634</v>
      </c>
    </row>
    <row r="23644" spans="1:15" x14ac:dyDescent="0.25">
      <c r="A23644" t="s">
        <v>23657</v>
      </c>
      <c r="B23644">
        <v>1237</v>
      </c>
      <c r="C23644" s="1" t="str">
        <f>HYPERLINK("http://www.rosaceae.org/gb/gbrowse/malus_x_domestica/?name=MDP0000212713","MDP0000212713")</f>
        <v>MDP0000212713</v>
      </c>
      <c r="D23644">
        <v>54.08</v>
      </c>
      <c r="E23644">
        <v>1017</v>
      </c>
      <c r="F23644">
        <v>467</v>
      </c>
      <c r="G23644">
        <v>54</v>
      </c>
      <c r="H23644">
        <v>20</v>
      </c>
      <c r="I23644">
        <v>1031</v>
      </c>
      <c r="J23644">
        <v>1</v>
      </c>
      <c r="K23644">
        <v>25</v>
      </c>
      <c r="L23644">
        <v>992</v>
      </c>
      <c r="M23644">
        <v>1</v>
      </c>
      <c r="N23644">
        <v>0</v>
      </c>
      <c r="O23644">
        <v>2560</v>
      </c>
    </row>
    <row r="23645" spans="1:15" x14ac:dyDescent="0.25">
      <c r="A23645" t="s">
        <v>23658</v>
      </c>
      <c r="B23645">
        <v>283</v>
      </c>
      <c r="C23645" s="1" t="str">
        <f>HYPERLINK("http://www.rosaceae.org/gb/gbrowse/malus_x_domestica/?name=MDP0000269302","MDP0000269302")</f>
        <v>MDP0000269302</v>
      </c>
      <c r="D23645">
        <v>71.709999999999994</v>
      </c>
      <c r="E23645">
        <v>251</v>
      </c>
      <c r="F23645">
        <v>71</v>
      </c>
      <c r="G23645">
        <v>2</v>
      </c>
      <c r="H23645">
        <v>33</v>
      </c>
      <c r="I23645">
        <v>281</v>
      </c>
      <c r="J23645">
        <v>1</v>
      </c>
      <c r="K23645">
        <v>75</v>
      </c>
      <c r="L23645">
        <v>325</v>
      </c>
      <c r="M23645">
        <v>1</v>
      </c>
      <c r="N23645">
        <v>5.1892800000000002E-101</v>
      </c>
      <c r="O23645">
        <v>935</v>
      </c>
    </row>
    <row r="23646" spans="1:15" x14ac:dyDescent="0.25">
      <c r="A23646" t="s">
        <v>23659</v>
      </c>
      <c r="B23646">
        <v>452</v>
      </c>
      <c r="C23646" s="1" t="str">
        <f>HYPERLINK("http://www.rosaceae.org/gb/gbrowse/malus_x_domestica/?name=MDP0000034798","MDP0000034798")</f>
        <v>MDP0000034798</v>
      </c>
      <c r="D23646">
        <v>73.87</v>
      </c>
      <c r="E23646">
        <v>310</v>
      </c>
      <c r="F23646">
        <v>81</v>
      </c>
      <c r="G23646">
        <v>4</v>
      </c>
      <c r="H23646">
        <v>145</v>
      </c>
      <c r="I23646">
        <v>452</v>
      </c>
      <c r="J23646">
        <v>1</v>
      </c>
      <c r="K23646">
        <v>32</v>
      </c>
      <c r="L23646">
        <v>339</v>
      </c>
      <c r="M23646">
        <v>1</v>
      </c>
      <c r="N23646">
        <v>5.5171400000000003E-122</v>
      </c>
      <c r="O23646">
        <v>1118</v>
      </c>
    </row>
    <row r="23647" spans="1:15" x14ac:dyDescent="0.25">
      <c r="A23647" t="s">
        <v>23660</v>
      </c>
      <c r="B23647">
        <v>377</v>
      </c>
      <c r="C23647" s="1" t="str">
        <f>HYPERLINK("http://www.rosaceae.org/gb/gbrowse/malus_x_domestica/?name=MDP0000302440","MDP0000302440")</f>
        <v>MDP0000302440</v>
      </c>
      <c r="D23647">
        <v>96.55</v>
      </c>
      <c r="E23647">
        <v>377</v>
      </c>
      <c r="F23647">
        <v>13</v>
      </c>
      <c r="G23647">
        <v>0</v>
      </c>
      <c r="H23647">
        <v>1</v>
      </c>
      <c r="I23647">
        <v>377</v>
      </c>
      <c r="J23647">
        <v>1</v>
      </c>
      <c r="K23647">
        <v>1</v>
      </c>
      <c r="L23647">
        <v>377</v>
      </c>
      <c r="M23647">
        <v>1</v>
      </c>
      <c r="N23647">
        <v>0</v>
      </c>
      <c r="O23647">
        <v>1955</v>
      </c>
    </row>
    <row r="23648" spans="1:15" x14ac:dyDescent="0.25">
      <c r="A23648" t="s">
        <v>23661</v>
      </c>
      <c r="B23648">
        <v>386</v>
      </c>
      <c r="C23648" s="1" t="str">
        <f>HYPERLINK("http://www.rosaceae.org/gb/gbrowse/malus_x_domestica/?name=MDP0000181053","MDP0000181053")</f>
        <v>MDP0000181053</v>
      </c>
      <c r="D23648">
        <v>93.5</v>
      </c>
      <c r="E23648">
        <v>385</v>
      </c>
      <c r="F23648">
        <v>25</v>
      </c>
      <c r="G23648">
        <v>0</v>
      </c>
      <c r="H23648">
        <v>2</v>
      </c>
      <c r="I23648">
        <v>386</v>
      </c>
      <c r="J23648">
        <v>1</v>
      </c>
      <c r="K23648">
        <v>25</v>
      </c>
      <c r="L23648">
        <v>409</v>
      </c>
      <c r="M23648">
        <v>1</v>
      </c>
      <c r="N23648">
        <v>0</v>
      </c>
      <c r="O23648">
        <v>1919</v>
      </c>
    </row>
    <row r="23649" spans="1:15" x14ac:dyDescent="0.25">
      <c r="A23649" t="s">
        <v>23662</v>
      </c>
      <c r="B23649">
        <v>327</v>
      </c>
      <c r="C23649" s="1" t="str">
        <f>HYPERLINK("http://www.rosaceae.org/gb/gbrowse/malus_x_domestica/?name=MDP0000222362","MDP0000222362")</f>
        <v>MDP0000222362</v>
      </c>
      <c r="D23649">
        <v>83.33</v>
      </c>
      <c r="E23649">
        <v>324</v>
      </c>
      <c r="F23649">
        <v>54</v>
      </c>
      <c r="G23649">
        <v>1</v>
      </c>
      <c r="H23649">
        <v>1</v>
      </c>
      <c r="I23649">
        <v>324</v>
      </c>
      <c r="J23649">
        <v>1</v>
      </c>
      <c r="K23649">
        <v>1</v>
      </c>
      <c r="L23649">
        <v>323</v>
      </c>
      <c r="M23649">
        <v>1</v>
      </c>
      <c r="N23649">
        <v>1.2766900000000001E-164</v>
      </c>
      <c r="O23649">
        <v>1484</v>
      </c>
    </row>
    <row r="23650" spans="1:15" x14ac:dyDescent="0.25">
      <c r="A23650" t="s">
        <v>23663</v>
      </c>
      <c r="B23650">
        <v>407</v>
      </c>
      <c r="C23650" s="1" t="str">
        <f>HYPERLINK("http://www.rosaceae.org/gb/gbrowse/malus_x_domestica/?name=MDP0000269871","MDP0000269871")</f>
        <v>MDP0000269871</v>
      </c>
      <c r="D23650">
        <v>70.13</v>
      </c>
      <c r="E23650">
        <v>298</v>
      </c>
      <c r="F23650">
        <v>89</v>
      </c>
      <c r="G23650">
        <v>6</v>
      </c>
      <c r="H23650">
        <v>94</v>
      </c>
      <c r="I23650">
        <v>388</v>
      </c>
      <c r="J23650">
        <v>1</v>
      </c>
      <c r="K23650">
        <v>30</v>
      </c>
      <c r="L23650">
        <v>324</v>
      </c>
      <c r="M23650">
        <v>1</v>
      </c>
      <c r="N23650">
        <v>2.8098499999999999E-121</v>
      </c>
      <c r="O23650">
        <v>1111</v>
      </c>
    </row>
    <row r="23651" spans="1:15" x14ac:dyDescent="0.25">
      <c r="A23651" t="s">
        <v>23664</v>
      </c>
      <c r="B23651">
        <v>156</v>
      </c>
      <c r="C23651" s="1" t="str">
        <f>HYPERLINK("http://www.rosaceae.org/gb/gbrowse/malus_x_domestica/?name=MDP0000662880","MDP0000662880")</f>
        <v>MDP0000662880</v>
      </c>
      <c r="D23651">
        <v>50.84</v>
      </c>
      <c r="E23651">
        <v>59</v>
      </c>
      <c r="F23651">
        <v>29</v>
      </c>
      <c r="G23651">
        <v>0</v>
      </c>
      <c r="H23651">
        <v>95</v>
      </c>
      <c r="I23651">
        <v>153</v>
      </c>
      <c r="J23651">
        <v>1</v>
      </c>
      <c r="K23651">
        <v>103</v>
      </c>
      <c r="L23651">
        <v>161</v>
      </c>
      <c r="M23651">
        <v>1</v>
      </c>
      <c r="N23651">
        <v>2.99046E-8</v>
      </c>
      <c r="O23651">
        <v>131</v>
      </c>
    </row>
    <row r="23652" spans="1:15" x14ac:dyDescent="0.25">
      <c r="A23652" t="s">
        <v>23665</v>
      </c>
      <c r="B23652">
        <v>508</v>
      </c>
      <c r="C23652" s="1" t="str">
        <f>HYPERLINK("http://www.rosaceae.org/gb/gbrowse/malus_x_domestica/?name=MDP0000283321","MDP0000283321")</f>
        <v>MDP0000283321</v>
      </c>
      <c r="D23652">
        <v>77.09</v>
      </c>
      <c r="E23652">
        <v>393</v>
      </c>
      <c r="F23652">
        <v>90</v>
      </c>
      <c r="G23652">
        <v>1</v>
      </c>
      <c r="H23652">
        <v>1</v>
      </c>
      <c r="I23652">
        <v>392</v>
      </c>
      <c r="J23652">
        <v>1</v>
      </c>
      <c r="K23652">
        <v>39</v>
      </c>
      <c r="L23652">
        <v>431</v>
      </c>
      <c r="M23652">
        <v>1</v>
      </c>
      <c r="N23652">
        <v>3.0348299999999998E-177</v>
      </c>
      <c r="O23652">
        <v>1595</v>
      </c>
    </row>
    <row r="23653" spans="1:15" x14ac:dyDescent="0.25">
      <c r="A23653" t="s">
        <v>23666</v>
      </c>
      <c r="B23653">
        <v>150</v>
      </c>
      <c r="C23653" s="1" t="str">
        <f>HYPERLINK("http://www.rosaceae.org/gb/gbrowse/malus_x_domestica/?name=MDP0000234308","MDP0000234308")</f>
        <v>MDP0000234308</v>
      </c>
      <c r="D23653">
        <v>48.57</v>
      </c>
      <c r="E23653">
        <v>140</v>
      </c>
      <c r="F23653">
        <v>72</v>
      </c>
      <c r="G23653">
        <v>5</v>
      </c>
      <c r="H23653">
        <v>8</v>
      </c>
      <c r="I23653">
        <v>142</v>
      </c>
      <c r="J23653">
        <v>1</v>
      </c>
      <c r="K23653">
        <v>4</v>
      </c>
      <c r="L23653">
        <v>143</v>
      </c>
      <c r="M23653">
        <v>1</v>
      </c>
      <c r="N23653">
        <v>6.2535900000000002E-30</v>
      </c>
      <c r="O23653">
        <v>317</v>
      </c>
    </row>
    <row r="23654" spans="1:15" x14ac:dyDescent="0.25">
      <c r="A23654" t="s">
        <v>23667</v>
      </c>
      <c r="B23654">
        <v>536</v>
      </c>
      <c r="C23654" s="1" t="str">
        <f>HYPERLINK("http://www.rosaceae.org/gb/gbrowse/malus_x_domestica/?name=MDP0000124256","MDP0000124256")</f>
        <v>MDP0000124256</v>
      </c>
      <c r="D23654">
        <v>41.05</v>
      </c>
      <c r="E23654">
        <v>151</v>
      </c>
      <c r="F23654">
        <v>89</v>
      </c>
      <c r="G23654">
        <v>2</v>
      </c>
      <c r="H23654">
        <v>365</v>
      </c>
      <c r="I23654">
        <v>515</v>
      </c>
      <c r="J23654">
        <v>1</v>
      </c>
      <c r="K23654">
        <v>47</v>
      </c>
      <c r="L23654">
        <v>195</v>
      </c>
      <c r="M23654">
        <v>1</v>
      </c>
      <c r="N23654">
        <v>7.6872699999999996E-25</v>
      </c>
      <c r="O23654">
        <v>281</v>
      </c>
    </row>
    <row r="23655" spans="1:15" x14ac:dyDescent="0.25">
      <c r="A23655" t="s">
        <v>23668</v>
      </c>
      <c r="B23655">
        <v>678</v>
      </c>
      <c r="C23655" s="1" t="str">
        <f>HYPERLINK("http://www.rosaceae.org/gb/gbrowse/malus_x_domestica/?name=MDP0000262678","MDP0000262678")</f>
        <v>MDP0000262678</v>
      </c>
      <c r="D23655">
        <v>68</v>
      </c>
      <c r="E23655">
        <v>700</v>
      </c>
      <c r="F23655">
        <v>224</v>
      </c>
      <c r="G23655">
        <v>46</v>
      </c>
      <c r="H23655">
        <v>3</v>
      </c>
      <c r="I23655">
        <v>678</v>
      </c>
      <c r="J23655">
        <v>1</v>
      </c>
      <c r="K23655">
        <v>4</v>
      </c>
      <c r="L23655">
        <v>681</v>
      </c>
      <c r="M23655">
        <v>1</v>
      </c>
      <c r="N23655">
        <v>0</v>
      </c>
      <c r="O23655">
        <v>2406</v>
      </c>
    </row>
    <row r="23656" spans="1:15" x14ac:dyDescent="0.25">
      <c r="A23656" t="s">
        <v>23669</v>
      </c>
      <c r="B23656">
        <v>3498</v>
      </c>
      <c r="C23656" s="1" t="str">
        <f>HYPERLINK("http://www.rosaceae.org/gb/gbrowse/malus_x_domestica/?name=MDP0000224255","MDP0000224255")</f>
        <v>MDP0000224255</v>
      </c>
      <c r="D23656">
        <v>73.569999999999993</v>
      </c>
      <c r="E23656">
        <v>1332</v>
      </c>
      <c r="F23656">
        <v>352</v>
      </c>
      <c r="G23656">
        <v>74</v>
      </c>
      <c r="H23656">
        <v>341</v>
      </c>
      <c r="I23656">
        <v>1634</v>
      </c>
      <c r="J23656">
        <v>1</v>
      </c>
      <c r="K23656">
        <v>17</v>
      </c>
      <c r="L23656">
        <v>1312</v>
      </c>
      <c r="M23656">
        <v>1</v>
      </c>
      <c r="N23656">
        <v>0</v>
      </c>
      <c r="O23656">
        <v>5033</v>
      </c>
    </row>
    <row r="23657" spans="1:15" x14ac:dyDescent="0.25">
      <c r="A23657" t="s">
        <v>23670</v>
      </c>
      <c r="B23657">
        <v>776</v>
      </c>
      <c r="C23657" s="1" t="str">
        <f>HYPERLINK("http://www.rosaceae.org/gb/gbrowse/malus_x_domestica/?name=MDP0000151238","MDP0000151238")</f>
        <v>MDP0000151238</v>
      </c>
      <c r="D23657">
        <v>60.62</v>
      </c>
      <c r="E23657">
        <v>772</v>
      </c>
      <c r="F23657">
        <v>304</v>
      </c>
      <c r="G23657">
        <v>72</v>
      </c>
      <c r="H23657">
        <v>1</v>
      </c>
      <c r="I23657">
        <v>736</v>
      </c>
      <c r="J23657">
        <v>1</v>
      </c>
      <c r="K23657">
        <v>1</v>
      </c>
      <c r="L23657">
        <v>736</v>
      </c>
      <c r="M23657">
        <v>1</v>
      </c>
      <c r="N23657">
        <v>0</v>
      </c>
      <c r="O23657">
        <v>2165</v>
      </c>
    </row>
    <row r="23658" spans="1:15" x14ac:dyDescent="0.25">
      <c r="A23658" t="s">
        <v>23671</v>
      </c>
      <c r="B23658">
        <v>573</v>
      </c>
      <c r="C23658" s="1" t="str">
        <f>HYPERLINK("http://www.rosaceae.org/gb/gbrowse/malus_x_domestica/?name=MDP0000142804","MDP0000142804")</f>
        <v>MDP0000142804</v>
      </c>
      <c r="D23658">
        <v>82.7</v>
      </c>
      <c r="E23658">
        <v>347</v>
      </c>
      <c r="F23658">
        <v>60</v>
      </c>
      <c r="G23658">
        <v>33</v>
      </c>
      <c r="H23658">
        <v>139</v>
      </c>
      <c r="I23658">
        <v>452</v>
      </c>
      <c r="J23658">
        <v>1</v>
      </c>
      <c r="K23658">
        <v>1</v>
      </c>
      <c r="L23658">
        <v>347</v>
      </c>
      <c r="M23658">
        <v>1</v>
      </c>
      <c r="N23658">
        <v>6.5272899999999999E-164</v>
      </c>
      <c r="O23658">
        <v>1481</v>
      </c>
    </row>
    <row r="23659" spans="1:15" x14ac:dyDescent="0.25">
      <c r="A23659" t="s">
        <v>23672</v>
      </c>
      <c r="B23659">
        <v>603</v>
      </c>
      <c r="C23659" s="1" t="str">
        <f>HYPERLINK("http://www.rosaceae.org/gb/gbrowse/malus_x_domestica/?name=MDP0000259830","MDP0000259830")</f>
        <v>MDP0000259830</v>
      </c>
      <c r="D23659">
        <v>70.52</v>
      </c>
      <c r="E23659">
        <v>492</v>
      </c>
      <c r="F23659">
        <v>145</v>
      </c>
      <c r="G23659">
        <v>46</v>
      </c>
      <c r="H23659">
        <v>130</v>
      </c>
      <c r="I23659">
        <v>575</v>
      </c>
      <c r="J23659">
        <v>1</v>
      </c>
      <c r="K23659">
        <v>964</v>
      </c>
      <c r="L23659">
        <v>1455</v>
      </c>
      <c r="M23659">
        <v>1</v>
      </c>
      <c r="N23659">
        <v>0</v>
      </c>
      <c r="O23659">
        <v>1762</v>
      </c>
    </row>
    <row r="23660" spans="1:15" x14ac:dyDescent="0.25">
      <c r="A23660" t="s">
        <v>23673</v>
      </c>
      <c r="B23660">
        <v>147</v>
      </c>
      <c r="C23660" s="1" t="str">
        <f>HYPERLINK("http://www.rosaceae.org/gb/gbrowse/malus_x_domestica/?name=MDP0000249104","MDP0000249104")</f>
        <v>MDP0000249104</v>
      </c>
      <c r="D23660">
        <v>39.090000000000003</v>
      </c>
      <c r="E23660">
        <v>133</v>
      </c>
      <c r="F23660">
        <v>81</v>
      </c>
      <c r="G23660">
        <v>4</v>
      </c>
      <c r="H23660">
        <v>2</v>
      </c>
      <c r="I23660">
        <v>133</v>
      </c>
      <c r="J23660">
        <v>1</v>
      </c>
      <c r="K23660">
        <v>31</v>
      </c>
      <c r="L23660">
        <v>160</v>
      </c>
      <c r="M23660">
        <v>1</v>
      </c>
      <c r="N23660">
        <v>2.5777299999999998E-19</v>
      </c>
      <c r="O23660">
        <v>226</v>
      </c>
    </row>
    <row r="23661" spans="1:15" x14ac:dyDescent="0.25">
      <c r="A23661" t="s">
        <v>23674</v>
      </c>
      <c r="B23661">
        <v>522</v>
      </c>
      <c r="C23661" s="1" t="str">
        <f>HYPERLINK("http://www.rosaceae.org/gb/gbrowse/malus_x_domestica/?name=MDP0000409273","MDP0000409273")</f>
        <v>MDP0000409273</v>
      </c>
      <c r="D23661">
        <v>82.02</v>
      </c>
      <c r="E23661">
        <v>523</v>
      </c>
      <c r="F23661">
        <v>94</v>
      </c>
      <c r="G23661">
        <v>10</v>
      </c>
      <c r="H23661">
        <v>1</v>
      </c>
      <c r="I23661">
        <v>522</v>
      </c>
      <c r="J23661">
        <v>1</v>
      </c>
      <c r="K23661">
        <v>692</v>
      </c>
      <c r="L23661">
        <v>1205</v>
      </c>
      <c r="M23661">
        <v>1</v>
      </c>
      <c r="N23661">
        <v>0</v>
      </c>
      <c r="O23661">
        <v>2245</v>
      </c>
    </row>
    <row r="23662" spans="1:15" x14ac:dyDescent="0.25">
      <c r="A23662" t="s">
        <v>23675</v>
      </c>
      <c r="B23662">
        <v>566</v>
      </c>
      <c r="C23662" s="1" t="str">
        <f>HYPERLINK("http://www.rosaceae.org/gb/gbrowse/malus_x_domestica/?name=MDP0000207413","MDP0000207413")</f>
        <v>MDP0000207413</v>
      </c>
      <c r="D23662">
        <v>70.540000000000006</v>
      </c>
      <c r="E23662">
        <v>275</v>
      </c>
      <c r="F23662">
        <v>81</v>
      </c>
      <c r="G23662">
        <v>9</v>
      </c>
      <c r="H23662">
        <v>31</v>
      </c>
      <c r="I23662">
        <v>300</v>
      </c>
      <c r="J23662">
        <v>1</v>
      </c>
      <c r="K23662">
        <v>31</v>
      </c>
      <c r="L23662">
        <v>301</v>
      </c>
      <c r="M23662">
        <v>1</v>
      </c>
      <c r="N23662">
        <v>3.1608099999999999E-109</v>
      </c>
      <c r="O23662">
        <v>1009</v>
      </c>
    </row>
    <row r="23663" spans="1:15" x14ac:dyDescent="0.25">
      <c r="A23663" t="s">
        <v>23676</v>
      </c>
      <c r="B23663">
        <v>196</v>
      </c>
      <c r="C23663" s="1" t="str">
        <f>HYPERLINK("http://www.rosaceae.org/gb/gbrowse/malus_x_domestica/?name=MDP0000143318","MDP0000143318")</f>
        <v>MDP0000143318</v>
      </c>
      <c r="D23663">
        <v>41.93</v>
      </c>
      <c r="E23663">
        <v>62</v>
      </c>
      <c r="F23663">
        <v>36</v>
      </c>
      <c r="G23663">
        <v>1</v>
      </c>
      <c r="H23663">
        <v>116</v>
      </c>
      <c r="I23663">
        <v>176</v>
      </c>
      <c r="J23663">
        <v>1</v>
      </c>
      <c r="K23663">
        <v>262</v>
      </c>
      <c r="L23663">
        <v>323</v>
      </c>
      <c r="M23663">
        <v>1</v>
      </c>
      <c r="N23663">
        <v>4.8337599999999997E-7</v>
      </c>
      <c r="O23663">
        <v>122</v>
      </c>
    </row>
    <row r="23664" spans="1:15" x14ac:dyDescent="0.25">
      <c r="A23664" t="s">
        <v>23677</v>
      </c>
      <c r="B23664">
        <v>310</v>
      </c>
      <c r="C23664" s="1" t="str">
        <f>HYPERLINK("http://www.rosaceae.org/gb/gbrowse/malus_x_domestica/?name=MDP0000232004","MDP0000232004")</f>
        <v>MDP0000232004</v>
      </c>
      <c r="D23664">
        <v>67.849999999999994</v>
      </c>
      <c r="E23664">
        <v>112</v>
      </c>
      <c r="F23664">
        <v>36</v>
      </c>
      <c r="G23664">
        <v>7</v>
      </c>
      <c r="H23664">
        <v>1</v>
      </c>
      <c r="I23664">
        <v>107</v>
      </c>
      <c r="J23664">
        <v>1</v>
      </c>
      <c r="K23664">
        <v>1</v>
      </c>
      <c r="L23664">
        <v>110</v>
      </c>
      <c r="M23664">
        <v>1</v>
      </c>
      <c r="N23664">
        <v>9.2982899999999995E-36</v>
      </c>
      <c r="O23664">
        <v>373</v>
      </c>
    </row>
    <row r="23665" spans="1:15" x14ac:dyDescent="0.25">
      <c r="A23665" t="s">
        <v>23678</v>
      </c>
      <c r="B23665">
        <v>431</v>
      </c>
      <c r="C23665" s="1" t="str">
        <f>HYPERLINK("http://www.rosaceae.org/gb/gbrowse/malus_x_domestica/?name=MDP0000448909","MDP0000448909")</f>
        <v>MDP0000448909</v>
      </c>
      <c r="D23665">
        <v>75</v>
      </c>
      <c r="E23665">
        <v>260</v>
      </c>
      <c r="F23665">
        <v>65</v>
      </c>
      <c r="G23665">
        <v>3</v>
      </c>
      <c r="H23665">
        <v>128</v>
      </c>
      <c r="I23665">
        <v>387</v>
      </c>
      <c r="J23665">
        <v>1</v>
      </c>
      <c r="K23665">
        <v>119</v>
      </c>
      <c r="L23665">
        <v>375</v>
      </c>
      <c r="M23665">
        <v>1</v>
      </c>
      <c r="N23665">
        <v>1.2360400000000001E-110</v>
      </c>
      <c r="O23665">
        <v>1020</v>
      </c>
    </row>
    <row r="23666" spans="1:15" x14ac:dyDescent="0.25">
      <c r="A23666" t="s">
        <v>23679</v>
      </c>
      <c r="B23666">
        <v>232</v>
      </c>
      <c r="C23666" s="1" t="str">
        <f>HYPERLINK("http://www.rosaceae.org/gb/gbrowse/malus_x_domestica/?name=MDP0000310987","MDP0000310987")</f>
        <v>MDP0000310987</v>
      </c>
      <c r="D23666">
        <v>70.349999999999994</v>
      </c>
      <c r="E23666">
        <v>226</v>
      </c>
      <c r="F23666">
        <v>67</v>
      </c>
      <c r="G23666">
        <v>3</v>
      </c>
      <c r="H23666">
        <v>9</v>
      </c>
      <c r="I23666">
        <v>231</v>
      </c>
      <c r="J23666">
        <v>1</v>
      </c>
      <c r="K23666">
        <v>371</v>
      </c>
      <c r="L23666">
        <v>596</v>
      </c>
      <c r="M23666">
        <v>1</v>
      </c>
      <c r="N23666">
        <v>7.58319E-89</v>
      </c>
      <c r="O23666">
        <v>829</v>
      </c>
    </row>
    <row r="23667" spans="1:15" x14ac:dyDescent="0.25">
      <c r="A23667" t="s">
        <v>23680</v>
      </c>
      <c r="B23667">
        <v>255</v>
      </c>
      <c r="C23667" s="1" t="str">
        <f>HYPERLINK("http://www.rosaceae.org/gb/gbrowse/malus_x_domestica/?name=MDP0000179040","MDP0000179040")</f>
        <v>MDP0000179040</v>
      </c>
      <c r="D23667">
        <v>86.4</v>
      </c>
      <c r="E23667">
        <v>250</v>
      </c>
      <c r="F23667">
        <v>34</v>
      </c>
      <c r="G23667">
        <v>0</v>
      </c>
      <c r="H23667">
        <v>2</v>
      </c>
      <c r="I23667">
        <v>251</v>
      </c>
      <c r="J23667">
        <v>1</v>
      </c>
      <c r="K23667">
        <v>3</v>
      </c>
      <c r="L23667">
        <v>252</v>
      </c>
      <c r="M23667">
        <v>1</v>
      </c>
      <c r="N23667">
        <v>3.0414599999999998E-133</v>
      </c>
      <c r="O23667">
        <v>1212</v>
      </c>
    </row>
    <row r="23668" spans="1:15" x14ac:dyDescent="0.25">
      <c r="A23668" t="s">
        <v>23681</v>
      </c>
      <c r="B23668">
        <v>524</v>
      </c>
      <c r="C23668" s="1" t="str">
        <f>HYPERLINK("http://www.rosaceae.org/gb/gbrowse/malus_x_domestica/?name=MDP0000143488","MDP0000143488")</f>
        <v>MDP0000143488</v>
      </c>
      <c r="D23668">
        <v>72.98</v>
      </c>
      <c r="E23668">
        <v>248</v>
      </c>
      <c r="F23668">
        <v>67</v>
      </c>
      <c r="G23668">
        <v>6</v>
      </c>
      <c r="H23668">
        <v>253</v>
      </c>
      <c r="I23668">
        <v>494</v>
      </c>
      <c r="J23668">
        <v>1</v>
      </c>
      <c r="K23668">
        <v>1</v>
      </c>
      <c r="L23668">
        <v>248</v>
      </c>
      <c r="M23668">
        <v>1</v>
      </c>
      <c r="N23668">
        <v>3.0234499999999997E-95</v>
      </c>
      <c r="O23668">
        <v>888</v>
      </c>
    </row>
    <row r="23669" spans="1:15" x14ac:dyDescent="0.25">
      <c r="A23669" t="s">
        <v>23682</v>
      </c>
      <c r="B23669">
        <v>308</v>
      </c>
      <c r="C23669" s="1" t="str">
        <f>HYPERLINK("http://www.rosaceae.org/gb/gbrowse/malus_x_domestica/?name=MDP0000198353","MDP0000198353")</f>
        <v>MDP0000198353</v>
      </c>
      <c r="D23669">
        <v>80.84</v>
      </c>
      <c r="E23669">
        <v>308</v>
      </c>
      <c r="F23669">
        <v>59</v>
      </c>
      <c r="G23669">
        <v>0</v>
      </c>
      <c r="H23669">
        <v>1</v>
      </c>
      <c r="I23669">
        <v>308</v>
      </c>
      <c r="J23669">
        <v>1</v>
      </c>
      <c r="K23669">
        <v>14</v>
      </c>
      <c r="L23669">
        <v>321</v>
      </c>
      <c r="M23669">
        <v>1</v>
      </c>
      <c r="N23669">
        <v>5.4018199999999998E-149</v>
      </c>
      <c r="O23669">
        <v>1349</v>
      </c>
    </row>
    <row r="23670" spans="1:15" x14ac:dyDescent="0.25">
      <c r="A23670" t="s">
        <v>23683</v>
      </c>
      <c r="B23670">
        <v>337</v>
      </c>
      <c r="C23670" s="1" t="str">
        <f>HYPERLINK("http://www.rosaceae.org/gb/gbrowse/malus_x_domestica/?name=MDP0000137705","MDP0000137705")</f>
        <v>MDP0000137705</v>
      </c>
      <c r="D23670">
        <v>77.81</v>
      </c>
      <c r="E23670">
        <v>311</v>
      </c>
      <c r="F23670">
        <v>69</v>
      </c>
      <c r="G23670">
        <v>1</v>
      </c>
      <c r="H23670">
        <v>28</v>
      </c>
      <c r="I23670">
        <v>337</v>
      </c>
      <c r="J23670">
        <v>1</v>
      </c>
      <c r="K23670">
        <v>27</v>
      </c>
      <c r="L23670">
        <v>337</v>
      </c>
      <c r="M23670">
        <v>1</v>
      </c>
      <c r="N23670">
        <v>1.8428E-143</v>
      </c>
      <c r="O23670">
        <v>1302</v>
      </c>
    </row>
    <row r="23671" spans="1:15" x14ac:dyDescent="0.25">
      <c r="A23671" t="s">
        <v>23684</v>
      </c>
      <c r="B23671">
        <v>455</v>
      </c>
      <c r="C23671" s="1" t="str">
        <f>HYPERLINK("http://www.rosaceae.org/gb/gbrowse/malus_x_domestica/?name=MDP0000323036","MDP0000323036")</f>
        <v>MDP0000323036</v>
      </c>
      <c r="D23671">
        <v>80.67</v>
      </c>
      <c r="E23671">
        <v>471</v>
      </c>
      <c r="F23671">
        <v>91</v>
      </c>
      <c r="G23671">
        <v>16</v>
      </c>
      <c r="H23671">
        <v>1</v>
      </c>
      <c r="I23671">
        <v>455</v>
      </c>
      <c r="J23671">
        <v>1</v>
      </c>
      <c r="K23671">
        <v>1</v>
      </c>
      <c r="L23671">
        <v>471</v>
      </c>
      <c r="M23671">
        <v>1</v>
      </c>
      <c r="N23671">
        <v>0</v>
      </c>
      <c r="O23671">
        <v>1987</v>
      </c>
    </row>
    <row r="23672" spans="1:15" x14ac:dyDescent="0.25">
      <c r="A23672" t="s">
        <v>23685</v>
      </c>
      <c r="B23672">
        <v>1024</v>
      </c>
      <c r="C23672" s="1" t="str">
        <f>HYPERLINK("http://www.rosaceae.org/gb/gbrowse/malus_x_domestica/?name=MDP0000165433","MDP0000165433")</f>
        <v>MDP0000165433</v>
      </c>
      <c r="D23672">
        <v>66.94</v>
      </c>
      <c r="E23672">
        <v>1065</v>
      </c>
      <c r="F23672">
        <v>352</v>
      </c>
      <c r="G23672">
        <v>105</v>
      </c>
      <c r="H23672">
        <v>3</v>
      </c>
      <c r="I23672">
        <v>1024</v>
      </c>
      <c r="J23672">
        <v>1</v>
      </c>
      <c r="K23672">
        <v>52</v>
      </c>
      <c r="L23672">
        <v>1054</v>
      </c>
      <c r="M23672">
        <v>1</v>
      </c>
      <c r="N23672">
        <v>0</v>
      </c>
      <c r="O23672">
        <v>3604</v>
      </c>
    </row>
    <row r="23673" spans="1:15" x14ac:dyDescent="0.25">
      <c r="A23673" t="s">
        <v>23686</v>
      </c>
      <c r="B23673">
        <v>446</v>
      </c>
      <c r="C23673" s="1" t="str">
        <f>HYPERLINK("http://www.rosaceae.org/gb/gbrowse/malus_x_domestica/?name=MDP0000239909","MDP0000239909")</f>
        <v>MDP0000239909</v>
      </c>
      <c r="D23673">
        <v>69.760000000000005</v>
      </c>
      <c r="E23673">
        <v>430</v>
      </c>
      <c r="F23673">
        <v>130</v>
      </c>
      <c r="G23673">
        <v>47</v>
      </c>
      <c r="H23673">
        <v>23</v>
      </c>
      <c r="I23673">
        <v>446</v>
      </c>
      <c r="J23673">
        <v>1</v>
      </c>
      <c r="K23673">
        <v>24</v>
      </c>
      <c r="L23673">
        <v>412</v>
      </c>
      <c r="M23673">
        <v>1</v>
      </c>
      <c r="N23673">
        <v>4.0946900000000001E-169</v>
      </c>
      <c r="O23673">
        <v>1524</v>
      </c>
    </row>
    <row r="23674" spans="1:15" x14ac:dyDescent="0.25">
      <c r="A23674" t="s">
        <v>23687</v>
      </c>
      <c r="B23674">
        <v>417</v>
      </c>
      <c r="C23674" s="1" t="str">
        <f>HYPERLINK("http://www.rosaceae.org/gb/gbrowse/malus_x_domestica/?name=MDP0000191352","MDP0000191352")</f>
        <v>MDP0000191352</v>
      </c>
      <c r="D23674">
        <v>33.33</v>
      </c>
      <c r="E23674">
        <v>153</v>
      </c>
      <c r="F23674">
        <v>102</v>
      </c>
      <c r="G23674">
        <v>21</v>
      </c>
      <c r="H23674">
        <v>262</v>
      </c>
      <c r="I23674">
        <v>406</v>
      </c>
      <c r="J23674">
        <v>1</v>
      </c>
      <c r="K23674">
        <v>154</v>
      </c>
      <c r="L23674">
        <v>293</v>
      </c>
      <c r="M23674">
        <v>1</v>
      </c>
      <c r="N23674">
        <v>9.1684399999999994E-11</v>
      </c>
      <c r="O23674">
        <v>158</v>
      </c>
    </row>
    <row r="23675" spans="1:15" x14ac:dyDescent="0.25">
      <c r="A23675" t="s">
        <v>23688</v>
      </c>
      <c r="B23675">
        <v>405</v>
      </c>
      <c r="C23675" s="1" t="str">
        <f>HYPERLINK("http://www.rosaceae.org/gb/gbrowse/malus_x_domestica/?name=MDP0000371737","MDP0000371737")</f>
        <v>MDP0000371737</v>
      </c>
      <c r="D23675">
        <v>54.5</v>
      </c>
      <c r="E23675">
        <v>455</v>
      </c>
      <c r="F23675">
        <v>207</v>
      </c>
      <c r="G23675">
        <v>64</v>
      </c>
      <c r="H23675">
        <v>1</v>
      </c>
      <c r="I23675">
        <v>405</v>
      </c>
      <c r="J23675">
        <v>1</v>
      </c>
      <c r="K23675">
        <v>1</v>
      </c>
      <c r="L23675">
        <v>441</v>
      </c>
      <c r="M23675">
        <v>1</v>
      </c>
      <c r="N23675">
        <v>1.59174E-130</v>
      </c>
      <c r="O23675">
        <v>1191</v>
      </c>
    </row>
    <row r="23676" spans="1:15" x14ac:dyDescent="0.25">
      <c r="A23676" t="s">
        <v>23689</v>
      </c>
      <c r="B23676">
        <v>419</v>
      </c>
      <c r="C23676" s="1" t="str">
        <f>HYPERLINK("http://www.rosaceae.org/gb/gbrowse/malus_x_domestica/?name=MDP0000259550","MDP0000259550")</f>
        <v>MDP0000259550</v>
      </c>
      <c r="D23676">
        <v>58.8</v>
      </c>
      <c r="E23676">
        <v>335</v>
      </c>
      <c r="F23676">
        <v>138</v>
      </c>
      <c r="G23676">
        <v>22</v>
      </c>
      <c r="H23676">
        <v>1</v>
      </c>
      <c r="I23676">
        <v>326</v>
      </c>
      <c r="J23676">
        <v>1</v>
      </c>
      <c r="K23676">
        <v>65</v>
      </c>
      <c r="L23676">
        <v>386</v>
      </c>
      <c r="M23676">
        <v>1</v>
      </c>
      <c r="N23676">
        <v>2.36367E-104</v>
      </c>
      <c r="O23676">
        <v>966</v>
      </c>
    </row>
    <row r="23677" spans="1:15" x14ac:dyDescent="0.25">
      <c r="A23677" t="s">
        <v>23690</v>
      </c>
      <c r="B23677">
        <v>597</v>
      </c>
      <c r="C23677" s="1" t="str">
        <f>HYPERLINK("http://www.rosaceae.org/gb/gbrowse/malus_x_domestica/?name=MDP0000319344","MDP0000319344")</f>
        <v>MDP0000319344</v>
      </c>
      <c r="D23677">
        <v>68.209999999999994</v>
      </c>
      <c r="E23677">
        <v>151</v>
      </c>
      <c r="F23677">
        <v>48</v>
      </c>
      <c r="G23677">
        <v>1</v>
      </c>
      <c r="H23677">
        <v>177</v>
      </c>
      <c r="I23677">
        <v>327</v>
      </c>
      <c r="J23677">
        <v>1</v>
      </c>
      <c r="K23677">
        <v>56</v>
      </c>
      <c r="L23677">
        <v>205</v>
      </c>
      <c r="M23677">
        <v>1</v>
      </c>
      <c r="N23677">
        <v>1.12857E-60</v>
      </c>
      <c r="O23677">
        <v>591</v>
      </c>
    </row>
    <row r="23678" spans="1:15" x14ac:dyDescent="0.25">
      <c r="A23678" t="s">
        <v>23691</v>
      </c>
      <c r="B23678">
        <v>316</v>
      </c>
      <c r="C23678" s="1" t="str">
        <f>HYPERLINK("http://www.rosaceae.org/gb/gbrowse/malus_x_domestica/?name=MDP0000538003","MDP0000538003")</f>
        <v>MDP0000538003</v>
      </c>
      <c r="D23678">
        <v>33.46</v>
      </c>
      <c r="E23678">
        <v>251</v>
      </c>
      <c r="F23678">
        <v>167</v>
      </c>
      <c r="G23678">
        <v>11</v>
      </c>
      <c r="H23678">
        <v>1</v>
      </c>
      <c r="I23678">
        <v>247</v>
      </c>
      <c r="J23678">
        <v>1</v>
      </c>
      <c r="K23678">
        <v>231</v>
      </c>
      <c r="L23678">
        <v>474</v>
      </c>
      <c r="M23678">
        <v>1</v>
      </c>
      <c r="N23678">
        <v>3.4000100000000001E-36</v>
      </c>
      <c r="O23678">
        <v>376</v>
      </c>
    </row>
    <row r="23679" spans="1:15" x14ac:dyDescent="0.25">
      <c r="A23679" t="s">
        <v>23692</v>
      </c>
      <c r="B23679">
        <v>414</v>
      </c>
      <c r="C23679" s="1" t="str">
        <f>HYPERLINK("http://www.rosaceae.org/gb/gbrowse/malus_x_domestica/?name=MDP0000136463","MDP0000136463")</f>
        <v>MDP0000136463</v>
      </c>
      <c r="D23679">
        <v>47.85</v>
      </c>
      <c r="E23679">
        <v>420</v>
      </c>
      <c r="F23679">
        <v>219</v>
      </c>
      <c r="G23679">
        <v>26</v>
      </c>
      <c r="H23679">
        <v>1</v>
      </c>
      <c r="I23679">
        <v>413</v>
      </c>
      <c r="J23679">
        <v>1</v>
      </c>
      <c r="K23679">
        <v>1</v>
      </c>
      <c r="L23679">
        <v>401</v>
      </c>
      <c r="M23679">
        <v>1</v>
      </c>
      <c r="N23679">
        <v>2.2934000000000001E-95</v>
      </c>
      <c r="O23679">
        <v>888</v>
      </c>
    </row>
    <row r="23680" spans="1:15" x14ac:dyDescent="0.25">
      <c r="A23680" t="s">
        <v>23693</v>
      </c>
      <c r="B23680">
        <v>350</v>
      </c>
      <c r="C23680" s="1" t="str">
        <f>HYPERLINK("http://www.rosaceae.org/gb/gbrowse/malus_x_domestica/?name=MDP0000321776","MDP0000321776")</f>
        <v>MDP0000321776</v>
      </c>
      <c r="D23680">
        <v>72.989999999999995</v>
      </c>
      <c r="E23680">
        <v>274</v>
      </c>
      <c r="F23680">
        <v>74</v>
      </c>
      <c r="G23680">
        <v>3</v>
      </c>
      <c r="H23680">
        <v>23</v>
      </c>
      <c r="I23680">
        <v>296</v>
      </c>
      <c r="J23680">
        <v>1</v>
      </c>
      <c r="K23680">
        <v>23</v>
      </c>
      <c r="L23680">
        <v>293</v>
      </c>
      <c r="M23680">
        <v>1</v>
      </c>
      <c r="N23680">
        <v>7.7823999999999997E-110</v>
      </c>
      <c r="O23680">
        <v>1012</v>
      </c>
    </row>
    <row r="23681" spans="1:15" x14ac:dyDescent="0.25">
      <c r="A23681" t="s">
        <v>23694</v>
      </c>
      <c r="B23681">
        <v>378</v>
      </c>
      <c r="C23681" s="1" t="str">
        <f>HYPERLINK("http://www.rosaceae.org/gb/gbrowse/malus_x_domestica/?name=MDP0000784365","MDP0000784365")</f>
        <v>MDP0000784365</v>
      </c>
      <c r="D23681">
        <v>86.37</v>
      </c>
      <c r="E23681">
        <v>323</v>
      </c>
      <c r="F23681">
        <v>44</v>
      </c>
      <c r="G23681">
        <v>0</v>
      </c>
      <c r="H23681">
        <v>1</v>
      </c>
      <c r="I23681">
        <v>323</v>
      </c>
      <c r="J23681">
        <v>1</v>
      </c>
      <c r="K23681">
        <v>1</v>
      </c>
      <c r="L23681">
        <v>323</v>
      </c>
      <c r="M23681">
        <v>1</v>
      </c>
      <c r="N23681">
        <v>3.8364299999999999E-162</v>
      </c>
      <c r="O23681">
        <v>1463</v>
      </c>
    </row>
    <row r="23682" spans="1:15" x14ac:dyDescent="0.25">
      <c r="A23682" t="s">
        <v>23695</v>
      </c>
      <c r="B23682">
        <v>531</v>
      </c>
      <c r="C23682" s="1" t="str">
        <f>HYPERLINK("http://www.rosaceae.org/gb/gbrowse/malus_x_domestica/?name=MDP0000289043","MDP0000289043")</f>
        <v>MDP0000289043</v>
      </c>
      <c r="D23682">
        <v>67.540000000000006</v>
      </c>
      <c r="E23682">
        <v>114</v>
      </c>
      <c r="F23682">
        <v>37</v>
      </c>
      <c r="G23682">
        <v>5</v>
      </c>
      <c r="H23682">
        <v>3</v>
      </c>
      <c r="I23682">
        <v>113</v>
      </c>
      <c r="J23682">
        <v>1</v>
      </c>
      <c r="K23682">
        <v>4</v>
      </c>
      <c r="L23682">
        <v>115</v>
      </c>
      <c r="M23682">
        <v>1</v>
      </c>
      <c r="N23682">
        <v>6.0058899999999997E-30</v>
      </c>
      <c r="O23682">
        <v>325</v>
      </c>
    </row>
    <row r="23683" spans="1:15" x14ac:dyDescent="0.25">
      <c r="A23683" t="s">
        <v>23696</v>
      </c>
      <c r="B23683">
        <v>82</v>
      </c>
      <c r="C23683" s="1" t="str">
        <f>HYPERLINK("http://www.rosaceae.org/gb/gbrowse/malus_x_domestica/?name=MDP0000207693","MDP0000207693")</f>
        <v>MDP0000207693</v>
      </c>
      <c r="D23683">
        <v>72.88</v>
      </c>
      <c r="E23683">
        <v>59</v>
      </c>
      <c r="F23683">
        <v>16</v>
      </c>
      <c r="G23683">
        <v>0</v>
      </c>
      <c r="H23683">
        <v>21</v>
      </c>
      <c r="I23683">
        <v>79</v>
      </c>
      <c r="J23683">
        <v>1</v>
      </c>
      <c r="K23683">
        <v>144</v>
      </c>
      <c r="L23683">
        <v>202</v>
      </c>
      <c r="M23683">
        <v>1</v>
      </c>
      <c r="N23683">
        <v>9.7269800000000005E-20</v>
      </c>
      <c r="O23683">
        <v>228</v>
      </c>
    </row>
    <row r="23684" spans="1:15" x14ac:dyDescent="0.25">
      <c r="A23684" t="s">
        <v>23697</v>
      </c>
      <c r="B23684">
        <v>83</v>
      </c>
      <c r="C23684" s="1" t="str">
        <f>HYPERLINK("http://www.rosaceae.org/gb/gbrowse/malus_x_domestica/?name=MDP0000147846","MDP0000147846")</f>
        <v>MDP0000147846</v>
      </c>
      <c r="D23684">
        <v>76.66</v>
      </c>
      <c r="E23684">
        <v>60</v>
      </c>
      <c r="F23684">
        <v>14</v>
      </c>
      <c r="G23684">
        <v>1</v>
      </c>
      <c r="H23684">
        <v>1</v>
      </c>
      <c r="I23684">
        <v>59</v>
      </c>
      <c r="J23684">
        <v>1</v>
      </c>
      <c r="K23684">
        <v>73</v>
      </c>
      <c r="L23684">
        <v>132</v>
      </c>
      <c r="M23684">
        <v>1</v>
      </c>
      <c r="N23684">
        <v>2.8179900000000001E-23</v>
      </c>
      <c r="O23684">
        <v>258</v>
      </c>
    </row>
    <row r="23685" spans="1:15" x14ac:dyDescent="0.25">
      <c r="A23685" t="s">
        <v>23698</v>
      </c>
      <c r="B23685">
        <v>125</v>
      </c>
      <c r="C23685" s="1" t="str">
        <f>HYPERLINK("http://www.rosaceae.org/gb/gbrowse/malus_x_domestica/?name=MDP0000261312","MDP0000261312")</f>
        <v>MDP0000261312</v>
      </c>
      <c r="D23685">
        <v>39.83</v>
      </c>
      <c r="E23685">
        <v>123</v>
      </c>
      <c r="F23685">
        <v>74</v>
      </c>
      <c r="G23685">
        <v>8</v>
      </c>
      <c r="H23685">
        <v>1</v>
      </c>
      <c r="I23685">
        <v>116</v>
      </c>
      <c r="J23685">
        <v>1</v>
      </c>
      <c r="K23685">
        <v>1</v>
      </c>
      <c r="L23685">
        <v>122</v>
      </c>
      <c r="M23685">
        <v>1</v>
      </c>
      <c r="N23685">
        <v>1.44129E-12</v>
      </c>
      <c r="O23685">
        <v>166</v>
      </c>
    </row>
    <row r="23686" spans="1:15" x14ac:dyDescent="0.25">
      <c r="A23686" t="s">
        <v>23699</v>
      </c>
      <c r="B23686">
        <v>193</v>
      </c>
      <c r="C23686" s="1" t="str">
        <f>HYPERLINK("http://www.rosaceae.org/gb/gbrowse/malus_x_domestica/?name=MDP0000167714","MDP0000167714")</f>
        <v>MDP0000167714</v>
      </c>
      <c r="D23686">
        <v>45.97</v>
      </c>
      <c r="E23686">
        <v>211</v>
      </c>
      <c r="F23686">
        <v>114</v>
      </c>
      <c r="G23686">
        <v>42</v>
      </c>
      <c r="H23686">
        <v>9</v>
      </c>
      <c r="I23686">
        <v>193</v>
      </c>
      <c r="J23686">
        <v>1</v>
      </c>
      <c r="K23686">
        <v>34</v>
      </c>
      <c r="L23686">
        <v>228</v>
      </c>
      <c r="M23686">
        <v>1</v>
      </c>
      <c r="N23686">
        <v>3.9381099999999999E-31</v>
      </c>
      <c r="O23686">
        <v>330</v>
      </c>
    </row>
    <row r="23687" spans="1:15" x14ac:dyDescent="0.25">
      <c r="A23687" t="s">
        <v>23700</v>
      </c>
      <c r="B23687">
        <v>370</v>
      </c>
      <c r="C23687" s="1" t="str">
        <f>HYPERLINK("http://www.rosaceae.org/gb/gbrowse/malus_x_domestica/?name=MDP0000317700","MDP0000317700")</f>
        <v>MDP0000317700</v>
      </c>
      <c r="D23687">
        <v>32.950000000000003</v>
      </c>
      <c r="E23687">
        <v>261</v>
      </c>
      <c r="F23687">
        <v>175</v>
      </c>
      <c r="G23687">
        <v>28</v>
      </c>
      <c r="H23687">
        <v>13</v>
      </c>
      <c r="I23687">
        <v>250</v>
      </c>
      <c r="J23687">
        <v>1</v>
      </c>
      <c r="K23687">
        <v>467</v>
      </c>
      <c r="L23687">
        <v>722</v>
      </c>
      <c r="M23687">
        <v>1</v>
      </c>
      <c r="N23687">
        <v>3.0950799999999999E-23</v>
      </c>
      <c r="O23687">
        <v>265</v>
      </c>
    </row>
    <row r="23688" spans="1:15" x14ac:dyDescent="0.25">
      <c r="A23688" t="s">
        <v>23701</v>
      </c>
      <c r="B23688">
        <v>555</v>
      </c>
      <c r="C23688" s="1" t="str">
        <f>HYPERLINK("http://www.rosaceae.org/gb/gbrowse/malus_x_domestica/?name=MDP0000879089","MDP0000879089")</f>
        <v>MDP0000879089</v>
      </c>
      <c r="D23688">
        <v>84.68</v>
      </c>
      <c r="E23688">
        <v>581</v>
      </c>
      <c r="F23688">
        <v>89</v>
      </c>
      <c r="G23688">
        <v>28</v>
      </c>
      <c r="H23688">
        <v>3</v>
      </c>
      <c r="I23688">
        <v>555</v>
      </c>
      <c r="J23688">
        <v>1</v>
      </c>
      <c r="K23688">
        <v>8</v>
      </c>
      <c r="L23688">
        <v>588</v>
      </c>
      <c r="M23688">
        <v>1</v>
      </c>
      <c r="N23688">
        <v>0</v>
      </c>
      <c r="O23688">
        <v>2587</v>
      </c>
    </row>
    <row r="23689" spans="1:15" x14ac:dyDescent="0.25">
      <c r="A23689" t="s">
        <v>23702</v>
      </c>
      <c r="B23689">
        <v>117</v>
      </c>
      <c r="C23689" s="1" t="str">
        <f>HYPERLINK("http://www.rosaceae.org/gb/gbrowse/malus_x_domestica/?name=MDP0000656920","MDP0000656920")</f>
        <v>MDP0000656920</v>
      </c>
      <c r="D23689">
        <v>70.37</v>
      </c>
      <c r="E23689">
        <v>54</v>
      </c>
      <c r="F23689">
        <v>16</v>
      </c>
      <c r="G23689">
        <v>1</v>
      </c>
      <c r="H23689">
        <v>2</v>
      </c>
      <c r="I23689">
        <v>54</v>
      </c>
      <c r="J23689">
        <v>1</v>
      </c>
      <c r="K23689">
        <v>13</v>
      </c>
      <c r="L23689">
        <v>66</v>
      </c>
      <c r="M23689">
        <v>1</v>
      </c>
      <c r="N23689">
        <v>3.2720399999999999E-12</v>
      </c>
      <c r="O23689">
        <v>163</v>
      </c>
    </row>
    <row r="23690" spans="1:15" x14ac:dyDescent="0.25">
      <c r="A23690" t="s">
        <v>23703</v>
      </c>
      <c r="B23690">
        <v>481</v>
      </c>
      <c r="C23690" s="1" t="str">
        <f>HYPERLINK("http://www.rosaceae.org/gb/gbrowse/malus_x_domestica/?name=MDP0000235318","MDP0000235318")</f>
        <v>MDP0000235318</v>
      </c>
      <c r="D23690">
        <v>92.3</v>
      </c>
      <c r="E23690">
        <v>481</v>
      </c>
      <c r="F23690">
        <v>37</v>
      </c>
      <c r="G23690">
        <v>0</v>
      </c>
      <c r="H23690">
        <v>1</v>
      </c>
      <c r="I23690">
        <v>481</v>
      </c>
      <c r="J23690">
        <v>1</v>
      </c>
      <c r="K23690">
        <v>1</v>
      </c>
      <c r="L23690">
        <v>481</v>
      </c>
      <c r="M23690">
        <v>1</v>
      </c>
      <c r="N23690">
        <v>0</v>
      </c>
      <c r="O23690">
        <v>2395</v>
      </c>
    </row>
    <row r="23691" spans="1:15" x14ac:dyDescent="0.25">
      <c r="A23691" t="s">
        <v>23704</v>
      </c>
      <c r="B23691">
        <v>769</v>
      </c>
      <c r="C23691" s="1" t="str">
        <f>HYPERLINK("http://www.rosaceae.org/gb/gbrowse/malus_x_domestica/?name=MDP0000226879","MDP0000226879")</f>
        <v>MDP0000226879</v>
      </c>
      <c r="D23691">
        <v>78.239999999999995</v>
      </c>
      <c r="E23691">
        <v>685</v>
      </c>
      <c r="F23691">
        <v>149</v>
      </c>
      <c r="G23691">
        <v>5</v>
      </c>
      <c r="H23691">
        <v>78</v>
      </c>
      <c r="I23691">
        <v>762</v>
      </c>
      <c r="J23691">
        <v>1</v>
      </c>
      <c r="K23691">
        <v>3</v>
      </c>
      <c r="L23691">
        <v>682</v>
      </c>
      <c r="M23691">
        <v>1</v>
      </c>
      <c r="N23691">
        <v>0</v>
      </c>
      <c r="O23691">
        <v>2864</v>
      </c>
    </row>
    <row r="23692" spans="1:15" x14ac:dyDescent="0.25">
      <c r="A23692" t="s">
        <v>23705</v>
      </c>
      <c r="B23692">
        <v>192</v>
      </c>
      <c r="C23692" s="1" t="str">
        <f>HYPERLINK("http://www.rosaceae.org/gb/gbrowse/malus_x_domestica/?name=MDP0000254602","MDP0000254602")</f>
        <v>MDP0000254602</v>
      </c>
      <c r="D23692">
        <v>57.71</v>
      </c>
      <c r="E23692">
        <v>175</v>
      </c>
      <c r="F23692">
        <v>74</v>
      </c>
      <c r="G23692">
        <v>2</v>
      </c>
      <c r="H23692">
        <v>19</v>
      </c>
      <c r="I23692">
        <v>192</v>
      </c>
      <c r="J23692">
        <v>1</v>
      </c>
      <c r="K23692">
        <v>59</v>
      </c>
      <c r="L23692">
        <v>232</v>
      </c>
      <c r="M23692">
        <v>1</v>
      </c>
      <c r="N23692">
        <v>3.3919299999999998E-49</v>
      </c>
      <c r="O23692">
        <v>486</v>
      </c>
    </row>
    <row r="23693" spans="1:15" x14ac:dyDescent="0.25">
      <c r="A23693" t="s">
        <v>23706</v>
      </c>
      <c r="B23693">
        <v>311</v>
      </c>
      <c r="C23693" s="1" t="str">
        <f>HYPERLINK("http://www.rosaceae.org/gb/gbrowse/malus_x_domestica/?name=MDP0000237454","MDP0000237454")</f>
        <v>MDP0000237454</v>
      </c>
      <c r="D23693">
        <v>67.400000000000006</v>
      </c>
      <c r="E23693">
        <v>270</v>
      </c>
      <c r="F23693">
        <v>88</v>
      </c>
      <c r="G23693">
        <v>12</v>
      </c>
      <c r="H23693">
        <v>40</v>
      </c>
      <c r="I23693">
        <v>305</v>
      </c>
      <c r="J23693">
        <v>1</v>
      </c>
      <c r="K23693">
        <v>153</v>
      </c>
      <c r="L23693">
        <v>414</v>
      </c>
      <c r="M23693">
        <v>1</v>
      </c>
      <c r="N23693">
        <v>5.3016399999999999E-91</v>
      </c>
      <c r="O23693">
        <v>849</v>
      </c>
    </row>
    <row r="23694" spans="1:15" x14ac:dyDescent="0.25">
      <c r="A23694" t="s">
        <v>23707</v>
      </c>
      <c r="B23694">
        <v>974</v>
      </c>
      <c r="C23694" s="1" t="str">
        <f>HYPERLINK("http://www.rosaceae.org/gb/gbrowse/malus_x_domestica/?name=MDP0000273221","MDP0000273221")</f>
        <v>MDP0000273221</v>
      </c>
      <c r="D23694">
        <v>71.61</v>
      </c>
      <c r="E23694">
        <v>384</v>
      </c>
      <c r="F23694">
        <v>109</v>
      </c>
      <c r="G23694">
        <v>5</v>
      </c>
      <c r="H23694">
        <v>41</v>
      </c>
      <c r="I23694">
        <v>421</v>
      </c>
      <c r="J23694">
        <v>1</v>
      </c>
      <c r="K23694">
        <v>155</v>
      </c>
      <c r="L23694">
        <v>536</v>
      </c>
      <c r="M23694">
        <v>1</v>
      </c>
      <c r="N23694">
        <v>9.7556300000000004E-138</v>
      </c>
      <c r="O23694">
        <v>1257</v>
      </c>
    </row>
    <row r="23695" spans="1:15" x14ac:dyDescent="0.25">
      <c r="A23695" t="s">
        <v>23708</v>
      </c>
      <c r="B23695">
        <v>489</v>
      </c>
      <c r="C23695" s="1" t="str">
        <f>HYPERLINK("http://www.rosaceae.org/gb/gbrowse/malus_x_domestica/?name=MDP0000217844","MDP0000217844")</f>
        <v>MDP0000217844</v>
      </c>
      <c r="D23695">
        <v>69.430000000000007</v>
      </c>
      <c r="E23695">
        <v>422</v>
      </c>
      <c r="F23695">
        <v>129</v>
      </c>
      <c r="G23695">
        <v>30</v>
      </c>
      <c r="H23695">
        <v>93</v>
      </c>
      <c r="I23695">
        <v>489</v>
      </c>
      <c r="J23695">
        <v>1</v>
      </c>
      <c r="K23695">
        <v>97</v>
      </c>
      <c r="L23695">
        <v>513</v>
      </c>
      <c r="M23695">
        <v>1</v>
      </c>
      <c r="N23695">
        <v>7.0613900000000004E-169</v>
      </c>
      <c r="O23695">
        <v>1523</v>
      </c>
    </row>
    <row r="23696" spans="1:15" x14ac:dyDescent="0.25">
      <c r="A23696" t="s">
        <v>23709</v>
      </c>
      <c r="B23696">
        <v>1280</v>
      </c>
      <c r="C23696" s="1" t="str">
        <f>HYPERLINK("http://www.rosaceae.org/gb/gbrowse/malus_x_domestica/?name=MDP0000729522","MDP0000729522")</f>
        <v>MDP0000729522</v>
      </c>
      <c r="D23696">
        <v>51.65</v>
      </c>
      <c r="E23696">
        <v>1303</v>
      </c>
      <c r="F23696">
        <v>630</v>
      </c>
      <c r="G23696">
        <v>91</v>
      </c>
      <c r="H23696">
        <v>1</v>
      </c>
      <c r="I23696">
        <v>1280</v>
      </c>
      <c r="J23696">
        <v>1</v>
      </c>
      <c r="K23696">
        <v>73</v>
      </c>
      <c r="L23696">
        <v>1307</v>
      </c>
      <c r="M23696">
        <v>1</v>
      </c>
      <c r="N23696">
        <v>0</v>
      </c>
      <c r="O23696">
        <v>2911</v>
      </c>
    </row>
    <row r="23697" spans="1:15" x14ac:dyDescent="0.25">
      <c r="A23697" t="s">
        <v>23710</v>
      </c>
      <c r="B23697">
        <v>229</v>
      </c>
      <c r="C23697" s="1" t="str">
        <f>HYPERLINK("http://www.rosaceae.org/gb/gbrowse/malus_x_domestica/?name=MDP0000177070","MDP0000177070")</f>
        <v>MDP0000177070</v>
      </c>
      <c r="D23697">
        <v>65.040000000000006</v>
      </c>
      <c r="E23697">
        <v>246</v>
      </c>
      <c r="F23697">
        <v>86</v>
      </c>
      <c r="G23697">
        <v>52</v>
      </c>
      <c r="H23697">
        <v>1</v>
      </c>
      <c r="I23697">
        <v>227</v>
      </c>
      <c r="J23697">
        <v>1</v>
      </c>
      <c r="K23697">
        <v>73</v>
      </c>
      <c r="L23697">
        <v>285</v>
      </c>
      <c r="M23697">
        <v>1</v>
      </c>
      <c r="N23697">
        <v>6.2450199999999999E-75</v>
      </c>
      <c r="O23697">
        <v>709</v>
      </c>
    </row>
    <row r="23698" spans="1:15" x14ac:dyDescent="0.25">
      <c r="A23698" t="s">
        <v>23711</v>
      </c>
      <c r="B23698">
        <v>289</v>
      </c>
      <c r="C23698" s="1" t="str">
        <f>HYPERLINK("http://www.rosaceae.org/gb/gbrowse/malus_x_domestica/?name=MDP0000209764","MDP0000209764")</f>
        <v>MDP0000209764</v>
      </c>
      <c r="D23698">
        <v>72.540000000000006</v>
      </c>
      <c r="E23698">
        <v>306</v>
      </c>
      <c r="F23698">
        <v>84</v>
      </c>
      <c r="G23698">
        <v>31</v>
      </c>
      <c r="H23698">
        <v>15</v>
      </c>
      <c r="I23698">
        <v>289</v>
      </c>
      <c r="J23698">
        <v>1</v>
      </c>
      <c r="K23698">
        <v>15</v>
      </c>
      <c r="L23698">
        <v>320</v>
      </c>
      <c r="M23698">
        <v>1</v>
      </c>
      <c r="N23698">
        <v>8.8647800000000001E-122</v>
      </c>
      <c r="O23698">
        <v>1114</v>
      </c>
    </row>
    <row r="23699" spans="1:15" x14ac:dyDescent="0.25">
      <c r="A23699" t="s">
        <v>23712</v>
      </c>
      <c r="B23699">
        <v>472</v>
      </c>
      <c r="C23699" s="1" t="str">
        <f>HYPERLINK("http://www.rosaceae.org/gb/gbrowse/malus_x_domestica/?name=MDP0000714217","MDP0000714217")</f>
        <v>MDP0000714217</v>
      </c>
      <c r="D23699">
        <v>74.84</v>
      </c>
      <c r="E23699">
        <v>469</v>
      </c>
      <c r="F23699">
        <v>118</v>
      </c>
      <c r="G23699">
        <v>2</v>
      </c>
      <c r="H23699">
        <v>1</v>
      </c>
      <c r="I23699">
        <v>467</v>
      </c>
      <c r="J23699">
        <v>1</v>
      </c>
      <c r="K23699">
        <v>3</v>
      </c>
      <c r="L23699">
        <v>471</v>
      </c>
      <c r="M23699">
        <v>1</v>
      </c>
      <c r="N23699">
        <v>0</v>
      </c>
      <c r="O23699">
        <v>1818</v>
      </c>
    </row>
    <row r="23700" spans="1:15" x14ac:dyDescent="0.25">
      <c r="A23700" t="s">
        <v>23713</v>
      </c>
      <c r="B23700">
        <v>620</v>
      </c>
      <c r="C23700" s="1" t="str">
        <f>HYPERLINK("http://www.rosaceae.org/gb/gbrowse/malus_x_domestica/?name=MDP0000194521","MDP0000194521")</f>
        <v>MDP0000194521</v>
      </c>
      <c r="D23700">
        <v>75.59</v>
      </c>
      <c r="E23700">
        <v>631</v>
      </c>
      <c r="F23700">
        <v>154</v>
      </c>
      <c r="G23700">
        <v>23</v>
      </c>
      <c r="H23700">
        <v>6</v>
      </c>
      <c r="I23700">
        <v>615</v>
      </c>
      <c r="J23700">
        <v>1</v>
      </c>
      <c r="K23700">
        <v>8</v>
      </c>
      <c r="L23700">
        <v>636</v>
      </c>
      <c r="M23700">
        <v>1</v>
      </c>
      <c r="N23700">
        <v>0</v>
      </c>
      <c r="O23700">
        <v>2505</v>
      </c>
    </row>
    <row r="23701" spans="1:15" x14ac:dyDescent="0.25">
      <c r="A23701" t="s">
        <v>23714</v>
      </c>
      <c r="B23701">
        <v>477</v>
      </c>
      <c r="C23701" s="1" t="str">
        <f>HYPERLINK("http://www.rosaceae.org/gb/gbrowse/malus_x_domestica/?name=MDP0000951745","MDP0000951745")</f>
        <v>MDP0000951745</v>
      </c>
      <c r="D23701">
        <v>73.819999999999993</v>
      </c>
      <c r="E23701">
        <v>424</v>
      </c>
      <c r="F23701">
        <v>111</v>
      </c>
      <c r="G23701">
        <v>27</v>
      </c>
      <c r="H23701">
        <v>48</v>
      </c>
      <c r="I23701">
        <v>465</v>
      </c>
      <c r="J23701">
        <v>1</v>
      </c>
      <c r="K23701">
        <v>46</v>
      </c>
      <c r="L23701">
        <v>448</v>
      </c>
      <c r="M23701">
        <v>1</v>
      </c>
      <c r="N23701">
        <v>1.2325299999999999E-180</v>
      </c>
      <c r="O23701">
        <v>1624</v>
      </c>
    </row>
    <row r="23702" spans="1:15" x14ac:dyDescent="0.25">
      <c r="A23702" t="s">
        <v>23715</v>
      </c>
      <c r="B23702">
        <v>280</v>
      </c>
      <c r="C23702" s="1" t="str">
        <f>HYPERLINK("http://www.rosaceae.org/gb/gbrowse/malus_x_domestica/?name=MDP0000712512","MDP0000712512")</f>
        <v>MDP0000712512</v>
      </c>
      <c r="D23702">
        <v>74.55</v>
      </c>
      <c r="E23702">
        <v>283</v>
      </c>
      <c r="F23702">
        <v>72</v>
      </c>
      <c r="G23702">
        <v>3</v>
      </c>
      <c r="H23702">
        <v>1</v>
      </c>
      <c r="I23702">
        <v>280</v>
      </c>
      <c r="J23702">
        <v>1</v>
      </c>
      <c r="K23702">
        <v>1</v>
      </c>
      <c r="L23702">
        <v>283</v>
      </c>
      <c r="M23702">
        <v>1</v>
      </c>
      <c r="N23702">
        <v>4.9898000000000002E-121</v>
      </c>
      <c r="O23702">
        <v>1107</v>
      </c>
    </row>
    <row r="23703" spans="1:15" x14ac:dyDescent="0.25">
      <c r="A23703" t="s">
        <v>23716</v>
      </c>
      <c r="B23703">
        <v>329</v>
      </c>
      <c r="C23703" s="1" t="str">
        <f>HYPERLINK("http://www.rosaceae.org/gb/gbrowse/malus_x_domestica/?name=MDP0000190538","MDP0000190538")</f>
        <v>MDP0000190538</v>
      </c>
      <c r="D23703">
        <v>28.57</v>
      </c>
      <c r="E23703">
        <v>336</v>
      </c>
      <c r="F23703">
        <v>240</v>
      </c>
      <c r="G23703">
        <v>26</v>
      </c>
      <c r="H23703">
        <v>1</v>
      </c>
      <c r="I23703">
        <v>322</v>
      </c>
      <c r="J23703">
        <v>1</v>
      </c>
      <c r="K23703">
        <v>1</v>
      </c>
      <c r="L23703">
        <v>324</v>
      </c>
      <c r="M23703">
        <v>1</v>
      </c>
      <c r="N23703">
        <v>5.8274199999999999E-23</v>
      </c>
      <c r="O23703">
        <v>262</v>
      </c>
    </row>
    <row r="23704" spans="1:15" x14ac:dyDescent="0.25">
      <c r="A23704" t="s">
        <v>23717</v>
      </c>
      <c r="B23704">
        <v>1001</v>
      </c>
      <c r="C23704" s="1" t="str">
        <f>HYPERLINK("http://www.rosaceae.org/gb/gbrowse/malus_x_domestica/?name=MDP0000126666","MDP0000126666")</f>
        <v>MDP0000126666</v>
      </c>
      <c r="D23704">
        <v>63.74</v>
      </c>
      <c r="E23704">
        <v>262</v>
      </c>
      <c r="F23704">
        <v>95</v>
      </c>
      <c r="G23704">
        <v>37</v>
      </c>
      <c r="H23704">
        <v>396</v>
      </c>
      <c r="I23704">
        <v>657</v>
      </c>
      <c r="J23704">
        <v>1</v>
      </c>
      <c r="K23704">
        <v>1</v>
      </c>
      <c r="L23704">
        <v>225</v>
      </c>
      <c r="M23704">
        <v>1</v>
      </c>
      <c r="N23704">
        <v>3.84029E-93</v>
      </c>
      <c r="O23704">
        <v>873</v>
      </c>
    </row>
    <row r="23705" spans="1:15" x14ac:dyDescent="0.25">
      <c r="A23705" t="s">
        <v>23718</v>
      </c>
      <c r="B23705">
        <v>1073</v>
      </c>
      <c r="C23705" s="1" t="str">
        <f>HYPERLINK("http://www.rosaceae.org/gb/gbrowse/malus_x_domestica/?name=MDP0000322409","MDP0000322409")</f>
        <v>MDP0000322409</v>
      </c>
      <c r="D23705">
        <v>78.150000000000006</v>
      </c>
      <c r="E23705">
        <v>673</v>
      </c>
      <c r="F23705">
        <v>147</v>
      </c>
      <c r="G23705">
        <v>1</v>
      </c>
      <c r="H23705">
        <v>32</v>
      </c>
      <c r="I23705">
        <v>703</v>
      </c>
      <c r="J23705">
        <v>1</v>
      </c>
      <c r="K23705">
        <v>2079</v>
      </c>
      <c r="L23705">
        <v>2751</v>
      </c>
      <c r="M23705">
        <v>1</v>
      </c>
      <c r="N23705">
        <v>0</v>
      </c>
      <c r="O23705">
        <v>2794</v>
      </c>
    </row>
    <row r="23706" spans="1:15" x14ac:dyDescent="0.25">
      <c r="A23706" t="s">
        <v>23719</v>
      </c>
      <c r="B23706">
        <v>413</v>
      </c>
      <c r="C23706" s="1" t="str">
        <f>HYPERLINK("http://www.rosaceae.org/gb/gbrowse/malus_x_domestica/?name=MDP0000312415","MDP0000312415")</f>
        <v>MDP0000312415</v>
      </c>
      <c r="D23706">
        <v>45.4</v>
      </c>
      <c r="E23706">
        <v>381</v>
      </c>
      <c r="F23706">
        <v>208</v>
      </c>
      <c r="G23706">
        <v>34</v>
      </c>
      <c r="H23706">
        <v>1</v>
      </c>
      <c r="I23706">
        <v>354</v>
      </c>
      <c r="J23706">
        <v>1</v>
      </c>
      <c r="K23706">
        <v>1</v>
      </c>
      <c r="L23706">
        <v>374</v>
      </c>
      <c r="M23706">
        <v>1</v>
      </c>
      <c r="N23706">
        <v>3.12902E-77</v>
      </c>
      <c r="O23706">
        <v>732</v>
      </c>
    </row>
    <row r="23707" spans="1:15" x14ac:dyDescent="0.25">
      <c r="A23707" t="s">
        <v>23720</v>
      </c>
      <c r="B23707">
        <v>445</v>
      </c>
      <c r="C23707" s="1" t="str">
        <f>HYPERLINK("http://www.rosaceae.org/gb/gbrowse/malus_x_domestica/?name=MDP0000283975","MDP0000283975")</f>
        <v>MDP0000283975</v>
      </c>
      <c r="D23707">
        <v>35.28</v>
      </c>
      <c r="E23707">
        <v>445</v>
      </c>
      <c r="F23707">
        <v>288</v>
      </c>
      <c r="G23707">
        <v>81</v>
      </c>
      <c r="H23707">
        <v>9</v>
      </c>
      <c r="I23707">
        <v>421</v>
      </c>
      <c r="J23707">
        <v>1</v>
      </c>
      <c r="K23707">
        <v>13</v>
      </c>
      <c r="L23707">
        <v>408</v>
      </c>
      <c r="M23707">
        <v>1</v>
      </c>
      <c r="N23707">
        <v>6.2659500000000004E-44</v>
      </c>
      <c r="O23707">
        <v>445</v>
      </c>
    </row>
    <row r="23708" spans="1:15" x14ac:dyDescent="0.25">
      <c r="A23708" t="s">
        <v>23721</v>
      </c>
      <c r="B23708">
        <v>867</v>
      </c>
      <c r="C23708" s="1" t="str">
        <f>HYPERLINK("http://www.rosaceae.org/gb/gbrowse/malus_x_domestica/?name=MDP0000278350","MDP0000278350")</f>
        <v>MDP0000278350</v>
      </c>
      <c r="D23708">
        <v>76.760000000000005</v>
      </c>
      <c r="E23708">
        <v>581</v>
      </c>
      <c r="F23708">
        <v>135</v>
      </c>
      <c r="G23708">
        <v>11</v>
      </c>
      <c r="H23708">
        <v>294</v>
      </c>
      <c r="I23708">
        <v>867</v>
      </c>
      <c r="J23708">
        <v>1</v>
      </c>
      <c r="K23708">
        <v>546</v>
      </c>
      <c r="L23708">
        <v>1122</v>
      </c>
      <c r="M23708">
        <v>1</v>
      </c>
      <c r="N23708">
        <v>0</v>
      </c>
      <c r="O23708">
        <v>2217</v>
      </c>
    </row>
    <row r="23709" spans="1:15" x14ac:dyDescent="0.25">
      <c r="A23709" t="s">
        <v>23722</v>
      </c>
      <c r="B23709">
        <v>300</v>
      </c>
      <c r="C23709" s="1" t="str">
        <f>HYPERLINK("http://www.rosaceae.org/gb/gbrowse/malus_x_domestica/?name=MDP0000788155","MDP0000788155")</f>
        <v>MDP0000788155</v>
      </c>
      <c r="D23709">
        <v>91.24</v>
      </c>
      <c r="E23709">
        <v>297</v>
      </c>
      <c r="F23709">
        <v>26</v>
      </c>
      <c r="G23709">
        <v>0</v>
      </c>
      <c r="H23709">
        <v>1</v>
      </c>
      <c r="I23709">
        <v>297</v>
      </c>
      <c r="J23709">
        <v>1</v>
      </c>
      <c r="K23709">
        <v>1</v>
      </c>
      <c r="L23709">
        <v>297</v>
      </c>
      <c r="M23709">
        <v>1</v>
      </c>
      <c r="N23709">
        <v>5.7144400000000005E-163</v>
      </c>
      <c r="O23709">
        <v>1469</v>
      </c>
    </row>
    <row r="23710" spans="1:15" x14ac:dyDescent="0.25">
      <c r="A23710" t="s">
        <v>23723</v>
      </c>
      <c r="B23710">
        <v>99</v>
      </c>
      <c r="C23710" s="1" t="str">
        <f>HYPERLINK("http://www.rosaceae.org/gb/gbrowse/malus_x_domestica/?name=MDP0000720497","MDP0000720497")</f>
        <v>MDP0000720497</v>
      </c>
      <c r="D23710">
        <v>77.55</v>
      </c>
      <c r="E23710">
        <v>98</v>
      </c>
      <c r="F23710">
        <v>22</v>
      </c>
      <c r="G23710">
        <v>2</v>
      </c>
      <c r="H23710">
        <v>2</v>
      </c>
      <c r="I23710">
        <v>99</v>
      </c>
      <c r="J23710">
        <v>1</v>
      </c>
      <c r="K23710">
        <v>29</v>
      </c>
      <c r="L23710">
        <v>124</v>
      </c>
      <c r="M23710">
        <v>1</v>
      </c>
      <c r="N23710">
        <v>1.48012E-36</v>
      </c>
      <c r="O23710">
        <v>373</v>
      </c>
    </row>
    <row r="23711" spans="1:15" x14ac:dyDescent="0.25">
      <c r="A23711" t="s">
        <v>23724</v>
      </c>
      <c r="B23711">
        <v>189</v>
      </c>
      <c r="C23711" s="1" t="str">
        <f>HYPERLINK("http://www.rosaceae.org/gb/gbrowse/malus_x_domestica/?name=MDP0000296877","MDP0000296877")</f>
        <v>MDP0000296877</v>
      </c>
      <c r="D23711">
        <v>56.91</v>
      </c>
      <c r="E23711">
        <v>123</v>
      </c>
      <c r="F23711">
        <v>53</v>
      </c>
      <c r="G23711">
        <v>2</v>
      </c>
      <c r="H23711">
        <v>1</v>
      </c>
      <c r="I23711">
        <v>121</v>
      </c>
      <c r="J23711">
        <v>1</v>
      </c>
      <c r="K23711">
        <v>39</v>
      </c>
      <c r="L23711">
        <v>161</v>
      </c>
      <c r="M23711">
        <v>1</v>
      </c>
      <c r="N23711">
        <v>4.06294E-34</v>
      </c>
      <c r="O23711">
        <v>355</v>
      </c>
    </row>
    <row r="23712" spans="1:15" x14ac:dyDescent="0.25">
      <c r="A23712" t="s">
        <v>23725</v>
      </c>
      <c r="B23712">
        <v>600</v>
      </c>
      <c r="C23712" s="1" t="str">
        <f>HYPERLINK("http://www.rosaceae.org/gb/gbrowse/malus_x_domestica/?name=MDP0000223397","MDP0000223397")</f>
        <v>MDP0000223397</v>
      </c>
      <c r="D23712">
        <v>79.27</v>
      </c>
      <c r="E23712">
        <v>608</v>
      </c>
      <c r="F23712">
        <v>126</v>
      </c>
      <c r="G23712">
        <v>36</v>
      </c>
      <c r="H23712">
        <v>1</v>
      </c>
      <c r="I23712">
        <v>600</v>
      </c>
      <c r="J23712">
        <v>1</v>
      </c>
      <c r="K23712">
        <v>1</v>
      </c>
      <c r="L23712">
        <v>580</v>
      </c>
      <c r="M23712">
        <v>1</v>
      </c>
      <c r="N23712">
        <v>0</v>
      </c>
      <c r="O23712">
        <v>2537</v>
      </c>
    </row>
    <row r="23713" spans="1:15" x14ac:dyDescent="0.25">
      <c r="A23713" t="s">
        <v>23726</v>
      </c>
      <c r="B23713">
        <v>334</v>
      </c>
      <c r="C23713" s="1" t="str">
        <f>HYPERLINK("http://www.rosaceae.org/gb/gbrowse/malus_x_domestica/?name=MDP0000570395","MDP0000570395")</f>
        <v>MDP0000570395</v>
      </c>
      <c r="D23713">
        <v>71.510000000000005</v>
      </c>
      <c r="E23713">
        <v>330</v>
      </c>
      <c r="F23713">
        <v>94</v>
      </c>
      <c r="G23713">
        <v>3</v>
      </c>
      <c r="H23713">
        <v>1</v>
      </c>
      <c r="I23713">
        <v>328</v>
      </c>
      <c r="J23713">
        <v>1</v>
      </c>
      <c r="K23713">
        <v>1</v>
      </c>
      <c r="L23713">
        <v>329</v>
      </c>
      <c r="M23713">
        <v>1</v>
      </c>
      <c r="N23713">
        <v>4.2716399999999999E-134</v>
      </c>
      <c r="O23713">
        <v>1221</v>
      </c>
    </row>
    <row r="23714" spans="1:15" x14ac:dyDescent="0.25">
      <c r="A23714" t="s">
        <v>23727</v>
      </c>
      <c r="B23714">
        <v>629</v>
      </c>
      <c r="C23714" s="1" t="str">
        <f>HYPERLINK("http://www.rosaceae.org/gb/gbrowse/malus_x_domestica/?name=MDP0000265846","MDP0000265846")</f>
        <v>MDP0000265846</v>
      </c>
      <c r="D23714">
        <v>78.16</v>
      </c>
      <c r="E23714">
        <v>229</v>
      </c>
      <c r="F23714">
        <v>50</v>
      </c>
      <c r="G23714">
        <v>4</v>
      </c>
      <c r="H23714">
        <v>146</v>
      </c>
      <c r="I23714">
        <v>371</v>
      </c>
      <c r="J23714">
        <v>1</v>
      </c>
      <c r="K23714">
        <v>40</v>
      </c>
      <c r="L23714">
        <v>267</v>
      </c>
      <c r="M23714">
        <v>1</v>
      </c>
      <c r="N23714">
        <v>4.8736099999999996E-106</v>
      </c>
      <c r="O23714">
        <v>982</v>
      </c>
    </row>
    <row r="23715" spans="1:15" x14ac:dyDescent="0.25">
      <c r="A23715" t="s">
        <v>23728</v>
      </c>
      <c r="B23715">
        <v>820</v>
      </c>
      <c r="C23715" s="1" t="str">
        <f>HYPERLINK("http://www.rosaceae.org/gb/gbrowse/malus_x_domestica/?name=MDP0000292200","MDP0000292200")</f>
        <v>MDP0000292200</v>
      </c>
      <c r="D23715">
        <v>65.92</v>
      </c>
      <c r="E23715">
        <v>810</v>
      </c>
      <c r="F23715">
        <v>276</v>
      </c>
      <c r="G23715">
        <v>36</v>
      </c>
      <c r="H23715">
        <v>25</v>
      </c>
      <c r="I23715">
        <v>804</v>
      </c>
      <c r="J23715">
        <v>1</v>
      </c>
      <c r="K23715">
        <v>23</v>
      </c>
      <c r="L23715">
        <v>826</v>
      </c>
      <c r="M23715">
        <v>1</v>
      </c>
      <c r="N23715">
        <v>0</v>
      </c>
      <c r="O23715">
        <v>2544</v>
      </c>
    </row>
    <row r="23716" spans="1:15" x14ac:dyDescent="0.25">
      <c r="A23716" t="s">
        <v>23729</v>
      </c>
      <c r="B23716">
        <v>136</v>
      </c>
      <c r="C23716" s="1" t="str">
        <f>HYPERLINK("http://www.rosaceae.org/gb/gbrowse/malus_x_domestica/?name=MDP0000402429","MDP0000402429")</f>
        <v>MDP0000402429</v>
      </c>
      <c r="D23716">
        <v>56.19</v>
      </c>
      <c r="E23716">
        <v>121</v>
      </c>
      <c r="F23716">
        <v>53</v>
      </c>
      <c r="G23716">
        <v>8</v>
      </c>
      <c r="H23716">
        <v>22</v>
      </c>
      <c r="I23716">
        <v>136</v>
      </c>
      <c r="J23716">
        <v>1</v>
      </c>
      <c r="K23716">
        <v>29</v>
      </c>
      <c r="L23716">
        <v>147</v>
      </c>
      <c r="M23716">
        <v>1</v>
      </c>
      <c r="N23716">
        <v>6.6827199999999998E-30</v>
      </c>
      <c r="O23716">
        <v>316</v>
      </c>
    </row>
    <row r="23717" spans="1:15" x14ac:dyDescent="0.25">
      <c r="A23717" t="s">
        <v>23730</v>
      </c>
      <c r="B23717">
        <v>612</v>
      </c>
      <c r="C23717" s="1" t="str">
        <f>HYPERLINK("http://www.rosaceae.org/gb/gbrowse/malus_x_domestica/?name=MDP0000872094","MDP0000872094")</f>
        <v>MDP0000872094</v>
      </c>
      <c r="D23717">
        <v>76.73</v>
      </c>
      <c r="E23717">
        <v>576</v>
      </c>
      <c r="F23717">
        <v>134</v>
      </c>
      <c r="G23717">
        <v>4</v>
      </c>
      <c r="H23717">
        <v>1</v>
      </c>
      <c r="I23717">
        <v>576</v>
      </c>
      <c r="J23717">
        <v>1</v>
      </c>
      <c r="K23717">
        <v>1</v>
      </c>
      <c r="L23717">
        <v>572</v>
      </c>
      <c r="M23717">
        <v>1</v>
      </c>
      <c r="N23717">
        <v>0</v>
      </c>
      <c r="O23717">
        <v>2378</v>
      </c>
    </row>
    <row r="23718" spans="1:15" x14ac:dyDescent="0.25">
      <c r="A23718" t="s">
        <v>23731</v>
      </c>
      <c r="B23718">
        <v>914</v>
      </c>
      <c r="C23718" s="1" t="str">
        <f>HYPERLINK("http://www.rosaceae.org/gb/gbrowse/malus_x_domestica/?name=MDP0000247921","MDP0000247921")</f>
        <v>MDP0000247921</v>
      </c>
      <c r="D23718">
        <v>34.479999999999997</v>
      </c>
      <c r="E23718">
        <v>87</v>
      </c>
      <c r="F23718">
        <v>57</v>
      </c>
      <c r="G23718">
        <v>0</v>
      </c>
      <c r="H23718">
        <v>337</v>
      </c>
      <c r="I23718">
        <v>423</v>
      </c>
      <c r="J23718">
        <v>1</v>
      </c>
      <c r="K23718">
        <v>574</v>
      </c>
      <c r="L23718">
        <v>660</v>
      </c>
      <c r="M23718">
        <v>1</v>
      </c>
      <c r="N23718">
        <v>3.4024300000000003E-11</v>
      </c>
      <c r="O23718">
        <v>166</v>
      </c>
    </row>
    <row r="23719" spans="1:15" x14ac:dyDescent="0.25">
      <c r="A23719" t="s">
        <v>23732</v>
      </c>
      <c r="B23719">
        <v>810</v>
      </c>
      <c r="C23719" s="1" t="str">
        <f>HYPERLINK("http://www.rosaceae.org/gb/gbrowse/malus_x_domestica/?name=MDP0000249581","MDP0000249581")</f>
        <v>MDP0000249581</v>
      </c>
      <c r="D23719">
        <v>68.14</v>
      </c>
      <c r="E23719">
        <v>540</v>
      </c>
      <c r="F23719">
        <v>172</v>
      </c>
      <c r="G23719">
        <v>13</v>
      </c>
      <c r="H23719">
        <v>249</v>
      </c>
      <c r="I23719">
        <v>788</v>
      </c>
      <c r="J23719">
        <v>1</v>
      </c>
      <c r="K23719">
        <v>267</v>
      </c>
      <c r="L23719">
        <v>793</v>
      </c>
      <c r="M23719">
        <v>1</v>
      </c>
      <c r="N23719">
        <v>0</v>
      </c>
      <c r="O23719">
        <v>1872</v>
      </c>
    </row>
    <row r="23720" spans="1:15" x14ac:dyDescent="0.25">
      <c r="A23720" t="s">
        <v>23733</v>
      </c>
      <c r="B23720">
        <v>217</v>
      </c>
      <c r="C23720" s="1" t="str">
        <f>HYPERLINK("http://www.rosaceae.org/gb/gbrowse/malus_x_domestica/?name=MDP0000143586","MDP0000143586")</f>
        <v>MDP0000143586</v>
      </c>
      <c r="D23720">
        <v>49.14</v>
      </c>
      <c r="E23720">
        <v>175</v>
      </c>
      <c r="F23720">
        <v>89</v>
      </c>
      <c r="G23720">
        <v>9</v>
      </c>
      <c r="H23720">
        <v>48</v>
      </c>
      <c r="I23720">
        <v>217</v>
      </c>
      <c r="J23720">
        <v>1</v>
      </c>
      <c r="K23720">
        <v>42</v>
      </c>
      <c r="L23720">
        <v>212</v>
      </c>
      <c r="M23720">
        <v>1</v>
      </c>
      <c r="N23720">
        <v>9.5006299999999992E-31</v>
      </c>
      <c r="O23720">
        <v>327</v>
      </c>
    </row>
    <row r="23721" spans="1:15" x14ac:dyDescent="0.25">
      <c r="A23721" t="s">
        <v>23734</v>
      </c>
      <c r="B23721">
        <v>363</v>
      </c>
      <c r="C23721" s="1" t="str">
        <f>HYPERLINK("http://www.rosaceae.org/gb/gbrowse/malus_x_domestica/?name=MDP0000539455","MDP0000539455")</f>
        <v>MDP0000539455</v>
      </c>
      <c r="D23721">
        <v>53.7</v>
      </c>
      <c r="E23721">
        <v>108</v>
      </c>
      <c r="F23721">
        <v>50</v>
      </c>
      <c r="G23721">
        <v>1</v>
      </c>
      <c r="H23721">
        <v>166</v>
      </c>
      <c r="I23721">
        <v>273</v>
      </c>
      <c r="J23721">
        <v>1</v>
      </c>
      <c r="K23721">
        <v>12</v>
      </c>
      <c r="L23721">
        <v>118</v>
      </c>
      <c r="M23721">
        <v>1</v>
      </c>
      <c r="N23721">
        <v>1.16366E-24</v>
      </c>
      <c r="O23721">
        <v>278</v>
      </c>
    </row>
    <row r="23722" spans="1:15" x14ac:dyDescent="0.25">
      <c r="A23722" t="s">
        <v>23735</v>
      </c>
      <c r="B23722">
        <v>593</v>
      </c>
      <c r="C23722" s="1" t="str">
        <f>HYPERLINK("http://www.rosaceae.org/gb/gbrowse/malus_x_domestica/?name=MDP0000871667","MDP0000871667")</f>
        <v>MDP0000871667</v>
      </c>
      <c r="D23722">
        <v>81.48</v>
      </c>
      <c r="E23722">
        <v>297</v>
      </c>
      <c r="F23722">
        <v>55</v>
      </c>
      <c r="G23722">
        <v>5</v>
      </c>
      <c r="H23722">
        <v>12</v>
      </c>
      <c r="I23722">
        <v>305</v>
      </c>
      <c r="J23722">
        <v>1</v>
      </c>
      <c r="K23722">
        <v>8</v>
      </c>
      <c r="L23722">
        <v>302</v>
      </c>
      <c r="M23722">
        <v>1</v>
      </c>
      <c r="N23722">
        <v>4.6360500000000003E-137</v>
      </c>
      <c r="O23722">
        <v>1249</v>
      </c>
    </row>
    <row r="23723" spans="1:15" x14ac:dyDescent="0.25">
      <c r="A23723" t="s">
        <v>23736</v>
      </c>
      <c r="B23723">
        <v>408</v>
      </c>
      <c r="C23723" s="1" t="str">
        <f>HYPERLINK("http://www.rosaceae.org/gb/gbrowse/malus_x_domestica/?name=MDP0000186977","MDP0000186977")</f>
        <v>MDP0000186977</v>
      </c>
      <c r="D23723">
        <v>88.05</v>
      </c>
      <c r="E23723">
        <v>67</v>
      </c>
      <c r="F23723">
        <v>8</v>
      </c>
      <c r="G23723">
        <v>0</v>
      </c>
      <c r="H23723">
        <v>230</v>
      </c>
      <c r="I23723">
        <v>296</v>
      </c>
      <c r="J23723">
        <v>1</v>
      </c>
      <c r="K23723">
        <v>1</v>
      </c>
      <c r="L23723">
        <v>67</v>
      </c>
      <c r="M23723">
        <v>1</v>
      </c>
      <c r="N23723">
        <v>9.08654E-27</v>
      </c>
      <c r="O23723">
        <v>296</v>
      </c>
    </row>
    <row r="23724" spans="1:15" x14ac:dyDescent="0.25">
      <c r="A23724" t="s">
        <v>23737</v>
      </c>
      <c r="B23724">
        <v>699</v>
      </c>
      <c r="C23724" s="1" t="str">
        <f>HYPERLINK("http://www.rosaceae.org/gb/gbrowse/malus_x_domestica/?name=MDP0000223799","MDP0000223799")</f>
        <v>MDP0000223799</v>
      </c>
      <c r="D23724">
        <v>78.77</v>
      </c>
      <c r="E23724">
        <v>669</v>
      </c>
      <c r="F23724">
        <v>142</v>
      </c>
      <c r="G23724">
        <v>13</v>
      </c>
      <c r="H23724">
        <v>39</v>
      </c>
      <c r="I23724">
        <v>699</v>
      </c>
      <c r="J23724">
        <v>1</v>
      </c>
      <c r="K23724">
        <v>40</v>
      </c>
      <c r="L23724">
        <v>703</v>
      </c>
      <c r="M23724">
        <v>1</v>
      </c>
      <c r="N23724">
        <v>0</v>
      </c>
      <c r="O23724">
        <v>2793</v>
      </c>
    </row>
    <row r="23725" spans="1:15" x14ac:dyDescent="0.25">
      <c r="A23725" t="s">
        <v>23738</v>
      </c>
      <c r="B23725">
        <v>512</v>
      </c>
      <c r="C23725" s="1" t="str">
        <f>HYPERLINK("http://www.rosaceae.org/gb/gbrowse/malus_x_domestica/?name=MDP0000126481","MDP0000126481")</f>
        <v>MDP0000126481</v>
      </c>
      <c r="D23725">
        <v>70.45</v>
      </c>
      <c r="E23725">
        <v>511</v>
      </c>
      <c r="F23725">
        <v>151</v>
      </c>
      <c r="G23725">
        <v>11</v>
      </c>
      <c r="H23725">
        <v>13</v>
      </c>
      <c r="I23725">
        <v>512</v>
      </c>
      <c r="J23725">
        <v>1</v>
      </c>
      <c r="K23725">
        <v>12</v>
      </c>
      <c r="L23725">
        <v>522</v>
      </c>
      <c r="M23725">
        <v>1</v>
      </c>
      <c r="N23725">
        <v>0</v>
      </c>
      <c r="O23725">
        <v>1975</v>
      </c>
    </row>
    <row r="23726" spans="1:15" x14ac:dyDescent="0.25">
      <c r="A23726" t="s">
        <v>23739</v>
      </c>
      <c r="B23726">
        <v>561</v>
      </c>
      <c r="C23726" s="1" t="str">
        <f>HYPERLINK("http://www.rosaceae.org/gb/gbrowse/malus_x_domestica/?name=MDP0000176747","MDP0000176747")</f>
        <v>MDP0000176747</v>
      </c>
      <c r="D23726">
        <v>62.06</v>
      </c>
      <c r="E23726">
        <v>58</v>
      </c>
      <c r="F23726">
        <v>22</v>
      </c>
      <c r="G23726">
        <v>0</v>
      </c>
      <c r="H23726">
        <v>3</v>
      </c>
      <c r="I23726">
        <v>60</v>
      </c>
      <c r="J23726">
        <v>1</v>
      </c>
      <c r="K23726">
        <v>158</v>
      </c>
      <c r="L23726">
        <v>215</v>
      </c>
      <c r="M23726">
        <v>1</v>
      </c>
      <c r="N23726">
        <v>8.6760400000000005E-13</v>
      </c>
      <c r="O23726">
        <v>177</v>
      </c>
    </row>
    <row r="23727" spans="1:15" x14ac:dyDescent="0.25">
      <c r="A23727" t="s">
        <v>23740</v>
      </c>
      <c r="B23727">
        <v>444</v>
      </c>
      <c r="C23727" s="1" t="str">
        <f>HYPERLINK("http://www.rosaceae.org/gb/gbrowse/malus_x_domestica/?name=MDP0000286293","MDP0000286293")</f>
        <v>MDP0000286293</v>
      </c>
      <c r="D23727">
        <v>37.89</v>
      </c>
      <c r="E23727">
        <v>256</v>
      </c>
      <c r="F23727">
        <v>159</v>
      </c>
      <c r="G23727">
        <v>21</v>
      </c>
      <c r="H23727">
        <v>5</v>
      </c>
      <c r="I23727">
        <v>245</v>
      </c>
      <c r="J23727">
        <v>1</v>
      </c>
      <c r="K23727">
        <v>438</v>
      </c>
      <c r="L23727">
        <v>687</v>
      </c>
      <c r="M23727">
        <v>1</v>
      </c>
      <c r="N23727">
        <v>1.48914E-40</v>
      </c>
      <c r="O23727">
        <v>416</v>
      </c>
    </row>
    <row r="23728" spans="1:15" x14ac:dyDescent="0.25">
      <c r="A23728" t="s">
        <v>23741</v>
      </c>
      <c r="B23728">
        <v>803</v>
      </c>
      <c r="C23728" s="1" t="str">
        <f>HYPERLINK("http://www.rosaceae.org/gb/gbrowse/malus_x_domestica/?name=MDP0000088815","MDP0000088815")</f>
        <v>MDP0000088815</v>
      </c>
      <c r="D23728">
        <v>50.97</v>
      </c>
      <c r="E23728">
        <v>720</v>
      </c>
      <c r="F23728">
        <v>353</v>
      </c>
      <c r="G23728">
        <v>37</v>
      </c>
      <c r="H23728">
        <v>119</v>
      </c>
      <c r="I23728">
        <v>803</v>
      </c>
      <c r="J23728">
        <v>1</v>
      </c>
      <c r="K23728">
        <v>297</v>
      </c>
      <c r="L23728">
        <v>1014</v>
      </c>
      <c r="M23728">
        <v>1</v>
      </c>
      <c r="N23728">
        <v>0</v>
      </c>
      <c r="O23728">
        <v>1638</v>
      </c>
    </row>
    <row r="23729" spans="1:15" x14ac:dyDescent="0.25">
      <c r="A23729" t="s">
        <v>23742</v>
      </c>
      <c r="B23729">
        <v>405</v>
      </c>
      <c r="C23729" s="1" t="str">
        <f>HYPERLINK("http://www.rosaceae.org/gb/gbrowse/malus_x_domestica/?name=MDP0000236009","MDP0000236009")</f>
        <v>MDP0000236009</v>
      </c>
      <c r="D23729">
        <v>53.03</v>
      </c>
      <c r="E23729">
        <v>66</v>
      </c>
      <c r="F23729">
        <v>31</v>
      </c>
      <c r="G23729">
        <v>0</v>
      </c>
      <c r="H23729">
        <v>49</v>
      </c>
      <c r="I23729">
        <v>114</v>
      </c>
      <c r="J23729">
        <v>1</v>
      </c>
      <c r="K23729">
        <v>130</v>
      </c>
      <c r="L23729">
        <v>195</v>
      </c>
      <c r="M23729">
        <v>1</v>
      </c>
      <c r="N23729">
        <v>1.2103299999999999E-10</v>
      </c>
      <c r="O23729">
        <v>157</v>
      </c>
    </row>
    <row r="23730" spans="1:15" x14ac:dyDescent="0.25">
      <c r="A23730" t="s">
        <v>23743</v>
      </c>
      <c r="B23730">
        <v>636</v>
      </c>
      <c r="C23730" s="1" t="str">
        <f>HYPERLINK("http://www.rosaceae.org/gb/gbrowse/malus_x_domestica/?name=MDP0000725634","MDP0000725634")</f>
        <v>MDP0000725634</v>
      </c>
      <c r="D23730">
        <v>33.51</v>
      </c>
      <c r="E23730">
        <v>370</v>
      </c>
      <c r="F23730">
        <v>246</v>
      </c>
      <c r="G23730">
        <v>34</v>
      </c>
      <c r="H23730">
        <v>282</v>
      </c>
      <c r="I23730">
        <v>627</v>
      </c>
      <c r="J23730">
        <v>1</v>
      </c>
      <c r="K23730">
        <v>57</v>
      </c>
      <c r="L23730">
        <v>416</v>
      </c>
      <c r="M23730">
        <v>1</v>
      </c>
      <c r="N23730">
        <v>7.8325999999999999E-41</v>
      </c>
      <c r="O23730">
        <v>420</v>
      </c>
    </row>
    <row r="23731" spans="1:15" x14ac:dyDescent="0.25">
      <c r="A23731" t="s">
        <v>23744</v>
      </c>
      <c r="B23731">
        <v>362</v>
      </c>
      <c r="C23731" s="1" t="str">
        <f>HYPERLINK("http://www.rosaceae.org/gb/gbrowse/malus_x_domestica/?name=MDP0000284163","MDP0000284163")</f>
        <v>MDP0000284163</v>
      </c>
      <c r="D23731">
        <v>83.14</v>
      </c>
      <c r="E23731">
        <v>362</v>
      </c>
      <c r="F23731">
        <v>61</v>
      </c>
      <c r="G23731">
        <v>2</v>
      </c>
      <c r="H23731">
        <v>1</v>
      </c>
      <c r="I23731">
        <v>362</v>
      </c>
      <c r="J23731">
        <v>1</v>
      </c>
      <c r="K23731">
        <v>22</v>
      </c>
      <c r="L23731">
        <v>381</v>
      </c>
      <c r="M23731">
        <v>1</v>
      </c>
      <c r="N23731">
        <v>0</v>
      </c>
      <c r="O23731">
        <v>1632</v>
      </c>
    </row>
    <row r="23732" spans="1:15" x14ac:dyDescent="0.25">
      <c r="A23732" t="s">
        <v>23745</v>
      </c>
      <c r="B23732">
        <v>888</v>
      </c>
      <c r="C23732" s="1" t="str">
        <f>HYPERLINK("http://www.rosaceae.org/gb/gbrowse/malus_x_domestica/?name=MDP0000303817","MDP0000303817")</f>
        <v>MDP0000303817</v>
      </c>
      <c r="D23732">
        <v>55.29</v>
      </c>
      <c r="E23732">
        <v>633</v>
      </c>
      <c r="F23732">
        <v>283</v>
      </c>
      <c r="G23732">
        <v>44</v>
      </c>
      <c r="H23732">
        <v>18</v>
      </c>
      <c r="I23732">
        <v>623</v>
      </c>
      <c r="J23732">
        <v>1</v>
      </c>
      <c r="K23732">
        <v>154</v>
      </c>
      <c r="L23732">
        <v>769</v>
      </c>
      <c r="M23732">
        <v>1</v>
      </c>
      <c r="N23732">
        <v>0</v>
      </c>
      <c r="O23732">
        <v>1633</v>
      </c>
    </row>
    <row r="23733" spans="1:15" x14ac:dyDescent="0.25">
      <c r="A23733" t="s">
        <v>23746</v>
      </c>
      <c r="B23733">
        <v>110</v>
      </c>
      <c r="C23733" s="1" t="str">
        <f>HYPERLINK("http://www.rosaceae.org/gb/gbrowse/malus_x_domestica/?name=MDP0000211188","MDP0000211188")</f>
        <v>MDP0000211188</v>
      </c>
      <c r="D23733">
        <v>83.63</v>
      </c>
      <c r="E23733">
        <v>110</v>
      </c>
      <c r="F23733">
        <v>18</v>
      </c>
      <c r="G23733">
        <v>0</v>
      </c>
      <c r="H23733">
        <v>1</v>
      </c>
      <c r="I23733">
        <v>110</v>
      </c>
      <c r="J23733">
        <v>1</v>
      </c>
      <c r="K23733">
        <v>1</v>
      </c>
      <c r="L23733">
        <v>110</v>
      </c>
      <c r="M23733">
        <v>1</v>
      </c>
      <c r="N23733">
        <v>1.94112E-48</v>
      </c>
      <c r="O23733">
        <v>475</v>
      </c>
    </row>
    <row r="23734" spans="1:15" x14ac:dyDescent="0.25">
      <c r="A23734" t="s">
        <v>23747</v>
      </c>
      <c r="B23734">
        <v>327</v>
      </c>
      <c r="C23734" s="1" t="str">
        <f>HYPERLINK("http://www.rosaceae.org/gb/gbrowse/malus_x_domestica/?name=MDP0000191231","MDP0000191231")</f>
        <v>MDP0000191231</v>
      </c>
      <c r="D23734">
        <v>71.099999999999994</v>
      </c>
      <c r="E23734">
        <v>263</v>
      </c>
      <c r="F23734">
        <v>76</v>
      </c>
      <c r="G23734">
        <v>17</v>
      </c>
      <c r="H23734">
        <v>82</v>
      </c>
      <c r="I23734">
        <v>327</v>
      </c>
      <c r="J23734">
        <v>1</v>
      </c>
      <c r="K23734">
        <v>36</v>
      </c>
      <c r="L23734">
        <v>298</v>
      </c>
      <c r="M23734">
        <v>1</v>
      </c>
      <c r="N23734">
        <v>1.02903E-102</v>
      </c>
      <c r="O23734">
        <v>950</v>
      </c>
    </row>
    <row r="23735" spans="1:15" x14ac:dyDescent="0.25">
      <c r="A23735" t="s">
        <v>23748</v>
      </c>
      <c r="B23735">
        <v>250</v>
      </c>
      <c r="C23735" s="1" t="str">
        <f>HYPERLINK("http://www.rosaceae.org/gb/gbrowse/malus_x_domestica/?name=MDP0000420192","MDP0000420192")</f>
        <v>MDP0000420192</v>
      </c>
      <c r="D23735">
        <v>59.03</v>
      </c>
      <c r="E23735">
        <v>227</v>
      </c>
      <c r="F23735">
        <v>93</v>
      </c>
      <c r="G23735">
        <v>13</v>
      </c>
      <c r="H23735">
        <v>37</v>
      </c>
      <c r="I23735">
        <v>250</v>
      </c>
      <c r="J23735">
        <v>1</v>
      </c>
      <c r="K23735">
        <v>48</v>
      </c>
      <c r="L23735">
        <v>274</v>
      </c>
      <c r="M23735">
        <v>1</v>
      </c>
      <c r="N23735">
        <v>1.20078E-59</v>
      </c>
      <c r="O23735">
        <v>577</v>
      </c>
    </row>
    <row r="23736" spans="1:15" x14ac:dyDescent="0.25">
      <c r="A23736" t="s">
        <v>23749</v>
      </c>
      <c r="B23736">
        <v>336</v>
      </c>
      <c r="C23736" s="1" t="str">
        <f>HYPERLINK("http://www.rosaceae.org/gb/gbrowse/malus_x_domestica/?name=MDP0000141593","MDP0000141593")</f>
        <v>MDP0000141593</v>
      </c>
      <c r="D23736">
        <v>48.34</v>
      </c>
      <c r="E23736">
        <v>362</v>
      </c>
      <c r="F23736">
        <v>187</v>
      </c>
      <c r="G23736">
        <v>58</v>
      </c>
      <c r="H23736">
        <v>17</v>
      </c>
      <c r="I23736">
        <v>325</v>
      </c>
      <c r="J23736">
        <v>1</v>
      </c>
      <c r="K23736">
        <v>47</v>
      </c>
      <c r="L23736">
        <v>403</v>
      </c>
      <c r="M23736">
        <v>1</v>
      </c>
      <c r="N23736">
        <v>7.5736900000000005E-88</v>
      </c>
      <c r="O23736">
        <v>822</v>
      </c>
    </row>
    <row r="23737" spans="1:15" x14ac:dyDescent="0.25">
      <c r="A23737" t="s">
        <v>23750</v>
      </c>
      <c r="B23737">
        <v>603</v>
      </c>
      <c r="C23737" s="1" t="str">
        <f>HYPERLINK("http://www.rosaceae.org/gb/gbrowse/malus_x_domestica/?name=MDP0000278025","MDP0000278025")</f>
        <v>MDP0000278025</v>
      </c>
      <c r="D23737">
        <v>48.58</v>
      </c>
      <c r="E23737">
        <v>177</v>
      </c>
      <c r="F23737">
        <v>91</v>
      </c>
      <c r="G23737">
        <v>23</v>
      </c>
      <c r="H23737">
        <v>200</v>
      </c>
      <c r="I23737">
        <v>360</v>
      </c>
      <c r="J23737">
        <v>1</v>
      </c>
      <c r="K23737">
        <v>596</v>
      </c>
      <c r="L23737">
        <v>765</v>
      </c>
      <c r="M23737">
        <v>1</v>
      </c>
      <c r="N23737">
        <v>1.5405799999999998E-36</v>
      </c>
      <c r="O23737">
        <v>382</v>
      </c>
    </row>
    <row r="23738" spans="1:15" x14ac:dyDescent="0.25">
      <c r="A23738" t="s">
        <v>23751</v>
      </c>
      <c r="B23738">
        <v>483</v>
      </c>
      <c r="C23738" s="1" t="str">
        <f>HYPERLINK("http://www.rosaceae.org/gb/gbrowse/malus_x_domestica/?name=MDP0000303132","MDP0000303132")</f>
        <v>MDP0000303132</v>
      </c>
      <c r="D23738">
        <v>69.73</v>
      </c>
      <c r="E23738">
        <v>446</v>
      </c>
      <c r="F23738">
        <v>135</v>
      </c>
      <c r="G23738">
        <v>28</v>
      </c>
      <c r="H23738">
        <v>31</v>
      </c>
      <c r="I23738">
        <v>476</v>
      </c>
      <c r="J23738">
        <v>1</v>
      </c>
      <c r="K23738">
        <v>27</v>
      </c>
      <c r="L23738">
        <v>444</v>
      </c>
      <c r="M23738">
        <v>1</v>
      </c>
      <c r="N23738">
        <v>0</v>
      </c>
      <c r="O23738">
        <v>1768</v>
      </c>
    </row>
    <row r="23739" spans="1:15" x14ac:dyDescent="0.25">
      <c r="A23739" t="s">
        <v>23752</v>
      </c>
      <c r="B23739">
        <v>683</v>
      </c>
      <c r="C23739" s="1" t="str">
        <f>HYPERLINK("http://www.rosaceae.org/gb/gbrowse/malus_x_domestica/?name=MDP0000262678","MDP0000262678")</f>
        <v>MDP0000262678</v>
      </c>
      <c r="D23739">
        <v>61.19</v>
      </c>
      <c r="E23739">
        <v>688</v>
      </c>
      <c r="F23739">
        <v>267</v>
      </c>
      <c r="G23739">
        <v>63</v>
      </c>
      <c r="H23739">
        <v>1</v>
      </c>
      <c r="I23739">
        <v>683</v>
      </c>
      <c r="J23739">
        <v>1</v>
      </c>
      <c r="K23739">
        <v>52</v>
      </c>
      <c r="L23739">
        <v>681</v>
      </c>
      <c r="M23739">
        <v>1</v>
      </c>
      <c r="N23739">
        <v>0</v>
      </c>
      <c r="O23739">
        <v>2124</v>
      </c>
    </row>
    <row r="23740" spans="1:15" x14ac:dyDescent="0.25">
      <c r="A23740" t="s">
        <v>23753</v>
      </c>
      <c r="B23740">
        <v>265</v>
      </c>
      <c r="C23740" s="1" t="str">
        <f>HYPERLINK("http://www.rosaceae.org/gb/gbrowse/malus_x_domestica/?name=MDP0000626197","MDP0000626197")</f>
        <v>MDP0000626197</v>
      </c>
      <c r="D23740">
        <v>46.31</v>
      </c>
      <c r="E23740">
        <v>285</v>
      </c>
      <c r="F23740">
        <v>153</v>
      </c>
      <c r="G23740">
        <v>30</v>
      </c>
      <c r="H23740">
        <v>5</v>
      </c>
      <c r="I23740">
        <v>265</v>
      </c>
      <c r="J23740">
        <v>1</v>
      </c>
      <c r="K23740">
        <v>3</v>
      </c>
      <c r="L23740">
        <v>281</v>
      </c>
      <c r="M23740">
        <v>1</v>
      </c>
      <c r="N23740">
        <v>1.6532E-59</v>
      </c>
      <c r="O23740">
        <v>576</v>
      </c>
    </row>
    <row r="23741" spans="1:15" x14ac:dyDescent="0.25">
      <c r="A23741" t="s">
        <v>23754</v>
      </c>
      <c r="B23741">
        <v>105</v>
      </c>
      <c r="C23741" s="1" t="str">
        <f>HYPERLINK("http://www.rosaceae.org/gb/gbrowse/malus_x_domestica/?name=MDP0000273754","MDP0000273754")</f>
        <v>MDP0000273754</v>
      </c>
      <c r="D23741">
        <v>78.430000000000007</v>
      </c>
      <c r="E23741">
        <v>102</v>
      </c>
      <c r="F23741">
        <v>22</v>
      </c>
      <c r="G23741">
        <v>1</v>
      </c>
      <c r="H23741">
        <v>1</v>
      </c>
      <c r="I23741">
        <v>102</v>
      </c>
      <c r="J23741">
        <v>1</v>
      </c>
      <c r="K23741">
        <v>1</v>
      </c>
      <c r="L23741">
        <v>101</v>
      </c>
      <c r="M23741">
        <v>1</v>
      </c>
      <c r="N23741">
        <v>9.1074800000000001E-41</v>
      </c>
      <c r="O23741">
        <v>409</v>
      </c>
    </row>
    <row r="23742" spans="1:15" x14ac:dyDescent="0.25">
      <c r="A23742" t="s">
        <v>23755</v>
      </c>
      <c r="B23742">
        <v>318</v>
      </c>
      <c r="C23742" s="1" t="str">
        <f>HYPERLINK("http://www.rosaceae.org/gb/gbrowse/malus_x_domestica/?name=MDP0000315483","MDP0000315483")</f>
        <v>MDP0000315483</v>
      </c>
      <c r="D23742">
        <v>73.75</v>
      </c>
      <c r="E23742">
        <v>141</v>
      </c>
      <c r="F23742">
        <v>37</v>
      </c>
      <c r="G23742">
        <v>0</v>
      </c>
      <c r="H23742">
        <v>22</v>
      </c>
      <c r="I23742">
        <v>162</v>
      </c>
      <c r="J23742">
        <v>1</v>
      </c>
      <c r="K23742">
        <v>72</v>
      </c>
      <c r="L23742">
        <v>212</v>
      </c>
      <c r="M23742">
        <v>1</v>
      </c>
      <c r="N23742">
        <v>1.8999200000000001E-61</v>
      </c>
      <c r="O23742">
        <v>594</v>
      </c>
    </row>
    <row r="23743" spans="1:15" x14ac:dyDescent="0.25">
      <c r="A23743" t="s">
        <v>23756</v>
      </c>
      <c r="B23743">
        <v>391</v>
      </c>
      <c r="C23743" s="1" t="str">
        <f>HYPERLINK("http://www.rosaceae.org/gb/gbrowse/malus_x_domestica/?name=MDP0000878686","MDP0000878686")</f>
        <v>MDP0000878686</v>
      </c>
      <c r="D23743">
        <v>36.14</v>
      </c>
      <c r="E23743">
        <v>379</v>
      </c>
      <c r="F23743">
        <v>242</v>
      </c>
      <c r="G23743">
        <v>42</v>
      </c>
      <c r="H23743">
        <v>37</v>
      </c>
      <c r="I23743">
        <v>391</v>
      </c>
      <c r="J23743">
        <v>1</v>
      </c>
      <c r="K23743">
        <v>16</v>
      </c>
      <c r="L23743">
        <v>376</v>
      </c>
      <c r="M23743">
        <v>1</v>
      </c>
      <c r="N23743">
        <v>2.4332800000000001E-51</v>
      </c>
      <c r="O23743">
        <v>508</v>
      </c>
    </row>
    <row r="23744" spans="1:15" x14ac:dyDescent="0.25">
      <c r="A23744" t="s">
        <v>23757</v>
      </c>
      <c r="B23744">
        <v>864</v>
      </c>
      <c r="C23744" s="1" t="str">
        <f>HYPERLINK("http://www.rosaceae.org/gb/gbrowse/malus_x_domestica/?name=MDP0000172441","MDP0000172441")</f>
        <v>MDP0000172441</v>
      </c>
      <c r="D23744">
        <v>47.46</v>
      </c>
      <c r="E23744">
        <v>830</v>
      </c>
      <c r="F23744">
        <v>436</v>
      </c>
      <c r="G23744">
        <v>108</v>
      </c>
      <c r="H23744">
        <v>55</v>
      </c>
      <c r="I23744">
        <v>802</v>
      </c>
      <c r="J23744">
        <v>1</v>
      </c>
      <c r="K23744">
        <v>93</v>
      </c>
      <c r="L23744">
        <v>896</v>
      </c>
      <c r="M23744">
        <v>1</v>
      </c>
      <c r="N23744">
        <v>0</v>
      </c>
      <c r="O23744">
        <v>1634</v>
      </c>
    </row>
    <row r="23745" spans="1:15" x14ac:dyDescent="0.25">
      <c r="A23745" t="s">
        <v>23758</v>
      </c>
      <c r="B23745">
        <v>265</v>
      </c>
      <c r="C23745" s="1" t="str">
        <f>HYPERLINK("http://www.rosaceae.org/gb/gbrowse/malus_x_domestica/?name=MDP0000181421","MDP0000181421")</f>
        <v>MDP0000181421</v>
      </c>
      <c r="D23745">
        <v>60.55</v>
      </c>
      <c r="E23745">
        <v>289</v>
      </c>
      <c r="F23745">
        <v>114</v>
      </c>
      <c r="G23745">
        <v>28</v>
      </c>
      <c r="H23745">
        <v>1</v>
      </c>
      <c r="I23745">
        <v>265</v>
      </c>
      <c r="J23745">
        <v>1</v>
      </c>
      <c r="K23745">
        <v>1</v>
      </c>
      <c r="L23745">
        <v>285</v>
      </c>
      <c r="M23745">
        <v>1</v>
      </c>
      <c r="N23745">
        <v>6.5531499999999996E-86</v>
      </c>
      <c r="O23745">
        <v>804</v>
      </c>
    </row>
    <row r="23746" spans="1:15" x14ac:dyDescent="0.25">
      <c r="A23746" t="s">
        <v>23759</v>
      </c>
      <c r="B23746">
        <v>94</v>
      </c>
      <c r="C23746" s="1" t="str">
        <f>HYPERLINK("http://www.rosaceae.org/gb/gbrowse/malus_x_domestica/?name=MDP0000121305","MDP0000121305")</f>
        <v>MDP0000121305</v>
      </c>
      <c r="D23746">
        <v>48.31</v>
      </c>
      <c r="E23746">
        <v>89</v>
      </c>
      <c r="F23746">
        <v>46</v>
      </c>
      <c r="G23746">
        <v>32</v>
      </c>
      <c r="H23746">
        <v>3</v>
      </c>
      <c r="I23746">
        <v>59</v>
      </c>
      <c r="J23746">
        <v>1</v>
      </c>
      <c r="K23746">
        <v>513</v>
      </c>
      <c r="L23746">
        <v>601</v>
      </c>
      <c r="M23746">
        <v>1</v>
      </c>
      <c r="N23746">
        <v>2.9728700000000002E-18</v>
      </c>
      <c r="O23746">
        <v>215</v>
      </c>
    </row>
    <row r="23747" spans="1:15" x14ac:dyDescent="0.25">
      <c r="A23747" t="s">
        <v>23760</v>
      </c>
      <c r="B23747">
        <v>341</v>
      </c>
      <c r="C23747" s="1" t="str">
        <f>HYPERLINK("http://www.rosaceae.org/gb/gbrowse/malus_x_domestica/?name=MDP0000125771","MDP0000125771")</f>
        <v>MDP0000125771</v>
      </c>
      <c r="D23747">
        <v>70.22</v>
      </c>
      <c r="E23747">
        <v>309</v>
      </c>
      <c r="F23747">
        <v>92</v>
      </c>
      <c r="G23747">
        <v>32</v>
      </c>
      <c r="H23747">
        <v>38</v>
      </c>
      <c r="I23747">
        <v>335</v>
      </c>
      <c r="J23747">
        <v>1</v>
      </c>
      <c r="K23747">
        <v>38</v>
      </c>
      <c r="L23747">
        <v>325</v>
      </c>
      <c r="M23747">
        <v>1</v>
      </c>
      <c r="N23747">
        <v>7.2347800000000001E-118</v>
      </c>
      <c r="O23747">
        <v>1081</v>
      </c>
    </row>
    <row r="23748" spans="1:15" x14ac:dyDescent="0.25">
      <c r="A23748" t="s">
        <v>23761</v>
      </c>
      <c r="B23748">
        <v>207</v>
      </c>
      <c r="C23748" s="1" t="str">
        <f>HYPERLINK("http://www.rosaceae.org/gb/gbrowse/malus_x_domestica/?name=MDP0000178596","MDP0000178596")</f>
        <v>MDP0000178596</v>
      </c>
      <c r="D23748">
        <v>75.63</v>
      </c>
      <c r="E23748">
        <v>197</v>
      </c>
      <c r="F23748">
        <v>48</v>
      </c>
      <c r="G23748">
        <v>17</v>
      </c>
      <c r="H23748">
        <v>1</v>
      </c>
      <c r="I23748">
        <v>195</v>
      </c>
      <c r="J23748">
        <v>1</v>
      </c>
      <c r="K23748">
        <v>1</v>
      </c>
      <c r="L23748">
        <v>182</v>
      </c>
      <c r="M23748">
        <v>1</v>
      </c>
      <c r="N23748">
        <v>7.3139100000000003E-81</v>
      </c>
      <c r="O23748">
        <v>759</v>
      </c>
    </row>
    <row r="23749" spans="1:15" x14ac:dyDescent="0.25">
      <c r="A23749" t="s">
        <v>23762</v>
      </c>
      <c r="B23749">
        <v>112</v>
      </c>
      <c r="C23749" s="1" t="str">
        <f>HYPERLINK("http://www.rosaceae.org/gb/gbrowse/malus_x_domestica/?name=MDP0000120973","MDP0000120973")</f>
        <v>MDP0000120973</v>
      </c>
      <c r="D23749">
        <v>68.569999999999993</v>
      </c>
      <c r="E23749">
        <v>70</v>
      </c>
      <c r="F23749">
        <v>22</v>
      </c>
      <c r="G23749">
        <v>0</v>
      </c>
      <c r="H23749">
        <v>6</v>
      </c>
      <c r="I23749">
        <v>75</v>
      </c>
      <c r="J23749">
        <v>1</v>
      </c>
      <c r="K23749">
        <v>14</v>
      </c>
      <c r="L23749">
        <v>83</v>
      </c>
      <c r="M23749">
        <v>1</v>
      </c>
      <c r="N23749">
        <v>1.5159300000000001E-20</v>
      </c>
      <c r="O23749">
        <v>235</v>
      </c>
    </row>
    <row r="23750" spans="1:15" x14ac:dyDescent="0.25">
      <c r="A23750" t="s">
        <v>23763</v>
      </c>
      <c r="B23750">
        <v>225</v>
      </c>
      <c r="C23750" s="1" t="str">
        <f>HYPERLINK("http://www.rosaceae.org/gb/gbrowse/malus_x_domestica/?name=MDP0000407995","MDP0000407995")</f>
        <v>MDP0000407995</v>
      </c>
      <c r="D23750">
        <v>75.53</v>
      </c>
      <c r="E23750">
        <v>139</v>
      </c>
      <c r="F23750">
        <v>34</v>
      </c>
      <c r="G23750">
        <v>0</v>
      </c>
      <c r="H23750">
        <v>6</v>
      </c>
      <c r="I23750">
        <v>144</v>
      </c>
      <c r="J23750">
        <v>1</v>
      </c>
      <c r="K23750">
        <v>1</v>
      </c>
      <c r="L23750">
        <v>139</v>
      </c>
      <c r="M23750">
        <v>1</v>
      </c>
      <c r="N23750">
        <v>2.4867700000000001E-63</v>
      </c>
      <c r="O23750">
        <v>608</v>
      </c>
    </row>
    <row r="23751" spans="1:15" x14ac:dyDescent="0.25">
      <c r="A23751" t="s">
        <v>23764</v>
      </c>
      <c r="B23751">
        <v>402</v>
      </c>
      <c r="C23751" s="1" t="str">
        <f>HYPERLINK("http://www.rosaceae.org/gb/gbrowse/malus_x_domestica/?name=MDP0000124997","MDP0000124997")</f>
        <v>MDP0000124997</v>
      </c>
      <c r="D23751">
        <v>67.88</v>
      </c>
      <c r="E23751">
        <v>302</v>
      </c>
      <c r="F23751">
        <v>97</v>
      </c>
      <c r="G23751">
        <v>37</v>
      </c>
      <c r="H23751">
        <v>138</v>
      </c>
      <c r="I23751">
        <v>402</v>
      </c>
      <c r="J23751">
        <v>1</v>
      </c>
      <c r="K23751">
        <v>10</v>
      </c>
      <c r="L23751">
        <v>311</v>
      </c>
      <c r="M23751">
        <v>1</v>
      </c>
      <c r="N23751">
        <v>1.36232E-114</v>
      </c>
      <c r="O23751">
        <v>1054</v>
      </c>
    </row>
    <row r="23752" spans="1:15" x14ac:dyDescent="0.25">
      <c r="A23752" t="s">
        <v>23765</v>
      </c>
      <c r="B23752">
        <v>141</v>
      </c>
      <c r="C23752" s="1" t="str">
        <f>HYPERLINK("http://www.rosaceae.org/gb/gbrowse/malus_x_domestica/?name=MDP0000411286","MDP0000411286")</f>
        <v>MDP0000411286</v>
      </c>
      <c r="D23752">
        <v>51.85</v>
      </c>
      <c r="E23752">
        <v>135</v>
      </c>
      <c r="F23752">
        <v>65</v>
      </c>
      <c r="G23752">
        <v>0</v>
      </c>
      <c r="H23752">
        <v>1</v>
      </c>
      <c r="I23752">
        <v>135</v>
      </c>
      <c r="J23752">
        <v>1</v>
      </c>
      <c r="K23752">
        <v>553</v>
      </c>
      <c r="L23752">
        <v>687</v>
      </c>
      <c r="M23752">
        <v>1</v>
      </c>
      <c r="N23752">
        <v>9.8543599999999998E-43</v>
      </c>
      <c r="O23752">
        <v>427</v>
      </c>
    </row>
    <row r="23753" spans="1:15" x14ac:dyDescent="0.25">
      <c r="A23753" t="s">
        <v>23766</v>
      </c>
      <c r="B23753">
        <v>698</v>
      </c>
      <c r="C23753" s="1" t="str">
        <f>HYPERLINK("http://www.rosaceae.org/gb/gbrowse/malus_x_domestica/?name=MDP0000123001","MDP0000123001")</f>
        <v>MDP0000123001</v>
      </c>
      <c r="D23753">
        <v>71.86</v>
      </c>
      <c r="E23753">
        <v>718</v>
      </c>
      <c r="F23753">
        <v>202</v>
      </c>
      <c r="G23753">
        <v>46</v>
      </c>
      <c r="H23753">
        <v>1</v>
      </c>
      <c r="I23753">
        <v>698</v>
      </c>
      <c r="J23753">
        <v>1</v>
      </c>
      <c r="K23753">
        <v>1</v>
      </c>
      <c r="L23753">
        <v>692</v>
      </c>
      <c r="M23753">
        <v>1</v>
      </c>
      <c r="N23753">
        <v>0</v>
      </c>
      <c r="O23753">
        <v>2585</v>
      </c>
    </row>
    <row r="23754" spans="1:15" x14ac:dyDescent="0.25">
      <c r="A23754" t="s">
        <v>23767</v>
      </c>
      <c r="B23754">
        <v>645</v>
      </c>
      <c r="C23754" s="1" t="str">
        <f>HYPERLINK("http://www.rosaceae.org/gb/gbrowse/malus_x_domestica/?name=MDP0000263198","MDP0000263198")</f>
        <v>MDP0000263198</v>
      </c>
      <c r="D23754">
        <v>79.69</v>
      </c>
      <c r="E23754">
        <v>650</v>
      </c>
      <c r="F23754">
        <v>132</v>
      </c>
      <c r="G23754">
        <v>24</v>
      </c>
      <c r="H23754">
        <v>1</v>
      </c>
      <c r="I23754">
        <v>643</v>
      </c>
      <c r="J23754">
        <v>1</v>
      </c>
      <c r="K23754">
        <v>1</v>
      </c>
      <c r="L23754">
        <v>633</v>
      </c>
      <c r="M23754">
        <v>1</v>
      </c>
      <c r="N23754">
        <v>0</v>
      </c>
      <c r="O23754">
        <v>2607</v>
      </c>
    </row>
    <row r="23755" spans="1:15" x14ac:dyDescent="0.25">
      <c r="A23755" t="s">
        <v>23768</v>
      </c>
      <c r="B23755">
        <v>211</v>
      </c>
      <c r="C23755" s="1" t="str">
        <f>HYPERLINK("http://www.rosaceae.org/gb/gbrowse/malus_x_domestica/?name=MDP0000208401","MDP0000208401")</f>
        <v>MDP0000208401</v>
      </c>
      <c r="D23755">
        <v>44</v>
      </c>
      <c r="E23755">
        <v>225</v>
      </c>
      <c r="F23755">
        <v>126</v>
      </c>
      <c r="G23755">
        <v>55</v>
      </c>
      <c r="H23755">
        <v>39</v>
      </c>
      <c r="I23755">
        <v>209</v>
      </c>
      <c r="J23755">
        <v>1</v>
      </c>
      <c r="K23755">
        <v>13</v>
      </c>
      <c r="L23755">
        <v>236</v>
      </c>
      <c r="M23755">
        <v>1</v>
      </c>
      <c r="N23755">
        <v>7.6799399999999999E-38</v>
      </c>
      <c r="O23755">
        <v>388</v>
      </c>
    </row>
    <row r="23756" spans="1:15" x14ac:dyDescent="0.25">
      <c r="A23756" t="s">
        <v>23769</v>
      </c>
      <c r="B23756">
        <v>273</v>
      </c>
      <c r="C23756" s="1" t="str">
        <f>HYPERLINK("http://www.rosaceae.org/gb/gbrowse/malus_x_domestica/?name=MDP0000130613","MDP0000130613")</f>
        <v>MDP0000130613</v>
      </c>
      <c r="D23756">
        <v>34.92</v>
      </c>
      <c r="E23756">
        <v>209</v>
      </c>
      <c r="F23756">
        <v>136</v>
      </c>
      <c r="G23756">
        <v>35</v>
      </c>
      <c r="H23756">
        <v>56</v>
      </c>
      <c r="I23756">
        <v>260</v>
      </c>
      <c r="J23756">
        <v>1</v>
      </c>
      <c r="K23756">
        <v>27</v>
      </c>
      <c r="L23756">
        <v>204</v>
      </c>
      <c r="M23756">
        <v>1</v>
      </c>
      <c r="N23756">
        <v>1.2888999999999999E-18</v>
      </c>
      <c r="O23756">
        <v>224</v>
      </c>
    </row>
    <row r="23757" spans="1:15" x14ac:dyDescent="0.25">
      <c r="A23757" t="s">
        <v>23770</v>
      </c>
      <c r="B23757">
        <v>489</v>
      </c>
      <c r="C23757" s="1" t="str">
        <f>HYPERLINK("http://www.rosaceae.org/gb/gbrowse/malus_x_domestica/?name=MDP0000186402","MDP0000186402")</f>
        <v>MDP0000186402</v>
      </c>
      <c r="D23757">
        <v>32.81</v>
      </c>
      <c r="E23757">
        <v>448</v>
      </c>
      <c r="F23757">
        <v>301</v>
      </c>
      <c r="G23757">
        <v>75</v>
      </c>
      <c r="H23757">
        <v>111</v>
      </c>
      <c r="I23757">
        <v>485</v>
      </c>
      <c r="J23757">
        <v>1</v>
      </c>
      <c r="K23757">
        <v>107</v>
      </c>
      <c r="L23757">
        <v>552</v>
      </c>
      <c r="M23757">
        <v>1</v>
      </c>
      <c r="N23757">
        <v>2.6229699999999999E-45</v>
      </c>
      <c r="O23757">
        <v>457</v>
      </c>
    </row>
    <row r="23758" spans="1:15" x14ac:dyDescent="0.25">
      <c r="A23758" t="s">
        <v>23771</v>
      </c>
      <c r="B23758">
        <v>344</v>
      </c>
      <c r="C23758" s="1" t="str">
        <f>HYPERLINK("http://www.rosaceae.org/gb/gbrowse/malus_x_domestica/?name=MDP0000680057","MDP0000680057")</f>
        <v>MDP0000680057</v>
      </c>
      <c r="D23758">
        <v>62.58</v>
      </c>
      <c r="E23758">
        <v>139</v>
      </c>
      <c r="F23758">
        <v>52</v>
      </c>
      <c r="G23758">
        <v>2</v>
      </c>
      <c r="H23758">
        <v>155</v>
      </c>
      <c r="I23758">
        <v>293</v>
      </c>
      <c r="J23758">
        <v>1</v>
      </c>
      <c r="K23758">
        <v>176</v>
      </c>
      <c r="L23758">
        <v>312</v>
      </c>
      <c r="M23758">
        <v>1</v>
      </c>
      <c r="N23758">
        <v>1.9551300000000001E-41</v>
      </c>
      <c r="O23758">
        <v>422</v>
      </c>
    </row>
    <row r="23759" spans="1:15" x14ac:dyDescent="0.25">
      <c r="A23759" t="s">
        <v>23772</v>
      </c>
      <c r="B23759">
        <v>226</v>
      </c>
      <c r="C23759" s="1" t="str">
        <f>HYPERLINK("http://www.rosaceae.org/gb/gbrowse/malus_x_domestica/?name=MDP0000670228","MDP0000670228")</f>
        <v>MDP0000670228</v>
      </c>
      <c r="D23759">
        <v>34.56</v>
      </c>
      <c r="E23759">
        <v>162</v>
      </c>
      <c r="F23759">
        <v>106</v>
      </c>
      <c r="G23759">
        <v>34</v>
      </c>
      <c r="H23759">
        <v>86</v>
      </c>
      <c r="I23759">
        <v>213</v>
      </c>
      <c r="J23759">
        <v>1</v>
      </c>
      <c r="K23759">
        <v>146</v>
      </c>
      <c r="L23759">
        <v>307</v>
      </c>
      <c r="M23759">
        <v>1</v>
      </c>
      <c r="N23759">
        <v>1.3144500000000001E-16</v>
      </c>
      <c r="O23759">
        <v>206</v>
      </c>
    </row>
    <row r="23760" spans="1:15" x14ac:dyDescent="0.25">
      <c r="A23760" t="s">
        <v>23773</v>
      </c>
      <c r="B23760">
        <v>225</v>
      </c>
      <c r="C23760" s="1" t="str">
        <f>HYPERLINK("http://www.rosaceae.org/gb/gbrowse/malus_x_domestica/?name=MDP0000150438","MDP0000150438")</f>
        <v>MDP0000150438</v>
      </c>
      <c r="D23760">
        <v>34.869999999999997</v>
      </c>
      <c r="E23760">
        <v>195</v>
      </c>
      <c r="F23760">
        <v>127</v>
      </c>
      <c r="G23760">
        <v>13</v>
      </c>
      <c r="H23760">
        <v>4</v>
      </c>
      <c r="I23760">
        <v>190</v>
      </c>
      <c r="J23760">
        <v>1</v>
      </c>
      <c r="K23760">
        <v>19</v>
      </c>
      <c r="L23760">
        <v>208</v>
      </c>
      <c r="M23760">
        <v>1</v>
      </c>
      <c r="N23760">
        <v>1.26921E-23</v>
      </c>
      <c r="O23760">
        <v>266</v>
      </c>
    </row>
    <row r="23761" spans="1:15" x14ac:dyDescent="0.25">
      <c r="A23761" t="s">
        <v>23774</v>
      </c>
      <c r="B23761">
        <v>651</v>
      </c>
      <c r="C23761" s="1" t="str">
        <f>HYPERLINK("http://www.rosaceae.org/gb/gbrowse/malus_x_domestica/?name=MDP0000238908","MDP0000238908")</f>
        <v>MDP0000238908</v>
      </c>
      <c r="D23761">
        <v>80.540000000000006</v>
      </c>
      <c r="E23761">
        <v>663</v>
      </c>
      <c r="F23761">
        <v>129</v>
      </c>
      <c r="G23761">
        <v>12</v>
      </c>
      <c r="H23761">
        <v>1</v>
      </c>
      <c r="I23761">
        <v>651</v>
      </c>
      <c r="J23761">
        <v>1</v>
      </c>
      <c r="K23761">
        <v>27</v>
      </c>
      <c r="L23761">
        <v>689</v>
      </c>
      <c r="M23761">
        <v>1</v>
      </c>
      <c r="N23761">
        <v>0</v>
      </c>
      <c r="O23761">
        <v>2837</v>
      </c>
    </row>
    <row r="23762" spans="1:15" x14ac:dyDescent="0.25">
      <c r="A23762" t="s">
        <v>23775</v>
      </c>
      <c r="B23762">
        <v>62</v>
      </c>
      <c r="C23762" s="1" t="str">
        <f>HYPERLINK("http://www.rosaceae.org/gb/gbrowse/malus_x_domestica/?name=MDP0000280247","MDP0000280247")</f>
        <v>MDP0000280247</v>
      </c>
      <c r="D23762">
        <v>74.19</v>
      </c>
      <c r="E23762">
        <v>62</v>
      </c>
      <c r="F23762">
        <v>16</v>
      </c>
      <c r="G23762">
        <v>0</v>
      </c>
      <c r="H23762">
        <v>1</v>
      </c>
      <c r="I23762">
        <v>62</v>
      </c>
      <c r="J23762">
        <v>1</v>
      </c>
      <c r="K23762">
        <v>90</v>
      </c>
      <c r="L23762">
        <v>151</v>
      </c>
      <c r="M23762">
        <v>1</v>
      </c>
      <c r="N23762">
        <v>9.2444200000000001E-23</v>
      </c>
      <c r="O23762">
        <v>254</v>
      </c>
    </row>
    <row r="23763" spans="1:15" x14ac:dyDescent="0.25">
      <c r="A23763" t="s">
        <v>23776</v>
      </c>
      <c r="B23763">
        <v>425</v>
      </c>
      <c r="C23763" s="1" t="str">
        <f>HYPERLINK("http://www.rosaceae.org/gb/gbrowse/malus_x_domestica/?name=MDP0000163774","MDP0000163774")</f>
        <v>MDP0000163774</v>
      </c>
      <c r="D23763">
        <v>32.090000000000003</v>
      </c>
      <c r="E23763">
        <v>324</v>
      </c>
      <c r="F23763">
        <v>220</v>
      </c>
      <c r="G23763">
        <v>40</v>
      </c>
      <c r="H23763">
        <v>82</v>
      </c>
      <c r="I23763">
        <v>405</v>
      </c>
      <c r="J23763">
        <v>1</v>
      </c>
      <c r="K23763">
        <v>304</v>
      </c>
      <c r="L23763">
        <v>587</v>
      </c>
      <c r="M23763">
        <v>1</v>
      </c>
      <c r="N23763">
        <v>2.9206800000000002E-44</v>
      </c>
      <c r="O23763">
        <v>447</v>
      </c>
    </row>
    <row r="23764" spans="1:15" x14ac:dyDescent="0.25">
      <c r="A23764" t="s">
        <v>23777</v>
      </c>
      <c r="B23764">
        <v>454</v>
      </c>
      <c r="C23764" s="1" t="str">
        <f>HYPERLINK("http://www.rosaceae.org/gb/gbrowse/malus_x_domestica/?name=MDP0000593263","MDP0000593263")</f>
        <v>MDP0000593263</v>
      </c>
      <c r="D23764">
        <v>74.599999999999994</v>
      </c>
      <c r="E23764">
        <v>445</v>
      </c>
      <c r="F23764">
        <v>113</v>
      </c>
      <c r="G23764">
        <v>12</v>
      </c>
      <c r="H23764">
        <v>7</v>
      </c>
      <c r="I23764">
        <v>442</v>
      </c>
      <c r="J23764">
        <v>1</v>
      </c>
      <c r="K23764">
        <v>5</v>
      </c>
      <c r="L23764">
        <v>446</v>
      </c>
      <c r="M23764">
        <v>1</v>
      </c>
      <c r="N23764">
        <v>0</v>
      </c>
      <c r="O23764">
        <v>1750</v>
      </c>
    </row>
    <row r="23765" spans="1:15" x14ac:dyDescent="0.25">
      <c r="A23765" t="s">
        <v>23778</v>
      </c>
      <c r="B23765">
        <v>391</v>
      </c>
      <c r="C23765" s="1" t="str">
        <f>HYPERLINK("http://www.rosaceae.org/gb/gbrowse/malus_x_domestica/?name=MDP0000320612","MDP0000320612")</f>
        <v>MDP0000320612</v>
      </c>
      <c r="D23765">
        <v>74.69</v>
      </c>
      <c r="E23765">
        <v>83</v>
      </c>
      <c r="F23765">
        <v>21</v>
      </c>
      <c r="G23765">
        <v>3</v>
      </c>
      <c r="H23765">
        <v>89</v>
      </c>
      <c r="I23765">
        <v>171</v>
      </c>
      <c r="J23765">
        <v>1</v>
      </c>
      <c r="K23765">
        <v>75</v>
      </c>
      <c r="L23765">
        <v>154</v>
      </c>
      <c r="M23765">
        <v>1</v>
      </c>
      <c r="N23765">
        <v>3.8726800000000001E-31</v>
      </c>
      <c r="O23765">
        <v>334</v>
      </c>
    </row>
    <row r="23766" spans="1:15" x14ac:dyDescent="0.25">
      <c r="A23766" t="s">
        <v>23779</v>
      </c>
      <c r="B23766">
        <v>604</v>
      </c>
      <c r="C23766" s="1" t="str">
        <f>HYPERLINK("http://www.rosaceae.org/gb/gbrowse/malus_x_domestica/?name=MDP0000913030","MDP0000913030")</f>
        <v>MDP0000913030</v>
      </c>
      <c r="D23766">
        <v>88.27</v>
      </c>
      <c r="E23766">
        <v>580</v>
      </c>
      <c r="F23766">
        <v>68</v>
      </c>
      <c r="G23766">
        <v>0</v>
      </c>
      <c r="H23766">
        <v>25</v>
      </c>
      <c r="I23766">
        <v>604</v>
      </c>
      <c r="J23766">
        <v>1</v>
      </c>
      <c r="K23766">
        <v>1</v>
      </c>
      <c r="L23766">
        <v>580</v>
      </c>
      <c r="M23766">
        <v>1</v>
      </c>
      <c r="N23766">
        <v>0</v>
      </c>
      <c r="O23766">
        <v>2753</v>
      </c>
    </row>
    <row r="23767" spans="1:15" x14ac:dyDescent="0.25">
      <c r="A23767" t="s">
        <v>23780</v>
      </c>
      <c r="B23767">
        <v>137</v>
      </c>
      <c r="C23767" s="1" t="str">
        <f>HYPERLINK("http://www.rosaceae.org/gb/gbrowse/malus_x_domestica/?name=MDP0000468488","MDP0000468488")</f>
        <v>MDP0000468488</v>
      </c>
      <c r="D23767">
        <v>71.84</v>
      </c>
      <c r="E23767">
        <v>103</v>
      </c>
      <c r="F23767">
        <v>29</v>
      </c>
      <c r="G23767">
        <v>0</v>
      </c>
      <c r="H23767">
        <v>35</v>
      </c>
      <c r="I23767">
        <v>137</v>
      </c>
      <c r="J23767">
        <v>1</v>
      </c>
      <c r="K23767">
        <v>20</v>
      </c>
      <c r="L23767">
        <v>122</v>
      </c>
      <c r="M23767">
        <v>1</v>
      </c>
      <c r="N23767">
        <v>1.5450700000000002E-36</v>
      </c>
      <c r="O23767">
        <v>374</v>
      </c>
    </row>
    <row r="23768" spans="1:15" x14ac:dyDescent="0.25">
      <c r="A23768" t="s">
        <v>23781</v>
      </c>
      <c r="B23768">
        <v>683</v>
      </c>
      <c r="C23768" s="1" t="str">
        <f>HYPERLINK("http://www.rosaceae.org/gb/gbrowse/malus_x_domestica/?name=MDP0000464636","MDP0000464636")</f>
        <v>MDP0000464636</v>
      </c>
      <c r="D23768">
        <v>52.69</v>
      </c>
      <c r="E23768">
        <v>706</v>
      </c>
      <c r="F23768">
        <v>334</v>
      </c>
      <c r="G23768">
        <v>108</v>
      </c>
      <c r="H23768">
        <v>13</v>
      </c>
      <c r="I23768">
        <v>680</v>
      </c>
      <c r="J23768">
        <v>1</v>
      </c>
      <c r="K23768">
        <v>14</v>
      </c>
      <c r="L23768">
        <v>649</v>
      </c>
      <c r="M23768">
        <v>1</v>
      </c>
      <c r="N23768">
        <v>0</v>
      </c>
      <c r="O23768">
        <v>1689</v>
      </c>
    </row>
    <row r="23769" spans="1:15" x14ac:dyDescent="0.25">
      <c r="A23769" t="s">
        <v>23782</v>
      </c>
      <c r="B23769">
        <v>280</v>
      </c>
      <c r="C23769" s="1" t="str">
        <f>HYPERLINK("http://www.rosaceae.org/gb/gbrowse/malus_x_domestica/?name=MDP0000226879","MDP0000226879")</f>
        <v>MDP0000226879</v>
      </c>
      <c r="D23769">
        <v>82.62</v>
      </c>
      <c r="E23769">
        <v>282</v>
      </c>
      <c r="F23769">
        <v>49</v>
      </c>
      <c r="G23769">
        <v>3</v>
      </c>
      <c r="H23769">
        <v>1</v>
      </c>
      <c r="I23769">
        <v>280</v>
      </c>
      <c r="J23769">
        <v>1</v>
      </c>
      <c r="K23769">
        <v>792</v>
      </c>
      <c r="L23769">
        <v>1072</v>
      </c>
      <c r="M23769">
        <v>1</v>
      </c>
      <c r="N23769">
        <v>3.7174700000000001E-129</v>
      </c>
      <c r="O23769">
        <v>1177</v>
      </c>
    </row>
    <row r="23770" spans="1:15" x14ac:dyDescent="0.25">
      <c r="A23770" t="s">
        <v>23783</v>
      </c>
      <c r="B23770">
        <v>1213</v>
      </c>
      <c r="C23770" s="1" t="str">
        <f>HYPERLINK("http://www.rosaceae.org/gb/gbrowse/malus_x_domestica/?name=MDP0000872008","MDP0000872008")</f>
        <v>MDP0000872008</v>
      </c>
      <c r="D23770">
        <v>63</v>
      </c>
      <c r="E23770">
        <v>1200</v>
      </c>
      <c r="F23770">
        <v>444</v>
      </c>
      <c r="G23770">
        <v>48</v>
      </c>
      <c r="H23770">
        <v>51</v>
      </c>
      <c r="I23770">
        <v>1213</v>
      </c>
      <c r="J23770">
        <v>1</v>
      </c>
      <c r="K23770">
        <v>89</v>
      </c>
      <c r="L23770">
        <v>1277</v>
      </c>
      <c r="M23770">
        <v>1</v>
      </c>
      <c r="N23770">
        <v>0</v>
      </c>
      <c r="O23770">
        <v>3631</v>
      </c>
    </row>
    <row r="23771" spans="1:15" x14ac:dyDescent="0.25">
      <c r="A23771" t="s">
        <v>23784</v>
      </c>
      <c r="B23771">
        <v>285</v>
      </c>
      <c r="C23771" s="1" t="str">
        <f>HYPERLINK("http://www.rosaceae.org/gb/gbrowse/malus_x_domestica/?name=MDP0000124880","MDP0000124880")</f>
        <v>MDP0000124880</v>
      </c>
      <c r="D23771">
        <v>82.44</v>
      </c>
      <c r="E23771">
        <v>131</v>
      </c>
      <c r="F23771">
        <v>23</v>
      </c>
      <c r="G23771">
        <v>0</v>
      </c>
      <c r="H23771">
        <v>1</v>
      </c>
      <c r="I23771">
        <v>131</v>
      </c>
      <c r="J23771">
        <v>1</v>
      </c>
      <c r="K23771">
        <v>1</v>
      </c>
      <c r="L23771">
        <v>131</v>
      </c>
      <c r="M23771">
        <v>1</v>
      </c>
      <c r="N23771">
        <v>6.4827199999999996E-62</v>
      </c>
      <c r="O23771">
        <v>598</v>
      </c>
    </row>
    <row r="23772" spans="1:15" x14ac:dyDescent="0.25">
      <c r="A23772" t="s">
        <v>23785</v>
      </c>
      <c r="B23772">
        <v>584</v>
      </c>
      <c r="C23772" s="1" t="str">
        <f>HYPERLINK("http://www.rosaceae.org/gb/gbrowse/malus_x_domestica/?name=MDP0000296859","MDP0000296859")</f>
        <v>MDP0000296859</v>
      </c>
      <c r="D23772">
        <v>73.319999999999993</v>
      </c>
      <c r="E23772">
        <v>566</v>
      </c>
      <c r="F23772">
        <v>151</v>
      </c>
      <c r="G23772">
        <v>2</v>
      </c>
      <c r="H23772">
        <v>20</v>
      </c>
      <c r="I23772">
        <v>584</v>
      </c>
      <c r="J23772">
        <v>1</v>
      </c>
      <c r="K23772">
        <v>1</v>
      </c>
      <c r="L23772">
        <v>565</v>
      </c>
      <c r="M23772">
        <v>1</v>
      </c>
      <c r="N23772">
        <v>0</v>
      </c>
      <c r="O23772">
        <v>2247</v>
      </c>
    </row>
    <row r="23773" spans="1:15" x14ac:dyDescent="0.25">
      <c r="A23773" t="s">
        <v>23786</v>
      </c>
      <c r="B23773">
        <v>487</v>
      </c>
      <c r="C23773" s="1" t="str">
        <f>HYPERLINK("http://www.rosaceae.org/gb/gbrowse/malus_x_domestica/?name=MDP0000296303","MDP0000296303")</f>
        <v>MDP0000296303</v>
      </c>
      <c r="D23773">
        <v>54.08</v>
      </c>
      <c r="E23773">
        <v>453</v>
      </c>
      <c r="F23773">
        <v>208</v>
      </c>
      <c r="G23773">
        <v>41</v>
      </c>
      <c r="H23773">
        <v>1</v>
      </c>
      <c r="I23773">
        <v>449</v>
      </c>
      <c r="J23773">
        <v>1</v>
      </c>
      <c r="K23773">
        <v>417</v>
      </c>
      <c r="L23773">
        <v>832</v>
      </c>
      <c r="M23773">
        <v>1</v>
      </c>
      <c r="N23773">
        <v>8.6899900000000005E-97</v>
      </c>
      <c r="O23773">
        <v>901</v>
      </c>
    </row>
    <row r="23774" spans="1:15" x14ac:dyDescent="0.25">
      <c r="A23774" t="s">
        <v>23787</v>
      </c>
      <c r="B23774">
        <v>1032</v>
      </c>
      <c r="C23774" s="1" t="str">
        <f>HYPERLINK("http://www.rosaceae.org/gb/gbrowse/malus_x_domestica/?name=MDP0000217844","MDP0000217844")</f>
        <v>MDP0000217844</v>
      </c>
      <c r="D23774">
        <v>80.069999999999993</v>
      </c>
      <c r="E23774">
        <v>502</v>
      </c>
      <c r="F23774">
        <v>100</v>
      </c>
      <c r="G23774">
        <v>9</v>
      </c>
      <c r="H23774">
        <v>538</v>
      </c>
      <c r="I23774">
        <v>1032</v>
      </c>
      <c r="J23774">
        <v>1</v>
      </c>
      <c r="K23774">
        <v>14</v>
      </c>
      <c r="L23774">
        <v>513</v>
      </c>
      <c r="M23774">
        <v>1</v>
      </c>
      <c r="N23774">
        <v>0</v>
      </c>
      <c r="O23774">
        <v>2133</v>
      </c>
    </row>
    <row r="23775" spans="1:15" x14ac:dyDescent="0.25">
      <c r="A23775" t="s">
        <v>23788</v>
      </c>
      <c r="B23775">
        <v>450</v>
      </c>
      <c r="C23775" s="1" t="str">
        <f>HYPERLINK("http://www.rosaceae.org/gb/gbrowse/malus_x_domestica/?name=MDP0000321945","MDP0000321945")</f>
        <v>MDP0000321945</v>
      </c>
      <c r="D23775">
        <v>70.73</v>
      </c>
      <c r="E23775">
        <v>352</v>
      </c>
      <c r="F23775">
        <v>103</v>
      </c>
      <c r="G23775">
        <v>29</v>
      </c>
      <c r="H23775">
        <v>32</v>
      </c>
      <c r="I23775">
        <v>354</v>
      </c>
      <c r="J23775">
        <v>1</v>
      </c>
      <c r="K23775">
        <v>33</v>
      </c>
      <c r="L23775">
        <v>384</v>
      </c>
      <c r="M23775">
        <v>1</v>
      </c>
      <c r="N23775">
        <v>2.9906699999999999E-142</v>
      </c>
      <c r="O23775">
        <v>1293</v>
      </c>
    </row>
    <row r="23776" spans="1:15" x14ac:dyDescent="0.25">
      <c r="A23776" t="s">
        <v>23789</v>
      </c>
      <c r="B23776">
        <v>415</v>
      </c>
      <c r="C23776" s="1" t="str">
        <f>HYPERLINK("http://www.rosaceae.org/gb/gbrowse/malus_x_domestica/?name=MDP0000150641","MDP0000150641")</f>
        <v>MDP0000150641</v>
      </c>
      <c r="D23776">
        <v>33.479999999999997</v>
      </c>
      <c r="E23776">
        <v>439</v>
      </c>
      <c r="F23776">
        <v>292</v>
      </c>
      <c r="G23776">
        <v>52</v>
      </c>
      <c r="H23776">
        <v>3</v>
      </c>
      <c r="I23776">
        <v>401</v>
      </c>
      <c r="J23776">
        <v>1</v>
      </c>
      <c r="K23776">
        <v>1</v>
      </c>
      <c r="L23776">
        <v>427</v>
      </c>
      <c r="M23776">
        <v>1</v>
      </c>
      <c r="N23776">
        <v>7.9382499999999999E-54</v>
      </c>
      <c r="O23776">
        <v>530</v>
      </c>
    </row>
    <row r="23777" spans="1:15" x14ac:dyDescent="0.25">
      <c r="A23777" t="s">
        <v>23790</v>
      </c>
      <c r="B23777">
        <v>2327</v>
      </c>
      <c r="C23777" s="1" t="str">
        <f>HYPERLINK("http://www.rosaceae.org/gb/gbrowse/malus_x_domestica/?name=MDP0000256656","MDP0000256656")</f>
        <v>MDP0000256656</v>
      </c>
      <c r="D23777">
        <v>69.97</v>
      </c>
      <c r="E23777">
        <v>1499</v>
      </c>
      <c r="F23777">
        <v>450</v>
      </c>
      <c r="G23777">
        <v>206</v>
      </c>
      <c r="H23777">
        <v>480</v>
      </c>
      <c r="I23777">
        <v>1976</v>
      </c>
      <c r="J23777">
        <v>1</v>
      </c>
      <c r="K23777">
        <v>50</v>
      </c>
      <c r="L23777">
        <v>1344</v>
      </c>
      <c r="M23777">
        <v>1</v>
      </c>
      <c r="N23777">
        <v>0</v>
      </c>
      <c r="O23777">
        <v>5194</v>
      </c>
    </row>
    <row r="23778" spans="1:15" x14ac:dyDescent="0.25">
      <c r="A23778" t="s">
        <v>23791</v>
      </c>
      <c r="B23778">
        <v>327</v>
      </c>
      <c r="C23778" s="1" t="str">
        <f>HYPERLINK("http://www.rosaceae.org/gb/gbrowse/malus_x_domestica/?name=MDP0000161501","MDP0000161501")</f>
        <v>MDP0000161501</v>
      </c>
      <c r="D23778">
        <v>73.930000000000007</v>
      </c>
      <c r="E23778">
        <v>330</v>
      </c>
      <c r="F23778">
        <v>86</v>
      </c>
      <c r="G23778">
        <v>25</v>
      </c>
      <c r="H23778">
        <v>1</v>
      </c>
      <c r="I23778">
        <v>315</v>
      </c>
      <c r="J23778">
        <v>1</v>
      </c>
      <c r="K23778">
        <v>70</v>
      </c>
      <c r="L23778">
        <v>389</v>
      </c>
      <c r="M23778">
        <v>1</v>
      </c>
      <c r="N23778">
        <v>1.22353E-138</v>
      </c>
      <c r="O23778">
        <v>1260</v>
      </c>
    </row>
    <row r="23779" spans="1:15" x14ac:dyDescent="0.25">
      <c r="A23779" t="s">
        <v>23792</v>
      </c>
      <c r="B23779">
        <v>381</v>
      </c>
      <c r="C23779" s="1" t="str">
        <f>HYPERLINK("http://www.rosaceae.org/gb/gbrowse/malus_x_domestica/?name=MDP0000305192","MDP0000305192")</f>
        <v>MDP0000305192</v>
      </c>
      <c r="D23779">
        <v>30.23</v>
      </c>
      <c r="E23779">
        <v>344</v>
      </c>
      <c r="F23779">
        <v>240</v>
      </c>
      <c r="G23779">
        <v>28</v>
      </c>
      <c r="H23779">
        <v>1</v>
      </c>
      <c r="I23779">
        <v>333</v>
      </c>
      <c r="J23779">
        <v>1</v>
      </c>
      <c r="K23779">
        <v>1</v>
      </c>
      <c r="L23779">
        <v>327</v>
      </c>
      <c r="M23779">
        <v>1</v>
      </c>
      <c r="N23779">
        <v>2.0744899999999999E-18</v>
      </c>
      <c r="O23779">
        <v>224</v>
      </c>
    </row>
    <row r="23780" spans="1:15" x14ac:dyDescent="0.25">
      <c r="A23780" t="s">
        <v>23793</v>
      </c>
      <c r="B23780">
        <v>765</v>
      </c>
      <c r="C23780" s="1" t="str">
        <f>HYPERLINK("http://www.rosaceae.org/gb/gbrowse/malus_x_domestica/?name=MDP0000173300","MDP0000173300")</f>
        <v>MDP0000173300</v>
      </c>
      <c r="D23780">
        <v>68.459999999999994</v>
      </c>
      <c r="E23780">
        <v>758</v>
      </c>
      <c r="F23780">
        <v>239</v>
      </c>
      <c r="G23780">
        <v>17</v>
      </c>
      <c r="H23780">
        <v>1</v>
      </c>
      <c r="I23780">
        <v>752</v>
      </c>
      <c r="J23780">
        <v>1</v>
      </c>
      <c r="K23780">
        <v>1</v>
      </c>
      <c r="L23780">
        <v>747</v>
      </c>
      <c r="M23780">
        <v>1</v>
      </c>
      <c r="N23780">
        <v>0</v>
      </c>
      <c r="O23780">
        <v>2610</v>
      </c>
    </row>
    <row r="23781" spans="1:15" x14ac:dyDescent="0.25">
      <c r="A23781" t="s">
        <v>23794</v>
      </c>
      <c r="B23781">
        <v>1209</v>
      </c>
      <c r="C23781" s="1" t="str">
        <f>HYPERLINK("http://www.rosaceae.org/gb/gbrowse/malus_x_domestica/?name=MDP0000130208","MDP0000130208")</f>
        <v>MDP0000130208</v>
      </c>
      <c r="D23781">
        <v>55.96</v>
      </c>
      <c r="E23781">
        <v>1156</v>
      </c>
      <c r="F23781">
        <v>509</v>
      </c>
      <c r="G23781">
        <v>88</v>
      </c>
      <c r="H23781">
        <v>1</v>
      </c>
      <c r="I23781">
        <v>1123</v>
      </c>
      <c r="J23781">
        <v>1</v>
      </c>
      <c r="K23781">
        <v>1</v>
      </c>
      <c r="L23781">
        <v>1101</v>
      </c>
      <c r="M23781">
        <v>1</v>
      </c>
      <c r="N23781">
        <v>0</v>
      </c>
      <c r="O23781">
        <v>2922</v>
      </c>
    </row>
    <row r="23782" spans="1:15" x14ac:dyDescent="0.25">
      <c r="A23782" t="s">
        <v>23795</v>
      </c>
      <c r="B23782">
        <v>772</v>
      </c>
      <c r="C23782" s="1" t="str">
        <f>HYPERLINK("http://www.rosaceae.org/gb/gbrowse/malus_x_domestica/?name=MDP0000311594","MDP0000311594")</f>
        <v>MDP0000311594</v>
      </c>
      <c r="D23782">
        <v>88.74</v>
      </c>
      <c r="E23782">
        <v>604</v>
      </c>
      <c r="F23782">
        <v>68</v>
      </c>
      <c r="G23782">
        <v>0</v>
      </c>
      <c r="H23782">
        <v>154</v>
      </c>
      <c r="I23782">
        <v>757</v>
      </c>
      <c r="J23782">
        <v>1</v>
      </c>
      <c r="K23782">
        <v>54</v>
      </c>
      <c r="L23782">
        <v>657</v>
      </c>
      <c r="M23782">
        <v>1</v>
      </c>
      <c r="N23782">
        <v>0</v>
      </c>
      <c r="O23782">
        <v>2863</v>
      </c>
    </row>
    <row r="23783" spans="1:15" x14ac:dyDescent="0.25">
      <c r="A23783" t="s">
        <v>23796</v>
      </c>
      <c r="B23783">
        <v>288</v>
      </c>
      <c r="C23783" s="1" t="str">
        <f>HYPERLINK("http://www.rosaceae.org/gb/gbrowse/malus_x_domestica/?name=MDP0000252378","MDP0000252378")</f>
        <v>MDP0000252378</v>
      </c>
      <c r="D23783">
        <v>38.64</v>
      </c>
      <c r="E23783">
        <v>295</v>
      </c>
      <c r="F23783">
        <v>181</v>
      </c>
      <c r="G23783">
        <v>22</v>
      </c>
      <c r="H23783">
        <v>1</v>
      </c>
      <c r="I23783">
        <v>288</v>
      </c>
      <c r="J23783">
        <v>1</v>
      </c>
      <c r="K23783">
        <v>100</v>
      </c>
      <c r="L23783">
        <v>379</v>
      </c>
      <c r="M23783">
        <v>1</v>
      </c>
      <c r="N23783">
        <v>1.8340899999999999E-41</v>
      </c>
      <c r="O23783">
        <v>421</v>
      </c>
    </row>
    <row r="23784" spans="1:15" x14ac:dyDescent="0.25">
      <c r="A23784" t="s">
        <v>23797</v>
      </c>
      <c r="B23784">
        <v>371</v>
      </c>
      <c r="C23784" s="1" t="str">
        <f>HYPERLINK("http://www.rosaceae.org/gb/gbrowse/malus_x_domestica/?name=MDP0000298765","MDP0000298765")</f>
        <v>MDP0000298765</v>
      </c>
      <c r="D23784">
        <v>47.11</v>
      </c>
      <c r="E23784">
        <v>104</v>
      </c>
      <c r="F23784">
        <v>55</v>
      </c>
      <c r="G23784">
        <v>0</v>
      </c>
      <c r="H23784">
        <v>240</v>
      </c>
      <c r="I23784">
        <v>343</v>
      </c>
      <c r="J23784">
        <v>1</v>
      </c>
      <c r="K23784">
        <v>798</v>
      </c>
      <c r="L23784">
        <v>901</v>
      </c>
      <c r="M23784">
        <v>1</v>
      </c>
      <c r="N23784">
        <v>1.1606999999999999E-23</v>
      </c>
      <c r="O23784">
        <v>269</v>
      </c>
    </row>
    <row r="23785" spans="1:15" x14ac:dyDescent="0.25">
      <c r="A23785" t="s">
        <v>23798</v>
      </c>
      <c r="B23785">
        <v>200</v>
      </c>
      <c r="C23785" s="1" t="str">
        <f>HYPERLINK("http://www.rosaceae.org/gb/gbrowse/malus_x_domestica/?name=MDP0000720497","MDP0000720497")</f>
        <v>MDP0000720497</v>
      </c>
      <c r="D23785">
        <v>87.67</v>
      </c>
      <c r="E23785">
        <v>73</v>
      </c>
      <c r="F23785">
        <v>9</v>
      </c>
      <c r="G23785">
        <v>0</v>
      </c>
      <c r="H23785">
        <v>11</v>
      </c>
      <c r="I23785">
        <v>83</v>
      </c>
      <c r="J23785">
        <v>1</v>
      </c>
      <c r="K23785">
        <v>52</v>
      </c>
      <c r="L23785">
        <v>124</v>
      </c>
      <c r="M23785">
        <v>1</v>
      </c>
      <c r="N23785">
        <v>1.34811E-31</v>
      </c>
      <c r="O23785">
        <v>334</v>
      </c>
    </row>
    <row r="23786" spans="1:15" x14ac:dyDescent="0.25">
      <c r="A23786" t="s">
        <v>23799</v>
      </c>
      <c r="B23786">
        <v>132</v>
      </c>
      <c r="C23786" s="1" t="str">
        <f>HYPERLINK("http://www.rosaceae.org/gb/gbrowse/malus_x_domestica/?name=MDP0000320524","MDP0000320524")</f>
        <v>MDP0000320524</v>
      </c>
      <c r="D23786">
        <v>89.42</v>
      </c>
      <c r="E23786">
        <v>104</v>
      </c>
      <c r="F23786">
        <v>11</v>
      </c>
      <c r="G23786">
        <v>1</v>
      </c>
      <c r="H23786">
        <v>1</v>
      </c>
      <c r="I23786">
        <v>103</v>
      </c>
      <c r="J23786">
        <v>1</v>
      </c>
      <c r="K23786">
        <v>1</v>
      </c>
      <c r="L23786">
        <v>104</v>
      </c>
      <c r="M23786">
        <v>1</v>
      </c>
      <c r="N23786">
        <v>2.3331699999999998E-50</v>
      </c>
      <c r="O23786">
        <v>492</v>
      </c>
    </row>
    <row r="23787" spans="1:15" x14ac:dyDescent="0.25">
      <c r="A23787" t="s">
        <v>23800</v>
      </c>
      <c r="B23787">
        <v>470</v>
      </c>
      <c r="C23787" s="1" t="str">
        <f>HYPERLINK("http://www.rosaceae.org/gb/gbrowse/malus_x_domestica/?name=MDP0000211452","MDP0000211452")</f>
        <v>MDP0000211452</v>
      </c>
      <c r="D23787">
        <v>65.75</v>
      </c>
      <c r="E23787">
        <v>473</v>
      </c>
      <c r="F23787">
        <v>162</v>
      </c>
      <c r="G23787">
        <v>52</v>
      </c>
      <c r="H23787">
        <v>1</v>
      </c>
      <c r="I23787">
        <v>470</v>
      </c>
      <c r="J23787">
        <v>1</v>
      </c>
      <c r="K23787">
        <v>1</v>
      </c>
      <c r="L23787">
        <v>424</v>
      </c>
      <c r="M23787">
        <v>1</v>
      </c>
      <c r="N23787">
        <v>2.2687400000000001E-168</v>
      </c>
      <c r="O23787">
        <v>1518</v>
      </c>
    </row>
    <row r="23788" spans="1:15" x14ac:dyDescent="0.25">
      <c r="A23788" t="s">
        <v>23801</v>
      </c>
      <c r="B23788">
        <v>1251</v>
      </c>
      <c r="C23788" s="1" t="str">
        <f>HYPERLINK("http://www.rosaceae.org/gb/gbrowse/malus_x_domestica/?name=MDP0000275564","MDP0000275564")</f>
        <v>MDP0000275564</v>
      </c>
      <c r="D23788">
        <v>62.64</v>
      </c>
      <c r="E23788">
        <v>1111</v>
      </c>
      <c r="F23788">
        <v>415</v>
      </c>
      <c r="G23788">
        <v>64</v>
      </c>
      <c r="H23788">
        <v>152</v>
      </c>
      <c r="I23788">
        <v>1200</v>
      </c>
      <c r="J23788">
        <v>1</v>
      </c>
      <c r="K23788">
        <v>195</v>
      </c>
      <c r="L23788">
        <v>1303</v>
      </c>
      <c r="M23788">
        <v>1</v>
      </c>
      <c r="N23788">
        <v>0</v>
      </c>
      <c r="O23788">
        <v>3351</v>
      </c>
    </row>
    <row r="23789" spans="1:15" x14ac:dyDescent="0.25">
      <c r="A23789" t="s">
        <v>23802</v>
      </c>
      <c r="B23789">
        <v>752</v>
      </c>
      <c r="C23789" s="1" t="str">
        <f>HYPERLINK("http://www.rosaceae.org/gb/gbrowse/malus_x_domestica/?name=MDP0000835638","MDP0000835638")</f>
        <v>MDP0000835638</v>
      </c>
      <c r="D23789">
        <v>79.88</v>
      </c>
      <c r="E23789">
        <v>686</v>
      </c>
      <c r="F23789">
        <v>138</v>
      </c>
      <c r="G23789">
        <v>39</v>
      </c>
      <c r="H23789">
        <v>67</v>
      </c>
      <c r="I23789">
        <v>752</v>
      </c>
      <c r="J23789">
        <v>1</v>
      </c>
      <c r="K23789">
        <v>4</v>
      </c>
      <c r="L23789">
        <v>650</v>
      </c>
      <c r="M23789">
        <v>1</v>
      </c>
      <c r="N23789">
        <v>0</v>
      </c>
      <c r="O23789">
        <v>2939</v>
      </c>
    </row>
    <row r="23790" spans="1:15" x14ac:dyDescent="0.25">
      <c r="A23790" t="s">
        <v>23803</v>
      </c>
      <c r="B23790">
        <v>167</v>
      </c>
      <c r="C23790" s="1" t="str">
        <f>HYPERLINK("http://www.rosaceae.org/gb/gbrowse/malus_x_domestica/?name=MDP0000121669","MDP0000121669")</f>
        <v>MDP0000121669</v>
      </c>
      <c r="D23790">
        <v>59.58</v>
      </c>
      <c r="E23790">
        <v>146</v>
      </c>
      <c r="F23790">
        <v>59</v>
      </c>
      <c r="G23790">
        <v>8</v>
      </c>
      <c r="H23790">
        <v>1</v>
      </c>
      <c r="I23790">
        <v>139</v>
      </c>
      <c r="J23790">
        <v>1</v>
      </c>
      <c r="K23790">
        <v>1</v>
      </c>
      <c r="L23790">
        <v>145</v>
      </c>
      <c r="M23790">
        <v>1</v>
      </c>
      <c r="N23790">
        <v>2.65453E-38</v>
      </c>
      <c r="O23790">
        <v>391</v>
      </c>
    </row>
    <row r="23791" spans="1:15" x14ac:dyDescent="0.25">
      <c r="A23791" t="s">
        <v>23804</v>
      </c>
      <c r="B23791">
        <v>776</v>
      </c>
      <c r="C23791" s="1" t="str">
        <f>HYPERLINK("http://www.rosaceae.org/gb/gbrowse/malus_x_domestica/?name=MDP0000195139","MDP0000195139")</f>
        <v>MDP0000195139</v>
      </c>
      <c r="D23791">
        <v>47.01</v>
      </c>
      <c r="E23791">
        <v>436</v>
      </c>
      <c r="F23791">
        <v>231</v>
      </c>
      <c r="G23791">
        <v>25</v>
      </c>
      <c r="H23791">
        <v>190</v>
      </c>
      <c r="I23791">
        <v>613</v>
      </c>
      <c r="J23791">
        <v>1</v>
      </c>
      <c r="K23791">
        <v>530</v>
      </c>
      <c r="L23791">
        <v>952</v>
      </c>
      <c r="M23791">
        <v>1</v>
      </c>
      <c r="N23791">
        <v>3.9450899999999998E-94</v>
      </c>
      <c r="O23791">
        <v>880</v>
      </c>
    </row>
    <row r="23792" spans="1:15" x14ac:dyDescent="0.25">
      <c r="A23792" t="s">
        <v>23805</v>
      </c>
      <c r="B23792">
        <v>829</v>
      </c>
      <c r="C23792" s="1" t="str">
        <f>HYPERLINK("http://www.rosaceae.org/gb/gbrowse/malus_x_domestica/?name=MDP0000285776","MDP0000285776")</f>
        <v>MDP0000285776</v>
      </c>
      <c r="D23792">
        <v>36.22</v>
      </c>
      <c r="E23792">
        <v>704</v>
      </c>
      <c r="F23792">
        <v>449</v>
      </c>
      <c r="G23792">
        <v>99</v>
      </c>
      <c r="H23792">
        <v>168</v>
      </c>
      <c r="I23792">
        <v>827</v>
      </c>
      <c r="J23792">
        <v>1</v>
      </c>
      <c r="K23792">
        <v>921</v>
      </c>
      <c r="L23792">
        <v>1569</v>
      </c>
      <c r="M23792">
        <v>1</v>
      </c>
      <c r="N23792">
        <v>3.9239400000000002E-100</v>
      </c>
      <c r="O23792">
        <v>932</v>
      </c>
    </row>
    <row r="23793" spans="1:15" x14ac:dyDescent="0.25">
      <c r="A23793" t="s">
        <v>23806</v>
      </c>
      <c r="B23793">
        <v>197</v>
      </c>
      <c r="C23793" s="1" t="str">
        <f>HYPERLINK("http://www.rosaceae.org/gb/gbrowse/malus_x_domestica/?name=MDP0000498703","MDP0000498703")</f>
        <v>MDP0000498703</v>
      </c>
      <c r="D23793">
        <v>68.22</v>
      </c>
      <c r="E23793">
        <v>192</v>
      </c>
      <c r="F23793">
        <v>61</v>
      </c>
      <c r="G23793">
        <v>13</v>
      </c>
      <c r="H23793">
        <v>7</v>
      </c>
      <c r="I23793">
        <v>188</v>
      </c>
      <c r="J23793">
        <v>1</v>
      </c>
      <c r="K23793">
        <v>6</v>
      </c>
      <c r="L23793">
        <v>194</v>
      </c>
      <c r="M23793">
        <v>1</v>
      </c>
      <c r="N23793">
        <v>3.6104199999999997E-70</v>
      </c>
      <c r="O23793">
        <v>667</v>
      </c>
    </row>
    <row r="23794" spans="1:15" x14ac:dyDescent="0.25">
      <c r="A23794" t="s">
        <v>23807</v>
      </c>
      <c r="B23794">
        <v>197</v>
      </c>
      <c r="C23794" s="1" t="str">
        <f>HYPERLINK("http://www.rosaceae.org/gb/gbrowse/malus_x_domestica/?name=MDP0000251448","MDP0000251448")</f>
        <v>MDP0000251448</v>
      </c>
      <c r="D23794">
        <v>45.32</v>
      </c>
      <c r="E23794">
        <v>203</v>
      </c>
      <c r="F23794">
        <v>111</v>
      </c>
      <c r="G23794">
        <v>25</v>
      </c>
      <c r="H23794">
        <v>1</v>
      </c>
      <c r="I23794">
        <v>196</v>
      </c>
      <c r="J23794">
        <v>1</v>
      </c>
      <c r="K23794">
        <v>186</v>
      </c>
      <c r="L23794">
        <v>370</v>
      </c>
      <c r="M23794">
        <v>1</v>
      </c>
      <c r="N23794">
        <v>2.7926000000000001E-35</v>
      </c>
      <c r="O23794">
        <v>366</v>
      </c>
    </row>
    <row r="23795" spans="1:15" x14ac:dyDescent="0.25">
      <c r="A23795" t="s">
        <v>23808</v>
      </c>
      <c r="B23795">
        <v>818</v>
      </c>
      <c r="C23795" s="1" t="str">
        <f>HYPERLINK("http://www.rosaceae.org/gb/gbrowse/malus_x_domestica/?name=MDP0000260864","MDP0000260864")</f>
        <v>MDP0000260864</v>
      </c>
      <c r="D23795">
        <v>74.010000000000005</v>
      </c>
      <c r="E23795">
        <v>839</v>
      </c>
      <c r="F23795">
        <v>218</v>
      </c>
      <c r="G23795">
        <v>53</v>
      </c>
      <c r="H23795">
        <v>1</v>
      </c>
      <c r="I23795">
        <v>813</v>
      </c>
      <c r="J23795">
        <v>1</v>
      </c>
      <c r="K23795">
        <v>1</v>
      </c>
      <c r="L23795">
        <v>812</v>
      </c>
      <c r="M23795">
        <v>1</v>
      </c>
      <c r="N23795">
        <v>0</v>
      </c>
      <c r="O23795">
        <v>3156</v>
      </c>
    </row>
    <row r="23796" spans="1:15" x14ac:dyDescent="0.25">
      <c r="A23796" t="s">
        <v>23809</v>
      </c>
      <c r="B23796">
        <v>246</v>
      </c>
      <c r="C23796" s="1" t="str">
        <f>HYPERLINK("http://www.rosaceae.org/gb/gbrowse/malus_x_domestica/?name=MDP0000658667","MDP0000658667")</f>
        <v>MDP0000658667</v>
      </c>
      <c r="D23796">
        <v>49.62</v>
      </c>
      <c r="E23796">
        <v>135</v>
      </c>
      <c r="F23796">
        <v>68</v>
      </c>
      <c r="G23796">
        <v>25</v>
      </c>
      <c r="H23796">
        <v>3</v>
      </c>
      <c r="I23796">
        <v>113</v>
      </c>
      <c r="J23796">
        <v>1</v>
      </c>
      <c r="K23796">
        <v>5</v>
      </c>
      <c r="L23796">
        <v>138</v>
      </c>
      <c r="M23796">
        <v>1</v>
      </c>
      <c r="N23796">
        <v>1.45342E-26</v>
      </c>
      <c r="O23796">
        <v>292</v>
      </c>
    </row>
    <row r="23797" spans="1:15" x14ac:dyDescent="0.25">
      <c r="A23797" t="s">
        <v>23810</v>
      </c>
      <c r="B23797">
        <v>418</v>
      </c>
      <c r="C23797" s="1" t="str">
        <f>HYPERLINK("http://www.rosaceae.org/gb/gbrowse/malus_x_domestica/?name=MDP0000173083","MDP0000173083")</f>
        <v>MDP0000173083</v>
      </c>
      <c r="D23797">
        <v>65.52</v>
      </c>
      <c r="E23797">
        <v>467</v>
      </c>
      <c r="F23797">
        <v>161</v>
      </c>
      <c r="G23797">
        <v>51</v>
      </c>
      <c r="H23797">
        <v>1</v>
      </c>
      <c r="I23797">
        <v>417</v>
      </c>
      <c r="J23797">
        <v>1</v>
      </c>
      <c r="K23797">
        <v>1</v>
      </c>
      <c r="L23797">
        <v>466</v>
      </c>
      <c r="M23797">
        <v>1</v>
      </c>
      <c r="N23797">
        <v>1.1651199999999999E-173</v>
      </c>
      <c r="O23797">
        <v>1563</v>
      </c>
    </row>
    <row r="23798" spans="1:15" x14ac:dyDescent="0.25">
      <c r="A23798" t="s">
        <v>23811</v>
      </c>
      <c r="B23798">
        <v>1122</v>
      </c>
      <c r="C23798" s="1" t="str">
        <f>HYPERLINK("http://www.rosaceae.org/gb/gbrowse/malus_x_domestica/?name=MDP0000191201","MDP0000191201")</f>
        <v>MDP0000191201</v>
      </c>
      <c r="D23798">
        <v>69.47</v>
      </c>
      <c r="E23798">
        <v>1176</v>
      </c>
      <c r="F23798">
        <v>359</v>
      </c>
      <c r="G23798">
        <v>103</v>
      </c>
      <c r="H23798">
        <v>1</v>
      </c>
      <c r="I23798">
        <v>1122</v>
      </c>
      <c r="J23798">
        <v>1</v>
      </c>
      <c r="K23798">
        <v>1</v>
      </c>
      <c r="L23798">
        <v>1127</v>
      </c>
      <c r="M23798">
        <v>1</v>
      </c>
      <c r="N23798">
        <v>0</v>
      </c>
      <c r="O23798">
        <v>4283</v>
      </c>
    </row>
    <row r="23799" spans="1:15" x14ac:dyDescent="0.25">
      <c r="A23799" t="s">
        <v>23812</v>
      </c>
      <c r="B23799">
        <v>301</v>
      </c>
      <c r="C23799" s="1" t="str">
        <f>HYPERLINK("http://www.rosaceae.org/gb/gbrowse/malus_x_domestica/?name=MDP0000930575","MDP0000930575")</f>
        <v>MDP0000930575</v>
      </c>
      <c r="D23799">
        <v>89.64</v>
      </c>
      <c r="E23799">
        <v>251</v>
      </c>
      <c r="F23799">
        <v>26</v>
      </c>
      <c r="G23799">
        <v>0</v>
      </c>
      <c r="H23799">
        <v>38</v>
      </c>
      <c r="I23799">
        <v>288</v>
      </c>
      <c r="J23799">
        <v>1</v>
      </c>
      <c r="K23799">
        <v>1</v>
      </c>
      <c r="L23799">
        <v>251</v>
      </c>
      <c r="M23799">
        <v>1</v>
      </c>
      <c r="N23799">
        <v>1.2595100000000001E-130</v>
      </c>
      <c r="O23799">
        <v>1190</v>
      </c>
    </row>
    <row r="23800" spans="1:15" x14ac:dyDescent="0.25">
      <c r="A23800" t="s">
        <v>23813</v>
      </c>
      <c r="B23800">
        <v>169</v>
      </c>
      <c r="C23800" s="1" t="str">
        <f>HYPERLINK("http://www.rosaceae.org/gb/gbrowse/malus_x_domestica/?name=MDP0000284931","MDP0000284931")</f>
        <v>MDP0000284931</v>
      </c>
      <c r="D23800">
        <v>38.880000000000003</v>
      </c>
      <c r="E23800">
        <v>144</v>
      </c>
      <c r="F23800">
        <v>88</v>
      </c>
      <c r="G23800">
        <v>16</v>
      </c>
      <c r="H23800">
        <v>1</v>
      </c>
      <c r="I23800">
        <v>144</v>
      </c>
      <c r="J23800">
        <v>1</v>
      </c>
      <c r="K23800">
        <v>1</v>
      </c>
      <c r="L23800">
        <v>128</v>
      </c>
      <c r="M23800">
        <v>1</v>
      </c>
      <c r="N23800">
        <v>7.1537499999999999E-24</v>
      </c>
      <c r="O23800">
        <v>266</v>
      </c>
    </row>
    <row r="23801" spans="1:15" x14ac:dyDescent="0.25">
      <c r="A23801" t="s">
        <v>23814</v>
      </c>
      <c r="B23801">
        <v>841</v>
      </c>
      <c r="C23801" s="1" t="str">
        <f>HYPERLINK("http://www.rosaceae.org/gb/gbrowse/malus_x_domestica/?name=MDP0000131583","MDP0000131583")</f>
        <v>MDP0000131583</v>
      </c>
      <c r="D23801">
        <v>74.14</v>
      </c>
      <c r="E23801">
        <v>816</v>
      </c>
      <c r="F23801">
        <v>211</v>
      </c>
      <c r="G23801">
        <v>31</v>
      </c>
      <c r="H23801">
        <v>1</v>
      </c>
      <c r="I23801">
        <v>798</v>
      </c>
      <c r="J23801">
        <v>1</v>
      </c>
      <c r="K23801">
        <v>1</v>
      </c>
      <c r="L23801">
        <v>803</v>
      </c>
      <c r="M23801">
        <v>1</v>
      </c>
      <c r="N23801">
        <v>0</v>
      </c>
      <c r="O23801">
        <v>3192</v>
      </c>
    </row>
    <row r="23802" spans="1:15" x14ac:dyDescent="0.25">
      <c r="A23802" t="s">
        <v>23815</v>
      </c>
      <c r="B23802">
        <v>167</v>
      </c>
      <c r="C23802" s="1" t="str">
        <f>HYPERLINK("http://www.rosaceae.org/gb/gbrowse/malus_x_domestica/?name=MDP0000286185","MDP0000286185")</f>
        <v>MDP0000286185</v>
      </c>
      <c r="D23802">
        <v>45.34</v>
      </c>
      <c r="E23802">
        <v>172</v>
      </c>
      <c r="F23802">
        <v>94</v>
      </c>
      <c r="G23802">
        <v>15</v>
      </c>
      <c r="H23802">
        <v>11</v>
      </c>
      <c r="I23802">
        <v>167</v>
      </c>
      <c r="J23802">
        <v>1</v>
      </c>
      <c r="K23802">
        <v>61</v>
      </c>
      <c r="L23802">
        <v>232</v>
      </c>
      <c r="M23802">
        <v>1</v>
      </c>
      <c r="N23802">
        <v>5.9153899999999999E-37</v>
      </c>
      <c r="O23802">
        <v>379</v>
      </c>
    </row>
    <row r="23803" spans="1:15" x14ac:dyDescent="0.25">
      <c r="A23803" t="s">
        <v>23816</v>
      </c>
      <c r="B23803">
        <v>762</v>
      </c>
      <c r="C23803" s="1" t="str">
        <f>HYPERLINK("http://www.rosaceae.org/gb/gbrowse/malus_x_domestica/?name=MDP0000301494","MDP0000301494")</f>
        <v>MDP0000301494</v>
      </c>
      <c r="D23803">
        <v>54.75</v>
      </c>
      <c r="E23803">
        <v>652</v>
      </c>
      <c r="F23803">
        <v>295</v>
      </c>
      <c r="G23803">
        <v>36</v>
      </c>
      <c r="H23803">
        <v>83</v>
      </c>
      <c r="I23803">
        <v>725</v>
      </c>
      <c r="J23803">
        <v>1</v>
      </c>
      <c r="K23803">
        <v>821</v>
      </c>
      <c r="L23803">
        <v>1445</v>
      </c>
      <c r="M23803">
        <v>1</v>
      </c>
      <c r="N23803">
        <v>3.4974700000000002E-177</v>
      </c>
      <c r="O23803">
        <v>1596</v>
      </c>
    </row>
    <row r="23804" spans="1:15" x14ac:dyDescent="0.25">
      <c r="A23804" t="s">
        <v>23817</v>
      </c>
      <c r="B23804">
        <v>612</v>
      </c>
      <c r="C23804" s="1" t="str">
        <f>HYPERLINK("http://www.rosaceae.org/gb/gbrowse/malus_x_domestica/?name=MDP0000769222","MDP0000769222")</f>
        <v>MDP0000769222</v>
      </c>
      <c r="D23804">
        <v>36.25</v>
      </c>
      <c r="E23804">
        <v>524</v>
      </c>
      <c r="F23804">
        <v>334</v>
      </c>
      <c r="G23804">
        <v>92</v>
      </c>
      <c r="H23804">
        <v>142</v>
      </c>
      <c r="I23804">
        <v>610</v>
      </c>
      <c r="J23804">
        <v>1</v>
      </c>
      <c r="K23804">
        <v>352</v>
      </c>
      <c r="L23804">
        <v>838</v>
      </c>
      <c r="M23804">
        <v>1</v>
      </c>
      <c r="N23804">
        <v>6.2646399999999999E-66</v>
      </c>
      <c r="O23804">
        <v>636</v>
      </c>
    </row>
    <row r="23805" spans="1:15" x14ac:dyDescent="0.25">
      <c r="A23805" t="s">
        <v>23818</v>
      </c>
      <c r="B23805">
        <v>152</v>
      </c>
      <c r="C23805" s="1" t="str">
        <f>HYPERLINK("http://www.rosaceae.org/gb/gbrowse/malus_x_domestica/?name=MDP0000424231","MDP0000424231")</f>
        <v>MDP0000424231</v>
      </c>
      <c r="D23805">
        <v>67.14</v>
      </c>
      <c r="E23805">
        <v>140</v>
      </c>
      <c r="F23805">
        <v>46</v>
      </c>
      <c r="G23805">
        <v>9</v>
      </c>
      <c r="H23805">
        <v>19</v>
      </c>
      <c r="I23805">
        <v>152</v>
      </c>
      <c r="J23805">
        <v>1</v>
      </c>
      <c r="K23805">
        <v>24</v>
      </c>
      <c r="L23805">
        <v>160</v>
      </c>
      <c r="M23805">
        <v>1</v>
      </c>
      <c r="N23805">
        <v>1.1485299999999999E-39</v>
      </c>
      <c r="O23805">
        <v>402</v>
      </c>
    </row>
    <row r="23806" spans="1:15" x14ac:dyDescent="0.25">
      <c r="A23806" t="s">
        <v>23819</v>
      </c>
      <c r="B23806">
        <v>162</v>
      </c>
      <c r="C23806" s="1" t="str">
        <f>HYPERLINK("http://www.rosaceae.org/gb/gbrowse/malus_x_domestica/?name=MDP0000303817","MDP0000303817")</f>
        <v>MDP0000303817</v>
      </c>
      <c r="D23806">
        <v>81.010000000000005</v>
      </c>
      <c r="E23806">
        <v>158</v>
      </c>
      <c r="F23806">
        <v>30</v>
      </c>
      <c r="G23806">
        <v>0</v>
      </c>
      <c r="H23806">
        <v>1</v>
      </c>
      <c r="I23806">
        <v>158</v>
      </c>
      <c r="J23806">
        <v>1</v>
      </c>
      <c r="K23806">
        <v>1</v>
      </c>
      <c r="L23806">
        <v>158</v>
      </c>
      <c r="M23806">
        <v>1</v>
      </c>
      <c r="N23806">
        <v>1.23368E-76</v>
      </c>
      <c r="O23806">
        <v>721</v>
      </c>
    </row>
    <row r="23807" spans="1:15" x14ac:dyDescent="0.25">
      <c r="A23807" t="s">
        <v>23820</v>
      </c>
      <c r="B23807">
        <v>372</v>
      </c>
      <c r="C23807" s="1" t="str">
        <f>HYPERLINK("http://www.rosaceae.org/gb/gbrowse/malus_x_domestica/?name=MDP0000178334","MDP0000178334")</f>
        <v>MDP0000178334</v>
      </c>
      <c r="D23807">
        <v>76.53</v>
      </c>
      <c r="E23807">
        <v>375</v>
      </c>
      <c r="F23807">
        <v>88</v>
      </c>
      <c r="G23807">
        <v>5</v>
      </c>
      <c r="H23807">
        <v>2</v>
      </c>
      <c r="I23807">
        <v>372</v>
      </c>
      <c r="J23807">
        <v>1</v>
      </c>
      <c r="K23807">
        <v>4</v>
      </c>
      <c r="L23807">
        <v>377</v>
      </c>
      <c r="M23807">
        <v>1</v>
      </c>
      <c r="N23807">
        <v>9.0467699999999993E-177</v>
      </c>
      <c r="O23807">
        <v>1590</v>
      </c>
    </row>
    <row r="23808" spans="1:15" x14ac:dyDescent="0.25">
      <c r="A23808" t="s">
        <v>23821</v>
      </c>
      <c r="B23808">
        <v>472</v>
      </c>
      <c r="C23808" s="1" t="str">
        <f>HYPERLINK("http://www.rosaceae.org/gb/gbrowse/malus_x_domestica/?name=MDP0000187837","MDP0000187837")</f>
        <v>MDP0000187837</v>
      </c>
      <c r="D23808">
        <v>50.6</v>
      </c>
      <c r="E23808">
        <v>247</v>
      </c>
      <c r="F23808">
        <v>122</v>
      </c>
      <c r="G23808">
        <v>64</v>
      </c>
      <c r="H23808">
        <v>63</v>
      </c>
      <c r="I23808">
        <v>262</v>
      </c>
      <c r="J23808">
        <v>1</v>
      </c>
      <c r="K23808">
        <v>5</v>
      </c>
      <c r="L23808">
        <v>234</v>
      </c>
      <c r="M23808">
        <v>1</v>
      </c>
      <c r="N23808">
        <v>1.26147E-53</v>
      </c>
      <c r="O23808">
        <v>529</v>
      </c>
    </row>
    <row r="23809" spans="1:15" x14ac:dyDescent="0.25">
      <c r="A23809" t="s">
        <v>23822</v>
      </c>
      <c r="B23809">
        <v>355</v>
      </c>
      <c r="C23809" s="1" t="str">
        <f>HYPERLINK("http://www.rosaceae.org/gb/gbrowse/malus_x_domestica/?name=MDP0000136671","MDP0000136671")</f>
        <v>MDP0000136671</v>
      </c>
      <c r="D23809">
        <v>32.99</v>
      </c>
      <c r="E23809">
        <v>297</v>
      </c>
      <c r="F23809">
        <v>199</v>
      </c>
      <c r="G23809">
        <v>31</v>
      </c>
      <c r="H23809">
        <v>10</v>
      </c>
      <c r="I23809">
        <v>289</v>
      </c>
      <c r="J23809">
        <v>1</v>
      </c>
      <c r="K23809">
        <v>1</v>
      </c>
      <c r="L23809">
        <v>283</v>
      </c>
      <c r="M23809">
        <v>1</v>
      </c>
      <c r="N23809">
        <v>6.8209599999999997E-32</v>
      </c>
      <c r="O23809">
        <v>340</v>
      </c>
    </row>
    <row r="23810" spans="1:15" x14ac:dyDescent="0.25">
      <c r="A23810" t="s">
        <v>23823</v>
      </c>
      <c r="B23810">
        <v>449</v>
      </c>
      <c r="C23810" s="1" t="str">
        <f>HYPERLINK("http://www.rosaceae.org/gb/gbrowse/malus_x_domestica/?name=MDP0000141593","MDP0000141593")</f>
        <v>MDP0000141593</v>
      </c>
      <c r="D23810">
        <v>64.03</v>
      </c>
      <c r="E23810">
        <v>406</v>
      </c>
      <c r="F23810">
        <v>146</v>
      </c>
      <c r="G23810">
        <v>25</v>
      </c>
      <c r="H23810">
        <v>66</v>
      </c>
      <c r="I23810">
        <v>449</v>
      </c>
      <c r="J23810">
        <v>1</v>
      </c>
      <c r="K23810">
        <v>1</v>
      </c>
      <c r="L23810">
        <v>403</v>
      </c>
      <c r="M23810">
        <v>1</v>
      </c>
      <c r="N23810">
        <v>1.44334E-141</v>
      </c>
      <c r="O23810">
        <v>1287</v>
      </c>
    </row>
    <row r="23811" spans="1:15" x14ac:dyDescent="0.25">
      <c r="A23811" t="s">
        <v>23824</v>
      </c>
      <c r="B23811">
        <v>722</v>
      </c>
      <c r="C23811" s="1" t="str">
        <f>HYPERLINK("http://www.rosaceae.org/gb/gbrowse/malus_x_domestica/?name=MDP0000190736","MDP0000190736")</f>
        <v>MDP0000190736</v>
      </c>
      <c r="D23811">
        <v>69.42</v>
      </c>
      <c r="E23811">
        <v>157</v>
      </c>
      <c r="F23811">
        <v>48</v>
      </c>
      <c r="G23811">
        <v>0</v>
      </c>
      <c r="H23811">
        <v>81</v>
      </c>
      <c r="I23811">
        <v>237</v>
      </c>
      <c r="J23811">
        <v>1</v>
      </c>
      <c r="K23811">
        <v>19</v>
      </c>
      <c r="L23811">
        <v>175</v>
      </c>
      <c r="M23811">
        <v>1</v>
      </c>
      <c r="N23811">
        <v>1.1970600000000001E-59</v>
      </c>
      <c r="O23811">
        <v>582</v>
      </c>
    </row>
    <row r="23812" spans="1:15" x14ac:dyDescent="0.25">
      <c r="A23812" t="s">
        <v>23825</v>
      </c>
      <c r="B23812">
        <v>662</v>
      </c>
      <c r="C23812" s="1" t="str">
        <f>HYPERLINK("http://www.rosaceae.org/gb/gbrowse/malus_x_domestica/?name=MDP0000231920","MDP0000231920")</f>
        <v>MDP0000231920</v>
      </c>
      <c r="D23812">
        <v>57.63</v>
      </c>
      <c r="E23812">
        <v>550</v>
      </c>
      <c r="F23812">
        <v>233</v>
      </c>
      <c r="G23812">
        <v>79</v>
      </c>
      <c r="H23812">
        <v>150</v>
      </c>
      <c r="I23812">
        <v>622</v>
      </c>
      <c r="J23812">
        <v>1</v>
      </c>
      <c r="K23812">
        <v>71</v>
      </c>
      <c r="L23812">
        <v>618</v>
      </c>
      <c r="M23812">
        <v>1</v>
      </c>
      <c r="N23812">
        <v>1.4073299999999999E-171</v>
      </c>
      <c r="O23812">
        <v>1547</v>
      </c>
    </row>
    <row r="23813" spans="1:15" x14ac:dyDescent="0.25">
      <c r="A23813" t="s">
        <v>23826</v>
      </c>
      <c r="B23813">
        <v>564</v>
      </c>
      <c r="C23813" s="1" t="str">
        <f>HYPERLINK("http://www.rosaceae.org/gb/gbrowse/malus_x_domestica/?name=MDP0000290414","MDP0000290414")</f>
        <v>MDP0000290414</v>
      </c>
      <c r="D23813">
        <v>67.739999999999995</v>
      </c>
      <c r="E23813">
        <v>555</v>
      </c>
      <c r="F23813">
        <v>179</v>
      </c>
      <c r="G23813">
        <v>14</v>
      </c>
      <c r="H23813">
        <v>14</v>
      </c>
      <c r="I23813">
        <v>562</v>
      </c>
      <c r="J23813">
        <v>1</v>
      </c>
      <c r="K23813">
        <v>15</v>
      </c>
      <c r="L23813">
        <v>561</v>
      </c>
      <c r="M23813">
        <v>1</v>
      </c>
      <c r="N23813">
        <v>0</v>
      </c>
      <c r="O23813">
        <v>1891</v>
      </c>
    </row>
    <row r="23814" spans="1:15" x14ac:dyDescent="0.25">
      <c r="A23814" t="s">
        <v>23827</v>
      </c>
      <c r="B23814">
        <v>603</v>
      </c>
      <c r="C23814" s="1" t="str">
        <f>HYPERLINK("http://www.rosaceae.org/gb/gbrowse/malus_x_domestica/?name=MDP0000219271","MDP0000219271")</f>
        <v>MDP0000219271</v>
      </c>
      <c r="D23814">
        <v>77.08</v>
      </c>
      <c r="E23814">
        <v>611</v>
      </c>
      <c r="F23814">
        <v>140</v>
      </c>
      <c r="G23814">
        <v>20</v>
      </c>
      <c r="H23814">
        <v>1</v>
      </c>
      <c r="I23814">
        <v>602</v>
      </c>
      <c r="J23814">
        <v>1</v>
      </c>
      <c r="K23814">
        <v>1</v>
      </c>
      <c r="L23814">
        <v>600</v>
      </c>
      <c r="M23814">
        <v>1</v>
      </c>
      <c r="N23814">
        <v>0</v>
      </c>
      <c r="O23814">
        <v>2473</v>
      </c>
    </row>
    <row r="23815" spans="1:15" x14ac:dyDescent="0.25">
      <c r="A23815" t="s">
        <v>23828</v>
      </c>
      <c r="B23815">
        <v>264</v>
      </c>
      <c r="C23815" s="1" t="str">
        <f>HYPERLINK("http://www.rosaceae.org/gb/gbrowse/malus_x_domestica/?name=MDP0000314729","MDP0000314729")</f>
        <v>MDP0000314729</v>
      </c>
      <c r="D23815">
        <v>70.38</v>
      </c>
      <c r="E23815">
        <v>233</v>
      </c>
      <c r="F23815">
        <v>69</v>
      </c>
      <c r="G23815">
        <v>5</v>
      </c>
      <c r="H23815">
        <v>13</v>
      </c>
      <c r="I23815">
        <v>242</v>
      </c>
      <c r="J23815">
        <v>1</v>
      </c>
      <c r="K23815">
        <v>548</v>
      </c>
      <c r="L23815">
        <v>778</v>
      </c>
      <c r="M23815">
        <v>1</v>
      </c>
      <c r="N23815">
        <v>7.0005400000000003E-96</v>
      </c>
      <c r="O23815">
        <v>890</v>
      </c>
    </row>
    <row r="23816" spans="1:15" x14ac:dyDescent="0.25">
      <c r="A23816" t="s">
        <v>23829</v>
      </c>
      <c r="B23816">
        <v>1079</v>
      </c>
      <c r="C23816" s="1" t="str">
        <f>HYPERLINK("http://www.rosaceae.org/gb/gbrowse/malus_x_domestica/?name=MDP0000256917","MDP0000256917")</f>
        <v>MDP0000256917</v>
      </c>
      <c r="D23816">
        <v>62.94</v>
      </c>
      <c r="E23816">
        <v>734</v>
      </c>
      <c r="F23816">
        <v>272</v>
      </c>
      <c r="G23816">
        <v>58</v>
      </c>
      <c r="H23816">
        <v>61</v>
      </c>
      <c r="I23816">
        <v>760</v>
      </c>
      <c r="J23816">
        <v>1</v>
      </c>
      <c r="K23816">
        <v>5</v>
      </c>
      <c r="L23816">
        <v>714</v>
      </c>
      <c r="M23816">
        <v>1</v>
      </c>
      <c r="N23816">
        <v>0</v>
      </c>
      <c r="O23816">
        <v>2344</v>
      </c>
    </row>
    <row r="23817" spans="1:15" x14ac:dyDescent="0.25">
      <c r="A23817" t="s">
        <v>23830</v>
      </c>
      <c r="B23817">
        <v>827</v>
      </c>
      <c r="C23817" s="1" t="str">
        <f>HYPERLINK("http://www.rosaceae.org/gb/gbrowse/malus_x_domestica/?name=MDP0000890302","MDP0000890302")</f>
        <v>MDP0000890302</v>
      </c>
      <c r="D23817">
        <v>50.28</v>
      </c>
      <c r="E23817">
        <v>885</v>
      </c>
      <c r="F23817">
        <v>440</v>
      </c>
      <c r="G23817">
        <v>93</v>
      </c>
      <c r="H23817">
        <v>1</v>
      </c>
      <c r="I23817">
        <v>827</v>
      </c>
      <c r="J23817">
        <v>1</v>
      </c>
      <c r="K23817">
        <v>1</v>
      </c>
      <c r="L23817">
        <v>850</v>
      </c>
      <c r="M23817">
        <v>1</v>
      </c>
      <c r="N23817">
        <v>0</v>
      </c>
      <c r="O23817">
        <v>1962</v>
      </c>
    </row>
    <row r="23818" spans="1:15" x14ac:dyDescent="0.25">
      <c r="A23818" t="s">
        <v>23831</v>
      </c>
      <c r="B23818">
        <v>507</v>
      </c>
      <c r="C23818" s="1" t="str">
        <f>HYPERLINK("http://www.rosaceae.org/gb/gbrowse/malus_x_domestica/?name=MDP0000482184","MDP0000482184")</f>
        <v>MDP0000482184</v>
      </c>
      <c r="D23818">
        <v>70</v>
      </c>
      <c r="E23818">
        <v>40</v>
      </c>
      <c r="F23818">
        <v>12</v>
      </c>
      <c r="G23818">
        <v>0</v>
      </c>
      <c r="H23818">
        <v>14</v>
      </c>
      <c r="I23818">
        <v>53</v>
      </c>
      <c r="J23818">
        <v>1</v>
      </c>
      <c r="K23818">
        <v>70</v>
      </c>
      <c r="L23818">
        <v>109</v>
      </c>
      <c r="M23818">
        <v>1</v>
      </c>
      <c r="N23818">
        <v>6.8402299999999996E-13</v>
      </c>
      <c r="O23818">
        <v>178</v>
      </c>
    </row>
    <row r="23819" spans="1:15" x14ac:dyDescent="0.25">
      <c r="A23819" t="s">
        <v>23832</v>
      </c>
      <c r="B23819">
        <v>400</v>
      </c>
      <c r="C23819" s="1" t="str">
        <f>HYPERLINK("http://www.rosaceae.org/gb/gbrowse/malus_x_domestica/?name=MDP0000207413","MDP0000207413")</f>
        <v>MDP0000207413</v>
      </c>
      <c r="D23819">
        <v>51.64</v>
      </c>
      <c r="E23819">
        <v>273</v>
      </c>
      <c r="F23819">
        <v>132</v>
      </c>
      <c r="G23819">
        <v>10</v>
      </c>
      <c r="H23819">
        <v>28</v>
      </c>
      <c r="I23819">
        <v>295</v>
      </c>
      <c r="J23819">
        <v>1</v>
      </c>
      <c r="K23819">
        <v>25</v>
      </c>
      <c r="L23819">
        <v>292</v>
      </c>
      <c r="M23819">
        <v>1</v>
      </c>
      <c r="N23819">
        <v>7.7798599999999998E-67</v>
      </c>
      <c r="O23819">
        <v>642</v>
      </c>
    </row>
    <row r="23820" spans="1:15" x14ac:dyDescent="0.25">
      <c r="A23820" t="s">
        <v>23833</v>
      </c>
      <c r="B23820">
        <v>288</v>
      </c>
      <c r="C23820" s="1" t="str">
        <f>HYPERLINK("http://www.rosaceae.org/gb/gbrowse/malus_x_domestica/?name=MDP0000701336","MDP0000701336")</f>
        <v>MDP0000701336</v>
      </c>
      <c r="D23820">
        <v>81.38</v>
      </c>
      <c r="E23820">
        <v>231</v>
      </c>
      <c r="F23820">
        <v>43</v>
      </c>
      <c r="G23820">
        <v>1</v>
      </c>
      <c r="H23820">
        <v>58</v>
      </c>
      <c r="I23820">
        <v>287</v>
      </c>
      <c r="J23820">
        <v>1</v>
      </c>
      <c r="K23820">
        <v>17</v>
      </c>
      <c r="L23820">
        <v>247</v>
      </c>
      <c r="M23820">
        <v>1</v>
      </c>
      <c r="N23820">
        <v>9.9473500000000009E-109</v>
      </c>
      <c r="O23820">
        <v>1001</v>
      </c>
    </row>
    <row r="23821" spans="1:15" x14ac:dyDescent="0.25">
      <c r="A23821" t="s">
        <v>23834</v>
      </c>
      <c r="B23821">
        <v>106</v>
      </c>
      <c r="C23821" s="1" t="str">
        <f>HYPERLINK("http://www.rosaceae.org/gb/gbrowse/malus_x_domestica/?name=MDP0000253718","MDP0000253718")</f>
        <v>MDP0000253718</v>
      </c>
      <c r="D23821">
        <v>90</v>
      </c>
      <c r="E23821">
        <v>100</v>
      </c>
      <c r="F23821">
        <v>10</v>
      </c>
      <c r="G23821">
        <v>0</v>
      </c>
      <c r="H23821">
        <v>7</v>
      </c>
      <c r="I23821">
        <v>106</v>
      </c>
      <c r="J23821">
        <v>1</v>
      </c>
      <c r="K23821">
        <v>41</v>
      </c>
      <c r="L23821">
        <v>140</v>
      </c>
      <c r="M23821">
        <v>1</v>
      </c>
      <c r="N23821">
        <v>4.2029900000000003E-49</v>
      </c>
      <c r="O23821">
        <v>481</v>
      </c>
    </row>
    <row r="23822" spans="1:15" x14ac:dyDescent="0.25">
      <c r="A23822" t="s">
        <v>23835</v>
      </c>
      <c r="B23822">
        <v>421</v>
      </c>
      <c r="C23822" s="1" t="str">
        <f>HYPERLINK("http://www.rosaceae.org/gb/gbrowse/malus_x_domestica/?name=MDP0000181884","MDP0000181884")</f>
        <v>MDP0000181884</v>
      </c>
      <c r="D23822">
        <v>86.46</v>
      </c>
      <c r="E23822">
        <v>325</v>
      </c>
      <c r="F23822">
        <v>44</v>
      </c>
      <c r="G23822">
        <v>1</v>
      </c>
      <c r="H23822">
        <v>62</v>
      </c>
      <c r="I23822">
        <v>386</v>
      </c>
      <c r="J23822">
        <v>1</v>
      </c>
      <c r="K23822">
        <v>224</v>
      </c>
      <c r="L23822">
        <v>547</v>
      </c>
      <c r="M23822">
        <v>1</v>
      </c>
      <c r="N23822">
        <v>1.69959E-170</v>
      </c>
      <c r="O23822">
        <v>1536</v>
      </c>
    </row>
    <row r="23823" spans="1:15" x14ac:dyDescent="0.25">
      <c r="A23823" t="s">
        <v>23836</v>
      </c>
      <c r="B23823">
        <v>360</v>
      </c>
      <c r="C23823" s="1" t="str">
        <f>HYPERLINK("http://www.rosaceae.org/gb/gbrowse/malus_x_domestica/?name=MDP0000173636","MDP0000173636")</f>
        <v>MDP0000173636</v>
      </c>
      <c r="D23823">
        <v>63.65</v>
      </c>
      <c r="E23823">
        <v>388</v>
      </c>
      <c r="F23823">
        <v>141</v>
      </c>
      <c r="G23823">
        <v>43</v>
      </c>
      <c r="H23823">
        <v>1</v>
      </c>
      <c r="I23823">
        <v>360</v>
      </c>
      <c r="J23823">
        <v>1</v>
      </c>
      <c r="K23823">
        <v>1</v>
      </c>
      <c r="L23823">
        <v>373</v>
      </c>
      <c r="M23823">
        <v>1</v>
      </c>
      <c r="N23823">
        <v>5.1838700000000001E-126</v>
      </c>
      <c r="O23823">
        <v>1152</v>
      </c>
    </row>
    <row r="23824" spans="1:15" x14ac:dyDescent="0.25">
      <c r="A23824" t="s">
        <v>23837</v>
      </c>
      <c r="B23824">
        <v>228</v>
      </c>
      <c r="C23824" s="1" t="str">
        <f>HYPERLINK("http://www.rosaceae.org/gb/gbrowse/malus_x_domestica/?name=MDP0000289279","MDP0000289279")</f>
        <v>MDP0000289279</v>
      </c>
      <c r="D23824">
        <v>77.14</v>
      </c>
      <c r="E23824">
        <v>210</v>
      </c>
      <c r="F23824">
        <v>48</v>
      </c>
      <c r="G23824">
        <v>8</v>
      </c>
      <c r="H23824">
        <v>22</v>
      </c>
      <c r="I23824">
        <v>223</v>
      </c>
      <c r="J23824">
        <v>1</v>
      </c>
      <c r="K23824">
        <v>21</v>
      </c>
      <c r="L23824">
        <v>230</v>
      </c>
      <c r="M23824">
        <v>1</v>
      </c>
      <c r="N23824">
        <v>5.8180099999999996E-91</v>
      </c>
      <c r="O23824">
        <v>847</v>
      </c>
    </row>
    <row r="23825" spans="1:15" x14ac:dyDescent="0.25">
      <c r="A23825" t="s">
        <v>23838</v>
      </c>
      <c r="B23825">
        <v>280</v>
      </c>
      <c r="C23825" s="1" t="str">
        <f>HYPERLINK("http://www.rosaceae.org/gb/gbrowse/malus_x_domestica/?name=MDP0000295241","MDP0000295241")</f>
        <v>MDP0000295241</v>
      </c>
      <c r="D23825">
        <v>82.87</v>
      </c>
      <c r="E23825">
        <v>292</v>
      </c>
      <c r="F23825">
        <v>50</v>
      </c>
      <c r="G23825">
        <v>15</v>
      </c>
      <c r="H23825">
        <v>1</v>
      </c>
      <c r="I23825">
        <v>280</v>
      </c>
      <c r="J23825">
        <v>1</v>
      </c>
      <c r="K23825">
        <v>1</v>
      </c>
      <c r="L23825">
        <v>289</v>
      </c>
      <c r="M23825">
        <v>1</v>
      </c>
      <c r="N23825">
        <v>4.6957999999999999E-129</v>
      </c>
      <c r="O23825">
        <v>1177</v>
      </c>
    </row>
    <row r="23826" spans="1:15" x14ac:dyDescent="0.25">
      <c r="A23826" t="s">
        <v>23839</v>
      </c>
      <c r="B23826">
        <v>587</v>
      </c>
      <c r="C23826" s="1" t="str">
        <f>HYPERLINK("http://www.rosaceae.org/gb/gbrowse/malus_x_domestica/?name=MDP0000284187","MDP0000284187")</f>
        <v>MDP0000284187</v>
      </c>
      <c r="D23826">
        <v>73.03</v>
      </c>
      <c r="E23826">
        <v>586</v>
      </c>
      <c r="F23826">
        <v>158</v>
      </c>
      <c r="G23826">
        <v>7</v>
      </c>
      <c r="H23826">
        <v>1</v>
      </c>
      <c r="I23826">
        <v>580</v>
      </c>
      <c r="J23826">
        <v>1</v>
      </c>
      <c r="K23826">
        <v>1</v>
      </c>
      <c r="L23826">
        <v>585</v>
      </c>
      <c r="M23826">
        <v>1</v>
      </c>
      <c r="N23826">
        <v>0</v>
      </c>
      <c r="O23826">
        <v>2238</v>
      </c>
    </row>
    <row r="23827" spans="1:15" x14ac:dyDescent="0.25">
      <c r="A23827" t="s">
        <v>23840</v>
      </c>
      <c r="B23827">
        <v>128</v>
      </c>
      <c r="C23827" s="1" t="str">
        <f>HYPERLINK("http://www.rosaceae.org/gb/gbrowse/malus_x_domestica/?name=MDP0000164579","MDP0000164579")</f>
        <v>MDP0000164579</v>
      </c>
      <c r="D23827">
        <v>44.11</v>
      </c>
      <c r="E23827">
        <v>68</v>
      </c>
      <c r="F23827">
        <v>38</v>
      </c>
      <c r="G23827">
        <v>0</v>
      </c>
      <c r="H23827">
        <v>54</v>
      </c>
      <c r="I23827">
        <v>121</v>
      </c>
      <c r="J23827">
        <v>1</v>
      </c>
      <c r="K23827">
        <v>133</v>
      </c>
      <c r="L23827">
        <v>200</v>
      </c>
      <c r="M23827">
        <v>1</v>
      </c>
      <c r="N23827">
        <v>1.3951399999999999E-13</v>
      </c>
      <c r="O23827">
        <v>175</v>
      </c>
    </row>
    <row r="23828" spans="1:15" x14ac:dyDescent="0.25">
      <c r="A23828" t="s">
        <v>23841</v>
      </c>
      <c r="B23828">
        <v>84</v>
      </c>
      <c r="C23828" s="1" t="str">
        <f>HYPERLINK("http://www.rosaceae.org/gb/gbrowse/malus_x_domestica/?name=MDP0000853667","MDP0000853667")</f>
        <v>MDP0000853667</v>
      </c>
      <c r="D23828">
        <v>53.7</v>
      </c>
      <c r="E23828">
        <v>54</v>
      </c>
      <c r="F23828">
        <v>25</v>
      </c>
      <c r="G23828">
        <v>0</v>
      </c>
      <c r="H23828">
        <v>1</v>
      </c>
      <c r="I23828">
        <v>54</v>
      </c>
      <c r="J23828">
        <v>1</v>
      </c>
      <c r="K23828">
        <v>73</v>
      </c>
      <c r="L23828">
        <v>126</v>
      </c>
      <c r="M23828">
        <v>1</v>
      </c>
      <c r="N23828">
        <v>2.98761E-12</v>
      </c>
      <c r="O23828">
        <v>163</v>
      </c>
    </row>
    <row r="23829" spans="1:15" x14ac:dyDescent="0.25">
      <c r="A23829" t="s">
        <v>23842</v>
      </c>
      <c r="B23829">
        <v>496</v>
      </c>
      <c r="C23829" s="1" t="str">
        <f>HYPERLINK("http://www.rosaceae.org/gb/gbrowse/malus_x_domestica/?name=MDP0000191352","MDP0000191352")</f>
        <v>MDP0000191352</v>
      </c>
      <c r="D23829">
        <v>30.25</v>
      </c>
      <c r="E23829">
        <v>195</v>
      </c>
      <c r="F23829">
        <v>136</v>
      </c>
      <c r="G23829">
        <v>35</v>
      </c>
      <c r="H23829">
        <v>267</v>
      </c>
      <c r="I23829">
        <v>450</v>
      </c>
      <c r="J23829">
        <v>1</v>
      </c>
      <c r="K23829">
        <v>114</v>
      </c>
      <c r="L23829">
        <v>284</v>
      </c>
      <c r="M23829">
        <v>1</v>
      </c>
      <c r="N23829">
        <v>3.7423900000000001E-11</v>
      </c>
      <c r="O23829">
        <v>163</v>
      </c>
    </row>
    <row r="23830" spans="1:15" x14ac:dyDescent="0.25">
      <c r="A23830" t="s">
        <v>23843</v>
      </c>
      <c r="B23830">
        <v>511</v>
      </c>
      <c r="C23830" s="1" t="str">
        <f>HYPERLINK("http://www.rosaceae.org/gb/gbrowse/malus_x_domestica/?name=MDP0000249947","MDP0000249947")</f>
        <v>MDP0000249947</v>
      </c>
      <c r="D23830">
        <v>42.35</v>
      </c>
      <c r="E23830">
        <v>170</v>
      </c>
      <c r="F23830">
        <v>98</v>
      </c>
      <c r="G23830">
        <v>23</v>
      </c>
      <c r="H23830">
        <v>5</v>
      </c>
      <c r="I23830">
        <v>168</v>
      </c>
      <c r="J23830">
        <v>1</v>
      </c>
      <c r="K23830">
        <v>26</v>
      </c>
      <c r="L23830">
        <v>178</v>
      </c>
      <c r="M23830">
        <v>1</v>
      </c>
      <c r="N23830">
        <v>4.3086200000000001E-30</v>
      </c>
      <c r="O23830">
        <v>326</v>
      </c>
    </row>
    <row r="23831" spans="1:15" x14ac:dyDescent="0.25">
      <c r="A23831" t="s">
        <v>23844</v>
      </c>
      <c r="B23831">
        <v>234</v>
      </c>
      <c r="C23831" s="1" t="str">
        <f>HYPERLINK("http://www.rosaceae.org/gb/gbrowse/malus_x_domestica/?name=MDP0000279955","MDP0000279955")</f>
        <v>MDP0000279955</v>
      </c>
      <c r="D23831">
        <v>36.36</v>
      </c>
      <c r="E23831">
        <v>165</v>
      </c>
      <c r="F23831">
        <v>105</v>
      </c>
      <c r="G23831">
        <v>10</v>
      </c>
      <c r="H23831">
        <v>69</v>
      </c>
      <c r="I23831">
        <v>229</v>
      </c>
      <c r="J23831">
        <v>1</v>
      </c>
      <c r="K23831">
        <v>186</v>
      </c>
      <c r="L23831">
        <v>344</v>
      </c>
      <c r="M23831">
        <v>1</v>
      </c>
      <c r="N23831">
        <v>2.8158799999999999E-18</v>
      </c>
      <c r="O23831">
        <v>220</v>
      </c>
    </row>
    <row r="23832" spans="1:15" x14ac:dyDescent="0.25">
      <c r="A23832" t="s">
        <v>23845</v>
      </c>
      <c r="B23832">
        <v>918</v>
      </c>
      <c r="C23832" s="1" t="str">
        <f>HYPERLINK("http://www.rosaceae.org/gb/gbrowse/malus_x_domestica/?name=MDP0000681768","MDP0000681768")</f>
        <v>MDP0000681768</v>
      </c>
      <c r="D23832">
        <v>65.87</v>
      </c>
      <c r="E23832">
        <v>630</v>
      </c>
      <c r="F23832">
        <v>215</v>
      </c>
      <c r="G23832">
        <v>19</v>
      </c>
      <c r="H23832">
        <v>289</v>
      </c>
      <c r="I23832">
        <v>915</v>
      </c>
      <c r="J23832">
        <v>1</v>
      </c>
      <c r="K23832">
        <v>43</v>
      </c>
      <c r="L23832">
        <v>656</v>
      </c>
      <c r="M23832">
        <v>1</v>
      </c>
      <c r="N23832">
        <v>0</v>
      </c>
      <c r="O23832">
        <v>2086</v>
      </c>
    </row>
    <row r="23833" spans="1:15" x14ac:dyDescent="0.25">
      <c r="A23833" t="s">
        <v>23846</v>
      </c>
      <c r="B23833">
        <v>482</v>
      </c>
      <c r="C23833" s="1" t="str">
        <f>HYPERLINK("http://www.rosaceae.org/gb/gbrowse/malus_x_domestica/?name=MDP0000297196","MDP0000297196")</f>
        <v>MDP0000297196</v>
      </c>
      <c r="D23833">
        <v>42.35</v>
      </c>
      <c r="E23833">
        <v>340</v>
      </c>
      <c r="F23833">
        <v>196</v>
      </c>
      <c r="G23833">
        <v>50</v>
      </c>
      <c r="H23833">
        <v>32</v>
      </c>
      <c r="I23833">
        <v>351</v>
      </c>
      <c r="J23833">
        <v>1</v>
      </c>
      <c r="K23833">
        <v>115</v>
      </c>
      <c r="L23833">
        <v>424</v>
      </c>
      <c r="M23833">
        <v>1</v>
      </c>
      <c r="N23833">
        <v>8.6807000000000004E-55</v>
      </c>
      <c r="O23833">
        <v>539</v>
      </c>
    </row>
    <row r="23834" spans="1:15" x14ac:dyDescent="0.25">
      <c r="A23834" t="s">
        <v>23847</v>
      </c>
      <c r="B23834">
        <v>688</v>
      </c>
      <c r="C23834" s="1" t="str">
        <f>HYPERLINK("http://www.rosaceae.org/gb/gbrowse/malus_x_domestica/?name=MDP0000155901","MDP0000155901")</f>
        <v>MDP0000155901</v>
      </c>
      <c r="D23834">
        <v>83.59</v>
      </c>
      <c r="E23834">
        <v>689</v>
      </c>
      <c r="F23834">
        <v>113</v>
      </c>
      <c r="G23834">
        <v>2</v>
      </c>
      <c r="H23834">
        <v>1</v>
      </c>
      <c r="I23834">
        <v>688</v>
      </c>
      <c r="J23834">
        <v>1</v>
      </c>
      <c r="K23834">
        <v>1</v>
      </c>
      <c r="L23834">
        <v>688</v>
      </c>
      <c r="M23834">
        <v>1</v>
      </c>
      <c r="N23834">
        <v>0</v>
      </c>
      <c r="O23834">
        <v>3105</v>
      </c>
    </row>
    <row r="23835" spans="1:15" x14ac:dyDescent="0.25">
      <c r="A23835" t="s">
        <v>23848</v>
      </c>
      <c r="B23835">
        <v>112</v>
      </c>
      <c r="C23835" s="1" t="str">
        <f>HYPERLINK("http://www.rosaceae.org/gb/gbrowse/malus_x_domestica/?name=MDP0000553490","MDP0000553490")</f>
        <v>MDP0000553490</v>
      </c>
      <c r="D23835">
        <v>84.68</v>
      </c>
      <c r="E23835">
        <v>111</v>
      </c>
      <c r="F23835">
        <v>17</v>
      </c>
      <c r="G23835">
        <v>3</v>
      </c>
      <c r="H23835">
        <v>2</v>
      </c>
      <c r="I23835">
        <v>112</v>
      </c>
      <c r="J23835">
        <v>1</v>
      </c>
      <c r="K23835">
        <v>123</v>
      </c>
      <c r="L23835">
        <v>230</v>
      </c>
      <c r="M23835">
        <v>1</v>
      </c>
      <c r="N23835">
        <v>5.5167899999999997E-54</v>
      </c>
      <c r="O23835">
        <v>523</v>
      </c>
    </row>
    <row r="23836" spans="1:15" x14ac:dyDescent="0.25">
      <c r="A23836" t="s">
        <v>23849</v>
      </c>
      <c r="B23836">
        <v>625</v>
      </c>
      <c r="C23836" s="1" t="str">
        <f>HYPERLINK("http://www.rosaceae.org/gb/gbrowse/malus_x_domestica/?name=MDP0000850540","MDP0000850540")</f>
        <v>MDP0000850540</v>
      </c>
      <c r="D23836">
        <v>70.62</v>
      </c>
      <c r="E23836">
        <v>480</v>
      </c>
      <c r="F23836">
        <v>141</v>
      </c>
      <c r="G23836">
        <v>28</v>
      </c>
      <c r="H23836">
        <v>19</v>
      </c>
      <c r="I23836">
        <v>470</v>
      </c>
      <c r="J23836">
        <v>1</v>
      </c>
      <c r="K23836">
        <v>1</v>
      </c>
      <c r="L23836">
        <v>480</v>
      </c>
      <c r="M23836">
        <v>1</v>
      </c>
      <c r="N23836">
        <v>0</v>
      </c>
      <c r="O23836">
        <v>1769</v>
      </c>
    </row>
    <row r="23837" spans="1:15" x14ac:dyDescent="0.25">
      <c r="A23837" t="s">
        <v>23850</v>
      </c>
      <c r="B23837">
        <v>250</v>
      </c>
      <c r="C23837" s="1" t="str">
        <f>HYPERLINK("http://www.rosaceae.org/gb/gbrowse/malus_x_domestica/?name=MDP0000231623","MDP0000231623")</f>
        <v>MDP0000231623</v>
      </c>
      <c r="D23837">
        <v>91.76</v>
      </c>
      <c r="E23837">
        <v>243</v>
      </c>
      <c r="F23837">
        <v>20</v>
      </c>
      <c r="G23837">
        <v>0</v>
      </c>
      <c r="H23837">
        <v>7</v>
      </c>
      <c r="I23837">
        <v>249</v>
      </c>
      <c r="J23837">
        <v>1</v>
      </c>
      <c r="K23837">
        <v>92</v>
      </c>
      <c r="L23837">
        <v>334</v>
      </c>
      <c r="M23837">
        <v>1</v>
      </c>
      <c r="N23837">
        <v>4.2848700000000002E-132</v>
      </c>
      <c r="O23837">
        <v>1202</v>
      </c>
    </row>
    <row r="23838" spans="1:15" x14ac:dyDescent="0.25">
      <c r="A23838" t="s">
        <v>23851</v>
      </c>
      <c r="B23838">
        <v>514</v>
      </c>
      <c r="C23838" s="1" t="str">
        <f>HYPERLINK("http://www.rosaceae.org/gb/gbrowse/malus_x_domestica/?name=MDP0000201076","MDP0000201076")</f>
        <v>MDP0000201076</v>
      </c>
      <c r="D23838">
        <v>66.040000000000006</v>
      </c>
      <c r="E23838">
        <v>162</v>
      </c>
      <c r="F23838">
        <v>55</v>
      </c>
      <c r="G23838">
        <v>20</v>
      </c>
      <c r="H23838">
        <v>148</v>
      </c>
      <c r="I23838">
        <v>307</v>
      </c>
      <c r="J23838">
        <v>1</v>
      </c>
      <c r="K23838">
        <v>8</v>
      </c>
      <c r="L23838">
        <v>151</v>
      </c>
      <c r="M23838">
        <v>1</v>
      </c>
      <c r="N23838">
        <v>4.84472E-54</v>
      </c>
      <c r="O23838">
        <v>533</v>
      </c>
    </row>
    <row r="23839" spans="1:15" x14ac:dyDescent="0.25">
      <c r="A23839" t="s">
        <v>23852</v>
      </c>
      <c r="B23839">
        <v>343</v>
      </c>
      <c r="C23839" s="1" t="str">
        <f>HYPERLINK("http://www.rosaceae.org/gb/gbrowse/malus_x_domestica/?name=MDP0000283756","MDP0000283756")</f>
        <v>MDP0000283756</v>
      </c>
      <c r="D23839">
        <v>51.71</v>
      </c>
      <c r="E23839">
        <v>292</v>
      </c>
      <c r="F23839">
        <v>141</v>
      </c>
      <c r="G23839">
        <v>45</v>
      </c>
      <c r="H23839">
        <v>1</v>
      </c>
      <c r="I23839">
        <v>265</v>
      </c>
      <c r="J23839">
        <v>1</v>
      </c>
      <c r="K23839">
        <v>1</v>
      </c>
      <c r="L23839">
        <v>274</v>
      </c>
      <c r="M23839">
        <v>1</v>
      </c>
      <c r="N23839">
        <v>4.13495E-62</v>
      </c>
      <c r="O23839">
        <v>600</v>
      </c>
    </row>
    <row r="23840" spans="1:15" x14ac:dyDescent="0.25">
      <c r="A23840" t="s">
        <v>23853</v>
      </c>
      <c r="B23840">
        <v>330</v>
      </c>
      <c r="C23840" s="1" t="str">
        <f>HYPERLINK("http://www.rosaceae.org/gb/gbrowse/malus_x_domestica/?name=MDP0000267409","MDP0000267409")</f>
        <v>MDP0000267409</v>
      </c>
      <c r="D23840">
        <v>36.04</v>
      </c>
      <c r="E23840">
        <v>197</v>
      </c>
      <c r="F23840">
        <v>126</v>
      </c>
      <c r="G23840">
        <v>44</v>
      </c>
      <c r="H23840">
        <v>29</v>
      </c>
      <c r="I23840">
        <v>206</v>
      </c>
      <c r="J23840">
        <v>1</v>
      </c>
      <c r="K23840">
        <v>542</v>
      </c>
      <c r="L23840">
        <v>713</v>
      </c>
      <c r="M23840">
        <v>1</v>
      </c>
      <c r="N23840">
        <v>1.49152E-19</v>
      </c>
      <c r="O23840">
        <v>233</v>
      </c>
    </row>
    <row r="23841" spans="1:15" x14ac:dyDescent="0.25">
      <c r="A23841" t="s">
        <v>23854</v>
      </c>
      <c r="B23841">
        <v>460</v>
      </c>
      <c r="C23841" s="1" t="str">
        <f>HYPERLINK("http://www.rosaceae.org/gb/gbrowse/malus_x_domestica/?name=MDP0000223076","MDP0000223076")</f>
        <v>MDP0000223076</v>
      </c>
      <c r="D23841">
        <v>72.86</v>
      </c>
      <c r="E23841">
        <v>479</v>
      </c>
      <c r="F23841">
        <v>130</v>
      </c>
      <c r="G23841">
        <v>34</v>
      </c>
      <c r="H23841">
        <v>1</v>
      </c>
      <c r="I23841">
        <v>460</v>
      </c>
      <c r="J23841">
        <v>1</v>
      </c>
      <c r="K23841">
        <v>1</v>
      </c>
      <c r="L23841">
        <v>464</v>
      </c>
      <c r="M23841">
        <v>1</v>
      </c>
      <c r="N23841">
        <v>0</v>
      </c>
      <c r="O23841">
        <v>1766</v>
      </c>
    </row>
    <row r="23842" spans="1:15" x14ac:dyDescent="0.25">
      <c r="A23842" t="s">
        <v>23855</v>
      </c>
      <c r="B23842">
        <v>143</v>
      </c>
      <c r="C23842" s="1" t="str">
        <f>HYPERLINK("http://www.rosaceae.org/gb/gbrowse/malus_x_domestica/?name=MDP0000669809","MDP0000669809")</f>
        <v>MDP0000669809</v>
      </c>
      <c r="D23842">
        <v>60.43</v>
      </c>
      <c r="E23842">
        <v>91</v>
      </c>
      <c r="F23842">
        <v>36</v>
      </c>
      <c r="G23842">
        <v>1</v>
      </c>
      <c r="H23842">
        <v>2</v>
      </c>
      <c r="I23842">
        <v>92</v>
      </c>
      <c r="J23842">
        <v>1</v>
      </c>
      <c r="K23842">
        <v>733</v>
      </c>
      <c r="L23842">
        <v>822</v>
      </c>
      <c r="M23842">
        <v>1</v>
      </c>
      <c r="N23842">
        <v>1.04923E-24</v>
      </c>
      <c r="O23842">
        <v>272</v>
      </c>
    </row>
    <row r="23843" spans="1:15" x14ac:dyDescent="0.25">
      <c r="A23843" t="s">
        <v>23856</v>
      </c>
      <c r="B23843">
        <v>916</v>
      </c>
      <c r="C23843" s="1" t="str">
        <f>HYPERLINK("http://www.rosaceae.org/gb/gbrowse/malus_x_domestica/?name=MDP0000276327","MDP0000276327")</f>
        <v>MDP0000276327</v>
      </c>
      <c r="D23843">
        <v>51.74</v>
      </c>
      <c r="E23843">
        <v>686</v>
      </c>
      <c r="F23843">
        <v>331</v>
      </c>
      <c r="G23843">
        <v>129</v>
      </c>
      <c r="H23843">
        <v>30</v>
      </c>
      <c r="I23843">
        <v>635</v>
      </c>
      <c r="J23843">
        <v>1</v>
      </c>
      <c r="K23843">
        <v>31</v>
      </c>
      <c r="L23843">
        <v>667</v>
      </c>
      <c r="M23843">
        <v>1</v>
      </c>
      <c r="N23843">
        <v>1.22428E-178</v>
      </c>
      <c r="O23843">
        <v>1610</v>
      </c>
    </row>
    <row r="23844" spans="1:15" x14ac:dyDescent="0.25">
      <c r="A23844" t="s">
        <v>23857</v>
      </c>
      <c r="B23844">
        <v>854</v>
      </c>
      <c r="C23844" s="1" t="str">
        <f>HYPERLINK("http://www.rosaceae.org/gb/gbrowse/malus_x_domestica/?name=MDP0000119010","MDP0000119010")</f>
        <v>MDP0000119010</v>
      </c>
      <c r="D23844">
        <v>72.97</v>
      </c>
      <c r="E23844">
        <v>829</v>
      </c>
      <c r="F23844">
        <v>224</v>
      </c>
      <c r="G23844">
        <v>5</v>
      </c>
      <c r="H23844">
        <v>1</v>
      </c>
      <c r="I23844">
        <v>828</v>
      </c>
      <c r="J23844">
        <v>1</v>
      </c>
      <c r="K23844">
        <v>1</v>
      </c>
      <c r="L23844">
        <v>825</v>
      </c>
      <c r="M23844">
        <v>1</v>
      </c>
      <c r="N23844">
        <v>0</v>
      </c>
      <c r="O23844">
        <v>3103</v>
      </c>
    </row>
    <row r="23845" spans="1:15" x14ac:dyDescent="0.25">
      <c r="A23845" t="s">
        <v>23858</v>
      </c>
      <c r="B23845">
        <v>244</v>
      </c>
      <c r="C23845" s="1" t="str">
        <f>HYPERLINK("http://www.rosaceae.org/gb/gbrowse/malus_x_domestica/?name=MDP0000316688","MDP0000316688")</f>
        <v>MDP0000316688</v>
      </c>
      <c r="D23845">
        <v>81.11</v>
      </c>
      <c r="E23845">
        <v>233</v>
      </c>
      <c r="F23845">
        <v>44</v>
      </c>
      <c r="G23845">
        <v>12</v>
      </c>
      <c r="H23845">
        <v>24</v>
      </c>
      <c r="I23845">
        <v>244</v>
      </c>
      <c r="J23845">
        <v>1</v>
      </c>
      <c r="K23845">
        <v>26</v>
      </c>
      <c r="L23845">
        <v>258</v>
      </c>
      <c r="M23845">
        <v>1</v>
      </c>
      <c r="N23845">
        <v>2.6579899999999999E-112</v>
      </c>
      <c r="O23845">
        <v>1031</v>
      </c>
    </row>
    <row r="23846" spans="1:15" x14ac:dyDescent="0.25">
      <c r="A23846" t="s">
        <v>23859</v>
      </c>
      <c r="B23846">
        <v>852</v>
      </c>
      <c r="C23846" s="1" t="str">
        <f>HYPERLINK("http://www.rosaceae.org/gb/gbrowse/malus_x_domestica/?name=MDP0000179050","MDP0000179050")</f>
        <v>MDP0000179050</v>
      </c>
      <c r="D23846">
        <v>79.27</v>
      </c>
      <c r="E23846">
        <v>439</v>
      </c>
      <c r="F23846">
        <v>91</v>
      </c>
      <c r="G23846">
        <v>1</v>
      </c>
      <c r="H23846">
        <v>1</v>
      </c>
      <c r="I23846">
        <v>439</v>
      </c>
      <c r="J23846">
        <v>1</v>
      </c>
      <c r="K23846">
        <v>3</v>
      </c>
      <c r="L23846">
        <v>440</v>
      </c>
      <c r="M23846">
        <v>1</v>
      </c>
      <c r="N23846">
        <v>0</v>
      </c>
      <c r="O23846">
        <v>1832</v>
      </c>
    </row>
    <row r="23847" spans="1:15" x14ac:dyDescent="0.25">
      <c r="A23847" t="s">
        <v>23860</v>
      </c>
      <c r="B23847">
        <v>341</v>
      </c>
      <c r="C23847" s="1" t="str">
        <f>HYPERLINK("http://www.rosaceae.org/gb/gbrowse/malus_x_domestica/?name=MDP0000276174","MDP0000276174")</f>
        <v>MDP0000276174</v>
      </c>
      <c r="D23847">
        <v>49.2</v>
      </c>
      <c r="E23847">
        <v>250</v>
      </c>
      <c r="F23847">
        <v>127</v>
      </c>
      <c r="G23847">
        <v>20</v>
      </c>
      <c r="H23847">
        <v>80</v>
      </c>
      <c r="I23847">
        <v>329</v>
      </c>
      <c r="J23847">
        <v>1</v>
      </c>
      <c r="K23847">
        <v>85</v>
      </c>
      <c r="L23847">
        <v>314</v>
      </c>
      <c r="M23847">
        <v>1</v>
      </c>
      <c r="N23847">
        <v>3.78965E-46</v>
      </c>
      <c r="O23847">
        <v>463</v>
      </c>
    </row>
    <row r="23848" spans="1:15" x14ac:dyDescent="0.25">
      <c r="A23848" t="s">
        <v>23861</v>
      </c>
      <c r="B23848">
        <v>856</v>
      </c>
      <c r="C23848" s="1" t="str">
        <f>HYPERLINK("http://www.rosaceae.org/gb/gbrowse/malus_x_domestica/?name=MDP0000296304","MDP0000296304")</f>
        <v>MDP0000296304</v>
      </c>
      <c r="D23848">
        <v>71.47</v>
      </c>
      <c r="E23848">
        <v>838</v>
      </c>
      <c r="F23848">
        <v>239</v>
      </c>
      <c r="G23848">
        <v>58</v>
      </c>
      <c r="H23848">
        <v>26</v>
      </c>
      <c r="I23848">
        <v>856</v>
      </c>
      <c r="J23848">
        <v>1</v>
      </c>
      <c r="K23848">
        <v>29</v>
      </c>
      <c r="L23848">
        <v>815</v>
      </c>
      <c r="M23848">
        <v>1</v>
      </c>
      <c r="N23848">
        <v>0</v>
      </c>
      <c r="O23848">
        <v>3067</v>
      </c>
    </row>
    <row r="23849" spans="1:15" x14ac:dyDescent="0.25">
      <c r="A23849" t="s">
        <v>23862</v>
      </c>
      <c r="B23849">
        <v>532</v>
      </c>
      <c r="C23849" s="1" t="str">
        <f>HYPERLINK("http://www.rosaceae.org/gb/gbrowse/malus_x_domestica/?name=MDP0000249152","MDP0000249152")</f>
        <v>MDP0000249152</v>
      </c>
      <c r="D23849">
        <v>68.48</v>
      </c>
      <c r="E23849">
        <v>257</v>
      </c>
      <c r="F23849">
        <v>81</v>
      </c>
      <c r="G23849">
        <v>30</v>
      </c>
      <c r="H23849">
        <v>27</v>
      </c>
      <c r="I23849">
        <v>283</v>
      </c>
      <c r="J23849">
        <v>1</v>
      </c>
      <c r="K23849">
        <v>438</v>
      </c>
      <c r="L23849">
        <v>664</v>
      </c>
      <c r="M23849">
        <v>1</v>
      </c>
      <c r="N23849">
        <v>1.55331E-98</v>
      </c>
      <c r="O23849">
        <v>917</v>
      </c>
    </row>
    <row r="23850" spans="1:15" x14ac:dyDescent="0.25">
      <c r="A23850" t="s">
        <v>23863</v>
      </c>
      <c r="B23850">
        <v>955</v>
      </c>
      <c r="C23850" s="1" t="str">
        <f>HYPERLINK("http://www.rosaceae.org/gb/gbrowse/malus_x_domestica/?name=MDP0000263167","MDP0000263167")</f>
        <v>MDP0000263167</v>
      </c>
      <c r="D23850">
        <v>83.82</v>
      </c>
      <c r="E23850">
        <v>507</v>
      </c>
      <c r="F23850">
        <v>82</v>
      </c>
      <c r="G23850">
        <v>0</v>
      </c>
      <c r="H23850">
        <v>377</v>
      </c>
      <c r="I23850">
        <v>883</v>
      </c>
      <c r="J23850">
        <v>1</v>
      </c>
      <c r="K23850">
        <v>776</v>
      </c>
      <c r="L23850">
        <v>1282</v>
      </c>
      <c r="M23850">
        <v>1</v>
      </c>
      <c r="N23850">
        <v>0</v>
      </c>
      <c r="O23850">
        <v>2310</v>
      </c>
    </row>
    <row r="23851" spans="1:15" x14ac:dyDescent="0.25">
      <c r="A23851" t="s">
        <v>23864</v>
      </c>
      <c r="B23851">
        <v>336</v>
      </c>
      <c r="C23851" s="1" t="str">
        <f>HYPERLINK("http://www.rosaceae.org/gb/gbrowse/malus_x_domestica/?name=MDP0000131356","MDP0000131356")</f>
        <v>MDP0000131356</v>
      </c>
      <c r="D23851">
        <v>51.94</v>
      </c>
      <c r="E23851">
        <v>385</v>
      </c>
      <c r="F23851">
        <v>185</v>
      </c>
      <c r="G23851">
        <v>52</v>
      </c>
      <c r="H23851">
        <v>1</v>
      </c>
      <c r="I23851">
        <v>335</v>
      </c>
      <c r="J23851">
        <v>1</v>
      </c>
      <c r="K23851">
        <v>1</v>
      </c>
      <c r="L23851">
        <v>383</v>
      </c>
      <c r="M23851">
        <v>1</v>
      </c>
      <c r="N23851">
        <v>2.1739199999999999E-105</v>
      </c>
      <c r="O23851">
        <v>973</v>
      </c>
    </row>
    <row r="23852" spans="1:15" x14ac:dyDescent="0.25">
      <c r="A23852" t="s">
        <v>23865</v>
      </c>
      <c r="B23852">
        <v>1669</v>
      </c>
      <c r="C23852" s="1" t="str">
        <f>HYPERLINK("http://www.rosaceae.org/gb/gbrowse/malus_x_domestica/?name=MDP0000278460","MDP0000278460")</f>
        <v>MDP0000278460</v>
      </c>
      <c r="D23852">
        <v>79.7</v>
      </c>
      <c r="E23852">
        <v>616</v>
      </c>
      <c r="F23852">
        <v>125</v>
      </c>
      <c r="G23852">
        <v>44</v>
      </c>
      <c r="H23852">
        <v>977</v>
      </c>
      <c r="I23852">
        <v>1555</v>
      </c>
      <c r="J23852">
        <v>1</v>
      </c>
      <c r="K23852">
        <v>73</v>
      </c>
      <c r="L23852">
        <v>681</v>
      </c>
      <c r="M23852">
        <v>1</v>
      </c>
      <c r="N23852">
        <v>0</v>
      </c>
      <c r="O23852">
        <v>2524</v>
      </c>
    </row>
    <row r="23853" spans="1:15" x14ac:dyDescent="0.25">
      <c r="A23853" t="s">
        <v>23866</v>
      </c>
      <c r="B23853">
        <v>1538</v>
      </c>
      <c r="C23853" s="1" t="str">
        <f>HYPERLINK("http://www.rosaceae.org/gb/gbrowse/malus_x_domestica/?name=MDP0000162938","MDP0000162938")</f>
        <v>MDP0000162938</v>
      </c>
      <c r="D23853">
        <v>57.47</v>
      </c>
      <c r="E23853">
        <v>1265</v>
      </c>
      <c r="F23853">
        <v>538</v>
      </c>
      <c r="G23853">
        <v>155</v>
      </c>
      <c r="H23853">
        <v>300</v>
      </c>
      <c r="I23853">
        <v>1444</v>
      </c>
      <c r="J23853">
        <v>1</v>
      </c>
      <c r="K23853">
        <v>22</v>
      </c>
      <c r="L23853">
        <v>1251</v>
      </c>
      <c r="M23853">
        <v>1</v>
      </c>
      <c r="N23853">
        <v>0</v>
      </c>
      <c r="O23853">
        <v>3531</v>
      </c>
    </row>
    <row r="23854" spans="1:15" x14ac:dyDescent="0.25">
      <c r="A23854" t="s">
        <v>23867</v>
      </c>
      <c r="B23854">
        <v>445</v>
      </c>
      <c r="C23854" s="1" t="str">
        <f>HYPERLINK("http://www.rosaceae.org/gb/gbrowse/malus_x_domestica/?name=MDP0000248823","MDP0000248823")</f>
        <v>MDP0000248823</v>
      </c>
      <c r="D23854">
        <v>91.82</v>
      </c>
      <c r="E23854">
        <v>318</v>
      </c>
      <c r="F23854">
        <v>26</v>
      </c>
      <c r="G23854">
        <v>1</v>
      </c>
      <c r="H23854">
        <v>129</v>
      </c>
      <c r="I23854">
        <v>445</v>
      </c>
      <c r="J23854">
        <v>1</v>
      </c>
      <c r="K23854">
        <v>206</v>
      </c>
      <c r="L23854">
        <v>523</v>
      </c>
      <c r="M23854">
        <v>1</v>
      </c>
      <c r="N23854">
        <v>1.4238899999999999E-176</v>
      </c>
      <c r="O23854">
        <v>1589</v>
      </c>
    </row>
    <row r="23855" spans="1:15" x14ac:dyDescent="0.25">
      <c r="A23855" t="s">
        <v>23868</v>
      </c>
      <c r="B23855">
        <v>865</v>
      </c>
      <c r="C23855" s="1" t="str">
        <f>HYPERLINK("http://www.rosaceae.org/gb/gbrowse/malus_x_domestica/?name=MDP0000124718","MDP0000124718")</f>
        <v>MDP0000124718</v>
      </c>
      <c r="D23855">
        <v>70.97</v>
      </c>
      <c r="E23855">
        <v>875</v>
      </c>
      <c r="F23855">
        <v>254</v>
      </c>
      <c r="G23855">
        <v>76</v>
      </c>
      <c r="H23855">
        <v>30</v>
      </c>
      <c r="I23855">
        <v>865</v>
      </c>
      <c r="J23855">
        <v>1</v>
      </c>
      <c r="K23855">
        <v>1</v>
      </c>
      <c r="L23855">
        <v>838</v>
      </c>
      <c r="M23855">
        <v>1</v>
      </c>
      <c r="N23855">
        <v>0</v>
      </c>
      <c r="O23855">
        <v>2989</v>
      </c>
    </row>
    <row r="23856" spans="1:15" x14ac:dyDescent="0.25">
      <c r="A23856" t="s">
        <v>23869</v>
      </c>
      <c r="B23856">
        <v>404</v>
      </c>
      <c r="C23856" s="1" t="str">
        <f>HYPERLINK("http://www.rosaceae.org/gb/gbrowse/malus_x_domestica/?name=MDP0000242263","MDP0000242263")</f>
        <v>MDP0000242263</v>
      </c>
      <c r="D23856">
        <v>70.8</v>
      </c>
      <c r="E23856">
        <v>411</v>
      </c>
      <c r="F23856">
        <v>120</v>
      </c>
      <c r="G23856">
        <v>36</v>
      </c>
      <c r="H23856">
        <v>1</v>
      </c>
      <c r="I23856">
        <v>404</v>
      </c>
      <c r="J23856">
        <v>1</v>
      </c>
      <c r="K23856">
        <v>101</v>
      </c>
      <c r="L23856">
        <v>482</v>
      </c>
      <c r="M23856">
        <v>1</v>
      </c>
      <c r="N23856">
        <v>1.2902599999999999E-152</v>
      </c>
      <c r="O23856">
        <v>1382</v>
      </c>
    </row>
    <row r="23857" spans="1:15" x14ac:dyDescent="0.25">
      <c r="A23857" t="s">
        <v>23870</v>
      </c>
      <c r="B23857">
        <v>623</v>
      </c>
      <c r="C23857" s="1" t="str">
        <f>HYPERLINK("http://www.rosaceae.org/gb/gbrowse/malus_x_domestica/?name=MDP0000657246","MDP0000657246")</f>
        <v>MDP0000657246</v>
      </c>
      <c r="D23857">
        <v>69.7</v>
      </c>
      <c r="E23857">
        <v>581</v>
      </c>
      <c r="F23857">
        <v>176</v>
      </c>
      <c r="G23857">
        <v>32</v>
      </c>
      <c r="H23857">
        <v>74</v>
      </c>
      <c r="I23857">
        <v>623</v>
      </c>
      <c r="J23857">
        <v>1</v>
      </c>
      <c r="K23857">
        <v>1</v>
      </c>
      <c r="L23857">
        <v>580</v>
      </c>
      <c r="M23857">
        <v>1</v>
      </c>
      <c r="N23857">
        <v>0</v>
      </c>
      <c r="O23857">
        <v>1927</v>
      </c>
    </row>
    <row r="23858" spans="1:15" x14ac:dyDescent="0.25">
      <c r="A23858" t="s">
        <v>23871</v>
      </c>
      <c r="B23858">
        <v>351</v>
      </c>
      <c r="C23858" s="1" t="str">
        <f>HYPERLINK("http://www.rosaceae.org/gb/gbrowse/malus_x_domestica/?name=MDP0000150438","MDP0000150438")</f>
        <v>MDP0000150438</v>
      </c>
      <c r="D23858">
        <v>44.07</v>
      </c>
      <c r="E23858">
        <v>363</v>
      </c>
      <c r="F23858">
        <v>203</v>
      </c>
      <c r="G23858">
        <v>27</v>
      </c>
      <c r="H23858">
        <v>3</v>
      </c>
      <c r="I23858">
        <v>350</v>
      </c>
      <c r="J23858">
        <v>1</v>
      </c>
      <c r="K23858">
        <v>2</v>
      </c>
      <c r="L23858">
        <v>352</v>
      </c>
      <c r="M23858">
        <v>1</v>
      </c>
      <c r="N23858">
        <v>7.0356900000000001E-69</v>
      </c>
      <c r="O23858">
        <v>659</v>
      </c>
    </row>
    <row r="23859" spans="1:15" x14ac:dyDescent="0.25">
      <c r="A23859" t="s">
        <v>23872</v>
      </c>
      <c r="B23859">
        <v>425</v>
      </c>
      <c r="C23859" s="1" t="str">
        <f>HYPERLINK("http://www.rosaceae.org/gb/gbrowse/malus_x_domestica/?name=MDP0000170851","MDP0000170851")</f>
        <v>MDP0000170851</v>
      </c>
      <c r="D23859">
        <v>38.74</v>
      </c>
      <c r="E23859">
        <v>413</v>
      </c>
      <c r="F23859">
        <v>253</v>
      </c>
      <c r="G23859">
        <v>54</v>
      </c>
      <c r="H23859">
        <v>12</v>
      </c>
      <c r="I23859">
        <v>405</v>
      </c>
      <c r="J23859">
        <v>1</v>
      </c>
      <c r="K23859">
        <v>23</v>
      </c>
      <c r="L23859">
        <v>400</v>
      </c>
      <c r="M23859">
        <v>1</v>
      </c>
      <c r="N23859">
        <v>2.43708E-64</v>
      </c>
      <c r="O23859">
        <v>621</v>
      </c>
    </row>
    <row r="23860" spans="1:15" x14ac:dyDescent="0.25">
      <c r="A23860" t="s">
        <v>23873</v>
      </c>
      <c r="B23860">
        <v>365</v>
      </c>
      <c r="C23860" s="1" t="str">
        <f>HYPERLINK("http://www.rosaceae.org/gb/gbrowse/malus_x_domestica/?name=MDP0000237556","MDP0000237556")</f>
        <v>MDP0000237556</v>
      </c>
      <c r="D23860">
        <v>64.94</v>
      </c>
      <c r="E23860">
        <v>348</v>
      </c>
      <c r="F23860">
        <v>122</v>
      </c>
      <c r="G23860">
        <v>33</v>
      </c>
      <c r="H23860">
        <v>40</v>
      </c>
      <c r="I23860">
        <v>362</v>
      </c>
      <c r="J23860">
        <v>1</v>
      </c>
      <c r="K23860">
        <v>442</v>
      </c>
      <c r="L23860">
        <v>781</v>
      </c>
      <c r="M23860">
        <v>1</v>
      </c>
      <c r="N23860">
        <v>7.2097E-120</v>
      </c>
      <c r="O23860">
        <v>1099</v>
      </c>
    </row>
    <row r="23861" spans="1:15" x14ac:dyDescent="0.25">
      <c r="A23861" t="s">
        <v>23874</v>
      </c>
      <c r="B23861">
        <v>189</v>
      </c>
      <c r="C23861" s="1" t="str">
        <f>HYPERLINK("http://www.rosaceae.org/gb/gbrowse/malus_x_domestica/?name=MDP0000312830","MDP0000312830")</f>
        <v>MDP0000312830</v>
      </c>
      <c r="D23861">
        <v>42.6</v>
      </c>
      <c r="E23861">
        <v>169</v>
      </c>
      <c r="F23861">
        <v>97</v>
      </c>
      <c r="G23861">
        <v>23</v>
      </c>
      <c r="H23861">
        <v>3</v>
      </c>
      <c r="I23861">
        <v>153</v>
      </c>
      <c r="J23861">
        <v>1</v>
      </c>
      <c r="K23861">
        <v>53</v>
      </c>
      <c r="L23861">
        <v>216</v>
      </c>
      <c r="M23861">
        <v>1</v>
      </c>
      <c r="N23861">
        <v>9.794E-21</v>
      </c>
      <c r="O23861">
        <v>240</v>
      </c>
    </row>
    <row r="23862" spans="1:15" x14ac:dyDescent="0.25">
      <c r="A23862" t="s">
        <v>23875</v>
      </c>
      <c r="B23862">
        <v>1108</v>
      </c>
      <c r="C23862" s="1" t="str">
        <f>HYPERLINK("http://www.rosaceae.org/gb/gbrowse/malus_x_domestica/?name=MDP0000577562","MDP0000577562")</f>
        <v>MDP0000577562</v>
      </c>
      <c r="D23862">
        <v>62.87</v>
      </c>
      <c r="E23862">
        <v>1107</v>
      </c>
      <c r="F23862">
        <v>411</v>
      </c>
      <c r="G23862">
        <v>32</v>
      </c>
      <c r="H23862">
        <v>14</v>
      </c>
      <c r="I23862">
        <v>1108</v>
      </c>
      <c r="J23862">
        <v>1</v>
      </c>
      <c r="K23862">
        <v>156</v>
      </c>
      <c r="L23862">
        <v>1242</v>
      </c>
      <c r="M23862">
        <v>1</v>
      </c>
      <c r="N23862">
        <v>0</v>
      </c>
      <c r="O23862">
        <v>3318</v>
      </c>
    </row>
    <row r="23863" spans="1:15" x14ac:dyDescent="0.25">
      <c r="A23863" t="s">
        <v>23876</v>
      </c>
      <c r="B23863">
        <v>960</v>
      </c>
      <c r="C23863" s="1" t="str">
        <f>HYPERLINK("http://www.rosaceae.org/gb/gbrowse/malus_x_domestica/?name=MDP0000267875","MDP0000267875")</f>
        <v>MDP0000267875</v>
      </c>
      <c r="D23863">
        <v>86.95</v>
      </c>
      <c r="E23863">
        <v>207</v>
      </c>
      <c r="F23863">
        <v>27</v>
      </c>
      <c r="G23863">
        <v>3</v>
      </c>
      <c r="H23863">
        <v>752</v>
      </c>
      <c r="I23863">
        <v>955</v>
      </c>
      <c r="J23863">
        <v>1</v>
      </c>
      <c r="K23863">
        <v>611</v>
      </c>
      <c r="L23863">
        <v>817</v>
      </c>
      <c r="M23863">
        <v>1</v>
      </c>
      <c r="N23863">
        <v>1.08898E-104</v>
      </c>
      <c r="O23863">
        <v>972</v>
      </c>
    </row>
    <row r="23864" spans="1:15" x14ac:dyDescent="0.25">
      <c r="A23864" t="s">
        <v>23877</v>
      </c>
      <c r="B23864">
        <v>295</v>
      </c>
      <c r="C23864" s="1" t="str">
        <f>HYPERLINK("http://www.rosaceae.org/gb/gbrowse/malus_x_domestica/?name=MDP0000121362","MDP0000121362")</f>
        <v>MDP0000121362</v>
      </c>
      <c r="D23864">
        <v>40.19</v>
      </c>
      <c r="E23864">
        <v>102</v>
      </c>
      <c r="F23864">
        <v>61</v>
      </c>
      <c r="G23864">
        <v>5</v>
      </c>
      <c r="H23864">
        <v>41</v>
      </c>
      <c r="I23864">
        <v>139</v>
      </c>
      <c r="J23864">
        <v>1</v>
      </c>
      <c r="K23864">
        <v>274</v>
      </c>
      <c r="L23864">
        <v>373</v>
      </c>
      <c r="M23864">
        <v>1</v>
      </c>
      <c r="N23864">
        <v>2.93465E-13</v>
      </c>
      <c r="O23864">
        <v>178</v>
      </c>
    </row>
    <row r="23865" spans="1:15" x14ac:dyDescent="0.25">
      <c r="A23865" t="s">
        <v>23878</v>
      </c>
      <c r="B23865">
        <v>362</v>
      </c>
      <c r="C23865" s="1" t="str">
        <f>HYPERLINK("http://www.rosaceae.org/gb/gbrowse/malus_x_domestica/?name=MDP0000255703","MDP0000255703")</f>
        <v>MDP0000255703</v>
      </c>
      <c r="D23865">
        <v>79.63</v>
      </c>
      <c r="E23865">
        <v>388</v>
      </c>
      <c r="F23865">
        <v>79</v>
      </c>
      <c r="G23865">
        <v>26</v>
      </c>
      <c r="H23865">
        <v>1</v>
      </c>
      <c r="I23865">
        <v>362</v>
      </c>
      <c r="J23865">
        <v>1</v>
      </c>
      <c r="K23865">
        <v>1</v>
      </c>
      <c r="L23865">
        <v>388</v>
      </c>
      <c r="M23865">
        <v>1</v>
      </c>
      <c r="N23865">
        <v>0</v>
      </c>
      <c r="O23865">
        <v>1667</v>
      </c>
    </row>
    <row r="23866" spans="1:15" x14ac:dyDescent="0.25">
      <c r="A23866" t="s">
        <v>23879</v>
      </c>
      <c r="B23866">
        <v>331</v>
      </c>
      <c r="C23866" s="1" t="str">
        <f>HYPERLINK("http://www.rosaceae.org/gb/gbrowse/malus_x_domestica/?name=MDP0000312342","MDP0000312342")</f>
        <v>MDP0000312342</v>
      </c>
      <c r="D23866">
        <v>33.869999999999997</v>
      </c>
      <c r="E23866">
        <v>307</v>
      </c>
      <c r="F23866">
        <v>203</v>
      </c>
      <c r="G23866">
        <v>39</v>
      </c>
      <c r="H23866">
        <v>5</v>
      </c>
      <c r="I23866">
        <v>294</v>
      </c>
      <c r="J23866">
        <v>1</v>
      </c>
      <c r="K23866">
        <v>4</v>
      </c>
      <c r="L23866">
        <v>288</v>
      </c>
      <c r="M23866">
        <v>1</v>
      </c>
      <c r="N23866">
        <v>4.1722699999999997E-26</v>
      </c>
      <c r="O23866">
        <v>290</v>
      </c>
    </row>
    <row r="23867" spans="1:15" x14ac:dyDescent="0.25">
      <c r="A23867" t="s">
        <v>23880</v>
      </c>
      <c r="B23867">
        <v>379</v>
      </c>
      <c r="C23867" s="1" t="str">
        <f>HYPERLINK("http://www.rosaceae.org/gb/gbrowse/malus_x_domestica/?name=MDP0000686221","MDP0000686221")</f>
        <v>MDP0000686221</v>
      </c>
      <c r="D23867">
        <v>29.3</v>
      </c>
      <c r="E23867">
        <v>331</v>
      </c>
      <c r="F23867">
        <v>234</v>
      </c>
      <c r="G23867">
        <v>91</v>
      </c>
      <c r="H23867">
        <v>91</v>
      </c>
      <c r="I23867">
        <v>337</v>
      </c>
      <c r="J23867">
        <v>1</v>
      </c>
      <c r="K23867">
        <v>785</v>
      </c>
      <c r="L23867">
        <v>1108</v>
      </c>
      <c r="M23867">
        <v>1</v>
      </c>
      <c r="N23867">
        <v>8.4289200000000007E-21</v>
      </c>
      <c r="O23867">
        <v>245</v>
      </c>
    </row>
    <row r="23868" spans="1:15" x14ac:dyDescent="0.25">
      <c r="A23868" t="s">
        <v>23881</v>
      </c>
      <c r="B23868">
        <v>315</v>
      </c>
      <c r="C23868" s="1" t="str">
        <f>HYPERLINK("http://www.rosaceae.org/gb/gbrowse/malus_x_domestica/?name=MDP0000275079","MDP0000275079")</f>
        <v>MDP0000275079</v>
      </c>
      <c r="D23868">
        <v>39.11</v>
      </c>
      <c r="E23868">
        <v>363</v>
      </c>
      <c r="F23868">
        <v>221</v>
      </c>
      <c r="G23868">
        <v>81</v>
      </c>
      <c r="H23868">
        <v>1</v>
      </c>
      <c r="I23868">
        <v>315</v>
      </c>
      <c r="J23868">
        <v>1</v>
      </c>
      <c r="K23868">
        <v>1</v>
      </c>
      <c r="L23868">
        <v>330</v>
      </c>
      <c r="M23868">
        <v>1</v>
      </c>
      <c r="N23868">
        <v>9.8232599999999995E-44</v>
      </c>
      <c r="O23868">
        <v>441</v>
      </c>
    </row>
    <row r="23869" spans="1:15" x14ac:dyDescent="0.25">
      <c r="A23869" t="s">
        <v>23882</v>
      </c>
      <c r="B23869">
        <v>235</v>
      </c>
      <c r="C23869" s="1" t="str">
        <f>HYPERLINK("http://www.rosaceae.org/gb/gbrowse/malus_x_domestica/?name=MDP0000145834","MDP0000145834")</f>
        <v>MDP0000145834</v>
      </c>
      <c r="D23869">
        <v>70.37</v>
      </c>
      <c r="E23869">
        <v>162</v>
      </c>
      <c r="F23869">
        <v>48</v>
      </c>
      <c r="G23869">
        <v>22</v>
      </c>
      <c r="H23869">
        <v>69</v>
      </c>
      <c r="I23869">
        <v>208</v>
      </c>
      <c r="J23869">
        <v>1</v>
      </c>
      <c r="K23869">
        <v>5</v>
      </c>
      <c r="L23869">
        <v>166</v>
      </c>
      <c r="M23869">
        <v>1</v>
      </c>
      <c r="N23869">
        <v>3.6319499999999997E-58</v>
      </c>
      <c r="O23869">
        <v>564</v>
      </c>
    </row>
    <row r="23870" spans="1:15" x14ac:dyDescent="0.25">
      <c r="A23870" t="s">
        <v>23883</v>
      </c>
      <c r="B23870">
        <v>514</v>
      </c>
      <c r="C23870" s="1" t="str">
        <f>HYPERLINK("http://www.rosaceae.org/gb/gbrowse/malus_x_domestica/?name=MDP0000208103","MDP0000208103")</f>
        <v>MDP0000208103</v>
      </c>
      <c r="D23870">
        <v>58.07</v>
      </c>
      <c r="E23870">
        <v>427</v>
      </c>
      <c r="F23870">
        <v>179</v>
      </c>
      <c r="G23870">
        <v>40</v>
      </c>
      <c r="H23870">
        <v>124</v>
      </c>
      <c r="I23870">
        <v>512</v>
      </c>
      <c r="J23870">
        <v>1</v>
      </c>
      <c r="K23870">
        <v>175</v>
      </c>
      <c r="L23870">
        <v>599</v>
      </c>
      <c r="M23870">
        <v>1</v>
      </c>
      <c r="N23870">
        <v>1.06431E-130</v>
      </c>
      <c r="O23870">
        <v>1194</v>
      </c>
    </row>
    <row r="23871" spans="1:15" x14ac:dyDescent="0.25">
      <c r="A23871" t="s">
        <v>23884</v>
      </c>
      <c r="B23871">
        <v>403</v>
      </c>
      <c r="C23871" s="1" t="str">
        <f>HYPERLINK("http://www.rosaceae.org/gb/gbrowse/malus_x_domestica/?name=MDP0000166574","MDP0000166574")</f>
        <v>MDP0000166574</v>
      </c>
      <c r="D23871">
        <v>63.73</v>
      </c>
      <c r="E23871">
        <v>353</v>
      </c>
      <c r="F23871">
        <v>128</v>
      </c>
      <c r="G23871">
        <v>6</v>
      </c>
      <c r="H23871">
        <v>1</v>
      </c>
      <c r="I23871">
        <v>349</v>
      </c>
      <c r="J23871">
        <v>1</v>
      </c>
      <c r="K23871">
        <v>1</v>
      </c>
      <c r="L23871">
        <v>351</v>
      </c>
      <c r="M23871">
        <v>1</v>
      </c>
      <c r="N23871">
        <v>2.4456400000000002E-122</v>
      </c>
      <c r="O23871">
        <v>1120</v>
      </c>
    </row>
    <row r="23872" spans="1:15" x14ac:dyDescent="0.25">
      <c r="A23872" t="s">
        <v>23885</v>
      </c>
      <c r="B23872">
        <v>295</v>
      </c>
      <c r="C23872" s="1" t="str">
        <f>HYPERLINK("http://www.rosaceae.org/gb/gbrowse/malus_x_domestica/?name=MDP0000150144","MDP0000150144")</f>
        <v>MDP0000150144</v>
      </c>
      <c r="D23872">
        <v>62.27</v>
      </c>
      <c r="E23872">
        <v>167</v>
      </c>
      <c r="F23872">
        <v>63</v>
      </c>
      <c r="G23872">
        <v>1</v>
      </c>
      <c r="H23872">
        <v>16</v>
      </c>
      <c r="I23872">
        <v>182</v>
      </c>
      <c r="J23872">
        <v>1</v>
      </c>
      <c r="K23872">
        <v>626</v>
      </c>
      <c r="L23872">
        <v>791</v>
      </c>
      <c r="M23872">
        <v>1</v>
      </c>
      <c r="N23872">
        <v>6.6835900000000006E-52</v>
      </c>
      <c r="O23872">
        <v>511</v>
      </c>
    </row>
    <row r="23873" spans="1:15" x14ac:dyDescent="0.25">
      <c r="A23873" t="s">
        <v>23886</v>
      </c>
      <c r="B23873">
        <v>802</v>
      </c>
      <c r="C23873" s="1" t="str">
        <f>HYPERLINK("http://www.rosaceae.org/gb/gbrowse/malus_x_domestica/?name=MDP0000286293","MDP0000286293")</f>
        <v>MDP0000286293</v>
      </c>
      <c r="D23873">
        <v>57.86</v>
      </c>
      <c r="E23873">
        <v>807</v>
      </c>
      <c r="F23873">
        <v>340</v>
      </c>
      <c r="G23873">
        <v>59</v>
      </c>
      <c r="H23873">
        <v>1</v>
      </c>
      <c r="I23873">
        <v>802</v>
      </c>
      <c r="J23873">
        <v>1</v>
      </c>
      <c r="K23873">
        <v>1</v>
      </c>
      <c r="L23873">
        <v>753</v>
      </c>
      <c r="M23873">
        <v>1</v>
      </c>
      <c r="N23873">
        <v>0</v>
      </c>
      <c r="O23873">
        <v>2343</v>
      </c>
    </row>
    <row r="23874" spans="1:15" x14ac:dyDescent="0.25">
      <c r="A23874" t="s">
        <v>23887</v>
      </c>
      <c r="B23874">
        <v>101</v>
      </c>
      <c r="C23874" s="1" t="str">
        <f>HYPERLINK("http://www.rosaceae.org/gb/gbrowse/malus_x_domestica/?name=MDP0000673917","MDP0000673917")</f>
        <v>MDP0000673917</v>
      </c>
      <c r="D23874">
        <v>62.82</v>
      </c>
      <c r="E23874">
        <v>78</v>
      </c>
      <c r="F23874">
        <v>29</v>
      </c>
      <c r="G23874">
        <v>4</v>
      </c>
      <c r="H23874">
        <v>15</v>
      </c>
      <c r="I23874">
        <v>88</v>
      </c>
      <c r="J23874">
        <v>1</v>
      </c>
      <c r="K23874">
        <v>800</v>
      </c>
      <c r="L23874">
        <v>877</v>
      </c>
      <c r="M23874">
        <v>1</v>
      </c>
      <c r="N23874">
        <v>2.7702700000000001E-19</v>
      </c>
      <c r="O23874">
        <v>224</v>
      </c>
    </row>
    <row r="23875" spans="1:15" x14ac:dyDescent="0.25">
      <c r="A23875" t="s">
        <v>23888</v>
      </c>
      <c r="B23875">
        <v>1124</v>
      </c>
      <c r="C23875" s="1" t="str">
        <f>HYPERLINK("http://www.rosaceae.org/gb/gbrowse/malus_x_domestica/?name=MDP0000309380","MDP0000309380")</f>
        <v>MDP0000309380</v>
      </c>
      <c r="D23875">
        <v>78.44</v>
      </c>
      <c r="E23875">
        <v>167</v>
      </c>
      <c r="F23875">
        <v>36</v>
      </c>
      <c r="G23875">
        <v>2</v>
      </c>
      <c r="H23875">
        <v>641</v>
      </c>
      <c r="I23875">
        <v>806</v>
      </c>
      <c r="J23875">
        <v>1</v>
      </c>
      <c r="K23875">
        <v>1</v>
      </c>
      <c r="L23875">
        <v>166</v>
      </c>
      <c r="M23875">
        <v>1</v>
      </c>
      <c r="N23875">
        <v>4.3412599999999998E-72</v>
      </c>
      <c r="O23875">
        <v>692</v>
      </c>
    </row>
    <row r="23876" spans="1:15" x14ac:dyDescent="0.25">
      <c r="A23876" t="s">
        <v>23889</v>
      </c>
      <c r="B23876">
        <v>1052</v>
      </c>
      <c r="C23876" s="1" t="str">
        <f>HYPERLINK("http://www.rosaceae.org/gb/gbrowse/malus_x_domestica/?name=MDP0000325761","MDP0000325761")</f>
        <v>MDP0000325761</v>
      </c>
      <c r="D23876">
        <v>56.19</v>
      </c>
      <c r="E23876">
        <v>436</v>
      </c>
      <c r="F23876">
        <v>191</v>
      </c>
      <c r="G23876">
        <v>0</v>
      </c>
      <c r="H23876">
        <v>51</v>
      </c>
      <c r="I23876">
        <v>486</v>
      </c>
      <c r="J23876">
        <v>1</v>
      </c>
      <c r="K23876">
        <v>37</v>
      </c>
      <c r="L23876">
        <v>472</v>
      </c>
      <c r="M23876">
        <v>1</v>
      </c>
      <c r="N23876">
        <v>1.0846E-140</v>
      </c>
      <c r="O23876">
        <v>1283</v>
      </c>
    </row>
    <row r="23877" spans="1:15" x14ac:dyDescent="0.25">
      <c r="A23877" t="s">
        <v>23890</v>
      </c>
      <c r="B23877">
        <v>310</v>
      </c>
      <c r="C23877" s="1" t="str">
        <f>HYPERLINK("http://www.rosaceae.org/gb/gbrowse/malus_x_domestica/?name=MDP0000130327","MDP0000130327")</f>
        <v>MDP0000130327</v>
      </c>
      <c r="D23877">
        <v>80.13</v>
      </c>
      <c r="E23877">
        <v>292</v>
      </c>
      <c r="F23877">
        <v>58</v>
      </c>
      <c r="G23877">
        <v>10</v>
      </c>
      <c r="H23877">
        <v>2</v>
      </c>
      <c r="I23877">
        <v>293</v>
      </c>
      <c r="J23877">
        <v>1</v>
      </c>
      <c r="K23877">
        <v>86</v>
      </c>
      <c r="L23877">
        <v>367</v>
      </c>
      <c r="M23877">
        <v>1</v>
      </c>
      <c r="N23877">
        <v>1.2186699999999999E-138</v>
      </c>
      <c r="O23877">
        <v>1260</v>
      </c>
    </row>
    <row r="23878" spans="1:15" x14ac:dyDescent="0.25">
      <c r="A23878" t="s">
        <v>23891</v>
      </c>
      <c r="B23878">
        <v>107</v>
      </c>
      <c r="C23878" s="1" t="str">
        <f>HYPERLINK("http://www.rosaceae.org/gb/gbrowse/malus_x_domestica/?name=MDP0000916403","MDP0000916403")</f>
        <v>MDP0000916403</v>
      </c>
      <c r="D23878">
        <v>43.58</v>
      </c>
      <c r="E23878">
        <v>78</v>
      </c>
      <c r="F23878">
        <v>44</v>
      </c>
      <c r="G23878">
        <v>8</v>
      </c>
      <c r="H23878">
        <v>1</v>
      </c>
      <c r="I23878">
        <v>74</v>
      </c>
      <c r="J23878">
        <v>1</v>
      </c>
      <c r="K23878">
        <v>1</v>
      </c>
      <c r="L23878">
        <v>74</v>
      </c>
      <c r="M23878">
        <v>1</v>
      </c>
      <c r="N23878">
        <v>1.5063500000000001E-8</v>
      </c>
      <c r="O23878">
        <v>131</v>
      </c>
    </row>
    <row r="23879" spans="1:15" x14ac:dyDescent="0.25">
      <c r="A23879" t="s">
        <v>23892</v>
      </c>
      <c r="B23879">
        <v>646</v>
      </c>
      <c r="C23879" s="1" t="str">
        <f>HYPERLINK("http://www.rosaceae.org/gb/gbrowse/malus_x_domestica/?name=MDP0000245646","MDP0000245646")</f>
        <v>MDP0000245646</v>
      </c>
      <c r="D23879">
        <v>31.9</v>
      </c>
      <c r="E23879">
        <v>373</v>
      </c>
      <c r="F23879">
        <v>254</v>
      </c>
      <c r="G23879">
        <v>101</v>
      </c>
      <c r="H23879">
        <v>351</v>
      </c>
      <c r="I23879">
        <v>622</v>
      </c>
      <c r="J23879">
        <v>1</v>
      </c>
      <c r="K23879">
        <v>290</v>
      </c>
      <c r="L23879">
        <v>662</v>
      </c>
      <c r="M23879">
        <v>1</v>
      </c>
      <c r="N23879">
        <v>3.5941800000000001E-30</v>
      </c>
      <c r="O23879">
        <v>328</v>
      </c>
    </row>
    <row r="23880" spans="1:15" x14ac:dyDescent="0.25">
      <c r="A23880" t="s">
        <v>23893</v>
      </c>
      <c r="B23880">
        <v>675</v>
      </c>
      <c r="C23880" s="1" t="str">
        <f>HYPERLINK("http://www.rosaceae.org/gb/gbrowse/malus_x_domestica/?name=MDP0000293970","MDP0000293970")</f>
        <v>MDP0000293970</v>
      </c>
      <c r="D23880">
        <v>38.46</v>
      </c>
      <c r="E23880">
        <v>104</v>
      </c>
      <c r="F23880">
        <v>64</v>
      </c>
      <c r="G23880">
        <v>2</v>
      </c>
      <c r="H23880">
        <v>290</v>
      </c>
      <c r="I23880">
        <v>393</v>
      </c>
      <c r="J23880">
        <v>1</v>
      </c>
      <c r="K23880">
        <v>24</v>
      </c>
      <c r="L23880">
        <v>125</v>
      </c>
      <c r="M23880">
        <v>1</v>
      </c>
      <c r="N23880">
        <v>2.3649600000000001E-15</v>
      </c>
      <c r="O23880">
        <v>200</v>
      </c>
    </row>
    <row r="23881" spans="1:15" x14ac:dyDescent="0.25">
      <c r="A23881" t="s">
        <v>23894</v>
      </c>
      <c r="B23881">
        <v>915</v>
      </c>
      <c r="C23881" s="1" t="str">
        <f>HYPERLINK("http://www.rosaceae.org/gb/gbrowse/malus_x_domestica/?name=MDP0000603877","MDP0000603877")</f>
        <v>MDP0000603877</v>
      </c>
      <c r="D23881">
        <v>80.180000000000007</v>
      </c>
      <c r="E23881">
        <v>444</v>
      </c>
      <c r="F23881">
        <v>88</v>
      </c>
      <c r="G23881">
        <v>11</v>
      </c>
      <c r="H23881">
        <v>476</v>
      </c>
      <c r="I23881">
        <v>908</v>
      </c>
      <c r="J23881">
        <v>1</v>
      </c>
      <c r="K23881">
        <v>32</v>
      </c>
      <c r="L23881">
        <v>475</v>
      </c>
      <c r="M23881">
        <v>1</v>
      </c>
      <c r="N23881">
        <v>0</v>
      </c>
      <c r="O23881">
        <v>1917</v>
      </c>
    </row>
    <row r="23882" spans="1:15" x14ac:dyDescent="0.25">
      <c r="A23882" t="s">
        <v>23895</v>
      </c>
      <c r="B23882">
        <v>536</v>
      </c>
      <c r="C23882" s="1" t="str">
        <f>HYPERLINK("http://www.rosaceae.org/gb/gbrowse/malus_x_domestica/?name=MDP0000522688","MDP0000522688")</f>
        <v>MDP0000522688</v>
      </c>
      <c r="D23882">
        <v>71.66</v>
      </c>
      <c r="E23882">
        <v>547</v>
      </c>
      <c r="F23882">
        <v>155</v>
      </c>
      <c r="G23882">
        <v>13</v>
      </c>
      <c r="H23882">
        <v>1</v>
      </c>
      <c r="I23882">
        <v>536</v>
      </c>
      <c r="J23882">
        <v>1</v>
      </c>
      <c r="K23882">
        <v>1</v>
      </c>
      <c r="L23882">
        <v>545</v>
      </c>
      <c r="M23882">
        <v>1</v>
      </c>
      <c r="N23882">
        <v>0</v>
      </c>
      <c r="O23882">
        <v>1998</v>
      </c>
    </row>
    <row r="23883" spans="1:15" x14ac:dyDescent="0.25">
      <c r="A23883" t="s">
        <v>23896</v>
      </c>
      <c r="B23883">
        <v>712</v>
      </c>
      <c r="C23883" s="1" t="str">
        <f>HYPERLINK("http://www.rosaceae.org/gb/gbrowse/malus_x_domestica/?name=MDP0000502135","MDP0000502135")</f>
        <v>MDP0000502135</v>
      </c>
      <c r="D23883">
        <v>41.62</v>
      </c>
      <c r="E23883">
        <v>406</v>
      </c>
      <c r="F23883">
        <v>237</v>
      </c>
      <c r="G23883">
        <v>55</v>
      </c>
      <c r="H23883">
        <v>314</v>
      </c>
      <c r="I23883">
        <v>712</v>
      </c>
      <c r="J23883">
        <v>1</v>
      </c>
      <c r="K23883">
        <v>349</v>
      </c>
      <c r="L23883">
        <v>706</v>
      </c>
      <c r="M23883">
        <v>1</v>
      </c>
      <c r="N23883">
        <v>9.6518499999999996E-55</v>
      </c>
      <c r="O23883">
        <v>540</v>
      </c>
    </row>
    <row r="23884" spans="1:15" x14ac:dyDescent="0.25">
      <c r="A23884" t="s">
        <v>23897</v>
      </c>
      <c r="B23884">
        <v>289</v>
      </c>
      <c r="C23884" s="1" t="str">
        <f>HYPERLINK("http://www.rosaceae.org/gb/gbrowse/malus_x_domestica/?name=MDP0000276291","MDP0000276291")</f>
        <v>MDP0000276291</v>
      </c>
      <c r="D23884">
        <v>27.92</v>
      </c>
      <c r="E23884">
        <v>265</v>
      </c>
      <c r="F23884">
        <v>191</v>
      </c>
      <c r="G23884">
        <v>69</v>
      </c>
      <c r="H23884">
        <v>10</v>
      </c>
      <c r="I23884">
        <v>209</v>
      </c>
      <c r="J23884">
        <v>1</v>
      </c>
      <c r="K23884">
        <v>7</v>
      </c>
      <c r="L23884">
        <v>267</v>
      </c>
      <c r="M23884">
        <v>1</v>
      </c>
      <c r="N23884">
        <v>1.8756500000000001E-11</v>
      </c>
      <c r="O23884">
        <v>163</v>
      </c>
    </row>
    <row r="23885" spans="1:15" x14ac:dyDescent="0.25">
      <c r="A23885" t="s">
        <v>23898</v>
      </c>
      <c r="B23885">
        <v>227</v>
      </c>
      <c r="C23885" s="1" t="str">
        <f>HYPERLINK("http://www.rosaceae.org/gb/gbrowse/malus_x_domestica/?name=MDP0000276179","MDP0000276179")</f>
        <v>MDP0000276179</v>
      </c>
      <c r="D23885">
        <v>78.02</v>
      </c>
      <c r="E23885">
        <v>223</v>
      </c>
      <c r="F23885">
        <v>49</v>
      </c>
      <c r="G23885">
        <v>1</v>
      </c>
      <c r="H23885">
        <v>1</v>
      </c>
      <c r="I23885">
        <v>223</v>
      </c>
      <c r="J23885">
        <v>1</v>
      </c>
      <c r="K23885">
        <v>53</v>
      </c>
      <c r="L23885">
        <v>274</v>
      </c>
      <c r="M23885">
        <v>1</v>
      </c>
      <c r="N23885">
        <v>3.7286699999999996E-102</v>
      </c>
      <c r="O23885">
        <v>943</v>
      </c>
    </row>
    <row r="23886" spans="1:15" x14ac:dyDescent="0.25">
      <c r="A23886" t="s">
        <v>23899</v>
      </c>
      <c r="B23886">
        <v>682</v>
      </c>
      <c r="C23886" s="1" t="str">
        <f>HYPERLINK("http://www.rosaceae.org/gb/gbrowse/malus_x_domestica/?name=MDP0000150000","MDP0000150000")</f>
        <v>MDP0000150000</v>
      </c>
      <c r="D23886">
        <v>40.15</v>
      </c>
      <c r="E23886">
        <v>127</v>
      </c>
      <c r="F23886">
        <v>76</v>
      </c>
      <c r="G23886">
        <v>19</v>
      </c>
      <c r="H23886">
        <v>486</v>
      </c>
      <c r="I23886">
        <v>601</v>
      </c>
      <c r="J23886">
        <v>1</v>
      </c>
      <c r="K23886">
        <v>207</v>
      </c>
      <c r="L23886">
        <v>325</v>
      </c>
      <c r="M23886">
        <v>1</v>
      </c>
      <c r="N23886">
        <v>2.7591400000000001E-15</v>
      </c>
      <c r="O23886">
        <v>200</v>
      </c>
    </row>
    <row r="23887" spans="1:15" x14ac:dyDescent="0.25">
      <c r="A23887" t="s">
        <v>23900</v>
      </c>
      <c r="B23887">
        <v>373</v>
      </c>
      <c r="C23887" s="1" t="str">
        <f>HYPERLINK("http://www.rosaceae.org/gb/gbrowse/malus_x_domestica/?name=MDP0000408508","MDP0000408508")</f>
        <v>MDP0000408508</v>
      </c>
      <c r="D23887">
        <v>64.540000000000006</v>
      </c>
      <c r="E23887">
        <v>251</v>
      </c>
      <c r="F23887">
        <v>89</v>
      </c>
      <c r="G23887">
        <v>2</v>
      </c>
      <c r="H23887">
        <v>8</v>
      </c>
      <c r="I23887">
        <v>257</v>
      </c>
      <c r="J23887">
        <v>1</v>
      </c>
      <c r="K23887">
        <v>15</v>
      </c>
      <c r="L23887">
        <v>264</v>
      </c>
      <c r="M23887">
        <v>1</v>
      </c>
      <c r="N23887">
        <v>2.4926500000000001E-89</v>
      </c>
      <c r="O23887">
        <v>835</v>
      </c>
    </row>
    <row r="23888" spans="1:15" x14ac:dyDescent="0.25">
      <c r="A23888" t="s">
        <v>23901</v>
      </c>
      <c r="B23888">
        <v>295</v>
      </c>
      <c r="C23888" s="1" t="str">
        <f>HYPERLINK("http://www.rosaceae.org/gb/gbrowse/malus_x_domestica/?name=MDP0000303048","MDP0000303048")</f>
        <v>MDP0000303048</v>
      </c>
      <c r="D23888">
        <v>59.79</v>
      </c>
      <c r="E23888">
        <v>296</v>
      </c>
      <c r="F23888">
        <v>119</v>
      </c>
      <c r="G23888">
        <v>6</v>
      </c>
      <c r="H23888">
        <v>1</v>
      </c>
      <c r="I23888">
        <v>294</v>
      </c>
      <c r="J23888">
        <v>1</v>
      </c>
      <c r="K23888">
        <v>14</v>
      </c>
      <c r="L23888">
        <v>305</v>
      </c>
      <c r="M23888">
        <v>1</v>
      </c>
      <c r="N23888">
        <v>1.17525E-90</v>
      </c>
      <c r="O23888">
        <v>846</v>
      </c>
    </row>
    <row r="23889" spans="1:15" x14ac:dyDescent="0.25">
      <c r="A23889" t="s">
        <v>23902</v>
      </c>
      <c r="B23889">
        <v>532</v>
      </c>
      <c r="C23889" s="1" t="str">
        <f>HYPERLINK("http://www.rosaceae.org/gb/gbrowse/malus_x_domestica/?name=MDP0000234947","MDP0000234947")</f>
        <v>MDP0000234947</v>
      </c>
      <c r="D23889">
        <v>84.03</v>
      </c>
      <c r="E23889">
        <v>545</v>
      </c>
      <c r="F23889">
        <v>87</v>
      </c>
      <c r="G23889">
        <v>13</v>
      </c>
      <c r="H23889">
        <v>1</v>
      </c>
      <c r="I23889">
        <v>532</v>
      </c>
      <c r="J23889">
        <v>1</v>
      </c>
      <c r="K23889">
        <v>1</v>
      </c>
      <c r="L23889">
        <v>545</v>
      </c>
      <c r="M23889">
        <v>1</v>
      </c>
      <c r="N23889">
        <v>0</v>
      </c>
      <c r="O23889">
        <v>2352</v>
      </c>
    </row>
    <row r="23890" spans="1:15" x14ac:dyDescent="0.25">
      <c r="A23890" t="s">
        <v>23903</v>
      </c>
      <c r="B23890">
        <v>179</v>
      </c>
      <c r="C23890" s="1" t="str">
        <f>HYPERLINK("http://www.rosaceae.org/gb/gbrowse/malus_x_domestica/?name=MDP0000129431","MDP0000129431")</f>
        <v>MDP0000129431</v>
      </c>
      <c r="D23890">
        <v>82.12</v>
      </c>
      <c r="E23890">
        <v>179</v>
      </c>
      <c r="F23890">
        <v>32</v>
      </c>
      <c r="G23890">
        <v>0</v>
      </c>
      <c r="H23890">
        <v>1</v>
      </c>
      <c r="I23890">
        <v>179</v>
      </c>
      <c r="J23890">
        <v>1</v>
      </c>
      <c r="K23890">
        <v>1</v>
      </c>
      <c r="L23890">
        <v>179</v>
      </c>
      <c r="M23890">
        <v>1</v>
      </c>
      <c r="N23890">
        <v>5.0608199999999999E-81</v>
      </c>
      <c r="O23890">
        <v>759</v>
      </c>
    </row>
    <row r="23891" spans="1:15" x14ac:dyDescent="0.25">
      <c r="A23891" t="s">
        <v>23904</v>
      </c>
      <c r="B23891">
        <v>1370</v>
      </c>
      <c r="C23891" s="1" t="str">
        <f>HYPERLINK("http://www.rosaceae.org/gb/gbrowse/malus_x_domestica/?name=MDP0000273603","MDP0000273603")</f>
        <v>MDP0000273603</v>
      </c>
      <c r="D23891">
        <v>62.32</v>
      </c>
      <c r="E23891">
        <v>1473</v>
      </c>
      <c r="F23891">
        <v>555</v>
      </c>
      <c r="G23891">
        <v>126</v>
      </c>
      <c r="H23891">
        <v>1</v>
      </c>
      <c r="I23891">
        <v>1370</v>
      </c>
      <c r="J23891">
        <v>1</v>
      </c>
      <c r="K23891">
        <v>11</v>
      </c>
      <c r="L23891">
        <v>1460</v>
      </c>
      <c r="M23891">
        <v>1</v>
      </c>
      <c r="N23891">
        <v>0</v>
      </c>
      <c r="O23891">
        <v>4331</v>
      </c>
    </row>
    <row r="23892" spans="1:15" x14ac:dyDescent="0.25">
      <c r="A23892" t="s">
        <v>23905</v>
      </c>
      <c r="B23892">
        <v>271</v>
      </c>
      <c r="C23892" s="1" t="str">
        <f>HYPERLINK("http://www.rosaceae.org/gb/gbrowse/malus_x_domestica/?name=MDP0000207413","MDP0000207413")</f>
        <v>MDP0000207413</v>
      </c>
      <c r="D23892">
        <v>53.16</v>
      </c>
      <c r="E23892">
        <v>284</v>
      </c>
      <c r="F23892">
        <v>133</v>
      </c>
      <c r="G23892">
        <v>48</v>
      </c>
      <c r="H23892">
        <v>31</v>
      </c>
      <c r="I23892">
        <v>271</v>
      </c>
      <c r="J23892">
        <v>1</v>
      </c>
      <c r="K23892">
        <v>31</v>
      </c>
      <c r="L23892">
        <v>309</v>
      </c>
      <c r="M23892">
        <v>1</v>
      </c>
      <c r="N23892">
        <v>9.3536499999999999E-77</v>
      </c>
      <c r="O23892">
        <v>725</v>
      </c>
    </row>
    <row r="23893" spans="1:15" x14ac:dyDescent="0.25">
      <c r="A23893" t="s">
        <v>23906</v>
      </c>
      <c r="B23893">
        <v>185</v>
      </c>
      <c r="C23893" s="1" t="str">
        <f>HYPERLINK("http://www.rosaceae.org/gb/gbrowse/malus_x_domestica/?name=MDP0000308680","MDP0000308680")</f>
        <v>MDP0000308680</v>
      </c>
      <c r="D23893">
        <v>36.5</v>
      </c>
      <c r="E23893">
        <v>126</v>
      </c>
      <c r="F23893">
        <v>80</v>
      </c>
      <c r="G23893">
        <v>20</v>
      </c>
      <c r="H23893">
        <v>79</v>
      </c>
      <c r="I23893">
        <v>185</v>
      </c>
      <c r="J23893">
        <v>1</v>
      </c>
      <c r="K23893">
        <v>135</v>
      </c>
      <c r="L23893">
        <v>259</v>
      </c>
      <c r="M23893">
        <v>1</v>
      </c>
      <c r="N23893">
        <v>4.1710700000000001E-13</v>
      </c>
      <c r="O23893">
        <v>174</v>
      </c>
    </row>
    <row r="23894" spans="1:15" x14ac:dyDescent="0.25">
      <c r="A23894" t="s">
        <v>23907</v>
      </c>
      <c r="B23894">
        <v>329</v>
      </c>
      <c r="C23894" s="1" t="str">
        <f>HYPERLINK("http://www.rosaceae.org/gb/gbrowse/malus_x_domestica/?name=MDP0000190415","MDP0000190415")</f>
        <v>MDP0000190415</v>
      </c>
      <c r="D23894">
        <v>76.17</v>
      </c>
      <c r="E23894">
        <v>361</v>
      </c>
      <c r="F23894">
        <v>86</v>
      </c>
      <c r="G23894">
        <v>32</v>
      </c>
      <c r="H23894">
        <v>1</v>
      </c>
      <c r="I23894">
        <v>329</v>
      </c>
      <c r="J23894">
        <v>1</v>
      </c>
      <c r="K23894">
        <v>6</v>
      </c>
      <c r="L23894">
        <v>366</v>
      </c>
      <c r="M23894">
        <v>1</v>
      </c>
      <c r="N23894">
        <v>2.57992E-157</v>
      </c>
      <c r="O23894">
        <v>1421</v>
      </c>
    </row>
    <row r="23895" spans="1:15" x14ac:dyDescent="0.25">
      <c r="A23895" t="s">
        <v>23908</v>
      </c>
      <c r="B23895">
        <v>536</v>
      </c>
      <c r="C23895" s="1" t="str">
        <f>HYPERLINK("http://www.rosaceae.org/gb/gbrowse/malus_x_domestica/?name=MDP0000262664","MDP0000262664")</f>
        <v>MDP0000262664</v>
      </c>
      <c r="D23895">
        <v>35.450000000000003</v>
      </c>
      <c r="E23895">
        <v>110</v>
      </c>
      <c r="F23895">
        <v>71</v>
      </c>
      <c r="G23895">
        <v>13</v>
      </c>
      <c r="H23895">
        <v>349</v>
      </c>
      <c r="I23895">
        <v>456</v>
      </c>
      <c r="J23895">
        <v>1</v>
      </c>
      <c r="K23895">
        <v>335</v>
      </c>
      <c r="L23895">
        <v>433</v>
      </c>
      <c r="M23895">
        <v>1</v>
      </c>
      <c r="N23895">
        <v>7.5842000000000001E-14</v>
      </c>
      <c r="O23895">
        <v>186</v>
      </c>
    </row>
    <row r="23896" spans="1:15" x14ac:dyDescent="0.25">
      <c r="A23896" t="s">
        <v>23909</v>
      </c>
      <c r="B23896">
        <v>215</v>
      </c>
      <c r="C23896" s="1" t="str">
        <f>HYPERLINK("http://www.rosaceae.org/gb/gbrowse/malus_x_domestica/?name=MDP0000230511","MDP0000230511")</f>
        <v>MDP0000230511</v>
      </c>
      <c r="D23896">
        <v>64.05</v>
      </c>
      <c r="E23896">
        <v>217</v>
      </c>
      <c r="F23896">
        <v>78</v>
      </c>
      <c r="G23896">
        <v>7</v>
      </c>
      <c r="H23896">
        <v>3</v>
      </c>
      <c r="I23896">
        <v>215</v>
      </c>
      <c r="J23896">
        <v>1</v>
      </c>
      <c r="K23896">
        <v>2</v>
      </c>
      <c r="L23896">
        <v>215</v>
      </c>
      <c r="M23896">
        <v>1</v>
      </c>
      <c r="N23896">
        <v>8.0852100000000001E-68</v>
      </c>
      <c r="O23896">
        <v>647</v>
      </c>
    </row>
    <row r="23897" spans="1:15" x14ac:dyDescent="0.25">
      <c r="A23897" t="s">
        <v>23910</v>
      </c>
      <c r="B23897">
        <v>147</v>
      </c>
      <c r="C23897" s="1" t="str">
        <f>HYPERLINK("http://www.rosaceae.org/gb/gbrowse/malus_x_domestica/?name=MDP0000181883","MDP0000181883")</f>
        <v>MDP0000181883</v>
      </c>
      <c r="D23897">
        <v>37.630000000000003</v>
      </c>
      <c r="E23897">
        <v>93</v>
      </c>
      <c r="F23897">
        <v>58</v>
      </c>
      <c r="G23897">
        <v>20</v>
      </c>
      <c r="H23897">
        <v>1</v>
      </c>
      <c r="I23897">
        <v>73</v>
      </c>
      <c r="J23897">
        <v>1</v>
      </c>
      <c r="K23897">
        <v>1</v>
      </c>
      <c r="L23897">
        <v>93</v>
      </c>
      <c r="M23897">
        <v>1</v>
      </c>
      <c r="N23897">
        <v>2.3988899999999999E-8</v>
      </c>
      <c r="O23897">
        <v>131</v>
      </c>
    </row>
    <row r="23898" spans="1:15" x14ac:dyDescent="0.25">
      <c r="A23898" t="s">
        <v>23911</v>
      </c>
      <c r="B23898">
        <v>197</v>
      </c>
      <c r="C23898" s="1" t="str">
        <f>HYPERLINK("http://www.rosaceae.org/gb/gbrowse/malus_x_domestica/?name=MDP0000206766","MDP0000206766")</f>
        <v>MDP0000206766</v>
      </c>
      <c r="D23898">
        <v>42.5</v>
      </c>
      <c r="E23898">
        <v>160</v>
      </c>
      <c r="F23898">
        <v>92</v>
      </c>
      <c r="G23898">
        <v>31</v>
      </c>
      <c r="H23898">
        <v>1</v>
      </c>
      <c r="I23898">
        <v>129</v>
      </c>
      <c r="J23898">
        <v>1</v>
      </c>
      <c r="K23898">
        <v>1</v>
      </c>
      <c r="L23898">
        <v>160</v>
      </c>
      <c r="M23898">
        <v>1</v>
      </c>
      <c r="N23898">
        <v>3.2275200000000001E-25</v>
      </c>
      <c r="O23898">
        <v>279</v>
      </c>
    </row>
    <row r="23899" spans="1:15" x14ac:dyDescent="0.25">
      <c r="A23899" t="s">
        <v>23912</v>
      </c>
      <c r="B23899">
        <v>500</v>
      </c>
      <c r="C23899" s="1" t="str">
        <f>HYPERLINK("http://www.rosaceae.org/gb/gbrowse/malus_x_domestica/?name=MDP0000221114","MDP0000221114")</f>
        <v>MDP0000221114</v>
      </c>
      <c r="D23899">
        <v>42.39</v>
      </c>
      <c r="E23899">
        <v>467</v>
      </c>
      <c r="F23899">
        <v>269</v>
      </c>
      <c r="G23899">
        <v>34</v>
      </c>
      <c r="H23899">
        <v>40</v>
      </c>
      <c r="I23899">
        <v>499</v>
      </c>
      <c r="J23899">
        <v>1</v>
      </c>
      <c r="K23899">
        <v>35</v>
      </c>
      <c r="L23899">
        <v>474</v>
      </c>
      <c r="M23899">
        <v>1</v>
      </c>
      <c r="N23899">
        <v>1.06224E-102</v>
      </c>
      <c r="O23899">
        <v>952</v>
      </c>
    </row>
    <row r="23900" spans="1:15" x14ac:dyDescent="0.25">
      <c r="A23900" t="s">
        <v>23913</v>
      </c>
      <c r="B23900">
        <v>183</v>
      </c>
      <c r="C23900" s="1" t="str">
        <f>HYPERLINK("http://www.rosaceae.org/gb/gbrowse/malus_x_domestica/?name=MDP0000761905","MDP0000761905")</f>
        <v>MDP0000761905</v>
      </c>
      <c r="D23900">
        <v>82.43</v>
      </c>
      <c r="E23900">
        <v>74</v>
      </c>
      <c r="F23900">
        <v>13</v>
      </c>
      <c r="G23900">
        <v>1</v>
      </c>
      <c r="H23900">
        <v>1</v>
      </c>
      <c r="I23900">
        <v>74</v>
      </c>
      <c r="J23900">
        <v>1</v>
      </c>
      <c r="K23900">
        <v>1</v>
      </c>
      <c r="L23900">
        <v>73</v>
      </c>
      <c r="M23900">
        <v>1</v>
      </c>
      <c r="N23900">
        <v>5.9574800000000001E-28</v>
      </c>
      <c r="O23900">
        <v>302</v>
      </c>
    </row>
    <row r="23901" spans="1:15" x14ac:dyDescent="0.25">
      <c r="A23901" t="s">
        <v>23914</v>
      </c>
      <c r="B23901">
        <v>202</v>
      </c>
      <c r="C23901" s="1" t="str">
        <f>HYPERLINK("http://www.rosaceae.org/gb/gbrowse/malus_x_domestica/?name=MDP0000124316","MDP0000124316")</f>
        <v>MDP0000124316</v>
      </c>
      <c r="D23901">
        <v>52.96</v>
      </c>
      <c r="E23901">
        <v>219</v>
      </c>
      <c r="F23901">
        <v>103</v>
      </c>
      <c r="G23901">
        <v>22</v>
      </c>
      <c r="H23901">
        <v>1</v>
      </c>
      <c r="I23901">
        <v>201</v>
      </c>
      <c r="J23901">
        <v>1</v>
      </c>
      <c r="K23901">
        <v>1</v>
      </c>
      <c r="L23901">
        <v>215</v>
      </c>
      <c r="M23901">
        <v>1</v>
      </c>
      <c r="N23901">
        <v>2.27212E-53</v>
      </c>
      <c r="O23901">
        <v>522</v>
      </c>
    </row>
    <row r="23902" spans="1:15" x14ac:dyDescent="0.25">
      <c r="A23902" t="s">
        <v>23915</v>
      </c>
      <c r="B23902">
        <v>420</v>
      </c>
      <c r="C23902" s="1" t="str">
        <f>HYPERLINK("http://www.rosaceae.org/gb/gbrowse/malus_x_domestica/?name=MDP0000179390","MDP0000179390")</f>
        <v>MDP0000179390</v>
      </c>
      <c r="D23902">
        <v>70.260000000000005</v>
      </c>
      <c r="E23902">
        <v>454</v>
      </c>
      <c r="F23902">
        <v>135</v>
      </c>
      <c r="G23902">
        <v>39</v>
      </c>
      <c r="H23902">
        <v>3</v>
      </c>
      <c r="I23902">
        <v>420</v>
      </c>
      <c r="J23902">
        <v>1</v>
      </c>
      <c r="K23902">
        <v>4</v>
      </c>
      <c r="L23902">
        <v>454</v>
      </c>
      <c r="M23902">
        <v>1</v>
      </c>
      <c r="N23902">
        <v>1.0079000000000001E-177</v>
      </c>
      <c r="O23902">
        <v>1598</v>
      </c>
    </row>
    <row r="23903" spans="1:15" x14ac:dyDescent="0.25">
      <c r="A23903" t="s">
        <v>23916</v>
      </c>
      <c r="B23903">
        <v>87</v>
      </c>
      <c r="C23903" s="1" t="str">
        <f>HYPERLINK("http://www.rosaceae.org/gb/gbrowse/malus_x_domestica/?name=MDP0000555752","MDP0000555752")</f>
        <v>MDP0000555752</v>
      </c>
      <c r="D23903">
        <v>64.91</v>
      </c>
      <c r="E23903">
        <v>57</v>
      </c>
      <c r="F23903">
        <v>20</v>
      </c>
      <c r="G23903">
        <v>3</v>
      </c>
      <c r="H23903">
        <v>1</v>
      </c>
      <c r="I23903">
        <v>55</v>
      </c>
      <c r="J23903">
        <v>1</v>
      </c>
      <c r="K23903">
        <v>148</v>
      </c>
      <c r="L23903">
        <v>203</v>
      </c>
      <c r="M23903">
        <v>1</v>
      </c>
      <c r="N23903">
        <v>5.6701099999999998E-14</v>
      </c>
      <c r="O23903">
        <v>178</v>
      </c>
    </row>
    <row r="23904" spans="1:15" x14ac:dyDescent="0.25">
      <c r="A23904" t="s">
        <v>23917</v>
      </c>
      <c r="B23904">
        <v>290</v>
      </c>
      <c r="C23904" s="1" t="str">
        <f>HYPERLINK("http://www.rosaceae.org/gb/gbrowse/malus_x_domestica/?name=MDP0000156587","MDP0000156587")</f>
        <v>MDP0000156587</v>
      </c>
      <c r="D23904">
        <v>88.99</v>
      </c>
      <c r="E23904">
        <v>109</v>
      </c>
      <c r="F23904">
        <v>12</v>
      </c>
      <c r="G23904">
        <v>0</v>
      </c>
      <c r="H23904">
        <v>176</v>
      </c>
      <c r="I23904">
        <v>284</v>
      </c>
      <c r="J23904">
        <v>1</v>
      </c>
      <c r="K23904">
        <v>27</v>
      </c>
      <c r="L23904">
        <v>135</v>
      </c>
      <c r="M23904">
        <v>1</v>
      </c>
      <c r="N23904">
        <v>4.4731399999999998E-51</v>
      </c>
      <c r="O23904">
        <v>504</v>
      </c>
    </row>
    <row r="23905" spans="1:15" x14ac:dyDescent="0.25">
      <c r="A23905" t="s">
        <v>23918</v>
      </c>
      <c r="B23905">
        <v>966</v>
      </c>
      <c r="C23905" s="1" t="str">
        <f>HYPERLINK("http://www.rosaceae.org/gb/gbrowse/malus_x_domestica/?name=MDP0000231845","MDP0000231845")</f>
        <v>MDP0000231845</v>
      </c>
      <c r="D23905">
        <v>44.59</v>
      </c>
      <c r="E23905">
        <v>287</v>
      </c>
      <c r="F23905">
        <v>159</v>
      </c>
      <c r="G23905">
        <v>47</v>
      </c>
      <c r="H23905">
        <v>565</v>
      </c>
      <c r="I23905">
        <v>817</v>
      </c>
      <c r="J23905">
        <v>1</v>
      </c>
      <c r="K23905">
        <v>21</v>
      </c>
      <c r="L23905">
        <v>294</v>
      </c>
      <c r="M23905">
        <v>1</v>
      </c>
      <c r="N23905">
        <v>2.2459399999999999E-49</v>
      </c>
      <c r="O23905">
        <v>495</v>
      </c>
    </row>
    <row r="23906" spans="1:15" x14ac:dyDescent="0.25">
      <c r="A23906" t="s">
        <v>23919</v>
      </c>
      <c r="B23906">
        <v>329</v>
      </c>
      <c r="C23906" s="1" t="str">
        <f>HYPERLINK("http://www.rosaceae.org/gb/gbrowse/malus_x_domestica/?name=MDP0000161222","MDP0000161222")</f>
        <v>MDP0000161222</v>
      </c>
      <c r="D23906">
        <v>27.31</v>
      </c>
      <c r="E23906">
        <v>227</v>
      </c>
      <c r="F23906">
        <v>165</v>
      </c>
      <c r="G23906">
        <v>30</v>
      </c>
      <c r="H23906">
        <v>75</v>
      </c>
      <c r="I23906">
        <v>293</v>
      </c>
      <c r="J23906">
        <v>1</v>
      </c>
      <c r="K23906">
        <v>607</v>
      </c>
      <c r="L23906">
        <v>811</v>
      </c>
      <c r="M23906">
        <v>1</v>
      </c>
      <c r="N23906">
        <v>7.8988600000000002E-10</v>
      </c>
      <c r="O23906">
        <v>149</v>
      </c>
    </row>
    <row r="23907" spans="1:15" x14ac:dyDescent="0.25">
      <c r="A23907" t="s">
        <v>23920</v>
      </c>
      <c r="B23907">
        <v>400</v>
      </c>
      <c r="C23907" s="1" t="str">
        <f>HYPERLINK("http://www.rosaceae.org/gb/gbrowse/malus_x_domestica/?name=MDP0000194764","MDP0000194764")</f>
        <v>MDP0000194764</v>
      </c>
      <c r="D23907">
        <v>25</v>
      </c>
      <c r="E23907">
        <v>132</v>
      </c>
      <c r="F23907">
        <v>99</v>
      </c>
      <c r="G23907">
        <v>3</v>
      </c>
      <c r="H23907">
        <v>29</v>
      </c>
      <c r="I23907">
        <v>159</v>
      </c>
      <c r="J23907">
        <v>1</v>
      </c>
      <c r="K23907">
        <v>330</v>
      </c>
      <c r="L23907">
        <v>459</v>
      </c>
      <c r="M23907">
        <v>1</v>
      </c>
      <c r="N23907">
        <v>4.82752E-15</v>
      </c>
      <c r="O23907">
        <v>195</v>
      </c>
    </row>
    <row r="23908" spans="1:15" x14ac:dyDescent="0.25">
      <c r="A23908" t="s">
        <v>23921</v>
      </c>
      <c r="B23908">
        <v>444</v>
      </c>
      <c r="C23908" s="1" t="str">
        <f>HYPERLINK("http://www.rosaceae.org/gb/gbrowse/malus_x_domestica/?name=MDP0000277843","MDP0000277843")</f>
        <v>MDP0000277843</v>
      </c>
      <c r="D23908">
        <v>47.45</v>
      </c>
      <c r="E23908">
        <v>314</v>
      </c>
      <c r="F23908">
        <v>165</v>
      </c>
      <c r="G23908">
        <v>34</v>
      </c>
      <c r="H23908">
        <v>1</v>
      </c>
      <c r="I23908">
        <v>312</v>
      </c>
      <c r="J23908">
        <v>1</v>
      </c>
      <c r="K23908">
        <v>32</v>
      </c>
      <c r="L23908">
        <v>313</v>
      </c>
      <c r="M23908">
        <v>1</v>
      </c>
      <c r="N23908">
        <v>4.5997100000000002E-64</v>
      </c>
      <c r="O23908">
        <v>618</v>
      </c>
    </row>
    <row r="23909" spans="1:15" x14ac:dyDescent="0.25">
      <c r="A23909" t="s">
        <v>23922</v>
      </c>
      <c r="B23909">
        <v>911</v>
      </c>
      <c r="C23909" s="1" t="str">
        <f>HYPERLINK("http://www.rosaceae.org/gb/gbrowse/malus_x_domestica/?name=MDP0000547615","MDP0000547615")</f>
        <v>MDP0000547615</v>
      </c>
      <c r="D23909">
        <v>31.35</v>
      </c>
      <c r="E23909">
        <v>118</v>
      </c>
      <c r="F23909">
        <v>81</v>
      </c>
      <c r="G23909">
        <v>4</v>
      </c>
      <c r="H23909">
        <v>101</v>
      </c>
      <c r="I23909">
        <v>214</v>
      </c>
      <c r="J23909">
        <v>1</v>
      </c>
      <c r="K23909">
        <v>50</v>
      </c>
      <c r="L23909">
        <v>167</v>
      </c>
      <c r="M23909">
        <v>1</v>
      </c>
      <c r="N23909">
        <v>8.6249499999999995E-13</v>
      </c>
      <c r="O23909">
        <v>179</v>
      </c>
    </row>
    <row r="23910" spans="1:15" x14ac:dyDescent="0.25">
      <c r="A23910" t="s">
        <v>23923</v>
      </c>
      <c r="B23910">
        <v>468</v>
      </c>
      <c r="C23910" s="1" t="str">
        <f>HYPERLINK("http://www.rosaceae.org/gb/gbrowse/malus_x_domestica/?name=MDP0000650726","MDP0000650726")</f>
        <v>MDP0000650726</v>
      </c>
      <c r="D23910">
        <v>59.41</v>
      </c>
      <c r="E23910">
        <v>478</v>
      </c>
      <c r="F23910">
        <v>194</v>
      </c>
      <c r="G23910">
        <v>26</v>
      </c>
      <c r="H23910">
        <v>1</v>
      </c>
      <c r="I23910">
        <v>463</v>
      </c>
      <c r="J23910">
        <v>1</v>
      </c>
      <c r="K23910">
        <v>52</v>
      </c>
      <c r="L23910">
        <v>518</v>
      </c>
      <c r="M23910">
        <v>1</v>
      </c>
      <c r="N23910">
        <v>1.1367E-144</v>
      </c>
      <c r="O23910">
        <v>1314</v>
      </c>
    </row>
    <row r="23911" spans="1:15" x14ac:dyDescent="0.25">
      <c r="A23911" t="s">
        <v>23924</v>
      </c>
      <c r="B23911">
        <v>482</v>
      </c>
      <c r="C23911" s="1" t="str">
        <f>HYPERLINK("http://www.rosaceae.org/gb/gbrowse/malus_x_domestica/?name=MDP0000208402","MDP0000208402")</f>
        <v>MDP0000208402</v>
      </c>
      <c r="D23911">
        <v>61.49</v>
      </c>
      <c r="E23911">
        <v>387</v>
      </c>
      <c r="F23911">
        <v>149</v>
      </c>
      <c r="G23911">
        <v>18</v>
      </c>
      <c r="H23911">
        <v>97</v>
      </c>
      <c r="I23911">
        <v>478</v>
      </c>
      <c r="J23911">
        <v>1</v>
      </c>
      <c r="K23911">
        <v>78</v>
      </c>
      <c r="L23911">
        <v>451</v>
      </c>
      <c r="M23911">
        <v>1</v>
      </c>
      <c r="N23911">
        <v>6.4458500000000004E-132</v>
      </c>
      <c r="O23911">
        <v>1204</v>
      </c>
    </row>
    <row r="23912" spans="1:15" x14ac:dyDescent="0.25">
      <c r="A23912" t="s">
        <v>23925</v>
      </c>
      <c r="B23912">
        <v>603</v>
      </c>
      <c r="C23912" s="1" t="str">
        <f>HYPERLINK("http://www.rosaceae.org/gb/gbrowse/malus_x_domestica/?name=MDP0000850540","MDP0000850540")</f>
        <v>MDP0000850540</v>
      </c>
      <c r="D23912">
        <v>73.87</v>
      </c>
      <c r="E23912">
        <v>490</v>
      </c>
      <c r="F23912">
        <v>128</v>
      </c>
      <c r="G23912">
        <v>5</v>
      </c>
      <c r="H23912">
        <v>22</v>
      </c>
      <c r="I23912">
        <v>509</v>
      </c>
      <c r="J23912">
        <v>1</v>
      </c>
      <c r="K23912">
        <v>5</v>
      </c>
      <c r="L23912">
        <v>491</v>
      </c>
      <c r="M23912">
        <v>1</v>
      </c>
      <c r="N23912">
        <v>0</v>
      </c>
      <c r="O23912">
        <v>1931</v>
      </c>
    </row>
    <row r="23913" spans="1:15" x14ac:dyDescent="0.25">
      <c r="A23913" t="s">
        <v>23926</v>
      </c>
      <c r="B23913">
        <v>187</v>
      </c>
      <c r="C23913" s="1" t="str">
        <f>HYPERLINK("http://www.rosaceae.org/gb/gbrowse/malus_x_domestica/?name=MDP0000289005","MDP0000289005")</f>
        <v>MDP0000289005</v>
      </c>
      <c r="D23913">
        <v>55.92</v>
      </c>
      <c r="E23913">
        <v>152</v>
      </c>
      <c r="F23913">
        <v>67</v>
      </c>
      <c r="G23913">
        <v>5</v>
      </c>
      <c r="H23913">
        <v>5</v>
      </c>
      <c r="I23913">
        <v>155</v>
      </c>
      <c r="J23913">
        <v>1</v>
      </c>
      <c r="K23913">
        <v>715</v>
      </c>
      <c r="L23913">
        <v>862</v>
      </c>
      <c r="M23913">
        <v>1</v>
      </c>
      <c r="N23913">
        <v>1.8212399999999999E-42</v>
      </c>
      <c r="O23913">
        <v>427</v>
      </c>
    </row>
    <row r="23914" spans="1:15" x14ac:dyDescent="0.25">
      <c r="A23914" t="s">
        <v>23927</v>
      </c>
      <c r="B23914">
        <v>224</v>
      </c>
      <c r="C23914" s="1" t="str">
        <f>HYPERLINK("http://www.rosaceae.org/gb/gbrowse/malus_x_domestica/?name=MDP0000320108","MDP0000320108")</f>
        <v>MDP0000320108</v>
      </c>
      <c r="D23914">
        <v>54.23</v>
      </c>
      <c r="E23914">
        <v>177</v>
      </c>
      <c r="F23914">
        <v>81</v>
      </c>
      <c r="G23914">
        <v>44</v>
      </c>
      <c r="H23914">
        <v>68</v>
      </c>
      <c r="I23914">
        <v>200</v>
      </c>
      <c r="J23914">
        <v>1</v>
      </c>
      <c r="K23914">
        <v>115</v>
      </c>
      <c r="L23914">
        <v>291</v>
      </c>
      <c r="M23914">
        <v>1</v>
      </c>
      <c r="N23914">
        <v>1.89595E-50</v>
      </c>
      <c r="O23914">
        <v>497</v>
      </c>
    </row>
    <row r="23915" spans="1:15" x14ac:dyDescent="0.25">
      <c r="A23915" t="s">
        <v>23928</v>
      </c>
      <c r="B23915">
        <v>1243</v>
      </c>
      <c r="C23915" s="1" t="str">
        <f>HYPERLINK("http://www.rosaceae.org/gb/gbrowse/malus_x_domestica/?name=MDP0000320645","MDP0000320645")</f>
        <v>MDP0000320645</v>
      </c>
      <c r="D23915">
        <v>76.75</v>
      </c>
      <c r="E23915">
        <v>1252</v>
      </c>
      <c r="F23915">
        <v>291</v>
      </c>
      <c r="G23915">
        <v>42</v>
      </c>
      <c r="H23915">
        <v>15</v>
      </c>
      <c r="I23915">
        <v>1242</v>
      </c>
      <c r="J23915">
        <v>1</v>
      </c>
      <c r="K23915">
        <v>19</v>
      </c>
      <c r="L23915">
        <v>1252</v>
      </c>
      <c r="M23915">
        <v>1</v>
      </c>
      <c r="N23915">
        <v>0</v>
      </c>
      <c r="O23915">
        <v>4994</v>
      </c>
    </row>
    <row r="23916" spans="1:15" x14ac:dyDescent="0.25">
      <c r="A23916" t="s">
        <v>23929</v>
      </c>
      <c r="B23916">
        <v>416</v>
      </c>
      <c r="C23916" s="1" t="str">
        <f>HYPERLINK("http://www.rosaceae.org/gb/gbrowse/malus_x_domestica/?name=MDP0000267409","MDP0000267409")</f>
        <v>MDP0000267409</v>
      </c>
      <c r="D23916">
        <v>31.91</v>
      </c>
      <c r="E23916">
        <v>495</v>
      </c>
      <c r="F23916">
        <v>337</v>
      </c>
      <c r="G23916">
        <v>134</v>
      </c>
      <c r="H23916">
        <v>14</v>
      </c>
      <c r="I23916">
        <v>413</v>
      </c>
      <c r="J23916">
        <v>1</v>
      </c>
      <c r="K23916">
        <v>541</v>
      </c>
      <c r="L23916">
        <v>996</v>
      </c>
      <c r="M23916">
        <v>1</v>
      </c>
      <c r="N23916">
        <v>9.8453300000000004E-42</v>
      </c>
      <c r="O23916">
        <v>426</v>
      </c>
    </row>
    <row r="23917" spans="1:15" x14ac:dyDescent="0.25">
      <c r="A23917" t="s">
        <v>23930</v>
      </c>
      <c r="B23917">
        <v>500</v>
      </c>
      <c r="C23917" s="1" t="str">
        <f>HYPERLINK("http://www.rosaceae.org/gb/gbrowse/malus_x_domestica/?name=MDP0000255134","MDP0000255134")</f>
        <v>MDP0000255134</v>
      </c>
      <c r="D23917">
        <v>30.18</v>
      </c>
      <c r="E23917">
        <v>434</v>
      </c>
      <c r="F23917">
        <v>303</v>
      </c>
      <c r="G23917">
        <v>82</v>
      </c>
      <c r="H23917">
        <v>123</v>
      </c>
      <c r="I23917">
        <v>491</v>
      </c>
      <c r="J23917">
        <v>1</v>
      </c>
      <c r="K23917">
        <v>12</v>
      </c>
      <c r="L23917">
        <v>428</v>
      </c>
      <c r="M23917">
        <v>1</v>
      </c>
      <c r="N23917">
        <v>5.5560699999999997E-36</v>
      </c>
      <c r="O23917">
        <v>377</v>
      </c>
    </row>
    <row r="23918" spans="1:15" x14ac:dyDescent="0.25">
      <c r="A23918" t="s">
        <v>23931</v>
      </c>
      <c r="B23918">
        <v>593</v>
      </c>
      <c r="C23918" s="1" t="str">
        <f>HYPERLINK("http://www.rosaceae.org/gb/gbrowse/malus_x_domestica/?name=MDP0000190369","MDP0000190369")</f>
        <v>MDP0000190369</v>
      </c>
      <c r="D23918">
        <v>28.82</v>
      </c>
      <c r="E23918">
        <v>621</v>
      </c>
      <c r="F23918">
        <v>442</v>
      </c>
      <c r="G23918">
        <v>222</v>
      </c>
      <c r="H23918">
        <v>182</v>
      </c>
      <c r="I23918">
        <v>584</v>
      </c>
      <c r="J23918">
        <v>1</v>
      </c>
      <c r="K23918">
        <v>640</v>
      </c>
      <c r="L23918">
        <v>1256</v>
      </c>
      <c r="M23918">
        <v>1</v>
      </c>
      <c r="N23918">
        <v>8.6898399999999997E-42</v>
      </c>
      <c r="O23918">
        <v>428</v>
      </c>
    </row>
    <row r="23919" spans="1:15" x14ac:dyDescent="0.25">
      <c r="A23919" t="s">
        <v>23932</v>
      </c>
      <c r="B23919">
        <v>348</v>
      </c>
      <c r="C23919" s="1" t="str">
        <f>HYPERLINK("http://www.rosaceae.org/gb/gbrowse/malus_x_domestica/?name=MDP0000240385","MDP0000240385")</f>
        <v>MDP0000240385</v>
      </c>
      <c r="D23919">
        <v>32</v>
      </c>
      <c r="E23919">
        <v>100</v>
      </c>
      <c r="F23919">
        <v>68</v>
      </c>
      <c r="G23919">
        <v>7</v>
      </c>
      <c r="H23919">
        <v>23</v>
      </c>
      <c r="I23919">
        <v>122</v>
      </c>
      <c r="J23919">
        <v>1</v>
      </c>
      <c r="K23919">
        <v>41</v>
      </c>
      <c r="L23919">
        <v>133</v>
      </c>
      <c r="M23919">
        <v>1</v>
      </c>
      <c r="N23919">
        <v>3.54032E-7</v>
      </c>
      <c r="O23919">
        <v>127</v>
      </c>
    </row>
    <row r="23920" spans="1:15" x14ac:dyDescent="0.25">
      <c r="A23920" t="s">
        <v>23933</v>
      </c>
      <c r="B23920">
        <v>453</v>
      </c>
      <c r="C23920" s="1" t="str">
        <f>HYPERLINK("http://www.rosaceae.org/gb/gbrowse/malus_x_domestica/?name=MDP0000593263","MDP0000593263")</f>
        <v>MDP0000593263</v>
      </c>
      <c r="D23920">
        <v>73.87</v>
      </c>
      <c r="E23920">
        <v>444</v>
      </c>
      <c r="F23920">
        <v>116</v>
      </c>
      <c r="G23920">
        <v>10</v>
      </c>
      <c r="H23920">
        <v>6</v>
      </c>
      <c r="I23920">
        <v>441</v>
      </c>
      <c r="J23920">
        <v>1</v>
      </c>
      <c r="K23920">
        <v>5</v>
      </c>
      <c r="L23920">
        <v>446</v>
      </c>
      <c r="M23920">
        <v>1</v>
      </c>
      <c r="N23920">
        <v>0</v>
      </c>
      <c r="O23920">
        <v>1739</v>
      </c>
    </row>
    <row r="23921" spans="1:15" x14ac:dyDescent="0.25">
      <c r="A23921" t="s">
        <v>23934</v>
      </c>
      <c r="B23921">
        <v>422</v>
      </c>
      <c r="C23921" s="1" t="str">
        <f>HYPERLINK("http://www.rosaceae.org/gb/gbrowse/malus_x_domestica/?name=MDP0000535151","MDP0000535151")</f>
        <v>MDP0000535151</v>
      </c>
      <c r="D23921">
        <v>90.41</v>
      </c>
      <c r="E23921">
        <v>292</v>
      </c>
      <c r="F23921">
        <v>28</v>
      </c>
      <c r="G23921">
        <v>0</v>
      </c>
      <c r="H23921">
        <v>81</v>
      </c>
      <c r="I23921">
        <v>372</v>
      </c>
      <c r="J23921">
        <v>1</v>
      </c>
      <c r="K23921">
        <v>31</v>
      </c>
      <c r="L23921">
        <v>322</v>
      </c>
      <c r="M23921">
        <v>1</v>
      </c>
      <c r="N23921">
        <v>1.6542900000000001E-159</v>
      </c>
      <c r="O23921">
        <v>1441</v>
      </c>
    </row>
    <row r="23922" spans="1:15" x14ac:dyDescent="0.25">
      <c r="A23922" t="s">
        <v>23935</v>
      </c>
      <c r="B23922">
        <v>1101</v>
      </c>
      <c r="C23922" s="1" t="str">
        <f>HYPERLINK("http://www.rosaceae.org/gb/gbrowse/malus_x_domestica/?name=MDP0000276328","MDP0000276328")</f>
        <v>MDP0000276328</v>
      </c>
      <c r="D23922">
        <v>67.150000000000006</v>
      </c>
      <c r="E23922">
        <v>542</v>
      </c>
      <c r="F23922">
        <v>178</v>
      </c>
      <c r="G23922">
        <v>40</v>
      </c>
      <c r="H23922">
        <v>578</v>
      </c>
      <c r="I23922">
        <v>1086</v>
      </c>
      <c r="J23922">
        <v>1</v>
      </c>
      <c r="K23922">
        <v>386</v>
      </c>
      <c r="L23922">
        <v>920</v>
      </c>
      <c r="M23922">
        <v>1</v>
      </c>
      <c r="N23922">
        <v>0</v>
      </c>
      <c r="O23922">
        <v>1816</v>
      </c>
    </row>
    <row r="23923" spans="1:15" x14ac:dyDescent="0.25">
      <c r="A23923" t="s">
        <v>23936</v>
      </c>
      <c r="B23923">
        <v>630</v>
      </c>
      <c r="C23923" s="1" t="str">
        <f>HYPERLINK("http://www.rosaceae.org/gb/gbrowse/malus_x_domestica/?name=MDP0000235170","MDP0000235170")</f>
        <v>MDP0000235170</v>
      </c>
      <c r="D23923">
        <v>72.75</v>
      </c>
      <c r="E23923">
        <v>624</v>
      </c>
      <c r="F23923">
        <v>170</v>
      </c>
      <c r="G23923">
        <v>5</v>
      </c>
      <c r="H23923">
        <v>1</v>
      </c>
      <c r="I23923">
        <v>623</v>
      </c>
      <c r="J23923">
        <v>1</v>
      </c>
      <c r="K23923">
        <v>1</v>
      </c>
      <c r="L23923">
        <v>620</v>
      </c>
      <c r="M23923">
        <v>1</v>
      </c>
      <c r="N23923">
        <v>0</v>
      </c>
      <c r="O23923">
        <v>2474</v>
      </c>
    </row>
    <row r="23924" spans="1:15" x14ac:dyDescent="0.25">
      <c r="A23924" t="s">
        <v>23937</v>
      </c>
      <c r="B23924">
        <v>612</v>
      </c>
      <c r="C23924" s="1" t="str">
        <f>HYPERLINK("http://www.rosaceae.org/gb/gbrowse/malus_x_domestica/?name=MDP0000459828","MDP0000459828")</f>
        <v>MDP0000459828</v>
      </c>
      <c r="D23924">
        <v>73.489999999999995</v>
      </c>
      <c r="E23924">
        <v>566</v>
      </c>
      <c r="F23924">
        <v>150</v>
      </c>
      <c r="G23924">
        <v>12</v>
      </c>
      <c r="H23924">
        <v>49</v>
      </c>
      <c r="I23924">
        <v>612</v>
      </c>
      <c r="J23924">
        <v>1</v>
      </c>
      <c r="K23924">
        <v>4</v>
      </c>
      <c r="L23924">
        <v>559</v>
      </c>
      <c r="M23924">
        <v>1</v>
      </c>
      <c r="N23924">
        <v>0</v>
      </c>
      <c r="O23924">
        <v>2210</v>
      </c>
    </row>
    <row r="23925" spans="1:15" x14ac:dyDescent="0.25">
      <c r="A23925" t="s">
        <v>23938</v>
      </c>
      <c r="B23925">
        <v>413</v>
      </c>
      <c r="C23925" s="1" t="str">
        <f>HYPERLINK("http://www.rosaceae.org/gb/gbrowse/malus_x_domestica/?name=MDP0000226874","MDP0000226874")</f>
        <v>MDP0000226874</v>
      </c>
      <c r="D23925">
        <v>90.12</v>
      </c>
      <c r="E23925">
        <v>405</v>
      </c>
      <c r="F23925">
        <v>40</v>
      </c>
      <c r="G23925">
        <v>0</v>
      </c>
      <c r="H23925">
        <v>1</v>
      </c>
      <c r="I23925">
        <v>405</v>
      </c>
      <c r="J23925">
        <v>1</v>
      </c>
      <c r="K23925">
        <v>1</v>
      </c>
      <c r="L23925">
        <v>405</v>
      </c>
      <c r="M23925">
        <v>1</v>
      </c>
      <c r="N23925">
        <v>0</v>
      </c>
      <c r="O23925">
        <v>1962</v>
      </c>
    </row>
    <row r="23926" spans="1:15" x14ac:dyDescent="0.25">
      <c r="A23926" t="s">
        <v>23939</v>
      </c>
      <c r="B23926">
        <v>1102</v>
      </c>
      <c r="C23926" s="1" t="str">
        <f>HYPERLINK("http://www.rosaceae.org/gb/gbrowse/malus_x_domestica/?name=MDP0000641838","MDP0000641838")</f>
        <v>MDP0000641838</v>
      </c>
      <c r="D23926">
        <v>65.400000000000006</v>
      </c>
      <c r="E23926">
        <v>1107</v>
      </c>
      <c r="F23926">
        <v>383</v>
      </c>
      <c r="G23926">
        <v>8</v>
      </c>
      <c r="H23926">
        <v>1</v>
      </c>
      <c r="I23926">
        <v>1102</v>
      </c>
      <c r="J23926">
        <v>1</v>
      </c>
      <c r="K23926">
        <v>100</v>
      </c>
      <c r="L23926">
        <v>1203</v>
      </c>
      <c r="M23926">
        <v>1</v>
      </c>
      <c r="N23926">
        <v>0</v>
      </c>
      <c r="O23926">
        <v>3690</v>
      </c>
    </row>
    <row r="23927" spans="1:15" x14ac:dyDescent="0.25">
      <c r="A23927" t="s">
        <v>23940</v>
      </c>
      <c r="B23927">
        <v>175</v>
      </c>
      <c r="C23927" s="1" t="str">
        <f>HYPERLINK("http://www.rosaceae.org/gb/gbrowse/malus_x_domestica/?name=MDP0000773502","MDP0000773502")</f>
        <v>MDP0000773502</v>
      </c>
      <c r="D23927">
        <v>87</v>
      </c>
      <c r="E23927">
        <v>100</v>
      </c>
      <c r="F23927">
        <v>13</v>
      </c>
      <c r="G23927">
        <v>1</v>
      </c>
      <c r="H23927">
        <v>23</v>
      </c>
      <c r="I23927">
        <v>121</v>
      </c>
      <c r="J23927">
        <v>1</v>
      </c>
      <c r="K23927">
        <v>238</v>
      </c>
      <c r="L23927">
        <v>337</v>
      </c>
      <c r="M23927">
        <v>1</v>
      </c>
      <c r="N23927">
        <v>3.3744899999999998E-39</v>
      </c>
      <c r="O23927">
        <v>399</v>
      </c>
    </row>
    <row r="23928" spans="1:15" x14ac:dyDescent="0.25">
      <c r="A23928" t="s">
        <v>23941</v>
      </c>
      <c r="B23928">
        <v>431</v>
      </c>
      <c r="C23928" s="1" t="str">
        <f>HYPERLINK("http://www.rosaceae.org/gb/gbrowse/malus_x_domestica/?name=MDP0000179049","MDP0000179049")</f>
        <v>MDP0000179049</v>
      </c>
      <c r="D23928">
        <v>63.45</v>
      </c>
      <c r="E23928">
        <v>446</v>
      </c>
      <c r="F23928">
        <v>163</v>
      </c>
      <c r="G23928">
        <v>28</v>
      </c>
      <c r="H23928">
        <v>1</v>
      </c>
      <c r="I23928">
        <v>431</v>
      </c>
      <c r="J23928">
        <v>1</v>
      </c>
      <c r="K23928">
        <v>1</v>
      </c>
      <c r="L23928">
        <v>433</v>
      </c>
      <c r="M23928">
        <v>1</v>
      </c>
      <c r="N23928">
        <v>3.6439099999999999E-151</v>
      </c>
      <c r="O23928">
        <v>1369</v>
      </c>
    </row>
    <row r="23929" spans="1:15" x14ac:dyDescent="0.25">
      <c r="A23929" t="s">
        <v>23942</v>
      </c>
      <c r="B23929">
        <v>1012</v>
      </c>
      <c r="C23929" s="1" t="str">
        <f>HYPERLINK("http://www.rosaceae.org/gb/gbrowse/malus_x_domestica/?name=MDP0000666176","MDP0000666176")</f>
        <v>MDP0000666176</v>
      </c>
      <c r="D23929">
        <v>78.09</v>
      </c>
      <c r="E23929">
        <v>986</v>
      </c>
      <c r="F23929">
        <v>216</v>
      </c>
      <c r="G23929">
        <v>2</v>
      </c>
      <c r="H23929">
        <v>28</v>
      </c>
      <c r="I23929">
        <v>1012</v>
      </c>
      <c r="J23929">
        <v>1</v>
      </c>
      <c r="K23929">
        <v>1</v>
      </c>
      <c r="L23929">
        <v>985</v>
      </c>
      <c r="M23929">
        <v>1</v>
      </c>
      <c r="N23929">
        <v>0</v>
      </c>
      <c r="O23929">
        <v>4112</v>
      </c>
    </row>
    <row r="23930" spans="1:15" x14ac:dyDescent="0.25">
      <c r="A23930" t="s">
        <v>23943</v>
      </c>
      <c r="B23930">
        <v>786</v>
      </c>
      <c r="C23930" s="1" t="str">
        <f>HYPERLINK("http://www.rosaceae.org/gb/gbrowse/malus_x_domestica/?name=MDP0000217823","MDP0000217823")</f>
        <v>MDP0000217823</v>
      </c>
      <c r="D23930">
        <v>51.2</v>
      </c>
      <c r="E23930">
        <v>869</v>
      </c>
      <c r="F23930">
        <v>424</v>
      </c>
      <c r="G23930">
        <v>94</v>
      </c>
      <c r="H23930">
        <v>1</v>
      </c>
      <c r="I23930">
        <v>785</v>
      </c>
      <c r="J23930">
        <v>1</v>
      </c>
      <c r="K23930">
        <v>4</v>
      </c>
      <c r="L23930">
        <v>862</v>
      </c>
      <c r="M23930">
        <v>1</v>
      </c>
      <c r="N23930">
        <v>0</v>
      </c>
      <c r="O23930">
        <v>1978</v>
      </c>
    </row>
    <row r="23931" spans="1:15" x14ac:dyDescent="0.25">
      <c r="A23931" t="s">
        <v>23944</v>
      </c>
      <c r="B23931">
        <v>927</v>
      </c>
      <c r="C23931" s="1" t="str">
        <f>HYPERLINK("http://www.rosaceae.org/gb/gbrowse/malus_x_domestica/?name=MDP0000184989","MDP0000184989")</f>
        <v>MDP0000184989</v>
      </c>
      <c r="D23931">
        <v>57.17</v>
      </c>
      <c r="E23931">
        <v>836</v>
      </c>
      <c r="F23931">
        <v>358</v>
      </c>
      <c r="G23931">
        <v>53</v>
      </c>
      <c r="H23931">
        <v>31</v>
      </c>
      <c r="I23931">
        <v>840</v>
      </c>
      <c r="J23931">
        <v>1</v>
      </c>
      <c r="K23931">
        <v>30</v>
      </c>
      <c r="L23931">
        <v>838</v>
      </c>
      <c r="M23931">
        <v>1</v>
      </c>
      <c r="N23931">
        <v>0</v>
      </c>
      <c r="O23931">
        <v>2222</v>
      </c>
    </row>
    <row r="23932" spans="1:15" x14ac:dyDescent="0.25">
      <c r="A23932" t="s">
        <v>23945</v>
      </c>
      <c r="B23932">
        <v>326</v>
      </c>
      <c r="C23932" s="1" t="str">
        <f>HYPERLINK("http://www.rosaceae.org/gb/gbrowse/malus_x_domestica/?name=MDP0000695033","MDP0000695033")</f>
        <v>MDP0000695033</v>
      </c>
      <c r="D23932">
        <v>74.84</v>
      </c>
      <c r="E23932">
        <v>318</v>
      </c>
      <c r="F23932">
        <v>80</v>
      </c>
      <c r="G23932">
        <v>0</v>
      </c>
      <c r="H23932">
        <v>8</v>
      </c>
      <c r="I23932">
        <v>325</v>
      </c>
      <c r="J23932">
        <v>1</v>
      </c>
      <c r="K23932">
        <v>129</v>
      </c>
      <c r="L23932">
        <v>446</v>
      </c>
      <c r="M23932">
        <v>1</v>
      </c>
      <c r="N23932">
        <v>5.3231399999999996E-145</v>
      </c>
      <c r="O23932">
        <v>1315</v>
      </c>
    </row>
    <row r="23933" spans="1:15" x14ac:dyDescent="0.25">
      <c r="A23933" t="s">
        <v>23946</v>
      </c>
      <c r="B23933">
        <v>497</v>
      </c>
      <c r="C23933" s="1" t="str">
        <f>HYPERLINK("http://www.rosaceae.org/gb/gbrowse/malus_x_domestica/?name=MDP0000190369","MDP0000190369")</f>
        <v>MDP0000190369</v>
      </c>
      <c r="D23933">
        <v>47.71</v>
      </c>
      <c r="E23933">
        <v>153</v>
      </c>
      <c r="F23933">
        <v>80</v>
      </c>
      <c r="G23933">
        <v>30</v>
      </c>
      <c r="H23933">
        <v>206</v>
      </c>
      <c r="I23933">
        <v>332</v>
      </c>
      <c r="J23933">
        <v>1</v>
      </c>
      <c r="K23933">
        <v>652</v>
      </c>
      <c r="L23933">
        <v>800</v>
      </c>
      <c r="M23933">
        <v>1</v>
      </c>
      <c r="N23933">
        <v>7.9916099999999998E-22</v>
      </c>
      <c r="O23933">
        <v>255</v>
      </c>
    </row>
    <row r="23934" spans="1:15" x14ac:dyDescent="0.25">
      <c r="A23934" t="s">
        <v>23947</v>
      </c>
      <c r="B23934">
        <v>615</v>
      </c>
      <c r="C23934" s="1" t="str">
        <f>HYPERLINK("http://www.rosaceae.org/gb/gbrowse/malus_x_domestica/?name=MDP0000263256","MDP0000263256")</f>
        <v>MDP0000263256</v>
      </c>
      <c r="D23934">
        <v>33.049999999999997</v>
      </c>
      <c r="E23934">
        <v>360</v>
      </c>
      <c r="F23934">
        <v>241</v>
      </c>
      <c r="G23934">
        <v>49</v>
      </c>
      <c r="H23934">
        <v>173</v>
      </c>
      <c r="I23934">
        <v>503</v>
      </c>
      <c r="J23934">
        <v>1</v>
      </c>
      <c r="K23934">
        <v>398</v>
      </c>
      <c r="L23934">
        <v>737</v>
      </c>
      <c r="M23934">
        <v>1</v>
      </c>
      <c r="N23934">
        <v>6.9162299999999995E-33</v>
      </c>
      <c r="O23934">
        <v>351</v>
      </c>
    </row>
    <row r="23935" spans="1:15" x14ac:dyDescent="0.25">
      <c r="A23935" t="s">
        <v>23948</v>
      </c>
      <c r="B23935">
        <v>674</v>
      </c>
      <c r="C23935" s="1" t="str">
        <f>HYPERLINK("http://www.rosaceae.org/gb/gbrowse/malus_x_domestica/?name=MDP0000156675","MDP0000156675")</f>
        <v>MDP0000156675</v>
      </c>
      <c r="D23935">
        <v>65.150000000000006</v>
      </c>
      <c r="E23935">
        <v>663</v>
      </c>
      <c r="F23935">
        <v>231</v>
      </c>
      <c r="G23935">
        <v>100</v>
      </c>
      <c r="H23935">
        <v>1</v>
      </c>
      <c r="I23935">
        <v>608</v>
      </c>
      <c r="J23935">
        <v>1</v>
      </c>
      <c r="K23935">
        <v>1</v>
      </c>
      <c r="L23935">
        <v>618</v>
      </c>
      <c r="M23935">
        <v>1</v>
      </c>
      <c r="N23935">
        <v>0</v>
      </c>
      <c r="O23935">
        <v>2135</v>
      </c>
    </row>
    <row r="23936" spans="1:15" x14ac:dyDescent="0.25">
      <c r="A23936" t="s">
        <v>23949</v>
      </c>
      <c r="B23936">
        <v>907</v>
      </c>
      <c r="C23936" s="1" t="str">
        <f>HYPERLINK("http://www.rosaceae.org/gb/gbrowse/malus_x_domestica/?name=MDP0000584547","MDP0000584547")</f>
        <v>MDP0000584547</v>
      </c>
      <c r="D23936">
        <v>66.290000000000006</v>
      </c>
      <c r="E23936">
        <v>887</v>
      </c>
      <c r="F23936">
        <v>299</v>
      </c>
      <c r="G23936">
        <v>34</v>
      </c>
      <c r="H23936">
        <v>1</v>
      </c>
      <c r="I23936">
        <v>877</v>
      </c>
      <c r="J23936">
        <v>1</v>
      </c>
      <c r="K23936">
        <v>64</v>
      </c>
      <c r="L23936">
        <v>926</v>
      </c>
      <c r="M23936">
        <v>1</v>
      </c>
      <c r="N23936">
        <v>0</v>
      </c>
      <c r="O23936">
        <v>2920</v>
      </c>
    </row>
    <row r="23937" spans="1:15" x14ac:dyDescent="0.25">
      <c r="A23937" t="s">
        <v>23950</v>
      </c>
      <c r="B23937">
        <v>77</v>
      </c>
      <c r="C23937" s="1" t="str">
        <f>HYPERLINK("http://www.rosaceae.org/gb/gbrowse/malus_x_domestica/?name=MDP0000297821","MDP0000297821")</f>
        <v>MDP0000297821</v>
      </c>
      <c r="D23937">
        <v>68.05</v>
      </c>
      <c r="E23937">
        <v>72</v>
      </c>
      <c r="F23937">
        <v>23</v>
      </c>
      <c r="G23937">
        <v>0</v>
      </c>
      <c r="H23937">
        <v>3</v>
      </c>
      <c r="I23937">
        <v>74</v>
      </c>
      <c r="J23937">
        <v>1</v>
      </c>
      <c r="K23937">
        <v>5</v>
      </c>
      <c r="L23937">
        <v>76</v>
      </c>
      <c r="M23937">
        <v>1</v>
      </c>
      <c r="N23937">
        <v>1.4732600000000001E-22</v>
      </c>
      <c r="O23937">
        <v>252</v>
      </c>
    </row>
    <row r="23938" spans="1:15" x14ac:dyDescent="0.25">
      <c r="A23938" t="s">
        <v>23951</v>
      </c>
      <c r="B23938">
        <v>167</v>
      </c>
      <c r="C23938" s="1" t="str">
        <f>HYPERLINK("http://www.rosaceae.org/gb/gbrowse/malus_x_domestica/?name=MDP0000182690","MDP0000182690")</f>
        <v>MDP0000182690</v>
      </c>
      <c r="D23938">
        <v>39.04</v>
      </c>
      <c r="E23938">
        <v>105</v>
      </c>
      <c r="F23938">
        <v>64</v>
      </c>
      <c r="G23938">
        <v>10</v>
      </c>
      <c r="H23938">
        <v>15</v>
      </c>
      <c r="I23938">
        <v>109</v>
      </c>
      <c r="J23938">
        <v>1</v>
      </c>
      <c r="K23938">
        <v>212</v>
      </c>
      <c r="L23938">
        <v>316</v>
      </c>
      <c r="M23938">
        <v>1</v>
      </c>
      <c r="N23938">
        <v>3.2376300000000001E-15</v>
      </c>
      <c r="O23938">
        <v>191</v>
      </c>
    </row>
    <row r="23939" spans="1:15" x14ac:dyDescent="0.25">
      <c r="A23939" t="s">
        <v>23952</v>
      </c>
      <c r="B23939">
        <v>314</v>
      </c>
      <c r="C23939" s="1" t="str">
        <f>HYPERLINK("http://www.rosaceae.org/gb/gbrowse/malus_x_domestica/?name=MDP0000933110","MDP0000933110")</f>
        <v>MDP0000933110</v>
      </c>
      <c r="D23939">
        <v>53.41</v>
      </c>
      <c r="E23939">
        <v>337</v>
      </c>
      <c r="F23939">
        <v>157</v>
      </c>
      <c r="G23939">
        <v>38</v>
      </c>
      <c r="H23939">
        <v>1</v>
      </c>
      <c r="I23939">
        <v>314</v>
      </c>
      <c r="J23939">
        <v>1</v>
      </c>
      <c r="K23939">
        <v>1</v>
      </c>
      <c r="L23939">
        <v>322</v>
      </c>
      <c r="M23939">
        <v>1</v>
      </c>
      <c r="N23939">
        <v>3.3590999999999999E-74</v>
      </c>
      <c r="O23939">
        <v>704</v>
      </c>
    </row>
    <row r="23940" spans="1:15" x14ac:dyDescent="0.25">
      <c r="A23940" t="s">
        <v>23953</v>
      </c>
      <c r="B23940">
        <v>615</v>
      </c>
      <c r="C23940" s="1" t="str">
        <f>HYPERLINK("http://www.rosaceae.org/gb/gbrowse/malus_x_domestica/?name=MDP0000321294","MDP0000321294")</f>
        <v>MDP0000321294</v>
      </c>
      <c r="D23940">
        <v>40.82</v>
      </c>
      <c r="E23940">
        <v>316</v>
      </c>
      <c r="F23940">
        <v>187</v>
      </c>
      <c r="G23940">
        <v>42</v>
      </c>
      <c r="H23940">
        <v>14</v>
      </c>
      <c r="I23940">
        <v>293</v>
      </c>
      <c r="J23940">
        <v>1</v>
      </c>
      <c r="K23940">
        <v>75</v>
      </c>
      <c r="L23940">
        <v>384</v>
      </c>
      <c r="M23940">
        <v>1</v>
      </c>
      <c r="N23940">
        <v>5.8177200000000002E-54</v>
      </c>
      <c r="O23940">
        <v>533</v>
      </c>
    </row>
    <row r="23941" spans="1:15" x14ac:dyDescent="0.25">
      <c r="A23941" t="s">
        <v>23954</v>
      </c>
      <c r="B23941">
        <v>193</v>
      </c>
      <c r="C23941" s="1" t="str">
        <f>HYPERLINK("http://www.rosaceae.org/gb/gbrowse/malus_x_domestica/?name=MDP0000243328","MDP0000243328")</f>
        <v>MDP0000243328</v>
      </c>
      <c r="D23941">
        <v>45.18</v>
      </c>
      <c r="E23941">
        <v>166</v>
      </c>
      <c r="F23941">
        <v>91</v>
      </c>
      <c r="G23941">
        <v>25</v>
      </c>
      <c r="H23941">
        <v>33</v>
      </c>
      <c r="I23941">
        <v>174</v>
      </c>
      <c r="J23941">
        <v>1</v>
      </c>
      <c r="K23941">
        <v>20</v>
      </c>
      <c r="L23941">
        <v>184</v>
      </c>
      <c r="M23941">
        <v>1</v>
      </c>
      <c r="N23941">
        <v>1.5579700000000001E-35</v>
      </c>
      <c r="O23941">
        <v>368</v>
      </c>
    </row>
    <row r="23942" spans="1:15" x14ac:dyDescent="0.25">
      <c r="A23942" t="s">
        <v>23955</v>
      </c>
      <c r="B23942">
        <v>152</v>
      </c>
      <c r="C23942" s="1" t="str">
        <f>HYPERLINK("http://www.rosaceae.org/gb/gbrowse/malus_x_domestica/?name=MDP0000267759","MDP0000267759")</f>
        <v>MDP0000267759</v>
      </c>
      <c r="D23942">
        <v>71.64</v>
      </c>
      <c r="E23942">
        <v>67</v>
      </c>
      <c r="F23942">
        <v>19</v>
      </c>
      <c r="G23942">
        <v>0</v>
      </c>
      <c r="H23942">
        <v>86</v>
      </c>
      <c r="I23942">
        <v>152</v>
      </c>
      <c r="J23942">
        <v>1</v>
      </c>
      <c r="K23942">
        <v>221</v>
      </c>
      <c r="L23942">
        <v>287</v>
      </c>
      <c r="M23942">
        <v>1</v>
      </c>
      <c r="N23942">
        <v>6.5954699999999996E-25</v>
      </c>
      <c r="O23942">
        <v>274</v>
      </c>
    </row>
    <row r="23943" spans="1:15" x14ac:dyDescent="0.25">
      <c r="A23943" t="s">
        <v>23956</v>
      </c>
      <c r="B23943">
        <v>113</v>
      </c>
      <c r="C23943" s="1" t="str">
        <f>HYPERLINK("http://www.rosaceae.org/gb/gbrowse/malus_x_domestica/?name=MDP0000240040","MDP0000240040")</f>
        <v>MDP0000240040</v>
      </c>
      <c r="D23943">
        <v>85.29</v>
      </c>
      <c r="E23943">
        <v>68</v>
      </c>
      <c r="F23943">
        <v>10</v>
      </c>
      <c r="G23943">
        <v>0</v>
      </c>
      <c r="H23943">
        <v>1</v>
      </c>
      <c r="I23943">
        <v>68</v>
      </c>
      <c r="J23943">
        <v>1</v>
      </c>
      <c r="K23943">
        <v>207</v>
      </c>
      <c r="L23943">
        <v>274</v>
      </c>
      <c r="M23943">
        <v>1</v>
      </c>
      <c r="N23943">
        <v>3.1910600000000002E-31</v>
      </c>
      <c r="O23943">
        <v>327</v>
      </c>
    </row>
    <row r="23944" spans="1:15" x14ac:dyDescent="0.25">
      <c r="A23944" t="s">
        <v>23957</v>
      </c>
      <c r="B23944">
        <v>106</v>
      </c>
      <c r="C23944" s="1" t="str">
        <f>HYPERLINK("http://www.rosaceae.org/gb/gbrowse/malus_x_domestica/?name=MDP0000601325","MDP0000601325")</f>
        <v>MDP0000601325</v>
      </c>
      <c r="D23944">
        <v>52.12</v>
      </c>
      <c r="E23944">
        <v>94</v>
      </c>
      <c r="F23944">
        <v>45</v>
      </c>
      <c r="G23944">
        <v>26</v>
      </c>
      <c r="H23944">
        <v>1</v>
      </c>
      <c r="I23944">
        <v>94</v>
      </c>
      <c r="J23944">
        <v>1</v>
      </c>
      <c r="K23944">
        <v>71</v>
      </c>
      <c r="L23944">
        <v>138</v>
      </c>
      <c r="M23944">
        <v>1</v>
      </c>
      <c r="N23944">
        <v>3.41387E-18</v>
      </c>
      <c r="O23944">
        <v>214</v>
      </c>
    </row>
    <row r="23945" spans="1:15" x14ac:dyDescent="0.25">
      <c r="A23945" t="s">
        <v>23958</v>
      </c>
      <c r="B23945">
        <v>415</v>
      </c>
      <c r="C23945" s="1" t="str">
        <f>HYPERLINK("http://www.rosaceae.org/gb/gbrowse/malus_x_domestica/?name=MDP0000237556","MDP0000237556")</f>
        <v>MDP0000237556</v>
      </c>
      <c r="D23945">
        <v>67.63</v>
      </c>
      <c r="E23945">
        <v>377</v>
      </c>
      <c r="F23945">
        <v>122</v>
      </c>
      <c r="G23945">
        <v>37</v>
      </c>
      <c r="H23945">
        <v>35</v>
      </c>
      <c r="I23945">
        <v>384</v>
      </c>
      <c r="J23945">
        <v>1</v>
      </c>
      <c r="K23945">
        <v>34</v>
      </c>
      <c r="L23945">
        <v>400</v>
      </c>
      <c r="M23945">
        <v>1</v>
      </c>
      <c r="N23945">
        <v>2.0892199999999999E-140</v>
      </c>
      <c r="O23945">
        <v>1276</v>
      </c>
    </row>
    <row r="23946" spans="1:15" x14ac:dyDescent="0.25">
      <c r="A23946" t="s">
        <v>23959</v>
      </c>
      <c r="B23946">
        <v>117</v>
      </c>
      <c r="C23946" s="1" t="str">
        <f>HYPERLINK("http://www.rosaceae.org/gb/gbrowse/malus_x_domestica/?name=MDP0000726143","MDP0000726143")</f>
        <v>MDP0000726143</v>
      </c>
      <c r="D23946">
        <v>57.98</v>
      </c>
      <c r="E23946">
        <v>119</v>
      </c>
      <c r="F23946">
        <v>50</v>
      </c>
      <c r="G23946">
        <v>14</v>
      </c>
      <c r="H23946">
        <v>10</v>
      </c>
      <c r="I23946">
        <v>116</v>
      </c>
      <c r="J23946">
        <v>1</v>
      </c>
      <c r="K23946">
        <v>12</v>
      </c>
      <c r="L23946">
        <v>128</v>
      </c>
      <c r="M23946">
        <v>1</v>
      </c>
      <c r="N23946">
        <v>1.60109E-31</v>
      </c>
      <c r="O23946">
        <v>329</v>
      </c>
    </row>
    <row r="23947" spans="1:15" x14ac:dyDescent="0.25">
      <c r="A23947" t="s">
        <v>23960</v>
      </c>
      <c r="B23947">
        <v>398</v>
      </c>
      <c r="C23947" s="1" t="str">
        <f>HYPERLINK("http://www.rosaceae.org/gb/gbrowse/malus_x_domestica/?name=MDP0000005389","MDP0000005389")</f>
        <v>MDP0000005389</v>
      </c>
      <c r="D23947">
        <v>86.18</v>
      </c>
      <c r="E23947">
        <v>398</v>
      </c>
      <c r="F23947">
        <v>55</v>
      </c>
      <c r="G23947">
        <v>3</v>
      </c>
      <c r="H23947">
        <v>1</v>
      </c>
      <c r="I23947">
        <v>398</v>
      </c>
      <c r="J23947">
        <v>1</v>
      </c>
      <c r="K23947">
        <v>1</v>
      </c>
      <c r="L23947">
        <v>395</v>
      </c>
      <c r="M23947">
        <v>1</v>
      </c>
      <c r="N23947">
        <v>0</v>
      </c>
      <c r="O23947">
        <v>1812</v>
      </c>
    </row>
    <row r="23948" spans="1:15" x14ac:dyDescent="0.25">
      <c r="A23948" t="s">
        <v>23961</v>
      </c>
      <c r="B23948">
        <v>485</v>
      </c>
      <c r="C23948" s="1" t="str">
        <f>HYPERLINK("http://www.rosaceae.org/gb/gbrowse/malus_x_domestica/?name=MDP0000828170","MDP0000828170")</f>
        <v>MDP0000828170</v>
      </c>
      <c r="D23948">
        <v>87.42</v>
      </c>
      <c r="E23948">
        <v>350</v>
      </c>
      <c r="F23948">
        <v>44</v>
      </c>
      <c r="G23948">
        <v>0</v>
      </c>
      <c r="H23948">
        <v>136</v>
      </c>
      <c r="I23948">
        <v>485</v>
      </c>
      <c r="J23948">
        <v>1</v>
      </c>
      <c r="K23948">
        <v>6</v>
      </c>
      <c r="L23948">
        <v>355</v>
      </c>
      <c r="M23948">
        <v>1</v>
      </c>
      <c r="N23948">
        <v>0</v>
      </c>
      <c r="O23948">
        <v>1685</v>
      </c>
    </row>
    <row r="23949" spans="1:15" x14ac:dyDescent="0.25">
      <c r="A23949" t="s">
        <v>23962</v>
      </c>
      <c r="B23949">
        <v>509</v>
      </c>
      <c r="C23949" s="1" t="str">
        <f>HYPERLINK("http://www.rosaceae.org/gb/gbrowse/malus_x_domestica/?name=MDP0000307975","MDP0000307975")</f>
        <v>MDP0000307975</v>
      </c>
      <c r="D23949">
        <v>61.07</v>
      </c>
      <c r="E23949">
        <v>483</v>
      </c>
      <c r="F23949">
        <v>188</v>
      </c>
      <c r="G23949">
        <v>64</v>
      </c>
      <c r="H23949">
        <v>52</v>
      </c>
      <c r="I23949">
        <v>509</v>
      </c>
      <c r="J23949">
        <v>1</v>
      </c>
      <c r="K23949">
        <v>66</v>
      </c>
      <c r="L23949">
        <v>509</v>
      </c>
      <c r="M23949">
        <v>1</v>
      </c>
      <c r="N23949">
        <v>4.1026800000000002E-153</v>
      </c>
      <c r="O23949">
        <v>1387</v>
      </c>
    </row>
    <row r="23950" spans="1:15" x14ac:dyDescent="0.25">
      <c r="A23950" t="s">
        <v>23963</v>
      </c>
      <c r="B23950">
        <v>190</v>
      </c>
      <c r="C23950" s="1" t="str">
        <f>HYPERLINK("http://www.rosaceae.org/gb/gbrowse/malus_x_domestica/?name=MDP0000285776","MDP0000285776")</f>
        <v>MDP0000285776</v>
      </c>
      <c r="D23950">
        <v>34.229999999999997</v>
      </c>
      <c r="E23950">
        <v>184</v>
      </c>
      <c r="F23950">
        <v>121</v>
      </c>
      <c r="G23950">
        <v>30</v>
      </c>
      <c r="H23950">
        <v>3</v>
      </c>
      <c r="I23950">
        <v>165</v>
      </c>
      <c r="J23950">
        <v>1</v>
      </c>
      <c r="K23950">
        <v>1394</v>
      </c>
      <c r="L23950">
        <v>1568</v>
      </c>
      <c r="M23950">
        <v>1</v>
      </c>
      <c r="N23950">
        <v>3.8937000000000002E-17</v>
      </c>
      <c r="O23950">
        <v>209</v>
      </c>
    </row>
    <row r="23951" spans="1:15" x14ac:dyDescent="0.25">
      <c r="A23951" t="s">
        <v>23964</v>
      </c>
      <c r="B23951">
        <v>293</v>
      </c>
      <c r="C23951" s="1" t="str">
        <f>HYPERLINK("http://www.rosaceae.org/gb/gbrowse/malus_x_domestica/?name=MDP0000951395","MDP0000951395")</f>
        <v>MDP0000951395</v>
      </c>
      <c r="D23951">
        <v>55.78</v>
      </c>
      <c r="E23951">
        <v>147</v>
      </c>
      <c r="F23951">
        <v>65</v>
      </c>
      <c r="G23951">
        <v>3</v>
      </c>
      <c r="H23951">
        <v>25</v>
      </c>
      <c r="I23951">
        <v>171</v>
      </c>
      <c r="J23951">
        <v>1</v>
      </c>
      <c r="K23951">
        <v>111</v>
      </c>
      <c r="L23951">
        <v>254</v>
      </c>
      <c r="M23951">
        <v>1</v>
      </c>
      <c r="N23951">
        <v>7.8965999999999996E-45</v>
      </c>
      <c r="O23951">
        <v>450</v>
      </c>
    </row>
    <row r="23952" spans="1:15" x14ac:dyDescent="0.25">
      <c r="A23952" t="s">
        <v>23965</v>
      </c>
      <c r="B23952">
        <v>306</v>
      </c>
      <c r="C23952" s="1" t="str">
        <f>HYPERLINK("http://www.rosaceae.org/gb/gbrowse/malus_x_domestica/?name=MDP0000144543","MDP0000144543")</f>
        <v>MDP0000144543</v>
      </c>
      <c r="D23952">
        <v>64.819999999999993</v>
      </c>
      <c r="E23952">
        <v>290</v>
      </c>
      <c r="F23952">
        <v>102</v>
      </c>
      <c r="G23952">
        <v>17</v>
      </c>
      <c r="H23952">
        <v>13</v>
      </c>
      <c r="I23952">
        <v>293</v>
      </c>
      <c r="J23952">
        <v>1</v>
      </c>
      <c r="K23952">
        <v>58</v>
      </c>
      <c r="L23952">
        <v>339</v>
      </c>
      <c r="M23952">
        <v>1</v>
      </c>
      <c r="N23952">
        <v>2.90103E-101</v>
      </c>
      <c r="O23952">
        <v>937</v>
      </c>
    </row>
    <row r="23953" spans="1:15" x14ac:dyDescent="0.25">
      <c r="A23953" t="s">
        <v>23966</v>
      </c>
      <c r="B23953">
        <v>845</v>
      </c>
      <c r="C23953" s="1" t="str">
        <f>HYPERLINK("http://www.rosaceae.org/gb/gbrowse/malus_x_domestica/?name=MDP0000285251","MDP0000285251")</f>
        <v>MDP0000285251</v>
      </c>
      <c r="D23953">
        <v>63.58</v>
      </c>
      <c r="E23953">
        <v>898</v>
      </c>
      <c r="F23953">
        <v>327</v>
      </c>
      <c r="G23953">
        <v>142</v>
      </c>
      <c r="H23953">
        <v>16</v>
      </c>
      <c r="I23953">
        <v>842</v>
      </c>
      <c r="J23953">
        <v>1</v>
      </c>
      <c r="K23953">
        <v>28</v>
      </c>
      <c r="L23953">
        <v>854</v>
      </c>
      <c r="M23953">
        <v>1</v>
      </c>
      <c r="N23953">
        <v>0</v>
      </c>
      <c r="O23953">
        <v>2747</v>
      </c>
    </row>
    <row r="23954" spans="1:15" x14ac:dyDescent="0.25">
      <c r="A23954" t="s">
        <v>23967</v>
      </c>
      <c r="B23954">
        <v>797</v>
      </c>
      <c r="C23954" s="1" t="str">
        <f>HYPERLINK("http://www.rosaceae.org/gb/gbrowse/malus_x_domestica/?name=MDP0000942453","MDP0000942453")</f>
        <v>MDP0000942453</v>
      </c>
      <c r="D23954">
        <v>68.81</v>
      </c>
      <c r="E23954">
        <v>808</v>
      </c>
      <c r="F23954">
        <v>252</v>
      </c>
      <c r="G23954">
        <v>15</v>
      </c>
      <c r="H23954">
        <v>1</v>
      </c>
      <c r="I23954">
        <v>797</v>
      </c>
      <c r="J23954">
        <v>1</v>
      </c>
      <c r="K23954">
        <v>1</v>
      </c>
      <c r="L23954">
        <v>804</v>
      </c>
      <c r="M23954">
        <v>1</v>
      </c>
      <c r="N23954">
        <v>0</v>
      </c>
      <c r="O23954">
        <v>2678</v>
      </c>
    </row>
    <row r="23955" spans="1:15" x14ac:dyDescent="0.25">
      <c r="A23955" t="s">
        <v>23968</v>
      </c>
      <c r="B23955">
        <v>219</v>
      </c>
      <c r="C23955" s="1" t="str">
        <f>HYPERLINK("http://www.rosaceae.org/gb/gbrowse/malus_x_domestica/?name=MDP0000334362","MDP0000334362")</f>
        <v>MDP0000334362</v>
      </c>
      <c r="D23955">
        <v>88.12</v>
      </c>
      <c r="E23955">
        <v>219</v>
      </c>
      <c r="F23955">
        <v>26</v>
      </c>
      <c r="G23955">
        <v>0</v>
      </c>
      <c r="H23955">
        <v>1</v>
      </c>
      <c r="I23955">
        <v>219</v>
      </c>
      <c r="J23955">
        <v>1</v>
      </c>
      <c r="K23955">
        <v>1</v>
      </c>
      <c r="L23955">
        <v>219</v>
      </c>
      <c r="M23955">
        <v>1</v>
      </c>
      <c r="N23955">
        <v>2.7912699999999999E-112</v>
      </c>
      <c r="O23955">
        <v>1030</v>
      </c>
    </row>
    <row r="23956" spans="1:15" x14ac:dyDescent="0.25">
      <c r="A23956" t="s">
        <v>23969</v>
      </c>
      <c r="B23956">
        <v>1137</v>
      </c>
      <c r="C23956" s="1" t="str">
        <f>HYPERLINK("http://www.rosaceae.org/gb/gbrowse/malus_x_domestica/?name=MDP0000781460","MDP0000781460")</f>
        <v>MDP0000781460</v>
      </c>
      <c r="D23956">
        <v>87.71</v>
      </c>
      <c r="E23956">
        <v>529</v>
      </c>
      <c r="F23956">
        <v>65</v>
      </c>
      <c r="G23956">
        <v>6</v>
      </c>
      <c r="H23956">
        <v>615</v>
      </c>
      <c r="I23956">
        <v>1137</v>
      </c>
      <c r="J23956">
        <v>1</v>
      </c>
      <c r="K23956">
        <v>65</v>
      </c>
      <c r="L23956">
        <v>593</v>
      </c>
      <c r="M23956">
        <v>1</v>
      </c>
      <c r="N23956">
        <v>0</v>
      </c>
      <c r="O23956">
        <v>2478</v>
      </c>
    </row>
    <row r="23957" spans="1:15" x14ac:dyDescent="0.25">
      <c r="A23957" t="s">
        <v>23970</v>
      </c>
      <c r="B23957">
        <v>495</v>
      </c>
      <c r="C23957" s="1" t="str">
        <f>HYPERLINK("http://www.rosaceae.org/gb/gbrowse/malus_x_domestica/?name=MDP0000150641","MDP0000150641")</f>
        <v>MDP0000150641</v>
      </c>
      <c r="D23957">
        <v>36.409999999999997</v>
      </c>
      <c r="E23957">
        <v>368</v>
      </c>
      <c r="F23957">
        <v>234</v>
      </c>
      <c r="G23957">
        <v>45</v>
      </c>
      <c r="H23957">
        <v>144</v>
      </c>
      <c r="I23957">
        <v>483</v>
      </c>
      <c r="J23957">
        <v>1</v>
      </c>
      <c r="K23957">
        <v>73</v>
      </c>
      <c r="L23957">
        <v>423</v>
      </c>
      <c r="M23957">
        <v>1</v>
      </c>
      <c r="N23957">
        <v>1.00539E-46</v>
      </c>
      <c r="O23957">
        <v>469</v>
      </c>
    </row>
    <row r="23958" spans="1:15" x14ac:dyDescent="0.25">
      <c r="A23958" t="s">
        <v>23971</v>
      </c>
      <c r="B23958">
        <v>560</v>
      </c>
      <c r="C23958" s="1" t="str">
        <f>HYPERLINK("http://www.rosaceae.org/gb/gbrowse/malus_x_domestica/?name=MDP0000244125","MDP0000244125")</f>
        <v>MDP0000244125</v>
      </c>
      <c r="D23958">
        <v>83.1</v>
      </c>
      <c r="E23958">
        <v>148</v>
      </c>
      <c r="F23958">
        <v>25</v>
      </c>
      <c r="G23958">
        <v>0</v>
      </c>
      <c r="H23958">
        <v>1</v>
      </c>
      <c r="I23958">
        <v>148</v>
      </c>
      <c r="J23958">
        <v>1</v>
      </c>
      <c r="K23958">
        <v>321</v>
      </c>
      <c r="L23958">
        <v>468</v>
      </c>
      <c r="M23958">
        <v>1</v>
      </c>
      <c r="N23958">
        <v>2.4767600000000001E-70</v>
      </c>
      <c r="O23958">
        <v>674</v>
      </c>
    </row>
    <row r="23959" spans="1:15" x14ac:dyDescent="0.25">
      <c r="A23959" t="s">
        <v>23972</v>
      </c>
      <c r="B23959">
        <v>1378</v>
      </c>
      <c r="C23959" s="1" t="str">
        <f>HYPERLINK("http://www.rosaceae.org/gb/gbrowse/malus_x_domestica/?name=MDP0000150479","MDP0000150479")</f>
        <v>MDP0000150479</v>
      </c>
      <c r="D23959">
        <v>39.950000000000003</v>
      </c>
      <c r="E23959">
        <v>891</v>
      </c>
      <c r="F23959">
        <v>535</v>
      </c>
      <c r="G23959">
        <v>205</v>
      </c>
      <c r="H23959">
        <v>1</v>
      </c>
      <c r="I23959">
        <v>866</v>
      </c>
      <c r="J23959">
        <v>1</v>
      </c>
      <c r="K23959">
        <v>1</v>
      </c>
      <c r="L23959">
        <v>711</v>
      </c>
      <c r="M23959">
        <v>1</v>
      </c>
      <c r="N23959">
        <v>1.6543699999999999E-112</v>
      </c>
      <c r="O23959">
        <v>1041</v>
      </c>
    </row>
    <row r="23960" spans="1:15" x14ac:dyDescent="0.25">
      <c r="A23960" t="s">
        <v>23973</v>
      </c>
      <c r="B23960">
        <v>400</v>
      </c>
      <c r="C23960" s="1" t="str">
        <f>HYPERLINK("http://www.rosaceae.org/gb/gbrowse/malus_x_domestica/?name=MDP0000853065","MDP0000853065")</f>
        <v>MDP0000853065</v>
      </c>
      <c r="D23960">
        <v>72.66</v>
      </c>
      <c r="E23960">
        <v>406</v>
      </c>
      <c r="F23960">
        <v>111</v>
      </c>
      <c r="G23960">
        <v>10</v>
      </c>
      <c r="H23960">
        <v>1</v>
      </c>
      <c r="I23960">
        <v>400</v>
      </c>
      <c r="J23960">
        <v>1</v>
      </c>
      <c r="K23960">
        <v>1</v>
      </c>
      <c r="L23960">
        <v>402</v>
      </c>
      <c r="M23960">
        <v>1</v>
      </c>
      <c r="N23960">
        <v>4.2192000000000003E-163</v>
      </c>
      <c r="O23960">
        <v>1472</v>
      </c>
    </row>
    <row r="23961" spans="1:15" x14ac:dyDescent="0.25">
      <c r="A23961" t="s">
        <v>23974</v>
      </c>
      <c r="B23961">
        <v>949</v>
      </c>
      <c r="C23961" s="1" t="str">
        <f>HYPERLINK("http://www.rosaceae.org/gb/gbrowse/malus_x_domestica/?name=MDP0000322049","MDP0000322049")</f>
        <v>MDP0000322049</v>
      </c>
      <c r="D23961">
        <v>66.62</v>
      </c>
      <c r="E23961">
        <v>752</v>
      </c>
      <c r="F23961">
        <v>251</v>
      </c>
      <c r="G23961">
        <v>99</v>
      </c>
      <c r="H23961">
        <v>201</v>
      </c>
      <c r="I23961">
        <v>929</v>
      </c>
      <c r="J23961">
        <v>1</v>
      </c>
      <c r="K23961">
        <v>351</v>
      </c>
      <c r="L23961">
        <v>1026</v>
      </c>
      <c r="M23961">
        <v>1</v>
      </c>
      <c r="N23961">
        <v>0</v>
      </c>
      <c r="O23961">
        <v>2487</v>
      </c>
    </row>
    <row r="23962" spans="1:15" x14ac:dyDescent="0.25">
      <c r="A23962" t="s">
        <v>23975</v>
      </c>
      <c r="B23962">
        <v>529</v>
      </c>
      <c r="C23962" s="1" t="str">
        <f>HYPERLINK("http://www.rosaceae.org/gb/gbrowse/malus_x_domestica/?name=MDP0000277643","MDP0000277643")</f>
        <v>MDP0000277643</v>
      </c>
      <c r="D23962">
        <v>62.83</v>
      </c>
      <c r="E23962">
        <v>565</v>
      </c>
      <c r="F23962">
        <v>210</v>
      </c>
      <c r="G23962">
        <v>75</v>
      </c>
      <c r="H23962">
        <v>1</v>
      </c>
      <c r="I23962">
        <v>527</v>
      </c>
      <c r="J23962">
        <v>1</v>
      </c>
      <c r="K23962">
        <v>16</v>
      </c>
      <c r="L23962">
        <v>543</v>
      </c>
      <c r="M23962">
        <v>1</v>
      </c>
      <c r="N23962">
        <v>0</v>
      </c>
      <c r="O23962">
        <v>1677</v>
      </c>
    </row>
    <row r="23963" spans="1:15" x14ac:dyDescent="0.25">
      <c r="A23963" t="s">
        <v>23976</v>
      </c>
      <c r="B23963">
        <v>483</v>
      </c>
      <c r="C23963" s="1" t="str">
        <f>HYPERLINK("http://www.rosaceae.org/gb/gbrowse/malus_x_domestica/?name=MDP0000303490","MDP0000303490")</f>
        <v>MDP0000303490</v>
      </c>
      <c r="D23963">
        <v>51.49</v>
      </c>
      <c r="E23963">
        <v>534</v>
      </c>
      <c r="F23963">
        <v>259</v>
      </c>
      <c r="G23963">
        <v>69</v>
      </c>
      <c r="H23963">
        <v>16</v>
      </c>
      <c r="I23963">
        <v>483</v>
      </c>
      <c r="J23963">
        <v>1</v>
      </c>
      <c r="K23963">
        <v>427</v>
      </c>
      <c r="L23963">
        <v>957</v>
      </c>
      <c r="M23963">
        <v>1</v>
      </c>
      <c r="N23963">
        <v>1.6313100000000001E-132</v>
      </c>
      <c r="O23963">
        <v>1209</v>
      </c>
    </row>
    <row r="23964" spans="1:15" x14ac:dyDescent="0.25">
      <c r="A23964" t="s">
        <v>23977</v>
      </c>
      <c r="B23964">
        <v>859</v>
      </c>
      <c r="C23964" s="1" t="str">
        <f>HYPERLINK("http://www.rosaceae.org/gb/gbrowse/malus_x_domestica/?name=MDP0000289755","MDP0000289755")</f>
        <v>MDP0000289755</v>
      </c>
      <c r="D23964">
        <v>76.650000000000006</v>
      </c>
      <c r="E23964">
        <v>771</v>
      </c>
      <c r="F23964">
        <v>180</v>
      </c>
      <c r="G23964">
        <v>5</v>
      </c>
      <c r="H23964">
        <v>43</v>
      </c>
      <c r="I23964">
        <v>808</v>
      </c>
      <c r="J23964">
        <v>1</v>
      </c>
      <c r="K23964">
        <v>226</v>
      </c>
      <c r="L23964">
        <v>996</v>
      </c>
      <c r="M23964">
        <v>1</v>
      </c>
      <c r="N23964">
        <v>0</v>
      </c>
      <c r="O23964">
        <v>3155</v>
      </c>
    </row>
    <row r="23965" spans="1:15" x14ac:dyDescent="0.25">
      <c r="A23965" t="s">
        <v>23978</v>
      </c>
      <c r="B23965">
        <v>463</v>
      </c>
      <c r="C23965" s="1" t="str">
        <f>HYPERLINK("http://www.rosaceae.org/gb/gbrowse/malus_x_domestica/?name=MDP0000325761","MDP0000325761")</f>
        <v>MDP0000325761</v>
      </c>
      <c r="D23965">
        <v>51.49</v>
      </c>
      <c r="E23965">
        <v>435</v>
      </c>
      <c r="F23965">
        <v>211</v>
      </c>
      <c r="G23965">
        <v>1</v>
      </c>
      <c r="H23965">
        <v>26</v>
      </c>
      <c r="I23965">
        <v>459</v>
      </c>
      <c r="J23965">
        <v>1</v>
      </c>
      <c r="K23965">
        <v>37</v>
      </c>
      <c r="L23965">
        <v>471</v>
      </c>
      <c r="M23965">
        <v>1</v>
      </c>
      <c r="N23965">
        <v>4.24141E-130</v>
      </c>
      <c r="O23965">
        <v>1188</v>
      </c>
    </row>
    <row r="23966" spans="1:15" x14ac:dyDescent="0.25">
      <c r="A23966" t="s">
        <v>23979</v>
      </c>
      <c r="B23966">
        <v>263</v>
      </c>
      <c r="C23966" s="1" t="str">
        <f>HYPERLINK("http://www.rosaceae.org/gb/gbrowse/malus_x_domestica/?name=MDP0000226087","MDP0000226087")</f>
        <v>MDP0000226087</v>
      </c>
      <c r="D23966">
        <v>80.48</v>
      </c>
      <c r="E23966">
        <v>123</v>
      </c>
      <c r="F23966">
        <v>24</v>
      </c>
      <c r="G23966">
        <v>1</v>
      </c>
      <c r="H23966">
        <v>135</v>
      </c>
      <c r="I23966">
        <v>256</v>
      </c>
      <c r="J23966">
        <v>1</v>
      </c>
      <c r="K23966">
        <v>23</v>
      </c>
      <c r="L23966">
        <v>145</v>
      </c>
      <c r="M23966">
        <v>1</v>
      </c>
      <c r="N23966">
        <v>1.7792900000000001E-56</v>
      </c>
      <c r="O23966">
        <v>550</v>
      </c>
    </row>
    <row r="23967" spans="1:15" x14ac:dyDescent="0.25">
      <c r="A23967" t="s">
        <v>23980</v>
      </c>
      <c r="B23967">
        <v>346</v>
      </c>
      <c r="C23967" s="1" t="str">
        <f>HYPERLINK("http://www.rosaceae.org/gb/gbrowse/malus_x_domestica/?name=MDP0000206720","MDP0000206720")</f>
        <v>MDP0000206720</v>
      </c>
      <c r="D23967">
        <v>66.66</v>
      </c>
      <c r="E23967">
        <v>342</v>
      </c>
      <c r="F23967">
        <v>114</v>
      </c>
      <c r="G23967">
        <v>3</v>
      </c>
      <c r="H23967">
        <v>7</v>
      </c>
      <c r="I23967">
        <v>345</v>
      </c>
      <c r="J23967">
        <v>1</v>
      </c>
      <c r="K23967">
        <v>6</v>
      </c>
      <c r="L23967">
        <v>347</v>
      </c>
      <c r="M23967">
        <v>1</v>
      </c>
      <c r="N23967">
        <v>3.3351300000000001E-127</v>
      </c>
      <c r="O23967">
        <v>1162</v>
      </c>
    </row>
    <row r="23968" spans="1:15" x14ac:dyDescent="0.25">
      <c r="A23968" t="s">
        <v>23981</v>
      </c>
      <c r="B23968">
        <v>1137</v>
      </c>
      <c r="C23968" s="1" t="str">
        <f>HYPERLINK("http://www.rosaceae.org/gb/gbrowse/malus_x_domestica/?name=MDP0000315369","MDP0000315369")</f>
        <v>MDP0000315369</v>
      </c>
      <c r="D23968">
        <v>84.09</v>
      </c>
      <c r="E23968">
        <v>352</v>
      </c>
      <c r="F23968">
        <v>56</v>
      </c>
      <c r="G23968">
        <v>6</v>
      </c>
      <c r="H23968">
        <v>763</v>
      </c>
      <c r="I23968">
        <v>1111</v>
      </c>
      <c r="J23968">
        <v>1</v>
      </c>
      <c r="K23968">
        <v>68</v>
      </c>
      <c r="L23968">
        <v>416</v>
      </c>
      <c r="M23968">
        <v>1</v>
      </c>
      <c r="N23968">
        <v>3.0087500000000002E-172</v>
      </c>
      <c r="O23968">
        <v>1555</v>
      </c>
    </row>
    <row r="23969" spans="1:15" x14ac:dyDescent="0.25">
      <c r="A23969" t="s">
        <v>23982</v>
      </c>
      <c r="B23969">
        <v>541</v>
      </c>
      <c r="C23969" s="1" t="str">
        <f>HYPERLINK("http://www.rosaceae.org/gb/gbrowse/malus_x_domestica/?name=MDP0000132406","MDP0000132406")</f>
        <v>MDP0000132406</v>
      </c>
      <c r="D23969">
        <v>36.08</v>
      </c>
      <c r="E23969">
        <v>327</v>
      </c>
      <c r="F23969">
        <v>209</v>
      </c>
      <c r="G23969">
        <v>74</v>
      </c>
      <c r="H23969">
        <v>141</v>
      </c>
      <c r="I23969">
        <v>443</v>
      </c>
      <c r="J23969">
        <v>1</v>
      </c>
      <c r="K23969">
        <v>31</v>
      </c>
      <c r="L23969">
        <v>307</v>
      </c>
      <c r="M23969">
        <v>1</v>
      </c>
      <c r="N23969">
        <v>8.4901199999999998E-39</v>
      </c>
      <c r="O23969">
        <v>401</v>
      </c>
    </row>
    <row r="23970" spans="1:15" x14ac:dyDescent="0.25">
      <c r="A23970" t="s">
        <v>23983</v>
      </c>
      <c r="B23970">
        <v>136</v>
      </c>
      <c r="C23970" s="1" t="str">
        <f>HYPERLINK("http://www.rosaceae.org/gb/gbrowse/malus_x_domestica/?name=MDP0000294034","MDP0000294034")</f>
        <v>MDP0000294034</v>
      </c>
      <c r="D23970">
        <v>75</v>
      </c>
      <c r="E23970">
        <v>132</v>
      </c>
      <c r="F23970">
        <v>33</v>
      </c>
      <c r="G23970">
        <v>7</v>
      </c>
      <c r="H23970">
        <v>3</v>
      </c>
      <c r="I23970">
        <v>132</v>
      </c>
      <c r="J23970">
        <v>1</v>
      </c>
      <c r="K23970">
        <v>114</v>
      </c>
      <c r="L23970">
        <v>240</v>
      </c>
      <c r="M23970">
        <v>1</v>
      </c>
      <c r="N23970">
        <v>1.0779700000000001E-49</v>
      </c>
      <c r="O23970">
        <v>487</v>
      </c>
    </row>
    <row r="23971" spans="1:15" x14ac:dyDescent="0.25">
      <c r="A23971" t="s">
        <v>23984</v>
      </c>
      <c r="B23971">
        <v>620</v>
      </c>
      <c r="C23971" s="1" t="str">
        <f>HYPERLINK("http://www.rosaceae.org/gb/gbrowse/malus_x_domestica/?name=MDP0000268873","MDP0000268873")</f>
        <v>MDP0000268873</v>
      </c>
      <c r="D23971">
        <v>83.33</v>
      </c>
      <c r="E23971">
        <v>426</v>
      </c>
      <c r="F23971">
        <v>71</v>
      </c>
      <c r="G23971">
        <v>4</v>
      </c>
      <c r="H23971">
        <v>36</v>
      </c>
      <c r="I23971">
        <v>461</v>
      </c>
      <c r="J23971">
        <v>1</v>
      </c>
      <c r="K23971">
        <v>50</v>
      </c>
      <c r="L23971">
        <v>471</v>
      </c>
      <c r="M23971">
        <v>1</v>
      </c>
      <c r="N23971">
        <v>0</v>
      </c>
      <c r="O23971">
        <v>1842</v>
      </c>
    </row>
    <row r="23972" spans="1:15" x14ac:dyDescent="0.25">
      <c r="A23972" t="s">
        <v>23985</v>
      </c>
      <c r="B23972">
        <v>263</v>
      </c>
      <c r="C23972" s="1" t="str">
        <f>HYPERLINK("http://www.rosaceae.org/gb/gbrowse/malus_x_domestica/?name=MDP0000408508","MDP0000408508")</f>
        <v>MDP0000408508</v>
      </c>
      <c r="D23972">
        <v>68.52</v>
      </c>
      <c r="E23972">
        <v>251</v>
      </c>
      <c r="F23972">
        <v>79</v>
      </c>
      <c r="G23972">
        <v>1</v>
      </c>
      <c r="H23972">
        <v>6</v>
      </c>
      <c r="I23972">
        <v>255</v>
      </c>
      <c r="J23972">
        <v>1</v>
      </c>
      <c r="K23972">
        <v>15</v>
      </c>
      <c r="L23972">
        <v>265</v>
      </c>
      <c r="M23972">
        <v>1</v>
      </c>
      <c r="N23972">
        <v>4.4751300000000002E-98</v>
      </c>
      <c r="O23972">
        <v>909</v>
      </c>
    </row>
    <row r="23973" spans="1:15" x14ac:dyDescent="0.25">
      <c r="A23973" t="s">
        <v>23986</v>
      </c>
      <c r="B23973">
        <v>400</v>
      </c>
      <c r="C23973" s="1" t="str">
        <f>HYPERLINK("http://www.rosaceae.org/gb/gbrowse/malus_x_domestica/?name=MDP0000140259","MDP0000140259")</f>
        <v>MDP0000140259</v>
      </c>
      <c r="D23973">
        <v>73.91</v>
      </c>
      <c r="E23973">
        <v>138</v>
      </c>
      <c r="F23973">
        <v>36</v>
      </c>
      <c r="G23973">
        <v>1</v>
      </c>
      <c r="H23973">
        <v>245</v>
      </c>
      <c r="I23973">
        <v>381</v>
      </c>
      <c r="J23973">
        <v>1</v>
      </c>
      <c r="K23973">
        <v>254</v>
      </c>
      <c r="L23973">
        <v>391</v>
      </c>
      <c r="M23973">
        <v>1</v>
      </c>
      <c r="N23973">
        <v>1.0615199999999999E-59</v>
      </c>
      <c r="O23973">
        <v>580</v>
      </c>
    </row>
    <row r="23974" spans="1:15" x14ac:dyDescent="0.25">
      <c r="A23974" t="s">
        <v>23987</v>
      </c>
      <c r="B23974">
        <v>355</v>
      </c>
      <c r="C23974" s="1" t="str">
        <f>HYPERLINK("http://www.rosaceae.org/gb/gbrowse/malus_x_domestica/?name=MDP0000316985","MDP0000316985")</f>
        <v>MDP0000316985</v>
      </c>
      <c r="D23974">
        <v>63.78</v>
      </c>
      <c r="E23974">
        <v>359</v>
      </c>
      <c r="F23974">
        <v>130</v>
      </c>
      <c r="G23974">
        <v>52</v>
      </c>
      <c r="H23974">
        <v>3</v>
      </c>
      <c r="I23974">
        <v>355</v>
      </c>
      <c r="J23974">
        <v>1</v>
      </c>
      <c r="K23974">
        <v>238</v>
      </c>
      <c r="L23974">
        <v>550</v>
      </c>
      <c r="M23974">
        <v>1</v>
      </c>
      <c r="N23974">
        <v>6.8747999999999997E-120</v>
      </c>
      <c r="O23974">
        <v>1099</v>
      </c>
    </row>
    <row r="23975" spans="1:15" x14ac:dyDescent="0.25">
      <c r="A23975" t="s">
        <v>23988</v>
      </c>
      <c r="B23975">
        <v>665</v>
      </c>
      <c r="C23975" s="1" t="str">
        <f>HYPERLINK("http://www.rosaceae.org/gb/gbrowse/malus_x_domestica/?name=MDP0000397215","MDP0000397215")</f>
        <v>MDP0000397215</v>
      </c>
      <c r="D23975">
        <v>78.92</v>
      </c>
      <c r="E23975">
        <v>688</v>
      </c>
      <c r="F23975">
        <v>145</v>
      </c>
      <c r="G23975">
        <v>56</v>
      </c>
      <c r="H23975">
        <v>7</v>
      </c>
      <c r="I23975">
        <v>665</v>
      </c>
      <c r="J23975">
        <v>1</v>
      </c>
      <c r="K23975">
        <v>158</v>
      </c>
      <c r="L23975">
        <v>818</v>
      </c>
      <c r="M23975">
        <v>1</v>
      </c>
      <c r="N23975">
        <v>0</v>
      </c>
      <c r="O23975">
        <v>2810</v>
      </c>
    </row>
    <row r="23976" spans="1:15" x14ac:dyDescent="0.25">
      <c r="A23976" t="s">
        <v>23989</v>
      </c>
      <c r="B23976">
        <v>328</v>
      </c>
      <c r="C23976" s="1" t="str">
        <f>HYPERLINK("http://www.rosaceae.org/gb/gbrowse/malus_x_domestica/?name=MDP0000268526","MDP0000268526")</f>
        <v>MDP0000268526</v>
      </c>
      <c r="D23976">
        <v>57.69</v>
      </c>
      <c r="E23976">
        <v>78</v>
      </c>
      <c r="F23976">
        <v>33</v>
      </c>
      <c r="G23976">
        <v>5</v>
      </c>
      <c r="H23976">
        <v>54</v>
      </c>
      <c r="I23976">
        <v>127</v>
      </c>
      <c r="J23976">
        <v>1</v>
      </c>
      <c r="K23976">
        <v>6</v>
      </c>
      <c r="L23976">
        <v>82</v>
      </c>
      <c r="M23976">
        <v>1</v>
      </c>
      <c r="N23976">
        <v>5.1738999999999999E-15</v>
      </c>
      <c r="O23976">
        <v>194</v>
      </c>
    </row>
    <row r="23977" spans="1:15" x14ac:dyDescent="0.25">
      <c r="A23977" t="s">
        <v>23990</v>
      </c>
      <c r="B23977">
        <v>347</v>
      </c>
      <c r="C23977" s="1" t="str">
        <f>HYPERLINK("http://www.rosaceae.org/gb/gbrowse/malus_x_domestica/?name=MDP0000289009","MDP0000289009")</f>
        <v>MDP0000289009</v>
      </c>
      <c r="D23977">
        <v>36.36</v>
      </c>
      <c r="E23977">
        <v>253</v>
      </c>
      <c r="F23977">
        <v>161</v>
      </c>
      <c r="G23977">
        <v>67</v>
      </c>
      <c r="H23977">
        <v>135</v>
      </c>
      <c r="I23977">
        <v>322</v>
      </c>
      <c r="J23977">
        <v>1</v>
      </c>
      <c r="K23977">
        <v>934</v>
      </c>
      <c r="L23977">
        <v>1184</v>
      </c>
      <c r="M23977">
        <v>1</v>
      </c>
      <c r="N23977">
        <v>1.17297E-33</v>
      </c>
      <c r="O23977">
        <v>355</v>
      </c>
    </row>
    <row r="23978" spans="1:15" x14ac:dyDescent="0.25">
      <c r="A23978" t="s">
        <v>23991</v>
      </c>
      <c r="B23978">
        <v>308</v>
      </c>
      <c r="C23978" s="1" t="str">
        <f>HYPERLINK("http://www.rosaceae.org/gb/gbrowse/malus_x_domestica/?name=MDP0000207413","MDP0000207413")</f>
        <v>MDP0000207413</v>
      </c>
      <c r="D23978">
        <v>62.5</v>
      </c>
      <c r="E23978">
        <v>312</v>
      </c>
      <c r="F23978">
        <v>117</v>
      </c>
      <c r="G23978">
        <v>9</v>
      </c>
      <c r="H23978">
        <v>1</v>
      </c>
      <c r="I23978">
        <v>307</v>
      </c>
      <c r="J23978">
        <v>1</v>
      </c>
      <c r="K23978">
        <v>1</v>
      </c>
      <c r="L23978">
        <v>308</v>
      </c>
      <c r="M23978">
        <v>1</v>
      </c>
      <c r="N23978">
        <v>1.7595100000000001E-104</v>
      </c>
      <c r="O23978">
        <v>965</v>
      </c>
    </row>
    <row r="23979" spans="1:15" x14ac:dyDescent="0.25">
      <c r="A23979" t="s">
        <v>23992</v>
      </c>
      <c r="B23979">
        <v>447</v>
      </c>
      <c r="C23979" s="1" t="str">
        <f>HYPERLINK("http://www.rosaceae.org/gb/gbrowse/malus_x_domestica/?name=MDP0000532501","MDP0000532501")</f>
        <v>MDP0000532501</v>
      </c>
      <c r="D23979">
        <v>97.98</v>
      </c>
      <c r="E23979">
        <v>447</v>
      </c>
      <c r="F23979">
        <v>9</v>
      </c>
      <c r="G23979">
        <v>0</v>
      </c>
      <c r="H23979">
        <v>1</v>
      </c>
      <c r="I23979">
        <v>447</v>
      </c>
      <c r="J23979">
        <v>1</v>
      </c>
      <c r="K23979">
        <v>1</v>
      </c>
      <c r="L23979">
        <v>447</v>
      </c>
      <c r="M23979">
        <v>1</v>
      </c>
      <c r="N23979">
        <v>0</v>
      </c>
      <c r="O23979">
        <v>2351</v>
      </c>
    </row>
    <row r="23980" spans="1:15" x14ac:dyDescent="0.25">
      <c r="A23980" t="s">
        <v>23993</v>
      </c>
      <c r="B23980">
        <v>1128</v>
      </c>
      <c r="C23980" s="1" t="str">
        <f>HYPERLINK("http://www.rosaceae.org/gb/gbrowse/malus_x_domestica/?name=MDP0000612208","MDP0000612208")</f>
        <v>MDP0000612208</v>
      </c>
      <c r="D23980">
        <v>56.85</v>
      </c>
      <c r="E23980">
        <v>1131</v>
      </c>
      <c r="F23980">
        <v>488</v>
      </c>
      <c r="G23980">
        <v>30</v>
      </c>
      <c r="H23980">
        <v>18</v>
      </c>
      <c r="I23980">
        <v>1120</v>
      </c>
      <c r="J23980">
        <v>1</v>
      </c>
      <c r="K23980">
        <v>18</v>
      </c>
      <c r="L23980">
        <v>1146</v>
      </c>
      <c r="M23980">
        <v>1</v>
      </c>
      <c r="N23980">
        <v>0</v>
      </c>
      <c r="O23980">
        <v>3185</v>
      </c>
    </row>
    <row r="23981" spans="1:15" x14ac:dyDescent="0.25">
      <c r="A23981" t="s">
        <v>23994</v>
      </c>
      <c r="B23981">
        <v>1314</v>
      </c>
      <c r="C23981" s="1" t="str">
        <f>HYPERLINK("http://www.rosaceae.org/gb/gbrowse/malus_x_domestica/?name=MDP0000185125","MDP0000185125")</f>
        <v>MDP0000185125</v>
      </c>
      <c r="D23981">
        <v>33.119999999999997</v>
      </c>
      <c r="E23981">
        <v>157</v>
      </c>
      <c r="F23981">
        <v>105</v>
      </c>
      <c r="G23981">
        <v>9</v>
      </c>
      <c r="H23981">
        <v>677</v>
      </c>
      <c r="I23981">
        <v>828</v>
      </c>
      <c r="J23981">
        <v>1</v>
      </c>
      <c r="K23981">
        <v>12</v>
      </c>
      <c r="L23981">
        <v>164</v>
      </c>
      <c r="M23981">
        <v>1</v>
      </c>
      <c r="N23981">
        <v>6.4742799999999997E-20</v>
      </c>
      <c r="O23981">
        <v>242</v>
      </c>
    </row>
    <row r="23982" spans="1:15" x14ac:dyDescent="0.25">
      <c r="A23982" t="s">
        <v>23995</v>
      </c>
      <c r="B23982">
        <v>409</v>
      </c>
      <c r="C23982" s="1" t="str">
        <f>HYPERLINK("http://www.rosaceae.org/gb/gbrowse/malus_x_domestica/?name=MDP0000292750","MDP0000292750")</f>
        <v>MDP0000292750</v>
      </c>
      <c r="D23982">
        <v>53.11</v>
      </c>
      <c r="E23982">
        <v>433</v>
      </c>
      <c r="F23982">
        <v>203</v>
      </c>
      <c r="G23982">
        <v>34</v>
      </c>
      <c r="H23982">
        <v>3</v>
      </c>
      <c r="I23982">
        <v>409</v>
      </c>
      <c r="J23982">
        <v>1</v>
      </c>
      <c r="K23982">
        <v>16</v>
      </c>
      <c r="L23982">
        <v>440</v>
      </c>
      <c r="M23982">
        <v>1</v>
      </c>
      <c r="N23982">
        <v>1.4167800000000001E-117</v>
      </c>
      <c r="O23982">
        <v>1079</v>
      </c>
    </row>
    <row r="23983" spans="1:15" x14ac:dyDescent="0.25">
      <c r="A23983" t="s">
        <v>23996</v>
      </c>
      <c r="B23983">
        <v>222</v>
      </c>
      <c r="C23983" s="1" t="str">
        <f>HYPERLINK("http://www.rosaceae.org/gb/gbrowse/malus_x_domestica/?name=MDP0000259294","MDP0000259294")</f>
        <v>MDP0000259294</v>
      </c>
      <c r="D23983">
        <v>41.7</v>
      </c>
      <c r="E23983">
        <v>199</v>
      </c>
      <c r="F23983">
        <v>116</v>
      </c>
      <c r="G23983">
        <v>58</v>
      </c>
      <c r="H23983">
        <v>3</v>
      </c>
      <c r="I23983">
        <v>157</v>
      </c>
      <c r="J23983">
        <v>1</v>
      </c>
      <c r="K23983">
        <v>8</v>
      </c>
      <c r="L23983">
        <v>192</v>
      </c>
      <c r="M23983">
        <v>1</v>
      </c>
      <c r="N23983">
        <v>5.27671E-32</v>
      </c>
      <c r="O23983">
        <v>338</v>
      </c>
    </row>
    <row r="23984" spans="1:15" x14ac:dyDescent="0.25">
      <c r="A23984" t="s">
        <v>23997</v>
      </c>
      <c r="B23984">
        <v>511</v>
      </c>
      <c r="C23984" s="1" t="str">
        <f>HYPERLINK("http://www.rosaceae.org/gb/gbrowse/malus_x_domestica/?name=MDP0000275460","MDP0000275460")</f>
        <v>MDP0000275460</v>
      </c>
      <c r="D23984">
        <v>78.37</v>
      </c>
      <c r="E23984">
        <v>444</v>
      </c>
      <c r="F23984">
        <v>96</v>
      </c>
      <c r="G23984">
        <v>11</v>
      </c>
      <c r="H23984">
        <v>14</v>
      </c>
      <c r="I23984">
        <v>452</v>
      </c>
      <c r="J23984">
        <v>1</v>
      </c>
      <c r="K23984">
        <v>14</v>
      </c>
      <c r="L23984">
        <v>451</v>
      </c>
      <c r="M23984">
        <v>1</v>
      </c>
      <c r="N23984">
        <v>0</v>
      </c>
      <c r="O23984">
        <v>1789</v>
      </c>
    </row>
    <row r="23985" spans="1:15" x14ac:dyDescent="0.25">
      <c r="A23985" t="s">
        <v>23998</v>
      </c>
      <c r="B23985">
        <v>130</v>
      </c>
      <c r="C23985" s="1" t="str">
        <f>HYPERLINK("http://www.rosaceae.org/gb/gbrowse/malus_x_domestica/?name=MDP0000277780","MDP0000277780")</f>
        <v>MDP0000277780</v>
      </c>
      <c r="D23985">
        <v>40.270000000000003</v>
      </c>
      <c r="E23985">
        <v>72</v>
      </c>
      <c r="F23985">
        <v>43</v>
      </c>
      <c r="G23985">
        <v>2</v>
      </c>
      <c r="H23985">
        <v>48</v>
      </c>
      <c r="I23985">
        <v>118</v>
      </c>
      <c r="J23985">
        <v>1</v>
      </c>
      <c r="K23985">
        <v>156</v>
      </c>
      <c r="L23985">
        <v>226</v>
      </c>
      <c r="M23985">
        <v>1</v>
      </c>
      <c r="N23985">
        <v>1.54828E-8</v>
      </c>
      <c r="O23985">
        <v>132</v>
      </c>
    </row>
    <row r="23986" spans="1:15" x14ac:dyDescent="0.25">
      <c r="A23986" t="s">
        <v>23999</v>
      </c>
      <c r="B23986">
        <v>317</v>
      </c>
      <c r="C23986" s="1" t="str">
        <f>HYPERLINK("http://www.rosaceae.org/gb/gbrowse/malus_x_domestica/?name=MDP0000185979","MDP0000185979")</f>
        <v>MDP0000185979</v>
      </c>
      <c r="D23986">
        <v>52.87</v>
      </c>
      <c r="E23986">
        <v>261</v>
      </c>
      <c r="F23986">
        <v>123</v>
      </c>
      <c r="G23986">
        <v>36</v>
      </c>
      <c r="H23986">
        <v>20</v>
      </c>
      <c r="I23986">
        <v>251</v>
      </c>
      <c r="J23986">
        <v>1</v>
      </c>
      <c r="K23986">
        <v>18</v>
      </c>
      <c r="L23986">
        <v>271</v>
      </c>
      <c r="M23986">
        <v>1</v>
      </c>
      <c r="N23986">
        <v>1.2637E-70</v>
      </c>
      <c r="O23986">
        <v>673</v>
      </c>
    </row>
    <row r="23987" spans="1:15" x14ac:dyDescent="0.25">
      <c r="A23987" t="s">
        <v>24000</v>
      </c>
      <c r="B23987">
        <v>445</v>
      </c>
      <c r="C23987" s="1" t="str">
        <f>HYPERLINK("http://www.rosaceae.org/gb/gbrowse/malus_x_domestica/?name=MDP0000661731","MDP0000661731")</f>
        <v>MDP0000661731</v>
      </c>
      <c r="D23987">
        <v>73.23</v>
      </c>
      <c r="E23987">
        <v>426</v>
      </c>
      <c r="F23987">
        <v>114</v>
      </c>
      <c r="G23987">
        <v>13</v>
      </c>
      <c r="H23987">
        <v>23</v>
      </c>
      <c r="I23987">
        <v>437</v>
      </c>
      <c r="J23987">
        <v>1</v>
      </c>
      <c r="K23987">
        <v>37</v>
      </c>
      <c r="L23987">
        <v>460</v>
      </c>
      <c r="M23987">
        <v>1</v>
      </c>
      <c r="N23987">
        <v>0</v>
      </c>
      <c r="O23987">
        <v>1637</v>
      </c>
    </row>
    <row r="23988" spans="1:15" x14ac:dyDescent="0.25">
      <c r="A23988" t="s">
        <v>24001</v>
      </c>
      <c r="B23988">
        <v>699</v>
      </c>
      <c r="C23988" s="1" t="str">
        <f>HYPERLINK("http://www.rosaceae.org/gb/gbrowse/malus_x_domestica/?name=MDP0000244869","MDP0000244869")</f>
        <v>MDP0000244869</v>
      </c>
      <c r="D23988">
        <v>56.91</v>
      </c>
      <c r="E23988">
        <v>492</v>
      </c>
      <c r="F23988">
        <v>212</v>
      </c>
      <c r="G23988">
        <v>23</v>
      </c>
      <c r="H23988">
        <v>52</v>
      </c>
      <c r="I23988">
        <v>527</v>
      </c>
      <c r="J23988">
        <v>1</v>
      </c>
      <c r="K23988">
        <v>78</v>
      </c>
      <c r="L23988">
        <v>562</v>
      </c>
      <c r="M23988">
        <v>1</v>
      </c>
      <c r="N23988">
        <v>2.38581E-157</v>
      </c>
      <c r="O23988">
        <v>1425</v>
      </c>
    </row>
    <row r="23989" spans="1:15" x14ac:dyDescent="0.25">
      <c r="A23989" t="s">
        <v>24002</v>
      </c>
      <c r="B23989">
        <v>437</v>
      </c>
      <c r="C23989" s="1" t="str">
        <f>HYPERLINK("http://www.rosaceae.org/gb/gbrowse/malus_x_domestica/?name=MDP0000249947","MDP0000249947")</f>
        <v>MDP0000249947</v>
      </c>
      <c r="D23989">
        <v>42.02</v>
      </c>
      <c r="E23989">
        <v>188</v>
      </c>
      <c r="F23989">
        <v>109</v>
      </c>
      <c r="G23989">
        <v>25</v>
      </c>
      <c r="H23989">
        <v>1</v>
      </c>
      <c r="I23989">
        <v>182</v>
      </c>
      <c r="J23989">
        <v>1</v>
      </c>
      <c r="K23989">
        <v>20</v>
      </c>
      <c r="L23989">
        <v>188</v>
      </c>
      <c r="M23989">
        <v>1</v>
      </c>
      <c r="N23989">
        <v>7.8727799999999998E-32</v>
      </c>
      <c r="O23989">
        <v>340</v>
      </c>
    </row>
    <row r="23990" spans="1:15" x14ac:dyDescent="0.25">
      <c r="A23990" t="s">
        <v>24003</v>
      </c>
      <c r="B23990">
        <v>327</v>
      </c>
      <c r="C23990" s="1" t="str">
        <f>HYPERLINK("http://www.rosaceae.org/gb/gbrowse/malus_x_domestica/?name=MDP0000486687","MDP0000486687")</f>
        <v>MDP0000486687</v>
      </c>
      <c r="D23990">
        <v>46.66</v>
      </c>
      <c r="E23990">
        <v>165</v>
      </c>
      <c r="F23990">
        <v>88</v>
      </c>
      <c r="G23990">
        <v>46</v>
      </c>
      <c r="H23990">
        <v>162</v>
      </c>
      <c r="I23990">
        <v>326</v>
      </c>
      <c r="J23990">
        <v>1</v>
      </c>
      <c r="K23990">
        <v>165</v>
      </c>
      <c r="L23990">
        <v>283</v>
      </c>
      <c r="M23990">
        <v>1</v>
      </c>
      <c r="N23990">
        <v>1.23124E-30</v>
      </c>
      <c r="O23990">
        <v>329</v>
      </c>
    </row>
    <row r="23991" spans="1:15" x14ac:dyDescent="0.25">
      <c r="A23991" t="s">
        <v>24004</v>
      </c>
      <c r="B23991">
        <v>295</v>
      </c>
      <c r="C23991" s="1" t="str">
        <f>HYPERLINK("http://www.rosaceae.org/gb/gbrowse/malus_x_domestica/?name=MDP0000284042","MDP0000284042")</f>
        <v>MDP0000284042</v>
      </c>
      <c r="D23991">
        <v>68.569999999999993</v>
      </c>
      <c r="E23991">
        <v>280</v>
      </c>
      <c r="F23991">
        <v>88</v>
      </c>
      <c r="G23991">
        <v>25</v>
      </c>
      <c r="H23991">
        <v>1</v>
      </c>
      <c r="I23991">
        <v>280</v>
      </c>
      <c r="J23991">
        <v>1</v>
      </c>
      <c r="K23991">
        <v>1</v>
      </c>
      <c r="L23991">
        <v>255</v>
      </c>
      <c r="M23991">
        <v>1</v>
      </c>
      <c r="N23991">
        <v>6.2584900000000004E-106</v>
      </c>
      <c r="O23991">
        <v>977</v>
      </c>
    </row>
    <row r="23992" spans="1:15" x14ac:dyDescent="0.25">
      <c r="A23992" t="s">
        <v>24005</v>
      </c>
      <c r="B23992">
        <v>344</v>
      </c>
      <c r="C23992" s="1" t="str">
        <f>HYPERLINK("http://www.rosaceae.org/gb/gbrowse/malus_x_domestica/?name=MDP0000278575","MDP0000278575")</f>
        <v>MDP0000278575</v>
      </c>
      <c r="D23992">
        <v>29.44</v>
      </c>
      <c r="E23992">
        <v>309</v>
      </c>
      <c r="F23992">
        <v>218</v>
      </c>
      <c r="G23992">
        <v>49</v>
      </c>
      <c r="H23992">
        <v>7</v>
      </c>
      <c r="I23992">
        <v>275</v>
      </c>
      <c r="J23992">
        <v>1</v>
      </c>
      <c r="K23992">
        <v>763</v>
      </c>
      <c r="L23992">
        <v>1062</v>
      </c>
      <c r="M23992">
        <v>1</v>
      </c>
      <c r="N23992">
        <v>6.2249299999999999E-18</v>
      </c>
      <c r="O23992">
        <v>219</v>
      </c>
    </row>
    <row r="23993" spans="1:15" x14ac:dyDescent="0.25">
      <c r="A23993" t="s">
        <v>24006</v>
      </c>
      <c r="B23993">
        <v>401</v>
      </c>
      <c r="C23993" s="1" t="str">
        <f>HYPERLINK("http://www.rosaceae.org/gb/gbrowse/malus_x_domestica/?name=MDP0000902543","MDP0000902543")</f>
        <v>MDP0000902543</v>
      </c>
      <c r="D23993">
        <v>26.22</v>
      </c>
      <c r="E23993">
        <v>389</v>
      </c>
      <c r="F23993">
        <v>287</v>
      </c>
      <c r="G23993">
        <v>63</v>
      </c>
      <c r="H23993">
        <v>17</v>
      </c>
      <c r="I23993">
        <v>399</v>
      </c>
      <c r="J23993">
        <v>1</v>
      </c>
      <c r="K23993">
        <v>38</v>
      </c>
      <c r="L23993">
        <v>369</v>
      </c>
      <c r="M23993">
        <v>1</v>
      </c>
      <c r="N23993">
        <v>2.6109400000000001E-17</v>
      </c>
      <c r="O23993">
        <v>215</v>
      </c>
    </row>
    <row r="23994" spans="1:15" x14ac:dyDescent="0.25">
      <c r="A23994" t="s">
        <v>24007</v>
      </c>
      <c r="B23994">
        <v>135</v>
      </c>
      <c r="C23994" s="1" t="str">
        <f>HYPERLINK("http://www.rosaceae.org/gb/gbrowse/malus_x_domestica/?name=MDP0000225264","MDP0000225264")</f>
        <v>MDP0000225264</v>
      </c>
      <c r="D23994">
        <v>46.4</v>
      </c>
      <c r="E23994">
        <v>125</v>
      </c>
      <c r="F23994">
        <v>67</v>
      </c>
      <c r="G23994">
        <v>2</v>
      </c>
      <c r="H23994">
        <v>1</v>
      </c>
      <c r="I23994">
        <v>125</v>
      </c>
      <c r="J23994">
        <v>1</v>
      </c>
      <c r="K23994">
        <v>71</v>
      </c>
      <c r="L23994">
        <v>193</v>
      </c>
      <c r="M23994">
        <v>1</v>
      </c>
      <c r="N23994">
        <v>4.8924499999999995E-19</v>
      </c>
      <c r="O23994">
        <v>223</v>
      </c>
    </row>
    <row r="23995" spans="1:15" x14ac:dyDescent="0.25">
      <c r="A23995" t="s">
        <v>24008</v>
      </c>
      <c r="B23995">
        <v>186</v>
      </c>
      <c r="C23995" s="1" t="str">
        <f>HYPERLINK("http://www.rosaceae.org/gb/gbrowse/malus_x_domestica/?name=MDP0000298660","MDP0000298660")</f>
        <v>MDP0000298660</v>
      </c>
      <c r="D23995">
        <v>44.53</v>
      </c>
      <c r="E23995">
        <v>238</v>
      </c>
      <c r="F23995">
        <v>132</v>
      </c>
      <c r="G23995">
        <v>57</v>
      </c>
      <c r="H23995">
        <v>1</v>
      </c>
      <c r="I23995">
        <v>184</v>
      </c>
      <c r="J23995">
        <v>1</v>
      </c>
      <c r="K23995">
        <v>563</v>
      </c>
      <c r="L23995">
        <v>797</v>
      </c>
      <c r="M23995">
        <v>1</v>
      </c>
      <c r="N23995">
        <v>4.2498500000000001E-45</v>
      </c>
      <c r="O23995">
        <v>450</v>
      </c>
    </row>
    <row r="23996" spans="1:15" x14ac:dyDescent="0.25">
      <c r="A23996" t="s">
        <v>24009</v>
      </c>
      <c r="B23996">
        <v>547</v>
      </c>
      <c r="C23996" s="1" t="str">
        <f>HYPERLINK("http://www.rosaceae.org/gb/gbrowse/malus_x_domestica/?name=MDP0000935652","MDP0000935652")</f>
        <v>MDP0000935652</v>
      </c>
      <c r="D23996">
        <v>39.53</v>
      </c>
      <c r="E23996">
        <v>559</v>
      </c>
      <c r="F23996">
        <v>338</v>
      </c>
      <c r="G23996">
        <v>89</v>
      </c>
      <c r="H23996">
        <v>13</v>
      </c>
      <c r="I23996">
        <v>522</v>
      </c>
      <c r="J23996">
        <v>1</v>
      </c>
      <c r="K23996">
        <v>58</v>
      </c>
      <c r="L23996">
        <v>576</v>
      </c>
      <c r="M23996">
        <v>1</v>
      </c>
      <c r="N23996">
        <v>2.9268800000000003E-76</v>
      </c>
      <c r="O23996">
        <v>725</v>
      </c>
    </row>
    <row r="23997" spans="1:15" x14ac:dyDescent="0.25">
      <c r="A23997" t="s">
        <v>24010</v>
      </c>
      <c r="B23997">
        <v>237</v>
      </c>
      <c r="C23997" s="1" t="str">
        <f>HYPERLINK("http://www.rosaceae.org/gb/gbrowse/malus_x_domestica/?name=MDP0000216956","MDP0000216956")</f>
        <v>MDP0000216956</v>
      </c>
      <c r="D23997">
        <v>31.76</v>
      </c>
      <c r="E23997">
        <v>170</v>
      </c>
      <c r="F23997">
        <v>116</v>
      </c>
      <c r="G23997">
        <v>20</v>
      </c>
      <c r="H23997">
        <v>78</v>
      </c>
      <c r="I23997">
        <v>233</v>
      </c>
      <c r="J23997">
        <v>1</v>
      </c>
      <c r="K23997">
        <v>78</v>
      </c>
      <c r="L23997">
        <v>241</v>
      </c>
      <c r="M23997">
        <v>1</v>
      </c>
      <c r="N23997">
        <v>7.2770900000000004E-14</v>
      </c>
      <c r="O23997">
        <v>182</v>
      </c>
    </row>
    <row r="23998" spans="1:15" x14ac:dyDescent="0.25">
      <c r="A23998" t="s">
        <v>24011</v>
      </c>
      <c r="B23998">
        <v>223</v>
      </c>
      <c r="C23998" s="1" t="str">
        <f>HYPERLINK("http://www.rosaceae.org/gb/gbrowse/malus_x_domestica/?name=MDP0000150438","MDP0000150438")</f>
        <v>MDP0000150438</v>
      </c>
      <c r="D23998">
        <v>41.12</v>
      </c>
      <c r="E23998">
        <v>107</v>
      </c>
      <c r="F23998">
        <v>63</v>
      </c>
      <c r="G23998">
        <v>3</v>
      </c>
      <c r="H23998">
        <v>120</v>
      </c>
      <c r="I23998">
        <v>223</v>
      </c>
      <c r="J23998">
        <v>1</v>
      </c>
      <c r="K23998">
        <v>278</v>
      </c>
      <c r="L23998">
        <v>384</v>
      </c>
      <c r="M23998">
        <v>1</v>
      </c>
      <c r="N23998">
        <v>2.2262099999999999E-15</v>
      </c>
      <c r="O23998">
        <v>195</v>
      </c>
    </row>
    <row r="23999" spans="1:15" x14ac:dyDescent="0.25">
      <c r="A23999" t="s">
        <v>24012</v>
      </c>
      <c r="B23999">
        <v>794</v>
      </c>
      <c r="C23999" s="1" t="str">
        <f>HYPERLINK("http://www.rosaceae.org/gb/gbrowse/malus_x_domestica/?name=MDP0000313843","MDP0000313843")</f>
        <v>MDP0000313843</v>
      </c>
      <c r="D23999">
        <v>71.59</v>
      </c>
      <c r="E23999">
        <v>440</v>
      </c>
      <c r="F23999">
        <v>125</v>
      </c>
      <c r="G23999">
        <v>35</v>
      </c>
      <c r="H23999">
        <v>388</v>
      </c>
      <c r="I23999">
        <v>794</v>
      </c>
      <c r="J23999">
        <v>1</v>
      </c>
      <c r="K23999">
        <v>396</v>
      </c>
      <c r="L23999">
        <v>833</v>
      </c>
      <c r="M23999">
        <v>1</v>
      </c>
      <c r="N23999">
        <v>4.4546999999999999E-170</v>
      </c>
      <c r="O23999">
        <v>1535</v>
      </c>
    </row>
    <row r="24000" spans="1:15" x14ac:dyDescent="0.25">
      <c r="A24000" t="s">
        <v>24013</v>
      </c>
      <c r="B24000">
        <v>237</v>
      </c>
      <c r="C24000" s="1" t="str">
        <f>HYPERLINK("http://www.rosaceae.org/gb/gbrowse/malus_x_domestica/?name=MDP0000178398","MDP0000178398")</f>
        <v>MDP0000178398</v>
      </c>
      <c r="D24000">
        <v>48.86</v>
      </c>
      <c r="E24000">
        <v>221</v>
      </c>
      <c r="F24000">
        <v>113</v>
      </c>
      <c r="G24000">
        <v>15</v>
      </c>
      <c r="H24000">
        <v>5</v>
      </c>
      <c r="I24000">
        <v>214</v>
      </c>
      <c r="J24000">
        <v>1</v>
      </c>
      <c r="K24000">
        <v>3</v>
      </c>
      <c r="L24000">
        <v>219</v>
      </c>
      <c r="M24000">
        <v>1</v>
      </c>
      <c r="N24000">
        <v>2.7635100000000001E-44</v>
      </c>
      <c r="O24000">
        <v>445</v>
      </c>
    </row>
    <row r="24001" spans="1:15" x14ac:dyDescent="0.25">
      <c r="A24001" t="s">
        <v>24014</v>
      </c>
      <c r="B24001">
        <v>356</v>
      </c>
      <c r="C24001" s="1" t="str">
        <f>HYPERLINK("http://www.rosaceae.org/gb/gbrowse/malus_x_domestica/?name=MDP0000273989","MDP0000273989")</f>
        <v>MDP0000273989</v>
      </c>
      <c r="D24001">
        <v>32.08</v>
      </c>
      <c r="E24001">
        <v>240</v>
      </c>
      <c r="F24001">
        <v>163</v>
      </c>
      <c r="G24001">
        <v>34</v>
      </c>
      <c r="H24001">
        <v>2</v>
      </c>
      <c r="I24001">
        <v>231</v>
      </c>
      <c r="J24001">
        <v>1</v>
      </c>
      <c r="K24001">
        <v>276</v>
      </c>
      <c r="L24001">
        <v>491</v>
      </c>
      <c r="M24001">
        <v>1</v>
      </c>
      <c r="N24001">
        <v>4.95608E-25</v>
      </c>
      <c r="O24001">
        <v>281</v>
      </c>
    </row>
    <row r="24002" spans="1:15" x14ac:dyDescent="0.25">
      <c r="A24002" t="s">
        <v>24015</v>
      </c>
      <c r="B24002">
        <v>454</v>
      </c>
      <c r="C24002" s="1" t="str">
        <f>HYPERLINK("http://www.rosaceae.org/gb/gbrowse/malus_x_domestica/?name=MDP0000593263","MDP0000593263")</f>
        <v>MDP0000593263</v>
      </c>
      <c r="D24002">
        <v>75</v>
      </c>
      <c r="E24002">
        <v>444</v>
      </c>
      <c r="F24002">
        <v>111</v>
      </c>
      <c r="G24002">
        <v>9</v>
      </c>
      <c r="H24002">
        <v>6</v>
      </c>
      <c r="I24002">
        <v>442</v>
      </c>
      <c r="J24002">
        <v>1</v>
      </c>
      <c r="K24002">
        <v>5</v>
      </c>
      <c r="L24002">
        <v>446</v>
      </c>
      <c r="M24002">
        <v>1</v>
      </c>
      <c r="N24002">
        <v>0</v>
      </c>
      <c r="O24002">
        <v>1774</v>
      </c>
    </row>
    <row r="24003" spans="1:15" x14ac:dyDescent="0.25">
      <c r="A24003" t="s">
        <v>24016</v>
      </c>
      <c r="B24003">
        <v>443</v>
      </c>
      <c r="C24003" s="1" t="str">
        <f>HYPERLINK("http://www.rosaceae.org/gb/gbrowse/malus_x_domestica/?name=MDP0000320167","MDP0000320167")</f>
        <v>MDP0000320167</v>
      </c>
      <c r="D24003">
        <v>59.33</v>
      </c>
      <c r="E24003">
        <v>300</v>
      </c>
      <c r="F24003">
        <v>122</v>
      </c>
      <c r="G24003">
        <v>62</v>
      </c>
      <c r="H24003">
        <v>168</v>
      </c>
      <c r="I24003">
        <v>405</v>
      </c>
      <c r="J24003">
        <v>1</v>
      </c>
      <c r="K24003">
        <v>6</v>
      </c>
      <c r="L24003">
        <v>305</v>
      </c>
      <c r="M24003">
        <v>1</v>
      </c>
      <c r="N24003">
        <v>6.3241100000000003E-78</v>
      </c>
      <c r="O24003">
        <v>738</v>
      </c>
    </row>
    <row r="24004" spans="1:15" x14ac:dyDescent="0.25">
      <c r="A24004" t="s">
        <v>24017</v>
      </c>
      <c r="B24004">
        <v>526</v>
      </c>
      <c r="C24004" s="1" t="str">
        <f>HYPERLINK("http://www.rosaceae.org/gb/gbrowse/malus_x_domestica/?name=MDP0000316685","MDP0000316685")</f>
        <v>MDP0000316685</v>
      </c>
      <c r="D24004">
        <v>81.53</v>
      </c>
      <c r="E24004">
        <v>444</v>
      </c>
      <c r="F24004">
        <v>82</v>
      </c>
      <c r="G24004">
        <v>1</v>
      </c>
      <c r="H24004">
        <v>83</v>
      </c>
      <c r="I24004">
        <v>526</v>
      </c>
      <c r="J24004">
        <v>1</v>
      </c>
      <c r="K24004">
        <v>1</v>
      </c>
      <c r="L24004">
        <v>443</v>
      </c>
      <c r="M24004">
        <v>1</v>
      </c>
      <c r="N24004">
        <v>0</v>
      </c>
      <c r="O24004">
        <v>1883</v>
      </c>
    </row>
    <row r="24005" spans="1:15" x14ac:dyDescent="0.25">
      <c r="A24005" t="s">
        <v>24018</v>
      </c>
      <c r="B24005">
        <v>123</v>
      </c>
      <c r="C24005" s="1" t="str">
        <f>HYPERLINK("http://www.rosaceae.org/gb/gbrowse/malus_x_domestica/?name=MDP0000870438","MDP0000870438")</f>
        <v>MDP0000870438</v>
      </c>
      <c r="D24005">
        <v>47.36</v>
      </c>
      <c r="E24005">
        <v>95</v>
      </c>
      <c r="F24005">
        <v>50</v>
      </c>
      <c r="G24005">
        <v>1</v>
      </c>
      <c r="H24005">
        <v>30</v>
      </c>
      <c r="I24005">
        <v>123</v>
      </c>
      <c r="J24005">
        <v>1</v>
      </c>
      <c r="K24005">
        <v>7</v>
      </c>
      <c r="L24005">
        <v>101</v>
      </c>
      <c r="M24005">
        <v>1</v>
      </c>
      <c r="N24005">
        <v>1.6025100000000001E-16</v>
      </c>
      <c r="O24005">
        <v>200</v>
      </c>
    </row>
    <row r="24006" spans="1:15" x14ac:dyDescent="0.25">
      <c r="A24006" t="s">
        <v>24019</v>
      </c>
      <c r="B24006">
        <v>426</v>
      </c>
      <c r="C24006" s="1" t="str">
        <f>HYPERLINK("http://www.rosaceae.org/gb/gbrowse/malus_x_domestica/?name=MDP0000666177","MDP0000666177")</f>
        <v>MDP0000666177</v>
      </c>
      <c r="D24006">
        <v>73.489999999999995</v>
      </c>
      <c r="E24006">
        <v>415</v>
      </c>
      <c r="F24006">
        <v>110</v>
      </c>
      <c r="G24006">
        <v>7</v>
      </c>
      <c r="H24006">
        <v>1</v>
      </c>
      <c r="I24006">
        <v>412</v>
      </c>
      <c r="J24006">
        <v>1</v>
      </c>
      <c r="K24006">
        <v>1</v>
      </c>
      <c r="L24006">
        <v>411</v>
      </c>
      <c r="M24006">
        <v>1</v>
      </c>
      <c r="N24006">
        <v>3.5302900000000001E-178</v>
      </c>
      <c r="O24006">
        <v>1602</v>
      </c>
    </row>
    <row r="24007" spans="1:15" x14ac:dyDescent="0.25">
      <c r="A24007" t="s">
        <v>24020</v>
      </c>
      <c r="B24007">
        <v>570</v>
      </c>
      <c r="C24007" s="1" t="str">
        <f>HYPERLINK("http://www.rosaceae.org/gb/gbrowse/malus_x_domestica/?name=MDP0000232523","MDP0000232523")</f>
        <v>MDP0000232523</v>
      </c>
      <c r="D24007">
        <v>72.53</v>
      </c>
      <c r="E24007">
        <v>579</v>
      </c>
      <c r="F24007">
        <v>159</v>
      </c>
      <c r="G24007">
        <v>25</v>
      </c>
      <c r="H24007">
        <v>1</v>
      </c>
      <c r="I24007">
        <v>570</v>
      </c>
      <c r="J24007">
        <v>1</v>
      </c>
      <c r="K24007">
        <v>1</v>
      </c>
      <c r="L24007">
        <v>563</v>
      </c>
      <c r="M24007">
        <v>1</v>
      </c>
      <c r="N24007">
        <v>0</v>
      </c>
      <c r="O24007">
        <v>2028</v>
      </c>
    </row>
    <row r="24008" spans="1:15" x14ac:dyDescent="0.25">
      <c r="A24008" t="s">
        <v>24021</v>
      </c>
      <c r="B24008">
        <v>378</v>
      </c>
      <c r="C24008" s="1" t="str">
        <f>HYPERLINK("http://www.rosaceae.org/gb/gbrowse/malus_x_domestica/?name=MDP0000242528","MDP0000242528")</f>
        <v>MDP0000242528</v>
      </c>
      <c r="D24008">
        <v>89.19</v>
      </c>
      <c r="E24008">
        <v>324</v>
      </c>
      <c r="F24008">
        <v>35</v>
      </c>
      <c r="G24008">
        <v>2</v>
      </c>
      <c r="H24008">
        <v>56</v>
      </c>
      <c r="I24008">
        <v>377</v>
      </c>
      <c r="J24008">
        <v>1</v>
      </c>
      <c r="K24008">
        <v>3</v>
      </c>
      <c r="L24008">
        <v>326</v>
      </c>
      <c r="M24008">
        <v>1</v>
      </c>
      <c r="N24008">
        <v>2.32074E-169</v>
      </c>
      <c r="O24008">
        <v>1526</v>
      </c>
    </row>
    <row r="24009" spans="1:15" x14ac:dyDescent="0.25">
      <c r="A24009" t="s">
        <v>24022</v>
      </c>
      <c r="B24009">
        <v>744</v>
      </c>
      <c r="C24009" s="1" t="str">
        <f>HYPERLINK("http://www.rosaceae.org/gb/gbrowse/malus_x_domestica/?name=MDP0000695032","MDP0000695032")</f>
        <v>MDP0000695032</v>
      </c>
      <c r="D24009">
        <v>82.01</v>
      </c>
      <c r="E24009">
        <v>745</v>
      </c>
      <c r="F24009">
        <v>134</v>
      </c>
      <c r="G24009">
        <v>4</v>
      </c>
      <c r="H24009">
        <v>1</v>
      </c>
      <c r="I24009">
        <v>744</v>
      </c>
      <c r="J24009">
        <v>1</v>
      </c>
      <c r="K24009">
        <v>1</v>
      </c>
      <c r="L24009">
        <v>742</v>
      </c>
      <c r="M24009">
        <v>1</v>
      </c>
      <c r="N24009">
        <v>0</v>
      </c>
      <c r="O24009">
        <v>3223</v>
      </c>
    </row>
    <row r="24010" spans="1:15" x14ac:dyDescent="0.25">
      <c r="A24010" t="s">
        <v>24023</v>
      </c>
      <c r="B24010">
        <v>277</v>
      </c>
      <c r="C24010" s="1" t="str">
        <f>HYPERLINK("http://www.rosaceae.org/gb/gbrowse/malus_x_domestica/?name=MDP0000263256","MDP0000263256")</f>
        <v>MDP0000263256</v>
      </c>
      <c r="D24010">
        <v>32.25</v>
      </c>
      <c r="E24010">
        <v>279</v>
      </c>
      <c r="F24010">
        <v>189</v>
      </c>
      <c r="G24010">
        <v>37</v>
      </c>
      <c r="H24010">
        <v>1</v>
      </c>
      <c r="I24010">
        <v>254</v>
      </c>
      <c r="J24010">
        <v>1</v>
      </c>
      <c r="K24010">
        <v>425</v>
      </c>
      <c r="L24010">
        <v>691</v>
      </c>
      <c r="M24010">
        <v>1</v>
      </c>
      <c r="N24010">
        <v>9.7568E-23</v>
      </c>
      <c r="O24010">
        <v>260</v>
      </c>
    </row>
    <row r="24011" spans="1:15" x14ac:dyDescent="0.25">
      <c r="A24011" t="s">
        <v>24024</v>
      </c>
      <c r="B24011">
        <v>277</v>
      </c>
      <c r="C24011" s="1" t="str">
        <f>HYPERLINK("http://www.rosaceae.org/gb/gbrowse/malus_x_domestica/?name=MDP0000256210","MDP0000256210")</f>
        <v>MDP0000256210</v>
      </c>
      <c r="D24011">
        <v>63.41</v>
      </c>
      <c r="E24011">
        <v>287</v>
      </c>
      <c r="F24011">
        <v>105</v>
      </c>
      <c r="G24011">
        <v>46</v>
      </c>
      <c r="H24011">
        <v>1</v>
      </c>
      <c r="I24011">
        <v>277</v>
      </c>
      <c r="J24011">
        <v>1</v>
      </c>
      <c r="K24011">
        <v>1</v>
      </c>
      <c r="L24011">
        <v>251</v>
      </c>
      <c r="M24011">
        <v>1</v>
      </c>
      <c r="N24011">
        <v>5.6553100000000005E-91</v>
      </c>
      <c r="O24011">
        <v>848</v>
      </c>
    </row>
    <row r="24012" spans="1:15" x14ac:dyDescent="0.25">
      <c r="A24012" t="s">
        <v>24025</v>
      </c>
      <c r="B24012">
        <v>503</v>
      </c>
      <c r="C24012" s="1" t="str">
        <f>HYPERLINK("http://www.rosaceae.org/gb/gbrowse/malus_x_domestica/?name=MDP0000258979","MDP0000258979")</f>
        <v>MDP0000258979</v>
      </c>
      <c r="D24012">
        <v>71.959999999999994</v>
      </c>
      <c r="E24012">
        <v>503</v>
      </c>
      <c r="F24012">
        <v>141</v>
      </c>
      <c r="G24012">
        <v>34</v>
      </c>
      <c r="H24012">
        <v>1</v>
      </c>
      <c r="I24012">
        <v>503</v>
      </c>
      <c r="J24012">
        <v>1</v>
      </c>
      <c r="K24012">
        <v>1</v>
      </c>
      <c r="L24012">
        <v>469</v>
      </c>
      <c r="M24012">
        <v>1</v>
      </c>
      <c r="N24012">
        <v>0</v>
      </c>
      <c r="O24012">
        <v>1909</v>
      </c>
    </row>
    <row r="24013" spans="1:15" x14ac:dyDescent="0.25">
      <c r="A24013" t="s">
        <v>24026</v>
      </c>
      <c r="B24013">
        <v>140</v>
      </c>
      <c r="C24013" s="1" t="str">
        <f>HYPERLINK("http://www.rosaceae.org/gb/gbrowse/malus_x_domestica/?name=MDP0000140131","MDP0000140131")</f>
        <v>MDP0000140131</v>
      </c>
      <c r="D24013">
        <v>72.41</v>
      </c>
      <c r="E24013">
        <v>58</v>
      </c>
      <c r="F24013">
        <v>16</v>
      </c>
      <c r="G24013">
        <v>0</v>
      </c>
      <c r="H24013">
        <v>69</v>
      </c>
      <c r="I24013">
        <v>126</v>
      </c>
      <c r="J24013">
        <v>1</v>
      </c>
      <c r="K24013">
        <v>193</v>
      </c>
      <c r="L24013">
        <v>250</v>
      </c>
      <c r="M24013">
        <v>1</v>
      </c>
      <c r="N24013">
        <v>2.97391E-16</v>
      </c>
      <c r="O24013">
        <v>199</v>
      </c>
    </row>
    <row r="24014" spans="1:15" x14ac:dyDescent="0.25">
      <c r="A24014" t="s">
        <v>24027</v>
      </c>
      <c r="B24014">
        <v>234</v>
      </c>
      <c r="C24014" s="1" t="str">
        <f>HYPERLINK("http://www.rosaceae.org/gb/gbrowse/malus_x_domestica/?name=MDP0000216120","MDP0000216120")</f>
        <v>MDP0000216120</v>
      </c>
      <c r="D24014">
        <v>79.239999999999995</v>
      </c>
      <c r="E24014">
        <v>106</v>
      </c>
      <c r="F24014">
        <v>22</v>
      </c>
      <c r="G24014">
        <v>2</v>
      </c>
      <c r="H24014">
        <v>5</v>
      </c>
      <c r="I24014">
        <v>110</v>
      </c>
      <c r="J24014">
        <v>1</v>
      </c>
      <c r="K24014">
        <v>9</v>
      </c>
      <c r="L24014">
        <v>112</v>
      </c>
      <c r="M24014">
        <v>1</v>
      </c>
      <c r="N24014">
        <v>5.7772800000000003E-43</v>
      </c>
      <c r="O24014">
        <v>433</v>
      </c>
    </row>
    <row r="24015" spans="1:15" x14ac:dyDescent="0.25">
      <c r="A24015" t="s">
        <v>24028</v>
      </c>
      <c r="B24015">
        <v>617</v>
      </c>
      <c r="C24015" s="1" t="str">
        <f>HYPERLINK("http://www.rosaceae.org/gb/gbrowse/malus_x_domestica/?name=MDP0000138028","MDP0000138028")</f>
        <v>MDP0000138028</v>
      </c>
      <c r="D24015">
        <v>90.84</v>
      </c>
      <c r="E24015">
        <v>273</v>
      </c>
      <c r="F24015">
        <v>25</v>
      </c>
      <c r="G24015">
        <v>12</v>
      </c>
      <c r="H24015">
        <v>346</v>
      </c>
      <c r="I24015">
        <v>606</v>
      </c>
      <c r="J24015">
        <v>1</v>
      </c>
      <c r="K24015">
        <v>11</v>
      </c>
      <c r="L24015">
        <v>283</v>
      </c>
      <c r="M24015">
        <v>1</v>
      </c>
      <c r="N24015">
        <v>6.79576E-136</v>
      </c>
      <c r="O24015">
        <v>1239</v>
      </c>
    </row>
    <row r="24016" spans="1:15" x14ac:dyDescent="0.25">
      <c r="A24016" t="s">
        <v>24029</v>
      </c>
      <c r="B24016">
        <v>334</v>
      </c>
      <c r="C24016" s="1" t="str">
        <f>HYPERLINK("http://www.rosaceae.org/gb/gbrowse/malus_x_domestica/?name=MDP0000162533","MDP0000162533")</f>
        <v>MDP0000162533</v>
      </c>
      <c r="D24016">
        <v>37.659999999999997</v>
      </c>
      <c r="E24016">
        <v>77</v>
      </c>
      <c r="F24016">
        <v>48</v>
      </c>
      <c r="G24016">
        <v>5</v>
      </c>
      <c r="H24016">
        <v>115</v>
      </c>
      <c r="I24016">
        <v>186</v>
      </c>
      <c r="J24016">
        <v>1</v>
      </c>
      <c r="K24016">
        <v>101</v>
      </c>
      <c r="L24016">
        <v>177</v>
      </c>
      <c r="M24016">
        <v>1</v>
      </c>
      <c r="N24016">
        <v>7.0694100000000003E-8</v>
      </c>
      <c r="O24016">
        <v>132</v>
      </c>
    </row>
    <row r="24017" spans="1:15" x14ac:dyDescent="0.25">
      <c r="A24017" t="s">
        <v>24030</v>
      </c>
      <c r="B24017">
        <v>122</v>
      </c>
      <c r="C24017" s="1" t="str">
        <f>HYPERLINK("http://www.rosaceae.org/gb/gbrowse/malus_x_domestica/?name=MDP0000732061","MDP0000732061")</f>
        <v>MDP0000732061</v>
      </c>
      <c r="D24017">
        <v>91.3</v>
      </c>
      <c r="E24017">
        <v>23</v>
      </c>
      <c r="F24017">
        <v>2</v>
      </c>
      <c r="G24017">
        <v>0</v>
      </c>
      <c r="H24017">
        <v>1</v>
      </c>
      <c r="I24017">
        <v>23</v>
      </c>
      <c r="J24017">
        <v>1</v>
      </c>
      <c r="K24017">
        <v>336</v>
      </c>
      <c r="L24017">
        <v>358</v>
      </c>
      <c r="M24017">
        <v>1</v>
      </c>
      <c r="N24017">
        <v>1.29794E-7</v>
      </c>
      <c r="O24017">
        <v>123</v>
      </c>
    </row>
    <row r="24018" spans="1:15" x14ac:dyDescent="0.25">
      <c r="A24018" t="s">
        <v>24031</v>
      </c>
      <c r="B24018">
        <v>253</v>
      </c>
      <c r="C24018" s="1" t="str">
        <f>HYPERLINK("http://www.rosaceae.org/gb/gbrowse/malus_x_domestica/?name=MDP0000303817","MDP0000303817")</f>
        <v>MDP0000303817</v>
      </c>
      <c r="D24018">
        <v>76.47</v>
      </c>
      <c r="E24018">
        <v>170</v>
      </c>
      <c r="F24018">
        <v>40</v>
      </c>
      <c r="G24018">
        <v>2</v>
      </c>
      <c r="H24018">
        <v>73</v>
      </c>
      <c r="I24018">
        <v>242</v>
      </c>
      <c r="J24018">
        <v>1</v>
      </c>
      <c r="K24018">
        <v>1005</v>
      </c>
      <c r="L24018">
        <v>1172</v>
      </c>
      <c r="M24018">
        <v>1</v>
      </c>
      <c r="N24018">
        <v>9.6694200000000004E-70</v>
      </c>
      <c r="O24018">
        <v>664</v>
      </c>
    </row>
    <row r="24019" spans="1:15" x14ac:dyDescent="0.25">
      <c r="A24019" t="s">
        <v>24032</v>
      </c>
      <c r="B24019">
        <v>112</v>
      </c>
      <c r="C24019" s="1" t="str">
        <f>HYPERLINK("http://www.rosaceae.org/gb/gbrowse/malus_x_domestica/?name=MDP0000720497","MDP0000720497")</f>
        <v>MDP0000720497</v>
      </c>
      <c r="D24019">
        <v>72.41</v>
      </c>
      <c r="E24019">
        <v>87</v>
      </c>
      <c r="F24019">
        <v>24</v>
      </c>
      <c r="G24019">
        <v>2</v>
      </c>
      <c r="H24019">
        <v>12</v>
      </c>
      <c r="I24019">
        <v>96</v>
      </c>
      <c r="J24019">
        <v>1</v>
      </c>
      <c r="K24019">
        <v>37</v>
      </c>
      <c r="L24019">
        <v>123</v>
      </c>
      <c r="M24019">
        <v>1</v>
      </c>
      <c r="N24019">
        <v>4.5484899999999998E-29</v>
      </c>
      <c r="O24019">
        <v>308</v>
      </c>
    </row>
    <row r="24020" spans="1:15" x14ac:dyDescent="0.25">
      <c r="A24020" t="s">
        <v>24033</v>
      </c>
      <c r="B24020">
        <v>246</v>
      </c>
      <c r="C24020" s="1" t="str">
        <f>HYPERLINK("http://www.rosaceae.org/gb/gbrowse/malus_x_domestica/?name=MDP0000304811","MDP0000304811")</f>
        <v>MDP0000304811</v>
      </c>
      <c r="D24020">
        <v>78.430000000000007</v>
      </c>
      <c r="E24020">
        <v>102</v>
      </c>
      <c r="F24020">
        <v>22</v>
      </c>
      <c r="G24020">
        <v>0</v>
      </c>
      <c r="H24020">
        <v>70</v>
      </c>
      <c r="I24020">
        <v>171</v>
      </c>
      <c r="J24020">
        <v>1</v>
      </c>
      <c r="K24020">
        <v>320</v>
      </c>
      <c r="L24020">
        <v>421</v>
      </c>
      <c r="M24020">
        <v>1</v>
      </c>
      <c r="N24020">
        <v>4.10638E-41</v>
      </c>
      <c r="O24020">
        <v>417</v>
      </c>
    </row>
    <row r="24021" spans="1:15" x14ac:dyDescent="0.25">
      <c r="A24021" t="s">
        <v>24034</v>
      </c>
      <c r="B24021">
        <v>274</v>
      </c>
      <c r="C24021" s="1" t="str">
        <f>HYPERLINK("http://www.rosaceae.org/gb/gbrowse/malus_x_domestica/?name=MDP0000189652","MDP0000189652")</f>
        <v>MDP0000189652</v>
      </c>
      <c r="D24021">
        <v>71.89</v>
      </c>
      <c r="E24021">
        <v>274</v>
      </c>
      <c r="F24021">
        <v>77</v>
      </c>
      <c r="G24021">
        <v>8</v>
      </c>
      <c r="H24021">
        <v>1</v>
      </c>
      <c r="I24021">
        <v>274</v>
      </c>
      <c r="J24021">
        <v>1</v>
      </c>
      <c r="K24021">
        <v>1</v>
      </c>
      <c r="L24021">
        <v>266</v>
      </c>
      <c r="M24021">
        <v>1</v>
      </c>
      <c r="N24021">
        <v>2.0141600000000001E-110</v>
      </c>
      <c r="O24021">
        <v>1016</v>
      </c>
    </row>
    <row r="24022" spans="1:15" x14ac:dyDescent="0.25">
      <c r="A24022" t="s">
        <v>24035</v>
      </c>
      <c r="B24022">
        <v>733</v>
      </c>
      <c r="C24022" s="1" t="str">
        <f>HYPERLINK("http://www.rosaceae.org/gb/gbrowse/malus_x_domestica/?name=MDP0000511481","MDP0000511481")</f>
        <v>MDP0000511481</v>
      </c>
      <c r="D24022">
        <v>53.56</v>
      </c>
      <c r="E24022">
        <v>435</v>
      </c>
      <c r="F24022">
        <v>202</v>
      </c>
      <c r="G24022">
        <v>40</v>
      </c>
      <c r="H24022">
        <v>226</v>
      </c>
      <c r="I24022">
        <v>632</v>
      </c>
      <c r="J24022">
        <v>1</v>
      </c>
      <c r="K24022">
        <v>30</v>
      </c>
      <c r="L24022">
        <v>452</v>
      </c>
      <c r="M24022">
        <v>1</v>
      </c>
      <c r="N24022">
        <v>5.5360400000000002E-105</v>
      </c>
      <c r="O24022">
        <v>974</v>
      </c>
    </row>
    <row r="24023" spans="1:15" x14ac:dyDescent="0.25">
      <c r="A24023" t="s">
        <v>24036</v>
      </c>
      <c r="B24023">
        <v>98</v>
      </c>
      <c r="C24023" s="1" t="str">
        <f>HYPERLINK("http://www.rosaceae.org/gb/gbrowse/malus_x_domestica/?name=MDP0000320075","MDP0000320075")</f>
        <v>MDP0000320075</v>
      </c>
      <c r="D24023">
        <v>68.180000000000007</v>
      </c>
      <c r="E24023">
        <v>66</v>
      </c>
      <c r="F24023">
        <v>21</v>
      </c>
      <c r="G24023">
        <v>9</v>
      </c>
      <c r="H24023">
        <v>31</v>
      </c>
      <c r="I24023">
        <v>96</v>
      </c>
      <c r="J24023">
        <v>1</v>
      </c>
      <c r="K24023">
        <v>385</v>
      </c>
      <c r="L24023">
        <v>441</v>
      </c>
      <c r="M24023">
        <v>1</v>
      </c>
      <c r="N24023">
        <v>5.2153899999999997E-20</v>
      </c>
      <c r="O24023">
        <v>230</v>
      </c>
    </row>
    <row r="24024" spans="1:15" x14ac:dyDescent="0.25">
      <c r="A24024" t="s">
        <v>24037</v>
      </c>
      <c r="B24024">
        <v>1250</v>
      </c>
      <c r="C24024" s="1" t="str">
        <f>HYPERLINK("http://www.rosaceae.org/gb/gbrowse/malus_x_domestica/?name=MDP0000307969","MDP0000307969")</f>
        <v>MDP0000307969</v>
      </c>
      <c r="D24024">
        <v>73.41</v>
      </c>
      <c r="E24024">
        <v>632</v>
      </c>
      <c r="F24024">
        <v>168</v>
      </c>
      <c r="G24024">
        <v>15</v>
      </c>
      <c r="H24024">
        <v>1</v>
      </c>
      <c r="I24024">
        <v>618</v>
      </c>
      <c r="J24024">
        <v>1</v>
      </c>
      <c r="K24024">
        <v>1</v>
      </c>
      <c r="L24024">
        <v>631</v>
      </c>
      <c r="M24024">
        <v>1</v>
      </c>
      <c r="N24024">
        <v>0</v>
      </c>
      <c r="O24024">
        <v>2452</v>
      </c>
    </row>
    <row r="24025" spans="1:15" x14ac:dyDescent="0.25">
      <c r="A24025" t="s">
        <v>24038</v>
      </c>
      <c r="B24025">
        <v>485</v>
      </c>
      <c r="C24025" s="1" t="str">
        <f>HYPERLINK("http://www.rosaceae.org/gb/gbrowse/malus_x_domestica/?name=MDP0000951395","MDP0000951395")</f>
        <v>MDP0000951395</v>
      </c>
      <c r="D24025">
        <v>68.22</v>
      </c>
      <c r="E24025">
        <v>384</v>
      </c>
      <c r="F24025">
        <v>122</v>
      </c>
      <c r="G24025">
        <v>16</v>
      </c>
      <c r="H24025">
        <v>89</v>
      </c>
      <c r="I24025">
        <v>465</v>
      </c>
      <c r="J24025">
        <v>1</v>
      </c>
      <c r="K24025">
        <v>115</v>
      </c>
      <c r="L24025">
        <v>489</v>
      </c>
      <c r="M24025">
        <v>1</v>
      </c>
      <c r="N24025">
        <v>2.3530699999999999E-153</v>
      </c>
      <c r="O24025">
        <v>1389</v>
      </c>
    </row>
    <row r="24026" spans="1:15" x14ac:dyDescent="0.25">
      <c r="A24026" t="s">
        <v>24039</v>
      </c>
      <c r="B24026">
        <v>515</v>
      </c>
      <c r="C24026" s="1" t="str">
        <f>HYPERLINK("http://www.rosaceae.org/gb/gbrowse/malus_x_domestica/?name=MDP0000231072","MDP0000231072")</f>
        <v>MDP0000231072</v>
      </c>
      <c r="D24026">
        <v>37.78</v>
      </c>
      <c r="E24026">
        <v>442</v>
      </c>
      <c r="F24026">
        <v>275</v>
      </c>
      <c r="G24026">
        <v>66</v>
      </c>
      <c r="H24026">
        <v>57</v>
      </c>
      <c r="I24026">
        <v>450</v>
      </c>
      <c r="J24026">
        <v>1</v>
      </c>
      <c r="K24026">
        <v>4</v>
      </c>
      <c r="L24026">
        <v>427</v>
      </c>
      <c r="M24026">
        <v>1</v>
      </c>
      <c r="N24026">
        <v>5.5854399999999999E-61</v>
      </c>
      <c r="O24026">
        <v>592</v>
      </c>
    </row>
    <row r="24027" spans="1:15" x14ac:dyDescent="0.25">
      <c r="A24027" t="s">
        <v>24040</v>
      </c>
      <c r="B24027">
        <v>316</v>
      </c>
      <c r="C24027" s="1" t="str">
        <f>HYPERLINK("http://www.rosaceae.org/gb/gbrowse/malus_x_domestica/?name=MDP0000210968","MDP0000210968")</f>
        <v>MDP0000210968</v>
      </c>
      <c r="D24027">
        <v>32.840000000000003</v>
      </c>
      <c r="E24027">
        <v>341</v>
      </c>
      <c r="F24027">
        <v>229</v>
      </c>
      <c r="G24027">
        <v>64</v>
      </c>
      <c r="H24027">
        <v>10</v>
      </c>
      <c r="I24027">
        <v>300</v>
      </c>
      <c r="J24027">
        <v>1</v>
      </c>
      <c r="K24027">
        <v>34</v>
      </c>
      <c r="L24027">
        <v>360</v>
      </c>
      <c r="M24027">
        <v>1</v>
      </c>
      <c r="N24027">
        <v>1.47824E-31</v>
      </c>
      <c r="O24027">
        <v>336</v>
      </c>
    </row>
    <row r="24028" spans="1:15" x14ac:dyDescent="0.25">
      <c r="A24028" t="s">
        <v>24041</v>
      </c>
      <c r="B24028">
        <v>233</v>
      </c>
      <c r="C24028" s="1" t="str">
        <f>HYPERLINK("http://www.rosaceae.org/gb/gbrowse/malus_x_domestica/?name=MDP0000846081","MDP0000846081")</f>
        <v>MDP0000846081</v>
      </c>
      <c r="D24028">
        <v>70.760000000000005</v>
      </c>
      <c r="E24028">
        <v>130</v>
      </c>
      <c r="F24028">
        <v>38</v>
      </c>
      <c r="G24028">
        <v>2</v>
      </c>
      <c r="H24028">
        <v>1</v>
      </c>
      <c r="I24028">
        <v>129</v>
      </c>
      <c r="J24028">
        <v>1</v>
      </c>
      <c r="K24028">
        <v>19</v>
      </c>
      <c r="L24028">
        <v>147</v>
      </c>
      <c r="M24028">
        <v>1</v>
      </c>
      <c r="N24028">
        <v>2.6551400000000001E-51</v>
      </c>
      <c r="O24028">
        <v>505</v>
      </c>
    </row>
    <row r="24029" spans="1:15" x14ac:dyDescent="0.25">
      <c r="A24029" t="s">
        <v>24042</v>
      </c>
      <c r="B24029">
        <v>1003</v>
      </c>
      <c r="C24029" s="1" t="str">
        <f>HYPERLINK("http://www.rosaceae.org/gb/gbrowse/malus_x_domestica/?name=MDP0000250717","MDP0000250717")</f>
        <v>MDP0000250717</v>
      </c>
      <c r="D24029">
        <v>72.63</v>
      </c>
      <c r="E24029">
        <v>720</v>
      </c>
      <c r="F24029">
        <v>197</v>
      </c>
      <c r="G24029">
        <v>21</v>
      </c>
      <c r="H24029">
        <v>9</v>
      </c>
      <c r="I24029">
        <v>717</v>
      </c>
      <c r="J24029">
        <v>1</v>
      </c>
      <c r="K24029">
        <v>1</v>
      </c>
      <c r="L24029">
        <v>710</v>
      </c>
      <c r="M24029">
        <v>1</v>
      </c>
      <c r="N24029">
        <v>0</v>
      </c>
      <c r="O24029">
        <v>2587</v>
      </c>
    </row>
    <row r="24030" spans="1:15" x14ac:dyDescent="0.25">
      <c r="A24030" t="s">
        <v>24043</v>
      </c>
      <c r="B24030">
        <v>552</v>
      </c>
      <c r="C24030" s="1" t="str">
        <f>HYPERLINK("http://www.rosaceae.org/gb/gbrowse/malus_x_domestica/?name=MDP0000686221","MDP0000686221")</f>
        <v>MDP0000686221</v>
      </c>
      <c r="D24030">
        <v>32.840000000000003</v>
      </c>
      <c r="E24030">
        <v>341</v>
      </c>
      <c r="F24030">
        <v>229</v>
      </c>
      <c r="G24030">
        <v>65</v>
      </c>
      <c r="H24030">
        <v>255</v>
      </c>
      <c r="I24030">
        <v>549</v>
      </c>
      <c r="J24030">
        <v>1</v>
      </c>
      <c r="K24030">
        <v>785</v>
      </c>
      <c r="L24030">
        <v>1106</v>
      </c>
      <c r="M24030">
        <v>1</v>
      </c>
      <c r="N24030">
        <v>2.6455099999999999E-32</v>
      </c>
      <c r="O24030">
        <v>346</v>
      </c>
    </row>
    <row r="24031" spans="1:15" x14ac:dyDescent="0.25">
      <c r="A24031" t="s">
        <v>24044</v>
      </c>
      <c r="B24031">
        <v>188</v>
      </c>
      <c r="C24031" s="1" t="str">
        <f>HYPERLINK("http://www.rosaceae.org/gb/gbrowse/malus_x_domestica/?name=MDP0000222576","MDP0000222576")</f>
        <v>MDP0000222576</v>
      </c>
      <c r="D24031">
        <v>43.34</v>
      </c>
      <c r="E24031">
        <v>203</v>
      </c>
      <c r="F24031">
        <v>115</v>
      </c>
      <c r="G24031">
        <v>55</v>
      </c>
      <c r="H24031">
        <v>1</v>
      </c>
      <c r="I24031">
        <v>185</v>
      </c>
      <c r="J24031">
        <v>1</v>
      </c>
      <c r="K24031">
        <v>1</v>
      </c>
      <c r="L24031">
        <v>166</v>
      </c>
      <c r="M24031">
        <v>1</v>
      </c>
      <c r="N24031">
        <v>7.1463799999999995E-27</v>
      </c>
      <c r="O24031">
        <v>293</v>
      </c>
    </row>
    <row r="24032" spans="1:15" x14ac:dyDescent="0.25">
      <c r="A24032" t="s">
        <v>24045</v>
      </c>
      <c r="B24032">
        <v>205</v>
      </c>
      <c r="C24032" s="1" t="str">
        <f>HYPERLINK("http://www.rosaceae.org/gb/gbrowse/malus_x_domestica/?name=MDP0000372007","MDP0000372007")</f>
        <v>MDP0000372007</v>
      </c>
      <c r="D24032">
        <v>62.06</v>
      </c>
      <c r="E24032">
        <v>58</v>
      </c>
      <c r="F24032">
        <v>22</v>
      </c>
      <c r="G24032">
        <v>0</v>
      </c>
      <c r="H24032">
        <v>148</v>
      </c>
      <c r="I24032">
        <v>205</v>
      </c>
      <c r="J24032">
        <v>1</v>
      </c>
      <c r="K24032">
        <v>80</v>
      </c>
      <c r="L24032">
        <v>137</v>
      </c>
      <c r="M24032">
        <v>1</v>
      </c>
      <c r="N24032">
        <v>7.3805899999999997E-14</v>
      </c>
      <c r="O24032">
        <v>181</v>
      </c>
    </row>
    <row r="24033" spans="1:15" x14ac:dyDescent="0.25">
      <c r="A24033" t="s">
        <v>24046</v>
      </c>
      <c r="B24033">
        <v>597</v>
      </c>
      <c r="C24033" s="1" t="str">
        <f>HYPERLINK("http://www.rosaceae.org/gb/gbrowse/malus_x_domestica/?name=MDP0000709073","MDP0000709073")</f>
        <v>MDP0000709073</v>
      </c>
      <c r="D24033">
        <v>44.02</v>
      </c>
      <c r="E24033">
        <v>452</v>
      </c>
      <c r="F24033">
        <v>253</v>
      </c>
      <c r="G24033">
        <v>19</v>
      </c>
      <c r="H24033">
        <v>87</v>
      </c>
      <c r="I24033">
        <v>527</v>
      </c>
      <c r="J24033">
        <v>1</v>
      </c>
      <c r="K24033">
        <v>129</v>
      </c>
      <c r="L24033">
        <v>572</v>
      </c>
      <c r="M24033">
        <v>1</v>
      </c>
      <c r="N24033">
        <v>7.7232200000000001E-103</v>
      </c>
      <c r="O24033">
        <v>954</v>
      </c>
    </row>
    <row r="24034" spans="1:15" x14ac:dyDescent="0.25">
      <c r="A24034" t="s">
        <v>24047</v>
      </c>
      <c r="B24034">
        <v>67</v>
      </c>
      <c r="C24034" s="1" t="str">
        <f>HYPERLINK("http://www.rosaceae.org/gb/gbrowse/malus_x_domestica/?name=MDP0000201481","MDP0000201481")</f>
        <v>MDP0000201481</v>
      </c>
      <c r="D24034">
        <v>47.36</v>
      </c>
      <c r="E24034">
        <v>57</v>
      </c>
      <c r="F24034">
        <v>30</v>
      </c>
      <c r="G24034">
        <v>0</v>
      </c>
      <c r="H24034">
        <v>9</v>
      </c>
      <c r="I24034">
        <v>65</v>
      </c>
      <c r="J24034">
        <v>1</v>
      </c>
      <c r="K24034">
        <v>23</v>
      </c>
      <c r="L24034">
        <v>79</v>
      </c>
      <c r="M24034">
        <v>1</v>
      </c>
      <c r="N24034">
        <v>2.50308E-9</v>
      </c>
      <c r="O24034">
        <v>138</v>
      </c>
    </row>
    <row r="24035" spans="1:15" x14ac:dyDescent="0.25">
      <c r="A24035" t="s">
        <v>24048</v>
      </c>
      <c r="B24035">
        <v>837</v>
      </c>
      <c r="C24035" s="1" t="str">
        <f>HYPERLINK("http://www.rosaceae.org/gb/gbrowse/malus_x_domestica/?name=MDP0000309212","MDP0000309212")</f>
        <v>MDP0000309212</v>
      </c>
      <c r="D24035">
        <v>63.56</v>
      </c>
      <c r="E24035">
        <v>719</v>
      </c>
      <c r="F24035">
        <v>262</v>
      </c>
      <c r="G24035">
        <v>61</v>
      </c>
      <c r="H24035">
        <v>131</v>
      </c>
      <c r="I24035">
        <v>837</v>
      </c>
      <c r="J24035">
        <v>1</v>
      </c>
      <c r="K24035">
        <v>3</v>
      </c>
      <c r="L24035">
        <v>672</v>
      </c>
      <c r="M24035">
        <v>1</v>
      </c>
      <c r="N24035">
        <v>0</v>
      </c>
      <c r="O24035">
        <v>2233</v>
      </c>
    </row>
    <row r="24036" spans="1:15" x14ac:dyDescent="0.25">
      <c r="A24036" t="s">
        <v>24049</v>
      </c>
      <c r="B24036">
        <v>170</v>
      </c>
      <c r="C24036" s="1" t="str">
        <f>HYPERLINK("http://www.rosaceae.org/gb/gbrowse/malus_x_domestica/?name=MDP0000273744","MDP0000273744")</f>
        <v>MDP0000273744</v>
      </c>
      <c r="D24036">
        <v>62.5</v>
      </c>
      <c r="E24036">
        <v>64</v>
      </c>
      <c r="F24036">
        <v>24</v>
      </c>
      <c r="G24036">
        <v>6</v>
      </c>
      <c r="H24036">
        <v>86</v>
      </c>
      <c r="I24036">
        <v>149</v>
      </c>
      <c r="J24036">
        <v>1</v>
      </c>
      <c r="K24036">
        <v>105</v>
      </c>
      <c r="L24036">
        <v>162</v>
      </c>
      <c r="M24036">
        <v>1</v>
      </c>
      <c r="N24036">
        <v>3.7319500000000001E-13</v>
      </c>
      <c r="O24036">
        <v>174</v>
      </c>
    </row>
    <row r="24037" spans="1:15" x14ac:dyDescent="0.25">
      <c r="A24037" t="s">
        <v>24050</v>
      </c>
      <c r="B24037">
        <v>255</v>
      </c>
      <c r="C24037" s="1" t="str">
        <f>HYPERLINK("http://www.rosaceae.org/gb/gbrowse/malus_x_domestica/?name=MDP0000282760","MDP0000282760")</f>
        <v>MDP0000282760</v>
      </c>
      <c r="D24037">
        <v>69.69</v>
      </c>
      <c r="E24037">
        <v>132</v>
      </c>
      <c r="F24037">
        <v>40</v>
      </c>
      <c r="G24037">
        <v>0</v>
      </c>
      <c r="H24037">
        <v>50</v>
      </c>
      <c r="I24037">
        <v>181</v>
      </c>
      <c r="J24037">
        <v>1</v>
      </c>
      <c r="K24037">
        <v>457</v>
      </c>
      <c r="L24037">
        <v>588</v>
      </c>
      <c r="M24037">
        <v>1</v>
      </c>
      <c r="N24037">
        <v>1.4351999999999999E-47</v>
      </c>
      <c r="O24037">
        <v>473</v>
      </c>
    </row>
    <row r="24038" spans="1:15" x14ac:dyDescent="0.25">
      <c r="A24038" t="s">
        <v>24051</v>
      </c>
      <c r="B24038">
        <v>3251</v>
      </c>
      <c r="C24038" s="1" t="str">
        <f>HYPERLINK("http://www.rosaceae.org/gb/gbrowse/malus_x_domestica/?name=MDP0000208703","MDP0000208703")</f>
        <v>MDP0000208703</v>
      </c>
      <c r="D24038">
        <v>77.77</v>
      </c>
      <c r="E24038">
        <v>54</v>
      </c>
      <c r="F24038">
        <v>12</v>
      </c>
      <c r="G24038">
        <v>0</v>
      </c>
      <c r="H24038">
        <v>2093</v>
      </c>
      <c r="I24038">
        <v>2146</v>
      </c>
      <c r="J24038">
        <v>1</v>
      </c>
      <c r="K24038">
        <v>725</v>
      </c>
      <c r="L24038">
        <v>778</v>
      </c>
      <c r="M24038">
        <v>1</v>
      </c>
      <c r="N24038">
        <v>6.7406900000000003E-15</v>
      </c>
      <c r="O24038">
        <v>203</v>
      </c>
    </row>
    <row r="24039" spans="1:15" x14ac:dyDescent="0.25">
      <c r="A24039" t="s">
        <v>24052</v>
      </c>
      <c r="B24039">
        <v>578</v>
      </c>
      <c r="C24039" s="1" t="str">
        <f>HYPERLINK("http://www.rosaceae.org/gb/gbrowse/malus_x_domestica/?name=MDP0000279550","MDP0000279550")</f>
        <v>MDP0000279550</v>
      </c>
      <c r="D24039">
        <v>50.4</v>
      </c>
      <c r="E24039">
        <v>496</v>
      </c>
      <c r="F24039">
        <v>246</v>
      </c>
      <c r="G24039">
        <v>9</v>
      </c>
      <c r="H24039">
        <v>2</v>
      </c>
      <c r="I24039">
        <v>491</v>
      </c>
      <c r="J24039">
        <v>1</v>
      </c>
      <c r="K24039">
        <v>483</v>
      </c>
      <c r="L24039">
        <v>975</v>
      </c>
      <c r="M24039">
        <v>1</v>
      </c>
      <c r="N24039">
        <v>5.9815399999999999E-128</v>
      </c>
      <c r="O24039">
        <v>1171</v>
      </c>
    </row>
    <row r="24040" spans="1:15" x14ac:dyDescent="0.25">
      <c r="A24040" t="s">
        <v>24053</v>
      </c>
      <c r="B24040">
        <v>252</v>
      </c>
      <c r="C24040" s="1" t="str">
        <f>HYPERLINK("http://www.rosaceae.org/gb/gbrowse/malus_x_domestica/?name=MDP0000289755","MDP0000289755")</f>
        <v>MDP0000289755</v>
      </c>
      <c r="D24040">
        <v>86.04</v>
      </c>
      <c r="E24040">
        <v>86</v>
      </c>
      <c r="F24040">
        <v>12</v>
      </c>
      <c r="G24040">
        <v>0</v>
      </c>
      <c r="H24040">
        <v>120</v>
      </c>
      <c r="I24040">
        <v>205</v>
      </c>
      <c r="J24040">
        <v>1</v>
      </c>
      <c r="K24040">
        <v>1390</v>
      </c>
      <c r="L24040">
        <v>1475</v>
      </c>
      <c r="M24040">
        <v>1</v>
      </c>
      <c r="N24040">
        <v>2.42401E-42</v>
      </c>
      <c r="O24040">
        <v>428</v>
      </c>
    </row>
    <row r="24041" spans="1:15" x14ac:dyDescent="0.25">
      <c r="A24041" t="s">
        <v>24054</v>
      </c>
      <c r="B24041">
        <v>125</v>
      </c>
      <c r="C24041" s="1" t="str">
        <f>HYPERLINK("http://www.rosaceae.org/gb/gbrowse/malus_x_domestica/?name=MDP0000311132","MDP0000311132")</f>
        <v>MDP0000311132</v>
      </c>
      <c r="D24041">
        <v>95.65</v>
      </c>
      <c r="E24041">
        <v>115</v>
      </c>
      <c r="F24041">
        <v>5</v>
      </c>
      <c r="G24041">
        <v>0</v>
      </c>
      <c r="H24041">
        <v>1</v>
      </c>
      <c r="I24041">
        <v>115</v>
      </c>
      <c r="J24041">
        <v>1</v>
      </c>
      <c r="K24041">
        <v>703</v>
      </c>
      <c r="L24041">
        <v>817</v>
      </c>
      <c r="M24041">
        <v>1</v>
      </c>
      <c r="N24041">
        <v>8.6752599999999998E-66</v>
      </c>
      <c r="O24041">
        <v>625</v>
      </c>
    </row>
    <row r="24042" spans="1:15" x14ac:dyDescent="0.25">
      <c r="A24042" t="s">
        <v>24055</v>
      </c>
      <c r="B24042">
        <v>303</v>
      </c>
      <c r="C24042" s="1" t="str">
        <f>HYPERLINK("http://www.rosaceae.org/gb/gbrowse/malus_x_domestica/?name=MDP0000325761","MDP0000325761")</f>
        <v>MDP0000325761</v>
      </c>
      <c r="D24042">
        <v>48.51</v>
      </c>
      <c r="E24042">
        <v>303</v>
      </c>
      <c r="F24042">
        <v>156</v>
      </c>
      <c r="G24042">
        <v>3</v>
      </c>
      <c r="H24042">
        <v>1</v>
      </c>
      <c r="I24042">
        <v>301</v>
      </c>
      <c r="J24042">
        <v>1</v>
      </c>
      <c r="K24042">
        <v>172</v>
      </c>
      <c r="L24042">
        <v>473</v>
      </c>
      <c r="M24042">
        <v>1</v>
      </c>
      <c r="N24042">
        <v>1.63051E-80</v>
      </c>
      <c r="O24042">
        <v>758</v>
      </c>
    </row>
    <row r="24043" spans="1:15" x14ac:dyDescent="0.25">
      <c r="A24043" t="s">
        <v>24056</v>
      </c>
      <c r="B24043">
        <v>407</v>
      </c>
      <c r="C24043" s="1" t="str">
        <f>HYPERLINK("http://www.rosaceae.org/gb/gbrowse/malus_x_domestica/?name=MDP0000291710","MDP0000291710")</f>
        <v>MDP0000291710</v>
      </c>
      <c r="D24043">
        <v>25.55</v>
      </c>
      <c r="E24043">
        <v>227</v>
      </c>
      <c r="F24043">
        <v>169</v>
      </c>
      <c r="G24043">
        <v>32</v>
      </c>
      <c r="H24043">
        <v>15</v>
      </c>
      <c r="I24043">
        <v>215</v>
      </c>
      <c r="J24043">
        <v>1</v>
      </c>
      <c r="K24043">
        <v>104</v>
      </c>
      <c r="L24043">
        <v>324</v>
      </c>
      <c r="M24043">
        <v>1</v>
      </c>
      <c r="N24043">
        <v>6.9624800000000004E-13</v>
      </c>
      <c r="O24043">
        <v>177</v>
      </c>
    </row>
    <row r="24044" spans="1:15" x14ac:dyDescent="0.25">
      <c r="A24044" t="s">
        <v>24057</v>
      </c>
      <c r="B24044">
        <v>380</v>
      </c>
      <c r="C24044" s="1" t="str">
        <f>HYPERLINK("http://www.rosaceae.org/gb/gbrowse/malus_x_domestica/?name=MDP0000514027","MDP0000514027")</f>
        <v>MDP0000514027</v>
      </c>
      <c r="D24044">
        <v>76.069999999999993</v>
      </c>
      <c r="E24044">
        <v>301</v>
      </c>
      <c r="F24044">
        <v>72</v>
      </c>
      <c r="G24044">
        <v>1</v>
      </c>
      <c r="H24044">
        <v>1</v>
      </c>
      <c r="I24044">
        <v>301</v>
      </c>
      <c r="J24044">
        <v>1</v>
      </c>
      <c r="K24044">
        <v>17</v>
      </c>
      <c r="L24044">
        <v>316</v>
      </c>
      <c r="M24044">
        <v>1</v>
      </c>
      <c r="N24044">
        <v>3.1643399999999998E-132</v>
      </c>
      <c r="O24044">
        <v>1205</v>
      </c>
    </row>
    <row r="24045" spans="1:15" x14ac:dyDescent="0.25">
      <c r="A24045" t="s">
        <v>24058</v>
      </c>
      <c r="B24045">
        <v>413</v>
      </c>
      <c r="C24045" s="1" t="str">
        <f>HYPERLINK("http://www.rosaceae.org/gb/gbrowse/malus_x_domestica/?name=MDP0000456821","MDP0000456821")</f>
        <v>MDP0000456821</v>
      </c>
      <c r="D24045">
        <v>52.83</v>
      </c>
      <c r="E24045">
        <v>212</v>
      </c>
      <c r="F24045">
        <v>100</v>
      </c>
      <c r="G24045">
        <v>9</v>
      </c>
      <c r="H24045">
        <v>142</v>
      </c>
      <c r="I24045">
        <v>344</v>
      </c>
      <c r="J24045">
        <v>1</v>
      </c>
      <c r="K24045">
        <v>779</v>
      </c>
      <c r="L24045">
        <v>990</v>
      </c>
      <c r="M24045">
        <v>1</v>
      </c>
      <c r="N24045">
        <v>1.9126699999999999E-48</v>
      </c>
      <c r="O24045">
        <v>483</v>
      </c>
    </row>
    <row r="24046" spans="1:15" x14ac:dyDescent="0.25">
      <c r="A24046" t="s">
        <v>24059</v>
      </c>
      <c r="B24046">
        <v>344</v>
      </c>
      <c r="C24046" s="1" t="str">
        <f>HYPERLINK("http://www.rosaceae.org/gb/gbrowse/malus_x_domestica/?name=MDP0000778372","MDP0000778372")</f>
        <v>MDP0000778372</v>
      </c>
      <c r="D24046">
        <v>63.79</v>
      </c>
      <c r="E24046">
        <v>337</v>
      </c>
      <c r="F24046">
        <v>122</v>
      </c>
      <c r="G24046">
        <v>5</v>
      </c>
      <c r="H24046">
        <v>6</v>
      </c>
      <c r="I24046">
        <v>340</v>
      </c>
      <c r="J24046">
        <v>1</v>
      </c>
      <c r="K24046">
        <v>13</v>
      </c>
      <c r="L24046">
        <v>346</v>
      </c>
      <c r="M24046">
        <v>1</v>
      </c>
      <c r="N24046">
        <v>5.9469900000000004E-118</v>
      </c>
      <c r="O24046">
        <v>1082</v>
      </c>
    </row>
    <row r="24047" spans="1:15" x14ac:dyDescent="0.25">
      <c r="A24047" t="s">
        <v>24060</v>
      </c>
      <c r="B24047">
        <v>360</v>
      </c>
      <c r="C24047" s="1" t="str">
        <f>HYPERLINK("http://www.rosaceae.org/gb/gbrowse/malus_x_domestica/?name=MDP0000315368","MDP0000315368")</f>
        <v>MDP0000315368</v>
      </c>
      <c r="D24047">
        <v>49.23</v>
      </c>
      <c r="E24047">
        <v>392</v>
      </c>
      <c r="F24047">
        <v>199</v>
      </c>
      <c r="G24047">
        <v>35</v>
      </c>
      <c r="H24047">
        <v>1</v>
      </c>
      <c r="I24047">
        <v>359</v>
      </c>
      <c r="J24047">
        <v>1</v>
      </c>
      <c r="K24047">
        <v>1</v>
      </c>
      <c r="L24047">
        <v>390</v>
      </c>
      <c r="M24047">
        <v>1</v>
      </c>
      <c r="N24047">
        <v>9.5518799999999999E-90</v>
      </c>
      <c r="O24047">
        <v>839</v>
      </c>
    </row>
    <row r="24048" spans="1:15" x14ac:dyDescent="0.25">
      <c r="A24048" t="s">
        <v>24061</v>
      </c>
      <c r="B24048">
        <v>247</v>
      </c>
      <c r="C24048" s="1" t="str">
        <f>HYPERLINK("http://www.rosaceae.org/gb/gbrowse/malus_x_domestica/?name=MDP0000733075","MDP0000733075")</f>
        <v>MDP0000733075</v>
      </c>
      <c r="D24048">
        <v>44.61</v>
      </c>
      <c r="E24048">
        <v>195</v>
      </c>
      <c r="F24048">
        <v>108</v>
      </c>
      <c r="G24048">
        <v>14</v>
      </c>
      <c r="H24048">
        <v>3</v>
      </c>
      <c r="I24048">
        <v>194</v>
      </c>
      <c r="J24048">
        <v>1</v>
      </c>
      <c r="K24048">
        <v>1</v>
      </c>
      <c r="L24048">
        <v>184</v>
      </c>
      <c r="M24048">
        <v>1</v>
      </c>
      <c r="N24048">
        <v>9.5458699999999998E-33</v>
      </c>
      <c r="O24048">
        <v>345</v>
      </c>
    </row>
    <row r="24049" spans="1:15" x14ac:dyDescent="0.25">
      <c r="A24049" t="s">
        <v>24062</v>
      </c>
      <c r="B24049">
        <v>1115</v>
      </c>
      <c r="C24049" s="1" t="str">
        <f>HYPERLINK("http://www.rosaceae.org/gb/gbrowse/malus_x_domestica/?name=MDP0000244622","MDP0000244622")</f>
        <v>MDP0000244622</v>
      </c>
      <c r="D24049">
        <v>52.04</v>
      </c>
      <c r="E24049">
        <v>98</v>
      </c>
      <c r="F24049">
        <v>47</v>
      </c>
      <c r="G24049">
        <v>2</v>
      </c>
      <c r="H24049">
        <v>174</v>
      </c>
      <c r="I24049">
        <v>269</v>
      </c>
      <c r="J24049">
        <v>1</v>
      </c>
      <c r="K24049">
        <v>576</v>
      </c>
      <c r="L24049">
        <v>673</v>
      </c>
      <c r="M24049">
        <v>1</v>
      </c>
      <c r="N24049">
        <v>2.8771800000000002E-21</v>
      </c>
      <c r="O24049">
        <v>253</v>
      </c>
    </row>
    <row r="24050" spans="1:15" x14ac:dyDescent="0.25">
      <c r="A24050" t="s">
        <v>24063</v>
      </c>
      <c r="B24050">
        <v>211</v>
      </c>
      <c r="C24050" s="1" t="str">
        <f>HYPERLINK("http://www.rosaceae.org/gb/gbrowse/malus_x_domestica/?name=MDP0000308372","MDP0000308372")</f>
        <v>MDP0000308372</v>
      </c>
      <c r="D24050">
        <v>55.55</v>
      </c>
      <c r="E24050">
        <v>198</v>
      </c>
      <c r="F24050">
        <v>88</v>
      </c>
      <c r="G24050">
        <v>20</v>
      </c>
      <c r="H24050">
        <v>4</v>
      </c>
      <c r="I24050">
        <v>197</v>
      </c>
      <c r="J24050">
        <v>1</v>
      </c>
      <c r="K24050">
        <v>538</v>
      </c>
      <c r="L24050">
        <v>719</v>
      </c>
      <c r="M24050">
        <v>1</v>
      </c>
      <c r="N24050">
        <v>3.1035899999999999E-55</v>
      </c>
      <c r="O24050">
        <v>538</v>
      </c>
    </row>
    <row r="24051" spans="1:15" x14ac:dyDescent="0.25">
      <c r="A24051" t="s">
        <v>24064</v>
      </c>
      <c r="B24051">
        <v>256</v>
      </c>
      <c r="C24051" s="1" t="str">
        <f>HYPERLINK("http://www.rosaceae.org/gb/gbrowse/malus_x_domestica/?name=MDP0000312014","MDP0000312014")</f>
        <v>MDP0000312014</v>
      </c>
      <c r="D24051">
        <v>78.8</v>
      </c>
      <c r="E24051">
        <v>250</v>
      </c>
      <c r="F24051">
        <v>53</v>
      </c>
      <c r="G24051">
        <v>0</v>
      </c>
      <c r="H24051">
        <v>2</v>
      </c>
      <c r="I24051">
        <v>251</v>
      </c>
      <c r="J24051">
        <v>1</v>
      </c>
      <c r="K24051">
        <v>6</v>
      </c>
      <c r="L24051">
        <v>255</v>
      </c>
      <c r="M24051">
        <v>1</v>
      </c>
      <c r="N24051">
        <v>4.0538299999999997E-114</v>
      </c>
      <c r="O24051">
        <v>1047</v>
      </c>
    </row>
    <row r="24052" spans="1:15" x14ac:dyDescent="0.25">
      <c r="A24052" t="s">
        <v>24065</v>
      </c>
      <c r="B24052">
        <v>528</v>
      </c>
      <c r="C24052" s="1" t="str">
        <f>HYPERLINK("http://www.rosaceae.org/gb/gbrowse/malus_x_domestica/?name=MDP0000815435","MDP0000815435")</f>
        <v>MDP0000815435</v>
      </c>
      <c r="D24052">
        <v>82.53</v>
      </c>
      <c r="E24052">
        <v>498</v>
      </c>
      <c r="F24052">
        <v>87</v>
      </c>
      <c r="G24052">
        <v>8</v>
      </c>
      <c r="H24052">
        <v>36</v>
      </c>
      <c r="I24052">
        <v>528</v>
      </c>
      <c r="J24052">
        <v>1</v>
      </c>
      <c r="K24052">
        <v>1</v>
      </c>
      <c r="L24052">
        <v>495</v>
      </c>
      <c r="M24052">
        <v>1</v>
      </c>
      <c r="N24052">
        <v>0</v>
      </c>
      <c r="O24052">
        <v>2108</v>
      </c>
    </row>
    <row r="24053" spans="1:15" x14ac:dyDescent="0.25">
      <c r="A24053" t="s">
        <v>24066</v>
      </c>
      <c r="B24053">
        <v>575</v>
      </c>
      <c r="C24053" s="1" t="str">
        <f>HYPERLINK("http://www.rosaceae.org/gb/gbrowse/malus_x_domestica/?name=MDP0000279433","MDP0000279433")</f>
        <v>MDP0000279433</v>
      </c>
      <c r="D24053">
        <v>76.040000000000006</v>
      </c>
      <c r="E24053">
        <v>480</v>
      </c>
      <c r="F24053">
        <v>115</v>
      </c>
      <c r="G24053">
        <v>66</v>
      </c>
      <c r="H24053">
        <v>105</v>
      </c>
      <c r="I24053">
        <v>575</v>
      </c>
      <c r="J24053">
        <v>1</v>
      </c>
      <c r="K24053">
        <v>1</v>
      </c>
      <c r="L24053">
        <v>423</v>
      </c>
      <c r="M24053">
        <v>1</v>
      </c>
      <c r="N24053">
        <v>0</v>
      </c>
      <c r="O24053">
        <v>1843</v>
      </c>
    </row>
    <row r="24054" spans="1:15" x14ac:dyDescent="0.25">
      <c r="A24054" t="s">
        <v>24067</v>
      </c>
      <c r="B24054">
        <v>490</v>
      </c>
      <c r="C24054" s="1" t="str">
        <f>HYPERLINK("http://www.rosaceae.org/gb/gbrowse/malus_x_domestica/?name=MDP0000232885","MDP0000232885")</f>
        <v>MDP0000232885</v>
      </c>
      <c r="D24054">
        <v>87.05</v>
      </c>
      <c r="E24054">
        <v>502</v>
      </c>
      <c r="F24054">
        <v>65</v>
      </c>
      <c r="G24054">
        <v>19</v>
      </c>
      <c r="H24054">
        <v>7</v>
      </c>
      <c r="I24054">
        <v>490</v>
      </c>
      <c r="J24054">
        <v>1</v>
      </c>
      <c r="K24054">
        <v>13</v>
      </c>
      <c r="L24054">
        <v>513</v>
      </c>
      <c r="M24054">
        <v>1</v>
      </c>
      <c r="N24054">
        <v>0</v>
      </c>
      <c r="O24054">
        <v>2339</v>
      </c>
    </row>
    <row r="24055" spans="1:15" x14ac:dyDescent="0.25">
      <c r="A24055" t="s">
        <v>24068</v>
      </c>
      <c r="B24055">
        <v>571</v>
      </c>
      <c r="C24055" s="1" t="str">
        <f>HYPERLINK("http://www.rosaceae.org/gb/gbrowse/malus_x_domestica/?name=MDP0000231245","MDP0000231245")</f>
        <v>MDP0000231245</v>
      </c>
      <c r="D24055">
        <v>76.38</v>
      </c>
      <c r="E24055">
        <v>576</v>
      </c>
      <c r="F24055">
        <v>136</v>
      </c>
      <c r="G24055">
        <v>6</v>
      </c>
      <c r="H24055">
        <v>1</v>
      </c>
      <c r="I24055">
        <v>571</v>
      </c>
      <c r="J24055">
        <v>1</v>
      </c>
      <c r="K24055">
        <v>1</v>
      </c>
      <c r="L24055">
        <v>575</v>
      </c>
      <c r="M24055">
        <v>1</v>
      </c>
      <c r="N24055">
        <v>0</v>
      </c>
      <c r="O24055">
        <v>2346</v>
      </c>
    </row>
    <row r="24056" spans="1:15" x14ac:dyDescent="0.25">
      <c r="A24056" t="s">
        <v>24069</v>
      </c>
      <c r="B24056">
        <v>706</v>
      </c>
      <c r="C24056" s="1" t="str">
        <f>HYPERLINK("http://www.rosaceae.org/gb/gbrowse/malus_x_domestica/?name=MDP0000222450","MDP0000222450")</f>
        <v>MDP0000222450</v>
      </c>
      <c r="D24056">
        <v>77.56</v>
      </c>
      <c r="E24056">
        <v>731</v>
      </c>
      <c r="F24056">
        <v>164</v>
      </c>
      <c r="G24056">
        <v>63</v>
      </c>
      <c r="H24056">
        <v>1</v>
      </c>
      <c r="I24056">
        <v>682</v>
      </c>
      <c r="J24056">
        <v>1</v>
      </c>
      <c r="K24056">
        <v>1</v>
      </c>
      <c r="L24056">
        <v>717</v>
      </c>
      <c r="M24056">
        <v>1</v>
      </c>
      <c r="N24056">
        <v>0</v>
      </c>
      <c r="O24056">
        <v>2819</v>
      </c>
    </row>
    <row r="24057" spans="1:15" x14ac:dyDescent="0.25">
      <c r="A24057" t="s">
        <v>24070</v>
      </c>
      <c r="B24057">
        <v>175</v>
      </c>
      <c r="C24057" s="1" t="str">
        <f>HYPERLINK("http://www.rosaceae.org/gb/gbrowse/malus_x_domestica/?name=MDP0000263223","MDP0000263223")</f>
        <v>MDP0000263223</v>
      </c>
      <c r="D24057">
        <v>51.46</v>
      </c>
      <c r="E24057">
        <v>171</v>
      </c>
      <c r="F24057">
        <v>83</v>
      </c>
      <c r="G24057">
        <v>57</v>
      </c>
      <c r="H24057">
        <v>19</v>
      </c>
      <c r="I24057">
        <v>175</v>
      </c>
      <c r="J24057">
        <v>1</v>
      </c>
      <c r="K24057">
        <v>22</v>
      </c>
      <c r="L24057">
        <v>149</v>
      </c>
      <c r="M24057">
        <v>1</v>
      </c>
      <c r="N24057">
        <v>7.7772300000000003E-37</v>
      </c>
      <c r="O24057">
        <v>378</v>
      </c>
    </row>
    <row r="24058" spans="1:15" x14ac:dyDescent="0.25">
      <c r="A24058" t="s">
        <v>24071</v>
      </c>
      <c r="B24058">
        <v>508</v>
      </c>
      <c r="C24058" s="1" t="str">
        <f>HYPERLINK("http://www.rosaceae.org/gb/gbrowse/malus_x_domestica/?name=MDP0000593523","MDP0000593523")</f>
        <v>MDP0000593523</v>
      </c>
      <c r="D24058">
        <v>90.24</v>
      </c>
      <c r="E24058">
        <v>369</v>
      </c>
      <c r="F24058">
        <v>36</v>
      </c>
      <c r="G24058">
        <v>0</v>
      </c>
      <c r="H24058">
        <v>139</v>
      </c>
      <c r="I24058">
        <v>507</v>
      </c>
      <c r="J24058">
        <v>1</v>
      </c>
      <c r="K24058">
        <v>17</v>
      </c>
      <c r="L24058">
        <v>385</v>
      </c>
      <c r="M24058">
        <v>1</v>
      </c>
      <c r="N24058">
        <v>0</v>
      </c>
      <c r="O24058">
        <v>1835</v>
      </c>
    </row>
    <row r="24059" spans="1:15" x14ac:dyDescent="0.25">
      <c r="A24059" t="s">
        <v>24072</v>
      </c>
      <c r="B24059">
        <v>577</v>
      </c>
      <c r="C24059" s="1" t="str">
        <f>HYPERLINK("http://www.rosaceae.org/gb/gbrowse/malus_x_domestica/?name=MDP0000843803","MDP0000843803")</f>
        <v>MDP0000843803</v>
      </c>
      <c r="D24059">
        <v>37.19</v>
      </c>
      <c r="E24059">
        <v>492</v>
      </c>
      <c r="F24059">
        <v>309</v>
      </c>
      <c r="G24059">
        <v>57</v>
      </c>
      <c r="H24059">
        <v>108</v>
      </c>
      <c r="I24059">
        <v>556</v>
      </c>
      <c r="J24059">
        <v>1</v>
      </c>
      <c r="K24059">
        <v>48</v>
      </c>
      <c r="L24059">
        <v>525</v>
      </c>
      <c r="M24059">
        <v>1</v>
      </c>
      <c r="N24059">
        <v>2.1807900000000001E-61</v>
      </c>
      <c r="O24059">
        <v>597</v>
      </c>
    </row>
    <row r="24060" spans="1:15" x14ac:dyDescent="0.25">
      <c r="A24060" t="s">
        <v>24073</v>
      </c>
      <c r="B24060">
        <v>172</v>
      </c>
      <c r="C24060" s="1" t="str">
        <f>HYPERLINK("http://www.rosaceae.org/gb/gbrowse/malus_x_domestica/?name=MDP0000132523","MDP0000132523")</f>
        <v>MDP0000132523</v>
      </c>
      <c r="D24060">
        <v>50</v>
      </c>
      <c r="E24060">
        <v>182</v>
      </c>
      <c r="F24060">
        <v>91</v>
      </c>
      <c r="G24060">
        <v>26</v>
      </c>
      <c r="H24060">
        <v>8</v>
      </c>
      <c r="I24060">
        <v>172</v>
      </c>
      <c r="J24060">
        <v>1</v>
      </c>
      <c r="K24060">
        <v>521</v>
      </c>
      <c r="L24060">
        <v>693</v>
      </c>
      <c r="M24060">
        <v>1</v>
      </c>
      <c r="N24060">
        <v>2.7277299999999997E-35</v>
      </c>
      <c r="O24060">
        <v>365</v>
      </c>
    </row>
    <row r="24061" spans="1:15" x14ac:dyDescent="0.25">
      <c r="A24061" t="s">
        <v>24074</v>
      </c>
      <c r="B24061">
        <v>493</v>
      </c>
      <c r="C24061" s="1" t="str">
        <f>HYPERLINK("http://www.rosaceae.org/gb/gbrowse/malus_x_domestica/?name=MDP0000238100","MDP0000238100")</f>
        <v>MDP0000238100</v>
      </c>
      <c r="D24061">
        <v>71.72</v>
      </c>
      <c r="E24061">
        <v>488</v>
      </c>
      <c r="F24061">
        <v>138</v>
      </c>
      <c r="G24061">
        <v>9</v>
      </c>
      <c r="H24061">
        <v>7</v>
      </c>
      <c r="I24061">
        <v>489</v>
      </c>
      <c r="J24061">
        <v>1</v>
      </c>
      <c r="K24061">
        <v>34</v>
      </c>
      <c r="L24061">
        <v>517</v>
      </c>
      <c r="M24061">
        <v>1</v>
      </c>
      <c r="N24061">
        <v>0</v>
      </c>
      <c r="O24061">
        <v>1823</v>
      </c>
    </row>
    <row r="24062" spans="1:15" x14ac:dyDescent="0.25">
      <c r="A24062" t="s">
        <v>24075</v>
      </c>
      <c r="B24062">
        <v>1379</v>
      </c>
      <c r="C24062" s="1" t="str">
        <f>HYPERLINK("http://www.rosaceae.org/gb/gbrowse/malus_x_domestica/?name=MDP0000258078","MDP0000258078")</f>
        <v>MDP0000258078</v>
      </c>
      <c r="D24062">
        <v>73.739999999999995</v>
      </c>
      <c r="E24062">
        <v>1238</v>
      </c>
      <c r="F24062">
        <v>325</v>
      </c>
      <c r="G24062">
        <v>43</v>
      </c>
      <c r="H24062">
        <v>150</v>
      </c>
      <c r="I24062">
        <v>1379</v>
      </c>
      <c r="J24062">
        <v>1</v>
      </c>
      <c r="K24062">
        <v>1</v>
      </c>
      <c r="L24062">
        <v>1203</v>
      </c>
      <c r="M24062">
        <v>1</v>
      </c>
      <c r="N24062">
        <v>0</v>
      </c>
      <c r="O24062">
        <v>4671</v>
      </c>
    </row>
    <row r="24063" spans="1:15" x14ac:dyDescent="0.25">
      <c r="A24063" t="s">
        <v>24076</v>
      </c>
      <c r="B24063">
        <v>809</v>
      </c>
      <c r="C24063" s="1" t="str">
        <f>HYPERLINK("http://www.rosaceae.org/gb/gbrowse/malus_x_domestica/?name=MDP0000274834","MDP0000274834")</f>
        <v>MDP0000274834</v>
      </c>
      <c r="D24063">
        <v>76.290000000000006</v>
      </c>
      <c r="E24063">
        <v>810</v>
      </c>
      <c r="F24063">
        <v>192</v>
      </c>
      <c r="G24063">
        <v>3</v>
      </c>
      <c r="H24063">
        <v>1</v>
      </c>
      <c r="I24063">
        <v>809</v>
      </c>
      <c r="J24063">
        <v>1</v>
      </c>
      <c r="K24063">
        <v>2</v>
      </c>
      <c r="L24063">
        <v>809</v>
      </c>
      <c r="M24063">
        <v>1</v>
      </c>
      <c r="N24063">
        <v>0</v>
      </c>
      <c r="O24063">
        <v>3355</v>
      </c>
    </row>
    <row r="24064" spans="1:15" x14ac:dyDescent="0.25">
      <c r="A24064" t="s">
        <v>24077</v>
      </c>
      <c r="B24064">
        <v>413</v>
      </c>
      <c r="C24064" s="1" t="str">
        <f>HYPERLINK("http://www.rosaceae.org/gb/gbrowse/malus_x_domestica/?name=MDP0000185979","MDP0000185979")</f>
        <v>MDP0000185979</v>
      </c>
      <c r="D24064">
        <v>37.81</v>
      </c>
      <c r="E24064">
        <v>201</v>
      </c>
      <c r="F24064">
        <v>125</v>
      </c>
      <c r="G24064">
        <v>31</v>
      </c>
      <c r="H24064">
        <v>215</v>
      </c>
      <c r="I24064">
        <v>413</v>
      </c>
      <c r="J24064">
        <v>1</v>
      </c>
      <c r="K24064">
        <v>165</v>
      </c>
      <c r="L24064">
        <v>336</v>
      </c>
      <c r="M24064">
        <v>1</v>
      </c>
      <c r="N24064">
        <v>4.9403400000000002E-27</v>
      </c>
      <c r="O24064">
        <v>299</v>
      </c>
    </row>
    <row r="24065" spans="1:15" x14ac:dyDescent="0.25">
      <c r="A24065" t="s">
        <v>24078</v>
      </c>
      <c r="B24065">
        <v>276</v>
      </c>
      <c r="C24065" s="1" t="str">
        <f>HYPERLINK("http://www.rosaceae.org/gb/gbrowse/malus_x_domestica/?name=MDP0000583574","MDP0000583574")</f>
        <v>MDP0000583574</v>
      </c>
      <c r="D24065">
        <v>53.76</v>
      </c>
      <c r="E24065">
        <v>292</v>
      </c>
      <c r="F24065">
        <v>135</v>
      </c>
      <c r="G24065">
        <v>26</v>
      </c>
      <c r="H24065">
        <v>6</v>
      </c>
      <c r="I24065">
        <v>276</v>
      </c>
      <c r="J24065">
        <v>1</v>
      </c>
      <c r="K24065">
        <v>20</v>
      </c>
      <c r="L24065">
        <v>306</v>
      </c>
      <c r="M24065">
        <v>1</v>
      </c>
      <c r="N24065">
        <v>5.23894E-76</v>
      </c>
      <c r="O24065">
        <v>719</v>
      </c>
    </row>
    <row r="24066" spans="1:15" x14ac:dyDescent="0.25">
      <c r="A24066" t="s">
        <v>24079</v>
      </c>
      <c r="B24066">
        <v>202</v>
      </c>
      <c r="C24066" s="1" t="str">
        <f>HYPERLINK("http://www.rosaceae.org/gb/gbrowse/malus_x_domestica/?name=MDP0000313179","MDP0000313179")</f>
        <v>MDP0000313179</v>
      </c>
      <c r="D24066">
        <v>84.37</v>
      </c>
      <c r="E24066">
        <v>32</v>
      </c>
      <c r="F24066">
        <v>5</v>
      </c>
      <c r="G24066">
        <v>1</v>
      </c>
      <c r="H24066">
        <v>121</v>
      </c>
      <c r="I24066">
        <v>152</v>
      </c>
      <c r="J24066">
        <v>1</v>
      </c>
      <c r="K24066">
        <v>55</v>
      </c>
      <c r="L24066">
        <v>85</v>
      </c>
      <c r="M24066">
        <v>1</v>
      </c>
      <c r="N24066">
        <v>4.3764000000000001E-8</v>
      </c>
      <c r="O24066">
        <v>131</v>
      </c>
    </row>
    <row r="24067" spans="1:15" x14ac:dyDescent="0.25">
      <c r="A24067" t="s">
        <v>24080</v>
      </c>
      <c r="B24067">
        <v>87</v>
      </c>
      <c r="C24067" s="1" t="str">
        <f>HYPERLINK("http://www.rosaceae.org/gb/gbrowse/malus_x_domestica/?name=MDP0000488248","MDP0000488248")</f>
        <v>MDP0000488248</v>
      </c>
      <c r="D24067">
        <v>69.760000000000005</v>
      </c>
      <c r="E24067">
        <v>86</v>
      </c>
      <c r="F24067">
        <v>26</v>
      </c>
      <c r="G24067">
        <v>4</v>
      </c>
      <c r="H24067">
        <v>2</v>
      </c>
      <c r="I24067">
        <v>87</v>
      </c>
      <c r="J24067">
        <v>1</v>
      </c>
      <c r="K24067">
        <v>455</v>
      </c>
      <c r="L24067">
        <v>536</v>
      </c>
      <c r="M24067">
        <v>1</v>
      </c>
      <c r="N24067">
        <v>2.1103999999999999E-27</v>
      </c>
      <c r="O24067">
        <v>294</v>
      </c>
    </row>
    <row r="24068" spans="1:15" x14ac:dyDescent="0.25">
      <c r="A24068" t="s">
        <v>24081</v>
      </c>
      <c r="B24068">
        <v>458</v>
      </c>
      <c r="C24068" s="1" t="str">
        <f>HYPERLINK("http://www.rosaceae.org/gb/gbrowse/malus_x_domestica/?name=MDP0000150000","MDP0000150000")</f>
        <v>MDP0000150000</v>
      </c>
      <c r="D24068">
        <v>33.18</v>
      </c>
      <c r="E24068">
        <v>223</v>
      </c>
      <c r="F24068">
        <v>149</v>
      </c>
      <c r="G24068">
        <v>22</v>
      </c>
      <c r="H24068">
        <v>46</v>
      </c>
      <c r="I24068">
        <v>256</v>
      </c>
      <c r="J24068">
        <v>1</v>
      </c>
      <c r="K24068">
        <v>113</v>
      </c>
      <c r="L24068">
        <v>325</v>
      </c>
      <c r="M24068">
        <v>1</v>
      </c>
      <c r="N24068">
        <v>7.7936399999999997E-26</v>
      </c>
      <c r="O24068">
        <v>289</v>
      </c>
    </row>
    <row r="24069" spans="1:15" x14ac:dyDescent="0.25">
      <c r="A24069" t="s">
        <v>24082</v>
      </c>
      <c r="B24069">
        <v>153</v>
      </c>
      <c r="C24069" s="1" t="str">
        <f>HYPERLINK("http://www.rosaceae.org/gb/gbrowse/malus_x_domestica/?name=MDP0000263247","MDP0000263247")</f>
        <v>MDP0000263247</v>
      </c>
      <c r="D24069">
        <v>50</v>
      </c>
      <c r="E24069">
        <v>132</v>
      </c>
      <c r="F24069">
        <v>66</v>
      </c>
      <c r="G24069">
        <v>5</v>
      </c>
      <c r="H24069">
        <v>6</v>
      </c>
      <c r="I24069">
        <v>132</v>
      </c>
      <c r="J24069">
        <v>1</v>
      </c>
      <c r="K24069">
        <v>66</v>
      </c>
      <c r="L24069">
        <v>197</v>
      </c>
      <c r="M24069">
        <v>1</v>
      </c>
      <c r="N24069">
        <v>3.26989E-29</v>
      </c>
      <c r="O24069">
        <v>311</v>
      </c>
    </row>
    <row r="24070" spans="1:15" x14ac:dyDescent="0.25">
      <c r="A24070" t="s">
        <v>24083</v>
      </c>
      <c r="B24070">
        <v>365</v>
      </c>
      <c r="C24070" s="1" t="str">
        <f>HYPERLINK("http://www.rosaceae.org/gb/gbrowse/malus_x_domestica/?name=MDP0000167145","MDP0000167145")</f>
        <v>MDP0000167145</v>
      </c>
      <c r="D24070">
        <v>42.22</v>
      </c>
      <c r="E24070">
        <v>135</v>
      </c>
      <c r="F24070">
        <v>78</v>
      </c>
      <c r="G24070">
        <v>2</v>
      </c>
      <c r="H24070">
        <v>232</v>
      </c>
      <c r="I24070">
        <v>364</v>
      </c>
      <c r="J24070">
        <v>1</v>
      </c>
      <c r="K24070">
        <v>5</v>
      </c>
      <c r="L24070">
        <v>139</v>
      </c>
      <c r="M24070">
        <v>1</v>
      </c>
      <c r="N24070">
        <v>7.8613200000000001E-23</v>
      </c>
      <c r="O24070">
        <v>262</v>
      </c>
    </row>
    <row r="24071" spans="1:15" x14ac:dyDescent="0.25">
      <c r="A24071" t="s">
        <v>24084</v>
      </c>
      <c r="B24071">
        <v>485</v>
      </c>
      <c r="C24071" s="1" t="str">
        <f>HYPERLINK("http://www.rosaceae.org/gb/gbrowse/malus_x_domestica/?name=MDP0000273450","MDP0000273450")</f>
        <v>MDP0000273450</v>
      </c>
      <c r="D24071">
        <v>80.97</v>
      </c>
      <c r="E24071">
        <v>247</v>
      </c>
      <c r="F24071">
        <v>47</v>
      </c>
      <c r="G24071">
        <v>2</v>
      </c>
      <c r="H24071">
        <v>240</v>
      </c>
      <c r="I24071">
        <v>484</v>
      </c>
      <c r="J24071">
        <v>1</v>
      </c>
      <c r="K24071">
        <v>8</v>
      </c>
      <c r="L24071">
        <v>254</v>
      </c>
      <c r="M24071">
        <v>1</v>
      </c>
      <c r="N24071">
        <v>1.3370200000000001E-117</v>
      </c>
      <c r="O24071">
        <v>1081</v>
      </c>
    </row>
    <row r="24072" spans="1:15" x14ac:dyDescent="0.25">
      <c r="A24072" t="s">
        <v>24085</v>
      </c>
      <c r="B24072">
        <v>348</v>
      </c>
      <c r="C24072" s="1" t="str">
        <f>HYPERLINK("http://www.rosaceae.org/gb/gbrowse/malus_x_domestica/?name=MDP0000136140","MDP0000136140")</f>
        <v>MDP0000136140</v>
      </c>
      <c r="D24072">
        <v>50.88</v>
      </c>
      <c r="E24072">
        <v>340</v>
      </c>
      <c r="F24072">
        <v>167</v>
      </c>
      <c r="G24072">
        <v>23</v>
      </c>
      <c r="H24072">
        <v>14</v>
      </c>
      <c r="I24072">
        <v>341</v>
      </c>
      <c r="J24072">
        <v>1</v>
      </c>
      <c r="K24072">
        <v>15</v>
      </c>
      <c r="L24072">
        <v>343</v>
      </c>
      <c r="M24072">
        <v>1</v>
      </c>
      <c r="N24072">
        <v>4.8408700000000002E-79</v>
      </c>
      <c r="O24072">
        <v>746</v>
      </c>
    </row>
    <row r="24073" spans="1:15" x14ac:dyDescent="0.25">
      <c r="A24073" t="s">
        <v>24086</v>
      </c>
      <c r="B24073">
        <v>556</v>
      </c>
      <c r="C24073" s="1" t="str">
        <f>HYPERLINK("http://www.rosaceae.org/gb/gbrowse/malus_x_domestica/?name=MDP0000275792","MDP0000275792")</f>
        <v>MDP0000275792</v>
      </c>
      <c r="D24073">
        <v>80.91</v>
      </c>
      <c r="E24073">
        <v>566</v>
      </c>
      <c r="F24073">
        <v>108</v>
      </c>
      <c r="G24073">
        <v>13</v>
      </c>
      <c r="H24073">
        <v>1</v>
      </c>
      <c r="I24073">
        <v>554</v>
      </c>
      <c r="J24073">
        <v>1</v>
      </c>
      <c r="K24073">
        <v>1</v>
      </c>
      <c r="L24073">
        <v>565</v>
      </c>
      <c r="M24073">
        <v>1</v>
      </c>
      <c r="N24073">
        <v>0</v>
      </c>
      <c r="O24073">
        <v>2423</v>
      </c>
    </row>
    <row r="24074" spans="1:15" x14ac:dyDescent="0.25">
      <c r="A24074" t="s">
        <v>24087</v>
      </c>
      <c r="B24074">
        <v>690</v>
      </c>
      <c r="C24074" s="1" t="str">
        <f>HYPERLINK("http://www.rosaceae.org/gb/gbrowse/malus_x_domestica/?name=MDP0000233229","MDP0000233229")</f>
        <v>MDP0000233229</v>
      </c>
      <c r="D24074">
        <v>64.290000000000006</v>
      </c>
      <c r="E24074">
        <v>689</v>
      </c>
      <c r="F24074">
        <v>246</v>
      </c>
      <c r="G24074">
        <v>73</v>
      </c>
      <c r="H24074">
        <v>68</v>
      </c>
      <c r="I24074">
        <v>690</v>
      </c>
      <c r="J24074">
        <v>1</v>
      </c>
      <c r="K24074">
        <v>1</v>
      </c>
      <c r="L24074">
        <v>682</v>
      </c>
      <c r="M24074">
        <v>1</v>
      </c>
      <c r="N24074">
        <v>0</v>
      </c>
      <c r="O24074">
        <v>2191</v>
      </c>
    </row>
    <row r="24075" spans="1:15" x14ac:dyDescent="0.25">
      <c r="A24075" t="s">
        <v>24088</v>
      </c>
      <c r="B24075">
        <v>367</v>
      </c>
      <c r="C24075" s="1" t="str">
        <f>HYPERLINK("http://www.rosaceae.org/gb/gbrowse/malus_x_domestica/?name=MDP0000500222","MDP0000500222")</f>
        <v>MDP0000500222</v>
      </c>
      <c r="D24075">
        <v>31.63</v>
      </c>
      <c r="E24075">
        <v>354</v>
      </c>
      <c r="F24075">
        <v>242</v>
      </c>
      <c r="G24075">
        <v>57</v>
      </c>
      <c r="H24075">
        <v>13</v>
      </c>
      <c r="I24075">
        <v>352</v>
      </c>
      <c r="J24075">
        <v>1</v>
      </c>
      <c r="K24075">
        <v>73</v>
      </c>
      <c r="L24075">
        <v>383</v>
      </c>
      <c r="M24075">
        <v>1</v>
      </c>
      <c r="N24075">
        <v>5.8579099999999999E-28</v>
      </c>
      <c r="O24075">
        <v>306</v>
      </c>
    </row>
    <row r="24076" spans="1:15" x14ac:dyDescent="0.25">
      <c r="A24076" t="s">
        <v>24089</v>
      </c>
      <c r="B24076">
        <v>153</v>
      </c>
      <c r="C24076" s="1" t="str">
        <f>HYPERLINK("http://www.rosaceae.org/gb/gbrowse/malus_x_domestica/?name=MDP0000283138","MDP0000283138")</f>
        <v>MDP0000283138</v>
      </c>
      <c r="D24076">
        <v>55.43</v>
      </c>
      <c r="E24076">
        <v>92</v>
      </c>
      <c r="F24076">
        <v>41</v>
      </c>
      <c r="G24076">
        <v>13</v>
      </c>
      <c r="H24076">
        <v>67</v>
      </c>
      <c r="I24076">
        <v>153</v>
      </c>
      <c r="J24076">
        <v>1</v>
      </c>
      <c r="K24076">
        <v>1634</v>
      </c>
      <c r="L24076">
        <v>1717</v>
      </c>
      <c r="M24076">
        <v>1</v>
      </c>
      <c r="N24076">
        <v>2.6006700000000001E-13</v>
      </c>
      <c r="O24076">
        <v>174</v>
      </c>
    </row>
    <row r="24077" spans="1:15" x14ac:dyDescent="0.25">
      <c r="A24077" t="s">
        <v>24090</v>
      </c>
      <c r="B24077">
        <v>254</v>
      </c>
      <c r="C24077" s="1" t="str">
        <f>HYPERLINK("http://www.rosaceae.org/gb/gbrowse/malus_x_domestica/?name=MDP0000315476","MDP0000315476")</f>
        <v>MDP0000315476</v>
      </c>
      <c r="D24077">
        <v>78.37</v>
      </c>
      <c r="E24077">
        <v>259</v>
      </c>
      <c r="F24077">
        <v>56</v>
      </c>
      <c r="G24077">
        <v>7</v>
      </c>
      <c r="H24077">
        <v>1</v>
      </c>
      <c r="I24077">
        <v>254</v>
      </c>
      <c r="J24077">
        <v>1</v>
      </c>
      <c r="K24077">
        <v>1</v>
      </c>
      <c r="L24077">
        <v>257</v>
      </c>
      <c r="M24077">
        <v>1</v>
      </c>
      <c r="N24077">
        <v>1.0103E-113</v>
      </c>
      <c r="O24077">
        <v>1044</v>
      </c>
    </row>
    <row r="24078" spans="1:15" x14ac:dyDescent="0.25">
      <c r="A24078" t="s">
        <v>24091</v>
      </c>
      <c r="B24078">
        <v>183</v>
      </c>
      <c r="C24078" s="1" t="str">
        <f>HYPERLINK("http://www.rosaceae.org/gb/gbrowse/malus_x_domestica/?name=MDP0000414235","MDP0000414235")</f>
        <v>MDP0000414235</v>
      </c>
      <c r="D24078">
        <v>75.55</v>
      </c>
      <c r="E24078">
        <v>90</v>
      </c>
      <c r="F24078">
        <v>22</v>
      </c>
      <c r="G24078">
        <v>9</v>
      </c>
      <c r="H24078">
        <v>103</v>
      </c>
      <c r="I24078">
        <v>183</v>
      </c>
      <c r="J24078">
        <v>1</v>
      </c>
      <c r="K24078">
        <v>65</v>
      </c>
      <c r="L24078">
        <v>154</v>
      </c>
      <c r="M24078">
        <v>1</v>
      </c>
      <c r="N24078">
        <v>5.0781999999999995E-32</v>
      </c>
      <c r="O24078">
        <v>337</v>
      </c>
    </row>
    <row r="24079" spans="1:15" x14ac:dyDescent="0.25">
      <c r="A24079" t="s">
        <v>24092</v>
      </c>
      <c r="B24079">
        <v>903</v>
      </c>
      <c r="C24079" s="1" t="str">
        <f>HYPERLINK("http://www.rosaceae.org/gb/gbrowse/malus_x_domestica/?name=MDP0000206032","MDP0000206032")</f>
        <v>MDP0000206032</v>
      </c>
      <c r="D24079">
        <v>61.79</v>
      </c>
      <c r="E24079">
        <v>725</v>
      </c>
      <c r="F24079">
        <v>277</v>
      </c>
      <c r="G24079">
        <v>59</v>
      </c>
      <c r="H24079">
        <v>1</v>
      </c>
      <c r="I24079">
        <v>670</v>
      </c>
      <c r="J24079">
        <v>1</v>
      </c>
      <c r="K24079">
        <v>1</v>
      </c>
      <c r="L24079">
        <v>721</v>
      </c>
      <c r="M24079">
        <v>1</v>
      </c>
      <c r="N24079">
        <v>0</v>
      </c>
      <c r="O24079">
        <v>2138</v>
      </c>
    </row>
    <row r="24080" spans="1:15" x14ac:dyDescent="0.25">
      <c r="A24080" t="s">
        <v>24093</v>
      </c>
      <c r="B24080">
        <v>283</v>
      </c>
      <c r="C24080" s="1" t="str">
        <f>HYPERLINK("http://www.rosaceae.org/gb/gbrowse/malus_x_domestica/?name=MDP0000934638","MDP0000934638")</f>
        <v>MDP0000934638</v>
      </c>
      <c r="D24080">
        <v>63.63</v>
      </c>
      <c r="E24080">
        <v>297</v>
      </c>
      <c r="F24080">
        <v>108</v>
      </c>
      <c r="G24080">
        <v>22</v>
      </c>
      <c r="H24080">
        <v>7</v>
      </c>
      <c r="I24080">
        <v>283</v>
      </c>
      <c r="J24080">
        <v>1</v>
      </c>
      <c r="K24080">
        <v>2</v>
      </c>
      <c r="L24080">
        <v>296</v>
      </c>
      <c r="M24080">
        <v>1</v>
      </c>
      <c r="N24080">
        <v>3.07129E-97</v>
      </c>
      <c r="O24080">
        <v>902</v>
      </c>
    </row>
    <row r="24081" spans="1:15" x14ac:dyDescent="0.25">
      <c r="A24081" t="s">
        <v>24094</v>
      </c>
      <c r="B24081">
        <v>285</v>
      </c>
      <c r="C24081" s="1" t="str">
        <f>HYPERLINK("http://www.rosaceae.org/gb/gbrowse/malus_x_domestica/?name=MDP0000268451","MDP0000268451")</f>
        <v>MDP0000268451</v>
      </c>
      <c r="D24081">
        <v>73.02</v>
      </c>
      <c r="E24081">
        <v>278</v>
      </c>
      <c r="F24081">
        <v>75</v>
      </c>
      <c r="G24081">
        <v>10</v>
      </c>
      <c r="H24081">
        <v>16</v>
      </c>
      <c r="I24081">
        <v>285</v>
      </c>
      <c r="J24081">
        <v>1</v>
      </c>
      <c r="K24081">
        <v>1</v>
      </c>
      <c r="L24081">
        <v>276</v>
      </c>
      <c r="M24081">
        <v>1</v>
      </c>
      <c r="N24081">
        <v>1.8425200000000001E-113</v>
      </c>
      <c r="O24081">
        <v>1042</v>
      </c>
    </row>
    <row r="24082" spans="1:15" x14ac:dyDescent="0.25">
      <c r="A24082" t="s">
        <v>24095</v>
      </c>
      <c r="B24082">
        <v>492</v>
      </c>
      <c r="C24082" s="1" t="str">
        <f>HYPERLINK("http://www.rosaceae.org/gb/gbrowse/malus_x_domestica/?name=MDP0000197025","MDP0000197025")</f>
        <v>MDP0000197025</v>
      </c>
      <c r="D24082">
        <v>52.6</v>
      </c>
      <c r="E24082">
        <v>519</v>
      </c>
      <c r="F24082">
        <v>246</v>
      </c>
      <c r="G24082">
        <v>42</v>
      </c>
      <c r="H24082">
        <v>1</v>
      </c>
      <c r="I24082">
        <v>489</v>
      </c>
      <c r="J24082">
        <v>1</v>
      </c>
      <c r="K24082">
        <v>1</v>
      </c>
      <c r="L24082">
        <v>507</v>
      </c>
      <c r="M24082">
        <v>1</v>
      </c>
      <c r="N24082">
        <v>1.12359E-125</v>
      </c>
      <c r="O24082">
        <v>1150</v>
      </c>
    </row>
    <row r="24083" spans="1:15" x14ac:dyDescent="0.25">
      <c r="A24083" t="s">
        <v>24096</v>
      </c>
      <c r="B24083">
        <v>411</v>
      </c>
      <c r="C24083" s="1" t="str">
        <f>HYPERLINK("http://www.rosaceae.org/gb/gbrowse/malus_x_domestica/?name=MDP0000313843","MDP0000313843")</f>
        <v>MDP0000313843</v>
      </c>
      <c r="D24083">
        <v>72.930000000000007</v>
      </c>
      <c r="E24083">
        <v>436</v>
      </c>
      <c r="F24083">
        <v>118</v>
      </c>
      <c r="G24083">
        <v>25</v>
      </c>
      <c r="H24083">
        <v>1</v>
      </c>
      <c r="I24083">
        <v>411</v>
      </c>
      <c r="J24083">
        <v>1</v>
      </c>
      <c r="K24083">
        <v>398</v>
      </c>
      <c r="L24083">
        <v>833</v>
      </c>
      <c r="M24083">
        <v>1</v>
      </c>
      <c r="N24083">
        <v>3.5112100000000002E-175</v>
      </c>
      <c r="O24083">
        <v>1576</v>
      </c>
    </row>
    <row r="24084" spans="1:15" x14ac:dyDescent="0.25">
      <c r="A24084" t="s">
        <v>24097</v>
      </c>
      <c r="B24084">
        <v>920</v>
      </c>
      <c r="C24084" s="1" t="str">
        <f>HYPERLINK("http://www.rosaceae.org/gb/gbrowse/malus_x_domestica/?name=MDP0000311548","MDP0000311548")</f>
        <v>MDP0000311548</v>
      </c>
      <c r="D24084">
        <v>35.880000000000003</v>
      </c>
      <c r="E24084">
        <v>170</v>
      </c>
      <c r="F24084">
        <v>109</v>
      </c>
      <c r="G24084">
        <v>9</v>
      </c>
      <c r="H24084">
        <v>294</v>
      </c>
      <c r="I24084">
        <v>462</v>
      </c>
      <c r="J24084">
        <v>1</v>
      </c>
      <c r="K24084">
        <v>2</v>
      </c>
      <c r="L24084">
        <v>163</v>
      </c>
      <c r="M24084">
        <v>1</v>
      </c>
      <c r="N24084">
        <v>4.69321E-21</v>
      </c>
      <c r="O24084">
        <v>251</v>
      </c>
    </row>
    <row r="24085" spans="1:15" x14ac:dyDescent="0.25">
      <c r="A24085" t="s">
        <v>24098</v>
      </c>
      <c r="B24085">
        <v>509</v>
      </c>
      <c r="C24085" s="1" t="str">
        <f>HYPERLINK("http://www.rosaceae.org/gb/gbrowse/malus_x_domestica/?name=MDP0000831221","MDP0000831221")</f>
        <v>MDP0000831221</v>
      </c>
      <c r="D24085">
        <v>79.75</v>
      </c>
      <c r="E24085">
        <v>494</v>
      </c>
      <c r="F24085">
        <v>100</v>
      </c>
      <c r="G24085">
        <v>1</v>
      </c>
      <c r="H24085">
        <v>16</v>
      </c>
      <c r="I24085">
        <v>509</v>
      </c>
      <c r="J24085">
        <v>1</v>
      </c>
      <c r="K24085">
        <v>17</v>
      </c>
      <c r="L24085">
        <v>509</v>
      </c>
      <c r="M24085">
        <v>1</v>
      </c>
      <c r="N24085">
        <v>0</v>
      </c>
      <c r="O24085">
        <v>2075</v>
      </c>
    </row>
    <row r="24086" spans="1:15" x14ac:dyDescent="0.25">
      <c r="A24086" t="s">
        <v>24099</v>
      </c>
      <c r="B24086">
        <v>409</v>
      </c>
      <c r="C24086" s="1" t="str">
        <f>HYPERLINK("http://www.rosaceae.org/gb/gbrowse/malus_x_domestica/?name=MDP0000232025","MDP0000232025")</f>
        <v>MDP0000232025</v>
      </c>
      <c r="D24086">
        <v>84.29</v>
      </c>
      <c r="E24086">
        <v>382</v>
      </c>
      <c r="F24086">
        <v>60</v>
      </c>
      <c r="G24086">
        <v>4</v>
      </c>
      <c r="H24086">
        <v>29</v>
      </c>
      <c r="I24086">
        <v>409</v>
      </c>
      <c r="J24086">
        <v>1</v>
      </c>
      <c r="K24086">
        <v>32</v>
      </c>
      <c r="L24086">
        <v>410</v>
      </c>
      <c r="M24086">
        <v>1</v>
      </c>
      <c r="N24086">
        <v>0</v>
      </c>
      <c r="O24086">
        <v>1737</v>
      </c>
    </row>
    <row r="24087" spans="1:15" x14ac:dyDescent="0.25">
      <c r="A24087" t="s">
        <v>24100</v>
      </c>
      <c r="B24087">
        <v>128</v>
      </c>
      <c r="C24087" s="1" t="str">
        <f>HYPERLINK("http://www.rosaceae.org/gb/gbrowse/malus_x_domestica/?name=MDP0000163480","MDP0000163480")</f>
        <v>MDP0000163480</v>
      </c>
      <c r="D24087">
        <v>53.54</v>
      </c>
      <c r="E24087">
        <v>155</v>
      </c>
      <c r="F24087">
        <v>72</v>
      </c>
      <c r="G24087">
        <v>38</v>
      </c>
      <c r="H24087">
        <v>12</v>
      </c>
      <c r="I24087">
        <v>128</v>
      </c>
      <c r="J24087">
        <v>1</v>
      </c>
      <c r="K24087">
        <v>12</v>
      </c>
      <c r="L24087">
        <v>166</v>
      </c>
      <c r="M24087">
        <v>1</v>
      </c>
      <c r="N24087">
        <v>2.8640299999999999E-36</v>
      </c>
      <c r="O24087">
        <v>371</v>
      </c>
    </row>
    <row r="24088" spans="1:15" x14ac:dyDescent="0.25">
      <c r="A24088" t="s">
        <v>24101</v>
      </c>
      <c r="B24088">
        <v>504</v>
      </c>
      <c r="C24088" s="1" t="str">
        <f>HYPERLINK("http://www.rosaceae.org/gb/gbrowse/malus_x_domestica/?name=MDP0000126177","MDP0000126177")</f>
        <v>MDP0000126177</v>
      </c>
      <c r="D24088">
        <v>73.13</v>
      </c>
      <c r="E24088">
        <v>551</v>
      </c>
      <c r="F24088">
        <v>148</v>
      </c>
      <c r="G24088">
        <v>47</v>
      </c>
      <c r="H24088">
        <v>1</v>
      </c>
      <c r="I24088">
        <v>504</v>
      </c>
      <c r="J24088">
        <v>1</v>
      </c>
      <c r="K24088">
        <v>1</v>
      </c>
      <c r="L24088">
        <v>551</v>
      </c>
      <c r="M24088">
        <v>1</v>
      </c>
      <c r="N24088">
        <v>0</v>
      </c>
      <c r="O24088">
        <v>2034</v>
      </c>
    </row>
    <row r="24089" spans="1:15" x14ac:dyDescent="0.25">
      <c r="A24089" t="s">
        <v>24102</v>
      </c>
      <c r="B24089">
        <v>150</v>
      </c>
      <c r="C24089" s="1" t="str">
        <f>HYPERLINK("http://www.rosaceae.org/gb/gbrowse/malus_x_domestica/?name=MDP0000235322","MDP0000235322")</f>
        <v>MDP0000235322</v>
      </c>
      <c r="D24089">
        <v>77.849999999999994</v>
      </c>
      <c r="E24089">
        <v>149</v>
      </c>
      <c r="F24089">
        <v>33</v>
      </c>
      <c r="G24089">
        <v>0</v>
      </c>
      <c r="H24089">
        <v>2</v>
      </c>
      <c r="I24089">
        <v>150</v>
      </c>
      <c r="J24089">
        <v>1</v>
      </c>
      <c r="K24089">
        <v>252</v>
      </c>
      <c r="L24089">
        <v>400</v>
      </c>
      <c r="M24089">
        <v>1</v>
      </c>
      <c r="N24089">
        <v>6.1868599999999997E-67</v>
      </c>
      <c r="O24089">
        <v>637</v>
      </c>
    </row>
    <row r="24090" spans="1:15" x14ac:dyDescent="0.25">
      <c r="A24090" t="s">
        <v>24103</v>
      </c>
      <c r="B24090">
        <v>487</v>
      </c>
      <c r="C24090" s="1" t="str">
        <f>HYPERLINK("http://www.rosaceae.org/gb/gbrowse/malus_x_domestica/?name=MDP0000171825","MDP0000171825")</f>
        <v>MDP0000171825</v>
      </c>
      <c r="D24090">
        <v>74.59</v>
      </c>
      <c r="E24090">
        <v>492</v>
      </c>
      <c r="F24090">
        <v>125</v>
      </c>
      <c r="G24090">
        <v>5</v>
      </c>
      <c r="H24090">
        <v>1</v>
      </c>
      <c r="I24090">
        <v>487</v>
      </c>
      <c r="J24090">
        <v>1</v>
      </c>
      <c r="K24090">
        <v>1</v>
      </c>
      <c r="L24090">
        <v>492</v>
      </c>
      <c r="M24090">
        <v>1</v>
      </c>
      <c r="N24090">
        <v>0</v>
      </c>
      <c r="O24090">
        <v>1956</v>
      </c>
    </row>
    <row r="24091" spans="1:15" x14ac:dyDescent="0.25">
      <c r="A24091" t="s">
        <v>24104</v>
      </c>
      <c r="B24091">
        <v>701</v>
      </c>
      <c r="C24091" s="1" t="str">
        <f>HYPERLINK("http://www.rosaceae.org/gb/gbrowse/malus_x_domestica/?name=MDP0000699611","MDP0000699611")</f>
        <v>MDP0000699611</v>
      </c>
      <c r="D24091">
        <v>73.31</v>
      </c>
      <c r="E24091">
        <v>712</v>
      </c>
      <c r="F24091">
        <v>190</v>
      </c>
      <c r="G24091">
        <v>17</v>
      </c>
      <c r="H24091">
        <v>1</v>
      </c>
      <c r="I24091">
        <v>701</v>
      </c>
      <c r="J24091">
        <v>1</v>
      </c>
      <c r="K24091">
        <v>1</v>
      </c>
      <c r="L24091">
        <v>706</v>
      </c>
      <c r="M24091">
        <v>1</v>
      </c>
      <c r="N24091">
        <v>0</v>
      </c>
      <c r="O24091">
        <v>2655</v>
      </c>
    </row>
    <row r="24092" spans="1:15" x14ac:dyDescent="0.25">
      <c r="A24092" t="s">
        <v>24105</v>
      </c>
      <c r="B24092">
        <v>449</v>
      </c>
      <c r="C24092" s="1" t="str">
        <f>HYPERLINK("http://www.rosaceae.org/gb/gbrowse/malus_x_domestica/?name=MDP0000281967","MDP0000281967")</f>
        <v>MDP0000281967</v>
      </c>
      <c r="D24092">
        <v>78.66</v>
      </c>
      <c r="E24092">
        <v>436</v>
      </c>
      <c r="F24092">
        <v>93</v>
      </c>
      <c r="G24092">
        <v>14</v>
      </c>
      <c r="H24092">
        <v>28</v>
      </c>
      <c r="I24092">
        <v>449</v>
      </c>
      <c r="J24092">
        <v>1</v>
      </c>
      <c r="K24092">
        <v>34</v>
      </c>
      <c r="L24092">
        <v>469</v>
      </c>
      <c r="M24092">
        <v>1</v>
      </c>
      <c r="N24092">
        <v>0</v>
      </c>
      <c r="O24092">
        <v>1742</v>
      </c>
    </row>
    <row r="24093" spans="1:15" x14ac:dyDescent="0.25">
      <c r="A24093" t="s">
        <v>24106</v>
      </c>
      <c r="B24093">
        <v>212</v>
      </c>
      <c r="C24093" s="1" t="str">
        <f>HYPERLINK("http://www.rosaceae.org/gb/gbrowse/malus_x_domestica/?name=MDP0000472051","MDP0000472051")</f>
        <v>MDP0000472051</v>
      </c>
      <c r="D24093">
        <v>47.51</v>
      </c>
      <c r="E24093">
        <v>181</v>
      </c>
      <c r="F24093">
        <v>95</v>
      </c>
      <c r="G24093">
        <v>17</v>
      </c>
      <c r="H24093">
        <v>1</v>
      </c>
      <c r="I24093">
        <v>173</v>
      </c>
      <c r="J24093">
        <v>1</v>
      </c>
      <c r="K24093">
        <v>10</v>
      </c>
      <c r="L24093">
        <v>181</v>
      </c>
      <c r="M24093">
        <v>1</v>
      </c>
      <c r="N24093">
        <v>2.0414500000000001E-34</v>
      </c>
      <c r="O24093">
        <v>359</v>
      </c>
    </row>
    <row r="24094" spans="1:15" x14ac:dyDescent="0.25">
      <c r="A24094" t="s">
        <v>24107</v>
      </c>
      <c r="B24094">
        <v>474</v>
      </c>
      <c r="C24094" s="1" t="str">
        <f>HYPERLINK("http://www.rosaceae.org/gb/gbrowse/malus_x_domestica/?name=MDP0000244971","MDP0000244971")</f>
        <v>MDP0000244971</v>
      </c>
      <c r="D24094">
        <v>69.42</v>
      </c>
      <c r="E24094">
        <v>471</v>
      </c>
      <c r="F24094">
        <v>144</v>
      </c>
      <c r="G24094">
        <v>8</v>
      </c>
      <c r="H24094">
        <v>1</v>
      </c>
      <c r="I24094">
        <v>464</v>
      </c>
      <c r="J24094">
        <v>1</v>
      </c>
      <c r="K24094">
        <v>1</v>
      </c>
      <c r="L24094">
        <v>470</v>
      </c>
      <c r="M24094">
        <v>1</v>
      </c>
      <c r="N24094">
        <v>0</v>
      </c>
      <c r="O24094">
        <v>1745</v>
      </c>
    </row>
    <row r="24095" spans="1:15" x14ac:dyDescent="0.25">
      <c r="A24095" t="s">
        <v>24108</v>
      </c>
      <c r="B24095">
        <v>365</v>
      </c>
      <c r="C24095" s="1" t="str">
        <f>HYPERLINK("http://www.rosaceae.org/gb/gbrowse/malus_x_domestica/?name=MDP0000322500","MDP0000322500")</f>
        <v>MDP0000322500</v>
      </c>
      <c r="D24095">
        <v>67.45</v>
      </c>
      <c r="E24095">
        <v>338</v>
      </c>
      <c r="F24095">
        <v>110</v>
      </c>
      <c r="G24095">
        <v>31</v>
      </c>
      <c r="H24095">
        <v>42</v>
      </c>
      <c r="I24095">
        <v>348</v>
      </c>
      <c r="J24095">
        <v>1</v>
      </c>
      <c r="K24095">
        <v>1</v>
      </c>
      <c r="L24095">
        <v>338</v>
      </c>
      <c r="M24095">
        <v>1</v>
      </c>
      <c r="N24095">
        <v>1.47587E-123</v>
      </c>
      <c r="O24095">
        <v>1131</v>
      </c>
    </row>
    <row r="24096" spans="1:15" x14ac:dyDescent="0.25">
      <c r="A24096" t="s">
        <v>24109</v>
      </c>
      <c r="B24096">
        <v>552</v>
      </c>
      <c r="C24096" s="1" t="str">
        <f>HYPERLINK("http://www.rosaceae.org/gb/gbrowse/malus_x_domestica/?name=MDP0000517004","MDP0000517004")</f>
        <v>MDP0000517004</v>
      </c>
      <c r="D24096">
        <v>67.010000000000005</v>
      </c>
      <c r="E24096">
        <v>291</v>
      </c>
      <c r="F24096">
        <v>96</v>
      </c>
      <c r="G24096">
        <v>9</v>
      </c>
      <c r="H24096">
        <v>24</v>
      </c>
      <c r="I24096">
        <v>310</v>
      </c>
      <c r="J24096">
        <v>1</v>
      </c>
      <c r="K24096">
        <v>19</v>
      </c>
      <c r="L24096">
        <v>304</v>
      </c>
      <c r="M24096">
        <v>1</v>
      </c>
      <c r="N24096">
        <v>1.41959E-107</v>
      </c>
      <c r="O24096">
        <v>995</v>
      </c>
    </row>
    <row r="24097" spans="1:15" x14ac:dyDescent="0.25">
      <c r="A24097" t="s">
        <v>24110</v>
      </c>
      <c r="B24097">
        <v>559</v>
      </c>
      <c r="C24097" s="1" t="str">
        <f>HYPERLINK("http://www.rosaceae.org/gb/gbrowse/malus_x_domestica/?name=MDP0000065975","MDP0000065975")</f>
        <v>MDP0000065975</v>
      </c>
      <c r="D24097">
        <v>35.950000000000003</v>
      </c>
      <c r="E24097">
        <v>267</v>
      </c>
      <c r="F24097">
        <v>171</v>
      </c>
      <c r="G24097">
        <v>66</v>
      </c>
      <c r="H24097">
        <v>1</v>
      </c>
      <c r="I24097">
        <v>231</v>
      </c>
      <c r="J24097">
        <v>1</v>
      </c>
      <c r="K24097">
        <v>78</v>
      </c>
      <c r="L24097">
        <v>314</v>
      </c>
      <c r="M24097">
        <v>1</v>
      </c>
      <c r="N24097">
        <v>9.2601099999999998E-32</v>
      </c>
      <c r="O24097">
        <v>341</v>
      </c>
    </row>
    <row r="24098" spans="1:15" x14ac:dyDescent="0.25">
      <c r="A24098" t="s">
        <v>24111</v>
      </c>
      <c r="B24098">
        <v>636</v>
      </c>
      <c r="C24098" s="1" t="str">
        <f>HYPERLINK("http://www.rosaceae.org/gb/gbrowse/malus_x_domestica/?name=MDP0000224266","MDP0000224266")</f>
        <v>MDP0000224266</v>
      </c>
      <c r="D24098">
        <v>53.84</v>
      </c>
      <c r="E24098">
        <v>104</v>
      </c>
      <c r="F24098">
        <v>48</v>
      </c>
      <c r="G24098">
        <v>8</v>
      </c>
      <c r="H24098">
        <v>128</v>
      </c>
      <c r="I24098">
        <v>226</v>
      </c>
      <c r="J24098">
        <v>1</v>
      </c>
      <c r="K24098">
        <v>309</v>
      </c>
      <c r="L24098">
        <v>409</v>
      </c>
      <c r="M24098">
        <v>1</v>
      </c>
      <c r="N24098">
        <v>8.3519800000000002E-21</v>
      </c>
      <c r="O24098">
        <v>247</v>
      </c>
    </row>
    <row r="24099" spans="1:15" x14ac:dyDescent="0.25">
      <c r="A24099" t="s">
        <v>24112</v>
      </c>
      <c r="B24099">
        <v>375</v>
      </c>
      <c r="C24099" s="1" t="str">
        <f>HYPERLINK("http://www.rosaceae.org/gb/gbrowse/malus_x_domestica/?name=MDP0000297820","MDP0000297820")</f>
        <v>MDP0000297820</v>
      </c>
      <c r="D24099">
        <v>59.84</v>
      </c>
      <c r="E24099">
        <v>376</v>
      </c>
      <c r="F24099">
        <v>151</v>
      </c>
      <c r="G24099">
        <v>34</v>
      </c>
      <c r="H24099">
        <v>9</v>
      </c>
      <c r="I24099">
        <v>374</v>
      </c>
      <c r="J24099">
        <v>1</v>
      </c>
      <c r="K24099">
        <v>1242</v>
      </c>
      <c r="L24099">
        <v>1593</v>
      </c>
      <c r="M24099">
        <v>1</v>
      </c>
      <c r="N24099">
        <v>9.1078099999999993E-106</v>
      </c>
      <c r="O24099">
        <v>977</v>
      </c>
    </row>
    <row r="24100" spans="1:15" x14ac:dyDescent="0.25">
      <c r="A24100" t="s">
        <v>24113</v>
      </c>
      <c r="B24100">
        <v>375</v>
      </c>
      <c r="C24100" s="1" t="str">
        <f>HYPERLINK("http://www.rosaceae.org/gb/gbrowse/malus_x_domestica/?name=MDP0000308736","MDP0000308736")</f>
        <v>MDP0000308736</v>
      </c>
      <c r="D24100">
        <v>76.11</v>
      </c>
      <c r="E24100">
        <v>247</v>
      </c>
      <c r="F24100">
        <v>59</v>
      </c>
      <c r="G24100">
        <v>2</v>
      </c>
      <c r="H24100">
        <v>1</v>
      </c>
      <c r="I24100">
        <v>245</v>
      </c>
      <c r="J24100">
        <v>1</v>
      </c>
      <c r="K24100">
        <v>1</v>
      </c>
      <c r="L24100">
        <v>247</v>
      </c>
      <c r="M24100">
        <v>1</v>
      </c>
      <c r="N24100">
        <v>9.4793100000000009E-112</v>
      </c>
      <c r="O24100">
        <v>1029</v>
      </c>
    </row>
    <row r="24101" spans="1:15" x14ac:dyDescent="0.25">
      <c r="A24101" t="s">
        <v>24114</v>
      </c>
      <c r="B24101">
        <v>324</v>
      </c>
      <c r="C24101" s="1" t="str">
        <f>HYPERLINK("http://www.rosaceae.org/gb/gbrowse/malus_x_domestica/?name=MDP0000193574","MDP0000193574")</f>
        <v>MDP0000193574</v>
      </c>
      <c r="D24101">
        <v>41.66</v>
      </c>
      <c r="E24101">
        <v>228</v>
      </c>
      <c r="F24101">
        <v>133</v>
      </c>
      <c r="G24101">
        <v>55</v>
      </c>
      <c r="H24101">
        <v>1</v>
      </c>
      <c r="I24101">
        <v>173</v>
      </c>
      <c r="J24101">
        <v>1</v>
      </c>
      <c r="K24101">
        <v>74</v>
      </c>
      <c r="L24101">
        <v>301</v>
      </c>
      <c r="M24101">
        <v>1</v>
      </c>
      <c r="N24101">
        <v>2.1213699999999999E-35</v>
      </c>
      <c r="O24101">
        <v>370</v>
      </c>
    </row>
    <row r="24102" spans="1:15" x14ac:dyDescent="0.25">
      <c r="A24102" t="s">
        <v>24115</v>
      </c>
      <c r="B24102">
        <v>109</v>
      </c>
      <c r="C24102" s="1" t="str">
        <f>HYPERLINK("http://www.rosaceae.org/gb/gbrowse/malus_x_domestica/?name=MDP0000755364","MDP0000755364")</f>
        <v>MDP0000755364</v>
      </c>
      <c r="D24102">
        <v>65.430000000000007</v>
      </c>
      <c r="E24102">
        <v>81</v>
      </c>
      <c r="F24102">
        <v>28</v>
      </c>
      <c r="G24102">
        <v>1</v>
      </c>
      <c r="H24102">
        <v>1</v>
      </c>
      <c r="I24102">
        <v>81</v>
      </c>
      <c r="J24102">
        <v>1</v>
      </c>
      <c r="K24102">
        <v>1</v>
      </c>
      <c r="L24102">
        <v>80</v>
      </c>
      <c r="M24102">
        <v>1</v>
      </c>
      <c r="N24102">
        <v>7.5242199999999996E-20</v>
      </c>
      <c r="O24102">
        <v>229</v>
      </c>
    </row>
    <row r="24103" spans="1:15" x14ac:dyDescent="0.25">
      <c r="A24103" t="s">
        <v>24116</v>
      </c>
      <c r="B24103">
        <v>309</v>
      </c>
      <c r="C24103" s="1" t="str">
        <f>HYPERLINK("http://www.rosaceae.org/gb/gbrowse/malus_x_domestica/?name=MDP0000321850","MDP0000321850")</f>
        <v>MDP0000321850</v>
      </c>
      <c r="D24103">
        <v>28.44</v>
      </c>
      <c r="E24103">
        <v>218</v>
      </c>
      <c r="F24103">
        <v>156</v>
      </c>
      <c r="G24103">
        <v>21</v>
      </c>
      <c r="H24103">
        <v>85</v>
      </c>
      <c r="I24103">
        <v>295</v>
      </c>
      <c r="J24103">
        <v>1</v>
      </c>
      <c r="K24103">
        <v>115</v>
      </c>
      <c r="L24103">
        <v>318</v>
      </c>
      <c r="M24103">
        <v>1</v>
      </c>
      <c r="N24103">
        <v>1.16555E-16</v>
      </c>
      <c r="O24103">
        <v>208</v>
      </c>
    </row>
    <row r="24104" spans="1:15" x14ac:dyDescent="0.25">
      <c r="A24104" t="s">
        <v>24117</v>
      </c>
      <c r="B24104">
        <v>985</v>
      </c>
      <c r="C24104" s="1" t="str">
        <f>HYPERLINK("http://www.rosaceae.org/gb/gbrowse/malus_x_domestica/?name=MDP0000289712","MDP0000289712")</f>
        <v>MDP0000289712</v>
      </c>
      <c r="D24104">
        <v>91.16</v>
      </c>
      <c r="E24104">
        <v>962</v>
      </c>
      <c r="F24104">
        <v>85</v>
      </c>
      <c r="G24104">
        <v>3</v>
      </c>
      <c r="H24104">
        <v>1</v>
      </c>
      <c r="I24104">
        <v>959</v>
      </c>
      <c r="J24104">
        <v>1</v>
      </c>
      <c r="K24104">
        <v>1</v>
      </c>
      <c r="L24104">
        <v>962</v>
      </c>
      <c r="M24104">
        <v>1</v>
      </c>
      <c r="N24104">
        <v>0</v>
      </c>
      <c r="O24104">
        <v>4697</v>
      </c>
    </row>
    <row r="24105" spans="1:15" x14ac:dyDescent="0.25">
      <c r="A24105" t="s">
        <v>24118</v>
      </c>
      <c r="B24105">
        <v>334</v>
      </c>
      <c r="C24105" s="1" t="str">
        <f>HYPERLINK("http://www.rosaceae.org/gb/gbrowse/malus_x_domestica/?name=MDP0000320524","MDP0000320524")</f>
        <v>MDP0000320524</v>
      </c>
      <c r="D24105">
        <v>78.31</v>
      </c>
      <c r="E24105">
        <v>332</v>
      </c>
      <c r="F24105">
        <v>72</v>
      </c>
      <c r="G24105">
        <v>16</v>
      </c>
      <c r="H24105">
        <v>1</v>
      </c>
      <c r="I24105">
        <v>318</v>
      </c>
      <c r="J24105">
        <v>1</v>
      </c>
      <c r="K24105">
        <v>181</v>
      </c>
      <c r="L24105">
        <v>510</v>
      </c>
      <c r="M24105">
        <v>1</v>
      </c>
      <c r="N24105">
        <v>3.8568300000000001E-141</v>
      </c>
      <c r="O24105">
        <v>1282</v>
      </c>
    </row>
    <row r="24106" spans="1:15" x14ac:dyDescent="0.25">
      <c r="A24106" t="s">
        <v>24119</v>
      </c>
      <c r="B24106">
        <v>864</v>
      </c>
      <c r="C24106" s="1" t="str">
        <f>HYPERLINK("http://www.rosaceae.org/gb/gbrowse/malus_x_domestica/?name=MDP0000847249","MDP0000847249")</f>
        <v>MDP0000847249</v>
      </c>
      <c r="D24106">
        <v>67.5</v>
      </c>
      <c r="E24106">
        <v>874</v>
      </c>
      <c r="F24106">
        <v>284</v>
      </c>
      <c r="G24106">
        <v>44</v>
      </c>
      <c r="H24106">
        <v>3</v>
      </c>
      <c r="I24106">
        <v>864</v>
      </c>
      <c r="J24106">
        <v>1</v>
      </c>
      <c r="K24106">
        <v>6</v>
      </c>
      <c r="L24106">
        <v>847</v>
      </c>
      <c r="M24106">
        <v>1</v>
      </c>
      <c r="N24106">
        <v>0</v>
      </c>
      <c r="O24106">
        <v>3251</v>
      </c>
    </row>
    <row r="24107" spans="1:15" x14ac:dyDescent="0.25">
      <c r="A24107" t="s">
        <v>24120</v>
      </c>
      <c r="B24107">
        <v>232</v>
      </c>
      <c r="C24107" s="1" t="str">
        <f>HYPERLINK("http://www.rosaceae.org/gb/gbrowse/malus_x_domestica/?name=MDP0000161783","MDP0000161783")</f>
        <v>MDP0000161783</v>
      </c>
      <c r="D24107">
        <v>75.28</v>
      </c>
      <c r="E24107">
        <v>178</v>
      </c>
      <c r="F24107">
        <v>44</v>
      </c>
      <c r="G24107">
        <v>5</v>
      </c>
      <c r="H24107">
        <v>55</v>
      </c>
      <c r="I24107">
        <v>232</v>
      </c>
      <c r="J24107">
        <v>1</v>
      </c>
      <c r="K24107">
        <v>431</v>
      </c>
      <c r="L24107">
        <v>603</v>
      </c>
      <c r="M24107">
        <v>1</v>
      </c>
      <c r="N24107">
        <v>4.7336099999999999E-74</v>
      </c>
      <c r="O24107">
        <v>701</v>
      </c>
    </row>
    <row r="24108" spans="1:15" x14ac:dyDescent="0.25">
      <c r="A24108" t="s">
        <v>24121</v>
      </c>
      <c r="B24108">
        <v>714</v>
      </c>
      <c r="C24108" s="1" t="str">
        <f>HYPERLINK("http://www.rosaceae.org/gb/gbrowse/malus_x_domestica/?name=MDP0000373126","MDP0000373126")</f>
        <v>MDP0000373126</v>
      </c>
      <c r="D24108">
        <v>85.84</v>
      </c>
      <c r="E24108">
        <v>212</v>
      </c>
      <c r="F24108">
        <v>30</v>
      </c>
      <c r="G24108">
        <v>1</v>
      </c>
      <c r="H24108">
        <v>3</v>
      </c>
      <c r="I24108">
        <v>214</v>
      </c>
      <c r="J24108">
        <v>1</v>
      </c>
      <c r="K24108">
        <v>1</v>
      </c>
      <c r="L24108">
        <v>211</v>
      </c>
      <c r="M24108">
        <v>1</v>
      </c>
      <c r="N24108">
        <v>1.9237300000000001E-104</v>
      </c>
      <c r="O24108">
        <v>969</v>
      </c>
    </row>
    <row r="24109" spans="1:15" x14ac:dyDescent="0.25">
      <c r="A24109" t="s">
        <v>24122</v>
      </c>
      <c r="B24109">
        <v>888</v>
      </c>
      <c r="C24109" s="1" t="str">
        <f>HYPERLINK("http://www.rosaceae.org/gb/gbrowse/malus_x_domestica/?name=MDP0000127808","MDP0000127808")</f>
        <v>MDP0000127808</v>
      </c>
      <c r="D24109">
        <v>82.6</v>
      </c>
      <c r="E24109">
        <v>914</v>
      </c>
      <c r="F24109">
        <v>159</v>
      </c>
      <c r="G24109">
        <v>32</v>
      </c>
      <c r="H24109">
        <v>1</v>
      </c>
      <c r="I24109">
        <v>882</v>
      </c>
      <c r="J24109">
        <v>1</v>
      </c>
      <c r="K24109">
        <v>30</v>
      </c>
      <c r="L24109">
        <v>943</v>
      </c>
      <c r="M24109">
        <v>1</v>
      </c>
      <c r="N24109">
        <v>0</v>
      </c>
      <c r="O24109">
        <v>4039</v>
      </c>
    </row>
    <row r="24110" spans="1:15" x14ac:dyDescent="0.25">
      <c r="A24110" t="s">
        <v>24123</v>
      </c>
      <c r="B24110">
        <v>589</v>
      </c>
      <c r="C24110" s="1" t="str">
        <f>HYPERLINK("http://www.rosaceae.org/gb/gbrowse/malus_x_domestica/?name=MDP0000285776","MDP0000285776")</f>
        <v>MDP0000285776</v>
      </c>
      <c r="D24110">
        <v>35.51</v>
      </c>
      <c r="E24110">
        <v>397</v>
      </c>
      <c r="F24110">
        <v>256</v>
      </c>
      <c r="G24110">
        <v>56</v>
      </c>
      <c r="H24110">
        <v>222</v>
      </c>
      <c r="I24110">
        <v>579</v>
      </c>
      <c r="J24110">
        <v>1</v>
      </c>
      <c r="K24110">
        <v>1088</v>
      </c>
      <c r="L24110">
        <v>1467</v>
      </c>
      <c r="M24110">
        <v>1</v>
      </c>
      <c r="N24110">
        <v>1.20841E-55</v>
      </c>
      <c r="O24110">
        <v>547</v>
      </c>
    </row>
    <row r="24111" spans="1:15" x14ac:dyDescent="0.25">
      <c r="A24111" t="s">
        <v>24124</v>
      </c>
      <c r="B24111">
        <v>401</v>
      </c>
      <c r="C24111" s="1" t="str">
        <f>HYPERLINK("http://www.rosaceae.org/gb/gbrowse/malus_x_domestica/?name=MDP0000253745","MDP0000253745")</f>
        <v>MDP0000253745</v>
      </c>
      <c r="D24111">
        <v>84.37</v>
      </c>
      <c r="E24111">
        <v>32</v>
      </c>
      <c r="F24111">
        <v>5</v>
      </c>
      <c r="G24111">
        <v>0</v>
      </c>
      <c r="H24111">
        <v>303</v>
      </c>
      <c r="I24111">
        <v>334</v>
      </c>
      <c r="J24111">
        <v>1</v>
      </c>
      <c r="K24111">
        <v>139</v>
      </c>
      <c r="L24111">
        <v>170</v>
      </c>
      <c r="M24111">
        <v>1</v>
      </c>
      <c r="N24111">
        <v>8.0722799999999993E-9</v>
      </c>
      <c r="O24111">
        <v>141</v>
      </c>
    </row>
    <row r="24112" spans="1:15" x14ac:dyDescent="0.25">
      <c r="A24112" t="s">
        <v>24125</v>
      </c>
      <c r="B24112">
        <v>1080</v>
      </c>
      <c r="C24112" s="1" t="str">
        <f>HYPERLINK("http://www.rosaceae.org/gb/gbrowse/malus_x_domestica/?name=MDP0000285251","MDP0000285251")</f>
        <v>MDP0000285251</v>
      </c>
      <c r="D24112">
        <v>75.36</v>
      </c>
      <c r="E24112">
        <v>824</v>
      </c>
      <c r="F24112">
        <v>203</v>
      </c>
      <c r="G24112">
        <v>52</v>
      </c>
      <c r="H24112">
        <v>186</v>
      </c>
      <c r="I24112">
        <v>967</v>
      </c>
      <c r="J24112">
        <v>1</v>
      </c>
      <c r="K24112">
        <v>1</v>
      </c>
      <c r="L24112">
        <v>814</v>
      </c>
      <c r="M24112">
        <v>1</v>
      </c>
      <c r="N24112">
        <v>0</v>
      </c>
      <c r="O24112">
        <v>3168</v>
      </c>
    </row>
    <row r="24113" spans="1:15" x14ac:dyDescent="0.25">
      <c r="A24113" t="s">
        <v>24126</v>
      </c>
      <c r="B24113">
        <v>111</v>
      </c>
      <c r="C24113" s="1" t="str">
        <f>HYPERLINK("http://www.rosaceae.org/gb/gbrowse/malus_x_domestica/?name=MDP0000166899","MDP0000166899")</f>
        <v>MDP0000166899</v>
      </c>
      <c r="D24113">
        <v>60.71</v>
      </c>
      <c r="E24113">
        <v>112</v>
      </c>
      <c r="F24113">
        <v>44</v>
      </c>
      <c r="G24113">
        <v>7</v>
      </c>
      <c r="H24113">
        <v>1</v>
      </c>
      <c r="I24113">
        <v>108</v>
      </c>
      <c r="J24113">
        <v>1</v>
      </c>
      <c r="K24113">
        <v>1</v>
      </c>
      <c r="L24113">
        <v>109</v>
      </c>
      <c r="M24113">
        <v>1</v>
      </c>
      <c r="N24113">
        <v>9.20156E-28</v>
      </c>
      <c r="O24113">
        <v>297</v>
      </c>
    </row>
    <row r="24114" spans="1:15" x14ac:dyDescent="0.25">
      <c r="A24114" t="s">
        <v>24127</v>
      </c>
      <c r="B24114">
        <v>325</v>
      </c>
      <c r="C24114" s="1" t="str">
        <f>HYPERLINK("http://www.rosaceae.org/gb/gbrowse/malus_x_domestica/?name=MDP0000155389","MDP0000155389")</f>
        <v>MDP0000155389</v>
      </c>
      <c r="D24114">
        <v>42.85</v>
      </c>
      <c r="E24114">
        <v>168</v>
      </c>
      <c r="F24114">
        <v>96</v>
      </c>
      <c r="G24114">
        <v>3</v>
      </c>
      <c r="H24114">
        <v>1</v>
      </c>
      <c r="I24114">
        <v>168</v>
      </c>
      <c r="J24114">
        <v>1</v>
      </c>
      <c r="K24114">
        <v>1</v>
      </c>
      <c r="L24114">
        <v>165</v>
      </c>
      <c r="M24114">
        <v>1</v>
      </c>
      <c r="N24114">
        <v>5.8570099999999999E-30</v>
      </c>
      <c r="O24114">
        <v>323</v>
      </c>
    </row>
    <row r="24115" spans="1:15" x14ac:dyDescent="0.25">
      <c r="A24115" t="s">
        <v>24128</v>
      </c>
      <c r="B24115">
        <v>112</v>
      </c>
      <c r="C24115" s="1" t="str">
        <f>HYPERLINK("http://www.rosaceae.org/gb/gbrowse/malus_x_domestica/?name=MDP0000141631","MDP0000141631")</f>
        <v>MDP0000141631</v>
      </c>
      <c r="D24115">
        <v>65.42</v>
      </c>
      <c r="E24115">
        <v>107</v>
      </c>
      <c r="F24115">
        <v>37</v>
      </c>
      <c r="G24115">
        <v>2</v>
      </c>
      <c r="H24115">
        <v>1</v>
      </c>
      <c r="I24115">
        <v>105</v>
      </c>
      <c r="J24115">
        <v>1</v>
      </c>
      <c r="K24115">
        <v>5</v>
      </c>
      <c r="L24115">
        <v>111</v>
      </c>
      <c r="M24115">
        <v>1</v>
      </c>
      <c r="N24115">
        <v>1.5220000000000001E-35</v>
      </c>
      <c r="O24115">
        <v>364</v>
      </c>
    </row>
    <row r="24116" spans="1:15" x14ac:dyDescent="0.25">
      <c r="A24116" t="s">
        <v>24129</v>
      </c>
      <c r="B24116">
        <v>721</v>
      </c>
      <c r="C24116" s="1" t="str">
        <f>HYPERLINK("http://www.rosaceae.org/gb/gbrowse/malus_x_domestica/?name=MDP0000270104","MDP0000270104")</f>
        <v>MDP0000270104</v>
      </c>
      <c r="D24116">
        <v>79.239999999999995</v>
      </c>
      <c r="E24116">
        <v>395</v>
      </c>
      <c r="F24116">
        <v>82</v>
      </c>
      <c r="G24116">
        <v>1</v>
      </c>
      <c r="H24116">
        <v>327</v>
      </c>
      <c r="I24116">
        <v>721</v>
      </c>
      <c r="J24116">
        <v>1</v>
      </c>
      <c r="K24116">
        <v>44</v>
      </c>
      <c r="L24116">
        <v>437</v>
      </c>
      <c r="M24116">
        <v>1</v>
      </c>
      <c r="N24116">
        <v>0</v>
      </c>
      <c r="O24116">
        <v>1696</v>
      </c>
    </row>
    <row r="24117" spans="1:15" x14ac:dyDescent="0.25">
      <c r="A24117" t="s">
        <v>24130</v>
      </c>
      <c r="B24117">
        <v>121</v>
      </c>
      <c r="C24117" s="1" t="str">
        <f>HYPERLINK("http://www.rosaceae.org/gb/gbrowse/malus_x_domestica/?name=MDP0000134903","MDP0000134903")</f>
        <v>MDP0000134903</v>
      </c>
      <c r="D24117">
        <v>81.03</v>
      </c>
      <c r="E24117">
        <v>116</v>
      </c>
      <c r="F24117">
        <v>22</v>
      </c>
      <c r="G24117">
        <v>0</v>
      </c>
      <c r="H24117">
        <v>5</v>
      </c>
      <c r="I24117">
        <v>120</v>
      </c>
      <c r="J24117">
        <v>1</v>
      </c>
      <c r="K24117">
        <v>30</v>
      </c>
      <c r="L24117">
        <v>145</v>
      </c>
      <c r="M24117">
        <v>1</v>
      </c>
      <c r="N24117">
        <v>6.4879099999999997E-52</v>
      </c>
      <c r="O24117">
        <v>505</v>
      </c>
    </row>
    <row r="24118" spans="1:15" x14ac:dyDescent="0.25">
      <c r="A24118" t="s">
        <v>24131</v>
      </c>
      <c r="B24118">
        <v>1261</v>
      </c>
      <c r="C24118" s="1" t="str">
        <f>HYPERLINK("http://www.rosaceae.org/gb/gbrowse/malus_x_domestica/?name=MDP0000613625","MDP0000613625")</f>
        <v>MDP0000613625</v>
      </c>
      <c r="D24118">
        <v>74.41</v>
      </c>
      <c r="E24118">
        <v>1231</v>
      </c>
      <c r="F24118">
        <v>315</v>
      </c>
      <c r="G24118">
        <v>2</v>
      </c>
      <c r="H24118">
        <v>29</v>
      </c>
      <c r="I24118">
        <v>1259</v>
      </c>
      <c r="J24118">
        <v>1</v>
      </c>
      <c r="K24118">
        <v>27</v>
      </c>
      <c r="L24118">
        <v>1255</v>
      </c>
      <c r="M24118">
        <v>1</v>
      </c>
      <c r="N24118">
        <v>0</v>
      </c>
      <c r="O24118">
        <v>4670</v>
      </c>
    </row>
    <row r="24119" spans="1:15" x14ac:dyDescent="0.25">
      <c r="A24119" t="s">
        <v>24132</v>
      </c>
      <c r="B24119">
        <v>481</v>
      </c>
      <c r="C24119" s="1" t="str">
        <f>HYPERLINK("http://www.rosaceae.org/gb/gbrowse/malus_x_domestica/?name=MDP0000905699","MDP0000905699")</f>
        <v>MDP0000905699</v>
      </c>
      <c r="D24119">
        <v>58.66</v>
      </c>
      <c r="E24119">
        <v>496</v>
      </c>
      <c r="F24119">
        <v>205</v>
      </c>
      <c r="G24119">
        <v>23</v>
      </c>
      <c r="H24119">
        <v>1</v>
      </c>
      <c r="I24119">
        <v>481</v>
      </c>
      <c r="J24119">
        <v>1</v>
      </c>
      <c r="K24119">
        <v>1</v>
      </c>
      <c r="L24119">
        <v>488</v>
      </c>
      <c r="M24119">
        <v>1</v>
      </c>
      <c r="N24119">
        <v>7.6309799999999995E-145</v>
      </c>
      <c r="O24119">
        <v>1315</v>
      </c>
    </row>
    <row r="24120" spans="1:15" x14ac:dyDescent="0.25">
      <c r="A24120" t="s">
        <v>24133</v>
      </c>
      <c r="B24120">
        <v>855</v>
      </c>
      <c r="C24120" s="1" t="str">
        <f>HYPERLINK("http://www.rosaceae.org/gb/gbrowse/malus_x_domestica/?name=MDP0000188637","MDP0000188637")</f>
        <v>MDP0000188637</v>
      </c>
      <c r="D24120">
        <v>55.02</v>
      </c>
      <c r="E24120">
        <v>498</v>
      </c>
      <c r="F24120">
        <v>224</v>
      </c>
      <c r="G24120">
        <v>17</v>
      </c>
      <c r="H24120">
        <v>2</v>
      </c>
      <c r="I24120">
        <v>484</v>
      </c>
      <c r="J24120">
        <v>1</v>
      </c>
      <c r="K24120">
        <v>3</v>
      </c>
      <c r="L24120">
        <v>498</v>
      </c>
      <c r="M24120">
        <v>1</v>
      </c>
      <c r="N24120">
        <v>1.9878500000000001E-151</v>
      </c>
      <c r="O24120">
        <v>1375</v>
      </c>
    </row>
    <row r="24121" spans="1:15" x14ac:dyDescent="0.25">
      <c r="A24121" t="s">
        <v>24134</v>
      </c>
      <c r="B24121">
        <v>533</v>
      </c>
      <c r="C24121" s="1" t="str">
        <f>HYPERLINK("http://www.rosaceae.org/gb/gbrowse/malus_x_domestica/?name=MDP0000319227","MDP0000319227")</f>
        <v>MDP0000319227</v>
      </c>
      <c r="D24121">
        <v>75.680000000000007</v>
      </c>
      <c r="E24121">
        <v>399</v>
      </c>
      <c r="F24121">
        <v>97</v>
      </c>
      <c r="G24121">
        <v>7</v>
      </c>
      <c r="H24121">
        <v>1</v>
      </c>
      <c r="I24121">
        <v>392</v>
      </c>
      <c r="J24121">
        <v>1</v>
      </c>
      <c r="K24121">
        <v>237</v>
      </c>
      <c r="L24121">
        <v>635</v>
      </c>
      <c r="M24121">
        <v>1</v>
      </c>
      <c r="N24121">
        <v>2.0614399999999999E-166</v>
      </c>
      <c r="O24121">
        <v>1502</v>
      </c>
    </row>
    <row r="24122" spans="1:15" x14ac:dyDescent="0.25">
      <c r="A24122" t="s">
        <v>24135</v>
      </c>
      <c r="B24122">
        <v>173</v>
      </c>
      <c r="C24122" s="1" t="str">
        <f>HYPERLINK("http://www.rosaceae.org/gb/gbrowse/malus_x_domestica/?name=MDP0000122554","MDP0000122554")</f>
        <v>MDP0000122554</v>
      </c>
      <c r="D24122">
        <v>75.319999999999993</v>
      </c>
      <c r="E24122">
        <v>77</v>
      </c>
      <c r="F24122">
        <v>19</v>
      </c>
      <c r="G24122">
        <v>0</v>
      </c>
      <c r="H24122">
        <v>96</v>
      </c>
      <c r="I24122">
        <v>172</v>
      </c>
      <c r="J24122">
        <v>1</v>
      </c>
      <c r="K24122">
        <v>710</v>
      </c>
      <c r="L24122">
        <v>786</v>
      </c>
      <c r="M24122">
        <v>1</v>
      </c>
      <c r="N24122">
        <v>4.9248400000000003E-28</v>
      </c>
      <c r="O24122">
        <v>302</v>
      </c>
    </row>
    <row r="24123" spans="1:15" x14ac:dyDescent="0.25">
      <c r="A24123" t="s">
        <v>24136</v>
      </c>
      <c r="B24123">
        <v>167</v>
      </c>
      <c r="C24123" s="1" t="str">
        <f>HYPERLINK("http://www.rosaceae.org/gb/gbrowse/malus_x_domestica/?name=MDP0000253928","MDP0000253928")</f>
        <v>MDP0000253928</v>
      </c>
      <c r="D24123">
        <v>55.43</v>
      </c>
      <c r="E24123">
        <v>184</v>
      </c>
      <c r="F24123">
        <v>82</v>
      </c>
      <c r="G24123">
        <v>41</v>
      </c>
      <c r="H24123">
        <v>1</v>
      </c>
      <c r="I24123">
        <v>165</v>
      </c>
      <c r="J24123">
        <v>1</v>
      </c>
      <c r="K24123">
        <v>1</v>
      </c>
      <c r="L24123">
        <v>162</v>
      </c>
      <c r="M24123">
        <v>1</v>
      </c>
      <c r="N24123">
        <v>2.0815999999999999E-42</v>
      </c>
      <c r="O24123">
        <v>426</v>
      </c>
    </row>
    <row r="24124" spans="1:15" x14ac:dyDescent="0.25">
      <c r="A24124" t="s">
        <v>24137</v>
      </c>
      <c r="B24124">
        <v>1531</v>
      </c>
      <c r="C24124" s="1" t="str">
        <f>HYPERLINK("http://www.rosaceae.org/gb/gbrowse/malus_x_domestica/?name=MDP0000306779","MDP0000306779")</f>
        <v>MDP0000306779</v>
      </c>
      <c r="D24124">
        <v>67.489999999999995</v>
      </c>
      <c r="E24124">
        <v>1083</v>
      </c>
      <c r="F24124">
        <v>352</v>
      </c>
      <c r="G24124">
        <v>22</v>
      </c>
      <c r="H24124">
        <v>461</v>
      </c>
      <c r="I24124">
        <v>1530</v>
      </c>
      <c r="J24124">
        <v>1</v>
      </c>
      <c r="K24124">
        <v>232</v>
      </c>
      <c r="L24124">
        <v>1305</v>
      </c>
      <c r="M24124">
        <v>1</v>
      </c>
      <c r="N24124">
        <v>0</v>
      </c>
      <c r="O24124">
        <v>3757</v>
      </c>
    </row>
    <row r="24125" spans="1:15" x14ac:dyDescent="0.25">
      <c r="A24125" t="s">
        <v>24138</v>
      </c>
      <c r="B24125">
        <v>1698</v>
      </c>
      <c r="C24125" s="1" t="str">
        <f>HYPERLINK("http://www.rosaceae.org/gb/gbrowse/malus_x_domestica/?name=MDP0000498180","MDP0000498180")</f>
        <v>MDP0000498180</v>
      </c>
      <c r="D24125">
        <v>54.21</v>
      </c>
      <c r="E24125">
        <v>1057</v>
      </c>
      <c r="F24125">
        <v>484</v>
      </c>
      <c r="G24125">
        <v>108</v>
      </c>
      <c r="H24125">
        <v>150</v>
      </c>
      <c r="I24125">
        <v>1131</v>
      </c>
      <c r="J24125">
        <v>1</v>
      </c>
      <c r="K24125">
        <v>219</v>
      </c>
      <c r="L24125">
        <v>1242</v>
      </c>
      <c r="M24125">
        <v>1</v>
      </c>
      <c r="N24125">
        <v>0</v>
      </c>
      <c r="O24125">
        <v>2544</v>
      </c>
    </row>
    <row r="24126" spans="1:15" x14ac:dyDescent="0.25">
      <c r="A24126" t="s">
        <v>24139</v>
      </c>
      <c r="B24126">
        <v>306</v>
      </c>
      <c r="C24126" s="1" t="str">
        <f>HYPERLINK("http://www.rosaceae.org/gb/gbrowse/malus_x_domestica/?name=MDP0000220328","MDP0000220328")</f>
        <v>MDP0000220328</v>
      </c>
      <c r="D24126">
        <v>79.16</v>
      </c>
      <c r="E24126">
        <v>96</v>
      </c>
      <c r="F24126">
        <v>20</v>
      </c>
      <c r="G24126">
        <v>0</v>
      </c>
      <c r="H24126">
        <v>211</v>
      </c>
      <c r="I24126">
        <v>306</v>
      </c>
      <c r="J24126">
        <v>1</v>
      </c>
      <c r="K24126">
        <v>1</v>
      </c>
      <c r="L24126">
        <v>96</v>
      </c>
      <c r="M24126">
        <v>1</v>
      </c>
      <c r="N24126">
        <v>1.71671E-40</v>
      </c>
      <c r="O24126">
        <v>413</v>
      </c>
    </row>
    <row r="24127" spans="1:15" x14ac:dyDescent="0.25">
      <c r="A24127" t="s">
        <v>24140</v>
      </c>
      <c r="B24127">
        <v>397</v>
      </c>
      <c r="C24127" s="1" t="str">
        <f>HYPERLINK("http://www.rosaceae.org/gb/gbrowse/malus_x_domestica/?name=MDP0000260343","MDP0000260343")</f>
        <v>MDP0000260343</v>
      </c>
      <c r="D24127">
        <v>59.73</v>
      </c>
      <c r="E24127">
        <v>303</v>
      </c>
      <c r="F24127">
        <v>122</v>
      </c>
      <c r="G24127">
        <v>1</v>
      </c>
      <c r="H24127">
        <v>95</v>
      </c>
      <c r="I24127">
        <v>397</v>
      </c>
      <c r="J24127">
        <v>1</v>
      </c>
      <c r="K24127">
        <v>115</v>
      </c>
      <c r="L24127">
        <v>416</v>
      </c>
      <c r="M24127">
        <v>1</v>
      </c>
      <c r="N24127">
        <v>5.3246799999999999E-102</v>
      </c>
      <c r="O24127">
        <v>945</v>
      </c>
    </row>
    <row r="24128" spans="1:15" x14ac:dyDescent="0.25">
      <c r="A24128" t="s">
        <v>24141</v>
      </c>
      <c r="B24128">
        <v>885</v>
      </c>
      <c r="C24128" s="1" t="str">
        <f>HYPERLINK("http://www.rosaceae.org/gb/gbrowse/malus_x_domestica/?name=MDP0000302554","MDP0000302554")</f>
        <v>MDP0000302554</v>
      </c>
      <c r="D24128">
        <v>57.18</v>
      </c>
      <c r="E24128">
        <v>348</v>
      </c>
      <c r="F24128">
        <v>149</v>
      </c>
      <c r="G24128">
        <v>24</v>
      </c>
      <c r="H24128">
        <v>505</v>
      </c>
      <c r="I24128">
        <v>841</v>
      </c>
      <c r="J24128">
        <v>1</v>
      </c>
      <c r="K24128">
        <v>187</v>
      </c>
      <c r="L24128">
        <v>521</v>
      </c>
      <c r="M24128">
        <v>1</v>
      </c>
      <c r="N24128">
        <v>1.4021799999999999E-110</v>
      </c>
      <c r="O24128">
        <v>1023</v>
      </c>
    </row>
    <row r="24129" spans="1:15" x14ac:dyDescent="0.25">
      <c r="A24129" t="s">
        <v>24142</v>
      </c>
      <c r="B24129">
        <v>291</v>
      </c>
      <c r="C24129" s="1" t="str">
        <f>HYPERLINK("http://www.rosaceae.org/gb/gbrowse/malus_x_domestica/?name=MDP0000148212","MDP0000148212")</f>
        <v>MDP0000148212</v>
      </c>
      <c r="D24129">
        <v>60.88</v>
      </c>
      <c r="E24129">
        <v>225</v>
      </c>
      <c r="F24129">
        <v>88</v>
      </c>
      <c r="G24129">
        <v>15</v>
      </c>
      <c r="H24129">
        <v>1</v>
      </c>
      <c r="I24129">
        <v>210</v>
      </c>
      <c r="J24129">
        <v>1</v>
      </c>
      <c r="K24129">
        <v>1</v>
      </c>
      <c r="L24129">
        <v>225</v>
      </c>
      <c r="M24129">
        <v>1</v>
      </c>
      <c r="N24129">
        <v>1.0842899999999999E-65</v>
      </c>
      <c r="O24129">
        <v>630</v>
      </c>
    </row>
    <row r="24130" spans="1:15" x14ac:dyDescent="0.25">
      <c r="A24130" t="s">
        <v>24143</v>
      </c>
      <c r="B24130">
        <v>952</v>
      </c>
      <c r="C24130" s="1" t="str">
        <f>HYPERLINK("http://www.rosaceae.org/gb/gbrowse/malus_x_domestica/?name=MDP0000282274","MDP0000282274")</f>
        <v>MDP0000282274</v>
      </c>
      <c r="D24130">
        <v>87.41</v>
      </c>
      <c r="E24130">
        <v>461</v>
      </c>
      <c r="F24130">
        <v>58</v>
      </c>
      <c r="G24130">
        <v>15</v>
      </c>
      <c r="H24130">
        <v>1</v>
      </c>
      <c r="I24130">
        <v>461</v>
      </c>
      <c r="J24130">
        <v>1</v>
      </c>
      <c r="K24130">
        <v>1</v>
      </c>
      <c r="L24130">
        <v>446</v>
      </c>
      <c r="M24130">
        <v>1</v>
      </c>
      <c r="N24130">
        <v>0</v>
      </c>
      <c r="O24130">
        <v>2160</v>
      </c>
    </row>
    <row r="24131" spans="1:15" x14ac:dyDescent="0.25">
      <c r="A24131" t="s">
        <v>24144</v>
      </c>
      <c r="B24131">
        <v>179</v>
      </c>
      <c r="C24131" s="1" t="str">
        <f>HYPERLINK("http://www.rosaceae.org/gb/gbrowse/malus_x_domestica/?name=MDP0000368424","MDP0000368424")</f>
        <v>MDP0000368424</v>
      </c>
      <c r="D24131">
        <v>66.37</v>
      </c>
      <c r="E24131">
        <v>113</v>
      </c>
      <c r="F24131">
        <v>38</v>
      </c>
      <c r="G24131">
        <v>1</v>
      </c>
      <c r="H24131">
        <v>36</v>
      </c>
      <c r="I24131">
        <v>147</v>
      </c>
      <c r="J24131">
        <v>1</v>
      </c>
      <c r="K24131">
        <v>141</v>
      </c>
      <c r="L24131">
        <v>253</v>
      </c>
      <c r="M24131">
        <v>1</v>
      </c>
      <c r="N24131">
        <v>1.73105E-40</v>
      </c>
      <c r="O24131">
        <v>410</v>
      </c>
    </row>
    <row r="24132" spans="1:15" x14ac:dyDescent="0.25">
      <c r="A24132" t="s">
        <v>24145</v>
      </c>
      <c r="B24132">
        <v>300</v>
      </c>
      <c r="C24132" s="1" t="str">
        <f>HYPERLINK("http://www.rosaceae.org/gb/gbrowse/malus_x_domestica/?name=MDP0000256961","MDP0000256961")</f>
        <v>MDP0000256961</v>
      </c>
      <c r="D24132">
        <v>80.12</v>
      </c>
      <c r="E24132">
        <v>166</v>
      </c>
      <c r="F24132">
        <v>33</v>
      </c>
      <c r="G24132">
        <v>0</v>
      </c>
      <c r="H24132">
        <v>122</v>
      </c>
      <c r="I24132">
        <v>287</v>
      </c>
      <c r="J24132">
        <v>1</v>
      </c>
      <c r="K24132">
        <v>50</v>
      </c>
      <c r="L24132">
        <v>215</v>
      </c>
      <c r="M24132">
        <v>1</v>
      </c>
      <c r="N24132">
        <v>3.4644799999999998E-76</v>
      </c>
      <c r="O24132">
        <v>721</v>
      </c>
    </row>
    <row r="24133" spans="1:15" x14ac:dyDescent="0.25">
      <c r="A24133" t="s">
        <v>24146</v>
      </c>
      <c r="B24133">
        <v>338</v>
      </c>
      <c r="C24133" s="1" t="str">
        <f>HYPERLINK("http://www.rosaceae.org/gb/gbrowse/malus_x_domestica/?name=MDP0000237604","MDP0000237604")</f>
        <v>MDP0000237604</v>
      </c>
      <c r="D24133">
        <v>58.65</v>
      </c>
      <c r="E24133">
        <v>208</v>
      </c>
      <c r="F24133">
        <v>86</v>
      </c>
      <c r="G24133">
        <v>31</v>
      </c>
      <c r="H24133">
        <v>159</v>
      </c>
      <c r="I24133">
        <v>337</v>
      </c>
      <c r="J24133">
        <v>1</v>
      </c>
      <c r="K24133">
        <v>433</v>
      </c>
      <c r="L24133">
        <v>638</v>
      </c>
      <c r="M24133">
        <v>1</v>
      </c>
      <c r="N24133">
        <v>9.8859399999999994E-62</v>
      </c>
      <c r="O24133">
        <v>597</v>
      </c>
    </row>
    <row r="24134" spans="1:15" x14ac:dyDescent="0.25">
      <c r="A24134" t="s">
        <v>24147</v>
      </c>
      <c r="B24134">
        <v>585</v>
      </c>
      <c r="C24134" s="1" t="str">
        <f>HYPERLINK("http://www.rosaceae.org/gb/gbrowse/malus_x_domestica/?name=MDP0000322220","MDP0000322220")</f>
        <v>MDP0000322220</v>
      </c>
      <c r="D24134">
        <v>84.48</v>
      </c>
      <c r="E24134">
        <v>580</v>
      </c>
      <c r="F24134">
        <v>90</v>
      </c>
      <c r="G24134">
        <v>2</v>
      </c>
      <c r="H24134">
        <v>6</v>
      </c>
      <c r="I24134">
        <v>585</v>
      </c>
      <c r="J24134">
        <v>1</v>
      </c>
      <c r="K24134">
        <v>504</v>
      </c>
      <c r="L24134">
        <v>1081</v>
      </c>
      <c r="M24134">
        <v>1</v>
      </c>
      <c r="N24134">
        <v>0</v>
      </c>
      <c r="O24134">
        <v>2546</v>
      </c>
    </row>
    <row r="24135" spans="1:15" x14ac:dyDescent="0.25">
      <c r="A24135" t="s">
        <v>24148</v>
      </c>
      <c r="B24135">
        <v>275</v>
      </c>
      <c r="C24135" s="1" t="str">
        <f>HYPERLINK("http://www.rosaceae.org/gb/gbrowse/malus_x_domestica/?name=MDP0000191118","MDP0000191118")</f>
        <v>MDP0000191118</v>
      </c>
      <c r="D24135">
        <v>96.55</v>
      </c>
      <c r="E24135">
        <v>174</v>
      </c>
      <c r="F24135">
        <v>6</v>
      </c>
      <c r="G24135">
        <v>0</v>
      </c>
      <c r="H24135">
        <v>102</v>
      </c>
      <c r="I24135">
        <v>275</v>
      </c>
      <c r="J24135">
        <v>1</v>
      </c>
      <c r="K24135">
        <v>1</v>
      </c>
      <c r="L24135">
        <v>174</v>
      </c>
      <c r="M24135">
        <v>1</v>
      </c>
      <c r="N24135">
        <v>4.0621800000000001E-99</v>
      </c>
      <c r="O24135">
        <v>918</v>
      </c>
    </row>
    <row r="24136" spans="1:15" x14ac:dyDescent="0.25">
      <c r="A24136" t="s">
        <v>24149</v>
      </c>
      <c r="B24136">
        <v>112</v>
      </c>
      <c r="C24136" s="1" t="str">
        <f>HYPERLINK("http://www.rosaceae.org/gb/gbrowse/malus_x_domestica/?name=MDP0000201315","MDP0000201315")</f>
        <v>MDP0000201315</v>
      </c>
      <c r="D24136">
        <v>83.92</v>
      </c>
      <c r="E24136">
        <v>112</v>
      </c>
      <c r="F24136">
        <v>18</v>
      </c>
      <c r="G24136">
        <v>0</v>
      </c>
      <c r="H24136">
        <v>1</v>
      </c>
      <c r="I24136">
        <v>112</v>
      </c>
      <c r="J24136">
        <v>1</v>
      </c>
      <c r="K24136">
        <v>1</v>
      </c>
      <c r="L24136">
        <v>112</v>
      </c>
      <c r="M24136">
        <v>1</v>
      </c>
      <c r="N24136">
        <v>3.6089799999999999E-50</v>
      </c>
      <c r="O24136">
        <v>490</v>
      </c>
    </row>
    <row r="24137" spans="1:15" x14ac:dyDescent="0.25">
      <c r="A24137" t="s">
        <v>24150</v>
      </c>
      <c r="B24137">
        <v>252</v>
      </c>
      <c r="C24137" s="1" t="str">
        <f>HYPERLINK("http://www.rosaceae.org/gb/gbrowse/malus_x_domestica/?name=MDP0000222449","MDP0000222449")</f>
        <v>MDP0000222449</v>
      </c>
      <c r="D24137">
        <v>65.56</v>
      </c>
      <c r="E24137">
        <v>212</v>
      </c>
      <c r="F24137">
        <v>73</v>
      </c>
      <c r="G24137">
        <v>3</v>
      </c>
      <c r="H24137">
        <v>8</v>
      </c>
      <c r="I24137">
        <v>218</v>
      </c>
      <c r="J24137">
        <v>1</v>
      </c>
      <c r="K24137">
        <v>54</v>
      </c>
      <c r="L24137">
        <v>263</v>
      </c>
      <c r="M24137">
        <v>1</v>
      </c>
      <c r="N24137">
        <v>4.3856799999999998E-69</v>
      </c>
      <c r="O24137">
        <v>659</v>
      </c>
    </row>
    <row r="24138" spans="1:15" x14ac:dyDescent="0.25">
      <c r="A24138" t="s">
        <v>24151</v>
      </c>
      <c r="B24138">
        <v>324</v>
      </c>
      <c r="C24138" s="1" t="str">
        <f>HYPERLINK("http://www.rosaceae.org/gb/gbrowse/malus_x_domestica/?name=MDP0000141124","MDP0000141124")</f>
        <v>MDP0000141124</v>
      </c>
      <c r="D24138">
        <v>80</v>
      </c>
      <c r="E24138">
        <v>185</v>
      </c>
      <c r="F24138">
        <v>37</v>
      </c>
      <c r="G24138">
        <v>3</v>
      </c>
      <c r="H24138">
        <v>134</v>
      </c>
      <c r="I24138">
        <v>318</v>
      </c>
      <c r="J24138">
        <v>1</v>
      </c>
      <c r="K24138">
        <v>24</v>
      </c>
      <c r="L24138">
        <v>205</v>
      </c>
      <c r="M24138">
        <v>1</v>
      </c>
      <c r="N24138">
        <v>2.9700599999999998E-83</v>
      </c>
      <c r="O24138">
        <v>782</v>
      </c>
    </row>
    <row r="24139" spans="1:15" x14ac:dyDescent="0.25">
      <c r="A24139" t="s">
        <v>24152</v>
      </c>
      <c r="B24139">
        <v>606</v>
      </c>
      <c r="C24139" s="1" t="str">
        <f>HYPERLINK("http://www.rosaceae.org/gb/gbrowse/malus_x_domestica/?name=MDP0000162019","MDP0000162019")</f>
        <v>MDP0000162019</v>
      </c>
      <c r="D24139">
        <v>37.14</v>
      </c>
      <c r="E24139">
        <v>175</v>
      </c>
      <c r="F24139">
        <v>110</v>
      </c>
      <c r="G24139">
        <v>27</v>
      </c>
      <c r="H24139">
        <v>35</v>
      </c>
      <c r="I24139">
        <v>183</v>
      </c>
      <c r="J24139">
        <v>1</v>
      </c>
      <c r="K24139">
        <v>192</v>
      </c>
      <c r="L24139">
        <v>365</v>
      </c>
      <c r="M24139">
        <v>1</v>
      </c>
      <c r="N24139">
        <v>6.2675600000000004E-23</v>
      </c>
      <c r="O24139">
        <v>265</v>
      </c>
    </row>
    <row r="24140" spans="1:15" x14ac:dyDescent="0.25">
      <c r="A24140" t="s">
        <v>24153</v>
      </c>
      <c r="B24140">
        <v>171</v>
      </c>
      <c r="C24140" s="1" t="str">
        <f>HYPERLINK("http://www.rosaceae.org/gb/gbrowse/malus_x_domestica/?name=MDP0000278621","MDP0000278621")</f>
        <v>MDP0000278621</v>
      </c>
      <c r="D24140">
        <v>72</v>
      </c>
      <c r="E24140">
        <v>175</v>
      </c>
      <c r="F24140">
        <v>49</v>
      </c>
      <c r="G24140">
        <v>5</v>
      </c>
      <c r="H24140">
        <v>1</v>
      </c>
      <c r="I24140">
        <v>170</v>
      </c>
      <c r="J24140">
        <v>1</v>
      </c>
      <c r="K24140">
        <v>56</v>
      </c>
      <c r="L24140">
        <v>230</v>
      </c>
      <c r="M24140">
        <v>1</v>
      </c>
      <c r="N24140">
        <v>5.6562199999999997E-64</v>
      </c>
      <c r="O24140">
        <v>612</v>
      </c>
    </row>
    <row r="24141" spans="1:15" x14ac:dyDescent="0.25">
      <c r="A24141" t="s">
        <v>24154</v>
      </c>
      <c r="B24141">
        <v>351</v>
      </c>
      <c r="C24141" s="1" t="str">
        <f>HYPERLINK("http://www.rosaceae.org/gb/gbrowse/malus_x_domestica/?name=MDP0000225175","MDP0000225175")</f>
        <v>MDP0000225175</v>
      </c>
      <c r="D24141">
        <v>67.040000000000006</v>
      </c>
      <c r="E24141">
        <v>176</v>
      </c>
      <c r="F24141">
        <v>58</v>
      </c>
      <c r="G24141">
        <v>3</v>
      </c>
      <c r="H24141">
        <v>89</v>
      </c>
      <c r="I24141">
        <v>263</v>
      </c>
      <c r="J24141">
        <v>1</v>
      </c>
      <c r="K24141">
        <v>193</v>
      </c>
      <c r="L24141">
        <v>366</v>
      </c>
      <c r="M24141">
        <v>1</v>
      </c>
      <c r="N24141">
        <v>7.2328700000000001E-60</v>
      </c>
      <c r="O24141">
        <v>581</v>
      </c>
    </row>
    <row r="24142" spans="1:15" x14ac:dyDescent="0.25">
      <c r="A24142" t="s">
        <v>24155</v>
      </c>
      <c r="B24142">
        <v>606</v>
      </c>
      <c r="C24142" s="1" t="str">
        <f>HYPERLINK("http://www.rosaceae.org/gb/gbrowse/malus_x_domestica/?name=MDP0000843803","MDP0000843803")</f>
        <v>MDP0000843803</v>
      </c>
      <c r="D24142">
        <v>36.56</v>
      </c>
      <c r="E24142">
        <v>506</v>
      </c>
      <c r="F24142">
        <v>321</v>
      </c>
      <c r="G24142">
        <v>91</v>
      </c>
      <c r="H24142">
        <v>105</v>
      </c>
      <c r="I24142">
        <v>548</v>
      </c>
      <c r="J24142">
        <v>1</v>
      </c>
      <c r="K24142">
        <v>48</v>
      </c>
      <c r="L24142">
        <v>524</v>
      </c>
      <c r="M24142">
        <v>1</v>
      </c>
      <c r="N24142">
        <v>1.2587699999999999E-63</v>
      </c>
      <c r="O24142">
        <v>616</v>
      </c>
    </row>
    <row r="24143" spans="1:15" x14ac:dyDescent="0.25">
      <c r="A24143" t="s">
        <v>24156</v>
      </c>
      <c r="B24143">
        <v>1765</v>
      </c>
      <c r="C24143" s="1" t="str">
        <f>HYPERLINK("http://www.rosaceae.org/gb/gbrowse/malus_x_domestica/?name=MDP0000319132","MDP0000319132")</f>
        <v>MDP0000319132</v>
      </c>
      <c r="D24143">
        <v>53.73</v>
      </c>
      <c r="E24143">
        <v>1230</v>
      </c>
      <c r="F24143">
        <v>569</v>
      </c>
      <c r="G24143">
        <v>129</v>
      </c>
      <c r="H24143">
        <v>102</v>
      </c>
      <c r="I24143">
        <v>1252</v>
      </c>
      <c r="J24143">
        <v>1</v>
      </c>
      <c r="K24143">
        <v>155</v>
      </c>
      <c r="L24143">
        <v>1334</v>
      </c>
      <c r="M24143">
        <v>1</v>
      </c>
      <c r="N24143">
        <v>0</v>
      </c>
      <c r="O24143">
        <v>2907</v>
      </c>
    </row>
    <row r="24144" spans="1:15" x14ac:dyDescent="0.25">
      <c r="A24144" t="s">
        <v>24157</v>
      </c>
      <c r="B24144">
        <v>443</v>
      </c>
      <c r="C24144" s="1" t="str">
        <f>HYPERLINK("http://www.rosaceae.org/gb/gbrowse/malus_x_domestica/?name=MDP0000221114","MDP0000221114")</f>
        <v>MDP0000221114</v>
      </c>
      <c r="D24144">
        <v>44.46</v>
      </c>
      <c r="E24144">
        <v>443</v>
      </c>
      <c r="F24144">
        <v>246</v>
      </c>
      <c r="G24144">
        <v>35</v>
      </c>
      <c r="H24144">
        <v>33</v>
      </c>
      <c r="I24144">
        <v>442</v>
      </c>
      <c r="J24144">
        <v>1</v>
      </c>
      <c r="K24144">
        <v>34</v>
      </c>
      <c r="L24144">
        <v>474</v>
      </c>
      <c r="M24144">
        <v>1</v>
      </c>
      <c r="N24144">
        <v>5.72288E-106</v>
      </c>
      <c r="O24144">
        <v>980</v>
      </c>
    </row>
    <row r="24145" spans="1:15" x14ac:dyDescent="0.25">
      <c r="A24145" t="s">
        <v>24158</v>
      </c>
      <c r="B24145">
        <v>114</v>
      </c>
      <c r="C24145" s="1" t="str">
        <f>HYPERLINK("http://www.rosaceae.org/gb/gbrowse/malus_x_domestica/?name=MDP0000838088","MDP0000838088")</f>
        <v>MDP0000838088</v>
      </c>
      <c r="D24145">
        <v>78.569999999999993</v>
      </c>
      <c r="E24145">
        <v>112</v>
      </c>
      <c r="F24145">
        <v>24</v>
      </c>
      <c r="G24145">
        <v>0</v>
      </c>
      <c r="H24145">
        <v>1</v>
      </c>
      <c r="I24145">
        <v>112</v>
      </c>
      <c r="J24145">
        <v>1</v>
      </c>
      <c r="K24145">
        <v>1</v>
      </c>
      <c r="L24145">
        <v>112</v>
      </c>
      <c r="M24145">
        <v>1</v>
      </c>
      <c r="N24145">
        <v>2.0868799999999999E-45</v>
      </c>
      <c r="O24145">
        <v>449</v>
      </c>
    </row>
    <row r="24146" spans="1:15" x14ac:dyDescent="0.25">
      <c r="A24146" t="s">
        <v>24159</v>
      </c>
      <c r="B24146">
        <v>140</v>
      </c>
      <c r="C24146" s="1" t="str">
        <f>HYPERLINK("http://www.rosaceae.org/gb/gbrowse/malus_x_domestica/?name=MDP0000338411","MDP0000338411")</f>
        <v>MDP0000338411</v>
      </c>
      <c r="D24146">
        <v>58.27</v>
      </c>
      <c r="E24146">
        <v>151</v>
      </c>
      <c r="F24146">
        <v>63</v>
      </c>
      <c r="G24146">
        <v>22</v>
      </c>
      <c r="H24146">
        <v>1</v>
      </c>
      <c r="I24146">
        <v>140</v>
      </c>
      <c r="J24146">
        <v>1</v>
      </c>
      <c r="K24146">
        <v>43</v>
      </c>
      <c r="L24146">
        <v>182</v>
      </c>
      <c r="M24146">
        <v>1</v>
      </c>
      <c r="N24146">
        <v>1.2533599999999999E-32</v>
      </c>
      <c r="O24146">
        <v>340</v>
      </c>
    </row>
    <row r="24147" spans="1:15" x14ac:dyDescent="0.25">
      <c r="A24147" t="s">
        <v>24160</v>
      </c>
      <c r="B24147">
        <v>283</v>
      </c>
      <c r="C24147" s="1" t="str">
        <f>HYPERLINK("http://www.rosaceae.org/gb/gbrowse/malus_x_domestica/?name=MDP0000321191","MDP0000321191")</f>
        <v>MDP0000321191</v>
      </c>
      <c r="D24147">
        <v>40.92</v>
      </c>
      <c r="E24147">
        <v>259</v>
      </c>
      <c r="F24147">
        <v>153</v>
      </c>
      <c r="G24147">
        <v>73</v>
      </c>
      <c r="H24147">
        <v>98</v>
      </c>
      <c r="I24147">
        <v>283</v>
      </c>
      <c r="J24147">
        <v>1</v>
      </c>
      <c r="K24147">
        <v>35</v>
      </c>
      <c r="L24147">
        <v>293</v>
      </c>
      <c r="M24147">
        <v>1</v>
      </c>
      <c r="N24147">
        <v>1.2972E-48</v>
      </c>
      <c r="O24147">
        <v>483</v>
      </c>
    </row>
    <row r="24148" spans="1:15" x14ac:dyDescent="0.25">
      <c r="A24148" t="s">
        <v>24161</v>
      </c>
      <c r="B24148">
        <v>547</v>
      </c>
      <c r="C24148" s="1" t="str">
        <f>HYPERLINK("http://www.rosaceae.org/gb/gbrowse/malus_x_domestica/?name=MDP0000709799","MDP0000709799")</f>
        <v>MDP0000709799</v>
      </c>
      <c r="D24148">
        <v>79.2</v>
      </c>
      <c r="E24148">
        <v>553</v>
      </c>
      <c r="F24148">
        <v>115</v>
      </c>
      <c r="G24148">
        <v>7</v>
      </c>
      <c r="H24148">
        <v>1</v>
      </c>
      <c r="I24148">
        <v>547</v>
      </c>
      <c r="J24148">
        <v>1</v>
      </c>
      <c r="K24148">
        <v>1</v>
      </c>
      <c r="L24148">
        <v>552</v>
      </c>
      <c r="M24148">
        <v>1</v>
      </c>
      <c r="N24148">
        <v>0</v>
      </c>
      <c r="O24148">
        <v>2361</v>
      </c>
    </row>
    <row r="24149" spans="1:15" x14ac:dyDescent="0.25">
      <c r="A24149" t="s">
        <v>24162</v>
      </c>
      <c r="B24149">
        <v>237</v>
      </c>
      <c r="C24149" s="1" t="str">
        <f>HYPERLINK("http://www.rosaceae.org/gb/gbrowse/malus_x_domestica/?name=MDP0000191666","MDP0000191666")</f>
        <v>MDP0000191666</v>
      </c>
      <c r="D24149">
        <v>68.569999999999993</v>
      </c>
      <c r="E24149">
        <v>245</v>
      </c>
      <c r="F24149">
        <v>77</v>
      </c>
      <c r="G24149">
        <v>37</v>
      </c>
      <c r="H24149">
        <v>28</v>
      </c>
      <c r="I24149">
        <v>236</v>
      </c>
      <c r="J24149">
        <v>1</v>
      </c>
      <c r="K24149">
        <v>24</v>
      </c>
      <c r="L24149">
        <v>267</v>
      </c>
      <c r="M24149">
        <v>1</v>
      </c>
      <c r="N24149">
        <v>2.9898900000000001E-89</v>
      </c>
      <c r="O24149">
        <v>832</v>
      </c>
    </row>
    <row r="24150" spans="1:15" x14ac:dyDescent="0.25">
      <c r="A24150" t="s">
        <v>24163</v>
      </c>
      <c r="B24150">
        <v>424</v>
      </c>
      <c r="C24150" s="1" t="str">
        <f>HYPERLINK("http://www.rosaceae.org/gb/gbrowse/malus_x_domestica/?name=MDP0000802237","MDP0000802237")</f>
        <v>MDP0000802237</v>
      </c>
      <c r="D24150">
        <v>35.89</v>
      </c>
      <c r="E24150">
        <v>273</v>
      </c>
      <c r="F24150">
        <v>175</v>
      </c>
      <c r="G24150">
        <v>21</v>
      </c>
      <c r="H24150">
        <v>26</v>
      </c>
      <c r="I24150">
        <v>288</v>
      </c>
      <c r="J24150">
        <v>1</v>
      </c>
      <c r="K24150">
        <v>18</v>
      </c>
      <c r="L24150">
        <v>279</v>
      </c>
      <c r="M24150">
        <v>1</v>
      </c>
      <c r="N24150">
        <v>4.10982E-35</v>
      </c>
      <c r="O24150">
        <v>369</v>
      </c>
    </row>
    <row r="24151" spans="1:15" x14ac:dyDescent="0.25">
      <c r="A24151" t="s">
        <v>24164</v>
      </c>
      <c r="B24151">
        <v>324</v>
      </c>
      <c r="C24151" s="1" t="str">
        <f>HYPERLINK("http://www.rosaceae.org/gb/gbrowse/malus_x_domestica/?name=MDP0000292294","MDP0000292294")</f>
        <v>MDP0000292294</v>
      </c>
      <c r="D24151">
        <v>60.8</v>
      </c>
      <c r="E24151">
        <v>324</v>
      </c>
      <c r="F24151">
        <v>127</v>
      </c>
      <c r="G24151">
        <v>10</v>
      </c>
      <c r="H24151">
        <v>1</v>
      </c>
      <c r="I24151">
        <v>318</v>
      </c>
      <c r="J24151">
        <v>1</v>
      </c>
      <c r="K24151">
        <v>925</v>
      </c>
      <c r="L24151">
        <v>1244</v>
      </c>
      <c r="M24151">
        <v>1</v>
      </c>
      <c r="N24151">
        <v>4.90666E-107</v>
      </c>
      <c r="O24151">
        <v>987</v>
      </c>
    </row>
    <row r="24152" spans="1:15" x14ac:dyDescent="0.25">
      <c r="A24152" t="s">
        <v>24165</v>
      </c>
      <c r="B24152">
        <v>455</v>
      </c>
      <c r="C24152" s="1" t="str">
        <f>HYPERLINK("http://www.rosaceae.org/gb/gbrowse/malus_x_domestica/?name=MDP0000405883","MDP0000405883")</f>
        <v>MDP0000405883</v>
      </c>
      <c r="D24152">
        <v>36.65</v>
      </c>
      <c r="E24152">
        <v>461</v>
      </c>
      <c r="F24152">
        <v>292</v>
      </c>
      <c r="G24152">
        <v>37</v>
      </c>
      <c r="H24152">
        <v>4</v>
      </c>
      <c r="I24152">
        <v>454</v>
      </c>
      <c r="J24152">
        <v>1</v>
      </c>
      <c r="K24152">
        <v>5</v>
      </c>
      <c r="L24152">
        <v>438</v>
      </c>
      <c r="M24152">
        <v>1</v>
      </c>
      <c r="N24152">
        <v>3.4612500000000002E-62</v>
      </c>
      <c r="O24152">
        <v>602</v>
      </c>
    </row>
    <row r="24153" spans="1:15" x14ac:dyDescent="0.25">
      <c r="A24153" t="s">
        <v>24166</v>
      </c>
      <c r="B24153">
        <v>254</v>
      </c>
      <c r="C24153" s="1" t="str">
        <f>HYPERLINK("http://www.rosaceae.org/gb/gbrowse/malus_x_domestica/?name=MDP0000311301","MDP0000311301")</f>
        <v>MDP0000311301</v>
      </c>
      <c r="D24153">
        <v>33.57</v>
      </c>
      <c r="E24153">
        <v>137</v>
      </c>
      <c r="F24153">
        <v>91</v>
      </c>
      <c r="G24153">
        <v>19</v>
      </c>
      <c r="H24153">
        <v>4</v>
      </c>
      <c r="I24153">
        <v>122</v>
      </c>
      <c r="J24153">
        <v>1</v>
      </c>
      <c r="K24153">
        <v>22</v>
      </c>
      <c r="L24153">
        <v>157</v>
      </c>
      <c r="M24153">
        <v>1</v>
      </c>
      <c r="N24153">
        <v>1.75926E-13</v>
      </c>
      <c r="O24153">
        <v>179</v>
      </c>
    </row>
    <row r="24154" spans="1:15" x14ac:dyDescent="0.25">
      <c r="A24154" t="s">
        <v>24167</v>
      </c>
      <c r="B24154">
        <v>324</v>
      </c>
      <c r="C24154" s="1" t="str">
        <f>HYPERLINK("http://www.rosaceae.org/gb/gbrowse/malus_x_domestica/?name=MDP0000279955","MDP0000279955")</f>
        <v>MDP0000279955</v>
      </c>
      <c r="D24154">
        <v>40.619999999999997</v>
      </c>
      <c r="E24154">
        <v>160</v>
      </c>
      <c r="F24154">
        <v>95</v>
      </c>
      <c r="G24154">
        <v>6</v>
      </c>
      <c r="H24154">
        <v>68</v>
      </c>
      <c r="I24154">
        <v>222</v>
      </c>
      <c r="J24154">
        <v>1</v>
      </c>
      <c r="K24154">
        <v>204</v>
      </c>
      <c r="L24154">
        <v>362</v>
      </c>
      <c r="M24154">
        <v>1</v>
      </c>
      <c r="N24154">
        <v>9.2419199999999997E-24</v>
      </c>
      <c r="O24154">
        <v>269</v>
      </c>
    </row>
    <row r="24155" spans="1:15" x14ac:dyDescent="0.25">
      <c r="A24155" t="s">
        <v>24168</v>
      </c>
      <c r="B24155">
        <v>116</v>
      </c>
      <c r="C24155" s="1" t="str">
        <f>HYPERLINK("http://www.rosaceae.org/gb/gbrowse/malus_x_domestica/?name=MDP0000323884","MDP0000323884")</f>
        <v>MDP0000323884</v>
      </c>
      <c r="D24155">
        <v>97.11</v>
      </c>
      <c r="E24155">
        <v>104</v>
      </c>
      <c r="F24155">
        <v>3</v>
      </c>
      <c r="G24155">
        <v>0</v>
      </c>
      <c r="H24155">
        <v>13</v>
      </c>
      <c r="I24155">
        <v>116</v>
      </c>
      <c r="J24155">
        <v>1</v>
      </c>
      <c r="K24155">
        <v>136</v>
      </c>
      <c r="L24155">
        <v>239</v>
      </c>
      <c r="M24155">
        <v>1</v>
      </c>
      <c r="N24155">
        <v>3.2148700000000002E-56</v>
      </c>
      <c r="O24155">
        <v>542</v>
      </c>
    </row>
    <row r="24156" spans="1:15" x14ac:dyDescent="0.25">
      <c r="A24156" t="s">
        <v>24169</v>
      </c>
      <c r="B24156">
        <v>182</v>
      </c>
      <c r="C24156" s="1" t="str">
        <f>HYPERLINK("http://www.rosaceae.org/gb/gbrowse/malus_x_domestica/?name=MDP0000686419","MDP0000686419")</f>
        <v>MDP0000686419</v>
      </c>
      <c r="D24156">
        <v>80.319999999999993</v>
      </c>
      <c r="E24156">
        <v>183</v>
      </c>
      <c r="F24156">
        <v>36</v>
      </c>
      <c r="G24156">
        <v>4</v>
      </c>
      <c r="H24156">
        <v>1</v>
      </c>
      <c r="I24156">
        <v>182</v>
      </c>
      <c r="J24156">
        <v>1</v>
      </c>
      <c r="K24156">
        <v>1</v>
      </c>
      <c r="L24156">
        <v>180</v>
      </c>
      <c r="M24156">
        <v>1</v>
      </c>
      <c r="N24156">
        <v>2.22315E-78</v>
      </c>
      <c r="O24156">
        <v>737</v>
      </c>
    </row>
    <row r="24157" spans="1:15" x14ac:dyDescent="0.25">
      <c r="A24157" t="s">
        <v>24170</v>
      </c>
      <c r="B24157">
        <v>346</v>
      </c>
      <c r="C24157" s="1" t="str">
        <f>HYPERLINK("http://www.rosaceae.org/gb/gbrowse/malus_x_domestica/?name=MDP0000198327","MDP0000198327")</f>
        <v>MDP0000198327</v>
      </c>
      <c r="D24157">
        <v>67.849999999999994</v>
      </c>
      <c r="E24157">
        <v>84</v>
      </c>
      <c r="F24157">
        <v>27</v>
      </c>
      <c r="G24157">
        <v>12</v>
      </c>
      <c r="H24157">
        <v>150</v>
      </c>
      <c r="I24157">
        <v>221</v>
      </c>
      <c r="J24157">
        <v>1</v>
      </c>
      <c r="K24157">
        <v>141</v>
      </c>
      <c r="L24157">
        <v>224</v>
      </c>
      <c r="M24157">
        <v>1</v>
      </c>
      <c r="N24157">
        <v>2.1356699999999999E-24</v>
      </c>
      <c r="O24157">
        <v>275</v>
      </c>
    </row>
    <row r="24158" spans="1:15" x14ac:dyDescent="0.25">
      <c r="A24158" t="s">
        <v>24171</v>
      </c>
      <c r="B24158">
        <v>863</v>
      </c>
      <c r="C24158" s="1" t="str">
        <f>HYPERLINK("http://www.rosaceae.org/gb/gbrowse/malus_x_domestica/?name=MDP0000306587","MDP0000306587")</f>
        <v>MDP0000306587</v>
      </c>
      <c r="D24158">
        <v>29.66</v>
      </c>
      <c r="E24158">
        <v>327</v>
      </c>
      <c r="F24158">
        <v>230</v>
      </c>
      <c r="G24158">
        <v>58</v>
      </c>
      <c r="H24158">
        <v>475</v>
      </c>
      <c r="I24158">
        <v>783</v>
      </c>
      <c r="J24158">
        <v>1</v>
      </c>
      <c r="K24158">
        <v>122</v>
      </c>
      <c r="L24158">
        <v>408</v>
      </c>
      <c r="M24158">
        <v>1</v>
      </c>
      <c r="N24158">
        <v>4.1320399999999998E-24</v>
      </c>
      <c r="O24158">
        <v>277</v>
      </c>
    </row>
    <row r="24159" spans="1:15" x14ac:dyDescent="0.25">
      <c r="A24159" t="s">
        <v>24172</v>
      </c>
      <c r="B24159">
        <v>372</v>
      </c>
      <c r="C24159" s="1" t="str">
        <f>HYPERLINK("http://www.rosaceae.org/gb/gbrowse/malus_x_domestica/?name=MDP0000241635","MDP0000241635")</f>
        <v>MDP0000241635</v>
      </c>
      <c r="D24159">
        <v>38.19</v>
      </c>
      <c r="E24159">
        <v>233</v>
      </c>
      <c r="F24159">
        <v>144</v>
      </c>
      <c r="G24159">
        <v>15</v>
      </c>
      <c r="H24159">
        <v>2</v>
      </c>
      <c r="I24159">
        <v>227</v>
      </c>
      <c r="J24159">
        <v>1</v>
      </c>
      <c r="K24159">
        <v>208</v>
      </c>
      <c r="L24159">
        <v>432</v>
      </c>
      <c r="M24159">
        <v>1</v>
      </c>
      <c r="N24159">
        <v>6.8714900000000002E-32</v>
      </c>
      <c r="O24159">
        <v>340</v>
      </c>
    </row>
    <row r="24160" spans="1:15" x14ac:dyDescent="0.25">
      <c r="A24160" t="s">
        <v>24173</v>
      </c>
      <c r="B24160">
        <v>1248</v>
      </c>
      <c r="C24160" s="1" t="str">
        <f>HYPERLINK("http://www.rosaceae.org/gb/gbrowse/malus_x_domestica/?name=MDP0000282251","MDP0000282251")</f>
        <v>MDP0000282251</v>
      </c>
      <c r="D24160">
        <v>57.81</v>
      </c>
      <c r="E24160">
        <v>1043</v>
      </c>
      <c r="F24160">
        <v>440</v>
      </c>
      <c r="G24160">
        <v>105</v>
      </c>
      <c r="H24160">
        <v>195</v>
      </c>
      <c r="I24160">
        <v>1216</v>
      </c>
      <c r="J24160">
        <v>1</v>
      </c>
      <c r="K24160">
        <v>277</v>
      </c>
      <c r="L24160">
        <v>1235</v>
      </c>
      <c r="M24160">
        <v>1</v>
      </c>
      <c r="N24160">
        <v>0</v>
      </c>
      <c r="O24160">
        <v>2812</v>
      </c>
    </row>
    <row r="24161" spans="1:15" x14ac:dyDescent="0.25">
      <c r="A24161" t="s">
        <v>24174</v>
      </c>
      <c r="B24161">
        <v>222</v>
      </c>
      <c r="C24161" s="1" t="str">
        <f>HYPERLINK("http://www.rosaceae.org/gb/gbrowse/malus_x_domestica/?name=MDP0000298660","MDP0000298660")</f>
        <v>MDP0000298660</v>
      </c>
      <c r="D24161">
        <v>52.88</v>
      </c>
      <c r="E24161">
        <v>225</v>
      </c>
      <c r="F24161">
        <v>106</v>
      </c>
      <c r="G24161">
        <v>24</v>
      </c>
      <c r="H24161">
        <v>3</v>
      </c>
      <c r="I24161">
        <v>204</v>
      </c>
      <c r="J24161">
        <v>1</v>
      </c>
      <c r="K24161">
        <v>564</v>
      </c>
      <c r="L24161">
        <v>787</v>
      </c>
      <c r="M24161">
        <v>1</v>
      </c>
      <c r="N24161">
        <v>4.2854499999999997E-59</v>
      </c>
      <c r="O24161">
        <v>572</v>
      </c>
    </row>
    <row r="24162" spans="1:15" x14ac:dyDescent="0.25">
      <c r="A24162" t="s">
        <v>24175</v>
      </c>
      <c r="B24162">
        <v>555</v>
      </c>
      <c r="C24162" s="1" t="str">
        <f>HYPERLINK("http://www.rosaceae.org/gb/gbrowse/malus_x_domestica/?name=MDP0000240165","MDP0000240165")</f>
        <v>MDP0000240165</v>
      </c>
      <c r="D24162">
        <v>73.48</v>
      </c>
      <c r="E24162">
        <v>347</v>
      </c>
      <c r="F24162">
        <v>92</v>
      </c>
      <c r="G24162">
        <v>3</v>
      </c>
      <c r="H24162">
        <v>172</v>
      </c>
      <c r="I24162">
        <v>516</v>
      </c>
      <c r="J24162">
        <v>1</v>
      </c>
      <c r="K24162">
        <v>78</v>
      </c>
      <c r="L24162">
        <v>423</v>
      </c>
      <c r="M24162">
        <v>1</v>
      </c>
      <c r="N24162">
        <v>2.5850199999999999E-143</v>
      </c>
      <c r="O24162">
        <v>1303</v>
      </c>
    </row>
    <row r="24163" spans="1:15" x14ac:dyDescent="0.25">
      <c r="A24163" t="s">
        <v>24176</v>
      </c>
      <c r="B24163">
        <v>538</v>
      </c>
      <c r="C24163" s="1" t="str">
        <f>HYPERLINK("http://www.rosaceae.org/gb/gbrowse/malus_x_domestica/?name=MDP0000779624","MDP0000779624")</f>
        <v>MDP0000779624</v>
      </c>
      <c r="D24163">
        <v>56.66</v>
      </c>
      <c r="E24163">
        <v>60</v>
      </c>
      <c r="F24163">
        <v>26</v>
      </c>
      <c r="G24163">
        <v>0</v>
      </c>
      <c r="H24163">
        <v>394</v>
      </c>
      <c r="I24163">
        <v>453</v>
      </c>
      <c r="J24163">
        <v>1</v>
      </c>
      <c r="K24163">
        <v>47</v>
      </c>
      <c r="L24163">
        <v>106</v>
      </c>
      <c r="M24163">
        <v>1</v>
      </c>
      <c r="N24163">
        <v>3.7190099999999998E-13</v>
      </c>
      <c r="O24163">
        <v>180</v>
      </c>
    </row>
    <row r="24164" spans="1:15" x14ac:dyDescent="0.25">
      <c r="A24164" t="s">
        <v>24177</v>
      </c>
      <c r="B24164">
        <v>235</v>
      </c>
      <c r="C24164" s="1" t="str">
        <f>HYPERLINK("http://www.rosaceae.org/gb/gbrowse/malus_x_domestica/?name=MDP0000725991","MDP0000725991")</f>
        <v>MDP0000725991</v>
      </c>
      <c r="D24164">
        <v>55.21</v>
      </c>
      <c r="E24164">
        <v>259</v>
      </c>
      <c r="F24164">
        <v>116</v>
      </c>
      <c r="G24164">
        <v>31</v>
      </c>
      <c r="H24164">
        <v>1</v>
      </c>
      <c r="I24164">
        <v>235</v>
      </c>
      <c r="J24164">
        <v>1</v>
      </c>
      <c r="K24164">
        <v>1</v>
      </c>
      <c r="L24164">
        <v>252</v>
      </c>
      <c r="M24164">
        <v>1</v>
      </c>
      <c r="N24164">
        <v>1.3104599999999999E-63</v>
      </c>
      <c r="O24164">
        <v>611</v>
      </c>
    </row>
    <row r="24165" spans="1:15" x14ac:dyDescent="0.25">
      <c r="A24165" t="s">
        <v>24178</v>
      </c>
      <c r="B24165">
        <v>236</v>
      </c>
      <c r="C24165" s="1" t="str">
        <f>HYPERLINK("http://www.rosaceae.org/gb/gbrowse/malus_x_domestica/?name=MDP0000284574","MDP0000284574")</f>
        <v>MDP0000284574</v>
      </c>
      <c r="D24165">
        <v>46.35</v>
      </c>
      <c r="E24165">
        <v>233</v>
      </c>
      <c r="F24165">
        <v>125</v>
      </c>
      <c r="G24165">
        <v>17</v>
      </c>
      <c r="H24165">
        <v>1</v>
      </c>
      <c r="I24165">
        <v>221</v>
      </c>
      <c r="J24165">
        <v>1</v>
      </c>
      <c r="K24165">
        <v>1</v>
      </c>
      <c r="L24165">
        <v>228</v>
      </c>
      <c r="M24165">
        <v>1</v>
      </c>
      <c r="N24165">
        <v>1.7462200000000001E-48</v>
      </c>
      <c r="O24165">
        <v>481</v>
      </c>
    </row>
    <row r="24166" spans="1:15" x14ac:dyDescent="0.25">
      <c r="A24166" t="s">
        <v>24179</v>
      </c>
      <c r="B24166">
        <v>455</v>
      </c>
      <c r="C24166" s="1" t="str">
        <f>HYPERLINK("http://www.rosaceae.org/gb/gbrowse/malus_x_domestica/?name=MDP0000593263","MDP0000593263")</f>
        <v>MDP0000593263</v>
      </c>
      <c r="D24166">
        <v>77.52</v>
      </c>
      <c r="E24166">
        <v>445</v>
      </c>
      <c r="F24166">
        <v>100</v>
      </c>
      <c r="G24166">
        <v>10</v>
      </c>
      <c r="H24166">
        <v>6</v>
      </c>
      <c r="I24166">
        <v>443</v>
      </c>
      <c r="J24166">
        <v>1</v>
      </c>
      <c r="K24166">
        <v>5</v>
      </c>
      <c r="L24166">
        <v>446</v>
      </c>
      <c r="M24166">
        <v>1</v>
      </c>
      <c r="N24166">
        <v>0</v>
      </c>
      <c r="O24166">
        <v>1831</v>
      </c>
    </row>
    <row r="24167" spans="1:15" x14ac:dyDescent="0.25">
      <c r="A24167" t="s">
        <v>24180</v>
      </c>
      <c r="B24167">
        <v>613</v>
      </c>
      <c r="C24167" s="1" t="str">
        <f>HYPERLINK("http://www.rosaceae.org/gb/gbrowse/malus_x_domestica/?name=MDP0000261679","MDP0000261679")</f>
        <v>MDP0000261679</v>
      </c>
      <c r="D24167">
        <v>84.12</v>
      </c>
      <c r="E24167">
        <v>529</v>
      </c>
      <c r="F24167">
        <v>84</v>
      </c>
      <c r="G24167">
        <v>4</v>
      </c>
      <c r="H24167">
        <v>86</v>
      </c>
      <c r="I24167">
        <v>613</v>
      </c>
      <c r="J24167">
        <v>1</v>
      </c>
      <c r="K24167">
        <v>3</v>
      </c>
      <c r="L24167">
        <v>528</v>
      </c>
      <c r="M24167">
        <v>1</v>
      </c>
      <c r="N24167">
        <v>0</v>
      </c>
      <c r="O24167">
        <v>2350</v>
      </c>
    </row>
    <row r="24168" spans="1:15" x14ac:dyDescent="0.25">
      <c r="A24168" t="s">
        <v>24181</v>
      </c>
      <c r="B24168">
        <v>360</v>
      </c>
      <c r="C24168" s="1" t="str">
        <f>HYPERLINK("http://www.rosaceae.org/gb/gbrowse/malus_x_domestica/?name=MDP0000649174","MDP0000649174")</f>
        <v>MDP0000649174</v>
      </c>
      <c r="D24168">
        <v>54.21</v>
      </c>
      <c r="E24168">
        <v>356</v>
      </c>
      <c r="F24168">
        <v>163</v>
      </c>
      <c r="G24168">
        <v>16</v>
      </c>
      <c r="H24168">
        <v>1</v>
      </c>
      <c r="I24168">
        <v>355</v>
      </c>
      <c r="J24168">
        <v>1</v>
      </c>
      <c r="K24168">
        <v>1</v>
      </c>
      <c r="L24168">
        <v>341</v>
      </c>
      <c r="M24168">
        <v>1</v>
      </c>
      <c r="N24168">
        <v>2.7244800000000002E-100</v>
      </c>
      <c r="O24168">
        <v>930</v>
      </c>
    </row>
    <row r="24169" spans="1:15" x14ac:dyDescent="0.25">
      <c r="A24169" t="s">
        <v>24182</v>
      </c>
      <c r="B24169">
        <v>411</v>
      </c>
      <c r="C24169" s="1" t="str">
        <f>HYPERLINK("http://www.rosaceae.org/gb/gbrowse/malus_x_domestica/?name=MDP0000216139","MDP0000216139")</f>
        <v>MDP0000216139</v>
      </c>
      <c r="D24169">
        <v>39.6</v>
      </c>
      <c r="E24169">
        <v>255</v>
      </c>
      <c r="F24169">
        <v>154</v>
      </c>
      <c r="G24169">
        <v>48</v>
      </c>
      <c r="H24169">
        <v>7</v>
      </c>
      <c r="I24169">
        <v>223</v>
      </c>
      <c r="J24169">
        <v>1</v>
      </c>
      <c r="K24169">
        <v>138</v>
      </c>
      <c r="L24169">
        <v>382</v>
      </c>
      <c r="M24169">
        <v>1</v>
      </c>
      <c r="N24169">
        <v>1.6961200000000001E-37</v>
      </c>
      <c r="O24169">
        <v>389</v>
      </c>
    </row>
    <row r="24170" spans="1:15" x14ac:dyDescent="0.25">
      <c r="A24170" t="s">
        <v>24183</v>
      </c>
      <c r="B24170">
        <v>445</v>
      </c>
      <c r="C24170" s="1" t="str">
        <f>HYPERLINK("http://www.rosaceae.org/gb/gbrowse/malus_x_domestica/?name=MDP0000119014","MDP0000119014")</f>
        <v>MDP0000119014</v>
      </c>
      <c r="D24170">
        <v>78.63</v>
      </c>
      <c r="E24170">
        <v>482</v>
      </c>
      <c r="F24170">
        <v>103</v>
      </c>
      <c r="G24170">
        <v>62</v>
      </c>
      <c r="H24170">
        <v>3</v>
      </c>
      <c r="I24170">
        <v>422</v>
      </c>
      <c r="J24170">
        <v>1</v>
      </c>
      <c r="K24170">
        <v>1</v>
      </c>
      <c r="L24170">
        <v>482</v>
      </c>
      <c r="M24170">
        <v>1</v>
      </c>
      <c r="N24170">
        <v>0</v>
      </c>
      <c r="O24170">
        <v>1961</v>
      </c>
    </row>
    <row r="24171" spans="1:15" x14ac:dyDescent="0.25">
      <c r="A24171" t="s">
        <v>24184</v>
      </c>
      <c r="B24171">
        <v>246</v>
      </c>
      <c r="C24171" s="1" t="str">
        <f>HYPERLINK("http://www.rosaceae.org/gb/gbrowse/malus_x_domestica/?name=MDP0000316685","MDP0000316685")</f>
        <v>MDP0000316685</v>
      </c>
      <c r="D24171">
        <v>61.45</v>
      </c>
      <c r="E24171">
        <v>262</v>
      </c>
      <c r="F24171">
        <v>101</v>
      </c>
      <c r="G24171">
        <v>50</v>
      </c>
      <c r="H24171">
        <v>1</v>
      </c>
      <c r="I24171">
        <v>246</v>
      </c>
      <c r="J24171">
        <v>1</v>
      </c>
      <c r="K24171">
        <v>453</v>
      </c>
      <c r="L24171">
        <v>680</v>
      </c>
      <c r="M24171">
        <v>1</v>
      </c>
      <c r="N24171">
        <v>4.3455200000000001E-76</v>
      </c>
      <c r="O24171">
        <v>719</v>
      </c>
    </row>
    <row r="24172" spans="1:15" x14ac:dyDescent="0.25">
      <c r="A24172" t="s">
        <v>24185</v>
      </c>
      <c r="B24172">
        <v>87</v>
      </c>
      <c r="C24172" s="1" t="str">
        <f>HYPERLINK("http://www.rosaceae.org/gb/gbrowse/malus_x_domestica/?name=MDP0000135806","MDP0000135806")</f>
        <v>MDP0000135806</v>
      </c>
      <c r="D24172">
        <v>53.91</v>
      </c>
      <c r="E24172">
        <v>115</v>
      </c>
      <c r="F24172">
        <v>53</v>
      </c>
      <c r="G24172">
        <v>36</v>
      </c>
      <c r="H24172">
        <v>7</v>
      </c>
      <c r="I24172">
        <v>85</v>
      </c>
      <c r="J24172">
        <v>1</v>
      </c>
      <c r="K24172">
        <v>46</v>
      </c>
      <c r="L24172">
        <v>160</v>
      </c>
      <c r="M24172">
        <v>1</v>
      </c>
      <c r="N24172">
        <v>6.40006E-28</v>
      </c>
      <c r="O24172">
        <v>298</v>
      </c>
    </row>
    <row r="24173" spans="1:15" x14ac:dyDescent="0.25">
      <c r="A24173" t="s">
        <v>24186</v>
      </c>
      <c r="B24173">
        <v>405</v>
      </c>
      <c r="C24173" s="1" t="str">
        <f>HYPERLINK("http://www.rosaceae.org/gb/gbrowse/malus_x_domestica/?name=MDP0000196474","MDP0000196474")</f>
        <v>MDP0000196474</v>
      </c>
      <c r="D24173">
        <v>46.68</v>
      </c>
      <c r="E24173">
        <v>377</v>
      </c>
      <c r="F24173">
        <v>201</v>
      </c>
      <c r="G24173">
        <v>39</v>
      </c>
      <c r="H24173">
        <v>36</v>
      </c>
      <c r="I24173">
        <v>387</v>
      </c>
      <c r="J24173">
        <v>1</v>
      </c>
      <c r="K24173">
        <v>5</v>
      </c>
      <c r="L24173">
        <v>367</v>
      </c>
      <c r="M24173">
        <v>1</v>
      </c>
      <c r="N24173">
        <v>5.8021800000000003E-72</v>
      </c>
      <c r="O24173">
        <v>686</v>
      </c>
    </row>
    <row r="24174" spans="1:15" x14ac:dyDescent="0.25">
      <c r="A24174" t="s">
        <v>24187</v>
      </c>
      <c r="B24174">
        <v>103</v>
      </c>
      <c r="C24174" s="1" t="str">
        <f>HYPERLINK("http://www.rosaceae.org/gb/gbrowse/malus_x_domestica/?name=MDP0000236601","MDP0000236601")</f>
        <v>MDP0000236601</v>
      </c>
      <c r="D24174">
        <v>94.17</v>
      </c>
      <c r="E24174">
        <v>103</v>
      </c>
      <c r="F24174">
        <v>6</v>
      </c>
      <c r="G24174">
        <v>0</v>
      </c>
      <c r="H24174">
        <v>1</v>
      </c>
      <c r="I24174">
        <v>103</v>
      </c>
      <c r="J24174">
        <v>1</v>
      </c>
      <c r="K24174">
        <v>1</v>
      </c>
      <c r="L24174">
        <v>103</v>
      </c>
      <c r="M24174">
        <v>1</v>
      </c>
      <c r="N24174">
        <v>4.6453800000000001E-55</v>
      </c>
      <c r="O24174">
        <v>532</v>
      </c>
    </row>
    <row r="24175" spans="1:15" x14ac:dyDescent="0.25">
      <c r="A24175" t="s">
        <v>24188</v>
      </c>
      <c r="B24175">
        <v>494</v>
      </c>
      <c r="C24175" s="1" t="str">
        <f>HYPERLINK("http://www.rosaceae.org/gb/gbrowse/malus_x_domestica/?name=MDP0000251415","MDP0000251415")</f>
        <v>MDP0000251415</v>
      </c>
      <c r="D24175">
        <v>82.9</v>
      </c>
      <c r="E24175">
        <v>509</v>
      </c>
      <c r="F24175">
        <v>87</v>
      </c>
      <c r="G24175">
        <v>22</v>
      </c>
      <c r="H24175">
        <v>5</v>
      </c>
      <c r="I24175">
        <v>492</v>
      </c>
      <c r="J24175">
        <v>1</v>
      </c>
      <c r="K24175">
        <v>4</v>
      </c>
      <c r="L24175">
        <v>511</v>
      </c>
      <c r="M24175">
        <v>1</v>
      </c>
      <c r="N24175">
        <v>0</v>
      </c>
      <c r="O24175">
        <v>2179</v>
      </c>
    </row>
    <row r="24176" spans="1:15" x14ac:dyDescent="0.25">
      <c r="A24176" t="s">
        <v>24189</v>
      </c>
      <c r="B24176">
        <v>244</v>
      </c>
      <c r="C24176" s="1" t="str">
        <f>HYPERLINK("http://www.rosaceae.org/gb/gbrowse/malus_x_domestica/?name=MDP0000249405","MDP0000249405")</f>
        <v>MDP0000249405</v>
      </c>
      <c r="D24176">
        <v>62.21</v>
      </c>
      <c r="E24176">
        <v>262</v>
      </c>
      <c r="F24176">
        <v>99</v>
      </c>
      <c r="G24176">
        <v>30</v>
      </c>
      <c r="H24176">
        <v>1</v>
      </c>
      <c r="I24176">
        <v>244</v>
      </c>
      <c r="J24176">
        <v>1</v>
      </c>
      <c r="K24176">
        <v>1</v>
      </c>
      <c r="L24176">
        <v>250</v>
      </c>
      <c r="M24176">
        <v>1</v>
      </c>
      <c r="N24176">
        <v>3.4538100000000001E-72</v>
      </c>
      <c r="O24176">
        <v>685</v>
      </c>
    </row>
    <row r="24177" spans="1:15" x14ac:dyDescent="0.25">
      <c r="A24177" t="s">
        <v>24190</v>
      </c>
      <c r="B24177">
        <v>421</v>
      </c>
      <c r="C24177" s="1" t="str">
        <f>HYPERLINK("http://www.rosaceae.org/gb/gbrowse/malus_x_domestica/?name=MDP0000620349","MDP0000620349")</f>
        <v>MDP0000620349</v>
      </c>
      <c r="D24177">
        <v>56.69</v>
      </c>
      <c r="E24177">
        <v>224</v>
      </c>
      <c r="F24177">
        <v>97</v>
      </c>
      <c r="G24177">
        <v>6</v>
      </c>
      <c r="H24177">
        <v>197</v>
      </c>
      <c r="I24177">
        <v>418</v>
      </c>
      <c r="J24177">
        <v>1</v>
      </c>
      <c r="K24177">
        <v>133</v>
      </c>
      <c r="L24177">
        <v>352</v>
      </c>
      <c r="M24177">
        <v>1</v>
      </c>
      <c r="N24177">
        <v>8.4561900000000001E-75</v>
      </c>
      <c r="O24177">
        <v>711</v>
      </c>
    </row>
    <row r="24178" spans="1:15" x14ac:dyDescent="0.25">
      <c r="A24178" t="s">
        <v>24191</v>
      </c>
      <c r="B24178">
        <v>66</v>
      </c>
      <c r="C24178" s="1" t="str">
        <f>HYPERLINK("http://www.rosaceae.org/gb/gbrowse/malus_x_domestica/?name=MDP0000656640","MDP0000656640")</f>
        <v>MDP0000656640</v>
      </c>
      <c r="D24178">
        <v>73.33</v>
      </c>
      <c r="E24178">
        <v>60</v>
      </c>
      <c r="F24178">
        <v>16</v>
      </c>
      <c r="G24178">
        <v>7</v>
      </c>
      <c r="H24178">
        <v>1</v>
      </c>
      <c r="I24178">
        <v>53</v>
      </c>
      <c r="J24178">
        <v>1</v>
      </c>
      <c r="K24178">
        <v>152</v>
      </c>
      <c r="L24178">
        <v>211</v>
      </c>
      <c r="M24178">
        <v>1</v>
      </c>
      <c r="N24178">
        <v>1.05994E-19</v>
      </c>
      <c r="O24178">
        <v>227</v>
      </c>
    </row>
    <row r="24179" spans="1:15" x14ac:dyDescent="0.25">
      <c r="A24179" t="s">
        <v>24192</v>
      </c>
      <c r="B24179">
        <v>97</v>
      </c>
      <c r="C24179" s="1" t="str">
        <f>HYPERLINK("http://www.rosaceae.org/gb/gbrowse/malus_x_domestica/?name=MDP0000755567","MDP0000755567")</f>
        <v>MDP0000755567</v>
      </c>
      <c r="D24179">
        <v>68.260000000000005</v>
      </c>
      <c r="E24179">
        <v>104</v>
      </c>
      <c r="F24179">
        <v>33</v>
      </c>
      <c r="G24179">
        <v>9</v>
      </c>
      <c r="H24179">
        <v>1</v>
      </c>
      <c r="I24179">
        <v>97</v>
      </c>
      <c r="J24179">
        <v>1</v>
      </c>
      <c r="K24179">
        <v>1</v>
      </c>
      <c r="L24179">
        <v>102</v>
      </c>
      <c r="M24179">
        <v>1</v>
      </c>
      <c r="N24179">
        <v>5.3511700000000005E-29</v>
      </c>
      <c r="O24179">
        <v>307</v>
      </c>
    </row>
    <row r="24180" spans="1:15" x14ac:dyDescent="0.25">
      <c r="A24180" t="s">
        <v>24193</v>
      </c>
      <c r="B24180">
        <v>492</v>
      </c>
      <c r="C24180" s="1" t="str">
        <f>HYPERLINK("http://www.rosaceae.org/gb/gbrowse/malus_x_domestica/?name=MDP0000309331","MDP0000309331")</f>
        <v>MDP0000309331</v>
      </c>
      <c r="D24180">
        <v>91.17</v>
      </c>
      <c r="E24180">
        <v>487</v>
      </c>
      <c r="F24180">
        <v>43</v>
      </c>
      <c r="G24180">
        <v>0</v>
      </c>
      <c r="H24180">
        <v>6</v>
      </c>
      <c r="I24180">
        <v>492</v>
      </c>
      <c r="J24180">
        <v>1</v>
      </c>
      <c r="K24180">
        <v>284</v>
      </c>
      <c r="L24180">
        <v>770</v>
      </c>
      <c r="M24180">
        <v>1</v>
      </c>
      <c r="N24180">
        <v>0</v>
      </c>
      <c r="O24180">
        <v>2466</v>
      </c>
    </row>
    <row r="24181" spans="1:15" x14ac:dyDescent="0.25">
      <c r="A24181" t="s">
        <v>24194</v>
      </c>
      <c r="B24181">
        <v>619</v>
      </c>
      <c r="C24181" s="1" t="str">
        <f>HYPERLINK("http://www.rosaceae.org/gb/gbrowse/malus_x_domestica/?name=MDP0000455346","MDP0000455346")</f>
        <v>MDP0000455346</v>
      </c>
      <c r="D24181">
        <v>28.5</v>
      </c>
      <c r="E24181">
        <v>677</v>
      </c>
      <c r="F24181">
        <v>484</v>
      </c>
      <c r="G24181">
        <v>220</v>
      </c>
      <c r="H24181">
        <v>1</v>
      </c>
      <c r="I24181">
        <v>538</v>
      </c>
      <c r="J24181">
        <v>1</v>
      </c>
      <c r="K24181">
        <v>486</v>
      </c>
      <c r="L24181">
        <v>1081</v>
      </c>
      <c r="M24181">
        <v>1</v>
      </c>
      <c r="N24181">
        <v>2.0357499999999999E-48</v>
      </c>
      <c r="O24181">
        <v>485</v>
      </c>
    </row>
    <row r="24182" spans="1:15" x14ac:dyDescent="0.25">
      <c r="A24182" t="s">
        <v>24195</v>
      </c>
      <c r="B24182">
        <v>109</v>
      </c>
      <c r="C24182" s="1" t="str">
        <f>HYPERLINK("http://www.rosaceae.org/gb/gbrowse/malus_x_domestica/?name=MDP0000293098","MDP0000293098")</f>
        <v>MDP0000293098</v>
      </c>
      <c r="D24182">
        <v>36.840000000000003</v>
      </c>
      <c r="E24182">
        <v>76</v>
      </c>
      <c r="F24182">
        <v>48</v>
      </c>
      <c r="G24182">
        <v>12</v>
      </c>
      <c r="H24182">
        <v>35</v>
      </c>
      <c r="I24182">
        <v>98</v>
      </c>
      <c r="J24182">
        <v>1</v>
      </c>
      <c r="K24182">
        <v>834</v>
      </c>
      <c r="L24182">
        <v>909</v>
      </c>
      <c r="M24182">
        <v>1</v>
      </c>
      <c r="N24182">
        <v>6.3899799999999999E-8</v>
      </c>
      <c r="O24182">
        <v>126</v>
      </c>
    </row>
    <row r="24183" spans="1:15" x14ac:dyDescent="0.25">
      <c r="A24183" t="s">
        <v>24196</v>
      </c>
      <c r="B24183">
        <v>418</v>
      </c>
      <c r="C24183" s="1" t="str">
        <f>HYPERLINK("http://www.rosaceae.org/gb/gbrowse/malus_x_domestica/?name=MDP0000377327","MDP0000377327")</f>
        <v>MDP0000377327</v>
      </c>
      <c r="D24183">
        <v>66.25</v>
      </c>
      <c r="E24183">
        <v>323</v>
      </c>
      <c r="F24183">
        <v>109</v>
      </c>
      <c r="G24183">
        <v>11</v>
      </c>
      <c r="H24183">
        <v>4</v>
      </c>
      <c r="I24183">
        <v>326</v>
      </c>
      <c r="J24183">
        <v>1</v>
      </c>
      <c r="K24183">
        <v>2</v>
      </c>
      <c r="L24183">
        <v>313</v>
      </c>
      <c r="M24183">
        <v>1</v>
      </c>
      <c r="N24183">
        <v>1.21456E-116</v>
      </c>
      <c r="O24183">
        <v>1072</v>
      </c>
    </row>
    <row r="24184" spans="1:15" x14ac:dyDescent="0.25">
      <c r="A24184" t="s">
        <v>24197</v>
      </c>
      <c r="B24184">
        <v>261</v>
      </c>
      <c r="C24184" s="1" t="str">
        <f>HYPERLINK("http://www.rosaceae.org/gb/gbrowse/malus_x_domestica/?name=MDP0000892276","MDP0000892276")</f>
        <v>MDP0000892276</v>
      </c>
      <c r="D24184">
        <v>71.150000000000006</v>
      </c>
      <c r="E24184">
        <v>260</v>
      </c>
      <c r="F24184">
        <v>75</v>
      </c>
      <c r="G24184">
        <v>5</v>
      </c>
      <c r="H24184">
        <v>1</v>
      </c>
      <c r="I24184">
        <v>258</v>
      </c>
      <c r="J24184">
        <v>1</v>
      </c>
      <c r="K24184">
        <v>1</v>
      </c>
      <c r="L24184">
        <v>257</v>
      </c>
      <c r="M24184">
        <v>1</v>
      </c>
      <c r="N24184">
        <v>1.53093E-100</v>
      </c>
      <c r="O24184">
        <v>930</v>
      </c>
    </row>
    <row r="24185" spans="1:15" x14ac:dyDescent="0.25">
      <c r="A24185" t="s">
        <v>24198</v>
      </c>
      <c r="B24185">
        <v>301</v>
      </c>
      <c r="C24185" s="1" t="str">
        <f>HYPERLINK("http://www.rosaceae.org/gb/gbrowse/malus_x_domestica/?name=MDP0000288458","MDP0000288458")</f>
        <v>MDP0000288458</v>
      </c>
      <c r="D24185">
        <v>80.489999999999995</v>
      </c>
      <c r="E24185">
        <v>323</v>
      </c>
      <c r="F24185">
        <v>63</v>
      </c>
      <c r="G24185">
        <v>32</v>
      </c>
      <c r="H24185">
        <v>1</v>
      </c>
      <c r="I24185">
        <v>292</v>
      </c>
      <c r="J24185">
        <v>1</v>
      </c>
      <c r="K24185">
        <v>1</v>
      </c>
      <c r="L24185">
        <v>322</v>
      </c>
      <c r="M24185">
        <v>1</v>
      </c>
      <c r="N24185">
        <v>1.9341500000000001E-147</v>
      </c>
      <c r="O24185">
        <v>1335</v>
      </c>
    </row>
    <row r="24186" spans="1:15" x14ac:dyDescent="0.25">
      <c r="A24186" t="s">
        <v>24199</v>
      </c>
      <c r="B24186">
        <v>355</v>
      </c>
      <c r="C24186" s="1" t="str">
        <f>HYPERLINK("http://www.rosaceae.org/gb/gbrowse/malus_x_domestica/?name=MDP0000223519","MDP0000223519")</f>
        <v>MDP0000223519</v>
      </c>
      <c r="D24186">
        <v>91.14</v>
      </c>
      <c r="E24186">
        <v>305</v>
      </c>
      <c r="F24186">
        <v>27</v>
      </c>
      <c r="G24186">
        <v>1</v>
      </c>
      <c r="H24186">
        <v>51</v>
      </c>
      <c r="I24186">
        <v>355</v>
      </c>
      <c r="J24186">
        <v>1</v>
      </c>
      <c r="K24186">
        <v>1</v>
      </c>
      <c r="L24186">
        <v>304</v>
      </c>
      <c r="M24186">
        <v>1</v>
      </c>
      <c r="N24186">
        <v>2.2170400000000001E-167</v>
      </c>
      <c r="O24186">
        <v>1508</v>
      </c>
    </row>
    <row r="24187" spans="1:15" x14ac:dyDescent="0.25">
      <c r="A24187" t="s">
        <v>24200</v>
      </c>
      <c r="B24187">
        <v>467</v>
      </c>
      <c r="C24187" s="1" t="str">
        <f>HYPERLINK("http://www.rosaceae.org/gb/gbrowse/malus_x_domestica/?name=MDP0000416522","MDP0000416522")</f>
        <v>MDP0000416522</v>
      </c>
      <c r="D24187">
        <v>56.56</v>
      </c>
      <c r="E24187">
        <v>198</v>
      </c>
      <c r="F24187">
        <v>86</v>
      </c>
      <c r="G24187">
        <v>13</v>
      </c>
      <c r="H24187">
        <v>283</v>
      </c>
      <c r="I24187">
        <v>467</v>
      </c>
      <c r="J24187">
        <v>1</v>
      </c>
      <c r="K24187">
        <v>460</v>
      </c>
      <c r="L24187">
        <v>657</v>
      </c>
      <c r="M24187">
        <v>1</v>
      </c>
      <c r="N24187">
        <v>3.4382900000000001E-58</v>
      </c>
      <c r="O24187">
        <v>568</v>
      </c>
    </row>
    <row r="24188" spans="1:15" x14ac:dyDescent="0.25">
      <c r="A24188" t="s">
        <v>24201</v>
      </c>
      <c r="B24188">
        <v>132</v>
      </c>
      <c r="C24188" s="1" t="str">
        <f>HYPERLINK("http://www.rosaceae.org/gb/gbrowse/malus_x_domestica/?name=MDP0000885511","MDP0000885511")</f>
        <v>MDP0000885511</v>
      </c>
      <c r="D24188">
        <v>57.14</v>
      </c>
      <c r="E24188">
        <v>133</v>
      </c>
      <c r="F24188">
        <v>57</v>
      </c>
      <c r="G24188">
        <v>5</v>
      </c>
      <c r="H24188">
        <v>1</v>
      </c>
      <c r="I24188">
        <v>132</v>
      </c>
      <c r="J24188">
        <v>1</v>
      </c>
      <c r="K24188">
        <v>1</v>
      </c>
      <c r="L24188">
        <v>129</v>
      </c>
      <c r="M24188">
        <v>1</v>
      </c>
      <c r="N24188">
        <v>3.1408099999999997E-32</v>
      </c>
      <c r="O24188">
        <v>336</v>
      </c>
    </row>
    <row r="24189" spans="1:15" x14ac:dyDescent="0.25">
      <c r="A24189" t="s">
        <v>24202</v>
      </c>
      <c r="B24189">
        <v>178</v>
      </c>
      <c r="C24189" s="1" t="str">
        <f>HYPERLINK("http://www.rosaceae.org/gb/gbrowse/malus_x_domestica/?name=MDP0000267657","MDP0000267657")</f>
        <v>MDP0000267657</v>
      </c>
      <c r="D24189">
        <v>82.87</v>
      </c>
      <c r="E24189">
        <v>181</v>
      </c>
      <c r="F24189">
        <v>31</v>
      </c>
      <c r="G24189">
        <v>4</v>
      </c>
      <c r="H24189">
        <v>1</v>
      </c>
      <c r="I24189">
        <v>178</v>
      </c>
      <c r="J24189">
        <v>1</v>
      </c>
      <c r="K24189">
        <v>40</v>
      </c>
      <c r="L24189">
        <v>219</v>
      </c>
      <c r="M24189">
        <v>1</v>
      </c>
      <c r="N24189">
        <v>1.6608100000000002E-83</v>
      </c>
      <c r="O24189">
        <v>781</v>
      </c>
    </row>
    <row r="24190" spans="1:15" x14ac:dyDescent="0.25">
      <c r="A24190" t="s">
        <v>24203</v>
      </c>
      <c r="B24190">
        <v>620</v>
      </c>
      <c r="C24190" s="1" t="str">
        <f>HYPERLINK("http://www.rosaceae.org/gb/gbrowse/malus_x_domestica/?name=MDP0000283359","MDP0000283359")</f>
        <v>MDP0000283359</v>
      </c>
      <c r="D24190">
        <v>76.12</v>
      </c>
      <c r="E24190">
        <v>599</v>
      </c>
      <c r="F24190">
        <v>143</v>
      </c>
      <c r="G24190">
        <v>23</v>
      </c>
      <c r="H24190">
        <v>33</v>
      </c>
      <c r="I24190">
        <v>620</v>
      </c>
      <c r="J24190">
        <v>1</v>
      </c>
      <c r="K24190">
        <v>42</v>
      </c>
      <c r="L24190">
        <v>628</v>
      </c>
      <c r="M24190">
        <v>1</v>
      </c>
      <c r="N24190">
        <v>0</v>
      </c>
      <c r="O24190">
        <v>2266</v>
      </c>
    </row>
    <row r="24191" spans="1:15" x14ac:dyDescent="0.25">
      <c r="A24191" t="s">
        <v>24204</v>
      </c>
      <c r="B24191">
        <v>898</v>
      </c>
      <c r="C24191" s="1" t="str">
        <f>HYPERLINK("http://www.rosaceae.org/gb/gbrowse/malus_x_domestica/?name=MDP0000127808","MDP0000127808")</f>
        <v>MDP0000127808</v>
      </c>
      <c r="D24191">
        <v>76.180000000000007</v>
      </c>
      <c r="E24191">
        <v>928</v>
      </c>
      <c r="F24191">
        <v>221</v>
      </c>
      <c r="G24191">
        <v>44</v>
      </c>
      <c r="H24191">
        <v>1</v>
      </c>
      <c r="I24191">
        <v>898</v>
      </c>
      <c r="J24191">
        <v>1</v>
      </c>
      <c r="K24191">
        <v>30</v>
      </c>
      <c r="L24191">
        <v>943</v>
      </c>
      <c r="M24191">
        <v>1</v>
      </c>
      <c r="N24191">
        <v>0</v>
      </c>
      <c r="O24191">
        <v>3763</v>
      </c>
    </row>
    <row r="24192" spans="1:15" x14ac:dyDescent="0.25">
      <c r="A24192" t="s">
        <v>24205</v>
      </c>
      <c r="B24192">
        <v>341</v>
      </c>
      <c r="C24192" s="1" t="str">
        <f>HYPERLINK("http://www.rosaceae.org/gb/gbrowse/malus_x_domestica/?name=MDP0000188682","MDP0000188682")</f>
        <v>MDP0000188682</v>
      </c>
      <c r="D24192">
        <v>67.930000000000007</v>
      </c>
      <c r="E24192">
        <v>315</v>
      </c>
      <c r="F24192">
        <v>101</v>
      </c>
      <c r="G24192">
        <v>17</v>
      </c>
      <c r="H24192">
        <v>1</v>
      </c>
      <c r="I24192">
        <v>311</v>
      </c>
      <c r="J24192">
        <v>1</v>
      </c>
      <c r="K24192">
        <v>1</v>
      </c>
      <c r="L24192">
        <v>302</v>
      </c>
      <c r="M24192">
        <v>1</v>
      </c>
      <c r="N24192">
        <v>4.2806800000000001E-115</v>
      </c>
      <c r="O24192">
        <v>1057</v>
      </c>
    </row>
    <row r="24193" spans="1:15" x14ac:dyDescent="0.25">
      <c r="A24193" t="s">
        <v>24206</v>
      </c>
      <c r="B24193">
        <v>141</v>
      </c>
      <c r="C24193" s="1" t="str">
        <f>HYPERLINK("http://www.rosaceae.org/gb/gbrowse/malus_x_domestica/?name=MDP0000596687","MDP0000596687")</f>
        <v>MDP0000596687</v>
      </c>
      <c r="D24193">
        <v>58.13</v>
      </c>
      <c r="E24193">
        <v>86</v>
      </c>
      <c r="F24193">
        <v>36</v>
      </c>
      <c r="G24193">
        <v>0</v>
      </c>
      <c r="H24193">
        <v>17</v>
      </c>
      <c r="I24193">
        <v>102</v>
      </c>
      <c r="J24193">
        <v>1</v>
      </c>
      <c r="K24193">
        <v>3</v>
      </c>
      <c r="L24193">
        <v>88</v>
      </c>
      <c r="M24193">
        <v>1</v>
      </c>
      <c r="N24193">
        <v>6.0547999999999998E-25</v>
      </c>
      <c r="O24193">
        <v>274</v>
      </c>
    </row>
    <row r="24194" spans="1:15" x14ac:dyDescent="0.25">
      <c r="A24194" t="s">
        <v>24207</v>
      </c>
      <c r="B24194">
        <v>156</v>
      </c>
      <c r="C24194" s="1" t="str">
        <f>HYPERLINK("http://www.rosaceae.org/gb/gbrowse/malus_x_domestica/?name=MDP0000292585","MDP0000292585")</f>
        <v>MDP0000292585</v>
      </c>
      <c r="D24194">
        <v>50.76</v>
      </c>
      <c r="E24194">
        <v>65</v>
      </c>
      <c r="F24194">
        <v>32</v>
      </c>
      <c r="G24194">
        <v>2</v>
      </c>
      <c r="H24194">
        <v>42</v>
      </c>
      <c r="I24194">
        <v>106</v>
      </c>
      <c r="J24194">
        <v>1</v>
      </c>
      <c r="K24194">
        <v>2</v>
      </c>
      <c r="L24194">
        <v>64</v>
      </c>
      <c r="M24194">
        <v>1</v>
      </c>
      <c r="N24194">
        <v>2.2126299999999999E-11</v>
      </c>
      <c r="O24194">
        <v>158</v>
      </c>
    </row>
    <row r="24195" spans="1:15" x14ac:dyDescent="0.25">
      <c r="A24195" t="s">
        <v>24208</v>
      </c>
      <c r="B24195">
        <v>537</v>
      </c>
      <c r="C24195" s="1" t="str">
        <f>HYPERLINK("http://www.rosaceae.org/gb/gbrowse/malus_x_domestica/?name=MDP0000497083","MDP0000497083")</f>
        <v>MDP0000497083</v>
      </c>
      <c r="D24195">
        <v>90.2</v>
      </c>
      <c r="E24195">
        <v>337</v>
      </c>
      <c r="F24195">
        <v>33</v>
      </c>
      <c r="G24195">
        <v>2</v>
      </c>
      <c r="H24195">
        <v>1</v>
      </c>
      <c r="I24195">
        <v>335</v>
      </c>
      <c r="J24195">
        <v>1</v>
      </c>
      <c r="K24195">
        <v>1</v>
      </c>
      <c r="L24195">
        <v>337</v>
      </c>
      <c r="M24195">
        <v>1</v>
      </c>
      <c r="N24195">
        <v>0</v>
      </c>
      <c r="O24195">
        <v>1651</v>
      </c>
    </row>
    <row r="24196" spans="1:15" x14ac:dyDescent="0.25">
      <c r="A24196" t="s">
        <v>24209</v>
      </c>
      <c r="B24196">
        <v>346</v>
      </c>
      <c r="C24196" s="1" t="str">
        <f>HYPERLINK("http://www.rosaceae.org/gb/gbrowse/malus_x_domestica/?name=MDP0000240948","MDP0000240948")</f>
        <v>MDP0000240948</v>
      </c>
      <c r="D24196">
        <v>81.010000000000005</v>
      </c>
      <c r="E24196">
        <v>316</v>
      </c>
      <c r="F24196">
        <v>60</v>
      </c>
      <c r="G24196">
        <v>6</v>
      </c>
      <c r="H24196">
        <v>1</v>
      </c>
      <c r="I24196">
        <v>310</v>
      </c>
      <c r="J24196">
        <v>1</v>
      </c>
      <c r="K24196">
        <v>1</v>
      </c>
      <c r="L24196">
        <v>316</v>
      </c>
      <c r="M24196">
        <v>1</v>
      </c>
      <c r="N24196">
        <v>8.0805900000000003E-154</v>
      </c>
      <c r="O24196">
        <v>1391</v>
      </c>
    </row>
    <row r="24197" spans="1:15" x14ac:dyDescent="0.25">
      <c r="A24197" t="s">
        <v>24210</v>
      </c>
      <c r="B24197">
        <v>475</v>
      </c>
      <c r="C24197" s="1" t="str">
        <f>HYPERLINK("http://www.rosaceae.org/gb/gbrowse/malus_x_domestica/?name=MDP0000288172","MDP0000288172")</f>
        <v>MDP0000288172</v>
      </c>
      <c r="D24197">
        <v>60.36</v>
      </c>
      <c r="E24197">
        <v>487</v>
      </c>
      <c r="F24197">
        <v>193</v>
      </c>
      <c r="G24197">
        <v>21</v>
      </c>
      <c r="H24197">
        <v>1</v>
      </c>
      <c r="I24197">
        <v>473</v>
      </c>
      <c r="J24197">
        <v>1</v>
      </c>
      <c r="K24197">
        <v>1</v>
      </c>
      <c r="L24197">
        <v>480</v>
      </c>
      <c r="M24197">
        <v>1</v>
      </c>
      <c r="N24197">
        <v>7.2805999999999997E-165</v>
      </c>
      <c r="O24197">
        <v>1488</v>
      </c>
    </row>
    <row r="24198" spans="1:15" x14ac:dyDescent="0.25">
      <c r="A24198" t="s">
        <v>24211</v>
      </c>
      <c r="B24198">
        <v>884</v>
      </c>
      <c r="C24198" s="1" t="str">
        <f>HYPERLINK("http://www.rosaceae.org/gb/gbrowse/malus_x_domestica/?name=MDP0000256481","MDP0000256481")</f>
        <v>MDP0000256481</v>
      </c>
      <c r="D24198">
        <v>64.72</v>
      </c>
      <c r="E24198">
        <v>377</v>
      </c>
      <c r="F24198">
        <v>133</v>
      </c>
      <c r="G24198">
        <v>30</v>
      </c>
      <c r="H24198">
        <v>61</v>
      </c>
      <c r="I24198">
        <v>407</v>
      </c>
      <c r="J24198">
        <v>1</v>
      </c>
      <c r="K24198">
        <v>1</v>
      </c>
      <c r="L24198">
        <v>377</v>
      </c>
      <c r="M24198">
        <v>1</v>
      </c>
      <c r="N24198">
        <v>8.7130100000000006E-136</v>
      </c>
      <c r="O24198">
        <v>1240</v>
      </c>
    </row>
    <row r="24199" spans="1:15" x14ac:dyDescent="0.25">
      <c r="A24199" t="s">
        <v>24212</v>
      </c>
      <c r="B24199">
        <v>707</v>
      </c>
      <c r="C24199" s="1" t="str">
        <f>HYPERLINK("http://www.rosaceae.org/gb/gbrowse/malus_x_domestica/?name=MDP0000922741","MDP0000922741")</f>
        <v>MDP0000922741</v>
      </c>
      <c r="D24199">
        <v>72.16</v>
      </c>
      <c r="E24199">
        <v>697</v>
      </c>
      <c r="F24199">
        <v>194</v>
      </c>
      <c r="G24199">
        <v>30</v>
      </c>
      <c r="H24199">
        <v>1</v>
      </c>
      <c r="I24199">
        <v>681</v>
      </c>
      <c r="J24199">
        <v>1</v>
      </c>
      <c r="K24199">
        <v>1</v>
      </c>
      <c r="L24199">
        <v>683</v>
      </c>
      <c r="M24199">
        <v>1</v>
      </c>
      <c r="N24199">
        <v>0</v>
      </c>
      <c r="O24199">
        <v>2541</v>
      </c>
    </row>
    <row r="24200" spans="1:15" x14ac:dyDescent="0.25">
      <c r="A24200" t="s">
        <v>24213</v>
      </c>
      <c r="B24200">
        <v>414</v>
      </c>
      <c r="C24200" s="1" t="str">
        <f>HYPERLINK("http://www.rosaceae.org/gb/gbrowse/malus_x_domestica/?name=MDP0000341862","MDP0000341862")</f>
        <v>MDP0000341862</v>
      </c>
      <c r="D24200">
        <v>70.09</v>
      </c>
      <c r="E24200">
        <v>408</v>
      </c>
      <c r="F24200">
        <v>122</v>
      </c>
      <c r="G24200">
        <v>4</v>
      </c>
      <c r="H24200">
        <v>1</v>
      </c>
      <c r="I24200">
        <v>404</v>
      </c>
      <c r="J24200">
        <v>1</v>
      </c>
      <c r="K24200">
        <v>1</v>
      </c>
      <c r="L24200">
        <v>408</v>
      </c>
      <c r="M24200">
        <v>1</v>
      </c>
      <c r="N24200">
        <v>8.0348600000000001E-145</v>
      </c>
      <c r="O24200">
        <v>1315</v>
      </c>
    </row>
    <row r="24201" spans="1:15" x14ac:dyDescent="0.25">
      <c r="A24201" t="s">
        <v>24214</v>
      </c>
      <c r="B24201">
        <v>675</v>
      </c>
      <c r="C24201" s="1" t="str">
        <f>HYPERLINK("http://www.rosaceae.org/gb/gbrowse/malus_x_domestica/?name=MDP0000168307","MDP0000168307")</f>
        <v>MDP0000168307</v>
      </c>
      <c r="D24201">
        <v>71.260000000000005</v>
      </c>
      <c r="E24201">
        <v>609</v>
      </c>
      <c r="F24201">
        <v>175</v>
      </c>
      <c r="G24201">
        <v>53</v>
      </c>
      <c r="H24201">
        <v>12</v>
      </c>
      <c r="I24201">
        <v>570</v>
      </c>
      <c r="J24201">
        <v>1</v>
      </c>
      <c r="K24201">
        <v>9</v>
      </c>
      <c r="L24201">
        <v>614</v>
      </c>
      <c r="M24201">
        <v>1</v>
      </c>
      <c r="N24201">
        <v>0</v>
      </c>
      <c r="O24201">
        <v>2164</v>
      </c>
    </row>
    <row r="24202" spans="1:15" x14ac:dyDescent="0.25">
      <c r="A24202" t="s">
        <v>24215</v>
      </c>
      <c r="B24202">
        <v>457</v>
      </c>
      <c r="C24202" s="1" t="str">
        <f>HYPERLINK("http://www.rosaceae.org/gb/gbrowse/malus_x_domestica/?name=MDP0000190959","MDP0000190959")</f>
        <v>MDP0000190959</v>
      </c>
      <c r="D24202">
        <v>76.94</v>
      </c>
      <c r="E24202">
        <v>321</v>
      </c>
      <c r="F24202">
        <v>74</v>
      </c>
      <c r="G24202">
        <v>0</v>
      </c>
      <c r="H24202">
        <v>137</v>
      </c>
      <c r="I24202">
        <v>457</v>
      </c>
      <c r="J24202">
        <v>1</v>
      </c>
      <c r="K24202">
        <v>36</v>
      </c>
      <c r="L24202">
        <v>356</v>
      </c>
      <c r="M24202">
        <v>1</v>
      </c>
      <c r="N24202">
        <v>6.6685599999999999E-151</v>
      </c>
      <c r="O24202">
        <v>1367</v>
      </c>
    </row>
    <row r="24203" spans="1:15" x14ac:dyDescent="0.25">
      <c r="A24203" t="s">
        <v>24216</v>
      </c>
      <c r="B24203">
        <v>107</v>
      </c>
      <c r="C24203" s="1" t="str">
        <f>HYPERLINK("http://www.rosaceae.org/gb/gbrowse/malus_x_domestica/?name=MDP0000898826","MDP0000898826")</f>
        <v>MDP0000898826</v>
      </c>
      <c r="D24203">
        <v>84.52</v>
      </c>
      <c r="E24203">
        <v>84</v>
      </c>
      <c r="F24203">
        <v>13</v>
      </c>
      <c r="G24203">
        <v>4</v>
      </c>
      <c r="H24203">
        <v>12</v>
      </c>
      <c r="I24203">
        <v>95</v>
      </c>
      <c r="J24203">
        <v>1</v>
      </c>
      <c r="K24203">
        <v>1</v>
      </c>
      <c r="L24203">
        <v>80</v>
      </c>
      <c r="M24203">
        <v>1</v>
      </c>
      <c r="N24203">
        <v>2.1212600000000001E-36</v>
      </c>
      <c r="O24203">
        <v>371</v>
      </c>
    </row>
    <row r="24204" spans="1:15" x14ac:dyDescent="0.25">
      <c r="A24204" t="s">
        <v>24217</v>
      </c>
      <c r="B24204">
        <v>205</v>
      </c>
      <c r="C24204" s="1" t="str">
        <f>HYPERLINK("http://www.rosaceae.org/gb/gbrowse/malus_x_domestica/?name=MDP0000199925","MDP0000199925")</f>
        <v>MDP0000199925</v>
      </c>
      <c r="D24204">
        <v>87.87</v>
      </c>
      <c r="E24204">
        <v>198</v>
      </c>
      <c r="F24204">
        <v>24</v>
      </c>
      <c r="G24204">
        <v>0</v>
      </c>
      <c r="H24204">
        <v>7</v>
      </c>
      <c r="I24204">
        <v>204</v>
      </c>
      <c r="J24204">
        <v>1</v>
      </c>
      <c r="K24204">
        <v>136</v>
      </c>
      <c r="L24204">
        <v>333</v>
      </c>
      <c r="M24204">
        <v>1</v>
      </c>
      <c r="N24204">
        <v>7.3834600000000001E-99</v>
      </c>
      <c r="O24204">
        <v>914</v>
      </c>
    </row>
    <row r="24205" spans="1:15" x14ac:dyDescent="0.25">
      <c r="A24205" t="s">
        <v>24218</v>
      </c>
      <c r="B24205">
        <v>677</v>
      </c>
      <c r="C24205" s="1" t="str">
        <f>HYPERLINK("http://www.rosaceae.org/gb/gbrowse/malus_x_domestica/?name=MDP0000190016","MDP0000190016")</f>
        <v>MDP0000190016</v>
      </c>
      <c r="D24205">
        <v>64.569999999999993</v>
      </c>
      <c r="E24205">
        <v>477</v>
      </c>
      <c r="F24205">
        <v>169</v>
      </c>
      <c r="G24205">
        <v>42</v>
      </c>
      <c r="H24205">
        <v>182</v>
      </c>
      <c r="I24205">
        <v>643</v>
      </c>
      <c r="J24205">
        <v>1</v>
      </c>
      <c r="K24205">
        <v>15</v>
      </c>
      <c r="L24205">
        <v>464</v>
      </c>
      <c r="M24205">
        <v>1</v>
      </c>
      <c r="N24205">
        <v>1.4034100000000001E-158</v>
      </c>
      <c r="O24205">
        <v>1435</v>
      </c>
    </row>
    <row r="24206" spans="1:15" x14ac:dyDescent="0.25">
      <c r="A24206" t="s">
        <v>24219</v>
      </c>
      <c r="B24206">
        <v>138</v>
      </c>
      <c r="C24206" s="1" t="str">
        <f>HYPERLINK("http://www.rosaceae.org/gb/gbrowse/malus_x_domestica/?name=MDP0000131308","MDP0000131308")</f>
        <v>MDP0000131308</v>
      </c>
      <c r="D24206">
        <v>64.8</v>
      </c>
      <c r="E24206">
        <v>179</v>
      </c>
      <c r="F24206">
        <v>63</v>
      </c>
      <c r="G24206">
        <v>45</v>
      </c>
      <c r="H24206">
        <v>1</v>
      </c>
      <c r="I24206">
        <v>134</v>
      </c>
      <c r="J24206">
        <v>1</v>
      </c>
      <c r="K24206">
        <v>161</v>
      </c>
      <c r="L24206">
        <v>339</v>
      </c>
      <c r="M24206">
        <v>1</v>
      </c>
      <c r="N24206">
        <v>3.1100200000000001E-57</v>
      </c>
      <c r="O24206">
        <v>552</v>
      </c>
    </row>
    <row r="24207" spans="1:15" x14ac:dyDescent="0.25">
      <c r="A24207" t="s">
        <v>24220</v>
      </c>
      <c r="B24207">
        <v>549</v>
      </c>
      <c r="C24207" s="1" t="str">
        <f>HYPERLINK("http://www.rosaceae.org/gb/gbrowse/malus_x_domestica/?name=MDP0000238754","MDP0000238754")</f>
        <v>MDP0000238754</v>
      </c>
      <c r="D24207">
        <v>84.09</v>
      </c>
      <c r="E24207">
        <v>528</v>
      </c>
      <c r="F24207">
        <v>84</v>
      </c>
      <c r="G24207">
        <v>31</v>
      </c>
      <c r="H24207">
        <v>24</v>
      </c>
      <c r="I24207">
        <v>549</v>
      </c>
      <c r="J24207">
        <v>1</v>
      </c>
      <c r="K24207">
        <v>29</v>
      </c>
      <c r="L24207">
        <v>527</v>
      </c>
      <c r="M24207">
        <v>1</v>
      </c>
      <c r="N24207">
        <v>0</v>
      </c>
      <c r="O24207">
        <v>2308</v>
      </c>
    </row>
    <row r="24208" spans="1:15" x14ac:dyDescent="0.25">
      <c r="A24208" t="s">
        <v>24221</v>
      </c>
      <c r="B24208">
        <v>497</v>
      </c>
      <c r="C24208" s="1" t="str">
        <f>HYPERLINK("http://www.rosaceae.org/gb/gbrowse/malus_x_domestica/?name=MDP0000145663","MDP0000145663")</f>
        <v>MDP0000145663</v>
      </c>
      <c r="D24208">
        <v>78.510000000000005</v>
      </c>
      <c r="E24208">
        <v>498</v>
      </c>
      <c r="F24208">
        <v>107</v>
      </c>
      <c r="G24208">
        <v>5</v>
      </c>
      <c r="H24208">
        <v>1</v>
      </c>
      <c r="I24208">
        <v>496</v>
      </c>
      <c r="J24208">
        <v>1</v>
      </c>
      <c r="K24208">
        <v>1</v>
      </c>
      <c r="L24208">
        <v>495</v>
      </c>
      <c r="M24208">
        <v>1</v>
      </c>
      <c r="N24208">
        <v>0</v>
      </c>
      <c r="O24208">
        <v>2092</v>
      </c>
    </row>
    <row r="24209" spans="1:15" x14ac:dyDescent="0.25">
      <c r="A24209" t="s">
        <v>24222</v>
      </c>
      <c r="B24209">
        <v>138</v>
      </c>
      <c r="C24209" s="1" t="str">
        <f>HYPERLINK("http://www.rosaceae.org/gb/gbrowse/malus_x_domestica/?name=MDP0000342635","MDP0000342635")</f>
        <v>MDP0000342635</v>
      </c>
      <c r="D24209">
        <v>94.92</v>
      </c>
      <c r="E24209">
        <v>138</v>
      </c>
      <c r="F24209">
        <v>7</v>
      </c>
      <c r="G24209">
        <v>0</v>
      </c>
      <c r="H24209">
        <v>1</v>
      </c>
      <c r="I24209">
        <v>138</v>
      </c>
      <c r="J24209">
        <v>1</v>
      </c>
      <c r="K24209">
        <v>1</v>
      </c>
      <c r="L24209">
        <v>138</v>
      </c>
      <c r="M24209">
        <v>1</v>
      </c>
      <c r="N24209">
        <v>1.5617399999999999E-73</v>
      </c>
      <c r="O24209">
        <v>693</v>
      </c>
    </row>
    <row r="24210" spans="1:15" x14ac:dyDescent="0.25">
      <c r="A24210" t="s">
        <v>24223</v>
      </c>
      <c r="B24210">
        <v>241</v>
      </c>
      <c r="C24210" s="1" t="str">
        <f>HYPERLINK("http://www.rosaceae.org/gb/gbrowse/malus_x_domestica/?name=MDP0000312793","MDP0000312793")</f>
        <v>MDP0000312793</v>
      </c>
      <c r="D24210">
        <v>36.299999999999997</v>
      </c>
      <c r="E24210">
        <v>157</v>
      </c>
      <c r="F24210">
        <v>100</v>
      </c>
      <c r="G24210">
        <v>41</v>
      </c>
      <c r="H24210">
        <v>119</v>
      </c>
      <c r="I24210">
        <v>240</v>
      </c>
      <c r="J24210">
        <v>1</v>
      </c>
      <c r="K24210">
        <v>230</v>
      </c>
      <c r="L24210">
        <v>380</v>
      </c>
      <c r="M24210">
        <v>1</v>
      </c>
      <c r="N24210">
        <v>4.4910700000000001E-14</v>
      </c>
      <c r="O24210">
        <v>184</v>
      </c>
    </row>
    <row r="24211" spans="1:15" x14ac:dyDescent="0.25">
      <c r="A24211" t="s">
        <v>24224</v>
      </c>
      <c r="B24211">
        <v>404</v>
      </c>
      <c r="C24211" s="1" t="str">
        <f>HYPERLINK("http://www.rosaceae.org/gb/gbrowse/malus_x_domestica/?name=MDP0000535048","MDP0000535048")</f>
        <v>MDP0000535048</v>
      </c>
      <c r="D24211">
        <v>37.630000000000003</v>
      </c>
      <c r="E24211">
        <v>380</v>
      </c>
      <c r="F24211">
        <v>237</v>
      </c>
      <c r="G24211">
        <v>28</v>
      </c>
      <c r="H24211">
        <v>34</v>
      </c>
      <c r="I24211">
        <v>404</v>
      </c>
      <c r="J24211">
        <v>1</v>
      </c>
      <c r="K24211">
        <v>32</v>
      </c>
      <c r="L24211">
        <v>392</v>
      </c>
      <c r="M24211">
        <v>1</v>
      </c>
      <c r="N24211">
        <v>5.2003900000000002E-64</v>
      </c>
      <c r="O24211">
        <v>617</v>
      </c>
    </row>
    <row r="24212" spans="1:15" x14ac:dyDescent="0.25">
      <c r="A24212" t="s">
        <v>24225</v>
      </c>
      <c r="B24212">
        <v>477</v>
      </c>
      <c r="C24212" s="1" t="str">
        <f>HYPERLINK("http://www.rosaceae.org/gb/gbrowse/malus_x_domestica/?name=MDP0000188450","MDP0000188450")</f>
        <v>MDP0000188450</v>
      </c>
      <c r="D24212">
        <v>67.56</v>
      </c>
      <c r="E24212">
        <v>481</v>
      </c>
      <c r="F24212">
        <v>156</v>
      </c>
      <c r="G24212">
        <v>61</v>
      </c>
      <c r="H24212">
        <v>1</v>
      </c>
      <c r="I24212">
        <v>477</v>
      </c>
      <c r="J24212">
        <v>1</v>
      </c>
      <c r="K24212">
        <v>1</v>
      </c>
      <c r="L24212">
        <v>424</v>
      </c>
      <c r="M24212">
        <v>1</v>
      </c>
      <c r="N24212">
        <v>0</v>
      </c>
      <c r="O24212">
        <v>1626</v>
      </c>
    </row>
    <row r="24213" spans="1:15" x14ac:dyDescent="0.25">
      <c r="A24213" t="s">
        <v>24226</v>
      </c>
      <c r="B24213">
        <v>82</v>
      </c>
      <c r="C24213" s="1" t="str">
        <f>HYPERLINK("http://www.rosaceae.org/gb/gbrowse/malus_x_domestica/?name=MDP0000262733","MDP0000262733")</f>
        <v>MDP0000262733</v>
      </c>
      <c r="D24213">
        <v>53.84</v>
      </c>
      <c r="E24213">
        <v>65</v>
      </c>
      <c r="F24213">
        <v>30</v>
      </c>
      <c r="G24213">
        <v>0</v>
      </c>
      <c r="H24213">
        <v>18</v>
      </c>
      <c r="I24213">
        <v>82</v>
      </c>
      <c r="J24213">
        <v>1</v>
      </c>
      <c r="K24213">
        <v>635</v>
      </c>
      <c r="L24213">
        <v>699</v>
      </c>
      <c r="M24213">
        <v>1</v>
      </c>
      <c r="N24213">
        <v>1.6359799999999999E-10</v>
      </c>
      <c r="O24213">
        <v>148</v>
      </c>
    </row>
    <row r="24214" spans="1:15" x14ac:dyDescent="0.25">
      <c r="A24214" t="s">
        <v>24227</v>
      </c>
      <c r="B24214">
        <v>223</v>
      </c>
      <c r="C24214" s="1" t="str">
        <f>HYPERLINK("http://www.rosaceae.org/gb/gbrowse/malus_x_domestica/?name=MDP0000665118","MDP0000665118")</f>
        <v>MDP0000665118</v>
      </c>
      <c r="D24214">
        <v>78.66</v>
      </c>
      <c r="E24214">
        <v>225</v>
      </c>
      <c r="F24214">
        <v>48</v>
      </c>
      <c r="G24214">
        <v>2</v>
      </c>
      <c r="H24214">
        <v>1</v>
      </c>
      <c r="I24214">
        <v>223</v>
      </c>
      <c r="J24214">
        <v>1</v>
      </c>
      <c r="K24214">
        <v>1</v>
      </c>
      <c r="L24214">
        <v>225</v>
      </c>
      <c r="M24214">
        <v>1</v>
      </c>
      <c r="N24214">
        <v>2.0482000000000001E-101</v>
      </c>
      <c r="O24214">
        <v>937</v>
      </c>
    </row>
    <row r="24215" spans="1:15" x14ac:dyDescent="0.25">
      <c r="A24215" t="s">
        <v>24228</v>
      </c>
      <c r="B24215">
        <v>421</v>
      </c>
      <c r="C24215" s="1" t="str">
        <f>HYPERLINK("http://www.rosaceae.org/gb/gbrowse/malus_x_domestica/?name=MDP0000299180","MDP0000299180")</f>
        <v>MDP0000299180</v>
      </c>
      <c r="D24215">
        <v>65.349999999999994</v>
      </c>
      <c r="E24215">
        <v>127</v>
      </c>
      <c r="F24215">
        <v>44</v>
      </c>
      <c r="G24215">
        <v>6</v>
      </c>
      <c r="H24215">
        <v>1</v>
      </c>
      <c r="I24215">
        <v>127</v>
      </c>
      <c r="J24215">
        <v>1</v>
      </c>
      <c r="K24215">
        <v>832</v>
      </c>
      <c r="L24215">
        <v>952</v>
      </c>
      <c r="M24215">
        <v>1</v>
      </c>
      <c r="N24215">
        <v>1.14329E-41</v>
      </c>
      <c r="O24215">
        <v>425</v>
      </c>
    </row>
    <row r="24216" spans="1:15" x14ac:dyDescent="0.25">
      <c r="A24216" t="s">
        <v>24229</v>
      </c>
      <c r="B24216">
        <v>602</v>
      </c>
      <c r="C24216" s="1" t="str">
        <f>HYPERLINK("http://www.rosaceae.org/gb/gbrowse/malus_x_domestica/?name=MDP0000236328","MDP0000236328")</f>
        <v>MDP0000236328</v>
      </c>
      <c r="D24216">
        <v>73.209999999999994</v>
      </c>
      <c r="E24216">
        <v>616</v>
      </c>
      <c r="F24216">
        <v>165</v>
      </c>
      <c r="G24216">
        <v>17</v>
      </c>
      <c r="H24216">
        <v>1</v>
      </c>
      <c r="I24216">
        <v>600</v>
      </c>
      <c r="J24216">
        <v>1</v>
      </c>
      <c r="K24216">
        <v>1</v>
      </c>
      <c r="L24216">
        <v>615</v>
      </c>
      <c r="M24216">
        <v>1</v>
      </c>
      <c r="N24216">
        <v>0</v>
      </c>
      <c r="O24216">
        <v>2269</v>
      </c>
    </row>
    <row r="24217" spans="1:15" x14ac:dyDescent="0.25">
      <c r="A24217" t="s">
        <v>24230</v>
      </c>
      <c r="B24217">
        <v>471</v>
      </c>
      <c r="C24217" s="1" t="str">
        <f>HYPERLINK("http://www.rosaceae.org/gb/gbrowse/malus_x_domestica/?name=MDP0000264417","MDP0000264417")</f>
        <v>MDP0000264417</v>
      </c>
      <c r="D24217">
        <v>38.630000000000003</v>
      </c>
      <c r="E24217">
        <v>440</v>
      </c>
      <c r="F24217">
        <v>270</v>
      </c>
      <c r="G24217">
        <v>67</v>
      </c>
      <c r="H24217">
        <v>77</v>
      </c>
      <c r="I24217">
        <v>451</v>
      </c>
      <c r="J24217">
        <v>1</v>
      </c>
      <c r="K24217">
        <v>10</v>
      </c>
      <c r="L24217">
        <v>447</v>
      </c>
      <c r="M24217">
        <v>1</v>
      </c>
      <c r="N24217">
        <v>3.2072699999999999E-77</v>
      </c>
      <c r="O24217">
        <v>732</v>
      </c>
    </row>
    <row r="24218" spans="1:15" x14ac:dyDescent="0.25">
      <c r="A24218" t="s">
        <v>24231</v>
      </c>
      <c r="B24218">
        <v>1137</v>
      </c>
      <c r="C24218" s="1" t="str">
        <f>HYPERLINK("http://www.rosaceae.org/gb/gbrowse/malus_x_domestica/?name=MDP0000237605","MDP0000237605")</f>
        <v>MDP0000237605</v>
      </c>
      <c r="D24218">
        <v>76.03</v>
      </c>
      <c r="E24218">
        <v>1185</v>
      </c>
      <c r="F24218">
        <v>284</v>
      </c>
      <c r="G24218">
        <v>79</v>
      </c>
      <c r="H24218">
        <v>1</v>
      </c>
      <c r="I24218">
        <v>1106</v>
      </c>
      <c r="J24218">
        <v>1</v>
      </c>
      <c r="K24218">
        <v>1</v>
      </c>
      <c r="L24218">
        <v>1185</v>
      </c>
      <c r="M24218">
        <v>1</v>
      </c>
      <c r="N24218">
        <v>0</v>
      </c>
      <c r="O24218">
        <v>4651</v>
      </c>
    </row>
    <row r="24219" spans="1:15" x14ac:dyDescent="0.25">
      <c r="A24219" t="s">
        <v>24232</v>
      </c>
      <c r="B24219">
        <v>981</v>
      </c>
      <c r="C24219" s="1" t="str">
        <f>HYPERLINK("http://www.rosaceae.org/gb/gbrowse/malus_x_domestica/?name=MDP0000540917","MDP0000540917")</f>
        <v>MDP0000540917</v>
      </c>
      <c r="D24219">
        <v>78.39</v>
      </c>
      <c r="E24219">
        <v>787</v>
      </c>
      <c r="F24219">
        <v>170</v>
      </c>
      <c r="G24219">
        <v>3</v>
      </c>
      <c r="H24219">
        <v>1</v>
      </c>
      <c r="I24219">
        <v>787</v>
      </c>
      <c r="J24219">
        <v>1</v>
      </c>
      <c r="K24219">
        <v>76</v>
      </c>
      <c r="L24219">
        <v>859</v>
      </c>
      <c r="M24219">
        <v>1</v>
      </c>
      <c r="N24219">
        <v>0</v>
      </c>
      <c r="O24219">
        <v>3345</v>
      </c>
    </row>
    <row r="24220" spans="1:15" x14ac:dyDescent="0.25">
      <c r="A24220" t="s">
        <v>24233</v>
      </c>
      <c r="B24220">
        <v>1361</v>
      </c>
      <c r="C24220" s="1" t="str">
        <f>HYPERLINK("http://www.rosaceae.org/gb/gbrowse/malus_x_domestica/?name=MDP0000258332","MDP0000258332")</f>
        <v>MDP0000258332</v>
      </c>
      <c r="D24220">
        <v>66.430000000000007</v>
      </c>
      <c r="E24220">
        <v>1001</v>
      </c>
      <c r="F24220">
        <v>336</v>
      </c>
      <c r="G24220">
        <v>83</v>
      </c>
      <c r="H24220">
        <v>6</v>
      </c>
      <c r="I24220">
        <v>940</v>
      </c>
      <c r="J24220">
        <v>1</v>
      </c>
      <c r="K24220">
        <v>2</v>
      </c>
      <c r="L24220">
        <v>985</v>
      </c>
      <c r="M24220">
        <v>1</v>
      </c>
      <c r="N24220">
        <v>0</v>
      </c>
      <c r="O24220">
        <v>3160</v>
      </c>
    </row>
    <row r="24221" spans="1:15" x14ac:dyDescent="0.25">
      <c r="A24221" t="s">
        <v>24234</v>
      </c>
      <c r="B24221">
        <v>210</v>
      </c>
      <c r="C24221" s="1" t="str">
        <f>HYPERLINK("http://www.rosaceae.org/gb/gbrowse/malus_x_domestica/?name=MDP0000315452","MDP0000315452")</f>
        <v>MDP0000315452</v>
      </c>
      <c r="D24221">
        <v>53.98</v>
      </c>
      <c r="E24221">
        <v>113</v>
      </c>
      <c r="F24221">
        <v>52</v>
      </c>
      <c r="G24221">
        <v>1</v>
      </c>
      <c r="H24221">
        <v>86</v>
      </c>
      <c r="I24221">
        <v>197</v>
      </c>
      <c r="J24221">
        <v>1</v>
      </c>
      <c r="K24221">
        <v>50</v>
      </c>
      <c r="L24221">
        <v>162</v>
      </c>
      <c r="M24221">
        <v>1</v>
      </c>
      <c r="N24221">
        <v>1.7562299999999999E-31</v>
      </c>
      <c r="O24221">
        <v>333</v>
      </c>
    </row>
    <row r="24222" spans="1:15" x14ac:dyDescent="0.25">
      <c r="A24222" t="s">
        <v>24235</v>
      </c>
      <c r="B24222">
        <v>382</v>
      </c>
      <c r="C24222" s="1" t="str">
        <f>HYPERLINK("http://www.rosaceae.org/gb/gbrowse/malus_x_domestica/?name=MDP0000187616","MDP0000187616")</f>
        <v>MDP0000187616</v>
      </c>
      <c r="D24222">
        <v>65.819999999999993</v>
      </c>
      <c r="E24222">
        <v>436</v>
      </c>
      <c r="F24222">
        <v>149</v>
      </c>
      <c r="G24222">
        <v>54</v>
      </c>
      <c r="H24222">
        <v>1</v>
      </c>
      <c r="I24222">
        <v>382</v>
      </c>
      <c r="J24222">
        <v>1</v>
      </c>
      <c r="K24222">
        <v>1</v>
      </c>
      <c r="L24222">
        <v>436</v>
      </c>
      <c r="M24222">
        <v>1</v>
      </c>
      <c r="N24222">
        <v>1.7937E-158</v>
      </c>
      <c r="O24222">
        <v>1432</v>
      </c>
    </row>
    <row r="24223" spans="1:15" x14ac:dyDescent="0.25">
      <c r="A24223" t="s">
        <v>24236</v>
      </c>
      <c r="B24223">
        <v>621</v>
      </c>
      <c r="C24223" s="1" t="str">
        <f>HYPERLINK("http://www.rosaceae.org/gb/gbrowse/malus_x_domestica/?name=MDP0000325761","MDP0000325761")</f>
        <v>MDP0000325761</v>
      </c>
      <c r="D24223">
        <v>73.3</v>
      </c>
      <c r="E24223">
        <v>457</v>
      </c>
      <c r="F24223">
        <v>122</v>
      </c>
      <c r="G24223">
        <v>5</v>
      </c>
      <c r="H24223">
        <v>1</v>
      </c>
      <c r="I24223">
        <v>452</v>
      </c>
      <c r="J24223">
        <v>1</v>
      </c>
      <c r="K24223">
        <v>1</v>
      </c>
      <c r="L24223">
        <v>457</v>
      </c>
      <c r="M24223">
        <v>1</v>
      </c>
      <c r="N24223">
        <v>0</v>
      </c>
      <c r="O24223">
        <v>1757</v>
      </c>
    </row>
    <row r="24224" spans="1:15" x14ac:dyDescent="0.25">
      <c r="A24224" t="s">
        <v>24237</v>
      </c>
      <c r="B24224">
        <v>1477</v>
      </c>
      <c r="C24224" s="1" t="str">
        <f>HYPERLINK("http://www.rosaceae.org/gb/gbrowse/malus_x_domestica/?name=MDP0000282292","MDP0000282292")</f>
        <v>MDP0000282292</v>
      </c>
      <c r="D24224">
        <v>42.64</v>
      </c>
      <c r="E24224">
        <v>272</v>
      </c>
      <c r="F24224">
        <v>156</v>
      </c>
      <c r="G24224">
        <v>32</v>
      </c>
      <c r="H24224">
        <v>25</v>
      </c>
      <c r="I24224">
        <v>291</v>
      </c>
      <c r="J24224">
        <v>1</v>
      </c>
      <c r="K24224">
        <v>33</v>
      </c>
      <c r="L24224">
        <v>277</v>
      </c>
      <c r="M24224">
        <v>1</v>
      </c>
      <c r="N24224">
        <v>4.3686800000000002E-45</v>
      </c>
      <c r="O24224">
        <v>460</v>
      </c>
    </row>
    <row r="24225" spans="1:15" x14ac:dyDescent="0.25">
      <c r="A24225" t="s">
        <v>24238</v>
      </c>
      <c r="B24225">
        <v>1146</v>
      </c>
      <c r="C24225" s="1" t="str">
        <f>HYPERLINK("http://www.rosaceae.org/gb/gbrowse/malus_x_domestica/?name=MDP0000141124","MDP0000141124")</f>
        <v>MDP0000141124</v>
      </c>
      <c r="D24225">
        <v>56.78</v>
      </c>
      <c r="E24225">
        <v>921</v>
      </c>
      <c r="F24225">
        <v>398</v>
      </c>
      <c r="G24225">
        <v>154</v>
      </c>
      <c r="H24225">
        <v>37</v>
      </c>
      <c r="I24225">
        <v>847</v>
      </c>
      <c r="J24225">
        <v>1</v>
      </c>
      <c r="K24225">
        <v>215</v>
      </c>
      <c r="L24225">
        <v>1091</v>
      </c>
      <c r="M24225">
        <v>1</v>
      </c>
      <c r="N24225">
        <v>0</v>
      </c>
      <c r="O24225">
        <v>2418</v>
      </c>
    </row>
    <row r="24226" spans="1:15" x14ac:dyDescent="0.25">
      <c r="A24226" t="s">
        <v>24239</v>
      </c>
      <c r="B24226">
        <v>561</v>
      </c>
      <c r="C24226" s="1" t="str">
        <f>HYPERLINK("http://www.rosaceae.org/gb/gbrowse/malus_x_domestica/?name=MDP0000496288","MDP0000496288")</f>
        <v>MDP0000496288</v>
      </c>
      <c r="D24226">
        <v>55.7</v>
      </c>
      <c r="E24226">
        <v>605</v>
      </c>
      <c r="F24226">
        <v>268</v>
      </c>
      <c r="G24226">
        <v>70</v>
      </c>
      <c r="H24226">
        <v>1</v>
      </c>
      <c r="I24226">
        <v>561</v>
      </c>
      <c r="J24226">
        <v>1</v>
      </c>
      <c r="K24226">
        <v>1</v>
      </c>
      <c r="L24226">
        <v>579</v>
      </c>
      <c r="M24226">
        <v>1</v>
      </c>
      <c r="N24226">
        <v>6.2801000000000004E-178</v>
      </c>
      <c r="O24226">
        <v>1601</v>
      </c>
    </row>
    <row r="24227" spans="1:15" x14ac:dyDescent="0.25">
      <c r="A24227" t="s">
        <v>24240</v>
      </c>
      <c r="B24227">
        <v>1005</v>
      </c>
      <c r="C24227" s="1" t="str">
        <f>HYPERLINK("http://www.rosaceae.org/gb/gbrowse/malus_x_domestica/?name=MDP0000943529","MDP0000943529")</f>
        <v>MDP0000943529</v>
      </c>
      <c r="D24227">
        <v>86.77</v>
      </c>
      <c r="E24227">
        <v>832</v>
      </c>
      <c r="F24227">
        <v>110</v>
      </c>
      <c r="G24227">
        <v>1</v>
      </c>
      <c r="H24227">
        <v>1</v>
      </c>
      <c r="I24227">
        <v>832</v>
      </c>
      <c r="J24227">
        <v>1</v>
      </c>
      <c r="K24227">
        <v>20</v>
      </c>
      <c r="L24227">
        <v>850</v>
      </c>
      <c r="M24227">
        <v>1</v>
      </c>
      <c r="N24227">
        <v>0</v>
      </c>
      <c r="O24227">
        <v>3888</v>
      </c>
    </row>
    <row r="24228" spans="1:15" x14ac:dyDescent="0.25">
      <c r="A24228" t="s">
        <v>24241</v>
      </c>
      <c r="B24228">
        <v>237</v>
      </c>
      <c r="C24228" s="1" t="str">
        <f>HYPERLINK("http://www.rosaceae.org/gb/gbrowse/malus_x_domestica/?name=MDP0000403030","MDP0000403030")</f>
        <v>MDP0000403030</v>
      </c>
      <c r="D24228">
        <v>50</v>
      </c>
      <c r="E24228">
        <v>134</v>
      </c>
      <c r="F24228">
        <v>67</v>
      </c>
      <c r="G24228">
        <v>7</v>
      </c>
      <c r="H24228">
        <v>1</v>
      </c>
      <c r="I24228">
        <v>129</v>
      </c>
      <c r="J24228">
        <v>1</v>
      </c>
      <c r="K24228">
        <v>145</v>
      </c>
      <c r="L24228">
        <v>276</v>
      </c>
      <c r="M24228">
        <v>1</v>
      </c>
      <c r="N24228">
        <v>4.4670800000000002E-28</v>
      </c>
      <c r="O24228">
        <v>305</v>
      </c>
    </row>
    <row r="24229" spans="1:15" x14ac:dyDescent="0.25">
      <c r="A24229" t="s">
        <v>24242</v>
      </c>
      <c r="B24229">
        <v>155</v>
      </c>
      <c r="C24229" s="1" t="str">
        <f>HYPERLINK("http://www.rosaceae.org/gb/gbrowse/malus_x_domestica/?name=MDP0000843803","MDP0000843803")</f>
        <v>MDP0000843803</v>
      </c>
      <c r="D24229">
        <v>44.08</v>
      </c>
      <c r="E24229">
        <v>93</v>
      </c>
      <c r="F24229">
        <v>52</v>
      </c>
      <c r="G24229">
        <v>15</v>
      </c>
      <c r="H24229">
        <v>2</v>
      </c>
      <c r="I24229">
        <v>80</v>
      </c>
      <c r="J24229">
        <v>1</v>
      </c>
      <c r="K24229">
        <v>434</v>
      </c>
      <c r="L24229">
        <v>525</v>
      </c>
      <c r="M24229">
        <v>1</v>
      </c>
      <c r="N24229">
        <v>1.8723100000000001E-12</v>
      </c>
      <c r="O24229">
        <v>167</v>
      </c>
    </row>
    <row r="24230" spans="1:15" x14ac:dyDescent="0.25">
      <c r="A24230" t="s">
        <v>24243</v>
      </c>
      <c r="B24230">
        <v>648</v>
      </c>
      <c r="C24230" s="1" t="str">
        <f>HYPERLINK("http://www.rosaceae.org/gb/gbrowse/malus_x_domestica/?name=MDP0000791555","MDP0000791555")</f>
        <v>MDP0000791555</v>
      </c>
      <c r="D24230">
        <v>68.98</v>
      </c>
      <c r="E24230">
        <v>661</v>
      </c>
      <c r="F24230">
        <v>205</v>
      </c>
      <c r="G24230">
        <v>34</v>
      </c>
      <c r="H24230">
        <v>1</v>
      </c>
      <c r="I24230">
        <v>648</v>
      </c>
      <c r="J24230">
        <v>1</v>
      </c>
      <c r="K24230">
        <v>1</v>
      </c>
      <c r="L24230">
        <v>640</v>
      </c>
      <c r="M24230">
        <v>1</v>
      </c>
      <c r="N24230">
        <v>0</v>
      </c>
      <c r="O24230">
        <v>2360</v>
      </c>
    </row>
    <row r="24231" spans="1:15" x14ac:dyDescent="0.25">
      <c r="A24231" t="s">
        <v>24244</v>
      </c>
      <c r="B24231">
        <v>494</v>
      </c>
      <c r="C24231" s="1" t="str">
        <f>HYPERLINK("http://www.rosaceae.org/gb/gbrowse/malus_x_domestica/?name=MDP0000302965","MDP0000302965")</f>
        <v>MDP0000302965</v>
      </c>
      <c r="D24231">
        <v>45.66</v>
      </c>
      <c r="E24231">
        <v>519</v>
      </c>
      <c r="F24231">
        <v>282</v>
      </c>
      <c r="G24231">
        <v>61</v>
      </c>
      <c r="H24231">
        <v>1</v>
      </c>
      <c r="I24231">
        <v>482</v>
      </c>
      <c r="J24231">
        <v>1</v>
      </c>
      <c r="K24231">
        <v>1</v>
      </c>
      <c r="L24231">
        <v>495</v>
      </c>
      <c r="M24231">
        <v>1</v>
      </c>
      <c r="N24231">
        <v>2.3335899999999999E-97</v>
      </c>
      <c r="O24231">
        <v>906</v>
      </c>
    </row>
    <row r="24232" spans="1:15" x14ac:dyDescent="0.25">
      <c r="A24232" t="s">
        <v>24245</v>
      </c>
      <c r="B24232">
        <v>319</v>
      </c>
      <c r="C24232" s="1" t="str">
        <f>HYPERLINK("http://www.rosaceae.org/gb/gbrowse/malus_x_domestica/?name=MDP0000819897","MDP0000819897")</f>
        <v>MDP0000819897</v>
      </c>
      <c r="D24232">
        <v>76.11</v>
      </c>
      <c r="E24232">
        <v>314</v>
      </c>
      <c r="F24232">
        <v>75</v>
      </c>
      <c r="G24232">
        <v>2</v>
      </c>
      <c r="H24232">
        <v>3</v>
      </c>
      <c r="I24232">
        <v>315</v>
      </c>
      <c r="J24232">
        <v>1</v>
      </c>
      <c r="K24232">
        <v>19</v>
      </c>
      <c r="L24232">
        <v>331</v>
      </c>
      <c r="M24232">
        <v>1</v>
      </c>
      <c r="N24232">
        <v>1.30313E-140</v>
      </c>
      <c r="O24232">
        <v>1277</v>
      </c>
    </row>
    <row r="24233" spans="1:15" x14ac:dyDescent="0.25">
      <c r="A24233" t="s">
        <v>24246</v>
      </c>
      <c r="B24233">
        <v>853</v>
      </c>
      <c r="C24233" s="1" t="str">
        <f>HYPERLINK("http://www.rosaceae.org/gb/gbrowse/malus_x_domestica/?name=MDP0000210409","MDP0000210409")</f>
        <v>MDP0000210409</v>
      </c>
      <c r="D24233">
        <v>67.89</v>
      </c>
      <c r="E24233">
        <v>869</v>
      </c>
      <c r="F24233">
        <v>279</v>
      </c>
      <c r="G24233">
        <v>25</v>
      </c>
      <c r="H24233">
        <v>4</v>
      </c>
      <c r="I24233">
        <v>853</v>
      </c>
      <c r="J24233">
        <v>1</v>
      </c>
      <c r="K24233">
        <v>3</v>
      </c>
      <c r="L24233">
        <v>865</v>
      </c>
      <c r="M24233">
        <v>1</v>
      </c>
      <c r="N24233">
        <v>0</v>
      </c>
      <c r="O24233">
        <v>2964</v>
      </c>
    </row>
    <row r="24234" spans="1:15" x14ac:dyDescent="0.25">
      <c r="A24234" t="s">
        <v>24247</v>
      </c>
      <c r="B24234">
        <v>365</v>
      </c>
      <c r="C24234" s="1" t="str">
        <f>HYPERLINK("http://www.rosaceae.org/gb/gbrowse/malus_x_domestica/?name=MDP0000277027","MDP0000277027")</f>
        <v>MDP0000277027</v>
      </c>
      <c r="D24234">
        <v>58.47</v>
      </c>
      <c r="E24234">
        <v>236</v>
      </c>
      <c r="F24234">
        <v>98</v>
      </c>
      <c r="G24234">
        <v>30</v>
      </c>
      <c r="H24234">
        <v>118</v>
      </c>
      <c r="I24234">
        <v>348</v>
      </c>
      <c r="J24234">
        <v>1</v>
      </c>
      <c r="K24234">
        <v>102</v>
      </c>
      <c r="L24234">
        <v>312</v>
      </c>
      <c r="M24234">
        <v>1</v>
      </c>
      <c r="N24234">
        <v>9.5100399999999999E-57</v>
      </c>
      <c r="O24234">
        <v>554</v>
      </c>
    </row>
    <row r="24235" spans="1:15" x14ac:dyDescent="0.25">
      <c r="A24235" t="s">
        <v>24248</v>
      </c>
      <c r="B24235">
        <v>788</v>
      </c>
      <c r="C24235" s="1" t="str">
        <f>HYPERLINK("http://www.rosaceae.org/gb/gbrowse/malus_x_domestica/?name=MDP0000284187","MDP0000284187")</f>
        <v>MDP0000284187</v>
      </c>
      <c r="D24235">
        <v>63.5</v>
      </c>
      <c r="E24235">
        <v>485</v>
      </c>
      <c r="F24235">
        <v>177</v>
      </c>
      <c r="G24235">
        <v>2</v>
      </c>
      <c r="H24235">
        <v>306</v>
      </c>
      <c r="I24235">
        <v>788</v>
      </c>
      <c r="J24235">
        <v>1</v>
      </c>
      <c r="K24235">
        <v>4</v>
      </c>
      <c r="L24235">
        <v>488</v>
      </c>
      <c r="M24235">
        <v>1</v>
      </c>
      <c r="N24235">
        <v>2.3979000000000001E-175</v>
      </c>
      <c r="O24235">
        <v>1581</v>
      </c>
    </row>
    <row r="24236" spans="1:15" x14ac:dyDescent="0.25">
      <c r="A24236" t="s">
        <v>24249</v>
      </c>
      <c r="B24236">
        <v>99</v>
      </c>
      <c r="C24236" s="1" t="str">
        <f>HYPERLINK("http://www.rosaceae.org/gb/gbrowse/malus_x_domestica/?name=MDP0000267569","MDP0000267569")</f>
        <v>MDP0000267569</v>
      </c>
      <c r="D24236">
        <v>93.65</v>
      </c>
      <c r="E24236">
        <v>63</v>
      </c>
      <c r="F24236">
        <v>4</v>
      </c>
      <c r="G24236">
        <v>0</v>
      </c>
      <c r="H24236">
        <v>36</v>
      </c>
      <c r="I24236">
        <v>98</v>
      </c>
      <c r="J24236">
        <v>1</v>
      </c>
      <c r="K24236">
        <v>1</v>
      </c>
      <c r="L24236">
        <v>63</v>
      </c>
      <c r="M24236">
        <v>1</v>
      </c>
      <c r="N24236">
        <v>4.2401300000000001E-32</v>
      </c>
      <c r="O24236">
        <v>334</v>
      </c>
    </row>
    <row r="24237" spans="1:15" x14ac:dyDescent="0.25">
      <c r="A24237" t="s">
        <v>24250</v>
      </c>
      <c r="B24237">
        <v>325</v>
      </c>
      <c r="C24237" s="1" t="str">
        <f>HYPERLINK("http://www.rosaceae.org/gb/gbrowse/malus_x_domestica/?name=MDP0000189426","MDP0000189426")</f>
        <v>MDP0000189426</v>
      </c>
      <c r="D24237">
        <v>32.33</v>
      </c>
      <c r="E24237">
        <v>133</v>
      </c>
      <c r="F24237">
        <v>90</v>
      </c>
      <c r="G24237">
        <v>20</v>
      </c>
      <c r="H24237">
        <v>115</v>
      </c>
      <c r="I24237">
        <v>240</v>
      </c>
      <c r="J24237">
        <v>1</v>
      </c>
      <c r="K24237">
        <v>122</v>
      </c>
      <c r="L24237">
        <v>241</v>
      </c>
      <c r="M24237">
        <v>1</v>
      </c>
      <c r="N24237">
        <v>6.4018300000000003E-11</v>
      </c>
      <c r="O24237">
        <v>159</v>
      </c>
    </row>
    <row r="24238" spans="1:15" x14ac:dyDescent="0.25">
      <c r="A24238" t="s">
        <v>24251</v>
      </c>
      <c r="B24238">
        <v>1183</v>
      </c>
      <c r="C24238" s="1" t="str">
        <f>HYPERLINK("http://www.rosaceae.org/gb/gbrowse/malus_x_domestica/?name=MDP0000147872","MDP0000147872")</f>
        <v>MDP0000147872</v>
      </c>
      <c r="D24238">
        <v>53.82</v>
      </c>
      <c r="E24238">
        <v>1059</v>
      </c>
      <c r="F24238">
        <v>489</v>
      </c>
      <c r="G24238">
        <v>60</v>
      </c>
      <c r="H24238">
        <v>6</v>
      </c>
      <c r="I24238">
        <v>1037</v>
      </c>
      <c r="J24238">
        <v>1</v>
      </c>
      <c r="K24238">
        <v>50</v>
      </c>
      <c r="L24238">
        <v>1075</v>
      </c>
      <c r="M24238">
        <v>1</v>
      </c>
      <c r="N24238">
        <v>0</v>
      </c>
      <c r="O24238">
        <v>2582</v>
      </c>
    </row>
    <row r="24239" spans="1:15" x14ac:dyDescent="0.25">
      <c r="A24239" t="s">
        <v>24252</v>
      </c>
      <c r="B24239">
        <v>506</v>
      </c>
      <c r="C24239" s="1" t="str">
        <f>HYPERLINK("http://www.rosaceae.org/gb/gbrowse/malus_x_domestica/?name=MDP0000405883","MDP0000405883")</f>
        <v>MDP0000405883</v>
      </c>
      <c r="D24239">
        <v>37.39</v>
      </c>
      <c r="E24239">
        <v>460</v>
      </c>
      <c r="F24239">
        <v>288</v>
      </c>
      <c r="G24239">
        <v>35</v>
      </c>
      <c r="H24239">
        <v>4</v>
      </c>
      <c r="I24239">
        <v>454</v>
      </c>
      <c r="J24239">
        <v>1</v>
      </c>
      <c r="K24239">
        <v>5</v>
      </c>
      <c r="L24239">
        <v>438</v>
      </c>
      <c r="M24239">
        <v>1</v>
      </c>
      <c r="N24239">
        <v>5.1922099999999998E-63</v>
      </c>
      <c r="O24239">
        <v>610</v>
      </c>
    </row>
    <row r="24240" spans="1:15" x14ac:dyDescent="0.25">
      <c r="A24240" t="s">
        <v>24253</v>
      </c>
      <c r="B24240">
        <v>418</v>
      </c>
      <c r="C24240" s="1" t="str">
        <f>HYPERLINK("http://www.rosaceae.org/gb/gbrowse/malus_x_domestica/?name=MDP0000150000","MDP0000150000")</f>
        <v>MDP0000150000</v>
      </c>
      <c r="D24240">
        <v>28.65</v>
      </c>
      <c r="E24240">
        <v>335</v>
      </c>
      <c r="F24240">
        <v>239</v>
      </c>
      <c r="G24240">
        <v>64</v>
      </c>
      <c r="H24240">
        <v>1</v>
      </c>
      <c r="I24240">
        <v>281</v>
      </c>
      <c r="J24240">
        <v>1</v>
      </c>
      <c r="K24240">
        <v>1</v>
      </c>
      <c r="L24240">
        <v>325</v>
      </c>
      <c r="M24240">
        <v>1</v>
      </c>
      <c r="N24240">
        <v>6.9079999999999997E-20</v>
      </c>
      <c r="O24240">
        <v>237</v>
      </c>
    </row>
    <row r="24241" spans="1:15" x14ac:dyDescent="0.25">
      <c r="A24241" t="s">
        <v>24254</v>
      </c>
      <c r="B24241">
        <v>911</v>
      </c>
      <c r="C24241" s="1" t="str">
        <f>HYPERLINK("http://www.rosaceae.org/gb/gbrowse/malus_x_domestica/?name=MDP0000319130","MDP0000319130")</f>
        <v>MDP0000319130</v>
      </c>
      <c r="D24241">
        <v>65.19</v>
      </c>
      <c r="E24241">
        <v>747</v>
      </c>
      <c r="F24241">
        <v>260</v>
      </c>
      <c r="G24241">
        <v>36</v>
      </c>
      <c r="H24241">
        <v>184</v>
      </c>
      <c r="I24241">
        <v>911</v>
      </c>
      <c r="J24241">
        <v>1</v>
      </c>
      <c r="K24241">
        <v>183</v>
      </c>
      <c r="L24241">
        <v>912</v>
      </c>
      <c r="M24241">
        <v>1</v>
      </c>
      <c r="N24241">
        <v>0</v>
      </c>
      <c r="O24241">
        <v>2271</v>
      </c>
    </row>
    <row r="24242" spans="1:15" x14ac:dyDescent="0.25">
      <c r="A24242" t="s">
        <v>24255</v>
      </c>
      <c r="B24242">
        <v>258</v>
      </c>
      <c r="C24242" s="1" t="str">
        <f>HYPERLINK("http://www.rosaceae.org/gb/gbrowse/malus_x_domestica/?name=MDP0000163205","MDP0000163205")</f>
        <v>MDP0000163205</v>
      </c>
      <c r="D24242">
        <v>70.8</v>
      </c>
      <c r="E24242">
        <v>250</v>
      </c>
      <c r="F24242">
        <v>73</v>
      </c>
      <c r="G24242">
        <v>16</v>
      </c>
      <c r="H24242">
        <v>20</v>
      </c>
      <c r="I24242">
        <v>254</v>
      </c>
      <c r="J24242">
        <v>1</v>
      </c>
      <c r="K24242">
        <v>41</v>
      </c>
      <c r="L24242">
        <v>289</v>
      </c>
      <c r="M24242">
        <v>1</v>
      </c>
      <c r="N24242">
        <v>1.8479799999999999E-105</v>
      </c>
      <c r="O24242">
        <v>973</v>
      </c>
    </row>
    <row r="24243" spans="1:15" x14ac:dyDescent="0.25">
      <c r="A24243" t="s">
        <v>24256</v>
      </c>
      <c r="B24243">
        <v>432</v>
      </c>
      <c r="C24243" s="1" t="str">
        <f>HYPERLINK("http://www.rosaceae.org/gb/gbrowse/malus_x_domestica/?name=MDP0000286006","MDP0000286006")</f>
        <v>MDP0000286006</v>
      </c>
      <c r="D24243">
        <v>29.53</v>
      </c>
      <c r="E24243">
        <v>342</v>
      </c>
      <c r="F24243">
        <v>241</v>
      </c>
      <c r="G24243">
        <v>73</v>
      </c>
      <c r="H24243">
        <v>68</v>
      </c>
      <c r="I24243">
        <v>401</v>
      </c>
      <c r="J24243">
        <v>1</v>
      </c>
      <c r="K24243">
        <v>3</v>
      </c>
      <c r="L24243">
        <v>279</v>
      </c>
      <c r="M24243">
        <v>1</v>
      </c>
      <c r="N24243">
        <v>5.0361100000000003E-24</v>
      </c>
      <c r="O24243">
        <v>273</v>
      </c>
    </row>
    <row r="24244" spans="1:15" x14ac:dyDescent="0.25">
      <c r="A24244" t="s">
        <v>24257</v>
      </c>
      <c r="B24244">
        <v>510</v>
      </c>
      <c r="C24244" s="1" t="str">
        <f>HYPERLINK("http://www.rosaceae.org/gb/gbrowse/malus_x_domestica/?name=MDP0000241635","MDP0000241635")</f>
        <v>MDP0000241635</v>
      </c>
      <c r="D24244">
        <v>43.14</v>
      </c>
      <c r="E24244">
        <v>394</v>
      </c>
      <c r="F24244">
        <v>224</v>
      </c>
      <c r="G24244">
        <v>17</v>
      </c>
      <c r="H24244">
        <v>4</v>
      </c>
      <c r="I24244">
        <v>387</v>
      </c>
      <c r="J24244">
        <v>1</v>
      </c>
      <c r="K24244">
        <v>46</v>
      </c>
      <c r="L24244">
        <v>432</v>
      </c>
      <c r="M24244">
        <v>1</v>
      </c>
      <c r="N24244">
        <v>1.83854E-81</v>
      </c>
      <c r="O24244">
        <v>769</v>
      </c>
    </row>
    <row r="24245" spans="1:15" x14ac:dyDescent="0.25">
      <c r="A24245" t="s">
        <v>24258</v>
      </c>
      <c r="B24245">
        <v>307</v>
      </c>
      <c r="C24245" s="1" t="str">
        <f>HYPERLINK("http://www.rosaceae.org/gb/gbrowse/malus_x_domestica/?name=MDP0000181063","MDP0000181063")</f>
        <v>MDP0000181063</v>
      </c>
      <c r="D24245">
        <v>68.05</v>
      </c>
      <c r="E24245">
        <v>288</v>
      </c>
      <c r="F24245">
        <v>92</v>
      </c>
      <c r="G24245">
        <v>9</v>
      </c>
      <c r="H24245">
        <v>27</v>
      </c>
      <c r="I24245">
        <v>307</v>
      </c>
      <c r="J24245">
        <v>1</v>
      </c>
      <c r="K24245">
        <v>236</v>
      </c>
      <c r="L24245">
        <v>521</v>
      </c>
      <c r="M24245">
        <v>1</v>
      </c>
      <c r="N24245">
        <v>1.7676400000000001E-100</v>
      </c>
      <c r="O24245">
        <v>931</v>
      </c>
    </row>
    <row r="24246" spans="1:15" x14ac:dyDescent="0.25">
      <c r="A24246" t="s">
        <v>24259</v>
      </c>
      <c r="B24246">
        <v>893</v>
      </c>
      <c r="C24246" s="1" t="str">
        <f>HYPERLINK("http://www.rosaceae.org/gb/gbrowse/malus_x_domestica/?name=MDP0000149858","MDP0000149858")</f>
        <v>MDP0000149858</v>
      </c>
      <c r="D24246">
        <v>72.31</v>
      </c>
      <c r="E24246">
        <v>513</v>
      </c>
      <c r="F24246">
        <v>142</v>
      </c>
      <c r="G24246">
        <v>28</v>
      </c>
      <c r="H24246">
        <v>1</v>
      </c>
      <c r="I24246">
        <v>502</v>
      </c>
      <c r="J24246">
        <v>1</v>
      </c>
      <c r="K24246">
        <v>46</v>
      </c>
      <c r="L24246">
        <v>541</v>
      </c>
      <c r="M24246">
        <v>1</v>
      </c>
      <c r="N24246">
        <v>0</v>
      </c>
      <c r="O24246">
        <v>1911</v>
      </c>
    </row>
    <row r="24247" spans="1:15" x14ac:dyDescent="0.25">
      <c r="A24247" t="s">
        <v>24260</v>
      </c>
      <c r="B24247">
        <v>224</v>
      </c>
      <c r="C24247" s="1" t="str">
        <f>HYPERLINK("http://www.rosaceae.org/gb/gbrowse/malus_x_domestica/?name=MDP0000527190","MDP0000527190")</f>
        <v>MDP0000527190</v>
      </c>
      <c r="D24247">
        <v>48.19</v>
      </c>
      <c r="E24247">
        <v>249</v>
      </c>
      <c r="F24247">
        <v>129</v>
      </c>
      <c r="G24247">
        <v>47</v>
      </c>
      <c r="H24247">
        <v>1</v>
      </c>
      <c r="I24247">
        <v>223</v>
      </c>
      <c r="J24247">
        <v>1</v>
      </c>
      <c r="K24247">
        <v>2</v>
      </c>
      <c r="L24247">
        <v>229</v>
      </c>
      <c r="M24247">
        <v>1</v>
      </c>
      <c r="N24247">
        <v>1.63487E-43</v>
      </c>
      <c r="O24247">
        <v>438</v>
      </c>
    </row>
    <row r="24248" spans="1:15" x14ac:dyDescent="0.25">
      <c r="A24248" t="s">
        <v>24261</v>
      </c>
      <c r="B24248">
        <v>866</v>
      </c>
      <c r="C24248" s="1" t="str">
        <f>HYPERLINK("http://www.rosaceae.org/gb/gbrowse/malus_x_domestica/?name=MDP0000157225","MDP0000157225")</f>
        <v>MDP0000157225</v>
      </c>
      <c r="D24248">
        <v>51.07</v>
      </c>
      <c r="E24248">
        <v>836</v>
      </c>
      <c r="F24248">
        <v>409</v>
      </c>
      <c r="G24248">
        <v>51</v>
      </c>
      <c r="H24248">
        <v>15</v>
      </c>
      <c r="I24248">
        <v>840</v>
      </c>
      <c r="J24248">
        <v>1</v>
      </c>
      <c r="K24248">
        <v>9</v>
      </c>
      <c r="L24248">
        <v>803</v>
      </c>
      <c r="M24248">
        <v>1</v>
      </c>
      <c r="N24248">
        <v>0</v>
      </c>
      <c r="O24248">
        <v>1947</v>
      </c>
    </row>
    <row r="24249" spans="1:15" x14ac:dyDescent="0.25">
      <c r="A24249" t="s">
        <v>24262</v>
      </c>
      <c r="B24249">
        <v>381</v>
      </c>
      <c r="C24249" s="1" t="str">
        <f>HYPERLINK("http://www.rosaceae.org/gb/gbrowse/malus_x_domestica/?name=MDP0000267409","MDP0000267409")</f>
        <v>MDP0000267409</v>
      </c>
      <c r="D24249">
        <v>29.41</v>
      </c>
      <c r="E24249">
        <v>476</v>
      </c>
      <c r="F24249">
        <v>336</v>
      </c>
      <c r="G24249">
        <v>128</v>
      </c>
      <c r="H24249">
        <v>13</v>
      </c>
      <c r="I24249">
        <v>379</v>
      </c>
      <c r="J24249">
        <v>1</v>
      </c>
      <c r="K24249">
        <v>541</v>
      </c>
      <c r="L24249">
        <v>997</v>
      </c>
      <c r="M24249">
        <v>1</v>
      </c>
      <c r="N24249">
        <v>1.31437E-38</v>
      </c>
      <c r="O24249">
        <v>398</v>
      </c>
    </row>
    <row r="24250" spans="1:15" x14ac:dyDescent="0.25">
      <c r="A24250" t="s">
        <v>24263</v>
      </c>
      <c r="B24250">
        <v>386</v>
      </c>
      <c r="C24250" s="1" t="str">
        <f>HYPERLINK("http://www.rosaceae.org/gb/gbrowse/malus_x_domestica/?name=MDP0000313843","MDP0000313843")</f>
        <v>MDP0000313843</v>
      </c>
      <c r="D24250">
        <v>86.4</v>
      </c>
      <c r="E24250">
        <v>331</v>
      </c>
      <c r="F24250">
        <v>45</v>
      </c>
      <c r="G24250">
        <v>4</v>
      </c>
      <c r="H24250">
        <v>28</v>
      </c>
      <c r="I24250">
        <v>358</v>
      </c>
      <c r="J24250">
        <v>1</v>
      </c>
      <c r="K24250">
        <v>24</v>
      </c>
      <c r="L24250">
        <v>350</v>
      </c>
      <c r="M24250">
        <v>1</v>
      </c>
      <c r="N24250">
        <v>1.7669199999999999E-173</v>
      </c>
      <c r="O24250">
        <v>1561</v>
      </c>
    </row>
    <row r="24251" spans="1:15" x14ac:dyDescent="0.25">
      <c r="A24251" t="s">
        <v>24264</v>
      </c>
      <c r="B24251">
        <v>165</v>
      </c>
      <c r="C24251" s="1" t="str">
        <f>HYPERLINK("http://www.rosaceae.org/gb/gbrowse/malus_x_domestica/?name=MDP0000308312","MDP0000308312")</f>
        <v>MDP0000308312</v>
      </c>
      <c r="D24251">
        <v>52.17</v>
      </c>
      <c r="E24251">
        <v>46</v>
      </c>
      <c r="F24251">
        <v>22</v>
      </c>
      <c r="G24251">
        <v>0</v>
      </c>
      <c r="H24251">
        <v>73</v>
      </c>
      <c r="I24251">
        <v>118</v>
      </c>
      <c r="J24251">
        <v>1</v>
      </c>
      <c r="K24251">
        <v>259</v>
      </c>
      <c r="L24251">
        <v>304</v>
      </c>
      <c r="M24251">
        <v>1</v>
      </c>
      <c r="N24251">
        <v>1.21788E-8</v>
      </c>
      <c r="O24251">
        <v>135</v>
      </c>
    </row>
    <row r="24252" spans="1:15" x14ac:dyDescent="0.25">
      <c r="A24252" t="s">
        <v>24265</v>
      </c>
      <c r="B24252">
        <v>686</v>
      </c>
      <c r="C24252" s="1" t="str">
        <f>HYPERLINK("http://www.rosaceae.org/gb/gbrowse/malus_x_domestica/?name=MDP0000228792","MDP0000228792")</f>
        <v>MDP0000228792</v>
      </c>
      <c r="D24252">
        <v>71.98</v>
      </c>
      <c r="E24252">
        <v>621</v>
      </c>
      <c r="F24252">
        <v>174</v>
      </c>
      <c r="G24252">
        <v>18</v>
      </c>
      <c r="H24252">
        <v>72</v>
      </c>
      <c r="I24252">
        <v>686</v>
      </c>
      <c r="J24252">
        <v>1</v>
      </c>
      <c r="K24252">
        <v>1</v>
      </c>
      <c r="L24252">
        <v>609</v>
      </c>
      <c r="M24252">
        <v>1</v>
      </c>
      <c r="N24252">
        <v>0</v>
      </c>
      <c r="O24252">
        <v>2215</v>
      </c>
    </row>
    <row r="24253" spans="1:15" x14ac:dyDescent="0.25">
      <c r="A24253" t="s">
        <v>24266</v>
      </c>
      <c r="B24253">
        <v>159</v>
      </c>
      <c r="C24253" s="1" t="str">
        <f>HYPERLINK("http://www.rosaceae.org/gb/gbrowse/malus_x_domestica/?name=MDP0000247921","MDP0000247921")</f>
        <v>MDP0000247921</v>
      </c>
      <c r="D24253">
        <v>47.05</v>
      </c>
      <c r="E24253">
        <v>51</v>
      </c>
      <c r="F24253">
        <v>27</v>
      </c>
      <c r="G24253">
        <v>0</v>
      </c>
      <c r="H24253">
        <v>8</v>
      </c>
      <c r="I24253">
        <v>58</v>
      </c>
      <c r="J24253">
        <v>1</v>
      </c>
      <c r="K24253">
        <v>563</v>
      </c>
      <c r="L24253">
        <v>613</v>
      </c>
      <c r="M24253">
        <v>1</v>
      </c>
      <c r="N24253">
        <v>7.7904900000000003E-8</v>
      </c>
      <c r="O24253">
        <v>127</v>
      </c>
    </row>
    <row r="24254" spans="1:15" x14ac:dyDescent="0.25">
      <c r="A24254" t="s">
        <v>24267</v>
      </c>
      <c r="B24254">
        <v>136</v>
      </c>
      <c r="C24254" s="1" t="str">
        <f>HYPERLINK("http://www.rosaceae.org/gb/gbrowse/malus_x_domestica/?name=MDP0000132070","MDP0000132070")</f>
        <v>MDP0000132070</v>
      </c>
      <c r="D24254">
        <v>85.29</v>
      </c>
      <c r="E24254">
        <v>136</v>
      </c>
      <c r="F24254">
        <v>20</v>
      </c>
      <c r="G24254">
        <v>0</v>
      </c>
      <c r="H24254">
        <v>1</v>
      </c>
      <c r="I24254">
        <v>136</v>
      </c>
      <c r="J24254">
        <v>1</v>
      </c>
      <c r="K24254">
        <v>158</v>
      </c>
      <c r="L24254">
        <v>293</v>
      </c>
      <c r="M24254">
        <v>1</v>
      </c>
      <c r="N24254">
        <v>9.2415400000000001E-63</v>
      </c>
      <c r="O24254">
        <v>600</v>
      </c>
    </row>
    <row r="24255" spans="1:15" x14ac:dyDescent="0.25">
      <c r="A24255" t="s">
        <v>24268</v>
      </c>
      <c r="B24255">
        <v>352</v>
      </c>
      <c r="C24255" s="1" t="str">
        <f>HYPERLINK("http://www.rosaceae.org/gb/gbrowse/malus_x_domestica/?name=MDP0000206034","MDP0000206034")</f>
        <v>MDP0000206034</v>
      </c>
      <c r="D24255">
        <v>75</v>
      </c>
      <c r="E24255">
        <v>324</v>
      </c>
      <c r="F24255">
        <v>81</v>
      </c>
      <c r="G24255">
        <v>14</v>
      </c>
      <c r="H24255">
        <v>39</v>
      </c>
      <c r="I24255">
        <v>351</v>
      </c>
      <c r="J24255">
        <v>1</v>
      </c>
      <c r="K24255">
        <v>1</v>
      </c>
      <c r="L24255">
        <v>321</v>
      </c>
      <c r="M24255">
        <v>1</v>
      </c>
      <c r="N24255">
        <v>9.20622E-134</v>
      </c>
      <c r="O24255">
        <v>1218</v>
      </c>
    </row>
    <row r="24256" spans="1:15" x14ac:dyDescent="0.25">
      <c r="A24256" t="s">
        <v>24269</v>
      </c>
      <c r="B24256">
        <v>439</v>
      </c>
      <c r="C24256" s="1" t="str">
        <f>HYPERLINK("http://www.rosaceae.org/gb/gbrowse/malus_x_domestica/?name=MDP0000240925","MDP0000240925")</f>
        <v>MDP0000240925</v>
      </c>
      <c r="D24256">
        <v>49.89</v>
      </c>
      <c r="E24256">
        <v>457</v>
      </c>
      <c r="F24256">
        <v>229</v>
      </c>
      <c r="G24256">
        <v>37</v>
      </c>
      <c r="H24256">
        <v>1</v>
      </c>
      <c r="I24256">
        <v>433</v>
      </c>
      <c r="J24256">
        <v>1</v>
      </c>
      <c r="K24256">
        <v>7</v>
      </c>
      <c r="L24256">
        <v>450</v>
      </c>
      <c r="M24256">
        <v>1</v>
      </c>
      <c r="N24256">
        <v>1.75201E-113</v>
      </c>
      <c r="O24256">
        <v>1045</v>
      </c>
    </row>
    <row r="24257" spans="1:15" x14ac:dyDescent="0.25">
      <c r="A24257" t="s">
        <v>24270</v>
      </c>
      <c r="B24257">
        <v>487</v>
      </c>
      <c r="C24257" s="1" t="str">
        <f>HYPERLINK("http://www.rosaceae.org/gb/gbrowse/malus_x_domestica/?name=MDP0000679736","MDP0000679736")</f>
        <v>MDP0000679736</v>
      </c>
      <c r="D24257">
        <v>82.3</v>
      </c>
      <c r="E24257">
        <v>486</v>
      </c>
      <c r="F24257">
        <v>86</v>
      </c>
      <c r="G24257">
        <v>1</v>
      </c>
      <c r="H24257">
        <v>1</v>
      </c>
      <c r="I24257">
        <v>486</v>
      </c>
      <c r="J24257">
        <v>1</v>
      </c>
      <c r="K24257">
        <v>4</v>
      </c>
      <c r="L24257">
        <v>488</v>
      </c>
      <c r="M24257">
        <v>1</v>
      </c>
      <c r="N24257">
        <v>0</v>
      </c>
      <c r="O24257">
        <v>2153</v>
      </c>
    </row>
    <row r="24258" spans="1:15" x14ac:dyDescent="0.25">
      <c r="A24258" t="s">
        <v>24271</v>
      </c>
      <c r="B24258">
        <v>109</v>
      </c>
      <c r="C24258" s="1" t="str">
        <f>HYPERLINK("http://www.rosaceae.org/gb/gbrowse/malus_x_domestica/?name=MDP0000872143","MDP0000872143")</f>
        <v>MDP0000872143</v>
      </c>
      <c r="D24258">
        <v>70.94</v>
      </c>
      <c r="E24258">
        <v>117</v>
      </c>
      <c r="F24258">
        <v>34</v>
      </c>
      <c r="G24258">
        <v>8</v>
      </c>
      <c r="H24258">
        <v>1</v>
      </c>
      <c r="I24258">
        <v>109</v>
      </c>
      <c r="J24258">
        <v>1</v>
      </c>
      <c r="K24258">
        <v>1</v>
      </c>
      <c r="L24258">
        <v>117</v>
      </c>
      <c r="M24258">
        <v>1</v>
      </c>
      <c r="N24258">
        <v>1.6541199999999999E-36</v>
      </c>
      <c r="O24258">
        <v>372</v>
      </c>
    </row>
    <row r="24259" spans="1:15" x14ac:dyDescent="0.25">
      <c r="A24259" t="s">
        <v>24272</v>
      </c>
      <c r="B24259">
        <v>446</v>
      </c>
      <c r="C24259" s="1" t="str">
        <f>HYPERLINK("http://www.rosaceae.org/gb/gbrowse/malus_x_domestica/?name=MDP0000934414","MDP0000934414")</f>
        <v>MDP0000934414</v>
      </c>
      <c r="D24259">
        <v>78.44</v>
      </c>
      <c r="E24259">
        <v>450</v>
      </c>
      <c r="F24259">
        <v>97</v>
      </c>
      <c r="G24259">
        <v>8</v>
      </c>
      <c r="H24259">
        <v>1</v>
      </c>
      <c r="I24259">
        <v>446</v>
      </c>
      <c r="J24259">
        <v>1</v>
      </c>
      <c r="K24259">
        <v>1</v>
      </c>
      <c r="L24259">
        <v>446</v>
      </c>
      <c r="M24259">
        <v>1</v>
      </c>
      <c r="N24259">
        <v>0</v>
      </c>
      <c r="O24259">
        <v>1808</v>
      </c>
    </row>
    <row r="24260" spans="1:15" x14ac:dyDescent="0.25">
      <c r="A24260" t="s">
        <v>24273</v>
      </c>
      <c r="B24260">
        <v>196</v>
      </c>
      <c r="C24260" s="1" t="str">
        <f>HYPERLINK("http://www.rosaceae.org/gb/gbrowse/malus_x_domestica/?name=MDP0000251415","MDP0000251415")</f>
        <v>MDP0000251415</v>
      </c>
      <c r="D24260">
        <v>86.11</v>
      </c>
      <c r="E24260">
        <v>180</v>
      </c>
      <c r="F24260">
        <v>25</v>
      </c>
      <c r="G24260">
        <v>4</v>
      </c>
      <c r="H24260">
        <v>19</v>
      </c>
      <c r="I24260">
        <v>196</v>
      </c>
      <c r="J24260">
        <v>1</v>
      </c>
      <c r="K24260">
        <v>555</v>
      </c>
      <c r="L24260">
        <v>732</v>
      </c>
      <c r="M24260">
        <v>1</v>
      </c>
      <c r="N24260">
        <v>5.1398699999999999E-83</v>
      </c>
      <c r="O24260">
        <v>777</v>
      </c>
    </row>
    <row r="24261" spans="1:15" x14ac:dyDescent="0.25">
      <c r="A24261" t="s">
        <v>24274</v>
      </c>
      <c r="B24261">
        <v>720</v>
      </c>
      <c r="C24261" s="1" t="str">
        <f>HYPERLINK("http://www.rosaceae.org/gb/gbrowse/malus_x_domestica/?name=MDP0000181506","MDP0000181506")</f>
        <v>MDP0000181506</v>
      </c>
      <c r="D24261">
        <v>65.150000000000006</v>
      </c>
      <c r="E24261">
        <v>376</v>
      </c>
      <c r="F24261">
        <v>131</v>
      </c>
      <c r="G24261">
        <v>6</v>
      </c>
      <c r="H24261">
        <v>290</v>
      </c>
      <c r="I24261">
        <v>663</v>
      </c>
      <c r="J24261">
        <v>1</v>
      </c>
      <c r="K24261">
        <v>14</v>
      </c>
      <c r="L24261">
        <v>385</v>
      </c>
      <c r="M24261">
        <v>1</v>
      </c>
      <c r="N24261">
        <v>1.0892500000000001E-143</v>
      </c>
      <c r="O24261">
        <v>1307</v>
      </c>
    </row>
    <row r="24262" spans="1:15" x14ac:dyDescent="0.25">
      <c r="A24262" t="s">
        <v>24275</v>
      </c>
      <c r="B24262">
        <v>340</v>
      </c>
      <c r="C24262" s="1" t="str">
        <f>HYPERLINK("http://www.rosaceae.org/gb/gbrowse/malus_x_domestica/?name=MDP0000242529","MDP0000242529")</f>
        <v>MDP0000242529</v>
      </c>
      <c r="D24262">
        <v>70.63</v>
      </c>
      <c r="E24262">
        <v>235</v>
      </c>
      <c r="F24262">
        <v>69</v>
      </c>
      <c r="G24262">
        <v>5</v>
      </c>
      <c r="H24262">
        <v>97</v>
      </c>
      <c r="I24262">
        <v>327</v>
      </c>
      <c r="J24262">
        <v>1</v>
      </c>
      <c r="K24262">
        <v>522</v>
      </c>
      <c r="L24262">
        <v>755</v>
      </c>
      <c r="M24262">
        <v>1</v>
      </c>
      <c r="N24262">
        <v>7.5029299999999998E-93</v>
      </c>
      <c r="O24262">
        <v>865</v>
      </c>
    </row>
    <row r="24263" spans="1:15" x14ac:dyDescent="0.25">
      <c r="A24263" t="s">
        <v>24276</v>
      </c>
      <c r="B24263">
        <v>251</v>
      </c>
      <c r="C24263" s="1" t="str">
        <f>HYPERLINK("http://www.rosaceae.org/gb/gbrowse/malus_x_domestica/?name=MDP0000327004","MDP0000327004")</f>
        <v>MDP0000327004</v>
      </c>
      <c r="D24263">
        <v>77.98</v>
      </c>
      <c r="E24263">
        <v>109</v>
      </c>
      <c r="F24263">
        <v>24</v>
      </c>
      <c r="G24263">
        <v>0</v>
      </c>
      <c r="H24263">
        <v>143</v>
      </c>
      <c r="I24263">
        <v>251</v>
      </c>
      <c r="J24263">
        <v>1</v>
      </c>
      <c r="K24263">
        <v>24</v>
      </c>
      <c r="L24263">
        <v>132</v>
      </c>
      <c r="M24263">
        <v>1</v>
      </c>
      <c r="N24263">
        <v>3.7149399999999999E-43</v>
      </c>
      <c r="O24263">
        <v>435</v>
      </c>
    </row>
    <row r="24264" spans="1:15" x14ac:dyDescent="0.25">
      <c r="A24264" t="s">
        <v>24277</v>
      </c>
      <c r="B24264">
        <v>1129</v>
      </c>
      <c r="C24264" s="1" t="str">
        <f>HYPERLINK("http://www.rosaceae.org/gb/gbrowse/malus_x_domestica/?name=MDP0000263165","MDP0000263165")</f>
        <v>MDP0000263165</v>
      </c>
      <c r="D24264">
        <v>66.400000000000006</v>
      </c>
      <c r="E24264">
        <v>1012</v>
      </c>
      <c r="F24264">
        <v>340</v>
      </c>
      <c r="G24264">
        <v>19</v>
      </c>
      <c r="H24264">
        <v>1</v>
      </c>
      <c r="I24264">
        <v>994</v>
      </c>
      <c r="J24264">
        <v>1</v>
      </c>
      <c r="K24264">
        <v>1</v>
      </c>
      <c r="L24264">
        <v>1011</v>
      </c>
      <c r="M24264">
        <v>1</v>
      </c>
      <c r="N24264">
        <v>0</v>
      </c>
      <c r="O24264">
        <v>3384</v>
      </c>
    </row>
    <row r="24265" spans="1:15" x14ac:dyDescent="0.25">
      <c r="A24265" t="s">
        <v>24278</v>
      </c>
      <c r="B24265">
        <v>166</v>
      </c>
      <c r="C24265" s="1" t="str">
        <f>HYPERLINK("http://www.rosaceae.org/gb/gbrowse/malus_x_domestica/?name=MDP0000225392","MDP0000225392")</f>
        <v>MDP0000225392</v>
      </c>
      <c r="D24265">
        <v>82.11</v>
      </c>
      <c r="E24265">
        <v>123</v>
      </c>
      <c r="F24265">
        <v>22</v>
      </c>
      <c r="G24265">
        <v>1</v>
      </c>
      <c r="H24265">
        <v>24</v>
      </c>
      <c r="I24265">
        <v>146</v>
      </c>
      <c r="J24265">
        <v>1</v>
      </c>
      <c r="K24265">
        <v>30</v>
      </c>
      <c r="L24265">
        <v>151</v>
      </c>
      <c r="M24265">
        <v>1</v>
      </c>
      <c r="N24265">
        <v>9.7268199999999999E-57</v>
      </c>
      <c r="O24265">
        <v>549</v>
      </c>
    </row>
    <row r="24266" spans="1:15" x14ac:dyDescent="0.25">
      <c r="A24266" t="s">
        <v>24279</v>
      </c>
      <c r="B24266">
        <v>286</v>
      </c>
      <c r="C24266" s="1" t="str">
        <f>HYPERLINK("http://www.rosaceae.org/gb/gbrowse/malus_x_domestica/?name=MDP0000309331","MDP0000309331")</f>
        <v>MDP0000309331</v>
      </c>
      <c r="D24266">
        <v>55.84</v>
      </c>
      <c r="E24266">
        <v>265</v>
      </c>
      <c r="F24266">
        <v>117</v>
      </c>
      <c r="G24266">
        <v>17</v>
      </c>
      <c r="H24266">
        <v>2</v>
      </c>
      <c r="I24266">
        <v>253</v>
      </c>
      <c r="J24266">
        <v>1</v>
      </c>
      <c r="K24266">
        <v>1</v>
      </c>
      <c r="L24266">
        <v>261</v>
      </c>
      <c r="M24266">
        <v>1</v>
      </c>
      <c r="N24266">
        <v>1.4011700000000001E-69</v>
      </c>
      <c r="O24266">
        <v>664</v>
      </c>
    </row>
    <row r="24267" spans="1:15" x14ac:dyDescent="0.25">
      <c r="A24267" t="s">
        <v>24280</v>
      </c>
      <c r="B24267">
        <v>182</v>
      </c>
      <c r="C24267" s="1" t="str">
        <f>HYPERLINK("http://www.rosaceae.org/gb/gbrowse/malus_x_domestica/?name=MDP0000465174","MDP0000465174")</f>
        <v>MDP0000465174</v>
      </c>
      <c r="D24267">
        <v>66.010000000000005</v>
      </c>
      <c r="E24267">
        <v>153</v>
      </c>
      <c r="F24267">
        <v>52</v>
      </c>
      <c r="G24267">
        <v>0</v>
      </c>
      <c r="H24267">
        <v>15</v>
      </c>
      <c r="I24267">
        <v>167</v>
      </c>
      <c r="J24267">
        <v>1</v>
      </c>
      <c r="K24267">
        <v>14</v>
      </c>
      <c r="L24267">
        <v>166</v>
      </c>
      <c r="M24267">
        <v>1</v>
      </c>
      <c r="N24267">
        <v>1.4377600000000001E-56</v>
      </c>
      <c r="O24267">
        <v>549</v>
      </c>
    </row>
    <row r="24268" spans="1:15" x14ac:dyDescent="0.25">
      <c r="A24268" t="s">
        <v>24281</v>
      </c>
      <c r="B24268">
        <v>185</v>
      </c>
      <c r="C24268" s="1" t="str">
        <f>HYPERLINK("http://www.rosaceae.org/gb/gbrowse/malus_x_domestica/?name=MDP0000343042","MDP0000343042")</f>
        <v>MDP0000343042</v>
      </c>
      <c r="D24268">
        <v>62.7</v>
      </c>
      <c r="E24268">
        <v>185</v>
      </c>
      <c r="F24268">
        <v>69</v>
      </c>
      <c r="G24268">
        <v>0</v>
      </c>
      <c r="H24268">
        <v>1</v>
      </c>
      <c r="I24268">
        <v>185</v>
      </c>
      <c r="J24268">
        <v>1</v>
      </c>
      <c r="K24268">
        <v>1</v>
      </c>
      <c r="L24268">
        <v>185</v>
      </c>
      <c r="M24268">
        <v>1</v>
      </c>
      <c r="N24268">
        <v>1.53501E-65</v>
      </c>
      <c r="O24268">
        <v>626</v>
      </c>
    </row>
    <row r="24269" spans="1:15" x14ac:dyDescent="0.25">
      <c r="A24269" t="s">
        <v>24282</v>
      </c>
      <c r="B24269">
        <v>334</v>
      </c>
      <c r="C24269" s="1" t="str">
        <f>HYPERLINK("http://www.rosaceae.org/gb/gbrowse/malus_x_domestica/?name=MDP0000743202","MDP0000743202")</f>
        <v>MDP0000743202</v>
      </c>
      <c r="D24269">
        <v>79.47</v>
      </c>
      <c r="E24269">
        <v>302</v>
      </c>
      <c r="F24269">
        <v>62</v>
      </c>
      <c r="G24269">
        <v>4</v>
      </c>
      <c r="H24269">
        <v>30</v>
      </c>
      <c r="I24269">
        <v>327</v>
      </c>
      <c r="J24269">
        <v>1</v>
      </c>
      <c r="K24269">
        <v>147</v>
      </c>
      <c r="L24269">
        <v>448</v>
      </c>
      <c r="M24269">
        <v>1</v>
      </c>
      <c r="N24269">
        <v>2.36083E-136</v>
      </c>
      <c r="O24269">
        <v>1240</v>
      </c>
    </row>
    <row r="24270" spans="1:15" x14ac:dyDescent="0.25">
      <c r="A24270" t="s">
        <v>24283</v>
      </c>
      <c r="B24270">
        <v>235</v>
      </c>
      <c r="C24270" s="1" t="str">
        <f>HYPERLINK("http://www.rosaceae.org/gb/gbrowse/malus_x_domestica/?name=MDP0000209705","MDP0000209705")</f>
        <v>MDP0000209705</v>
      </c>
      <c r="D24270">
        <v>47.75</v>
      </c>
      <c r="E24270">
        <v>178</v>
      </c>
      <c r="F24270">
        <v>93</v>
      </c>
      <c r="G24270">
        <v>6</v>
      </c>
      <c r="H24270">
        <v>3</v>
      </c>
      <c r="I24270">
        <v>175</v>
      </c>
      <c r="J24270">
        <v>1</v>
      </c>
      <c r="K24270">
        <v>5</v>
      </c>
      <c r="L24270">
        <v>181</v>
      </c>
      <c r="M24270">
        <v>1</v>
      </c>
      <c r="N24270">
        <v>2.6172099999999999E-37</v>
      </c>
      <c r="O24270">
        <v>384</v>
      </c>
    </row>
    <row r="24271" spans="1:15" x14ac:dyDescent="0.25">
      <c r="A24271" t="s">
        <v>24284</v>
      </c>
      <c r="B24271">
        <v>413</v>
      </c>
      <c r="C24271" s="1" t="str">
        <f>HYPERLINK("http://www.rosaceae.org/gb/gbrowse/malus_x_domestica/?name=MDP0000176078","MDP0000176078")</f>
        <v>MDP0000176078</v>
      </c>
      <c r="D24271">
        <v>69.89</v>
      </c>
      <c r="E24271">
        <v>196</v>
      </c>
      <c r="F24271">
        <v>59</v>
      </c>
      <c r="G24271">
        <v>2</v>
      </c>
      <c r="H24271">
        <v>220</v>
      </c>
      <c r="I24271">
        <v>413</v>
      </c>
      <c r="J24271">
        <v>1</v>
      </c>
      <c r="K24271">
        <v>225</v>
      </c>
      <c r="L24271">
        <v>420</v>
      </c>
      <c r="M24271">
        <v>1</v>
      </c>
      <c r="N24271">
        <v>2.0340600000000001E-66</v>
      </c>
      <c r="O24271">
        <v>638</v>
      </c>
    </row>
    <row r="24272" spans="1:15" x14ac:dyDescent="0.25">
      <c r="A24272" t="s">
        <v>24285</v>
      </c>
      <c r="B24272">
        <v>802</v>
      </c>
      <c r="C24272" s="1" t="str">
        <f>HYPERLINK("http://www.rosaceae.org/gb/gbrowse/malus_x_domestica/?name=MDP0000250194","MDP0000250194")</f>
        <v>MDP0000250194</v>
      </c>
      <c r="D24272">
        <v>70.66</v>
      </c>
      <c r="E24272">
        <v>658</v>
      </c>
      <c r="F24272">
        <v>193</v>
      </c>
      <c r="G24272">
        <v>34</v>
      </c>
      <c r="H24272">
        <v>169</v>
      </c>
      <c r="I24272">
        <v>802</v>
      </c>
      <c r="J24272">
        <v>1</v>
      </c>
      <c r="K24272">
        <v>98</v>
      </c>
      <c r="L24272">
        <v>745</v>
      </c>
      <c r="M24272">
        <v>1</v>
      </c>
      <c r="N24272">
        <v>0</v>
      </c>
      <c r="O24272">
        <v>2260</v>
      </c>
    </row>
    <row r="24273" spans="1:15" x14ac:dyDescent="0.25">
      <c r="A24273" t="s">
        <v>24286</v>
      </c>
      <c r="B24273">
        <v>343</v>
      </c>
      <c r="C24273" s="1" t="str">
        <f>HYPERLINK("http://www.rosaceae.org/gb/gbrowse/malus_x_domestica/?name=MDP0000129126","MDP0000129126")</f>
        <v>MDP0000129126</v>
      </c>
      <c r="D24273">
        <v>77.95</v>
      </c>
      <c r="E24273">
        <v>313</v>
      </c>
      <c r="F24273">
        <v>69</v>
      </c>
      <c r="G24273">
        <v>10</v>
      </c>
      <c r="H24273">
        <v>33</v>
      </c>
      <c r="I24273">
        <v>343</v>
      </c>
      <c r="J24273">
        <v>1</v>
      </c>
      <c r="K24273">
        <v>34</v>
      </c>
      <c r="L24273">
        <v>338</v>
      </c>
      <c r="M24273">
        <v>1</v>
      </c>
      <c r="N24273">
        <v>9.0135799999999999E-137</v>
      </c>
      <c r="O24273">
        <v>1244</v>
      </c>
    </row>
    <row r="24274" spans="1:15" x14ac:dyDescent="0.25">
      <c r="A24274" t="s">
        <v>24287</v>
      </c>
      <c r="B24274">
        <v>558</v>
      </c>
      <c r="C24274" s="1" t="str">
        <f>HYPERLINK("http://www.rosaceae.org/gb/gbrowse/malus_x_domestica/?name=MDP0000184761","MDP0000184761")</f>
        <v>MDP0000184761</v>
      </c>
      <c r="D24274">
        <v>90.51</v>
      </c>
      <c r="E24274">
        <v>559</v>
      </c>
      <c r="F24274">
        <v>53</v>
      </c>
      <c r="G24274">
        <v>1</v>
      </c>
      <c r="H24274">
        <v>1</v>
      </c>
      <c r="I24274">
        <v>558</v>
      </c>
      <c r="J24274">
        <v>1</v>
      </c>
      <c r="K24274">
        <v>1</v>
      </c>
      <c r="L24274">
        <v>559</v>
      </c>
      <c r="M24274">
        <v>1</v>
      </c>
      <c r="N24274">
        <v>0</v>
      </c>
      <c r="O24274">
        <v>2690</v>
      </c>
    </row>
    <row r="24275" spans="1:15" x14ac:dyDescent="0.25">
      <c r="A24275" t="s">
        <v>24288</v>
      </c>
      <c r="B24275">
        <v>879</v>
      </c>
      <c r="C24275" s="1" t="str">
        <f>HYPERLINK("http://www.rosaceae.org/gb/gbrowse/malus_x_domestica/?name=MDP0000275723","MDP0000275723")</f>
        <v>MDP0000275723</v>
      </c>
      <c r="D24275">
        <v>59.2</v>
      </c>
      <c r="E24275">
        <v>929</v>
      </c>
      <c r="F24275">
        <v>379</v>
      </c>
      <c r="G24275">
        <v>128</v>
      </c>
      <c r="H24275">
        <v>1</v>
      </c>
      <c r="I24275">
        <v>865</v>
      </c>
      <c r="J24275">
        <v>1</v>
      </c>
      <c r="K24275">
        <v>1</v>
      </c>
      <c r="L24275">
        <v>865</v>
      </c>
      <c r="M24275">
        <v>1</v>
      </c>
      <c r="N24275">
        <v>0</v>
      </c>
      <c r="O24275">
        <v>2547</v>
      </c>
    </row>
    <row r="24276" spans="1:15" x14ac:dyDescent="0.25">
      <c r="A24276" t="s">
        <v>24289</v>
      </c>
      <c r="B24276">
        <v>342</v>
      </c>
      <c r="C24276" s="1" t="str">
        <f>HYPERLINK("http://www.rosaceae.org/gb/gbrowse/malus_x_domestica/?name=MDP0000561267","MDP0000561267")</f>
        <v>MDP0000561267</v>
      </c>
      <c r="D24276">
        <v>39.22</v>
      </c>
      <c r="E24276">
        <v>385</v>
      </c>
      <c r="F24276">
        <v>234</v>
      </c>
      <c r="G24276">
        <v>49</v>
      </c>
      <c r="H24276">
        <v>1</v>
      </c>
      <c r="I24276">
        <v>340</v>
      </c>
      <c r="J24276">
        <v>1</v>
      </c>
      <c r="K24276">
        <v>1</v>
      </c>
      <c r="L24276">
        <v>381</v>
      </c>
      <c r="M24276">
        <v>1</v>
      </c>
      <c r="N24276">
        <v>1.03517E-47</v>
      </c>
      <c r="O24276">
        <v>476</v>
      </c>
    </row>
    <row r="24277" spans="1:15" x14ac:dyDescent="0.25">
      <c r="A24277" t="s">
        <v>24290</v>
      </c>
      <c r="B24277">
        <v>1185</v>
      </c>
      <c r="C24277" s="1" t="str">
        <f>HYPERLINK("http://www.rosaceae.org/gb/gbrowse/malus_x_domestica/?name=MDP0000143705","MDP0000143705")</f>
        <v>MDP0000143705</v>
      </c>
      <c r="D24277">
        <v>34.049999999999997</v>
      </c>
      <c r="E24277">
        <v>185</v>
      </c>
      <c r="F24277">
        <v>122</v>
      </c>
      <c r="G24277">
        <v>27</v>
      </c>
      <c r="H24277">
        <v>1013</v>
      </c>
      <c r="I24277">
        <v>1176</v>
      </c>
      <c r="J24277">
        <v>1</v>
      </c>
      <c r="K24277">
        <v>1111</v>
      </c>
      <c r="L24277">
        <v>1289</v>
      </c>
      <c r="M24277">
        <v>1</v>
      </c>
      <c r="N24277">
        <v>3.43524E-29</v>
      </c>
      <c r="O24277">
        <v>322</v>
      </c>
    </row>
    <row r="24278" spans="1:15" x14ac:dyDescent="0.25">
      <c r="A24278" t="s">
        <v>24291</v>
      </c>
      <c r="B24278">
        <v>548</v>
      </c>
      <c r="C24278" s="1" t="str">
        <f>HYPERLINK("http://www.rosaceae.org/gb/gbrowse/malus_x_domestica/?name=MDP0000265371","MDP0000265371")</f>
        <v>MDP0000265371</v>
      </c>
      <c r="D24278">
        <v>73.05</v>
      </c>
      <c r="E24278">
        <v>553</v>
      </c>
      <c r="F24278">
        <v>149</v>
      </c>
      <c r="G24278">
        <v>6</v>
      </c>
      <c r="H24278">
        <v>1</v>
      </c>
      <c r="I24278">
        <v>548</v>
      </c>
      <c r="J24278">
        <v>1</v>
      </c>
      <c r="K24278">
        <v>502</v>
      </c>
      <c r="L24278">
        <v>1053</v>
      </c>
      <c r="M24278">
        <v>1</v>
      </c>
      <c r="N24278">
        <v>0</v>
      </c>
      <c r="O24278">
        <v>2055</v>
      </c>
    </row>
    <row r="24279" spans="1:15" x14ac:dyDescent="0.25">
      <c r="A24279" t="s">
        <v>24292</v>
      </c>
      <c r="B24279">
        <v>212</v>
      </c>
      <c r="C24279" s="1" t="str">
        <f>HYPERLINK("http://www.rosaceae.org/gb/gbrowse/malus_x_domestica/?name=MDP0000215281","MDP0000215281")</f>
        <v>MDP0000215281</v>
      </c>
      <c r="D24279">
        <v>54.82</v>
      </c>
      <c r="E24279">
        <v>259</v>
      </c>
      <c r="F24279">
        <v>117</v>
      </c>
      <c r="G24279">
        <v>48</v>
      </c>
      <c r="H24279">
        <v>1</v>
      </c>
      <c r="I24279">
        <v>211</v>
      </c>
      <c r="J24279">
        <v>1</v>
      </c>
      <c r="K24279">
        <v>17</v>
      </c>
      <c r="L24279">
        <v>275</v>
      </c>
      <c r="M24279">
        <v>1</v>
      </c>
      <c r="N24279">
        <v>5.4122E-67</v>
      </c>
      <c r="O24279">
        <v>640</v>
      </c>
    </row>
    <row r="24280" spans="1:15" x14ac:dyDescent="0.25">
      <c r="A24280" t="s">
        <v>24293</v>
      </c>
      <c r="B24280">
        <v>112</v>
      </c>
      <c r="C24280" s="1" t="str">
        <f>HYPERLINK("http://www.rosaceae.org/gb/gbrowse/malus_x_domestica/?name=MDP0000256621","MDP0000256621")</f>
        <v>MDP0000256621</v>
      </c>
      <c r="D24280">
        <v>55.78</v>
      </c>
      <c r="E24280">
        <v>95</v>
      </c>
      <c r="F24280">
        <v>42</v>
      </c>
      <c r="G24280">
        <v>8</v>
      </c>
      <c r="H24280">
        <v>24</v>
      </c>
      <c r="I24280">
        <v>112</v>
      </c>
      <c r="J24280">
        <v>1</v>
      </c>
      <c r="K24280">
        <v>595</v>
      </c>
      <c r="L24280">
        <v>687</v>
      </c>
      <c r="M24280">
        <v>1</v>
      </c>
      <c r="N24280">
        <v>1.94936E-16</v>
      </c>
      <c r="O24280">
        <v>199</v>
      </c>
    </row>
    <row r="24281" spans="1:15" x14ac:dyDescent="0.25">
      <c r="A24281" t="s">
        <v>24294</v>
      </c>
      <c r="B24281">
        <v>491</v>
      </c>
      <c r="C24281" s="1" t="str">
        <f>HYPERLINK("http://www.rosaceae.org/gb/gbrowse/malus_x_domestica/?name=MDP0000951395","MDP0000951395")</f>
        <v>MDP0000951395</v>
      </c>
      <c r="D24281">
        <v>66.47</v>
      </c>
      <c r="E24281">
        <v>516</v>
      </c>
      <c r="F24281">
        <v>173</v>
      </c>
      <c r="G24281">
        <v>34</v>
      </c>
      <c r="H24281">
        <v>1</v>
      </c>
      <c r="I24281">
        <v>490</v>
      </c>
      <c r="J24281">
        <v>1</v>
      </c>
      <c r="K24281">
        <v>1</v>
      </c>
      <c r="L24281">
        <v>508</v>
      </c>
      <c r="M24281">
        <v>1</v>
      </c>
      <c r="N24281">
        <v>0</v>
      </c>
      <c r="O24281">
        <v>1750</v>
      </c>
    </row>
    <row r="24282" spans="1:15" x14ac:dyDescent="0.25">
      <c r="A24282" t="s">
        <v>24295</v>
      </c>
      <c r="B24282">
        <v>577</v>
      </c>
      <c r="C24282" s="1" t="str">
        <f>HYPERLINK("http://www.rosaceae.org/gb/gbrowse/malus_x_domestica/?name=MDP0000239537","MDP0000239537")</f>
        <v>MDP0000239537</v>
      </c>
      <c r="D24282">
        <v>85.44</v>
      </c>
      <c r="E24282">
        <v>529</v>
      </c>
      <c r="F24282">
        <v>77</v>
      </c>
      <c r="G24282">
        <v>0</v>
      </c>
      <c r="H24282">
        <v>1</v>
      </c>
      <c r="I24282">
        <v>529</v>
      </c>
      <c r="J24282">
        <v>1</v>
      </c>
      <c r="K24282">
        <v>1</v>
      </c>
      <c r="L24282">
        <v>529</v>
      </c>
      <c r="M24282">
        <v>1</v>
      </c>
      <c r="N24282">
        <v>0</v>
      </c>
      <c r="O24282">
        <v>2415</v>
      </c>
    </row>
    <row r="24283" spans="1:15" x14ac:dyDescent="0.25">
      <c r="A24283" t="s">
        <v>24296</v>
      </c>
      <c r="B24283">
        <v>1081</v>
      </c>
      <c r="C24283" s="1" t="str">
        <f>HYPERLINK("http://www.rosaceae.org/gb/gbrowse/malus_x_domestica/?name=MDP0000482694","MDP0000482694")</f>
        <v>MDP0000482694</v>
      </c>
      <c r="D24283">
        <v>72.56</v>
      </c>
      <c r="E24283">
        <v>1057</v>
      </c>
      <c r="F24283">
        <v>290</v>
      </c>
      <c r="G24283">
        <v>12</v>
      </c>
      <c r="H24283">
        <v>33</v>
      </c>
      <c r="I24283">
        <v>1077</v>
      </c>
      <c r="J24283">
        <v>1</v>
      </c>
      <c r="K24283">
        <v>35</v>
      </c>
      <c r="L24283">
        <v>1091</v>
      </c>
      <c r="M24283">
        <v>1</v>
      </c>
      <c r="N24283">
        <v>0</v>
      </c>
      <c r="O24283">
        <v>4083</v>
      </c>
    </row>
    <row r="24284" spans="1:15" x14ac:dyDescent="0.25">
      <c r="A24284" t="s">
        <v>24297</v>
      </c>
      <c r="B24284">
        <v>314</v>
      </c>
      <c r="C24284" s="1" t="str">
        <f>HYPERLINK("http://www.rosaceae.org/gb/gbrowse/malus_x_domestica/?name=MDP0000691413","MDP0000691413")</f>
        <v>MDP0000691413</v>
      </c>
      <c r="D24284">
        <v>90.43</v>
      </c>
      <c r="E24284">
        <v>251</v>
      </c>
      <c r="F24284">
        <v>24</v>
      </c>
      <c r="G24284">
        <v>6</v>
      </c>
      <c r="H24284">
        <v>1</v>
      </c>
      <c r="I24284">
        <v>250</v>
      </c>
      <c r="J24284">
        <v>1</v>
      </c>
      <c r="K24284">
        <v>1</v>
      </c>
      <c r="L24284">
        <v>246</v>
      </c>
      <c r="M24284">
        <v>1</v>
      </c>
      <c r="N24284">
        <v>9.1412300000000003E-132</v>
      </c>
      <c r="O24284">
        <v>1201</v>
      </c>
    </row>
    <row r="24285" spans="1:15" x14ac:dyDescent="0.25">
      <c r="A24285" t="s">
        <v>24298</v>
      </c>
      <c r="B24285">
        <v>360</v>
      </c>
      <c r="C24285" s="1" t="str">
        <f>HYPERLINK("http://www.rosaceae.org/gb/gbrowse/malus_x_domestica/?name=MDP0000223016","MDP0000223016")</f>
        <v>MDP0000223016</v>
      </c>
      <c r="D24285">
        <v>72.33</v>
      </c>
      <c r="E24285">
        <v>300</v>
      </c>
      <c r="F24285">
        <v>83</v>
      </c>
      <c r="G24285">
        <v>2</v>
      </c>
      <c r="H24285">
        <v>60</v>
      </c>
      <c r="I24285">
        <v>359</v>
      </c>
      <c r="J24285">
        <v>1</v>
      </c>
      <c r="K24285">
        <v>202</v>
      </c>
      <c r="L24285">
        <v>499</v>
      </c>
      <c r="M24285">
        <v>1</v>
      </c>
      <c r="N24285">
        <v>5.63005E-129</v>
      </c>
      <c r="O24285">
        <v>1177</v>
      </c>
    </row>
    <row r="24286" spans="1:15" x14ac:dyDescent="0.25">
      <c r="A24286" t="s">
        <v>24299</v>
      </c>
      <c r="B24286">
        <v>612</v>
      </c>
      <c r="C24286" s="1" t="str">
        <f>HYPERLINK("http://www.rosaceae.org/gb/gbrowse/malus_x_domestica/?name=MDP0000321110","MDP0000321110")</f>
        <v>MDP0000321110</v>
      </c>
      <c r="D24286">
        <v>83.6</v>
      </c>
      <c r="E24286">
        <v>488</v>
      </c>
      <c r="F24286">
        <v>80</v>
      </c>
      <c r="G24286">
        <v>3</v>
      </c>
      <c r="H24286">
        <v>125</v>
      </c>
      <c r="I24286">
        <v>612</v>
      </c>
      <c r="J24286">
        <v>1</v>
      </c>
      <c r="K24286">
        <v>547</v>
      </c>
      <c r="L24286">
        <v>1031</v>
      </c>
      <c r="M24286">
        <v>1</v>
      </c>
      <c r="N24286">
        <v>0</v>
      </c>
      <c r="O24286">
        <v>2135</v>
      </c>
    </row>
    <row r="24287" spans="1:15" x14ac:dyDescent="0.25">
      <c r="A24287" t="s">
        <v>24300</v>
      </c>
      <c r="B24287">
        <v>447</v>
      </c>
      <c r="C24287" s="1" t="str">
        <f>HYPERLINK("http://www.rosaceae.org/gb/gbrowse/malus_x_domestica/?name=MDP0000084184","MDP0000084184")</f>
        <v>MDP0000084184</v>
      </c>
      <c r="D24287">
        <v>85.52</v>
      </c>
      <c r="E24287">
        <v>449</v>
      </c>
      <c r="F24287">
        <v>65</v>
      </c>
      <c r="G24287">
        <v>5</v>
      </c>
      <c r="H24287">
        <v>3</v>
      </c>
      <c r="I24287">
        <v>447</v>
      </c>
      <c r="J24287">
        <v>1</v>
      </c>
      <c r="K24287">
        <v>5</v>
      </c>
      <c r="L24287">
        <v>452</v>
      </c>
      <c r="M24287">
        <v>1</v>
      </c>
      <c r="N24287">
        <v>0</v>
      </c>
      <c r="O24287">
        <v>2129</v>
      </c>
    </row>
    <row r="24288" spans="1:15" x14ac:dyDescent="0.25">
      <c r="A24288" t="s">
        <v>24301</v>
      </c>
      <c r="B24288">
        <v>223</v>
      </c>
      <c r="C24288" s="1" t="str">
        <f>HYPERLINK("http://www.rosaceae.org/gb/gbrowse/malus_x_domestica/?name=MDP0000320982","MDP0000320982")</f>
        <v>MDP0000320982</v>
      </c>
      <c r="D24288">
        <v>60.86</v>
      </c>
      <c r="E24288">
        <v>207</v>
      </c>
      <c r="F24288">
        <v>81</v>
      </c>
      <c r="G24288">
        <v>4</v>
      </c>
      <c r="H24288">
        <v>4</v>
      </c>
      <c r="I24288">
        <v>209</v>
      </c>
      <c r="J24288">
        <v>1</v>
      </c>
      <c r="K24288">
        <v>3</v>
      </c>
      <c r="L24288">
        <v>206</v>
      </c>
      <c r="M24288">
        <v>1</v>
      </c>
      <c r="N24288">
        <v>4.65077E-64</v>
      </c>
      <c r="O24288">
        <v>615</v>
      </c>
    </row>
    <row r="24289" spans="1:15" x14ac:dyDescent="0.25">
      <c r="A24289" t="s">
        <v>24302</v>
      </c>
      <c r="B24289">
        <v>399</v>
      </c>
      <c r="C24289" s="1" t="str">
        <f>HYPERLINK("http://www.rosaceae.org/gb/gbrowse/malus_x_domestica/?name=MDP0000217633","MDP0000217633")</f>
        <v>MDP0000217633</v>
      </c>
      <c r="D24289">
        <v>82.1</v>
      </c>
      <c r="E24289">
        <v>380</v>
      </c>
      <c r="F24289">
        <v>68</v>
      </c>
      <c r="G24289">
        <v>3</v>
      </c>
      <c r="H24289">
        <v>3</v>
      </c>
      <c r="I24289">
        <v>381</v>
      </c>
      <c r="J24289">
        <v>1</v>
      </c>
      <c r="K24289">
        <v>1</v>
      </c>
      <c r="L24289">
        <v>378</v>
      </c>
      <c r="M24289">
        <v>1</v>
      </c>
      <c r="N24289">
        <v>0</v>
      </c>
      <c r="O24289">
        <v>1633</v>
      </c>
    </row>
    <row r="24290" spans="1:15" x14ac:dyDescent="0.25">
      <c r="A24290" t="s">
        <v>24303</v>
      </c>
      <c r="B24290">
        <v>117</v>
      </c>
      <c r="C24290" s="1" t="str">
        <f>HYPERLINK("http://www.rosaceae.org/gb/gbrowse/malus_x_domestica/?name=MDP0000289668","MDP0000289668")</f>
        <v>MDP0000289668</v>
      </c>
      <c r="D24290">
        <v>41.17</v>
      </c>
      <c r="E24290">
        <v>102</v>
      </c>
      <c r="F24290">
        <v>60</v>
      </c>
      <c r="G24290">
        <v>15</v>
      </c>
      <c r="H24290">
        <v>27</v>
      </c>
      <c r="I24290">
        <v>117</v>
      </c>
      <c r="J24290">
        <v>1</v>
      </c>
      <c r="K24290">
        <v>1</v>
      </c>
      <c r="L24290">
        <v>98</v>
      </c>
      <c r="M24290">
        <v>1</v>
      </c>
      <c r="N24290">
        <v>3.2495600000000001E-7</v>
      </c>
      <c r="O24290">
        <v>120</v>
      </c>
    </row>
    <row r="24291" spans="1:15" x14ac:dyDescent="0.25">
      <c r="A24291" t="s">
        <v>24304</v>
      </c>
      <c r="B24291">
        <v>402</v>
      </c>
      <c r="C24291" s="1" t="str">
        <f>HYPERLINK("http://www.rosaceae.org/gb/gbrowse/malus_x_domestica/?name=MDP0000301441","MDP0000301441")</f>
        <v>MDP0000301441</v>
      </c>
      <c r="D24291">
        <v>97.93</v>
      </c>
      <c r="E24291">
        <v>145</v>
      </c>
      <c r="F24291">
        <v>3</v>
      </c>
      <c r="G24291">
        <v>0</v>
      </c>
      <c r="H24291">
        <v>137</v>
      </c>
      <c r="I24291">
        <v>281</v>
      </c>
      <c r="J24291">
        <v>1</v>
      </c>
      <c r="K24291">
        <v>223</v>
      </c>
      <c r="L24291">
        <v>367</v>
      </c>
      <c r="M24291">
        <v>1</v>
      </c>
      <c r="N24291">
        <v>2.8407999999999999E-83</v>
      </c>
      <c r="O24291">
        <v>784</v>
      </c>
    </row>
    <row r="24292" spans="1:15" x14ac:dyDescent="0.25">
      <c r="A24292" t="s">
        <v>24305</v>
      </c>
      <c r="B24292">
        <v>207</v>
      </c>
      <c r="C24292" s="1" t="str">
        <f>HYPERLINK("http://www.rosaceae.org/gb/gbrowse/malus_x_domestica/?name=MDP0000199925","MDP0000199925")</f>
        <v>MDP0000199925</v>
      </c>
      <c r="D24292">
        <v>74.069999999999993</v>
      </c>
      <c r="E24292">
        <v>81</v>
      </c>
      <c r="F24292">
        <v>21</v>
      </c>
      <c r="G24292">
        <v>5</v>
      </c>
      <c r="H24292">
        <v>108</v>
      </c>
      <c r="I24292">
        <v>183</v>
      </c>
      <c r="J24292">
        <v>1</v>
      </c>
      <c r="K24292">
        <v>3</v>
      </c>
      <c r="L24292">
        <v>83</v>
      </c>
      <c r="M24292">
        <v>1</v>
      </c>
      <c r="N24292">
        <v>4.0754200000000001E-26</v>
      </c>
      <c r="O24292">
        <v>287</v>
      </c>
    </row>
    <row r="24293" spans="1:15" x14ac:dyDescent="0.25">
      <c r="A24293" t="s">
        <v>24306</v>
      </c>
      <c r="B24293">
        <v>596</v>
      </c>
      <c r="C24293" s="1" t="str">
        <f>HYPERLINK("http://www.rosaceae.org/gb/gbrowse/malus_x_domestica/?name=MDP0000314127","MDP0000314127")</f>
        <v>MDP0000314127</v>
      </c>
      <c r="D24293">
        <v>62.09</v>
      </c>
      <c r="E24293">
        <v>612</v>
      </c>
      <c r="F24293">
        <v>232</v>
      </c>
      <c r="G24293">
        <v>23</v>
      </c>
      <c r="H24293">
        <v>1</v>
      </c>
      <c r="I24293">
        <v>595</v>
      </c>
      <c r="J24293">
        <v>1</v>
      </c>
      <c r="K24293">
        <v>1</v>
      </c>
      <c r="L24293">
        <v>606</v>
      </c>
      <c r="M24293">
        <v>1</v>
      </c>
      <c r="N24293">
        <v>0</v>
      </c>
      <c r="O24293">
        <v>1877</v>
      </c>
    </row>
    <row r="24294" spans="1:15" x14ac:dyDescent="0.25">
      <c r="A24294" t="s">
        <v>24307</v>
      </c>
      <c r="B24294">
        <v>327</v>
      </c>
      <c r="C24294" s="1" t="str">
        <f>HYPERLINK("http://www.rosaceae.org/gb/gbrowse/malus_x_domestica/?name=MDP0000169921","MDP0000169921")</f>
        <v>MDP0000169921</v>
      </c>
      <c r="D24294">
        <v>71.3</v>
      </c>
      <c r="E24294">
        <v>352</v>
      </c>
      <c r="F24294">
        <v>101</v>
      </c>
      <c r="G24294">
        <v>28</v>
      </c>
      <c r="H24294">
        <v>1</v>
      </c>
      <c r="I24294">
        <v>327</v>
      </c>
      <c r="J24294">
        <v>1</v>
      </c>
      <c r="K24294">
        <v>1</v>
      </c>
      <c r="L24294">
        <v>349</v>
      </c>
      <c r="M24294">
        <v>1</v>
      </c>
      <c r="N24294">
        <v>1.7821000000000002E-136</v>
      </c>
      <c r="O24294">
        <v>1241</v>
      </c>
    </row>
    <row r="24295" spans="1:15" x14ac:dyDescent="0.25">
      <c r="A24295" t="s">
        <v>24308</v>
      </c>
      <c r="B24295">
        <v>1476</v>
      </c>
      <c r="C24295" s="1" t="str">
        <f>HYPERLINK("http://www.rosaceae.org/gb/gbrowse/malus_x_domestica/?name=MDP0000283596","MDP0000283596")</f>
        <v>MDP0000283596</v>
      </c>
      <c r="D24295">
        <v>41.42</v>
      </c>
      <c r="E24295">
        <v>338</v>
      </c>
      <c r="F24295">
        <v>198</v>
      </c>
      <c r="G24295">
        <v>82</v>
      </c>
      <c r="H24295">
        <v>62</v>
      </c>
      <c r="I24295">
        <v>390</v>
      </c>
      <c r="J24295">
        <v>1</v>
      </c>
      <c r="K24295">
        <v>1</v>
      </c>
      <c r="L24295">
        <v>265</v>
      </c>
      <c r="M24295">
        <v>1</v>
      </c>
      <c r="N24295">
        <v>7.4355799999999996E-50</v>
      </c>
      <c r="O24295">
        <v>501</v>
      </c>
    </row>
    <row r="24296" spans="1:15" x14ac:dyDescent="0.25">
      <c r="A24296" t="s">
        <v>24309</v>
      </c>
      <c r="B24296">
        <v>160</v>
      </c>
      <c r="C24296" s="1" t="str">
        <f>HYPERLINK("http://www.rosaceae.org/gb/gbrowse/malus_x_domestica/?name=MDP0000255540","MDP0000255540")</f>
        <v>MDP0000255540</v>
      </c>
      <c r="D24296">
        <v>89.43</v>
      </c>
      <c r="E24296">
        <v>142</v>
      </c>
      <c r="F24296">
        <v>15</v>
      </c>
      <c r="G24296">
        <v>0</v>
      </c>
      <c r="H24296">
        <v>1</v>
      </c>
      <c r="I24296">
        <v>142</v>
      </c>
      <c r="J24296">
        <v>1</v>
      </c>
      <c r="K24296">
        <v>1</v>
      </c>
      <c r="L24296">
        <v>142</v>
      </c>
      <c r="M24296">
        <v>1</v>
      </c>
      <c r="N24296">
        <v>1.60415E-73</v>
      </c>
      <c r="O24296">
        <v>694</v>
      </c>
    </row>
    <row r="24297" spans="1:15" x14ac:dyDescent="0.25">
      <c r="A24297" t="s">
        <v>24310</v>
      </c>
      <c r="B24297">
        <v>377</v>
      </c>
      <c r="C24297" s="1" t="str">
        <f>HYPERLINK("http://www.rosaceae.org/gb/gbrowse/malus_x_domestica/?name=MDP0000164082","MDP0000164082")</f>
        <v>MDP0000164082</v>
      </c>
      <c r="D24297">
        <v>65.34</v>
      </c>
      <c r="E24297">
        <v>378</v>
      </c>
      <c r="F24297">
        <v>131</v>
      </c>
      <c r="G24297">
        <v>22</v>
      </c>
      <c r="H24297">
        <v>1</v>
      </c>
      <c r="I24297">
        <v>377</v>
      </c>
      <c r="J24297">
        <v>1</v>
      </c>
      <c r="K24297">
        <v>1</v>
      </c>
      <c r="L24297">
        <v>357</v>
      </c>
      <c r="M24297">
        <v>1</v>
      </c>
      <c r="N24297">
        <v>1.02318E-132</v>
      </c>
      <c r="O24297">
        <v>1210</v>
      </c>
    </row>
    <row r="24298" spans="1:15" x14ac:dyDescent="0.25">
      <c r="A24298" t="s">
        <v>24311</v>
      </c>
      <c r="B24298">
        <v>545</v>
      </c>
      <c r="C24298" s="1" t="str">
        <f>HYPERLINK("http://www.rosaceae.org/gb/gbrowse/malus_x_domestica/?name=MDP0000225010","MDP0000225010")</f>
        <v>MDP0000225010</v>
      </c>
      <c r="D24298">
        <v>53.76</v>
      </c>
      <c r="E24298">
        <v>93</v>
      </c>
      <c r="F24298">
        <v>43</v>
      </c>
      <c r="G24298">
        <v>2</v>
      </c>
      <c r="H24298">
        <v>28</v>
      </c>
      <c r="I24298">
        <v>119</v>
      </c>
      <c r="J24298">
        <v>1</v>
      </c>
      <c r="K24298">
        <v>22</v>
      </c>
      <c r="L24298">
        <v>113</v>
      </c>
      <c r="M24298">
        <v>1</v>
      </c>
      <c r="N24298">
        <v>2.1740599999999998E-21</v>
      </c>
      <c r="O24298">
        <v>251</v>
      </c>
    </row>
    <row r="24299" spans="1:15" x14ac:dyDescent="0.25">
      <c r="A24299" t="s">
        <v>24312</v>
      </c>
      <c r="B24299">
        <v>576</v>
      </c>
      <c r="C24299" s="1" t="str">
        <f>HYPERLINK("http://www.rosaceae.org/gb/gbrowse/malus_x_domestica/?name=MDP0000235326","MDP0000235326")</f>
        <v>MDP0000235326</v>
      </c>
      <c r="D24299">
        <v>36.450000000000003</v>
      </c>
      <c r="E24299">
        <v>192</v>
      </c>
      <c r="F24299">
        <v>122</v>
      </c>
      <c r="G24299">
        <v>11</v>
      </c>
      <c r="H24299">
        <v>22</v>
      </c>
      <c r="I24299">
        <v>210</v>
      </c>
      <c r="J24299">
        <v>1</v>
      </c>
      <c r="K24299">
        <v>5</v>
      </c>
      <c r="L24299">
        <v>188</v>
      </c>
      <c r="M24299">
        <v>1</v>
      </c>
      <c r="N24299">
        <v>1.0220499999999999E-20</v>
      </c>
      <c r="O24299">
        <v>246</v>
      </c>
    </row>
    <row r="24300" spans="1:15" x14ac:dyDescent="0.25">
      <c r="A24300" t="s">
        <v>24313</v>
      </c>
      <c r="B24300">
        <v>147</v>
      </c>
      <c r="C24300" s="1" t="str">
        <f>HYPERLINK("http://www.rosaceae.org/gb/gbrowse/malus_x_domestica/?name=MDP0000314074","MDP0000314074")</f>
        <v>MDP0000314074</v>
      </c>
      <c r="D24300">
        <v>73.099999999999994</v>
      </c>
      <c r="E24300">
        <v>145</v>
      </c>
      <c r="F24300">
        <v>39</v>
      </c>
      <c r="G24300">
        <v>3</v>
      </c>
      <c r="H24300">
        <v>1</v>
      </c>
      <c r="I24300">
        <v>145</v>
      </c>
      <c r="J24300">
        <v>1</v>
      </c>
      <c r="K24300">
        <v>1</v>
      </c>
      <c r="L24300">
        <v>142</v>
      </c>
      <c r="M24300">
        <v>1</v>
      </c>
      <c r="N24300">
        <v>2.2315199999999999E-56</v>
      </c>
      <c r="O24300">
        <v>545</v>
      </c>
    </row>
    <row r="24301" spans="1:15" x14ac:dyDescent="0.25">
      <c r="A24301" t="s">
        <v>24314</v>
      </c>
      <c r="B24301">
        <v>200</v>
      </c>
      <c r="C24301" s="1" t="str">
        <f>HYPERLINK("http://www.rosaceae.org/gb/gbrowse/malus_x_domestica/?name=MDP0000241504","MDP0000241504")</f>
        <v>MDP0000241504</v>
      </c>
      <c r="D24301">
        <v>55.46</v>
      </c>
      <c r="E24301">
        <v>128</v>
      </c>
      <c r="F24301">
        <v>57</v>
      </c>
      <c r="G24301">
        <v>34</v>
      </c>
      <c r="H24301">
        <v>60</v>
      </c>
      <c r="I24301">
        <v>153</v>
      </c>
      <c r="J24301">
        <v>1</v>
      </c>
      <c r="K24301">
        <v>75</v>
      </c>
      <c r="L24301">
        <v>202</v>
      </c>
      <c r="M24301">
        <v>1</v>
      </c>
      <c r="N24301">
        <v>8.2376600000000002E-33</v>
      </c>
      <c r="O24301">
        <v>345</v>
      </c>
    </row>
    <row r="24302" spans="1:15" x14ac:dyDescent="0.25">
      <c r="A24302" t="s">
        <v>24315</v>
      </c>
      <c r="B24302">
        <v>466</v>
      </c>
      <c r="C24302" s="1" t="str">
        <f>HYPERLINK("http://www.rosaceae.org/gb/gbrowse/malus_x_domestica/?name=MDP0000183627","MDP0000183627")</f>
        <v>MDP0000183627</v>
      </c>
      <c r="D24302">
        <v>71.53</v>
      </c>
      <c r="E24302">
        <v>411</v>
      </c>
      <c r="F24302">
        <v>117</v>
      </c>
      <c r="G24302">
        <v>7</v>
      </c>
      <c r="H24302">
        <v>1</v>
      </c>
      <c r="I24302">
        <v>409</v>
      </c>
      <c r="J24302">
        <v>1</v>
      </c>
      <c r="K24302">
        <v>94</v>
      </c>
      <c r="L24302">
        <v>499</v>
      </c>
      <c r="M24302">
        <v>1</v>
      </c>
      <c r="N24302">
        <v>7.5362800000000001E-162</v>
      </c>
      <c r="O24302">
        <v>1462</v>
      </c>
    </row>
    <row r="24303" spans="1:15" x14ac:dyDescent="0.25">
      <c r="A24303" t="s">
        <v>24316</v>
      </c>
      <c r="B24303">
        <v>165</v>
      </c>
      <c r="C24303" s="1" t="str">
        <f>HYPERLINK("http://www.rosaceae.org/gb/gbrowse/malus_x_domestica/?name=MDP0000312342","MDP0000312342")</f>
        <v>MDP0000312342</v>
      </c>
      <c r="D24303">
        <v>30.53</v>
      </c>
      <c r="E24303">
        <v>167</v>
      </c>
      <c r="F24303">
        <v>116</v>
      </c>
      <c r="G24303">
        <v>4</v>
      </c>
      <c r="H24303">
        <v>1</v>
      </c>
      <c r="I24303">
        <v>164</v>
      </c>
      <c r="J24303">
        <v>1</v>
      </c>
      <c r="K24303">
        <v>1</v>
      </c>
      <c r="L24303">
        <v>166</v>
      </c>
      <c r="M24303">
        <v>1</v>
      </c>
      <c r="N24303">
        <v>2.0051200000000001E-15</v>
      </c>
      <c r="O24303">
        <v>193</v>
      </c>
    </row>
    <row r="24304" spans="1:15" x14ac:dyDescent="0.25">
      <c r="A24304" t="s">
        <v>24317</v>
      </c>
      <c r="B24304">
        <v>717</v>
      </c>
      <c r="C24304" s="1" t="str">
        <f>HYPERLINK("http://www.rosaceae.org/gb/gbrowse/malus_x_domestica/?name=MDP0000119551","MDP0000119551")</f>
        <v>MDP0000119551</v>
      </c>
      <c r="D24304">
        <v>78.510000000000005</v>
      </c>
      <c r="E24304">
        <v>633</v>
      </c>
      <c r="F24304">
        <v>136</v>
      </c>
      <c r="G24304">
        <v>37</v>
      </c>
      <c r="H24304">
        <v>103</v>
      </c>
      <c r="I24304">
        <v>711</v>
      </c>
      <c r="J24304">
        <v>1</v>
      </c>
      <c r="K24304">
        <v>118</v>
      </c>
      <c r="L24304">
        <v>737</v>
      </c>
      <c r="M24304">
        <v>1</v>
      </c>
      <c r="N24304">
        <v>0</v>
      </c>
      <c r="O24304">
        <v>2684</v>
      </c>
    </row>
    <row r="24305" spans="1:15" x14ac:dyDescent="0.25">
      <c r="A24305" t="s">
        <v>24318</v>
      </c>
      <c r="B24305">
        <v>326</v>
      </c>
      <c r="C24305" s="1" t="str">
        <f>HYPERLINK("http://www.rosaceae.org/gb/gbrowse/malus_x_domestica/?name=MDP0000509120","MDP0000509120")</f>
        <v>MDP0000509120</v>
      </c>
      <c r="D24305">
        <v>73.39</v>
      </c>
      <c r="E24305">
        <v>327</v>
      </c>
      <c r="F24305">
        <v>87</v>
      </c>
      <c r="G24305">
        <v>7</v>
      </c>
      <c r="H24305">
        <v>3</v>
      </c>
      <c r="I24305">
        <v>326</v>
      </c>
      <c r="J24305">
        <v>1</v>
      </c>
      <c r="K24305">
        <v>2</v>
      </c>
      <c r="L24305">
        <v>324</v>
      </c>
      <c r="M24305">
        <v>1</v>
      </c>
      <c r="N24305">
        <v>4.30245E-131</v>
      </c>
      <c r="O24305">
        <v>1195</v>
      </c>
    </row>
    <row r="24306" spans="1:15" x14ac:dyDescent="0.25">
      <c r="A24306" t="s">
        <v>24319</v>
      </c>
      <c r="B24306">
        <v>365</v>
      </c>
      <c r="C24306" s="1" t="str">
        <f>HYPERLINK("http://www.rosaceae.org/gb/gbrowse/malus_x_domestica/?name=MDP0000267681","MDP0000267681")</f>
        <v>MDP0000267681</v>
      </c>
      <c r="D24306">
        <v>33.130000000000003</v>
      </c>
      <c r="E24306">
        <v>166</v>
      </c>
      <c r="F24306">
        <v>111</v>
      </c>
      <c r="G24306">
        <v>15</v>
      </c>
      <c r="H24306">
        <v>1</v>
      </c>
      <c r="I24306">
        <v>158</v>
      </c>
      <c r="J24306">
        <v>1</v>
      </c>
      <c r="K24306">
        <v>11</v>
      </c>
      <c r="L24306">
        <v>169</v>
      </c>
      <c r="M24306">
        <v>1</v>
      </c>
      <c r="N24306">
        <v>2.05635E-15</v>
      </c>
      <c r="O24306">
        <v>198</v>
      </c>
    </row>
    <row r="24307" spans="1:15" x14ac:dyDescent="0.25">
      <c r="A24307" t="s">
        <v>24320</v>
      </c>
      <c r="B24307">
        <v>510</v>
      </c>
      <c r="C24307" s="1" t="str">
        <f>HYPERLINK("http://www.rosaceae.org/gb/gbrowse/malus_x_domestica/?name=MDP0000603997","MDP0000603997")</f>
        <v>MDP0000603997</v>
      </c>
      <c r="D24307">
        <v>68.069999999999993</v>
      </c>
      <c r="E24307">
        <v>473</v>
      </c>
      <c r="F24307">
        <v>151</v>
      </c>
      <c r="G24307">
        <v>37</v>
      </c>
      <c r="H24307">
        <v>46</v>
      </c>
      <c r="I24307">
        <v>499</v>
      </c>
      <c r="J24307">
        <v>1</v>
      </c>
      <c r="K24307">
        <v>30</v>
      </c>
      <c r="L24307">
        <v>484</v>
      </c>
      <c r="M24307">
        <v>1</v>
      </c>
      <c r="N24307">
        <v>0</v>
      </c>
      <c r="O24307">
        <v>1626</v>
      </c>
    </row>
    <row r="24308" spans="1:15" x14ac:dyDescent="0.25">
      <c r="A24308" t="s">
        <v>24321</v>
      </c>
      <c r="B24308">
        <v>421</v>
      </c>
      <c r="C24308" s="1" t="str">
        <f>HYPERLINK("http://www.rosaceae.org/gb/gbrowse/malus_x_domestica/?name=MDP0000263256","MDP0000263256")</f>
        <v>MDP0000263256</v>
      </c>
      <c r="D24308">
        <v>34.32</v>
      </c>
      <c r="E24308">
        <v>437</v>
      </c>
      <c r="F24308">
        <v>287</v>
      </c>
      <c r="G24308">
        <v>89</v>
      </c>
      <c r="H24308">
        <v>34</v>
      </c>
      <c r="I24308">
        <v>420</v>
      </c>
      <c r="J24308">
        <v>1</v>
      </c>
      <c r="K24308">
        <v>339</v>
      </c>
      <c r="L24308">
        <v>736</v>
      </c>
      <c r="M24308">
        <v>1</v>
      </c>
      <c r="N24308">
        <v>9.9267500000000002E-40</v>
      </c>
      <c r="O24308">
        <v>408</v>
      </c>
    </row>
    <row r="24309" spans="1:15" x14ac:dyDescent="0.25">
      <c r="A24309" t="s">
        <v>24322</v>
      </c>
      <c r="B24309">
        <v>417</v>
      </c>
      <c r="C24309" s="1" t="str">
        <f>HYPERLINK("http://www.rosaceae.org/gb/gbrowse/malus_x_domestica/?name=MDP0000258582","MDP0000258582")</f>
        <v>MDP0000258582</v>
      </c>
      <c r="D24309">
        <v>35.6</v>
      </c>
      <c r="E24309">
        <v>264</v>
      </c>
      <c r="F24309">
        <v>170</v>
      </c>
      <c r="G24309">
        <v>40</v>
      </c>
      <c r="H24309">
        <v>16</v>
      </c>
      <c r="I24309">
        <v>271</v>
      </c>
      <c r="J24309">
        <v>1</v>
      </c>
      <c r="K24309">
        <v>15</v>
      </c>
      <c r="L24309">
        <v>246</v>
      </c>
      <c r="M24309">
        <v>1</v>
      </c>
      <c r="N24309">
        <v>1.2509E-32</v>
      </c>
      <c r="O24309">
        <v>347</v>
      </c>
    </row>
    <row r="24310" spans="1:15" x14ac:dyDescent="0.25">
      <c r="A24310" t="s">
        <v>24323</v>
      </c>
      <c r="B24310">
        <v>771</v>
      </c>
      <c r="C24310" s="1" t="str">
        <f>HYPERLINK("http://www.rosaceae.org/gb/gbrowse/malus_x_domestica/?name=MDP0000853500","MDP0000853500")</f>
        <v>MDP0000853500</v>
      </c>
      <c r="D24310">
        <v>57.71</v>
      </c>
      <c r="E24310">
        <v>324</v>
      </c>
      <c r="F24310">
        <v>137</v>
      </c>
      <c r="G24310">
        <v>40</v>
      </c>
      <c r="H24310">
        <v>471</v>
      </c>
      <c r="I24310">
        <v>770</v>
      </c>
      <c r="J24310">
        <v>1</v>
      </c>
      <c r="K24310">
        <v>1</v>
      </c>
      <c r="L24310">
        <v>308</v>
      </c>
      <c r="M24310">
        <v>1</v>
      </c>
      <c r="N24310">
        <v>3.1847100000000001E-87</v>
      </c>
      <c r="O24310">
        <v>821</v>
      </c>
    </row>
    <row r="24311" spans="1:15" x14ac:dyDescent="0.25">
      <c r="A24311" t="s">
        <v>24324</v>
      </c>
      <c r="B24311">
        <v>293</v>
      </c>
      <c r="C24311" s="1" t="str">
        <f>HYPERLINK("http://www.rosaceae.org/gb/gbrowse/malus_x_domestica/?name=MDP0000403030","MDP0000403030")</f>
        <v>MDP0000403030</v>
      </c>
      <c r="D24311">
        <v>87.67</v>
      </c>
      <c r="E24311">
        <v>146</v>
      </c>
      <c r="F24311">
        <v>18</v>
      </c>
      <c r="G24311">
        <v>0</v>
      </c>
      <c r="H24311">
        <v>148</v>
      </c>
      <c r="I24311">
        <v>293</v>
      </c>
      <c r="J24311">
        <v>1</v>
      </c>
      <c r="K24311">
        <v>318</v>
      </c>
      <c r="L24311">
        <v>463</v>
      </c>
      <c r="M24311">
        <v>1</v>
      </c>
      <c r="N24311">
        <v>4.4732900000000002E-77</v>
      </c>
      <c r="O24311">
        <v>729</v>
      </c>
    </row>
    <row r="24312" spans="1:15" x14ac:dyDescent="0.25">
      <c r="A24312" t="s">
        <v>24325</v>
      </c>
      <c r="B24312">
        <v>521</v>
      </c>
      <c r="C24312" s="1" t="str">
        <f>HYPERLINK("http://www.rosaceae.org/gb/gbrowse/malus_x_domestica/?name=MDP0000843803","MDP0000843803")</f>
        <v>MDP0000843803</v>
      </c>
      <c r="D24312">
        <v>34.630000000000003</v>
      </c>
      <c r="E24312">
        <v>537</v>
      </c>
      <c r="F24312">
        <v>351</v>
      </c>
      <c r="G24312">
        <v>77</v>
      </c>
      <c r="H24312">
        <v>17</v>
      </c>
      <c r="I24312">
        <v>486</v>
      </c>
      <c r="J24312">
        <v>1</v>
      </c>
      <c r="K24312">
        <v>39</v>
      </c>
      <c r="L24312">
        <v>565</v>
      </c>
      <c r="M24312">
        <v>1</v>
      </c>
      <c r="N24312">
        <v>7.8612299999999995E-55</v>
      </c>
      <c r="O24312">
        <v>540</v>
      </c>
    </row>
    <row r="24313" spans="1:15" x14ac:dyDescent="0.25">
      <c r="A24313" t="s">
        <v>24326</v>
      </c>
      <c r="B24313">
        <v>845</v>
      </c>
      <c r="C24313" s="1" t="str">
        <f>HYPERLINK("http://www.rosaceae.org/gb/gbrowse/malus_x_domestica/?name=MDP0000230308","MDP0000230308")</f>
        <v>MDP0000230308</v>
      </c>
      <c r="D24313">
        <v>74.53</v>
      </c>
      <c r="E24313">
        <v>868</v>
      </c>
      <c r="F24313">
        <v>221</v>
      </c>
      <c r="G24313">
        <v>48</v>
      </c>
      <c r="H24313">
        <v>1</v>
      </c>
      <c r="I24313">
        <v>845</v>
      </c>
      <c r="J24313">
        <v>1</v>
      </c>
      <c r="K24313">
        <v>1</v>
      </c>
      <c r="L24313">
        <v>843</v>
      </c>
      <c r="M24313">
        <v>1</v>
      </c>
      <c r="N24313">
        <v>0</v>
      </c>
      <c r="O24313">
        <v>3187</v>
      </c>
    </row>
    <row r="24314" spans="1:15" x14ac:dyDescent="0.25">
      <c r="A24314" t="s">
        <v>24327</v>
      </c>
      <c r="B24314">
        <v>594</v>
      </c>
      <c r="C24314" s="1" t="str">
        <f>HYPERLINK("http://www.rosaceae.org/gb/gbrowse/malus_x_domestica/?name=MDP0000244560","MDP0000244560")</f>
        <v>MDP0000244560</v>
      </c>
      <c r="D24314">
        <v>56.07</v>
      </c>
      <c r="E24314">
        <v>428</v>
      </c>
      <c r="F24314">
        <v>188</v>
      </c>
      <c r="G24314">
        <v>17</v>
      </c>
      <c r="H24314">
        <v>26</v>
      </c>
      <c r="I24314">
        <v>445</v>
      </c>
      <c r="J24314">
        <v>1</v>
      </c>
      <c r="K24314">
        <v>22</v>
      </c>
      <c r="L24314">
        <v>440</v>
      </c>
      <c r="M24314">
        <v>1</v>
      </c>
      <c r="N24314">
        <v>3.8069799999999997E-133</v>
      </c>
      <c r="O24314">
        <v>1215</v>
      </c>
    </row>
    <row r="24315" spans="1:15" x14ac:dyDescent="0.25">
      <c r="A24315" t="s">
        <v>24328</v>
      </c>
      <c r="B24315">
        <v>640</v>
      </c>
      <c r="C24315" s="1" t="str">
        <f>HYPERLINK("http://www.rosaceae.org/gb/gbrowse/malus_x_domestica/?name=MDP0000165656","MDP0000165656")</f>
        <v>MDP0000165656</v>
      </c>
      <c r="D24315">
        <v>79.319999999999993</v>
      </c>
      <c r="E24315">
        <v>648</v>
      </c>
      <c r="F24315">
        <v>134</v>
      </c>
      <c r="G24315">
        <v>9</v>
      </c>
      <c r="H24315">
        <v>1</v>
      </c>
      <c r="I24315">
        <v>640</v>
      </c>
      <c r="J24315">
        <v>1</v>
      </c>
      <c r="K24315">
        <v>1</v>
      </c>
      <c r="L24315">
        <v>647</v>
      </c>
      <c r="M24315">
        <v>1</v>
      </c>
      <c r="N24315">
        <v>0</v>
      </c>
      <c r="O24315">
        <v>2558</v>
      </c>
    </row>
    <row r="24316" spans="1:15" x14ac:dyDescent="0.25">
      <c r="A24316" t="s">
        <v>24329</v>
      </c>
      <c r="B24316">
        <v>948</v>
      </c>
      <c r="C24316" s="1" t="str">
        <f>HYPERLINK("http://www.rosaceae.org/gb/gbrowse/malus_x_domestica/?name=MDP0000284188","MDP0000284188")</f>
        <v>MDP0000284188</v>
      </c>
      <c r="D24316">
        <v>84.15</v>
      </c>
      <c r="E24316">
        <v>385</v>
      </c>
      <c r="F24316">
        <v>61</v>
      </c>
      <c r="G24316">
        <v>8</v>
      </c>
      <c r="H24316">
        <v>569</v>
      </c>
      <c r="I24316">
        <v>948</v>
      </c>
      <c r="J24316">
        <v>1</v>
      </c>
      <c r="K24316">
        <v>560</v>
      </c>
      <c r="L24316">
        <v>941</v>
      </c>
      <c r="M24316">
        <v>1</v>
      </c>
      <c r="N24316">
        <v>0</v>
      </c>
      <c r="O24316">
        <v>1748</v>
      </c>
    </row>
    <row r="24317" spans="1:15" x14ac:dyDescent="0.25">
      <c r="A24317" t="s">
        <v>24330</v>
      </c>
      <c r="B24317">
        <v>125</v>
      </c>
      <c r="C24317" s="1" t="str">
        <f>HYPERLINK("http://www.rosaceae.org/gb/gbrowse/malus_x_domestica/?name=MDP0000676293","MDP0000676293")</f>
        <v>MDP0000676293</v>
      </c>
      <c r="D24317">
        <v>74.569999999999993</v>
      </c>
      <c r="E24317">
        <v>118</v>
      </c>
      <c r="F24317">
        <v>30</v>
      </c>
      <c r="G24317">
        <v>3</v>
      </c>
      <c r="H24317">
        <v>1</v>
      </c>
      <c r="I24317">
        <v>116</v>
      </c>
      <c r="J24317">
        <v>1</v>
      </c>
      <c r="K24317">
        <v>97</v>
      </c>
      <c r="L24317">
        <v>213</v>
      </c>
      <c r="M24317">
        <v>1</v>
      </c>
      <c r="N24317">
        <v>7.4659399999999998E-37</v>
      </c>
      <c r="O24317">
        <v>375</v>
      </c>
    </row>
    <row r="24318" spans="1:15" x14ac:dyDescent="0.25">
      <c r="A24318" t="s">
        <v>24331</v>
      </c>
      <c r="B24318">
        <v>554</v>
      </c>
      <c r="C24318" s="1" t="str">
        <f>HYPERLINK("http://www.rosaceae.org/gb/gbrowse/malus_x_domestica/?name=MDP0000189426","MDP0000189426")</f>
        <v>MDP0000189426</v>
      </c>
      <c r="D24318">
        <v>31.67</v>
      </c>
      <c r="E24318">
        <v>281</v>
      </c>
      <c r="F24318">
        <v>192</v>
      </c>
      <c r="G24318">
        <v>48</v>
      </c>
      <c r="H24318">
        <v>320</v>
      </c>
      <c r="I24318">
        <v>554</v>
      </c>
      <c r="J24318">
        <v>1</v>
      </c>
      <c r="K24318">
        <v>104</v>
      </c>
      <c r="L24318">
        <v>382</v>
      </c>
      <c r="M24318">
        <v>1</v>
      </c>
      <c r="N24318">
        <v>1.20844E-24</v>
      </c>
      <c r="O24318">
        <v>279</v>
      </c>
    </row>
    <row r="24319" spans="1:15" x14ac:dyDescent="0.25">
      <c r="A24319" t="s">
        <v>24332</v>
      </c>
      <c r="B24319">
        <v>380</v>
      </c>
      <c r="C24319" s="1" t="str">
        <f>HYPERLINK("http://www.rosaceae.org/gb/gbrowse/malus_x_domestica/?name=MDP0000129573","MDP0000129573")</f>
        <v>MDP0000129573</v>
      </c>
      <c r="D24319">
        <v>68.98</v>
      </c>
      <c r="E24319">
        <v>374</v>
      </c>
      <c r="F24319">
        <v>116</v>
      </c>
      <c r="G24319">
        <v>9</v>
      </c>
      <c r="H24319">
        <v>1</v>
      </c>
      <c r="I24319">
        <v>366</v>
      </c>
      <c r="J24319">
        <v>1</v>
      </c>
      <c r="K24319">
        <v>1</v>
      </c>
      <c r="L24319">
        <v>373</v>
      </c>
      <c r="M24319">
        <v>1</v>
      </c>
      <c r="N24319">
        <v>5.5516799999999995E-150</v>
      </c>
      <c r="O24319">
        <v>1359</v>
      </c>
    </row>
    <row r="24320" spans="1:15" x14ac:dyDescent="0.25">
      <c r="A24320" t="s">
        <v>24333</v>
      </c>
      <c r="B24320">
        <v>447</v>
      </c>
      <c r="C24320" s="1" t="str">
        <f>HYPERLINK("http://www.rosaceae.org/gb/gbrowse/malus_x_domestica/?name=MDP0000405883","MDP0000405883")</f>
        <v>MDP0000405883</v>
      </c>
      <c r="D24320">
        <v>31.19</v>
      </c>
      <c r="E24320">
        <v>359</v>
      </c>
      <c r="F24320">
        <v>247</v>
      </c>
      <c r="G24320">
        <v>27</v>
      </c>
      <c r="H24320">
        <v>16</v>
      </c>
      <c r="I24320">
        <v>367</v>
      </c>
      <c r="J24320">
        <v>1</v>
      </c>
      <c r="K24320">
        <v>25</v>
      </c>
      <c r="L24320">
        <v>363</v>
      </c>
      <c r="M24320">
        <v>1</v>
      </c>
      <c r="N24320">
        <v>1.0324000000000001E-39</v>
      </c>
      <c r="O24320">
        <v>408</v>
      </c>
    </row>
    <row r="24321" spans="1:15" x14ac:dyDescent="0.25">
      <c r="A24321" t="s">
        <v>24334</v>
      </c>
      <c r="B24321">
        <v>511</v>
      </c>
      <c r="C24321" s="1" t="str">
        <f>HYPERLINK("http://www.rosaceae.org/gb/gbrowse/malus_x_domestica/?name=MDP0000161222","MDP0000161222")</f>
        <v>MDP0000161222</v>
      </c>
      <c r="D24321">
        <v>31</v>
      </c>
      <c r="E24321">
        <v>100</v>
      </c>
      <c r="F24321">
        <v>69</v>
      </c>
      <c r="G24321">
        <v>2</v>
      </c>
      <c r="H24321">
        <v>20</v>
      </c>
      <c r="I24321">
        <v>119</v>
      </c>
      <c r="J24321">
        <v>1</v>
      </c>
      <c r="K24321">
        <v>153</v>
      </c>
      <c r="L24321">
        <v>250</v>
      </c>
      <c r="M24321">
        <v>1</v>
      </c>
      <c r="N24321">
        <v>9.7240299999999994E-14</v>
      </c>
      <c r="O24321">
        <v>185</v>
      </c>
    </row>
    <row r="24322" spans="1:15" x14ac:dyDescent="0.25">
      <c r="A24322" t="s">
        <v>24335</v>
      </c>
      <c r="B24322">
        <v>376</v>
      </c>
      <c r="C24322" s="1" t="str">
        <f>HYPERLINK("http://www.rosaceae.org/gb/gbrowse/malus_x_domestica/?name=MDP0000239826","MDP0000239826")</f>
        <v>MDP0000239826</v>
      </c>
      <c r="D24322">
        <v>34.450000000000003</v>
      </c>
      <c r="E24322">
        <v>267</v>
      </c>
      <c r="F24322">
        <v>175</v>
      </c>
      <c r="G24322">
        <v>31</v>
      </c>
      <c r="H24322">
        <v>92</v>
      </c>
      <c r="I24322">
        <v>328</v>
      </c>
      <c r="J24322">
        <v>1</v>
      </c>
      <c r="K24322">
        <v>199</v>
      </c>
      <c r="L24322">
        <v>464</v>
      </c>
      <c r="M24322">
        <v>1</v>
      </c>
      <c r="N24322">
        <v>1.3883800000000001E-45</v>
      </c>
      <c r="O24322">
        <v>458</v>
      </c>
    </row>
    <row r="24323" spans="1:15" x14ac:dyDescent="0.25">
      <c r="A24323" t="s">
        <v>24336</v>
      </c>
      <c r="B24323">
        <v>405</v>
      </c>
      <c r="C24323" s="1" t="str">
        <f>HYPERLINK("http://www.rosaceae.org/gb/gbrowse/malus_x_domestica/?name=MDP0000241635","MDP0000241635")</f>
        <v>MDP0000241635</v>
      </c>
      <c r="D24323">
        <v>53.31</v>
      </c>
      <c r="E24323">
        <v>407</v>
      </c>
      <c r="F24323">
        <v>190</v>
      </c>
      <c r="G24323">
        <v>4</v>
      </c>
      <c r="H24323">
        <v>1</v>
      </c>
      <c r="I24323">
        <v>404</v>
      </c>
      <c r="J24323">
        <v>1</v>
      </c>
      <c r="K24323">
        <v>58</v>
      </c>
      <c r="L24323">
        <v>463</v>
      </c>
      <c r="M24323">
        <v>1</v>
      </c>
      <c r="N24323">
        <v>4.3211800000000001E-110</v>
      </c>
      <c r="O24323">
        <v>1015</v>
      </c>
    </row>
    <row r="24324" spans="1:15" x14ac:dyDescent="0.25">
      <c r="A24324" t="s">
        <v>24337</v>
      </c>
      <c r="B24324">
        <v>284</v>
      </c>
      <c r="C24324" s="1" t="str">
        <f>HYPERLINK("http://www.rosaceae.org/gb/gbrowse/malus_x_domestica/?name=MDP0000163205","MDP0000163205")</f>
        <v>MDP0000163205</v>
      </c>
      <c r="D24324">
        <v>67.8</v>
      </c>
      <c r="E24324">
        <v>264</v>
      </c>
      <c r="F24324">
        <v>85</v>
      </c>
      <c r="G24324">
        <v>1</v>
      </c>
      <c r="H24324">
        <v>17</v>
      </c>
      <c r="I24324">
        <v>280</v>
      </c>
      <c r="J24324">
        <v>1</v>
      </c>
      <c r="K24324">
        <v>34</v>
      </c>
      <c r="L24324">
        <v>296</v>
      </c>
      <c r="M24324">
        <v>1</v>
      </c>
      <c r="N24324">
        <v>3.6374900000000002E-108</v>
      </c>
      <c r="O24324">
        <v>996</v>
      </c>
    </row>
    <row r="24325" spans="1:15" x14ac:dyDescent="0.25">
      <c r="A24325" t="s">
        <v>24338</v>
      </c>
      <c r="B24325">
        <v>384</v>
      </c>
      <c r="C24325" s="1" t="str">
        <f>HYPERLINK("http://www.rosaceae.org/gb/gbrowse/malus_x_domestica/?name=MDP0000389171","MDP0000389171")</f>
        <v>MDP0000389171</v>
      </c>
      <c r="D24325">
        <v>77.2</v>
      </c>
      <c r="E24325">
        <v>351</v>
      </c>
      <c r="F24325">
        <v>80</v>
      </c>
      <c r="G24325">
        <v>18</v>
      </c>
      <c r="H24325">
        <v>38</v>
      </c>
      <c r="I24325">
        <v>384</v>
      </c>
      <c r="J24325">
        <v>1</v>
      </c>
      <c r="K24325">
        <v>378</v>
      </c>
      <c r="L24325">
        <v>714</v>
      </c>
      <c r="M24325">
        <v>1</v>
      </c>
      <c r="N24325">
        <v>2.1907600000000002E-155</v>
      </c>
      <c r="O24325">
        <v>1405</v>
      </c>
    </row>
    <row r="24326" spans="1:15" x14ac:dyDescent="0.25">
      <c r="A24326" t="s">
        <v>24339</v>
      </c>
      <c r="B24326">
        <v>641</v>
      </c>
      <c r="C24326" s="1" t="str">
        <f>HYPERLINK("http://www.rosaceae.org/gb/gbrowse/malus_x_domestica/?name=MDP0000220481","MDP0000220481")</f>
        <v>MDP0000220481</v>
      </c>
      <c r="D24326">
        <v>76.319999999999993</v>
      </c>
      <c r="E24326">
        <v>490</v>
      </c>
      <c r="F24326">
        <v>116</v>
      </c>
      <c r="G24326">
        <v>16</v>
      </c>
      <c r="H24326">
        <v>24</v>
      </c>
      <c r="I24326">
        <v>512</v>
      </c>
      <c r="J24326">
        <v>1</v>
      </c>
      <c r="K24326">
        <v>15</v>
      </c>
      <c r="L24326">
        <v>489</v>
      </c>
      <c r="M24326">
        <v>1</v>
      </c>
      <c r="N24326">
        <v>0</v>
      </c>
      <c r="O24326">
        <v>1962</v>
      </c>
    </row>
    <row r="24327" spans="1:15" x14ac:dyDescent="0.25">
      <c r="A24327" t="s">
        <v>24340</v>
      </c>
      <c r="B24327">
        <v>418</v>
      </c>
      <c r="C24327" s="1" t="str">
        <f>HYPERLINK("http://www.rosaceae.org/gb/gbrowse/malus_x_domestica/?name=MDP0000902543","MDP0000902543")</f>
        <v>MDP0000902543</v>
      </c>
      <c r="D24327">
        <v>24.77</v>
      </c>
      <c r="E24327">
        <v>335</v>
      </c>
      <c r="F24327">
        <v>252</v>
      </c>
      <c r="G24327">
        <v>50</v>
      </c>
      <c r="H24327">
        <v>80</v>
      </c>
      <c r="I24327">
        <v>400</v>
      </c>
      <c r="J24327">
        <v>1</v>
      </c>
      <c r="K24327">
        <v>68</v>
      </c>
      <c r="L24327">
        <v>366</v>
      </c>
      <c r="M24327">
        <v>1</v>
      </c>
      <c r="N24327">
        <v>3.11077E-9</v>
      </c>
      <c r="O24327">
        <v>145</v>
      </c>
    </row>
    <row r="24328" spans="1:15" x14ac:dyDescent="0.25">
      <c r="A24328" t="s">
        <v>24341</v>
      </c>
      <c r="B24328">
        <v>346</v>
      </c>
      <c r="C24328" s="1" t="str">
        <f>HYPERLINK("http://www.rosaceae.org/gb/gbrowse/malus_x_domestica/?name=MDP0000162563","MDP0000162563")</f>
        <v>MDP0000162563</v>
      </c>
      <c r="D24328">
        <v>55.87</v>
      </c>
      <c r="E24328">
        <v>315</v>
      </c>
      <c r="F24328">
        <v>139</v>
      </c>
      <c r="G24328">
        <v>39</v>
      </c>
      <c r="H24328">
        <v>40</v>
      </c>
      <c r="I24328">
        <v>321</v>
      </c>
      <c r="J24328">
        <v>1</v>
      </c>
      <c r="K24328">
        <v>14</v>
      </c>
      <c r="L24328">
        <v>322</v>
      </c>
      <c r="M24328">
        <v>1</v>
      </c>
      <c r="N24328">
        <v>1.9430500000000001E-91</v>
      </c>
      <c r="O24328">
        <v>853</v>
      </c>
    </row>
    <row r="24329" spans="1:15" x14ac:dyDescent="0.25">
      <c r="A24329" t="s">
        <v>24342</v>
      </c>
      <c r="B24329">
        <v>105</v>
      </c>
      <c r="C24329" s="1" t="str">
        <f>HYPERLINK("http://www.rosaceae.org/gb/gbrowse/malus_x_domestica/?name=MDP0000219819","MDP0000219819")</f>
        <v>MDP0000219819</v>
      </c>
      <c r="D24329">
        <v>72.13</v>
      </c>
      <c r="E24329">
        <v>61</v>
      </c>
      <c r="F24329">
        <v>17</v>
      </c>
      <c r="G24329">
        <v>2</v>
      </c>
      <c r="H24329">
        <v>2</v>
      </c>
      <c r="I24329">
        <v>60</v>
      </c>
      <c r="J24329">
        <v>1</v>
      </c>
      <c r="K24329">
        <v>130</v>
      </c>
      <c r="L24329">
        <v>190</v>
      </c>
      <c r="M24329">
        <v>1</v>
      </c>
      <c r="N24329">
        <v>9.7170300000000007E-19</v>
      </c>
      <c r="O24329">
        <v>219</v>
      </c>
    </row>
    <row r="24330" spans="1:15" x14ac:dyDescent="0.25">
      <c r="A24330" t="s">
        <v>24343</v>
      </c>
      <c r="B24330">
        <v>310</v>
      </c>
      <c r="C24330" s="1" t="str">
        <f>HYPERLINK("http://www.rosaceae.org/gb/gbrowse/malus_x_domestica/?name=MDP0000180449","MDP0000180449")</f>
        <v>MDP0000180449</v>
      </c>
      <c r="D24330">
        <v>61.27</v>
      </c>
      <c r="E24330">
        <v>297</v>
      </c>
      <c r="F24330">
        <v>115</v>
      </c>
      <c r="G24330">
        <v>13</v>
      </c>
      <c r="H24330">
        <v>4</v>
      </c>
      <c r="I24330">
        <v>289</v>
      </c>
      <c r="J24330">
        <v>1</v>
      </c>
      <c r="K24330">
        <v>7</v>
      </c>
      <c r="L24330">
        <v>301</v>
      </c>
      <c r="M24330">
        <v>1</v>
      </c>
      <c r="N24330">
        <v>1.35336E-93</v>
      </c>
      <c r="O24330">
        <v>871</v>
      </c>
    </row>
    <row r="24331" spans="1:15" x14ac:dyDescent="0.25">
      <c r="A24331" t="s">
        <v>24344</v>
      </c>
      <c r="B24331">
        <v>413</v>
      </c>
      <c r="C24331" s="1" t="str">
        <f>HYPERLINK("http://www.rosaceae.org/gb/gbrowse/malus_x_domestica/?name=MDP0000267409","MDP0000267409")</f>
        <v>MDP0000267409</v>
      </c>
      <c r="D24331">
        <v>29.33</v>
      </c>
      <c r="E24331">
        <v>450</v>
      </c>
      <c r="F24331">
        <v>318</v>
      </c>
      <c r="G24331">
        <v>135</v>
      </c>
      <c r="H24331">
        <v>10</v>
      </c>
      <c r="I24331">
        <v>334</v>
      </c>
      <c r="J24331">
        <v>1</v>
      </c>
      <c r="K24331">
        <v>541</v>
      </c>
      <c r="L24331">
        <v>980</v>
      </c>
      <c r="M24331">
        <v>1</v>
      </c>
      <c r="N24331">
        <v>2.5955699999999999E-31</v>
      </c>
      <c r="O24331">
        <v>336</v>
      </c>
    </row>
    <row r="24332" spans="1:15" x14ac:dyDescent="0.25">
      <c r="A24332" t="s">
        <v>24345</v>
      </c>
      <c r="B24332">
        <v>428</v>
      </c>
      <c r="C24332" s="1" t="str">
        <f>HYPERLINK("http://www.rosaceae.org/gb/gbrowse/malus_x_domestica/?name=MDP0000808501","MDP0000808501")</f>
        <v>MDP0000808501</v>
      </c>
      <c r="D24332">
        <v>37.979999999999997</v>
      </c>
      <c r="E24332">
        <v>437</v>
      </c>
      <c r="F24332">
        <v>271</v>
      </c>
      <c r="G24332">
        <v>72</v>
      </c>
      <c r="H24332">
        <v>14</v>
      </c>
      <c r="I24332">
        <v>427</v>
      </c>
      <c r="J24332">
        <v>1</v>
      </c>
      <c r="K24332">
        <v>10</v>
      </c>
      <c r="L24332">
        <v>397</v>
      </c>
      <c r="M24332">
        <v>1</v>
      </c>
      <c r="N24332">
        <v>8.60465E-62</v>
      </c>
      <c r="O24332">
        <v>599</v>
      </c>
    </row>
    <row r="24333" spans="1:15" x14ac:dyDescent="0.25">
      <c r="A24333" t="s">
        <v>24346</v>
      </c>
      <c r="B24333">
        <v>1268</v>
      </c>
      <c r="C24333" s="1" t="str">
        <f>HYPERLINK("http://www.rosaceae.org/gb/gbrowse/malus_x_domestica/?name=MDP0000292611","MDP0000292611")</f>
        <v>MDP0000292611</v>
      </c>
      <c r="D24333">
        <v>78.650000000000006</v>
      </c>
      <c r="E24333">
        <v>1232</v>
      </c>
      <c r="F24333">
        <v>263</v>
      </c>
      <c r="G24333">
        <v>6</v>
      </c>
      <c r="H24333">
        <v>41</v>
      </c>
      <c r="I24333">
        <v>1268</v>
      </c>
      <c r="J24333">
        <v>1</v>
      </c>
      <c r="K24333">
        <v>1</v>
      </c>
      <c r="L24333">
        <v>1230</v>
      </c>
      <c r="M24333">
        <v>1</v>
      </c>
      <c r="N24333">
        <v>0</v>
      </c>
      <c r="O24333">
        <v>5079</v>
      </c>
    </row>
    <row r="24334" spans="1:15" x14ac:dyDescent="0.25">
      <c r="A24334" t="s">
        <v>24347</v>
      </c>
      <c r="B24334">
        <v>177</v>
      </c>
      <c r="C24334" s="1" t="str">
        <f>HYPERLINK("http://www.rosaceae.org/gb/gbrowse/malus_x_domestica/?name=MDP0000669625","MDP0000669625")</f>
        <v>MDP0000669625</v>
      </c>
      <c r="D24334">
        <v>73.94</v>
      </c>
      <c r="E24334">
        <v>119</v>
      </c>
      <c r="F24334">
        <v>31</v>
      </c>
      <c r="G24334">
        <v>2</v>
      </c>
      <c r="H24334">
        <v>20</v>
      </c>
      <c r="I24334">
        <v>136</v>
      </c>
      <c r="J24334">
        <v>1</v>
      </c>
      <c r="K24334">
        <v>19</v>
      </c>
      <c r="L24334">
        <v>137</v>
      </c>
      <c r="M24334">
        <v>1</v>
      </c>
      <c r="N24334">
        <v>5.5527399999999997E-50</v>
      </c>
      <c r="O24334">
        <v>492</v>
      </c>
    </row>
    <row r="24335" spans="1:15" x14ac:dyDescent="0.25">
      <c r="A24335" t="s">
        <v>24348</v>
      </c>
      <c r="B24335">
        <v>805</v>
      </c>
      <c r="C24335" s="1" t="str">
        <f>HYPERLINK("http://www.rosaceae.org/gb/gbrowse/malus_x_domestica/?name=MDP0000319684","MDP0000319684")</f>
        <v>MDP0000319684</v>
      </c>
      <c r="D24335">
        <v>49.75</v>
      </c>
      <c r="E24335">
        <v>203</v>
      </c>
      <c r="F24335">
        <v>102</v>
      </c>
      <c r="G24335">
        <v>39</v>
      </c>
      <c r="H24335">
        <v>526</v>
      </c>
      <c r="I24335">
        <v>728</v>
      </c>
      <c r="J24335">
        <v>1</v>
      </c>
      <c r="K24335">
        <v>137</v>
      </c>
      <c r="L24335">
        <v>300</v>
      </c>
      <c r="M24335">
        <v>1</v>
      </c>
      <c r="N24335">
        <v>1.7756799999999999E-41</v>
      </c>
      <c r="O24335">
        <v>426</v>
      </c>
    </row>
    <row r="24336" spans="1:15" x14ac:dyDescent="0.25">
      <c r="A24336" t="s">
        <v>24349</v>
      </c>
      <c r="B24336">
        <v>2030</v>
      </c>
      <c r="C24336" s="1" t="str">
        <f>HYPERLINK("http://www.rosaceae.org/gb/gbrowse/malus_x_domestica/?name=MDP0000274501","MDP0000274501")</f>
        <v>MDP0000274501</v>
      </c>
      <c r="D24336">
        <v>68.08</v>
      </c>
      <c r="E24336">
        <v>965</v>
      </c>
      <c r="F24336">
        <v>308</v>
      </c>
      <c r="G24336">
        <v>56</v>
      </c>
      <c r="H24336">
        <v>55</v>
      </c>
      <c r="I24336">
        <v>989</v>
      </c>
      <c r="J24336">
        <v>1</v>
      </c>
      <c r="K24336">
        <v>19</v>
      </c>
      <c r="L24336">
        <v>957</v>
      </c>
      <c r="M24336">
        <v>1</v>
      </c>
      <c r="N24336">
        <v>0</v>
      </c>
      <c r="O24336">
        <v>3522</v>
      </c>
    </row>
    <row r="24337" spans="1:15" x14ac:dyDescent="0.25">
      <c r="A24337" t="s">
        <v>24350</v>
      </c>
      <c r="B24337">
        <v>502</v>
      </c>
      <c r="C24337" s="1" t="str">
        <f>HYPERLINK("http://www.rosaceae.org/gb/gbrowse/malus_x_domestica/?name=MDP0000298646","MDP0000298646")</f>
        <v>MDP0000298646</v>
      </c>
      <c r="D24337">
        <v>63.19</v>
      </c>
      <c r="E24337">
        <v>519</v>
      </c>
      <c r="F24337">
        <v>191</v>
      </c>
      <c r="G24337">
        <v>19</v>
      </c>
      <c r="H24337">
        <v>1</v>
      </c>
      <c r="I24337">
        <v>500</v>
      </c>
      <c r="J24337">
        <v>1</v>
      </c>
      <c r="K24337">
        <v>1</v>
      </c>
      <c r="L24337">
        <v>519</v>
      </c>
      <c r="M24337">
        <v>1</v>
      </c>
      <c r="N24337">
        <v>0</v>
      </c>
      <c r="O24337">
        <v>1699</v>
      </c>
    </row>
    <row r="24338" spans="1:15" x14ac:dyDescent="0.25">
      <c r="A24338" t="s">
        <v>24351</v>
      </c>
      <c r="B24338">
        <v>321</v>
      </c>
      <c r="C24338" s="1" t="str">
        <f>HYPERLINK("http://www.rosaceae.org/gb/gbrowse/malus_x_domestica/?name=MDP0000158955","MDP0000158955")</f>
        <v>MDP0000158955</v>
      </c>
      <c r="D24338">
        <v>65.81</v>
      </c>
      <c r="E24338">
        <v>275</v>
      </c>
      <c r="F24338">
        <v>94</v>
      </c>
      <c r="G24338">
        <v>7</v>
      </c>
      <c r="H24338">
        <v>44</v>
      </c>
      <c r="I24338">
        <v>314</v>
      </c>
      <c r="J24338">
        <v>1</v>
      </c>
      <c r="K24338">
        <v>48</v>
      </c>
      <c r="L24338">
        <v>319</v>
      </c>
      <c r="M24338">
        <v>1</v>
      </c>
      <c r="N24338">
        <v>2.4649700000000001E-103</v>
      </c>
      <c r="O24338">
        <v>955</v>
      </c>
    </row>
    <row r="24339" spans="1:15" x14ac:dyDescent="0.25">
      <c r="A24339" t="s">
        <v>24352</v>
      </c>
      <c r="B24339">
        <v>340</v>
      </c>
      <c r="C24339" s="1" t="str">
        <f>HYPERLINK("http://www.rosaceae.org/gb/gbrowse/malus_x_domestica/?name=MDP0000316683","MDP0000316683")</f>
        <v>MDP0000316683</v>
      </c>
      <c r="D24339">
        <v>63.63</v>
      </c>
      <c r="E24339">
        <v>132</v>
      </c>
      <c r="F24339">
        <v>48</v>
      </c>
      <c r="G24339">
        <v>4</v>
      </c>
      <c r="H24339">
        <v>121</v>
      </c>
      <c r="I24339">
        <v>252</v>
      </c>
      <c r="J24339">
        <v>1</v>
      </c>
      <c r="K24339">
        <v>13</v>
      </c>
      <c r="L24339">
        <v>140</v>
      </c>
      <c r="M24339">
        <v>1</v>
      </c>
      <c r="N24339">
        <v>8.4895600000000001E-41</v>
      </c>
      <c r="O24339">
        <v>416</v>
      </c>
    </row>
    <row r="24340" spans="1:15" x14ac:dyDescent="0.25">
      <c r="A24340" t="s">
        <v>24353</v>
      </c>
      <c r="B24340">
        <v>640</v>
      </c>
      <c r="C24340" s="1" t="str">
        <f>HYPERLINK("http://www.rosaceae.org/gb/gbrowse/malus_x_domestica/?name=MDP0000413974","MDP0000413974")</f>
        <v>MDP0000413974</v>
      </c>
      <c r="D24340">
        <v>72.349999999999994</v>
      </c>
      <c r="E24340">
        <v>662</v>
      </c>
      <c r="F24340">
        <v>183</v>
      </c>
      <c r="G24340">
        <v>36</v>
      </c>
      <c r="H24340">
        <v>1</v>
      </c>
      <c r="I24340">
        <v>640</v>
      </c>
      <c r="J24340">
        <v>1</v>
      </c>
      <c r="K24340">
        <v>1</v>
      </c>
      <c r="L24340">
        <v>648</v>
      </c>
      <c r="M24340">
        <v>1</v>
      </c>
      <c r="N24340">
        <v>0</v>
      </c>
      <c r="O24340">
        <v>2467</v>
      </c>
    </row>
    <row r="24341" spans="1:15" x14ac:dyDescent="0.25">
      <c r="A24341" t="s">
        <v>24354</v>
      </c>
      <c r="B24341">
        <v>188</v>
      </c>
      <c r="C24341" s="1" t="str">
        <f>HYPERLINK("http://www.rosaceae.org/gb/gbrowse/malus_x_domestica/?name=MDP0000457509","MDP0000457509")</f>
        <v>MDP0000457509</v>
      </c>
      <c r="D24341">
        <v>38.58</v>
      </c>
      <c r="E24341">
        <v>127</v>
      </c>
      <c r="F24341">
        <v>78</v>
      </c>
      <c r="G24341">
        <v>16</v>
      </c>
      <c r="H24341">
        <v>65</v>
      </c>
      <c r="I24341">
        <v>184</v>
      </c>
      <c r="J24341">
        <v>1</v>
      </c>
      <c r="K24341">
        <v>62</v>
      </c>
      <c r="L24341">
        <v>179</v>
      </c>
      <c r="M24341">
        <v>1</v>
      </c>
      <c r="N24341">
        <v>8.7688300000000007E-12</v>
      </c>
      <c r="O24341">
        <v>163</v>
      </c>
    </row>
    <row r="24342" spans="1:15" x14ac:dyDescent="0.25">
      <c r="A24342" t="s">
        <v>24355</v>
      </c>
      <c r="B24342">
        <v>920</v>
      </c>
      <c r="C24342" s="1" t="str">
        <f>HYPERLINK("http://www.rosaceae.org/gb/gbrowse/malus_x_domestica/?name=MDP0000191117","MDP0000191117")</f>
        <v>MDP0000191117</v>
      </c>
      <c r="D24342">
        <v>54.39</v>
      </c>
      <c r="E24342">
        <v>739</v>
      </c>
      <c r="F24342">
        <v>337</v>
      </c>
      <c r="G24342">
        <v>84</v>
      </c>
      <c r="H24342">
        <v>207</v>
      </c>
      <c r="I24342">
        <v>920</v>
      </c>
      <c r="J24342">
        <v>1</v>
      </c>
      <c r="K24342">
        <v>178</v>
      </c>
      <c r="L24342">
        <v>857</v>
      </c>
      <c r="M24342">
        <v>1</v>
      </c>
      <c r="N24342">
        <v>0</v>
      </c>
      <c r="O24342">
        <v>1642</v>
      </c>
    </row>
    <row r="24343" spans="1:15" x14ac:dyDescent="0.25">
      <c r="A24343" t="s">
        <v>24356</v>
      </c>
      <c r="B24343">
        <v>410</v>
      </c>
      <c r="C24343" s="1" t="str">
        <f>HYPERLINK("http://www.rosaceae.org/gb/gbrowse/malus_x_domestica/?name=MDP0000261294","MDP0000261294")</f>
        <v>MDP0000261294</v>
      </c>
      <c r="D24343">
        <v>61.76</v>
      </c>
      <c r="E24343">
        <v>68</v>
      </c>
      <c r="F24343">
        <v>26</v>
      </c>
      <c r="G24343">
        <v>16</v>
      </c>
      <c r="H24343">
        <v>327</v>
      </c>
      <c r="I24343">
        <v>380</v>
      </c>
      <c r="J24343">
        <v>1</v>
      </c>
      <c r="K24343">
        <v>137</v>
      </c>
      <c r="L24343">
        <v>202</v>
      </c>
      <c r="M24343">
        <v>1</v>
      </c>
      <c r="N24343">
        <v>1.0586599999999999E-11</v>
      </c>
      <c r="O24343">
        <v>166</v>
      </c>
    </row>
    <row r="24344" spans="1:15" x14ac:dyDescent="0.25">
      <c r="A24344" t="s">
        <v>24357</v>
      </c>
      <c r="B24344">
        <v>432</v>
      </c>
      <c r="C24344" s="1" t="str">
        <f>HYPERLINK("http://www.rosaceae.org/gb/gbrowse/malus_x_domestica/?name=MDP0000522795","MDP0000522795")</f>
        <v>MDP0000522795</v>
      </c>
      <c r="D24344">
        <v>72.010000000000005</v>
      </c>
      <c r="E24344">
        <v>318</v>
      </c>
      <c r="F24344">
        <v>89</v>
      </c>
      <c r="G24344">
        <v>3</v>
      </c>
      <c r="H24344">
        <v>114</v>
      </c>
      <c r="I24344">
        <v>429</v>
      </c>
      <c r="J24344">
        <v>1</v>
      </c>
      <c r="K24344">
        <v>25</v>
      </c>
      <c r="L24344">
        <v>341</v>
      </c>
      <c r="M24344">
        <v>1</v>
      </c>
      <c r="N24344">
        <v>1.49432E-128</v>
      </c>
      <c r="O24344">
        <v>1174</v>
      </c>
    </row>
    <row r="24345" spans="1:15" x14ac:dyDescent="0.25">
      <c r="A24345" t="s">
        <v>24358</v>
      </c>
      <c r="B24345">
        <v>956</v>
      </c>
      <c r="C24345" s="1" t="str">
        <f>HYPERLINK("http://www.rosaceae.org/gb/gbrowse/malus_x_domestica/?name=MDP0000319355","MDP0000319355")</f>
        <v>MDP0000319355</v>
      </c>
      <c r="D24345">
        <v>61.02</v>
      </c>
      <c r="E24345">
        <v>1016</v>
      </c>
      <c r="F24345">
        <v>396</v>
      </c>
      <c r="G24345">
        <v>99</v>
      </c>
      <c r="H24345">
        <v>5</v>
      </c>
      <c r="I24345">
        <v>956</v>
      </c>
      <c r="J24345">
        <v>1</v>
      </c>
      <c r="K24345">
        <v>35</v>
      </c>
      <c r="L24345">
        <v>1015</v>
      </c>
      <c r="M24345">
        <v>1</v>
      </c>
      <c r="N24345">
        <v>0</v>
      </c>
      <c r="O24345">
        <v>3047</v>
      </c>
    </row>
    <row r="24346" spans="1:15" x14ac:dyDescent="0.25">
      <c r="A24346" t="s">
        <v>24359</v>
      </c>
      <c r="B24346">
        <v>228</v>
      </c>
      <c r="C24346" s="1" t="str">
        <f>HYPERLINK("http://www.rosaceae.org/gb/gbrowse/malus_x_domestica/?name=MDP0000888400","MDP0000888400")</f>
        <v>MDP0000888400</v>
      </c>
      <c r="D24346">
        <v>49.26</v>
      </c>
      <c r="E24346">
        <v>136</v>
      </c>
      <c r="F24346">
        <v>69</v>
      </c>
      <c r="G24346">
        <v>9</v>
      </c>
      <c r="H24346">
        <v>98</v>
      </c>
      <c r="I24346">
        <v>228</v>
      </c>
      <c r="J24346">
        <v>1</v>
      </c>
      <c r="K24346">
        <v>63</v>
      </c>
      <c r="L24346">
        <v>194</v>
      </c>
      <c r="M24346">
        <v>1</v>
      </c>
      <c r="N24346">
        <v>2.33476E-17</v>
      </c>
      <c r="O24346">
        <v>212</v>
      </c>
    </row>
    <row r="24347" spans="1:15" x14ac:dyDescent="0.25">
      <c r="A24347" t="s">
        <v>24360</v>
      </c>
      <c r="B24347">
        <v>446</v>
      </c>
      <c r="C24347" s="1" t="str">
        <f>HYPERLINK("http://www.rosaceae.org/gb/gbrowse/malus_x_domestica/?name=MDP0000263256","MDP0000263256")</f>
        <v>MDP0000263256</v>
      </c>
      <c r="D24347">
        <v>36.11</v>
      </c>
      <c r="E24347">
        <v>432</v>
      </c>
      <c r="F24347">
        <v>276</v>
      </c>
      <c r="G24347">
        <v>64</v>
      </c>
      <c r="H24347">
        <v>46</v>
      </c>
      <c r="I24347">
        <v>446</v>
      </c>
      <c r="J24347">
        <v>1</v>
      </c>
      <c r="K24347">
        <v>337</v>
      </c>
      <c r="L24347">
        <v>735</v>
      </c>
      <c r="M24347">
        <v>1</v>
      </c>
      <c r="N24347">
        <v>1.0234100000000001E-59</v>
      </c>
      <c r="O24347">
        <v>581</v>
      </c>
    </row>
    <row r="24348" spans="1:15" x14ac:dyDescent="0.25">
      <c r="A24348" t="s">
        <v>24361</v>
      </c>
      <c r="B24348">
        <v>124</v>
      </c>
      <c r="C24348" s="1" t="str">
        <f>HYPERLINK("http://www.rosaceae.org/gb/gbrowse/malus_x_domestica/?name=MDP0000136208","MDP0000136208")</f>
        <v>MDP0000136208</v>
      </c>
      <c r="D24348">
        <v>69.599999999999994</v>
      </c>
      <c r="E24348">
        <v>125</v>
      </c>
      <c r="F24348">
        <v>38</v>
      </c>
      <c r="G24348">
        <v>22</v>
      </c>
      <c r="H24348">
        <v>1</v>
      </c>
      <c r="I24348">
        <v>103</v>
      </c>
      <c r="J24348">
        <v>1</v>
      </c>
      <c r="K24348">
        <v>401</v>
      </c>
      <c r="L24348">
        <v>525</v>
      </c>
      <c r="M24348">
        <v>1</v>
      </c>
      <c r="N24348">
        <v>3.2734299999999999E-44</v>
      </c>
      <c r="O24348">
        <v>439</v>
      </c>
    </row>
    <row r="24349" spans="1:15" x14ac:dyDescent="0.25">
      <c r="A24349" t="s">
        <v>24362</v>
      </c>
      <c r="B24349">
        <v>235</v>
      </c>
      <c r="C24349" s="1" t="str">
        <f>HYPERLINK("http://www.rosaceae.org/gb/gbrowse/malus_x_domestica/?name=MDP0000209705","MDP0000209705")</f>
        <v>MDP0000209705</v>
      </c>
      <c r="D24349">
        <v>60.4</v>
      </c>
      <c r="E24349">
        <v>149</v>
      </c>
      <c r="F24349">
        <v>59</v>
      </c>
      <c r="G24349">
        <v>4</v>
      </c>
      <c r="H24349">
        <v>5</v>
      </c>
      <c r="I24349">
        <v>149</v>
      </c>
      <c r="J24349">
        <v>1</v>
      </c>
      <c r="K24349">
        <v>2</v>
      </c>
      <c r="L24349">
        <v>150</v>
      </c>
      <c r="M24349">
        <v>1</v>
      </c>
      <c r="N24349">
        <v>1.1626900000000001E-44</v>
      </c>
      <c r="O24349">
        <v>448</v>
      </c>
    </row>
    <row r="24350" spans="1:15" x14ac:dyDescent="0.25">
      <c r="A24350" t="s">
        <v>24363</v>
      </c>
      <c r="B24350">
        <v>296</v>
      </c>
      <c r="C24350" s="1" t="str">
        <f>HYPERLINK("http://www.rosaceae.org/gb/gbrowse/malus_x_domestica/?name=MDP0000241126","MDP0000241126")</f>
        <v>MDP0000241126</v>
      </c>
      <c r="D24350">
        <v>55.7</v>
      </c>
      <c r="E24350">
        <v>219</v>
      </c>
      <c r="F24350">
        <v>97</v>
      </c>
      <c r="G24350">
        <v>3</v>
      </c>
      <c r="H24350">
        <v>30</v>
      </c>
      <c r="I24350">
        <v>246</v>
      </c>
      <c r="J24350">
        <v>1</v>
      </c>
      <c r="K24350">
        <v>31</v>
      </c>
      <c r="L24350">
        <v>248</v>
      </c>
      <c r="M24350">
        <v>1</v>
      </c>
      <c r="N24350">
        <v>1.1218100000000001E-67</v>
      </c>
      <c r="O24350">
        <v>648</v>
      </c>
    </row>
    <row r="24351" spans="1:15" x14ac:dyDescent="0.25">
      <c r="A24351" t="s">
        <v>24364</v>
      </c>
      <c r="B24351">
        <v>408</v>
      </c>
      <c r="C24351" s="1" t="str">
        <f>HYPERLINK("http://www.rosaceae.org/gb/gbrowse/malus_x_domestica/?name=MDP0000249510","MDP0000249510")</f>
        <v>MDP0000249510</v>
      </c>
      <c r="D24351">
        <v>55.08</v>
      </c>
      <c r="E24351">
        <v>472</v>
      </c>
      <c r="F24351">
        <v>212</v>
      </c>
      <c r="G24351">
        <v>74</v>
      </c>
      <c r="H24351">
        <v>7</v>
      </c>
      <c r="I24351">
        <v>408</v>
      </c>
      <c r="J24351">
        <v>1</v>
      </c>
      <c r="K24351">
        <v>6</v>
      </c>
      <c r="L24351">
        <v>473</v>
      </c>
      <c r="M24351">
        <v>1</v>
      </c>
      <c r="N24351">
        <v>2.3208499999999998E-130</v>
      </c>
      <c r="O24351">
        <v>1190</v>
      </c>
    </row>
    <row r="24352" spans="1:15" x14ac:dyDescent="0.25">
      <c r="A24352" t="s">
        <v>24365</v>
      </c>
      <c r="B24352">
        <v>232</v>
      </c>
      <c r="C24352" s="1" t="str">
        <f>HYPERLINK("http://www.rosaceae.org/gb/gbrowse/malus_x_domestica/?name=MDP0000455844","MDP0000455844")</f>
        <v>MDP0000455844</v>
      </c>
      <c r="D24352">
        <v>78.38</v>
      </c>
      <c r="E24352">
        <v>236</v>
      </c>
      <c r="F24352">
        <v>51</v>
      </c>
      <c r="G24352">
        <v>13</v>
      </c>
      <c r="H24352">
        <v>1</v>
      </c>
      <c r="I24352">
        <v>224</v>
      </c>
      <c r="J24352">
        <v>1</v>
      </c>
      <c r="K24352">
        <v>350</v>
      </c>
      <c r="L24352">
        <v>584</v>
      </c>
      <c r="M24352">
        <v>1</v>
      </c>
      <c r="N24352">
        <v>1.3661400000000001E-101</v>
      </c>
      <c r="O24352">
        <v>939</v>
      </c>
    </row>
    <row r="24353" spans="1:15" x14ac:dyDescent="0.25">
      <c r="A24353" t="s">
        <v>24366</v>
      </c>
      <c r="B24353">
        <v>115</v>
      </c>
      <c r="C24353" s="1" t="str">
        <f>HYPERLINK("http://www.rosaceae.org/gb/gbrowse/malus_x_domestica/?name=MDP0000138698","MDP0000138698")</f>
        <v>MDP0000138698</v>
      </c>
      <c r="D24353">
        <v>42.73</v>
      </c>
      <c r="E24353">
        <v>117</v>
      </c>
      <c r="F24353">
        <v>67</v>
      </c>
      <c r="G24353">
        <v>8</v>
      </c>
      <c r="H24353">
        <v>2</v>
      </c>
      <c r="I24353">
        <v>113</v>
      </c>
      <c r="J24353">
        <v>1</v>
      </c>
      <c r="K24353">
        <v>242</v>
      </c>
      <c r="L24353">
        <v>355</v>
      </c>
      <c r="M24353">
        <v>1</v>
      </c>
      <c r="N24353">
        <v>9.2636999999999994E-15</v>
      </c>
      <c r="O24353">
        <v>185</v>
      </c>
    </row>
    <row r="24354" spans="1:15" x14ac:dyDescent="0.25">
      <c r="A24354" t="s">
        <v>24367</v>
      </c>
      <c r="B24354">
        <v>1783</v>
      </c>
      <c r="C24354" s="1" t="str">
        <f>HYPERLINK("http://www.rosaceae.org/gb/gbrowse/malus_x_domestica/?name=MDP0000193753","MDP0000193753")</f>
        <v>MDP0000193753</v>
      </c>
      <c r="D24354">
        <v>64.84</v>
      </c>
      <c r="E24354">
        <v>1394</v>
      </c>
      <c r="F24354">
        <v>490</v>
      </c>
      <c r="G24354">
        <v>83</v>
      </c>
      <c r="H24354">
        <v>411</v>
      </c>
      <c r="I24354">
        <v>1781</v>
      </c>
      <c r="J24354">
        <v>1</v>
      </c>
      <c r="K24354">
        <v>335</v>
      </c>
      <c r="L24354">
        <v>1668</v>
      </c>
      <c r="M24354">
        <v>1</v>
      </c>
      <c r="N24354">
        <v>0</v>
      </c>
      <c r="O24354">
        <v>4507</v>
      </c>
    </row>
    <row r="24355" spans="1:15" x14ac:dyDescent="0.25">
      <c r="A24355" t="s">
        <v>24368</v>
      </c>
      <c r="B24355">
        <v>329</v>
      </c>
      <c r="C24355" s="1" t="str">
        <f>HYPERLINK("http://www.rosaceae.org/gb/gbrowse/malus_x_domestica/?name=MDP0000296199","MDP0000296199")</f>
        <v>MDP0000296199</v>
      </c>
      <c r="D24355">
        <v>44.34</v>
      </c>
      <c r="E24355">
        <v>336</v>
      </c>
      <c r="F24355">
        <v>187</v>
      </c>
      <c r="G24355">
        <v>36</v>
      </c>
      <c r="H24355">
        <v>1</v>
      </c>
      <c r="I24355">
        <v>304</v>
      </c>
      <c r="J24355">
        <v>1</v>
      </c>
      <c r="K24355">
        <v>1</v>
      </c>
      <c r="L24355">
        <v>332</v>
      </c>
      <c r="M24355">
        <v>1</v>
      </c>
      <c r="N24355">
        <v>3.2120700000000002E-63</v>
      </c>
      <c r="O24355">
        <v>610</v>
      </c>
    </row>
    <row r="24356" spans="1:15" x14ac:dyDescent="0.25">
      <c r="A24356" t="s">
        <v>24369</v>
      </c>
      <c r="B24356">
        <v>503</v>
      </c>
      <c r="C24356" s="1" t="str">
        <f>HYPERLINK("http://www.rosaceae.org/gb/gbrowse/malus_x_domestica/?name=MDP0000192603","MDP0000192603")</f>
        <v>MDP0000192603</v>
      </c>
      <c r="D24356">
        <v>90.89</v>
      </c>
      <c r="E24356">
        <v>494</v>
      </c>
      <c r="F24356">
        <v>45</v>
      </c>
      <c r="G24356">
        <v>5</v>
      </c>
      <c r="H24356">
        <v>13</v>
      </c>
      <c r="I24356">
        <v>503</v>
      </c>
      <c r="J24356">
        <v>1</v>
      </c>
      <c r="K24356">
        <v>14</v>
      </c>
      <c r="L24356">
        <v>505</v>
      </c>
      <c r="M24356">
        <v>1</v>
      </c>
      <c r="N24356">
        <v>0</v>
      </c>
      <c r="O24356">
        <v>2412</v>
      </c>
    </row>
    <row r="24357" spans="1:15" x14ac:dyDescent="0.25">
      <c r="A24357" t="s">
        <v>24370</v>
      </c>
      <c r="B24357">
        <v>773</v>
      </c>
      <c r="C24357" s="1" t="str">
        <f>HYPERLINK("http://www.rosaceae.org/gb/gbrowse/malus_x_domestica/?name=MDP0000911416","MDP0000911416")</f>
        <v>MDP0000911416</v>
      </c>
      <c r="D24357">
        <v>56.77</v>
      </c>
      <c r="E24357">
        <v>782</v>
      </c>
      <c r="F24357">
        <v>338</v>
      </c>
      <c r="G24357">
        <v>35</v>
      </c>
      <c r="H24357">
        <v>1</v>
      </c>
      <c r="I24357">
        <v>755</v>
      </c>
      <c r="J24357">
        <v>1</v>
      </c>
      <c r="K24357">
        <v>1</v>
      </c>
      <c r="L24357">
        <v>774</v>
      </c>
      <c r="M24357">
        <v>1</v>
      </c>
      <c r="N24357">
        <v>0</v>
      </c>
      <c r="O24357">
        <v>2193</v>
      </c>
    </row>
    <row r="24358" spans="1:15" x14ac:dyDescent="0.25">
      <c r="A24358" t="s">
        <v>24371</v>
      </c>
      <c r="B24358">
        <v>227</v>
      </c>
      <c r="C24358" s="1" t="str">
        <f>HYPERLINK("http://www.rosaceae.org/gb/gbrowse/malus_x_domestica/?name=MDP0000284481","MDP0000284481")</f>
        <v>MDP0000284481</v>
      </c>
      <c r="D24358">
        <v>50.9</v>
      </c>
      <c r="E24358">
        <v>55</v>
      </c>
      <c r="F24358">
        <v>27</v>
      </c>
      <c r="G24358">
        <v>3</v>
      </c>
      <c r="H24358">
        <v>60</v>
      </c>
      <c r="I24358">
        <v>111</v>
      </c>
      <c r="J24358">
        <v>1</v>
      </c>
      <c r="K24358">
        <v>302</v>
      </c>
      <c r="L24358">
        <v>356</v>
      </c>
      <c r="M24358">
        <v>1</v>
      </c>
      <c r="N24358">
        <v>6.0630200000000005E-8</v>
      </c>
      <c r="O24358">
        <v>131</v>
      </c>
    </row>
    <row r="24359" spans="1:15" x14ac:dyDescent="0.25">
      <c r="A24359" t="s">
        <v>24372</v>
      </c>
      <c r="B24359">
        <v>672</v>
      </c>
      <c r="C24359" s="1" t="str">
        <f>HYPERLINK("http://www.rosaceae.org/gb/gbrowse/malus_x_domestica/?name=MDP0000310920","MDP0000310920")</f>
        <v>MDP0000310920</v>
      </c>
      <c r="D24359">
        <v>60</v>
      </c>
      <c r="E24359">
        <v>590</v>
      </c>
      <c r="F24359">
        <v>236</v>
      </c>
      <c r="G24359">
        <v>38</v>
      </c>
      <c r="H24359">
        <v>117</v>
      </c>
      <c r="I24359">
        <v>672</v>
      </c>
      <c r="J24359">
        <v>1</v>
      </c>
      <c r="K24359">
        <v>105</v>
      </c>
      <c r="L24359">
        <v>690</v>
      </c>
      <c r="M24359">
        <v>1</v>
      </c>
      <c r="N24359">
        <v>0</v>
      </c>
      <c r="O24359">
        <v>1682</v>
      </c>
    </row>
    <row r="24360" spans="1:15" x14ac:dyDescent="0.25">
      <c r="A24360" t="s">
        <v>24373</v>
      </c>
      <c r="B24360">
        <v>661</v>
      </c>
      <c r="C24360" s="1" t="str">
        <f>HYPERLINK("http://www.rosaceae.org/gb/gbrowse/malus_x_domestica/?name=MDP0000138764","MDP0000138764")</f>
        <v>MDP0000138764</v>
      </c>
      <c r="D24360">
        <v>56.78</v>
      </c>
      <c r="E24360">
        <v>634</v>
      </c>
      <c r="F24360">
        <v>274</v>
      </c>
      <c r="G24360">
        <v>84</v>
      </c>
      <c r="H24360">
        <v>5</v>
      </c>
      <c r="I24360">
        <v>611</v>
      </c>
      <c r="J24360">
        <v>1</v>
      </c>
      <c r="K24360">
        <v>80</v>
      </c>
      <c r="L24360">
        <v>656</v>
      </c>
      <c r="M24360">
        <v>1</v>
      </c>
      <c r="N24360">
        <v>0</v>
      </c>
      <c r="O24360">
        <v>1654</v>
      </c>
    </row>
    <row r="24361" spans="1:15" x14ac:dyDescent="0.25">
      <c r="A24361" t="s">
        <v>24374</v>
      </c>
      <c r="B24361">
        <v>218</v>
      </c>
      <c r="C24361" s="1" t="str">
        <f>HYPERLINK("http://www.rosaceae.org/gb/gbrowse/malus_x_domestica/?name=MDP0000320982","MDP0000320982")</f>
        <v>MDP0000320982</v>
      </c>
      <c r="D24361">
        <v>63.72</v>
      </c>
      <c r="E24361">
        <v>215</v>
      </c>
      <c r="F24361">
        <v>78</v>
      </c>
      <c r="G24361">
        <v>4</v>
      </c>
      <c r="H24361">
        <v>1</v>
      </c>
      <c r="I24361">
        <v>214</v>
      </c>
      <c r="J24361">
        <v>1</v>
      </c>
      <c r="K24361">
        <v>1</v>
      </c>
      <c r="L24361">
        <v>212</v>
      </c>
      <c r="M24361">
        <v>1</v>
      </c>
      <c r="N24361">
        <v>3.87839E-71</v>
      </c>
      <c r="O24361">
        <v>676</v>
      </c>
    </row>
    <row r="24362" spans="1:15" x14ac:dyDescent="0.25">
      <c r="A24362" t="s">
        <v>24375</v>
      </c>
      <c r="B24362">
        <v>946</v>
      </c>
      <c r="C24362" s="1" t="str">
        <f>HYPERLINK("http://www.rosaceae.org/gb/gbrowse/malus_x_domestica/?name=MDP0000493661","MDP0000493661")</f>
        <v>MDP0000493661</v>
      </c>
      <c r="D24362">
        <v>54.78</v>
      </c>
      <c r="E24362">
        <v>951</v>
      </c>
      <c r="F24362">
        <v>430</v>
      </c>
      <c r="G24362">
        <v>40</v>
      </c>
      <c r="H24362">
        <v>1</v>
      </c>
      <c r="I24362">
        <v>932</v>
      </c>
      <c r="J24362">
        <v>1</v>
      </c>
      <c r="K24362">
        <v>1</v>
      </c>
      <c r="L24362">
        <v>930</v>
      </c>
      <c r="M24362">
        <v>1</v>
      </c>
      <c r="N24362">
        <v>0</v>
      </c>
      <c r="O24362">
        <v>2447</v>
      </c>
    </row>
    <row r="24363" spans="1:15" x14ac:dyDescent="0.25">
      <c r="A24363" t="s">
        <v>24376</v>
      </c>
      <c r="B24363">
        <v>220</v>
      </c>
      <c r="C24363" s="1" t="str">
        <f>HYPERLINK("http://www.rosaceae.org/gb/gbrowse/malus_x_domestica/?name=MDP0000314811","MDP0000314811")</f>
        <v>MDP0000314811</v>
      </c>
      <c r="D24363">
        <v>57.14</v>
      </c>
      <c r="E24363">
        <v>154</v>
      </c>
      <c r="F24363">
        <v>66</v>
      </c>
      <c r="G24363">
        <v>7</v>
      </c>
      <c r="H24363">
        <v>72</v>
      </c>
      <c r="I24363">
        <v>218</v>
      </c>
      <c r="J24363">
        <v>1</v>
      </c>
      <c r="K24363">
        <v>37</v>
      </c>
      <c r="L24363">
        <v>190</v>
      </c>
      <c r="M24363">
        <v>1</v>
      </c>
      <c r="N24363">
        <v>4.3931199999999999E-44</v>
      </c>
      <c r="O24363">
        <v>442</v>
      </c>
    </row>
    <row r="24364" spans="1:15" x14ac:dyDescent="0.25">
      <c r="A24364" t="s">
        <v>24377</v>
      </c>
      <c r="B24364">
        <v>387</v>
      </c>
      <c r="C24364" s="1" t="str">
        <f>HYPERLINK("http://www.rosaceae.org/gb/gbrowse/malus_x_domestica/?name=MDP0000267309","MDP0000267309")</f>
        <v>MDP0000267309</v>
      </c>
      <c r="D24364">
        <v>35.08</v>
      </c>
      <c r="E24364">
        <v>342</v>
      </c>
      <c r="F24364">
        <v>222</v>
      </c>
      <c r="G24364">
        <v>57</v>
      </c>
      <c r="H24364">
        <v>34</v>
      </c>
      <c r="I24364">
        <v>355</v>
      </c>
      <c r="J24364">
        <v>1</v>
      </c>
      <c r="K24364">
        <v>161</v>
      </c>
      <c r="L24364">
        <v>465</v>
      </c>
      <c r="M24364">
        <v>1</v>
      </c>
      <c r="N24364">
        <v>6.7149499999999997E-41</v>
      </c>
      <c r="O24364">
        <v>418</v>
      </c>
    </row>
    <row r="24365" spans="1:15" x14ac:dyDescent="0.25">
      <c r="A24365" t="s">
        <v>24378</v>
      </c>
      <c r="B24365">
        <v>427</v>
      </c>
      <c r="C24365" s="1" t="str">
        <f>HYPERLINK("http://www.rosaceae.org/gb/gbrowse/malus_x_domestica/?name=MDP0000289669","MDP0000289669")</f>
        <v>MDP0000289669</v>
      </c>
      <c r="D24365">
        <v>70.66</v>
      </c>
      <c r="E24365">
        <v>225</v>
      </c>
      <c r="F24365">
        <v>66</v>
      </c>
      <c r="G24365">
        <v>24</v>
      </c>
      <c r="H24365">
        <v>190</v>
      </c>
      <c r="I24365">
        <v>390</v>
      </c>
      <c r="J24365">
        <v>1</v>
      </c>
      <c r="K24365">
        <v>378</v>
      </c>
      <c r="L24365">
        <v>602</v>
      </c>
      <c r="M24365">
        <v>1</v>
      </c>
      <c r="N24365">
        <v>1.6472299999999999E-84</v>
      </c>
      <c r="O24365">
        <v>795</v>
      </c>
    </row>
    <row r="24366" spans="1:15" x14ac:dyDescent="0.25">
      <c r="A24366" t="s">
        <v>24379</v>
      </c>
      <c r="B24366">
        <v>441</v>
      </c>
      <c r="C24366" s="1" t="str">
        <f>HYPERLINK("http://www.rosaceae.org/gb/gbrowse/malus_x_domestica/?name=MDP0000291798","MDP0000291798")</f>
        <v>MDP0000291798</v>
      </c>
      <c r="D24366">
        <v>40.81</v>
      </c>
      <c r="E24366">
        <v>147</v>
      </c>
      <c r="F24366">
        <v>87</v>
      </c>
      <c r="G24366">
        <v>45</v>
      </c>
      <c r="H24366">
        <v>3</v>
      </c>
      <c r="I24366">
        <v>104</v>
      </c>
      <c r="J24366">
        <v>1</v>
      </c>
      <c r="K24366">
        <v>68</v>
      </c>
      <c r="L24366">
        <v>214</v>
      </c>
      <c r="M24366">
        <v>1</v>
      </c>
      <c r="N24366">
        <v>5.9237000000000002E-24</v>
      </c>
      <c r="O24366">
        <v>272</v>
      </c>
    </row>
    <row r="24367" spans="1:15" x14ac:dyDescent="0.25">
      <c r="A24367" t="s">
        <v>24380</v>
      </c>
      <c r="B24367">
        <v>270</v>
      </c>
      <c r="C24367" s="1" t="str">
        <f>HYPERLINK("http://www.rosaceae.org/gb/gbrowse/malus_x_domestica/?name=MDP0000314729","MDP0000314729")</f>
        <v>MDP0000314729</v>
      </c>
      <c r="D24367">
        <v>42.63</v>
      </c>
      <c r="E24367">
        <v>258</v>
      </c>
      <c r="F24367">
        <v>148</v>
      </c>
      <c r="G24367">
        <v>13</v>
      </c>
      <c r="H24367">
        <v>4</v>
      </c>
      <c r="I24367">
        <v>248</v>
      </c>
      <c r="J24367">
        <v>1</v>
      </c>
      <c r="K24367">
        <v>521</v>
      </c>
      <c r="L24367">
        <v>778</v>
      </c>
      <c r="M24367">
        <v>1</v>
      </c>
      <c r="N24367">
        <v>2.5645099999999998E-59</v>
      </c>
      <c r="O24367">
        <v>575</v>
      </c>
    </row>
    <row r="24368" spans="1:15" x14ac:dyDescent="0.25">
      <c r="A24368" t="s">
        <v>24381</v>
      </c>
      <c r="B24368">
        <v>479</v>
      </c>
      <c r="C24368" s="1" t="str">
        <f>HYPERLINK("http://www.rosaceae.org/gb/gbrowse/malus_x_domestica/?name=MDP0000896503","MDP0000896503")</f>
        <v>MDP0000896503</v>
      </c>
      <c r="D24368">
        <v>63.21</v>
      </c>
      <c r="E24368">
        <v>454</v>
      </c>
      <c r="F24368">
        <v>167</v>
      </c>
      <c r="G24368">
        <v>4</v>
      </c>
      <c r="H24368">
        <v>1</v>
      </c>
      <c r="I24368">
        <v>453</v>
      </c>
      <c r="J24368">
        <v>1</v>
      </c>
      <c r="K24368">
        <v>1</v>
      </c>
      <c r="L24368">
        <v>451</v>
      </c>
      <c r="M24368">
        <v>1</v>
      </c>
      <c r="N24368">
        <v>5.5753900000000003E-173</v>
      </c>
      <c r="O24368">
        <v>1558</v>
      </c>
    </row>
    <row r="24369" spans="1:15" x14ac:dyDescent="0.25">
      <c r="A24369" t="s">
        <v>24382</v>
      </c>
      <c r="B24369">
        <v>459</v>
      </c>
      <c r="C24369" s="1" t="str">
        <f>HYPERLINK("http://www.rosaceae.org/gb/gbrowse/malus_x_domestica/?name=MDP0000283596","MDP0000283596")</f>
        <v>MDP0000283596</v>
      </c>
      <c r="D24369">
        <v>50.8</v>
      </c>
      <c r="E24369">
        <v>309</v>
      </c>
      <c r="F24369">
        <v>152</v>
      </c>
      <c r="G24369">
        <v>45</v>
      </c>
      <c r="H24369">
        <v>74</v>
      </c>
      <c r="I24369">
        <v>381</v>
      </c>
      <c r="J24369">
        <v>1</v>
      </c>
      <c r="K24369">
        <v>1</v>
      </c>
      <c r="L24369">
        <v>265</v>
      </c>
      <c r="M24369">
        <v>1</v>
      </c>
      <c r="N24369">
        <v>4.0577899999999997E-71</v>
      </c>
      <c r="O24369">
        <v>679</v>
      </c>
    </row>
    <row r="24370" spans="1:15" x14ac:dyDescent="0.25">
      <c r="A24370" t="s">
        <v>24383</v>
      </c>
      <c r="B24370">
        <v>265</v>
      </c>
      <c r="C24370" s="1" t="str">
        <f>HYPERLINK("http://www.rosaceae.org/gb/gbrowse/malus_x_domestica/?name=MDP0000205938","MDP0000205938")</f>
        <v>MDP0000205938</v>
      </c>
      <c r="D24370">
        <v>63.84</v>
      </c>
      <c r="E24370">
        <v>260</v>
      </c>
      <c r="F24370">
        <v>94</v>
      </c>
      <c r="G24370">
        <v>23</v>
      </c>
      <c r="H24370">
        <v>9</v>
      </c>
      <c r="I24370">
        <v>264</v>
      </c>
      <c r="J24370">
        <v>1</v>
      </c>
      <c r="K24370">
        <v>7</v>
      </c>
      <c r="L24370">
        <v>247</v>
      </c>
      <c r="M24370">
        <v>1</v>
      </c>
      <c r="N24370">
        <v>7.4246999999999996E-87</v>
      </c>
      <c r="O24370">
        <v>812</v>
      </c>
    </row>
    <row r="24371" spans="1:15" x14ac:dyDescent="0.25">
      <c r="A24371" t="s">
        <v>24384</v>
      </c>
      <c r="B24371">
        <v>1532</v>
      </c>
      <c r="C24371" s="1" t="str">
        <f>HYPERLINK("http://www.rosaceae.org/gb/gbrowse/malus_x_domestica/?name=MDP0000131617","MDP0000131617")</f>
        <v>MDP0000131617</v>
      </c>
      <c r="D24371">
        <v>67.17</v>
      </c>
      <c r="E24371">
        <v>1569</v>
      </c>
      <c r="F24371">
        <v>515</v>
      </c>
      <c r="G24371">
        <v>102</v>
      </c>
      <c r="H24371">
        <v>34</v>
      </c>
      <c r="I24371">
        <v>1532</v>
      </c>
      <c r="J24371">
        <v>1</v>
      </c>
      <c r="K24371">
        <v>136</v>
      </c>
      <c r="L24371">
        <v>1672</v>
      </c>
      <c r="M24371">
        <v>1</v>
      </c>
      <c r="N24371">
        <v>0</v>
      </c>
      <c r="O24371">
        <v>5184</v>
      </c>
    </row>
    <row r="24372" spans="1:15" x14ac:dyDescent="0.25">
      <c r="A24372" t="s">
        <v>24385</v>
      </c>
      <c r="B24372">
        <v>361</v>
      </c>
      <c r="C24372" s="1" t="str">
        <f>HYPERLINK("http://www.rosaceae.org/gb/gbrowse/malus_x_domestica/?name=MDP0000175264","MDP0000175264")</f>
        <v>MDP0000175264</v>
      </c>
      <c r="D24372">
        <v>64.349999999999994</v>
      </c>
      <c r="E24372">
        <v>303</v>
      </c>
      <c r="F24372">
        <v>108</v>
      </c>
      <c r="G24372">
        <v>3</v>
      </c>
      <c r="H24372">
        <v>5</v>
      </c>
      <c r="I24372">
        <v>304</v>
      </c>
      <c r="J24372">
        <v>1</v>
      </c>
      <c r="K24372">
        <v>1</v>
      </c>
      <c r="L24372">
        <v>303</v>
      </c>
      <c r="M24372">
        <v>1</v>
      </c>
      <c r="N24372">
        <v>4.6146600000000002E-109</v>
      </c>
      <c r="O24372">
        <v>1005</v>
      </c>
    </row>
    <row r="24373" spans="1:15" x14ac:dyDescent="0.25">
      <c r="A24373" t="s">
        <v>24386</v>
      </c>
      <c r="B24373">
        <v>256</v>
      </c>
      <c r="C24373" s="1" t="str">
        <f>HYPERLINK("http://www.rosaceae.org/gb/gbrowse/malus_x_domestica/?name=MDP0000308970","MDP0000308970")</f>
        <v>MDP0000308970</v>
      </c>
      <c r="D24373">
        <v>74.8</v>
      </c>
      <c r="E24373">
        <v>258</v>
      </c>
      <c r="F24373">
        <v>65</v>
      </c>
      <c r="G24373">
        <v>12</v>
      </c>
      <c r="H24373">
        <v>1</v>
      </c>
      <c r="I24373">
        <v>252</v>
      </c>
      <c r="J24373">
        <v>1</v>
      </c>
      <c r="K24373">
        <v>3</v>
      </c>
      <c r="L24373">
        <v>254</v>
      </c>
      <c r="M24373">
        <v>1</v>
      </c>
      <c r="N24373">
        <v>2.72864E-98</v>
      </c>
      <c r="O24373">
        <v>911</v>
      </c>
    </row>
    <row r="24374" spans="1:15" x14ac:dyDescent="0.25">
      <c r="A24374" t="s">
        <v>24387</v>
      </c>
      <c r="B24374">
        <v>274</v>
      </c>
      <c r="C24374" s="1" t="str">
        <f>HYPERLINK("http://www.rosaceae.org/gb/gbrowse/malus_x_domestica/?name=MDP0000262916","MDP0000262916")</f>
        <v>MDP0000262916</v>
      </c>
      <c r="D24374">
        <v>54.34</v>
      </c>
      <c r="E24374">
        <v>46</v>
      </c>
      <c r="F24374">
        <v>21</v>
      </c>
      <c r="G24374">
        <v>0</v>
      </c>
      <c r="H24374">
        <v>45</v>
      </c>
      <c r="I24374">
        <v>90</v>
      </c>
      <c r="J24374">
        <v>1</v>
      </c>
      <c r="K24374">
        <v>126</v>
      </c>
      <c r="L24374">
        <v>171</v>
      </c>
      <c r="M24374">
        <v>1</v>
      </c>
      <c r="N24374">
        <v>3.5103599999999999E-7</v>
      </c>
      <c r="O24374">
        <v>125</v>
      </c>
    </row>
    <row r="24375" spans="1:15" x14ac:dyDescent="0.25">
      <c r="A24375" t="s">
        <v>24388</v>
      </c>
      <c r="B24375">
        <v>258</v>
      </c>
      <c r="C24375" s="1" t="str">
        <f>HYPERLINK("http://www.rosaceae.org/gb/gbrowse/malus_x_domestica/?name=MDP0000295325","MDP0000295325")</f>
        <v>MDP0000295325</v>
      </c>
      <c r="D24375">
        <v>53.96</v>
      </c>
      <c r="E24375">
        <v>265</v>
      </c>
      <c r="F24375">
        <v>122</v>
      </c>
      <c r="G24375">
        <v>13</v>
      </c>
      <c r="H24375">
        <v>3</v>
      </c>
      <c r="I24375">
        <v>256</v>
      </c>
      <c r="J24375">
        <v>1</v>
      </c>
      <c r="K24375">
        <v>489</v>
      </c>
      <c r="L24375">
        <v>751</v>
      </c>
      <c r="M24375">
        <v>1</v>
      </c>
      <c r="N24375">
        <v>3.2584200000000001E-77</v>
      </c>
      <c r="O24375">
        <v>729</v>
      </c>
    </row>
    <row r="24376" spans="1:15" x14ac:dyDescent="0.25">
      <c r="A24376" t="s">
        <v>24389</v>
      </c>
      <c r="B24376">
        <v>258</v>
      </c>
      <c r="C24376" s="1" t="str">
        <f>HYPERLINK("http://www.rosaceae.org/gb/gbrowse/malus_x_domestica/?name=MDP0000241504","MDP0000241504")</f>
        <v>MDP0000241504</v>
      </c>
      <c r="D24376">
        <v>75.19</v>
      </c>
      <c r="E24376">
        <v>258</v>
      </c>
      <c r="F24376">
        <v>64</v>
      </c>
      <c r="G24376">
        <v>27</v>
      </c>
      <c r="H24376">
        <v>1</v>
      </c>
      <c r="I24376">
        <v>258</v>
      </c>
      <c r="J24376">
        <v>1</v>
      </c>
      <c r="K24376">
        <v>253</v>
      </c>
      <c r="L24376">
        <v>483</v>
      </c>
      <c r="M24376">
        <v>1</v>
      </c>
      <c r="N24376">
        <v>1.22676E-108</v>
      </c>
      <c r="O24376">
        <v>1000</v>
      </c>
    </row>
    <row r="24377" spans="1:15" x14ac:dyDescent="0.25">
      <c r="A24377" t="s">
        <v>24390</v>
      </c>
      <c r="B24377">
        <v>683</v>
      </c>
      <c r="C24377" s="1" t="str">
        <f>HYPERLINK("http://www.rosaceae.org/gb/gbrowse/malus_x_domestica/?name=MDP0000212585","MDP0000212585")</f>
        <v>MDP0000212585</v>
      </c>
      <c r="D24377">
        <v>69.510000000000005</v>
      </c>
      <c r="E24377">
        <v>269</v>
      </c>
      <c r="F24377">
        <v>82</v>
      </c>
      <c r="G24377">
        <v>10</v>
      </c>
      <c r="H24377">
        <v>423</v>
      </c>
      <c r="I24377">
        <v>682</v>
      </c>
      <c r="J24377">
        <v>1</v>
      </c>
      <c r="K24377">
        <v>277</v>
      </c>
      <c r="L24377">
        <v>544</v>
      </c>
      <c r="M24377">
        <v>1</v>
      </c>
      <c r="N24377">
        <v>1.4648799999999999E-104</v>
      </c>
      <c r="O24377">
        <v>970</v>
      </c>
    </row>
    <row r="24378" spans="1:15" x14ac:dyDescent="0.25">
      <c r="A24378" t="s">
        <v>24391</v>
      </c>
      <c r="B24378">
        <v>1109</v>
      </c>
      <c r="C24378" s="1" t="str">
        <f>HYPERLINK("http://www.rosaceae.org/gb/gbrowse/malus_x_domestica/?name=MDP0000223518","MDP0000223518")</f>
        <v>MDP0000223518</v>
      </c>
      <c r="D24378">
        <v>49.41</v>
      </c>
      <c r="E24378">
        <v>941</v>
      </c>
      <c r="F24378">
        <v>476</v>
      </c>
      <c r="G24378">
        <v>59</v>
      </c>
      <c r="H24378">
        <v>201</v>
      </c>
      <c r="I24378">
        <v>1109</v>
      </c>
      <c r="J24378">
        <v>1</v>
      </c>
      <c r="K24378">
        <v>137</v>
      </c>
      <c r="L24378">
        <v>1050</v>
      </c>
      <c r="M24378">
        <v>1</v>
      </c>
      <c r="N24378">
        <v>0</v>
      </c>
      <c r="O24378">
        <v>2027</v>
      </c>
    </row>
    <row r="24379" spans="1:15" x14ac:dyDescent="0.25">
      <c r="A24379" t="s">
        <v>24392</v>
      </c>
      <c r="B24379">
        <v>420</v>
      </c>
      <c r="C24379" s="1" t="str">
        <f>HYPERLINK("http://www.rosaceae.org/gb/gbrowse/malus_x_domestica/?name=MDP0000486804","MDP0000486804")</f>
        <v>MDP0000486804</v>
      </c>
      <c r="D24379">
        <v>42.62</v>
      </c>
      <c r="E24379">
        <v>251</v>
      </c>
      <c r="F24379">
        <v>144</v>
      </c>
      <c r="G24379">
        <v>49</v>
      </c>
      <c r="H24379">
        <v>14</v>
      </c>
      <c r="I24379">
        <v>228</v>
      </c>
      <c r="J24379">
        <v>1</v>
      </c>
      <c r="K24379">
        <v>13</v>
      </c>
      <c r="L24379">
        <v>250</v>
      </c>
      <c r="M24379">
        <v>1</v>
      </c>
      <c r="N24379">
        <v>1.4550199999999999E-33</v>
      </c>
      <c r="O24379">
        <v>355</v>
      </c>
    </row>
    <row r="24380" spans="1:15" x14ac:dyDescent="0.25">
      <c r="A24380" t="s">
        <v>24393</v>
      </c>
      <c r="B24380">
        <v>616</v>
      </c>
      <c r="C24380" s="1" t="str">
        <f>HYPERLINK("http://www.rosaceae.org/gb/gbrowse/malus_x_domestica/?name=MDP0000241277","MDP0000241277")</f>
        <v>MDP0000241277</v>
      </c>
      <c r="D24380">
        <v>76.14</v>
      </c>
      <c r="E24380">
        <v>591</v>
      </c>
      <c r="F24380">
        <v>141</v>
      </c>
      <c r="G24380">
        <v>12</v>
      </c>
      <c r="H24380">
        <v>29</v>
      </c>
      <c r="I24380">
        <v>616</v>
      </c>
      <c r="J24380">
        <v>1</v>
      </c>
      <c r="K24380">
        <v>4</v>
      </c>
      <c r="L24380">
        <v>585</v>
      </c>
      <c r="M24380">
        <v>1</v>
      </c>
      <c r="N24380">
        <v>0</v>
      </c>
      <c r="O24380">
        <v>2369</v>
      </c>
    </row>
    <row r="24381" spans="1:15" x14ac:dyDescent="0.25">
      <c r="A24381" t="s">
        <v>24394</v>
      </c>
      <c r="B24381">
        <v>162</v>
      </c>
      <c r="C24381" s="1" t="str">
        <f>HYPERLINK("http://www.rosaceae.org/gb/gbrowse/malus_x_domestica/?name=MDP0000781028","MDP0000781028")</f>
        <v>MDP0000781028</v>
      </c>
      <c r="D24381">
        <v>64.349999999999994</v>
      </c>
      <c r="E24381">
        <v>101</v>
      </c>
      <c r="F24381">
        <v>36</v>
      </c>
      <c r="G24381">
        <v>5</v>
      </c>
      <c r="H24381">
        <v>12</v>
      </c>
      <c r="I24381">
        <v>107</v>
      </c>
      <c r="J24381">
        <v>1</v>
      </c>
      <c r="K24381">
        <v>81</v>
      </c>
      <c r="L24381">
        <v>181</v>
      </c>
      <c r="M24381">
        <v>1</v>
      </c>
      <c r="N24381">
        <v>2.24207E-30</v>
      </c>
      <c r="O24381">
        <v>322</v>
      </c>
    </row>
    <row r="24382" spans="1:15" x14ac:dyDescent="0.25">
      <c r="A24382" t="s">
        <v>24395</v>
      </c>
      <c r="B24382">
        <v>220</v>
      </c>
      <c r="C24382" s="1" t="str">
        <f>HYPERLINK("http://www.rosaceae.org/gb/gbrowse/malus_x_domestica/?name=MDP0000233135","MDP0000233135")</f>
        <v>MDP0000233135</v>
      </c>
      <c r="D24382">
        <v>33.090000000000003</v>
      </c>
      <c r="E24382">
        <v>139</v>
      </c>
      <c r="F24382">
        <v>93</v>
      </c>
      <c r="G24382">
        <v>7</v>
      </c>
      <c r="H24382">
        <v>1</v>
      </c>
      <c r="I24382">
        <v>132</v>
      </c>
      <c r="J24382">
        <v>1</v>
      </c>
      <c r="K24382">
        <v>96</v>
      </c>
      <c r="L24382">
        <v>234</v>
      </c>
      <c r="M24382">
        <v>1</v>
      </c>
      <c r="N24382">
        <v>3.9509399999999998E-7</v>
      </c>
      <c r="O24382">
        <v>124</v>
      </c>
    </row>
    <row r="24383" spans="1:15" x14ac:dyDescent="0.25">
      <c r="A24383" t="s">
        <v>24396</v>
      </c>
      <c r="B24383">
        <v>132</v>
      </c>
      <c r="C24383" s="1" t="str">
        <f>HYPERLINK("http://www.rosaceae.org/gb/gbrowse/malus_x_domestica/?name=MDP0000516622","MDP0000516622")</f>
        <v>MDP0000516622</v>
      </c>
      <c r="D24383">
        <v>55.42</v>
      </c>
      <c r="E24383">
        <v>166</v>
      </c>
      <c r="F24383">
        <v>74</v>
      </c>
      <c r="G24383">
        <v>39</v>
      </c>
      <c r="H24383">
        <v>2</v>
      </c>
      <c r="I24383">
        <v>131</v>
      </c>
      <c r="J24383">
        <v>1</v>
      </c>
      <c r="K24383">
        <v>456</v>
      </c>
      <c r="L24383">
        <v>618</v>
      </c>
      <c r="M24383">
        <v>1</v>
      </c>
      <c r="N24383">
        <v>2.7191400000000001E-40</v>
      </c>
      <c r="O24383">
        <v>406</v>
      </c>
    </row>
    <row r="24384" spans="1:15" x14ac:dyDescent="0.25">
      <c r="A24384" t="s">
        <v>24397</v>
      </c>
      <c r="B24384">
        <v>130</v>
      </c>
      <c r="C24384" s="1" t="str">
        <f>HYPERLINK("http://www.rosaceae.org/gb/gbrowse/malus_x_domestica/?name=MDP0000315452","MDP0000315452")</f>
        <v>MDP0000315452</v>
      </c>
      <c r="D24384">
        <v>41.73</v>
      </c>
      <c r="E24384">
        <v>115</v>
      </c>
      <c r="F24384">
        <v>67</v>
      </c>
      <c r="G24384">
        <v>18</v>
      </c>
      <c r="H24384">
        <v>1</v>
      </c>
      <c r="I24384">
        <v>97</v>
      </c>
      <c r="J24384">
        <v>1</v>
      </c>
      <c r="K24384">
        <v>54</v>
      </c>
      <c r="L24384">
        <v>168</v>
      </c>
      <c r="M24384">
        <v>1</v>
      </c>
      <c r="N24384">
        <v>3.3273099999999999E-17</v>
      </c>
      <c r="O24384">
        <v>206</v>
      </c>
    </row>
    <row r="24385" spans="1:15" x14ac:dyDescent="0.25">
      <c r="A24385" t="s">
        <v>24398</v>
      </c>
      <c r="B24385">
        <v>727</v>
      </c>
      <c r="C24385" s="1" t="str">
        <f>HYPERLINK("http://www.rosaceae.org/gb/gbrowse/malus_x_domestica/?name=MDP0000139760","MDP0000139760")</f>
        <v>MDP0000139760</v>
      </c>
      <c r="D24385">
        <v>31.93</v>
      </c>
      <c r="E24385">
        <v>454</v>
      </c>
      <c r="F24385">
        <v>309</v>
      </c>
      <c r="G24385">
        <v>92</v>
      </c>
      <c r="H24385">
        <v>326</v>
      </c>
      <c r="I24385">
        <v>722</v>
      </c>
      <c r="J24385">
        <v>1</v>
      </c>
      <c r="K24385">
        <v>2</v>
      </c>
      <c r="L24385">
        <v>420</v>
      </c>
      <c r="M24385">
        <v>1</v>
      </c>
      <c r="N24385">
        <v>3.1136300000000002E-42</v>
      </c>
      <c r="O24385">
        <v>432</v>
      </c>
    </row>
    <row r="24386" spans="1:15" x14ac:dyDescent="0.25">
      <c r="A24386" t="s">
        <v>24399</v>
      </c>
      <c r="B24386">
        <v>191</v>
      </c>
      <c r="C24386" s="1" t="str">
        <f>HYPERLINK("http://www.rosaceae.org/gb/gbrowse/malus_x_domestica/?name=MDP0000141121","MDP0000141121")</f>
        <v>MDP0000141121</v>
      </c>
      <c r="D24386">
        <v>66.66</v>
      </c>
      <c r="E24386">
        <v>174</v>
      </c>
      <c r="F24386">
        <v>58</v>
      </c>
      <c r="G24386">
        <v>0</v>
      </c>
      <c r="H24386">
        <v>1</v>
      </c>
      <c r="I24386">
        <v>174</v>
      </c>
      <c r="J24386">
        <v>1</v>
      </c>
      <c r="K24386">
        <v>1</v>
      </c>
      <c r="L24386">
        <v>174</v>
      </c>
      <c r="M24386">
        <v>1</v>
      </c>
      <c r="N24386">
        <v>1.24831E-64</v>
      </c>
      <c r="O24386">
        <v>619</v>
      </c>
    </row>
    <row r="24387" spans="1:15" x14ac:dyDescent="0.25">
      <c r="A24387" t="s">
        <v>24400</v>
      </c>
      <c r="B24387">
        <v>469</v>
      </c>
      <c r="C24387" s="1" t="str">
        <f>HYPERLINK("http://www.rosaceae.org/gb/gbrowse/malus_x_domestica/?name=MDP0000220135","MDP0000220135")</f>
        <v>MDP0000220135</v>
      </c>
      <c r="D24387">
        <v>28.12</v>
      </c>
      <c r="E24387">
        <v>192</v>
      </c>
      <c r="F24387">
        <v>138</v>
      </c>
      <c r="G24387">
        <v>22</v>
      </c>
      <c r="H24387">
        <v>1</v>
      </c>
      <c r="I24387">
        <v>191</v>
      </c>
      <c r="J24387">
        <v>1</v>
      </c>
      <c r="K24387">
        <v>159</v>
      </c>
      <c r="L24387">
        <v>329</v>
      </c>
      <c r="M24387">
        <v>1</v>
      </c>
      <c r="N24387">
        <v>1.4094799999999999E-16</v>
      </c>
      <c r="O24387">
        <v>209</v>
      </c>
    </row>
    <row r="24388" spans="1:15" x14ac:dyDescent="0.25">
      <c r="A24388" t="s">
        <v>24401</v>
      </c>
      <c r="B24388">
        <v>159</v>
      </c>
      <c r="C24388" s="1" t="str">
        <f>HYPERLINK("http://www.rosaceae.org/gb/gbrowse/malus_x_domestica/?name=MDP0000908053","MDP0000908053")</f>
        <v>MDP0000908053</v>
      </c>
      <c r="D24388">
        <v>63.94</v>
      </c>
      <c r="E24388">
        <v>147</v>
      </c>
      <c r="F24388">
        <v>53</v>
      </c>
      <c r="G24388">
        <v>9</v>
      </c>
      <c r="H24388">
        <v>19</v>
      </c>
      <c r="I24388">
        <v>157</v>
      </c>
      <c r="J24388">
        <v>1</v>
      </c>
      <c r="K24388">
        <v>21</v>
      </c>
      <c r="L24388">
        <v>166</v>
      </c>
      <c r="M24388">
        <v>1</v>
      </c>
      <c r="N24388">
        <v>6.5303599999999998E-41</v>
      </c>
      <c r="O24388">
        <v>413</v>
      </c>
    </row>
    <row r="24389" spans="1:15" x14ac:dyDescent="0.25">
      <c r="A24389" t="s">
        <v>24402</v>
      </c>
      <c r="B24389">
        <v>463</v>
      </c>
      <c r="C24389" s="1" t="str">
        <f>HYPERLINK("http://www.rosaceae.org/gb/gbrowse/malus_x_domestica/?name=MDP0000306250","MDP0000306250")</f>
        <v>MDP0000306250</v>
      </c>
      <c r="D24389">
        <v>27.88</v>
      </c>
      <c r="E24389">
        <v>355</v>
      </c>
      <c r="F24389">
        <v>256</v>
      </c>
      <c r="G24389">
        <v>117</v>
      </c>
      <c r="H24389">
        <v>152</v>
      </c>
      <c r="I24389">
        <v>401</v>
      </c>
      <c r="J24389">
        <v>1</v>
      </c>
      <c r="K24389">
        <v>737</v>
      </c>
      <c r="L24389">
        <v>1079</v>
      </c>
      <c r="M24389">
        <v>1</v>
      </c>
      <c r="N24389">
        <v>4.6583900000000003E-8</v>
      </c>
      <c r="O24389">
        <v>136</v>
      </c>
    </row>
    <row r="24390" spans="1:15" x14ac:dyDescent="0.25">
      <c r="A24390" t="s">
        <v>24403</v>
      </c>
      <c r="B24390">
        <v>487</v>
      </c>
      <c r="C24390" s="1" t="str">
        <f>HYPERLINK("http://www.rosaceae.org/gb/gbrowse/malus_x_domestica/?name=MDP0000292750","MDP0000292750")</f>
        <v>MDP0000292750</v>
      </c>
      <c r="D24390">
        <v>56.82</v>
      </c>
      <c r="E24390">
        <v>498</v>
      </c>
      <c r="F24390">
        <v>215</v>
      </c>
      <c r="G24390">
        <v>53</v>
      </c>
      <c r="H24390">
        <v>3</v>
      </c>
      <c r="I24390">
        <v>485</v>
      </c>
      <c r="J24390">
        <v>1</v>
      </c>
      <c r="K24390">
        <v>16</v>
      </c>
      <c r="L24390">
        <v>475</v>
      </c>
      <c r="M24390">
        <v>1</v>
      </c>
      <c r="N24390">
        <v>1.3768699999999999E-149</v>
      </c>
      <c r="O24390">
        <v>1356</v>
      </c>
    </row>
    <row r="24391" spans="1:15" x14ac:dyDescent="0.25">
      <c r="A24391" t="s">
        <v>24404</v>
      </c>
      <c r="B24391">
        <v>416</v>
      </c>
      <c r="C24391" s="1" t="str">
        <f>HYPERLINK("http://www.rosaceae.org/gb/gbrowse/malus_x_domestica/?name=MDP0000174161","MDP0000174161")</f>
        <v>MDP0000174161</v>
      </c>
      <c r="D24391">
        <v>59.42</v>
      </c>
      <c r="E24391">
        <v>483</v>
      </c>
      <c r="F24391">
        <v>196</v>
      </c>
      <c r="G24391">
        <v>86</v>
      </c>
      <c r="H24391">
        <v>18</v>
      </c>
      <c r="I24391">
        <v>414</v>
      </c>
      <c r="J24391">
        <v>1</v>
      </c>
      <c r="K24391">
        <v>89</v>
      </c>
      <c r="L24391">
        <v>571</v>
      </c>
      <c r="M24391">
        <v>1</v>
      </c>
      <c r="N24391">
        <v>6.7774000000000003E-150</v>
      </c>
      <c r="O24391">
        <v>1358</v>
      </c>
    </row>
    <row r="24392" spans="1:15" x14ac:dyDescent="0.25">
      <c r="A24392" t="s">
        <v>24405</v>
      </c>
      <c r="B24392">
        <v>397</v>
      </c>
      <c r="C24392" s="1" t="str">
        <f>HYPERLINK("http://www.rosaceae.org/gb/gbrowse/malus_x_domestica/?name=MDP0000819899","MDP0000819899")</f>
        <v>MDP0000819899</v>
      </c>
      <c r="D24392">
        <v>74.819999999999993</v>
      </c>
      <c r="E24392">
        <v>290</v>
      </c>
      <c r="F24392">
        <v>73</v>
      </c>
      <c r="G24392">
        <v>56</v>
      </c>
      <c r="H24392">
        <v>107</v>
      </c>
      <c r="I24392">
        <v>396</v>
      </c>
      <c r="J24392">
        <v>1</v>
      </c>
      <c r="K24392">
        <v>8</v>
      </c>
      <c r="L24392">
        <v>241</v>
      </c>
      <c r="M24392">
        <v>1</v>
      </c>
      <c r="N24392">
        <v>2.2832E-116</v>
      </c>
      <c r="O24392">
        <v>1069</v>
      </c>
    </row>
    <row r="24393" spans="1:15" x14ac:dyDescent="0.25">
      <c r="A24393" t="s">
        <v>24406</v>
      </c>
      <c r="B24393">
        <v>473</v>
      </c>
      <c r="C24393" s="1" t="str">
        <f>HYPERLINK("http://www.rosaceae.org/gb/gbrowse/malus_x_domestica/?name=MDP0000310981","MDP0000310981")</f>
        <v>MDP0000310981</v>
      </c>
      <c r="D24393">
        <v>40.5</v>
      </c>
      <c r="E24393">
        <v>353</v>
      </c>
      <c r="F24393">
        <v>210</v>
      </c>
      <c r="G24393">
        <v>54</v>
      </c>
      <c r="H24393">
        <v>112</v>
      </c>
      <c r="I24393">
        <v>428</v>
      </c>
      <c r="J24393">
        <v>1</v>
      </c>
      <c r="K24393">
        <v>22</v>
      </c>
      <c r="L24393">
        <v>356</v>
      </c>
      <c r="M24393">
        <v>1</v>
      </c>
      <c r="N24393">
        <v>8.0563300000000003E-56</v>
      </c>
      <c r="O24393">
        <v>548</v>
      </c>
    </row>
    <row r="24394" spans="1:15" x14ac:dyDescent="0.25">
      <c r="A24394" t="s">
        <v>24407</v>
      </c>
      <c r="B24394">
        <v>223</v>
      </c>
      <c r="C24394" s="1" t="str">
        <f>HYPERLINK("http://www.rosaceae.org/gb/gbrowse/malus_x_domestica/?name=MDP0000690401","MDP0000690401")</f>
        <v>MDP0000690401</v>
      </c>
      <c r="D24394">
        <v>81.96</v>
      </c>
      <c r="E24394">
        <v>183</v>
      </c>
      <c r="F24394">
        <v>33</v>
      </c>
      <c r="G24394">
        <v>0</v>
      </c>
      <c r="H24394">
        <v>41</v>
      </c>
      <c r="I24394">
        <v>223</v>
      </c>
      <c r="J24394">
        <v>1</v>
      </c>
      <c r="K24394">
        <v>62</v>
      </c>
      <c r="L24394">
        <v>244</v>
      </c>
      <c r="M24394">
        <v>1</v>
      </c>
      <c r="N24394">
        <v>5.5014099999999999E-89</v>
      </c>
      <c r="O24394">
        <v>830</v>
      </c>
    </row>
    <row r="24395" spans="1:15" x14ac:dyDescent="0.25">
      <c r="A24395" t="s">
        <v>24408</v>
      </c>
      <c r="B24395">
        <v>800</v>
      </c>
      <c r="C24395" s="1" t="str">
        <f>HYPERLINK("http://www.rosaceae.org/gb/gbrowse/malus_x_domestica/?name=MDP0000303653","MDP0000303653")</f>
        <v>MDP0000303653</v>
      </c>
      <c r="D24395">
        <v>78.150000000000006</v>
      </c>
      <c r="E24395">
        <v>650</v>
      </c>
      <c r="F24395">
        <v>142</v>
      </c>
      <c r="G24395">
        <v>2</v>
      </c>
      <c r="H24395">
        <v>153</v>
      </c>
      <c r="I24395">
        <v>800</v>
      </c>
      <c r="J24395">
        <v>1</v>
      </c>
      <c r="K24395">
        <v>81</v>
      </c>
      <c r="L24395">
        <v>730</v>
      </c>
      <c r="M24395">
        <v>1</v>
      </c>
      <c r="N24395">
        <v>0</v>
      </c>
      <c r="O24395">
        <v>2658</v>
      </c>
    </row>
    <row r="24396" spans="1:15" x14ac:dyDescent="0.25">
      <c r="A24396" t="s">
        <v>24409</v>
      </c>
      <c r="B24396">
        <v>671</v>
      </c>
      <c r="C24396" s="1" t="str">
        <f>HYPERLINK("http://www.rosaceae.org/gb/gbrowse/malus_x_domestica/?name=MDP0000309915","MDP0000309915")</f>
        <v>MDP0000309915</v>
      </c>
      <c r="D24396">
        <v>74.19</v>
      </c>
      <c r="E24396">
        <v>682</v>
      </c>
      <c r="F24396">
        <v>176</v>
      </c>
      <c r="G24396">
        <v>17</v>
      </c>
      <c r="H24396">
        <v>5</v>
      </c>
      <c r="I24396">
        <v>671</v>
      </c>
      <c r="J24396">
        <v>1</v>
      </c>
      <c r="K24396">
        <v>3</v>
      </c>
      <c r="L24396">
        <v>682</v>
      </c>
      <c r="M24396">
        <v>1</v>
      </c>
      <c r="N24396">
        <v>0</v>
      </c>
      <c r="O24396">
        <v>2686</v>
      </c>
    </row>
    <row r="24397" spans="1:15" x14ac:dyDescent="0.25">
      <c r="A24397" t="s">
        <v>24410</v>
      </c>
      <c r="B24397">
        <v>389</v>
      </c>
      <c r="C24397" s="1" t="str">
        <f>HYPERLINK("http://www.rosaceae.org/gb/gbrowse/malus_x_domestica/?name=MDP0000276609","MDP0000276609")</f>
        <v>MDP0000276609</v>
      </c>
      <c r="D24397">
        <v>87.44</v>
      </c>
      <c r="E24397">
        <v>223</v>
      </c>
      <c r="F24397">
        <v>28</v>
      </c>
      <c r="G24397">
        <v>0</v>
      </c>
      <c r="H24397">
        <v>166</v>
      </c>
      <c r="I24397">
        <v>388</v>
      </c>
      <c r="J24397">
        <v>1</v>
      </c>
      <c r="K24397">
        <v>1</v>
      </c>
      <c r="L24397">
        <v>223</v>
      </c>
      <c r="M24397">
        <v>1</v>
      </c>
      <c r="N24397">
        <v>1.0479699999999999E-112</v>
      </c>
      <c r="O24397">
        <v>1037</v>
      </c>
    </row>
    <row r="24398" spans="1:15" x14ac:dyDescent="0.25">
      <c r="A24398" t="s">
        <v>24411</v>
      </c>
      <c r="B24398">
        <v>455</v>
      </c>
      <c r="C24398" s="1" t="str">
        <f>HYPERLINK("http://www.rosaceae.org/gb/gbrowse/malus_x_domestica/?name=MDP0000671808","MDP0000671808")</f>
        <v>MDP0000671808</v>
      </c>
      <c r="D24398">
        <v>36.03</v>
      </c>
      <c r="E24398">
        <v>469</v>
      </c>
      <c r="F24398">
        <v>300</v>
      </c>
      <c r="G24398">
        <v>39</v>
      </c>
      <c r="H24398">
        <v>2</v>
      </c>
      <c r="I24398">
        <v>453</v>
      </c>
      <c r="J24398">
        <v>1</v>
      </c>
      <c r="K24398">
        <v>4</v>
      </c>
      <c r="L24398">
        <v>450</v>
      </c>
      <c r="M24398">
        <v>1</v>
      </c>
      <c r="N24398">
        <v>4.9507700000000002E-65</v>
      </c>
      <c r="O24398">
        <v>627</v>
      </c>
    </row>
    <row r="24399" spans="1:15" x14ac:dyDescent="0.25">
      <c r="A24399" t="s">
        <v>24412</v>
      </c>
      <c r="B24399">
        <v>146</v>
      </c>
      <c r="C24399" s="1" t="str">
        <f>HYPERLINK("http://www.rosaceae.org/gb/gbrowse/malus_x_domestica/?name=MDP0000244493","MDP0000244493")</f>
        <v>MDP0000244493</v>
      </c>
      <c r="D24399">
        <v>32.03</v>
      </c>
      <c r="E24399">
        <v>103</v>
      </c>
      <c r="F24399">
        <v>70</v>
      </c>
      <c r="G24399">
        <v>13</v>
      </c>
      <c r="H24399">
        <v>4</v>
      </c>
      <c r="I24399">
        <v>93</v>
      </c>
      <c r="J24399">
        <v>1</v>
      </c>
      <c r="K24399">
        <v>52</v>
      </c>
      <c r="L24399">
        <v>154</v>
      </c>
      <c r="M24399">
        <v>1</v>
      </c>
      <c r="N24399">
        <v>2.4132800000000001E-8</v>
      </c>
      <c r="O24399">
        <v>131</v>
      </c>
    </row>
    <row r="24400" spans="1:15" x14ac:dyDescent="0.25">
      <c r="A24400" t="s">
        <v>24413</v>
      </c>
      <c r="B24400">
        <v>505</v>
      </c>
      <c r="C24400" s="1" t="str">
        <f>HYPERLINK("http://www.rosaceae.org/gb/gbrowse/malus_x_domestica/?name=MDP0000268967","MDP0000268967")</f>
        <v>MDP0000268967</v>
      </c>
      <c r="D24400">
        <v>67.45</v>
      </c>
      <c r="E24400">
        <v>507</v>
      </c>
      <c r="F24400">
        <v>165</v>
      </c>
      <c r="G24400">
        <v>6</v>
      </c>
      <c r="H24400">
        <v>1</v>
      </c>
      <c r="I24400">
        <v>504</v>
      </c>
      <c r="J24400">
        <v>1</v>
      </c>
      <c r="K24400">
        <v>1</v>
      </c>
      <c r="L24400">
        <v>504</v>
      </c>
      <c r="M24400">
        <v>1</v>
      </c>
      <c r="N24400">
        <v>0</v>
      </c>
      <c r="O24400">
        <v>1847</v>
      </c>
    </row>
    <row r="24401" spans="1:15" x14ac:dyDescent="0.25">
      <c r="A24401" t="s">
        <v>24414</v>
      </c>
      <c r="B24401">
        <v>904</v>
      </c>
      <c r="C24401" s="1" t="str">
        <f>HYPERLINK("http://www.rosaceae.org/gb/gbrowse/malus_x_domestica/?name=MDP0000161222","MDP0000161222")</f>
        <v>MDP0000161222</v>
      </c>
      <c r="D24401">
        <v>34.97</v>
      </c>
      <c r="E24401">
        <v>183</v>
      </c>
      <c r="F24401">
        <v>119</v>
      </c>
      <c r="G24401">
        <v>21</v>
      </c>
      <c r="H24401">
        <v>700</v>
      </c>
      <c r="I24401">
        <v>877</v>
      </c>
      <c r="J24401">
        <v>1</v>
      </c>
      <c r="K24401">
        <v>647</v>
      </c>
      <c r="L24401">
        <v>813</v>
      </c>
      <c r="M24401">
        <v>1</v>
      </c>
      <c r="N24401">
        <v>9.2797699999999997E-18</v>
      </c>
      <c r="O24401">
        <v>222</v>
      </c>
    </row>
    <row r="24402" spans="1:15" x14ac:dyDescent="0.25">
      <c r="A24402" t="s">
        <v>24415</v>
      </c>
      <c r="B24402">
        <v>186</v>
      </c>
      <c r="C24402" s="1" t="str">
        <f>HYPERLINK("http://www.rosaceae.org/gb/gbrowse/malus_x_domestica/?name=MDP0000950554","MDP0000950554")</f>
        <v>MDP0000950554</v>
      </c>
      <c r="D24402">
        <v>65.87</v>
      </c>
      <c r="E24402">
        <v>126</v>
      </c>
      <c r="F24402">
        <v>43</v>
      </c>
      <c r="G24402">
        <v>3</v>
      </c>
      <c r="H24402">
        <v>44</v>
      </c>
      <c r="I24402">
        <v>169</v>
      </c>
      <c r="J24402">
        <v>1</v>
      </c>
      <c r="K24402">
        <v>14</v>
      </c>
      <c r="L24402">
        <v>136</v>
      </c>
      <c r="M24402">
        <v>1</v>
      </c>
      <c r="N24402">
        <v>9.6381599999999998E-41</v>
      </c>
      <c r="O24402">
        <v>412</v>
      </c>
    </row>
    <row r="24403" spans="1:15" x14ac:dyDescent="0.25">
      <c r="A24403" t="s">
        <v>24416</v>
      </c>
      <c r="B24403">
        <v>363</v>
      </c>
      <c r="C24403" s="1" t="str">
        <f>HYPERLINK("http://www.rosaceae.org/gb/gbrowse/malus_x_domestica/?name=MDP0000300090","MDP0000300090")</f>
        <v>MDP0000300090</v>
      </c>
      <c r="D24403">
        <v>87.97</v>
      </c>
      <c r="E24403">
        <v>291</v>
      </c>
      <c r="F24403">
        <v>35</v>
      </c>
      <c r="G24403">
        <v>2</v>
      </c>
      <c r="H24403">
        <v>73</v>
      </c>
      <c r="I24403">
        <v>361</v>
      </c>
      <c r="J24403">
        <v>1</v>
      </c>
      <c r="K24403">
        <v>872</v>
      </c>
      <c r="L24403">
        <v>1162</v>
      </c>
      <c r="M24403">
        <v>1</v>
      </c>
      <c r="N24403">
        <v>1.6191100000000002E-151</v>
      </c>
      <c r="O24403">
        <v>1372</v>
      </c>
    </row>
    <row r="24404" spans="1:15" x14ac:dyDescent="0.25">
      <c r="A24404" t="s">
        <v>24417</v>
      </c>
      <c r="B24404">
        <v>723</v>
      </c>
      <c r="C24404" s="1" t="str">
        <f>HYPERLINK("http://www.rosaceae.org/gb/gbrowse/malus_x_domestica/?name=MDP0000389173","MDP0000389173")</f>
        <v>MDP0000389173</v>
      </c>
      <c r="D24404">
        <v>51.74</v>
      </c>
      <c r="E24404">
        <v>775</v>
      </c>
      <c r="F24404">
        <v>374</v>
      </c>
      <c r="G24404">
        <v>74</v>
      </c>
      <c r="H24404">
        <v>1</v>
      </c>
      <c r="I24404">
        <v>722</v>
      </c>
      <c r="J24404">
        <v>1</v>
      </c>
      <c r="K24404">
        <v>1</v>
      </c>
      <c r="L24404">
        <v>754</v>
      </c>
      <c r="M24404">
        <v>1</v>
      </c>
      <c r="N24404">
        <v>8.7199300000000008E-180</v>
      </c>
      <c r="O24404">
        <v>1619</v>
      </c>
    </row>
    <row r="24405" spans="1:15" x14ac:dyDescent="0.25">
      <c r="A24405" t="s">
        <v>24418</v>
      </c>
      <c r="B24405">
        <v>769</v>
      </c>
      <c r="C24405" s="1" t="str">
        <f>HYPERLINK("http://www.rosaceae.org/gb/gbrowse/malus_x_domestica/?name=MDP0000451038","MDP0000451038")</f>
        <v>MDP0000451038</v>
      </c>
      <c r="D24405">
        <v>58.21</v>
      </c>
      <c r="E24405">
        <v>359</v>
      </c>
      <c r="F24405">
        <v>150</v>
      </c>
      <c r="G24405">
        <v>21</v>
      </c>
      <c r="H24405">
        <v>40</v>
      </c>
      <c r="I24405">
        <v>390</v>
      </c>
      <c r="J24405">
        <v>1</v>
      </c>
      <c r="K24405">
        <v>499</v>
      </c>
      <c r="L24405">
        <v>844</v>
      </c>
      <c r="M24405">
        <v>1</v>
      </c>
      <c r="N24405">
        <v>3.4343799999999999E-104</v>
      </c>
      <c r="O24405">
        <v>967</v>
      </c>
    </row>
    <row r="24406" spans="1:15" x14ac:dyDescent="0.25">
      <c r="A24406" t="s">
        <v>24419</v>
      </c>
      <c r="B24406">
        <v>168</v>
      </c>
      <c r="C24406" s="1" t="str">
        <f>HYPERLINK("http://www.rosaceae.org/gb/gbrowse/malus_x_domestica/?name=MDP0000469141","MDP0000469141")</f>
        <v>MDP0000469141</v>
      </c>
      <c r="D24406">
        <v>60.24</v>
      </c>
      <c r="E24406">
        <v>83</v>
      </c>
      <c r="F24406">
        <v>33</v>
      </c>
      <c r="G24406">
        <v>4</v>
      </c>
      <c r="H24406">
        <v>73</v>
      </c>
      <c r="I24406">
        <v>154</v>
      </c>
      <c r="J24406">
        <v>1</v>
      </c>
      <c r="K24406">
        <v>591</v>
      </c>
      <c r="L24406">
        <v>670</v>
      </c>
      <c r="M24406">
        <v>1</v>
      </c>
      <c r="N24406">
        <v>5.0608900000000002E-19</v>
      </c>
      <c r="O24406">
        <v>224</v>
      </c>
    </row>
    <row r="24407" spans="1:15" x14ac:dyDescent="0.25">
      <c r="A24407" t="s">
        <v>24420</v>
      </c>
      <c r="B24407">
        <v>478</v>
      </c>
      <c r="C24407" s="1" t="str">
        <f>HYPERLINK("http://www.rosaceae.org/gb/gbrowse/malus_x_domestica/?name=MDP0000850540","MDP0000850540")</f>
        <v>MDP0000850540</v>
      </c>
      <c r="D24407">
        <v>71.42</v>
      </c>
      <c r="E24407">
        <v>231</v>
      </c>
      <c r="F24407">
        <v>66</v>
      </c>
      <c r="G24407">
        <v>5</v>
      </c>
      <c r="H24407">
        <v>184</v>
      </c>
      <c r="I24407">
        <v>412</v>
      </c>
      <c r="J24407">
        <v>1</v>
      </c>
      <c r="K24407">
        <v>256</v>
      </c>
      <c r="L24407">
        <v>483</v>
      </c>
      <c r="M24407">
        <v>1</v>
      </c>
      <c r="N24407">
        <v>4.1780900000000001E-94</v>
      </c>
      <c r="O24407">
        <v>878</v>
      </c>
    </row>
    <row r="24408" spans="1:15" x14ac:dyDescent="0.25">
      <c r="A24408" t="s">
        <v>24421</v>
      </c>
      <c r="B24408">
        <v>143</v>
      </c>
      <c r="C24408" s="1" t="str">
        <f>HYPERLINK("http://www.rosaceae.org/gb/gbrowse/malus_x_domestica/?name=MDP0000284863","MDP0000284863")</f>
        <v>MDP0000284863</v>
      </c>
      <c r="D24408">
        <v>95.1</v>
      </c>
      <c r="E24408">
        <v>143</v>
      </c>
      <c r="F24408">
        <v>7</v>
      </c>
      <c r="G24408">
        <v>0</v>
      </c>
      <c r="H24408">
        <v>1</v>
      </c>
      <c r="I24408">
        <v>143</v>
      </c>
      <c r="J24408">
        <v>1</v>
      </c>
      <c r="K24408">
        <v>1</v>
      </c>
      <c r="L24408">
        <v>143</v>
      </c>
      <c r="M24408">
        <v>1</v>
      </c>
      <c r="N24408">
        <v>1.1427000000000001E-75</v>
      </c>
      <c r="O24408">
        <v>712</v>
      </c>
    </row>
    <row r="24409" spans="1:15" x14ac:dyDescent="0.25">
      <c r="A24409" t="s">
        <v>24422</v>
      </c>
      <c r="B24409">
        <v>155</v>
      </c>
      <c r="C24409" s="1" t="str">
        <f>HYPERLINK("http://www.rosaceae.org/gb/gbrowse/malus_x_domestica/?name=MDP0000847488","MDP0000847488")</f>
        <v>MDP0000847488</v>
      </c>
      <c r="D24409">
        <v>60.49</v>
      </c>
      <c r="E24409">
        <v>162</v>
      </c>
      <c r="F24409">
        <v>64</v>
      </c>
      <c r="G24409">
        <v>7</v>
      </c>
      <c r="H24409">
        <v>1</v>
      </c>
      <c r="I24409">
        <v>155</v>
      </c>
      <c r="J24409">
        <v>1</v>
      </c>
      <c r="K24409">
        <v>1</v>
      </c>
      <c r="L24409">
        <v>162</v>
      </c>
      <c r="M24409">
        <v>1</v>
      </c>
      <c r="N24409">
        <v>2.8137100000000001E-46</v>
      </c>
      <c r="O24409">
        <v>459</v>
      </c>
    </row>
    <row r="24410" spans="1:15" x14ac:dyDescent="0.25">
      <c r="A24410" t="s">
        <v>24423</v>
      </c>
      <c r="B24410">
        <v>504</v>
      </c>
      <c r="C24410" s="1" t="str">
        <f>HYPERLINK("http://www.rosaceae.org/gb/gbrowse/malus_x_domestica/?name=MDP0000286198","MDP0000286198")</f>
        <v>MDP0000286198</v>
      </c>
      <c r="D24410">
        <v>67.94</v>
      </c>
      <c r="E24410">
        <v>209</v>
      </c>
      <c r="F24410">
        <v>67</v>
      </c>
      <c r="G24410">
        <v>23</v>
      </c>
      <c r="H24410">
        <v>5</v>
      </c>
      <c r="I24410">
        <v>191</v>
      </c>
      <c r="J24410">
        <v>1</v>
      </c>
      <c r="K24410">
        <v>8</v>
      </c>
      <c r="L24410">
        <v>215</v>
      </c>
      <c r="M24410">
        <v>1</v>
      </c>
      <c r="N24410">
        <v>7.0750599999999998E-72</v>
      </c>
      <c r="O24410">
        <v>686</v>
      </c>
    </row>
    <row r="24411" spans="1:15" x14ac:dyDescent="0.25">
      <c r="A24411" t="s">
        <v>24424</v>
      </c>
      <c r="B24411">
        <v>1852</v>
      </c>
      <c r="C24411" s="1" t="str">
        <f>HYPERLINK("http://www.rosaceae.org/gb/gbrowse/malus_x_domestica/?name=MDP0000162817","MDP0000162817")</f>
        <v>MDP0000162817</v>
      </c>
      <c r="D24411">
        <v>58.14</v>
      </c>
      <c r="E24411">
        <v>1577</v>
      </c>
      <c r="F24411">
        <v>660</v>
      </c>
      <c r="G24411">
        <v>203</v>
      </c>
      <c r="H24411">
        <v>28</v>
      </c>
      <c r="I24411">
        <v>1423</v>
      </c>
      <c r="J24411">
        <v>1</v>
      </c>
      <c r="K24411">
        <v>1</v>
      </c>
      <c r="L24411">
        <v>1555</v>
      </c>
      <c r="M24411">
        <v>1</v>
      </c>
      <c r="N24411">
        <v>0</v>
      </c>
      <c r="O24411">
        <v>4424</v>
      </c>
    </row>
    <row r="24412" spans="1:15" x14ac:dyDescent="0.25">
      <c r="A24412" t="s">
        <v>24425</v>
      </c>
      <c r="B24412">
        <v>2172</v>
      </c>
      <c r="C24412" s="1" t="str">
        <f>HYPERLINK("http://www.rosaceae.org/gb/gbrowse/malus_x_domestica/?name=MDP0000135666","MDP0000135666")</f>
        <v>MDP0000135666</v>
      </c>
      <c r="D24412">
        <v>22.63</v>
      </c>
      <c r="E24412">
        <v>380</v>
      </c>
      <c r="F24412">
        <v>294</v>
      </c>
      <c r="G24412">
        <v>97</v>
      </c>
      <c r="H24412">
        <v>1817</v>
      </c>
      <c r="I24412">
        <v>2108</v>
      </c>
      <c r="J24412">
        <v>1</v>
      </c>
      <c r="K24412">
        <v>245</v>
      </c>
      <c r="L24412">
        <v>615</v>
      </c>
      <c r="M24412">
        <v>1</v>
      </c>
      <c r="N24412">
        <v>5.8556000000000003E-9</v>
      </c>
      <c r="O24412">
        <v>150</v>
      </c>
    </row>
    <row r="24413" spans="1:15" x14ac:dyDescent="0.25">
      <c r="A24413" t="s">
        <v>24426</v>
      </c>
      <c r="B24413">
        <v>326</v>
      </c>
      <c r="C24413" s="1" t="str">
        <f>HYPERLINK("http://www.rosaceae.org/gb/gbrowse/malus_x_domestica/?name=MDP0000294250","MDP0000294250")</f>
        <v>MDP0000294250</v>
      </c>
      <c r="D24413">
        <v>73.13</v>
      </c>
      <c r="E24413">
        <v>309</v>
      </c>
      <c r="F24413">
        <v>83</v>
      </c>
      <c r="G24413">
        <v>31</v>
      </c>
      <c r="H24413">
        <v>18</v>
      </c>
      <c r="I24413">
        <v>326</v>
      </c>
      <c r="J24413">
        <v>1</v>
      </c>
      <c r="K24413">
        <v>31</v>
      </c>
      <c r="L24413">
        <v>308</v>
      </c>
      <c r="M24413">
        <v>1</v>
      </c>
      <c r="N24413">
        <v>9.8306599999999993E-130</v>
      </c>
      <c r="O24413">
        <v>1183</v>
      </c>
    </row>
    <row r="24414" spans="1:15" x14ac:dyDescent="0.25">
      <c r="A24414" t="s">
        <v>24427</v>
      </c>
      <c r="B24414">
        <v>213</v>
      </c>
      <c r="C24414" s="1" t="str">
        <f>HYPERLINK("http://www.rosaceae.org/gb/gbrowse/malus_x_domestica/?name=MDP0000135205","MDP0000135205")</f>
        <v>MDP0000135205</v>
      </c>
      <c r="D24414">
        <v>56.08</v>
      </c>
      <c r="E24414">
        <v>189</v>
      </c>
      <c r="F24414">
        <v>83</v>
      </c>
      <c r="G24414">
        <v>23</v>
      </c>
      <c r="H24414">
        <v>1</v>
      </c>
      <c r="I24414">
        <v>189</v>
      </c>
      <c r="J24414">
        <v>1</v>
      </c>
      <c r="K24414">
        <v>1</v>
      </c>
      <c r="L24414">
        <v>166</v>
      </c>
      <c r="M24414">
        <v>1</v>
      </c>
      <c r="N24414">
        <v>2.0010499999999999E-47</v>
      </c>
      <c r="O24414">
        <v>471</v>
      </c>
    </row>
    <row r="24415" spans="1:15" x14ac:dyDescent="0.25">
      <c r="A24415" t="s">
        <v>24428</v>
      </c>
      <c r="B24415">
        <v>157</v>
      </c>
      <c r="C24415" s="1" t="str">
        <f>HYPERLINK("http://www.rosaceae.org/gb/gbrowse/malus_x_domestica/?name=MDP0000302984","MDP0000302984")</f>
        <v>MDP0000302984</v>
      </c>
      <c r="D24415">
        <v>36.15</v>
      </c>
      <c r="E24415">
        <v>130</v>
      </c>
      <c r="F24415">
        <v>83</v>
      </c>
      <c r="G24415">
        <v>25</v>
      </c>
      <c r="H24415">
        <v>50</v>
      </c>
      <c r="I24415">
        <v>157</v>
      </c>
      <c r="J24415">
        <v>1</v>
      </c>
      <c r="K24415">
        <v>452</v>
      </c>
      <c r="L24415">
        <v>578</v>
      </c>
      <c r="M24415">
        <v>1</v>
      </c>
      <c r="N24415">
        <v>1.2414700000000001E-17</v>
      </c>
      <c r="O24415">
        <v>212</v>
      </c>
    </row>
    <row r="24416" spans="1:15" x14ac:dyDescent="0.25">
      <c r="A24416" t="s">
        <v>24429</v>
      </c>
      <c r="B24416">
        <v>433</v>
      </c>
      <c r="C24416" s="1" t="str">
        <f>HYPERLINK("http://www.rosaceae.org/gb/gbrowse/malus_x_domestica/?name=MDP0000156052","MDP0000156052")</f>
        <v>MDP0000156052</v>
      </c>
      <c r="D24416">
        <v>34.74</v>
      </c>
      <c r="E24416">
        <v>590</v>
      </c>
      <c r="F24416">
        <v>385</v>
      </c>
      <c r="G24416">
        <v>197</v>
      </c>
      <c r="H24416">
        <v>10</v>
      </c>
      <c r="I24416">
        <v>402</v>
      </c>
      <c r="J24416">
        <v>1</v>
      </c>
      <c r="K24416">
        <v>21</v>
      </c>
      <c r="L24416">
        <v>610</v>
      </c>
      <c r="M24416">
        <v>1</v>
      </c>
      <c r="N24416">
        <v>3.6564099999999997E-74</v>
      </c>
      <c r="O24416">
        <v>705</v>
      </c>
    </row>
    <row r="24417" spans="1:15" x14ac:dyDescent="0.25">
      <c r="A24417" t="s">
        <v>24430</v>
      </c>
      <c r="B24417">
        <v>844</v>
      </c>
      <c r="C24417" s="1" t="str">
        <f>HYPERLINK("http://www.rosaceae.org/gb/gbrowse/malus_x_domestica/?name=MDP0000291244","MDP0000291244")</f>
        <v>MDP0000291244</v>
      </c>
      <c r="D24417">
        <v>77.19</v>
      </c>
      <c r="E24417">
        <v>807</v>
      </c>
      <c r="F24417">
        <v>184</v>
      </c>
      <c r="G24417">
        <v>95</v>
      </c>
      <c r="H24417">
        <v>73</v>
      </c>
      <c r="I24417">
        <v>843</v>
      </c>
      <c r="J24417">
        <v>1</v>
      </c>
      <c r="K24417">
        <v>3</v>
      </c>
      <c r="L24417">
        <v>750</v>
      </c>
      <c r="M24417">
        <v>1</v>
      </c>
      <c r="N24417">
        <v>0</v>
      </c>
      <c r="O24417">
        <v>3051</v>
      </c>
    </row>
    <row r="24418" spans="1:15" x14ac:dyDescent="0.25">
      <c r="A24418" t="s">
        <v>24431</v>
      </c>
      <c r="B24418">
        <v>626</v>
      </c>
      <c r="C24418" s="1" t="str">
        <f>HYPERLINK("http://www.rosaceae.org/gb/gbrowse/malus_x_domestica/?name=MDP0000232028","MDP0000232028")</f>
        <v>MDP0000232028</v>
      </c>
      <c r="D24418">
        <v>71.67</v>
      </c>
      <c r="E24418">
        <v>632</v>
      </c>
      <c r="F24418">
        <v>179</v>
      </c>
      <c r="G24418">
        <v>49</v>
      </c>
      <c r="H24418">
        <v>1</v>
      </c>
      <c r="I24418">
        <v>626</v>
      </c>
      <c r="J24418">
        <v>1</v>
      </c>
      <c r="K24418">
        <v>1</v>
      </c>
      <c r="L24418">
        <v>589</v>
      </c>
      <c r="M24418">
        <v>1</v>
      </c>
      <c r="N24418">
        <v>0</v>
      </c>
      <c r="O24418">
        <v>2296</v>
      </c>
    </row>
    <row r="24419" spans="1:15" x14ac:dyDescent="0.25">
      <c r="A24419" t="s">
        <v>24432</v>
      </c>
      <c r="B24419">
        <v>198</v>
      </c>
      <c r="C24419" s="1" t="str">
        <f>HYPERLINK("http://www.rosaceae.org/gb/gbrowse/malus_x_domestica/?name=MDP0000269869","MDP0000269869")</f>
        <v>MDP0000269869</v>
      </c>
      <c r="D24419">
        <v>32.11</v>
      </c>
      <c r="E24419">
        <v>137</v>
      </c>
      <c r="F24419">
        <v>93</v>
      </c>
      <c r="G24419">
        <v>8</v>
      </c>
      <c r="H24419">
        <v>13</v>
      </c>
      <c r="I24419">
        <v>149</v>
      </c>
      <c r="J24419">
        <v>1</v>
      </c>
      <c r="K24419">
        <v>293</v>
      </c>
      <c r="L24419">
        <v>421</v>
      </c>
      <c r="M24419">
        <v>1</v>
      </c>
      <c r="N24419">
        <v>4.7580699999999998E-16</v>
      </c>
      <c r="O24419">
        <v>200</v>
      </c>
    </row>
    <row r="24420" spans="1:15" x14ac:dyDescent="0.25">
      <c r="A24420" t="s">
        <v>24433</v>
      </c>
      <c r="B24420">
        <v>534</v>
      </c>
      <c r="C24420" s="1" t="str">
        <f>HYPERLINK("http://www.rosaceae.org/gb/gbrowse/malus_x_domestica/?name=MDP0000822317","MDP0000822317")</f>
        <v>MDP0000822317</v>
      </c>
      <c r="D24420">
        <v>28.86</v>
      </c>
      <c r="E24420">
        <v>194</v>
      </c>
      <c r="F24420">
        <v>138</v>
      </c>
      <c r="G24420">
        <v>43</v>
      </c>
      <c r="H24420">
        <v>4</v>
      </c>
      <c r="I24420">
        <v>154</v>
      </c>
      <c r="J24420">
        <v>1</v>
      </c>
      <c r="K24420">
        <v>6</v>
      </c>
      <c r="L24420">
        <v>199</v>
      </c>
      <c r="M24420">
        <v>1</v>
      </c>
      <c r="N24420">
        <v>3.62449E-12</v>
      </c>
      <c r="O24420">
        <v>172</v>
      </c>
    </row>
    <row r="24421" spans="1:15" x14ac:dyDescent="0.25">
      <c r="A24421" t="s">
        <v>24434</v>
      </c>
      <c r="B24421">
        <v>690</v>
      </c>
      <c r="C24421" s="1" t="str">
        <f>HYPERLINK("http://www.rosaceae.org/gb/gbrowse/malus_x_domestica/?name=MDP0000507639","MDP0000507639")</f>
        <v>MDP0000507639</v>
      </c>
      <c r="D24421">
        <v>76.28</v>
      </c>
      <c r="E24421">
        <v>683</v>
      </c>
      <c r="F24421">
        <v>162</v>
      </c>
      <c r="G24421">
        <v>12</v>
      </c>
      <c r="H24421">
        <v>19</v>
      </c>
      <c r="I24421">
        <v>690</v>
      </c>
      <c r="J24421">
        <v>1</v>
      </c>
      <c r="K24421">
        <v>17</v>
      </c>
      <c r="L24421">
        <v>698</v>
      </c>
      <c r="M24421">
        <v>1</v>
      </c>
      <c r="N24421">
        <v>0</v>
      </c>
      <c r="O24421">
        <v>2638</v>
      </c>
    </row>
    <row r="24422" spans="1:15" x14ac:dyDescent="0.25">
      <c r="A24422" t="s">
        <v>24435</v>
      </c>
      <c r="B24422">
        <v>632</v>
      </c>
      <c r="C24422" s="1" t="str">
        <f>HYPERLINK("http://www.rosaceae.org/gb/gbrowse/malus_x_domestica/?name=MDP0000316682","MDP0000316682")</f>
        <v>MDP0000316682</v>
      </c>
      <c r="D24422">
        <v>84.48</v>
      </c>
      <c r="E24422">
        <v>638</v>
      </c>
      <c r="F24422">
        <v>99</v>
      </c>
      <c r="G24422">
        <v>7</v>
      </c>
      <c r="H24422">
        <v>1</v>
      </c>
      <c r="I24422">
        <v>632</v>
      </c>
      <c r="J24422">
        <v>1</v>
      </c>
      <c r="K24422">
        <v>1</v>
      </c>
      <c r="L24422">
        <v>637</v>
      </c>
      <c r="M24422">
        <v>1</v>
      </c>
      <c r="N24422">
        <v>0</v>
      </c>
      <c r="O24422">
        <v>2855</v>
      </c>
    </row>
    <row r="24423" spans="1:15" x14ac:dyDescent="0.25">
      <c r="A24423" t="s">
        <v>24436</v>
      </c>
      <c r="B24423">
        <v>308</v>
      </c>
      <c r="C24423" s="1" t="str">
        <f>HYPERLINK("http://www.rosaceae.org/gb/gbrowse/malus_x_domestica/?name=MDP0000203242","MDP0000203242")</f>
        <v>MDP0000203242</v>
      </c>
      <c r="D24423">
        <v>69.56</v>
      </c>
      <c r="E24423">
        <v>69</v>
      </c>
      <c r="F24423">
        <v>21</v>
      </c>
      <c r="G24423">
        <v>0</v>
      </c>
      <c r="H24423">
        <v>64</v>
      </c>
      <c r="I24423">
        <v>132</v>
      </c>
      <c r="J24423">
        <v>1</v>
      </c>
      <c r="K24423">
        <v>65</v>
      </c>
      <c r="L24423">
        <v>133</v>
      </c>
      <c r="M24423">
        <v>1</v>
      </c>
      <c r="N24423">
        <v>2.85194E-21</v>
      </c>
      <c r="O24423">
        <v>248</v>
      </c>
    </row>
    <row r="24424" spans="1:15" x14ac:dyDescent="0.25">
      <c r="A24424" t="s">
        <v>24437</v>
      </c>
      <c r="B24424">
        <v>106</v>
      </c>
      <c r="C24424" s="1" t="str">
        <f>HYPERLINK("http://www.rosaceae.org/gb/gbrowse/malus_x_domestica/?name=MDP0000937996","MDP0000937996")</f>
        <v>MDP0000937996</v>
      </c>
      <c r="D24424">
        <v>82.27</v>
      </c>
      <c r="E24424">
        <v>79</v>
      </c>
      <c r="F24424">
        <v>14</v>
      </c>
      <c r="G24424">
        <v>0</v>
      </c>
      <c r="H24424">
        <v>28</v>
      </c>
      <c r="I24424">
        <v>106</v>
      </c>
      <c r="J24424">
        <v>1</v>
      </c>
      <c r="K24424">
        <v>26</v>
      </c>
      <c r="L24424">
        <v>104</v>
      </c>
      <c r="M24424">
        <v>1</v>
      </c>
      <c r="N24424">
        <v>1.2597099999999999E-32</v>
      </c>
      <c r="O24424">
        <v>339</v>
      </c>
    </row>
    <row r="24425" spans="1:15" x14ac:dyDescent="0.25">
      <c r="A24425" t="s">
        <v>24438</v>
      </c>
      <c r="B24425">
        <v>1101</v>
      </c>
      <c r="C24425" s="1" t="str">
        <f>HYPERLINK("http://www.rosaceae.org/gb/gbrowse/malus_x_domestica/?name=MDP0000174414","MDP0000174414")</f>
        <v>MDP0000174414</v>
      </c>
      <c r="D24425">
        <v>72.3</v>
      </c>
      <c r="E24425">
        <v>751</v>
      </c>
      <c r="F24425">
        <v>208</v>
      </c>
      <c r="G24425">
        <v>16</v>
      </c>
      <c r="H24425">
        <v>6</v>
      </c>
      <c r="I24425">
        <v>744</v>
      </c>
      <c r="J24425">
        <v>1</v>
      </c>
      <c r="K24425">
        <v>5</v>
      </c>
      <c r="L24425">
        <v>751</v>
      </c>
      <c r="M24425">
        <v>1</v>
      </c>
      <c r="N24425">
        <v>0</v>
      </c>
      <c r="O24425">
        <v>2808</v>
      </c>
    </row>
    <row r="24426" spans="1:15" x14ac:dyDescent="0.25">
      <c r="A24426" t="s">
        <v>24439</v>
      </c>
      <c r="B24426">
        <v>1662</v>
      </c>
      <c r="C24426" s="1" t="str">
        <f>HYPERLINK("http://www.rosaceae.org/gb/gbrowse/malus_x_domestica/?name=MDP0000121580","MDP0000121580")</f>
        <v>MDP0000121580</v>
      </c>
      <c r="D24426">
        <v>77.400000000000006</v>
      </c>
      <c r="E24426">
        <v>478</v>
      </c>
      <c r="F24426">
        <v>108</v>
      </c>
      <c r="G24426">
        <v>14</v>
      </c>
      <c r="H24426">
        <v>846</v>
      </c>
      <c r="I24426">
        <v>1319</v>
      </c>
      <c r="J24426">
        <v>1</v>
      </c>
      <c r="K24426">
        <v>2</v>
      </c>
      <c r="L24426">
        <v>469</v>
      </c>
      <c r="M24426">
        <v>1</v>
      </c>
      <c r="N24426">
        <v>0</v>
      </c>
      <c r="O24426">
        <v>1927</v>
      </c>
    </row>
    <row r="24427" spans="1:15" x14ac:dyDescent="0.25">
      <c r="A24427" t="s">
        <v>24440</v>
      </c>
      <c r="B24427">
        <v>321</v>
      </c>
      <c r="C24427" s="1" t="str">
        <f>HYPERLINK("http://www.rosaceae.org/gb/gbrowse/malus_x_domestica/?name=MDP0000670228","MDP0000670228")</f>
        <v>MDP0000670228</v>
      </c>
      <c r="D24427">
        <v>31.91</v>
      </c>
      <c r="E24427">
        <v>188</v>
      </c>
      <c r="F24427">
        <v>128</v>
      </c>
      <c r="G24427">
        <v>45</v>
      </c>
      <c r="H24427">
        <v>60</v>
      </c>
      <c r="I24427">
        <v>211</v>
      </c>
      <c r="J24427">
        <v>1</v>
      </c>
      <c r="K24427">
        <v>134</v>
      </c>
      <c r="L24427">
        <v>312</v>
      </c>
      <c r="M24427">
        <v>1</v>
      </c>
      <c r="N24427">
        <v>1.9205999999999999E-14</v>
      </c>
      <c r="O24427">
        <v>189</v>
      </c>
    </row>
    <row r="24428" spans="1:15" x14ac:dyDescent="0.25">
      <c r="A24428" t="s">
        <v>24441</v>
      </c>
      <c r="B24428">
        <v>535</v>
      </c>
      <c r="C24428" s="1" t="str">
        <f>HYPERLINK("http://www.rosaceae.org/gb/gbrowse/malus_x_domestica/?name=MDP0000065975","MDP0000065975")</f>
        <v>MDP0000065975</v>
      </c>
      <c r="D24428">
        <v>58.45</v>
      </c>
      <c r="E24428">
        <v>532</v>
      </c>
      <c r="F24428">
        <v>221</v>
      </c>
      <c r="G24428">
        <v>30</v>
      </c>
      <c r="H24428">
        <v>18</v>
      </c>
      <c r="I24428">
        <v>535</v>
      </c>
      <c r="J24428">
        <v>1</v>
      </c>
      <c r="K24428">
        <v>68</v>
      </c>
      <c r="L24428">
        <v>583</v>
      </c>
      <c r="M24428">
        <v>1</v>
      </c>
      <c r="N24428">
        <v>2.9924600000000001E-163</v>
      </c>
      <c r="O24428">
        <v>1475</v>
      </c>
    </row>
    <row r="24429" spans="1:15" x14ac:dyDescent="0.25">
      <c r="A24429" t="s">
        <v>24442</v>
      </c>
      <c r="B24429">
        <v>435</v>
      </c>
      <c r="C24429" s="1" t="str">
        <f>HYPERLINK("http://www.rosaceae.org/gb/gbrowse/malus_x_domestica/?name=MDP0000170851","MDP0000170851")</f>
        <v>MDP0000170851</v>
      </c>
      <c r="D24429">
        <v>32.950000000000003</v>
      </c>
      <c r="E24429">
        <v>446</v>
      </c>
      <c r="F24429">
        <v>299</v>
      </c>
      <c r="G24429">
        <v>117</v>
      </c>
      <c r="H24429">
        <v>11</v>
      </c>
      <c r="I24429">
        <v>415</v>
      </c>
      <c r="J24429">
        <v>1</v>
      </c>
      <c r="K24429">
        <v>26</v>
      </c>
      <c r="L24429">
        <v>395</v>
      </c>
      <c r="M24429">
        <v>1</v>
      </c>
      <c r="N24429">
        <v>2.0054500000000001E-37</v>
      </c>
      <c r="O24429">
        <v>389</v>
      </c>
    </row>
    <row r="24430" spans="1:15" x14ac:dyDescent="0.25">
      <c r="A24430" t="s">
        <v>24443</v>
      </c>
      <c r="B24430">
        <v>446</v>
      </c>
      <c r="C24430" s="1" t="str">
        <f>HYPERLINK("http://www.rosaceae.org/gb/gbrowse/malus_x_domestica/?name=MDP0000121524","MDP0000121524")</f>
        <v>MDP0000121524</v>
      </c>
      <c r="D24430">
        <v>28.35</v>
      </c>
      <c r="E24430">
        <v>395</v>
      </c>
      <c r="F24430">
        <v>283</v>
      </c>
      <c r="G24430">
        <v>58</v>
      </c>
      <c r="H24430">
        <v>54</v>
      </c>
      <c r="I24430">
        <v>415</v>
      </c>
      <c r="J24430">
        <v>1</v>
      </c>
      <c r="K24430">
        <v>78</v>
      </c>
      <c r="L24430">
        <v>447</v>
      </c>
      <c r="M24430">
        <v>1</v>
      </c>
      <c r="N24430">
        <v>3.4247200000000002E-37</v>
      </c>
      <c r="O24430">
        <v>387</v>
      </c>
    </row>
    <row r="24431" spans="1:15" x14ac:dyDescent="0.25">
      <c r="A24431" t="s">
        <v>24444</v>
      </c>
      <c r="B24431">
        <v>174</v>
      </c>
      <c r="C24431" s="1" t="str">
        <f>HYPERLINK("http://www.rosaceae.org/gb/gbrowse/malus_x_domestica/?name=MDP0000246484","MDP0000246484")</f>
        <v>MDP0000246484</v>
      </c>
      <c r="D24431">
        <v>43.62</v>
      </c>
      <c r="E24431">
        <v>149</v>
      </c>
      <c r="F24431">
        <v>84</v>
      </c>
      <c r="G24431">
        <v>10</v>
      </c>
      <c r="H24431">
        <v>1</v>
      </c>
      <c r="I24431">
        <v>140</v>
      </c>
      <c r="J24431">
        <v>1</v>
      </c>
      <c r="K24431">
        <v>1</v>
      </c>
      <c r="L24431">
        <v>148</v>
      </c>
      <c r="M24431">
        <v>1</v>
      </c>
      <c r="N24431">
        <v>3.7620200000000002E-23</v>
      </c>
      <c r="O24431">
        <v>260</v>
      </c>
    </row>
    <row r="24432" spans="1:15" x14ac:dyDescent="0.25">
      <c r="A24432" t="s">
        <v>24445</v>
      </c>
      <c r="B24432">
        <v>491</v>
      </c>
      <c r="C24432" s="1" t="str">
        <f>HYPERLINK("http://www.rosaceae.org/gb/gbrowse/malus_x_domestica/?name=MDP0000386667","MDP0000386667")</f>
        <v>MDP0000386667</v>
      </c>
      <c r="D24432">
        <v>70.27</v>
      </c>
      <c r="E24432">
        <v>508</v>
      </c>
      <c r="F24432">
        <v>151</v>
      </c>
      <c r="G24432">
        <v>30</v>
      </c>
      <c r="H24432">
        <v>1</v>
      </c>
      <c r="I24432">
        <v>484</v>
      </c>
      <c r="J24432">
        <v>1</v>
      </c>
      <c r="K24432">
        <v>341</v>
      </c>
      <c r="L24432">
        <v>842</v>
      </c>
      <c r="M24432">
        <v>1</v>
      </c>
      <c r="N24432">
        <v>0</v>
      </c>
      <c r="O24432">
        <v>1818</v>
      </c>
    </row>
    <row r="24433" spans="1:15" x14ac:dyDescent="0.25">
      <c r="A24433" t="s">
        <v>24446</v>
      </c>
      <c r="B24433">
        <v>1062</v>
      </c>
      <c r="C24433" s="1" t="str">
        <f>HYPERLINK("http://www.rosaceae.org/gb/gbrowse/malus_x_domestica/?name=MDP0000320084","MDP0000320084")</f>
        <v>MDP0000320084</v>
      </c>
      <c r="D24433">
        <v>52.07</v>
      </c>
      <c r="E24433">
        <v>505</v>
      </c>
      <c r="F24433">
        <v>242</v>
      </c>
      <c r="G24433">
        <v>95</v>
      </c>
      <c r="H24433">
        <v>285</v>
      </c>
      <c r="I24433">
        <v>789</v>
      </c>
      <c r="J24433">
        <v>1</v>
      </c>
      <c r="K24433">
        <v>236</v>
      </c>
      <c r="L24433">
        <v>645</v>
      </c>
      <c r="M24433">
        <v>1</v>
      </c>
      <c r="N24433">
        <v>1.43663E-128</v>
      </c>
      <c r="O24433">
        <v>1178</v>
      </c>
    </row>
    <row r="24434" spans="1:15" x14ac:dyDescent="0.25">
      <c r="A24434" t="s">
        <v>24447</v>
      </c>
      <c r="B24434">
        <v>199</v>
      </c>
      <c r="C24434" s="1" t="str">
        <f>HYPERLINK("http://www.rosaceae.org/gb/gbrowse/malus_x_domestica/?name=MDP0000322404","MDP0000322404")</f>
        <v>MDP0000322404</v>
      </c>
      <c r="D24434">
        <v>82.06</v>
      </c>
      <c r="E24434">
        <v>145</v>
      </c>
      <c r="F24434">
        <v>26</v>
      </c>
      <c r="G24434">
        <v>0</v>
      </c>
      <c r="H24434">
        <v>55</v>
      </c>
      <c r="I24434">
        <v>199</v>
      </c>
      <c r="J24434">
        <v>1</v>
      </c>
      <c r="K24434">
        <v>1</v>
      </c>
      <c r="L24434">
        <v>145</v>
      </c>
      <c r="M24434">
        <v>1</v>
      </c>
      <c r="N24434">
        <v>2.80169E-64</v>
      </c>
      <c r="O24434">
        <v>616</v>
      </c>
    </row>
    <row r="24435" spans="1:15" x14ac:dyDescent="0.25">
      <c r="A24435" t="s">
        <v>24448</v>
      </c>
      <c r="B24435">
        <v>362</v>
      </c>
      <c r="C24435" s="1" t="str">
        <f>HYPERLINK("http://www.rosaceae.org/gb/gbrowse/malus_x_domestica/?name=MDP0000125138","MDP0000125138")</f>
        <v>MDP0000125138</v>
      </c>
      <c r="D24435">
        <v>41.14</v>
      </c>
      <c r="E24435">
        <v>401</v>
      </c>
      <c r="F24435">
        <v>236</v>
      </c>
      <c r="G24435">
        <v>54</v>
      </c>
      <c r="H24435">
        <v>1</v>
      </c>
      <c r="I24435">
        <v>361</v>
      </c>
      <c r="J24435">
        <v>1</v>
      </c>
      <c r="K24435">
        <v>1</v>
      </c>
      <c r="L24435">
        <v>387</v>
      </c>
      <c r="M24435">
        <v>1</v>
      </c>
      <c r="N24435">
        <v>3.93914E-64</v>
      </c>
      <c r="O24435">
        <v>618</v>
      </c>
    </row>
    <row r="24436" spans="1:15" x14ac:dyDescent="0.25">
      <c r="A24436" t="s">
        <v>24449</v>
      </c>
      <c r="B24436">
        <v>205</v>
      </c>
      <c r="C24436" s="1" t="str">
        <f>HYPERLINK("http://www.rosaceae.org/gb/gbrowse/malus_x_domestica/?name=MDP0000137556","MDP0000137556")</f>
        <v>MDP0000137556</v>
      </c>
      <c r="D24436">
        <v>71.73</v>
      </c>
      <c r="E24436">
        <v>184</v>
      </c>
      <c r="F24436">
        <v>52</v>
      </c>
      <c r="G24436">
        <v>8</v>
      </c>
      <c r="H24436">
        <v>1</v>
      </c>
      <c r="I24436">
        <v>176</v>
      </c>
      <c r="J24436">
        <v>1</v>
      </c>
      <c r="K24436">
        <v>1</v>
      </c>
      <c r="L24436">
        <v>184</v>
      </c>
      <c r="M24436">
        <v>1</v>
      </c>
      <c r="N24436">
        <v>2.6727500000000001E-64</v>
      </c>
      <c r="O24436">
        <v>616</v>
      </c>
    </row>
    <row r="24437" spans="1:15" x14ac:dyDescent="0.25">
      <c r="A24437" t="s">
        <v>24450</v>
      </c>
      <c r="B24437">
        <v>302</v>
      </c>
      <c r="C24437" s="1" t="str">
        <f>HYPERLINK("http://www.rosaceae.org/gb/gbrowse/malus_x_domestica/?name=MDP0000383616","MDP0000383616")</f>
        <v>MDP0000383616</v>
      </c>
      <c r="D24437">
        <v>58.64</v>
      </c>
      <c r="E24437">
        <v>295</v>
      </c>
      <c r="F24437">
        <v>122</v>
      </c>
      <c r="G24437">
        <v>10</v>
      </c>
      <c r="H24437">
        <v>9</v>
      </c>
      <c r="I24437">
        <v>293</v>
      </c>
      <c r="J24437">
        <v>1</v>
      </c>
      <c r="K24437">
        <v>9</v>
      </c>
      <c r="L24437">
        <v>303</v>
      </c>
      <c r="M24437">
        <v>1</v>
      </c>
      <c r="N24437">
        <v>1.1411E-85</v>
      </c>
      <c r="O24437">
        <v>803</v>
      </c>
    </row>
    <row r="24438" spans="1:15" x14ac:dyDescent="0.25">
      <c r="A24438" t="s">
        <v>24451</v>
      </c>
      <c r="B24438">
        <v>207</v>
      </c>
      <c r="C24438" s="1" t="str">
        <f>HYPERLINK("http://www.rosaceae.org/gb/gbrowse/malus_x_domestica/?name=MDP0000126706","MDP0000126706")</f>
        <v>MDP0000126706</v>
      </c>
      <c r="D24438">
        <v>66.959999999999994</v>
      </c>
      <c r="E24438">
        <v>224</v>
      </c>
      <c r="F24438">
        <v>74</v>
      </c>
      <c r="G24438">
        <v>22</v>
      </c>
      <c r="H24438">
        <v>1</v>
      </c>
      <c r="I24438">
        <v>207</v>
      </c>
      <c r="J24438">
        <v>1</v>
      </c>
      <c r="K24438">
        <v>1</v>
      </c>
      <c r="L24438">
        <v>219</v>
      </c>
      <c r="M24438">
        <v>1</v>
      </c>
      <c r="N24438">
        <v>2.47502E-77</v>
      </c>
      <c r="O24438">
        <v>729</v>
      </c>
    </row>
    <row r="24439" spans="1:15" x14ac:dyDescent="0.25">
      <c r="A24439" t="s">
        <v>24452</v>
      </c>
      <c r="B24439">
        <v>404</v>
      </c>
      <c r="C24439" s="1" t="str">
        <f>HYPERLINK("http://www.rosaceae.org/gb/gbrowse/malus_x_domestica/?name=MDP0000788110","MDP0000788110")</f>
        <v>MDP0000788110</v>
      </c>
      <c r="D24439">
        <v>45.4</v>
      </c>
      <c r="E24439">
        <v>500</v>
      </c>
      <c r="F24439">
        <v>273</v>
      </c>
      <c r="G24439">
        <v>157</v>
      </c>
      <c r="H24439">
        <v>55</v>
      </c>
      <c r="I24439">
        <v>404</v>
      </c>
      <c r="J24439">
        <v>1</v>
      </c>
      <c r="K24439">
        <v>64</v>
      </c>
      <c r="L24439">
        <v>556</v>
      </c>
      <c r="M24439">
        <v>1</v>
      </c>
      <c r="N24439">
        <v>3.6366000000000001E-89</v>
      </c>
      <c r="O24439">
        <v>834</v>
      </c>
    </row>
    <row r="24440" spans="1:15" x14ac:dyDescent="0.25">
      <c r="A24440" t="s">
        <v>24453</v>
      </c>
      <c r="B24440">
        <v>181</v>
      </c>
      <c r="C24440" s="1" t="str">
        <f>HYPERLINK("http://www.rosaceae.org/gb/gbrowse/malus_x_domestica/?name=MDP0000125742","MDP0000125742")</f>
        <v>MDP0000125742</v>
      </c>
      <c r="D24440">
        <v>65</v>
      </c>
      <c r="E24440">
        <v>80</v>
      </c>
      <c r="F24440">
        <v>28</v>
      </c>
      <c r="G24440">
        <v>0</v>
      </c>
      <c r="H24440">
        <v>1</v>
      </c>
      <c r="I24440">
        <v>80</v>
      </c>
      <c r="J24440">
        <v>1</v>
      </c>
      <c r="K24440">
        <v>732</v>
      </c>
      <c r="L24440">
        <v>811</v>
      </c>
      <c r="M24440">
        <v>1</v>
      </c>
      <c r="N24440">
        <v>8.8313200000000008E-28</v>
      </c>
      <c r="O24440">
        <v>300</v>
      </c>
    </row>
    <row r="24441" spans="1:15" x14ac:dyDescent="0.25">
      <c r="A24441" t="s">
        <v>24454</v>
      </c>
      <c r="B24441">
        <v>906</v>
      </c>
      <c r="C24441" s="1" t="str">
        <f>HYPERLINK("http://www.rosaceae.org/gb/gbrowse/malus_x_domestica/?name=MDP0000089079","MDP0000089079")</f>
        <v>MDP0000089079</v>
      </c>
      <c r="D24441">
        <v>78.510000000000005</v>
      </c>
      <c r="E24441">
        <v>405</v>
      </c>
      <c r="F24441">
        <v>87</v>
      </c>
      <c r="G24441">
        <v>15</v>
      </c>
      <c r="H24441">
        <v>3</v>
      </c>
      <c r="I24441">
        <v>392</v>
      </c>
      <c r="J24441">
        <v>1</v>
      </c>
      <c r="K24441">
        <v>2</v>
      </c>
      <c r="L24441">
        <v>406</v>
      </c>
      <c r="M24441">
        <v>1</v>
      </c>
      <c r="N24441">
        <v>1.07543E-179</v>
      </c>
      <c r="O24441">
        <v>1619</v>
      </c>
    </row>
    <row r="24442" spans="1:15" x14ac:dyDescent="0.25">
      <c r="A24442" t="s">
        <v>24455</v>
      </c>
      <c r="B24442">
        <v>377</v>
      </c>
      <c r="C24442" s="1" t="str">
        <f>HYPERLINK("http://www.rosaceae.org/gb/gbrowse/malus_x_domestica/?name=MDP0000199598","MDP0000199598")</f>
        <v>MDP0000199598</v>
      </c>
      <c r="D24442">
        <v>71.91</v>
      </c>
      <c r="E24442">
        <v>381</v>
      </c>
      <c r="F24442">
        <v>107</v>
      </c>
      <c r="G24442">
        <v>24</v>
      </c>
      <c r="H24442">
        <v>1</v>
      </c>
      <c r="I24442">
        <v>375</v>
      </c>
      <c r="J24442">
        <v>1</v>
      </c>
      <c r="K24442">
        <v>1</v>
      </c>
      <c r="L24442">
        <v>363</v>
      </c>
      <c r="M24442">
        <v>1</v>
      </c>
      <c r="N24442">
        <v>2.20956E-153</v>
      </c>
      <c r="O24442">
        <v>1388</v>
      </c>
    </row>
    <row r="24443" spans="1:15" x14ac:dyDescent="0.25">
      <c r="A24443" t="s">
        <v>24456</v>
      </c>
      <c r="B24443">
        <v>265</v>
      </c>
      <c r="C24443" s="1" t="str">
        <f>HYPERLINK("http://www.rosaceae.org/gb/gbrowse/malus_x_domestica/?name=MDP0000174513","MDP0000174513")</f>
        <v>MDP0000174513</v>
      </c>
      <c r="D24443">
        <v>51.26</v>
      </c>
      <c r="E24443">
        <v>238</v>
      </c>
      <c r="F24443">
        <v>116</v>
      </c>
      <c r="G24443">
        <v>30</v>
      </c>
      <c r="H24443">
        <v>1</v>
      </c>
      <c r="I24443">
        <v>231</v>
      </c>
      <c r="J24443">
        <v>1</v>
      </c>
      <c r="K24443">
        <v>79</v>
      </c>
      <c r="L24443">
        <v>293</v>
      </c>
      <c r="M24443">
        <v>1</v>
      </c>
      <c r="N24443">
        <v>8.1696500000000001E-45</v>
      </c>
      <c r="O24443">
        <v>450</v>
      </c>
    </row>
    <row r="24444" spans="1:15" x14ac:dyDescent="0.25">
      <c r="A24444" t="s">
        <v>24457</v>
      </c>
      <c r="B24444">
        <v>738</v>
      </c>
      <c r="C24444" s="1" t="str">
        <f>HYPERLINK("http://www.rosaceae.org/gb/gbrowse/malus_x_domestica/?name=MDP0000275865","MDP0000275865")</f>
        <v>MDP0000275865</v>
      </c>
      <c r="D24444">
        <v>55.16</v>
      </c>
      <c r="E24444">
        <v>736</v>
      </c>
      <c r="F24444">
        <v>330</v>
      </c>
      <c r="G24444">
        <v>51</v>
      </c>
      <c r="H24444">
        <v>10</v>
      </c>
      <c r="I24444">
        <v>724</v>
      </c>
      <c r="J24444">
        <v>1</v>
      </c>
      <c r="K24444">
        <v>11</v>
      </c>
      <c r="L24444">
        <v>716</v>
      </c>
      <c r="M24444">
        <v>1</v>
      </c>
      <c r="N24444">
        <v>0</v>
      </c>
      <c r="O24444">
        <v>1980</v>
      </c>
    </row>
    <row r="24445" spans="1:15" x14ac:dyDescent="0.25">
      <c r="A24445" t="s">
        <v>24458</v>
      </c>
      <c r="B24445">
        <v>172</v>
      </c>
      <c r="C24445" s="1" t="str">
        <f>HYPERLINK("http://www.rosaceae.org/gb/gbrowse/malus_x_domestica/?name=MDP0000273491","MDP0000273491")</f>
        <v>MDP0000273491</v>
      </c>
      <c r="D24445">
        <v>65.38</v>
      </c>
      <c r="E24445">
        <v>156</v>
      </c>
      <c r="F24445">
        <v>54</v>
      </c>
      <c r="G24445">
        <v>8</v>
      </c>
      <c r="H24445">
        <v>1</v>
      </c>
      <c r="I24445">
        <v>156</v>
      </c>
      <c r="J24445">
        <v>1</v>
      </c>
      <c r="K24445">
        <v>18</v>
      </c>
      <c r="L24445">
        <v>165</v>
      </c>
      <c r="M24445">
        <v>1</v>
      </c>
      <c r="N24445">
        <v>7.2652699999999997E-52</v>
      </c>
      <c r="O24445">
        <v>508</v>
      </c>
    </row>
    <row r="24446" spans="1:15" x14ac:dyDescent="0.25">
      <c r="A24446" t="s">
        <v>24459</v>
      </c>
      <c r="B24446">
        <v>191</v>
      </c>
      <c r="C24446" s="1" t="str">
        <f>HYPERLINK("http://www.rosaceae.org/gb/gbrowse/malus_x_domestica/?name=MDP0000317741","MDP0000317741")</f>
        <v>MDP0000317741</v>
      </c>
      <c r="D24446">
        <v>45.65</v>
      </c>
      <c r="E24446">
        <v>92</v>
      </c>
      <c r="F24446">
        <v>50</v>
      </c>
      <c r="G24446">
        <v>0</v>
      </c>
      <c r="H24446">
        <v>25</v>
      </c>
      <c r="I24446">
        <v>116</v>
      </c>
      <c r="J24446">
        <v>1</v>
      </c>
      <c r="K24446">
        <v>175</v>
      </c>
      <c r="L24446">
        <v>266</v>
      </c>
      <c r="M24446">
        <v>1</v>
      </c>
      <c r="N24446">
        <v>8.9083300000000003E-20</v>
      </c>
      <c r="O24446">
        <v>232</v>
      </c>
    </row>
    <row r="24447" spans="1:15" x14ac:dyDescent="0.25">
      <c r="A24447" t="s">
        <v>24460</v>
      </c>
      <c r="B24447">
        <v>809</v>
      </c>
      <c r="C24447" s="1" t="str">
        <f>HYPERLINK("http://www.rosaceae.org/gb/gbrowse/malus_x_domestica/?name=MDP0000315414","MDP0000315414")</f>
        <v>MDP0000315414</v>
      </c>
      <c r="D24447">
        <v>66.42</v>
      </c>
      <c r="E24447">
        <v>697</v>
      </c>
      <c r="F24447">
        <v>234</v>
      </c>
      <c r="G24447">
        <v>35</v>
      </c>
      <c r="H24447">
        <v>132</v>
      </c>
      <c r="I24447">
        <v>809</v>
      </c>
      <c r="J24447">
        <v>1</v>
      </c>
      <c r="K24447">
        <v>1</v>
      </c>
      <c r="L24447">
        <v>681</v>
      </c>
      <c r="M24447">
        <v>1</v>
      </c>
      <c r="N24447">
        <v>0</v>
      </c>
      <c r="O24447">
        <v>2305</v>
      </c>
    </row>
    <row r="24448" spans="1:15" x14ac:dyDescent="0.25">
      <c r="A24448" t="s">
        <v>24461</v>
      </c>
      <c r="B24448">
        <v>818</v>
      </c>
      <c r="C24448" s="1" t="str">
        <f>HYPERLINK("http://www.rosaceae.org/gb/gbrowse/malus_x_domestica/?name=MDP0000391115","MDP0000391115")</f>
        <v>MDP0000391115</v>
      </c>
      <c r="D24448">
        <v>66.66</v>
      </c>
      <c r="E24448">
        <v>387</v>
      </c>
      <c r="F24448">
        <v>129</v>
      </c>
      <c r="G24448">
        <v>18</v>
      </c>
      <c r="H24448">
        <v>1</v>
      </c>
      <c r="I24448">
        <v>378</v>
      </c>
      <c r="J24448">
        <v>1</v>
      </c>
      <c r="K24448">
        <v>1</v>
      </c>
      <c r="L24448">
        <v>378</v>
      </c>
      <c r="M24448">
        <v>1</v>
      </c>
      <c r="N24448">
        <v>7.0814299999999996E-140</v>
      </c>
      <c r="O24448">
        <v>1275</v>
      </c>
    </row>
    <row r="24449" spans="1:15" x14ac:dyDescent="0.25">
      <c r="A24449" t="s">
        <v>24462</v>
      </c>
      <c r="B24449">
        <v>148</v>
      </c>
      <c r="C24449" s="1" t="str">
        <f>HYPERLINK("http://www.rosaceae.org/gb/gbrowse/malus_x_domestica/?name=MDP0000152343","MDP0000152343")</f>
        <v>MDP0000152343</v>
      </c>
      <c r="D24449">
        <v>47.01</v>
      </c>
      <c r="E24449">
        <v>134</v>
      </c>
      <c r="F24449">
        <v>71</v>
      </c>
      <c r="G24449">
        <v>14</v>
      </c>
      <c r="H24449">
        <v>22</v>
      </c>
      <c r="I24449">
        <v>148</v>
      </c>
      <c r="J24449">
        <v>1</v>
      </c>
      <c r="K24449">
        <v>8</v>
      </c>
      <c r="L24449">
        <v>134</v>
      </c>
      <c r="M24449">
        <v>1</v>
      </c>
      <c r="N24449">
        <v>7.6988799999999995E-22</v>
      </c>
      <c r="O24449">
        <v>248</v>
      </c>
    </row>
    <row r="24450" spans="1:15" x14ac:dyDescent="0.25">
      <c r="A24450" t="s">
        <v>24463</v>
      </c>
      <c r="B24450">
        <v>523</v>
      </c>
      <c r="C24450" s="1" t="str">
        <f>HYPERLINK("http://www.rosaceae.org/gb/gbrowse/malus_x_domestica/?name=MDP0000119093","MDP0000119093")</f>
        <v>MDP0000119093</v>
      </c>
      <c r="D24450">
        <v>59.29</v>
      </c>
      <c r="E24450">
        <v>484</v>
      </c>
      <c r="F24450">
        <v>197</v>
      </c>
      <c r="G24450">
        <v>22</v>
      </c>
      <c r="H24450">
        <v>1</v>
      </c>
      <c r="I24450">
        <v>481</v>
      </c>
      <c r="J24450">
        <v>1</v>
      </c>
      <c r="K24450">
        <v>3</v>
      </c>
      <c r="L24450">
        <v>467</v>
      </c>
      <c r="M24450">
        <v>1</v>
      </c>
      <c r="N24450">
        <v>2.21862E-147</v>
      </c>
      <c r="O24450">
        <v>1338</v>
      </c>
    </row>
    <row r="24451" spans="1:15" x14ac:dyDescent="0.25">
      <c r="A24451" t="s">
        <v>24464</v>
      </c>
      <c r="B24451">
        <v>186</v>
      </c>
      <c r="C24451" s="1" t="str">
        <f>HYPERLINK("http://www.rosaceae.org/gb/gbrowse/malus_x_domestica/?name=MDP0000679369","MDP0000679369")</f>
        <v>MDP0000679369</v>
      </c>
      <c r="D24451">
        <v>74.260000000000005</v>
      </c>
      <c r="E24451">
        <v>171</v>
      </c>
      <c r="F24451">
        <v>44</v>
      </c>
      <c r="G24451">
        <v>13</v>
      </c>
      <c r="H24451">
        <v>26</v>
      </c>
      <c r="I24451">
        <v>183</v>
      </c>
      <c r="J24451">
        <v>1</v>
      </c>
      <c r="K24451">
        <v>1</v>
      </c>
      <c r="L24451">
        <v>171</v>
      </c>
      <c r="M24451">
        <v>1</v>
      </c>
      <c r="N24451">
        <v>2.6457800000000001E-68</v>
      </c>
      <c r="O24451">
        <v>650</v>
      </c>
    </row>
    <row r="24452" spans="1:15" x14ac:dyDescent="0.25">
      <c r="A24452" t="s">
        <v>24465</v>
      </c>
      <c r="B24452">
        <v>416</v>
      </c>
      <c r="C24452" s="1" t="str">
        <f>HYPERLINK("http://www.rosaceae.org/gb/gbrowse/malus_x_domestica/?name=MDP0000257015","MDP0000257015")</f>
        <v>MDP0000257015</v>
      </c>
      <c r="D24452">
        <v>84.12</v>
      </c>
      <c r="E24452">
        <v>126</v>
      </c>
      <c r="F24452">
        <v>20</v>
      </c>
      <c r="G24452">
        <v>5</v>
      </c>
      <c r="H24452">
        <v>273</v>
      </c>
      <c r="I24452">
        <v>393</v>
      </c>
      <c r="J24452">
        <v>1</v>
      </c>
      <c r="K24452">
        <v>516</v>
      </c>
      <c r="L24452">
        <v>641</v>
      </c>
      <c r="M24452">
        <v>1</v>
      </c>
      <c r="N24452">
        <v>1.14799E-58</v>
      </c>
      <c r="O24452">
        <v>572</v>
      </c>
    </row>
    <row r="24453" spans="1:15" x14ac:dyDescent="0.25">
      <c r="A24453" t="s">
        <v>24466</v>
      </c>
      <c r="B24453">
        <v>483</v>
      </c>
      <c r="C24453" s="1" t="str">
        <f>HYPERLINK("http://www.rosaceae.org/gb/gbrowse/malus_x_domestica/?name=MDP0000145024","MDP0000145024")</f>
        <v>MDP0000145024</v>
      </c>
      <c r="D24453">
        <v>31.28</v>
      </c>
      <c r="E24453">
        <v>179</v>
      </c>
      <c r="F24453">
        <v>123</v>
      </c>
      <c r="G24453">
        <v>12</v>
      </c>
      <c r="H24453">
        <v>308</v>
      </c>
      <c r="I24453">
        <v>481</v>
      </c>
      <c r="J24453">
        <v>1</v>
      </c>
      <c r="K24453">
        <v>589</v>
      </c>
      <c r="L24453">
        <v>760</v>
      </c>
      <c r="M24453">
        <v>1</v>
      </c>
      <c r="N24453">
        <v>4.4423100000000002E-15</v>
      </c>
      <c r="O24453">
        <v>196</v>
      </c>
    </row>
    <row r="24454" spans="1:15" x14ac:dyDescent="0.25">
      <c r="A24454" t="s">
        <v>24467</v>
      </c>
      <c r="B24454">
        <v>223</v>
      </c>
      <c r="C24454" s="1" t="str">
        <f>HYPERLINK("http://www.rosaceae.org/gb/gbrowse/malus_x_domestica/?name=MDP0000292325","MDP0000292325")</f>
        <v>MDP0000292325</v>
      </c>
      <c r="D24454">
        <v>42.37</v>
      </c>
      <c r="E24454">
        <v>59</v>
      </c>
      <c r="F24454">
        <v>34</v>
      </c>
      <c r="G24454">
        <v>1</v>
      </c>
      <c r="H24454">
        <v>131</v>
      </c>
      <c r="I24454">
        <v>189</v>
      </c>
      <c r="J24454">
        <v>1</v>
      </c>
      <c r="K24454">
        <v>150</v>
      </c>
      <c r="L24454">
        <v>207</v>
      </c>
      <c r="M24454">
        <v>1</v>
      </c>
      <c r="N24454">
        <v>2.4053899999999998E-7</v>
      </c>
      <c r="O24454">
        <v>126</v>
      </c>
    </row>
    <row r="24455" spans="1:15" x14ac:dyDescent="0.25">
      <c r="A24455" t="s">
        <v>24468</v>
      </c>
      <c r="B24455">
        <v>329</v>
      </c>
      <c r="C24455" s="1" t="str">
        <f>HYPERLINK("http://www.rosaceae.org/gb/gbrowse/malus_x_domestica/?name=MDP0000241994","MDP0000241994")</f>
        <v>MDP0000241994</v>
      </c>
      <c r="D24455">
        <v>32.71</v>
      </c>
      <c r="E24455">
        <v>107</v>
      </c>
      <c r="F24455">
        <v>72</v>
      </c>
      <c r="G24455">
        <v>11</v>
      </c>
      <c r="H24455">
        <v>40</v>
      </c>
      <c r="I24455">
        <v>140</v>
      </c>
      <c r="J24455">
        <v>1</v>
      </c>
      <c r="K24455">
        <v>1</v>
      </c>
      <c r="L24455">
        <v>102</v>
      </c>
      <c r="M24455">
        <v>1</v>
      </c>
      <c r="N24455">
        <v>4.33174E-10</v>
      </c>
      <c r="O24455">
        <v>151</v>
      </c>
    </row>
    <row r="24456" spans="1:15" x14ac:dyDescent="0.25">
      <c r="A24456" t="s">
        <v>24469</v>
      </c>
      <c r="B24456">
        <v>202</v>
      </c>
      <c r="C24456" s="1" t="str">
        <f>HYPERLINK("http://www.rosaceae.org/gb/gbrowse/malus_x_domestica/?name=MDP0000234024","MDP0000234024")</f>
        <v>MDP0000234024</v>
      </c>
      <c r="D24456">
        <v>88.11</v>
      </c>
      <c r="E24456">
        <v>202</v>
      </c>
      <c r="F24456">
        <v>24</v>
      </c>
      <c r="G24456">
        <v>0</v>
      </c>
      <c r="H24456">
        <v>1</v>
      </c>
      <c r="I24456">
        <v>202</v>
      </c>
      <c r="J24456">
        <v>1</v>
      </c>
      <c r="K24456">
        <v>1</v>
      </c>
      <c r="L24456">
        <v>202</v>
      </c>
      <c r="M24456">
        <v>1</v>
      </c>
      <c r="N24456">
        <v>8.51472E-101</v>
      </c>
      <c r="O24456">
        <v>931</v>
      </c>
    </row>
    <row r="24457" spans="1:15" x14ac:dyDescent="0.25">
      <c r="A24457" t="s">
        <v>24470</v>
      </c>
      <c r="B24457">
        <v>644</v>
      </c>
      <c r="C24457" s="1" t="str">
        <f>HYPERLINK("http://www.rosaceae.org/gb/gbrowse/malus_x_domestica/?name=MDP0000299496","MDP0000299496")</f>
        <v>MDP0000299496</v>
      </c>
      <c r="D24457">
        <v>40.06</v>
      </c>
      <c r="E24457">
        <v>322</v>
      </c>
      <c r="F24457">
        <v>193</v>
      </c>
      <c r="G24457">
        <v>10</v>
      </c>
      <c r="H24457">
        <v>169</v>
      </c>
      <c r="I24457">
        <v>484</v>
      </c>
      <c r="J24457">
        <v>1</v>
      </c>
      <c r="K24457">
        <v>477</v>
      </c>
      <c r="L24457">
        <v>794</v>
      </c>
      <c r="M24457">
        <v>1</v>
      </c>
      <c r="N24457">
        <v>2.53877E-65</v>
      </c>
      <c r="O24457">
        <v>631</v>
      </c>
    </row>
    <row r="24458" spans="1:15" x14ac:dyDescent="0.25">
      <c r="A24458" t="s">
        <v>24471</v>
      </c>
      <c r="B24458">
        <v>460</v>
      </c>
      <c r="C24458" s="1" t="str">
        <f>HYPERLINK("http://www.rosaceae.org/gb/gbrowse/malus_x_domestica/?name=MDP0000893827","MDP0000893827")</f>
        <v>MDP0000893827</v>
      </c>
      <c r="D24458">
        <v>67.45</v>
      </c>
      <c r="E24458">
        <v>424</v>
      </c>
      <c r="F24458">
        <v>138</v>
      </c>
      <c r="G24458">
        <v>19</v>
      </c>
      <c r="H24458">
        <v>20</v>
      </c>
      <c r="I24458">
        <v>426</v>
      </c>
      <c r="J24458">
        <v>1</v>
      </c>
      <c r="K24458">
        <v>18</v>
      </c>
      <c r="L24458">
        <v>439</v>
      </c>
      <c r="M24458">
        <v>1</v>
      </c>
      <c r="N24458">
        <v>1.3602199999999999E-167</v>
      </c>
      <c r="O24458">
        <v>1511</v>
      </c>
    </row>
    <row r="24459" spans="1:15" x14ac:dyDescent="0.25">
      <c r="A24459" t="s">
        <v>24472</v>
      </c>
      <c r="B24459">
        <v>221</v>
      </c>
      <c r="C24459" s="1" t="str">
        <f>HYPERLINK("http://www.rosaceae.org/gb/gbrowse/malus_x_domestica/?name=MDP0000218859","MDP0000218859")</f>
        <v>MDP0000218859</v>
      </c>
      <c r="D24459">
        <v>55.31</v>
      </c>
      <c r="E24459">
        <v>47</v>
      </c>
      <c r="F24459">
        <v>21</v>
      </c>
      <c r="G24459">
        <v>0</v>
      </c>
      <c r="H24459">
        <v>139</v>
      </c>
      <c r="I24459">
        <v>185</v>
      </c>
      <c r="J24459">
        <v>1</v>
      </c>
      <c r="K24459">
        <v>94</v>
      </c>
      <c r="L24459">
        <v>140</v>
      </c>
      <c r="M24459">
        <v>1</v>
      </c>
      <c r="N24459">
        <v>1.97589E-8</v>
      </c>
      <c r="O24459">
        <v>135</v>
      </c>
    </row>
    <row r="24460" spans="1:15" x14ac:dyDescent="0.25">
      <c r="A24460" t="s">
        <v>24473</v>
      </c>
      <c r="B24460">
        <v>391</v>
      </c>
      <c r="C24460" s="1" t="str">
        <f>HYPERLINK("http://www.rosaceae.org/gb/gbrowse/malus_x_domestica/?name=MDP0000465067","MDP0000465067")</f>
        <v>MDP0000465067</v>
      </c>
      <c r="D24460">
        <v>69.680000000000007</v>
      </c>
      <c r="E24460">
        <v>409</v>
      </c>
      <c r="F24460">
        <v>124</v>
      </c>
      <c r="G24460">
        <v>30</v>
      </c>
      <c r="H24460">
        <v>10</v>
      </c>
      <c r="I24460">
        <v>391</v>
      </c>
      <c r="J24460">
        <v>1</v>
      </c>
      <c r="K24460">
        <v>18</v>
      </c>
      <c r="L24460">
        <v>423</v>
      </c>
      <c r="M24460">
        <v>1</v>
      </c>
      <c r="N24460">
        <v>8.51398E-163</v>
      </c>
      <c r="O24460">
        <v>1469</v>
      </c>
    </row>
    <row r="24461" spans="1:15" x14ac:dyDescent="0.25">
      <c r="A24461" t="s">
        <v>24474</v>
      </c>
      <c r="B24461">
        <v>157</v>
      </c>
      <c r="C24461" s="1" t="str">
        <f>HYPERLINK("http://www.rosaceae.org/gb/gbrowse/malus_x_domestica/?name=MDP0000344717","MDP0000344717")</f>
        <v>MDP0000344717</v>
      </c>
      <c r="D24461">
        <v>57.5</v>
      </c>
      <c r="E24461">
        <v>160</v>
      </c>
      <c r="F24461">
        <v>68</v>
      </c>
      <c r="G24461">
        <v>5</v>
      </c>
      <c r="H24461">
        <v>1</v>
      </c>
      <c r="I24461">
        <v>156</v>
      </c>
      <c r="J24461">
        <v>1</v>
      </c>
      <c r="K24461">
        <v>1</v>
      </c>
      <c r="L24461">
        <v>159</v>
      </c>
      <c r="M24461">
        <v>1</v>
      </c>
      <c r="N24461">
        <v>1.3923799999999999E-53</v>
      </c>
      <c r="O24461">
        <v>522</v>
      </c>
    </row>
    <row r="24462" spans="1:15" x14ac:dyDescent="0.25">
      <c r="A24462" t="s">
        <v>24475</v>
      </c>
      <c r="B24462">
        <v>343</v>
      </c>
      <c r="C24462" s="1" t="str">
        <f>HYPERLINK("http://www.rosaceae.org/gb/gbrowse/malus_x_domestica/?name=MDP0000219048","MDP0000219048")</f>
        <v>MDP0000219048</v>
      </c>
      <c r="D24462">
        <v>49.08</v>
      </c>
      <c r="E24462">
        <v>381</v>
      </c>
      <c r="F24462">
        <v>194</v>
      </c>
      <c r="G24462">
        <v>115</v>
      </c>
      <c r="H24462">
        <v>58</v>
      </c>
      <c r="I24462">
        <v>343</v>
      </c>
      <c r="J24462">
        <v>1</v>
      </c>
      <c r="K24462">
        <v>81</v>
      </c>
      <c r="L24462">
        <v>441</v>
      </c>
      <c r="M24462">
        <v>1</v>
      </c>
      <c r="N24462">
        <v>6.4975400000000005E-86</v>
      </c>
      <c r="O24462">
        <v>806</v>
      </c>
    </row>
    <row r="24463" spans="1:15" x14ac:dyDescent="0.25">
      <c r="A24463" t="s">
        <v>24476</v>
      </c>
      <c r="B24463">
        <v>418</v>
      </c>
      <c r="C24463" s="1" t="str">
        <f>HYPERLINK("http://www.rosaceae.org/gb/gbrowse/malus_x_domestica/?name=MDP0000167145","MDP0000167145")</f>
        <v>MDP0000167145</v>
      </c>
      <c r="D24463">
        <v>50.76</v>
      </c>
      <c r="E24463">
        <v>65</v>
      </c>
      <c r="F24463">
        <v>32</v>
      </c>
      <c r="G24463">
        <v>2</v>
      </c>
      <c r="H24463">
        <v>247</v>
      </c>
      <c r="I24463">
        <v>309</v>
      </c>
      <c r="J24463">
        <v>1</v>
      </c>
      <c r="K24463">
        <v>75</v>
      </c>
      <c r="L24463">
        <v>139</v>
      </c>
      <c r="M24463">
        <v>1</v>
      </c>
      <c r="N24463">
        <v>1.1048000000000001E-11</v>
      </c>
      <c r="O24463">
        <v>166</v>
      </c>
    </row>
    <row r="24464" spans="1:15" x14ac:dyDescent="0.25">
      <c r="A24464" t="s">
        <v>24477</v>
      </c>
      <c r="B24464">
        <v>748</v>
      </c>
      <c r="C24464" s="1" t="str">
        <f>HYPERLINK("http://www.rosaceae.org/gb/gbrowse/malus_x_domestica/?name=MDP0000134335","MDP0000134335")</f>
        <v>MDP0000134335</v>
      </c>
      <c r="D24464">
        <v>56.66</v>
      </c>
      <c r="E24464">
        <v>210</v>
      </c>
      <c r="F24464">
        <v>91</v>
      </c>
      <c r="G24464">
        <v>2</v>
      </c>
      <c r="H24464">
        <v>347</v>
      </c>
      <c r="I24464">
        <v>555</v>
      </c>
      <c r="J24464">
        <v>1</v>
      </c>
      <c r="K24464">
        <v>361</v>
      </c>
      <c r="L24464">
        <v>569</v>
      </c>
      <c r="M24464">
        <v>1</v>
      </c>
      <c r="N24464">
        <v>5.7490000000000003E-57</v>
      </c>
      <c r="O24464">
        <v>560</v>
      </c>
    </row>
    <row r="24465" spans="1:15" x14ac:dyDescent="0.25">
      <c r="A24465" t="s">
        <v>24478</v>
      </c>
      <c r="B24465">
        <v>181</v>
      </c>
      <c r="C24465" s="1" t="str">
        <f>HYPERLINK("http://www.rosaceae.org/gb/gbrowse/malus_x_domestica/?name=MDP0000262734","MDP0000262734")</f>
        <v>MDP0000262734</v>
      </c>
      <c r="D24465">
        <v>93.88</v>
      </c>
      <c r="E24465">
        <v>180</v>
      </c>
      <c r="F24465">
        <v>11</v>
      </c>
      <c r="G24465">
        <v>0</v>
      </c>
      <c r="H24465">
        <v>1</v>
      </c>
      <c r="I24465">
        <v>180</v>
      </c>
      <c r="J24465">
        <v>1</v>
      </c>
      <c r="K24465">
        <v>1</v>
      </c>
      <c r="L24465">
        <v>180</v>
      </c>
      <c r="M24465">
        <v>1</v>
      </c>
      <c r="N24465">
        <v>3.5439E-98</v>
      </c>
      <c r="O24465">
        <v>908</v>
      </c>
    </row>
    <row r="24466" spans="1:15" x14ac:dyDescent="0.25">
      <c r="A24466" t="s">
        <v>24479</v>
      </c>
      <c r="B24466">
        <v>250</v>
      </c>
      <c r="C24466" s="1" t="str">
        <f>HYPERLINK("http://www.rosaceae.org/gb/gbrowse/malus_x_domestica/?name=MDP0000232843","MDP0000232843")</f>
        <v>MDP0000232843</v>
      </c>
      <c r="D24466">
        <v>54.38</v>
      </c>
      <c r="E24466">
        <v>57</v>
      </c>
      <c r="F24466">
        <v>26</v>
      </c>
      <c r="G24466">
        <v>0</v>
      </c>
      <c r="H24466">
        <v>194</v>
      </c>
      <c r="I24466">
        <v>250</v>
      </c>
      <c r="J24466">
        <v>1</v>
      </c>
      <c r="K24466">
        <v>168</v>
      </c>
      <c r="L24466">
        <v>224</v>
      </c>
      <c r="M24466">
        <v>1</v>
      </c>
      <c r="N24466">
        <v>9.1632999999999999E-14</v>
      </c>
      <c r="O24466">
        <v>182</v>
      </c>
    </row>
    <row r="24467" spans="1:15" x14ac:dyDescent="0.25">
      <c r="A24467" t="s">
        <v>24480</v>
      </c>
      <c r="B24467">
        <v>839</v>
      </c>
      <c r="C24467" s="1" t="str">
        <f>HYPERLINK("http://www.rosaceae.org/gb/gbrowse/malus_x_domestica/?name=MDP0000589422","MDP0000589422")</f>
        <v>MDP0000589422</v>
      </c>
      <c r="D24467">
        <v>43.92</v>
      </c>
      <c r="E24467">
        <v>280</v>
      </c>
      <c r="F24467">
        <v>157</v>
      </c>
      <c r="G24467">
        <v>44</v>
      </c>
      <c r="H24467">
        <v>288</v>
      </c>
      <c r="I24467">
        <v>526</v>
      </c>
      <c r="J24467">
        <v>1</v>
      </c>
      <c r="K24467">
        <v>11</v>
      </c>
      <c r="L24467">
        <v>287</v>
      </c>
      <c r="M24467">
        <v>1</v>
      </c>
      <c r="N24467">
        <v>2.12577E-46</v>
      </c>
      <c r="O24467">
        <v>469</v>
      </c>
    </row>
    <row r="24468" spans="1:15" x14ac:dyDescent="0.25">
      <c r="A24468" t="s">
        <v>24481</v>
      </c>
      <c r="B24468">
        <v>203</v>
      </c>
      <c r="C24468" s="1" t="str">
        <f>HYPERLINK("http://www.rosaceae.org/gb/gbrowse/malus_x_domestica/?name=MDP0000161846","MDP0000161846")</f>
        <v>MDP0000161846</v>
      </c>
      <c r="D24468">
        <v>67.45</v>
      </c>
      <c r="E24468">
        <v>212</v>
      </c>
      <c r="F24468">
        <v>69</v>
      </c>
      <c r="G24468">
        <v>19</v>
      </c>
      <c r="H24468">
        <v>1</v>
      </c>
      <c r="I24468">
        <v>202</v>
      </c>
      <c r="J24468">
        <v>1</v>
      </c>
      <c r="K24468">
        <v>1</v>
      </c>
      <c r="L24468">
        <v>203</v>
      </c>
      <c r="M24468">
        <v>1</v>
      </c>
      <c r="N24468">
        <v>1.16896E-76</v>
      </c>
      <c r="O24468">
        <v>723</v>
      </c>
    </row>
    <row r="24469" spans="1:15" x14ac:dyDescent="0.25">
      <c r="A24469" t="s">
        <v>24482</v>
      </c>
      <c r="B24469">
        <v>275</v>
      </c>
      <c r="C24469" s="1" t="str">
        <f>HYPERLINK("http://www.rosaceae.org/gb/gbrowse/malus_x_domestica/?name=MDP0000415233","MDP0000415233")</f>
        <v>MDP0000415233</v>
      </c>
      <c r="D24469">
        <v>70.06</v>
      </c>
      <c r="E24469">
        <v>147</v>
      </c>
      <c r="F24469">
        <v>44</v>
      </c>
      <c r="G24469">
        <v>15</v>
      </c>
      <c r="H24469">
        <v>74</v>
      </c>
      <c r="I24469">
        <v>213</v>
      </c>
      <c r="J24469">
        <v>1</v>
      </c>
      <c r="K24469">
        <v>1</v>
      </c>
      <c r="L24469">
        <v>139</v>
      </c>
      <c r="M24469">
        <v>1</v>
      </c>
      <c r="N24469">
        <v>1.1621600000000001E-41</v>
      </c>
      <c r="O24469">
        <v>423</v>
      </c>
    </row>
    <row r="24470" spans="1:15" x14ac:dyDescent="0.25">
      <c r="A24470" t="s">
        <v>24483</v>
      </c>
      <c r="B24470">
        <v>223</v>
      </c>
      <c r="C24470" s="1" t="str">
        <f>HYPERLINK("http://www.rosaceae.org/gb/gbrowse/malus_x_domestica/?name=MDP0000290998","MDP0000290998")</f>
        <v>MDP0000290998</v>
      </c>
      <c r="D24470">
        <v>73.63</v>
      </c>
      <c r="E24470">
        <v>201</v>
      </c>
      <c r="F24470">
        <v>53</v>
      </c>
      <c r="G24470">
        <v>27</v>
      </c>
      <c r="H24470">
        <v>40</v>
      </c>
      <c r="I24470">
        <v>213</v>
      </c>
      <c r="J24470">
        <v>1</v>
      </c>
      <c r="K24470">
        <v>953</v>
      </c>
      <c r="L24470">
        <v>1153</v>
      </c>
      <c r="M24470">
        <v>1</v>
      </c>
      <c r="N24470">
        <v>5.1123000000000001E-83</v>
      </c>
      <c r="O24470">
        <v>778</v>
      </c>
    </row>
    <row r="24471" spans="1:15" x14ac:dyDescent="0.25">
      <c r="A24471" t="s">
        <v>24484</v>
      </c>
      <c r="B24471">
        <v>120</v>
      </c>
      <c r="C24471" s="1" t="str">
        <f>HYPERLINK("http://www.rosaceae.org/gb/gbrowse/malus_x_domestica/?name=MDP0000259683","MDP0000259683")</f>
        <v>MDP0000259683</v>
      </c>
      <c r="D24471">
        <v>68.540000000000006</v>
      </c>
      <c r="E24471">
        <v>124</v>
      </c>
      <c r="F24471">
        <v>39</v>
      </c>
      <c r="G24471">
        <v>4</v>
      </c>
      <c r="H24471">
        <v>1</v>
      </c>
      <c r="I24471">
        <v>120</v>
      </c>
      <c r="J24471">
        <v>1</v>
      </c>
      <c r="K24471">
        <v>476</v>
      </c>
      <c r="L24471">
        <v>599</v>
      </c>
      <c r="M24471">
        <v>1</v>
      </c>
      <c r="N24471">
        <v>1.6873800000000001E-44</v>
      </c>
      <c r="O24471">
        <v>441</v>
      </c>
    </row>
    <row r="24472" spans="1:15" x14ac:dyDescent="0.25">
      <c r="A24472" t="s">
        <v>24485</v>
      </c>
      <c r="B24472">
        <v>450</v>
      </c>
      <c r="C24472" s="1" t="str">
        <f>HYPERLINK("http://www.rosaceae.org/gb/gbrowse/malus_x_domestica/?name=MDP0000703247","MDP0000703247")</f>
        <v>MDP0000703247</v>
      </c>
      <c r="D24472">
        <v>61.72</v>
      </c>
      <c r="E24472">
        <v>452</v>
      </c>
      <c r="F24472">
        <v>173</v>
      </c>
      <c r="G24472">
        <v>14</v>
      </c>
      <c r="H24472">
        <v>1</v>
      </c>
      <c r="I24472">
        <v>450</v>
      </c>
      <c r="J24472">
        <v>1</v>
      </c>
      <c r="K24472">
        <v>1</v>
      </c>
      <c r="L24472">
        <v>440</v>
      </c>
      <c r="M24472">
        <v>1</v>
      </c>
      <c r="N24472">
        <v>1.8710700000000001E-148</v>
      </c>
      <c r="O24472">
        <v>1346</v>
      </c>
    </row>
    <row r="24473" spans="1:15" x14ac:dyDescent="0.25">
      <c r="A24473" t="s">
        <v>24486</v>
      </c>
      <c r="B24473">
        <v>827</v>
      </c>
      <c r="C24473" s="1" t="str">
        <f>HYPERLINK("http://www.rosaceae.org/gb/gbrowse/malus_x_domestica/?name=MDP0000218244","MDP0000218244")</f>
        <v>MDP0000218244</v>
      </c>
      <c r="D24473">
        <v>71.48</v>
      </c>
      <c r="E24473">
        <v>505</v>
      </c>
      <c r="F24473">
        <v>144</v>
      </c>
      <c r="G24473">
        <v>4</v>
      </c>
      <c r="H24473">
        <v>322</v>
      </c>
      <c r="I24473">
        <v>826</v>
      </c>
      <c r="J24473">
        <v>1</v>
      </c>
      <c r="K24473">
        <v>18</v>
      </c>
      <c r="L24473">
        <v>518</v>
      </c>
      <c r="M24473">
        <v>1</v>
      </c>
      <c r="N24473">
        <v>0</v>
      </c>
      <c r="O24473">
        <v>1973</v>
      </c>
    </row>
    <row r="24474" spans="1:15" x14ac:dyDescent="0.25">
      <c r="A24474" t="s">
        <v>24487</v>
      </c>
      <c r="B24474">
        <v>464</v>
      </c>
      <c r="C24474" s="1" t="str">
        <f>HYPERLINK("http://www.rosaceae.org/gb/gbrowse/malus_x_domestica/?name=MDP0000325761","MDP0000325761")</f>
        <v>MDP0000325761</v>
      </c>
      <c r="D24474">
        <v>74.41</v>
      </c>
      <c r="E24474">
        <v>473</v>
      </c>
      <c r="F24474">
        <v>121</v>
      </c>
      <c r="G24474">
        <v>9</v>
      </c>
      <c r="H24474">
        <v>1</v>
      </c>
      <c r="I24474">
        <v>464</v>
      </c>
      <c r="J24474">
        <v>1</v>
      </c>
      <c r="K24474">
        <v>1</v>
      </c>
      <c r="L24474">
        <v>473</v>
      </c>
      <c r="M24474">
        <v>1</v>
      </c>
      <c r="N24474">
        <v>0</v>
      </c>
      <c r="O24474">
        <v>1832</v>
      </c>
    </row>
    <row r="24475" spans="1:15" x14ac:dyDescent="0.25">
      <c r="A24475" t="s">
        <v>24488</v>
      </c>
      <c r="B24475">
        <v>392</v>
      </c>
      <c r="C24475" s="1" t="str">
        <f>HYPERLINK("http://www.rosaceae.org/gb/gbrowse/malus_x_domestica/?name=MDP0000248934","MDP0000248934")</f>
        <v>MDP0000248934</v>
      </c>
      <c r="D24475">
        <v>53.24</v>
      </c>
      <c r="E24475">
        <v>154</v>
      </c>
      <c r="F24475">
        <v>72</v>
      </c>
      <c r="G24475">
        <v>1</v>
      </c>
      <c r="H24475">
        <v>28</v>
      </c>
      <c r="I24475">
        <v>181</v>
      </c>
      <c r="J24475">
        <v>1</v>
      </c>
      <c r="K24475">
        <v>378</v>
      </c>
      <c r="L24475">
        <v>530</v>
      </c>
      <c r="M24475">
        <v>1</v>
      </c>
      <c r="N24475">
        <v>3.6878900000000001E-39</v>
      </c>
      <c r="O24475">
        <v>403</v>
      </c>
    </row>
    <row r="24476" spans="1:15" x14ac:dyDescent="0.25">
      <c r="A24476" t="s">
        <v>24489</v>
      </c>
      <c r="B24476">
        <v>556</v>
      </c>
      <c r="C24476" s="1" t="str">
        <f>HYPERLINK("http://www.rosaceae.org/gb/gbrowse/malus_x_domestica/?name=MDP0000521630","MDP0000521630")</f>
        <v>MDP0000521630</v>
      </c>
      <c r="D24476">
        <v>61.68</v>
      </c>
      <c r="E24476">
        <v>569</v>
      </c>
      <c r="F24476">
        <v>218</v>
      </c>
      <c r="G24476">
        <v>19</v>
      </c>
      <c r="H24476">
        <v>1</v>
      </c>
      <c r="I24476">
        <v>556</v>
      </c>
      <c r="J24476">
        <v>1</v>
      </c>
      <c r="K24476">
        <v>1</v>
      </c>
      <c r="L24476">
        <v>563</v>
      </c>
      <c r="M24476">
        <v>1</v>
      </c>
      <c r="N24476">
        <v>0</v>
      </c>
      <c r="O24476">
        <v>1675</v>
      </c>
    </row>
    <row r="24477" spans="1:15" x14ac:dyDescent="0.25">
      <c r="A24477" t="s">
        <v>24490</v>
      </c>
      <c r="B24477">
        <v>84</v>
      </c>
      <c r="C24477" s="1" t="str">
        <f>HYPERLINK("http://www.rosaceae.org/gb/gbrowse/malus_x_domestica/?name=MDP0000145603","MDP0000145603")</f>
        <v>MDP0000145603</v>
      </c>
      <c r="D24477">
        <v>70.959999999999994</v>
      </c>
      <c r="E24477">
        <v>31</v>
      </c>
      <c r="F24477">
        <v>9</v>
      </c>
      <c r="G24477">
        <v>1</v>
      </c>
      <c r="H24477">
        <v>26</v>
      </c>
      <c r="I24477">
        <v>55</v>
      </c>
      <c r="J24477">
        <v>1</v>
      </c>
      <c r="K24477">
        <v>289</v>
      </c>
      <c r="L24477">
        <v>319</v>
      </c>
      <c r="M24477">
        <v>1</v>
      </c>
      <c r="N24477">
        <v>9.7838700000000009E-7</v>
      </c>
      <c r="O24477">
        <v>115</v>
      </c>
    </row>
    <row r="24478" spans="1:15" x14ac:dyDescent="0.25">
      <c r="A24478" t="s">
        <v>24491</v>
      </c>
      <c r="B24478">
        <v>1419</v>
      </c>
      <c r="C24478" s="1" t="str">
        <f>HYPERLINK("http://www.rosaceae.org/gb/gbrowse/malus_x_domestica/?name=MDP0000162585","MDP0000162585")</f>
        <v>MDP0000162585</v>
      </c>
      <c r="D24478">
        <v>56.55</v>
      </c>
      <c r="E24478">
        <v>435</v>
      </c>
      <c r="F24478">
        <v>189</v>
      </c>
      <c r="G24478">
        <v>60</v>
      </c>
      <c r="H24478">
        <v>1034</v>
      </c>
      <c r="I24478">
        <v>1419</v>
      </c>
      <c r="J24478">
        <v>1</v>
      </c>
      <c r="K24478">
        <v>1</v>
      </c>
      <c r="L24478">
        <v>424</v>
      </c>
      <c r="M24478">
        <v>1</v>
      </c>
      <c r="N24478">
        <v>2.6741599999999998E-120</v>
      </c>
      <c r="O24478">
        <v>1108</v>
      </c>
    </row>
    <row r="24479" spans="1:15" x14ac:dyDescent="0.25">
      <c r="A24479" t="s">
        <v>24492</v>
      </c>
      <c r="B24479">
        <v>580</v>
      </c>
      <c r="C24479" s="1" t="str">
        <f>HYPERLINK("http://www.rosaceae.org/gb/gbrowse/malus_x_domestica/?name=MDP0000843803","MDP0000843803")</f>
        <v>MDP0000843803</v>
      </c>
      <c r="D24479">
        <v>39.229999999999997</v>
      </c>
      <c r="E24479">
        <v>599</v>
      </c>
      <c r="F24479">
        <v>364</v>
      </c>
      <c r="G24479">
        <v>149</v>
      </c>
      <c r="H24479">
        <v>29</v>
      </c>
      <c r="I24479">
        <v>546</v>
      </c>
      <c r="J24479">
        <v>1</v>
      </c>
      <c r="K24479">
        <v>35</v>
      </c>
      <c r="L24479">
        <v>565</v>
      </c>
      <c r="M24479">
        <v>1</v>
      </c>
      <c r="N24479">
        <v>7.6742000000000005E-89</v>
      </c>
      <c r="O24479">
        <v>833</v>
      </c>
    </row>
    <row r="24480" spans="1:15" x14ac:dyDescent="0.25">
      <c r="A24480" t="s">
        <v>24493</v>
      </c>
      <c r="B24480">
        <v>327</v>
      </c>
      <c r="C24480" s="1" t="str">
        <f>HYPERLINK("http://www.rosaceae.org/gb/gbrowse/malus_x_domestica/?name=MDP0000277059","MDP0000277059")</f>
        <v>MDP0000277059</v>
      </c>
      <c r="D24480">
        <v>74.83</v>
      </c>
      <c r="E24480">
        <v>298</v>
      </c>
      <c r="F24480">
        <v>75</v>
      </c>
      <c r="G24480">
        <v>0</v>
      </c>
      <c r="H24480">
        <v>1</v>
      </c>
      <c r="I24480">
        <v>298</v>
      </c>
      <c r="J24480">
        <v>1</v>
      </c>
      <c r="K24480">
        <v>23</v>
      </c>
      <c r="L24480">
        <v>320</v>
      </c>
      <c r="M24480">
        <v>1</v>
      </c>
      <c r="N24480">
        <v>7.0563799999999995E-138</v>
      </c>
      <c r="O24480">
        <v>1253</v>
      </c>
    </row>
    <row r="24481" spans="1:15" x14ac:dyDescent="0.25">
      <c r="A24481" t="s">
        <v>24494</v>
      </c>
      <c r="B24481">
        <v>120</v>
      </c>
      <c r="C24481" s="1" t="str">
        <f>HYPERLINK("http://www.rosaceae.org/gb/gbrowse/malus_x_domestica/?name=MDP0000145993","MDP0000145993")</f>
        <v>MDP0000145993</v>
      </c>
      <c r="D24481">
        <v>56.84</v>
      </c>
      <c r="E24481">
        <v>95</v>
      </c>
      <c r="F24481">
        <v>41</v>
      </c>
      <c r="G24481">
        <v>3</v>
      </c>
      <c r="H24481">
        <v>1</v>
      </c>
      <c r="I24481">
        <v>92</v>
      </c>
      <c r="J24481">
        <v>1</v>
      </c>
      <c r="K24481">
        <v>1</v>
      </c>
      <c r="L24481">
        <v>95</v>
      </c>
      <c r="M24481">
        <v>1</v>
      </c>
      <c r="N24481">
        <v>1.78484E-23</v>
      </c>
      <c r="O24481">
        <v>260</v>
      </c>
    </row>
    <row r="24482" spans="1:15" x14ac:dyDescent="0.25">
      <c r="A24482" t="s">
        <v>24495</v>
      </c>
      <c r="B24482">
        <v>239</v>
      </c>
      <c r="C24482" s="1" t="str">
        <f>HYPERLINK("http://www.rosaceae.org/gb/gbrowse/malus_x_domestica/?name=MDP0000186703","MDP0000186703")</f>
        <v>MDP0000186703</v>
      </c>
      <c r="D24482">
        <v>70.58</v>
      </c>
      <c r="E24482">
        <v>170</v>
      </c>
      <c r="F24482">
        <v>50</v>
      </c>
      <c r="G24482">
        <v>17</v>
      </c>
      <c r="H24482">
        <v>72</v>
      </c>
      <c r="I24482">
        <v>224</v>
      </c>
      <c r="J24482">
        <v>1</v>
      </c>
      <c r="K24482">
        <v>238</v>
      </c>
      <c r="L24482">
        <v>407</v>
      </c>
      <c r="M24482">
        <v>1</v>
      </c>
      <c r="N24482">
        <v>8.1037599999999994E-67</v>
      </c>
      <c r="O24482">
        <v>639</v>
      </c>
    </row>
    <row r="24483" spans="1:15" x14ac:dyDescent="0.25">
      <c r="A24483" t="s">
        <v>24496</v>
      </c>
      <c r="B24483">
        <v>113</v>
      </c>
      <c r="C24483" s="1" t="str">
        <f>HYPERLINK("http://www.rosaceae.org/gb/gbrowse/malus_x_domestica/?name=MDP0000207355","MDP0000207355")</f>
        <v>MDP0000207355</v>
      </c>
      <c r="D24483">
        <v>44.92</v>
      </c>
      <c r="E24483">
        <v>69</v>
      </c>
      <c r="F24483">
        <v>38</v>
      </c>
      <c r="G24483">
        <v>6</v>
      </c>
      <c r="H24483">
        <v>25</v>
      </c>
      <c r="I24483">
        <v>93</v>
      </c>
      <c r="J24483">
        <v>1</v>
      </c>
      <c r="K24483">
        <v>215</v>
      </c>
      <c r="L24483">
        <v>277</v>
      </c>
      <c r="M24483">
        <v>1</v>
      </c>
      <c r="N24483">
        <v>1.76219E-7</v>
      </c>
      <c r="O24483">
        <v>122</v>
      </c>
    </row>
    <row r="24484" spans="1:15" x14ac:dyDescent="0.25">
      <c r="A24484" t="s">
        <v>24497</v>
      </c>
      <c r="B24484">
        <v>387</v>
      </c>
      <c r="C24484" s="1" t="str">
        <f>HYPERLINK("http://www.rosaceae.org/gb/gbrowse/malus_x_domestica/?name=MDP0000811085","MDP0000811085")</f>
        <v>MDP0000811085</v>
      </c>
      <c r="D24484">
        <v>40.19</v>
      </c>
      <c r="E24484">
        <v>418</v>
      </c>
      <c r="F24484">
        <v>250</v>
      </c>
      <c r="G24484">
        <v>38</v>
      </c>
      <c r="H24484">
        <v>1</v>
      </c>
      <c r="I24484">
        <v>386</v>
      </c>
      <c r="J24484">
        <v>1</v>
      </c>
      <c r="K24484">
        <v>1</v>
      </c>
      <c r="L24484">
        <v>412</v>
      </c>
      <c r="M24484">
        <v>1</v>
      </c>
      <c r="N24484">
        <v>8.8403600000000003E-71</v>
      </c>
      <c r="O24484">
        <v>676</v>
      </c>
    </row>
    <row r="24485" spans="1:15" x14ac:dyDescent="0.25">
      <c r="A24485" t="s">
        <v>24498</v>
      </c>
      <c r="B24485">
        <v>681</v>
      </c>
      <c r="C24485" s="1" t="str">
        <f>HYPERLINK("http://www.rosaceae.org/gb/gbrowse/malus_x_domestica/?name=MDP0000468851","MDP0000468851")</f>
        <v>MDP0000468851</v>
      </c>
      <c r="D24485">
        <v>53.51</v>
      </c>
      <c r="E24485">
        <v>641</v>
      </c>
      <c r="F24485">
        <v>298</v>
      </c>
      <c r="G24485">
        <v>17</v>
      </c>
      <c r="H24485">
        <v>42</v>
      </c>
      <c r="I24485">
        <v>669</v>
      </c>
      <c r="J24485">
        <v>1</v>
      </c>
      <c r="K24485">
        <v>6</v>
      </c>
      <c r="L24485">
        <v>642</v>
      </c>
      <c r="M24485">
        <v>1</v>
      </c>
      <c r="N24485">
        <v>6.41723E-177</v>
      </c>
      <c r="O24485">
        <v>1594</v>
      </c>
    </row>
    <row r="24486" spans="1:15" x14ac:dyDescent="0.25">
      <c r="A24486" t="s">
        <v>24499</v>
      </c>
      <c r="B24486">
        <v>656</v>
      </c>
      <c r="C24486" s="1" t="str">
        <f>HYPERLINK("http://www.rosaceae.org/gb/gbrowse/malus_x_domestica/?name=MDP0000124776","MDP0000124776")</f>
        <v>MDP0000124776</v>
      </c>
      <c r="D24486">
        <v>77.38</v>
      </c>
      <c r="E24486">
        <v>650</v>
      </c>
      <c r="F24486">
        <v>147</v>
      </c>
      <c r="G24486">
        <v>18</v>
      </c>
      <c r="H24486">
        <v>1</v>
      </c>
      <c r="I24486">
        <v>647</v>
      </c>
      <c r="J24486">
        <v>1</v>
      </c>
      <c r="K24486">
        <v>1</v>
      </c>
      <c r="L24486">
        <v>635</v>
      </c>
      <c r="M24486">
        <v>1</v>
      </c>
      <c r="N24486">
        <v>0</v>
      </c>
      <c r="O24486">
        <v>2686</v>
      </c>
    </row>
    <row r="24487" spans="1:15" x14ac:dyDescent="0.25">
      <c r="A24487" t="s">
        <v>24500</v>
      </c>
      <c r="B24487">
        <v>545</v>
      </c>
      <c r="C24487" s="1" t="str">
        <f>HYPERLINK("http://www.rosaceae.org/gb/gbrowse/malus_x_domestica/?name=MDP0000173025","MDP0000173025")</f>
        <v>MDP0000173025</v>
      </c>
      <c r="D24487">
        <v>76.83</v>
      </c>
      <c r="E24487">
        <v>423</v>
      </c>
      <c r="F24487">
        <v>98</v>
      </c>
      <c r="G24487">
        <v>7</v>
      </c>
      <c r="H24487">
        <v>1</v>
      </c>
      <c r="I24487">
        <v>423</v>
      </c>
      <c r="J24487">
        <v>1</v>
      </c>
      <c r="K24487">
        <v>1</v>
      </c>
      <c r="L24487">
        <v>416</v>
      </c>
      <c r="M24487">
        <v>1</v>
      </c>
      <c r="N24487">
        <v>0</v>
      </c>
      <c r="O24487">
        <v>1713</v>
      </c>
    </row>
    <row r="24488" spans="1:15" x14ac:dyDescent="0.25">
      <c r="A24488" t="s">
        <v>24501</v>
      </c>
      <c r="B24488">
        <v>818</v>
      </c>
      <c r="C24488" s="1" t="str">
        <f>HYPERLINK("http://www.rosaceae.org/gb/gbrowse/malus_x_domestica/?name=MDP0000287346","MDP0000287346")</f>
        <v>MDP0000287346</v>
      </c>
      <c r="D24488">
        <v>42.66</v>
      </c>
      <c r="E24488">
        <v>586</v>
      </c>
      <c r="F24488">
        <v>336</v>
      </c>
      <c r="G24488">
        <v>56</v>
      </c>
      <c r="H24488">
        <v>245</v>
      </c>
      <c r="I24488">
        <v>796</v>
      </c>
      <c r="J24488">
        <v>1</v>
      </c>
      <c r="K24488">
        <v>6</v>
      </c>
      <c r="L24488">
        <v>569</v>
      </c>
      <c r="M24488">
        <v>1</v>
      </c>
      <c r="N24488">
        <v>1.16833E-110</v>
      </c>
      <c r="O24488">
        <v>1023</v>
      </c>
    </row>
    <row r="24489" spans="1:15" x14ac:dyDescent="0.25">
      <c r="A24489" t="s">
        <v>24502</v>
      </c>
      <c r="B24489">
        <v>362</v>
      </c>
      <c r="C24489" s="1" t="str">
        <f>HYPERLINK("http://www.rosaceae.org/gb/gbrowse/malus_x_domestica/?name=MDP0000899100","MDP0000899100")</f>
        <v>MDP0000899100</v>
      </c>
      <c r="D24489">
        <v>27.11</v>
      </c>
      <c r="E24489">
        <v>177</v>
      </c>
      <c r="F24489">
        <v>129</v>
      </c>
      <c r="G24489">
        <v>11</v>
      </c>
      <c r="H24489">
        <v>62</v>
      </c>
      <c r="I24489">
        <v>227</v>
      </c>
      <c r="J24489">
        <v>1</v>
      </c>
      <c r="K24489">
        <v>62</v>
      </c>
      <c r="L24489">
        <v>238</v>
      </c>
      <c r="M24489">
        <v>1</v>
      </c>
      <c r="N24489">
        <v>8.05532E-14</v>
      </c>
      <c r="O24489">
        <v>184</v>
      </c>
    </row>
    <row r="24490" spans="1:15" x14ac:dyDescent="0.25">
      <c r="A24490" t="s">
        <v>24503</v>
      </c>
      <c r="B24490">
        <v>265</v>
      </c>
      <c r="C24490" s="1" t="str">
        <f>HYPERLINK("http://www.rosaceae.org/gb/gbrowse/malus_x_domestica/?name=MDP0000147190","MDP0000147190")</f>
        <v>MDP0000147190</v>
      </c>
      <c r="D24490">
        <v>28.12</v>
      </c>
      <c r="E24490">
        <v>192</v>
      </c>
      <c r="F24490">
        <v>138</v>
      </c>
      <c r="G24490">
        <v>6</v>
      </c>
      <c r="H24490">
        <v>36</v>
      </c>
      <c r="I24490">
        <v>226</v>
      </c>
      <c r="J24490">
        <v>1</v>
      </c>
      <c r="K24490">
        <v>50</v>
      </c>
      <c r="L24490">
        <v>236</v>
      </c>
      <c r="M24490">
        <v>1</v>
      </c>
      <c r="N24490">
        <v>1.4513100000000001E-19</v>
      </c>
      <c r="O24490">
        <v>232</v>
      </c>
    </row>
    <row r="24491" spans="1:15" x14ac:dyDescent="0.25">
      <c r="A24491" t="s">
        <v>24504</v>
      </c>
      <c r="B24491">
        <v>101</v>
      </c>
      <c r="C24491" s="1" t="str">
        <f>HYPERLINK("http://www.rosaceae.org/gb/gbrowse/malus_x_domestica/?name=MDP0000699531","MDP0000699531")</f>
        <v>MDP0000699531</v>
      </c>
      <c r="D24491">
        <v>59.25</v>
      </c>
      <c r="E24491">
        <v>108</v>
      </c>
      <c r="F24491">
        <v>44</v>
      </c>
      <c r="G24491">
        <v>9</v>
      </c>
      <c r="H24491">
        <v>1</v>
      </c>
      <c r="I24491">
        <v>101</v>
      </c>
      <c r="J24491">
        <v>1</v>
      </c>
      <c r="K24491">
        <v>1</v>
      </c>
      <c r="L24491">
        <v>106</v>
      </c>
      <c r="M24491">
        <v>1</v>
      </c>
      <c r="N24491">
        <v>7.5223299999999994E-27</v>
      </c>
      <c r="O24491">
        <v>289</v>
      </c>
    </row>
    <row r="24492" spans="1:15" x14ac:dyDescent="0.25">
      <c r="A24492" t="s">
        <v>24505</v>
      </c>
      <c r="B24492">
        <v>334</v>
      </c>
      <c r="C24492" s="1" t="str">
        <f>HYPERLINK("http://www.rosaceae.org/gb/gbrowse/malus_x_domestica/?name=MDP0000431106","MDP0000431106")</f>
        <v>MDP0000431106</v>
      </c>
      <c r="D24492">
        <v>91.82</v>
      </c>
      <c r="E24492">
        <v>257</v>
      </c>
      <c r="F24492">
        <v>21</v>
      </c>
      <c r="G24492">
        <v>0</v>
      </c>
      <c r="H24492">
        <v>78</v>
      </c>
      <c r="I24492">
        <v>334</v>
      </c>
      <c r="J24492">
        <v>1</v>
      </c>
      <c r="K24492">
        <v>34</v>
      </c>
      <c r="L24492">
        <v>290</v>
      </c>
      <c r="M24492">
        <v>1</v>
      </c>
      <c r="N24492">
        <v>1.2300300000000001E-140</v>
      </c>
      <c r="O24492">
        <v>1277</v>
      </c>
    </row>
    <row r="24493" spans="1:15" x14ac:dyDescent="0.25">
      <c r="A24493" t="s">
        <v>24506</v>
      </c>
      <c r="B24493">
        <v>605</v>
      </c>
      <c r="C24493" s="1" t="str">
        <f>HYPERLINK("http://www.rosaceae.org/gb/gbrowse/malus_x_domestica/?name=MDP0000157225","MDP0000157225")</f>
        <v>MDP0000157225</v>
      </c>
      <c r="D24493">
        <v>56.89</v>
      </c>
      <c r="E24493">
        <v>529</v>
      </c>
      <c r="F24493">
        <v>228</v>
      </c>
      <c r="G24493">
        <v>18</v>
      </c>
      <c r="H24493">
        <v>15</v>
      </c>
      <c r="I24493">
        <v>541</v>
      </c>
      <c r="J24493">
        <v>1</v>
      </c>
      <c r="K24493">
        <v>66</v>
      </c>
      <c r="L24493">
        <v>578</v>
      </c>
      <c r="M24493">
        <v>1</v>
      </c>
      <c r="N24493">
        <v>2.33951E-163</v>
      </c>
      <c r="O24493">
        <v>1476</v>
      </c>
    </row>
    <row r="24494" spans="1:15" x14ac:dyDescent="0.25">
      <c r="A24494" t="s">
        <v>24507</v>
      </c>
      <c r="B24494">
        <v>381</v>
      </c>
      <c r="C24494" s="1" t="str">
        <f>HYPERLINK("http://www.rosaceae.org/gb/gbrowse/malus_x_domestica/?name=MDP0000240256","MDP0000240256")</f>
        <v>MDP0000240256</v>
      </c>
      <c r="D24494">
        <v>74.599999999999994</v>
      </c>
      <c r="E24494">
        <v>382</v>
      </c>
      <c r="F24494">
        <v>97</v>
      </c>
      <c r="G24494">
        <v>23</v>
      </c>
      <c r="H24494">
        <v>1</v>
      </c>
      <c r="I24494">
        <v>378</v>
      </c>
      <c r="J24494">
        <v>1</v>
      </c>
      <c r="K24494">
        <v>1</v>
      </c>
      <c r="L24494">
        <v>363</v>
      </c>
      <c r="M24494">
        <v>1</v>
      </c>
      <c r="N24494">
        <v>1.8288100000000001E-165</v>
      </c>
      <c r="O24494">
        <v>1492</v>
      </c>
    </row>
    <row r="24495" spans="1:15" x14ac:dyDescent="0.25">
      <c r="A24495" t="s">
        <v>24508</v>
      </c>
      <c r="B24495">
        <v>222</v>
      </c>
      <c r="C24495" s="1" t="str">
        <f>HYPERLINK("http://www.rosaceae.org/gb/gbrowse/malus_x_domestica/?name=MDP0000253320","MDP0000253320")</f>
        <v>MDP0000253320</v>
      </c>
      <c r="D24495">
        <v>37.69</v>
      </c>
      <c r="E24495">
        <v>130</v>
      </c>
      <c r="F24495">
        <v>81</v>
      </c>
      <c r="G24495">
        <v>9</v>
      </c>
      <c r="H24495">
        <v>59</v>
      </c>
      <c r="I24495">
        <v>187</v>
      </c>
      <c r="J24495">
        <v>1</v>
      </c>
      <c r="K24495">
        <v>267</v>
      </c>
      <c r="L24495">
        <v>388</v>
      </c>
      <c r="M24495">
        <v>1</v>
      </c>
      <c r="N24495">
        <v>1.45365E-18</v>
      </c>
      <c r="O24495">
        <v>222</v>
      </c>
    </row>
    <row r="24496" spans="1:15" x14ac:dyDescent="0.25">
      <c r="A24496" t="s">
        <v>24509</v>
      </c>
      <c r="B24496">
        <v>570</v>
      </c>
      <c r="C24496" s="1" t="str">
        <f>HYPERLINK("http://www.rosaceae.org/gb/gbrowse/malus_x_domestica/?name=MDP0000859313","MDP0000859313")</f>
        <v>MDP0000859313</v>
      </c>
      <c r="D24496">
        <v>87.07</v>
      </c>
      <c r="E24496">
        <v>565</v>
      </c>
      <c r="F24496">
        <v>73</v>
      </c>
      <c r="G24496">
        <v>8</v>
      </c>
      <c r="H24496">
        <v>1</v>
      </c>
      <c r="I24496">
        <v>557</v>
      </c>
      <c r="J24496">
        <v>1</v>
      </c>
      <c r="K24496">
        <v>1</v>
      </c>
      <c r="L24496">
        <v>565</v>
      </c>
      <c r="M24496">
        <v>1</v>
      </c>
      <c r="N24496">
        <v>0</v>
      </c>
      <c r="O24496">
        <v>2567</v>
      </c>
    </row>
    <row r="24497" spans="1:15" x14ac:dyDescent="0.25">
      <c r="A24497" t="s">
        <v>24510</v>
      </c>
      <c r="B24497">
        <v>456</v>
      </c>
      <c r="C24497" s="1" t="str">
        <f>HYPERLINK("http://www.rosaceae.org/gb/gbrowse/malus_x_domestica/?name=MDP0000802237","MDP0000802237")</f>
        <v>MDP0000802237</v>
      </c>
      <c r="D24497">
        <v>44.58</v>
      </c>
      <c r="E24497">
        <v>323</v>
      </c>
      <c r="F24497">
        <v>179</v>
      </c>
      <c r="G24497">
        <v>29</v>
      </c>
      <c r="H24497">
        <v>51</v>
      </c>
      <c r="I24497">
        <v>348</v>
      </c>
      <c r="J24497">
        <v>1</v>
      </c>
      <c r="K24497">
        <v>33</v>
      </c>
      <c r="L24497">
        <v>351</v>
      </c>
      <c r="M24497">
        <v>1</v>
      </c>
      <c r="N24497">
        <v>2.2434499999999999E-71</v>
      </c>
      <c r="O24497">
        <v>682</v>
      </c>
    </row>
    <row r="24498" spans="1:15" x14ac:dyDescent="0.25">
      <c r="A24498" t="s">
        <v>24511</v>
      </c>
      <c r="B24498">
        <v>162</v>
      </c>
      <c r="C24498" s="1" t="str">
        <f>HYPERLINK("http://www.rosaceae.org/gb/gbrowse/malus_x_domestica/?name=MDP0000935646","MDP0000935646")</f>
        <v>MDP0000935646</v>
      </c>
      <c r="D24498">
        <v>40</v>
      </c>
      <c r="E24498">
        <v>140</v>
      </c>
      <c r="F24498">
        <v>84</v>
      </c>
      <c r="G24498">
        <v>2</v>
      </c>
      <c r="H24498">
        <v>23</v>
      </c>
      <c r="I24498">
        <v>162</v>
      </c>
      <c r="J24498">
        <v>1</v>
      </c>
      <c r="K24498">
        <v>13</v>
      </c>
      <c r="L24498">
        <v>150</v>
      </c>
      <c r="M24498">
        <v>1</v>
      </c>
      <c r="N24498">
        <v>4.0277199999999999E-24</v>
      </c>
      <c r="O24498">
        <v>268</v>
      </c>
    </row>
    <row r="24499" spans="1:15" x14ac:dyDescent="0.25">
      <c r="A24499" t="s">
        <v>24512</v>
      </c>
      <c r="B24499">
        <v>179</v>
      </c>
      <c r="C24499" s="1" t="str">
        <f>HYPERLINK("http://www.rosaceae.org/gb/gbrowse/malus_x_domestica/?name=MDP0000258215","MDP0000258215")</f>
        <v>MDP0000258215</v>
      </c>
      <c r="D24499">
        <v>47.82</v>
      </c>
      <c r="E24499">
        <v>69</v>
      </c>
      <c r="F24499">
        <v>36</v>
      </c>
      <c r="G24499">
        <v>7</v>
      </c>
      <c r="H24499">
        <v>1</v>
      </c>
      <c r="I24499">
        <v>62</v>
      </c>
      <c r="J24499">
        <v>1</v>
      </c>
      <c r="K24499">
        <v>1</v>
      </c>
      <c r="L24499">
        <v>69</v>
      </c>
      <c r="M24499">
        <v>1</v>
      </c>
      <c r="N24499">
        <v>2.7878099999999999E-8</v>
      </c>
      <c r="O24499">
        <v>132</v>
      </c>
    </row>
    <row r="24500" spans="1:15" x14ac:dyDescent="0.25">
      <c r="A24500" t="s">
        <v>24513</v>
      </c>
      <c r="B24500">
        <v>276</v>
      </c>
      <c r="C24500" s="1" t="str">
        <f>HYPERLINK("http://www.rosaceae.org/gb/gbrowse/malus_x_domestica/?name=MDP0000162816","MDP0000162816")</f>
        <v>MDP0000162816</v>
      </c>
      <c r="D24500">
        <v>79.260000000000005</v>
      </c>
      <c r="E24500">
        <v>299</v>
      </c>
      <c r="F24500">
        <v>62</v>
      </c>
      <c r="G24500">
        <v>23</v>
      </c>
      <c r="H24500">
        <v>1</v>
      </c>
      <c r="I24500">
        <v>276</v>
      </c>
      <c r="J24500">
        <v>1</v>
      </c>
      <c r="K24500">
        <v>1</v>
      </c>
      <c r="L24500">
        <v>299</v>
      </c>
      <c r="M24500">
        <v>1</v>
      </c>
      <c r="N24500">
        <v>1.4126200000000001E-136</v>
      </c>
      <c r="O24500">
        <v>1241</v>
      </c>
    </row>
    <row r="24501" spans="1:15" x14ac:dyDescent="0.25">
      <c r="A24501" t="s">
        <v>24514</v>
      </c>
      <c r="B24501">
        <v>411</v>
      </c>
      <c r="C24501" s="1" t="str">
        <f>HYPERLINK("http://www.rosaceae.org/gb/gbrowse/malus_x_domestica/?name=MDP0000181135","MDP0000181135")</f>
        <v>MDP0000181135</v>
      </c>
      <c r="D24501">
        <v>35.86</v>
      </c>
      <c r="E24501">
        <v>435</v>
      </c>
      <c r="F24501">
        <v>279</v>
      </c>
      <c r="G24501">
        <v>43</v>
      </c>
      <c r="H24501">
        <v>1</v>
      </c>
      <c r="I24501">
        <v>400</v>
      </c>
      <c r="J24501">
        <v>1</v>
      </c>
      <c r="K24501">
        <v>1</v>
      </c>
      <c r="L24501">
        <v>427</v>
      </c>
      <c r="M24501">
        <v>1</v>
      </c>
      <c r="N24501">
        <v>8.0480900000000005E-48</v>
      </c>
      <c r="O24501">
        <v>478</v>
      </c>
    </row>
    <row r="24502" spans="1:15" x14ac:dyDescent="0.25">
      <c r="A24502" t="s">
        <v>24515</v>
      </c>
      <c r="B24502">
        <v>193</v>
      </c>
      <c r="C24502" s="1" t="str">
        <f>HYPERLINK("http://www.rosaceae.org/gb/gbrowse/malus_x_domestica/?name=MDP0000323490","MDP0000323490")</f>
        <v>MDP0000323490</v>
      </c>
      <c r="D24502">
        <v>80.510000000000005</v>
      </c>
      <c r="E24502">
        <v>77</v>
      </c>
      <c r="F24502">
        <v>15</v>
      </c>
      <c r="G24502">
        <v>0</v>
      </c>
      <c r="H24502">
        <v>14</v>
      </c>
      <c r="I24502">
        <v>90</v>
      </c>
      <c r="J24502">
        <v>1</v>
      </c>
      <c r="K24502">
        <v>48</v>
      </c>
      <c r="L24502">
        <v>124</v>
      </c>
      <c r="M24502">
        <v>1</v>
      </c>
      <c r="N24502">
        <v>3.9031200000000001E-33</v>
      </c>
      <c r="O24502">
        <v>347</v>
      </c>
    </row>
    <row r="24503" spans="1:15" x14ac:dyDescent="0.25">
      <c r="A24503" t="s">
        <v>24516</v>
      </c>
      <c r="B24503">
        <v>263</v>
      </c>
      <c r="C24503" s="1" t="str">
        <f>HYPERLINK("http://www.rosaceae.org/gb/gbrowse/malus_x_domestica/?name=MDP0000153445","MDP0000153445")</f>
        <v>MDP0000153445</v>
      </c>
      <c r="D24503">
        <v>42.32</v>
      </c>
      <c r="E24503">
        <v>267</v>
      </c>
      <c r="F24503">
        <v>154</v>
      </c>
      <c r="G24503">
        <v>42</v>
      </c>
      <c r="H24503">
        <v>1</v>
      </c>
      <c r="I24503">
        <v>253</v>
      </c>
      <c r="J24503">
        <v>1</v>
      </c>
      <c r="K24503">
        <v>1</v>
      </c>
      <c r="L24503">
        <v>239</v>
      </c>
      <c r="M24503">
        <v>1</v>
      </c>
      <c r="N24503">
        <v>4.1126399999999999E-44</v>
      </c>
      <c r="O24503">
        <v>444</v>
      </c>
    </row>
    <row r="24504" spans="1:15" x14ac:dyDescent="0.25">
      <c r="A24504" t="s">
        <v>24517</v>
      </c>
      <c r="B24504">
        <v>488</v>
      </c>
      <c r="C24504" s="1" t="str">
        <f>HYPERLINK("http://www.rosaceae.org/gb/gbrowse/malus_x_domestica/?name=MDP0000182154","MDP0000182154")</f>
        <v>MDP0000182154</v>
      </c>
      <c r="D24504">
        <v>62.52</v>
      </c>
      <c r="E24504">
        <v>475</v>
      </c>
      <c r="F24504">
        <v>178</v>
      </c>
      <c r="G24504">
        <v>3</v>
      </c>
      <c r="H24504">
        <v>1</v>
      </c>
      <c r="I24504">
        <v>475</v>
      </c>
      <c r="J24504">
        <v>1</v>
      </c>
      <c r="K24504">
        <v>1</v>
      </c>
      <c r="L24504">
        <v>472</v>
      </c>
      <c r="M24504">
        <v>1</v>
      </c>
      <c r="N24504">
        <v>3.11541E-162</v>
      </c>
      <c r="O24504">
        <v>1465</v>
      </c>
    </row>
    <row r="24505" spans="1:15" x14ac:dyDescent="0.25">
      <c r="A24505" t="s">
        <v>24518</v>
      </c>
      <c r="B24505">
        <v>1449</v>
      </c>
      <c r="C24505" s="1" t="str">
        <f>HYPERLINK("http://www.rosaceae.org/gb/gbrowse/malus_x_domestica/?name=MDP0000295671","MDP0000295671")</f>
        <v>MDP0000295671</v>
      </c>
      <c r="D24505">
        <v>79.760000000000005</v>
      </c>
      <c r="E24505">
        <v>682</v>
      </c>
      <c r="F24505">
        <v>138</v>
      </c>
      <c r="G24505">
        <v>16</v>
      </c>
      <c r="H24505">
        <v>386</v>
      </c>
      <c r="I24505">
        <v>1053</v>
      </c>
      <c r="J24505">
        <v>1</v>
      </c>
      <c r="K24505">
        <v>28</v>
      </c>
      <c r="L24505">
        <v>707</v>
      </c>
      <c r="M24505">
        <v>1</v>
      </c>
      <c r="N24505">
        <v>0</v>
      </c>
      <c r="O24505">
        <v>2912</v>
      </c>
    </row>
    <row r="24506" spans="1:15" x14ac:dyDescent="0.25">
      <c r="A24506" t="s">
        <v>24519</v>
      </c>
      <c r="B24506">
        <v>406</v>
      </c>
      <c r="C24506" s="1" t="str">
        <f>HYPERLINK("http://www.rosaceae.org/gb/gbrowse/malus_x_domestica/?name=MDP0000924309","MDP0000924309")</f>
        <v>MDP0000924309</v>
      </c>
      <c r="D24506">
        <v>63.68</v>
      </c>
      <c r="E24506">
        <v>190</v>
      </c>
      <c r="F24506">
        <v>69</v>
      </c>
      <c r="G24506">
        <v>31</v>
      </c>
      <c r="H24506">
        <v>210</v>
      </c>
      <c r="I24506">
        <v>374</v>
      </c>
      <c r="J24506">
        <v>1</v>
      </c>
      <c r="K24506">
        <v>34</v>
      </c>
      <c r="L24506">
        <v>217</v>
      </c>
      <c r="M24506">
        <v>1</v>
      </c>
      <c r="N24506">
        <v>1.60283E-60</v>
      </c>
      <c r="O24506">
        <v>587</v>
      </c>
    </row>
    <row r="24507" spans="1:15" x14ac:dyDescent="0.25">
      <c r="A24507" t="s">
        <v>24520</v>
      </c>
      <c r="B24507">
        <v>433</v>
      </c>
      <c r="C24507" s="1" t="str">
        <f>HYPERLINK("http://www.rosaceae.org/gb/gbrowse/malus_x_domestica/?name=MDP0000134442","MDP0000134442")</f>
        <v>MDP0000134442</v>
      </c>
      <c r="D24507">
        <v>67.099999999999994</v>
      </c>
      <c r="E24507">
        <v>459</v>
      </c>
      <c r="F24507">
        <v>151</v>
      </c>
      <c r="G24507">
        <v>28</v>
      </c>
      <c r="H24507">
        <v>1</v>
      </c>
      <c r="I24507">
        <v>433</v>
      </c>
      <c r="J24507">
        <v>1</v>
      </c>
      <c r="K24507">
        <v>42</v>
      </c>
      <c r="L24507">
        <v>498</v>
      </c>
      <c r="M24507">
        <v>1</v>
      </c>
      <c r="N24507">
        <v>4.3356500000000003E-177</v>
      </c>
      <c r="O24507">
        <v>1593</v>
      </c>
    </row>
    <row r="24508" spans="1:15" x14ac:dyDescent="0.25">
      <c r="A24508" t="s">
        <v>24521</v>
      </c>
      <c r="B24508">
        <v>214</v>
      </c>
      <c r="C24508" s="1" t="str">
        <f>HYPERLINK("http://www.rosaceae.org/gb/gbrowse/malus_x_domestica/?name=MDP0000226868","MDP0000226868")</f>
        <v>MDP0000226868</v>
      </c>
      <c r="D24508">
        <v>67.72</v>
      </c>
      <c r="E24508">
        <v>189</v>
      </c>
      <c r="F24508">
        <v>61</v>
      </c>
      <c r="G24508">
        <v>1</v>
      </c>
      <c r="H24508">
        <v>1</v>
      </c>
      <c r="I24508">
        <v>189</v>
      </c>
      <c r="J24508">
        <v>1</v>
      </c>
      <c r="K24508">
        <v>351</v>
      </c>
      <c r="L24508">
        <v>538</v>
      </c>
      <c r="M24508">
        <v>1</v>
      </c>
      <c r="N24508">
        <v>4.5409399999999997E-71</v>
      </c>
      <c r="O24508">
        <v>675</v>
      </c>
    </row>
    <row r="24509" spans="1:15" x14ac:dyDescent="0.25">
      <c r="A24509" t="s">
        <v>24522</v>
      </c>
      <c r="B24509">
        <v>273</v>
      </c>
      <c r="C24509" s="1" t="str">
        <f>HYPERLINK("http://www.rosaceae.org/gb/gbrowse/malus_x_domestica/?name=MDP0000202739","MDP0000202739")</f>
        <v>MDP0000202739</v>
      </c>
      <c r="D24509">
        <v>84.41</v>
      </c>
      <c r="E24509">
        <v>77</v>
      </c>
      <c r="F24509">
        <v>12</v>
      </c>
      <c r="G24509">
        <v>0</v>
      </c>
      <c r="H24509">
        <v>71</v>
      </c>
      <c r="I24509">
        <v>147</v>
      </c>
      <c r="J24509">
        <v>1</v>
      </c>
      <c r="K24509">
        <v>1</v>
      </c>
      <c r="L24509">
        <v>77</v>
      </c>
      <c r="M24509">
        <v>1</v>
      </c>
      <c r="N24509">
        <v>1.2108600000000001E-32</v>
      </c>
      <c r="O24509">
        <v>345</v>
      </c>
    </row>
    <row r="24510" spans="1:15" x14ac:dyDescent="0.25">
      <c r="A24510" t="s">
        <v>24523</v>
      </c>
      <c r="B24510">
        <v>272</v>
      </c>
      <c r="C24510" s="1" t="str">
        <f>HYPERLINK("http://www.rosaceae.org/gb/gbrowse/malus_x_domestica/?name=MDP0000760092","MDP0000760092")</f>
        <v>MDP0000760092</v>
      </c>
      <c r="D24510">
        <v>83.82</v>
      </c>
      <c r="E24510">
        <v>272</v>
      </c>
      <c r="F24510">
        <v>44</v>
      </c>
      <c r="G24510">
        <v>0</v>
      </c>
      <c r="H24510">
        <v>1</v>
      </c>
      <c r="I24510">
        <v>272</v>
      </c>
      <c r="J24510">
        <v>1</v>
      </c>
      <c r="K24510">
        <v>1</v>
      </c>
      <c r="L24510">
        <v>272</v>
      </c>
      <c r="M24510">
        <v>1</v>
      </c>
      <c r="N24510">
        <v>1.00543E-135</v>
      </c>
      <c r="O24510">
        <v>1234</v>
      </c>
    </row>
    <row r="24511" spans="1:15" x14ac:dyDescent="0.25">
      <c r="A24511" t="s">
        <v>24524</v>
      </c>
      <c r="B24511">
        <v>479</v>
      </c>
      <c r="C24511" s="1" t="str">
        <f>HYPERLINK("http://www.rosaceae.org/gb/gbrowse/malus_x_domestica/?name=MDP0000276176","MDP0000276176")</f>
        <v>MDP0000276176</v>
      </c>
      <c r="D24511">
        <v>71.95</v>
      </c>
      <c r="E24511">
        <v>517</v>
      </c>
      <c r="F24511">
        <v>145</v>
      </c>
      <c r="G24511">
        <v>50</v>
      </c>
      <c r="H24511">
        <v>1</v>
      </c>
      <c r="I24511">
        <v>467</v>
      </c>
      <c r="J24511">
        <v>1</v>
      </c>
      <c r="K24511">
        <v>1</v>
      </c>
      <c r="L24511">
        <v>517</v>
      </c>
      <c r="M24511">
        <v>1</v>
      </c>
      <c r="N24511">
        <v>0</v>
      </c>
      <c r="O24511">
        <v>1963</v>
      </c>
    </row>
    <row r="24512" spans="1:15" x14ac:dyDescent="0.25">
      <c r="A24512" t="s">
        <v>24525</v>
      </c>
      <c r="B24512">
        <v>726</v>
      </c>
      <c r="C24512" s="1" t="str">
        <f>HYPERLINK("http://www.rosaceae.org/gb/gbrowse/malus_x_domestica/?name=MDP0000493284","MDP0000493284")</f>
        <v>MDP0000493284</v>
      </c>
      <c r="D24512">
        <v>51.24</v>
      </c>
      <c r="E24512">
        <v>722</v>
      </c>
      <c r="F24512">
        <v>352</v>
      </c>
      <c r="G24512">
        <v>122</v>
      </c>
      <c r="H24512">
        <v>115</v>
      </c>
      <c r="I24512">
        <v>721</v>
      </c>
      <c r="J24512">
        <v>1</v>
      </c>
      <c r="K24512">
        <v>112</v>
      </c>
      <c r="L24512">
        <v>826</v>
      </c>
      <c r="M24512">
        <v>1</v>
      </c>
      <c r="N24512">
        <v>0</v>
      </c>
      <c r="O24512">
        <v>1755</v>
      </c>
    </row>
    <row r="24513" spans="1:15" x14ac:dyDescent="0.25">
      <c r="A24513" t="s">
        <v>24526</v>
      </c>
      <c r="B24513">
        <v>414</v>
      </c>
      <c r="C24513" s="1" t="str">
        <f>HYPERLINK("http://www.rosaceae.org/gb/gbrowse/malus_x_domestica/?name=MDP0000196672","MDP0000196672")</f>
        <v>MDP0000196672</v>
      </c>
      <c r="D24513">
        <v>30.9</v>
      </c>
      <c r="E24513">
        <v>343</v>
      </c>
      <c r="F24513">
        <v>237</v>
      </c>
      <c r="G24513">
        <v>42</v>
      </c>
      <c r="H24513">
        <v>2</v>
      </c>
      <c r="I24513">
        <v>328</v>
      </c>
      <c r="J24513">
        <v>1</v>
      </c>
      <c r="K24513">
        <v>14</v>
      </c>
      <c r="L24513">
        <v>330</v>
      </c>
      <c r="M24513">
        <v>1</v>
      </c>
      <c r="N24513">
        <v>2.5594399999999999E-33</v>
      </c>
      <c r="O24513">
        <v>353</v>
      </c>
    </row>
    <row r="24514" spans="1:15" x14ac:dyDescent="0.25">
      <c r="A24514" t="s">
        <v>24527</v>
      </c>
      <c r="B24514">
        <v>263</v>
      </c>
      <c r="C24514" s="1" t="str">
        <f>HYPERLINK("http://www.rosaceae.org/gb/gbrowse/malus_x_domestica/?name=MDP0000146698","MDP0000146698")</f>
        <v>MDP0000146698</v>
      </c>
      <c r="D24514">
        <v>97.3</v>
      </c>
      <c r="E24514">
        <v>260</v>
      </c>
      <c r="F24514">
        <v>7</v>
      </c>
      <c r="G24514">
        <v>0</v>
      </c>
      <c r="H24514">
        <v>1</v>
      </c>
      <c r="I24514">
        <v>260</v>
      </c>
      <c r="J24514">
        <v>1</v>
      </c>
      <c r="K24514">
        <v>174</v>
      </c>
      <c r="L24514">
        <v>433</v>
      </c>
      <c r="M24514">
        <v>1</v>
      </c>
      <c r="N24514">
        <v>9.5035499999999999E-148</v>
      </c>
      <c r="O24514">
        <v>1337</v>
      </c>
    </row>
    <row r="24515" spans="1:15" x14ac:dyDescent="0.25">
      <c r="A24515" t="s">
        <v>24528</v>
      </c>
      <c r="B24515">
        <v>166</v>
      </c>
      <c r="C24515" s="1" t="str">
        <f>HYPERLINK("http://www.rosaceae.org/gb/gbrowse/malus_x_domestica/?name=MDP0000225393","MDP0000225393")</f>
        <v>MDP0000225393</v>
      </c>
      <c r="D24515">
        <v>77.77</v>
      </c>
      <c r="E24515">
        <v>153</v>
      </c>
      <c r="F24515">
        <v>34</v>
      </c>
      <c r="G24515">
        <v>3</v>
      </c>
      <c r="H24515">
        <v>4</v>
      </c>
      <c r="I24515">
        <v>156</v>
      </c>
      <c r="J24515">
        <v>1</v>
      </c>
      <c r="K24515">
        <v>8</v>
      </c>
      <c r="L24515">
        <v>157</v>
      </c>
      <c r="M24515">
        <v>1</v>
      </c>
      <c r="N24515">
        <v>4.9825300000000003E-62</v>
      </c>
      <c r="O24515">
        <v>595</v>
      </c>
    </row>
    <row r="24516" spans="1:15" x14ac:dyDescent="0.25">
      <c r="A24516" t="s">
        <v>24529</v>
      </c>
      <c r="B24516">
        <v>664</v>
      </c>
      <c r="C24516" s="1" t="str">
        <f>HYPERLINK("http://www.rosaceae.org/gb/gbrowse/malus_x_domestica/?name=MDP0000349223","MDP0000349223")</f>
        <v>MDP0000349223</v>
      </c>
      <c r="D24516">
        <v>87.09</v>
      </c>
      <c r="E24516">
        <v>155</v>
      </c>
      <c r="F24516">
        <v>20</v>
      </c>
      <c r="G24516">
        <v>0</v>
      </c>
      <c r="H24516">
        <v>281</v>
      </c>
      <c r="I24516">
        <v>435</v>
      </c>
      <c r="J24516">
        <v>1</v>
      </c>
      <c r="K24516">
        <v>1</v>
      </c>
      <c r="L24516">
        <v>155</v>
      </c>
      <c r="M24516">
        <v>1</v>
      </c>
      <c r="N24516">
        <v>5.02891E-79</v>
      </c>
      <c r="O24516">
        <v>749</v>
      </c>
    </row>
    <row r="24517" spans="1:15" x14ac:dyDescent="0.25">
      <c r="A24517" t="s">
        <v>24530</v>
      </c>
      <c r="B24517">
        <v>1200</v>
      </c>
      <c r="C24517" s="1" t="str">
        <f>HYPERLINK("http://www.rosaceae.org/gb/gbrowse/malus_x_domestica/?name=MDP0000297820","MDP0000297820")</f>
        <v>MDP0000297820</v>
      </c>
      <c r="D24517">
        <v>69.319999999999993</v>
      </c>
      <c r="E24517">
        <v>1128</v>
      </c>
      <c r="F24517">
        <v>346</v>
      </c>
      <c r="G24517">
        <v>129</v>
      </c>
      <c r="H24517">
        <v>65</v>
      </c>
      <c r="I24517">
        <v>1153</v>
      </c>
      <c r="J24517">
        <v>1</v>
      </c>
      <c r="K24517">
        <v>75</v>
      </c>
      <c r="L24517">
        <v>1112</v>
      </c>
      <c r="M24517">
        <v>1</v>
      </c>
      <c r="N24517">
        <v>0</v>
      </c>
      <c r="O24517">
        <v>3907</v>
      </c>
    </row>
    <row r="24518" spans="1:15" x14ac:dyDescent="0.25">
      <c r="A24518" t="s">
        <v>24531</v>
      </c>
      <c r="B24518">
        <v>299</v>
      </c>
      <c r="C24518" s="1" t="str">
        <f>HYPERLINK("http://www.rosaceae.org/gb/gbrowse/malus_x_domestica/?name=MDP0000255806","MDP0000255806")</f>
        <v>MDP0000255806</v>
      </c>
      <c r="D24518">
        <v>64.89</v>
      </c>
      <c r="E24518">
        <v>94</v>
      </c>
      <c r="F24518">
        <v>33</v>
      </c>
      <c r="G24518">
        <v>0</v>
      </c>
      <c r="H24518">
        <v>206</v>
      </c>
      <c r="I24518">
        <v>299</v>
      </c>
      <c r="J24518">
        <v>1</v>
      </c>
      <c r="K24518">
        <v>414</v>
      </c>
      <c r="L24518">
        <v>507</v>
      </c>
      <c r="M24518">
        <v>1</v>
      </c>
      <c r="N24518">
        <v>2.6539399999999999E-28</v>
      </c>
      <c r="O24518">
        <v>308</v>
      </c>
    </row>
    <row r="24519" spans="1:15" x14ac:dyDescent="0.25">
      <c r="A24519" t="s">
        <v>24532</v>
      </c>
      <c r="B24519">
        <v>154</v>
      </c>
      <c r="C24519" s="1" t="str">
        <f>HYPERLINK("http://www.rosaceae.org/gb/gbrowse/malus_x_domestica/?name=MDP0000950298","MDP0000950298")</f>
        <v>MDP0000950298</v>
      </c>
      <c r="D24519">
        <v>83.11</v>
      </c>
      <c r="E24519">
        <v>154</v>
      </c>
      <c r="F24519">
        <v>26</v>
      </c>
      <c r="G24519">
        <v>0</v>
      </c>
      <c r="H24519">
        <v>1</v>
      </c>
      <c r="I24519">
        <v>154</v>
      </c>
      <c r="J24519">
        <v>1</v>
      </c>
      <c r="K24519">
        <v>1</v>
      </c>
      <c r="L24519">
        <v>154</v>
      </c>
      <c r="M24519">
        <v>1</v>
      </c>
      <c r="N24519">
        <v>5.9098799999999999E-76</v>
      </c>
      <c r="O24519">
        <v>715</v>
      </c>
    </row>
    <row r="24520" spans="1:15" x14ac:dyDescent="0.25">
      <c r="A24520" t="s">
        <v>24533</v>
      </c>
      <c r="B24520">
        <v>244</v>
      </c>
      <c r="C24520" s="1" t="str">
        <f>HYPERLINK("http://www.rosaceae.org/gb/gbrowse/malus_x_domestica/?name=MDP0000173754","MDP0000173754")</f>
        <v>MDP0000173754</v>
      </c>
      <c r="D24520">
        <v>77.88</v>
      </c>
      <c r="E24520">
        <v>217</v>
      </c>
      <c r="F24520">
        <v>48</v>
      </c>
      <c r="G24520">
        <v>2</v>
      </c>
      <c r="H24520">
        <v>30</v>
      </c>
      <c r="I24520">
        <v>244</v>
      </c>
      <c r="J24520">
        <v>1</v>
      </c>
      <c r="K24520">
        <v>32</v>
      </c>
      <c r="L24520">
        <v>248</v>
      </c>
      <c r="M24520">
        <v>1</v>
      </c>
      <c r="N24520">
        <v>1.12517E-84</v>
      </c>
      <c r="O24520">
        <v>793</v>
      </c>
    </row>
    <row r="24521" spans="1:15" x14ac:dyDescent="0.25">
      <c r="A24521" t="s">
        <v>24534</v>
      </c>
      <c r="B24521">
        <v>557</v>
      </c>
      <c r="C24521" s="1" t="str">
        <f>HYPERLINK("http://www.rosaceae.org/gb/gbrowse/malus_x_domestica/?name=MDP0000207002","MDP0000207002")</f>
        <v>MDP0000207002</v>
      </c>
      <c r="D24521">
        <v>68.64</v>
      </c>
      <c r="E24521">
        <v>539</v>
      </c>
      <c r="F24521">
        <v>169</v>
      </c>
      <c r="G24521">
        <v>45</v>
      </c>
      <c r="H24521">
        <v>13</v>
      </c>
      <c r="I24521">
        <v>551</v>
      </c>
      <c r="J24521">
        <v>1</v>
      </c>
      <c r="K24521">
        <v>31</v>
      </c>
      <c r="L24521">
        <v>524</v>
      </c>
      <c r="M24521">
        <v>1</v>
      </c>
      <c r="N24521">
        <v>0</v>
      </c>
      <c r="O24521">
        <v>1878</v>
      </c>
    </row>
    <row r="24522" spans="1:15" x14ac:dyDescent="0.25">
      <c r="A24522" t="s">
        <v>24535</v>
      </c>
      <c r="B24522">
        <v>440</v>
      </c>
      <c r="C24522" s="1" t="str">
        <f>HYPERLINK("http://www.rosaceae.org/gb/gbrowse/malus_x_domestica/?name=MDP0000288452","MDP0000288452")</f>
        <v>MDP0000288452</v>
      </c>
      <c r="D24522">
        <v>64.239999999999995</v>
      </c>
      <c r="E24522">
        <v>372</v>
      </c>
      <c r="F24522">
        <v>133</v>
      </c>
      <c r="G24522">
        <v>32</v>
      </c>
      <c r="H24522">
        <v>100</v>
      </c>
      <c r="I24522">
        <v>440</v>
      </c>
      <c r="J24522">
        <v>1</v>
      </c>
      <c r="K24522">
        <v>1202</v>
      </c>
      <c r="L24522">
        <v>1572</v>
      </c>
      <c r="M24522">
        <v>1</v>
      </c>
      <c r="N24522">
        <v>9.7918599999999999E-122</v>
      </c>
      <c r="O24522">
        <v>1116</v>
      </c>
    </row>
    <row r="24523" spans="1:15" x14ac:dyDescent="0.25">
      <c r="A24523" t="s">
        <v>24536</v>
      </c>
      <c r="B24523">
        <v>401</v>
      </c>
      <c r="C24523" s="1" t="str">
        <f>HYPERLINK("http://www.rosaceae.org/gb/gbrowse/malus_x_domestica/?name=MDP0000378945","MDP0000378945")</f>
        <v>MDP0000378945</v>
      </c>
      <c r="D24523">
        <v>77.400000000000006</v>
      </c>
      <c r="E24523">
        <v>208</v>
      </c>
      <c r="F24523">
        <v>47</v>
      </c>
      <c r="G24523">
        <v>11</v>
      </c>
      <c r="H24523">
        <v>201</v>
      </c>
      <c r="I24523">
        <v>401</v>
      </c>
      <c r="J24523">
        <v>1</v>
      </c>
      <c r="K24523">
        <v>16</v>
      </c>
      <c r="L24523">
        <v>219</v>
      </c>
      <c r="M24523">
        <v>1</v>
      </c>
      <c r="N24523">
        <v>1.30346E-82</v>
      </c>
      <c r="O24523">
        <v>778</v>
      </c>
    </row>
    <row r="24524" spans="1:15" x14ac:dyDescent="0.25">
      <c r="A24524" t="s">
        <v>24537</v>
      </c>
      <c r="B24524">
        <v>247</v>
      </c>
      <c r="C24524" s="1" t="str">
        <f>HYPERLINK("http://www.rosaceae.org/gb/gbrowse/malus_x_domestica/?name=MDP0000163783","MDP0000163783")</f>
        <v>MDP0000163783</v>
      </c>
      <c r="D24524">
        <v>59.74</v>
      </c>
      <c r="E24524">
        <v>159</v>
      </c>
      <c r="F24524">
        <v>64</v>
      </c>
      <c r="G24524">
        <v>10</v>
      </c>
      <c r="H24524">
        <v>94</v>
      </c>
      <c r="I24524">
        <v>247</v>
      </c>
      <c r="J24524">
        <v>1</v>
      </c>
      <c r="K24524">
        <v>40</v>
      </c>
      <c r="L24524">
        <v>193</v>
      </c>
      <c r="M24524">
        <v>1</v>
      </c>
      <c r="N24524">
        <v>1.0343500000000001E-43</v>
      </c>
      <c r="O24524">
        <v>440</v>
      </c>
    </row>
    <row r="24525" spans="1:15" x14ac:dyDescent="0.25">
      <c r="A24525" t="s">
        <v>24538</v>
      </c>
      <c r="B24525">
        <v>491</v>
      </c>
      <c r="C24525" s="1" t="str">
        <f>HYPERLINK("http://www.rosaceae.org/gb/gbrowse/malus_x_domestica/?name=MDP0000923127","MDP0000923127")</f>
        <v>MDP0000923127</v>
      </c>
      <c r="D24525">
        <v>70.92</v>
      </c>
      <c r="E24525">
        <v>454</v>
      </c>
      <c r="F24525">
        <v>132</v>
      </c>
      <c r="G24525">
        <v>1</v>
      </c>
      <c r="H24525">
        <v>30</v>
      </c>
      <c r="I24525">
        <v>483</v>
      </c>
      <c r="J24525">
        <v>1</v>
      </c>
      <c r="K24525">
        <v>76</v>
      </c>
      <c r="L24525">
        <v>528</v>
      </c>
      <c r="M24525">
        <v>1</v>
      </c>
      <c r="N24525">
        <v>0</v>
      </c>
      <c r="O24525">
        <v>1739</v>
      </c>
    </row>
    <row r="24526" spans="1:15" x14ac:dyDescent="0.25">
      <c r="A24526" t="s">
        <v>24539</v>
      </c>
      <c r="B24526">
        <v>839</v>
      </c>
      <c r="C24526" s="1" t="str">
        <f>HYPERLINK("http://www.rosaceae.org/gb/gbrowse/malus_x_domestica/?name=MDP0000232749","MDP0000232749")</f>
        <v>MDP0000232749</v>
      </c>
      <c r="D24526">
        <v>77.569999999999993</v>
      </c>
      <c r="E24526">
        <v>495</v>
      </c>
      <c r="F24526">
        <v>111</v>
      </c>
      <c r="G24526">
        <v>1</v>
      </c>
      <c r="H24526">
        <v>327</v>
      </c>
      <c r="I24526">
        <v>820</v>
      </c>
      <c r="J24526">
        <v>1</v>
      </c>
      <c r="K24526">
        <v>1</v>
      </c>
      <c r="L24526">
        <v>495</v>
      </c>
      <c r="M24526">
        <v>1</v>
      </c>
      <c r="N24526">
        <v>0</v>
      </c>
      <c r="O24526">
        <v>2033</v>
      </c>
    </row>
    <row r="24527" spans="1:15" x14ac:dyDescent="0.25">
      <c r="A24527" t="s">
        <v>24540</v>
      </c>
      <c r="B24527">
        <v>513</v>
      </c>
      <c r="C24527" s="1" t="str">
        <f>HYPERLINK("http://www.rosaceae.org/gb/gbrowse/malus_x_domestica/?name=MDP0000680183","MDP0000680183")</f>
        <v>MDP0000680183</v>
      </c>
      <c r="D24527">
        <v>72.87</v>
      </c>
      <c r="E24527">
        <v>505</v>
      </c>
      <c r="F24527">
        <v>137</v>
      </c>
      <c r="G24527">
        <v>22</v>
      </c>
      <c r="H24527">
        <v>17</v>
      </c>
      <c r="I24527">
        <v>513</v>
      </c>
      <c r="J24527">
        <v>1</v>
      </c>
      <c r="K24527">
        <v>39</v>
      </c>
      <c r="L24527">
        <v>529</v>
      </c>
      <c r="M24527">
        <v>1</v>
      </c>
      <c r="N24527">
        <v>0</v>
      </c>
      <c r="O24527">
        <v>1917</v>
      </c>
    </row>
    <row r="24528" spans="1:15" x14ac:dyDescent="0.25">
      <c r="A24528" t="s">
        <v>24541</v>
      </c>
      <c r="B24528">
        <v>2405</v>
      </c>
      <c r="C24528" s="1" t="str">
        <f>HYPERLINK("http://www.rosaceae.org/gb/gbrowse/malus_x_domestica/?name=MDP0000215279","MDP0000215279")</f>
        <v>MDP0000215279</v>
      </c>
      <c r="D24528">
        <v>94.54</v>
      </c>
      <c r="E24528">
        <v>2345</v>
      </c>
      <c r="F24528">
        <v>128</v>
      </c>
      <c r="G24528">
        <v>26</v>
      </c>
      <c r="H24528">
        <v>87</v>
      </c>
      <c r="I24528">
        <v>2405</v>
      </c>
      <c r="J24528">
        <v>1</v>
      </c>
      <c r="K24528">
        <v>27</v>
      </c>
      <c r="L24528">
        <v>2371</v>
      </c>
      <c r="M24528">
        <v>1</v>
      </c>
      <c r="N24528">
        <v>0</v>
      </c>
      <c r="O24528">
        <v>11949</v>
      </c>
    </row>
    <row r="24529" spans="1:15" x14ac:dyDescent="0.25">
      <c r="A24529" t="s">
        <v>24542</v>
      </c>
      <c r="B24529">
        <v>141</v>
      </c>
      <c r="C24529" s="1" t="str">
        <f>HYPERLINK("http://www.rosaceae.org/gb/gbrowse/malus_x_domestica/?name=MDP0000314694","MDP0000314694")</f>
        <v>MDP0000314694</v>
      </c>
      <c r="D24529">
        <v>86.15</v>
      </c>
      <c r="E24529">
        <v>65</v>
      </c>
      <c r="F24529">
        <v>9</v>
      </c>
      <c r="G24529">
        <v>0</v>
      </c>
      <c r="H24529">
        <v>1</v>
      </c>
      <c r="I24529">
        <v>65</v>
      </c>
      <c r="J24529">
        <v>1</v>
      </c>
      <c r="K24529">
        <v>39</v>
      </c>
      <c r="L24529">
        <v>103</v>
      </c>
      <c r="M24529">
        <v>1</v>
      </c>
      <c r="N24529">
        <v>4.0205900000000001E-27</v>
      </c>
      <c r="O24529">
        <v>293</v>
      </c>
    </row>
    <row r="24530" spans="1:15" x14ac:dyDescent="0.25">
      <c r="A24530" t="s">
        <v>24543</v>
      </c>
      <c r="B24530">
        <v>130</v>
      </c>
      <c r="C24530" s="1" t="str">
        <f>HYPERLINK("http://www.rosaceae.org/gb/gbrowse/malus_x_domestica/?name=MDP0000570974","MDP0000570974")</f>
        <v>MDP0000570974</v>
      </c>
      <c r="D24530">
        <v>54.38</v>
      </c>
      <c r="E24530">
        <v>57</v>
      </c>
      <c r="F24530">
        <v>26</v>
      </c>
      <c r="G24530">
        <v>0</v>
      </c>
      <c r="H24530">
        <v>22</v>
      </c>
      <c r="I24530">
        <v>78</v>
      </c>
      <c r="J24530">
        <v>1</v>
      </c>
      <c r="K24530">
        <v>120</v>
      </c>
      <c r="L24530">
        <v>176</v>
      </c>
      <c r="M24530">
        <v>1</v>
      </c>
      <c r="N24530">
        <v>4.2798799999999997E-12</v>
      </c>
      <c r="O24530">
        <v>162</v>
      </c>
    </row>
    <row r="24531" spans="1:15" x14ac:dyDescent="0.25">
      <c r="A24531" t="s">
        <v>24544</v>
      </c>
      <c r="B24531">
        <v>207</v>
      </c>
      <c r="C24531" s="1" t="str">
        <f>HYPERLINK("http://www.rosaceae.org/gb/gbrowse/malus_x_domestica/?name=MDP0000256438","MDP0000256438")</f>
        <v>MDP0000256438</v>
      </c>
      <c r="D24531">
        <v>66.83</v>
      </c>
      <c r="E24531">
        <v>199</v>
      </c>
      <c r="F24531">
        <v>66</v>
      </c>
      <c r="G24531">
        <v>16</v>
      </c>
      <c r="H24531">
        <v>20</v>
      </c>
      <c r="I24531">
        <v>207</v>
      </c>
      <c r="J24531">
        <v>1</v>
      </c>
      <c r="K24531">
        <v>30</v>
      </c>
      <c r="L24531">
        <v>223</v>
      </c>
      <c r="M24531">
        <v>1</v>
      </c>
      <c r="N24531">
        <v>1.8213200000000001E-70</v>
      </c>
      <c r="O24531">
        <v>669</v>
      </c>
    </row>
    <row r="24532" spans="1:15" x14ac:dyDescent="0.25">
      <c r="A24532" t="s">
        <v>24545</v>
      </c>
      <c r="B24532">
        <v>442</v>
      </c>
      <c r="C24532" s="1" t="str">
        <f>HYPERLINK("http://www.rosaceae.org/gb/gbrowse/malus_x_domestica/?name=MDP0000181339","MDP0000181339")</f>
        <v>MDP0000181339</v>
      </c>
      <c r="D24532">
        <v>86.22</v>
      </c>
      <c r="E24532">
        <v>167</v>
      </c>
      <c r="F24532">
        <v>23</v>
      </c>
      <c r="G24532">
        <v>0</v>
      </c>
      <c r="H24532">
        <v>268</v>
      </c>
      <c r="I24532">
        <v>434</v>
      </c>
      <c r="J24532">
        <v>1</v>
      </c>
      <c r="K24532">
        <v>539</v>
      </c>
      <c r="L24532">
        <v>705</v>
      </c>
      <c r="M24532">
        <v>1</v>
      </c>
      <c r="N24532">
        <v>3.2813600000000002E-86</v>
      </c>
      <c r="O24532">
        <v>809</v>
      </c>
    </row>
    <row r="24533" spans="1:15" x14ac:dyDescent="0.25">
      <c r="A24533" t="s">
        <v>24546</v>
      </c>
      <c r="B24533">
        <v>128</v>
      </c>
      <c r="C24533" s="1" t="str">
        <f>HYPERLINK("http://www.rosaceae.org/gb/gbrowse/malus_x_domestica/?name=MDP0000441604","MDP0000441604")</f>
        <v>MDP0000441604</v>
      </c>
      <c r="D24533">
        <v>55.55</v>
      </c>
      <c r="E24533">
        <v>81</v>
      </c>
      <c r="F24533">
        <v>36</v>
      </c>
      <c r="G24533">
        <v>21</v>
      </c>
      <c r="H24533">
        <v>57</v>
      </c>
      <c r="I24533">
        <v>116</v>
      </c>
      <c r="J24533">
        <v>1</v>
      </c>
      <c r="K24533">
        <v>220</v>
      </c>
      <c r="L24533">
        <v>300</v>
      </c>
      <c r="M24533">
        <v>1</v>
      </c>
      <c r="N24533">
        <v>2.7621799999999999E-17</v>
      </c>
      <c r="O24533">
        <v>207</v>
      </c>
    </row>
    <row r="24534" spans="1:15" x14ac:dyDescent="0.25">
      <c r="A24534" t="s">
        <v>24547</v>
      </c>
      <c r="B24534">
        <v>326</v>
      </c>
      <c r="C24534" s="1" t="str">
        <f>HYPERLINK("http://www.rosaceae.org/gb/gbrowse/malus_x_domestica/?name=MDP0000594621","MDP0000594621")</f>
        <v>MDP0000594621</v>
      </c>
      <c r="D24534">
        <v>65.040000000000006</v>
      </c>
      <c r="E24534">
        <v>329</v>
      </c>
      <c r="F24534">
        <v>115</v>
      </c>
      <c r="G24534">
        <v>5</v>
      </c>
      <c r="H24534">
        <v>1</v>
      </c>
      <c r="I24534">
        <v>326</v>
      </c>
      <c r="J24534">
        <v>1</v>
      </c>
      <c r="K24534">
        <v>1</v>
      </c>
      <c r="L24534">
        <v>327</v>
      </c>
      <c r="M24534">
        <v>1</v>
      </c>
      <c r="N24534">
        <v>1.05489E-116</v>
      </c>
      <c r="O24534">
        <v>1071</v>
      </c>
    </row>
    <row r="24535" spans="1:15" x14ac:dyDescent="0.25">
      <c r="A24535" t="s">
        <v>24548</v>
      </c>
      <c r="B24535">
        <v>626</v>
      </c>
      <c r="C24535" s="1" t="str">
        <f>HYPERLINK("http://www.rosaceae.org/gb/gbrowse/malus_x_domestica/?name=MDP0000307313","MDP0000307313")</f>
        <v>MDP0000307313</v>
      </c>
      <c r="D24535">
        <v>51.09</v>
      </c>
      <c r="E24535">
        <v>550</v>
      </c>
      <c r="F24535">
        <v>269</v>
      </c>
      <c r="G24535">
        <v>63</v>
      </c>
      <c r="H24535">
        <v>94</v>
      </c>
      <c r="I24535">
        <v>581</v>
      </c>
      <c r="J24535">
        <v>1</v>
      </c>
      <c r="K24535">
        <v>337</v>
      </c>
      <c r="L24535">
        <v>885</v>
      </c>
      <c r="M24535">
        <v>1</v>
      </c>
      <c r="N24535">
        <v>6.0447900000000003E-149</v>
      </c>
      <c r="O24535">
        <v>1352</v>
      </c>
    </row>
    <row r="24536" spans="1:15" x14ac:dyDescent="0.25">
      <c r="A24536" t="s">
        <v>24549</v>
      </c>
      <c r="B24536">
        <v>145</v>
      </c>
      <c r="C24536" s="1" t="str">
        <f>HYPERLINK("http://www.rosaceae.org/gb/gbrowse/malus_x_domestica/?name=MDP0000801999","MDP0000801999")</f>
        <v>MDP0000801999</v>
      </c>
      <c r="D24536">
        <v>61.72</v>
      </c>
      <c r="E24536">
        <v>162</v>
      </c>
      <c r="F24536">
        <v>62</v>
      </c>
      <c r="G24536">
        <v>23</v>
      </c>
      <c r="H24536">
        <v>1</v>
      </c>
      <c r="I24536">
        <v>139</v>
      </c>
      <c r="J24536">
        <v>1</v>
      </c>
      <c r="K24536">
        <v>4</v>
      </c>
      <c r="L24536">
        <v>165</v>
      </c>
      <c r="M24536">
        <v>1</v>
      </c>
      <c r="N24536">
        <v>5.9924300000000004E-56</v>
      </c>
      <c r="O24536">
        <v>542</v>
      </c>
    </row>
    <row r="24537" spans="1:15" x14ac:dyDescent="0.25">
      <c r="A24537" t="s">
        <v>24550</v>
      </c>
      <c r="B24537">
        <v>596</v>
      </c>
      <c r="C24537" s="1" t="str">
        <f>HYPERLINK("http://www.rosaceae.org/gb/gbrowse/malus_x_domestica/?name=MDP0000248781","MDP0000248781")</f>
        <v>MDP0000248781</v>
      </c>
      <c r="D24537">
        <v>41.99</v>
      </c>
      <c r="E24537">
        <v>431</v>
      </c>
      <c r="F24537">
        <v>250</v>
      </c>
      <c r="G24537">
        <v>58</v>
      </c>
      <c r="H24537">
        <v>199</v>
      </c>
      <c r="I24537">
        <v>596</v>
      </c>
      <c r="J24537">
        <v>1</v>
      </c>
      <c r="K24537">
        <v>90</v>
      </c>
      <c r="L24537">
        <v>495</v>
      </c>
      <c r="M24537">
        <v>1</v>
      </c>
      <c r="N24537">
        <v>1.87252E-62</v>
      </c>
      <c r="O24537">
        <v>606</v>
      </c>
    </row>
    <row r="24538" spans="1:15" x14ac:dyDescent="0.25">
      <c r="A24538" t="s">
        <v>24551</v>
      </c>
      <c r="B24538">
        <v>264</v>
      </c>
      <c r="C24538" s="1" t="str">
        <f>HYPERLINK("http://www.rosaceae.org/gb/gbrowse/malus_x_domestica/?name=MDP0000130704","MDP0000130704")</f>
        <v>MDP0000130704</v>
      </c>
      <c r="D24538">
        <v>50</v>
      </c>
      <c r="E24538">
        <v>278</v>
      </c>
      <c r="F24538">
        <v>139</v>
      </c>
      <c r="G24538">
        <v>26</v>
      </c>
      <c r="H24538">
        <v>9</v>
      </c>
      <c r="I24538">
        <v>264</v>
      </c>
      <c r="J24538">
        <v>1</v>
      </c>
      <c r="K24538">
        <v>11</v>
      </c>
      <c r="L24538">
        <v>284</v>
      </c>
      <c r="M24538">
        <v>1</v>
      </c>
      <c r="N24538">
        <v>5.1120299999999998E-58</v>
      </c>
      <c r="O24538">
        <v>564</v>
      </c>
    </row>
    <row r="24539" spans="1:15" x14ac:dyDescent="0.25">
      <c r="A24539" t="s">
        <v>24552</v>
      </c>
      <c r="B24539">
        <v>289</v>
      </c>
      <c r="C24539" s="1" t="str">
        <f>HYPERLINK("http://www.rosaceae.org/gb/gbrowse/malus_x_domestica/?name=MDP0000319112","MDP0000319112")</f>
        <v>MDP0000319112</v>
      </c>
      <c r="D24539">
        <v>73.290000000000006</v>
      </c>
      <c r="E24539">
        <v>352</v>
      </c>
      <c r="F24539">
        <v>94</v>
      </c>
      <c r="G24539">
        <v>63</v>
      </c>
      <c r="H24539">
        <v>1</v>
      </c>
      <c r="I24539">
        <v>289</v>
      </c>
      <c r="J24539">
        <v>1</v>
      </c>
      <c r="K24539">
        <v>1</v>
      </c>
      <c r="L24539">
        <v>352</v>
      </c>
      <c r="M24539">
        <v>1</v>
      </c>
      <c r="N24539">
        <v>1.9799E-141</v>
      </c>
      <c r="O24539">
        <v>1283</v>
      </c>
    </row>
    <row r="24540" spans="1:15" x14ac:dyDescent="0.25">
      <c r="A24540" t="s">
        <v>24553</v>
      </c>
      <c r="B24540">
        <v>310</v>
      </c>
      <c r="C24540" s="1" t="str">
        <f>HYPERLINK("http://www.rosaceae.org/gb/gbrowse/malus_x_domestica/?name=MDP0000226667","MDP0000226667")</f>
        <v>MDP0000226667</v>
      </c>
      <c r="D24540">
        <v>43.05</v>
      </c>
      <c r="E24540">
        <v>360</v>
      </c>
      <c r="F24540">
        <v>205</v>
      </c>
      <c r="G24540">
        <v>84</v>
      </c>
      <c r="H24540">
        <v>5</v>
      </c>
      <c r="I24540">
        <v>308</v>
      </c>
      <c r="J24540">
        <v>1</v>
      </c>
      <c r="K24540">
        <v>1</v>
      </c>
      <c r="L24540">
        <v>332</v>
      </c>
      <c r="M24540">
        <v>1</v>
      </c>
      <c r="N24540">
        <v>1.6126299999999999E-64</v>
      </c>
      <c r="O24540">
        <v>621</v>
      </c>
    </row>
    <row r="24541" spans="1:15" x14ac:dyDescent="0.25">
      <c r="A24541" t="s">
        <v>24554</v>
      </c>
      <c r="B24541">
        <v>751</v>
      </c>
      <c r="C24541" s="1" t="str">
        <f>HYPERLINK("http://www.rosaceae.org/gb/gbrowse/malus_x_domestica/?name=MDP0000321910","MDP0000321910")</f>
        <v>MDP0000321910</v>
      </c>
      <c r="D24541">
        <v>71.19</v>
      </c>
      <c r="E24541">
        <v>722</v>
      </c>
      <c r="F24541">
        <v>208</v>
      </c>
      <c r="G24541">
        <v>6</v>
      </c>
      <c r="H24541">
        <v>31</v>
      </c>
      <c r="I24541">
        <v>749</v>
      </c>
      <c r="J24541">
        <v>1</v>
      </c>
      <c r="K24541">
        <v>30</v>
      </c>
      <c r="L24541">
        <v>748</v>
      </c>
      <c r="M24541">
        <v>1</v>
      </c>
      <c r="N24541">
        <v>0</v>
      </c>
      <c r="O24541">
        <v>2738</v>
      </c>
    </row>
    <row r="24542" spans="1:15" x14ac:dyDescent="0.25">
      <c r="A24542" t="s">
        <v>24555</v>
      </c>
      <c r="B24542">
        <v>809</v>
      </c>
      <c r="C24542" s="1" t="str">
        <f>HYPERLINK("http://www.rosaceae.org/gb/gbrowse/malus_x_domestica/?name=MDP0000211634","MDP0000211634")</f>
        <v>MDP0000211634</v>
      </c>
      <c r="D24542">
        <v>70.78</v>
      </c>
      <c r="E24542">
        <v>486</v>
      </c>
      <c r="F24542">
        <v>142</v>
      </c>
      <c r="G24542">
        <v>18</v>
      </c>
      <c r="H24542">
        <v>1</v>
      </c>
      <c r="I24542">
        <v>482</v>
      </c>
      <c r="J24542">
        <v>1</v>
      </c>
      <c r="K24542">
        <v>1</v>
      </c>
      <c r="L24542">
        <v>472</v>
      </c>
      <c r="M24542">
        <v>1</v>
      </c>
      <c r="N24542">
        <v>0</v>
      </c>
      <c r="O24542">
        <v>1809</v>
      </c>
    </row>
    <row r="24543" spans="1:15" x14ac:dyDescent="0.25">
      <c r="A24543" t="s">
        <v>24556</v>
      </c>
      <c r="B24543">
        <v>422</v>
      </c>
      <c r="C24543" s="1" t="str">
        <f>HYPERLINK("http://www.rosaceae.org/gb/gbrowse/malus_x_domestica/?name=MDP0000725634","MDP0000725634")</f>
        <v>MDP0000725634</v>
      </c>
      <c r="D24543">
        <v>87.22</v>
      </c>
      <c r="E24543">
        <v>360</v>
      </c>
      <c r="F24543">
        <v>46</v>
      </c>
      <c r="G24543">
        <v>0</v>
      </c>
      <c r="H24543">
        <v>63</v>
      </c>
      <c r="I24543">
        <v>422</v>
      </c>
      <c r="J24543">
        <v>1</v>
      </c>
      <c r="K24543">
        <v>62</v>
      </c>
      <c r="L24543">
        <v>421</v>
      </c>
      <c r="M24543">
        <v>1</v>
      </c>
      <c r="N24543">
        <v>0</v>
      </c>
      <c r="O24543">
        <v>1635</v>
      </c>
    </row>
    <row r="24544" spans="1:15" x14ac:dyDescent="0.25">
      <c r="A24544" t="s">
        <v>24557</v>
      </c>
      <c r="B24544">
        <v>657</v>
      </c>
      <c r="C24544" s="1" t="str">
        <f>HYPERLINK("http://www.rosaceae.org/gb/gbrowse/malus_x_domestica/?name=MDP0000325761","MDP0000325761")</f>
        <v>MDP0000325761</v>
      </c>
      <c r="D24544">
        <v>43.09</v>
      </c>
      <c r="E24544">
        <v>362</v>
      </c>
      <c r="F24544">
        <v>206</v>
      </c>
      <c r="G24544">
        <v>37</v>
      </c>
      <c r="H24544">
        <v>22</v>
      </c>
      <c r="I24544">
        <v>351</v>
      </c>
      <c r="J24544">
        <v>1</v>
      </c>
      <c r="K24544">
        <v>40</v>
      </c>
      <c r="L24544">
        <v>396</v>
      </c>
      <c r="M24544">
        <v>1</v>
      </c>
      <c r="N24544">
        <v>1.25474E-75</v>
      </c>
      <c r="O24544">
        <v>720</v>
      </c>
    </row>
    <row r="24545" spans="1:15" x14ac:dyDescent="0.25">
      <c r="A24545" t="s">
        <v>24558</v>
      </c>
      <c r="B24545">
        <v>1032</v>
      </c>
      <c r="C24545" s="1" t="str">
        <f>HYPERLINK("http://www.rosaceae.org/gb/gbrowse/malus_x_domestica/?name=MDP0000213649","MDP0000213649")</f>
        <v>MDP0000213649</v>
      </c>
      <c r="D24545">
        <v>77.27</v>
      </c>
      <c r="E24545">
        <v>1034</v>
      </c>
      <c r="F24545">
        <v>235</v>
      </c>
      <c r="G24545">
        <v>37</v>
      </c>
      <c r="H24545">
        <v>30</v>
      </c>
      <c r="I24545">
        <v>1032</v>
      </c>
      <c r="J24545">
        <v>1</v>
      </c>
      <c r="K24545">
        <v>30</v>
      </c>
      <c r="L24545">
        <v>1057</v>
      </c>
      <c r="M24545">
        <v>1</v>
      </c>
      <c r="N24545">
        <v>0</v>
      </c>
      <c r="O24545">
        <v>4003</v>
      </c>
    </row>
    <row r="24546" spans="1:15" x14ac:dyDescent="0.25">
      <c r="A24546" t="s">
        <v>24559</v>
      </c>
      <c r="B24546">
        <v>637</v>
      </c>
      <c r="C24546" s="1" t="str">
        <f>HYPERLINK("http://www.rosaceae.org/gb/gbrowse/malus_x_domestica/?name=MDP0000309756","MDP0000309756")</f>
        <v>MDP0000309756</v>
      </c>
      <c r="D24546">
        <v>63.42</v>
      </c>
      <c r="E24546">
        <v>339</v>
      </c>
      <c r="F24546">
        <v>124</v>
      </c>
      <c r="G24546">
        <v>11</v>
      </c>
      <c r="H24546">
        <v>7</v>
      </c>
      <c r="I24546">
        <v>343</v>
      </c>
      <c r="J24546">
        <v>1</v>
      </c>
      <c r="K24546">
        <v>184</v>
      </c>
      <c r="L24546">
        <v>513</v>
      </c>
      <c r="M24546">
        <v>1</v>
      </c>
      <c r="N24546">
        <v>1.23512E-116</v>
      </c>
      <c r="O24546">
        <v>1073</v>
      </c>
    </row>
    <row r="24547" spans="1:15" x14ac:dyDescent="0.25">
      <c r="A24547" t="s">
        <v>24560</v>
      </c>
      <c r="B24547">
        <v>157</v>
      </c>
      <c r="C24547" s="1" t="str">
        <f>HYPERLINK("http://www.rosaceae.org/gb/gbrowse/malus_x_domestica/?name=MDP0000286915","MDP0000286915")</f>
        <v>MDP0000286915</v>
      </c>
      <c r="D24547">
        <v>30.76</v>
      </c>
      <c r="E24547">
        <v>117</v>
      </c>
      <c r="F24547">
        <v>81</v>
      </c>
      <c r="G24547">
        <v>10</v>
      </c>
      <c r="H24547">
        <v>51</v>
      </c>
      <c r="I24547">
        <v>157</v>
      </c>
      <c r="J24547">
        <v>1</v>
      </c>
      <c r="K24547">
        <v>139</v>
      </c>
      <c r="L24547">
        <v>255</v>
      </c>
      <c r="M24547">
        <v>1</v>
      </c>
      <c r="N24547">
        <v>3.7144300000000003E-7</v>
      </c>
      <c r="O24547">
        <v>121</v>
      </c>
    </row>
    <row r="24548" spans="1:15" x14ac:dyDescent="0.25">
      <c r="A24548" t="s">
        <v>24561</v>
      </c>
      <c r="B24548">
        <v>441</v>
      </c>
      <c r="C24548" s="1" t="str">
        <f>HYPERLINK("http://www.rosaceae.org/gb/gbrowse/malus_x_domestica/?name=MDP0000155259","MDP0000155259")</f>
        <v>MDP0000155259</v>
      </c>
      <c r="D24548">
        <v>69.489999999999995</v>
      </c>
      <c r="E24548">
        <v>377</v>
      </c>
      <c r="F24548">
        <v>115</v>
      </c>
      <c r="G24548">
        <v>14</v>
      </c>
      <c r="H24548">
        <v>66</v>
      </c>
      <c r="I24548">
        <v>441</v>
      </c>
      <c r="J24548">
        <v>1</v>
      </c>
      <c r="K24548">
        <v>1</v>
      </c>
      <c r="L24548">
        <v>364</v>
      </c>
      <c r="M24548">
        <v>1</v>
      </c>
      <c r="N24548">
        <v>4.9176199999999998E-148</v>
      </c>
      <c r="O24548">
        <v>1343</v>
      </c>
    </row>
    <row r="24549" spans="1:15" x14ac:dyDescent="0.25">
      <c r="A24549" t="s">
        <v>24562</v>
      </c>
      <c r="B24549">
        <v>445</v>
      </c>
      <c r="C24549" s="1" t="str">
        <f>HYPERLINK("http://www.rosaceae.org/gb/gbrowse/malus_x_domestica/?name=MDP0000181027","MDP0000181027")</f>
        <v>MDP0000181027</v>
      </c>
      <c r="D24549">
        <v>79.849999999999994</v>
      </c>
      <c r="E24549">
        <v>412</v>
      </c>
      <c r="F24549">
        <v>83</v>
      </c>
      <c r="G24549">
        <v>4</v>
      </c>
      <c r="H24549">
        <v>33</v>
      </c>
      <c r="I24549">
        <v>444</v>
      </c>
      <c r="J24549">
        <v>1</v>
      </c>
      <c r="K24549">
        <v>29</v>
      </c>
      <c r="L24549">
        <v>436</v>
      </c>
      <c r="M24549">
        <v>1</v>
      </c>
      <c r="N24549">
        <v>0</v>
      </c>
      <c r="O24549">
        <v>1728</v>
      </c>
    </row>
    <row r="24550" spans="1:15" x14ac:dyDescent="0.25">
      <c r="A24550" t="s">
        <v>24563</v>
      </c>
      <c r="B24550">
        <v>579</v>
      </c>
      <c r="C24550" s="1" t="str">
        <f>HYPERLINK("http://www.rosaceae.org/gb/gbrowse/malus_x_domestica/?name=MDP0000500503","MDP0000500503")</f>
        <v>MDP0000500503</v>
      </c>
      <c r="D24550">
        <v>53.89</v>
      </c>
      <c r="E24550">
        <v>154</v>
      </c>
      <c r="F24550">
        <v>71</v>
      </c>
      <c r="G24550">
        <v>2</v>
      </c>
      <c r="H24550">
        <v>81</v>
      </c>
      <c r="I24550">
        <v>234</v>
      </c>
      <c r="J24550">
        <v>1</v>
      </c>
      <c r="K24550">
        <v>11</v>
      </c>
      <c r="L24550">
        <v>162</v>
      </c>
      <c r="M24550">
        <v>1</v>
      </c>
      <c r="N24550">
        <v>1.9923899999999999E-42</v>
      </c>
      <c r="O24550">
        <v>433</v>
      </c>
    </row>
    <row r="24551" spans="1:15" x14ac:dyDescent="0.25">
      <c r="A24551" t="s">
        <v>24564</v>
      </c>
      <c r="B24551">
        <v>179</v>
      </c>
      <c r="C24551" s="1" t="str">
        <f>HYPERLINK("http://www.rosaceae.org/gb/gbrowse/malus_x_domestica/?name=MDP0000132736","MDP0000132736")</f>
        <v>MDP0000132736</v>
      </c>
      <c r="D24551">
        <v>71.89</v>
      </c>
      <c r="E24551">
        <v>185</v>
      </c>
      <c r="F24551">
        <v>52</v>
      </c>
      <c r="G24551">
        <v>7</v>
      </c>
      <c r="H24551">
        <v>1</v>
      </c>
      <c r="I24551">
        <v>179</v>
      </c>
      <c r="J24551">
        <v>1</v>
      </c>
      <c r="K24551">
        <v>19</v>
      </c>
      <c r="L24551">
        <v>202</v>
      </c>
      <c r="M24551">
        <v>1</v>
      </c>
      <c r="N24551">
        <v>2.3966500000000002E-69</v>
      </c>
      <c r="O24551">
        <v>659</v>
      </c>
    </row>
    <row r="24552" spans="1:15" x14ac:dyDescent="0.25">
      <c r="A24552" t="s">
        <v>24565</v>
      </c>
      <c r="B24552">
        <v>138</v>
      </c>
      <c r="C24552" s="1" t="str">
        <f>HYPERLINK("http://www.rosaceae.org/gb/gbrowse/malus_x_domestica/?name=MDP0000265164","MDP0000265164")</f>
        <v>MDP0000265164</v>
      </c>
      <c r="D24552">
        <v>48.95</v>
      </c>
      <c r="E24552">
        <v>143</v>
      </c>
      <c r="F24552">
        <v>73</v>
      </c>
      <c r="G24552">
        <v>18</v>
      </c>
      <c r="H24552">
        <v>6</v>
      </c>
      <c r="I24552">
        <v>136</v>
      </c>
      <c r="J24552">
        <v>1</v>
      </c>
      <c r="K24552">
        <v>617</v>
      </c>
      <c r="L24552">
        <v>753</v>
      </c>
      <c r="M24552">
        <v>1</v>
      </c>
      <c r="N24552">
        <v>2.36574E-22</v>
      </c>
      <c r="O24552">
        <v>251</v>
      </c>
    </row>
    <row r="24553" spans="1:15" x14ac:dyDescent="0.25">
      <c r="A24553" t="s">
        <v>24566</v>
      </c>
      <c r="B24553">
        <v>192</v>
      </c>
      <c r="C24553" s="1" t="str">
        <f>HYPERLINK("http://www.rosaceae.org/gb/gbrowse/malus_x_domestica/?name=MDP0000463035","MDP0000463035")</f>
        <v>MDP0000463035</v>
      </c>
      <c r="D24553">
        <v>71.180000000000007</v>
      </c>
      <c r="E24553">
        <v>177</v>
      </c>
      <c r="F24553">
        <v>51</v>
      </c>
      <c r="G24553">
        <v>1</v>
      </c>
      <c r="H24553">
        <v>1</v>
      </c>
      <c r="I24553">
        <v>176</v>
      </c>
      <c r="J24553">
        <v>1</v>
      </c>
      <c r="K24553">
        <v>1</v>
      </c>
      <c r="L24553">
        <v>177</v>
      </c>
      <c r="M24553">
        <v>1</v>
      </c>
      <c r="N24553">
        <v>2.4553E-70</v>
      </c>
      <c r="O24553">
        <v>668</v>
      </c>
    </row>
    <row r="24554" spans="1:15" x14ac:dyDescent="0.25">
      <c r="A24554" t="s">
        <v>24567</v>
      </c>
      <c r="B24554">
        <v>327</v>
      </c>
      <c r="C24554" s="1" t="str">
        <f>HYPERLINK("http://www.rosaceae.org/gb/gbrowse/malus_x_domestica/?name=MDP0000630084","MDP0000630084")</f>
        <v>MDP0000630084</v>
      </c>
      <c r="D24554">
        <v>94.01</v>
      </c>
      <c r="E24554">
        <v>284</v>
      </c>
      <c r="F24554">
        <v>17</v>
      </c>
      <c r="G24554">
        <v>0</v>
      </c>
      <c r="H24554">
        <v>44</v>
      </c>
      <c r="I24554">
        <v>327</v>
      </c>
      <c r="J24554">
        <v>1</v>
      </c>
      <c r="K24554">
        <v>1</v>
      </c>
      <c r="L24554">
        <v>284</v>
      </c>
      <c r="M24554">
        <v>1</v>
      </c>
      <c r="N24554">
        <v>1.3004300000000001E-158</v>
      </c>
      <c r="O24554">
        <v>1432</v>
      </c>
    </row>
    <row r="24555" spans="1:15" x14ac:dyDescent="0.25">
      <c r="A24555" t="s">
        <v>24568</v>
      </c>
      <c r="B24555">
        <v>256</v>
      </c>
      <c r="C24555" s="1" t="str">
        <f>HYPERLINK("http://www.rosaceae.org/gb/gbrowse/malus_x_domestica/?name=MDP0000237605","MDP0000237605")</f>
        <v>MDP0000237605</v>
      </c>
      <c r="D24555">
        <v>68.959999999999994</v>
      </c>
      <c r="E24555">
        <v>116</v>
      </c>
      <c r="F24555">
        <v>36</v>
      </c>
      <c r="G24555">
        <v>6</v>
      </c>
      <c r="H24555">
        <v>129</v>
      </c>
      <c r="I24555">
        <v>239</v>
      </c>
      <c r="J24555">
        <v>1</v>
      </c>
      <c r="K24555">
        <v>542</v>
      </c>
      <c r="L24555">
        <v>656</v>
      </c>
      <c r="M24555">
        <v>1</v>
      </c>
      <c r="N24555">
        <v>8.4980700000000005E-36</v>
      </c>
      <c r="O24555">
        <v>372</v>
      </c>
    </row>
    <row r="24556" spans="1:15" x14ac:dyDescent="0.25">
      <c r="A24556" t="s">
        <v>24569</v>
      </c>
      <c r="B24556">
        <v>279</v>
      </c>
      <c r="C24556" s="1" t="str">
        <f>HYPERLINK("http://www.rosaceae.org/gb/gbrowse/malus_x_domestica/?name=MDP0000277510","MDP0000277510")</f>
        <v>MDP0000277510</v>
      </c>
      <c r="D24556">
        <v>56.25</v>
      </c>
      <c r="E24556">
        <v>160</v>
      </c>
      <c r="F24556">
        <v>70</v>
      </c>
      <c r="G24556">
        <v>10</v>
      </c>
      <c r="H24556">
        <v>111</v>
      </c>
      <c r="I24556">
        <v>260</v>
      </c>
      <c r="J24556">
        <v>1</v>
      </c>
      <c r="K24556">
        <v>7</v>
      </c>
      <c r="L24556">
        <v>166</v>
      </c>
      <c r="M24556">
        <v>1</v>
      </c>
      <c r="N24556">
        <v>6.3539399999999996E-45</v>
      </c>
      <c r="O24556">
        <v>451</v>
      </c>
    </row>
    <row r="24557" spans="1:15" x14ac:dyDescent="0.25">
      <c r="A24557" t="s">
        <v>24570</v>
      </c>
      <c r="B24557">
        <v>418</v>
      </c>
      <c r="C24557" s="1" t="str">
        <f>HYPERLINK("http://www.rosaceae.org/gb/gbrowse/malus_x_domestica/?name=MDP0000218244","MDP0000218244")</f>
        <v>MDP0000218244</v>
      </c>
      <c r="D24557">
        <v>75.59</v>
      </c>
      <c r="E24557">
        <v>381</v>
      </c>
      <c r="F24557">
        <v>93</v>
      </c>
      <c r="G24557">
        <v>2</v>
      </c>
      <c r="H24557">
        <v>37</v>
      </c>
      <c r="I24557">
        <v>417</v>
      </c>
      <c r="J24557">
        <v>1</v>
      </c>
      <c r="K24557">
        <v>140</v>
      </c>
      <c r="L24557">
        <v>518</v>
      </c>
      <c r="M24557">
        <v>1</v>
      </c>
      <c r="N24557">
        <v>1.5477500000000001E-172</v>
      </c>
      <c r="O24557">
        <v>1554</v>
      </c>
    </row>
    <row r="24558" spans="1:15" x14ac:dyDescent="0.25">
      <c r="A24558" t="s">
        <v>24571</v>
      </c>
      <c r="B24558">
        <v>370</v>
      </c>
      <c r="C24558" s="1" t="str">
        <f>HYPERLINK("http://www.rosaceae.org/gb/gbrowse/malus_x_domestica/?name=MDP0000230768","MDP0000230768")</f>
        <v>MDP0000230768</v>
      </c>
      <c r="D24558">
        <v>68.2</v>
      </c>
      <c r="E24558">
        <v>390</v>
      </c>
      <c r="F24558">
        <v>124</v>
      </c>
      <c r="G24558">
        <v>20</v>
      </c>
      <c r="H24558">
        <v>1</v>
      </c>
      <c r="I24558">
        <v>370</v>
      </c>
      <c r="J24558">
        <v>1</v>
      </c>
      <c r="K24558">
        <v>1</v>
      </c>
      <c r="L24558">
        <v>390</v>
      </c>
      <c r="M24558">
        <v>1</v>
      </c>
      <c r="N24558">
        <v>4.3980400000000001E-135</v>
      </c>
      <c r="O24558">
        <v>1230</v>
      </c>
    </row>
    <row r="24559" spans="1:15" x14ac:dyDescent="0.25">
      <c r="A24559" t="s">
        <v>24572</v>
      </c>
      <c r="B24559">
        <v>491</v>
      </c>
      <c r="C24559" s="1" t="str">
        <f>HYPERLINK("http://www.rosaceae.org/gb/gbrowse/malus_x_domestica/?name=MDP0000325761","MDP0000325761")</f>
        <v>MDP0000325761</v>
      </c>
      <c r="D24559">
        <v>72.78</v>
      </c>
      <c r="E24559">
        <v>474</v>
      </c>
      <c r="F24559">
        <v>129</v>
      </c>
      <c r="G24559">
        <v>1</v>
      </c>
      <c r="H24559">
        <v>1</v>
      </c>
      <c r="I24559">
        <v>474</v>
      </c>
      <c r="J24559">
        <v>1</v>
      </c>
      <c r="K24559">
        <v>1</v>
      </c>
      <c r="L24559">
        <v>473</v>
      </c>
      <c r="M24559">
        <v>1</v>
      </c>
      <c r="N24559">
        <v>0</v>
      </c>
      <c r="O24559">
        <v>1833</v>
      </c>
    </row>
    <row r="24560" spans="1:15" x14ac:dyDescent="0.25">
      <c r="A24560" t="s">
        <v>24573</v>
      </c>
      <c r="B24560">
        <v>302</v>
      </c>
      <c r="C24560" s="1" t="str">
        <f>HYPERLINK("http://www.rosaceae.org/gb/gbrowse/malus_x_domestica/?name=MDP0000177779","MDP0000177779")</f>
        <v>MDP0000177779</v>
      </c>
      <c r="D24560">
        <v>24.61</v>
      </c>
      <c r="E24560">
        <v>321</v>
      </c>
      <c r="F24560">
        <v>242</v>
      </c>
      <c r="G24560">
        <v>41</v>
      </c>
      <c r="H24560">
        <v>8</v>
      </c>
      <c r="I24560">
        <v>289</v>
      </c>
      <c r="J24560">
        <v>1</v>
      </c>
      <c r="K24560">
        <v>4</v>
      </c>
      <c r="L24560">
        <v>322</v>
      </c>
      <c r="M24560">
        <v>1</v>
      </c>
      <c r="N24560">
        <v>1.3995299999999999E-14</v>
      </c>
      <c r="O24560">
        <v>190</v>
      </c>
    </row>
    <row r="24561" spans="1:15" x14ac:dyDescent="0.25">
      <c r="A24561" t="s">
        <v>24574</v>
      </c>
      <c r="B24561">
        <v>874</v>
      </c>
      <c r="C24561" s="1" t="str">
        <f>HYPERLINK("http://www.rosaceae.org/gb/gbrowse/malus_x_domestica/?name=MDP0000157225","MDP0000157225")</f>
        <v>MDP0000157225</v>
      </c>
      <c r="D24561">
        <v>49.87</v>
      </c>
      <c r="E24561">
        <v>788</v>
      </c>
      <c r="F24561">
        <v>395</v>
      </c>
      <c r="G24561">
        <v>29</v>
      </c>
      <c r="H24561">
        <v>2</v>
      </c>
      <c r="I24561">
        <v>774</v>
      </c>
      <c r="J24561">
        <v>1</v>
      </c>
      <c r="K24561">
        <v>3</v>
      </c>
      <c r="L24561">
        <v>776</v>
      </c>
      <c r="M24561">
        <v>1</v>
      </c>
      <c r="N24561">
        <v>0</v>
      </c>
      <c r="O24561">
        <v>1750</v>
      </c>
    </row>
    <row r="24562" spans="1:15" x14ac:dyDescent="0.25">
      <c r="A24562" t="s">
        <v>24575</v>
      </c>
      <c r="B24562">
        <v>734</v>
      </c>
      <c r="C24562" s="1" t="str">
        <f>HYPERLINK("http://www.rosaceae.org/gb/gbrowse/malus_x_domestica/?name=MDP0000251332","MDP0000251332")</f>
        <v>MDP0000251332</v>
      </c>
      <c r="D24562">
        <v>71.47</v>
      </c>
      <c r="E24562">
        <v>340</v>
      </c>
      <c r="F24562">
        <v>97</v>
      </c>
      <c r="G24562">
        <v>10</v>
      </c>
      <c r="H24562">
        <v>400</v>
      </c>
      <c r="I24562">
        <v>732</v>
      </c>
      <c r="J24562">
        <v>1</v>
      </c>
      <c r="K24562">
        <v>48</v>
      </c>
      <c r="L24562">
        <v>384</v>
      </c>
      <c r="M24562">
        <v>1</v>
      </c>
      <c r="N24562">
        <v>4.7769200000000001E-130</v>
      </c>
      <c r="O24562">
        <v>1190</v>
      </c>
    </row>
    <row r="24563" spans="1:15" x14ac:dyDescent="0.25">
      <c r="A24563" t="s">
        <v>24576</v>
      </c>
      <c r="B24563">
        <v>1109</v>
      </c>
      <c r="C24563" s="1" t="str">
        <f>HYPERLINK("http://www.rosaceae.org/gb/gbrowse/malus_x_domestica/?name=MDP0000233616","MDP0000233616")</f>
        <v>MDP0000233616</v>
      </c>
      <c r="D24563">
        <v>53.91</v>
      </c>
      <c r="E24563">
        <v>868</v>
      </c>
      <c r="F24563">
        <v>400</v>
      </c>
      <c r="G24563">
        <v>88</v>
      </c>
      <c r="H24563">
        <v>249</v>
      </c>
      <c r="I24563">
        <v>1096</v>
      </c>
      <c r="J24563">
        <v>1</v>
      </c>
      <c r="K24563">
        <v>1</v>
      </c>
      <c r="L24563">
        <v>800</v>
      </c>
      <c r="M24563">
        <v>1</v>
      </c>
      <c r="N24563">
        <v>0</v>
      </c>
      <c r="O24563">
        <v>2071</v>
      </c>
    </row>
    <row r="24564" spans="1:15" x14ac:dyDescent="0.25">
      <c r="A24564" t="s">
        <v>24577</v>
      </c>
      <c r="B24564">
        <v>203</v>
      </c>
      <c r="C24564" s="1" t="str">
        <f>HYPERLINK("http://www.rosaceae.org/gb/gbrowse/malus_x_domestica/?name=MDP0000257010","MDP0000257010")</f>
        <v>MDP0000257010</v>
      </c>
      <c r="D24564">
        <v>70.61</v>
      </c>
      <c r="E24564">
        <v>194</v>
      </c>
      <c r="F24564">
        <v>57</v>
      </c>
      <c r="G24564">
        <v>0</v>
      </c>
      <c r="H24564">
        <v>10</v>
      </c>
      <c r="I24564">
        <v>203</v>
      </c>
      <c r="J24564">
        <v>1</v>
      </c>
      <c r="K24564">
        <v>4</v>
      </c>
      <c r="L24564">
        <v>197</v>
      </c>
      <c r="M24564">
        <v>1</v>
      </c>
      <c r="N24564">
        <v>2.7599999999999998E-77</v>
      </c>
      <c r="O24564">
        <v>728</v>
      </c>
    </row>
    <row r="24565" spans="1:15" x14ac:dyDescent="0.25">
      <c r="A24565" t="s">
        <v>24578</v>
      </c>
      <c r="B24565">
        <v>1680</v>
      </c>
      <c r="C24565" s="1" t="str">
        <f>HYPERLINK("http://www.rosaceae.org/gb/gbrowse/malus_x_domestica/?name=MDP0000292294","MDP0000292294")</f>
        <v>MDP0000292294</v>
      </c>
      <c r="D24565">
        <v>58.05</v>
      </c>
      <c r="E24565">
        <v>1123</v>
      </c>
      <c r="F24565">
        <v>471</v>
      </c>
      <c r="G24565">
        <v>76</v>
      </c>
      <c r="H24565">
        <v>24</v>
      </c>
      <c r="I24565">
        <v>1123</v>
      </c>
      <c r="J24565">
        <v>1</v>
      </c>
      <c r="K24565">
        <v>31</v>
      </c>
      <c r="L24565">
        <v>1100</v>
      </c>
      <c r="M24565">
        <v>1</v>
      </c>
      <c r="N24565">
        <v>0</v>
      </c>
      <c r="O24565">
        <v>3154</v>
      </c>
    </row>
    <row r="24566" spans="1:15" x14ac:dyDescent="0.25">
      <c r="A24566" t="s">
        <v>24579</v>
      </c>
      <c r="B24566">
        <v>106</v>
      </c>
      <c r="C24566" s="1" t="str">
        <f>HYPERLINK("http://www.rosaceae.org/gb/gbrowse/malus_x_domestica/?name=MDP0000214748","MDP0000214748")</f>
        <v>MDP0000214748</v>
      </c>
      <c r="D24566">
        <v>35.549999999999997</v>
      </c>
      <c r="E24566">
        <v>90</v>
      </c>
      <c r="F24566">
        <v>58</v>
      </c>
      <c r="G24566">
        <v>23</v>
      </c>
      <c r="H24566">
        <v>28</v>
      </c>
      <c r="I24566">
        <v>106</v>
      </c>
      <c r="J24566">
        <v>1</v>
      </c>
      <c r="K24566">
        <v>50</v>
      </c>
      <c r="L24566">
        <v>127</v>
      </c>
      <c r="M24566">
        <v>1</v>
      </c>
      <c r="N24566">
        <v>4.9028399999999997E-7</v>
      </c>
      <c r="O24566">
        <v>118</v>
      </c>
    </row>
    <row r="24567" spans="1:15" x14ac:dyDescent="0.25">
      <c r="A24567" t="s">
        <v>24580</v>
      </c>
      <c r="B24567">
        <v>381</v>
      </c>
      <c r="C24567" s="1" t="str">
        <f>HYPERLINK("http://www.rosaceae.org/gb/gbrowse/malus_x_domestica/?name=MDP0000136463","MDP0000136463")</f>
        <v>MDP0000136463</v>
      </c>
      <c r="D24567">
        <v>44.08</v>
      </c>
      <c r="E24567">
        <v>406</v>
      </c>
      <c r="F24567">
        <v>227</v>
      </c>
      <c r="G24567">
        <v>31</v>
      </c>
      <c r="H24567">
        <v>1</v>
      </c>
      <c r="I24567">
        <v>380</v>
      </c>
      <c r="J24567">
        <v>1</v>
      </c>
      <c r="K24567">
        <v>1</v>
      </c>
      <c r="L24567">
        <v>401</v>
      </c>
      <c r="M24567">
        <v>1</v>
      </c>
      <c r="N24567">
        <v>1.3561300000000001E-74</v>
      </c>
      <c r="O24567">
        <v>708</v>
      </c>
    </row>
    <row r="24568" spans="1:15" x14ac:dyDescent="0.25">
      <c r="A24568" t="s">
        <v>24581</v>
      </c>
      <c r="B24568">
        <v>530</v>
      </c>
      <c r="C24568" s="1" t="str">
        <f>HYPERLINK("http://www.rosaceae.org/gb/gbrowse/malus_x_domestica/?name=MDP0000303653","MDP0000303653")</f>
        <v>MDP0000303653</v>
      </c>
      <c r="D24568">
        <v>79.53</v>
      </c>
      <c r="E24568">
        <v>303</v>
      </c>
      <c r="F24568">
        <v>62</v>
      </c>
      <c r="G24568">
        <v>11</v>
      </c>
      <c r="H24568">
        <v>235</v>
      </c>
      <c r="I24568">
        <v>526</v>
      </c>
      <c r="J24568">
        <v>1</v>
      </c>
      <c r="K24568">
        <v>359</v>
      </c>
      <c r="L24568">
        <v>661</v>
      </c>
      <c r="M24568">
        <v>1</v>
      </c>
      <c r="N24568">
        <v>7.5146199999999997E-141</v>
      </c>
      <c r="O24568">
        <v>1281</v>
      </c>
    </row>
    <row r="24569" spans="1:15" x14ac:dyDescent="0.25">
      <c r="A24569" t="s">
        <v>24582</v>
      </c>
      <c r="B24569">
        <v>739</v>
      </c>
      <c r="C24569" s="1" t="str">
        <f>HYPERLINK("http://www.rosaceae.org/gb/gbrowse/malus_x_domestica/?name=MDP0000175405","MDP0000175405")</f>
        <v>MDP0000175405</v>
      </c>
      <c r="D24569">
        <v>82.59</v>
      </c>
      <c r="E24569">
        <v>339</v>
      </c>
      <c r="F24569">
        <v>59</v>
      </c>
      <c r="G24569">
        <v>4</v>
      </c>
      <c r="H24569">
        <v>1</v>
      </c>
      <c r="I24569">
        <v>335</v>
      </c>
      <c r="J24569">
        <v>1</v>
      </c>
      <c r="K24569">
        <v>1</v>
      </c>
      <c r="L24569">
        <v>339</v>
      </c>
      <c r="M24569">
        <v>1</v>
      </c>
      <c r="N24569">
        <v>8.9842899999999997E-166</v>
      </c>
      <c r="O24569">
        <v>1498</v>
      </c>
    </row>
    <row r="24570" spans="1:15" x14ac:dyDescent="0.25">
      <c r="A24570" t="s">
        <v>24583</v>
      </c>
      <c r="B24570">
        <v>590</v>
      </c>
      <c r="C24570" s="1" t="str">
        <f>HYPERLINK("http://www.rosaceae.org/gb/gbrowse/malus_x_domestica/?name=MDP0000120008","MDP0000120008")</f>
        <v>MDP0000120008</v>
      </c>
      <c r="D24570">
        <v>82.57</v>
      </c>
      <c r="E24570">
        <v>591</v>
      </c>
      <c r="F24570">
        <v>103</v>
      </c>
      <c r="G24570">
        <v>1</v>
      </c>
      <c r="H24570">
        <v>1</v>
      </c>
      <c r="I24570">
        <v>590</v>
      </c>
      <c r="J24570">
        <v>1</v>
      </c>
      <c r="K24570">
        <v>1</v>
      </c>
      <c r="L24570">
        <v>591</v>
      </c>
      <c r="M24570">
        <v>1</v>
      </c>
      <c r="N24570">
        <v>0</v>
      </c>
      <c r="O24570">
        <v>2611</v>
      </c>
    </row>
    <row r="24571" spans="1:15" x14ac:dyDescent="0.25">
      <c r="A24571" t="s">
        <v>24584</v>
      </c>
      <c r="B24571">
        <v>433</v>
      </c>
      <c r="C24571" s="1" t="str">
        <f>HYPERLINK("http://www.rosaceae.org/gb/gbrowse/malus_x_domestica/?name=MDP0000216956","MDP0000216956")</f>
        <v>MDP0000216956</v>
      </c>
      <c r="D24571">
        <v>50.64</v>
      </c>
      <c r="E24571">
        <v>77</v>
      </c>
      <c r="F24571">
        <v>38</v>
      </c>
      <c r="G24571">
        <v>10</v>
      </c>
      <c r="H24571">
        <v>161</v>
      </c>
      <c r="I24571">
        <v>228</v>
      </c>
      <c r="J24571">
        <v>1</v>
      </c>
      <c r="K24571">
        <v>167</v>
      </c>
      <c r="L24571">
        <v>242</v>
      </c>
      <c r="M24571">
        <v>1</v>
      </c>
      <c r="N24571">
        <v>2.4303999999999998E-15</v>
      </c>
      <c r="O24571">
        <v>198</v>
      </c>
    </row>
    <row r="24572" spans="1:15" x14ac:dyDescent="0.25">
      <c r="A24572" t="s">
        <v>24585</v>
      </c>
      <c r="B24572">
        <v>96</v>
      </c>
      <c r="C24572" s="1" t="str">
        <f>HYPERLINK("http://www.rosaceae.org/gb/gbrowse/malus_x_domestica/?name=MDP0000360515","MDP0000360515")</f>
        <v>MDP0000360515</v>
      </c>
      <c r="D24572">
        <v>49.29</v>
      </c>
      <c r="E24572">
        <v>71</v>
      </c>
      <c r="F24572">
        <v>36</v>
      </c>
      <c r="G24572">
        <v>5</v>
      </c>
      <c r="H24572">
        <v>1</v>
      </c>
      <c r="I24572">
        <v>71</v>
      </c>
      <c r="J24572">
        <v>1</v>
      </c>
      <c r="K24572">
        <v>122</v>
      </c>
      <c r="L24572">
        <v>187</v>
      </c>
      <c r="M24572">
        <v>1</v>
      </c>
      <c r="N24572">
        <v>3.6157599999999999E-11</v>
      </c>
      <c r="O24572">
        <v>154</v>
      </c>
    </row>
    <row r="24573" spans="1:15" x14ac:dyDescent="0.25">
      <c r="A24573" t="s">
        <v>24586</v>
      </c>
      <c r="B24573">
        <v>454</v>
      </c>
      <c r="C24573" s="1" t="str">
        <f>HYPERLINK("http://www.rosaceae.org/gb/gbrowse/malus_x_domestica/?name=MDP0000212290","MDP0000212290")</f>
        <v>MDP0000212290</v>
      </c>
      <c r="D24573">
        <v>31.12</v>
      </c>
      <c r="E24573">
        <v>437</v>
      </c>
      <c r="F24573">
        <v>301</v>
      </c>
      <c r="G24573">
        <v>41</v>
      </c>
      <c r="H24573">
        <v>6</v>
      </c>
      <c r="I24573">
        <v>404</v>
      </c>
      <c r="J24573">
        <v>1</v>
      </c>
      <c r="K24573">
        <v>6</v>
      </c>
      <c r="L24573">
        <v>439</v>
      </c>
      <c r="M24573">
        <v>1</v>
      </c>
      <c r="N24573">
        <v>1.3145399999999999E-53</v>
      </c>
      <c r="O24573">
        <v>528</v>
      </c>
    </row>
    <row r="24574" spans="1:15" x14ac:dyDescent="0.25">
      <c r="A24574" t="s">
        <v>24587</v>
      </c>
      <c r="B24574">
        <v>282</v>
      </c>
      <c r="C24574" s="1" t="str">
        <f>HYPERLINK("http://www.rosaceae.org/gb/gbrowse/malus_x_domestica/?name=MDP0000816743","MDP0000816743")</f>
        <v>MDP0000816743</v>
      </c>
      <c r="D24574">
        <v>37.18</v>
      </c>
      <c r="E24574">
        <v>199</v>
      </c>
      <c r="F24574">
        <v>125</v>
      </c>
      <c r="G24574">
        <v>10</v>
      </c>
      <c r="H24574">
        <v>6</v>
      </c>
      <c r="I24574">
        <v>197</v>
      </c>
      <c r="J24574">
        <v>1</v>
      </c>
      <c r="K24574">
        <v>19</v>
      </c>
      <c r="L24574">
        <v>214</v>
      </c>
      <c r="M24574">
        <v>1</v>
      </c>
      <c r="N24574">
        <v>1.13472E-30</v>
      </c>
      <c r="O24574">
        <v>328</v>
      </c>
    </row>
    <row r="24575" spans="1:15" x14ac:dyDescent="0.25">
      <c r="A24575" t="s">
        <v>24588</v>
      </c>
      <c r="B24575">
        <v>455</v>
      </c>
      <c r="C24575" s="1" t="str">
        <f>HYPERLINK("http://www.rosaceae.org/gb/gbrowse/malus_x_domestica/?name=MDP0000302984","MDP0000302984")</f>
        <v>MDP0000302984</v>
      </c>
      <c r="D24575">
        <v>34.57</v>
      </c>
      <c r="E24575">
        <v>214</v>
      </c>
      <c r="F24575">
        <v>140</v>
      </c>
      <c r="G24575">
        <v>5</v>
      </c>
      <c r="H24575">
        <v>243</v>
      </c>
      <c r="I24575">
        <v>455</v>
      </c>
      <c r="J24575">
        <v>1</v>
      </c>
      <c r="K24575">
        <v>509</v>
      </c>
      <c r="L24575">
        <v>718</v>
      </c>
      <c r="M24575">
        <v>1</v>
      </c>
      <c r="N24575">
        <v>5.8100399999999999E-31</v>
      </c>
      <c r="O24575">
        <v>333</v>
      </c>
    </row>
    <row r="24576" spans="1:15" x14ac:dyDescent="0.25">
      <c r="A24576" t="s">
        <v>24589</v>
      </c>
      <c r="B24576">
        <v>465</v>
      </c>
      <c r="C24576" s="1" t="str">
        <f>HYPERLINK("http://www.rosaceae.org/gb/gbrowse/malus_x_domestica/?name=MDP0000274560","MDP0000274560")</f>
        <v>MDP0000274560</v>
      </c>
      <c r="D24576">
        <v>72.03</v>
      </c>
      <c r="E24576">
        <v>354</v>
      </c>
      <c r="F24576">
        <v>99</v>
      </c>
      <c r="G24576">
        <v>17</v>
      </c>
      <c r="H24576">
        <v>90</v>
      </c>
      <c r="I24576">
        <v>427</v>
      </c>
      <c r="J24576">
        <v>1</v>
      </c>
      <c r="K24576">
        <v>123</v>
      </c>
      <c r="L24576">
        <v>475</v>
      </c>
      <c r="M24576">
        <v>1</v>
      </c>
      <c r="N24576">
        <v>3.6272999999999999E-142</v>
      </c>
      <c r="O24576">
        <v>1292</v>
      </c>
    </row>
    <row r="24577" spans="1:15" x14ac:dyDescent="0.25">
      <c r="A24577" t="s">
        <v>24590</v>
      </c>
      <c r="B24577">
        <v>198</v>
      </c>
      <c r="C24577" s="1" t="str">
        <f>HYPERLINK("http://www.rosaceae.org/gb/gbrowse/malus_x_domestica/?name=MDP0000128263","MDP0000128263")</f>
        <v>MDP0000128263</v>
      </c>
      <c r="D24577">
        <v>65.06</v>
      </c>
      <c r="E24577">
        <v>83</v>
      </c>
      <c r="F24577">
        <v>29</v>
      </c>
      <c r="G24577">
        <v>1</v>
      </c>
      <c r="H24577">
        <v>41</v>
      </c>
      <c r="I24577">
        <v>122</v>
      </c>
      <c r="J24577">
        <v>1</v>
      </c>
      <c r="K24577">
        <v>23</v>
      </c>
      <c r="L24577">
        <v>105</v>
      </c>
      <c r="M24577">
        <v>1</v>
      </c>
      <c r="N24577">
        <v>7.4490499999999995E-24</v>
      </c>
      <c r="O24577">
        <v>267</v>
      </c>
    </row>
    <row r="24578" spans="1:15" x14ac:dyDescent="0.25">
      <c r="A24578" t="s">
        <v>24591</v>
      </c>
      <c r="B24578">
        <v>224</v>
      </c>
      <c r="C24578" s="1" t="str">
        <f>HYPERLINK("http://www.rosaceae.org/gb/gbrowse/malus_x_domestica/?name=MDP0000316899","MDP0000316899")</f>
        <v>MDP0000316899</v>
      </c>
      <c r="D24578">
        <v>46.26</v>
      </c>
      <c r="E24578">
        <v>67</v>
      </c>
      <c r="F24578">
        <v>36</v>
      </c>
      <c r="G24578">
        <v>0</v>
      </c>
      <c r="H24578">
        <v>48</v>
      </c>
      <c r="I24578">
        <v>114</v>
      </c>
      <c r="J24578">
        <v>1</v>
      </c>
      <c r="K24578">
        <v>396</v>
      </c>
      <c r="L24578">
        <v>462</v>
      </c>
      <c r="M24578">
        <v>1</v>
      </c>
      <c r="N24578">
        <v>1.1424E-13</v>
      </c>
      <c r="O24578">
        <v>180</v>
      </c>
    </row>
    <row r="24579" spans="1:15" x14ac:dyDescent="0.25">
      <c r="A24579" t="s">
        <v>24592</v>
      </c>
      <c r="B24579">
        <v>817</v>
      </c>
      <c r="C24579" s="1" t="str">
        <f>HYPERLINK("http://www.rosaceae.org/gb/gbrowse/malus_x_domestica/?name=MDP0000157225","MDP0000157225")</f>
        <v>MDP0000157225</v>
      </c>
      <c r="D24579">
        <v>52.07</v>
      </c>
      <c r="E24579">
        <v>795</v>
      </c>
      <c r="F24579">
        <v>381</v>
      </c>
      <c r="G24579">
        <v>56</v>
      </c>
      <c r="H24579">
        <v>15</v>
      </c>
      <c r="I24579">
        <v>768</v>
      </c>
      <c r="J24579">
        <v>1</v>
      </c>
      <c r="K24579">
        <v>9</v>
      </c>
      <c r="L24579">
        <v>788</v>
      </c>
      <c r="M24579">
        <v>1</v>
      </c>
      <c r="N24579">
        <v>0</v>
      </c>
      <c r="O24579">
        <v>1885</v>
      </c>
    </row>
    <row r="24580" spans="1:15" x14ac:dyDescent="0.25">
      <c r="A24580" t="s">
        <v>24593</v>
      </c>
      <c r="B24580">
        <v>364</v>
      </c>
      <c r="C24580" s="1" t="str">
        <f>HYPERLINK("http://www.rosaceae.org/gb/gbrowse/malus_x_domestica/?name=MDP0000202850","MDP0000202850")</f>
        <v>MDP0000202850</v>
      </c>
      <c r="D24580">
        <v>81.650000000000006</v>
      </c>
      <c r="E24580">
        <v>218</v>
      </c>
      <c r="F24580">
        <v>40</v>
      </c>
      <c r="G24580">
        <v>12</v>
      </c>
      <c r="H24580">
        <v>1</v>
      </c>
      <c r="I24580">
        <v>217</v>
      </c>
      <c r="J24580">
        <v>1</v>
      </c>
      <c r="K24580">
        <v>1</v>
      </c>
      <c r="L24580">
        <v>207</v>
      </c>
      <c r="M24580">
        <v>1</v>
      </c>
      <c r="N24580">
        <v>3.30385E-93</v>
      </c>
      <c r="O24580">
        <v>869</v>
      </c>
    </row>
    <row r="24581" spans="1:15" x14ac:dyDescent="0.25">
      <c r="A24581" t="s">
        <v>24594</v>
      </c>
      <c r="B24581">
        <v>629</v>
      </c>
      <c r="C24581" s="1" t="str">
        <f>HYPERLINK("http://www.rosaceae.org/gb/gbrowse/malus_x_domestica/?name=MDP0000211083","MDP0000211083")</f>
        <v>MDP0000211083</v>
      </c>
      <c r="D24581">
        <v>86.23</v>
      </c>
      <c r="E24581">
        <v>632</v>
      </c>
      <c r="F24581">
        <v>87</v>
      </c>
      <c r="G24581">
        <v>5</v>
      </c>
      <c r="H24581">
        <v>1</v>
      </c>
      <c r="I24581">
        <v>629</v>
      </c>
      <c r="J24581">
        <v>1</v>
      </c>
      <c r="K24581">
        <v>1</v>
      </c>
      <c r="L24581">
        <v>630</v>
      </c>
      <c r="M24581">
        <v>1</v>
      </c>
      <c r="N24581">
        <v>0</v>
      </c>
      <c r="O24581">
        <v>3009</v>
      </c>
    </row>
    <row r="24582" spans="1:15" x14ac:dyDescent="0.25">
      <c r="A24582" t="s">
        <v>24595</v>
      </c>
      <c r="B24582">
        <v>263</v>
      </c>
      <c r="C24582" s="1" t="str">
        <f>HYPERLINK("http://www.rosaceae.org/gb/gbrowse/malus_x_domestica/?name=MDP0000148098","MDP0000148098")</f>
        <v>MDP0000148098</v>
      </c>
      <c r="D24582">
        <v>85.58</v>
      </c>
      <c r="E24582">
        <v>111</v>
      </c>
      <c r="F24582">
        <v>16</v>
      </c>
      <c r="G24582">
        <v>0</v>
      </c>
      <c r="H24582">
        <v>24</v>
      </c>
      <c r="I24582">
        <v>134</v>
      </c>
      <c r="J24582">
        <v>1</v>
      </c>
      <c r="K24582">
        <v>86</v>
      </c>
      <c r="L24582">
        <v>196</v>
      </c>
      <c r="M24582">
        <v>1</v>
      </c>
      <c r="N24582">
        <v>9.6961799999999998E-50</v>
      </c>
      <c r="O24582">
        <v>492</v>
      </c>
    </row>
    <row r="24583" spans="1:15" x14ac:dyDescent="0.25">
      <c r="A24583" t="s">
        <v>24596</v>
      </c>
      <c r="B24583">
        <v>250</v>
      </c>
      <c r="C24583" s="1" t="str">
        <f>HYPERLINK("http://www.rosaceae.org/gb/gbrowse/malus_x_domestica/?name=MDP0000695052","MDP0000695052")</f>
        <v>MDP0000695052</v>
      </c>
      <c r="D24583">
        <v>81.2</v>
      </c>
      <c r="E24583">
        <v>250</v>
      </c>
      <c r="F24583">
        <v>47</v>
      </c>
      <c r="G24583">
        <v>9</v>
      </c>
      <c r="H24583">
        <v>1</v>
      </c>
      <c r="I24583">
        <v>250</v>
      </c>
      <c r="J24583">
        <v>1</v>
      </c>
      <c r="K24583">
        <v>14</v>
      </c>
      <c r="L24583">
        <v>254</v>
      </c>
      <c r="M24583">
        <v>1</v>
      </c>
      <c r="N24583">
        <v>7.0346700000000001E-120</v>
      </c>
      <c r="O24583">
        <v>1097</v>
      </c>
    </row>
    <row r="24584" spans="1:15" x14ac:dyDescent="0.25">
      <c r="A24584" t="s">
        <v>24597</v>
      </c>
      <c r="B24584">
        <v>435</v>
      </c>
      <c r="C24584" s="1" t="str">
        <f>HYPERLINK("http://www.rosaceae.org/gb/gbrowse/malus_x_domestica/?name=MDP0000257151","MDP0000257151")</f>
        <v>MDP0000257151</v>
      </c>
      <c r="D24584">
        <v>69.62</v>
      </c>
      <c r="E24584">
        <v>372</v>
      </c>
      <c r="F24584">
        <v>113</v>
      </c>
      <c r="G24584">
        <v>10</v>
      </c>
      <c r="H24584">
        <v>11</v>
      </c>
      <c r="I24584">
        <v>382</v>
      </c>
      <c r="J24584">
        <v>1</v>
      </c>
      <c r="K24584">
        <v>15</v>
      </c>
      <c r="L24584">
        <v>376</v>
      </c>
      <c r="M24584">
        <v>1</v>
      </c>
      <c r="N24584">
        <v>1.1955300000000001E-152</v>
      </c>
      <c r="O24584">
        <v>1382</v>
      </c>
    </row>
    <row r="24585" spans="1:15" x14ac:dyDescent="0.25">
      <c r="A24585" t="s">
        <v>24598</v>
      </c>
      <c r="B24585">
        <v>109</v>
      </c>
      <c r="C24585" s="1" t="str">
        <f>HYPERLINK("http://www.rosaceae.org/gb/gbrowse/malus_x_domestica/?name=MDP0000848358","MDP0000848358")</f>
        <v>MDP0000848358</v>
      </c>
      <c r="D24585">
        <v>61.4</v>
      </c>
      <c r="E24585">
        <v>57</v>
      </c>
      <c r="F24585">
        <v>22</v>
      </c>
      <c r="G24585">
        <v>2</v>
      </c>
      <c r="H24585">
        <v>1</v>
      </c>
      <c r="I24585">
        <v>57</v>
      </c>
      <c r="J24585">
        <v>1</v>
      </c>
      <c r="K24585">
        <v>1</v>
      </c>
      <c r="L24585">
        <v>55</v>
      </c>
      <c r="M24585">
        <v>1</v>
      </c>
      <c r="N24585">
        <v>3.93277E-13</v>
      </c>
      <c r="O24585">
        <v>171</v>
      </c>
    </row>
    <row r="24586" spans="1:15" x14ac:dyDescent="0.25">
      <c r="A24586" t="s">
        <v>24599</v>
      </c>
      <c r="B24586">
        <v>286</v>
      </c>
      <c r="C24586" s="1" t="str">
        <f>HYPERLINK("http://www.rosaceae.org/gb/gbrowse/malus_x_domestica/?name=MDP0000653461","MDP0000653461")</f>
        <v>MDP0000653461</v>
      </c>
      <c r="D24586">
        <v>94.69</v>
      </c>
      <c r="E24586">
        <v>283</v>
      </c>
      <c r="F24586">
        <v>15</v>
      </c>
      <c r="G24586">
        <v>0</v>
      </c>
      <c r="H24586">
        <v>1</v>
      </c>
      <c r="I24586">
        <v>283</v>
      </c>
      <c r="J24586">
        <v>1</v>
      </c>
      <c r="K24586">
        <v>50</v>
      </c>
      <c r="L24586">
        <v>332</v>
      </c>
      <c r="M24586">
        <v>1</v>
      </c>
      <c r="N24586">
        <v>4.8509700000000001E-160</v>
      </c>
      <c r="O24586">
        <v>1444</v>
      </c>
    </row>
    <row r="24587" spans="1:15" x14ac:dyDescent="0.25">
      <c r="A24587" t="s">
        <v>24600</v>
      </c>
      <c r="B24587">
        <v>455</v>
      </c>
      <c r="C24587" s="1" t="str">
        <f>HYPERLINK("http://www.rosaceae.org/gb/gbrowse/malus_x_domestica/?name=MDP0000169747","MDP0000169747")</f>
        <v>MDP0000169747</v>
      </c>
      <c r="D24587">
        <v>55.84</v>
      </c>
      <c r="E24587">
        <v>462</v>
      </c>
      <c r="F24587">
        <v>204</v>
      </c>
      <c r="G24587">
        <v>10</v>
      </c>
      <c r="H24587">
        <v>1</v>
      </c>
      <c r="I24587">
        <v>455</v>
      </c>
      <c r="J24587">
        <v>1</v>
      </c>
      <c r="K24587">
        <v>1</v>
      </c>
      <c r="L24587">
        <v>459</v>
      </c>
      <c r="M24587">
        <v>1</v>
      </c>
      <c r="N24587">
        <v>1.4216900000000001E-138</v>
      </c>
      <c r="O24587">
        <v>1261</v>
      </c>
    </row>
    <row r="24588" spans="1:15" x14ac:dyDescent="0.25">
      <c r="A24588" t="s">
        <v>24601</v>
      </c>
      <c r="B24588">
        <v>335</v>
      </c>
      <c r="C24588" s="1" t="str">
        <f>HYPERLINK("http://www.rosaceae.org/gb/gbrowse/malus_x_domestica/?name=MDP0000570395","MDP0000570395")</f>
        <v>MDP0000570395</v>
      </c>
      <c r="D24588">
        <v>69.48</v>
      </c>
      <c r="E24588">
        <v>331</v>
      </c>
      <c r="F24588">
        <v>101</v>
      </c>
      <c r="G24588">
        <v>4</v>
      </c>
      <c r="H24588">
        <v>1</v>
      </c>
      <c r="I24588">
        <v>329</v>
      </c>
      <c r="J24588">
        <v>1</v>
      </c>
      <c r="K24588">
        <v>1</v>
      </c>
      <c r="L24588">
        <v>329</v>
      </c>
      <c r="M24588">
        <v>1</v>
      </c>
      <c r="N24588">
        <v>7.2115099999999996E-127</v>
      </c>
      <c r="O24588">
        <v>1159</v>
      </c>
    </row>
    <row r="24589" spans="1:15" x14ac:dyDescent="0.25">
      <c r="A24589" t="s">
        <v>24602</v>
      </c>
      <c r="B24589">
        <v>113</v>
      </c>
      <c r="C24589" s="1" t="str">
        <f>HYPERLINK("http://www.rosaceae.org/gb/gbrowse/malus_x_domestica/?name=MDP0000316612","MDP0000316612")</f>
        <v>MDP0000316612</v>
      </c>
      <c r="D24589">
        <v>55.05</v>
      </c>
      <c r="E24589">
        <v>89</v>
      </c>
      <c r="F24589">
        <v>40</v>
      </c>
      <c r="G24589">
        <v>2</v>
      </c>
      <c r="H24589">
        <v>1</v>
      </c>
      <c r="I24589">
        <v>88</v>
      </c>
      <c r="J24589">
        <v>1</v>
      </c>
      <c r="K24589">
        <v>2</v>
      </c>
      <c r="L24589">
        <v>89</v>
      </c>
      <c r="M24589">
        <v>1</v>
      </c>
      <c r="N24589">
        <v>4.0787900000000001E-19</v>
      </c>
      <c r="O24589">
        <v>222</v>
      </c>
    </row>
    <row r="24590" spans="1:15" x14ac:dyDescent="0.25">
      <c r="A24590" t="s">
        <v>24603</v>
      </c>
      <c r="B24590">
        <v>623</v>
      </c>
      <c r="C24590" s="1" t="str">
        <f>HYPERLINK("http://www.rosaceae.org/gb/gbrowse/malus_x_domestica/?name=MDP0000649880","MDP0000649880")</f>
        <v>MDP0000649880</v>
      </c>
      <c r="D24590">
        <v>77.86</v>
      </c>
      <c r="E24590">
        <v>655</v>
      </c>
      <c r="F24590">
        <v>145</v>
      </c>
      <c r="G24590">
        <v>59</v>
      </c>
      <c r="H24590">
        <v>4</v>
      </c>
      <c r="I24590">
        <v>623</v>
      </c>
      <c r="J24590">
        <v>1</v>
      </c>
      <c r="K24590">
        <v>121</v>
      </c>
      <c r="L24590">
        <v>751</v>
      </c>
      <c r="M24590">
        <v>1</v>
      </c>
      <c r="N24590">
        <v>0</v>
      </c>
      <c r="O24590">
        <v>2597</v>
      </c>
    </row>
    <row r="24591" spans="1:15" x14ac:dyDescent="0.25">
      <c r="A24591" t="s">
        <v>24604</v>
      </c>
      <c r="B24591">
        <v>431</v>
      </c>
      <c r="C24591" s="1" t="str">
        <f>HYPERLINK("http://www.rosaceae.org/gb/gbrowse/malus_x_domestica/?name=MDP0000139493","MDP0000139493")</f>
        <v>MDP0000139493</v>
      </c>
      <c r="D24591">
        <v>81.81</v>
      </c>
      <c r="E24591">
        <v>132</v>
      </c>
      <c r="F24591">
        <v>24</v>
      </c>
      <c r="G24591">
        <v>1</v>
      </c>
      <c r="H24591">
        <v>1</v>
      </c>
      <c r="I24591">
        <v>131</v>
      </c>
      <c r="J24591">
        <v>1</v>
      </c>
      <c r="K24591">
        <v>1</v>
      </c>
      <c r="L24591">
        <v>132</v>
      </c>
      <c r="M24591">
        <v>1</v>
      </c>
      <c r="N24591">
        <v>5.5409900000000001E-58</v>
      </c>
      <c r="O24591">
        <v>566</v>
      </c>
    </row>
    <row r="24592" spans="1:15" x14ac:dyDescent="0.25">
      <c r="A24592" t="s">
        <v>24605</v>
      </c>
      <c r="B24592">
        <v>458</v>
      </c>
      <c r="C24592" s="1" t="str">
        <f>HYPERLINK("http://www.rosaceae.org/gb/gbrowse/malus_x_domestica/?name=MDP0000222925","MDP0000222925")</f>
        <v>MDP0000222925</v>
      </c>
      <c r="D24592">
        <v>32.369999999999997</v>
      </c>
      <c r="E24592">
        <v>278</v>
      </c>
      <c r="F24592">
        <v>188</v>
      </c>
      <c r="G24592">
        <v>54</v>
      </c>
      <c r="H24592">
        <v>49</v>
      </c>
      <c r="I24592">
        <v>273</v>
      </c>
      <c r="J24592">
        <v>1</v>
      </c>
      <c r="K24592">
        <v>28</v>
      </c>
      <c r="L24592">
        <v>304</v>
      </c>
      <c r="M24592">
        <v>1</v>
      </c>
      <c r="N24592">
        <v>1.16191E-29</v>
      </c>
      <c r="O24592">
        <v>322</v>
      </c>
    </row>
    <row r="24593" spans="1:15" x14ac:dyDescent="0.25">
      <c r="A24593" t="s">
        <v>24606</v>
      </c>
      <c r="B24593">
        <v>390</v>
      </c>
      <c r="C24593" s="1" t="str">
        <f>HYPERLINK("http://www.rosaceae.org/gb/gbrowse/malus_x_domestica/?name=MDP0000122158","MDP0000122158")</f>
        <v>MDP0000122158</v>
      </c>
      <c r="D24593">
        <v>50.92</v>
      </c>
      <c r="E24593">
        <v>434</v>
      </c>
      <c r="F24593">
        <v>213</v>
      </c>
      <c r="G24593">
        <v>45</v>
      </c>
      <c r="H24593">
        <v>1</v>
      </c>
      <c r="I24593">
        <v>390</v>
      </c>
      <c r="J24593">
        <v>1</v>
      </c>
      <c r="K24593">
        <v>1</v>
      </c>
      <c r="L24593">
        <v>433</v>
      </c>
      <c r="M24593">
        <v>1</v>
      </c>
      <c r="N24593">
        <v>2.10385E-109</v>
      </c>
      <c r="O24593">
        <v>1009</v>
      </c>
    </row>
    <row r="24594" spans="1:15" x14ac:dyDescent="0.25">
      <c r="A24594" t="s">
        <v>24607</v>
      </c>
      <c r="B24594">
        <v>635</v>
      </c>
      <c r="C24594" s="1" t="str">
        <f>HYPERLINK("http://www.rosaceae.org/gb/gbrowse/malus_x_domestica/?name=MDP0000298548","MDP0000298548")</f>
        <v>MDP0000298548</v>
      </c>
      <c r="D24594">
        <v>58.91</v>
      </c>
      <c r="E24594">
        <v>370</v>
      </c>
      <c r="F24594">
        <v>152</v>
      </c>
      <c r="G24594">
        <v>59</v>
      </c>
      <c r="H24594">
        <v>319</v>
      </c>
      <c r="I24594">
        <v>635</v>
      </c>
      <c r="J24594">
        <v>1</v>
      </c>
      <c r="K24594">
        <v>277</v>
      </c>
      <c r="L24594">
        <v>640</v>
      </c>
      <c r="M24594">
        <v>1</v>
      </c>
      <c r="N24594">
        <v>7.27814E-115</v>
      </c>
      <c r="O24594">
        <v>1058</v>
      </c>
    </row>
    <row r="24595" spans="1:15" x14ac:dyDescent="0.25">
      <c r="A24595" t="s">
        <v>24608</v>
      </c>
      <c r="B24595">
        <v>171</v>
      </c>
      <c r="C24595" s="1" t="str">
        <f>HYPERLINK("http://www.rosaceae.org/gb/gbrowse/malus_x_domestica/?name=MDP0000236926","MDP0000236926")</f>
        <v>MDP0000236926</v>
      </c>
      <c r="D24595">
        <v>46.7</v>
      </c>
      <c r="E24595">
        <v>182</v>
      </c>
      <c r="F24595">
        <v>97</v>
      </c>
      <c r="G24595">
        <v>16</v>
      </c>
      <c r="H24595">
        <v>1</v>
      </c>
      <c r="I24595">
        <v>169</v>
      </c>
      <c r="J24595">
        <v>1</v>
      </c>
      <c r="K24595">
        <v>1</v>
      </c>
      <c r="L24595">
        <v>179</v>
      </c>
      <c r="M24595">
        <v>1</v>
      </c>
      <c r="N24595">
        <v>2.9017700000000003E-35</v>
      </c>
      <c r="O24595">
        <v>365</v>
      </c>
    </row>
    <row r="24596" spans="1:15" x14ac:dyDescent="0.25">
      <c r="A24596" t="s">
        <v>24609</v>
      </c>
      <c r="B24596">
        <v>484</v>
      </c>
      <c r="C24596" s="1" t="str">
        <f>HYPERLINK("http://www.rosaceae.org/gb/gbrowse/malus_x_domestica/?name=MDP0000020317","MDP0000020317")</f>
        <v>MDP0000020317</v>
      </c>
      <c r="D24596">
        <v>85.89</v>
      </c>
      <c r="E24596">
        <v>482</v>
      </c>
      <c r="F24596">
        <v>68</v>
      </c>
      <c r="G24596">
        <v>20</v>
      </c>
      <c r="H24596">
        <v>1</v>
      </c>
      <c r="I24596">
        <v>462</v>
      </c>
      <c r="J24596">
        <v>1</v>
      </c>
      <c r="K24596">
        <v>1</v>
      </c>
      <c r="L24596">
        <v>482</v>
      </c>
      <c r="M24596">
        <v>1</v>
      </c>
      <c r="N24596">
        <v>0</v>
      </c>
      <c r="O24596">
        <v>2170</v>
      </c>
    </row>
    <row r="24597" spans="1:15" x14ac:dyDescent="0.25">
      <c r="A24597" t="s">
        <v>24610</v>
      </c>
      <c r="B24597">
        <v>387</v>
      </c>
      <c r="C24597" s="1" t="str">
        <f>HYPERLINK("http://www.rosaceae.org/gb/gbrowse/malus_x_domestica/?name=MDP0000209507","MDP0000209507")</f>
        <v>MDP0000209507</v>
      </c>
      <c r="D24597">
        <v>77.16</v>
      </c>
      <c r="E24597">
        <v>381</v>
      </c>
      <c r="F24597">
        <v>87</v>
      </c>
      <c r="G24597">
        <v>21</v>
      </c>
      <c r="H24597">
        <v>5</v>
      </c>
      <c r="I24597">
        <v>385</v>
      </c>
      <c r="J24597">
        <v>1</v>
      </c>
      <c r="K24597">
        <v>10</v>
      </c>
      <c r="L24597">
        <v>369</v>
      </c>
      <c r="M24597">
        <v>1</v>
      </c>
      <c r="N24597">
        <v>4.8651200000000001E-174</v>
      </c>
      <c r="O24597">
        <v>1566</v>
      </c>
    </row>
    <row r="24598" spans="1:15" x14ac:dyDescent="0.25">
      <c r="A24598" t="s">
        <v>24611</v>
      </c>
      <c r="B24598">
        <v>384</v>
      </c>
      <c r="C24598" s="1" t="str">
        <f>HYPERLINK("http://www.rosaceae.org/gb/gbrowse/malus_x_domestica/?name=MDP0000244869","MDP0000244869")</f>
        <v>MDP0000244869</v>
      </c>
      <c r="D24598">
        <v>85</v>
      </c>
      <c r="E24598">
        <v>380</v>
      </c>
      <c r="F24598">
        <v>57</v>
      </c>
      <c r="G24598">
        <v>3</v>
      </c>
      <c r="H24598">
        <v>7</v>
      </c>
      <c r="I24598">
        <v>384</v>
      </c>
      <c r="J24598">
        <v>1</v>
      </c>
      <c r="K24598">
        <v>45</v>
      </c>
      <c r="L24598">
        <v>423</v>
      </c>
      <c r="M24598">
        <v>1</v>
      </c>
      <c r="N24598">
        <v>0</v>
      </c>
      <c r="O24598">
        <v>1661</v>
      </c>
    </row>
    <row r="24599" spans="1:15" x14ac:dyDescent="0.25">
      <c r="A24599" t="s">
        <v>24612</v>
      </c>
      <c r="B24599">
        <v>254</v>
      </c>
      <c r="C24599" s="1" t="str">
        <f>HYPERLINK("http://www.rosaceae.org/gb/gbrowse/malus_x_domestica/?name=MDP0000304451","MDP0000304451")</f>
        <v>MDP0000304451</v>
      </c>
      <c r="D24599">
        <v>37.76</v>
      </c>
      <c r="E24599">
        <v>188</v>
      </c>
      <c r="F24599">
        <v>117</v>
      </c>
      <c r="G24599">
        <v>42</v>
      </c>
      <c r="H24599">
        <v>1</v>
      </c>
      <c r="I24599">
        <v>168</v>
      </c>
      <c r="J24599">
        <v>1</v>
      </c>
      <c r="K24599">
        <v>183</v>
      </c>
      <c r="L24599">
        <v>348</v>
      </c>
      <c r="M24599">
        <v>1</v>
      </c>
      <c r="N24599">
        <v>9.7987699999999998E-18</v>
      </c>
      <c r="O24599">
        <v>216</v>
      </c>
    </row>
    <row r="24600" spans="1:15" x14ac:dyDescent="0.25">
      <c r="A24600" t="s">
        <v>24613</v>
      </c>
      <c r="B24600">
        <v>365</v>
      </c>
      <c r="C24600" s="1" t="str">
        <f>HYPERLINK("http://www.rosaceae.org/gb/gbrowse/malus_x_domestica/?name=MDP0000640395","MDP0000640395")</f>
        <v>MDP0000640395</v>
      </c>
      <c r="D24600">
        <v>77.319999999999993</v>
      </c>
      <c r="E24600">
        <v>344</v>
      </c>
      <c r="F24600">
        <v>78</v>
      </c>
      <c r="G24600">
        <v>3</v>
      </c>
      <c r="H24600">
        <v>10</v>
      </c>
      <c r="I24600">
        <v>352</v>
      </c>
      <c r="J24600">
        <v>1</v>
      </c>
      <c r="K24600">
        <v>6</v>
      </c>
      <c r="L24600">
        <v>347</v>
      </c>
      <c r="M24600">
        <v>1</v>
      </c>
      <c r="N24600">
        <v>1.6278800000000001E-159</v>
      </c>
      <c r="O24600">
        <v>1441</v>
      </c>
    </row>
    <row r="24601" spans="1:15" x14ac:dyDescent="0.25">
      <c r="A24601" t="s">
        <v>24614</v>
      </c>
      <c r="B24601">
        <v>500</v>
      </c>
      <c r="C24601" s="1" t="str">
        <f>HYPERLINK("http://www.rosaceae.org/gb/gbrowse/malus_x_domestica/?name=MDP0000327971","MDP0000327971")</f>
        <v>MDP0000327971</v>
      </c>
      <c r="D24601">
        <v>50.23</v>
      </c>
      <c r="E24601">
        <v>215</v>
      </c>
      <c r="F24601">
        <v>107</v>
      </c>
      <c r="G24601">
        <v>52</v>
      </c>
      <c r="H24601">
        <v>271</v>
      </c>
      <c r="I24601">
        <v>439</v>
      </c>
      <c r="J24601">
        <v>1</v>
      </c>
      <c r="K24601">
        <v>37</v>
      </c>
      <c r="L24601">
        <v>245</v>
      </c>
      <c r="M24601">
        <v>1</v>
      </c>
      <c r="N24601">
        <v>5.6381100000000002E-43</v>
      </c>
      <c r="O24601">
        <v>437</v>
      </c>
    </row>
    <row r="24602" spans="1:15" x14ac:dyDescent="0.25">
      <c r="A24602" t="s">
        <v>24615</v>
      </c>
      <c r="B24602">
        <v>142</v>
      </c>
      <c r="C24602" s="1" t="str">
        <f>HYPERLINK("http://www.rosaceae.org/gb/gbrowse/malus_x_domestica/?name=MDP0000455611","MDP0000455611")</f>
        <v>MDP0000455611</v>
      </c>
      <c r="D24602">
        <v>64.959999999999994</v>
      </c>
      <c r="E24602">
        <v>137</v>
      </c>
      <c r="F24602">
        <v>48</v>
      </c>
      <c r="G24602">
        <v>0</v>
      </c>
      <c r="H24602">
        <v>1</v>
      </c>
      <c r="I24602">
        <v>137</v>
      </c>
      <c r="J24602">
        <v>1</v>
      </c>
      <c r="K24602">
        <v>145</v>
      </c>
      <c r="L24602">
        <v>281</v>
      </c>
      <c r="M24602">
        <v>1</v>
      </c>
      <c r="N24602">
        <v>9.6318499999999994E-49</v>
      </c>
      <c r="O24602">
        <v>479</v>
      </c>
    </row>
    <row r="24603" spans="1:15" x14ac:dyDescent="0.25">
      <c r="A24603" t="s">
        <v>24616</v>
      </c>
      <c r="B24603">
        <v>221</v>
      </c>
      <c r="C24603" s="1" t="str">
        <f>HYPERLINK("http://www.rosaceae.org/gb/gbrowse/malus_x_domestica/?name=MDP0000888400","MDP0000888400")</f>
        <v>MDP0000888400</v>
      </c>
      <c r="D24603">
        <v>47.05</v>
      </c>
      <c r="E24603">
        <v>136</v>
      </c>
      <c r="F24603">
        <v>72</v>
      </c>
      <c r="G24603">
        <v>14</v>
      </c>
      <c r="H24603">
        <v>96</v>
      </c>
      <c r="I24603">
        <v>221</v>
      </c>
      <c r="J24603">
        <v>1</v>
      </c>
      <c r="K24603">
        <v>63</v>
      </c>
      <c r="L24603">
        <v>194</v>
      </c>
      <c r="M24603">
        <v>1</v>
      </c>
      <c r="N24603">
        <v>2.5073299999999999E-21</v>
      </c>
      <c r="O24603">
        <v>246</v>
      </c>
    </row>
    <row r="24604" spans="1:15" x14ac:dyDescent="0.25">
      <c r="A24604" t="s">
        <v>24617</v>
      </c>
      <c r="B24604">
        <v>167</v>
      </c>
      <c r="C24604" s="1" t="str">
        <f>HYPERLINK("http://www.rosaceae.org/gb/gbrowse/malus_x_domestica/?name=MDP0000193347","MDP0000193347")</f>
        <v>MDP0000193347</v>
      </c>
      <c r="D24604">
        <v>56.87</v>
      </c>
      <c r="E24604">
        <v>160</v>
      </c>
      <c r="F24604">
        <v>69</v>
      </c>
      <c r="G24604">
        <v>22</v>
      </c>
      <c r="H24604">
        <v>4</v>
      </c>
      <c r="I24604">
        <v>143</v>
      </c>
      <c r="J24604">
        <v>1</v>
      </c>
      <c r="K24604">
        <v>133</v>
      </c>
      <c r="L24604">
        <v>290</v>
      </c>
      <c r="M24604">
        <v>1</v>
      </c>
      <c r="N24604">
        <v>1.9282200000000001E-47</v>
      </c>
      <c r="O24604">
        <v>469</v>
      </c>
    </row>
    <row r="24605" spans="1:15" x14ac:dyDescent="0.25">
      <c r="A24605" t="s">
        <v>24618</v>
      </c>
      <c r="B24605">
        <v>394</v>
      </c>
      <c r="C24605" s="1" t="str">
        <f>HYPERLINK("http://www.rosaceae.org/gb/gbrowse/malus_x_domestica/?name=MDP0000181370","MDP0000181370")</f>
        <v>MDP0000181370</v>
      </c>
      <c r="D24605">
        <v>85.82</v>
      </c>
      <c r="E24605">
        <v>402</v>
      </c>
      <c r="F24605">
        <v>57</v>
      </c>
      <c r="G24605">
        <v>13</v>
      </c>
      <c r="H24605">
        <v>1</v>
      </c>
      <c r="I24605">
        <v>391</v>
      </c>
      <c r="J24605">
        <v>1</v>
      </c>
      <c r="K24605">
        <v>1</v>
      </c>
      <c r="L24605">
        <v>400</v>
      </c>
      <c r="M24605">
        <v>1</v>
      </c>
      <c r="N24605">
        <v>0</v>
      </c>
      <c r="O24605">
        <v>1800</v>
      </c>
    </row>
    <row r="24606" spans="1:15" x14ac:dyDescent="0.25">
      <c r="A24606" t="s">
        <v>24619</v>
      </c>
      <c r="B24606">
        <v>168</v>
      </c>
      <c r="C24606" s="1" t="str">
        <f>HYPERLINK("http://www.rosaceae.org/gb/gbrowse/malus_x_domestica/?name=MDP0000301639","MDP0000301639")</f>
        <v>MDP0000301639</v>
      </c>
      <c r="D24606">
        <v>65.099999999999994</v>
      </c>
      <c r="E24606">
        <v>149</v>
      </c>
      <c r="F24606">
        <v>52</v>
      </c>
      <c r="G24606">
        <v>5</v>
      </c>
      <c r="H24606">
        <v>9</v>
      </c>
      <c r="I24606">
        <v>153</v>
      </c>
      <c r="J24606">
        <v>1</v>
      </c>
      <c r="K24606">
        <v>807</v>
      </c>
      <c r="L24606">
        <v>954</v>
      </c>
      <c r="M24606">
        <v>1</v>
      </c>
      <c r="N24606">
        <v>1.41019E-52</v>
      </c>
      <c r="O24606">
        <v>514</v>
      </c>
    </row>
    <row r="24607" spans="1:15" x14ac:dyDescent="0.25">
      <c r="A24607" t="s">
        <v>24620</v>
      </c>
      <c r="B24607">
        <v>262</v>
      </c>
      <c r="C24607" s="1" t="str">
        <f>HYPERLINK("http://www.rosaceae.org/gb/gbrowse/malus_x_domestica/?name=MDP0000212684","MDP0000212684")</f>
        <v>MDP0000212684</v>
      </c>
      <c r="D24607">
        <v>31.57</v>
      </c>
      <c r="E24607">
        <v>285</v>
      </c>
      <c r="F24607">
        <v>195</v>
      </c>
      <c r="G24607">
        <v>36</v>
      </c>
      <c r="H24607">
        <v>5</v>
      </c>
      <c r="I24607">
        <v>253</v>
      </c>
      <c r="J24607">
        <v>1</v>
      </c>
      <c r="K24607">
        <v>1</v>
      </c>
      <c r="L24607">
        <v>285</v>
      </c>
      <c r="M24607">
        <v>1</v>
      </c>
      <c r="N24607">
        <v>1.5980700000000001E-31</v>
      </c>
      <c r="O24607">
        <v>335</v>
      </c>
    </row>
    <row r="24608" spans="1:15" x14ac:dyDescent="0.25">
      <c r="A24608" t="s">
        <v>24621</v>
      </c>
      <c r="B24608">
        <v>826</v>
      </c>
      <c r="C24608" s="1" t="str">
        <f>HYPERLINK("http://www.rosaceae.org/gb/gbrowse/malus_x_domestica/?name=MDP0000386667","MDP0000386667")</f>
        <v>MDP0000386667</v>
      </c>
      <c r="D24608">
        <v>70.13</v>
      </c>
      <c r="E24608">
        <v>663</v>
      </c>
      <c r="F24608">
        <v>198</v>
      </c>
      <c r="G24608">
        <v>28</v>
      </c>
      <c r="H24608">
        <v>190</v>
      </c>
      <c r="I24608">
        <v>825</v>
      </c>
      <c r="J24608">
        <v>1</v>
      </c>
      <c r="K24608">
        <v>233</v>
      </c>
      <c r="L24608">
        <v>894</v>
      </c>
      <c r="M24608">
        <v>1</v>
      </c>
      <c r="N24608">
        <v>0</v>
      </c>
      <c r="O24608">
        <v>2364</v>
      </c>
    </row>
    <row r="24609" spans="1:15" x14ac:dyDescent="0.25">
      <c r="A24609" t="s">
        <v>24622</v>
      </c>
      <c r="B24609">
        <v>536</v>
      </c>
      <c r="C24609" s="1" t="str">
        <f>HYPERLINK("http://www.rosaceae.org/gb/gbrowse/malus_x_domestica/?name=MDP0000221926","MDP0000221926")</f>
        <v>MDP0000221926</v>
      </c>
      <c r="D24609">
        <v>72.66</v>
      </c>
      <c r="E24609">
        <v>545</v>
      </c>
      <c r="F24609">
        <v>149</v>
      </c>
      <c r="G24609">
        <v>48</v>
      </c>
      <c r="H24609">
        <v>5</v>
      </c>
      <c r="I24609">
        <v>536</v>
      </c>
      <c r="J24609">
        <v>1</v>
      </c>
      <c r="K24609">
        <v>10</v>
      </c>
      <c r="L24609">
        <v>519</v>
      </c>
      <c r="M24609">
        <v>1</v>
      </c>
      <c r="N24609">
        <v>0</v>
      </c>
      <c r="O24609">
        <v>2036</v>
      </c>
    </row>
    <row r="24610" spans="1:15" x14ac:dyDescent="0.25">
      <c r="A24610" t="s">
        <v>24623</v>
      </c>
      <c r="B24610">
        <v>238</v>
      </c>
      <c r="C24610" s="1" t="str">
        <f>HYPERLINK("http://www.rosaceae.org/gb/gbrowse/malus_x_domestica/?name=MDP0000202311","MDP0000202311")</f>
        <v>MDP0000202311</v>
      </c>
      <c r="D24610">
        <v>78.48</v>
      </c>
      <c r="E24610">
        <v>237</v>
      </c>
      <c r="F24610">
        <v>51</v>
      </c>
      <c r="G24610">
        <v>1</v>
      </c>
      <c r="H24610">
        <v>1</v>
      </c>
      <c r="I24610">
        <v>237</v>
      </c>
      <c r="J24610">
        <v>1</v>
      </c>
      <c r="K24610">
        <v>83</v>
      </c>
      <c r="L24610">
        <v>318</v>
      </c>
      <c r="M24610">
        <v>1</v>
      </c>
      <c r="N24610">
        <v>1.1579900000000001E-105</v>
      </c>
      <c r="O24610">
        <v>974</v>
      </c>
    </row>
    <row r="24611" spans="1:15" x14ac:dyDescent="0.25">
      <c r="A24611" t="s">
        <v>24624</v>
      </c>
      <c r="B24611">
        <v>195</v>
      </c>
      <c r="C24611" s="1" t="str">
        <f>HYPERLINK("http://www.rosaceae.org/gb/gbrowse/malus_x_domestica/?name=MDP0000152377","MDP0000152377")</f>
        <v>MDP0000152377</v>
      </c>
      <c r="D24611">
        <v>62.26</v>
      </c>
      <c r="E24611">
        <v>159</v>
      </c>
      <c r="F24611">
        <v>60</v>
      </c>
      <c r="G24611">
        <v>7</v>
      </c>
      <c r="H24611">
        <v>28</v>
      </c>
      <c r="I24611">
        <v>186</v>
      </c>
      <c r="J24611">
        <v>1</v>
      </c>
      <c r="K24611">
        <v>24</v>
      </c>
      <c r="L24611">
        <v>175</v>
      </c>
      <c r="M24611">
        <v>1</v>
      </c>
      <c r="N24611">
        <v>2.67689E-53</v>
      </c>
      <c r="O24611">
        <v>521</v>
      </c>
    </row>
    <row r="24612" spans="1:15" x14ac:dyDescent="0.25">
      <c r="A24612" t="s">
        <v>24625</v>
      </c>
      <c r="B24612">
        <v>156</v>
      </c>
      <c r="C24612" s="1" t="str">
        <f>HYPERLINK("http://www.rosaceae.org/gb/gbrowse/malus_x_domestica/?name=MDP0000928103","MDP0000928103")</f>
        <v>MDP0000928103</v>
      </c>
      <c r="D24612">
        <v>65.75</v>
      </c>
      <c r="E24612">
        <v>146</v>
      </c>
      <c r="F24612">
        <v>50</v>
      </c>
      <c r="G24612">
        <v>13</v>
      </c>
      <c r="H24612">
        <v>22</v>
      </c>
      <c r="I24612">
        <v>156</v>
      </c>
      <c r="J24612">
        <v>1</v>
      </c>
      <c r="K24612">
        <v>9</v>
      </c>
      <c r="L24612">
        <v>152</v>
      </c>
      <c r="M24612">
        <v>1</v>
      </c>
      <c r="N24612">
        <v>4.34403E-44</v>
      </c>
      <c r="O24612">
        <v>440</v>
      </c>
    </row>
    <row r="24613" spans="1:15" x14ac:dyDescent="0.25">
      <c r="A24613" t="s">
        <v>24626</v>
      </c>
      <c r="B24613">
        <v>145</v>
      </c>
      <c r="C24613" s="1" t="str">
        <f>HYPERLINK("http://www.rosaceae.org/gb/gbrowse/malus_x_domestica/?name=MDP0000288452","MDP0000288452")</f>
        <v>MDP0000288452</v>
      </c>
      <c r="D24613">
        <v>60.36</v>
      </c>
      <c r="E24613">
        <v>111</v>
      </c>
      <c r="F24613">
        <v>44</v>
      </c>
      <c r="G24613">
        <v>3</v>
      </c>
      <c r="H24613">
        <v>7</v>
      </c>
      <c r="I24613">
        <v>117</v>
      </c>
      <c r="J24613">
        <v>1</v>
      </c>
      <c r="K24613">
        <v>711</v>
      </c>
      <c r="L24613">
        <v>818</v>
      </c>
      <c r="M24613">
        <v>1</v>
      </c>
      <c r="N24613">
        <v>1.5738600000000001E-34</v>
      </c>
      <c r="O24613">
        <v>357</v>
      </c>
    </row>
    <row r="24614" spans="1:15" x14ac:dyDescent="0.25">
      <c r="A24614" t="s">
        <v>24627</v>
      </c>
      <c r="B24614">
        <v>248</v>
      </c>
      <c r="C24614" s="1" t="str">
        <f>HYPERLINK("http://www.rosaceae.org/gb/gbrowse/malus_x_domestica/?name=MDP0000142258","MDP0000142258")</f>
        <v>MDP0000142258</v>
      </c>
      <c r="D24614">
        <v>45.45</v>
      </c>
      <c r="E24614">
        <v>264</v>
      </c>
      <c r="F24614">
        <v>144</v>
      </c>
      <c r="G24614">
        <v>65</v>
      </c>
      <c r="H24614">
        <v>1</v>
      </c>
      <c r="I24614">
        <v>230</v>
      </c>
      <c r="J24614">
        <v>1</v>
      </c>
      <c r="K24614">
        <v>75</v>
      </c>
      <c r="L24614">
        <v>307</v>
      </c>
      <c r="M24614">
        <v>1</v>
      </c>
      <c r="N24614">
        <v>1.9404099999999999E-55</v>
      </c>
      <c r="O24614">
        <v>541</v>
      </c>
    </row>
    <row r="24615" spans="1:15" x14ac:dyDescent="0.25">
      <c r="A24615" t="s">
        <v>24628</v>
      </c>
      <c r="B24615">
        <v>177</v>
      </c>
      <c r="C24615" s="1" t="str">
        <f>HYPERLINK("http://www.rosaceae.org/gb/gbrowse/malus_x_domestica/?name=MDP0000774785","MDP0000774785")</f>
        <v>MDP0000774785</v>
      </c>
      <c r="D24615">
        <v>79.72</v>
      </c>
      <c r="E24615">
        <v>74</v>
      </c>
      <c r="F24615">
        <v>15</v>
      </c>
      <c r="G24615">
        <v>0</v>
      </c>
      <c r="H24615">
        <v>104</v>
      </c>
      <c r="I24615">
        <v>177</v>
      </c>
      <c r="J24615">
        <v>1</v>
      </c>
      <c r="K24615">
        <v>25</v>
      </c>
      <c r="L24615">
        <v>98</v>
      </c>
      <c r="M24615">
        <v>1</v>
      </c>
      <c r="N24615">
        <v>1.6806299999999999E-28</v>
      </c>
      <c r="O24615">
        <v>306</v>
      </c>
    </row>
    <row r="24616" spans="1:15" x14ac:dyDescent="0.25">
      <c r="A24616" t="s">
        <v>24629</v>
      </c>
      <c r="B24616">
        <v>127</v>
      </c>
      <c r="C24616" s="1" t="str">
        <f>HYPERLINK("http://www.rosaceae.org/gb/gbrowse/malus_x_domestica/?name=MDP0000174619","MDP0000174619")</f>
        <v>MDP0000174619</v>
      </c>
      <c r="D24616">
        <v>37.409999999999997</v>
      </c>
      <c r="E24616">
        <v>139</v>
      </c>
      <c r="F24616">
        <v>87</v>
      </c>
      <c r="G24616">
        <v>22</v>
      </c>
      <c r="H24616">
        <v>1</v>
      </c>
      <c r="I24616">
        <v>121</v>
      </c>
      <c r="J24616">
        <v>1</v>
      </c>
      <c r="K24616">
        <v>118</v>
      </c>
      <c r="L24616">
        <v>252</v>
      </c>
      <c r="M24616">
        <v>1</v>
      </c>
      <c r="N24616">
        <v>2.1251399999999999E-21</v>
      </c>
      <c r="O24616">
        <v>242</v>
      </c>
    </row>
    <row r="24617" spans="1:15" x14ac:dyDescent="0.25">
      <c r="A24617" t="s">
        <v>24630</v>
      </c>
      <c r="B24617">
        <v>196</v>
      </c>
      <c r="C24617" s="1" t="str">
        <f>HYPERLINK("http://www.rosaceae.org/gb/gbrowse/malus_x_domestica/?name=MDP0000298263","MDP0000298263")</f>
        <v>MDP0000298263</v>
      </c>
      <c r="D24617">
        <v>75.709999999999994</v>
      </c>
      <c r="E24617">
        <v>140</v>
      </c>
      <c r="F24617">
        <v>34</v>
      </c>
      <c r="G24617">
        <v>5</v>
      </c>
      <c r="H24617">
        <v>38</v>
      </c>
      <c r="I24617">
        <v>177</v>
      </c>
      <c r="J24617">
        <v>1</v>
      </c>
      <c r="K24617">
        <v>32</v>
      </c>
      <c r="L24617">
        <v>166</v>
      </c>
      <c r="M24617">
        <v>1</v>
      </c>
      <c r="N24617">
        <v>7.8620200000000002E-56</v>
      </c>
      <c r="O24617">
        <v>543</v>
      </c>
    </row>
    <row r="24618" spans="1:15" x14ac:dyDescent="0.25">
      <c r="A24618" t="s">
        <v>24631</v>
      </c>
      <c r="B24618">
        <v>494</v>
      </c>
      <c r="C24618" s="1" t="str">
        <f>HYPERLINK("http://www.rosaceae.org/gb/gbrowse/malus_x_domestica/?name=MDP0000772001","MDP0000772001")</f>
        <v>MDP0000772001</v>
      </c>
      <c r="D24618">
        <v>67.67</v>
      </c>
      <c r="E24618">
        <v>498</v>
      </c>
      <c r="F24618">
        <v>161</v>
      </c>
      <c r="G24618">
        <v>5</v>
      </c>
      <c r="H24618">
        <v>1</v>
      </c>
      <c r="I24618">
        <v>494</v>
      </c>
      <c r="J24618">
        <v>1</v>
      </c>
      <c r="K24618">
        <v>1</v>
      </c>
      <c r="L24618">
        <v>497</v>
      </c>
      <c r="M24618">
        <v>1</v>
      </c>
      <c r="N24618">
        <v>0</v>
      </c>
      <c r="O24618">
        <v>1635</v>
      </c>
    </row>
    <row r="24619" spans="1:15" x14ac:dyDescent="0.25">
      <c r="A24619" t="s">
        <v>24632</v>
      </c>
      <c r="B24619">
        <v>738</v>
      </c>
      <c r="C24619" s="1" t="str">
        <f>HYPERLINK("http://www.rosaceae.org/gb/gbrowse/malus_x_domestica/?name=MDP0000322220","MDP0000322220")</f>
        <v>MDP0000322220</v>
      </c>
      <c r="D24619">
        <v>71.87</v>
      </c>
      <c r="E24619">
        <v>64</v>
      </c>
      <c r="F24619">
        <v>18</v>
      </c>
      <c r="G24619">
        <v>0</v>
      </c>
      <c r="H24619">
        <v>472</v>
      </c>
      <c r="I24619">
        <v>535</v>
      </c>
      <c r="J24619">
        <v>1</v>
      </c>
      <c r="K24619">
        <v>579</v>
      </c>
      <c r="L24619">
        <v>642</v>
      </c>
      <c r="M24619">
        <v>1</v>
      </c>
      <c r="N24619">
        <v>1.1432499999999999E-19</v>
      </c>
      <c r="O24619">
        <v>238</v>
      </c>
    </row>
    <row r="24620" spans="1:15" x14ac:dyDescent="0.25">
      <c r="A24620" t="s">
        <v>24633</v>
      </c>
      <c r="B24620">
        <v>186</v>
      </c>
      <c r="C24620" s="1" t="str">
        <f>HYPERLINK("http://www.rosaceae.org/gb/gbrowse/malus_x_domestica/?name=MDP0000256558","MDP0000256558")</f>
        <v>MDP0000256558</v>
      </c>
      <c r="D24620">
        <v>59.37</v>
      </c>
      <c r="E24620">
        <v>64</v>
      </c>
      <c r="F24620">
        <v>26</v>
      </c>
      <c r="G24620">
        <v>1</v>
      </c>
      <c r="H24620">
        <v>5</v>
      </c>
      <c r="I24620">
        <v>68</v>
      </c>
      <c r="J24620">
        <v>1</v>
      </c>
      <c r="K24620">
        <v>1065</v>
      </c>
      <c r="L24620">
        <v>1127</v>
      </c>
      <c r="M24620">
        <v>1</v>
      </c>
      <c r="N24620">
        <v>5.5094900000000002E-13</v>
      </c>
      <c r="O24620">
        <v>173</v>
      </c>
    </row>
    <row r="24621" spans="1:15" x14ac:dyDescent="0.25">
      <c r="A24621" t="s">
        <v>24634</v>
      </c>
      <c r="B24621">
        <v>442</v>
      </c>
      <c r="C24621" s="1" t="str">
        <f>HYPERLINK("http://www.rosaceae.org/gb/gbrowse/malus_x_domestica/?name=MDP0000650702","MDP0000650702")</f>
        <v>MDP0000650702</v>
      </c>
      <c r="D24621">
        <v>75.41</v>
      </c>
      <c r="E24621">
        <v>240</v>
      </c>
      <c r="F24621">
        <v>59</v>
      </c>
      <c r="G24621">
        <v>0</v>
      </c>
      <c r="H24621">
        <v>202</v>
      </c>
      <c r="I24621">
        <v>441</v>
      </c>
      <c r="J24621">
        <v>1</v>
      </c>
      <c r="K24621">
        <v>219</v>
      </c>
      <c r="L24621">
        <v>458</v>
      </c>
      <c r="M24621">
        <v>1</v>
      </c>
      <c r="N24621">
        <v>1.04196E-100</v>
      </c>
      <c r="O24621">
        <v>934</v>
      </c>
    </row>
    <row r="24622" spans="1:15" x14ac:dyDescent="0.25">
      <c r="A24622" t="s">
        <v>24635</v>
      </c>
      <c r="B24622">
        <v>203</v>
      </c>
      <c r="C24622" s="1" t="str">
        <f>HYPERLINK("http://www.rosaceae.org/gb/gbrowse/malus_x_domestica/?name=MDP0000663593","MDP0000663593")</f>
        <v>MDP0000663593</v>
      </c>
      <c r="D24622">
        <v>54.76</v>
      </c>
      <c r="E24622">
        <v>168</v>
      </c>
      <c r="F24622">
        <v>76</v>
      </c>
      <c r="G24622">
        <v>8</v>
      </c>
      <c r="H24622">
        <v>44</v>
      </c>
      <c r="I24622">
        <v>203</v>
      </c>
      <c r="J24622">
        <v>1</v>
      </c>
      <c r="K24622">
        <v>36</v>
      </c>
      <c r="L24622">
        <v>203</v>
      </c>
      <c r="M24622">
        <v>1</v>
      </c>
      <c r="N24622">
        <v>1.3418199999999999E-32</v>
      </c>
      <c r="O24622">
        <v>343</v>
      </c>
    </row>
    <row r="24623" spans="1:15" x14ac:dyDescent="0.25">
      <c r="A24623" t="s">
        <v>24636</v>
      </c>
      <c r="B24623">
        <v>205</v>
      </c>
      <c r="C24623" s="1" t="str">
        <f>HYPERLINK("http://www.rosaceae.org/gb/gbrowse/malus_x_domestica/?name=MDP0000123326","MDP0000123326")</f>
        <v>MDP0000123326</v>
      </c>
      <c r="D24623">
        <v>55.45</v>
      </c>
      <c r="E24623">
        <v>211</v>
      </c>
      <c r="F24623">
        <v>94</v>
      </c>
      <c r="G24623">
        <v>13</v>
      </c>
      <c r="H24623">
        <v>1</v>
      </c>
      <c r="I24623">
        <v>201</v>
      </c>
      <c r="J24623">
        <v>1</v>
      </c>
      <c r="K24623">
        <v>1</v>
      </c>
      <c r="L24623">
        <v>208</v>
      </c>
      <c r="M24623">
        <v>1</v>
      </c>
      <c r="N24623">
        <v>8.9772299999999999E-58</v>
      </c>
      <c r="O24623">
        <v>560</v>
      </c>
    </row>
    <row r="24624" spans="1:15" x14ac:dyDescent="0.25">
      <c r="A24624" t="s">
        <v>24637</v>
      </c>
      <c r="B24624">
        <v>179</v>
      </c>
      <c r="C24624" s="1" t="str">
        <f>HYPERLINK("http://www.rosaceae.org/gb/gbrowse/malus_x_domestica/?name=MDP0000392283","MDP0000392283")</f>
        <v>MDP0000392283</v>
      </c>
      <c r="D24624">
        <v>55.05</v>
      </c>
      <c r="E24624">
        <v>178</v>
      </c>
      <c r="F24624">
        <v>80</v>
      </c>
      <c r="G24624">
        <v>4</v>
      </c>
      <c r="H24624">
        <v>3</v>
      </c>
      <c r="I24624">
        <v>178</v>
      </c>
      <c r="J24624">
        <v>1</v>
      </c>
      <c r="K24624">
        <v>93</v>
      </c>
      <c r="L24624">
        <v>268</v>
      </c>
      <c r="M24624">
        <v>1</v>
      </c>
      <c r="N24624">
        <v>4.9035399999999997E-46</v>
      </c>
      <c r="O24624">
        <v>458</v>
      </c>
    </row>
    <row r="24625" spans="1:15" x14ac:dyDescent="0.25">
      <c r="A24625" t="s">
        <v>24638</v>
      </c>
      <c r="B24625">
        <v>539</v>
      </c>
      <c r="C24625" s="1" t="str">
        <f>HYPERLINK("http://www.rosaceae.org/gb/gbrowse/malus_x_domestica/?name=MDP0000247171","MDP0000247171")</f>
        <v>MDP0000247171</v>
      </c>
      <c r="D24625">
        <v>61.06</v>
      </c>
      <c r="E24625">
        <v>226</v>
      </c>
      <c r="F24625">
        <v>88</v>
      </c>
      <c r="G24625">
        <v>13</v>
      </c>
      <c r="H24625">
        <v>5</v>
      </c>
      <c r="I24625">
        <v>217</v>
      </c>
      <c r="J24625">
        <v>1</v>
      </c>
      <c r="K24625">
        <v>4</v>
      </c>
      <c r="L24625">
        <v>229</v>
      </c>
      <c r="M24625">
        <v>1</v>
      </c>
      <c r="N24625">
        <v>2.4368400000000002E-69</v>
      </c>
      <c r="O24625">
        <v>665</v>
      </c>
    </row>
    <row r="24626" spans="1:15" x14ac:dyDescent="0.25">
      <c r="A24626" t="s">
        <v>24639</v>
      </c>
      <c r="B24626">
        <v>709</v>
      </c>
      <c r="C24626" s="1" t="str">
        <f>HYPERLINK("http://www.rosaceae.org/gb/gbrowse/malus_x_domestica/?name=MDP0000513005","MDP0000513005")</f>
        <v>MDP0000513005</v>
      </c>
      <c r="D24626">
        <v>73.02</v>
      </c>
      <c r="E24626">
        <v>634</v>
      </c>
      <c r="F24626">
        <v>171</v>
      </c>
      <c r="G24626">
        <v>50</v>
      </c>
      <c r="H24626">
        <v>7</v>
      </c>
      <c r="I24626">
        <v>590</v>
      </c>
      <c r="J24626">
        <v>1</v>
      </c>
      <c r="K24626">
        <v>43</v>
      </c>
      <c r="L24626">
        <v>676</v>
      </c>
      <c r="M24626">
        <v>1</v>
      </c>
      <c r="N24626">
        <v>0</v>
      </c>
      <c r="O24626">
        <v>2362</v>
      </c>
    </row>
    <row r="24627" spans="1:15" x14ac:dyDescent="0.25">
      <c r="A24627" t="s">
        <v>24640</v>
      </c>
      <c r="B24627">
        <v>329</v>
      </c>
      <c r="C24627" s="1" t="str">
        <f>HYPERLINK("http://www.rosaceae.org/gb/gbrowse/malus_x_domestica/?name=MDP0000176370","MDP0000176370")</f>
        <v>MDP0000176370</v>
      </c>
      <c r="D24627">
        <v>28.27</v>
      </c>
      <c r="E24627">
        <v>237</v>
      </c>
      <c r="F24627">
        <v>170</v>
      </c>
      <c r="G24627">
        <v>44</v>
      </c>
      <c r="H24627">
        <v>93</v>
      </c>
      <c r="I24627">
        <v>306</v>
      </c>
      <c r="J24627">
        <v>1</v>
      </c>
      <c r="K24627">
        <v>122</v>
      </c>
      <c r="L24627">
        <v>337</v>
      </c>
      <c r="M24627">
        <v>1</v>
      </c>
      <c r="N24627">
        <v>2.1653200000000001E-13</v>
      </c>
      <c r="O24627">
        <v>180</v>
      </c>
    </row>
    <row r="24628" spans="1:15" x14ac:dyDescent="0.25">
      <c r="A24628" t="s">
        <v>24641</v>
      </c>
      <c r="B24628">
        <v>686</v>
      </c>
      <c r="C24628" s="1" t="str">
        <f>HYPERLINK("http://www.rosaceae.org/gb/gbrowse/malus_x_domestica/?name=MDP0000146478","MDP0000146478")</f>
        <v>MDP0000146478</v>
      </c>
      <c r="D24628">
        <v>59.48</v>
      </c>
      <c r="E24628">
        <v>701</v>
      </c>
      <c r="F24628">
        <v>284</v>
      </c>
      <c r="G24628">
        <v>142</v>
      </c>
      <c r="H24628">
        <v>17</v>
      </c>
      <c r="I24628">
        <v>667</v>
      </c>
      <c r="J24628">
        <v>1</v>
      </c>
      <c r="K24628">
        <v>21</v>
      </c>
      <c r="L24628">
        <v>629</v>
      </c>
      <c r="M24628">
        <v>1</v>
      </c>
      <c r="N24628">
        <v>0</v>
      </c>
      <c r="O24628">
        <v>1967</v>
      </c>
    </row>
    <row r="24629" spans="1:15" x14ac:dyDescent="0.25">
      <c r="A24629" t="s">
        <v>24642</v>
      </c>
      <c r="B24629">
        <v>162</v>
      </c>
      <c r="C24629" s="1" t="str">
        <f>HYPERLINK("http://www.rosaceae.org/gb/gbrowse/malus_x_domestica/?name=MDP0000618487","MDP0000618487")</f>
        <v>MDP0000618487</v>
      </c>
      <c r="D24629">
        <v>60.78</v>
      </c>
      <c r="E24629">
        <v>153</v>
      </c>
      <c r="F24629">
        <v>60</v>
      </c>
      <c r="G24629">
        <v>3</v>
      </c>
      <c r="H24629">
        <v>1</v>
      </c>
      <c r="I24629">
        <v>153</v>
      </c>
      <c r="J24629">
        <v>1</v>
      </c>
      <c r="K24629">
        <v>320</v>
      </c>
      <c r="L24629">
        <v>469</v>
      </c>
      <c r="M24629">
        <v>1</v>
      </c>
      <c r="N24629">
        <v>8.4730400000000005E-49</v>
      </c>
      <c r="O24629">
        <v>481</v>
      </c>
    </row>
    <row r="24630" spans="1:15" x14ac:dyDescent="0.25">
      <c r="A24630" t="s">
        <v>24643</v>
      </c>
      <c r="B24630">
        <v>113</v>
      </c>
      <c r="C24630" s="1" t="str">
        <f>HYPERLINK("http://www.rosaceae.org/gb/gbrowse/malus_x_domestica/?name=MDP0000323561","MDP0000323561")</f>
        <v>MDP0000323561</v>
      </c>
      <c r="D24630">
        <v>74.19</v>
      </c>
      <c r="E24630">
        <v>62</v>
      </c>
      <c r="F24630">
        <v>16</v>
      </c>
      <c r="G24630">
        <v>0</v>
      </c>
      <c r="H24630">
        <v>1</v>
      </c>
      <c r="I24630">
        <v>62</v>
      </c>
      <c r="J24630">
        <v>1</v>
      </c>
      <c r="K24630">
        <v>27</v>
      </c>
      <c r="L24630">
        <v>88</v>
      </c>
      <c r="M24630">
        <v>1</v>
      </c>
      <c r="N24630">
        <v>1.75506E-21</v>
      </c>
      <c r="O24630">
        <v>243</v>
      </c>
    </row>
    <row r="24631" spans="1:15" x14ac:dyDescent="0.25">
      <c r="A24631" t="s">
        <v>24644</v>
      </c>
      <c r="B24631">
        <v>709</v>
      </c>
      <c r="C24631" s="1" t="str">
        <f>HYPERLINK("http://www.rosaceae.org/gb/gbrowse/malus_x_domestica/?name=MDP0000135968","MDP0000135968")</f>
        <v>MDP0000135968</v>
      </c>
      <c r="D24631">
        <v>80.400000000000006</v>
      </c>
      <c r="E24631">
        <v>449</v>
      </c>
      <c r="F24631">
        <v>88</v>
      </c>
      <c r="G24631">
        <v>3</v>
      </c>
      <c r="H24631">
        <v>29</v>
      </c>
      <c r="I24631">
        <v>476</v>
      </c>
      <c r="J24631">
        <v>1</v>
      </c>
      <c r="K24631">
        <v>31</v>
      </c>
      <c r="L24631">
        <v>477</v>
      </c>
      <c r="M24631">
        <v>1</v>
      </c>
      <c r="N24631">
        <v>0</v>
      </c>
      <c r="O24631">
        <v>1915</v>
      </c>
    </row>
    <row r="24632" spans="1:15" x14ac:dyDescent="0.25">
      <c r="A24632" t="s">
        <v>24645</v>
      </c>
      <c r="B24632">
        <v>803</v>
      </c>
      <c r="C24632" s="1" t="str">
        <f>HYPERLINK("http://www.rosaceae.org/gb/gbrowse/malus_x_domestica/?name=MDP0000321910","MDP0000321910")</f>
        <v>MDP0000321910</v>
      </c>
      <c r="D24632">
        <v>81.040000000000006</v>
      </c>
      <c r="E24632">
        <v>749</v>
      </c>
      <c r="F24632">
        <v>142</v>
      </c>
      <c r="G24632">
        <v>29</v>
      </c>
      <c r="H24632">
        <v>1</v>
      </c>
      <c r="I24632">
        <v>723</v>
      </c>
      <c r="J24632">
        <v>1</v>
      </c>
      <c r="K24632">
        <v>1</v>
      </c>
      <c r="L24632">
        <v>746</v>
      </c>
      <c r="M24632">
        <v>1</v>
      </c>
      <c r="N24632">
        <v>0</v>
      </c>
      <c r="O24632">
        <v>3214</v>
      </c>
    </row>
    <row r="24633" spans="1:15" x14ac:dyDescent="0.25">
      <c r="A24633" t="s">
        <v>24646</v>
      </c>
      <c r="B24633">
        <v>290</v>
      </c>
      <c r="C24633" s="1" t="str">
        <f>HYPERLINK("http://www.rosaceae.org/gb/gbrowse/malus_x_domestica/?name=MDP0000206106","MDP0000206106")</f>
        <v>MDP0000206106</v>
      </c>
      <c r="D24633">
        <v>47.7</v>
      </c>
      <c r="E24633">
        <v>262</v>
      </c>
      <c r="F24633">
        <v>137</v>
      </c>
      <c r="G24633">
        <v>27</v>
      </c>
      <c r="H24633">
        <v>1</v>
      </c>
      <c r="I24633">
        <v>260</v>
      </c>
      <c r="J24633">
        <v>1</v>
      </c>
      <c r="K24633">
        <v>1</v>
      </c>
      <c r="L24633">
        <v>237</v>
      </c>
      <c r="M24633">
        <v>1</v>
      </c>
      <c r="N24633">
        <v>2.5101499999999999E-58</v>
      </c>
      <c r="O24633">
        <v>567</v>
      </c>
    </row>
    <row r="24634" spans="1:15" x14ac:dyDescent="0.25">
      <c r="A24634" t="s">
        <v>24647</v>
      </c>
      <c r="B24634">
        <v>770</v>
      </c>
      <c r="C24634" s="1" t="str">
        <f>HYPERLINK("http://www.rosaceae.org/gb/gbrowse/malus_x_domestica/?name=MDP0000245600","MDP0000245600")</f>
        <v>MDP0000245600</v>
      </c>
      <c r="D24634">
        <v>76.23</v>
      </c>
      <c r="E24634">
        <v>547</v>
      </c>
      <c r="F24634">
        <v>130</v>
      </c>
      <c r="G24634">
        <v>1</v>
      </c>
      <c r="H24634">
        <v>5</v>
      </c>
      <c r="I24634">
        <v>550</v>
      </c>
      <c r="J24634">
        <v>1</v>
      </c>
      <c r="K24634">
        <v>1</v>
      </c>
      <c r="L24634">
        <v>547</v>
      </c>
      <c r="M24634">
        <v>1</v>
      </c>
      <c r="N24634">
        <v>0</v>
      </c>
      <c r="O24634">
        <v>2134</v>
      </c>
    </row>
    <row r="24635" spans="1:15" x14ac:dyDescent="0.25">
      <c r="A24635" t="s">
        <v>24648</v>
      </c>
      <c r="B24635">
        <v>502</v>
      </c>
      <c r="C24635" s="1" t="str">
        <f>HYPERLINK("http://www.rosaceae.org/gb/gbrowse/malus_x_domestica/?name=MDP0000319833","MDP0000319833")</f>
        <v>MDP0000319833</v>
      </c>
      <c r="D24635">
        <v>42.49</v>
      </c>
      <c r="E24635">
        <v>393</v>
      </c>
      <c r="F24635">
        <v>226</v>
      </c>
      <c r="G24635">
        <v>60</v>
      </c>
      <c r="H24635">
        <v>164</v>
      </c>
      <c r="I24635">
        <v>496</v>
      </c>
      <c r="J24635">
        <v>1</v>
      </c>
      <c r="K24635">
        <v>464</v>
      </c>
      <c r="L24635">
        <v>856</v>
      </c>
      <c r="M24635">
        <v>1</v>
      </c>
      <c r="N24635">
        <v>5.8367899999999995E-85</v>
      </c>
      <c r="O24635">
        <v>799</v>
      </c>
    </row>
    <row r="24636" spans="1:15" x14ac:dyDescent="0.25">
      <c r="A24636" t="s">
        <v>24649</v>
      </c>
      <c r="B24636">
        <v>264</v>
      </c>
      <c r="C24636" s="1" t="str">
        <f>HYPERLINK("http://www.rosaceae.org/gb/gbrowse/malus_x_domestica/?name=MDP0000201937","MDP0000201937")</f>
        <v>MDP0000201937</v>
      </c>
      <c r="D24636">
        <v>72.760000000000005</v>
      </c>
      <c r="E24636">
        <v>246</v>
      </c>
      <c r="F24636">
        <v>67</v>
      </c>
      <c r="G24636">
        <v>4</v>
      </c>
      <c r="H24636">
        <v>5</v>
      </c>
      <c r="I24636">
        <v>246</v>
      </c>
      <c r="J24636">
        <v>1</v>
      </c>
      <c r="K24636">
        <v>404</v>
      </c>
      <c r="L24636">
        <v>649</v>
      </c>
      <c r="M24636">
        <v>1</v>
      </c>
      <c r="N24636">
        <v>5.0939600000000003E-99</v>
      </c>
      <c r="O24636">
        <v>917</v>
      </c>
    </row>
    <row r="24637" spans="1:15" x14ac:dyDescent="0.25">
      <c r="A24637" t="s">
        <v>24650</v>
      </c>
      <c r="B24637">
        <v>186</v>
      </c>
      <c r="C24637" s="1" t="str">
        <f>HYPERLINK("http://www.rosaceae.org/gb/gbrowse/malus_x_domestica/?name=MDP0000818967","MDP0000818967")</f>
        <v>MDP0000818967</v>
      </c>
      <c r="D24637">
        <v>95.23</v>
      </c>
      <c r="E24637">
        <v>126</v>
      </c>
      <c r="F24637">
        <v>6</v>
      </c>
      <c r="G24637">
        <v>2</v>
      </c>
      <c r="H24637">
        <v>1</v>
      </c>
      <c r="I24637">
        <v>126</v>
      </c>
      <c r="J24637">
        <v>1</v>
      </c>
      <c r="K24637">
        <v>1</v>
      </c>
      <c r="L24637">
        <v>124</v>
      </c>
      <c r="M24637">
        <v>1</v>
      </c>
      <c r="N24637">
        <v>2.9026299999999998E-65</v>
      </c>
      <c r="O24637">
        <v>624</v>
      </c>
    </row>
    <row r="24638" spans="1:15" x14ac:dyDescent="0.25">
      <c r="A24638" t="s">
        <v>24651</v>
      </c>
      <c r="B24638">
        <v>346</v>
      </c>
      <c r="C24638" s="1" t="str">
        <f>HYPERLINK("http://www.rosaceae.org/gb/gbrowse/malus_x_domestica/?name=MDP0000169753","MDP0000169753")</f>
        <v>MDP0000169753</v>
      </c>
      <c r="D24638">
        <v>70.55</v>
      </c>
      <c r="E24638">
        <v>197</v>
      </c>
      <c r="F24638">
        <v>58</v>
      </c>
      <c r="G24638">
        <v>3</v>
      </c>
      <c r="H24638">
        <v>132</v>
      </c>
      <c r="I24638">
        <v>326</v>
      </c>
      <c r="J24638">
        <v>1</v>
      </c>
      <c r="K24638">
        <v>188</v>
      </c>
      <c r="L24638">
        <v>383</v>
      </c>
      <c r="M24638">
        <v>1</v>
      </c>
      <c r="N24638">
        <v>7.0011400000000002E-73</v>
      </c>
      <c r="O24638">
        <v>693</v>
      </c>
    </row>
    <row r="24639" spans="1:15" x14ac:dyDescent="0.25">
      <c r="A24639" t="s">
        <v>24652</v>
      </c>
      <c r="B24639">
        <v>757</v>
      </c>
      <c r="C24639" s="1" t="str">
        <f>HYPERLINK("http://www.rosaceae.org/gb/gbrowse/malus_x_domestica/?name=MDP0000212585","MDP0000212585")</f>
        <v>MDP0000212585</v>
      </c>
      <c r="D24639">
        <v>55.18</v>
      </c>
      <c r="E24639">
        <v>453</v>
      </c>
      <c r="F24639">
        <v>203</v>
      </c>
      <c r="G24639">
        <v>103</v>
      </c>
      <c r="H24639">
        <v>340</v>
      </c>
      <c r="I24639">
        <v>752</v>
      </c>
      <c r="J24639">
        <v>1</v>
      </c>
      <c r="K24639">
        <v>160</v>
      </c>
      <c r="L24639">
        <v>549</v>
      </c>
      <c r="M24639">
        <v>1</v>
      </c>
      <c r="N24639">
        <v>9.5234799999999996E-120</v>
      </c>
      <c r="O24639">
        <v>1101</v>
      </c>
    </row>
    <row r="24640" spans="1:15" x14ac:dyDescent="0.25">
      <c r="A24640" t="s">
        <v>24653</v>
      </c>
      <c r="B24640">
        <v>731</v>
      </c>
      <c r="C24640" s="1" t="str">
        <f>HYPERLINK("http://www.rosaceae.org/gb/gbrowse/malus_x_domestica/?name=MDP0000318276","MDP0000318276")</f>
        <v>MDP0000318276</v>
      </c>
      <c r="D24640">
        <v>92.46</v>
      </c>
      <c r="E24640">
        <v>584</v>
      </c>
      <c r="F24640">
        <v>44</v>
      </c>
      <c r="G24640">
        <v>1</v>
      </c>
      <c r="H24640">
        <v>129</v>
      </c>
      <c r="I24640">
        <v>712</v>
      </c>
      <c r="J24640">
        <v>1</v>
      </c>
      <c r="K24640">
        <v>98</v>
      </c>
      <c r="L24640">
        <v>680</v>
      </c>
      <c r="M24640">
        <v>1</v>
      </c>
      <c r="N24640">
        <v>0</v>
      </c>
      <c r="O24640">
        <v>2927</v>
      </c>
    </row>
    <row r="24641" spans="1:15" x14ac:dyDescent="0.25">
      <c r="A24641" t="s">
        <v>24654</v>
      </c>
      <c r="B24641">
        <v>913</v>
      </c>
      <c r="C24641" s="1" t="str">
        <f>HYPERLINK("http://www.rosaceae.org/gb/gbrowse/malus_x_domestica/?name=MDP0000128587","MDP0000128587")</f>
        <v>MDP0000128587</v>
      </c>
      <c r="D24641">
        <v>87.63</v>
      </c>
      <c r="E24641">
        <v>817</v>
      </c>
      <c r="F24641">
        <v>101</v>
      </c>
      <c r="G24641">
        <v>7</v>
      </c>
      <c r="H24641">
        <v>97</v>
      </c>
      <c r="I24641">
        <v>913</v>
      </c>
      <c r="J24641">
        <v>1</v>
      </c>
      <c r="K24641">
        <v>64</v>
      </c>
      <c r="L24641">
        <v>873</v>
      </c>
      <c r="M24641">
        <v>1</v>
      </c>
      <c r="N24641">
        <v>0</v>
      </c>
      <c r="O24641">
        <v>3778</v>
      </c>
    </row>
    <row r="24642" spans="1:15" x14ac:dyDescent="0.25">
      <c r="A24642" t="s">
        <v>24655</v>
      </c>
      <c r="B24642">
        <v>721</v>
      </c>
      <c r="C24642" s="1" t="str">
        <f>HYPERLINK("http://www.rosaceae.org/gb/gbrowse/malus_x_domestica/?name=MDP0000178901","MDP0000178901")</f>
        <v>MDP0000178901</v>
      </c>
      <c r="D24642">
        <v>35.83</v>
      </c>
      <c r="E24642">
        <v>720</v>
      </c>
      <c r="F24642">
        <v>462</v>
      </c>
      <c r="G24642">
        <v>130</v>
      </c>
      <c r="H24642">
        <v>77</v>
      </c>
      <c r="I24642">
        <v>690</v>
      </c>
      <c r="J24642">
        <v>1</v>
      </c>
      <c r="K24642">
        <v>302</v>
      </c>
      <c r="L24642">
        <v>997</v>
      </c>
      <c r="M24642">
        <v>1</v>
      </c>
      <c r="N24642">
        <v>2.4099800000000001E-86</v>
      </c>
      <c r="O24642">
        <v>813</v>
      </c>
    </row>
    <row r="24643" spans="1:15" x14ac:dyDescent="0.25">
      <c r="A24643" t="s">
        <v>24656</v>
      </c>
      <c r="B24643">
        <v>961</v>
      </c>
      <c r="C24643" s="1" t="str">
        <f>HYPERLINK("http://www.rosaceae.org/gb/gbrowse/malus_x_domestica/?name=MDP0000313059","MDP0000313059")</f>
        <v>MDP0000313059</v>
      </c>
      <c r="D24643">
        <v>87.73</v>
      </c>
      <c r="E24643">
        <v>889</v>
      </c>
      <c r="F24643">
        <v>109</v>
      </c>
      <c r="G24643">
        <v>36</v>
      </c>
      <c r="H24643">
        <v>1</v>
      </c>
      <c r="I24643">
        <v>855</v>
      </c>
      <c r="J24643">
        <v>1</v>
      </c>
      <c r="K24643">
        <v>3</v>
      </c>
      <c r="L24643">
        <v>889</v>
      </c>
      <c r="M24643">
        <v>1</v>
      </c>
      <c r="N24643">
        <v>0</v>
      </c>
      <c r="O24643">
        <v>4093</v>
      </c>
    </row>
    <row r="24644" spans="1:15" x14ac:dyDescent="0.25">
      <c r="A24644" t="s">
        <v>24657</v>
      </c>
      <c r="B24644">
        <v>253</v>
      </c>
      <c r="C24644" s="1" t="str">
        <f>HYPERLINK("http://www.rosaceae.org/gb/gbrowse/malus_x_domestica/?name=MDP0000295315","MDP0000295315")</f>
        <v>MDP0000295315</v>
      </c>
      <c r="D24644">
        <v>56.03</v>
      </c>
      <c r="E24644">
        <v>232</v>
      </c>
      <c r="F24644">
        <v>102</v>
      </c>
      <c r="G24644">
        <v>5</v>
      </c>
      <c r="H24644">
        <v>17</v>
      </c>
      <c r="I24644">
        <v>248</v>
      </c>
      <c r="J24644">
        <v>1</v>
      </c>
      <c r="K24644">
        <v>64</v>
      </c>
      <c r="L24644">
        <v>290</v>
      </c>
      <c r="M24644">
        <v>1</v>
      </c>
      <c r="N24644">
        <v>3.3822000000000001E-67</v>
      </c>
      <c r="O24644">
        <v>643</v>
      </c>
    </row>
    <row r="24645" spans="1:15" x14ac:dyDescent="0.25">
      <c r="A24645" t="s">
        <v>24658</v>
      </c>
      <c r="B24645">
        <v>321</v>
      </c>
      <c r="C24645" s="1" t="str">
        <f>HYPERLINK("http://www.rosaceae.org/gb/gbrowse/malus_x_domestica/?name=MDP0000749281","MDP0000749281")</f>
        <v>MDP0000749281</v>
      </c>
      <c r="D24645">
        <v>89.45</v>
      </c>
      <c r="E24645">
        <v>275</v>
      </c>
      <c r="F24645">
        <v>29</v>
      </c>
      <c r="G24645">
        <v>0</v>
      </c>
      <c r="H24645">
        <v>3</v>
      </c>
      <c r="I24645">
        <v>277</v>
      </c>
      <c r="J24645">
        <v>1</v>
      </c>
      <c r="K24645">
        <v>4</v>
      </c>
      <c r="L24645">
        <v>278</v>
      </c>
      <c r="M24645">
        <v>1</v>
      </c>
      <c r="N24645">
        <v>3.1295700000000001E-143</v>
      </c>
      <c r="O24645">
        <v>1300</v>
      </c>
    </row>
    <row r="24646" spans="1:15" x14ac:dyDescent="0.25">
      <c r="A24646" t="s">
        <v>24659</v>
      </c>
      <c r="B24646">
        <v>307</v>
      </c>
      <c r="C24646" s="1" t="str">
        <f>HYPERLINK("http://www.rosaceae.org/gb/gbrowse/malus_x_domestica/?name=MDP0000485280","MDP0000485280")</f>
        <v>MDP0000485280</v>
      </c>
      <c r="D24646">
        <v>52.47</v>
      </c>
      <c r="E24646">
        <v>263</v>
      </c>
      <c r="F24646">
        <v>125</v>
      </c>
      <c r="G24646">
        <v>23</v>
      </c>
      <c r="H24646">
        <v>39</v>
      </c>
      <c r="I24646">
        <v>280</v>
      </c>
      <c r="J24646">
        <v>1</v>
      </c>
      <c r="K24646">
        <v>30</v>
      </c>
      <c r="L24646">
        <v>290</v>
      </c>
      <c r="M24646">
        <v>1</v>
      </c>
      <c r="N24646">
        <v>1.08924E-72</v>
      </c>
      <c r="O24646">
        <v>691</v>
      </c>
    </row>
    <row r="24647" spans="1:15" x14ac:dyDescent="0.25">
      <c r="A24647" t="s">
        <v>24660</v>
      </c>
      <c r="B24647">
        <v>612</v>
      </c>
      <c r="C24647" s="1" t="str">
        <f>HYPERLINK("http://www.rosaceae.org/gb/gbrowse/malus_x_domestica/?name=MDP0000147814","MDP0000147814")</f>
        <v>MDP0000147814</v>
      </c>
      <c r="D24647">
        <v>64.39</v>
      </c>
      <c r="E24647">
        <v>514</v>
      </c>
      <c r="F24647">
        <v>183</v>
      </c>
      <c r="G24647">
        <v>4</v>
      </c>
      <c r="H24647">
        <v>1</v>
      </c>
      <c r="I24647">
        <v>514</v>
      </c>
      <c r="J24647">
        <v>1</v>
      </c>
      <c r="K24647">
        <v>1</v>
      </c>
      <c r="L24647">
        <v>510</v>
      </c>
      <c r="M24647">
        <v>1</v>
      </c>
      <c r="N24647">
        <v>0</v>
      </c>
      <c r="O24647">
        <v>1785</v>
      </c>
    </row>
    <row r="24648" spans="1:15" x14ac:dyDescent="0.25">
      <c r="A24648" t="s">
        <v>24661</v>
      </c>
      <c r="B24648">
        <v>480</v>
      </c>
      <c r="C24648" s="1" t="str">
        <f>HYPERLINK("http://www.rosaceae.org/gb/gbrowse/malus_x_domestica/?name=MDP0000325761","MDP0000325761")</f>
        <v>MDP0000325761</v>
      </c>
      <c r="D24648">
        <v>76.790000000000006</v>
      </c>
      <c r="E24648">
        <v>474</v>
      </c>
      <c r="F24648">
        <v>110</v>
      </c>
      <c r="G24648">
        <v>1</v>
      </c>
      <c r="H24648">
        <v>1</v>
      </c>
      <c r="I24648">
        <v>474</v>
      </c>
      <c r="J24648">
        <v>1</v>
      </c>
      <c r="K24648">
        <v>1</v>
      </c>
      <c r="L24648">
        <v>473</v>
      </c>
      <c r="M24648">
        <v>1</v>
      </c>
      <c r="N24648">
        <v>0</v>
      </c>
      <c r="O24648">
        <v>1932</v>
      </c>
    </row>
    <row r="24649" spans="1:15" x14ac:dyDescent="0.25">
      <c r="A24649" t="s">
        <v>24662</v>
      </c>
      <c r="B24649">
        <v>145</v>
      </c>
      <c r="C24649" s="1" t="str">
        <f>HYPERLINK("http://www.rosaceae.org/gb/gbrowse/malus_x_domestica/?name=MDP0000247006","MDP0000247006")</f>
        <v>MDP0000247006</v>
      </c>
      <c r="D24649">
        <v>72.09</v>
      </c>
      <c r="E24649">
        <v>43</v>
      </c>
      <c r="F24649">
        <v>12</v>
      </c>
      <c r="G24649">
        <v>0</v>
      </c>
      <c r="H24649">
        <v>1</v>
      </c>
      <c r="I24649">
        <v>43</v>
      </c>
      <c r="J24649">
        <v>1</v>
      </c>
      <c r="K24649">
        <v>1</v>
      </c>
      <c r="L24649">
        <v>43</v>
      </c>
      <c r="M24649">
        <v>1</v>
      </c>
      <c r="N24649">
        <v>5.7729899999999996E-12</v>
      </c>
      <c r="O24649">
        <v>162</v>
      </c>
    </row>
    <row r="24650" spans="1:15" x14ac:dyDescent="0.25">
      <c r="A24650" t="s">
        <v>24663</v>
      </c>
      <c r="B24650">
        <v>871</v>
      </c>
      <c r="C24650" s="1" t="str">
        <f>HYPERLINK("http://www.rosaceae.org/gb/gbrowse/malus_x_domestica/?name=MDP0000157225","MDP0000157225")</f>
        <v>MDP0000157225</v>
      </c>
      <c r="D24650">
        <v>45.81</v>
      </c>
      <c r="E24650">
        <v>836</v>
      </c>
      <c r="F24650">
        <v>453</v>
      </c>
      <c r="G24650">
        <v>85</v>
      </c>
      <c r="H24650">
        <v>10</v>
      </c>
      <c r="I24650">
        <v>834</v>
      </c>
      <c r="J24650">
        <v>1</v>
      </c>
      <c r="K24650">
        <v>9</v>
      </c>
      <c r="L24650">
        <v>770</v>
      </c>
      <c r="M24650">
        <v>1</v>
      </c>
      <c r="N24650">
        <v>0</v>
      </c>
      <c r="O24650">
        <v>1635</v>
      </c>
    </row>
    <row r="24651" spans="1:15" x14ac:dyDescent="0.25">
      <c r="A24651" t="s">
        <v>24664</v>
      </c>
      <c r="B24651">
        <v>259</v>
      </c>
      <c r="C24651" s="1" t="str">
        <f>HYPERLINK("http://www.rosaceae.org/gb/gbrowse/malus_x_domestica/?name=MDP0000138517","MDP0000138517")</f>
        <v>MDP0000138517</v>
      </c>
      <c r="D24651">
        <v>33.06</v>
      </c>
      <c r="E24651">
        <v>248</v>
      </c>
      <c r="F24651">
        <v>166</v>
      </c>
      <c r="G24651">
        <v>29</v>
      </c>
      <c r="H24651">
        <v>3</v>
      </c>
      <c r="I24651">
        <v>245</v>
      </c>
      <c r="J24651">
        <v>1</v>
      </c>
      <c r="K24651">
        <v>155</v>
      </c>
      <c r="L24651">
        <v>378</v>
      </c>
      <c r="M24651">
        <v>1</v>
      </c>
      <c r="N24651">
        <v>1.1550800000000001E-21</v>
      </c>
      <c r="O24651">
        <v>250</v>
      </c>
    </row>
    <row r="24652" spans="1:15" x14ac:dyDescent="0.25">
      <c r="A24652" t="s">
        <v>24665</v>
      </c>
      <c r="B24652">
        <v>1330</v>
      </c>
      <c r="C24652" s="1" t="str">
        <f>HYPERLINK("http://www.rosaceae.org/gb/gbrowse/malus_x_domestica/?name=MDP0000247195","MDP0000247195")</f>
        <v>MDP0000247195</v>
      </c>
      <c r="D24652">
        <v>79.41</v>
      </c>
      <c r="E24652">
        <v>782</v>
      </c>
      <c r="F24652">
        <v>161</v>
      </c>
      <c r="G24652">
        <v>11</v>
      </c>
      <c r="H24652">
        <v>554</v>
      </c>
      <c r="I24652">
        <v>1330</v>
      </c>
      <c r="J24652">
        <v>1</v>
      </c>
      <c r="K24652">
        <v>1</v>
      </c>
      <c r="L24652">
        <v>776</v>
      </c>
      <c r="M24652">
        <v>1</v>
      </c>
      <c r="N24652">
        <v>0</v>
      </c>
      <c r="O24652">
        <v>3210</v>
      </c>
    </row>
    <row r="24653" spans="1:15" x14ac:dyDescent="0.25">
      <c r="A24653" t="s">
        <v>24666</v>
      </c>
      <c r="B24653">
        <v>110</v>
      </c>
      <c r="C24653" s="1" t="str">
        <f>HYPERLINK("http://www.rosaceae.org/gb/gbrowse/malus_x_domestica/?name=MDP0000329640","MDP0000329640")</f>
        <v>MDP0000329640</v>
      </c>
      <c r="D24653">
        <v>64.16</v>
      </c>
      <c r="E24653">
        <v>120</v>
      </c>
      <c r="F24653">
        <v>43</v>
      </c>
      <c r="G24653">
        <v>18</v>
      </c>
      <c r="H24653">
        <v>1</v>
      </c>
      <c r="I24653">
        <v>110</v>
      </c>
      <c r="J24653">
        <v>1</v>
      </c>
      <c r="K24653">
        <v>11</v>
      </c>
      <c r="L24653">
        <v>122</v>
      </c>
      <c r="M24653">
        <v>1</v>
      </c>
      <c r="N24653">
        <v>3.7993200000000001E-34</v>
      </c>
      <c r="O24653">
        <v>352</v>
      </c>
    </row>
    <row r="24654" spans="1:15" x14ac:dyDescent="0.25">
      <c r="A24654" t="s">
        <v>24667</v>
      </c>
      <c r="B24654">
        <v>257</v>
      </c>
      <c r="C24654" s="1" t="str">
        <f>HYPERLINK("http://www.rosaceae.org/gb/gbrowse/malus_x_domestica/?name=MDP0000139971","MDP0000139971")</f>
        <v>MDP0000139971</v>
      </c>
      <c r="D24654">
        <v>73.22</v>
      </c>
      <c r="E24654">
        <v>183</v>
      </c>
      <c r="F24654">
        <v>49</v>
      </c>
      <c r="G24654">
        <v>13</v>
      </c>
      <c r="H24654">
        <v>74</v>
      </c>
      <c r="I24654">
        <v>247</v>
      </c>
      <c r="J24654">
        <v>1</v>
      </c>
      <c r="K24654">
        <v>571</v>
      </c>
      <c r="L24654">
        <v>749</v>
      </c>
      <c r="M24654">
        <v>1</v>
      </c>
      <c r="N24654">
        <v>1.38236E-77</v>
      </c>
      <c r="O24654">
        <v>732</v>
      </c>
    </row>
    <row r="24655" spans="1:15" x14ac:dyDescent="0.25">
      <c r="A24655" t="s">
        <v>24668</v>
      </c>
      <c r="B24655">
        <v>79</v>
      </c>
      <c r="C24655" s="1" t="str">
        <f>HYPERLINK("http://www.rosaceae.org/gb/gbrowse/malus_x_domestica/?name=MDP0000625274","MDP0000625274")</f>
        <v>MDP0000625274</v>
      </c>
      <c r="D24655">
        <v>68.42</v>
      </c>
      <c r="E24655">
        <v>57</v>
      </c>
      <c r="F24655">
        <v>18</v>
      </c>
      <c r="G24655">
        <v>3</v>
      </c>
      <c r="H24655">
        <v>23</v>
      </c>
      <c r="I24655">
        <v>79</v>
      </c>
      <c r="J24655">
        <v>1</v>
      </c>
      <c r="K24655">
        <v>29</v>
      </c>
      <c r="L24655">
        <v>82</v>
      </c>
      <c r="M24655">
        <v>1</v>
      </c>
      <c r="N24655">
        <v>2.6341200000000001E-11</v>
      </c>
      <c r="O24655">
        <v>155</v>
      </c>
    </row>
    <row r="24656" spans="1:15" x14ac:dyDescent="0.25">
      <c r="A24656" t="s">
        <v>24669</v>
      </c>
      <c r="B24656">
        <v>337</v>
      </c>
      <c r="C24656" s="1" t="str">
        <f>HYPERLINK("http://www.rosaceae.org/gb/gbrowse/malus_x_domestica/?name=MDP0000310981","MDP0000310981")</f>
        <v>MDP0000310981</v>
      </c>
      <c r="D24656">
        <v>47.64</v>
      </c>
      <c r="E24656">
        <v>361</v>
      </c>
      <c r="F24656">
        <v>189</v>
      </c>
      <c r="G24656">
        <v>57</v>
      </c>
      <c r="H24656">
        <v>1</v>
      </c>
      <c r="I24656">
        <v>315</v>
      </c>
      <c r="J24656">
        <v>1</v>
      </c>
      <c r="K24656">
        <v>1</v>
      </c>
      <c r="L24656">
        <v>350</v>
      </c>
      <c r="M24656">
        <v>1</v>
      </c>
      <c r="N24656">
        <v>2.68909E-77</v>
      </c>
      <c r="O24656">
        <v>731</v>
      </c>
    </row>
    <row r="24657" spans="1:15" x14ac:dyDescent="0.25">
      <c r="A24657" t="s">
        <v>24670</v>
      </c>
      <c r="B24657">
        <v>507</v>
      </c>
      <c r="C24657" s="1" t="str">
        <f>HYPERLINK("http://www.rosaceae.org/gb/gbrowse/malus_x_domestica/?name=MDP0000136806","MDP0000136806")</f>
        <v>MDP0000136806</v>
      </c>
      <c r="D24657">
        <v>80.290000000000006</v>
      </c>
      <c r="E24657">
        <v>477</v>
      </c>
      <c r="F24657">
        <v>94</v>
      </c>
      <c r="G24657">
        <v>13</v>
      </c>
      <c r="H24657">
        <v>11</v>
      </c>
      <c r="I24657">
        <v>476</v>
      </c>
      <c r="J24657">
        <v>1</v>
      </c>
      <c r="K24657">
        <v>41</v>
      </c>
      <c r="L24657">
        <v>515</v>
      </c>
      <c r="M24657">
        <v>1</v>
      </c>
      <c r="N24657">
        <v>0</v>
      </c>
      <c r="O24657">
        <v>2009</v>
      </c>
    </row>
    <row r="24658" spans="1:15" x14ac:dyDescent="0.25">
      <c r="A24658" t="s">
        <v>24671</v>
      </c>
      <c r="B24658">
        <v>426</v>
      </c>
      <c r="C24658" s="1" t="str">
        <f>HYPERLINK("http://www.rosaceae.org/gb/gbrowse/malus_x_domestica/?name=MDP0000811085","MDP0000811085")</f>
        <v>MDP0000811085</v>
      </c>
      <c r="D24658">
        <v>47.14</v>
      </c>
      <c r="E24658">
        <v>420</v>
      </c>
      <c r="F24658">
        <v>222</v>
      </c>
      <c r="G24658">
        <v>30</v>
      </c>
      <c r="H24658">
        <v>28</v>
      </c>
      <c r="I24658">
        <v>425</v>
      </c>
      <c r="J24658">
        <v>1</v>
      </c>
      <c r="K24658">
        <v>1</v>
      </c>
      <c r="L24658">
        <v>412</v>
      </c>
      <c r="M24658">
        <v>1</v>
      </c>
      <c r="N24658">
        <v>1.9319E-99</v>
      </c>
      <c r="O24658">
        <v>923</v>
      </c>
    </row>
    <row r="24659" spans="1:15" x14ac:dyDescent="0.25">
      <c r="A24659" t="s">
        <v>24672</v>
      </c>
      <c r="B24659">
        <v>73</v>
      </c>
      <c r="C24659" s="1" t="str">
        <f>HYPERLINK("http://www.rosaceae.org/gb/gbrowse/malus_x_domestica/?name=MDP0000504126","MDP0000504126")</f>
        <v>MDP0000504126</v>
      </c>
      <c r="D24659">
        <v>56.94</v>
      </c>
      <c r="E24659">
        <v>72</v>
      </c>
      <c r="F24659">
        <v>31</v>
      </c>
      <c r="G24659">
        <v>2</v>
      </c>
      <c r="H24659">
        <v>1</v>
      </c>
      <c r="I24659">
        <v>72</v>
      </c>
      <c r="J24659">
        <v>1</v>
      </c>
      <c r="K24659">
        <v>27</v>
      </c>
      <c r="L24659">
        <v>96</v>
      </c>
      <c r="M24659">
        <v>1</v>
      </c>
      <c r="N24659">
        <v>1.08479E-10</v>
      </c>
      <c r="O24659">
        <v>150</v>
      </c>
    </row>
    <row r="24660" spans="1:15" x14ac:dyDescent="0.25">
      <c r="A24660" t="s">
        <v>24673</v>
      </c>
      <c r="B24660">
        <v>952</v>
      </c>
      <c r="C24660" s="1" t="str">
        <f>HYPERLINK("http://www.rosaceae.org/gb/gbrowse/malus_x_domestica/?name=MDP0000138501","MDP0000138501")</f>
        <v>MDP0000138501</v>
      </c>
      <c r="D24660">
        <v>63.26</v>
      </c>
      <c r="E24660">
        <v>969</v>
      </c>
      <c r="F24660">
        <v>356</v>
      </c>
      <c r="G24660">
        <v>128</v>
      </c>
      <c r="H24660">
        <v>58</v>
      </c>
      <c r="I24660">
        <v>950</v>
      </c>
      <c r="J24660">
        <v>1</v>
      </c>
      <c r="K24660">
        <v>66</v>
      </c>
      <c r="L24660">
        <v>982</v>
      </c>
      <c r="M24660">
        <v>1</v>
      </c>
      <c r="N24660">
        <v>0</v>
      </c>
      <c r="O24660">
        <v>3080</v>
      </c>
    </row>
    <row r="24661" spans="1:15" x14ac:dyDescent="0.25">
      <c r="A24661" t="s">
        <v>24674</v>
      </c>
      <c r="B24661">
        <v>202</v>
      </c>
      <c r="C24661" s="1" t="str">
        <f>HYPERLINK("http://www.rosaceae.org/gb/gbrowse/malus_x_domestica/?name=MDP0000216956","MDP0000216956")</f>
        <v>MDP0000216956</v>
      </c>
      <c r="D24661">
        <v>50</v>
      </c>
      <c r="E24661">
        <v>90</v>
      </c>
      <c r="F24661">
        <v>45</v>
      </c>
      <c r="G24661">
        <v>12</v>
      </c>
      <c r="H24661">
        <v>8</v>
      </c>
      <c r="I24661">
        <v>88</v>
      </c>
      <c r="J24661">
        <v>1</v>
      </c>
      <c r="K24661">
        <v>154</v>
      </c>
      <c r="L24661">
        <v>240</v>
      </c>
      <c r="M24661">
        <v>1</v>
      </c>
      <c r="N24661">
        <v>1.5119199999999999E-19</v>
      </c>
      <c r="O24661">
        <v>230</v>
      </c>
    </row>
    <row r="24662" spans="1:15" x14ac:dyDescent="0.25">
      <c r="A24662" t="s">
        <v>24675</v>
      </c>
      <c r="B24662">
        <v>140</v>
      </c>
      <c r="C24662" s="1" t="str">
        <f>HYPERLINK("http://www.rosaceae.org/gb/gbrowse/malus_x_domestica/?name=MDP0000318339","MDP0000318339")</f>
        <v>MDP0000318339</v>
      </c>
      <c r="D24662">
        <v>41.73</v>
      </c>
      <c r="E24662">
        <v>127</v>
      </c>
      <c r="F24662">
        <v>74</v>
      </c>
      <c r="G24662">
        <v>11</v>
      </c>
      <c r="H24662">
        <v>16</v>
      </c>
      <c r="I24662">
        <v>140</v>
      </c>
      <c r="J24662">
        <v>1</v>
      </c>
      <c r="K24662">
        <v>23</v>
      </c>
      <c r="L24662">
        <v>140</v>
      </c>
      <c r="M24662">
        <v>1</v>
      </c>
      <c r="N24662">
        <v>7.6854099999999998E-22</v>
      </c>
      <c r="O24662">
        <v>247</v>
      </c>
    </row>
    <row r="24663" spans="1:15" x14ac:dyDescent="0.25">
      <c r="A24663" t="s">
        <v>24676</v>
      </c>
      <c r="B24663">
        <v>91</v>
      </c>
      <c r="C24663" s="1" t="str">
        <f>HYPERLINK("http://www.rosaceae.org/gb/gbrowse/malus_x_domestica/?name=MDP0000263600","MDP0000263600")</f>
        <v>MDP0000263600</v>
      </c>
      <c r="D24663">
        <v>60</v>
      </c>
      <c r="E24663">
        <v>80</v>
      </c>
      <c r="F24663">
        <v>32</v>
      </c>
      <c r="G24663">
        <v>9</v>
      </c>
      <c r="H24663">
        <v>15</v>
      </c>
      <c r="I24663">
        <v>88</v>
      </c>
      <c r="J24663">
        <v>1</v>
      </c>
      <c r="K24663">
        <v>260</v>
      </c>
      <c r="L24663">
        <v>336</v>
      </c>
      <c r="M24663">
        <v>1</v>
      </c>
      <c r="N24663">
        <v>2.0944E-22</v>
      </c>
      <c r="O24663">
        <v>251</v>
      </c>
    </row>
    <row r="24664" spans="1:15" x14ac:dyDescent="0.25">
      <c r="A24664" t="s">
        <v>24677</v>
      </c>
      <c r="B24664">
        <v>397</v>
      </c>
      <c r="C24664" s="1" t="str">
        <f>HYPERLINK("http://www.rosaceae.org/gb/gbrowse/malus_x_domestica/?name=MDP0000136726","MDP0000136726")</f>
        <v>MDP0000136726</v>
      </c>
      <c r="D24664">
        <v>50.88</v>
      </c>
      <c r="E24664">
        <v>169</v>
      </c>
      <c r="F24664">
        <v>83</v>
      </c>
      <c r="G24664">
        <v>18</v>
      </c>
      <c r="H24664">
        <v>24</v>
      </c>
      <c r="I24664">
        <v>174</v>
      </c>
      <c r="J24664">
        <v>1</v>
      </c>
      <c r="K24664">
        <v>22</v>
      </c>
      <c r="L24664">
        <v>190</v>
      </c>
      <c r="M24664">
        <v>1</v>
      </c>
      <c r="N24664">
        <v>1.8334899999999999E-38</v>
      </c>
      <c r="O24664">
        <v>397</v>
      </c>
    </row>
    <row r="24665" spans="1:15" x14ac:dyDescent="0.25">
      <c r="A24665" t="s">
        <v>24678</v>
      </c>
      <c r="B24665">
        <v>130</v>
      </c>
      <c r="C24665" s="1" t="str">
        <f>HYPERLINK("http://www.rosaceae.org/gb/gbrowse/malus_x_domestica/?name=MDP0000239826","MDP0000239826")</f>
        <v>MDP0000239826</v>
      </c>
      <c r="D24665">
        <v>28.24</v>
      </c>
      <c r="E24665">
        <v>131</v>
      </c>
      <c r="F24665">
        <v>94</v>
      </c>
      <c r="G24665">
        <v>31</v>
      </c>
      <c r="H24665">
        <v>1</v>
      </c>
      <c r="I24665">
        <v>100</v>
      </c>
      <c r="J24665">
        <v>1</v>
      </c>
      <c r="K24665">
        <v>334</v>
      </c>
      <c r="L24665">
        <v>464</v>
      </c>
      <c r="M24665">
        <v>1</v>
      </c>
      <c r="N24665">
        <v>1.3186199999999999E-15</v>
      </c>
      <c r="O24665">
        <v>193</v>
      </c>
    </row>
    <row r="24666" spans="1:15" x14ac:dyDescent="0.25">
      <c r="A24666" t="s">
        <v>24679</v>
      </c>
      <c r="B24666">
        <v>211</v>
      </c>
      <c r="C24666" s="1" t="str">
        <f>HYPERLINK("http://www.rosaceae.org/gb/gbrowse/malus_x_domestica/?name=MDP0000272544","MDP0000272544")</f>
        <v>MDP0000272544</v>
      </c>
      <c r="D24666">
        <v>43.25</v>
      </c>
      <c r="E24666">
        <v>178</v>
      </c>
      <c r="F24666">
        <v>101</v>
      </c>
      <c r="G24666">
        <v>6</v>
      </c>
      <c r="H24666">
        <v>37</v>
      </c>
      <c r="I24666">
        <v>211</v>
      </c>
      <c r="J24666">
        <v>1</v>
      </c>
      <c r="K24666">
        <v>463</v>
      </c>
      <c r="L24666">
        <v>637</v>
      </c>
      <c r="M24666">
        <v>1</v>
      </c>
      <c r="N24666">
        <v>1.0370699999999999E-37</v>
      </c>
      <c r="O24666">
        <v>387</v>
      </c>
    </row>
    <row r="24667" spans="1:15" x14ac:dyDescent="0.25">
      <c r="A24667" t="s">
        <v>24680</v>
      </c>
      <c r="B24667">
        <v>131</v>
      </c>
      <c r="C24667" s="1" t="str">
        <f>HYPERLINK("http://www.rosaceae.org/gb/gbrowse/malus_x_domestica/?name=MDP0000132688","MDP0000132688")</f>
        <v>MDP0000132688</v>
      </c>
      <c r="D24667">
        <v>69.23</v>
      </c>
      <c r="E24667">
        <v>130</v>
      </c>
      <c r="F24667">
        <v>40</v>
      </c>
      <c r="G24667">
        <v>3</v>
      </c>
      <c r="H24667">
        <v>1</v>
      </c>
      <c r="I24667">
        <v>130</v>
      </c>
      <c r="J24667">
        <v>1</v>
      </c>
      <c r="K24667">
        <v>1</v>
      </c>
      <c r="L24667">
        <v>127</v>
      </c>
      <c r="M24667">
        <v>1</v>
      </c>
      <c r="N24667">
        <v>5.3710799999999999E-51</v>
      </c>
      <c r="O24667">
        <v>498</v>
      </c>
    </row>
    <row r="24668" spans="1:15" x14ac:dyDescent="0.25">
      <c r="A24668" t="s">
        <v>24681</v>
      </c>
      <c r="B24668">
        <v>1032</v>
      </c>
      <c r="C24668" s="1" t="str">
        <f>HYPERLINK("http://www.rosaceae.org/gb/gbrowse/malus_x_domestica/?name=MDP0000287393","MDP0000287393")</f>
        <v>MDP0000287393</v>
      </c>
      <c r="D24668">
        <v>26.92</v>
      </c>
      <c r="E24668">
        <v>234</v>
      </c>
      <c r="F24668">
        <v>171</v>
      </c>
      <c r="G24668">
        <v>28</v>
      </c>
      <c r="H24668">
        <v>195</v>
      </c>
      <c r="I24668">
        <v>407</v>
      </c>
      <c r="J24668">
        <v>1</v>
      </c>
      <c r="K24668">
        <v>308</v>
      </c>
      <c r="L24668">
        <v>534</v>
      </c>
      <c r="M24668">
        <v>1</v>
      </c>
      <c r="N24668">
        <v>3.9816900000000002E-12</v>
      </c>
      <c r="O24668">
        <v>174</v>
      </c>
    </row>
    <row r="24669" spans="1:15" x14ac:dyDescent="0.25">
      <c r="A24669" t="s">
        <v>24682</v>
      </c>
      <c r="B24669">
        <v>1208</v>
      </c>
      <c r="C24669" s="1" t="str">
        <f>HYPERLINK("http://www.rosaceae.org/gb/gbrowse/malus_x_domestica/?name=MDP0000304061","MDP0000304061")</f>
        <v>MDP0000304061</v>
      </c>
      <c r="D24669">
        <v>72.84</v>
      </c>
      <c r="E24669">
        <v>1204</v>
      </c>
      <c r="F24669">
        <v>327</v>
      </c>
      <c r="G24669">
        <v>50</v>
      </c>
      <c r="H24669">
        <v>49</v>
      </c>
      <c r="I24669">
        <v>1208</v>
      </c>
      <c r="J24669">
        <v>1</v>
      </c>
      <c r="K24669">
        <v>12</v>
      </c>
      <c r="L24669">
        <v>1209</v>
      </c>
      <c r="M24669">
        <v>1</v>
      </c>
      <c r="N24669">
        <v>0</v>
      </c>
      <c r="O24669">
        <v>4436</v>
      </c>
    </row>
    <row r="24670" spans="1:15" x14ac:dyDescent="0.25">
      <c r="A24670" t="s">
        <v>24683</v>
      </c>
      <c r="B24670">
        <v>343</v>
      </c>
      <c r="C24670" s="1" t="str">
        <f>HYPERLINK("http://www.rosaceae.org/gb/gbrowse/malus_x_domestica/?name=MDP0000251953","MDP0000251953")</f>
        <v>MDP0000251953</v>
      </c>
      <c r="D24670">
        <v>52.85</v>
      </c>
      <c r="E24670">
        <v>70</v>
      </c>
      <c r="F24670">
        <v>33</v>
      </c>
      <c r="G24670">
        <v>1</v>
      </c>
      <c r="H24670">
        <v>272</v>
      </c>
      <c r="I24670">
        <v>341</v>
      </c>
      <c r="J24670">
        <v>1</v>
      </c>
      <c r="K24670">
        <v>223</v>
      </c>
      <c r="L24670">
        <v>291</v>
      </c>
      <c r="M24670">
        <v>1</v>
      </c>
      <c r="N24670">
        <v>1.7464500000000001E-13</v>
      </c>
      <c r="O24670">
        <v>181</v>
      </c>
    </row>
    <row r="24671" spans="1:15" x14ac:dyDescent="0.25">
      <c r="A24671" t="s">
        <v>24684</v>
      </c>
      <c r="B24671">
        <v>312</v>
      </c>
      <c r="C24671" s="1" t="str">
        <f>HYPERLINK("http://www.rosaceae.org/gb/gbrowse/malus_x_domestica/?name=MDP0000288462","MDP0000288462")</f>
        <v>MDP0000288462</v>
      </c>
      <c r="D24671">
        <v>93.97</v>
      </c>
      <c r="E24671">
        <v>299</v>
      </c>
      <c r="F24671">
        <v>18</v>
      </c>
      <c r="G24671">
        <v>0</v>
      </c>
      <c r="H24671">
        <v>1</v>
      </c>
      <c r="I24671">
        <v>299</v>
      </c>
      <c r="J24671">
        <v>1</v>
      </c>
      <c r="K24671">
        <v>1</v>
      </c>
      <c r="L24671">
        <v>299</v>
      </c>
      <c r="M24671">
        <v>1</v>
      </c>
      <c r="N24671">
        <v>1.5812299999999999E-165</v>
      </c>
      <c r="O24671">
        <v>1492</v>
      </c>
    </row>
    <row r="24672" spans="1:15" x14ac:dyDescent="0.25">
      <c r="A24672" t="s">
        <v>24685</v>
      </c>
      <c r="B24672">
        <v>304</v>
      </c>
      <c r="C24672" s="1" t="str">
        <f>HYPERLINK("http://www.rosaceae.org/gb/gbrowse/malus_x_domestica/?name=MDP0000142111","MDP0000142111")</f>
        <v>MDP0000142111</v>
      </c>
      <c r="D24672">
        <v>48.41</v>
      </c>
      <c r="E24672">
        <v>126</v>
      </c>
      <c r="F24672">
        <v>65</v>
      </c>
      <c r="G24672">
        <v>9</v>
      </c>
      <c r="H24672">
        <v>4</v>
      </c>
      <c r="I24672">
        <v>126</v>
      </c>
      <c r="J24672">
        <v>1</v>
      </c>
      <c r="K24672">
        <v>5</v>
      </c>
      <c r="L24672">
        <v>124</v>
      </c>
      <c r="M24672">
        <v>1</v>
      </c>
      <c r="N24672">
        <v>3.0316999999999999E-30</v>
      </c>
      <c r="O24672">
        <v>325</v>
      </c>
    </row>
    <row r="24673" spans="1:15" x14ac:dyDescent="0.25">
      <c r="A24673" t="s">
        <v>24686</v>
      </c>
      <c r="B24673">
        <v>565</v>
      </c>
      <c r="C24673" s="1" t="str">
        <f>HYPERLINK("http://www.rosaceae.org/gb/gbrowse/malus_x_domestica/?name=MDP0000265085","MDP0000265085")</f>
        <v>MDP0000265085</v>
      </c>
      <c r="D24673">
        <v>77.02</v>
      </c>
      <c r="E24673">
        <v>296</v>
      </c>
      <c r="F24673">
        <v>68</v>
      </c>
      <c r="G24673">
        <v>0</v>
      </c>
      <c r="H24673">
        <v>7</v>
      </c>
      <c r="I24673">
        <v>302</v>
      </c>
      <c r="J24673">
        <v>1</v>
      </c>
      <c r="K24673">
        <v>996</v>
      </c>
      <c r="L24673">
        <v>1291</v>
      </c>
      <c r="M24673">
        <v>1</v>
      </c>
      <c r="N24673">
        <v>5.3377900000000001E-136</v>
      </c>
      <c r="O24673">
        <v>1240</v>
      </c>
    </row>
    <row r="24674" spans="1:15" x14ac:dyDescent="0.25">
      <c r="A24674" t="s">
        <v>24687</v>
      </c>
      <c r="B24674">
        <v>245</v>
      </c>
      <c r="C24674" s="1" t="str">
        <f>HYPERLINK("http://www.rosaceae.org/gb/gbrowse/malus_x_domestica/?name=MDP0000156002","MDP0000156002")</f>
        <v>MDP0000156002</v>
      </c>
      <c r="D24674">
        <v>74.41</v>
      </c>
      <c r="E24674">
        <v>258</v>
      </c>
      <c r="F24674">
        <v>66</v>
      </c>
      <c r="G24674">
        <v>35</v>
      </c>
      <c r="H24674">
        <v>23</v>
      </c>
      <c r="I24674">
        <v>245</v>
      </c>
      <c r="J24674">
        <v>1</v>
      </c>
      <c r="K24674">
        <v>23</v>
      </c>
      <c r="L24674">
        <v>280</v>
      </c>
      <c r="M24674">
        <v>1</v>
      </c>
      <c r="N24674">
        <v>3.4418499999999998E-108</v>
      </c>
      <c r="O24674">
        <v>996</v>
      </c>
    </row>
    <row r="24675" spans="1:15" x14ac:dyDescent="0.25">
      <c r="A24675" t="s">
        <v>24688</v>
      </c>
      <c r="B24675">
        <v>372</v>
      </c>
      <c r="C24675" s="1" t="str">
        <f>HYPERLINK("http://www.rosaceae.org/gb/gbrowse/malus_x_domestica/?name=MDP0000272331","MDP0000272331")</f>
        <v>MDP0000272331</v>
      </c>
      <c r="D24675">
        <v>79.44</v>
      </c>
      <c r="E24675">
        <v>360</v>
      </c>
      <c r="F24675">
        <v>74</v>
      </c>
      <c r="G24675">
        <v>8</v>
      </c>
      <c r="H24675">
        <v>19</v>
      </c>
      <c r="I24675">
        <v>372</v>
      </c>
      <c r="J24675">
        <v>1</v>
      </c>
      <c r="K24675">
        <v>29</v>
      </c>
      <c r="L24675">
        <v>386</v>
      </c>
      <c r="M24675">
        <v>1</v>
      </c>
      <c r="N24675">
        <v>2.8952800000000001E-164</v>
      </c>
      <c r="O24675">
        <v>1482</v>
      </c>
    </row>
    <row r="24676" spans="1:15" x14ac:dyDescent="0.25">
      <c r="A24676" t="s">
        <v>24689</v>
      </c>
      <c r="B24676">
        <v>130</v>
      </c>
      <c r="C24676" s="1" t="str">
        <f>HYPERLINK("http://www.rosaceae.org/gb/gbrowse/malus_x_domestica/?name=MDP0000146975","MDP0000146975")</f>
        <v>MDP0000146975</v>
      </c>
      <c r="D24676">
        <v>46.22</v>
      </c>
      <c r="E24676">
        <v>106</v>
      </c>
      <c r="F24676">
        <v>57</v>
      </c>
      <c r="G24676">
        <v>31</v>
      </c>
      <c r="H24676">
        <v>44</v>
      </c>
      <c r="I24676">
        <v>118</v>
      </c>
      <c r="J24676">
        <v>1</v>
      </c>
      <c r="K24676">
        <v>536</v>
      </c>
      <c r="L24676">
        <v>641</v>
      </c>
      <c r="M24676">
        <v>1</v>
      </c>
      <c r="N24676">
        <v>4.7990500000000002E-20</v>
      </c>
      <c r="O24676">
        <v>231</v>
      </c>
    </row>
    <row r="24677" spans="1:15" x14ac:dyDescent="0.25">
      <c r="A24677" t="s">
        <v>24690</v>
      </c>
      <c r="B24677">
        <v>618</v>
      </c>
      <c r="C24677" s="1" t="str">
        <f>HYPERLINK("http://www.rosaceae.org/gb/gbrowse/malus_x_domestica/?name=MDP0000297493","MDP0000297493")</f>
        <v>MDP0000297493</v>
      </c>
      <c r="D24677">
        <v>69.790000000000006</v>
      </c>
      <c r="E24677">
        <v>629</v>
      </c>
      <c r="F24677">
        <v>190</v>
      </c>
      <c r="G24677">
        <v>13</v>
      </c>
      <c r="H24677">
        <v>1</v>
      </c>
      <c r="I24677">
        <v>618</v>
      </c>
      <c r="J24677">
        <v>1</v>
      </c>
      <c r="K24677">
        <v>1</v>
      </c>
      <c r="L24677">
        <v>627</v>
      </c>
      <c r="M24677">
        <v>1</v>
      </c>
      <c r="N24677">
        <v>0</v>
      </c>
      <c r="O24677">
        <v>2266</v>
      </c>
    </row>
    <row r="24678" spans="1:15" x14ac:dyDescent="0.25">
      <c r="A24678" t="s">
        <v>24691</v>
      </c>
      <c r="B24678">
        <v>265</v>
      </c>
      <c r="C24678" s="1" t="str">
        <f>HYPERLINK("http://www.rosaceae.org/gb/gbrowse/malus_x_domestica/?name=MDP0000142810","MDP0000142810")</f>
        <v>MDP0000142810</v>
      </c>
      <c r="D24678">
        <v>46.26</v>
      </c>
      <c r="E24678">
        <v>67</v>
      </c>
      <c r="F24678">
        <v>36</v>
      </c>
      <c r="G24678">
        <v>5</v>
      </c>
      <c r="H24678">
        <v>177</v>
      </c>
      <c r="I24678">
        <v>238</v>
      </c>
      <c r="J24678">
        <v>1</v>
      </c>
      <c r="K24678">
        <v>310</v>
      </c>
      <c r="L24678">
        <v>376</v>
      </c>
      <c r="M24678">
        <v>1</v>
      </c>
      <c r="N24678">
        <v>2.0830899999999999E-10</v>
      </c>
      <c r="O24678">
        <v>153</v>
      </c>
    </row>
    <row r="24679" spans="1:15" x14ac:dyDescent="0.25">
      <c r="A24679" t="s">
        <v>24692</v>
      </c>
      <c r="B24679">
        <v>799</v>
      </c>
      <c r="C24679" s="1" t="str">
        <f>HYPERLINK("http://www.rosaceae.org/gb/gbrowse/malus_x_domestica/?name=MDP0000247921","MDP0000247921")</f>
        <v>MDP0000247921</v>
      </c>
      <c r="D24679">
        <v>23.89</v>
      </c>
      <c r="E24679">
        <v>406</v>
      </c>
      <c r="F24679">
        <v>309</v>
      </c>
      <c r="G24679">
        <v>69</v>
      </c>
      <c r="H24679">
        <v>385</v>
      </c>
      <c r="I24679">
        <v>728</v>
      </c>
      <c r="J24679">
        <v>1</v>
      </c>
      <c r="K24679">
        <v>725</v>
      </c>
      <c r="L24679">
        <v>1123</v>
      </c>
      <c r="M24679">
        <v>1</v>
      </c>
      <c r="N24679">
        <v>7.07552E-20</v>
      </c>
      <c r="O24679">
        <v>240</v>
      </c>
    </row>
    <row r="24680" spans="1:15" x14ac:dyDescent="0.25">
      <c r="A24680" t="s">
        <v>24693</v>
      </c>
      <c r="B24680">
        <v>268</v>
      </c>
      <c r="C24680" s="1" t="str">
        <f>HYPERLINK("http://www.rosaceae.org/gb/gbrowse/malus_x_domestica/?name=MDP0000175821","MDP0000175821")</f>
        <v>MDP0000175821</v>
      </c>
      <c r="D24680">
        <v>72.930000000000007</v>
      </c>
      <c r="E24680">
        <v>266</v>
      </c>
      <c r="F24680">
        <v>72</v>
      </c>
      <c r="G24680">
        <v>19</v>
      </c>
      <c r="H24680">
        <v>22</v>
      </c>
      <c r="I24680">
        <v>268</v>
      </c>
      <c r="J24680">
        <v>1</v>
      </c>
      <c r="K24680">
        <v>17</v>
      </c>
      <c r="L24680">
        <v>282</v>
      </c>
      <c r="M24680">
        <v>1</v>
      </c>
      <c r="N24680">
        <v>2.43719E-107</v>
      </c>
      <c r="O24680">
        <v>989</v>
      </c>
    </row>
    <row r="24681" spans="1:15" x14ac:dyDescent="0.25">
      <c r="A24681" t="s">
        <v>24694</v>
      </c>
      <c r="B24681">
        <v>171</v>
      </c>
      <c r="C24681" s="1" t="str">
        <f>HYPERLINK("http://www.rosaceae.org/gb/gbrowse/malus_x_domestica/?name=MDP0000199041","MDP0000199041")</f>
        <v>MDP0000199041</v>
      </c>
      <c r="D24681">
        <v>63.85</v>
      </c>
      <c r="E24681">
        <v>166</v>
      </c>
      <c r="F24681">
        <v>60</v>
      </c>
      <c r="G24681">
        <v>0</v>
      </c>
      <c r="H24681">
        <v>5</v>
      </c>
      <c r="I24681">
        <v>170</v>
      </c>
      <c r="J24681">
        <v>1</v>
      </c>
      <c r="K24681">
        <v>4</v>
      </c>
      <c r="L24681">
        <v>169</v>
      </c>
      <c r="M24681">
        <v>1</v>
      </c>
      <c r="N24681">
        <v>1.4081099999999999E-54</v>
      </c>
      <c r="O24681">
        <v>531</v>
      </c>
    </row>
    <row r="24682" spans="1:15" x14ac:dyDescent="0.25">
      <c r="A24682" t="s">
        <v>24695</v>
      </c>
      <c r="B24682">
        <v>262</v>
      </c>
      <c r="C24682" s="1" t="str">
        <f>HYPERLINK("http://www.rosaceae.org/gb/gbrowse/malus_x_domestica/?name=MDP0000538514","MDP0000538514")</f>
        <v>MDP0000538514</v>
      </c>
      <c r="D24682">
        <v>30.72</v>
      </c>
      <c r="E24682">
        <v>179</v>
      </c>
      <c r="F24682">
        <v>124</v>
      </c>
      <c r="G24682">
        <v>9</v>
      </c>
      <c r="H24682">
        <v>24</v>
      </c>
      <c r="I24682">
        <v>202</v>
      </c>
      <c r="J24682">
        <v>1</v>
      </c>
      <c r="K24682">
        <v>469</v>
      </c>
      <c r="L24682">
        <v>638</v>
      </c>
      <c r="M24682">
        <v>1</v>
      </c>
      <c r="N24682">
        <v>2.53531E-22</v>
      </c>
      <c r="O24682">
        <v>256</v>
      </c>
    </row>
    <row r="24683" spans="1:15" x14ac:dyDescent="0.25">
      <c r="A24683" t="s">
        <v>24696</v>
      </c>
      <c r="B24683">
        <v>542</v>
      </c>
      <c r="C24683" s="1" t="str">
        <f>HYPERLINK("http://www.rosaceae.org/gb/gbrowse/malus_x_domestica/?name=MDP0000196961","MDP0000196961")</f>
        <v>MDP0000196961</v>
      </c>
      <c r="D24683">
        <v>72.88</v>
      </c>
      <c r="E24683">
        <v>531</v>
      </c>
      <c r="F24683">
        <v>144</v>
      </c>
      <c r="G24683">
        <v>2</v>
      </c>
      <c r="H24683">
        <v>13</v>
      </c>
      <c r="I24683">
        <v>542</v>
      </c>
      <c r="J24683">
        <v>1</v>
      </c>
      <c r="K24683">
        <v>1</v>
      </c>
      <c r="L24683">
        <v>530</v>
      </c>
      <c r="M24683">
        <v>1</v>
      </c>
      <c r="N24683">
        <v>0</v>
      </c>
      <c r="O24683">
        <v>2052</v>
      </c>
    </row>
    <row r="24684" spans="1:15" x14ac:dyDescent="0.25">
      <c r="A24684" t="s">
        <v>24697</v>
      </c>
      <c r="B24684">
        <v>550</v>
      </c>
      <c r="C24684" s="1" t="str">
        <f>HYPERLINK("http://www.rosaceae.org/gb/gbrowse/malus_x_domestica/?name=MDP0000729817","MDP0000729817")</f>
        <v>MDP0000729817</v>
      </c>
      <c r="D24684">
        <v>78.61</v>
      </c>
      <c r="E24684">
        <v>519</v>
      </c>
      <c r="F24684">
        <v>111</v>
      </c>
      <c r="G24684">
        <v>0</v>
      </c>
      <c r="H24684">
        <v>31</v>
      </c>
      <c r="I24684">
        <v>549</v>
      </c>
      <c r="J24684">
        <v>1</v>
      </c>
      <c r="K24684">
        <v>34</v>
      </c>
      <c r="L24684">
        <v>552</v>
      </c>
      <c r="M24684">
        <v>1</v>
      </c>
      <c r="N24684">
        <v>0</v>
      </c>
      <c r="O24684">
        <v>2266</v>
      </c>
    </row>
    <row r="24685" spans="1:15" x14ac:dyDescent="0.25">
      <c r="A24685" t="s">
        <v>24698</v>
      </c>
      <c r="B24685">
        <v>534</v>
      </c>
      <c r="C24685" s="1" t="str">
        <f>HYPERLINK("http://www.rosaceae.org/gb/gbrowse/malus_x_domestica/?name=MDP0000289351","MDP0000289351")</f>
        <v>MDP0000289351</v>
      </c>
      <c r="D24685">
        <v>68.849999999999994</v>
      </c>
      <c r="E24685">
        <v>488</v>
      </c>
      <c r="F24685">
        <v>152</v>
      </c>
      <c r="G24685">
        <v>6</v>
      </c>
      <c r="H24685">
        <v>45</v>
      </c>
      <c r="I24685">
        <v>528</v>
      </c>
      <c r="J24685">
        <v>1</v>
      </c>
      <c r="K24685">
        <v>40</v>
      </c>
      <c r="L24685">
        <v>525</v>
      </c>
      <c r="M24685">
        <v>1</v>
      </c>
      <c r="N24685">
        <v>0</v>
      </c>
      <c r="O24685">
        <v>1827</v>
      </c>
    </row>
    <row r="24686" spans="1:15" x14ac:dyDescent="0.25">
      <c r="A24686" t="s">
        <v>24699</v>
      </c>
      <c r="B24686">
        <v>318</v>
      </c>
      <c r="C24686" s="1" t="str">
        <f>HYPERLINK("http://www.rosaceae.org/gb/gbrowse/malus_x_domestica/?name=MDP0000160242","MDP0000160242")</f>
        <v>MDP0000160242</v>
      </c>
      <c r="D24686">
        <v>48.49</v>
      </c>
      <c r="E24686">
        <v>299</v>
      </c>
      <c r="F24686">
        <v>154</v>
      </c>
      <c r="G24686">
        <v>4</v>
      </c>
      <c r="H24686">
        <v>4</v>
      </c>
      <c r="I24686">
        <v>298</v>
      </c>
      <c r="J24686">
        <v>1</v>
      </c>
      <c r="K24686">
        <v>73</v>
      </c>
      <c r="L24686">
        <v>371</v>
      </c>
      <c r="M24686">
        <v>1</v>
      </c>
      <c r="N24686">
        <v>6.5016200000000002E-77</v>
      </c>
      <c r="O24686">
        <v>728</v>
      </c>
    </row>
    <row r="24687" spans="1:15" x14ac:dyDescent="0.25">
      <c r="A24687" t="s">
        <v>24700</v>
      </c>
      <c r="B24687">
        <v>411</v>
      </c>
      <c r="C24687" s="1" t="str">
        <f>HYPERLINK("http://www.rosaceae.org/gb/gbrowse/malus_x_domestica/?name=MDP0000640395","MDP0000640395")</f>
        <v>MDP0000640395</v>
      </c>
      <c r="D24687">
        <v>70.680000000000007</v>
      </c>
      <c r="E24687">
        <v>348</v>
      </c>
      <c r="F24687">
        <v>102</v>
      </c>
      <c r="G24687">
        <v>1</v>
      </c>
      <c r="H24687">
        <v>1</v>
      </c>
      <c r="I24687">
        <v>348</v>
      </c>
      <c r="J24687">
        <v>1</v>
      </c>
      <c r="K24687">
        <v>1</v>
      </c>
      <c r="L24687">
        <v>347</v>
      </c>
      <c r="M24687">
        <v>1</v>
      </c>
      <c r="N24687">
        <v>2.9708800000000003E-147</v>
      </c>
      <c r="O24687">
        <v>1335</v>
      </c>
    </row>
    <row r="24688" spans="1:15" x14ac:dyDescent="0.25">
      <c r="A24688" t="s">
        <v>24701</v>
      </c>
      <c r="B24688">
        <v>291</v>
      </c>
      <c r="C24688" s="1" t="str">
        <f>HYPERLINK("http://www.rosaceae.org/gb/gbrowse/malus_x_domestica/?name=MDP0000174414","MDP0000174414")</f>
        <v>MDP0000174414</v>
      </c>
      <c r="D24688">
        <v>57.95</v>
      </c>
      <c r="E24688">
        <v>176</v>
      </c>
      <c r="F24688">
        <v>74</v>
      </c>
      <c r="G24688">
        <v>13</v>
      </c>
      <c r="H24688">
        <v>6</v>
      </c>
      <c r="I24688">
        <v>170</v>
      </c>
      <c r="J24688">
        <v>1</v>
      </c>
      <c r="K24688">
        <v>5</v>
      </c>
      <c r="L24688">
        <v>178</v>
      </c>
      <c r="M24688">
        <v>1</v>
      </c>
      <c r="N24688">
        <v>7.8675299999999998E-50</v>
      </c>
      <c r="O24688">
        <v>494</v>
      </c>
    </row>
    <row r="24689" spans="1:15" x14ac:dyDescent="0.25">
      <c r="A24689" t="s">
        <v>24702</v>
      </c>
      <c r="B24689">
        <v>353</v>
      </c>
      <c r="C24689" s="1" t="str">
        <f>HYPERLINK("http://www.rosaceae.org/gb/gbrowse/malus_x_domestica/?name=MDP0000221663","MDP0000221663")</f>
        <v>MDP0000221663</v>
      </c>
      <c r="D24689">
        <v>66.09</v>
      </c>
      <c r="E24689">
        <v>351</v>
      </c>
      <c r="F24689">
        <v>119</v>
      </c>
      <c r="G24689">
        <v>0</v>
      </c>
      <c r="H24689">
        <v>2</v>
      </c>
      <c r="I24689">
        <v>352</v>
      </c>
      <c r="J24689">
        <v>1</v>
      </c>
      <c r="K24689">
        <v>11</v>
      </c>
      <c r="L24689">
        <v>361</v>
      </c>
      <c r="M24689">
        <v>1</v>
      </c>
      <c r="N24689">
        <v>2.4926700000000001E-136</v>
      </c>
      <c r="O24689">
        <v>1241</v>
      </c>
    </row>
    <row r="24690" spans="1:15" x14ac:dyDescent="0.25">
      <c r="A24690" t="s">
        <v>24703</v>
      </c>
      <c r="B24690">
        <v>348</v>
      </c>
      <c r="C24690" s="1" t="str">
        <f>HYPERLINK("http://www.rosaceae.org/gb/gbrowse/malus_x_domestica/?name=MDP0000479436","MDP0000479436")</f>
        <v>MDP0000479436</v>
      </c>
      <c r="D24690">
        <v>71.7</v>
      </c>
      <c r="E24690">
        <v>258</v>
      </c>
      <c r="F24690">
        <v>73</v>
      </c>
      <c r="G24690">
        <v>7</v>
      </c>
      <c r="H24690">
        <v>13</v>
      </c>
      <c r="I24690">
        <v>269</v>
      </c>
      <c r="J24690">
        <v>1</v>
      </c>
      <c r="K24690">
        <v>116</v>
      </c>
      <c r="L24690">
        <v>367</v>
      </c>
      <c r="M24690">
        <v>1</v>
      </c>
      <c r="N24690">
        <v>1.6380500000000001E-104</v>
      </c>
      <c r="O24690">
        <v>966</v>
      </c>
    </row>
    <row r="24691" spans="1:15" x14ac:dyDescent="0.25">
      <c r="A24691" t="s">
        <v>24704</v>
      </c>
      <c r="B24691">
        <v>350</v>
      </c>
      <c r="C24691" s="1" t="str">
        <f>HYPERLINK("http://www.rosaceae.org/gb/gbrowse/malus_x_domestica/?name=MDP0000055639","MDP0000055639")</f>
        <v>MDP0000055639</v>
      </c>
      <c r="D24691">
        <v>55.43</v>
      </c>
      <c r="E24691">
        <v>368</v>
      </c>
      <c r="F24691">
        <v>164</v>
      </c>
      <c r="G24691">
        <v>29</v>
      </c>
      <c r="H24691">
        <v>6</v>
      </c>
      <c r="I24691">
        <v>349</v>
      </c>
      <c r="J24691">
        <v>1</v>
      </c>
      <c r="K24691">
        <v>3</v>
      </c>
      <c r="L24691">
        <v>365</v>
      </c>
      <c r="M24691">
        <v>1</v>
      </c>
      <c r="N24691">
        <v>1.8987400000000001E-112</v>
      </c>
      <c r="O24691">
        <v>1035</v>
      </c>
    </row>
    <row r="24692" spans="1:15" x14ac:dyDescent="0.25">
      <c r="A24692" t="s">
        <v>24705</v>
      </c>
      <c r="B24692">
        <v>155</v>
      </c>
      <c r="C24692" s="1" t="str">
        <f>HYPERLINK("http://www.rosaceae.org/gb/gbrowse/malus_x_domestica/?name=MDP0000668095","MDP0000668095")</f>
        <v>MDP0000668095</v>
      </c>
      <c r="D24692">
        <v>34.69</v>
      </c>
      <c r="E24692">
        <v>147</v>
      </c>
      <c r="F24692">
        <v>96</v>
      </c>
      <c r="G24692">
        <v>0</v>
      </c>
      <c r="H24692">
        <v>6</v>
      </c>
      <c r="I24692">
        <v>152</v>
      </c>
      <c r="J24692">
        <v>1</v>
      </c>
      <c r="K24692">
        <v>5</v>
      </c>
      <c r="L24692">
        <v>151</v>
      </c>
      <c r="M24692">
        <v>1</v>
      </c>
      <c r="N24692">
        <v>2.3379300000000001E-23</v>
      </c>
      <c r="O24692">
        <v>261</v>
      </c>
    </row>
    <row r="24693" spans="1:15" x14ac:dyDescent="0.25">
      <c r="A24693" t="s">
        <v>24706</v>
      </c>
      <c r="B24693">
        <v>487</v>
      </c>
      <c r="C24693" s="1" t="str">
        <f>HYPERLINK("http://www.rosaceae.org/gb/gbrowse/malus_x_domestica/?name=MDP0000067999","MDP0000067999")</f>
        <v>MDP0000067999</v>
      </c>
      <c r="D24693">
        <v>70.930000000000007</v>
      </c>
      <c r="E24693">
        <v>172</v>
      </c>
      <c r="F24693">
        <v>50</v>
      </c>
      <c r="G24693">
        <v>5</v>
      </c>
      <c r="H24693">
        <v>230</v>
      </c>
      <c r="I24693">
        <v>401</v>
      </c>
      <c r="J24693">
        <v>1</v>
      </c>
      <c r="K24693">
        <v>107</v>
      </c>
      <c r="L24693">
        <v>273</v>
      </c>
      <c r="M24693">
        <v>1</v>
      </c>
      <c r="N24693">
        <v>6.5046899999999999E-60</v>
      </c>
      <c r="O24693">
        <v>583</v>
      </c>
    </row>
    <row r="24694" spans="1:15" x14ac:dyDescent="0.25">
      <c r="A24694" t="s">
        <v>24707</v>
      </c>
      <c r="B24694">
        <v>366</v>
      </c>
      <c r="C24694" s="1" t="str">
        <f>HYPERLINK("http://www.rosaceae.org/gb/gbrowse/malus_x_domestica/?name=MDP0000285587","MDP0000285587")</f>
        <v>MDP0000285587</v>
      </c>
      <c r="D24694">
        <v>74.94</v>
      </c>
      <c r="E24694">
        <v>419</v>
      </c>
      <c r="F24694">
        <v>105</v>
      </c>
      <c r="G24694">
        <v>56</v>
      </c>
      <c r="H24694">
        <v>1</v>
      </c>
      <c r="I24694">
        <v>366</v>
      </c>
      <c r="J24694">
        <v>1</v>
      </c>
      <c r="K24694">
        <v>1</v>
      </c>
      <c r="L24694">
        <v>416</v>
      </c>
      <c r="M24694">
        <v>1</v>
      </c>
      <c r="N24694">
        <v>1.5475999999999999E-174</v>
      </c>
      <c r="O24694">
        <v>1570</v>
      </c>
    </row>
    <row r="24695" spans="1:15" x14ac:dyDescent="0.25">
      <c r="A24695" t="s">
        <v>24708</v>
      </c>
      <c r="B24695">
        <v>797</v>
      </c>
      <c r="C24695" s="1" t="str">
        <f>HYPERLINK("http://www.rosaceae.org/gb/gbrowse/malus_x_domestica/?name=MDP0000086690","MDP0000086690")</f>
        <v>MDP0000086690</v>
      </c>
      <c r="D24695">
        <v>73.16</v>
      </c>
      <c r="E24695">
        <v>667</v>
      </c>
      <c r="F24695">
        <v>179</v>
      </c>
      <c r="G24695">
        <v>58</v>
      </c>
      <c r="H24695">
        <v>1</v>
      </c>
      <c r="I24695">
        <v>664</v>
      </c>
      <c r="J24695">
        <v>1</v>
      </c>
      <c r="K24695">
        <v>1</v>
      </c>
      <c r="L24695">
        <v>612</v>
      </c>
      <c r="M24695">
        <v>1</v>
      </c>
      <c r="N24695">
        <v>0</v>
      </c>
      <c r="O24695">
        <v>2441</v>
      </c>
    </row>
    <row r="24696" spans="1:15" x14ac:dyDescent="0.25">
      <c r="A24696" t="s">
        <v>24709</v>
      </c>
      <c r="B24696">
        <v>633</v>
      </c>
      <c r="C24696" s="1" t="str">
        <f>HYPERLINK("http://www.rosaceae.org/gb/gbrowse/malus_x_domestica/?name=MDP0000253525","MDP0000253525")</f>
        <v>MDP0000253525</v>
      </c>
      <c r="D24696">
        <v>63.01</v>
      </c>
      <c r="E24696">
        <v>684</v>
      </c>
      <c r="F24696">
        <v>253</v>
      </c>
      <c r="G24696">
        <v>98</v>
      </c>
      <c r="H24696">
        <v>48</v>
      </c>
      <c r="I24696">
        <v>633</v>
      </c>
      <c r="J24696">
        <v>1</v>
      </c>
      <c r="K24696">
        <v>54</v>
      </c>
      <c r="L24696">
        <v>737</v>
      </c>
      <c r="M24696">
        <v>1</v>
      </c>
      <c r="N24696">
        <v>0</v>
      </c>
      <c r="O24696">
        <v>2011</v>
      </c>
    </row>
    <row r="24697" spans="1:15" x14ac:dyDescent="0.25">
      <c r="A24697" t="s">
        <v>24710</v>
      </c>
      <c r="B24697">
        <v>129</v>
      </c>
      <c r="C24697" s="1" t="str">
        <f>HYPERLINK("http://www.rosaceae.org/gb/gbrowse/malus_x_domestica/?name=MDP0000304188","MDP0000304188")</f>
        <v>MDP0000304188</v>
      </c>
      <c r="D24697">
        <v>48.85</v>
      </c>
      <c r="E24697">
        <v>131</v>
      </c>
      <c r="F24697">
        <v>67</v>
      </c>
      <c r="G24697">
        <v>17</v>
      </c>
      <c r="H24697">
        <v>2</v>
      </c>
      <c r="I24697">
        <v>128</v>
      </c>
      <c r="J24697">
        <v>1</v>
      </c>
      <c r="K24697">
        <v>900</v>
      </c>
      <c r="L24697">
        <v>1017</v>
      </c>
      <c r="M24697">
        <v>1</v>
      </c>
      <c r="N24697">
        <v>2.2816100000000001E-20</v>
      </c>
      <c r="O24697">
        <v>234</v>
      </c>
    </row>
    <row r="24698" spans="1:15" x14ac:dyDescent="0.25">
      <c r="A24698" t="s">
        <v>24711</v>
      </c>
      <c r="B24698">
        <v>178</v>
      </c>
      <c r="C24698" s="1" t="str">
        <f>HYPERLINK("http://www.rosaceae.org/gb/gbrowse/malus_x_domestica/?name=MDP0000158659","MDP0000158659")</f>
        <v>MDP0000158659</v>
      </c>
      <c r="D24698">
        <v>44.69</v>
      </c>
      <c r="E24698">
        <v>132</v>
      </c>
      <c r="F24698">
        <v>73</v>
      </c>
      <c r="G24698">
        <v>14</v>
      </c>
      <c r="H24698">
        <v>1</v>
      </c>
      <c r="I24698">
        <v>118</v>
      </c>
      <c r="J24698">
        <v>1</v>
      </c>
      <c r="K24698">
        <v>1</v>
      </c>
      <c r="L24698">
        <v>132</v>
      </c>
      <c r="M24698">
        <v>1</v>
      </c>
      <c r="N24698">
        <v>6.4699800000000005E-26</v>
      </c>
      <c r="O24698">
        <v>284</v>
      </c>
    </row>
    <row r="24699" spans="1:15" x14ac:dyDescent="0.25">
      <c r="A24699" t="s">
        <v>24712</v>
      </c>
      <c r="B24699">
        <v>412</v>
      </c>
      <c r="C24699" s="1" t="str">
        <f>HYPERLINK("http://www.rosaceae.org/gb/gbrowse/malus_x_domestica/?name=MDP0000225382","MDP0000225382")</f>
        <v>MDP0000225382</v>
      </c>
      <c r="D24699">
        <v>72.459999999999994</v>
      </c>
      <c r="E24699">
        <v>414</v>
      </c>
      <c r="F24699">
        <v>114</v>
      </c>
      <c r="G24699">
        <v>4</v>
      </c>
      <c r="H24699">
        <v>1</v>
      </c>
      <c r="I24699">
        <v>412</v>
      </c>
      <c r="J24699">
        <v>1</v>
      </c>
      <c r="K24699">
        <v>1</v>
      </c>
      <c r="L24699">
        <v>412</v>
      </c>
      <c r="M24699">
        <v>1</v>
      </c>
      <c r="N24699">
        <v>3.00453E-177</v>
      </c>
      <c r="O24699">
        <v>1594</v>
      </c>
    </row>
    <row r="24700" spans="1:15" x14ac:dyDescent="0.25">
      <c r="A24700" t="s">
        <v>24713</v>
      </c>
      <c r="B24700">
        <v>872</v>
      </c>
      <c r="C24700" s="1" t="str">
        <f>HYPERLINK("http://www.rosaceae.org/gb/gbrowse/malus_x_domestica/?name=MDP0000288452","MDP0000288452")</f>
        <v>MDP0000288452</v>
      </c>
      <c r="D24700">
        <v>47.86</v>
      </c>
      <c r="E24700">
        <v>399</v>
      </c>
      <c r="F24700">
        <v>208</v>
      </c>
      <c r="G24700">
        <v>50</v>
      </c>
      <c r="H24700">
        <v>4</v>
      </c>
      <c r="I24700">
        <v>386</v>
      </c>
      <c r="J24700">
        <v>1</v>
      </c>
      <c r="K24700">
        <v>50</v>
      </c>
      <c r="L24700">
        <v>414</v>
      </c>
      <c r="M24700">
        <v>1</v>
      </c>
      <c r="N24700">
        <v>1.8628E-79</v>
      </c>
      <c r="O24700">
        <v>754</v>
      </c>
    </row>
    <row r="24701" spans="1:15" x14ac:dyDescent="0.25">
      <c r="A24701" t="s">
        <v>24714</v>
      </c>
      <c r="B24701">
        <v>124</v>
      </c>
      <c r="C24701" s="1" t="str">
        <f>HYPERLINK("http://www.rosaceae.org/gb/gbrowse/malus_x_domestica/?name=MDP0000236009","MDP0000236009")</f>
        <v>MDP0000236009</v>
      </c>
      <c r="D24701">
        <v>52.11</v>
      </c>
      <c r="E24701">
        <v>71</v>
      </c>
      <c r="F24701">
        <v>34</v>
      </c>
      <c r="G24701">
        <v>0</v>
      </c>
      <c r="H24701">
        <v>50</v>
      </c>
      <c r="I24701">
        <v>120</v>
      </c>
      <c r="J24701">
        <v>1</v>
      </c>
      <c r="K24701">
        <v>127</v>
      </c>
      <c r="L24701">
        <v>197</v>
      </c>
      <c r="M24701">
        <v>1</v>
      </c>
      <c r="N24701">
        <v>2.9127299999999999E-15</v>
      </c>
      <c r="O24701">
        <v>189</v>
      </c>
    </row>
    <row r="24702" spans="1:15" x14ac:dyDescent="0.25">
      <c r="A24702" t="s">
        <v>24715</v>
      </c>
      <c r="B24702">
        <v>971</v>
      </c>
      <c r="C24702" s="1" t="str">
        <f>HYPERLINK("http://www.rosaceae.org/gb/gbrowse/malus_x_domestica/?name=MDP0000172418","MDP0000172418")</f>
        <v>MDP0000172418</v>
      </c>
      <c r="D24702">
        <v>77.349999999999994</v>
      </c>
      <c r="E24702">
        <v>1029</v>
      </c>
      <c r="F24702">
        <v>233</v>
      </c>
      <c r="G24702">
        <v>61</v>
      </c>
      <c r="H24702">
        <v>1</v>
      </c>
      <c r="I24702">
        <v>970</v>
      </c>
      <c r="J24702">
        <v>1</v>
      </c>
      <c r="K24702">
        <v>92</v>
      </c>
      <c r="L24702">
        <v>1118</v>
      </c>
      <c r="M24702">
        <v>1</v>
      </c>
      <c r="N24702">
        <v>0</v>
      </c>
      <c r="O24702">
        <v>4107</v>
      </c>
    </row>
    <row r="24703" spans="1:15" x14ac:dyDescent="0.25">
      <c r="A24703" t="s">
        <v>24716</v>
      </c>
      <c r="B24703">
        <v>1639</v>
      </c>
      <c r="C24703" s="1" t="str">
        <f>HYPERLINK("http://www.rosaceae.org/gb/gbrowse/malus_x_domestica/?name=MDP0000179876","MDP0000179876")</f>
        <v>MDP0000179876</v>
      </c>
      <c r="D24703">
        <v>86.16</v>
      </c>
      <c r="E24703">
        <v>1663</v>
      </c>
      <c r="F24703">
        <v>230</v>
      </c>
      <c r="G24703">
        <v>35</v>
      </c>
      <c r="H24703">
        <v>1</v>
      </c>
      <c r="I24703">
        <v>1639</v>
      </c>
      <c r="J24703">
        <v>1</v>
      </c>
      <c r="K24703">
        <v>86</v>
      </c>
      <c r="L24703">
        <v>1737</v>
      </c>
      <c r="M24703">
        <v>1</v>
      </c>
      <c r="N24703">
        <v>0</v>
      </c>
      <c r="O24703">
        <v>7462</v>
      </c>
    </row>
    <row r="24704" spans="1:15" x14ac:dyDescent="0.25">
      <c r="A24704" t="s">
        <v>24717</v>
      </c>
      <c r="B24704">
        <v>860</v>
      </c>
      <c r="C24704" s="1" t="str">
        <f>HYPERLINK("http://www.rosaceae.org/gb/gbrowse/malus_x_domestica/?name=MDP0000847249","MDP0000847249")</f>
        <v>MDP0000847249</v>
      </c>
      <c r="D24704">
        <v>65.08</v>
      </c>
      <c r="E24704">
        <v>865</v>
      </c>
      <c r="F24704">
        <v>302</v>
      </c>
      <c r="G24704">
        <v>42</v>
      </c>
      <c r="H24704">
        <v>9</v>
      </c>
      <c r="I24704">
        <v>860</v>
      </c>
      <c r="J24704">
        <v>1</v>
      </c>
      <c r="K24704">
        <v>12</v>
      </c>
      <c r="L24704">
        <v>847</v>
      </c>
      <c r="M24704">
        <v>1</v>
      </c>
      <c r="N24704">
        <v>0</v>
      </c>
      <c r="O24704">
        <v>3053</v>
      </c>
    </row>
    <row r="24705" spans="1:15" x14ac:dyDescent="0.25">
      <c r="A24705" t="s">
        <v>24718</v>
      </c>
      <c r="B24705">
        <v>1757</v>
      </c>
      <c r="C24705" s="1" t="str">
        <f>HYPERLINK("http://www.rosaceae.org/gb/gbrowse/malus_x_domestica/?name=MDP0000202307","MDP0000202307")</f>
        <v>MDP0000202307</v>
      </c>
      <c r="D24705">
        <v>60.1</v>
      </c>
      <c r="E24705">
        <v>1830</v>
      </c>
      <c r="F24705">
        <v>730</v>
      </c>
      <c r="G24705">
        <v>111</v>
      </c>
      <c r="H24705">
        <v>1</v>
      </c>
      <c r="I24705">
        <v>1757</v>
      </c>
      <c r="J24705">
        <v>1</v>
      </c>
      <c r="K24705">
        <v>1</v>
      </c>
      <c r="L24705">
        <v>1792</v>
      </c>
      <c r="M24705">
        <v>1</v>
      </c>
      <c r="N24705">
        <v>0</v>
      </c>
      <c r="O24705">
        <v>5077</v>
      </c>
    </row>
    <row r="24706" spans="1:15" x14ac:dyDescent="0.25">
      <c r="A24706" t="s">
        <v>24719</v>
      </c>
      <c r="B24706">
        <v>995</v>
      </c>
      <c r="C24706" s="1" t="str">
        <f>HYPERLINK("http://www.rosaceae.org/gb/gbrowse/malus_x_domestica/?name=MDP0000296162","MDP0000296162")</f>
        <v>MDP0000296162</v>
      </c>
      <c r="D24706">
        <v>61.65</v>
      </c>
      <c r="E24706">
        <v>579</v>
      </c>
      <c r="F24706">
        <v>222</v>
      </c>
      <c r="G24706">
        <v>15</v>
      </c>
      <c r="H24706">
        <v>306</v>
      </c>
      <c r="I24706">
        <v>879</v>
      </c>
      <c r="J24706">
        <v>1</v>
      </c>
      <c r="K24706">
        <v>3</v>
      </c>
      <c r="L24706">
        <v>571</v>
      </c>
      <c r="M24706">
        <v>1</v>
      </c>
      <c r="N24706">
        <v>0</v>
      </c>
      <c r="O24706">
        <v>1721</v>
      </c>
    </row>
    <row r="24707" spans="1:15" x14ac:dyDescent="0.25">
      <c r="A24707" t="s">
        <v>24720</v>
      </c>
      <c r="B24707">
        <v>371</v>
      </c>
      <c r="C24707" s="1" t="str">
        <f>HYPERLINK("http://www.rosaceae.org/gb/gbrowse/malus_x_domestica/?name=MDP0000919280","MDP0000919280")</f>
        <v>MDP0000919280</v>
      </c>
      <c r="D24707">
        <v>87.53</v>
      </c>
      <c r="E24707">
        <v>313</v>
      </c>
      <c r="F24707">
        <v>39</v>
      </c>
      <c r="G24707">
        <v>5</v>
      </c>
      <c r="H24707">
        <v>64</v>
      </c>
      <c r="I24707">
        <v>371</v>
      </c>
      <c r="J24707">
        <v>1</v>
      </c>
      <c r="K24707">
        <v>2</v>
      </c>
      <c r="L24707">
        <v>314</v>
      </c>
      <c r="M24707">
        <v>1</v>
      </c>
      <c r="N24707">
        <v>7.4223300000000002E-156</v>
      </c>
      <c r="O24707">
        <v>1409</v>
      </c>
    </row>
    <row r="24708" spans="1:15" x14ac:dyDescent="0.25">
      <c r="A24708" t="s">
        <v>24721</v>
      </c>
      <c r="B24708">
        <v>811</v>
      </c>
      <c r="C24708" s="1" t="str">
        <f>HYPERLINK("http://www.rosaceae.org/gb/gbrowse/malus_x_domestica/?name=MDP0000172963","MDP0000172963")</f>
        <v>MDP0000172963</v>
      </c>
      <c r="D24708">
        <v>63.54</v>
      </c>
      <c r="E24708">
        <v>812</v>
      </c>
      <c r="F24708">
        <v>296</v>
      </c>
      <c r="G24708">
        <v>53</v>
      </c>
      <c r="H24708">
        <v>1</v>
      </c>
      <c r="I24708">
        <v>765</v>
      </c>
      <c r="J24708">
        <v>1</v>
      </c>
      <c r="K24708">
        <v>1</v>
      </c>
      <c r="L24708">
        <v>806</v>
      </c>
      <c r="M24708">
        <v>1</v>
      </c>
      <c r="N24708">
        <v>0</v>
      </c>
      <c r="O24708">
        <v>2541</v>
      </c>
    </row>
    <row r="24709" spans="1:15" x14ac:dyDescent="0.25">
      <c r="A24709" t="s">
        <v>24722</v>
      </c>
      <c r="B24709">
        <v>1187</v>
      </c>
      <c r="C24709" s="1" t="str">
        <f>HYPERLINK("http://www.rosaceae.org/gb/gbrowse/malus_x_domestica/?name=MDP0000122720","MDP0000122720")</f>
        <v>MDP0000122720</v>
      </c>
      <c r="D24709">
        <v>56.65</v>
      </c>
      <c r="E24709">
        <v>496</v>
      </c>
      <c r="F24709">
        <v>215</v>
      </c>
      <c r="G24709">
        <v>56</v>
      </c>
      <c r="H24709">
        <v>178</v>
      </c>
      <c r="I24709">
        <v>655</v>
      </c>
      <c r="J24709">
        <v>1</v>
      </c>
      <c r="K24709">
        <v>8</v>
      </c>
      <c r="L24709">
        <v>465</v>
      </c>
      <c r="M24709">
        <v>1</v>
      </c>
      <c r="N24709">
        <v>6.5003399999999996E-138</v>
      </c>
      <c r="O24709">
        <v>1259</v>
      </c>
    </row>
    <row r="24710" spans="1:15" x14ac:dyDescent="0.25">
      <c r="A24710" t="s">
        <v>24723</v>
      </c>
      <c r="B24710">
        <v>275</v>
      </c>
      <c r="C24710" s="1" t="str">
        <f>HYPERLINK("http://www.rosaceae.org/gb/gbrowse/malus_x_domestica/?name=MDP0000661864","MDP0000661864")</f>
        <v>MDP0000661864</v>
      </c>
      <c r="D24710">
        <v>82.18</v>
      </c>
      <c r="E24710">
        <v>275</v>
      </c>
      <c r="F24710">
        <v>49</v>
      </c>
      <c r="G24710">
        <v>1</v>
      </c>
      <c r="H24710">
        <v>1</v>
      </c>
      <c r="I24710">
        <v>275</v>
      </c>
      <c r="J24710">
        <v>1</v>
      </c>
      <c r="K24710">
        <v>1</v>
      </c>
      <c r="L24710">
        <v>274</v>
      </c>
      <c r="M24710">
        <v>1</v>
      </c>
      <c r="N24710">
        <v>2.5877900000000001E-129</v>
      </c>
      <c r="O24710">
        <v>1179</v>
      </c>
    </row>
    <row r="24711" spans="1:15" x14ac:dyDescent="0.25">
      <c r="A24711" t="s">
        <v>24724</v>
      </c>
      <c r="B24711">
        <v>476</v>
      </c>
      <c r="C24711" s="1" t="str">
        <f>HYPERLINK("http://www.rosaceae.org/gb/gbrowse/malus_x_domestica/?name=MDP0000127563","MDP0000127563")</f>
        <v>MDP0000127563</v>
      </c>
      <c r="D24711">
        <v>68.47</v>
      </c>
      <c r="E24711">
        <v>368</v>
      </c>
      <c r="F24711">
        <v>116</v>
      </c>
      <c r="G24711">
        <v>17</v>
      </c>
      <c r="H24711">
        <v>120</v>
      </c>
      <c r="I24711">
        <v>476</v>
      </c>
      <c r="J24711">
        <v>1</v>
      </c>
      <c r="K24711">
        <v>2</v>
      </c>
      <c r="L24711">
        <v>363</v>
      </c>
      <c r="M24711">
        <v>1</v>
      </c>
      <c r="N24711">
        <v>9.1244099999999999E-144</v>
      </c>
      <c r="O24711">
        <v>1306</v>
      </c>
    </row>
    <row r="24712" spans="1:15" x14ac:dyDescent="0.25">
      <c r="A24712" t="s">
        <v>24725</v>
      </c>
      <c r="B24712">
        <v>385</v>
      </c>
      <c r="C24712" s="1" t="str">
        <f>HYPERLINK("http://www.rosaceae.org/gb/gbrowse/malus_x_domestica/?name=MDP0000212627","MDP0000212627")</f>
        <v>MDP0000212627</v>
      </c>
      <c r="D24712">
        <v>38.58</v>
      </c>
      <c r="E24712">
        <v>254</v>
      </c>
      <c r="F24712">
        <v>156</v>
      </c>
      <c r="G24712">
        <v>68</v>
      </c>
      <c r="H24712">
        <v>19</v>
      </c>
      <c r="I24712">
        <v>271</v>
      </c>
      <c r="J24712">
        <v>1</v>
      </c>
      <c r="K24712">
        <v>44</v>
      </c>
      <c r="L24712">
        <v>230</v>
      </c>
      <c r="M24712">
        <v>1</v>
      </c>
      <c r="N24712">
        <v>5.5892299999999999E-45</v>
      </c>
      <c r="O24712">
        <v>453</v>
      </c>
    </row>
    <row r="24713" spans="1:15" x14ac:dyDescent="0.25">
      <c r="A24713" t="s">
        <v>24726</v>
      </c>
      <c r="B24713">
        <v>407</v>
      </c>
      <c r="C24713" s="1" t="str">
        <f>HYPERLINK("http://www.rosaceae.org/gb/gbrowse/malus_x_domestica/?name=MDP0000247171","MDP0000247171")</f>
        <v>MDP0000247171</v>
      </c>
      <c r="D24713">
        <v>71.349999999999994</v>
      </c>
      <c r="E24713">
        <v>405</v>
      </c>
      <c r="F24713">
        <v>116</v>
      </c>
      <c r="G24713">
        <v>5</v>
      </c>
      <c r="H24713">
        <v>5</v>
      </c>
      <c r="I24713">
        <v>407</v>
      </c>
      <c r="J24713">
        <v>1</v>
      </c>
      <c r="K24713">
        <v>4</v>
      </c>
      <c r="L24713">
        <v>405</v>
      </c>
      <c r="M24713">
        <v>1</v>
      </c>
      <c r="N24713">
        <v>4.1359499999999999E-169</v>
      </c>
      <c r="O24713">
        <v>1524</v>
      </c>
    </row>
    <row r="24714" spans="1:15" x14ac:dyDescent="0.25">
      <c r="A24714" t="s">
        <v>24727</v>
      </c>
      <c r="B24714">
        <v>787</v>
      </c>
      <c r="C24714" s="1" t="str">
        <f>HYPERLINK("http://www.rosaceae.org/gb/gbrowse/malus_x_domestica/?name=MDP0000318338","MDP0000318338")</f>
        <v>MDP0000318338</v>
      </c>
      <c r="D24714">
        <v>82.03</v>
      </c>
      <c r="E24714">
        <v>746</v>
      </c>
      <c r="F24714">
        <v>134</v>
      </c>
      <c r="G24714">
        <v>4</v>
      </c>
      <c r="H24714">
        <v>1</v>
      </c>
      <c r="I24714">
        <v>744</v>
      </c>
      <c r="J24714">
        <v>1</v>
      </c>
      <c r="K24714">
        <v>1</v>
      </c>
      <c r="L24714">
        <v>744</v>
      </c>
      <c r="M24714">
        <v>1</v>
      </c>
      <c r="N24714">
        <v>0</v>
      </c>
      <c r="O24714">
        <v>3191</v>
      </c>
    </row>
    <row r="24715" spans="1:15" x14ac:dyDescent="0.25">
      <c r="A24715" t="s">
        <v>24728</v>
      </c>
      <c r="B24715">
        <v>302</v>
      </c>
      <c r="C24715" s="1" t="str">
        <f>HYPERLINK("http://www.rosaceae.org/gb/gbrowse/malus_x_domestica/?name=MDP0000135204","MDP0000135204")</f>
        <v>MDP0000135204</v>
      </c>
      <c r="D24715">
        <v>88.41</v>
      </c>
      <c r="E24715">
        <v>302</v>
      </c>
      <c r="F24715">
        <v>35</v>
      </c>
      <c r="G24715">
        <v>5</v>
      </c>
      <c r="H24715">
        <v>1</v>
      </c>
      <c r="I24715">
        <v>302</v>
      </c>
      <c r="J24715">
        <v>1</v>
      </c>
      <c r="K24715">
        <v>1</v>
      </c>
      <c r="L24715">
        <v>297</v>
      </c>
      <c r="M24715">
        <v>1</v>
      </c>
      <c r="N24715">
        <v>1.9089800000000001E-152</v>
      </c>
      <c r="O24715">
        <v>1379</v>
      </c>
    </row>
    <row r="24716" spans="1:15" x14ac:dyDescent="0.25">
      <c r="A24716" t="s">
        <v>24729</v>
      </c>
      <c r="B24716">
        <v>165</v>
      </c>
      <c r="C24716" s="1" t="str">
        <f>HYPERLINK("http://www.rosaceae.org/gb/gbrowse/malus_x_domestica/?name=MDP0000821430","MDP0000821430")</f>
        <v>MDP0000821430</v>
      </c>
      <c r="D24716">
        <v>60.74</v>
      </c>
      <c r="E24716">
        <v>135</v>
      </c>
      <c r="F24716">
        <v>53</v>
      </c>
      <c r="G24716">
        <v>9</v>
      </c>
      <c r="H24716">
        <v>31</v>
      </c>
      <c r="I24716">
        <v>162</v>
      </c>
      <c r="J24716">
        <v>1</v>
      </c>
      <c r="K24716">
        <v>12</v>
      </c>
      <c r="L24716">
        <v>140</v>
      </c>
      <c r="M24716">
        <v>1</v>
      </c>
      <c r="N24716">
        <v>1.6186699999999999E-34</v>
      </c>
      <c r="O24716">
        <v>358</v>
      </c>
    </row>
    <row r="24717" spans="1:15" x14ac:dyDescent="0.25">
      <c r="A24717" t="s">
        <v>24730</v>
      </c>
      <c r="B24717">
        <v>591</v>
      </c>
      <c r="C24717" s="1" t="str">
        <f>HYPERLINK("http://www.rosaceae.org/gb/gbrowse/malus_x_domestica/?name=MDP0000792424","MDP0000792424")</f>
        <v>MDP0000792424</v>
      </c>
      <c r="D24717">
        <v>38.340000000000003</v>
      </c>
      <c r="E24717">
        <v>639</v>
      </c>
      <c r="F24717">
        <v>394</v>
      </c>
      <c r="G24717">
        <v>90</v>
      </c>
      <c r="H24717">
        <v>5</v>
      </c>
      <c r="I24717">
        <v>589</v>
      </c>
      <c r="J24717">
        <v>1</v>
      </c>
      <c r="K24717">
        <v>10</v>
      </c>
      <c r="L24717">
        <v>612</v>
      </c>
      <c r="M24717">
        <v>1</v>
      </c>
      <c r="N24717">
        <v>1.84205E-83</v>
      </c>
      <c r="O24717">
        <v>787</v>
      </c>
    </row>
    <row r="24718" spans="1:15" x14ac:dyDescent="0.25">
      <c r="A24718" t="s">
        <v>24731</v>
      </c>
      <c r="B24718">
        <v>529</v>
      </c>
      <c r="C24718" s="1" t="str">
        <f>HYPERLINK("http://www.rosaceae.org/gb/gbrowse/malus_x_domestica/?name=MDP0000224371","MDP0000224371")</f>
        <v>MDP0000224371</v>
      </c>
      <c r="D24718">
        <v>48.2</v>
      </c>
      <c r="E24718">
        <v>390</v>
      </c>
      <c r="F24718">
        <v>202</v>
      </c>
      <c r="G24718">
        <v>11</v>
      </c>
      <c r="H24718">
        <v>141</v>
      </c>
      <c r="I24718">
        <v>522</v>
      </c>
      <c r="J24718">
        <v>1</v>
      </c>
      <c r="K24718">
        <v>452</v>
      </c>
      <c r="L24718">
        <v>838</v>
      </c>
      <c r="M24718">
        <v>1</v>
      </c>
      <c r="N24718">
        <v>1.7225200000000001E-91</v>
      </c>
      <c r="O24718">
        <v>856</v>
      </c>
    </row>
    <row r="24719" spans="1:15" x14ac:dyDescent="0.25">
      <c r="A24719" t="s">
        <v>24732</v>
      </c>
      <c r="B24719">
        <v>454</v>
      </c>
      <c r="C24719" s="1" t="str">
        <f>HYPERLINK("http://www.rosaceae.org/gb/gbrowse/malus_x_domestica/?name=MDP0000301958","MDP0000301958")</f>
        <v>MDP0000301958</v>
      </c>
      <c r="D24719">
        <v>70.349999999999994</v>
      </c>
      <c r="E24719">
        <v>398</v>
      </c>
      <c r="F24719">
        <v>118</v>
      </c>
      <c r="G24719">
        <v>39</v>
      </c>
      <c r="H24719">
        <v>79</v>
      </c>
      <c r="I24719">
        <v>454</v>
      </c>
      <c r="J24719">
        <v>1</v>
      </c>
      <c r="K24719">
        <v>302</v>
      </c>
      <c r="L24719">
        <v>682</v>
      </c>
      <c r="M24719">
        <v>1</v>
      </c>
      <c r="N24719">
        <v>2.3204700000000001E-165</v>
      </c>
      <c r="O24719">
        <v>1492</v>
      </c>
    </row>
    <row r="24720" spans="1:15" x14ac:dyDescent="0.25">
      <c r="A24720" t="s">
        <v>24733</v>
      </c>
      <c r="B24720">
        <v>464</v>
      </c>
      <c r="C24720" s="1" t="str">
        <f>HYPERLINK("http://www.rosaceae.org/gb/gbrowse/malus_x_domestica/?name=MDP0000602553","MDP0000602553")</f>
        <v>MDP0000602553</v>
      </c>
      <c r="D24720">
        <v>48.83</v>
      </c>
      <c r="E24720">
        <v>387</v>
      </c>
      <c r="F24720">
        <v>198</v>
      </c>
      <c r="G24720">
        <v>2</v>
      </c>
      <c r="H24720">
        <v>14</v>
      </c>
      <c r="I24720">
        <v>400</v>
      </c>
      <c r="J24720">
        <v>1</v>
      </c>
      <c r="K24720">
        <v>26</v>
      </c>
      <c r="L24720">
        <v>410</v>
      </c>
      <c r="M24720">
        <v>1</v>
      </c>
      <c r="N24720">
        <v>1.4619400000000001E-101</v>
      </c>
      <c r="O24720">
        <v>942</v>
      </c>
    </row>
    <row r="24721" spans="1:15" x14ac:dyDescent="0.25">
      <c r="A24721" t="s">
        <v>24734</v>
      </c>
      <c r="B24721">
        <v>412</v>
      </c>
      <c r="C24721" s="1" t="str">
        <f>HYPERLINK("http://www.rosaceae.org/gb/gbrowse/malus_x_domestica/?name=MDP0000142258","MDP0000142258")</f>
        <v>MDP0000142258</v>
      </c>
      <c r="D24721">
        <v>64.099999999999994</v>
      </c>
      <c r="E24721">
        <v>195</v>
      </c>
      <c r="F24721">
        <v>70</v>
      </c>
      <c r="G24721">
        <v>0</v>
      </c>
      <c r="H24721">
        <v>35</v>
      </c>
      <c r="I24721">
        <v>229</v>
      </c>
      <c r="J24721">
        <v>1</v>
      </c>
      <c r="K24721">
        <v>35</v>
      </c>
      <c r="L24721">
        <v>229</v>
      </c>
      <c r="M24721">
        <v>1</v>
      </c>
      <c r="N24721">
        <v>1.5113499999999999E-72</v>
      </c>
      <c r="O24721">
        <v>691</v>
      </c>
    </row>
    <row r="24722" spans="1:15" x14ac:dyDescent="0.25">
      <c r="A24722" t="s">
        <v>24735</v>
      </c>
      <c r="B24722">
        <v>564</v>
      </c>
      <c r="C24722" s="1" t="str">
        <f>HYPERLINK("http://www.rosaceae.org/gb/gbrowse/malus_x_domestica/?name=MDP0000151892","MDP0000151892")</f>
        <v>MDP0000151892</v>
      </c>
      <c r="D24722">
        <v>76.5</v>
      </c>
      <c r="E24722">
        <v>315</v>
      </c>
      <c r="F24722">
        <v>74</v>
      </c>
      <c r="G24722">
        <v>24</v>
      </c>
      <c r="H24722">
        <v>20</v>
      </c>
      <c r="I24722">
        <v>325</v>
      </c>
      <c r="J24722">
        <v>1</v>
      </c>
      <c r="K24722">
        <v>22</v>
      </c>
      <c r="L24722">
        <v>321</v>
      </c>
      <c r="M24722">
        <v>1</v>
      </c>
      <c r="N24722">
        <v>5.5930100000000004E-140</v>
      </c>
      <c r="O24722">
        <v>1274</v>
      </c>
    </row>
    <row r="24723" spans="1:15" x14ac:dyDescent="0.25">
      <c r="A24723" t="s">
        <v>24736</v>
      </c>
      <c r="B24723">
        <v>269</v>
      </c>
      <c r="C24723" s="1" t="str">
        <f>HYPERLINK("http://www.rosaceae.org/gb/gbrowse/malus_x_domestica/?name=MDP0000314729","MDP0000314729")</f>
        <v>MDP0000314729</v>
      </c>
      <c r="D24723">
        <v>45.88</v>
      </c>
      <c r="E24723">
        <v>231</v>
      </c>
      <c r="F24723">
        <v>125</v>
      </c>
      <c r="G24723">
        <v>1</v>
      </c>
      <c r="H24723">
        <v>19</v>
      </c>
      <c r="I24723">
        <v>248</v>
      </c>
      <c r="J24723">
        <v>1</v>
      </c>
      <c r="K24723">
        <v>548</v>
      </c>
      <c r="L24723">
        <v>778</v>
      </c>
      <c r="M24723">
        <v>1</v>
      </c>
      <c r="N24723">
        <v>5.8752800000000001E-57</v>
      </c>
      <c r="O24723">
        <v>555</v>
      </c>
    </row>
    <row r="24724" spans="1:15" x14ac:dyDescent="0.25">
      <c r="A24724" t="s">
        <v>24737</v>
      </c>
      <c r="B24724">
        <v>200</v>
      </c>
      <c r="C24724" s="1" t="str">
        <f>HYPERLINK("http://www.rosaceae.org/gb/gbrowse/malus_x_domestica/?name=MDP0000136296","MDP0000136296")</f>
        <v>MDP0000136296</v>
      </c>
      <c r="D24724">
        <v>38.590000000000003</v>
      </c>
      <c r="E24724">
        <v>228</v>
      </c>
      <c r="F24724">
        <v>140</v>
      </c>
      <c r="G24724">
        <v>55</v>
      </c>
      <c r="H24724">
        <v>1</v>
      </c>
      <c r="I24724">
        <v>196</v>
      </c>
      <c r="J24724">
        <v>1</v>
      </c>
      <c r="K24724">
        <v>22</v>
      </c>
      <c r="L24724">
        <v>226</v>
      </c>
      <c r="M24724">
        <v>1</v>
      </c>
      <c r="N24724">
        <v>1.4536600000000001E-30</v>
      </c>
      <c r="O24724">
        <v>325</v>
      </c>
    </row>
    <row r="24725" spans="1:15" x14ac:dyDescent="0.25">
      <c r="A24725" t="s">
        <v>24738</v>
      </c>
      <c r="B24725">
        <v>323</v>
      </c>
      <c r="C24725" s="1" t="str">
        <f>HYPERLINK("http://www.rosaceae.org/gb/gbrowse/malus_x_domestica/?name=MDP0000265831","MDP0000265831")</f>
        <v>MDP0000265831</v>
      </c>
      <c r="D24725">
        <v>45.74</v>
      </c>
      <c r="E24725">
        <v>341</v>
      </c>
      <c r="F24725">
        <v>185</v>
      </c>
      <c r="G24725">
        <v>77</v>
      </c>
      <c r="H24725">
        <v>49</v>
      </c>
      <c r="I24725">
        <v>320</v>
      </c>
      <c r="J24725">
        <v>1</v>
      </c>
      <c r="K24725">
        <v>442</v>
      </c>
      <c r="L24725">
        <v>774</v>
      </c>
      <c r="M24725">
        <v>1</v>
      </c>
      <c r="N24725">
        <v>1.72589E-69</v>
      </c>
      <c r="O24725">
        <v>664</v>
      </c>
    </row>
    <row r="24726" spans="1:15" x14ac:dyDescent="0.25">
      <c r="A24726" t="s">
        <v>24739</v>
      </c>
      <c r="B24726">
        <v>524</v>
      </c>
      <c r="C24726" s="1" t="str">
        <f>HYPERLINK("http://www.rosaceae.org/gb/gbrowse/malus_x_domestica/?name=MDP0000120948","MDP0000120948")</f>
        <v>MDP0000120948</v>
      </c>
      <c r="D24726">
        <v>67.58</v>
      </c>
      <c r="E24726">
        <v>506</v>
      </c>
      <c r="F24726">
        <v>164</v>
      </c>
      <c r="G24726">
        <v>16</v>
      </c>
      <c r="H24726">
        <v>25</v>
      </c>
      <c r="I24726">
        <v>524</v>
      </c>
      <c r="J24726">
        <v>1</v>
      </c>
      <c r="K24726">
        <v>26</v>
      </c>
      <c r="L24726">
        <v>521</v>
      </c>
      <c r="M24726">
        <v>1</v>
      </c>
      <c r="N24726">
        <v>0</v>
      </c>
      <c r="O24726">
        <v>1671</v>
      </c>
    </row>
    <row r="24727" spans="1:15" x14ac:dyDescent="0.25">
      <c r="A24727" t="s">
        <v>24740</v>
      </c>
      <c r="B24727">
        <v>199</v>
      </c>
      <c r="C24727" s="1" t="str">
        <f>HYPERLINK("http://www.rosaceae.org/gb/gbrowse/malus_x_domestica/?name=MDP0000232513","MDP0000232513")</f>
        <v>MDP0000232513</v>
      </c>
      <c r="D24727">
        <v>39.840000000000003</v>
      </c>
      <c r="E24727">
        <v>128</v>
      </c>
      <c r="F24727">
        <v>77</v>
      </c>
      <c r="G24727">
        <v>1</v>
      </c>
      <c r="H24727">
        <v>47</v>
      </c>
      <c r="I24727">
        <v>173</v>
      </c>
      <c r="J24727">
        <v>1</v>
      </c>
      <c r="K24727">
        <v>245</v>
      </c>
      <c r="L24727">
        <v>372</v>
      </c>
      <c r="M24727">
        <v>1</v>
      </c>
      <c r="N24727">
        <v>2.7915000000000002E-19</v>
      </c>
      <c r="O24727">
        <v>228</v>
      </c>
    </row>
    <row r="24728" spans="1:15" x14ac:dyDescent="0.25">
      <c r="A24728" t="s">
        <v>24741</v>
      </c>
      <c r="B24728">
        <v>232</v>
      </c>
      <c r="C24728" s="1" t="str">
        <f>HYPERLINK("http://www.rosaceae.org/gb/gbrowse/malus_x_domestica/?name=MDP0000220590","MDP0000220590")</f>
        <v>MDP0000220590</v>
      </c>
      <c r="D24728">
        <v>85.05</v>
      </c>
      <c r="E24728">
        <v>174</v>
      </c>
      <c r="F24728">
        <v>26</v>
      </c>
      <c r="G24728">
        <v>0</v>
      </c>
      <c r="H24728">
        <v>11</v>
      </c>
      <c r="I24728">
        <v>184</v>
      </c>
      <c r="J24728">
        <v>1</v>
      </c>
      <c r="K24728">
        <v>95</v>
      </c>
      <c r="L24728">
        <v>268</v>
      </c>
      <c r="M24728">
        <v>1</v>
      </c>
      <c r="N24728">
        <v>2.4205600000000001E-85</v>
      </c>
      <c r="O24728">
        <v>798</v>
      </c>
    </row>
    <row r="24729" spans="1:15" x14ac:dyDescent="0.25">
      <c r="A24729" t="s">
        <v>24742</v>
      </c>
      <c r="B24729">
        <v>128</v>
      </c>
      <c r="C24729" s="1" t="str">
        <f>HYPERLINK("http://www.rosaceae.org/gb/gbrowse/malus_x_domestica/?name=MDP0000227352","MDP0000227352")</f>
        <v>MDP0000227352</v>
      </c>
      <c r="D24729">
        <v>34.340000000000003</v>
      </c>
      <c r="E24729">
        <v>99</v>
      </c>
      <c r="F24729">
        <v>65</v>
      </c>
      <c r="G24729">
        <v>0</v>
      </c>
      <c r="H24729">
        <v>1</v>
      </c>
      <c r="I24729">
        <v>99</v>
      </c>
      <c r="J24729">
        <v>1</v>
      </c>
      <c r="K24729">
        <v>151</v>
      </c>
      <c r="L24729">
        <v>249</v>
      </c>
      <c r="M24729">
        <v>1</v>
      </c>
      <c r="N24729">
        <v>2.7447900000000001E-10</v>
      </c>
      <c r="O24729">
        <v>147</v>
      </c>
    </row>
    <row r="24730" spans="1:15" x14ac:dyDescent="0.25">
      <c r="A24730" t="s">
        <v>24743</v>
      </c>
      <c r="B24730">
        <v>532</v>
      </c>
      <c r="C24730" s="1" t="str">
        <f>HYPERLINK("http://www.rosaceae.org/gb/gbrowse/malus_x_domestica/?name=MDP0000303567","MDP0000303567")</f>
        <v>MDP0000303567</v>
      </c>
      <c r="D24730">
        <v>79.42</v>
      </c>
      <c r="E24730">
        <v>525</v>
      </c>
      <c r="F24730">
        <v>108</v>
      </c>
      <c r="G24730">
        <v>4</v>
      </c>
      <c r="H24730">
        <v>1</v>
      </c>
      <c r="I24730">
        <v>522</v>
      </c>
      <c r="J24730">
        <v>1</v>
      </c>
      <c r="K24730">
        <v>1</v>
      </c>
      <c r="L24730">
        <v>524</v>
      </c>
      <c r="M24730">
        <v>1</v>
      </c>
      <c r="N24730">
        <v>0</v>
      </c>
      <c r="O24730">
        <v>2211</v>
      </c>
    </row>
    <row r="24731" spans="1:15" x14ac:dyDescent="0.25">
      <c r="A24731" t="s">
        <v>24744</v>
      </c>
      <c r="B24731">
        <v>603</v>
      </c>
      <c r="C24731" s="1" t="str">
        <f>HYPERLINK("http://www.rosaceae.org/gb/gbrowse/malus_x_domestica/?name=MDP0000008280","MDP0000008280")</f>
        <v>MDP0000008280</v>
      </c>
      <c r="D24731">
        <v>62.33</v>
      </c>
      <c r="E24731">
        <v>616</v>
      </c>
      <c r="F24731">
        <v>232</v>
      </c>
      <c r="G24731">
        <v>16</v>
      </c>
      <c r="H24731">
        <v>3</v>
      </c>
      <c r="I24731">
        <v>603</v>
      </c>
      <c r="J24731">
        <v>1</v>
      </c>
      <c r="K24731">
        <v>96</v>
      </c>
      <c r="L24731">
        <v>710</v>
      </c>
      <c r="M24731">
        <v>1</v>
      </c>
      <c r="N24731">
        <v>0</v>
      </c>
      <c r="O24731">
        <v>1954</v>
      </c>
    </row>
    <row r="24732" spans="1:15" x14ac:dyDescent="0.25">
      <c r="A24732" t="s">
        <v>24745</v>
      </c>
      <c r="B24732">
        <v>65</v>
      </c>
      <c r="C24732" s="1" t="str">
        <f>HYPERLINK("http://www.rosaceae.org/gb/gbrowse/malus_x_domestica/?name=MDP0000584036","MDP0000584036")</f>
        <v>MDP0000584036</v>
      </c>
      <c r="D24732">
        <v>71.180000000000007</v>
      </c>
      <c r="E24732">
        <v>59</v>
      </c>
      <c r="F24732">
        <v>17</v>
      </c>
      <c r="G24732">
        <v>2</v>
      </c>
      <c r="H24732">
        <v>1</v>
      </c>
      <c r="I24732">
        <v>57</v>
      </c>
      <c r="J24732">
        <v>1</v>
      </c>
      <c r="K24732">
        <v>50</v>
      </c>
      <c r="L24732">
        <v>108</v>
      </c>
      <c r="M24732">
        <v>1</v>
      </c>
      <c r="N24732">
        <v>1.1760799999999999E-16</v>
      </c>
      <c r="O24732">
        <v>201</v>
      </c>
    </row>
    <row r="24733" spans="1:15" x14ac:dyDescent="0.25">
      <c r="A24733" t="s">
        <v>24746</v>
      </c>
      <c r="B24733">
        <v>1055</v>
      </c>
      <c r="C24733" s="1" t="str">
        <f>HYPERLINK("http://www.rosaceae.org/gb/gbrowse/malus_x_domestica/?name=MDP0000779202","MDP0000779202")</f>
        <v>MDP0000779202</v>
      </c>
      <c r="D24733">
        <v>80.05</v>
      </c>
      <c r="E24733">
        <v>1028</v>
      </c>
      <c r="F24733">
        <v>205</v>
      </c>
      <c r="G24733">
        <v>18</v>
      </c>
      <c r="H24733">
        <v>44</v>
      </c>
      <c r="I24733">
        <v>1055</v>
      </c>
      <c r="J24733">
        <v>1</v>
      </c>
      <c r="K24733">
        <v>43</v>
      </c>
      <c r="L24733">
        <v>1068</v>
      </c>
      <c r="M24733">
        <v>1</v>
      </c>
      <c r="N24733">
        <v>0</v>
      </c>
      <c r="O24733">
        <v>4256</v>
      </c>
    </row>
    <row r="24734" spans="1:15" x14ac:dyDescent="0.25">
      <c r="A24734" t="s">
        <v>24747</v>
      </c>
      <c r="B24734">
        <v>229</v>
      </c>
      <c r="C24734" s="1" t="str">
        <f>HYPERLINK("http://www.rosaceae.org/gb/gbrowse/malus_x_domestica/?name=MDP0000178791","MDP0000178791")</f>
        <v>MDP0000178791</v>
      </c>
      <c r="D24734">
        <v>53.14</v>
      </c>
      <c r="E24734">
        <v>207</v>
      </c>
      <c r="F24734">
        <v>97</v>
      </c>
      <c r="G24734">
        <v>2</v>
      </c>
      <c r="H24734">
        <v>22</v>
      </c>
      <c r="I24734">
        <v>228</v>
      </c>
      <c r="J24734">
        <v>1</v>
      </c>
      <c r="K24734">
        <v>24</v>
      </c>
      <c r="L24734">
        <v>228</v>
      </c>
      <c r="M24734">
        <v>1</v>
      </c>
      <c r="N24734">
        <v>2.8154799999999998E-60</v>
      </c>
      <c r="O24734">
        <v>582</v>
      </c>
    </row>
    <row r="24735" spans="1:15" x14ac:dyDescent="0.25">
      <c r="A24735" t="s">
        <v>24748</v>
      </c>
      <c r="B24735">
        <v>2752</v>
      </c>
      <c r="C24735" s="1" t="str">
        <f>HYPERLINK("http://www.rosaceae.org/gb/gbrowse/malus_x_domestica/?name=MDP0000158146","MDP0000158146")</f>
        <v>MDP0000158146</v>
      </c>
      <c r="D24735">
        <v>72.88</v>
      </c>
      <c r="E24735">
        <v>1549</v>
      </c>
      <c r="F24735">
        <v>420</v>
      </c>
      <c r="G24735">
        <v>67</v>
      </c>
      <c r="H24735">
        <v>483</v>
      </c>
      <c r="I24735">
        <v>2004</v>
      </c>
      <c r="J24735">
        <v>1</v>
      </c>
      <c r="K24735">
        <v>623</v>
      </c>
      <c r="L24735">
        <v>2131</v>
      </c>
      <c r="M24735">
        <v>1</v>
      </c>
      <c r="N24735">
        <v>0</v>
      </c>
      <c r="O24735">
        <v>5875</v>
      </c>
    </row>
    <row r="24736" spans="1:15" x14ac:dyDescent="0.25">
      <c r="A24736" t="s">
        <v>24749</v>
      </c>
      <c r="B24736">
        <v>546</v>
      </c>
      <c r="C24736" s="1" t="str">
        <f>HYPERLINK("http://www.rosaceae.org/gb/gbrowse/malus_x_domestica/?name=MDP0000891117","MDP0000891117")</f>
        <v>MDP0000891117</v>
      </c>
      <c r="D24736">
        <v>77.680000000000007</v>
      </c>
      <c r="E24736">
        <v>493</v>
      </c>
      <c r="F24736">
        <v>110</v>
      </c>
      <c r="G24736">
        <v>12</v>
      </c>
      <c r="H24736">
        <v>1</v>
      </c>
      <c r="I24736">
        <v>481</v>
      </c>
      <c r="J24736">
        <v>1</v>
      </c>
      <c r="K24736">
        <v>1</v>
      </c>
      <c r="L24736">
        <v>493</v>
      </c>
      <c r="M24736">
        <v>1</v>
      </c>
      <c r="N24736">
        <v>0</v>
      </c>
      <c r="O24736">
        <v>1942</v>
      </c>
    </row>
    <row r="24737" spans="1:15" x14ac:dyDescent="0.25">
      <c r="A24737" t="s">
        <v>24750</v>
      </c>
      <c r="B24737">
        <v>437</v>
      </c>
      <c r="C24737" s="1" t="str">
        <f>HYPERLINK("http://www.rosaceae.org/gb/gbrowse/malus_x_domestica/?name=MDP0000271903","MDP0000271903")</f>
        <v>MDP0000271903</v>
      </c>
      <c r="D24737">
        <v>40.520000000000003</v>
      </c>
      <c r="E24737">
        <v>380</v>
      </c>
      <c r="F24737">
        <v>226</v>
      </c>
      <c r="G24737">
        <v>54</v>
      </c>
      <c r="H24737">
        <v>47</v>
      </c>
      <c r="I24737">
        <v>379</v>
      </c>
      <c r="J24737">
        <v>1</v>
      </c>
      <c r="K24737">
        <v>15</v>
      </c>
      <c r="L24737">
        <v>387</v>
      </c>
      <c r="M24737">
        <v>1</v>
      </c>
      <c r="N24737">
        <v>1.0184300000000001E-64</v>
      </c>
      <c r="O24737">
        <v>624</v>
      </c>
    </row>
    <row r="24738" spans="1:15" x14ac:dyDescent="0.25">
      <c r="A24738" t="s">
        <v>24751</v>
      </c>
      <c r="B24738">
        <v>176</v>
      </c>
      <c r="C24738" s="1" t="str">
        <f>HYPERLINK("http://www.rosaceae.org/gb/gbrowse/malus_x_domestica/?name=MDP0000230768","MDP0000230768")</f>
        <v>MDP0000230768</v>
      </c>
      <c r="D24738">
        <v>87.73</v>
      </c>
      <c r="E24738">
        <v>163</v>
      </c>
      <c r="F24738">
        <v>20</v>
      </c>
      <c r="G24738">
        <v>0</v>
      </c>
      <c r="H24738">
        <v>14</v>
      </c>
      <c r="I24738">
        <v>176</v>
      </c>
      <c r="J24738">
        <v>1</v>
      </c>
      <c r="K24738">
        <v>403</v>
      </c>
      <c r="L24738">
        <v>565</v>
      </c>
      <c r="M24738">
        <v>1</v>
      </c>
      <c r="N24738">
        <v>2.6738200000000001E-81</v>
      </c>
      <c r="O24738">
        <v>762</v>
      </c>
    </row>
    <row r="24739" spans="1:15" x14ac:dyDescent="0.25">
      <c r="A24739" t="s">
        <v>24752</v>
      </c>
      <c r="B24739">
        <v>635</v>
      </c>
      <c r="C24739" s="1" t="str">
        <f>HYPERLINK("http://www.rosaceae.org/gb/gbrowse/malus_x_domestica/?name=MDP0000744614","MDP0000744614")</f>
        <v>MDP0000744614</v>
      </c>
      <c r="D24739">
        <v>38.92</v>
      </c>
      <c r="E24739">
        <v>596</v>
      </c>
      <c r="F24739">
        <v>364</v>
      </c>
      <c r="G24739">
        <v>56</v>
      </c>
      <c r="H24739">
        <v>31</v>
      </c>
      <c r="I24739">
        <v>584</v>
      </c>
      <c r="J24739">
        <v>1</v>
      </c>
      <c r="K24739">
        <v>57</v>
      </c>
      <c r="L24739">
        <v>638</v>
      </c>
      <c r="M24739">
        <v>1</v>
      </c>
      <c r="N24739">
        <v>1.7100800000000001E-103</v>
      </c>
      <c r="O24739">
        <v>960</v>
      </c>
    </row>
    <row r="24740" spans="1:15" x14ac:dyDescent="0.25">
      <c r="A24740" t="s">
        <v>24753</v>
      </c>
      <c r="B24740">
        <v>493</v>
      </c>
      <c r="C24740" s="1" t="str">
        <f>HYPERLINK("http://www.rosaceae.org/gb/gbrowse/malus_x_domestica/?name=MDP0000183693","MDP0000183693")</f>
        <v>MDP0000183693</v>
      </c>
      <c r="D24740">
        <v>36.770000000000003</v>
      </c>
      <c r="E24740">
        <v>484</v>
      </c>
      <c r="F24740">
        <v>306</v>
      </c>
      <c r="G24740">
        <v>119</v>
      </c>
      <c r="H24740">
        <v>40</v>
      </c>
      <c r="I24740">
        <v>493</v>
      </c>
      <c r="J24740">
        <v>1</v>
      </c>
      <c r="K24740">
        <v>201</v>
      </c>
      <c r="L24740">
        <v>595</v>
      </c>
      <c r="M24740">
        <v>1</v>
      </c>
      <c r="N24740">
        <v>4.2726400000000003E-74</v>
      </c>
      <c r="O24740">
        <v>705</v>
      </c>
    </row>
    <row r="24741" spans="1:15" x14ac:dyDescent="0.25">
      <c r="A24741" t="s">
        <v>24754</v>
      </c>
      <c r="B24741">
        <v>1515</v>
      </c>
      <c r="C24741" s="1" t="str">
        <f>HYPERLINK("http://www.rosaceae.org/gb/gbrowse/malus_x_domestica/?name=MDP0000157225","MDP0000157225")</f>
        <v>MDP0000157225</v>
      </c>
      <c r="D24741">
        <v>45.1</v>
      </c>
      <c r="E24741">
        <v>878</v>
      </c>
      <c r="F24741">
        <v>482</v>
      </c>
      <c r="G24741">
        <v>99</v>
      </c>
      <c r="H24741">
        <v>10</v>
      </c>
      <c r="I24741">
        <v>868</v>
      </c>
      <c r="J24741">
        <v>1</v>
      </c>
      <c r="K24741">
        <v>9</v>
      </c>
      <c r="L24741">
        <v>806</v>
      </c>
      <c r="M24741">
        <v>1</v>
      </c>
      <c r="N24741">
        <v>0</v>
      </c>
      <c r="O24741">
        <v>1686</v>
      </c>
    </row>
    <row r="24742" spans="1:15" x14ac:dyDescent="0.25">
      <c r="A24742" t="s">
        <v>24755</v>
      </c>
      <c r="B24742">
        <v>658</v>
      </c>
      <c r="C24742" s="1" t="str">
        <f>HYPERLINK("http://www.rosaceae.org/gb/gbrowse/malus_x_domestica/?name=MDP0000162583","MDP0000162583")</f>
        <v>MDP0000162583</v>
      </c>
      <c r="D24742">
        <v>53.64</v>
      </c>
      <c r="E24742">
        <v>563</v>
      </c>
      <c r="F24742">
        <v>261</v>
      </c>
      <c r="G24742">
        <v>87</v>
      </c>
      <c r="H24742">
        <v>1</v>
      </c>
      <c r="I24742">
        <v>501</v>
      </c>
      <c r="J24742">
        <v>1</v>
      </c>
      <c r="K24742">
        <v>1</v>
      </c>
      <c r="L24742">
        <v>538</v>
      </c>
      <c r="M24742">
        <v>1</v>
      </c>
      <c r="N24742">
        <v>2.13522E-147</v>
      </c>
      <c r="O24742">
        <v>1339</v>
      </c>
    </row>
    <row r="24743" spans="1:15" x14ac:dyDescent="0.25">
      <c r="A24743" t="s">
        <v>24756</v>
      </c>
      <c r="B24743">
        <v>407</v>
      </c>
      <c r="C24743" s="1" t="str">
        <f>HYPERLINK("http://www.rosaceae.org/gb/gbrowse/malus_x_domestica/?name=MDP0000319660","MDP0000319660")</f>
        <v>MDP0000319660</v>
      </c>
      <c r="D24743">
        <v>52</v>
      </c>
      <c r="E24743">
        <v>325</v>
      </c>
      <c r="F24743">
        <v>156</v>
      </c>
      <c r="G24743">
        <v>4</v>
      </c>
      <c r="H24743">
        <v>83</v>
      </c>
      <c r="I24743">
        <v>407</v>
      </c>
      <c r="J24743">
        <v>1</v>
      </c>
      <c r="K24743">
        <v>65</v>
      </c>
      <c r="L24743">
        <v>385</v>
      </c>
      <c r="M24743">
        <v>1</v>
      </c>
      <c r="N24743">
        <v>8.0986099999999994E-96</v>
      </c>
      <c r="O24743">
        <v>892</v>
      </c>
    </row>
    <row r="24744" spans="1:15" x14ac:dyDescent="0.25">
      <c r="A24744" t="s">
        <v>24757</v>
      </c>
      <c r="B24744">
        <v>359</v>
      </c>
      <c r="C24744" s="1" t="str">
        <f>HYPERLINK("http://www.rosaceae.org/gb/gbrowse/malus_x_domestica/?name=MDP0000500222","MDP0000500222")</f>
        <v>MDP0000500222</v>
      </c>
      <c r="D24744">
        <v>30.32</v>
      </c>
      <c r="E24744">
        <v>366</v>
      </c>
      <c r="F24744">
        <v>255</v>
      </c>
      <c r="G24744">
        <v>35</v>
      </c>
      <c r="H24744">
        <v>8</v>
      </c>
      <c r="I24744">
        <v>356</v>
      </c>
      <c r="J24744">
        <v>1</v>
      </c>
      <c r="K24744">
        <v>73</v>
      </c>
      <c r="L24744">
        <v>420</v>
      </c>
      <c r="M24744">
        <v>1</v>
      </c>
      <c r="N24744">
        <v>1.15388E-28</v>
      </c>
      <c r="O24744">
        <v>312</v>
      </c>
    </row>
    <row r="24745" spans="1:15" x14ac:dyDescent="0.25">
      <c r="A24745" t="s">
        <v>24758</v>
      </c>
      <c r="B24745">
        <v>476</v>
      </c>
      <c r="C24745" s="1" t="str">
        <f>HYPERLINK("http://www.rosaceae.org/gb/gbrowse/malus_x_domestica/?name=MDP0000926292","MDP0000926292")</f>
        <v>MDP0000926292</v>
      </c>
      <c r="D24745">
        <v>88.57</v>
      </c>
      <c r="E24745">
        <v>429</v>
      </c>
      <c r="F24745">
        <v>49</v>
      </c>
      <c r="G24745">
        <v>0</v>
      </c>
      <c r="H24745">
        <v>4</v>
      </c>
      <c r="I24745">
        <v>432</v>
      </c>
      <c r="J24745">
        <v>1</v>
      </c>
      <c r="K24745">
        <v>2</v>
      </c>
      <c r="L24745">
        <v>430</v>
      </c>
      <c r="M24745">
        <v>1</v>
      </c>
      <c r="N24745">
        <v>0</v>
      </c>
      <c r="O24745">
        <v>2030</v>
      </c>
    </row>
    <row r="24746" spans="1:15" x14ac:dyDescent="0.25">
      <c r="A24746" t="s">
        <v>24759</v>
      </c>
      <c r="B24746">
        <v>498</v>
      </c>
      <c r="C24746" s="1" t="str">
        <f>HYPERLINK("http://www.rosaceae.org/gb/gbrowse/malus_x_domestica/?name=MDP0000270616","MDP0000270616")</f>
        <v>MDP0000270616</v>
      </c>
      <c r="D24746">
        <v>28.19</v>
      </c>
      <c r="E24746">
        <v>376</v>
      </c>
      <c r="F24746">
        <v>270</v>
      </c>
      <c r="G24746">
        <v>39</v>
      </c>
      <c r="H24746">
        <v>54</v>
      </c>
      <c r="I24746">
        <v>397</v>
      </c>
      <c r="J24746">
        <v>1</v>
      </c>
      <c r="K24746">
        <v>34</v>
      </c>
      <c r="L24746">
        <v>402</v>
      </c>
      <c r="M24746">
        <v>1</v>
      </c>
      <c r="N24746">
        <v>9.9647800000000001E-18</v>
      </c>
      <c r="O24746">
        <v>219</v>
      </c>
    </row>
    <row r="24747" spans="1:15" x14ac:dyDescent="0.25">
      <c r="A24747" t="s">
        <v>24760</v>
      </c>
      <c r="B24747">
        <v>152</v>
      </c>
      <c r="C24747" s="1" t="str">
        <f>HYPERLINK("http://www.rosaceae.org/gb/gbrowse/malus_x_domestica/?name=MDP0000145990","MDP0000145990")</f>
        <v>MDP0000145990</v>
      </c>
      <c r="D24747">
        <v>69.17</v>
      </c>
      <c r="E24747">
        <v>133</v>
      </c>
      <c r="F24747">
        <v>41</v>
      </c>
      <c r="G24747">
        <v>12</v>
      </c>
      <c r="H24747">
        <v>1</v>
      </c>
      <c r="I24747">
        <v>124</v>
      </c>
      <c r="J24747">
        <v>1</v>
      </c>
      <c r="K24747">
        <v>4</v>
      </c>
      <c r="L24747">
        <v>133</v>
      </c>
      <c r="M24747">
        <v>1</v>
      </c>
      <c r="N24747">
        <v>1.71078E-46</v>
      </c>
      <c r="O24747">
        <v>460</v>
      </c>
    </row>
    <row r="24748" spans="1:15" x14ac:dyDescent="0.25">
      <c r="A24748" t="s">
        <v>24761</v>
      </c>
      <c r="B24748">
        <v>377</v>
      </c>
      <c r="C24748" s="1" t="str">
        <f>HYPERLINK("http://www.rosaceae.org/gb/gbrowse/malus_x_domestica/?name=MDP0000186703","MDP0000186703")</f>
        <v>MDP0000186703</v>
      </c>
      <c r="D24748">
        <v>53.77</v>
      </c>
      <c r="E24748">
        <v>411</v>
      </c>
      <c r="F24748">
        <v>190</v>
      </c>
      <c r="G24748">
        <v>53</v>
      </c>
      <c r="H24748">
        <v>1</v>
      </c>
      <c r="I24748">
        <v>362</v>
      </c>
      <c r="J24748">
        <v>1</v>
      </c>
      <c r="K24748">
        <v>1</v>
      </c>
      <c r="L24748">
        <v>407</v>
      </c>
      <c r="M24748">
        <v>1</v>
      </c>
      <c r="N24748">
        <v>5.5519500000000001E-112</v>
      </c>
      <c r="O24748">
        <v>1031</v>
      </c>
    </row>
    <row r="24749" spans="1:15" x14ac:dyDescent="0.25">
      <c r="A24749" t="s">
        <v>24762</v>
      </c>
      <c r="B24749">
        <v>326</v>
      </c>
      <c r="C24749" s="1" t="str">
        <f>HYPERLINK("http://www.rosaceae.org/gb/gbrowse/malus_x_domestica/?name=MDP0000541588","MDP0000541588")</f>
        <v>MDP0000541588</v>
      </c>
      <c r="D24749">
        <v>72.510000000000005</v>
      </c>
      <c r="E24749">
        <v>302</v>
      </c>
      <c r="F24749">
        <v>83</v>
      </c>
      <c r="G24749">
        <v>12</v>
      </c>
      <c r="H24749">
        <v>31</v>
      </c>
      <c r="I24749">
        <v>322</v>
      </c>
      <c r="J24749">
        <v>1</v>
      </c>
      <c r="K24749">
        <v>2</v>
      </c>
      <c r="L24749">
        <v>301</v>
      </c>
      <c r="M24749">
        <v>1</v>
      </c>
      <c r="N24749">
        <v>3.4189399999999998E-118</v>
      </c>
      <c r="O24749">
        <v>1084</v>
      </c>
    </row>
    <row r="24750" spans="1:15" x14ac:dyDescent="0.25">
      <c r="A24750" t="s">
        <v>24763</v>
      </c>
      <c r="B24750">
        <v>256</v>
      </c>
      <c r="C24750" s="1" t="str">
        <f>HYPERLINK("http://www.rosaceae.org/gb/gbrowse/malus_x_domestica/?name=MDP0000645780","MDP0000645780")</f>
        <v>MDP0000645780</v>
      </c>
      <c r="D24750">
        <v>67.25</v>
      </c>
      <c r="E24750">
        <v>226</v>
      </c>
      <c r="F24750">
        <v>74</v>
      </c>
      <c r="G24750">
        <v>1</v>
      </c>
      <c r="H24750">
        <v>31</v>
      </c>
      <c r="I24750">
        <v>256</v>
      </c>
      <c r="J24750">
        <v>1</v>
      </c>
      <c r="K24750">
        <v>71</v>
      </c>
      <c r="L24750">
        <v>295</v>
      </c>
      <c r="M24750">
        <v>1</v>
      </c>
      <c r="N24750">
        <v>1.1136099999999999E-81</v>
      </c>
      <c r="O24750">
        <v>767</v>
      </c>
    </row>
    <row r="24751" spans="1:15" x14ac:dyDescent="0.25">
      <c r="A24751" t="s">
        <v>24764</v>
      </c>
      <c r="B24751">
        <v>399</v>
      </c>
      <c r="C24751" s="1" t="str">
        <f>HYPERLINK("http://www.rosaceae.org/gb/gbrowse/malus_x_domestica/?name=MDP0000175480","MDP0000175480")</f>
        <v>MDP0000175480</v>
      </c>
      <c r="D24751">
        <v>62.43</v>
      </c>
      <c r="E24751">
        <v>410</v>
      </c>
      <c r="F24751">
        <v>154</v>
      </c>
      <c r="G24751">
        <v>40</v>
      </c>
      <c r="H24751">
        <v>1</v>
      </c>
      <c r="I24751">
        <v>399</v>
      </c>
      <c r="J24751">
        <v>1</v>
      </c>
      <c r="K24751">
        <v>1</v>
      </c>
      <c r="L24751">
        <v>381</v>
      </c>
      <c r="M24751">
        <v>1</v>
      </c>
      <c r="N24751">
        <v>4.8922300000000003E-130</v>
      </c>
      <c r="O24751">
        <v>1187</v>
      </c>
    </row>
    <row r="24752" spans="1:15" x14ac:dyDescent="0.25">
      <c r="A24752" t="s">
        <v>24765</v>
      </c>
      <c r="B24752">
        <v>52</v>
      </c>
      <c r="C24752" s="1" t="str">
        <f>HYPERLINK("http://www.rosaceae.org/gb/gbrowse/malus_x_domestica/?name=MDP0000053760","MDP0000053760")</f>
        <v>MDP0000053760</v>
      </c>
      <c r="D24752">
        <v>98.07</v>
      </c>
      <c r="E24752">
        <v>52</v>
      </c>
      <c r="F24752">
        <v>1</v>
      </c>
      <c r="G24752">
        <v>0</v>
      </c>
      <c r="H24752">
        <v>1</v>
      </c>
      <c r="I24752">
        <v>52</v>
      </c>
      <c r="J24752">
        <v>1</v>
      </c>
      <c r="K24752">
        <v>55</v>
      </c>
      <c r="L24752">
        <v>106</v>
      </c>
      <c r="M24752">
        <v>1</v>
      </c>
      <c r="N24752">
        <v>1.583E-23</v>
      </c>
      <c r="O24752">
        <v>260</v>
      </c>
    </row>
    <row r="24753" spans="1:15" x14ac:dyDescent="0.25">
      <c r="A24753" t="s">
        <v>24766</v>
      </c>
      <c r="B24753">
        <v>126</v>
      </c>
      <c r="C24753" s="1" t="str">
        <f>HYPERLINK("http://www.rosaceae.org/gb/gbrowse/malus_x_domestica/?name=MDP0000212530","MDP0000212530")</f>
        <v>MDP0000212530</v>
      </c>
      <c r="D24753">
        <v>67.5</v>
      </c>
      <c r="E24753">
        <v>120</v>
      </c>
      <c r="F24753">
        <v>39</v>
      </c>
      <c r="G24753">
        <v>4</v>
      </c>
      <c r="H24753">
        <v>1</v>
      </c>
      <c r="I24753">
        <v>116</v>
      </c>
      <c r="J24753">
        <v>1</v>
      </c>
      <c r="K24753">
        <v>343</v>
      </c>
      <c r="L24753">
        <v>462</v>
      </c>
      <c r="M24753">
        <v>1</v>
      </c>
      <c r="N24753">
        <v>5.5014400000000003E-39</v>
      </c>
      <c r="O24753">
        <v>394</v>
      </c>
    </row>
    <row r="24754" spans="1:15" x14ac:dyDescent="0.25">
      <c r="A24754" t="s">
        <v>24767</v>
      </c>
      <c r="B24754">
        <v>559</v>
      </c>
      <c r="C24754" s="1" t="str">
        <f>HYPERLINK("http://www.rosaceae.org/gb/gbrowse/malus_x_domestica/?name=MDP0000161222","MDP0000161222")</f>
        <v>MDP0000161222</v>
      </c>
      <c r="D24754">
        <v>26</v>
      </c>
      <c r="E24754">
        <v>200</v>
      </c>
      <c r="F24754">
        <v>148</v>
      </c>
      <c r="G24754">
        <v>15</v>
      </c>
      <c r="H24754">
        <v>329</v>
      </c>
      <c r="I24754">
        <v>524</v>
      </c>
      <c r="J24754">
        <v>1</v>
      </c>
      <c r="K24754">
        <v>586</v>
      </c>
      <c r="L24754">
        <v>774</v>
      </c>
      <c r="M24754">
        <v>1</v>
      </c>
      <c r="N24754">
        <v>7.5713400000000001E-7</v>
      </c>
      <c r="O24754">
        <v>126</v>
      </c>
    </row>
    <row r="24755" spans="1:15" x14ac:dyDescent="0.25">
      <c r="A24755" t="s">
        <v>24768</v>
      </c>
      <c r="B24755">
        <v>596</v>
      </c>
      <c r="C24755" s="1" t="str">
        <f>HYPERLINK("http://www.rosaceae.org/gb/gbrowse/malus_x_domestica/?name=MDP0000239826","MDP0000239826")</f>
        <v>MDP0000239826</v>
      </c>
      <c r="D24755">
        <v>37.21</v>
      </c>
      <c r="E24755">
        <v>309</v>
      </c>
      <c r="F24755">
        <v>194</v>
      </c>
      <c r="G24755">
        <v>13</v>
      </c>
      <c r="H24755">
        <v>275</v>
      </c>
      <c r="I24755">
        <v>583</v>
      </c>
      <c r="J24755">
        <v>1</v>
      </c>
      <c r="K24755">
        <v>140</v>
      </c>
      <c r="L24755">
        <v>435</v>
      </c>
      <c r="M24755">
        <v>1</v>
      </c>
      <c r="N24755">
        <v>3.97475E-56</v>
      </c>
      <c r="O24755">
        <v>551</v>
      </c>
    </row>
    <row r="24756" spans="1:15" x14ac:dyDescent="0.25">
      <c r="A24756" t="s">
        <v>24769</v>
      </c>
      <c r="B24756">
        <v>353</v>
      </c>
      <c r="C24756" s="1" t="str">
        <f>HYPERLINK("http://www.rosaceae.org/gb/gbrowse/malus_x_domestica/?name=MDP0000265164","MDP0000265164")</f>
        <v>MDP0000265164</v>
      </c>
      <c r="D24756">
        <v>34.43</v>
      </c>
      <c r="E24756">
        <v>424</v>
      </c>
      <c r="F24756">
        <v>278</v>
      </c>
      <c r="G24756">
        <v>89</v>
      </c>
      <c r="H24756">
        <v>1</v>
      </c>
      <c r="I24756">
        <v>351</v>
      </c>
      <c r="J24756">
        <v>1</v>
      </c>
      <c r="K24756">
        <v>659</v>
      </c>
      <c r="L24756">
        <v>1066</v>
      </c>
      <c r="M24756">
        <v>1</v>
      </c>
      <c r="N24756">
        <v>1.6873E-43</v>
      </c>
      <c r="O24756">
        <v>440</v>
      </c>
    </row>
    <row r="24757" spans="1:15" x14ac:dyDescent="0.25">
      <c r="A24757" t="s">
        <v>24770</v>
      </c>
      <c r="B24757">
        <v>464</v>
      </c>
      <c r="C24757" s="1" t="str">
        <f>HYPERLINK("http://www.rosaceae.org/gb/gbrowse/malus_x_domestica/?name=MDP0000790939","MDP0000790939")</f>
        <v>MDP0000790939</v>
      </c>
      <c r="D24757">
        <v>45.64</v>
      </c>
      <c r="E24757">
        <v>482</v>
      </c>
      <c r="F24757">
        <v>262</v>
      </c>
      <c r="G24757">
        <v>46</v>
      </c>
      <c r="H24757">
        <v>8</v>
      </c>
      <c r="I24757">
        <v>464</v>
      </c>
      <c r="J24757">
        <v>1</v>
      </c>
      <c r="K24757">
        <v>3</v>
      </c>
      <c r="L24757">
        <v>463</v>
      </c>
      <c r="M24757">
        <v>1</v>
      </c>
      <c r="N24757">
        <v>3.2335500000000002E-97</v>
      </c>
      <c r="O24757">
        <v>905</v>
      </c>
    </row>
    <row r="24758" spans="1:15" x14ac:dyDescent="0.25">
      <c r="A24758" t="s">
        <v>24771</v>
      </c>
      <c r="B24758">
        <v>423</v>
      </c>
      <c r="C24758" s="1" t="str">
        <f>HYPERLINK("http://www.rosaceae.org/gb/gbrowse/malus_x_domestica/?name=MDP0000164725","MDP0000164725")</f>
        <v>MDP0000164725</v>
      </c>
      <c r="D24758">
        <v>43.98</v>
      </c>
      <c r="E24758">
        <v>341</v>
      </c>
      <c r="F24758">
        <v>191</v>
      </c>
      <c r="G24758">
        <v>40</v>
      </c>
      <c r="H24758">
        <v>109</v>
      </c>
      <c r="I24758">
        <v>411</v>
      </c>
      <c r="J24758">
        <v>1</v>
      </c>
      <c r="K24758">
        <v>190</v>
      </c>
      <c r="L24758">
        <v>528</v>
      </c>
      <c r="M24758">
        <v>1</v>
      </c>
      <c r="N24758">
        <v>3.8210200000000002E-74</v>
      </c>
      <c r="O24758">
        <v>705</v>
      </c>
    </row>
    <row r="24759" spans="1:15" x14ac:dyDescent="0.25">
      <c r="A24759" t="s">
        <v>24772</v>
      </c>
      <c r="B24759">
        <v>175</v>
      </c>
      <c r="C24759" s="1" t="str">
        <f>HYPERLINK("http://www.rosaceae.org/gb/gbrowse/malus_x_domestica/?name=MDP0000525928","MDP0000525928")</f>
        <v>MDP0000525928</v>
      </c>
      <c r="D24759">
        <v>35.21</v>
      </c>
      <c r="E24759">
        <v>142</v>
      </c>
      <c r="F24759">
        <v>92</v>
      </c>
      <c r="G24759">
        <v>52</v>
      </c>
      <c r="H24759">
        <v>24</v>
      </c>
      <c r="I24759">
        <v>116</v>
      </c>
      <c r="J24759">
        <v>1</v>
      </c>
      <c r="K24759">
        <v>48</v>
      </c>
      <c r="L24759">
        <v>186</v>
      </c>
      <c r="M24759">
        <v>1</v>
      </c>
      <c r="N24759">
        <v>6.3097099999999995E-10</v>
      </c>
      <c r="O24759">
        <v>146</v>
      </c>
    </row>
    <row r="24760" spans="1:15" x14ac:dyDescent="0.25">
      <c r="A24760" t="s">
        <v>24773</v>
      </c>
      <c r="B24760">
        <v>274</v>
      </c>
      <c r="C24760" s="1" t="str">
        <f>HYPERLINK("http://www.rosaceae.org/gb/gbrowse/malus_x_domestica/?name=MDP0000121362","MDP0000121362")</f>
        <v>MDP0000121362</v>
      </c>
      <c r="D24760">
        <v>32.76</v>
      </c>
      <c r="E24760">
        <v>177</v>
      </c>
      <c r="F24760">
        <v>119</v>
      </c>
      <c r="G24760">
        <v>37</v>
      </c>
      <c r="H24760">
        <v>1</v>
      </c>
      <c r="I24760">
        <v>176</v>
      </c>
      <c r="J24760">
        <v>1</v>
      </c>
      <c r="K24760">
        <v>232</v>
      </c>
      <c r="L24760">
        <v>372</v>
      </c>
      <c r="M24760">
        <v>1</v>
      </c>
      <c r="N24760">
        <v>2.90815E-23</v>
      </c>
      <c r="O24760">
        <v>264</v>
      </c>
    </row>
    <row r="24761" spans="1:15" x14ac:dyDescent="0.25">
      <c r="A24761" t="s">
        <v>24774</v>
      </c>
      <c r="B24761">
        <v>222</v>
      </c>
      <c r="C24761" s="1" t="str">
        <f>HYPERLINK("http://www.rosaceae.org/gb/gbrowse/malus_x_domestica/?name=MDP0000670228","MDP0000670228")</f>
        <v>MDP0000670228</v>
      </c>
      <c r="D24761">
        <v>30</v>
      </c>
      <c r="E24761">
        <v>160</v>
      </c>
      <c r="F24761">
        <v>112</v>
      </c>
      <c r="G24761">
        <v>25</v>
      </c>
      <c r="H24761">
        <v>72</v>
      </c>
      <c r="I24761">
        <v>219</v>
      </c>
      <c r="J24761">
        <v>1</v>
      </c>
      <c r="K24761">
        <v>155</v>
      </c>
      <c r="L24761">
        <v>301</v>
      </c>
      <c r="M24761">
        <v>1</v>
      </c>
      <c r="N24761">
        <v>5.44982E-7</v>
      </c>
      <c r="O24761">
        <v>122</v>
      </c>
    </row>
    <row r="24762" spans="1:15" x14ac:dyDescent="0.25">
      <c r="A24762" t="s">
        <v>24775</v>
      </c>
      <c r="B24762">
        <v>246</v>
      </c>
      <c r="C24762" s="1" t="str">
        <f>HYPERLINK("http://www.rosaceae.org/gb/gbrowse/malus_x_domestica/?name=MDP0000314583","MDP0000314583")</f>
        <v>MDP0000314583</v>
      </c>
      <c r="D24762">
        <v>77.540000000000006</v>
      </c>
      <c r="E24762">
        <v>236</v>
      </c>
      <c r="F24762">
        <v>53</v>
      </c>
      <c r="G24762">
        <v>8</v>
      </c>
      <c r="H24762">
        <v>18</v>
      </c>
      <c r="I24762">
        <v>246</v>
      </c>
      <c r="J24762">
        <v>1</v>
      </c>
      <c r="K24762">
        <v>1</v>
      </c>
      <c r="L24762">
        <v>235</v>
      </c>
      <c r="M24762">
        <v>1</v>
      </c>
      <c r="N24762">
        <v>3.3617200000000002E-98</v>
      </c>
      <c r="O24762">
        <v>910</v>
      </c>
    </row>
    <row r="24763" spans="1:15" x14ac:dyDescent="0.25">
      <c r="A24763" t="s">
        <v>24776</v>
      </c>
      <c r="B24763">
        <v>1322</v>
      </c>
      <c r="C24763" s="1" t="str">
        <f>HYPERLINK("http://www.rosaceae.org/gb/gbrowse/malus_x_domestica/?name=MDP0000148418","MDP0000148418")</f>
        <v>MDP0000148418</v>
      </c>
      <c r="D24763">
        <v>85.15</v>
      </c>
      <c r="E24763">
        <v>640</v>
      </c>
      <c r="F24763">
        <v>95</v>
      </c>
      <c r="G24763">
        <v>18</v>
      </c>
      <c r="H24763">
        <v>18</v>
      </c>
      <c r="I24763">
        <v>642</v>
      </c>
      <c r="J24763">
        <v>1</v>
      </c>
      <c r="K24763">
        <v>73</v>
      </c>
      <c r="L24763">
        <v>709</v>
      </c>
      <c r="M24763">
        <v>1</v>
      </c>
      <c r="N24763">
        <v>0</v>
      </c>
      <c r="O24763">
        <v>2962</v>
      </c>
    </row>
    <row r="24764" spans="1:15" x14ac:dyDescent="0.25">
      <c r="A24764" t="s">
        <v>24777</v>
      </c>
      <c r="B24764">
        <v>492</v>
      </c>
      <c r="C24764" s="1" t="str">
        <f>HYPERLINK("http://www.rosaceae.org/gb/gbrowse/malus_x_domestica/?name=MDP0000286198","MDP0000286198")</f>
        <v>MDP0000286198</v>
      </c>
      <c r="D24764">
        <v>53.51</v>
      </c>
      <c r="E24764">
        <v>256</v>
      </c>
      <c r="F24764">
        <v>119</v>
      </c>
      <c r="G24764">
        <v>52</v>
      </c>
      <c r="H24764">
        <v>1</v>
      </c>
      <c r="I24764">
        <v>231</v>
      </c>
      <c r="J24764">
        <v>1</v>
      </c>
      <c r="K24764">
        <v>1</v>
      </c>
      <c r="L24764">
        <v>229</v>
      </c>
      <c r="M24764">
        <v>1</v>
      </c>
      <c r="N24764">
        <v>7.12028E-59</v>
      </c>
      <c r="O24764">
        <v>574</v>
      </c>
    </row>
    <row r="24765" spans="1:15" x14ac:dyDescent="0.25">
      <c r="A24765" t="s">
        <v>24778</v>
      </c>
      <c r="B24765">
        <v>577</v>
      </c>
      <c r="C24765" s="1" t="str">
        <f>HYPERLINK("http://www.rosaceae.org/gb/gbrowse/malus_x_domestica/?name=MDP0000167979","MDP0000167979")</f>
        <v>MDP0000167979</v>
      </c>
      <c r="D24765">
        <v>78.010000000000005</v>
      </c>
      <c r="E24765">
        <v>523</v>
      </c>
      <c r="F24765">
        <v>115</v>
      </c>
      <c r="G24765">
        <v>38</v>
      </c>
      <c r="H24765">
        <v>90</v>
      </c>
      <c r="I24765">
        <v>576</v>
      </c>
      <c r="J24765">
        <v>1</v>
      </c>
      <c r="K24765">
        <v>1</v>
      </c>
      <c r="L24765">
        <v>521</v>
      </c>
      <c r="M24765">
        <v>1</v>
      </c>
      <c r="N24765">
        <v>0</v>
      </c>
      <c r="O24765">
        <v>2070</v>
      </c>
    </row>
    <row r="24766" spans="1:15" x14ac:dyDescent="0.25">
      <c r="A24766" t="s">
        <v>24779</v>
      </c>
      <c r="B24766">
        <v>535</v>
      </c>
      <c r="C24766" s="1" t="str">
        <f>HYPERLINK("http://www.rosaceae.org/gb/gbrowse/malus_x_domestica/?name=MDP0000695221","MDP0000695221")</f>
        <v>MDP0000695221</v>
      </c>
      <c r="D24766">
        <v>39.39</v>
      </c>
      <c r="E24766">
        <v>566</v>
      </c>
      <c r="F24766">
        <v>343</v>
      </c>
      <c r="G24766">
        <v>66</v>
      </c>
      <c r="H24766">
        <v>7</v>
      </c>
      <c r="I24766">
        <v>535</v>
      </c>
      <c r="J24766">
        <v>1</v>
      </c>
      <c r="K24766">
        <v>3</v>
      </c>
      <c r="L24766">
        <v>539</v>
      </c>
      <c r="M24766">
        <v>1</v>
      </c>
      <c r="N24766">
        <v>3.05027E-97</v>
      </c>
      <c r="O24766">
        <v>905</v>
      </c>
    </row>
    <row r="24767" spans="1:15" x14ac:dyDescent="0.25">
      <c r="A24767" t="s">
        <v>24780</v>
      </c>
      <c r="B24767">
        <v>325</v>
      </c>
      <c r="C24767" s="1" t="str">
        <f>HYPERLINK("http://www.rosaceae.org/gb/gbrowse/malus_x_domestica/?name=MDP0000144687","MDP0000144687")</f>
        <v>MDP0000144687</v>
      </c>
      <c r="D24767">
        <v>88.06</v>
      </c>
      <c r="E24767">
        <v>310</v>
      </c>
      <c r="F24767">
        <v>37</v>
      </c>
      <c r="G24767">
        <v>0</v>
      </c>
      <c r="H24767">
        <v>8</v>
      </c>
      <c r="I24767">
        <v>317</v>
      </c>
      <c r="J24767">
        <v>1</v>
      </c>
      <c r="K24767">
        <v>89</v>
      </c>
      <c r="L24767">
        <v>398</v>
      </c>
      <c r="M24767">
        <v>1</v>
      </c>
      <c r="N24767">
        <v>5.5502499999999998E-158</v>
      </c>
      <c r="O24767">
        <v>1427</v>
      </c>
    </row>
    <row r="24768" spans="1:15" x14ac:dyDescent="0.25">
      <c r="A24768" t="s">
        <v>24781</v>
      </c>
      <c r="B24768">
        <v>361</v>
      </c>
      <c r="C24768" s="1" t="str">
        <f>HYPERLINK("http://www.rosaceae.org/gb/gbrowse/malus_x_domestica/?name=MDP0000225088","MDP0000225088")</f>
        <v>MDP0000225088</v>
      </c>
      <c r="D24768">
        <v>79.260000000000005</v>
      </c>
      <c r="E24768">
        <v>164</v>
      </c>
      <c r="F24768">
        <v>34</v>
      </c>
      <c r="G24768">
        <v>1</v>
      </c>
      <c r="H24768">
        <v>1</v>
      </c>
      <c r="I24768">
        <v>163</v>
      </c>
      <c r="J24768">
        <v>1</v>
      </c>
      <c r="K24768">
        <v>1</v>
      </c>
      <c r="L24768">
        <v>164</v>
      </c>
      <c r="M24768">
        <v>1</v>
      </c>
      <c r="N24768">
        <v>3.2582199999999999E-72</v>
      </c>
      <c r="O24768">
        <v>688</v>
      </c>
    </row>
    <row r="24769" spans="1:15" x14ac:dyDescent="0.25">
      <c r="A24769" t="s">
        <v>24782</v>
      </c>
      <c r="B24769">
        <v>756</v>
      </c>
      <c r="C24769" s="1" t="str">
        <f>HYPERLINK("http://www.rosaceae.org/gb/gbrowse/malus_x_domestica/?name=MDP0000227287","MDP0000227287")</f>
        <v>MDP0000227287</v>
      </c>
      <c r="D24769">
        <v>82.36</v>
      </c>
      <c r="E24769">
        <v>760</v>
      </c>
      <c r="F24769">
        <v>134</v>
      </c>
      <c r="G24769">
        <v>17</v>
      </c>
      <c r="H24769">
        <v>1</v>
      </c>
      <c r="I24769">
        <v>743</v>
      </c>
      <c r="J24769">
        <v>1</v>
      </c>
      <c r="K24769">
        <v>1</v>
      </c>
      <c r="L24769">
        <v>760</v>
      </c>
      <c r="M24769">
        <v>1</v>
      </c>
      <c r="N24769">
        <v>0</v>
      </c>
      <c r="O24769">
        <v>3381</v>
      </c>
    </row>
    <row r="24770" spans="1:15" x14ac:dyDescent="0.25">
      <c r="A24770" t="s">
        <v>24783</v>
      </c>
      <c r="B24770">
        <v>420</v>
      </c>
      <c r="C24770" s="1" t="str">
        <f>HYPERLINK("http://www.rosaceae.org/gb/gbrowse/malus_x_domestica/?name=MDP0000624350","MDP0000624350")</f>
        <v>MDP0000624350</v>
      </c>
      <c r="D24770">
        <v>86.91</v>
      </c>
      <c r="E24770">
        <v>214</v>
      </c>
      <c r="F24770">
        <v>28</v>
      </c>
      <c r="G24770">
        <v>15</v>
      </c>
      <c r="H24770">
        <v>1</v>
      </c>
      <c r="I24770">
        <v>203</v>
      </c>
      <c r="J24770">
        <v>1</v>
      </c>
      <c r="K24770">
        <v>3</v>
      </c>
      <c r="L24770">
        <v>212</v>
      </c>
      <c r="M24770">
        <v>1</v>
      </c>
      <c r="N24770">
        <v>8.1592400000000002E-101</v>
      </c>
      <c r="O24770">
        <v>935</v>
      </c>
    </row>
    <row r="24771" spans="1:15" x14ac:dyDescent="0.25">
      <c r="A24771" t="s">
        <v>24784</v>
      </c>
      <c r="B24771">
        <v>379</v>
      </c>
      <c r="C24771" s="1" t="str">
        <f>HYPERLINK("http://www.rosaceae.org/gb/gbrowse/malus_x_domestica/?name=MDP0000306488","MDP0000306488")</f>
        <v>MDP0000306488</v>
      </c>
      <c r="D24771">
        <v>72.430000000000007</v>
      </c>
      <c r="E24771">
        <v>312</v>
      </c>
      <c r="F24771">
        <v>86</v>
      </c>
      <c r="G24771">
        <v>4</v>
      </c>
      <c r="H24771">
        <v>1</v>
      </c>
      <c r="I24771">
        <v>312</v>
      </c>
      <c r="J24771">
        <v>1</v>
      </c>
      <c r="K24771">
        <v>1</v>
      </c>
      <c r="L24771">
        <v>308</v>
      </c>
      <c r="M24771">
        <v>1</v>
      </c>
      <c r="N24771">
        <v>1.8670999999999999E-126</v>
      </c>
      <c r="O24771">
        <v>1156</v>
      </c>
    </row>
    <row r="24772" spans="1:15" x14ac:dyDescent="0.25">
      <c r="A24772" t="s">
        <v>24785</v>
      </c>
      <c r="B24772">
        <v>705</v>
      </c>
      <c r="C24772" s="1" t="str">
        <f>HYPERLINK("http://www.rosaceae.org/gb/gbrowse/malus_x_domestica/?name=MDP0000163211","MDP0000163211")</f>
        <v>MDP0000163211</v>
      </c>
      <c r="D24772">
        <v>70.09</v>
      </c>
      <c r="E24772">
        <v>662</v>
      </c>
      <c r="F24772">
        <v>198</v>
      </c>
      <c r="G24772">
        <v>81</v>
      </c>
      <c r="H24772">
        <v>108</v>
      </c>
      <c r="I24772">
        <v>705</v>
      </c>
      <c r="J24772">
        <v>1</v>
      </c>
      <c r="K24772">
        <v>980</v>
      </c>
      <c r="L24772">
        <v>1624</v>
      </c>
      <c r="M24772">
        <v>1</v>
      </c>
      <c r="N24772">
        <v>0</v>
      </c>
      <c r="O24772">
        <v>2301</v>
      </c>
    </row>
    <row r="24773" spans="1:15" x14ac:dyDescent="0.25">
      <c r="A24773" t="s">
        <v>24786</v>
      </c>
      <c r="B24773">
        <v>568</v>
      </c>
      <c r="C24773" s="1" t="str">
        <f>HYPERLINK("http://www.rosaceae.org/gb/gbrowse/malus_x_domestica/?name=MDP0000682227","MDP0000682227")</f>
        <v>MDP0000682227</v>
      </c>
      <c r="D24773">
        <v>85.24</v>
      </c>
      <c r="E24773">
        <v>488</v>
      </c>
      <c r="F24773">
        <v>72</v>
      </c>
      <c r="G24773">
        <v>2</v>
      </c>
      <c r="H24773">
        <v>81</v>
      </c>
      <c r="I24773">
        <v>568</v>
      </c>
      <c r="J24773">
        <v>1</v>
      </c>
      <c r="K24773">
        <v>86</v>
      </c>
      <c r="L24773">
        <v>571</v>
      </c>
      <c r="M24773">
        <v>1</v>
      </c>
      <c r="N24773">
        <v>0</v>
      </c>
      <c r="O24773">
        <v>2204</v>
      </c>
    </row>
    <row r="24774" spans="1:15" x14ac:dyDescent="0.25">
      <c r="A24774" t="s">
        <v>24787</v>
      </c>
      <c r="B24774">
        <v>518</v>
      </c>
      <c r="C24774" s="1" t="str">
        <f>HYPERLINK("http://www.rosaceae.org/gb/gbrowse/malus_x_domestica/?name=MDP0000803636","MDP0000803636")</f>
        <v>MDP0000803636</v>
      </c>
      <c r="D24774">
        <v>69.84</v>
      </c>
      <c r="E24774">
        <v>524</v>
      </c>
      <c r="F24774">
        <v>158</v>
      </c>
      <c r="G24774">
        <v>17</v>
      </c>
      <c r="H24774">
        <v>4</v>
      </c>
      <c r="I24774">
        <v>517</v>
      </c>
      <c r="J24774">
        <v>1</v>
      </c>
      <c r="K24774">
        <v>5</v>
      </c>
      <c r="L24774">
        <v>521</v>
      </c>
      <c r="M24774">
        <v>1</v>
      </c>
      <c r="N24774">
        <v>0</v>
      </c>
      <c r="O24774">
        <v>1927</v>
      </c>
    </row>
    <row r="24775" spans="1:15" x14ac:dyDescent="0.25">
      <c r="A24775" t="s">
        <v>24788</v>
      </c>
      <c r="B24775">
        <v>433</v>
      </c>
      <c r="C24775" s="1" t="str">
        <f>HYPERLINK("http://www.rosaceae.org/gb/gbrowse/malus_x_domestica/?name=MDP0000125021","MDP0000125021")</f>
        <v>MDP0000125021</v>
      </c>
      <c r="D24775">
        <v>72.44</v>
      </c>
      <c r="E24775">
        <v>421</v>
      </c>
      <c r="F24775">
        <v>116</v>
      </c>
      <c r="G24775">
        <v>6</v>
      </c>
      <c r="H24775">
        <v>4</v>
      </c>
      <c r="I24775">
        <v>419</v>
      </c>
      <c r="J24775">
        <v>1</v>
      </c>
      <c r="K24775">
        <v>11</v>
      </c>
      <c r="L24775">
        <v>430</v>
      </c>
      <c r="M24775">
        <v>1</v>
      </c>
      <c r="N24775">
        <v>2.27143E-162</v>
      </c>
      <c r="O24775">
        <v>1466</v>
      </c>
    </row>
    <row r="24776" spans="1:15" x14ac:dyDescent="0.25">
      <c r="A24776" t="s">
        <v>24789</v>
      </c>
      <c r="B24776">
        <v>253</v>
      </c>
      <c r="C24776" s="1" t="str">
        <f>HYPERLINK("http://www.rosaceae.org/gb/gbrowse/malus_x_domestica/?name=MDP0000641167","MDP0000641167")</f>
        <v>MDP0000641167</v>
      </c>
      <c r="D24776">
        <v>78.94</v>
      </c>
      <c r="E24776">
        <v>266</v>
      </c>
      <c r="F24776">
        <v>56</v>
      </c>
      <c r="G24776">
        <v>13</v>
      </c>
      <c r="H24776">
        <v>1</v>
      </c>
      <c r="I24776">
        <v>253</v>
      </c>
      <c r="J24776">
        <v>1</v>
      </c>
      <c r="K24776">
        <v>22</v>
      </c>
      <c r="L24776">
        <v>287</v>
      </c>
      <c r="M24776">
        <v>1</v>
      </c>
      <c r="N24776">
        <v>1.3409800000000001E-121</v>
      </c>
      <c r="O24776">
        <v>1112</v>
      </c>
    </row>
    <row r="24777" spans="1:15" x14ac:dyDescent="0.25">
      <c r="A24777" t="s">
        <v>24790</v>
      </c>
      <c r="B24777">
        <v>1031</v>
      </c>
      <c r="C24777" s="1" t="str">
        <f>HYPERLINK("http://www.rosaceae.org/gb/gbrowse/malus_x_domestica/?name=MDP0000232899","MDP0000232899")</f>
        <v>MDP0000232899</v>
      </c>
      <c r="D24777">
        <v>75.540000000000006</v>
      </c>
      <c r="E24777">
        <v>1018</v>
      </c>
      <c r="F24777">
        <v>249</v>
      </c>
      <c r="G24777">
        <v>9</v>
      </c>
      <c r="H24777">
        <v>16</v>
      </c>
      <c r="I24777">
        <v>1026</v>
      </c>
      <c r="J24777">
        <v>1</v>
      </c>
      <c r="K24777">
        <v>137</v>
      </c>
      <c r="L24777">
        <v>1152</v>
      </c>
      <c r="M24777">
        <v>1</v>
      </c>
      <c r="N24777">
        <v>0</v>
      </c>
      <c r="O24777">
        <v>3960</v>
      </c>
    </row>
    <row r="24778" spans="1:15" x14ac:dyDescent="0.25">
      <c r="A24778" t="s">
        <v>24791</v>
      </c>
      <c r="B24778">
        <v>799</v>
      </c>
      <c r="C24778" s="1" t="str">
        <f>HYPERLINK("http://www.rosaceae.org/gb/gbrowse/malus_x_domestica/?name=MDP0000538003","MDP0000538003")</f>
        <v>MDP0000538003</v>
      </c>
      <c r="D24778">
        <v>27.8</v>
      </c>
      <c r="E24778">
        <v>428</v>
      </c>
      <c r="F24778">
        <v>309</v>
      </c>
      <c r="G24778">
        <v>17</v>
      </c>
      <c r="H24778">
        <v>263</v>
      </c>
      <c r="I24778">
        <v>684</v>
      </c>
      <c r="J24778">
        <v>1</v>
      </c>
      <c r="K24778">
        <v>3</v>
      </c>
      <c r="L24778">
        <v>419</v>
      </c>
      <c r="M24778">
        <v>1</v>
      </c>
      <c r="N24778">
        <v>9.3204499999999995E-48</v>
      </c>
      <c r="O24778">
        <v>480</v>
      </c>
    </row>
    <row r="24779" spans="1:15" x14ac:dyDescent="0.25">
      <c r="A24779" t="s">
        <v>24792</v>
      </c>
      <c r="B24779">
        <v>362</v>
      </c>
      <c r="C24779" s="1" t="str">
        <f>HYPERLINK("http://www.rosaceae.org/gb/gbrowse/malus_x_domestica/?name=MDP0000640395","MDP0000640395")</f>
        <v>MDP0000640395</v>
      </c>
      <c r="D24779">
        <v>75.69</v>
      </c>
      <c r="E24779">
        <v>325</v>
      </c>
      <c r="F24779">
        <v>79</v>
      </c>
      <c r="G24779">
        <v>5</v>
      </c>
      <c r="H24779">
        <v>29</v>
      </c>
      <c r="I24779">
        <v>349</v>
      </c>
      <c r="J24779">
        <v>1</v>
      </c>
      <c r="K24779">
        <v>24</v>
      </c>
      <c r="L24779">
        <v>347</v>
      </c>
      <c r="M24779">
        <v>1</v>
      </c>
      <c r="N24779">
        <v>3.28268E-146</v>
      </c>
      <c r="O24779">
        <v>1326</v>
      </c>
    </row>
    <row r="24780" spans="1:15" x14ac:dyDescent="0.25">
      <c r="A24780" t="s">
        <v>24793</v>
      </c>
      <c r="B24780">
        <v>362</v>
      </c>
      <c r="C24780" s="1" t="str">
        <f>HYPERLINK("http://www.rosaceae.org/gb/gbrowse/malus_x_domestica/?name=MDP0000285229","MDP0000285229")</f>
        <v>MDP0000285229</v>
      </c>
      <c r="D24780">
        <v>62.6</v>
      </c>
      <c r="E24780">
        <v>361</v>
      </c>
      <c r="F24780">
        <v>135</v>
      </c>
      <c r="G24780">
        <v>2</v>
      </c>
      <c r="H24780">
        <v>2</v>
      </c>
      <c r="I24780">
        <v>360</v>
      </c>
      <c r="J24780">
        <v>1</v>
      </c>
      <c r="K24780">
        <v>3</v>
      </c>
      <c r="L24780">
        <v>363</v>
      </c>
      <c r="M24780">
        <v>1</v>
      </c>
      <c r="N24780">
        <v>1.3179300000000001E-128</v>
      </c>
      <c r="O24780">
        <v>1174</v>
      </c>
    </row>
    <row r="24781" spans="1:15" x14ac:dyDescent="0.25">
      <c r="A24781" t="s">
        <v>24794</v>
      </c>
      <c r="B24781">
        <v>287</v>
      </c>
      <c r="C24781" s="1" t="str">
        <f>HYPERLINK("http://www.rosaceae.org/gb/gbrowse/malus_x_domestica/?name=MDP0000479436","MDP0000479436")</f>
        <v>MDP0000479436</v>
      </c>
      <c r="D24781">
        <v>72.09</v>
      </c>
      <c r="E24781">
        <v>258</v>
      </c>
      <c r="F24781">
        <v>72</v>
      </c>
      <c r="G24781">
        <v>7</v>
      </c>
      <c r="H24781">
        <v>16</v>
      </c>
      <c r="I24781">
        <v>272</v>
      </c>
      <c r="J24781">
        <v>1</v>
      </c>
      <c r="K24781">
        <v>116</v>
      </c>
      <c r="L24781">
        <v>367</v>
      </c>
      <c r="M24781">
        <v>1</v>
      </c>
      <c r="N24781">
        <v>2.3199600000000001E-104</v>
      </c>
      <c r="O24781">
        <v>964</v>
      </c>
    </row>
    <row r="24782" spans="1:15" x14ac:dyDescent="0.25">
      <c r="A24782" t="s">
        <v>24795</v>
      </c>
      <c r="B24782">
        <v>358</v>
      </c>
      <c r="C24782" s="1" t="str">
        <f>HYPERLINK("http://www.rosaceae.org/gb/gbrowse/malus_x_domestica/?name=MDP0000055639","MDP0000055639")</f>
        <v>MDP0000055639</v>
      </c>
      <c r="D24782">
        <v>80.540000000000006</v>
      </c>
      <c r="E24782">
        <v>365</v>
      </c>
      <c r="F24782">
        <v>71</v>
      </c>
      <c r="G24782">
        <v>13</v>
      </c>
      <c r="H24782">
        <v>4</v>
      </c>
      <c r="I24782">
        <v>355</v>
      </c>
      <c r="J24782">
        <v>1</v>
      </c>
      <c r="K24782">
        <v>1</v>
      </c>
      <c r="L24782">
        <v>365</v>
      </c>
      <c r="M24782">
        <v>1</v>
      </c>
      <c r="N24782">
        <v>6.1469599999999998E-173</v>
      </c>
      <c r="O24782">
        <v>1556</v>
      </c>
    </row>
    <row r="24783" spans="1:15" x14ac:dyDescent="0.25">
      <c r="A24783" t="s">
        <v>24796</v>
      </c>
      <c r="B24783">
        <v>333</v>
      </c>
      <c r="C24783" s="1" t="str">
        <f>HYPERLINK("http://www.rosaceae.org/gb/gbrowse/malus_x_domestica/?name=MDP0000181372","MDP0000181372")</f>
        <v>MDP0000181372</v>
      </c>
      <c r="D24783">
        <v>66.349999999999994</v>
      </c>
      <c r="E24783">
        <v>318</v>
      </c>
      <c r="F24783">
        <v>107</v>
      </c>
      <c r="G24783">
        <v>14</v>
      </c>
      <c r="H24783">
        <v>27</v>
      </c>
      <c r="I24783">
        <v>331</v>
      </c>
      <c r="J24783">
        <v>1</v>
      </c>
      <c r="K24783">
        <v>118</v>
      </c>
      <c r="L24783">
        <v>434</v>
      </c>
      <c r="M24783">
        <v>1</v>
      </c>
      <c r="N24783">
        <v>5.2654300000000001E-117</v>
      </c>
      <c r="O24783">
        <v>1074</v>
      </c>
    </row>
    <row r="24784" spans="1:15" x14ac:dyDescent="0.25">
      <c r="A24784" t="s">
        <v>24797</v>
      </c>
      <c r="B24784">
        <v>801</v>
      </c>
      <c r="C24784" s="1" t="str">
        <f>HYPERLINK("http://www.rosaceae.org/gb/gbrowse/malus_x_domestica/?name=MDP0000320366","MDP0000320366")</f>
        <v>MDP0000320366</v>
      </c>
      <c r="D24784">
        <v>85.26</v>
      </c>
      <c r="E24784">
        <v>801</v>
      </c>
      <c r="F24784">
        <v>118</v>
      </c>
      <c r="G24784">
        <v>7</v>
      </c>
      <c r="H24784">
        <v>7</v>
      </c>
      <c r="I24784">
        <v>801</v>
      </c>
      <c r="J24784">
        <v>1</v>
      </c>
      <c r="K24784">
        <v>1</v>
      </c>
      <c r="L24784">
        <v>800</v>
      </c>
      <c r="M24784">
        <v>1</v>
      </c>
      <c r="N24784">
        <v>0</v>
      </c>
      <c r="O24784">
        <v>3585</v>
      </c>
    </row>
    <row r="24785" spans="1:15" x14ac:dyDescent="0.25">
      <c r="A24785" t="s">
        <v>24798</v>
      </c>
      <c r="B24785">
        <v>2235</v>
      </c>
      <c r="C24785" s="1" t="str">
        <f>HYPERLINK("http://www.rosaceae.org/gb/gbrowse/malus_x_domestica/?name=MDP0000152940","MDP0000152940")</f>
        <v>MDP0000152940</v>
      </c>
      <c r="D24785">
        <v>85.47</v>
      </c>
      <c r="E24785">
        <v>2107</v>
      </c>
      <c r="F24785">
        <v>306</v>
      </c>
      <c r="G24785">
        <v>0</v>
      </c>
      <c r="H24785">
        <v>128</v>
      </c>
      <c r="I24785">
        <v>2234</v>
      </c>
      <c r="J24785">
        <v>1</v>
      </c>
      <c r="K24785">
        <v>1</v>
      </c>
      <c r="L24785">
        <v>2107</v>
      </c>
      <c r="M24785">
        <v>1</v>
      </c>
      <c r="N24785">
        <v>0</v>
      </c>
      <c r="O24785">
        <v>9405</v>
      </c>
    </row>
    <row r="24786" spans="1:15" x14ac:dyDescent="0.25">
      <c r="A24786" t="s">
        <v>24799</v>
      </c>
      <c r="B24786">
        <v>352</v>
      </c>
      <c r="C24786" s="1" t="str">
        <f>HYPERLINK("http://www.rosaceae.org/gb/gbrowse/malus_x_domestica/?name=MDP0000134320","MDP0000134320")</f>
        <v>MDP0000134320</v>
      </c>
      <c r="D24786">
        <v>49.54</v>
      </c>
      <c r="E24786">
        <v>436</v>
      </c>
      <c r="F24786">
        <v>220</v>
      </c>
      <c r="G24786">
        <v>85</v>
      </c>
      <c r="H24786">
        <v>1</v>
      </c>
      <c r="I24786">
        <v>351</v>
      </c>
      <c r="J24786">
        <v>1</v>
      </c>
      <c r="K24786">
        <v>105</v>
      </c>
      <c r="L24786">
        <v>540</v>
      </c>
      <c r="M24786">
        <v>1</v>
      </c>
      <c r="N24786">
        <v>1.61072E-103</v>
      </c>
      <c r="O24786">
        <v>958</v>
      </c>
    </row>
    <row r="24787" spans="1:15" x14ac:dyDescent="0.25">
      <c r="A24787" t="s">
        <v>24800</v>
      </c>
      <c r="B24787">
        <v>205</v>
      </c>
      <c r="C24787" s="1" t="str">
        <f>HYPERLINK("http://www.rosaceae.org/gb/gbrowse/malus_x_domestica/?name=MDP0000262469","MDP0000262469")</f>
        <v>MDP0000262469</v>
      </c>
      <c r="D24787">
        <v>33.869999999999997</v>
      </c>
      <c r="E24787">
        <v>124</v>
      </c>
      <c r="F24787">
        <v>82</v>
      </c>
      <c r="G24787">
        <v>10</v>
      </c>
      <c r="H24787">
        <v>18</v>
      </c>
      <c r="I24787">
        <v>132</v>
      </c>
      <c r="J24787">
        <v>1</v>
      </c>
      <c r="K24787">
        <v>48</v>
      </c>
      <c r="L24787">
        <v>170</v>
      </c>
      <c r="M24787">
        <v>1</v>
      </c>
      <c r="N24787">
        <v>5.2002400000000003E-13</v>
      </c>
      <c r="O24787">
        <v>174</v>
      </c>
    </row>
    <row r="24788" spans="1:15" x14ac:dyDescent="0.25">
      <c r="A24788" t="s">
        <v>24801</v>
      </c>
      <c r="B24788">
        <v>953</v>
      </c>
      <c r="C24788" s="1" t="str">
        <f>HYPERLINK("http://www.rosaceae.org/gb/gbrowse/malus_x_domestica/?name=MDP0000036388","MDP0000036388")</f>
        <v>MDP0000036388</v>
      </c>
      <c r="D24788">
        <v>81.790000000000006</v>
      </c>
      <c r="E24788">
        <v>956</v>
      </c>
      <c r="F24788">
        <v>174</v>
      </c>
      <c r="G24788">
        <v>27</v>
      </c>
      <c r="H24788">
        <v>1</v>
      </c>
      <c r="I24788">
        <v>951</v>
      </c>
      <c r="J24788">
        <v>1</v>
      </c>
      <c r="K24788">
        <v>1</v>
      </c>
      <c r="L24788">
        <v>934</v>
      </c>
      <c r="M24788">
        <v>1</v>
      </c>
      <c r="N24788">
        <v>0</v>
      </c>
      <c r="O24788">
        <v>4147</v>
      </c>
    </row>
    <row r="24789" spans="1:15" x14ac:dyDescent="0.25">
      <c r="A24789" t="s">
        <v>24802</v>
      </c>
      <c r="B24789">
        <v>388</v>
      </c>
      <c r="C24789" s="1" t="str">
        <f>HYPERLINK("http://www.rosaceae.org/gb/gbrowse/malus_x_domestica/?name=MDP0000155224","MDP0000155224")</f>
        <v>MDP0000155224</v>
      </c>
      <c r="D24789">
        <v>72.37</v>
      </c>
      <c r="E24789">
        <v>438</v>
      </c>
      <c r="F24789">
        <v>121</v>
      </c>
      <c r="G24789">
        <v>54</v>
      </c>
      <c r="H24789">
        <v>1</v>
      </c>
      <c r="I24789">
        <v>386</v>
      </c>
      <c r="J24789">
        <v>1</v>
      </c>
      <c r="K24789">
        <v>1</v>
      </c>
      <c r="L24789">
        <v>436</v>
      </c>
      <c r="M24789">
        <v>1</v>
      </c>
      <c r="N24789">
        <v>8.7861200000000003E-162</v>
      </c>
      <c r="O24789">
        <v>1460</v>
      </c>
    </row>
    <row r="24790" spans="1:15" x14ac:dyDescent="0.25">
      <c r="A24790" t="s">
        <v>24803</v>
      </c>
      <c r="B24790">
        <v>612</v>
      </c>
      <c r="C24790" s="1" t="str">
        <f>HYPERLINK("http://www.rosaceae.org/gb/gbrowse/malus_x_domestica/?name=MDP0000852273","MDP0000852273")</f>
        <v>MDP0000852273</v>
      </c>
      <c r="D24790">
        <v>77.099999999999994</v>
      </c>
      <c r="E24790">
        <v>594</v>
      </c>
      <c r="F24790">
        <v>136</v>
      </c>
      <c r="G24790">
        <v>0</v>
      </c>
      <c r="H24790">
        <v>17</v>
      </c>
      <c r="I24790">
        <v>610</v>
      </c>
      <c r="J24790">
        <v>1</v>
      </c>
      <c r="K24790">
        <v>53</v>
      </c>
      <c r="L24790">
        <v>646</v>
      </c>
      <c r="M24790">
        <v>1</v>
      </c>
      <c r="N24790">
        <v>0</v>
      </c>
      <c r="O24790">
        <v>2484</v>
      </c>
    </row>
    <row r="24791" spans="1:15" x14ac:dyDescent="0.25">
      <c r="A24791" t="s">
        <v>24804</v>
      </c>
      <c r="B24791">
        <v>218</v>
      </c>
      <c r="C24791" s="1" t="str">
        <f>HYPERLINK("http://www.rosaceae.org/gb/gbrowse/malus_x_domestica/?name=MDP0000698897","MDP0000698897")</f>
        <v>MDP0000698897</v>
      </c>
      <c r="D24791">
        <v>34.39</v>
      </c>
      <c r="E24791">
        <v>157</v>
      </c>
      <c r="F24791">
        <v>103</v>
      </c>
      <c r="G24791">
        <v>11</v>
      </c>
      <c r="H24791">
        <v>68</v>
      </c>
      <c r="I24791">
        <v>218</v>
      </c>
      <c r="J24791">
        <v>1</v>
      </c>
      <c r="K24791">
        <v>41</v>
      </c>
      <c r="L24791">
        <v>192</v>
      </c>
      <c r="M24791">
        <v>1</v>
      </c>
      <c r="N24791">
        <v>5.8766899999999998E-19</v>
      </c>
      <c r="O24791">
        <v>226</v>
      </c>
    </row>
    <row r="24792" spans="1:15" x14ac:dyDescent="0.25">
      <c r="A24792" t="s">
        <v>24805</v>
      </c>
      <c r="B24792">
        <v>245</v>
      </c>
      <c r="C24792" s="1" t="str">
        <f>HYPERLINK("http://www.rosaceae.org/gb/gbrowse/malus_x_domestica/?name=MDP0000170290","MDP0000170290")</f>
        <v>MDP0000170290</v>
      </c>
      <c r="D24792">
        <v>73.510000000000005</v>
      </c>
      <c r="E24792">
        <v>185</v>
      </c>
      <c r="F24792">
        <v>49</v>
      </c>
      <c r="G24792">
        <v>10</v>
      </c>
      <c r="H24792">
        <v>55</v>
      </c>
      <c r="I24792">
        <v>231</v>
      </c>
      <c r="J24792">
        <v>1</v>
      </c>
      <c r="K24792">
        <v>71</v>
      </c>
      <c r="L24792">
        <v>253</v>
      </c>
      <c r="M24792">
        <v>1</v>
      </c>
      <c r="N24792">
        <v>4.6978799999999999E-71</v>
      </c>
      <c r="O24792">
        <v>676</v>
      </c>
    </row>
    <row r="24793" spans="1:15" x14ac:dyDescent="0.25">
      <c r="A24793" t="s">
        <v>24806</v>
      </c>
      <c r="B24793">
        <v>636</v>
      </c>
      <c r="C24793" s="1" t="str">
        <f>HYPERLINK("http://www.rosaceae.org/gb/gbrowse/malus_x_domestica/?name=MDP0000190968","MDP0000190968")</f>
        <v>MDP0000190968</v>
      </c>
      <c r="D24793">
        <v>73.22</v>
      </c>
      <c r="E24793">
        <v>590</v>
      </c>
      <c r="F24793">
        <v>158</v>
      </c>
      <c r="G24793">
        <v>70</v>
      </c>
      <c r="H24793">
        <v>72</v>
      </c>
      <c r="I24793">
        <v>603</v>
      </c>
      <c r="J24793">
        <v>1</v>
      </c>
      <c r="K24793">
        <v>263</v>
      </c>
      <c r="L24793">
        <v>840</v>
      </c>
      <c r="M24793">
        <v>1</v>
      </c>
      <c r="N24793">
        <v>0</v>
      </c>
      <c r="O24793">
        <v>2205</v>
      </c>
    </row>
    <row r="24794" spans="1:15" x14ac:dyDescent="0.25">
      <c r="A24794" t="s">
        <v>24807</v>
      </c>
      <c r="B24794">
        <v>445</v>
      </c>
      <c r="C24794" s="1" t="str">
        <f>HYPERLINK("http://www.rosaceae.org/gb/gbrowse/malus_x_domestica/?name=MDP0000131687","MDP0000131687")</f>
        <v>MDP0000131687</v>
      </c>
      <c r="D24794">
        <v>80.989999999999995</v>
      </c>
      <c r="E24794">
        <v>421</v>
      </c>
      <c r="F24794">
        <v>80</v>
      </c>
      <c r="G24794">
        <v>0</v>
      </c>
      <c r="H24794">
        <v>23</v>
      </c>
      <c r="I24794">
        <v>443</v>
      </c>
      <c r="J24794">
        <v>1</v>
      </c>
      <c r="K24794">
        <v>22</v>
      </c>
      <c r="L24794">
        <v>442</v>
      </c>
      <c r="M24794">
        <v>1</v>
      </c>
      <c r="N24794">
        <v>0</v>
      </c>
      <c r="O24794">
        <v>1769</v>
      </c>
    </row>
    <row r="24795" spans="1:15" x14ac:dyDescent="0.25">
      <c r="A24795" t="s">
        <v>24808</v>
      </c>
      <c r="B24795">
        <v>489</v>
      </c>
      <c r="C24795" s="1" t="str">
        <f>HYPERLINK("http://www.rosaceae.org/gb/gbrowse/malus_x_domestica/?name=MDP0000269351","MDP0000269351")</f>
        <v>MDP0000269351</v>
      </c>
      <c r="D24795">
        <v>72.459999999999994</v>
      </c>
      <c r="E24795">
        <v>483</v>
      </c>
      <c r="F24795">
        <v>133</v>
      </c>
      <c r="G24795">
        <v>10</v>
      </c>
      <c r="H24795">
        <v>12</v>
      </c>
      <c r="I24795">
        <v>485</v>
      </c>
      <c r="J24795">
        <v>1</v>
      </c>
      <c r="K24795">
        <v>2</v>
      </c>
      <c r="L24795">
        <v>483</v>
      </c>
      <c r="M24795">
        <v>1</v>
      </c>
      <c r="N24795">
        <v>0</v>
      </c>
      <c r="O24795">
        <v>1871</v>
      </c>
    </row>
    <row r="24796" spans="1:15" x14ac:dyDescent="0.25">
      <c r="A24796" t="s">
        <v>24809</v>
      </c>
      <c r="B24796">
        <v>839</v>
      </c>
      <c r="C24796" s="1" t="str">
        <f>HYPERLINK("http://www.rosaceae.org/gb/gbrowse/malus_x_domestica/?name=MDP0000198724","MDP0000198724")</f>
        <v>MDP0000198724</v>
      </c>
      <c r="D24796">
        <v>86.55</v>
      </c>
      <c r="E24796">
        <v>833</v>
      </c>
      <c r="F24796">
        <v>112</v>
      </c>
      <c r="G24796">
        <v>16</v>
      </c>
      <c r="H24796">
        <v>23</v>
      </c>
      <c r="I24796">
        <v>839</v>
      </c>
      <c r="J24796">
        <v>1</v>
      </c>
      <c r="K24796">
        <v>1</v>
      </c>
      <c r="L24796">
        <v>833</v>
      </c>
      <c r="M24796">
        <v>1</v>
      </c>
      <c r="N24796">
        <v>0</v>
      </c>
      <c r="O24796">
        <v>3852</v>
      </c>
    </row>
    <row r="24797" spans="1:15" x14ac:dyDescent="0.25">
      <c r="A24797" t="s">
        <v>24810</v>
      </c>
      <c r="B24797">
        <v>699</v>
      </c>
      <c r="C24797" s="1" t="str">
        <f>HYPERLINK("http://www.rosaceae.org/gb/gbrowse/malus_x_domestica/?name=MDP0000658885","MDP0000658885")</f>
        <v>MDP0000658885</v>
      </c>
      <c r="D24797">
        <v>33.61</v>
      </c>
      <c r="E24797">
        <v>238</v>
      </c>
      <c r="F24797">
        <v>158</v>
      </c>
      <c r="G24797">
        <v>57</v>
      </c>
      <c r="H24797">
        <v>279</v>
      </c>
      <c r="I24797">
        <v>476</v>
      </c>
      <c r="J24797">
        <v>1</v>
      </c>
      <c r="K24797">
        <v>106</v>
      </c>
      <c r="L24797">
        <v>326</v>
      </c>
      <c r="M24797">
        <v>1</v>
      </c>
      <c r="N24797">
        <v>8.4539100000000003E-24</v>
      </c>
      <c r="O24797">
        <v>273</v>
      </c>
    </row>
    <row r="24798" spans="1:15" x14ac:dyDescent="0.25">
      <c r="A24798" t="s">
        <v>24811</v>
      </c>
      <c r="B24798">
        <v>375</v>
      </c>
      <c r="C24798" s="1" t="str">
        <f>HYPERLINK("http://www.rosaceae.org/gb/gbrowse/malus_x_domestica/?name=MDP0000498407","MDP0000498407")</f>
        <v>MDP0000498407</v>
      </c>
      <c r="D24798">
        <v>64.53</v>
      </c>
      <c r="E24798">
        <v>375</v>
      </c>
      <c r="F24798">
        <v>133</v>
      </c>
      <c r="G24798">
        <v>50</v>
      </c>
      <c r="H24798">
        <v>21</v>
      </c>
      <c r="I24798">
        <v>356</v>
      </c>
      <c r="J24798">
        <v>1</v>
      </c>
      <c r="K24798">
        <v>28</v>
      </c>
      <c r="L24798">
        <v>391</v>
      </c>
      <c r="M24798">
        <v>1</v>
      </c>
      <c r="N24798">
        <v>3.8274099999999999E-132</v>
      </c>
      <c r="O24798">
        <v>1205</v>
      </c>
    </row>
    <row r="24799" spans="1:15" x14ac:dyDescent="0.25">
      <c r="A24799" t="s">
        <v>24812</v>
      </c>
      <c r="B24799">
        <v>839</v>
      </c>
      <c r="C24799" s="1" t="str">
        <f>HYPERLINK("http://www.rosaceae.org/gb/gbrowse/malus_x_domestica/?name=MDP0000292367","MDP0000292367")</f>
        <v>MDP0000292367</v>
      </c>
      <c r="D24799">
        <v>71.22</v>
      </c>
      <c r="E24799">
        <v>789</v>
      </c>
      <c r="F24799">
        <v>227</v>
      </c>
      <c r="G24799">
        <v>50</v>
      </c>
      <c r="H24799">
        <v>69</v>
      </c>
      <c r="I24799">
        <v>829</v>
      </c>
      <c r="J24799">
        <v>1</v>
      </c>
      <c r="K24799">
        <v>29</v>
      </c>
      <c r="L24799">
        <v>795</v>
      </c>
      <c r="M24799">
        <v>1</v>
      </c>
      <c r="N24799">
        <v>0</v>
      </c>
      <c r="O24799">
        <v>2739</v>
      </c>
    </row>
    <row r="24800" spans="1:15" x14ac:dyDescent="0.25">
      <c r="A24800" t="s">
        <v>24813</v>
      </c>
      <c r="B24800">
        <v>139</v>
      </c>
      <c r="C24800" s="1" t="str">
        <f>HYPERLINK("http://www.rosaceae.org/gb/gbrowse/malus_x_domestica/?name=MDP0000128699","MDP0000128699")</f>
        <v>MDP0000128699</v>
      </c>
      <c r="D24800">
        <v>47.32</v>
      </c>
      <c r="E24800">
        <v>112</v>
      </c>
      <c r="F24800">
        <v>59</v>
      </c>
      <c r="G24800">
        <v>3</v>
      </c>
      <c r="H24800">
        <v>20</v>
      </c>
      <c r="I24800">
        <v>131</v>
      </c>
      <c r="J24800">
        <v>1</v>
      </c>
      <c r="K24800">
        <v>13</v>
      </c>
      <c r="L24800">
        <v>121</v>
      </c>
      <c r="M24800">
        <v>1</v>
      </c>
      <c r="N24800">
        <v>1.3035000000000001E-24</v>
      </c>
      <c r="O24800">
        <v>271</v>
      </c>
    </row>
    <row r="24801" spans="1:15" x14ac:dyDescent="0.25">
      <c r="A24801" t="s">
        <v>24814</v>
      </c>
      <c r="B24801">
        <v>303</v>
      </c>
      <c r="C24801" s="1" t="str">
        <f>HYPERLINK("http://www.rosaceae.org/gb/gbrowse/malus_x_domestica/?name=MDP0000792424","MDP0000792424")</f>
        <v>MDP0000792424</v>
      </c>
      <c r="D24801">
        <v>43.34</v>
      </c>
      <c r="E24801">
        <v>233</v>
      </c>
      <c r="F24801">
        <v>132</v>
      </c>
      <c r="G24801">
        <v>24</v>
      </c>
      <c r="H24801">
        <v>5</v>
      </c>
      <c r="I24801">
        <v>218</v>
      </c>
      <c r="J24801">
        <v>1</v>
      </c>
      <c r="K24801">
        <v>17</v>
      </c>
      <c r="L24801">
        <v>244</v>
      </c>
      <c r="M24801">
        <v>1</v>
      </c>
      <c r="N24801">
        <v>1.0787800000000001E-37</v>
      </c>
      <c r="O24801">
        <v>389</v>
      </c>
    </row>
    <row r="24802" spans="1:15" x14ac:dyDescent="0.25">
      <c r="A24802" t="s">
        <v>24815</v>
      </c>
      <c r="B24802">
        <v>725</v>
      </c>
      <c r="C24802" s="1" t="str">
        <f>HYPERLINK("http://www.rosaceae.org/gb/gbrowse/malus_x_domestica/?name=MDP0000490329","MDP0000490329")</f>
        <v>MDP0000490329</v>
      </c>
      <c r="D24802">
        <v>35.35</v>
      </c>
      <c r="E24802">
        <v>710</v>
      </c>
      <c r="F24802">
        <v>459</v>
      </c>
      <c r="G24802">
        <v>107</v>
      </c>
      <c r="H24802">
        <v>7</v>
      </c>
      <c r="I24802">
        <v>660</v>
      </c>
      <c r="J24802">
        <v>1</v>
      </c>
      <c r="K24802">
        <v>12</v>
      </c>
      <c r="L24802">
        <v>670</v>
      </c>
      <c r="M24802">
        <v>1</v>
      </c>
      <c r="N24802">
        <v>8.2136099999999999E-81</v>
      </c>
      <c r="O24802">
        <v>765</v>
      </c>
    </row>
    <row r="24803" spans="1:15" x14ac:dyDescent="0.25">
      <c r="A24803" t="s">
        <v>24816</v>
      </c>
      <c r="B24803">
        <v>859</v>
      </c>
      <c r="C24803" s="1" t="str">
        <f>HYPERLINK("http://www.rosaceae.org/gb/gbrowse/malus_x_domestica/?name=MDP0000120761","MDP0000120761")</f>
        <v>MDP0000120761</v>
      </c>
      <c r="D24803">
        <v>47.37</v>
      </c>
      <c r="E24803">
        <v>458</v>
      </c>
      <c r="F24803">
        <v>241</v>
      </c>
      <c r="G24803">
        <v>7</v>
      </c>
      <c r="H24803">
        <v>226</v>
      </c>
      <c r="I24803">
        <v>682</v>
      </c>
      <c r="J24803">
        <v>1</v>
      </c>
      <c r="K24803">
        <v>19</v>
      </c>
      <c r="L24803">
        <v>470</v>
      </c>
      <c r="M24803">
        <v>1</v>
      </c>
      <c r="N24803">
        <v>8.0471200000000006E-124</v>
      </c>
      <c r="O24803">
        <v>1137</v>
      </c>
    </row>
    <row r="24804" spans="1:15" x14ac:dyDescent="0.25">
      <c r="A24804" t="s">
        <v>24817</v>
      </c>
      <c r="B24804">
        <v>789</v>
      </c>
      <c r="C24804" s="1" t="str">
        <f>HYPERLINK("http://www.rosaceae.org/gb/gbrowse/malus_x_domestica/?name=MDP0000602553","MDP0000602553")</f>
        <v>MDP0000602553</v>
      </c>
      <c r="D24804">
        <v>72.81</v>
      </c>
      <c r="E24804">
        <v>434</v>
      </c>
      <c r="F24804">
        <v>118</v>
      </c>
      <c r="G24804">
        <v>5</v>
      </c>
      <c r="H24804">
        <v>1</v>
      </c>
      <c r="I24804">
        <v>430</v>
      </c>
      <c r="J24804">
        <v>1</v>
      </c>
      <c r="K24804">
        <v>1</v>
      </c>
      <c r="L24804">
        <v>433</v>
      </c>
      <c r="M24804">
        <v>1</v>
      </c>
      <c r="N24804">
        <v>0</v>
      </c>
      <c r="O24804">
        <v>1725</v>
      </c>
    </row>
    <row r="24805" spans="1:15" x14ac:dyDescent="0.25">
      <c r="A24805" t="s">
        <v>24818</v>
      </c>
      <c r="B24805">
        <v>853</v>
      </c>
      <c r="C24805" s="1" t="str">
        <f>HYPERLINK("http://www.rosaceae.org/gb/gbrowse/malus_x_domestica/?name=MDP0000208703","MDP0000208703")</f>
        <v>MDP0000208703</v>
      </c>
      <c r="D24805">
        <v>78.31</v>
      </c>
      <c r="E24805">
        <v>687</v>
      </c>
      <c r="F24805">
        <v>149</v>
      </c>
      <c r="G24805">
        <v>1</v>
      </c>
      <c r="H24805">
        <v>167</v>
      </c>
      <c r="I24805">
        <v>852</v>
      </c>
      <c r="J24805">
        <v>1</v>
      </c>
      <c r="K24805">
        <v>1</v>
      </c>
      <c r="L24805">
        <v>687</v>
      </c>
      <c r="M24805">
        <v>1</v>
      </c>
      <c r="N24805">
        <v>0</v>
      </c>
      <c r="O24805">
        <v>2923</v>
      </c>
    </row>
    <row r="24806" spans="1:15" x14ac:dyDescent="0.25">
      <c r="A24806" t="s">
        <v>24819</v>
      </c>
      <c r="B24806">
        <v>538</v>
      </c>
      <c r="C24806" s="1" t="str">
        <f>HYPERLINK("http://www.rosaceae.org/gb/gbrowse/malus_x_domestica/?name=MDP0000273795","MDP0000273795")</f>
        <v>MDP0000273795</v>
      </c>
      <c r="D24806">
        <v>75.319999999999993</v>
      </c>
      <c r="E24806">
        <v>543</v>
      </c>
      <c r="F24806">
        <v>134</v>
      </c>
      <c r="G24806">
        <v>7</v>
      </c>
      <c r="H24806">
        <v>1</v>
      </c>
      <c r="I24806">
        <v>538</v>
      </c>
      <c r="J24806">
        <v>1</v>
      </c>
      <c r="K24806">
        <v>3</v>
      </c>
      <c r="L24806">
        <v>543</v>
      </c>
      <c r="M24806">
        <v>1</v>
      </c>
      <c r="N24806">
        <v>0</v>
      </c>
      <c r="O24806">
        <v>2148</v>
      </c>
    </row>
    <row r="24807" spans="1:15" x14ac:dyDescent="0.25">
      <c r="A24807" t="s">
        <v>24820</v>
      </c>
      <c r="B24807">
        <v>501</v>
      </c>
      <c r="C24807" s="1" t="str">
        <f>HYPERLINK("http://www.rosaceae.org/gb/gbrowse/malus_x_domestica/?name=MDP0000308519","MDP0000308519")</f>
        <v>MDP0000308519</v>
      </c>
      <c r="D24807">
        <v>58.33</v>
      </c>
      <c r="E24807">
        <v>156</v>
      </c>
      <c r="F24807">
        <v>65</v>
      </c>
      <c r="G24807">
        <v>1</v>
      </c>
      <c r="H24807">
        <v>34</v>
      </c>
      <c r="I24807">
        <v>189</v>
      </c>
      <c r="J24807">
        <v>1</v>
      </c>
      <c r="K24807">
        <v>635</v>
      </c>
      <c r="L24807">
        <v>789</v>
      </c>
      <c r="M24807">
        <v>1</v>
      </c>
      <c r="N24807">
        <v>6.55898E-48</v>
      </c>
      <c r="O24807">
        <v>480</v>
      </c>
    </row>
    <row r="24808" spans="1:15" x14ac:dyDescent="0.25">
      <c r="A24808" t="s">
        <v>24821</v>
      </c>
      <c r="B24808">
        <v>299</v>
      </c>
      <c r="C24808" s="1" t="str">
        <f>HYPERLINK("http://www.rosaceae.org/gb/gbrowse/malus_x_domestica/?name=MDP0000189426","MDP0000189426")</f>
        <v>MDP0000189426</v>
      </c>
      <c r="D24808">
        <v>29.81</v>
      </c>
      <c r="E24808">
        <v>322</v>
      </c>
      <c r="F24808">
        <v>226</v>
      </c>
      <c r="G24808">
        <v>65</v>
      </c>
      <c r="H24808">
        <v>19</v>
      </c>
      <c r="I24808">
        <v>298</v>
      </c>
      <c r="J24808">
        <v>1</v>
      </c>
      <c r="K24808">
        <v>83</v>
      </c>
      <c r="L24808">
        <v>381</v>
      </c>
      <c r="M24808">
        <v>1</v>
      </c>
      <c r="N24808">
        <v>7.3340900000000001E-33</v>
      </c>
      <c r="O24808">
        <v>347</v>
      </c>
    </row>
    <row r="24809" spans="1:15" x14ac:dyDescent="0.25">
      <c r="A24809" t="s">
        <v>24822</v>
      </c>
      <c r="B24809">
        <v>184</v>
      </c>
      <c r="C24809" s="1" t="str">
        <f>HYPERLINK("http://www.rosaceae.org/gb/gbrowse/malus_x_domestica/?name=MDP0000312336","MDP0000312336")</f>
        <v>MDP0000312336</v>
      </c>
      <c r="D24809">
        <v>57.75</v>
      </c>
      <c r="E24809">
        <v>187</v>
      </c>
      <c r="F24809">
        <v>79</v>
      </c>
      <c r="G24809">
        <v>19</v>
      </c>
      <c r="H24809">
        <v>2</v>
      </c>
      <c r="I24809">
        <v>184</v>
      </c>
      <c r="J24809">
        <v>1</v>
      </c>
      <c r="K24809">
        <v>3</v>
      </c>
      <c r="L24809">
        <v>174</v>
      </c>
      <c r="M24809">
        <v>1</v>
      </c>
      <c r="N24809">
        <v>5.9919100000000002E-48</v>
      </c>
      <c r="O24809">
        <v>474</v>
      </c>
    </row>
    <row r="24810" spans="1:15" x14ac:dyDescent="0.25">
      <c r="A24810" t="s">
        <v>24823</v>
      </c>
      <c r="B24810">
        <v>178</v>
      </c>
      <c r="C24810" s="1" t="str">
        <f>HYPERLINK("http://www.rosaceae.org/gb/gbrowse/malus_x_domestica/?name=MDP0000123825","MDP0000123825")</f>
        <v>MDP0000123825</v>
      </c>
      <c r="D24810">
        <v>47.91</v>
      </c>
      <c r="E24810">
        <v>96</v>
      </c>
      <c r="F24810">
        <v>50</v>
      </c>
      <c r="G24810">
        <v>8</v>
      </c>
      <c r="H24810">
        <v>89</v>
      </c>
      <c r="I24810">
        <v>178</v>
      </c>
      <c r="J24810">
        <v>1</v>
      </c>
      <c r="K24810">
        <v>212</v>
      </c>
      <c r="L24810">
        <v>305</v>
      </c>
      <c r="M24810">
        <v>1</v>
      </c>
      <c r="N24810">
        <v>6.0210900000000002E-15</v>
      </c>
      <c r="O24810">
        <v>190</v>
      </c>
    </row>
    <row r="24811" spans="1:15" x14ac:dyDescent="0.25">
      <c r="A24811" t="s">
        <v>24824</v>
      </c>
      <c r="B24811">
        <v>321</v>
      </c>
      <c r="C24811" s="1" t="str">
        <f>HYPERLINK("http://www.rosaceae.org/gb/gbrowse/malus_x_domestica/?name=MDP0000287503","MDP0000287503")</f>
        <v>MDP0000287503</v>
      </c>
      <c r="D24811">
        <v>31.75</v>
      </c>
      <c r="E24811">
        <v>296</v>
      </c>
      <c r="F24811">
        <v>202</v>
      </c>
      <c r="G24811">
        <v>12</v>
      </c>
      <c r="H24811">
        <v>30</v>
      </c>
      <c r="I24811">
        <v>320</v>
      </c>
      <c r="J24811">
        <v>1</v>
      </c>
      <c r="K24811">
        <v>9</v>
      </c>
      <c r="L24811">
        <v>297</v>
      </c>
      <c r="M24811">
        <v>1</v>
      </c>
      <c r="N24811">
        <v>7.0685000000000004E-38</v>
      </c>
      <c r="O24811">
        <v>391</v>
      </c>
    </row>
    <row r="24812" spans="1:15" x14ac:dyDescent="0.25">
      <c r="A24812" t="s">
        <v>24825</v>
      </c>
      <c r="B24812">
        <v>170</v>
      </c>
      <c r="C24812" s="1" t="str">
        <f>HYPERLINK("http://www.rosaceae.org/gb/gbrowse/malus_x_domestica/?name=MDP0000317856","MDP0000317856")</f>
        <v>MDP0000317856</v>
      </c>
      <c r="D24812">
        <v>53.74</v>
      </c>
      <c r="E24812">
        <v>147</v>
      </c>
      <c r="F24812">
        <v>68</v>
      </c>
      <c r="G24812">
        <v>0</v>
      </c>
      <c r="H24812">
        <v>20</v>
      </c>
      <c r="I24812">
        <v>166</v>
      </c>
      <c r="J24812">
        <v>1</v>
      </c>
      <c r="K24812">
        <v>19</v>
      </c>
      <c r="L24812">
        <v>165</v>
      </c>
      <c r="M24812">
        <v>1</v>
      </c>
      <c r="N24812">
        <v>1.7595500000000001E-45</v>
      </c>
      <c r="O24812">
        <v>453</v>
      </c>
    </row>
    <row r="24813" spans="1:15" x14ac:dyDescent="0.25">
      <c r="A24813" t="s">
        <v>24826</v>
      </c>
      <c r="B24813">
        <v>621</v>
      </c>
      <c r="C24813" s="1" t="str">
        <f>HYPERLINK("http://www.rosaceae.org/gb/gbrowse/malus_x_domestica/?name=MDP0000161200","MDP0000161200")</f>
        <v>MDP0000161200</v>
      </c>
      <c r="D24813">
        <v>77.069999999999993</v>
      </c>
      <c r="E24813">
        <v>397</v>
      </c>
      <c r="F24813">
        <v>91</v>
      </c>
      <c r="G24813">
        <v>13</v>
      </c>
      <c r="H24813">
        <v>224</v>
      </c>
      <c r="I24813">
        <v>620</v>
      </c>
      <c r="J24813">
        <v>1</v>
      </c>
      <c r="K24813">
        <v>133</v>
      </c>
      <c r="L24813">
        <v>516</v>
      </c>
      <c r="M24813">
        <v>1</v>
      </c>
      <c r="N24813">
        <v>0</v>
      </c>
      <c r="O24813">
        <v>1673</v>
      </c>
    </row>
    <row r="24814" spans="1:15" x14ac:dyDescent="0.25">
      <c r="A24814" t="s">
        <v>24827</v>
      </c>
      <c r="B24814">
        <v>451</v>
      </c>
      <c r="C24814" s="1" t="str">
        <f>HYPERLINK("http://www.rosaceae.org/gb/gbrowse/malus_x_domestica/?name=MDP0000145036","MDP0000145036")</f>
        <v>MDP0000145036</v>
      </c>
      <c r="D24814">
        <v>36.979999999999997</v>
      </c>
      <c r="E24814">
        <v>438</v>
      </c>
      <c r="F24814">
        <v>276</v>
      </c>
      <c r="G24814">
        <v>10</v>
      </c>
      <c r="H24814">
        <v>15</v>
      </c>
      <c r="I24814">
        <v>446</v>
      </c>
      <c r="J24814">
        <v>1</v>
      </c>
      <c r="K24814">
        <v>3</v>
      </c>
      <c r="L24814">
        <v>436</v>
      </c>
      <c r="M24814">
        <v>1</v>
      </c>
      <c r="N24814">
        <v>1.41484E-86</v>
      </c>
      <c r="O24814">
        <v>813</v>
      </c>
    </row>
    <row r="24815" spans="1:15" x14ac:dyDescent="0.25">
      <c r="A24815" t="s">
        <v>24828</v>
      </c>
      <c r="B24815">
        <v>671</v>
      </c>
      <c r="C24815" s="1" t="str">
        <f>HYPERLINK("http://www.rosaceae.org/gb/gbrowse/malus_x_domestica/?name=MDP0000231459","MDP0000231459")</f>
        <v>MDP0000231459</v>
      </c>
      <c r="D24815">
        <v>71.760000000000005</v>
      </c>
      <c r="E24815">
        <v>634</v>
      </c>
      <c r="F24815">
        <v>179</v>
      </c>
      <c r="G24815">
        <v>30</v>
      </c>
      <c r="H24815">
        <v>49</v>
      </c>
      <c r="I24815">
        <v>671</v>
      </c>
      <c r="J24815">
        <v>1</v>
      </c>
      <c r="K24815">
        <v>48</v>
      </c>
      <c r="L24815">
        <v>662</v>
      </c>
      <c r="M24815">
        <v>1</v>
      </c>
      <c r="N24815">
        <v>0</v>
      </c>
      <c r="O24815">
        <v>2407</v>
      </c>
    </row>
    <row r="24816" spans="1:15" x14ac:dyDescent="0.25">
      <c r="A24816" t="s">
        <v>24829</v>
      </c>
      <c r="B24816">
        <v>247</v>
      </c>
      <c r="C24816" s="1" t="str">
        <f>HYPERLINK("http://www.rosaceae.org/gb/gbrowse/malus_x_domestica/?name=MDP0000138734","MDP0000138734")</f>
        <v>MDP0000138734</v>
      </c>
      <c r="D24816">
        <v>49.21</v>
      </c>
      <c r="E24816">
        <v>254</v>
      </c>
      <c r="F24816">
        <v>129</v>
      </c>
      <c r="G24816">
        <v>28</v>
      </c>
      <c r="H24816">
        <v>1</v>
      </c>
      <c r="I24816">
        <v>245</v>
      </c>
      <c r="J24816">
        <v>1</v>
      </c>
      <c r="K24816">
        <v>1</v>
      </c>
      <c r="L24816">
        <v>235</v>
      </c>
      <c r="M24816">
        <v>1</v>
      </c>
      <c r="N24816">
        <v>3.3969199999999998E-57</v>
      </c>
      <c r="O24816">
        <v>556</v>
      </c>
    </row>
    <row r="24817" spans="1:15" x14ac:dyDescent="0.25">
      <c r="A24817" t="s">
        <v>24830</v>
      </c>
      <c r="B24817">
        <v>474</v>
      </c>
      <c r="C24817" s="1" t="str">
        <f>HYPERLINK("http://www.rosaceae.org/gb/gbrowse/malus_x_domestica/?name=MDP0000260709","MDP0000260709")</f>
        <v>MDP0000260709</v>
      </c>
      <c r="D24817">
        <v>53.13</v>
      </c>
      <c r="E24817">
        <v>271</v>
      </c>
      <c r="F24817">
        <v>127</v>
      </c>
      <c r="G24817">
        <v>47</v>
      </c>
      <c r="H24817">
        <v>233</v>
      </c>
      <c r="I24817">
        <v>456</v>
      </c>
      <c r="J24817">
        <v>1</v>
      </c>
      <c r="K24817">
        <v>28</v>
      </c>
      <c r="L24817">
        <v>298</v>
      </c>
      <c r="M24817">
        <v>1</v>
      </c>
      <c r="N24817">
        <v>5.1376399999999995E-63</v>
      </c>
      <c r="O24817">
        <v>610</v>
      </c>
    </row>
    <row r="24818" spans="1:15" x14ac:dyDescent="0.25">
      <c r="A24818" t="s">
        <v>24831</v>
      </c>
      <c r="B24818">
        <v>385</v>
      </c>
      <c r="C24818" s="1" t="str">
        <f>HYPERLINK("http://www.rosaceae.org/gb/gbrowse/malus_x_domestica/?name=MDP0000181624","MDP0000181624")</f>
        <v>MDP0000181624</v>
      </c>
      <c r="D24818">
        <v>63.87</v>
      </c>
      <c r="E24818">
        <v>310</v>
      </c>
      <c r="F24818">
        <v>112</v>
      </c>
      <c r="G24818">
        <v>6</v>
      </c>
      <c r="H24818">
        <v>1</v>
      </c>
      <c r="I24818">
        <v>305</v>
      </c>
      <c r="J24818">
        <v>1</v>
      </c>
      <c r="K24818">
        <v>1</v>
      </c>
      <c r="L24818">
        <v>309</v>
      </c>
      <c r="M24818">
        <v>1</v>
      </c>
      <c r="N24818">
        <v>1.2044699999999999E-101</v>
      </c>
      <c r="O24818">
        <v>942</v>
      </c>
    </row>
    <row r="24819" spans="1:15" x14ac:dyDescent="0.25">
      <c r="A24819" t="s">
        <v>24832</v>
      </c>
      <c r="B24819">
        <v>364</v>
      </c>
      <c r="C24819" s="1" t="str">
        <f>HYPERLINK("http://www.rosaceae.org/gb/gbrowse/malus_x_domestica/?name=MDP0000299496","MDP0000299496")</f>
        <v>MDP0000299496</v>
      </c>
      <c r="D24819">
        <v>30.2</v>
      </c>
      <c r="E24819">
        <v>341</v>
      </c>
      <c r="F24819">
        <v>238</v>
      </c>
      <c r="G24819">
        <v>73</v>
      </c>
      <c r="H24819">
        <v>5</v>
      </c>
      <c r="I24819">
        <v>333</v>
      </c>
      <c r="J24819">
        <v>1</v>
      </c>
      <c r="K24819">
        <v>569</v>
      </c>
      <c r="L24819">
        <v>848</v>
      </c>
      <c r="M24819">
        <v>1</v>
      </c>
      <c r="N24819">
        <v>4.1355800000000001E-38</v>
      </c>
      <c r="O24819">
        <v>394</v>
      </c>
    </row>
    <row r="24820" spans="1:15" x14ac:dyDescent="0.25">
      <c r="A24820" t="s">
        <v>24833</v>
      </c>
      <c r="B24820">
        <v>411</v>
      </c>
      <c r="C24820" s="1" t="str">
        <f>HYPERLINK("http://www.rosaceae.org/gb/gbrowse/malus_x_domestica/?name=MDP0000231519","MDP0000231519")</f>
        <v>MDP0000231519</v>
      </c>
      <c r="D24820">
        <v>71.489999999999995</v>
      </c>
      <c r="E24820">
        <v>414</v>
      </c>
      <c r="F24820">
        <v>118</v>
      </c>
      <c r="G24820">
        <v>8</v>
      </c>
      <c r="H24820">
        <v>1</v>
      </c>
      <c r="I24820">
        <v>407</v>
      </c>
      <c r="J24820">
        <v>1</v>
      </c>
      <c r="K24820">
        <v>1</v>
      </c>
      <c r="L24820">
        <v>413</v>
      </c>
      <c r="M24820">
        <v>1</v>
      </c>
      <c r="N24820">
        <v>3.6639700000000001E-172</v>
      </c>
      <c r="O24820">
        <v>1550</v>
      </c>
    </row>
    <row r="24821" spans="1:15" x14ac:dyDescent="0.25">
      <c r="A24821" t="s">
        <v>24834</v>
      </c>
      <c r="B24821">
        <v>953</v>
      </c>
      <c r="C24821" s="1" t="str">
        <f>HYPERLINK("http://www.rosaceae.org/gb/gbrowse/malus_x_domestica/?name=MDP0000222790","MDP0000222790")</f>
        <v>MDP0000222790</v>
      </c>
      <c r="D24821">
        <v>43.31</v>
      </c>
      <c r="E24821">
        <v>815</v>
      </c>
      <c r="F24821">
        <v>462</v>
      </c>
      <c r="G24821">
        <v>62</v>
      </c>
      <c r="H24821">
        <v>11</v>
      </c>
      <c r="I24821">
        <v>802</v>
      </c>
      <c r="J24821">
        <v>1</v>
      </c>
      <c r="K24821">
        <v>52</v>
      </c>
      <c r="L24821">
        <v>827</v>
      </c>
      <c r="M24821">
        <v>1</v>
      </c>
      <c r="N24821">
        <v>6.06495E-167</v>
      </c>
      <c r="O24821">
        <v>1509</v>
      </c>
    </row>
    <row r="24822" spans="1:15" x14ac:dyDescent="0.25">
      <c r="A24822" t="s">
        <v>24835</v>
      </c>
      <c r="B24822">
        <v>764</v>
      </c>
      <c r="C24822" s="1" t="str">
        <f>HYPERLINK("http://www.rosaceae.org/gb/gbrowse/malus_x_domestica/?name=MDP0000135567","MDP0000135567")</f>
        <v>MDP0000135567</v>
      </c>
      <c r="D24822">
        <v>73.12</v>
      </c>
      <c r="E24822">
        <v>785</v>
      </c>
      <c r="F24822">
        <v>211</v>
      </c>
      <c r="G24822">
        <v>80</v>
      </c>
      <c r="H24822">
        <v>1</v>
      </c>
      <c r="I24822">
        <v>705</v>
      </c>
      <c r="J24822">
        <v>1</v>
      </c>
      <c r="K24822">
        <v>285</v>
      </c>
      <c r="L24822">
        <v>1069</v>
      </c>
      <c r="M24822">
        <v>1</v>
      </c>
      <c r="N24822">
        <v>0</v>
      </c>
      <c r="O24822">
        <v>2948</v>
      </c>
    </row>
    <row r="24823" spans="1:15" x14ac:dyDescent="0.25">
      <c r="A24823" t="s">
        <v>24836</v>
      </c>
      <c r="B24823">
        <v>275</v>
      </c>
      <c r="C24823" s="1" t="str">
        <f>HYPERLINK("http://www.rosaceae.org/gb/gbrowse/malus_x_domestica/?name=MDP0000257050","MDP0000257050")</f>
        <v>MDP0000257050</v>
      </c>
      <c r="D24823">
        <v>28.62</v>
      </c>
      <c r="E24823">
        <v>255</v>
      </c>
      <c r="F24823">
        <v>182</v>
      </c>
      <c r="G24823">
        <v>34</v>
      </c>
      <c r="H24823">
        <v>9</v>
      </c>
      <c r="I24823">
        <v>245</v>
      </c>
      <c r="J24823">
        <v>1</v>
      </c>
      <c r="K24823">
        <v>92</v>
      </c>
      <c r="L24823">
        <v>330</v>
      </c>
      <c r="M24823">
        <v>1</v>
      </c>
      <c r="N24823">
        <v>2.0140800000000002E-15</v>
      </c>
      <c r="O24823">
        <v>196</v>
      </c>
    </row>
    <row r="24824" spans="1:15" x14ac:dyDescent="0.25">
      <c r="A24824" t="s">
        <v>24837</v>
      </c>
      <c r="B24824">
        <v>995</v>
      </c>
      <c r="C24824" s="1" t="str">
        <f>HYPERLINK("http://www.rosaceae.org/gb/gbrowse/malus_x_domestica/?name=MDP0000125469","MDP0000125469")</f>
        <v>MDP0000125469</v>
      </c>
      <c r="D24824">
        <v>80.16</v>
      </c>
      <c r="E24824">
        <v>615</v>
      </c>
      <c r="F24824">
        <v>122</v>
      </c>
      <c r="G24824">
        <v>32</v>
      </c>
      <c r="H24824">
        <v>1</v>
      </c>
      <c r="I24824">
        <v>611</v>
      </c>
      <c r="J24824">
        <v>1</v>
      </c>
      <c r="K24824">
        <v>1</v>
      </c>
      <c r="L24824">
        <v>587</v>
      </c>
      <c r="M24824">
        <v>1</v>
      </c>
      <c r="N24824">
        <v>0</v>
      </c>
      <c r="O24824">
        <v>2625</v>
      </c>
    </row>
    <row r="24825" spans="1:15" x14ac:dyDescent="0.25">
      <c r="A24825" t="s">
        <v>24838</v>
      </c>
      <c r="B24825">
        <v>383</v>
      </c>
      <c r="C24825" s="1" t="str">
        <f>HYPERLINK("http://www.rosaceae.org/gb/gbrowse/malus_x_domestica/?name=MDP0000202781","MDP0000202781")</f>
        <v>MDP0000202781</v>
      </c>
      <c r="D24825">
        <v>63.42</v>
      </c>
      <c r="E24825">
        <v>391</v>
      </c>
      <c r="F24825">
        <v>143</v>
      </c>
      <c r="G24825">
        <v>20</v>
      </c>
      <c r="H24825">
        <v>1</v>
      </c>
      <c r="I24825">
        <v>382</v>
      </c>
      <c r="J24825">
        <v>1</v>
      </c>
      <c r="K24825">
        <v>236</v>
      </c>
      <c r="L24825">
        <v>615</v>
      </c>
      <c r="M24825">
        <v>1</v>
      </c>
      <c r="N24825">
        <v>3.9012800000000001E-138</v>
      </c>
      <c r="O24825">
        <v>1256</v>
      </c>
    </row>
    <row r="24826" spans="1:15" x14ac:dyDescent="0.25">
      <c r="A24826" t="s">
        <v>24839</v>
      </c>
      <c r="B24826">
        <v>560</v>
      </c>
      <c r="C24826" s="1" t="str">
        <f>HYPERLINK("http://www.rosaceae.org/gb/gbrowse/malus_x_domestica/?name=MDP0000253325","MDP0000253325")</f>
        <v>MDP0000253325</v>
      </c>
      <c r="D24826">
        <v>57.58</v>
      </c>
      <c r="E24826">
        <v>422</v>
      </c>
      <c r="F24826">
        <v>179</v>
      </c>
      <c r="G24826">
        <v>45</v>
      </c>
      <c r="H24826">
        <v>1</v>
      </c>
      <c r="I24826">
        <v>414</v>
      </c>
      <c r="J24826">
        <v>1</v>
      </c>
      <c r="K24826">
        <v>1</v>
      </c>
      <c r="L24826">
        <v>385</v>
      </c>
      <c r="M24826">
        <v>1</v>
      </c>
      <c r="N24826">
        <v>1.4053899999999999E-125</v>
      </c>
      <c r="O24826">
        <v>1150</v>
      </c>
    </row>
    <row r="24827" spans="1:15" x14ac:dyDescent="0.25">
      <c r="A24827" t="s">
        <v>24840</v>
      </c>
      <c r="B24827">
        <v>324</v>
      </c>
      <c r="C24827" s="1" t="str">
        <f>HYPERLINK("http://www.rosaceae.org/gb/gbrowse/malus_x_domestica/?name=MDP0000185981","MDP0000185981")</f>
        <v>MDP0000185981</v>
      </c>
      <c r="D24827">
        <v>43.28</v>
      </c>
      <c r="E24827">
        <v>134</v>
      </c>
      <c r="F24827">
        <v>76</v>
      </c>
      <c r="G24827">
        <v>11</v>
      </c>
      <c r="H24827">
        <v>1</v>
      </c>
      <c r="I24827">
        <v>133</v>
      </c>
      <c r="J24827">
        <v>1</v>
      </c>
      <c r="K24827">
        <v>43</v>
      </c>
      <c r="L24827">
        <v>166</v>
      </c>
      <c r="M24827">
        <v>1</v>
      </c>
      <c r="N24827">
        <v>1.8935199999999999E-24</v>
      </c>
      <c r="O24827">
        <v>275</v>
      </c>
    </row>
    <row r="24828" spans="1:15" x14ac:dyDescent="0.25">
      <c r="A24828" t="s">
        <v>24841</v>
      </c>
      <c r="B24828">
        <v>232</v>
      </c>
      <c r="C24828" s="1" t="str">
        <f>HYPERLINK("http://www.rosaceae.org/gb/gbrowse/malus_x_domestica/?name=MDP0000192940","MDP0000192940")</f>
        <v>MDP0000192940</v>
      </c>
      <c r="D24828">
        <v>80.900000000000006</v>
      </c>
      <c r="E24828">
        <v>220</v>
      </c>
      <c r="F24828">
        <v>42</v>
      </c>
      <c r="G24828">
        <v>10</v>
      </c>
      <c r="H24828">
        <v>13</v>
      </c>
      <c r="I24828">
        <v>232</v>
      </c>
      <c r="J24828">
        <v>1</v>
      </c>
      <c r="K24828">
        <v>9</v>
      </c>
      <c r="L24828">
        <v>218</v>
      </c>
      <c r="M24828">
        <v>1</v>
      </c>
      <c r="N24828">
        <v>4.9053199999999998E-95</v>
      </c>
      <c r="O24828">
        <v>882</v>
      </c>
    </row>
    <row r="24829" spans="1:15" x14ac:dyDescent="0.25">
      <c r="A24829" t="s">
        <v>24842</v>
      </c>
      <c r="B24829">
        <v>361</v>
      </c>
      <c r="C24829" s="1" t="str">
        <f>HYPERLINK("http://www.rosaceae.org/gb/gbrowse/malus_x_domestica/?name=MDP0000225623","MDP0000225623")</f>
        <v>MDP0000225623</v>
      </c>
      <c r="D24829">
        <v>44.38</v>
      </c>
      <c r="E24829">
        <v>347</v>
      </c>
      <c r="F24829">
        <v>193</v>
      </c>
      <c r="G24829">
        <v>28</v>
      </c>
      <c r="H24829">
        <v>1</v>
      </c>
      <c r="I24829">
        <v>334</v>
      </c>
      <c r="J24829">
        <v>1</v>
      </c>
      <c r="K24829">
        <v>297</v>
      </c>
      <c r="L24829">
        <v>628</v>
      </c>
      <c r="M24829">
        <v>1</v>
      </c>
      <c r="N24829">
        <v>6.3990899999999997E-75</v>
      </c>
      <c r="O24829">
        <v>711</v>
      </c>
    </row>
    <row r="24830" spans="1:15" x14ac:dyDescent="0.25">
      <c r="A24830" t="s">
        <v>24843</v>
      </c>
      <c r="B24830">
        <v>499</v>
      </c>
      <c r="C24830" s="1" t="str">
        <f>HYPERLINK("http://www.rosaceae.org/gb/gbrowse/malus_x_domestica/?name=MDP0000700517","MDP0000700517")</f>
        <v>MDP0000700517</v>
      </c>
      <c r="D24830">
        <v>26.77</v>
      </c>
      <c r="E24830">
        <v>254</v>
      </c>
      <c r="F24830">
        <v>186</v>
      </c>
      <c r="G24830">
        <v>27</v>
      </c>
      <c r="H24830">
        <v>162</v>
      </c>
      <c r="I24830">
        <v>403</v>
      </c>
      <c r="J24830">
        <v>1</v>
      </c>
      <c r="K24830">
        <v>94</v>
      </c>
      <c r="L24830">
        <v>332</v>
      </c>
      <c r="M24830">
        <v>1</v>
      </c>
      <c r="N24830">
        <v>3.6119900000000001E-16</v>
      </c>
      <c r="O24830">
        <v>206</v>
      </c>
    </row>
    <row r="24831" spans="1:15" x14ac:dyDescent="0.25">
      <c r="A24831" t="s">
        <v>24844</v>
      </c>
      <c r="B24831">
        <v>476</v>
      </c>
      <c r="C24831" s="1" t="str">
        <f>HYPERLINK("http://www.rosaceae.org/gb/gbrowse/malus_x_domestica/?name=MDP0000185481","MDP0000185481")</f>
        <v>MDP0000185481</v>
      </c>
      <c r="D24831">
        <v>70.22</v>
      </c>
      <c r="E24831">
        <v>309</v>
      </c>
      <c r="F24831">
        <v>92</v>
      </c>
      <c r="G24831">
        <v>0</v>
      </c>
      <c r="H24831">
        <v>159</v>
      </c>
      <c r="I24831">
        <v>467</v>
      </c>
      <c r="J24831">
        <v>1</v>
      </c>
      <c r="K24831">
        <v>335</v>
      </c>
      <c r="L24831">
        <v>643</v>
      </c>
      <c r="M24831">
        <v>1</v>
      </c>
      <c r="N24831">
        <v>1.71492E-125</v>
      </c>
      <c r="O24831">
        <v>1148</v>
      </c>
    </row>
    <row r="24832" spans="1:15" x14ac:dyDescent="0.25">
      <c r="A24832" t="s">
        <v>24845</v>
      </c>
      <c r="B24832">
        <v>242</v>
      </c>
      <c r="C24832" s="1" t="str">
        <f>HYPERLINK("http://www.rosaceae.org/gb/gbrowse/malus_x_domestica/?name=MDP0000623278","MDP0000623278")</f>
        <v>MDP0000623278</v>
      </c>
      <c r="D24832">
        <v>48.52</v>
      </c>
      <c r="E24832">
        <v>204</v>
      </c>
      <c r="F24832">
        <v>105</v>
      </c>
      <c r="G24832">
        <v>18</v>
      </c>
      <c r="H24832">
        <v>38</v>
      </c>
      <c r="I24832">
        <v>241</v>
      </c>
      <c r="J24832">
        <v>1</v>
      </c>
      <c r="K24832">
        <v>294</v>
      </c>
      <c r="L24832">
        <v>479</v>
      </c>
      <c r="M24832">
        <v>1</v>
      </c>
      <c r="N24832">
        <v>1.8335999999999998E-49</v>
      </c>
      <c r="O24832">
        <v>489</v>
      </c>
    </row>
    <row r="24833" spans="1:15" x14ac:dyDescent="0.25">
      <c r="A24833" t="s">
        <v>24846</v>
      </c>
      <c r="B24833">
        <v>729</v>
      </c>
      <c r="C24833" s="1" t="str">
        <f>HYPERLINK("http://www.rosaceae.org/gb/gbrowse/malus_x_domestica/?name=MDP0000127085","MDP0000127085")</f>
        <v>MDP0000127085</v>
      </c>
      <c r="D24833">
        <v>74.78</v>
      </c>
      <c r="E24833">
        <v>460</v>
      </c>
      <c r="F24833">
        <v>116</v>
      </c>
      <c r="G24833">
        <v>27</v>
      </c>
      <c r="H24833">
        <v>267</v>
      </c>
      <c r="I24833">
        <v>715</v>
      </c>
      <c r="J24833">
        <v>1</v>
      </c>
      <c r="K24833">
        <v>432</v>
      </c>
      <c r="L24833">
        <v>875</v>
      </c>
      <c r="M24833">
        <v>1</v>
      </c>
      <c r="N24833">
        <v>0</v>
      </c>
      <c r="O24833">
        <v>1755</v>
      </c>
    </row>
    <row r="24834" spans="1:15" x14ac:dyDescent="0.25">
      <c r="A24834" t="s">
        <v>24847</v>
      </c>
      <c r="B24834">
        <v>153</v>
      </c>
      <c r="C24834" s="1" t="str">
        <f>HYPERLINK("http://www.rosaceae.org/gb/gbrowse/malus_x_domestica/?name=MDP0000698897","MDP0000698897")</f>
        <v>MDP0000698897</v>
      </c>
      <c r="D24834">
        <v>46.77</v>
      </c>
      <c r="E24834">
        <v>62</v>
      </c>
      <c r="F24834">
        <v>33</v>
      </c>
      <c r="G24834">
        <v>0</v>
      </c>
      <c r="H24834">
        <v>24</v>
      </c>
      <c r="I24834">
        <v>85</v>
      </c>
      <c r="J24834">
        <v>1</v>
      </c>
      <c r="K24834">
        <v>101</v>
      </c>
      <c r="L24834">
        <v>162</v>
      </c>
      <c r="M24834">
        <v>1</v>
      </c>
      <c r="N24834">
        <v>1.9115600000000001E-10</v>
      </c>
      <c r="O24834">
        <v>150</v>
      </c>
    </row>
    <row r="24835" spans="1:15" x14ac:dyDescent="0.25">
      <c r="A24835" t="s">
        <v>24848</v>
      </c>
      <c r="B24835">
        <v>1391</v>
      </c>
      <c r="C24835" s="1" t="str">
        <f>HYPERLINK("http://www.rosaceae.org/gb/gbrowse/malus_x_domestica/?name=MDP0000186482","MDP0000186482")</f>
        <v>MDP0000186482</v>
      </c>
      <c r="D24835">
        <v>75.56</v>
      </c>
      <c r="E24835">
        <v>618</v>
      </c>
      <c r="F24835">
        <v>151</v>
      </c>
      <c r="G24835">
        <v>98</v>
      </c>
      <c r="H24835">
        <v>872</v>
      </c>
      <c r="I24835">
        <v>1391</v>
      </c>
      <c r="J24835">
        <v>1</v>
      </c>
      <c r="K24835">
        <v>1</v>
      </c>
      <c r="L24835">
        <v>618</v>
      </c>
      <c r="M24835">
        <v>1</v>
      </c>
      <c r="N24835">
        <v>0</v>
      </c>
      <c r="O24835">
        <v>2342</v>
      </c>
    </row>
    <row r="24836" spans="1:15" x14ac:dyDescent="0.25">
      <c r="A24836" t="s">
        <v>24849</v>
      </c>
      <c r="B24836">
        <v>342</v>
      </c>
      <c r="C24836" s="1" t="str">
        <f>HYPERLINK("http://www.rosaceae.org/gb/gbrowse/malus_x_domestica/?name=MDP0000165292","MDP0000165292")</f>
        <v>MDP0000165292</v>
      </c>
      <c r="D24836">
        <v>71.08</v>
      </c>
      <c r="E24836">
        <v>332</v>
      </c>
      <c r="F24836">
        <v>96</v>
      </c>
      <c r="G24836">
        <v>25</v>
      </c>
      <c r="H24836">
        <v>6</v>
      </c>
      <c r="I24836">
        <v>337</v>
      </c>
      <c r="J24836">
        <v>1</v>
      </c>
      <c r="K24836">
        <v>85</v>
      </c>
      <c r="L24836">
        <v>391</v>
      </c>
      <c r="M24836">
        <v>1</v>
      </c>
      <c r="N24836">
        <v>3.1859599999999998E-141</v>
      </c>
      <c r="O24836">
        <v>1283</v>
      </c>
    </row>
    <row r="24837" spans="1:15" x14ac:dyDescent="0.25">
      <c r="A24837" t="s">
        <v>24850</v>
      </c>
      <c r="B24837">
        <v>732</v>
      </c>
      <c r="C24837" s="1" t="str">
        <f>HYPERLINK("http://www.rosaceae.org/gb/gbrowse/malus_x_domestica/?name=MDP0000258743","MDP0000258743")</f>
        <v>MDP0000258743</v>
      </c>
      <c r="D24837">
        <v>44.23</v>
      </c>
      <c r="E24837">
        <v>104</v>
      </c>
      <c r="F24837">
        <v>58</v>
      </c>
      <c r="G24837">
        <v>1</v>
      </c>
      <c r="H24837">
        <v>501</v>
      </c>
      <c r="I24837">
        <v>604</v>
      </c>
      <c r="J24837">
        <v>1</v>
      </c>
      <c r="K24837">
        <v>101</v>
      </c>
      <c r="L24837">
        <v>203</v>
      </c>
      <c r="M24837">
        <v>1</v>
      </c>
      <c r="N24837">
        <v>6.2579900000000004E-22</v>
      </c>
      <c r="O24837">
        <v>257</v>
      </c>
    </row>
    <row r="24838" spans="1:15" x14ac:dyDescent="0.25">
      <c r="A24838" t="s">
        <v>24851</v>
      </c>
      <c r="B24838">
        <v>248</v>
      </c>
      <c r="C24838" s="1" t="str">
        <f>HYPERLINK("http://www.rosaceae.org/gb/gbrowse/malus_x_domestica/?name=MDP0000642993","MDP0000642993")</f>
        <v>MDP0000642993</v>
      </c>
      <c r="D24838">
        <v>83.63</v>
      </c>
      <c r="E24838">
        <v>220</v>
      </c>
      <c r="F24838">
        <v>36</v>
      </c>
      <c r="G24838">
        <v>1</v>
      </c>
      <c r="H24838">
        <v>30</v>
      </c>
      <c r="I24838">
        <v>248</v>
      </c>
      <c r="J24838">
        <v>1</v>
      </c>
      <c r="K24838">
        <v>26</v>
      </c>
      <c r="L24838">
        <v>245</v>
      </c>
      <c r="M24838">
        <v>1</v>
      </c>
      <c r="N24838">
        <v>4.12671E-100</v>
      </c>
      <c r="O24838">
        <v>926</v>
      </c>
    </row>
    <row r="24839" spans="1:15" x14ac:dyDescent="0.25">
      <c r="A24839" t="s">
        <v>24852</v>
      </c>
      <c r="B24839">
        <v>175</v>
      </c>
      <c r="C24839" s="1" t="str">
        <f>HYPERLINK("http://www.rosaceae.org/gb/gbrowse/malus_x_domestica/?name=MDP0000678612","MDP0000678612")</f>
        <v>MDP0000678612</v>
      </c>
      <c r="D24839">
        <v>70.849999999999994</v>
      </c>
      <c r="E24839">
        <v>175</v>
      </c>
      <c r="F24839">
        <v>51</v>
      </c>
      <c r="G24839">
        <v>8</v>
      </c>
      <c r="H24839">
        <v>1</v>
      </c>
      <c r="I24839">
        <v>173</v>
      </c>
      <c r="J24839">
        <v>1</v>
      </c>
      <c r="K24839">
        <v>12</v>
      </c>
      <c r="L24839">
        <v>180</v>
      </c>
      <c r="M24839">
        <v>1</v>
      </c>
      <c r="N24839">
        <v>5.47777E-66</v>
      </c>
      <c r="O24839">
        <v>630</v>
      </c>
    </row>
    <row r="24840" spans="1:15" x14ac:dyDescent="0.25">
      <c r="A24840" t="s">
        <v>24853</v>
      </c>
      <c r="B24840">
        <v>850</v>
      </c>
      <c r="C24840" s="1" t="str">
        <f>HYPERLINK("http://www.rosaceae.org/gb/gbrowse/malus_x_domestica/?name=MDP0000180455","MDP0000180455")</f>
        <v>MDP0000180455</v>
      </c>
      <c r="D24840">
        <v>69.39</v>
      </c>
      <c r="E24840">
        <v>892</v>
      </c>
      <c r="F24840">
        <v>273</v>
      </c>
      <c r="G24840">
        <v>46</v>
      </c>
      <c r="H24840">
        <v>1</v>
      </c>
      <c r="I24840">
        <v>850</v>
      </c>
      <c r="J24840">
        <v>1</v>
      </c>
      <c r="K24840">
        <v>1</v>
      </c>
      <c r="L24840">
        <v>888</v>
      </c>
      <c r="M24840">
        <v>1</v>
      </c>
      <c r="N24840">
        <v>0</v>
      </c>
      <c r="O24840">
        <v>3053</v>
      </c>
    </row>
    <row r="24841" spans="1:15" x14ac:dyDescent="0.25">
      <c r="A24841" t="s">
        <v>24854</v>
      </c>
      <c r="B24841">
        <v>394</v>
      </c>
      <c r="C24841" s="1" t="str">
        <f>HYPERLINK("http://www.rosaceae.org/gb/gbrowse/malus_x_domestica/?name=MDP0000147988","MDP0000147988")</f>
        <v>MDP0000147988</v>
      </c>
      <c r="D24841">
        <v>45.41</v>
      </c>
      <c r="E24841">
        <v>251</v>
      </c>
      <c r="F24841">
        <v>137</v>
      </c>
      <c r="G24841">
        <v>24</v>
      </c>
      <c r="H24841">
        <v>125</v>
      </c>
      <c r="I24841">
        <v>352</v>
      </c>
      <c r="J24841">
        <v>1</v>
      </c>
      <c r="K24841">
        <v>28</v>
      </c>
      <c r="L24841">
        <v>277</v>
      </c>
      <c r="M24841">
        <v>1</v>
      </c>
      <c r="N24841">
        <v>1.3479799999999999E-56</v>
      </c>
      <c r="O24841">
        <v>553</v>
      </c>
    </row>
    <row r="24842" spans="1:15" x14ac:dyDescent="0.25">
      <c r="A24842" t="s">
        <v>24855</v>
      </c>
      <c r="B24842">
        <v>533</v>
      </c>
      <c r="C24842" s="1" t="str">
        <f>HYPERLINK("http://www.rosaceae.org/gb/gbrowse/malus_x_domestica/?name=MDP0000672840","MDP0000672840")</f>
        <v>MDP0000672840</v>
      </c>
      <c r="D24842">
        <v>32.68</v>
      </c>
      <c r="E24842">
        <v>413</v>
      </c>
      <c r="F24842">
        <v>278</v>
      </c>
      <c r="G24842">
        <v>37</v>
      </c>
      <c r="H24842">
        <v>145</v>
      </c>
      <c r="I24842">
        <v>532</v>
      </c>
      <c r="J24842">
        <v>1</v>
      </c>
      <c r="K24842">
        <v>1</v>
      </c>
      <c r="L24842">
        <v>401</v>
      </c>
      <c r="M24842">
        <v>1</v>
      </c>
      <c r="N24842">
        <v>3.1339599999999999E-45</v>
      </c>
      <c r="O24842">
        <v>457</v>
      </c>
    </row>
    <row r="24843" spans="1:15" x14ac:dyDescent="0.25">
      <c r="A24843" t="s">
        <v>24856</v>
      </c>
      <c r="B24843">
        <v>333</v>
      </c>
      <c r="C24843" s="1" t="str">
        <f>HYPERLINK("http://www.rosaceae.org/gb/gbrowse/malus_x_domestica/?name=MDP0000511046","MDP0000511046")</f>
        <v>MDP0000511046</v>
      </c>
      <c r="D24843">
        <v>49.23</v>
      </c>
      <c r="E24843">
        <v>65</v>
      </c>
      <c r="F24843">
        <v>33</v>
      </c>
      <c r="G24843">
        <v>1</v>
      </c>
      <c r="H24843">
        <v>191</v>
      </c>
      <c r="I24843">
        <v>254</v>
      </c>
      <c r="J24843">
        <v>1</v>
      </c>
      <c r="K24843">
        <v>124</v>
      </c>
      <c r="L24843">
        <v>188</v>
      </c>
      <c r="M24843">
        <v>1</v>
      </c>
      <c r="N24843">
        <v>7.5721999999999995E-15</v>
      </c>
      <c r="O24843">
        <v>193</v>
      </c>
    </row>
    <row r="24844" spans="1:15" x14ac:dyDescent="0.25">
      <c r="A24844" t="s">
        <v>24857</v>
      </c>
      <c r="B24844">
        <v>117</v>
      </c>
      <c r="C24844" s="1" t="str">
        <f>HYPERLINK("http://www.rosaceae.org/gb/gbrowse/malus_x_domestica/?name=MDP0000225088","MDP0000225088")</f>
        <v>MDP0000225088</v>
      </c>
      <c r="D24844">
        <v>83.09</v>
      </c>
      <c r="E24844">
        <v>71</v>
      </c>
      <c r="F24844">
        <v>12</v>
      </c>
      <c r="G24844">
        <v>0</v>
      </c>
      <c r="H24844">
        <v>24</v>
      </c>
      <c r="I24844">
        <v>94</v>
      </c>
      <c r="J24844">
        <v>1</v>
      </c>
      <c r="K24844">
        <v>23</v>
      </c>
      <c r="L24844">
        <v>93</v>
      </c>
      <c r="M24844">
        <v>1</v>
      </c>
      <c r="N24844">
        <v>4.1820400000000002E-29</v>
      </c>
      <c r="O24844">
        <v>308</v>
      </c>
    </row>
    <row r="24845" spans="1:15" x14ac:dyDescent="0.25">
      <c r="A24845" t="s">
        <v>24858</v>
      </c>
      <c r="B24845">
        <v>1160</v>
      </c>
      <c r="C24845" s="1" t="str">
        <f>HYPERLINK("http://www.rosaceae.org/gb/gbrowse/malus_x_domestica/?name=MDP0000617859","MDP0000617859")</f>
        <v>MDP0000617859</v>
      </c>
      <c r="D24845">
        <v>78.97</v>
      </c>
      <c r="E24845">
        <v>666</v>
      </c>
      <c r="F24845">
        <v>140</v>
      </c>
      <c r="G24845">
        <v>30</v>
      </c>
      <c r="H24845">
        <v>519</v>
      </c>
      <c r="I24845">
        <v>1158</v>
      </c>
      <c r="J24845">
        <v>1</v>
      </c>
      <c r="K24845">
        <v>18</v>
      </c>
      <c r="L24845">
        <v>679</v>
      </c>
      <c r="M24845">
        <v>1</v>
      </c>
      <c r="N24845">
        <v>0</v>
      </c>
      <c r="O24845">
        <v>2771</v>
      </c>
    </row>
    <row r="24846" spans="1:15" x14ac:dyDescent="0.25">
      <c r="A24846" t="s">
        <v>24859</v>
      </c>
      <c r="B24846">
        <v>241</v>
      </c>
      <c r="C24846" s="1" t="str">
        <f>HYPERLINK("http://www.rosaceae.org/gb/gbrowse/malus_x_domestica/?name=MDP0000695917","MDP0000695917")</f>
        <v>MDP0000695917</v>
      </c>
      <c r="D24846">
        <v>29.56</v>
      </c>
      <c r="E24846">
        <v>186</v>
      </c>
      <c r="F24846">
        <v>131</v>
      </c>
      <c r="G24846">
        <v>18</v>
      </c>
      <c r="H24846">
        <v>1</v>
      </c>
      <c r="I24846">
        <v>185</v>
      </c>
      <c r="J24846">
        <v>1</v>
      </c>
      <c r="K24846">
        <v>15</v>
      </c>
      <c r="L24846">
        <v>183</v>
      </c>
      <c r="M24846">
        <v>1</v>
      </c>
      <c r="N24846">
        <v>2.6957399999999998E-19</v>
      </c>
      <c r="O24846">
        <v>229</v>
      </c>
    </row>
    <row r="24847" spans="1:15" x14ac:dyDescent="0.25">
      <c r="A24847" t="s">
        <v>24860</v>
      </c>
      <c r="B24847">
        <v>856</v>
      </c>
      <c r="C24847" s="1" t="str">
        <f>HYPERLINK("http://www.rosaceae.org/gb/gbrowse/malus_x_domestica/?name=MDP0000901389","MDP0000901389")</f>
        <v>MDP0000901389</v>
      </c>
      <c r="D24847">
        <v>28.23</v>
      </c>
      <c r="E24847">
        <v>588</v>
      </c>
      <c r="F24847">
        <v>422</v>
      </c>
      <c r="G24847">
        <v>111</v>
      </c>
      <c r="H24847">
        <v>81</v>
      </c>
      <c r="I24847">
        <v>563</v>
      </c>
      <c r="J24847">
        <v>1</v>
      </c>
      <c r="K24847">
        <v>213</v>
      </c>
      <c r="L24847">
        <v>794</v>
      </c>
      <c r="M24847">
        <v>1</v>
      </c>
      <c r="N24847">
        <v>6.5706800000000002E-61</v>
      </c>
      <c r="O24847">
        <v>594</v>
      </c>
    </row>
    <row r="24848" spans="1:15" x14ac:dyDescent="0.25">
      <c r="A24848" t="s">
        <v>24861</v>
      </c>
      <c r="B24848">
        <v>221</v>
      </c>
      <c r="C24848" s="1" t="str">
        <f>HYPERLINK("http://www.rosaceae.org/gb/gbrowse/malus_x_domestica/?name=MDP0000826995","MDP0000826995")</f>
        <v>MDP0000826995</v>
      </c>
      <c r="D24848">
        <v>72.87</v>
      </c>
      <c r="E24848">
        <v>188</v>
      </c>
      <c r="F24848">
        <v>51</v>
      </c>
      <c r="G24848">
        <v>8</v>
      </c>
      <c r="H24848">
        <v>31</v>
      </c>
      <c r="I24848">
        <v>210</v>
      </c>
      <c r="J24848">
        <v>1</v>
      </c>
      <c r="K24848">
        <v>26</v>
      </c>
      <c r="L24848">
        <v>213</v>
      </c>
      <c r="M24848">
        <v>1</v>
      </c>
      <c r="N24848">
        <v>1.6652200000000001E-80</v>
      </c>
      <c r="O24848">
        <v>756</v>
      </c>
    </row>
    <row r="24849" spans="1:15" x14ac:dyDescent="0.25">
      <c r="A24849" t="s">
        <v>24862</v>
      </c>
      <c r="B24849">
        <v>417</v>
      </c>
      <c r="C24849" s="1" t="str">
        <f>HYPERLINK("http://www.rosaceae.org/gb/gbrowse/malus_x_domestica/?name=MDP0000694976","MDP0000694976")</f>
        <v>MDP0000694976</v>
      </c>
      <c r="D24849">
        <v>50.54</v>
      </c>
      <c r="E24849">
        <v>368</v>
      </c>
      <c r="F24849">
        <v>182</v>
      </c>
      <c r="G24849">
        <v>15</v>
      </c>
      <c r="H24849">
        <v>53</v>
      </c>
      <c r="I24849">
        <v>417</v>
      </c>
      <c r="J24849">
        <v>1</v>
      </c>
      <c r="K24849">
        <v>5</v>
      </c>
      <c r="L24849">
        <v>360</v>
      </c>
      <c r="M24849">
        <v>1</v>
      </c>
      <c r="N24849">
        <v>3.5778500000000001E-91</v>
      </c>
      <c r="O24849">
        <v>852</v>
      </c>
    </row>
    <row r="24850" spans="1:15" x14ac:dyDescent="0.25">
      <c r="A24850" t="s">
        <v>24863</v>
      </c>
      <c r="B24850">
        <v>223</v>
      </c>
      <c r="C24850" s="1" t="str">
        <f>HYPERLINK("http://www.rosaceae.org/gb/gbrowse/malus_x_domestica/?name=MDP0000232897","MDP0000232897")</f>
        <v>MDP0000232897</v>
      </c>
      <c r="D24850">
        <v>69.09</v>
      </c>
      <c r="E24850">
        <v>233</v>
      </c>
      <c r="F24850">
        <v>72</v>
      </c>
      <c r="G24850">
        <v>11</v>
      </c>
      <c r="H24850">
        <v>1</v>
      </c>
      <c r="I24850">
        <v>223</v>
      </c>
      <c r="J24850">
        <v>1</v>
      </c>
      <c r="K24850">
        <v>1</v>
      </c>
      <c r="L24850">
        <v>232</v>
      </c>
      <c r="M24850">
        <v>1</v>
      </c>
      <c r="N24850">
        <v>1.33804E-73</v>
      </c>
      <c r="O24850">
        <v>697</v>
      </c>
    </row>
    <row r="24851" spans="1:15" x14ac:dyDescent="0.25">
      <c r="A24851" t="s">
        <v>24864</v>
      </c>
      <c r="B24851">
        <v>477</v>
      </c>
      <c r="C24851" s="1" t="str">
        <f>HYPERLINK("http://www.rosaceae.org/gb/gbrowse/malus_x_domestica/?name=MDP0000309723","MDP0000309723")</f>
        <v>MDP0000309723</v>
      </c>
      <c r="D24851">
        <v>26.11</v>
      </c>
      <c r="E24851">
        <v>314</v>
      </c>
      <c r="F24851">
        <v>232</v>
      </c>
      <c r="G24851">
        <v>30</v>
      </c>
      <c r="H24851">
        <v>113</v>
      </c>
      <c r="I24851">
        <v>413</v>
      </c>
      <c r="J24851">
        <v>1</v>
      </c>
      <c r="K24851">
        <v>218</v>
      </c>
      <c r="L24851">
        <v>514</v>
      </c>
      <c r="M24851">
        <v>1</v>
      </c>
      <c r="N24851">
        <v>2.8580399999999999E-13</v>
      </c>
      <c r="O24851">
        <v>181</v>
      </c>
    </row>
    <row r="24852" spans="1:15" x14ac:dyDescent="0.25">
      <c r="A24852" t="s">
        <v>24865</v>
      </c>
      <c r="B24852">
        <v>286</v>
      </c>
      <c r="C24852" s="1" t="str">
        <f>HYPERLINK("http://www.rosaceae.org/gb/gbrowse/malus_x_domestica/?name=MDP0000128269","MDP0000128269")</f>
        <v>MDP0000128269</v>
      </c>
      <c r="D24852">
        <v>42.33</v>
      </c>
      <c r="E24852">
        <v>248</v>
      </c>
      <c r="F24852">
        <v>143</v>
      </c>
      <c r="G24852">
        <v>54</v>
      </c>
      <c r="H24852">
        <v>36</v>
      </c>
      <c r="I24852">
        <v>283</v>
      </c>
      <c r="J24852">
        <v>1</v>
      </c>
      <c r="K24852">
        <v>29</v>
      </c>
      <c r="L24852">
        <v>222</v>
      </c>
      <c r="M24852">
        <v>1</v>
      </c>
      <c r="N24852">
        <v>7.5464100000000004E-46</v>
      </c>
      <c r="O24852">
        <v>459</v>
      </c>
    </row>
    <row r="24853" spans="1:15" x14ac:dyDescent="0.25">
      <c r="A24853" t="s">
        <v>24866</v>
      </c>
      <c r="B24853">
        <v>294</v>
      </c>
      <c r="C24853" s="1" t="str">
        <f>HYPERLINK("http://www.rosaceae.org/gb/gbrowse/malus_x_domestica/?name=MDP0000640395","MDP0000640395")</f>
        <v>MDP0000640395</v>
      </c>
      <c r="D24853">
        <v>53.56</v>
      </c>
      <c r="E24853">
        <v>351</v>
      </c>
      <c r="F24853">
        <v>163</v>
      </c>
      <c r="G24853">
        <v>73</v>
      </c>
      <c r="H24853">
        <v>15</v>
      </c>
      <c r="I24853">
        <v>294</v>
      </c>
      <c r="J24853">
        <v>1</v>
      </c>
      <c r="K24853">
        <v>5</v>
      </c>
      <c r="L24853">
        <v>353</v>
      </c>
      <c r="M24853">
        <v>1</v>
      </c>
      <c r="N24853">
        <v>4.9416600000000004E-97</v>
      </c>
      <c r="O24853">
        <v>901</v>
      </c>
    </row>
    <row r="24854" spans="1:15" x14ac:dyDescent="0.25">
      <c r="A24854" t="s">
        <v>24867</v>
      </c>
      <c r="B24854">
        <v>663</v>
      </c>
      <c r="C24854" s="1" t="str">
        <f>HYPERLINK("http://www.rosaceae.org/gb/gbrowse/malus_x_domestica/?name=MDP0000493284","MDP0000493284")</f>
        <v>MDP0000493284</v>
      </c>
      <c r="D24854">
        <v>59.54</v>
      </c>
      <c r="E24854">
        <v>697</v>
      </c>
      <c r="F24854">
        <v>282</v>
      </c>
      <c r="G24854">
        <v>61</v>
      </c>
      <c r="H24854">
        <v>16</v>
      </c>
      <c r="I24854">
        <v>658</v>
      </c>
      <c r="J24854">
        <v>1</v>
      </c>
      <c r="K24854">
        <v>137</v>
      </c>
      <c r="L24854">
        <v>826</v>
      </c>
      <c r="M24854">
        <v>1</v>
      </c>
      <c r="N24854">
        <v>0</v>
      </c>
      <c r="O24854">
        <v>2115</v>
      </c>
    </row>
    <row r="24855" spans="1:15" x14ac:dyDescent="0.25">
      <c r="A24855" t="s">
        <v>24868</v>
      </c>
      <c r="B24855">
        <v>419</v>
      </c>
      <c r="C24855" s="1" t="str">
        <f>HYPERLINK("http://www.rosaceae.org/gb/gbrowse/malus_x_domestica/?name=MDP0000565338","MDP0000565338")</f>
        <v>MDP0000565338</v>
      </c>
      <c r="D24855">
        <v>98.16</v>
      </c>
      <c r="E24855">
        <v>381</v>
      </c>
      <c r="F24855">
        <v>7</v>
      </c>
      <c r="G24855">
        <v>0</v>
      </c>
      <c r="H24855">
        <v>23</v>
      </c>
      <c r="I24855">
        <v>403</v>
      </c>
      <c r="J24855">
        <v>1</v>
      </c>
      <c r="K24855">
        <v>163</v>
      </c>
      <c r="L24855">
        <v>543</v>
      </c>
      <c r="M24855">
        <v>1</v>
      </c>
      <c r="N24855">
        <v>0</v>
      </c>
      <c r="O24855">
        <v>1980</v>
      </c>
    </row>
    <row r="24856" spans="1:15" x14ac:dyDescent="0.25">
      <c r="A24856" t="s">
        <v>24869</v>
      </c>
      <c r="B24856">
        <v>338</v>
      </c>
      <c r="C24856" s="1" t="str">
        <f>HYPERLINK("http://www.rosaceae.org/gb/gbrowse/malus_x_domestica/?name=MDP0000139203","MDP0000139203")</f>
        <v>MDP0000139203</v>
      </c>
      <c r="D24856">
        <v>61.6</v>
      </c>
      <c r="E24856">
        <v>362</v>
      </c>
      <c r="F24856">
        <v>139</v>
      </c>
      <c r="G24856">
        <v>35</v>
      </c>
      <c r="H24856">
        <v>8</v>
      </c>
      <c r="I24856">
        <v>336</v>
      </c>
      <c r="J24856">
        <v>1</v>
      </c>
      <c r="K24856">
        <v>13</v>
      </c>
      <c r="L24856">
        <v>372</v>
      </c>
      <c r="M24856">
        <v>1</v>
      </c>
      <c r="N24856">
        <v>1.49801E-124</v>
      </c>
      <c r="O24856">
        <v>1139</v>
      </c>
    </row>
    <row r="24857" spans="1:15" x14ac:dyDescent="0.25">
      <c r="A24857" t="s">
        <v>24870</v>
      </c>
      <c r="B24857">
        <v>683</v>
      </c>
      <c r="C24857" s="1" t="str">
        <f>HYPERLINK("http://www.rosaceae.org/gb/gbrowse/malus_x_domestica/?name=MDP0000319792","MDP0000319792")</f>
        <v>MDP0000319792</v>
      </c>
      <c r="D24857">
        <v>52.23</v>
      </c>
      <c r="E24857">
        <v>335</v>
      </c>
      <c r="F24857">
        <v>160</v>
      </c>
      <c r="G24857">
        <v>4</v>
      </c>
      <c r="H24857">
        <v>334</v>
      </c>
      <c r="I24857">
        <v>665</v>
      </c>
      <c r="J24857">
        <v>1</v>
      </c>
      <c r="K24857">
        <v>233</v>
      </c>
      <c r="L24857">
        <v>566</v>
      </c>
      <c r="M24857">
        <v>1</v>
      </c>
      <c r="N24857">
        <v>1.03693E-87</v>
      </c>
      <c r="O24857">
        <v>824</v>
      </c>
    </row>
    <row r="24858" spans="1:15" x14ac:dyDescent="0.25">
      <c r="A24858" t="s">
        <v>24871</v>
      </c>
      <c r="B24858">
        <v>212</v>
      </c>
      <c r="C24858" s="1" t="str">
        <f>HYPERLINK("http://www.rosaceae.org/gb/gbrowse/malus_x_domestica/?name=MDP0000125401","MDP0000125401")</f>
        <v>MDP0000125401</v>
      </c>
      <c r="D24858">
        <v>84.4</v>
      </c>
      <c r="E24858">
        <v>186</v>
      </c>
      <c r="F24858">
        <v>29</v>
      </c>
      <c r="G24858">
        <v>0</v>
      </c>
      <c r="H24858">
        <v>27</v>
      </c>
      <c r="I24858">
        <v>212</v>
      </c>
      <c r="J24858">
        <v>1</v>
      </c>
      <c r="K24858">
        <v>2</v>
      </c>
      <c r="L24858">
        <v>187</v>
      </c>
      <c r="M24858">
        <v>1</v>
      </c>
      <c r="N24858">
        <v>1.3468899999999999E-87</v>
      </c>
      <c r="O24858">
        <v>817</v>
      </c>
    </row>
    <row r="24859" spans="1:15" x14ac:dyDescent="0.25">
      <c r="A24859" t="s">
        <v>24872</v>
      </c>
      <c r="B24859">
        <v>594</v>
      </c>
      <c r="C24859" s="1" t="str">
        <f>HYPERLINK("http://www.rosaceae.org/gb/gbrowse/malus_x_domestica/?name=MDP0000232976","MDP0000232976")</f>
        <v>MDP0000232976</v>
      </c>
      <c r="D24859">
        <v>29.7</v>
      </c>
      <c r="E24859">
        <v>101</v>
      </c>
      <c r="F24859">
        <v>71</v>
      </c>
      <c r="G24859">
        <v>5</v>
      </c>
      <c r="H24859">
        <v>7</v>
      </c>
      <c r="I24859">
        <v>107</v>
      </c>
      <c r="J24859">
        <v>1</v>
      </c>
      <c r="K24859">
        <v>1633</v>
      </c>
      <c r="L24859">
        <v>1728</v>
      </c>
      <c r="M24859">
        <v>1</v>
      </c>
      <c r="N24859">
        <v>3.63042E-9</v>
      </c>
      <c r="O24859">
        <v>146</v>
      </c>
    </row>
    <row r="24860" spans="1:15" x14ac:dyDescent="0.25">
      <c r="A24860" t="s">
        <v>24873</v>
      </c>
      <c r="B24860">
        <v>289</v>
      </c>
      <c r="C24860" s="1" t="str">
        <f>HYPERLINK("http://www.rosaceae.org/gb/gbrowse/malus_x_domestica/?name=MDP0000334047","MDP0000334047")</f>
        <v>MDP0000334047</v>
      </c>
      <c r="D24860">
        <v>63.78</v>
      </c>
      <c r="E24860">
        <v>243</v>
      </c>
      <c r="F24860">
        <v>88</v>
      </c>
      <c r="G24860">
        <v>16</v>
      </c>
      <c r="H24860">
        <v>10</v>
      </c>
      <c r="I24860">
        <v>243</v>
      </c>
      <c r="J24860">
        <v>1</v>
      </c>
      <c r="K24860">
        <v>18</v>
      </c>
      <c r="L24860">
        <v>253</v>
      </c>
      <c r="M24860">
        <v>1</v>
      </c>
      <c r="N24860">
        <v>2.88496E-80</v>
      </c>
      <c r="O24860">
        <v>756</v>
      </c>
    </row>
    <row r="24861" spans="1:15" x14ac:dyDescent="0.25">
      <c r="A24861" t="s">
        <v>24874</v>
      </c>
      <c r="B24861">
        <v>911</v>
      </c>
      <c r="C24861" s="1" t="str">
        <f>HYPERLINK("http://www.rosaceae.org/gb/gbrowse/malus_x_domestica/?name=MDP0000874928","MDP0000874928")</f>
        <v>MDP0000874928</v>
      </c>
      <c r="D24861">
        <v>49.81</v>
      </c>
      <c r="E24861">
        <v>273</v>
      </c>
      <c r="F24861">
        <v>137</v>
      </c>
      <c r="G24861">
        <v>16</v>
      </c>
      <c r="H24861">
        <v>655</v>
      </c>
      <c r="I24861">
        <v>911</v>
      </c>
      <c r="J24861">
        <v>1</v>
      </c>
      <c r="K24861">
        <v>1</v>
      </c>
      <c r="L24861">
        <v>273</v>
      </c>
      <c r="M24861">
        <v>1</v>
      </c>
      <c r="N24861">
        <v>9.0095100000000002E-64</v>
      </c>
      <c r="O24861">
        <v>619</v>
      </c>
    </row>
    <row r="24862" spans="1:15" x14ac:dyDescent="0.25">
      <c r="A24862" t="s">
        <v>24875</v>
      </c>
      <c r="B24862">
        <v>123</v>
      </c>
      <c r="C24862" s="1" t="str">
        <f>HYPERLINK("http://www.rosaceae.org/gb/gbrowse/malus_x_domestica/?name=MDP0000295339","MDP0000295339")</f>
        <v>MDP0000295339</v>
      </c>
      <c r="D24862">
        <v>51.66</v>
      </c>
      <c r="E24862">
        <v>120</v>
      </c>
      <c r="F24862">
        <v>58</v>
      </c>
      <c r="G24862">
        <v>2</v>
      </c>
      <c r="H24862">
        <v>3</v>
      </c>
      <c r="I24862">
        <v>122</v>
      </c>
      <c r="J24862">
        <v>1</v>
      </c>
      <c r="K24862">
        <v>4</v>
      </c>
      <c r="L24862">
        <v>121</v>
      </c>
      <c r="M24862">
        <v>1</v>
      </c>
      <c r="N24862">
        <v>3.2168000000000002E-30</v>
      </c>
      <c r="O24862">
        <v>318</v>
      </c>
    </row>
    <row r="24863" spans="1:15" x14ac:dyDescent="0.25">
      <c r="A24863" t="s">
        <v>24876</v>
      </c>
      <c r="B24863">
        <v>1511</v>
      </c>
      <c r="C24863" s="1" t="str">
        <f>HYPERLINK("http://www.rosaceae.org/gb/gbrowse/malus_x_domestica/?name=MDP0000319328","MDP0000319328")</f>
        <v>MDP0000319328</v>
      </c>
      <c r="D24863">
        <v>71.31</v>
      </c>
      <c r="E24863">
        <v>1276</v>
      </c>
      <c r="F24863">
        <v>366</v>
      </c>
      <c r="G24863">
        <v>68</v>
      </c>
      <c r="H24863">
        <v>283</v>
      </c>
      <c r="I24863">
        <v>1508</v>
      </c>
      <c r="J24863">
        <v>1</v>
      </c>
      <c r="K24863">
        <v>1</v>
      </c>
      <c r="L24863">
        <v>1258</v>
      </c>
      <c r="M24863">
        <v>1</v>
      </c>
      <c r="N24863">
        <v>0</v>
      </c>
      <c r="O24863">
        <v>4506</v>
      </c>
    </row>
    <row r="24864" spans="1:15" x14ac:dyDescent="0.25">
      <c r="A24864" t="s">
        <v>24877</v>
      </c>
      <c r="B24864">
        <v>238</v>
      </c>
      <c r="C24864" s="1" t="str">
        <f>HYPERLINK("http://www.rosaceae.org/gb/gbrowse/malus_x_domestica/?name=MDP0000202311","MDP0000202311")</f>
        <v>MDP0000202311</v>
      </c>
      <c r="D24864">
        <v>78.900000000000006</v>
      </c>
      <c r="E24864">
        <v>237</v>
      </c>
      <c r="F24864">
        <v>50</v>
      </c>
      <c r="G24864">
        <v>1</v>
      </c>
      <c r="H24864">
        <v>1</v>
      </c>
      <c r="I24864">
        <v>237</v>
      </c>
      <c r="J24864">
        <v>1</v>
      </c>
      <c r="K24864">
        <v>83</v>
      </c>
      <c r="L24864">
        <v>318</v>
      </c>
      <c r="M24864">
        <v>1</v>
      </c>
      <c r="N24864">
        <v>3.1245799999999999E-106</v>
      </c>
      <c r="O24864">
        <v>979</v>
      </c>
    </row>
    <row r="24865" spans="1:15" x14ac:dyDescent="0.25">
      <c r="A24865" t="s">
        <v>24878</v>
      </c>
      <c r="B24865">
        <v>735</v>
      </c>
      <c r="C24865" s="1" t="str">
        <f>HYPERLINK("http://www.rosaceae.org/gb/gbrowse/malus_x_domestica/?name=MDP0000258621","MDP0000258621")</f>
        <v>MDP0000258621</v>
      </c>
      <c r="D24865">
        <v>57.69</v>
      </c>
      <c r="E24865">
        <v>754</v>
      </c>
      <c r="F24865">
        <v>319</v>
      </c>
      <c r="G24865">
        <v>75</v>
      </c>
      <c r="H24865">
        <v>9</v>
      </c>
      <c r="I24865">
        <v>735</v>
      </c>
      <c r="J24865">
        <v>1</v>
      </c>
      <c r="K24865">
        <v>14</v>
      </c>
      <c r="L24865">
        <v>719</v>
      </c>
      <c r="M24865">
        <v>1</v>
      </c>
      <c r="N24865">
        <v>0</v>
      </c>
      <c r="O24865">
        <v>2104</v>
      </c>
    </row>
    <row r="24866" spans="1:15" x14ac:dyDescent="0.25">
      <c r="A24866" t="s">
        <v>24879</v>
      </c>
      <c r="B24866">
        <v>1030</v>
      </c>
      <c r="C24866" s="1" t="str">
        <f>HYPERLINK("http://www.rosaceae.org/gb/gbrowse/malus_x_domestica/?name=MDP0000159156","MDP0000159156")</f>
        <v>MDP0000159156</v>
      </c>
      <c r="D24866">
        <v>58.89</v>
      </c>
      <c r="E24866">
        <v>815</v>
      </c>
      <c r="F24866">
        <v>335</v>
      </c>
      <c r="G24866">
        <v>38</v>
      </c>
      <c r="H24866">
        <v>224</v>
      </c>
      <c r="I24866">
        <v>1024</v>
      </c>
      <c r="J24866">
        <v>1</v>
      </c>
      <c r="K24866">
        <v>84</v>
      </c>
      <c r="L24866">
        <v>874</v>
      </c>
      <c r="M24866">
        <v>1</v>
      </c>
      <c r="N24866">
        <v>0</v>
      </c>
      <c r="O24866">
        <v>2289</v>
      </c>
    </row>
    <row r="24867" spans="1:15" x14ac:dyDescent="0.25">
      <c r="A24867" t="s">
        <v>24880</v>
      </c>
      <c r="B24867">
        <v>235</v>
      </c>
      <c r="C24867" s="1" t="str">
        <f>HYPERLINK("http://www.rosaceae.org/gb/gbrowse/malus_x_domestica/?name=MDP0000262710","MDP0000262710")</f>
        <v>MDP0000262710</v>
      </c>
      <c r="D24867">
        <v>45.26</v>
      </c>
      <c r="E24867">
        <v>243</v>
      </c>
      <c r="F24867">
        <v>133</v>
      </c>
      <c r="G24867">
        <v>16</v>
      </c>
      <c r="H24867">
        <v>1</v>
      </c>
      <c r="I24867">
        <v>235</v>
      </c>
      <c r="J24867">
        <v>1</v>
      </c>
      <c r="K24867">
        <v>1</v>
      </c>
      <c r="L24867">
        <v>235</v>
      </c>
      <c r="M24867">
        <v>1</v>
      </c>
      <c r="N24867">
        <v>5.0087199999999999E-43</v>
      </c>
      <c r="O24867">
        <v>434</v>
      </c>
    </row>
    <row r="24868" spans="1:15" x14ac:dyDescent="0.25">
      <c r="A24868" t="s">
        <v>24881</v>
      </c>
      <c r="B24868">
        <v>432</v>
      </c>
      <c r="C24868" s="1" t="str">
        <f>HYPERLINK("http://www.rosaceae.org/gb/gbrowse/malus_x_domestica/?name=MDP0000671514","MDP0000671514")</f>
        <v>MDP0000671514</v>
      </c>
      <c r="D24868">
        <v>84.06</v>
      </c>
      <c r="E24868">
        <v>408</v>
      </c>
      <c r="F24868">
        <v>65</v>
      </c>
      <c r="G24868">
        <v>1</v>
      </c>
      <c r="H24868">
        <v>25</v>
      </c>
      <c r="I24868">
        <v>432</v>
      </c>
      <c r="J24868">
        <v>1</v>
      </c>
      <c r="K24868">
        <v>7</v>
      </c>
      <c r="L24868">
        <v>413</v>
      </c>
      <c r="M24868">
        <v>1</v>
      </c>
      <c r="N24868">
        <v>0</v>
      </c>
      <c r="O24868">
        <v>1868</v>
      </c>
    </row>
    <row r="24869" spans="1:15" x14ac:dyDescent="0.25">
      <c r="A24869" t="s">
        <v>24882</v>
      </c>
      <c r="B24869">
        <v>166</v>
      </c>
      <c r="C24869" s="1" t="str">
        <f>HYPERLINK("http://www.rosaceae.org/gb/gbrowse/malus_x_domestica/?name=MDP0000862091","MDP0000862091")</f>
        <v>MDP0000862091</v>
      </c>
      <c r="D24869">
        <v>62.74</v>
      </c>
      <c r="E24869">
        <v>153</v>
      </c>
      <c r="F24869">
        <v>57</v>
      </c>
      <c r="G24869">
        <v>8</v>
      </c>
      <c r="H24869">
        <v>22</v>
      </c>
      <c r="I24869">
        <v>166</v>
      </c>
      <c r="J24869">
        <v>1</v>
      </c>
      <c r="K24869">
        <v>22</v>
      </c>
      <c r="L24869">
        <v>174</v>
      </c>
      <c r="M24869">
        <v>1</v>
      </c>
      <c r="N24869">
        <v>1.3612100000000001E-48</v>
      </c>
      <c r="O24869">
        <v>479</v>
      </c>
    </row>
    <row r="24870" spans="1:15" x14ac:dyDescent="0.25">
      <c r="A24870" t="s">
        <v>24883</v>
      </c>
      <c r="B24870">
        <v>738</v>
      </c>
      <c r="C24870" s="1" t="str">
        <f>HYPERLINK("http://www.rosaceae.org/gb/gbrowse/malus_x_domestica/?name=MDP0000228868","MDP0000228868")</f>
        <v>MDP0000228868</v>
      </c>
      <c r="D24870">
        <v>37.06</v>
      </c>
      <c r="E24870">
        <v>143</v>
      </c>
      <c r="F24870">
        <v>90</v>
      </c>
      <c r="G24870">
        <v>2</v>
      </c>
      <c r="H24870">
        <v>262</v>
      </c>
      <c r="I24870">
        <v>403</v>
      </c>
      <c r="J24870">
        <v>1</v>
      </c>
      <c r="K24870">
        <v>647</v>
      </c>
      <c r="L24870">
        <v>788</v>
      </c>
      <c r="M24870">
        <v>1</v>
      </c>
      <c r="N24870">
        <v>7.1587900000000004E-23</v>
      </c>
      <c r="O24870">
        <v>265</v>
      </c>
    </row>
    <row r="24871" spans="1:15" x14ac:dyDescent="0.25">
      <c r="A24871" t="s">
        <v>24884</v>
      </c>
      <c r="B24871">
        <v>511</v>
      </c>
      <c r="C24871" s="1" t="str">
        <f>HYPERLINK("http://www.rosaceae.org/gb/gbrowse/malus_x_domestica/?name=MDP0000931200","MDP0000931200")</f>
        <v>MDP0000931200</v>
      </c>
      <c r="D24871">
        <v>77.64</v>
      </c>
      <c r="E24871">
        <v>568</v>
      </c>
      <c r="F24871">
        <v>127</v>
      </c>
      <c r="G24871">
        <v>57</v>
      </c>
      <c r="H24871">
        <v>1</v>
      </c>
      <c r="I24871">
        <v>511</v>
      </c>
      <c r="J24871">
        <v>1</v>
      </c>
      <c r="K24871">
        <v>1</v>
      </c>
      <c r="L24871">
        <v>568</v>
      </c>
      <c r="M24871">
        <v>1</v>
      </c>
      <c r="N24871">
        <v>0</v>
      </c>
      <c r="O24871">
        <v>2301</v>
      </c>
    </row>
    <row r="24872" spans="1:15" x14ac:dyDescent="0.25">
      <c r="A24872" t="s">
        <v>24885</v>
      </c>
      <c r="B24872">
        <v>558</v>
      </c>
      <c r="C24872" s="1" t="str">
        <f>HYPERLINK("http://www.rosaceae.org/gb/gbrowse/malus_x_domestica/?name=MDP0000165603","MDP0000165603")</f>
        <v>MDP0000165603</v>
      </c>
      <c r="D24872">
        <v>68.34</v>
      </c>
      <c r="E24872">
        <v>515</v>
      </c>
      <c r="F24872">
        <v>163</v>
      </c>
      <c r="G24872">
        <v>34</v>
      </c>
      <c r="H24872">
        <v>69</v>
      </c>
      <c r="I24872">
        <v>556</v>
      </c>
      <c r="J24872">
        <v>1</v>
      </c>
      <c r="K24872">
        <v>62</v>
      </c>
      <c r="L24872">
        <v>569</v>
      </c>
      <c r="M24872">
        <v>1</v>
      </c>
      <c r="N24872">
        <v>0</v>
      </c>
      <c r="O24872">
        <v>1755</v>
      </c>
    </row>
    <row r="24873" spans="1:15" x14ac:dyDescent="0.25">
      <c r="A24873" t="s">
        <v>24886</v>
      </c>
      <c r="B24873">
        <v>186</v>
      </c>
      <c r="C24873" s="1" t="str">
        <f>HYPERLINK("http://www.rosaceae.org/gb/gbrowse/malus_x_domestica/?name=MDP0000285658","MDP0000285658")</f>
        <v>MDP0000285658</v>
      </c>
      <c r="D24873">
        <v>52.12</v>
      </c>
      <c r="E24873">
        <v>165</v>
      </c>
      <c r="F24873">
        <v>79</v>
      </c>
      <c r="G24873">
        <v>13</v>
      </c>
      <c r="H24873">
        <v>22</v>
      </c>
      <c r="I24873">
        <v>186</v>
      </c>
      <c r="J24873">
        <v>1</v>
      </c>
      <c r="K24873">
        <v>124</v>
      </c>
      <c r="L24873">
        <v>275</v>
      </c>
      <c r="M24873">
        <v>1</v>
      </c>
      <c r="N24873">
        <v>1.4410700000000001E-34</v>
      </c>
      <c r="O24873">
        <v>359</v>
      </c>
    </row>
    <row r="24874" spans="1:15" x14ac:dyDescent="0.25">
      <c r="A24874" t="s">
        <v>24887</v>
      </c>
      <c r="B24874">
        <v>304</v>
      </c>
      <c r="C24874" s="1" t="str">
        <f>HYPERLINK("http://www.rosaceae.org/gb/gbrowse/malus_x_domestica/?name=MDP0000067637","MDP0000067637")</f>
        <v>MDP0000067637</v>
      </c>
      <c r="D24874">
        <v>81.96</v>
      </c>
      <c r="E24874">
        <v>305</v>
      </c>
      <c r="F24874">
        <v>55</v>
      </c>
      <c r="G24874">
        <v>1</v>
      </c>
      <c r="H24874">
        <v>1</v>
      </c>
      <c r="I24874">
        <v>304</v>
      </c>
      <c r="J24874">
        <v>1</v>
      </c>
      <c r="K24874">
        <v>159</v>
      </c>
      <c r="L24874">
        <v>463</v>
      </c>
      <c r="M24874">
        <v>1</v>
      </c>
      <c r="N24874">
        <v>6.9293899999999997E-143</v>
      </c>
      <c r="O24874">
        <v>1296</v>
      </c>
    </row>
    <row r="24875" spans="1:15" x14ac:dyDescent="0.25">
      <c r="A24875" t="s">
        <v>24888</v>
      </c>
      <c r="B24875">
        <v>1047</v>
      </c>
      <c r="C24875" s="1" t="str">
        <f>HYPERLINK("http://www.rosaceae.org/gb/gbrowse/malus_x_domestica/?name=MDP0000231072","MDP0000231072")</f>
        <v>MDP0000231072</v>
      </c>
      <c r="D24875">
        <v>39.42</v>
      </c>
      <c r="E24875">
        <v>449</v>
      </c>
      <c r="F24875">
        <v>272</v>
      </c>
      <c r="G24875">
        <v>44</v>
      </c>
      <c r="H24875">
        <v>212</v>
      </c>
      <c r="I24875">
        <v>642</v>
      </c>
      <c r="J24875">
        <v>1</v>
      </c>
      <c r="K24875">
        <v>4</v>
      </c>
      <c r="L24875">
        <v>426</v>
      </c>
      <c r="M24875">
        <v>1</v>
      </c>
      <c r="N24875">
        <v>1.3910799999999999E-69</v>
      </c>
      <c r="O24875">
        <v>670</v>
      </c>
    </row>
    <row r="24876" spans="1:15" x14ac:dyDescent="0.25">
      <c r="A24876" t="s">
        <v>24889</v>
      </c>
      <c r="B24876">
        <v>486</v>
      </c>
      <c r="C24876" s="1" t="str">
        <f>HYPERLINK("http://www.rosaceae.org/gb/gbrowse/malus_x_domestica/?name=MDP0000247171","MDP0000247171")</f>
        <v>MDP0000247171</v>
      </c>
      <c r="D24876">
        <v>70.02</v>
      </c>
      <c r="E24876">
        <v>337</v>
      </c>
      <c r="F24876">
        <v>101</v>
      </c>
      <c r="G24876">
        <v>3</v>
      </c>
      <c r="H24876">
        <v>151</v>
      </c>
      <c r="I24876">
        <v>486</v>
      </c>
      <c r="J24876">
        <v>1</v>
      </c>
      <c r="K24876">
        <v>71</v>
      </c>
      <c r="L24876">
        <v>405</v>
      </c>
      <c r="M24876">
        <v>1</v>
      </c>
      <c r="N24876">
        <v>5.7812799999999995E-141</v>
      </c>
      <c r="O24876">
        <v>1282</v>
      </c>
    </row>
    <row r="24877" spans="1:15" x14ac:dyDescent="0.25">
      <c r="A24877" t="s">
        <v>24890</v>
      </c>
      <c r="B24877">
        <v>580</v>
      </c>
      <c r="C24877" s="1" t="str">
        <f>HYPERLINK("http://www.rosaceae.org/gb/gbrowse/malus_x_domestica/?name=MDP0000180064","MDP0000180064")</f>
        <v>MDP0000180064</v>
      </c>
      <c r="D24877">
        <v>70.760000000000005</v>
      </c>
      <c r="E24877">
        <v>643</v>
      </c>
      <c r="F24877">
        <v>188</v>
      </c>
      <c r="G24877">
        <v>95</v>
      </c>
      <c r="H24877">
        <v>4</v>
      </c>
      <c r="I24877">
        <v>552</v>
      </c>
      <c r="J24877">
        <v>1</v>
      </c>
      <c r="K24877">
        <v>49</v>
      </c>
      <c r="L24877">
        <v>690</v>
      </c>
      <c r="M24877">
        <v>1</v>
      </c>
      <c r="N24877">
        <v>0</v>
      </c>
      <c r="O24877">
        <v>2208</v>
      </c>
    </row>
    <row r="24878" spans="1:15" x14ac:dyDescent="0.25">
      <c r="A24878" t="s">
        <v>24891</v>
      </c>
      <c r="B24878">
        <v>296</v>
      </c>
      <c r="C24878" s="1" t="str">
        <f>HYPERLINK("http://www.rosaceae.org/gb/gbrowse/malus_x_domestica/?name=MDP0000215371","MDP0000215371")</f>
        <v>MDP0000215371</v>
      </c>
      <c r="D24878">
        <v>61.32</v>
      </c>
      <c r="E24878">
        <v>318</v>
      </c>
      <c r="F24878">
        <v>123</v>
      </c>
      <c r="G24878">
        <v>25</v>
      </c>
      <c r="H24878">
        <v>1</v>
      </c>
      <c r="I24878">
        <v>296</v>
      </c>
      <c r="J24878">
        <v>1</v>
      </c>
      <c r="K24878">
        <v>1</v>
      </c>
      <c r="L24878">
        <v>315</v>
      </c>
      <c r="M24878">
        <v>1</v>
      </c>
      <c r="N24878">
        <v>4.9093400000000003E-98</v>
      </c>
      <c r="O24878">
        <v>909</v>
      </c>
    </row>
    <row r="24879" spans="1:15" x14ac:dyDescent="0.25">
      <c r="A24879" t="s">
        <v>24892</v>
      </c>
      <c r="B24879">
        <v>151</v>
      </c>
      <c r="C24879" s="1" t="str">
        <f>HYPERLINK("http://www.rosaceae.org/gb/gbrowse/malus_x_domestica/?name=MDP0000212954","MDP0000212954")</f>
        <v>MDP0000212954</v>
      </c>
      <c r="D24879">
        <v>64.44</v>
      </c>
      <c r="E24879">
        <v>45</v>
      </c>
      <c r="F24879">
        <v>16</v>
      </c>
      <c r="G24879">
        <v>6</v>
      </c>
      <c r="H24879">
        <v>109</v>
      </c>
      <c r="I24879">
        <v>147</v>
      </c>
      <c r="J24879">
        <v>1</v>
      </c>
      <c r="K24879">
        <v>65</v>
      </c>
      <c r="L24879">
        <v>109</v>
      </c>
      <c r="M24879">
        <v>1</v>
      </c>
      <c r="N24879">
        <v>3.9471899999999999E-9</v>
      </c>
      <c r="O24879">
        <v>138</v>
      </c>
    </row>
    <row r="24880" spans="1:15" x14ac:dyDescent="0.25">
      <c r="A24880" t="s">
        <v>24893</v>
      </c>
      <c r="B24880">
        <v>294</v>
      </c>
      <c r="C24880" s="1" t="str">
        <f>HYPERLINK("http://www.rosaceae.org/gb/gbrowse/malus_x_domestica/?name=MDP0000383372","MDP0000383372")</f>
        <v>MDP0000383372</v>
      </c>
      <c r="D24880">
        <v>32.5</v>
      </c>
      <c r="E24880">
        <v>283</v>
      </c>
      <c r="F24880">
        <v>191</v>
      </c>
      <c r="G24880">
        <v>24</v>
      </c>
      <c r="H24880">
        <v>9</v>
      </c>
      <c r="I24880">
        <v>290</v>
      </c>
      <c r="J24880">
        <v>1</v>
      </c>
      <c r="K24880">
        <v>223</v>
      </c>
      <c r="L24880">
        <v>482</v>
      </c>
      <c r="M24880">
        <v>1</v>
      </c>
      <c r="N24880">
        <v>2.87837E-33</v>
      </c>
      <c r="O24880">
        <v>351</v>
      </c>
    </row>
    <row r="24881" spans="1:15" x14ac:dyDescent="0.25">
      <c r="A24881" t="s">
        <v>24894</v>
      </c>
      <c r="B24881">
        <v>447</v>
      </c>
      <c r="C24881" s="1" t="str">
        <f>HYPERLINK("http://www.rosaceae.org/gb/gbrowse/malus_x_domestica/?name=MDP0000298976","MDP0000298976")</f>
        <v>MDP0000298976</v>
      </c>
      <c r="D24881">
        <v>56.15</v>
      </c>
      <c r="E24881">
        <v>390</v>
      </c>
      <c r="F24881">
        <v>171</v>
      </c>
      <c r="G24881">
        <v>1</v>
      </c>
      <c r="H24881">
        <v>3</v>
      </c>
      <c r="I24881">
        <v>391</v>
      </c>
      <c r="J24881">
        <v>1</v>
      </c>
      <c r="K24881">
        <v>617</v>
      </c>
      <c r="L24881">
        <v>1006</v>
      </c>
      <c r="M24881">
        <v>1</v>
      </c>
      <c r="N24881">
        <v>9.7675199999999997E-116</v>
      </c>
      <c r="O24881">
        <v>1064</v>
      </c>
    </row>
    <row r="24882" spans="1:15" x14ac:dyDescent="0.25">
      <c r="A24882" t="s">
        <v>24895</v>
      </c>
      <c r="B24882">
        <v>651</v>
      </c>
      <c r="C24882" s="1" t="str">
        <f>HYPERLINK("http://www.rosaceae.org/gb/gbrowse/malus_x_domestica/?name=MDP0000286385","MDP0000286385")</f>
        <v>MDP0000286385</v>
      </c>
      <c r="D24882">
        <v>77.37</v>
      </c>
      <c r="E24882">
        <v>610</v>
      </c>
      <c r="F24882">
        <v>138</v>
      </c>
      <c r="G24882">
        <v>45</v>
      </c>
      <c r="H24882">
        <v>1</v>
      </c>
      <c r="I24882">
        <v>609</v>
      </c>
      <c r="J24882">
        <v>1</v>
      </c>
      <c r="K24882">
        <v>1</v>
      </c>
      <c r="L24882">
        <v>566</v>
      </c>
      <c r="M24882">
        <v>1</v>
      </c>
      <c r="N24882">
        <v>0</v>
      </c>
      <c r="O24882">
        <v>2576</v>
      </c>
    </row>
    <row r="24883" spans="1:15" x14ac:dyDescent="0.25">
      <c r="A24883" t="s">
        <v>24896</v>
      </c>
      <c r="B24883">
        <v>653</v>
      </c>
      <c r="C24883" s="1" t="str">
        <f>HYPERLINK("http://www.rosaceae.org/gb/gbrowse/malus_x_domestica/?name=MDP0000257638","MDP0000257638")</f>
        <v>MDP0000257638</v>
      </c>
      <c r="D24883">
        <v>34.76</v>
      </c>
      <c r="E24883">
        <v>512</v>
      </c>
      <c r="F24883">
        <v>334</v>
      </c>
      <c r="G24883">
        <v>115</v>
      </c>
      <c r="H24883">
        <v>18</v>
      </c>
      <c r="I24883">
        <v>417</v>
      </c>
      <c r="J24883">
        <v>1</v>
      </c>
      <c r="K24883">
        <v>17</v>
      </c>
      <c r="L24883">
        <v>525</v>
      </c>
      <c r="M24883">
        <v>1</v>
      </c>
      <c r="N24883">
        <v>1.3008899999999999E-69</v>
      </c>
      <c r="O24883">
        <v>668</v>
      </c>
    </row>
    <row r="24884" spans="1:15" x14ac:dyDescent="0.25">
      <c r="A24884" t="s">
        <v>24897</v>
      </c>
      <c r="B24884">
        <v>394</v>
      </c>
      <c r="C24884" s="1" t="str">
        <f>HYPERLINK("http://www.rosaceae.org/gb/gbrowse/malus_x_domestica/?name=MDP0000463584","MDP0000463584")</f>
        <v>MDP0000463584</v>
      </c>
      <c r="D24884">
        <v>47.98</v>
      </c>
      <c r="E24884">
        <v>248</v>
      </c>
      <c r="F24884">
        <v>129</v>
      </c>
      <c r="G24884">
        <v>3</v>
      </c>
      <c r="H24884">
        <v>9</v>
      </c>
      <c r="I24884">
        <v>254</v>
      </c>
      <c r="J24884">
        <v>1</v>
      </c>
      <c r="K24884">
        <v>5</v>
      </c>
      <c r="L24884">
        <v>251</v>
      </c>
      <c r="M24884">
        <v>1</v>
      </c>
      <c r="N24884">
        <v>1.81552E-65</v>
      </c>
      <c r="O24884">
        <v>630</v>
      </c>
    </row>
    <row r="24885" spans="1:15" x14ac:dyDescent="0.25">
      <c r="A24885" t="s">
        <v>24898</v>
      </c>
      <c r="B24885">
        <v>167</v>
      </c>
      <c r="C24885" s="1" t="str">
        <f>HYPERLINK("http://www.rosaceae.org/gb/gbrowse/malus_x_domestica/?name=MDP0000874044","MDP0000874044")</f>
        <v>MDP0000874044</v>
      </c>
      <c r="D24885">
        <v>58.92</v>
      </c>
      <c r="E24885">
        <v>112</v>
      </c>
      <c r="F24885">
        <v>46</v>
      </c>
      <c r="G24885">
        <v>15</v>
      </c>
      <c r="H24885">
        <v>1</v>
      </c>
      <c r="I24885">
        <v>97</v>
      </c>
      <c r="J24885">
        <v>1</v>
      </c>
      <c r="K24885">
        <v>1</v>
      </c>
      <c r="L24885">
        <v>112</v>
      </c>
      <c r="M24885">
        <v>1</v>
      </c>
      <c r="N24885">
        <v>3.5122200000000002E-22</v>
      </c>
      <c r="O24885">
        <v>252</v>
      </c>
    </row>
    <row r="24886" spans="1:15" x14ac:dyDescent="0.25">
      <c r="A24886" t="s">
        <v>24899</v>
      </c>
      <c r="B24886">
        <v>763</v>
      </c>
      <c r="C24886" s="1" t="str">
        <f>HYPERLINK("http://www.rosaceae.org/gb/gbrowse/malus_x_domestica/?name=MDP0000299496","MDP0000299496")</f>
        <v>MDP0000299496</v>
      </c>
      <c r="D24886">
        <v>40.06</v>
      </c>
      <c r="E24886">
        <v>292</v>
      </c>
      <c r="F24886">
        <v>175</v>
      </c>
      <c r="G24886">
        <v>67</v>
      </c>
      <c r="H24886">
        <v>302</v>
      </c>
      <c r="I24886">
        <v>531</v>
      </c>
      <c r="J24886">
        <v>1</v>
      </c>
      <c r="K24886">
        <v>453</v>
      </c>
      <c r="L24886">
        <v>739</v>
      </c>
      <c r="M24886">
        <v>1</v>
      </c>
      <c r="N24886">
        <v>2.69284E-48</v>
      </c>
      <c r="O24886">
        <v>485</v>
      </c>
    </row>
    <row r="24887" spans="1:15" x14ac:dyDescent="0.25">
      <c r="A24887" t="s">
        <v>24900</v>
      </c>
      <c r="B24887">
        <v>304</v>
      </c>
      <c r="C24887" s="1" t="str">
        <f>HYPERLINK("http://www.rosaceae.org/gb/gbrowse/malus_x_domestica/?name=MDP0000216583","MDP0000216583")</f>
        <v>MDP0000216583</v>
      </c>
      <c r="D24887">
        <v>45.6</v>
      </c>
      <c r="E24887">
        <v>375</v>
      </c>
      <c r="F24887">
        <v>204</v>
      </c>
      <c r="G24887">
        <v>79</v>
      </c>
      <c r="H24887">
        <v>7</v>
      </c>
      <c r="I24887">
        <v>304</v>
      </c>
      <c r="J24887">
        <v>1</v>
      </c>
      <c r="K24887">
        <v>16</v>
      </c>
      <c r="L24887">
        <v>388</v>
      </c>
      <c r="M24887">
        <v>1</v>
      </c>
      <c r="N24887">
        <v>1.10676E-81</v>
      </c>
      <c r="O24887">
        <v>768</v>
      </c>
    </row>
    <row r="24888" spans="1:15" x14ac:dyDescent="0.25">
      <c r="A24888" t="s">
        <v>24901</v>
      </c>
      <c r="B24888">
        <v>223</v>
      </c>
      <c r="C24888" s="1" t="str">
        <f>HYPERLINK("http://www.rosaceae.org/gb/gbrowse/malus_x_domestica/?name=MDP0000289018","MDP0000289018")</f>
        <v>MDP0000289018</v>
      </c>
      <c r="D24888">
        <v>71.489999999999995</v>
      </c>
      <c r="E24888">
        <v>207</v>
      </c>
      <c r="F24888">
        <v>59</v>
      </c>
      <c r="G24888">
        <v>21</v>
      </c>
      <c r="H24888">
        <v>1</v>
      </c>
      <c r="I24888">
        <v>200</v>
      </c>
      <c r="J24888">
        <v>1</v>
      </c>
      <c r="K24888">
        <v>1</v>
      </c>
      <c r="L24888">
        <v>193</v>
      </c>
      <c r="M24888">
        <v>1</v>
      </c>
      <c r="N24888">
        <v>1.5273699999999999E-77</v>
      </c>
      <c r="O24888">
        <v>731</v>
      </c>
    </row>
    <row r="24889" spans="1:15" x14ac:dyDescent="0.25">
      <c r="A24889" t="s">
        <v>24902</v>
      </c>
      <c r="B24889">
        <v>521</v>
      </c>
      <c r="C24889" s="1" t="str">
        <f>HYPERLINK("http://www.rosaceae.org/gb/gbrowse/malus_x_domestica/?name=MDP0000176003","MDP0000176003")</f>
        <v>MDP0000176003</v>
      </c>
      <c r="D24889">
        <v>29.91</v>
      </c>
      <c r="E24889">
        <v>361</v>
      </c>
      <c r="F24889">
        <v>253</v>
      </c>
      <c r="G24889">
        <v>62</v>
      </c>
      <c r="H24889">
        <v>181</v>
      </c>
      <c r="I24889">
        <v>509</v>
      </c>
      <c r="J24889">
        <v>1</v>
      </c>
      <c r="K24889">
        <v>1022</v>
      </c>
      <c r="L24889">
        <v>1352</v>
      </c>
      <c r="M24889">
        <v>1</v>
      </c>
      <c r="N24889">
        <v>1.16502E-21</v>
      </c>
      <c r="O24889">
        <v>253</v>
      </c>
    </row>
    <row r="24890" spans="1:15" x14ac:dyDescent="0.25">
      <c r="A24890" t="s">
        <v>24903</v>
      </c>
      <c r="B24890">
        <v>585</v>
      </c>
      <c r="C24890" s="1" t="str">
        <f>HYPERLINK("http://www.rosaceae.org/gb/gbrowse/malus_x_domestica/?name=MDP0000241469","MDP0000241469")</f>
        <v>MDP0000241469</v>
      </c>
      <c r="D24890">
        <v>83.24</v>
      </c>
      <c r="E24890">
        <v>376</v>
      </c>
      <c r="F24890">
        <v>63</v>
      </c>
      <c r="G24890">
        <v>1</v>
      </c>
      <c r="H24890">
        <v>1</v>
      </c>
      <c r="I24890">
        <v>376</v>
      </c>
      <c r="J24890">
        <v>1</v>
      </c>
      <c r="K24890">
        <v>895</v>
      </c>
      <c r="L24890">
        <v>1269</v>
      </c>
      <c r="M24890">
        <v>1</v>
      </c>
      <c r="N24890">
        <v>0</v>
      </c>
      <c r="O24890">
        <v>1677</v>
      </c>
    </row>
    <row r="24891" spans="1:15" x14ac:dyDescent="0.25">
      <c r="A24891" t="s">
        <v>24904</v>
      </c>
      <c r="B24891">
        <v>115</v>
      </c>
      <c r="C24891" s="1" t="str">
        <f>HYPERLINK("http://www.rosaceae.org/gb/gbrowse/malus_x_domestica/?name=MDP0000251234","MDP0000251234")</f>
        <v>MDP0000251234</v>
      </c>
      <c r="D24891">
        <v>53.5</v>
      </c>
      <c r="E24891">
        <v>114</v>
      </c>
      <c r="F24891">
        <v>53</v>
      </c>
      <c r="G24891">
        <v>0</v>
      </c>
      <c r="H24891">
        <v>1</v>
      </c>
      <c r="I24891">
        <v>114</v>
      </c>
      <c r="J24891">
        <v>1</v>
      </c>
      <c r="K24891">
        <v>982</v>
      </c>
      <c r="L24891">
        <v>1095</v>
      </c>
      <c r="M24891">
        <v>1</v>
      </c>
      <c r="N24891">
        <v>2.4504200000000001E-26</v>
      </c>
      <c r="O24891">
        <v>285</v>
      </c>
    </row>
    <row r="24892" spans="1:15" x14ac:dyDescent="0.25">
      <c r="A24892" t="s">
        <v>24905</v>
      </c>
      <c r="B24892">
        <v>439</v>
      </c>
      <c r="C24892" s="1" t="str">
        <f>HYPERLINK("http://www.rosaceae.org/gb/gbrowse/malus_x_domestica/?name=MDP0000137872","MDP0000137872")</f>
        <v>MDP0000137872</v>
      </c>
      <c r="D24892">
        <v>56.68</v>
      </c>
      <c r="E24892">
        <v>441</v>
      </c>
      <c r="F24892">
        <v>191</v>
      </c>
      <c r="G24892">
        <v>40</v>
      </c>
      <c r="H24892">
        <v>1</v>
      </c>
      <c r="I24892">
        <v>439</v>
      </c>
      <c r="J24892">
        <v>1</v>
      </c>
      <c r="K24892">
        <v>1</v>
      </c>
      <c r="L24892">
        <v>403</v>
      </c>
      <c r="M24892">
        <v>1</v>
      </c>
      <c r="N24892">
        <v>4.9285100000000002E-143</v>
      </c>
      <c r="O24892">
        <v>1299</v>
      </c>
    </row>
    <row r="24893" spans="1:15" x14ac:dyDescent="0.25">
      <c r="A24893" t="s">
        <v>24906</v>
      </c>
      <c r="B24893">
        <v>579</v>
      </c>
      <c r="C24893" s="1" t="str">
        <f>HYPERLINK("http://www.rosaceae.org/gb/gbrowse/malus_x_domestica/?name=MDP0000250047","MDP0000250047")</f>
        <v>MDP0000250047</v>
      </c>
      <c r="D24893">
        <v>34.909999999999997</v>
      </c>
      <c r="E24893">
        <v>527</v>
      </c>
      <c r="F24893">
        <v>343</v>
      </c>
      <c r="G24893">
        <v>36</v>
      </c>
      <c r="H24893">
        <v>62</v>
      </c>
      <c r="I24893">
        <v>577</v>
      </c>
      <c r="J24893">
        <v>1</v>
      </c>
      <c r="K24893">
        <v>8</v>
      </c>
      <c r="L24893">
        <v>509</v>
      </c>
      <c r="M24893">
        <v>1</v>
      </c>
      <c r="N24893">
        <v>1.1443199999999999E-84</v>
      </c>
      <c r="O24893">
        <v>797</v>
      </c>
    </row>
    <row r="24894" spans="1:15" x14ac:dyDescent="0.25">
      <c r="A24894" t="s">
        <v>24907</v>
      </c>
      <c r="B24894">
        <v>797</v>
      </c>
      <c r="C24894" s="1" t="str">
        <f>HYPERLINK("http://www.rosaceae.org/gb/gbrowse/malus_x_domestica/?name=MDP0000181623","MDP0000181623")</f>
        <v>MDP0000181623</v>
      </c>
      <c r="D24894">
        <v>71.7</v>
      </c>
      <c r="E24894">
        <v>205</v>
      </c>
      <c r="F24894">
        <v>58</v>
      </c>
      <c r="G24894">
        <v>26</v>
      </c>
      <c r="H24894">
        <v>253</v>
      </c>
      <c r="I24894">
        <v>457</v>
      </c>
      <c r="J24894">
        <v>1</v>
      </c>
      <c r="K24894">
        <v>281</v>
      </c>
      <c r="L24894">
        <v>459</v>
      </c>
      <c r="M24894">
        <v>1</v>
      </c>
      <c r="N24894">
        <v>1.11045E-66</v>
      </c>
      <c r="O24894">
        <v>644</v>
      </c>
    </row>
    <row r="24895" spans="1:15" x14ac:dyDescent="0.25">
      <c r="A24895" t="s">
        <v>24908</v>
      </c>
      <c r="B24895">
        <v>606</v>
      </c>
      <c r="C24895" s="1" t="str">
        <f>HYPERLINK("http://www.rosaceae.org/gb/gbrowse/malus_x_domestica/?name=MDP0000275743","MDP0000275743")</f>
        <v>MDP0000275743</v>
      </c>
      <c r="D24895">
        <v>81.3</v>
      </c>
      <c r="E24895">
        <v>444</v>
      </c>
      <c r="F24895">
        <v>83</v>
      </c>
      <c r="G24895">
        <v>21</v>
      </c>
      <c r="H24895">
        <v>51</v>
      </c>
      <c r="I24895">
        <v>473</v>
      </c>
      <c r="J24895">
        <v>1</v>
      </c>
      <c r="K24895">
        <v>23</v>
      </c>
      <c r="L24895">
        <v>466</v>
      </c>
      <c r="M24895">
        <v>1</v>
      </c>
      <c r="N24895">
        <v>0</v>
      </c>
      <c r="O24895">
        <v>1859</v>
      </c>
    </row>
    <row r="24896" spans="1:15" x14ac:dyDescent="0.25">
      <c r="A24896" t="s">
        <v>24909</v>
      </c>
      <c r="B24896">
        <v>167</v>
      </c>
      <c r="C24896" s="1" t="str">
        <f>HYPERLINK("http://www.rosaceae.org/gb/gbrowse/malus_x_domestica/?name=MDP0000906138","MDP0000906138")</f>
        <v>MDP0000906138</v>
      </c>
      <c r="D24896">
        <v>76.23</v>
      </c>
      <c r="E24896">
        <v>101</v>
      </c>
      <c r="F24896">
        <v>24</v>
      </c>
      <c r="G24896">
        <v>4</v>
      </c>
      <c r="H24896">
        <v>54</v>
      </c>
      <c r="I24896">
        <v>152</v>
      </c>
      <c r="J24896">
        <v>1</v>
      </c>
      <c r="K24896">
        <v>26</v>
      </c>
      <c r="L24896">
        <v>124</v>
      </c>
      <c r="M24896">
        <v>1</v>
      </c>
      <c r="N24896">
        <v>1.2116200000000001E-38</v>
      </c>
      <c r="O24896">
        <v>393</v>
      </c>
    </row>
    <row r="24897" spans="1:15" x14ac:dyDescent="0.25">
      <c r="A24897" t="s">
        <v>24910</v>
      </c>
      <c r="B24897">
        <v>986</v>
      </c>
      <c r="C24897" s="1" t="str">
        <f>HYPERLINK("http://www.rosaceae.org/gb/gbrowse/malus_x_domestica/?name=MDP0000759530","MDP0000759530")</f>
        <v>MDP0000759530</v>
      </c>
      <c r="D24897">
        <v>70.34</v>
      </c>
      <c r="E24897">
        <v>998</v>
      </c>
      <c r="F24897">
        <v>296</v>
      </c>
      <c r="G24897">
        <v>52</v>
      </c>
      <c r="H24897">
        <v>15</v>
      </c>
      <c r="I24897">
        <v>975</v>
      </c>
      <c r="J24897">
        <v>1</v>
      </c>
      <c r="K24897">
        <v>11</v>
      </c>
      <c r="L24897">
        <v>993</v>
      </c>
      <c r="M24897">
        <v>1</v>
      </c>
      <c r="N24897">
        <v>0</v>
      </c>
      <c r="O24897">
        <v>3590</v>
      </c>
    </row>
    <row r="24898" spans="1:15" x14ac:dyDescent="0.25">
      <c r="A24898" t="s">
        <v>24911</v>
      </c>
      <c r="B24898">
        <v>639</v>
      </c>
      <c r="C24898" s="1" t="str">
        <f>HYPERLINK("http://www.rosaceae.org/gb/gbrowse/malus_x_domestica/?name=MDP0000278907","MDP0000278907")</f>
        <v>MDP0000278907</v>
      </c>
      <c r="D24898">
        <v>51.61</v>
      </c>
      <c r="E24898">
        <v>618</v>
      </c>
      <c r="F24898">
        <v>299</v>
      </c>
      <c r="G24898">
        <v>72</v>
      </c>
      <c r="H24898">
        <v>71</v>
      </c>
      <c r="I24898">
        <v>639</v>
      </c>
      <c r="J24898">
        <v>1</v>
      </c>
      <c r="K24898">
        <v>264</v>
      </c>
      <c r="L24898">
        <v>858</v>
      </c>
      <c r="M24898">
        <v>1</v>
      </c>
      <c r="N24898">
        <v>1.27513E-163</v>
      </c>
      <c r="O24898">
        <v>1479</v>
      </c>
    </row>
    <row r="24899" spans="1:15" x14ac:dyDescent="0.25">
      <c r="A24899" t="s">
        <v>24912</v>
      </c>
      <c r="B24899">
        <v>323</v>
      </c>
      <c r="C24899" s="1" t="str">
        <f>HYPERLINK("http://www.rosaceae.org/gb/gbrowse/malus_x_domestica/?name=MDP0000166657","MDP0000166657")</f>
        <v>MDP0000166657</v>
      </c>
      <c r="D24899">
        <v>49.18</v>
      </c>
      <c r="E24899">
        <v>307</v>
      </c>
      <c r="F24899">
        <v>156</v>
      </c>
      <c r="G24899">
        <v>7</v>
      </c>
      <c r="H24899">
        <v>19</v>
      </c>
      <c r="I24899">
        <v>323</v>
      </c>
      <c r="J24899">
        <v>1</v>
      </c>
      <c r="K24899">
        <v>24</v>
      </c>
      <c r="L24899">
        <v>325</v>
      </c>
      <c r="M24899">
        <v>1</v>
      </c>
      <c r="N24899">
        <v>1.0004999999999999E-79</v>
      </c>
      <c r="O24899">
        <v>752</v>
      </c>
    </row>
    <row r="24900" spans="1:15" x14ac:dyDescent="0.25">
      <c r="A24900" t="s">
        <v>24913</v>
      </c>
      <c r="B24900">
        <v>459</v>
      </c>
      <c r="C24900" s="1" t="str">
        <f>HYPERLINK("http://www.rosaceae.org/gb/gbrowse/malus_x_domestica/?name=MDP0000500222","MDP0000500222")</f>
        <v>MDP0000500222</v>
      </c>
      <c r="D24900">
        <v>29.58</v>
      </c>
      <c r="E24900">
        <v>311</v>
      </c>
      <c r="F24900">
        <v>219</v>
      </c>
      <c r="G24900">
        <v>48</v>
      </c>
      <c r="H24900">
        <v>10</v>
      </c>
      <c r="I24900">
        <v>300</v>
      </c>
      <c r="J24900">
        <v>1</v>
      </c>
      <c r="K24900">
        <v>74</v>
      </c>
      <c r="L24900">
        <v>356</v>
      </c>
      <c r="M24900">
        <v>1</v>
      </c>
      <c r="N24900">
        <v>1.0915599999999999E-24</v>
      </c>
      <c r="O24900">
        <v>279</v>
      </c>
    </row>
    <row r="24901" spans="1:15" x14ac:dyDescent="0.25">
      <c r="A24901" t="s">
        <v>24914</v>
      </c>
      <c r="B24901">
        <v>391</v>
      </c>
      <c r="C24901" s="1" t="str">
        <f>HYPERLINK("http://www.rosaceae.org/gb/gbrowse/malus_x_domestica/?name=MDP0000422652","MDP0000422652")</f>
        <v>MDP0000422652</v>
      </c>
      <c r="D24901">
        <v>47.5</v>
      </c>
      <c r="E24901">
        <v>120</v>
      </c>
      <c r="F24901">
        <v>63</v>
      </c>
      <c r="G24901">
        <v>5</v>
      </c>
      <c r="H24901">
        <v>128</v>
      </c>
      <c r="I24901">
        <v>242</v>
      </c>
      <c r="J24901">
        <v>1</v>
      </c>
      <c r="K24901">
        <v>396</v>
      </c>
      <c r="L24901">
        <v>515</v>
      </c>
      <c r="M24901">
        <v>1</v>
      </c>
      <c r="N24901">
        <v>1.2576899999999999E-25</v>
      </c>
      <c r="O24901">
        <v>286</v>
      </c>
    </row>
    <row r="24902" spans="1:15" x14ac:dyDescent="0.25">
      <c r="A24902" t="s">
        <v>24915</v>
      </c>
      <c r="B24902">
        <v>303</v>
      </c>
      <c r="C24902" s="1" t="str">
        <f>HYPERLINK("http://www.rosaceae.org/gb/gbrowse/malus_x_domestica/?name=MDP0000695917","MDP0000695917")</f>
        <v>MDP0000695917</v>
      </c>
      <c r="D24902">
        <v>34.9</v>
      </c>
      <c r="E24902">
        <v>212</v>
      </c>
      <c r="F24902">
        <v>138</v>
      </c>
      <c r="G24902">
        <v>15</v>
      </c>
      <c r="H24902">
        <v>83</v>
      </c>
      <c r="I24902">
        <v>294</v>
      </c>
      <c r="J24902">
        <v>1</v>
      </c>
      <c r="K24902">
        <v>5</v>
      </c>
      <c r="L24902">
        <v>201</v>
      </c>
      <c r="M24902">
        <v>1</v>
      </c>
      <c r="N24902">
        <v>1.0290799999999999E-27</v>
      </c>
      <c r="O24902">
        <v>303</v>
      </c>
    </row>
    <row r="24903" spans="1:15" x14ac:dyDescent="0.25">
      <c r="A24903" t="s">
        <v>24916</v>
      </c>
      <c r="B24903">
        <v>517</v>
      </c>
      <c r="C24903" s="1" t="str">
        <f>HYPERLINK("http://www.rosaceae.org/gb/gbrowse/malus_x_domestica/?name=MDP0000182115","MDP0000182115")</f>
        <v>MDP0000182115</v>
      </c>
      <c r="D24903">
        <v>53.59</v>
      </c>
      <c r="E24903">
        <v>556</v>
      </c>
      <c r="F24903">
        <v>258</v>
      </c>
      <c r="G24903">
        <v>68</v>
      </c>
      <c r="H24903">
        <v>1</v>
      </c>
      <c r="I24903">
        <v>517</v>
      </c>
      <c r="J24903">
        <v>1</v>
      </c>
      <c r="K24903">
        <v>372</v>
      </c>
      <c r="L24903">
        <v>898</v>
      </c>
      <c r="M24903">
        <v>1</v>
      </c>
      <c r="N24903">
        <v>4.4617200000000005E-162</v>
      </c>
      <c r="O24903">
        <v>1464</v>
      </c>
    </row>
    <row r="24904" spans="1:15" x14ac:dyDescent="0.25">
      <c r="A24904" t="s">
        <v>24917</v>
      </c>
      <c r="B24904">
        <v>319</v>
      </c>
      <c r="C24904" s="1" t="str">
        <f>HYPERLINK("http://www.rosaceae.org/gb/gbrowse/malus_x_domestica/?name=MDP0000145486","MDP0000145486")</f>
        <v>MDP0000145486</v>
      </c>
      <c r="D24904">
        <v>39.75</v>
      </c>
      <c r="E24904">
        <v>322</v>
      </c>
      <c r="F24904">
        <v>194</v>
      </c>
      <c r="G24904">
        <v>27</v>
      </c>
      <c r="H24904">
        <v>1</v>
      </c>
      <c r="I24904">
        <v>306</v>
      </c>
      <c r="J24904">
        <v>1</v>
      </c>
      <c r="K24904">
        <v>1</v>
      </c>
      <c r="L24904">
        <v>311</v>
      </c>
      <c r="M24904">
        <v>1</v>
      </c>
      <c r="N24904">
        <v>2.0641899999999999E-50</v>
      </c>
      <c r="O24904">
        <v>499</v>
      </c>
    </row>
    <row r="24905" spans="1:15" x14ac:dyDescent="0.25">
      <c r="A24905" t="s">
        <v>24918</v>
      </c>
      <c r="B24905">
        <v>256</v>
      </c>
      <c r="C24905" s="1" t="str">
        <f>HYPERLINK("http://www.rosaceae.org/gb/gbrowse/malus_x_domestica/?name=MDP0000892596","MDP0000892596")</f>
        <v>MDP0000892596</v>
      </c>
      <c r="D24905">
        <v>52.08</v>
      </c>
      <c r="E24905">
        <v>48</v>
      </c>
      <c r="F24905">
        <v>23</v>
      </c>
      <c r="G24905">
        <v>2</v>
      </c>
      <c r="H24905">
        <v>112</v>
      </c>
      <c r="I24905">
        <v>159</v>
      </c>
      <c r="J24905">
        <v>1</v>
      </c>
      <c r="K24905">
        <v>146</v>
      </c>
      <c r="L24905">
        <v>191</v>
      </c>
      <c r="M24905">
        <v>1</v>
      </c>
      <c r="N24905">
        <v>5.0647200000000001E-8</v>
      </c>
      <c r="O24905">
        <v>132</v>
      </c>
    </row>
    <row r="24906" spans="1:15" x14ac:dyDescent="0.25">
      <c r="A24906" t="s">
        <v>24919</v>
      </c>
      <c r="B24906">
        <v>291</v>
      </c>
      <c r="C24906" s="1" t="str">
        <f>HYPERLINK("http://www.rosaceae.org/gb/gbrowse/malus_x_domestica/?name=MDP0000189426","MDP0000189426")</f>
        <v>MDP0000189426</v>
      </c>
      <c r="D24906">
        <v>35.22</v>
      </c>
      <c r="E24906">
        <v>318</v>
      </c>
      <c r="F24906">
        <v>206</v>
      </c>
      <c r="G24906">
        <v>39</v>
      </c>
      <c r="H24906">
        <v>1</v>
      </c>
      <c r="I24906">
        <v>290</v>
      </c>
      <c r="J24906">
        <v>1</v>
      </c>
      <c r="K24906">
        <v>75</v>
      </c>
      <c r="L24906">
        <v>381</v>
      </c>
      <c r="M24906">
        <v>1</v>
      </c>
      <c r="N24906">
        <v>1.9090899999999999E-42</v>
      </c>
      <c r="O24906">
        <v>430</v>
      </c>
    </row>
    <row r="24907" spans="1:15" x14ac:dyDescent="0.25">
      <c r="A24907" t="s">
        <v>24920</v>
      </c>
      <c r="B24907">
        <v>265</v>
      </c>
      <c r="C24907" s="1" t="str">
        <f>HYPERLINK("http://www.rosaceae.org/gb/gbrowse/malus_x_domestica/?name=MDP0000284023","MDP0000284023")</f>
        <v>MDP0000284023</v>
      </c>
      <c r="D24907">
        <v>84.32</v>
      </c>
      <c r="E24907">
        <v>236</v>
      </c>
      <c r="F24907">
        <v>37</v>
      </c>
      <c r="G24907">
        <v>8</v>
      </c>
      <c r="H24907">
        <v>37</v>
      </c>
      <c r="I24907">
        <v>265</v>
      </c>
      <c r="J24907">
        <v>1</v>
      </c>
      <c r="K24907">
        <v>54</v>
      </c>
      <c r="L24907">
        <v>288</v>
      </c>
      <c r="M24907">
        <v>1</v>
      </c>
      <c r="N24907">
        <v>7.8280299999999998E-106</v>
      </c>
      <c r="O24907">
        <v>976</v>
      </c>
    </row>
    <row r="24908" spans="1:15" x14ac:dyDescent="0.25">
      <c r="A24908" t="s">
        <v>24921</v>
      </c>
      <c r="B24908">
        <v>395</v>
      </c>
      <c r="C24908" s="1" t="str">
        <f>HYPERLINK("http://www.rosaceae.org/gb/gbrowse/malus_x_domestica/?name=MDP0000170906","MDP0000170906")</f>
        <v>MDP0000170906</v>
      </c>
      <c r="D24908">
        <v>43.05</v>
      </c>
      <c r="E24908">
        <v>367</v>
      </c>
      <c r="F24908">
        <v>209</v>
      </c>
      <c r="G24908">
        <v>47</v>
      </c>
      <c r="H24908">
        <v>9</v>
      </c>
      <c r="I24908">
        <v>336</v>
      </c>
      <c r="J24908">
        <v>1</v>
      </c>
      <c r="K24908">
        <v>351</v>
      </c>
      <c r="L24908">
        <v>709</v>
      </c>
      <c r="M24908">
        <v>1</v>
      </c>
      <c r="N24908">
        <v>2.62766E-68</v>
      </c>
      <c r="O24908">
        <v>654</v>
      </c>
    </row>
    <row r="24909" spans="1:15" x14ac:dyDescent="0.25">
      <c r="A24909" t="s">
        <v>24922</v>
      </c>
      <c r="B24909">
        <v>360</v>
      </c>
      <c r="C24909" s="1" t="str">
        <f>HYPERLINK("http://www.rosaceae.org/gb/gbrowse/malus_x_domestica/?name=MDP0000201897","MDP0000201897")</f>
        <v>MDP0000201897</v>
      </c>
      <c r="D24909">
        <v>32.369999999999997</v>
      </c>
      <c r="E24909">
        <v>139</v>
      </c>
      <c r="F24909">
        <v>94</v>
      </c>
      <c r="G24909">
        <v>11</v>
      </c>
      <c r="H24909">
        <v>1</v>
      </c>
      <c r="I24909">
        <v>137</v>
      </c>
      <c r="J24909">
        <v>1</v>
      </c>
      <c r="K24909">
        <v>595</v>
      </c>
      <c r="L24909">
        <v>724</v>
      </c>
      <c r="M24909">
        <v>1</v>
      </c>
      <c r="N24909">
        <v>3.2468499999999999E-13</v>
      </c>
      <c r="O24909">
        <v>179</v>
      </c>
    </row>
    <row r="24910" spans="1:15" x14ac:dyDescent="0.25">
      <c r="A24910" t="s">
        <v>24923</v>
      </c>
      <c r="B24910">
        <v>363</v>
      </c>
      <c r="C24910" s="1" t="str">
        <f>HYPERLINK("http://www.rosaceae.org/gb/gbrowse/malus_x_domestica/?name=MDP0000950999","MDP0000950999")</f>
        <v>MDP0000950999</v>
      </c>
      <c r="D24910">
        <v>37.44</v>
      </c>
      <c r="E24910">
        <v>219</v>
      </c>
      <c r="F24910">
        <v>137</v>
      </c>
      <c r="G24910">
        <v>22</v>
      </c>
      <c r="H24910">
        <v>65</v>
      </c>
      <c r="I24910">
        <v>275</v>
      </c>
      <c r="J24910">
        <v>1</v>
      </c>
      <c r="K24910">
        <v>154</v>
      </c>
      <c r="L24910">
        <v>358</v>
      </c>
      <c r="M24910">
        <v>1</v>
      </c>
      <c r="N24910">
        <v>1.5982699999999999E-23</v>
      </c>
      <c r="O24910">
        <v>268</v>
      </c>
    </row>
    <row r="24911" spans="1:15" x14ac:dyDescent="0.25">
      <c r="A24911" t="s">
        <v>24924</v>
      </c>
      <c r="B24911">
        <v>176</v>
      </c>
      <c r="C24911" s="1" t="str">
        <f>HYPERLINK("http://www.rosaceae.org/gb/gbrowse/malus_x_domestica/?name=MDP0000164991","MDP0000164991")</f>
        <v>MDP0000164991</v>
      </c>
      <c r="D24911">
        <v>71.260000000000005</v>
      </c>
      <c r="E24911">
        <v>174</v>
      </c>
      <c r="F24911">
        <v>50</v>
      </c>
      <c r="G24911">
        <v>0</v>
      </c>
      <c r="H24911">
        <v>1</v>
      </c>
      <c r="I24911">
        <v>174</v>
      </c>
      <c r="J24911">
        <v>1</v>
      </c>
      <c r="K24911">
        <v>533</v>
      </c>
      <c r="L24911">
        <v>706</v>
      </c>
      <c r="M24911">
        <v>1</v>
      </c>
      <c r="N24911">
        <v>2.0204100000000001E-69</v>
      </c>
      <c r="O24911">
        <v>659</v>
      </c>
    </row>
    <row r="24912" spans="1:15" x14ac:dyDescent="0.25">
      <c r="A24912" t="s">
        <v>24925</v>
      </c>
      <c r="B24912">
        <v>401</v>
      </c>
      <c r="C24912" s="1" t="str">
        <f>HYPERLINK("http://www.rosaceae.org/gb/gbrowse/malus_x_domestica/?name=MDP0000296317","MDP0000296317")</f>
        <v>MDP0000296317</v>
      </c>
      <c r="D24912">
        <v>34.979999999999997</v>
      </c>
      <c r="E24912">
        <v>343</v>
      </c>
      <c r="F24912">
        <v>223</v>
      </c>
      <c r="G24912">
        <v>44</v>
      </c>
      <c r="H24912">
        <v>7</v>
      </c>
      <c r="I24912">
        <v>314</v>
      </c>
      <c r="J24912">
        <v>1</v>
      </c>
      <c r="K24912">
        <v>178</v>
      </c>
      <c r="L24912">
        <v>511</v>
      </c>
      <c r="M24912">
        <v>1</v>
      </c>
      <c r="N24912">
        <v>6.3826799999999994E-42</v>
      </c>
      <c r="O24912">
        <v>427</v>
      </c>
    </row>
    <row r="24913" spans="1:15" x14ac:dyDescent="0.25">
      <c r="A24913" t="s">
        <v>24926</v>
      </c>
      <c r="B24913">
        <v>243</v>
      </c>
      <c r="C24913" s="1" t="str">
        <f>HYPERLINK("http://www.rosaceae.org/gb/gbrowse/malus_x_domestica/?name=MDP0000237435","MDP0000237435")</f>
        <v>MDP0000237435</v>
      </c>
      <c r="D24913">
        <v>71.2</v>
      </c>
      <c r="E24913">
        <v>250</v>
      </c>
      <c r="F24913">
        <v>72</v>
      </c>
      <c r="G24913">
        <v>11</v>
      </c>
      <c r="H24913">
        <v>4</v>
      </c>
      <c r="I24913">
        <v>242</v>
      </c>
      <c r="J24913">
        <v>1</v>
      </c>
      <c r="K24913">
        <v>8</v>
      </c>
      <c r="L24913">
        <v>257</v>
      </c>
      <c r="M24913">
        <v>1</v>
      </c>
      <c r="N24913">
        <v>5.6107100000000002E-101</v>
      </c>
      <c r="O24913">
        <v>934</v>
      </c>
    </row>
    <row r="24914" spans="1:15" x14ac:dyDescent="0.25">
      <c r="A24914" t="s">
        <v>24927</v>
      </c>
      <c r="B24914">
        <v>199</v>
      </c>
      <c r="C24914" s="1" t="str">
        <f>HYPERLINK("http://www.rosaceae.org/gb/gbrowse/malus_x_domestica/?name=MDP0000181942","MDP0000181942")</f>
        <v>MDP0000181942</v>
      </c>
      <c r="D24914">
        <v>63.76</v>
      </c>
      <c r="E24914">
        <v>69</v>
      </c>
      <c r="F24914">
        <v>25</v>
      </c>
      <c r="G24914">
        <v>0</v>
      </c>
      <c r="H24914">
        <v>13</v>
      </c>
      <c r="I24914">
        <v>81</v>
      </c>
      <c r="J24914">
        <v>1</v>
      </c>
      <c r="K24914">
        <v>4</v>
      </c>
      <c r="L24914">
        <v>72</v>
      </c>
      <c r="M24914">
        <v>1</v>
      </c>
      <c r="N24914">
        <v>7.0479400000000004E-19</v>
      </c>
      <c r="O24914">
        <v>224</v>
      </c>
    </row>
    <row r="24915" spans="1:15" x14ac:dyDescent="0.25">
      <c r="A24915" t="s">
        <v>24928</v>
      </c>
      <c r="B24915">
        <v>1684</v>
      </c>
      <c r="C24915" s="1" t="str">
        <f>HYPERLINK("http://www.rosaceae.org/gb/gbrowse/malus_x_domestica/?name=MDP0000157771","MDP0000157771")</f>
        <v>MDP0000157771</v>
      </c>
      <c r="D24915">
        <v>72.849999999999994</v>
      </c>
      <c r="E24915">
        <v>652</v>
      </c>
      <c r="F24915">
        <v>177</v>
      </c>
      <c r="G24915">
        <v>0</v>
      </c>
      <c r="H24915">
        <v>964</v>
      </c>
      <c r="I24915">
        <v>1615</v>
      </c>
      <c r="J24915">
        <v>1</v>
      </c>
      <c r="K24915">
        <v>98</v>
      </c>
      <c r="L24915">
        <v>749</v>
      </c>
      <c r="M24915">
        <v>1</v>
      </c>
      <c r="N24915">
        <v>0</v>
      </c>
      <c r="O24915">
        <v>2501</v>
      </c>
    </row>
    <row r="24916" spans="1:15" x14ac:dyDescent="0.25">
      <c r="A24916" t="s">
        <v>24929</v>
      </c>
      <c r="B24916">
        <v>233</v>
      </c>
      <c r="C24916" s="1" t="str">
        <f>HYPERLINK("http://www.rosaceae.org/gb/gbrowse/malus_x_domestica/?name=MDP0000248540","MDP0000248540")</f>
        <v>MDP0000248540</v>
      </c>
      <c r="D24916">
        <v>78.569999999999993</v>
      </c>
      <c r="E24916">
        <v>112</v>
      </c>
      <c r="F24916">
        <v>24</v>
      </c>
      <c r="G24916">
        <v>0</v>
      </c>
      <c r="H24916">
        <v>121</v>
      </c>
      <c r="I24916">
        <v>232</v>
      </c>
      <c r="J24916">
        <v>1</v>
      </c>
      <c r="K24916">
        <v>1</v>
      </c>
      <c r="L24916">
        <v>112</v>
      </c>
      <c r="M24916">
        <v>1</v>
      </c>
      <c r="N24916">
        <v>5.3100899999999997E-49</v>
      </c>
      <c r="O24916">
        <v>485</v>
      </c>
    </row>
    <row r="24917" spans="1:15" x14ac:dyDescent="0.25">
      <c r="A24917" t="s">
        <v>24930</v>
      </c>
      <c r="B24917">
        <v>262</v>
      </c>
      <c r="C24917" s="1" t="str">
        <f>HYPERLINK("http://www.rosaceae.org/gb/gbrowse/malus_x_domestica/?name=MDP0000475073","MDP0000475073")</f>
        <v>MDP0000475073</v>
      </c>
      <c r="D24917">
        <v>75.47</v>
      </c>
      <c r="E24917">
        <v>261</v>
      </c>
      <c r="F24917">
        <v>64</v>
      </c>
      <c r="G24917">
        <v>3</v>
      </c>
      <c r="H24917">
        <v>2</v>
      </c>
      <c r="I24917">
        <v>262</v>
      </c>
      <c r="J24917">
        <v>1</v>
      </c>
      <c r="K24917">
        <v>430</v>
      </c>
      <c r="L24917">
        <v>687</v>
      </c>
      <c r="M24917">
        <v>1</v>
      </c>
      <c r="N24917">
        <v>7.1928799999999997E-109</v>
      </c>
      <c r="O24917">
        <v>1002</v>
      </c>
    </row>
    <row r="24918" spans="1:15" x14ac:dyDescent="0.25">
      <c r="A24918" t="s">
        <v>24931</v>
      </c>
      <c r="B24918">
        <v>331</v>
      </c>
      <c r="C24918" s="1" t="str">
        <f>HYPERLINK("http://www.rosaceae.org/gb/gbrowse/malus_x_domestica/?name=MDP0000170514","MDP0000170514")</f>
        <v>MDP0000170514</v>
      </c>
      <c r="D24918">
        <v>79.23</v>
      </c>
      <c r="E24918">
        <v>289</v>
      </c>
      <c r="F24918">
        <v>60</v>
      </c>
      <c r="G24918">
        <v>3</v>
      </c>
      <c r="H24918">
        <v>43</v>
      </c>
      <c r="I24918">
        <v>331</v>
      </c>
      <c r="J24918">
        <v>1</v>
      </c>
      <c r="K24918">
        <v>2</v>
      </c>
      <c r="L24918">
        <v>287</v>
      </c>
      <c r="M24918">
        <v>1</v>
      </c>
      <c r="N24918">
        <v>4.4656100000000002E-137</v>
      </c>
      <c r="O24918">
        <v>1247</v>
      </c>
    </row>
    <row r="24919" spans="1:15" x14ac:dyDescent="0.25">
      <c r="A24919" t="s">
        <v>24932</v>
      </c>
      <c r="B24919">
        <v>398</v>
      </c>
      <c r="C24919" s="1" t="str">
        <f>HYPERLINK("http://www.rosaceae.org/gb/gbrowse/malus_x_domestica/?name=MDP0000896759","MDP0000896759")</f>
        <v>MDP0000896759</v>
      </c>
      <c r="D24919">
        <v>79.55</v>
      </c>
      <c r="E24919">
        <v>401</v>
      </c>
      <c r="F24919">
        <v>82</v>
      </c>
      <c r="G24919">
        <v>5</v>
      </c>
      <c r="H24919">
        <v>1</v>
      </c>
      <c r="I24919">
        <v>398</v>
      </c>
      <c r="J24919">
        <v>1</v>
      </c>
      <c r="K24919">
        <v>1</v>
      </c>
      <c r="L24919">
        <v>399</v>
      </c>
      <c r="M24919">
        <v>1</v>
      </c>
      <c r="N24919">
        <v>0</v>
      </c>
      <c r="O24919">
        <v>1646</v>
      </c>
    </row>
    <row r="24920" spans="1:15" x14ac:dyDescent="0.25">
      <c r="A24920" t="s">
        <v>24933</v>
      </c>
      <c r="B24920">
        <v>1014</v>
      </c>
      <c r="C24920" s="1" t="str">
        <f>HYPERLINK("http://www.rosaceae.org/gb/gbrowse/malus_x_domestica/?name=MDP0000129346","MDP0000129346")</f>
        <v>MDP0000129346</v>
      </c>
      <c r="D24920">
        <v>92.03</v>
      </c>
      <c r="E24920">
        <v>402</v>
      </c>
      <c r="F24920">
        <v>32</v>
      </c>
      <c r="G24920">
        <v>0</v>
      </c>
      <c r="H24920">
        <v>613</v>
      </c>
      <c r="I24920">
        <v>1014</v>
      </c>
      <c r="J24920">
        <v>1</v>
      </c>
      <c r="K24920">
        <v>604</v>
      </c>
      <c r="L24920">
        <v>1005</v>
      </c>
      <c r="M24920">
        <v>1</v>
      </c>
      <c r="N24920">
        <v>0</v>
      </c>
      <c r="O24920">
        <v>2052</v>
      </c>
    </row>
    <row r="24921" spans="1:15" x14ac:dyDescent="0.25">
      <c r="A24921" t="s">
        <v>24934</v>
      </c>
      <c r="B24921">
        <v>296</v>
      </c>
      <c r="C24921" s="1" t="str">
        <f>HYPERLINK("http://www.rosaceae.org/gb/gbrowse/malus_x_domestica/?name=MDP0000195102","MDP0000195102")</f>
        <v>MDP0000195102</v>
      </c>
      <c r="D24921">
        <v>33.68</v>
      </c>
      <c r="E24921">
        <v>282</v>
      </c>
      <c r="F24921">
        <v>187</v>
      </c>
      <c r="G24921">
        <v>37</v>
      </c>
      <c r="H24921">
        <v>38</v>
      </c>
      <c r="I24921">
        <v>296</v>
      </c>
      <c r="J24921">
        <v>1</v>
      </c>
      <c r="K24921">
        <v>167</v>
      </c>
      <c r="L24921">
        <v>434</v>
      </c>
      <c r="M24921">
        <v>1</v>
      </c>
      <c r="N24921">
        <v>1.0791599999999999E-28</v>
      </c>
      <c r="O24921">
        <v>311</v>
      </c>
    </row>
    <row r="24922" spans="1:15" x14ac:dyDescent="0.25">
      <c r="A24922" t="s">
        <v>24935</v>
      </c>
      <c r="B24922">
        <v>385</v>
      </c>
      <c r="C24922" s="1" t="str">
        <f>HYPERLINK("http://www.rosaceae.org/gb/gbrowse/malus_x_domestica/?name=MDP0000181816","MDP0000181816")</f>
        <v>MDP0000181816</v>
      </c>
      <c r="D24922">
        <v>70.88</v>
      </c>
      <c r="E24922">
        <v>261</v>
      </c>
      <c r="F24922">
        <v>76</v>
      </c>
      <c r="G24922">
        <v>2</v>
      </c>
      <c r="H24922">
        <v>100</v>
      </c>
      <c r="I24922">
        <v>359</v>
      </c>
      <c r="J24922">
        <v>1</v>
      </c>
      <c r="K24922">
        <v>81</v>
      </c>
      <c r="L24922">
        <v>340</v>
      </c>
      <c r="M24922">
        <v>1</v>
      </c>
      <c r="N24922">
        <v>1.8285499999999999E-100</v>
      </c>
      <c r="O24922">
        <v>932</v>
      </c>
    </row>
    <row r="24923" spans="1:15" x14ac:dyDescent="0.25">
      <c r="A24923" t="s">
        <v>24936</v>
      </c>
      <c r="B24923">
        <v>401</v>
      </c>
      <c r="C24923" s="1" t="str">
        <f>HYPERLINK("http://www.rosaceae.org/gb/gbrowse/malus_x_domestica/?name=MDP0000245506","MDP0000245506")</f>
        <v>MDP0000245506</v>
      </c>
      <c r="D24923">
        <v>65.67</v>
      </c>
      <c r="E24923">
        <v>402</v>
      </c>
      <c r="F24923">
        <v>138</v>
      </c>
      <c r="G24923">
        <v>14</v>
      </c>
      <c r="H24923">
        <v>1</v>
      </c>
      <c r="I24923">
        <v>400</v>
      </c>
      <c r="J24923">
        <v>1</v>
      </c>
      <c r="K24923">
        <v>1</v>
      </c>
      <c r="L24923">
        <v>390</v>
      </c>
      <c r="M24923">
        <v>1</v>
      </c>
      <c r="N24923">
        <v>8.7369400000000004E-139</v>
      </c>
      <c r="O24923">
        <v>1262</v>
      </c>
    </row>
    <row r="24924" spans="1:15" x14ac:dyDescent="0.25">
      <c r="A24924" t="s">
        <v>24937</v>
      </c>
      <c r="B24924">
        <v>102</v>
      </c>
      <c r="C24924" s="1" t="str">
        <f>HYPERLINK("http://www.rosaceae.org/gb/gbrowse/malus_x_domestica/?name=MDP0000247921","MDP0000247921")</f>
        <v>MDP0000247921</v>
      </c>
      <c r="D24924">
        <v>40.619999999999997</v>
      </c>
      <c r="E24924">
        <v>96</v>
      </c>
      <c r="F24924">
        <v>57</v>
      </c>
      <c r="G24924">
        <v>12</v>
      </c>
      <c r="H24924">
        <v>1</v>
      </c>
      <c r="I24924">
        <v>91</v>
      </c>
      <c r="J24924">
        <v>1</v>
      </c>
      <c r="K24924">
        <v>728</v>
      </c>
      <c r="L24924">
        <v>816</v>
      </c>
      <c r="M24924">
        <v>1</v>
      </c>
      <c r="N24924">
        <v>7.7187599999999995E-13</v>
      </c>
      <c r="O24924">
        <v>168</v>
      </c>
    </row>
    <row r="24925" spans="1:15" x14ac:dyDescent="0.25">
      <c r="A24925" t="s">
        <v>24938</v>
      </c>
      <c r="B24925">
        <v>649</v>
      </c>
      <c r="C24925" s="1" t="str">
        <f>HYPERLINK("http://www.rosaceae.org/gb/gbrowse/malus_x_domestica/?name=MDP0000266067","MDP0000266067")</f>
        <v>MDP0000266067</v>
      </c>
      <c r="D24925">
        <v>38.880000000000003</v>
      </c>
      <c r="E24925">
        <v>661</v>
      </c>
      <c r="F24925">
        <v>404</v>
      </c>
      <c r="G24925">
        <v>88</v>
      </c>
      <c r="H24925">
        <v>25</v>
      </c>
      <c r="I24925">
        <v>642</v>
      </c>
      <c r="J24925">
        <v>1</v>
      </c>
      <c r="K24925">
        <v>21</v>
      </c>
      <c r="L24925">
        <v>636</v>
      </c>
      <c r="M24925">
        <v>1</v>
      </c>
      <c r="N24925">
        <v>1.0134200000000001E-99</v>
      </c>
      <c r="O24925">
        <v>928</v>
      </c>
    </row>
    <row r="24926" spans="1:15" x14ac:dyDescent="0.25">
      <c r="A24926" t="s">
        <v>24939</v>
      </c>
      <c r="B24926">
        <v>779</v>
      </c>
      <c r="C24926" s="1" t="str">
        <f>HYPERLINK("http://www.rosaceae.org/gb/gbrowse/malus_x_domestica/?name=MDP0000901389","MDP0000901389")</f>
        <v>MDP0000901389</v>
      </c>
      <c r="D24926">
        <v>67.22</v>
      </c>
      <c r="E24926">
        <v>781</v>
      </c>
      <c r="F24926">
        <v>256</v>
      </c>
      <c r="G24926">
        <v>17</v>
      </c>
      <c r="H24926">
        <v>2</v>
      </c>
      <c r="I24926">
        <v>779</v>
      </c>
      <c r="J24926">
        <v>1</v>
      </c>
      <c r="K24926">
        <v>66</v>
      </c>
      <c r="L24926">
        <v>832</v>
      </c>
      <c r="M24926">
        <v>1</v>
      </c>
      <c r="N24926">
        <v>0</v>
      </c>
      <c r="O24926">
        <v>2759</v>
      </c>
    </row>
    <row r="24927" spans="1:15" x14ac:dyDescent="0.25">
      <c r="A24927" t="s">
        <v>24940</v>
      </c>
      <c r="B24927">
        <v>335</v>
      </c>
      <c r="C24927" s="1" t="str">
        <f>HYPERLINK("http://www.rosaceae.org/gb/gbrowse/malus_x_domestica/?name=MDP0000733468","MDP0000733468")</f>
        <v>MDP0000733468</v>
      </c>
      <c r="D24927">
        <v>71.25</v>
      </c>
      <c r="E24927">
        <v>334</v>
      </c>
      <c r="F24927">
        <v>96</v>
      </c>
      <c r="G24927">
        <v>11</v>
      </c>
      <c r="H24927">
        <v>13</v>
      </c>
      <c r="I24927">
        <v>335</v>
      </c>
      <c r="J24927">
        <v>1</v>
      </c>
      <c r="K24927">
        <v>21</v>
      </c>
      <c r="L24927">
        <v>354</v>
      </c>
      <c r="M24927">
        <v>1</v>
      </c>
      <c r="N24927">
        <v>2.6276399999999999E-127</v>
      </c>
      <c r="O24927">
        <v>1162</v>
      </c>
    </row>
    <row r="24928" spans="1:15" x14ac:dyDescent="0.25">
      <c r="A24928" t="s">
        <v>24941</v>
      </c>
      <c r="B24928">
        <v>291</v>
      </c>
      <c r="C24928" s="1" t="str">
        <f>HYPERLINK("http://www.rosaceae.org/gb/gbrowse/malus_x_domestica/?name=MDP0000773485","MDP0000773485")</f>
        <v>MDP0000773485</v>
      </c>
      <c r="D24928">
        <v>86.98</v>
      </c>
      <c r="E24928">
        <v>292</v>
      </c>
      <c r="F24928">
        <v>38</v>
      </c>
      <c r="G24928">
        <v>4</v>
      </c>
      <c r="H24928">
        <v>1</v>
      </c>
      <c r="I24928">
        <v>291</v>
      </c>
      <c r="J24928">
        <v>1</v>
      </c>
      <c r="K24928">
        <v>1</v>
      </c>
      <c r="L24928">
        <v>289</v>
      </c>
      <c r="M24928">
        <v>1</v>
      </c>
      <c r="N24928">
        <v>1.0425100000000001E-143</v>
      </c>
      <c r="O24928">
        <v>1303</v>
      </c>
    </row>
    <row r="24929" spans="1:15" x14ac:dyDescent="0.25">
      <c r="A24929" t="s">
        <v>24942</v>
      </c>
      <c r="B24929">
        <v>601</v>
      </c>
      <c r="C24929" s="1" t="str">
        <f>HYPERLINK("http://www.rosaceae.org/gb/gbrowse/malus_x_domestica/?name=MDP0000163452","MDP0000163452")</f>
        <v>MDP0000163452</v>
      </c>
      <c r="D24929">
        <v>82.94</v>
      </c>
      <c r="E24929">
        <v>557</v>
      </c>
      <c r="F24929">
        <v>95</v>
      </c>
      <c r="G24929">
        <v>18</v>
      </c>
      <c r="H24929">
        <v>53</v>
      </c>
      <c r="I24929">
        <v>601</v>
      </c>
      <c r="J24929">
        <v>1</v>
      </c>
      <c r="K24929">
        <v>1</v>
      </c>
      <c r="L24929">
        <v>547</v>
      </c>
      <c r="M24929">
        <v>1</v>
      </c>
      <c r="N24929">
        <v>0</v>
      </c>
      <c r="O24929">
        <v>2460</v>
      </c>
    </row>
    <row r="24930" spans="1:15" x14ac:dyDescent="0.25">
      <c r="A24930" t="s">
        <v>24943</v>
      </c>
      <c r="B24930">
        <v>293</v>
      </c>
      <c r="C24930" s="1" t="str">
        <f>HYPERLINK("http://www.rosaceae.org/gb/gbrowse/malus_x_domestica/?name=MDP0000260251","MDP0000260251")</f>
        <v>MDP0000260251</v>
      </c>
      <c r="D24930">
        <v>49.67</v>
      </c>
      <c r="E24930">
        <v>153</v>
      </c>
      <c r="F24930">
        <v>77</v>
      </c>
      <c r="G24930">
        <v>6</v>
      </c>
      <c r="H24930">
        <v>58</v>
      </c>
      <c r="I24930">
        <v>209</v>
      </c>
      <c r="J24930">
        <v>1</v>
      </c>
      <c r="K24930">
        <v>141</v>
      </c>
      <c r="L24930">
        <v>288</v>
      </c>
      <c r="M24930">
        <v>1</v>
      </c>
      <c r="N24930">
        <v>7.8378000000000002E-42</v>
      </c>
      <c r="O24930">
        <v>425</v>
      </c>
    </row>
    <row r="24931" spans="1:15" x14ac:dyDescent="0.25">
      <c r="A24931" t="s">
        <v>24944</v>
      </c>
      <c r="B24931">
        <v>759</v>
      </c>
      <c r="C24931" s="1" t="str">
        <f>HYPERLINK("http://www.rosaceae.org/gb/gbrowse/malus_x_domestica/?name=MDP0000493284","MDP0000493284")</f>
        <v>MDP0000493284</v>
      </c>
      <c r="D24931">
        <v>65.06</v>
      </c>
      <c r="E24931">
        <v>747</v>
      </c>
      <c r="F24931">
        <v>261</v>
      </c>
      <c r="G24931">
        <v>14</v>
      </c>
      <c r="H24931">
        <v>18</v>
      </c>
      <c r="I24931">
        <v>754</v>
      </c>
      <c r="J24931">
        <v>1</v>
      </c>
      <c r="K24931">
        <v>84</v>
      </c>
      <c r="L24931">
        <v>826</v>
      </c>
      <c r="M24931">
        <v>1</v>
      </c>
      <c r="N24931">
        <v>0</v>
      </c>
      <c r="O24931">
        <v>2517</v>
      </c>
    </row>
    <row r="24932" spans="1:15" x14ac:dyDescent="0.25">
      <c r="A24932" t="s">
        <v>24945</v>
      </c>
      <c r="B24932">
        <v>239</v>
      </c>
      <c r="C24932" s="1" t="str">
        <f>HYPERLINK("http://www.rosaceae.org/gb/gbrowse/malus_x_domestica/?name=MDP0000517458","MDP0000517458")</f>
        <v>MDP0000517458</v>
      </c>
      <c r="D24932">
        <v>76.760000000000005</v>
      </c>
      <c r="E24932">
        <v>241</v>
      </c>
      <c r="F24932">
        <v>56</v>
      </c>
      <c r="G24932">
        <v>2</v>
      </c>
      <c r="H24932">
        <v>1</v>
      </c>
      <c r="I24932">
        <v>239</v>
      </c>
      <c r="J24932">
        <v>1</v>
      </c>
      <c r="K24932">
        <v>19</v>
      </c>
      <c r="L24932">
        <v>259</v>
      </c>
      <c r="M24932">
        <v>1</v>
      </c>
      <c r="N24932">
        <v>7.0153500000000004E-104</v>
      </c>
      <c r="O24932">
        <v>959</v>
      </c>
    </row>
    <row r="24933" spans="1:15" x14ac:dyDescent="0.25">
      <c r="A24933" t="s">
        <v>24946</v>
      </c>
      <c r="B24933">
        <v>284</v>
      </c>
      <c r="C24933" s="1" t="str">
        <f>HYPERLINK("http://www.rosaceae.org/gb/gbrowse/malus_x_domestica/?name=MDP0000479436","MDP0000479436")</f>
        <v>MDP0000479436</v>
      </c>
      <c r="D24933">
        <v>72.86</v>
      </c>
      <c r="E24933">
        <v>258</v>
      </c>
      <c r="F24933">
        <v>70</v>
      </c>
      <c r="G24933">
        <v>7</v>
      </c>
      <c r="H24933">
        <v>13</v>
      </c>
      <c r="I24933">
        <v>269</v>
      </c>
      <c r="J24933">
        <v>1</v>
      </c>
      <c r="K24933">
        <v>116</v>
      </c>
      <c r="L24933">
        <v>367</v>
      </c>
      <c r="M24933">
        <v>1</v>
      </c>
      <c r="N24933">
        <v>1.1511100000000001E-105</v>
      </c>
      <c r="O24933">
        <v>975</v>
      </c>
    </row>
    <row r="24934" spans="1:15" x14ac:dyDescent="0.25">
      <c r="A24934" t="s">
        <v>24947</v>
      </c>
      <c r="B24934">
        <v>323</v>
      </c>
      <c r="C24934" s="1" t="str">
        <f>HYPERLINK("http://www.rosaceae.org/gb/gbrowse/malus_x_domestica/?name=MDP0000319792","MDP0000319792")</f>
        <v>MDP0000319792</v>
      </c>
      <c r="D24934">
        <v>66.55</v>
      </c>
      <c r="E24934">
        <v>290</v>
      </c>
      <c r="F24934">
        <v>97</v>
      </c>
      <c r="G24934">
        <v>15</v>
      </c>
      <c r="H24934">
        <v>48</v>
      </c>
      <c r="I24934">
        <v>323</v>
      </c>
      <c r="J24934">
        <v>1</v>
      </c>
      <c r="K24934">
        <v>1051</v>
      </c>
      <c r="L24934">
        <v>1339</v>
      </c>
      <c r="M24934">
        <v>1</v>
      </c>
      <c r="N24934">
        <v>1.01934E-101</v>
      </c>
      <c r="O24934">
        <v>942</v>
      </c>
    </row>
    <row r="24935" spans="1:15" x14ac:dyDescent="0.25">
      <c r="A24935" t="s">
        <v>24948</v>
      </c>
      <c r="B24935">
        <v>316</v>
      </c>
      <c r="C24935" s="1" t="str">
        <f>HYPERLINK("http://www.rosaceae.org/gb/gbrowse/malus_x_domestica/?name=MDP0000160249","MDP0000160249")</f>
        <v>MDP0000160249</v>
      </c>
      <c r="D24935">
        <v>67.75</v>
      </c>
      <c r="E24935">
        <v>366</v>
      </c>
      <c r="F24935">
        <v>118</v>
      </c>
      <c r="G24935">
        <v>50</v>
      </c>
      <c r="H24935">
        <v>1</v>
      </c>
      <c r="I24935">
        <v>316</v>
      </c>
      <c r="J24935">
        <v>1</v>
      </c>
      <c r="K24935">
        <v>1</v>
      </c>
      <c r="L24935">
        <v>366</v>
      </c>
      <c r="M24935">
        <v>1</v>
      </c>
      <c r="N24935">
        <v>2.9084E-143</v>
      </c>
      <c r="O24935">
        <v>1300</v>
      </c>
    </row>
    <row r="24936" spans="1:15" x14ac:dyDescent="0.25">
      <c r="A24936" t="s">
        <v>24949</v>
      </c>
      <c r="B24936">
        <v>492</v>
      </c>
      <c r="C24936" s="1" t="str">
        <f>HYPERLINK("http://www.rosaceae.org/gb/gbrowse/malus_x_domestica/?name=MDP0000205955","MDP0000205955")</f>
        <v>MDP0000205955</v>
      </c>
      <c r="D24936">
        <v>69.27</v>
      </c>
      <c r="E24936">
        <v>179</v>
      </c>
      <c r="F24936">
        <v>55</v>
      </c>
      <c r="G24936">
        <v>13</v>
      </c>
      <c r="H24936">
        <v>130</v>
      </c>
      <c r="I24936">
        <v>300</v>
      </c>
      <c r="J24936">
        <v>1</v>
      </c>
      <c r="K24936">
        <v>57</v>
      </c>
      <c r="L24936">
        <v>230</v>
      </c>
      <c r="M24936">
        <v>1</v>
      </c>
      <c r="N24936">
        <v>1.24532E-58</v>
      </c>
      <c r="O24936">
        <v>572</v>
      </c>
    </row>
    <row r="24937" spans="1:15" x14ac:dyDescent="0.25">
      <c r="A24937" t="s">
        <v>24950</v>
      </c>
      <c r="B24937">
        <v>216</v>
      </c>
      <c r="C24937" s="1" t="str">
        <f>HYPERLINK("http://www.rosaceae.org/gb/gbrowse/malus_x_domestica/?name=MDP0000528241","MDP0000528241")</f>
        <v>MDP0000528241</v>
      </c>
      <c r="D24937">
        <v>54.79</v>
      </c>
      <c r="E24937">
        <v>219</v>
      </c>
      <c r="F24937">
        <v>99</v>
      </c>
      <c r="G24937">
        <v>30</v>
      </c>
      <c r="H24937">
        <v>1</v>
      </c>
      <c r="I24937">
        <v>203</v>
      </c>
      <c r="J24937">
        <v>1</v>
      </c>
      <c r="K24937">
        <v>1</v>
      </c>
      <c r="L24937">
        <v>205</v>
      </c>
      <c r="M24937">
        <v>1</v>
      </c>
      <c r="N24937">
        <v>3.6491499999999999E-50</v>
      </c>
      <c r="O24937">
        <v>495</v>
      </c>
    </row>
    <row r="24938" spans="1:15" x14ac:dyDescent="0.25">
      <c r="A24938" t="s">
        <v>24951</v>
      </c>
      <c r="B24938">
        <v>366</v>
      </c>
      <c r="C24938" s="1" t="str">
        <f>HYPERLINK("http://www.rosaceae.org/gb/gbrowse/malus_x_domestica/?name=MDP0000927927","MDP0000927927")</f>
        <v>MDP0000927927</v>
      </c>
      <c r="D24938">
        <v>76.209999999999994</v>
      </c>
      <c r="E24938">
        <v>349</v>
      </c>
      <c r="F24938">
        <v>83</v>
      </c>
      <c r="G24938">
        <v>3</v>
      </c>
      <c r="H24938">
        <v>18</v>
      </c>
      <c r="I24938">
        <v>366</v>
      </c>
      <c r="J24938">
        <v>1</v>
      </c>
      <c r="K24938">
        <v>22</v>
      </c>
      <c r="L24938">
        <v>367</v>
      </c>
      <c r="M24938">
        <v>1</v>
      </c>
      <c r="N24938">
        <v>1.53706E-140</v>
      </c>
      <c r="O24938">
        <v>1277</v>
      </c>
    </row>
    <row r="24939" spans="1:15" x14ac:dyDescent="0.25">
      <c r="A24939" t="s">
        <v>24952</v>
      </c>
      <c r="B24939">
        <v>299</v>
      </c>
      <c r="C24939" s="1" t="str">
        <f>HYPERLINK("http://www.rosaceae.org/gb/gbrowse/malus_x_domestica/?name=MDP0000707034","MDP0000707034")</f>
        <v>MDP0000707034</v>
      </c>
      <c r="D24939">
        <v>80.37</v>
      </c>
      <c r="E24939">
        <v>107</v>
      </c>
      <c r="F24939">
        <v>21</v>
      </c>
      <c r="G24939">
        <v>0</v>
      </c>
      <c r="H24939">
        <v>110</v>
      </c>
      <c r="I24939">
        <v>216</v>
      </c>
      <c r="J24939">
        <v>1</v>
      </c>
      <c r="K24939">
        <v>162</v>
      </c>
      <c r="L24939">
        <v>268</v>
      </c>
      <c r="M24939">
        <v>1</v>
      </c>
      <c r="N24939">
        <v>1.47349E-43</v>
      </c>
      <c r="O24939">
        <v>440</v>
      </c>
    </row>
    <row r="24940" spans="1:15" x14ac:dyDescent="0.25">
      <c r="A24940" t="s">
        <v>24953</v>
      </c>
      <c r="B24940">
        <v>364</v>
      </c>
      <c r="C24940" s="1" t="str">
        <f>HYPERLINK("http://www.rosaceae.org/gb/gbrowse/malus_x_domestica/?name=MDP0000266137","MDP0000266137")</f>
        <v>MDP0000266137</v>
      </c>
      <c r="D24940">
        <v>29.78</v>
      </c>
      <c r="E24940">
        <v>282</v>
      </c>
      <c r="F24940">
        <v>198</v>
      </c>
      <c r="G24940">
        <v>66</v>
      </c>
      <c r="H24940">
        <v>46</v>
      </c>
      <c r="I24940">
        <v>263</v>
      </c>
      <c r="J24940">
        <v>1</v>
      </c>
      <c r="K24940">
        <v>263</v>
      </c>
      <c r="L24940">
        <v>542</v>
      </c>
      <c r="M24940">
        <v>1</v>
      </c>
      <c r="N24940">
        <v>1.7576700000000001E-25</v>
      </c>
      <c r="O24940">
        <v>285</v>
      </c>
    </row>
    <row r="24941" spans="1:15" x14ac:dyDescent="0.25">
      <c r="A24941" t="s">
        <v>24954</v>
      </c>
      <c r="B24941">
        <v>837</v>
      </c>
      <c r="C24941" s="1" t="str">
        <f>HYPERLINK("http://www.rosaceae.org/gb/gbrowse/malus_x_domestica/?name=MDP0000304188","MDP0000304188")</f>
        <v>MDP0000304188</v>
      </c>
      <c r="D24941">
        <v>71.78</v>
      </c>
      <c r="E24941">
        <v>794</v>
      </c>
      <c r="F24941">
        <v>224</v>
      </c>
      <c r="G24941">
        <v>66</v>
      </c>
      <c r="H24941">
        <v>37</v>
      </c>
      <c r="I24941">
        <v>773</v>
      </c>
      <c r="J24941">
        <v>1</v>
      </c>
      <c r="K24941">
        <v>233</v>
      </c>
      <c r="L24941">
        <v>1017</v>
      </c>
      <c r="M24941">
        <v>1</v>
      </c>
      <c r="N24941">
        <v>0</v>
      </c>
      <c r="O24941">
        <v>2845</v>
      </c>
    </row>
    <row r="24942" spans="1:15" x14ac:dyDescent="0.25">
      <c r="A24942" t="s">
        <v>24955</v>
      </c>
      <c r="B24942">
        <v>123</v>
      </c>
      <c r="C24942" s="1" t="str">
        <f>HYPERLINK("http://www.rosaceae.org/gb/gbrowse/malus_x_domestica/?name=MDP0000258622","MDP0000258622")</f>
        <v>MDP0000258622</v>
      </c>
      <c r="D24942">
        <v>58.73</v>
      </c>
      <c r="E24942">
        <v>126</v>
      </c>
      <c r="F24942">
        <v>52</v>
      </c>
      <c r="G24942">
        <v>4</v>
      </c>
      <c r="H24942">
        <v>1</v>
      </c>
      <c r="I24942">
        <v>123</v>
      </c>
      <c r="J24942">
        <v>1</v>
      </c>
      <c r="K24942">
        <v>1</v>
      </c>
      <c r="L24942">
        <v>125</v>
      </c>
      <c r="M24942">
        <v>1</v>
      </c>
      <c r="N24942">
        <v>5.8187399999999999E-29</v>
      </c>
      <c r="O24942">
        <v>307</v>
      </c>
    </row>
    <row r="24943" spans="1:15" x14ac:dyDescent="0.25">
      <c r="A24943" t="s">
        <v>24956</v>
      </c>
      <c r="B24943">
        <v>2308</v>
      </c>
      <c r="C24943" s="1" t="str">
        <f>HYPERLINK("http://www.rosaceae.org/gb/gbrowse/malus_x_domestica/?name=MDP0000302137","MDP0000302137")</f>
        <v>MDP0000302137</v>
      </c>
      <c r="D24943">
        <v>65.88</v>
      </c>
      <c r="E24943">
        <v>1416</v>
      </c>
      <c r="F24943">
        <v>483</v>
      </c>
      <c r="G24943">
        <v>119</v>
      </c>
      <c r="H24943">
        <v>980</v>
      </c>
      <c r="I24943">
        <v>2294</v>
      </c>
      <c r="J24943">
        <v>1</v>
      </c>
      <c r="K24943">
        <v>519</v>
      </c>
      <c r="L24943">
        <v>1916</v>
      </c>
      <c r="M24943">
        <v>1</v>
      </c>
      <c r="N24943">
        <v>0</v>
      </c>
      <c r="O24943">
        <v>4852</v>
      </c>
    </row>
    <row r="24944" spans="1:15" x14ac:dyDescent="0.25">
      <c r="A24944" t="s">
        <v>24957</v>
      </c>
      <c r="B24944">
        <v>552</v>
      </c>
      <c r="C24944" s="1" t="str">
        <f>HYPERLINK("http://www.rosaceae.org/gb/gbrowse/malus_x_domestica/?name=MDP0000912917","MDP0000912917")</f>
        <v>MDP0000912917</v>
      </c>
      <c r="D24944">
        <v>89.42</v>
      </c>
      <c r="E24944">
        <v>416</v>
      </c>
      <c r="F24944">
        <v>44</v>
      </c>
      <c r="G24944">
        <v>2</v>
      </c>
      <c r="H24944">
        <v>1</v>
      </c>
      <c r="I24944">
        <v>415</v>
      </c>
      <c r="J24944">
        <v>1</v>
      </c>
      <c r="K24944">
        <v>1</v>
      </c>
      <c r="L24944">
        <v>415</v>
      </c>
      <c r="M24944">
        <v>1</v>
      </c>
      <c r="N24944">
        <v>0</v>
      </c>
      <c r="O24944">
        <v>2000</v>
      </c>
    </row>
    <row r="24945" spans="1:15" x14ac:dyDescent="0.25">
      <c r="A24945" t="s">
        <v>24958</v>
      </c>
      <c r="B24945">
        <v>120</v>
      </c>
      <c r="C24945" s="1" t="str">
        <f>HYPERLINK("http://www.rosaceae.org/gb/gbrowse/malus_x_domestica/?name=MDP0000302286","MDP0000302286")</f>
        <v>MDP0000302286</v>
      </c>
      <c r="D24945">
        <v>84.74</v>
      </c>
      <c r="E24945">
        <v>59</v>
      </c>
      <c r="F24945">
        <v>9</v>
      </c>
      <c r="G24945">
        <v>0</v>
      </c>
      <c r="H24945">
        <v>12</v>
      </c>
      <c r="I24945">
        <v>70</v>
      </c>
      <c r="J24945">
        <v>1</v>
      </c>
      <c r="K24945">
        <v>58</v>
      </c>
      <c r="L24945">
        <v>116</v>
      </c>
      <c r="M24945">
        <v>1</v>
      </c>
      <c r="N24945">
        <v>2.1266400000000001E-23</v>
      </c>
      <c r="O24945">
        <v>259</v>
      </c>
    </row>
    <row r="24946" spans="1:15" x14ac:dyDescent="0.25">
      <c r="A24946" t="s">
        <v>24959</v>
      </c>
      <c r="B24946">
        <v>240</v>
      </c>
      <c r="C24946" s="1" t="str">
        <f>HYPERLINK("http://www.rosaceae.org/gb/gbrowse/malus_x_domestica/?name=MDP0000292667","MDP0000292667")</f>
        <v>MDP0000292667</v>
      </c>
      <c r="D24946">
        <v>56.61</v>
      </c>
      <c r="E24946">
        <v>242</v>
      </c>
      <c r="F24946">
        <v>105</v>
      </c>
      <c r="G24946">
        <v>11</v>
      </c>
      <c r="H24946">
        <v>1</v>
      </c>
      <c r="I24946">
        <v>240</v>
      </c>
      <c r="J24946">
        <v>1</v>
      </c>
      <c r="K24946">
        <v>82</v>
      </c>
      <c r="L24946">
        <v>314</v>
      </c>
      <c r="M24946">
        <v>1</v>
      </c>
      <c r="N24946">
        <v>2.6522499999999998E-59</v>
      </c>
      <c r="O24946">
        <v>574</v>
      </c>
    </row>
    <row r="24947" spans="1:15" x14ac:dyDescent="0.25">
      <c r="A24947" t="s">
        <v>24960</v>
      </c>
      <c r="B24947">
        <v>329</v>
      </c>
      <c r="C24947" s="1" t="str">
        <f>HYPERLINK("http://www.rosaceae.org/gb/gbrowse/malus_x_domestica/?name=MDP0000569149","MDP0000569149")</f>
        <v>MDP0000569149</v>
      </c>
      <c r="D24947">
        <v>35.1</v>
      </c>
      <c r="E24947">
        <v>319</v>
      </c>
      <c r="F24947">
        <v>207</v>
      </c>
      <c r="G24947">
        <v>33</v>
      </c>
      <c r="H24947">
        <v>36</v>
      </c>
      <c r="I24947">
        <v>329</v>
      </c>
      <c r="J24947">
        <v>1</v>
      </c>
      <c r="K24947">
        <v>11</v>
      </c>
      <c r="L24947">
        <v>321</v>
      </c>
      <c r="M24947">
        <v>1</v>
      </c>
      <c r="N24947">
        <v>5.0075000000000002E-28</v>
      </c>
      <c r="O24947">
        <v>306</v>
      </c>
    </row>
    <row r="24948" spans="1:15" x14ac:dyDescent="0.25">
      <c r="A24948" t="s">
        <v>24961</v>
      </c>
      <c r="B24948">
        <v>216</v>
      </c>
      <c r="C24948" s="1" t="str">
        <f>HYPERLINK("http://www.rosaceae.org/gb/gbrowse/malus_x_domestica/?name=MDP0000872167","MDP0000872167")</f>
        <v>MDP0000872167</v>
      </c>
      <c r="D24948">
        <v>48.27</v>
      </c>
      <c r="E24948">
        <v>174</v>
      </c>
      <c r="F24948">
        <v>90</v>
      </c>
      <c r="G24948">
        <v>3</v>
      </c>
      <c r="H24948">
        <v>40</v>
      </c>
      <c r="I24948">
        <v>212</v>
      </c>
      <c r="J24948">
        <v>1</v>
      </c>
      <c r="K24948">
        <v>88</v>
      </c>
      <c r="L24948">
        <v>259</v>
      </c>
      <c r="M24948">
        <v>1</v>
      </c>
      <c r="N24948">
        <v>1.2359499999999999E-43</v>
      </c>
      <c r="O24948">
        <v>438</v>
      </c>
    </row>
    <row r="24949" spans="1:15" x14ac:dyDescent="0.25">
      <c r="A24949" t="s">
        <v>24962</v>
      </c>
      <c r="B24949">
        <v>196</v>
      </c>
      <c r="C24949" s="1" t="str">
        <f>HYPERLINK("http://www.rosaceae.org/gb/gbrowse/malus_x_domestica/?name=MDP0000298286","MDP0000298286")</f>
        <v>MDP0000298286</v>
      </c>
      <c r="D24949">
        <v>62.42</v>
      </c>
      <c r="E24949">
        <v>173</v>
      </c>
      <c r="F24949">
        <v>65</v>
      </c>
      <c r="G24949">
        <v>8</v>
      </c>
      <c r="H24949">
        <v>20</v>
      </c>
      <c r="I24949">
        <v>187</v>
      </c>
      <c r="J24949">
        <v>1</v>
      </c>
      <c r="K24949">
        <v>550</v>
      </c>
      <c r="L24949">
        <v>719</v>
      </c>
      <c r="M24949">
        <v>1</v>
      </c>
      <c r="N24949">
        <v>8.9076500000000005E-57</v>
      </c>
      <c r="O24949">
        <v>551</v>
      </c>
    </row>
    <row r="24950" spans="1:15" x14ac:dyDescent="0.25">
      <c r="A24950" t="s">
        <v>24963</v>
      </c>
      <c r="B24950">
        <v>382</v>
      </c>
      <c r="C24950" s="1" t="str">
        <f>HYPERLINK("http://www.rosaceae.org/gb/gbrowse/malus_x_domestica/?name=MDP0000269352","MDP0000269352")</f>
        <v>MDP0000269352</v>
      </c>
      <c r="D24950">
        <v>52.94</v>
      </c>
      <c r="E24950">
        <v>153</v>
      </c>
      <c r="F24950">
        <v>72</v>
      </c>
      <c r="G24950">
        <v>35</v>
      </c>
      <c r="H24950">
        <v>197</v>
      </c>
      <c r="I24950">
        <v>314</v>
      </c>
      <c r="J24950">
        <v>1</v>
      </c>
      <c r="K24950">
        <v>129</v>
      </c>
      <c r="L24950">
        <v>281</v>
      </c>
      <c r="M24950">
        <v>1</v>
      </c>
      <c r="N24950">
        <v>3.0167000000000001E-34</v>
      </c>
      <c r="O24950">
        <v>361</v>
      </c>
    </row>
    <row r="24951" spans="1:15" x14ac:dyDescent="0.25">
      <c r="A24951" t="s">
        <v>24964</v>
      </c>
      <c r="B24951">
        <v>521</v>
      </c>
      <c r="C24951" s="1" t="str">
        <f>HYPERLINK("http://www.rosaceae.org/gb/gbrowse/malus_x_domestica/?name=MDP0000067637","MDP0000067637")</f>
        <v>MDP0000067637</v>
      </c>
      <c r="D24951">
        <v>72.17</v>
      </c>
      <c r="E24951">
        <v>478</v>
      </c>
      <c r="F24951">
        <v>133</v>
      </c>
      <c r="G24951">
        <v>11</v>
      </c>
      <c r="H24951">
        <v>1</v>
      </c>
      <c r="I24951">
        <v>472</v>
      </c>
      <c r="J24951">
        <v>1</v>
      </c>
      <c r="K24951">
        <v>1</v>
      </c>
      <c r="L24951">
        <v>473</v>
      </c>
      <c r="M24951">
        <v>1</v>
      </c>
      <c r="N24951">
        <v>0</v>
      </c>
      <c r="O24951">
        <v>1730</v>
      </c>
    </row>
    <row r="24952" spans="1:15" x14ac:dyDescent="0.25">
      <c r="A24952" t="s">
        <v>24965</v>
      </c>
      <c r="B24952">
        <v>440</v>
      </c>
      <c r="C24952" s="1" t="str">
        <f>HYPERLINK("http://www.rosaceae.org/gb/gbrowse/malus_x_domestica/?name=MDP0000306656","MDP0000306656")</f>
        <v>MDP0000306656</v>
      </c>
      <c r="D24952">
        <v>51.01</v>
      </c>
      <c r="E24952">
        <v>247</v>
      </c>
      <c r="F24952">
        <v>121</v>
      </c>
      <c r="G24952">
        <v>49</v>
      </c>
      <c r="H24952">
        <v>74</v>
      </c>
      <c r="I24952">
        <v>307</v>
      </c>
      <c r="J24952">
        <v>1</v>
      </c>
      <c r="K24952">
        <v>59</v>
      </c>
      <c r="L24952">
        <v>269</v>
      </c>
      <c r="M24952">
        <v>1</v>
      </c>
      <c r="N24952">
        <v>1.12308E-51</v>
      </c>
      <c r="O24952">
        <v>512</v>
      </c>
    </row>
    <row r="24953" spans="1:15" x14ac:dyDescent="0.25">
      <c r="A24953" t="s">
        <v>24966</v>
      </c>
      <c r="B24953">
        <v>233</v>
      </c>
      <c r="C24953" s="1" t="str">
        <f>HYPERLINK("http://www.rosaceae.org/gb/gbrowse/malus_x_domestica/?name=MDP0000910523","MDP0000910523")</f>
        <v>MDP0000910523</v>
      </c>
      <c r="D24953">
        <v>75.900000000000006</v>
      </c>
      <c r="E24953">
        <v>83</v>
      </c>
      <c r="F24953">
        <v>20</v>
      </c>
      <c r="G24953">
        <v>3</v>
      </c>
      <c r="H24953">
        <v>69</v>
      </c>
      <c r="I24953">
        <v>150</v>
      </c>
      <c r="J24953">
        <v>1</v>
      </c>
      <c r="K24953">
        <v>289</v>
      </c>
      <c r="L24953">
        <v>369</v>
      </c>
      <c r="M24953">
        <v>1</v>
      </c>
      <c r="N24953">
        <v>7.1544000000000004E-28</v>
      </c>
      <c r="O24953">
        <v>303</v>
      </c>
    </row>
    <row r="24954" spans="1:15" x14ac:dyDescent="0.25">
      <c r="A24954" t="s">
        <v>24967</v>
      </c>
      <c r="B24954">
        <v>333</v>
      </c>
      <c r="C24954" s="1" t="str">
        <f>HYPERLINK("http://www.rosaceae.org/gb/gbrowse/malus_x_domestica/?name=MDP0000308372","MDP0000308372")</f>
        <v>MDP0000308372</v>
      </c>
      <c r="D24954">
        <v>53.05</v>
      </c>
      <c r="E24954">
        <v>213</v>
      </c>
      <c r="F24954">
        <v>100</v>
      </c>
      <c r="G24954">
        <v>4</v>
      </c>
      <c r="H24954">
        <v>102</v>
      </c>
      <c r="I24954">
        <v>314</v>
      </c>
      <c r="J24954">
        <v>1</v>
      </c>
      <c r="K24954">
        <v>850</v>
      </c>
      <c r="L24954">
        <v>1058</v>
      </c>
      <c r="M24954">
        <v>1</v>
      </c>
      <c r="N24954">
        <v>9.9314400000000001E-58</v>
      </c>
      <c r="O24954">
        <v>562</v>
      </c>
    </row>
    <row r="24955" spans="1:15" x14ac:dyDescent="0.25">
      <c r="A24955" t="s">
        <v>24968</v>
      </c>
      <c r="B24955">
        <v>297</v>
      </c>
      <c r="C24955" s="1" t="str">
        <f>HYPERLINK("http://www.rosaceae.org/gb/gbrowse/malus_x_domestica/?name=MDP0000288886","MDP0000288886")</f>
        <v>MDP0000288886</v>
      </c>
      <c r="D24955">
        <v>65.790000000000006</v>
      </c>
      <c r="E24955">
        <v>269</v>
      </c>
      <c r="F24955">
        <v>92</v>
      </c>
      <c r="G24955">
        <v>7</v>
      </c>
      <c r="H24955">
        <v>3</v>
      </c>
      <c r="I24955">
        <v>264</v>
      </c>
      <c r="J24955">
        <v>1</v>
      </c>
      <c r="K24955">
        <v>2</v>
      </c>
      <c r="L24955">
        <v>270</v>
      </c>
      <c r="M24955">
        <v>1</v>
      </c>
      <c r="N24955">
        <v>2.2497899999999998E-102</v>
      </c>
      <c r="O24955">
        <v>947</v>
      </c>
    </row>
    <row r="24956" spans="1:15" x14ac:dyDescent="0.25">
      <c r="A24956" t="s">
        <v>24969</v>
      </c>
      <c r="B24956">
        <v>559</v>
      </c>
      <c r="C24956" s="1" t="str">
        <f>HYPERLINK("http://www.rosaceae.org/gb/gbrowse/malus_x_domestica/?name=MDP0000436206","MDP0000436206")</f>
        <v>MDP0000436206</v>
      </c>
      <c r="D24956">
        <v>51.55</v>
      </c>
      <c r="E24956">
        <v>450</v>
      </c>
      <c r="F24956">
        <v>218</v>
      </c>
      <c r="G24956">
        <v>10</v>
      </c>
      <c r="H24956">
        <v>6</v>
      </c>
      <c r="I24956">
        <v>454</v>
      </c>
      <c r="J24956">
        <v>1</v>
      </c>
      <c r="K24956">
        <v>140</v>
      </c>
      <c r="L24956">
        <v>580</v>
      </c>
      <c r="M24956">
        <v>1</v>
      </c>
      <c r="N24956">
        <v>8.3066500000000003E-119</v>
      </c>
      <c r="O24956">
        <v>1092</v>
      </c>
    </row>
    <row r="24957" spans="1:15" x14ac:dyDescent="0.25">
      <c r="A24957" t="s">
        <v>24970</v>
      </c>
      <c r="B24957">
        <v>553</v>
      </c>
      <c r="C24957" s="1" t="str">
        <f>HYPERLINK("http://www.rosaceae.org/gb/gbrowse/malus_x_domestica/?name=MDP0000125643","MDP0000125643")</f>
        <v>MDP0000125643</v>
      </c>
      <c r="D24957">
        <v>34.44</v>
      </c>
      <c r="E24957">
        <v>209</v>
      </c>
      <c r="F24957">
        <v>137</v>
      </c>
      <c r="G24957">
        <v>46</v>
      </c>
      <c r="H24957">
        <v>1</v>
      </c>
      <c r="I24957">
        <v>165</v>
      </c>
      <c r="J24957">
        <v>1</v>
      </c>
      <c r="K24957">
        <v>830</v>
      </c>
      <c r="L24957">
        <v>1036</v>
      </c>
      <c r="M24957">
        <v>1</v>
      </c>
      <c r="N24957">
        <v>3.12589E-19</v>
      </c>
      <c r="O24957">
        <v>233</v>
      </c>
    </row>
    <row r="24958" spans="1:15" x14ac:dyDescent="0.25">
      <c r="A24958" t="s">
        <v>24971</v>
      </c>
      <c r="B24958">
        <v>651</v>
      </c>
      <c r="C24958" s="1" t="str">
        <f>HYPERLINK("http://www.rosaceae.org/gb/gbrowse/malus_x_domestica/?name=MDP0000221905","MDP0000221905")</f>
        <v>MDP0000221905</v>
      </c>
      <c r="D24958">
        <v>73.930000000000007</v>
      </c>
      <c r="E24958">
        <v>656</v>
      </c>
      <c r="F24958">
        <v>171</v>
      </c>
      <c r="G24958">
        <v>45</v>
      </c>
      <c r="H24958">
        <v>1</v>
      </c>
      <c r="I24958">
        <v>636</v>
      </c>
      <c r="J24958">
        <v>1</v>
      </c>
      <c r="K24958">
        <v>1</v>
      </c>
      <c r="L24958">
        <v>631</v>
      </c>
      <c r="M24958">
        <v>1</v>
      </c>
      <c r="N24958">
        <v>0</v>
      </c>
      <c r="O24958">
        <v>2575</v>
      </c>
    </row>
    <row r="24959" spans="1:15" x14ac:dyDescent="0.25">
      <c r="A24959" t="s">
        <v>24972</v>
      </c>
      <c r="B24959">
        <v>216</v>
      </c>
      <c r="C24959" s="1" t="str">
        <f>HYPERLINK("http://www.rosaceae.org/gb/gbrowse/malus_x_domestica/?name=MDP0000170851","MDP0000170851")</f>
        <v>MDP0000170851</v>
      </c>
      <c r="D24959">
        <v>40.549999999999997</v>
      </c>
      <c r="E24959">
        <v>217</v>
      </c>
      <c r="F24959">
        <v>129</v>
      </c>
      <c r="G24959">
        <v>46</v>
      </c>
      <c r="H24959">
        <v>16</v>
      </c>
      <c r="I24959">
        <v>210</v>
      </c>
      <c r="J24959">
        <v>1</v>
      </c>
      <c r="K24959">
        <v>206</v>
      </c>
      <c r="L24959">
        <v>398</v>
      </c>
      <c r="M24959">
        <v>1</v>
      </c>
      <c r="N24959">
        <v>2.1167799999999999E-29</v>
      </c>
      <c r="O24959">
        <v>316</v>
      </c>
    </row>
    <row r="24960" spans="1:15" x14ac:dyDescent="0.25">
      <c r="A24960" t="s">
        <v>24973</v>
      </c>
      <c r="B24960">
        <v>587</v>
      </c>
      <c r="C24960" s="1" t="str">
        <f>HYPERLINK("http://www.rosaceae.org/gb/gbrowse/malus_x_domestica/?name=MDP0000134314","MDP0000134314")</f>
        <v>MDP0000134314</v>
      </c>
      <c r="D24960">
        <v>81.92</v>
      </c>
      <c r="E24960">
        <v>592</v>
      </c>
      <c r="F24960">
        <v>107</v>
      </c>
      <c r="G24960">
        <v>7</v>
      </c>
      <c r="H24960">
        <v>1</v>
      </c>
      <c r="I24960">
        <v>587</v>
      </c>
      <c r="J24960">
        <v>1</v>
      </c>
      <c r="K24960">
        <v>19</v>
      </c>
      <c r="L24960">
        <v>608</v>
      </c>
      <c r="M24960">
        <v>1</v>
      </c>
      <c r="N24960">
        <v>0</v>
      </c>
      <c r="O24960">
        <v>2555</v>
      </c>
    </row>
    <row r="24961" spans="1:15" x14ac:dyDescent="0.25">
      <c r="A24961" t="s">
        <v>24974</v>
      </c>
      <c r="B24961">
        <v>334</v>
      </c>
      <c r="C24961" s="1" t="str">
        <f>HYPERLINK("http://www.rosaceae.org/gb/gbrowse/malus_x_domestica/?name=MDP0000463584","MDP0000463584")</f>
        <v>MDP0000463584</v>
      </c>
      <c r="D24961">
        <v>48.11</v>
      </c>
      <c r="E24961">
        <v>239</v>
      </c>
      <c r="F24961">
        <v>124</v>
      </c>
      <c r="G24961">
        <v>2</v>
      </c>
      <c r="H24961">
        <v>18</v>
      </c>
      <c r="I24961">
        <v>254</v>
      </c>
      <c r="J24961">
        <v>1</v>
      </c>
      <c r="K24961">
        <v>14</v>
      </c>
      <c r="L24961">
        <v>252</v>
      </c>
      <c r="M24961">
        <v>1</v>
      </c>
      <c r="N24961">
        <v>6.2496300000000002E-59</v>
      </c>
      <c r="O24961">
        <v>573</v>
      </c>
    </row>
    <row r="24962" spans="1:15" x14ac:dyDescent="0.25">
      <c r="A24962" t="s">
        <v>24975</v>
      </c>
      <c r="B24962">
        <v>298</v>
      </c>
      <c r="C24962" s="1" t="str">
        <f>HYPERLINK("http://www.rosaceae.org/gb/gbrowse/malus_x_domestica/?name=MDP0000275791","MDP0000275791")</f>
        <v>MDP0000275791</v>
      </c>
      <c r="D24962">
        <v>81.16</v>
      </c>
      <c r="E24962">
        <v>292</v>
      </c>
      <c r="F24962">
        <v>55</v>
      </c>
      <c r="G24962">
        <v>0</v>
      </c>
      <c r="H24962">
        <v>7</v>
      </c>
      <c r="I24962">
        <v>298</v>
      </c>
      <c r="J24962">
        <v>1</v>
      </c>
      <c r="K24962">
        <v>12</v>
      </c>
      <c r="L24962">
        <v>303</v>
      </c>
      <c r="M24962">
        <v>1</v>
      </c>
      <c r="N24962">
        <v>4.1902999999999998E-133</v>
      </c>
      <c r="O24962">
        <v>1212</v>
      </c>
    </row>
    <row r="24963" spans="1:15" x14ac:dyDescent="0.25">
      <c r="A24963" t="s">
        <v>24976</v>
      </c>
      <c r="B24963">
        <v>273</v>
      </c>
      <c r="C24963" s="1" t="str">
        <f>HYPERLINK("http://www.rosaceae.org/gb/gbrowse/malus_x_domestica/?name=MDP0000259495","MDP0000259495")</f>
        <v>MDP0000259495</v>
      </c>
      <c r="D24963">
        <v>52.27</v>
      </c>
      <c r="E24963">
        <v>264</v>
      </c>
      <c r="F24963">
        <v>126</v>
      </c>
      <c r="G24963">
        <v>28</v>
      </c>
      <c r="H24963">
        <v>1</v>
      </c>
      <c r="I24963">
        <v>254</v>
      </c>
      <c r="J24963">
        <v>1</v>
      </c>
      <c r="K24963">
        <v>1</v>
      </c>
      <c r="L24963">
        <v>246</v>
      </c>
      <c r="M24963">
        <v>1</v>
      </c>
      <c r="N24963">
        <v>7.7271100000000004E-57</v>
      </c>
      <c r="O24963">
        <v>554</v>
      </c>
    </row>
    <row r="24964" spans="1:15" x14ac:dyDescent="0.25">
      <c r="A24964" t="s">
        <v>24977</v>
      </c>
      <c r="B24964">
        <v>482</v>
      </c>
      <c r="C24964" s="1" t="str">
        <f>HYPERLINK("http://www.rosaceae.org/gb/gbrowse/malus_x_domestica/?name=MDP0000325761","MDP0000325761")</f>
        <v>MDP0000325761</v>
      </c>
      <c r="D24964">
        <v>51.76</v>
      </c>
      <c r="E24964">
        <v>425</v>
      </c>
      <c r="F24964">
        <v>205</v>
      </c>
      <c r="G24964">
        <v>1</v>
      </c>
      <c r="H24964">
        <v>53</v>
      </c>
      <c r="I24964">
        <v>476</v>
      </c>
      <c r="J24964">
        <v>1</v>
      </c>
      <c r="K24964">
        <v>47</v>
      </c>
      <c r="L24964">
        <v>471</v>
      </c>
      <c r="M24964">
        <v>1</v>
      </c>
      <c r="N24964">
        <v>1.4496999999999999E-127</v>
      </c>
      <c r="O24964">
        <v>1166</v>
      </c>
    </row>
    <row r="24965" spans="1:15" x14ac:dyDescent="0.25">
      <c r="A24965" t="s">
        <v>24978</v>
      </c>
      <c r="B24965">
        <v>382</v>
      </c>
      <c r="C24965" s="1" t="str">
        <f>HYPERLINK("http://www.rosaceae.org/gb/gbrowse/malus_x_domestica/?name=MDP0000722255","MDP0000722255")</f>
        <v>MDP0000722255</v>
      </c>
      <c r="D24965">
        <v>86.38</v>
      </c>
      <c r="E24965">
        <v>382</v>
      </c>
      <c r="F24965">
        <v>52</v>
      </c>
      <c r="G24965">
        <v>0</v>
      </c>
      <c r="H24965">
        <v>1</v>
      </c>
      <c r="I24965">
        <v>382</v>
      </c>
      <c r="J24965">
        <v>1</v>
      </c>
      <c r="K24965">
        <v>1</v>
      </c>
      <c r="L24965">
        <v>382</v>
      </c>
      <c r="M24965">
        <v>1</v>
      </c>
      <c r="N24965">
        <v>0</v>
      </c>
      <c r="O24965">
        <v>1808</v>
      </c>
    </row>
    <row r="24966" spans="1:15" x14ac:dyDescent="0.25">
      <c r="A24966" t="s">
        <v>24979</v>
      </c>
      <c r="B24966">
        <v>819</v>
      </c>
      <c r="C24966" s="1" t="str">
        <f>HYPERLINK("http://www.rosaceae.org/gb/gbrowse/malus_x_domestica/?name=MDP0000186402","MDP0000186402")</f>
        <v>MDP0000186402</v>
      </c>
      <c r="D24966">
        <v>34.35</v>
      </c>
      <c r="E24966">
        <v>131</v>
      </c>
      <c r="F24966">
        <v>86</v>
      </c>
      <c r="G24966">
        <v>5</v>
      </c>
      <c r="H24966">
        <v>245</v>
      </c>
      <c r="I24966">
        <v>370</v>
      </c>
      <c r="J24966">
        <v>1</v>
      </c>
      <c r="K24966">
        <v>183</v>
      </c>
      <c r="L24966">
        <v>313</v>
      </c>
      <c r="M24966">
        <v>1</v>
      </c>
      <c r="N24966">
        <v>5.7248599999999997E-15</v>
      </c>
      <c r="O24966">
        <v>198</v>
      </c>
    </row>
    <row r="24967" spans="1:15" x14ac:dyDescent="0.25">
      <c r="A24967" t="s">
        <v>24980</v>
      </c>
      <c r="B24967">
        <v>401</v>
      </c>
      <c r="C24967" s="1" t="str">
        <f>HYPERLINK("http://www.rosaceae.org/gb/gbrowse/malus_x_domestica/?name=MDP0000309755","MDP0000309755")</f>
        <v>MDP0000309755</v>
      </c>
      <c r="D24967">
        <v>61.53</v>
      </c>
      <c r="E24967">
        <v>325</v>
      </c>
      <c r="F24967">
        <v>125</v>
      </c>
      <c r="G24967">
        <v>14</v>
      </c>
      <c r="H24967">
        <v>1</v>
      </c>
      <c r="I24967">
        <v>317</v>
      </c>
      <c r="J24967">
        <v>1</v>
      </c>
      <c r="K24967">
        <v>8</v>
      </c>
      <c r="L24967">
        <v>326</v>
      </c>
      <c r="M24967">
        <v>1</v>
      </c>
      <c r="N24967">
        <v>2.3393900000000001E-108</v>
      </c>
      <c r="O24967">
        <v>1000</v>
      </c>
    </row>
    <row r="24968" spans="1:15" x14ac:dyDescent="0.25">
      <c r="A24968" t="s">
        <v>24981</v>
      </c>
      <c r="B24968">
        <v>929</v>
      </c>
      <c r="C24968" s="1" t="str">
        <f>HYPERLINK("http://www.rosaceae.org/gb/gbrowse/malus_x_domestica/?name=MDP0000537221","MDP0000537221")</f>
        <v>MDP0000537221</v>
      </c>
      <c r="D24968">
        <v>80.91</v>
      </c>
      <c r="E24968">
        <v>870</v>
      </c>
      <c r="F24968">
        <v>166</v>
      </c>
      <c r="G24968">
        <v>35</v>
      </c>
      <c r="H24968">
        <v>1</v>
      </c>
      <c r="I24968">
        <v>866</v>
      </c>
      <c r="J24968">
        <v>1</v>
      </c>
      <c r="K24968">
        <v>150</v>
      </c>
      <c r="L24968">
        <v>988</v>
      </c>
      <c r="M24968">
        <v>1</v>
      </c>
      <c r="N24968">
        <v>0</v>
      </c>
      <c r="O24968">
        <v>3789</v>
      </c>
    </row>
    <row r="24969" spans="1:15" x14ac:dyDescent="0.25">
      <c r="A24969" t="s">
        <v>24982</v>
      </c>
      <c r="B24969">
        <v>376</v>
      </c>
      <c r="C24969" s="1" t="str">
        <f>HYPERLINK("http://www.rosaceae.org/gb/gbrowse/malus_x_domestica/?name=MDP0000136726","MDP0000136726")</f>
        <v>MDP0000136726</v>
      </c>
      <c r="D24969">
        <v>51.81</v>
      </c>
      <c r="E24969">
        <v>193</v>
      </c>
      <c r="F24969">
        <v>93</v>
      </c>
      <c r="G24969">
        <v>13</v>
      </c>
      <c r="H24969">
        <v>45</v>
      </c>
      <c r="I24969">
        <v>225</v>
      </c>
      <c r="J24969">
        <v>1</v>
      </c>
      <c r="K24969">
        <v>23</v>
      </c>
      <c r="L24969">
        <v>214</v>
      </c>
      <c r="M24969">
        <v>1</v>
      </c>
      <c r="N24969">
        <v>1.84273E-47</v>
      </c>
      <c r="O24969">
        <v>474</v>
      </c>
    </row>
    <row r="24970" spans="1:15" x14ac:dyDescent="0.25">
      <c r="A24970" t="s">
        <v>24983</v>
      </c>
      <c r="B24970">
        <v>171</v>
      </c>
      <c r="C24970" s="1" t="str">
        <f>HYPERLINK("http://www.rosaceae.org/gb/gbrowse/malus_x_domestica/?name=MDP0000139843","MDP0000139843")</f>
        <v>MDP0000139843</v>
      </c>
      <c r="D24970">
        <v>61.11</v>
      </c>
      <c r="E24970">
        <v>108</v>
      </c>
      <c r="F24970">
        <v>42</v>
      </c>
      <c r="G24970">
        <v>0</v>
      </c>
      <c r="H24970">
        <v>64</v>
      </c>
      <c r="I24970">
        <v>171</v>
      </c>
      <c r="J24970">
        <v>1</v>
      </c>
      <c r="K24970">
        <v>14</v>
      </c>
      <c r="L24970">
        <v>121</v>
      </c>
      <c r="M24970">
        <v>1</v>
      </c>
      <c r="N24970">
        <v>1.0068499999999999E-31</v>
      </c>
      <c r="O24970">
        <v>334</v>
      </c>
    </row>
    <row r="24971" spans="1:15" x14ac:dyDescent="0.25">
      <c r="A24971" t="s">
        <v>24984</v>
      </c>
      <c r="B24971">
        <v>504</v>
      </c>
      <c r="C24971" s="1" t="str">
        <f>HYPERLINK("http://www.rosaceae.org/gb/gbrowse/malus_x_domestica/?name=MDP0000237723","MDP0000237723")</f>
        <v>MDP0000237723</v>
      </c>
      <c r="D24971">
        <v>68.010000000000005</v>
      </c>
      <c r="E24971">
        <v>494</v>
      </c>
      <c r="F24971">
        <v>158</v>
      </c>
      <c r="G24971">
        <v>48</v>
      </c>
      <c r="H24971">
        <v>37</v>
      </c>
      <c r="I24971">
        <v>497</v>
      </c>
      <c r="J24971">
        <v>1</v>
      </c>
      <c r="K24971">
        <v>10</v>
      </c>
      <c r="L24971">
        <v>488</v>
      </c>
      <c r="M24971">
        <v>1</v>
      </c>
      <c r="N24971">
        <v>1.32787E-173</v>
      </c>
      <c r="O24971">
        <v>1564</v>
      </c>
    </row>
    <row r="24972" spans="1:15" x14ac:dyDescent="0.25">
      <c r="A24972" t="s">
        <v>24985</v>
      </c>
      <c r="B24972">
        <v>300</v>
      </c>
      <c r="C24972" s="1" t="str">
        <f>HYPERLINK("http://www.rosaceae.org/gb/gbrowse/malus_x_domestica/?name=MDP0000304491","MDP0000304491")</f>
        <v>MDP0000304491</v>
      </c>
      <c r="D24972">
        <v>90.69</v>
      </c>
      <c r="E24972">
        <v>301</v>
      </c>
      <c r="F24972">
        <v>28</v>
      </c>
      <c r="G24972">
        <v>1</v>
      </c>
      <c r="H24972">
        <v>1</v>
      </c>
      <c r="I24972">
        <v>300</v>
      </c>
      <c r="J24972">
        <v>1</v>
      </c>
      <c r="K24972">
        <v>156</v>
      </c>
      <c r="L24972">
        <v>456</v>
      </c>
      <c r="M24972">
        <v>1</v>
      </c>
      <c r="N24972">
        <v>3.3510899999999999E-162</v>
      </c>
      <c r="O24972">
        <v>1463</v>
      </c>
    </row>
    <row r="24973" spans="1:15" x14ac:dyDescent="0.25">
      <c r="A24973" t="s">
        <v>24986</v>
      </c>
      <c r="B24973">
        <v>557</v>
      </c>
      <c r="C24973" s="1" t="str">
        <f>HYPERLINK("http://www.rosaceae.org/gb/gbrowse/malus_x_domestica/?name=MDP0000249740","MDP0000249740")</f>
        <v>MDP0000249740</v>
      </c>
      <c r="D24973">
        <v>75.66</v>
      </c>
      <c r="E24973">
        <v>378</v>
      </c>
      <c r="F24973">
        <v>92</v>
      </c>
      <c r="G24973">
        <v>8</v>
      </c>
      <c r="H24973">
        <v>18</v>
      </c>
      <c r="I24973">
        <v>394</v>
      </c>
      <c r="J24973">
        <v>1</v>
      </c>
      <c r="K24973">
        <v>14</v>
      </c>
      <c r="L24973">
        <v>384</v>
      </c>
      <c r="M24973">
        <v>1</v>
      </c>
      <c r="N24973">
        <v>2.2215900000000001E-163</v>
      </c>
      <c r="O24973">
        <v>1476</v>
      </c>
    </row>
    <row r="24974" spans="1:15" x14ac:dyDescent="0.25">
      <c r="A24974" t="s">
        <v>24987</v>
      </c>
      <c r="B24974">
        <v>461</v>
      </c>
      <c r="C24974" s="1" t="str">
        <f>HYPERLINK("http://www.rosaceae.org/gb/gbrowse/malus_x_domestica/?name=MDP0000148985","MDP0000148985")</f>
        <v>MDP0000148985</v>
      </c>
      <c r="D24974">
        <v>64.88</v>
      </c>
      <c r="E24974">
        <v>393</v>
      </c>
      <c r="F24974">
        <v>138</v>
      </c>
      <c r="G24974">
        <v>53</v>
      </c>
      <c r="H24974">
        <v>12</v>
      </c>
      <c r="I24974">
        <v>352</v>
      </c>
      <c r="J24974">
        <v>1</v>
      </c>
      <c r="K24974">
        <v>14</v>
      </c>
      <c r="L24974">
        <v>405</v>
      </c>
      <c r="M24974">
        <v>1</v>
      </c>
      <c r="N24974">
        <v>1.8709399999999999E-142</v>
      </c>
      <c r="O24974">
        <v>1295</v>
      </c>
    </row>
    <row r="24975" spans="1:15" x14ac:dyDescent="0.25">
      <c r="A24975" t="s">
        <v>24988</v>
      </c>
      <c r="B24975">
        <v>927</v>
      </c>
      <c r="C24975" s="1" t="str">
        <f>HYPERLINK("http://www.rosaceae.org/gb/gbrowse/malus_x_domestica/?name=MDP0000871896","MDP0000871896")</f>
        <v>MDP0000871896</v>
      </c>
      <c r="D24975">
        <v>88.16</v>
      </c>
      <c r="E24975">
        <v>355</v>
      </c>
      <c r="F24975">
        <v>42</v>
      </c>
      <c r="G24975">
        <v>0</v>
      </c>
      <c r="H24975">
        <v>572</v>
      </c>
      <c r="I24975">
        <v>926</v>
      </c>
      <c r="J24975">
        <v>1</v>
      </c>
      <c r="K24975">
        <v>22</v>
      </c>
      <c r="L24975">
        <v>376</v>
      </c>
      <c r="M24975">
        <v>1</v>
      </c>
      <c r="N24975">
        <v>0</v>
      </c>
      <c r="O24975">
        <v>1709</v>
      </c>
    </row>
    <row r="24976" spans="1:15" x14ac:dyDescent="0.25">
      <c r="A24976" t="s">
        <v>24989</v>
      </c>
      <c r="B24976">
        <v>111</v>
      </c>
      <c r="C24976" s="1" t="str">
        <f>HYPERLINK("http://www.rosaceae.org/gb/gbrowse/malus_x_domestica/?name=MDP0000325082","MDP0000325082")</f>
        <v>MDP0000325082</v>
      </c>
      <c r="D24976">
        <v>74.66</v>
      </c>
      <c r="E24976">
        <v>75</v>
      </c>
      <c r="F24976">
        <v>19</v>
      </c>
      <c r="G24976">
        <v>2</v>
      </c>
      <c r="H24976">
        <v>14</v>
      </c>
      <c r="I24976">
        <v>88</v>
      </c>
      <c r="J24976">
        <v>1</v>
      </c>
      <c r="K24976">
        <v>46</v>
      </c>
      <c r="L24976">
        <v>118</v>
      </c>
      <c r="M24976">
        <v>1</v>
      </c>
      <c r="N24976">
        <v>2.6772500000000001E-27</v>
      </c>
      <c r="O24976">
        <v>293</v>
      </c>
    </row>
    <row r="24977" spans="1:15" x14ac:dyDescent="0.25">
      <c r="A24977" t="s">
        <v>24990</v>
      </c>
      <c r="B24977">
        <v>112</v>
      </c>
      <c r="C24977" s="1" t="str">
        <f>HYPERLINK("http://www.rosaceae.org/gb/gbrowse/malus_x_domestica/?name=MDP0000231522","MDP0000231522")</f>
        <v>MDP0000231522</v>
      </c>
      <c r="D24977">
        <v>65.349999999999994</v>
      </c>
      <c r="E24977">
        <v>127</v>
      </c>
      <c r="F24977">
        <v>44</v>
      </c>
      <c r="G24977">
        <v>15</v>
      </c>
      <c r="H24977">
        <v>1</v>
      </c>
      <c r="I24977">
        <v>112</v>
      </c>
      <c r="J24977">
        <v>1</v>
      </c>
      <c r="K24977">
        <v>1</v>
      </c>
      <c r="L24977">
        <v>127</v>
      </c>
      <c r="M24977">
        <v>1</v>
      </c>
      <c r="N24977">
        <v>5.2656999999999999E-42</v>
      </c>
      <c r="O24977">
        <v>420</v>
      </c>
    </row>
    <row r="24978" spans="1:15" x14ac:dyDescent="0.25">
      <c r="A24978" t="s">
        <v>24991</v>
      </c>
      <c r="B24978">
        <v>387</v>
      </c>
      <c r="C24978" s="1" t="str">
        <f>HYPERLINK("http://www.rosaceae.org/gb/gbrowse/malus_x_domestica/?name=MDP0000169487","MDP0000169487")</f>
        <v>MDP0000169487</v>
      </c>
      <c r="D24978">
        <v>41.54</v>
      </c>
      <c r="E24978">
        <v>207</v>
      </c>
      <c r="F24978">
        <v>121</v>
      </c>
      <c r="G24978">
        <v>14</v>
      </c>
      <c r="H24978">
        <v>99</v>
      </c>
      <c r="I24978">
        <v>291</v>
      </c>
      <c r="J24978">
        <v>1</v>
      </c>
      <c r="K24978">
        <v>44</v>
      </c>
      <c r="L24978">
        <v>250</v>
      </c>
      <c r="M24978">
        <v>1</v>
      </c>
      <c r="N24978">
        <v>1.8413100000000001E-43</v>
      </c>
      <c r="O24978">
        <v>440</v>
      </c>
    </row>
    <row r="24979" spans="1:15" x14ac:dyDescent="0.25">
      <c r="A24979" t="s">
        <v>24992</v>
      </c>
      <c r="B24979">
        <v>713</v>
      </c>
      <c r="C24979" s="1" t="str">
        <f>HYPERLINK("http://www.rosaceae.org/gb/gbrowse/malus_x_domestica/?name=MDP0000269554","MDP0000269554")</f>
        <v>MDP0000269554</v>
      </c>
      <c r="D24979">
        <v>48.76</v>
      </c>
      <c r="E24979">
        <v>605</v>
      </c>
      <c r="F24979">
        <v>310</v>
      </c>
      <c r="G24979">
        <v>47</v>
      </c>
      <c r="H24979">
        <v>140</v>
      </c>
      <c r="I24979">
        <v>709</v>
      </c>
      <c r="J24979">
        <v>1</v>
      </c>
      <c r="K24979">
        <v>993</v>
      </c>
      <c r="L24979">
        <v>1585</v>
      </c>
      <c r="M24979">
        <v>1</v>
      </c>
      <c r="N24979">
        <v>1.6158600000000001E-153</v>
      </c>
      <c r="O24979">
        <v>1392</v>
      </c>
    </row>
    <row r="24980" spans="1:15" x14ac:dyDescent="0.25">
      <c r="A24980" t="s">
        <v>24993</v>
      </c>
      <c r="B24980">
        <v>160</v>
      </c>
      <c r="C24980" s="1" t="str">
        <f>HYPERLINK("http://www.rosaceae.org/gb/gbrowse/malus_x_domestica/?name=MDP0000846861","MDP0000846861")</f>
        <v>MDP0000846861</v>
      </c>
      <c r="D24980">
        <v>67.17</v>
      </c>
      <c r="E24980">
        <v>131</v>
      </c>
      <c r="F24980">
        <v>43</v>
      </c>
      <c r="G24980">
        <v>17</v>
      </c>
      <c r="H24980">
        <v>1</v>
      </c>
      <c r="I24980">
        <v>114</v>
      </c>
      <c r="J24980">
        <v>1</v>
      </c>
      <c r="K24980">
        <v>1</v>
      </c>
      <c r="L24980">
        <v>131</v>
      </c>
      <c r="M24980">
        <v>1</v>
      </c>
      <c r="N24980">
        <v>2.05756E-49</v>
      </c>
      <c r="O24980">
        <v>486</v>
      </c>
    </row>
    <row r="24981" spans="1:15" x14ac:dyDescent="0.25">
      <c r="A24981" t="s">
        <v>24994</v>
      </c>
      <c r="B24981">
        <v>202</v>
      </c>
      <c r="C24981" s="1" t="str">
        <f>HYPERLINK("http://www.rosaceae.org/gb/gbrowse/malus_x_domestica/?name=MDP0000162581","MDP0000162581")</f>
        <v>MDP0000162581</v>
      </c>
      <c r="D24981">
        <v>84.65</v>
      </c>
      <c r="E24981">
        <v>202</v>
      </c>
      <c r="F24981">
        <v>31</v>
      </c>
      <c r="G24981">
        <v>0</v>
      </c>
      <c r="H24981">
        <v>1</v>
      </c>
      <c r="I24981">
        <v>202</v>
      </c>
      <c r="J24981">
        <v>1</v>
      </c>
      <c r="K24981">
        <v>1</v>
      </c>
      <c r="L24981">
        <v>202</v>
      </c>
      <c r="M24981">
        <v>1</v>
      </c>
      <c r="N24981">
        <v>7.0868000000000001E-101</v>
      </c>
      <c r="O24981">
        <v>932</v>
      </c>
    </row>
    <row r="24982" spans="1:15" x14ac:dyDescent="0.25">
      <c r="A24982" t="s">
        <v>24995</v>
      </c>
      <c r="B24982">
        <v>361</v>
      </c>
      <c r="C24982" s="1" t="str">
        <f>HYPERLINK("http://www.rosaceae.org/gb/gbrowse/malus_x_domestica/?name=MDP0000289416","MDP0000289416")</f>
        <v>MDP0000289416</v>
      </c>
      <c r="D24982">
        <v>73.400000000000006</v>
      </c>
      <c r="E24982">
        <v>188</v>
      </c>
      <c r="F24982">
        <v>50</v>
      </c>
      <c r="G24982">
        <v>4</v>
      </c>
      <c r="H24982">
        <v>1</v>
      </c>
      <c r="I24982">
        <v>188</v>
      </c>
      <c r="J24982">
        <v>1</v>
      </c>
      <c r="K24982">
        <v>1</v>
      </c>
      <c r="L24982">
        <v>184</v>
      </c>
      <c r="M24982">
        <v>1</v>
      </c>
      <c r="N24982">
        <v>2.6197700000000001E-76</v>
      </c>
      <c r="O24982">
        <v>723</v>
      </c>
    </row>
    <row r="24983" spans="1:15" x14ac:dyDescent="0.25">
      <c r="A24983" t="s">
        <v>24996</v>
      </c>
      <c r="B24983">
        <v>295</v>
      </c>
      <c r="C24983" s="1" t="str">
        <f>HYPERLINK("http://www.rosaceae.org/gb/gbrowse/malus_x_domestica/?name=MDP0000257050","MDP0000257050")</f>
        <v>MDP0000257050</v>
      </c>
      <c r="D24983">
        <v>27.03</v>
      </c>
      <c r="E24983">
        <v>307</v>
      </c>
      <c r="F24983">
        <v>224</v>
      </c>
      <c r="G24983">
        <v>36</v>
      </c>
      <c r="H24983">
        <v>8</v>
      </c>
      <c r="I24983">
        <v>295</v>
      </c>
      <c r="J24983">
        <v>1</v>
      </c>
      <c r="K24983">
        <v>66</v>
      </c>
      <c r="L24983">
        <v>355</v>
      </c>
      <c r="M24983">
        <v>1</v>
      </c>
      <c r="N24983">
        <v>2.93465E-13</v>
      </c>
      <c r="O24983">
        <v>178</v>
      </c>
    </row>
    <row r="24984" spans="1:15" x14ac:dyDescent="0.25">
      <c r="A24984" t="s">
        <v>24997</v>
      </c>
      <c r="B24984">
        <v>99</v>
      </c>
      <c r="C24984" s="1" t="str">
        <f>HYPERLINK("http://www.rosaceae.org/gb/gbrowse/malus_x_domestica/?name=MDP0000708550","MDP0000708550")</f>
        <v>MDP0000708550</v>
      </c>
      <c r="D24984">
        <v>80.61</v>
      </c>
      <c r="E24984">
        <v>98</v>
      </c>
      <c r="F24984">
        <v>19</v>
      </c>
      <c r="G24984">
        <v>2</v>
      </c>
      <c r="H24984">
        <v>3</v>
      </c>
      <c r="I24984">
        <v>99</v>
      </c>
      <c r="J24984">
        <v>1</v>
      </c>
      <c r="K24984">
        <v>140</v>
      </c>
      <c r="L24984">
        <v>236</v>
      </c>
      <c r="M24984">
        <v>1</v>
      </c>
      <c r="N24984">
        <v>6.8044600000000001E-41</v>
      </c>
      <c r="O24984">
        <v>410</v>
      </c>
    </row>
    <row r="24985" spans="1:15" x14ac:dyDescent="0.25">
      <c r="A24985" t="s">
        <v>24998</v>
      </c>
      <c r="B24985">
        <v>322</v>
      </c>
      <c r="C24985" s="1" t="str">
        <f>HYPERLINK("http://www.rosaceae.org/gb/gbrowse/malus_x_domestica/?name=MDP0000578211","MDP0000578211")</f>
        <v>MDP0000578211</v>
      </c>
      <c r="D24985">
        <v>65.930000000000007</v>
      </c>
      <c r="E24985">
        <v>317</v>
      </c>
      <c r="F24985">
        <v>108</v>
      </c>
      <c r="G24985">
        <v>20</v>
      </c>
      <c r="H24985">
        <v>1</v>
      </c>
      <c r="I24985">
        <v>316</v>
      </c>
      <c r="J24985">
        <v>1</v>
      </c>
      <c r="K24985">
        <v>1</v>
      </c>
      <c r="L24985">
        <v>298</v>
      </c>
      <c r="M24985">
        <v>1</v>
      </c>
      <c r="N24985">
        <v>5.2591499999999996E-124</v>
      </c>
      <c r="O24985">
        <v>1134</v>
      </c>
    </row>
    <row r="24986" spans="1:15" x14ac:dyDescent="0.25">
      <c r="A24986" t="s">
        <v>24999</v>
      </c>
      <c r="B24986">
        <v>287</v>
      </c>
      <c r="C24986" s="1" t="str">
        <f>HYPERLINK("http://www.rosaceae.org/gb/gbrowse/malus_x_domestica/?name=MDP0000255781","MDP0000255781")</f>
        <v>MDP0000255781</v>
      </c>
      <c r="D24986">
        <v>46.39</v>
      </c>
      <c r="E24986">
        <v>319</v>
      </c>
      <c r="F24986">
        <v>171</v>
      </c>
      <c r="G24986">
        <v>45</v>
      </c>
      <c r="H24986">
        <v>1</v>
      </c>
      <c r="I24986">
        <v>281</v>
      </c>
      <c r="J24986">
        <v>1</v>
      </c>
      <c r="K24986">
        <v>1</v>
      </c>
      <c r="L24986">
        <v>312</v>
      </c>
      <c r="M24986">
        <v>1</v>
      </c>
      <c r="N24986">
        <v>4.9964300000000003E-48</v>
      </c>
      <c r="O24986">
        <v>478</v>
      </c>
    </row>
    <row r="24987" spans="1:15" x14ac:dyDescent="0.25">
      <c r="A24987" t="s">
        <v>25000</v>
      </c>
      <c r="B24987">
        <v>666</v>
      </c>
      <c r="C24987" s="1" t="str">
        <f>HYPERLINK("http://www.rosaceae.org/gb/gbrowse/malus_x_domestica/?name=MDP0000292294","MDP0000292294")</f>
        <v>MDP0000292294</v>
      </c>
      <c r="D24987">
        <v>64.58</v>
      </c>
      <c r="E24987">
        <v>593</v>
      </c>
      <c r="F24987">
        <v>210</v>
      </c>
      <c r="G24987">
        <v>26</v>
      </c>
      <c r="H24987">
        <v>84</v>
      </c>
      <c r="I24987">
        <v>665</v>
      </c>
      <c r="J24987">
        <v>1</v>
      </c>
      <c r="K24987">
        <v>857</v>
      </c>
      <c r="L24987">
        <v>1434</v>
      </c>
      <c r="M24987">
        <v>1</v>
      </c>
      <c r="N24987">
        <v>0</v>
      </c>
      <c r="O24987">
        <v>1953</v>
      </c>
    </row>
    <row r="24988" spans="1:15" x14ac:dyDescent="0.25">
      <c r="A24988" t="s">
        <v>25001</v>
      </c>
      <c r="B24988">
        <v>557</v>
      </c>
      <c r="C24988" s="1" t="str">
        <f>HYPERLINK("http://www.rosaceae.org/gb/gbrowse/malus_x_domestica/?name=MDP0000312731","MDP0000312731")</f>
        <v>MDP0000312731</v>
      </c>
      <c r="D24988">
        <v>64.94</v>
      </c>
      <c r="E24988">
        <v>542</v>
      </c>
      <c r="F24988">
        <v>190</v>
      </c>
      <c r="G24988">
        <v>15</v>
      </c>
      <c r="H24988">
        <v>13</v>
      </c>
      <c r="I24988">
        <v>543</v>
      </c>
      <c r="J24988">
        <v>1</v>
      </c>
      <c r="K24988">
        <v>265</v>
      </c>
      <c r="L24988">
        <v>802</v>
      </c>
      <c r="M24988">
        <v>1</v>
      </c>
      <c r="N24988">
        <v>0</v>
      </c>
      <c r="O24988">
        <v>1825</v>
      </c>
    </row>
    <row r="24989" spans="1:15" x14ac:dyDescent="0.25">
      <c r="A24989" t="s">
        <v>25002</v>
      </c>
      <c r="B24989">
        <v>350</v>
      </c>
      <c r="C24989" s="1" t="str">
        <f>HYPERLINK("http://www.rosaceae.org/gb/gbrowse/malus_x_domestica/?name=MDP0000213757","MDP0000213757")</f>
        <v>MDP0000213757</v>
      </c>
      <c r="D24989">
        <v>57.35</v>
      </c>
      <c r="E24989">
        <v>333</v>
      </c>
      <c r="F24989">
        <v>142</v>
      </c>
      <c r="G24989">
        <v>8</v>
      </c>
      <c r="H24989">
        <v>2</v>
      </c>
      <c r="I24989">
        <v>328</v>
      </c>
      <c r="J24989">
        <v>1</v>
      </c>
      <c r="K24989">
        <v>6</v>
      </c>
      <c r="L24989">
        <v>336</v>
      </c>
      <c r="M24989">
        <v>1</v>
      </c>
      <c r="N24989">
        <v>3.5205900000000001E-112</v>
      </c>
      <c r="O24989">
        <v>1032</v>
      </c>
    </row>
    <row r="24990" spans="1:15" x14ac:dyDescent="0.25">
      <c r="A24990" t="s">
        <v>25003</v>
      </c>
      <c r="B24990">
        <v>258</v>
      </c>
      <c r="C24990" s="1" t="str">
        <f>HYPERLINK("http://www.rosaceae.org/gb/gbrowse/malus_x_domestica/?name=MDP0000202507","MDP0000202507")</f>
        <v>MDP0000202507</v>
      </c>
      <c r="D24990">
        <v>55.39</v>
      </c>
      <c r="E24990">
        <v>139</v>
      </c>
      <c r="F24990">
        <v>62</v>
      </c>
      <c r="G24990">
        <v>11</v>
      </c>
      <c r="H24990">
        <v>126</v>
      </c>
      <c r="I24990">
        <v>256</v>
      </c>
      <c r="J24990">
        <v>1</v>
      </c>
      <c r="K24990">
        <v>329</v>
      </c>
      <c r="L24990">
        <v>464</v>
      </c>
      <c r="M24990">
        <v>1</v>
      </c>
      <c r="N24990">
        <v>1.7489300000000001E-36</v>
      </c>
      <c r="O24990">
        <v>378</v>
      </c>
    </row>
    <row r="24991" spans="1:15" x14ac:dyDescent="0.25">
      <c r="A24991" t="s">
        <v>25004</v>
      </c>
      <c r="B24991">
        <v>535</v>
      </c>
      <c r="C24991" s="1" t="str">
        <f>HYPERLINK("http://www.rosaceae.org/gb/gbrowse/malus_x_domestica/?name=MDP0000135954","MDP0000135954")</f>
        <v>MDP0000135954</v>
      </c>
      <c r="D24991">
        <v>83.18</v>
      </c>
      <c r="E24991">
        <v>559</v>
      </c>
      <c r="F24991">
        <v>94</v>
      </c>
      <c r="G24991">
        <v>46</v>
      </c>
      <c r="H24991">
        <v>23</v>
      </c>
      <c r="I24991">
        <v>535</v>
      </c>
      <c r="J24991">
        <v>1</v>
      </c>
      <c r="K24991">
        <v>22</v>
      </c>
      <c r="L24991">
        <v>580</v>
      </c>
      <c r="M24991">
        <v>1</v>
      </c>
      <c r="N24991">
        <v>0</v>
      </c>
      <c r="O24991">
        <v>2440</v>
      </c>
    </row>
    <row r="24992" spans="1:15" x14ac:dyDescent="0.25">
      <c r="A24992" t="s">
        <v>25005</v>
      </c>
      <c r="B24992">
        <v>380</v>
      </c>
      <c r="C24992" s="1" t="str">
        <f>HYPERLINK("http://www.rosaceae.org/gb/gbrowse/malus_x_domestica/?name=MDP0000150438","MDP0000150438")</f>
        <v>MDP0000150438</v>
      </c>
      <c r="D24992">
        <v>43.44</v>
      </c>
      <c r="E24992">
        <v>389</v>
      </c>
      <c r="F24992">
        <v>220</v>
      </c>
      <c r="G24992">
        <v>22</v>
      </c>
      <c r="H24992">
        <v>3</v>
      </c>
      <c r="I24992">
        <v>380</v>
      </c>
      <c r="J24992">
        <v>1</v>
      </c>
      <c r="K24992">
        <v>7</v>
      </c>
      <c r="L24992">
        <v>384</v>
      </c>
      <c r="M24992">
        <v>1</v>
      </c>
      <c r="N24992">
        <v>1.8356699999999999E-82</v>
      </c>
      <c r="O24992">
        <v>776</v>
      </c>
    </row>
    <row r="24993" spans="1:15" x14ac:dyDescent="0.25">
      <c r="A24993" t="s">
        <v>25006</v>
      </c>
      <c r="B24993">
        <v>108</v>
      </c>
      <c r="C24993" s="1" t="str">
        <f>HYPERLINK("http://www.rosaceae.org/gb/gbrowse/malus_x_domestica/?name=MDP0000053760","MDP0000053760")</f>
        <v>MDP0000053760</v>
      </c>
      <c r="D24993">
        <v>100</v>
      </c>
      <c r="E24993">
        <v>54</v>
      </c>
      <c r="F24993">
        <v>0</v>
      </c>
      <c r="G24993">
        <v>0</v>
      </c>
      <c r="H24993">
        <v>1</v>
      </c>
      <c r="I24993">
        <v>54</v>
      </c>
      <c r="J24993">
        <v>1</v>
      </c>
      <c r="K24993">
        <v>1</v>
      </c>
      <c r="L24993">
        <v>54</v>
      </c>
      <c r="M24993">
        <v>1</v>
      </c>
      <c r="N24993">
        <v>2.3040700000000001E-27</v>
      </c>
      <c r="O24993">
        <v>293</v>
      </c>
    </row>
    <row r="24994" spans="1:15" x14ac:dyDescent="0.25">
      <c r="A24994" t="s">
        <v>25007</v>
      </c>
      <c r="B24994">
        <v>481</v>
      </c>
      <c r="C24994" s="1" t="str">
        <f>HYPERLINK("http://www.rosaceae.org/gb/gbrowse/malus_x_domestica/?name=MDP0000205603","MDP0000205603")</f>
        <v>MDP0000205603</v>
      </c>
      <c r="D24994">
        <v>33.799999999999997</v>
      </c>
      <c r="E24994">
        <v>284</v>
      </c>
      <c r="F24994">
        <v>188</v>
      </c>
      <c r="G24994">
        <v>13</v>
      </c>
      <c r="H24994">
        <v>206</v>
      </c>
      <c r="I24994">
        <v>477</v>
      </c>
      <c r="J24994">
        <v>1</v>
      </c>
      <c r="K24994">
        <v>155</v>
      </c>
      <c r="L24994">
        <v>437</v>
      </c>
      <c r="M24994">
        <v>1</v>
      </c>
      <c r="N24994">
        <v>9.7698700000000002E-41</v>
      </c>
      <c r="O24994">
        <v>418</v>
      </c>
    </row>
    <row r="24995" spans="1:15" x14ac:dyDescent="0.25">
      <c r="A24995" t="s">
        <v>25008</v>
      </c>
      <c r="B24995">
        <v>166</v>
      </c>
      <c r="C24995" s="1" t="str">
        <f>HYPERLINK("http://www.rosaceae.org/gb/gbrowse/malus_x_domestica/?name=MDP0000207149","MDP0000207149")</f>
        <v>MDP0000207149</v>
      </c>
      <c r="D24995">
        <v>52.34</v>
      </c>
      <c r="E24995">
        <v>149</v>
      </c>
      <c r="F24995">
        <v>71</v>
      </c>
      <c r="G24995">
        <v>24</v>
      </c>
      <c r="H24995">
        <v>42</v>
      </c>
      <c r="I24995">
        <v>166</v>
      </c>
      <c r="J24995">
        <v>1</v>
      </c>
      <c r="K24995">
        <v>42</v>
      </c>
      <c r="L24995">
        <v>190</v>
      </c>
      <c r="M24995">
        <v>1</v>
      </c>
      <c r="N24995">
        <v>8.7022600000000003E-38</v>
      </c>
      <c r="O24995">
        <v>386</v>
      </c>
    </row>
    <row r="24996" spans="1:15" x14ac:dyDescent="0.25">
      <c r="A24996" t="s">
        <v>25009</v>
      </c>
      <c r="B24996">
        <v>343</v>
      </c>
      <c r="C24996" s="1" t="str">
        <f>HYPERLINK("http://www.rosaceae.org/gb/gbrowse/malus_x_domestica/?name=MDP0000648216","MDP0000648216")</f>
        <v>MDP0000648216</v>
      </c>
      <c r="D24996">
        <v>42.33</v>
      </c>
      <c r="E24996">
        <v>326</v>
      </c>
      <c r="F24996">
        <v>188</v>
      </c>
      <c r="G24996">
        <v>12</v>
      </c>
      <c r="H24996">
        <v>6</v>
      </c>
      <c r="I24996">
        <v>327</v>
      </c>
      <c r="J24996">
        <v>1</v>
      </c>
      <c r="K24996">
        <v>9</v>
      </c>
      <c r="L24996">
        <v>326</v>
      </c>
      <c r="M24996">
        <v>1</v>
      </c>
      <c r="N24996">
        <v>1.0679700000000001E-69</v>
      </c>
      <c r="O24996">
        <v>666</v>
      </c>
    </row>
    <row r="24997" spans="1:15" x14ac:dyDescent="0.25">
      <c r="A24997" t="s">
        <v>25010</v>
      </c>
      <c r="B24997">
        <v>1204</v>
      </c>
      <c r="C24997" s="1" t="str">
        <f>HYPERLINK("http://www.rosaceae.org/gb/gbrowse/malus_x_domestica/?name=MDP0000252536","MDP0000252536")</f>
        <v>MDP0000252536</v>
      </c>
      <c r="D24997">
        <v>84.43</v>
      </c>
      <c r="E24997">
        <v>482</v>
      </c>
      <c r="F24997">
        <v>75</v>
      </c>
      <c r="G24997">
        <v>2</v>
      </c>
      <c r="H24997">
        <v>19</v>
      </c>
      <c r="I24997">
        <v>500</v>
      </c>
      <c r="J24997">
        <v>1</v>
      </c>
      <c r="K24997">
        <v>20</v>
      </c>
      <c r="L24997">
        <v>499</v>
      </c>
      <c r="M24997">
        <v>1</v>
      </c>
      <c r="N24997">
        <v>0</v>
      </c>
      <c r="O24997">
        <v>2169</v>
      </c>
    </row>
    <row r="24998" spans="1:15" x14ac:dyDescent="0.25">
      <c r="A24998" t="s">
        <v>25011</v>
      </c>
      <c r="B24998">
        <v>145</v>
      </c>
      <c r="C24998" s="1" t="str">
        <f>HYPERLINK("http://www.rosaceae.org/gb/gbrowse/malus_x_domestica/?name=MDP0000250685","MDP0000250685")</f>
        <v>MDP0000250685</v>
      </c>
      <c r="D24998">
        <v>62.68</v>
      </c>
      <c r="E24998">
        <v>67</v>
      </c>
      <c r="F24998">
        <v>25</v>
      </c>
      <c r="G24998">
        <v>0</v>
      </c>
      <c r="H24998">
        <v>4</v>
      </c>
      <c r="I24998">
        <v>70</v>
      </c>
      <c r="J24998">
        <v>1</v>
      </c>
      <c r="K24998">
        <v>3</v>
      </c>
      <c r="L24998">
        <v>69</v>
      </c>
      <c r="M24998">
        <v>1</v>
      </c>
      <c r="N24998">
        <v>1.7776199999999999E-17</v>
      </c>
      <c r="O24998">
        <v>210</v>
      </c>
    </row>
    <row r="24999" spans="1:15" x14ac:dyDescent="0.25">
      <c r="A24999" t="s">
        <v>25012</v>
      </c>
      <c r="B24999">
        <v>217</v>
      </c>
      <c r="C24999" s="1" t="str">
        <f>HYPERLINK("http://www.rosaceae.org/gb/gbrowse/malus_x_domestica/?name=MDP0000124719","MDP0000124719")</f>
        <v>MDP0000124719</v>
      </c>
      <c r="D24999">
        <v>51.97</v>
      </c>
      <c r="E24999">
        <v>152</v>
      </c>
      <c r="F24999">
        <v>73</v>
      </c>
      <c r="G24999">
        <v>0</v>
      </c>
      <c r="H24999">
        <v>41</v>
      </c>
      <c r="I24999">
        <v>192</v>
      </c>
      <c r="J24999">
        <v>1</v>
      </c>
      <c r="K24999">
        <v>36</v>
      </c>
      <c r="L24999">
        <v>187</v>
      </c>
      <c r="M24999">
        <v>1</v>
      </c>
      <c r="N24999">
        <v>5.93531E-42</v>
      </c>
      <c r="O24999">
        <v>424</v>
      </c>
    </row>
    <row r="25000" spans="1:15" x14ac:dyDescent="0.25">
      <c r="A25000" t="s">
        <v>25013</v>
      </c>
      <c r="B25000">
        <v>866</v>
      </c>
      <c r="C25000" s="1" t="str">
        <f>HYPERLINK("http://www.rosaceae.org/gb/gbrowse/malus_x_domestica/?name=MDP0000264587","MDP0000264587")</f>
        <v>MDP0000264587</v>
      </c>
      <c r="D25000">
        <v>70.14</v>
      </c>
      <c r="E25000">
        <v>422</v>
      </c>
      <c r="F25000">
        <v>126</v>
      </c>
      <c r="G25000">
        <v>18</v>
      </c>
      <c r="H25000">
        <v>2</v>
      </c>
      <c r="I25000">
        <v>422</v>
      </c>
      <c r="J25000">
        <v>1</v>
      </c>
      <c r="K25000">
        <v>3</v>
      </c>
      <c r="L25000">
        <v>407</v>
      </c>
      <c r="M25000">
        <v>1</v>
      </c>
      <c r="N25000">
        <v>3.9142100000000001E-167</v>
      </c>
      <c r="O25000">
        <v>1510</v>
      </c>
    </row>
    <row r="25001" spans="1:15" x14ac:dyDescent="0.25">
      <c r="A25001" t="s">
        <v>25014</v>
      </c>
      <c r="B25001">
        <v>537</v>
      </c>
      <c r="C25001" s="1" t="str">
        <f>HYPERLINK("http://www.rosaceae.org/gb/gbrowse/malus_x_domestica/?name=MDP0000121166","MDP0000121166")</f>
        <v>MDP0000121166</v>
      </c>
      <c r="D25001">
        <v>71.739999999999995</v>
      </c>
      <c r="E25001">
        <v>545</v>
      </c>
      <c r="F25001">
        <v>154</v>
      </c>
      <c r="G25001">
        <v>20</v>
      </c>
      <c r="H25001">
        <v>1</v>
      </c>
      <c r="I25001">
        <v>534</v>
      </c>
      <c r="J25001">
        <v>1</v>
      </c>
      <c r="K25001">
        <v>1</v>
      </c>
      <c r="L25001">
        <v>536</v>
      </c>
      <c r="M25001">
        <v>1</v>
      </c>
      <c r="N25001">
        <v>0</v>
      </c>
      <c r="O25001">
        <v>1984</v>
      </c>
    </row>
    <row r="25002" spans="1:15" x14ac:dyDescent="0.25">
      <c r="A25002" t="s">
        <v>25015</v>
      </c>
      <c r="B25002">
        <v>368</v>
      </c>
      <c r="C25002" s="1" t="str">
        <f>HYPERLINK("http://www.rosaceae.org/gb/gbrowse/malus_x_domestica/?name=MDP0000272867","MDP0000272867")</f>
        <v>MDP0000272867</v>
      </c>
      <c r="D25002">
        <v>42.3</v>
      </c>
      <c r="E25002">
        <v>104</v>
      </c>
      <c r="F25002">
        <v>60</v>
      </c>
      <c r="G25002">
        <v>0</v>
      </c>
      <c r="H25002">
        <v>1</v>
      </c>
      <c r="I25002">
        <v>104</v>
      </c>
      <c r="J25002">
        <v>1</v>
      </c>
      <c r="K25002">
        <v>994</v>
      </c>
      <c r="L25002">
        <v>1097</v>
      </c>
      <c r="M25002">
        <v>1</v>
      </c>
      <c r="N25002">
        <v>1.57576E-23</v>
      </c>
      <c r="O25002">
        <v>268</v>
      </c>
    </row>
    <row r="25003" spans="1:15" x14ac:dyDescent="0.25">
      <c r="A25003" t="s">
        <v>25016</v>
      </c>
      <c r="B25003">
        <v>482</v>
      </c>
      <c r="C25003" s="1" t="str">
        <f>HYPERLINK("http://www.rosaceae.org/gb/gbrowse/malus_x_domestica/?name=MDP0000261782","MDP0000261782")</f>
        <v>MDP0000261782</v>
      </c>
      <c r="D25003">
        <v>84.02</v>
      </c>
      <c r="E25003">
        <v>482</v>
      </c>
      <c r="F25003">
        <v>77</v>
      </c>
      <c r="G25003">
        <v>1</v>
      </c>
      <c r="H25003">
        <v>1</v>
      </c>
      <c r="I25003">
        <v>482</v>
      </c>
      <c r="J25003">
        <v>1</v>
      </c>
      <c r="K25003">
        <v>1</v>
      </c>
      <c r="L25003">
        <v>481</v>
      </c>
      <c r="M25003">
        <v>1</v>
      </c>
      <c r="N25003">
        <v>0</v>
      </c>
      <c r="O25003">
        <v>2172</v>
      </c>
    </row>
    <row r="25004" spans="1:15" x14ac:dyDescent="0.25">
      <c r="A25004" t="s">
        <v>25017</v>
      </c>
      <c r="B25004">
        <v>339</v>
      </c>
      <c r="C25004" s="1" t="str">
        <f>HYPERLINK("http://www.rosaceae.org/gb/gbrowse/malus_x_domestica/?name=MDP0000256498","MDP0000256498")</f>
        <v>MDP0000256498</v>
      </c>
      <c r="D25004">
        <v>71.209999999999994</v>
      </c>
      <c r="E25004">
        <v>337</v>
      </c>
      <c r="F25004">
        <v>97</v>
      </c>
      <c r="G25004">
        <v>0</v>
      </c>
      <c r="H25004">
        <v>1</v>
      </c>
      <c r="I25004">
        <v>337</v>
      </c>
      <c r="J25004">
        <v>1</v>
      </c>
      <c r="K25004">
        <v>15</v>
      </c>
      <c r="L25004">
        <v>351</v>
      </c>
      <c r="M25004">
        <v>1</v>
      </c>
      <c r="N25004">
        <v>3.5356E-141</v>
      </c>
      <c r="O25004">
        <v>1282</v>
      </c>
    </row>
    <row r="25005" spans="1:15" x14ac:dyDescent="0.25">
      <c r="A25005" t="s">
        <v>25018</v>
      </c>
      <c r="B25005">
        <v>337</v>
      </c>
      <c r="C25005" s="1" t="str">
        <f>HYPERLINK("http://www.rosaceae.org/gb/gbrowse/malus_x_domestica/?name=MDP0000725999","MDP0000725999")</f>
        <v>MDP0000725999</v>
      </c>
      <c r="D25005">
        <v>46.42</v>
      </c>
      <c r="E25005">
        <v>196</v>
      </c>
      <c r="F25005">
        <v>105</v>
      </c>
      <c r="G25005">
        <v>50</v>
      </c>
      <c r="H25005">
        <v>142</v>
      </c>
      <c r="I25005">
        <v>337</v>
      </c>
      <c r="J25005">
        <v>1</v>
      </c>
      <c r="K25005">
        <v>162</v>
      </c>
      <c r="L25005">
        <v>307</v>
      </c>
      <c r="M25005">
        <v>1</v>
      </c>
      <c r="N25005">
        <v>1.24134E-38</v>
      </c>
      <c r="O25005">
        <v>398</v>
      </c>
    </row>
    <row r="25006" spans="1:15" x14ac:dyDescent="0.25">
      <c r="A25006" t="s">
        <v>25019</v>
      </c>
      <c r="B25006">
        <v>300</v>
      </c>
      <c r="C25006" s="1" t="str">
        <f>HYPERLINK("http://www.rosaceae.org/gb/gbrowse/malus_x_domestica/?name=MDP0000933146","MDP0000933146")</f>
        <v>MDP0000933146</v>
      </c>
      <c r="D25006">
        <v>53.94</v>
      </c>
      <c r="E25006">
        <v>152</v>
      </c>
      <c r="F25006">
        <v>70</v>
      </c>
      <c r="G25006">
        <v>16</v>
      </c>
      <c r="H25006">
        <v>39</v>
      </c>
      <c r="I25006">
        <v>190</v>
      </c>
      <c r="J25006">
        <v>1</v>
      </c>
      <c r="K25006">
        <v>24</v>
      </c>
      <c r="L25006">
        <v>159</v>
      </c>
      <c r="M25006">
        <v>1</v>
      </c>
      <c r="N25006">
        <v>9.1282200000000009E-44</v>
      </c>
      <c r="O25006">
        <v>441</v>
      </c>
    </row>
    <row r="25007" spans="1:15" x14ac:dyDescent="0.25">
      <c r="A25007" t="s">
        <v>25020</v>
      </c>
      <c r="B25007">
        <v>453</v>
      </c>
      <c r="C25007" s="1" t="str">
        <f>HYPERLINK("http://www.rosaceae.org/gb/gbrowse/malus_x_domestica/?name=MDP0000274035","MDP0000274035")</f>
        <v>MDP0000274035</v>
      </c>
      <c r="D25007">
        <v>54.06</v>
      </c>
      <c r="E25007">
        <v>344</v>
      </c>
      <c r="F25007">
        <v>158</v>
      </c>
      <c r="G25007">
        <v>29</v>
      </c>
      <c r="H25007">
        <v>130</v>
      </c>
      <c r="I25007">
        <v>452</v>
      </c>
      <c r="J25007">
        <v>1</v>
      </c>
      <c r="K25007">
        <v>138</v>
      </c>
      <c r="L25007">
        <v>473</v>
      </c>
      <c r="M25007">
        <v>1</v>
      </c>
      <c r="N25007">
        <v>7.4895699999999999E-85</v>
      </c>
      <c r="O25007">
        <v>798</v>
      </c>
    </row>
    <row r="25008" spans="1:15" x14ac:dyDescent="0.25">
      <c r="A25008" t="s">
        <v>25021</v>
      </c>
      <c r="B25008">
        <v>138</v>
      </c>
      <c r="C25008" s="1" t="str">
        <f>HYPERLINK("http://www.rosaceae.org/gb/gbrowse/malus_x_domestica/?name=MDP0000256238","MDP0000256238")</f>
        <v>MDP0000256238</v>
      </c>
      <c r="D25008">
        <v>51.31</v>
      </c>
      <c r="E25008">
        <v>76</v>
      </c>
      <c r="F25008">
        <v>37</v>
      </c>
      <c r="G25008">
        <v>6</v>
      </c>
      <c r="H25008">
        <v>68</v>
      </c>
      <c r="I25008">
        <v>137</v>
      </c>
      <c r="J25008">
        <v>1</v>
      </c>
      <c r="K25008">
        <v>383</v>
      </c>
      <c r="L25008">
        <v>458</v>
      </c>
      <c r="M25008">
        <v>1</v>
      </c>
      <c r="N25008">
        <v>1.77173E-12</v>
      </c>
      <c r="O25008">
        <v>166</v>
      </c>
    </row>
    <row r="25009" spans="1:15" x14ac:dyDescent="0.25">
      <c r="A25009" t="s">
        <v>25022</v>
      </c>
      <c r="B25009">
        <v>763</v>
      </c>
      <c r="C25009" s="1" t="str">
        <f>HYPERLINK("http://www.rosaceae.org/gb/gbrowse/malus_x_domestica/?name=MDP0000251992","MDP0000251992")</f>
        <v>MDP0000251992</v>
      </c>
      <c r="D25009">
        <v>62.21</v>
      </c>
      <c r="E25009">
        <v>622</v>
      </c>
      <c r="F25009">
        <v>235</v>
      </c>
      <c r="G25009">
        <v>46</v>
      </c>
      <c r="H25009">
        <v>29</v>
      </c>
      <c r="I25009">
        <v>650</v>
      </c>
      <c r="J25009">
        <v>1</v>
      </c>
      <c r="K25009">
        <v>66</v>
      </c>
      <c r="L25009">
        <v>641</v>
      </c>
      <c r="M25009">
        <v>1</v>
      </c>
      <c r="N25009">
        <v>0</v>
      </c>
      <c r="O25009">
        <v>1945</v>
      </c>
    </row>
    <row r="25010" spans="1:15" x14ac:dyDescent="0.25">
      <c r="A25010" t="s">
        <v>25023</v>
      </c>
      <c r="B25010">
        <v>884</v>
      </c>
      <c r="C25010" s="1" t="str">
        <f>HYPERLINK("http://www.rosaceae.org/gb/gbrowse/malus_x_domestica/?name=MDP0000257474","MDP0000257474")</f>
        <v>MDP0000257474</v>
      </c>
      <c r="D25010">
        <v>76.11</v>
      </c>
      <c r="E25010">
        <v>900</v>
      </c>
      <c r="F25010">
        <v>215</v>
      </c>
      <c r="G25010">
        <v>29</v>
      </c>
      <c r="H25010">
        <v>14</v>
      </c>
      <c r="I25010">
        <v>884</v>
      </c>
      <c r="J25010">
        <v>1</v>
      </c>
      <c r="K25010">
        <v>1</v>
      </c>
      <c r="L25010">
        <v>900</v>
      </c>
      <c r="M25010">
        <v>1</v>
      </c>
      <c r="N25010">
        <v>0</v>
      </c>
      <c r="O25010">
        <v>3655</v>
      </c>
    </row>
    <row r="25011" spans="1:15" x14ac:dyDescent="0.25">
      <c r="A25011" t="s">
        <v>25024</v>
      </c>
      <c r="B25011">
        <v>258</v>
      </c>
      <c r="C25011" s="1" t="str">
        <f>HYPERLINK("http://www.rosaceae.org/gb/gbrowse/malus_x_domestica/?name=MDP0000231709","MDP0000231709")</f>
        <v>MDP0000231709</v>
      </c>
      <c r="D25011">
        <v>65.67</v>
      </c>
      <c r="E25011">
        <v>236</v>
      </c>
      <c r="F25011">
        <v>81</v>
      </c>
      <c r="G25011">
        <v>40</v>
      </c>
      <c r="H25011">
        <v>19</v>
      </c>
      <c r="I25011">
        <v>214</v>
      </c>
      <c r="J25011">
        <v>1</v>
      </c>
      <c r="K25011">
        <v>63</v>
      </c>
      <c r="L25011">
        <v>298</v>
      </c>
      <c r="M25011">
        <v>1</v>
      </c>
      <c r="N25011">
        <v>2.99497E-80</v>
      </c>
      <c r="O25011">
        <v>755</v>
      </c>
    </row>
    <row r="25012" spans="1:15" x14ac:dyDescent="0.25">
      <c r="A25012" t="s">
        <v>25025</v>
      </c>
      <c r="B25012">
        <v>745</v>
      </c>
      <c r="C25012" s="1" t="str">
        <f>HYPERLINK("http://www.rosaceae.org/gb/gbrowse/malus_x_domestica/?name=MDP0000901389","MDP0000901389")</f>
        <v>MDP0000901389</v>
      </c>
      <c r="D25012">
        <v>60.27</v>
      </c>
      <c r="E25012">
        <v>740</v>
      </c>
      <c r="F25012">
        <v>294</v>
      </c>
      <c r="G25012">
        <v>21</v>
      </c>
      <c r="H25012">
        <v>15</v>
      </c>
      <c r="I25012">
        <v>745</v>
      </c>
      <c r="J25012">
        <v>1</v>
      </c>
      <c r="K25012">
        <v>105</v>
      </c>
      <c r="L25012">
        <v>832</v>
      </c>
      <c r="M25012">
        <v>1</v>
      </c>
      <c r="N25012">
        <v>0</v>
      </c>
      <c r="O25012">
        <v>2316</v>
      </c>
    </row>
    <row r="25013" spans="1:15" x14ac:dyDescent="0.25">
      <c r="A25013" t="s">
        <v>25026</v>
      </c>
      <c r="B25013">
        <v>182</v>
      </c>
      <c r="C25013" s="1" t="str">
        <f>HYPERLINK("http://www.rosaceae.org/gb/gbrowse/malus_x_domestica/?name=MDP0000322668","MDP0000322668")</f>
        <v>MDP0000322668</v>
      </c>
      <c r="D25013">
        <v>66.430000000000007</v>
      </c>
      <c r="E25013">
        <v>146</v>
      </c>
      <c r="F25013">
        <v>49</v>
      </c>
      <c r="G25013">
        <v>1</v>
      </c>
      <c r="H25013">
        <v>37</v>
      </c>
      <c r="I25013">
        <v>181</v>
      </c>
      <c r="J25013">
        <v>1</v>
      </c>
      <c r="K25013">
        <v>385</v>
      </c>
      <c r="L25013">
        <v>530</v>
      </c>
      <c r="M25013">
        <v>1</v>
      </c>
      <c r="N25013">
        <v>1.10149E-54</v>
      </c>
      <c r="O25013">
        <v>532</v>
      </c>
    </row>
    <row r="25014" spans="1:15" x14ac:dyDescent="0.25">
      <c r="A25014" t="s">
        <v>25027</v>
      </c>
      <c r="B25014">
        <v>932</v>
      </c>
      <c r="C25014" s="1" t="str">
        <f>HYPERLINK("http://www.rosaceae.org/gb/gbrowse/malus_x_domestica/?name=MDP0000281955","MDP0000281955")</f>
        <v>MDP0000281955</v>
      </c>
      <c r="D25014">
        <v>45.96</v>
      </c>
      <c r="E25014">
        <v>1042</v>
      </c>
      <c r="F25014">
        <v>563</v>
      </c>
      <c r="G25014">
        <v>149</v>
      </c>
      <c r="H25014">
        <v>1</v>
      </c>
      <c r="I25014">
        <v>932</v>
      </c>
      <c r="J25014">
        <v>1</v>
      </c>
      <c r="K25014">
        <v>1</v>
      </c>
      <c r="L25014">
        <v>1003</v>
      </c>
      <c r="M25014">
        <v>1</v>
      </c>
      <c r="N25014">
        <v>0</v>
      </c>
      <c r="O25014">
        <v>1832</v>
      </c>
    </row>
    <row r="25015" spans="1:15" x14ac:dyDescent="0.25">
      <c r="A25015" t="s">
        <v>25028</v>
      </c>
      <c r="B25015">
        <v>379</v>
      </c>
      <c r="C25015" s="1" t="str">
        <f>HYPERLINK("http://www.rosaceae.org/gb/gbrowse/malus_x_domestica/?name=MDP0000163453","MDP0000163453")</f>
        <v>MDP0000163453</v>
      </c>
      <c r="D25015">
        <v>41.23</v>
      </c>
      <c r="E25015">
        <v>371</v>
      </c>
      <c r="F25015">
        <v>218</v>
      </c>
      <c r="G25015">
        <v>68</v>
      </c>
      <c r="H25015">
        <v>1</v>
      </c>
      <c r="I25015">
        <v>360</v>
      </c>
      <c r="J25015">
        <v>1</v>
      </c>
      <c r="K25015">
        <v>1</v>
      </c>
      <c r="L25015">
        <v>314</v>
      </c>
      <c r="M25015">
        <v>1</v>
      </c>
      <c r="N25015">
        <v>4.7610199999999998E-63</v>
      </c>
      <c r="O25015">
        <v>609</v>
      </c>
    </row>
    <row r="25016" spans="1:15" x14ac:dyDescent="0.25">
      <c r="A25016" t="s">
        <v>25029</v>
      </c>
      <c r="B25016">
        <v>418</v>
      </c>
      <c r="C25016" s="1" t="str">
        <f>HYPERLINK("http://www.rosaceae.org/gb/gbrowse/malus_x_domestica/?name=MDP0000278586","MDP0000278586")</f>
        <v>MDP0000278586</v>
      </c>
      <c r="D25016">
        <v>75.989999999999995</v>
      </c>
      <c r="E25016">
        <v>429</v>
      </c>
      <c r="F25016">
        <v>103</v>
      </c>
      <c r="G25016">
        <v>18</v>
      </c>
      <c r="H25016">
        <v>1</v>
      </c>
      <c r="I25016">
        <v>411</v>
      </c>
      <c r="J25016">
        <v>1</v>
      </c>
      <c r="K25016">
        <v>276</v>
      </c>
      <c r="L25016">
        <v>704</v>
      </c>
      <c r="M25016">
        <v>1</v>
      </c>
      <c r="N25016">
        <v>0</v>
      </c>
      <c r="O25016">
        <v>1724</v>
      </c>
    </row>
    <row r="25017" spans="1:15" x14ac:dyDescent="0.25">
      <c r="A25017" t="s">
        <v>25030</v>
      </c>
      <c r="B25017">
        <v>871</v>
      </c>
      <c r="C25017" s="1" t="str">
        <f>HYPERLINK("http://www.rosaceae.org/gb/gbrowse/malus_x_domestica/?name=MDP0000349685","MDP0000349685")</f>
        <v>MDP0000349685</v>
      </c>
      <c r="D25017">
        <v>81.17</v>
      </c>
      <c r="E25017">
        <v>526</v>
      </c>
      <c r="F25017">
        <v>99</v>
      </c>
      <c r="G25017">
        <v>19</v>
      </c>
      <c r="H25017">
        <v>363</v>
      </c>
      <c r="I25017">
        <v>869</v>
      </c>
      <c r="J25017">
        <v>1</v>
      </c>
      <c r="K25017">
        <v>1</v>
      </c>
      <c r="L25017">
        <v>526</v>
      </c>
      <c r="M25017">
        <v>1</v>
      </c>
      <c r="N25017">
        <v>0</v>
      </c>
      <c r="O25017">
        <v>2166</v>
      </c>
    </row>
    <row r="25018" spans="1:15" x14ac:dyDescent="0.25">
      <c r="A25018" t="s">
        <v>25031</v>
      </c>
      <c r="B25018">
        <v>216</v>
      </c>
      <c r="C25018" s="1" t="str">
        <f>HYPERLINK("http://www.rosaceae.org/gb/gbrowse/malus_x_domestica/?name=MDP0000159814","MDP0000159814")</f>
        <v>MDP0000159814</v>
      </c>
      <c r="D25018">
        <v>80.09</v>
      </c>
      <c r="E25018">
        <v>216</v>
      </c>
      <c r="F25018">
        <v>43</v>
      </c>
      <c r="G25018">
        <v>0</v>
      </c>
      <c r="H25018">
        <v>1</v>
      </c>
      <c r="I25018">
        <v>216</v>
      </c>
      <c r="J25018">
        <v>1</v>
      </c>
      <c r="K25018">
        <v>1</v>
      </c>
      <c r="L25018">
        <v>216</v>
      </c>
      <c r="M25018">
        <v>1</v>
      </c>
      <c r="N25018">
        <v>6.9488500000000001E-102</v>
      </c>
      <c r="O25018">
        <v>941</v>
      </c>
    </row>
    <row r="25019" spans="1:15" x14ac:dyDescent="0.25">
      <c r="A25019" t="s">
        <v>25032</v>
      </c>
      <c r="B25019">
        <v>284</v>
      </c>
      <c r="C25019" s="1" t="str">
        <f>HYPERLINK("http://www.rosaceae.org/gb/gbrowse/malus_x_domestica/?name=MDP0000134436","MDP0000134436")</f>
        <v>MDP0000134436</v>
      </c>
      <c r="D25019">
        <v>78.11</v>
      </c>
      <c r="E25019">
        <v>233</v>
      </c>
      <c r="F25019">
        <v>51</v>
      </c>
      <c r="G25019">
        <v>7</v>
      </c>
      <c r="H25019">
        <v>1</v>
      </c>
      <c r="I25019">
        <v>227</v>
      </c>
      <c r="J25019">
        <v>1</v>
      </c>
      <c r="K25019">
        <v>1</v>
      </c>
      <c r="L25019">
        <v>232</v>
      </c>
      <c r="M25019">
        <v>1</v>
      </c>
      <c r="N25019">
        <v>8.9880600000000001E-96</v>
      </c>
      <c r="O25019">
        <v>890</v>
      </c>
    </row>
    <row r="25020" spans="1:15" x14ac:dyDescent="0.25">
      <c r="A25020" t="s">
        <v>25033</v>
      </c>
      <c r="B25020">
        <v>233</v>
      </c>
      <c r="C25020" s="1" t="str">
        <f>HYPERLINK("http://www.rosaceae.org/gb/gbrowse/malus_x_domestica/?name=MDP0000768772","MDP0000768772")</f>
        <v>MDP0000768772</v>
      </c>
      <c r="D25020">
        <v>54.73</v>
      </c>
      <c r="E25020">
        <v>95</v>
      </c>
      <c r="F25020">
        <v>43</v>
      </c>
      <c r="G25020">
        <v>7</v>
      </c>
      <c r="H25020">
        <v>75</v>
      </c>
      <c r="I25020">
        <v>162</v>
      </c>
      <c r="J25020">
        <v>1</v>
      </c>
      <c r="K25020">
        <v>60</v>
      </c>
      <c r="L25020">
        <v>154</v>
      </c>
      <c r="M25020">
        <v>1</v>
      </c>
      <c r="N25020">
        <v>3.61463E-23</v>
      </c>
      <c r="O25020">
        <v>262</v>
      </c>
    </row>
    <row r="25021" spans="1:15" x14ac:dyDescent="0.25">
      <c r="A25021" t="s">
        <v>25034</v>
      </c>
      <c r="B25021">
        <v>204</v>
      </c>
      <c r="C25021" s="1" t="str">
        <f>HYPERLINK("http://www.rosaceae.org/gb/gbrowse/malus_x_domestica/?name=MDP0000239642","MDP0000239642")</f>
        <v>MDP0000239642</v>
      </c>
      <c r="D25021">
        <v>86.43</v>
      </c>
      <c r="E25021">
        <v>199</v>
      </c>
      <c r="F25021">
        <v>27</v>
      </c>
      <c r="G25021">
        <v>0</v>
      </c>
      <c r="H25021">
        <v>1</v>
      </c>
      <c r="I25021">
        <v>199</v>
      </c>
      <c r="J25021">
        <v>1</v>
      </c>
      <c r="K25021">
        <v>55</v>
      </c>
      <c r="L25021">
        <v>253</v>
      </c>
      <c r="M25021">
        <v>1</v>
      </c>
      <c r="N25021">
        <v>8.2152800000000003E-101</v>
      </c>
      <c r="O25021">
        <v>931</v>
      </c>
    </row>
    <row r="25022" spans="1:15" x14ac:dyDescent="0.25">
      <c r="A25022" t="s">
        <v>25035</v>
      </c>
      <c r="B25022">
        <v>191</v>
      </c>
      <c r="C25022" s="1" t="str">
        <f>HYPERLINK("http://www.rosaceae.org/gb/gbrowse/malus_x_domestica/?name=MDP0000927926","MDP0000927926")</f>
        <v>MDP0000927926</v>
      </c>
      <c r="D25022">
        <v>65.45</v>
      </c>
      <c r="E25022">
        <v>220</v>
      </c>
      <c r="F25022">
        <v>76</v>
      </c>
      <c r="G25022">
        <v>35</v>
      </c>
      <c r="H25022">
        <v>4</v>
      </c>
      <c r="I25022">
        <v>188</v>
      </c>
      <c r="J25022">
        <v>1</v>
      </c>
      <c r="K25022">
        <v>179</v>
      </c>
      <c r="L25022">
        <v>398</v>
      </c>
      <c r="M25022">
        <v>1</v>
      </c>
      <c r="N25022">
        <v>1.32869E-79</v>
      </c>
      <c r="O25022">
        <v>748</v>
      </c>
    </row>
    <row r="25023" spans="1:15" x14ac:dyDescent="0.25">
      <c r="A25023" t="s">
        <v>25036</v>
      </c>
      <c r="B25023">
        <v>529</v>
      </c>
      <c r="C25023" s="1" t="str">
        <f>HYPERLINK("http://www.rosaceae.org/gb/gbrowse/malus_x_domestica/?name=MDP0000163774","MDP0000163774")</f>
        <v>MDP0000163774</v>
      </c>
      <c r="D25023">
        <v>50.7</v>
      </c>
      <c r="E25023">
        <v>71</v>
      </c>
      <c r="F25023">
        <v>35</v>
      </c>
      <c r="G25023">
        <v>1</v>
      </c>
      <c r="H25023">
        <v>198</v>
      </c>
      <c r="I25023">
        <v>268</v>
      </c>
      <c r="J25023">
        <v>1</v>
      </c>
      <c r="K25023">
        <v>86</v>
      </c>
      <c r="L25023">
        <v>155</v>
      </c>
      <c r="M25023">
        <v>1</v>
      </c>
      <c r="N25023">
        <v>1.5944999999999999E-12</v>
      </c>
      <c r="O25023">
        <v>175</v>
      </c>
    </row>
    <row r="25024" spans="1:15" x14ac:dyDescent="0.25">
      <c r="A25024" t="s">
        <v>25037</v>
      </c>
      <c r="B25024">
        <v>356</v>
      </c>
      <c r="C25024" s="1" t="str">
        <f>HYPERLINK("http://www.rosaceae.org/gb/gbrowse/malus_x_domestica/?name=MDP0000446336","MDP0000446336")</f>
        <v>MDP0000446336</v>
      </c>
      <c r="D25024">
        <v>50.27</v>
      </c>
      <c r="E25024">
        <v>179</v>
      </c>
      <c r="F25024">
        <v>89</v>
      </c>
      <c r="G25024">
        <v>16</v>
      </c>
      <c r="H25024">
        <v>181</v>
      </c>
      <c r="I25024">
        <v>353</v>
      </c>
      <c r="J25024">
        <v>1</v>
      </c>
      <c r="K25024">
        <v>163</v>
      </c>
      <c r="L25024">
        <v>331</v>
      </c>
      <c r="M25024">
        <v>1</v>
      </c>
      <c r="N25024">
        <v>3.1737600000000001E-37</v>
      </c>
      <c r="O25024">
        <v>386</v>
      </c>
    </row>
    <row r="25025" spans="1:15" x14ac:dyDescent="0.25">
      <c r="A25025" t="s">
        <v>25038</v>
      </c>
      <c r="B25025">
        <v>137</v>
      </c>
      <c r="C25025" s="1" t="str">
        <f>HYPERLINK("http://www.rosaceae.org/gb/gbrowse/malus_x_domestica/?name=MDP0000834920","MDP0000834920")</f>
        <v>MDP0000834920</v>
      </c>
      <c r="D25025">
        <v>59.28</v>
      </c>
      <c r="E25025">
        <v>140</v>
      </c>
      <c r="F25025">
        <v>57</v>
      </c>
      <c r="G25025">
        <v>8</v>
      </c>
      <c r="H25025">
        <v>3</v>
      </c>
      <c r="I25025">
        <v>137</v>
      </c>
      <c r="J25025">
        <v>1</v>
      </c>
      <c r="K25025">
        <v>2</v>
      </c>
      <c r="L25025">
        <v>138</v>
      </c>
      <c r="M25025">
        <v>1</v>
      </c>
      <c r="N25025">
        <v>9.2876699999999995E-37</v>
      </c>
      <c r="O25025">
        <v>376</v>
      </c>
    </row>
    <row r="25026" spans="1:15" x14ac:dyDescent="0.25">
      <c r="A25026" t="s">
        <v>25039</v>
      </c>
      <c r="B25026">
        <v>670</v>
      </c>
      <c r="C25026" s="1" t="str">
        <f>HYPERLINK("http://www.rosaceae.org/gb/gbrowse/malus_x_domestica/?name=MDP0000656639","MDP0000656639")</f>
        <v>MDP0000656639</v>
      </c>
      <c r="D25026">
        <v>74.23</v>
      </c>
      <c r="E25026">
        <v>683</v>
      </c>
      <c r="F25026">
        <v>176</v>
      </c>
      <c r="G25026">
        <v>39</v>
      </c>
      <c r="H25026">
        <v>1</v>
      </c>
      <c r="I25026">
        <v>670</v>
      </c>
      <c r="J25026">
        <v>1</v>
      </c>
      <c r="K25026">
        <v>1</v>
      </c>
      <c r="L25026">
        <v>657</v>
      </c>
      <c r="M25026">
        <v>1</v>
      </c>
      <c r="N25026">
        <v>0</v>
      </c>
      <c r="O25026">
        <v>2624</v>
      </c>
    </row>
    <row r="25027" spans="1:15" x14ac:dyDescent="0.25">
      <c r="A25027" t="s">
        <v>25040</v>
      </c>
      <c r="B25027">
        <v>389</v>
      </c>
      <c r="C25027" s="1" t="str">
        <f>HYPERLINK("http://www.rosaceae.org/gb/gbrowse/malus_x_domestica/?name=MDP0000303963","MDP0000303963")</f>
        <v>MDP0000303963</v>
      </c>
      <c r="D25027">
        <v>76.41</v>
      </c>
      <c r="E25027">
        <v>390</v>
      </c>
      <c r="F25027">
        <v>92</v>
      </c>
      <c r="G25027">
        <v>7</v>
      </c>
      <c r="H25027">
        <v>1</v>
      </c>
      <c r="I25027">
        <v>389</v>
      </c>
      <c r="J25027">
        <v>1</v>
      </c>
      <c r="K25027">
        <v>1</v>
      </c>
      <c r="L25027">
        <v>384</v>
      </c>
      <c r="M25027">
        <v>1</v>
      </c>
      <c r="N25027">
        <v>6.4564700000000002E-172</v>
      </c>
      <c r="O25027">
        <v>1548</v>
      </c>
    </row>
    <row r="25028" spans="1:15" x14ac:dyDescent="0.25">
      <c r="A25028" t="s">
        <v>25041</v>
      </c>
      <c r="B25028">
        <v>229</v>
      </c>
      <c r="C25028" s="1" t="str">
        <f>HYPERLINK("http://www.rosaceae.org/gb/gbrowse/malus_x_domestica/?name=MDP0000198054","MDP0000198054")</f>
        <v>MDP0000198054</v>
      </c>
      <c r="D25028">
        <v>55</v>
      </c>
      <c r="E25028">
        <v>220</v>
      </c>
      <c r="F25028">
        <v>99</v>
      </c>
      <c r="G25028">
        <v>15</v>
      </c>
      <c r="H25028">
        <v>23</v>
      </c>
      <c r="I25028">
        <v>228</v>
      </c>
      <c r="J25028">
        <v>1</v>
      </c>
      <c r="K25028">
        <v>116</v>
      </c>
      <c r="L25028">
        <v>334</v>
      </c>
      <c r="M25028">
        <v>1</v>
      </c>
      <c r="N25028">
        <v>6.2255299999999994E-57</v>
      </c>
      <c r="O25028">
        <v>553</v>
      </c>
    </row>
    <row r="25029" spans="1:15" x14ac:dyDescent="0.25">
      <c r="A25029" t="s">
        <v>25042</v>
      </c>
      <c r="B25029">
        <v>232</v>
      </c>
      <c r="C25029" s="1" t="str">
        <f>HYPERLINK("http://www.rosaceae.org/gb/gbrowse/malus_x_domestica/?name=MDP0000236418","MDP0000236418")</f>
        <v>MDP0000236418</v>
      </c>
      <c r="D25029">
        <v>72.53</v>
      </c>
      <c r="E25029">
        <v>233</v>
      </c>
      <c r="F25029">
        <v>64</v>
      </c>
      <c r="G25029">
        <v>12</v>
      </c>
      <c r="H25029">
        <v>1</v>
      </c>
      <c r="I25029">
        <v>232</v>
      </c>
      <c r="J25029">
        <v>1</v>
      </c>
      <c r="K25029">
        <v>1</v>
      </c>
      <c r="L25029">
        <v>222</v>
      </c>
      <c r="M25029">
        <v>1</v>
      </c>
      <c r="N25029">
        <v>1.89813E-89</v>
      </c>
      <c r="O25029">
        <v>834</v>
      </c>
    </row>
    <row r="25030" spans="1:15" x14ac:dyDescent="0.25">
      <c r="A25030" t="s">
        <v>25043</v>
      </c>
      <c r="B25030">
        <v>137</v>
      </c>
      <c r="C25030" s="1" t="str">
        <f>HYPERLINK("http://www.rosaceae.org/gb/gbrowse/malus_x_domestica/?name=MDP0000389902","MDP0000389902")</f>
        <v>MDP0000389902</v>
      </c>
      <c r="D25030">
        <v>49.57</v>
      </c>
      <c r="E25030">
        <v>119</v>
      </c>
      <c r="F25030">
        <v>60</v>
      </c>
      <c r="G25030">
        <v>35</v>
      </c>
      <c r="H25030">
        <v>54</v>
      </c>
      <c r="I25030">
        <v>137</v>
      </c>
      <c r="J25030">
        <v>1</v>
      </c>
      <c r="K25030">
        <v>68</v>
      </c>
      <c r="L25030">
        <v>186</v>
      </c>
      <c r="M25030">
        <v>1</v>
      </c>
      <c r="N25030">
        <v>1.3239200000000001E-22</v>
      </c>
      <c r="O25030">
        <v>254</v>
      </c>
    </row>
    <row r="25031" spans="1:15" x14ac:dyDescent="0.25">
      <c r="A25031" t="s">
        <v>25044</v>
      </c>
      <c r="B25031">
        <v>222</v>
      </c>
      <c r="C25031" s="1" t="str">
        <f>HYPERLINK("http://www.rosaceae.org/gb/gbrowse/malus_x_domestica/?name=MDP0000132282","MDP0000132282")</f>
        <v>MDP0000132282</v>
      </c>
      <c r="D25031">
        <v>40.22</v>
      </c>
      <c r="E25031">
        <v>179</v>
      </c>
      <c r="F25031">
        <v>107</v>
      </c>
      <c r="G25031">
        <v>40</v>
      </c>
      <c r="H25031">
        <v>1</v>
      </c>
      <c r="I25031">
        <v>166</v>
      </c>
      <c r="J25031">
        <v>1</v>
      </c>
      <c r="K25031">
        <v>1</v>
      </c>
      <c r="L25031">
        <v>152</v>
      </c>
      <c r="M25031">
        <v>1</v>
      </c>
      <c r="N25031">
        <v>4.8740400000000001E-18</v>
      </c>
      <c r="O25031">
        <v>218</v>
      </c>
    </row>
    <row r="25032" spans="1:15" x14ac:dyDescent="0.25">
      <c r="A25032" t="s">
        <v>25045</v>
      </c>
      <c r="B25032">
        <v>438</v>
      </c>
      <c r="C25032" s="1" t="str">
        <f>HYPERLINK("http://www.rosaceae.org/gb/gbrowse/malus_x_domestica/?name=MDP0000292667","MDP0000292667")</f>
        <v>MDP0000292667</v>
      </c>
      <c r="D25032">
        <v>67.099999999999994</v>
      </c>
      <c r="E25032">
        <v>383</v>
      </c>
      <c r="F25032">
        <v>126</v>
      </c>
      <c r="G25032">
        <v>46</v>
      </c>
      <c r="H25032">
        <v>38</v>
      </c>
      <c r="I25032">
        <v>417</v>
      </c>
      <c r="J25032">
        <v>1</v>
      </c>
      <c r="K25032">
        <v>719</v>
      </c>
      <c r="L25032">
        <v>1058</v>
      </c>
      <c r="M25032">
        <v>1</v>
      </c>
      <c r="N25032">
        <v>2.5440100000000002E-140</v>
      </c>
      <c r="O25032">
        <v>1276</v>
      </c>
    </row>
    <row r="25033" spans="1:15" x14ac:dyDescent="0.25">
      <c r="A25033" t="s">
        <v>25046</v>
      </c>
      <c r="B25033">
        <v>227</v>
      </c>
      <c r="C25033" s="1" t="str">
        <f>HYPERLINK("http://www.rosaceae.org/gb/gbrowse/malus_x_domestica/?name=MDP0000320775","MDP0000320775")</f>
        <v>MDP0000320775</v>
      </c>
      <c r="D25033">
        <v>52.58</v>
      </c>
      <c r="E25033">
        <v>213</v>
      </c>
      <c r="F25033">
        <v>101</v>
      </c>
      <c r="G25033">
        <v>56</v>
      </c>
      <c r="H25033">
        <v>61</v>
      </c>
      <c r="I25033">
        <v>217</v>
      </c>
      <c r="J25033">
        <v>1</v>
      </c>
      <c r="K25033">
        <v>51</v>
      </c>
      <c r="L25033">
        <v>263</v>
      </c>
      <c r="M25033">
        <v>1</v>
      </c>
      <c r="N25033">
        <v>2.5316900000000001E-56</v>
      </c>
      <c r="O25033">
        <v>548</v>
      </c>
    </row>
    <row r="25034" spans="1:15" x14ac:dyDescent="0.25">
      <c r="A25034" t="s">
        <v>25047</v>
      </c>
      <c r="B25034">
        <v>380</v>
      </c>
      <c r="C25034" s="1" t="str">
        <f>HYPERLINK("http://www.rosaceae.org/gb/gbrowse/malus_x_domestica/?name=MDP0000240313","MDP0000240313")</f>
        <v>MDP0000240313</v>
      </c>
      <c r="D25034">
        <v>76.03</v>
      </c>
      <c r="E25034">
        <v>363</v>
      </c>
      <c r="F25034">
        <v>87</v>
      </c>
      <c r="G25034">
        <v>7</v>
      </c>
      <c r="H25034">
        <v>12</v>
      </c>
      <c r="I25034">
        <v>371</v>
      </c>
      <c r="J25034">
        <v>1</v>
      </c>
      <c r="K25034">
        <v>27</v>
      </c>
      <c r="L25034">
        <v>385</v>
      </c>
      <c r="M25034">
        <v>1</v>
      </c>
      <c r="N25034">
        <v>1.84225E-156</v>
      </c>
      <c r="O25034">
        <v>1414</v>
      </c>
    </row>
    <row r="25035" spans="1:15" x14ac:dyDescent="0.25">
      <c r="A25035" t="s">
        <v>25048</v>
      </c>
      <c r="B25035">
        <v>460</v>
      </c>
      <c r="C25035" s="1" t="str">
        <f>HYPERLINK("http://www.rosaceae.org/gb/gbrowse/malus_x_domestica/?name=MDP0000467241","MDP0000467241")</f>
        <v>MDP0000467241</v>
      </c>
      <c r="D25035">
        <v>51.67</v>
      </c>
      <c r="E25035">
        <v>209</v>
      </c>
      <c r="F25035">
        <v>101</v>
      </c>
      <c r="G25035">
        <v>35</v>
      </c>
      <c r="H25035">
        <v>69</v>
      </c>
      <c r="I25035">
        <v>252</v>
      </c>
      <c r="J25035">
        <v>1</v>
      </c>
      <c r="K25035">
        <v>51</v>
      </c>
      <c r="L25035">
        <v>249</v>
      </c>
      <c r="M25035">
        <v>1</v>
      </c>
      <c r="N25035">
        <v>7.6376399999999998E-29</v>
      </c>
      <c r="O25035">
        <v>315</v>
      </c>
    </row>
    <row r="25036" spans="1:15" x14ac:dyDescent="0.25">
      <c r="A25036" t="s">
        <v>25049</v>
      </c>
      <c r="B25036">
        <v>271</v>
      </c>
      <c r="C25036" s="1" t="str">
        <f>HYPERLINK("http://www.rosaceae.org/gb/gbrowse/malus_x_domestica/?name=MDP0000193366","MDP0000193366")</f>
        <v>MDP0000193366</v>
      </c>
      <c r="D25036">
        <v>63.44</v>
      </c>
      <c r="E25036">
        <v>93</v>
      </c>
      <c r="F25036">
        <v>34</v>
      </c>
      <c r="G25036">
        <v>4</v>
      </c>
      <c r="H25036">
        <v>3</v>
      </c>
      <c r="I25036">
        <v>91</v>
      </c>
      <c r="J25036">
        <v>1</v>
      </c>
      <c r="K25036">
        <v>83</v>
      </c>
      <c r="L25036">
        <v>175</v>
      </c>
      <c r="M25036">
        <v>1</v>
      </c>
      <c r="N25036">
        <v>1.12105E-27</v>
      </c>
      <c r="O25036">
        <v>302</v>
      </c>
    </row>
    <row r="25037" spans="1:15" x14ac:dyDescent="0.25">
      <c r="A25037" t="s">
        <v>25050</v>
      </c>
      <c r="B25037">
        <v>578</v>
      </c>
      <c r="C25037" s="1" t="str">
        <f>HYPERLINK("http://www.rosaceae.org/gb/gbrowse/malus_x_domestica/?name=MDP0000183891","MDP0000183891")</f>
        <v>MDP0000183891</v>
      </c>
      <c r="D25037">
        <v>78.239999999999995</v>
      </c>
      <c r="E25037">
        <v>547</v>
      </c>
      <c r="F25037">
        <v>119</v>
      </c>
      <c r="G25037">
        <v>39</v>
      </c>
      <c r="H25037">
        <v>65</v>
      </c>
      <c r="I25037">
        <v>578</v>
      </c>
      <c r="J25037">
        <v>1</v>
      </c>
      <c r="K25037">
        <v>46</v>
      </c>
      <c r="L25037">
        <v>586</v>
      </c>
      <c r="M25037">
        <v>1</v>
      </c>
      <c r="N25037">
        <v>0</v>
      </c>
      <c r="O25037">
        <v>2122</v>
      </c>
    </row>
    <row r="25038" spans="1:15" x14ac:dyDescent="0.25">
      <c r="A25038" t="s">
        <v>25051</v>
      </c>
      <c r="B25038">
        <v>359</v>
      </c>
      <c r="C25038" s="1" t="str">
        <f>HYPERLINK("http://www.rosaceae.org/gb/gbrowse/malus_x_domestica/?name=MDP0000283710","MDP0000283710")</f>
        <v>MDP0000283710</v>
      </c>
      <c r="D25038">
        <v>76.319999999999993</v>
      </c>
      <c r="E25038">
        <v>359</v>
      </c>
      <c r="F25038">
        <v>85</v>
      </c>
      <c r="G25038">
        <v>1</v>
      </c>
      <c r="H25038">
        <v>1</v>
      </c>
      <c r="I25038">
        <v>359</v>
      </c>
      <c r="J25038">
        <v>1</v>
      </c>
      <c r="K25038">
        <v>1</v>
      </c>
      <c r="L25038">
        <v>358</v>
      </c>
      <c r="M25038">
        <v>1</v>
      </c>
      <c r="N25038">
        <v>2.05975E-159</v>
      </c>
      <c r="O25038">
        <v>1440</v>
      </c>
    </row>
    <row r="25039" spans="1:15" x14ac:dyDescent="0.25">
      <c r="A25039" t="s">
        <v>25052</v>
      </c>
      <c r="B25039">
        <v>605</v>
      </c>
      <c r="C25039" s="1" t="str">
        <f>HYPERLINK("http://www.rosaceae.org/gb/gbrowse/malus_x_domestica/?name=MDP0000278046","MDP0000278046")</f>
        <v>MDP0000278046</v>
      </c>
      <c r="D25039">
        <v>29.53</v>
      </c>
      <c r="E25039">
        <v>149</v>
      </c>
      <c r="F25039">
        <v>105</v>
      </c>
      <c r="G25039">
        <v>9</v>
      </c>
      <c r="H25039">
        <v>351</v>
      </c>
      <c r="I25039">
        <v>493</v>
      </c>
      <c r="J25039">
        <v>1</v>
      </c>
      <c r="K25039">
        <v>263</v>
      </c>
      <c r="L25039">
        <v>408</v>
      </c>
      <c r="M25039">
        <v>1</v>
      </c>
      <c r="N25039">
        <v>2.0018E-10</v>
      </c>
      <c r="O25039">
        <v>157</v>
      </c>
    </row>
    <row r="25040" spans="1:15" x14ac:dyDescent="0.25">
      <c r="A25040" t="s">
        <v>25053</v>
      </c>
      <c r="B25040">
        <v>1543</v>
      </c>
      <c r="C25040" s="1" t="str">
        <f>HYPERLINK("http://www.rosaceae.org/gb/gbrowse/malus_x_domestica/?name=MDP0000304705","MDP0000304705")</f>
        <v>MDP0000304705</v>
      </c>
      <c r="D25040">
        <v>44.73</v>
      </c>
      <c r="E25040">
        <v>1435</v>
      </c>
      <c r="F25040">
        <v>793</v>
      </c>
      <c r="G25040">
        <v>217</v>
      </c>
      <c r="H25040">
        <v>18</v>
      </c>
      <c r="I25040">
        <v>1295</v>
      </c>
      <c r="J25040">
        <v>1</v>
      </c>
      <c r="K25040">
        <v>1351</v>
      </c>
      <c r="L25040">
        <v>2725</v>
      </c>
      <c r="M25040">
        <v>1</v>
      </c>
      <c r="N25040">
        <v>0</v>
      </c>
      <c r="O25040">
        <v>2584</v>
      </c>
    </row>
    <row r="25041" spans="1:15" x14ac:dyDescent="0.25">
      <c r="A25041" t="s">
        <v>25054</v>
      </c>
      <c r="B25041">
        <v>507</v>
      </c>
      <c r="C25041" s="1" t="str">
        <f>HYPERLINK("http://www.rosaceae.org/gb/gbrowse/malus_x_domestica/?name=MDP0000270591","MDP0000270591")</f>
        <v>MDP0000270591</v>
      </c>
      <c r="D25041">
        <v>68.08</v>
      </c>
      <c r="E25041">
        <v>517</v>
      </c>
      <c r="F25041">
        <v>165</v>
      </c>
      <c r="G25041">
        <v>92</v>
      </c>
      <c r="H25041">
        <v>29</v>
      </c>
      <c r="I25041">
        <v>507</v>
      </c>
      <c r="J25041">
        <v>1</v>
      </c>
      <c r="K25041">
        <v>298</v>
      </c>
      <c r="L25041">
        <v>760</v>
      </c>
      <c r="M25041">
        <v>1</v>
      </c>
      <c r="N25041">
        <v>0</v>
      </c>
      <c r="O25041">
        <v>1810</v>
      </c>
    </row>
    <row r="25042" spans="1:15" x14ac:dyDescent="0.25">
      <c r="A25042" t="s">
        <v>25055</v>
      </c>
      <c r="B25042">
        <v>627</v>
      </c>
      <c r="C25042" s="1" t="str">
        <f>HYPERLINK("http://www.rosaceae.org/gb/gbrowse/malus_x_domestica/?name=MDP0000121631","MDP0000121631")</f>
        <v>MDP0000121631</v>
      </c>
      <c r="D25042">
        <v>43.56</v>
      </c>
      <c r="E25042">
        <v>101</v>
      </c>
      <c r="F25042">
        <v>57</v>
      </c>
      <c r="G25042">
        <v>11</v>
      </c>
      <c r="H25042">
        <v>472</v>
      </c>
      <c r="I25042">
        <v>571</v>
      </c>
      <c r="J25042">
        <v>1</v>
      </c>
      <c r="K25042">
        <v>143</v>
      </c>
      <c r="L25042">
        <v>233</v>
      </c>
      <c r="M25042">
        <v>1</v>
      </c>
      <c r="N25042">
        <v>2.4738400000000001E-14</v>
      </c>
      <c r="O25042">
        <v>191</v>
      </c>
    </row>
    <row r="25043" spans="1:15" x14ac:dyDescent="0.25">
      <c r="A25043" t="s">
        <v>25056</v>
      </c>
      <c r="B25043">
        <v>532</v>
      </c>
      <c r="C25043" s="1" t="str">
        <f>HYPERLINK("http://www.rosaceae.org/gb/gbrowse/malus_x_domestica/?name=MDP0000221906","MDP0000221906")</f>
        <v>MDP0000221906</v>
      </c>
      <c r="D25043">
        <v>82.9</v>
      </c>
      <c r="E25043">
        <v>544</v>
      </c>
      <c r="F25043">
        <v>93</v>
      </c>
      <c r="G25043">
        <v>13</v>
      </c>
      <c r="H25043">
        <v>1</v>
      </c>
      <c r="I25043">
        <v>532</v>
      </c>
      <c r="J25043">
        <v>1</v>
      </c>
      <c r="K25043">
        <v>1</v>
      </c>
      <c r="L25043">
        <v>543</v>
      </c>
      <c r="M25043">
        <v>1</v>
      </c>
      <c r="N25043">
        <v>0</v>
      </c>
      <c r="O25043">
        <v>2419</v>
      </c>
    </row>
    <row r="25044" spans="1:15" x14ac:dyDescent="0.25">
      <c r="A25044" t="s">
        <v>25057</v>
      </c>
      <c r="B25044">
        <v>322</v>
      </c>
      <c r="C25044" s="1" t="str">
        <f>HYPERLINK("http://www.rosaceae.org/gb/gbrowse/malus_x_domestica/?name=MDP0000197070","MDP0000197070")</f>
        <v>MDP0000197070</v>
      </c>
      <c r="D25044">
        <v>53.84</v>
      </c>
      <c r="E25044">
        <v>286</v>
      </c>
      <c r="F25044">
        <v>132</v>
      </c>
      <c r="G25044">
        <v>2</v>
      </c>
      <c r="H25044">
        <v>34</v>
      </c>
      <c r="I25044">
        <v>319</v>
      </c>
      <c r="J25044">
        <v>1</v>
      </c>
      <c r="K25044">
        <v>26</v>
      </c>
      <c r="L25044">
        <v>309</v>
      </c>
      <c r="M25044">
        <v>1</v>
      </c>
      <c r="N25044">
        <v>8.8029799999999996E-74</v>
      </c>
      <c r="O25044">
        <v>701</v>
      </c>
    </row>
    <row r="25045" spans="1:15" x14ac:dyDescent="0.25">
      <c r="A25045" t="s">
        <v>25058</v>
      </c>
      <c r="B25045">
        <v>843</v>
      </c>
      <c r="C25045" s="1" t="str">
        <f>HYPERLINK("http://www.rosaceae.org/gb/gbrowse/malus_x_domestica/?name=MDP0000188344","MDP0000188344")</f>
        <v>MDP0000188344</v>
      </c>
      <c r="D25045">
        <v>65.099999999999994</v>
      </c>
      <c r="E25045">
        <v>149</v>
      </c>
      <c r="F25045">
        <v>52</v>
      </c>
      <c r="G25045">
        <v>2</v>
      </c>
      <c r="H25045">
        <v>17</v>
      </c>
      <c r="I25045">
        <v>164</v>
      </c>
      <c r="J25045">
        <v>1</v>
      </c>
      <c r="K25045">
        <v>17</v>
      </c>
      <c r="L25045">
        <v>164</v>
      </c>
      <c r="M25045">
        <v>1</v>
      </c>
      <c r="N25045">
        <v>7.2164099999999998E-51</v>
      </c>
      <c r="O25045">
        <v>507</v>
      </c>
    </row>
    <row r="25046" spans="1:15" x14ac:dyDescent="0.25">
      <c r="A25046" t="s">
        <v>25059</v>
      </c>
      <c r="B25046">
        <v>785</v>
      </c>
      <c r="C25046" s="1" t="str">
        <f>HYPERLINK("http://www.rosaceae.org/gb/gbrowse/malus_x_domestica/?name=MDP0000341307","MDP0000341307")</f>
        <v>MDP0000341307</v>
      </c>
      <c r="D25046">
        <v>82.89</v>
      </c>
      <c r="E25046">
        <v>339</v>
      </c>
      <c r="F25046">
        <v>58</v>
      </c>
      <c r="G25046">
        <v>2</v>
      </c>
      <c r="H25046">
        <v>449</v>
      </c>
      <c r="I25046">
        <v>785</v>
      </c>
      <c r="J25046">
        <v>1</v>
      </c>
      <c r="K25046">
        <v>1</v>
      </c>
      <c r="L25046">
        <v>339</v>
      </c>
      <c r="M25046">
        <v>1</v>
      </c>
      <c r="N25046">
        <v>9.3958300000000004E-169</v>
      </c>
      <c r="O25046">
        <v>1524</v>
      </c>
    </row>
    <row r="25047" spans="1:15" x14ac:dyDescent="0.25">
      <c r="A25047" t="s">
        <v>25060</v>
      </c>
      <c r="B25047">
        <v>362</v>
      </c>
      <c r="C25047" s="1" t="str">
        <f>HYPERLINK("http://www.rosaceae.org/gb/gbrowse/malus_x_domestica/?name=MDP0000245024","MDP0000245024")</f>
        <v>MDP0000245024</v>
      </c>
      <c r="D25047">
        <v>62.59</v>
      </c>
      <c r="E25047">
        <v>262</v>
      </c>
      <c r="F25047">
        <v>98</v>
      </c>
      <c r="G25047">
        <v>7</v>
      </c>
      <c r="H25047">
        <v>103</v>
      </c>
      <c r="I25047">
        <v>360</v>
      </c>
      <c r="J25047">
        <v>1</v>
      </c>
      <c r="K25047">
        <v>139</v>
      </c>
      <c r="L25047">
        <v>397</v>
      </c>
      <c r="M25047">
        <v>1</v>
      </c>
      <c r="N25047">
        <v>6.1437600000000001E-85</v>
      </c>
      <c r="O25047">
        <v>797</v>
      </c>
    </row>
    <row r="25048" spans="1:15" x14ac:dyDescent="0.25">
      <c r="A25048" t="s">
        <v>25061</v>
      </c>
      <c r="B25048">
        <v>358</v>
      </c>
      <c r="C25048" s="1" t="str">
        <f>HYPERLINK("http://www.rosaceae.org/gb/gbrowse/malus_x_domestica/?name=MDP0000277695","MDP0000277695")</f>
        <v>MDP0000277695</v>
      </c>
      <c r="D25048">
        <v>72.8</v>
      </c>
      <c r="E25048">
        <v>353</v>
      </c>
      <c r="F25048">
        <v>96</v>
      </c>
      <c r="G25048">
        <v>16</v>
      </c>
      <c r="H25048">
        <v>6</v>
      </c>
      <c r="I25048">
        <v>358</v>
      </c>
      <c r="J25048">
        <v>1</v>
      </c>
      <c r="K25048">
        <v>3</v>
      </c>
      <c r="L25048">
        <v>339</v>
      </c>
      <c r="M25048">
        <v>1</v>
      </c>
      <c r="N25048">
        <v>4.31754E-154</v>
      </c>
      <c r="O25048">
        <v>1394</v>
      </c>
    </row>
    <row r="25049" spans="1:15" x14ac:dyDescent="0.25">
      <c r="A25049" t="s">
        <v>25062</v>
      </c>
      <c r="B25049">
        <v>247</v>
      </c>
      <c r="C25049" s="1" t="str">
        <f>HYPERLINK("http://www.rosaceae.org/gb/gbrowse/malus_x_domestica/?name=MDP0000137375","MDP0000137375")</f>
        <v>MDP0000137375</v>
      </c>
      <c r="D25049">
        <v>46.29</v>
      </c>
      <c r="E25049">
        <v>54</v>
      </c>
      <c r="F25049">
        <v>29</v>
      </c>
      <c r="G25049">
        <v>3</v>
      </c>
      <c r="H25049">
        <v>109</v>
      </c>
      <c r="I25049">
        <v>162</v>
      </c>
      <c r="J25049">
        <v>1</v>
      </c>
      <c r="K25049">
        <v>106</v>
      </c>
      <c r="L25049">
        <v>156</v>
      </c>
      <c r="M25049">
        <v>1</v>
      </c>
      <c r="N25049">
        <v>2.5944800000000001E-8</v>
      </c>
      <c r="O25049">
        <v>135</v>
      </c>
    </row>
    <row r="25050" spans="1:15" x14ac:dyDescent="0.25">
      <c r="A25050" t="s">
        <v>25063</v>
      </c>
      <c r="B25050">
        <v>323</v>
      </c>
      <c r="C25050" s="1" t="str">
        <f>HYPERLINK("http://www.rosaceae.org/gb/gbrowse/malus_x_domestica/?name=MDP0000131949","MDP0000131949")</f>
        <v>MDP0000131949</v>
      </c>
      <c r="D25050">
        <v>71.16</v>
      </c>
      <c r="E25050">
        <v>326</v>
      </c>
      <c r="F25050">
        <v>94</v>
      </c>
      <c r="G25050">
        <v>17</v>
      </c>
      <c r="H25050">
        <v>1</v>
      </c>
      <c r="I25050">
        <v>323</v>
      </c>
      <c r="J25050">
        <v>1</v>
      </c>
      <c r="K25050">
        <v>1</v>
      </c>
      <c r="L25050">
        <v>312</v>
      </c>
      <c r="M25050">
        <v>1</v>
      </c>
      <c r="N25050">
        <v>2.8691099999999998E-129</v>
      </c>
      <c r="O25050">
        <v>1179</v>
      </c>
    </row>
    <row r="25051" spans="1:15" x14ac:dyDescent="0.25">
      <c r="A25051" t="s">
        <v>25064</v>
      </c>
      <c r="B25051">
        <v>498</v>
      </c>
      <c r="C25051" s="1" t="str">
        <f>HYPERLINK("http://www.rosaceae.org/gb/gbrowse/malus_x_domestica/?name=MDP0000170345","MDP0000170345")</f>
        <v>MDP0000170345</v>
      </c>
      <c r="D25051">
        <v>77.430000000000007</v>
      </c>
      <c r="E25051">
        <v>288</v>
      </c>
      <c r="F25051">
        <v>65</v>
      </c>
      <c r="G25051">
        <v>3</v>
      </c>
      <c r="H25051">
        <v>209</v>
      </c>
      <c r="I25051">
        <v>496</v>
      </c>
      <c r="J25051">
        <v>1</v>
      </c>
      <c r="K25051">
        <v>134</v>
      </c>
      <c r="L25051">
        <v>418</v>
      </c>
      <c r="M25051">
        <v>1</v>
      </c>
      <c r="N25051">
        <v>5.0783600000000001E-127</v>
      </c>
      <c r="O25051">
        <v>1162</v>
      </c>
    </row>
    <row r="25052" spans="1:15" x14ac:dyDescent="0.25">
      <c r="A25052" t="s">
        <v>25065</v>
      </c>
      <c r="B25052">
        <v>1164</v>
      </c>
      <c r="C25052" s="1" t="str">
        <f>HYPERLINK("http://www.rosaceae.org/gb/gbrowse/malus_x_domestica/?name=MDP0000234613","MDP0000234613")</f>
        <v>MDP0000234613</v>
      </c>
      <c r="D25052">
        <v>33.200000000000003</v>
      </c>
      <c r="E25052">
        <v>515</v>
      </c>
      <c r="F25052">
        <v>344</v>
      </c>
      <c r="G25052">
        <v>96</v>
      </c>
      <c r="H25052">
        <v>685</v>
      </c>
      <c r="I25052">
        <v>1158</v>
      </c>
      <c r="J25052">
        <v>1</v>
      </c>
      <c r="K25052">
        <v>127</v>
      </c>
      <c r="L25052">
        <v>586</v>
      </c>
      <c r="M25052">
        <v>1</v>
      </c>
      <c r="N25052">
        <v>1.1181000000000001E-50</v>
      </c>
      <c r="O25052">
        <v>507</v>
      </c>
    </row>
    <row r="25053" spans="1:15" x14ac:dyDescent="0.25">
      <c r="A25053" t="s">
        <v>25066</v>
      </c>
      <c r="B25053">
        <v>313</v>
      </c>
      <c r="C25053" s="1" t="str">
        <f>HYPERLINK("http://www.rosaceae.org/gb/gbrowse/malus_x_domestica/?name=MDP0000242528","MDP0000242528")</f>
        <v>MDP0000242528</v>
      </c>
      <c r="D25053">
        <v>63.49</v>
      </c>
      <c r="E25053">
        <v>126</v>
      </c>
      <c r="F25053">
        <v>46</v>
      </c>
      <c r="G25053">
        <v>8</v>
      </c>
      <c r="H25053">
        <v>10</v>
      </c>
      <c r="I25053">
        <v>129</v>
      </c>
      <c r="J25053">
        <v>1</v>
      </c>
      <c r="K25053">
        <v>172</v>
      </c>
      <c r="L25053">
        <v>295</v>
      </c>
      <c r="M25053">
        <v>1</v>
      </c>
      <c r="N25053">
        <v>6.3254999999999997E-33</v>
      </c>
      <c r="O25053">
        <v>348</v>
      </c>
    </row>
    <row r="25054" spans="1:15" x14ac:dyDescent="0.25">
      <c r="A25054" t="s">
        <v>25067</v>
      </c>
      <c r="B25054">
        <v>180</v>
      </c>
      <c r="C25054" s="1" t="str">
        <f>HYPERLINK("http://www.rosaceae.org/gb/gbrowse/malus_x_domestica/?name=MDP0000836784","MDP0000836784")</f>
        <v>MDP0000836784</v>
      </c>
      <c r="D25054">
        <v>66.25</v>
      </c>
      <c r="E25054">
        <v>80</v>
      </c>
      <c r="F25054">
        <v>27</v>
      </c>
      <c r="G25054">
        <v>0</v>
      </c>
      <c r="H25054">
        <v>5</v>
      </c>
      <c r="I25054">
        <v>84</v>
      </c>
      <c r="J25054">
        <v>1</v>
      </c>
      <c r="K25054">
        <v>3</v>
      </c>
      <c r="L25054">
        <v>82</v>
      </c>
      <c r="M25054">
        <v>1</v>
      </c>
      <c r="N25054">
        <v>3.66727E-25</v>
      </c>
      <c r="O25054">
        <v>278</v>
      </c>
    </row>
    <row r="25055" spans="1:15" x14ac:dyDescent="0.25">
      <c r="A25055" t="s">
        <v>25068</v>
      </c>
      <c r="B25055">
        <v>335</v>
      </c>
      <c r="C25055" s="1" t="str">
        <f>HYPERLINK("http://www.rosaceae.org/gb/gbrowse/malus_x_domestica/?name=MDP0000462997","MDP0000462997")</f>
        <v>MDP0000462997</v>
      </c>
      <c r="D25055">
        <v>66.069999999999993</v>
      </c>
      <c r="E25055">
        <v>336</v>
      </c>
      <c r="F25055">
        <v>114</v>
      </c>
      <c r="G25055">
        <v>16</v>
      </c>
      <c r="H25055">
        <v>1</v>
      </c>
      <c r="I25055">
        <v>329</v>
      </c>
      <c r="J25055">
        <v>1</v>
      </c>
      <c r="K25055">
        <v>1</v>
      </c>
      <c r="L25055">
        <v>327</v>
      </c>
      <c r="M25055">
        <v>1</v>
      </c>
      <c r="N25055">
        <v>1.82657E-115</v>
      </c>
      <c r="O25055">
        <v>1060</v>
      </c>
    </row>
    <row r="25056" spans="1:15" x14ac:dyDescent="0.25">
      <c r="A25056" t="s">
        <v>25069</v>
      </c>
      <c r="B25056">
        <v>872</v>
      </c>
      <c r="C25056" s="1" t="str">
        <f>HYPERLINK("http://www.rosaceae.org/gb/gbrowse/malus_x_domestica/?name=MDP0000168013","MDP0000168013")</f>
        <v>MDP0000168013</v>
      </c>
      <c r="D25056">
        <v>44.74</v>
      </c>
      <c r="E25056">
        <v>847</v>
      </c>
      <c r="F25056">
        <v>468</v>
      </c>
      <c r="G25056">
        <v>208</v>
      </c>
      <c r="H25056">
        <v>210</v>
      </c>
      <c r="I25056">
        <v>872</v>
      </c>
      <c r="J25056">
        <v>1</v>
      </c>
      <c r="K25056">
        <v>7</v>
      </c>
      <c r="L25056">
        <v>829</v>
      </c>
      <c r="M25056">
        <v>1</v>
      </c>
      <c r="N25056">
        <v>2.4783899999999998E-159</v>
      </c>
      <c r="O25056">
        <v>1443</v>
      </c>
    </row>
    <row r="25057" spans="1:15" x14ac:dyDescent="0.25">
      <c r="A25057" t="s">
        <v>25070</v>
      </c>
      <c r="B25057">
        <v>441</v>
      </c>
      <c r="C25057" s="1" t="str">
        <f>HYPERLINK("http://www.rosaceae.org/gb/gbrowse/malus_x_domestica/?name=MDP0000278395","MDP0000278395")</f>
        <v>MDP0000278395</v>
      </c>
      <c r="D25057">
        <v>75.959999999999994</v>
      </c>
      <c r="E25057">
        <v>466</v>
      </c>
      <c r="F25057">
        <v>112</v>
      </c>
      <c r="G25057">
        <v>49</v>
      </c>
      <c r="H25057">
        <v>1</v>
      </c>
      <c r="I25057">
        <v>441</v>
      </c>
      <c r="J25057">
        <v>1</v>
      </c>
      <c r="K25057">
        <v>1</v>
      </c>
      <c r="L25057">
        <v>442</v>
      </c>
      <c r="M25057">
        <v>1</v>
      </c>
      <c r="N25057">
        <v>0</v>
      </c>
      <c r="O25057">
        <v>1814</v>
      </c>
    </row>
    <row r="25058" spans="1:15" x14ac:dyDescent="0.25">
      <c r="A25058" t="s">
        <v>25071</v>
      </c>
      <c r="B25058">
        <v>1699</v>
      </c>
      <c r="C25058" s="1" t="str">
        <f>HYPERLINK("http://www.rosaceae.org/gb/gbrowse/malus_x_domestica/?name=MDP0000232208","MDP0000232208")</f>
        <v>MDP0000232208</v>
      </c>
      <c r="D25058">
        <v>61.92</v>
      </c>
      <c r="E25058">
        <v>1384</v>
      </c>
      <c r="F25058">
        <v>527</v>
      </c>
      <c r="G25058">
        <v>138</v>
      </c>
      <c r="H25058">
        <v>443</v>
      </c>
      <c r="I25058">
        <v>1699</v>
      </c>
      <c r="J25058">
        <v>1</v>
      </c>
      <c r="K25058">
        <v>692</v>
      </c>
      <c r="L25058">
        <v>2064</v>
      </c>
      <c r="M25058">
        <v>1</v>
      </c>
      <c r="N25058">
        <v>0</v>
      </c>
      <c r="O25058">
        <v>4139</v>
      </c>
    </row>
    <row r="25059" spans="1:15" x14ac:dyDescent="0.25">
      <c r="A25059" t="s">
        <v>25072</v>
      </c>
      <c r="B25059">
        <v>618</v>
      </c>
      <c r="C25059" s="1" t="str">
        <f>HYPERLINK("http://www.rosaceae.org/gb/gbrowse/malus_x_domestica/?name=MDP0000270244","MDP0000270244")</f>
        <v>MDP0000270244</v>
      </c>
      <c r="D25059">
        <v>36.92</v>
      </c>
      <c r="E25059">
        <v>482</v>
      </c>
      <c r="F25059">
        <v>304</v>
      </c>
      <c r="G25059">
        <v>84</v>
      </c>
      <c r="H25059">
        <v>165</v>
      </c>
      <c r="I25059">
        <v>613</v>
      </c>
      <c r="J25059">
        <v>1</v>
      </c>
      <c r="K25059">
        <v>85</v>
      </c>
      <c r="L25059">
        <v>515</v>
      </c>
      <c r="M25059">
        <v>1</v>
      </c>
      <c r="N25059">
        <v>5.1398600000000002E-70</v>
      </c>
      <c r="O25059">
        <v>671</v>
      </c>
    </row>
    <row r="25060" spans="1:15" x14ac:dyDescent="0.25">
      <c r="A25060" t="s">
        <v>25073</v>
      </c>
      <c r="B25060">
        <v>155</v>
      </c>
      <c r="C25060" s="1" t="str">
        <f>HYPERLINK("http://www.rosaceae.org/gb/gbrowse/malus_x_domestica/?name=MDP0000407067","MDP0000407067")</f>
        <v>MDP0000407067</v>
      </c>
      <c r="D25060">
        <v>77.92</v>
      </c>
      <c r="E25060">
        <v>154</v>
      </c>
      <c r="F25060">
        <v>34</v>
      </c>
      <c r="G25060">
        <v>0</v>
      </c>
      <c r="H25060">
        <v>2</v>
      </c>
      <c r="I25060">
        <v>155</v>
      </c>
      <c r="J25060">
        <v>1</v>
      </c>
      <c r="K25060">
        <v>146</v>
      </c>
      <c r="L25060">
        <v>299</v>
      </c>
      <c r="M25060">
        <v>1</v>
      </c>
      <c r="N25060">
        <v>3.2742199999999998E-70</v>
      </c>
      <c r="O25060">
        <v>665</v>
      </c>
    </row>
    <row r="25061" spans="1:15" x14ac:dyDescent="0.25">
      <c r="A25061" t="s">
        <v>25074</v>
      </c>
      <c r="B25061">
        <v>552</v>
      </c>
      <c r="C25061" s="1" t="str">
        <f>HYPERLINK("http://www.rosaceae.org/gb/gbrowse/malus_x_domestica/?name=MDP0000778663","MDP0000778663")</f>
        <v>MDP0000778663</v>
      </c>
      <c r="D25061">
        <v>75.44</v>
      </c>
      <c r="E25061">
        <v>167</v>
      </c>
      <c r="F25061">
        <v>41</v>
      </c>
      <c r="G25061">
        <v>10</v>
      </c>
      <c r="H25061">
        <v>383</v>
      </c>
      <c r="I25061">
        <v>539</v>
      </c>
      <c r="J25061">
        <v>1</v>
      </c>
      <c r="K25061">
        <v>146</v>
      </c>
      <c r="L25061">
        <v>312</v>
      </c>
      <c r="M25061">
        <v>1</v>
      </c>
      <c r="N25061">
        <v>1.1471300000000001E-65</v>
      </c>
      <c r="O25061">
        <v>633</v>
      </c>
    </row>
    <row r="25062" spans="1:15" x14ac:dyDescent="0.25">
      <c r="A25062" t="s">
        <v>25075</v>
      </c>
      <c r="B25062">
        <v>400</v>
      </c>
      <c r="C25062" s="1" t="str">
        <f>HYPERLINK("http://www.rosaceae.org/gb/gbrowse/malus_x_domestica/?name=MDP0000759534","MDP0000759534")</f>
        <v>MDP0000759534</v>
      </c>
      <c r="D25062">
        <v>84.26</v>
      </c>
      <c r="E25062">
        <v>394</v>
      </c>
      <c r="F25062">
        <v>62</v>
      </c>
      <c r="G25062">
        <v>4</v>
      </c>
      <c r="H25062">
        <v>11</v>
      </c>
      <c r="I25062">
        <v>400</v>
      </c>
      <c r="J25062">
        <v>1</v>
      </c>
      <c r="K25062">
        <v>12</v>
      </c>
      <c r="L25062">
        <v>405</v>
      </c>
      <c r="M25062">
        <v>1</v>
      </c>
      <c r="N25062">
        <v>0</v>
      </c>
      <c r="O25062">
        <v>1720</v>
      </c>
    </row>
    <row r="25063" spans="1:15" x14ac:dyDescent="0.25">
      <c r="A25063" t="s">
        <v>25076</v>
      </c>
      <c r="B25063">
        <v>112</v>
      </c>
      <c r="C25063" s="1" t="str">
        <f>HYPERLINK("http://www.rosaceae.org/gb/gbrowse/malus_x_domestica/?name=MDP0000807498","MDP0000807498")</f>
        <v>MDP0000807498</v>
      </c>
      <c r="D25063">
        <v>72.22</v>
      </c>
      <c r="E25063">
        <v>72</v>
      </c>
      <c r="F25063">
        <v>20</v>
      </c>
      <c r="G25063">
        <v>0</v>
      </c>
      <c r="H25063">
        <v>41</v>
      </c>
      <c r="I25063">
        <v>112</v>
      </c>
      <c r="J25063">
        <v>1</v>
      </c>
      <c r="K25063">
        <v>1</v>
      </c>
      <c r="L25063">
        <v>72</v>
      </c>
      <c r="M25063">
        <v>1</v>
      </c>
      <c r="N25063">
        <v>5.65207E-28</v>
      </c>
      <c r="O25063">
        <v>299</v>
      </c>
    </row>
    <row r="25064" spans="1:15" x14ac:dyDescent="0.25">
      <c r="A25064" t="s">
        <v>25077</v>
      </c>
      <c r="B25064">
        <v>1510</v>
      </c>
      <c r="C25064" s="1" t="str">
        <f>HYPERLINK("http://www.rosaceae.org/gb/gbrowse/malus_x_domestica/?name=MDP0000165319","MDP0000165319")</f>
        <v>MDP0000165319</v>
      </c>
      <c r="D25064">
        <v>77.37</v>
      </c>
      <c r="E25064">
        <v>990</v>
      </c>
      <c r="F25064">
        <v>224</v>
      </c>
      <c r="G25064">
        <v>77</v>
      </c>
      <c r="H25064">
        <v>26</v>
      </c>
      <c r="I25064">
        <v>945</v>
      </c>
      <c r="J25064">
        <v>1</v>
      </c>
      <c r="K25064">
        <v>25</v>
      </c>
      <c r="L25064">
        <v>1007</v>
      </c>
      <c r="M25064">
        <v>1</v>
      </c>
      <c r="N25064">
        <v>0</v>
      </c>
      <c r="O25064">
        <v>3948</v>
      </c>
    </row>
    <row r="25065" spans="1:15" x14ac:dyDescent="0.25">
      <c r="A25065" t="s">
        <v>25078</v>
      </c>
      <c r="B25065">
        <v>1748</v>
      </c>
      <c r="C25065" s="1" t="str">
        <f>HYPERLINK("http://www.rosaceae.org/gb/gbrowse/malus_x_domestica/?name=MDP0000908041","MDP0000908041")</f>
        <v>MDP0000908041</v>
      </c>
      <c r="D25065">
        <v>83.54</v>
      </c>
      <c r="E25065">
        <v>1501</v>
      </c>
      <c r="F25065">
        <v>247</v>
      </c>
      <c r="G25065">
        <v>38</v>
      </c>
      <c r="H25065">
        <v>247</v>
      </c>
      <c r="I25065">
        <v>1745</v>
      </c>
      <c r="J25065">
        <v>1</v>
      </c>
      <c r="K25065">
        <v>250</v>
      </c>
      <c r="L25065">
        <v>1714</v>
      </c>
      <c r="M25065">
        <v>1</v>
      </c>
      <c r="N25065">
        <v>0</v>
      </c>
      <c r="O25065">
        <v>6739</v>
      </c>
    </row>
    <row r="25066" spans="1:15" x14ac:dyDescent="0.25">
      <c r="A25066" t="s">
        <v>25079</v>
      </c>
      <c r="B25066">
        <v>678</v>
      </c>
      <c r="C25066" s="1" t="str">
        <f>HYPERLINK("http://www.rosaceae.org/gb/gbrowse/malus_x_domestica/?name=MDP0000137841","MDP0000137841")</f>
        <v>MDP0000137841</v>
      </c>
      <c r="D25066">
        <v>73.459999999999994</v>
      </c>
      <c r="E25066">
        <v>603</v>
      </c>
      <c r="F25066">
        <v>160</v>
      </c>
      <c r="G25066">
        <v>18</v>
      </c>
      <c r="H25066">
        <v>81</v>
      </c>
      <c r="I25066">
        <v>678</v>
      </c>
      <c r="J25066">
        <v>1</v>
      </c>
      <c r="K25066">
        <v>17</v>
      </c>
      <c r="L25066">
        <v>606</v>
      </c>
      <c r="M25066">
        <v>1</v>
      </c>
      <c r="N25066">
        <v>0</v>
      </c>
      <c r="O25066">
        <v>2272</v>
      </c>
    </row>
    <row r="25067" spans="1:15" x14ac:dyDescent="0.25">
      <c r="A25067" t="s">
        <v>25080</v>
      </c>
      <c r="B25067">
        <v>472</v>
      </c>
      <c r="C25067" s="1" t="str">
        <f>HYPERLINK("http://www.rosaceae.org/gb/gbrowse/malus_x_domestica/?name=MDP0000500222","MDP0000500222")</f>
        <v>MDP0000500222</v>
      </c>
      <c r="D25067">
        <v>28.36</v>
      </c>
      <c r="E25067">
        <v>349</v>
      </c>
      <c r="F25067">
        <v>250</v>
      </c>
      <c r="G25067">
        <v>63</v>
      </c>
      <c r="H25067">
        <v>90</v>
      </c>
      <c r="I25067">
        <v>413</v>
      </c>
      <c r="J25067">
        <v>1</v>
      </c>
      <c r="K25067">
        <v>81</v>
      </c>
      <c r="L25067">
        <v>391</v>
      </c>
      <c r="M25067">
        <v>1</v>
      </c>
      <c r="N25067">
        <v>1.3055000000000001E-21</v>
      </c>
      <c r="O25067">
        <v>253</v>
      </c>
    </row>
    <row r="25068" spans="1:15" x14ac:dyDescent="0.25">
      <c r="A25068" t="s">
        <v>25081</v>
      </c>
      <c r="B25068">
        <v>213</v>
      </c>
      <c r="C25068" s="1" t="str">
        <f>HYPERLINK("http://www.rosaceae.org/gb/gbrowse/malus_x_domestica/?name=MDP0000708550","MDP0000708550")</f>
        <v>MDP0000708550</v>
      </c>
      <c r="D25068">
        <v>80.17</v>
      </c>
      <c r="E25068">
        <v>116</v>
      </c>
      <c r="F25068">
        <v>23</v>
      </c>
      <c r="G25068">
        <v>2</v>
      </c>
      <c r="H25068">
        <v>99</v>
      </c>
      <c r="I25068">
        <v>213</v>
      </c>
      <c r="J25068">
        <v>1</v>
      </c>
      <c r="K25068">
        <v>14</v>
      </c>
      <c r="L25068">
        <v>128</v>
      </c>
      <c r="M25068">
        <v>1</v>
      </c>
      <c r="N25068">
        <v>3.9675499999999996E-46</v>
      </c>
      <c r="O25068">
        <v>460</v>
      </c>
    </row>
    <row r="25069" spans="1:15" x14ac:dyDescent="0.25">
      <c r="A25069" t="s">
        <v>25082</v>
      </c>
      <c r="B25069">
        <v>451</v>
      </c>
      <c r="C25069" s="1" t="str">
        <f>HYPERLINK("http://www.rosaceae.org/gb/gbrowse/malus_x_domestica/?name=MDP0000316189","MDP0000316189")</f>
        <v>MDP0000316189</v>
      </c>
      <c r="D25069">
        <v>90.22</v>
      </c>
      <c r="E25069">
        <v>348</v>
      </c>
      <c r="F25069">
        <v>34</v>
      </c>
      <c r="G25069">
        <v>0</v>
      </c>
      <c r="H25069">
        <v>104</v>
      </c>
      <c r="I25069">
        <v>451</v>
      </c>
      <c r="J25069">
        <v>1</v>
      </c>
      <c r="K25069">
        <v>301</v>
      </c>
      <c r="L25069">
        <v>648</v>
      </c>
      <c r="M25069">
        <v>1</v>
      </c>
      <c r="N25069">
        <v>0</v>
      </c>
      <c r="O25069">
        <v>1671</v>
      </c>
    </row>
    <row r="25070" spans="1:15" x14ac:dyDescent="0.25">
      <c r="A25070" t="s">
        <v>25083</v>
      </c>
      <c r="B25070">
        <v>126</v>
      </c>
      <c r="C25070" s="1" t="str">
        <f>HYPERLINK("http://www.rosaceae.org/gb/gbrowse/malus_x_domestica/?name=MDP0000612592","MDP0000612592")</f>
        <v>MDP0000612592</v>
      </c>
      <c r="D25070">
        <v>87.64</v>
      </c>
      <c r="E25070">
        <v>89</v>
      </c>
      <c r="F25070">
        <v>11</v>
      </c>
      <c r="G25070">
        <v>0</v>
      </c>
      <c r="H25070">
        <v>30</v>
      </c>
      <c r="I25070">
        <v>118</v>
      </c>
      <c r="J25070">
        <v>1</v>
      </c>
      <c r="K25070">
        <v>48</v>
      </c>
      <c r="L25070">
        <v>136</v>
      </c>
      <c r="M25070">
        <v>1</v>
      </c>
      <c r="N25070">
        <v>3.3888499999999998E-41</v>
      </c>
      <c r="O25070">
        <v>413</v>
      </c>
    </row>
    <row r="25071" spans="1:15" x14ac:dyDescent="0.25">
      <c r="A25071" t="s">
        <v>25084</v>
      </c>
      <c r="B25071">
        <v>615</v>
      </c>
      <c r="C25071" s="1" t="str">
        <f>HYPERLINK("http://www.rosaceae.org/gb/gbrowse/malus_x_domestica/?name=MDP0000292294","MDP0000292294")</f>
        <v>MDP0000292294</v>
      </c>
      <c r="D25071">
        <v>63.14</v>
      </c>
      <c r="E25071">
        <v>605</v>
      </c>
      <c r="F25071">
        <v>223</v>
      </c>
      <c r="G25071">
        <v>34</v>
      </c>
      <c r="H25071">
        <v>20</v>
      </c>
      <c r="I25071">
        <v>614</v>
      </c>
      <c r="J25071">
        <v>1</v>
      </c>
      <c r="K25071">
        <v>30</v>
      </c>
      <c r="L25071">
        <v>610</v>
      </c>
      <c r="M25071">
        <v>1</v>
      </c>
      <c r="N25071">
        <v>0</v>
      </c>
      <c r="O25071">
        <v>1923</v>
      </c>
    </row>
    <row r="25072" spans="1:15" x14ac:dyDescent="0.25">
      <c r="A25072" t="s">
        <v>25085</v>
      </c>
      <c r="B25072">
        <v>395</v>
      </c>
      <c r="C25072" s="1" t="str">
        <f>HYPERLINK("http://www.rosaceae.org/gb/gbrowse/malus_x_domestica/?name=MDP0000745504","MDP0000745504")</f>
        <v>MDP0000745504</v>
      </c>
      <c r="D25072">
        <v>74.33</v>
      </c>
      <c r="E25072">
        <v>378</v>
      </c>
      <c r="F25072">
        <v>97</v>
      </c>
      <c r="G25072">
        <v>8</v>
      </c>
      <c r="H25072">
        <v>1</v>
      </c>
      <c r="I25072">
        <v>372</v>
      </c>
      <c r="J25072">
        <v>1</v>
      </c>
      <c r="K25072">
        <v>1</v>
      </c>
      <c r="L25072">
        <v>376</v>
      </c>
      <c r="M25072">
        <v>1</v>
      </c>
      <c r="N25072">
        <v>1.09238E-160</v>
      </c>
      <c r="O25072">
        <v>1451</v>
      </c>
    </row>
    <row r="25073" spans="1:15" x14ac:dyDescent="0.25">
      <c r="A25073" t="s">
        <v>25086</v>
      </c>
      <c r="B25073">
        <v>370</v>
      </c>
      <c r="C25073" s="1" t="str">
        <f>HYPERLINK("http://www.rosaceae.org/gb/gbrowse/malus_x_domestica/?name=MDP0000246470","MDP0000246470")</f>
        <v>MDP0000246470</v>
      </c>
      <c r="D25073">
        <v>62</v>
      </c>
      <c r="E25073">
        <v>379</v>
      </c>
      <c r="F25073">
        <v>144</v>
      </c>
      <c r="G25073">
        <v>44</v>
      </c>
      <c r="H25073">
        <v>13</v>
      </c>
      <c r="I25073">
        <v>370</v>
      </c>
      <c r="J25073">
        <v>1</v>
      </c>
      <c r="K25073">
        <v>1</v>
      </c>
      <c r="L25073">
        <v>356</v>
      </c>
      <c r="M25073">
        <v>1</v>
      </c>
      <c r="N25073">
        <v>3.0206200000000001E-107</v>
      </c>
      <c r="O25073">
        <v>990</v>
      </c>
    </row>
    <row r="25074" spans="1:15" x14ac:dyDescent="0.25">
      <c r="A25074" t="s">
        <v>25087</v>
      </c>
      <c r="B25074">
        <v>292</v>
      </c>
      <c r="C25074" s="1" t="str">
        <f>HYPERLINK("http://www.rosaceae.org/gb/gbrowse/malus_x_domestica/?name=MDP0000150438","MDP0000150438")</f>
        <v>MDP0000150438</v>
      </c>
      <c r="D25074">
        <v>32.25</v>
      </c>
      <c r="E25074">
        <v>341</v>
      </c>
      <c r="F25074">
        <v>231</v>
      </c>
      <c r="G25074">
        <v>64</v>
      </c>
      <c r="H25074">
        <v>1</v>
      </c>
      <c r="I25074">
        <v>292</v>
      </c>
      <c r="J25074">
        <v>1</v>
      </c>
      <c r="K25074">
        <v>59</v>
      </c>
      <c r="L25074">
        <v>384</v>
      </c>
      <c r="M25074">
        <v>1</v>
      </c>
      <c r="N25074">
        <v>5.8674099999999997E-44</v>
      </c>
      <c r="O25074">
        <v>443</v>
      </c>
    </row>
    <row r="25075" spans="1:15" x14ac:dyDescent="0.25">
      <c r="A25075" t="s">
        <v>25088</v>
      </c>
      <c r="B25075">
        <v>90</v>
      </c>
      <c r="C25075" s="1" t="str">
        <f>HYPERLINK("http://www.rosaceae.org/gb/gbrowse/malus_x_domestica/?name=MDP0000470237","MDP0000470237")</f>
        <v>MDP0000470237</v>
      </c>
      <c r="D25075">
        <v>58.71</v>
      </c>
      <c r="E25075">
        <v>109</v>
      </c>
      <c r="F25075">
        <v>45</v>
      </c>
      <c r="G25075">
        <v>34</v>
      </c>
      <c r="H25075">
        <v>3</v>
      </c>
      <c r="I25075">
        <v>77</v>
      </c>
      <c r="J25075">
        <v>1</v>
      </c>
      <c r="K25075">
        <v>175</v>
      </c>
      <c r="L25075">
        <v>283</v>
      </c>
      <c r="M25075">
        <v>1</v>
      </c>
      <c r="N25075">
        <v>1.7472500000000001E-25</v>
      </c>
      <c r="O25075">
        <v>277</v>
      </c>
    </row>
    <row r="25076" spans="1:15" x14ac:dyDescent="0.25">
      <c r="A25076" t="s">
        <v>25089</v>
      </c>
      <c r="B25076">
        <v>430</v>
      </c>
      <c r="C25076" s="1" t="str">
        <f>HYPERLINK("http://www.rosaceae.org/gb/gbrowse/malus_x_domestica/?name=MDP0000245646","MDP0000245646")</f>
        <v>MDP0000245646</v>
      </c>
      <c r="D25076">
        <v>50.61</v>
      </c>
      <c r="E25076">
        <v>162</v>
      </c>
      <c r="F25076">
        <v>80</v>
      </c>
      <c r="G25076">
        <v>10</v>
      </c>
      <c r="H25076">
        <v>143</v>
      </c>
      <c r="I25076">
        <v>295</v>
      </c>
      <c r="J25076">
        <v>1</v>
      </c>
      <c r="K25076">
        <v>75</v>
      </c>
      <c r="L25076">
        <v>235</v>
      </c>
      <c r="M25076">
        <v>1</v>
      </c>
      <c r="N25076">
        <v>1.8650899999999998E-33</v>
      </c>
      <c r="O25076">
        <v>354</v>
      </c>
    </row>
    <row r="25077" spans="1:15" x14ac:dyDescent="0.25">
      <c r="A25077" t="s">
        <v>25090</v>
      </c>
      <c r="B25077">
        <v>276</v>
      </c>
      <c r="C25077" s="1" t="str">
        <f>HYPERLINK("http://www.rosaceae.org/gb/gbrowse/malus_x_domestica/?name=MDP0000412427","MDP0000412427")</f>
        <v>MDP0000412427</v>
      </c>
      <c r="D25077">
        <v>65.06</v>
      </c>
      <c r="E25077">
        <v>83</v>
      </c>
      <c r="F25077">
        <v>29</v>
      </c>
      <c r="G25077">
        <v>4</v>
      </c>
      <c r="H25077">
        <v>53</v>
      </c>
      <c r="I25077">
        <v>135</v>
      </c>
      <c r="J25077">
        <v>1</v>
      </c>
      <c r="K25077">
        <v>63</v>
      </c>
      <c r="L25077">
        <v>141</v>
      </c>
      <c r="M25077">
        <v>1</v>
      </c>
      <c r="N25077">
        <v>2.08902E-24</v>
      </c>
      <c r="O25077">
        <v>274</v>
      </c>
    </row>
    <row r="25078" spans="1:15" x14ac:dyDescent="0.25">
      <c r="A25078" t="s">
        <v>25091</v>
      </c>
      <c r="B25078">
        <v>355</v>
      </c>
      <c r="C25078" s="1" t="str">
        <f>HYPERLINK("http://www.rosaceae.org/gb/gbrowse/malus_x_domestica/?name=MDP0000287519","MDP0000287519")</f>
        <v>MDP0000287519</v>
      </c>
      <c r="D25078">
        <v>22.9</v>
      </c>
      <c r="E25078">
        <v>275</v>
      </c>
      <c r="F25078">
        <v>212</v>
      </c>
      <c r="G25078">
        <v>54</v>
      </c>
      <c r="H25078">
        <v>125</v>
      </c>
      <c r="I25078">
        <v>354</v>
      </c>
      <c r="J25078">
        <v>1</v>
      </c>
      <c r="K25078">
        <v>440</v>
      </c>
      <c r="L25078">
        <v>705</v>
      </c>
      <c r="M25078">
        <v>1</v>
      </c>
      <c r="N25078">
        <v>1.47736E-13</v>
      </c>
      <c r="O25078">
        <v>182</v>
      </c>
    </row>
    <row r="25079" spans="1:15" x14ac:dyDescent="0.25">
      <c r="A25079" t="s">
        <v>25092</v>
      </c>
      <c r="B25079">
        <v>494</v>
      </c>
      <c r="C25079" s="1" t="str">
        <f>HYPERLINK("http://www.rosaceae.org/gb/gbrowse/malus_x_domestica/?name=MDP0000207149","MDP0000207149")</f>
        <v>MDP0000207149</v>
      </c>
      <c r="D25079">
        <v>52.41</v>
      </c>
      <c r="E25079">
        <v>311</v>
      </c>
      <c r="F25079">
        <v>148</v>
      </c>
      <c r="G25079">
        <v>50</v>
      </c>
      <c r="H25079">
        <v>12</v>
      </c>
      <c r="I25079">
        <v>272</v>
      </c>
      <c r="J25079">
        <v>1</v>
      </c>
      <c r="K25079">
        <v>8</v>
      </c>
      <c r="L25079">
        <v>318</v>
      </c>
      <c r="M25079">
        <v>1</v>
      </c>
      <c r="N25079">
        <v>9.75673E-84</v>
      </c>
      <c r="O25079">
        <v>789</v>
      </c>
    </row>
    <row r="25080" spans="1:15" x14ac:dyDescent="0.25">
      <c r="A25080" t="s">
        <v>25093</v>
      </c>
      <c r="B25080">
        <v>498</v>
      </c>
      <c r="C25080" s="1" t="str">
        <f>HYPERLINK("http://www.rosaceae.org/gb/gbrowse/malus_x_domestica/?name=MDP0000139367","MDP0000139367")</f>
        <v>MDP0000139367</v>
      </c>
      <c r="D25080">
        <v>80.8</v>
      </c>
      <c r="E25080">
        <v>375</v>
      </c>
      <c r="F25080">
        <v>72</v>
      </c>
      <c r="G25080">
        <v>5</v>
      </c>
      <c r="H25080">
        <v>9</v>
      </c>
      <c r="I25080">
        <v>378</v>
      </c>
      <c r="J25080">
        <v>1</v>
      </c>
      <c r="K25080">
        <v>82</v>
      </c>
      <c r="L25080">
        <v>456</v>
      </c>
      <c r="M25080">
        <v>1</v>
      </c>
      <c r="N25080">
        <v>0</v>
      </c>
      <c r="O25080">
        <v>1678</v>
      </c>
    </row>
    <row r="25081" spans="1:15" x14ac:dyDescent="0.25">
      <c r="A25081" t="s">
        <v>25094</v>
      </c>
      <c r="B25081">
        <v>398</v>
      </c>
      <c r="C25081" s="1" t="str">
        <f>HYPERLINK("http://www.rosaceae.org/gb/gbrowse/malus_x_domestica/?name=MDP0000160247","MDP0000160247")</f>
        <v>MDP0000160247</v>
      </c>
      <c r="D25081">
        <v>75.72</v>
      </c>
      <c r="E25081">
        <v>103</v>
      </c>
      <c r="F25081">
        <v>25</v>
      </c>
      <c r="G25081">
        <v>6</v>
      </c>
      <c r="H25081">
        <v>302</v>
      </c>
      <c r="I25081">
        <v>398</v>
      </c>
      <c r="J25081">
        <v>1</v>
      </c>
      <c r="K25081">
        <v>202</v>
      </c>
      <c r="L25081">
        <v>304</v>
      </c>
      <c r="M25081">
        <v>1</v>
      </c>
      <c r="N25081">
        <v>3.5916099999999998E-33</v>
      </c>
      <c r="O25081">
        <v>351</v>
      </c>
    </row>
    <row r="25082" spans="1:15" x14ac:dyDescent="0.25">
      <c r="A25082" t="s">
        <v>25095</v>
      </c>
      <c r="B25082">
        <v>148</v>
      </c>
      <c r="C25082" s="1" t="str">
        <f>HYPERLINK("http://www.rosaceae.org/gb/gbrowse/malus_x_domestica/?name=MDP0000927262","MDP0000927262")</f>
        <v>MDP0000927262</v>
      </c>
      <c r="D25082">
        <v>86.91</v>
      </c>
      <c r="E25082">
        <v>107</v>
      </c>
      <c r="F25082">
        <v>14</v>
      </c>
      <c r="G25082">
        <v>0</v>
      </c>
      <c r="H25082">
        <v>41</v>
      </c>
      <c r="I25082">
        <v>147</v>
      </c>
      <c r="J25082">
        <v>1</v>
      </c>
      <c r="K25082">
        <v>1</v>
      </c>
      <c r="L25082">
        <v>107</v>
      </c>
      <c r="M25082">
        <v>1</v>
      </c>
      <c r="N25082">
        <v>1.00544E-50</v>
      </c>
      <c r="O25082">
        <v>497</v>
      </c>
    </row>
    <row r="25083" spans="1:15" x14ac:dyDescent="0.25">
      <c r="A25083" t="s">
        <v>25096</v>
      </c>
      <c r="B25083">
        <v>221</v>
      </c>
      <c r="C25083" s="1" t="str">
        <f>HYPERLINK("http://www.rosaceae.org/gb/gbrowse/malus_x_domestica/?name=MDP0000263959","MDP0000263959")</f>
        <v>MDP0000263959</v>
      </c>
      <c r="D25083">
        <v>47.57</v>
      </c>
      <c r="E25083">
        <v>103</v>
      </c>
      <c r="F25083">
        <v>54</v>
      </c>
      <c r="G25083">
        <v>5</v>
      </c>
      <c r="H25083">
        <v>9</v>
      </c>
      <c r="I25083">
        <v>108</v>
      </c>
      <c r="J25083">
        <v>1</v>
      </c>
      <c r="K25083">
        <v>409</v>
      </c>
      <c r="L25083">
        <v>509</v>
      </c>
      <c r="M25083">
        <v>1</v>
      </c>
      <c r="N25083">
        <v>2.2315500000000001E-20</v>
      </c>
      <c r="O25083">
        <v>238</v>
      </c>
    </row>
    <row r="25084" spans="1:15" x14ac:dyDescent="0.25">
      <c r="A25084" t="s">
        <v>25097</v>
      </c>
      <c r="B25084">
        <v>448</v>
      </c>
      <c r="C25084" s="1" t="str">
        <f>HYPERLINK("http://www.rosaceae.org/gb/gbrowse/malus_x_domestica/?name=MDP0000239701","MDP0000239701")</f>
        <v>MDP0000239701</v>
      </c>
      <c r="D25084">
        <v>97.48</v>
      </c>
      <c r="E25084">
        <v>358</v>
      </c>
      <c r="F25084">
        <v>9</v>
      </c>
      <c r="G25084">
        <v>0</v>
      </c>
      <c r="H25084">
        <v>91</v>
      </c>
      <c r="I25084">
        <v>448</v>
      </c>
      <c r="J25084">
        <v>1</v>
      </c>
      <c r="K25084">
        <v>20</v>
      </c>
      <c r="L25084">
        <v>377</v>
      </c>
      <c r="M25084">
        <v>1</v>
      </c>
      <c r="N25084">
        <v>0</v>
      </c>
      <c r="O25084">
        <v>1874</v>
      </c>
    </row>
    <row r="25085" spans="1:15" x14ac:dyDescent="0.25">
      <c r="A25085" t="s">
        <v>25098</v>
      </c>
      <c r="B25085">
        <v>254</v>
      </c>
      <c r="C25085" s="1" t="str">
        <f>HYPERLINK("http://www.rosaceae.org/gb/gbrowse/malus_x_domestica/?name=MDP0000223518","MDP0000223518")</f>
        <v>MDP0000223518</v>
      </c>
      <c r="D25085">
        <v>60.35</v>
      </c>
      <c r="E25085">
        <v>169</v>
      </c>
      <c r="F25085">
        <v>67</v>
      </c>
      <c r="G25085">
        <v>0</v>
      </c>
      <c r="H25085">
        <v>16</v>
      </c>
      <c r="I25085">
        <v>184</v>
      </c>
      <c r="J25085">
        <v>1</v>
      </c>
      <c r="K25085">
        <v>554</v>
      </c>
      <c r="L25085">
        <v>722</v>
      </c>
      <c r="M25085">
        <v>1</v>
      </c>
      <c r="N25085">
        <v>5.9785200000000003E-53</v>
      </c>
      <c r="O25085">
        <v>520</v>
      </c>
    </row>
    <row r="25086" spans="1:15" x14ac:dyDescent="0.25">
      <c r="A25086" t="s">
        <v>25099</v>
      </c>
      <c r="B25086">
        <v>1233</v>
      </c>
      <c r="C25086" s="1" t="str">
        <f>HYPERLINK("http://www.rosaceae.org/gb/gbrowse/malus_x_domestica/?name=MDP0000321985","MDP0000321985")</f>
        <v>MDP0000321985</v>
      </c>
      <c r="D25086">
        <v>69.09</v>
      </c>
      <c r="E25086">
        <v>838</v>
      </c>
      <c r="F25086">
        <v>259</v>
      </c>
      <c r="G25086">
        <v>49</v>
      </c>
      <c r="H25086">
        <v>312</v>
      </c>
      <c r="I25086">
        <v>1147</v>
      </c>
      <c r="J25086">
        <v>1</v>
      </c>
      <c r="K25086">
        <v>268</v>
      </c>
      <c r="L25086">
        <v>1058</v>
      </c>
      <c r="M25086">
        <v>1</v>
      </c>
      <c r="N25086">
        <v>0</v>
      </c>
      <c r="O25086">
        <v>2968</v>
      </c>
    </row>
    <row r="25087" spans="1:15" x14ac:dyDescent="0.25">
      <c r="A25087" t="s">
        <v>25100</v>
      </c>
      <c r="B25087">
        <v>453</v>
      </c>
      <c r="C25087" s="1" t="str">
        <f>HYPERLINK("http://www.rosaceae.org/gb/gbrowse/malus_x_domestica/?name=MDP0000148314","MDP0000148314")</f>
        <v>MDP0000148314</v>
      </c>
      <c r="D25087">
        <v>67.319999999999993</v>
      </c>
      <c r="E25087">
        <v>456</v>
      </c>
      <c r="F25087">
        <v>149</v>
      </c>
      <c r="G25087">
        <v>7</v>
      </c>
      <c r="H25087">
        <v>1</v>
      </c>
      <c r="I25087">
        <v>453</v>
      </c>
      <c r="J25087">
        <v>1</v>
      </c>
      <c r="K25087">
        <v>1</v>
      </c>
      <c r="L25087">
        <v>452</v>
      </c>
      <c r="M25087">
        <v>1</v>
      </c>
      <c r="N25087">
        <v>0</v>
      </c>
      <c r="O25087">
        <v>1628</v>
      </c>
    </row>
    <row r="25088" spans="1:15" x14ac:dyDescent="0.25">
      <c r="A25088" t="s">
        <v>25101</v>
      </c>
      <c r="B25088">
        <v>244</v>
      </c>
      <c r="C25088" s="1" t="str">
        <f>HYPERLINK("http://www.rosaceae.org/gb/gbrowse/malus_x_domestica/?name=MDP0000893506","MDP0000893506")</f>
        <v>MDP0000893506</v>
      </c>
      <c r="D25088">
        <v>48.88</v>
      </c>
      <c r="E25088">
        <v>268</v>
      </c>
      <c r="F25088">
        <v>137</v>
      </c>
      <c r="G25088">
        <v>36</v>
      </c>
      <c r="H25088">
        <v>1</v>
      </c>
      <c r="I25088">
        <v>244</v>
      </c>
      <c r="J25088">
        <v>1</v>
      </c>
      <c r="K25088">
        <v>1</v>
      </c>
      <c r="L25088">
        <v>256</v>
      </c>
      <c r="M25088">
        <v>1</v>
      </c>
      <c r="N25088">
        <v>8.2804400000000001E-49</v>
      </c>
      <c r="O25088">
        <v>484</v>
      </c>
    </row>
    <row r="25089" spans="1:15" x14ac:dyDescent="0.25">
      <c r="A25089" t="s">
        <v>25102</v>
      </c>
      <c r="B25089">
        <v>576</v>
      </c>
      <c r="C25089" s="1" t="str">
        <f>HYPERLINK("http://www.rosaceae.org/gb/gbrowse/malus_x_domestica/?name=MDP0000933146","MDP0000933146")</f>
        <v>MDP0000933146</v>
      </c>
      <c r="D25089">
        <v>48.78</v>
      </c>
      <c r="E25089">
        <v>533</v>
      </c>
      <c r="F25089">
        <v>273</v>
      </c>
      <c r="G25089">
        <v>27</v>
      </c>
      <c r="H25089">
        <v>46</v>
      </c>
      <c r="I25089">
        <v>575</v>
      </c>
      <c r="J25089">
        <v>1</v>
      </c>
      <c r="K25089">
        <v>24</v>
      </c>
      <c r="L25089">
        <v>532</v>
      </c>
      <c r="M25089">
        <v>1</v>
      </c>
      <c r="N25089">
        <v>4.8512000000000002E-145</v>
      </c>
      <c r="O25089">
        <v>1318</v>
      </c>
    </row>
    <row r="25090" spans="1:15" x14ac:dyDescent="0.25">
      <c r="A25090" t="s">
        <v>25103</v>
      </c>
      <c r="B25090">
        <v>410</v>
      </c>
      <c r="C25090" s="1" t="str">
        <f>HYPERLINK("http://www.rosaceae.org/gb/gbrowse/malus_x_domestica/?name=MDP0000178691","MDP0000178691")</f>
        <v>MDP0000178691</v>
      </c>
      <c r="D25090">
        <v>51.05</v>
      </c>
      <c r="E25090">
        <v>425</v>
      </c>
      <c r="F25090">
        <v>208</v>
      </c>
      <c r="G25090">
        <v>47</v>
      </c>
      <c r="H25090">
        <v>18</v>
      </c>
      <c r="I25090">
        <v>407</v>
      </c>
      <c r="J25090">
        <v>1</v>
      </c>
      <c r="K25090">
        <v>43</v>
      </c>
      <c r="L25090">
        <v>455</v>
      </c>
      <c r="M25090">
        <v>1</v>
      </c>
      <c r="N25090">
        <v>2.6615500000000001E-112</v>
      </c>
      <c r="O25090">
        <v>1034</v>
      </c>
    </row>
    <row r="25091" spans="1:15" x14ac:dyDescent="0.25">
      <c r="A25091" t="s">
        <v>25104</v>
      </c>
      <c r="B25091">
        <v>966</v>
      </c>
      <c r="C25091" s="1" t="str">
        <f>HYPERLINK("http://www.rosaceae.org/gb/gbrowse/malus_x_domestica/?name=MDP0000152620","MDP0000152620")</f>
        <v>MDP0000152620</v>
      </c>
      <c r="D25091">
        <v>83.22</v>
      </c>
      <c r="E25091">
        <v>966</v>
      </c>
      <c r="F25091">
        <v>162</v>
      </c>
      <c r="G25091">
        <v>1</v>
      </c>
      <c r="H25091">
        <v>1</v>
      </c>
      <c r="I25091">
        <v>966</v>
      </c>
      <c r="J25091">
        <v>1</v>
      </c>
      <c r="K25091">
        <v>2</v>
      </c>
      <c r="L25091">
        <v>966</v>
      </c>
      <c r="M25091">
        <v>1</v>
      </c>
      <c r="N25091">
        <v>0</v>
      </c>
      <c r="O25091">
        <v>4257</v>
      </c>
    </row>
    <row r="25092" spans="1:15" x14ac:dyDescent="0.25">
      <c r="A25092" t="s">
        <v>25105</v>
      </c>
      <c r="B25092">
        <v>764</v>
      </c>
      <c r="C25092" s="1" t="str">
        <f>HYPERLINK("http://www.rosaceae.org/gb/gbrowse/malus_x_domestica/?name=MDP0000034165","MDP0000034165")</f>
        <v>MDP0000034165</v>
      </c>
      <c r="D25092">
        <v>88.08</v>
      </c>
      <c r="E25092">
        <v>764</v>
      </c>
      <c r="F25092">
        <v>91</v>
      </c>
      <c r="G25092">
        <v>3</v>
      </c>
      <c r="H25092">
        <v>1</v>
      </c>
      <c r="I25092">
        <v>764</v>
      </c>
      <c r="J25092">
        <v>1</v>
      </c>
      <c r="K25092">
        <v>1</v>
      </c>
      <c r="L25092">
        <v>761</v>
      </c>
      <c r="M25092">
        <v>1</v>
      </c>
      <c r="N25092">
        <v>0</v>
      </c>
      <c r="O25092">
        <v>3644</v>
      </c>
    </row>
    <row r="25093" spans="1:15" x14ac:dyDescent="0.25">
      <c r="A25093" t="s">
        <v>25106</v>
      </c>
      <c r="B25093">
        <v>137</v>
      </c>
      <c r="C25093" s="1" t="str">
        <f>HYPERLINK("http://www.rosaceae.org/gb/gbrowse/malus_x_domestica/?name=MDP0000443333","MDP0000443333")</f>
        <v>MDP0000443333</v>
      </c>
      <c r="D25093">
        <v>46.91</v>
      </c>
      <c r="E25093">
        <v>81</v>
      </c>
      <c r="F25093">
        <v>43</v>
      </c>
      <c r="G25093">
        <v>7</v>
      </c>
      <c r="H25093">
        <v>59</v>
      </c>
      <c r="I25093">
        <v>132</v>
      </c>
      <c r="J25093">
        <v>1</v>
      </c>
      <c r="K25093">
        <v>51</v>
      </c>
      <c r="L25093">
        <v>131</v>
      </c>
      <c r="M25093">
        <v>1</v>
      </c>
      <c r="N25093">
        <v>2.67381E-15</v>
      </c>
      <c r="O25093">
        <v>191</v>
      </c>
    </row>
    <row r="25094" spans="1:15" x14ac:dyDescent="0.25">
      <c r="A25094" t="s">
        <v>25107</v>
      </c>
      <c r="B25094">
        <v>839</v>
      </c>
      <c r="C25094" s="1" t="str">
        <f>HYPERLINK("http://www.rosaceae.org/gb/gbrowse/malus_x_domestica/?name=MDP0000762971","MDP0000762971")</f>
        <v>MDP0000762971</v>
      </c>
      <c r="D25094">
        <v>69.3</v>
      </c>
      <c r="E25094">
        <v>733</v>
      </c>
      <c r="F25094">
        <v>225</v>
      </c>
      <c r="G25094">
        <v>6</v>
      </c>
      <c r="H25094">
        <v>110</v>
      </c>
      <c r="I25094">
        <v>839</v>
      </c>
      <c r="J25094">
        <v>1</v>
      </c>
      <c r="K25094">
        <v>15</v>
      </c>
      <c r="L25094">
        <v>744</v>
      </c>
      <c r="M25094">
        <v>1</v>
      </c>
      <c r="N25094">
        <v>0</v>
      </c>
      <c r="O25094">
        <v>2784</v>
      </c>
    </row>
    <row r="25095" spans="1:15" x14ac:dyDescent="0.25">
      <c r="A25095" t="s">
        <v>25108</v>
      </c>
      <c r="B25095">
        <v>669</v>
      </c>
      <c r="C25095" s="1" t="str">
        <f>HYPERLINK("http://www.rosaceae.org/gb/gbrowse/malus_x_domestica/?name=MDP0000273006","MDP0000273006")</f>
        <v>MDP0000273006</v>
      </c>
      <c r="D25095">
        <v>74.16</v>
      </c>
      <c r="E25095">
        <v>631</v>
      </c>
      <c r="F25095">
        <v>163</v>
      </c>
      <c r="G25095">
        <v>59</v>
      </c>
      <c r="H25095">
        <v>98</v>
      </c>
      <c r="I25095">
        <v>669</v>
      </c>
      <c r="J25095">
        <v>1</v>
      </c>
      <c r="K25095">
        <v>849</v>
      </c>
      <c r="L25095">
        <v>1479</v>
      </c>
      <c r="M25095">
        <v>1</v>
      </c>
      <c r="N25095">
        <v>0</v>
      </c>
      <c r="O25095">
        <v>2357</v>
      </c>
    </row>
    <row r="25096" spans="1:15" x14ac:dyDescent="0.25">
      <c r="A25096" t="s">
        <v>25109</v>
      </c>
      <c r="B25096">
        <v>279</v>
      </c>
      <c r="C25096" s="1" t="str">
        <f>HYPERLINK("http://www.rosaceae.org/gb/gbrowse/malus_x_domestica/?name=MDP0000312793","MDP0000312793")</f>
        <v>MDP0000312793</v>
      </c>
      <c r="D25096">
        <v>42.72</v>
      </c>
      <c r="E25096">
        <v>110</v>
      </c>
      <c r="F25096">
        <v>63</v>
      </c>
      <c r="G25096">
        <v>11</v>
      </c>
      <c r="H25096">
        <v>177</v>
      </c>
      <c r="I25096">
        <v>275</v>
      </c>
      <c r="J25096">
        <v>1</v>
      </c>
      <c r="K25096">
        <v>281</v>
      </c>
      <c r="L25096">
        <v>390</v>
      </c>
      <c r="M25096">
        <v>1</v>
      </c>
      <c r="N25096">
        <v>2.2967399999999999E-15</v>
      </c>
      <c r="O25096">
        <v>196</v>
      </c>
    </row>
    <row r="25097" spans="1:15" x14ac:dyDescent="0.25">
      <c r="A25097" t="s">
        <v>25110</v>
      </c>
      <c r="B25097">
        <v>630</v>
      </c>
      <c r="C25097" s="1" t="str">
        <f>HYPERLINK("http://www.rosaceae.org/gb/gbrowse/malus_x_domestica/?name=MDP0000362000","MDP0000362000")</f>
        <v>MDP0000362000</v>
      </c>
      <c r="D25097">
        <v>80.510000000000005</v>
      </c>
      <c r="E25097">
        <v>462</v>
      </c>
      <c r="F25097">
        <v>90</v>
      </c>
      <c r="G25097">
        <v>28</v>
      </c>
      <c r="H25097">
        <v>27</v>
      </c>
      <c r="I25097">
        <v>465</v>
      </c>
      <c r="J25097">
        <v>1</v>
      </c>
      <c r="K25097">
        <v>1</v>
      </c>
      <c r="L25097">
        <v>457</v>
      </c>
      <c r="M25097">
        <v>1</v>
      </c>
      <c r="N25097">
        <v>0</v>
      </c>
      <c r="O25097">
        <v>1855</v>
      </c>
    </row>
    <row r="25098" spans="1:15" x14ac:dyDescent="0.25">
      <c r="A25098" t="s">
        <v>25111</v>
      </c>
      <c r="B25098">
        <v>267</v>
      </c>
      <c r="C25098" s="1" t="str">
        <f>HYPERLINK("http://www.rosaceae.org/gb/gbrowse/malus_x_domestica/?name=MDP0000453190","MDP0000453190")</f>
        <v>MDP0000453190</v>
      </c>
      <c r="D25098">
        <v>60.96</v>
      </c>
      <c r="E25098">
        <v>228</v>
      </c>
      <c r="F25098">
        <v>89</v>
      </c>
      <c r="G25098">
        <v>40</v>
      </c>
      <c r="H25098">
        <v>79</v>
      </c>
      <c r="I25098">
        <v>266</v>
      </c>
      <c r="J25098">
        <v>1</v>
      </c>
      <c r="K25098">
        <v>92</v>
      </c>
      <c r="L25098">
        <v>319</v>
      </c>
      <c r="M25098">
        <v>1</v>
      </c>
      <c r="N25098">
        <v>1.4584099999999999E-73</v>
      </c>
      <c r="O25098">
        <v>698</v>
      </c>
    </row>
    <row r="25099" spans="1:15" x14ac:dyDescent="0.25">
      <c r="A25099" t="s">
        <v>25112</v>
      </c>
      <c r="B25099">
        <v>131</v>
      </c>
      <c r="C25099" s="1" t="str">
        <f>HYPERLINK("http://www.rosaceae.org/gb/gbrowse/malus_x_domestica/?name=MDP0000230240","MDP0000230240")</f>
        <v>MDP0000230240</v>
      </c>
      <c r="D25099">
        <v>40.76</v>
      </c>
      <c r="E25099">
        <v>130</v>
      </c>
      <c r="F25099">
        <v>77</v>
      </c>
      <c r="G25099">
        <v>5</v>
      </c>
      <c r="H25099">
        <v>6</v>
      </c>
      <c r="I25099">
        <v>131</v>
      </c>
      <c r="J25099">
        <v>1</v>
      </c>
      <c r="K25099">
        <v>7</v>
      </c>
      <c r="L25099">
        <v>135</v>
      </c>
      <c r="M25099">
        <v>1</v>
      </c>
      <c r="N25099">
        <v>8.4606200000000001E-9</v>
      </c>
      <c r="O25099">
        <v>134</v>
      </c>
    </row>
    <row r="25100" spans="1:15" x14ac:dyDescent="0.25">
      <c r="A25100" t="s">
        <v>25113</v>
      </c>
      <c r="B25100">
        <v>425</v>
      </c>
      <c r="C25100" s="1" t="str">
        <f>HYPERLINK("http://www.rosaceae.org/gb/gbrowse/malus_x_domestica/?name=MDP0000278586","MDP0000278586")</f>
        <v>MDP0000278586</v>
      </c>
      <c r="D25100">
        <v>60.64</v>
      </c>
      <c r="E25100">
        <v>437</v>
      </c>
      <c r="F25100">
        <v>172</v>
      </c>
      <c r="G25100">
        <v>45</v>
      </c>
      <c r="H25100">
        <v>4</v>
      </c>
      <c r="I25100">
        <v>425</v>
      </c>
      <c r="J25100">
        <v>1</v>
      </c>
      <c r="K25100">
        <v>761</v>
      </c>
      <c r="L25100">
        <v>1167</v>
      </c>
      <c r="M25100">
        <v>1</v>
      </c>
      <c r="N25100">
        <v>1.15524E-135</v>
      </c>
      <c r="O25100">
        <v>1236</v>
      </c>
    </row>
    <row r="25101" spans="1:15" x14ac:dyDescent="0.25">
      <c r="A25101" t="s">
        <v>25114</v>
      </c>
      <c r="B25101">
        <v>715</v>
      </c>
      <c r="C25101" s="1" t="str">
        <f>HYPERLINK("http://www.rosaceae.org/gb/gbrowse/malus_x_domestica/?name=MDP0000292793","MDP0000292793")</f>
        <v>MDP0000292793</v>
      </c>
      <c r="D25101">
        <v>69.430000000000007</v>
      </c>
      <c r="E25101">
        <v>723</v>
      </c>
      <c r="F25101">
        <v>221</v>
      </c>
      <c r="G25101">
        <v>26</v>
      </c>
      <c r="H25101">
        <v>1</v>
      </c>
      <c r="I25101">
        <v>715</v>
      </c>
      <c r="J25101">
        <v>1</v>
      </c>
      <c r="K25101">
        <v>1</v>
      </c>
      <c r="L25101">
        <v>705</v>
      </c>
      <c r="M25101">
        <v>1</v>
      </c>
      <c r="N25101">
        <v>0</v>
      </c>
      <c r="O25101">
        <v>2478</v>
      </c>
    </row>
    <row r="25102" spans="1:15" x14ac:dyDescent="0.25">
      <c r="A25102" t="s">
        <v>25115</v>
      </c>
      <c r="B25102">
        <v>224</v>
      </c>
      <c r="C25102" s="1" t="str">
        <f>HYPERLINK("http://www.rosaceae.org/gb/gbrowse/malus_x_domestica/?name=MDP0000380032","MDP0000380032")</f>
        <v>MDP0000380032</v>
      </c>
      <c r="D25102">
        <v>65.17</v>
      </c>
      <c r="E25102">
        <v>224</v>
      </c>
      <c r="F25102">
        <v>78</v>
      </c>
      <c r="G25102">
        <v>0</v>
      </c>
      <c r="H25102">
        <v>1</v>
      </c>
      <c r="I25102">
        <v>224</v>
      </c>
      <c r="J25102">
        <v>1</v>
      </c>
      <c r="K25102">
        <v>1</v>
      </c>
      <c r="L25102">
        <v>224</v>
      </c>
      <c r="M25102">
        <v>1</v>
      </c>
      <c r="N25102">
        <v>1.3129E-80</v>
      </c>
      <c r="O25102">
        <v>757</v>
      </c>
    </row>
    <row r="25103" spans="1:15" x14ac:dyDescent="0.25">
      <c r="A25103" t="s">
        <v>25116</v>
      </c>
      <c r="B25103">
        <v>344</v>
      </c>
      <c r="C25103" s="1" t="str">
        <f>HYPERLINK("http://www.rosaceae.org/gb/gbrowse/malus_x_domestica/?name=MDP0000312991","MDP0000312991")</f>
        <v>MDP0000312991</v>
      </c>
      <c r="D25103">
        <v>65.180000000000007</v>
      </c>
      <c r="E25103">
        <v>270</v>
      </c>
      <c r="F25103">
        <v>94</v>
      </c>
      <c r="G25103">
        <v>19</v>
      </c>
      <c r="H25103">
        <v>1</v>
      </c>
      <c r="I25103">
        <v>264</v>
      </c>
      <c r="J25103">
        <v>1</v>
      </c>
      <c r="K25103">
        <v>1</v>
      </c>
      <c r="L25103">
        <v>257</v>
      </c>
      <c r="M25103">
        <v>1</v>
      </c>
      <c r="N25103">
        <v>1.63319E-86</v>
      </c>
      <c r="O25103">
        <v>811</v>
      </c>
    </row>
    <row r="25104" spans="1:15" x14ac:dyDescent="0.25">
      <c r="A25104" t="s">
        <v>25117</v>
      </c>
      <c r="B25104">
        <v>657</v>
      </c>
      <c r="C25104" s="1" t="str">
        <f>HYPERLINK("http://www.rosaceae.org/gb/gbrowse/malus_x_domestica/?name=MDP0000241938","MDP0000241938")</f>
        <v>MDP0000241938</v>
      </c>
      <c r="D25104">
        <v>60.76</v>
      </c>
      <c r="E25104">
        <v>469</v>
      </c>
      <c r="F25104">
        <v>184</v>
      </c>
      <c r="G25104">
        <v>63</v>
      </c>
      <c r="H25104">
        <v>207</v>
      </c>
      <c r="I25104">
        <v>651</v>
      </c>
      <c r="J25104">
        <v>1</v>
      </c>
      <c r="K25104">
        <v>42</v>
      </c>
      <c r="L25104">
        <v>471</v>
      </c>
      <c r="M25104">
        <v>1</v>
      </c>
      <c r="N25104">
        <v>4.2969599999999997E-146</v>
      </c>
      <c r="O25104">
        <v>1328</v>
      </c>
    </row>
    <row r="25105" spans="1:15" x14ac:dyDescent="0.25">
      <c r="A25105" t="s">
        <v>25118</v>
      </c>
      <c r="B25105">
        <v>198</v>
      </c>
      <c r="C25105" s="1" t="str">
        <f>HYPERLINK("http://www.rosaceae.org/gb/gbrowse/malus_x_domestica/?name=MDP0000929168","MDP0000929168")</f>
        <v>MDP0000929168</v>
      </c>
      <c r="D25105">
        <v>44.84</v>
      </c>
      <c r="E25105">
        <v>194</v>
      </c>
      <c r="F25105">
        <v>107</v>
      </c>
      <c r="G25105">
        <v>2</v>
      </c>
      <c r="H25105">
        <v>1</v>
      </c>
      <c r="I25105">
        <v>193</v>
      </c>
      <c r="J25105">
        <v>1</v>
      </c>
      <c r="K25105">
        <v>1</v>
      </c>
      <c r="L25105">
        <v>193</v>
      </c>
      <c r="M25105">
        <v>1</v>
      </c>
      <c r="N25105">
        <v>8.2544800000000002E-44</v>
      </c>
      <c r="O25105">
        <v>439</v>
      </c>
    </row>
    <row r="25106" spans="1:15" x14ac:dyDescent="0.25">
      <c r="A25106" t="s">
        <v>25119</v>
      </c>
      <c r="B25106">
        <v>191</v>
      </c>
      <c r="C25106" s="1" t="str">
        <f>HYPERLINK("http://www.rosaceae.org/gb/gbrowse/malus_x_domestica/?name=MDP0000405349","MDP0000405349")</f>
        <v>MDP0000405349</v>
      </c>
      <c r="D25106">
        <v>93.87</v>
      </c>
      <c r="E25106">
        <v>49</v>
      </c>
      <c r="F25106">
        <v>3</v>
      </c>
      <c r="G25106">
        <v>1</v>
      </c>
      <c r="H25106">
        <v>51</v>
      </c>
      <c r="I25106">
        <v>98</v>
      </c>
      <c r="J25106">
        <v>1</v>
      </c>
      <c r="K25106">
        <v>10</v>
      </c>
      <c r="L25106">
        <v>58</v>
      </c>
      <c r="M25106">
        <v>1</v>
      </c>
      <c r="N25106">
        <v>6.5989000000000002E-19</v>
      </c>
      <c r="O25106">
        <v>224</v>
      </c>
    </row>
    <row r="25107" spans="1:15" x14ac:dyDescent="0.25">
      <c r="A25107" t="s">
        <v>25120</v>
      </c>
      <c r="B25107">
        <v>915</v>
      </c>
      <c r="C25107" s="1" t="str">
        <f>HYPERLINK("http://www.rosaceae.org/gb/gbrowse/malus_x_domestica/?name=MDP0000316304","MDP0000316304")</f>
        <v>MDP0000316304</v>
      </c>
      <c r="D25107">
        <v>66.86</v>
      </c>
      <c r="E25107">
        <v>860</v>
      </c>
      <c r="F25107">
        <v>285</v>
      </c>
      <c r="G25107">
        <v>54</v>
      </c>
      <c r="H25107">
        <v>1</v>
      </c>
      <c r="I25107">
        <v>812</v>
      </c>
      <c r="J25107">
        <v>1</v>
      </c>
      <c r="K25107">
        <v>3</v>
      </c>
      <c r="L25107">
        <v>856</v>
      </c>
      <c r="M25107">
        <v>1</v>
      </c>
      <c r="N25107">
        <v>0</v>
      </c>
      <c r="O25107">
        <v>3049</v>
      </c>
    </row>
    <row r="25108" spans="1:15" x14ac:dyDescent="0.25">
      <c r="A25108" t="s">
        <v>25121</v>
      </c>
      <c r="B25108">
        <v>140</v>
      </c>
      <c r="C25108" s="1" t="str">
        <f>HYPERLINK("http://www.rosaceae.org/gb/gbrowse/malus_x_domestica/?name=MDP0000927926","MDP0000927926")</f>
        <v>MDP0000927926</v>
      </c>
      <c r="D25108">
        <v>68.86</v>
      </c>
      <c r="E25108">
        <v>167</v>
      </c>
      <c r="F25108">
        <v>52</v>
      </c>
      <c r="G25108">
        <v>30</v>
      </c>
      <c r="H25108">
        <v>4</v>
      </c>
      <c r="I25108">
        <v>140</v>
      </c>
      <c r="J25108">
        <v>1</v>
      </c>
      <c r="K25108">
        <v>1</v>
      </c>
      <c r="L25108">
        <v>167</v>
      </c>
      <c r="M25108">
        <v>1</v>
      </c>
      <c r="N25108">
        <v>7.4689199999999995E-63</v>
      </c>
      <c r="O25108">
        <v>601</v>
      </c>
    </row>
    <row r="25109" spans="1:15" x14ac:dyDescent="0.25">
      <c r="A25109" t="s">
        <v>25122</v>
      </c>
      <c r="B25109">
        <v>384</v>
      </c>
      <c r="C25109" s="1" t="str">
        <f>HYPERLINK("http://www.rosaceae.org/gb/gbrowse/malus_x_domestica/?name=MDP0000792734","MDP0000792734")</f>
        <v>MDP0000792734</v>
      </c>
      <c r="D25109">
        <v>52.73</v>
      </c>
      <c r="E25109">
        <v>347</v>
      </c>
      <c r="F25109">
        <v>164</v>
      </c>
      <c r="G25109">
        <v>6</v>
      </c>
      <c r="H25109">
        <v>39</v>
      </c>
      <c r="I25109">
        <v>381</v>
      </c>
      <c r="J25109">
        <v>1</v>
      </c>
      <c r="K25109">
        <v>54</v>
      </c>
      <c r="L25109">
        <v>398</v>
      </c>
      <c r="M25109">
        <v>1</v>
      </c>
      <c r="N25109">
        <v>4.0334799999999996E-93</v>
      </c>
      <c r="O25109">
        <v>868</v>
      </c>
    </row>
    <row r="25110" spans="1:15" x14ac:dyDescent="0.25">
      <c r="A25110" t="s">
        <v>25123</v>
      </c>
      <c r="B25110">
        <v>186</v>
      </c>
      <c r="C25110" s="1" t="str">
        <f>HYPERLINK("http://www.rosaceae.org/gb/gbrowse/malus_x_domestica/?name=MDP0000947647","MDP0000947647")</f>
        <v>MDP0000947647</v>
      </c>
      <c r="D25110">
        <v>83.87</v>
      </c>
      <c r="E25110">
        <v>155</v>
      </c>
      <c r="F25110">
        <v>25</v>
      </c>
      <c r="G25110">
        <v>0</v>
      </c>
      <c r="H25110">
        <v>32</v>
      </c>
      <c r="I25110">
        <v>186</v>
      </c>
      <c r="J25110">
        <v>1</v>
      </c>
      <c r="K25110">
        <v>1</v>
      </c>
      <c r="L25110">
        <v>155</v>
      </c>
      <c r="M25110">
        <v>1</v>
      </c>
      <c r="N25110">
        <v>1.44926E-72</v>
      </c>
      <c r="O25110">
        <v>687</v>
      </c>
    </row>
    <row r="25111" spans="1:15" x14ac:dyDescent="0.25">
      <c r="A25111" t="s">
        <v>25124</v>
      </c>
      <c r="B25111">
        <v>326</v>
      </c>
      <c r="C25111" s="1" t="str">
        <f>HYPERLINK("http://www.rosaceae.org/gb/gbrowse/malus_x_domestica/?name=MDP0000120387","MDP0000120387")</f>
        <v>MDP0000120387</v>
      </c>
      <c r="D25111">
        <v>86.2</v>
      </c>
      <c r="E25111">
        <v>319</v>
      </c>
      <c r="F25111">
        <v>44</v>
      </c>
      <c r="G25111">
        <v>1</v>
      </c>
      <c r="H25111">
        <v>8</v>
      </c>
      <c r="I25111">
        <v>325</v>
      </c>
      <c r="J25111">
        <v>1</v>
      </c>
      <c r="K25111">
        <v>109</v>
      </c>
      <c r="L25111">
        <v>427</v>
      </c>
      <c r="M25111">
        <v>1</v>
      </c>
      <c r="N25111">
        <v>2.1685599999999999E-163</v>
      </c>
      <c r="O25111">
        <v>1473</v>
      </c>
    </row>
    <row r="25112" spans="1:15" x14ac:dyDescent="0.25">
      <c r="A25112" t="s">
        <v>25125</v>
      </c>
      <c r="B25112">
        <v>1832</v>
      </c>
      <c r="C25112" s="1" t="str">
        <f>HYPERLINK("http://www.rosaceae.org/gb/gbrowse/malus_x_domestica/?name=MDP0000003570","MDP0000003570")</f>
        <v>MDP0000003570</v>
      </c>
      <c r="D25112">
        <v>93.34</v>
      </c>
      <c r="E25112">
        <v>1563</v>
      </c>
      <c r="F25112">
        <v>104</v>
      </c>
      <c r="G25112">
        <v>40</v>
      </c>
      <c r="H25112">
        <v>1</v>
      </c>
      <c r="I25112">
        <v>1523</v>
      </c>
      <c r="J25112">
        <v>1</v>
      </c>
      <c r="K25112">
        <v>1</v>
      </c>
      <c r="L25112">
        <v>1563</v>
      </c>
      <c r="M25112">
        <v>1</v>
      </c>
      <c r="N25112">
        <v>0</v>
      </c>
      <c r="O25112">
        <v>7834</v>
      </c>
    </row>
    <row r="25113" spans="1:15" x14ac:dyDescent="0.25">
      <c r="A25113" t="s">
        <v>25126</v>
      </c>
      <c r="B25113">
        <v>621</v>
      </c>
      <c r="C25113" s="1" t="str">
        <f>HYPERLINK("http://www.rosaceae.org/gb/gbrowse/malus_x_domestica/?name=MDP0000155949","MDP0000155949")</f>
        <v>MDP0000155949</v>
      </c>
      <c r="D25113">
        <v>24.03</v>
      </c>
      <c r="E25113">
        <v>337</v>
      </c>
      <c r="F25113">
        <v>256</v>
      </c>
      <c r="G25113">
        <v>65</v>
      </c>
      <c r="H25113">
        <v>85</v>
      </c>
      <c r="I25113">
        <v>414</v>
      </c>
      <c r="J25113">
        <v>1</v>
      </c>
      <c r="K25113">
        <v>124</v>
      </c>
      <c r="L25113">
        <v>402</v>
      </c>
      <c r="M25113">
        <v>1</v>
      </c>
      <c r="N25113">
        <v>4.71872E-11</v>
      </c>
      <c r="O25113">
        <v>163</v>
      </c>
    </row>
    <row r="25114" spans="1:15" x14ac:dyDescent="0.25">
      <c r="A25114" t="s">
        <v>25127</v>
      </c>
      <c r="B25114">
        <v>486</v>
      </c>
      <c r="C25114" s="1" t="str">
        <f>HYPERLINK("http://www.rosaceae.org/gb/gbrowse/malus_x_domestica/?name=MDP0000273111","MDP0000273111")</f>
        <v>MDP0000273111</v>
      </c>
      <c r="D25114">
        <v>77.84</v>
      </c>
      <c r="E25114">
        <v>465</v>
      </c>
      <c r="F25114">
        <v>103</v>
      </c>
      <c r="G25114">
        <v>5</v>
      </c>
      <c r="H25114">
        <v>4</v>
      </c>
      <c r="I25114">
        <v>468</v>
      </c>
      <c r="J25114">
        <v>1</v>
      </c>
      <c r="K25114">
        <v>1078</v>
      </c>
      <c r="L25114">
        <v>1537</v>
      </c>
      <c r="M25114">
        <v>1</v>
      </c>
      <c r="N25114">
        <v>0</v>
      </c>
      <c r="O25114">
        <v>1935</v>
      </c>
    </row>
    <row r="25115" spans="1:15" x14ac:dyDescent="0.25">
      <c r="A25115" t="s">
        <v>25128</v>
      </c>
      <c r="B25115">
        <v>347</v>
      </c>
      <c r="C25115" s="1" t="str">
        <f>HYPERLINK("http://www.rosaceae.org/gb/gbrowse/malus_x_domestica/?name=MDP0000638064","MDP0000638064")</f>
        <v>MDP0000638064</v>
      </c>
      <c r="D25115">
        <v>57</v>
      </c>
      <c r="E25115">
        <v>207</v>
      </c>
      <c r="F25115">
        <v>89</v>
      </c>
      <c r="G25115">
        <v>0</v>
      </c>
      <c r="H25115">
        <v>141</v>
      </c>
      <c r="I25115">
        <v>347</v>
      </c>
      <c r="J25115">
        <v>1</v>
      </c>
      <c r="K25115">
        <v>249</v>
      </c>
      <c r="L25115">
        <v>455</v>
      </c>
      <c r="M25115">
        <v>1</v>
      </c>
      <c r="N25115">
        <v>3.5909300000000001E-59</v>
      </c>
      <c r="O25115">
        <v>575</v>
      </c>
    </row>
    <row r="25116" spans="1:15" x14ac:dyDescent="0.25">
      <c r="A25116" t="s">
        <v>25129</v>
      </c>
      <c r="B25116">
        <v>222</v>
      </c>
      <c r="C25116" s="1" t="str">
        <f>HYPERLINK("http://www.rosaceae.org/gb/gbrowse/malus_x_domestica/?name=MDP0000345456","MDP0000345456")</f>
        <v>MDP0000345456</v>
      </c>
      <c r="D25116">
        <v>61.94</v>
      </c>
      <c r="E25116">
        <v>134</v>
      </c>
      <c r="F25116">
        <v>51</v>
      </c>
      <c r="G25116">
        <v>0</v>
      </c>
      <c r="H25116">
        <v>89</v>
      </c>
      <c r="I25116">
        <v>222</v>
      </c>
      <c r="J25116">
        <v>1</v>
      </c>
      <c r="K25116">
        <v>43</v>
      </c>
      <c r="L25116">
        <v>176</v>
      </c>
      <c r="M25116">
        <v>1</v>
      </c>
      <c r="N25116">
        <v>4.3828999999999998E-39</v>
      </c>
      <c r="O25116">
        <v>399</v>
      </c>
    </row>
    <row r="25117" spans="1:15" x14ac:dyDescent="0.25">
      <c r="A25117" t="s">
        <v>25130</v>
      </c>
      <c r="B25117">
        <v>284</v>
      </c>
      <c r="C25117" s="1" t="str">
        <f>HYPERLINK("http://www.rosaceae.org/gb/gbrowse/malus_x_domestica/?name=MDP0000138698","MDP0000138698")</f>
        <v>MDP0000138698</v>
      </c>
      <c r="D25117">
        <v>33.43</v>
      </c>
      <c r="E25117">
        <v>320</v>
      </c>
      <c r="F25117">
        <v>213</v>
      </c>
      <c r="G25117">
        <v>37</v>
      </c>
      <c r="H25117">
        <v>1</v>
      </c>
      <c r="I25117">
        <v>284</v>
      </c>
      <c r="J25117">
        <v>1</v>
      </c>
      <c r="K25117">
        <v>94</v>
      </c>
      <c r="L25117">
        <v>412</v>
      </c>
      <c r="M25117">
        <v>1</v>
      </c>
      <c r="N25117">
        <v>4.6446100000000001E-42</v>
      </c>
      <c r="O25117">
        <v>426</v>
      </c>
    </row>
    <row r="25118" spans="1:15" x14ac:dyDescent="0.25">
      <c r="A25118" t="s">
        <v>25131</v>
      </c>
      <c r="B25118">
        <v>960</v>
      </c>
      <c r="C25118" s="1" t="str">
        <f>HYPERLINK("http://www.rosaceae.org/gb/gbrowse/malus_x_domestica/?name=MDP0000010610","MDP0000010610")</f>
        <v>MDP0000010610</v>
      </c>
      <c r="D25118">
        <v>70.13</v>
      </c>
      <c r="E25118">
        <v>787</v>
      </c>
      <c r="F25118">
        <v>235</v>
      </c>
      <c r="G25118">
        <v>23</v>
      </c>
      <c r="H25118">
        <v>1</v>
      </c>
      <c r="I25118">
        <v>781</v>
      </c>
      <c r="J25118">
        <v>1</v>
      </c>
      <c r="K25118">
        <v>1</v>
      </c>
      <c r="L25118">
        <v>770</v>
      </c>
      <c r="M25118">
        <v>1</v>
      </c>
      <c r="N25118">
        <v>0</v>
      </c>
      <c r="O25118">
        <v>2740</v>
      </c>
    </row>
    <row r="25119" spans="1:15" x14ac:dyDescent="0.25">
      <c r="A25119" t="s">
        <v>25132</v>
      </c>
      <c r="B25119">
        <v>243</v>
      </c>
      <c r="C25119" s="1" t="str">
        <f>HYPERLINK("http://www.rosaceae.org/gb/gbrowse/malus_x_domestica/?name=MDP0000498460","MDP0000498460")</f>
        <v>MDP0000498460</v>
      </c>
      <c r="D25119">
        <v>32.14</v>
      </c>
      <c r="E25119">
        <v>196</v>
      </c>
      <c r="F25119">
        <v>133</v>
      </c>
      <c r="G25119">
        <v>7</v>
      </c>
      <c r="H25119">
        <v>41</v>
      </c>
      <c r="I25119">
        <v>231</v>
      </c>
      <c r="J25119">
        <v>1</v>
      </c>
      <c r="K25119">
        <v>54</v>
      </c>
      <c r="L25119">
        <v>247</v>
      </c>
      <c r="M25119">
        <v>1</v>
      </c>
      <c r="N25119">
        <v>3.0730400000000002E-19</v>
      </c>
      <c r="O25119">
        <v>229</v>
      </c>
    </row>
    <row r="25120" spans="1:15" x14ac:dyDescent="0.25">
      <c r="A25120" t="s">
        <v>25133</v>
      </c>
      <c r="B25120">
        <v>148</v>
      </c>
      <c r="C25120" s="1" t="str">
        <f>HYPERLINK("http://www.rosaceae.org/gb/gbrowse/malus_x_domestica/?name=MDP0000383809","MDP0000383809")</f>
        <v>MDP0000383809</v>
      </c>
      <c r="D25120">
        <v>37.81</v>
      </c>
      <c r="E25120">
        <v>119</v>
      </c>
      <c r="F25120">
        <v>74</v>
      </c>
      <c r="G25120">
        <v>0</v>
      </c>
      <c r="H25120">
        <v>28</v>
      </c>
      <c r="I25120">
        <v>146</v>
      </c>
      <c r="J25120">
        <v>1</v>
      </c>
      <c r="K25120">
        <v>1296</v>
      </c>
      <c r="L25120">
        <v>1414</v>
      </c>
      <c r="M25120">
        <v>1</v>
      </c>
      <c r="N25120">
        <v>2.26077E-18</v>
      </c>
      <c r="O25120">
        <v>218</v>
      </c>
    </row>
    <row r="25121" spans="1:15" x14ac:dyDescent="0.25">
      <c r="A25121" t="s">
        <v>25134</v>
      </c>
      <c r="B25121">
        <v>170</v>
      </c>
      <c r="C25121" s="1" t="str">
        <f>HYPERLINK("http://www.rosaceae.org/gb/gbrowse/malus_x_domestica/?name=MDP0000308034","MDP0000308034")</f>
        <v>MDP0000308034</v>
      </c>
      <c r="D25121">
        <v>77.959999999999994</v>
      </c>
      <c r="E25121">
        <v>59</v>
      </c>
      <c r="F25121">
        <v>13</v>
      </c>
      <c r="G25121">
        <v>1</v>
      </c>
      <c r="H25121">
        <v>5</v>
      </c>
      <c r="I25121">
        <v>63</v>
      </c>
      <c r="J25121">
        <v>1</v>
      </c>
      <c r="K25121">
        <v>2</v>
      </c>
      <c r="L25121">
        <v>59</v>
      </c>
      <c r="M25121">
        <v>1</v>
      </c>
      <c r="N25121">
        <v>3.5120699999999996E-21</v>
      </c>
      <c r="O25121">
        <v>243</v>
      </c>
    </row>
    <row r="25122" spans="1:15" x14ac:dyDescent="0.25">
      <c r="A25122" t="s">
        <v>25135</v>
      </c>
      <c r="B25122">
        <v>378</v>
      </c>
      <c r="C25122" s="1" t="str">
        <f>HYPERLINK("http://www.rosaceae.org/gb/gbrowse/malus_x_domestica/?name=MDP0000673553","MDP0000673553")</f>
        <v>MDP0000673553</v>
      </c>
      <c r="D25122">
        <v>55.86</v>
      </c>
      <c r="E25122">
        <v>426</v>
      </c>
      <c r="F25122">
        <v>188</v>
      </c>
      <c r="G25122">
        <v>62</v>
      </c>
      <c r="H25122">
        <v>7</v>
      </c>
      <c r="I25122">
        <v>378</v>
      </c>
      <c r="J25122">
        <v>1</v>
      </c>
      <c r="K25122">
        <v>21</v>
      </c>
      <c r="L25122">
        <v>438</v>
      </c>
      <c r="M25122">
        <v>1</v>
      </c>
      <c r="N25122">
        <v>1.5231300000000001E-125</v>
      </c>
      <c r="O25122">
        <v>1148</v>
      </c>
    </row>
    <row r="25123" spans="1:15" x14ac:dyDescent="0.25">
      <c r="A25123" t="s">
        <v>25136</v>
      </c>
      <c r="B25123">
        <v>646</v>
      </c>
      <c r="C25123" s="1" t="str">
        <f>HYPERLINK("http://www.rosaceae.org/gb/gbrowse/malus_x_domestica/?name=MDP0000438056","MDP0000438056")</f>
        <v>MDP0000438056</v>
      </c>
      <c r="D25123">
        <v>66.87</v>
      </c>
      <c r="E25123">
        <v>646</v>
      </c>
      <c r="F25123">
        <v>214</v>
      </c>
      <c r="G25123">
        <v>14</v>
      </c>
      <c r="H25123">
        <v>1</v>
      </c>
      <c r="I25123">
        <v>646</v>
      </c>
      <c r="J25123">
        <v>1</v>
      </c>
      <c r="K25123">
        <v>1</v>
      </c>
      <c r="L25123">
        <v>632</v>
      </c>
      <c r="M25123">
        <v>1</v>
      </c>
      <c r="N25123">
        <v>0</v>
      </c>
      <c r="O25123">
        <v>2232</v>
      </c>
    </row>
    <row r="25124" spans="1:15" x14ac:dyDescent="0.25">
      <c r="A25124" t="s">
        <v>25137</v>
      </c>
      <c r="B25124">
        <v>2980</v>
      </c>
      <c r="C25124" s="1" t="str">
        <f>HYPERLINK("http://www.rosaceae.org/gb/gbrowse/malus_x_domestica/?name=MDP0000160446","MDP0000160446")</f>
        <v>MDP0000160446</v>
      </c>
      <c r="D25124">
        <v>75.8</v>
      </c>
      <c r="E25124">
        <v>1513</v>
      </c>
      <c r="F25124">
        <v>366</v>
      </c>
      <c r="G25124">
        <v>52</v>
      </c>
      <c r="H25124">
        <v>1507</v>
      </c>
      <c r="I25124">
        <v>2980</v>
      </c>
      <c r="J25124">
        <v>1</v>
      </c>
      <c r="K25124">
        <v>1</v>
      </c>
      <c r="L25124">
        <v>1500</v>
      </c>
      <c r="M25124">
        <v>1</v>
      </c>
      <c r="N25124">
        <v>0</v>
      </c>
      <c r="O25124">
        <v>5938</v>
      </c>
    </row>
    <row r="25125" spans="1:15" x14ac:dyDescent="0.25">
      <c r="A25125" t="s">
        <v>25138</v>
      </c>
      <c r="B25125">
        <v>299</v>
      </c>
      <c r="C25125" s="1" t="str">
        <f>HYPERLINK("http://www.rosaceae.org/gb/gbrowse/malus_x_domestica/?name=MDP0000312944","MDP0000312944")</f>
        <v>MDP0000312944</v>
      </c>
      <c r="D25125">
        <v>49.42</v>
      </c>
      <c r="E25125">
        <v>259</v>
      </c>
      <c r="F25125">
        <v>131</v>
      </c>
      <c r="G25125">
        <v>37</v>
      </c>
      <c r="H25125">
        <v>58</v>
      </c>
      <c r="I25125">
        <v>299</v>
      </c>
      <c r="J25125">
        <v>1</v>
      </c>
      <c r="K25125">
        <v>88</v>
      </c>
      <c r="L25125">
        <v>326</v>
      </c>
      <c r="M25125">
        <v>1</v>
      </c>
      <c r="N25125">
        <v>3.8057099999999998E-51</v>
      </c>
      <c r="O25125">
        <v>505</v>
      </c>
    </row>
    <row r="25126" spans="1:15" x14ac:dyDescent="0.25">
      <c r="A25126" t="s">
        <v>25139</v>
      </c>
      <c r="B25126">
        <v>481</v>
      </c>
      <c r="C25126" s="1" t="str">
        <f>HYPERLINK("http://www.rosaceae.org/gb/gbrowse/malus_x_domestica/?name=MDP0000196953","MDP0000196953")</f>
        <v>MDP0000196953</v>
      </c>
      <c r="D25126">
        <v>71.459999999999994</v>
      </c>
      <c r="E25126">
        <v>445</v>
      </c>
      <c r="F25126">
        <v>127</v>
      </c>
      <c r="G25126">
        <v>40</v>
      </c>
      <c r="H25126">
        <v>70</v>
      </c>
      <c r="I25126">
        <v>480</v>
      </c>
      <c r="J25126">
        <v>1</v>
      </c>
      <c r="K25126">
        <v>30</v>
      </c>
      <c r="L25126">
        <v>468</v>
      </c>
      <c r="M25126">
        <v>1</v>
      </c>
      <c r="N25126">
        <v>3.1746200000000001E-177</v>
      </c>
      <c r="O25126">
        <v>1595</v>
      </c>
    </row>
    <row r="25127" spans="1:15" x14ac:dyDescent="0.25">
      <c r="A25127" t="s">
        <v>25140</v>
      </c>
      <c r="B25127">
        <v>859</v>
      </c>
      <c r="C25127" s="1" t="str">
        <f>HYPERLINK("http://www.rosaceae.org/gb/gbrowse/malus_x_domestica/?name=MDP0000271854","MDP0000271854")</f>
        <v>MDP0000271854</v>
      </c>
      <c r="D25127">
        <v>74.75</v>
      </c>
      <c r="E25127">
        <v>721</v>
      </c>
      <c r="F25127">
        <v>182</v>
      </c>
      <c r="G25127">
        <v>38</v>
      </c>
      <c r="H25127">
        <v>1</v>
      </c>
      <c r="I25127">
        <v>693</v>
      </c>
      <c r="J25127">
        <v>1</v>
      </c>
      <c r="K25127">
        <v>1</v>
      </c>
      <c r="L25127">
        <v>711</v>
      </c>
      <c r="M25127">
        <v>1</v>
      </c>
      <c r="N25127">
        <v>0</v>
      </c>
      <c r="O25127">
        <v>2721</v>
      </c>
    </row>
    <row r="25128" spans="1:15" x14ac:dyDescent="0.25">
      <c r="A25128" t="s">
        <v>25141</v>
      </c>
      <c r="B25128">
        <v>365</v>
      </c>
      <c r="C25128" s="1" t="str">
        <f>HYPERLINK("http://www.rosaceae.org/gb/gbrowse/malus_x_domestica/?name=MDP0000127185","MDP0000127185")</f>
        <v>MDP0000127185</v>
      </c>
      <c r="D25128">
        <v>50.61</v>
      </c>
      <c r="E25128">
        <v>81</v>
      </c>
      <c r="F25128">
        <v>40</v>
      </c>
      <c r="G25128">
        <v>0</v>
      </c>
      <c r="H25128">
        <v>80</v>
      </c>
      <c r="I25128">
        <v>160</v>
      </c>
      <c r="J25128">
        <v>1</v>
      </c>
      <c r="K25128">
        <v>580</v>
      </c>
      <c r="L25128">
        <v>660</v>
      </c>
      <c r="M25128">
        <v>1</v>
      </c>
      <c r="N25128">
        <v>3.2547899999999997E-14</v>
      </c>
      <c r="O25128">
        <v>188</v>
      </c>
    </row>
    <row r="25129" spans="1:15" x14ac:dyDescent="0.25">
      <c r="A25129" t="s">
        <v>25142</v>
      </c>
      <c r="B25129">
        <v>863</v>
      </c>
      <c r="C25129" s="1" t="str">
        <f>HYPERLINK("http://www.rosaceae.org/gb/gbrowse/malus_x_domestica/?name=MDP0000232579","MDP0000232579")</f>
        <v>MDP0000232579</v>
      </c>
      <c r="D25129">
        <v>75.87</v>
      </c>
      <c r="E25129">
        <v>804</v>
      </c>
      <c r="F25129">
        <v>194</v>
      </c>
      <c r="G25129">
        <v>7</v>
      </c>
      <c r="H25129">
        <v>57</v>
      </c>
      <c r="I25129">
        <v>857</v>
      </c>
      <c r="J25129">
        <v>1</v>
      </c>
      <c r="K25129">
        <v>55</v>
      </c>
      <c r="L25129">
        <v>854</v>
      </c>
      <c r="M25129">
        <v>1</v>
      </c>
      <c r="N25129">
        <v>0</v>
      </c>
      <c r="O25129">
        <v>3317</v>
      </c>
    </row>
    <row r="25130" spans="1:15" x14ac:dyDescent="0.25">
      <c r="A25130" t="s">
        <v>25143</v>
      </c>
      <c r="B25130">
        <v>313</v>
      </c>
      <c r="C25130" s="1" t="str">
        <f>HYPERLINK("http://www.rosaceae.org/gb/gbrowse/malus_x_domestica/?name=MDP0000297458","MDP0000297458")</f>
        <v>MDP0000297458</v>
      </c>
      <c r="D25130">
        <v>56.78</v>
      </c>
      <c r="E25130">
        <v>199</v>
      </c>
      <c r="F25130">
        <v>86</v>
      </c>
      <c r="G25130">
        <v>25</v>
      </c>
      <c r="H25130">
        <v>121</v>
      </c>
      <c r="I25130">
        <v>312</v>
      </c>
      <c r="J25130">
        <v>1</v>
      </c>
      <c r="K25130">
        <v>1</v>
      </c>
      <c r="L25130">
        <v>181</v>
      </c>
      <c r="M25130">
        <v>1</v>
      </c>
      <c r="N25130">
        <v>2.1972099999999999E-54</v>
      </c>
      <c r="O25130">
        <v>533</v>
      </c>
    </row>
    <row r="25131" spans="1:15" x14ac:dyDescent="0.25">
      <c r="A25131" t="s">
        <v>25144</v>
      </c>
      <c r="B25131">
        <v>718</v>
      </c>
      <c r="C25131" s="1" t="str">
        <f>HYPERLINK("http://www.rosaceae.org/gb/gbrowse/malus_x_domestica/?name=MDP0000309755","MDP0000309755")</f>
        <v>MDP0000309755</v>
      </c>
      <c r="D25131">
        <v>62.1</v>
      </c>
      <c r="E25131">
        <v>533</v>
      </c>
      <c r="F25131">
        <v>202</v>
      </c>
      <c r="G25131">
        <v>16</v>
      </c>
      <c r="H25131">
        <v>1</v>
      </c>
      <c r="I25131">
        <v>530</v>
      </c>
      <c r="J25131">
        <v>1</v>
      </c>
      <c r="K25131">
        <v>8</v>
      </c>
      <c r="L25131">
        <v>527</v>
      </c>
      <c r="M25131">
        <v>1</v>
      </c>
      <c r="N25131">
        <v>0</v>
      </c>
      <c r="O25131">
        <v>1663</v>
      </c>
    </row>
    <row r="25132" spans="1:15" x14ac:dyDescent="0.25">
      <c r="A25132" t="s">
        <v>25145</v>
      </c>
      <c r="B25132">
        <v>396</v>
      </c>
      <c r="C25132" s="1" t="str">
        <f>HYPERLINK("http://www.rosaceae.org/gb/gbrowse/malus_x_domestica/?name=MDP0000317856","MDP0000317856")</f>
        <v>MDP0000317856</v>
      </c>
      <c r="D25132">
        <v>55.86</v>
      </c>
      <c r="E25132">
        <v>145</v>
      </c>
      <c r="F25132">
        <v>64</v>
      </c>
      <c r="G25132">
        <v>0</v>
      </c>
      <c r="H25132">
        <v>17</v>
      </c>
      <c r="I25132">
        <v>161</v>
      </c>
      <c r="J25132">
        <v>1</v>
      </c>
      <c r="K25132">
        <v>19</v>
      </c>
      <c r="L25132">
        <v>163</v>
      </c>
      <c r="M25132">
        <v>1</v>
      </c>
      <c r="N25132">
        <v>2.2277599999999999E-45</v>
      </c>
      <c r="O25132">
        <v>457</v>
      </c>
    </row>
    <row r="25133" spans="1:15" x14ac:dyDescent="0.25">
      <c r="A25133" t="s">
        <v>25146</v>
      </c>
      <c r="B25133">
        <v>666</v>
      </c>
      <c r="C25133" s="1" t="str">
        <f>HYPERLINK("http://www.rosaceae.org/gb/gbrowse/malus_x_domestica/?name=MDP0000610354","MDP0000610354")</f>
        <v>MDP0000610354</v>
      </c>
      <c r="D25133">
        <v>39.86</v>
      </c>
      <c r="E25133">
        <v>143</v>
      </c>
      <c r="F25133">
        <v>86</v>
      </c>
      <c r="G25133">
        <v>13</v>
      </c>
      <c r="H25133">
        <v>72</v>
      </c>
      <c r="I25133">
        <v>208</v>
      </c>
      <c r="J25133">
        <v>1</v>
      </c>
      <c r="K25133">
        <v>437</v>
      </c>
      <c r="L25133">
        <v>572</v>
      </c>
      <c r="M25133">
        <v>1</v>
      </c>
      <c r="N25133">
        <v>3.6226800000000002E-14</v>
      </c>
      <c r="O25133">
        <v>190</v>
      </c>
    </row>
    <row r="25134" spans="1:15" x14ac:dyDescent="0.25">
      <c r="A25134" t="s">
        <v>25147</v>
      </c>
      <c r="B25134">
        <v>313</v>
      </c>
      <c r="C25134" s="1" t="str">
        <f>HYPERLINK("http://www.rosaceae.org/gb/gbrowse/malus_x_domestica/?name=MDP0000584042","MDP0000584042")</f>
        <v>MDP0000584042</v>
      </c>
      <c r="D25134">
        <v>68.349999999999994</v>
      </c>
      <c r="E25134">
        <v>316</v>
      </c>
      <c r="F25134">
        <v>100</v>
      </c>
      <c r="G25134">
        <v>3</v>
      </c>
      <c r="H25134">
        <v>1</v>
      </c>
      <c r="I25134">
        <v>313</v>
      </c>
      <c r="J25134">
        <v>1</v>
      </c>
      <c r="K25134">
        <v>1</v>
      </c>
      <c r="L25134">
        <v>316</v>
      </c>
      <c r="M25134">
        <v>1</v>
      </c>
      <c r="N25134">
        <v>1.02549E-121</v>
      </c>
      <c r="O25134">
        <v>1114</v>
      </c>
    </row>
    <row r="25135" spans="1:15" x14ac:dyDescent="0.25">
      <c r="A25135" t="s">
        <v>25148</v>
      </c>
      <c r="B25135">
        <v>148</v>
      </c>
      <c r="C25135" s="1" t="str">
        <f>HYPERLINK("http://www.rosaceae.org/gb/gbrowse/malus_x_domestica/?name=MDP0000834180","MDP0000834180")</f>
        <v>MDP0000834180</v>
      </c>
      <c r="D25135">
        <v>80.680000000000007</v>
      </c>
      <c r="E25135">
        <v>145</v>
      </c>
      <c r="F25135">
        <v>28</v>
      </c>
      <c r="G25135">
        <v>3</v>
      </c>
      <c r="H25135">
        <v>7</v>
      </c>
      <c r="I25135">
        <v>148</v>
      </c>
      <c r="J25135">
        <v>1</v>
      </c>
      <c r="K25135">
        <v>9</v>
      </c>
      <c r="L25135">
        <v>153</v>
      </c>
      <c r="M25135">
        <v>1</v>
      </c>
      <c r="N25135">
        <v>2.00441E-59</v>
      </c>
      <c r="O25135">
        <v>572</v>
      </c>
    </row>
    <row r="25136" spans="1:15" x14ac:dyDescent="0.25">
      <c r="A25136" t="s">
        <v>25149</v>
      </c>
      <c r="B25136">
        <v>259</v>
      </c>
      <c r="C25136" s="1" t="str">
        <f>HYPERLINK("http://www.rosaceae.org/gb/gbrowse/malus_x_domestica/?name=MDP0000838149","MDP0000838149")</f>
        <v>MDP0000838149</v>
      </c>
      <c r="D25136">
        <v>49.12</v>
      </c>
      <c r="E25136">
        <v>114</v>
      </c>
      <c r="F25136">
        <v>58</v>
      </c>
      <c r="G25136">
        <v>4</v>
      </c>
      <c r="H25136">
        <v>1</v>
      </c>
      <c r="I25136">
        <v>112</v>
      </c>
      <c r="J25136">
        <v>1</v>
      </c>
      <c r="K25136">
        <v>1</v>
      </c>
      <c r="L25136">
        <v>112</v>
      </c>
      <c r="M25136">
        <v>1</v>
      </c>
      <c r="N25136">
        <v>5.2767599999999996E-19</v>
      </c>
      <c r="O25136">
        <v>227</v>
      </c>
    </row>
    <row r="25137" spans="1:15" x14ac:dyDescent="0.25">
      <c r="A25137" t="s">
        <v>25150</v>
      </c>
      <c r="B25137">
        <v>609</v>
      </c>
      <c r="C25137" s="1" t="str">
        <f>HYPERLINK("http://www.rosaceae.org/gb/gbrowse/malus_x_domestica/?name=MDP0000149391","MDP0000149391")</f>
        <v>MDP0000149391</v>
      </c>
      <c r="D25137">
        <v>42.72</v>
      </c>
      <c r="E25137">
        <v>213</v>
      </c>
      <c r="F25137">
        <v>122</v>
      </c>
      <c r="G25137">
        <v>65</v>
      </c>
      <c r="H25137">
        <v>76</v>
      </c>
      <c r="I25137">
        <v>223</v>
      </c>
      <c r="J25137">
        <v>1</v>
      </c>
      <c r="K25137">
        <v>354</v>
      </c>
      <c r="L25137">
        <v>566</v>
      </c>
      <c r="M25137">
        <v>1</v>
      </c>
      <c r="N25137">
        <v>5.2904099999999998E-24</v>
      </c>
      <c r="O25137">
        <v>274</v>
      </c>
    </row>
    <row r="25138" spans="1:15" x14ac:dyDescent="0.25">
      <c r="A25138" t="s">
        <v>25151</v>
      </c>
      <c r="B25138">
        <v>349</v>
      </c>
      <c r="C25138" s="1" t="str">
        <f>HYPERLINK("http://www.rosaceae.org/gb/gbrowse/malus_x_domestica/?name=MDP0000178791","MDP0000178791")</f>
        <v>MDP0000178791</v>
      </c>
      <c r="D25138">
        <v>68.98</v>
      </c>
      <c r="E25138">
        <v>158</v>
      </c>
      <c r="F25138">
        <v>49</v>
      </c>
      <c r="G25138">
        <v>3</v>
      </c>
      <c r="H25138">
        <v>29</v>
      </c>
      <c r="I25138">
        <v>186</v>
      </c>
      <c r="J25138">
        <v>1</v>
      </c>
      <c r="K25138">
        <v>50</v>
      </c>
      <c r="L25138">
        <v>204</v>
      </c>
      <c r="M25138">
        <v>1</v>
      </c>
      <c r="N25138">
        <v>3.7422699999999999E-60</v>
      </c>
      <c r="O25138">
        <v>584</v>
      </c>
    </row>
    <row r="25139" spans="1:15" x14ac:dyDescent="0.25">
      <c r="A25139" t="s">
        <v>25152</v>
      </c>
      <c r="B25139">
        <v>364</v>
      </c>
      <c r="C25139" s="1" t="str">
        <f>HYPERLINK("http://www.rosaceae.org/gb/gbrowse/malus_x_domestica/?name=MDP0000270244","MDP0000270244")</f>
        <v>MDP0000270244</v>
      </c>
      <c r="D25139">
        <v>45.07</v>
      </c>
      <c r="E25139">
        <v>264</v>
      </c>
      <c r="F25139">
        <v>145</v>
      </c>
      <c r="G25139">
        <v>2</v>
      </c>
      <c r="H25139">
        <v>18</v>
      </c>
      <c r="I25139">
        <v>281</v>
      </c>
      <c r="J25139">
        <v>1</v>
      </c>
      <c r="K25139">
        <v>16</v>
      </c>
      <c r="L25139">
        <v>277</v>
      </c>
      <c r="M25139">
        <v>1</v>
      </c>
      <c r="N25139">
        <v>2.0899E-61</v>
      </c>
      <c r="O25139">
        <v>595</v>
      </c>
    </row>
    <row r="25140" spans="1:15" x14ac:dyDescent="0.25">
      <c r="A25140" t="s">
        <v>25153</v>
      </c>
      <c r="B25140">
        <v>252</v>
      </c>
      <c r="C25140" s="1" t="str">
        <f>HYPERLINK("http://www.rosaceae.org/gb/gbrowse/malus_x_domestica/?name=MDP0000450934","MDP0000450934")</f>
        <v>MDP0000450934</v>
      </c>
      <c r="D25140">
        <v>70</v>
      </c>
      <c r="E25140">
        <v>230</v>
      </c>
      <c r="F25140">
        <v>69</v>
      </c>
      <c r="G25140">
        <v>3</v>
      </c>
      <c r="H25140">
        <v>23</v>
      </c>
      <c r="I25140">
        <v>252</v>
      </c>
      <c r="J25140">
        <v>1</v>
      </c>
      <c r="K25140">
        <v>19</v>
      </c>
      <c r="L25140">
        <v>245</v>
      </c>
      <c r="M25140">
        <v>1</v>
      </c>
      <c r="N25140">
        <v>4.0066300000000002E-93</v>
      </c>
      <c r="O25140">
        <v>866</v>
      </c>
    </row>
    <row r="25141" spans="1:15" x14ac:dyDescent="0.25">
      <c r="A25141" t="s">
        <v>25154</v>
      </c>
      <c r="B25141">
        <v>232</v>
      </c>
      <c r="C25141" s="1" t="str">
        <f>HYPERLINK("http://www.rosaceae.org/gb/gbrowse/malus_x_domestica/?name=MDP0000128857","MDP0000128857")</f>
        <v>MDP0000128857</v>
      </c>
      <c r="D25141">
        <v>28.09</v>
      </c>
      <c r="E25141">
        <v>121</v>
      </c>
      <c r="F25141">
        <v>87</v>
      </c>
      <c r="G25141">
        <v>0</v>
      </c>
      <c r="H25141">
        <v>16</v>
      </c>
      <c r="I25141">
        <v>136</v>
      </c>
      <c r="J25141">
        <v>1</v>
      </c>
      <c r="K25141">
        <v>158</v>
      </c>
      <c r="L25141">
        <v>278</v>
      </c>
      <c r="M25141">
        <v>1</v>
      </c>
      <c r="N25141">
        <v>9.7950999999999997E-12</v>
      </c>
      <c r="O25141">
        <v>164</v>
      </c>
    </row>
    <row r="25142" spans="1:15" x14ac:dyDescent="0.25">
      <c r="A25142" t="s">
        <v>25155</v>
      </c>
      <c r="B25142">
        <v>296</v>
      </c>
      <c r="C25142" s="1" t="str">
        <f>HYPERLINK("http://www.rosaceae.org/gb/gbrowse/malus_x_domestica/?name=MDP0000161378","MDP0000161378")</f>
        <v>MDP0000161378</v>
      </c>
      <c r="D25142">
        <v>32.090000000000003</v>
      </c>
      <c r="E25142">
        <v>377</v>
      </c>
      <c r="F25142">
        <v>256</v>
      </c>
      <c r="G25142">
        <v>107</v>
      </c>
      <c r="H25142">
        <v>21</v>
      </c>
      <c r="I25142">
        <v>294</v>
      </c>
      <c r="J25142">
        <v>1</v>
      </c>
      <c r="K25142">
        <v>94</v>
      </c>
      <c r="L25142">
        <v>466</v>
      </c>
      <c r="M25142">
        <v>1</v>
      </c>
      <c r="N25142">
        <v>1.24932E-41</v>
      </c>
      <c r="O25142">
        <v>423</v>
      </c>
    </row>
    <row r="25143" spans="1:15" x14ac:dyDescent="0.25">
      <c r="A25143" t="s">
        <v>25156</v>
      </c>
      <c r="B25143">
        <v>207</v>
      </c>
      <c r="C25143" s="1" t="str">
        <f>HYPERLINK("http://www.rosaceae.org/gb/gbrowse/malus_x_domestica/?name=MDP0000164286","MDP0000164286")</f>
        <v>MDP0000164286</v>
      </c>
      <c r="D25143">
        <v>42.1</v>
      </c>
      <c r="E25143">
        <v>209</v>
      </c>
      <c r="F25143">
        <v>121</v>
      </c>
      <c r="G25143">
        <v>57</v>
      </c>
      <c r="H25143">
        <v>1</v>
      </c>
      <c r="I25143">
        <v>207</v>
      </c>
      <c r="J25143">
        <v>1</v>
      </c>
      <c r="K25143">
        <v>1</v>
      </c>
      <c r="L25143">
        <v>154</v>
      </c>
      <c r="M25143">
        <v>1</v>
      </c>
      <c r="N25143">
        <v>8.3450200000000002E-29</v>
      </c>
      <c r="O25143">
        <v>310</v>
      </c>
    </row>
    <row r="25144" spans="1:15" x14ac:dyDescent="0.25">
      <c r="A25144" t="s">
        <v>25157</v>
      </c>
      <c r="B25144">
        <v>604</v>
      </c>
      <c r="C25144" s="1" t="str">
        <f>HYPERLINK("http://www.rosaceae.org/gb/gbrowse/malus_x_domestica/?name=MDP0000157111","MDP0000157111")</f>
        <v>MDP0000157111</v>
      </c>
      <c r="D25144">
        <v>76.56</v>
      </c>
      <c r="E25144">
        <v>576</v>
      </c>
      <c r="F25144">
        <v>135</v>
      </c>
      <c r="G25144">
        <v>2</v>
      </c>
      <c r="H25144">
        <v>27</v>
      </c>
      <c r="I25144">
        <v>602</v>
      </c>
      <c r="J25144">
        <v>1</v>
      </c>
      <c r="K25144">
        <v>24</v>
      </c>
      <c r="L25144">
        <v>597</v>
      </c>
      <c r="M25144">
        <v>1</v>
      </c>
      <c r="N25144">
        <v>0</v>
      </c>
      <c r="O25144">
        <v>2362</v>
      </c>
    </row>
    <row r="25145" spans="1:15" x14ac:dyDescent="0.25">
      <c r="A25145" t="s">
        <v>25158</v>
      </c>
      <c r="B25145">
        <v>228</v>
      </c>
      <c r="C25145" s="1" t="str">
        <f>HYPERLINK("http://www.rosaceae.org/gb/gbrowse/malus_x_domestica/?name=MDP0000312342","MDP0000312342")</f>
        <v>MDP0000312342</v>
      </c>
      <c r="D25145">
        <v>30.43</v>
      </c>
      <c r="E25145">
        <v>161</v>
      </c>
      <c r="F25145">
        <v>112</v>
      </c>
      <c r="G25145">
        <v>41</v>
      </c>
      <c r="H25145">
        <v>6</v>
      </c>
      <c r="I25145">
        <v>126</v>
      </c>
      <c r="J25145">
        <v>1</v>
      </c>
      <c r="K25145">
        <v>5</v>
      </c>
      <c r="L25145">
        <v>164</v>
      </c>
      <c r="M25145">
        <v>1</v>
      </c>
      <c r="N25145">
        <v>1.8224999999999999E-8</v>
      </c>
      <c r="O25145">
        <v>135</v>
      </c>
    </row>
    <row r="25146" spans="1:15" x14ac:dyDescent="0.25">
      <c r="A25146" t="s">
        <v>25159</v>
      </c>
      <c r="B25146">
        <v>358</v>
      </c>
      <c r="C25146" s="1" t="str">
        <f>HYPERLINK("http://www.rosaceae.org/gb/gbrowse/malus_x_domestica/?name=MDP0000316189","MDP0000316189")</f>
        <v>MDP0000316189</v>
      </c>
      <c r="D25146">
        <v>89.14</v>
      </c>
      <c r="E25146">
        <v>350</v>
      </c>
      <c r="F25146">
        <v>38</v>
      </c>
      <c r="G25146">
        <v>0</v>
      </c>
      <c r="H25146">
        <v>9</v>
      </c>
      <c r="I25146">
        <v>358</v>
      </c>
      <c r="J25146">
        <v>1</v>
      </c>
      <c r="K25146">
        <v>299</v>
      </c>
      <c r="L25146">
        <v>648</v>
      </c>
      <c r="M25146">
        <v>1</v>
      </c>
      <c r="N25146">
        <v>0</v>
      </c>
      <c r="O25146">
        <v>1649</v>
      </c>
    </row>
    <row r="25147" spans="1:15" x14ac:dyDescent="0.25">
      <c r="A25147" t="s">
        <v>25160</v>
      </c>
      <c r="B25147">
        <v>1754</v>
      </c>
      <c r="C25147" s="1" t="str">
        <f>HYPERLINK("http://www.rosaceae.org/gb/gbrowse/malus_x_domestica/?name=MDP0000255780","MDP0000255780")</f>
        <v>MDP0000255780</v>
      </c>
      <c r="D25147">
        <v>66.05</v>
      </c>
      <c r="E25147">
        <v>760</v>
      </c>
      <c r="F25147">
        <v>258</v>
      </c>
      <c r="G25147">
        <v>80</v>
      </c>
      <c r="H25147">
        <v>899</v>
      </c>
      <c r="I25147">
        <v>1611</v>
      </c>
      <c r="J25147">
        <v>1</v>
      </c>
      <c r="K25147">
        <v>725</v>
      </c>
      <c r="L25147">
        <v>1451</v>
      </c>
      <c r="M25147">
        <v>1</v>
      </c>
      <c r="N25147">
        <v>0</v>
      </c>
      <c r="O25147">
        <v>2529</v>
      </c>
    </row>
    <row r="25148" spans="1:15" x14ac:dyDescent="0.25">
      <c r="A25148" t="s">
        <v>25161</v>
      </c>
      <c r="B25148">
        <v>681</v>
      </c>
      <c r="C25148" s="1" t="str">
        <f>HYPERLINK("http://www.rosaceae.org/gb/gbrowse/malus_x_domestica/?name=MDP0000649673","MDP0000649673")</f>
        <v>MDP0000649673</v>
      </c>
      <c r="D25148">
        <v>47.19</v>
      </c>
      <c r="E25148">
        <v>748</v>
      </c>
      <c r="F25148">
        <v>395</v>
      </c>
      <c r="G25148">
        <v>105</v>
      </c>
      <c r="H25148">
        <v>7</v>
      </c>
      <c r="I25148">
        <v>681</v>
      </c>
      <c r="J25148">
        <v>1</v>
      </c>
      <c r="K25148">
        <v>6</v>
      </c>
      <c r="L25148">
        <v>721</v>
      </c>
      <c r="M25148">
        <v>1</v>
      </c>
      <c r="N25148">
        <v>1.27171E-148</v>
      </c>
      <c r="O25148">
        <v>1350</v>
      </c>
    </row>
    <row r="25149" spans="1:15" x14ac:dyDescent="0.25">
      <c r="A25149" t="s">
        <v>25162</v>
      </c>
      <c r="B25149">
        <v>679</v>
      </c>
      <c r="C25149" s="1" t="str">
        <f>HYPERLINK("http://www.rosaceae.org/gb/gbrowse/malus_x_domestica/?name=MDP0000187838","MDP0000187838")</f>
        <v>MDP0000187838</v>
      </c>
      <c r="D25149">
        <v>70.459999999999994</v>
      </c>
      <c r="E25149">
        <v>684</v>
      </c>
      <c r="F25149">
        <v>202</v>
      </c>
      <c r="G25149">
        <v>7</v>
      </c>
      <c r="H25149">
        <v>1</v>
      </c>
      <c r="I25149">
        <v>679</v>
      </c>
      <c r="J25149">
        <v>1</v>
      </c>
      <c r="K25149">
        <v>1</v>
      </c>
      <c r="L25149">
        <v>682</v>
      </c>
      <c r="M25149">
        <v>1</v>
      </c>
      <c r="N25149">
        <v>0</v>
      </c>
      <c r="O25149">
        <v>2629</v>
      </c>
    </row>
    <row r="25150" spans="1:15" x14ac:dyDescent="0.25">
      <c r="A25150" t="s">
        <v>25163</v>
      </c>
      <c r="B25150">
        <v>201</v>
      </c>
      <c r="C25150" s="1" t="str">
        <f>HYPERLINK("http://www.rosaceae.org/gb/gbrowse/malus_x_domestica/?name=MDP0000307566","MDP0000307566")</f>
        <v>MDP0000307566</v>
      </c>
      <c r="D25150">
        <v>64.22</v>
      </c>
      <c r="E25150">
        <v>109</v>
      </c>
      <c r="F25150">
        <v>39</v>
      </c>
      <c r="G25150">
        <v>1</v>
      </c>
      <c r="H25150">
        <v>21</v>
      </c>
      <c r="I25150">
        <v>129</v>
      </c>
      <c r="J25150">
        <v>1</v>
      </c>
      <c r="K25150">
        <v>84</v>
      </c>
      <c r="L25150">
        <v>191</v>
      </c>
      <c r="M25150">
        <v>1</v>
      </c>
      <c r="N25150">
        <v>1.20013E-34</v>
      </c>
      <c r="O25150">
        <v>360</v>
      </c>
    </row>
    <row r="25151" spans="1:15" x14ac:dyDescent="0.25">
      <c r="A25151" t="s">
        <v>25164</v>
      </c>
      <c r="B25151">
        <v>419</v>
      </c>
      <c r="C25151" s="1" t="str">
        <f>HYPERLINK("http://www.rosaceae.org/gb/gbrowse/malus_x_domestica/?name=MDP0000238744","MDP0000238744")</f>
        <v>MDP0000238744</v>
      </c>
      <c r="D25151">
        <v>71.36</v>
      </c>
      <c r="E25151">
        <v>426</v>
      </c>
      <c r="F25151">
        <v>122</v>
      </c>
      <c r="G25151">
        <v>16</v>
      </c>
      <c r="H25151">
        <v>1</v>
      </c>
      <c r="I25151">
        <v>419</v>
      </c>
      <c r="J25151">
        <v>1</v>
      </c>
      <c r="K25151">
        <v>1</v>
      </c>
      <c r="L25151">
        <v>417</v>
      </c>
      <c r="M25151">
        <v>1</v>
      </c>
      <c r="N25151">
        <v>1.4165499999999999E-172</v>
      </c>
      <c r="O25151">
        <v>1554</v>
      </c>
    </row>
    <row r="25152" spans="1:15" x14ac:dyDescent="0.25">
      <c r="A25152" t="s">
        <v>25165</v>
      </c>
      <c r="B25152">
        <v>178</v>
      </c>
      <c r="C25152" s="1" t="str">
        <f>HYPERLINK("http://www.rosaceae.org/gb/gbrowse/malus_x_domestica/?name=MDP0000264686","MDP0000264686")</f>
        <v>MDP0000264686</v>
      </c>
      <c r="D25152">
        <v>70.98</v>
      </c>
      <c r="E25152">
        <v>162</v>
      </c>
      <c r="F25152">
        <v>47</v>
      </c>
      <c r="G25152">
        <v>8</v>
      </c>
      <c r="H25152">
        <v>7</v>
      </c>
      <c r="I25152">
        <v>165</v>
      </c>
      <c r="J25152">
        <v>1</v>
      </c>
      <c r="K25152">
        <v>277</v>
      </c>
      <c r="L25152">
        <v>433</v>
      </c>
      <c r="M25152">
        <v>1</v>
      </c>
      <c r="N25152">
        <v>3.8179499999999999E-61</v>
      </c>
      <c r="O25152">
        <v>588</v>
      </c>
    </row>
    <row r="25153" spans="1:15" x14ac:dyDescent="0.25">
      <c r="A25153" t="s">
        <v>25166</v>
      </c>
      <c r="B25153">
        <v>878</v>
      </c>
      <c r="C25153" s="1" t="str">
        <f>HYPERLINK("http://www.rosaceae.org/gb/gbrowse/malus_x_domestica/?name=MDP0000169926","MDP0000169926")</f>
        <v>MDP0000169926</v>
      </c>
      <c r="D25153">
        <v>73.88</v>
      </c>
      <c r="E25153">
        <v>448</v>
      </c>
      <c r="F25153">
        <v>117</v>
      </c>
      <c r="G25153">
        <v>22</v>
      </c>
      <c r="H25153">
        <v>77</v>
      </c>
      <c r="I25153">
        <v>502</v>
      </c>
      <c r="J25153">
        <v>1</v>
      </c>
      <c r="K25153">
        <v>18</v>
      </c>
      <c r="L25153">
        <v>465</v>
      </c>
      <c r="M25153">
        <v>1</v>
      </c>
      <c r="N25153">
        <v>0</v>
      </c>
      <c r="O25153">
        <v>1680</v>
      </c>
    </row>
    <row r="25154" spans="1:15" x14ac:dyDescent="0.25">
      <c r="A25154" t="s">
        <v>25167</v>
      </c>
      <c r="B25154">
        <v>316</v>
      </c>
      <c r="C25154" s="1" t="str">
        <f>HYPERLINK("http://www.rosaceae.org/gb/gbrowse/malus_x_domestica/?name=MDP0000314254","MDP0000314254")</f>
        <v>MDP0000314254</v>
      </c>
      <c r="D25154">
        <v>36.270000000000003</v>
      </c>
      <c r="E25154">
        <v>306</v>
      </c>
      <c r="F25154">
        <v>195</v>
      </c>
      <c r="G25154">
        <v>4</v>
      </c>
      <c r="H25154">
        <v>5</v>
      </c>
      <c r="I25154">
        <v>307</v>
      </c>
      <c r="J25154">
        <v>1</v>
      </c>
      <c r="K25154">
        <v>226</v>
      </c>
      <c r="L25154">
        <v>530</v>
      </c>
      <c r="M25154">
        <v>1</v>
      </c>
      <c r="N25154">
        <v>6.8742299999999998E-54</v>
      </c>
      <c r="O25154">
        <v>529</v>
      </c>
    </row>
    <row r="25155" spans="1:15" x14ac:dyDescent="0.25">
      <c r="A25155" t="s">
        <v>25168</v>
      </c>
      <c r="B25155">
        <v>183</v>
      </c>
      <c r="C25155" s="1" t="str">
        <f>HYPERLINK("http://www.rosaceae.org/gb/gbrowse/malus_x_domestica/?name=MDP0000700517","MDP0000700517")</f>
        <v>MDP0000700517</v>
      </c>
      <c r="D25155">
        <v>28.65</v>
      </c>
      <c r="E25155">
        <v>178</v>
      </c>
      <c r="F25155">
        <v>127</v>
      </c>
      <c r="G25155">
        <v>10</v>
      </c>
      <c r="H25155">
        <v>16</v>
      </c>
      <c r="I25155">
        <v>183</v>
      </c>
      <c r="J25155">
        <v>1</v>
      </c>
      <c r="K25155">
        <v>182</v>
      </c>
      <c r="L25155">
        <v>359</v>
      </c>
      <c r="M25155">
        <v>1</v>
      </c>
      <c r="N25155">
        <v>1.2248399999999999E-16</v>
      </c>
      <c r="O25155">
        <v>204</v>
      </c>
    </row>
    <row r="25156" spans="1:15" x14ac:dyDescent="0.25">
      <c r="A25156" t="s">
        <v>25169</v>
      </c>
      <c r="B25156">
        <v>465</v>
      </c>
      <c r="C25156" s="1" t="str">
        <f>HYPERLINK("http://www.rosaceae.org/gb/gbrowse/malus_x_domestica/?name=MDP0000239826","MDP0000239826")</f>
        <v>MDP0000239826</v>
      </c>
      <c r="D25156">
        <v>29.63</v>
      </c>
      <c r="E25156">
        <v>361</v>
      </c>
      <c r="F25156">
        <v>254</v>
      </c>
      <c r="G25156">
        <v>26</v>
      </c>
      <c r="H25156">
        <v>57</v>
      </c>
      <c r="I25156">
        <v>413</v>
      </c>
      <c r="J25156">
        <v>1</v>
      </c>
      <c r="K25156">
        <v>128</v>
      </c>
      <c r="L25156">
        <v>466</v>
      </c>
      <c r="M25156">
        <v>1</v>
      </c>
      <c r="N25156">
        <v>4.2660500000000001E-43</v>
      </c>
      <c r="O25156">
        <v>438</v>
      </c>
    </row>
    <row r="25157" spans="1:15" x14ac:dyDescent="0.25">
      <c r="A25157" t="s">
        <v>25170</v>
      </c>
      <c r="B25157">
        <v>539</v>
      </c>
      <c r="C25157" s="1" t="str">
        <f>HYPERLINK("http://www.rosaceae.org/gb/gbrowse/malus_x_domestica/?name=MDP0000219706","MDP0000219706")</f>
        <v>MDP0000219706</v>
      </c>
      <c r="D25157">
        <v>33.17</v>
      </c>
      <c r="E25157">
        <v>217</v>
      </c>
      <c r="F25157">
        <v>145</v>
      </c>
      <c r="G25157">
        <v>8</v>
      </c>
      <c r="H25157">
        <v>319</v>
      </c>
      <c r="I25157">
        <v>531</v>
      </c>
      <c r="J25157">
        <v>1</v>
      </c>
      <c r="K25157">
        <v>311</v>
      </c>
      <c r="L25157">
        <v>523</v>
      </c>
      <c r="M25157">
        <v>1</v>
      </c>
      <c r="N25157">
        <v>3.8718400000000001E-26</v>
      </c>
      <c r="O25157">
        <v>292</v>
      </c>
    </row>
    <row r="25158" spans="1:15" x14ac:dyDescent="0.25">
      <c r="A25158" t="s">
        <v>25171</v>
      </c>
      <c r="B25158">
        <v>221</v>
      </c>
      <c r="C25158" s="1" t="str">
        <f>HYPERLINK("http://www.rosaceae.org/gb/gbrowse/malus_x_domestica/?name=MDP0000164135","MDP0000164135")</f>
        <v>MDP0000164135</v>
      </c>
      <c r="D25158">
        <v>43.8</v>
      </c>
      <c r="E25158">
        <v>105</v>
      </c>
      <c r="F25158">
        <v>59</v>
      </c>
      <c r="G25158">
        <v>0</v>
      </c>
      <c r="H25158">
        <v>113</v>
      </c>
      <c r="I25158">
        <v>217</v>
      </c>
      <c r="J25158">
        <v>1</v>
      </c>
      <c r="K25158">
        <v>137</v>
      </c>
      <c r="L25158">
        <v>241</v>
      </c>
      <c r="M25158">
        <v>1</v>
      </c>
      <c r="N25158">
        <v>6.8853200000000001E-19</v>
      </c>
      <c r="O25158">
        <v>225</v>
      </c>
    </row>
    <row r="25159" spans="1:15" x14ac:dyDescent="0.25">
      <c r="A25159" t="s">
        <v>25172</v>
      </c>
      <c r="B25159">
        <v>602</v>
      </c>
      <c r="C25159" s="1" t="str">
        <f>HYPERLINK("http://www.rosaceae.org/gb/gbrowse/malus_x_domestica/?name=MDP0000278456","MDP0000278456")</f>
        <v>MDP0000278456</v>
      </c>
      <c r="D25159">
        <v>76.97</v>
      </c>
      <c r="E25159">
        <v>569</v>
      </c>
      <c r="F25159">
        <v>131</v>
      </c>
      <c r="G25159">
        <v>2</v>
      </c>
      <c r="H25159">
        <v>24</v>
      </c>
      <c r="I25159">
        <v>592</v>
      </c>
      <c r="J25159">
        <v>1</v>
      </c>
      <c r="K25159">
        <v>148</v>
      </c>
      <c r="L25159">
        <v>714</v>
      </c>
      <c r="M25159">
        <v>1</v>
      </c>
      <c r="N25159">
        <v>0</v>
      </c>
      <c r="O25159">
        <v>2377</v>
      </c>
    </row>
    <row r="25160" spans="1:15" x14ac:dyDescent="0.25">
      <c r="A25160" t="s">
        <v>25173</v>
      </c>
      <c r="B25160">
        <v>547</v>
      </c>
      <c r="C25160" s="1" t="str">
        <f>HYPERLINK("http://www.rosaceae.org/gb/gbrowse/malus_x_domestica/?name=MDP0000294262","MDP0000294262")</f>
        <v>MDP0000294262</v>
      </c>
      <c r="D25160">
        <v>78.709999999999994</v>
      </c>
      <c r="E25160">
        <v>531</v>
      </c>
      <c r="F25160">
        <v>113</v>
      </c>
      <c r="G25160">
        <v>11</v>
      </c>
      <c r="H25160">
        <v>5</v>
      </c>
      <c r="I25160">
        <v>525</v>
      </c>
      <c r="J25160">
        <v>1</v>
      </c>
      <c r="K25160">
        <v>3</v>
      </c>
      <c r="L25160">
        <v>532</v>
      </c>
      <c r="M25160">
        <v>1</v>
      </c>
      <c r="N25160">
        <v>0</v>
      </c>
      <c r="O25160">
        <v>2228</v>
      </c>
    </row>
    <row r="25161" spans="1:15" x14ac:dyDescent="0.25">
      <c r="A25161" t="s">
        <v>25174</v>
      </c>
      <c r="B25161">
        <v>861</v>
      </c>
      <c r="C25161" s="1" t="str">
        <f>HYPERLINK("http://www.rosaceae.org/gb/gbrowse/malus_x_domestica/?name=MDP0000939108","MDP0000939108")</f>
        <v>MDP0000939108</v>
      </c>
      <c r="D25161">
        <v>91.35</v>
      </c>
      <c r="E25161">
        <v>856</v>
      </c>
      <c r="F25161">
        <v>74</v>
      </c>
      <c r="G25161">
        <v>0</v>
      </c>
      <c r="H25161">
        <v>6</v>
      </c>
      <c r="I25161">
        <v>861</v>
      </c>
      <c r="J25161">
        <v>1</v>
      </c>
      <c r="K25161">
        <v>255</v>
      </c>
      <c r="L25161">
        <v>1110</v>
      </c>
      <c r="M25161">
        <v>1</v>
      </c>
      <c r="N25161">
        <v>0</v>
      </c>
      <c r="O25161">
        <v>4073</v>
      </c>
    </row>
    <row r="25162" spans="1:15" x14ac:dyDescent="0.25">
      <c r="A25162" t="s">
        <v>25175</v>
      </c>
      <c r="B25162">
        <v>186</v>
      </c>
      <c r="C25162" s="1" t="str">
        <f>HYPERLINK("http://www.rosaceae.org/gb/gbrowse/malus_x_domestica/?name=MDP0000267569","MDP0000267569")</f>
        <v>MDP0000267569</v>
      </c>
      <c r="D25162">
        <v>63.33</v>
      </c>
      <c r="E25162">
        <v>90</v>
      </c>
      <c r="F25162">
        <v>33</v>
      </c>
      <c r="G25162">
        <v>0</v>
      </c>
      <c r="H25162">
        <v>4</v>
      </c>
      <c r="I25162">
        <v>93</v>
      </c>
      <c r="J25162">
        <v>1</v>
      </c>
      <c r="K25162">
        <v>61</v>
      </c>
      <c r="L25162">
        <v>150</v>
      </c>
      <c r="M25162">
        <v>1</v>
      </c>
      <c r="N25162">
        <v>2.8181300000000003E-23</v>
      </c>
      <c r="O25162">
        <v>262</v>
      </c>
    </row>
    <row r="25163" spans="1:15" x14ac:dyDescent="0.25">
      <c r="A25163" t="s">
        <v>25176</v>
      </c>
      <c r="B25163">
        <v>290</v>
      </c>
      <c r="C25163" s="1" t="str">
        <f>HYPERLINK("http://www.rosaceae.org/gb/gbrowse/malus_x_domestica/?name=MDP0000276433","MDP0000276433")</f>
        <v>MDP0000276433</v>
      </c>
      <c r="D25163">
        <v>58.69</v>
      </c>
      <c r="E25163">
        <v>184</v>
      </c>
      <c r="F25163">
        <v>76</v>
      </c>
      <c r="G25163">
        <v>0</v>
      </c>
      <c r="H25163">
        <v>103</v>
      </c>
      <c r="I25163">
        <v>286</v>
      </c>
      <c r="J25163">
        <v>1</v>
      </c>
      <c r="K25163">
        <v>63</v>
      </c>
      <c r="L25163">
        <v>246</v>
      </c>
      <c r="M25163">
        <v>1</v>
      </c>
      <c r="N25163">
        <v>2.17757E-59</v>
      </c>
      <c r="O25163">
        <v>576</v>
      </c>
    </row>
    <row r="25164" spans="1:15" x14ac:dyDescent="0.25">
      <c r="A25164" t="s">
        <v>25177</v>
      </c>
      <c r="B25164">
        <v>347</v>
      </c>
      <c r="C25164" s="1" t="str">
        <f>HYPERLINK("http://www.rosaceae.org/gb/gbrowse/malus_x_domestica/?name=MDP0000286203","MDP0000286203")</f>
        <v>MDP0000286203</v>
      </c>
      <c r="D25164">
        <v>62.57</v>
      </c>
      <c r="E25164">
        <v>318</v>
      </c>
      <c r="F25164">
        <v>119</v>
      </c>
      <c r="G25164">
        <v>18</v>
      </c>
      <c r="H25164">
        <v>44</v>
      </c>
      <c r="I25164">
        <v>346</v>
      </c>
      <c r="J25164">
        <v>1</v>
      </c>
      <c r="K25164">
        <v>1</v>
      </c>
      <c r="L25164">
        <v>315</v>
      </c>
      <c r="M25164">
        <v>1</v>
      </c>
      <c r="N25164">
        <v>1.2598999999999999E-103</v>
      </c>
      <c r="O25164">
        <v>958</v>
      </c>
    </row>
    <row r="25165" spans="1:15" x14ac:dyDescent="0.25">
      <c r="A25165" t="s">
        <v>25178</v>
      </c>
      <c r="B25165">
        <v>492</v>
      </c>
      <c r="C25165" s="1" t="str">
        <f>HYPERLINK("http://www.rosaceae.org/gb/gbrowse/malus_x_domestica/?name=MDP0000307313","MDP0000307313")</f>
        <v>MDP0000307313</v>
      </c>
      <c r="D25165">
        <v>46.43</v>
      </c>
      <c r="E25165">
        <v>351</v>
      </c>
      <c r="F25165">
        <v>188</v>
      </c>
      <c r="G25165">
        <v>27</v>
      </c>
      <c r="H25165">
        <v>3</v>
      </c>
      <c r="I25165">
        <v>336</v>
      </c>
      <c r="J25165">
        <v>1</v>
      </c>
      <c r="K25165">
        <v>540</v>
      </c>
      <c r="L25165">
        <v>880</v>
      </c>
      <c r="M25165">
        <v>1</v>
      </c>
      <c r="N25165">
        <v>1.15717E-81</v>
      </c>
      <c r="O25165">
        <v>771</v>
      </c>
    </row>
    <row r="25166" spans="1:15" x14ac:dyDescent="0.25">
      <c r="A25166" t="s">
        <v>25179</v>
      </c>
      <c r="B25166">
        <v>217</v>
      </c>
      <c r="C25166" s="1" t="str">
        <f>HYPERLINK("http://www.rosaceae.org/gb/gbrowse/malus_x_domestica/?name=MDP0000337232","MDP0000337232")</f>
        <v>MDP0000337232</v>
      </c>
      <c r="D25166">
        <v>68.8</v>
      </c>
      <c r="E25166">
        <v>218</v>
      </c>
      <c r="F25166">
        <v>68</v>
      </c>
      <c r="G25166">
        <v>4</v>
      </c>
      <c r="H25166">
        <v>3</v>
      </c>
      <c r="I25166">
        <v>217</v>
      </c>
      <c r="J25166">
        <v>1</v>
      </c>
      <c r="K25166">
        <v>2</v>
      </c>
      <c r="L25166">
        <v>218</v>
      </c>
      <c r="M25166">
        <v>1</v>
      </c>
      <c r="N25166">
        <v>3.0576300000000002E-85</v>
      </c>
      <c r="O25166">
        <v>797</v>
      </c>
    </row>
    <row r="25167" spans="1:15" x14ac:dyDescent="0.25">
      <c r="A25167" t="s">
        <v>25180</v>
      </c>
      <c r="B25167">
        <v>1202</v>
      </c>
      <c r="C25167" s="1" t="str">
        <f>HYPERLINK("http://www.rosaceae.org/gb/gbrowse/malus_x_domestica/?name=MDP0000564969","MDP0000564969")</f>
        <v>MDP0000564969</v>
      </c>
      <c r="D25167">
        <v>44.95</v>
      </c>
      <c r="E25167">
        <v>763</v>
      </c>
      <c r="F25167">
        <v>420</v>
      </c>
      <c r="G25167">
        <v>100</v>
      </c>
      <c r="H25167">
        <v>37</v>
      </c>
      <c r="I25167">
        <v>754</v>
      </c>
      <c r="J25167">
        <v>1</v>
      </c>
      <c r="K25167">
        <v>38</v>
      </c>
      <c r="L25167">
        <v>745</v>
      </c>
      <c r="M25167">
        <v>1</v>
      </c>
      <c r="N25167">
        <v>1.47427E-152</v>
      </c>
      <c r="O25167">
        <v>1386</v>
      </c>
    </row>
    <row r="25168" spans="1:15" x14ac:dyDescent="0.25">
      <c r="A25168" t="s">
        <v>25181</v>
      </c>
      <c r="B25168">
        <v>201</v>
      </c>
      <c r="C25168" s="1" t="str">
        <f>HYPERLINK("http://www.rosaceae.org/gb/gbrowse/malus_x_domestica/?name=MDP0000183712","MDP0000183712")</f>
        <v>MDP0000183712</v>
      </c>
      <c r="D25168">
        <v>42.18</v>
      </c>
      <c r="E25168">
        <v>64</v>
      </c>
      <c r="F25168">
        <v>37</v>
      </c>
      <c r="G25168">
        <v>0</v>
      </c>
      <c r="H25168">
        <v>138</v>
      </c>
      <c r="I25168">
        <v>201</v>
      </c>
      <c r="J25168">
        <v>1</v>
      </c>
      <c r="K25168">
        <v>94</v>
      </c>
      <c r="L25168">
        <v>157</v>
      </c>
      <c r="M25168">
        <v>1</v>
      </c>
      <c r="N25168">
        <v>3.1052800000000001E-7</v>
      </c>
      <c r="O25168">
        <v>124</v>
      </c>
    </row>
    <row r="25169" spans="1:15" x14ac:dyDescent="0.25">
      <c r="A25169" t="s">
        <v>25182</v>
      </c>
      <c r="B25169">
        <v>698</v>
      </c>
      <c r="C25169" s="1" t="str">
        <f>HYPERLINK("http://www.rosaceae.org/gb/gbrowse/malus_x_domestica/?name=MDP0000034165","MDP0000034165")</f>
        <v>MDP0000034165</v>
      </c>
      <c r="D25169">
        <v>86.31</v>
      </c>
      <c r="E25169">
        <v>453</v>
      </c>
      <c r="F25169">
        <v>62</v>
      </c>
      <c r="G25169">
        <v>1</v>
      </c>
      <c r="H25169">
        <v>240</v>
      </c>
      <c r="I25169">
        <v>691</v>
      </c>
      <c r="J25169">
        <v>1</v>
      </c>
      <c r="K25169">
        <v>309</v>
      </c>
      <c r="L25169">
        <v>761</v>
      </c>
      <c r="M25169">
        <v>1</v>
      </c>
      <c r="N25169">
        <v>0</v>
      </c>
      <c r="O25169">
        <v>2172</v>
      </c>
    </row>
    <row r="25170" spans="1:15" x14ac:dyDescent="0.25">
      <c r="A25170" t="s">
        <v>25183</v>
      </c>
      <c r="B25170">
        <v>161</v>
      </c>
      <c r="C25170" s="1" t="str">
        <f>HYPERLINK("http://www.rosaceae.org/gb/gbrowse/malus_x_domestica/?name=MDP0000668260","MDP0000668260")</f>
        <v>MDP0000668260</v>
      </c>
      <c r="D25170">
        <v>37.4</v>
      </c>
      <c r="E25170">
        <v>131</v>
      </c>
      <c r="F25170">
        <v>82</v>
      </c>
      <c r="G25170">
        <v>30</v>
      </c>
      <c r="H25170">
        <v>1</v>
      </c>
      <c r="I25170">
        <v>114</v>
      </c>
      <c r="J25170">
        <v>1</v>
      </c>
      <c r="K25170">
        <v>1</v>
      </c>
      <c r="L25170">
        <v>118</v>
      </c>
      <c r="M25170">
        <v>1</v>
      </c>
      <c r="N25170">
        <v>5.8931899999999999E-12</v>
      </c>
      <c r="O25170">
        <v>163</v>
      </c>
    </row>
    <row r="25171" spans="1:15" x14ac:dyDescent="0.25">
      <c r="A25171" t="s">
        <v>25184</v>
      </c>
      <c r="B25171">
        <v>376</v>
      </c>
      <c r="C25171" s="1" t="str">
        <f>HYPERLINK("http://www.rosaceae.org/gb/gbrowse/malus_x_domestica/?name=MDP0000435842","MDP0000435842")</f>
        <v>MDP0000435842</v>
      </c>
      <c r="D25171">
        <v>42.46</v>
      </c>
      <c r="E25171">
        <v>365</v>
      </c>
      <c r="F25171">
        <v>210</v>
      </c>
      <c r="G25171">
        <v>47</v>
      </c>
      <c r="H25171">
        <v>33</v>
      </c>
      <c r="I25171">
        <v>367</v>
      </c>
      <c r="J25171">
        <v>1</v>
      </c>
      <c r="K25171">
        <v>605</v>
      </c>
      <c r="L25171">
        <v>952</v>
      </c>
      <c r="M25171">
        <v>1</v>
      </c>
      <c r="N25171">
        <v>4.7332200000000003E-74</v>
      </c>
      <c r="O25171">
        <v>704</v>
      </c>
    </row>
    <row r="25172" spans="1:15" x14ac:dyDescent="0.25">
      <c r="A25172" t="s">
        <v>25185</v>
      </c>
      <c r="B25172">
        <v>434</v>
      </c>
      <c r="C25172" s="1" t="str">
        <f>HYPERLINK("http://www.rosaceae.org/gb/gbrowse/malus_x_domestica/?name=MDP0000491872","MDP0000491872")</f>
        <v>MDP0000491872</v>
      </c>
      <c r="D25172">
        <v>67.92</v>
      </c>
      <c r="E25172">
        <v>396</v>
      </c>
      <c r="F25172">
        <v>127</v>
      </c>
      <c r="G25172">
        <v>3</v>
      </c>
      <c r="H25172">
        <v>1</v>
      </c>
      <c r="I25172">
        <v>394</v>
      </c>
      <c r="J25172">
        <v>1</v>
      </c>
      <c r="K25172">
        <v>1</v>
      </c>
      <c r="L25172">
        <v>395</v>
      </c>
      <c r="M25172">
        <v>1</v>
      </c>
      <c r="N25172">
        <v>5.4528599999999998E-145</v>
      </c>
      <c r="O25172">
        <v>1316</v>
      </c>
    </row>
    <row r="25173" spans="1:15" x14ac:dyDescent="0.25">
      <c r="A25173" t="s">
        <v>25186</v>
      </c>
      <c r="B25173">
        <v>864</v>
      </c>
      <c r="C25173" s="1" t="str">
        <f>HYPERLINK("http://www.rosaceae.org/gb/gbrowse/malus_x_domestica/?name=MDP0000249571","MDP0000249571")</f>
        <v>MDP0000249571</v>
      </c>
      <c r="D25173">
        <v>75.09</v>
      </c>
      <c r="E25173">
        <v>518</v>
      </c>
      <c r="F25173">
        <v>129</v>
      </c>
      <c r="G25173">
        <v>28</v>
      </c>
      <c r="H25173">
        <v>117</v>
      </c>
      <c r="I25173">
        <v>634</v>
      </c>
      <c r="J25173">
        <v>1</v>
      </c>
      <c r="K25173">
        <v>27</v>
      </c>
      <c r="L25173">
        <v>516</v>
      </c>
      <c r="M25173">
        <v>1</v>
      </c>
      <c r="N25173">
        <v>0</v>
      </c>
      <c r="O25173">
        <v>2121</v>
      </c>
    </row>
    <row r="25174" spans="1:15" x14ac:dyDescent="0.25">
      <c r="A25174" t="s">
        <v>25187</v>
      </c>
      <c r="B25174">
        <v>303</v>
      </c>
      <c r="C25174" s="1" t="str">
        <f>HYPERLINK("http://www.rosaceae.org/gb/gbrowse/malus_x_domestica/?name=MDP0000239826","MDP0000239826")</f>
        <v>MDP0000239826</v>
      </c>
      <c r="D25174">
        <v>42.41</v>
      </c>
      <c r="E25174">
        <v>224</v>
      </c>
      <c r="F25174">
        <v>129</v>
      </c>
      <c r="G25174">
        <v>2</v>
      </c>
      <c r="H25174">
        <v>7</v>
      </c>
      <c r="I25174">
        <v>229</v>
      </c>
      <c r="J25174">
        <v>1</v>
      </c>
      <c r="K25174">
        <v>241</v>
      </c>
      <c r="L25174">
        <v>463</v>
      </c>
      <c r="M25174">
        <v>1</v>
      </c>
      <c r="N25174">
        <v>1.5000799999999999E-51</v>
      </c>
      <c r="O25174">
        <v>509</v>
      </c>
    </row>
    <row r="25175" spans="1:15" x14ac:dyDescent="0.25">
      <c r="A25175" t="s">
        <v>25188</v>
      </c>
      <c r="B25175">
        <v>381</v>
      </c>
      <c r="C25175" s="1" t="str">
        <f>HYPERLINK("http://www.rosaceae.org/gb/gbrowse/malus_x_domestica/?name=MDP0000180684","MDP0000180684")</f>
        <v>MDP0000180684</v>
      </c>
      <c r="D25175">
        <v>71.12</v>
      </c>
      <c r="E25175">
        <v>142</v>
      </c>
      <c r="F25175">
        <v>41</v>
      </c>
      <c r="G25175">
        <v>2</v>
      </c>
      <c r="H25175">
        <v>1</v>
      </c>
      <c r="I25175">
        <v>141</v>
      </c>
      <c r="J25175">
        <v>1</v>
      </c>
      <c r="K25175">
        <v>284</v>
      </c>
      <c r="L25175">
        <v>424</v>
      </c>
      <c r="M25175">
        <v>1</v>
      </c>
      <c r="N25175">
        <v>2.9137099999999998E-55</v>
      </c>
      <c r="O25175">
        <v>542</v>
      </c>
    </row>
    <row r="25176" spans="1:15" x14ac:dyDescent="0.25">
      <c r="A25176" t="s">
        <v>25189</v>
      </c>
      <c r="B25176">
        <v>283</v>
      </c>
      <c r="C25176" s="1" t="str">
        <f>HYPERLINK("http://www.rosaceae.org/gb/gbrowse/malus_x_domestica/?name=MDP0000319079","MDP0000319079")</f>
        <v>MDP0000319079</v>
      </c>
      <c r="D25176">
        <v>54.6</v>
      </c>
      <c r="E25176">
        <v>152</v>
      </c>
      <c r="F25176">
        <v>69</v>
      </c>
      <c r="G25176">
        <v>18</v>
      </c>
      <c r="H25176">
        <v>67</v>
      </c>
      <c r="I25176">
        <v>202</v>
      </c>
      <c r="J25176">
        <v>1</v>
      </c>
      <c r="K25176">
        <v>75</v>
      </c>
      <c r="L25176">
        <v>224</v>
      </c>
      <c r="M25176">
        <v>1</v>
      </c>
      <c r="N25176">
        <v>2.9092000000000001E-25</v>
      </c>
      <c r="O25176">
        <v>282</v>
      </c>
    </row>
    <row r="25177" spans="1:15" x14ac:dyDescent="0.25">
      <c r="A25177" t="s">
        <v>25190</v>
      </c>
      <c r="B25177">
        <v>365</v>
      </c>
      <c r="C25177" s="1" t="str">
        <f>HYPERLINK("http://www.rosaceae.org/gb/gbrowse/malus_x_domestica/?name=MDP0000176217","MDP0000176217")</f>
        <v>MDP0000176217</v>
      </c>
      <c r="D25177">
        <v>78.08</v>
      </c>
      <c r="E25177">
        <v>365</v>
      </c>
      <c r="F25177">
        <v>80</v>
      </c>
      <c r="G25177">
        <v>15</v>
      </c>
      <c r="H25177">
        <v>1</v>
      </c>
      <c r="I25177">
        <v>365</v>
      </c>
      <c r="J25177">
        <v>1</v>
      </c>
      <c r="K25177">
        <v>1</v>
      </c>
      <c r="L25177">
        <v>350</v>
      </c>
      <c r="M25177">
        <v>1</v>
      </c>
      <c r="N25177">
        <v>2.08968E-161</v>
      </c>
      <c r="O25177">
        <v>1457</v>
      </c>
    </row>
    <row r="25178" spans="1:15" x14ac:dyDescent="0.25">
      <c r="A25178" t="s">
        <v>25191</v>
      </c>
      <c r="B25178">
        <v>457</v>
      </c>
      <c r="C25178" s="1" t="str">
        <f>HYPERLINK("http://www.rosaceae.org/gb/gbrowse/malus_x_domestica/?name=MDP0000152774","MDP0000152774")</f>
        <v>MDP0000152774</v>
      </c>
      <c r="D25178">
        <v>50</v>
      </c>
      <c r="E25178">
        <v>148</v>
      </c>
      <c r="F25178">
        <v>74</v>
      </c>
      <c r="G25178">
        <v>5</v>
      </c>
      <c r="H25178">
        <v>4</v>
      </c>
      <c r="I25178">
        <v>148</v>
      </c>
      <c r="J25178">
        <v>1</v>
      </c>
      <c r="K25178">
        <v>68</v>
      </c>
      <c r="L25178">
        <v>213</v>
      </c>
      <c r="M25178">
        <v>1</v>
      </c>
      <c r="N25178">
        <v>2.9709900000000002E-33</v>
      </c>
      <c r="O25178">
        <v>353</v>
      </c>
    </row>
    <row r="25179" spans="1:15" x14ac:dyDescent="0.25">
      <c r="A25179" t="s">
        <v>25192</v>
      </c>
      <c r="B25179">
        <v>224</v>
      </c>
      <c r="C25179" s="1" t="str">
        <f>HYPERLINK("http://www.rosaceae.org/gb/gbrowse/malus_x_domestica/?name=MDP0000380032","MDP0000380032")</f>
        <v>MDP0000380032</v>
      </c>
      <c r="D25179">
        <v>58.48</v>
      </c>
      <c r="E25179">
        <v>224</v>
      </c>
      <c r="F25179">
        <v>93</v>
      </c>
      <c r="G25179">
        <v>0</v>
      </c>
      <c r="H25179">
        <v>1</v>
      </c>
      <c r="I25179">
        <v>224</v>
      </c>
      <c r="J25179">
        <v>1</v>
      </c>
      <c r="K25179">
        <v>1</v>
      </c>
      <c r="L25179">
        <v>224</v>
      </c>
      <c r="M25179">
        <v>1</v>
      </c>
      <c r="N25179">
        <v>3.8642799999999998E-69</v>
      </c>
      <c r="O25179">
        <v>659</v>
      </c>
    </row>
    <row r="25180" spans="1:15" x14ac:dyDescent="0.25">
      <c r="A25180" t="s">
        <v>25193</v>
      </c>
      <c r="B25180">
        <v>191</v>
      </c>
      <c r="C25180" s="1" t="str">
        <f>HYPERLINK("http://www.rosaceae.org/gb/gbrowse/malus_x_domestica/?name=MDP0000238081","MDP0000238081")</f>
        <v>MDP0000238081</v>
      </c>
      <c r="D25180">
        <v>84.69</v>
      </c>
      <c r="E25180">
        <v>183</v>
      </c>
      <c r="F25180">
        <v>28</v>
      </c>
      <c r="G25180">
        <v>3</v>
      </c>
      <c r="H25180">
        <v>9</v>
      </c>
      <c r="I25180">
        <v>191</v>
      </c>
      <c r="J25180">
        <v>1</v>
      </c>
      <c r="K25180">
        <v>5</v>
      </c>
      <c r="L25180">
        <v>184</v>
      </c>
      <c r="M25180">
        <v>1</v>
      </c>
      <c r="N25180">
        <v>1.6467699999999999E-87</v>
      </c>
      <c r="O25180">
        <v>816</v>
      </c>
    </row>
    <row r="25181" spans="1:15" x14ac:dyDescent="0.25">
      <c r="A25181" t="s">
        <v>25194</v>
      </c>
      <c r="B25181">
        <v>560</v>
      </c>
      <c r="C25181" s="1" t="str">
        <f>HYPERLINK("http://www.rosaceae.org/gb/gbrowse/malus_x_domestica/?name=MDP0000231962","MDP0000231962")</f>
        <v>MDP0000231962</v>
      </c>
      <c r="D25181">
        <v>77.19</v>
      </c>
      <c r="E25181">
        <v>535</v>
      </c>
      <c r="F25181">
        <v>122</v>
      </c>
      <c r="G25181">
        <v>7</v>
      </c>
      <c r="H25181">
        <v>32</v>
      </c>
      <c r="I25181">
        <v>560</v>
      </c>
      <c r="J25181">
        <v>1</v>
      </c>
      <c r="K25181">
        <v>36</v>
      </c>
      <c r="L25181">
        <v>569</v>
      </c>
      <c r="M25181">
        <v>1</v>
      </c>
      <c r="N25181">
        <v>0</v>
      </c>
      <c r="O25181">
        <v>2204</v>
      </c>
    </row>
    <row r="25182" spans="1:15" x14ac:dyDescent="0.25">
      <c r="A25182" t="s">
        <v>25195</v>
      </c>
      <c r="B25182">
        <v>366</v>
      </c>
      <c r="C25182" s="1" t="str">
        <f>HYPERLINK("http://www.rosaceae.org/gb/gbrowse/malus_x_domestica/?name=MDP0000226339","MDP0000226339")</f>
        <v>MDP0000226339</v>
      </c>
      <c r="D25182">
        <v>84.4</v>
      </c>
      <c r="E25182">
        <v>327</v>
      </c>
      <c r="F25182">
        <v>51</v>
      </c>
      <c r="G25182">
        <v>2</v>
      </c>
      <c r="H25182">
        <v>25</v>
      </c>
      <c r="I25182">
        <v>349</v>
      </c>
      <c r="J25182">
        <v>1</v>
      </c>
      <c r="K25182">
        <v>72</v>
      </c>
      <c r="L25182">
        <v>398</v>
      </c>
      <c r="M25182">
        <v>1</v>
      </c>
      <c r="N25182">
        <v>2.7618600000000002E-162</v>
      </c>
      <c r="O25182">
        <v>1465</v>
      </c>
    </row>
    <row r="25183" spans="1:15" x14ac:dyDescent="0.25">
      <c r="A25183" t="s">
        <v>25196</v>
      </c>
      <c r="B25183">
        <v>921</v>
      </c>
      <c r="C25183" s="1" t="str">
        <f>HYPERLINK("http://www.rosaceae.org/gb/gbrowse/malus_x_domestica/?name=MDP0000143129","MDP0000143129")</f>
        <v>MDP0000143129</v>
      </c>
      <c r="D25183">
        <v>35.119999999999997</v>
      </c>
      <c r="E25183">
        <v>279</v>
      </c>
      <c r="F25183">
        <v>181</v>
      </c>
      <c r="G25183">
        <v>55</v>
      </c>
      <c r="H25183">
        <v>628</v>
      </c>
      <c r="I25183">
        <v>879</v>
      </c>
      <c r="J25183">
        <v>1</v>
      </c>
      <c r="K25183">
        <v>316</v>
      </c>
      <c r="L25183">
        <v>566</v>
      </c>
      <c r="M25183">
        <v>1</v>
      </c>
      <c r="N25183">
        <v>3.4876800000000002E-42</v>
      </c>
      <c r="O25183">
        <v>433</v>
      </c>
    </row>
    <row r="25184" spans="1:15" x14ac:dyDescent="0.25">
      <c r="A25184" t="s">
        <v>25197</v>
      </c>
      <c r="B25184">
        <v>412</v>
      </c>
      <c r="C25184" s="1" t="str">
        <f>HYPERLINK("http://www.rosaceae.org/gb/gbrowse/malus_x_domestica/?name=MDP0000139742","MDP0000139742")</f>
        <v>MDP0000139742</v>
      </c>
      <c r="D25184">
        <v>35.090000000000003</v>
      </c>
      <c r="E25184">
        <v>379</v>
      </c>
      <c r="F25184">
        <v>246</v>
      </c>
      <c r="G25184">
        <v>49</v>
      </c>
      <c r="H25184">
        <v>64</v>
      </c>
      <c r="I25184">
        <v>409</v>
      </c>
      <c r="J25184">
        <v>1</v>
      </c>
      <c r="K25184">
        <v>197</v>
      </c>
      <c r="L25184">
        <v>559</v>
      </c>
      <c r="M25184">
        <v>1</v>
      </c>
      <c r="N25184">
        <v>6.8394200000000005E-45</v>
      </c>
      <c r="O25184">
        <v>453</v>
      </c>
    </row>
    <row r="25185" spans="1:15" x14ac:dyDescent="0.25">
      <c r="A25185" t="s">
        <v>25198</v>
      </c>
      <c r="B25185">
        <v>321</v>
      </c>
      <c r="C25185" s="1" t="str">
        <f>HYPERLINK("http://www.rosaceae.org/gb/gbrowse/malus_x_domestica/?name=MDP0000547450","MDP0000547450")</f>
        <v>MDP0000547450</v>
      </c>
      <c r="D25185">
        <v>83.5</v>
      </c>
      <c r="E25185">
        <v>291</v>
      </c>
      <c r="F25185">
        <v>48</v>
      </c>
      <c r="G25185">
        <v>1</v>
      </c>
      <c r="H25185">
        <v>1</v>
      </c>
      <c r="I25185">
        <v>290</v>
      </c>
      <c r="J25185">
        <v>1</v>
      </c>
      <c r="K25185">
        <v>138</v>
      </c>
      <c r="L25185">
        <v>428</v>
      </c>
      <c r="M25185">
        <v>1</v>
      </c>
      <c r="N25185">
        <v>1.9456400000000001E-142</v>
      </c>
      <c r="O25185">
        <v>1293</v>
      </c>
    </row>
    <row r="25186" spans="1:15" x14ac:dyDescent="0.25">
      <c r="A25186" t="s">
        <v>25199</v>
      </c>
      <c r="B25186">
        <v>386</v>
      </c>
      <c r="C25186" s="1" t="str">
        <f>HYPERLINK("http://www.rosaceae.org/gb/gbrowse/malus_x_domestica/?name=MDP0000119265","MDP0000119265")</f>
        <v>MDP0000119265</v>
      </c>
      <c r="D25186">
        <v>37.28</v>
      </c>
      <c r="E25186">
        <v>287</v>
      </c>
      <c r="F25186">
        <v>180</v>
      </c>
      <c r="G25186">
        <v>27</v>
      </c>
      <c r="H25186">
        <v>120</v>
      </c>
      <c r="I25186">
        <v>386</v>
      </c>
      <c r="J25186">
        <v>1</v>
      </c>
      <c r="K25186">
        <v>115</v>
      </c>
      <c r="L25186">
        <v>394</v>
      </c>
      <c r="M25186">
        <v>1</v>
      </c>
      <c r="N25186">
        <v>6.5333E-37</v>
      </c>
      <c r="O25186">
        <v>384</v>
      </c>
    </row>
    <row r="25187" spans="1:15" x14ac:dyDescent="0.25">
      <c r="A25187" t="s">
        <v>25200</v>
      </c>
      <c r="B25187">
        <v>423</v>
      </c>
      <c r="C25187" s="1" t="str">
        <f>HYPERLINK("http://www.rosaceae.org/gb/gbrowse/malus_x_domestica/?name=MDP0000866638","MDP0000866638")</f>
        <v>MDP0000866638</v>
      </c>
      <c r="D25187">
        <v>78.11</v>
      </c>
      <c r="E25187">
        <v>425</v>
      </c>
      <c r="F25187">
        <v>93</v>
      </c>
      <c r="G25187">
        <v>2</v>
      </c>
      <c r="H25187">
        <v>1</v>
      </c>
      <c r="I25187">
        <v>423</v>
      </c>
      <c r="J25187">
        <v>1</v>
      </c>
      <c r="K25187">
        <v>1</v>
      </c>
      <c r="L25187">
        <v>425</v>
      </c>
      <c r="M25187">
        <v>1</v>
      </c>
      <c r="N25187">
        <v>0</v>
      </c>
      <c r="O25187">
        <v>1656</v>
      </c>
    </row>
    <row r="25188" spans="1:15" x14ac:dyDescent="0.25">
      <c r="A25188" t="s">
        <v>25201</v>
      </c>
      <c r="B25188">
        <v>1352</v>
      </c>
      <c r="C25188" s="1" t="str">
        <f>HYPERLINK("http://www.rosaceae.org/gb/gbrowse/malus_x_domestica/?name=MDP0000167080","MDP0000167080")</f>
        <v>MDP0000167080</v>
      </c>
      <c r="D25188">
        <v>77.36</v>
      </c>
      <c r="E25188">
        <v>972</v>
      </c>
      <c r="F25188">
        <v>220</v>
      </c>
      <c r="G25188">
        <v>48</v>
      </c>
      <c r="H25188">
        <v>282</v>
      </c>
      <c r="I25188">
        <v>1206</v>
      </c>
      <c r="J25188">
        <v>1</v>
      </c>
      <c r="K25188">
        <v>144</v>
      </c>
      <c r="L25188">
        <v>1114</v>
      </c>
      <c r="M25188">
        <v>1</v>
      </c>
      <c r="N25188">
        <v>0</v>
      </c>
      <c r="O25188">
        <v>4091</v>
      </c>
    </row>
    <row r="25189" spans="1:15" x14ac:dyDescent="0.25">
      <c r="A25189" t="s">
        <v>25202</v>
      </c>
      <c r="B25189">
        <v>507</v>
      </c>
      <c r="C25189" s="1" t="str">
        <f>HYPERLINK("http://www.rosaceae.org/gb/gbrowse/malus_x_domestica/?name=MDP0000134594","MDP0000134594")</f>
        <v>MDP0000134594</v>
      </c>
      <c r="D25189">
        <v>71.95</v>
      </c>
      <c r="E25189">
        <v>410</v>
      </c>
      <c r="F25189">
        <v>115</v>
      </c>
      <c r="G25189">
        <v>36</v>
      </c>
      <c r="H25189">
        <v>74</v>
      </c>
      <c r="I25189">
        <v>483</v>
      </c>
      <c r="J25189">
        <v>1</v>
      </c>
      <c r="K25189">
        <v>1</v>
      </c>
      <c r="L25189">
        <v>374</v>
      </c>
      <c r="M25189">
        <v>1</v>
      </c>
      <c r="N25189">
        <v>7.2199700000000004E-172</v>
      </c>
      <c r="O25189">
        <v>1549</v>
      </c>
    </row>
    <row r="25190" spans="1:15" x14ac:dyDescent="0.25">
      <c r="A25190" t="s">
        <v>25203</v>
      </c>
      <c r="B25190">
        <v>129</v>
      </c>
      <c r="C25190" s="1" t="str">
        <f>HYPERLINK("http://www.rosaceae.org/gb/gbrowse/malus_x_domestica/?name=MDP0000290738","MDP0000290738")</f>
        <v>MDP0000290738</v>
      </c>
      <c r="D25190">
        <v>74.209999999999994</v>
      </c>
      <c r="E25190">
        <v>128</v>
      </c>
      <c r="F25190">
        <v>33</v>
      </c>
      <c r="G25190">
        <v>0</v>
      </c>
      <c r="H25190">
        <v>2</v>
      </c>
      <c r="I25190">
        <v>129</v>
      </c>
      <c r="J25190">
        <v>1</v>
      </c>
      <c r="K25190">
        <v>42</v>
      </c>
      <c r="L25190">
        <v>169</v>
      </c>
      <c r="M25190">
        <v>1</v>
      </c>
      <c r="N25190">
        <v>9.4891500000000002E-54</v>
      </c>
      <c r="O25190">
        <v>521</v>
      </c>
    </row>
    <row r="25191" spans="1:15" x14ac:dyDescent="0.25">
      <c r="A25191" t="s">
        <v>25204</v>
      </c>
      <c r="B25191">
        <v>1746</v>
      </c>
      <c r="C25191" s="1" t="str">
        <f>HYPERLINK("http://www.rosaceae.org/gb/gbrowse/malus_x_domestica/?name=MDP0000003570","MDP0000003570")</f>
        <v>MDP0000003570</v>
      </c>
      <c r="D25191">
        <v>79</v>
      </c>
      <c r="E25191">
        <v>1567</v>
      </c>
      <c r="F25191">
        <v>329</v>
      </c>
      <c r="G25191">
        <v>89</v>
      </c>
      <c r="H25191">
        <v>1</v>
      </c>
      <c r="I25191">
        <v>1480</v>
      </c>
      <c r="J25191">
        <v>1</v>
      </c>
      <c r="K25191">
        <v>1</v>
      </c>
      <c r="L25191">
        <v>1565</v>
      </c>
      <c r="M25191">
        <v>1</v>
      </c>
      <c r="N25191">
        <v>0</v>
      </c>
      <c r="O25191">
        <v>6629</v>
      </c>
    </row>
    <row r="25192" spans="1:15" x14ac:dyDescent="0.25">
      <c r="A25192" t="s">
        <v>25205</v>
      </c>
      <c r="B25192">
        <v>893</v>
      </c>
      <c r="C25192" s="1" t="str">
        <f>HYPERLINK("http://www.rosaceae.org/gb/gbrowse/malus_x_domestica/?name=MDP0000282531","MDP0000282531")</f>
        <v>MDP0000282531</v>
      </c>
      <c r="D25192">
        <v>46.51</v>
      </c>
      <c r="E25192">
        <v>862</v>
      </c>
      <c r="F25192">
        <v>461</v>
      </c>
      <c r="G25192">
        <v>157</v>
      </c>
      <c r="H25192">
        <v>119</v>
      </c>
      <c r="I25192">
        <v>891</v>
      </c>
      <c r="J25192">
        <v>1</v>
      </c>
      <c r="K25192">
        <v>519</v>
      </c>
      <c r="L25192">
        <v>1312</v>
      </c>
      <c r="M25192">
        <v>1</v>
      </c>
      <c r="N25192">
        <v>6.9595200000000001E-174</v>
      </c>
      <c r="O25192">
        <v>1569</v>
      </c>
    </row>
    <row r="25193" spans="1:15" x14ac:dyDescent="0.25">
      <c r="A25193" t="s">
        <v>25206</v>
      </c>
      <c r="B25193">
        <v>230</v>
      </c>
      <c r="C25193" s="1" t="str">
        <f>HYPERLINK("http://www.rosaceae.org/gb/gbrowse/malus_x_domestica/?name=MDP0000317700","MDP0000317700")</f>
        <v>MDP0000317700</v>
      </c>
      <c r="D25193">
        <v>32.32</v>
      </c>
      <c r="E25193">
        <v>232</v>
      </c>
      <c r="F25193">
        <v>157</v>
      </c>
      <c r="G25193">
        <v>32</v>
      </c>
      <c r="H25193">
        <v>9</v>
      </c>
      <c r="I25193">
        <v>220</v>
      </c>
      <c r="J25193">
        <v>1</v>
      </c>
      <c r="K25193">
        <v>470</v>
      </c>
      <c r="L25193">
        <v>689</v>
      </c>
      <c r="M25193">
        <v>1</v>
      </c>
      <c r="N25193">
        <v>8.7174799999999998E-16</v>
      </c>
      <c r="O25193">
        <v>199</v>
      </c>
    </row>
    <row r="25194" spans="1:15" x14ac:dyDescent="0.25">
      <c r="A25194" t="s">
        <v>25207</v>
      </c>
      <c r="B25194">
        <v>262</v>
      </c>
      <c r="C25194" s="1" t="str">
        <f>HYPERLINK("http://www.rosaceae.org/gb/gbrowse/malus_x_domestica/?name=MDP0000240313","MDP0000240313")</f>
        <v>MDP0000240313</v>
      </c>
      <c r="D25194">
        <v>69.709999999999994</v>
      </c>
      <c r="E25194">
        <v>284</v>
      </c>
      <c r="F25194">
        <v>86</v>
      </c>
      <c r="G25194">
        <v>31</v>
      </c>
      <c r="H25194">
        <v>1</v>
      </c>
      <c r="I25194">
        <v>262</v>
      </c>
      <c r="J25194">
        <v>1</v>
      </c>
      <c r="K25194">
        <v>469</v>
      </c>
      <c r="L25194">
        <v>743</v>
      </c>
      <c r="M25194">
        <v>1</v>
      </c>
      <c r="N25194">
        <v>3.8470699999999998E-109</v>
      </c>
      <c r="O25194">
        <v>1004</v>
      </c>
    </row>
    <row r="25195" spans="1:15" x14ac:dyDescent="0.25">
      <c r="A25195" t="s">
        <v>25208</v>
      </c>
      <c r="B25195">
        <v>672</v>
      </c>
      <c r="C25195" s="1" t="str">
        <f>HYPERLINK("http://www.rosaceae.org/gb/gbrowse/malus_x_domestica/?name=MDP0000302027","MDP0000302027")</f>
        <v>MDP0000302027</v>
      </c>
      <c r="D25195">
        <v>64.45</v>
      </c>
      <c r="E25195">
        <v>678</v>
      </c>
      <c r="F25195">
        <v>241</v>
      </c>
      <c r="G25195">
        <v>36</v>
      </c>
      <c r="H25195">
        <v>1</v>
      </c>
      <c r="I25195">
        <v>672</v>
      </c>
      <c r="J25195">
        <v>1</v>
      </c>
      <c r="K25195">
        <v>494</v>
      </c>
      <c r="L25195">
        <v>1141</v>
      </c>
      <c r="M25195">
        <v>1</v>
      </c>
      <c r="N25195">
        <v>0</v>
      </c>
      <c r="O25195">
        <v>2153</v>
      </c>
    </row>
    <row r="25196" spans="1:15" x14ac:dyDescent="0.25">
      <c r="A25196" t="s">
        <v>25209</v>
      </c>
      <c r="B25196">
        <v>601</v>
      </c>
      <c r="C25196" s="1" t="str">
        <f>HYPERLINK("http://www.rosaceae.org/gb/gbrowse/malus_x_domestica/?name=MDP0000809236","MDP0000809236")</f>
        <v>MDP0000809236</v>
      </c>
      <c r="D25196">
        <v>83.73</v>
      </c>
      <c r="E25196">
        <v>166</v>
      </c>
      <c r="F25196">
        <v>27</v>
      </c>
      <c r="G25196">
        <v>0</v>
      </c>
      <c r="H25196">
        <v>428</v>
      </c>
      <c r="I25196">
        <v>593</v>
      </c>
      <c r="J25196">
        <v>1</v>
      </c>
      <c r="K25196">
        <v>1</v>
      </c>
      <c r="L25196">
        <v>166</v>
      </c>
      <c r="M25196">
        <v>1</v>
      </c>
      <c r="N25196">
        <v>3.3448500000000001E-82</v>
      </c>
      <c r="O25196">
        <v>776</v>
      </c>
    </row>
    <row r="25197" spans="1:15" x14ac:dyDescent="0.25">
      <c r="A25197" t="s">
        <v>25210</v>
      </c>
      <c r="B25197">
        <v>435</v>
      </c>
      <c r="C25197" s="1" t="str">
        <f>HYPERLINK("http://www.rosaceae.org/gb/gbrowse/malus_x_domestica/?name=MDP0000231072","MDP0000231072")</f>
        <v>MDP0000231072</v>
      </c>
      <c r="D25197">
        <v>40.22</v>
      </c>
      <c r="E25197">
        <v>348</v>
      </c>
      <c r="F25197">
        <v>208</v>
      </c>
      <c r="G25197">
        <v>30</v>
      </c>
      <c r="H25197">
        <v>18</v>
      </c>
      <c r="I25197">
        <v>349</v>
      </c>
      <c r="J25197">
        <v>1</v>
      </c>
      <c r="K25197">
        <v>95</v>
      </c>
      <c r="L25197">
        <v>428</v>
      </c>
      <c r="M25197">
        <v>1</v>
      </c>
      <c r="N25197">
        <v>9.4122199999999997E-57</v>
      </c>
      <c r="O25197">
        <v>555</v>
      </c>
    </row>
    <row r="25198" spans="1:15" x14ac:dyDescent="0.25">
      <c r="A25198" t="s">
        <v>25211</v>
      </c>
      <c r="B25198">
        <v>327</v>
      </c>
      <c r="C25198" s="1" t="str">
        <f>HYPERLINK("http://www.rosaceae.org/gb/gbrowse/malus_x_domestica/?name=MDP0000293980","MDP0000293980")</f>
        <v>MDP0000293980</v>
      </c>
      <c r="D25198">
        <v>53.81</v>
      </c>
      <c r="E25198">
        <v>275</v>
      </c>
      <c r="F25198">
        <v>127</v>
      </c>
      <c r="G25198">
        <v>14</v>
      </c>
      <c r="H25198">
        <v>63</v>
      </c>
      <c r="I25198">
        <v>327</v>
      </c>
      <c r="J25198">
        <v>1</v>
      </c>
      <c r="K25198">
        <v>27</v>
      </c>
      <c r="L25198">
        <v>297</v>
      </c>
      <c r="M25198">
        <v>1</v>
      </c>
      <c r="N25198">
        <v>3.0490200000000002E-68</v>
      </c>
      <c r="O25198">
        <v>653</v>
      </c>
    </row>
    <row r="25199" spans="1:15" x14ac:dyDescent="0.25">
      <c r="A25199" t="s">
        <v>25212</v>
      </c>
      <c r="B25199">
        <v>659</v>
      </c>
      <c r="C25199" s="1" t="str">
        <f>HYPERLINK("http://www.rosaceae.org/gb/gbrowse/malus_x_domestica/?name=MDP0000217335","MDP0000217335")</f>
        <v>MDP0000217335</v>
      </c>
      <c r="D25199">
        <v>32.65</v>
      </c>
      <c r="E25199">
        <v>444</v>
      </c>
      <c r="F25199">
        <v>299</v>
      </c>
      <c r="G25199">
        <v>70</v>
      </c>
      <c r="H25199">
        <v>32</v>
      </c>
      <c r="I25199">
        <v>447</v>
      </c>
      <c r="J25199">
        <v>1</v>
      </c>
      <c r="K25199">
        <v>3</v>
      </c>
      <c r="L25199">
        <v>404</v>
      </c>
      <c r="M25199">
        <v>1</v>
      </c>
      <c r="N25199">
        <v>5.8049300000000005E-42</v>
      </c>
      <c r="O25199">
        <v>430</v>
      </c>
    </row>
    <row r="25200" spans="1:15" x14ac:dyDescent="0.25">
      <c r="A25200" t="s">
        <v>25213</v>
      </c>
      <c r="B25200">
        <v>601</v>
      </c>
      <c r="C25200" s="1" t="str">
        <f>HYPERLINK("http://www.rosaceae.org/gb/gbrowse/malus_x_domestica/?name=MDP0000198686","MDP0000198686")</f>
        <v>MDP0000198686</v>
      </c>
      <c r="D25200">
        <v>49.06</v>
      </c>
      <c r="E25200">
        <v>481</v>
      </c>
      <c r="F25200">
        <v>245</v>
      </c>
      <c r="G25200">
        <v>120</v>
      </c>
      <c r="H25200">
        <v>179</v>
      </c>
      <c r="I25200">
        <v>595</v>
      </c>
      <c r="J25200">
        <v>1</v>
      </c>
      <c r="K25200">
        <v>7</v>
      </c>
      <c r="L25200">
        <v>431</v>
      </c>
      <c r="M25200">
        <v>1</v>
      </c>
      <c r="N25200">
        <v>2.5778600000000001E-117</v>
      </c>
      <c r="O25200">
        <v>1079</v>
      </c>
    </row>
    <row r="25201" spans="1:15" x14ac:dyDescent="0.25">
      <c r="A25201" t="s">
        <v>25214</v>
      </c>
      <c r="B25201">
        <v>585</v>
      </c>
      <c r="C25201" s="1" t="str">
        <f>HYPERLINK("http://www.rosaceae.org/gb/gbrowse/malus_x_domestica/?name=MDP0000237964","MDP0000237964")</f>
        <v>MDP0000237964</v>
      </c>
      <c r="D25201">
        <v>68.14</v>
      </c>
      <c r="E25201">
        <v>562</v>
      </c>
      <c r="F25201">
        <v>179</v>
      </c>
      <c r="G25201">
        <v>9</v>
      </c>
      <c r="H25201">
        <v>9</v>
      </c>
      <c r="I25201">
        <v>568</v>
      </c>
      <c r="J25201">
        <v>1</v>
      </c>
      <c r="K25201">
        <v>12</v>
      </c>
      <c r="L25201">
        <v>566</v>
      </c>
      <c r="M25201">
        <v>1</v>
      </c>
      <c r="N25201">
        <v>0</v>
      </c>
      <c r="O25201">
        <v>2062</v>
      </c>
    </row>
    <row r="25202" spans="1:15" x14ac:dyDescent="0.25">
      <c r="A25202" t="s">
        <v>25215</v>
      </c>
      <c r="B25202">
        <v>237</v>
      </c>
      <c r="C25202" s="1" t="str">
        <f>HYPERLINK("http://www.rosaceae.org/gb/gbrowse/malus_x_domestica/?name=MDP0000295677","MDP0000295677")</f>
        <v>MDP0000295677</v>
      </c>
      <c r="D25202">
        <v>34.1</v>
      </c>
      <c r="E25202">
        <v>258</v>
      </c>
      <c r="F25202">
        <v>170</v>
      </c>
      <c r="G25202">
        <v>54</v>
      </c>
      <c r="H25202">
        <v>6</v>
      </c>
      <c r="I25202">
        <v>219</v>
      </c>
      <c r="J25202">
        <v>1</v>
      </c>
      <c r="K25202">
        <v>213</v>
      </c>
      <c r="L25202">
        <v>460</v>
      </c>
      <c r="M25202">
        <v>1</v>
      </c>
      <c r="N25202">
        <v>1.0055400000000001E-20</v>
      </c>
      <c r="O25202">
        <v>241</v>
      </c>
    </row>
    <row r="25203" spans="1:15" x14ac:dyDescent="0.25">
      <c r="A25203" t="s">
        <v>25216</v>
      </c>
      <c r="B25203">
        <v>150</v>
      </c>
      <c r="C25203" s="1" t="str">
        <f>HYPERLINK("http://www.rosaceae.org/gb/gbrowse/malus_x_domestica/?name=MDP0000164135","MDP0000164135")</f>
        <v>MDP0000164135</v>
      </c>
      <c r="D25203">
        <v>42.37</v>
      </c>
      <c r="E25203">
        <v>59</v>
      </c>
      <c r="F25203">
        <v>34</v>
      </c>
      <c r="G25203">
        <v>0</v>
      </c>
      <c r="H25203">
        <v>87</v>
      </c>
      <c r="I25203">
        <v>145</v>
      </c>
      <c r="J25203">
        <v>1</v>
      </c>
      <c r="K25203">
        <v>183</v>
      </c>
      <c r="L25203">
        <v>241</v>
      </c>
      <c r="M25203">
        <v>1</v>
      </c>
      <c r="N25203">
        <v>8.8607099999999999E-8</v>
      </c>
      <c r="O25203">
        <v>126</v>
      </c>
    </row>
    <row r="25204" spans="1:15" x14ac:dyDescent="0.25">
      <c r="A25204" t="s">
        <v>25217</v>
      </c>
      <c r="B25204">
        <v>821</v>
      </c>
      <c r="C25204" s="1" t="str">
        <f>HYPERLINK("http://www.rosaceae.org/gb/gbrowse/malus_x_domestica/?name=MDP0000221865","MDP0000221865")</f>
        <v>MDP0000221865</v>
      </c>
      <c r="D25204">
        <v>65.19</v>
      </c>
      <c r="E25204">
        <v>655</v>
      </c>
      <c r="F25204">
        <v>228</v>
      </c>
      <c r="G25204">
        <v>5</v>
      </c>
      <c r="H25204">
        <v>167</v>
      </c>
      <c r="I25204">
        <v>821</v>
      </c>
      <c r="J25204">
        <v>1</v>
      </c>
      <c r="K25204">
        <v>1</v>
      </c>
      <c r="L25204">
        <v>650</v>
      </c>
      <c r="M25204">
        <v>1</v>
      </c>
      <c r="N25204">
        <v>0</v>
      </c>
      <c r="O25204">
        <v>2047</v>
      </c>
    </row>
    <row r="25205" spans="1:15" x14ac:dyDescent="0.25">
      <c r="A25205" t="s">
        <v>25218</v>
      </c>
      <c r="B25205">
        <v>255</v>
      </c>
      <c r="C25205" s="1" t="str">
        <f>HYPERLINK("http://www.rosaceae.org/gb/gbrowse/malus_x_domestica/?name=MDP0000203813","MDP0000203813")</f>
        <v>MDP0000203813</v>
      </c>
      <c r="D25205">
        <v>76.36</v>
      </c>
      <c r="E25205">
        <v>110</v>
      </c>
      <c r="F25205">
        <v>26</v>
      </c>
      <c r="G25205">
        <v>17</v>
      </c>
      <c r="H25205">
        <v>6</v>
      </c>
      <c r="I25205">
        <v>98</v>
      </c>
      <c r="J25205">
        <v>1</v>
      </c>
      <c r="K25205">
        <v>340</v>
      </c>
      <c r="L25205">
        <v>449</v>
      </c>
      <c r="M25205">
        <v>1</v>
      </c>
      <c r="N25205">
        <v>2.9711500000000002E-41</v>
      </c>
      <c r="O25205">
        <v>419</v>
      </c>
    </row>
    <row r="25206" spans="1:15" x14ac:dyDescent="0.25">
      <c r="A25206" t="s">
        <v>25219</v>
      </c>
      <c r="B25206">
        <v>622</v>
      </c>
      <c r="C25206" s="1" t="str">
        <f>HYPERLINK("http://www.rosaceae.org/gb/gbrowse/malus_x_domestica/?name=MDP0000147814","MDP0000147814")</f>
        <v>MDP0000147814</v>
      </c>
      <c r="D25206">
        <v>61.29</v>
      </c>
      <c r="E25206">
        <v>434</v>
      </c>
      <c r="F25206">
        <v>168</v>
      </c>
      <c r="G25206">
        <v>20</v>
      </c>
      <c r="H25206">
        <v>115</v>
      </c>
      <c r="I25206">
        <v>529</v>
      </c>
      <c r="J25206">
        <v>1</v>
      </c>
      <c r="K25206">
        <v>22</v>
      </c>
      <c r="L25206">
        <v>454</v>
      </c>
      <c r="M25206">
        <v>1</v>
      </c>
      <c r="N25206">
        <v>1.5455800000000001E-155</v>
      </c>
      <c r="O25206">
        <v>1409</v>
      </c>
    </row>
    <row r="25207" spans="1:15" x14ac:dyDescent="0.25">
      <c r="A25207" t="s">
        <v>25220</v>
      </c>
      <c r="B25207">
        <v>613</v>
      </c>
      <c r="C25207" s="1" t="str">
        <f>HYPERLINK("http://www.rosaceae.org/gb/gbrowse/malus_x_domestica/?name=MDP0000819808","MDP0000819808")</f>
        <v>MDP0000819808</v>
      </c>
      <c r="D25207">
        <v>76.680000000000007</v>
      </c>
      <c r="E25207">
        <v>416</v>
      </c>
      <c r="F25207">
        <v>97</v>
      </c>
      <c r="G25207">
        <v>7</v>
      </c>
      <c r="H25207">
        <v>1</v>
      </c>
      <c r="I25207">
        <v>415</v>
      </c>
      <c r="J25207">
        <v>1</v>
      </c>
      <c r="K25207">
        <v>1</v>
      </c>
      <c r="L25207">
        <v>410</v>
      </c>
      <c r="M25207">
        <v>1</v>
      </c>
      <c r="N25207">
        <v>0</v>
      </c>
      <c r="O25207">
        <v>1687</v>
      </c>
    </row>
    <row r="25208" spans="1:15" x14ac:dyDescent="0.25">
      <c r="A25208" t="s">
        <v>25221</v>
      </c>
      <c r="B25208">
        <v>1045</v>
      </c>
      <c r="C25208" s="1" t="str">
        <f>HYPERLINK("http://www.rosaceae.org/gb/gbrowse/malus_x_domestica/?name=MDP0000319833","MDP0000319833")</f>
        <v>MDP0000319833</v>
      </c>
      <c r="D25208">
        <v>36.950000000000003</v>
      </c>
      <c r="E25208">
        <v>893</v>
      </c>
      <c r="F25208">
        <v>563</v>
      </c>
      <c r="G25208">
        <v>147</v>
      </c>
      <c r="H25208">
        <v>113</v>
      </c>
      <c r="I25208">
        <v>971</v>
      </c>
      <c r="J25208">
        <v>1</v>
      </c>
      <c r="K25208">
        <v>40</v>
      </c>
      <c r="L25208">
        <v>819</v>
      </c>
      <c r="M25208">
        <v>1</v>
      </c>
      <c r="N25208">
        <v>4.5071200000000003E-151</v>
      </c>
      <c r="O25208">
        <v>1372</v>
      </c>
    </row>
    <row r="25209" spans="1:15" x14ac:dyDescent="0.25">
      <c r="A25209" t="s">
        <v>25222</v>
      </c>
      <c r="B25209">
        <v>245</v>
      </c>
      <c r="C25209" s="1" t="str">
        <f>HYPERLINK("http://www.rosaceae.org/gb/gbrowse/malus_x_domestica/?name=MDP0000181942","MDP0000181942")</f>
        <v>MDP0000181942</v>
      </c>
      <c r="D25209">
        <v>59.21</v>
      </c>
      <c r="E25209">
        <v>76</v>
      </c>
      <c r="F25209">
        <v>31</v>
      </c>
      <c r="G25209">
        <v>0</v>
      </c>
      <c r="H25209">
        <v>2</v>
      </c>
      <c r="I25209">
        <v>77</v>
      </c>
      <c r="J25209">
        <v>1</v>
      </c>
      <c r="K25209">
        <v>3</v>
      </c>
      <c r="L25209">
        <v>78</v>
      </c>
      <c r="M25209">
        <v>1</v>
      </c>
      <c r="N25209">
        <v>2.4877400000000001E-19</v>
      </c>
      <c r="O25209">
        <v>230</v>
      </c>
    </row>
    <row r="25210" spans="1:15" x14ac:dyDescent="0.25">
      <c r="A25210" t="s">
        <v>25223</v>
      </c>
      <c r="B25210">
        <v>118</v>
      </c>
      <c r="C25210" s="1" t="str">
        <f>HYPERLINK("http://www.rosaceae.org/gb/gbrowse/malus_x_domestica/?name=MDP0000127183","MDP0000127183")</f>
        <v>MDP0000127183</v>
      </c>
      <c r="D25210">
        <v>59.09</v>
      </c>
      <c r="E25210">
        <v>132</v>
      </c>
      <c r="F25210">
        <v>54</v>
      </c>
      <c r="G25210">
        <v>17</v>
      </c>
      <c r="H25210">
        <v>1</v>
      </c>
      <c r="I25210">
        <v>118</v>
      </c>
      <c r="J25210">
        <v>1</v>
      </c>
      <c r="K25210">
        <v>1</v>
      </c>
      <c r="L25210">
        <v>129</v>
      </c>
      <c r="M25210">
        <v>1</v>
      </c>
      <c r="N25210">
        <v>6.2112599999999998E-34</v>
      </c>
      <c r="O25210">
        <v>350</v>
      </c>
    </row>
    <row r="25211" spans="1:15" x14ac:dyDescent="0.25">
      <c r="A25211" t="s">
        <v>25224</v>
      </c>
      <c r="B25211">
        <v>570</v>
      </c>
      <c r="C25211" s="1" t="str">
        <f>HYPERLINK("http://www.rosaceae.org/gb/gbrowse/malus_x_domestica/?name=MDP0000309755","MDP0000309755")</f>
        <v>MDP0000309755</v>
      </c>
      <c r="D25211">
        <v>59.36</v>
      </c>
      <c r="E25211">
        <v>571</v>
      </c>
      <c r="F25211">
        <v>232</v>
      </c>
      <c r="G25211">
        <v>20</v>
      </c>
      <c r="H25211">
        <v>1</v>
      </c>
      <c r="I25211">
        <v>569</v>
      </c>
      <c r="J25211">
        <v>1</v>
      </c>
      <c r="K25211">
        <v>8</v>
      </c>
      <c r="L25211">
        <v>560</v>
      </c>
      <c r="M25211">
        <v>1</v>
      </c>
      <c r="N25211">
        <v>0</v>
      </c>
      <c r="O25211">
        <v>1647</v>
      </c>
    </row>
    <row r="25212" spans="1:15" x14ac:dyDescent="0.25">
      <c r="A25212" t="s">
        <v>25225</v>
      </c>
      <c r="B25212">
        <v>147</v>
      </c>
      <c r="C25212" s="1" t="str">
        <f>HYPERLINK("http://www.rosaceae.org/gb/gbrowse/malus_x_domestica/?name=MDP0000212174","MDP0000212174")</f>
        <v>MDP0000212174</v>
      </c>
      <c r="D25212">
        <v>35.71</v>
      </c>
      <c r="E25212">
        <v>154</v>
      </c>
      <c r="F25212">
        <v>99</v>
      </c>
      <c r="G25212">
        <v>24</v>
      </c>
      <c r="H25212">
        <v>2</v>
      </c>
      <c r="I25212">
        <v>146</v>
      </c>
      <c r="J25212">
        <v>1</v>
      </c>
      <c r="K25212">
        <v>6</v>
      </c>
      <c r="L25212">
        <v>144</v>
      </c>
      <c r="M25212">
        <v>1</v>
      </c>
      <c r="N25212">
        <v>1.10315E-11</v>
      </c>
      <c r="O25212">
        <v>160</v>
      </c>
    </row>
    <row r="25213" spans="1:15" x14ac:dyDescent="0.25">
      <c r="A25213" t="s">
        <v>25226</v>
      </c>
      <c r="B25213">
        <v>743</v>
      </c>
      <c r="C25213" s="1" t="str">
        <f>HYPERLINK("http://www.rosaceae.org/gb/gbrowse/malus_x_domestica/?name=MDP0000232978","MDP0000232978")</f>
        <v>MDP0000232978</v>
      </c>
      <c r="D25213">
        <v>55.2</v>
      </c>
      <c r="E25213">
        <v>701</v>
      </c>
      <c r="F25213">
        <v>314</v>
      </c>
      <c r="G25213">
        <v>83</v>
      </c>
      <c r="H25213">
        <v>26</v>
      </c>
      <c r="I25213">
        <v>647</v>
      </c>
      <c r="J25213">
        <v>1</v>
      </c>
      <c r="K25213">
        <v>1</v>
      </c>
      <c r="L25213">
        <v>697</v>
      </c>
      <c r="M25213">
        <v>1</v>
      </c>
      <c r="N25213">
        <v>0</v>
      </c>
      <c r="O25213">
        <v>1832</v>
      </c>
    </row>
    <row r="25214" spans="1:15" x14ac:dyDescent="0.25">
      <c r="A25214" t="s">
        <v>25227</v>
      </c>
      <c r="B25214">
        <v>502</v>
      </c>
      <c r="C25214" s="1" t="str">
        <f>HYPERLINK("http://www.rosaceae.org/gb/gbrowse/malus_x_domestica/?name=MDP0000145652","MDP0000145652")</f>
        <v>MDP0000145652</v>
      </c>
      <c r="D25214">
        <v>62.12</v>
      </c>
      <c r="E25214">
        <v>499</v>
      </c>
      <c r="F25214">
        <v>189</v>
      </c>
      <c r="G25214">
        <v>5</v>
      </c>
      <c r="H25214">
        <v>4</v>
      </c>
      <c r="I25214">
        <v>498</v>
      </c>
      <c r="J25214">
        <v>1</v>
      </c>
      <c r="K25214">
        <v>667</v>
      </c>
      <c r="L25214">
        <v>1164</v>
      </c>
      <c r="M25214">
        <v>1</v>
      </c>
      <c r="N25214">
        <v>3.5926600000000002E-176</v>
      </c>
      <c r="O25214">
        <v>1586</v>
      </c>
    </row>
    <row r="25215" spans="1:15" x14ac:dyDescent="0.25">
      <c r="A25215" t="s">
        <v>25228</v>
      </c>
      <c r="B25215">
        <v>881</v>
      </c>
      <c r="C25215" s="1" t="str">
        <f>HYPERLINK("http://www.rosaceae.org/gb/gbrowse/malus_x_domestica/?name=MDP0000142953","MDP0000142953")</f>
        <v>MDP0000142953</v>
      </c>
      <c r="D25215">
        <v>68.77</v>
      </c>
      <c r="E25215">
        <v>884</v>
      </c>
      <c r="F25215">
        <v>276</v>
      </c>
      <c r="G25215">
        <v>51</v>
      </c>
      <c r="H25215">
        <v>4</v>
      </c>
      <c r="I25215">
        <v>873</v>
      </c>
      <c r="J25215">
        <v>1</v>
      </c>
      <c r="K25215">
        <v>3</v>
      </c>
      <c r="L25215">
        <v>849</v>
      </c>
      <c r="M25215">
        <v>1</v>
      </c>
      <c r="N25215">
        <v>0</v>
      </c>
      <c r="O25215">
        <v>3009</v>
      </c>
    </row>
    <row r="25216" spans="1:15" x14ac:dyDescent="0.25">
      <c r="A25216" t="s">
        <v>25229</v>
      </c>
      <c r="B25216">
        <v>413</v>
      </c>
      <c r="C25216" s="1" t="str">
        <f>HYPERLINK("http://www.rosaceae.org/gb/gbrowse/malus_x_domestica/?name=MDP0000307520","MDP0000307520")</f>
        <v>MDP0000307520</v>
      </c>
      <c r="D25216">
        <v>75.260000000000005</v>
      </c>
      <c r="E25216">
        <v>287</v>
      </c>
      <c r="F25216">
        <v>71</v>
      </c>
      <c r="G25216">
        <v>2</v>
      </c>
      <c r="H25216">
        <v>1</v>
      </c>
      <c r="I25216">
        <v>287</v>
      </c>
      <c r="J25216">
        <v>1</v>
      </c>
      <c r="K25216">
        <v>242</v>
      </c>
      <c r="L25216">
        <v>526</v>
      </c>
      <c r="M25216">
        <v>1</v>
      </c>
      <c r="N25216">
        <v>2.3076299999999999E-120</v>
      </c>
      <c r="O25216">
        <v>1104</v>
      </c>
    </row>
    <row r="25217" spans="1:15" x14ac:dyDescent="0.25">
      <c r="A25217" t="s">
        <v>25230</v>
      </c>
      <c r="B25217">
        <v>337</v>
      </c>
      <c r="C25217" s="1" t="str">
        <f>HYPERLINK("http://www.rosaceae.org/gb/gbrowse/malus_x_domestica/?name=MDP0000370964","MDP0000370964")</f>
        <v>MDP0000370964</v>
      </c>
      <c r="D25217">
        <v>71.94</v>
      </c>
      <c r="E25217">
        <v>360</v>
      </c>
      <c r="F25217">
        <v>101</v>
      </c>
      <c r="G25217">
        <v>24</v>
      </c>
      <c r="H25217">
        <v>1</v>
      </c>
      <c r="I25217">
        <v>337</v>
      </c>
      <c r="J25217">
        <v>1</v>
      </c>
      <c r="K25217">
        <v>1</v>
      </c>
      <c r="L25217">
        <v>359</v>
      </c>
      <c r="M25217">
        <v>1</v>
      </c>
      <c r="N25217">
        <v>2.1587499999999999E-144</v>
      </c>
      <c r="O25217">
        <v>1310</v>
      </c>
    </row>
    <row r="25218" spans="1:15" x14ac:dyDescent="0.25">
      <c r="A25218" t="s">
        <v>25231</v>
      </c>
      <c r="B25218">
        <v>674</v>
      </c>
      <c r="C25218" s="1" t="str">
        <f>HYPERLINK("http://www.rosaceae.org/gb/gbrowse/malus_x_domestica/?name=MDP0000230149","MDP0000230149")</f>
        <v>MDP0000230149</v>
      </c>
      <c r="D25218">
        <v>39.799999999999997</v>
      </c>
      <c r="E25218">
        <v>304</v>
      </c>
      <c r="F25218">
        <v>183</v>
      </c>
      <c r="G25218">
        <v>10</v>
      </c>
      <c r="H25218">
        <v>321</v>
      </c>
      <c r="I25218">
        <v>622</v>
      </c>
      <c r="J25218">
        <v>1</v>
      </c>
      <c r="K25218">
        <v>147</v>
      </c>
      <c r="L25218">
        <v>442</v>
      </c>
      <c r="M25218">
        <v>1</v>
      </c>
      <c r="N25218">
        <v>3.3406900000000002E-55</v>
      </c>
      <c r="O25218">
        <v>544</v>
      </c>
    </row>
    <row r="25219" spans="1:15" x14ac:dyDescent="0.25">
      <c r="A25219" t="s">
        <v>25232</v>
      </c>
      <c r="B25219">
        <v>181</v>
      </c>
      <c r="C25219" s="1" t="str">
        <f>HYPERLINK("http://www.rosaceae.org/gb/gbrowse/malus_x_domestica/?name=MDP0000193489","MDP0000193489")</f>
        <v>MDP0000193489</v>
      </c>
      <c r="D25219">
        <v>89.58</v>
      </c>
      <c r="E25219">
        <v>48</v>
      </c>
      <c r="F25219">
        <v>5</v>
      </c>
      <c r="G25219">
        <v>0</v>
      </c>
      <c r="H25219">
        <v>134</v>
      </c>
      <c r="I25219">
        <v>181</v>
      </c>
      <c r="J25219">
        <v>1</v>
      </c>
      <c r="K25219">
        <v>329</v>
      </c>
      <c r="L25219">
        <v>376</v>
      </c>
      <c r="M25219">
        <v>1</v>
      </c>
      <c r="N25219">
        <v>1.25741E-17</v>
      </c>
      <c r="O25219">
        <v>213</v>
      </c>
    </row>
    <row r="25220" spans="1:15" x14ac:dyDescent="0.25">
      <c r="A25220" t="s">
        <v>25233</v>
      </c>
      <c r="B25220">
        <v>154</v>
      </c>
      <c r="C25220" s="1" t="str">
        <f>HYPERLINK("http://www.rosaceae.org/gb/gbrowse/malus_x_domestica/?name=MDP0000337156","MDP0000337156")</f>
        <v>MDP0000337156</v>
      </c>
      <c r="D25220">
        <v>77.650000000000006</v>
      </c>
      <c r="E25220">
        <v>94</v>
      </c>
      <c r="F25220">
        <v>21</v>
      </c>
      <c r="G25220">
        <v>2</v>
      </c>
      <c r="H25220">
        <v>1</v>
      </c>
      <c r="I25220">
        <v>94</v>
      </c>
      <c r="J25220">
        <v>1</v>
      </c>
      <c r="K25220">
        <v>22</v>
      </c>
      <c r="L25220">
        <v>113</v>
      </c>
      <c r="M25220">
        <v>1</v>
      </c>
      <c r="N25220">
        <v>1.37914E-30</v>
      </c>
      <c r="O25220">
        <v>323</v>
      </c>
    </row>
    <row r="25221" spans="1:15" x14ac:dyDescent="0.25">
      <c r="A25221" t="s">
        <v>25234</v>
      </c>
      <c r="B25221">
        <v>876</v>
      </c>
      <c r="C25221" s="1" t="str">
        <f>HYPERLINK("http://www.rosaceae.org/gb/gbrowse/malus_x_domestica/?name=MDP0000293397","MDP0000293397")</f>
        <v>MDP0000293397</v>
      </c>
      <c r="D25221">
        <v>48.19</v>
      </c>
      <c r="E25221">
        <v>861</v>
      </c>
      <c r="F25221">
        <v>446</v>
      </c>
      <c r="G25221">
        <v>115</v>
      </c>
      <c r="H25221">
        <v>13</v>
      </c>
      <c r="I25221">
        <v>783</v>
      </c>
      <c r="J25221">
        <v>1</v>
      </c>
      <c r="K25221">
        <v>54</v>
      </c>
      <c r="L25221">
        <v>889</v>
      </c>
      <c r="M25221">
        <v>1</v>
      </c>
      <c r="N25221">
        <v>0</v>
      </c>
      <c r="O25221">
        <v>1706</v>
      </c>
    </row>
    <row r="25222" spans="1:15" x14ac:dyDescent="0.25">
      <c r="A25222" t="s">
        <v>25235</v>
      </c>
      <c r="B25222">
        <v>531</v>
      </c>
      <c r="C25222" s="1" t="str">
        <f>HYPERLINK("http://www.rosaceae.org/gb/gbrowse/malus_x_domestica/?name=MDP0000209665","MDP0000209665")</f>
        <v>MDP0000209665</v>
      </c>
      <c r="D25222">
        <v>76.150000000000006</v>
      </c>
      <c r="E25222">
        <v>478</v>
      </c>
      <c r="F25222">
        <v>114</v>
      </c>
      <c r="G25222">
        <v>14</v>
      </c>
      <c r="H25222">
        <v>64</v>
      </c>
      <c r="I25222">
        <v>527</v>
      </c>
      <c r="J25222">
        <v>1</v>
      </c>
      <c r="K25222">
        <v>1</v>
      </c>
      <c r="L25222">
        <v>478</v>
      </c>
      <c r="M25222">
        <v>1</v>
      </c>
      <c r="N25222">
        <v>0</v>
      </c>
      <c r="O25222">
        <v>1916</v>
      </c>
    </row>
    <row r="25223" spans="1:15" x14ac:dyDescent="0.25">
      <c r="A25223" t="s">
        <v>25236</v>
      </c>
      <c r="B25223">
        <v>294</v>
      </c>
      <c r="C25223" s="1" t="str">
        <f>HYPERLINK("http://www.rosaceae.org/gb/gbrowse/malus_x_domestica/?name=MDP0000240942","MDP0000240942")</f>
        <v>MDP0000240942</v>
      </c>
      <c r="D25223">
        <v>53.75</v>
      </c>
      <c r="E25223">
        <v>253</v>
      </c>
      <c r="F25223">
        <v>117</v>
      </c>
      <c r="G25223">
        <v>35</v>
      </c>
      <c r="H25223">
        <v>22</v>
      </c>
      <c r="I25223">
        <v>268</v>
      </c>
      <c r="J25223">
        <v>1</v>
      </c>
      <c r="K25223">
        <v>1</v>
      </c>
      <c r="L25223">
        <v>224</v>
      </c>
      <c r="M25223">
        <v>1</v>
      </c>
      <c r="N25223">
        <v>1.9416800000000001E-67</v>
      </c>
      <c r="O25223">
        <v>645</v>
      </c>
    </row>
    <row r="25224" spans="1:15" x14ac:dyDescent="0.25">
      <c r="A25224" t="s">
        <v>25237</v>
      </c>
      <c r="B25224">
        <v>629</v>
      </c>
      <c r="C25224" s="1" t="str">
        <f>HYPERLINK("http://www.rosaceae.org/gb/gbrowse/malus_x_domestica/?name=MDP0000126601","MDP0000126601")</f>
        <v>MDP0000126601</v>
      </c>
      <c r="D25224">
        <v>52.94</v>
      </c>
      <c r="E25224">
        <v>51</v>
      </c>
      <c r="F25224">
        <v>24</v>
      </c>
      <c r="G25224">
        <v>2</v>
      </c>
      <c r="H25224">
        <v>551</v>
      </c>
      <c r="I25224">
        <v>601</v>
      </c>
      <c r="J25224">
        <v>1</v>
      </c>
      <c r="K25224">
        <v>115</v>
      </c>
      <c r="L25224">
        <v>163</v>
      </c>
      <c r="M25224">
        <v>1</v>
      </c>
      <c r="N25224">
        <v>3.0384000000000002E-9</v>
      </c>
      <c r="O25224">
        <v>147</v>
      </c>
    </row>
    <row r="25225" spans="1:15" x14ac:dyDescent="0.25">
      <c r="A25225" t="s">
        <v>25238</v>
      </c>
      <c r="B25225">
        <v>158</v>
      </c>
      <c r="C25225" s="1" t="str">
        <f>HYPERLINK("http://www.rosaceae.org/gb/gbrowse/malus_x_domestica/?name=MDP0000292132","MDP0000292132")</f>
        <v>MDP0000292132</v>
      </c>
      <c r="D25225">
        <v>31.95</v>
      </c>
      <c r="E25225">
        <v>97</v>
      </c>
      <c r="F25225">
        <v>66</v>
      </c>
      <c r="G25225">
        <v>7</v>
      </c>
      <c r="H25225">
        <v>6</v>
      </c>
      <c r="I25225">
        <v>102</v>
      </c>
      <c r="J25225">
        <v>1</v>
      </c>
      <c r="K25225">
        <v>190</v>
      </c>
      <c r="L25225">
        <v>279</v>
      </c>
      <c r="M25225">
        <v>1</v>
      </c>
      <c r="N25225">
        <v>6.0727999999999997E-7</v>
      </c>
      <c r="O25225">
        <v>120</v>
      </c>
    </row>
    <row r="25226" spans="1:15" x14ac:dyDescent="0.25">
      <c r="A25226" t="s">
        <v>25239</v>
      </c>
      <c r="B25226">
        <v>634</v>
      </c>
      <c r="C25226" s="1" t="str">
        <f>HYPERLINK("http://www.rosaceae.org/gb/gbrowse/malus_x_domestica/?name=MDP0000157113","MDP0000157113")</f>
        <v>MDP0000157113</v>
      </c>
      <c r="D25226">
        <v>73.08</v>
      </c>
      <c r="E25226">
        <v>602</v>
      </c>
      <c r="F25226">
        <v>162</v>
      </c>
      <c r="G25226">
        <v>7</v>
      </c>
      <c r="H25226">
        <v>40</v>
      </c>
      <c r="I25226">
        <v>634</v>
      </c>
      <c r="J25226">
        <v>1</v>
      </c>
      <c r="K25226">
        <v>13</v>
      </c>
      <c r="L25226">
        <v>614</v>
      </c>
      <c r="M25226">
        <v>1</v>
      </c>
      <c r="N25226">
        <v>0</v>
      </c>
      <c r="O25226">
        <v>2270</v>
      </c>
    </row>
    <row r="25227" spans="1:15" x14ac:dyDescent="0.25">
      <c r="A25227" t="s">
        <v>25240</v>
      </c>
      <c r="B25227">
        <v>301</v>
      </c>
      <c r="C25227" s="1" t="str">
        <f>HYPERLINK("http://www.rosaceae.org/gb/gbrowse/malus_x_domestica/?name=MDP0000172476","MDP0000172476")</f>
        <v>MDP0000172476</v>
      </c>
      <c r="D25227">
        <v>55.55</v>
      </c>
      <c r="E25227">
        <v>333</v>
      </c>
      <c r="F25227">
        <v>148</v>
      </c>
      <c r="G25227">
        <v>51</v>
      </c>
      <c r="H25227">
        <v>7</v>
      </c>
      <c r="I25227">
        <v>300</v>
      </c>
      <c r="J25227">
        <v>1</v>
      </c>
      <c r="K25227">
        <v>85</v>
      </c>
      <c r="L25227">
        <v>405</v>
      </c>
      <c r="M25227">
        <v>1</v>
      </c>
      <c r="N25227">
        <v>1.65272E-85</v>
      </c>
      <c r="O25227">
        <v>801</v>
      </c>
    </row>
    <row r="25228" spans="1:15" x14ac:dyDescent="0.25">
      <c r="A25228" t="s">
        <v>25241</v>
      </c>
      <c r="B25228">
        <v>932</v>
      </c>
      <c r="C25228" s="1" t="str">
        <f>HYPERLINK("http://www.rosaceae.org/gb/gbrowse/malus_x_domestica/?name=MDP0000612208","MDP0000612208")</f>
        <v>MDP0000612208</v>
      </c>
      <c r="D25228">
        <v>48.53</v>
      </c>
      <c r="E25228">
        <v>1127</v>
      </c>
      <c r="F25228">
        <v>580</v>
      </c>
      <c r="G25228">
        <v>216</v>
      </c>
      <c r="H25228">
        <v>2</v>
      </c>
      <c r="I25228">
        <v>929</v>
      </c>
      <c r="J25228">
        <v>1</v>
      </c>
      <c r="K25228">
        <v>30</v>
      </c>
      <c r="L25228">
        <v>1139</v>
      </c>
      <c r="M25228">
        <v>1</v>
      </c>
      <c r="N25228">
        <v>0</v>
      </c>
      <c r="O25228">
        <v>2460</v>
      </c>
    </row>
    <row r="25229" spans="1:15" x14ac:dyDescent="0.25">
      <c r="A25229" t="s">
        <v>25242</v>
      </c>
      <c r="B25229">
        <v>481</v>
      </c>
      <c r="C25229" s="1" t="str">
        <f>HYPERLINK("http://www.rosaceae.org/gb/gbrowse/malus_x_domestica/?name=MDP0000216956","MDP0000216956")</f>
        <v>MDP0000216956</v>
      </c>
      <c r="D25229">
        <v>36.58</v>
      </c>
      <c r="E25229">
        <v>164</v>
      </c>
      <c r="F25229">
        <v>104</v>
      </c>
      <c r="G25229">
        <v>16</v>
      </c>
      <c r="H25229">
        <v>324</v>
      </c>
      <c r="I25229">
        <v>478</v>
      </c>
      <c r="J25229">
        <v>1</v>
      </c>
      <c r="K25229">
        <v>84</v>
      </c>
      <c r="L25229">
        <v>240</v>
      </c>
      <c r="M25229">
        <v>1</v>
      </c>
      <c r="N25229">
        <v>5.4796399999999997E-21</v>
      </c>
      <c r="O25229">
        <v>247</v>
      </c>
    </row>
    <row r="25230" spans="1:15" x14ac:dyDescent="0.25">
      <c r="A25230" t="s">
        <v>25243</v>
      </c>
      <c r="B25230">
        <v>579</v>
      </c>
      <c r="C25230" s="1" t="str">
        <f>HYPERLINK("http://www.rosaceae.org/gb/gbrowse/malus_x_domestica/?name=MDP0000320625","MDP0000320625")</f>
        <v>MDP0000320625</v>
      </c>
      <c r="D25230">
        <v>44.4</v>
      </c>
      <c r="E25230">
        <v>608</v>
      </c>
      <c r="F25230">
        <v>338</v>
      </c>
      <c r="G25230">
        <v>112</v>
      </c>
      <c r="H25230">
        <v>3</v>
      </c>
      <c r="I25230">
        <v>579</v>
      </c>
      <c r="J25230">
        <v>1</v>
      </c>
      <c r="K25230">
        <v>1</v>
      </c>
      <c r="L25230">
        <v>527</v>
      </c>
      <c r="M25230">
        <v>1</v>
      </c>
      <c r="N25230">
        <v>1.5195899999999999E-113</v>
      </c>
      <c r="O25230">
        <v>1046</v>
      </c>
    </row>
    <row r="25231" spans="1:15" x14ac:dyDescent="0.25">
      <c r="A25231" t="s">
        <v>25244</v>
      </c>
      <c r="B25231">
        <v>494</v>
      </c>
      <c r="C25231" s="1" t="str">
        <f>HYPERLINK("http://www.rosaceae.org/gb/gbrowse/malus_x_domestica/?name=MDP0000593593","MDP0000593593")</f>
        <v>MDP0000593593</v>
      </c>
      <c r="D25231">
        <v>27.13</v>
      </c>
      <c r="E25231">
        <v>387</v>
      </c>
      <c r="F25231">
        <v>282</v>
      </c>
      <c r="G25231">
        <v>35</v>
      </c>
      <c r="H25231">
        <v>11</v>
      </c>
      <c r="I25231">
        <v>373</v>
      </c>
      <c r="J25231">
        <v>1</v>
      </c>
      <c r="K25231">
        <v>15</v>
      </c>
      <c r="L25231">
        <v>390</v>
      </c>
      <c r="M25231">
        <v>1</v>
      </c>
      <c r="N25231">
        <v>6.7111799999999997E-22</v>
      </c>
      <c r="O25231">
        <v>255</v>
      </c>
    </row>
    <row r="25232" spans="1:15" x14ac:dyDescent="0.25">
      <c r="A25232" t="s">
        <v>25245</v>
      </c>
      <c r="B25232">
        <v>180</v>
      </c>
      <c r="C25232" s="1" t="str">
        <f>HYPERLINK("http://www.rosaceae.org/gb/gbrowse/malus_x_domestica/?name=MDP0000255415","MDP0000255415")</f>
        <v>MDP0000255415</v>
      </c>
      <c r="D25232">
        <v>86.12</v>
      </c>
      <c r="E25232">
        <v>173</v>
      </c>
      <c r="F25232">
        <v>24</v>
      </c>
      <c r="G25232">
        <v>1</v>
      </c>
      <c r="H25232">
        <v>1</v>
      </c>
      <c r="I25232">
        <v>172</v>
      </c>
      <c r="J25232">
        <v>1</v>
      </c>
      <c r="K25232">
        <v>1</v>
      </c>
      <c r="L25232">
        <v>173</v>
      </c>
      <c r="M25232">
        <v>1</v>
      </c>
      <c r="N25232">
        <v>3.0247700000000001E-85</v>
      </c>
      <c r="O25232">
        <v>796</v>
      </c>
    </row>
    <row r="25233" spans="1:15" x14ac:dyDescent="0.25">
      <c r="A25233" t="s">
        <v>25246</v>
      </c>
      <c r="B25233">
        <v>173</v>
      </c>
      <c r="C25233" s="1" t="str">
        <f>HYPERLINK("http://www.rosaceae.org/gb/gbrowse/malus_x_domestica/?name=MDP0000124134","MDP0000124134")</f>
        <v>MDP0000124134</v>
      </c>
      <c r="D25233">
        <v>50.51</v>
      </c>
      <c r="E25233">
        <v>196</v>
      </c>
      <c r="F25233">
        <v>97</v>
      </c>
      <c r="G25233">
        <v>38</v>
      </c>
      <c r="H25233">
        <v>3</v>
      </c>
      <c r="I25233">
        <v>171</v>
      </c>
      <c r="J25233">
        <v>1</v>
      </c>
      <c r="K25233">
        <v>2</v>
      </c>
      <c r="L25233">
        <v>186</v>
      </c>
      <c r="M25233">
        <v>1</v>
      </c>
      <c r="N25233">
        <v>1.46795E-30</v>
      </c>
      <c r="O25233">
        <v>324</v>
      </c>
    </row>
    <row r="25234" spans="1:15" x14ac:dyDescent="0.25">
      <c r="A25234" t="s">
        <v>25247</v>
      </c>
      <c r="B25234">
        <v>125</v>
      </c>
      <c r="C25234" s="1" t="str">
        <f>HYPERLINK("http://www.rosaceae.org/gb/gbrowse/malus_x_domestica/?name=MDP0000676293","MDP0000676293")</f>
        <v>MDP0000676293</v>
      </c>
      <c r="D25234">
        <v>75.42</v>
      </c>
      <c r="E25234">
        <v>118</v>
      </c>
      <c r="F25234">
        <v>29</v>
      </c>
      <c r="G25234">
        <v>3</v>
      </c>
      <c r="H25234">
        <v>1</v>
      </c>
      <c r="I25234">
        <v>116</v>
      </c>
      <c r="J25234">
        <v>1</v>
      </c>
      <c r="K25234">
        <v>97</v>
      </c>
      <c r="L25234">
        <v>213</v>
      </c>
      <c r="M25234">
        <v>1</v>
      </c>
      <c r="N25234">
        <v>1.07808E-35</v>
      </c>
      <c r="O25234">
        <v>365</v>
      </c>
    </row>
    <row r="25235" spans="1:15" x14ac:dyDescent="0.25">
      <c r="A25235" t="s">
        <v>25248</v>
      </c>
      <c r="B25235">
        <v>493</v>
      </c>
      <c r="C25235" s="1" t="str">
        <f>HYPERLINK("http://www.rosaceae.org/gb/gbrowse/malus_x_domestica/?name=MDP0000122571","MDP0000122571")</f>
        <v>MDP0000122571</v>
      </c>
      <c r="D25235">
        <v>73.959999999999994</v>
      </c>
      <c r="E25235">
        <v>507</v>
      </c>
      <c r="F25235">
        <v>132</v>
      </c>
      <c r="G25235">
        <v>45</v>
      </c>
      <c r="H25235">
        <v>31</v>
      </c>
      <c r="I25235">
        <v>493</v>
      </c>
      <c r="J25235">
        <v>1</v>
      </c>
      <c r="K25235">
        <v>39</v>
      </c>
      <c r="L25235">
        <v>544</v>
      </c>
      <c r="M25235">
        <v>1</v>
      </c>
      <c r="N25235">
        <v>0</v>
      </c>
      <c r="O25235">
        <v>1948</v>
      </c>
    </row>
    <row r="25236" spans="1:15" x14ac:dyDescent="0.25">
      <c r="A25236" t="s">
        <v>25249</v>
      </c>
      <c r="B25236">
        <v>914</v>
      </c>
      <c r="C25236" s="1" t="str">
        <f>HYPERLINK("http://www.rosaceae.org/gb/gbrowse/malus_x_domestica/?name=MDP0000239931","MDP0000239931")</f>
        <v>MDP0000239931</v>
      </c>
      <c r="D25236">
        <v>69.239999999999995</v>
      </c>
      <c r="E25236">
        <v>647</v>
      </c>
      <c r="F25236">
        <v>199</v>
      </c>
      <c r="G25236">
        <v>31</v>
      </c>
      <c r="H25236">
        <v>277</v>
      </c>
      <c r="I25236">
        <v>914</v>
      </c>
      <c r="J25236">
        <v>1</v>
      </c>
      <c r="K25236">
        <v>475</v>
      </c>
      <c r="L25236">
        <v>1099</v>
      </c>
      <c r="M25236">
        <v>1</v>
      </c>
      <c r="N25236">
        <v>0</v>
      </c>
      <c r="O25236">
        <v>2334</v>
      </c>
    </row>
    <row r="25237" spans="1:15" x14ac:dyDescent="0.25">
      <c r="A25237" t="s">
        <v>25250</v>
      </c>
      <c r="B25237">
        <v>217</v>
      </c>
      <c r="C25237" s="1" t="str">
        <f>HYPERLINK("http://www.rosaceae.org/gb/gbrowse/malus_x_domestica/?name=MDP0000303605","MDP0000303605")</f>
        <v>MDP0000303605</v>
      </c>
      <c r="D25237">
        <v>71.680000000000007</v>
      </c>
      <c r="E25237">
        <v>219</v>
      </c>
      <c r="F25237">
        <v>62</v>
      </c>
      <c r="G25237">
        <v>12</v>
      </c>
      <c r="H25237">
        <v>1</v>
      </c>
      <c r="I25237">
        <v>209</v>
      </c>
      <c r="J25237">
        <v>1</v>
      </c>
      <c r="K25237">
        <v>1</v>
      </c>
      <c r="L25237">
        <v>217</v>
      </c>
      <c r="M25237">
        <v>1</v>
      </c>
      <c r="N25237">
        <v>2.2339399999999999E-74</v>
      </c>
      <c r="O25237">
        <v>704</v>
      </c>
    </row>
    <row r="25238" spans="1:15" x14ac:dyDescent="0.25">
      <c r="A25238" t="s">
        <v>25251</v>
      </c>
      <c r="B25238">
        <v>453</v>
      </c>
      <c r="C25238" s="1" t="str">
        <f>HYPERLINK("http://www.rosaceae.org/gb/gbrowse/malus_x_domestica/?name=MDP0000206106","MDP0000206106")</f>
        <v>MDP0000206106</v>
      </c>
      <c r="D25238">
        <v>67.790000000000006</v>
      </c>
      <c r="E25238">
        <v>385</v>
      </c>
      <c r="F25238">
        <v>124</v>
      </c>
      <c r="G25238">
        <v>4</v>
      </c>
      <c r="H25238">
        <v>64</v>
      </c>
      <c r="I25238">
        <v>448</v>
      </c>
      <c r="J25238">
        <v>1</v>
      </c>
      <c r="K25238">
        <v>339</v>
      </c>
      <c r="L25238">
        <v>719</v>
      </c>
      <c r="M25238">
        <v>1</v>
      </c>
      <c r="N25238">
        <v>1.06284E-143</v>
      </c>
      <c r="O25238">
        <v>1305</v>
      </c>
    </row>
    <row r="25239" spans="1:15" x14ac:dyDescent="0.25">
      <c r="A25239" t="s">
        <v>25252</v>
      </c>
      <c r="B25239">
        <v>332</v>
      </c>
      <c r="C25239" s="1" t="str">
        <f>HYPERLINK("http://www.rosaceae.org/gb/gbrowse/malus_x_domestica/?name=MDP0000857608","MDP0000857608")</f>
        <v>MDP0000857608</v>
      </c>
      <c r="D25239">
        <v>63.44</v>
      </c>
      <c r="E25239">
        <v>331</v>
      </c>
      <c r="F25239">
        <v>121</v>
      </c>
      <c r="G25239">
        <v>6</v>
      </c>
      <c r="H25239">
        <v>1</v>
      </c>
      <c r="I25239">
        <v>327</v>
      </c>
      <c r="J25239">
        <v>1</v>
      </c>
      <c r="K25239">
        <v>1</v>
      </c>
      <c r="L25239">
        <v>329</v>
      </c>
      <c r="M25239">
        <v>1</v>
      </c>
      <c r="N25239">
        <v>6.1341299999999998E-122</v>
      </c>
      <c r="O25239">
        <v>1116</v>
      </c>
    </row>
    <row r="25240" spans="1:15" x14ac:dyDescent="0.25">
      <c r="A25240" t="s">
        <v>25253</v>
      </c>
      <c r="B25240">
        <v>499</v>
      </c>
      <c r="C25240" s="1" t="str">
        <f>HYPERLINK("http://www.rosaceae.org/gb/gbrowse/malus_x_domestica/?name=MDP0000294303","MDP0000294303")</f>
        <v>MDP0000294303</v>
      </c>
      <c r="D25240">
        <v>37.82</v>
      </c>
      <c r="E25240">
        <v>312</v>
      </c>
      <c r="F25240">
        <v>194</v>
      </c>
      <c r="G25240">
        <v>49</v>
      </c>
      <c r="H25240">
        <v>132</v>
      </c>
      <c r="I25240">
        <v>430</v>
      </c>
      <c r="J25240">
        <v>1</v>
      </c>
      <c r="K25240">
        <v>167</v>
      </c>
      <c r="L25240">
        <v>442</v>
      </c>
      <c r="M25240">
        <v>1</v>
      </c>
      <c r="N25240">
        <v>1.4052199999999999E-49</v>
      </c>
      <c r="O25240">
        <v>494</v>
      </c>
    </row>
    <row r="25241" spans="1:15" x14ac:dyDescent="0.25">
      <c r="A25241" t="s">
        <v>25254</v>
      </c>
      <c r="B25241">
        <v>293</v>
      </c>
      <c r="C25241" s="1" t="str">
        <f>HYPERLINK("http://www.rosaceae.org/gb/gbrowse/malus_x_domestica/?name=MDP0000648218","MDP0000648218")</f>
        <v>MDP0000648218</v>
      </c>
      <c r="D25241">
        <v>52.31</v>
      </c>
      <c r="E25241">
        <v>302</v>
      </c>
      <c r="F25241">
        <v>144</v>
      </c>
      <c r="G25241">
        <v>15</v>
      </c>
      <c r="H25241">
        <v>1</v>
      </c>
      <c r="I25241">
        <v>293</v>
      </c>
      <c r="J25241">
        <v>1</v>
      </c>
      <c r="K25241">
        <v>1</v>
      </c>
      <c r="L25241">
        <v>296</v>
      </c>
      <c r="M25241">
        <v>1</v>
      </c>
      <c r="N25241">
        <v>3.3213099999999999E-68</v>
      </c>
      <c r="O25241">
        <v>652</v>
      </c>
    </row>
    <row r="25242" spans="1:15" x14ac:dyDescent="0.25">
      <c r="A25242" t="s">
        <v>25255</v>
      </c>
      <c r="B25242">
        <v>467</v>
      </c>
      <c r="C25242" s="1" t="str">
        <f>HYPERLINK("http://www.rosaceae.org/gb/gbrowse/malus_x_domestica/?name=MDP0000235326","MDP0000235326")</f>
        <v>MDP0000235326</v>
      </c>
      <c r="D25242">
        <v>33.33</v>
      </c>
      <c r="E25242">
        <v>174</v>
      </c>
      <c r="F25242">
        <v>116</v>
      </c>
      <c r="G25242">
        <v>15</v>
      </c>
      <c r="H25242">
        <v>78</v>
      </c>
      <c r="I25242">
        <v>249</v>
      </c>
      <c r="J25242">
        <v>1</v>
      </c>
      <c r="K25242">
        <v>6</v>
      </c>
      <c r="L25242">
        <v>166</v>
      </c>
      <c r="M25242">
        <v>1</v>
      </c>
      <c r="N25242">
        <v>6.19138E-15</v>
      </c>
      <c r="O25242">
        <v>195</v>
      </c>
    </row>
    <row r="25243" spans="1:15" x14ac:dyDescent="0.25">
      <c r="A25243" t="s">
        <v>25256</v>
      </c>
      <c r="B25243">
        <v>139</v>
      </c>
      <c r="C25243" s="1" t="str">
        <f>HYPERLINK("http://www.rosaceae.org/gb/gbrowse/malus_x_domestica/?name=MDP0000294761","MDP0000294761")</f>
        <v>MDP0000294761</v>
      </c>
      <c r="D25243">
        <v>66.430000000000007</v>
      </c>
      <c r="E25243">
        <v>146</v>
      </c>
      <c r="F25243">
        <v>49</v>
      </c>
      <c r="G25243">
        <v>8</v>
      </c>
      <c r="H25243">
        <v>1</v>
      </c>
      <c r="I25243">
        <v>138</v>
      </c>
      <c r="J25243">
        <v>1</v>
      </c>
      <c r="K25243">
        <v>4</v>
      </c>
      <c r="L25243">
        <v>149</v>
      </c>
      <c r="M25243">
        <v>1</v>
      </c>
      <c r="N25243">
        <v>1.9154600000000001E-49</v>
      </c>
      <c r="O25243">
        <v>485</v>
      </c>
    </row>
    <row r="25244" spans="1:15" x14ac:dyDescent="0.25">
      <c r="A25244" t="s">
        <v>25257</v>
      </c>
      <c r="B25244">
        <v>202</v>
      </c>
      <c r="C25244" s="1" t="str">
        <f>HYPERLINK("http://www.rosaceae.org/gb/gbrowse/malus_x_domestica/?name=MDP0000641449","MDP0000641449")</f>
        <v>MDP0000641449</v>
      </c>
      <c r="D25244">
        <v>77.53</v>
      </c>
      <c r="E25244">
        <v>138</v>
      </c>
      <c r="F25244">
        <v>31</v>
      </c>
      <c r="G25244">
        <v>4</v>
      </c>
      <c r="H25244">
        <v>46</v>
      </c>
      <c r="I25244">
        <v>183</v>
      </c>
      <c r="J25244">
        <v>1</v>
      </c>
      <c r="K25244">
        <v>1</v>
      </c>
      <c r="L25244">
        <v>134</v>
      </c>
      <c r="M25244">
        <v>1</v>
      </c>
      <c r="N25244">
        <v>1.1076899999999999E-56</v>
      </c>
      <c r="O25244">
        <v>550</v>
      </c>
    </row>
    <row r="25245" spans="1:15" x14ac:dyDescent="0.25">
      <c r="A25245" t="s">
        <v>25258</v>
      </c>
      <c r="B25245">
        <v>262</v>
      </c>
      <c r="C25245" s="1" t="str">
        <f>HYPERLINK("http://www.rosaceae.org/gb/gbrowse/malus_x_domestica/?name=MDP0000282505","MDP0000282505")</f>
        <v>MDP0000282505</v>
      </c>
      <c r="D25245">
        <v>78.260000000000005</v>
      </c>
      <c r="E25245">
        <v>46</v>
      </c>
      <c r="F25245">
        <v>10</v>
      </c>
      <c r="G25245">
        <v>0</v>
      </c>
      <c r="H25245">
        <v>192</v>
      </c>
      <c r="I25245">
        <v>237</v>
      </c>
      <c r="J25245">
        <v>1</v>
      </c>
      <c r="K25245">
        <v>205</v>
      </c>
      <c r="L25245">
        <v>250</v>
      </c>
      <c r="M25245">
        <v>1</v>
      </c>
      <c r="N25245">
        <v>4.9966499999999997E-13</v>
      </c>
      <c r="O25245">
        <v>176</v>
      </c>
    </row>
    <row r="25246" spans="1:15" x14ac:dyDescent="0.25">
      <c r="A25246" t="s">
        <v>25259</v>
      </c>
      <c r="B25246">
        <v>134</v>
      </c>
      <c r="C25246" s="1" t="str">
        <f>HYPERLINK("http://www.rosaceae.org/gb/gbrowse/malus_x_domestica/?name=MDP0000628052","MDP0000628052")</f>
        <v>MDP0000628052</v>
      </c>
      <c r="D25246">
        <v>76.25</v>
      </c>
      <c r="E25246">
        <v>80</v>
      </c>
      <c r="F25246">
        <v>19</v>
      </c>
      <c r="G25246">
        <v>0</v>
      </c>
      <c r="H25246">
        <v>47</v>
      </c>
      <c r="I25246">
        <v>126</v>
      </c>
      <c r="J25246">
        <v>1</v>
      </c>
      <c r="K25246">
        <v>208</v>
      </c>
      <c r="L25246">
        <v>287</v>
      </c>
      <c r="M25246">
        <v>1</v>
      </c>
      <c r="N25246">
        <v>2.2101500000000002E-31</v>
      </c>
      <c r="O25246">
        <v>329</v>
      </c>
    </row>
    <row r="25247" spans="1:15" x14ac:dyDescent="0.25">
      <c r="A25247" t="s">
        <v>25260</v>
      </c>
      <c r="B25247">
        <v>218</v>
      </c>
      <c r="C25247" s="1" t="str">
        <f>HYPERLINK("http://www.rosaceae.org/gb/gbrowse/malus_x_domestica/?name=MDP0000432874","MDP0000432874")</f>
        <v>MDP0000432874</v>
      </c>
      <c r="D25247">
        <v>55.61</v>
      </c>
      <c r="E25247">
        <v>196</v>
      </c>
      <c r="F25247">
        <v>87</v>
      </c>
      <c r="G25247">
        <v>18</v>
      </c>
      <c r="H25247">
        <v>29</v>
      </c>
      <c r="I25247">
        <v>218</v>
      </c>
      <c r="J25247">
        <v>1</v>
      </c>
      <c r="K25247">
        <v>30</v>
      </c>
      <c r="L25247">
        <v>213</v>
      </c>
      <c r="M25247">
        <v>1</v>
      </c>
      <c r="N25247">
        <v>1.2161600000000001E-42</v>
      </c>
      <c r="O25247">
        <v>430</v>
      </c>
    </row>
    <row r="25248" spans="1:15" x14ac:dyDescent="0.25">
      <c r="A25248" t="s">
        <v>25261</v>
      </c>
      <c r="B25248">
        <v>137</v>
      </c>
      <c r="C25248" s="1" t="str">
        <f>HYPERLINK("http://www.rosaceae.org/gb/gbrowse/malus_x_domestica/?name=MDP0000703418","MDP0000703418")</f>
        <v>MDP0000703418</v>
      </c>
      <c r="D25248">
        <v>67.69</v>
      </c>
      <c r="E25248">
        <v>130</v>
      </c>
      <c r="F25248">
        <v>42</v>
      </c>
      <c r="G25248">
        <v>0</v>
      </c>
      <c r="H25248">
        <v>7</v>
      </c>
      <c r="I25248">
        <v>136</v>
      </c>
      <c r="J25248">
        <v>1</v>
      </c>
      <c r="K25248">
        <v>1022</v>
      </c>
      <c r="L25248">
        <v>1151</v>
      </c>
      <c r="M25248">
        <v>1</v>
      </c>
      <c r="N25248">
        <v>4.9487600000000003E-50</v>
      </c>
      <c r="O25248">
        <v>490</v>
      </c>
    </row>
    <row r="25249" spans="1:15" x14ac:dyDescent="0.25">
      <c r="A25249" t="s">
        <v>25262</v>
      </c>
      <c r="B25249">
        <v>324</v>
      </c>
      <c r="C25249" s="1" t="str">
        <f>HYPERLINK("http://www.rosaceae.org/gb/gbrowse/malus_x_domestica/?name=MDP0000683231","MDP0000683231")</f>
        <v>MDP0000683231</v>
      </c>
      <c r="D25249">
        <v>35.32</v>
      </c>
      <c r="E25249">
        <v>218</v>
      </c>
      <c r="F25249">
        <v>141</v>
      </c>
      <c r="G25249">
        <v>16</v>
      </c>
      <c r="H25249">
        <v>106</v>
      </c>
      <c r="I25249">
        <v>321</v>
      </c>
      <c r="J25249">
        <v>1</v>
      </c>
      <c r="K25249">
        <v>313</v>
      </c>
      <c r="L25249">
        <v>516</v>
      </c>
      <c r="M25249">
        <v>1</v>
      </c>
      <c r="N25249">
        <v>4.3891099999999996E-31</v>
      </c>
      <c r="O25249">
        <v>332</v>
      </c>
    </row>
    <row r="25250" spans="1:15" x14ac:dyDescent="0.25">
      <c r="A25250" t="s">
        <v>25263</v>
      </c>
      <c r="B25250">
        <v>341</v>
      </c>
      <c r="C25250" s="1" t="str">
        <f>HYPERLINK("http://www.rosaceae.org/gb/gbrowse/malus_x_domestica/?name=MDP0000629767","MDP0000629767")</f>
        <v>MDP0000629767</v>
      </c>
      <c r="D25250">
        <v>77.349999999999994</v>
      </c>
      <c r="E25250">
        <v>318</v>
      </c>
      <c r="F25250">
        <v>72</v>
      </c>
      <c r="G25250">
        <v>2</v>
      </c>
      <c r="H25250">
        <v>26</v>
      </c>
      <c r="I25250">
        <v>341</v>
      </c>
      <c r="J25250">
        <v>1</v>
      </c>
      <c r="K25250">
        <v>32</v>
      </c>
      <c r="L25250">
        <v>349</v>
      </c>
      <c r="M25250">
        <v>1</v>
      </c>
      <c r="N25250">
        <v>6.9010399999999999E-137</v>
      </c>
      <c r="O25250">
        <v>1245</v>
      </c>
    </row>
    <row r="25251" spans="1:15" x14ac:dyDescent="0.25">
      <c r="A25251" t="s">
        <v>25264</v>
      </c>
      <c r="B25251">
        <v>299</v>
      </c>
      <c r="C25251" s="1" t="str">
        <f>HYPERLINK("http://www.rosaceae.org/gb/gbrowse/malus_x_domestica/?name=MDP0000360018","MDP0000360018")</f>
        <v>MDP0000360018</v>
      </c>
      <c r="D25251">
        <v>80.95</v>
      </c>
      <c r="E25251">
        <v>273</v>
      </c>
      <c r="F25251">
        <v>52</v>
      </c>
      <c r="G25251">
        <v>11</v>
      </c>
      <c r="H25251">
        <v>1</v>
      </c>
      <c r="I25251">
        <v>273</v>
      </c>
      <c r="J25251">
        <v>1</v>
      </c>
      <c r="K25251">
        <v>1</v>
      </c>
      <c r="L25251">
        <v>262</v>
      </c>
      <c r="M25251">
        <v>1</v>
      </c>
      <c r="N25251">
        <v>3.31619E-123</v>
      </c>
      <c r="O25251">
        <v>1126</v>
      </c>
    </row>
    <row r="25252" spans="1:15" x14ac:dyDescent="0.25">
      <c r="A25252" t="s">
        <v>25265</v>
      </c>
      <c r="B25252">
        <v>930</v>
      </c>
      <c r="C25252" s="1" t="str">
        <f>HYPERLINK("http://www.rosaceae.org/gb/gbrowse/malus_x_domestica/?name=MDP0000311322","MDP0000311322")</f>
        <v>MDP0000311322</v>
      </c>
      <c r="D25252">
        <v>63.85</v>
      </c>
      <c r="E25252">
        <v>534</v>
      </c>
      <c r="F25252">
        <v>193</v>
      </c>
      <c r="G25252">
        <v>52</v>
      </c>
      <c r="H25252">
        <v>398</v>
      </c>
      <c r="I25252">
        <v>919</v>
      </c>
      <c r="J25252">
        <v>1</v>
      </c>
      <c r="K25252">
        <v>38</v>
      </c>
      <c r="L25252">
        <v>531</v>
      </c>
      <c r="M25252">
        <v>1</v>
      </c>
      <c r="N25252">
        <v>0</v>
      </c>
      <c r="O25252">
        <v>1781</v>
      </c>
    </row>
    <row r="25253" spans="1:15" x14ac:dyDescent="0.25">
      <c r="A25253" t="s">
        <v>25266</v>
      </c>
      <c r="B25253">
        <v>728</v>
      </c>
      <c r="C25253" s="1" t="str">
        <f>HYPERLINK("http://www.rosaceae.org/gb/gbrowse/malus_x_domestica/?name=MDP0000242980","MDP0000242980")</f>
        <v>MDP0000242980</v>
      </c>
      <c r="D25253">
        <v>79.650000000000006</v>
      </c>
      <c r="E25253">
        <v>752</v>
      </c>
      <c r="F25253">
        <v>153</v>
      </c>
      <c r="G25253">
        <v>71</v>
      </c>
      <c r="H25253">
        <v>1</v>
      </c>
      <c r="I25253">
        <v>723</v>
      </c>
      <c r="J25253">
        <v>1</v>
      </c>
      <c r="K25253">
        <v>1</v>
      </c>
      <c r="L25253">
        <v>710</v>
      </c>
      <c r="M25253">
        <v>1</v>
      </c>
      <c r="N25253">
        <v>0</v>
      </c>
      <c r="O25253">
        <v>3127</v>
      </c>
    </row>
    <row r="25254" spans="1:15" x14ac:dyDescent="0.25">
      <c r="A25254" t="s">
        <v>25267</v>
      </c>
      <c r="B25254">
        <v>183</v>
      </c>
      <c r="C25254" s="1" t="str">
        <f>HYPERLINK("http://www.rosaceae.org/gb/gbrowse/malus_x_domestica/?name=MDP0000555752","MDP0000555752")</f>
        <v>MDP0000555752</v>
      </c>
      <c r="D25254">
        <v>63.41</v>
      </c>
      <c r="E25254">
        <v>123</v>
      </c>
      <c r="F25254">
        <v>45</v>
      </c>
      <c r="G25254">
        <v>1</v>
      </c>
      <c r="H25254">
        <v>20</v>
      </c>
      <c r="I25254">
        <v>141</v>
      </c>
      <c r="J25254">
        <v>1</v>
      </c>
      <c r="K25254">
        <v>509</v>
      </c>
      <c r="L25254">
        <v>631</v>
      </c>
      <c r="M25254">
        <v>1</v>
      </c>
      <c r="N25254">
        <v>2.2365800000000002E-40</v>
      </c>
      <c r="O25254">
        <v>409</v>
      </c>
    </row>
    <row r="25255" spans="1:15" x14ac:dyDescent="0.25">
      <c r="A25255" t="s">
        <v>25268</v>
      </c>
      <c r="B25255">
        <v>1299</v>
      </c>
      <c r="C25255" s="1" t="str">
        <f>HYPERLINK("http://www.rosaceae.org/gb/gbrowse/malus_x_domestica/?name=MDP0000163211","MDP0000163211")</f>
        <v>MDP0000163211</v>
      </c>
      <c r="D25255">
        <v>72.95</v>
      </c>
      <c r="E25255">
        <v>806</v>
      </c>
      <c r="F25255">
        <v>218</v>
      </c>
      <c r="G25255">
        <v>45</v>
      </c>
      <c r="H25255">
        <v>116</v>
      </c>
      <c r="I25255">
        <v>915</v>
      </c>
      <c r="J25255">
        <v>1</v>
      </c>
      <c r="K25255">
        <v>1663</v>
      </c>
      <c r="L25255">
        <v>2429</v>
      </c>
      <c r="M25255">
        <v>1</v>
      </c>
      <c r="N25255">
        <v>0</v>
      </c>
      <c r="O25255">
        <v>3090</v>
      </c>
    </row>
    <row r="25256" spans="1:15" x14ac:dyDescent="0.25">
      <c r="A25256" t="s">
        <v>25269</v>
      </c>
      <c r="B25256">
        <v>155</v>
      </c>
      <c r="C25256" s="1" t="str">
        <f>HYPERLINK("http://www.rosaceae.org/gb/gbrowse/malus_x_domestica/?name=MDP0000124256","MDP0000124256")</f>
        <v>MDP0000124256</v>
      </c>
      <c r="D25256">
        <v>47.24</v>
      </c>
      <c r="E25256">
        <v>127</v>
      </c>
      <c r="F25256">
        <v>67</v>
      </c>
      <c r="G25256">
        <v>0</v>
      </c>
      <c r="H25256">
        <v>10</v>
      </c>
      <c r="I25256">
        <v>136</v>
      </c>
      <c r="J25256">
        <v>1</v>
      </c>
      <c r="K25256">
        <v>71</v>
      </c>
      <c r="L25256">
        <v>197</v>
      </c>
      <c r="M25256">
        <v>1</v>
      </c>
      <c r="N25256">
        <v>1.01412E-26</v>
      </c>
      <c r="O25256">
        <v>290</v>
      </c>
    </row>
    <row r="25257" spans="1:15" x14ac:dyDescent="0.25">
      <c r="A25257" t="s">
        <v>25270</v>
      </c>
      <c r="B25257">
        <v>1266</v>
      </c>
      <c r="C25257" s="1" t="str">
        <f>HYPERLINK("http://www.rosaceae.org/gb/gbrowse/malus_x_domestica/?name=MDP0000244899","MDP0000244899")</f>
        <v>MDP0000244899</v>
      </c>
      <c r="D25257">
        <v>80.150000000000006</v>
      </c>
      <c r="E25257">
        <v>1270</v>
      </c>
      <c r="F25257">
        <v>252</v>
      </c>
      <c r="G25257">
        <v>20</v>
      </c>
      <c r="H25257">
        <v>1</v>
      </c>
      <c r="I25257">
        <v>1259</v>
      </c>
      <c r="J25257">
        <v>1</v>
      </c>
      <c r="K25257">
        <v>1</v>
      </c>
      <c r="L25257">
        <v>1261</v>
      </c>
      <c r="M25257">
        <v>1</v>
      </c>
      <c r="N25257">
        <v>0</v>
      </c>
      <c r="O25257">
        <v>5307</v>
      </c>
    </row>
    <row r="25258" spans="1:15" x14ac:dyDescent="0.25">
      <c r="A25258" t="s">
        <v>25271</v>
      </c>
      <c r="B25258">
        <v>546</v>
      </c>
      <c r="C25258" s="1" t="str">
        <f>HYPERLINK("http://www.rosaceae.org/gb/gbrowse/malus_x_domestica/?name=MDP0000247921","MDP0000247921")</f>
        <v>MDP0000247921</v>
      </c>
      <c r="D25258">
        <v>22.93</v>
      </c>
      <c r="E25258">
        <v>449</v>
      </c>
      <c r="F25258">
        <v>346</v>
      </c>
      <c r="G25258">
        <v>67</v>
      </c>
      <c r="H25258">
        <v>120</v>
      </c>
      <c r="I25258">
        <v>521</v>
      </c>
      <c r="J25258">
        <v>1</v>
      </c>
      <c r="K25258">
        <v>698</v>
      </c>
      <c r="L25258">
        <v>1126</v>
      </c>
      <c r="M25258">
        <v>1</v>
      </c>
      <c r="N25258">
        <v>7.6724100000000001E-25</v>
      </c>
      <c r="O25258">
        <v>281</v>
      </c>
    </row>
    <row r="25259" spans="1:15" x14ac:dyDescent="0.25">
      <c r="A25259" t="s">
        <v>25272</v>
      </c>
      <c r="B25259">
        <v>141</v>
      </c>
      <c r="C25259" s="1" t="str">
        <f>HYPERLINK("http://www.rosaceae.org/gb/gbrowse/malus_x_domestica/?name=MDP0000318891","MDP0000318891")</f>
        <v>MDP0000318891</v>
      </c>
      <c r="D25259">
        <v>44.03</v>
      </c>
      <c r="E25259">
        <v>109</v>
      </c>
      <c r="F25259">
        <v>61</v>
      </c>
      <c r="G25259">
        <v>11</v>
      </c>
      <c r="H25259">
        <v>5</v>
      </c>
      <c r="I25259">
        <v>105</v>
      </c>
      <c r="J25259">
        <v>1</v>
      </c>
      <c r="K25259">
        <v>172</v>
      </c>
      <c r="L25259">
        <v>277</v>
      </c>
      <c r="M25259">
        <v>1</v>
      </c>
      <c r="N25259">
        <v>8.0642299999999997E-15</v>
      </c>
      <c r="O25259">
        <v>187</v>
      </c>
    </row>
    <row r="25260" spans="1:15" x14ac:dyDescent="0.25">
      <c r="A25260" t="s">
        <v>25273</v>
      </c>
      <c r="B25260">
        <v>307</v>
      </c>
      <c r="C25260" s="1" t="str">
        <f>HYPERLINK("http://www.rosaceae.org/gb/gbrowse/malus_x_domestica/?name=MDP0000204794","MDP0000204794")</f>
        <v>MDP0000204794</v>
      </c>
      <c r="D25260">
        <v>22.61</v>
      </c>
      <c r="E25260">
        <v>283</v>
      </c>
      <c r="F25260">
        <v>219</v>
      </c>
      <c r="G25260">
        <v>68</v>
      </c>
      <c r="H25260">
        <v>14</v>
      </c>
      <c r="I25260">
        <v>294</v>
      </c>
      <c r="J25260">
        <v>1</v>
      </c>
      <c r="K25260">
        <v>302</v>
      </c>
      <c r="L25260">
        <v>518</v>
      </c>
      <c r="M25260">
        <v>1</v>
      </c>
      <c r="N25260">
        <v>3.7755200000000003E-15</v>
      </c>
      <c r="O25260">
        <v>195</v>
      </c>
    </row>
    <row r="25261" spans="1:15" x14ac:dyDescent="0.25">
      <c r="A25261" t="s">
        <v>25274</v>
      </c>
      <c r="B25261">
        <v>358</v>
      </c>
      <c r="C25261" s="1" t="str">
        <f>HYPERLINK("http://www.rosaceae.org/gb/gbrowse/malus_x_domestica/?name=MDP0000266624","MDP0000266624")</f>
        <v>MDP0000266624</v>
      </c>
      <c r="D25261">
        <v>25.35</v>
      </c>
      <c r="E25261">
        <v>351</v>
      </c>
      <c r="F25261">
        <v>262</v>
      </c>
      <c r="G25261">
        <v>75</v>
      </c>
      <c r="H25261">
        <v>1</v>
      </c>
      <c r="I25261">
        <v>292</v>
      </c>
      <c r="J25261">
        <v>1</v>
      </c>
      <c r="K25261">
        <v>13</v>
      </c>
      <c r="L25261">
        <v>347</v>
      </c>
      <c r="M25261">
        <v>1</v>
      </c>
      <c r="N25261">
        <v>6.5225199999999995E-26</v>
      </c>
      <c r="O25261">
        <v>288</v>
      </c>
    </row>
    <row r="25262" spans="1:15" x14ac:dyDescent="0.25">
      <c r="A25262" t="s">
        <v>25275</v>
      </c>
      <c r="B25262">
        <v>248</v>
      </c>
      <c r="C25262" s="1" t="str">
        <f>HYPERLINK("http://www.rosaceae.org/gb/gbrowse/malus_x_domestica/?name=MDP0000271305","MDP0000271305")</f>
        <v>MDP0000271305</v>
      </c>
      <c r="D25262">
        <v>77.819999999999993</v>
      </c>
      <c r="E25262">
        <v>248</v>
      </c>
      <c r="F25262">
        <v>55</v>
      </c>
      <c r="G25262">
        <v>3</v>
      </c>
      <c r="H25262">
        <v>1</v>
      </c>
      <c r="I25262">
        <v>248</v>
      </c>
      <c r="J25262">
        <v>1</v>
      </c>
      <c r="K25262">
        <v>1</v>
      </c>
      <c r="L25262">
        <v>245</v>
      </c>
      <c r="M25262">
        <v>1</v>
      </c>
      <c r="N25262">
        <v>1.38327E-100</v>
      </c>
      <c r="O25262">
        <v>930</v>
      </c>
    </row>
    <row r="25263" spans="1:15" x14ac:dyDescent="0.25">
      <c r="A25263" t="s">
        <v>25276</v>
      </c>
      <c r="B25263">
        <v>457</v>
      </c>
      <c r="C25263" s="1" t="str">
        <f>HYPERLINK("http://www.rosaceae.org/gb/gbrowse/malus_x_domestica/?name=MDP0000143130","MDP0000143130")</f>
        <v>MDP0000143130</v>
      </c>
      <c r="D25263">
        <v>68.459999999999994</v>
      </c>
      <c r="E25263">
        <v>463</v>
      </c>
      <c r="F25263">
        <v>146</v>
      </c>
      <c r="G25263">
        <v>7</v>
      </c>
      <c r="H25263">
        <v>1</v>
      </c>
      <c r="I25263">
        <v>456</v>
      </c>
      <c r="J25263">
        <v>1</v>
      </c>
      <c r="K25263">
        <v>1</v>
      </c>
      <c r="L25263">
        <v>463</v>
      </c>
      <c r="M25263">
        <v>1</v>
      </c>
      <c r="N25263">
        <v>0</v>
      </c>
      <c r="O25263">
        <v>1678</v>
      </c>
    </row>
    <row r="25264" spans="1:15" x14ac:dyDescent="0.25">
      <c r="A25264" t="s">
        <v>25277</v>
      </c>
      <c r="B25264">
        <v>400</v>
      </c>
      <c r="C25264" s="1" t="str">
        <f>HYPERLINK("http://www.rosaceae.org/gb/gbrowse/malus_x_domestica/?name=MDP0000204619","MDP0000204619")</f>
        <v>MDP0000204619</v>
      </c>
      <c r="D25264">
        <v>88.22</v>
      </c>
      <c r="E25264">
        <v>399</v>
      </c>
      <c r="F25264">
        <v>47</v>
      </c>
      <c r="G25264">
        <v>4</v>
      </c>
      <c r="H25264">
        <v>1</v>
      </c>
      <c r="I25264">
        <v>399</v>
      </c>
      <c r="J25264">
        <v>1</v>
      </c>
      <c r="K25264">
        <v>1</v>
      </c>
      <c r="L25264">
        <v>395</v>
      </c>
      <c r="M25264">
        <v>1</v>
      </c>
      <c r="N25264">
        <v>0</v>
      </c>
      <c r="O25264">
        <v>1859</v>
      </c>
    </row>
    <row r="25265" spans="1:15" x14ac:dyDescent="0.25">
      <c r="A25265" t="s">
        <v>25278</v>
      </c>
      <c r="B25265">
        <v>162</v>
      </c>
      <c r="C25265" s="1" t="str">
        <f>HYPERLINK("http://www.rosaceae.org/gb/gbrowse/malus_x_domestica/?name=MDP0000940828","MDP0000940828")</f>
        <v>MDP0000940828</v>
      </c>
      <c r="D25265">
        <v>52.68</v>
      </c>
      <c r="E25265">
        <v>186</v>
      </c>
      <c r="F25265">
        <v>88</v>
      </c>
      <c r="G25265">
        <v>31</v>
      </c>
      <c r="H25265">
        <v>1</v>
      </c>
      <c r="I25265">
        <v>162</v>
      </c>
      <c r="J25265">
        <v>1</v>
      </c>
      <c r="K25265">
        <v>1</v>
      </c>
      <c r="L25265">
        <v>179</v>
      </c>
      <c r="M25265">
        <v>1</v>
      </c>
      <c r="N25265">
        <v>3.8774799999999997E-40</v>
      </c>
      <c r="O25265">
        <v>406</v>
      </c>
    </row>
    <row r="25266" spans="1:15" x14ac:dyDescent="0.25">
      <c r="A25266" t="s">
        <v>25279</v>
      </c>
      <c r="B25266">
        <v>194</v>
      </c>
      <c r="C25266" s="1" t="str">
        <f>HYPERLINK("http://www.rosaceae.org/gb/gbrowse/malus_x_domestica/?name=MDP0000055639","MDP0000055639")</f>
        <v>MDP0000055639</v>
      </c>
      <c r="D25266">
        <v>57.48</v>
      </c>
      <c r="E25266">
        <v>167</v>
      </c>
      <c r="F25266">
        <v>71</v>
      </c>
      <c r="G25266">
        <v>3</v>
      </c>
      <c r="H25266">
        <v>10</v>
      </c>
      <c r="I25266">
        <v>173</v>
      </c>
      <c r="J25266">
        <v>1</v>
      </c>
      <c r="K25266">
        <v>5</v>
      </c>
      <c r="L25266">
        <v>171</v>
      </c>
      <c r="M25266">
        <v>1</v>
      </c>
      <c r="N25266">
        <v>8.0366500000000004E-53</v>
      </c>
      <c r="O25266">
        <v>517</v>
      </c>
    </row>
    <row r="25267" spans="1:15" x14ac:dyDescent="0.25">
      <c r="A25267" t="s">
        <v>25280</v>
      </c>
      <c r="B25267">
        <v>339</v>
      </c>
      <c r="C25267" s="1" t="str">
        <f>HYPERLINK("http://www.rosaceae.org/gb/gbrowse/malus_x_domestica/?name=MDP0000252887","MDP0000252887")</f>
        <v>MDP0000252887</v>
      </c>
      <c r="D25267">
        <v>58.46</v>
      </c>
      <c r="E25267">
        <v>366</v>
      </c>
      <c r="F25267">
        <v>152</v>
      </c>
      <c r="G25267">
        <v>28</v>
      </c>
      <c r="H25267">
        <v>1</v>
      </c>
      <c r="I25267">
        <v>338</v>
      </c>
      <c r="J25267">
        <v>1</v>
      </c>
      <c r="K25267">
        <v>1</v>
      </c>
      <c r="L25267">
        <v>366</v>
      </c>
      <c r="M25267">
        <v>1</v>
      </c>
      <c r="N25267">
        <v>2.1108299999999999E-107</v>
      </c>
      <c r="O25267">
        <v>991</v>
      </c>
    </row>
    <row r="25268" spans="1:15" x14ac:dyDescent="0.25">
      <c r="A25268" t="s">
        <v>25281</v>
      </c>
      <c r="B25268">
        <v>206</v>
      </c>
      <c r="C25268" s="1" t="str">
        <f>HYPERLINK("http://www.rosaceae.org/gb/gbrowse/malus_x_domestica/?name=MDP0000130897","MDP0000130897")</f>
        <v>MDP0000130897</v>
      </c>
      <c r="D25268">
        <v>40.35</v>
      </c>
      <c r="E25268">
        <v>57</v>
      </c>
      <c r="F25268">
        <v>34</v>
      </c>
      <c r="G25268">
        <v>0</v>
      </c>
      <c r="H25268">
        <v>137</v>
      </c>
      <c r="I25268">
        <v>193</v>
      </c>
      <c r="J25268">
        <v>1</v>
      </c>
      <c r="K25268">
        <v>511</v>
      </c>
      <c r="L25268">
        <v>567</v>
      </c>
      <c r="M25268">
        <v>1</v>
      </c>
      <c r="N25268">
        <v>1.2004600000000001E-8</v>
      </c>
      <c r="O25268">
        <v>136</v>
      </c>
    </row>
    <row r="25269" spans="1:15" x14ac:dyDescent="0.25">
      <c r="A25269" t="s">
        <v>25282</v>
      </c>
      <c r="B25269">
        <v>792</v>
      </c>
      <c r="C25269" s="1" t="str">
        <f>HYPERLINK("http://www.rosaceae.org/gb/gbrowse/malus_x_domestica/?name=MDP0000150087","MDP0000150087")</f>
        <v>MDP0000150087</v>
      </c>
      <c r="D25269">
        <v>73.25</v>
      </c>
      <c r="E25269">
        <v>729</v>
      </c>
      <c r="F25269">
        <v>195</v>
      </c>
      <c r="G25269">
        <v>8</v>
      </c>
      <c r="H25269">
        <v>66</v>
      </c>
      <c r="I25269">
        <v>792</v>
      </c>
      <c r="J25269">
        <v>1</v>
      </c>
      <c r="K25269">
        <v>64</v>
      </c>
      <c r="L25269">
        <v>786</v>
      </c>
      <c r="M25269">
        <v>1</v>
      </c>
      <c r="N25269">
        <v>0</v>
      </c>
      <c r="O25269">
        <v>2768</v>
      </c>
    </row>
    <row r="25270" spans="1:15" x14ac:dyDescent="0.25">
      <c r="A25270" t="s">
        <v>25283</v>
      </c>
      <c r="B25270">
        <v>150</v>
      </c>
      <c r="C25270" s="1" t="str">
        <f>HYPERLINK("http://www.rosaceae.org/gb/gbrowse/malus_x_domestica/?name=MDP0000236557","MDP0000236557")</f>
        <v>MDP0000236557</v>
      </c>
      <c r="D25270">
        <v>76.31</v>
      </c>
      <c r="E25270">
        <v>152</v>
      </c>
      <c r="F25270">
        <v>36</v>
      </c>
      <c r="G25270">
        <v>5</v>
      </c>
      <c r="H25270">
        <v>2</v>
      </c>
      <c r="I25270">
        <v>149</v>
      </c>
      <c r="J25270">
        <v>1</v>
      </c>
      <c r="K25270">
        <v>3</v>
      </c>
      <c r="L25270">
        <v>153</v>
      </c>
      <c r="M25270">
        <v>1</v>
      </c>
      <c r="N25270">
        <v>1.3930599999999999E-58</v>
      </c>
      <c r="O25270">
        <v>565</v>
      </c>
    </row>
    <row r="25271" spans="1:15" x14ac:dyDescent="0.25">
      <c r="A25271" t="s">
        <v>25284</v>
      </c>
      <c r="B25271">
        <v>123</v>
      </c>
      <c r="C25271" s="1" t="str">
        <f>HYPERLINK("http://www.rosaceae.org/gb/gbrowse/malus_x_domestica/?name=MDP0000295339","MDP0000295339")</f>
        <v>MDP0000295339</v>
      </c>
      <c r="D25271">
        <v>50.83</v>
      </c>
      <c r="E25271">
        <v>120</v>
      </c>
      <c r="F25271">
        <v>59</v>
      </c>
      <c r="G25271">
        <v>2</v>
      </c>
      <c r="H25271">
        <v>3</v>
      </c>
      <c r="I25271">
        <v>122</v>
      </c>
      <c r="J25271">
        <v>1</v>
      </c>
      <c r="K25271">
        <v>4</v>
      </c>
      <c r="L25271">
        <v>121</v>
      </c>
      <c r="M25271">
        <v>1</v>
      </c>
      <c r="N25271">
        <v>1.3624299999999999E-29</v>
      </c>
      <c r="O25271">
        <v>313</v>
      </c>
    </row>
    <row r="25272" spans="1:15" x14ac:dyDescent="0.25">
      <c r="A25272" t="s">
        <v>25285</v>
      </c>
      <c r="B25272">
        <v>200</v>
      </c>
      <c r="C25272" s="1" t="str">
        <f>HYPERLINK("http://www.rosaceae.org/gb/gbrowse/malus_x_domestica/?name=MDP0000236750","MDP0000236750")</f>
        <v>MDP0000236750</v>
      </c>
      <c r="D25272">
        <v>42.26</v>
      </c>
      <c r="E25272">
        <v>97</v>
      </c>
      <c r="F25272">
        <v>56</v>
      </c>
      <c r="G25272">
        <v>3</v>
      </c>
      <c r="H25272">
        <v>60</v>
      </c>
      <c r="I25272">
        <v>156</v>
      </c>
      <c r="J25272">
        <v>1</v>
      </c>
      <c r="K25272">
        <v>34</v>
      </c>
      <c r="L25272">
        <v>127</v>
      </c>
      <c r="M25272">
        <v>1</v>
      </c>
      <c r="N25272">
        <v>4.39084E-16</v>
      </c>
      <c r="O25272">
        <v>200</v>
      </c>
    </row>
    <row r="25273" spans="1:15" x14ac:dyDescent="0.25">
      <c r="A25273" t="s">
        <v>25286</v>
      </c>
      <c r="B25273">
        <v>363</v>
      </c>
      <c r="C25273" s="1" t="str">
        <f>HYPERLINK("http://www.rosaceae.org/gb/gbrowse/malus_x_domestica/?name=MDP0000256936","MDP0000256936")</f>
        <v>MDP0000256936</v>
      </c>
      <c r="D25273">
        <v>63.9</v>
      </c>
      <c r="E25273">
        <v>302</v>
      </c>
      <c r="F25273">
        <v>109</v>
      </c>
      <c r="G25273">
        <v>2</v>
      </c>
      <c r="H25273">
        <v>55</v>
      </c>
      <c r="I25273">
        <v>354</v>
      </c>
      <c r="J25273">
        <v>1</v>
      </c>
      <c r="K25273">
        <v>44</v>
      </c>
      <c r="L25273">
        <v>345</v>
      </c>
      <c r="M25273">
        <v>1</v>
      </c>
      <c r="N25273">
        <v>1.6761099999999999E-118</v>
      </c>
      <c r="O25273">
        <v>1087</v>
      </c>
    </row>
    <row r="25274" spans="1:15" x14ac:dyDescent="0.25">
      <c r="A25274" t="s">
        <v>25287</v>
      </c>
      <c r="B25274">
        <v>445</v>
      </c>
      <c r="C25274" s="1" t="str">
        <f>HYPERLINK("http://www.rosaceae.org/gb/gbrowse/malus_x_domestica/?name=MDP0000703262","MDP0000703262")</f>
        <v>MDP0000703262</v>
      </c>
      <c r="D25274">
        <v>82.66</v>
      </c>
      <c r="E25274">
        <v>427</v>
      </c>
      <c r="F25274">
        <v>74</v>
      </c>
      <c r="G25274">
        <v>0</v>
      </c>
      <c r="H25274">
        <v>19</v>
      </c>
      <c r="I25274">
        <v>445</v>
      </c>
      <c r="J25274">
        <v>1</v>
      </c>
      <c r="K25274">
        <v>19</v>
      </c>
      <c r="L25274">
        <v>445</v>
      </c>
      <c r="M25274">
        <v>1</v>
      </c>
      <c r="N25274">
        <v>0</v>
      </c>
      <c r="O25274">
        <v>1939</v>
      </c>
    </row>
    <row r="25275" spans="1:15" x14ac:dyDescent="0.25">
      <c r="A25275" t="s">
        <v>25288</v>
      </c>
      <c r="B25275">
        <v>252</v>
      </c>
      <c r="C25275" s="1" t="str">
        <f>HYPERLINK("http://www.rosaceae.org/gb/gbrowse/malus_x_domestica/?name=MDP0000506346","MDP0000506346")</f>
        <v>MDP0000506346</v>
      </c>
      <c r="D25275">
        <v>83</v>
      </c>
      <c r="E25275">
        <v>200</v>
      </c>
      <c r="F25275">
        <v>34</v>
      </c>
      <c r="G25275">
        <v>0</v>
      </c>
      <c r="H25275">
        <v>27</v>
      </c>
      <c r="I25275">
        <v>226</v>
      </c>
      <c r="J25275">
        <v>1</v>
      </c>
      <c r="K25275">
        <v>25</v>
      </c>
      <c r="L25275">
        <v>224</v>
      </c>
      <c r="M25275">
        <v>1</v>
      </c>
      <c r="N25275">
        <v>5.0886900000000001E-103</v>
      </c>
      <c r="O25275">
        <v>951</v>
      </c>
    </row>
    <row r="25276" spans="1:15" x14ac:dyDescent="0.25">
      <c r="A25276" t="s">
        <v>25289</v>
      </c>
      <c r="B25276">
        <v>385</v>
      </c>
      <c r="C25276" s="1" t="str">
        <f>HYPERLINK("http://www.rosaceae.org/gb/gbrowse/malus_x_domestica/?name=MDP0000701336","MDP0000701336")</f>
        <v>MDP0000701336</v>
      </c>
      <c r="D25276">
        <v>83.98</v>
      </c>
      <c r="E25276">
        <v>231</v>
      </c>
      <c r="F25276">
        <v>37</v>
      </c>
      <c r="G25276">
        <v>0</v>
      </c>
      <c r="H25276">
        <v>154</v>
      </c>
      <c r="I25276">
        <v>384</v>
      </c>
      <c r="J25276">
        <v>1</v>
      </c>
      <c r="K25276">
        <v>17</v>
      </c>
      <c r="L25276">
        <v>247</v>
      </c>
      <c r="M25276">
        <v>1</v>
      </c>
      <c r="N25276">
        <v>4.9196499999999997E-111</v>
      </c>
      <c r="O25276">
        <v>1023</v>
      </c>
    </row>
    <row r="25277" spans="1:15" x14ac:dyDescent="0.25">
      <c r="A25277" t="s">
        <v>25290</v>
      </c>
      <c r="B25277">
        <v>662</v>
      </c>
      <c r="C25277" s="1" t="str">
        <f>HYPERLINK("http://www.rosaceae.org/gb/gbrowse/malus_x_domestica/?name=MDP0000499050","MDP0000499050")</f>
        <v>MDP0000499050</v>
      </c>
      <c r="D25277">
        <v>38.53</v>
      </c>
      <c r="E25277">
        <v>109</v>
      </c>
      <c r="F25277">
        <v>67</v>
      </c>
      <c r="G25277">
        <v>4</v>
      </c>
      <c r="H25277">
        <v>134</v>
      </c>
      <c r="I25277">
        <v>241</v>
      </c>
      <c r="J25277">
        <v>1</v>
      </c>
      <c r="K25277">
        <v>320</v>
      </c>
      <c r="L25277">
        <v>425</v>
      </c>
      <c r="M25277">
        <v>1</v>
      </c>
      <c r="N25277">
        <v>8.7071199999999994E-15</v>
      </c>
      <c r="O25277">
        <v>195</v>
      </c>
    </row>
    <row r="25278" spans="1:15" x14ac:dyDescent="0.25">
      <c r="A25278" t="s">
        <v>25291</v>
      </c>
      <c r="B25278">
        <v>164</v>
      </c>
      <c r="C25278" s="1" t="str">
        <f>HYPERLINK("http://www.rosaceae.org/gb/gbrowse/malus_x_domestica/?name=MDP0000918577","MDP0000918577")</f>
        <v>MDP0000918577</v>
      </c>
      <c r="D25278">
        <v>47.52</v>
      </c>
      <c r="E25278">
        <v>202</v>
      </c>
      <c r="F25278">
        <v>106</v>
      </c>
      <c r="G25278">
        <v>48</v>
      </c>
      <c r="H25278">
        <v>10</v>
      </c>
      <c r="I25278">
        <v>163</v>
      </c>
      <c r="J25278">
        <v>1</v>
      </c>
      <c r="K25278">
        <v>31</v>
      </c>
      <c r="L25278">
        <v>232</v>
      </c>
      <c r="M25278">
        <v>1</v>
      </c>
      <c r="N25278">
        <v>9.8178500000000004E-40</v>
      </c>
      <c r="O25278">
        <v>403</v>
      </c>
    </row>
    <row r="25279" spans="1:15" x14ac:dyDescent="0.25">
      <c r="A25279" t="s">
        <v>25292</v>
      </c>
      <c r="B25279">
        <v>132</v>
      </c>
      <c r="C25279" s="1" t="str">
        <f>HYPERLINK("http://www.rosaceae.org/gb/gbrowse/malus_x_domestica/?name=MDP0000285549","MDP0000285549")</f>
        <v>MDP0000285549</v>
      </c>
      <c r="D25279">
        <v>82.92</v>
      </c>
      <c r="E25279">
        <v>123</v>
      </c>
      <c r="F25279">
        <v>21</v>
      </c>
      <c r="G25279">
        <v>0</v>
      </c>
      <c r="H25279">
        <v>10</v>
      </c>
      <c r="I25279">
        <v>132</v>
      </c>
      <c r="J25279">
        <v>1</v>
      </c>
      <c r="K25279">
        <v>8</v>
      </c>
      <c r="L25279">
        <v>130</v>
      </c>
      <c r="M25279">
        <v>1</v>
      </c>
      <c r="N25279">
        <v>1.7823099999999998E-58</v>
      </c>
      <c r="O25279">
        <v>562</v>
      </c>
    </row>
    <row r="25280" spans="1:15" x14ac:dyDescent="0.25">
      <c r="A25280" t="s">
        <v>25293</v>
      </c>
      <c r="B25280">
        <v>201</v>
      </c>
      <c r="C25280" s="1" t="str">
        <f>HYPERLINK("http://www.rosaceae.org/gb/gbrowse/malus_x_domestica/?name=MDP0000438977","MDP0000438977")</f>
        <v>MDP0000438977</v>
      </c>
      <c r="D25280">
        <v>51.26</v>
      </c>
      <c r="E25280">
        <v>119</v>
      </c>
      <c r="F25280">
        <v>58</v>
      </c>
      <c r="G25280">
        <v>4</v>
      </c>
      <c r="H25280">
        <v>63</v>
      </c>
      <c r="I25280">
        <v>179</v>
      </c>
      <c r="J25280">
        <v>1</v>
      </c>
      <c r="K25280">
        <v>246</v>
      </c>
      <c r="L25280">
        <v>362</v>
      </c>
      <c r="M25280">
        <v>1</v>
      </c>
      <c r="N25280">
        <v>7.9947399999999998E-26</v>
      </c>
      <c r="O25280">
        <v>284</v>
      </c>
    </row>
    <row r="25281" spans="1:15" x14ac:dyDescent="0.25">
      <c r="A25281" t="s">
        <v>25294</v>
      </c>
      <c r="B25281">
        <v>103</v>
      </c>
      <c r="C25281" s="1" t="str">
        <f>HYPERLINK("http://www.rosaceae.org/gb/gbrowse/malus_x_domestica/?name=MDP0000749404","MDP0000749404")</f>
        <v>MDP0000749404</v>
      </c>
      <c r="D25281">
        <v>81.17</v>
      </c>
      <c r="E25281">
        <v>85</v>
      </c>
      <c r="F25281">
        <v>16</v>
      </c>
      <c r="G25281">
        <v>0</v>
      </c>
      <c r="H25281">
        <v>4</v>
      </c>
      <c r="I25281">
        <v>88</v>
      </c>
      <c r="J25281">
        <v>1</v>
      </c>
      <c r="K25281">
        <v>279</v>
      </c>
      <c r="L25281">
        <v>363</v>
      </c>
      <c r="M25281">
        <v>1</v>
      </c>
      <c r="N25281">
        <v>1.26074E-35</v>
      </c>
      <c r="O25281">
        <v>365</v>
      </c>
    </row>
    <row r="25282" spans="1:15" x14ac:dyDescent="0.25">
      <c r="A25282" t="s">
        <v>25295</v>
      </c>
      <c r="B25282">
        <v>539</v>
      </c>
      <c r="C25282" s="1" t="str">
        <f>HYPERLINK("http://www.rosaceae.org/gb/gbrowse/malus_x_domestica/?name=MDP0000516713","MDP0000516713")</f>
        <v>MDP0000516713</v>
      </c>
      <c r="D25282">
        <v>49.53</v>
      </c>
      <c r="E25282">
        <v>640</v>
      </c>
      <c r="F25282">
        <v>323</v>
      </c>
      <c r="G25282">
        <v>114</v>
      </c>
      <c r="H25282">
        <v>1</v>
      </c>
      <c r="I25282">
        <v>533</v>
      </c>
      <c r="J25282">
        <v>1</v>
      </c>
      <c r="K25282">
        <v>1</v>
      </c>
      <c r="L25282">
        <v>633</v>
      </c>
      <c r="M25282">
        <v>1</v>
      </c>
      <c r="N25282">
        <v>3.12209E-164</v>
      </c>
      <c r="O25282">
        <v>1483</v>
      </c>
    </row>
    <row r="25283" spans="1:15" x14ac:dyDescent="0.25">
      <c r="A25283" t="s">
        <v>25296</v>
      </c>
      <c r="B25283">
        <v>1060</v>
      </c>
      <c r="C25283" s="1" t="str">
        <f>HYPERLINK("http://www.rosaceae.org/gb/gbrowse/malus_x_domestica/?name=MDP0000930978","MDP0000930978")</f>
        <v>MDP0000930978</v>
      </c>
      <c r="D25283">
        <v>54.59</v>
      </c>
      <c r="E25283">
        <v>359</v>
      </c>
      <c r="F25283">
        <v>163</v>
      </c>
      <c r="G25283">
        <v>47</v>
      </c>
      <c r="H25283">
        <v>565</v>
      </c>
      <c r="I25283">
        <v>894</v>
      </c>
      <c r="J25283">
        <v>1</v>
      </c>
      <c r="K25283">
        <v>56</v>
      </c>
      <c r="L25283">
        <v>396</v>
      </c>
      <c r="M25283">
        <v>1</v>
      </c>
      <c r="N25283">
        <v>1.4734400000000001E-91</v>
      </c>
      <c r="O25283">
        <v>859</v>
      </c>
    </row>
    <row r="25284" spans="1:15" x14ac:dyDescent="0.25">
      <c r="A25284" t="s">
        <v>25297</v>
      </c>
      <c r="B25284">
        <v>601</v>
      </c>
      <c r="C25284" s="1" t="str">
        <f>HYPERLINK("http://www.rosaceae.org/gb/gbrowse/malus_x_domestica/?name=MDP0000460073","MDP0000460073")</f>
        <v>MDP0000460073</v>
      </c>
      <c r="D25284">
        <v>71.42</v>
      </c>
      <c r="E25284">
        <v>609</v>
      </c>
      <c r="F25284">
        <v>174</v>
      </c>
      <c r="G25284">
        <v>24</v>
      </c>
      <c r="H25284">
        <v>1</v>
      </c>
      <c r="I25284">
        <v>599</v>
      </c>
      <c r="J25284">
        <v>1</v>
      </c>
      <c r="K25284">
        <v>1</v>
      </c>
      <c r="L25284">
        <v>595</v>
      </c>
      <c r="M25284">
        <v>1</v>
      </c>
      <c r="N25284">
        <v>0</v>
      </c>
      <c r="O25284">
        <v>2155</v>
      </c>
    </row>
    <row r="25285" spans="1:15" x14ac:dyDescent="0.25">
      <c r="A25285" t="s">
        <v>25298</v>
      </c>
      <c r="B25285">
        <v>1012</v>
      </c>
      <c r="C25285" s="1" t="str">
        <f>HYPERLINK("http://www.rosaceae.org/gb/gbrowse/malus_x_domestica/?name=MDP0000193366","MDP0000193366")</f>
        <v>MDP0000193366</v>
      </c>
      <c r="D25285">
        <v>50</v>
      </c>
      <c r="E25285">
        <v>278</v>
      </c>
      <c r="F25285">
        <v>139</v>
      </c>
      <c r="G25285">
        <v>61</v>
      </c>
      <c r="H25285">
        <v>468</v>
      </c>
      <c r="I25285">
        <v>684</v>
      </c>
      <c r="J25285">
        <v>1</v>
      </c>
      <c r="K25285">
        <v>12</v>
      </c>
      <c r="L25285">
        <v>289</v>
      </c>
      <c r="M25285">
        <v>1</v>
      </c>
      <c r="N25285">
        <v>1.6074400000000001E-60</v>
      </c>
      <c r="O25285">
        <v>591</v>
      </c>
    </row>
    <row r="25286" spans="1:15" x14ac:dyDescent="0.25">
      <c r="A25286" t="s">
        <v>25299</v>
      </c>
      <c r="B25286">
        <v>518</v>
      </c>
      <c r="C25286" s="1" t="str">
        <f>HYPERLINK("http://www.rosaceae.org/gb/gbrowse/malus_x_domestica/?name=MDP0000560705","MDP0000560705")</f>
        <v>MDP0000560705</v>
      </c>
      <c r="D25286">
        <v>83.49</v>
      </c>
      <c r="E25286">
        <v>503</v>
      </c>
      <c r="F25286">
        <v>83</v>
      </c>
      <c r="G25286">
        <v>16</v>
      </c>
      <c r="H25286">
        <v>1</v>
      </c>
      <c r="I25286">
        <v>491</v>
      </c>
      <c r="J25286">
        <v>1</v>
      </c>
      <c r="K25286">
        <v>1</v>
      </c>
      <c r="L25286">
        <v>499</v>
      </c>
      <c r="M25286">
        <v>1</v>
      </c>
      <c r="N25286">
        <v>0</v>
      </c>
      <c r="O25286">
        <v>2186</v>
      </c>
    </row>
    <row r="25287" spans="1:15" x14ac:dyDescent="0.25">
      <c r="A25287" t="s">
        <v>25300</v>
      </c>
      <c r="B25287">
        <v>319</v>
      </c>
      <c r="C25287" s="1" t="str">
        <f>HYPERLINK("http://www.rosaceae.org/gb/gbrowse/malus_x_domestica/?name=MDP0000305085","MDP0000305085")</f>
        <v>MDP0000305085</v>
      </c>
      <c r="D25287">
        <v>35.26</v>
      </c>
      <c r="E25287">
        <v>207</v>
      </c>
      <c r="F25287">
        <v>134</v>
      </c>
      <c r="G25287">
        <v>16</v>
      </c>
      <c r="H25287">
        <v>1</v>
      </c>
      <c r="I25287">
        <v>201</v>
      </c>
      <c r="J25287">
        <v>1</v>
      </c>
      <c r="K25287">
        <v>84</v>
      </c>
      <c r="L25287">
        <v>280</v>
      </c>
      <c r="M25287">
        <v>1</v>
      </c>
      <c r="N25287">
        <v>7.0319399999999999E-24</v>
      </c>
      <c r="O25287">
        <v>270</v>
      </c>
    </row>
    <row r="25288" spans="1:15" x14ac:dyDescent="0.25">
      <c r="A25288" t="s">
        <v>25301</v>
      </c>
      <c r="B25288">
        <v>282</v>
      </c>
      <c r="C25288" s="1" t="str">
        <f>HYPERLINK("http://www.rosaceae.org/gb/gbrowse/malus_x_domestica/?name=MDP0000259363","MDP0000259363")</f>
        <v>MDP0000259363</v>
      </c>
      <c r="D25288">
        <v>94.23</v>
      </c>
      <c r="E25288">
        <v>52</v>
      </c>
      <c r="F25288">
        <v>3</v>
      </c>
      <c r="G25288">
        <v>1</v>
      </c>
      <c r="H25288">
        <v>22</v>
      </c>
      <c r="I25288">
        <v>72</v>
      </c>
      <c r="J25288">
        <v>1</v>
      </c>
      <c r="K25288">
        <v>122</v>
      </c>
      <c r="L25288">
        <v>173</v>
      </c>
      <c r="M25288">
        <v>1</v>
      </c>
      <c r="N25288">
        <v>1.46127E-21</v>
      </c>
      <c r="O25288">
        <v>250</v>
      </c>
    </row>
    <row r="25289" spans="1:15" x14ac:dyDescent="0.25">
      <c r="A25289" t="s">
        <v>25302</v>
      </c>
      <c r="B25289">
        <v>842</v>
      </c>
      <c r="C25289" s="1" t="str">
        <f>HYPERLINK("http://www.rosaceae.org/gb/gbrowse/malus_x_domestica/?name=MDP0000292645","MDP0000292645")</f>
        <v>MDP0000292645</v>
      </c>
      <c r="D25289">
        <v>73.959999999999994</v>
      </c>
      <c r="E25289">
        <v>776</v>
      </c>
      <c r="F25289">
        <v>202</v>
      </c>
      <c r="G25289">
        <v>52</v>
      </c>
      <c r="H25289">
        <v>67</v>
      </c>
      <c r="I25289">
        <v>842</v>
      </c>
      <c r="J25289">
        <v>1</v>
      </c>
      <c r="K25289">
        <v>69</v>
      </c>
      <c r="L25289">
        <v>792</v>
      </c>
      <c r="M25289">
        <v>1</v>
      </c>
      <c r="N25289">
        <v>0</v>
      </c>
      <c r="O25289">
        <v>3001</v>
      </c>
    </row>
    <row r="25290" spans="1:15" x14ac:dyDescent="0.25">
      <c r="A25290" t="s">
        <v>25303</v>
      </c>
      <c r="B25290">
        <v>490</v>
      </c>
      <c r="C25290" s="1" t="str">
        <f>HYPERLINK("http://www.rosaceae.org/gb/gbrowse/malus_x_domestica/?name=MDP0000175212","MDP0000175212")</f>
        <v>MDP0000175212</v>
      </c>
      <c r="D25290">
        <v>74.89</v>
      </c>
      <c r="E25290">
        <v>247</v>
      </c>
      <c r="F25290">
        <v>62</v>
      </c>
      <c r="G25290">
        <v>11</v>
      </c>
      <c r="H25290">
        <v>1</v>
      </c>
      <c r="I25290">
        <v>236</v>
      </c>
      <c r="J25290">
        <v>1</v>
      </c>
      <c r="K25290">
        <v>647</v>
      </c>
      <c r="L25290">
        <v>893</v>
      </c>
      <c r="M25290">
        <v>1</v>
      </c>
      <c r="N25290">
        <v>5.7526399999999997E-108</v>
      </c>
      <c r="O25290">
        <v>997</v>
      </c>
    </row>
    <row r="25291" spans="1:15" x14ac:dyDescent="0.25">
      <c r="A25291" t="s">
        <v>25304</v>
      </c>
      <c r="B25291">
        <v>198</v>
      </c>
      <c r="C25291" s="1" t="str">
        <f>HYPERLINK("http://www.rosaceae.org/gb/gbrowse/malus_x_domestica/?name=MDP0000484633","MDP0000484633")</f>
        <v>MDP0000484633</v>
      </c>
      <c r="D25291">
        <v>56.14</v>
      </c>
      <c r="E25291">
        <v>187</v>
      </c>
      <c r="F25291">
        <v>82</v>
      </c>
      <c r="G25291">
        <v>2</v>
      </c>
      <c r="H25291">
        <v>8</v>
      </c>
      <c r="I25291">
        <v>194</v>
      </c>
      <c r="J25291">
        <v>1</v>
      </c>
      <c r="K25291">
        <v>32</v>
      </c>
      <c r="L25291">
        <v>216</v>
      </c>
      <c r="M25291">
        <v>1</v>
      </c>
      <c r="N25291">
        <v>3.0232E-55</v>
      </c>
      <c r="O25291">
        <v>538</v>
      </c>
    </row>
    <row r="25292" spans="1:15" x14ac:dyDescent="0.25">
      <c r="A25292" t="s">
        <v>25305</v>
      </c>
      <c r="B25292">
        <v>329</v>
      </c>
      <c r="C25292" s="1" t="str">
        <f>HYPERLINK("http://www.rosaceae.org/gb/gbrowse/malus_x_domestica/?name=MDP0000598703","MDP0000598703")</f>
        <v>MDP0000598703</v>
      </c>
      <c r="D25292">
        <v>62</v>
      </c>
      <c r="E25292">
        <v>329</v>
      </c>
      <c r="F25292">
        <v>125</v>
      </c>
      <c r="G25292">
        <v>0</v>
      </c>
      <c r="H25292">
        <v>1</v>
      </c>
      <c r="I25292">
        <v>329</v>
      </c>
      <c r="J25292">
        <v>1</v>
      </c>
      <c r="K25292">
        <v>9</v>
      </c>
      <c r="L25292">
        <v>337</v>
      </c>
      <c r="M25292">
        <v>1</v>
      </c>
      <c r="N25292">
        <v>9.6231199999999993E-106</v>
      </c>
      <c r="O25292">
        <v>976</v>
      </c>
    </row>
    <row r="25293" spans="1:15" x14ac:dyDescent="0.25">
      <c r="A25293" t="s">
        <v>25306</v>
      </c>
      <c r="B25293">
        <v>247</v>
      </c>
      <c r="C25293" s="1" t="str">
        <f>HYPERLINK("http://www.rosaceae.org/gb/gbrowse/malus_x_domestica/?name=MDP0000125466","MDP0000125466")</f>
        <v>MDP0000125466</v>
      </c>
      <c r="D25293">
        <v>53.41</v>
      </c>
      <c r="E25293">
        <v>234</v>
      </c>
      <c r="F25293">
        <v>109</v>
      </c>
      <c r="G25293">
        <v>16</v>
      </c>
      <c r="H25293">
        <v>1</v>
      </c>
      <c r="I25293">
        <v>227</v>
      </c>
      <c r="J25293">
        <v>1</v>
      </c>
      <c r="K25293">
        <v>1</v>
      </c>
      <c r="L25293">
        <v>225</v>
      </c>
      <c r="M25293">
        <v>1</v>
      </c>
      <c r="N25293">
        <v>3.9519800000000001E-53</v>
      </c>
      <c r="O25293">
        <v>521</v>
      </c>
    </row>
    <row r="25294" spans="1:15" x14ac:dyDescent="0.25">
      <c r="A25294" t="s">
        <v>25307</v>
      </c>
      <c r="B25294">
        <v>408</v>
      </c>
      <c r="C25294" s="1" t="str">
        <f>HYPERLINK("http://www.rosaceae.org/gb/gbrowse/malus_x_domestica/?name=MDP0000293627","MDP0000293627")</f>
        <v>MDP0000293627</v>
      </c>
      <c r="D25294">
        <v>94.6</v>
      </c>
      <c r="E25294">
        <v>408</v>
      </c>
      <c r="F25294">
        <v>22</v>
      </c>
      <c r="G25294">
        <v>0</v>
      </c>
      <c r="H25294">
        <v>1</v>
      </c>
      <c r="I25294">
        <v>408</v>
      </c>
      <c r="J25294">
        <v>1</v>
      </c>
      <c r="K25294">
        <v>1</v>
      </c>
      <c r="L25294">
        <v>408</v>
      </c>
      <c r="M25294">
        <v>1</v>
      </c>
      <c r="N25294">
        <v>0</v>
      </c>
      <c r="O25294">
        <v>2085</v>
      </c>
    </row>
    <row r="25295" spans="1:15" x14ac:dyDescent="0.25">
      <c r="A25295" t="s">
        <v>25308</v>
      </c>
      <c r="B25295">
        <v>219</v>
      </c>
      <c r="C25295" s="1" t="str">
        <f>HYPERLINK("http://www.rosaceae.org/gb/gbrowse/malus_x_domestica/?name=MDP0000282229","MDP0000282229")</f>
        <v>MDP0000282229</v>
      </c>
      <c r="D25295">
        <v>51.9</v>
      </c>
      <c r="E25295">
        <v>210</v>
      </c>
      <c r="F25295">
        <v>101</v>
      </c>
      <c r="G25295">
        <v>20</v>
      </c>
      <c r="H25295">
        <v>1</v>
      </c>
      <c r="I25295">
        <v>192</v>
      </c>
      <c r="J25295">
        <v>1</v>
      </c>
      <c r="K25295">
        <v>128</v>
      </c>
      <c r="L25295">
        <v>335</v>
      </c>
      <c r="M25295">
        <v>1</v>
      </c>
      <c r="N25295">
        <v>9.1314499999999996E-53</v>
      </c>
      <c r="O25295">
        <v>517</v>
      </c>
    </row>
    <row r="25296" spans="1:15" x14ac:dyDescent="0.25">
      <c r="A25296" t="s">
        <v>25309</v>
      </c>
      <c r="B25296">
        <v>314</v>
      </c>
      <c r="C25296" s="1" t="str">
        <f>HYPERLINK("http://www.rosaceae.org/gb/gbrowse/malus_x_domestica/?name=MDP0000309227","MDP0000309227")</f>
        <v>MDP0000309227</v>
      </c>
      <c r="D25296">
        <v>71.64</v>
      </c>
      <c r="E25296">
        <v>194</v>
      </c>
      <c r="F25296">
        <v>55</v>
      </c>
      <c r="G25296">
        <v>35</v>
      </c>
      <c r="H25296">
        <v>1</v>
      </c>
      <c r="I25296">
        <v>160</v>
      </c>
      <c r="J25296">
        <v>1</v>
      </c>
      <c r="K25296">
        <v>99</v>
      </c>
      <c r="L25296">
        <v>291</v>
      </c>
      <c r="M25296">
        <v>1</v>
      </c>
      <c r="N25296">
        <v>5.1943699999999998E-67</v>
      </c>
      <c r="O25296">
        <v>642</v>
      </c>
    </row>
    <row r="25297" spans="1:15" x14ac:dyDescent="0.25">
      <c r="A25297" t="s">
        <v>25310</v>
      </c>
      <c r="B25297">
        <v>483</v>
      </c>
      <c r="C25297" s="1" t="str">
        <f>HYPERLINK("http://www.rosaceae.org/gb/gbrowse/malus_x_domestica/?name=MDP0000918141","MDP0000918141")</f>
        <v>MDP0000918141</v>
      </c>
      <c r="D25297">
        <v>61.72</v>
      </c>
      <c r="E25297">
        <v>162</v>
      </c>
      <c r="F25297">
        <v>62</v>
      </c>
      <c r="G25297">
        <v>2</v>
      </c>
      <c r="H25297">
        <v>1</v>
      </c>
      <c r="I25297">
        <v>161</v>
      </c>
      <c r="J25297">
        <v>1</v>
      </c>
      <c r="K25297">
        <v>1</v>
      </c>
      <c r="L25297">
        <v>161</v>
      </c>
      <c r="M25297">
        <v>1</v>
      </c>
      <c r="N25297">
        <v>4.2887599999999998E-50</v>
      </c>
      <c r="O25297">
        <v>498</v>
      </c>
    </row>
    <row r="25298" spans="1:15" x14ac:dyDescent="0.25">
      <c r="A25298" t="s">
        <v>25311</v>
      </c>
      <c r="B25298">
        <v>1500</v>
      </c>
      <c r="C25298" s="1" t="str">
        <f>HYPERLINK("http://www.rosaceae.org/gb/gbrowse/malus_x_domestica/?name=MDP0000842997","MDP0000842997")</f>
        <v>MDP0000842997</v>
      </c>
      <c r="D25298">
        <v>71.61</v>
      </c>
      <c r="E25298">
        <v>1494</v>
      </c>
      <c r="F25298">
        <v>424</v>
      </c>
      <c r="G25298">
        <v>48</v>
      </c>
      <c r="H25298">
        <v>3</v>
      </c>
      <c r="I25298">
        <v>1450</v>
      </c>
      <c r="J25298">
        <v>1</v>
      </c>
      <c r="K25298">
        <v>11</v>
      </c>
      <c r="L25298">
        <v>1502</v>
      </c>
      <c r="M25298">
        <v>1</v>
      </c>
      <c r="N25298">
        <v>0</v>
      </c>
      <c r="O25298">
        <v>5623</v>
      </c>
    </row>
    <row r="25299" spans="1:15" x14ac:dyDescent="0.25">
      <c r="A25299" t="s">
        <v>25312</v>
      </c>
      <c r="B25299">
        <v>169</v>
      </c>
      <c r="C25299" s="1" t="str">
        <f>HYPERLINK("http://www.rosaceae.org/gb/gbrowse/malus_x_domestica/?name=MDP0000296953","MDP0000296953")</f>
        <v>MDP0000296953</v>
      </c>
      <c r="D25299">
        <v>58.23</v>
      </c>
      <c r="E25299">
        <v>170</v>
      </c>
      <c r="F25299">
        <v>71</v>
      </c>
      <c r="G25299">
        <v>1</v>
      </c>
      <c r="H25299">
        <v>1</v>
      </c>
      <c r="I25299">
        <v>169</v>
      </c>
      <c r="J25299">
        <v>1</v>
      </c>
      <c r="K25299">
        <v>46</v>
      </c>
      <c r="L25299">
        <v>215</v>
      </c>
      <c r="M25299">
        <v>1</v>
      </c>
      <c r="N25299">
        <v>2.42067E-49</v>
      </c>
      <c r="O25299">
        <v>486</v>
      </c>
    </row>
    <row r="25300" spans="1:15" x14ac:dyDescent="0.25">
      <c r="A25300" t="s">
        <v>25313</v>
      </c>
      <c r="B25300">
        <v>414</v>
      </c>
      <c r="C25300" s="1" t="str">
        <f>HYPERLINK("http://www.rosaceae.org/gb/gbrowse/malus_x_domestica/?name=MDP0000319833","MDP0000319833")</f>
        <v>MDP0000319833</v>
      </c>
      <c r="D25300">
        <v>42.1</v>
      </c>
      <c r="E25300">
        <v>399</v>
      </c>
      <c r="F25300">
        <v>231</v>
      </c>
      <c r="G25300">
        <v>22</v>
      </c>
      <c r="H25300">
        <v>36</v>
      </c>
      <c r="I25300">
        <v>412</v>
      </c>
      <c r="J25300">
        <v>1</v>
      </c>
      <c r="K25300">
        <v>460</v>
      </c>
      <c r="L25300">
        <v>858</v>
      </c>
      <c r="M25300">
        <v>1</v>
      </c>
      <c r="N25300">
        <v>2.4980299999999999E-88</v>
      </c>
      <c r="O25300">
        <v>827</v>
      </c>
    </row>
    <row r="25301" spans="1:15" x14ac:dyDescent="0.25">
      <c r="A25301" t="s">
        <v>25314</v>
      </c>
      <c r="B25301">
        <v>215</v>
      </c>
      <c r="C25301" s="1" t="str">
        <f>HYPERLINK("http://www.rosaceae.org/gb/gbrowse/malus_x_domestica/?name=MDP0000914155","MDP0000914155")</f>
        <v>MDP0000914155</v>
      </c>
      <c r="D25301">
        <v>66.510000000000005</v>
      </c>
      <c r="E25301">
        <v>215</v>
      </c>
      <c r="F25301">
        <v>72</v>
      </c>
      <c r="G25301">
        <v>8</v>
      </c>
      <c r="H25301">
        <v>4</v>
      </c>
      <c r="I25301">
        <v>214</v>
      </c>
      <c r="J25301">
        <v>1</v>
      </c>
      <c r="K25301">
        <v>7</v>
      </c>
      <c r="L25301">
        <v>217</v>
      </c>
      <c r="M25301">
        <v>1</v>
      </c>
      <c r="N25301">
        <v>3.7795199999999999E-72</v>
      </c>
      <c r="O25301">
        <v>684</v>
      </c>
    </row>
    <row r="25302" spans="1:15" x14ac:dyDescent="0.25">
      <c r="A25302" t="s">
        <v>25315</v>
      </c>
      <c r="B25302">
        <v>159</v>
      </c>
      <c r="C25302" s="1" t="str">
        <f>HYPERLINK("http://www.rosaceae.org/gb/gbrowse/malus_x_domestica/?name=MDP0000570816","MDP0000570816")</f>
        <v>MDP0000570816</v>
      </c>
      <c r="D25302">
        <v>39.56</v>
      </c>
      <c r="E25302">
        <v>139</v>
      </c>
      <c r="F25302">
        <v>84</v>
      </c>
      <c r="G25302">
        <v>18</v>
      </c>
      <c r="H25302">
        <v>34</v>
      </c>
      <c r="I25302">
        <v>154</v>
      </c>
      <c r="J25302">
        <v>1</v>
      </c>
      <c r="K25302">
        <v>90</v>
      </c>
      <c r="L25302">
        <v>228</v>
      </c>
      <c r="M25302">
        <v>1</v>
      </c>
      <c r="N25302">
        <v>3.88974E-15</v>
      </c>
      <c r="O25302">
        <v>190</v>
      </c>
    </row>
    <row r="25303" spans="1:15" x14ac:dyDescent="0.25">
      <c r="A25303" t="s">
        <v>25316</v>
      </c>
      <c r="B25303">
        <v>407</v>
      </c>
      <c r="C25303" s="1" t="str">
        <f>HYPERLINK("http://www.rosaceae.org/gb/gbrowse/malus_x_domestica/?name=MDP0000130803","MDP0000130803")</f>
        <v>MDP0000130803</v>
      </c>
      <c r="D25303">
        <v>78.180000000000007</v>
      </c>
      <c r="E25303">
        <v>408</v>
      </c>
      <c r="F25303">
        <v>89</v>
      </c>
      <c r="G25303">
        <v>5</v>
      </c>
      <c r="H25303">
        <v>1</v>
      </c>
      <c r="I25303">
        <v>407</v>
      </c>
      <c r="J25303">
        <v>1</v>
      </c>
      <c r="K25303">
        <v>1</v>
      </c>
      <c r="L25303">
        <v>404</v>
      </c>
      <c r="M25303">
        <v>1</v>
      </c>
      <c r="N25303">
        <v>0</v>
      </c>
      <c r="O25303">
        <v>1624</v>
      </c>
    </row>
    <row r="25304" spans="1:15" x14ac:dyDescent="0.25">
      <c r="A25304" t="s">
        <v>25317</v>
      </c>
      <c r="B25304">
        <v>354</v>
      </c>
      <c r="C25304" s="1" t="str">
        <f>HYPERLINK("http://www.rosaceae.org/gb/gbrowse/malus_x_domestica/?name=MDP0000125601","MDP0000125601")</f>
        <v>MDP0000125601</v>
      </c>
      <c r="D25304">
        <v>73.33</v>
      </c>
      <c r="E25304">
        <v>360</v>
      </c>
      <c r="F25304">
        <v>96</v>
      </c>
      <c r="G25304">
        <v>14</v>
      </c>
      <c r="H25304">
        <v>1</v>
      </c>
      <c r="I25304">
        <v>354</v>
      </c>
      <c r="J25304">
        <v>1</v>
      </c>
      <c r="K25304">
        <v>1</v>
      </c>
      <c r="L25304">
        <v>352</v>
      </c>
      <c r="M25304">
        <v>1</v>
      </c>
      <c r="N25304">
        <v>6.3042499999999996E-146</v>
      </c>
      <c r="O25304">
        <v>1323</v>
      </c>
    </row>
    <row r="25305" spans="1:15" x14ac:dyDescent="0.25">
      <c r="A25305" t="s">
        <v>25318</v>
      </c>
      <c r="B25305">
        <v>175</v>
      </c>
      <c r="C25305" s="1" t="str">
        <f>HYPERLINK("http://www.rosaceae.org/gb/gbrowse/malus_x_domestica/?name=MDP0000278543","MDP0000278543")</f>
        <v>MDP0000278543</v>
      </c>
      <c r="D25305">
        <v>65.099999999999994</v>
      </c>
      <c r="E25305">
        <v>149</v>
      </c>
      <c r="F25305">
        <v>52</v>
      </c>
      <c r="G25305">
        <v>1</v>
      </c>
      <c r="H25305">
        <v>27</v>
      </c>
      <c r="I25305">
        <v>175</v>
      </c>
      <c r="J25305">
        <v>1</v>
      </c>
      <c r="K25305">
        <v>268</v>
      </c>
      <c r="L25305">
        <v>415</v>
      </c>
      <c r="M25305">
        <v>1</v>
      </c>
      <c r="N25305">
        <v>2.0365799999999999E-54</v>
      </c>
      <c r="O25305">
        <v>530</v>
      </c>
    </row>
    <row r="25306" spans="1:15" x14ac:dyDescent="0.25">
      <c r="A25306" t="s">
        <v>25319</v>
      </c>
      <c r="B25306">
        <v>463</v>
      </c>
      <c r="C25306" s="1" t="str">
        <f>HYPERLINK("http://www.rosaceae.org/gb/gbrowse/malus_x_domestica/?name=MDP0000161380","MDP0000161380")</f>
        <v>MDP0000161380</v>
      </c>
      <c r="D25306">
        <v>75.75</v>
      </c>
      <c r="E25306">
        <v>400</v>
      </c>
      <c r="F25306">
        <v>97</v>
      </c>
      <c r="G25306">
        <v>4</v>
      </c>
      <c r="H25306">
        <v>1</v>
      </c>
      <c r="I25306">
        <v>398</v>
      </c>
      <c r="J25306">
        <v>1</v>
      </c>
      <c r="K25306">
        <v>1</v>
      </c>
      <c r="L25306">
        <v>398</v>
      </c>
      <c r="M25306">
        <v>1</v>
      </c>
      <c r="N25306">
        <v>7.51846E-170</v>
      </c>
      <c r="O25306">
        <v>1531</v>
      </c>
    </row>
    <row r="25307" spans="1:15" x14ac:dyDescent="0.25">
      <c r="A25307" t="s">
        <v>25320</v>
      </c>
      <c r="B25307">
        <v>438</v>
      </c>
      <c r="C25307" s="1" t="str">
        <f>HYPERLINK("http://www.rosaceae.org/gb/gbrowse/malus_x_domestica/?name=MDP0000258717","MDP0000258717")</f>
        <v>MDP0000258717</v>
      </c>
      <c r="D25307">
        <v>74.290000000000006</v>
      </c>
      <c r="E25307">
        <v>214</v>
      </c>
      <c r="F25307">
        <v>55</v>
      </c>
      <c r="G25307">
        <v>9</v>
      </c>
      <c r="H25307">
        <v>231</v>
      </c>
      <c r="I25307">
        <v>438</v>
      </c>
      <c r="J25307">
        <v>1</v>
      </c>
      <c r="K25307">
        <v>11</v>
      </c>
      <c r="L25307">
        <v>221</v>
      </c>
      <c r="M25307">
        <v>1</v>
      </c>
      <c r="N25307">
        <v>1.56912E-80</v>
      </c>
      <c r="O25307">
        <v>760</v>
      </c>
    </row>
    <row r="25308" spans="1:15" x14ac:dyDescent="0.25">
      <c r="A25308" t="s">
        <v>25321</v>
      </c>
      <c r="B25308">
        <v>1090</v>
      </c>
      <c r="C25308" s="1" t="str">
        <f>HYPERLINK("http://www.rosaceae.org/gb/gbrowse/malus_x_domestica/?name=MDP0000143891","MDP0000143891")</f>
        <v>MDP0000143891</v>
      </c>
      <c r="D25308">
        <v>81.900000000000006</v>
      </c>
      <c r="E25308">
        <v>210</v>
      </c>
      <c r="F25308">
        <v>38</v>
      </c>
      <c r="G25308">
        <v>0</v>
      </c>
      <c r="H25308">
        <v>852</v>
      </c>
      <c r="I25308">
        <v>1061</v>
      </c>
      <c r="J25308">
        <v>1</v>
      </c>
      <c r="K25308">
        <v>1</v>
      </c>
      <c r="L25308">
        <v>210</v>
      </c>
      <c r="M25308">
        <v>1</v>
      </c>
      <c r="N25308">
        <v>3.4030899999999999E-103</v>
      </c>
      <c r="O25308">
        <v>960</v>
      </c>
    </row>
    <row r="25309" spans="1:15" x14ac:dyDescent="0.25">
      <c r="A25309" t="s">
        <v>25322</v>
      </c>
      <c r="B25309">
        <v>312</v>
      </c>
      <c r="C25309" s="1" t="str">
        <f>HYPERLINK("http://www.rosaceae.org/gb/gbrowse/malus_x_domestica/?name=MDP0000843137","MDP0000843137")</f>
        <v>MDP0000843137</v>
      </c>
      <c r="D25309">
        <v>78.180000000000007</v>
      </c>
      <c r="E25309">
        <v>243</v>
      </c>
      <c r="F25309">
        <v>53</v>
      </c>
      <c r="G25309">
        <v>3</v>
      </c>
      <c r="H25309">
        <v>71</v>
      </c>
      <c r="I25309">
        <v>312</v>
      </c>
      <c r="J25309">
        <v>1</v>
      </c>
      <c r="K25309">
        <v>17</v>
      </c>
      <c r="L25309">
        <v>257</v>
      </c>
      <c r="M25309">
        <v>1</v>
      </c>
      <c r="N25309">
        <v>1.80992E-102</v>
      </c>
      <c r="O25309">
        <v>948</v>
      </c>
    </row>
    <row r="25310" spans="1:15" x14ac:dyDescent="0.25">
      <c r="A25310" t="s">
        <v>25323</v>
      </c>
      <c r="B25310">
        <v>213</v>
      </c>
      <c r="C25310" s="1" t="str">
        <f>HYPERLINK("http://www.rosaceae.org/gb/gbrowse/malus_x_domestica/?name=MDP0000231530","MDP0000231530")</f>
        <v>MDP0000231530</v>
      </c>
      <c r="D25310">
        <v>58.82</v>
      </c>
      <c r="E25310">
        <v>102</v>
      </c>
      <c r="F25310">
        <v>42</v>
      </c>
      <c r="G25310">
        <v>0</v>
      </c>
      <c r="H25310">
        <v>41</v>
      </c>
      <c r="I25310">
        <v>142</v>
      </c>
      <c r="J25310">
        <v>1</v>
      </c>
      <c r="K25310">
        <v>31</v>
      </c>
      <c r="L25310">
        <v>132</v>
      </c>
      <c r="M25310">
        <v>1</v>
      </c>
      <c r="N25310">
        <v>2.1690100000000001E-28</v>
      </c>
      <c r="O25310">
        <v>307</v>
      </c>
    </row>
    <row r="25311" spans="1:15" x14ac:dyDescent="0.25">
      <c r="A25311" t="s">
        <v>25324</v>
      </c>
      <c r="B25311">
        <v>317</v>
      </c>
      <c r="C25311" s="1" t="str">
        <f>HYPERLINK("http://www.rosaceae.org/gb/gbrowse/malus_x_domestica/?name=MDP0000168012","MDP0000168012")</f>
        <v>MDP0000168012</v>
      </c>
      <c r="D25311">
        <v>67.16</v>
      </c>
      <c r="E25311">
        <v>335</v>
      </c>
      <c r="F25311">
        <v>110</v>
      </c>
      <c r="G25311">
        <v>44</v>
      </c>
      <c r="H25311">
        <v>1</v>
      </c>
      <c r="I25311">
        <v>316</v>
      </c>
      <c r="J25311">
        <v>1</v>
      </c>
      <c r="K25311">
        <v>1</v>
      </c>
      <c r="L25311">
        <v>310</v>
      </c>
      <c r="M25311">
        <v>1</v>
      </c>
      <c r="N25311">
        <v>1.6809199999999999E-122</v>
      </c>
      <c r="O25311">
        <v>1121</v>
      </c>
    </row>
    <row r="25312" spans="1:15" x14ac:dyDescent="0.25">
      <c r="A25312" t="s">
        <v>25325</v>
      </c>
      <c r="B25312">
        <v>214</v>
      </c>
      <c r="C25312" s="1" t="str">
        <f>HYPERLINK("http://www.rosaceae.org/gb/gbrowse/malus_x_domestica/?name=MDP0000292722","MDP0000292722")</f>
        <v>MDP0000292722</v>
      </c>
      <c r="D25312">
        <v>51.89</v>
      </c>
      <c r="E25312">
        <v>79</v>
      </c>
      <c r="F25312">
        <v>38</v>
      </c>
      <c r="G25312">
        <v>0</v>
      </c>
      <c r="H25312">
        <v>7</v>
      </c>
      <c r="I25312">
        <v>85</v>
      </c>
      <c r="J25312">
        <v>1</v>
      </c>
      <c r="K25312">
        <v>268</v>
      </c>
      <c r="L25312">
        <v>346</v>
      </c>
      <c r="M25312">
        <v>1</v>
      </c>
      <c r="N25312">
        <v>3.8379399999999999E-18</v>
      </c>
      <c r="O25312">
        <v>218</v>
      </c>
    </row>
    <row r="25313" spans="1:15" x14ac:dyDescent="0.25">
      <c r="A25313" t="s">
        <v>25326</v>
      </c>
      <c r="B25313">
        <v>71</v>
      </c>
      <c r="C25313" s="1" t="str">
        <f>HYPERLINK("http://www.rosaceae.org/gb/gbrowse/malus_x_domestica/?name=MDP0000172584","MDP0000172584")</f>
        <v>MDP0000172584</v>
      </c>
      <c r="D25313">
        <v>94.73</v>
      </c>
      <c r="E25313">
        <v>38</v>
      </c>
      <c r="F25313">
        <v>2</v>
      </c>
      <c r="G25313">
        <v>0</v>
      </c>
      <c r="H25313">
        <v>1</v>
      </c>
      <c r="I25313">
        <v>38</v>
      </c>
      <c r="J25313">
        <v>1</v>
      </c>
      <c r="K25313">
        <v>1</v>
      </c>
      <c r="L25313">
        <v>38</v>
      </c>
      <c r="M25313">
        <v>1</v>
      </c>
      <c r="N25313">
        <v>2.70528E-16</v>
      </c>
      <c r="O25313">
        <v>198</v>
      </c>
    </row>
    <row r="25314" spans="1:15" x14ac:dyDescent="0.25">
      <c r="A25314" t="s">
        <v>25327</v>
      </c>
      <c r="B25314">
        <v>357</v>
      </c>
      <c r="C25314" s="1" t="str">
        <f>HYPERLINK("http://www.rosaceae.org/gb/gbrowse/malus_x_domestica/?name=MDP0000198152","MDP0000198152")</f>
        <v>MDP0000198152</v>
      </c>
      <c r="D25314">
        <v>84.23</v>
      </c>
      <c r="E25314">
        <v>241</v>
      </c>
      <c r="F25314">
        <v>38</v>
      </c>
      <c r="G25314">
        <v>0</v>
      </c>
      <c r="H25314">
        <v>11</v>
      </c>
      <c r="I25314">
        <v>251</v>
      </c>
      <c r="J25314">
        <v>1</v>
      </c>
      <c r="K25314">
        <v>258</v>
      </c>
      <c r="L25314">
        <v>498</v>
      </c>
      <c r="M25314">
        <v>1</v>
      </c>
      <c r="N25314">
        <v>5.4451900000000003E-117</v>
      </c>
      <c r="O25314">
        <v>1074</v>
      </c>
    </row>
    <row r="25315" spans="1:15" x14ac:dyDescent="0.25">
      <c r="A25315" t="s">
        <v>25328</v>
      </c>
      <c r="B25315">
        <v>521</v>
      </c>
      <c r="C25315" s="1" t="str">
        <f>HYPERLINK("http://www.rosaceae.org/gb/gbrowse/malus_x_domestica/?name=MDP0000737308","MDP0000737308")</f>
        <v>MDP0000737308</v>
      </c>
      <c r="D25315">
        <v>63.65</v>
      </c>
      <c r="E25315">
        <v>531</v>
      </c>
      <c r="F25315">
        <v>193</v>
      </c>
      <c r="G25315">
        <v>14</v>
      </c>
      <c r="H25315">
        <v>1</v>
      </c>
      <c r="I25315">
        <v>521</v>
      </c>
      <c r="J25315">
        <v>1</v>
      </c>
      <c r="K25315">
        <v>1</v>
      </c>
      <c r="L25315">
        <v>527</v>
      </c>
      <c r="M25315">
        <v>1</v>
      </c>
      <c r="N25315">
        <v>0</v>
      </c>
      <c r="O25315">
        <v>1743</v>
      </c>
    </row>
    <row r="25316" spans="1:15" x14ac:dyDescent="0.25">
      <c r="A25316" t="s">
        <v>25329</v>
      </c>
      <c r="B25316">
        <v>220</v>
      </c>
      <c r="C25316" s="1" t="str">
        <f>HYPERLINK("http://www.rosaceae.org/gb/gbrowse/malus_x_domestica/?name=MDP0000363200","MDP0000363200")</f>
        <v>MDP0000363200</v>
      </c>
      <c r="D25316">
        <v>94.06</v>
      </c>
      <c r="E25316">
        <v>219</v>
      </c>
      <c r="F25316">
        <v>13</v>
      </c>
      <c r="G25316">
        <v>0</v>
      </c>
      <c r="H25316">
        <v>1</v>
      </c>
      <c r="I25316">
        <v>219</v>
      </c>
      <c r="J25316">
        <v>1</v>
      </c>
      <c r="K25316">
        <v>19</v>
      </c>
      <c r="L25316">
        <v>237</v>
      </c>
      <c r="M25316">
        <v>1</v>
      </c>
      <c r="N25316">
        <v>1.2292999999999999E-120</v>
      </c>
      <c r="O25316">
        <v>1103</v>
      </c>
    </row>
    <row r="25317" spans="1:15" x14ac:dyDescent="0.25">
      <c r="A25317" t="s">
        <v>25330</v>
      </c>
      <c r="B25317">
        <v>1214</v>
      </c>
      <c r="C25317" s="1" t="str">
        <f>HYPERLINK("http://www.rosaceae.org/gb/gbrowse/malus_x_domestica/?name=MDP0000247921","MDP0000247921")</f>
        <v>MDP0000247921</v>
      </c>
      <c r="D25317">
        <v>25.05</v>
      </c>
      <c r="E25317">
        <v>467</v>
      </c>
      <c r="F25317">
        <v>350</v>
      </c>
      <c r="G25317">
        <v>43</v>
      </c>
      <c r="H25317">
        <v>726</v>
      </c>
      <c r="I25317">
        <v>1188</v>
      </c>
      <c r="J25317">
        <v>1</v>
      </c>
      <c r="K25317">
        <v>700</v>
      </c>
      <c r="L25317">
        <v>1127</v>
      </c>
      <c r="M25317">
        <v>1</v>
      </c>
      <c r="N25317">
        <v>1.1919200000000001E-31</v>
      </c>
      <c r="O25317">
        <v>343</v>
      </c>
    </row>
    <row r="25318" spans="1:15" x14ac:dyDescent="0.25">
      <c r="A25318" t="s">
        <v>25331</v>
      </c>
      <c r="B25318">
        <v>765</v>
      </c>
      <c r="C25318" s="1" t="str">
        <f>HYPERLINK("http://www.rosaceae.org/gb/gbrowse/malus_x_domestica/?name=MDP0000929655","MDP0000929655")</f>
        <v>MDP0000929655</v>
      </c>
      <c r="D25318">
        <v>83.33</v>
      </c>
      <c r="E25318">
        <v>564</v>
      </c>
      <c r="F25318">
        <v>94</v>
      </c>
      <c r="G25318">
        <v>33</v>
      </c>
      <c r="H25318">
        <v>58</v>
      </c>
      <c r="I25318">
        <v>588</v>
      </c>
      <c r="J25318">
        <v>1</v>
      </c>
      <c r="K25318">
        <v>1</v>
      </c>
      <c r="L25318">
        <v>564</v>
      </c>
      <c r="M25318">
        <v>1</v>
      </c>
      <c r="N25318">
        <v>0</v>
      </c>
      <c r="O25318">
        <v>2418</v>
      </c>
    </row>
    <row r="25319" spans="1:15" x14ac:dyDescent="0.25">
      <c r="A25319" t="s">
        <v>25332</v>
      </c>
      <c r="B25319">
        <v>294</v>
      </c>
      <c r="C25319" s="1" t="str">
        <f>HYPERLINK("http://www.rosaceae.org/gb/gbrowse/malus_x_domestica/?name=MDP0000312342","MDP0000312342")</f>
        <v>MDP0000312342</v>
      </c>
      <c r="D25319">
        <v>28.47</v>
      </c>
      <c r="E25319">
        <v>302</v>
      </c>
      <c r="F25319">
        <v>216</v>
      </c>
      <c r="G25319">
        <v>66</v>
      </c>
      <c r="H25319">
        <v>6</v>
      </c>
      <c r="I25319">
        <v>257</v>
      </c>
      <c r="J25319">
        <v>1</v>
      </c>
      <c r="K25319">
        <v>5</v>
      </c>
      <c r="L25319">
        <v>290</v>
      </c>
      <c r="M25319">
        <v>1</v>
      </c>
      <c r="N25319">
        <v>6.2270800000000001E-19</v>
      </c>
      <c r="O25319">
        <v>227</v>
      </c>
    </row>
    <row r="25320" spans="1:15" x14ac:dyDescent="0.25">
      <c r="A25320" t="s">
        <v>25333</v>
      </c>
      <c r="B25320">
        <v>742</v>
      </c>
      <c r="C25320" s="1" t="str">
        <f>HYPERLINK("http://www.rosaceae.org/gb/gbrowse/malus_x_domestica/?name=MDP0000155098","MDP0000155098")</f>
        <v>MDP0000155098</v>
      </c>
      <c r="D25320">
        <v>75.81</v>
      </c>
      <c r="E25320">
        <v>339</v>
      </c>
      <c r="F25320">
        <v>82</v>
      </c>
      <c r="G25320">
        <v>27</v>
      </c>
      <c r="H25320">
        <v>32</v>
      </c>
      <c r="I25320">
        <v>361</v>
      </c>
      <c r="J25320">
        <v>1</v>
      </c>
      <c r="K25320">
        <v>58</v>
      </c>
      <c r="L25320">
        <v>378</v>
      </c>
      <c r="M25320">
        <v>1</v>
      </c>
      <c r="N25320">
        <v>1.01435E-137</v>
      </c>
      <c r="O25320">
        <v>1256</v>
      </c>
    </row>
    <row r="25321" spans="1:15" x14ac:dyDescent="0.25">
      <c r="A25321" t="s">
        <v>25334</v>
      </c>
      <c r="B25321">
        <v>397</v>
      </c>
      <c r="C25321" s="1" t="str">
        <f>HYPERLINK("http://www.rosaceae.org/gb/gbrowse/malus_x_domestica/?name=MDP0000163984","MDP0000163984")</f>
        <v>MDP0000163984</v>
      </c>
      <c r="D25321">
        <v>49.47</v>
      </c>
      <c r="E25321">
        <v>380</v>
      </c>
      <c r="F25321">
        <v>192</v>
      </c>
      <c r="G25321">
        <v>45</v>
      </c>
      <c r="H25321">
        <v>47</v>
      </c>
      <c r="I25321">
        <v>385</v>
      </c>
      <c r="J25321">
        <v>1</v>
      </c>
      <c r="K25321">
        <v>54</v>
      </c>
      <c r="L25321">
        <v>429</v>
      </c>
      <c r="M25321">
        <v>1</v>
      </c>
      <c r="N25321">
        <v>4.8577299999999998E-102</v>
      </c>
      <c r="O25321">
        <v>945</v>
      </c>
    </row>
    <row r="25322" spans="1:15" x14ac:dyDescent="0.25">
      <c r="A25322" t="s">
        <v>25335</v>
      </c>
      <c r="B25322">
        <v>168</v>
      </c>
      <c r="C25322" s="1" t="str">
        <f>HYPERLINK("http://www.rosaceae.org/gb/gbrowse/malus_x_domestica/?name=MDP0000259616","MDP0000259616")</f>
        <v>MDP0000259616</v>
      </c>
      <c r="D25322">
        <v>76.5</v>
      </c>
      <c r="E25322">
        <v>166</v>
      </c>
      <c r="F25322">
        <v>39</v>
      </c>
      <c r="G25322">
        <v>2</v>
      </c>
      <c r="H25322">
        <v>1</v>
      </c>
      <c r="I25322">
        <v>166</v>
      </c>
      <c r="J25322">
        <v>1</v>
      </c>
      <c r="K25322">
        <v>1</v>
      </c>
      <c r="L25322">
        <v>164</v>
      </c>
      <c r="M25322">
        <v>1</v>
      </c>
      <c r="N25322">
        <v>6.23937E-74</v>
      </c>
      <c r="O25322">
        <v>698</v>
      </c>
    </row>
    <row r="25323" spans="1:15" x14ac:dyDescent="0.25">
      <c r="A25323" t="s">
        <v>25336</v>
      </c>
      <c r="B25323">
        <v>206</v>
      </c>
      <c r="C25323" s="1" t="str">
        <f>HYPERLINK("http://www.rosaceae.org/gb/gbrowse/malus_x_domestica/?name=MDP0000121830","MDP0000121830")</f>
        <v>MDP0000121830</v>
      </c>
      <c r="D25323">
        <v>81.06</v>
      </c>
      <c r="E25323">
        <v>206</v>
      </c>
      <c r="F25323">
        <v>39</v>
      </c>
      <c r="G25323">
        <v>2</v>
      </c>
      <c r="H25323">
        <v>1</v>
      </c>
      <c r="I25323">
        <v>206</v>
      </c>
      <c r="J25323">
        <v>1</v>
      </c>
      <c r="K25323">
        <v>754</v>
      </c>
      <c r="L25323">
        <v>957</v>
      </c>
      <c r="M25323">
        <v>1</v>
      </c>
      <c r="N25323">
        <v>4.83377E-96</v>
      </c>
      <c r="O25323">
        <v>890</v>
      </c>
    </row>
    <row r="25324" spans="1:15" x14ac:dyDescent="0.25">
      <c r="A25324" t="s">
        <v>25337</v>
      </c>
      <c r="B25324">
        <v>303</v>
      </c>
      <c r="C25324" s="1" t="str">
        <f>HYPERLINK("http://www.rosaceae.org/gb/gbrowse/malus_x_domestica/?name=MDP0000442900","MDP0000442900")</f>
        <v>MDP0000442900</v>
      </c>
      <c r="D25324">
        <v>81.94</v>
      </c>
      <c r="E25324">
        <v>288</v>
      </c>
      <c r="F25324">
        <v>52</v>
      </c>
      <c r="G25324">
        <v>0</v>
      </c>
      <c r="H25324">
        <v>16</v>
      </c>
      <c r="I25324">
        <v>303</v>
      </c>
      <c r="J25324">
        <v>1</v>
      </c>
      <c r="K25324">
        <v>16</v>
      </c>
      <c r="L25324">
        <v>303</v>
      </c>
      <c r="M25324">
        <v>1</v>
      </c>
      <c r="N25324">
        <v>1.0309100000000001E-136</v>
      </c>
      <c r="O25324">
        <v>1243</v>
      </c>
    </row>
    <row r="25325" spans="1:15" x14ac:dyDescent="0.25">
      <c r="A25325" t="s">
        <v>25338</v>
      </c>
      <c r="B25325">
        <v>114</v>
      </c>
      <c r="C25325" s="1" t="str">
        <f>HYPERLINK("http://www.rosaceae.org/gb/gbrowse/malus_x_domestica/?name=MDP0000691215","MDP0000691215")</f>
        <v>MDP0000691215</v>
      </c>
      <c r="D25325">
        <v>71.42</v>
      </c>
      <c r="E25325">
        <v>112</v>
      </c>
      <c r="F25325">
        <v>32</v>
      </c>
      <c r="G25325">
        <v>31</v>
      </c>
      <c r="H25325">
        <v>1</v>
      </c>
      <c r="I25325">
        <v>81</v>
      </c>
      <c r="J25325">
        <v>1</v>
      </c>
      <c r="K25325">
        <v>1</v>
      </c>
      <c r="L25325">
        <v>112</v>
      </c>
      <c r="M25325">
        <v>1</v>
      </c>
      <c r="N25325">
        <v>4.6961900000000003E-39</v>
      </c>
      <c r="O25325">
        <v>394</v>
      </c>
    </row>
    <row r="25326" spans="1:15" x14ac:dyDescent="0.25">
      <c r="A25326" t="s">
        <v>25339</v>
      </c>
      <c r="B25326">
        <v>87</v>
      </c>
      <c r="C25326" s="1" t="str">
        <f>HYPERLINK("http://www.rosaceae.org/gb/gbrowse/malus_x_domestica/?name=MDP0000302984","MDP0000302984")</f>
        <v>MDP0000302984</v>
      </c>
      <c r="D25326">
        <v>55.76</v>
      </c>
      <c r="E25326">
        <v>52</v>
      </c>
      <c r="F25326">
        <v>23</v>
      </c>
      <c r="G25326">
        <v>0</v>
      </c>
      <c r="H25326">
        <v>11</v>
      </c>
      <c r="I25326">
        <v>62</v>
      </c>
      <c r="J25326">
        <v>1</v>
      </c>
      <c r="K25326">
        <v>546</v>
      </c>
      <c r="L25326">
        <v>597</v>
      </c>
      <c r="M25326">
        <v>1</v>
      </c>
      <c r="N25326">
        <v>2.3240200000000001E-11</v>
      </c>
      <c r="O25326">
        <v>155</v>
      </c>
    </row>
    <row r="25327" spans="1:15" x14ac:dyDescent="0.25">
      <c r="A25327" t="s">
        <v>25340</v>
      </c>
      <c r="B25327">
        <v>260</v>
      </c>
      <c r="C25327" s="1" t="str">
        <f>HYPERLINK("http://www.rosaceae.org/gb/gbrowse/malus_x_domestica/?name=MDP0000252378","MDP0000252378")</f>
        <v>MDP0000252378</v>
      </c>
      <c r="D25327">
        <v>48.52</v>
      </c>
      <c r="E25327">
        <v>136</v>
      </c>
      <c r="F25327">
        <v>70</v>
      </c>
      <c r="G25327">
        <v>2</v>
      </c>
      <c r="H25327">
        <v>126</v>
      </c>
      <c r="I25327">
        <v>260</v>
      </c>
      <c r="J25327">
        <v>1</v>
      </c>
      <c r="K25327">
        <v>245</v>
      </c>
      <c r="L25327">
        <v>379</v>
      </c>
      <c r="M25327">
        <v>1</v>
      </c>
      <c r="N25327">
        <v>8.0358199999999999E-29</v>
      </c>
      <c r="O25327">
        <v>312</v>
      </c>
    </row>
    <row r="25328" spans="1:15" x14ac:dyDescent="0.25">
      <c r="A25328" t="s">
        <v>25341</v>
      </c>
      <c r="B25328">
        <v>688</v>
      </c>
      <c r="C25328" s="1" t="str">
        <f>HYPERLINK("http://www.rosaceae.org/gb/gbrowse/malus_x_domestica/?name=MDP0000251865","MDP0000251865")</f>
        <v>MDP0000251865</v>
      </c>
      <c r="D25328">
        <v>61.03</v>
      </c>
      <c r="E25328">
        <v>698</v>
      </c>
      <c r="F25328">
        <v>272</v>
      </c>
      <c r="G25328">
        <v>30</v>
      </c>
      <c r="H25328">
        <v>3</v>
      </c>
      <c r="I25328">
        <v>688</v>
      </c>
      <c r="J25328">
        <v>1</v>
      </c>
      <c r="K25328">
        <v>171</v>
      </c>
      <c r="L25328">
        <v>850</v>
      </c>
      <c r="M25328">
        <v>1</v>
      </c>
      <c r="N25328">
        <v>0</v>
      </c>
      <c r="O25328">
        <v>2047</v>
      </c>
    </row>
    <row r="25329" spans="1:15" x14ac:dyDescent="0.25">
      <c r="A25329" t="s">
        <v>25342</v>
      </c>
      <c r="B25329">
        <v>190</v>
      </c>
      <c r="C25329" s="1" t="str">
        <f>HYPERLINK("http://www.rosaceae.org/gb/gbrowse/malus_x_domestica/?name=MDP0000279955","MDP0000279955")</f>
        <v>MDP0000279955</v>
      </c>
      <c r="D25329">
        <v>49.39</v>
      </c>
      <c r="E25329">
        <v>83</v>
      </c>
      <c r="F25329">
        <v>42</v>
      </c>
      <c r="G25329">
        <v>4</v>
      </c>
      <c r="H25329">
        <v>9</v>
      </c>
      <c r="I25329">
        <v>88</v>
      </c>
      <c r="J25329">
        <v>1</v>
      </c>
      <c r="K25329">
        <v>281</v>
      </c>
      <c r="L25329">
        <v>362</v>
      </c>
      <c r="M25329">
        <v>1</v>
      </c>
      <c r="N25329">
        <v>6.16116E-17</v>
      </c>
      <c r="O25329">
        <v>207</v>
      </c>
    </row>
    <row r="25330" spans="1:15" x14ac:dyDescent="0.25">
      <c r="A25330" t="s">
        <v>25343</v>
      </c>
      <c r="B25330">
        <v>322</v>
      </c>
      <c r="C25330" s="1" t="str">
        <f>HYPERLINK("http://www.rosaceae.org/gb/gbrowse/malus_x_domestica/?name=MDP0000127951","MDP0000127951")</f>
        <v>MDP0000127951</v>
      </c>
      <c r="D25330">
        <v>44.65</v>
      </c>
      <c r="E25330">
        <v>159</v>
      </c>
      <c r="F25330">
        <v>88</v>
      </c>
      <c r="G25330">
        <v>10</v>
      </c>
      <c r="H25330">
        <v>165</v>
      </c>
      <c r="I25330">
        <v>322</v>
      </c>
      <c r="J25330">
        <v>1</v>
      </c>
      <c r="K25330">
        <v>341</v>
      </c>
      <c r="L25330">
        <v>490</v>
      </c>
      <c r="M25330">
        <v>1</v>
      </c>
      <c r="N25330">
        <v>1.38546E-34</v>
      </c>
      <c r="O25330">
        <v>363</v>
      </c>
    </row>
    <row r="25331" spans="1:15" x14ac:dyDescent="0.25">
      <c r="A25331" t="s">
        <v>25344</v>
      </c>
      <c r="B25331">
        <v>317</v>
      </c>
      <c r="C25331" s="1" t="str">
        <f>HYPERLINK("http://www.rosaceae.org/gb/gbrowse/malus_x_domestica/?name=MDP0000251575","MDP0000251575")</f>
        <v>MDP0000251575</v>
      </c>
      <c r="D25331">
        <v>60</v>
      </c>
      <c r="E25331">
        <v>320</v>
      </c>
      <c r="F25331">
        <v>128</v>
      </c>
      <c r="G25331">
        <v>56</v>
      </c>
      <c r="H25331">
        <v>1</v>
      </c>
      <c r="I25331">
        <v>317</v>
      </c>
      <c r="J25331">
        <v>1</v>
      </c>
      <c r="K25331">
        <v>1</v>
      </c>
      <c r="L25331">
        <v>267</v>
      </c>
      <c r="M25331">
        <v>1</v>
      </c>
      <c r="N25331">
        <v>1.28675E-94</v>
      </c>
      <c r="O25331">
        <v>880</v>
      </c>
    </row>
    <row r="25332" spans="1:15" x14ac:dyDescent="0.25">
      <c r="A25332" t="s">
        <v>25345</v>
      </c>
      <c r="B25332">
        <v>157</v>
      </c>
      <c r="C25332" s="1" t="str">
        <f>HYPERLINK("http://www.rosaceae.org/gb/gbrowse/malus_x_domestica/?name=MDP0000136497","MDP0000136497")</f>
        <v>MDP0000136497</v>
      </c>
      <c r="D25332">
        <v>60.26</v>
      </c>
      <c r="E25332">
        <v>151</v>
      </c>
      <c r="F25332">
        <v>60</v>
      </c>
      <c r="G25332">
        <v>0</v>
      </c>
      <c r="H25332">
        <v>7</v>
      </c>
      <c r="I25332">
        <v>157</v>
      </c>
      <c r="J25332">
        <v>1</v>
      </c>
      <c r="K25332">
        <v>33</v>
      </c>
      <c r="L25332">
        <v>183</v>
      </c>
      <c r="M25332">
        <v>1</v>
      </c>
      <c r="N25332">
        <v>8.1044700000000004E-50</v>
      </c>
      <c r="O25332">
        <v>489</v>
      </c>
    </row>
    <row r="25333" spans="1:15" x14ac:dyDescent="0.25">
      <c r="A25333" t="s">
        <v>25346</v>
      </c>
      <c r="B25333">
        <v>324</v>
      </c>
      <c r="C25333" s="1" t="str">
        <f>HYPERLINK("http://www.rosaceae.org/gb/gbrowse/malus_x_domestica/?name=MDP0000120959","MDP0000120959")</f>
        <v>MDP0000120959</v>
      </c>
      <c r="D25333">
        <v>74.34</v>
      </c>
      <c r="E25333">
        <v>304</v>
      </c>
      <c r="F25333">
        <v>78</v>
      </c>
      <c r="G25333">
        <v>1</v>
      </c>
      <c r="H25333">
        <v>22</v>
      </c>
      <c r="I25333">
        <v>324</v>
      </c>
      <c r="J25333">
        <v>1</v>
      </c>
      <c r="K25333">
        <v>22</v>
      </c>
      <c r="L25333">
        <v>325</v>
      </c>
      <c r="M25333">
        <v>1</v>
      </c>
      <c r="N25333">
        <v>1.00581E-134</v>
      </c>
      <c r="O25333">
        <v>1226</v>
      </c>
    </row>
    <row r="25334" spans="1:15" x14ac:dyDescent="0.25">
      <c r="A25334" t="s">
        <v>25347</v>
      </c>
      <c r="B25334">
        <v>352</v>
      </c>
      <c r="C25334" s="1" t="str">
        <f>HYPERLINK("http://www.rosaceae.org/gb/gbrowse/malus_x_domestica/?name=MDP0000258343","MDP0000258343")</f>
        <v>MDP0000258343</v>
      </c>
      <c r="D25334">
        <v>87.28</v>
      </c>
      <c r="E25334">
        <v>346</v>
      </c>
      <c r="F25334">
        <v>44</v>
      </c>
      <c r="G25334">
        <v>0</v>
      </c>
      <c r="H25334">
        <v>6</v>
      </c>
      <c r="I25334">
        <v>351</v>
      </c>
      <c r="J25334">
        <v>1</v>
      </c>
      <c r="K25334">
        <v>9</v>
      </c>
      <c r="L25334">
        <v>354</v>
      </c>
      <c r="M25334">
        <v>1</v>
      </c>
      <c r="N25334">
        <v>2.9723400000000001E-177</v>
      </c>
      <c r="O25334">
        <v>1593</v>
      </c>
    </row>
    <row r="25335" spans="1:15" x14ac:dyDescent="0.25">
      <c r="A25335" t="s">
        <v>25348</v>
      </c>
      <c r="B25335">
        <v>851</v>
      </c>
      <c r="C25335" s="1" t="str">
        <f>HYPERLINK("http://www.rosaceae.org/gb/gbrowse/malus_x_domestica/?name=MDP0000766269","MDP0000766269")</f>
        <v>MDP0000766269</v>
      </c>
      <c r="D25335">
        <v>57.18</v>
      </c>
      <c r="E25335">
        <v>953</v>
      </c>
      <c r="F25335">
        <v>408</v>
      </c>
      <c r="G25335">
        <v>120</v>
      </c>
      <c r="H25335">
        <v>1</v>
      </c>
      <c r="I25335">
        <v>851</v>
      </c>
      <c r="J25335">
        <v>1</v>
      </c>
      <c r="K25335">
        <v>1</v>
      </c>
      <c r="L25335">
        <v>935</v>
      </c>
      <c r="M25335">
        <v>1</v>
      </c>
      <c r="N25335">
        <v>0</v>
      </c>
      <c r="O25335">
        <v>2417</v>
      </c>
    </row>
    <row r="25336" spans="1:15" x14ac:dyDescent="0.25">
      <c r="A25336" t="s">
        <v>25349</v>
      </c>
      <c r="B25336">
        <v>359</v>
      </c>
      <c r="C25336" s="1" t="str">
        <f>HYPERLINK("http://www.rosaceae.org/gb/gbrowse/malus_x_domestica/?name=MDP0000322203","MDP0000322203")</f>
        <v>MDP0000322203</v>
      </c>
      <c r="D25336">
        <v>78.510000000000005</v>
      </c>
      <c r="E25336">
        <v>349</v>
      </c>
      <c r="F25336">
        <v>75</v>
      </c>
      <c r="G25336">
        <v>20</v>
      </c>
      <c r="H25336">
        <v>1</v>
      </c>
      <c r="I25336">
        <v>348</v>
      </c>
      <c r="J25336">
        <v>1</v>
      </c>
      <c r="K25336">
        <v>286</v>
      </c>
      <c r="L25336">
        <v>615</v>
      </c>
      <c r="M25336">
        <v>1</v>
      </c>
      <c r="N25336">
        <v>1.6481000000000001E-151</v>
      </c>
      <c r="O25336">
        <v>1371</v>
      </c>
    </row>
    <row r="25337" spans="1:15" x14ac:dyDescent="0.25">
      <c r="A25337" t="s">
        <v>25350</v>
      </c>
      <c r="B25337">
        <v>645</v>
      </c>
      <c r="C25337" s="1" t="str">
        <f>HYPERLINK("http://www.rosaceae.org/gb/gbrowse/malus_x_domestica/?name=MDP0000288752","MDP0000288752")</f>
        <v>MDP0000288752</v>
      </c>
      <c r="D25337">
        <v>54.55</v>
      </c>
      <c r="E25337">
        <v>658</v>
      </c>
      <c r="F25337">
        <v>299</v>
      </c>
      <c r="G25337">
        <v>54</v>
      </c>
      <c r="H25337">
        <v>2</v>
      </c>
      <c r="I25337">
        <v>632</v>
      </c>
      <c r="J25337">
        <v>1</v>
      </c>
      <c r="K25337">
        <v>20</v>
      </c>
      <c r="L25337">
        <v>650</v>
      </c>
      <c r="M25337">
        <v>1</v>
      </c>
      <c r="N25337">
        <v>0</v>
      </c>
      <c r="O25337">
        <v>1650</v>
      </c>
    </row>
    <row r="25338" spans="1:15" x14ac:dyDescent="0.25">
      <c r="A25338" t="s">
        <v>25351</v>
      </c>
      <c r="B25338">
        <v>214</v>
      </c>
      <c r="C25338" s="1" t="str">
        <f>HYPERLINK("http://www.rosaceae.org/gb/gbrowse/malus_x_domestica/?name=MDP0000307543","MDP0000307543")</f>
        <v>MDP0000307543</v>
      </c>
      <c r="D25338">
        <v>65.56</v>
      </c>
      <c r="E25338">
        <v>151</v>
      </c>
      <c r="F25338">
        <v>52</v>
      </c>
      <c r="G25338">
        <v>0</v>
      </c>
      <c r="H25338">
        <v>5</v>
      </c>
      <c r="I25338">
        <v>155</v>
      </c>
      <c r="J25338">
        <v>1</v>
      </c>
      <c r="K25338">
        <v>23</v>
      </c>
      <c r="L25338">
        <v>173</v>
      </c>
      <c r="M25338">
        <v>1</v>
      </c>
      <c r="N25338">
        <v>3.9530200000000001E-60</v>
      </c>
      <c r="O25338">
        <v>581</v>
      </c>
    </row>
    <row r="25339" spans="1:15" x14ac:dyDescent="0.25">
      <c r="A25339" t="s">
        <v>25352</v>
      </c>
      <c r="B25339">
        <v>256</v>
      </c>
      <c r="C25339" s="1" t="str">
        <f>HYPERLINK("http://www.rosaceae.org/gb/gbrowse/malus_x_domestica/?name=MDP0000261642","MDP0000261642")</f>
        <v>MDP0000261642</v>
      </c>
      <c r="D25339">
        <v>72.59</v>
      </c>
      <c r="E25339">
        <v>208</v>
      </c>
      <c r="F25339">
        <v>57</v>
      </c>
      <c r="G25339">
        <v>3</v>
      </c>
      <c r="H25339">
        <v>51</v>
      </c>
      <c r="I25339">
        <v>256</v>
      </c>
      <c r="J25339">
        <v>1</v>
      </c>
      <c r="K25339">
        <v>145</v>
      </c>
      <c r="L25339">
        <v>351</v>
      </c>
      <c r="M25339">
        <v>1</v>
      </c>
      <c r="N25339">
        <v>2.7114599999999998E-91</v>
      </c>
      <c r="O25339">
        <v>850</v>
      </c>
    </row>
    <row r="25340" spans="1:15" x14ac:dyDescent="0.25">
      <c r="A25340" t="s">
        <v>25353</v>
      </c>
      <c r="B25340">
        <v>504</v>
      </c>
      <c r="C25340" s="1" t="str">
        <f>HYPERLINK("http://www.rosaceae.org/gb/gbrowse/malus_x_domestica/?name=MDP0000760132","MDP0000760132")</f>
        <v>MDP0000760132</v>
      </c>
      <c r="D25340">
        <v>73.05</v>
      </c>
      <c r="E25340">
        <v>501</v>
      </c>
      <c r="F25340">
        <v>135</v>
      </c>
      <c r="G25340">
        <v>6</v>
      </c>
      <c r="H25340">
        <v>1</v>
      </c>
      <c r="I25340">
        <v>498</v>
      </c>
      <c r="J25340">
        <v>1</v>
      </c>
      <c r="K25340">
        <v>1</v>
      </c>
      <c r="L25340">
        <v>498</v>
      </c>
      <c r="M25340">
        <v>1</v>
      </c>
      <c r="N25340">
        <v>0</v>
      </c>
      <c r="O25340">
        <v>1937</v>
      </c>
    </row>
    <row r="25341" spans="1:15" x14ac:dyDescent="0.25">
      <c r="A25341" t="s">
        <v>25354</v>
      </c>
      <c r="B25341">
        <v>144</v>
      </c>
      <c r="C25341" s="1" t="str">
        <f>HYPERLINK("http://www.rosaceae.org/gb/gbrowse/malus_x_domestica/?name=MDP0000248111","MDP0000248111")</f>
        <v>MDP0000248111</v>
      </c>
      <c r="D25341">
        <v>53.47</v>
      </c>
      <c r="E25341">
        <v>144</v>
      </c>
      <c r="F25341">
        <v>67</v>
      </c>
      <c r="G25341">
        <v>0</v>
      </c>
      <c r="H25341">
        <v>1</v>
      </c>
      <c r="I25341">
        <v>144</v>
      </c>
      <c r="J25341">
        <v>1</v>
      </c>
      <c r="K25341">
        <v>24</v>
      </c>
      <c r="L25341">
        <v>167</v>
      </c>
      <c r="M25341">
        <v>1</v>
      </c>
      <c r="N25341">
        <v>1.4732500000000001E-44</v>
      </c>
      <c r="O25341">
        <v>443</v>
      </c>
    </row>
    <row r="25342" spans="1:15" x14ac:dyDescent="0.25">
      <c r="A25342" t="s">
        <v>25355</v>
      </c>
      <c r="B25342">
        <v>118</v>
      </c>
      <c r="C25342" s="1" t="str">
        <f>HYPERLINK("http://www.rosaceae.org/gb/gbrowse/malus_x_domestica/?name=MDP0000199618","MDP0000199618")</f>
        <v>MDP0000199618</v>
      </c>
      <c r="D25342">
        <v>100</v>
      </c>
      <c r="E25342">
        <v>28</v>
      </c>
      <c r="F25342">
        <v>0</v>
      </c>
      <c r="G25342">
        <v>0</v>
      </c>
      <c r="H25342">
        <v>91</v>
      </c>
      <c r="I25342">
        <v>118</v>
      </c>
      <c r="J25342">
        <v>1</v>
      </c>
      <c r="K25342">
        <v>153</v>
      </c>
      <c r="L25342">
        <v>180</v>
      </c>
      <c r="M25342">
        <v>1</v>
      </c>
      <c r="N25342">
        <v>2.1312099999999999E-11</v>
      </c>
      <c r="O25342">
        <v>156</v>
      </c>
    </row>
    <row r="25343" spans="1:15" x14ac:dyDescent="0.25">
      <c r="A25343" t="s">
        <v>25356</v>
      </c>
      <c r="B25343">
        <v>361</v>
      </c>
      <c r="C25343" s="1" t="str">
        <f>HYPERLINK("http://www.rosaceae.org/gb/gbrowse/malus_x_domestica/?name=MDP0000183967","MDP0000183967")</f>
        <v>MDP0000183967</v>
      </c>
      <c r="D25343">
        <v>85.55</v>
      </c>
      <c r="E25343">
        <v>360</v>
      </c>
      <c r="F25343">
        <v>52</v>
      </c>
      <c r="G25343">
        <v>3</v>
      </c>
      <c r="H25343">
        <v>1</v>
      </c>
      <c r="I25343">
        <v>360</v>
      </c>
      <c r="J25343">
        <v>1</v>
      </c>
      <c r="K25343">
        <v>69</v>
      </c>
      <c r="L25343">
        <v>425</v>
      </c>
      <c r="M25343">
        <v>1</v>
      </c>
      <c r="N25343">
        <v>8.8913400000000002E-178</v>
      </c>
      <c r="O25343">
        <v>1598</v>
      </c>
    </row>
    <row r="25344" spans="1:15" x14ac:dyDescent="0.25">
      <c r="A25344" t="s">
        <v>25357</v>
      </c>
      <c r="B25344">
        <v>537</v>
      </c>
      <c r="C25344" s="1" t="str">
        <f>HYPERLINK("http://www.rosaceae.org/gb/gbrowse/malus_x_domestica/?name=MDP0000419433","MDP0000419433")</f>
        <v>MDP0000419433</v>
      </c>
      <c r="D25344">
        <v>62.7</v>
      </c>
      <c r="E25344">
        <v>539</v>
      </c>
      <c r="F25344">
        <v>201</v>
      </c>
      <c r="G25344">
        <v>24</v>
      </c>
      <c r="H25344">
        <v>1</v>
      </c>
      <c r="I25344">
        <v>537</v>
      </c>
      <c r="J25344">
        <v>1</v>
      </c>
      <c r="K25344">
        <v>126</v>
      </c>
      <c r="L25344">
        <v>642</v>
      </c>
      <c r="M25344">
        <v>1</v>
      </c>
      <c r="N25344">
        <v>4.1078600000000002E-180</v>
      </c>
      <c r="O25344">
        <v>1620</v>
      </c>
    </row>
    <row r="25345" spans="1:15" x14ac:dyDescent="0.25">
      <c r="A25345" t="s">
        <v>25358</v>
      </c>
      <c r="B25345">
        <v>259</v>
      </c>
      <c r="C25345" s="1" t="str">
        <f>HYPERLINK("http://www.rosaceae.org/gb/gbrowse/malus_x_domestica/?name=MDP0000628052","MDP0000628052")</f>
        <v>MDP0000628052</v>
      </c>
      <c r="D25345">
        <v>83.54</v>
      </c>
      <c r="E25345">
        <v>158</v>
      </c>
      <c r="F25345">
        <v>26</v>
      </c>
      <c r="G25345">
        <v>0</v>
      </c>
      <c r="H25345">
        <v>37</v>
      </c>
      <c r="I25345">
        <v>194</v>
      </c>
      <c r="J25345">
        <v>1</v>
      </c>
      <c r="K25345">
        <v>145</v>
      </c>
      <c r="L25345">
        <v>302</v>
      </c>
      <c r="M25345">
        <v>1</v>
      </c>
      <c r="N25345">
        <v>8.3437400000000005E-79</v>
      </c>
      <c r="O25345">
        <v>743</v>
      </c>
    </row>
    <row r="25346" spans="1:15" x14ac:dyDescent="0.25">
      <c r="A25346" t="s">
        <v>25359</v>
      </c>
      <c r="B25346">
        <v>546</v>
      </c>
      <c r="C25346" s="1" t="str">
        <f>HYPERLINK("http://www.rosaceae.org/gb/gbrowse/malus_x_domestica/?name=MDP0000254058","MDP0000254058")</f>
        <v>MDP0000254058</v>
      </c>
      <c r="D25346">
        <v>73.58</v>
      </c>
      <c r="E25346">
        <v>549</v>
      </c>
      <c r="F25346">
        <v>145</v>
      </c>
      <c r="G25346">
        <v>5</v>
      </c>
      <c r="H25346">
        <v>1</v>
      </c>
      <c r="I25346">
        <v>544</v>
      </c>
      <c r="J25346">
        <v>1</v>
      </c>
      <c r="K25346">
        <v>1</v>
      </c>
      <c r="L25346">
        <v>549</v>
      </c>
      <c r="M25346">
        <v>1</v>
      </c>
      <c r="N25346">
        <v>0</v>
      </c>
      <c r="O25346">
        <v>2083</v>
      </c>
    </row>
    <row r="25347" spans="1:15" x14ac:dyDescent="0.25">
      <c r="A25347" t="s">
        <v>25360</v>
      </c>
      <c r="B25347">
        <v>502</v>
      </c>
      <c r="C25347" s="1" t="str">
        <f>HYPERLINK("http://www.rosaceae.org/gb/gbrowse/malus_x_domestica/?name=MDP0000453190","MDP0000453190")</f>
        <v>MDP0000453190</v>
      </c>
      <c r="D25347">
        <v>75.36</v>
      </c>
      <c r="E25347">
        <v>475</v>
      </c>
      <c r="F25347">
        <v>117</v>
      </c>
      <c r="G25347">
        <v>5</v>
      </c>
      <c r="H25347">
        <v>32</v>
      </c>
      <c r="I25347">
        <v>501</v>
      </c>
      <c r="J25347">
        <v>1</v>
      </c>
      <c r="K25347">
        <v>31</v>
      </c>
      <c r="L25347">
        <v>505</v>
      </c>
      <c r="M25347">
        <v>1</v>
      </c>
      <c r="N25347">
        <v>0</v>
      </c>
      <c r="O25347">
        <v>1924</v>
      </c>
    </row>
    <row r="25348" spans="1:15" x14ac:dyDescent="0.25">
      <c r="A25348" t="s">
        <v>25361</v>
      </c>
      <c r="B25348">
        <v>444</v>
      </c>
      <c r="C25348" s="1" t="str">
        <f>HYPERLINK("http://www.rosaceae.org/gb/gbrowse/malus_x_domestica/?name=MDP0000270258","MDP0000270258")</f>
        <v>MDP0000270258</v>
      </c>
      <c r="D25348">
        <v>63.17</v>
      </c>
      <c r="E25348">
        <v>353</v>
      </c>
      <c r="F25348">
        <v>130</v>
      </c>
      <c r="G25348">
        <v>11</v>
      </c>
      <c r="H25348">
        <v>79</v>
      </c>
      <c r="I25348">
        <v>429</v>
      </c>
      <c r="J25348">
        <v>1</v>
      </c>
      <c r="K25348">
        <v>79</v>
      </c>
      <c r="L25348">
        <v>422</v>
      </c>
      <c r="M25348">
        <v>1</v>
      </c>
      <c r="N25348">
        <v>6.5255499999999996E-124</v>
      </c>
      <c r="O25348">
        <v>1135</v>
      </c>
    </row>
    <row r="25349" spans="1:15" x14ac:dyDescent="0.25">
      <c r="A25349" t="s">
        <v>25362</v>
      </c>
      <c r="B25349">
        <v>455</v>
      </c>
      <c r="C25349" s="1" t="str">
        <f>HYPERLINK("http://www.rosaceae.org/gb/gbrowse/malus_x_domestica/?name=MDP0000143130","MDP0000143130")</f>
        <v>MDP0000143130</v>
      </c>
      <c r="D25349">
        <v>69.540000000000006</v>
      </c>
      <c r="E25349">
        <v>463</v>
      </c>
      <c r="F25349">
        <v>141</v>
      </c>
      <c r="G25349">
        <v>12</v>
      </c>
      <c r="H25349">
        <v>1</v>
      </c>
      <c r="I25349">
        <v>451</v>
      </c>
      <c r="J25349">
        <v>1</v>
      </c>
      <c r="K25349">
        <v>1</v>
      </c>
      <c r="L25349">
        <v>463</v>
      </c>
      <c r="M25349">
        <v>1</v>
      </c>
      <c r="N25349">
        <v>0</v>
      </c>
      <c r="O25349">
        <v>1708</v>
      </c>
    </row>
    <row r="25350" spans="1:15" x14ac:dyDescent="0.25">
      <c r="A25350" t="s">
        <v>25363</v>
      </c>
      <c r="B25350">
        <v>868</v>
      </c>
      <c r="C25350" s="1" t="str">
        <f>HYPERLINK("http://www.rosaceae.org/gb/gbrowse/malus_x_domestica/?name=MDP0000213552","MDP0000213552")</f>
        <v>MDP0000213552</v>
      </c>
      <c r="D25350">
        <v>65.11</v>
      </c>
      <c r="E25350">
        <v>880</v>
      </c>
      <c r="F25350">
        <v>307</v>
      </c>
      <c r="G25350">
        <v>19</v>
      </c>
      <c r="H25350">
        <v>1</v>
      </c>
      <c r="I25350">
        <v>868</v>
      </c>
      <c r="J25350">
        <v>1</v>
      </c>
      <c r="K25350">
        <v>1</v>
      </c>
      <c r="L25350">
        <v>873</v>
      </c>
      <c r="M25350">
        <v>1</v>
      </c>
      <c r="N25350">
        <v>0</v>
      </c>
      <c r="O25350">
        <v>2820</v>
      </c>
    </row>
    <row r="25351" spans="1:15" x14ac:dyDescent="0.25">
      <c r="A25351" t="s">
        <v>25364</v>
      </c>
      <c r="B25351">
        <v>185</v>
      </c>
      <c r="C25351" s="1" t="str">
        <f>HYPERLINK("http://www.rosaceae.org/gb/gbrowse/malus_x_domestica/?name=MDP0000172961","MDP0000172961")</f>
        <v>MDP0000172961</v>
      </c>
      <c r="D25351">
        <v>69.599999999999994</v>
      </c>
      <c r="E25351">
        <v>125</v>
      </c>
      <c r="F25351">
        <v>38</v>
      </c>
      <c r="G25351">
        <v>1</v>
      </c>
      <c r="H25351">
        <v>62</v>
      </c>
      <c r="I25351">
        <v>185</v>
      </c>
      <c r="J25351">
        <v>1</v>
      </c>
      <c r="K25351">
        <v>8</v>
      </c>
      <c r="L25351">
        <v>132</v>
      </c>
      <c r="M25351">
        <v>1</v>
      </c>
      <c r="N25351">
        <v>4.8830499999999997E-45</v>
      </c>
      <c r="O25351">
        <v>449</v>
      </c>
    </row>
    <row r="25352" spans="1:15" x14ac:dyDescent="0.25">
      <c r="A25352" t="s">
        <v>25365</v>
      </c>
      <c r="B25352">
        <v>327</v>
      </c>
      <c r="C25352" s="1" t="str">
        <f>HYPERLINK("http://www.rosaceae.org/gb/gbrowse/malus_x_domestica/?name=MDP0000945267","MDP0000945267")</f>
        <v>MDP0000945267</v>
      </c>
      <c r="D25352">
        <v>65.209999999999994</v>
      </c>
      <c r="E25352">
        <v>299</v>
      </c>
      <c r="F25352">
        <v>104</v>
      </c>
      <c r="G25352">
        <v>30</v>
      </c>
      <c r="H25352">
        <v>1</v>
      </c>
      <c r="I25352">
        <v>276</v>
      </c>
      <c r="J25352">
        <v>1</v>
      </c>
      <c r="K25352">
        <v>1</v>
      </c>
      <c r="L25352">
        <v>292</v>
      </c>
      <c r="M25352">
        <v>1</v>
      </c>
      <c r="N25352">
        <v>1.08311E-98</v>
      </c>
      <c r="O25352">
        <v>916</v>
      </c>
    </row>
    <row r="25353" spans="1:15" x14ac:dyDescent="0.25">
      <c r="A25353" t="s">
        <v>25366</v>
      </c>
      <c r="B25353">
        <v>1512</v>
      </c>
      <c r="C25353" s="1" t="str">
        <f>HYPERLINK("http://www.rosaceae.org/gb/gbrowse/malus_x_domestica/?name=MDP0000316445","MDP0000316445")</f>
        <v>MDP0000316445</v>
      </c>
      <c r="D25353">
        <v>35.08</v>
      </c>
      <c r="E25353">
        <v>305</v>
      </c>
      <c r="F25353">
        <v>198</v>
      </c>
      <c r="G25353">
        <v>12</v>
      </c>
      <c r="H25353">
        <v>625</v>
      </c>
      <c r="I25353">
        <v>922</v>
      </c>
      <c r="J25353">
        <v>1</v>
      </c>
      <c r="K25353">
        <v>963</v>
      </c>
      <c r="L25353">
        <v>1262</v>
      </c>
      <c r="M25353">
        <v>1</v>
      </c>
      <c r="N25353">
        <v>1.60758E-41</v>
      </c>
      <c r="O25353">
        <v>429</v>
      </c>
    </row>
    <row r="25354" spans="1:15" x14ac:dyDescent="0.25">
      <c r="A25354" t="s">
        <v>25367</v>
      </c>
      <c r="B25354">
        <v>459</v>
      </c>
      <c r="C25354" s="1" t="str">
        <f>HYPERLINK("http://www.rosaceae.org/gb/gbrowse/malus_x_domestica/?name=MDP0000859733","MDP0000859733")</f>
        <v>MDP0000859733</v>
      </c>
      <c r="D25354">
        <v>83.04</v>
      </c>
      <c r="E25354">
        <v>466</v>
      </c>
      <c r="F25354">
        <v>79</v>
      </c>
      <c r="G25354">
        <v>11</v>
      </c>
      <c r="H25354">
        <v>1</v>
      </c>
      <c r="I25354">
        <v>458</v>
      </c>
      <c r="J25354">
        <v>1</v>
      </c>
      <c r="K25354">
        <v>9</v>
      </c>
      <c r="L25354">
        <v>471</v>
      </c>
      <c r="M25354">
        <v>1</v>
      </c>
      <c r="N25354">
        <v>0</v>
      </c>
      <c r="O25354">
        <v>2037</v>
      </c>
    </row>
    <row r="25355" spans="1:15" x14ac:dyDescent="0.25">
      <c r="A25355" t="s">
        <v>25368</v>
      </c>
      <c r="B25355">
        <v>323</v>
      </c>
      <c r="C25355" s="1" t="str">
        <f>HYPERLINK("http://www.rosaceae.org/gb/gbrowse/malus_x_domestica/?name=MDP0000283708","MDP0000283708")</f>
        <v>MDP0000283708</v>
      </c>
      <c r="D25355">
        <v>53.51</v>
      </c>
      <c r="E25355">
        <v>299</v>
      </c>
      <c r="F25355">
        <v>139</v>
      </c>
      <c r="G25355">
        <v>9</v>
      </c>
      <c r="H25355">
        <v>29</v>
      </c>
      <c r="I25355">
        <v>320</v>
      </c>
      <c r="J25355">
        <v>1</v>
      </c>
      <c r="K25355">
        <v>586</v>
      </c>
      <c r="L25355">
        <v>882</v>
      </c>
      <c r="M25355">
        <v>1</v>
      </c>
      <c r="N25355">
        <v>3.0852000000000001E-80</v>
      </c>
      <c r="O25355">
        <v>756</v>
      </c>
    </row>
    <row r="25356" spans="1:15" x14ac:dyDescent="0.25">
      <c r="A25356" t="s">
        <v>25369</v>
      </c>
      <c r="B25356">
        <v>249</v>
      </c>
      <c r="C25356" s="1" t="str">
        <f>HYPERLINK("http://www.rosaceae.org/gb/gbrowse/malus_x_domestica/?name=MDP0000462214","MDP0000462214")</f>
        <v>MDP0000462214</v>
      </c>
      <c r="D25356">
        <v>76.290000000000006</v>
      </c>
      <c r="E25356">
        <v>232</v>
      </c>
      <c r="F25356">
        <v>55</v>
      </c>
      <c r="G25356">
        <v>1</v>
      </c>
      <c r="H25356">
        <v>10</v>
      </c>
      <c r="I25356">
        <v>241</v>
      </c>
      <c r="J25356">
        <v>1</v>
      </c>
      <c r="K25356">
        <v>24</v>
      </c>
      <c r="L25356">
        <v>254</v>
      </c>
      <c r="M25356">
        <v>1</v>
      </c>
      <c r="N25356">
        <v>1.9754499999999999E-103</v>
      </c>
      <c r="O25356">
        <v>955</v>
      </c>
    </row>
    <row r="25357" spans="1:15" x14ac:dyDescent="0.25">
      <c r="A25357" t="s">
        <v>25370</v>
      </c>
      <c r="B25357">
        <v>125</v>
      </c>
      <c r="C25357" s="1" t="str">
        <f>HYPERLINK("http://www.rosaceae.org/gb/gbrowse/malus_x_domestica/?name=MDP0000238650","MDP0000238650")</f>
        <v>MDP0000238650</v>
      </c>
      <c r="D25357">
        <v>74.5</v>
      </c>
      <c r="E25357">
        <v>102</v>
      </c>
      <c r="F25357">
        <v>26</v>
      </c>
      <c r="G25357">
        <v>3</v>
      </c>
      <c r="H25357">
        <v>18</v>
      </c>
      <c r="I25357">
        <v>116</v>
      </c>
      <c r="J25357">
        <v>1</v>
      </c>
      <c r="K25357">
        <v>152</v>
      </c>
      <c r="L25357">
        <v>253</v>
      </c>
      <c r="M25357">
        <v>1</v>
      </c>
      <c r="N25357">
        <v>3.0050799999999998E-39</v>
      </c>
      <c r="O25357">
        <v>396</v>
      </c>
    </row>
    <row r="25358" spans="1:15" x14ac:dyDescent="0.25">
      <c r="A25358" t="s">
        <v>25371</v>
      </c>
      <c r="B25358">
        <v>413</v>
      </c>
      <c r="C25358" s="1" t="str">
        <f>HYPERLINK("http://www.rosaceae.org/gb/gbrowse/malus_x_domestica/?name=MDP0000139742","MDP0000139742")</f>
        <v>MDP0000139742</v>
      </c>
      <c r="D25358">
        <v>36.89</v>
      </c>
      <c r="E25358">
        <v>309</v>
      </c>
      <c r="F25358">
        <v>195</v>
      </c>
      <c r="G25358">
        <v>15</v>
      </c>
      <c r="H25358">
        <v>101</v>
      </c>
      <c r="I25358">
        <v>409</v>
      </c>
      <c r="J25358">
        <v>1</v>
      </c>
      <c r="K25358">
        <v>265</v>
      </c>
      <c r="L25358">
        <v>558</v>
      </c>
      <c r="M25358">
        <v>1</v>
      </c>
      <c r="N25358">
        <v>2.1890099999999999E-43</v>
      </c>
      <c r="O25358">
        <v>440</v>
      </c>
    </row>
    <row r="25359" spans="1:15" x14ac:dyDescent="0.25">
      <c r="A25359" t="s">
        <v>25372</v>
      </c>
      <c r="B25359">
        <v>195</v>
      </c>
      <c r="C25359" s="1" t="str">
        <f>HYPERLINK("http://www.rosaceae.org/gb/gbrowse/malus_x_domestica/?name=MDP0000136726","MDP0000136726")</f>
        <v>MDP0000136726</v>
      </c>
      <c r="D25359">
        <v>41.76</v>
      </c>
      <c r="E25359">
        <v>170</v>
      </c>
      <c r="F25359">
        <v>99</v>
      </c>
      <c r="G25359">
        <v>23</v>
      </c>
      <c r="H25359">
        <v>12</v>
      </c>
      <c r="I25359">
        <v>163</v>
      </c>
      <c r="J25359">
        <v>1</v>
      </c>
      <c r="K25359">
        <v>955</v>
      </c>
      <c r="L25359">
        <v>1119</v>
      </c>
      <c r="M25359">
        <v>1</v>
      </c>
      <c r="N25359">
        <v>2.0848500000000001E-23</v>
      </c>
      <c r="O25359">
        <v>263</v>
      </c>
    </row>
    <row r="25360" spans="1:15" x14ac:dyDescent="0.25">
      <c r="A25360" t="s">
        <v>25373</v>
      </c>
      <c r="B25360">
        <v>249</v>
      </c>
      <c r="C25360" s="1" t="str">
        <f>HYPERLINK("http://www.rosaceae.org/gb/gbrowse/malus_x_domestica/?name=MDP0000656640","MDP0000656640")</f>
        <v>MDP0000656640</v>
      </c>
      <c r="D25360">
        <v>92.34</v>
      </c>
      <c r="E25360">
        <v>222</v>
      </c>
      <c r="F25360">
        <v>17</v>
      </c>
      <c r="G25360">
        <v>0</v>
      </c>
      <c r="H25360">
        <v>1</v>
      </c>
      <c r="I25360">
        <v>222</v>
      </c>
      <c r="J25360">
        <v>1</v>
      </c>
      <c r="K25360">
        <v>1</v>
      </c>
      <c r="L25360">
        <v>222</v>
      </c>
      <c r="M25360">
        <v>1</v>
      </c>
      <c r="N25360">
        <v>7.5323799999999994E-120</v>
      </c>
      <c r="O25360">
        <v>1096</v>
      </c>
    </row>
    <row r="25361" spans="1:15" x14ac:dyDescent="0.25">
      <c r="A25361" t="s">
        <v>25374</v>
      </c>
      <c r="B25361">
        <v>376</v>
      </c>
      <c r="C25361" s="1" t="str">
        <f>HYPERLINK("http://www.rosaceae.org/gb/gbrowse/malus_x_domestica/?name=MDP0000893979","MDP0000893979")</f>
        <v>MDP0000893979</v>
      </c>
      <c r="D25361">
        <v>48.42</v>
      </c>
      <c r="E25361">
        <v>382</v>
      </c>
      <c r="F25361">
        <v>197</v>
      </c>
      <c r="G25361">
        <v>14</v>
      </c>
      <c r="H25361">
        <v>1</v>
      </c>
      <c r="I25361">
        <v>376</v>
      </c>
      <c r="J25361">
        <v>1</v>
      </c>
      <c r="K25361">
        <v>1</v>
      </c>
      <c r="L25361">
        <v>374</v>
      </c>
      <c r="M25361">
        <v>1</v>
      </c>
      <c r="N25361">
        <v>1.93104E-87</v>
      </c>
      <c r="O25361">
        <v>819</v>
      </c>
    </row>
    <row r="25362" spans="1:15" x14ac:dyDescent="0.25">
      <c r="A25362" t="s">
        <v>25375</v>
      </c>
      <c r="B25362">
        <v>725</v>
      </c>
      <c r="C25362" s="1" t="str">
        <f>HYPERLINK("http://www.rosaceae.org/gb/gbrowse/malus_x_domestica/?name=MDP0000167082","MDP0000167082")</f>
        <v>MDP0000167082</v>
      </c>
      <c r="D25362">
        <v>77.739999999999995</v>
      </c>
      <c r="E25362">
        <v>755</v>
      </c>
      <c r="F25362">
        <v>168</v>
      </c>
      <c r="G25362">
        <v>41</v>
      </c>
      <c r="H25362">
        <v>1</v>
      </c>
      <c r="I25362">
        <v>725</v>
      </c>
      <c r="J25362">
        <v>1</v>
      </c>
      <c r="K25362">
        <v>1</v>
      </c>
      <c r="L25362">
        <v>744</v>
      </c>
      <c r="M25362">
        <v>1</v>
      </c>
      <c r="N25362">
        <v>0</v>
      </c>
      <c r="O25362">
        <v>2975</v>
      </c>
    </row>
    <row r="25363" spans="1:15" x14ac:dyDescent="0.25">
      <c r="A25363" t="s">
        <v>25376</v>
      </c>
      <c r="B25363">
        <v>257</v>
      </c>
      <c r="C25363" s="1" t="str">
        <f>HYPERLINK("http://www.rosaceae.org/gb/gbrowse/malus_x_domestica/?name=MDP0000302554","MDP0000302554")</f>
        <v>MDP0000302554</v>
      </c>
      <c r="D25363">
        <v>30.09</v>
      </c>
      <c r="E25363">
        <v>216</v>
      </c>
      <c r="F25363">
        <v>151</v>
      </c>
      <c r="G25363">
        <v>13</v>
      </c>
      <c r="H25363">
        <v>29</v>
      </c>
      <c r="I25363">
        <v>232</v>
      </c>
      <c r="J25363">
        <v>1</v>
      </c>
      <c r="K25363">
        <v>230</v>
      </c>
      <c r="L25363">
        <v>444</v>
      </c>
      <c r="M25363">
        <v>1</v>
      </c>
      <c r="N25363">
        <v>6.15434E-20</v>
      </c>
      <c r="O25363">
        <v>235</v>
      </c>
    </row>
    <row r="25364" spans="1:15" x14ac:dyDescent="0.25">
      <c r="A25364" t="s">
        <v>25377</v>
      </c>
      <c r="B25364">
        <v>668</v>
      </c>
      <c r="C25364" s="1" t="str">
        <f>HYPERLINK("http://www.rosaceae.org/gb/gbrowse/malus_x_domestica/?name=MDP0000416522","MDP0000416522")</f>
        <v>MDP0000416522</v>
      </c>
      <c r="D25364">
        <v>74.430000000000007</v>
      </c>
      <c r="E25364">
        <v>661</v>
      </c>
      <c r="F25364">
        <v>169</v>
      </c>
      <c r="G25364">
        <v>6</v>
      </c>
      <c r="H25364">
        <v>10</v>
      </c>
      <c r="I25364">
        <v>667</v>
      </c>
      <c r="J25364">
        <v>1</v>
      </c>
      <c r="K25364">
        <v>31</v>
      </c>
      <c r="L25364">
        <v>688</v>
      </c>
      <c r="M25364">
        <v>1</v>
      </c>
      <c r="N25364">
        <v>0</v>
      </c>
      <c r="O25364">
        <v>2502</v>
      </c>
    </row>
    <row r="25365" spans="1:15" x14ac:dyDescent="0.25">
      <c r="A25365" t="s">
        <v>25378</v>
      </c>
      <c r="B25365">
        <v>170</v>
      </c>
      <c r="C25365" s="1" t="str">
        <f>HYPERLINK("http://www.rosaceae.org/gb/gbrowse/malus_x_domestica/?name=MDP0000243858","MDP0000243858")</f>
        <v>MDP0000243858</v>
      </c>
      <c r="D25365">
        <v>62.5</v>
      </c>
      <c r="E25365">
        <v>144</v>
      </c>
      <c r="F25365">
        <v>54</v>
      </c>
      <c r="G25365">
        <v>10</v>
      </c>
      <c r="H25365">
        <v>35</v>
      </c>
      <c r="I25365">
        <v>170</v>
      </c>
      <c r="J25365">
        <v>1</v>
      </c>
      <c r="K25365">
        <v>23</v>
      </c>
      <c r="L25365">
        <v>164</v>
      </c>
      <c r="M25365">
        <v>1</v>
      </c>
      <c r="N25365">
        <v>8.5930399999999995E-43</v>
      </c>
      <c r="O25365">
        <v>429</v>
      </c>
    </row>
    <row r="25366" spans="1:15" x14ac:dyDescent="0.25">
      <c r="A25366" t="s">
        <v>25379</v>
      </c>
      <c r="B25366">
        <v>313</v>
      </c>
      <c r="C25366" s="1" t="str">
        <f>HYPERLINK("http://www.rosaceae.org/gb/gbrowse/malus_x_domestica/?name=MDP0000279645","MDP0000279645")</f>
        <v>MDP0000279645</v>
      </c>
      <c r="D25366">
        <v>74.67</v>
      </c>
      <c r="E25366">
        <v>308</v>
      </c>
      <c r="F25366">
        <v>78</v>
      </c>
      <c r="G25366">
        <v>6</v>
      </c>
      <c r="H25366">
        <v>9</v>
      </c>
      <c r="I25366">
        <v>313</v>
      </c>
      <c r="J25366">
        <v>1</v>
      </c>
      <c r="K25366">
        <v>4</v>
      </c>
      <c r="L25366">
        <v>308</v>
      </c>
      <c r="M25366">
        <v>1</v>
      </c>
      <c r="N25366">
        <v>5.0354700000000002E-129</v>
      </c>
      <c r="O25366">
        <v>1177</v>
      </c>
    </row>
    <row r="25367" spans="1:15" x14ac:dyDescent="0.25">
      <c r="A25367" t="s">
        <v>25380</v>
      </c>
      <c r="B25367">
        <v>2522</v>
      </c>
      <c r="C25367" s="1" t="str">
        <f>HYPERLINK("http://www.rosaceae.org/gb/gbrowse/malus_x_domestica/?name=MDP0000188067","MDP0000188067")</f>
        <v>MDP0000188067</v>
      </c>
      <c r="D25367">
        <v>79.98</v>
      </c>
      <c r="E25367">
        <v>1289</v>
      </c>
      <c r="F25367">
        <v>258</v>
      </c>
      <c r="G25367">
        <v>40</v>
      </c>
      <c r="H25367">
        <v>789</v>
      </c>
      <c r="I25367">
        <v>2061</v>
      </c>
      <c r="J25367">
        <v>1</v>
      </c>
      <c r="K25367">
        <v>5</v>
      </c>
      <c r="L25367">
        <v>1269</v>
      </c>
      <c r="M25367">
        <v>1</v>
      </c>
      <c r="N25367">
        <v>0</v>
      </c>
      <c r="O25367">
        <v>5296</v>
      </c>
    </row>
    <row r="25368" spans="1:15" x14ac:dyDescent="0.25">
      <c r="A25368" t="s">
        <v>25381</v>
      </c>
      <c r="B25368">
        <v>107</v>
      </c>
      <c r="C25368" s="1" t="str">
        <f>HYPERLINK("http://www.rosaceae.org/gb/gbrowse/malus_x_domestica/?name=MDP0000251733","MDP0000251733")</f>
        <v>MDP0000251733</v>
      </c>
      <c r="D25368">
        <v>57.95</v>
      </c>
      <c r="E25368">
        <v>88</v>
      </c>
      <c r="F25368">
        <v>37</v>
      </c>
      <c r="G25368">
        <v>0</v>
      </c>
      <c r="H25368">
        <v>1</v>
      </c>
      <c r="I25368">
        <v>88</v>
      </c>
      <c r="J25368">
        <v>1</v>
      </c>
      <c r="K25368">
        <v>1</v>
      </c>
      <c r="L25368">
        <v>88</v>
      </c>
      <c r="M25368">
        <v>1</v>
      </c>
      <c r="N25368">
        <v>2.0241200000000001E-25</v>
      </c>
      <c r="O25368">
        <v>277</v>
      </c>
    </row>
    <row r="25369" spans="1:15" x14ac:dyDescent="0.25">
      <c r="A25369" t="s">
        <v>25382</v>
      </c>
      <c r="B25369">
        <v>1242</v>
      </c>
      <c r="C25369" s="1" t="str">
        <f>HYPERLINK("http://www.rosaceae.org/gb/gbrowse/malus_x_domestica/?name=MDP0000254701","MDP0000254701")</f>
        <v>MDP0000254701</v>
      </c>
      <c r="D25369">
        <v>53.58</v>
      </c>
      <c r="E25369">
        <v>209</v>
      </c>
      <c r="F25369">
        <v>97</v>
      </c>
      <c r="G25369">
        <v>3</v>
      </c>
      <c r="H25369">
        <v>976</v>
      </c>
      <c r="I25369">
        <v>1184</v>
      </c>
      <c r="J25369">
        <v>1</v>
      </c>
      <c r="K25369">
        <v>1</v>
      </c>
      <c r="L25369">
        <v>206</v>
      </c>
      <c r="M25369">
        <v>1</v>
      </c>
      <c r="N25369">
        <v>1.5967100000000001E-59</v>
      </c>
      <c r="O25369">
        <v>584</v>
      </c>
    </row>
    <row r="25370" spans="1:15" x14ac:dyDescent="0.25">
      <c r="A25370" t="s">
        <v>25383</v>
      </c>
      <c r="B25370">
        <v>178</v>
      </c>
      <c r="C25370" s="1" t="str">
        <f>HYPERLINK("http://www.rosaceae.org/gb/gbrowse/malus_x_domestica/?name=MDP0000399295","MDP0000399295")</f>
        <v>MDP0000399295</v>
      </c>
      <c r="D25370">
        <v>75.459999999999994</v>
      </c>
      <c r="E25370">
        <v>163</v>
      </c>
      <c r="F25370">
        <v>40</v>
      </c>
      <c r="G25370">
        <v>8</v>
      </c>
      <c r="H25370">
        <v>24</v>
      </c>
      <c r="I25370">
        <v>178</v>
      </c>
      <c r="J25370">
        <v>1</v>
      </c>
      <c r="K25370">
        <v>26</v>
      </c>
      <c r="L25370">
        <v>188</v>
      </c>
      <c r="M25370">
        <v>1</v>
      </c>
      <c r="N25370">
        <v>1.0370199999999999E-67</v>
      </c>
      <c r="O25370">
        <v>645</v>
      </c>
    </row>
    <row r="25371" spans="1:15" x14ac:dyDescent="0.25">
      <c r="A25371" t="s">
        <v>25384</v>
      </c>
      <c r="B25371">
        <v>159</v>
      </c>
      <c r="C25371" s="1" t="str">
        <f>HYPERLINK("http://www.rosaceae.org/gb/gbrowse/malus_x_domestica/?name=MDP0000835324","MDP0000835324")</f>
        <v>MDP0000835324</v>
      </c>
      <c r="D25371">
        <v>57.77</v>
      </c>
      <c r="E25371">
        <v>135</v>
      </c>
      <c r="F25371">
        <v>57</v>
      </c>
      <c r="G25371">
        <v>12</v>
      </c>
      <c r="H25371">
        <v>1</v>
      </c>
      <c r="I25371">
        <v>123</v>
      </c>
      <c r="J25371">
        <v>1</v>
      </c>
      <c r="K25371">
        <v>1</v>
      </c>
      <c r="L25371">
        <v>135</v>
      </c>
      <c r="M25371">
        <v>1</v>
      </c>
      <c r="N25371">
        <v>6.3233299999999999E-37</v>
      </c>
      <c r="O25371">
        <v>378</v>
      </c>
    </row>
    <row r="25372" spans="1:15" x14ac:dyDescent="0.25">
      <c r="A25372" t="s">
        <v>25385</v>
      </c>
      <c r="B25372">
        <v>91</v>
      </c>
      <c r="C25372" s="1" t="str">
        <f>HYPERLINK("http://www.rosaceae.org/gb/gbrowse/malus_x_domestica/?name=MDP0000231304","MDP0000231304")</f>
        <v>MDP0000231304</v>
      </c>
      <c r="D25372">
        <v>85.45</v>
      </c>
      <c r="E25372">
        <v>55</v>
      </c>
      <c r="F25372">
        <v>8</v>
      </c>
      <c r="G25372">
        <v>0</v>
      </c>
      <c r="H25372">
        <v>1</v>
      </c>
      <c r="I25372">
        <v>55</v>
      </c>
      <c r="J25372">
        <v>1</v>
      </c>
      <c r="K25372">
        <v>392</v>
      </c>
      <c r="L25372">
        <v>446</v>
      </c>
      <c r="M25372">
        <v>1</v>
      </c>
      <c r="N25372">
        <v>1.4036199999999999E-21</v>
      </c>
      <c r="O25372">
        <v>244</v>
      </c>
    </row>
    <row r="25373" spans="1:15" x14ac:dyDescent="0.25">
      <c r="A25373" t="s">
        <v>25386</v>
      </c>
      <c r="B25373">
        <v>270</v>
      </c>
      <c r="C25373" s="1" t="str">
        <f>HYPERLINK("http://www.rosaceae.org/gb/gbrowse/malus_x_domestica/?name=MDP0000670228","MDP0000670228")</f>
        <v>MDP0000670228</v>
      </c>
      <c r="D25373">
        <v>32.35</v>
      </c>
      <c r="E25373">
        <v>170</v>
      </c>
      <c r="F25373">
        <v>115</v>
      </c>
      <c r="G25373">
        <v>32</v>
      </c>
      <c r="H25373">
        <v>75</v>
      </c>
      <c r="I25373">
        <v>212</v>
      </c>
      <c r="J25373">
        <v>1</v>
      </c>
      <c r="K25373">
        <v>154</v>
      </c>
      <c r="L25373">
        <v>323</v>
      </c>
      <c r="M25373">
        <v>1</v>
      </c>
      <c r="N25373">
        <v>3.6547899999999999E-17</v>
      </c>
      <c r="O25373">
        <v>211</v>
      </c>
    </row>
    <row r="25374" spans="1:15" x14ac:dyDescent="0.25">
      <c r="A25374" t="s">
        <v>25387</v>
      </c>
      <c r="B25374">
        <v>593</v>
      </c>
      <c r="C25374" s="1" t="str">
        <f>HYPERLINK("http://www.rosaceae.org/gb/gbrowse/malus_x_domestica/?name=MDP0000175212","MDP0000175212")</f>
        <v>MDP0000175212</v>
      </c>
      <c r="D25374">
        <v>78.58</v>
      </c>
      <c r="E25374">
        <v>565</v>
      </c>
      <c r="F25374">
        <v>121</v>
      </c>
      <c r="G25374">
        <v>9</v>
      </c>
      <c r="H25374">
        <v>12</v>
      </c>
      <c r="I25374">
        <v>575</v>
      </c>
      <c r="J25374">
        <v>1</v>
      </c>
      <c r="K25374">
        <v>37</v>
      </c>
      <c r="L25374">
        <v>593</v>
      </c>
      <c r="M25374">
        <v>1</v>
      </c>
      <c r="N25374">
        <v>0</v>
      </c>
      <c r="O25374">
        <v>2322</v>
      </c>
    </row>
    <row r="25375" spans="1:15" x14ac:dyDescent="0.25">
      <c r="A25375" t="s">
        <v>25388</v>
      </c>
      <c r="B25375">
        <v>396</v>
      </c>
      <c r="C25375" s="1" t="str">
        <f>HYPERLINK("http://www.rosaceae.org/gb/gbrowse/malus_x_domestica/?name=MDP0000226294","MDP0000226294")</f>
        <v>MDP0000226294</v>
      </c>
      <c r="D25375">
        <v>44.41</v>
      </c>
      <c r="E25375">
        <v>394</v>
      </c>
      <c r="F25375">
        <v>219</v>
      </c>
      <c r="G25375">
        <v>21</v>
      </c>
      <c r="H25375">
        <v>4</v>
      </c>
      <c r="I25375">
        <v>394</v>
      </c>
      <c r="J25375">
        <v>1</v>
      </c>
      <c r="K25375">
        <v>428</v>
      </c>
      <c r="L25375">
        <v>803</v>
      </c>
      <c r="M25375">
        <v>1</v>
      </c>
      <c r="N25375">
        <v>1.24897E-84</v>
      </c>
      <c r="O25375">
        <v>795</v>
      </c>
    </row>
    <row r="25376" spans="1:15" x14ac:dyDescent="0.25">
      <c r="A25376" t="s">
        <v>25389</v>
      </c>
      <c r="B25376">
        <v>186</v>
      </c>
      <c r="C25376" s="1" t="str">
        <f>HYPERLINK("http://www.rosaceae.org/gb/gbrowse/malus_x_domestica/?name=MDP0000906732","MDP0000906732")</f>
        <v>MDP0000906732</v>
      </c>
      <c r="D25376">
        <v>79.25</v>
      </c>
      <c r="E25376">
        <v>188</v>
      </c>
      <c r="F25376">
        <v>39</v>
      </c>
      <c r="G25376">
        <v>2</v>
      </c>
      <c r="H25376">
        <v>1</v>
      </c>
      <c r="I25376">
        <v>186</v>
      </c>
      <c r="J25376">
        <v>1</v>
      </c>
      <c r="K25376">
        <v>1</v>
      </c>
      <c r="L25376">
        <v>188</v>
      </c>
      <c r="M25376">
        <v>1</v>
      </c>
      <c r="N25376">
        <v>1.46853E-84</v>
      </c>
      <c r="O25376">
        <v>790</v>
      </c>
    </row>
    <row r="25377" spans="1:15" x14ac:dyDescent="0.25">
      <c r="A25377" t="s">
        <v>25390</v>
      </c>
      <c r="B25377">
        <v>464</v>
      </c>
      <c r="C25377" s="1" t="str">
        <f>HYPERLINK("http://www.rosaceae.org/gb/gbrowse/malus_x_domestica/?name=MDP0000160444","MDP0000160444")</f>
        <v>MDP0000160444</v>
      </c>
      <c r="D25377">
        <v>70.86</v>
      </c>
      <c r="E25377">
        <v>405</v>
      </c>
      <c r="F25377">
        <v>118</v>
      </c>
      <c r="G25377">
        <v>50</v>
      </c>
      <c r="H25377">
        <v>101</v>
      </c>
      <c r="I25377">
        <v>455</v>
      </c>
      <c r="J25377">
        <v>1</v>
      </c>
      <c r="K25377">
        <v>157</v>
      </c>
      <c r="L25377">
        <v>561</v>
      </c>
      <c r="M25377">
        <v>1</v>
      </c>
      <c r="N25377">
        <v>1.27426E-172</v>
      </c>
      <c r="O25377">
        <v>1555</v>
      </c>
    </row>
    <row r="25378" spans="1:15" x14ac:dyDescent="0.25">
      <c r="A25378" t="s">
        <v>25391</v>
      </c>
      <c r="B25378">
        <v>427</v>
      </c>
      <c r="C25378" s="1" t="str">
        <f>HYPERLINK("http://www.rosaceae.org/gb/gbrowse/malus_x_domestica/?name=MDP0000805895","MDP0000805895")</f>
        <v>MDP0000805895</v>
      </c>
      <c r="D25378">
        <v>64.41</v>
      </c>
      <c r="E25378">
        <v>430</v>
      </c>
      <c r="F25378">
        <v>153</v>
      </c>
      <c r="G25378">
        <v>10</v>
      </c>
      <c r="H25378">
        <v>1</v>
      </c>
      <c r="I25378">
        <v>427</v>
      </c>
      <c r="J25378">
        <v>1</v>
      </c>
      <c r="K25378">
        <v>1</v>
      </c>
      <c r="L25378">
        <v>423</v>
      </c>
      <c r="M25378">
        <v>1</v>
      </c>
      <c r="N25378">
        <v>3.0205899999999999E-151</v>
      </c>
      <c r="O25378">
        <v>1370</v>
      </c>
    </row>
    <row r="25379" spans="1:15" x14ac:dyDescent="0.25">
      <c r="A25379" t="s">
        <v>25392</v>
      </c>
      <c r="B25379">
        <v>251</v>
      </c>
      <c r="C25379" s="1" t="str">
        <f>HYPERLINK("http://www.rosaceae.org/gb/gbrowse/malus_x_domestica/?name=MDP0000529800","MDP0000529800")</f>
        <v>MDP0000529800</v>
      </c>
      <c r="D25379">
        <v>58.03</v>
      </c>
      <c r="E25379">
        <v>255</v>
      </c>
      <c r="F25379">
        <v>107</v>
      </c>
      <c r="G25379">
        <v>5</v>
      </c>
      <c r="H25379">
        <v>1</v>
      </c>
      <c r="I25379">
        <v>251</v>
      </c>
      <c r="J25379">
        <v>1</v>
      </c>
      <c r="K25379">
        <v>8</v>
      </c>
      <c r="L25379">
        <v>261</v>
      </c>
      <c r="M25379">
        <v>1</v>
      </c>
      <c r="N25379">
        <v>2.6218799999999999E-65</v>
      </c>
      <c r="O25379">
        <v>626</v>
      </c>
    </row>
    <row r="25380" spans="1:15" x14ac:dyDescent="0.25">
      <c r="A25380" t="s">
        <v>25393</v>
      </c>
      <c r="B25380">
        <v>741</v>
      </c>
      <c r="C25380" s="1" t="str">
        <f>HYPERLINK("http://www.rosaceae.org/gb/gbrowse/malus_x_domestica/?name=MDP0000131947","MDP0000131947")</f>
        <v>MDP0000131947</v>
      </c>
      <c r="D25380">
        <v>72.680000000000007</v>
      </c>
      <c r="E25380">
        <v>725</v>
      </c>
      <c r="F25380">
        <v>198</v>
      </c>
      <c r="G25380">
        <v>22</v>
      </c>
      <c r="H25380">
        <v>17</v>
      </c>
      <c r="I25380">
        <v>741</v>
      </c>
      <c r="J25380">
        <v>1</v>
      </c>
      <c r="K25380">
        <v>15</v>
      </c>
      <c r="L25380">
        <v>717</v>
      </c>
      <c r="M25380">
        <v>1</v>
      </c>
      <c r="N25380">
        <v>0</v>
      </c>
      <c r="O25380">
        <v>2894</v>
      </c>
    </row>
    <row r="25381" spans="1:15" x14ac:dyDescent="0.25">
      <c r="A25381" t="s">
        <v>25394</v>
      </c>
      <c r="B25381">
        <v>134</v>
      </c>
      <c r="C25381" s="1" t="str">
        <f>HYPERLINK("http://www.rosaceae.org/gb/gbrowse/malus_x_domestica/?name=MDP0000254602","MDP0000254602")</f>
        <v>MDP0000254602</v>
      </c>
      <c r="D25381">
        <v>62.37</v>
      </c>
      <c r="E25381">
        <v>101</v>
      </c>
      <c r="F25381">
        <v>38</v>
      </c>
      <c r="G25381">
        <v>0</v>
      </c>
      <c r="H25381">
        <v>32</v>
      </c>
      <c r="I25381">
        <v>132</v>
      </c>
      <c r="J25381">
        <v>1</v>
      </c>
      <c r="K25381">
        <v>124</v>
      </c>
      <c r="L25381">
        <v>224</v>
      </c>
      <c r="M25381">
        <v>1</v>
      </c>
      <c r="N25381">
        <v>8.9834999999999999E-29</v>
      </c>
      <c r="O25381">
        <v>306</v>
      </c>
    </row>
    <row r="25382" spans="1:15" x14ac:dyDescent="0.25">
      <c r="A25382" t="s">
        <v>25395</v>
      </c>
      <c r="B25382">
        <v>240</v>
      </c>
      <c r="C25382" s="1" t="str">
        <f>HYPERLINK("http://www.rosaceae.org/gb/gbrowse/malus_x_domestica/?name=MDP0000501867","MDP0000501867")</f>
        <v>MDP0000501867</v>
      </c>
      <c r="D25382">
        <v>72.53</v>
      </c>
      <c r="E25382">
        <v>233</v>
      </c>
      <c r="F25382">
        <v>64</v>
      </c>
      <c r="G25382">
        <v>13</v>
      </c>
      <c r="H25382">
        <v>1</v>
      </c>
      <c r="I25382">
        <v>220</v>
      </c>
      <c r="J25382">
        <v>1</v>
      </c>
      <c r="K25382">
        <v>1</v>
      </c>
      <c r="L25382">
        <v>233</v>
      </c>
      <c r="M25382">
        <v>1</v>
      </c>
      <c r="N25382">
        <v>8.3133199999999994E-90</v>
      </c>
      <c r="O25382">
        <v>837</v>
      </c>
    </row>
    <row r="25383" spans="1:15" x14ac:dyDescent="0.25">
      <c r="A25383" t="s">
        <v>25396</v>
      </c>
      <c r="B25383">
        <v>492</v>
      </c>
      <c r="C25383" s="1" t="str">
        <f>HYPERLINK("http://www.rosaceae.org/gb/gbrowse/malus_x_domestica/?name=MDP0000830926","MDP0000830926")</f>
        <v>MDP0000830926</v>
      </c>
      <c r="D25383">
        <v>55.58</v>
      </c>
      <c r="E25383">
        <v>331</v>
      </c>
      <c r="F25383">
        <v>147</v>
      </c>
      <c r="G25383">
        <v>26</v>
      </c>
      <c r="H25383">
        <v>1</v>
      </c>
      <c r="I25383">
        <v>305</v>
      </c>
      <c r="J25383">
        <v>1</v>
      </c>
      <c r="K25383">
        <v>1</v>
      </c>
      <c r="L25383">
        <v>331</v>
      </c>
      <c r="M25383">
        <v>1</v>
      </c>
      <c r="N25383">
        <v>1.73357E-97</v>
      </c>
      <c r="O25383">
        <v>907</v>
      </c>
    </row>
    <row r="25384" spans="1:15" x14ac:dyDescent="0.25">
      <c r="A25384" t="s">
        <v>25397</v>
      </c>
      <c r="B25384">
        <v>889</v>
      </c>
      <c r="C25384" s="1" t="str">
        <f>HYPERLINK("http://www.rosaceae.org/gb/gbrowse/malus_x_domestica/?name=MDP0000156902","MDP0000156902")</f>
        <v>MDP0000156902</v>
      </c>
      <c r="D25384">
        <v>60.16</v>
      </c>
      <c r="E25384">
        <v>354</v>
      </c>
      <c r="F25384">
        <v>141</v>
      </c>
      <c r="G25384">
        <v>32</v>
      </c>
      <c r="H25384">
        <v>498</v>
      </c>
      <c r="I25384">
        <v>820</v>
      </c>
      <c r="J25384">
        <v>1</v>
      </c>
      <c r="K25384">
        <v>601</v>
      </c>
      <c r="L25384">
        <v>953</v>
      </c>
      <c r="M25384">
        <v>1</v>
      </c>
      <c r="N25384">
        <v>5.5775200000000003E-114</v>
      </c>
      <c r="O25384">
        <v>1052</v>
      </c>
    </row>
    <row r="25385" spans="1:15" x14ac:dyDescent="0.25">
      <c r="A25385" t="s">
        <v>25398</v>
      </c>
      <c r="B25385">
        <v>606</v>
      </c>
      <c r="C25385" s="1" t="str">
        <f>HYPERLINK("http://www.rosaceae.org/gb/gbrowse/malus_x_domestica/?name=MDP0000744614","MDP0000744614")</f>
        <v>MDP0000744614</v>
      </c>
      <c r="D25385">
        <v>39.200000000000003</v>
      </c>
      <c r="E25385">
        <v>528</v>
      </c>
      <c r="F25385">
        <v>321</v>
      </c>
      <c r="G25385">
        <v>46</v>
      </c>
      <c r="H25385">
        <v>88</v>
      </c>
      <c r="I25385">
        <v>593</v>
      </c>
      <c r="J25385">
        <v>1</v>
      </c>
      <c r="K25385">
        <v>135</v>
      </c>
      <c r="L25385">
        <v>638</v>
      </c>
      <c r="M25385">
        <v>1</v>
      </c>
      <c r="N25385">
        <v>5.1102099999999999E-94</v>
      </c>
      <c r="O25385">
        <v>878</v>
      </c>
    </row>
    <row r="25386" spans="1:15" x14ac:dyDescent="0.25">
      <c r="A25386" t="s">
        <v>25399</v>
      </c>
      <c r="B25386">
        <v>403</v>
      </c>
      <c r="C25386" s="1" t="str">
        <f>HYPERLINK("http://www.rosaceae.org/gb/gbrowse/malus_x_domestica/?name=MDP0000280005","MDP0000280005")</f>
        <v>MDP0000280005</v>
      </c>
      <c r="D25386">
        <v>58.16</v>
      </c>
      <c r="E25386">
        <v>404</v>
      </c>
      <c r="F25386">
        <v>169</v>
      </c>
      <c r="G25386">
        <v>56</v>
      </c>
      <c r="H25386">
        <v>1</v>
      </c>
      <c r="I25386">
        <v>391</v>
      </c>
      <c r="J25386">
        <v>1</v>
      </c>
      <c r="K25386">
        <v>1</v>
      </c>
      <c r="L25386">
        <v>361</v>
      </c>
      <c r="M25386">
        <v>1</v>
      </c>
      <c r="N25386">
        <v>7.5656099999999997E-112</v>
      </c>
      <c r="O25386">
        <v>1030</v>
      </c>
    </row>
    <row r="25387" spans="1:15" x14ac:dyDescent="0.25">
      <c r="A25387" t="s">
        <v>25400</v>
      </c>
      <c r="B25387">
        <v>1124</v>
      </c>
      <c r="C25387" s="1" t="str">
        <f>HYPERLINK("http://www.rosaceae.org/gb/gbrowse/malus_x_domestica/?name=MDP0000170095","MDP0000170095")</f>
        <v>MDP0000170095</v>
      </c>
      <c r="D25387">
        <v>82.39</v>
      </c>
      <c r="E25387">
        <v>1102</v>
      </c>
      <c r="F25387">
        <v>194</v>
      </c>
      <c r="G25387">
        <v>1</v>
      </c>
      <c r="H25387">
        <v>22</v>
      </c>
      <c r="I25387">
        <v>1122</v>
      </c>
      <c r="J25387">
        <v>1</v>
      </c>
      <c r="K25387">
        <v>22</v>
      </c>
      <c r="L25387">
        <v>1123</v>
      </c>
      <c r="M25387">
        <v>1</v>
      </c>
      <c r="N25387">
        <v>0</v>
      </c>
      <c r="O25387">
        <v>4923</v>
      </c>
    </row>
    <row r="25388" spans="1:15" x14ac:dyDescent="0.25">
      <c r="A25388" t="s">
        <v>25401</v>
      </c>
      <c r="B25388">
        <v>937</v>
      </c>
      <c r="C25388" s="1" t="str">
        <f>HYPERLINK("http://www.rosaceae.org/gb/gbrowse/malus_x_domestica/?name=MDP0000234613","MDP0000234613")</f>
        <v>MDP0000234613</v>
      </c>
      <c r="D25388">
        <v>28.91</v>
      </c>
      <c r="E25388">
        <v>377</v>
      </c>
      <c r="F25388">
        <v>268</v>
      </c>
      <c r="G25388">
        <v>80</v>
      </c>
      <c r="H25388">
        <v>462</v>
      </c>
      <c r="I25388">
        <v>801</v>
      </c>
      <c r="J25388">
        <v>1</v>
      </c>
      <c r="K25388">
        <v>219</v>
      </c>
      <c r="L25388">
        <v>552</v>
      </c>
      <c r="M25388">
        <v>1</v>
      </c>
      <c r="N25388">
        <v>1.0762E-21</v>
      </c>
      <c r="O25388">
        <v>256</v>
      </c>
    </row>
    <row r="25389" spans="1:15" x14ac:dyDescent="0.25">
      <c r="A25389" t="s">
        <v>25402</v>
      </c>
      <c r="B25389">
        <v>697</v>
      </c>
      <c r="C25389" s="1" t="str">
        <f>HYPERLINK("http://www.rosaceae.org/gb/gbrowse/malus_x_domestica/?name=MDP0000175780","MDP0000175780")</f>
        <v>MDP0000175780</v>
      </c>
      <c r="D25389">
        <v>65.83</v>
      </c>
      <c r="E25389">
        <v>679</v>
      </c>
      <c r="F25389">
        <v>232</v>
      </c>
      <c r="G25389">
        <v>4</v>
      </c>
      <c r="H25389">
        <v>19</v>
      </c>
      <c r="I25389">
        <v>697</v>
      </c>
      <c r="J25389">
        <v>1</v>
      </c>
      <c r="K25389">
        <v>31</v>
      </c>
      <c r="L25389">
        <v>705</v>
      </c>
      <c r="M25389">
        <v>1</v>
      </c>
      <c r="N25389">
        <v>0</v>
      </c>
      <c r="O25389">
        <v>2343</v>
      </c>
    </row>
    <row r="25390" spans="1:15" x14ac:dyDescent="0.25">
      <c r="A25390" t="s">
        <v>25403</v>
      </c>
      <c r="B25390">
        <v>129</v>
      </c>
      <c r="C25390" s="1" t="str">
        <f>HYPERLINK("http://www.rosaceae.org/gb/gbrowse/malus_x_domestica/?name=MDP0000143956","MDP0000143956")</f>
        <v>MDP0000143956</v>
      </c>
      <c r="D25390">
        <v>55.1</v>
      </c>
      <c r="E25390">
        <v>98</v>
      </c>
      <c r="F25390">
        <v>44</v>
      </c>
      <c r="G25390">
        <v>1</v>
      </c>
      <c r="H25390">
        <v>7</v>
      </c>
      <c r="I25390">
        <v>103</v>
      </c>
      <c r="J25390">
        <v>1</v>
      </c>
      <c r="K25390">
        <v>42</v>
      </c>
      <c r="L25390">
        <v>139</v>
      </c>
      <c r="M25390">
        <v>1</v>
      </c>
      <c r="N25390">
        <v>2.9263099999999999E-25</v>
      </c>
      <c r="O25390">
        <v>276</v>
      </c>
    </row>
    <row r="25391" spans="1:15" x14ac:dyDescent="0.25">
      <c r="A25391" t="s">
        <v>25404</v>
      </c>
      <c r="B25391">
        <v>296</v>
      </c>
      <c r="C25391" s="1" t="str">
        <f>HYPERLINK("http://www.rosaceae.org/gb/gbrowse/malus_x_domestica/?name=MDP0000221318","MDP0000221318")</f>
        <v>MDP0000221318</v>
      </c>
      <c r="D25391">
        <v>77.67</v>
      </c>
      <c r="E25391">
        <v>224</v>
      </c>
      <c r="F25391">
        <v>50</v>
      </c>
      <c r="G25391">
        <v>13</v>
      </c>
      <c r="H25391">
        <v>34</v>
      </c>
      <c r="I25391">
        <v>251</v>
      </c>
      <c r="J25391">
        <v>1</v>
      </c>
      <c r="K25391">
        <v>710</v>
      </c>
      <c r="L25391">
        <v>926</v>
      </c>
      <c r="M25391">
        <v>1</v>
      </c>
      <c r="N25391">
        <v>1.27129E-96</v>
      </c>
      <c r="O25391">
        <v>897</v>
      </c>
    </row>
    <row r="25392" spans="1:15" x14ac:dyDescent="0.25">
      <c r="A25392" t="s">
        <v>25405</v>
      </c>
      <c r="B25392">
        <v>277</v>
      </c>
      <c r="C25392" s="1" t="str">
        <f>HYPERLINK("http://www.rosaceae.org/gb/gbrowse/malus_x_domestica/?name=MDP0000228658","MDP0000228658")</f>
        <v>MDP0000228658</v>
      </c>
      <c r="D25392">
        <v>67.62</v>
      </c>
      <c r="E25392">
        <v>278</v>
      </c>
      <c r="F25392">
        <v>90</v>
      </c>
      <c r="G25392">
        <v>7</v>
      </c>
      <c r="H25392">
        <v>1</v>
      </c>
      <c r="I25392">
        <v>277</v>
      </c>
      <c r="J25392">
        <v>1</v>
      </c>
      <c r="K25392">
        <v>1</v>
      </c>
      <c r="L25392">
        <v>272</v>
      </c>
      <c r="M25392">
        <v>1</v>
      </c>
      <c r="N25392">
        <v>1.2336500000000001E-105</v>
      </c>
      <c r="O25392">
        <v>975</v>
      </c>
    </row>
    <row r="25393" spans="1:15" x14ac:dyDescent="0.25">
      <c r="A25393" t="s">
        <v>25406</v>
      </c>
      <c r="B25393">
        <v>164</v>
      </c>
      <c r="C25393" s="1" t="str">
        <f>HYPERLINK("http://www.rosaceae.org/gb/gbrowse/malus_x_domestica/?name=MDP0000202749","MDP0000202749")</f>
        <v>MDP0000202749</v>
      </c>
      <c r="D25393">
        <v>94.11</v>
      </c>
      <c r="E25393">
        <v>153</v>
      </c>
      <c r="F25393">
        <v>9</v>
      </c>
      <c r="G25393">
        <v>0</v>
      </c>
      <c r="H25393">
        <v>12</v>
      </c>
      <c r="I25393">
        <v>164</v>
      </c>
      <c r="J25393">
        <v>1</v>
      </c>
      <c r="K25393">
        <v>415</v>
      </c>
      <c r="L25393">
        <v>567</v>
      </c>
      <c r="M25393">
        <v>1</v>
      </c>
      <c r="N25393">
        <v>1.2988400000000001E-81</v>
      </c>
      <c r="O25393">
        <v>764</v>
      </c>
    </row>
    <row r="25394" spans="1:15" x14ac:dyDescent="0.25">
      <c r="A25394" t="s">
        <v>25407</v>
      </c>
      <c r="B25394">
        <v>393</v>
      </c>
      <c r="C25394" s="1" t="str">
        <f>HYPERLINK("http://www.rosaceae.org/gb/gbrowse/malus_x_domestica/?name=MDP0000516194","MDP0000516194")</f>
        <v>MDP0000516194</v>
      </c>
      <c r="D25394">
        <v>69.11</v>
      </c>
      <c r="E25394">
        <v>395</v>
      </c>
      <c r="F25394">
        <v>122</v>
      </c>
      <c r="G25394">
        <v>9</v>
      </c>
      <c r="H25394">
        <v>1</v>
      </c>
      <c r="I25394">
        <v>393</v>
      </c>
      <c r="J25394">
        <v>1</v>
      </c>
      <c r="K25394">
        <v>1</v>
      </c>
      <c r="L25394">
        <v>388</v>
      </c>
      <c r="M25394">
        <v>1</v>
      </c>
      <c r="N25394">
        <v>4.37678E-151</v>
      </c>
      <c r="O25394">
        <v>1368</v>
      </c>
    </row>
    <row r="25395" spans="1:15" x14ac:dyDescent="0.25">
      <c r="A25395" t="s">
        <v>25408</v>
      </c>
      <c r="B25395">
        <v>227</v>
      </c>
      <c r="C25395" s="1" t="str">
        <f>HYPERLINK("http://www.rosaceae.org/gb/gbrowse/malus_x_domestica/?name=MDP0000235696","MDP0000235696")</f>
        <v>MDP0000235696</v>
      </c>
      <c r="D25395">
        <v>74.319999999999993</v>
      </c>
      <c r="E25395">
        <v>222</v>
      </c>
      <c r="F25395">
        <v>57</v>
      </c>
      <c r="G25395">
        <v>3</v>
      </c>
      <c r="H25395">
        <v>7</v>
      </c>
      <c r="I25395">
        <v>226</v>
      </c>
      <c r="J25395">
        <v>1</v>
      </c>
      <c r="K25395">
        <v>9</v>
      </c>
      <c r="L25395">
        <v>229</v>
      </c>
      <c r="M25395">
        <v>1</v>
      </c>
      <c r="N25395">
        <v>1.70584E-94</v>
      </c>
      <c r="O25395">
        <v>877</v>
      </c>
    </row>
    <row r="25396" spans="1:15" x14ac:dyDescent="0.25">
      <c r="A25396" t="s">
        <v>25409</v>
      </c>
      <c r="B25396">
        <v>608</v>
      </c>
      <c r="C25396" s="1" t="str">
        <f>HYPERLINK("http://www.rosaceae.org/gb/gbrowse/malus_x_domestica/?name=MDP0000218244","MDP0000218244")</f>
        <v>MDP0000218244</v>
      </c>
      <c r="D25396">
        <v>70.09</v>
      </c>
      <c r="E25396">
        <v>505</v>
      </c>
      <c r="F25396">
        <v>151</v>
      </c>
      <c r="G25396">
        <v>6</v>
      </c>
      <c r="H25396">
        <v>105</v>
      </c>
      <c r="I25396">
        <v>607</v>
      </c>
      <c r="J25396">
        <v>1</v>
      </c>
      <c r="K25396">
        <v>18</v>
      </c>
      <c r="L25396">
        <v>518</v>
      </c>
      <c r="M25396">
        <v>1</v>
      </c>
      <c r="N25396">
        <v>0</v>
      </c>
      <c r="O25396">
        <v>1863</v>
      </c>
    </row>
    <row r="25397" spans="1:15" x14ac:dyDescent="0.25">
      <c r="A25397" t="s">
        <v>25410</v>
      </c>
      <c r="B25397">
        <v>990</v>
      </c>
      <c r="C25397" s="1" t="str">
        <f>HYPERLINK("http://www.rosaceae.org/gb/gbrowse/malus_x_domestica/?name=MDP0000134332","MDP0000134332")</f>
        <v>MDP0000134332</v>
      </c>
      <c r="D25397">
        <v>69.599999999999994</v>
      </c>
      <c r="E25397">
        <v>793</v>
      </c>
      <c r="F25397">
        <v>241</v>
      </c>
      <c r="G25397">
        <v>110</v>
      </c>
      <c r="H25397">
        <v>196</v>
      </c>
      <c r="I25397">
        <v>933</v>
      </c>
      <c r="J25397">
        <v>1</v>
      </c>
      <c r="K25397">
        <v>291</v>
      </c>
      <c r="L25397">
        <v>1028</v>
      </c>
      <c r="M25397">
        <v>1</v>
      </c>
      <c r="N25397">
        <v>0</v>
      </c>
      <c r="O25397">
        <v>2720</v>
      </c>
    </row>
    <row r="25398" spans="1:15" x14ac:dyDescent="0.25">
      <c r="A25398" t="s">
        <v>25411</v>
      </c>
      <c r="B25398">
        <v>400</v>
      </c>
      <c r="C25398" s="1" t="str">
        <f>HYPERLINK("http://www.rosaceae.org/gb/gbrowse/malus_x_domestica/?name=MDP0000319522","MDP0000319522")</f>
        <v>MDP0000319522</v>
      </c>
      <c r="D25398">
        <v>84.34</v>
      </c>
      <c r="E25398">
        <v>345</v>
      </c>
      <c r="F25398">
        <v>54</v>
      </c>
      <c r="G25398">
        <v>2</v>
      </c>
      <c r="H25398">
        <v>57</v>
      </c>
      <c r="I25398">
        <v>399</v>
      </c>
      <c r="J25398">
        <v>1</v>
      </c>
      <c r="K25398">
        <v>1</v>
      </c>
      <c r="L25398">
        <v>345</v>
      </c>
      <c r="M25398">
        <v>1</v>
      </c>
      <c r="N25398">
        <v>4.4165500000000003E-178</v>
      </c>
      <c r="O25398">
        <v>1601</v>
      </c>
    </row>
    <row r="25399" spans="1:15" x14ac:dyDescent="0.25">
      <c r="A25399" t="s">
        <v>25412</v>
      </c>
      <c r="B25399">
        <v>785</v>
      </c>
      <c r="C25399" s="1" t="str">
        <f>HYPERLINK("http://www.rosaceae.org/gb/gbrowse/malus_x_domestica/?name=MDP0000319920","MDP0000319920")</f>
        <v>MDP0000319920</v>
      </c>
      <c r="D25399">
        <v>65.87</v>
      </c>
      <c r="E25399">
        <v>800</v>
      </c>
      <c r="F25399">
        <v>273</v>
      </c>
      <c r="G25399">
        <v>82</v>
      </c>
      <c r="H25399">
        <v>68</v>
      </c>
      <c r="I25399">
        <v>785</v>
      </c>
      <c r="J25399">
        <v>1</v>
      </c>
      <c r="K25399">
        <v>1</v>
      </c>
      <c r="L25399">
        <v>800</v>
      </c>
      <c r="M25399">
        <v>1</v>
      </c>
      <c r="N25399">
        <v>0</v>
      </c>
      <c r="O25399">
        <v>2514</v>
      </c>
    </row>
    <row r="25400" spans="1:15" x14ac:dyDescent="0.25">
      <c r="A25400" t="s">
        <v>25413</v>
      </c>
      <c r="B25400">
        <v>376</v>
      </c>
      <c r="C25400" s="1" t="str">
        <f>HYPERLINK("http://www.rosaceae.org/gb/gbrowse/malus_x_domestica/?name=MDP0000928355","MDP0000928355")</f>
        <v>MDP0000928355</v>
      </c>
      <c r="D25400">
        <v>31.9</v>
      </c>
      <c r="E25400">
        <v>304</v>
      </c>
      <c r="F25400">
        <v>207</v>
      </c>
      <c r="G25400">
        <v>38</v>
      </c>
      <c r="H25400">
        <v>6</v>
      </c>
      <c r="I25400">
        <v>298</v>
      </c>
      <c r="J25400">
        <v>1</v>
      </c>
      <c r="K25400">
        <v>7</v>
      </c>
      <c r="L25400">
        <v>283</v>
      </c>
      <c r="M25400">
        <v>1</v>
      </c>
      <c r="N25400">
        <v>9.2756099999999996E-27</v>
      </c>
      <c r="O25400">
        <v>296</v>
      </c>
    </row>
    <row r="25401" spans="1:15" x14ac:dyDescent="0.25">
      <c r="A25401" t="s">
        <v>25414</v>
      </c>
      <c r="B25401">
        <v>469</v>
      </c>
      <c r="C25401" s="1" t="str">
        <f>HYPERLINK("http://www.rosaceae.org/gb/gbrowse/malus_x_domestica/?name=MDP0000228162","MDP0000228162")</f>
        <v>MDP0000228162</v>
      </c>
      <c r="D25401">
        <v>86.99</v>
      </c>
      <c r="E25401">
        <v>469</v>
      </c>
      <c r="F25401">
        <v>61</v>
      </c>
      <c r="G25401">
        <v>2</v>
      </c>
      <c r="H25401">
        <v>1</v>
      </c>
      <c r="I25401">
        <v>469</v>
      </c>
      <c r="J25401">
        <v>1</v>
      </c>
      <c r="K25401">
        <v>33</v>
      </c>
      <c r="L25401">
        <v>499</v>
      </c>
      <c r="M25401">
        <v>1</v>
      </c>
      <c r="N25401">
        <v>0</v>
      </c>
      <c r="O25401">
        <v>2212</v>
      </c>
    </row>
    <row r="25402" spans="1:15" x14ac:dyDescent="0.25">
      <c r="A25402" t="s">
        <v>25415</v>
      </c>
      <c r="B25402">
        <v>289</v>
      </c>
      <c r="C25402" s="1" t="str">
        <f>HYPERLINK("http://www.rosaceae.org/gb/gbrowse/malus_x_domestica/?name=MDP0000176870","MDP0000176870")</f>
        <v>MDP0000176870</v>
      </c>
      <c r="D25402">
        <v>91</v>
      </c>
      <c r="E25402">
        <v>289</v>
      </c>
      <c r="F25402">
        <v>26</v>
      </c>
      <c r="G25402">
        <v>0</v>
      </c>
      <c r="H25402">
        <v>1</v>
      </c>
      <c r="I25402">
        <v>289</v>
      </c>
      <c r="J25402">
        <v>1</v>
      </c>
      <c r="K25402">
        <v>1</v>
      </c>
      <c r="L25402">
        <v>289</v>
      </c>
      <c r="M25402">
        <v>1</v>
      </c>
      <c r="N25402">
        <v>3.8438999999999998E-155</v>
      </c>
      <c r="O25402">
        <v>1402</v>
      </c>
    </row>
    <row r="25403" spans="1:15" x14ac:dyDescent="0.25">
      <c r="A25403" t="s">
        <v>25416</v>
      </c>
      <c r="B25403">
        <v>311</v>
      </c>
      <c r="C25403" s="1" t="str">
        <f>HYPERLINK("http://www.rosaceae.org/gb/gbrowse/malus_x_domestica/?name=MDP0000152128","MDP0000152128")</f>
        <v>MDP0000152128</v>
      </c>
      <c r="D25403">
        <v>55.44</v>
      </c>
      <c r="E25403">
        <v>294</v>
      </c>
      <c r="F25403">
        <v>131</v>
      </c>
      <c r="G25403">
        <v>39</v>
      </c>
      <c r="H25403">
        <v>32</v>
      </c>
      <c r="I25403">
        <v>311</v>
      </c>
      <c r="J25403">
        <v>1</v>
      </c>
      <c r="K25403">
        <v>1</v>
      </c>
      <c r="L25403">
        <v>269</v>
      </c>
      <c r="M25403">
        <v>1</v>
      </c>
      <c r="N25403">
        <v>6.0434299999999998E-71</v>
      </c>
      <c r="O25403">
        <v>676</v>
      </c>
    </row>
    <row r="25404" spans="1:15" x14ac:dyDescent="0.25">
      <c r="A25404" t="s">
        <v>25417</v>
      </c>
      <c r="B25404">
        <v>158</v>
      </c>
      <c r="C25404" s="1" t="str">
        <f>HYPERLINK("http://www.rosaceae.org/gb/gbrowse/malus_x_domestica/?name=MDP0000783860","MDP0000783860")</f>
        <v>MDP0000783860</v>
      </c>
      <c r="D25404">
        <v>57.77</v>
      </c>
      <c r="E25404">
        <v>90</v>
      </c>
      <c r="F25404">
        <v>38</v>
      </c>
      <c r="G25404">
        <v>6</v>
      </c>
      <c r="H25404">
        <v>75</v>
      </c>
      <c r="I25404">
        <v>158</v>
      </c>
      <c r="J25404">
        <v>1</v>
      </c>
      <c r="K25404">
        <v>28</v>
      </c>
      <c r="L25404">
        <v>117</v>
      </c>
      <c r="M25404">
        <v>1</v>
      </c>
      <c r="N25404">
        <v>2.09737E-19</v>
      </c>
      <c r="O25404">
        <v>227</v>
      </c>
    </row>
    <row r="25405" spans="1:15" x14ac:dyDescent="0.25">
      <c r="A25405" t="s">
        <v>25418</v>
      </c>
      <c r="B25405">
        <v>690</v>
      </c>
      <c r="C25405" s="1" t="str">
        <f>HYPERLINK("http://www.rosaceae.org/gb/gbrowse/malus_x_domestica/?name=MDP0000276982","MDP0000276982")</f>
        <v>MDP0000276982</v>
      </c>
      <c r="D25405">
        <v>71.760000000000005</v>
      </c>
      <c r="E25405">
        <v>712</v>
      </c>
      <c r="F25405">
        <v>201</v>
      </c>
      <c r="G25405">
        <v>40</v>
      </c>
      <c r="H25405">
        <v>1</v>
      </c>
      <c r="I25405">
        <v>690</v>
      </c>
      <c r="J25405">
        <v>1</v>
      </c>
      <c r="K25405">
        <v>306</v>
      </c>
      <c r="L25405">
        <v>999</v>
      </c>
      <c r="M25405">
        <v>1</v>
      </c>
      <c r="N25405">
        <v>0</v>
      </c>
      <c r="O25405">
        <v>2537</v>
      </c>
    </row>
    <row r="25406" spans="1:15" x14ac:dyDescent="0.25">
      <c r="A25406" t="s">
        <v>25419</v>
      </c>
      <c r="B25406">
        <v>623</v>
      </c>
      <c r="C25406" s="1" t="str">
        <f>HYPERLINK("http://www.rosaceae.org/gb/gbrowse/malus_x_domestica/?name=MDP0000121830","MDP0000121830")</f>
        <v>MDP0000121830</v>
      </c>
      <c r="D25406">
        <v>68.81</v>
      </c>
      <c r="E25406">
        <v>635</v>
      </c>
      <c r="F25406">
        <v>198</v>
      </c>
      <c r="G25406">
        <v>13</v>
      </c>
      <c r="H25406">
        <v>1</v>
      </c>
      <c r="I25406">
        <v>623</v>
      </c>
      <c r="J25406">
        <v>1</v>
      </c>
      <c r="K25406">
        <v>1</v>
      </c>
      <c r="L25406">
        <v>634</v>
      </c>
      <c r="M25406">
        <v>1</v>
      </c>
      <c r="N25406">
        <v>0</v>
      </c>
      <c r="O25406">
        <v>2356</v>
      </c>
    </row>
    <row r="25407" spans="1:15" x14ac:dyDescent="0.25">
      <c r="A25407" t="s">
        <v>25420</v>
      </c>
      <c r="B25407">
        <v>739</v>
      </c>
      <c r="C25407" s="1" t="str">
        <f>HYPERLINK("http://www.rosaceae.org/gb/gbrowse/malus_x_domestica/?name=MDP0000422652","MDP0000422652")</f>
        <v>MDP0000422652</v>
      </c>
      <c r="D25407">
        <v>73.430000000000007</v>
      </c>
      <c r="E25407">
        <v>591</v>
      </c>
      <c r="F25407">
        <v>157</v>
      </c>
      <c r="G25407">
        <v>13</v>
      </c>
      <c r="H25407">
        <v>154</v>
      </c>
      <c r="I25407">
        <v>739</v>
      </c>
      <c r="J25407">
        <v>1</v>
      </c>
      <c r="K25407">
        <v>1</v>
      </c>
      <c r="L25407">
        <v>583</v>
      </c>
      <c r="M25407">
        <v>1</v>
      </c>
      <c r="N25407">
        <v>0</v>
      </c>
      <c r="O25407">
        <v>2296</v>
      </c>
    </row>
    <row r="25408" spans="1:15" x14ac:dyDescent="0.25">
      <c r="A25408" t="s">
        <v>25421</v>
      </c>
      <c r="B25408">
        <v>160</v>
      </c>
      <c r="C25408" s="1" t="str">
        <f>HYPERLINK("http://www.rosaceae.org/gb/gbrowse/malus_x_domestica/?name=MDP0000471879","MDP0000471879")</f>
        <v>MDP0000471879</v>
      </c>
      <c r="D25408">
        <v>56.17</v>
      </c>
      <c r="E25408">
        <v>162</v>
      </c>
      <c r="F25408">
        <v>71</v>
      </c>
      <c r="G25408">
        <v>12</v>
      </c>
      <c r="H25408">
        <v>3</v>
      </c>
      <c r="I25408">
        <v>160</v>
      </c>
      <c r="J25408">
        <v>1</v>
      </c>
      <c r="K25408">
        <v>5</v>
      </c>
      <c r="L25408">
        <v>158</v>
      </c>
      <c r="M25408">
        <v>1</v>
      </c>
      <c r="N25408">
        <v>1.1125900000000001E-40</v>
      </c>
      <c r="O25408">
        <v>411</v>
      </c>
    </row>
    <row r="25409" spans="1:15" x14ac:dyDescent="0.25">
      <c r="A25409" t="s">
        <v>25422</v>
      </c>
      <c r="B25409">
        <v>203</v>
      </c>
      <c r="C25409" s="1" t="str">
        <f>HYPERLINK("http://www.rosaceae.org/gb/gbrowse/malus_x_domestica/?name=MDP0000784053","MDP0000784053")</f>
        <v>MDP0000784053</v>
      </c>
      <c r="D25409">
        <v>69.78</v>
      </c>
      <c r="E25409">
        <v>182</v>
      </c>
      <c r="F25409">
        <v>55</v>
      </c>
      <c r="G25409">
        <v>0</v>
      </c>
      <c r="H25409">
        <v>22</v>
      </c>
      <c r="I25409">
        <v>203</v>
      </c>
      <c r="J25409">
        <v>1</v>
      </c>
      <c r="K25409">
        <v>22</v>
      </c>
      <c r="L25409">
        <v>203</v>
      </c>
      <c r="M25409">
        <v>1</v>
      </c>
      <c r="N25409">
        <v>4.1564200000000002E-75</v>
      </c>
      <c r="O25409">
        <v>709</v>
      </c>
    </row>
    <row r="25410" spans="1:15" x14ac:dyDescent="0.25">
      <c r="A25410" t="s">
        <v>25423</v>
      </c>
      <c r="B25410">
        <v>527</v>
      </c>
      <c r="C25410" s="1" t="str">
        <f>HYPERLINK("http://www.rosaceae.org/gb/gbrowse/malus_x_domestica/?name=MDP0000167145","MDP0000167145")</f>
        <v>MDP0000167145</v>
      </c>
      <c r="D25410">
        <v>29.37</v>
      </c>
      <c r="E25410">
        <v>177</v>
      </c>
      <c r="F25410">
        <v>125</v>
      </c>
      <c r="G25410">
        <v>26</v>
      </c>
      <c r="H25410">
        <v>101</v>
      </c>
      <c r="I25410">
        <v>259</v>
      </c>
      <c r="J25410">
        <v>1</v>
      </c>
      <c r="K25410">
        <v>229</v>
      </c>
      <c r="L25410">
        <v>397</v>
      </c>
      <c r="M25410">
        <v>1</v>
      </c>
      <c r="N25410">
        <v>1.1002600000000001E-9</v>
      </c>
      <c r="O25410">
        <v>150</v>
      </c>
    </row>
    <row r="25411" spans="1:15" x14ac:dyDescent="0.25">
      <c r="A25411" t="s">
        <v>25424</v>
      </c>
      <c r="B25411">
        <v>294</v>
      </c>
      <c r="C25411" s="1" t="str">
        <f>HYPERLINK("http://www.rosaceae.org/gb/gbrowse/malus_x_domestica/?name=MDP0000700517","MDP0000700517")</f>
        <v>MDP0000700517</v>
      </c>
      <c r="D25411">
        <v>25.9</v>
      </c>
      <c r="E25411">
        <v>220</v>
      </c>
      <c r="F25411">
        <v>163</v>
      </c>
      <c r="G25411">
        <v>25</v>
      </c>
      <c r="H25411">
        <v>1</v>
      </c>
      <c r="I25411">
        <v>196</v>
      </c>
      <c r="J25411">
        <v>1</v>
      </c>
      <c r="K25411">
        <v>150</v>
      </c>
      <c r="L25411">
        <v>368</v>
      </c>
      <c r="M25411">
        <v>1</v>
      </c>
      <c r="N25411">
        <v>9.5437599999999998E-14</v>
      </c>
      <c r="O25411">
        <v>182</v>
      </c>
    </row>
    <row r="25412" spans="1:15" x14ac:dyDescent="0.25">
      <c r="A25412" t="s">
        <v>25425</v>
      </c>
      <c r="B25412">
        <v>192</v>
      </c>
      <c r="C25412" s="1" t="str">
        <f>HYPERLINK("http://www.rosaceae.org/gb/gbrowse/malus_x_domestica/?name=MDP0000261311","MDP0000261311")</f>
        <v>MDP0000261311</v>
      </c>
      <c r="D25412">
        <v>33.33</v>
      </c>
      <c r="E25412">
        <v>171</v>
      </c>
      <c r="F25412">
        <v>114</v>
      </c>
      <c r="G25412">
        <v>7</v>
      </c>
      <c r="H25412">
        <v>12</v>
      </c>
      <c r="I25412">
        <v>176</v>
      </c>
      <c r="J25412">
        <v>1</v>
      </c>
      <c r="K25412">
        <v>67</v>
      </c>
      <c r="L25412">
        <v>236</v>
      </c>
      <c r="M25412">
        <v>1</v>
      </c>
      <c r="N25412">
        <v>7.3722500000000004E-19</v>
      </c>
      <c r="O25412">
        <v>224</v>
      </c>
    </row>
    <row r="25413" spans="1:15" x14ac:dyDescent="0.25">
      <c r="A25413" t="s">
        <v>25426</v>
      </c>
      <c r="B25413">
        <v>152</v>
      </c>
      <c r="C25413" s="1" t="str">
        <f>HYPERLINK("http://www.rosaceae.org/gb/gbrowse/malus_x_domestica/?name=MDP0000272545","MDP0000272545")</f>
        <v>MDP0000272545</v>
      </c>
      <c r="D25413">
        <v>66.34</v>
      </c>
      <c r="E25413">
        <v>104</v>
      </c>
      <c r="F25413">
        <v>35</v>
      </c>
      <c r="G25413">
        <v>13</v>
      </c>
      <c r="H25413">
        <v>32</v>
      </c>
      <c r="I25413">
        <v>122</v>
      </c>
      <c r="J25413">
        <v>1</v>
      </c>
      <c r="K25413">
        <v>37</v>
      </c>
      <c r="L25413">
        <v>140</v>
      </c>
      <c r="M25413">
        <v>1</v>
      </c>
      <c r="N25413">
        <v>1.3159900000000001E-30</v>
      </c>
      <c r="O25413">
        <v>323</v>
      </c>
    </row>
    <row r="25414" spans="1:15" x14ac:dyDescent="0.25">
      <c r="A25414" t="s">
        <v>25427</v>
      </c>
      <c r="B25414">
        <v>283</v>
      </c>
      <c r="C25414" s="1" t="str">
        <f>HYPERLINK("http://www.rosaceae.org/gb/gbrowse/malus_x_domestica/?name=MDP0000807738","MDP0000807738")</f>
        <v>MDP0000807738</v>
      </c>
      <c r="D25414">
        <v>74.11</v>
      </c>
      <c r="E25414">
        <v>282</v>
      </c>
      <c r="F25414">
        <v>73</v>
      </c>
      <c r="G25414">
        <v>32</v>
      </c>
      <c r="H25414">
        <v>2</v>
      </c>
      <c r="I25414">
        <v>283</v>
      </c>
      <c r="J25414">
        <v>1</v>
      </c>
      <c r="K25414">
        <v>5</v>
      </c>
      <c r="L25414">
        <v>254</v>
      </c>
      <c r="M25414">
        <v>1</v>
      </c>
      <c r="N25414">
        <v>1.96052E-120</v>
      </c>
      <c r="O25414">
        <v>1102</v>
      </c>
    </row>
    <row r="25415" spans="1:15" x14ac:dyDescent="0.25">
      <c r="A25415" t="s">
        <v>25428</v>
      </c>
      <c r="B25415">
        <v>463</v>
      </c>
      <c r="C25415" s="1" t="str">
        <f>HYPERLINK("http://www.rosaceae.org/gb/gbrowse/malus_x_domestica/?name=MDP0000259719","MDP0000259719")</f>
        <v>MDP0000259719</v>
      </c>
      <c r="D25415">
        <v>84.07</v>
      </c>
      <c r="E25415">
        <v>427</v>
      </c>
      <c r="F25415">
        <v>68</v>
      </c>
      <c r="G25415">
        <v>1</v>
      </c>
      <c r="H25415">
        <v>2</v>
      </c>
      <c r="I25415">
        <v>428</v>
      </c>
      <c r="J25415">
        <v>1</v>
      </c>
      <c r="K25415">
        <v>109</v>
      </c>
      <c r="L25415">
        <v>534</v>
      </c>
      <c r="M25415">
        <v>1</v>
      </c>
      <c r="N25415">
        <v>0</v>
      </c>
      <c r="O25415">
        <v>1952</v>
      </c>
    </row>
    <row r="25416" spans="1:15" x14ac:dyDescent="0.25">
      <c r="A25416" t="s">
        <v>25429</v>
      </c>
      <c r="B25416">
        <v>345</v>
      </c>
      <c r="C25416" s="1" t="str">
        <f>HYPERLINK("http://www.rosaceae.org/gb/gbrowse/malus_x_domestica/?name=MDP0000887805","MDP0000887805")</f>
        <v>MDP0000887805</v>
      </c>
      <c r="D25416">
        <v>47.12</v>
      </c>
      <c r="E25416">
        <v>348</v>
      </c>
      <c r="F25416">
        <v>184</v>
      </c>
      <c r="G25416">
        <v>25</v>
      </c>
      <c r="H25416">
        <v>1</v>
      </c>
      <c r="I25416">
        <v>325</v>
      </c>
      <c r="J25416">
        <v>1</v>
      </c>
      <c r="K25416">
        <v>1</v>
      </c>
      <c r="L25416">
        <v>346</v>
      </c>
      <c r="M25416">
        <v>1</v>
      </c>
      <c r="N25416">
        <v>1.07535E-74</v>
      </c>
      <c r="O25416">
        <v>709</v>
      </c>
    </row>
    <row r="25417" spans="1:15" x14ac:dyDescent="0.25">
      <c r="A25417" t="s">
        <v>25430</v>
      </c>
      <c r="B25417">
        <v>418</v>
      </c>
      <c r="C25417" s="1" t="str">
        <f>HYPERLINK("http://www.rosaceae.org/gb/gbrowse/malus_x_domestica/?name=MDP0000233901","MDP0000233901")</f>
        <v>MDP0000233901</v>
      </c>
      <c r="D25417">
        <v>53.39</v>
      </c>
      <c r="E25417">
        <v>324</v>
      </c>
      <c r="F25417">
        <v>151</v>
      </c>
      <c r="G25417">
        <v>30</v>
      </c>
      <c r="H25417">
        <v>119</v>
      </c>
      <c r="I25417">
        <v>412</v>
      </c>
      <c r="J25417">
        <v>1</v>
      </c>
      <c r="K25417">
        <v>38</v>
      </c>
      <c r="L25417">
        <v>361</v>
      </c>
      <c r="M25417">
        <v>1</v>
      </c>
      <c r="N25417">
        <v>1.31918E-90</v>
      </c>
      <c r="O25417">
        <v>847</v>
      </c>
    </row>
    <row r="25418" spans="1:15" x14ac:dyDescent="0.25">
      <c r="A25418" t="s">
        <v>25431</v>
      </c>
      <c r="B25418">
        <v>318</v>
      </c>
      <c r="C25418" s="1" t="str">
        <f>HYPERLINK("http://www.rosaceae.org/gb/gbrowse/malus_x_domestica/?name=MDP0000262955","MDP0000262955")</f>
        <v>MDP0000262955</v>
      </c>
      <c r="D25418">
        <v>68.55</v>
      </c>
      <c r="E25418">
        <v>318</v>
      </c>
      <c r="F25418">
        <v>100</v>
      </c>
      <c r="G25418">
        <v>4</v>
      </c>
      <c r="H25418">
        <v>1</v>
      </c>
      <c r="I25418">
        <v>318</v>
      </c>
      <c r="J25418">
        <v>1</v>
      </c>
      <c r="K25418">
        <v>153</v>
      </c>
      <c r="L25418">
        <v>466</v>
      </c>
      <c r="M25418">
        <v>1</v>
      </c>
      <c r="N25418">
        <v>1.4620499999999999E-130</v>
      </c>
      <c r="O25418">
        <v>1190</v>
      </c>
    </row>
    <row r="25419" spans="1:15" x14ac:dyDescent="0.25">
      <c r="A25419" t="s">
        <v>25432</v>
      </c>
      <c r="B25419">
        <v>652</v>
      </c>
      <c r="C25419" s="1" t="str">
        <f>HYPERLINK("http://www.rosaceae.org/gb/gbrowse/malus_x_domestica/?name=MDP0000322203","MDP0000322203")</f>
        <v>MDP0000322203</v>
      </c>
      <c r="D25419">
        <v>92.78</v>
      </c>
      <c r="E25419">
        <v>388</v>
      </c>
      <c r="F25419">
        <v>28</v>
      </c>
      <c r="G25419">
        <v>16</v>
      </c>
      <c r="H25419">
        <v>12</v>
      </c>
      <c r="I25419">
        <v>399</v>
      </c>
      <c r="J25419">
        <v>1</v>
      </c>
      <c r="K25419">
        <v>651</v>
      </c>
      <c r="L25419">
        <v>1022</v>
      </c>
      <c r="M25419">
        <v>1</v>
      </c>
      <c r="N25419">
        <v>0</v>
      </c>
      <c r="O25419">
        <v>1874</v>
      </c>
    </row>
    <row r="25420" spans="1:15" x14ac:dyDescent="0.25">
      <c r="A25420" t="s">
        <v>25433</v>
      </c>
      <c r="B25420">
        <v>279</v>
      </c>
      <c r="C25420" s="1" t="str">
        <f>HYPERLINK("http://www.rosaceae.org/gb/gbrowse/malus_x_domestica/?name=MDP0000226218","MDP0000226218")</f>
        <v>MDP0000226218</v>
      </c>
      <c r="D25420">
        <v>83.76</v>
      </c>
      <c r="E25420">
        <v>234</v>
      </c>
      <c r="F25420">
        <v>38</v>
      </c>
      <c r="G25420">
        <v>0</v>
      </c>
      <c r="H25420">
        <v>30</v>
      </c>
      <c r="I25420">
        <v>263</v>
      </c>
      <c r="J25420">
        <v>1</v>
      </c>
      <c r="K25420">
        <v>82</v>
      </c>
      <c r="L25420">
        <v>315</v>
      </c>
      <c r="M25420">
        <v>1</v>
      </c>
      <c r="N25420">
        <v>4.7304399999999999E-113</v>
      </c>
      <c r="O25420">
        <v>1039</v>
      </c>
    </row>
    <row r="25421" spans="1:15" x14ac:dyDescent="0.25">
      <c r="A25421" t="s">
        <v>25434</v>
      </c>
      <c r="B25421">
        <v>370</v>
      </c>
      <c r="C25421" s="1" t="str">
        <f>HYPERLINK("http://www.rosaceae.org/gb/gbrowse/malus_x_domestica/?name=MDP0000285017","MDP0000285017")</f>
        <v>MDP0000285017</v>
      </c>
      <c r="D25421">
        <v>69.540000000000006</v>
      </c>
      <c r="E25421">
        <v>348</v>
      </c>
      <c r="F25421">
        <v>106</v>
      </c>
      <c r="G25421">
        <v>10</v>
      </c>
      <c r="H25421">
        <v>22</v>
      </c>
      <c r="I25421">
        <v>369</v>
      </c>
      <c r="J25421">
        <v>1</v>
      </c>
      <c r="K25421">
        <v>245</v>
      </c>
      <c r="L25421">
        <v>582</v>
      </c>
      <c r="M25421">
        <v>1</v>
      </c>
      <c r="N25421">
        <v>1.5454099999999999E-145</v>
      </c>
      <c r="O25421">
        <v>1320</v>
      </c>
    </row>
    <row r="25422" spans="1:15" x14ac:dyDescent="0.25">
      <c r="A25422" t="s">
        <v>25435</v>
      </c>
      <c r="B25422">
        <v>442</v>
      </c>
      <c r="C25422" s="1" t="str">
        <f>HYPERLINK("http://www.rosaceae.org/gb/gbrowse/malus_x_domestica/?name=MDP0000020140","MDP0000020140")</f>
        <v>MDP0000020140</v>
      </c>
      <c r="D25422">
        <v>46.1</v>
      </c>
      <c r="E25422">
        <v>488</v>
      </c>
      <c r="F25422">
        <v>263</v>
      </c>
      <c r="G25422">
        <v>108</v>
      </c>
      <c r="H25422">
        <v>30</v>
      </c>
      <c r="I25422">
        <v>426</v>
      </c>
      <c r="J25422">
        <v>1</v>
      </c>
      <c r="K25422">
        <v>140</v>
      </c>
      <c r="L25422">
        <v>610</v>
      </c>
      <c r="M25422">
        <v>1</v>
      </c>
      <c r="N25422">
        <v>1.1693700000000001E-105</v>
      </c>
      <c r="O25422">
        <v>977</v>
      </c>
    </row>
    <row r="25423" spans="1:15" x14ac:dyDescent="0.25">
      <c r="A25423" t="s">
        <v>25436</v>
      </c>
      <c r="B25423">
        <v>150</v>
      </c>
      <c r="C25423" s="1" t="str">
        <f>HYPERLINK("http://www.rosaceae.org/gb/gbrowse/malus_x_domestica/?name=MDP0000248682","MDP0000248682")</f>
        <v>MDP0000248682</v>
      </c>
      <c r="D25423">
        <v>70.64</v>
      </c>
      <c r="E25423">
        <v>109</v>
      </c>
      <c r="F25423">
        <v>32</v>
      </c>
      <c r="G25423">
        <v>0</v>
      </c>
      <c r="H25423">
        <v>1</v>
      </c>
      <c r="I25423">
        <v>109</v>
      </c>
      <c r="J25423">
        <v>1</v>
      </c>
      <c r="K25423">
        <v>280</v>
      </c>
      <c r="L25423">
        <v>388</v>
      </c>
      <c r="M25423">
        <v>1</v>
      </c>
      <c r="N25423">
        <v>6.4433700000000004E-42</v>
      </c>
      <c r="O25423">
        <v>421</v>
      </c>
    </row>
    <row r="25424" spans="1:15" x14ac:dyDescent="0.25">
      <c r="A25424" t="s">
        <v>25437</v>
      </c>
      <c r="B25424">
        <v>177</v>
      </c>
      <c r="C25424" s="1" t="str">
        <f>HYPERLINK("http://www.rosaceae.org/gb/gbrowse/malus_x_domestica/?name=MDP0000286449","MDP0000286449")</f>
        <v>MDP0000286449</v>
      </c>
      <c r="D25424">
        <v>29.04</v>
      </c>
      <c r="E25424">
        <v>210</v>
      </c>
      <c r="F25424">
        <v>149</v>
      </c>
      <c r="G25424">
        <v>55</v>
      </c>
      <c r="H25424">
        <v>6</v>
      </c>
      <c r="I25424">
        <v>177</v>
      </c>
      <c r="J25424">
        <v>1</v>
      </c>
      <c r="K25424">
        <v>69</v>
      </c>
      <c r="L25424">
        <v>261</v>
      </c>
      <c r="M25424">
        <v>1</v>
      </c>
      <c r="N25424">
        <v>8.24099E-12</v>
      </c>
      <c r="O25424">
        <v>163</v>
      </c>
    </row>
    <row r="25425" spans="1:15" x14ac:dyDescent="0.25">
      <c r="A25425" t="s">
        <v>25438</v>
      </c>
      <c r="B25425">
        <v>462</v>
      </c>
      <c r="C25425" s="1" t="str">
        <f>HYPERLINK("http://www.rosaceae.org/gb/gbrowse/malus_x_domestica/?name=MDP0000248112","MDP0000248112")</f>
        <v>MDP0000248112</v>
      </c>
      <c r="D25425">
        <v>46.21</v>
      </c>
      <c r="E25425">
        <v>515</v>
      </c>
      <c r="F25425">
        <v>277</v>
      </c>
      <c r="G25425">
        <v>77</v>
      </c>
      <c r="H25425">
        <v>1</v>
      </c>
      <c r="I25425">
        <v>462</v>
      </c>
      <c r="J25425">
        <v>1</v>
      </c>
      <c r="K25425">
        <v>199</v>
      </c>
      <c r="L25425">
        <v>689</v>
      </c>
      <c r="M25425">
        <v>1</v>
      </c>
      <c r="N25425">
        <v>6.79767E-105</v>
      </c>
      <c r="O25425">
        <v>971</v>
      </c>
    </row>
    <row r="25426" spans="1:15" x14ac:dyDescent="0.25">
      <c r="A25426" t="s">
        <v>25439</v>
      </c>
      <c r="B25426">
        <v>433</v>
      </c>
      <c r="C25426" s="1" t="str">
        <f>HYPERLINK("http://www.rosaceae.org/gb/gbrowse/malus_x_domestica/?name=MDP0000153227","MDP0000153227")</f>
        <v>MDP0000153227</v>
      </c>
      <c r="D25426">
        <v>74.16</v>
      </c>
      <c r="E25426">
        <v>120</v>
      </c>
      <c r="F25426">
        <v>31</v>
      </c>
      <c r="G25426">
        <v>0</v>
      </c>
      <c r="H25426">
        <v>313</v>
      </c>
      <c r="I25426">
        <v>432</v>
      </c>
      <c r="J25426">
        <v>1</v>
      </c>
      <c r="K25426">
        <v>3</v>
      </c>
      <c r="L25426">
        <v>122</v>
      </c>
      <c r="M25426">
        <v>1</v>
      </c>
      <c r="N25426">
        <v>6.5423099999999999E-53</v>
      </c>
      <c r="O25426">
        <v>522</v>
      </c>
    </row>
    <row r="25427" spans="1:15" x14ac:dyDescent="0.25">
      <c r="A25427" t="s">
        <v>25440</v>
      </c>
      <c r="B25427">
        <v>759</v>
      </c>
      <c r="C25427" s="1" t="str">
        <f>HYPERLINK("http://www.rosaceae.org/gb/gbrowse/malus_x_domestica/?name=MDP0000227287","MDP0000227287")</f>
        <v>MDP0000227287</v>
      </c>
      <c r="D25427">
        <v>89.71</v>
      </c>
      <c r="E25427">
        <v>768</v>
      </c>
      <c r="F25427">
        <v>79</v>
      </c>
      <c r="G25427">
        <v>10</v>
      </c>
      <c r="H25427">
        <v>1</v>
      </c>
      <c r="I25427">
        <v>758</v>
      </c>
      <c r="J25427">
        <v>1</v>
      </c>
      <c r="K25427">
        <v>1</v>
      </c>
      <c r="L25427">
        <v>768</v>
      </c>
      <c r="M25427">
        <v>1</v>
      </c>
      <c r="N25427">
        <v>0</v>
      </c>
      <c r="O25427">
        <v>3707</v>
      </c>
    </row>
    <row r="25428" spans="1:15" x14ac:dyDescent="0.25">
      <c r="A25428" t="s">
        <v>25441</v>
      </c>
      <c r="B25428">
        <v>1747</v>
      </c>
      <c r="C25428" s="1" t="str">
        <f>HYPERLINK("http://www.rosaceae.org/gb/gbrowse/malus_x_domestica/?name=MDP0000292543","MDP0000292543")</f>
        <v>MDP0000292543</v>
      </c>
      <c r="D25428">
        <v>50.2</v>
      </c>
      <c r="E25428">
        <v>1697</v>
      </c>
      <c r="F25428">
        <v>845</v>
      </c>
      <c r="G25428">
        <v>139</v>
      </c>
      <c r="H25428">
        <v>72</v>
      </c>
      <c r="I25428">
        <v>1724</v>
      </c>
      <c r="J25428">
        <v>1</v>
      </c>
      <c r="K25428">
        <v>11</v>
      </c>
      <c r="L25428">
        <v>1612</v>
      </c>
      <c r="M25428">
        <v>1</v>
      </c>
      <c r="N25428">
        <v>0</v>
      </c>
      <c r="O25428">
        <v>3461</v>
      </c>
    </row>
    <row r="25429" spans="1:15" x14ac:dyDescent="0.25">
      <c r="A25429" t="s">
        <v>25442</v>
      </c>
      <c r="B25429">
        <v>152</v>
      </c>
      <c r="C25429" s="1" t="str">
        <f>HYPERLINK("http://www.rosaceae.org/gb/gbrowse/malus_x_domestica/?name=MDP0000249104","MDP0000249104")</f>
        <v>MDP0000249104</v>
      </c>
      <c r="D25429">
        <v>51.87</v>
      </c>
      <c r="E25429">
        <v>133</v>
      </c>
      <c r="F25429">
        <v>64</v>
      </c>
      <c r="G25429">
        <v>0</v>
      </c>
      <c r="H25429">
        <v>1</v>
      </c>
      <c r="I25429">
        <v>133</v>
      </c>
      <c r="J25429">
        <v>1</v>
      </c>
      <c r="K25429">
        <v>20</v>
      </c>
      <c r="L25429">
        <v>152</v>
      </c>
      <c r="M25429">
        <v>1</v>
      </c>
      <c r="N25429">
        <v>1.26258E-29</v>
      </c>
      <c r="O25429">
        <v>315</v>
      </c>
    </row>
    <row r="25430" spans="1:15" x14ac:dyDescent="0.25">
      <c r="A25430" t="s">
        <v>25443</v>
      </c>
      <c r="B25430">
        <v>560</v>
      </c>
      <c r="C25430" s="1" t="str">
        <f>HYPERLINK("http://www.rosaceae.org/gb/gbrowse/malus_x_domestica/?name=MDP0000318609","MDP0000318609")</f>
        <v>MDP0000318609</v>
      </c>
      <c r="D25430">
        <v>63.08</v>
      </c>
      <c r="E25430">
        <v>531</v>
      </c>
      <c r="F25430">
        <v>196</v>
      </c>
      <c r="G25430">
        <v>10</v>
      </c>
      <c r="H25430">
        <v>9</v>
      </c>
      <c r="I25430">
        <v>536</v>
      </c>
      <c r="J25430">
        <v>1</v>
      </c>
      <c r="K25430">
        <v>13</v>
      </c>
      <c r="L25430">
        <v>536</v>
      </c>
      <c r="M25430">
        <v>1</v>
      </c>
      <c r="N25430">
        <v>0</v>
      </c>
      <c r="O25430">
        <v>1738</v>
      </c>
    </row>
    <row r="25431" spans="1:15" x14ac:dyDescent="0.25">
      <c r="A25431" t="s">
        <v>25444</v>
      </c>
      <c r="B25431">
        <v>158</v>
      </c>
      <c r="C25431" s="1" t="str">
        <f>HYPERLINK("http://www.rosaceae.org/gb/gbrowse/malus_x_domestica/?name=MDP0000613175","MDP0000613175")</f>
        <v>MDP0000613175</v>
      </c>
      <c r="D25431">
        <v>51.13</v>
      </c>
      <c r="E25431">
        <v>88</v>
      </c>
      <c r="F25431">
        <v>43</v>
      </c>
      <c r="G25431">
        <v>26</v>
      </c>
      <c r="H25431">
        <v>97</v>
      </c>
      <c r="I25431">
        <v>158</v>
      </c>
      <c r="J25431">
        <v>1</v>
      </c>
      <c r="K25431">
        <v>408</v>
      </c>
      <c r="L25431">
        <v>495</v>
      </c>
      <c r="M25431">
        <v>1</v>
      </c>
      <c r="N25431">
        <v>5.7612200000000002E-16</v>
      </c>
      <c r="O25431">
        <v>197</v>
      </c>
    </row>
    <row r="25432" spans="1:15" x14ac:dyDescent="0.25">
      <c r="A25432" t="s">
        <v>25445</v>
      </c>
      <c r="B25432">
        <v>365</v>
      </c>
      <c r="C25432" s="1" t="str">
        <f>HYPERLINK("http://www.rosaceae.org/gb/gbrowse/malus_x_domestica/?name=MDP0000628052","MDP0000628052")</f>
        <v>MDP0000628052</v>
      </c>
      <c r="D25432">
        <v>37.700000000000003</v>
      </c>
      <c r="E25432">
        <v>305</v>
      </c>
      <c r="F25432">
        <v>190</v>
      </c>
      <c r="G25432">
        <v>63</v>
      </c>
      <c r="H25432">
        <v>13</v>
      </c>
      <c r="I25432">
        <v>304</v>
      </c>
      <c r="J25432">
        <v>1</v>
      </c>
      <c r="K25432">
        <v>47</v>
      </c>
      <c r="L25432">
        <v>301</v>
      </c>
      <c r="M25432">
        <v>1</v>
      </c>
      <c r="N25432">
        <v>1.69815E-42</v>
      </c>
      <c r="O25432">
        <v>431</v>
      </c>
    </row>
    <row r="25433" spans="1:15" x14ac:dyDescent="0.25">
      <c r="A25433" t="s">
        <v>25446</v>
      </c>
      <c r="B25433">
        <v>450</v>
      </c>
      <c r="C25433" s="1" t="str">
        <f>HYPERLINK("http://www.rosaceae.org/gb/gbrowse/malus_x_domestica/?name=MDP0000296691","MDP0000296691")</f>
        <v>MDP0000296691</v>
      </c>
      <c r="D25433">
        <v>33.659999999999997</v>
      </c>
      <c r="E25433">
        <v>101</v>
      </c>
      <c r="F25433">
        <v>67</v>
      </c>
      <c r="G25433">
        <v>23</v>
      </c>
      <c r="H25433">
        <v>48</v>
      </c>
      <c r="I25433">
        <v>144</v>
      </c>
      <c r="J25433">
        <v>1</v>
      </c>
      <c r="K25433">
        <v>374</v>
      </c>
      <c r="L25433">
        <v>455</v>
      </c>
      <c r="M25433">
        <v>1</v>
      </c>
      <c r="N25433">
        <v>3.2425299999999999E-7</v>
      </c>
      <c r="O25433">
        <v>128</v>
      </c>
    </row>
    <row r="25434" spans="1:15" x14ac:dyDescent="0.25">
      <c r="A25434" t="s">
        <v>25447</v>
      </c>
      <c r="B25434">
        <v>310</v>
      </c>
      <c r="C25434" s="1" t="str">
        <f>HYPERLINK("http://www.rosaceae.org/gb/gbrowse/malus_x_domestica/?name=MDP0000880252","MDP0000880252")</f>
        <v>MDP0000880252</v>
      </c>
      <c r="D25434">
        <v>34.200000000000003</v>
      </c>
      <c r="E25434">
        <v>269</v>
      </c>
      <c r="F25434">
        <v>177</v>
      </c>
      <c r="G25434">
        <v>43</v>
      </c>
      <c r="H25434">
        <v>32</v>
      </c>
      <c r="I25434">
        <v>260</v>
      </c>
      <c r="J25434">
        <v>1</v>
      </c>
      <c r="K25434">
        <v>26</v>
      </c>
      <c r="L25434">
        <v>291</v>
      </c>
      <c r="M25434">
        <v>1</v>
      </c>
      <c r="N25434">
        <v>9.1132300000000005E-19</v>
      </c>
      <c r="O25434">
        <v>226</v>
      </c>
    </row>
    <row r="25435" spans="1:15" x14ac:dyDescent="0.25">
      <c r="A25435" t="s">
        <v>25448</v>
      </c>
      <c r="B25435">
        <v>327</v>
      </c>
      <c r="C25435" s="1" t="str">
        <f>HYPERLINK("http://www.rosaceae.org/gb/gbrowse/malus_x_domestica/?name=MDP0000271304","MDP0000271304")</f>
        <v>MDP0000271304</v>
      </c>
      <c r="D25435">
        <v>68.709999999999994</v>
      </c>
      <c r="E25435">
        <v>326</v>
      </c>
      <c r="F25435">
        <v>102</v>
      </c>
      <c r="G25435">
        <v>17</v>
      </c>
      <c r="H25435">
        <v>1</v>
      </c>
      <c r="I25435">
        <v>310</v>
      </c>
      <c r="J25435">
        <v>1</v>
      </c>
      <c r="K25435">
        <v>13</v>
      </c>
      <c r="L25435">
        <v>337</v>
      </c>
      <c r="M25435">
        <v>1</v>
      </c>
      <c r="N25435">
        <v>5.7544699999999995E-122</v>
      </c>
      <c r="O25435">
        <v>1116</v>
      </c>
    </row>
    <row r="25436" spans="1:15" x14ac:dyDescent="0.25">
      <c r="A25436" t="s">
        <v>25449</v>
      </c>
      <c r="B25436">
        <v>418</v>
      </c>
      <c r="C25436" s="1" t="str">
        <f>HYPERLINK("http://www.rosaceae.org/gb/gbrowse/malus_x_domestica/?name=MDP0000277246","MDP0000277246")</f>
        <v>MDP0000277246</v>
      </c>
      <c r="D25436">
        <v>52.06</v>
      </c>
      <c r="E25436">
        <v>388</v>
      </c>
      <c r="F25436">
        <v>186</v>
      </c>
      <c r="G25436">
        <v>0</v>
      </c>
      <c r="H25436">
        <v>24</v>
      </c>
      <c r="I25436">
        <v>411</v>
      </c>
      <c r="J25436">
        <v>1</v>
      </c>
      <c r="K25436">
        <v>1</v>
      </c>
      <c r="L25436">
        <v>388</v>
      </c>
      <c r="M25436">
        <v>1</v>
      </c>
      <c r="N25436">
        <v>1.6681799999999999E-115</v>
      </c>
      <c r="O25436">
        <v>1062</v>
      </c>
    </row>
    <row r="25437" spans="1:15" x14ac:dyDescent="0.25">
      <c r="A25437" t="s">
        <v>25450</v>
      </c>
      <c r="B25437">
        <v>392</v>
      </c>
      <c r="C25437" s="1" t="str">
        <f>HYPERLINK("http://www.rosaceae.org/gb/gbrowse/malus_x_domestica/?name=MDP0000250536","MDP0000250536")</f>
        <v>MDP0000250536</v>
      </c>
      <c r="D25437">
        <v>37.659999999999997</v>
      </c>
      <c r="E25437">
        <v>308</v>
      </c>
      <c r="F25437">
        <v>192</v>
      </c>
      <c r="G25437">
        <v>29</v>
      </c>
      <c r="H25437">
        <v>20</v>
      </c>
      <c r="I25437">
        <v>316</v>
      </c>
      <c r="J25437">
        <v>1</v>
      </c>
      <c r="K25437">
        <v>20</v>
      </c>
      <c r="L25437">
        <v>309</v>
      </c>
      <c r="M25437">
        <v>1</v>
      </c>
      <c r="N25437">
        <v>1.5973699999999999E-47</v>
      </c>
      <c r="O25437">
        <v>475</v>
      </c>
    </row>
    <row r="25438" spans="1:15" x14ac:dyDescent="0.25">
      <c r="A25438" t="s">
        <v>25451</v>
      </c>
      <c r="B25438">
        <v>153</v>
      </c>
      <c r="C25438" s="1" t="str">
        <f>HYPERLINK("http://www.rosaceae.org/gb/gbrowse/malus_x_domestica/?name=MDP0000055639","MDP0000055639")</f>
        <v>MDP0000055639</v>
      </c>
      <c r="D25438">
        <v>53.37</v>
      </c>
      <c r="E25438">
        <v>148</v>
      </c>
      <c r="F25438">
        <v>69</v>
      </c>
      <c r="G25438">
        <v>6</v>
      </c>
      <c r="H25438">
        <v>1</v>
      </c>
      <c r="I25438">
        <v>142</v>
      </c>
      <c r="J25438">
        <v>1</v>
      </c>
      <c r="K25438">
        <v>175</v>
      </c>
      <c r="L25438">
        <v>322</v>
      </c>
      <c r="M25438">
        <v>1</v>
      </c>
      <c r="N25438">
        <v>9.1776500000000005E-38</v>
      </c>
      <c r="O25438">
        <v>385</v>
      </c>
    </row>
    <row r="25439" spans="1:15" x14ac:dyDescent="0.25">
      <c r="A25439" t="s">
        <v>25452</v>
      </c>
      <c r="B25439">
        <v>100</v>
      </c>
      <c r="C25439" s="1" t="str">
        <f>HYPERLINK("http://www.rosaceae.org/gb/gbrowse/malus_x_domestica/?name=MDP0000350192","MDP0000350192")</f>
        <v>MDP0000350192</v>
      </c>
      <c r="D25439">
        <v>100</v>
      </c>
      <c r="E25439">
        <v>27</v>
      </c>
      <c r="F25439">
        <v>0</v>
      </c>
      <c r="G25439">
        <v>0</v>
      </c>
      <c r="H25439">
        <v>74</v>
      </c>
      <c r="I25439">
        <v>100</v>
      </c>
      <c r="J25439">
        <v>1</v>
      </c>
      <c r="K25439">
        <v>24</v>
      </c>
      <c r="L25439">
        <v>50</v>
      </c>
      <c r="M25439">
        <v>1</v>
      </c>
      <c r="N25439">
        <v>2.52119E-10</v>
      </c>
      <c r="O25439">
        <v>147</v>
      </c>
    </row>
    <row r="25440" spans="1:15" x14ac:dyDescent="0.25">
      <c r="A25440" t="s">
        <v>25453</v>
      </c>
      <c r="B25440">
        <v>314</v>
      </c>
      <c r="C25440" s="1" t="str">
        <f>HYPERLINK("http://www.rosaceae.org/gb/gbrowse/malus_x_domestica/?name=MDP0000753870","MDP0000753870")</f>
        <v>MDP0000753870</v>
      </c>
      <c r="D25440">
        <v>41.75</v>
      </c>
      <c r="E25440">
        <v>364</v>
      </c>
      <c r="F25440">
        <v>212</v>
      </c>
      <c r="G25440">
        <v>65</v>
      </c>
      <c r="H25440">
        <v>4</v>
      </c>
      <c r="I25440">
        <v>310</v>
      </c>
      <c r="J25440">
        <v>1</v>
      </c>
      <c r="K25440">
        <v>2</v>
      </c>
      <c r="L25440">
        <v>357</v>
      </c>
      <c r="M25440">
        <v>1</v>
      </c>
      <c r="N25440">
        <v>8.4520799999999996E-57</v>
      </c>
      <c r="O25440">
        <v>554</v>
      </c>
    </row>
    <row r="25441" spans="1:15" x14ac:dyDescent="0.25">
      <c r="A25441" t="s">
        <v>25454</v>
      </c>
      <c r="B25441">
        <v>162</v>
      </c>
      <c r="C25441" s="1" t="str">
        <f>HYPERLINK("http://www.rosaceae.org/gb/gbrowse/malus_x_domestica/?name=MDP0000128727","MDP0000128727")</f>
        <v>MDP0000128727</v>
      </c>
      <c r="D25441">
        <v>82.41</v>
      </c>
      <c r="E25441">
        <v>91</v>
      </c>
      <c r="F25441">
        <v>16</v>
      </c>
      <c r="G25441">
        <v>0</v>
      </c>
      <c r="H25441">
        <v>1</v>
      </c>
      <c r="I25441">
        <v>91</v>
      </c>
      <c r="J25441">
        <v>1</v>
      </c>
      <c r="K25441">
        <v>1</v>
      </c>
      <c r="L25441">
        <v>91</v>
      </c>
      <c r="M25441">
        <v>1</v>
      </c>
      <c r="N25441">
        <v>8.2899800000000002E-38</v>
      </c>
      <c r="O25441">
        <v>386</v>
      </c>
    </row>
    <row r="25442" spans="1:15" x14ac:dyDescent="0.25">
      <c r="A25442" t="s">
        <v>25455</v>
      </c>
      <c r="B25442">
        <v>115</v>
      </c>
      <c r="C25442" s="1" t="str">
        <f>HYPERLINK("http://www.rosaceae.org/gb/gbrowse/malus_x_domestica/?name=MDP0000933141","MDP0000933141")</f>
        <v>MDP0000933141</v>
      </c>
      <c r="D25442">
        <v>60.17</v>
      </c>
      <c r="E25442">
        <v>113</v>
      </c>
      <c r="F25442">
        <v>45</v>
      </c>
      <c r="G25442">
        <v>0</v>
      </c>
      <c r="H25442">
        <v>3</v>
      </c>
      <c r="I25442">
        <v>115</v>
      </c>
      <c r="J25442">
        <v>1</v>
      </c>
      <c r="K25442">
        <v>4</v>
      </c>
      <c r="L25442">
        <v>116</v>
      </c>
      <c r="M25442">
        <v>1</v>
      </c>
      <c r="N25442">
        <v>6.0233500000000002E-32</v>
      </c>
      <c r="O25442">
        <v>333</v>
      </c>
    </row>
    <row r="25443" spans="1:15" x14ac:dyDescent="0.25">
      <c r="A25443" t="s">
        <v>25456</v>
      </c>
      <c r="B25443">
        <v>447</v>
      </c>
      <c r="C25443" s="1" t="str">
        <f>HYPERLINK("http://www.rosaceae.org/gb/gbrowse/malus_x_domestica/?name=MDP0000171771","MDP0000171771")</f>
        <v>MDP0000171771</v>
      </c>
      <c r="D25443">
        <v>42.13</v>
      </c>
      <c r="E25443">
        <v>159</v>
      </c>
      <c r="F25443">
        <v>92</v>
      </c>
      <c r="G25443">
        <v>22</v>
      </c>
      <c r="H25443">
        <v>3</v>
      </c>
      <c r="I25443">
        <v>146</v>
      </c>
      <c r="J25443">
        <v>1</v>
      </c>
      <c r="K25443">
        <v>26</v>
      </c>
      <c r="L25443">
        <v>177</v>
      </c>
      <c r="M25443">
        <v>1</v>
      </c>
      <c r="N25443">
        <v>5.9303199999999999E-24</v>
      </c>
      <c r="O25443">
        <v>273</v>
      </c>
    </row>
    <row r="25444" spans="1:15" x14ac:dyDescent="0.25">
      <c r="A25444" t="s">
        <v>25457</v>
      </c>
      <c r="B25444">
        <v>406</v>
      </c>
      <c r="C25444" s="1" t="str">
        <f>HYPERLINK("http://www.rosaceae.org/gb/gbrowse/malus_x_domestica/?name=MDP0000153693","MDP0000153693")</f>
        <v>MDP0000153693</v>
      </c>
      <c r="D25444">
        <v>44.18</v>
      </c>
      <c r="E25444">
        <v>86</v>
      </c>
      <c r="F25444">
        <v>48</v>
      </c>
      <c r="G25444">
        <v>11</v>
      </c>
      <c r="H25444">
        <v>151</v>
      </c>
      <c r="I25444">
        <v>225</v>
      </c>
      <c r="J25444">
        <v>1</v>
      </c>
      <c r="K25444">
        <v>103</v>
      </c>
      <c r="L25444">
        <v>188</v>
      </c>
      <c r="M25444">
        <v>1</v>
      </c>
      <c r="N25444">
        <v>7.8668200000000006E-12</v>
      </c>
      <c r="O25444">
        <v>168</v>
      </c>
    </row>
    <row r="25445" spans="1:15" x14ac:dyDescent="0.25">
      <c r="A25445" t="s">
        <v>25458</v>
      </c>
      <c r="B25445">
        <v>116</v>
      </c>
      <c r="C25445" s="1" t="str">
        <f>HYPERLINK("http://www.rosaceae.org/gb/gbrowse/malus_x_domestica/?name=MDP0000662356","MDP0000662356")</f>
        <v>MDP0000662356</v>
      </c>
      <c r="D25445">
        <v>77.58</v>
      </c>
      <c r="E25445">
        <v>116</v>
      </c>
      <c r="F25445">
        <v>26</v>
      </c>
      <c r="G25445">
        <v>0</v>
      </c>
      <c r="H25445">
        <v>1</v>
      </c>
      <c r="I25445">
        <v>116</v>
      </c>
      <c r="J25445">
        <v>1</v>
      </c>
      <c r="K25445">
        <v>1</v>
      </c>
      <c r="L25445">
        <v>116</v>
      </c>
      <c r="M25445">
        <v>1</v>
      </c>
      <c r="N25445">
        <v>1.2358199999999999E-44</v>
      </c>
      <c r="O25445">
        <v>442</v>
      </c>
    </row>
    <row r="25446" spans="1:15" x14ac:dyDescent="0.25">
      <c r="A25446" t="s">
        <v>25459</v>
      </c>
      <c r="B25446">
        <v>1267</v>
      </c>
      <c r="C25446" s="1" t="str">
        <f>HYPERLINK("http://www.rosaceae.org/gb/gbrowse/malus_x_domestica/?name=MDP0000288614","MDP0000288614")</f>
        <v>MDP0000288614</v>
      </c>
      <c r="D25446">
        <v>59.36</v>
      </c>
      <c r="E25446">
        <v>1292</v>
      </c>
      <c r="F25446">
        <v>525</v>
      </c>
      <c r="G25446">
        <v>95</v>
      </c>
      <c r="H25446">
        <v>1</v>
      </c>
      <c r="I25446">
        <v>1267</v>
      </c>
      <c r="J25446">
        <v>1</v>
      </c>
      <c r="K25446">
        <v>1</v>
      </c>
      <c r="L25446">
        <v>1222</v>
      </c>
      <c r="M25446">
        <v>1</v>
      </c>
      <c r="N25446">
        <v>0</v>
      </c>
      <c r="O25446">
        <v>3637</v>
      </c>
    </row>
    <row r="25447" spans="1:15" x14ac:dyDescent="0.25">
      <c r="A25447" t="s">
        <v>25460</v>
      </c>
      <c r="B25447">
        <v>230</v>
      </c>
      <c r="C25447" s="1" t="str">
        <f>HYPERLINK("http://www.rosaceae.org/gb/gbrowse/malus_x_domestica/?name=MDP0000158751","MDP0000158751")</f>
        <v>MDP0000158751</v>
      </c>
      <c r="D25447">
        <v>61.84</v>
      </c>
      <c r="E25447">
        <v>228</v>
      </c>
      <c r="F25447">
        <v>87</v>
      </c>
      <c r="G25447">
        <v>1</v>
      </c>
      <c r="H25447">
        <v>4</v>
      </c>
      <c r="I25447">
        <v>230</v>
      </c>
      <c r="J25447">
        <v>1</v>
      </c>
      <c r="K25447">
        <v>5</v>
      </c>
      <c r="L25447">
        <v>232</v>
      </c>
      <c r="M25447">
        <v>1</v>
      </c>
      <c r="N25447">
        <v>3.7204699999999998E-75</v>
      </c>
      <c r="O25447">
        <v>711</v>
      </c>
    </row>
    <row r="25448" spans="1:15" x14ac:dyDescent="0.25">
      <c r="A25448" t="s">
        <v>25461</v>
      </c>
      <c r="B25448">
        <v>179</v>
      </c>
      <c r="C25448" s="1" t="str">
        <f>HYPERLINK("http://www.rosaceae.org/gb/gbrowse/malus_x_domestica/?name=MDP0000220854","MDP0000220854")</f>
        <v>MDP0000220854</v>
      </c>
      <c r="D25448">
        <v>51.21</v>
      </c>
      <c r="E25448">
        <v>41</v>
      </c>
      <c r="F25448">
        <v>20</v>
      </c>
      <c r="G25448">
        <v>0</v>
      </c>
      <c r="H25448">
        <v>2</v>
      </c>
      <c r="I25448">
        <v>42</v>
      </c>
      <c r="J25448">
        <v>1</v>
      </c>
      <c r="K25448">
        <v>232</v>
      </c>
      <c r="L25448">
        <v>272</v>
      </c>
      <c r="M25448">
        <v>1</v>
      </c>
      <c r="N25448">
        <v>7.6533100000000001E-7</v>
      </c>
      <c r="O25448">
        <v>120</v>
      </c>
    </row>
    <row r="25449" spans="1:15" x14ac:dyDescent="0.25">
      <c r="A25449" t="s">
        <v>25462</v>
      </c>
      <c r="B25449">
        <v>168</v>
      </c>
      <c r="C25449" s="1" t="str">
        <f>HYPERLINK("http://www.rosaceae.org/gb/gbrowse/malus_x_domestica/?name=MDP0000298765","MDP0000298765")</f>
        <v>MDP0000298765</v>
      </c>
      <c r="D25449">
        <v>50.8</v>
      </c>
      <c r="E25449">
        <v>124</v>
      </c>
      <c r="F25449">
        <v>61</v>
      </c>
      <c r="G25449">
        <v>0</v>
      </c>
      <c r="H25449">
        <v>45</v>
      </c>
      <c r="I25449">
        <v>168</v>
      </c>
      <c r="J25449">
        <v>1</v>
      </c>
      <c r="K25449">
        <v>809</v>
      </c>
      <c r="L25449">
        <v>932</v>
      </c>
      <c r="M25449">
        <v>1</v>
      </c>
      <c r="N25449">
        <v>5.9626700000000004E-29</v>
      </c>
      <c r="O25449">
        <v>310</v>
      </c>
    </row>
    <row r="25450" spans="1:15" x14ac:dyDescent="0.25">
      <c r="A25450" t="s">
        <v>25463</v>
      </c>
      <c r="B25450">
        <v>379</v>
      </c>
      <c r="C25450" s="1" t="str">
        <f>HYPERLINK("http://www.rosaceae.org/gb/gbrowse/malus_x_domestica/?name=MDP0000184929","MDP0000184929")</f>
        <v>MDP0000184929</v>
      </c>
      <c r="D25450">
        <v>55.15</v>
      </c>
      <c r="E25450">
        <v>194</v>
      </c>
      <c r="F25450">
        <v>87</v>
      </c>
      <c r="G25450">
        <v>9</v>
      </c>
      <c r="H25450">
        <v>5</v>
      </c>
      <c r="I25450">
        <v>195</v>
      </c>
      <c r="J25450">
        <v>1</v>
      </c>
      <c r="K25450">
        <v>192</v>
      </c>
      <c r="L25450">
        <v>379</v>
      </c>
      <c r="M25450">
        <v>1</v>
      </c>
      <c r="N25450">
        <v>1.7670199999999999E-57</v>
      </c>
      <c r="O25450">
        <v>561</v>
      </c>
    </row>
    <row r="25451" spans="1:15" x14ac:dyDescent="0.25">
      <c r="A25451" t="s">
        <v>25464</v>
      </c>
      <c r="B25451">
        <v>472</v>
      </c>
      <c r="C25451" s="1" t="str">
        <f>HYPERLINK("http://www.rosaceae.org/gb/gbrowse/malus_x_domestica/?name=MDP0000278119","MDP0000278119")</f>
        <v>MDP0000278119</v>
      </c>
      <c r="D25451">
        <v>54.16</v>
      </c>
      <c r="E25451">
        <v>312</v>
      </c>
      <c r="F25451">
        <v>143</v>
      </c>
      <c r="G25451">
        <v>16</v>
      </c>
      <c r="H25451">
        <v>10</v>
      </c>
      <c r="I25451">
        <v>310</v>
      </c>
      <c r="J25451">
        <v>1</v>
      </c>
      <c r="K25451">
        <v>16</v>
      </c>
      <c r="L25451">
        <v>322</v>
      </c>
      <c r="M25451">
        <v>1</v>
      </c>
      <c r="N25451">
        <v>4.5854500000000001E-91</v>
      </c>
      <c r="O25451">
        <v>852</v>
      </c>
    </row>
    <row r="25452" spans="1:15" x14ac:dyDescent="0.25">
      <c r="A25452" t="s">
        <v>25465</v>
      </c>
      <c r="B25452">
        <v>195</v>
      </c>
      <c r="C25452" s="1" t="str">
        <f>HYPERLINK("http://www.rosaceae.org/gb/gbrowse/malus_x_domestica/?name=MDP0000334395","MDP0000334395")</f>
        <v>MDP0000334395</v>
      </c>
      <c r="D25452">
        <v>83.22</v>
      </c>
      <c r="E25452">
        <v>149</v>
      </c>
      <c r="F25452">
        <v>25</v>
      </c>
      <c r="G25452">
        <v>0</v>
      </c>
      <c r="H25452">
        <v>46</v>
      </c>
      <c r="I25452">
        <v>194</v>
      </c>
      <c r="J25452">
        <v>1</v>
      </c>
      <c r="K25452">
        <v>134</v>
      </c>
      <c r="L25452">
        <v>282</v>
      </c>
      <c r="M25452">
        <v>1</v>
      </c>
      <c r="N25452">
        <v>2.2342999999999999E-72</v>
      </c>
      <c r="O25452">
        <v>686</v>
      </c>
    </row>
    <row r="25453" spans="1:15" x14ac:dyDescent="0.25">
      <c r="A25453" t="s">
        <v>25466</v>
      </c>
      <c r="B25453">
        <v>267</v>
      </c>
      <c r="C25453" s="1" t="str">
        <f>HYPERLINK("http://www.rosaceae.org/gb/gbrowse/malus_x_domestica/?name=MDP0000190538","MDP0000190538")</f>
        <v>MDP0000190538</v>
      </c>
      <c r="D25453">
        <v>32.229999999999997</v>
      </c>
      <c r="E25453">
        <v>273</v>
      </c>
      <c r="F25453">
        <v>185</v>
      </c>
      <c r="G25453">
        <v>22</v>
      </c>
      <c r="H25453">
        <v>4</v>
      </c>
      <c r="I25453">
        <v>260</v>
      </c>
      <c r="J25453">
        <v>1</v>
      </c>
      <c r="K25453">
        <v>59</v>
      </c>
      <c r="L25453">
        <v>325</v>
      </c>
      <c r="M25453">
        <v>1</v>
      </c>
      <c r="N25453">
        <v>6.2543799999999997E-30</v>
      </c>
      <c r="O25453">
        <v>321</v>
      </c>
    </row>
    <row r="25454" spans="1:15" x14ac:dyDescent="0.25">
      <c r="A25454" t="s">
        <v>25467</v>
      </c>
      <c r="B25454">
        <v>195</v>
      </c>
      <c r="C25454" s="1" t="str">
        <f>HYPERLINK("http://www.rosaceae.org/gb/gbrowse/malus_x_domestica/?name=MDP0000902638","MDP0000902638")</f>
        <v>MDP0000902638</v>
      </c>
      <c r="D25454">
        <v>54.88</v>
      </c>
      <c r="E25454">
        <v>133</v>
      </c>
      <c r="F25454">
        <v>60</v>
      </c>
      <c r="G25454">
        <v>0</v>
      </c>
      <c r="H25454">
        <v>59</v>
      </c>
      <c r="I25454">
        <v>191</v>
      </c>
      <c r="J25454">
        <v>1</v>
      </c>
      <c r="K25454">
        <v>170</v>
      </c>
      <c r="L25454">
        <v>302</v>
      </c>
      <c r="M25454">
        <v>1</v>
      </c>
      <c r="N25454">
        <v>7.1344399999999999E-39</v>
      </c>
      <c r="O25454">
        <v>397</v>
      </c>
    </row>
    <row r="25455" spans="1:15" x14ac:dyDescent="0.25">
      <c r="A25455" t="s">
        <v>25468</v>
      </c>
      <c r="B25455">
        <v>429</v>
      </c>
      <c r="C25455" s="1" t="str">
        <f>HYPERLINK("http://www.rosaceae.org/gb/gbrowse/malus_x_domestica/?name=MDP0000217335","MDP0000217335")</f>
        <v>MDP0000217335</v>
      </c>
      <c r="D25455">
        <v>31.26</v>
      </c>
      <c r="E25455">
        <v>435</v>
      </c>
      <c r="F25455">
        <v>299</v>
      </c>
      <c r="G25455">
        <v>102</v>
      </c>
      <c r="H25455">
        <v>30</v>
      </c>
      <c r="I25455">
        <v>395</v>
      </c>
      <c r="J25455">
        <v>1</v>
      </c>
      <c r="K25455">
        <v>3</v>
      </c>
      <c r="L25455">
        <v>404</v>
      </c>
      <c r="M25455">
        <v>1</v>
      </c>
      <c r="N25455">
        <v>8.9892200000000007E-37</v>
      </c>
      <c r="O25455">
        <v>383</v>
      </c>
    </row>
    <row r="25456" spans="1:15" x14ac:dyDescent="0.25">
      <c r="A25456" t="s">
        <v>25469</v>
      </c>
      <c r="B25456">
        <v>469</v>
      </c>
      <c r="C25456" s="1" t="str">
        <f>HYPERLINK("http://www.rosaceae.org/gb/gbrowse/malus_x_domestica/?name=MDP0000563698","MDP0000563698")</f>
        <v>MDP0000563698</v>
      </c>
      <c r="D25456">
        <v>30.26</v>
      </c>
      <c r="E25456">
        <v>228</v>
      </c>
      <c r="F25456">
        <v>159</v>
      </c>
      <c r="G25456">
        <v>38</v>
      </c>
      <c r="H25456">
        <v>178</v>
      </c>
      <c r="I25456">
        <v>380</v>
      </c>
      <c r="J25456">
        <v>1</v>
      </c>
      <c r="K25456">
        <v>42</v>
      </c>
      <c r="L25456">
        <v>256</v>
      </c>
      <c r="M25456">
        <v>1</v>
      </c>
      <c r="N25456">
        <v>1.08108E-10</v>
      </c>
      <c r="O25456">
        <v>158</v>
      </c>
    </row>
    <row r="25457" spans="1:15" x14ac:dyDescent="0.25">
      <c r="A25457" t="s">
        <v>25470</v>
      </c>
      <c r="B25457">
        <v>324</v>
      </c>
      <c r="C25457" s="1" t="str">
        <f>HYPERLINK("http://www.rosaceae.org/gb/gbrowse/malus_x_domestica/?name=MDP0000155133","MDP0000155133")</f>
        <v>MDP0000155133</v>
      </c>
      <c r="D25457">
        <v>64.23</v>
      </c>
      <c r="E25457">
        <v>302</v>
      </c>
      <c r="F25457">
        <v>108</v>
      </c>
      <c r="G25457">
        <v>18</v>
      </c>
      <c r="H25457">
        <v>2</v>
      </c>
      <c r="I25457">
        <v>286</v>
      </c>
      <c r="J25457">
        <v>1</v>
      </c>
      <c r="K25457">
        <v>5</v>
      </c>
      <c r="L25457">
        <v>305</v>
      </c>
      <c r="M25457">
        <v>1</v>
      </c>
      <c r="N25457">
        <v>3.78947E-106</v>
      </c>
      <c r="O25457">
        <v>980</v>
      </c>
    </row>
    <row r="25458" spans="1:15" x14ac:dyDescent="0.25">
      <c r="A25458" t="s">
        <v>25471</v>
      </c>
      <c r="B25458">
        <v>440</v>
      </c>
      <c r="C25458" s="1" t="str">
        <f>HYPERLINK("http://www.rosaceae.org/gb/gbrowse/malus_x_domestica/?name=MDP0000301576","MDP0000301576")</f>
        <v>MDP0000301576</v>
      </c>
      <c r="D25458">
        <v>30.85</v>
      </c>
      <c r="E25458">
        <v>376</v>
      </c>
      <c r="F25458">
        <v>260</v>
      </c>
      <c r="G25458">
        <v>49</v>
      </c>
      <c r="H25458">
        <v>70</v>
      </c>
      <c r="I25458">
        <v>430</v>
      </c>
      <c r="J25458">
        <v>1</v>
      </c>
      <c r="K25458">
        <v>127</v>
      </c>
      <c r="L25458">
        <v>468</v>
      </c>
      <c r="M25458">
        <v>1</v>
      </c>
      <c r="N25458">
        <v>1.68847E-26</v>
      </c>
      <c r="O25458">
        <v>294</v>
      </c>
    </row>
    <row r="25459" spans="1:15" x14ac:dyDescent="0.25">
      <c r="A25459" t="s">
        <v>25472</v>
      </c>
      <c r="B25459">
        <v>297</v>
      </c>
      <c r="C25459" s="1" t="str">
        <f>HYPERLINK("http://www.rosaceae.org/gb/gbrowse/malus_x_domestica/?name=MDP0000288886","MDP0000288886")</f>
        <v>MDP0000288886</v>
      </c>
      <c r="D25459">
        <v>65.42</v>
      </c>
      <c r="E25459">
        <v>269</v>
      </c>
      <c r="F25459">
        <v>93</v>
      </c>
      <c r="G25459">
        <v>7</v>
      </c>
      <c r="H25459">
        <v>3</v>
      </c>
      <c r="I25459">
        <v>264</v>
      </c>
      <c r="J25459">
        <v>1</v>
      </c>
      <c r="K25459">
        <v>2</v>
      </c>
      <c r="L25459">
        <v>270</v>
      </c>
      <c r="M25459">
        <v>1</v>
      </c>
      <c r="N25459">
        <v>3.6501700000000004E-102</v>
      </c>
      <c r="O25459">
        <v>945</v>
      </c>
    </row>
    <row r="25460" spans="1:15" x14ac:dyDescent="0.25">
      <c r="A25460" t="s">
        <v>25473</v>
      </c>
      <c r="B25460">
        <v>186</v>
      </c>
      <c r="C25460" s="1" t="str">
        <f>HYPERLINK("http://www.rosaceae.org/gb/gbrowse/malus_x_domestica/?name=MDP0000182136","MDP0000182136")</f>
        <v>MDP0000182136</v>
      </c>
      <c r="D25460">
        <v>76.06</v>
      </c>
      <c r="E25460">
        <v>188</v>
      </c>
      <c r="F25460">
        <v>45</v>
      </c>
      <c r="G25460">
        <v>2</v>
      </c>
      <c r="H25460">
        <v>1</v>
      </c>
      <c r="I25460">
        <v>186</v>
      </c>
      <c r="J25460">
        <v>1</v>
      </c>
      <c r="K25460">
        <v>1</v>
      </c>
      <c r="L25460">
        <v>188</v>
      </c>
      <c r="M25460">
        <v>1</v>
      </c>
      <c r="N25460">
        <v>1.41057E-79</v>
      </c>
      <c r="O25460">
        <v>747</v>
      </c>
    </row>
    <row r="25461" spans="1:15" x14ac:dyDescent="0.25">
      <c r="A25461" t="s">
        <v>25474</v>
      </c>
      <c r="B25461">
        <v>419</v>
      </c>
      <c r="C25461" s="1" t="str">
        <f>HYPERLINK("http://www.rosaceae.org/gb/gbrowse/malus_x_domestica/?name=MDP0000566907","MDP0000566907")</f>
        <v>MDP0000566907</v>
      </c>
      <c r="D25461">
        <v>41.93</v>
      </c>
      <c r="E25461">
        <v>155</v>
      </c>
      <c r="F25461">
        <v>90</v>
      </c>
      <c r="G25461">
        <v>11</v>
      </c>
      <c r="H25461">
        <v>252</v>
      </c>
      <c r="I25461">
        <v>397</v>
      </c>
      <c r="J25461">
        <v>1</v>
      </c>
      <c r="K25461">
        <v>162</v>
      </c>
      <c r="L25461">
        <v>314</v>
      </c>
      <c r="M25461">
        <v>1</v>
      </c>
      <c r="N25461">
        <v>1.1899399999999999E-25</v>
      </c>
      <c r="O25461">
        <v>287</v>
      </c>
    </row>
    <row r="25462" spans="1:15" x14ac:dyDescent="0.25">
      <c r="A25462" t="s">
        <v>25475</v>
      </c>
      <c r="B25462">
        <v>203</v>
      </c>
      <c r="C25462" s="1" t="str">
        <f>HYPERLINK("http://www.rosaceae.org/gb/gbrowse/malus_x_domestica/?name=MDP0000343042","MDP0000343042")</f>
        <v>MDP0000343042</v>
      </c>
      <c r="D25462">
        <v>84.94</v>
      </c>
      <c r="E25462">
        <v>186</v>
      </c>
      <c r="F25462">
        <v>28</v>
      </c>
      <c r="G25462">
        <v>0</v>
      </c>
      <c r="H25462">
        <v>18</v>
      </c>
      <c r="I25462">
        <v>203</v>
      </c>
      <c r="J25462">
        <v>1</v>
      </c>
      <c r="K25462">
        <v>1</v>
      </c>
      <c r="L25462">
        <v>186</v>
      </c>
      <c r="M25462">
        <v>1</v>
      </c>
      <c r="N25462">
        <v>7.2484300000000002E-85</v>
      </c>
      <c r="O25462">
        <v>794</v>
      </c>
    </row>
    <row r="25463" spans="1:15" x14ac:dyDescent="0.25">
      <c r="A25463" t="s">
        <v>25476</v>
      </c>
      <c r="B25463">
        <v>329</v>
      </c>
      <c r="C25463" s="1" t="str">
        <f>HYPERLINK("http://www.rosaceae.org/gb/gbrowse/malus_x_domestica/?name=MDP0000282229","MDP0000282229")</f>
        <v>MDP0000282229</v>
      </c>
      <c r="D25463">
        <v>57.85</v>
      </c>
      <c r="E25463">
        <v>261</v>
      </c>
      <c r="F25463">
        <v>110</v>
      </c>
      <c r="G25463">
        <v>4</v>
      </c>
      <c r="H25463">
        <v>2</v>
      </c>
      <c r="I25463">
        <v>261</v>
      </c>
      <c r="J25463">
        <v>1</v>
      </c>
      <c r="K25463">
        <v>3</v>
      </c>
      <c r="L25463">
        <v>260</v>
      </c>
      <c r="M25463">
        <v>1</v>
      </c>
      <c r="N25463">
        <v>2.02055E-79</v>
      </c>
      <c r="O25463">
        <v>749</v>
      </c>
    </row>
    <row r="25464" spans="1:15" x14ac:dyDescent="0.25">
      <c r="A25464" t="s">
        <v>25477</v>
      </c>
      <c r="B25464">
        <v>486</v>
      </c>
      <c r="C25464" s="1" t="str">
        <f>HYPERLINK("http://www.rosaceae.org/gb/gbrowse/malus_x_domestica/?name=MDP0000301441","MDP0000301441")</f>
        <v>MDP0000301441</v>
      </c>
      <c r="D25464">
        <v>52.05</v>
      </c>
      <c r="E25464">
        <v>267</v>
      </c>
      <c r="F25464">
        <v>128</v>
      </c>
      <c r="G25464">
        <v>97</v>
      </c>
      <c r="H25464">
        <v>18</v>
      </c>
      <c r="I25464">
        <v>187</v>
      </c>
      <c r="J25464">
        <v>1</v>
      </c>
      <c r="K25464">
        <v>113</v>
      </c>
      <c r="L25464">
        <v>379</v>
      </c>
      <c r="M25464">
        <v>1</v>
      </c>
      <c r="N25464">
        <v>4.8473699999999997E-58</v>
      </c>
      <c r="O25464">
        <v>567</v>
      </c>
    </row>
    <row r="25465" spans="1:15" x14ac:dyDescent="0.25">
      <c r="A25465" t="s">
        <v>25478</v>
      </c>
      <c r="B25465">
        <v>558</v>
      </c>
      <c r="C25465" s="1" t="str">
        <f>HYPERLINK("http://www.rosaceae.org/gb/gbrowse/malus_x_domestica/?name=MDP0000214069","MDP0000214069")</f>
        <v>MDP0000214069</v>
      </c>
      <c r="D25465">
        <v>78.53</v>
      </c>
      <c r="E25465">
        <v>545</v>
      </c>
      <c r="F25465">
        <v>117</v>
      </c>
      <c r="G25465">
        <v>6</v>
      </c>
      <c r="H25465">
        <v>9</v>
      </c>
      <c r="I25465">
        <v>548</v>
      </c>
      <c r="J25465">
        <v>1</v>
      </c>
      <c r="K25465">
        <v>5</v>
      </c>
      <c r="L25465">
        <v>548</v>
      </c>
      <c r="M25465">
        <v>1</v>
      </c>
      <c r="N25465">
        <v>0</v>
      </c>
      <c r="O25465">
        <v>2323</v>
      </c>
    </row>
    <row r="25466" spans="1:15" x14ac:dyDescent="0.25">
      <c r="A25466" t="s">
        <v>25479</v>
      </c>
      <c r="B25466">
        <v>345</v>
      </c>
      <c r="C25466" s="1" t="str">
        <f>HYPERLINK("http://www.rosaceae.org/gb/gbrowse/malus_x_domestica/?name=MDP0000168416","MDP0000168416")</f>
        <v>MDP0000168416</v>
      </c>
      <c r="D25466">
        <v>75.75</v>
      </c>
      <c r="E25466">
        <v>66</v>
      </c>
      <c r="F25466">
        <v>16</v>
      </c>
      <c r="G25466">
        <v>0</v>
      </c>
      <c r="H25466">
        <v>118</v>
      </c>
      <c r="I25466">
        <v>183</v>
      </c>
      <c r="J25466">
        <v>1</v>
      </c>
      <c r="K25466">
        <v>335</v>
      </c>
      <c r="L25466">
        <v>400</v>
      </c>
      <c r="M25466">
        <v>1</v>
      </c>
      <c r="N25466">
        <v>7.7494999999999996E-25</v>
      </c>
      <c r="O25466">
        <v>279</v>
      </c>
    </row>
    <row r="25467" spans="1:15" x14ac:dyDescent="0.25">
      <c r="A25467" t="s">
        <v>25480</v>
      </c>
      <c r="B25467">
        <v>96</v>
      </c>
      <c r="C25467" s="1" t="str">
        <f>HYPERLINK("http://www.rosaceae.org/gb/gbrowse/malus_x_domestica/?name=MDP0000501868","MDP0000501868")</f>
        <v>MDP0000501868</v>
      </c>
      <c r="D25467">
        <v>93.75</v>
      </c>
      <c r="E25467">
        <v>96</v>
      </c>
      <c r="F25467">
        <v>6</v>
      </c>
      <c r="G25467">
        <v>0</v>
      </c>
      <c r="H25467">
        <v>1</v>
      </c>
      <c r="I25467">
        <v>96</v>
      </c>
      <c r="J25467">
        <v>1</v>
      </c>
      <c r="K25467">
        <v>78</v>
      </c>
      <c r="L25467">
        <v>173</v>
      </c>
      <c r="M25467">
        <v>1</v>
      </c>
      <c r="N25467">
        <v>1.4519E-50</v>
      </c>
      <c r="O25467">
        <v>493</v>
      </c>
    </row>
    <row r="25468" spans="1:15" x14ac:dyDescent="0.25">
      <c r="A25468" t="s">
        <v>25481</v>
      </c>
      <c r="B25468">
        <v>178</v>
      </c>
      <c r="C25468" s="1" t="str">
        <f>HYPERLINK("http://www.rosaceae.org/gb/gbrowse/malus_x_domestica/?name=MDP0000716596","MDP0000716596")</f>
        <v>MDP0000716596</v>
      </c>
      <c r="D25468">
        <v>65.89</v>
      </c>
      <c r="E25468">
        <v>173</v>
      </c>
      <c r="F25468">
        <v>59</v>
      </c>
      <c r="G25468">
        <v>2</v>
      </c>
      <c r="H25468">
        <v>7</v>
      </c>
      <c r="I25468">
        <v>178</v>
      </c>
      <c r="J25468">
        <v>1</v>
      </c>
      <c r="K25468">
        <v>5</v>
      </c>
      <c r="L25468">
        <v>176</v>
      </c>
      <c r="M25468">
        <v>1</v>
      </c>
      <c r="N25468">
        <v>8.1579599999999997E-61</v>
      </c>
      <c r="O25468">
        <v>585</v>
      </c>
    </row>
    <row r="25469" spans="1:15" x14ac:dyDescent="0.25">
      <c r="A25469" t="s">
        <v>25482</v>
      </c>
      <c r="B25469">
        <v>613</v>
      </c>
      <c r="C25469" s="1" t="str">
        <f>HYPERLINK("http://www.rosaceae.org/gb/gbrowse/malus_x_domestica/?name=MDP0000154506","MDP0000154506")</f>
        <v>MDP0000154506</v>
      </c>
      <c r="D25469">
        <v>37.549999999999997</v>
      </c>
      <c r="E25469">
        <v>474</v>
      </c>
      <c r="F25469">
        <v>296</v>
      </c>
      <c r="G25469">
        <v>17</v>
      </c>
      <c r="H25469">
        <v>126</v>
      </c>
      <c r="I25469">
        <v>592</v>
      </c>
      <c r="J25469">
        <v>1</v>
      </c>
      <c r="K25469">
        <v>122</v>
      </c>
      <c r="L25469">
        <v>585</v>
      </c>
      <c r="M25469">
        <v>1</v>
      </c>
      <c r="N25469">
        <v>6.6715899999999996E-86</v>
      </c>
      <c r="O25469">
        <v>808</v>
      </c>
    </row>
    <row r="25470" spans="1:15" x14ac:dyDescent="0.25">
      <c r="A25470" t="s">
        <v>25483</v>
      </c>
      <c r="B25470">
        <v>309</v>
      </c>
      <c r="C25470" s="1" t="str">
        <f>HYPERLINK("http://www.rosaceae.org/gb/gbrowse/malus_x_domestica/?name=MDP0000121180","MDP0000121180")</f>
        <v>MDP0000121180</v>
      </c>
      <c r="D25470">
        <v>77.239999999999995</v>
      </c>
      <c r="E25470">
        <v>312</v>
      </c>
      <c r="F25470">
        <v>71</v>
      </c>
      <c r="G25470">
        <v>6</v>
      </c>
      <c r="H25470">
        <v>3</v>
      </c>
      <c r="I25470">
        <v>309</v>
      </c>
      <c r="J25470">
        <v>1</v>
      </c>
      <c r="K25470">
        <v>210</v>
      </c>
      <c r="L25470">
        <v>520</v>
      </c>
      <c r="M25470">
        <v>1</v>
      </c>
      <c r="N25470">
        <v>9.2114600000000003E-138</v>
      </c>
      <c r="O25470">
        <v>1252</v>
      </c>
    </row>
    <row r="25471" spans="1:15" x14ac:dyDescent="0.25">
      <c r="A25471" t="s">
        <v>25484</v>
      </c>
      <c r="B25471">
        <v>761</v>
      </c>
      <c r="C25471" s="1" t="str">
        <f>HYPERLINK("http://www.rosaceae.org/gb/gbrowse/malus_x_domestica/?name=MDP0000170095","MDP0000170095")</f>
        <v>MDP0000170095</v>
      </c>
      <c r="D25471">
        <v>76.510000000000005</v>
      </c>
      <c r="E25471">
        <v>741</v>
      </c>
      <c r="F25471">
        <v>174</v>
      </c>
      <c r="G25471">
        <v>18</v>
      </c>
      <c r="H25471">
        <v>39</v>
      </c>
      <c r="I25471">
        <v>761</v>
      </c>
      <c r="J25471">
        <v>1</v>
      </c>
      <c r="K25471">
        <v>1156</v>
      </c>
      <c r="L25471">
        <v>1896</v>
      </c>
      <c r="M25471">
        <v>1</v>
      </c>
      <c r="N25471">
        <v>0</v>
      </c>
      <c r="O25471">
        <v>3039</v>
      </c>
    </row>
    <row r="25472" spans="1:15" x14ac:dyDescent="0.25">
      <c r="A25472" t="s">
        <v>25485</v>
      </c>
      <c r="B25472">
        <v>531</v>
      </c>
      <c r="C25472" s="1" t="str">
        <f>HYPERLINK("http://www.rosaceae.org/gb/gbrowse/malus_x_domestica/?name=MDP0000279648","MDP0000279648")</f>
        <v>MDP0000279648</v>
      </c>
      <c r="D25472">
        <v>64.260000000000005</v>
      </c>
      <c r="E25472">
        <v>333</v>
      </c>
      <c r="F25472">
        <v>119</v>
      </c>
      <c r="G25472">
        <v>8</v>
      </c>
      <c r="H25472">
        <v>207</v>
      </c>
      <c r="I25472">
        <v>531</v>
      </c>
      <c r="J25472">
        <v>1</v>
      </c>
      <c r="K25472">
        <v>83</v>
      </c>
      <c r="L25472">
        <v>415</v>
      </c>
      <c r="M25472">
        <v>1</v>
      </c>
      <c r="N25472">
        <v>6.5781399999999996E-119</v>
      </c>
      <c r="O25472">
        <v>1092</v>
      </c>
    </row>
    <row r="25473" spans="1:15" x14ac:dyDescent="0.25">
      <c r="A25473" t="s">
        <v>25486</v>
      </c>
      <c r="B25473">
        <v>729</v>
      </c>
      <c r="C25473" s="1" t="str">
        <f>HYPERLINK("http://www.rosaceae.org/gb/gbrowse/malus_x_domestica/?name=MDP0000266330","MDP0000266330")</f>
        <v>MDP0000266330</v>
      </c>
      <c r="D25473">
        <v>42.8</v>
      </c>
      <c r="E25473">
        <v>528</v>
      </c>
      <c r="F25473">
        <v>302</v>
      </c>
      <c r="G25473">
        <v>30</v>
      </c>
      <c r="H25473">
        <v>36</v>
      </c>
      <c r="I25473">
        <v>540</v>
      </c>
      <c r="J25473">
        <v>1</v>
      </c>
      <c r="K25473">
        <v>149</v>
      </c>
      <c r="L25473">
        <v>669</v>
      </c>
      <c r="M25473">
        <v>1</v>
      </c>
      <c r="N25473">
        <v>1.7315900000000001E-120</v>
      </c>
      <c r="O25473">
        <v>1107</v>
      </c>
    </row>
    <row r="25474" spans="1:15" x14ac:dyDescent="0.25">
      <c r="A25474" t="s">
        <v>25487</v>
      </c>
      <c r="B25474">
        <v>614</v>
      </c>
      <c r="C25474" s="1" t="str">
        <f>HYPERLINK("http://www.rosaceae.org/gb/gbrowse/malus_x_domestica/?name=MDP0000277868","MDP0000277868")</f>
        <v>MDP0000277868</v>
      </c>
      <c r="D25474">
        <v>55.72</v>
      </c>
      <c r="E25474">
        <v>192</v>
      </c>
      <c r="F25474">
        <v>85</v>
      </c>
      <c r="G25474">
        <v>0</v>
      </c>
      <c r="H25474">
        <v>70</v>
      </c>
      <c r="I25474">
        <v>261</v>
      </c>
      <c r="J25474">
        <v>1</v>
      </c>
      <c r="K25474">
        <v>13</v>
      </c>
      <c r="L25474">
        <v>204</v>
      </c>
      <c r="M25474">
        <v>1</v>
      </c>
      <c r="N25474">
        <v>2.71339E-59</v>
      </c>
      <c r="O25474">
        <v>579</v>
      </c>
    </row>
    <row r="25475" spans="1:15" x14ac:dyDescent="0.25">
      <c r="A25475" t="s">
        <v>25488</v>
      </c>
      <c r="B25475">
        <v>207</v>
      </c>
      <c r="C25475" s="1" t="str">
        <f>HYPERLINK("http://www.rosaceae.org/gb/gbrowse/malus_x_domestica/?name=MDP0000232977","MDP0000232977")</f>
        <v>MDP0000232977</v>
      </c>
      <c r="D25475">
        <v>57.6</v>
      </c>
      <c r="E25475">
        <v>125</v>
      </c>
      <c r="F25475">
        <v>53</v>
      </c>
      <c r="G25475">
        <v>5</v>
      </c>
      <c r="H25475">
        <v>80</v>
      </c>
      <c r="I25475">
        <v>199</v>
      </c>
      <c r="J25475">
        <v>1</v>
      </c>
      <c r="K25475">
        <v>152</v>
      </c>
      <c r="L25475">
        <v>276</v>
      </c>
      <c r="M25475">
        <v>1</v>
      </c>
      <c r="N25475">
        <v>6.7136900000000003E-31</v>
      </c>
      <c r="O25475">
        <v>328</v>
      </c>
    </row>
    <row r="25476" spans="1:15" x14ac:dyDescent="0.25">
      <c r="A25476" t="s">
        <v>25489</v>
      </c>
      <c r="B25476">
        <v>137</v>
      </c>
      <c r="C25476" s="1" t="str">
        <f>HYPERLINK("http://www.rosaceae.org/gb/gbrowse/malus_x_domestica/?name=MDP0000188077","MDP0000188077")</f>
        <v>MDP0000188077</v>
      </c>
      <c r="D25476">
        <v>56.6</v>
      </c>
      <c r="E25476">
        <v>53</v>
      </c>
      <c r="F25476">
        <v>23</v>
      </c>
      <c r="G25476">
        <v>5</v>
      </c>
      <c r="H25476">
        <v>81</v>
      </c>
      <c r="I25476">
        <v>133</v>
      </c>
      <c r="J25476">
        <v>1</v>
      </c>
      <c r="K25476">
        <v>97</v>
      </c>
      <c r="L25476">
        <v>144</v>
      </c>
      <c r="M25476">
        <v>1</v>
      </c>
      <c r="N25476">
        <v>4.2357899999999999E-11</v>
      </c>
      <c r="O25476">
        <v>154</v>
      </c>
    </row>
    <row r="25477" spans="1:15" x14ac:dyDescent="0.25">
      <c r="A25477" t="s">
        <v>25490</v>
      </c>
      <c r="B25477">
        <v>726</v>
      </c>
      <c r="C25477" s="1" t="str">
        <f>HYPERLINK("http://www.rosaceae.org/gb/gbrowse/malus_x_domestica/?name=MDP0000272085","MDP0000272085")</f>
        <v>MDP0000272085</v>
      </c>
      <c r="D25477">
        <v>55.31</v>
      </c>
      <c r="E25477">
        <v>790</v>
      </c>
      <c r="F25477">
        <v>353</v>
      </c>
      <c r="G25477">
        <v>126</v>
      </c>
      <c r="H25477">
        <v>1</v>
      </c>
      <c r="I25477">
        <v>720</v>
      </c>
      <c r="J25477">
        <v>1</v>
      </c>
      <c r="K25477">
        <v>1</v>
      </c>
      <c r="L25477">
        <v>734</v>
      </c>
      <c r="M25477">
        <v>1</v>
      </c>
      <c r="N25477">
        <v>0</v>
      </c>
      <c r="O25477">
        <v>1742</v>
      </c>
    </row>
    <row r="25478" spans="1:15" x14ac:dyDescent="0.25">
      <c r="A25478" t="s">
        <v>25491</v>
      </c>
      <c r="B25478">
        <v>86</v>
      </c>
      <c r="C25478" s="1" t="str">
        <f>HYPERLINK("http://www.rosaceae.org/gb/gbrowse/malus_x_domestica/?name=MDP0000193347","MDP0000193347")</f>
        <v>MDP0000193347</v>
      </c>
      <c r="D25478">
        <v>52</v>
      </c>
      <c r="E25478">
        <v>50</v>
      </c>
      <c r="F25478">
        <v>24</v>
      </c>
      <c r="G25478">
        <v>0</v>
      </c>
      <c r="H25478">
        <v>37</v>
      </c>
      <c r="I25478">
        <v>86</v>
      </c>
      <c r="J25478">
        <v>1</v>
      </c>
      <c r="K25478">
        <v>253</v>
      </c>
      <c r="L25478">
        <v>302</v>
      </c>
      <c r="M25478">
        <v>1</v>
      </c>
      <c r="N25478">
        <v>9.7165900000000003E-9</v>
      </c>
      <c r="O25478">
        <v>133</v>
      </c>
    </row>
    <row r="25479" spans="1:15" x14ac:dyDescent="0.25">
      <c r="A25479" t="s">
        <v>25492</v>
      </c>
      <c r="B25479">
        <v>963</v>
      </c>
      <c r="C25479" s="1" t="str">
        <f>HYPERLINK("http://www.rosaceae.org/gb/gbrowse/malus_x_domestica/?name=MDP0000281060","MDP0000281060")</f>
        <v>MDP0000281060</v>
      </c>
      <c r="D25479">
        <v>82.55</v>
      </c>
      <c r="E25479">
        <v>894</v>
      </c>
      <c r="F25479">
        <v>156</v>
      </c>
      <c r="G25479">
        <v>71</v>
      </c>
      <c r="H25479">
        <v>4</v>
      </c>
      <c r="I25479">
        <v>881</v>
      </c>
      <c r="J25479">
        <v>1</v>
      </c>
      <c r="K25479">
        <v>6</v>
      </c>
      <c r="L25479">
        <v>844</v>
      </c>
      <c r="M25479">
        <v>1</v>
      </c>
      <c r="N25479">
        <v>0</v>
      </c>
      <c r="O25479">
        <v>3846</v>
      </c>
    </row>
    <row r="25480" spans="1:15" x14ac:dyDescent="0.25">
      <c r="A25480" t="s">
        <v>25493</v>
      </c>
      <c r="B25480">
        <v>230</v>
      </c>
      <c r="C25480" s="1" t="str">
        <f>HYPERLINK("http://www.rosaceae.org/gb/gbrowse/malus_x_domestica/?name=MDP0000224467","MDP0000224467")</f>
        <v>MDP0000224467</v>
      </c>
      <c r="D25480">
        <v>68.59</v>
      </c>
      <c r="E25480">
        <v>121</v>
      </c>
      <c r="F25480">
        <v>38</v>
      </c>
      <c r="G25480">
        <v>0</v>
      </c>
      <c r="H25480">
        <v>59</v>
      </c>
      <c r="I25480">
        <v>179</v>
      </c>
      <c r="J25480">
        <v>1</v>
      </c>
      <c r="K25480">
        <v>118</v>
      </c>
      <c r="L25480">
        <v>238</v>
      </c>
      <c r="M25480">
        <v>1</v>
      </c>
      <c r="N25480">
        <v>1.9593300000000001E-42</v>
      </c>
      <c r="O25480">
        <v>428</v>
      </c>
    </row>
    <row r="25481" spans="1:15" x14ac:dyDescent="0.25">
      <c r="A25481" t="s">
        <v>25494</v>
      </c>
      <c r="B25481">
        <v>227</v>
      </c>
      <c r="C25481" s="1" t="str">
        <f>HYPERLINK("http://www.rosaceae.org/gb/gbrowse/malus_x_domestica/?name=MDP0000797124","MDP0000797124")</f>
        <v>MDP0000797124</v>
      </c>
      <c r="D25481">
        <v>59.47</v>
      </c>
      <c r="E25481">
        <v>227</v>
      </c>
      <c r="F25481">
        <v>92</v>
      </c>
      <c r="G25481">
        <v>2</v>
      </c>
      <c r="H25481">
        <v>1</v>
      </c>
      <c r="I25481">
        <v>225</v>
      </c>
      <c r="J25481">
        <v>1</v>
      </c>
      <c r="K25481">
        <v>1</v>
      </c>
      <c r="L25481">
        <v>227</v>
      </c>
      <c r="M25481">
        <v>1</v>
      </c>
      <c r="N25481">
        <v>2.5571800000000001E-79</v>
      </c>
      <c r="O25481">
        <v>746</v>
      </c>
    </row>
    <row r="25482" spans="1:15" x14ac:dyDescent="0.25">
      <c r="A25482" t="s">
        <v>25495</v>
      </c>
      <c r="B25482">
        <v>542</v>
      </c>
      <c r="C25482" s="1" t="str">
        <f>HYPERLINK("http://www.rosaceae.org/gb/gbrowse/malus_x_domestica/?name=MDP0000459378","MDP0000459378")</f>
        <v>MDP0000459378</v>
      </c>
      <c r="D25482">
        <v>71.23</v>
      </c>
      <c r="E25482">
        <v>525</v>
      </c>
      <c r="F25482">
        <v>151</v>
      </c>
      <c r="G25482">
        <v>23</v>
      </c>
      <c r="H25482">
        <v>22</v>
      </c>
      <c r="I25482">
        <v>540</v>
      </c>
      <c r="J25482">
        <v>1</v>
      </c>
      <c r="K25482">
        <v>24</v>
      </c>
      <c r="L25482">
        <v>531</v>
      </c>
      <c r="M25482">
        <v>1</v>
      </c>
      <c r="N25482">
        <v>0</v>
      </c>
      <c r="O25482">
        <v>1882</v>
      </c>
    </row>
    <row r="25483" spans="1:15" x14ac:dyDescent="0.25">
      <c r="A25483" t="s">
        <v>25496</v>
      </c>
      <c r="B25483">
        <v>109</v>
      </c>
      <c r="C25483" s="1" t="str">
        <f>HYPERLINK("http://www.rosaceae.org/gb/gbrowse/malus_x_domestica/?name=MDP0000791569","MDP0000791569")</f>
        <v>MDP0000791569</v>
      </c>
      <c r="D25483">
        <v>43.13</v>
      </c>
      <c r="E25483">
        <v>51</v>
      </c>
      <c r="F25483">
        <v>29</v>
      </c>
      <c r="G25483">
        <v>1</v>
      </c>
      <c r="H25483">
        <v>23</v>
      </c>
      <c r="I25483">
        <v>73</v>
      </c>
      <c r="J25483">
        <v>1</v>
      </c>
      <c r="K25483">
        <v>200</v>
      </c>
      <c r="L25483">
        <v>249</v>
      </c>
      <c r="M25483">
        <v>1</v>
      </c>
      <c r="N25483">
        <v>1.7976499999999999E-8</v>
      </c>
      <c r="O25483">
        <v>130</v>
      </c>
    </row>
    <row r="25484" spans="1:15" x14ac:dyDescent="0.25">
      <c r="A25484" t="s">
        <v>25497</v>
      </c>
      <c r="B25484">
        <v>867</v>
      </c>
      <c r="C25484" s="1" t="str">
        <f>HYPERLINK("http://www.rosaceae.org/gb/gbrowse/malus_x_domestica/?name=MDP0000247022","MDP0000247022")</f>
        <v>MDP0000247022</v>
      </c>
      <c r="D25484">
        <v>77.849999999999994</v>
      </c>
      <c r="E25484">
        <v>849</v>
      </c>
      <c r="F25484">
        <v>188</v>
      </c>
      <c r="G25484">
        <v>9</v>
      </c>
      <c r="H25484">
        <v>1</v>
      </c>
      <c r="I25484">
        <v>840</v>
      </c>
      <c r="J25484">
        <v>1</v>
      </c>
      <c r="K25484">
        <v>1</v>
      </c>
      <c r="L25484">
        <v>849</v>
      </c>
      <c r="M25484">
        <v>1</v>
      </c>
      <c r="N25484">
        <v>0</v>
      </c>
      <c r="O25484">
        <v>3418</v>
      </c>
    </row>
    <row r="25485" spans="1:15" x14ac:dyDescent="0.25">
      <c r="A25485" t="s">
        <v>25498</v>
      </c>
      <c r="B25485">
        <v>1017</v>
      </c>
      <c r="C25485" s="1" t="str">
        <f>HYPERLINK("http://www.rosaceae.org/gb/gbrowse/malus_x_domestica/?name=MDP0000497680","MDP0000497680")</f>
        <v>MDP0000497680</v>
      </c>
      <c r="D25485">
        <v>46.15</v>
      </c>
      <c r="E25485">
        <v>325</v>
      </c>
      <c r="F25485">
        <v>175</v>
      </c>
      <c r="G25485">
        <v>26</v>
      </c>
      <c r="H25485">
        <v>703</v>
      </c>
      <c r="I25485">
        <v>1015</v>
      </c>
      <c r="J25485">
        <v>1</v>
      </c>
      <c r="K25485">
        <v>12</v>
      </c>
      <c r="L25485">
        <v>322</v>
      </c>
      <c r="M25485">
        <v>1</v>
      </c>
      <c r="N25485">
        <v>1.6416800000000001E-64</v>
      </c>
      <c r="O25485">
        <v>626</v>
      </c>
    </row>
    <row r="25486" spans="1:15" x14ac:dyDescent="0.25">
      <c r="A25486" t="s">
        <v>25499</v>
      </c>
      <c r="B25486">
        <v>446</v>
      </c>
      <c r="C25486" s="1" t="str">
        <f>HYPERLINK("http://www.rosaceae.org/gb/gbrowse/malus_x_domestica/?name=MDP0000428199","MDP0000428199")</f>
        <v>MDP0000428199</v>
      </c>
      <c r="D25486">
        <v>70.02</v>
      </c>
      <c r="E25486">
        <v>437</v>
      </c>
      <c r="F25486">
        <v>131</v>
      </c>
      <c r="G25486">
        <v>5</v>
      </c>
      <c r="H25486">
        <v>8</v>
      </c>
      <c r="I25486">
        <v>440</v>
      </c>
      <c r="J25486">
        <v>1</v>
      </c>
      <c r="K25486">
        <v>6</v>
      </c>
      <c r="L25486">
        <v>441</v>
      </c>
      <c r="M25486">
        <v>1</v>
      </c>
      <c r="N25486">
        <v>0</v>
      </c>
      <c r="O25486">
        <v>1665</v>
      </c>
    </row>
    <row r="25487" spans="1:15" x14ac:dyDescent="0.25">
      <c r="A25487" t="s">
        <v>25500</v>
      </c>
      <c r="B25487">
        <v>975</v>
      </c>
      <c r="C25487" s="1" t="str">
        <f>HYPERLINK("http://www.rosaceae.org/gb/gbrowse/malus_x_domestica/?name=MDP0000295912","MDP0000295912")</f>
        <v>MDP0000295912</v>
      </c>
      <c r="D25487">
        <v>86.76</v>
      </c>
      <c r="E25487">
        <v>650</v>
      </c>
      <c r="F25487">
        <v>86</v>
      </c>
      <c r="G25487">
        <v>0</v>
      </c>
      <c r="H25487">
        <v>255</v>
      </c>
      <c r="I25487">
        <v>904</v>
      </c>
      <c r="J25487">
        <v>1</v>
      </c>
      <c r="K25487">
        <v>329</v>
      </c>
      <c r="L25487">
        <v>978</v>
      </c>
      <c r="M25487">
        <v>1</v>
      </c>
      <c r="N25487">
        <v>0</v>
      </c>
      <c r="O25487">
        <v>3042</v>
      </c>
    </row>
    <row r="25488" spans="1:15" x14ac:dyDescent="0.25">
      <c r="A25488" t="s">
        <v>25501</v>
      </c>
      <c r="B25488">
        <v>152</v>
      </c>
      <c r="C25488" s="1" t="str">
        <f>HYPERLINK("http://www.rosaceae.org/gb/gbrowse/malus_x_domestica/?name=MDP0000296689","MDP0000296689")</f>
        <v>MDP0000296689</v>
      </c>
      <c r="D25488">
        <v>77.16</v>
      </c>
      <c r="E25488">
        <v>127</v>
      </c>
      <c r="F25488">
        <v>29</v>
      </c>
      <c r="G25488">
        <v>13</v>
      </c>
      <c r="H25488">
        <v>26</v>
      </c>
      <c r="I25488">
        <v>152</v>
      </c>
      <c r="J25488">
        <v>1</v>
      </c>
      <c r="K25488">
        <v>4</v>
      </c>
      <c r="L25488">
        <v>117</v>
      </c>
      <c r="M25488">
        <v>1</v>
      </c>
      <c r="N25488">
        <v>1.9183099999999999E-54</v>
      </c>
      <c r="O25488">
        <v>529</v>
      </c>
    </row>
    <row r="25489" spans="1:15" x14ac:dyDescent="0.25">
      <c r="A25489" t="s">
        <v>25502</v>
      </c>
      <c r="B25489">
        <v>538</v>
      </c>
      <c r="C25489" s="1" t="str">
        <f>HYPERLINK("http://www.rosaceae.org/gb/gbrowse/malus_x_domestica/?name=MDP0000928355","MDP0000928355")</f>
        <v>MDP0000928355</v>
      </c>
      <c r="D25489">
        <v>32.479999999999997</v>
      </c>
      <c r="E25489">
        <v>157</v>
      </c>
      <c r="F25489">
        <v>106</v>
      </c>
      <c r="G25489">
        <v>14</v>
      </c>
      <c r="H25489">
        <v>328</v>
      </c>
      <c r="I25489">
        <v>477</v>
      </c>
      <c r="J25489">
        <v>1</v>
      </c>
      <c r="K25489">
        <v>165</v>
      </c>
      <c r="L25489">
        <v>314</v>
      </c>
      <c r="M25489">
        <v>1</v>
      </c>
      <c r="N25489">
        <v>3.4212999999999998E-13</v>
      </c>
      <c r="O25489">
        <v>181</v>
      </c>
    </row>
    <row r="25490" spans="1:15" x14ac:dyDescent="0.25">
      <c r="A25490" t="s">
        <v>25503</v>
      </c>
      <c r="B25490">
        <v>410</v>
      </c>
      <c r="C25490" s="1" t="str">
        <f>HYPERLINK("http://www.rosaceae.org/gb/gbrowse/malus_x_domestica/?name=MDP0000195376","MDP0000195376")</f>
        <v>MDP0000195376</v>
      </c>
      <c r="D25490">
        <v>59.89</v>
      </c>
      <c r="E25490">
        <v>187</v>
      </c>
      <c r="F25490">
        <v>75</v>
      </c>
      <c r="G25490">
        <v>25</v>
      </c>
      <c r="H25490">
        <v>102</v>
      </c>
      <c r="I25490">
        <v>271</v>
      </c>
      <c r="J25490">
        <v>1</v>
      </c>
      <c r="K25490">
        <v>94</v>
      </c>
      <c r="L25490">
        <v>272</v>
      </c>
      <c r="M25490">
        <v>1</v>
      </c>
      <c r="N25490">
        <v>5.4147400000000003E-51</v>
      </c>
      <c r="O25490">
        <v>505</v>
      </c>
    </row>
    <row r="25491" spans="1:15" x14ac:dyDescent="0.25">
      <c r="A25491" t="s">
        <v>25504</v>
      </c>
      <c r="B25491">
        <v>157</v>
      </c>
      <c r="C25491" s="1" t="str">
        <f>HYPERLINK("http://www.rosaceae.org/gb/gbrowse/malus_x_domestica/?name=MDP0000816151","MDP0000816151")</f>
        <v>MDP0000816151</v>
      </c>
      <c r="D25491">
        <v>69.09</v>
      </c>
      <c r="E25491">
        <v>55</v>
      </c>
      <c r="F25491">
        <v>17</v>
      </c>
      <c r="G25491">
        <v>0</v>
      </c>
      <c r="H25491">
        <v>103</v>
      </c>
      <c r="I25491">
        <v>157</v>
      </c>
      <c r="J25491">
        <v>1</v>
      </c>
      <c r="K25491">
        <v>99</v>
      </c>
      <c r="L25491">
        <v>153</v>
      </c>
      <c r="M25491">
        <v>1</v>
      </c>
      <c r="N25491">
        <v>1.62282E-14</v>
      </c>
      <c r="O25491">
        <v>185</v>
      </c>
    </row>
    <row r="25492" spans="1:15" x14ac:dyDescent="0.25">
      <c r="A25492" t="s">
        <v>25505</v>
      </c>
      <c r="B25492">
        <v>713</v>
      </c>
      <c r="C25492" s="1" t="str">
        <f>HYPERLINK("http://www.rosaceae.org/gb/gbrowse/malus_x_domestica/?name=MDP0000276291","MDP0000276291")</f>
        <v>MDP0000276291</v>
      </c>
      <c r="D25492">
        <v>33.33</v>
      </c>
      <c r="E25492">
        <v>264</v>
      </c>
      <c r="F25492">
        <v>176</v>
      </c>
      <c r="G25492">
        <v>51</v>
      </c>
      <c r="H25492">
        <v>12</v>
      </c>
      <c r="I25492">
        <v>231</v>
      </c>
      <c r="J25492">
        <v>1</v>
      </c>
      <c r="K25492">
        <v>7</v>
      </c>
      <c r="L25492">
        <v>263</v>
      </c>
      <c r="M25492">
        <v>1</v>
      </c>
      <c r="N25492">
        <v>3.1900200000000002E-23</v>
      </c>
      <c r="O25492">
        <v>268</v>
      </c>
    </row>
    <row r="25493" spans="1:15" x14ac:dyDescent="0.25">
      <c r="A25493" t="s">
        <v>25506</v>
      </c>
      <c r="B25493">
        <v>452</v>
      </c>
      <c r="C25493" s="1" t="str">
        <f>HYPERLINK("http://www.rosaceae.org/gb/gbrowse/malus_x_domestica/?name=MDP0000775651","MDP0000775651")</f>
        <v>MDP0000775651</v>
      </c>
      <c r="D25493">
        <v>53.09</v>
      </c>
      <c r="E25493">
        <v>452</v>
      </c>
      <c r="F25493">
        <v>212</v>
      </c>
      <c r="G25493">
        <v>14</v>
      </c>
      <c r="H25493">
        <v>1</v>
      </c>
      <c r="I25493">
        <v>451</v>
      </c>
      <c r="J25493">
        <v>1</v>
      </c>
      <c r="K25493">
        <v>1</v>
      </c>
      <c r="L25493">
        <v>439</v>
      </c>
      <c r="M25493">
        <v>1</v>
      </c>
      <c r="N25493">
        <v>1.3015100000000001E-125</v>
      </c>
      <c r="O25493">
        <v>1149</v>
      </c>
    </row>
    <row r="25494" spans="1:15" x14ac:dyDescent="0.25">
      <c r="A25494" t="s">
        <v>25507</v>
      </c>
      <c r="B25494">
        <v>134</v>
      </c>
      <c r="C25494" s="1" t="str">
        <f>HYPERLINK("http://www.rosaceae.org/gb/gbrowse/malus_x_domestica/?name=MDP0000177870","MDP0000177870")</f>
        <v>MDP0000177870</v>
      </c>
      <c r="D25494">
        <v>54.46</v>
      </c>
      <c r="E25494">
        <v>112</v>
      </c>
      <c r="F25494">
        <v>51</v>
      </c>
      <c r="G25494">
        <v>6</v>
      </c>
      <c r="H25494">
        <v>1</v>
      </c>
      <c r="I25494">
        <v>112</v>
      </c>
      <c r="J25494">
        <v>1</v>
      </c>
      <c r="K25494">
        <v>38</v>
      </c>
      <c r="L25494">
        <v>143</v>
      </c>
      <c r="M25494">
        <v>1</v>
      </c>
      <c r="N25494">
        <v>1.4350700000000001E-24</v>
      </c>
      <c r="O25494">
        <v>270</v>
      </c>
    </row>
    <row r="25495" spans="1:15" x14ac:dyDescent="0.25">
      <c r="A25495" t="s">
        <v>25508</v>
      </c>
      <c r="B25495">
        <v>804</v>
      </c>
      <c r="C25495" s="1" t="str">
        <f>HYPERLINK("http://www.rosaceae.org/gb/gbrowse/malus_x_domestica/?name=MDP0000138993","MDP0000138993")</f>
        <v>MDP0000138993</v>
      </c>
      <c r="D25495">
        <v>88.36</v>
      </c>
      <c r="E25495">
        <v>782</v>
      </c>
      <c r="F25495">
        <v>91</v>
      </c>
      <c r="G25495">
        <v>7</v>
      </c>
      <c r="H25495">
        <v>27</v>
      </c>
      <c r="I25495">
        <v>804</v>
      </c>
      <c r="J25495">
        <v>1</v>
      </c>
      <c r="K25495">
        <v>1</v>
      </c>
      <c r="L25495">
        <v>779</v>
      </c>
      <c r="M25495">
        <v>1</v>
      </c>
      <c r="N25495">
        <v>0</v>
      </c>
      <c r="O25495">
        <v>3601</v>
      </c>
    </row>
    <row r="25496" spans="1:15" x14ac:dyDescent="0.25">
      <c r="A25496" t="s">
        <v>25509</v>
      </c>
      <c r="B25496">
        <v>96</v>
      </c>
      <c r="C25496" s="1" t="str">
        <f>HYPERLINK("http://www.rosaceae.org/gb/gbrowse/malus_x_domestica/?name=MDP0000582139","MDP0000582139")</f>
        <v>MDP0000582139</v>
      </c>
      <c r="D25496">
        <v>47.19</v>
      </c>
      <c r="E25496">
        <v>89</v>
      </c>
      <c r="F25496">
        <v>47</v>
      </c>
      <c r="G25496">
        <v>0</v>
      </c>
      <c r="H25496">
        <v>2</v>
      </c>
      <c r="I25496">
        <v>90</v>
      </c>
      <c r="J25496">
        <v>1</v>
      </c>
      <c r="K25496">
        <v>142</v>
      </c>
      <c r="L25496">
        <v>230</v>
      </c>
      <c r="M25496">
        <v>1</v>
      </c>
      <c r="N25496">
        <v>4.6763099999999999E-16</v>
      </c>
      <c r="O25496">
        <v>196</v>
      </c>
    </row>
    <row r="25497" spans="1:15" x14ac:dyDescent="0.25">
      <c r="A25497" t="s">
        <v>25510</v>
      </c>
      <c r="B25497">
        <v>941</v>
      </c>
      <c r="C25497" s="1" t="str">
        <f>HYPERLINK("http://www.rosaceae.org/gb/gbrowse/malus_x_domestica/?name=MDP0000136726","MDP0000136726")</f>
        <v>MDP0000136726</v>
      </c>
      <c r="D25497">
        <v>57.79</v>
      </c>
      <c r="E25497">
        <v>981</v>
      </c>
      <c r="F25497">
        <v>414</v>
      </c>
      <c r="G25497">
        <v>74</v>
      </c>
      <c r="H25497">
        <v>17</v>
      </c>
      <c r="I25497">
        <v>926</v>
      </c>
      <c r="J25497">
        <v>1</v>
      </c>
      <c r="K25497">
        <v>22</v>
      </c>
      <c r="L25497">
        <v>999</v>
      </c>
      <c r="M25497">
        <v>1</v>
      </c>
      <c r="N25497">
        <v>0</v>
      </c>
      <c r="O25497">
        <v>2752</v>
      </c>
    </row>
    <row r="25498" spans="1:15" x14ac:dyDescent="0.25">
      <c r="A25498" t="s">
        <v>25511</v>
      </c>
      <c r="B25498">
        <v>637</v>
      </c>
      <c r="C25498" s="1" t="str">
        <f>HYPERLINK("http://www.rosaceae.org/gb/gbrowse/malus_x_domestica/?name=MDP0000204794","MDP0000204794")</f>
        <v>MDP0000204794</v>
      </c>
      <c r="D25498">
        <v>27.34</v>
      </c>
      <c r="E25498">
        <v>245</v>
      </c>
      <c r="F25498">
        <v>178</v>
      </c>
      <c r="G25498">
        <v>11</v>
      </c>
      <c r="H25498">
        <v>1</v>
      </c>
      <c r="I25498">
        <v>244</v>
      </c>
      <c r="J25498">
        <v>1</v>
      </c>
      <c r="K25498">
        <v>314</v>
      </c>
      <c r="L25498">
        <v>548</v>
      </c>
      <c r="M25498">
        <v>1</v>
      </c>
      <c r="N25498">
        <v>7.2444500000000001E-29</v>
      </c>
      <c r="O25498">
        <v>316</v>
      </c>
    </row>
    <row r="25499" spans="1:15" x14ac:dyDescent="0.25">
      <c r="A25499" t="s">
        <v>25512</v>
      </c>
      <c r="B25499">
        <v>334</v>
      </c>
      <c r="C25499" s="1" t="str">
        <f>HYPERLINK("http://www.rosaceae.org/gb/gbrowse/malus_x_domestica/?name=MDP0000311548","MDP0000311548")</f>
        <v>MDP0000311548</v>
      </c>
      <c r="D25499">
        <v>37.25</v>
      </c>
      <c r="E25499">
        <v>153</v>
      </c>
      <c r="F25499">
        <v>96</v>
      </c>
      <c r="G25499">
        <v>4</v>
      </c>
      <c r="H25499">
        <v>88</v>
      </c>
      <c r="I25499">
        <v>239</v>
      </c>
      <c r="J25499">
        <v>1</v>
      </c>
      <c r="K25499">
        <v>2</v>
      </c>
      <c r="L25499">
        <v>151</v>
      </c>
      <c r="M25499">
        <v>1</v>
      </c>
      <c r="N25499">
        <v>3.2155100000000003E-20</v>
      </c>
      <c r="O25499">
        <v>239</v>
      </c>
    </row>
    <row r="25500" spans="1:15" x14ac:dyDescent="0.25">
      <c r="A25500" t="s">
        <v>25513</v>
      </c>
      <c r="B25500">
        <v>249</v>
      </c>
      <c r="C25500" s="1" t="str">
        <f>HYPERLINK("http://www.rosaceae.org/gb/gbrowse/malus_x_domestica/?name=MDP0000249115","MDP0000249115")</f>
        <v>MDP0000249115</v>
      </c>
      <c r="D25500">
        <v>79.239999999999995</v>
      </c>
      <c r="E25500">
        <v>53</v>
      </c>
      <c r="F25500">
        <v>11</v>
      </c>
      <c r="G25500">
        <v>0</v>
      </c>
      <c r="H25500">
        <v>194</v>
      </c>
      <c r="I25500">
        <v>246</v>
      </c>
      <c r="J25500">
        <v>1</v>
      </c>
      <c r="K25500">
        <v>102</v>
      </c>
      <c r="L25500">
        <v>154</v>
      </c>
      <c r="M25500">
        <v>1</v>
      </c>
      <c r="N25500">
        <v>1.8015100000000001E-18</v>
      </c>
      <c r="O25500">
        <v>222</v>
      </c>
    </row>
    <row r="25501" spans="1:15" x14ac:dyDescent="0.25">
      <c r="A25501" t="s">
        <v>25514</v>
      </c>
      <c r="B25501">
        <v>865</v>
      </c>
      <c r="C25501" s="1" t="str">
        <f>HYPERLINK("http://www.rosaceae.org/gb/gbrowse/malus_x_domestica/?name=MDP0000213445","MDP0000213445")</f>
        <v>MDP0000213445</v>
      </c>
      <c r="D25501">
        <v>43.11</v>
      </c>
      <c r="E25501">
        <v>937</v>
      </c>
      <c r="F25501">
        <v>533</v>
      </c>
      <c r="G25501">
        <v>103</v>
      </c>
      <c r="H25501">
        <v>11</v>
      </c>
      <c r="I25501">
        <v>862</v>
      </c>
      <c r="J25501">
        <v>1</v>
      </c>
      <c r="K25501">
        <v>2</v>
      </c>
      <c r="L25501">
        <v>920</v>
      </c>
      <c r="M25501">
        <v>1</v>
      </c>
      <c r="N25501">
        <v>0</v>
      </c>
      <c r="O25501">
        <v>1780</v>
      </c>
    </row>
    <row r="25502" spans="1:15" x14ac:dyDescent="0.25">
      <c r="A25502" t="s">
        <v>25515</v>
      </c>
      <c r="B25502">
        <v>153</v>
      </c>
      <c r="C25502" s="1" t="str">
        <f>HYPERLINK("http://www.rosaceae.org/gb/gbrowse/malus_x_domestica/?name=MDP0000160276","MDP0000160276")</f>
        <v>MDP0000160276</v>
      </c>
      <c r="D25502">
        <v>49.12</v>
      </c>
      <c r="E25502">
        <v>57</v>
      </c>
      <c r="F25502">
        <v>29</v>
      </c>
      <c r="G25502">
        <v>2</v>
      </c>
      <c r="H25502">
        <v>86</v>
      </c>
      <c r="I25502">
        <v>140</v>
      </c>
      <c r="J25502">
        <v>1</v>
      </c>
      <c r="K25502">
        <v>144</v>
      </c>
      <c r="L25502">
        <v>200</v>
      </c>
      <c r="M25502">
        <v>1</v>
      </c>
      <c r="N25502">
        <v>3.23166E-12</v>
      </c>
      <c r="O25502">
        <v>165</v>
      </c>
    </row>
    <row r="25503" spans="1:15" x14ac:dyDescent="0.25">
      <c r="A25503" t="s">
        <v>25516</v>
      </c>
      <c r="B25503">
        <v>175</v>
      </c>
      <c r="C25503" s="1" t="str">
        <f>HYPERLINK("http://www.rosaceae.org/gb/gbrowse/malus_x_domestica/?name=MDP0000136497","MDP0000136497")</f>
        <v>MDP0000136497</v>
      </c>
      <c r="D25503">
        <v>50.27</v>
      </c>
      <c r="E25503">
        <v>183</v>
      </c>
      <c r="F25503">
        <v>91</v>
      </c>
      <c r="G25503">
        <v>8</v>
      </c>
      <c r="H25503">
        <v>1</v>
      </c>
      <c r="I25503">
        <v>175</v>
      </c>
      <c r="J25503">
        <v>1</v>
      </c>
      <c r="K25503">
        <v>1</v>
      </c>
      <c r="L25503">
        <v>183</v>
      </c>
      <c r="M25503">
        <v>1</v>
      </c>
      <c r="N25503">
        <v>4.9774699999999997E-51</v>
      </c>
      <c r="O25503">
        <v>501</v>
      </c>
    </row>
    <row r="25504" spans="1:15" x14ac:dyDescent="0.25">
      <c r="A25504" t="s">
        <v>25517</v>
      </c>
      <c r="B25504">
        <v>694</v>
      </c>
      <c r="C25504" s="1" t="str">
        <f>HYPERLINK("http://www.rosaceae.org/gb/gbrowse/malus_x_domestica/?name=MDP0000233901","MDP0000233901")</f>
        <v>MDP0000233901</v>
      </c>
      <c r="D25504">
        <v>61.98</v>
      </c>
      <c r="E25504">
        <v>555</v>
      </c>
      <c r="F25504">
        <v>211</v>
      </c>
      <c r="G25504">
        <v>58</v>
      </c>
      <c r="H25504">
        <v>5</v>
      </c>
      <c r="I25504">
        <v>522</v>
      </c>
      <c r="J25504">
        <v>1</v>
      </c>
      <c r="K25504">
        <v>6</v>
      </c>
      <c r="L25504">
        <v>539</v>
      </c>
      <c r="M25504">
        <v>1</v>
      </c>
      <c r="N25504">
        <v>0</v>
      </c>
      <c r="O25504">
        <v>1665</v>
      </c>
    </row>
    <row r="25505" spans="1:15" x14ac:dyDescent="0.25">
      <c r="A25505" t="s">
        <v>25518</v>
      </c>
      <c r="B25505">
        <v>48</v>
      </c>
      <c r="C25505" s="1" t="str">
        <f>HYPERLINK("http://www.rosaceae.org/gb/gbrowse/malus_x_domestica/?name=MDP0000197386","MDP0000197386")</f>
        <v>MDP0000197386</v>
      </c>
      <c r="D25505">
        <v>48.83</v>
      </c>
      <c r="E25505">
        <v>43</v>
      </c>
      <c r="F25505">
        <v>22</v>
      </c>
      <c r="G25505">
        <v>0</v>
      </c>
      <c r="H25505">
        <v>1</v>
      </c>
      <c r="I25505">
        <v>43</v>
      </c>
      <c r="J25505">
        <v>1</v>
      </c>
      <c r="K25505">
        <v>143</v>
      </c>
      <c r="L25505">
        <v>185</v>
      </c>
      <c r="M25505">
        <v>1</v>
      </c>
      <c r="N25505">
        <v>4.7236799999999997E-8</v>
      </c>
      <c r="O25505">
        <v>127</v>
      </c>
    </row>
    <row r="25506" spans="1:15" x14ac:dyDescent="0.25">
      <c r="A25506" t="s">
        <v>25519</v>
      </c>
      <c r="B25506">
        <v>255</v>
      </c>
      <c r="C25506" s="1" t="str">
        <f>HYPERLINK("http://www.rosaceae.org/gb/gbrowse/malus_x_domestica/?name=MDP0000148080","MDP0000148080")</f>
        <v>MDP0000148080</v>
      </c>
      <c r="D25506">
        <v>46.18</v>
      </c>
      <c r="E25506">
        <v>223</v>
      </c>
      <c r="F25506">
        <v>120</v>
      </c>
      <c r="G25506">
        <v>13</v>
      </c>
      <c r="H25506">
        <v>24</v>
      </c>
      <c r="I25506">
        <v>235</v>
      </c>
      <c r="J25506">
        <v>1</v>
      </c>
      <c r="K25506">
        <v>341</v>
      </c>
      <c r="L25506">
        <v>561</v>
      </c>
      <c r="M25506">
        <v>1</v>
      </c>
      <c r="N25506">
        <v>1.07515E-36</v>
      </c>
      <c r="O25506">
        <v>380</v>
      </c>
    </row>
    <row r="25507" spans="1:15" x14ac:dyDescent="0.25">
      <c r="A25507" t="s">
        <v>25520</v>
      </c>
      <c r="B25507">
        <v>163</v>
      </c>
      <c r="C25507" s="1" t="str">
        <f>HYPERLINK("http://www.rosaceae.org/gb/gbrowse/malus_x_domestica/?name=MDP0000295085","MDP0000295085")</f>
        <v>MDP0000295085</v>
      </c>
      <c r="D25507">
        <v>51.92</v>
      </c>
      <c r="E25507">
        <v>208</v>
      </c>
      <c r="F25507">
        <v>100</v>
      </c>
      <c r="G25507">
        <v>63</v>
      </c>
      <c r="H25507">
        <v>1</v>
      </c>
      <c r="I25507">
        <v>145</v>
      </c>
      <c r="J25507">
        <v>1</v>
      </c>
      <c r="K25507">
        <v>653</v>
      </c>
      <c r="L25507">
        <v>860</v>
      </c>
      <c r="M25507">
        <v>1</v>
      </c>
      <c r="N25507">
        <v>8.8328300000000007E-43</v>
      </c>
      <c r="O25507">
        <v>429</v>
      </c>
    </row>
    <row r="25508" spans="1:15" x14ac:dyDescent="0.25">
      <c r="A25508" t="s">
        <v>25521</v>
      </c>
      <c r="B25508">
        <v>457</v>
      </c>
      <c r="C25508" s="1" t="str">
        <f>HYPERLINK("http://www.rosaceae.org/gb/gbrowse/malus_x_domestica/?name=MDP0000285017","MDP0000285017")</f>
        <v>MDP0000285017</v>
      </c>
      <c r="D25508">
        <v>78.489999999999995</v>
      </c>
      <c r="E25508">
        <v>358</v>
      </c>
      <c r="F25508">
        <v>77</v>
      </c>
      <c r="G25508">
        <v>12</v>
      </c>
      <c r="H25508">
        <v>96</v>
      </c>
      <c r="I25508">
        <v>453</v>
      </c>
      <c r="J25508">
        <v>1</v>
      </c>
      <c r="K25508">
        <v>234</v>
      </c>
      <c r="L25508">
        <v>579</v>
      </c>
      <c r="M25508">
        <v>1</v>
      </c>
      <c r="N25508">
        <v>3.8258800000000002E-168</v>
      </c>
      <c r="O25508">
        <v>1516</v>
      </c>
    </row>
    <row r="25509" spans="1:15" x14ac:dyDescent="0.25">
      <c r="A25509" t="s">
        <v>25522</v>
      </c>
      <c r="B25509">
        <v>266</v>
      </c>
      <c r="C25509" s="1" t="str">
        <f>HYPERLINK("http://www.rosaceae.org/gb/gbrowse/malus_x_domestica/?name=MDP0000308680","MDP0000308680")</f>
        <v>MDP0000308680</v>
      </c>
      <c r="D25509">
        <v>33.11</v>
      </c>
      <c r="E25509">
        <v>151</v>
      </c>
      <c r="F25509">
        <v>101</v>
      </c>
      <c r="G25509">
        <v>44</v>
      </c>
      <c r="H25509">
        <v>28</v>
      </c>
      <c r="I25509">
        <v>143</v>
      </c>
      <c r="J25509">
        <v>1</v>
      </c>
      <c r="K25509">
        <v>131</v>
      </c>
      <c r="L25509">
        <v>272</v>
      </c>
      <c r="M25509">
        <v>1</v>
      </c>
      <c r="N25509">
        <v>6.1952800000000004E-13</v>
      </c>
      <c r="O25509">
        <v>175</v>
      </c>
    </row>
    <row r="25510" spans="1:15" x14ac:dyDescent="0.25">
      <c r="A25510" t="s">
        <v>25523</v>
      </c>
      <c r="B25510">
        <v>101</v>
      </c>
      <c r="C25510" s="1" t="str">
        <f>HYPERLINK("http://www.rosaceae.org/gb/gbrowse/malus_x_domestica/?name=MDP0000274033","MDP0000274033")</f>
        <v>MDP0000274033</v>
      </c>
      <c r="D25510">
        <v>85.55</v>
      </c>
      <c r="E25510">
        <v>90</v>
      </c>
      <c r="F25510">
        <v>13</v>
      </c>
      <c r="G25510">
        <v>0</v>
      </c>
      <c r="H25510">
        <v>12</v>
      </c>
      <c r="I25510">
        <v>101</v>
      </c>
      <c r="J25510">
        <v>1</v>
      </c>
      <c r="K25510">
        <v>3</v>
      </c>
      <c r="L25510">
        <v>92</v>
      </c>
      <c r="M25510">
        <v>1</v>
      </c>
      <c r="N25510">
        <v>1.43626E-40</v>
      </c>
      <c r="O25510">
        <v>407</v>
      </c>
    </row>
    <row r="25511" spans="1:15" x14ac:dyDescent="0.25">
      <c r="A25511" t="s">
        <v>25524</v>
      </c>
      <c r="B25511">
        <v>380</v>
      </c>
      <c r="C25511" s="1" t="str">
        <f>HYPERLINK("http://www.rosaceae.org/gb/gbrowse/malus_x_domestica/?name=MDP0000283804","MDP0000283804")</f>
        <v>MDP0000283804</v>
      </c>
      <c r="D25511">
        <v>39.79</v>
      </c>
      <c r="E25511">
        <v>392</v>
      </c>
      <c r="F25511">
        <v>236</v>
      </c>
      <c r="G25511">
        <v>65</v>
      </c>
      <c r="H25511">
        <v>35</v>
      </c>
      <c r="I25511">
        <v>380</v>
      </c>
      <c r="J25511">
        <v>1</v>
      </c>
      <c r="K25511">
        <v>96</v>
      </c>
      <c r="L25511">
        <v>468</v>
      </c>
      <c r="M25511">
        <v>1</v>
      </c>
      <c r="N25511">
        <v>7.26473E-57</v>
      </c>
      <c r="O25511">
        <v>556</v>
      </c>
    </row>
    <row r="25512" spans="1:15" x14ac:dyDescent="0.25">
      <c r="A25512" t="s">
        <v>25525</v>
      </c>
      <c r="B25512">
        <v>1001</v>
      </c>
      <c r="C25512" s="1" t="str">
        <f>HYPERLINK("http://www.rosaceae.org/gb/gbrowse/malus_x_domestica/?name=MDP0000555752","MDP0000555752")</f>
        <v>MDP0000555752</v>
      </c>
      <c r="D25512">
        <v>50.77</v>
      </c>
      <c r="E25512">
        <v>258</v>
      </c>
      <c r="F25512">
        <v>127</v>
      </c>
      <c r="G25512">
        <v>13</v>
      </c>
      <c r="H25512">
        <v>389</v>
      </c>
      <c r="I25512">
        <v>646</v>
      </c>
      <c r="J25512">
        <v>1</v>
      </c>
      <c r="K25512">
        <v>1</v>
      </c>
      <c r="L25512">
        <v>245</v>
      </c>
      <c r="M25512">
        <v>1</v>
      </c>
      <c r="N25512">
        <v>4.0644500000000002E-70</v>
      </c>
      <c r="O25512">
        <v>674</v>
      </c>
    </row>
    <row r="25513" spans="1:15" x14ac:dyDescent="0.25">
      <c r="A25513" t="s">
        <v>25526</v>
      </c>
      <c r="B25513">
        <v>1092</v>
      </c>
      <c r="C25513" s="1" t="str">
        <f>HYPERLINK("http://www.rosaceae.org/gb/gbrowse/malus_x_domestica/?name=MDP0000455727","MDP0000455727")</f>
        <v>MDP0000455727</v>
      </c>
      <c r="D25513">
        <v>67.099999999999994</v>
      </c>
      <c r="E25513">
        <v>982</v>
      </c>
      <c r="F25513">
        <v>323</v>
      </c>
      <c r="G25513">
        <v>7</v>
      </c>
      <c r="H25513">
        <v>4</v>
      </c>
      <c r="I25513">
        <v>979</v>
      </c>
      <c r="J25513">
        <v>1</v>
      </c>
      <c r="K25513">
        <v>31</v>
      </c>
      <c r="L25513">
        <v>1011</v>
      </c>
      <c r="M25513">
        <v>1</v>
      </c>
      <c r="N25513">
        <v>0</v>
      </c>
      <c r="O25513">
        <v>3476</v>
      </c>
    </row>
    <row r="25514" spans="1:15" x14ac:dyDescent="0.25">
      <c r="A25514" t="s">
        <v>25527</v>
      </c>
      <c r="B25514">
        <v>935</v>
      </c>
      <c r="C25514" s="1" t="str">
        <f>HYPERLINK("http://www.rosaceae.org/gb/gbrowse/malus_x_domestica/?name=MDP0000822744","MDP0000822744")</f>
        <v>MDP0000822744</v>
      </c>
      <c r="D25514">
        <v>31.92</v>
      </c>
      <c r="E25514">
        <v>379</v>
      </c>
      <c r="F25514">
        <v>258</v>
      </c>
      <c r="G25514">
        <v>11</v>
      </c>
      <c r="H25514">
        <v>59</v>
      </c>
      <c r="I25514">
        <v>436</v>
      </c>
      <c r="J25514">
        <v>1</v>
      </c>
      <c r="K25514">
        <v>39</v>
      </c>
      <c r="L25514">
        <v>407</v>
      </c>
      <c r="M25514">
        <v>1</v>
      </c>
      <c r="N25514">
        <v>3.1787799999999999E-47</v>
      </c>
      <c r="O25514">
        <v>476</v>
      </c>
    </row>
    <row r="25515" spans="1:15" x14ac:dyDescent="0.25">
      <c r="A25515" t="s">
        <v>25528</v>
      </c>
      <c r="B25515">
        <v>338</v>
      </c>
      <c r="C25515" s="1" t="str">
        <f>HYPERLINK("http://www.rosaceae.org/gb/gbrowse/malus_x_domestica/?name=MDP0000158245","MDP0000158245")</f>
        <v>MDP0000158245</v>
      </c>
      <c r="D25515">
        <v>62.98</v>
      </c>
      <c r="E25515">
        <v>281</v>
      </c>
      <c r="F25515">
        <v>104</v>
      </c>
      <c r="G25515">
        <v>50</v>
      </c>
      <c r="H25515">
        <v>19</v>
      </c>
      <c r="I25515">
        <v>253</v>
      </c>
      <c r="J25515">
        <v>1</v>
      </c>
      <c r="K25515">
        <v>1</v>
      </c>
      <c r="L25515">
        <v>277</v>
      </c>
      <c r="M25515">
        <v>1</v>
      </c>
      <c r="N25515">
        <v>4.5237800000000002E-82</v>
      </c>
      <c r="O25515">
        <v>772</v>
      </c>
    </row>
    <row r="25516" spans="1:15" x14ac:dyDescent="0.25">
      <c r="A25516" t="s">
        <v>25529</v>
      </c>
      <c r="B25516">
        <v>546</v>
      </c>
      <c r="C25516" s="1" t="str">
        <f>HYPERLINK("http://www.rosaceae.org/gb/gbrowse/malus_x_domestica/?name=MDP0000240081","MDP0000240081")</f>
        <v>MDP0000240081</v>
      </c>
      <c r="D25516">
        <v>47.08</v>
      </c>
      <c r="E25516">
        <v>429</v>
      </c>
      <c r="F25516">
        <v>227</v>
      </c>
      <c r="G25516">
        <v>86</v>
      </c>
      <c r="H25516">
        <v>187</v>
      </c>
      <c r="I25516">
        <v>533</v>
      </c>
      <c r="J25516">
        <v>1</v>
      </c>
      <c r="K25516">
        <v>154</v>
      </c>
      <c r="L25516">
        <v>578</v>
      </c>
      <c r="M25516">
        <v>1</v>
      </c>
      <c r="N25516">
        <v>1.62924E-103</v>
      </c>
      <c r="O25516">
        <v>960</v>
      </c>
    </row>
    <row r="25517" spans="1:15" x14ac:dyDescent="0.25">
      <c r="A25517" t="s">
        <v>25530</v>
      </c>
      <c r="B25517">
        <v>504</v>
      </c>
      <c r="C25517" s="1" t="str">
        <f>HYPERLINK("http://www.rosaceae.org/gb/gbrowse/malus_x_domestica/?name=MDP0000401086","MDP0000401086")</f>
        <v>MDP0000401086</v>
      </c>
      <c r="D25517">
        <v>73.349999999999994</v>
      </c>
      <c r="E25517">
        <v>503</v>
      </c>
      <c r="F25517">
        <v>134</v>
      </c>
      <c r="G25517">
        <v>3</v>
      </c>
      <c r="H25517">
        <v>1</v>
      </c>
      <c r="I25517">
        <v>501</v>
      </c>
      <c r="J25517">
        <v>1</v>
      </c>
      <c r="K25517">
        <v>1</v>
      </c>
      <c r="L25517">
        <v>502</v>
      </c>
      <c r="M25517">
        <v>1</v>
      </c>
      <c r="N25517">
        <v>0</v>
      </c>
      <c r="O25517">
        <v>1948</v>
      </c>
    </row>
    <row r="25518" spans="1:15" x14ac:dyDescent="0.25">
      <c r="A25518" t="s">
        <v>25531</v>
      </c>
      <c r="B25518">
        <v>804</v>
      </c>
      <c r="C25518" s="1" t="str">
        <f>HYPERLINK("http://www.rosaceae.org/gb/gbrowse/malus_x_domestica/?name=MDP0000319081","MDP0000319081")</f>
        <v>MDP0000319081</v>
      </c>
      <c r="D25518">
        <v>75.400000000000006</v>
      </c>
      <c r="E25518">
        <v>809</v>
      </c>
      <c r="F25518">
        <v>199</v>
      </c>
      <c r="G25518">
        <v>63</v>
      </c>
      <c r="H25518">
        <v>1</v>
      </c>
      <c r="I25518">
        <v>787</v>
      </c>
      <c r="J25518">
        <v>1</v>
      </c>
      <c r="K25518">
        <v>38</v>
      </c>
      <c r="L25518">
        <v>805</v>
      </c>
      <c r="M25518">
        <v>1</v>
      </c>
      <c r="N25518">
        <v>0</v>
      </c>
      <c r="O25518">
        <v>3145</v>
      </c>
    </row>
    <row r="25519" spans="1:15" x14ac:dyDescent="0.25">
      <c r="A25519" t="s">
        <v>25532</v>
      </c>
      <c r="B25519">
        <v>238</v>
      </c>
      <c r="C25519" s="1" t="str">
        <f>HYPERLINK("http://www.rosaceae.org/gb/gbrowse/malus_x_domestica/?name=MDP0000316545","MDP0000316545")</f>
        <v>MDP0000316545</v>
      </c>
      <c r="D25519">
        <v>70.17</v>
      </c>
      <c r="E25519">
        <v>171</v>
      </c>
      <c r="F25519">
        <v>51</v>
      </c>
      <c r="G25519">
        <v>3</v>
      </c>
      <c r="H25519">
        <v>36</v>
      </c>
      <c r="I25519">
        <v>205</v>
      </c>
      <c r="J25519">
        <v>1</v>
      </c>
      <c r="K25519">
        <v>63</v>
      </c>
      <c r="L25519">
        <v>231</v>
      </c>
      <c r="M25519">
        <v>1</v>
      </c>
      <c r="N25519">
        <v>1.45573E-64</v>
      </c>
      <c r="O25519">
        <v>619</v>
      </c>
    </row>
    <row r="25520" spans="1:15" x14ac:dyDescent="0.25">
      <c r="A25520" t="s">
        <v>25533</v>
      </c>
      <c r="B25520">
        <v>532</v>
      </c>
      <c r="C25520" s="1" t="str">
        <f>HYPERLINK("http://www.rosaceae.org/gb/gbrowse/malus_x_domestica/?name=MDP0000707429","MDP0000707429")</f>
        <v>MDP0000707429</v>
      </c>
      <c r="D25520">
        <v>56.9</v>
      </c>
      <c r="E25520">
        <v>536</v>
      </c>
      <c r="F25520">
        <v>231</v>
      </c>
      <c r="G25520">
        <v>51</v>
      </c>
      <c r="H25520">
        <v>1</v>
      </c>
      <c r="I25520">
        <v>503</v>
      </c>
      <c r="J25520">
        <v>1</v>
      </c>
      <c r="K25520">
        <v>3</v>
      </c>
      <c r="L25520">
        <v>520</v>
      </c>
      <c r="M25520">
        <v>1</v>
      </c>
      <c r="N25520">
        <v>4.1487000000000001E-163</v>
      </c>
      <c r="O25520">
        <v>1473</v>
      </c>
    </row>
    <row r="25521" spans="1:15" x14ac:dyDescent="0.25">
      <c r="A25521" t="s">
        <v>25534</v>
      </c>
      <c r="B25521">
        <v>176</v>
      </c>
      <c r="C25521" s="1" t="str">
        <f>HYPERLINK("http://www.rosaceae.org/gb/gbrowse/malus_x_domestica/?name=MDP0000743866","MDP0000743866")</f>
        <v>MDP0000743866</v>
      </c>
      <c r="D25521">
        <v>85.88</v>
      </c>
      <c r="E25521">
        <v>163</v>
      </c>
      <c r="F25521">
        <v>23</v>
      </c>
      <c r="G25521">
        <v>3</v>
      </c>
      <c r="H25521">
        <v>1</v>
      </c>
      <c r="I25521">
        <v>160</v>
      </c>
      <c r="J25521">
        <v>1</v>
      </c>
      <c r="K25521">
        <v>1</v>
      </c>
      <c r="L25521">
        <v>163</v>
      </c>
      <c r="M25521">
        <v>1</v>
      </c>
      <c r="N25521">
        <v>2.2280000000000001E-77</v>
      </c>
      <c r="O25521">
        <v>728</v>
      </c>
    </row>
    <row r="25522" spans="1:15" x14ac:dyDescent="0.25">
      <c r="A25522" t="s">
        <v>25535</v>
      </c>
      <c r="B25522">
        <v>214</v>
      </c>
      <c r="C25522" s="1" t="str">
        <f>HYPERLINK("http://www.rosaceae.org/gb/gbrowse/malus_x_domestica/?name=MDP0000898896","MDP0000898896")</f>
        <v>MDP0000898896</v>
      </c>
      <c r="D25522">
        <v>59.85</v>
      </c>
      <c r="E25522">
        <v>142</v>
      </c>
      <c r="F25522">
        <v>57</v>
      </c>
      <c r="G25522">
        <v>12</v>
      </c>
      <c r="H25522">
        <v>1</v>
      </c>
      <c r="I25522">
        <v>130</v>
      </c>
      <c r="J25522">
        <v>1</v>
      </c>
      <c r="K25522">
        <v>1</v>
      </c>
      <c r="L25522">
        <v>142</v>
      </c>
      <c r="M25522">
        <v>1</v>
      </c>
      <c r="N25522">
        <v>1.93949E-41</v>
      </c>
      <c r="O25522">
        <v>419</v>
      </c>
    </row>
    <row r="25523" spans="1:15" x14ac:dyDescent="0.25">
      <c r="A25523" t="s">
        <v>25536</v>
      </c>
      <c r="B25523">
        <v>909</v>
      </c>
      <c r="C25523" s="1" t="str">
        <f>HYPERLINK("http://www.rosaceae.org/gb/gbrowse/malus_x_domestica/?name=MDP0000213969","MDP0000213969")</f>
        <v>MDP0000213969</v>
      </c>
      <c r="D25523">
        <v>85.98</v>
      </c>
      <c r="E25523">
        <v>885</v>
      </c>
      <c r="F25523">
        <v>124</v>
      </c>
      <c r="G25523">
        <v>15</v>
      </c>
      <c r="H25523">
        <v>1</v>
      </c>
      <c r="I25523">
        <v>884</v>
      </c>
      <c r="J25523">
        <v>1</v>
      </c>
      <c r="K25523">
        <v>1</v>
      </c>
      <c r="L25523">
        <v>871</v>
      </c>
      <c r="M25523">
        <v>1</v>
      </c>
      <c r="N25523">
        <v>0</v>
      </c>
      <c r="O25523">
        <v>3990</v>
      </c>
    </row>
    <row r="25524" spans="1:15" x14ac:dyDescent="0.25">
      <c r="A25524" t="s">
        <v>25537</v>
      </c>
      <c r="B25524">
        <v>391</v>
      </c>
      <c r="C25524" s="1" t="str">
        <f>HYPERLINK("http://www.rosaceae.org/gb/gbrowse/malus_x_domestica/?name=MDP0000340776","MDP0000340776")</f>
        <v>MDP0000340776</v>
      </c>
      <c r="D25524">
        <v>72.12</v>
      </c>
      <c r="E25524">
        <v>391</v>
      </c>
      <c r="F25524">
        <v>109</v>
      </c>
      <c r="G25524">
        <v>1</v>
      </c>
      <c r="H25524">
        <v>1</v>
      </c>
      <c r="I25524">
        <v>391</v>
      </c>
      <c r="J25524">
        <v>1</v>
      </c>
      <c r="K25524">
        <v>1</v>
      </c>
      <c r="L25524">
        <v>390</v>
      </c>
      <c r="M25524">
        <v>1</v>
      </c>
      <c r="N25524">
        <v>4.6555500000000001E-173</v>
      </c>
      <c r="O25524">
        <v>1558</v>
      </c>
    </row>
    <row r="25525" spans="1:15" x14ac:dyDescent="0.25">
      <c r="A25525" t="s">
        <v>25538</v>
      </c>
      <c r="B25525">
        <v>509</v>
      </c>
      <c r="C25525" s="1" t="str">
        <f>HYPERLINK("http://www.rosaceae.org/gb/gbrowse/malus_x_domestica/?name=MDP0000150086","MDP0000150086")</f>
        <v>MDP0000150086</v>
      </c>
      <c r="D25525">
        <v>78.55</v>
      </c>
      <c r="E25525">
        <v>387</v>
      </c>
      <c r="F25525">
        <v>83</v>
      </c>
      <c r="G25525">
        <v>18</v>
      </c>
      <c r="H25525">
        <v>9</v>
      </c>
      <c r="I25525">
        <v>380</v>
      </c>
      <c r="J25525">
        <v>1</v>
      </c>
      <c r="K25525">
        <v>16</v>
      </c>
      <c r="L25525">
        <v>399</v>
      </c>
      <c r="M25525">
        <v>1</v>
      </c>
      <c r="N25525">
        <v>2.77802E-174</v>
      </c>
      <c r="O25525">
        <v>1570</v>
      </c>
    </row>
    <row r="25526" spans="1:15" x14ac:dyDescent="0.25">
      <c r="A25526" t="s">
        <v>25539</v>
      </c>
      <c r="B25526">
        <v>253</v>
      </c>
      <c r="C25526" s="1" t="str">
        <f>HYPERLINK("http://www.rosaceae.org/gb/gbrowse/malus_x_domestica/?name=MDP0000506266","MDP0000506266")</f>
        <v>MDP0000506266</v>
      </c>
      <c r="D25526">
        <v>41.43</v>
      </c>
      <c r="E25526">
        <v>251</v>
      </c>
      <c r="F25526">
        <v>147</v>
      </c>
      <c r="G25526">
        <v>26</v>
      </c>
      <c r="H25526">
        <v>1</v>
      </c>
      <c r="I25526">
        <v>249</v>
      </c>
      <c r="J25526">
        <v>1</v>
      </c>
      <c r="K25526">
        <v>1</v>
      </c>
      <c r="L25526">
        <v>227</v>
      </c>
      <c r="M25526">
        <v>1</v>
      </c>
      <c r="N25526">
        <v>1.62216E-40</v>
      </c>
      <c r="O25526">
        <v>412</v>
      </c>
    </row>
    <row r="25527" spans="1:15" x14ac:dyDescent="0.25">
      <c r="A25527" t="s">
        <v>25540</v>
      </c>
      <c r="B25527">
        <v>444</v>
      </c>
      <c r="C25527" s="1" t="str">
        <f>HYPERLINK("http://www.rosaceae.org/gb/gbrowse/malus_x_domestica/?name=MDP0000145087","MDP0000145087")</f>
        <v>MDP0000145087</v>
      </c>
      <c r="D25527">
        <v>60.44</v>
      </c>
      <c r="E25527">
        <v>225</v>
      </c>
      <c r="F25527">
        <v>89</v>
      </c>
      <c r="G25527">
        <v>36</v>
      </c>
      <c r="H25527">
        <v>1</v>
      </c>
      <c r="I25527">
        <v>191</v>
      </c>
      <c r="J25527">
        <v>1</v>
      </c>
      <c r="K25527">
        <v>1</v>
      </c>
      <c r="L25527">
        <v>223</v>
      </c>
      <c r="M25527">
        <v>1</v>
      </c>
      <c r="N25527">
        <v>4.74755E-70</v>
      </c>
      <c r="O25527">
        <v>670</v>
      </c>
    </row>
    <row r="25528" spans="1:15" x14ac:dyDescent="0.25">
      <c r="A25528" t="s">
        <v>25541</v>
      </c>
      <c r="B25528">
        <v>986</v>
      </c>
      <c r="C25528" s="1" t="str">
        <f>HYPERLINK("http://www.rosaceae.org/gb/gbrowse/malus_x_domestica/?name=MDP0000261230","MDP0000261230")</f>
        <v>MDP0000261230</v>
      </c>
      <c r="D25528">
        <v>41.88</v>
      </c>
      <c r="E25528">
        <v>647</v>
      </c>
      <c r="F25528">
        <v>376</v>
      </c>
      <c r="G25528">
        <v>81</v>
      </c>
      <c r="H25528">
        <v>396</v>
      </c>
      <c r="I25528">
        <v>986</v>
      </c>
      <c r="J25528">
        <v>1</v>
      </c>
      <c r="K25528">
        <v>1</v>
      </c>
      <c r="L25528">
        <v>622</v>
      </c>
      <c r="M25528">
        <v>1</v>
      </c>
      <c r="N25528">
        <v>5.8479600000000005E-109</v>
      </c>
      <c r="O25528">
        <v>1009</v>
      </c>
    </row>
    <row r="25529" spans="1:15" x14ac:dyDescent="0.25">
      <c r="A25529" t="s">
        <v>25542</v>
      </c>
      <c r="B25529">
        <v>123</v>
      </c>
      <c r="C25529" s="1" t="str">
        <f>HYPERLINK("http://www.rosaceae.org/gb/gbrowse/malus_x_domestica/?name=MDP0000236750","MDP0000236750")</f>
        <v>MDP0000236750</v>
      </c>
      <c r="D25529">
        <v>47.22</v>
      </c>
      <c r="E25529">
        <v>72</v>
      </c>
      <c r="F25529">
        <v>38</v>
      </c>
      <c r="G25529">
        <v>3</v>
      </c>
      <c r="H25529">
        <v>1</v>
      </c>
      <c r="I25529">
        <v>72</v>
      </c>
      <c r="J25529">
        <v>1</v>
      </c>
      <c r="K25529">
        <v>199</v>
      </c>
      <c r="L25529">
        <v>267</v>
      </c>
      <c r="M25529">
        <v>1</v>
      </c>
      <c r="N25529">
        <v>1.2284199999999999E-12</v>
      </c>
      <c r="O25529">
        <v>166</v>
      </c>
    </row>
    <row r="25530" spans="1:15" x14ac:dyDescent="0.25">
      <c r="A25530" t="s">
        <v>25543</v>
      </c>
      <c r="B25530">
        <v>397</v>
      </c>
      <c r="C25530" s="1" t="str">
        <f>HYPERLINK("http://www.rosaceae.org/gb/gbrowse/malus_x_domestica/?name=MDP0000180709","MDP0000180709")</f>
        <v>MDP0000180709</v>
      </c>
      <c r="D25530">
        <v>66.05</v>
      </c>
      <c r="E25530">
        <v>271</v>
      </c>
      <c r="F25530">
        <v>92</v>
      </c>
      <c r="G25530">
        <v>14</v>
      </c>
      <c r="H25530">
        <v>137</v>
      </c>
      <c r="I25530">
        <v>397</v>
      </c>
      <c r="J25530">
        <v>1</v>
      </c>
      <c r="K25530">
        <v>54</v>
      </c>
      <c r="L25530">
        <v>320</v>
      </c>
      <c r="M25530">
        <v>1</v>
      </c>
      <c r="N25530">
        <v>1.04008E-94</v>
      </c>
      <c r="O25530">
        <v>882</v>
      </c>
    </row>
    <row r="25531" spans="1:15" x14ac:dyDescent="0.25">
      <c r="A25531" t="s">
        <v>25544</v>
      </c>
      <c r="B25531">
        <v>275</v>
      </c>
      <c r="C25531" s="1" t="str">
        <f>HYPERLINK("http://www.rosaceae.org/gb/gbrowse/malus_x_domestica/?name=MDP0000304650","MDP0000304650")</f>
        <v>MDP0000304650</v>
      </c>
      <c r="D25531">
        <v>73.45</v>
      </c>
      <c r="E25531">
        <v>275</v>
      </c>
      <c r="F25531">
        <v>73</v>
      </c>
      <c r="G25531">
        <v>15</v>
      </c>
      <c r="H25531">
        <v>1</v>
      </c>
      <c r="I25531">
        <v>275</v>
      </c>
      <c r="J25531">
        <v>1</v>
      </c>
      <c r="K25531">
        <v>2</v>
      </c>
      <c r="L25531">
        <v>261</v>
      </c>
      <c r="M25531">
        <v>1</v>
      </c>
      <c r="N25531">
        <v>9.5661000000000006E-109</v>
      </c>
      <c r="O25531">
        <v>1001</v>
      </c>
    </row>
    <row r="25532" spans="1:15" x14ac:dyDescent="0.25">
      <c r="A25532" t="s">
        <v>25545</v>
      </c>
      <c r="B25532">
        <v>1167</v>
      </c>
      <c r="C25532" s="1" t="str">
        <f>HYPERLINK("http://www.rosaceae.org/gb/gbrowse/malus_x_domestica/?name=MDP0000265328","MDP0000265328")</f>
        <v>MDP0000265328</v>
      </c>
      <c r="D25532">
        <v>72.09</v>
      </c>
      <c r="E25532">
        <v>516</v>
      </c>
      <c r="F25532">
        <v>144</v>
      </c>
      <c r="G25532">
        <v>45</v>
      </c>
      <c r="H25532">
        <v>678</v>
      </c>
      <c r="I25532">
        <v>1167</v>
      </c>
      <c r="J25532">
        <v>1</v>
      </c>
      <c r="K25532">
        <v>1</v>
      </c>
      <c r="L25532">
        <v>497</v>
      </c>
      <c r="M25532">
        <v>1</v>
      </c>
      <c r="N25532">
        <v>0</v>
      </c>
      <c r="O25532">
        <v>1854</v>
      </c>
    </row>
    <row r="25533" spans="1:15" x14ac:dyDescent="0.25">
      <c r="A25533" t="s">
        <v>25546</v>
      </c>
      <c r="B25533">
        <v>410</v>
      </c>
      <c r="C25533" s="1" t="str">
        <f>HYPERLINK("http://www.rosaceae.org/gb/gbrowse/malus_x_domestica/?name=MDP0000231765","MDP0000231765")</f>
        <v>MDP0000231765</v>
      </c>
      <c r="D25533">
        <v>75.819999999999993</v>
      </c>
      <c r="E25533">
        <v>393</v>
      </c>
      <c r="F25533">
        <v>95</v>
      </c>
      <c r="G25533">
        <v>14</v>
      </c>
      <c r="H25533">
        <v>29</v>
      </c>
      <c r="I25533">
        <v>410</v>
      </c>
      <c r="J25533">
        <v>1</v>
      </c>
      <c r="K25533">
        <v>1</v>
      </c>
      <c r="L25533">
        <v>390</v>
      </c>
      <c r="M25533">
        <v>1</v>
      </c>
      <c r="N25533">
        <v>5.7903899999999998E-165</v>
      </c>
      <c r="O25533">
        <v>1488</v>
      </c>
    </row>
    <row r="25534" spans="1:15" x14ac:dyDescent="0.25">
      <c r="A25534" t="s">
        <v>25547</v>
      </c>
      <c r="B25534">
        <v>659</v>
      </c>
      <c r="C25534" s="1" t="str">
        <f>HYPERLINK("http://www.rosaceae.org/gb/gbrowse/malus_x_domestica/?name=MDP0000261311","MDP0000261311")</f>
        <v>MDP0000261311</v>
      </c>
      <c r="D25534">
        <v>25.47</v>
      </c>
      <c r="E25534">
        <v>157</v>
      </c>
      <c r="F25534">
        <v>117</v>
      </c>
      <c r="G25534">
        <v>5</v>
      </c>
      <c r="H25534">
        <v>256</v>
      </c>
      <c r="I25534">
        <v>412</v>
      </c>
      <c r="J25534">
        <v>1</v>
      </c>
      <c r="K25534">
        <v>482</v>
      </c>
      <c r="L25534">
        <v>633</v>
      </c>
      <c r="M25534">
        <v>1</v>
      </c>
      <c r="N25534">
        <v>2.1701300000000001E-11</v>
      </c>
      <c r="O25534">
        <v>166</v>
      </c>
    </row>
    <row r="25535" spans="1:15" x14ac:dyDescent="0.25">
      <c r="A25535" t="s">
        <v>25548</v>
      </c>
      <c r="B25535">
        <v>142</v>
      </c>
      <c r="C25535" s="1" t="str">
        <f>HYPERLINK("http://www.rosaceae.org/gb/gbrowse/malus_x_domestica/?name=MDP0000265730","MDP0000265730")</f>
        <v>MDP0000265730</v>
      </c>
      <c r="D25535">
        <v>60.9</v>
      </c>
      <c r="E25535">
        <v>133</v>
      </c>
      <c r="F25535">
        <v>52</v>
      </c>
      <c r="G25535">
        <v>4</v>
      </c>
      <c r="H25535">
        <v>1</v>
      </c>
      <c r="I25535">
        <v>130</v>
      </c>
      <c r="J25535">
        <v>1</v>
      </c>
      <c r="K25535">
        <v>324</v>
      </c>
      <c r="L25535">
        <v>455</v>
      </c>
      <c r="M25535">
        <v>1</v>
      </c>
      <c r="N25535">
        <v>4.6728900000000002E-40</v>
      </c>
      <c r="O25535">
        <v>404</v>
      </c>
    </row>
    <row r="25536" spans="1:15" x14ac:dyDescent="0.25">
      <c r="A25536" t="s">
        <v>25549</v>
      </c>
      <c r="B25536">
        <v>688</v>
      </c>
      <c r="C25536" s="1" t="str">
        <f>HYPERLINK("http://www.rosaceae.org/gb/gbrowse/malus_x_domestica/?name=MDP0000284506","MDP0000284506")</f>
        <v>MDP0000284506</v>
      </c>
      <c r="D25536">
        <v>61.44</v>
      </c>
      <c r="E25536">
        <v>249</v>
      </c>
      <c r="F25536">
        <v>96</v>
      </c>
      <c r="G25536">
        <v>12</v>
      </c>
      <c r="H25536">
        <v>319</v>
      </c>
      <c r="I25536">
        <v>566</v>
      </c>
      <c r="J25536">
        <v>1</v>
      </c>
      <c r="K25536">
        <v>628</v>
      </c>
      <c r="L25536">
        <v>865</v>
      </c>
      <c r="M25536">
        <v>1</v>
      </c>
      <c r="N25536">
        <v>1.11883E-85</v>
      </c>
      <c r="O25536">
        <v>807</v>
      </c>
    </row>
    <row r="25537" spans="1:15" x14ac:dyDescent="0.25">
      <c r="A25537" t="s">
        <v>25550</v>
      </c>
      <c r="B25537">
        <v>140</v>
      </c>
      <c r="C25537" s="1" t="str">
        <f>HYPERLINK("http://www.rosaceae.org/gb/gbrowse/malus_x_domestica/?name=MDP0000334395","MDP0000334395")</f>
        <v>MDP0000334395</v>
      </c>
      <c r="D25537">
        <v>62.68</v>
      </c>
      <c r="E25537">
        <v>134</v>
      </c>
      <c r="F25537">
        <v>50</v>
      </c>
      <c r="G25537">
        <v>1</v>
      </c>
      <c r="H25537">
        <v>2</v>
      </c>
      <c r="I25537">
        <v>134</v>
      </c>
      <c r="J25537">
        <v>1</v>
      </c>
      <c r="K25537">
        <v>3</v>
      </c>
      <c r="L25537">
        <v>136</v>
      </c>
      <c r="M25537">
        <v>1</v>
      </c>
      <c r="N25537">
        <v>1.96222E-40</v>
      </c>
      <c r="O25537">
        <v>407</v>
      </c>
    </row>
    <row r="25538" spans="1:15" x14ac:dyDescent="0.25">
      <c r="A25538" t="s">
        <v>25551</v>
      </c>
      <c r="B25538">
        <v>277</v>
      </c>
      <c r="C25538" s="1" t="str">
        <f>HYPERLINK("http://www.rosaceae.org/gb/gbrowse/malus_x_domestica/?name=MDP0000151604","MDP0000151604")</f>
        <v>MDP0000151604</v>
      </c>
      <c r="D25538">
        <v>43.17</v>
      </c>
      <c r="E25538">
        <v>271</v>
      </c>
      <c r="F25538">
        <v>154</v>
      </c>
      <c r="G25538">
        <v>20</v>
      </c>
      <c r="H25538">
        <v>21</v>
      </c>
      <c r="I25538">
        <v>277</v>
      </c>
      <c r="J25538">
        <v>1</v>
      </c>
      <c r="K25538">
        <v>1</v>
      </c>
      <c r="L25538">
        <v>265</v>
      </c>
      <c r="M25538">
        <v>1</v>
      </c>
      <c r="N25538">
        <v>7.3634800000000004E-44</v>
      </c>
      <c r="O25538">
        <v>442</v>
      </c>
    </row>
    <row r="25539" spans="1:15" x14ac:dyDescent="0.25">
      <c r="A25539" t="s">
        <v>25552</v>
      </c>
      <c r="B25539">
        <v>591</v>
      </c>
      <c r="C25539" s="1" t="str">
        <f>HYPERLINK("http://www.rosaceae.org/gb/gbrowse/malus_x_domestica/?name=MDP0000184783","MDP0000184783")</f>
        <v>MDP0000184783</v>
      </c>
      <c r="D25539">
        <v>63.94</v>
      </c>
      <c r="E25539">
        <v>649</v>
      </c>
      <c r="F25539">
        <v>234</v>
      </c>
      <c r="G25539">
        <v>70</v>
      </c>
      <c r="H25539">
        <v>1</v>
      </c>
      <c r="I25539">
        <v>591</v>
      </c>
      <c r="J25539">
        <v>1</v>
      </c>
      <c r="K25539">
        <v>1</v>
      </c>
      <c r="L25539">
        <v>637</v>
      </c>
      <c r="M25539">
        <v>1</v>
      </c>
      <c r="N25539">
        <v>0</v>
      </c>
      <c r="O25539">
        <v>2007</v>
      </c>
    </row>
    <row r="25540" spans="1:15" x14ac:dyDescent="0.25">
      <c r="A25540" t="s">
        <v>25553</v>
      </c>
      <c r="B25540">
        <v>1649</v>
      </c>
      <c r="C25540" s="1" t="str">
        <f>HYPERLINK("http://www.rosaceae.org/gb/gbrowse/malus_x_domestica/?name=MDP0000163441","MDP0000163441")</f>
        <v>MDP0000163441</v>
      </c>
      <c r="D25540">
        <v>62.03</v>
      </c>
      <c r="E25540">
        <v>835</v>
      </c>
      <c r="F25540">
        <v>317</v>
      </c>
      <c r="G25540">
        <v>42</v>
      </c>
      <c r="H25540">
        <v>389</v>
      </c>
      <c r="I25540">
        <v>1187</v>
      </c>
      <c r="J25540">
        <v>1</v>
      </c>
      <c r="K25540">
        <v>438</v>
      </c>
      <c r="L25540">
        <v>1266</v>
      </c>
      <c r="M25540">
        <v>1</v>
      </c>
      <c r="N25540">
        <v>0</v>
      </c>
      <c r="O25540">
        <v>2549</v>
      </c>
    </row>
    <row r="25541" spans="1:15" x14ac:dyDescent="0.25">
      <c r="A25541" t="s">
        <v>25554</v>
      </c>
      <c r="B25541">
        <v>171</v>
      </c>
      <c r="C25541" s="1" t="str">
        <f>HYPERLINK("http://www.rosaceae.org/gb/gbrowse/malus_x_domestica/?name=MDP0000283710","MDP0000283710")</f>
        <v>MDP0000283710</v>
      </c>
      <c r="D25541">
        <v>72.430000000000007</v>
      </c>
      <c r="E25541">
        <v>185</v>
      </c>
      <c r="F25541">
        <v>51</v>
      </c>
      <c r="G25541">
        <v>14</v>
      </c>
      <c r="H25541">
        <v>1</v>
      </c>
      <c r="I25541">
        <v>171</v>
      </c>
      <c r="J25541">
        <v>1</v>
      </c>
      <c r="K25541">
        <v>174</v>
      </c>
      <c r="L25541">
        <v>358</v>
      </c>
      <c r="M25541">
        <v>1</v>
      </c>
      <c r="N25541">
        <v>1.12115E-63</v>
      </c>
      <c r="O25541">
        <v>610</v>
      </c>
    </row>
    <row r="25542" spans="1:15" x14ac:dyDescent="0.25">
      <c r="A25542" t="s">
        <v>25555</v>
      </c>
      <c r="B25542">
        <v>896</v>
      </c>
      <c r="C25542" s="1" t="str">
        <f>HYPERLINK("http://www.rosaceae.org/gb/gbrowse/malus_x_domestica/?name=MDP0000285761","MDP0000285761")</f>
        <v>MDP0000285761</v>
      </c>
      <c r="D25542">
        <v>47.2</v>
      </c>
      <c r="E25542">
        <v>875</v>
      </c>
      <c r="F25542">
        <v>462</v>
      </c>
      <c r="G25542">
        <v>133</v>
      </c>
      <c r="H25542">
        <v>1</v>
      </c>
      <c r="I25542">
        <v>818</v>
      </c>
      <c r="J25542">
        <v>1</v>
      </c>
      <c r="K25542">
        <v>96</v>
      </c>
      <c r="L25542">
        <v>894</v>
      </c>
      <c r="M25542">
        <v>1</v>
      </c>
      <c r="N25542">
        <v>6.1554499999999998E-179</v>
      </c>
      <c r="O25542">
        <v>1612</v>
      </c>
    </row>
    <row r="25543" spans="1:15" x14ac:dyDescent="0.25">
      <c r="A25543" t="s">
        <v>25556</v>
      </c>
      <c r="B25543">
        <v>703</v>
      </c>
      <c r="C25543" s="1" t="str">
        <f>HYPERLINK("http://www.rosaceae.org/gb/gbrowse/malus_x_domestica/?name=MDP0000199669","MDP0000199669")</f>
        <v>MDP0000199669</v>
      </c>
      <c r="D25543">
        <v>36.799999999999997</v>
      </c>
      <c r="E25543">
        <v>519</v>
      </c>
      <c r="F25543">
        <v>328</v>
      </c>
      <c r="G25543">
        <v>54</v>
      </c>
      <c r="H25543">
        <v>69</v>
      </c>
      <c r="I25543">
        <v>567</v>
      </c>
      <c r="J25543">
        <v>1</v>
      </c>
      <c r="K25543">
        <v>54</v>
      </c>
      <c r="L25543">
        <v>538</v>
      </c>
      <c r="M25543">
        <v>1</v>
      </c>
      <c r="N25543">
        <v>1.04835E-91</v>
      </c>
      <c r="O25543">
        <v>859</v>
      </c>
    </row>
    <row r="25544" spans="1:15" x14ac:dyDescent="0.25">
      <c r="A25544" t="s">
        <v>25557</v>
      </c>
      <c r="B25544">
        <v>154</v>
      </c>
      <c r="C25544" s="1" t="str">
        <f>HYPERLINK("http://www.rosaceae.org/gb/gbrowse/malus_x_domestica/?name=MDP0000182136","MDP0000182136")</f>
        <v>MDP0000182136</v>
      </c>
      <c r="D25544">
        <v>58.99</v>
      </c>
      <c r="E25544">
        <v>139</v>
      </c>
      <c r="F25544">
        <v>57</v>
      </c>
      <c r="G25544">
        <v>15</v>
      </c>
      <c r="H25544">
        <v>1</v>
      </c>
      <c r="I25544">
        <v>124</v>
      </c>
      <c r="J25544">
        <v>1</v>
      </c>
      <c r="K25544">
        <v>1</v>
      </c>
      <c r="L25544">
        <v>139</v>
      </c>
      <c r="M25544">
        <v>1</v>
      </c>
      <c r="N25544">
        <v>5.5862699999999999E-40</v>
      </c>
      <c r="O25544">
        <v>404</v>
      </c>
    </row>
    <row r="25545" spans="1:15" x14ac:dyDescent="0.25">
      <c r="A25545" t="s">
        <v>25558</v>
      </c>
      <c r="B25545">
        <v>509</v>
      </c>
      <c r="C25545" s="1" t="str">
        <f>HYPERLINK("http://www.rosaceae.org/gb/gbrowse/malus_x_domestica/?name=MDP0000475886","MDP0000475886")</f>
        <v>MDP0000475886</v>
      </c>
      <c r="D25545">
        <v>76.56</v>
      </c>
      <c r="E25545">
        <v>478</v>
      </c>
      <c r="F25545">
        <v>112</v>
      </c>
      <c r="G25545">
        <v>3</v>
      </c>
      <c r="H25545">
        <v>33</v>
      </c>
      <c r="I25545">
        <v>507</v>
      </c>
      <c r="J25545">
        <v>1</v>
      </c>
      <c r="K25545">
        <v>45</v>
      </c>
      <c r="L25545">
        <v>522</v>
      </c>
      <c r="M25545">
        <v>1</v>
      </c>
      <c r="N25545">
        <v>0</v>
      </c>
      <c r="O25545">
        <v>2010</v>
      </c>
    </row>
    <row r="25546" spans="1:15" x14ac:dyDescent="0.25">
      <c r="A25546" t="s">
        <v>25559</v>
      </c>
      <c r="B25546">
        <v>436</v>
      </c>
      <c r="C25546" s="1" t="str">
        <f>HYPERLINK("http://www.rosaceae.org/gb/gbrowse/malus_x_domestica/?name=MDP0000164116","MDP0000164116")</f>
        <v>MDP0000164116</v>
      </c>
      <c r="D25546">
        <v>61.12</v>
      </c>
      <c r="E25546">
        <v>445</v>
      </c>
      <c r="F25546">
        <v>173</v>
      </c>
      <c r="G25546">
        <v>31</v>
      </c>
      <c r="H25546">
        <v>1</v>
      </c>
      <c r="I25546">
        <v>436</v>
      </c>
      <c r="J25546">
        <v>1</v>
      </c>
      <c r="K25546">
        <v>1</v>
      </c>
      <c r="L25546">
        <v>423</v>
      </c>
      <c r="M25546">
        <v>1</v>
      </c>
      <c r="N25546">
        <v>2.5980499999999998E-133</v>
      </c>
      <c r="O25546">
        <v>1216</v>
      </c>
    </row>
    <row r="25547" spans="1:15" x14ac:dyDescent="0.25">
      <c r="A25547" t="s">
        <v>25560</v>
      </c>
      <c r="B25547">
        <v>360</v>
      </c>
      <c r="C25547" s="1" t="str">
        <f>HYPERLINK("http://www.rosaceae.org/gb/gbrowse/malus_x_domestica/?name=MDP0000282229","MDP0000282229")</f>
        <v>MDP0000282229</v>
      </c>
      <c r="D25547">
        <v>57.69</v>
      </c>
      <c r="E25547">
        <v>338</v>
      </c>
      <c r="F25547">
        <v>143</v>
      </c>
      <c r="G25547">
        <v>6</v>
      </c>
      <c r="H25547">
        <v>2</v>
      </c>
      <c r="I25547">
        <v>338</v>
      </c>
      <c r="J25547">
        <v>1</v>
      </c>
      <c r="K25547">
        <v>3</v>
      </c>
      <c r="L25547">
        <v>335</v>
      </c>
      <c r="M25547">
        <v>1</v>
      </c>
      <c r="N25547">
        <v>1.01669E-104</v>
      </c>
      <c r="O25547">
        <v>968</v>
      </c>
    </row>
    <row r="25548" spans="1:15" x14ac:dyDescent="0.25">
      <c r="A25548" t="s">
        <v>25561</v>
      </c>
      <c r="B25548">
        <v>107</v>
      </c>
      <c r="C25548" s="1" t="str">
        <f>HYPERLINK("http://www.rosaceae.org/gb/gbrowse/malus_x_domestica/?name=MDP0000301441","MDP0000301441")</f>
        <v>MDP0000301441</v>
      </c>
      <c r="D25548">
        <v>71.56</v>
      </c>
      <c r="E25548">
        <v>102</v>
      </c>
      <c r="F25548">
        <v>29</v>
      </c>
      <c r="G25548">
        <v>0</v>
      </c>
      <c r="H25548">
        <v>1</v>
      </c>
      <c r="I25548">
        <v>102</v>
      </c>
      <c r="J25548">
        <v>1</v>
      </c>
      <c r="K25548">
        <v>1</v>
      </c>
      <c r="L25548">
        <v>102</v>
      </c>
      <c r="M25548">
        <v>1</v>
      </c>
      <c r="N25548">
        <v>2.8661299999999999E-34</v>
      </c>
      <c r="O25548">
        <v>353</v>
      </c>
    </row>
    <row r="25549" spans="1:15" x14ac:dyDescent="0.25">
      <c r="A25549" t="s">
        <v>25562</v>
      </c>
      <c r="B25549">
        <v>1098</v>
      </c>
      <c r="C25549" s="1" t="str">
        <f>HYPERLINK("http://www.rosaceae.org/gb/gbrowse/malus_x_domestica/?name=MDP0000214069","MDP0000214069")</f>
        <v>MDP0000214069</v>
      </c>
      <c r="D25549">
        <v>74.349999999999994</v>
      </c>
      <c r="E25549">
        <v>546</v>
      </c>
      <c r="F25549">
        <v>140</v>
      </c>
      <c r="G25549">
        <v>5</v>
      </c>
      <c r="H25549">
        <v>553</v>
      </c>
      <c r="I25549">
        <v>1098</v>
      </c>
      <c r="J25549">
        <v>1</v>
      </c>
      <c r="K25549">
        <v>8</v>
      </c>
      <c r="L25549">
        <v>548</v>
      </c>
      <c r="M25549">
        <v>1</v>
      </c>
      <c r="N25549">
        <v>0</v>
      </c>
      <c r="O25549">
        <v>2221</v>
      </c>
    </row>
    <row r="25550" spans="1:15" x14ac:dyDescent="0.25">
      <c r="A25550" t="s">
        <v>25563</v>
      </c>
      <c r="B25550">
        <v>671</v>
      </c>
      <c r="C25550" s="1" t="str">
        <f>HYPERLINK("http://www.rosaceae.org/gb/gbrowse/malus_x_domestica/?name=MDP0000534116","MDP0000534116")</f>
        <v>MDP0000534116</v>
      </c>
      <c r="D25550">
        <v>56.89</v>
      </c>
      <c r="E25550">
        <v>348</v>
      </c>
      <c r="F25550">
        <v>150</v>
      </c>
      <c r="G25550">
        <v>18</v>
      </c>
      <c r="H25550">
        <v>256</v>
      </c>
      <c r="I25550">
        <v>601</v>
      </c>
      <c r="J25550">
        <v>1</v>
      </c>
      <c r="K25550">
        <v>95</v>
      </c>
      <c r="L25550">
        <v>426</v>
      </c>
      <c r="M25550">
        <v>1</v>
      </c>
      <c r="N25550">
        <v>4.8812299999999997E-110</v>
      </c>
      <c r="O25550">
        <v>1017</v>
      </c>
    </row>
    <row r="25551" spans="1:15" x14ac:dyDescent="0.25">
      <c r="A25551" t="s">
        <v>25564</v>
      </c>
      <c r="B25551">
        <v>200</v>
      </c>
      <c r="C25551" s="1" t="str">
        <f>HYPERLINK("http://www.rosaceae.org/gb/gbrowse/malus_x_domestica/?name=MDP0000646963","MDP0000646963")</f>
        <v>MDP0000646963</v>
      </c>
      <c r="D25551">
        <v>33.119999999999997</v>
      </c>
      <c r="E25551">
        <v>157</v>
      </c>
      <c r="F25551">
        <v>105</v>
      </c>
      <c r="G25551">
        <v>1</v>
      </c>
      <c r="H25551">
        <v>5</v>
      </c>
      <c r="I25551">
        <v>161</v>
      </c>
      <c r="J25551">
        <v>1</v>
      </c>
      <c r="K25551">
        <v>77</v>
      </c>
      <c r="L25551">
        <v>232</v>
      </c>
      <c r="M25551">
        <v>1</v>
      </c>
      <c r="N25551">
        <v>4.3169200000000003E-17</v>
      </c>
      <c r="O25551">
        <v>209</v>
      </c>
    </row>
    <row r="25552" spans="1:15" x14ac:dyDescent="0.25">
      <c r="A25552" t="s">
        <v>25565</v>
      </c>
      <c r="B25552">
        <v>1975</v>
      </c>
      <c r="C25552" s="1" t="str">
        <f>HYPERLINK("http://www.rosaceae.org/gb/gbrowse/malus_x_domestica/?name=MDP0000126983","MDP0000126983")</f>
        <v>MDP0000126983</v>
      </c>
      <c r="D25552">
        <v>61.47</v>
      </c>
      <c r="E25552">
        <v>745</v>
      </c>
      <c r="F25552">
        <v>287</v>
      </c>
      <c r="G25552">
        <v>22</v>
      </c>
      <c r="H25552">
        <v>1181</v>
      </c>
      <c r="I25552">
        <v>1909</v>
      </c>
      <c r="J25552">
        <v>1</v>
      </c>
      <c r="K25552">
        <v>954</v>
      </c>
      <c r="L25552">
        <v>1692</v>
      </c>
      <c r="M25552">
        <v>1</v>
      </c>
      <c r="N25552">
        <v>0</v>
      </c>
      <c r="O25552">
        <v>2122</v>
      </c>
    </row>
    <row r="25553" spans="1:15" x14ac:dyDescent="0.25">
      <c r="A25553" t="s">
        <v>25566</v>
      </c>
      <c r="B25553">
        <v>1630</v>
      </c>
      <c r="C25553" s="1" t="str">
        <f>HYPERLINK("http://www.rosaceae.org/gb/gbrowse/malus_x_domestica/?name=MDP0000186517","MDP0000186517")</f>
        <v>MDP0000186517</v>
      </c>
      <c r="D25553">
        <v>62.61</v>
      </c>
      <c r="E25553">
        <v>1019</v>
      </c>
      <c r="F25553">
        <v>381</v>
      </c>
      <c r="G25553">
        <v>77</v>
      </c>
      <c r="H25553">
        <v>594</v>
      </c>
      <c r="I25553">
        <v>1586</v>
      </c>
      <c r="J25553">
        <v>1</v>
      </c>
      <c r="K25553">
        <v>25</v>
      </c>
      <c r="L25553">
        <v>992</v>
      </c>
      <c r="M25553">
        <v>1</v>
      </c>
      <c r="N25553">
        <v>0</v>
      </c>
      <c r="O25553">
        <v>3016</v>
      </c>
    </row>
    <row r="25554" spans="1:15" x14ac:dyDescent="0.25">
      <c r="A25554" t="s">
        <v>25567</v>
      </c>
      <c r="B25554">
        <v>303</v>
      </c>
      <c r="C25554" s="1" t="str">
        <f>HYPERLINK("http://www.rosaceae.org/gb/gbrowse/malus_x_domestica/?name=MDP0000263199","MDP0000263199")</f>
        <v>MDP0000263199</v>
      </c>
      <c r="D25554">
        <v>49.37</v>
      </c>
      <c r="E25554">
        <v>239</v>
      </c>
      <c r="F25554">
        <v>121</v>
      </c>
      <c r="G25554">
        <v>25</v>
      </c>
      <c r="H25554">
        <v>1</v>
      </c>
      <c r="I25554">
        <v>239</v>
      </c>
      <c r="J25554">
        <v>1</v>
      </c>
      <c r="K25554">
        <v>1</v>
      </c>
      <c r="L25554">
        <v>214</v>
      </c>
      <c r="M25554">
        <v>1</v>
      </c>
      <c r="N25554">
        <v>9.3313399999999998E-49</v>
      </c>
      <c r="O25554">
        <v>484</v>
      </c>
    </row>
    <row r="25555" spans="1:15" x14ac:dyDescent="0.25">
      <c r="A25555" t="s">
        <v>25568</v>
      </c>
      <c r="B25555">
        <v>217</v>
      </c>
      <c r="C25555" s="1" t="str">
        <f>HYPERLINK("http://www.rosaceae.org/gb/gbrowse/malus_x_domestica/?name=MDP0000530457","MDP0000530457")</f>
        <v>MDP0000530457</v>
      </c>
      <c r="D25555">
        <v>81.77</v>
      </c>
      <c r="E25555">
        <v>203</v>
      </c>
      <c r="F25555">
        <v>37</v>
      </c>
      <c r="G25555">
        <v>0</v>
      </c>
      <c r="H25555">
        <v>1</v>
      </c>
      <c r="I25555">
        <v>203</v>
      </c>
      <c r="J25555">
        <v>1</v>
      </c>
      <c r="K25555">
        <v>1</v>
      </c>
      <c r="L25555">
        <v>203</v>
      </c>
      <c r="M25555">
        <v>1</v>
      </c>
      <c r="N25555">
        <v>1.463E-95</v>
      </c>
      <c r="O25555">
        <v>886</v>
      </c>
    </row>
    <row r="25556" spans="1:15" x14ac:dyDescent="0.25">
      <c r="A25556" t="s">
        <v>25569</v>
      </c>
      <c r="B25556">
        <v>234</v>
      </c>
      <c r="C25556" s="1" t="str">
        <f>HYPERLINK("http://www.rosaceae.org/gb/gbrowse/malus_x_domestica/?name=MDP0000781028","MDP0000781028")</f>
        <v>MDP0000781028</v>
      </c>
      <c r="D25556">
        <v>78.239999999999995</v>
      </c>
      <c r="E25556">
        <v>216</v>
      </c>
      <c r="F25556">
        <v>47</v>
      </c>
      <c r="G25556">
        <v>1</v>
      </c>
      <c r="H25556">
        <v>19</v>
      </c>
      <c r="I25556">
        <v>234</v>
      </c>
      <c r="J25556">
        <v>1</v>
      </c>
      <c r="K25556">
        <v>19</v>
      </c>
      <c r="L25556">
        <v>233</v>
      </c>
      <c r="M25556">
        <v>1</v>
      </c>
      <c r="N25556">
        <v>6.0383700000000003E-92</v>
      </c>
      <c r="O25556">
        <v>855</v>
      </c>
    </row>
    <row r="25557" spans="1:15" x14ac:dyDescent="0.25">
      <c r="A25557" t="s">
        <v>25570</v>
      </c>
      <c r="B25557">
        <v>328</v>
      </c>
      <c r="C25557" s="1" t="str">
        <f>HYPERLINK("http://www.rosaceae.org/gb/gbrowse/malus_x_domestica/?name=MDP0000259556","MDP0000259556")</f>
        <v>MDP0000259556</v>
      </c>
      <c r="D25557">
        <v>41.72</v>
      </c>
      <c r="E25557">
        <v>139</v>
      </c>
      <c r="F25557">
        <v>81</v>
      </c>
      <c r="G25557">
        <v>12</v>
      </c>
      <c r="H25557">
        <v>5</v>
      </c>
      <c r="I25557">
        <v>137</v>
      </c>
      <c r="J25557">
        <v>1</v>
      </c>
      <c r="K25557">
        <v>4</v>
      </c>
      <c r="L25557">
        <v>136</v>
      </c>
      <c r="M25557">
        <v>1</v>
      </c>
      <c r="N25557">
        <v>9.5738500000000005E-22</v>
      </c>
      <c r="O25557">
        <v>252</v>
      </c>
    </row>
    <row r="25558" spans="1:15" x14ac:dyDescent="0.25">
      <c r="A25558" t="s">
        <v>25571</v>
      </c>
      <c r="B25558">
        <v>564</v>
      </c>
      <c r="C25558" s="1" t="str">
        <f>HYPERLINK("http://www.rosaceae.org/gb/gbrowse/malus_x_domestica/?name=MDP0000298352","MDP0000298352")</f>
        <v>MDP0000298352</v>
      </c>
      <c r="D25558">
        <v>59.69</v>
      </c>
      <c r="E25558">
        <v>526</v>
      </c>
      <c r="F25558">
        <v>212</v>
      </c>
      <c r="G25558">
        <v>40</v>
      </c>
      <c r="H25558">
        <v>18</v>
      </c>
      <c r="I25558">
        <v>543</v>
      </c>
      <c r="J25558">
        <v>1</v>
      </c>
      <c r="K25558">
        <v>467</v>
      </c>
      <c r="L25558">
        <v>952</v>
      </c>
      <c r="M25558">
        <v>1</v>
      </c>
      <c r="N25558">
        <v>1.03337E-180</v>
      </c>
      <c r="O25558">
        <v>1625</v>
      </c>
    </row>
    <row r="25559" spans="1:15" x14ac:dyDescent="0.25">
      <c r="A25559" t="s">
        <v>25572</v>
      </c>
      <c r="B25559">
        <v>73</v>
      </c>
      <c r="C25559" s="1" t="str">
        <f>HYPERLINK("http://www.rosaceae.org/gb/gbrowse/malus_x_domestica/?name=MDP0000655948","MDP0000655948")</f>
        <v>MDP0000655948</v>
      </c>
      <c r="D25559">
        <v>69.81</v>
      </c>
      <c r="E25559">
        <v>53</v>
      </c>
      <c r="F25559">
        <v>16</v>
      </c>
      <c r="G25559">
        <v>0</v>
      </c>
      <c r="H25559">
        <v>5</v>
      </c>
      <c r="I25559">
        <v>57</v>
      </c>
      <c r="J25559">
        <v>1</v>
      </c>
      <c r="K25559">
        <v>3</v>
      </c>
      <c r="L25559">
        <v>55</v>
      </c>
      <c r="M25559">
        <v>1</v>
      </c>
      <c r="N25559">
        <v>2.9481699999999999E-15</v>
      </c>
      <c r="O25559">
        <v>189</v>
      </c>
    </row>
    <row r="25560" spans="1:15" x14ac:dyDescent="0.25">
      <c r="A25560" t="s">
        <v>25573</v>
      </c>
      <c r="B25560">
        <v>380</v>
      </c>
      <c r="C25560" s="1" t="str">
        <f>HYPERLINK("http://www.rosaceae.org/gb/gbrowse/malus_x_domestica/?name=MDP0000214672","MDP0000214672")</f>
        <v>MDP0000214672</v>
      </c>
      <c r="D25560">
        <v>54.41</v>
      </c>
      <c r="E25560">
        <v>272</v>
      </c>
      <c r="F25560">
        <v>124</v>
      </c>
      <c r="G25560">
        <v>9</v>
      </c>
      <c r="H25560">
        <v>106</v>
      </c>
      <c r="I25560">
        <v>376</v>
      </c>
      <c r="J25560">
        <v>1</v>
      </c>
      <c r="K25560">
        <v>51</v>
      </c>
      <c r="L25560">
        <v>314</v>
      </c>
      <c r="M25560">
        <v>1</v>
      </c>
      <c r="N25560">
        <v>6.8581000000000001E-83</v>
      </c>
      <c r="O25560">
        <v>780</v>
      </c>
    </row>
    <row r="25561" spans="1:15" x14ac:dyDescent="0.25">
      <c r="A25561" t="s">
        <v>25574</v>
      </c>
      <c r="B25561">
        <v>187</v>
      </c>
      <c r="C25561" s="1" t="str">
        <f>HYPERLINK("http://www.rosaceae.org/gb/gbrowse/malus_x_domestica/?name=MDP0000055639","MDP0000055639")</f>
        <v>MDP0000055639</v>
      </c>
      <c r="D25561">
        <v>43.08</v>
      </c>
      <c r="E25561">
        <v>246</v>
      </c>
      <c r="F25561">
        <v>140</v>
      </c>
      <c r="G25561">
        <v>64</v>
      </c>
      <c r="H25561">
        <v>1</v>
      </c>
      <c r="I25561">
        <v>183</v>
      </c>
      <c r="J25561">
        <v>1</v>
      </c>
      <c r="K25561">
        <v>36</v>
      </c>
      <c r="L25561">
        <v>280</v>
      </c>
      <c r="M25561">
        <v>1</v>
      </c>
      <c r="N25561">
        <v>4.0549500000000001E-44</v>
      </c>
      <c r="O25561">
        <v>442</v>
      </c>
    </row>
    <row r="25562" spans="1:15" x14ac:dyDescent="0.25">
      <c r="A25562" t="s">
        <v>25575</v>
      </c>
      <c r="B25562">
        <v>576</v>
      </c>
      <c r="C25562" s="1" t="str">
        <f>HYPERLINK("http://www.rosaceae.org/gb/gbrowse/malus_x_domestica/?name=MDP0000054636","MDP0000054636")</f>
        <v>MDP0000054636</v>
      </c>
      <c r="D25562">
        <v>83.51</v>
      </c>
      <c r="E25562">
        <v>558</v>
      </c>
      <c r="F25562">
        <v>92</v>
      </c>
      <c r="G25562">
        <v>17</v>
      </c>
      <c r="H25562">
        <v>36</v>
      </c>
      <c r="I25562">
        <v>576</v>
      </c>
      <c r="J25562">
        <v>1</v>
      </c>
      <c r="K25562">
        <v>1</v>
      </c>
      <c r="L25562">
        <v>558</v>
      </c>
      <c r="M25562">
        <v>1</v>
      </c>
      <c r="N25562">
        <v>0</v>
      </c>
      <c r="O25562">
        <v>2549</v>
      </c>
    </row>
    <row r="25563" spans="1:15" x14ac:dyDescent="0.25">
      <c r="A25563" t="s">
        <v>25576</v>
      </c>
      <c r="B25563">
        <v>88</v>
      </c>
      <c r="C25563" s="1" t="str">
        <f>HYPERLINK("http://www.rosaceae.org/gb/gbrowse/malus_x_domestica/?name=MDP0000185014","MDP0000185014")</f>
        <v>MDP0000185014</v>
      </c>
      <c r="D25563">
        <v>67.92</v>
      </c>
      <c r="E25563">
        <v>53</v>
      </c>
      <c r="F25563">
        <v>17</v>
      </c>
      <c r="G25563">
        <v>2</v>
      </c>
      <c r="H25563">
        <v>36</v>
      </c>
      <c r="I25563">
        <v>87</v>
      </c>
      <c r="J25563">
        <v>1</v>
      </c>
      <c r="K25563">
        <v>39</v>
      </c>
      <c r="L25563">
        <v>90</v>
      </c>
      <c r="M25563">
        <v>1</v>
      </c>
      <c r="N25563">
        <v>1.9594400000000001E-13</v>
      </c>
      <c r="O25563">
        <v>173</v>
      </c>
    </row>
    <row r="25564" spans="1:15" x14ac:dyDescent="0.25">
      <c r="A25564" t="s">
        <v>25577</v>
      </c>
      <c r="B25564">
        <v>686</v>
      </c>
      <c r="C25564" s="1" t="str">
        <f>HYPERLINK("http://www.rosaceae.org/gb/gbrowse/malus_x_domestica/?name=MDP0000238726","MDP0000238726")</f>
        <v>MDP0000238726</v>
      </c>
      <c r="D25564">
        <v>72.3</v>
      </c>
      <c r="E25564">
        <v>686</v>
      </c>
      <c r="F25564">
        <v>190</v>
      </c>
      <c r="G25564">
        <v>62</v>
      </c>
      <c r="H25564">
        <v>1</v>
      </c>
      <c r="I25564">
        <v>631</v>
      </c>
      <c r="J25564">
        <v>1</v>
      </c>
      <c r="K25564">
        <v>474</v>
      </c>
      <c r="L25564">
        <v>1152</v>
      </c>
      <c r="M25564">
        <v>1</v>
      </c>
      <c r="N25564">
        <v>0</v>
      </c>
      <c r="O25564">
        <v>2583</v>
      </c>
    </row>
    <row r="25565" spans="1:15" x14ac:dyDescent="0.25">
      <c r="A25565" t="s">
        <v>25578</v>
      </c>
      <c r="B25565">
        <v>457</v>
      </c>
      <c r="C25565" s="1" t="str">
        <f>HYPERLINK("http://www.rosaceae.org/gb/gbrowse/malus_x_domestica/?name=MDP0000729320","MDP0000729320")</f>
        <v>MDP0000729320</v>
      </c>
      <c r="D25565">
        <v>46.85</v>
      </c>
      <c r="E25565">
        <v>461</v>
      </c>
      <c r="F25565">
        <v>245</v>
      </c>
      <c r="G25565">
        <v>10</v>
      </c>
      <c r="H25565">
        <v>1</v>
      </c>
      <c r="I25565">
        <v>453</v>
      </c>
      <c r="J25565">
        <v>1</v>
      </c>
      <c r="K25565">
        <v>1</v>
      </c>
      <c r="L25565">
        <v>459</v>
      </c>
      <c r="M25565">
        <v>1</v>
      </c>
      <c r="N25565">
        <v>1.58825E-121</v>
      </c>
      <c r="O25565">
        <v>1114</v>
      </c>
    </row>
    <row r="25566" spans="1:15" x14ac:dyDescent="0.25">
      <c r="A25566" t="s">
        <v>25579</v>
      </c>
      <c r="B25566">
        <v>380</v>
      </c>
      <c r="C25566" s="1" t="str">
        <f>HYPERLINK("http://www.rosaceae.org/gb/gbrowse/malus_x_domestica/?name=MDP0000052687","MDP0000052687")</f>
        <v>MDP0000052687</v>
      </c>
      <c r="D25566">
        <v>82.57</v>
      </c>
      <c r="E25566">
        <v>264</v>
      </c>
      <c r="F25566">
        <v>46</v>
      </c>
      <c r="G25566">
        <v>2</v>
      </c>
      <c r="H25566">
        <v>37</v>
      </c>
      <c r="I25566">
        <v>299</v>
      </c>
      <c r="J25566">
        <v>1</v>
      </c>
      <c r="K25566">
        <v>1</v>
      </c>
      <c r="L25566">
        <v>263</v>
      </c>
      <c r="M25566">
        <v>1</v>
      </c>
      <c r="N25566">
        <v>1.37817E-121</v>
      </c>
      <c r="O25566">
        <v>1114</v>
      </c>
    </row>
    <row r="25567" spans="1:15" x14ac:dyDescent="0.25">
      <c r="A25567" t="s">
        <v>25580</v>
      </c>
      <c r="B25567">
        <v>198</v>
      </c>
      <c r="C25567" s="1" t="str">
        <f>HYPERLINK("http://www.rosaceae.org/gb/gbrowse/malus_x_domestica/?name=MDP0000131017","MDP0000131017")</f>
        <v>MDP0000131017</v>
      </c>
      <c r="D25567">
        <v>46.05</v>
      </c>
      <c r="E25567">
        <v>76</v>
      </c>
      <c r="F25567">
        <v>41</v>
      </c>
      <c r="G25567">
        <v>7</v>
      </c>
      <c r="H25567">
        <v>1</v>
      </c>
      <c r="I25567">
        <v>76</v>
      </c>
      <c r="J25567">
        <v>1</v>
      </c>
      <c r="K25567">
        <v>197</v>
      </c>
      <c r="L25567">
        <v>265</v>
      </c>
      <c r="M25567">
        <v>1</v>
      </c>
      <c r="N25567">
        <v>1.06122E-11</v>
      </c>
      <c r="O25567">
        <v>162</v>
      </c>
    </row>
    <row r="25568" spans="1:15" x14ac:dyDescent="0.25">
      <c r="A25568" t="s">
        <v>25581</v>
      </c>
      <c r="B25568">
        <v>974</v>
      </c>
      <c r="C25568" s="1" t="str">
        <f>HYPERLINK("http://www.rosaceae.org/gb/gbrowse/malus_x_domestica/?name=MDP0000204914","MDP0000204914")</f>
        <v>MDP0000204914</v>
      </c>
      <c r="D25568">
        <v>68.31</v>
      </c>
      <c r="E25568">
        <v>1010</v>
      </c>
      <c r="F25568">
        <v>320</v>
      </c>
      <c r="G25568">
        <v>54</v>
      </c>
      <c r="H25568">
        <v>3</v>
      </c>
      <c r="I25568">
        <v>974</v>
      </c>
      <c r="J25568">
        <v>1</v>
      </c>
      <c r="K25568">
        <v>5</v>
      </c>
      <c r="L25568">
        <v>998</v>
      </c>
      <c r="M25568">
        <v>1</v>
      </c>
      <c r="N25568">
        <v>0</v>
      </c>
      <c r="O25568">
        <v>3429</v>
      </c>
    </row>
    <row r="25569" spans="1:15" x14ac:dyDescent="0.25">
      <c r="A25569" t="s">
        <v>25582</v>
      </c>
      <c r="B25569">
        <v>178</v>
      </c>
      <c r="C25569" s="1" t="str">
        <f>HYPERLINK("http://www.rosaceae.org/gb/gbrowse/malus_x_domestica/?name=MDP0000126601","MDP0000126601")</f>
        <v>MDP0000126601</v>
      </c>
      <c r="D25569">
        <v>84.37</v>
      </c>
      <c r="E25569">
        <v>64</v>
      </c>
      <c r="F25569">
        <v>10</v>
      </c>
      <c r="G25569">
        <v>0</v>
      </c>
      <c r="H25569">
        <v>115</v>
      </c>
      <c r="I25569">
        <v>178</v>
      </c>
      <c r="J25569">
        <v>1</v>
      </c>
      <c r="K25569">
        <v>112</v>
      </c>
      <c r="L25569">
        <v>175</v>
      </c>
      <c r="M25569">
        <v>1</v>
      </c>
      <c r="N25569">
        <v>6.9684799999999999E-29</v>
      </c>
      <c r="O25569">
        <v>310</v>
      </c>
    </row>
    <row r="25570" spans="1:15" x14ac:dyDescent="0.25">
      <c r="A25570" t="s">
        <v>25583</v>
      </c>
      <c r="B25570">
        <v>331</v>
      </c>
      <c r="C25570" s="1" t="str">
        <f>HYPERLINK("http://www.rosaceae.org/gb/gbrowse/malus_x_domestica/?name=MDP0000605874","MDP0000605874")</f>
        <v>MDP0000605874</v>
      </c>
      <c r="D25570">
        <v>30.3</v>
      </c>
      <c r="E25570">
        <v>165</v>
      </c>
      <c r="F25570">
        <v>115</v>
      </c>
      <c r="G25570">
        <v>48</v>
      </c>
      <c r="H25570">
        <v>32</v>
      </c>
      <c r="I25570">
        <v>192</v>
      </c>
      <c r="J25570">
        <v>1</v>
      </c>
      <c r="K25570">
        <v>86</v>
      </c>
      <c r="L25570">
        <v>206</v>
      </c>
      <c r="M25570">
        <v>1</v>
      </c>
      <c r="N25570">
        <v>6.0510000000000001E-10</v>
      </c>
      <c r="O25570">
        <v>150</v>
      </c>
    </row>
    <row r="25571" spans="1:15" x14ac:dyDescent="0.25">
      <c r="A25571" t="s">
        <v>25584</v>
      </c>
      <c r="B25571">
        <v>822</v>
      </c>
      <c r="C25571" s="1" t="str">
        <f>HYPERLINK("http://www.rosaceae.org/gb/gbrowse/malus_x_domestica/?name=MDP0000812065","MDP0000812065")</f>
        <v>MDP0000812065</v>
      </c>
      <c r="D25571">
        <v>85.78</v>
      </c>
      <c r="E25571">
        <v>640</v>
      </c>
      <c r="F25571">
        <v>91</v>
      </c>
      <c r="G25571">
        <v>9</v>
      </c>
      <c r="H25571">
        <v>185</v>
      </c>
      <c r="I25571">
        <v>822</v>
      </c>
      <c r="J25571">
        <v>1</v>
      </c>
      <c r="K25571">
        <v>1</v>
      </c>
      <c r="L25571">
        <v>633</v>
      </c>
      <c r="M25571">
        <v>1</v>
      </c>
      <c r="N25571">
        <v>0</v>
      </c>
      <c r="O25571">
        <v>2890</v>
      </c>
    </row>
    <row r="25572" spans="1:15" x14ac:dyDescent="0.25">
      <c r="A25572" t="s">
        <v>25585</v>
      </c>
      <c r="B25572">
        <v>158</v>
      </c>
      <c r="C25572" s="1" t="str">
        <f>HYPERLINK("http://www.rosaceae.org/gb/gbrowse/malus_x_domestica/?name=MDP0000913491","MDP0000913491")</f>
        <v>MDP0000913491</v>
      </c>
      <c r="D25572">
        <v>73.13</v>
      </c>
      <c r="E25572">
        <v>67</v>
      </c>
      <c r="F25572">
        <v>18</v>
      </c>
      <c r="G25572">
        <v>0</v>
      </c>
      <c r="H25572">
        <v>92</v>
      </c>
      <c r="I25572">
        <v>158</v>
      </c>
      <c r="J25572">
        <v>1</v>
      </c>
      <c r="K25572">
        <v>117</v>
      </c>
      <c r="L25572">
        <v>183</v>
      </c>
      <c r="M25572">
        <v>1</v>
      </c>
      <c r="N25572">
        <v>2.5631200000000001E-18</v>
      </c>
      <c r="O25572">
        <v>218</v>
      </c>
    </row>
    <row r="25573" spans="1:15" x14ac:dyDescent="0.25">
      <c r="A25573" t="s">
        <v>25586</v>
      </c>
      <c r="B25573">
        <v>552</v>
      </c>
      <c r="C25573" s="1" t="str">
        <f>HYPERLINK("http://www.rosaceae.org/gb/gbrowse/malus_x_domestica/?name=MDP0000139971","MDP0000139971")</f>
        <v>MDP0000139971</v>
      </c>
      <c r="D25573">
        <v>77.069999999999993</v>
      </c>
      <c r="E25573">
        <v>519</v>
      </c>
      <c r="F25573">
        <v>119</v>
      </c>
      <c r="G25573">
        <v>28</v>
      </c>
      <c r="H25573">
        <v>42</v>
      </c>
      <c r="I25573">
        <v>550</v>
      </c>
      <c r="J25573">
        <v>1</v>
      </c>
      <c r="K25573">
        <v>40</v>
      </c>
      <c r="L25573">
        <v>540</v>
      </c>
      <c r="M25573">
        <v>1</v>
      </c>
      <c r="N25573">
        <v>0</v>
      </c>
      <c r="O25573">
        <v>2004</v>
      </c>
    </row>
    <row r="25574" spans="1:15" x14ac:dyDescent="0.25">
      <c r="A25574" t="s">
        <v>25587</v>
      </c>
      <c r="B25574">
        <v>445</v>
      </c>
      <c r="C25574" s="1" t="str">
        <f>HYPERLINK("http://www.rosaceae.org/gb/gbrowse/malus_x_domestica/?name=MDP0000642505","MDP0000642505")</f>
        <v>MDP0000642505</v>
      </c>
      <c r="D25574">
        <v>80.44</v>
      </c>
      <c r="E25574">
        <v>450</v>
      </c>
      <c r="F25574">
        <v>88</v>
      </c>
      <c r="G25574">
        <v>14</v>
      </c>
      <c r="H25574">
        <v>1</v>
      </c>
      <c r="I25574">
        <v>445</v>
      </c>
      <c r="J25574">
        <v>1</v>
      </c>
      <c r="K25574">
        <v>1</v>
      </c>
      <c r="L25574">
        <v>441</v>
      </c>
      <c r="M25574">
        <v>1</v>
      </c>
      <c r="N25574">
        <v>0</v>
      </c>
      <c r="O25574">
        <v>1906</v>
      </c>
    </row>
    <row r="25575" spans="1:15" x14ac:dyDescent="0.25">
      <c r="A25575" t="s">
        <v>25588</v>
      </c>
      <c r="B25575">
        <v>210</v>
      </c>
      <c r="C25575" s="1" t="str">
        <f>HYPERLINK("http://www.rosaceae.org/gb/gbrowse/malus_x_domestica/?name=MDP0000137468","MDP0000137468")</f>
        <v>MDP0000137468</v>
      </c>
      <c r="D25575">
        <v>52.68</v>
      </c>
      <c r="E25575">
        <v>205</v>
      </c>
      <c r="F25575">
        <v>97</v>
      </c>
      <c r="G25575">
        <v>2</v>
      </c>
      <c r="H25575">
        <v>3</v>
      </c>
      <c r="I25575">
        <v>207</v>
      </c>
      <c r="J25575">
        <v>1</v>
      </c>
      <c r="K25575">
        <v>7</v>
      </c>
      <c r="L25575">
        <v>209</v>
      </c>
      <c r="M25575">
        <v>1</v>
      </c>
      <c r="N25575">
        <v>1.8074300000000001E-47</v>
      </c>
      <c r="O25575">
        <v>471</v>
      </c>
    </row>
    <row r="25576" spans="1:15" x14ac:dyDescent="0.25">
      <c r="A25576" t="s">
        <v>25589</v>
      </c>
      <c r="B25576">
        <v>1553</v>
      </c>
      <c r="C25576" s="1" t="str">
        <f>HYPERLINK("http://www.rosaceae.org/gb/gbrowse/malus_x_domestica/?name=MDP0000230621","MDP0000230621")</f>
        <v>MDP0000230621</v>
      </c>
      <c r="D25576">
        <v>90.33</v>
      </c>
      <c r="E25576">
        <v>445</v>
      </c>
      <c r="F25576">
        <v>43</v>
      </c>
      <c r="G25576">
        <v>0</v>
      </c>
      <c r="H25576">
        <v>1109</v>
      </c>
      <c r="I25576">
        <v>1553</v>
      </c>
      <c r="J25576">
        <v>1</v>
      </c>
      <c r="K25576">
        <v>1493</v>
      </c>
      <c r="L25576">
        <v>1937</v>
      </c>
      <c r="M25576">
        <v>1</v>
      </c>
      <c r="N25576">
        <v>0</v>
      </c>
      <c r="O25576">
        <v>2152</v>
      </c>
    </row>
    <row r="25577" spans="1:15" x14ac:dyDescent="0.25">
      <c r="A25577" t="s">
        <v>25590</v>
      </c>
      <c r="B25577">
        <v>404</v>
      </c>
      <c r="C25577" s="1" t="str">
        <f>HYPERLINK("http://www.rosaceae.org/gb/gbrowse/malus_x_domestica/?name=MDP0000285108","MDP0000285108")</f>
        <v>MDP0000285108</v>
      </c>
      <c r="D25577">
        <v>25</v>
      </c>
      <c r="E25577">
        <v>136</v>
      </c>
      <c r="F25577">
        <v>102</v>
      </c>
      <c r="G25577">
        <v>5</v>
      </c>
      <c r="H25577">
        <v>270</v>
      </c>
      <c r="I25577">
        <v>401</v>
      </c>
      <c r="J25577">
        <v>1</v>
      </c>
      <c r="K25577">
        <v>782</v>
      </c>
      <c r="L25577">
        <v>916</v>
      </c>
      <c r="M25577">
        <v>1</v>
      </c>
      <c r="N25577">
        <v>5.9352599999999996E-11</v>
      </c>
      <c r="O25577">
        <v>160</v>
      </c>
    </row>
    <row r="25578" spans="1:15" x14ac:dyDescent="0.25">
      <c r="A25578" t="s">
        <v>25591</v>
      </c>
      <c r="B25578">
        <v>536</v>
      </c>
      <c r="C25578" s="1" t="str">
        <f>HYPERLINK("http://www.rosaceae.org/gb/gbrowse/malus_x_domestica/?name=MDP0000250583","MDP0000250583")</f>
        <v>MDP0000250583</v>
      </c>
      <c r="D25578">
        <v>77.58</v>
      </c>
      <c r="E25578">
        <v>522</v>
      </c>
      <c r="F25578">
        <v>117</v>
      </c>
      <c r="G25578">
        <v>15</v>
      </c>
      <c r="H25578">
        <v>15</v>
      </c>
      <c r="I25578">
        <v>536</v>
      </c>
      <c r="J25578">
        <v>1</v>
      </c>
      <c r="K25578">
        <v>16</v>
      </c>
      <c r="L25578">
        <v>522</v>
      </c>
      <c r="M25578">
        <v>1</v>
      </c>
      <c r="N25578">
        <v>0</v>
      </c>
      <c r="O25578">
        <v>2097</v>
      </c>
    </row>
    <row r="25579" spans="1:15" x14ac:dyDescent="0.25">
      <c r="A25579" t="s">
        <v>25592</v>
      </c>
      <c r="B25579">
        <v>379</v>
      </c>
      <c r="C25579" s="1" t="str">
        <f>HYPERLINK("http://www.rosaceae.org/gb/gbrowse/malus_x_domestica/?name=MDP0000811085","MDP0000811085")</f>
        <v>MDP0000811085</v>
      </c>
      <c r="D25579">
        <v>32.39</v>
      </c>
      <c r="E25579">
        <v>426</v>
      </c>
      <c r="F25579">
        <v>288</v>
      </c>
      <c r="G25579">
        <v>76</v>
      </c>
      <c r="H25579">
        <v>1</v>
      </c>
      <c r="I25579">
        <v>372</v>
      </c>
      <c r="J25579">
        <v>1</v>
      </c>
      <c r="K25579">
        <v>1</v>
      </c>
      <c r="L25579">
        <v>404</v>
      </c>
      <c r="M25579">
        <v>1</v>
      </c>
      <c r="N25579">
        <v>4.9956E-41</v>
      </c>
      <c r="O25579">
        <v>419</v>
      </c>
    </row>
    <row r="25580" spans="1:15" x14ac:dyDescent="0.25">
      <c r="A25580" t="s">
        <v>25593</v>
      </c>
      <c r="B25580">
        <v>1243</v>
      </c>
      <c r="C25580" s="1" t="str">
        <f>HYPERLINK("http://www.rosaceae.org/gb/gbrowse/malus_x_domestica/?name=MDP0000287519","MDP0000287519")</f>
        <v>MDP0000287519</v>
      </c>
      <c r="D25580">
        <v>31.9</v>
      </c>
      <c r="E25580">
        <v>257</v>
      </c>
      <c r="F25580">
        <v>175</v>
      </c>
      <c r="G25580">
        <v>7</v>
      </c>
      <c r="H25580">
        <v>992</v>
      </c>
      <c r="I25580">
        <v>1242</v>
      </c>
      <c r="J25580">
        <v>1</v>
      </c>
      <c r="K25580">
        <v>450</v>
      </c>
      <c r="L25580">
        <v>705</v>
      </c>
      <c r="M25580">
        <v>1</v>
      </c>
      <c r="N25580">
        <v>2.7174900000000001E-41</v>
      </c>
      <c r="O25580">
        <v>426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ccheng</cp:lastModifiedBy>
  <dcterms:created xsi:type="dcterms:W3CDTF">2017-11-02T12:37:03Z</dcterms:created>
  <dcterms:modified xsi:type="dcterms:W3CDTF">2017-11-02T19:47:09Z</dcterms:modified>
</cp:coreProperties>
</file>